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Employees" sheetId="2" r:id="rId6"/>
    <sheet state="visible" name="Equipment" sheetId="3" r:id="rId7"/>
    <sheet state="visible" name="Requests" sheetId="4" r:id="rId8"/>
    <sheet state="visible" name="RequestHistory" sheetId="5" r:id="rId9"/>
    <sheet state="visible" name="Attachments" sheetId="6" r:id="rId10"/>
    <sheet state="visible" name="Settings" sheetId="7" r:id="rId11"/>
    <sheet state="visible" name="DataChecks" sheetId="8" r:id="rId12"/>
    <sheet state="hidden" name="LatestEvents" sheetId="9" r:id="rId13"/>
  </sheets>
  <definedNames>
    <definedName hidden="1" localSheetId="1" name="_xlnm._FilterDatabase">Employees!$A$1:$D$301</definedName>
    <definedName hidden="1" localSheetId="2" name="_xlnm._FilterDatabase">Equipment!$A$1:$E$601</definedName>
    <definedName hidden="1" localSheetId="3" name="_xlnm._FilterDatabase">Requests!$A$1:$G$8001</definedName>
    <definedName hidden="1" localSheetId="4" name="_xlnm._FilterDatabase">RequestHistory!$A$1:$G$29471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00">
      <text>
        <t xml:space="preserve">Synthetic timestamp repair: original serial=46245.70833333333. Reconstructed from generator UTC dates; stored as Vietnam local time.</t>
      </text>
    </comment>
    <comment authorId="0" ref="G67">
      <text>
        <t xml:space="preserve">Synthetic timestamp repair: original serial=46080.66666666667. Reconstructed from generator UTC dates; stored as Vietnam local time.</t>
      </text>
    </comment>
    <comment authorId="0" ref="G34">
      <text>
        <t xml:space="preserve">Synthetic timestamp repair: original serial=45915.70833333333. Reconstructed from generator UTC dates; stored as Vietnam local time.</t>
      </text>
    </comment>
    <comment authorId="0" ref="G92">
      <text>
        <t xml:space="preserve">Synthetic timestamp repair: original serial=46301.70833333333. Reconstructed from generator UTC dates; stored as Vietnam local time.</t>
      </text>
    </comment>
    <comment authorId="0" ref="G59">
      <text>
        <t xml:space="preserve">Synthetic timestamp repair: original serial=46040.66666666667. Reconstructed from generator UTC dates; stored as Vietnam local time.</t>
      </text>
    </comment>
    <comment authorId="0" ref="G26">
      <text>
        <t xml:space="preserve">Synthetic timestamp repair: original serial=45875.70833333333. Reconstructed from generator UTC dates; stored as Vietnam local time.</t>
      </text>
    </comment>
    <comment authorId="0" ref="G84">
      <text>
        <t xml:space="preserve">Synthetic timestamp repair: original serial=46165.70833333333. Reconstructed from generator UTC dates; stored as Vietnam local time.</t>
      </text>
    </comment>
    <comment authorId="0" ref="G51">
      <text>
        <t xml:space="preserve">Synthetic timestamp repair: original serial=46307.70833333333. Reconstructed from generator UTC dates; stored as Vietnam local time.</t>
      </text>
    </comment>
    <comment authorId="0" ref="G18">
      <text>
        <t xml:space="preserve">Synthetic timestamp repair: original serial=45835.70833333333. Reconstructed from generator UTC dates; stored as Vietnam local time.</t>
      </text>
    </comment>
    <comment authorId="0" ref="G76">
      <text>
        <t xml:space="preserve">Synthetic timestamp repair: original serial=46125.70833333333. Reconstructed from generator UTC dates; stored as Vietnam local time.</t>
      </text>
    </comment>
    <comment authorId="0" ref="G43">
      <text>
        <t xml:space="preserve">Synthetic timestamp repair: original serial=45960.70833333333. Reconstructed from generator UTC dates; stored as Vietnam local time.</t>
      </text>
    </comment>
    <comment authorId="0" ref="G10">
      <text>
        <t xml:space="preserve">Synthetic timestamp repair: original serial=45795.70833333333. Reconstructed from generator UTC dates; stored as Vietnam local time.</t>
      </text>
    </comment>
    <comment authorId="0" ref="G101">
      <text>
        <t xml:space="preserve">Synthetic timestamp repair: original serial=46306.70833333333. Reconstructed from generator UTC dates; stored as Vietnam local time.</t>
      </text>
    </comment>
    <comment authorId="0" ref="G68">
      <text>
        <t xml:space="preserve">Synthetic timestamp repair: original serial=46085.66666666667. Reconstructed from generator UTC dates; stored as Vietnam local time.</t>
      </text>
    </comment>
    <comment authorId="0" ref="G35">
      <text>
        <t xml:space="preserve">Synthetic timestamp repair: original serial=45920.70833333333. Reconstructed from generator UTC dates; stored as Vietnam local time.</t>
      </text>
    </comment>
    <comment authorId="0" ref="G2">
      <text>
        <t xml:space="preserve">Synthetic timestamp repair: original serial=46308.83329649306. Demo timeline reconstructed around manually entered approval; not an exact execution timestamp.</t>
      </text>
    </comment>
    <comment authorId="0" ref="G93">
      <text>
        <t xml:space="preserve">Synthetic timestamp repair: original serial=46210.70833333333. Reconstructed from generator UTC dates; stored as Vietnam local time.</t>
      </text>
    </comment>
    <comment authorId="0" ref="G60">
      <text>
        <t xml:space="preserve">Synthetic timestamp repair: original serial=46045.66666666667. Reconstructed from generator UTC dates; stored as Vietnam local time.</t>
      </text>
    </comment>
    <comment authorId="0" ref="G27">
      <text>
        <t xml:space="preserve">Synthetic timestamp repair: original serial=45880.70833333333. Reconstructed from generator UTC dates; stored as Vietnam local time.</t>
      </text>
    </comment>
    <comment authorId="0" ref="G85">
      <text>
        <t xml:space="preserve">Synthetic timestamp repair: original serial=46170.70833333333. Reconstructed from generator UTC dates; stored as Vietnam local time.</t>
      </text>
    </comment>
    <comment authorId="0" ref="G52">
      <text>
        <t xml:space="preserve">Synthetic timestamp repair: original serial=46306.70833333333. Reconstructed from generator UTC dates; stored as Vietnam local time.</t>
      </text>
    </comment>
    <comment authorId="0" ref="G19">
      <text>
        <t xml:space="preserve">Synthetic timestamp repair: original serial=45840.70833333333. Reconstructed from generator UTC dates; stored as Vietnam local time.</t>
      </text>
    </comment>
    <comment authorId="0" ref="G77">
      <text>
        <t xml:space="preserve">Synthetic timestamp repair: original serial=46130.70833333333. Reconstructed from generator UTC dates; stored as Vietnam local time.</t>
      </text>
    </comment>
    <comment authorId="0" ref="G44">
      <text>
        <t xml:space="preserve">Synthetic timestamp repair: original serial=45965.66666666667. Reconstructed from generator UTC dates; stored as Vietnam local time.</t>
      </text>
    </comment>
    <comment authorId="0" ref="G11">
      <text>
        <t xml:space="preserve">Synthetic timestamp repair: original serial=46305.70833333333. Reconstructed from generator UTC dates; stored as Vietnam local time.</t>
      </text>
    </comment>
    <comment authorId="0" ref="G102">
      <text>
        <t xml:space="preserve">Synthetic timestamp repair: original serial=46305.70833333333. Reconstructed from generator UTC dates; stored as Vietnam local time.</t>
      </text>
    </comment>
    <comment authorId="0" ref="G69">
      <text>
        <t xml:space="preserve">Synthetic timestamp repair: original serial=46090.70833333333. Reconstructed from generator UTC dates; stored as Vietnam local time.</t>
      </text>
    </comment>
    <comment authorId="0" ref="G36">
      <text>
        <t xml:space="preserve">Synthetic timestamp repair: original serial=45925.70833333333. Reconstructed from generator UTC dates; stored as Vietnam local time.</t>
      </text>
    </comment>
    <comment authorId="0" ref="G3">
      <text>
        <t xml:space="preserve">Synthetic timestamp repair: original serial=45760.70833333333. Reconstructed from generator UTC dates; stored as Vietnam local time.</t>
      </text>
    </comment>
    <comment authorId="0" ref="G94">
      <text>
        <t xml:space="preserve">Synthetic timestamp repair: original serial=46215.70833333333. Reconstructed from generator UTC dates; stored as Vietnam local time.</t>
      </text>
    </comment>
    <comment authorId="0" ref="G61">
      <text>
        <t xml:space="preserve">Synthetic timestamp repair: original serial=46304.70833333333. Reconstructed from generator UTC dates; stored as Vietnam local time.</t>
      </text>
    </comment>
    <comment authorId="0" ref="G28">
      <text>
        <t xml:space="preserve">Synthetic timestamp repair: original serial=45885.70833333333. Reconstructed from generator UTC dates; stored as Vietnam local time.</t>
      </text>
    </comment>
    <comment authorId="0" ref="G86">
      <text>
        <t xml:space="preserve">Synthetic timestamp repair: original serial=46175.70833333333. Reconstructed from generator UTC dates; stored as Vietnam local time.</t>
      </text>
    </comment>
    <comment authorId="0" ref="G53">
      <text>
        <t xml:space="preserve">Synthetic timestamp repair: original serial=46010.66666666667. Reconstructed from generator UTC dates; stored as Vietnam local time.</t>
      </text>
    </comment>
    <comment authorId="0" ref="G20">
      <text>
        <t xml:space="preserve">Synthetic timestamp repair: original serial=45845.70833333333. Reconstructed from generator UTC dates; stored as Vietnam local time.</t>
      </text>
    </comment>
    <comment authorId="0" ref="G78">
      <text>
        <t xml:space="preserve">Synthetic timestamp repair: original serial=46135.70833333333. Reconstructed from generator UTC dates; stored as Vietnam local time.</t>
      </text>
    </comment>
    <comment authorId="0" ref="G45">
      <text>
        <t xml:space="preserve">Synthetic timestamp repair: original serial=45970.66666666667. Reconstructed from generator UTC dates; stored as Vietnam local time.</t>
      </text>
    </comment>
    <comment authorId="0" ref="G12">
      <text>
        <t xml:space="preserve">Synthetic timestamp repair: original serial=46304.70833333333. Reconstructed from generator UTC dates; stored as Vietnam local time.</t>
      </text>
    </comment>
    <comment authorId="0" ref="G70">
      <text>
        <t xml:space="preserve">Synthetic timestamp repair: original serial=46095.70833333333. Reconstructed from generator UTC dates; stored as Vietnam local time.</t>
      </text>
    </comment>
    <comment authorId="0" ref="G37">
      <text>
        <t xml:space="preserve">Synthetic timestamp repair: original serial=45930.70833333333. Reconstructed from generator UTC dates; stored as Vietnam local time.</t>
      </text>
    </comment>
    <comment authorId="0" ref="G4">
      <text>
        <t xml:space="preserve">Synthetic timestamp repair: original serial=45765.70833333333. Reconstructed from generator UTC dates; stored as Vietnam local time.</t>
      </text>
    </comment>
    <comment authorId="0" ref="G95">
      <text>
        <t xml:space="preserve">Synthetic timestamp repair: original serial=46220.70833333333. Reconstructed from generator UTC dates; stored as Vietnam local time.</t>
      </text>
    </comment>
    <comment authorId="0" ref="G62">
      <text>
        <t xml:space="preserve">Synthetic timestamp repair: original serial=46303.70833333333. Reconstructed from generator UTC dates; stored as Vietnam local time.</t>
      </text>
    </comment>
    <comment authorId="0" ref="G29">
      <text>
        <t xml:space="preserve">Synthetic timestamp repair: original serial=45890.70833333333. Reconstructed from generator UTC dates; stored as Vietnam local time.</t>
      </text>
    </comment>
    <comment authorId="0" ref="G87">
      <text>
        <t xml:space="preserve">Synthetic timestamp repair: original serial=46180.70833333333. Reconstructed from generator UTC dates; stored as Vietnam local time.</t>
      </text>
    </comment>
    <comment authorId="0" ref="G54">
      <text>
        <t xml:space="preserve">Synthetic timestamp repair: original serial=46015.66666666667. Reconstructed from generator UTC dates; stored as Vietnam local time.</t>
      </text>
    </comment>
    <comment authorId="0" ref="G21">
      <text>
        <t xml:space="preserve">Synthetic timestamp repair: original serial=46302.70833333333. Reconstructed from generator UTC dates; stored as Vietnam local time.</t>
      </text>
    </comment>
    <comment authorId="0" ref="G79">
      <text>
        <t xml:space="preserve">Synthetic timestamp repair: original serial=46140.70833333333. Reconstructed from generator UTC dates; stored as Vietnam local time.</t>
      </text>
    </comment>
    <comment authorId="0" ref="G46">
      <text>
        <t xml:space="preserve">Synthetic timestamp repair: original serial=45975.66666666667. Reconstructed from generator UTC dates; stored as Vietnam local time.</t>
      </text>
    </comment>
    <comment authorId="0" ref="G13">
      <text>
        <t xml:space="preserve">Synthetic timestamp repair: original serial=45810.70833333333. Reconstructed from generator UTC dates; stored as Vietnam local time.</t>
      </text>
    </comment>
    <comment authorId="0" ref="G71">
      <text>
        <t xml:space="preserve">Synthetic timestamp repair: original serial=46301.70833333333. Reconstructed from generator UTC dates; stored as Vietnam local time.</t>
      </text>
    </comment>
    <comment authorId="0" ref="G38">
      <text>
        <t xml:space="preserve">Synthetic timestamp repair: original serial=45935.70833333333. Reconstructed from generator UTC dates; stored as Vietnam local time.</t>
      </text>
    </comment>
    <comment authorId="0" ref="G5">
      <text>
        <t xml:space="preserve">Synthetic timestamp repair: original serial=45770.70833333333. Reconstructed from generator UTC dates; stored as Vietnam local time.</t>
      </text>
    </comment>
    <comment authorId="0" ref="G96">
      <text>
        <t xml:space="preserve">Synthetic timestamp repair: original serial=46225.70833333333. Reconstructed from generator UTC dates; stored as Vietnam local time.</t>
      </text>
    </comment>
    <comment authorId="0" ref="G63">
      <text>
        <t xml:space="preserve">Synthetic timestamp repair: original serial=46060.66666666667. Reconstructed from generator UTC dates; stored as Vietnam local time.</t>
      </text>
    </comment>
    <comment authorId="0" ref="G30">
      <text>
        <t xml:space="preserve">Synthetic timestamp repair: original serial=45895.70833333333. Reconstructed from generator UTC dates; stored as Vietnam local time.</t>
      </text>
    </comment>
    <comment authorId="0" ref="G88">
      <text>
        <t xml:space="preserve">Synthetic timestamp repair: original serial=46185.70833333333. Reconstructed from generator UTC dates; stored as Vietnam local time.</t>
      </text>
    </comment>
    <comment authorId="0" ref="G55">
      <text>
        <t xml:space="preserve">Synthetic timestamp repair: original serial=46020.66666666667. Reconstructed from generator UTC dates; stored as Vietnam local time.</t>
      </text>
    </comment>
    <comment authorId="0" ref="G22">
      <text>
        <t xml:space="preserve">Synthetic timestamp repair: original serial=46301.70833333333. Reconstructed from generator UTC dates; stored as Vietnam local time.</t>
      </text>
    </comment>
    <comment authorId="0" ref="G80">
      <text>
        <t xml:space="preserve">Synthetic timestamp repair: original serial=46145.70833333333. Reconstructed from generator UTC dates; stored as Vietnam local time.</t>
      </text>
    </comment>
    <comment authorId="0" ref="G47">
      <text>
        <t xml:space="preserve">Synthetic timestamp repair: original serial=45980.66666666667. Reconstructed from generator UTC dates; stored as Vietnam local time.</t>
      </text>
    </comment>
    <comment authorId="0" ref="G14">
      <text>
        <t xml:space="preserve">Synthetic timestamp repair: original serial=45815.70833333333. Reconstructed from generator UTC dates; stored as Vietnam local time.</t>
      </text>
    </comment>
    <comment authorId="0" ref="G72">
      <text>
        <t xml:space="preserve">Synthetic timestamp repair: original serial=46307.70833333333. Reconstructed from generator UTC dates; stored as Vietnam local time.</t>
      </text>
    </comment>
    <comment authorId="0" ref="G39">
      <text>
        <t xml:space="preserve">Synthetic timestamp repair: original serial=45940.70833333333. Reconstructed from generator UTC dates; stored as Vietnam local time.</t>
      </text>
    </comment>
    <comment authorId="0" ref="G6">
      <text>
        <t xml:space="preserve">Synthetic timestamp repair: original serial=45775.70833333333. Reconstructed from generator UTC dates; stored as Vietnam local time.</t>
      </text>
    </comment>
    <comment authorId="0" ref="G97">
      <text>
        <t xml:space="preserve">Synthetic timestamp repair: original serial=46230.70833333333. Reconstructed from generator UTC dates; stored as Vietnam local time.</t>
      </text>
    </comment>
    <comment authorId="0" ref="G64">
      <text>
        <t xml:space="preserve">Synthetic timestamp repair: original serial=46065.66666666667. Reconstructed from generator UTC dates; stored as Vietnam local time.</t>
      </text>
    </comment>
    <comment authorId="0" ref="G31">
      <text>
        <t xml:space="preserve">Synthetic timestamp repair: original serial=46306.70833333333. Reconstructed from generator UTC dates; stored as Vietnam local time.</t>
      </text>
    </comment>
    <comment authorId="0" ref="G89">
      <text>
        <t xml:space="preserve">Synthetic timestamp repair: original serial=46190.70833333333. Reconstructed from generator UTC dates; stored as Vietnam local time.</t>
      </text>
    </comment>
    <comment authorId="0" ref="G56">
      <text>
        <t xml:space="preserve">Synthetic timestamp repair: original serial=46025.66666666667. Reconstructed from generator UTC dates; stored as Vietnam local time.</t>
      </text>
    </comment>
    <comment authorId="0" ref="G23">
      <text>
        <t xml:space="preserve">Synthetic timestamp repair: original serial=45860.70833333333. Reconstructed from generator UTC dates; stored as Vietnam local time.</t>
      </text>
    </comment>
    <comment authorId="0" ref="G81">
      <text>
        <t xml:space="preserve">Synthetic timestamp repair: original serial=46305.70833333333. Reconstructed from generator UTC dates; stored as Vietnam local time.</t>
      </text>
    </comment>
    <comment authorId="0" ref="G48">
      <text>
        <t xml:space="preserve">Synthetic timestamp repair: original serial=45985.66666666667. Reconstructed from generator UTC dates; stored as Vietnam local time.</t>
      </text>
    </comment>
    <comment authorId="0" ref="G15">
      <text>
        <t xml:space="preserve">Synthetic timestamp repair: original serial=45820.70833333333. Reconstructed from generator UTC dates; stored as Vietnam local time.</t>
      </text>
    </comment>
    <comment authorId="0" ref="G73">
      <text>
        <t xml:space="preserve">Synthetic timestamp repair: original serial=46110.70833333333. Reconstructed from generator UTC dates; stored as Vietnam local time.</t>
      </text>
    </comment>
    <comment authorId="0" ref="G40">
      <text>
        <t xml:space="preserve">Synthetic timestamp repair: original serial=45945.70833333333. Reconstructed from generator UTC dates; stored as Vietnam local time.</t>
      </text>
    </comment>
    <comment authorId="0" ref="G7">
      <text>
        <t xml:space="preserve">Synthetic timestamp repair: original serial=45780.70833333333. Reconstructed from generator UTC dates; stored as Vietnam local time.</t>
      </text>
    </comment>
    <comment authorId="0" ref="G98">
      <text>
        <t xml:space="preserve">Synthetic timestamp repair: original serial=46235.70833333333. Reconstructed from generator UTC dates; stored as Vietnam local time.</t>
      </text>
    </comment>
    <comment authorId="0" ref="G65">
      <text>
        <t xml:space="preserve">Synthetic timestamp repair: original serial=46070.66666666667. Reconstructed from generator UTC dates; stored as Vietnam local time.</t>
      </text>
    </comment>
    <comment authorId="0" ref="G32">
      <text>
        <t xml:space="preserve">Synthetic timestamp repair: original serial=46305.70833333333. Reconstructed from generator UTC dates; stored as Vietnam local time.</t>
      </text>
    </comment>
    <comment authorId="0" ref="G90">
      <text>
        <t xml:space="preserve">Synthetic timestamp repair: original serial=46195.70833333333. Reconstructed from generator UTC dates; stored as Vietnam local time.</t>
      </text>
    </comment>
    <comment authorId="0" ref="G57">
      <text>
        <t xml:space="preserve">Synthetic timestamp repair: original serial=46030.66666666667. Reconstructed from generator UTC dates; stored as Vietnam local time.</t>
      </text>
    </comment>
    <comment authorId="0" ref="G24">
      <text>
        <t xml:space="preserve">Synthetic timestamp repair: original serial=45865.70833333333. Reconstructed from generator UTC dates; stored as Vietnam local time.</t>
      </text>
    </comment>
    <comment authorId="0" ref="G82">
      <text>
        <t xml:space="preserve">Synthetic timestamp repair: original serial=46304.70833333333. Reconstructed from generator UTC dates; stored as Vietnam local time.</t>
      </text>
    </comment>
    <comment authorId="0" ref="G49">
      <text>
        <t xml:space="preserve">Synthetic timestamp repair: original serial=45990.66666666667. Reconstructed from generator UTC dates; stored as Vietnam local time.</t>
      </text>
    </comment>
    <comment authorId="0" ref="G16">
      <text>
        <t xml:space="preserve">Synthetic timestamp repair: original serial=45825.70833333333. Reconstructed from generator UTC dates; stored as Vietnam local time.</t>
      </text>
    </comment>
    <comment authorId="0" ref="G74">
      <text>
        <t xml:space="preserve">Synthetic timestamp repair: original serial=46115.70833333333. Reconstructed from generator UTC dates; stored as Vietnam local time.</t>
      </text>
    </comment>
    <comment authorId="0" ref="G41">
      <text>
        <t xml:space="preserve">Synthetic timestamp repair: original serial=46303.70833333333. Reconstructed from generator UTC dates; stored as Vietnam local time.</t>
      </text>
    </comment>
    <comment authorId="0" ref="G8">
      <text>
        <t xml:space="preserve">Synthetic timestamp repair: original serial=45785.70833333333. Reconstructed from generator UTC dates; stored as Vietnam local time.</t>
      </text>
    </comment>
    <comment authorId="0" ref="G99">
      <text>
        <t xml:space="preserve">Synthetic timestamp repair: original serial=46240.70833333333. Reconstructed from generator UTC dates; stored as Vietnam local time.</t>
      </text>
    </comment>
    <comment authorId="0" ref="G66">
      <text>
        <t xml:space="preserve">Synthetic timestamp repair: original serial=46075.66666666667. Reconstructed from generator UTC dates; stored as Vietnam local time.</t>
      </text>
    </comment>
    <comment authorId="0" ref="G33">
      <text>
        <t xml:space="preserve">Synthetic timestamp repair: original serial=45910.70833333333. Reconstructed from generator UTC dates; stored as Vietnam local time.</t>
      </text>
    </comment>
    <comment authorId="0" ref="G91">
      <text>
        <t xml:space="preserve">Synthetic timestamp repair: original serial=46302.70833333333. Reconstructed from generator UTC dates; stored as Vietnam local time.</t>
      </text>
    </comment>
    <comment authorId="0" ref="G58">
      <text>
        <t xml:space="preserve">Synthetic timestamp repair: original serial=46035.66666666667. Reconstructed from generator UTC dates; stored as Vietnam local time.</t>
      </text>
    </comment>
    <comment authorId="0" ref="G25">
      <text>
        <t xml:space="preserve">Synthetic timestamp repair: original serial=45870.70833333333. Reconstructed from generator UTC dates; stored as Vietnam local time.</t>
      </text>
    </comment>
    <comment authorId="0" ref="G83">
      <text>
        <t xml:space="preserve">Synthetic timestamp repair: original serial=46160.70833333333. Reconstructed from generator UTC dates; stored as Vietnam local time.</t>
      </text>
    </comment>
    <comment authorId="0" ref="G50">
      <text>
        <t xml:space="preserve">Synthetic timestamp repair: original serial=45995.66666666667. Reconstructed from generator UTC dates; stored as Vietnam local time.</t>
      </text>
    </comment>
    <comment authorId="0" ref="G17">
      <text>
        <t xml:space="preserve">Synthetic timestamp repair: original serial=45830.70833333333. Reconstructed from generator UTC dates; stored as Vietnam local time.</t>
      </text>
    </comment>
    <comment authorId="0" ref="G75">
      <text>
        <t xml:space="preserve">Synthetic timestamp repair: original serial=46120.70833333333. Reconstructed from generator UTC dates; stored as Vietnam local time.</t>
      </text>
    </comment>
    <comment authorId="0" ref="G42">
      <text>
        <t xml:space="preserve">Synthetic timestamp repair: original serial=46302.70833333333. Reconstructed from generator UTC dates; stored as Vietnam local time.</t>
      </text>
    </comment>
    <comment authorId="0" ref="G9">
      <text>
        <t xml:space="preserve">Synthetic timestamp repair: original serial=45790.70833333333. Reconstructed from generator UTC dates; stored as Vietnam local time.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66">
      <text>
        <t xml:space="preserve">Synthetic timestamp repair: original serial=46010.66666666667. Reconstructed from generator UTC dates; stored as Vietnam local time.</t>
      </text>
    </comment>
    <comment authorId="0" ref="F133">
      <text>
        <t xml:space="preserve">Synthetic timestamp repair: original serial=46302.70833333333. Reconstructed from generator UTC dates; stored as Vietnam local time.</t>
      </text>
    </comment>
    <comment authorId="0" ref="F100">
      <text>
        <t xml:space="preserve">Synthetic timestamp repair: original serial=46307.20833333333. Reconstructed from generator UTC dates; stored as Vietnam local time.</t>
      </text>
    </comment>
    <comment authorId="0" ref="F67">
      <text>
        <t xml:space="preserve">Synthetic timestamp repair: original serial=46302.95833333333. Reconstructed from generator UTC dates; stored as Vietnam local time.</t>
      </text>
    </comment>
    <comment authorId="0" ref="F34">
      <text>
        <t xml:space="preserve">Synthetic timestamp repair: original serial=46305.70833333333. Reconstructed from generator UTC dates; stored as Vietnam local time.</t>
      </text>
    </comment>
    <comment authorId="0" ref="F315">
      <text>
        <t xml:space="preserve">Synthetic timestamp repair: original serial=46235.95833333333. Reconstructed from generator UTC dates; stored as Vietnam local time.</t>
      </text>
    </comment>
    <comment authorId="0" ref="F282">
      <text>
        <t xml:space="preserve">Synthetic timestamp repair: original serial=46185.70833333333. Reconstructed from generator UTC dates; stored as Vietnam local time.</t>
      </text>
    </comment>
    <comment authorId="0" ref="F249">
      <text>
        <t xml:space="preserve">Synthetic timestamp repair: original serial=46132.70833333333. Reconstructed from generator UTC dates; stored as Vietnam local time.</t>
      </text>
    </comment>
    <comment authorId="0" ref="F216">
      <text>
        <t xml:space="preserve">Synthetic timestamp repair: original serial=46081.16666666667. Reconstructed from generator UTC dates; stored as Vietnam local time.</t>
      </text>
    </comment>
    <comment authorId="0" ref="F183">
      <text>
        <t xml:space="preserve">Synthetic timestamp repair: original serial=46030.91666666667. Reconstructed from generator UTC dates; stored as Vietnam local time.</t>
      </text>
    </comment>
    <comment authorId="0" ref="F150">
      <text>
        <t xml:space="preserve">Synthetic timestamp repair: original serial=45980.66666666667. Reconstructed from generator UTC dates; stored as Vietnam local time.</t>
      </text>
    </comment>
    <comment authorId="0" ref="F117">
      <text>
        <t xml:space="preserve">Synthetic timestamp repair: original serial=45927.70833333333. Reconstructed from generator UTC dates; stored as Vietnam local time.</t>
      </text>
    </comment>
    <comment authorId="0" ref="F84">
      <text>
        <t xml:space="preserve">Synthetic timestamp repair: original serial=45876.20833333333. Reconstructed from generator UTC dates; stored as Vietnam local time.</t>
      </text>
    </comment>
    <comment authorId="0" ref="F51">
      <text>
        <t xml:space="preserve">Synthetic timestamp repair: original serial=45825.95833333333. Reconstructed from generator UTC dates; stored as Vietnam local time.</t>
      </text>
    </comment>
    <comment authorId="0" ref="F18">
      <text>
        <t xml:space="preserve">Synthetic timestamp repair: original serial=45775.70833333333. Reconstructed from generator UTC dates; stored as Vietnam local time.</t>
      </text>
    </comment>
    <comment authorId="0" ref="F299">
      <text>
        <t xml:space="preserve">Synthetic timestamp repair: original serial=46215.95833333333. Reconstructed from generator UTC dates; stored as Vietnam local time.</t>
      </text>
    </comment>
    <comment authorId="0" ref="F266">
      <text>
        <t xml:space="preserve">Synthetic timestamp repair: original serial=46165.70833333333. Reconstructed from generator UTC dates; stored as Vietnam local time.</t>
      </text>
    </comment>
    <comment authorId="0" ref="F233">
      <text>
        <t xml:space="preserve">Synthetic timestamp repair: original serial=46112.70833333333. Reconstructed from generator UTC dates; stored as Vietnam local time.</t>
      </text>
    </comment>
    <comment authorId="0" ref="F200">
      <text>
        <t xml:space="preserve">Synthetic timestamp repair: original serial=46061.16666666667. Reconstructed from generator UTC dates; stored as Vietnam local time.</t>
      </text>
    </comment>
    <comment authorId="0" ref="F167">
      <text>
        <t xml:space="preserve">Synthetic timestamp repair: original serial=46010.91666666667. Reconstructed from generator UTC dates; stored as Vietnam local time.</t>
      </text>
    </comment>
    <comment authorId="0" ref="F134">
      <text>
        <t xml:space="preserve">Synthetic timestamp repair: original serial=45960.70833333333. Reconstructed from generator UTC dates; stored as Vietnam local time.</t>
      </text>
    </comment>
    <comment authorId="0" ref="F101">
      <text>
        <t xml:space="preserve">Synthetic timestamp repair: original serial=46305.70833333333. Reconstructed from generator UTC dates; stored as Vietnam local time.</t>
      </text>
    </comment>
    <comment authorId="0" ref="F68">
      <text>
        <t xml:space="preserve">Synthetic timestamp repair: original serial=46303.20833333333. Reconstructed from generator UTC dates; stored as Vietnam local time.</t>
      </text>
    </comment>
    <comment authorId="0" ref="F35">
      <text>
        <t xml:space="preserve">Synthetic timestamp repair: original serial=46305.95833333333. Reconstructed from generator UTC dates; stored as Vietnam local time.</t>
      </text>
    </comment>
    <comment authorId="0" ref="F2">
      <text>
        <t xml:space="preserve">Synthetic timestamp repair: original serial=46308.83329649306. Demo timeline reconstructed around manually entered approval; not an exact execution timestamp.</t>
      </text>
    </comment>
    <comment authorId="0" ref="F316">
      <text>
        <t xml:space="preserve">Synthetic timestamp repair: original serial=46236.20833333333. Reconstructed from generator UTC dates; stored as Vietnam local time.</t>
      </text>
    </comment>
    <comment authorId="0" ref="F283">
      <text>
        <t xml:space="preserve">Synthetic timestamp repair: original serial=46185.95833333333. Reconstructed from generator UTC dates; stored as Vietnam local time.</t>
      </text>
    </comment>
    <comment authorId="0" ref="F250">
      <text>
        <t xml:space="preserve">Synthetic timestamp repair: original serial=46135.70833333333. Reconstructed from generator UTC dates; stored as Vietnam local time.</t>
      </text>
    </comment>
    <comment authorId="0" ref="F217">
      <text>
        <t xml:space="preserve">Synthetic timestamp repair: original serial=46082.66666666667. Reconstructed from generator UTC dates; stored as Vietnam local time.</t>
      </text>
    </comment>
    <comment authorId="0" ref="F184">
      <text>
        <t xml:space="preserve">Synthetic timestamp repair: original serial=46031.16666666667. Reconstructed from generator UTC dates; stored as Vietnam local time.</t>
      </text>
    </comment>
    <comment authorId="0" ref="F151">
      <text>
        <t xml:space="preserve">Synthetic timestamp repair: original serial=45980.91666666667. Reconstructed from generator UTC dates; stored as Vietnam local time.</t>
      </text>
    </comment>
    <comment authorId="0" ref="F118">
      <text>
        <t xml:space="preserve">Synthetic timestamp repair: original serial=45930.70833333333. Reconstructed from generator UTC dates; stored as Vietnam local time.</t>
      </text>
    </comment>
    <comment authorId="0" ref="F85">
      <text>
        <t xml:space="preserve">Synthetic timestamp repair: original serial=45877.70833333333. Reconstructed from generator UTC dates; stored as Vietnam local time.</t>
      </text>
    </comment>
    <comment authorId="0" ref="F52">
      <text>
        <t xml:space="preserve">Synthetic timestamp repair: original serial=45826.20833333333. Reconstructed from generator UTC dates; stored as Vietnam local time.</t>
      </text>
    </comment>
    <comment authorId="0" ref="F19">
      <text>
        <t xml:space="preserve">Synthetic timestamp repair: original serial=45775.95833333333. Reconstructed from generator UTC dates; stored as Vietnam local time.</t>
      </text>
    </comment>
    <comment authorId="0" ref="F300">
      <text>
        <t xml:space="preserve">Synthetic timestamp repair: original serial=46216.20833333333. Reconstructed from generator UTC dates; stored as Vietnam local time.</t>
      </text>
    </comment>
    <comment authorId="0" ref="F267">
      <text>
        <t xml:space="preserve">Synthetic timestamp repair: original serial=46165.95833333333. Reconstructed from generator UTC dates; stored as Vietnam local time.</t>
      </text>
    </comment>
    <comment authorId="0" ref="F234">
      <text>
        <t xml:space="preserve">Synthetic timestamp repair: original serial=46115.70833333333. Reconstructed from generator UTC dates; stored as Vietnam local time.</t>
      </text>
    </comment>
    <comment authorId="0" ref="F201">
      <text>
        <t xml:space="preserve">Synthetic timestamp repair: original serial=46062.66666666667. Reconstructed from generator UTC dates; stored as Vietnam local time.</t>
      </text>
    </comment>
    <comment authorId="0" ref="F168">
      <text>
        <t xml:space="preserve">Synthetic timestamp repair: original serial=46011.16666666667. Reconstructed from generator UTC dates; stored as Vietnam local time.</t>
      </text>
    </comment>
    <comment authorId="0" ref="F135">
      <text>
        <t xml:space="preserve">Synthetic timestamp repair: original serial=45960.95833333333. Reconstructed from generator UTC dates; stored as Vietnam local time.</t>
      </text>
    </comment>
    <comment authorId="0" ref="F102">
      <text>
        <t xml:space="preserve">Synthetic timestamp repair: original serial=45910.70833333333. Reconstructed from generator UTC dates; stored as Vietnam local time.</t>
      </text>
    </comment>
    <comment authorId="0" ref="F69">
      <text>
        <t xml:space="preserve">Synthetic timestamp repair: original serial=46301.70833333333. Reconstructed from generator UTC dates; stored as Vietnam local time.</t>
      </text>
    </comment>
    <comment authorId="0" ref="F36">
      <text>
        <t xml:space="preserve">Synthetic timestamp repair: original serial=46306.20833333333. Reconstructed from generator UTC dates; stored as Vietnam local time.</t>
      </text>
    </comment>
    <comment authorId="0" ref="F3">
      <text>
        <t xml:space="preserve">Synthetic timestamp repair: original serial=46309.419444444444. Demo timeline reconstructed around manually entered approval; not an exact execution timestamp.</t>
      </text>
    </comment>
    <comment authorId="0" ref="F317">
      <text>
        <t xml:space="preserve">Synthetic timestamp repair: original serial=46237.70833333333. Reconstructed from generator UTC dates; stored as Vietnam local time.</t>
      </text>
    </comment>
    <comment authorId="0" ref="F284">
      <text>
        <t xml:space="preserve">Synthetic timestamp repair: original serial=46186.20833333333. Reconstructed from generator UTC dates; stored as Vietnam local time.</t>
      </text>
    </comment>
    <comment authorId="0" ref="F251">
      <text>
        <t xml:space="preserve">Synthetic timestamp repair: original serial=46135.95833333333. Reconstructed from generator UTC dates; stored as Vietnam local time.</t>
      </text>
    </comment>
    <comment authorId="0" ref="F218">
      <text>
        <t xml:space="preserve">Synthetic timestamp repair: original serial=46085.66666666667. Reconstructed from generator UTC dates; stored as Vietnam local time.</t>
      </text>
    </comment>
    <comment authorId="0" ref="F185">
      <text>
        <t xml:space="preserve">Synthetic timestamp repair: original serial=46032.66666666667. Reconstructed from generator UTC dates; stored as Vietnam local time.</t>
      </text>
    </comment>
    <comment authorId="0" ref="F152">
      <text>
        <t xml:space="preserve">Synthetic timestamp repair: original serial=45981.16666666667. Reconstructed from generator UTC dates; stored as Vietnam local time.</t>
      </text>
    </comment>
    <comment authorId="0" ref="F119">
      <text>
        <t xml:space="preserve">Synthetic timestamp repair: original serial=45930.95833333333. Reconstructed from generator UTC dates; stored as Vietnam local time.</t>
      </text>
    </comment>
    <comment authorId="0" ref="F86">
      <text>
        <t xml:space="preserve">Synthetic timestamp repair: original serial=45880.70833333333. Reconstructed from generator UTC dates; stored as Vietnam local time.</t>
      </text>
    </comment>
    <comment authorId="0" ref="F53">
      <text>
        <t xml:space="preserve">Synthetic timestamp repair: original serial=45827.70833333333. Reconstructed from generator UTC dates; stored as Vietnam local time.</t>
      </text>
    </comment>
    <comment authorId="0" ref="F20">
      <text>
        <t xml:space="preserve">Synthetic timestamp repair: original serial=45776.20833333333. Reconstructed from generator UTC dates; stored as Vietnam local time.</t>
      </text>
    </comment>
    <comment authorId="0" ref="F301">
      <text>
        <t xml:space="preserve">Synthetic timestamp repair: original serial=46217.70833333333. Reconstructed from generator UTC dates; stored as Vietnam local time.</t>
      </text>
    </comment>
    <comment authorId="0" ref="F268">
      <text>
        <t xml:space="preserve">Synthetic timestamp repair: original serial=46166.20833333333. Reconstructed from generator UTC dates; stored as Vietnam local time.</t>
      </text>
    </comment>
    <comment authorId="0" ref="F235">
      <text>
        <t xml:space="preserve">Synthetic timestamp repair: original serial=46115.95833333333. Reconstructed from generator UTC dates; stored as Vietnam local time.</t>
      </text>
    </comment>
    <comment authorId="0" ref="F202">
      <text>
        <t xml:space="preserve">Synthetic timestamp repair: original serial=46065.66666666667. Reconstructed from generator UTC dates; stored as Vietnam local time.</t>
      </text>
    </comment>
    <comment authorId="0" ref="F169">
      <text>
        <t xml:space="preserve">Synthetic timestamp repair: original serial=46012.66666666667. Reconstructed from generator UTC dates; stored as Vietnam local time.</t>
      </text>
    </comment>
    <comment authorId="0" ref="F136">
      <text>
        <t xml:space="preserve">Synthetic timestamp repair: original serial=45961.20833333333. Reconstructed from generator UTC dates; stored as Vietnam local time.</t>
      </text>
    </comment>
    <comment authorId="0" ref="F103">
      <text>
        <t xml:space="preserve">Synthetic timestamp repair: original serial=45910.95833333333. Reconstructed from generator UTC dates; stored as Vietnam local time.</t>
      </text>
    </comment>
    <comment authorId="0" ref="F70">
      <text>
        <t xml:space="preserve">Synthetic timestamp repair: original serial=45860.70833333333. Reconstructed from generator UTC dates; stored as Vietnam local time.</t>
      </text>
    </comment>
    <comment authorId="0" ref="F37">
      <text>
        <t xml:space="preserve">Synthetic timestamp repair: original serial=46304.70833333333. Reconstructed from generator UTC dates; stored as Vietnam local time.</t>
      </text>
    </comment>
    <comment authorId="0" ref="F4">
      <text>
        <t xml:space="preserve">Synthetic timestamp repair: original serial=46308.83914001157. Demo timeline reconstructed around manually entered approval; not an exact execution timestamp.</t>
      </text>
    </comment>
    <comment authorId="0" ref="F318">
      <text>
        <t xml:space="preserve">Synthetic timestamp repair: original serial=46240.70833333333. Reconstructed from generator UTC dates; stored as Vietnam local time.</t>
      </text>
    </comment>
    <comment authorId="0" ref="F285">
      <text>
        <t xml:space="preserve">Synthetic timestamp repair: original serial=46187.70833333333. Reconstructed from generator UTC dates; stored as Vietnam local time.</t>
      </text>
    </comment>
    <comment authorId="0" ref="F252">
      <text>
        <t xml:space="preserve">Synthetic timestamp repair: original serial=46136.20833333333. Reconstructed from generator UTC dates; stored as Vietnam local time.</t>
      </text>
    </comment>
    <comment authorId="0" ref="F219">
      <text>
        <t xml:space="preserve">Synthetic timestamp repair: original serial=46085.91666666667. Reconstructed from generator UTC dates; stored as Vietnam local time.</t>
      </text>
    </comment>
    <comment authorId="0" ref="F186">
      <text>
        <t xml:space="preserve">Synthetic timestamp repair: original serial=46035.66666666667. Reconstructed from generator UTC dates; stored as Vietnam local time.</t>
      </text>
    </comment>
    <comment authorId="0" ref="F153">
      <text>
        <t xml:space="preserve">Synthetic timestamp repair: original serial=45982.66666666667. Reconstructed from generator UTC dates; stored as Vietnam local time.</t>
      </text>
    </comment>
    <comment authorId="0" ref="F120">
      <text>
        <t xml:space="preserve">Synthetic timestamp repair: original serial=45931.20833333333. Reconstructed from generator UTC dates; stored as Vietnam local time.</t>
      </text>
    </comment>
    <comment authorId="0" ref="F87">
      <text>
        <t xml:space="preserve">Synthetic timestamp repair: original serial=45880.95833333333. Reconstructed from generator UTC dates; stored as Vietnam local time.</t>
      </text>
    </comment>
    <comment authorId="0" ref="F54">
      <text>
        <t xml:space="preserve">Synthetic timestamp repair: original serial=45830.70833333333. Reconstructed from generator UTC dates; stored as Vietnam local time.</t>
      </text>
    </comment>
    <comment authorId="0" ref="F21">
      <text>
        <t xml:space="preserve">Synthetic timestamp repair: original serial=45777.70833333333. Reconstructed from generator UTC dates; stored as Vietnam local time.</t>
      </text>
    </comment>
    <comment authorId="0" ref="F302">
      <text>
        <t xml:space="preserve">Synthetic timestamp repair: original serial=46220.70833333333. Reconstructed from generator UTC dates; stored as Vietnam local time.</t>
      </text>
    </comment>
    <comment authorId="0" ref="F269">
      <text>
        <t xml:space="preserve">Synthetic timestamp repair: original serial=46167.70833333333. Reconstructed from generator UTC dates; stored as Vietnam local time.</t>
      </text>
    </comment>
    <comment authorId="0" ref="F236">
      <text>
        <t xml:space="preserve">Synthetic timestamp repair: original serial=46116.20833333333. Reconstructed from generator UTC dates; stored as Vietnam local time.</t>
      </text>
    </comment>
    <comment authorId="0" ref="F203">
      <text>
        <t xml:space="preserve">Synthetic timestamp repair: original serial=46065.91666666667. Reconstructed from generator UTC dates; stored as Vietnam local time.</t>
      </text>
    </comment>
    <comment authorId="0" ref="F170">
      <text>
        <t xml:space="preserve">Synthetic timestamp repair: original serial=46015.66666666667. Reconstructed from generator UTC dates; stored as Vietnam local time.</t>
      </text>
    </comment>
    <comment authorId="0" ref="F137">
      <text>
        <t xml:space="preserve">Synthetic timestamp repair: original serial=45962.70833333333. Reconstructed from generator UTC dates; stored as Vietnam local time.</t>
      </text>
    </comment>
    <comment authorId="0" ref="F104">
      <text>
        <t xml:space="preserve">Synthetic timestamp repair: original serial=45911.20833333333. Reconstructed from generator UTC dates; stored as Vietnam local time.</t>
      </text>
    </comment>
    <comment authorId="0" ref="F71">
      <text>
        <t xml:space="preserve">Synthetic timestamp repair: original serial=45860.95833333333. Reconstructed from generator UTC dates; stored as Vietnam local time.</t>
      </text>
    </comment>
    <comment authorId="0" ref="F38">
      <text>
        <t xml:space="preserve">Synthetic timestamp repair: original serial=45810.70833333333. Reconstructed from generator UTC dates; stored as Vietnam local time.</t>
      </text>
    </comment>
    <comment authorId="0" ref="F5">
      <text>
        <t xml:space="preserve">Synthetic timestamp repair: original serial=46308.83914002315. Demo timeline reconstructed around manually entered approval; not an exact execution timestamp.</t>
      </text>
    </comment>
    <comment authorId="0" ref="F319">
      <text>
        <t xml:space="preserve">Synthetic timestamp repair: original serial=46241.70833333333. Reconstructed from generator UTC dates; stored as Vietnam local time.</t>
      </text>
    </comment>
    <comment authorId="0" ref="F286">
      <text>
        <t xml:space="preserve">Synthetic timestamp repair: original serial=46190.70833333333. Reconstructed from generator UTC dates; stored as Vietnam local time.</t>
      </text>
    </comment>
    <comment authorId="0" ref="F253">
      <text>
        <t xml:space="preserve">Synthetic timestamp repair: original serial=46137.70833333333. Reconstructed from generator UTC dates; stored as Vietnam local time.</t>
      </text>
    </comment>
    <comment authorId="0" ref="F220">
      <text>
        <t xml:space="preserve">Synthetic timestamp repair: original serial=46086.16666666667. Reconstructed from generator UTC dates; stored as Vietnam local time.</t>
      </text>
    </comment>
    <comment authorId="0" ref="F187">
      <text>
        <t xml:space="preserve">Synthetic timestamp repair: original serial=46035.91666666667. Reconstructed from generator UTC dates; stored as Vietnam local time.</t>
      </text>
    </comment>
    <comment authorId="0" ref="F154">
      <text>
        <t xml:space="preserve">Synthetic timestamp repair: original serial=45985.66666666667. Reconstructed from generator UTC dates; stored as Vietnam local time.</t>
      </text>
    </comment>
    <comment authorId="0" ref="F121">
      <text>
        <t xml:space="preserve">Synthetic timestamp repair: original serial=45932.70833333333. Reconstructed from generator UTC dates; stored as Vietnam local time.</t>
      </text>
    </comment>
    <comment authorId="0" ref="F88">
      <text>
        <t xml:space="preserve">Synthetic timestamp repair: original serial=45881.20833333333. Reconstructed from generator UTC dates; stored as Vietnam local time.</t>
      </text>
    </comment>
    <comment authorId="0" ref="F55">
      <text>
        <t xml:space="preserve">Synthetic timestamp repair: original serial=45830.95833333333. Reconstructed from generator UTC dates; stored as Vietnam local time.</t>
      </text>
    </comment>
    <comment authorId="0" ref="F22">
      <text>
        <t xml:space="preserve">Synthetic timestamp repair: original serial=45780.70833333333. Reconstructed from generator UTC dates; stored as Vietnam local time.</t>
      </text>
    </comment>
    <comment authorId="0" ref="F303">
      <text>
        <t xml:space="preserve">Synthetic timestamp repair: original serial=46220.95833333333. Reconstructed from generator UTC dates; stored as Vietnam local time.</t>
      </text>
    </comment>
    <comment authorId="0" ref="F270">
      <text>
        <t xml:space="preserve">Synthetic timestamp repair: original serial=46170.70833333333. Reconstructed from generator UTC dates; stored as Vietnam local time.</t>
      </text>
    </comment>
    <comment authorId="0" ref="F237">
      <text>
        <t xml:space="preserve">Synthetic timestamp repair: original serial=46117.70833333333. Reconstructed from generator UTC dates; stored as Vietnam local time.</t>
      </text>
    </comment>
    <comment authorId="0" ref="F204">
      <text>
        <t xml:space="preserve">Synthetic timestamp repair: original serial=46066.16666666667. Reconstructed from generator UTC dates; stored as Vietnam local time.</t>
      </text>
    </comment>
    <comment authorId="0" ref="F171">
      <text>
        <t xml:space="preserve">Synthetic timestamp repair: original serial=46015.91666666667. Reconstructed from generator UTC dates; stored as Vietnam local time.</t>
      </text>
    </comment>
    <comment authorId="0" ref="F138">
      <text>
        <t xml:space="preserve">Synthetic timestamp repair: original serial=45965.66666666667. Reconstructed from generator UTC dates; stored as Vietnam local time.</t>
      </text>
    </comment>
    <comment authorId="0" ref="F105">
      <text>
        <t xml:space="preserve">Synthetic timestamp repair: original serial=45912.70833333333. Reconstructed from generator UTC dates; stored as Vietnam local time.</t>
      </text>
    </comment>
    <comment authorId="0" ref="F72">
      <text>
        <t xml:space="preserve">Synthetic timestamp repair: original serial=45861.20833333333. Reconstructed from generator UTC dates; stored as Vietnam local time.</t>
      </text>
    </comment>
    <comment authorId="0" ref="F39">
      <text>
        <t xml:space="preserve">Synthetic timestamp repair: original serial=45810.95833333333. Reconstructed from generator UTC dates; stored as Vietnam local time.</t>
      </text>
    </comment>
    <comment authorId="0" ref="F6">
      <text>
        <t xml:space="preserve">Synthetic timestamp repair: original serial=45760.70833333333. Reconstructed from generator UTC dates; stored as Vietnam local time.</t>
      </text>
    </comment>
    <comment authorId="0" ref="F320">
      <text>
        <t xml:space="preserve">Synthetic timestamp repair: original serial=46245.70833333333. Reconstructed from generator UTC dates; stored as Vietnam local time.</t>
      </text>
    </comment>
    <comment authorId="0" ref="F287">
      <text>
        <t xml:space="preserve">Synthetic timestamp repair: original serial=46191.70833333333. Reconstructed from generator UTC dates; stored as Vietnam local time.</t>
      </text>
    </comment>
    <comment authorId="0" ref="F254">
      <text>
        <t xml:space="preserve">Synthetic timestamp repair: original serial=46140.70833333333. Reconstructed from generator UTC dates; stored as Vietnam local time.</t>
      </text>
    </comment>
    <comment authorId="0" ref="F221">
      <text>
        <t xml:space="preserve">Synthetic timestamp repair: original serial=46087.66666666667. Reconstructed from generator UTC dates; stored as Vietnam local time.</t>
      </text>
    </comment>
    <comment authorId="0" ref="F188">
      <text>
        <t xml:space="preserve">Synthetic timestamp repair: original serial=46036.16666666667. Reconstructed from generator UTC dates; stored as Vietnam local time.</t>
      </text>
    </comment>
    <comment authorId="0" ref="F155">
      <text>
        <t xml:space="preserve">Synthetic timestamp repair: original serial=45985.91666666667. Reconstructed from generator UTC dates; stored as Vietnam local time.</t>
      </text>
    </comment>
    <comment authorId="0" ref="F122">
      <text>
        <t xml:space="preserve">Synthetic timestamp repair: original serial=45935.70833333333. Reconstructed from generator UTC dates; stored as Vietnam local time.</t>
      </text>
    </comment>
    <comment authorId="0" ref="F89">
      <text>
        <t xml:space="preserve">Synthetic timestamp repair: original serial=45882.70833333333. Reconstructed from generator UTC dates; stored as Vietnam local time.</t>
      </text>
    </comment>
    <comment authorId="0" ref="F56">
      <text>
        <t xml:space="preserve">Synthetic timestamp repair: original serial=45831.20833333333. Reconstructed from generator UTC dates; stored as Vietnam local time.</t>
      </text>
    </comment>
    <comment authorId="0" ref="F23">
      <text>
        <t xml:space="preserve">Synthetic timestamp repair: original serial=45780.95833333333. Reconstructed from generator UTC dates; stored as Vietnam local time.</t>
      </text>
    </comment>
    <comment authorId="0" ref="F304">
      <text>
        <t xml:space="preserve">Synthetic timestamp repair: original serial=46221.20833333333. Reconstructed from generator UTC dates; stored as Vietnam local time.</t>
      </text>
    </comment>
    <comment authorId="0" ref="F271">
      <text>
        <t xml:space="preserve">Synthetic timestamp repair: original serial=46170.95833333333. Reconstructed from generator UTC dates; stored as Vietnam local time.</t>
      </text>
    </comment>
    <comment authorId="0" ref="F238">
      <text>
        <t xml:space="preserve">Synthetic timestamp repair: original serial=46120.70833333333. Reconstructed from generator UTC dates; stored as Vietnam local time.</t>
      </text>
    </comment>
    <comment authorId="0" ref="F205">
      <text>
        <t xml:space="preserve">Synthetic timestamp repair: original serial=46067.66666666667. Reconstructed from generator UTC dates; stored as Vietnam local time.</t>
      </text>
    </comment>
    <comment authorId="0" ref="F172">
      <text>
        <t xml:space="preserve">Synthetic timestamp repair: original serial=46016.16666666667. Reconstructed from generator UTC dates; stored as Vietnam local time.</t>
      </text>
    </comment>
    <comment authorId="0" ref="F139">
      <text>
        <t xml:space="preserve">Synthetic timestamp repair: original serial=45965.91666666667. Reconstructed from generator UTC dates; stored as Vietnam local time.</t>
      </text>
    </comment>
    <comment authorId="0" ref="F106">
      <text>
        <t xml:space="preserve">Synthetic timestamp repair: original serial=45915.70833333333. Reconstructed from generator UTC dates; stored as Vietnam local time.</t>
      </text>
    </comment>
    <comment authorId="0" ref="F73">
      <text>
        <t xml:space="preserve">Synthetic timestamp repair: original serial=45862.70833333333. Reconstructed from generator UTC dates; stored as Vietnam local time.</t>
      </text>
    </comment>
    <comment authorId="0" ref="F40">
      <text>
        <t xml:space="preserve">Synthetic timestamp repair: original serial=45811.20833333333. Reconstructed from generator UTC dates; stored as Vietnam local time.</t>
      </text>
    </comment>
    <comment authorId="0" ref="F7">
      <text>
        <t xml:space="preserve">Synthetic timestamp repair: original serial=45760.95833333333. Reconstructed from generator UTC dates; stored as Vietnam local time.</t>
      </text>
    </comment>
    <comment authorId="0" ref="F321">
      <text>
        <t xml:space="preserve">Synthetic timestamp repair: original serial=46246.70833333333. Reconstructed from generator UTC dates; stored as Vietnam local time.</t>
      </text>
    </comment>
    <comment authorId="0" ref="F288">
      <text>
        <t xml:space="preserve">Synthetic timestamp repair: original serial=46195.70833333333. Reconstructed from generator UTC dates; stored as Vietnam local time.</t>
      </text>
    </comment>
    <comment authorId="0" ref="F255">
      <text>
        <t xml:space="preserve">Synthetic timestamp repair: original serial=46141.70833333333. Reconstructed from generator UTC dates; stored as Vietnam local time.</t>
      </text>
    </comment>
    <comment authorId="0" ref="F222">
      <text>
        <t xml:space="preserve">Synthetic timestamp repair: original serial=46090.70833333333. Reconstructed from generator UTC dates; stored as Vietnam local time.</t>
      </text>
    </comment>
    <comment authorId="0" ref="F189">
      <text>
        <t xml:space="preserve">Synthetic timestamp repair: original serial=46037.66666666667. Reconstructed from generator UTC dates; stored as Vietnam local time.</t>
      </text>
    </comment>
    <comment authorId="0" ref="F156">
      <text>
        <t xml:space="preserve">Synthetic timestamp repair: original serial=45986.16666666667. Reconstructed from generator UTC dates; stored as Vietnam local time.</t>
      </text>
    </comment>
    <comment authorId="0" ref="F123">
      <text>
        <t xml:space="preserve">Synthetic timestamp repair: original serial=45935.95833333333. Reconstructed from generator UTC dates; stored as Vietnam local time.</t>
      </text>
    </comment>
    <comment authorId="0" ref="F90">
      <text>
        <t xml:space="preserve">Synthetic timestamp repair: original serial=45885.70833333333. Reconstructed from generator UTC dates; stored as Vietnam local time.</t>
      </text>
    </comment>
    <comment authorId="0" ref="F57">
      <text>
        <t xml:space="preserve">Synthetic timestamp repair: original serial=45832.70833333333. Reconstructed from generator UTC dates; stored as Vietnam local time.</t>
      </text>
    </comment>
    <comment authorId="0" ref="F24">
      <text>
        <t xml:space="preserve">Synthetic timestamp repair: original serial=45781.20833333333. Reconstructed from generator UTC dates; stored as Vietnam local time.</t>
      </text>
    </comment>
    <comment authorId="0" ref="F305">
      <text>
        <t xml:space="preserve">Synthetic timestamp repair: original serial=46222.70833333333. Reconstructed from generator UTC dates; stored as Vietnam local time.</t>
      </text>
    </comment>
    <comment authorId="0" ref="F272">
      <text>
        <t xml:space="preserve">Synthetic timestamp repair: original serial=46171.20833333333. Reconstructed from generator UTC dates; stored as Vietnam local time.</t>
      </text>
    </comment>
    <comment authorId="0" ref="F239">
      <text>
        <t xml:space="preserve">Synthetic timestamp repair: original serial=46120.95833333333. Reconstructed from generator UTC dates; stored as Vietnam local time.</t>
      </text>
    </comment>
    <comment authorId="0" ref="F206">
      <text>
        <t xml:space="preserve">Synthetic timestamp repair: original serial=46070.66666666667. Reconstructed from generator UTC dates; stored as Vietnam local time.</t>
      </text>
    </comment>
    <comment authorId="0" ref="F173">
      <text>
        <t xml:space="preserve">Synthetic timestamp repair: original serial=46017.66666666667. Reconstructed from generator UTC dates; stored as Vietnam local time.</t>
      </text>
    </comment>
    <comment authorId="0" ref="F140">
      <text>
        <t xml:space="preserve">Synthetic timestamp repair: original serial=45966.16666666667. Reconstructed from generator UTC dates; stored as Vietnam local time.</t>
      </text>
    </comment>
    <comment authorId="0" ref="F107">
      <text>
        <t xml:space="preserve">Synthetic timestamp repair: original serial=45915.95833333333. Reconstructed from generator UTC dates; stored as Vietnam local time.</t>
      </text>
    </comment>
    <comment authorId="0" ref="F74">
      <text>
        <t xml:space="preserve">Synthetic timestamp repair: original serial=45865.70833333333. Reconstructed from generator UTC dates; stored as Vietnam local time.</t>
      </text>
    </comment>
    <comment authorId="0" ref="F41">
      <text>
        <t xml:space="preserve">Synthetic timestamp repair: original serial=45812.70833333333. Reconstructed from generator UTC dates; stored as Vietnam local time.</t>
      </text>
    </comment>
    <comment authorId="0" ref="F8">
      <text>
        <t xml:space="preserve">Synthetic timestamp repair: original serial=45761.20833333333. Reconstructed from generator UTC dates; stored as Vietnam local time.</t>
      </text>
    </comment>
    <comment authorId="0" ref="F322">
      <text>
        <t xml:space="preserve">Synthetic timestamp repair: original serial=46306.70833333333. Reconstructed from generator UTC dates; stored as Vietnam local time.</t>
      </text>
    </comment>
    <comment authorId="0" ref="F289">
      <text>
        <t xml:space="preserve">Synthetic timestamp repair: original serial=46196.70833333333. Reconstructed from generator UTC dates; stored as Vietnam local time.</t>
      </text>
    </comment>
    <comment authorId="0" ref="F256">
      <text>
        <t xml:space="preserve">Synthetic timestamp repair: original serial=46145.70833333333. Reconstructed from generator UTC dates; stored as Vietnam local time.</t>
      </text>
    </comment>
    <comment authorId="0" ref="F223">
      <text>
        <t xml:space="preserve">Synthetic timestamp repair: original serial=46091.70833333333. Reconstructed from generator UTC dates; stored as Vietnam local time.</t>
      </text>
    </comment>
    <comment authorId="0" ref="F190">
      <text>
        <t xml:space="preserve">Synthetic timestamp repair: original serial=46040.66666666667. Reconstructed from generator UTC dates; stored as Vietnam local time.</t>
      </text>
    </comment>
    <comment authorId="0" ref="F157">
      <text>
        <t xml:space="preserve">Synthetic timestamp repair: original serial=45987.66666666667. Reconstructed from generator UTC dates; stored as Vietnam local time.</t>
      </text>
    </comment>
    <comment authorId="0" ref="F124">
      <text>
        <t xml:space="preserve">Synthetic timestamp repair: original serial=45936.20833333333. Reconstructed from generator UTC dates; stored as Vietnam local time.</t>
      </text>
    </comment>
    <comment authorId="0" ref="F91">
      <text>
        <t xml:space="preserve">Synthetic timestamp repair: original serial=45885.95833333333. Reconstructed from generator UTC dates; stored as Vietnam local time.</t>
      </text>
    </comment>
    <comment authorId="0" ref="F58">
      <text>
        <t xml:space="preserve">Synthetic timestamp repair: original serial=45835.70833333333. Reconstructed from generator UTC dates; stored as Vietnam local time.</t>
      </text>
    </comment>
    <comment authorId="0" ref="F25">
      <text>
        <t xml:space="preserve">Synthetic timestamp repair: original serial=45782.70833333333. Reconstructed from generator UTC dates; stored as Vietnam local time.</t>
      </text>
    </comment>
    <comment authorId="0" ref="F306">
      <text>
        <t xml:space="preserve">Synthetic timestamp repair: original serial=46225.70833333333. Reconstructed from generator UTC dates; stored as Vietnam local time.</t>
      </text>
    </comment>
    <comment authorId="0" ref="F273">
      <text>
        <t xml:space="preserve">Synthetic timestamp repair: original serial=46172.70833333333. Reconstructed from generator UTC dates; stored as Vietnam local time.</t>
      </text>
    </comment>
    <comment authorId="0" ref="F240">
      <text>
        <t xml:space="preserve">Synthetic timestamp repair: original serial=46121.20833333333. Reconstructed from generator UTC dates; stored as Vietnam local time.</t>
      </text>
    </comment>
    <comment authorId="0" ref="F207">
      <text>
        <t xml:space="preserve">Synthetic timestamp repair: original serial=46070.91666666667. Reconstructed from generator UTC dates; stored as Vietnam local time.</t>
      </text>
    </comment>
    <comment authorId="0" ref="F174">
      <text>
        <t xml:space="preserve">Synthetic timestamp repair: original serial=46020.66666666667. Reconstructed from generator UTC dates; stored as Vietnam local time.</t>
      </text>
    </comment>
    <comment authorId="0" ref="F141">
      <text>
        <t xml:space="preserve">Synthetic timestamp repair: original serial=45967.66666666667. Reconstructed from generator UTC dates; stored as Vietnam local time.</t>
      </text>
    </comment>
    <comment authorId="0" ref="F108">
      <text>
        <t xml:space="preserve">Synthetic timestamp repair: original serial=45916.20833333333. Reconstructed from generator UTC dates; stored as Vietnam local time.</t>
      </text>
    </comment>
    <comment authorId="0" ref="F75">
      <text>
        <t xml:space="preserve">Synthetic timestamp repair: original serial=45865.95833333333. Reconstructed from generator UTC dates; stored as Vietnam local time.</t>
      </text>
    </comment>
    <comment authorId="0" ref="F42">
      <text>
        <t xml:space="preserve">Synthetic timestamp repair: original serial=45815.70833333333. Reconstructed from generator UTC dates; stored as Vietnam local time.</t>
      </text>
    </comment>
    <comment authorId="0" ref="F9">
      <text>
        <t xml:space="preserve">Synthetic timestamp repair: original serial=45762.70833333333. Reconstructed from generator UTC dates; stored as Vietnam local time.</t>
      </text>
    </comment>
    <comment authorId="0" ref="F323">
      <text>
        <t xml:space="preserve">Synthetic timestamp repair: original serial=46306.95833333333. Reconstructed from generator UTC dates; stored as Vietnam local time.</t>
      </text>
    </comment>
    <comment authorId="0" ref="F290">
      <text>
        <t xml:space="preserve">Synthetic timestamp repair: original serial=46302.70833333333. Reconstructed from generator UTC dates; stored as Vietnam local time.</t>
      </text>
    </comment>
    <comment authorId="0" ref="F257">
      <text>
        <t xml:space="preserve">Synthetic timestamp repair: original serial=46146.70833333333. Reconstructed from generator UTC dates; stored as Vietnam local time.</t>
      </text>
    </comment>
    <comment authorId="0" ref="F224">
      <text>
        <t xml:space="preserve">Synthetic timestamp repair: original serial=46095.70833333333. Reconstructed from generator UTC dates; stored as Vietnam local time.</t>
      </text>
    </comment>
    <comment authorId="0" ref="F191">
      <text>
        <t xml:space="preserve">Synthetic timestamp repair: original serial=46041.66666666667. Reconstructed from generator UTC dates; stored as Vietnam local time.</t>
      </text>
    </comment>
    <comment authorId="0" ref="F158">
      <text>
        <t xml:space="preserve">Synthetic timestamp repair: original serial=45990.66666666667. Reconstructed from generator UTC dates; stored as Vietnam local time.</t>
      </text>
    </comment>
    <comment authorId="0" ref="F125">
      <text>
        <t xml:space="preserve">Synthetic timestamp repair: original serial=45937.70833333333. Reconstructed from generator UTC dates; stored as Vietnam local time.</t>
      </text>
    </comment>
    <comment authorId="0" ref="F92">
      <text>
        <t xml:space="preserve">Synthetic timestamp repair: original serial=45886.20833333333. Reconstructed from generator UTC dates; stored as Vietnam local time.</t>
      </text>
    </comment>
    <comment authorId="0" ref="F59">
      <text>
        <t xml:space="preserve">Synthetic timestamp repair: original serial=45835.95833333333. Reconstructed from generator UTC dates; stored as Vietnam local time.</t>
      </text>
    </comment>
    <comment authorId="0" ref="F26">
      <text>
        <t xml:space="preserve">Synthetic timestamp repair: original serial=45785.70833333333. Reconstructed from generator UTC dates; stored as Vietnam local time.</t>
      </text>
    </comment>
    <comment authorId="0" ref="F307">
      <text>
        <t xml:space="preserve">Synthetic timestamp repair: original serial=46225.95833333333. Reconstructed from generator UTC dates; stored as Vietnam local time.</t>
      </text>
    </comment>
    <comment authorId="0" ref="F274">
      <text>
        <t xml:space="preserve">Synthetic timestamp repair: original serial=46175.70833333333. Reconstructed from generator UTC dates; stored as Vietnam local time.</t>
      </text>
    </comment>
    <comment authorId="0" ref="F241">
      <text>
        <t xml:space="preserve">Synthetic timestamp repair: original serial=46122.70833333333. Reconstructed from generator UTC dates; stored as Vietnam local time.</t>
      </text>
    </comment>
    <comment authorId="0" ref="F208">
      <text>
        <t xml:space="preserve">Synthetic timestamp repair: original serial=46071.16666666667. Reconstructed from generator UTC dates; stored as Vietnam local time.</t>
      </text>
    </comment>
    <comment authorId="0" ref="F175">
      <text>
        <t xml:space="preserve">Synthetic timestamp repair: original serial=46020.91666666667. Reconstructed from generator UTC dates; stored as Vietnam local time.</t>
      </text>
    </comment>
    <comment authorId="0" ref="F142">
      <text>
        <t xml:space="preserve">Synthetic timestamp repair: original serial=45970.66666666667. Reconstructed from generator UTC dates; stored as Vietnam local time.</t>
      </text>
    </comment>
    <comment authorId="0" ref="F109">
      <text>
        <t xml:space="preserve">Synthetic timestamp repair: original serial=45917.70833333333. Reconstructed from generator UTC dates; stored as Vietnam local time.</t>
      </text>
    </comment>
    <comment authorId="0" ref="F76">
      <text>
        <t xml:space="preserve">Synthetic timestamp repair: original serial=45866.20833333333. Reconstructed from generator UTC dates; stored as Vietnam local time.</t>
      </text>
    </comment>
    <comment authorId="0" ref="F43">
      <text>
        <t xml:space="preserve">Synthetic timestamp repair: original serial=45815.95833333333. Reconstructed from generator UTC dates; stored as Vietnam local time.</t>
      </text>
    </comment>
    <comment authorId="0" ref="F10">
      <text>
        <t xml:space="preserve">Synthetic timestamp repair: original serial=45765.70833333333. Reconstructed from generator UTC dates; stored as Vietnam local time.</t>
      </text>
    </comment>
    <comment authorId="0" ref="F324">
      <text>
        <t xml:space="preserve">Synthetic timestamp repair: original serial=46307.20833333333. Reconstructed from generator UTC dates; stored as Vietnam local time.</t>
      </text>
    </comment>
    <comment authorId="0" ref="F291">
      <text>
        <t xml:space="preserve">Synthetic timestamp repair: original serial=46302.95833333333. Reconstructed from generator UTC dates; stored as Vietnam local time.</t>
      </text>
    </comment>
    <comment authorId="0" ref="F258">
      <text>
        <t xml:space="preserve">Synthetic timestamp repair: original serial=46305.70833333333. Reconstructed from generator UTC dates; stored as Vietnam local time.</t>
      </text>
    </comment>
    <comment authorId="0" ref="F225">
      <text>
        <t xml:space="preserve">Synthetic timestamp repair: original serial=46096.70833333333. Reconstructed from generator UTC dates; stored as Vietnam local time.</t>
      </text>
    </comment>
    <comment authorId="0" ref="F192">
      <text>
        <t xml:space="preserve">Synthetic timestamp repair: original serial=46045.66666666667. Reconstructed from generator UTC dates; stored as Vietnam local time.</t>
      </text>
    </comment>
    <comment authorId="0" ref="F159">
      <text>
        <t xml:space="preserve">Synthetic timestamp repair: original serial=45991.66666666667. Reconstructed from generator UTC dates; stored as Vietnam local time.</t>
      </text>
    </comment>
    <comment authorId="0" ref="F126">
      <text>
        <t xml:space="preserve">Synthetic timestamp repair: original serial=45940.70833333333. Reconstructed from generator UTC dates; stored as Vietnam local time.</t>
      </text>
    </comment>
    <comment authorId="0" ref="F93">
      <text>
        <t xml:space="preserve">Synthetic timestamp repair: original serial=45887.70833333333. Reconstructed from generator UTC dates; stored as Vietnam local time.</t>
      </text>
    </comment>
    <comment authorId="0" ref="F60">
      <text>
        <t xml:space="preserve">Synthetic timestamp repair: original serial=45836.20833333333. Reconstructed from generator UTC dates; stored as Vietnam local time.</t>
      </text>
    </comment>
    <comment authorId="0" ref="F27">
      <text>
        <t xml:space="preserve">Synthetic timestamp repair: original serial=45785.95833333333. Reconstructed from generator UTC dates; stored as Vietnam local time.</t>
      </text>
    </comment>
    <comment authorId="0" ref="F308">
      <text>
        <t xml:space="preserve">Synthetic timestamp repair: original serial=46226.20833333333. Reconstructed from generator UTC dates; stored as Vietnam local time.</t>
      </text>
    </comment>
    <comment authorId="0" ref="F275">
      <text>
        <t xml:space="preserve">Synthetic timestamp repair: original serial=46175.95833333333. Reconstructed from generator UTC dates; stored as Vietnam local time.</t>
      </text>
    </comment>
    <comment authorId="0" ref="F242">
      <text>
        <t xml:space="preserve">Synthetic timestamp repair: original serial=46125.70833333333. Reconstructed from generator UTC dates; stored as Vietnam local time.</t>
      </text>
    </comment>
    <comment authorId="0" ref="F209">
      <text>
        <t xml:space="preserve">Synthetic timestamp repair: original serial=46072.66666666667. Reconstructed from generator UTC dates; stored as Vietnam local time.</t>
      </text>
    </comment>
    <comment authorId="0" ref="F176">
      <text>
        <t xml:space="preserve">Synthetic timestamp repair: original serial=46021.16666666667. Reconstructed from generator UTC dates; stored as Vietnam local time.</t>
      </text>
    </comment>
    <comment authorId="0" ref="F143">
      <text>
        <t xml:space="preserve">Synthetic timestamp repair: original serial=45970.91666666667. Reconstructed from generator UTC dates; stored as Vietnam local time.</t>
      </text>
    </comment>
    <comment authorId="0" ref="F110">
      <text>
        <t xml:space="preserve">Synthetic timestamp repair: original serial=45920.70833333333. Reconstructed from generator UTC dates; stored as Vietnam local time.</t>
      </text>
    </comment>
    <comment authorId="0" ref="F77">
      <text>
        <t xml:space="preserve">Synthetic timestamp repair: original serial=45867.70833333333. Reconstructed from generator UTC dates; stored as Vietnam local time.</t>
      </text>
    </comment>
    <comment authorId="0" ref="F44">
      <text>
        <t xml:space="preserve">Synthetic timestamp repair: original serial=45816.20833333333. Reconstructed from generator UTC dates; stored as Vietnam local time.</t>
      </text>
    </comment>
    <comment authorId="0" ref="F11">
      <text>
        <t xml:space="preserve">Synthetic timestamp repair: original serial=45765.95833333333. Reconstructed from generator UTC dates; stored as Vietnam local time.</t>
      </text>
    </comment>
    <comment authorId="0" ref="F325">
      <text>
        <t xml:space="preserve">Synthetic timestamp repair: original serial=46305.70833333333. Reconstructed from generator UTC dates; stored as Vietnam local time.</t>
      </text>
    </comment>
    <comment authorId="0" ref="F292">
      <text>
        <t xml:space="preserve">Synthetic timestamp repair: original serial=46303.20833333333. Reconstructed from generator UTC dates; stored as Vietnam local time.</t>
      </text>
    </comment>
    <comment authorId="0" ref="F259">
      <text>
        <t xml:space="preserve">Synthetic timestamp repair: original serial=46305.95833333333. Reconstructed from generator UTC dates; stored as Vietnam local time.</t>
      </text>
    </comment>
    <comment authorId="0" ref="F226">
      <text>
        <t xml:space="preserve">Synthetic timestamp repair: original serial=46301.70833333333. Reconstructed from generator UTC dates; stored as Vietnam local time.</t>
      </text>
    </comment>
    <comment authorId="0" ref="F193">
      <text>
        <t xml:space="preserve">Synthetic timestamp repair: original serial=46046.66666666667. Reconstructed from generator UTC dates; stored as Vietnam local time.</t>
      </text>
    </comment>
    <comment authorId="0" ref="F160">
      <text>
        <t xml:space="preserve">Synthetic timestamp repair: original serial=45995.66666666667. Reconstructed from generator UTC dates; stored as Vietnam local time.</t>
      </text>
    </comment>
    <comment authorId="0" ref="F127">
      <text>
        <t xml:space="preserve">Synthetic timestamp repair: original serial=45941.70833333333. Reconstructed from generator UTC dates; stored as Vietnam local time.</t>
      </text>
    </comment>
    <comment authorId="0" ref="F94">
      <text>
        <t xml:space="preserve">Synthetic timestamp repair: original serial=45890.70833333333. Reconstructed from generator UTC dates; stored as Vietnam local time.</t>
      </text>
    </comment>
    <comment authorId="0" ref="F61">
      <text>
        <t xml:space="preserve">Synthetic timestamp repair: original serial=45837.70833333333. Reconstructed from generator UTC dates; stored as Vietnam local time.</t>
      </text>
    </comment>
    <comment authorId="0" ref="F28">
      <text>
        <t xml:space="preserve">Synthetic timestamp repair: original serial=45786.20833333333. Reconstructed from generator UTC dates; stored as Vietnam local time.</t>
      </text>
    </comment>
    <comment authorId="0" ref="F309">
      <text>
        <t xml:space="preserve">Synthetic timestamp repair: original serial=46227.70833333333. Reconstructed from generator UTC dates; stored as Vietnam local time.</t>
      </text>
    </comment>
    <comment authorId="0" ref="F276">
      <text>
        <t xml:space="preserve">Synthetic timestamp repair: original serial=46176.20833333333. Reconstructed from generator UTC dates; stored as Vietnam local time.</t>
      </text>
    </comment>
    <comment authorId="0" ref="F243">
      <text>
        <t xml:space="preserve">Synthetic timestamp repair: original serial=46125.95833333333. Reconstructed from generator UTC dates; stored as Vietnam local time.</t>
      </text>
    </comment>
    <comment authorId="0" ref="F210">
      <text>
        <t xml:space="preserve">Synthetic timestamp repair: original serial=46075.66666666667. Reconstructed from generator UTC dates; stored as Vietnam local time.</t>
      </text>
    </comment>
    <comment authorId="0" ref="F177">
      <text>
        <t xml:space="preserve">Synthetic timestamp repair: original serial=46022.66666666667. Reconstructed from generator UTC dates; stored as Vietnam local time.</t>
      </text>
    </comment>
    <comment authorId="0" ref="F144">
      <text>
        <t xml:space="preserve">Synthetic timestamp repair: original serial=45971.16666666667. Reconstructed from generator UTC dates; stored as Vietnam local time.</t>
      </text>
    </comment>
    <comment authorId="0" ref="F111">
      <text>
        <t xml:space="preserve">Synthetic timestamp repair: original serial=45920.95833333333. Reconstructed from generator UTC dates; stored as Vietnam local time.</t>
      </text>
    </comment>
    <comment authorId="0" ref="F78">
      <text>
        <t xml:space="preserve">Synthetic timestamp repair: original serial=45870.70833333333. Reconstructed from generator UTC dates; stored as Vietnam local time.</t>
      </text>
    </comment>
    <comment authorId="0" ref="F45">
      <text>
        <t xml:space="preserve">Synthetic timestamp repair: original serial=45817.70833333333. Reconstructed from generator UTC dates; stored as Vietnam local time.</t>
      </text>
    </comment>
    <comment authorId="0" ref="F12">
      <text>
        <t xml:space="preserve">Synthetic timestamp repair: original serial=45766.20833333333. Reconstructed from generator UTC dates; stored as Vietnam local time.</t>
      </text>
    </comment>
    <comment authorId="0" ref="F293">
      <text>
        <t xml:space="preserve">Synthetic timestamp repair: original serial=46301.70833333333. Reconstructed from generator UTC dates; stored as Vietnam local time.</t>
      </text>
    </comment>
    <comment authorId="0" ref="F260">
      <text>
        <t xml:space="preserve">Synthetic timestamp repair: original serial=46306.20833333333. Reconstructed from generator UTC dates; stored as Vietnam local time.</t>
      </text>
    </comment>
    <comment authorId="0" ref="F227">
      <text>
        <t xml:space="preserve">Synthetic timestamp repair: original serial=46301.95833333333. Reconstructed from generator UTC dates; stored as Vietnam local time.</t>
      </text>
    </comment>
    <comment authorId="0" ref="F194">
      <text>
        <t xml:space="preserve">Synthetic timestamp repair: original serial=46304.70833333333. Reconstructed from generator UTC dates; stored as Vietnam local time.</t>
      </text>
    </comment>
    <comment authorId="0" ref="F161">
      <text>
        <t xml:space="preserve">Synthetic timestamp repair: original serial=45996.66666666667. Reconstructed from generator UTC dates; stored as Vietnam local time.</t>
      </text>
    </comment>
    <comment authorId="0" ref="F128">
      <text>
        <t xml:space="preserve">Synthetic timestamp repair: original serial=45945.70833333333. Reconstructed from generator UTC dates; stored as Vietnam local time.</t>
      </text>
    </comment>
    <comment authorId="0" ref="F95">
      <text>
        <t xml:space="preserve">Synthetic timestamp repair: original serial=45891.70833333333. Reconstructed from generator UTC dates; stored as Vietnam local time.</t>
      </text>
    </comment>
    <comment authorId="0" ref="F62">
      <text>
        <t xml:space="preserve">Synthetic timestamp repair: original serial=45840.70833333333. Reconstructed from generator UTC dates; stored as Vietnam local time.</t>
      </text>
    </comment>
    <comment authorId="0" ref="F29">
      <text>
        <t xml:space="preserve">Synthetic timestamp repair: original serial=45787.70833333333. Reconstructed from generator UTC dates; stored as Vietnam local time.</t>
      </text>
    </comment>
    <comment authorId="0" ref="F310">
      <text>
        <t xml:space="preserve">Synthetic timestamp repair: original serial=46230.70833333333. Reconstructed from generator UTC dates; stored as Vietnam local time.</t>
      </text>
    </comment>
    <comment authorId="0" ref="F277">
      <text>
        <t xml:space="preserve">Synthetic timestamp repair: original serial=46177.70833333333. Reconstructed from generator UTC dates; stored as Vietnam local time.</t>
      </text>
    </comment>
    <comment authorId="0" ref="F244">
      <text>
        <t xml:space="preserve">Synthetic timestamp repair: original serial=46126.20833333333. Reconstructed from generator UTC dates; stored as Vietnam local time.</t>
      </text>
    </comment>
    <comment authorId="0" ref="F211">
      <text>
        <t xml:space="preserve">Synthetic timestamp repair: original serial=46075.91666666667. Reconstructed from generator UTC dates; stored as Vietnam local time.</t>
      </text>
    </comment>
    <comment authorId="0" ref="F178">
      <text>
        <t xml:space="preserve">Synthetic timestamp repair: original serial=46025.66666666667. Reconstructed from generator UTC dates; stored as Vietnam local time.</t>
      </text>
    </comment>
    <comment authorId="0" ref="F145">
      <text>
        <t xml:space="preserve">Synthetic timestamp repair: original serial=45972.66666666667. Reconstructed from generator UTC dates; stored as Vietnam local time.</t>
      </text>
    </comment>
    <comment authorId="0" ref="F112">
      <text>
        <t xml:space="preserve">Synthetic timestamp repair: original serial=45921.20833333333. Reconstructed from generator UTC dates; stored as Vietnam local time.</t>
      </text>
    </comment>
    <comment authorId="0" ref="F79">
      <text>
        <t xml:space="preserve">Synthetic timestamp repair: original serial=45870.95833333333. Reconstructed from generator UTC dates; stored as Vietnam local time.</t>
      </text>
    </comment>
    <comment authorId="0" ref="F46">
      <text>
        <t xml:space="preserve">Synthetic timestamp repair: original serial=45820.70833333333. Reconstructed from generator UTC dates; stored as Vietnam local time.</t>
      </text>
    </comment>
    <comment authorId="0" ref="F13">
      <text>
        <t xml:space="preserve">Synthetic timestamp repair: original serial=45767.70833333333. Reconstructed from generator UTC dates; stored as Vietnam local time.</t>
      </text>
    </comment>
    <comment authorId="0" ref="F294">
      <text>
        <t xml:space="preserve">Synthetic timestamp repair: original serial=46210.70833333333. Reconstructed from generator UTC dates; stored as Vietnam local time.</t>
      </text>
    </comment>
    <comment authorId="0" ref="F261">
      <text>
        <t xml:space="preserve">Synthetic timestamp repair: original serial=46304.70833333333. Reconstructed from generator UTC dates; stored as Vietnam local time.</t>
      </text>
    </comment>
    <comment authorId="0" ref="F228">
      <text>
        <t xml:space="preserve">Synthetic timestamp repair: original serial=46302.20833333333. Reconstructed from generator UTC dates; stored as Vietnam local time.</t>
      </text>
    </comment>
    <comment authorId="0" ref="F195">
      <text>
        <t xml:space="preserve">Synthetic timestamp repair: original serial=46304.95833333333. Reconstructed from generator UTC dates; stored as Vietnam local time.</t>
      </text>
    </comment>
    <comment authorId="0" ref="F162">
      <text>
        <t xml:space="preserve">Synthetic timestamp repair: original serial=46307.70833333333. Reconstructed from generator UTC dates; stored as Vietnam local time.</t>
      </text>
    </comment>
    <comment authorId="0" ref="F129">
      <text>
        <t xml:space="preserve">Synthetic timestamp repair: original serial=45946.70833333333. Reconstructed from generator UTC dates; stored as Vietnam local time.</t>
      </text>
    </comment>
    <comment authorId="0" ref="F96">
      <text>
        <t xml:space="preserve">Synthetic timestamp repair: original serial=45895.70833333333. Reconstructed from generator UTC dates; stored as Vietnam local time.</t>
      </text>
    </comment>
    <comment authorId="0" ref="F63">
      <text>
        <t xml:space="preserve">Synthetic timestamp repair: original serial=45841.70833333333. Reconstructed from generator UTC dates; stored as Vietnam local time.</t>
      </text>
    </comment>
    <comment authorId="0" ref="F30">
      <text>
        <t xml:space="preserve">Synthetic timestamp repair: original serial=45790.70833333333. Reconstructed from generator UTC dates; stored as Vietnam local time.</t>
      </text>
    </comment>
    <comment authorId="0" ref="F311">
      <text>
        <t xml:space="preserve">Synthetic timestamp repair: original serial=46230.95833333333. Reconstructed from generator UTC dates; stored as Vietnam local time.</t>
      </text>
    </comment>
    <comment authorId="0" ref="F278">
      <text>
        <t xml:space="preserve">Synthetic timestamp repair: original serial=46180.70833333333. Reconstructed from generator UTC dates; stored as Vietnam local time.</t>
      </text>
    </comment>
    <comment authorId="0" ref="F245">
      <text>
        <t xml:space="preserve">Synthetic timestamp repair: original serial=46127.70833333333. Reconstructed from generator UTC dates; stored as Vietnam local time.</t>
      </text>
    </comment>
    <comment authorId="0" ref="F212">
      <text>
        <t xml:space="preserve">Synthetic timestamp repair: original serial=46076.16666666667. Reconstructed from generator UTC dates; stored as Vietnam local time.</t>
      </text>
    </comment>
    <comment authorId="0" ref="F179">
      <text>
        <t xml:space="preserve">Synthetic timestamp repair: original serial=46025.91666666667. Reconstructed from generator UTC dates; stored as Vietnam local time.</t>
      </text>
    </comment>
    <comment authorId="0" ref="F146">
      <text>
        <t xml:space="preserve">Synthetic timestamp repair: original serial=45975.66666666667. Reconstructed from generator UTC dates; stored as Vietnam local time.</t>
      </text>
    </comment>
    <comment authorId="0" ref="F113">
      <text>
        <t xml:space="preserve">Synthetic timestamp repair: original serial=45922.70833333333. Reconstructed from generator UTC dates; stored as Vietnam local time.</t>
      </text>
    </comment>
    <comment authorId="0" ref="F80">
      <text>
        <t xml:space="preserve">Synthetic timestamp repair: original serial=45871.20833333333. Reconstructed from generator UTC dates; stored as Vietnam local time.</t>
      </text>
    </comment>
    <comment authorId="0" ref="F47">
      <text>
        <t xml:space="preserve">Synthetic timestamp repair: original serial=45820.95833333333. Reconstructed from generator UTC dates; stored as Vietnam local time.</t>
      </text>
    </comment>
    <comment authorId="0" ref="F14">
      <text>
        <t xml:space="preserve">Synthetic timestamp repair: original serial=45770.70833333333. Reconstructed from generator UTC dates; stored as Vietnam local time.</t>
      </text>
    </comment>
    <comment authorId="0" ref="F295">
      <text>
        <t xml:space="preserve">Synthetic timestamp repair: original serial=46210.95833333333. Reconstructed from generator UTC dates; stored as Vietnam local time.</t>
      </text>
    </comment>
    <comment authorId="0" ref="F262">
      <text>
        <t xml:space="preserve">Synthetic timestamp repair: original serial=46160.70833333333. Reconstructed from generator UTC dates; stored as Vietnam local time.</t>
      </text>
    </comment>
    <comment authorId="0" ref="F229">
      <text>
        <t xml:space="preserve">Synthetic timestamp repair: original serial=46307.70833333333. Reconstructed from generator UTC dates; stored as Vietnam local time.</t>
      </text>
    </comment>
    <comment authorId="0" ref="F196">
      <text>
        <t xml:space="preserve">Synthetic timestamp repair: original serial=46305.20833333333. Reconstructed from generator UTC dates; stored as Vietnam local time.</t>
      </text>
    </comment>
    <comment authorId="0" ref="F163">
      <text>
        <t xml:space="preserve">Synthetic timestamp repair: original serial=46307.95833333333. Reconstructed from generator UTC dates; stored as Vietnam local time.</t>
      </text>
    </comment>
    <comment authorId="0" ref="F130">
      <text>
        <t xml:space="preserve">Synthetic timestamp repair: original serial=46303.70833333333. Reconstructed from generator UTC dates; stored as Vietnam local time.</t>
      </text>
    </comment>
    <comment authorId="0" ref="F97">
      <text>
        <t xml:space="preserve">Synthetic timestamp repair: original serial=45896.70833333333. Reconstructed from generator UTC dates; stored as Vietnam local time.</t>
      </text>
    </comment>
    <comment authorId="0" ref="F64">
      <text>
        <t xml:space="preserve">Synthetic timestamp repair: original serial=45845.70833333333. Reconstructed from generator UTC dates; stored as Vietnam local time.</t>
      </text>
    </comment>
    <comment authorId="0" ref="F31">
      <text>
        <t xml:space="preserve">Synthetic timestamp repair: original serial=45791.70833333333. Reconstructed from generator UTC dates; stored as Vietnam local time.</t>
      </text>
    </comment>
    <comment authorId="0" ref="F312">
      <text>
        <t xml:space="preserve">Synthetic timestamp repair: original serial=46231.20833333333. Reconstructed from generator UTC dates; stored as Vietnam local time.</t>
      </text>
    </comment>
    <comment authorId="0" ref="F279">
      <text>
        <t xml:space="preserve">Synthetic timestamp repair: original serial=46180.95833333333. Reconstructed from generator UTC dates; stored as Vietnam local time.</t>
      </text>
    </comment>
    <comment authorId="0" ref="F246">
      <text>
        <t xml:space="preserve">Synthetic timestamp repair: original serial=46130.70833333333. Reconstructed from generator UTC dates; stored as Vietnam local time.</t>
      </text>
    </comment>
    <comment authorId="0" ref="F213">
      <text>
        <t xml:space="preserve">Synthetic timestamp repair: original serial=46077.66666666667. Reconstructed from generator UTC dates; stored as Vietnam local time.</t>
      </text>
    </comment>
    <comment authorId="0" ref="F180">
      <text>
        <t xml:space="preserve">Synthetic timestamp repair: original serial=46026.16666666667. Reconstructed from generator UTC dates; stored as Vietnam local time.</t>
      </text>
    </comment>
    <comment authorId="0" ref="F147">
      <text>
        <t xml:space="preserve">Synthetic timestamp repair: original serial=45975.91666666667. Reconstructed from generator UTC dates; stored as Vietnam local time.</t>
      </text>
    </comment>
    <comment authorId="0" ref="F114">
      <text>
        <t xml:space="preserve">Synthetic timestamp repair: original serial=45925.70833333333. Reconstructed from generator UTC dates; stored as Vietnam local time.</t>
      </text>
    </comment>
    <comment authorId="0" ref="F81">
      <text>
        <t xml:space="preserve">Synthetic timestamp repair: original serial=45872.70833333333. Reconstructed from generator UTC dates; stored as Vietnam local time.</t>
      </text>
    </comment>
    <comment authorId="0" ref="F48">
      <text>
        <t xml:space="preserve">Synthetic timestamp repair: original serial=45821.20833333333. Reconstructed from generator UTC dates; stored as Vietnam local time.</t>
      </text>
    </comment>
    <comment authorId="0" ref="F15">
      <text>
        <t xml:space="preserve">Synthetic timestamp repair: original serial=45770.95833333333. Reconstructed from generator UTC dates; stored as Vietnam local time.</t>
      </text>
    </comment>
    <comment authorId="0" ref="F296">
      <text>
        <t xml:space="preserve">Synthetic timestamp repair: original serial=46211.20833333333. Reconstructed from generator UTC dates; stored as Vietnam local time.</t>
      </text>
    </comment>
    <comment authorId="0" ref="F263">
      <text>
        <t xml:space="preserve">Synthetic timestamp repair: original serial=46160.95833333333. Reconstructed from generator UTC dates; stored as Vietnam local time.</t>
      </text>
    </comment>
    <comment authorId="0" ref="F230">
      <text>
        <t xml:space="preserve">Synthetic timestamp repair: original serial=46110.70833333333. Reconstructed from generator UTC dates; stored as Vietnam local time.</t>
      </text>
    </comment>
    <comment authorId="0" ref="F197">
      <text>
        <t xml:space="preserve">Synthetic timestamp repair: original serial=46303.70833333333. Reconstructed from generator UTC dates; stored as Vietnam local time.</t>
      </text>
    </comment>
    <comment authorId="0" ref="F164">
      <text>
        <t xml:space="preserve">Synthetic timestamp repair: original serial=46308.20833333333. Reconstructed from generator UTC dates; stored as Vietnam local time.</t>
      </text>
    </comment>
    <comment authorId="0" ref="F131">
      <text>
        <t xml:space="preserve">Synthetic timestamp repair: original serial=46303.95833333333. Reconstructed from generator UTC dates; stored as Vietnam local time.</t>
      </text>
    </comment>
    <comment authorId="0" ref="F98">
      <text>
        <t xml:space="preserve">Synthetic timestamp repair: original serial=46306.70833333333. Reconstructed from generator UTC dates; stored as Vietnam local time.</t>
      </text>
    </comment>
    <comment authorId="0" ref="F65">
      <text>
        <t xml:space="preserve">Synthetic timestamp repair: original serial=45846.70833333333. Reconstructed from generator UTC dates; stored as Vietnam local time.</t>
      </text>
    </comment>
    <comment authorId="0" ref="F32">
      <text>
        <t xml:space="preserve">Synthetic timestamp repair: original serial=45795.70833333333. Reconstructed from generator UTC dates; stored as Vietnam local time.</t>
      </text>
    </comment>
    <comment authorId="0" ref="F313">
      <text>
        <t xml:space="preserve">Synthetic timestamp repair: original serial=46232.70833333333. Reconstructed from generator UTC dates; stored as Vietnam local time.</t>
      </text>
    </comment>
    <comment authorId="0" ref="F280">
      <text>
        <t xml:space="preserve">Synthetic timestamp repair: original serial=46181.20833333333. Reconstructed from generator UTC dates; stored as Vietnam local time.</t>
      </text>
    </comment>
    <comment authorId="0" ref="F247">
      <text>
        <t xml:space="preserve">Synthetic timestamp repair: original serial=46130.95833333333. Reconstructed from generator UTC dates; stored as Vietnam local time.</t>
      </text>
    </comment>
    <comment authorId="0" ref="F214">
      <text>
        <t xml:space="preserve">Synthetic timestamp repair: original serial=46080.66666666667. Reconstructed from generator UTC dates; stored as Vietnam local time.</t>
      </text>
    </comment>
    <comment authorId="0" ref="F181">
      <text>
        <t xml:space="preserve">Synthetic timestamp repair: original serial=46027.66666666667. Reconstructed from generator UTC dates; stored as Vietnam local time.</t>
      </text>
    </comment>
    <comment authorId="0" ref="F148">
      <text>
        <t xml:space="preserve">Synthetic timestamp repair: original serial=45976.16666666667. Reconstructed from generator UTC dates; stored as Vietnam local time.</t>
      </text>
    </comment>
    <comment authorId="0" ref="F115">
      <text>
        <t xml:space="preserve">Synthetic timestamp repair: original serial=45925.95833333333. Reconstructed from generator UTC dates; stored as Vietnam local time.</t>
      </text>
    </comment>
    <comment authorId="0" ref="F82">
      <text>
        <t xml:space="preserve">Synthetic timestamp repair: original serial=45875.70833333333. Reconstructed from generator UTC dates; stored as Vietnam local time.</t>
      </text>
    </comment>
    <comment authorId="0" ref="F49">
      <text>
        <t xml:space="preserve">Synthetic timestamp repair: original serial=45822.70833333333. Reconstructed from generator UTC dates; stored as Vietnam local time.</t>
      </text>
    </comment>
    <comment authorId="0" ref="F16">
      <text>
        <t xml:space="preserve">Synthetic timestamp repair: original serial=45771.20833333333. Reconstructed from generator UTC dates; stored as Vietnam local time.</t>
      </text>
    </comment>
    <comment authorId="0" ref="F297">
      <text>
        <t xml:space="preserve">Synthetic timestamp repair: original serial=46212.70833333333. Reconstructed from generator UTC dates; stored as Vietnam local time.</t>
      </text>
    </comment>
    <comment authorId="0" ref="F264">
      <text>
        <t xml:space="preserve">Synthetic timestamp repair: original serial=46161.20833333333. Reconstructed from generator UTC dates; stored as Vietnam local time.</t>
      </text>
    </comment>
    <comment authorId="0" ref="F231">
      <text>
        <t xml:space="preserve">Synthetic timestamp repair: original serial=46110.95833333333. Reconstructed from generator UTC dates; stored as Vietnam local time.</t>
      </text>
    </comment>
    <comment authorId="0" ref="F198">
      <text>
        <t xml:space="preserve">Synthetic timestamp repair: original serial=46060.66666666667. Reconstructed from generator UTC dates; stored as Vietnam local time.</t>
      </text>
    </comment>
    <comment authorId="0" ref="F165">
      <text>
        <t xml:space="preserve">Synthetic timestamp repair: original serial=46306.70833333333. Reconstructed from generator UTC dates; stored as Vietnam local time.</t>
      </text>
    </comment>
    <comment authorId="0" ref="F132">
      <text>
        <t xml:space="preserve">Synthetic timestamp repair: original serial=46304.20833333333. Reconstructed from generator UTC dates; stored as Vietnam local time.</t>
      </text>
    </comment>
    <comment authorId="0" ref="F99">
      <text>
        <t xml:space="preserve">Synthetic timestamp repair: original serial=46306.95833333333. Reconstructed from generator UTC dates; stored as Vietnam local time.</t>
      </text>
    </comment>
    <comment authorId="0" ref="F66">
      <text>
        <t xml:space="preserve">Synthetic timestamp repair: original serial=46302.70833333333. Reconstructed from generator UTC dates; stored as Vietnam local time.</t>
      </text>
    </comment>
    <comment authorId="0" ref="F33">
      <text>
        <t xml:space="preserve">Synthetic timestamp repair: original serial=45796.70833333333. Reconstructed from generator UTC dates; stored as Vietnam local time.</t>
      </text>
    </comment>
    <comment authorId="0" ref="F314">
      <text>
        <t xml:space="preserve">Synthetic timestamp repair: original serial=46235.70833333333. Reconstructed from generator UTC dates; stored as Vietnam local time.</t>
      </text>
    </comment>
    <comment authorId="0" ref="F281">
      <text>
        <t xml:space="preserve">Synthetic timestamp repair: original serial=46182.70833333333. Reconstructed from generator UTC dates; stored as Vietnam local time.</t>
      </text>
    </comment>
    <comment authorId="0" ref="F248">
      <text>
        <t xml:space="preserve">Synthetic timestamp repair: original serial=46131.20833333333. Reconstructed from generator UTC dates; stored as Vietnam local time.</t>
      </text>
    </comment>
    <comment authorId="0" ref="F215">
      <text>
        <t xml:space="preserve">Synthetic timestamp repair: original serial=46080.91666666667. Reconstructed from generator UTC dates; stored as Vietnam local time.</t>
      </text>
    </comment>
    <comment authorId="0" ref="F182">
      <text>
        <t xml:space="preserve">Synthetic timestamp repair: original serial=46030.66666666667. Reconstructed from generator UTC dates; stored as Vietnam local time.</t>
      </text>
    </comment>
    <comment authorId="0" ref="F149">
      <text>
        <t xml:space="preserve">Synthetic timestamp repair: original serial=45977.66666666667. Reconstructed from generator UTC dates; stored as Vietnam local time.</t>
      </text>
    </comment>
    <comment authorId="0" ref="F116">
      <text>
        <t xml:space="preserve">Synthetic timestamp repair: original serial=45926.20833333333. Reconstructed from generator UTC dates; stored as Vietnam local time.</t>
      </text>
    </comment>
    <comment authorId="0" ref="F83">
      <text>
        <t xml:space="preserve">Synthetic timestamp repair: original serial=45875.95833333333. Reconstructed from generator UTC dates; stored as Vietnam local time.</t>
      </text>
    </comment>
    <comment authorId="0" ref="F50">
      <text>
        <t xml:space="preserve">Synthetic timestamp repair: original serial=45825.70833333333. Reconstructed from generator UTC dates; stored as Vietnam local time.</t>
      </text>
    </comment>
    <comment authorId="0" ref="F17">
      <text>
        <t xml:space="preserve">Synthetic timestamp repair: original serial=45772.70833333333. Reconstructed from generator UTC dates; stored as Vietnam local time.</t>
      </text>
    </comment>
    <comment authorId="0" ref="F298">
      <text>
        <t xml:space="preserve">Synthetic timestamp repair: original serial=46215.70833333333. Reconstructed from generator UTC dates; stored as Vietnam local time.</t>
      </text>
    </comment>
    <comment authorId="0" ref="F265">
      <text>
        <t xml:space="preserve">Synthetic timestamp repair: original serial=46162.70833333333. Reconstructed from generator UTC dates; stored as Vietnam local time.</t>
      </text>
    </comment>
    <comment authorId="0" ref="F232">
      <text>
        <t xml:space="preserve">Synthetic timestamp repair: original serial=46111.20833333333. Reconstructed from generator UTC dates; stored as Vietnam local time.</t>
      </text>
    </comment>
    <comment authorId="0" ref="F199">
      <text>
        <t xml:space="preserve">Synthetic timestamp repair: original serial=46060.91666666667. Reconstructed from generator UTC dates; stored as Vietnam local time.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">
      <text>
        <t xml:space="preserve">Temporarily paused during bulk import; restored after verification.</t>
      </text>
    </comment>
  </commentList>
</comments>
</file>

<file path=xl/sharedStrings.xml><?xml version="1.0" encoding="utf-8"?>
<sst xmlns="http://schemas.openxmlformats.org/spreadsheetml/2006/main" count="228980" uniqueCount="45981">
  <si>
    <t>employee_id</t>
  </si>
  <si>
    <t>asset_id</t>
  </si>
  <si>
    <t>IT OPERATIONS — LEGACY</t>
  </si>
  <si>
    <t>name</t>
  </si>
  <si>
    <t>department</t>
  </si>
  <si>
    <t>type</t>
  </si>
  <si>
    <t>Giá trị</t>
  </si>
  <si>
    <t>role</t>
  </si>
  <si>
    <t>model</t>
  </si>
  <si>
    <t>Ghi chú</t>
  </si>
  <si>
    <t>EMP-001</t>
  </si>
  <si>
    <t>status</t>
  </si>
  <si>
    <t>request_id</t>
  </si>
  <si>
    <t>Dữ liệu</t>
  </si>
  <si>
    <t>holder_id</t>
  </si>
  <si>
    <t>An Demo</t>
  </si>
  <si>
    <t>Accounting</t>
  </si>
  <si>
    <t>SYNTHETIC</t>
  </si>
  <si>
    <t>AST-001</t>
  </si>
  <si>
    <t>Laptop</t>
  </si>
  <si>
    <t>Chỉ dùng cho demo</t>
  </si>
  <si>
    <t>Demo Laptop A</t>
  </si>
  <si>
    <t>Múi giờ</t>
  </si>
  <si>
    <t>request_type</t>
  </si>
  <si>
    <t>Asia/Ho_Chi_Minh</t>
  </si>
  <si>
    <t>Giờ Việt Nam</t>
  </si>
  <si>
    <t>Tổng yêu cầu</t>
  </si>
  <si>
    <t>assigned_to</t>
  </si>
  <si>
    <t>Employee</t>
  </si>
  <si>
    <t>EMP-002</t>
  </si>
  <si>
    <t>Binh Demo</t>
  </si>
  <si>
    <t>IT</t>
  </si>
  <si>
    <t>created_at</t>
  </si>
  <si>
    <t>Assigned</t>
  </si>
  <si>
    <t>Operator</t>
  </si>
  <si>
    <t>EMP-003</t>
  </si>
  <si>
    <t>REQ-001</t>
  </si>
  <si>
    <t>AST-002</t>
  </si>
  <si>
    <t>Chi Demo</t>
  </si>
  <si>
    <t>Monitor</t>
  </si>
  <si>
    <t>Demo Monitor B</t>
  </si>
  <si>
    <t>Manager</t>
  </si>
  <si>
    <t>H-EMP-001</t>
  </si>
  <si>
    <t>Demo Employee 001</t>
  </si>
  <si>
    <t>Available</t>
  </si>
  <si>
    <t/>
  </si>
  <si>
    <t>H-EMP-002</t>
  </si>
  <si>
    <t>Demo Employee 002</t>
  </si>
  <si>
    <t>Sales</t>
  </si>
  <si>
    <t>H-AST-001</t>
  </si>
  <si>
    <t>H-EMP-003</t>
  </si>
  <si>
    <t>Demo Laptop 001</t>
  </si>
  <si>
    <t>Demo Employee 003</t>
  </si>
  <si>
    <t>Operations</t>
  </si>
  <si>
    <t>H-EMP-004</t>
  </si>
  <si>
    <t>Demo Employee 004</t>
  </si>
  <si>
    <t>Laptop allocation</t>
  </si>
  <si>
    <t>HR</t>
  </si>
  <si>
    <t>H-AST-002</t>
  </si>
  <si>
    <t>H-EMP-005</t>
  </si>
  <si>
    <t>Demo Employee 005</t>
  </si>
  <si>
    <t>Demo Laptop 002</t>
  </si>
  <si>
    <t>H-EMP-006</t>
  </si>
  <si>
    <t>Demo Employee 006</t>
  </si>
  <si>
    <t>H-AST-003</t>
  </si>
  <si>
    <t>H-EMP-007</t>
  </si>
  <si>
    <t>Demo Employee 007</t>
  </si>
  <si>
    <t>Demo Laptop 003</t>
  </si>
  <si>
    <t>Completed</t>
  </si>
  <si>
    <t>H-EMP-008</t>
  </si>
  <si>
    <t>Demo Employee 008</t>
  </si>
  <si>
    <t>H-AST-004</t>
  </si>
  <si>
    <t>H-EMP-009</t>
  </si>
  <si>
    <t>Demo Employee 009</t>
  </si>
  <si>
    <t>Demo Laptop 004</t>
  </si>
  <si>
    <t>H-EMP-010</t>
  </si>
  <si>
    <t>Demo Employee 010</t>
  </si>
  <si>
    <t>H-EMP-011</t>
  </si>
  <si>
    <t>H-AST-005</t>
  </si>
  <si>
    <t>Demo Employee 011</t>
  </si>
  <si>
    <t>Gồm cấp phát và thu hồi</t>
  </si>
  <si>
    <t>Demo Laptop 005</t>
  </si>
  <si>
    <t>H-EMP-012</t>
  </si>
  <si>
    <t>Demo Employee 012</t>
  </si>
  <si>
    <t>Yêu cầu cấp laptop</t>
  </si>
  <si>
    <t>H-EMP-013</t>
  </si>
  <si>
    <t>Demo Employee 013</t>
  </si>
  <si>
    <t>H-AST-006</t>
  </si>
  <si>
    <t>Demo Laptop 006</t>
  </si>
  <si>
    <t>H-EMP-014</t>
  </si>
  <si>
    <t>Demo Employee 014</t>
  </si>
  <si>
    <t>H-EMP-015</t>
  </si>
  <si>
    <t>Demo Employee 015</t>
  </si>
  <si>
    <t>H-REQ-001</t>
  </si>
  <si>
    <t>H-AST-007</t>
  </si>
  <si>
    <t>H-EMP-016</t>
  </si>
  <si>
    <t>Demo Laptop 007</t>
  </si>
  <si>
    <t>Demo Employee 016</t>
  </si>
  <si>
    <t>H-EMP-017</t>
  </si>
  <si>
    <t>Demo Employee 017</t>
  </si>
  <si>
    <t>H-OPERATOR</t>
  </si>
  <si>
    <t>H-AST-008</t>
  </si>
  <si>
    <t>H-EMP-018</t>
  </si>
  <si>
    <t>Demo Laptop 008</t>
  </si>
  <si>
    <t>H-REQ-002</t>
  </si>
  <si>
    <t>H-AST-009</t>
  </si>
  <si>
    <t>Demo Laptop 009</t>
  </si>
  <si>
    <t>H-AST-010</t>
  </si>
  <si>
    <t>Demo Laptop 010</t>
  </si>
  <si>
    <t>Demo Employee 018</t>
  </si>
  <si>
    <t>H-EMP-019</t>
  </si>
  <si>
    <t>Yêu cầu thu hồi laptop</t>
  </si>
  <si>
    <t>Demo Employee 019</t>
  </si>
  <si>
    <t>H-REQ-003</t>
  </si>
  <si>
    <t>H-AST-011</t>
  </si>
  <si>
    <t>H-EMP-020</t>
  </si>
  <si>
    <t>Demo Employee 020</t>
  </si>
  <si>
    <t>Demo Laptop 011</t>
  </si>
  <si>
    <t>H-MANAGER</t>
  </si>
  <si>
    <t>Demo Manager</t>
  </si>
  <si>
    <t>H-AST-012</t>
  </si>
  <si>
    <t>Demo IT Operator</t>
  </si>
  <si>
    <t>Demo Laptop 012</t>
  </si>
  <si>
    <t>G-EMP-00001</t>
  </si>
  <si>
    <t>Demo Employee 26</t>
  </si>
  <si>
    <t>H-AST-013</t>
  </si>
  <si>
    <t>G-EMP-00002</t>
  </si>
  <si>
    <t>Demo Laptop 013</t>
  </si>
  <si>
    <t>Demo Employee 27</t>
  </si>
  <si>
    <t>H-REQ-004</t>
  </si>
  <si>
    <t>G-EMP-00003</t>
  </si>
  <si>
    <t>Demo Employee 28</t>
  </si>
  <si>
    <t>H-AST-014</t>
  </si>
  <si>
    <t>Hoàn thành</t>
  </si>
  <si>
    <t>Demo Laptop 014</t>
  </si>
  <si>
    <t>G-EMP-00004</t>
  </si>
  <si>
    <t>Demo Employee 29</t>
  </si>
  <si>
    <t>G-EMP-00005</t>
  </si>
  <si>
    <t>Demo Employee 30</t>
  </si>
  <si>
    <t>Engineering</t>
  </si>
  <si>
    <t>H-AST-015</t>
  </si>
  <si>
    <t>G-EMP-00006</t>
  </si>
  <si>
    <t>Demo Employee 31</t>
  </si>
  <si>
    <t>Demo Laptop 015</t>
  </si>
  <si>
    <t>H-REQ-005</t>
  </si>
  <si>
    <t>G-EMP-00007</t>
  </si>
  <si>
    <t>Demo Employee 32</t>
  </si>
  <si>
    <t>H-AST-016</t>
  </si>
  <si>
    <t>G-EMP-00008</t>
  </si>
  <si>
    <t>Demo Laptop 016</t>
  </si>
  <si>
    <t>Demo Employee 33</t>
  </si>
  <si>
    <t>G-EMP-00009</t>
  </si>
  <si>
    <t>Demo Employee 34</t>
  </si>
  <si>
    <t>H-AST-017</t>
  </si>
  <si>
    <t>Chờ duyệt</t>
  </si>
  <si>
    <t>Demo Laptop 017</t>
  </si>
  <si>
    <t>G-EMP-00010</t>
  </si>
  <si>
    <t>Demo Employee 35</t>
  </si>
  <si>
    <t>H-REQ-006</t>
  </si>
  <si>
    <t>G-EMP-00011</t>
  </si>
  <si>
    <t>Demo Employee 36</t>
  </si>
  <si>
    <t>H-AST-018</t>
  </si>
  <si>
    <t>G-EMP-00012</t>
  </si>
  <si>
    <t>Demo Employee 37</t>
  </si>
  <si>
    <t>Demo Laptop 018</t>
  </si>
  <si>
    <t>G-EMP-00013</t>
  </si>
  <si>
    <t>Demo Employee 38</t>
  </si>
  <si>
    <t>H-AST-019</t>
  </si>
  <si>
    <t>G-EMP-00014</t>
  </si>
  <si>
    <t>Demo Employee 39</t>
  </si>
  <si>
    <t>Demo Laptop 019</t>
  </si>
  <si>
    <t>G-EMP-00015</t>
  </si>
  <si>
    <t>Demo Employee 40</t>
  </si>
  <si>
    <t>H-REQ-007</t>
  </si>
  <si>
    <t>H-AST-020</t>
  </si>
  <si>
    <t>G-EMP-00016</t>
  </si>
  <si>
    <t>Demo Employee 41</t>
  </si>
  <si>
    <t>Đã duyệt</t>
  </si>
  <si>
    <t>Demo Laptop 020</t>
  </si>
  <si>
    <t>G-EMP-00017</t>
  </si>
  <si>
    <t>Demo Employee 42</t>
  </si>
  <si>
    <t>Rejected</t>
  </si>
  <si>
    <t>H-AST-021</t>
  </si>
  <si>
    <t>G-EMP-00018</t>
  </si>
  <si>
    <t>Demo Employee 43</t>
  </si>
  <si>
    <t>Demo Laptop 021</t>
  </si>
  <si>
    <t>G-EMP-00019</t>
  </si>
  <si>
    <t>Demo Employee 44</t>
  </si>
  <si>
    <t>H-REQ-008</t>
  </si>
  <si>
    <t>G-EMP-00020</t>
  </si>
  <si>
    <t>H-AST-022</t>
  </si>
  <si>
    <t>Demo Employee 45</t>
  </si>
  <si>
    <t>Demo Laptop 022</t>
  </si>
  <si>
    <t>G-EMP-00021</t>
  </si>
  <si>
    <t>Demo Employee 46</t>
  </si>
  <si>
    <t>Cancelled</t>
  </si>
  <si>
    <t>Đang xử lý</t>
  </si>
  <si>
    <t>G-EMP-00022</t>
  </si>
  <si>
    <t>Demo Employee 47</t>
  </si>
  <si>
    <t>H-AST-023</t>
  </si>
  <si>
    <t>H-REQ-009</t>
  </si>
  <si>
    <t>Demo Laptop 023</t>
  </si>
  <si>
    <t>G-EMP-00023</t>
  </si>
  <si>
    <t>Demo Employee 48</t>
  </si>
  <si>
    <t>G-EMP-00024</t>
  </si>
  <si>
    <t>Demo Employee 49</t>
  </si>
  <si>
    <t>In progress</t>
  </si>
  <si>
    <t>H-AST-024</t>
  </si>
  <si>
    <t>G-EMP-00025</t>
  </si>
  <si>
    <t>Demo Laptop 024</t>
  </si>
  <si>
    <t>Demo Employee 50</t>
  </si>
  <si>
    <t>G-EMP-00026</t>
  </si>
  <si>
    <t>Demo Employee 51</t>
  </si>
  <si>
    <t>H-REQ-010</t>
  </si>
  <si>
    <t>H-AST-025</t>
  </si>
  <si>
    <t>G-EMP-00027</t>
  </si>
  <si>
    <t>Demo Laptop 025</t>
  </si>
  <si>
    <t>Demo Employee 52</t>
  </si>
  <si>
    <t>Từ chối</t>
  </si>
  <si>
    <t>G-EMP-00028</t>
  </si>
  <si>
    <t>Demo Employee 53</t>
  </si>
  <si>
    <t>Pending approval</t>
  </si>
  <si>
    <t>H-AST-026</t>
  </si>
  <si>
    <t>Demo Laptop 026</t>
  </si>
  <si>
    <t>G-EMP-00029</t>
  </si>
  <si>
    <t>Demo Employee 54</t>
  </si>
  <si>
    <t>G-EMP-00030</t>
  </si>
  <si>
    <t>Demo Employee 55</t>
  </si>
  <si>
    <t>H-REQ-011</t>
  </si>
  <si>
    <t>H-AST-027</t>
  </si>
  <si>
    <t>G-EMP-00031</t>
  </si>
  <si>
    <t>Demo Employee 56</t>
  </si>
  <si>
    <t>Demo Laptop 027</t>
  </si>
  <si>
    <t>G-EMP-00032</t>
  </si>
  <si>
    <t>Demo Employee 57</t>
  </si>
  <si>
    <t>H-AST-028</t>
  </si>
  <si>
    <t>G-EMP-00033</t>
  </si>
  <si>
    <t>Demo Laptop 028</t>
  </si>
  <si>
    <t>Demo Employee 58</t>
  </si>
  <si>
    <t>G-EMP-00034</t>
  </si>
  <si>
    <t>Demo Employee 59</t>
  </si>
  <si>
    <t>Đã hủy</t>
  </si>
  <si>
    <t>H-AST-029</t>
  </si>
  <si>
    <t>G-EMP-00035</t>
  </si>
  <si>
    <t>Demo Laptop 029</t>
  </si>
  <si>
    <t>Demo Employee 60</t>
  </si>
  <si>
    <t>H-REQ-012</t>
  </si>
  <si>
    <t>G-EMP-00036</t>
  </si>
  <si>
    <t>Demo Employee 61</t>
  </si>
  <si>
    <t>H-AST-030</t>
  </si>
  <si>
    <t>G-EMP-00037</t>
  </si>
  <si>
    <t>Demo Employee 62</t>
  </si>
  <si>
    <t>Demo Laptop 030</t>
  </si>
  <si>
    <t>G-EMP-00038</t>
  </si>
  <si>
    <t>Demo Employee 63</t>
  </si>
  <si>
    <t>H-AST-031</t>
  </si>
  <si>
    <t>G-EMP-00039</t>
  </si>
  <si>
    <t>Demo Employee 64</t>
  </si>
  <si>
    <t>H-REQ-013</t>
  </si>
  <si>
    <t>Demo Laptop 031</t>
  </si>
  <si>
    <t>G-EMP-00040</t>
  </si>
  <si>
    <t>Demo Employee 65</t>
  </si>
  <si>
    <t>Tổng thiết bị</t>
  </si>
  <si>
    <t>G-EMP-00041</t>
  </si>
  <si>
    <t>Demo Employee 66</t>
  </si>
  <si>
    <t>H-AST-032</t>
  </si>
  <si>
    <t>G-EMP-00042</t>
  </si>
  <si>
    <t>Demo Laptop 032</t>
  </si>
  <si>
    <t>Demo Employee 67</t>
  </si>
  <si>
    <t>G-EMP-00043</t>
  </si>
  <si>
    <t>Demo Employee 68</t>
  </si>
  <si>
    <t>H-AST-033</t>
  </si>
  <si>
    <t>G-EMP-00044</t>
  </si>
  <si>
    <t>Demo Employee 69</t>
  </si>
  <si>
    <t>Demo Laptop 033</t>
  </si>
  <si>
    <t>H-REQ-014</t>
  </si>
  <si>
    <t>G-EMP-00045</t>
  </si>
  <si>
    <t>Demo Employee 70</t>
  </si>
  <si>
    <t>H-AST-034</t>
  </si>
  <si>
    <t>Demo Laptop 034</t>
  </si>
  <si>
    <t>G-EMP-00046</t>
  </si>
  <si>
    <t>Demo Employee 71</t>
  </si>
  <si>
    <t>G-EMP-00047</t>
  </si>
  <si>
    <t>H-AST-035</t>
  </si>
  <si>
    <t>Demo Employee 72</t>
  </si>
  <si>
    <t>Thiết bị đang cấp</t>
  </si>
  <si>
    <t>Demo Laptop 035</t>
  </si>
  <si>
    <t>G-EMP-00048</t>
  </si>
  <si>
    <t>Demo Employee 73</t>
  </si>
  <si>
    <t>H-REQ-015</t>
  </si>
  <si>
    <t>G-EMP-00049</t>
  </si>
  <si>
    <t>Demo Employee 74</t>
  </si>
  <si>
    <t>H-AST-036</t>
  </si>
  <si>
    <t>G-EMP-00050</t>
  </si>
  <si>
    <t>Demo Laptop 036</t>
  </si>
  <si>
    <t>Demo Employee 75</t>
  </si>
  <si>
    <t>G-EMP-00051</t>
  </si>
  <si>
    <t>Demo Employee 76</t>
  </si>
  <si>
    <t>H-AST-037</t>
  </si>
  <si>
    <t>G-EMP-00052</t>
  </si>
  <si>
    <t>Demo Laptop 037</t>
  </si>
  <si>
    <t>Demo Employee 77</t>
  </si>
  <si>
    <t>G-EMP-00053</t>
  </si>
  <si>
    <t>Demo Employee 78</t>
  </si>
  <si>
    <t>H-AST-038</t>
  </si>
  <si>
    <t>Demo Laptop 038</t>
  </si>
  <si>
    <t>H-REQ-016</t>
  </si>
  <si>
    <t>G-EMP-00054</t>
  </si>
  <si>
    <t>Demo Employee 79</t>
  </si>
  <si>
    <t>Thiết bị khả dụng</t>
  </si>
  <si>
    <t>G-EMP-00055</t>
  </si>
  <si>
    <t>Demo Employee 80</t>
  </si>
  <si>
    <t>H-AST-039</t>
  </si>
  <si>
    <t>G-EMP-00056</t>
  </si>
  <si>
    <t>Demo Employee 81</t>
  </si>
  <si>
    <t>Demo Laptop 039</t>
  </si>
  <si>
    <t>G-EMP-00057</t>
  </si>
  <si>
    <t>Demo Employee 82</t>
  </si>
  <si>
    <t>H-AST-040</t>
  </si>
  <si>
    <t>G-EMP-00058</t>
  </si>
  <si>
    <t>Demo Employee 83</t>
  </si>
  <si>
    <t>Demo Laptop 040</t>
  </si>
  <si>
    <t>G-EMP-00059</t>
  </si>
  <si>
    <t>Demo Employee 84</t>
  </si>
  <si>
    <t>H-AST-041</t>
  </si>
  <si>
    <t>H-REQ-017</t>
  </si>
  <si>
    <t>G-EMP-00060</t>
  </si>
  <si>
    <t>Demo Employee 85</t>
  </si>
  <si>
    <t>Demo Laptop 041</t>
  </si>
  <si>
    <t>Tổng nhân viên</t>
  </si>
  <si>
    <t>G-EMP-00061</t>
  </si>
  <si>
    <t>Demo Employee 86</t>
  </si>
  <si>
    <t>H-AST-042</t>
  </si>
  <si>
    <t>G-EMP-00062</t>
  </si>
  <si>
    <t>Demo Employee 87</t>
  </si>
  <si>
    <t>Demo Laptop 042</t>
  </si>
  <si>
    <t>G-EMP-00063</t>
  </si>
  <si>
    <t>Demo Employee 88</t>
  </si>
  <si>
    <t>H-AST-043</t>
  </si>
  <si>
    <t>Demo Laptop 043</t>
  </si>
  <si>
    <t>H-REQ-018</t>
  </si>
  <si>
    <t>G-EMP-00064</t>
  </si>
  <si>
    <t>Demo Employee 89</t>
  </si>
  <si>
    <t>H-AST-044</t>
  </si>
  <si>
    <t>G-EMP-00065</t>
  </si>
  <si>
    <t>Demo Employee 90</t>
  </si>
  <si>
    <t>Demo Laptop 044</t>
  </si>
  <si>
    <t>Gồm quản lý và IT</t>
  </si>
  <si>
    <t>G-EMP-00066</t>
  </si>
  <si>
    <t>Demo Employee 91</t>
  </si>
  <si>
    <t>Tổng sự kiện</t>
  </si>
  <si>
    <t>H-AST-045</t>
  </si>
  <si>
    <t>G-EMP-00067</t>
  </si>
  <si>
    <t>H-REQ-019</t>
  </si>
  <si>
    <t>Demo Employee 92</t>
  </si>
  <si>
    <t>Demo Laptop 045</t>
  </si>
  <si>
    <t>G-EMP-00068</t>
  </si>
  <si>
    <t>Demo Employee 93</t>
  </si>
  <si>
    <t>H-AST-046</t>
  </si>
  <si>
    <t>G-EMP-00069</t>
  </si>
  <si>
    <t>Demo Employee 94</t>
  </si>
  <si>
    <t>Demo Laptop 046</t>
  </si>
  <si>
    <t>H-REQ-020</t>
  </si>
  <si>
    <t>G-EMP-00070</t>
  </si>
  <si>
    <t>Demo Employee 95</t>
  </si>
  <si>
    <t>H-AST-047</t>
  </si>
  <si>
    <t>G-EMP-00071</t>
  </si>
  <si>
    <t>Demo Employee 96</t>
  </si>
  <si>
    <t>Demo Laptop 047</t>
  </si>
  <si>
    <t>G-EMP-00072</t>
  </si>
  <si>
    <t>Demo Employee 97</t>
  </si>
  <si>
    <t>Số kiểm tra cảnh báo</t>
  </si>
  <si>
    <t>H-AST-048</t>
  </si>
  <si>
    <t>G-EMP-00073</t>
  </si>
  <si>
    <t>Demo Laptop 048</t>
  </si>
  <si>
    <t>Demo Employee 98</t>
  </si>
  <si>
    <t>H-REQ-021</t>
  </si>
  <si>
    <t>G-EMP-00074</t>
  </si>
  <si>
    <t>Demo Employee 99</t>
  </si>
  <si>
    <t>H-AST-049</t>
  </si>
  <si>
    <t>G-EMP-00075</t>
  </si>
  <si>
    <t>Demo Employee 100</t>
  </si>
  <si>
    <t>Demo Laptop 049</t>
  </si>
  <si>
    <t>G-EMP-00076</t>
  </si>
  <si>
    <t>Demo Employee 101</t>
  </si>
  <si>
    <t>Xem chi tiết ở DataChecks</t>
  </si>
  <si>
    <t>Sự kiện mới nhất</t>
  </si>
  <si>
    <t>H-AST-050</t>
  </si>
  <si>
    <t>G-EMP-00077</t>
  </si>
  <si>
    <t>Demo Employee 102</t>
  </si>
  <si>
    <t>Demo Laptop 050</t>
  </si>
  <si>
    <t>G-EMP-00078</t>
  </si>
  <si>
    <t>Demo Employee 103</t>
  </si>
  <si>
    <t>H-REQ-022</t>
  </si>
  <si>
    <t>H-AST-051</t>
  </si>
  <si>
    <t>G-EMP-00079</t>
  </si>
  <si>
    <t>Demo Employee 104</t>
  </si>
  <si>
    <t>Demo Laptop 051</t>
  </si>
  <si>
    <t>G-EMP-00080</t>
  </si>
  <si>
    <t>Demo Employee 105</t>
  </si>
  <si>
    <t>G-EMP-00081</t>
  </si>
  <si>
    <t>H-AST-052</t>
  </si>
  <si>
    <t>Demo Employee 106</t>
  </si>
  <si>
    <t>Demo Laptop 052</t>
  </si>
  <si>
    <t>G-EMP-00082</t>
  </si>
  <si>
    <t>Demo Employee 107</t>
  </si>
  <si>
    <t>G-EMP-00083</t>
  </si>
  <si>
    <t>H-AST-053</t>
  </si>
  <si>
    <t>Demo Employee 108</t>
  </si>
  <si>
    <t>H-REQ-023</t>
  </si>
  <si>
    <t>Demo Laptop 053</t>
  </si>
  <si>
    <t>G-EMP-00084</t>
  </si>
  <si>
    <t>Demo Employee 109</t>
  </si>
  <si>
    <t>Thời điểm nghiệp vụ, không phải lần đọc</t>
  </si>
  <si>
    <t>G-EMP-00085</t>
  </si>
  <si>
    <t>H-AST-054</t>
  </si>
  <si>
    <t>Demo Employee 110</t>
  </si>
  <si>
    <t>Lưu ý</t>
  </si>
  <si>
    <t>Demo Laptop 054</t>
  </si>
  <si>
    <t>G-EMP-00086</t>
  </si>
  <si>
    <t>Trạng thái không tự tạo lịch sử</t>
  </si>
  <si>
    <t>Demo Employee 111</t>
  </si>
  <si>
    <t>Dùng workflow để cập nhật yêu cầu và lịch sử cùng nhau</t>
  </si>
  <si>
    <t>Apps Script</t>
  </si>
  <si>
    <t>G-EMP-00087</t>
  </si>
  <si>
    <t>H-AST-055</t>
  </si>
  <si>
    <t>Demo Employee 112</t>
  </si>
  <si>
    <t>Múi giờ project chưa xác minh</t>
  </si>
  <si>
    <t>Cần kiểm tra trước khi chạy thêm mã ghi ngày giờ</t>
  </si>
  <si>
    <t>Demo Laptop 055</t>
  </si>
  <si>
    <t>G-EMP-00088</t>
  </si>
  <si>
    <t>Phạm vi kiểm tra</t>
  </si>
  <si>
    <t>Demo Employee 113</t>
  </si>
  <si>
    <t>15 quy tắc tự động</t>
  </si>
  <si>
    <t>Chưa thay thế kiểm tra vòng đời đầy đủ theo thời gian</t>
  </si>
  <si>
    <t>H-REQ-024</t>
  </si>
  <si>
    <t>G-EMP-00089</t>
  </si>
  <si>
    <t>Demo Employee 114</t>
  </si>
  <si>
    <t>H-AST-056</t>
  </si>
  <si>
    <t>Demo Laptop 056</t>
  </si>
  <si>
    <t>G-EMP-00090</t>
  </si>
  <si>
    <t>Demo Employee 115</t>
  </si>
  <si>
    <t>G-EMP-00091</t>
  </si>
  <si>
    <t>H-AST-057</t>
  </si>
  <si>
    <t>Demo Employee 116</t>
  </si>
  <si>
    <t>Demo Laptop 057</t>
  </si>
  <si>
    <t>G-EMP-00092</t>
  </si>
  <si>
    <t>Demo Employee 117</t>
  </si>
  <si>
    <t>H-REQ-025</t>
  </si>
  <si>
    <t>G-EMP-00093</t>
  </si>
  <si>
    <t>Demo Employee 118</t>
  </si>
  <si>
    <t>H-AST-058</t>
  </si>
  <si>
    <t>Demo Laptop 058</t>
  </si>
  <si>
    <t>G-EMP-00094</t>
  </si>
  <si>
    <t>Demo Employee 119</t>
  </si>
  <si>
    <t>G-EMP-00095</t>
  </si>
  <si>
    <t>H-AST-059</t>
  </si>
  <si>
    <t>Demo Employee 120</t>
  </si>
  <si>
    <t>H-REQ-026</t>
  </si>
  <si>
    <t>Demo Laptop 059</t>
  </si>
  <si>
    <t>G-EMP-00096</t>
  </si>
  <si>
    <t>Demo Employee 121</t>
  </si>
  <si>
    <t>G-EMP-00097</t>
  </si>
  <si>
    <t>Demo Employee 122</t>
  </si>
  <si>
    <t>H-AST-060</t>
  </si>
  <si>
    <t>Demo Laptop 060</t>
  </si>
  <si>
    <t>G-EMP-00098</t>
  </si>
  <si>
    <t>Demo Employee 123</t>
  </si>
  <si>
    <t>G-EMP-00099</t>
  </si>
  <si>
    <t>Demo Employee 124</t>
  </si>
  <si>
    <t>G-AST-00001</t>
  </si>
  <si>
    <t>Demo Fleet Standard</t>
  </si>
  <si>
    <t>G-EMP-00100</t>
  </si>
  <si>
    <t>Demo Employee 125</t>
  </si>
  <si>
    <t>H-REQ-027</t>
  </si>
  <si>
    <t>G-EMP-00101</t>
  </si>
  <si>
    <t>Demo Employee 126</t>
  </si>
  <si>
    <t>G-AST-00002</t>
  </si>
  <si>
    <t>Demo Fleet Engineering</t>
  </si>
  <si>
    <t>G-EMP-00102</t>
  </si>
  <si>
    <t>Demo Employee 127</t>
  </si>
  <si>
    <t>G-EMP-00103</t>
  </si>
  <si>
    <t>Demo Employee 128</t>
  </si>
  <si>
    <t>G-AST-00003</t>
  </si>
  <si>
    <t>Demo Fleet Ultrabook</t>
  </si>
  <si>
    <t>G-EMP-00104</t>
  </si>
  <si>
    <t>Demo Employee 129</t>
  </si>
  <si>
    <t>H-REQ-028</t>
  </si>
  <si>
    <t>G-EMP-00105</t>
  </si>
  <si>
    <t>Demo Employee 130</t>
  </si>
  <si>
    <t>G-AST-00004</t>
  </si>
  <si>
    <t>G-EMP-00106</t>
  </si>
  <si>
    <t>Demo Employee 131</t>
  </si>
  <si>
    <t>G-EMP-00107</t>
  </si>
  <si>
    <t>Demo Employee 132</t>
  </si>
  <si>
    <t>G-AST-00005</t>
  </si>
  <si>
    <t>G-EMP-00108</t>
  </si>
  <si>
    <t>Demo Employee 133</t>
  </si>
  <si>
    <t>G-EMP-00109</t>
  </si>
  <si>
    <t>Demo Employee 134</t>
  </si>
  <si>
    <t>H-REQ-029</t>
  </si>
  <si>
    <t>G-EMP-00273</t>
  </si>
  <si>
    <t>G-EMP-00110</t>
  </si>
  <si>
    <t>Demo Employee 135</t>
  </si>
  <si>
    <t>G-AST-00006</t>
  </si>
  <si>
    <t>G-EMP-00111</t>
  </si>
  <si>
    <t>Demo Employee 136</t>
  </si>
  <si>
    <t>G-EMP-00112</t>
  </si>
  <si>
    <t>Demo Employee 137</t>
  </si>
  <si>
    <t>G-AST-00007</t>
  </si>
  <si>
    <t>G-EMP-00113</t>
  </si>
  <si>
    <t>Demo Employee 138</t>
  </si>
  <si>
    <t>G-EMP-00114</t>
  </si>
  <si>
    <t>Demo Employee 139</t>
  </si>
  <si>
    <t>H-REQ-030</t>
  </si>
  <si>
    <t>G-EMP-00115</t>
  </si>
  <si>
    <t>G-EMP-00261</t>
  </si>
  <si>
    <t>Demo Employee 140</t>
  </si>
  <si>
    <t>G-AST-00008</t>
  </si>
  <si>
    <t>G-EMP-00116</t>
  </si>
  <si>
    <t>Demo Employee 141</t>
  </si>
  <si>
    <t>G-EMP-00117</t>
  </si>
  <si>
    <t>Demo Employee 142</t>
  </si>
  <si>
    <t>G-EMP-00222</t>
  </si>
  <si>
    <t>G-EMP-00118</t>
  </si>
  <si>
    <t>Demo Employee 143</t>
  </si>
  <si>
    <t>G-AST-00009</t>
  </si>
  <si>
    <t>G-EMP-00119</t>
  </si>
  <si>
    <t>H-REQ-031</t>
  </si>
  <si>
    <t>Demo Employee 144</t>
  </si>
  <si>
    <t>G-EMP-00120</t>
  </si>
  <si>
    <t>Demo Employee 145</t>
  </si>
  <si>
    <t>G-AST-00010</t>
  </si>
  <si>
    <t>G-EMP-00121</t>
  </si>
  <si>
    <t>Demo Employee 146</t>
  </si>
  <si>
    <t>G-EMP-00122</t>
  </si>
  <si>
    <t>G-EMP-00182</t>
  </si>
  <si>
    <t>Demo Employee 147</t>
  </si>
  <si>
    <t>G-AST-00011</t>
  </si>
  <si>
    <t>G-EMP-00123</t>
  </si>
  <si>
    <t>Demo Employee 148</t>
  </si>
  <si>
    <t>G-EMP-00124</t>
  </si>
  <si>
    <t>Demo Employee 149</t>
  </si>
  <si>
    <t>H-REQ-032</t>
  </si>
  <si>
    <t>G-EMP-00125</t>
  </si>
  <si>
    <t>Demo Employee 150</t>
  </si>
  <si>
    <t>G-EMP-00228</t>
  </si>
  <si>
    <t>G-EMP-00126</t>
  </si>
  <si>
    <t>Demo Employee 151</t>
  </si>
  <si>
    <t>G-AST-00012</t>
  </si>
  <si>
    <t>G-EMP-00127</t>
  </si>
  <si>
    <t>H-REQ-033</t>
  </si>
  <si>
    <t>Demo Employee 152</t>
  </si>
  <si>
    <t>G-AST-00013</t>
  </si>
  <si>
    <t>G-EMP-00128</t>
  </si>
  <si>
    <t>Demo Employee 153</t>
  </si>
  <si>
    <t>event_id</t>
  </si>
  <si>
    <t>G-EMP-00129</t>
  </si>
  <si>
    <t>Demo Employee 154</t>
  </si>
  <si>
    <t>G-EMP-00176</t>
  </si>
  <si>
    <t>G-AST-00014</t>
  </si>
  <si>
    <t>G-EMP-00130</t>
  </si>
  <si>
    <t>from_status</t>
  </si>
  <si>
    <t>Demo Employee 155</t>
  </si>
  <si>
    <t>to_status</t>
  </si>
  <si>
    <t>G-EMP-00131</t>
  </si>
  <si>
    <t>Demo Employee 156</t>
  </si>
  <si>
    <t>actor_id</t>
  </si>
  <si>
    <t>G-AST-00015</t>
  </si>
  <si>
    <t>G-EMP-00132</t>
  </si>
  <si>
    <t>occurred_at</t>
  </si>
  <si>
    <t>Demo Employee 157</t>
  </si>
  <si>
    <t>note</t>
  </si>
  <si>
    <t>H-REQ-034</t>
  </si>
  <si>
    <t>G-EMP-00133</t>
  </si>
  <si>
    <t>G-EMP-00155</t>
  </si>
  <si>
    <t>Demo Employee 158</t>
  </si>
  <si>
    <t>EVT-001</t>
  </si>
  <si>
    <t>G-AST-00016</t>
  </si>
  <si>
    <t>G-EMP-00134</t>
  </si>
  <si>
    <t>Demo Employee 159</t>
  </si>
  <si>
    <t>G-EMP-00135</t>
  </si>
  <si>
    <t>Demo Employee 160</t>
  </si>
  <si>
    <t>G-AST-00017</t>
  </si>
  <si>
    <t>G-EMP-00136</t>
  </si>
  <si>
    <t>Demo Employee 161</t>
  </si>
  <si>
    <t>G-EMP-00220</t>
  </si>
  <si>
    <t>G-EMP-00137</t>
  </si>
  <si>
    <t>Demo Employee 162</t>
  </si>
  <si>
    <t>G-AST-00018</t>
  </si>
  <si>
    <t>H-REQ-035</t>
  </si>
  <si>
    <t>G-EMP-00138</t>
  </si>
  <si>
    <t>Demo Employee 163</t>
  </si>
  <si>
    <t>G-EMP-00139</t>
  </si>
  <si>
    <t>Demo Employee 164</t>
  </si>
  <si>
    <t>G-AST-00019</t>
  </si>
  <si>
    <t>G-EMP-00140</t>
  </si>
  <si>
    <t>Demo Employee 165</t>
  </si>
  <si>
    <t>G-EMP-00141</t>
  </si>
  <si>
    <t>Demo Employee 166</t>
  </si>
  <si>
    <t>G-EMP-00225</t>
  </si>
  <si>
    <t>G-EMP-00142</t>
  </si>
  <si>
    <t>Demo Employee 167</t>
  </si>
  <si>
    <t>G-AST-00020</t>
  </si>
  <si>
    <t>Synthetic demo: employee submitted a request</t>
  </si>
  <si>
    <t>G-EMP-00143</t>
  </si>
  <si>
    <t>Demo Employee 168</t>
  </si>
  <si>
    <t>H-REQ-036</t>
  </si>
  <si>
    <t>EVT-002</t>
  </si>
  <si>
    <t>G-EMP-00144</t>
  </si>
  <si>
    <t>Demo Employee 169</t>
  </si>
  <si>
    <t>G-AST-00021</t>
  </si>
  <si>
    <t>G-EMP-00145</t>
  </si>
  <si>
    <t>Demo Employee 170</t>
  </si>
  <si>
    <t>Approved</t>
  </si>
  <si>
    <t>G-EMP-00227</t>
  </si>
  <si>
    <t>G-EMP-00146</t>
  </si>
  <si>
    <t>Demo Employee 171</t>
  </si>
  <si>
    <t>G-AST-00022</t>
  </si>
  <si>
    <t>G-EMP-00147</t>
  </si>
  <si>
    <t>Demo Employee 172</t>
  </si>
  <si>
    <t xml:space="preserve">Manager approved laptop allocation </t>
  </si>
  <si>
    <t>G-EMP-00148</t>
  </si>
  <si>
    <t>H-REQ-037</t>
  </si>
  <si>
    <t>Demo Employee 173</t>
  </si>
  <si>
    <t>510d6c10-49c9-4e8a-a3a4-2680d9d8a3b9</t>
  </si>
  <si>
    <t>G-AST-00023</t>
  </si>
  <si>
    <t>G-EMP-00149</t>
  </si>
  <si>
    <t>Demo Employee 174</t>
  </si>
  <si>
    <t>G-EMP-00150</t>
  </si>
  <si>
    <t>Demo Employee 175</t>
  </si>
  <si>
    <t>G-EMP-00183</t>
  </si>
  <si>
    <t>G-EMP-00151</t>
  </si>
  <si>
    <t>G-AST-00024</t>
  </si>
  <si>
    <t>Demo Employee 176</t>
  </si>
  <si>
    <t>H-REQ-038</t>
  </si>
  <si>
    <t>Demo: Binh accepted the request</t>
  </si>
  <si>
    <t>G-EMP-00152</t>
  </si>
  <si>
    <t>Demo Employee 177</t>
  </si>
  <si>
    <t>8c255699-dc38-4c03-8dfe-c963fd8a0150</t>
  </si>
  <si>
    <t>G-EMP-00153</t>
  </si>
  <si>
    <t>G-AST-00025</t>
  </si>
  <si>
    <t>Demo Employee 178</t>
  </si>
  <si>
    <t>G-EMP-00154</t>
  </si>
  <si>
    <t>Demo Employee 179</t>
  </si>
  <si>
    <t>G-EMP-00264</t>
  </si>
  <si>
    <t>G-AST-00026</t>
  </si>
  <si>
    <t>Demo Employee 180</t>
  </si>
  <si>
    <t>H-REQ-039</t>
  </si>
  <si>
    <t>Demo: handed over AST-001 to EMP-001</t>
  </si>
  <si>
    <t>G-EMP-00164</t>
  </si>
  <si>
    <t>H-REQ-001-E1</t>
  </si>
  <si>
    <t>G-EMP-00156</t>
  </si>
  <si>
    <t>G-AST-00027</t>
  </si>
  <si>
    <t>Demo Employee 181</t>
  </si>
  <si>
    <t>G-EMP-00157</t>
  </si>
  <si>
    <t>Demo Employee 182</t>
  </si>
  <si>
    <t>G-EMP-00219</t>
  </si>
  <si>
    <t>G-EMP-00158</t>
  </si>
  <si>
    <t>G-AST-00028</t>
  </si>
  <si>
    <t>Demo Employee 183</t>
  </si>
  <si>
    <t>SYNTHETIC: Request submitted</t>
  </si>
  <si>
    <t>G-EMP-00159</t>
  </si>
  <si>
    <t>Demo Employee 184</t>
  </si>
  <si>
    <t>H-REQ-001-E2</t>
  </si>
  <si>
    <t>G-EMP-00160</t>
  </si>
  <si>
    <t>H-REQ-040</t>
  </si>
  <si>
    <t>Demo Employee 185</t>
  </si>
  <si>
    <t>G-AST-00029</t>
  </si>
  <si>
    <t>G-EMP-00161</t>
  </si>
  <si>
    <t>Demo Employee 186</t>
  </si>
  <si>
    <t>SYNTHETIC: Request approved</t>
  </si>
  <si>
    <t>G-EMP-00162</t>
  </si>
  <si>
    <t>G-AST-00030</t>
  </si>
  <si>
    <t>Demo Employee 187</t>
  </si>
  <si>
    <t>H-REQ-001-E3</t>
  </si>
  <si>
    <t>G-EMP-00163</t>
  </si>
  <si>
    <t>Demo Employee 188</t>
  </si>
  <si>
    <t>G-EMP-00215</t>
  </si>
  <si>
    <t>Demo Employee 189</t>
  </si>
  <si>
    <t>H-REQ-041</t>
  </si>
  <si>
    <t>G-AST-00031</t>
  </si>
  <si>
    <t>G-EMP-00165</t>
  </si>
  <si>
    <t>Demo Employee 190</t>
  </si>
  <si>
    <t>SYNTHETIC: IT accepted request</t>
  </si>
  <si>
    <t>G-EMP-00166</t>
  </si>
  <si>
    <t>Demo Employee 191</t>
  </si>
  <si>
    <t>H-REQ-001-E4</t>
  </si>
  <si>
    <t>G-AST-00032</t>
  </si>
  <si>
    <t>G-EMP-00167</t>
  </si>
  <si>
    <t>Demo Employee 192</t>
  </si>
  <si>
    <t>G-EMP-00168</t>
  </si>
  <si>
    <t>Demo Employee 193</t>
  </si>
  <si>
    <t>G-AST-00033</t>
  </si>
  <si>
    <t>G-EMP-00169</t>
  </si>
  <si>
    <t>Demo Employee 194</t>
  </si>
  <si>
    <t>SYNTHETIC: Handed over H-AST-001</t>
  </si>
  <si>
    <t>H-REQ-042</t>
  </si>
  <si>
    <t>G-EMP-00170</t>
  </si>
  <si>
    <t>H-REQ-002-E1</t>
  </si>
  <si>
    <t>Demo Employee 195</t>
  </si>
  <si>
    <t>G-AST-00034</t>
  </si>
  <si>
    <t>G-EMP-00171</t>
  </si>
  <si>
    <t>Demo Employee 196</t>
  </si>
  <si>
    <t>G-EMP-00172</t>
  </si>
  <si>
    <t>G-AST-00035</t>
  </si>
  <si>
    <t>Demo Employee 197</t>
  </si>
  <si>
    <t>H-REQ-002-E2</t>
  </si>
  <si>
    <t>G-EMP-00186</t>
  </si>
  <si>
    <t>H-REQ-043</t>
  </si>
  <si>
    <t>G-EMP-00173</t>
  </si>
  <si>
    <t>Demo Employee 198</t>
  </si>
  <si>
    <t>G-AST-00036</t>
  </si>
  <si>
    <t>G-EMP-00174</t>
  </si>
  <si>
    <t>Demo Employee 199</t>
  </si>
  <si>
    <t>H-REQ-002-E3</t>
  </si>
  <si>
    <t>G-AST-00037</t>
  </si>
  <si>
    <t>G-EMP-00175</t>
  </si>
  <si>
    <t>Demo Employee 200</t>
  </si>
  <si>
    <t>H-REQ-044</t>
  </si>
  <si>
    <t>Demo Employee 201</t>
  </si>
  <si>
    <t>G-AST-00038</t>
  </si>
  <si>
    <t>G-EMP-00177</t>
  </si>
  <si>
    <t>Demo Employee 202</t>
  </si>
  <si>
    <t>H-REQ-002-E4</t>
  </si>
  <si>
    <t>G-EMP-00178</t>
  </si>
  <si>
    <t>Demo Employee 203</t>
  </si>
  <si>
    <t>G-EMP-00179</t>
  </si>
  <si>
    <t>G-AST-00039</t>
  </si>
  <si>
    <t>Demo Employee 204</t>
  </si>
  <si>
    <t>H-REQ-045</t>
  </si>
  <si>
    <t>G-EMP-00180</t>
  </si>
  <si>
    <t>Demo Employee 205</t>
  </si>
  <si>
    <t>SYNTHETIC: Handed over H-AST-002</t>
  </si>
  <si>
    <t>G-EMP-00255</t>
  </si>
  <si>
    <t>G-EMP-00181</t>
  </si>
  <si>
    <t>H-REQ-003-E1</t>
  </si>
  <si>
    <t>Demo Employee 206</t>
  </si>
  <si>
    <t>G-AST-00040</t>
  </si>
  <si>
    <t>Demo Employee 207</t>
  </si>
  <si>
    <t>Demo Employee 208</t>
  </si>
  <si>
    <t>G-AST-00041</t>
  </si>
  <si>
    <t>G-EMP-00184</t>
  </si>
  <si>
    <t>Demo Employee 209</t>
  </si>
  <si>
    <t>H-REQ-046</t>
  </si>
  <si>
    <t>H-REQ-003-E2</t>
  </si>
  <si>
    <t>G-EMP-00265</t>
  </si>
  <si>
    <t>G-EMP-00185</t>
  </si>
  <si>
    <t>Demo Employee 210</t>
  </si>
  <si>
    <t>G-AST-00042</t>
  </si>
  <si>
    <t>Demo Employee 211</t>
  </si>
  <si>
    <t>G-EMP-00202</t>
  </si>
  <si>
    <t>G-EMP-00187</t>
  </si>
  <si>
    <t>Demo Employee 212</t>
  </si>
  <si>
    <t>G-AST-00043</t>
  </si>
  <si>
    <t>H-REQ-003-E3</t>
  </si>
  <si>
    <t>G-EMP-00188</t>
  </si>
  <si>
    <t>Demo Employee 213</t>
  </si>
  <si>
    <t>G-EMP-00240</t>
  </si>
  <si>
    <t>H-REQ-047</t>
  </si>
  <si>
    <t>G-EMP-00189</t>
  </si>
  <si>
    <t>Demo Employee 214</t>
  </si>
  <si>
    <t>G-AST-00044</t>
  </si>
  <si>
    <t>G-EMP-00190</t>
  </si>
  <si>
    <t>Demo Employee 215</t>
  </si>
  <si>
    <t>G-EMP-00209</t>
  </si>
  <si>
    <t>H-REQ-003-E4</t>
  </si>
  <si>
    <t>G-EMP-00191</t>
  </si>
  <si>
    <t>Demo Employee 216</t>
  </si>
  <si>
    <t>G-AST-00045</t>
  </si>
  <si>
    <t>G-EMP-00192</t>
  </si>
  <si>
    <t>Demo Employee 217</t>
  </si>
  <si>
    <t>SYNTHETIC: Handed over H-AST-003</t>
  </si>
  <si>
    <t>G-EMP-00193</t>
  </si>
  <si>
    <t>G-AST-00046</t>
  </si>
  <si>
    <t>Demo Employee 218</t>
  </si>
  <si>
    <t>H-REQ-004-E1</t>
  </si>
  <si>
    <t>H-REQ-048</t>
  </si>
  <si>
    <t>G-EMP-00194</t>
  </si>
  <si>
    <t>Demo Employee 219</t>
  </si>
  <si>
    <t>G-AST-00047</t>
  </si>
  <si>
    <t>G-EMP-00195</t>
  </si>
  <si>
    <t>Demo Employee 220</t>
  </si>
  <si>
    <t>H-REQ-004-E2</t>
  </si>
  <si>
    <t>G-AST-00048</t>
  </si>
  <si>
    <t>G-EMP-00196</t>
  </si>
  <si>
    <t>H-REQ-049</t>
  </si>
  <si>
    <t>Demo Employee 221</t>
  </si>
  <si>
    <t>G-AST-00049</t>
  </si>
  <si>
    <t>G-EMP-00197</t>
  </si>
  <si>
    <t>Demo Employee 222</t>
  </si>
  <si>
    <t>H-REQ-004-E3</t>
  </si>
  <si>
    <t>G-AST-00050</t>
  </si>
  <si>
    <t>G-EMP-00198</t>
  </si>
  <si>
    <t>Demo Employee 223</t>
  </si>
  <si>
    <t>H-REQ-050</t>
  </si>
  <si>
    <t>G-EMP-00199</t>
  </si>
  <si>
    <t>G-AST-00051</t>
  </si>
  <si>
    <t>Demo Employee 224</t>
  </si>
  <si>
    <t>H-REQ-004-E4</t>
  </si>
  <si>
    <t>G-EMP-00200</t>
  </si>
  <si>
    <t>Demo Employee 225</t>
  </si>
  <si>
    <t>G-AST-00052</t>
  </si>
  <si>
    <t>H-REQ-051</t>
  </si>
  <si>
    <t>SYNTHETIC: Handed over H-AST-004</t>
  </si>
  <si>
    <t>G-EMP-00201</t>
  </si>
  <si>
    <t>H-REQ-005-E1</t>
  </si>
  <si>
    <t>Demo Employee 226</t>
  </si>
  <si>
    <t>G-AST-00053</t>
  </si>
  <si>
    <t>Demo Employee 227</t>
  </si>
  <si>
    <t>G-AST-00054</t>
  </si>
  <si>
    <t>G-EMP-00203</t>
  </si>
  <si>
    <t>Demo Employee 228</t>
  </si>
  <si>
    <t>H-REQ-005-E2</t>
  </si>
  <si>
    <t>H-REQ-052</t>
  </si>
  <si>
    <t>G-AST-00055</t>
  </si>
  <si>
    <t>G-EMP-00204</t>
  </si>
  <si>
    <t>Demo Employee 229</t>
  </si>
  <si>
    <t>G-AST-00056</t>
  </si>
  <si>
    <t>G-EMP-00205</t>
  </si>
  <si>
    <t>Demo Employee 230</t>
  </si>
  <si>
    <t>H-REQ-005-E3</t>
  </si>
  <si>
    <t>G-EMP-00206</t>
  </si>
  <si>
    <t>G-AST-00057</t>
  </si>
  <si>
    <t>Demo Employee 231</t>
  </si>
  <si>
    <t>H-REQ-053</t>
  </si>
  <si>
    <t>G-EMP-00207</t>
  </si>
  <si>
    <t>H-REQ-005-E4</t>
  </si>
  <si>
    <t>Demo Employee 232</t>
  </si>
  <si>
    <t>G-AST-00058</t>
  </si>
  <si>
    <t>G-EMP-00208</t>
  </si>
  <si>
    <t>G-AST-00059</t>
  </si>
  <si>
    <t>Demo Employee 233</t>
  </si>
  <si>
    <t>SYNTHETIC: Handed over H-AST-005</t>
  </si>
  <si>
    <t>H-REQ-054</t>
  </si>
  <si>
    <t>Demo Employee 234</t>
  </si>
  <si>
    <t>H-REQ-006-E1</t>
  </si>
  <si>
    <t>G-AST-00060</t>
  </si>
  <si>
    <t>G-EMP-00210</t>
  </si>
  <si>
    <t>Demo Employee 235</t>
  </si>
  <si>
    <t>G-AST-00061</t>
  </si>
  <si>
    <t>G-EMP-00211</t>
  </si>
  <si>
    <t>Demo Employee 236</t>
  </si>
  <si>
    <t>H-REQ-006-E2</t>
  </si>
  <si>
    <t>H-REQ-055</t>
  </si>
  <si>
    <t>G-EMP-00212</t>
  </si>
  <si>
    <t>G-AST-00062</t>
  </si>
  <si>
    <t>Demo Employee 237</t>
  </si>
  <si>
    <t>G-EMP-00213</t>
  </si>
  <si>
    <t>G-AST-00063</t>
  </si>
  <si>
    <t>Demo Employee 238</t>
  </si>
  <si>
    <t>H-REQ-056</t>
  </si>
  <si>
    <t>H-REQ-006-E3</t>
  </si>
  <si>
    <t>G-EMP-00214</t>
  </si>
  <si>
    <t>Demo Employee 239</t>
  </si>
  <si>
    <t>G-AST-00064</t>
  </si>
  <si>
    <t>H-REQ-057</t>
  </si>
  <si>
    <t>G-AST-00065</t>
  </si>
  <si>
    <t>Demo Employee 240</t>
  </si>
  <si>
    <t>H-REQ-006-E4</t>
  </si>
  <si>
    <t>G-EMP-00216</t>
  </si>
  <si>
    <t>Demo Employee 241</t>
  </si>
  <si>
    <t>G-AST-00066</t>
  </si>
  <si>
    <t>H-REQ-058</t>
  </si>
  <si>
    <t>G-EMP-00217</t>
  </si>
  <si>
    <t>Demo Employee 242</t>
  </si>
  <si>
    <t>SYNTHETIC: Handed over H-AST-006</t>
  </si>
  <si>
    <t>G-AST-00067</t>
  </si>
  <si>
    <t>H-REQ-007-E1</t>
  </si>
  <si>
    <t>H-REQ-059</t>
  </si>
  <si>
    <t>G-EMP-00218</t>
  </si>
  <si>
    <t>Demo Employee 243</t>
  </si>
  <si>
    <t>H-REQ-060</t>
  </si>
  <si>
    <t>Demo Employee 244</t>
  </si>
  <si>
    <t>H-REQ-007-E2</t>
  </si>
  <si>
    <t>Demo Employee 245</t>
  </si>
  <si>
    <t>H-REQ-061</t>
  </si>
  <si>
    <t>G-EMP-00221</t>
  </si>
  <si>
    <t>SYNTHETIC: Request rejected</t>
  </si>
  <si>
    <t>Demo Employee 246</t>
  </si>
  <si>
    <t>H-REQ-008-E1</t>
  </si>
  <si>
    <t>H-REQ-062</t>
  </si>
  <si>
    <t>Demo Employee 247</t>
  </si>
  <si>
    <t>G-EMP-00223</t>
  </si>
  <si>
    <t>Demo Employee 248</t>
  </si>
  <si>
    <t>H-REQ-008-E2</t>
  </si>
  <si>
    <t>G-EMP-00224</t>
  </si>
  <si>
    <t>H-REQ-063</t>
  </si>
  <si>
    <t>Demo Employee 249</t>
  </si>
  <si>
    <t>SYNTHETIC: Requester cancelled</t>
  </si>
  <si>
    <t>H-REQ-009-E1</t>
  </si>
  <si>
    <t>H-REQ-064</t>
  </si>
  <si>
    <t>Demo Employee 250</t>
  </si>
  <si>
    <t>H-REQ-065</t>
  </si>
  <si>
    <t>H-REQ-009-E2</t>
  </si>
  <si>
    <t>G-EMP-00226</t>
  </si>
  <si>
    <t>Demo Employee 251</t>
  </si>
  <si>
    <t>Demo Employee 252</t>
  </si>
  <si>
    <t>H-REQ-066</t>
  </si>
  <si>
    <t>Demo Employee 253</t>
  </si>
  <si>
    <t>G-EMP-00229</t>
  </si>
  <si>
    <t>Demo Employee 254</t>
  </si>
  <si>
    <t>H-REQ-067</t>
  </si>
  <si>
    <t>G-EMP-00230</t>
  </si>
  <si>
    <t>Demo Employee 255</t>
  </si>
  <si>
    <t>H-REQ-068</t>
  </si>
  <si>
    <t>G-EMP-00231</t>
  </si>
  <si>
    <t>Demo Employee 256</t>
  </si>
  <si>
    <t>G-EMP-00232</t>
  </si>
  <si>
    <t>Demo Employee 257</t>
  </si>
  <si>
    <t>H-REQ-069</t>
  </si>
  <si>
    <t>G-EMP-00233</t>
  </si>
  <si>
    <t>Demo Employee 258</t>
  </si>
  <si>
    <t>G-EMP-00234</t>
  </si>
  <si>
    <t>Demo Employee 259</t>
  </si>
  <si>
    <t>H-REQ-070</t>
  </si>
  <si>
    <t>G-EMP-00235</t>
  </si>
  <si>
    <t>Demo Employee 260</t>
  </si>
  <si>
    <t>H-REQ-071</t>
  </si>
  <si>
    <t>G-AST-00068</t>
  </si>
  <si>
    <t>G-EMP-00236</t>
  </si>
  <si>
    <t>Demo Employee 261</t>
  </si>
  <si>
    <t>G-EMP-00237</t>
  </si>
  <si>
    <t>G-AST-00069</t>
  </si>
  <si>
    <t>Demo Employee 262</t>
  </si>
  <si>
    <t>H-REQ-072</t>
  </si>
  <si>
    <t>G-EMP-00238</t>
  </si>
  <si>
    <t>Demo Employee 263</t>
  </si>
  <si>
    <t>G-AST-00070</t>
  </si>
  <si>
    <t>G-EMP-00239</t>
  </si>
  <si>
    <t>H-REQ-073</t>
  </si>
  <si>
    <t>Demo Employee 264</t>
  </si>
  <si>
    <t>G-AST-00071</t>
  </si>
  <si>
    <t>Demo Employee 265</t>
  </si>
  <si>
    <t>G-EMP-00241</t>
  </si>
  <si>
    <t>H-REQ-074</t>
  </si>
  <si>
    <t>Demo Employee 266</t>
  </si>
  <si>
    <t>G-EMP-00242</t>
  </si>
  <si>
    <t>Demo Employee 267</t>
  </si>
  <si>
    <t>G-EMP-00243</t>
  </si>
  <si>
    <t>H-REQ-075</t>
  </si>
  <si>
    <t>Demo Employee 268</t>
  </si>
  <si>
    <t>G-AST-00072</t>
  </si>
  <si>
    <t>G-EMP-00244</t>
  </si>
  <si>
    <t>Demo Employee 269</t>
  </si>
  <si>
    <t>H-REQ-076</t>
  </si>
  <si>
    <t>G-AST-00073</t>
  </si>
  <si>
    <t>G-EMP-00245</t>
  </si>
  <si>
    <t>Demo Employee 270</t>
  </si>
  <si>
    <t>G-EMP-00246</t>
  </si>
  <si>
    <t>G-AST-00074</t>
  </si>
  <si>
    <t>Demo Employee 271</t>
  </si>
  <si>
    <t>H-REQ-077</t>
  </si>
  <si>
    <t>G-EMP-00247</t>
  </si>
  <si>
    <t>G-AST-00075</t>
  </si>
  <si>
    <t>Demo Employee 272</t>
  </si>
  <si>
    <t>H-REQ-078</t>
  </si>
  <si>
    <t>G-EMP-00248</t>
  </si>
  <si>
    <t>Demo Employee 273</t>
  </si>
  <si>
    <t>G-AST-00076</t>
  </si>
  <si>
    <t>H-REQ-079</t>
  </si>
  <si>
    <t>G-EMP-00249</t>
  </si>
  <si>
    <t>Demo Employee 274</t>
  </si>
  <si>
    <t>G-AST-00077</t>
  </si>
  <si>
    <t>H-REQ-009-E3</t>
  </si>
  <si>
    <t>G-EMP-00250</t>
  </si>
  <si>
    <t>Demo Employee 275</t>
  </si>
  <si>
    <t>H-REQ-080</t>
  </si>
  <si>
    <t>G-AST-00078</t>
  </si>
  <si>
    <t>G-EMP-00251</t>
  </si>
  <si>
    <t>Demo Employee 276</t>
  </si>
  <si>
    <t>G-AST-00079</t>
  </si>
  <si>
    <t>G-EMP-00252</t>
  </si>
  <si>
    <t>Demo Employee 277</t>
  </si>
  <si>
    <t>H-REQ-081</t>
  </si>
  <si>
    <t>H-REQ-010-E1</t>
  </si>
  <si>
    <t>G-EMP-00253</t>
  </si>
  <si>
    <t>G-AST-00080</t>
  </si>
  <si>
    <t>Demo Employee 278</t>
  </si>
  <si>
    <t>H-REQ-082</t>
  </si>
  <si>
    <t>G-EMP-00254</t>
  </si>
  <si>
    <t>Demo Employee 279</t>
  </si>
  <si>
    <t>H-REQ-011-E1</t>
  </si>
  <si>
    <t>G-AST-00081</t>
  </si>
  <si>
    <t>Demo Employee 280</t>
  </si>
  <si>
    <t>G-AST-00082</t>
  </si>
  <si>
    <t>H-REQ-083</t>
  </si>
  <si>
    <t>G-EMP-00256</t>
  </si>
  <si>
    <t>Demo Employee 281</t>
  </si>
  <si>
    <t>H-REQ-011-E2</t>
  </si>
  <si>
    <t>G-EMP-00257</t>
  </si>
  <si>
    <t>G-AST-00083</t>
  </si>
  <si>
    <t>Demo Employee 282</t>
  </si>
  <si>
    <t>G-EMP-00258</t>
  </si>
  <si>
    <t>Demo Employee 283</t>
  </si>
  <si>
    <t>H-REQ-084</t>
  </si>
  <si>
    <t>G-AST-00084</t>
  </si>
  <si>
    <t>H-REQ-011-E3</t>
  </si>
  <si>
    <t>G-EMP-00259</t>
  </si>
  <si>
    <t>Demo Employee 284</t>
  </si>
  <si>
    <t>G-AST-00085</t>
  </si>
  <si>
    <t>G-EMP-00260</t>
  </si>
  <si>
    <t>H-REQ-085</t>
  </si>
  <si>
    <t>Demo Employee 285</t>
  </si>
  <si>
    <t>G-AST-00086</t>
  </si>
  <si>
    <t>Demo Employee 286</t>
  </si>
  <si>
    <t>H-REQ-086</t>
  </si>
  <si>
    <t>G-AST-00087</t>
  </si>
  <si>
    <t>G-EMP-00262</t>
  </si>
  <si>
    <t>Demo Employee 287</t>
  </si>
  <si>
    <t>H-REQ-011-E4</t>
  </si>
  <si>
    <t>G-EMP-00263</t>
  </si>
  <si>
    <t>G-AST-00088</t>
  </si>
  <si>
    <t>Demo Employee 288</t>
  </si>
  <si>
    <t>H-REQ-087</t>
  </si>
  <si>
    <t>G-AST-00089</t>
  </si>
  <si>
    <t>Demo Employee 289</t>
  </si>
  <si>
    <t>H-REQ-088</t>
  </si>
  <si>
    <t>Demo Employee 290</t>
  </si>
  <si>
    <t>G-AST-00090</t>
  </si>
  <si>
    <t>SYNTHETIC: Handed over H-AST-007</t>
  </si>
  <si>
    <t>G-EMP-00266</t>
  </si>
  <si>
    <t>H-REQ-089</t>
  </si>
  <si>
    <t>Demo Employee 291</t>
  </si>
  <si>
    <t>H-REQ-012-E1</t>
  </si>
  <si>
    <t>G-AST-00091</t>
  </si>
  <si>
    <t>G-EMP-00267</t>
  </si>
  <si>
    <t>Demo Employee 292</t>
  </si>
  <si>
    <t>G-EMP-00274</t>
  </si>
  <si>
    <t>G-AST-00092</t>
  </si>
  <si>
    <t>G-EMP-00268</t>
  </si>
  <si>
    <t>H-REQ-090</t>
  </si>
  <si>
    <t>Demo Employee 293</t>
  </si>
  <si>
    <t>G-AST-00093</t>
  </si>
  <si>
    <t>G-EMP-00269</t>
  </si>
  <si>
    <t>Demo Employee 294</t>
  </si>
  <si>
    <t>H-REQ-012-E2</t>
  </si>
  <si>
    <t>G-EMP-00270</t>
  </si>
  <si>
    <t>Demo Employee 295</t>
  </si>
  <si>
    <t>G-AST-00094</t>
  </si>
  <si>
    <t>G-EMP-00271</t>
  </si>
  <si>
    <t>H-REQ-091</t>
  </si>
  <si>
    <t>Demo Employee 296</t>
  </si>
  <si>
    <t>G-EMP-00272</t>
  </si>
  <si>
    <t>Demo Employee 297</t>
  </si>
  <si>
    <t>G-AST-00095</t>
  </si>
  <si>
    <t>Demo Employee 298</t>
  </si>
  <si>
    <t>Demo Employee 299</t>
  </si>
  <si>
    <t>G-AST-00096</t>
  </si>
  <si>
    <t>G-EMP-00275</t>
  </si>
  <si>
    <t>Demo Employee 300</t>
  </si>
  <si>
    <t>H-REQ-012-E3</t>
  </si>
  <si>
    <t>H-REQ-092</t>
  </si>
  <si>
    <t>G-AST-00097</t>
  </si>
  <si>
    <t>G-AST-00098</t>
  </si>
  <si>
    <t>G-AST-00099</t>
  </si>
  <si>
    <t>H-REQ-093</t>
  </si>
  <si>
    <t>H-REQ-012-E4</t>
  </si>
  <si>
    <t>G-AST-00100</t>
  </si>
  <si>
    <t>SYNTHETIC: Handed over H-AST-008</t>
  </si>
  <si>
    <t>G-AST-00101</t>
  </si>
  <si>
    <t>H-REQ-013-E1</t>
  </si>
  <si>
    <t>H-REQ-094</t>
  </si>
  <si>
    <t>G-AST-00102</t>
  </si>
  <si>
    <t>G-AST-00103</t>
  </si>
  <si>
    <t>H-REQ-013-E2</t>
  </si>
  <si>
    <t>G-AST-00104</t>
  </si>
  <si>
    <t>H-REQ-095</t>
  </si>
  <si>
    <t>H-REQ-013-E3</t>
  </si>
  <si>
    <t>G-AST-00105</t>
  </si>
  <si>
    <t>G-AST-00106</t>
  </si>
  <si>
    <t>H-REQ-013-E4</t>
  </si>
  <si>
    <t>G-AST-00107</t>
  </si>
  <si>
    <t>H-REQ-096</t>
  </si>
  <si>
    <t>G-AST-00108</t>
  </si>
  <si>
    <t>SYNTHETIC: Handed over H-AST-009</t>
  </si>
  <si>
    <t>G-AST-00109</t>
  </si>
  <si>
    <t>H-REQ-014-E1</t>
  </si>
  <si>
    <t>H-REQ-097</t>
  </si>
  <si>
    <t>G-AST-00110</t>
  </si>
  <si>
    <t>H-REQ-014-E2</t>
  </si>
  <si>
    <t>G-AST-00111</t>
  </si>
  <si>
    <t>H-REQ-098</t>
  </si>
  <si>
    <t>G-AST-00112</t>
  </si>
  <si>
    <t>H-REQ-014-E3</t>
  </si>
  <si>
    <t>H-REQ-099</t>
  </si>
  <si>
    <t>G-AST-00113</t>
  </si>
  <si>
    <t>H-REQ-014-E4</t>
  </si>
  <si>
    <t>G-AST-00114</t>
  </si>
  <si>
    <t>H-REQ-100</t>
  </si>
  <si>
    <t>SYNTHETIC: Handed over H-AST-010</t>
  </si>
  <si>
    <t>H-REQ-015-E1</t>
  </si>
  <si>
    <t>G-AST-00115</t>
  </si>
  <si>
    <t>H-RET-001</t>
  </si>
  <si>
    <t>G-AST-00116</t>
  </si>
  <si>
    <t>Laptop return</t>
  </si>
  <si>
    <t>G-AST-00117</t>
  </si>
  <si>
    <t>H-RET-002</t>
  </si>
  <si>
    <t>H-REQ-015-E2</t>
  </si>
  <si>
    <t>G-AST-00118</t>
  </si>
  <si>
    <t>G-AST-00119</t>
  </si>
  <si>
    <t>H-RET-003</t>
  </si>
  <si>
    <t>H-REQ-015-E3</t>
  </si>
  <si>
    <t>G-AST-00120</t>
  </si>
  <si>
    <t>G-AST-00121</t>
  </si>
  <si>
    <t>H-RET-004</t>
  </si>
  <si>
    <t>H-REQ-015-E4</t>
  </si>
  <si>
    <t>SYNTHETIC: Handed over H-AST-011</t>
  </si>
  <si>
    <t>H-REQ-016-E1</t>
  </si>
  <si>
    <t>H-RET-005</t>
  </si>
  <si>
    <t>G-AST-00122</t>
  </si>
  <si>
    <t>H-REQ-016-E2</t>
  </si>
  <si>
    <t>H-RET-006</t>
  </si>
  <si>
    <t>G-AST-00123</t>
  </si>
  <si>
    <t>G-AST-00124</t>
  </si>
  <si>
    <t>H-REQ-016-E3</t>
  </si>
  <si>
    <t>H-RET-007</t>
  </si>
  <si>
    <t>G-AST-00125</t>
  </si>
  <si>
    <t>H-REQ-016-E4</t>
  </si>
  <si>
    <t>G-AST-00126</t>
  </si>
  <si>
    <t>H-RET-008</t>
  </si>
  <si>
    <t>G-AST-00127</t>
  </si>
  <si>
    <t>SYNTHETIC: Handed over H-AST-012</t>
  </si>
  <si>
    <t>H-RET-009</t>
  </si>
  <si>
    <t>H-REQ-017-E1</t>
  </si>
  <si>
    <t>G-AST-00128</t>
  </si>
  <si>
    <t>H-RET-010</t>
  </si>
  <si>
    <t>G-AST-00129</t>
  </si>
  <si>
    <t>H-REQ-017-E2</t>
  </si>
  <si>
    <t>G-AST-00130</t>
  </si>
  <si>
    <t>H-RET-011</t>
  </si>
  <si>
    <t>G-AST-00131</t>
  </si>
  <si>
    <t>H-REQ-018-E1</t>
  </si>
  <si>
    <t>G-AST-00132</t>
  </si>
  <si>
    <t>H-RET-012</t>
  </si>
  <si>
    <t>G-AST-00133</t>
  </si>
  <si>
    <t>H-REQ-018-E2</t>
  </si>
  <si>
    <t>H-RET-013</t>
  </si>
  <si>
    <t>G-AST-00134</t>
  </si>
  <si>
    <t>H-RET-014</t>
  </si>
  <si>
    <t>G-AST-00135</t>
  </si>
  <si>
    <t>H-REQ-019-E1</t>
  </si>
  <si>
    <t>H-RET-015</t>
  </si>
  <si>
    <t>G-AST-00136</t>
  </si>
  <si>
    <t>H-RET-016</t>
  </si>
  <si>
    <t>H-REQ-019-E2</t>
  </si>
  <si>
    <t>G-AST-00137</t>
  </si>
  <si>
    <t>H-RET-017</t>
  </si>
  <si>
    <t>G-AST-00138</t>
  </si>
  <si>
    <t>H-REQ-019-E3</t>
  </si>
  <si>
    <t>H-RET-018</t>
  </si>
  <si>
    <t>G-AST-00139</t>
  </si>
  <si>
    <t>H-RET-019</t>
  </si>
  <si>
    <t>G-AST-00140</t>
  </si>
  <si>
    <t>H-REQ-020-E1</t>
  </si>
  <si>
    <t>H-RET-020</t>
  </si>
  <si>
    <t>G-AST-00141</t>
  </si>
  <si>
    <t>H-RET-021</t>
  </si>
  <si>
    <t>G-AST-00142</t>
  </si>
  <si>
    <t>H-REQ-021-E1</t>
  </si>
  <si>
    <t>H-RET-022</t>
  </si>
  <si>
    <t>G-AST-00143</t>
  </si>
  <si>
    <t>G-AST-00144</t>
  </si>
  <si>
    <t>H-RET-023</t>
  </si>
  <si>
    <t>H-REQ-021-E2</t>
  </si>
  <si>
    <t>H-RET-024</t>
  </si>
  <si>
    <t>H-REQ-021-E3</t>
  </si>
  <si>
    <t>H-RET-025</t>
  </si>
  <si>
    <t>G-AST-00145</t>
  </si>
  <si>
    <t>H-RET-026</t>
  </si>
  <si>
    <t>H-REQ-021-E4</t>
  </si>
  <si>
    <t>G-AST-00146</t>
  </si>
  <si>
    <t>H-RET-027</t>
  </si>
  <si>
    <t>G-AST-00147</t>
  </si>
  <si>
    <t>H-RET-028</t>
  </si>
  <si>
    <t>SYNTHETIC: Handed over H-AST-013</t>
  </si>
  <si>
    <t>H-REQ-022-E1</t>
  </si>
  <si>
    <t>G-AST-00148</t>
  </si>
  <si>
    <t>H-RET-029</t>
  </si>
  <si>
    <t>G-AST-00149</t>
  </si>
  <si>
    <t>H-RET-030</t>
  </si>
  <si>
    <t>H-REQ-022-E2</t>
  </si>
  <si>
    <t>G-AST-00150</t>
  </si>
  <si>
    <t>H-RET-031</t>
  </si>
  <si>
    <t>H-REQ-022-E3</t>
  </si>
  <si>
    <t>G-AST-00151</t>
  </si>
  <si>
    <t>H-RET-032</t>
  </si>
  <si>
    <t>G-AST-00152</t>
  </si>
  <si>
    <t>H-RET-033</t>
  </si>
  <si>
    <t>H-REQ-022-E4</t>
  </si>
  <si>
    <t>G-AST-00153</t>
  </si>
  <si>
    <t>H-RET-034</t>
  </si>
  <si>
    <t>SYNTHETIC: Handed over H-AST-014</t>
  </si>
  <si>
    <t>G-AST-00154</t>
  </si>
  <si>
    <t>H-RET-035</t>
  </si>
  <si>
    <t>H-REQ-023-E1</t>
  </si>
  <si>
    <t>G-AST-00155</t>
  </si>
  <si>
    <t>H-RET-036</t>
  </si>
  <si>
    <t>G-AST-00156</t>
  </si>
  <si>
    <t>H-RET-037</t>
  </si>
  <si>
    <t>H-REQ-023-E2</t>
  </si>
  <si>
    <t>G-AST-00157</t>
  </si>
  <si>
    <t>H-RET-038</t>
  </si>
  <si>
    <t>H-REQ-023-E3</t>
  </si>
  <si>
    <t>G-AST-00158</t>
  </si>
  <si>
    <t>H-RET-039</t>
  </si>
  <si>
    <t>G-AST-00159</t>
  </si>
  <si>
    <t>H-RET-040</t>
  </si>
  <si>
    <t>G-AST-00160</t>
  </si>
  <si>
    <t>H-RET-041</t>
  </si>
  <si>
    <t>H-REQ-023-E4</t>
  </si>
  <si>
    <t>G-AST-00161</t>
  </si>
  <si>
    <t>H-RET-042</t>
  </si>
  <si>
    <t>H-RET-043</t>
  </si>
  <si>
    <t>G-AST-00162</t>
  </si>
  <si>
    <t>SYNTHETIC: Handed over H-AST-015</t>
  </si>
  <si>
    <t>H-REQ-024-E1</t>
  </si>
  <si>
    <t>H-RET-044</t>
  </si>
  <si>
    <t>G-AST-00163</t>
  </si>
  <si>
    <t>H-RET-045</t>
  </si>
  <si>
    <t>H-REQ-024-E2</t>
  </si>
  <si>
    <t>H-RET-046</t>
  </si>
  <si>
    <t>H-REQ-024-E3</t>
  </si>
  <si>
    <t>H-RET-047</t>
  </si>
  <si>
    <t>H-RET-048</t>
  </si>
  <si>
    <t>H-REQ-024-E4</t>
  </si>
  <si>
    <t>G-AST-00164</t>
  </si>
  <si>
    <t>G-REQ-00001</t>
  </si>
  <si>
    <t>G-AST-00165</t>
  </si>
  <si>
    <t>SYNTHETIC: Handed over H-AST-016</t>
  </si>
  <si>
    <t>G-REQ-00002</t>
  </si>
  <si>
    <t>H-REQ-025-E1</t>
  </si>
  <si>
    <t>G-AST-00166</t>
  </si>
  <si>
    <t>G-REQ-00003</t>
  </si>
  <si>
    <t>G-AST-00167</t>
  </si>
  <si>
    <t>H-REQ-025-E2</t>
  </si>
  <si>
    <t>G-REQ-00004</t>
  </si>
  <si>
    <t>G-AST-00168</t>
  </si>
  <si>
    <t>G-REQ-00005</t>
  </si>
  <si>
    <t>H-REQ-025-E3</t>
  </si>
  <si>
    <t>G-AST-00169</t>
  </si>
  <si>
    <t>G-REQ-00006</t>
  </si>
  <si>
    <t>G-AST-00170</t>
  </si>
  <si>
    <t>H-REQ-025-E4</t>
  </si>
  <si>
    <t>G-REQ-00007</t>
  </si>
  <si>
    <t>G-AST-00171</t>
  </si>
  <si>
    <t>G-REQ-00008</t>
  </si>
  <si>
    <t>SYNTHETIC: Handed over H-AST-017</t>
  </si>
  <si>
    <t>G-AST-00172</t>
  </si>
  <si>
    <t>H-REQ-026-E1</t>
  </si>
  <si>
    <t>G-REQ-00009</t>
  </si>
  <si>
    <t>G-AST-00173</t>
  </si>
  <si>
    <t>G-REQ-00010</t>
  </si>
  <si>
    <t>H-REQ-026-E2</t>
  </si>
  <si>
    <t>G-AST-00174</t>
  </si>
  <si>
    <t>G-REQ-00011</t>
  </si>
  <si>
    <t>G-AST-00175</t>
  </si>
  <si>
    <t>H-REQ-026-E3</t>
  </si>
  <si>
    <t>G-REQ-00012</t>
  </si>
  <si>
    <t>G-AST-00176</t>
  </si>
  <si>
    <t>G-REQ-00013</t>
  </si>
  <si>
    <t>G-AST-00177</t>
  </si>
  <si>
    <t>H-REQ-026-E4</t>
  </si>
  <si>
    <t>G-REQ-00014</t>
  </si>
  <si>
    <t>G-AST-00178</t>
  </si>
  <si>
    <t>SYNTHETIC: Handed over H-AST-018</t>
  </si>
  <si>
    <t>G-REQ-00015</t>
  </si>
  <si>
    <t>H-REQ-027-E1</t>
  </si>
  <si>
    <t>G-AST-00179</t>
  </si>
  <si>
    <t>G-REQ-00016</t>
  </si>
  <si>
    <t>G-AST-00180</t>
  </si>
  <si>
    <t>H-REQ-027-E2</t>
  </si>
  <si>
    <t>G-AST-00181</t>
  </si>
  <si>
    <t>G-REQ-00017</t>
  </si>
  <si>
    <t>G-AST-00182</t>
  </si>
  <si>
    <t>G-REQ-00018</t>
  </si>
  <si>
    <t>G-AST-00183</t>
  </si>
  <si>
    <t>G-REQ-00019</t>
  </si>
  <si>
    <t>G-AST-00184</t>
  </si>
  <si>
    <t>G-AST-00185</t>
  </si>
  <si>
    <t>G-REQ-00020</t>
  </si>
  <si>
    <t>G-AST-00186</t>
  </si>
  <si>
    <t>G-REQ-00021</t>
  </si>
  <si>
    <t>H-REQ-028-E1</t>
  </si>
  <si>
    <t>G-AST-00187</t>
  </si>
  <si>
    <t>G-REQ-00022</t>
  </si>
  <si>
    <t>G-AST-00188</t>
  </si>
  <si>
    <t>G-REQ-00023</t>
  </si>
  <si>
    <t>H-REQ-028-E2</t>
  </si>
  <si>
    <t>G-AST-00189</t>
  </si>
  <si>
    <t>G-REQ-00024</t>
  </si>
  <si>
    <t>G-AST-00190</t>
  </si>
  <si>
    <t>G-AST-00191</t>
  </si>
  <si>
    <t>G-REQ-00025</t>
  </si>
  <si>
    <t>H-REQ-029-E1</t>
  </si>
  <si>
    <t>G-AST-00192</t>
  </si>
  <si>
    <t>G-REQ-00026</t>
  </si>
  <si>
    <t>G-AST-00193</t>
  </si>
  <si>
    <t>G-REQ-00027</t>
  </si>
  <si>
    <t>H-REQ-029-E2</t>
  </si>
  <si>
    <t>G-AST-00194</t>
  </si>
  <si>
    <t>G-REQ-00028</t>
  </si>
  <si>
    <t>G-AST-00195</t>
  </si>
  <si>
    <t>G-REQ-00029</t>
  </si>
  <si>
    <t>H-REQ-029-E3</t>
  </si>
  <si>
    <t>G-AST-00196</t>
  </si>
  <si>
    <t>G-REQ-00030</t>
  </si>
  <si>
    <t>G-AST-00197</t>
  </si>
  <si>
    <t>H-REQ-030-E1</t>
  </si>
  <si>
    <t>G-REQ-00031</t>
  </si>
  <si>
    <t>G-AST-00198</t>
  </si>
  <si>
    <t>G-REQ-00032</t>
  </si>
  <si>
    <t>H-REQ-031-E1</t>
  </si>
  <si>
    <t>G-AST-00199</t>
  </si>
  <si>
    <t>G-REQ-00033</t>
  </si>
  <si>
    <t>G-AST-00200</t>
  </si>
  <si>
    <t>H-REQ-031-E2</t>
  </si>
  <si>
    <t>G-REQ-00034</t>
  </si>
  <si>
    <t>G-AST-00201</t>
  </si>
  <si>
    <t>G-AST-00202</t>
  </si>
  <si>
    <t>G-REQ-00035</t>
  </si>
  <si>
    <t>H-REQ-031-E3</t>
  </si>
  <si>
    <t>G-AST-00203</t>
  </si>
  <si>
    <t>G-REQ-00036</t>
  </si>
  <si>
    <t>G-AST-00204</t>
  </si>
  <si>
    <t>G-REQ-00037</t>
  </si>
  <si>
    <t>H-REQ-031-E4</t>
  </si>
  <si>
    <t>G-AST-00205</t>
  </si>
  <si>
    <t>G-REQ-00038</t>
  </si>
  <si>
    <t>G-AST-00206</t>
  </si>
  <si>
    <t>SYNTHETIC: Handed over H-AST-019</t>
  </si>
  <si>
    <t>H-REQ-032-E1</t>
  </si>
  <si>
    <t>G-REQ-00039</t>
  </si>
  <si>
    <t>G-AST-00207</t>
  </si>
  <si>
    <t>G-REQ-00040</t>
  </si>
  <si>
    <t>G-AST-00208</t>
  </si>
  <si>
    <t>H-REQ-032-E2</t>
  </si>
  <si>
    <t>G-REQ-00041</t>
  </si>
  <si>
    <t>G-AST-00209</t>
  </si>
  <si>
    <t>H-REQ-032-E3</t>
  </si>
  <si>
    <t>G-REQ-00042</t>
  </si>
  <si>
    <t>G-AST-00210</t>
  </si>
  <si>
    <t>Laptop repair</t>
  </si>
  <si>
    <t>G-AST-00211</t>
  </si>
  <si>
    <t>G-REQ-00043</t>
  </si>
  <si>
    <t>H-REQ-032-E4</t>
  </si>
  <si>
    <t>G-AST-00212</t>
  </si>
  <si>
    <t>G-REQ-00044</t>
  </si>
  <si>
    <t>G-AST-00213</t>
  </si>
  <si>
    <t>SYNTHETIC: Handed over H-AST-020</t>
  </si>
  <si>
    <t>G-REQ-00045</t>
  </si>
  <si>
    <t>G-AST-00214</t>
  </si>
  <si>
    <t>H-REQ-033-E1</t>
  </si>
  <si>
    <t>G-REQ-00046</t>
  </si>
  <si>
    <t>G-AST-00215</t>
  </si>
  <si>
    <t>H-REQ-033-E2</t>
  </si>
  <si>
    <t>G-AST-00216</t>
  </si>
  <si>
    <t>G-REQ-00047</t>
  </si>
  <si>
    <t>G-AST-00217</t>
  </si>
  <si>
    <t>G-REQ-00048</t>
  </si>
  <si>
    <t>H-REQ-033-E3</t>
  </si>
  <si>
    <t>G-AST-00218</t>
  </si>
  <si>
    <t>G-REQ-00049</t>
  </si>
  <si>
    <t>G-AST-00219</t>
  </si>
  <si>
    <t>H-REQ-033-E4</t>
  </si>
  <si>
    <t>G-REQ-00050</t>
  </si>
  <si>
    <t>G-AST-00220</t>
  </si>
  <si>
    <t>SYNTHETIC: Handed over H-AST-021</t>
  </si>
  <si>
    <t>G-REQ-00051</t>
  </si>
  <si>
    <t>G-AST-00221</t>
  </si>
  <si>
    <t>H-REQ-034-E1</t>
  </si>
  <si>
    <t>G-AST-00222</t>
  </si>
  <si>
    <t>G-REQ-00052</t>
  </si>
  <si>
    <t>G-AST-00223</t>
  </si>
  <si>
    <t>H-REQ-034-E2</t>
  </si>
  <si>
    <t>G-REQ-00053</t>
  </si>
  <si>
    <t>G-AST-00224</t>
  </si>
  <si>
    <t>G-REQ-00054</t>
  </si>
  <si>
    <t>G-AST-00225</t>
  </si>
  <si>
    <t>H-REQ-034-E3</t>
  </si>
  <si>
    <t>G-AST-00226</t>
  </si>
  <si>
    <t>G-REQ-00055</t>
  </si>
  <si>
    <t>H-REQ-034-E4</t>
  </si>
  <si>
    <t>G-AST-00227</t>
  </si>
  <si>
    <t>G-REQ-00056</t>
  </si>
  <si>
    <t>G-AST-00228</t>
  </si>
  <si>
    <t>SYNTHETIC: Handed over H-AST-022</t>
  </si>
  <si>
    <t>H-REQ-035-E1</t>
  </si>
  <si>
    <t>G-REQ-00057</t>
  </si>
  <si>
    <t>G-AST-00229</t>
  </si>
  <si>
    <t>G-AST-00230</t>
  </si>
  <si>
    <t>G-REQ-00058</t>
  </si>
  <si>
    <t>H-REQ-035-E2</t>
  </si>
  <si>
    <t>G-AST-00231</t>
  </si>
  <si>
    <t>G-REQ-00059</t>
  </si>
  <si>
    <t>G-AST-00232</t>
  </si>
  <si>
    <t>H-REQ-035-E3</t>
  </si>
  <si>
    <t>G-REQ-00060</t>
  </si>
  <si>
    <t>G-AST-00233</t>
  </si>
  <si>
    <t>G-REQ-00061</t>
  </si>
  <si>
    <t>G-AST-00234</t>
  </si>
  <si>
    <t>H-REQ-035-E4</t>
  </si>
  <si>
    <t>G-REQ-00062</t>
  </si>
  <si>
    <t>G-AST-00235</t>
  </si>
  <si>
    <t>SYNTHETIC: Handed over H-AST-023</t>
  </si>
  <si>
    <t>H-REQ-036-E1</t>
  </si>
  <si>
    <t>G-REQ-00063</t>
  </si>
  <si>
    <t>G-AST-00236</t>
  </si>
  <si>
    <t>G-AST-00237</t>
  </si>
  <si>
    <t>G-REQ-00064</t>
  </si>
  <si>
    <t>H-REQ-036-E2</t>
  </si>
  <si>
    <t>G-AST-00238</t>
  </si>
  <si>
    <t>G-REQ-00065</t>
  </si>
  <si>
    <t>G-AST-00239</t>
  </si>
  <si>
    <t>H-REQ-036-E3</t>
  </si>
  <si>
    <t>G-REQ-00066</t>
  </si>
  <si>
    <t>G-AST-00240</t>
  </si>
  <si>
    <t>G-REQ-00067</t>
  </si>
  <si>
    <t>G-AST-00241</t>
  </si>
  <si>
    <t>H-REQ-036-E4</t>
  </si>
  <si>
    <t>G-AST-00242</t>
  </si>
  <si>
    <t>G-REQ-00068</t>
  </si>
  <si>
    <t>SYNTHETIC: Handed over H-AST-024</t>
  </si>
  <si>
    <t>H-REQ-037-E1</t>
  </si>
  <si>
    <t>G-AST-00243</t>
  </si>
  <si>
    <t>G-REQ-00069</t>
  </si>
  <si>
    <t>G-AST-00244</t>
  </si>
  <si>
    <t>G-REQ-00070</t>
  </si>
  <si>
    <t>H-REQ-037-E2</t>
  </si>
  <si>
    <t>G-AST-00245</t>
  </si>
  <si>
    <t>G-REQ-00071</t>
  </si>
  <si>
    <t>G-AST-00246</t>
  </si>
  <si>
    <t>H-REQ-038-E1</t>
  </si>
  <si>
    <t>G-REQ-00072</t>
  </si>
  <si>
    <t>G-AST-00247</t>
  </si>
  <si>
    <t>G-AST-00248</t>
  </si>
  <si>
    <t>G-REQ-00073</t>
  </si>
  <si>
    <t>H-REQ-038-E2</t>
  </si>
  <si>
    <t>G-AST-00249</t>
  </si>
  <si>
    <t>G-REQ-00074</t>
  </si>
  <si>
    <t>H-REQ-039-E1</t>
  </si>
  <si>
    <t>G-AST-00250</t>
  </si>
  <si>
    <t>G-REQ-00075</t>
  </si>
  <si>
    <t>G-AST-00251</t>
  </si>
  <si>
    <t>G-REQ-00076</t>
  </si>
  <si>
    <t>H-REQ-039-E2</t>
  </si>
  <si>
    <t>G-AST-00252</t>
  </si>
  <si>
    <t>G-REQ-00077</t>
  </si>
  <si>
    <t>G-AST-00253</t>
  </si>
  <si>
    <t>H-REQ-039-E3</t>
  </si>
  <si>
    <t>G-REQ-00078</t>
  </si>
  <si>
    <t>G-AST-00254</t>
  </si>
  <si>
    <t>G-REQ-00079</t>
  </si>
  <si>
    <t>H-REQ-040-E1</t>
  </si>
  <si>
    <t>G-REQ-00080</t>
  </si>
  <si>
    <t>G-AST-00255</t>
  </si>
  <si>
    <t>H-REQ-041-E1</t>
  </si>
  <si>
    <t>G-REQ-00081</t>
  </si>
  <si>
    <t>G-AST-00256</t>
  </si>
  <si>
    <t>H-REQ-041-E2</t>
  </si>
  <si>
    <t>G-AST-00257</t>
  </si>
  <si>
    <t>G-REQ-00082</t>
  </si>
  <si>
    <t>G-AST-00258</t>
  </si>
  <si>
    <t>H-REQ-041-E3</t>
  </si>
  <si>
    <t>G-REQ-00083</t>
  </si>
  <si>
    <t>G-AST-00259</t>
  </si>
  <si>
    <t>G-REQ-00084</t>
  </si>
  <si>
    <t>G-AST-00260</t>
  </si>
  <si>
    <t>H-REQ-041-E4</t>
  </si>
  <si>
    <t>G-AST-00261</t>
  </si>
  <si>
    <t>G-REQ-00085</t>
  </si>
  <si>
    <t>SYNTHETIC: Handed over H-AST-025</t>
  </si>
  <si>
    <t>G-AST-00262</t>
  </si>
  <si>
    <t>H-REQ-042-E1</t>
  </si>
  <si>
    <t>G-REQ-00086</t>
  </si>
  <si>
    <t>G-AST-00263</t>
  </si>
  <si>
    <t>G-REQ-00087</t>
  </si>
  <si>
    <t>H-REQ-042-E2</t>
  </si>
  <si>
    <t>G-AST-00264</t>
  </si>
  <si>
    <t>G-REQ-00088</t>
  </si>
  <si>
    <t>G-AST-00265</t>
  </si>
  <si>
    <t>G-REQ-00089</t>
  </si>
  <si>
    <t>H-REQ-042-E3</t>
  </si>
  <si>
    <t>G-AST-00266</t>
  </si>
  <si>
    <t>G-REQ-00090</t>
  </si>
  <si>
    <t>G-AST-00267</t>
  </si>
  <si>
    <t>H-REQ-042-E4</t>
  </si>
  <si>
    <t>G-REQ-00091</t>
  </si>
  <si>
    <t>G-AST-00268</t>
  </si>
  <si>
    <t>G-REQ-00092</t>
  </si>
  <si>
    <t>SYNTHETIC: Handed over H-AST-026</t>
  </si>
  <si>
    <t>G-AST-00269</t>
  </si>
  <si>
    <t>H-REQ-043-E1</t>
  </si>
  <si>
    <t>G-AST-00270</t>
  </si>
  <si>
    <t>G-REQ-00093</t>
  </si>
  <si>
    <t>G-AST-00271</t>
  </si>
  <si>
    <t>H-REQ-043-E2</t>
  </si>
  <si>
    <t>G-REQ-00094</t>
  </si>
  <si>
    <t>G-AST-00272</t>
  </si>
  <si>
    <t>G-REQ-00095</t>
  </si>
  <si>
    <t>H-REQ-043-E3</t>
  </si>
  <si>
    <t>G-AST-00273</t>
  </si>
  <si>
    <t>G-REQ-00096</t>
  </si>
  <si>
    <t>G-AST-00274</t>
  </si>
  <si>
    <t>G-REQ-00097</t>
  </si>
  <si>
    <t>H-REQ-043-E4</t>
  </si>
  <si>
    <t>G-AST-00275</t>
  </si>
  <si>
    <t>G-REQ-00098</t>
  </si>
  <si>
    <t>SYNTHETIC: Handed over H-AST-027</t>
  </si>
  <si>
    <t>G-AST-00276</t>
  </si>
  <si>
    <t>H-REQ-044-E1</t>
  </si>
  <si>
    <t>G-REQ-00099</t>
  </si>
  <si>
    <t>G-AST-00277</t>
  </si>
  <si>
    <t>G-REQ-00100</t>
  </si>
  <si>
    <t>G-AST-00278</t>
  </si>
  <si>
    <t>H-REQ-044-E2</t>
  </si>
  <si>
    <t>G-REQ-00101</t>
  </si>
  <si>
    <t>G-AST-00279</t>
  </si>
  <si>
    <t>H-REQ-044-E3</t>
  </si>
  <si>
    <t>G-REQ-00102</t>
  </si>
  <si>
    <t>G-AST-00280</t>
  </si>
  <si>
    <t>G-AST-00281</t>
  </si>
  <si>
    <t>G-REQ-00103</t>
  </si>
  <si>
    <t>H-REQ-044-E4</t>
  </si>
  <si>
    <t>G-AST-00282</t>
  </si>
  <si>
    <t>G-REQ-00104</t>
  </si>
  <si>
    <t>G-AST-00283</t>
  </si>
  <si>
    <t>SYNTHETIC: Handed over H-AST-028</t>
  </si>
  <si>
    <t>G-REQ-00105</t>
  </si>
  <si>
    <t>H-REQ-045-E1</t>
  </si>
  <si>
    <t>G-AST-00284</t>
  </si>
  <si>
    <t>G-REQ-00106</t>
  </si>
  <si>
    <t>H-REQ-045-E2</t>
  </si>
  <si>
    <t>G-AST-00285</t>
  </si>
  <si>
    <t>G-REQ-00107</t>
  </si>
  <si>
    <t>G-AST-00286</t>
  </si>
  <si>
    <t>G-REQ-00108</t>
  </si>
  <si>
    <t>G-REQ-00109</t>
  </si>
  <si>
    <t>G-AST-00287</t>
  </si>
  <si>
    <t>G-AST-00288</t>
  </si>
  <si>
    <t>G-REQ-00110</t>
  </si>
  <si>
    <t>H-REQ-045-E3</t>
  </si>
  <si>
    <t>G-AST-00289</t>
  </si>
  <si>
    <t>G-AST-00290</t>
  </si>
  <si>
    <t>G-REQ-00111</t>
  </si>
  <si>
    <t>G-AST-00291</t>
  </si>
  <si>
    <t>G-AST-00292</t>
  </si>
  <si>
    <t>G-REQ-00112</t>
  </si>
  <si>
    <t>G-AST-00293</t>
  </si>
  <si>
    <t>G-AST-00294</t>
  </si>
  <si>
    <t>H-REQ-045-E4</t>
  </si>
  <si>
    <t>G-REQ-00113</t>
  </si>
  <si>
    <t>G-AST-00295</t>
  </si>
  <si>
    <t>G-AST-00296</t>
  </si>
  <si>
    <t>G-REQ-00114</t>
  </si>
  <si>
    <t>SYNTHETIC: Handed over H-AST-029</t>
  </si>
  <si>
    <t>H-REQ-046-E1</t>
  </si>
  <si>
    <t>G-AST-00297</t>
  </si>
  <si>
    <t>G-AST-00298</t>
  </si>
  <si>
    <t>G-REQ-00115</t>
  </si>
  <si>
    <t>G-AST-00299</t>
  </si>
  <si>
    <t>G-REQ-00116</t>
  </si>
  <si>
    <t>H-REQ-046-E2</t>
  </si>
  <si>
    <t>G-AST-00300</t>
  </si>
  <si>
    <t>G-AST-00301</t>
  </si>
  <si>
    <t>G-REQ-00117</t>
  </si>
  <si>
    <t>G-AST-00302</t>
  </si>
  <si>
    <t>H-REQ-046-E3</t>
  </si>
  <si>
    <t>G-REQ-00118</t>
  </si>
  <si>
    <t>G-AST-00303</t>
  </si>
  <si>
    <t>G-AST-00304</t>
  </si>
  <si>
    <t>G-REQ-00119</t>
  </si>
  <si>
    <t>G-AST-00305</t>
  </si>
  <si>
    <t>H-REQ-046-E4</t>
  </si>
  <si>
    <t>G-REQ-00120</t>
  </si>
  <si>
    <t>G-AST-00306</t>
  </si>
  <si>
    <t>G-AST-00307</t>
  </si>
  <si>
    <t>SYNTHETIC: Handed over H-AST-030</t>
  </si>
  <si>
    <t>G-REQ-00121</t>
  </si>
  <si>
    <t>G-AST-00308</t>
  </si>
  <si>
    <t>H-REQ-047-E1</t>
  </si>
  <si>
    <t>G-AST-00309</t>
  </si>
  <si>
    <t>G-REQ-00122</t>
  </si>
  <si>
    <t>G-AST-00310</t>
  </si>
  <si>
    <t>H-REQ-047-E2</t>
  </si>
  <si>
    <t>G-REQ-00123</t>
  </si>
  <si>
    <t>G-AST-00311</t>
  </si>
  <si>
    <t>G-AST-00312</t>
  </si>
  <si>
    <t>G-REQ-00124</t>
  </si>
  <si>
    <t>G-AST-00313</t>
  </si>
  <si>
    <t>H-REQ-048-E1</t>
  </si>
  <si>
    <t>G-AST-00314</t>
  </si>
  <si>
    <t>G-REQ-00125</t>
  </si>
  <si>
    <t>G-AST-00315</t>
  </si>
  <si>
    <t>H-REQ-048-E2</t>
  </si>
  <si>
    <t>G-AST-00316</t>
  </si>
  <si>
    <t>G-REQ-00126</t>
  </si>
  <si>
    <t>G-AST-00317</t>
  </si>
  <si>
    <t>G-AST-00318</t>
  </si>
  <si>
    <t>H-REQ-049-E1</t>
  </si>
  <si>
    <t>G-REQ-00127</t>
  </si>
  <si>
    <t>G-AST-00319</t>
  </si>
  <si>
    <t>G-AST-00320</t>
  </si>
  <si>
    <t>H-REQ-049-E2</t>
  </si>
  <si>
    <t>G-REQ-00128</t>
  </si>
  <si>
    <t>G-AST-00321</t>
  </si>
  <si>
    <t>G-AST-00322</t>
  </si>
  <si>
    <t>G-REQ-00129</t>
  </si>
  <si>
    <t>H-REQ-049-E3</t>
  </si>
  <si>
    <t>G-AST-00323</t>
  </si>
  <si>
    <t>attachment_id</t>
  </si>
  <si>
    <t>G-AST-00324</t>
  </si>
  <si>
    <t>G-REQ-00130</t>
  </si>
  <si>
    <t>drive_file_id</t>
  </si>
  <si>
    <t>G-AST-00325</t>
  </si>
  <si>
    <t>H-REQ-050-E1</t>
  </si>
  <si>
    <t>G-REQ-00131</t>
  </si>
  <si>
    <t>G-AST-00326</t>
  </si>
  <si>
    <t>H-REQ-051-E1</t>
  </si>
  <si>
    <t>G-AST-00327</t>
  </si>
  <si>
    <t>G-REQ-00132</t>
  </si>
  <si>
    <t>G-AST-00328</t>
  </si>
  <si>
    <t>H-REQ-051-E2</t>
  </si>
  <si>
    <t>G-AST-00329</t>
  </si>
  <si>
    <t>G-REQ-00133</t>
  </si>
  <si>
    <t>G-AST-00330</t>
  </si>
  <si>
    <t>G-REQ-00134</t>
  </si>
  <si>
    <t>G-AST-00331</t>
  </si>
  <si>
    <t>H-REQ-051-E3</t>
  </si>
  <si>
    <t>G-AST-00332</t>
  </si>
  <si>
    <t>G-REQ-00135</t>
  </si>
  <si>
    <t>G-AST-00333</t>
  </si>
  <si>
    <t>G-REQ-00136</t>
  </si>
  <si>
    <t>H-REQ-051-E4</t>
  </si>
  <si>
    <t>G-AST-00334</t>
  </si>
  <si>
    <t>G-REQ-00137</t>
  </si>
  <si>
    <t>G-AST-00335</t>
  </si>
  <si>
    <t>SYNTHETIC: Handed over H-AST-031</t>
  </si>
  <si>
    <t>H-REQ-052-E1</t>
  </si>
  <si>
    <t>G-REQ-00138</t>
  </si>
  <si>
    <t>G-AST-00336</t>
  </si>
  <si>
    <t>G-AST-00337</t>
  </si>
  <si>
    <t>G-REQ-00139</t>
  </si>
  <si>
    <t>G-AST-00338</t>
  </si>
  <si>
    <t>H-REQ-052-E2</t>
  </si>
  <si>
    <t>G-AST-00339</t>
  </si>
  <si>
    <t>G-REQ-00140</t>
  </si>
  <si>
    <t>G-AST-00340</t>
  </si>
  <si>
    <t>H-REQ-052-E3</t>
  </si>
  <si>
    <t>G-REQ-00141</t>
  </si>
  <si>
    <t>G-AST-00341</t>
  </si>
  <si>
    <t>G-AST-00342</t>
  </si>
  <si>
    <t>G-REQ-00142</t>
  </si>
  <si>
    <t>H-REQ-052-E4</t>
  </si>
  <si>
    <t>G-AST-00343</t>
  </si>
  <si>
    <t>G-REQ-00143</t>
  </si>
  <si>
    <t>G-AST-00344</t>
  </si>
  <si>
    <t>SYNTHETIC: Handed over H-AST-032</t>
  </si>
  <si>
    <t>G-AST-00345</t>
  </si>
  <si>
    <t>H-REQ-053-E1</t>
  </si>
  <si>
    <t>G-REQ-00144</t>
  </si>
  <si>
    <t>G-AST-00346</t>
  </si>
  <si>
    <t>G-REQ-00145</t>
  </si>
  <si>
    <t>G-AST-00347</t>
  </si>
  <si>
    <t>H-REQ-053-E2</t>
  </si>
  <si>
    <t>G-REQ-00146</t>
  </si>
  <si>
    <t>G-AST-00348</t>
  </si>
  <si>
    <t>G-AST-00349</t>
  </si>
  <si>
    <t>G-REQ-00147</t>
  </si>
  <si>
    <t>H-REQ-053-E3</t>
  </si>
  <si>
    <t>G-AST-00350</t>
  </si>
  <si>
    <t>G-AST-00351</t>
  </si>
  <si>
    <t>G-REQ-00148</t>
  </si>
  <si>
    <t>H-REQ-053-E4</t>
  </si>
  <si>
    <t>G-AST-00352</t>
  </si>
  <si>
    <t>G-REQ-00149</t>
  </si>
  <si>
    <t>G-AST-00353</t>
  </si>
  <si>
    <t>SYNTHETIC: Handed over H-AST-033</t>
  </si>
  <si>
    <t>H-REQ-054-E1</t>
  </si>
  <si>
    <t>G-AST-00354</t>
  </si>
  <si>
    <t>G-REQ-00150</t>
  </si>
  <si>
    <t>G-AST-00355</t>
  </si>
  <si>
    <t>G-REQ-00151</t>
  </si>
  <si>
    <t>H-REQ-054-E2</t>
  </si>
  <si>
    <t>G-AST-00356</t>
  </si>
  <si>
    <t>G-AST-00357</t>
  </si>
  <si>
    <t>G-REQ-00152</t>
  </si>
  <si>
    <t>G-AST-00358</t>
  </si>
  <si>
    <t>H-REQ-054-E3</t>
  </si>
  <si>
    <t>G-REQ-00153</t>
  </si>
  <si>
    <t>G-AST-00359</t>
  </si>
  <si>
    <t>G-AST-00360</t>
  </si>
  <si>
    <t>G-REQ-00154</t>
  </si>
  <si>
    <t>H-REQ-054-E4</t>
  </si>
  <si>
    <t>G-AST-00361</t>
  </si>
  <si>
    <t>G-REQ-00155</t>
  </si>
  <si>
    <t>SYNTHETIC: Handed over H-AST-034</t>
  </si>
  <si>
    <t>G-AST-00362</t>
  </si>
  <si>
    <t>H-REQ-055-E1</t>
  </si>
  <si>
    <t>G-AST-00363</t>
  </si>
  <si>
    <t>G-REQ-00156</t>
  </si>
  <si>
    <t>G-AST-00364</t>
  </si>
  <si>
    <t>G-REQ-00157</t>
  </si>
  <si>
    <t>H-REQ-055-E2</t>
  </si>
  <si>
    <t>G-AST-00365</t>
  </si>
  <si>
    <t>G-REQ-00158</t>
  </si>
  <si>
    <t>G-AST-00366</t>
  </si>
  <si>
    <t>H-REQ-055-E3</t>
  </si>
  <si>
    <t>G-REQ-00159</t>
  </si>
  <si>
    <t>G-AST-00367</t>
  </si>
  <si>
    <t>H-REQ-055-E4</t>
  </si>
  <si>
    <t>G-REQ-00160</t>
  </si>
  <si>
    <t>G-AST-00368</t>
  </si>
  <si>
    <t>G-AST-00369</t>
  </si>
  <si>
    <t>G-REQ-00161</t>
  </si>
  <si>
    <t>G-AST-00370</t>
  </si>
  <si>
    <t>SYNTHETIC: Handed over H-AST-035</t>
  </si>
  <si>
    <t>H-REQ-056-E1</t>
  </si>
  <si>
    <t>G-AST-00371</t>
  </si>
  <si>
    <t>G-REQ-00162</t>
  </si>
  <si>
    <t>G-AST-00372</t>
  </si>
  <si>
    <t>G-REQ-00163</t>
  </si>
  <si>
    <t>G-AST-00373</t>
  </si>
  <si>
    <t>H-REQ-056-E2</t>
  </si>
  <si>
    <t>G-AST-00374</t>
  </si>
  <si>
    <t>G-REQ-00164</t>
  </si>
  <si>
    <t>G-AST-00375</t>
  </si>
  <si>
    <t>G-REQ-00165</t>
  </si>
  <si>
    <t>G-AST-00376</t>
  </si>
  <si>
    <t>H-REQ-056-E3</t>
  </si>
  <si>
    <t>G-AST-00377</t>
  </si>
  <si>
    <t>G-REQ-00166</t>
  </si>
  <si>
    <t>H-REQ-056-E4</t>
  </si>
  <si>
    <t>G-AST-00378</t>
  </si>
  <si>
    <t>G-REQ-00167</t>
  </si>
  <si>
    <t>G-AST-00379</t>
  </si>
  <si>
    <t>SYNTHETIC: Handed over H-AST-036</t>
  </si>
  <si>
    <t>H-REQ-057-E1</t>
  </si>
  <si>
    <t>G-AST-00380</t>
  </si>
  <si>
    <t>G-REQ-00168</t>
  </si>
  <si>
    <t>G-AST-00381</t>
  </si>
  <si>
    <t>H-REQ-057-E2</t>
  </si>
  <si>
    <t>G-REQ-00169</t>
  </si>
  <si>
    <t>G-AST-00382</t>
  </si>
  <si>
    <t>H-REQ-058-E1</t>
  </si>
  <si>
    <t>G-AST-00383</t>
  </si>
  <si>
    <t>G-REQ-00170</t>
  </si>
  <si>
    <t>G-AST-00384</t>
  </si>
  <si>
    <t>H-REQ-058-E2</t>
  </si>
  <si>
    <t>G-REQ-00171</t>
  </si>
  <si>
    <t>G-AST-00385</t>
  </si>
  <si>
    <t>G-AST-00386</t>
  </si>
  <si>
    <t>G-REQ-00172</t>
  </si>
  <si>
    <t>G-AST-00387</t>
  </si>
  <si>
    <t>G-REQ-00173</t>
  </si>
  <si>
    <t>G-AST-00388</t>
  </si>
  <si>
    <t>H-REQ-059-E1</t>
  </si>
  <si>
    <t>G-AST-00389</t>
  </si>
  <si>
    <t>G-REQ-00174</t>
  </si>
  <si>
    <t>G-AST-00390</t>
  </si>
  <si>
    <t>H-REQ-059-E2</t>
  </si>
  <si>
    <t>G-REQ-00175</t>
  </si>
  <si>
    <t>G-AST-00391</t>
  </si>
  <si>
    <t>G-AST-00392</t>
  </si>
  <si>
    <t>G-REQ-00176</t>
  </si>
  <si>
    <t>H-REQ-059-E3</t>
  </si>
  <si>
    <t>G-AST-00393</t>
  </si>
  <si>
    <t>G-REQ-00177</t>
  </si>
  <si>
    <t>G-AST-00394</t>
  </si>
  <si>
    <t>H-REQ-060-E1</t>
  </si>
  <si>
    <t>G-AST-00395</t>
  </si>
  <si>
    <t>G-REQ-00178</t>
  </si>
  <si>
    <t>G-AST-00396</t>
  </si>
  <si>
    <t>H-REQ-061-E1</t>
  </si>
  <si>
    <t>G-REQ-00179</t>
  </si>
  <si>
    <t>G-AST-00397</t>
  </si>
  <si>
    <t>G-AST-00398</t>
  </si>
  <si>
    <t>G-REQ-00180</t>
  </si>
  <si>
    <t>H-REQ-061-E2</t>
  </si>
  <si>
    <t>G-AST-00399</t>
  </si>
  <si>
    <t>G-AST-00400</t>
  </si>
  <si>
    <t>G-REQ-00181</t>
  </si>
  <si>
    <t>G-AST-00401</t>
  </si>
  <si>
    <t>H-REQ-061-E3</t>
  </si>
  <si>
    <t>G-REQ-00182</t>
  </si>
  <si>
    <t>G-AST-00402</t>
  </si>
  <si>
    <t>G-AST-00403</t>
  </si>
  <si>
    <t>G-REQ-00183</t>
  </si>
  <si>
    <t>H-REQ-061-E4</t>
  </si>
  <si>
    <t>G-AST-00404</t>
  </si>
  <si>
    <t>G-AST-00405</t>
  </si>
  <si>
    <t>G-REQ-00184</t>
  </si>
  <si>
    <t>SYNTHETIC: Handed over H-AST-037</t>
  </si>
  <si>
    <t>G-AST-00406</t>
  </si>
  <si>
    <t>H-REQ-062-E1</t>
  </si>
  <si>
    <t>G-AST-00407</t>
  </si>
  <si>
    <t>G-REQ-00185</t>
  </si>
  <si>
    <t>G-AST-00408</t>
  </si>
  <si>
    <t>H-REQ-062-E2</t>
  </si>
  <si>
    <t>G-REQ-00186</t>
  </si>
  <si>
    <t>G-AST-00409</t>
  </si>
  <si>
    <t>G-AST-00410</t>
  </si>
  <si>
    <t>H-REQ-062-E3</t>
  </si>
  <si>
    <t>G-REQ-00187</t>
  </si>
  <si>
    <t>G-AST-00411</t>
  </si>
  <si>
    <t>H-REQ-062-E4</t>
  </si>
  <si>
    <t>G-AST-00412</t>
  </si>
  <si>
    <t>G-REQ-00188</t>
  </si>
  <si>
    <t>G-AST-00413</t>
  </si>
  <si>
    <t>SYNTHETIC: Handed over H-AST-038</t>
  </si>
  <si>
    <t>H-REQ-063-E1</t>
  </si>
  <si>
    <t>G-REQ-00189</t>
  </si>
  <si>
    <t>G-AST-00414</t>
  </si>
  <si>
    <t>key</t>
  </si>
  <si>
    <t>value</t>
  </si>
  <si>
    <t>G-AST-00415</t>
  </si>
  <si>
    <t>demo_data</t>
  </si>
  <si>
    <t>H-REQ-063-E2</t>
  </si>
  <si>
    <t>G-REQ-00190</t>
  </si>
  <si>
    <t>email_enabled</t>
  </si>
  <si>
    <t>G-AST-00416</t>
  </si>
  <si>
    <t>schema_version</t>
  </si>
  <si>
    <t>H-REQ-063-E3</t>
  </si>
  <si>
    <t>G-REQ-00191</t>
  </si>
  <si>
    <t>G-AST-00417</t>
  </si>
  <si>
    <t>business_timezone</t>
  </si>
  <si>
    <t>timestamp_storage</t>
  </si>
  <si>
    <t>Local date-time in Asia/Ho_Chi_Minh</t>
  </si>
  <si>
    <t>G-AST-00418</t>
  </si>
  <si>
    <t>history_repair_version</t>
  </si>
  <si>
    <t>G-REQ-00192</t>
  </si>
  <si>
    <t>H-REQ-063-E4</t>
  </si>
  <si>
    <t>2</t>
  </si>
  <si>
    <t>G-AST-00419</t>
  </si>
  <si>
    <t>G-REQ-00193</t>
  </si>
  <si>
    <t>G-AST-00420</t>
  </si>
  <si>
    <t>SYNTHETIC: Handed over H-AST-039</t>
  </si>
  <si>
    <t>G-AST-00421</t>
  </si>
  <si>
    <t>H-REQ-064-E1</t>
  </si>
  <si>
    <t>laptop_policy</t>
  </si>
  <si>
    <t>At most one assigned laptop per employee</t>
  </si>
  <si>
    <t>G-REQ-00194</t>
  </si>
  <si>
    <t>G-AST-00422</t>
  </si>
  <si>
    <t>script_timezone_status</t>
  </si>
  <si>
    <t>Not verified: set Apps Script project timezone before new runs</t>
  </si>
  <si>
    <t>H-REQ-064-E2</t>
  </si>
  <si>
    <t>G-AST-00423</t>
  </si>
  <si>
    <t>G-REQ-00195</t>
  </si>
  <si>
    <t>G-AST-00424</t>
  </si>
  <si>
    <t>H-REQ-064-E3</t>
  </si>
  <si>
    <t>G-AST-00425</t>
  </si>
  <si>
    <t>G-REQ-00196</t>
  </si>
  <si>
    <t>G-AST-00426</t>
  </si>
  <si>
    <t>H-REQ-064-E4</t>
  </si>
  <si>
    <t>G-REQ-00197</t>
  </si>
  <si>
    <t>G-AST-00427</t>
  </si>
  <si>
    <t>SYNTHETIC: Handed over H-AST-040</t>
  </si>
  <si>
    <t>G-AST-00428</t>
  </si>
  <si>
    <t>H-REQ-065-E1</t>
  </si>
  <si>
    <t>G-REQ-00198</t>
  </si>
  <si>
    <t>G-AST-00429</t>
  </si>
  <si>
    <t>G-REQ-00199</t>
  </si>
  <si>
    <t>H-REQ-065-E2</t>
  </si>
  <si>
    <t>G-AST-00430</t>
  </si>
  <si>
    <t>G-AST-00431</t>
  </si>
  <si>
    <t>G-REQ-00200</t>
  </si>
  <si>
    <t>H-REQ-065-E3</t>
  </si>
  <si>
    <t>G-REQ-00201</t>
  </si>
  <si>
    <t>H-REQ-065-E4</t>
  </si>
  <si>
    <t>G-AST-00432</t>
  </si>
  <si>
    <t>G-REQ-00202</t>
  </si>
  <si>
    <t>SYNTHETIC: Handed over H-AST-041</t>
  </si>
  <si>
    <t>H-REQ-066-E1</t>
  </si>
  <si>
    <t>G-AST-00433</t>
  </si>
  <si>
    <t>G-REQ-00203</t>
  </si>
  <si>
    <t>H-REQ-066-E2</t>
  </si>
  <si>
    <t>G-AST-00434</t>
  </si>
  <si>
    <t>G-REQ-00204</t>
  </si>
  <si>
    <t>H-REQ-066-E3</t>
  </si>
  <si>
    <t>G-AST-00435</t>
  </si>
  <si>
    <t>G-REQ-00205</t>
  </si>
  <si>
    <t>H-REQ-066-E4</t>
  </si>
  <si>
    <t>G-AST-00436</t>
  </si>
  <si>
    <t>G-REQ-00206</t>
  </si>
  <si>
    <t>G-AST-00437</t>
  </si>
  <si>
    <t>SYNTHETIC: Handed over H-AST-042</t>
  </si>
  <si>
    <t>H-REQ-067-E1</t>
  </si>
  <si>
    <t>G-AST-00438</t>
  </si>
  <si>
    <t>G-REQ-00207</t>
  </si>
  <si>
    <t>H-REQ-067-E2</t>
  </si>
  <si>
    <t>G-AST-00439</t>
  </si>
  <si>
    <t>G-REQ-00208</t>
  </si>
  <si>
    <t>G-AST-00440</t>
  </si>
  <si>
    <t>H-REQ-068-E1</t>
  </si>
  <si>
    <t>G-AST-00441</t>
  </si>
  <si>
    <t>G-REQ-00209</t>
  </si>
  <si>
    <t>H-REQ-068-E2</t>
  </si>
  <si>
    <t>G-AST-00442</t>
  </si>
  <si>
    <t>G-REQ-00210</t>
  </si>
  <si>
    <t>G-AST-00443</t>
  </si>
  <si>
    <t>H-REQ-069-E1</t>
  </si>
  <si>
    <t>G-AST-00444</t>
  </si>
  <si>
    <t>G-REQ-00211</t>
  </si>
  <si>
    <t>G-AST-00445</t>
  </si>
  <si>
    <t>H-REQ-069-E2</t>
  </si>
  <si>
    <t>G-REQ-00212</t>
  </si>
  <si>
    <t>G-AST-00446</t>
  </si>
  <si>
    <t>G-AST-00447</t>
  </si>
  <si>
    <t>H-REQ-069-E3</t>
  </si>
  <si>
    <t>G-REQ-00213</t>
  </si>
  <si>
    <t>G-AST-00448</t>
  </si>
  <si>
    <t>G-AST-00449</t>
  </si>
  <si>
    <t>G-REQ-00214</t>
  </si>
  <si>
    <t>H-REQ-070-E1</t>
  </si>
  <si>
    <t>G-AST-00450</t>
  </si>
  <si>
    <t>G-REQ-00215</t>
  </si>
  <si>
    <t>G-AST-00451</t>
  </si>
  <si>
    <t>H-REQ-071-E1</t>
  </si>
  <si>
    <t>G-AST-00452</t>
  </si>
  <si>
    <t>G-REQ-00216</t>
  </si>
  <si>
    <t>H-REQ-071-E2</t>
  </si>
  <si>
    <t>G-AST-00453</t>
  </si>
  <si>
    <t>G-REQ-00217</t>
  </si>
  <si>
    <t>G-AST-00454</t>
  </si>
  <si>
    <t>H-REQ-071-E3</t>
  </si>
  <si>
    <t>G-AST-00455</t>
  </si>
  <si>
    <t>G-REQ-00218</t>
  </si>
  <si>
    <t>G-AST-00456</t>
  </si>
  <si>
    <t>H-REQ-071-E4</t>
  </si>
  <si>
    <t>G-AST-00457</t>
  </si>
  <si>
    <t>G-REQ-00219</t>
  </si>
  <si>
    <t>SYNTHETIC: Handed over H-AST-043</t>
  </si>
  <si>
    <t>G-AST-00458</t>
  </si>
  <si>
    <t>H-REQ-072-E1</t>
  </si>
  <si>
    <t>G-REQ-00220</t>
  </si>
  <si>
    <t>G-AST-00459</t>
  </si>
  <si>
    <t>H-REQ-072-E2</t>
  </si>
  <si>
    <t>G-AST-00460</t>
  </si>
  <si>
    <t>G-REQ-00221</t>
  </si>
  <si>
    <t>G-AST-00461</t>
  </si>
  <si>
    <t>H-REQ-072-E3</t>
  </si>
  <si>
    <t>G-AST-00462</t>
  </si>
  <si>
    <t>G-REQ-00222</t>
  </si>
  <si>
    <t>G-AST-00463</t>
  </si>
  <si>
    <t>H-REQ-072-E4</t>
  </si>
  <si>
    <t>G-REQ-00223</t>
  </si>
  <si>
    <t>G-AST-00464</t>
  </si>
  <si>
    <t>SYNTHETIC: Handed over H-AST-044</t>
  </si>
  <si>
    <t>H-REQ-073-E1</t>
  </si>
  <si>
    <t>G-REQ-00224</t>
  </si>
  <si>
    <t>G-AST-00465</t>
  </si>
  <si>
    <t>G-AST-00466</t>
  </si>
  <si>
    <t>H-REQ-073-E2</t>
  </si>
  <si>
    <t>G-REQ-00225</t>
  </si>
  <si>
    <t>G-AST-00467</t>
  </si>
  <si>
    <t>G-REQ-00226</t>
  </si>
  <si>
    <t>G-AST-00468</t>
  </si>
  <si>
    <t>H-REQ-073-E3</t>
  </si>
  <si>
    <t>G-AST-00469</t>
  </si>
  <si>
    <t>G-REQ-00227</t>
  </si>
  <si>
    <t>H-REQ-073-E4</t>
  </si>
  <si>
    <t>G-AST-00470</t>
  </si>
  <si>
    <t>G-REQ-00228</t>
  </si>
  <si>
    <t>G-AST-00471</t>
  </si>
  <si>
    <t>SYNTHETIC: Handed over H-AST-045</t>
  </si>
  <si>
    <t>H-REQ-074-E1</t>
  </si>
  <si>
    <t>G-AST-00472</t>
  </si>
  <si>
    <t>H-REQ-074-E2</t>
  </si>
  <si>
    <t>G-AST-00473</t>
  </si>
  <si>
    <t>G-AST-00474</t>
  </si>
  <si>
    <t>H-REQ-074-E3</t>
  </si>
  <si>
    <t>G-AST-00475</t>
  </si>
  <si>
    <t>G-REQ-00229</t>
  </si>
  <si>
    <t>G-AST-00476</t>
  </si>
  <si>
    <t>H-REQ-074-E4</t>
  </si>
  <si>
    <t>G-AST-00477</t>
  </si>
  <si>
    <t>G-REQ-00230</t>
  </si>
  <si>
    <t>SYNTHETIC: Handed over H-AST-046</t>
  </si>
  <si>
    <t>H-REQ-075-E1</t>
  </si>
  <si>
    <t>G-AST-00478</t>
  </si>
  <si>
    <t>G-REQ-00231</t>
  </si>
  <si>
    <t>G-AST-00479</t>
  </si>
  <si>
    <t>H-REQ-075-E2</t>
  </si>
  <si>
    <t>G-AST-00480</t>
  </si>
  <si>
    <t>G-REQ-00232</t>
  </si>
  <si>
    <t>G-AST-00481</t>
  </si>
  <si>
    <t>H-REQ-075-E3</t>
  </si>
  <si>
    <t>G-REQ-00233</t>
  </si>
  <si>
    <t>G-AST-00482</t>
  </si>
  <si>
    <t>G-AST-00483</t>
  </si>
  <si>
    <t>H-REQ-075-E4</t>
  </si>
  <si>
    <t>G-REQ-00234</t>
  </si>
  <si>
    <t>G-AST-00484</t>
  </si>
  <si>
    <t>G-AST-00485</t>
  </si>
  <si>
    <t>SYNTHETIC: Handed over H-AST-047</t>
  </si>
  <si>
    <t>G-REQ-00235</t>
  </si>
  <si>
    <t>H-REQ-076-E1</t>
  </si>
  <si>
    <t>G-AST-00486</t>
  </si>
  <si>
    <t>G-REQ-00236</t>
  </si>
  <si>
    <t>G-AST-00487</t>
  </si>
  <si>
    <t>H-REQ-076-E2</t>
  </si>
  <si>
    <t>G-AST-00488</t>
  </si>
  <si>
    <t>G-REQ-00237</t>
  </si>
  <si>
    <t>H-REQ-076-E3</t>
  </si>
  <si>
    <t>G-AST-00489</t>
  </si>
  <si>
    <t>G-REQ-00238</t>
  </si>
  <si>
    <t>G-AST-00490</t>
  </si>
  <si>
    <t>Kiểm tra</t>
  </si>
  <si>
    <t>H-REQ-076-E4</t>
  </si>
  <si>
    <t>G-AST-00491</t>
  </si>
  <si>
    <t>Số lỗi</t>
  </si>
  <si>
    <t>Kết quả</t>
  </si>
  <si>
    <t>G-REQ-00239</t>
  </si>
  <si>
    <t>G-AST-00492</t>
  </si>
  <si>
    <t>Phạm vi</t>
  </si>
  <si>
    <t>SYNTHETIC: Handed over H-AST-048</t>
  </si>
  <si>
    <t>H-REQ-077-E1</t>
  </si>
  <si>
    <t>Trùng mã nhân viên</t>
  </si>
  <si>
    <t>G-AST-00493</t>
  </si>
  <si>
    <t>G-REQ-00240</t>
  </si>
  <si>
    <t>G-AST-00494</t>
  </si>
  <si>
    <t>G-AST-00495</t>
  </si>
  <si>
    <t>G-REQ-00241</t>
  </si>
  <si>
    <t>G-AST-00496</t>
  </si>
  <si>
    <t>G-AST-00497</t>
  </si>
  <si>
    <t>G-AST-00498</t>
  </si>
  <si>
    <t>G-REQ-00242</t>
  </si>
  <si>
    <t>H-REQ-077-E2</t>
  </si>
  <si>
    <t>G-AST-00499</t>
  </si>
  <si>
    <t>G-REQ-00243</t>
  </si>
  <si>
    <t>G-AST-00500</t>
  </si>
  <si>
    <t>H-REQ-078-E1</t>
  </si>
  <si>
    <t>G-AST-00501</t>
  </si>
  <si>
    <t>G-REQ-00244</t>
  </si>
  <si>
    <t>G-AST-00502</t>
  </si>
  <si>
    <t>H-REQ-078-E2</t>
  </si>
  <si>
    <t>G-REQ-00245</t>
  </si>
  <si>
    <t>G-AST-00503</t>
  </si>
  <si>
    <t>H-REQ-079-E1</t>
  </si>
  <si>
    <t>G-AST-00504</t>
  </si>
  <si>
    <t>G-REQ-00246</t>
  </si>
  <si>
    <t>G-AST-00505</t>
  </si>
  <si>
    <t>H-REQ-079-E2</t>
  </si>
  <si>
    <t>Số ID lặp ngoài lần xuất hiện đầu</t>
  </si>
  <si>
    <t>G-AST-00506</t>
  </si>
  <si>
    <t>G-REQ-00247</t>
  </si>
  <si>
    <t>Trùng mã thiết bị</t>
  </si>
  <si>
    <t>G-AST-00507</t>
  </si>
  <si>
    <t>H-REQ-079-E3</t>
  </si>
  <si>
    <t>G-REQ-00248</t>
  </si>
  <si>
    <t>G-AST-00508</t>
  </si>
  <si>
    <t>H-REQ-080-E1</t>
  </si>
  <si>
    <t>G-AST-00509</t>
  </si>
  <si>
    <t>G-REQ-00249</t>
  </si>
  <si>
    <t>Số ID lặp</t>
  </si>
  <si>
    <t>Trùng mã yêu cầu</t>
  </si>
  <si>
    <t>G-AST-00510</t>
  </si>
  <si>
    <t>H-REQ-081-E1</t>
  </si>
  <si>
    <t>G-REQ-00250</t>
  </si>
  <si>
    <t>G-AST-00511</t>
  </si>
  <si>
    <t>H-REQ-081-E2</t>
  </si>
  <si>
    <t>G-REQ-00251</t>
  </si>
  <si>
    <t>G-AST-00512</t>
  </si>
  <si>
    <t>Trùng mã sự kiện</t>
  </si>
  <si>
    <t>G-AST-00513</t>
  </si>
  <si>
    <t>G-REQ-00252</t>
  </si>
  <si>
    <t>H-REQ-081-E3</t>
  </si>
  <si>
    <t>G-AST-00514</t>
  </si>
  <si>
    <t>G-REQ-00253</t>
  </si>
  <si>
    <t>G-AST-00515</t>
  </si>
  <si>
    <t>Người yêu cầu không tồn tại</t>
  </si>
  <si>
    <t>H-REQ-081-E4</t>
  </si>
  <si>
    <t>G-AST-00516</t>
  </si>
  <si>
    <t>G-REQ-00254</t>
  </si>
  <si>
    <t>G-AST-00517</t>
  </si>
  <si>
    <t>SYNTHETIC: Handed over H-AST-049</t>
  </si>
  <si>
    <t>H-REQ-082-E1</t>
  </si>
  <si>
    <t>G-AST-00518</t>
  </si>
  <si>
    <t>G-REQ-00255</t>
  </si>
  <si>
    <t>G-AST-00519</t>
  </si>
  <si>
    <t>H-REQ-082-E2</t>
  </si>
  <si>
    <t>G-AST-00520</t>
  </si>
  <si>
    <t>G-REQ-00256</t>
  </si>
  <si>
    <t>G-AST-00521</t>
  </si>
  <si>
    <t>G-REQ-00257</t>
  </si>
  <si>
    <t>G-AST-00522</t>
  </si>
  <si>
    <t>H-REQ-082-E3</t>
  </si>
  <si>
    <t>G-REQ-00258</t>
  </si>
  <si>
    <t>G-AST-00523</t>
  </si>
  <si>
    <t>H-REQ-082-E4</t>
  </si>
  <si>
    <t>G-REQ-00259</t>
  </si>
  <si>
    <t>G-AST-00524</t>
  </si>
  <si>
    <t>SYNTHETIC: Handed over H-AST-050</t>
  </si>
  <si>
    <t>G-AST-00525</t>
  </si>
  <si>
    <t>H-REQ-083-E1</t>
  </si>
  <si>
    <t>G-REQ-00260</t>
  </si>
  <si>
    <t>G-AST-00526</t>
  </si>
  <si>
    <t>G-REQ-00261</t>
  </si>
  <si>
    <t>H-REQ-083-E2</t>
  </si>
  <si>
    <t>G-AST-00527</t>
  </si>
  <si>
    <t>G-REQ-00262</t>
  </si>
  <si>
    <t>G-AST-00528</t>
  </si>
  <si>
    <t>H-REQ-083-E3</t>
  </si>
  <si>
    <t>G-AST-00529</t>
  </si>
  <si>
    <t>G-REQ-00263</t>
  </si>
  <si>
    <t>G-AST-00530</t>
  </si>
  <si>
    <t>G-REQ-00264</t>
  </si>
  <si>
    <t>H-REQ-083-E4</t>
  </si>
  <si>
    <t>G-AST-00531</t>
  </si>
  <si>
    <t>G-REQ-00265</t>
  </si>
  <si>
    <t>SYNTHETIC: Handed over H-AST-051</t>
  </si>
  <si>
    <t>G-AST-00532</t>
  </si>
  <si>
    <t>H-REQ-084-E1</t>
  </si>
  <si>
    <t>G-AST-00533</t>
  </si>
  <si>
    <t>G-REQ-00266</t>
  </si>
  <si>
    <t>G-AST-00534</t>
  </si>
  <si>
    <t>H-REQ-084-E2</t>
  </si>
  <si>
    <t>G-REQ-00267</t>
  </si>
  <si>
    <t>G-AST-00535</t>
  </si>
  <si>
    <t>G-REQ-00268</t>
  </si>
  <si>
    <t>G-AST-00536</t>
  </si>
  <si>
    <t>H-REQ-084-E3</t>
  </si>
  <si>
    <t>G-REQ-00269</t>
  </si>
  <si>
    <t>G-AST-00537</t>
  </si>
  <si>
    <t>H-REQ-084-E4</t>
  </si>
  <si>
    <t>G-REQ-00270</t>
  </si>
  <si>
    <t>G-AST-00538</t>
  </si>
  <si>
    <t>SYNTHETIC: Handed over H-AST-052</t>
  </si>
  <si>
    <t>H-REQ-085-E1</t>
  </si>
  <si>
    <t>G-REQ-00271</t>
  </si>
  <si>
    <t>H-REQ-085-E2</t>
  </si>
  <si>
    <t>G-REQ-00272</t>
  </si>
  <si>
    <t>H-REQ-085-E3</t>
  </si>
  <si>
    <t>G-REQ-00273</t>
  </si>
  <si>
    <t>H-REQ-085-E4</t>
  </si>
  <si>
    <t>G-REQ-00274</t>
  </si>
  <si>
    <t>SYNTHETIC: Handed over H-AST-053</t>
  </si>
  <si>
    <t>H-REQ-086-E1</t>
  </si>
  <si>
    <t>G-REQ-00275</t>
  </si>
  <si>
    <t>H-REQ-086-E2</t>
  </si>
  <si>
    <t>G-REQ-00276</t>
  </si>
  <si>
    <t>H-REQ-086-E3</t>
  </si>
  <si>
    <t>G-REQ-00277</t>
  </si>
  <si>
    <t>G-REQ-00278</t>
  </si>
  <si>
    <t>Kiểm tra liên kết nhân viên</t>
  </si>
  <si>
    <t>H-REQ-086-E4</t>
  </si>
  <si>
    <t>Người xử lý không tồn tại</t>
  </si>
  <si>
    <t>G-REQ-00279</t>
  </si>
  <si>
    <t>SYNTHETIC: Handed over H-AST-054</t>
  </si>
  <si>
    <t>G-REQ-00280</t>
  </si>
  <si>
    <t>H-REQ-087-E1</t>
  </si>
  <si>
    <t>G-REQ-00281</t>
  </si>
  <si>
    <t>H-REQ-087-E2</t>
  </si>
  <si>
    <t>G-REQ-00282</t>
  </si>
  <si>
    <t>G-REQ-00283</t>
  </si>
  <si>
    <t>H-REQ-088-E1</t>
  </si>
  <si>
    <t>G-REQ-00284</t>
  </si>
  <si>
    <t>H-REQ-088-E2</t>
  </si>
  <si>
    <t>G-REQ-00285</t>
  </si>
  <si>
    <t>H-REQ-089-E1</t>
  </si>
  <si>
    <t>G-REQ-00286</t>
  </si>
  <si>
    <t>H-REQ-089-E2</t>
  </si>
  <si>
    <t>G-REQ-00287</t>
  </si>
  <si>
    <t>G-REQ-00288</t>
  </si>
  <si>
    <t>H-REQ-089-E3</t>
  </si>
  <si>
    <t>G-REQ-00289</t>
  </si>
  <si>
    <t>H-REQ-090-E1</t>
  </si>
  <si>
    <t>G-REQ-00290</t>
  </si>
  <si>
    <t>H-REQ-091-E1</t>
  </si>
  <si>
    <t>G-REQ-00291</t>
  </si>
  <si>
    <t>H-REQ-091-E2</t>
  </si>
  <si>
    <t>G-REQ-00292</t>
  </si>
  <si>
    <t>H-REQ-091-E3</t>
  </si>
  <si>
    <t>G-REQ-00293</t>
  </si>
  <si>
    <t>H-REQ-091-E4</t>
  </si>
  <si>
    <t>G-REQ-00294</t>
  </si>
  <si>
    <t>Bỏ qua yêu cầu chưa phân công</t>
  </si>
  <si>
    <t>Lịch sử không có yêu cầu</t>
  </si>
  <si>
    <t>G-REQ-00295</t>
  </si>
  <si>
    <t>SYNTHETIC: Handed over H-AST-055</t>
  </si>
  <si>
    <t>H-REQ-092-E1</t>
  </si>
  <si>
    <t>G-REQ-00296</t>
  </si>
  <si>
    <t>H-REQ-092-E2</t>
  </si>
  <si>
    <t>G-REQ-00297</t>
  </si>
  <si>
    <t>H-REQ-092-E3</t>
  </si>
  <si>
    <t>G-REQ-00298</t>
  </si>
  <si>
    <t>H-REQ-092-E4</t>
  </si>
  <si>
    <t>G-REQ-00299</t>
  </si>
  <si>
    <t>SYNTHETIC: Handed over H-AST-056</t>
  </si>
  <si>
    <t>H-REQ-093-E1</t>
  </si>
  <si>
    <t>G-REQ-00300</t>
  </si>
  <si>
    <t>H-REQ-093-E2</t>
  </si>
  <si>
    <t>G-REQ-00301</t>
  </si>
  <si>
    <t>H-REQ-093-E3</t>
  </si>
  <si>
    <t>G-REQ-00302</t>
  </si>
  <si>
    <t>G-REQ-00303</t>
  </si>
  <si>
    <t>H-REQ-093-E4</t>
  </si>
  <si>
    <t>G-REQ-00304</t>
  </si>
  <si>
    <t>G-REQ-00305</t>
  </si>
  <si>
    <t>SYNTHETIC: Handed over H-AST-057</t>
  </si>
  <si>
    <t>H-REQ-094-E1</t>
  </si>
  <si>
    <t>G-REQ-00306</t>
  </si>
  <si>
    <t>Kiểm tra request_id</t>
  </si>
  <si>
    <t>H-REQ-094-E2</t>
  </si>
  <si>
    <t>Người thực hiện không tồn tại</t>
  </si>
  <si>
    <t>G-REQ-00307</t>
  </si>
  <si>
    <t>H-REQ-094-E3</t>
  </si>
  <si>
    <t>G-REQ-00308</t>
  </si>
  <si>
    <t>H-REQ-094-E4</t>
  </si>
  <si>
    <t>G-REQ-00309</t>
  </si>
  <si>
    <t>SYNTHETIC: Handed over H-AST-058</t>
  </si>
  <si>
    <t>H-REQ-095-E1</t>
  </si>
  <si>
    <t>G-REQ-00310</t>
  </si>
  <si>
    <t>H-REQ-095-E2</t>
  </si>
  <si>
    <t>G-REQ-00311</t>
  </si>
  <si>
    <t>H-REQ-095-E3</t>
  </si>
  <si>
    <t>G-REQ-00312</t>
  </si>
  <si>
    <t>H-REQ-095-E4</t>
  </si>
  <si>
    <t>G-REQ-00313</t>
  </si>
  <si>
    <t>SYNTHETIC: Handed over H-AST-059</t>
  </si>
  <si>
    <t>G-REQ-00314</t>
  </si>
  <si>
    <t>H-REQ-096-E1</t>
  </si>
  <si>
    <t>G-REQ-00315</t>
  </si>
  <si>
    <t>H-REQ-096-E2</t>
  </si>
  <si>
    <t>G-REQ-00316</t>
  </si>
  <si>
    <t>H-REQ-096-E3</t>
  </si>
  <si>
    <t>G-REQ-00317</t>
  </si>
  <si>
    <t>H-REQ-096-E4</t>
  </si>
  <si>
    <t>G-REQ-00318</t>
  </si>
  <si>
    <t>SYNTHETIC: Handed over H-AST-060</t>
  </si>
  <si>
    <t>H-REQ-097-E1</t>
  </si>
  <si>
    <t>G-REQ-00319</t>
  </si>
  <si>
    <t>H-REQ-097-E2</t>
  </si>
  <si>
    <t>Kiểm tra actor_id</t>
  </si>
  <si>
    <t>G-REQ-00320</t>
  </si>
  <si>
    <t>Hoàn thành thiếu thiết bị</t>
  </si>
  <si>
    <t>H-REQ-098-E1</t>
  </si>
  <si>
    <t>G-REQ-00321</t>
  </si>
  <si>
    <t>H-REQ-098-E2</t>
  </si>
  <si>
    <t>G-REQ-00322</t>
  </si>
  <si>
    <t>H-REQ-099-E1</t>
  </si>
  <si>
    <t>G-REQ-00323</t>
  </si>
  <si>
    <t>H-REQ-099-E2</t>
  </si>
  <si>
    <t>G-REQ-00324</t>
  </si>
  <si>
    <t>G-REQ-00325</t>
  </si>
  <si>
    <t>H-REQ-099-E3</t>
  </si>
  <si>
    <t>G-REQ-00326</t>
  </si>
  <si>
    <t>H-REQ-100-E1</t>
  </si>
  <si>
    <t>G-REQ-00327</t>
  </si>
  <si>
    <t>H-RET-001-E1</t>
  </si>
  <si>
    <t>G-REQ-00328</t>
  </si>
  <si>
    <t>SYNTHETIC: Return workflow for H-AST-001</t>
  </si>
  <si>
    <t>H-RET-001-E2</t>
  </si>
  <si>
    <t>G-REQ-00329</t>
  </si>
  <si>
    <t>H-RET-001-E3</t>
  </si>
  <si>
    <t>G-REQ-00330</t>
  </si>
  <si>
    <t>H-RET-001-E4</t>
  </si>
  <si>
    <t>G-REQ-00331</t>
  </si>
  <si>
    <t>SYNTHETIC: Returned H-AST-001 before replacement H-REQ-021</t>
  </si>
  <si>
    <t>H-RET-002-E1</t>
  </si>
  <si>
    <t>G-REQ-00332</t>
  </si>
  <si>
    <t>SYNTHETIC: Return workflow for H-AST-013</t>
  </si>
  <si>
    <t>H-RET-002-E2</t>
  </si>
  <si>
    <t>G-REQ-00333</t>
  </si>
  <si>
    <t>H-RET-002-E3</t>
  </si>
  <si>
    <t>G-REQ-00334</t>
  </si>
  <si>
    <t>H-RET-002-E4</t>
  </si>
  <si>
    <t>SYNTHETIC: Returned H-AST-013 before replacement H-REQ-041</t>
  </si>
  <si>
    <t>H-RET-003-E1</t>
  </si>
  <si>
    <t>G-REQ-00335</t>
  </si>
  <si>
    <t>SYNTHETIC: Return workflow for H-AST-025</t>
  </si>
  <si>
    <t>Áp dụng cấp phát và thu hồi laptop</t>
  </si>
  <si>
    <t>H-RET-003-E2</t>
  </si>
  <si>
    <t>G-REQ-00336</t>
  </si>
  <si>
    <t>Người giữ thiết bị không hợp lệ</t>
  </si>
  <si>
    <t>H-RET-003-E3</t>
  </si>
  <si>
    <t>G-REQ-00337</t>
  </si>
  <si>
    <t>H-RET-003-E4</t>
  </si>
  <si>
    <t>G-REQ-00338</t>
  </si>
  <si>
    <t>SYNTHETIC: Returned H-AST-025 before replacement H-REQ-061</t>
  </si>
  <si>
    <t>H-RET-004-E1</t>
  </si>
  <si>
    <t>G-REQ-00339</t>
  </si>
  <si>
    <t>SYNTHETIC: Return workflow for H-AST-037</t>
  </si>
  <si>
    <t>H-RET-004-E2</t>
  </si>
  <si>
    <t>G-REQ-00340</t>
  </si>
  <si>
    <t>H-RET-004-E3</t>
  </si>
  <si>
    <t>H-RET-004-E4</t>
  </si>
  <si>
    <t>G-REQ-00341</t>
  </si>
  <si>
    <t>SYNTHETIC: Returned H-AST-037 before replacement H-REQ-081</t>
  </si>
  <si>
    <t>G-REQ-00342</t>
  </si>
  <si>
    <t>H-RET-005-E1</t>
  </si>
  <si>
    <t>SYNTHETIC: Return workflow for H-AST-002</t>
  </si>
  <si>
    <t>H-RET-005-E2</t>
  </si>
  <si>
    <t>G-REQ-00343</t>
  </si>
  <si>
    <t>H-RET-005-E3</t>
  </si>
  <si>
    <t>G-REQ-00344</t>
  </si>
  <si>
    <t>H-RET-005-E4</t>
  </si>
  <si>
    <t>G-REQ-00345</t>
  </si>
  <si>
    <t>SYNTHETIC: Returned H-AST-002 before replacement H-REQ-022</t>
  </si>
  <si>
    <t>H-RET-006-E1</t>
  </si>
  <si>
    <t>G-REQ-00346</t>
  </si>
  <si>
    <t>SYNTHETIC: Return workflow for H-AST-014</t>
  </si>
  <si>
    <t>H-RET-006-E2</t>
  </si>
  <si>
    <t>G-REQ-00347</t>
  </si>
  <si>
    <t>H-RET-006-E3</t>
  </si>
  <si>
    <t>G-REQ-00348</t>
  </si>
  <si>
    <t>H-RET-006-E4</t>
  </si>
  <si>
    <t>G-REQ-00349</t>
  </si>
  <si>
    <t>SYNTHETIC: Returned H-AST-014 before replacement H-REQ-042</t>
  </si>
  <si>
    <t>H-RET-007-E1</t>
  </si>
  <si>
    <t>G-REQ-00350</t>
  </si>
  <si>
    <t>SYNTHETIC: Return workflow for H-AST-026</t>
  </si>
  <si>
    <t>H-RET-007-E2</t>
  </si>
  <si>
    <t>G-REQ-00351</t>
  </si>
  <si>
    <t>H-RET-007-E3</t>
  </si>
  <si>
    <t>G-REQ-00352</t>
  </si>
  <si>
    <t>H-RET-007-E4</t>
  </si>
  <si>
    <t>SYNTHETIC: Returned H-AST-026 before replacement H-REQ-062</t>
  </si>
  <si>
    <t>G-REQ-00353</t>
  </si>
  <si>
    <t>H-RET-008-E1</t>
  </si>
  <si>
    <t>G-REQ-00354</t>
  </si>
  <si>
    <t>SYNTHETIC: Return workflow for H-AST-038</t>
  </si>
  <si>
    <t>H-RET-008-E2</t>
  </si>
  <si>
    <t>G-REQ-00355</t>
  </si>
  <si>
    <t>Assigned phải có nhân viên tồn tại</t>
  </si>
  <si>
    <t>H-RET-008-E3</t>
  </si>
  <si>
    <t>Thiết bị khả dụng còn người giữ</t>
  </si>
  <si>
    <t>G-REQ-00356</t>
  </si>
  <si>
    <t>H-RET-008-E4</t>
  </si>
  <si>
    <t>SYNTHETIC: Returned H-AST-038 before replacement H-REQ-082</t>
  </si>
  <si>
    <t>H-RET-009-E1</t>
  </si>
  <si>
    <t>G-REQ-00357</t>
  </si>
  <si>
    <t>SYNTHETIC: Return workflow for H-AST-003</t>
  </si>
  <si>
    <t>H-RET-009-E2</t>
  </si>
  <si>
    <t>G-REQ-00358</t>
  </si>
  <si>
    <t>H-RET-009-E3</t>
  </si>
  <si>
    <t>G-REQ-00359</t>
  </si>
  <si>
    <t>H-RET-009-E4</t>
  </si>
  <si>
    <t>SYNTHETIC: Returned H-AST-003 before replacement H-REQ-023</t>
  </si>
  <si>
    <t>H-RET-010-E1</t>
  </si>
  <si>
    <t>G-REQ-00360</t>
  </si>
  <si>
    <t>SYNTHETIC: Return workflow for H-AST-015</t>
  </si>
  <si>
    <t>H-RET-010-E2</t>
  </si>
  <si>
    <t>G-REQ-00361</t>
  </si>
  <si>
    <t>H-RET-010-E3</t>
  </si>
  <si>
    <t>G-REQ-00362</t>
  </si>
  <si>
    <t>H-RET-010-E4</t>
  </si>
  <si>
    <t>Available phải để trống holder_id</t>
  </si>
  <si>
    <t>Nhân viên giữ hơn một laptop</t>
  </si>
  <si>
    <t>G-REQ-00363</t>
  </si>
  <si>
    <t>SYNTHETIC: Returned H-AST-015 before replacement H-REQ-043</t>
  </si>
  <si>
    <t>H-RET-011-E1</t>
  </si>
  <si>
    <t>G-REQ-00364</t>
  </si>
  <si>
    <t>SYNTHETIC: Return workflow for H-AST-027</t>
  </si>
  <si>
    <t>H-RET-011-E2</t>
  </si>
  <si>
    <t>G-REQ-00365</t>
  </si>
  <si>
    <t>H-RET-011-E3</t>
  </si>
  <si>
    <t>G-REQ-00366</t>
  </si>
  <si>
    <t>Số nhân viên vi phạm</t>
  </si>
  <si>
    <t>H-RET-011-E4</t>
  </si>
  <si>
    <t>Trạng thái lệch sự kiện mới nhất</t>
  </si>
  <si>
    <t>G-REQ-00367</t>
  </si>
  <si>
    <t>SYNTHETIC: Returned H-AST-027 before replacement H-REQ-063</t>
  </si>
  <si>
    <t>So sánh sự kiện có thời điểm lớn nhất</t>
  </si>
  <si>
    <t>H-RET-012-E1</t>
  </si>
  <si>
    <t>Ngày tạo không phải kiểu ngày số</t>
  </si>
  <si>
    <t>G-REQ-00368</t>
  </si>
  <si>
    <t>SYNTHETIC: Return workflow for H-AST-039</t>
  </si>
  <si>
    <t>G-REQ-00369</t>
  </si>
  <si>
    <t>H-RET-012-E2</t>
  </si>
  <si>
    <t>G-REQ-00370</t>
  </si>
  <si>
    <t>H-RET-012-E3</t>
  </si>
  <si>
    <t>G-REQ-00371</t>
  </si>
  <si>
    <t>H-RET-012-E4</t>
  </si>
  <si>
    <t>G-REQ-00372</t>
  </si>
  <si>
    <t>Không phát hiện mọi lỗi múi giờ</t>
  </si>
  <si>
    <t>SYNTHETIC: Returned H-AST-039 before replacement H-REQ-083</t>
  </si>
  <si>
    <t>Ngày sự kiện không phải kiểu ngày số</t>
  </si>
  <si>
    <t>G-REQ-00373</t>
  </si>
  <si>
    <t>G-REQ-00374</t>
  </si>
  <si>
    <t>H-RET-013-E1</t>
  </si>
  <si>
    <t>G-REQ-00375</t>
  </si>
  <si>
    <t>SYNTHETIC: Return workflow for H-AST-004</t>
  </si>
  <si>
    <t>H-RET-013-E2</t>
  </si>
  <si>
    <t>G-REQ-00376</t>
  </si>
  <si>
    <t>H-RET-013-E3</t>
  </si>
  <si>
    <t>Ngày lưu dạng text sẽ bị báo</t>
  </si>
  <si>
    <t>G-REQ-00377</t>
  </si>
  <si>
    <t>H-RET-013-E4</t>
  </si>
  <si>
    <t>SYNTHETIC: Returned H-AST-004 before replacement H-REQ-024</t>
  </si>
  <si>
    <t>G-REQ-00378</t>
  </si>
  <si>
    <t>H-RET-014-E1</t>
  </si>
  <si>
    <t>SYNTHETIC: Return workflow for H-AST-016</t>
  </si>
  <si>
    <t>G-REQ-00379</t>
  </si>
  <si>
    <t>H-RET-014-E2</t>
  </si>
  <si>
    <t>H-RET-014-E3</t>
  </si>
  <si>
    <t>G-REQ-00380</t>
  </si>
  <si>
    <t>H-RET-014-E4</t>
  </si>
  <si>
    <t>G-REQ-00381</t>
  </si>
  <si>
    <t>SYNTHETIC: Returned H-AST-016 before replacement H-REQ-044</t>
  </si>
  <si>
    <t>H-RET-015-E1</t>
  </si>
  <si>
    <t>G-REQ-00382</t>
  </si>
  <si>
    <t>SYNTHETIC: Return workflow for H-AST-028</t>
  </si>
  <si>
    <t>H-RET-015-E2</t>
  </si>
  <si>
    <t>G-REQ-00383</t>
  </si>
  <si>
    <t>H-RET-015-E3</t>
  </si>
  <si>
    <t>G-REQ-00384</t>
  </si>
  <si>
    <t>H-RET-015-E4</t>
  </si>
  <si>
    <t>SYNTHETIC: Returned H-AST-028 before replacement H-REQ-064</t>
  </si>
  <si>
    <t>G-REQ-00385</t>
  </si>
  <si>
    <t>H-RET-016-E1</t>
  </si>
  <si>
    <t>SYNTHETIC: Return workflow for H-AST-040</t>
  </si>
  <si>
    <t>G-REQ-00386</t>
  </si>
  <si>
    <t>H-RET-016-E2</t>
  </si>
  <si>
    <t>G-REQ-00387</t>
  </si>
  <si>
    <t>H-RET-016-E3</t>
  </si>
  <si>
    <t>H-RET-016-E4</t>
  </si>
  <si>
    <t>G-REQ-00388</t>
  </si>
  <si>
    <t>SYNTHETIC: Returned H-AST-040 before replacement H-REQ-084</t>
  </si>
  <si>
    <t>H-RET-017-E1</t>
  </si>
  <si>
    <t>G-REQ-00389</t>
  </si>
  <si>
    <t>SYNTHETIC: Return workflow for H-AST-005</t>
  </si>
  <si>
    <t>H-RET-017-E2</t>
  </si>
  <si>
    <t>G-REQ-00390</t>
  </si>
  <si>
    <t>H-RET-017-E3</t>
  </si>
  <si>
    <t>G-REQ-00391</t>
  </si>
  <si>
    <t>G-REQ-00392</t>
  </si>
  <si>
    <t>H-RET-017-E4</t>
  </si>
  <si>
    <t>SYNTHETIC: Returned H-AST-005 before replacement H-REQ-025</t>
  </si>
  <si>
    <t>H-RET-018-E1</t>
  </si>
  <si>
    <t>G-REQ-00393</t>
  </si>
  <si>
    <t>SYNTHETIC: Return workflow for H-AST-017</t>
  </si>
  <si>
    <t>H-RET-018-E2</t>
  </si>
  <si>
    <t>G-REQ-00394</t>
  </si>
  <si>
    <t>H-RET-018-E3</t>
  </si>
  <si>
    <t>G-REQ-00395</t>
  </si>
  <si>
    <t>H-RET-018-E4</t>
  </si>
  <si>
    <t>G-REQ-00396</t>
  </si>
  <si>
    <t>SYNTHETIC: Returned H-AST-017 before replacement H-REQ-045</t>
  </si>
  <si>
    <t>H-RET-019-E1</t>
  </si>
  <si>
    <t>G-REQ-00397</t>
  </si>
  <si>
    <t>SYNTHETIC: Return workflow for H-AST-029</t>
  </si>
  <si>
    <t>H-RET-019-E2</t>
  </si>
  <si>
    <t>G-REQ-00398</t>
  </si>
  <si>
    <t>H-RET-019-E3</t>
  </si>
  <si>
    <t>G-REQ-00399</t>
  </si>
  <si>
    <t>H-RET-019-E4</t>
  </si>
  <si>
    <t>G-REQ-00400</t>
  </si>
  <si>
    <t>SYNTHETIC: Returned H-AST-029 before replacement H-REQ-065</t>
  </si>
  <si>
    <t>H-RET-020-E1</t>
  </si>
  <si>
    <t>G-REQ-00401</t>
  </si>
  <si>
    <t>SYNTHETIC: Return workflow for H-AST-041</t>
  </si>
  <si>
    <t>H-RET-020-E2</t>
  </si>
  <si>
    <t>G-REQ-00402</t>
  </si>
  <si>
    <t>H-RET-020-E3</t>
  </si>
  <si>
    <t>source_row</t>
  </si>
  <si>
    <t>G-REQ-00403</t>
  </si>
  <si>
    <t>H-RET-020-E4</t>
  </si>
  <si>
    <t>SYNTHETIC: Returned H-AST-041 before replacement H-REQ-085</t>
  </si>
  <si>
    <t>G-REQ-00404</t>
  </si>
  <si>
    <t>H-RET-021-E1</t>
  </si>
  <si>
    <t>SYNTHETIC: Return workflow for H-AST-006</t>
  </si>
  <si>
    <t>H-RET-021-E2</t>
  </si>
  <si>
    <t>G-REQ-00405</t>
  </si>
  <si>
    <t>H-RET-021-E3</t>
  </si>
  <si>
    <t>G-REQ-00406</t>
  </si>
  <si>
    <t>H-RET-021-E4</t>
  </si>
  <si>
    <t>G-REQ-00407</t>
  </si>
  <si>
    <t>SYNTHETIC: Returned H-AST-006 before replacement H-REQ-026</t>
  </si>
  <si>
    <t>H-RET-022-E1</t>
  </si>
  <si>
    <t>G-REQ-00408</t>
  </si>
  <si>
    <t>SYNTHETIC: Return workflow for H-AST-018</t>
  </si>
  <si>
    <t>G-REQ-00409</t>
  </si>
  <si>
    <t>H-RET-022-E2</t>
  </si>
  <si>
    <t>G-REQ-00410</t>
  </si>
  <si>
    <t>H-RET-022-E3</t>
  </si>
  <si>
    <t>G-REQ-00411</t>
  </si>
  <si>
    <t>H-RET-022-E4</t>
  </si>
  <si>
    <t>G-REQ-00412</t>
  </si>
  <si>
    <t>SYNTHETIC: Returned H-AST-018 before replacement H-REQ-046</t>
  </si>
  <si>
    <t>H-RET-023-E1</t>
  </si>
  <si>
    <t>G-REQ-00413</t>
  </si>
  <si>
    <t>SYNTHETIC: Return workflow for H-AST-030</t>
  </si>
  <si>
    <t>H-RET-023-E2</t>
  </si>
  <si>
    <t>G-REQ-00414</t>
  </si>
  <si>
    <t>H-RET-023-E3</t>
  </si>
  <si>
    <t>G-REQ-00415</t>
  </si>
  <si>
    <t>H-RET-023-E4</t>
  </si>
  <si>
    <t>G-REQ-00416</t>
  </si>
  <si>
    <t>SYNTHETIC: Returned H-AST-030 before replacement H-REQ-066</t>
  </si>
  <si>
    <t>H-RET-024-E1</t>
  </si>
  <si>
    <t>G-REQ-00417</t>
  </si>
  <si>
    <t>SYNTHETIC: Return workflow for H-AST-042</t>
  </si>
  <si>
    <t>H-RET-024-E2</t>
  </si>
  <si>
    <t>G-REQ-00418</t>
  </si>
  <si>
    <t>H-RET-024-E3</t>
  </si>
  <si>
    <t>G-REQ-00419</t>
  </si>
  <si>
    <t>H-RET-024-E4</t>
  </si>
  <si>
    <t>SYNTHETIC: Returned H-AST-042 before replacement H-REQ-086</t>
  </si>
  <si>
    <t>H-RET-025-E1</t>
  </si>
  <si>
    <t>G-REQ-00420</t>
  </si>
  <si>
    <t>SYNTHETIC: Return workflow for H-AST-007</t>
  </si>
  <si>
    <t>H-RET-025-E2</t>
  </si>
  <si>
    <t>G-REQ-00421</t>
  </si>
  <si>
    <t>H-RET-025-E3</t>
  </si>
  <si>
    <t>G-REQ-00422</t>
  </si>
  <si>
    <t>H-RET-025-E4</t>
  </si>
  <si>
    <t>SYNTHETIC: Returned H-AST-007 before replacement H-REQ-031</t>
  </si>
  <si>
    <t>H-RET-026-E1</t>
  </si>
  <si>
    <t>G-REQ-00423</t>
  </si>
  <si>
    <t>SYNTHETIC: Return workflow for H-AST-019</t>
  </si>
  <si>
    <t>H-RET-026-E2</t>
  </si>
  <si>
    <t>G-REQ-00424</t>
  </si>
  <si>
    <t>G-REQ-00425</t>
  </si>
  <si>
    <t>H-RET-026-E3</t>
  </si>
  <si>
    <t>G-REQ-00426</t>
  </si>
  <si>
    <t>H-RET-026-E4</t>
  </si>
  <si>
    <t>G-REQ-00427</t>
  </si>
  <si>
    <t>SYNTHETIC: Returned H-AST-019 before replacement H-REQ-051</t>
  </si>
  <si>
    <t>H-RET-027-E1</t>
  </si>
  <si>
    <t>G-REQ-00428</t>
  </si>
  <si>
    <t>SYNTHETIC: Return workflow for H-AST-031</t>
  </si>
  <si>
    <t>H-RET-027-E2</t>
  </si>
  <si>
    <t>G-REQ-00429</t>
  </si>
  <si>
    <t>H-RET-027-E3</t>
  </si>
  <si>
    <t>G-REQ-00430</t>
  </si>
  <si>
    <t>H-RET-027-E4</t>
  </si>
  <si>
    <t>SYNTHETIC: Returned H-AST-031 before replacement H-REQ-071</t>
  </si>
  <si>
    <t>G-REQ-00431</t>
  </si>
  <si>
    <t>H-RET-028-E1</t>
  </si>
  <si>
    <t>SYNTHETIC: Return workflow for H-AST-043</t>
  </si>
  <si>
    <t>G-REQ-00432</t>
  </si>
  <si>
    <t>H-RET-028-E2</t>
  </si>
  <si>
    <t>H-RET-028-E3</t>
  </si>
  <si>
    <t>G-REQ-00433</t>
  </si>
  <si>
    <t>H-RET-028-E4</t>
  </si>
  <si>
    <t>G-REQ-00434</t>
  </si>
  <si>
    <t>SYNTHETIC: Returned H-AST-043 before replacement H-REQ-091</t>
  </si>
  <si>
    <t>H-RET-029-E1</t>
  </si>
  <si>
    <t>G-REQ-00435</t>
  </si>
  <si>
    <t>SYNTHETIC: Return workflow for H-AST-008</t>
  </si>
  <si>
    <t>H-RET-029-E2</t>
  </si>
  <si>
    <t>G-REQ-00436</t>
  </si>
  <si>
    <t>H-RET-029-E3</t>
  </si>
  <si>
    <t>G-REQ-00437</t>
  </si>
  <si>
    <t>H-RET-029-E4</t>
  </si>
  <si>
    <t>G-REQ-00438</t>
  </si>
  <si>
    <t>SYNTHETIC: Returned H-AST-008 before replacement H-REQ-032</t>
  </si>
  <si>
    <t>H-RET-030-E1</t>
  </si>
  <si>
    <t>SYNTHETIC: Return workflow for H-AST-020</t>
  </si>
  <si>
    <t>G-REQ-00439</t>
  </si>
  <si>
    <t>H-RET-030-E2</t>
  </si>
  <si>
    <t>H-RET-030-E3</t>
  </si>
  <si>
    <t>G-REQ-00440</t>
  </si>
  <si>
    <t>H-RET-030-E4</t>
  </si>
  <si>
    <t>G-REQ-00441</t>
  </si>
  <si>
    <t>SYNTHETIC: Returned H-AST-020 before replacement H-REQ-052</t>
  </si>
  <si>
    <t>H-RET-031-E1</t>
  </si>
  <si>
    <t>G-REQ-00442</t>
  </si>
  <si>
    <t>SYNTHETIC: Return workflow for H-AST-032</t>
  </si>
  <si>
    <t>H-RET-031-E2</t>
  </si>
  <si>
    <t>G-REQ-00443</t>
  </si>
  <si>
    <t>H-RET-031-E3</t>
  </si>
  <si>
    <t>G-REQ-00444</t>
  </si>
  <si>
    <t>H-RET-031-E4</t>
  </si>
  <si>
    <t>SYNTHETIC: Returned H-AST-032 before replacement H-REQ-072</t>
  </si>
  <si>
    <t>H-RET-032-E1</t>
  </si>
  <si>
    <t>G-REQ-00445</t>
  </si>
  <si>
    <t>SYNTHETIC: Return workflow for H-AST-044</t>
  </si>
  <si>
    <t>H-RET-032-E2</t>
  </si>
  <si>
    <t>G-REQ-00446</t>
  </si>
  <si>
    <t>H-RET-032-E3</t>
  </si>
  <si>
    <t>G-REQ-00447</t>
  </si>
  <si>
    <t>H-RET-032-E4</t>
  </si>
  <si>
    <t>G-REQ-00448</t>
  </si>
  <si>
    <t>SYNTHETIC: Returned H-AST-044 before replacement H-REQ-092</t>
  </si>
  <si>
    <t>H-RET-033-E1</t>
  </si>
  <si>
    <t>SYNTHETIC: Return workflow for H-AST-009</t>
  </si>
  <si>
    <t>H-RET-033-E2</t>
  </si>
  <si>
    <t>G-REQ-00449</t>
  </si>
  <si>
    <t>H-RET-033-E3</t>
  </si>
  <si>
    <t>G-REQ-00450</t>
  </si>
  <si>
    <t>G-REQ-00451</t>
  </si>
  <si>
    <t>H-RET-033-E4</t>
  </si>
  <si>
    <t>SYNTHETIC: Returned H-AST-009 before replacement H-REQ-033</t>
  </si>
  <si>
    <t>G-REQ-00452</t>
  </si>
  <si>
    <t>H-RET-034-E1</t>
  </si>
  <si>
    <t>G-REQ-00453</t>
  </si>
  <si>
    <t>SYNTHETIC: Return workflow for H-AST-021</t>
  </si>
  <si>
    <t>H-RET-034-E2</t>
  </si>
  <si>
    <t>G-REQ-00454</t>
  </si>
  <si>
    <t>H-RET-034-E3</t>
  </si>
  <si>
    <t>G-REQ-00455</t>
  </si>
  <si>
    <t>H-RET-034-E4</t>
  </si>
  <si>
    <t>SYNTHETIC: Returned H-AST-021 before replacement H-REQ-053</t>
  </si>
  <si>
    <t>G-REQ-00456</t>
  </si>
  <si>
    <t>H-RET-035-E1</t>
  </si>
  <si>
    <t>SYNTHETIC: Return workflow for H-AST-033</t>
  </si>
  <si>
    <t>G-REQ-00457</t>
  </si>
  <si>
    <t>H-RET-035-E2</t>
  </si>
  <si>
    <t>H-RET-035-E3</t>
  </si>
  <si>
    <t>G-REQ-00458</t>
  </si>
  <si>
    <t>H-RET-035-E4</t>
  </si>
  <si>
    <t>SYNTHETIC: Returned H-AST-033 before replacement H-REQ-073</t>
  </si>
  <si>
    <t>G-REQ-00459</t>
  </si>
  <si>
    <t>H-RET-036-E1</t>
  </si>
  <si>
    <t>SYNTHETIC: Return workflow for H-AST-045</t>
  </si>
  <si>
    <t>G-REQ-00460</t>
  </si>
  <si>
    <t>H-RET-036-E2</t>
  </si>
  <si>
    <t>G-REQ-00461</t>
  </si>
  <si>
    <t>H-RET-036-E3</t>
  </si>
  <si>
    <t>H-RET-036-E4</t>
  </si>
  <si>
    <t>G-REQ-00462</t>
  </si>
  <si>
    <t>SYNTHETIC: Returned H-AST-045 before replacement H-REQ-093</t>
  </si>
  <si>
    <t>H-RET-037-E1</t>
  </si>
  <si>
    <t>G-REQ-00463</t>
  </si>
  <si>
    <t>SYNTHETIC: Return workflow for H-AST-010</t>
  </si>
  <si>
    <t>H-RET-037-E2</t>
  </si>
  <si>
    <t>G-REQ-00464</t>
  </si>
  <si>
    <t>H-RET-037-E3</t>
  </si>
  <si>
    <t>G-REQ-00465</t>
  </si>
  <si>
    <t>H-RET-037-E4</t>
  </si>
  <si>
    <t>G-REQ-00466</t>
  </si>
  <si>
    <t>SYNTHETIC: Returned H-AST-010 before replacement H-REQ-034</t>
  </si>
  <si>
    <t>H-RET-038-E1</t>
  </si>
  <si>
    <t>G-REQ-00467</t>
  </si>
  <si>
    <t>SYNTHETIC: Return workflow for H-AST-022</t>
  </si>
  <si>
    <t>H-RET-038-E2</t>
  </si>
  <si>
    <t>G-REQ-00468</t>
  </si>
  <si>
    <t>H-RET-038-E3</t>
  </si>
  <si>
    <t>G-REQ-00469</t>
  </si>
  <si>
    <t>H-RET-038-E4</t>
  </si>
  <si>
    <t>SYNTHETIC: Returned H-AST-022 before replacement H-REQ-054</t>
  </si>
  <si>
    <t>G-REQ-00470</t>
  </si>
  <si>
    <t>H-RET-039-E1</t>
  </si>
  <si>
    <t>SYNTHETIC: Return workflow for H-AST-034</t>
  </si>
  <si>
    <t>G-REQ-00471</t>
  </si>
  <si>
    <t>H-RET-039-E2</t>
  </si>
  <si>
    <t>G-REQ-00472</t>
  </si>
  <si>
    <t>H-RET-039-E3</t>
  </si>
  <si>
    <t>G-REQ-00473</t>
  </si>
  <si>
    <t>H-RET-039-E4</t>
  </si>
  <si>
    <t>G-REQ-00474</t>
  </si>
  <si>
    <t>SYNTHETIC: Returned H-AST-034 before replacement H-REQ-074</t>
  </si>
  <si>
    <t>H-RET-040-E1</t>
  </si>
  <si>
    <t>G-REQ-00475</t>
  </si>
  <si>
    <t>SYNTHETIC: Return workflow for H-AST-046</t>
  </si>
  <si>
    <t>H-RET-040-E2</t>
  </si>
  <si>
    <t>G-REQ-00476</t>
  </si>
  <si>
    <t>H-RET-040-E3</t>
  </si>
  <si>
    <t>G-REQ-00477</t>
  </si>
  <si>
    <t>H-RET-040-E4</t>
  </si>
  <si>
    <t>SYNTHETIC: Returned H-AST-046 before replacement H-REQ-094</t>
  </si>
  <si>
    <t>G-REQ-00478</t>
  </si>
  <si>
    <t>H-RET-041-E1</t>
  </si>
  <si>
    <t>SYNTHETIC: Return workflow for H-AST-011</t>
  </si>
  <si>
    <t>G-REQ-00479</t>
  </si>
  <si>
    <t>H-RET-041-E2</t>
  </si>
  <si>
    <t>H-RET-041-E3</t>
  </si>
  <si>
    <t>G-REQ-00480</t>
  </si>
  <si>
    <t>H-RET-041-E4</t>
  </si>
  <si>
    <t>G-REQ-00481</t>
  </si>
  <si>
    <t>SYNTHETIC: Returned H-AST-011 before replacement H-REQ-035</t>
  </si>
  <si>
    <t>H-RET-042-E1</t>
  </si>
  <si>
    <t>G-REQ-00482</t>
  </si>
  <si>
    <t>SYNTHETIC: Return workflow for H-AST-023</t>
  </si>
  <si>
    <t>H-RET-042-E2</t>
  </si>
  <si>
    <t>G-REQ-00483</t>
  </si>
  <si>
    <t>H-RET-042-E3</t>
  </si>
  <si>
    <t>G-REQ-00484</t>
  </si>
  <si>
    <t>H-RET-042-E4</t>
  </si>
  <si>
    <t>G-REQ-00485</t>
  </si>
  <si>
    <t>SYNTHETIC: Returned H-AST-023 before replacement H-REQ-055</t>
  </si>
  <si>
    <t>H-RET-043-E1</t>
  </si>
  <si>
    <t>G-REQ-00486</t>
  </si>
  <si>
    <t>SYNTHETIC: Return workflow for H-AST-035</t>
  </si>
  <si>
    <t>H-RET-043-E2</t>
  </si>
  <si>
    <t>G-REQ-00487</t>
  </si>
  <si>
    <t>H-RET-043-E3</t>
  </si>
  <si>
    <t>G-REQ-00488</t>
  </si>
  <si>
    <t>H-RET-043-E4</t>
  </si>
  <si>
    <t>SYNTHETIC: Returned H-AST-035 before replacement H-REQ-075</t>
  </si>
  <si>
    <t>G-REQ-00489</t>
  </si>
  <si>
    <t>H-RET-044-E1</t>
  </si>
  <si>
    <t>SYNTHETIC: Return workflow for H-AST-047</t>
  </si>
  <si>
    <t>G-REQ-00490</t>
  </si>
  <si>
    <t>H-RET-044-E2</t>
  </si>
  <si>
    <t>G-REQ-00491</t>
  </si>
  <si>
    <t>H-RET-044-E3</t>
  </si>
  <si>
    <t>G-REQ-00492</t>
  </si>
  <si>
    <t>H-RET-044-E4</t>
  </si>
  <si>
    <t>G-REQ-00493</t>
  </si>
  <si>
    <t>SYNTHETIC: Returned H-AST-047 before replacement H-REQ-095</t>
  </si>
  <si>
    <t>G-REQ-00494</t>
  </si>
  <si>
    <t>H-RET-045-E1</t>
  </si>
  <si>
    <t>G-REQ-00495</t>
  </si>
  <si>
    <t>SYNTHETIC: Return workflow for H-AST-012</t>
  </si>
  <si>
    <t>H-RET-045-E2</t>
  </si>
  <si>
    <t>G-REQ-00496</t>
  </si>
  <si>
    <t>H-RET-045-E3</t>
  </si>
  <si>
    <t>G-REQ-00497</t>
  </si>
  <si>
    <t>H-RET-045-E4</t>
  </si>
  <si>
    <t>G-REQ-00498</t>
  </si>
  <si>
    <t>SYNTHETIC: Returned H-AST-012 before replacement H-REQ-036</t>
  </si>
  <si>
    <t>H-RET-046-E1</t>
  </si>
  <si>
    <t>SYNTHETIC: Return workflow for H-AST-024</t>
  </si>
  <si>
    <t>G-REQ-00499</t>
  </si>
  <si>
    <t>H-RET-046-E2</t>
  </si>
  <si>
    <t>H-RET-046-E3</t>
  </si>
  <si>
    <t>G-REQ-00500</t>
  </si>
  <si>
    <t>H-RET-046-E4</t>
  </si>
  <si>
    <t>G-REQ-00501</t>
  </si>
  <si>
    <t>SYNTHETIC: Returned H-AST-024 before replacement H-REQ-056</t>
  </si>
  <si>
    <t>H-RET-047-E1</t>
  </si>
  <si>
    <t>G-REQ-00502</t>
  </si>
  <si>
    <t>SYNTHETIC: Return workflow for H-AST-036</t>
  </si>
  <si>
    <t>H-RET-047-E2</t>
  </si>
  <si>
    <t>G-REQ-00503</t>
  </si>
  <si>
    <t>H-RET-047-E3</t>
  </si>
  <si>
    <t>G-REQ-00504</t>
  </si>
  <si>
    <t>H-RET-047-E4</t>
  </si>
  <si>
    <t>G-REQ-00505</t>
  </si>
  <si>
    <t>SYNTHETIC: Returned H-AST-036 before replacement H-REQ-076</t>
  </si>
  <si>
    <t>H-RET-048-E1</t>
  </si>
  <si>
    <t>G-REQ-00506</t>
  </si>
  <si>
    <t>SYNTHETIC: Return workflow for H-AST-048</t>
  </si>
  <si>
    <t>H-RET-048-E2</t>
  </si>
  <si>
    <t>G-REQ-00507</t>
  </si>
  <si>
    <t>H-RET-048-E3</t>
  </si>
  <si>
    <t>G-REQ-00508</t>
  </si>
  <si>
    <t>H-RET-048-E4</t>
  </si>
  <si>
    <t>G-REQ-00509</t>
  </si>
  <si>
    <t>SYNTHETIC: Returned H-AST-048 before replacement H-REQ-096</t>
  </si>
  <si>
    <t>G-REQ-00001-E1</t>
  </si>
  <si>
    <t>G-REQ-00510</t>
  </si>
  <si>
    <t>SYNTHETIC: Laptop allocation; Pending approval; asset G-AST-00001</t>
  </si>
  <si>
    <t>G-REQ-00001-E2</t>
  </si>
  <si>
    <t>SYNTHETIC: Laptop allocation; Approved; asset G-AST-00001</t>
  </si>
  <si>
    <t>G-REQ-00511</t>
  </si>
  <si>
    <t>G-REQ-00001-E3</t>
  </si>
  <si>
    <t>SYNTHETIC: Laptop allocation; In progress; asset G-AST-00001</t>
  </si>
  <si>
    <t>G-REQ-00512</t>
  </si>
  <si>
    <t>G-REQ-00001-E4</t>
  </si>
  <si>
    <t>SYNTHETIC: Laptop allocation; Completed; asset G-AST-00001</t>
  </si>
  <si>
    <t>G-REQ-00513</t>
  </si>
  <si>
    <t>G-REQ-00002-E1</t>
  </si>
  <si>
    <t>SYNTHETIC: Laptop allocation; Pending approval; asset G-AST-00002</t>
  </si>
  <si>
    <t>G-REQ-00514</t>
  </si>
  <si>
    <t>G-REQ-00002-E2</t>
  </si>
  <si>
    <t>SYNTHETIC: Laptop allocation; Approved; asset G-AST-00002</t>
  </si>
  <si>
    <t>G-REQ-00002-E3</t>
  </si>
  <si>
    <t>G-REQ-00515</t>
  </si>
  <si>
    <t>SYNTHETIC: Laptop allocation; In progress; asset G-AST-00002</t>
  </si>
  <si>
    <t>G-REQ-00002-E4</t>
  </si>
  <si>
    <t>G-REQ-00516</t>
  </si>
  <si>
    <t>SYNTHETIC: Laptop allocation; Completed; asset G-AST-00002</t>
  </si>
  <si>
    <t>G-REQ-00003-E1</t>
  </si>
  <si>
    <t>G-REQ-00517</t>
  </si>
  <si>
    <t>SYNTHETIC: Laptop allocation; Pending approval; asset G-AST-00003</t>
  </si>
  <si>
    <t>G-REQ-00518</t>
  </si>
  <si>
    <t>G-REQ-00003-E2</t>
  </si>
  <si>
    <t>G-REQ-00519</t>
  </si>
  <si>
    <t>SYNTHETIC: Laptop allocation; Approved; asset G-AST-00003</t>
  </si>
  <si>
    <t>G-REQ-00003-E3</t>
  </si>
  <si>
    <t>G-REQ-00520</t>
  </si>
  <si>
    <t>SYNTHETIC: Laptop allocation; In progress; asset G-AST-00003</t>
  </si>
  <si>
    <t>G-REQ-00003-E4</t>
  </si>
  <si>
    <t>SYNTHETIC: Laptop allocation; Completed; asset G-AST-00003</t>
  </si>
  <si>
    <t>G-REQ-00521</t>
  </si>
  <si>
    <t>G-REQ-00004-E1</t>
  </si>
  <si>
    <t>SYNTHETIC: Laptop allocation; Pending approval</t>
  </si>
  <si>
    <t>G-REQ-00522</t>
  </si>
  <si>
    <t>G-REQ-00004-E2</t>
  </si>
  <si>
    <t>G-REQ-00523</t>
  </si>
  <si>
    <t>SYNTHETIC: Laptop allocation; Rejected</t>
  </si>
  <si>
    <t>G-REQ-00005-E1</t>
  </si>
  <si>
    <t>G-REQ-00524</t>
  </si>
  <si>
    <t>G-REQ-00005-E2</t>
  </si>
  <si>
    <t>G-REQ-00525</t>
  </si>
  <si>
    <t>G-REQ-00006-E1</t>
  </si>
  <si>
    <t>G-REQ-00526</t>
  </si>
  <si>
    <t>SYNTHETIC: Laptop allocation; Pending approval; asset G-AST-00004</t>
  </si>
  <si>
    <t>G-REQ-00006-E2</t>
  </si>
  <si>
    <t>G-REQ-00527</t>
  </si>
  <si>
    <t>SYNTHETIC: Laptop allocation; Approved; asset G-AST-00004</t>
  </si>
  <si>
    <t>G-REQ-00006-E3</t>
  </si>
  <si>
    <t>G-REQ-00528</t>
  </si>
  <si>
    <t>SYNTHETIC: Laptop allocation; In progress; asset G-AST-00004</t>
  </si>
  <si>
    <t>G-REQ-00006-E4</t>
  </si>
  <si>
    <t>G-REQ-00529</t>
  </si>
  <si>
    <t>SYNTHETIC: Laptop allocation; Completed; asset G-AST-00004</t>
  </si>
  <si>
    <t>G-REQ-00007-E1</t>
  </si>
  <si>
    <t>G-REQ-00530</t>
  </si>
  <si>
    <t>SYNTHETIC: Laptop allocation; Pending approval; asset G-AST-00005</t>
  </si>
  <si>
    <t>G-REQ-00007-E2</t>
  </si>
  <si>
    <t>G-REQ-00531</t>
  </si>
  <si>
    <t>SYNTHETIC: Laptop allocation; Approved; asset G-AST-00005</t>
  </si>
  <si>
    <t>G-REQ-00007-E3</t>
  </si>
  <si>
    <t>G-REQ-00532</t>
  </si>
  <si>
    <t>SYNTHETIC: Laptop allocation; In progress; asset G-AST-00005</t>
  </si>
  <si>
    <t>G-REQ-00007-E4</t>
  </si>
  <si>
    <t>SYNTHETIC: Laptop allocation; Completed; asset G-AST-00005</t>
  </si>
  <si>
    <t>G-REQ-00533</t>
  </si>
  <si>
    <t>G-REQ-00008-E1</t>
  </si>
  <si>
    <t>G-REQ-00008-E2</t>
  </si>
  <si>
    <t>G-REQ-00534</t>
  </si>
  <si>
    <t>G-REQ-00009-E1</t>
  </si>
  <si>
    <t>G-REQ-00535</t>
  </si>
  <si>
    <t>SYNTHETIC: Laptop allocation; Pending approval; asset G-AST-00006</t>
  </si>
  <si>
    <t>G-REQ-00009-E2</t>
  </si>
  <si>
    <t>G-REQ-00536</t>
  </si>
  <si>
    <t>SYNTHETIC: Laptop allocation; Approved; asset G-AST-00006</t>
  </si>
  <si>
    <t>G-REQ-00009-E3</t>
  </si>
  <si>
    <t>G-REQ-00537</t>
  </si>
  <si>
    <t>SYNTHETIC: Laptop allocation; In progress; asset G-AST-00006</t>
  </si>
  <si>
    <t>G-REQ-00009-E4</t>
  </si>
  <si>
    <t>G-REQ-00538</t>
  </si>
  <si>
    <t>SYNTHETIC: Laptop allocation; Completed; asset G-AST-00006</t>
  </si>
  <si>
    <t>G-REQ-00010-E1</t>
  </si>
  <si>
    <t>G-REQ-00539</t>
  </si>
  <si>
    <t>SYNTHETIC: Laptop allocation; Pending approval; asset G-AST-00007</t>
  </si>
  <si>
    <t>G-REQ-00010-E2</t>
  </si>
  <si>
    <t>G-REQ-00540</t>
  </si>
  <si>
    <t>SYNTHETIC: Laptop allocation; Approved; asset G-AST-00007</t>
  </si>
  <si>
    <t>G-REQ-00010-E3</t>
  </si>
  <si>
    <t>G-REQ-00541</t>
  </si>
  <si>
    <t>SYNTHETIC: Laptop allocation; In progress; asset G-AST-00007</t>
  </si>
  <si>
    <t>G-REQ-00010-E4</t>
  </si>
  <si>
    <t>G-REQ-00542</t>
  </si>
  <si>
    <t>SYNTHETIC: Laptop allocation; Completed; asset G-AST-00007</t>
  </si>
  <si>
    <t>G-REQ-00011-E1</t>
  </si>
  <si>
    <t>SYNTHETIC: Laptop allocation; Pending approval; asset G-AST-00008</t>
  </si>
  <si>
    <t>G-REQ-00011-E2</t>
  </si>
  <si>
    <t>G-REQ-00543</t>
  </si>
  <si>
    <t>SYNTHETIC: Laptop allocation; Approved; asset G-AST-00008</t>
  </si>
  <si>
    <t>G-REQ-00011-E3</t>
  </si>
  <si>
    <t>G-REQ-00544</t>
  </si>
  <si>
    <t>SYNTHETIC: Laptop allocation; In progress; asset G-AST-00008</t>
  </si>
  <si>
    <t>G-REQ-00011-E4</t>
  </si>
  <si>
    <t>G-REQ-00545</t>
  </si>
  <si>
    <t>SYNTHETIC: Laptop allocation; Completed; asset G-AST-00008</t>
  </si>
  <si>
    <t>G-REQ-00012-E1</t>
  </si>
  <si>
    <t>G-REQ-00546</t>
  </si>
  <si>
    <t>SYNTHETIC: Laptop allocation; Pending approval; asset G-AST-00009</t>
  </si>
  <si>
    <t>G-REQ-00012-E2</t>
  </si>
  <si>
    <t>G-REQ-00547</t>
  </si>
  <si>
    <t>SYNTHETIC: Laptop allocation; Approved; asset G-AST-00009</t>
  </si>
  <si>
    <t>G-REQ-00012-E3</t>
  </si>
  <si>
    <t>G-REQ-00548</t>
  </si>
  <si>
    <t>SYNTHETIC: Laptop allocation; In progress; asset G-AST-00009</t>
  </si>
  <si>
    <t>G-REQ-00012-E4</t>
  </si>
  <si>
    <t>G-REQ-00549</t>
  </si>
  <si>
    <t>SYNTHETIC: Laptop allocation; Completed; asset G-AST-00009</t>
  </si>
  <si>
    <t>G-REQ-00013-E1</t>
  </si>
  <si>
    <t>SYNTHETIC: Laptop allocation; Pending approval; asset G-AST-00010</t>
  </si>
  <si>
    <t>G-REQ-00550</t>
  </si>
  <si>
    <t>G-REQ-00013-E2</t>
  </si>
  <si>
    <t>SYNTHETIC: Laptop allocation; Approved; asset G-AST-00010</t>
  </si>
  <si>
    <t>G-REQ-00551</t>
  </si>
  <si>
    <t>G-REQ-00013-E3</t>
  </si>
  <si>
    <t>SYNTHETIC: Laptop allocation; In progress; asset G-AST-00010</t>
  </si>
  <si>
    <t>G-REQ-00013-E4</t>
  </si>
  <si>
    <t>G-REQ-00552</t>
  </si>
  <si>
    <t>SYNTHETIC: Laptop allocation; Completed; asset G-AST-00010</t>
  </si>
  <si>
    <t>G-REQ-00014-E1</t>
  </si>
  <si>
    <t>G-REQ-00553</t>
  </si>
  <si>
    <t>SYNTHETIC: Laptop allocation; Pending approval; asset G-AST-00011</t>
  </si>
  <si>
    <t>G-REQ-00014-E2</t>
  </si>
  <si>
    <t>G-REQ-00554</t>
  </si>
  <si>
    <t>SYNTHETIC: Laptop allocation; Approved; asset G-AST-00011</t>
  </si>
  <si>
    <t>G-REQ-00014-E3</t>
  </si>
  <si>
    <t>G-REQ-00555</t>
  </si>
  <si>
    <t>SYNTHETIC: Laptop allocation; In progress; asset G-AST-00011</t>
  </si>
  <si>
    <t>G-REQ-00014-E4</t>
  </si>
  <si>
    <t>G-REQ-00556</t>
  </si>
  <si>
    <t>SYNTHETIC: Laptop allocation; Completed; asset G-AST-00011</t>
  </si>
  <si>
    <t>G-REQ-00015-E1</t>
  </si>
  <si>
    <t>G-REQ-00557</t>
  </si>
  <si>
    <t>SYNTHETIC: Laptop allocation; Pending approval; asset G-AST-00012</t>
  </si>
  <si>
    <t>G-REQ-00015-E2</t>
  </si>
  <si>
    <t>G-REQ-00558</t>
  </si>
  <si>
    <t>SYNTHETIC: Laptop allocation; Approved; asset G-AST-00012</t>
  </si>
  <si>
    <t>G-REQ-00015-E3</t>
  </si>
  <si>
    <t>G-REQ-00559</t>
  </si>
  <si>
    <t>SYNTHETIC: Laptop allocation; In progress; asset G-AST-00012</t>
  </si>
  <si>
    <t>G-REQ-00015-E4</t>
  </si>
  <si>
    <t>G-REQ-00560</t>
  </si>
  <si>
    <t>SYNTHETIC: Laptop allocation; Completed; asset G-AST-00012</t>
  </si>
  <si>
    <t>G-REQ-00016-E1</t>
  </si>
  <si>
    <t>G-REQ-00561</t>
  </si>
  <si>
    <t>G-REQ-00016-E2</t>
  </si>
  <si>
    <t>G-REQ-00562</t>
  </si>
  <si>
    <t>G-REQ-00017-E1</t>
  </si>
  <si>
    <t>SYNTHETIC: Laptop allocation; Pending approval; asset G-AST-00013</t>
  </si>
  <si>
    <t>G-REQ-00563</t>
  </si>
  <si>
    <t>G-REQ-00017-E2</t>
  </si>
  <si>
    <t>SYNTHETIC: Laptop allocation; Approved; asset G-AST-00013</t>
  </si>
  <si>
    <t>G-REQ-00564</t>
  </si>
  <si>
    <t>G-REQ-00017-E3</t>
  </si>
  <si>
    <t>SYNTHETIC: Laptop allocation; In progress; asset G-AST-00013</t>
  </si>
  <si>
    <t>G-REQ-00017-E4</t>
  </si>
  <si>
    <t>G-REQ-00565</t>
  </si>
  <si>
    <t>SYNTHETIC: Laptop allocation; Completed; asset G-AST-00013</t>
  </si>
  <si>
    <t>G-REQ-00018-E1</t>
  </si>
  <si>
    <t>G-REQ-00566</t>
  </si>
  <si>
    <t>SYNTHETIC: Laptop allocation; Pending approval; asset G-AST-00014</t>
  </si>
  <si>
    <t>G-REQ-00018-E2</t>
  </si>
  <si>
    <t>G-REQ-00567</t>
  </si>
  <si>
    <t>SYNTHETIC: Laptop allocation; Approved; asset G-AST-00014</t>
  </si>
  <si>
    <t>G-REQ-00018-E3</t>
  </si>
  <si>
    <t>G-REQ-00568</t>
  </si>
  <si>
    <t>SYNTHETIC: Laptop allocation; In progress; asset G-AST-00014</t>
  </si>
  <si>
    <t>G-REQ-00018-E4</t>
  </si>
  <si>
    <t>G-REQ-00569</t>
  </si>
  <si>
    <t>SYNTHETIC: Laptop allocation; Completed; asset G-AST-00014</t>
  </si>
  <si>
    <t>G-REQ-00019-E1</t>
  </si>
  <si>
    <t>SYNTHETIC: Laptop allocation; Pending approval; asset G-AST-00015</t>
  </si>
  <si>
    <t>G-REQ-00570</t>
  </si>
  <si>
    <t>G-REQ-00019-E2</t>
  </si>
  <si>
    <t>SYNTHETIC: Laptop allocation; Approved; asset G-AST-00015</t>
  </si>
  <si>
    <t>G-REQ-00571</t>
  </si>
  <si>
    <t>G-REQ-00019-E3</t>
  </si>
  <si>
    <t>G-REQ-00572</t>
  </si>
  <si>
    <t>SYNTHETIC: Laptop allocation; In progress; asset G-AST-00015</t>
  </si>
  <si>
    <t>G-REQ-00019-E4</t>
  </si>
  <si>
    <t>G-REQ-00573</t>
  </si>
  <si>
    <t>SYNTHETIC: Laptop allocation; Completed; asset G-AST-00015</t>
  </si>
  <si>
    <t>G-REQ-00020-E1</t>
  </si>
  <si>
    <t>G-REQ-00574</t>
  </si>
  <si>
    <t>SYNTHETIC: Laptop allocation; Pending approval; asset G-AST-00016</t>
  </si>
  <si>
    <t>G-REQ-00020-E2</t>
  </si>
  <si>
    <t>SYNTHETIC: Laptop allocation; Approved; asset G-AST-00016</t>
  </si>
  <si>
    <t>G-REQ-00575</t>
  </si>
  <si>
    <t>G-REQ-00020-E3</t>
  </si>
  <si>
    <t>SYNTHETIC: Laptop allocation; In progress; asset G-AST-00016</t>
  </si>
  <si>
    <t>G-REQ-00576</t>
  </si>
  <si>
    <t>G-REQ-00020-E4</t>
  </si>
  <si>
    <t>SYNTHETIC: Laptop allocation; Completed; asset G-AST-00016</t>
  </si>
  <si>
    <t>G-REQ-00577</t>
  </si>
  <si>
    <t>G-REQ-00021-E1</t>
  </si>
  <si>
    <t>G-REQ-00578</t>
  </si>
  <si>
    <t>G-REQ-00021-E2</t>
  </si>
  <si>
    <t>G-REQ-00579</t>
  </si>
  <si>
    <t>G-REQ-00022-E1</t>
  </si>
  <si>
    <t>SYNTHETIC: Laptop allocation; Pending approval; asset G-AST-00017</t>
  </si>
  <si>
    <t>G-REQ-00580</t>
  </si>
  <si>
    <t>G-REQ-00022-E2</t>
  </si>
  <si>
    <t>G-REQ-00581</t>
  </si>
  <si>
    <t>SYNTHETIC: Laptop allocation; Approved; asset G-AST-00017</t>
  </si>
  <si>
    <t>G-REQ-00022-E3</t>
  </si>
  <si>
    <t>SYNTHETIC: Laptop allocation; In progress; asset G-AST-00017</t>
  </si>
  <si>
    <t>G-REQ-00582</t>
  </si>
  <si>
    <t>G-REQ-00022-E4</t>
  </si>
  <si>
    <t>SYNTHETIC: Laptop allocation; Completed; asset G-AST-00017</t>
  </si>
  <si>
    <t>G-REQ-00583</t>
  </si>
  <si>
    <t>G-REQ-00023-E1</t>
  </si>
  <si>
    <t>SYNTHETIC: Laptop allocation; Pending approval; asset G-AST-00018</t>
  </si>
  <si>
    <t>G-REQ-00584</t>
  </si>
  <si>
    <t>G-REQ-00023-E2</t>
  </si>
  <si>
    <t>SYNTHETIC: Laptop allocation; Approved; asset G-AST-00018</t>
  </si>
  <si>
    <t>G-REQ-00023-E3</t>
  </si>
  <si>
    <t>G-REQ-00585</t>
  </si>
  <si>
    <t>SYNTHETIC: Laptop allocation; In progress; asset G-AST-00018</t>
  </si>
  <si>
    <t>G-REQ-00023-E4</t>
  </si>
  <si>
    <t>G-REQ-00586</t>
  </si>
  <si>
    <t>SYNTHETIC: Laptop allocation; Completed; asset G-AST-00018</t>
  </si>
  <si>
    <t>G-REQ-00024-E1</t>
  </si>
  <si>
    <t>G-REQ-00587</t>
  </si>
  <si>
    <t>SYNTHETIC: Laptop allocation; Pending approval; asset G-AST-00019</t>
  </si>
  <si>
    <t>G-REQ-00024-E2</t>
  </si>
  <si>
    <t>G-REQ-00588</t>
  </si>
  <si>
    <t>SYNTHETIC: Laptop allocation; Approved; asset G-AST-00019</t>
  </si>
  <si>
    <t>G-REQ-00024-E3</t>
  </si>
  <si>
    <t>G-REQ-00589</t>
  </si>
  <si>
    <t>SYNTHETIC: Laptop allocation; In progress; asset G-AST-00019</t>
  </si>
  <si>
    <t>G-REQ-00024-E4</t>
  </si>
  <si>
    <t>SYNTHETIC: Laptop allocation; Completed; asset G-AST-00019</t>
  </si>
  <si>
    <t>G-REQ-00025-E1</t>
  </si>
  <si>
    <t>G-REQ-00590</t>
  </si>
  <si>
    <t>SYNTHETIC: Laptop allocation; Pending approval; asset G-AST-00020</t>
  </si>
  <si>
    <t>G-REQ-00025-E2</t>
  </si>
  <si>
    <t>G-REQ-00591</t>
  </si>
  <si>
    <t>SYNTHETIC: Laptop allocation; Approved; asset G-AST-00020</t>
  </si>
  <si>
    <t>G-REQ-00025-E3</t>
  </si>
  <si>
    <t>G-REQ-00592</t>
  </si>
  <si>
    <t>SYNTHETIC: Laptop allocation; In progress; asset G-AST-00020</t>
  </si>
  <si>
    <t>G-REQ-00025-E4</t>
  </si>
  <si>
    <t>G-REQ-00593</t>
  </si>
  <si>
    <t>SYNTHETIC: Laptop allocation; Completed; asset G-AST-00020</t>
  </si>
  <si>
    <t>G-REQ-00026-E1</t>
  </si>
  <si>
    <t>G-REQ-00594</t>
  </si>
  <si>
    <t>SYNTHETIC: Laptop allocation; Pending approval; asset G-AST-00021</t>
  </si>
  <si>
    <t>G-REQ-00026-E2</t>
  </si>
  <si>
    <t>G-REQ-00595</t>
  </si>
  <si>
    <t>SYNTHETIC: Laptop allocation; Approved; asset G-AST-00021</t>
  </si>
  <si>
    <t>G-REQ-00026-E3</t>
  </si>
  <si>
    <t>SYNTHETIC: Laptop allocation; In progress; asset G-AST-00021</t>
  </si>
  <si>
    <t>G-REQ-00026-E4</t>
  </si>
  <si>
    <t>G-REQ-00596</t>
  </si>
  <si>
    <t>SYNTHETIC: Laptop allocation; Completed; asset G-AST-00021</t>
  </si>
  <si>
    <t>G-REQ-00027-E1</t>
  </si>
  <si>
    <t>G-REQ-00597</t>
  </si>
  <si>
    <t>G-REQ-00027-E2</t>
  </si>
  <si>
    <t>G-REQ-00598</t>
  </si>
  <si>
    <t>G-REQ-00028-E1</t>
  </si>
  <si>
    <t>G-REQ-00599</t>
  </si>
  <si>
    <t>SYNTHETIC: Laptop allocation; Pending approval; asset G-AST-00022</t>
  </si>
  <si>
    <t>G-REQ-00028-E2</t>
  </si>
  <si>
    <t>G-REQ-00600</t>
  </si>
  <si>
    <t>SYNTHETIC: Laptop allocation; Approved; asset G-AST-00022</t>
  </si>
  <si>
    <t>G-REQ-00028-E3</t>
  </si>
  <si>
    <t>G-REQ-00601</t>
  </si>
  <si>
    <t>SYNTHETIC: Laptop allocation; In progress; asset G-AST-00022</t>
  </si>
  <si>
    <t>G-REQ-00028-E4</t>
  </si>
  <si>
    <t>G-REQ-00602</t>
  </si>
  <si>
    <t>SYNTHETIC: Laptop allocation; Completed; asset G-AST-00022</t>
  </si>
  <si>
    <t>G-REQ-00029-E1</t>
  </si>
  <si>
    <t>G-REQ-00603</t>
  </si>
  <si>
    <t>SYNTHETIC: Laptop allocation; Pending approval; asset G-AST-00023</t>
  </si>
  <si>
    <t>G-REQ-00029-E2</t>
  </si>
  <si>
    <t>G-REQ-00604</t>
  </si>
  <si>
    <t>SYNTHETIC: Laptop allocation; Approved; asset G-AST-00023</t>
  </si>
  <si>
    <t>G-REQ-00029-E3</t>
  </si>
  <si>
    <t>G-REQ-00605</t>
  </si>
  <si>
    <t>SYNTHETIC: Laptop allocation; In progress; asset G-AST-00023</t>
  </si>
  <si>
    <t>G-REQ-00029-E4</t>
  </si>
  <si>
    <t>G-REQ-00606</t>
  </si>
  <si>
    <t>SYNTHETIC: Laptop allocation; Completed; asset G-AST-00023</t>
  </si>
  <si>
    <t>G-REQ-00030-E1</t>
  </si>
  <si>
    <t>G-REQ-00607</t>
  </si>
  <si>
    <t>SYNTHETIC: Laptop allocation; Pending approval; asset G-AST-00024</t>
  </si>
  <si>
    <t>G-REQ-00030-E2</t>
  </si>
  <si>
    <t>G-REQ-00608</t>
  </si>
  <si>
    <t>SYNTHETIC: Laptop allocation; Approved; asset G-AST-00024</t>
  </si>
  <si>
    <t>G-REQ-00030-E3</t>
  </si>
  <si>
    <t>G-REQ-00609</t>
  </si>
  <si>
    <t>SYNTHETIC: Laptop allocation; In progress; asset G-AST-00024</t>
  </si>
  <si>
    <t>G-REQ-00030-E4</t>
  </si>
  <si>
    <t>G-REQ-00610</t>
  </si>
  <si>
    <t>SYNTHETIC: Laptop allocation; Completed; asset G-AST-00024</t>
  </si>
  <si>
    <t>G-REQ-00031-E1</t>
  </si>
  <si>
    <t>G-REQ-00611</t>
  </si>
  <si>
    <t>SYNTHETIC: Laptop allocation; Pending approval; asset G-AST-00025</t>
  </si>
  <si>
    <t>G-REQ-00031-E2</t>
  </si>
  <si>
    <t>G-REQ-00612</t>
  </si>
  <si>
    <t>SYNTHETIC: Laptop allocation; Approved; asset G-AST-00025</t>
  </si>
  <si>
    <t>G-REQ-00031-E3</t>
  </si>
  <si>
    <t>G-REQ-00613</t>
  </si>
  <si>
    <t>SYNTHETIC: Laptop allocation; In progress; asset G-AST-00025</t>
  </si>
  <si>
    <t>G-REQ-00031-E4</t>
  </si>
  <si>
    <t>G-REQ-00614</t>
  </si>
  <si>
    <t>SYNTHETIC: Laptop allocation; Completed; asset G-AST-00025</t>
  </si>
  <si>
    <t>G-REQ-00032-E1</t>
  </si>
  <si>
    <t>G-REQ-00615</t>
  </si>
  <si>
    <t>G-REQ-00032-E2</t>
  </si>
  <si>
    <t>SYNTHETIC: Laptop allocation; Cancelled</t>
  </si>
  <si>
    <t>G-REQ-00033-E1</t>
  </si>
  <si>
    <t>G-REQ-00616</t>
  </si>
  <si>
    <t>SYNTHETIC: Laptop allocation; Pending approval; asset G-AST-00026</t>
  </si>
  <si>
    <t>G-REQ-00033-E2</t>
  </si>
  <si>
    <t>G-REQ-00617</t>
  </si>
  <si>
    <t>SYNTHETIC: Laptop allocation; Approved; asset G-AST-00026</t>
  </si>
  <si>
    <t>G-REQ-00033-E3</t>
  </si>
  <si>
    <t>G-REQ-00618</t>
  </si>
  <si>
    <t>SYNTHETIC: Laptop allocation; In progress; asset G-AST-00026</t>
  </si>
  <si>
    <t>G-REQ-00033-E4</t>
  </si>
  <si>
    <t>G-REQ-00619</t>
  </si>
  <si>
    <t>SYNTHETIC: Laptop allocation; Completed; asset G-AST-00026</t>
  </si>
  <si>
    <t>G-REQ-00034-E1</t>
  </si>
  <si>
    <t>G-REQ-00620</t>
  </si>
  <si>
    <t>G-REQ-00034-E2</t>
  </si>
  <si>
    <t>G-REQ-00621</t>
  </si>
  <si>
    <t>G-REQ-00035-E1</t>
  </si>
  <si>
    <t>SYNTHETIC: Laptop return; Pending approval; asset G-AST-00015</t>
  </si>
  <si>
    <t>G-REQ-00035-E2</t>
  </si>
  <si>
    <t>G-REQ-00622</t>
  </si>
  <si>
    <t>SYNTHETIC: Laptop return; Approved; asset G-AST-00015</t>
  </si>
  <si>
    <t>G-REQ-00035-E3</t>
  </si>
  <si>
    <t>SYNTHETIC: Laptop return; In progress; asset G-AST-00015</t>
  </si>
  <si>
    <t>G-REQ-00623</t>
  </si>
  <si>
    <t>G-REQ-00035-E4</t>
  </si>
  <si>
    <t>SYNTHETIC: Laptop return; Completed; asset G-AST-00015</t>
  </si>
  <si>
    <t>G-REQ-00624</t>
  </si>
  <si>
    <t>G-REQ-00036-E1</t>
  </si>
  <si>
    <t>SYNTHETIC: Laptop allocation; Pending approval; asset G-AST-00027</t>
  </si>
  <si>
    <t>G-REQ-00625</t>
  </si>
  <si>
    <t>G-REQ-00036-E2</t>
  </si>
  <si>
    <t>SYNTHETIC: Laptop allocation; Approved; asset G-AST-00027</t>
  </si>
  <si>
    <t>G-REQ-00036-E3</t>
  </si>
  <si>
    <t>G-REQ-00626</t>
  </si>
  <si>
    <t>SYNTHETIC: Laptop allocation; In progress; asset G-AST-00027</t>
  </si>
  <si>
    <t>G-REQ-00036-E4</t>
  </si>
  <si>
    <t>G-REQ-00627</t>
  </si>
  <si>
    <t>SYNTHETIC: Laptop allocation; Completed; asset G-AST-00027</t>
  </si>
  <si>
    <t>G-REQ-00037-E1</t>
  </si>
  <si>
    <t>G-REQ-00628</t>
  </si>
  <si>
    <t>G-REQ-00037-E2</t>
  </si>
  <si>
    <t>G-REQ-00629</t>
  </si>
  <si>
    <t>G-REQ-00038-E1</t>
  </si>
  <si>
    <t>SYNTHETIC: Laptop allocation; Pending approval; asset G-AST-00028</t>
  </si>
  <si>
    <t>G-REQ-00630</t>
  </si>
  <si>
    <t>G-REQ-00038-E2</t>
  </si>
  <si>
    <t>SYNTHETIC: Laptop allocation; Approved; asset G-AST-00028</t>
  </si>
  <si>
    <t>G-REQ-00631</t>
  </si>
  <si>
    <t>G-REQ-00038-E3</t>
  </si>
  <si>
    <t>SYNTHETIC: Laptop allocation; In progress; asset G-AST-00028</t>
  </si>
  <si>
    <t>G-REQ-00038-E4</t>
  </si>
  <si>
    <t>G-REQ-00632</t>
  </si>
  <si>
    <t>SYNTHETIC: Laptop allocation; Completed; asset G-AST-00028</t>
  </si>
  <si>
    <t>G-REQ-00039-E1</t>
  </si>
  <si>
    <t>G-REQ-00633</t>
  </si>
  <si>
    <t>SYNTHETIC: Laptop allocation; Pending approval; asset G-AST-00029</t>
  </si>
  <si>
    <t>G-REQ-00039-E2</t>
  </si>
  <si>
    <t>G-REQ-00634</t>
  </si>
  <si>
    <t>SYNTHETIC: Laptop allocation; Approved; asset G-AST-00029</t>
  </si>
  <si>
    <t>G-REQ-00039-E3</t>
  </si>
  <si>
    <t>G-REQ-00635</t>
  </si>
  <si>
    <t>SYNTHETIC: Laptop allocation; In progress; asset G-AST-00029</t>
  </si>
  <si>
    <t>G-REQ-00039-E4</t>
  </si>
  <si>
    <t>G-REQ-00636</t>
  </si>
  <si>
    <t>SYNTHETIC: Laptop allocation; Completed; asset G-AST-00029</t>
  </si>
  <si>
    <t>G-REQ-00040-E1</t>
  </si>
  <si>
    <t>G-REQ-00637</t>
  </si>
  <si>
    <t>G-REQ-00040-E2</t>
  </si>
  <si>
    <t>G-REQ-00638</t>
  </si>
  <si>
    <t>G-REQ-00041-E1</t>
  </si>
  <si>
    <t>G-REQ-00639</t>
  </si>
  <si>
    <t>SYNTHETIC: Laptop allocation; Pending approval; asset G-AST-00030</t>
  </si>
  <si>
    <t>G-REQ-00041-E2</t>
  </si>
  <si>
    <t>G-REQ-00640</t>
  </si>
  <si>
    <t>SYNTHETIC: Laptop allocation; Approved; asset G-AST-00030</t>
  </si>
  <si>
    <t>G-REQ-00041-E3</t>
  </si>
  <si>
    <t>G-REQ-00641</t>
  </si>
  <si>
    <t>SYNTHETIC: Laptop allocation; In progress; asset G-AST-00030</t>
  </si>
  <si>
    <t>G-REQ-00041-E4</t>
  </si>
  <si>
    <t>G-REQ-00642</t>
  </si>
  <si>
    <t>SYNTHETIC: Laptop allocation; Completed; asset G-AST-00030</t>
  </si>
  <si>
    <t>G-REQ-00042-E1</t>
  </si>
  <si>
    <t>G-REQ-00643</t>
  </si>
  <si>
    <t>SYNTHETIC: Laptop repair; Pending approval; asset G-AST-00024</t>
  </si>
  <si>
    <t>G-REQ-00042-E2</t>
  </si>
  <si>
    <t>G-REQ-00644</t>
  </si>
  <si>
    <t>SYNTHETIC: Laptop repair; Approved; asset G-AST-00024</t>
  </si>
  <si>
    <t>G-REQ-00042-E3</t>
  </si>
  <si>
    <t>SYNTHETIC: Laptop repair; In progress; asset G-AST-00024</t>
  </si>
  <si>
    <t>G-REQ-00042-E4</t>
  </si>
  <si>
    <t>G-REQ-00645</t>
  </si>
  <si>
    <t>G-REQ-00646</t>
  </si>
  <si>
    <t>G-REQ-00647</t>
  </si>
  <si>
    <t>SYNTHETIC: Laptop repair; Completed; asset G-AST-00024</t>
  </si>
  <si>
    <t>G-REQ-00043-E1</t>
  </si>
  <si>
    <t>G-REQ-00648</t>
  </si>
  <si>
    <t>SYNTHETIC: Laptop allocation; Pending approval; asset G-AST-00031</t>
  </si>
  <si>
    <t>G-REQ-00043-E2</t>
  </si>
  <si>
    <t>G-REQ-00649</t>
  </si>
  <si>
    <t>SYNTHETIC: Laptop allocation; Approved; asset G-AST-00031</t>
  </si>
  <si>
    <t>G-REQ-00043-E3</t>
  </si>
  <si>
    <t>G-REQ-00650</t>
  </si>
  <si>
    <t>SYNTHETIC: Laptop allocation; In progress; asset G-AST-00031</t>
  </si>
  <si>
    <t>G-REQ-00043-E4</t>
  </si>
  <si>
    <t>G-REQ-00651</t>
  </si>
  <si>
    <t>SYNTHETIC: Laptop allocation; Completed; asset G-AST-00031</t>
  </si>
  <si>
    <t>G-REQ-00044-E1</t>
  </si>
  <si>
    <t>G-REQ-00652</t>
  </si>
  <si>
    <t>SYNTHETIC: Laptop allocation; Pending approval; asset G-AST-00032</t>
  </si>
  <si>
    <t>G-REQ-00044-E2</t>
  </si>
  <si>
    <t>G-REQ-00653</t>
  </si>
  <si>
    <t>SYNTHETIC: Laptop allocation; Approved; asset G-AST-00032</t>
  </si>
  <si>
    <t>G-REQ-00044-E3</t>
  </si>
  <si>
    <t>G-REQ-00654</t>
  </si>
  <si>
    <t>SYNTHETIC: Laptop allocation; In progress; asset G-AST-00032</t>
  </si>
  <si>
    <t>G-REQ-00044-E4</t>
  </si>
  <si>
    <t>SYNTHETIC: Laptop allocation; Completed; asset G-AST-00032</t>
  </si>
  <si>
    <t>G-REQ-00655</t>
  </si>
  <si>
    <t>G-REQ-00045-E1</t>
  </si>
  <si>
    <t>SYNTHETIC: Laptop allocation; Pending approval; asset G-AST-00033</t>
  </si>
  <si>
    <t>G-REQ-00045-E2</t>
  </si>
  <si>
    <t>G-REQ-00656</t>
  </si>
  <si>
    <t>SYNTHETIC: Laptop allocation; Approved; asset G-AST-00033</t>
  </si>
  <si>
    <t>G-REQ-00657</t>
  </si>
  <si>
    <t>G-REQ-00045-E3</t>
  </si>
  <si>
    <t>SYNTHETIC: Laptop allocation; In progress; asset G-AST-00033</t>
  </si>
  <si>
    <t>G-REQ-00045-E4</t>
  </si>
  <si>
    <t>G-REQ-00658</t>
  </si>
  <si>
    <t>SYNTHETIC: Laptop allocation; Completed; asset G-AST-00033</t>
  </si>
  <si>
    <t>G-REQ-00046-E1</t>
  </si>
  <si>
    <t>G-REQ-00659</t>
  </si>
  <si>
    <t>SYNTHETIC: Laptop allocation; Pending approval; asset G-AST-00034</t>
  </si>
  <si>
    <t>G-REQ-00046-E2</t>
  </si>
  <si>
    <t>G-REQ-00660</t>
  </si>
  <si>
    <t>SYNTHETIC: Laptop allocation; Approved; asset G-AST-00034</t>
  </si>
  <si>
    <t>G-REQ-00046-E3</t>
  </si>
  <si>
    <t>G-REQ-00661</t>
  </si>
  <si>
    <t>SYNTHETIC: Laptop allocation; In progress; asset G-AST-00034</t>
  </si>
  <si>
    <t>G-REQ-00046-E4</t>
  </si>
  <si>
    <t>G-REQ-00662</t>
  </si>
  <si>
    <t>SYNTHETIC: Laptop allocation; Completed; asset G-AST-00034</t>
  </si>
  <si>
    <t>G-REQ-00047-E1</t>
  </si>
  <si>
    <t>G-REQ-00663</t>
  </si>
  <si>
    <t>SYNTHETIC: Laptop allocation; Pending approval; asset G-AST-00035</t>
  </si>
  <si>
    <t>G-REQ-00047-E2</t>
  </si>
  <si>
    <t>G-REQ-00664</t>
  </si>
  <si>
    <t>SYNTHETIC: Laptop allocation; Approved; asset G-AST-00035</t>
  </si>
  <si>
    <t>G-REQ-00047-E3</t>
  </si>
  <si>
    <t>SYNTHETIC: Laptop allocation; In progress; asset G-AST-00035</t>
  </si>
  <si>
    <t>G-REQ-00047-E4</t>
  </si>
  <si>
    <t>G-REQ-00665</t>
  </si>
  <si>
    <t>SYNTHETIC: Laptop allocation; Completed; asset G-AST-00035</t>
  </si>
  <si>
    <t>G-REQ-00048-E1</t>
  </si>
  <si>
    <t>G-REQ-00666</t>
  </si>
  <si>
    <t>SYNTHETIC: Laptop allocation; Pending approval; asset G-AST-00036</t>
  </si>
  <si>
    <t>G-REQ-00048-E2</t>
  </si>
  <si>
    <t>G-REQ-00667</t>
  </si>
  <si>
    <t>SYNTHETIC: Laptop allocation; Approved; asset G-AST-00036</t>
  </si>
  <si>
    <t>G-REQ-00048-E3</t>
  </si>
  <si>
    <t>SYNTHETIC: Laptop allocation; In progress; asset G-AST-00036</t>
  </si>
  <si>
    <t>G-REQ-00668</t>
  </si>
  <si>
    <t>G-REQ-00048-E4</t>
  </si>
  <si>
    <t>SYNTHETIC: Laptop allocation; Completed; asset G-AST-00036</t>
  </si>
  <si>
    <t>G-REQ-00049-E1</t>
  </si>
  <si>
    <t>G-REQ-00669</t>
  </si>
  <si>
    <t>SYNTHETIC: Laptop allocation; Pending approval; asset G-AST-00037</t>
  </si>
  <si>
    <t>G-REQ-00049-E2</t>
  </si>
  <si>
    <t>G-REQ-00670</t>
  </si>
  <si>
    <t>SYNTHETIC: Laptop allocation; Approved; asset G-AST-00037</t>
  </si>
  <si>
    <t>G-REQ-00049-E3</t>
  </si>
  <si>
    <t>G-REQ-00671</t>
  </si>
  <si>
    <t>SYNTHETIC: Laptop allocation; In progress; asset G-AST-00037</t>
  </si>
  <si>
    <t>G-REQ-00049-E4</t>
  </si>
  <si>
    <t>G-REQ-00672</t>
  </si>
  <si>
    <t>SYNTHETIC: Laptop allocation; Completed; asset G-AST-00037</t>
  </si>
  <si>
    <t>G-REQ-00050-E1</t>
  </si>
  <si>
    <t>G-REQ-00673</t>
  </si>
  <si>
    <t>G-REQ-00050-E2</t>
  </si>
  <si>
    <t>G-REQ-00674</t>
  </si>
  <si>
    <t>G-REQ-00051-E1</t>
  </si>
  <si>
    <t>SYNTHETIC: Laptop allocation; Pending approval; asset G-AST-00038</t>
  </si>
  <si>
    <t>G-REQ-00051-E2</t>
  </si>
  <si>
    <t>G-REQ-00675</t>
  </si>
  <si>
    <t>SYNTHETIC: Laptop allocation; Approved; asset G-AST-00038</t>
  </si>
  <si>
    <t>G-REQ-00051-E3</t>
  </si>
  <si>
    <t>G-REQ-00676</t>
  </si>
  <si>
    <t>SYNTHETIC: Laptop allocation; In progress; asset G-AST-00038</t>
  </si>
  <si>
    <t>G-REQ-00051-E4</t>
  </si>
  <si>
    <t>G-REQ-00677</t>
  </si>
  <si>
    <t>SYNTHETIC: Laptop allocation; Completed; asset G-AST-00038</t>
  </si>
  <si>
    <t>G-REQ-00052-E1</t>
  </si>
  <si>
    <t>G-REQ-00678</t>
  </si>
  <si>
    <t>SYNTHETIC: Laptop allocation; Pending approval; asset G-AST-00039</t>
  </si>
  <si>
    <t>G-REQ-00052-E2</t>
  </si>
  <si>
    <t>G-REQ-00679</t>
  </si>
  <si>
    <t>SYNTHETIC: Laptop allocation; Approved; asset G-AST-00039</t>
  </si>
  <si>
    <t>G-REQ-00052-E3</t>
  </si>
  <si>
    <t>G-REQ-00680</t>
  </si>
  <si>
    <t>SYNTHETIC: Laptop allocation; In progress; asset G-AST-00039</t>
  </si>
  <si>
    <t>G-REQ-00052-E4</t>
  </si>
  <si>
    <t>G-REQ-00681</t>
  </si>
  <si>
    <t>SYNTHETIC: Laptop allocation; Completed; asset G-AST-00039</t>
  </si>
  <si>
    <t>G-REQ-00053-E1</t>
  </si>
  <si>
    <t>G-REQ-00682</t>
  </si>
  <si>
    <t>SYNTHETIC: Laptop allocation; Pending approval; asset G-AST-00040</t>
  </si>
  <si>
    <t>G-REQ-00053-E2</t>
  </si>
  <si>
    <t>G-REQ-00683</t>
  </si>
  <si>
    <t>SYNTHETIC: Laptop allocation; Approved; asset G-AST-00040</t>
  </si>
  <si>
    <t>G-REQ-00053-E3</t>
  </si>
  <si>
    <t>G-REQ-00684</t>
  </si>
  <si>
    <t>SYNTHETIC: Laptop allocation; In progress; asset G-AST-00040</t>
  </si>
  <si>
    <t>G-REQ-00053-E4</t>
  </si>
  <si>
    <t>SYNTHETIC: Laptop allocation; Completed; asset G-AST-00040</t>
  </si>
  <si>
    <t>G-REQ-00054-E1</t>
  </si>
  <si>
    <t>G-REQ-00685</t>
  </si>
  <si>
    <t>SYNTHETIC: Laptop allocation; Pending approval; asset G-AST-00041</t>
  </si>
  <si>
    <t>G-REQ-00054-E2</t>
  </si>
  <si>
    <t>G-REQ-00686</t>
  </si>
  <si>
    <t>SYNTHETIC: Laptop allocation; Approved; asset G-AST-00041</t>
  </si>
  <si>
    <t>G-REQ-00054-E3</t>
  </si>
  <si>
    <t>G-REQ-00687</t>
  </si>
  <si>
    <t>SYNTHETIC: Laptop allocation; In progress; asset G-AST-00041</t>
  </si>
  <si>
    <t>G-REQ-00054-E4</t>
  </si>
  <si>
    <t>SYNTHETIC: Laptop allocation; Completed; asset G-AST-00041</t>
  </si>
  <si>
    <t>G-REQ-00688</t>
  </si>
  <si>
    <t>G-REQ-00055-E1</t>
  </si>
  <si>
    <t>SYNTHETIC: Laptop allocation; Pending approval; asset G-AST-00042</t>
  </si>
  <si>
    <t>G-REQ-00689</t>
  </si>
  <si>
    <t>G-REQ-00055-E2</t>
  </si>
  <si>
    <t>SYNTHETIC: Laptop allocation; Approved; asset G-AST-00042</t>
  </si>
  <si>
    <t>G-REQ-00690</t>
  </si>
  <si>
    <t>G-REQ-00055-E3</t>
  </si>
  <si>
    <t>SYNTHETIC: Laptop allocation; In progress; asset G-AST-00042</t>
  </si>
  <si>
    <t>G-REQ-00055-E4</t>
  </si>
  <si>
    <t>G-REQ-00691</t>
  </si>
  <si>
    <t>SYNTHETIC: Laptop allocation; Completed; asset G-AST-00042</t>
  </si>
  <si>
    <t>G-REQ-00056-E1</t>
  </si>
  <si>
    <t>G-REQ-00692</t>
  </si>
  <si>
    <t>SYNTHETIC: Laptop allocation; Pending approval; asset G-AST-00043</t>
  </si>
  <si>
    <t>G-REQ-00056-E2</t>
  </si>
  <si>
    <t>G-REQ-00693</t>
  </si>
  <si>
    <t>SYNTHETIC: Laptop allocation; Approved; asset G-AST-00043</t>
  </si>
  <si>
    <t>G-REQ-00056-E3</t>
  </si>
  <si>
    <t>G-REQ-00694</t>
  </si>
  <si>
    <t>SYNTHETIC: Laptop allocation; In progress; asset G-AST-00043</t>
  </si>
  <si>
    <t>G-REQ-00056-E4</t>
  </si>
  <si>
    <t>G-REQ-00695</t>
  </si>
  <si>
    <t>SYNTHETIC: Laptop allocation; Completed; asset G-AST-00043</t>
  </si>
  <si>
    <t>G-REQ-00057-E1</t>
  </si>
  <si>
    <t>G-REQ-00696</t>
  </si>
  <si>
    <t>SYNTHETIC: Laptop allocation; Pending approval; asset G-AST-00044</t>
  </si>
  <si>
    <t>G-REQ-00057-E2</t>
  </si>
  <si>
    <t>G-REQ-00697</t>
  </si>
  <si>
    <t>SYNTHETIC: Laptop allocation; Approved; asset G-AST-00044</t>
  </si>
  <si>
    <t>G-REQ-00057-E3</t>
  </si>
  <si>
    <t>G-REQ-00698</t>
  </si>
  <si>
    <t>SYNTHETIC: Laptop allocation; In progress; asset G-AST-00044</t>
  </si>
  <si>
    <t>G-REQ-00057-E4</t>
  </si>
  <si>
    <t>G-REQ-00699</t>
  </si>
  <si>
    <t>SYNTHETIC: Laptop allocation; Completed; asset G-AST-00044</t>
  </si>
  <si>
    <t>G-REQ-00058-E1</t>
  </si>
  <si>
    <t>G-REQ-00700</t>
  </si>
  <si>
    <t>SYNTHETIC: Laptop return; Pending approval; asset G-AST-00001</t>
  </si>
  <si>
    <t>G-REQ-00058-E2</t>
  </si>
  <si>
    <t>G-REQ-00701</t>
  </si>
  <si>
    <t>SYNTHETIC: Laptop return; Approved; asset G-AST-00001</t>
  </si>
  <si>
    <t>G-REQ-00058-E3</t>
  </si>
  <si>
    <t>G-REQ-00702</t>
  </si>
  <si>
    <t>SYNTHETIC: Laptop return; In progress; asset G-AST-00001</t>
  </si>
  <si>
    <t>G-REQ-00058-E4</t>
  </si>
  <si>
    <t>SYNTHETIC: Laptop return; Completed; asset G-AST-00001</t>
  </si>
  <si>
    <t>G-REQ-00703</t>
  </si>
  <si>
    <t>G-REQ-00059-E1</t>
  </si>
  <si>
    <t>G-REQ-00704</t>
  </si>
  <si>
    <t>G-REQ-00059-E2</t>
  </si>
  <si>
    <t>G-REQ-00705</t>
  </si>
  <si>
    <t>G-REQ-00060-E1</t>
  </si>
  <si>
    <t>G-REQ-00706</t>
  </si>
  <si>
    <t>G-REQ-00060-E2</t>
  </si>
  <si>
    <t>G-REQ-00061-E1</t>
  </si>
  <si>
    <t>G-REQ-00707</t>
  </si>
  <si>
    <t>SYNTHETIC: Laptop allocation; Pending approval; asset G-AST-00045</t>
  </si>
  <si>
    <t>G-REQ-00061-E2</t>
  </si>
  <si>
    <t>G-REQ-00708</t>
  </si>
  <si>
    <t>SYNTHETIC: Laptop allocation; Approved; asset G-AST-00045</t>
  </si>
  <si>
    <t>G-REQ-00061-E3</t>
  </si>
  <si>
    <t>G-REQ-00709</t>
  </si>
  <si>
    <t>SYNTHETIC: Laptop allocation; In progress; asset G-AST-00045</t>
  </si>
  <si>
    <t>G-REQ-00061-E4</t>
  </si>
  <si>
    <t>SYNTHETIC: Laptop allocation; Completed; asset G-AST-00045</t>
  </si>
  <si>
    <t>G-REQ-00062-E1</t>
  </si>
  <si>
    <t>G-REQ-00710</t>
  </si>
  <si>
    <t>SYNTHETIC: Laptop allocation; Pending approval; asset G-AST-00046</t>
  </si>
  <si>
    <t>G-REQ-00062-E2</t>
  </si>
  <si>
    <t>G-REQ-00711</t>
  </si>
  <si>
    <t>SYNTHETIC: Laptop allocation; Approved; asset G-AST-00046</t>
  </si>
  <si>
    <t>G-REQ-00062-E3</t>
  </si>
  <si>
    <t>SYNTHETIC: Laptop allocation; In progress; asset G-AST-00046</t>
  </si>
  <si>
    <t>G-REQ-00712</t>
  </si>
  <si>
    <t>G-REQ-00062-E4</t>
  </si>
  <si>
    <t>SYNTHETIC: Laptop allocation; Completed; asset G-AST-00046</t>
  </si>
  <si>
    <t>G-REQ-00713</t>
  </si>
  <si>
    <t>G-REQ-00063-E1</t>
  </si>
  <si>
    <t>SYNTHETIC: Laptop allocation; Pending approval; asset G-AST-00047</t>
  </si>
  <si>
    <t>G-REQ-00714</t>
  </si>
  <si>
    <t>G-REQ-00063-E2</t>
  </si>
  <si>
    <t>SYNTHETIC: Laptop allocation; Approved; asset G-AST-00047</t>
  </si>
  <si>
    <t>G-REQ-00063-E3</t>
  </si>
  <si>
    <t>G-REQ-00715</t>
  </si>
  <si>
    <t>SYNTHETIC: Laptop allocation; In progress; asset G-AST-00047</t>
  </si>
  <si>
    <t>G-REQ-00063-E4</t>
  </si>
  <si>
    <t>G-REQ-00716</t>
  </si>
  <si>
    <t>SYNTHETIC: Laptop allocation; Completed; asset G-AST-00047</t>
  </si>
  <si>
    <t>G-REQ-00064-E1</t>
  </si>
  <si>
    <t>G-REQ-00717</t>
  </si>
  <si>
    <t>SYNTHETIC: Laptop allocation; Pending approval; asset G-AST-00048</t>
  </si>
  <si>
    <t>G-REQ-00064-E2</t>
  </si>
  <si>
    <t>G-REQ-00718</t>
  </si>
  <si>
    <t>SYNTHETIC: Laptop allocation; Approved; asset G-AST-00048</t>
  </si>
  <si>
    <t>G-REQ-00064-E3</t>
  </si>
  <si>
    <t>G-REQ-00719</t>
  </si>
  <si>
    <t>SYNTHETIC: Laptop allocation; In progress; asset G-AST-00048</t>
  </si>
  <si>
    <t>G-REQ-00064-E4</t>
  </si>
  <si>
    <t>G-REQ-00720</t>
  </si>
  <si>
    <t>SYNTHETIC: Laptop allocation; Completed; asset G-AST-00048</t>
  </si>
  <si>
    <t>G-REQ-00065-E1</t>
  </si>
  <si>
    <t>G-REQ-00721</t>
  </si>
  <si>
    <t>SYNTHETIC: Laptop allocation; Pending approval; asset G-AST-00049</t>
  </si>
  <si>
    <t>G-REQ-00065-E2</t>
  </si>
  <si>
    <t>G-REQ-00722</t>
  </si>
  <si>
    <t>SYNTHETIC: Laptop allocation; Approved; asset G-AST-00049</t>
  </si>
  <si>
    <t>G-REQ-00065-E3</t>
  </si>
  <si>
    <t>G-REQ-00723</t>
  </si>
  <si>
    <t>SYNTHETIC: Laptop allocation; In progress; asset G-AST-00049</t>
  </si>
  <si>
    <t>G-REQ-00065-E4</t>
  </si>
  <si>
    <t>G-REQ-00724</t>
  </si>
  <si>
    <t>SYNTHETIC: Laptop allocation; Completed; asset G-AST-00049</t>
  </si>
  <si>
    <t>G-REQ-00066-E1</t>
  </si>
  <si>
    <t>G-REQ-00725</t>
  </si>
  <si>
    <t>SYNTHETIC: Laptop repair; Pending approval; asset G-AST-00021</t>
  </si>
  <si>
    <t>G-REQ-00066-E2</t>
  </si>
  <si>
    <t>G-REQ-00726</t>
  </si>
  <si>
    <t>SYNTHETIC: Laptop repair; Approved; asset G-AST-00021</t>
  </si>
  <si>
    <t>G-REQ-00066-E3</t>
  </si>
  <si>
    <t>G-REQ-00727</t>
  </si>
  <si>
    <t>SYNTHETIC: Laptop repair; In progress; asset G-AST-00021</t>
  </si>
  <si>
    <t>G-REQ-00066-E4</t>
  </si>
  <si>
    <t>G-REQ-00728</t>
  </si>
  <si>
    <t>SYNTHETIC: Laptop repair; Completed; asset G-AST-00021</t>
  </si>
  <si>
    <t>G-REQ-00067-E1</t>
  </si>
  <si>
    <t>G-REQ-00729</t>
  </si>
  <si>
    <t>SYNTHETIC: Laptop allocation; Pending approval; asset G-AST-00050</t>
  </si>
  <si>
    <t>G-REQ-00067-E2</t>
  </si>
  <si>
    <t>G-REQ-00730</t>
  </si>
  <si>
    <t>SYNTHETIC: Laptop allocation; Approved; asset G-AST-00050</t>
  </si>
  <si>
    <t>G-REQ-00067-E3</t>
  </si>
  <si>
    <t>G-REQ-00731</t>
  </si>
  <si>
    <t>SYNTHETIC: Laptop allocation; In progress; asset G-AST-00050</t>
  </si>
  <si>
    <t>G-REQ-00067-E4</t>
  </si>
  <si>
    <t>G-REQ-00732</t>
  </si>
  <si>
    <t>SYNTHETIC: Laptop allocation; Completed; asset G-AST-00050</t>
  </si>
  <si>
    <t>G-REQ-00068-E1</t>
  </si>
  <si>
    <t>SYNTHETIC: Laptop allocation; Pending approval; asset G-AST-00051</t>
  </si>
  <si>
    <t>G-REQ-00733</t>
  </si>
  <si>
    <t>G-REQ-00068-E2</t>
  </si>
  <si>
    <t>SYNTHETIC: Laptop allocation; Approved; asset G-AST-00051</t>
  </si>
  <si>
    <t>G-REQ-00068-E3</t>
  </si>
  <si>
    <t>G-REQ-00734</t>
  </si>
  <si>
    <t>SYNTHETIC: Laptop allocation; In progress; asset G-AST-00051</t>
  </si>
  <si>
    <t>G-REQ-00068-E4</t>
  </si>
  <si>
    <t>G-REQ-00735</t>
  </si>
  <si>
    <t>SYNTHETIC: Laptop allocation; Completed; asset G-AST-00051</t>
  </si>
  <si>
    <t>G-REQ-00069-E1</t>
  </si>
  <si>
    <t>G-REQ-00736</t>
  </si>
  <si>
    <t>SYNTHETIC: Laptop allocation; Pending approval; asset G-AST-00052</t>
  </si>
  <si>
    <t>G-REQ-00069-E2</t>
  </si>
  <si>
    <t>G-REQ-00737</t>
  </si>
  <si>
    <t>SYNTHETIC: Laptop allocation; Approved; asset G-AST-00052</t>
  </si>
  <si>
    <t>G-REQ-00069-E3</t>
  </si>
  <si>
    <t>G-REQ-00738</t>
  </si>
  <si>
    <t>SYNTHETIC: Laptop allocation; In progress; asset G-AST-00052</t>
  </si>
  <si>
    <t>G-REQ-00069-E4</t>
  </si>
  <si>
    <t>G-REQ-00739</t>
  </si>
  <si>
    <t>SYNTHETIC: Laptop allocation; Completed; asset G-AST-00052</t>
  </si>
  <si>
    <t>G-REQ-00070-E1</t>
  </si>
  <si>
    <t>G-REQ-00740</t>
  </si>
  <si>
    <t>SYNTHETIC: Laptop repair; Pending approval; asset G-AST-00050</t>
  </si>
  <si>
    <t>G-REQ-00070-E2</t>
  </si>
  <si>
    <t>G-REQ-00741</t>
  </si>
  <si>
    <t>SYNTHETIC: Laptop repair; Approved; asset G-AST-00050</t>
  </si>
  <si>
    <t>G-REQ-00070-E3</t>
  </si>
  <si>
    <t>SYNTHETIC: Laptop repair; In progress; asset G-AST-00050</t>
  </si>
  <si>
    <t>G-REQ-00742</t>
  </si>
  <si>
    <t>G-REQ-00070-E4</t>
  </si>
  <si>
    <t>SYNTHETIC: Laptop repair; Completed; asset G-AST-00050</t>
  </si>
  <si>
    <t>G-REQ-00071-E1</t>
  </si>
  <si>
    <t>G-REQ-00743</t>
  </si>
  <si>
    <t>SYNTHETIC: Laptop allocation; Pending approval; asset G-AST-00053</t>
  </si>
  <si>
    <t>G-REQ-00071-E2</t>
  </si>
  <si>
    <t>G-REQ-00744</t>
  </si>
  <si>
    <t>SYNTHETIC: Laptop allocation; Approved; asset G-AST-00053</t>
  </si>
  <si>
    <t>G-REQ-00071-E3</t>
  </si>
  <si>
    <t>G-REQ-00745</t>
  </si>
  <si>
    <t>SYNTHETIC: Laptop allocation; In progress; asset G-AST-00053</t>
  </si>
  <si>
    <t>G-REQ-00071-E4</t>
  </si>
  <si>
    <t>G-REQ-00746</t>
  </si>
  <si>
    <t>SYNTHETIC: Laptop allocation; Completed; asset G-AST-00053</t>
  </si>
  <si>
    <t>G-REQ-00072-E1</t>
  </si>
  <si>
    <t>SYNTHETIC: Laptop allocation; Pending approval; asset G-AST-00054</t>
  </si>
  <si>
    <t>G-REQ-00747</t>
  </si>
  <si>
    <t>G-REQ-00072-E2</t>
  </si>
  <si>
    <t>SYNTHETIC: Laptop allocation; Approved; asset G-AST-00054</t>
  </si>
  <si>
    <t>G-REQ-00748</t>
  </si>
  <si>
    <t>G-REQ-00072-E3</t>
  </si>
  <si>
    <t>SYNTHETIC: Laptop allocation; In progress; asset G-AST-00054</t>
  </si>
  <si>
    <t>G-REQ-00749</t>
  </si>
  <si>
    <t>G-REQ-00072-E4</t>
  </si>
  <si>
    <t>SYNTHETIC: Laptop allocation; Completed; asset G-AST-00054</t>
  </si>
  <si>
    <t>G-REQ-00073-E1</t>
  </si>
  <si>
    <t>G-REQ-00750</t>
  </si>
  <si>
    <t>SYNTHETIC: Laptop allocation; Pending approval; asset G-AST-00055</t>
  </si>
  <si>
    <t>G-REQ-00073-E2</t>
  </si>
  <si>
    <t>G-REQ-00751</t>
  </si>
  <si>
    <t>SYNTHETIC: Laptop allocation; Approved; asset G-AST-00055</t>
  </si>
  <si>
    <t>G-REQ-00073-E3</t>
  </si>
  <si>
    <t>G-REQ-00752</t>
  </si>
  <si>
    <t>SYNTHETIC: Laptop allocation; In progress; asset G-AST-00055</t>
  </si>
  <si>
    <t>G-REQ-00073-E4</t>
  </si>
  <si>
    <t>G-REQ-00753</t>
  </si>
  <si>
    <t>SYNTHETIC: Laptop allocation; Completed; asset G-AST-00055</t>
  </si>
  <si>
    <t>G-REQ-00074-E1</t>
  </si>
  <si>
    <t>G-REQ-00754</t>
  </si>
  <si>
    <t>SYNTHETIC: Laptop allocation; Pending approval; asset G-AST-00056</t>
  </si>
  <si>
    <t>G-REQ-00074-E2</t>
  </si>
  <si>
    <t>G-REQ-00755</t>
  </si>
  <si>
    <t>SYNTHETIC: Laptop allocation; Approved; asset G-AST-00056</t>
  </si>
  <si>
    <t>G-REQ-00074-E3</t>
  </si>
  <si>
    <t>G-REQ-00756</t>
  </si>
  <si>
    <t>SYNTHETIC: Laptop allocation; In progress; asset G-AST-00056</t>
  </si>
  <si>
    <t>G-REQ-00074-E4</t>
  </si>
  <si>
    <t>SYNTHETIC: Laptop allocation; Completed; asset G-AST-00056</t>
  </si>
  <si>
    <t>G-REQ-00757</t>
  </si>
  <si>
    <t>G-REQ-00075-E1</t>
  </si>
  <si>
    <t>SYNTHETIC: Laptop allocation; Pending approval; asset G-AST-00057</t>
  </si>
  <si>
    <t>G-REQ-00758</t>
  </si>
  <si>
    <t>G-REQ-00075-E2</t>
  </si>
  <si>
    <t>SYNTHETIC: Laptop allocation; Approved; asset G-AST-00057</t>
  </si>
  <si>
    <t>G-REQ-00759</t>
  </si>
  <si>
    <t>G-REQ-00075-E3</t>
  </si>
  <si>
    <t>SYNTHETIC: Laptop allocation; In progress; asset G-AST-00057</t>
  </si>
  <si>
    <t>G-REQ-00760</t>
  </si>
  <si>
    <t>G-REQ-00075-E4</t>
  </si>
  <si>
    <t>SYNTHETIC: Laptop allocation; Completed; asset G-AST-00057</t>
  </si>
  <si>
    <t>G-REQ-00076-E1</t>
  </si>
  <si>
    <t>G-REQ-00761</t>
  </si>
  <si>
    <t>SYNTHETIC: Laptop allocation; Pending approval; asset G-AST-00058</t>
  </si>
  <si>
    <t>G-REQ-00076-E2</t>
  </si>
  <si>
    <t>G-REQ-00762</t>
  </si>
  <si>
    <t>SYNTHETIC: Laptop allocation; Approved; asset G-AST-00058</t>
  </si>
  <si>
    <t>G-REQ-00076-E3</t>
  </si>
  <si>
    <t>G-REQ-00763</t>
  </si>
  <si>
    <t>SYNTHETIC: Laptop allocation; In progress; asset G-AST-00058</t>
  </si>
  <si>
    <t>G-REQ-00076-E4</t>
  </si>
  <si>
    <t>G-REQ-00764</t>
  </si>
  <si>
    <t>SYNTHETIC: Laptop allocation; Completed; asset G-AST-00058</t>
  </si>
  <si>
    <t>G-REQ-00077-E1</t>
  </si>
  <si>
    <t>G-REQ-00765</t>
  </si>
  <si>
    <t>SYNTHETIC: Laptop allocation; Pending approval; asset G-AST-00059</t>
  </si>
  <si>
    <t>G-REQ-00077-E2</t>
  </si>
  <si>
    <t>G-REQ-00766</t>
  </si>
  <si>
    <t>SYNTHETIC: Laptop allocation; Approved; asset G-AST-00059</t>
  </si>
  <si>
    <t>G-REQ-00077-E3</t>
  </si>
  <si>
    <t>SYNTHETIC: Laptop allocation; In progress; asset G-AST-00059</t>
  </si>
  <si>
    <t>G-REQ-00767</t>
  </si>
  <si>
    <t>G-REQ-00077-E4</t>
  </si>
  <si>
    <t>SYNTHETIC: Laptop allocation; Completed; asset G-AST-00059</t>
  </si>
  <si>
    <t>G-REQ-00078-E1</t>
  </si>
  <si>
    <t>G-REQ-00768</t>
  </si>
  <si>
    <t>SYNTHETIC: Laptop allocation; Pending approval; asset G-AST-00060</t>
  </si>
  <si>
    <t>G-REQ-00078-E2</t>
  </si>
  <si>
    <t>G-REQ-00769</t>
  </si>
  <si>
    <t>SYNTHETIC: Laptop allocation; Approved; asset G-AST-00060</t>
  </si>
  <si>
    <t>G-REQ-00078-E3</t>
  </si>
  <si>
    <t>G-REQ-00770</t>
  </si>
  <si>
    <t>SYNTHETIC: Laptop allocation; In progress; asset G-AST-00060</t>
  </si>
  <si>
    <t>G-REQ-00078-E4</t>
  </si>
  <si>
    <t>G-REQ-00771</t>
  </si>
  <si>
    <t>SYNTHETIC: Laptop allocation; Completed; asset G-AST-00060</t>
  </si>
  <si>
    <t>G-REQ-00079-E1</t>
  </si>
  <si>
    <t>SYNTHETIC: Laptop allocation; Pending approval; asset G-AST-00061</t>
  </si>
  <si>
    <t>G-REQ-00772</t>
  </si>
  <si>
    <t>G-REQ-00079-E2</t>
  </si>
  <si>
    <t>SYNTHETIC: Laptop allocation; Approved; asset G-AST-00061</t>
  </si>
  <si>
    <t>G-REQ-00773</t>
  </si>
  <si>
    <t>G-REQ-00079-E3</t>
  </si>
  <si>
    <t>SYNTHETIC: Laptop allocation; In progress; asset G-AST-00061</t>
  </si>
  <si>
    <t>G-REQ-00774</t>
  </si>
  <si>
    <t>G-REQ-00079-E4</t>
  </si>
  <si>
    <t>SYNTHETIC: Laptop allocation; Completed; asset G-AST-00061</t>
  </si>
  <si>
    <t>G-REQ-00775</t>
  </si>
  <si>
    <t>G-REQ-00080-E1</t>
  </si>
  <si>
    <t>SYNTHETIC: Laptop allocation; Pending approval; asset G-AST-00062</t>
  </si>
  <si>
    <t>G-REQ-00776</t>
  </si>
  <si>
    <t>G-REQ-00777</t>
  </si>
  <si>
    <t>G-REQ-00080-E2</t>
  </si>
  <si>
    <t>G-REQ-00778</t>
  </si>
  <si>
    <t>SYNTHETIC: Laptop allocation; Approved; asset G-AST-00062</t>
  </si>
  <si>
    <t>G-REQ-00080-E3</t>
  </si>
  <si>
    <t>SYNTHETIC: Laptop allocation; In progress; asset G-AST-00062</t>
  </si>
  <si>
    <t>G-REQ-00779</t>
  </si>
  <si>
    <t>G-REQ-00080-E4</t>
  </si>
  <si>
    <t>SYNTHETIC: Laptop allocation; Completed; asset G-AST-00062</t>
  </si>
  <si>
    <t>G-REQ-00780</t>
  </si>
  <si>
    <t>G-REQ-00081-E1</t>
  </si>
  <si>
    <t>SYNTHETIC: Laptop allocation; Pending approval; asset G-AST-00063</t>
  </si>
  <si>
    <t>G-REQ-00781</t>
  </si>
  <si>
    <t>G-REQ-00081-E2</t>
  </si>
  <si>
    <t>SYNTHETIC: Laptop allocation; Approved; asset G-AST-00063</t>
  </si>
  <si>
    <t>G-REQ-00782</t>
  </si>
  <si>
    <t>G-REQ-00081-E3</t>
  </si>
  <si>
    <t>SYNTHETIC: Laptop allocation; In progress; asset G-AST-00063</t>
  </si>
  <si>
    <t>G-REQ-00081-E4</t>
  </si>
  <si>
    <t>G-REQ-00783</t>
  </si>
  <si>
    <t>SYNTHETIC: Laptop allocation; Completed; asset G-AST-00063</t>
  </si>
  <si>
    <t>G-REQ-00082-E1</t>
  </si>
  <si>
    <t>G-REQ-00784</t>
  </si>
  <si>
    <t>SYNTHETIC: Laptop return; Pending approval; asset G-AST-00038</t>
  </si>
  <si>
    <t>G-REQ-00082-E2</t>
  </si>
  <si>
    <t>G-REQ-00785</t>
  </si>
  <si>
    <t>SYNTHETIC: Laptop return; Approved; asset G-AST-00038</t>
  </si>
  <si>
    <t>G-REQ-00082-E3</t>
  </si>
  <si>
    <t>G-REQ-00786</t>
  </si>
  <si>
    <t>SYNTHETIC: Laptop return; In progress; asset G-AST-00038</t>
  </si>
  <si>
    <t>G-REQ-00082-E4</t>
  </si>
  <si>
    <t>G-REQ-00787</t>
  </si>
  <si>
    <t>SYNTHETIC: Laptop return; Completed; asset G-AST-00038</t>
  </si>
  <si>
    <t>G-REQ-00083-E1</t>
  </si>
  <si>
    <t>G-REQ-00788</t>
  </si>
  <si>
    <t>SYNTHETIC: Laptop allocation; Pending approval; asset G-AST-00064</t>
  </si>
  <si>
    <t>G-REQ-00083-E2</t>
  </si>
  <si>
    <t>G-REQ-00789</t>
  </si>
  <si>
    <t>SYNTHETIC: Laptop allocation; Approved; asset G-AST-00064</t>
  </si>
  <si>
    <t>G-REQ-00083-E3</t>
  </si>
  <si>
    <t>G-REQ-00790</t>
  </si>
  <si>
    <t>SYNTHETIC: Laptop allocation; In progress; asset G-AST-00064</t>
  </si>
  <si>
    <t>G-REQ-00083-E4</t>
  </si>
  <si>
    <t>G-REQ-00791</t>
  </si>
  <si>
    <t>SYNTHETIC: Laptop allocation; Completed; asset G-AST-00064</t>
  </si>
  <si>
    <t>G-REQ-00084-E1</t>
  </si>
  <si>
    <t>SYNTHETIC: Laptop allocation; Pending approval; asset G-AST-00065</t>
  </si>
  <si>
    <t>G-REQ-00792</t>
  </si>
  <si>
    <t>G-REQ-00084-E2</t>
  </si>
  <si>
    <t>SYNTHETIC: Laptop allocation; Approved; asset G-AST-00065</t>
  </si>
  <si>
    <t>G-REQ-00793</t>
  </si>
  <si>
    <t>G-REQ-00084-E3</t>
  </si>
  <si>
    <t>SYNTHETIC: Laptop allocation; In progress; asset G-AST-00065</t>
  </si>
  <si>
    <t>G-REQ-00084-E4</t>
  </si>
  <si>
    <t>G-REQ-00794</t>
  </si>
  <si>
    <t>SYNTHETIC: Laptop allocation; Completed; asset G-AST-00065</t>
  </si>
  <si>
    <t>G-REQ-00085-E1</t>
  </si>
  <si>
    <t>G-REQ-00795</t>
  </si>
  <si>
    <t>G-REQ-00085-E2</t>
  </si>
  <si>
    <t>G-REQ-00796</t>
  </si>
  <si>
    <t>G-REQ-00086-E1</t>
  </si>
  <si>
    <t>G-REQ-00797</t>
  </si>
  <si>
    <t>SYNTHETIC: Laptop return; Pending approval; asset G-AST-00034</t>
  </si>
  <si>
    <t>G-REQ-00086-E2</t>
  </si>
  <si>
    <t>SYNTHETIC: Laptop return; Approved; asset G-AST-00034</t>
  </si>
  <si>
    <t>G-REQ-00798</t>
  </si>
  <si>
    <t>G-REQ-00086-E3</t>
  </si>
  <si>
    <t>SYNTHETIC: Laptop return; In progress; asset G-AST-00034</t>
  </si>
  <si>
    <t>G-REQ-00086-E4</t>
  </si>
  <si>
    <t>G-REQ-00799</t>
  </si>
  <si>
    <t>SYNTHETIC: Laptop return; Completed; asset G-AST-00034</t>
  </si>
  <si>
    <t>G-REQ-00087-E1</t>
  </si>
  <si>
    <t>G-REQ-00800</t>
  </si>
  <si>
    <t>SYNTHETIC: Laptop allocation; Pending approval; asset G-AST-00066</t>
  </si>
  <si>
    <t>G-REQ-00087-E2</t>
  </si>
  <si>
    <t>G-REQ-00801</t>
  </si>
  <si>
    <t>SYNTHETIC: Laptop allocation; Approved; asset G-AST-00066</t>
  </si>
  <si>
    <t>G-REQ-00087-E3</t>
  </si>
  <si>
    <t>G-REQ-00802</t>
  </si>
  <si>
    <t>SYNTHETIC: Laptop allocation; In progress; asset G-AST-00066</t>
  </si>
  <si>
    <t>G-REQ-00087-E4</t>
  </si>
  <si>
    <t>G-REQ-00803</t>
  </si>
  <si>
    <t>SYNTHETIC: Laptop allocation; Completed; asset G-AST-00066</t>
  </si>
  <si>
    <t>G-REQ-00088-E1</t>
  </si>
  <si>
    <t>G-REQ-00804</t>
  </si>
  <si>
    <t>SYNTHETIC: Laptop allocation; Pending approval; asset G-AST-00067</t>
  </si>
  <si>
    <t>G-REQ-00088-E2</t>
  </si>
  <si>
    <t>G-REQ-00805</t>
  </si>
  <si>
    <t>SYNTHETIC: Laptop allocation; Approved; asset G-AST-00067</t>
  </si>
  <si>
    <t>G-REQ-00088-E3</t>
  </si>
  <si>
    <t>G-REQ-00806</t>
  </si>
  <si>
    <t>SYNTHETIC: Laptop allocation; In progress; asset G-AST-00067</t>
  </si>
  <si>
    <t>G-REQ-00088-E4</t>
  </si>
  <si>
    <t>G-REQ-00807</t>
  </si>
  <si>
    <t>SYNTHETIC: Laptop allocation; Completed; asset G-AST-00067</t>
  </si>
  <si>
    <t>G-REQ-00089-E1</t>
  </si>
  <si>
    <t>SYNTHETIC: Laptop return; Pending approval; asset G-AST-00006</t>
  </si>
  <si>
    <t>G-REQ-00089-E2</t>
  </si>
  <si>
    <t>G-REQ-00808</t>
  </si>
  <si>
    <t>SYNTHETIC: Laptop return; Approved; asset G-AST-00006</t>
  </si>
  <si>
    <t>G-REQ-00089-E3</t>
  </si>
  <si>
    <t>G-REQ-00809</t>
  </si>
  <si>
    <t>SYNTHETIC: Laptop return; In progress; asset G-AST-00006</t>
  </si>
  <si>
    <t>G-REQ-00089-E4</t>
  </si>
  <si>
    <t>G-REQ-00810</t>
  </si>
  <si>
    <t>SYNTHETIC: Laptop return; Completed; asset G-AST-00006</t>
  </si>
  <si>
    <t>G-REQ-00090-E1</t>
  </si>
  <si>
    <t>G-REQ-00811</t>
  </si>
  <si>
    <t>SYNTHETIC: Laptop allocation; Pending approval; asset G-AST-00068</t>
  </si>
  <si>
    <t>G-REQ-00090-E2</t>
  </si>
  <si>
    <t>G-REQ-00812</t>
  </si>
  <si>
    <t>SYNTHETIC: Laptop allocation; Approved; asset G-AST-00068</t>
  </si>
  <si>
    <t>G-REQ-00090-E3</t>
  </si>
  <si>
    <t>G-REQ-00813</t>
  </si>
  <si>
    <t>SYNTHETIC: Laptop allocation; In progress; asset G-AST-00068</t>
  </si>
  <si>
    <t>G-REQ-00090-E4</t>
  </si>
  <si>
    <t>G-REQ-00814</t>
  </si>
  <si>
    <t>SYNTHETIC: Laptop allocation; Completed; asset G-AST-00068</t>
  </si>
  <si>
    <t>G-REQ-00091-E1</t>
  </si>
  <si>
    <t>G-REQ-00815</t>
  </si>
  <si>
    <t>SYNTHETIC: Laptop repair; Pending approval; asset G-AST-00042</t>
  </si>
  <si>
    <t>G-REQ-00091-E2</t>
  </si>
  <si>
    <t>G-REQ-00816</t>
  </si>
  <si>
    <t>SYNTHETIC: Laptop repair; Approved; asset G-AST-00042</t>
  </si>
  <si>
    <t>G-REQ-00091-E3</t>
  </si>
  <si>
    <t>G-REQ-00817</t>
  </si>
  <si>
    <t>SYNTHETIC: Laptop repair; In progress; asset G-AST-00042</t>
  </si>
  <si>
    <t>G-REQ-00091-E4</t>
  </si>
  <si>
    <t>G-REQ-00818</t>
  </si>
  <si>
    <t>SYNTHETIC: Laptop repair; Completed; asset G-AST-00042</t>
  </si>
  <si>
    <t>G-REQ-00092-E1</t>
  </si>
  <si>
    <t>SYNTHETIC: Laptop return; Pending approval; asset G-AST-00049</t>
  </si>
  <si>
    <t>G-REQ-00819</t>
  </si>
  <si>
    <t>G-REQ-00092-E2</t>
  </si>
  <si>
    <t>SYNTHETIC: Laptop return; Rejected; asset G-AST-00049</t>
  </si>
  <si>
    <t>G-REQ-00820</t>
  </si>
  <si>
    <t>G-REQ-00093-E1</t>
  </si>
  <si>
    <t>SYNTHETIC: Laptop allocation; Pending approval; asset G-AST-00069</t>
  </si>
  <si>
    <t>G-REQ-00821</t>
  </si>
  <si>
    <t>G-REQ-00093-E2</t>
  </si>
  <si>
    <t>SYNTHETIC: Laptop allocation; Approved; asset G-AST-00069</t>
  </si>
  <si>
    <t>G-REQ-00093-E3</t>
  </si>
  <si>
    <t>G-REQ-00822</t>
  </si>
  <si>
    <t>SYNTHETIC: Laptop allocation; In progress; asset G-AST-00069</t>
  </si>
  <si>
    <t>G-REQ-00093-E4</t>
  </si>
  <si>
    <t>G-REQ-00823</t>
  </si>
  <si>
    <t>SYNTHETIC: Laptop allocation; Completed; asset G-AST-00069</t>
  </si>
  <si>
    <t>G-REQ-00094-E1</t>
  </si>
  <si>
    <t>SYNTHETIC: Laptop allocation; Pending approval; asset G-AST-00070</t>
  </si>
  <si>
    <t>G-REQ-00824</t>
  </si>
  <si>
    <t>G-REQ-00094-E2</t>
  </si>
  <si>
    <t>SYNTHETIC: Laptop allocation; Approved; asset G-AST-00070</t>
  </si>
  <si>
    <t>G-REQ-00094-E3</t>
  </si>
  <si>
    <t>G-REQ-00825</t>
  </si>
  <si>
    <t>SYNTHETIC: Laptop allocation; In progress; asset G-AST-00070</t>
  </si>
  <si>
    <t>G-REQ-00094-E4</t>
  </si>
  <si>
    <t>G-REQ-00826</t>
  </si>
  <si>
    <t>SYNTHETIC: Laptop allocation; Completed; asset G-AST-00070</t>
  </si>
  <si>
    <t>G-REQ-00095-E1</t>
  </si>
  <si>
    <t>G-REQ-00827</t>
  </si>
  <si>
    <t>SYNTHETIC: Laptop return; Pending approval; asset G-AST-00068</t>
  </si>
  <si>
    <t>G-REQ-00095-E2</t>
  </si>
  <si>
    <t>G-REQ-00828</t>
  </si>
  <si>
    <t>SYNTHETIC: Laptop return; Approved; asset G-AST-00068</t>
  </si>
  <si>
    <t>G-REQ-00095-E3</t>
  </si>
  <si>
    <t>G-REQ-00829</t>
  </si>
  <si>
    <t>SYNTHETIC: Laptop return; In progress; asset G-AST-00068</t>
  </si>
  <si>
    <t>G-REQ-00095-E4</t>
  </si>
  <si>
    <t>G-REQ-00830</t>
  </si>
  <si>
    <t>SYNTHETIC: Laptop return; Completed; asset G-AST-00068</t>
  </si>
  <si>
    <t>G-REQ-00096-E1</t>
  </si>
  <si>
    <t>G-REQ-00831</t>
  </si>
  <si>
    <t>SYNTHETIC: Laptop repair; Pending approval; asset G-AST-00018</t>
  </si>
  <si>
    <t>G-REQ-00096-E2</t>
  </si>
  <si>
    <t>G-REQ-00832</t>
  </si>
  <si>
    <t>SYNTHETIC: Laptop repair; Rejected; asset G-AST-00018</t>
  </si>
  <si>
    <t>G-REQ-00097-E1</t>
  </si>
  <si>
    <t>G-REQ-00833</t>
  </si>
  <si>
    <t>SYNTHETIC: Laptop allocation; Pending approval; asset G-AST-00071</t>
  </si>
  <si>
    <t>G-REQ-00097-E2</t>
  </si>
  <si>
    <t>G-REQ-00834</t>
  </si>
  <si>
    <t>SYNTHETIC: Laptop allocation; Approved; asset G-AST-00071</t>
  </si>
  <si>
    <t>G-REQ-00097-E3</t>
  </si>
  <si>
    <t>G-REQ-00835</t>
  </si>
  <si>
    <t>SYNTHETIC: Laptop allocation; In progress; asset G-AST-00071</t>
  </si>
  <si>
    <t>G-REQ-00097-E4</t>
  </si>
  <si>
    <t>SYNTHETIC: Laptop allocation; Completed; asset G-AST-00071</t>
  </si>
  <si>
    <t>G-REQ-00836</t>
  </si>
  <si>
    <t>G-REQ-00098-E1</t>
  </si>
  <si>
    <t>SYNTHETIC: Laptop allocation; Pending approval; asset G-AST-00072</t>
  </si>
  <si>
    <t>G-REQ-00837</t>
  </si>
  <si>
    <t>G-REQ-00098-E2</t>
  </si>
  <si>
    <t>SYNTHETIC: Laptop allocation; Approved; asset G-AST-00072</t>
  </si>
  <si>
    <t>G-REQ-00098-E3</t>
  </si>
  <si>
    <t>G-REQ-00838</t>
  </si>
  <si>
    <t>SYNTHETIC: Laptop allocation; In progress; asset G-AST-00072</t>
  </si>
  <si>
    <t>G-REQ-00098-E4</t>
  </si>
  <si>
    <t>G-REQ-00839</t>
  </si>
  <si>
    <t>SYNTHETIC: Laptop allocation; Completed; asset G-AST-00072</t>
  </si>
  <si>
    <t>G-REQ-00099-E1</t>
  </si>
  <si>
    <t>G-REQ-00840</t>
  </si>
  <si>
    <t>SYNTHETIC: Laptop allocation; Pending approval; asset G-AST-00073</t>
  </si>
  <si>
    <t>G-REQ-00099-E2</t>
  </si>
  <si>
    <t>G-REQ-00841</t>
  </si>
  <si>
    <t>SYNTHETIC: Laptop allocation; Approved; asset G-AST-00073</t>
  </si>
  <si>
    <t>G-REQ-00099-E3</t>
  </si>
  <si>
    <t>G-REQ-00842</t>
  </si>
  <si>
    <t>SYNTHETIC: Laptop allocation; In progress; asset G-AST-00073</t>
  </si>
  <si>
    <t>G-REQ-00099-E4</t>
  </si>
  <si>
    <t>G-REQ-00843</t>
  </si>
  <si>
    <t>SYNTHETIC: Laptop allocation; Completed; asset G-AST-00073</t>
  </si>
  <si>
    <t>G-REQ-00100-E1</t>
  </si>
  <si>
    <t>SYNTHETIC: Laptop allocation; Pending approval; asset G-AST-00074</t>
  </si>
  <si>
    <t>G-REQ-00844</t>
  </si>
  <si>
    <t>G-REQ-00100-E2</t>
  </si>
  <si>
    <t>SYNTHETIC: Laptop allocation; Approved; asset G-AST-00074</t>
  </si>
  <si>
    <t>G-REQ-00845</t>
  </si>
  <si>
    <t>G-REQ-00100-E3</t>
  </si>
  <si>
    <t>SYNTHETIC: Laptop allocation; In progress; asset G-AST-00074</t>
  </si>
  <si>
    <t>G-REQ-00846</t>
  </si>
  <si>
    <t>G-REQ-00100-E4</t>
  </si>
  <si>
    <t>SYNTHETIC: Laptop allocation; Completed; asset G-AST-00074</t>
  </si>
  <si>
    <t>G-REQ-00847</t>
  </si>
  <si>
    <t>G-REQ-00101-E1</t>
  </si>
  <si>
    <t>SYNTHETIC: Laptop allocation; Pending approval; asset G-AST-00075</t>
  </si>
  <si>
    <t>G-REQ-00848</t>
  </si>
  <si>
    <t>G-REQ-00101-E2</t>
  </si>
  <si>
    <t>SYNTHETIC: Laptop allocation; Approved; asset G-AST-00075</t>
  </si>
  <si>
    <t>G-REQ-00849</t>
  </si>
  <si>
    <t>G-REQ-00101-E3</t>
  </si>
  <si>
    <t>SYNTHETIC: Laptop allocation; In progress; asset G-AST-00075</t>
  </si>
  <si>
    <t>G-REQ-00850</t>
  </si>
  <si>
    <t>G-REQ-00101-E4</t>
  </si>
  <si>
    <t>SYNTHETIC: Laptop allocation; Completed; asset G-AST-00075</t>
  </si>
  <si>
    <t>G-REQ-00102-E1</t>
  </si>
  <si>
    <t>G-REQ-00851</t>
  </si>
  <si>
    <t>SYNTHETIC: Laptop allocation; Pending approval; asset G-AST-00076</t>
  </si>
  <si>
    <t>G-REQ-00102-E2</t>
  </si>
  <si>
    <t>G-REQ-00852</t>
  </si>
  <si>
    <t>SYNTHETIC: Laptop allocation; Approved; asset G-AST-00076</t>
  </si>
  <si>
    <t>G-REQ-00102-E3</t>
  </si>
  <si>
    <t>G-REQ-00853</t>
  </si>
  <si>
    <t>SYNTHETIC: Laptop allocation; In progress; asset G-AST-00076</t>
  </si>
  <si>
    <t>G-REQ-00102-E4</t>
  </si>
  <si>
    <t>G-REQ-00854</t>
  </si>
  <si>
    <t>SYNTHETIC: Laptop allocation; Completed; asset G-AST-00076</t>
  </si>
  <si>
    <t>G-REQ-00103-E1</t>
  </si>
  <si>
    <t>G-REQ-00855</t>
  </si>
  <si>
    <t>SYNTHETIC: Laptop repair; Pending approval; asset G-AST-00037</t>
  </si>
  <si>
    <t>G-REQ-00103-E2</t>
  </si>
  <si>
    <t>G-REQ-00856</t>
  </si>
  <si>
    <t>SYNTHETIC: Laptop repair; Approved; asset G-AST-00037</t>
  </si>
  <si>
    <t>G-REQ-00103-E3</t>
  </si>
  <si>
    <t>SYNTHETIC: Laptop repair; In progress; asset G-AST-00037</t>
  </si>
  <si>
    <t>G-REQ-00857</t>
  </si>
  <si>
    <t>G-REQ-00103-E4</t>
  </si>
  <si>
    <t>SYNTHETIC: Laptop repair; Completed; asset G-AST-00037</t>
  </si>
  <si>
    <t>G-REQ-00104-E1</t>
  </si>
  <si>
    <t>G-REQ-00858</t>
  </si>
  <si>
    <t>SYNTHETIC: Laptop allocation; Pending approval; asset G-AST-00077</t>
  </si>
  <si>
    <t>G-REQ-00104-E2</t>
  </si>
  <si>
    <t>G-REQ-00859</t>
  </si>
  <si>
    <t>SYNTHETIC: Laptop allocation; Approved; asset G-AST-00077</t>
  </si>
  <si>
    <t>G-REQ-00104-E3</t>
  </si>
  <si>
    <t>G-REQ-00860</t>
  </si>
  <si>
    <t>SYNTHETIC: Laptop allocation; In progress; asset G-AST-00077</t>
  </si>
  <si>
    <t>G-REQ-00104-E4</t>
  </si>
  <si>
    <t>G-REQ-00861</t>
  </si>
  <si>
    <t>SYNTHETIC: Laptop allocation; Completed; asset G-AST-00077</t>
  </si>
  <si>
    <t>G-REQ-00105-E1</t>
  </si>
  <si>
    <t>G-REQ-00862</t>
  </si>
  <si>
    <t>G-REQ-00105-E2</t>
  </si>
  <si>
    <t>G-REQ-00863</t>
  </si>
  <si>
    <t>G-REQ-00106-E1</t>
  </si>
  <si>
    <t>G-REQ-00864</t>
  </si>
  <si>
    <t>SYNTHETIC: Laptop allocation; Pending approval; asset G-AST-00078</t>
  </si>
  <si>
    <t>G-REQ-00106-E2</t>
  </si>
  <si>
    <t>G-REQ-00865</t>
  </si>
  <si>
    <t>SYNTHETIC: Laptop allocation; Approved; asset G-AST-00078</t>
  </si>
  <si>
    <t>G-REQ-00106-E3</t>
  </si>
  <si>
    <t>G-REQ-00866</t>
  </si>
  <si>
    <t>SYNTHETIC: Laptop allocation; In progress; asset G-AST-00078</t>
  </si>
  <si>
    <t>G-REQ-00106-E4</t>
  </si>
  <si>
    <t>G-REQ-00867</t>
  </si>
  <si>
    <t>SYNTHETIC: Laptop allocation; Completed; asset G-AST-00078</t>
  </si>
  <si>
    <t>G-REQ-00107-E1</t>
  </si>
  <si>
    <t>SYNTHETIC: Laptop allocation; Pending approval; asset G-AST-00079</t>
  </si>
  <si>
    <t>G-REQ-00868</t>
  </si>
  <si>
    <t>G-REQ-00107-E2</t>
  </si>
  <si>
    <t>SYNTHETIC: Laptop allocation; Approved; asset G-AST-00079</t>
  </si>
  <si>
    <t>G-REQ-00869</t>
  </si>
  <si>
    <t>G-REQ-00107-E3</t>
  </si>
  <si>
    <t>SYNTHETIC: Laptop allocation; In progress; asset G-AST-00079</t>
  </si>
  <si>
    <t>G-REQ-00107-E4</t>
  </si>
  <si>
    <t>G-REQ-00870</t>
  </si>
  <si>
    <t>SYNTHETIC: Laptop allocation; Completed; asset G-AST-00079</t>
  </si>
  <si>
    <t>G-REQ-00108-E1</t>
  </si>
  <si>
    <t>G-REQ-00871</t>
  </si>
  <si>
    <t>SYNTHETIC: Laptop allocation; Pending approval; asset G-AST-00080</t>
  </si>
  <si>
    <t>G-REQ-00108-E2</t>
  </si>
  <si>
    <t>G-REQ-00872</t>
  </si>
  <si>
    <t>SYNTHETIC: Laptop allocation; Approved; asset G-AST-00080</t>
  </si>
  <si>
    <t>G-REQ-00108-E3</t>
  </si>
  <si>
    <t>G-REQ-00873</t>
  </si>
  <si>
    <t>SYNTHETIC: Laptop allocation; In progress; asset G-AST-00080</t>
  </si>
  <si>
    <t>G-REQ-00108-E4</t>
  </si>
  <si>
    <t>SYNTHETIC: Laptop allocation; Completed; asset G-AST-00080</t>
  </si>
  <si>
    <t>G-REQ-00874</t>
  </si>
  <si>
    <t>G-REQ-00109-E1</t>
  </si>
  <si>
    <t>SYNTHETIC: Laptop allocation; Pending approval; asset G-AST-00081</t>
  </si>
  <si>
    <t>G-REQ-00109-E2</t>
  </si>
  <si>
    <t>G-REQ-00875</t>
  </si>
  <si>
    <t>SYNTHETIC: Laptop allocation; Approved; asset G-AST-00081</t>
  </si>
  <si>
    <t>G-REQ-00109-E3</t>
  </si>
  <si>
    <t>G-REQ-00876</t>
  </si>
  <si>
    <t>SYNTHETIC: Laptop allocation; In progress; asset G-AST-00081</t>
  </si>
  <si>
    <t>G-REQ-00109-E4</t>
  </si>
  <si>
    <t>G-REQ-00877</t>
  </si>
  <si>
    <t>SYNTHETIC: Laptop allocation; Completed; asset G-AST-00081</t>
  </si>
  <si>
    <t>G-REQ-00110-E1</t>
  </si>
  <si>
    <t>G-REQ-00878</t>
  </si>
  <si>
    <t>G-REQ-00110-E2</t>
  </si>
  <si>
    <t>G-REQ-00879</t>
  </si>
  <si>
    <t>G-REQ-00111-E1</t>
  </si>
  <si>
    <t>G-REQ-00880</t>
  </si>
  <si>
    <t>G-REQ-00111-E2</t>
  </si>
  <si>
    <t>G-REQ-00881</t>
  </si>
  <si>
    <t>G-REQ-00112-E1</t>
  </si>
  <si>
    <t>G-REQ-00882</t>
  </si>
  <si>
    <t>SYNTHETIC: Laptop allocation; Pending approval; asset G-AST-00082</t>
  </si>
  <si>
    <t>G-REQ-00112-E2</t>
  </si>
  <si>
    <t>SYNTHETIC: Laptop allocation; Approved; asset G-AST-00082</t>
  </si>
  <si>
    <t>G-REQ-00883</t>
  </si>
  <si>
    <t>G-REQ-00112-E3</t>
  </si>
  <si>
    <t>SYNTHETIC: Laptop allocation; In progress; asset G-AST-00082</t>
  </si>
  <si>
    <t>G-REQ-00884</t>
  </si>
  <si>
    <t>G-REQ-00112-E4</t>
  </si>
  <si>
    <t>SYNTHETIC: Laptop allocation; Completed; asset G-AST-00082</t>
  </si>
  <si>
    <t>G-REQ-00885</t>
  </si>
  <si>
    <t>G-REQ-00113-E1</t>
  </si>
  <si>
    <t>SYNTHETIC: Laptop repair; Pending approval; asset G-AST-00059</t>
  </si>
  <si>
    <t>G-REQ-00113-E2</t>
  </si>
  <si>
    <t>G-REQ-00886</t>
  </si>
  <si>
    <t>SYNTHETIC: Laptop repair; Approved; asset G-AST-00059</t>
  </si>
  <si>
    <t>G-REQ-00113-E3</t>
  </si>
  <si>
    <t>G-REQ-00887</t>
  </si>
  <si>
    <t>SYNTHETIC: Laptop repair; In progress; asset G-AST-00059</t>
  </si>
  <si>
    <t>G-REQ-00113-E4</t>
  </si>
  <si>
    <t>G-REQ-00888</t>
  </si>
  <si>
    <t>SYNTHETIC: Laptop repair; Completed; asset G-AST-00059</t>
  </si>
  <si>
    <t>G-REQ-00114-E1</t>
  </si>
  <si>
    <t>G-REQ-00889</t>
  </si>
  <si>
    <t>SYNTHETIC: Laptop allocation; Pending approval; asset G-AST-00083</t>
  </si>
  <si>
    <t>G-REQ-00114-E2</t>
  </si>
  <si>
    <t>G-REQ-00890</t>
  </si>
  <si>
    <t>SYNTHETIC: Laptop allocation; Approved; asset G-AST-00083</t>
  </si>
  <si>
    <t>G-REQ-00114-E3</t>
  </si>
  <si>
    <t>G-REQ-00891</t>
  </si>
  <si>
    <t>SYNTHETIC: Laptop allocation; In progress; asset G-AST-00083</t>
  </si>
  <si>
    <t>G-REQ-00114-E4</t>
  </si>
  <si>
    <t>G-REQ-00892</t>
  </si>
  <si>
    <t>SYNTHETIC: Laptop allocation; Completed; asset G-AST-00083</t>
  </si>
  <si>
    <t>G-REQ-00115-E1</t>
  </si>
  <si>
    <t>SYNTHETIC: Laptop allocation; Pending approval; asset G-AST-00084</t>
  </si>
  <si>
    <t>G-REQ-00893</t>
  </si>
  <si>
    <t>G-REQ-00115-E2</t>
  </si>
  <si>
    <t>SYNTHETIC: Laptop allocation; Approved; asset G-AST-00084</t>
  </si>
  <si>
    <t>G-REQ-00894</t>
  </si>
  <si>
    <t>G-REQ-00115-E3</t>
  </si>
  <si>
    <t>SYNTHETIC: Laptop allocation; In progress; asset G-AST-00084</t>
  </si>
  <si>
    <t>G-REQ-00895</t>
  </si>
  <si>
    <t>G-REQ-00115-E4</t>
  </si>
  <si>
    <t>SYNTHETIC: Laptop allocation; Completed; asset G-AST-00084</t>
  </si>
  <si>
    <t>G-REQ-00896</t>
  </si>
  <si>
    <t>G-REQ-00116-E1</t>
  </si>
  <si>
    <t>SYNTHETIC: Laptop allocation; Pending approval; asset G-AST-00085</t>
  </si>
  <si>
    <t>G-REQ-00116-E2</t>
  </si>
  <si>
    <t>G-REQ-00897</t>
  </si>
  <si>
    <t>SYNTHETIC: Laptop allocation; Approved; asset G-AST-00085</t>
  </si>
  <si>
    <t>G-REQ-00116-E3</t>
  </si>
  <si>
    <t>G-REQ-00898</t>
  </si>
  <si>
    <t>SYNTHETIC: Laptop allocation; In progress; asset G-AST-00085</t>
  </si>
  <si>
    <t>G-REQ-00116-E4</t>
  </si>
  <si>
    <t>SYNTHETIC: Laptop allocation; Completed; asset G-AST-00085</t>
  </si>
  <si>
    <t>G-REQ-00899</t>
  </si>
  <si>
    <t>G-REQ-00117-E1</t>
  </si>
  <si>
    <t>SYNTHETIC: Laptop allocation; Pending approval; asset G-AST-00086</t>
  </si>
  <si>
    <t>G-REQ-00117-E2</t>
  </si>
  <si>
    <t>G-REQ-00900</t>
  </si>
  <si>
    <t>SYNTHETIC: Laptop allocation; Approved; asset G-AST-00086</t>
  </si>
  <si>
    <t>G-REQ-00117-E3</t>
  </si>
  <si>
    <t>G-REQ-00901</t>
  </si>
  <si>
    <t>SYNTHETIC: Laptop allocation; In progress; asset G-AST-00086</t>
  </si>
  <si>
    <t>G-REQ-00117-E4</t>
  </si>
  <si>
    <t>SYNTHETIC: Laptop allocation; Completed; asset G-AST-00086</t>
  </si>
  <si>
    <t>G-REQ-00902</t>
  </si>
  <si>
    <t>G-REQ-00118-E1</t>
  </si>
  <si>
    <t>G-REQ-00903</t>
  </si>
  <si>
    <t>G-REQ-00118-E2</t>
  </si>
  <si>
    <t>G-REQ-00119-E1</t>
  </si>
  <si>
    <t>G-REQ-00904</t>
  </si>
  <si>
    <t>SYNTHETIC: Laptop allocation; Pending approval; asset G-AST-00087</t>
  </si>
  <si>
    <t>G-REQ-00119-E2</t>
  </si>
  <si>
    <t>G-REQ-00905</t>
  </si>
  <si>
    <t>SYNTHETIC: Laptop allocation; Approved; asset G-AST-00087</t>
  </si>
  <si>
    <t>G-REQ-00119-E3</t>
  </si>
  <si>
    <t>G-REQ-00906</t>
  </si>
  <si>
    <t>SYNTHETIC: Laptop allocation; In progress; asset G-AST-00087</t>
  </si>
  <si>
    <t>G-REQ-00119-E4</t>
  </si>
  <si>
    <t>G-REQ-00907</t>
  </si>
  <si>
    <t>SYNTHETIC: Laptop allocation; Completed; asset G-AST-00087</t>
  </si>
  <si>
    <t>G-REQ-00120-E1</t>
  </si>
  <si>
    <t>G-REQ-00908</t>
  </si>
  <si>
    <t>SYNTHETIC: Laptop allocation; Pending approval; asset G-AST-00088</t>
  </si>
  <si>
    <t>G-REQ-00120-E2</t>
  </si>
  <si>
    <t>G-REQ-00909</t>
  </si>
  <si>
    <t>SYNTHETIC: Laptop allocation; Approved; asset G-AST-00088</t>
  </si>
  <si>
    <t>G-REQ-00910</t>
  </si>
  <si>
    <t>G-REQ-00120-E3</t>
  </si>
  <si>
    <t>SYNTHETIC: Laptop allocation; In progress; asset G-AST-00088</t>
  </si>
  <si>
    <t>G-REQ-00911</t>
  </si>
  <si>
    <t>G-REQ-00120-E4</t>
  </si>
  <si>
    <t>SYNTHETIC: Laptop allocation; Completed; asset G-AST-00088</t>
  </si>
  <si>
    <t>G-REQ-00912</t>
  </si>
  <si>
    <t>G-REQ-00121-E1</t>
  </si>
  <si>
    <t>SYNTHETIC: Laptop allocation; Pending approval; asset G-AST-00089</t>
  </si>
  <si>
    <t>G-REQ-00913</t>
  </si>
  <si>
    <t>G-REQ-00121-E2</t>
  </si>
  <si>
    <t>SYNTHETIC: Laptop allocation; Approved; asset G-AST-00089</t>
  </si>
  <si>
    <t>G-REQ-00121-E3</t>
  </si>
  <si>
    <t>G-REQ-00914</t>
  </si>
  <si>
    <t>SYNTHETIC: Laptop allocation; In progress; asset G-AST-00089</t>
  </si>
  <si>
    <t>G-REQ-00121-E4</t>
  </si>
  <si>
    <t>G-REQ-00915</t>
  </si>
  <si>
    <t>SYNTHETIC: Laptop allocation; Completed; asset G-AST-00089</t>
  </si>
  <si>
    <t>G-REQ-00122-E1</t>
  </si>
  <si>
    <t>G-REQ-00916</t>
  </si>
  <si>
    <t>SYNTHETIC: Laptop allocation; Pending approval; asset G-AST-00090</t>
  </si>
  <si>
    <t>G-REQ-00122-E2</t>
  </si>
  <si>
    <t>G-REQ-00917</t>
  </si>
  <si>
    <t>SYNTHETIC: Laptop allocation; Approved; asset G-AST-00090</t>
  </si>
  <si>
    <t>G-REQ-00122-E3</t>
  </si>
  <si>
    <t>G-REQ-00918</t>
  </si>
  <si>
    <t>SYNTHETIC: Laptop allocation; In progress; asset G-AST-00090</t>
  </si>
  <si>
    <t>G-REQ-00122-E4</t>
  </si>
  <si>
    <t>G-REQ-00919</t>
  </si>
  <si>
    <t>SYNTHETIC: Laptop allocation; Completed; asset G-AST-00090</t>
  </si>
  <si>
    <t>G-REQ-00123-E1</t>
  </si>
  <si>
    <t>SYNTHETIC: Laptop allocation; Pending approval; asset G-AST-00091</t>
  </si>
  <si>
    <t>G-REQ-00920</t>
  </si>
  <si>
    <t>G-REQ-00123-E2</t>
  </si>
  <si>
    <t>SYNTHETIC: Laptop allocation; Approved; asset G-AST-00091</t>
  </si>
  <si>
    <t>G-REQ-00921</t>
  </si>
  <si>
    <t>G-REQ-00123-E3</t>
  </si>
  <si>
    <t>SYNTHETIC: Laptop allocation; In progress; asset G-AST-00091</t>
  </si>
  <si>
    <t>G-REQ-00123-E4</t>
  </si>
  <si>
    <t>G-REQ-00922</t>
  </si>
  <si>
    <t>SYNTHETIC: Laptop allocation; Completed; asset G-AST-00091</t>
  </si>
  <si>
    <t>G-REQ-00124-E1</t>
  </si>
  <si>
    <t>G-REQ-00923</t>
  </si>
  <si>
    <t>SYNTHETIC: Laptop allocation; Pending approval; asset G-AST-00092</t>
  </si>
  <si>
    <t>G-REQ-00124-E2</t>
  </si>
  <si>
    <t>G-REQ-00924</t>
  </si>
  <si>
    <t>SYNTHETIC: Laptop allocation; Approved; asset G-AST-00092</t>
  </si>
  <si>
    <t>G-REQ-00124-E3</t>
  </si>
  <si>
    <t>G-REQ-00925</t>
  </si>
  <si>
    <t>SYNTHETIC: Laptop allocation; In progress; asset G-AST-00092</t>
  </si>
  <si>
    <t>G-REQ-00124-E4</t>
  </si>
  <si>
    <t>G-REQ-00926</t>
  </si>
  <si>
    <t>SYNTHETIC: Laptop allocation; Completed; asset G-AST-00092</t>
  </si>
  <si>
    <t>G-REQ-00125-E1</t>
  </si>
  <si>
    <t>G-REQ-00927</t>
  </si>
  <si>
    <t>SYNTHETIC: Laptop return; Pending approval; asset G-AST-00061</t>
  </si>
  <si>
    <t>G-REQ-00125-E2</t>
  </si>
  <si>
    <t>G-REQ-00928</t>
  </si>
  <si>
    <t>SYNTHETIC: Laptop return; Approved; asset G-AST-00061</t>
  </si>
  <si>
    <t>G-REQ-00125-E3</t>
  </si>
  <si>
    <t>G-REQ-00929</t>
  </si>
  <si>
    <t>SYNTHETIC: Laptop return; In progress; asset G-AST-00061</t>
  </si>
  <si>
    <t>G-REQ-00125-E4</t>
  </si>
  <si>
    <t>G-REQ-00930</t>
  </si>
  <si>
    <t>SYNTHETIC: Laptop return; Completed; asset G-AST-00061</t>
  </si>
  <si>
    <t>G-REQ-00126-E1</t>
  </si>
  <si>
    <t>G-REQ-00931</t>
  </si>
  <si>
    <t>SYNTHETIC: Laptop allocation; Pending approval; asset G-AST-00093</t>
  </si>
  <si>
    <t>G-REQ-00126-E2</t>
  </si>
  <si>
    <t>G-REQ-00932</t>
  </si>
  <si>
    <t>SYNTHETIC: Laptop allocation; Approved; asset G-AST-00093</t>
  </si>
  <si>
    <t>G-REQ-00126-E3</t>
  </si>
  <si>
    <t>G-REQ-00933</t>
  </si>
  <si>
    <t>SYNTHETIC: Laptop allocation; In progress; asset G-AST-00093</t>
  </si>
  <si>
    <t>G-REQ-00126-E4</t>
  </si>
  <si>
    <t>SYNTHETIC: Laptop allocation; Completed; asset G-AST-00093</t>
  </si>
  <si>
    <t>G-REQ-00934</t>
  </si>
  <si>
    <t>G-REQ-00127-E1</t>
  </si>
  <si>
    <t>SYNTHETIC: Laptop repair; Pending approval; asset G-AST-00058</t>
  </si>
  <si>
    <t>G-REQ-00127-E2</t>
  </si>
  <si>
    <t>G-REQ-00935</t>
  </si>
  <si>
    <t>SYNTHETIC: Laptop repair; Approved; asset G-AST-00058</t>
  </si>
  <si>
    <t>G-REQ-00127-E3</t>
  </si>
  <si>
    <t>G-REQ-00936</t>
  </si>
  <si>
    <t>SYNTHETIC: Laptop repair; In progress; asset G-AST-00058</t>
  </si>
  <si>
    <t>G-REQ-00127-E4</t>
  </si>
  <si>
    <t>G-REQ-00937</t>
  </si>
  <si>
    <t>SYNTHETIC: Laptop repair; Completed; asset G-AST-00058</t>
  </si>
  <si>
    <t>G-REQ-00128-E1</t>
  </si>
  <si>
    <t>G-REQ-00938</t>
  </si>
  <si>
    <t>SYNTHETIC: Laptop allocation; Pending approval; asset G-AST-00094</t>
  </si>
  <si>
    <t>G-REQ-00128-E2</t>
  </si>
  <si>
    <t>G-REQ-00939</t>
  </si>
  <si>
    <t>SYNTHETIC: Laptop allocation; Approved; asset G-AST-00094</t>
  </si>
  <si>
    <t>G-REQ-00128-E3</t>
  </si>
  <si>
    <t>G-REQ-00940</t>
  </si>
  <si>
    <t>SYNTHETIC: Laptop allocation; In progress; asset G-AST-00094</t>
  </si>
  <si>
    <t>G-REQ-00128-E4</t>
  </si>
  <si>
    <t>G-REQ-00941</t>
  </si>
  <si>
    <t>SYNTHETIC: Laptop allocation; Completed; asset G-AST-00094</t>
  </si>
  <si>
    <t>G-REQ-00129-E1</t>
  </si>
  <si>
    <t>G-REQ-00942</t>
  </si>
  <si>
    <t>SYNTHETIC: Laptop return; Pending approval; asset G-AST-00013</t>
  </si>
  <si>
    <t>G-REQ-00129-E2</t>
  </si>
  <si>
    <t>SYNTHETIC: Laptop return; Approved; asset G-AST-00013</t>
  </si>
  <si>
    <t>G-REQ-00943</t>
  </si>
  <si>
    <t>G-REQ-00129-E3</t>
  </si>
  <si>
    <t>SYNTHETIC: Laptop return; In progress; asset G-AST-00013</t>
  </si>
  <si>
    <t>G-REQ-00129-E4</t>
  </si>
  <si>
    <t>G-REQ-00944</t>
  </si>
  <si>
    <t>SYNTHETIC: Laptop return; Completed; asset G-AST-00013</t>
  </si>
  <si>
    <t>G-REQ-00130-E1</t>
  </si>
  <si>
    <t>G-REQ-00945</t>
  </si>
  <si>
    <t>SYNTHETIC: Laptop allocation; Pending approval; asset G-AST-00095</t>
  </si>
  <si>
    <t>G-REQ-00130-E2</t>
  </si>
  <si>
    <t>G-REQ-00946</t>
  </si>
  <si>
    <t>SYNTHETIC: Laptop allocation; Approved; asset G-AST-00095</t>
  </si>
  <si>
    <t>G-REQ-00130-E3</t>
  </si>
  <si>
    <t>G-REQ-00947</t>
  </si>
  <si>
    <t>SYNTHETIC: Laptop allocation; In progress; asset G-AST-00095</t>
  </si>
  <si>
    <t>G-REQ-00130-E4</t>
  </si>
  <si>
    <t>G-REQ-00948</t>
  </si>
  <si>
    <t>SYNTHETIC: Laptop allocation; Completed; asset G-AST-00095</t>
  </si>
  <si>
    <t>G-REQ-00131-E1</t>
  </si>
  <si>
    <t>G-REQ-00949</t>
  </si>
  <si>
    <t>SYNTHETIC: Laptop return; Pending approval; asset G-AST-00007</t>
  </si>
  <si>
    <t>G-REQ-00131-E2</t>
  </si>
  <si>
    <t>G-REQ-00950</t>
  </si>
  <si>
    <t>SYNTHETIC: Laptop return; Approved; asset G-AST-00007</t>
  </si>
  <si>
    <t>G-REQ-00131-E3</t>
  </si>
  <si>
    <t>G-REQ-00951</t>
  </si>
  <si>
    <t>SYNTHETIC: Laptop return; In progress; asset G-AST-00007</t>
  </si>
  <si>
    <t>G-REQ-00131-E4</t>
  </si>
  <si>
    <t>G-REQ-00952</t>
  </si>
  <si>
    <t>SYNTHETIC: Laptop return; Completed; asset G-AST-00007</t>
  </si>
  <si>
    <t>G-REQ-00132-E1</t>
  </si>
  <si>
    <t>G-REQ-00953</t>
  </si>
  <si>
    <t>SYNTHETIC: Laptop allocation; Pending approval; asset G-AST-00096</t>
  </si>
  <si>
    <t>G-REQ-00132-E2</t>
  </si>
  <si>
    <t>G-REQ-00954</t>
  </si>
  <si>
    <t>SYNTHETIC: Laptop allocation; Approved; asset G-AST-00096</t>
  </si>
  <si>
    <t>G-REQ-00132-E3</t>
  </si>
  <si>
    <t>G-REQ-00955</t>
  </si>
  <si>
    <t>SYNTHETIC: Laptop allocation; In progress; asset G-AST-00096</t>
  </si>
  <si>
    <t>G-REQ-00132-E4</t>
  </si>
  <si>
    <t>SYNTHETIC: Laptop allocation; Completed; asset G-AST-00096</t>
  </si>
  <si>
    <t>G-REQ-00956</t>
  </si>
  <si>
    <t>G-REQ-00133-E1</t>
  </si>
  <si>
    <t>SYNTHETIC: Laptop repair; Pending approval; asset G-AST-00031</t>
  </si>
  <si>
    <t>G-REQ-00957</t>
  </si>
  <si>
    <t>G-REQ-00133-E2</t>
  </si>
  <si>
    <t>SYNTHETIC: Laptop repair; Approved; asset G-AST-00031</t>
  </si>
  <si>
    <t>G-REQ-00133-E3</t>
  </si>
  <si>
    <t>G-REQ-00958</t>
  </si>
  <si>
    <t>SYNTHETIC: Laptop repair; In progress; asset G-AST-00031</t>
  </si>
  <si>
    <t>G-REQ-00133-E4</t>
  </si>
  <si>
    <t>G-REQ-00959</t>
  </si>
  <si>
    <t>SYNTHETIC: Laptop repair; Completed; asset G-AST-00031</t>
  </si>
  <si>
    <t>G-REQ-00134-E1</t>
  </si>
  <si>
    <t>G-REQ-00960</t>
  </si>
  <si>
    <t>SYNTHETIC: Laptop allocation; Pending approval; asset G-AST-00097</t>
  </si>
  <si>
    <t>G-REQ-00134-E2</t>
  </si>
  <si>
    <t>SYNTHETIC: Laptop allocation; Approved; asset G-AST-00097</t>
  </si>
  <si>
    <t>G-REQ-00961</t>
  </si>
  <si>
    <t>G-REQ-00134-E3</t>
  </si>
  <si>
    <t>SYNTHETIC: Laptop allocation; In progress; asset G-AST-00097</t>
  </si>
  <si>
    <t>G-REQ-00962</t>
  </si>
  <si>
    <t>G-REQ-00134-E4</t>
  </si>
  <si>
    <t>SYNTHETIC: Laptop allocation; Completed; asset G-AST-00097</t>
  </si>
  <si>
    <t>G-REQ-00963</t>
  </si>
  <si>
    <t>G-REQ-00135-E1</t>
  </si>
  <si>
    <t>G-REQ-00135-E2</t>
  </si>
  <si>
    <t>G-REQ-00964</t>
  </si>
  <si>
    <t>G-REQ-00965</t>
  </si>
  <si>
    <t>G-REQ-00136-E1</t>
  </si>
  <si>
    <t>G-REQ-00966</t>
  </si>
  <si>
    <t>SYNTHETIC: Laptop allocation; Pending approval; asset G-AST-00098</t>
  </si>
  <si>
    <t>G-REQ-00136-E2</t>
  </si>
  <si>
    <t>G-REQ-00967</t>
  </si>
  <si>
    <t>SYNTHETIC: Laptop allocation; Approved; asset G-AST-00098</t>
  </si>
  <si>
    <t>G-REQ-00136-E3</t>
  </si>
  <si>
    <t>G-REQ-00968</t>
  </si>
  <si>
    <t>SYNTHETIC: Laptop allocation; In progress; asset G-AST-00098</t>
  </si>
  <si>
    <t>G-REQ-00136-E4</t>
  </si>
  <si>
    <t>G-REQ-00969</t>
  </si>
  <si>
    <t>SYNTHETIC: Laptop allocation; Completed; asset G-AST-00098</t>
  </si>
  <si>
    <t>G-REQ-00137-E1</t>
  </si>
  <si>
    <t>G-REQ-00970</t>
  </si>
  <si>
    <t>SYNTHETIC: Laptop repair; Pending approval; asset G-AST-00084</t>
  </si>
  <si>
    <t>G-REQ-00137-E2</t>
  </si>
  <si>
    <t>G-REQ-00971</t>
  </si>
  <si>
    <t>SYNTHETIC: Laptop repair; Approved; asset G-AST-00084</t>
  </si>
  <si>
    <t>G-REQ-00137-E3</t>
  </si>
  <si>
    <t>SYNTHETIC: Laptop repair; In progress; asset G-AST-00084</t>
  </si>
  <si>
    <t>G-REQ-00972</t>
  </si>
  <si>
    <t>G-REQ-00137-E4</t>
  </si>
  <si>
    <t>SYNTHETIC: Laptop repair; Completed; asset G-AST-00084</t>
  </si>
  <si>
    <t>G-REQ-00138-E1</t>
  </si>
  <si>
    <t>G-REQ-00973</t>
  </si>
  <si>
    <t>SYNTHETIC: Laptop allocation; Pending approval; asset G-AST-00099</t>
  </si>
  <si>
    <t>G-REQ-00138-E2</t>
  </si>
  <si>
    <t>G-REQ-00974</t>
  </si>
  <si>
    <t>SYNTHETIC: Laptop allocation; Approved; asset G-AST-00099</t>
  </si>
  <si>
    <t>G-REQ-00138-E3</t>
  </si>
  <si>
    <t>G-REQ-00975</t>
  </si>
  <si>
    <t>SYNTHETIC: Laptop allocation; In progress; asset G-AST-00099</t>
  </si>
  <si>
    <t>G-REQ-00138-E4</t>
  </si>
  <si>
    <t>G-REQ-00976</t>
  </si>
  <si>
    <t>SYNTHETIC: Laptop allocation; Completed; asset G-AST-00099</t>
  </si>
  <si>
    <t>G-REQ-00139-E1</t>
  </si>
  <si>
    <t>G-REQ-00977</t>
  </si>
  <si>
    <t>SYNTHETIC: Laptop repair; Pending approval; asset G-AST-00082</t>
  </si>
  <si>
    <t>G-REQ-00139-E2</t>
  </si>
  <si>
    <t>G-REQ-00978</t>
  </si>
  <si>
    <t>SYNTHETIC: Laptop repair; Cancelled; asset G-AST-00082</t>
  </si>
  <si>
    <t>G-REQ-00979</t>
  </si>
  <si>
    <t>G-REQ-00140-E1</t>
  </si>
  <si>
    <t>SYNTHETIC: Laptop return; Pending approval; asset G-AST-00050</t>
  </si>
  <si>
    <t>G-REQ-00980</t>
  </si>
  <si>
    <t>G-REQ-00140-E2</t>
  </si>
  <si>
    <t>SYNTHETIC: Laptop return; Approved; asset G-AST-00050</t>
  </si>
  <si>
    <t>G-REQ-00140-E3</t>
  </si>
  <si>
    <t>G-REQ-00981</t>
  </si>
  <si>
    <t>SYNTHETIC: Laptop return; In progress; asset G-AST-00050</t>
  </si>
  <si>
    <t>G-REQ-00140-E4</t>
  </si>
  <si>
    <t>G-REQ-00982</t>
  </si>
  <si>
    <t>SYNTHETIC: Laptop return; Completed; asset G-AST-00050</t>
  </si>
  <si>
    <t>G-REQ-00141-E1</t>
  </si>
  <si>
    <t>G-REQ-00983</t>
  </si>
  <si>
    <t>SYNTHETIC: Laptop allocation; Pending approval; asset G-AST-00100</t>
  </si>
  <si>
    <t>G-REQ-00141-E2</t>
  </si>
  <si>
    <t>G-REQ-00984</t>
  </si>
  <si>
    <t>SYNTHETIC: Laptop allocation; Approved; asset G-AST-00100</t>
  </si>
  <si>
    <t>G-REQ-00141-E3</t>
  </si>
  <si>
    <t>G-REQ-00985</t>
  </si>
  <si>
    <t>SYNTHETIC: Laptop allocation; In progress; asset G-AST-00100</t>
  </si>
  <si>
    <t>G-REQ-00141-E4</t>
  </si>
  <si>
    <t>G-REQ-00986</t>
  </si>
  <si>
    <t>SYNTHETIC: Laptop allocation; Completed; asset G-AST-00100</t>
  </si>
  <si>
    <t>G-REQ-00142-E1</t>
  </si>
  <si>
    <t>G-REQ-00987</t>
  </si>
  <si>
    <t>SYNTHETIC: Laptop allocation; Pending approval; asset G-AST-00101</t>
  </si>
  <si>
    <t>G-REQ-00142-E2</t>
  </si>
  <si>
    <t>G-REQ-00988</t>
  </si>
  <si>
    <t>SYNTHETIC: Laptop allocation; Approved; asset G-AST-00101</t>
  </si>
  <si>
    <t>G-REQ-00142-E3</t>
  </si>
  <si>
    <t>SYNTHETIC: Laptop allocation; In progress; asset G-AST-00101</t>
  </si>
  <si>
    <t>G-REQ-00989</t>
  </si>
  <si>
    <t>G-REQ-00142-E4</t>
  </si>
  <si>
    <t>SYNTHETIC: Laptop allocation; Completed; asset G-AST-00101</t>
  </si>
  <si>
    <t>G-REQ-00990</t>
  </si>
  <si>
    <t>G-REQ-00143-E1</t>
  </si>
  <si>
    <t>SYNTHETIC: Laptop allocation; Pending approval; asset G-AST-00102</t>
  </si>
  <si>
    <t>G-REQ-00991</t>
  </si>
  <si>
    <t>G-REQ-00143-E2</t>
  </si>
  <si>
    <t>SYNTHETIC: Laptop allocation; Approved; asset G-AST-00102</t>
  </si>
  <si>
    <t>G-REQ-00143-E3</t>
  </si>
  <si>
    <t>G-REQ-00992</t>
  </si>
  <si>
    <t>SYNTHETIC: Laptop allocation; In progress; asset G-AST-00102</t>
  </si>
  <si>
    <t>G-REQ-00143-E4</t>
  </si>
  <si>
    <t>G-REQ-00993</t>
  </si>
  <si>
    <t>SYNTHETIC: Laptop allocation; Completed; asset G-AST-00102</t>
  </si>
  <si>
    <t>G-REQ-00144-E1</t>
  </si>
  <si>
    <t>G-REQ-00994</t>
  </si>
  <si>
    <t>SYNTHETIC: Laptop allocation; Pending approval; asset G-AST-00103</t>
  </si>
  <si>
    <t>G-REQ-00144-E2</t>
  </si>
  <si>
    <t>G-REQ-00995</t>
  </si>
  <si>
    <t>SYNTHETIC: Laptop allocation; Approved; asset G-AST-00103</t>
  </si>
  <si>
    <t>G-REQ-00144-E3</t>
  </si>
  <si>
    <t>G-REQ-00996</t>
  </si>
  <si>
    <t>SYNTHETIC: Laptop allocation; In progress; asset G-AST-00103</t>
  </si>
  <si>
    <t>G-REQ-00144-E4</t>
  </si>
  <si>
    <t>G-REQ-00997</t>
  </si>
  <si>
    <t>SYNTHETIC: Laptop allocation; Completed; asset G-AST-00103</t>
  </si>
  <si>
    <t>G-REQ-00145-E1</t>
  </si>
  <si>
    <t>G-REQ-00998</t>
  </si>
  <si>
    <t>SYNTHETIC: Laptop allocation; Pending approval; asset G-AST-00104</t>
  </si>
  <si>
    <t>G-REQ-00145-E2</t>
  </si>
  <si>
    <t>G-REQ-00999</t>
  </si>
  <si>
    <t>SYNTHETIC: Laptop allocation; Approved; asset G-AST-00104</t>
  </si>
  <si>
    <t>G-REQ-00145-E3</t>
  </si>
  <si>
    <t>G-REQ-01000</t>
  </si>
  <si>
    <t>SYNTHETIC: Laptop allocation; In progress; asset G-AST-00104</t>
  </si>
  <si>
    <t>G-REQ-00145-E4</t>
  </si>
  <si>
    <t>G-REQ-01001</t>
  </si>
  <si>
    <t>SYNTHETIC: Laptop allocation; Completed; asset G-AST-00104</t>
  </si>
  <si>
    <t>G-REQ-00146-E1</t>
  </si>
  <si>
    <t>G-REQ-01002</t>
  </si>
  <si>
    <t>SYNTHETIC: Laptop allocation; Pending approval; asset G-AST-00105</t>
  </si>
  <si>
    <t>G-REQ-00146-E2</t>
  </si>
  <si>
    <t>G-REQ-01003</t>
  </si>
  <si>
    <t>SYNTHETIC: Laptop allocation; Approved; asset G-AST-00105</t>
  </si>
  <si>
    <t>G-REQ-00146-E3</t>
  </si>
  <si>
    <t>G-REQ-01004</t>
  </si>
  <si>
    <t>SYNTHETIC: Laptop allocation; In progress; asset G-AST-00105</t>
  </si>
  <si>
    <t>G-REQ-00146-E4</t>
  </si>
  <si>
    <t>G-REQ-01005</t>
  </si>
  <si>
    <t>SYNTHETIC: Laptop allocation; Completed; asset G-AST-00105</t>
  </si>
  <si>
    <t>G-REQ-00147-E1</t>
  </si>
  <si>
    <t>G-REQ-01006</t>
  </si>
  <si>
    <t>SYNTHETIC: Laptop allocation; Pending approval; asset G-AST-00106</t>
  </si>
  <si>
    <t>G-REQ-00147-E2</t>
  </si>
  <si>
    <t>SYNTHETIC: Laptop allocation; Approved; asset G-AST-00106</t>
  </si>
  <si>
    <t>G-REQ-01007</t>
  </si>
  <si>
    <t>G-REQ-00147-E3</t>
  </si>
  <si>
    <t>SYNTHETIC: Laptop allocation; In progress; asset G-AST-00106</t>
  </si>
  <si>
    <t>G-REQ-00147-E4</t>
  </si>
  <si>
    <t>G-REQ-01008</t>
  </si>
  <si>
    <t>SYNTHETIC: Laptop allocation; Completed; asset G-AST-00106</t>
  </si>
  <si>
    <t>G-REQ-00148-E1</t>
  </si>
  <si>
    <t>G-REQ-01009</t>
  </si>
  <si>
    <t>SYNTHETIC: Laptop repair; Pending approval; asset G-AST-00029</t>
  </si>
  <si>
    <t>G-REQ-00148-E2</t>
  </si>
  <si>
    <t>G-REQ-01010</t>
  </si>
  <si>
    <t>SYNTHETIC: Laptop repair; Approved; asset G-AST-00029</t>
  </si>
  <si>
    <t>G-REQ-00148-E3</t>
  </si>
  <si>
    <t>G-REQ-01011</t>
  </si>
  <si>
    <t>SYNTHETIC: Laptop repair; In progress; asset G-AST-00029</t>
  </si>
  <si>
    <t>G-REQ-00148-E4</t>
  </si>
  <si>
    <t>G-REQ-01012</t>
  </si>
  <si>
    <t>SYNTHETIC: Laptop repair; Completed; asset G-AST-00029</t>
  </si>
  <si>
    <t>G-REQ-00149-E1</t>
  </si>
  <si>
    <t>G-REQ-01013</t>
  </si>
  <si>
    <t>G-REQ-00149-E2</t>
  </si>
  <si>
    <t>G-REQ-01014</t>
  </si>
  <si>
    <t>G-REQ-00149-E3</t>
  </si>
  <si>
    <t>G-REQ-01015</t>
  </si>
  <si>
    <t>G-REQ-00149-E4</t>
  </si>
  <si>
    <t>G-REQ-01016</t>
  </si>
  <si>
    <t>G-REQ-00150-E1</t>
  </si>
  <si>
    <t>G-REQ-01017</t>
  </si>
  <si>
    <t>SYNTHETIC: Laptop allocation; Pending approval; asset G-AST-00107</t>
  </si>
  <si>
    <t>G-REQ-00150-E2</t>
  </si>
  <si>
    <t>G-REQ-01018</t>
  </si>
  <si>
    <t>SYNTHETIC: Laptop allocation; Approved; asset G-AST-00107</t>
  </si>
  <si>
    <t>G-REQ-00150-E3</t>
  </si>
  <si>
    <t>G-REQ-01019</t>
  </si>
  <si>
    <t>SYNTHETIC: Laptop allocation; In progress; asset G-AST-00107</t>
  </si>
  <si>
    <t>G-REQ-00150-E4</t>
  </si>
  <si>
    <t>SYNTHETIC: Laptop allocation; Completed; asset G-AST-00107</t>
  </si>
  <si>
    <t>G-REQ-01020</t>
  </si>
  <si>
    <t>G-REQ-00151-E1</t>
  </si>
  <si>
    <t>SYNTHETIC: Laptop allocation; Pending approval; asset G-AST-00108</t>
  </si>
  <si>
    <t>G-REQ-01021</t>
  </si>
  <si>
    <t>G-REQ-00151-E2</t>
  </si>
  <si>
    <t>SYNTHETIC: Laptop allocation; Approved; asset G-AST-00108</t>
  </si>
  <si>
    <t>G-REQ-01022</t>
  </si>
  <si>
    <t>G-REQ-00151-E3</t>
  </si>
  <si>
    <t>SYNTHETIC: Laptop allocation; In progress; asset G-AST-00108</t>
  </si>
  <si>
    <t>G-REQ-00151-E4</t>
  </si>
  <si>
    <t>G-REQ-01023</t>
  </si>
  <si>
    <t>SYNTHETIC: Laptop allocation; Completed; asset G-AST-00108</t>
  </si>
  <si>
    <t>G-REQ-00152-E1</t>
  </si>
  <si>
    <t>G-REQ-01024</t>
  </si>
  <si>
    <t>SYNTHETIC: Laptop repair; Pending approval; asset G-AST-00011</t>
  </si>
  <si>
    <t>G-REQ-00152-E2</t>
  </si>
  <si>
    <t>G-REQ-01025</t>
  </si>
  <si>
    <t>SYNTHETIC: Laptop repair; Approved; asset G-AST-00011</t>
  </si>
  <si>
    <t>G-REQ-00152-E3</t>
  </si>
  <si>
    <t>G-REQ-01026</t>
  </si>
  <si>
    <t>SYNTHETIC: Laptop repair; In progress; asset G-AST-00011</t>
  </si>
  <si>
    <t>G-REQ-00152-E4</t>
  </si>
  <si>
    <t>G-REQ-01027</t>
  </si>
  <si>
    <t>SYNTHETIC: Laptop repair; Completed; asset G-AST-00011</t>
  </si>
  <si>
    <t>G-REQ-00153-E1</t>
  </si>
  <si>
    <t>G-REQ-01028</t>
  </si>
  <si>
    <t>SYNTHETIC: Laptop repair; Pending approval; asset G-AST-00100</t>
  </si>
  <si>
    <t>G-REQ-00153-E2</t>
  </si>
  <si>
    <t>G-REQ-01029</t>
  </si>
  <si>
    <t>SYNTHETIC: Laptop repair; Approved; asset G-AST-00100</t>
  </si>
  <si>
    <t>G-REQ-00153-E3</t>
  </si>
  <si>
    <t>G-REQ-01030</t>
  </si>
  <si>
    <t>SYNTHETIC: Laptop repair; In progress; asset G-AST-00100</t>
  </si>
  <si>
    <t>G-REQ-00153-E4</t>
  </si>
  <si>
    <t>SYNTHETIC: Laptop repair; Completed; asset G-AST-00100</t>
  </si>
  <si>
    <t>G-REQ-01031</t>
  </si>
  <si>
    <t>G-REQ-00154-E1</t>
  </si>
  <si>
    <t>SYNTHETIC: Laptop repair; Pending approval; asset G-AST-00105</t>
  </si>
  <si>
    <t>G-REQ-00154-E2</t>
  </si>
  <si>
    <t>G-REQ-01032</t>
  </si>
  <si>
    <t>SYNTHETIC: Laptop repair; Approved; asset G-AST-00105</t>
  </si>
  <si>
    <t>G-REQ-00154-E3</t>
  </si>
  <si>
    <t>G-REQ-01033</t>
  </si>
  <si>
    <t>SYNTHETIC: Laptop repair; In progress; asset G-AST-00105</t>
  </si>
  <si>
    <t>G-REQ-00154-E4</t>
  </si>
  <si>
    <t>G-REQ-01034</t>
  </si>
  <si>
    <t>SYNTHETIC: Laptop repair; Completed; asset G-AST-00105</t>
  </si>
  <si>
    <t>G-REQ-00155-E1</t>
  </si>
  <si>
    <t>SYNTHETIC: Laptop allocation; Pending approval; asset G-AST-00109</t>
  </si>
  <si>
    <t>G-REQ-01035</t>
  </si>
  <si>
    <t>G-REQ-00155-E2</t>
  </si>
  <si>
    <t>SYNTHETIC: Laptop allocation; Approved; asset G-AST-00109</t>
  </si>
  <si>
    <t>G-REQ-00155-E3</t>
  </si>
  <si>
    <t>G-REQ-01036</t>
  </si>
  <si>
    <t>SYNTHETIC: Laptop allocation; In progress; asset G-AST-00109</t>
  </si>
  <si>
    <t>G-REQ-01037</t>
  </si>
  <si>
    <t>G-REQ-00155-E4</t>
  </si>
  <si>
    <t>SYNTHETIC: Laptop allocation; Completed; asset G-AST-00109</t>
  </si>
  <si>
    <t>G-REQ-00156-E1</t>
  </si>
  <si>
    <t>G-REQ-01038</t>
  </si>
  <si>
    <t>SYNTHETIC: Laptop return; Pending approval; asset G-AST-00096</t>
  </si>
  <si>
    <t>G-REQ-00156-E2</t>
  </si>
  <si>
    <t>G-REQ-01039</t>
  </si>
  <si>
    <t>SYNTHETIC: Laptop return; Approved; asset G-AST-00096</t>
  </si>
  <si>
    <t>G-REQ-00156-E3</t>
  </si>
  <si>
    <t>G-REQ-01040</t>
  </si>
  <si>
    <t>SYNTHETIC: Laptop return; In progress; asset G-AST-00096</t>
  </si>
  <si>
    <t>G-REQ-00156-E4</t>
  </si>
  <si>
    <t>G-REQ-01041</t>
  </si>
  <si>
    <t>SYNTHETIC: Laptop return; Completed; asset G-AST-00096</t>
  </si>
  <si>
    <t>G-REQ-00157-E1</t>
  </si>
  <si>
    <t>G-REQ-01042</t>
  </si>
  <si>
    <t>G-REQ-01043</t>
  </si>
  <si>
    <t>G-REQ-01044</t>
  </si>
  <si>
    <t>G-REQ-00157-E2</t>
  </si>
  <si>
    <t>G-REQ-01045</t>
  </si>
  <si>
    <t>G-REQ-01046</t>
  </si>
  <si>
    <t>G-REQ-00158-E1</t>
  </si>
  <si>
    <t>SYNTHETIC: Laptop allocation; Pending approval; asset G-AST-00110</t>
  </si>
  <si>
    <t>G-REQ-01047</t>
  </si>
  <si>
    <t>G-REQ-00158-E2</t>
  </si>
  <si>
    <t>SYNTHETIC: Laptop allocation; Approved; asset G-AST-00110</t>
  </si>
  <si>
    <t>G-REQ-01048</t>
  </si>
  <si>
    <t>G-REQ-00158-E3</t>
  </si>
  <si>
    <t>SYNTHETIC: Laptop allocation; In progress; asset G-AST-00110</t>
  </si>
  <si>
    <t>G-REQ-01049</t>
  </si>
  <si>
    <t>G-REQ-00158-E4</t>
  </si>
  <si>
    <t>SYNTHETIC: Laptop allocation; Completed; asset G-AST-00110</t>
  </si>
  <si>
    <t>G-REQ-00159-E1</t>
  </si>
  <si>
    <t>G-REQ-01050</t>
  </si>
  <si>
    <t>SYNTHETIC: Laptop allocation; Pending approval; asset G-AST-00111</t>
  </si>
  <si>
    <t>G-REQ-01051</t>
  </si>
  <si>
    <t>G-REQ-00159-E2</t>
  </si>
  <si>
    <t>SYNTHETIC: Laptop allocation; Approved; asset G-AST-00111</t>
  </si>
  <si>
    <t>G-REQ-01052</t>
  </si>
  <si>
    <t>G-REQ-00159-E3</t>
  </si>
  <si>
    <t>SYNTHETIC: Laptop allocation; In progress; asset G-AST-00111</t>
  </si>
  <si>
    <t>G-REQ-01053</t>
  </si>
  <si>
    <t>G-REQ-00159-E4</t>
  </si>
  <si>
    <t>SYNTHETIC: Laptop allocation; Completed; asset G-AST-00111</t>
  </si>
  <si>
    <t>G-REQ-01054</t>
  </si>
  <si>
    <t>G-REQ-00160-E1</t>
  </si>
  <si>
    <t>SYNTHETIC: Laptop allocation; Pending approval; asset G-AST-00112</t>
  </si>
  <si>
    <t>G-REQ-00160-E2</t>
  </si>
  <si>
    <t>G-REQ-01055</t>
  </si>
  <si>
    <t>SYNTHETIC: Laptop allocation; Approved; asset G-AST-00112</t>
  </si>
  <si>
    <t>G-REQ-00160-E3</t>
  </si>
  <si>
    <t>G-REQ-01056</t>
  </si>
  <si>
    <t>SYNTHETIC: Laptop allocation; In progress; asset G-AST-00112</t>
  </si>
  <si>
    <t>G-REQ-00160-E4</t>
  </si>
  <si>
    <t>G-REQ-01057</t>
  </si>
  <si>
    <t>SYNTHETIC: Laptop allocation; Completed; asset G-AST-00112</t>
  </si>
  <si>
    <t>G-REQ-00161-E1</t>
  </si>
  <si>
    <t>G-REQ-01058</t>
  </si>
  <si>
    <t>SYNTHETIC: Laptop allocation; Pending approval; asset G-AST-00113</t>
  </si>
  <si>
    <t>G-REQ-00161-E2</t>
  </si>
  <si>
    <t>SYNTHETIC: Laptop allocation; Approved; asset G-AST-00113</t>
  </si>
  <si>
    <t>G-REQ-01059</t>
  </si>
  <si>
    <t>G-REQ-00161-E3</t>
  </si>
  <si>
    <t>SYNTHETIC: Laptop allocation; In progress; asset G-AST-00113</t>
  </si>
  <si>
    <t>G-REQ-00161-E4</t>
  </si>
  <si>
    <t>G-REQ-01060</t>
  </si>
  <si>
    <t>SYNTHETIC: Laptop allocation; Completed; asset G-AST-00113</t>
  </si>
  <si>
    <t>G-REQ-00162-E1</t>
  </si>
  <si>
    <t>G-REQ-01061</t>
  </si>
  <si>
    <t>G-REQ-00162-E2</t>
  </si>
  <si>
    <t>G-REQ-01062</t>
  </si>
  <si>
    <t>G-REQ-00162-E3</t>
  </si>
  <si>
    <t>G-REQ-01063</t>
  </si>
  <si>
    <t>G-REQ-00162-E4</t>
  </si>
  <si>
    <t>G-REQ-01064</t>
  </si>
  <si>
    <t>G-REQ-00163-E1</t>
  </si>
  <si>
    <t>SYNTHETIC: Laptop repair; Pending approval; asset G-AST-00051</t>
  </si>
  <si>
    <t>G-REQ-01065</t>
  </si>
  <si>
    <t>G-REQ-00163-E2</t>
  </si>
  <si>
    <t>SYNTHETIC: Laptop repair; Approved; asset G-AST-00051</t>
  </si>
  <si>
    <t>G-REQ-00163-E3</t>
  </si>
  <si>
    <t>G-REQ-01066</t>
  </si>
  <si>
    <t>SYNTHETIC: Laptop repair; In progress; asset G-AST-00051</t>
  </si>
  <si>
    <t>G-REQ-00163-E4</t>
  </si>
  <si>
    <t>G-REQ-01067</t>
  </si>
  <si>
    <t>SYNTHETIC: Laptop repair; Completed; asset G-AST-00051</t>
  </si>
  <si>
    <t>G-REQ-00164-E1</t>
  </si>
  <si>
    <t>G-REQ-01068</t>
  </si>
  <si>
    <t>SYNTHETIC: Laptop repair; Pending approval; asset G-AST-00107</t>
  </si>
  <si>
    <t>G-REQ-00164-E2</t>
  </si>
  <si>
    <t>G-REQ-01069</t>
  </si>
  <si>
    <t>SYNTHETIC: Laptop repair; Approved; asset G-AST-00107</t>
  </si>
  <si>
    <t>G-REQ-00164-E3</t>
  </si>
  <si>
    <t>G-REQ-01070</t>
  </si>
  <si>
    <t>SYNTHETIC: Laptop repair; In progress; asset G-AST-00107</t>
  </si>
  <si>
    <t>G-REQ-00164-E4</t>
  </si>
  <si>
    <t>G-REQ-01071</t>
  </si>
  <si>
    <t>SYNTHETIC: Laptop repair; Completed; asset G-AST-00107</t>
  </si>
  <si>
    <t>G-REQ-00165-E1</t>
  </si>
  <si>
    <t>G-REQ-01072</t>
  </si>
  <si>
    <t>G-REQ-00165-E2</t>
  </si>
  <si>
    <t>G-REQ-01073</t>
  </si>
  <si>
    <t>G-REQ-00166-E1</t>
  </si>
  <si>
    <t>G-REQ-01074</t>
  </si>
  <si>
    <t>SYNTHETIC: Laptop return; Pending approval; asset G-AST-00097</t>
  </si>
  <si>
    <t>G-REQ-00166-E2</t>
  </si>
  <si>
    <t>G-REQ-01075</t>
  </si>
  <si>
    <t>SYNTHETIC: Laptop return; Approved; asset G-AST-00097</t>
  </si>
  <si>
    <t>G-REQ-00166-E3</t>
  </si>
  <si>
    <t>G-REQ-01076</t>
  </si>
  <si>
    <t>SYNTHETIC: Laptop return; In progress; asset G-AST-00097</t>
  </si>
  <si>
    <t>G-REQ-00166-E4</t>
  </si>
  <si>
    <t>G-REQ-01077</t>
  </si>
  <si>
    <t>SYNTHETIC: Laptop return; Completed; asset G-AST-00097</t>
  </si>
  <si>
    <t>G-REQ-01078</t>
  </si>
  <si>
    <t>G-REQ-00167-E1</t>
  </si>
  <si>
    <t>G-REQ-01079</t>
  </si>
  <si>
    <t>SYNTHETIC: Laptop allocation; Pending approval; asset G-AST-00114</t>
  </si>
  <si>
    <t>G-REQ-00167-E2</t>
  </si>
  <si>
    <t>SYNTHETIC: Laptop allocation; Approved; asset G-AST-00114</t>
  </si>
  <si>
    <t>G-REQ-01080</t>
  </si>
  <si>
    <t>G-REQ-00167-E3</t>
  </si>
  <si>
    <t>SYNTHETIC: Laptop allocation; In progress; asset G-AST-00114</t>
  </si>
  <si>
    <t>G-REQ-00167-E4</t>
  </si>
  <si>
    <t>G-REQ-01081</t>
  </si>
  <si>
    <t>SYNTHETIC: Laptop allocation; Completed; asset G-AST-00114</t>
  </si>
  <si>
    <t>G-REQ-00168-E1</t>
  </si>
  <si>
    <t>G-REQ-01082</t>
  </si>
  <si>
    <t>SYNTHETIC: Laptop repair; Pending approval; asset G-AST-00054</t>
  </si>
  <si>
    <t>G-REQ-00168-E2</t>
  </si>
  <si>
    <t>G-REQ-01083</t>
  </si>
  <si>
    <t>SYNTHETIC: Laptop repair; Approved; asset G-AST-00054</t>
  </si>
  <si>
    <t>G-REQ-00168-E3</t>
  </si>
  <si>
    <t>G-REQ-01084</t>
  </si>
  <si>
    <t>SYNTHETIC: Laptop repair; In progress; asset G-AST-00054</t>
  </si>
  <si>
    <t>G-REQ-00168-E4</t>
  </si>
  <si>
    <t>G-REQ-01085</t>
  </si>
  <si>
    <t>SYNTHETIC: Laptop repair; Completed; asset G-AST-00054</t>
  </si>
  <si>
    <t>G-REQ-00169-E1</t>
  </si>
  <si>
    <t>G-REQ-01086</t>
  </si>
  <si>
    <t>G-REQ-00169-E2</t>
  </si>
  <si>
    <t>G-REQ-00170-E1</t>
  </si>
  <si>
    <t>G-REQ-01087</t>
  </si>
  <si>
    <t>SYNTHETIC: Laptop allocation; Pending approval; asset G-AST-00115</t>
  </si>
  <si>
    <t>G-REQ-00170-E2</t>
  </si>
  <si>
    <t>G-REQ-01088</t>
  </si>
  <si>
    <t>SYNTHETIC: Laptop allocation; Approved; asset G-AST-00115</t>
  </si>
  <si>
    <t>G-REQ-01089</t>
  </si>
  <si>
    <t>G-REQ-00170-E3</t>
  </si>
  <si>
    <t>SYNTHETIC: Laptop allocation; In progress; asset G-AST-00115</t>
  </si>
  <si>
    <t>G-REQ-00170-E4</t>
  </si>
  <si>
    <t>G-REQ-01090</t>
  </si>
  <si>
    <t>SYNTHETIC: Laptop allocation; Completed; asset G-AST-00115</t>
  </si>
  <si>
    <t>G-REQ-00171-E1</t>
  </si>
  <si>
    <t>G-REQ-01091</t>
  </si>
  <si>
    <t>SYNTHETIC: Laptop allocation; Pending approval; asset G-AST-00116</t>
  </si>
  <si>
    <t>G-REQ-00171-E2</t>
  </si>
  <si>
    <t>G-REQ-01092</t>
  </si>
  <si>
    <t>SYNTHETIC: Laptop allocation; Approved; asset G-AST-00116</t>
  </si>
  <si>
    <t>G-REQ-00171-E3</t>
  </si>
  <si>
    <t>G-REQ-01093</t>
  </si>
  <si>
    <t>SYNTHETIC: Laptop allocation; In progress; asset G-AST-00116</t>
  </si>
  <si>
    <t>G-REQ-00171-E4</t>
  </si>
  <si>
    <t>G-REQ-01094</t>
  </si>
  <si>
    <t>SYNTHETIC: Laptop allocation; Completed; asset G-AST-00116</t>
  </si>
  <si>
    <t>G-REQ-00172-E1</t>
  </si>
  <si>
    <t>G-REQ-01095</t>
  </si>
  <si>
    <t>SYNTHETIC: Laptop repair; Pending approval; asset G-AST-00025</t>
  </si>
  <si>
    <t>G-REQ-00172-E2</t>
  </si>
  <si>
    <t>G-REQ-01096</t>
  </si>
  <si>
    <t>SYNTHETIC: Laptop repair; Approved; asset G-AST-00025</t>
  </si>
  <si>
    <t>G-REQ-00172-E3</t>
  </si>
  <si>
    <t>G-REQ-01097</t>
  </si>
  <si>
    <t>SYNTHETIC: Laptop repair; In progress; asset G-AST-00025</t>
  </si>
  <si>
    <t>G-REQ-00172-E4</t>
  </si>
  <si>
    <t>G-REQ-01098</t>
  </si>
  <si>
    <t>SYNTHETIC: Laptop repair; Completed; asset G-AST-00025</t>
  </si>
  <si>
    <t>G-REQ-00173-E1</t>
  </si>
  <si>
    <t>G-REQ-01099</t>
  </si>
  <si>
    <t>SYNTHETIC: Laptop allocation; Pending approval; asset G-AST-00117</t>
  </si>
  <si>
    <t>G-REQ-00173-E2</t>
  </si>
  <si>
    <t>G-REQ-01100</t>
  </si>
  <si>
    <t>SYNTHETIC: Laptop allocation; Approved; asset G-AST-00117</t>
  </si>
  <si>
    <t>G-REQ-00173-E3</t>
  </si>
  <si>
    <t>SYNTHETIC: Laptop allocation; In progress; asset G-AST-00117</t>
  </si>
  <si>
    <t>G-REQ-00173-E4</t>
  </si>
  <si>
    <t>G-REQ-01101</t>
  </si>
  <si>
    <t>SYNTHETIC: Laptop allocation; Completed; asset G-AST-00117</t>
  </si>
  <si>
    <t>G-REQ-00174-E1</t>
  </si>
  <si>
    <t>G-REQ-01102</t>
  </si>
  <si>
    <t>SYNTHETIC: Laptop allocation; Pending approval; asset G-AST-00118</t>
  </si>
  <si>
    <t>G-REQ-00174-E2</t>
  </si>
  <si>
    <t>G-REQ-01103</t>
  </si>
  <si>
    <t>SYNTHETIC: Laptop allocation; Approved; asset G-AST-00118</t>
  </si>
  <si>
    <t>G-REQ-00174-E3</t>
  </si>
  <si>
    <t>G-REQ-01104</t>
  </si>
  <si>
    <t>SYNTHETIC: Laptop allocation; In progress; asset G-AST-00118</t>
  </si>
  <si>
    <t>G-REQ-00174-E4</t>
  </si>
  <si>
    <t>G-REQ-01105</t>
  </si>
  <si>
    <t>SYNTHETIC: Laptop allocation; Completed; asset G-AST-00118</t>
  </si>
  <si>
    <t>G-REQ-00175-E1</t>
  </si>
  <si>
    <t>G-REQ-01106</t>
  </si>
  <si>
    <t>SYNTHETIC: Laptop repair; Pending approval; asset G-AST-00104</t>
  </si>
  <si>
    <t>G-REQ-00175-E2</t>
  </si>
  <si>
    <t>SYNTHETIC: Laptop repair; Approved; asset G-AST-00104</t>
  </si>
  <si>
    <t>G-REQ-00175-E3</t>
  </si>
  <si>
    <t>G-REQ-01107</t>
  </si>
  <si>
    <t>SYNTHETIC: Laptop repair; In progress; asset G-AST-00104</t>
  </si>
  <si>
    <t>G-REQ-00175-E4</t>
  </si>
  <si>
    <t>G-REQ-01108</t>
  </si>
  <si>
    <t>SYNTHETIC: Laptop repair; Completed; asset G-AST-00104</t>
  </si>
  <si>
    <t>G-REQ-00176-E1</t>
  </si>
  <si>
    <t>G-REQ-01109</t>
  </si>
  <si>
    <t>G-REQ-00176-E2</t>
  </si>
  <si>
    <t>G-REQ-01110</t>
  </si>
  <si>
    <t>G-REQ-00177-E1</t>
  </si>
  <si>
    <t>SYNTHETIC: Laptop repair; Pending approval; asset G-AST-00106</t>
  </si>
  <si>
    <t>G-REQ-00177-E2</t>
  </si>
  <si>
    <t>G-REQ-01111</t>
  </si>
  <si>
    <t>SYNTHETIC: Laptop repair; Approved; asset G-AST-00106</t>
  </si>
  <si>
    <t>G-REQ-00177-E3</t>
  </si>
  <si>
    <t>G-REQ-01112</t>
  </si>
  <si>
    <t>SYNTHETIC: Laptop repair; In progress; asset G-AST-00106</t>
  </si>
  <si>
    <t>G-REQ-00177-E4</t>
  </si>
  <si>
    <t>G-REQ-01113</t>
  </si>
  <si>
    <t>SYNTHETIC: Laptop repair; Completed; asset G-AST-00106</t>
  </si>
  <si>
    <t>G-REQ-00178-E1</t>
  </si>
  <si>
    <t>G-REQ-01114</t>
  </si>
  <si>
    <t>SYNTHETIC: Laptop allocation; Pending approval; asset G-AST-00119</t>
  </si>
  <si>
    <t>G-REQ-00178-E2</t>
  </si>
  <si>
    <t>G-REQ-01115</t>
  </si>
  <si>
    <t>SYNTHETIC: Laptop allocation; Approved; asset G-AST-00119</t>
  </si>
  <si>
    <t>G-REQ-00178-E3</t>
  </si>
  <si>
    <t>G-REQ-01116</t>
  </si>
  <si>
    <t>SYNTHETIC: Laptop allocation; In progress; asset G-AST-00119</t>
  </si>
  <si>
    <t>G-REQ-00178-E4</t>
  </si>
  <si>
    <t>G-REQ-01117</t>
  </si>
  <si>
    <t>SYNTHETIC: Laptop allocation; Completed; asset G-AST-00119</t>
  </si>
  <si>
    <t>G-REQ-00179-E1</t>
  </si>
  <si>
    <t>G-REQ-01118</t>
  </si>
  <si>
    <t>SYNTHETIC: Laptop return; Pending approval; asset G-AST-00118</t>
  </si>
  <si>
    <t>G-REQ-00179-E2</t>
  </si>
  <si>
    <t>G-REQ-01119</t>
  </si>
  <si>
    <t>SYNTHETIC: Laptop return; Approved; asset G-AST-00118</t>
  </si>
  <si>
    <t>G-REQ-00179-E3</t>
  </si>
  <si>
    <t>SYNTHETIC: Laptop return; In progress; asset G-AST-00118</t>
  </si>
  <si>
    <t>G-REQ-01120</t>
  </si>
  <si>
    <t>G-REQ-00179-E4</t>
  </si>
  <si>
    <t>SYNTHETIC: Laptop return; Completed; asset G-AST-00118</t>
  </si>
  <si>
    <t>G-REQ-01121</t>
  </si>
  <si>
    <t>G-REQ-00180-E1</t>
  </si>
  <si>
    <t>SYNTHETIC: Laptop allocation; Pending approval; asset G-AST-00120</t>
  </si>
  <si>
    <t>G-REQ-00180-E2</t>
  </si>
  <si>
    <t>G-REQ-01122</t>
  </si>
  <si>
    <t>SYNTHETIC: Laptop allocation; Approved; asset G-AST-00120</t>
  </si>
  <si>
    <t>G-REQ-00180-E3</t>
  </si>
  <si>
    <t>G-REQ-01123</t>
  </si>
  <si>
    <t>SYNTHETIC: Laptop allocation; In progress; asset G-AST-00120</t>
  </si>
  <si>
    <t>G-REQ-00180-E4</t>
  </si>
  <si>
    <t>G-REQ-01124</t>
  </si>
  <si>
    <t>SYNTHETIC: Laptop allocation; Completed; asset G-AST-00120</t>
  </si>
  <si>
    <t>G-REQ-00181-E1</t>
  </si>
  <si>
    <t>G-REQ-01125</t>
  </si>
  <si>
    <t>SYNTHETIC: Laptop allocation; Pending approval; asset G-AST-00121</t>
  </si>
  <si>
    <t>G-REQ-00181-E2</t>
  </si>
  <si>
    <t>G-REQ-01126</t>
  </si>
  <si>
    <t>SYNTHETIC: Laptop allocation; Approved; asset G-AST-00121</t>
  </si>
  <si>
    <t>G-REQ-00181-E3</t>
  </si>
  <si>
    <t>G-REQ-01127</t>
  </si>
  <si>
    <t>SYNTHETIC: Laptop allocation; In progress; asset G-AST-00121</t>
  </si>
  <si>
    <t>G-REQ-00181-E4</t>
  </si>
  <si>
    <t>SYNTHETIC: Laptop allocation; Completed; asset G-AST-00121</t>
  </si>
  <si>
    <t>G-REQ-01128</t>
  </si>
  <si>
    <t>G-REQ-00182-E1</t>
  </si>
  <si>
    <t>SYNTHETIC: Laptop repair; Pending approval; asset G-AST-00064</t>
  </si>
  <si>
    <t>G-REQ-01129</t>
  </si>
  <si>
    <t>G-REQ-00182-E2</t>
  </si>
  <si>
    <t>SYNTHETIC: Laptop repair; Approved; asset G-AST-00064</t>
  </si>
  <si>
    <t>G-REQ-01130</t>
  </si>
  <si>
    <t>G-REQ-00182-E3</t>
  </si>
  <si>
    <t>SYNTHETIC: Laptop repair; In progress; asset G-AST-00064</t>
  </si>
  <si>
    <t>G-REQ-01131</t>
  </si>
  <si>
    <t>G-REQ-00182-E4</t>
  </si>
  <si>
    <t>SYNTHETIC: Laptop repair; Completed; asset G-AST-00064</t>
  </si>
  <si>
    <t>G-REQ-00183-E1</t>
  </si>
  <si>
    <t>G-REQ-01132</t>
  </si>
  <si>
    <t>SYNTHETIC: Laptop return; Pending approval; asset G-AST-00105</t>
  </si>
  <si>
    <t>G-REQ-00183-E2</t>
  </si>
  <si>
    <t>G-REQ-01133</t>
  </si>
  <si>
    <t>SYNTHETIC: Laptop return; Approved; asset G-AST-00105</t>
  </si>
  <si>
    <t>G-REQ-01134</t>
  </si>
  <si>
    <t>G-REQ-00183-E3</t>
  </si>
  <si>
    <t>SYNTHETIC: Laptop return; In progress; asset G-AST-00105</t>
  </si>
  <si>
    <t>G-REQ-01135</t>
  </si>
  <si>
    <t>G-REQ-00183-E4</t>
  </si>
  <si>
    <t>SYNTHETIC: Laptop return; Completed; asset G-AST-00105</t>
  </si>
  <si>
    <t>G-REQ-00184-E1</t>
  </si>
  <si>
    <t>G-REQ-01136</t>
  </si>
  <si>
    <t>G-REQ-00184-E2</t>
  </si>
  <si>
    <t>G-REQ-01137</t>
  </si>
  <si>
    <t>G-REQ-00184-E3</t>
  </si>
  <si>
    <t>G-REQ-01138</t>
  </si>
  <si>
    <t>G-REQ-00184-E4</t>
  </si>
  <si>
    <t>G-REQ-00185-E1</t>
  </si>
  <si>
    <t>G-REQ-01139</t>
  </si>
  <si>
    <t>SYNTHETIC: Laptop allocation; Pending approval; asset G-AST-00122</t>
  </si>
  <si>
    <t>G-REQ-00185-E2</t>
  </si>
  <si>
    <t>G-REQ-01140</t>
  </si>
  <si>
    <t>SYNTHETIC: Laptop allocation; Approved; asset G-AST-00122</t>
  </si>
  <si>
    <t>G-REQ-00185-E3</t>
  </si>
  <si>
    <t>G-REQ-01141</t>
  </si>
  <si>
    <t>SYNTHETIC: Laptop allocation; In progress; asset G-AST-00122</t>
  </si>
  <si>
    <t>G-REQ-00185-E4</t>
  </si>
  <si>
    <t>G-REQ-01142</t>
  </si>
  <si>
    <t>SYNTHETIC: Laptop allocation; Completed; asset G-AST-00122</t>
  </si>
  <si>
    <t>G-REQ-00186-E1</t>
  </si>
  <si>
    <t>G-REQ-01143</t>
  </si>
  <si>
    <t>SYNTHETIC: Laptop allocation; Pending approval; asset G-AST-00123</t>
  </si>
  <si>
    <t>G-REQ-00186-E2</t>
  </si>
  <si>
    <t>G-REQ-01144</t>
  </si>
  <si>
    <t>SYNTHETIC: Laptop allocation; Approved; asset G-AST-00123</t>
  </si>
  <si>
    <t>G-REQ-00186-E3</t>
  </si>
  <si>
    <t>G-REQ-01145</t>
  </si>
  <si>
    <t>SYNTHETIC: Laptop allocation; In progress; asset G-AST-00123</t>
  </si>
  <si>
    <t>G-REQ-00186-E4</t>
  </si>
  <si>
    <t>G-REQ-01146</t>
  </si>
  <si>
    <t>SYNTHETIC: Laptop allocation; Completed; asset G-AST-00123</t>
  </si>
  <si>
    <t>G-REQ-00187-E1</t>
  </si>
  <si>
    <t>G-REQ-01147</t>
  </si>
  <si>
    <t>SYNTHETIC: Laptop allocation; Pending approval; asset G-AST-00124</t>
  </si>
  <si>
    <t>G-REQ-00187-E2</t>
  </si>
  <si>
    <t>G-REQ-01148</t>
  </si>
  <si>
    <t>SYNTHETIC: Laptop allocation; Approved; asset G-AST-00124</t>
  </si>
  <si>
    <t>G-REQ-00187-E3</t>
  </si>
  <si>
    <t>SYNTHETIC: Laptop allocation; In progress; asset G-AST-00124</t>
  </si>
  <si>
    <t>G-REQ-01149</t>
  </si>
  <si>
    <t>G-REQ-00187-E4</t>
  </si>
  <si>
    <t>SYNTHETIC: Laptop allocation; Completed; asset G-AST-00124</t>
  </si>
  <si>
    <t>G-REQ-01150</t>
  </si>
  <si>
    <t>G-REQ-00188-E1</t>
  </si>
  <si>
    <t>SYNTHETIC: Laptop repair; Pending approval; asset G-AST-00112</t>
  </si>
  <si>
    <t>G-REQ-00188-E2</t>
  </si>
  <si>
    <t>G-REQ-01151</t>
  </si>
  <si>
    <t>SYNTHETIC: Laptop repair; Approved; asset G-AST-00112</t>
  </si>
  <si>
    <t>G-REQ-00188-E3</t>
  </si>
  <si>
    <t>G-REQ-01152</t>
  </si>
  <si>
    <t>SYNTHETIC: Laptop repair; In progress; asset G-AST-00112</t>
  </si>
  <si>
    <t>G-REQ-00188-E4</t>
  </si>
  <si>
    <t>G-REQ-01153</t>
  </si>
  <si>
    <t>SYNTHETIC: Laptop repair; Completed; asset G-AST-00112</t>
  </si>
  <si>
    <t>G-REQ-00189-E1</t>
  </si>
  <si>
    <t>G-REQ-01154</t>
  </si>
  <si>
    <t>SYNTHETIC: Laptop allocation; Pending approval; asset G-AST-00125</t>
  </si>
  <si>
    <t>G-REQ-00189-E2</t>
  </si>
  <si>
    <t>G-REQ-01155</t>
  </si>
  <si>
    <t>SYNTHETIC: Laptop allocation; Approved; asset G-AST-00125</t>
  </si>
  <si>
    <t>G-REQ-00189-E3</t>
  </si>
  <si>
    <t>G-REQ-01156</t>
  </si>
  <si>
    <t>SYNTHETIC: Laptop allocation; In progress; asset G-AST-00125</t>
  </si>
  <si>
    <t>G-REQ-00189-E4</t>
  </si>
  <si>
    <t>G-REQ-01157</t>
  </si>
  <si>
    <t>SYNTHETIC: Laptop allocation; Completed; asset G-AST-00125</t>
  </si>
  <si>
    <t>G-REQ-00190-E1</t>
  </si>
  <si>
    <t>G-REQ-01158</t>
  </si>
  <si>
    <t>SYNTHETIC: Laptop return; Pending approval; asset G-AST-00004</t>
  </si>
  <si>
    <t>G-REQ-00190-E2</t>
  </si>
  <si>
    <t>SYNTHETIC: Laptop return; Approved; asset G-AST-00004</t>
  </si>
  <si>
    <t>G-REQ-01159</t>
  </si>
  <si>
    <t>G-REQ-00190-E3</t>
  </si>
  <si>
    <t>SYNTHETIC: Laptop return; In progress; asset G-AST-00004</t>
  </si>
  <si>
    <t>G-REQ-00190-E4</t>
  </si>
  <si>
    <t>G-REQ-01160</t>
  </si>
  <si>
    <t>SYNTHETIC: Laptop return; Completed; asset G-AST-00004</t>
  </si>
  <si>
    <t>G-REQ-00191-E1</t>
  </si>
  <si>
    <t>G-REQ-01161</t>
  </si>
  <si>
    <t>SYNTHETIC: Laptop allocation; Pending approval; asset G-AST-00126</t>
  </si>
  <si>
    <t>G-REQ-00191-E2</t>
  </si>
  <si>
    <t>G-REQ-01162</t>
  </si>
  <si>
    <t>SYNTHETIC: Laptop allocation; Approved; asset G-AST-00126</t>
  </si>
  <si>
    <t>G-REQ-00191-E3</t>
  </si>
  <si>
    <t>G-REQ-01163</t>
  </si>
  <si>
    <t>SYNTHETIC: Laptop allocation; In progress; asset G-AST-00126</t>
  </si>
  <si>
    <t>G-REQ-00191-E4</t>
  </si>
  <si>
    <t>SYNTHETIC: Laptop allocation; Completed; asset G-AST-00126</t>
  </si>
  <si>
    <t>G-REQ-01164</t>
  </si>
  <si>
    <t>G-REQ-00192-E1</t>
  </si>
  <si>
    <t>SYNTHETIC: Laptop return; Pending approval; asset G-AST-00014</t>
  </si>
  <si>
    <t>G-REQ-00192-E2</t>
  </si>
  <si>
    <t>G-REQ-01165</t>
  </si>
  <si>
    <t>SYNTHETIC: Laptop return; Approved; asset G-AST-00014</t>
  </si>
  <si>
    <t>G-REQ-00192-E3</t>
  </si>
  <si>
    <t>G-REQ-01166</t>
  </si>
  <si>
    <t>SYNTHETIC: Laptop return; In progress; asset G-AST-00014</t>
  </si>
  <si>
    <t>G-REQ-00192-E4</t>
  </si>
  <si>
    <t>G-REQ-01167</t>
  </si>
  <si>
    <t>SYNTHETIC: Laptop return; Completed; asset G-AST-00014</t>
  </si>
  <si>
    <t>G-REQ-00193-E1</t>
  </si>
  <si>
    <t>G-REQ-01168</t>
  </si>
  <si>
    <t>SYNTHETIC: Laptop repair; Pending approval; asset G-AST-00049</t>
  </si>
  <si>
    <t>G-REQ-00193-E2</t>
  </si>
  <si>
    <t>G-REQ-01169</t>
  </si>
  <si>
    <t>SYNTHETIC: Laptop repair; Approved; asset G-AST-00049</t>
  </si>
  <si>
    <t>G-REQ-00193-E3</t>
  </si>
  <si>
    <t>G-REQ-01170</t>
  </si>
  <si>
    <t>SYNTHETIC: Laptop repair; In progress; asset G-AST-00049</t>
  </si>
  <si>
    <t>G-REQ-00193-E4</t>
  </si>
  <si>
    <t>G-REQ-01171</t>
  </si>
  <si>
    <t>SYNTHETIC: Laptop repair; Completed; asset G-AST-00049</t>
  </si>
  <si>
    <t>G-REQ-00194-E1</t>
  </si>
  <si>
    <t>G-REQ-01172</t>
  </si>
  <si>
    <t>SYNTHETIC: Laptop return; Pending approval; asset G-AST-00066</t>
  </si>
  <si>
    <t>G-REQ-00194-E2</t>
  </si>
  <si>
    <t>G-REQ-01173</t>
  </si>
  <si>
    <t>SYNTHETIC: Laptop return; Rejected; asset G-AST-00066</t>
  </si>
  <si>
    <t>G-REQ-00195-E1</t>
  </si>
  <si>
    <t>G-REQ-01174</t>
  </si>
  <si>
    <t>SYNTHETIC: Laptop allocation; Pending approval; asset G-AST-00127</t>
  </si>
  <si>
    <t>G-REQ-00195-E2</t>
  </si>
  <si>
    <t>G-REQ-01175</t>
  </si>
  <si>
    <t>SYNTHETIC: Laptop allocation; Approved; asset G-AST-00127</t>
  </si>
  <si>
    <t>G-REQ-00195-E3</t>
  </si>
  <si>
    <t>G-REQ-01176</t>
  </si>
  <si>
    <t>SYNTHETIC: Laptop allocation; In progress; asset G-AST-00127</t>
  </si>
  <si>
    <t>G-REQ-00195-E4</t>
  </si>
  <si>
    <t>G-REQ-01177</t>
  </si>
  <si>
    <t>SYNTHETIC: Laptop allocation; Completed; asset G-AST-00127</t>
  </si>
  <si>
    <t>G-REQ-00196-E1</t>
  </si>
  <si>
    <t>G-REQ-01178</t>
  </si>
  <si>
    <t>SYNTHETIC: Laptop allocation; Pending approval; asset G-AST-00128</t>
  </si>
  <si>
    <t>G-REQ-00196-E2</t>
  </si>
  <si>
    <t>G-REQ-01179</t>
  </si>
  <si>
    <t>SYNTHETIC: Laptop allocation; Approved; asset G-AST-00128</t>
  </si>
  <si>
    <t>G-REQ-00196-E3</t>
  </si>
  <si>
    <t>G-REQ-01180</t>
  </si>
  <si>
    <t>SYNTHETIC: Laptop allocation; In progress; asset G-AST-00128</t>
  </si>
  <si>
    <t>G-REQ-00196-E4</t>
  </si>
  <si>
    <t>G-REQ-01181</t>
  </si>
  <si>
    <t>SYNTHETIC: Laptop allocation; Completed; asset G-AST-00128</t>
  </si>
  <si>
    <t>G-REQ-00197-E1</t>
  </si>
  <si>
    <t>G-REQ-01182</t>
  </si>
  <si>
    <t>SYNTHETIC: Laptop allocation; Pending approval; asset G-AST-00129</t>
  </si>
  <si>
    <t>G-REQ-00197-E2</t>
  </si>
  <si>
    <t>SYNTHETIC: Laptop allocation; Approved; asset G-AST-00129</t>
  </si>
  <si>
    <t>G-REQ-01183</t>
  </si>
  <si>
    <t>G-REQ-00197-E3</t>
  </si>
  <si>
    <t>SYNTHETIC: Laptop allocation; In progress; asset G-AST-00129</t>
  </si>
  <si>
    <t>G-REQ-01184</t>
  </si>
  <si>
    <t>G-REQ-00197-E4</t>
  </si>
  <si>
    <t>SYNTHETIC: Laptop allocation; Completed; asset G-AST-00129</t>
  </si>
  <si>
    <t>G-REQ-01185</t>
  </si>
  <si>
    <t>G-REQ-00198-E1</t>
  </si>
  <si>
    <t>SYNTHETIC: Laptop repair; Pending approval; asset G-AST-00033</t>
  </si>
  <si>
    <t>G-REQ-01186</t>
  </si>
  <si>
    <t>G-REQ-00198-E2</t>
  </si>
  <si>
    <t>SYNTHETIC: Laptop repair; Approved; asset G-AST-00033</t>
  </si>
  <si>
    <t>G-REQ-00198-E3</t>
  </si>
  <si>
    <t>G-REQ-01187</t>
  </si>
  <si>
    <t>SYNTHETIC: Laptop repair; In progress; asset G-AST-00033</t>
  </si>
  <si>
    <t>G-REQ-00198-E4</t>
  </si>
  <si>
    <t>G-REQ-01188</t>
  </si>
  <si>
    <t>SYNTHETIC: Laptop repair; Completed; asset G-AST-00033</t>
  </si>
  <si>
    <t>G-REQ-00199-E1</t>
  </si>
  <si>
    <t>G-REQ-01189</t>
  </si>
  <si>
    <t>SYNTHETIC: Laptop allocation; Pending approval; asset G-AST-00130</t>
  </si>
  <si>
    <t>G-REQ-00199-E2</t>
  </si>
  <si>
    <t>G-REQ-01190</t>
  </si>
  <si>
    <t>SYNTHETIC: Laptop allocation; Approved; asset G-AST-00130</t>
  </si>
  <si>
    <t>G-REQ-00199-E3</t>
  </si>
  <si>
    <t>G-REQ-01191</t>
  </si>
  <si>
    <t>SYNTHETIC: Laptop allocation; In progress; asset G-AST-00130</t>
  </si>
  <si>
    <t>G-REQ-00199-E4</t>
  </si>
  <si>
    <t>SYNTHETIC: Laptop allocation; Completed; asset G-AST-00130</t>
  </si>
  <si>
    <t>G-REQ-01192</t>
  </si>
  <si>
    <t>G-REQ-00200-E1</t>
  </si>
  <si>
    <t>SYNTHETIC: Laptop allocation; Pending approval; asset G-AST-00131</t>
  </si>
  <si>
    <t>G-REQ-01193</t>
  </si>
  <si>
    <t>G-REQ-00200-E2</t>
  </si>
  <si>
    <t>SYNTHETIC: Laptop allocation; Approved; asset G-AST-00131</t>
  </si>
  <si>
    <t>G-REQ-01194</t>
  </si>
  <si>
    <t>G-REQ-00200-E3</t>
  </si>
  <si>
    <t>SYNTHETIC: Laptop allocation; In progress; asset G-AST-00131</t>
  </si>
  <si>
    <t>G-REQ-01195</t>
  </si>
  <si>
    <t>G-REQ-00200-E4</t>
  </si>
  <si>
    <t>SYNTHETIC: Laptop allocation; Completed; asset G-AST-00131</t>
  </si>
  <si>
    <t>G-REQ-00201-E1</t>
  </si>
  <si>
    <t>G-REQ-01196</t>
  </si>
  <si>
    <t>SYNTHETIC: Laptop return; Pending approval; asset G-AST-00093</t>
  </si>
  <si>
    <t>G-REQ-00201-E2</t>
  </si>
  <si>
    <t>G-REQ-01197</t>
  </si>
  <si>
    <t>SYNTHETIC: Laptop return; Approved; asset G-AST-00093</t>
  </si>
  <si>
    <t>G-REQ-01198</t>
  </si>
  <si>
    <t>G-REQ-00201-E3</t>
  </si>
  <si>
    <t>G-REQ-01199</t>
  </si>
  <si>
    <t>SYNTHETIC: Laptop return; In progress; asset G-AST-00093</t>
  </si>
  <si>
    <t>G-REQ-00201-E4</t>
  </si>
  <si>
    <t>G-REQ-01200</t>
  </si>
  <si>
    <t>SYNTHETIC: Laptop return; Completed; asset G-AST-00093</t>
  </si>
  <si>
    <t>G-REQ-01201</t>
  </si>
  <si>
    <t>G-REQ-00202-E1</t>
  </si>
  <si>
    <t>SYNTHETIC: Laptop repair; Pending approval; asset G-AST-00115</t>
  </si>
  <si>
    <t>G-REQ-01202</t>
  </si>
  <si>
    <t>G-REQ-00202-E2</t>
  </si>
  <si>
    <t>SYNTHETIC: Laptop repair; Approved; asset G-AST-00115</t>
  </si>
  <si>
    <t>G-REQ-00202-E3</t>
  </si>
  <si>
    <t>G-REQ-01203</t>
  </si>
  <si>
    <t>SYNTHETIC: Laptop repair; In progress; asset G-AST-00115</t>
  </si>
  <si>
    <t>G-REQ-00202-E4</t>
  </si>
  <si>
    <t>G-REQ-01204</t>
  </si>
  <si>
    <t>SYNTHETIC: Laptop repair; Completed; asset G-AST-00115</t>
  </si>
  <si>
    <t>G-REQ-00203-E1</t>
  </si>
  <si>
    <t>G-REQ-01205</t>
  </si>
  <si>
    <t>SYNTHETIC: Laptop allocation; Pending approval; asset G-AST-00132</t>
  </si>
  <si>
    <t>G-REQ-00203-E2</t>
  </si>
  <si>
    <t>G-REQ-01206</t>
  </si>
  <si>
    <t>SYNTHETIC: Laptop allocation; Approved; asset G-AST-00132</t>
  </si>
  <si>
    <t>G-REQ-00203-E3</t>
  </si>
  <si>
    <t>G-REQ-01207</t>
  </si>
  <si>
    <t>SYNTHETIC: Laptop allocation; In progress; asset G-AST-00132</t>
  </si>
  <si>
    <t>G-REQ-00203-E4</t>
  </si>
  <si>
    <t>G-REQ-01208</t>
  </si>
  <si>
    <t>SYNTHETIC: Laptop allocation; Completed; asset G-AST-00132</t>
  </si>
  <si>
    <t>G-REQ-00204-E1</t>
  </si>
  <si>
    <t>G-REQ-01209</t>
  </si>
  <si>
    <t>SYNTHETIC: Laptop return; Pending approval; asset G-AST-00018</t>
  </si>
  <si>
    <t>G-REQ-00204-E2</t>
  </si>
  <si>
    <t>G-REQ-01210</t>
  </si>
  <si>
    <t>SYNTHETIC: Laptop return; Approved; asset G-AST-00018</t>
  </si>
  <si>
    <t>G-REQ-00204-E3</t>
  </si>
  <si>
    <t>SYNTHETIC: Laptop return; In progress; asset G-AST-00018</t>
  </si>
  <si>
    <t>G-REQ-01211</t>
  </si>
  <si>
    <t>G-REQ-00204-E4</t>
  </si>
  <si>
    <t>SYNTHETIC: Laptop return; Completed; asset G-AST-00018</t>
  </si>
  <si>
    <t>G-REQ-01212</t>
  </si>
  <si>
    <t>G-REQ-00205-E1</t>
  </si>
  <si>
    <t>SYNTHETIC: Laptop allocation; Pending approval; asset G-AST-00133</t>
  </si>
  <si>
    <t>G-REQ-01213</t>
  </si>
  <si>
    <t>G-REQ-00205-E2</t>
  </si>
  <si>
    <t>G-REQ-01214</t>
  </si>
  <si>
    <t>SYNTHETIC: Laptop allocation; Approved; asset G-AST-00133</t>
  </si>
  <si>
    <t>G-REQ-00205-E3</t>
  </si>
  <si>
    <t>SYNTHETIC: Laptop allocation; In progress; asset G-AST-00133</t>
  </si>
  <si>
    <t>G-REQ-01215</t>
  </si>
  <si>
    <t>G-REQ-00205-E4</t>
  </si>
  <si>
    <t>SYNTHETIC: Laptop allocation; Completed; asset G-AST-00133</t>
  </si>
  <si>
    <t>G-REQ-01216</t>
  </si>
  <si>
    <t>G-REQ-00206-E1</t>
  </si>
  <si>
    <t>G-REQ-00206-E2</t>
  </si>
  <si>
    <t>G-REQ-01217</t>
  </si>
  <si>
    <t>G-REQ-00207-E1</t>
  </si>
  <si>
    <t>G-REQ-01218</t>
  </si>
  <si>
    <t>SYNTHETIC: Laptop repair; Pending approval; asset G-AST-00026</t>
  </si>
  <si>
    <t>G-REQ-00207-E2</t>
  </si>
  <si>
    <t>G-REQ-01219</t>
  </si>
  <si>
    <t>SYNTHETIC: Laptop repair; Approved; asset G-AST-00026</t>
  </si>
  <si>
    <t>G-REQ-00207-E3</t>
  </si>
  <si>
    <t>G-REQ-01220</t>
  </si>
  <si>
    <t>SYNTHETIC: Laptop repair; In progress; asset G-AST-00026</t>
  </si>
  <si>
    <t>G-REQ-00207-E4</t>
  </si>
  <si>
    <t>G-REQ-01221</t>
  </si>
  <si>
    <t>SYNTHETIC: Laptop repair; Completed; asset G-AST-00026</t>
  </si>
  <si>
    <t>G-REQ-00208-E1</t>
  </si>
  <si>
    <t>G-REQ-01222</t>
  </si>
  <si>
    <t>SYNTHETIC: Laptop allocation; Pending approval; asset G-AST-00134</t>
  </si>
  <si>
    <t>G-REQ-00208-E2</t>
  </si>
  <si>
    <t>G-REQ-01223</t>
  </si>
  <si>
    <t>SYNTHETIC: Laptop allocation; Approved; asset G-AST-00134</t>
  </si>
  <si>
    <t>G-REQ-00208-E3</t>
  </si>
  <si>
    <t>G-REQ-01224</t>
  </si>
  <si>
    <t>SYNTHETIC: Laptop allocation; In progress; asset G-AST-00134</t>
  </si>
  <si>
    <t>G-REQ-00208-E4</t>
  </si>
  <si>
    <t>G-REQ-01225</t>
  </si>
  <si>
    <t>SYNTHETIC: Laptop allocation; Completed; asset G-AST-00134</t>
  </si>
  <si>
    <t>G-REQ-00209-E1</t>
  </si>
  <si>
    <t>G-REQ-01226</t>
  </si>
  <si>
    <t>SYNTHETIC: Laptop return; Pending approval; asset G-AST-00092</t>
  </si>
  <si>
    <t>G-REQ-00209-E2</t>
  </si>
  <si>
    <t>G-REQ-01227</t>
  </si>
  <si>
    <t>SYNTHETIC: Laptop return; Approved; asset G-AST-00092</t>
  </si>
  <si>
    <t>G-REQ-00209-E3</t>
  </si>
  <si>
    <t>G-REQ-01228</t>
  </si>
  <si>
    <t>SYNTHETIC: Laptop return; In progress; asset G-AST-00092</t>
  </si>
  <si>
    <t>G-REQ-00209-E4</t>
  </si>
  <si>
    <t>G-REQ-01229</t>
  </si>
  <si>
    <t>SYNTHETIC: Laptop return; Completed; asset G-AST-00092</t>
  </si>
  <si>
    <t>G-REQ-00210-E1</t>
  </si>
  <si>
    <t>SYNTHETIC: Laptop repair; Pending approval; asset G-AST-00133</t>
  </si>
  <si>
    <t>G-REQ-01230</t>
  </si>
  <si>
    <t>G-REQ-00210-E2</t>
  </si>
  <si>
    <t>SYNTHETIC: Laptop repair; Approved; asset G-AST-00133</t>
  </si>
  <si>
    <t>G-REQ-01231</t>
  </si>
  <si>
    <t>G-REQ-00210-E3</t>
  </si>
  <si>
    <t>SYNTHETIC: Laptop repair; In progress; asset G-AST-00133</t>
  </si>
  <si>
    <t>G-REQ-01232</t>
  </si>
  <si>
    <t>G-REQ-00210-E4</t>
  </si>
  <si>
    <t>SYNTHETIC: Laptop repair; Completed; asset G-AST-00133</t>
  </si>
  <si>
    <t>G-REQ-01233</t>
  </si>
  <si>
    <t>G-REQ-00211-E1</t>
  </si>
  <si>
    <t>G-REQ-00211-E2</t>
  </si>
  <si>
    <t>G-REQ-01234</t>
  </si>
  <si>
    <t>G-REQ-00212-E1</t>
  </si>
  <si>
    <t>G-REQ-01235</t>
  </si>
  <si>
    <t>SYNTHETIC: Laptop return; Pending approval; asset G-AST-00099</t>
  </si>
  <si>
    <t>G-REQ-00212-E2</t>
  </si>
  <si>
    <t>G-REQ-01236</t>
  </si>
  <si>
    <t>SYNTHETIC: Laptop return; Approved; asset G-AST-00099</t>
  </si>
  <si>
    <t>G-REQ-00212-E3</t>
  </si>
  <si>
    <t>G-REQ-01237</t>
  </si>
  <si>
    <t>SYNTHETIC: Laptop return; In progress; asset G-AST-00099</t>
  </si>
  <si>
    <t>G-REQ-00212-E4</t>
  </si>
  <si>
    <t>G-REQ-01238</t>
  </si>
  <si>
    <t>SYNTHETIC: Laptop return; Completed; asset G-AST-00099</t>
  </si>
  <si>
    <t>G-REQ-00213-E1</t>
  </si>
  <si>
    <t>G-REQ-01239</t>
  </si>
  <si>
    <t>SYNTHETIC: Laptop allocation; Pending approval; asset G-AST-00135</t>
  </si>
  <si>
    <t>G-REQ-00213-E2</t>
  </si>
  <si>
    <t>G-REQ-01240</t>
  </si>
  <si>
    <t>SYNTHETIC: Laptop allocation; Approved; asset G-AST-00135</t>
  </si>
  <si>
    <t>G-REQ-00213-E3</t>
  </si>
  <si>
    <t>SYNTHETIC: Laptop allocation; In progress; asset G-AST-00135</t>
  </si>
  <si>
    <t>G-REQ-01241</t>
  </si>
  <si>
    <t>G-REQ-00213-E4</t>
  </si>
  <si>
    <t>SYNTHETIC: Laptop allocation; Completed; asset G-AST-00135</t>
  </si>
  <si>
    <t>G-REQ-00214-E1</t>
  </si>
  <si>
    <t>G-REQ-01242</t>
  </si>
  <si>
    <t>SYNTHETIC: Laptop return; Pending approval; asset G-AST-00020</t>
  </si>
  <si>
    <t>G-REQ-00214-E2</t>
  </si>
  <si>
    <t>G-REQ-01243</t>
  </si>
  <si>
    <t>SYNTHETIC: Laptop return; Approved; asset G-AST-00020</t>
  </si>
  <si>
    <t>G-REQ-00214-E3</t>
  </si>
  <si>
    <t>G-REQ-01244</t>
  </si>
  <si>
    <t>SYNTHETIC: Laptop return; In progress; asset G-AST-00020</t>
  </si>
  <si>
    <t>G-REQ-00214-E4</t>
  </si>
  <si>
    <t>SYNTHETIC: Laptop return; Completed; asset G-AST-00020</t>
  </si>
  <si>
    <t>G-REQ-01245</t>
  </si>
  <si>
    <t>G-REQ-00215-E1</t>
  </si>
  <si>
    <t>G-REQ-01246</t>
  </si>
  <si>
    <t>SYNTHETIC: Laptop return; Pending approval; asset G-AST-00027</t>
  </si>
  <si>
    <t>G-REQ-00215-E2</t>
  </si>
  <si>
    <t>G-REQ-01247</t>
  </si>
  <si>
    <t>SYNTHETIC: Laptop return; Approved; asset G-AST-00027</t>
  </si>
  <si>
    <t>G-REQ-00215-E3</t>
  </si>
  <si>
    <t>G-REQ-01248</t>
  </si>
  <si>
    <t>SYNTHETIC: Laptop return; In progress; asset G-AST-00027</t>
  </si>
  <si>
    <t>G-REQ-00215-E4</t>
  </si>
  <si>
    <t>G-REQ-01249</t>
  </si>
  <si>
    <t>SYNTHETIC: Laptop return; Completed; asset G-AST-00027</t>
  </si>
  <si>
    <t>G-REQ-00216-E1</t>
  </si>
  <si>
    <t>SYNTHETIC: Laptop repair; Pending approval; asset G-AST-00132</t>
  </si>
  <si>
    <t>G-REQ-01250</t>
  </si>
  <si>
    <t>G-REQ-00216-E2</t>
  </si>
  <si>
    <t>SYNTHETIC: Laptop repair; Approved; asset G-AST-00132</t>
  </si>
  <si>
    <t>G-REQ-01251</t>
  </si>
  <si>
    <t>G-REQ-00216-E3</t>
  </si>
  <si>
    <t>SYNTHETIC: Laptop repair; In progress; asset G-AST-00132</t>
  </si>
  <si>
    <t>G-REQ-00216-E4</t>
  </si>
  <si>
    <t>G-REQ-01252</t>
  </si>
  <si>
    <t>SYNTHETIC: Laptop repair; Completed; asset G-AST-00132</t>
  </si>
  <si>
    <t>G-REQ-00217-E1</t>
  </si>
  <si>
    <t>G-REQ-01253</t>
  </si>
  <si>
    <t>SYNTHETIC: Laptop allocation; Pending approval; asset G-AST-00136</t>
  </si>
  <si>
    <t>G-REQ-00217-E2</t>
  </si>
  <si>
    <t>G-REQ-01254</t>
  </si>
  <si>
    <t>SYNTHETIC: Laptop allocation; Approved; asset G-AST-00136</t>
  </si>
  <si>
    <t>G-REQ-00217-E3</t>
  </si>
  <si>
    <t>G-REQ-01255</t>
  </si>
  <si>
    <t>SYNTHETIC: Laptop allocation; In progress; asset G-AST-00136</t>
  </si>
  <si>
    <t>G-REQ-00217-E4</t>
  </si>
  <si>
    <t>G-REQ-01256</t>
  </si>
  <si>
    <t>SYNTHETIC: Laptop allocation; Completed; asset G-AST-00136</t>
  </si>
  <si>
    <t>G-REQ-00218-E1</t>
  </si>
  <si>
    <t>G-REQ-01257</t>
  </si>
  <si>
    <t>SYNTHETIC: Laptop repair; Pending approval; asset G-AST-00017</t>
  </si>
  <si>
    <t>G-REQ-00218-E2</t>
  </si>
  <si>
    <t>G-REQ-01258</t>
  </si>
  <si>
    <t>SYNTHETIC: Laptop repair; Approved; asset G-AST-00017</t>
  </si>
  <si>
    <t>G-REQ-00218-E3</t>
  </si>
  <si>
    <t>G-REQ-01259</t>
  </si>
  <si>
    <t>SYNTHETIC: Laptop repair; In progress; asset G-AST-00017</t>
  </si>
  <si>
    <t>G-REQ-00218-E4</t>
  </si>
  <si>
    <t>G-REQ-01260</t>
  </si>
  <si>
    <t>SYNTHETIC: Laptop repair; Completed; asset G-AST-00017</t>
  </si>
  <si>
    <t>G-REQ-00219-E1</t>
  </si>
  <si>
    <t>G-REQ-01261</t>
  </si>
  <si>
    <t>SYNTHETIC: Laptop allocation; Pending approval; asset G-AST-00137</t>
  </si>
  <si>
    <t>G-REQ-00219-E2</t>
  </si>
  <si>
    <t>G-REQ-01262</t>
  </si>
  <si>
    <t>SYNTHETIC: Laptop allocation; Approved; asset G-AST-00137</t>
  </si>
  <si>
    <t>G-REQ-00219-E3</t>
  </si>
  <si>
    <t>SYNTHETIC: Laptop allocation; In progress; asset G-AST-00137</t>
  </si>
  <si>
    <t>G-REQ-01263</t>
  </si>
  <si>
    <t>G-REQ-00219-E4</t>
  </si>
  <si>
    <t>SYNTHETIC: Laptop allocation; Completed; asset G-AST-00137</t>
  </si>
  <si>
    <t>G-REQ-00220-E1</t>
  </si>
  <si>
    <t>G-REQ-01264</t>
  </si>
  <si>
    <t>SYNTHETIC: Laptop allocation; Pending approval; asset G-AST-00138</t>
  </si>
  <si>
    <t>G-REQ-00220-E2</t>
  </si>
  <si>
    <t>G-REQ-01265</t>
  </si>
  <si>
    <t>SYNTHETIC: Laptop allocation; Approved; asset G-AST-00138</t>
  </si>
  <si>
    <t>G-REQ-00220-E3</t>
  </si>
  <si>
    <t>G-REQ-01266</t>
  </si>
  <si>
    <t>SYNTHETIC: Laptop allocation; In progress; asset G-AST-00138</t>
  </si>
  <si>
    <t>G-REQ-00220-E4</t>
  </si>
  <si>
    <t>SYNTHETIC: Laptop allocation; Completed; asset G-AST-00138</t>
  </si>
  <si>
    <t>G-REQ-01267</t>
  </si>
  <si>
    <t>G-REQ-00221-E1</t>
  </si>
  <si>
    <t>SYNTHETIC: Laptop allocation; Pending approval; asset G-AST-00139</t>
  </si>
  <si>
    <t>G-REQ-01268</t>
  </si>
  <si>
    <t>G-REQ-00221-E2</t>
  </si>
  <si>
    <t>SYNTHETIC: Laptop allocation; Approved; asset G-AST-00139</t>
  </si>
  <si>
    <t>G-REQ-01269</t>
  </si>
  <si>
    <t>G-REQ-00221-E3</t>
  </si>
  <si>
    <t>SYNTHETIC: Laptop allocation; In progress; asset G-AST-00139</t>
  </si>
  <si>
    <t>G-REQ-01270</t>
  </si>
  <si>
    <t>G-REQ-00221-E4</t>
  </si>
  <si>
    <t>SYNTHETIC: Laptop allocation; Completed; asset G-AST-00139</t>
  </si>
  <si>
    <t>G-REQ-01271</t>
  </si>
  <si>
    <t>G-REQ-00222-E1</t>
  </si>
  <si>
    <t>G-REQ-01272</t>
  </si>
  <si>
    <t>G-REQ-00222-E2</t>
  </si>
  <si>
    <t>G-REQ-01273</t>
  </si>
  <si>
    <t>G-REQ-00223-E1</t>
  </si>
  <si>
    <t>G-REQ-00223-E2</t>
  </si>
  <si>
    <t>G-REQ-01274</t>
  </si>
  <si>
    <t>G-REQ-00223-E3</t>
  </si>
  <si>
    <t>G-REQ-01275</t>
  </si>
  <si>
    <t>G-REQ-00223-E4</t>
  </si>
  <si>
    <t>G-REQ-01276</t>
  </si>
  <si>
    <t>G-REQ-00224-E1</t>
  </si>
  <si>
    <t>G-REQ-01277</t>
  </si>
  <si>
    <t>SYNTHETIC: Laptop allocation; Pending approval; asset G-AST-00140</t>
  </si>
  <si>
    <t>G-REQ-00224-E2</t>
  </si>
  <si>
    <t>G-REQ-01278</t>
  </si>
  <si>
    <t>SYNTHETIC: Laptop allocation; Approved; asset G-AST-00140</t>
  </si>
  <si>
    <t>G-REQ-00224-E3</t>
  </si>
  <si>
    <t>G-REQ-01279</t>
  </si>
  <si>
    <t>SYNTHETIC: Laptop allocation; In progress; asset G-AST-00140</t>
  </si>
  <si>
    <t>G-REQ-00224-E4</t>
  </si>
  <si>
    <t>G-REQ-01280</t>
  </si>
  <si>
    <t>SYNTHETIC: Laptop allocation; Completed; asset G-AST-00140</t>
  </si>
  <si>
    <t>G-REQ-00225-E1</t>
  </si>
  <si>
    <t>G-REQ-01281</t>
  </si>
  <si>
    <t>SYNTHETIC: Laptop allocation; Pending approval; asset G-AST-00141</t>
  </si>
  <si>
    <t>G-REQ-00225-E2</t>
  </si>
  <si>
    <t>G-REQ-01282</t>
  </si>
  <si>
    <t>SYNTHETIC: Laptop allocation; Approved; asset G-AST-00141</t>
  </si>
  <si>
    <t>G-REQ-00225-E3</t>
  </si>
  <si>
    <t>G-REQ-01283</t>
  </si>
  <si>
    <t>SYNTHETIC: Laptop allocation; In progress; asset G-AST-00141</t>
  </si>
  <si>
    <t>G-REQ-00225-E4</t>
  </si>
  <si>
    <t>G-REQ-01284</t>
  </si>
  <si>
    <t>SYNTHETIC: Laptop allocation; Completed; asset G-AST-00141</t>
  </si>
  <si>
    <t>G-REQ-00226-E1</t>
  </si>
  <si>
    <t>G-REQ-01285</t>
  </si>
  <si>
    <t>SYNTHETIC: Laptop allocation; Pending approval; asset G-AST-00142</t>
  </si>
  <si>
    <t>G-REQ-00226-E2</t>
  </si>
  <si>
    <t>G-REQ-01286</t>
  </si>
  <si>
    <t>SYNTHETIC: Laptop allocation; Approved; asset G-AST-00142</t>
  </si>
  <si>
    <t>G-REQ-00226-E3</t>
  </si>
  <si>
    <t>G-REQ-01287</t>
  </si>
  <si>
    <t>SYNTHETIC: Laptop allocation; In progress; asset G-AST-00142</t>
  </si>
  <si>
    <t>G-REQ-00226-E4</t>
  </si>
  <si>
    <t>G-REQ-01288</t>
  </si>
  <si>
    <t>SYNTHETIC: Laptop allocation; Completed; asset G-AST-00142</t>
  </si>
  <si>
    <t>G-REQ-00227-E1</t>
  </si>
  <si>
    <t>SYNTHETIC: Laptop return; Pending approval; asset G-AST-00079</t>
  </si>
  <si>
    <t>G-REQ-01289</t>
  </si>
  <si>
    <t>G-REQ-00227-E2</t>
  </si>
  <si>
    <t>SYNTHETIC: Laptop return; Approved; asset G-AST-00079</t>
  </si>
  <si>
    <t>G-REQ-00227-E3</t>
  </si>
  <si>
    <t>G-REQ-01290</t>
  </si>
  <si>
    <t>SYNTHETIC: Laptop return; In progress; asset G-AST-00079</t>
  </si>
  <si>
    <t>G-REQ-00227-E4</t>
  </si>
  <si>
    <t>G-REQ-01291</t>
  </si>
  <si>
    <t>SYNTHETIC: Laptop return; Completed; asset G-AST-00079</t>
  </si>
  <si>
    <t>G-REQ-00228-E1</t>
  </si>
  <si>
    <t>G-REQ-01292</t>
  </si>
  <si>
    <t>SYNTHETIC: Laptop allocation; Pending approval; asset G-AST-00143</t>
  </si>
  <si>
    <t>G-REQ-00228-E2</t>
  </si>
  <si>
    <t>SYNTHETIC: Laptop allocation; Approved; asset G-AST-00143</t>
  </si>
  <si>
    <t>G-REQ-01293</t>
  </si>
  <si>
    <t>G-REQ-00228-E3</t>
  </si>
  <si>
    <t>SYNTHETIC: Laptop allocation; In progress; asset G-AST-00143</t>
  </si>
  <si>
    <t>G-REQ-00228-E4</t>
  </si>
  <si>
    <t>G-REQ-01294</t>
  </si>
  <si>
    <t>SYNTHETIC: Laptop allocation; Completed; asset G-AST-00143</t>
  </si>
  <si>
    <t>G-REQ-00229-E1</t>
  </si>
  <si>
    <t>G-REQ-01295</t>
  </si>
  <si>
    <t>SYNTHETIC: Laptop allocation; Pending approval; asset G-AST-00144</t>
  </si>
  <si>
    <t>G-REQ-00229-E2</t>
  </si>
  <si>
    <t>G-REQ-01296</t>
  </si>
  <si>
    <t>SYNTHETIC: Laptop allocation; Approved; asset G-AST-00144</t>
  </si>
  <si>
    <t>G-REQ-00229-E3</t>
  </si>
  <si>
    <t>G-REQ-01297</t>
  </si>
  <si>
    <t>SYNTHETIC: Laptop allocation; In progress; asset G-AST-00144</t>
  </si>
  <si>
    <t>G-REQ-00229-E4</t>
  </si>
  <si>
    <t>G-REQ-01298</t>
  </si>
  <si>
    <t>SYNTHETIC: Laptop allocation; Completed; asset G-AST-00144</t>
  </si>
  <si>
    <t>G-REQ-00230-E1</t>
  </si>
  <si>
    <t>G-REQ-01299</t>
  </si>
  <si>
    <t>SYNTHETIC: Laptop return; Pending approval; asset G-AST-00047</t>
  </si>
  <si>
    <t>G-REQ-00230-E2</t>
  </si>
  <si>
    <t>G-REQ-01300</t>
  </si>
  <si>
    <t>SYNTHETIC: Laptop return; Rejected; asset G-AST-00047</t>
  </si>
  <si>
    <t>G-REQ-00231-E1</t>
  </si>
  <si>
    <t>G-REQ-01301</t>
  </si>
  <si>
    <t>SYNTHETIC: Laptop allocation; Pending approval; asset G-AST-00145</t>
  </si>
  <si>
    <t>G-REQ-00231-E2</t>
  </si>
  <si>
    <t>G-REQ-01302</t>
  </si>
  <si>
    <t>SYNTHETIC: Laptop allocation; Approved; asset G-AST-00145</t>
  </si>
  <si>
    <t>G-REQ-00231-E3</t>
  </si>
  <si>
    <t>G-REQ-01303</t>
  </si>
  <si>
    <t>SYNTHETIC: Laptop allocation; In progress; asset G-AST-00145</t>
  </si>
  <si>
    <t>G-REQ-00231-E4</t>
  </si>
  <si>
    <t>G-REQ-01304</t>
  </si>
  <si>
    <t>SYNTHETIC: Laptop allocation; Completed; asset G-AST-00145</t>
  </si>
  <si>
    <t>G-REQ-00232-E1</t>
  </si>
  <si>
    <t>G-REQ-01305</t>
  </si>
  <si>
    <t>SYNTHETIC: Laptop repair; Pending approval; asset G-AST-00016</t>
  </si>
  <si>
    <t>G-REQ-00232-E2</t>
  </si>
  <si>
    <t>SYNTHETIC: Laptop repair; Approved; asset G-AST-00016</t>
  </si>
  <si>
    <t>G-REQ-01306</t>
  </si>
  <si>
    <t>G-REQ-00232-E3</t>
  </si>
  <si>
    <t>SYNTHETIC: Laptop repair; In progress; asset G-AST-00016</t>
  </si>
  <si>
    <t>G-REQ-01307</t>
  </si>
  <si>
    <t>G-REQ-00232-E4</t>
  </si>
  <si>
    <t>SYNTHETIC: Laptop repair; Completed; asset G-AST-00016</t>
  </si>
  <si>
    <t>G-REQ-00233-E1</t>
  </si>
  <si>
    <t>G-REQ-01308</t>
  </si>
  <si>
    <t>SYNTHETIC: Laptop return; Pending approval; asset G-AST-00145</t>
  </si>
  <si>
    <t>G-REQ-00233-E2</t>
  </si>
  <si>
    <t>SYNTHETIC: Laptop return; Approved; asset G-AST-00145</t>
  </si>
  <si>
    <t>G-REQ-00233-E3</t>
  </si>
  <si>
    <t>SYNTHETIC: Laptop return; In progress; asset G-AST-00145</t>
  </si>
  <si>
    <t>G-REQ-00233-E4</t>
  </si>
  <si>
    <t>SYNTHETIC: Laptop return; Completed; asset G-AST-00145</t>
  </si>
  <si>
    <t>G-REQ-01309</t>
  </si>
  <si>
    <t>G-REQ-00234-E1</t>
  </si>
  <si>
    <t>SYNTHETIC: Laptop return; Pending approval; asset G-AST-00106</t>
  </si>
  <si>
    <t>G-REQ-01310</t>
  </si>
  <si>
    <t>G-REQ-00234-E2</t>
  </si>
  <si>
    <t>G-REQ-01311</t>
  </si>
  <si>
    <t>SYNTHETIC: Laptop return; Approved; asset G-AST-00106</t>
  </si>
  <si>
    <t>G-REQ-00234-E3</t>
  </si>
  <si>
    <t>SYNTHETIC: Laptop return; In progress; asset G-AST-00106</t>
  </si>
  <si>
    <t>G-REQ-01312</t>
  </si>
  <si>
    <t>G-REQ-00234-E4</t>
  </si>
  <si>
    <t>SYNTHETIC: Laptop return; Completed; asset G-AST-00106</t>
  </si>
  <si>
    <t>G-REQ-00235-E1</t>
  </si>
  <si>
    <t>G-REQ-01313</t>
  </si>
  <si>
    <t>SYNTHETIC: Laptop allocation; Pending approval; asset G-AST-00146</t>
  </si>
  <si>
    <t>G-REQ-00235-E2</t>
  </si>
  <si>
    <t>G-REQ-01314</t>
  </si>
  <si>
    <t>SYNTHETIC: Laptop allocation; Approved; asset G-AST-00146</t>
  </si>
  <si>
    <t>G-REQ-00235-E3</t>
  </si>
  <si>
    <t>SYNTHETIC: Laptop allocation; In progress; asset G-AST-00146</t>
  </si>
  <si>
    <t>G-REQ-01315</t>
  </si>
  <si>
    <t>G-REQ-00235-E4</t>
  </si>
  <si>
    <t>SYNTHETIC: Laptop allocation; Completed; asset G-AST-00146</t>
  </si>
  <si>
    <t>G-REQ-00236-E1</t>
  </si>
  <si>
    <t>G-REQ-01316</t>
  </si>
  <si>
    <t>SYNTHETIC: Laptop allocation; Pending approval; asset G-AST-00147</t>
  </si>
  <si>
    <t>G-REQ-00236-E2</t>
  </si>
  <si>
    <t>G-REQ-01317</t>
  </si>
  <si>
    <t>SYNTHETIC: Laptop allocation; Approved; asset G-AST-00147</t>
  </si>
  <si>
    <t>G-REQ-00236-E3</t>
  </si>
  <si>
    <t>G-REQ-01318</t>
  </si>
  <si>
    <t>SYNTHETIC: Laptop allocation; In progress; asset G-AST-00147</t>
  </si>
  <si>
    <t>G-REQ-00236-E4</t>
  </si>
  <si>
    <t>SYNTHETIC: Laptop allocation; Completed; asset G-AST-00147</t>
  </si>
  <si>
    <t>G-REQ-01319</t>
  </si>
  <si>
    <t>G-REQ-00237-E1</t>
  </si>
  <si>
    <t>G-REQ-01320</t>
  </si>
  <si>
    <t>SYNTHETIC: Laptop allocation; Pending approval; asset G-AST-00148</t>
  </si>
  <si>
    <t>G-REQ-00237-E2</t>
  </si>
  <si>
    <t>G-REQ-01321</t>
  </si>
  <si>
    <t>SYNTHETIC: Laptop allocation; Approved; asset G-AST-00148</t>
  </si>
  <si>
    <t>G-REQ-00237-E3</t>
  </si>
  <si>
    <t>G-REQ-01322</t>
  </si>
  <si>
    <t>SYNTHETIC: Laptop allocation; In progress; asset G-AST-00148</t>
  </si>
  <si>
    <t>G-REQ-00237-E4</t>
  </si>
  <si>
    <t>G-REQ-01323</t>
  </si>
  <si>
    <t>SYNTHETIC: Laptop allocation; Completed; asset G-AST-00148</t>
  </si>
  <si>
    <t>G-REQ-00238-E1</t>
  </si>
  <si>
    <t>G-REQ-01324</t>
  </si>
  <si>
    <t>SYNTHETIC: Laptop allocation; Pending approval; asset G-AST-00149</t>
  </si>
  <si>
    <t>G-REQ-00238-E2</t>
  </si>
  <si>
    <t>G-REQ-01325</t>
  </si>
  <si>
    <t>SYNTHETIC: Laptop allocation; Approved; asset G-AST-00149</t>
  </si>
  <si>
    <t>G-REQ-00238-E3</t>
  </si>
  <si>
    <t>G-REQ-01326</t>
  </si>
  <si>
    <t>SYNTHETIC: Laptop allocation; In progress; asset G-AST-00149</t>
  </si>
  <si>
    <t>G-REQ-00238-E4</t>
  </si>
  <si>
    <t>G-REQ-01327</t>
  </si>
  <si>
    <t>SYNTHETIC: Laptop allocation; Completed; asset G-AST-00149</t>
  </si>
  <si>
    <t>G-REQ-00239-E1</t>
  </si>
  <si>
    <t>G-REQ-01328</t>
  </si>
  <si>
    <t>SYNTHETIC: Laptop allocation; Pending approval; asset G-AST-00150</t>
  </si>
  <si>
    <t>G-REQ-00239-E2</t>
  </si>
  <si>
    <t>G-REQ-01329</t>
  </si>
  <si>
    <t>SYNTHETIC: Laptop allocation; Approved; asset G-AST-00150</t>
  </si>
  <si>
    <t>G-REQ-00239-E3</t>
  </si>
  <si>
    <t>G-REQ-01330</t>
  </si>
  <si>
    <t>SYNTHETIC: Laptop allocation; In progress; asset G-AST-00150</t>
  </si>
  <si>
    <t>G-REQ-00239-E4</t>
  </si>
  <si>
    <t>G-REQ-01331</t>
  </si>
  <si>
    <t>SYNTHETIC: Laptop allocation; Completed; asset G-AST-00150</t>
  </si>
  <si>
    <t>G-REQ-00240-E1</t>
  </si>
  <si>
    <t>G-REQ-01332</t>
  </si>
  <si>
    <t>SYNTHETIC: Laptop allocation; Pending approval; asset G-AST-00151</t>
  </si>
  <si>
    <t>G-REQ-00240-E2</t>
  </si>
  <si>
    <t>G-REQ-01333</t>
  </si>
  <si>
    <t>SYNTHETIC: Laptop allocation; Approved; asset G-AST-00151</t>
  </si>
  <si>
    <t>G-REQ-00240-E3</t>
  </si>
  <si>
    <t>G-REQ-01334</t>
  </si>
  <si>
    <t>SYNTHETIC: Laptop allocation; In progress; asset G-AST-00151</t>
  </si>
  <si>
    <t>G-REQ-00240-E4</t>
  </si>
  <si>
    <t>G-REQ-01335</t>
  </si>
  <si>
    <t>SYNTHETIC: Laptop allocation; Completed; asset G-AST-00151</t>
  </si>
  <si>
    <t>G-REQ-00241-E1</t>
  </si>
  <si>
    <t>SYNTHETIC: Laptop allocation; Pending approval; asset G-AST-00152</t>
  </si>
  <si>
    <t>G-REQ-01336</t>
  </si>
  <si>
    <t>G-REQ-00241-E2</t>
  </si>
  <si>
    <t>SYNTHETIC: Laptop allocation; Approved; asset G-AST-00152</t>
  </si>
  <si>
    <t>G-REQ-00241-E3</t>
  </si>
  <si>
    <t>G-REQ-01337</t>
  </si>
  <si>
    <t>SYNTHETIC: Laptop allocation; In progress; asset G-AST-00152</t>
  </si>
  <si>
    <t>G-REQ-00241-E4</t>
  </si>
  <si>
    <t>G-REQ-01338</t>
  </si>
  <si>
    <t>SYNTHETIC: Laptop allocation; Completed; asset G-AST-00152</t>
  </si>
  <si>
    <t>G-REQ-00242-E1</t>
  </si>
  <si>
    <t>G-REQ-01339</t>
  </si>
  <si>
    <t>SYNTHETIC: Laptop allocation; Pending approval; asset G-AST-00153</t>
  </si>
  <si>
    <t>G-REQ-00242-E2</t>
  </si>
  <si>
    <t>SYNTHETIC: Laptop allocation; Approved; asset G-AST-00153</t>
  </si>
  <si>
    <t>G-REQ-01340</t>
  </si>
  <si>
    <t>G-REQ-00242-E3</t>
  </si>
  <si>
    <t>SYNTHETIC: Laptop allocation; In progress; asset G-AST-00153</t>
  </si>
  <si>
    <t>G-REQ-00242-E4</t>
  </si>
  <si>
    <t>G-REQ-01341</t>
  </si>
  <si>
    <t>SYNTHETIC: Laptop allocation; Completed; asset G-AST-00153</t>
  </si>
  <si>
    <t>G-REQ-00243-E1</t>
  </si>
  <si>
    <t>G-REQ-01342</t>
  </si>
  <si>
    <t>SYNTHETIC: Laptop repair; Pending approval; asset G-AST-00057</t>
  </si>
  <si>
    <t>G-REQ-00243-E2</t>
  </si>
  <si>
    <t>G-REQ-01343</t>
  </si>
  <si>
    <t>SYNTHETIC: Laptop repair; Approved; asset G-AST-00057</t>
  </si>
  <si>
    <t>G-REQ-00243-E3</t>
  </si>
  <si>
    <t>G-REQ-01344</t>
  </si>
  <si>
    <t>SYNTHETIC: Laptop repair; In progress; asset G-AST-00057</t>
  </si>
  <si>
    <t>G-REQ-00243-E4</t>
  </si>
  <si>
    <t>G-REQ-01345</t>
  </si>
  <si>
    <t>SYNTHETIC: Laptop repair; Completed; asset G-AST-00057</t>
  </si>
  <si>
    <t>G-REQ-00244-E1</t>
  </si>
  <si>
    <t>G-REQ-01346</t>
  </si>
  <si>
    <t>SYNTHETIC: Laptop repair; Pending approval; asset G-AST-00142</t>
  </si>
  <si>
    <t>G-REQ-00244-E2</t>
  </si>
  <si>
    <t>G-REQ-01347</t>
  </si>
  <si>
    <t>SYNTHETIC: Laptop repair; Approved; asset G-AST-00142</t>
  </si>
  <si>
    <t>G-REQ-00244-E3</t>
  </si>
  <si>
    <t>G-REQ-01348</t>
  </si>
  <si>
    <t>SYNTHETIC: Laptop repair; In progress; asset G-AST-00142</t>
  </si>
  <si>
    <t>G-REQ-00244-E4</t>
  </si>
  <si>
    <t>G-REQ-01349</t>
  </si>
  <si>
    <t>SYNTHETIC: Laptop repair; Completed; asset G-AST-00142</t>
  </si>
  <si>
    <t>G-REQ-00245-E1</t>
  </si>
  <si>
    <t>G-REQ-01350</t>
  </si>
  <si>
    <t>SYNTHETIC: Laptop repair; Pending approval; asset G-AST-00044</t>
  </si>
  <si>
    <t>G-REQ-00245-E2</t>
  </si>
  <si>
    <t>G-REQ-01351</t>
  </si>
  <si>
    <t>SYNTHETIC: Laptop repair; Approved; asset G-AST-00044</t>
  </si>
  <si>
    <t>G-REQ-00245-E3</t>
  </si>
  <si>
    <t>SYNTHETIC: Laptop repair; In progress; asset G-AST-00044</t>
  </si>
  <si>
    <t>G-REQ-01352</t>
  </si>
  <si>
    <t>G-REQ-00245-E4</t>
  </si>
  <si>
    <t>SYNTHETIC: Laptop repair; Completed; asset G-AST-00044</t>
  </si>
  <si>
    <t>G-REQ-00246-E1</t>
  </si>
  <si>
    <t>G-REQ-01353</t>
  </si>
  <si>
    <t>SYNTHETIC: Laptop return; Pending approval; asset G-AST-00021</t>
  </si>
  <si>
    <t>G-REQ-00246-E2</t>
  </si>
  <si>
    <t>G-REQ-01354</t>
  </si>
  <si>
    <t>SYNTHETIC: Laptop return; Approved; asset G-AST-00021</t>
  </si>
  <si>
    <t>G-REQ-00246-E3</t>
  </si>
  <si>
    <t>G-REQ-01355</t>
  </si>
  <si>
    <t>SYNTHETIC: Laptop return; In progress; asset G-AST-00021</t>
  </si>
  <si>
    <t>G-REQ-00246-E4</t>
  </si>
  <si>
    <t>G-REQ-01356</t>
  </si>
  <si>
    <t>SYNTHETIC: Laptop return; Completed; asset G-AST-00021</t>
  </si>
  <si>
    <t>G-REQ-00247-E1</t>
  </si>
  <si>
    <t>G-REQ-01357</t>
  </si>
  <si>
    <t>G-REQ-00247-E2</t>
  </si>
  <si>
    <t>G-REQ-01358</t>
  </si>
  <si>
    <t>SYNTHETIC: Laptop repair; Rejected; asset G-AST-00054</t>
  </si>
  <si>
    <t>G-REQ-00248-E1</t>
  </si>
  <si>
    <t>G-REQ-01359</t>
  </si>
  <si>
    <t>SYNTHETIC: Laptop allocation; Pending approval; asset G-AST-00154</t>
  </si>
  <si>
    <t>G-REQ-00248-E2</t>
  </si>
  <si>
    <t>G-REQ-01360</t>
  </si>
  <si>
    <t>SYNTHETIC: Laptop allocation; Approved; asset G-AST-00154</t>
  </si>
  <si>
    <t>G-REQ-00248-E3</t>
  </si>
  <si>
    <t>G-REQ-01361</t>
  </si>
  <si>
    <t>SYNTHETIC: Laptop allocation; In progress; asset G-AST-00154</t>
  </si>
  <si>
    <t>G-REQ-00248-E4</t>
  </si>
  <si>
    <t>SYNTHETIC: Laptop allocation; Completed; asset G-AST-00154</t>
  </si>
  <si>
    <t>G-REQ-01362</t>
  </si>
  <si>
    <t>G-REQ-00249-E1</t>
  </si>
  <si>
    <t>SYNTHETIC: Laptop return; Pending approval; asset G-AST-00151</t>
  </si>
  <si>
    <t>G-REQ-01363</t>
  </si>
  <si>
    <t>G-REQ-00249-E2</t>
  </si>
  <si>
    <t>SYNTHETIC: Laptop return; Approved; asset G-AST-00151</t>
  </si>
  <si>
    <t>G-REQ-00249-E3</t>
  </si>
  <si>
    <t>G-REQ-01364</t>
  </si>
  <si>
    <t>SYNTHETIC: Laptop return; In progress; asset G-AST-00151</t>
  </si>
  <si>
    <t>G-REQ-00249-E4</t>
  </si>
  <si>
    <t>G-REQ-01365</t>
  </si>
  <si>
    <t>SYNTHETIC: Laptop return; Completed; asset G-AST-00151</t>
  </si>
  <si>
    <t>G-REQ-00250-E1</t>
  </si>
  <si>
    <t>G-REQ-01366</t>
  </si>
  <si>
    <t>G-REQ-00250-E2</t>
  </si>
  <si>
    <t>SYNTHETIC: Laptop repair; Cancelled; asset G-AST-00142</t>
  </si>
  <si>
    <t>G-REQ-00251-E1</t>
  </si>
  <si>
    <t>G-REQ-01367</t>
  </si>
  <si>
    <t>SYNTHETIC: Laptop return; Pending approval; asset G-AST-00016</t>
  </si>
  <si>
    <t>G-REQ-00251-E2</t>
  </si>
  <si>
    <t>G-REQ-01368</t>
  </si>
  <si>
    <t>SYNTHETIC: Laptop return; Approved; asset G-AST-00016</t>
  </si>
  <si>
    <t>G-REQ-00251-E3</t>
  </si>
  <si>
    <t>G-REQ-01369</t>
  </si>
  <si>
    <t>SYNTHETIC: Laptop return; In progress; asset G-AST-00016</t>
  </si>
  <si>
    <t>G-REQ-00251-E4</t>
  </si>
  <si>
    <t>G-REQ-01370</t>
  </si>
  <si>
    <t>SYNTHETIC: Laptop return; Completed; asset G-AST-00016</t>
  </si>
  <si>
    <t>G-REQ-00252-E1</t>
  </si>
  <si>
    <t>G-REQ-01371</t>
  </si>
  <si>
    <t>G-REQ-00252-E2</t>
  </si>
  <si>
    <t>G-REQ-01372</t>
  </si>
  <si>
    <t>G-REQ-00253-E1</t>
  </si>
  <si>
    <t>G-REQ-01373</t>
  </si>
  <si>
    <t>G-REQ-00253-E2</t>
  </si>
  <si>
    <t>G-REQ-01374</t>
  </si>
  <si>
    <t>SYNTHETIC: Laptop return; Approved; asset G-AST-00066</t>
  </si>
  <si>
    <t>G-REQ-00253-E3</t>
  </si>
  <si>
    <t>SYNTHETIC: Laptop return; In progress; asset G-AST-00066</t>
  </si>
  <si>
    <t>G-REQ-01375</t>
  </si>
  <si>
    <t>G-REQ-00253-E4</t>
  </si>
  <si>
    <t>G-REQ-01376</t>
  </si>
  <si>
    <t>SYNTHETIC: Laptop return; Completed; asset G-AST-00066</t>
  </si>
  <si>
    <t>G-REQ-00254-E1</t>
  </si>
  <si>
    <t>G-REQ-01377</t>
  </si>
  <si>
    <t>SYNTHETIC: Laptop allocation; Pending approval; asset G-AST-00155</t>
  </si>
  <si>
    <t>G-REQ-00254-E2</t>
  </si>
  <si>
    <t>SYNTHETIC: Laptop allocation; Approved; asset G-AST-00155</t>
  </si>
  <si>
    <t>G-REQ-00254-E3</t>
  </si>
  <si>
    <t>G-REQ-01378</t>
  </si>
  <si>
    <t>SYNTHETIC: Laptop allocation; In progress; asset G-AST-00155</t>
  </si>
  <si>
    <t>G-REQ-00254-E4</t>
  </si>
  <si>
    <t>G-REQ-01379</t>
  </si>
  <si>
    <t>SYNTHETIC: Laptop allocation; Completed; asset G-AST-00155</t>
  </si>
  <si>
    <t>G-REQ-00255-E1</t>
  </si>
  <si>
    <t>G-REQ-01380</t>
  </si>
  <si>
    <t>SYNTHETIC: Laptop allocation; Pending approval; asset G-AST-00156</t>
  </si>
  <si>
    <t>G-REQ-00255-E2</t>
  </si>
  <si>
    <t>G-REQ-01381</t>
  </si>
  <si>
    <t>SYNTHETIC: Laptop allocation; Approved; asset G-AST-00156</t>
  </si>
  <si>
    <t>G-REQ-00255-E3</t>
  </si>
  <si>
    <t>G-REQ-01382</t>
  </si>
  <si>
    <t>SYNTHETIC: Laptop allocation; In progress; asset G-AST-00156</t>
  </si>
  <si>
    <t>G-REQ-00255-E4</t>
  </si>
  <si>
    <t>G-REQ-01383</t>
  </si>
  <si>
    <t>SYNTHETIC: Laptop allocation; Completed; asset G-AST-00156</t>
  </si>
  <si>
    <t>G-REQ-00256-E1</t>
  </si>
  <si>
    <t>G-REQ-01384</t>
  </si>
  <si>
    <t>G-REQ-00256-E2</t>
  </si>
  <si>
    <t>G-REQ-01385</t>
  </si>
  <si>
    <t>G-REQ-00257-E1</t>
  </si>
  <si>
    <t>G-REQ-00257-E2</t>
  </si>
  <si>
    <t>G-REQ-01386</t>
  </si>
  <si>
    <t>G-REQ-00258-E1</t>
  </si>
  <si>
    <t>G-REQ-01387</t>
  </si>
  <si>
    <t>SYNTHETIC: Laptop return; Pending approval; asset G-AST-00139</t>
  </si>
  <si>
    <t>G-REQ-00258-E2</t>
  </si>
  <si>
    <t>G-REQ-01388</t>
  </si>
  <si>
    <t>SYNTHETIC: Laptop return; Rejected; asset G-AST-00139</t>
  </si>
  <si>
    <t>G-REQ-00259-E1</t>
  </si>
  <si>
    <t>G-REQ-01389</t>
  </si>
  <si>
    <t>SYNTHETIC: Laptop allocation; Pending approval; asset G-AST-00157</t>
  </si>
  <si>
    <t>G-REQ-00259-E2</t>
  </si>
  <si>
    <t>G-REQ-01390</t>
  </si>
  <si>
    <t>SYNTHETIC: Laptop allocation; Approved; asset G-AST-00157</t>
  </si>
  <si>
    <t>G-REQ-00259-E3</t>
  </si>
  <si>
    <t>SYNTHETIC: Laptop allocation; In progress; asset G-AST-00157</t>
  </si>
  <si>
    <t>G-REQ-01391</t>
  </si>
  <si>
    <t>G-REQ-00259-E4</t>
  </si>
  <si>
    <t>SYNTHETIC: Laptop allocation; Completed; asset G-AST-00157</t>
  </si>
  <si>
    <t>G-REQ-00260-E1</t>
  </si>
  <si>
    <t>G-REQ-01392</t>
  </si>
  <si>
    <t>SYNTHETIC: Laptop repair; Pending approval; asset G-AST-00080</t>
  </si>
  <si>
    <t>G-REQ-00260-E2</t>
  </si>
  <si>
    <t>G-REQ-01393</t>
  </si>
  <si>
    <t>SYNTHETIC: Laptop repair; Approved; asset G-AST-00080</t>
  </si>
  <si>
    <t>G-REQ-00260-E3</t>
  </si>
  <si>
    <t>G-REQ-01394</t>
  </si>
  <si>
    <t>SYNTHETIC: Laptop repair; In progress; asset G-AST-00080</t>
  </si>
  <si>
    <t>G-REQ-00260-E4</t>
  </si>
  <si>
    <t>G-REQ-01395</t>
  </si>
  <si>
    <t>SYNTHETIC: Laptop repair; Completed; asset G-AST-00080</t>
  </si>
  <si>
    <t>G-REQ-00261-E1</t>
  </si>
  <si>
    <t>G-REQ-01396</t>
  </si>
  <si>
    <t>SYNTHETIC: Laptop allocation; Pending approval; asset G-AST-00158</t>
  </si>
  <si>
    <t>G-REQ-00261-E2</t>
  </si>
  <si>
    <t>G-REQ-01397</t>
  </si>
  <si>
    <t>SYNTHETIC: Laptop allocation; Approved; asset G-AST-00158</t>
  </si>
  <si>
    <t>G-REQ-00261-E3</t>
  </si>
  <si>
    <t>SYNTHETIC: Laptop allocation; In progress; asset G-AST-00158</t>
  </si>
  <si>
    <t>G-REQ-01398</t>
  </si>
  <si>
    <t>G-REQ-00261-E4</t>
  </si>
  <si>
    <t>SYNTHETIC: Laptop allocation; Completed; asset G-AST-00158</t>
  </si>
  <si>
    <t>G-REQ-01399</t>
  </si>
  <si>
    <t>G-REQ-00262-E1</t>
  </si>
  <si>
    <t>SYNTHETIC: Laptop allocation; Pending approval; asset G-AST-00159</t>
  </si>
  <si>
    <t>G-REQ-01400</t>
  </si>
  <si>
    <t>G-REQ-00262-E2</t>
  </si>
  <si>
    <t>SYNTHETIC: Laptop allocation; Approved; asset G-AST-00159</t>
  </si>
  <si>
    <t>G-REQ-00262-E3</t>
  </si>
  <si>
    <t>G-REQ-01401</t>
  </si>
  <si>
    <t>SYNTHETIC: Laptop allocation; In progress; asset G-AST-00159</t>
  </si>
  <si>
    <t>G-REQ-00262-E4</t>
  </si>
  <si>
    <t>G-REQ-01402</t>
  </si>
  <si>
    <t>SYNTHETIC: Laptop allocation; Completed; asset G-AST-00159</t>
  </si>
  <si>
    <t>G-REQ-00263-E1</t>
  </si>
  <si>
    <t>G-REQ-01403</t>
  </si>
  <si>
    <t>SYNTHETIC: Laptop allocation; Pending approval; asset G-AST-00160</t>
  </si>
  <si>
    <t>G-REQ-00263-E2</t>
  </si>
  <si>
    <t>G-REQ-01404</t>
  </si>
  <si>
    <t>SYNTHETIC: Laptop allocation; Approved; asset G-AST-00160</t>
  </si>
  <si>
    <t>G-REQ-00263-E3</t>
  </si>
  <si>
    <t>G-REQ-01405</t>
  </si>
  <si>
    <t>SYNTHETIC: Laptop allocation; In progress; asset G-AST-00160</t>
  </si>
  <si>
    <t>G-REQ-00263-E4</t>
  </si>
  <si>
    <t>G-REQ-01406</t>
  </si>
  <si>
    <t>SYNTHETIC: Laptop allocation; Completed; asset G-AST-00160</t>
  </si>
  <si>
    <t>G-REQ-00264-E1</t>
  </si>
  <si>
    <t>G-REQ-01407</t>
  </si>
  <si>
    <t>SYNTHETIC: Laptop allocation; Pending approval; asset G-AST-00161</t>
  </si>
  <si>
    <t>G-REQ-00264-E2</t>
  </si>
  <si>
    <t>G-REQ-01408</t>
  </si>
  <si>
    <t>SYNTHETIC: Laptop allocation; Approved; asset G-AST-00161</t>
  </si>
  <si>
    <t>G-REQ-00264-E3</t>
  </si>
  <si>
    <t>G-REQ-01409</t>
  </si>
  <si>
    <t>SYNTHETIC: Laptop allocation; In progress; asset G-AST-00161</t>
  </si>
  <si>
    <t>G-REQ-00264-E4</t>
  </si>
  <si>
    <t>G-REQ-01410</t>
  </si>
  <si>
    <t>SYNTHETIC: Laptop allocation; Completed; asset G-AST-00161</t>
  </si>
  <si>
    <t>G-REQ-00265-E1</t>
  </si>
  <si>
    <t>SYNTHETIC: Laptop allocation; Pending approval; asset G-AST-00162</t>
  </si>
  <si>
    <t>G-REQ-01411</t>
  </si>
  <si>
    <t>G-REQ-00265-E2</t>
  </si>
  <si>
    <t>SYNTHETIC: Laptop allocation; Approved; asset G-AST-00162</t>
  </si>
  <si>
    <t>G-REQ-00265-E3</t>
  </si>
  <si>
    <t>G-REQ-01412</t>
  </si>
  <si>
    <t>SYNTHETIC: Laptop allocation; In progress; asset G-AST-00162</t>
  </si>
  <si>
    <t>G-REQ-00265-E4</t>
  </si>
  <si>
    <t>G-REQ-01413</t>
  </si>
  <si>
    <t>SYNTHETIC: Laptop allocation; Completed; asset G-AST-00162</t>
  </si>
  <si>
    <t>G-REQ-00266-E1</t>
  </si>
  <si>
    <t>G-REQ-01414</t>
  </si>
  <si>
    <t>SYNTHETIC: Laptop allocation; Pending approval; asset G-AST-00163</t>
  </si>
  <si>
    <t>G-REQ-00266-E2</t>
  </si>
  <si>
    <t>SYNTHETIC: Laptop allocation; Approved; asset G-AST-00163</t>
  </si>
  <si>
    <t>G-REQ-00266-E3</t>
  </si>
  <si>
    <t>G-REQ-01415</t>
  </si>
  <si>
    <t>SYNTHETIC: Laptop allocation; In progress; asset G-AST-00163</t>
  </si>
  <si>
    <t>G-REQ-00266-E4</t>
  </si>
  <si>
    <t>G-REQ-01416</t>
  </si>
  <si>
    <t>SYNTHETIC: Laptop allocation; Completed; asset G-AST-00163</t>
  </si>
  <si>
    <t>G-REQ-00267-E1</t>
  </si>
  <si>
    <t>G-REQ-01417</t>
  </si>
  <si>
    <t>SYNTHETIC: Laptop allocation; Pending approval; asset G-AST-00164</t>
  </si>
  <si>
    <t>G-REQ-00267-E2</t>
  </si>
  <si>
    <t>G-REQ-01418</t>
  </si>
  <si>
    <t>SYNTHETIC: Laptop allocation; Approved; asset G-AST-00164</t>
  </si>
  <si>
    <t>G-REQ-00267-E3</t>
  </si>
  <si>
    <t>G-REQ-01419</t>
  </si>
  <si>
    <t>SYNTHETIC: Laptop allocation; In progress; asset G-AST-00164</t>
  </si>
  <si>
    <t>G-REQ-00267-E4</t>
  </si>
  <si>
    <t>SYNTHETIC: Laptop allocation; Completed; asset G-AST-00164</t>
  </si>
  <si>
    <t>G-REQ-01420</t>
  </si>
  <si>
    <t>G-REQ-00268-E1</t>
  </si>
  <si>
    <t>SYNTHETIC: Laptop allocation; Pending approval; asset G-AST-00165</t>
  </si>
  <si>
    <t>G-REQ-01421</t>
  </si>
  <si>
    <t>G-REQ-00268-E2</t>
  </si>
  <si>
    <t>SYNTHETIC: Laptop allocation; Approved; asset G-AST-00165</t>
  </si>
  <si>
    <t>G-REQ-00268-E3</t>
  </si>
  <si>
    <t>G-REQ-01422</t>
  </si>
  <si>
    <t>SYNTHETIC: Laptop allocation; In progress; asset G-AST-00165</t>
  </si>
  <si>
    <t>G-REQ-00268-E4</t>
  </si>
  <si>
    <t>G-REQ-01423</t>
  </si>
  <si>
    <t>SYNTHETIC: Laptop allocation; Completed; asset G-AST-00165</t>
  </si>
  <si>
    <t>G-REQ-00269-E1</t>
  </si>
  <si>
    <t>G-REQ-01424</t>
  </si>
  <si>
    <t>SYNTHETIC: Laptop allocation; Pending approval; asset G-AST-00166</t>
  </si>
  <si>
    <t>G-REQ-00269-E2</t>
  </si>
  <si>
    <t>G-REQ-01425</t>
  </si>
  <si>
    <t>SYNTHETIC: Laptop allocation; Approved; asset G-AST-00166</t>
  </si>
  <si>
    <t>G-REQ-00269-E3</t>
  </si>
  <si>
    <t>G-REQ-01426</t>
  </si>
  <si>
    <t>SYNTHETIC: Laptop allocation; In progress; asset G-AST-00166</t>
  </si>
  <si>
    <t>G-REQ-00269-E4</t>
  </si>
  <si>
    <t>G-REQ-01427</t>
  </si>
  <si>
    <t>SYNTHETIC: Laptop allocation; Completed; asset G-AST-00166</t>
  </si>
  <si>
    <t>G-REQ-00270-E1</t>
  </si>
  <si>
    <t>SYNTHETIC: Laptop return; Pending approval; asset G-AST-00057</t>
  </si>
  <si>
    <t>G-REQ-01428</t>
  </si>
  <si>
    <t>G-REQ-00270-E2</t>
  </si>
  <si>
    <t>SYNTHETIC: Laptop return; Approved; asset G-AST-00057</t>
  </si>
  <si>
    <t>G-REQ-01429</t>
  </si>
  <si>
    <t>G-REQ-00270-E3</t>
  </si>
  <si>
    <t>SYNTHETIC: Laptop return; In progress; asset G-AST-00057</t>
  </si>
  <si>
    <t>G-REQ-00270-E4</t>
  </si>
  <si>
    <t>G-REQ-01430</t>
  </si>
  <si>
    <t>SYNTHETIC: Laptop return; Completed; asset G-AST-00057</t>
  </si>
  <si>
    <t>G-REQ-00271-E1</t>
  </si>
  <si>
    <t>G-REQ-01431</t>
  </si>
  <si>
    <t>SYNTHETIC: Laptop repair; Pending approval; asset G-AST-00108</t>
  </si>
  <si>
    <t>G-REQ-00271-E2</t>
  </si>
  <si>
    <t>G-REQ-01432</t>
  </si>
  <si>
    <t>SYNTHETIC: Laptop repair; Approved; asset G-AST-00108</t>
  </si>
  <si>
    <t>G-REQ-00271-E3</t>
  </si>
  <si>
    <t>G-REQ-01433</t>
  </si>
  <si>
    <t>SYNTHETIC: Laptop repair; In progress; asset G-AST-00108</t>
  </si>
  <si>
    <t>G-REQ-00271-E4</t>
  </si>
  <si>
    <t>G-REQ-01434</t>
  </si>
  <si>
    <t>SYNTHETIC: Laptop repair; Completed; asset G-AST-00108</t>
  </si>
  <si>
    <t>G-REQ-00272-E1</t>
  </si>
  <si>
    <t>G-REQ-01435</t>
  </si>
  <si>
    <t>SYNTHETIC: Laptop return; Pending approval; asset G-AST-00164</t>
  </si>
  <si>
    <t>G-REQ-00272-E2</t>
  </si>
  <si>
    <t>G-REQ-01436</t>
  </si>
  <si>
    <t>SYNTHETIC: Laptop return; Approved; asset G-AST-00164</t>
  </si>
  <si>
    <t>G-REQ-00272-E3</t>
  </si>
  <si>
    <t>G-REQ-01437</t>
  </si>
  <si>
    <t>SYNTHETIC: Laptop return; In progress; asset G-AST-00164</t>
  </si>
  <si>
    <t>G-REQ-00272-E4</t>
  </si>
  <si>
    <t>SYNTHETIC: Laptop return; Completed; asset G-AST-00164</t>
  </si>
  <si>
    <t>G-REQ-00273-E1</t>
  </si>
  <si>
    <t>G-REQ-01438</t>
  </si>
  <si>
    <t>SYNTHETIC: Laptop repair; Pending approval; asset G-AST-00155</t>
  </si>
  <si>
    <t>G-REQ-00273-E2</t>
  </si>
  <si>
    <t>G-REQ-01439</t>
  </si>
  <si>
    <t>SYNTHETIC: Laptop repair; Rejected; asset G-AST-00155</t>
  </si>
  <si>
    <t>G-REQ-00274-E1</t>
  </si>
  <si>
    <t>G-REQ-01440</t>
  </si>
  <si>
    <t>SYNTHETIC: Laptop return; Pending approval; asset G-AST-00111</t>
  </si>
  <si>
    <t>G-REQ-00274-E2</t>
  </si>
  <si>
    <t>SYNTHETIC: Laptop return; Rejected; asset G-AST-00111</t>
  </si>
  <si>
    <t>G-REQ-00275-E1</t>
  </si>
  <si>
    <t>G-REQ-00275-E2</t>
  </si>
  <si>
    <t>G-REQ-01441</t>
  </si>
  <si>
    <t>G-REQ-00276-E1</t>
  </si>
  <si>
    <t>G-REQ-01442</t>
  </si>
  <si>
    <t>SYNTHETIC: Laptop allocation; Pending approval; asset G-AST-00167</t>
  </si>
  <si>
    <t>G-REQ-00276-E2</t>
  </si>
  <si>
    <t>G-REQ-01443</t>
  </si>
  <si>
    <t>SYNTHETIC: Laptop allocation; Approved; asset G-AST-00167</t>
  </si>
  <si>
    <t>G-REQ-00276-E3</t>
  </si>
  <si>
    <t>SYNTHETIC: Laptop allocation; In progress; asset G-AST-00167</t>
  </si>
  <si>
    <t>G-REQ-01444</t>
  </si>
  <si>
    <t>G-REQ-00276-E4</t>
  </si>
  <si>
    <t>SYNTHETIC: Laptop allocation; Completed; asset G-AST-00167</t>
  </si>
  <si>
    <t>G-REQ-01445</t>
  </si>
  <si>
    <t>G-REQ-00277-E1</t>
  </si>
  <si>
    <t>SYNTHETIC: Laptop return; Pending approval; asset G-AST-00136</t>
  </si>
  <si>
    <t>G-REQ-01446</t>
  </si>
  <si>
    <t>G-REQ-00277-E2</t>
  </si>
  <si>
    <t>SYNTHETIC: Laptop return; Approved; asset G-AST-00136</t>
  </si>
  <si>
    <t>G-REQ-00277-E3</t>
  </si>
  <si>
    <t>G-REQ-01447</t>
  </si>
  <si>
    <t>SYNTHETIC: Laptop return; In progress; asset G-AST-00136</t>
  </si>
  <si>
    <t>G-REQ-00277-E4</t>
  </si>
  <si>
    <t>G-REQ-01448</t>
  </si>
  <si>
    <t>SYNTHETIC: Laptop return; Completed; asset G-AST-00136</t>
  </si>
  <si>
    <t>G-REQ-00278-E1</t>
  </si>
  <si>
    <t>G-REQ-01449</t>
  </si>
  <si>
    <t>G-REQ-00278-E2</t>
  </si>
  <si>
    <t>G-REQ-01450</t>
  </si>
  <si>
    <t>G-REQ-00278-E3</t>
  </si>
  <si>
    <t>G-REQ-01451</t>
  </si>
  <si>
    <t>G-REQ-00278-E4</t>
  </si>
  <si>
    <t>G-REQ-01452</t>
  </si>
  <si>
    <t>G-REQ-00279-E1</t>
  </si>
  <si>
    <t>SYNTHETIC: Laptop return; Pending approval; asset G-AST-00150</t>
  </si>
  <si>
    <t>G-REQ-01453</t>
  </si>
  <si>
    <t>G-REQ-00279-E2</t>
  </si>
  <si>
    <t>SYNTHETIC: Laptop return; Approved; asset G-AST-00150</t>
  </si>
  <si>
    <t>G-REQ-00279-E3</t>
  </si>
  <si>
    <t>G-REQ-01454</t>
  </si>
  <si>
    <t>SYNTHETIC: Laptop return; In progress; asset G-AST-00150</t>
  </si>
  <si>
    <t>G-REQ-00279-E4</t>
  </si>
  <si>
    <t>G-REQ-01455</t>
  </si>
  <si>
    <t>SYNTHETIC: Laptop return; Completed; asset G-AST-00150</t>
  </si>
  <si>
    <t>G-REQ-00280-E1</t>
  </si>
  <si>
    <t>G-REQ-01456</t>
  </si>
  <si>
    <t>SYNTHETIC: Laptop return; Pending approval; asset G-AST-00030</t>
  </si>
  <si>
    <t>G-REQ-00280-E2</t>
  </si>
  <si>
    <t>G-REQ-01457</t>
  </si>
  <si>
    <t>SYNTHETIC: Laptop return; Approved; asset G-AST-00030</t>
  </si>
  <si>
    <t>G-REQ-00280-E3</t>
  </si>
  <si>
    <t>G-REQ-01458</t>
  </si>
  <si>
    <t>SYNTHETIC: Laptop return; In progress; asset G-AST-00030</t>
  </si>
  <si>
    <t>G-REQ-00280-E4</t>
  </si>
  <si>
    <t>G-REQ-01459</t>
  </si>
  <si>
    <t>SYNTHETIC: Laptop return; Completed; asset G-AST-00030</t>
  </si>
  <si>
    <t>G-REQ-00281-E1</t>
  </si>
  <si>
    <t>G-REQ-01460</t>
  </si>
  <si>
    <t>SYNTHETIC: Laptop repair; Pending approval; asset G-AST-00116</t>
  </si>
  <si>
    <t>G-REQ-00281-E2</t>
  </si>
  <si>
    <t>SYNTHETIC: Laptop repair; Approved; asset G-AST-00116</t>
  </si>
  <si>
    <t>G-REQ-01461</t>
  </si>
  <si>
    <t>G-REQ-00281-E3</t>
  </si>
  <si>
    <t>SYNTHETIC: Laptop repair; In progress; asset G-AST-00116</t>
  </si>
  <si>
    <t>G-REQ-00281-E4</t>
  </si>
  <si>
    <t>G-REQ-01462</t>
  </si>
  <si>
    <t>SYNTHETIC: Laptop repair; Completed; asset G-AST-00116</t>
  </si>
  <si>
    <t>G-REQ-00282-E1</t>
  </si>
  <si>
    <t>G-REQ-01463</t>
  </si>
  <si>
    <t>SYNTHETIC: Laptop repair; Pending approval; asset G-AST-00094</t>
  </si>
  <si>
    <t>G-REQ-00282-E2</t>
  </si>
  <si>
    <t>G-REQ-01464</t>
  </si>
  <si>
    <t>SYNTHETIC: Laptop repair; Approved; asset G-AST-00094</t>
  </si>
  <si>
    <t>G-REQ-00282-E3</t>
  </si>
  <si>
    <t>SYNTHETIC: Laptop repair; In progress; asset G-AST-00094</t>
  </si>
  <si>
    <t>G-REQ-01465</t>
  </si>
  <si>
    <t>G-REQ-00282-E4</t>
  </si>
  <si>
    <t>SYNTHETIC: Laptop repair; Completed; asset G-AST-00094</t>
  </si>
  <si>
    <t>G-REQ-01466</t>
  </si>
  <si>
    <t>G-REQ-00283-E1</t>
  </si>
  <si>
    <t>SYNTHETIC: Laptop return; Pending approval; asset G-AST-00085</t>
  </si>
  <si>
    <t>G-REQ-01467</t>
  </si>
  <si>
    <t>G-REQ-00283-E2</t>
  </si>
  <si>
    <t>SYNTHETIC: Laptop return; Approved; asset G-AST-00085</t>
  </si>
  <si>
    <t>G-REQ-01468</t>
  </si>
  <si>
    <t>G-REQ-00283-E3</t>
  </si>
  <si>
    <t>SYNTHETIC: Laptop return; In progress; asset G-AST-00085</t>
  </si>
  <si>
    <t>G-REQ-00283-E4</t>
  </si>
  <si>
    <t>G-REQ-01469</t>
  </si>
  <si>
    <t>SYNTHETIC: Laptop return; Completed; asset G-AST-00085</t>
  </si>
  <si>
    <t>G-REQ-00284-E1</t>
  </si>
  <si>
    <t>G-REQ-01470</t>
  </si>
  <si>
    <t>SYNTHETIC: Laptop return; Pending approval; asset G-AST-00137</t>
  </si>
  <si>
    <t>G-REQ-01471</t>
  </si>
  <si>
    <t>G-REQ-00284-E2</t>
  </si>
  <si>
    <t>G-REQ-01472</t>
  </si>
  <si>
    <t>SYNTHETIC: Laptop return; Approved; asset G-AST-00137</t>
  </si>
  <si>
    <t>G-REQ-00284-E3</t>
  </si>
  <si>
    <t>G-REQ-01473</t>
  </si>
  <si>
    <t>SYNTHETIC: Laptop return; In progress; asset G-AST-00137</t>
  </si>
  <si>
    <t>G-REQ-00284-E4</t>
  </si>
  <si>
    <t>G-REQ-01474</t>
  </si>
  <si>
    <t>SYNTHETIC: Laptop return; Completed; asset G-AST-00137</t>
  </si>
  <si>
    <t>G-REQ-00285-E1</t>
  </si>
  <si>
    <t>G-REQ-01475</t>
  </si>
  <si>
    <t>SYNTHETIC: Laptop return; Pending approval; asset G-AST-00045</t>
  </si>
  <si>
    <t>G-REQ-00285-E2</t>
  </si>
  <si>
    <t>G-REQ-01476</t>
  </si>
  <si>
    <t>SYNTHETIC: Laptop return; Approved; asset G-AST-00045</t>
  </si>
  <si>
    <t>G-REQ-00285-E3</t>
  </si>
  <si>
    <t>G-REQ-01477</t>
  </si>
  <si>
    <t>SYNTHETIC: Laptop return; In progress; asset G-AST-00045</t>
  </si>
  <si>
    <t>G-REQ-00285-E4</t>
  </si>
  <si>
    <t>G-REQ-01478</t>
  </si>
  <si>
    <t>SYNTHETIC: Laptop return; Completed; asset G-AST-00045</t>
  </si>
  <si>
    <t>G-REQ-00286-E1</t>
  </si>
  <si>
    <t>G-REQ-01479</t>
  </si>
  <si>
    <t>SYNTHETIC: Laptop allocation; Pending approval; asset G-AST-00168</t>
  </si>
  <si>
    <t>G-REQ-00286-E2</t>
  </si>
  <si>
    <t>G-REQ-01480</t>
  </si>
  <si>
    <t>SYNTHETIC: Laptop allocation; Approved; asset G-AST-00168</t>
  </si>
  <si>
    <t>G-REQ-00286-E3</t>
  </si>
  <si>
    <t>G-REQ-01481</t>
  </si>
  <si>
    <t>SYNTHETIC: Laptop allocation; In progress; asset G-AST-00168</t>
  </si>
  <si>
    <t>G-REQ-00286-E4</t>
  </si>
  <si>
    <t>G-REQ-01482</t>
  </si>
  <si>
    <t>SYNTHETIC: Laptop allocation; Completed; asset G-AST-00168</t>
  </si>
  <si>
    <t>G-REQ-00287-E1</t>
  </si>
  <si>
    <t>SYNTHETIC: Laptop allocation; Pending approval; asset G-AST-00169</t>
  </si>
  <si>
    <t>G-REQ-01483</t>
  </si>
  <si>
    <t>G-REQ-00287-E2</t>
  </si>
  <si>
    <t>SYNTHETIC: Laptop allocation; Approved; asset G-AST-00169</t>
  </si>
  <si>
    <t>G-REQ-01484</t>
  </si>
  <si>
    <t>G-REQ-00287-E3</t>
  </si>
  <si>
    <t>SYNTHETIC: Laptop allocation; In progress; asset G-AST-00169</t>
  </si>
  <si>
    <t>G-REQ-00287-E4</t>
  </si>
  <si>
    <t>G-REQ-01485</t>
  </si>
  <si>
    <t>SYNTHETIC: Laptop allocation; Completed; asset G-AST-00169</t>
  </si>
  <si>
    <t>G-REQ-00288-E1</t>
  </si>
  <si>
    <t>G-REQ-01486</t>
  </si>
  <si>
    <t>G-REQ-00288-E2</t>
  </si>
  <si>
    <t>G-REQ-01487</t>
  </si>
  <si>
    <t>G-REQ-00288-E3</t>
  </si>
  <si>
    <t>G-REQ-01488</t>
  </si>
  <si>
    <t>G-REQ-00288-E4</t>
  </si>
  <si>
    <t>G-REQ-01489</t>
  </si>
  <si>
    <t>G-REQ-00289-E1</t>
  </si>
  <si>
    <t>SYNTHETIC: Laptop return; Pending approval; asset G-AST-00130</t>
  </si>
  <si>
    <t>G-REQ-01490</t>
  </si>
  <si>
    <t>G-REQ-00289-E2</t>
  </si>
  <si>
    <t>SYNTHETIC: Laptop return; Approved; asset G-AST-00130</t>
  </si>
  <si>
    <t>G-REQ-00289-E3</t>
  </si>
  <si>
    <t>G-REQ-01491</t>
  </si>
  <si>
    <t>SYNTHETIC: Laptop return; In progress; asset G-AST-00130</t>
  </si>
  <si>
    <t>G-REQ-00289-E4</t>
  </si>
  <si>
    <t>G-REQ-01492</t>
  </si>
  <si>
    <t>SYNTHETIC: Laptop return; Completed; asset G-AST-00130</t>
  </si>
  <si>
    <t>G-REQ-00290-E1</t>
  </si>
  <si>
    <t>G-REQ-01493</t>
  </si>
  <si>
    <t>SYNTHETIC: Laptop allocation; Pending approval; asset G-AST-00170</t>
  </si>
  <si>
    <t>G-REQ-00290-E2</t>
  </si>
  <si>
    <t>G-REQ-01494</t>
  </si>
  <si>
    <t>SYNTHETIC: Laptop allocation; Approved; asset G-AST-00170</t>
  </si>
  <si>
    <t>G-REQ-00290-E3</t>
  </si>
  <si>
    <t>G-REQ-01495</t>
  </si>
  <si>
    <t>SYNTHETIC: Laptop allocation; In progress; asset G-AST-00170</t>
  </si>
  <si>
    <t>G-REQ-00290-E4</t>
  </si>
  <si>
    <t>G-REQ-01496</t>
  </si>
  <si>
    <t>SYNTHETIC: Laptop allocation; Completed; asset G-AST-00170</t>
  </si>
  <si>
    <t>G-REQ-00291-E1</t>
  </si>
  <si>
    <t>G-REQ-01497</t>
  </si>
  <si>
    <t>SYNTHETIC: Laptop allocation; Pending approval; asset G-AST-00171</t>
  </si>
  <si>
    <t>G-REQ-00291-E2</t>
  </si>
  <si>
    <t>G-REQ-01498</t>
  </si>
  <si>
    <t>SYNTHETIC: Laptop allocation; Approved; asset G-AST-00171</t>
  </si>
  <si>
    <t>G-REQ-00291-E3</t>
  </si>
  <si>
    <t>SYNTHETIC: Laptop allocation; In progress; asset G-AST-00171</t>
  </si>
  <si>
    <t>G-REQ-01499</t>
  </si>
  <si>
    <t>G-REQ-00291-E4</t>
  </si>
  <si>
    <t>G-REQ-01500</t>
  </si>
  <si>
    <t>SYNTHETIC: Laptop allocation; Completed; asset G-AST-00171</t>
  </si>
  <si>
    <t>G-REQ-00292-E1</t>
  </si>
  <si>
    <t>G-REQ-01501</t>
  </si>
  <si>
    <t>SYNTHETIC: Laptop repair; Pending approval; asset G-AST-00056</t>
  </si>
  <si>
    <t>G-REQ-00292-E2</t>
  </si>
  <si>
    <t>G-REQ-01502</t>
  </si>
  <si>
    <t>SYNTHETIC: Laptop repair; Approved; asset G-AST-00056</t>
  </si>
  <si>
    <t>G-REQ-00292-E3</t>
  </si>
  <si>
    <t>SYNTHETIC: Laptop repair; In progress; asset G-AST-00056</t>
  </si>
  <si>
    <t>G-REQ-01503</t>
  </si>
  <si>
    <t>G-REQ-00292-E4</t>
  </si>
  <si>
    <t>SYNTHETIC: Laptop repair; Completed; asset G-AST-00056</t>
  </si>
  <si>
    <t>G-REQ-01504</t>
  </si>
  <si>
    <t>G-REQ-00293-E1</t>
  </si>
  <si>
    <t>SYNTHETIC: Laptop allocation; Pending approval; asset G-AST-00172</t>
  </si>
  <si>
    <t>G-REQ-01505</t>
  </si>
  <si>
    <t>G-REQ-00293-E2</t>
  </si>
  <si>
    <t>SYNTHETIC: Laptop allocation; Approved; asset G-AST-00172</t>
  </si>
  <si>
    <t>G-REQ-01506</t>
  </si>
  <si>
    <t>G-REQ-00293-E3</t>
  </si>
  <si>
    <t>SYNTHETIC: Laptop allocation; In progress; asset G-AST-00172</t>
  </si>
  <si>
    <t>G-REQ-01507</t>
  </si>
  <si>
    <t>G-REQ-00293-E4</t>
  </si>
  <si>
    <t>G-REQ-01508</t>
  </si>
  <si>
    <t>SYNTHETIC: Laptop allocation; Completed; asset G-AST-00172</t>
  </si>
  <si>
    <t>G-REQ-00294-E1</t>
  </si>
  <si>
    <t>SYNTHETIC: Laptop repair; Pending approval; asset G-AST-00161</t>
  </si>
  <si>
    <t>G-REQ-00294-E2</t>
  </si>
  <si>
    <t>G-REQ-01509</t>
  </si>
  <si>
    <t>SYNTHETIC: Laptop repair; Approved; asset G-AST-00161</t>
  </si>
  <si>
    <t>G-REQ-00294-E3</t>
  </si>
  <si>
    <t>G-REQ-01510</t>
  </si>
  <si>
    <t>SYNTHETIC: Laptop repair; In progress; asset G-AST-00161</t>
  </si>
  <si>
    <t>G-REQ-00294-E4</t>
  </si>
  <si>
    <t>G-REQ-01511</t>
  </si>
  <si>
    <t>SYNTHETIC: Laptop repair; Completed; asset G-AST-00161</t>
  </si>
  <si>
    <t>G-REQ-00295-E1</t>
  </si>
  <si>
    <t>G-REQ-01512</t>
  </si>
  <si>
    <t>G-REQ-00295-E2</t>
  </si>
  <si>
    <t>G-REQ-01513</t>
  </si>
  <si>
    <t>G-REQ-00296-E1</t>
  </si>
  <si>
    <t>SYNTHETIC: Laptop return; Pending approval; asset G-AST-00089</t>
  </si>
  <si>
    <t>G-REQ-01514</t>
  </si>
  <si>
    <t>G-REQ-00296-E2</t>
  </si>
  <si>
    <t>SYNTHETIC: Laptop return; Approved; asset G-AST-00089</t>
  </si>
  <si>
    <t>G-REQ-01515</t>
  </si>
  <si>
    <t>G-REQ-00296-E3</t>
  </si>
  <si>
    <t>SYNTHETIC: Laptop return; In progress; asset G-AST-00089</t>
  </si>
  <si>
    <t>G-REQ-01516</t>
  </si>
  <si>
    <t>G-REQ-00296-E4</t>
  </si>
  <si>
    <t>SYNTHETIC: Laptop return; Completed; asset G-AST-00089</t>
  </si>
  <si>
    <t>G-REQ-01517</t>
  </si>
  <si>
    <t>G-REQ-00297-E1</t>
  </si>
  <si>
    <t>SYNTHETIC: Laptop allocation; Pending approval; asset G-AST-00173</t>
  </si>
  <si>
    <t>G-REQ-00297-E2</t>
  </si>
  <si>
    <t>G-REQ-01518</t>
  </si>
  <si>
    <t>SYNTHETIC: Laptop allocation; Approved; asset G-AST-00173</t>
  </si>
  <si>
    <t>G-REQ-00297-E3</t>
  </si>
  <si>
    <t>G-REQ-01519</t>
  </si>
  <si>
    <t>SYNTHETIC: Laptop allocation; In progress; asset G-AST-00173</t>
  </si>
  <si>
    <t>G-REQ-00297-E4</t>
  </si>
  <si>
    <t>G-REQ-01520</t>
  </si>
  <si>
    <t>SYNTHETIC: Laptop allocation; Completed; asset G-AST-00173</t>
  </si>
  <si>
    <t>G-REQ-00298-E1</t>
  </si>
  <si>
    <t>G-REQ-01521</t>
  </si>
  <si>
    <t>SYNTHETIC: Laptop allocation; Pending approval; asset G-AST-00174</t>
  </si>
  <si>
    <t>G-REQ-00298-E2</t>
  </si>
  <si>
    <t>G-REQ-01522</t>
  </si>
  <si>
    <t>SYNTHETIC: Laptop allocation; Approved; asset G-AST-00174</t>
  </si>
  <si>
    <t>G-REQ-00298-E3</t>
  </si>
  <si>
    <t>G-REQ-01523</t>
  </si>
  <si>
    <t>SYNTHETIC: Laptop allocation; In progress; asset G-AST-00174</t>
  </si>
  <si>
    <t>G-REQ-00298-E4</t>
  </si>
  <si>
    <t>G-REQ-01524</t>
  </si>
  <si>
    <t>SYNTHETIC: Laptop allocation; Completed; asset G-AST-00174</t>
  </si>
  <si>
    <t>G-REQ-00299-E1</t>
  </si>
  <si>
    <t>G-REQ-01525</t>
  </si>
  <si>
    <t>SYNTHETIC: Laptop allocation; Pending approval; asset G-AST-00175</t>
  </si>
  <si>
    <t>G-REQ-00299-E2</t>
  </si>
  <si>
    <t>G-REQ-01526</t>
  </si>
  <si>
    <t>SYNTHETIC: Laptop allocation; Approved; asset G-AST-00175</t>
  </si>
  <si>
    <t>G-REQ-00299-E3</t>
  </si>
  <si>
    <t>SYNTHETIC: Laptop allocation; In progress; asset G-AST-00175</t>
  </si>
  <si>
    <t>G-REQ-01527</t>
  </si>
  <si>
    <t>G-REQ-00299-E4</t>
  </si>
  <si>
    <t>SYNTHETIC: Laptop allocation; Completed; asset G-AST-00175</t>
  </si>
  <si>
    <t>G-REQ-01528</t>
  </si>
  <si>
    <t>G-REQ-00300-E1</t>
  </si>
  <si>
    <t>G-REQ-00300-E2</t>
  </si>
  <si>
    <t>G-REQ-01529</t>
  </si>
  <si>
    <t>G-REQ-00300-E3</t>
  </si>
  <si>
    <t>G-REQ-01530</t>
  </si>
  <si>
    <t>G-REQ-00300-E4</t>
  </si>
  <si>
    <t>G-REQ-01531</t>
  </si>
  <si>
    <t>G-REQ-00301-E1</t>
  </si>
  <si>
    <t>SYNTHETIC: Laptop return; Pending approval; asset G-AST-00071</t>
  </si>
  <si>
    <t>G-REQ-01532</t>
  </si>
  <si>
    <t>G-REQ-00301-E2</t>
  </si>
  <si>
    <t>G-REQ-01533</t>
  </si>
  <si>
    <t>SYNTHETIC: Laptop return; Approved; asset G-AST-00071</t>
  </si>
  <si>
    <t>G-REQ-00301-E3</t>
  </si>
  <si>
    <t>G-REQ-01534</t>
  </si>
  <si>
    <t>SYNTHETIC: Laptop return; In progress; asset G-AST-00071</t>
  </si>
  <si>
    <t>G-REQ-00301-E4</t>
  </si>
  <si>
    <t>G-REQ-01535</t>
  </si>
  <si>
    <t>SYNTHETIC: Laptop return; Completed; asset G-AST-00071</t>
  </si>
  <si>
    <t>G-REQ-00302-E1</t>
  </si>
  <si>
    <t>G-REQ-01536</t>
  </si>
  <si>
    <t>SYNTHETIC: Laptop allocation; Pending approval; asset G-AST-00176</t>
  </si>
  <si>
    <t>G-REQ-00302-E2</t>
  </si>
  <si>
    <t>G-REQ-01537</t>
  </si>
  <si>
    <t>SYNTHETIC: Laptop allocation; Approved; asset G-AST-00176</t>
  </si>
  <si>
    <t>G-REQ-00302-E3</t>
  </si>
  <si>
    <t>G-REQ-01538</t>
  </si>
  <si>
    <t>SYNTHETIC: Laptop allocation; In progress; asset G-AST-00176</t>
  </si>
  <si>
    <t>G-REQ-00302-E4</t>
  </si>
  <si>
    <t>G-REQ-01539</t>
  </si>
  <si>
    <t>SYNTHETIC: Laptop allocation; Completed; asset G-AST-00176</t>
  </si>
  <si>
    <t>G-REQ-00303-E1</t>
  </si>
  <si>
    <t>G-REQ-01540</t>
  </si>
  <si>
    <t>SYNTHETIC: Laptop return; Pending approval; asset G-AST-00059</t>
  </si>
  <si>
    <t>G-REQ-00303-E2</t>
  </si>
  <si>
    <t>G-REQ-01541</t>
  </si>
  <si>
    <t>SYNTHETIC: Laptop return; Approved; asset G-AST-00059</t>
  </si>
  <si>
    <t>G-REQ-00303-E3</t>
  </si>
  <si>
    <t>SYNTHETIC: Laptop return; In progress; asset G-AST-00059</t>
  </si>
  <si>
    <t>G-REQ-00303-E4</t>
  </si>
  <si>
    <t>G-REQ-01542</t>
  </si>
  <si>
    <t>SYNTHETIC: Laptop return; Completed; asset G-AST-00059</t>
  </si>
  <si>
    <t>G-REQ-00304-E1</t>
  </si>
  <si>
    <t>G-REQ-01543</t>
  </si>
  <si>
    <t>SYNTHETIC: Laptop return; Pending approval; asset G-AST-00031</t>
  </si>
  <si>
    <t>G-REQ-00304-E2</t>
  </si>
  <si>
    <t>G-REQ-01544</t>
  </si>
  <si>
    <t>SYNTHETIC: Laptop return; Approved; asset G-AST-00031</t>
  </si>
  <si>
    <t>G-REQ-00304-E3</t>
  </si>
  <si>
    <t>G-REQ-01545</t>
  </si>
  <si>
    <t>SYNTHETIC: Laptop return; In progress; asset G-AST-00031</t>
  </si>
  <si>
    <t>G-REQ-00304-E4</t>
  </si>
  <si>
    <t>G-REQ-01546</t>
  </si>
  <si>
    <t>SYNTHETIC: Laptop return; Completed; asset G-AST-00031</t>
  </si>
  <si>
    <t>G-REQ-00305-E1</t>
  </si>
  <si>
    <t>G-REQ-01547</t>
  </si>
  <si>
    <t>SYNTHETIC: Laptop return; Pending approval; asset G-AST-00126</t>
  </si>
  <si>
    <t>G-REQ-00305-E2</t>
  </si>
  <si>
    <t>G-REQ-01548</t>
  </si>
  <si>
    <t>SYNTHETIC: Laptop return; Approved; asset G-AST-00126</t>
  </si>
  <si>
    <t>G-REQ-00305-E3</t>
  </si>
  <si>
    <t>G-REQ-01549</t>
  </si>
  <si>
    <t>SYNTHETIC: Laptop return; In progress; asset G-AST-00126</t>
  </si>
  <si>
    <t>G-REQ-00305-E4</t>
  </si>
  <si>
    <t>SYNTHETIC: Laptop return; Completed; asset G-AST-00126</t>
  </si>
  <si>
    <t>G-REQ-01550</t>
  </si>
  <si>
    <t>G-REQ-00306-E1</t>
  </si>
  <si>
    <t>SYNTHETIC: Laptop repair; Pending approval; asset G-AST-00036</t>
  </si>
  <si>
    <t>G-REQ-01551</t>
  </si>
  <si>
    <t>G-REQ-00306-E2</t>
  </si>
  <si>
    <t>SYNTHETIC: Laptop repair; Approved; asset G-AST-00036</t>
  </si>
  <si>
    <t>G-REQ-01552</t>
  </si>
  <si>
    <t>G-REQ-00306-E3</t>
  </si>
  <si>
    <t>SYNTHETIC: Laptop repair; In progress; asset G-AST-00036</t>
  </si>
  <si>
    <t>G-REQ-00306-E4</t>
  </si>
  <si>
    <t>G-REQ-01553</t>
  </si>
  <si>
    <t>SYNTHETIC: Laptop repair; Completed; asset G-AST-00036</t>
  </si>
  <si>
    <t>G-REQ-00307-E1</t>
  </si>
  <si>
    <t>G-REQ-01554</t>
  </si>
  <si>
    <t>SYNTHETIC: Laptop allocation; Pending approval; asset G-AST-00177</t>
  </si>
  <si>
    <t>G-REQ-00307-E2</t>
  </si>
  <si>
    <t>G-REQ-01555</t>
  </si>
  <si>
    <t>SYNTHETIC: Laptop allocation; Approved; asset G-AST-00177</t>
  </si>
  <si>
    <t>G-REQ-00307-E3</t>
  </si>
  <si>
    <t>G-REQ-01556</t>
  </si>
  <si>
    <t>SYNTHETIC: Laptop allocation; In progress; asset G-AST-00177</t>
  </si>
  <si>
    <t>G-REQ-00307-E4</t>
  </si>
  <si>
    <t>G-REQ-01557</t>
  </si>
  <si>
    <t>SYNTHETIC: Laptop allocation; Completed; asset G-AST-00177</t>
  </si>
  <si>
    <t>G-REQ-00308-E1</t>
  </si>
  <si>
    <t>G-REQ-01558</t>
  </si>
  <si>
    <t>G-REQ-00308-E2</t>
  </si>
  <si>
    <t>G-REQ-01559</t>
  </si>
  <si>
    <t>G-REQ-00308-E3</t>
  </si>
  <si>
    <t>G-REQ-01560</t>
  </si>
  <si>
    <t>G-REQ-00308-E4</t>
  </si>
  <si>
    <t>G-REQ-01561</t>
  </si>
  <si>
    <t>G-REQ-00309-E1</t>
  </si>
  <si>
    <t>SYNTHETIC: Laptop return; Pending approval; asset G-AST-00060</t>
  </si>
  <si>
    <t>G-REQ-01562</t>
  </si>
  <si>
    <t>G-REQ-00309-E2</t>
  </si>
  <si>
    <t>SYNTHETIC: Laptop return; Rejected; asset G-AST-00060</t>
  </si>
  <si>
    <t>G-REQ-01563</t>
  </si>
  <si>
    <t>G-REQ-00310-E1</t>
  </si>
  <si>
    <t>G-REQ-01564</t>
  </si>
  <si>
    <t>SYNTHETIC: Laptop return; Pending approval; asset G-AST-00025</t>
  </si>
  <si>
    <t>G-REQ-00310-E2</t>
  </si>
  <si>
    <t>SYNTHETIC: Laptop return; Approved; asset G-AST-00025</t>
  </si>
  <si>
    <t>G-REQ-00310-E3</t>
  </si>
  <si>
    <t>G-REQ-01565</t>
  </si>
  <si>
    <t>SYNTHETIC: Laptop return; In progress; asset G-AST-00025</t>
  </si>
  <si>
    <t>G-REQ-00310-E4</t>
  </si>
  <si>
    <t>G-REQ-01566</t>
  </si>
  <si>
    <t>SYNTHETIC: Laptop return; Completed; asset G-AST-00025</t>
  </si>
  <si>
    <t>G-REQ-00311-E1</t>
  </si>
  <si>
    <t>G-REQ-01567</t>
  </si>
  <si>
    <t>SYNTHETIC: Laptop return; Pending approval; asset G-AST-00153</t>
  </si>
  <si>
    <t>G-REQ-00311-E2</t>
  </si>
  <si>
    <t>G-REQ-01568</t>
  </si>
  <si>
    <t>SYNTHETIC: Laptop return; Approved; asset G-AST-00153</t>
  </si>
  <si>
    <t>G-REQ-00311-E3</t>
  </si>
  <si>
    <t>G-REQ-01569</t>
  </si>
  <si>
    <t>SYNTHETIC: Laptop return; In progress; asset G-AST-00153</t>
  </si>
  <si>
    <t>G-REQ-00311-E4</t>
  </si>
  <si>
    <t>G-REQ-01570</t>
  </si>
  <si>
    <t>SYNTHETIC: Laptop return; Completed; asset G-AST-00153</t>
  </si>
  <si>
    <t>G-REQ-00312-E1</t>
  </si>
  <si>
    <t>G-REQ-01571</t>
  </si>
  <si>
    <t>SYNTHETIC: Laptop return; Pending approval; asset G-AST-00032</t>
  </si>
  <si>
    <t>G-REQ-00312-E2</t>
  </si>
  <si>
    <t>G-REQ-01572</t>
  </si>
  <si>
    <t>SYNTHETIC: Laptop return; Approved; asset G-AST-00032</t>
  </si>
  <si>
    <t>G-REQ-00312-E3</t>
  </si>
  <si>
    <t>SYNTHETIC: Laptop return; In progress; asset G-AST-00032</t>
  </si>
  <si>
    <t>G-REQ-01573</t>
  </si>
  <si>
    <t>G-REQ-00312-E4</t>
  </si>
  <si>
    <t>SYNTHETIC: Laptop return; Completed; asset G-AST-00032</t>
  </si>
  <si>
    <t>G-REQ-01574</t>
  </si>
  <si>
    <t>G-REQ-00313-E1</t>
  </si>
  <si>
    <t>SYNTHETIC: Laptop allocation; Pending approval; asset G-AST-00178</t>
  </si>
  <si>
    <t>G-REQ-01575</t>
  </si>
  <si>
    <t>G-REQ-00313-E2</t>
  </si>
  <si>
    <t>SYNTHETIC: Laptop allocation; Approved; asset G-AST-00178</t>
  </si>
  <si>
    <t>G-REQ-00313-E3</t>
  </si>
  <si>
    <t>G-REQ-01576</t>
  </si>
  <si>
    <t>SYNTHETIC: Laptop allocation; In progress; asset G-AST-00178</t>
  </si>
  <si>
    <t>G-REQ-00313-E4</t>
  </si>
  <si>
    <t>G-REQ-01577</t>
  </si>
  <si>
    <t>SYNTHETIC: Laptop allocation; Completed; asset G-AST-00178</t>
  </si>
  <si>
    <t>G-REQ-01578</t>
  </si>
  <si>
    <t>G-REQ-00314-E1</t>
  </si>
  <si>
    <t>G-REQ-01579</t>
  </si>
  <si>
    <t>SYNTHETIC: Laptop allocation; Pending approval; asset G-AST-00179</t>
  </si>
  <si>
    <t>G-REQ-00314-E2</t>
  </si>
  <si>
    <t>G-REQ-01580</t>
  </si>
  <si>
    <t>G-REQ-01581</t>
  </si>
  <si>
    <t>SYNTHETIC: Laptop allocation; Approved; asset G-AST-00179</t>
  </si>
  <si>
    <t>G-REQ-00314-E3</t>
  </si>
  <si>
    <t>G-REQ-01582</t>
  </si>
  <si>
    <t>SYNTHETIC: Laptop allocation; In progress; asset G-AST-00179</t>
  </si>
  <si>
    <t>G-REQ-00314-E4</t>
  </si>
  <si>
    <t>G-REQ-01583</t>
  </si>
  <si>
    <t>G-REQ-01584</t>
  </si>
  <si>
    <t>SYNTHETIC: Laptop allocation; Completed; asset G-AST-00179</t>
  </si>
  <si>
    <t>G-REQ-00315-E1</t>
  </si>
  <si>
    <t>G-REQ-01585</t>
  </si>
  <si>
    <t>SYNTHETIC: Laptop allocation; Pending approval; asset G-AST-00180</t>
  </si>
  <si>
    <t>G-REQ-00315-E2</t>
  </si>
  <si>
    <t>G-REQ-01586</t>
  </si>
  <si>
    <t>SYNTHETIC: Laptop allocation; Approved; asset G-AST-00180</t>
  </si>
  <si>
    <t>G-REQ-01587</t>
  </si>
  <si>
    <t>G-REQ-00315-E3</t>
  </si>
  <si>
    <t>G-REQ-01588</t>
  </si>
  <si>
    <t>SYNTHETIC: Laptop allocation; In progress; asset G-AST-00180</t>
  </si>
  <si>
    <t>G-REQ-00315-E4</t>
  </si>
  <si>
    <t>G-REQ-01589</t>
  </si>
  <si>
    <t>SYNTHETIC: Laptop allocation; Completed; asset G-AST-00180</t>
  </si>
  <si>
    <t>G-REQ-00316-E1</t>
  </si>
  <si>
    <t>G-REQ-01590</t>
  </si>
  <si>
    <t>G-REQ-00316-E2</t>
  </si>
  <si>
    <t>G-REQ-01591</t>
  </si>
  <si>
    <t>G-REQ-01592</t>
  </si>
  <si>
    <t>G-REQ-00316-E3</t>
  </si>
  <si>
    <t>G-REQ-01593</t>
  </si>
  <si>
    <t>G-REQ-00316-E4</t>
  </si>
  <si>
    <t>G-REQ-01594</t>
  </si>
  <si>
    <t>G-REQ-00317-E1</t>
  </si>
  <si>
    <t>G-REQ-01595</t>
  </si>
  <si>
    <t>G-REQ-00317-E2</t>
  </si>
  <si>
    <t>G-REQ-01596</t>
  </si>
  <si>
    <t>G-REQ-00318-E1</t>
  </si>
  <si>
    <t>G-REQ-01597</t>
  </si>
  <si>
    <t>SYNTHETIC: Laptop repair; Pending approval; asset G-AST-00144</t>
  </si>
  <si>
    <t>G-REQ-00318-E2</t>
  </si>
  <si>
    <t>SYNTHETIC: Laptop repair; Approved; asset G-AST-00144</t>
  </si>
  <si>
    <t>G-REQ-01598</t>
  </si>
  <si>
    <t>G-REQ-00318-E3</t>
  </si>
  <si>
    <t>SYNTHETIC: Laptop repair; In progress; asset G-AST-00144</t>
  </si>
  <si>
    <t>G-REQ-01599</t>
  </si>
  <si>
    <t>G-REQ-00318-E4</t>
  </si>
  <si>
    <t>SYNTHETIC: Laptop repair; Completed; asset G-AST-00144</t>
  </si>
  <si>
    <t>G-REQ-00319-E1</t>
  </si>
  <si>
    <t>G-REQ-01600</t>
  </si>
  <si>
    <t>SYNTHETIC: Laptop return; Pending approval; asset G-AST-00113</t>
  </si>
  <si>
    <t>G-REQ-00319-E2</t>
  </si>
  <si>
    <t>G-REQ-01601</t>
  </si>
  <si>
    <t>SYNTHETIC: Laptop return; Approved; asset G-AST-00113</t>
  </si>
  <si>
    <t>G-REQ-00319-E3</t>
  </si>
  <si>
    <t>G-REQ-01602</t>
  </si>
  <si>
    <t>SYNTHETIC: Laptop return; In progress; asset G-AST-00113</t>
  </si>
  <si>
    <t>G-REQ-00319-E4</t>
  </si>
  <si>
    <t>G-REQ-01603</t>
  </si>
  <si>
    <t>SYNTHETIC: Laptop return; Completed; asset G-AST-00113</t>
  </si>
  <si>
    <t>G-REQ-00320-E1</t>
  </si>
  <si>
    <t>G-REQ-01604</t>
  </si>
  <si>
    <t>SYNTHETIC: Laptop return; Pending approval; asset G-AST-00058</t>
  </si>
  <si>
    <t>G-REQ-01605</t>
  </si>
  <si>
    <t>G-REQ-00320-E2</t>
  </si>
  <si>
    <t>G-REQ-01606</t>
  </si>
  <si>
    <t>SYNTHETIC: Laptop return; Approved; asset G-AST-00058</t>
  </si>
  <si>
    <t>G-REQ-00320-E3</t>
  </si>
  <si>
    <t>G-REQ-01607</t>
  </si>
  <si>
    <t>SYNTHETIC: Laptop return; In progress; asset G-AST-00058</t>
  </si>
  <si>
    <t>G-REQ-01608</t>
  </si>
  <si>
    <t>G-REQ-00320-E4</t>
  </si>
  <si>
    <t>G-REQ-01609</t>
  </si>
  <si>
    <t>SYNTHETIC: Laptop return; Completed; asset G-AST-00058</t>
  </si>
  <si>
    <t>G-REQ-00321-E1</t>
  </si>
  <si>
    <t>G-REQ-01610</t>
  </si>
  <si>
    <t>SYNTHETIC: Laptop repair; Pending approval; asset G-AST-00168</t>
  </si>
  <si>
    <t>G-REQ-00321-E2</t>
  </si>
  <si>
    <t>G-REQ-01611</t>
  </si>
  <si>
    <t>G-REQ-01612</t>
  </si>
  <si>
    <t>SYNTHETIC: Laptop repair; Approved; asset G-AST-00168</t>
  </si>
  <si>
    <t>G-REQ-00321-E3</t>
  </si>
  <si>
    <t>G-REQ-01613</t>
  </si>
  <si>
    <t>SYNTHETIC: Laptop repair; In progress; asset G-AST-00168</t>
  </si>
  <si>
    <t>G-REQ-00321-E4</t>
  </si>
  <si>
    <t>G-REQ-01614</t>
  </si>
  <si>
    <t>SYNTHETIC: Laptop repair; Completed; asset G-AST-00168</t>
  </si>
  <si>
    <t>G-REQ-00322-E1</t>
  </si>
  <si>
    <t>G-REQ-01615</t>
  </si>
  <si>
    <t>G-REQ-01616</t>
  </si>
  <si>
    <t>G-REQ-00322-E2</t>
  </si>
  <si>
    <t>G-REQ-01617</t>
  </si>
  <si>
    <t>G-REQ-00322-E3</t>
  </si>
  <si>
    <t>G-REQ-01618</t>
  </si>
  <si>
    <t>G-REQ-00322-E4</t>
  </si>
  <si>
    <t>G-REQ-01619</t>
  </si>
  <si>
    <t>G-REQ-01620</t>
  </si>
  <si>
    <t>G-REQ-00323-E1</t>
  </si>
  <si>
    <t>SYNTHETIC: Laptop allocation; Pending approval; asset G-AST-00181</t>
  </si>
  <si>
    <t>G-REQ-00323-E2</t>
  </si>
  <si>
    <t>SYNTHETIC: Laptop allocation; Approved; asset G-AST-00181</t>
  </si>
  <si>
    <t>G-REQ-00323-E3</t>
  </si>
  <si>
    <t>SYNTHETIC: Laptop allocation; In progress; asset G-AST-00181</t>
  </si>
  <si>
    <t>G-REQ-00323-E4</t>
  </si>
  <si>
    <t>G-REQ-01621</t>
  </si>
  <si>
    <t>SYNTHETIC: Laptop allocation; Completed; asset G-AST-00181</t>
  </si>
  <si>
    <t>G-REQ-00324-E1</t>
  </si>
  <si>
    <t>G-REQ-01622</t>
  </si>
  <si>
    <t>SYNTHETIC: Laptop return; Pending approval; asset G-AST-00022</t>
  </si>
  <si>
    <t>G-REQ-00324-E2</t>
  </si>
  <si>
    <t>G-REQ-01623</t>
  </si>
  <si>
    <t>SYNTHETIC: Laptop return; Approved; asset G-AST-00022</t>
  </si>
  <si>
    <t>G-REQ-00324-E3</t>
  </si>
  <si>
    <t>SYNTHETIC: Laptop return; In progress; asset G-AST-00022</t>
  </si>
  <si>
    <t>G-REQ-01624</t>
  </si>
  <si>
    <t>G-REQ-00324-E4</t>
  </si>
  <si>
    <t>SYNTHETIC: Laptop return; Completed; asset G-AST-00022</t>
  </si>
  <si>
    <t>G-REQ-00325-E1</t>
  </si>
  <si>
    <t>G-REQ-01625</t>
  </si>
  <si>
    <t>SYNTHETIC: Laptop allocation; Pending approval; asset G-AST-00182</t>
  </si>
  <si>
    <t>G-REQ-00325-E2</t>
  </si>
  <si>
    <t>G-REQ-01626</t>
  </si>
  <si>
    <t>SYNTHETIC: Laptop allocation; Approved; asset G-AST-00182</t>
  </si>
  <si>
    <t>G-REQ-00325-E3</t>
  </si>
  <si>
    <t>SYNTHETIC: Laptop allocation; In progress; asset G-AST-00182</t>
  </si>
  <si>
    <t>G-REQ-00325-E4</t>
  </si>
  <si>
    <t>G-REQ-01627</t>
  </si>
  <si>
    <t>SYNTHETIC: Laptop allocation; Completed; asset G-AST-00182</t>
  </si>
  <si>
    <t>G-REQ-00326-E1</t>
  </si>
  <si>
    <t>G-REQ-01628</t>
  </si>
  <si>
    <t>SYNTHETIC: Laptop return; Pending approval; asset G-AST-00005</t>
  </si>
  <si>
    <t>G-REQ-00326-E2</t>
  </si>
  <si>
    <t>G-REQ-01629</t>
  </si>
  <si>
    <t>SYNTHETIC: Laptop return; Approved; asset G-AST-00005</t>
  </si>
  <si>
    <t>G-REQ-00326-E3</t>
  </si>
  <si>
    <t>G-REQ-01630</t>
  </si>
  <si>
    <t>SYNTHETIC: Laptop return; In progress; asset G-AST-00005</t>
  </si>
  <si>
    <t>G-REQ-00326-E4</t>
  </si>
  <si>
    <t>G-REQ-01631</t>
  </si>
  <si>
    <t>SYNTHETIC: Laptop return; Completed; asset G-AST-00005</t>
  </si>
  <si>
    <t>G-REQ-00327-E1</t>
  </si>
  <si>
    <t>G-REQ-01632</t>
  </si>
  <si>
    <t>SYNTHETIC: Laptop return; Pending approval; asset G-AST-00108</t>
  </si>
  <si>
    <t>G-REQ-00327-E2</t>
  </si>
  <si>
    <t>G-REQ-01633</t>
  </si>
  <si>
    <t>SYNTHETIC: Laptop return; Cancelled; asset G-AST-00108</t>
  </si>
  <si>
    <t>G-REQ-00328-E1</t>
  </si>
  <si>
    <t>G-REQ-01634</t>
  </si>
  <si>
    <t>SYNTHETIC: Laptop allocation; Pending approval; asset G-AST-00183</t>
  </si>
  <si>
    <t>G-REQ-00328-E2</t>
  </si>
  <si>
    <t>G-REQ-01635</t>
  </si>
  <si>
    <t>SYNTHETIC: Laptop allocation; Approved; asset G-AST-00183</t>
  </si>
  <si>
    <t>G-REQ-00328-E3</t>
  </si>
  <si>
    <t>G-REQ-01636</t>
  </si>
  <si>
    <t>SYNTHETIC: Laptop allocation; In progress; asset G-AST-00183</t>
  </si>
  <si>
    <t>G-REQ-00328-E4</t>
  </si>
  <si>
    <t>SYNTHETIC: Laptop allocation; Completed; asset G-AST-00183</t>
  </si>
  <si>
    <t>G-REQ-01637</t>
  </si>
  <si>
    <t>G-REQ-00329-E1</t>
  </si>
  <si>
    <t>G-REQ-01638</t>
  </si>
  <si>
    <t>G-REQ-00329-E2</t>
  </si>
  <si>
    <t>G-REQ-00329-E3</t>
  </si>
  <si>
    <t>G-REQ-01639</t>
  </si>
  <si>
    <t>G-REQ-00329-E4</t>
  </si>
  <si>
    <t>G-REQ-01640</t>
  </si>
  <si>
    <t>G-REQ-00330-E1</t>
  </si>
  <si>
    <t>G-REQ-01641</t>
  </si>
  <si>
    <t>SYNTHETIC: Laptop allocation; Pending approval; asset G-AST-00184</t>
  </si>
  <si>
    <t>G-REQ-01642</t>
  </si>
  <si>
    <t>G-REQ-01643</t>
  </si>
  <si>
    <t>G-REQ-00330-E2</t>
  </si>
  <si>
    <t>G-REQ-01644</t>
  </si>
  <si>
    <t>SYNTHETIC: Laptop allocation; Approved; asset G-AST-00184</t>
  </si>
  <si>
    <t>G-REQ-00330-E3</t>
  </si>
  <si>
    <t>G-REQ-01645</t>
  </si>
  <si>
    <t>SYNTHETIC: Laptop allocation; In progress; asset G-AST-00184</t>
  </si>
  <si>
    <t>G-REQ-00330-E4</t>
  </si>
  <si>
    <t>SYNTHETIC: Laptop allocation; Completed; asset G-AST-00184</t>
  </si>
  <si>
    <t>G-REQ-01646</t>
  </si>
  <si>
    <t>G-REQ-00331-E1</t>
  </si>
  <si>
    <t>G-REQ-00331-E2</t>
  </si>
  <si>
    <t>G-REQ-01647</t>
  </si>
  <si>
    <t>G-REQ-00332-E1</t>
  </si>
  <si>
    <t>G-REQ-01648</t>
  </si>
  <si>
    <t>SYNTHETIC: Laptop return; Pending approval; asset G-AST-00017</t>
  </si>
  <si>
    <t>G-REQ-00332-E2</t>
  </si>
  <si>
    <t>G-REQ-01649</t>
  </si>
  <si>
    <t>SYNTHETIC: Laptop return; Approved; asset G-AST-00017</t>
  </si>
  <si>
    <t>G-REQ-00332-E3</t>
  </si>
  <si>
    <t>G-REQ-01650</t>
  </si>
  <si>
    <t>SYNTHETIC: Laptop return; In progress; asset G-AST-00017</t>
  </si>
  <si>
    <t>G-REQ-00332-E4</t>
  </si>
  <si>
    <t>G-REQ-01651</t>
  </si>
  <si>
    <t>SYNTHETIC: Laptop return; Completed; asset G-AST-00017</t>
  </si>
  <si>
    <t>G-REQ-00333-E1</t>
  </si>
  <si>
    <t>G-REQ-01652</t>
  </si>
  <si>
    <t>SYNTHETIC: Laptop allocation; Pending approval; asset G-AST-00185</t>
  </si>
  <si>
    <t>G-REQ-00333-E2</t>
  </si>
  <si>
    <t>G-REQ-01653</t>
  </si>
  <si>
    <t>SYNTHETIC: Laptop allocation; Approved; asset G-AST-00185</t>
  </si>
  <si>
    <t>G-REQ-00333-E3</t>
  </si>
  <si>
    <t>SYNTHETIC: Laptop allocation; In progress; asset G-AST-00185</t>
  </si>
  <si>
    <t>G-REQ-01654</t>
  </si>
  <si>
    <t>G-REQ-00333-E4</t>
  </si>
  <si>
    <t>SYNTHETIC: Laptop allocation; Completed; asset G-AST-00185</t>
  </si>
  <si>
    <t>G-REQ-01655</t>
  </si>
  <si>
    <t>G-REQ-00334-E1</t>
  </si>
  <si>
    <t>SYNTHETIC: Laptop allocation; Pending approval; asset G-AST-00186</t>
  </si>
  <si>
    <t>G-REQ-01656</t>
  </si>
  <si>
    <t>G-REQ-00334-E2</t>
  </si>
  <si>
    <t>SYNTHETIC: Laptop allocation; Approved; asset G-AST-00186</t>
  </si>
  <si>
    <t>G-REQ-01657</t>
  </si>
  <si>
    <t>G-REQ-00334-E3</t>
  </si>
  <si>
    <t>SYNTHETIC: Laptop allocation; In progress; asset G-AST-00186</t>
  </si>
  <si>
    <t>G-REQ-00334-E4</t>
  </si>
  <si>
    <t>G-REQ-01658</t>
  </si>
  <si>
    <t>SYNTHETIC: Laptop allocation; Completed; asset G-AST-00186</t>
  </si>
  <si>
    <t>G-REQ-00335-E1</t>
  </si>
  <si>
    <t>G-REQ-01659</t>
  </si>
  <si>
    <t>SYNTHETIC: Laptop allocation; Pending approval; asset G-AST-00187</t>
  </si>
  <si>
    <t>G-REQ-00335-E2</t>
  </si>
  <si>
    <t>G-REQ-01660</t>
  </si>
  <si>
    <t>SYNTHETIC: Laptop allocation; Approved; asset G-AST-00187</t>
  </si>
  <si>
    <t>G-REQ-00335-E3</t>
  </si>
  <si>
    <t>G-REQ-01661</t>
  </si>
  <si>
    <t>SYNTHETIC: Laptop allocation; In progress; asset G-AST-00187</t>
  </si>
  <si>
    <t>G-REQ-00335-E4</t>
  </si>
  <si>
    <t>G-REQ-01662</t>
  </si>
  <si>
    <t>SYNTHETIC: Laptop allocation; Completed; asset G-AST-00187</t>
  </si>
  <si>
    <t>G-REQ-00336-E1</t>
  </si>
  <si>
    <t>SYNTHETIC: Laptop allocation; Pending approval; asset G-AST-00188</t>
  </si>
  <si>
    <t>G-REQ-01663</t>
  </si>
  <si>
    <t>G-REQ-00336-E2</t>
  </si>
  <si>
    <t>SYNTHETIC: Laptop allocation; Approved; asset G-AST-00188</t>
  </si>
  <si>
    <t>G-REQ-01664</t>
  </si>
  <si>
    <t>G-REQ-00336-E3</t>
  </si>
  <si>
    <t>SYNTHETIC: Laptop allocation; In progress; asset G-AST-00188</t>
  </si>
  <si>
    <t>G-REQ-00336-E4</t>
  </si>
  <si>
    <t>G-REQ-01665</t>
  </si>
  <si>
    <t>SYNTHETIC: Laptop allocation; Completed; asset G-AST-00188</t>
  </si>
  <si>
    <t>G-REQ-00337-E1</t>
  </si>
  <si>
    <t>G-REQ-01666</t>
  </si>
  <si>
    <t>SYNTHETIC: Laptop allocation; Pending approval; asset G-AST-00189</t>
  </si>
  <si>
    <t>G-REQ-00337-E2</t>
  </si>
  <si>
    <t>G-REQ-01667</t>
  </si>
  <si>
    <t>SYNTHETIC: Laptop allocation; Approved; asset G-AST-00189</t>
  </si>
  <si>
    <t>G-REQ-00337-E3</t>
  </si>
  <si>
    <t>G-REQ-01668</t>
  </si>
  <si>
    <t>SYNTHETIC: Laptop allocation; In progress; asset G-AST-00189</t>
  </si>
  <si>
    <t>G-REQ-00337-E4</t>
  </si>
  <si>
    <t>G-REQ-01669</t>
  </si>
  <si>
    <t>SYNTHETIC: Laptop allocation; Completed; asset G-AST-00189</t>
  </si>
  <si>
    <t>G-REQ-00338-E1</t>
  </si>
  <si>
    <t>SYNTHETIC: Laptop repair; Pending approval; asset G-AST-00166</t>
  </si>
  <si>
    <t>G-REQ-00338-E2</t>
  </si>
  <si>
    <t>G-REQ-01670</t>
  </si>
  <si>
    <t>SYNTHETIC: Laptop repair; Approved; asset G-AST-00166</t>
  </si>
  <si>
    <t>G-REQ-00338-E3</t>
  </si>
  <si>
    <t>SYNTHETIC: Laptop repair; In progress; asset G-AST-00166</t>
  </si>
  <si>
    <t>G-REQ-01671</t>
  </si>
  <si>
    <t>G-REQ-00338-E4</t>
  </si>
  <si>
    <t>SYNTHETIC: Laptop repair; Completed; asset G-AST-00166</t>
  </si>
  <si>
    <t>G-REQ-00339-E1</t>
  </si>
  <si>
    <t>G-REQ-01672</t>
  </si>
  <si>
    <t>SYNTHETIC: Laptop return; Pending approval; asset G-AST-00171</t>
  </si>
  <si>
    <t>G-REQ-00339-E2</t>
  </si>
  <si>
    <t>G-REQ-01673</t>
  </si>
  <si>
    <t>SYNTHETIC: Laptop return; Rejected; asset G-AST-00171</t>
  </si>
  <si>
    <t>G-REQ-00340-E1</t>
  </si>
  <si>
    <t>G-REQ-01674</t>
  </si>
  <si>
    <t>SYNTHETIC: Laptop return; Pending approval; asset G-AST-00040</t>
  </si>
  <si>
    <t>G-REQ-00340-E2</t>
  </si>
  <si>
    <t>G-REQ-01675</t>
  </si>
  <si>
    <t>SYNTHETIC: Laptop return; Approved; asset G-AST-00040</t>
  </si>
  <si>
    <t>G-REQ-00340-E3</t>
  </si>
  <si>
    <t>SYNTHETIC: Laptop return; In progress; asset G-AST-00040</t>
  </si>
  <si>
    <t>G-REQ-01676</t>
  </si>
  <si>
    <t>G-REQ-00340-E4</t>
  </si>
  <si>
    <t>SYNTHETIC: Laptop return; Completed; asset G-AST-00040</t>
  </si>
  <si>
    <t>G-REQ-00341-E1</t>
  </si>
  <si>
    <t>G-REQ-01677</t>
  </si>
  <si>
    <t>SYNTHETIC: Laptop allocation; Pending approval; asset G-AST-00190</t>
  </si>
  <si>
    <t>G-REQ-00341-E2</t>
  </si>
  <si>
    <t>G-REQ-01678</t>
  </si>
  <si>
    <t>SYNTHETIC: Laptop allocation; Approved; asset G-AST-00190</t>
  </si>
  <si>
    <t>G-REQ-00341-E3</t>
  </si>
  <si>
    <t>G-REQ-01679</t>
  </si>
  <si>
    <t>SYNTHETIC: Laptop allocation; In progress; asset G-AST-00190</t>
  </si>
  <si>
    <t>G-REQ-00341-E4</t>
  </si>
  <si>
    <t>G-REQ-01680</t>
  </si>
  <si>
    <t>SYNTHETIC: Laptop allocation; Completed; asset G-AST-00190</t>
  </si>
  <si>
    <t>G-REQ-00342-E1</t>
  </si>
  <si>
    <t>G-REQ-01681</t>
  </si>
  <si>
    <t>SYNTHETIC: Laptop allocation; Pending approval; asset G-AST-00191</t>
  </si>
  <si>
    <t>G-REQ-00342-E2</t>
  </si>
  <si>
    <t>SYNTHETIC: Laptop allocation; Approved; asset G-AST-00191</t>
  </si>
  <si>
    <t>G-REQ-00342-E3</t>
  </si>
  <si>
    <t>G-REQ-01682</t>
  </si>
  <si>
    <t>SYNTHETIC: Laptop allocation; In progress; asset G-AST-00191</t>
  </si>
  <si>
    <t>G-REQ-00342-E4</t>
  </si>
  <si>
    <t>G-REQ-01683</t>
  </si>
  <si>
    <t>SYNTHETIC: Laptop allocation; Completed; asset G-AST-00191</t>
  </si>
  <si>
    <t>G-REQ-00343-E1</t>
  </si>
  <si>
    <t>G-REQ-01684</t>
  </si>
  <si>
    <t>SYNTHETIC: Laptop repair; Pending approval; asset G-AST-00139</t>
  </si>
  <si>
    <t>G-REQ-00343-E2</t>
  </si>
  <si>
    <t>G-REQ-01685</t>
  </si>
  <si>
    <t>SYNTHETIC: Laptop repair; Approved; asset G-AST-00139</t>
  </si>
  <si>
    <t>G-REQ-00343-E3</t>
  </si>
  <si>
    <t>G-REQ-01686</t>
  </si>
  <si>
    <t>SYNTHETIC: Laptop repair; In progress; asset G-AST-00139</t>
  </si>
  <si>
    <t>G-REQ-00343-E4</t>
  </si>
  <si>
    <t>G-REQ-01687</t>
  </si>
  <si>
    <t>SYNTHETIC: Laptop repair; Completed; asset G-AST-00139</t>
  </si>
  <si>
    <t>G-REQ-00344-E1</t>
  </si>
  <si>
    <t>G-REQ-01688</t>
  </si>
  <si>
    <t>SYNTHETIC: Laptop allocation; Pending approval; asset G-AST-00192</t>
  </si>
  <si>
    <t>G-REQ-00344-E2</t>
  </si>
  <si>
    <t>SYNTHETIC: Laptop allocation; Approved; asset G-AST-00192</t>
  </si>
  <si>
    <t>G-REQ-01689</t>
  </si>
  <si>
    <t>G-REQ-00344-E3</t>
  </si>
  <si>
    <t>SYNTHETIC: Laptop allocation; In progress; asset G-AST-00192</t>
  </si>
  <si>
    <t>G-REQ-00344-E4</t>
  </si>
  <si>
    <t>G-REQ-01690</t>
  </si>
  <si>
    <t>SYNTHETIC: Laptop allocation; Completed; asset G-AST-00192</t>
  </si>
  <si>
    <t>G-REQ-00345-E1</t>
  </si>
  <si>
    <t>G-REQ-01691</t>
  </si>
  <si>
    <t>SYNTHETIC: Laptop return; Pending approval; asset G-AST-00187</t>
  </si>
  <si>
    <t>G-REQ-00345-E2</t>
  </si>
  <si>
    <t>G-REQ-01692</t>
  </si>
  <si>
    <t>SYNTHETIC: Laptop return; Cancelled; asset G-AST-00187</t>
  </si>
  <si>
    <t>G-REQ-00346-E1</t>
  </si>
  <si>
    <t>G-REQ-01693</t>
  </si>
  <si>
    <t>SYNTHETIC: Laptop repair; Pending approval; asset G-AST-00002</t>
  </si>
  <si>
    <t>G-REQ-00346-E2</t>
  </si>
  <si>
    <t>G-REQ-01694</t>
  </si>
  <si>
    <t>SYNTHETIC: Laptop repair; Approved; asset G-AST-00002</t>
  </si>
  <si>
    <t>G-REQ-00346-E3</t>
  </si>
  <si>
    <t>G-REQ-01695</t>
  </si>
  <si>
    <t>SYNTHETIC: Laptop repair; In progress; asset G-AST-00002</t>
  </si>
  <si>
    <t>G-REQ-00346-E4</t>
  </si>
  <si>
    <t>G-REQ-01696</t>
  </si>
  <si>
    <t>SYNTHETIC: Laptop repair; Completed; asset G-AST-00002</t>
  </si>
  <si>
    <t>G-REQ-00347-E1</t>
  </si>
  <si>
    <t>G-REQ-01697</t>
  </si>
  <si>
    <t>G-REQ-00347-E2</t>
  </si>
  <si>
    <t>G-REQ-01698</t>
  </si>
  <si>
    <t>G-REQ-00348-E1</t>
  </si>
  <si>
    <t>G-REQ-01699</t>
  </si>
  <si>
    <t>SYNTHETIC: Laptop return; Pending approval; asset G-AST-00019</t>
  </si>
  <si>
    <t>G-REQ-00348-E2</t>
  </si>
  <si>
    <t>G-REQ-01700</t>
  </si>
  <si>
    <t>SYNTHETIC: Laptop return; Approved; asset G-AST-00019</t>
  </si>
  <si>
    <t>G-REQ-00348-E3</t>
  </si>
  <si>
    <t>G-REQ-01701</t>
  </si>
  <si>
    <t>SYNTHETIC: Laptop return; In progress; asset G-AST-00019</t>
  </si>
  <si>
    <t>G-REQ-00348-E4</t>
  </si>
  <si>
    <t>G-REQ-01702</t>
  </si>
  <si>
    <t>SYNTHETIC: Laptop return; Completed; asset G-AST-00019</t>
  </si>
  <si>
    <t>G-REQ-00349-E1</t>
  </si>
  <si>
    <t>G-REQ-01703</t>
  </si>
  <si>
    <t>SYNTHETIC: Laptop repair; Pending approval; asset G-AST-00187</t>
  </si>
  <si>
    <t>G-REQ-00349-E2</t>
  </si>
  <si>
    <t>SYNTHETIC: Laptop repair; Approved; asset G-AST-00187</t>
  </si>
  <si>
    <t>G-REQ-01704</t>
  </si>
  <si>
    <t>G-REQ-00349-E3</t>
  </si>
  <si>
    <t>SYNTHETIC: Laptop repair; In progress; asset G-AST-00187</t>
  </si>
  <si>
    <t>G-REQ-00349-E4</t>
  </si>
  <si>
    <t>G-REQ-01705</t>
  </si>
  <si>
    <t>SYNTHETIC: Laptop repair; Completed; asset G-AST-00187</t>
  </si>
  <si>
    <t>G-REQ-00350-E1</t>
  </si>
  <si>
    <t>G-REQ-01706</t>
  </si>
  <si>
    <t>SYNTHETIC: Laptop allocation; Pending approval; asset G-AST-00193</t>
  </si>
  <si>
    <t>G-REQ-00350-E2</t>
  </si>
  <si>
    <t>G-REQ-01707</t>
  </si>
  <si>
    <t>SYNTHETIC: Laptop allocation; Approved; asset G-AST-00193</t>
  </si>
  <si>
    <t>G-REQ-00350-E3</t>
  </si>
  <si>
    <t>G-REQ-01708</t>
  </si>
  <si>
    <t>SYNTHETIC: Laptop allocation; In progress; asset G-AST-00193</t>
  </si>
  <si>
    <t>G-REQ-00350-E4</t>
  </si>
  <si>
    <t>SYNTHETIC: Laptop allocation; Completed; asset G-AST-00193</t>
  </si>
  <si>
    <t>G-REQ-01709</t>
  </si>
  <si>
    <t>G-REQ-00351-E1</t>
  </si>
  <si>
    <t>SYNTHETIC: Laptop allocation; Pending approval; asset G-AST-00194</t>
  </si>
  <si>
    <t>G-REQ-01710</t>
  </si>
  <si>
    <t>G-REQ-00351-E2</t>
  </si>
  <si>
    <t>SYNTHETIC: Laptop allocation; Approved; asset G-AST-00194</t>
  </si>
  <si>
    <t>G-REQ-00351-E3</t>
  </si>
  <si>
    <t>G-REQ-01711</t>
  </si>
  <si>
    <t>SYNTHETIC: Laptop allocation; In progress; asset G-AST-00194</t>
  </si>
  <si>
    <t>G-REQ-00351-E4</t>
  </si>
  <si>
    <t>G-REQ-01712</t>
  </si>
  <si>
    <t>SYNTHETIC: Laptop allocation; Completed; asset G-AST-00194</t>
  </si>
  <si>
    <t>G-REQ-00352-E1</t>
  </si>
  <si>
    <t>G-REQ-01713</t>
  </si>
  <si>
    <t>SYNTHETIC: Laptop allocation; Pending approval; asset G-AST-00195</t>
  </si>
  <si>
    <t>G-REQ-00352-E2</t>
  </si>
  <si>
    <t>G-REQ-01714</t>
  </si>
  <si>
    <t>SYNTHETIC: Laptop allocation; Approved; asset G-AST-00195</t>
  </si>
  <si>
    <t>G-REQ-00352-E3</t>
  </si>
  <si>
    <t>G-REQ-01715</t>
  </si>
  <si>
    <t>SYNTHETIC: Laptop allocation; In progress; asset G-AST-00195</t>
  </si>
  <si>
    <t>G-REQ-00352-E4</t>
  </si>
  <si>
    <t>G-REQ-01716</t>
  </si>
  <si>
    <t>SYNTHETIC: Laptop allocation; Completed; asset G-AST-00195</t>
  </si>
  <si>
    <t>G-REQ-00353-E1</t>
  </si>
  <si>
    <t>G-REQ-01717</t>
  </si>
  <si>
    <t>G-REQ-00353-E2</t>
  </si>
  <si>
    <t>G-REQ-01718</t>
  </si>
  <si>
    <t>SYNTHETIC: Laptop return; Approved; asset G-AST-00187</t>
  </si>
  <si>
    <t>G-REQ-00353-E3</t>
  </si>
  <si>
    <t>SYNTHETIC: Laptop return; In progress; asset G-AST-00187</t>
  </si>
  <si>
    <t>G-REQ-01719</t>
  </si>
  <si>
    <t>G-REQ-00353-E4</t>
  </si>
  <si>
    <t>SYNTHETIC: Laptop return; Completed; asset G-AST-00187</t>
  </si>
  <si>
    <t>G-REQ-00354-E1</t>
  </si>
  <si>
    <t>G-REQ-01720</t>
  </si>
  <si>
    <t>SYNTHETIC: Laptop allocation; Pending approval; asset G-AST-00196</t>
  </si>
  <si>
    <t>G-REQ-00354-E2</t>
  </si>
  <si>
    <t>G-REQ-01721</t>
  </si>
  <si>
    <t>SYNTHETIC: Laptop allocation; Approved; asset G-AST-00196</t>
  </si>
  <si>
    <t>G-REQ-01722</t>
  </si>
  <si>
    <t>G-REQ-00354-E3</t>
  </si>
  <si>
    <t>SYNTHETIC: Laptop allocation; In progress; asset G-AST-00196</t>
  </si>
  <si>
    <t>G-REQ-00354-E4</t>
  </si>
  <si>
    <t>G-REQ-01723</t>
  </si>
  <si>
    <t>SYNTHETIC: Laptop allocation; Completed; asset G-AST-00196</t>
  </si>
  <si>
    <t>G-REQ-00355-E1</t>
  </si>
  <si>
    <t>G-REQ-01724</t>
  </si>
  <si>
    <t>SYNTHETIC: Laptop repair; Pending approval; asset G-AST-00167</t>
  </si>
  <si>
    <t>G-REQ-00355-E2</t>
  </si>
  <si>
    <t>G-REQ-01725</t>
  </si>
  <si>
    <t>SYNTHETIC: Laptop repair; Approved; asset G-AST-00167</t>
  </si>
  <si>
    <t>G-REQ-00355-E3</t>
  </si>
  <si>
    <t>G-REQ-01726</t>
  </si>
  <si>
    <t>SYNTHETIC: Laptop repair; In progress; asset G-AST-00167</t>
  </si>
  <si>
    <t>G-REQ-00355-E4</t>
  </si>
  <si>
    <t>G-REQ-01727</t>
  </si>
  <si>
    <t>SYNTHETIC: Laptop repair; Completed; asset G-AST-00167</t>
  </si>
  <si>
    <t>G-REQ-00356-E1</t>
  </si>
  <si>
    <t>G-REQ-01728</t>
  </si>
  <si>
    <t>SYNTHETIC: Laptop allocation; Pending approval; asset G-AST-00197</t>
  </si>
  <si>
    <t>G-REQ-00356-E2</t>
  </si>
  <si>
    <t>SYNTHETIC: Laptop allocation; Approved; asset G-AST-00197</t>
  </si>
  <si>
    <t>G-REQ-00356-E3</t>
  </si>
  <si>
    <t>G-REQ-01729</t>
  </si>
  <si>
    <t>SYNTHETIC: Laptop allocation; In progress; asset G-AST-00197</t>
  </si>
  <si>
    <t>G-REQ-00356-E4</t>
  </si>
  <si>
    <t>G-REQ-01730</t>
  </si>
  <si>
    <t>SYNTHETIC: Laptop allocation; Completed; asset G-AST-00197</t>
  </si>
  <si>
    <t>G-REQ-00357-E1</t>
  </si>
  <si>
    <t>SYNTHETIC: Laptop repair; Pending approval; asset G-AST-00160</t>
  </si>
  <si>
    <t>G-REQ-01731</t>
  </si>
  <si>
    <t>G-REQ-00357-E2</t>
  </si>
  <si>
    <t>SYNTHETIC: Laptop repair; Approved; asset G-AST-00160</t>
  </si>
  <si>
    <t>G-REQ-01732</t>
  </si>
  <si>
    <t>G-REQ-00357-E3</t>
  </si>
  <si>
    <t>SYNTHETIC: Laptop repair; In progress; asset G-AST-00160</t>
  </si>
  <si>
    <t>G-REQ-00357-E4</t>
  </si>
  <si>
    <t>G-REQ-01733</t>
  </si>
  <si>
    <t>SYNTHETIC: Laptop repair; Completed; asset G-AST-00160</t>
  </si>
  <si>
    <t>G-REQ-00358-E1</t>
  </si>
  <si>
    <t>G-REQ-01734</t>
  </si>
  <si>
    <t>SYNTHETIC: Laptop return; Pending approval; asset G-AST-00065</t>
  </si>
  <si>
    <t>G-REQ-00358-E2</t>
  </si>
  <si>
    <t>G-REQ-01735</t>
  </si>
  <si>
    <t>SYNTHETIC: Laptop return; Approved; asset G-AST-00065</t>
  </si>
  <si>
    <t>G-REQ-00358-E3</t>
  </si>
  <si>
    <t>G-REQ-01736</t>
  </si>
  <si>
    <t>SYNTHETIC: Laptop return; In progress; asset G-AST-00065</t>
  </si>
  <si>
    <t>G-REQ-00358-E4</t>
  </si>
  <si>
    <t>G-REQ-01737</t>
  </si>
  <si>
    <t>SYNTHETIC: Laptop return; Completed; asset G-AST-00065</t>
  </si>
  <si>
    <t>G-REQ-00359-E1</t>
  </si>
  <si>
    <t>G-REQ-01738</t>
  </si>
  <si>
    <t>SYNTHETIC: Laptop allocation; Pending approval; asset G-AST-00198</t>
  </si>
  <si>
    <t>G-REQ-00359-E2</t>
  </si>
  <si>
    <t>SYNTHETIC: Laptop allocation; Approved; asset G-AST-00198</t>
  </si>
  <si>
    <t>G-REQ-01739</t>
  </si>
  <si>
    <t>G-REQ-00359-E3</t>
  </si>
  <si>
    <t>SYNTHETIC: Laptop allocation; In progress; asset G-AST-00198</t>
  </si>
  <si>
    <t>G-REQ-01740</t>
  </si>
  <si>
    <t>G-REQ-00359-E4</t>
  </si>
  <si>
    <t>SYNTHETIC: Laptop allocation; Completed; asset G-AST-00198</t>
  </si>
  <si>
    <t>G-REQ-00360-E1</t>
  </si>
  <si>
    <t>G-REQ-01741</t>
  </si>
  <si>
    <t>SYNTHETIC: Laptop allocation; Pending approval; asset G-AST-00199</t>
  </si>
  <si>
    <t>G-REQ-00360-E2</t>
  </si>
  <si>
    <t>G-REQ-01742</t>
  </si>
  <si>
    <t>SYNTHETIC: Laptop allocation; Approved; asset G-AST-00199</t>
  </si>
  <si>
    <t>G-REQ-00360-E3</t>
  </si>
  <si>
    <t>G-REQ-01743</t>
  </si>
  <si>
    <t>SYNTHETIC: Laptop allocation; In progress; asset G-AST-00199</t>
  </si>
  <si>
    <t>G-REQ-00360-E4</t>
  </si>
  <si>
    <t>G-REQ-01744</t>
  </si>
  <si>
    <t>SYNTHETIC: Laptop allocation; Completed; asset G-AST-00199</t>
  </si>
  <si>
    <t>G-REQ-00361-E1</t>
  </si>
  <si>
    <t>G-REQ-01745</t>
  </si>
  <si>
    <t>SYNTHETIC: Laptop allocation; Pending approval; asset G-AST-00200</t>
  </si>
  <si>
    <t>G-REQ-00361-E2</t>
  </si>
  <si>
    <t>G-REQ-01746</t>
  </si>
  <si>
    <t>SYNTHETIC: Laptop allocation; Approved; asset G-AST-00200</t>
  </si>
  <si>
    <t>G-REQ-00361-E3</t>
  </si>
  <si>
    <t>SYNTHETIC: Laptop allocation; In progress; asset G-AST-00200</t>
  </si>
  <si>
    <t>G-REQ-01747</t>
  </si>
  <si>
    <t>G-REQ-00361-E4</t>
  </si>
  <si>
    <t>SYNTHETIC: Laptop allocation; Completed; asset G-AST-00200</t>
  </si>
  <si>
    <t>G-REQ-00362-E1</t>
  </si>
  <si>
    <t>G-REQ-01748</t>
  </si>
  <si>
    <t>SYNTHETIC: Laptop repair; Pending approval; asset G-AST-00086</t>
  </si>
  <si>
    <t>G-REQ-00362-E2</t>
  </si>
  <si>
    <t>G-REQ-01749</t>
  </si>
  <si>
    <t>SYNTHETIC: Laptop repair; Approved; asset G-AST-00086</t>
  </si>
  <si>
    <t>G-REQ-00362-E3</t>
  </si>
  <si>
    <t>G-REQ-01750</t>
  </si>
  <si>
    <t>SYNTHETIC: Laptop repair; In progress; asset G-AST-00086</t>
  </si>
  <si>
    <t>G-REQ-00362-E4</t>
  </si>
  <si>
    <t>G-REQ-01751</t>
  </si>
  <si>
    <t>SYNTHETIC: Laptop repair; Completed; asset G-AST-00086</t>
  </si>
  <si>
    <t>G-REQ-00363-E1</t>
  </si>
  <si>
    <t>G-REQ-01752</t>
  </si>
  <si>
    <t>SYNTHETIC: Laptop return; Pending approval; asset G-AST-00123</t>
  </si>
  <si>
    <t>G-REQ-00363-E2</t>
  </si>
  <si>
    <t>SYNTHETIC: Laptop return; Approved; asset G-AST-00123</t>
  </si>
  <si>
    <t>G-REQ-01753</t>
  </si>
  <si>
    <t>G-REQ-00363-E3</t>
  </si>
  <si>
    <t>SYNTHETIC: Laptop return; In progress; asset G-AST-00123</t>
  </si>
  <si>
    <t>G-REQ-01754</t>
  </si>
  <si>
    <t>G-REQ-00363-E4</t>
  </si>
  <si>
    <t>SYNTHETIC: Laptop return; Completed; asset G-AST-00123</t>
  </si>
  <si>
    <t>G-REQ-00364-E1</t>
  </si>
  <si>
    <t>G-REQ-01755</t>
  </si>
  <si>
    <t>SYNTHETIC: Laptop allocation; Pending approval; asset G-AST-00201</t>
  </si>
  <si>
    <t>G-REQ-01756</t>
  </si>
  <si>
    <t>G-REQ-00364-E2</t>
  </si>
  <si>
    <t>SYNTHETIC: Laptop allocation; Approved; asset G-AST-00201</t>
  </si>
  <si>
    <t>G-REQ-00364-E3</t>
  </si>
  <si>
    <t>G-REQ-01757</t>
  </si>
  <si>
    <t>SYNTHETIC: Laptop allocation; In progress; asset G-AST-00201</t>
  </si>
  <si>
    <t>G-REQ-00364-E4</t>
  </si>
  <si>
    <t>G-REQ-01758</t>
  </si>
  <si>
    <t>SYNTHETIC: Laptop allocation; Completed; asset G-AST-00201</t>
  </si>
  <si>
    <t>G-REQ-00365-E1</t>
  </si>
  <si>
    <t>G-REQ-01759</t>
  </si>
  <si>
    <t>SYNTHETIC: Laptop allocation; Pending approval; asset G-AST-00202</t>
  </si>
  <si>
    <t>G-REQ-00365-E2</t>
  </si>
  <si>
    <t>G-REQ-01760</t>
  </si>
  <si>
    <t>SYNTHETIC: Laptop allocation; Approved; asset G-AST-00202</t>
  </si>
  <si>
    <t>G-REQ-00365-E3</t>
  </si>
  <si>
    <t>G-REQ-01761</t>
  </si>
  <si>
    <t>SYNTHETIC: Laptop allocation; In progress; asset G-AST-00202</t>
  </si>
  <si>
    <t>G-REQ-00365-E4</t>
  </si>
  <si>
    <t>SYNTHETIC: Laptop allocation; Completed; asset G-AST-00202</t>
  </si>
  <si>
    <t>G-REQ-01762</t>
  </si>
  <si>
    <t>G-REQ-00366-E1</t>
  </si>
  <si>
    <t>SYNTHETIC: Laptop allocation; Pending approval; asset G-AST-00203</t>
  </si>
  <si>
    <t>G-REQ-01763</t>
  </si>
  <si>
    <t>G-REQ-00366-E2</t>
  </si>
  <si>
    <t>SYNTHETIC: Laptop allocation; Approved; asset G-AST-00203</t>
  </si>
  <si>
    <t>G-REQ-01764</t>
  </si>
  <si>
    <t>G-REQ-00366-E3</t>
  </si>
  <si>
    <t>SYNTHETIC: Laptop allocation; In progress; asset G-AST-00203</t>
  </si>
  <si>
    <t>G-REQ-00366-E4</t>
  </si>
  <si>
    <t>G-REQ-01765</t>
  </si>
  <si>
    <t>SYNTHETIC: Laptop allocation; Completed; asset G-AST-00203</t>
  </si>
  <si>
    <t>G-REQ-00367-E1</t>
  </si>
  <si>
    <t>G-REQ-01766</t>
  </si>
  <si>
    <t>SYNTHETIC: Laptop repair; Pending approval; asset G-AST-00143</t>
  </si>
  <si>
    <t>G-REQ-00367-E2</t>
  </si>
  <si>
    <t>G-REQ-01767</t>
  </si>
  <si>
    <t>SYNTHETIC: Laptop repair; Approved; asset G-AST-00143</t>
  </si>
  <si>
    <t>G-REQ-00367-E3</t>
  </si>
  <si>
    <t>SYNTHETIC: Laptop repair; In progress; asset G-AST-00143</t>
  </si>
  <si>
    <t>G-REQ-00367-E4</t>
  </si>
  <si>
    <t>G-REQ-01768</t>
  </si>
  <si>
    <t>SYNTHETIC: Laptop repair; Completed; asset G-AST-00143</t>
  </si>
  <si>
    <t>G-REQ-00368-E1</t>
  </si>
  <si>
    <t>G-REQ-01769</t>
  </si>
  <si>
    <t>SYNTHETIC: Laptop return; Pending approval; asset G-AST-00141</t>
  </si>
  <si>
    <t>G-REQ-00368-E2</t>
  </si>
  <si>
    <t>G-REQ-01770</t>
  </si>
  <si>
    <t>SYNTHETIC: Laptop return; Approved; asset G-AST-00141</t>
  </si>
  <si>
    <t>G-REQ-00368-E3</t>
  </si>
  <si>
    <t>G-REQ-01771</t>
  </si>
  <si>
    <t>SYNTHETIC: Laptop return; In progress; asset G-AST-00141</t>
  </si>
  <si>
    <t>G-REQ-00368-E4</t>
  </si>
  <si>
    <t>G-REQ-01772</t>
  </si>
  <si>
    <t>SYNTHETIC: Laptop return; Completed; asset G-AST-00141</t>
  </si>
  <si>
    <t>G-REQ-00369-E1</t>
  </si>
  <si>
    <t>G-REQ-01773</t>
  </si>
  <si>
    <t>SYNTHETIC: Laptop return; Pending approval; asset G-AST-00023</t>
  </si>
  <si>
    <t>G-REQ-00369-E2</t>
  </si>
  <si>
    <t>G-REQ-01774</t>
  </si>
  <si>
    <t>SYNTHETIC: Laptop return; Approved; asset G-AST-00023</t>
  </si>
  <si>
    <t>G-REQ-00369-E3</t>
  </si>
  <si>
    <t>SYNTHETIC: Laptop return; In progress; asset G-AST-00023</t>
  </si>
  <si>
    <t>G-REQ-01775</t>
  </si>
  <si>
    <t>G-REQ-00369-E4</t>
  </si>
  <si>
    <t>SYNTHETIC: Laptop return; Completed; asset G-AST-00023</t>
  </si>
  <si>
    <t>G-REQ-00370-E1</t>
  </si>
  <si>
    <t>G-REQ-01776</t>
  </si>
  <si>
    <t>G-REQ-00370-E2</t>
  </si>
  <si>
    <t>G-REQ-01777</t>
  </si>
  <si>
    <t>G-REQ-00370-E3</t>
  </si>
  <si>
    <t>G-REQ-01778</t>
  </si>
  <si>
    <t>G-REQ-00370-E4</t>
  </si>
  <si>
    <t>G-REQ-01779</t>
  </si>
  <si>
    <t>G-REQ-00371-E1</t>
  </si>
  <si>
    <t>G-REQ-01780</t>
  </si>
  <si>
    <t>SYNTHETIC: Laptop allocation; Pending approval; asset G-AST-00204</t>
  </si>
  <si>
    <t>G-REQ-00371-E2</t>
  </si>
  <si>
    <t>G-REQ-01781</t>
  </si>
  <si>
    <t>SYNTHETIC: Laptop allocation; Approved; asset G-AST-00204</t>
  </si>
  <si>
    <t>G-REQ-00371-E3</t>
  </si>
  <si>
    <t>G-REQ-01782</t>
  </si>
  <si>
    <t>SYNTHETIC: Laptop allocation; In progress; asset G-AST-00204</t>
  </si>
  <si>
    <t>G-REQ-00371-E4</t>
  </si>
  <si>
    <t>SYNTHETIC: Laptop allocation; Completed; asset G-AST-00204</t>
  </si>
  <si>
    <t>G-REQ-01783</t>
  </si>
  <si>
    <t>G-REQ-00372-E1</t>
  </si>
  <si>
    <t>SYNTHETIC: Laptop repair; Pending approval; asset G-AST-00162</t>
  </si>
  <si>
    <t>G-REQ-00372-E2</t>
  </si>
  <si>
    <t>G-REQ-01784</t>
  </si>
  <si>
    <t>SYNTHETIC: Laptop repair; Approved; asset G-AST-00162</t>
  </si>
  <si>
    <t>G-REQ-00372-E3</t>
  </si>
  <si>
    <t>G-REQ-01785</t>
  </si>
  <si>
    <t>SYNTHETIC: Laptop repair; In progress; asset G-AST-00162</t>
  </si>
  <si>
    <t>G-REQ-00372-E4</t>
  </si>
  <si>
    <t>G-REQ-01786</t>
  </si>
  <si>
    <t>SYNTHETIC: Laptop repair; Completed; asset G-AST-00162</t>
  </si>
  <si>
    <t>G-REQ-00373-E1</t>
  </si>
  <si>
    <t>G-REQ-01787</t>
  </si>
  <si>
    <t>SYNTHETIC: Laptop allocation; Pending approval; asset G-AST-00205</t>
  </si>
  <si>
    <t>G-REQ-00373-E2</t>
  </si>
  <si>
    <t>SYNTHETIC: Laptop allocation; Approved; asset G-AST-00205</t>
  </si>
  <si>
    <t>G-REQ-01788</t>
  </si>
  <si>
    <t>G-REQ-00373-E3</t>
  </si>
  <si>
    <t>SYNTHETIC: Laptop allocation; In progress; asset G-AST-00205</t>
  </si>
  <si>
    <t>G-REQ-01789</t>
  </si>
  <si>
    <t>G-REQ-00373-E4</t>
  </si>
  <si>
    <t>SYNTHETIC: Laptop allocation; Completed; asset G-AST-00205</t>
  </si>
  <si>
    <t>G-REQ-01790</t>
  </si>
  <si>
    <t>G-REQ-00374-E1</t>
  </si>
  <si>
    <t>SYNTHETIC: Laptop return; Pending approval; asset G-AST-00186</t>
  </si>
  <si>
    <t>G-REQ-00374-E2</t>
  </si>
  <si>
    <t>G-REQ-01791</t>
  </si>
  <si>
    <t>SYNTHETIC: Laptop return; Approved; asset G-AST-00186</t>
  </si>
  <si>
    <t>G-REQ-00374-E3</t>
  </si>
  <si>
    <t>G-REQ-01792</t>
  </si>
  <si>
    <t>SYNTHETIC: Laptop return; In progress; asset G-AST-00186</t>
  </si>
  <si>
    <t>G-REQ-00374-E4</t>
  </si>
  <si>
    <t>G-REQ-01793</t>
  </si>
  <si>
    <t>SYNTHETIC: Laptop return; Completed; asset G-AST-00186</t>
  </si>
  <si>
    <t>G-REQ-00375-E1</t>
  </si>
  <si>
    <t>G-REQ-01794</t>
  </si>
  <si>
    <t>G-REQ-00375-E2</t>
  </si>
  <si>
    <t>G-REQ-01795</t>
  </si>
  <si>
    <t>G-REQ-00376-E1</t>
  </si>
  <si>
    <t>G-REQ-01796</t>
  </si>
  <si>
    <t>SYNTHETIC: Laptop return; Pending approval; asset G-AST-00073</t>
  </si>
  <si>
    <t>G-REQ-00376-E2</t>
  </si>
  <si>
    <t>SYNTHETIC: Laptop return; Approved; asset G-AST-00073</t>
  </si>
  <si>
    <t>G-REQ-01797</t>
  </si>
  <si>
    <t>G-REQ-00376-E3</t>
  </si>
  <si>
    <t>SYNTHETIC: Laptop return; In progress; asset G-AST-00073</t>
  </si>
  <si>
    <t>G-REQ-00376-E4</t>
  </si>
  <si>
    <t>SYNTHETIC: Laptop return; Completed; asset G-AST-00073</t>
  </si>
  <si>
    <t>G-REQ-01798</t>
  </si>
  <si>
    <t>G-REQ-00377-E1</t>
  </si>
  <si>
    <t>G-REQ-01799</t>
  </si>
  <si>
    <t>SYNTHETIC: Laptop return; Pending approval; asset G-AST-00160</t>
  </si>
  <si>
    <t>G-REQ-00377-E2</t>
  </si>
  <si>
    <t>SYNTHETIC: Laptop return; Approved; asset G-AST-00160</t>
  </si>
  <si>
    <t>G-REQ-01800</t>
  </si>
  <si>
    <t>G-REQ-00377-E3</t>
  </si>
  <si>
    <t>SYNTHETIC: Laptop return; In progress; asset G-AST-00160</t>
  </si>
  <si>
    <t>G-REQ-00377-E4</t>
  </si>
  <si>
    <t>SYNTHETIC: Laptop return; Completed; asset G-AST-00160</t>
  </si>
  <si>
    <t>G-REQ-00378-E1</t>
  </si>
  <si>
    <t>SYNTHETIC: Laptop allocation; Pending approval; asset G-AST-00206</t>
  </si>
  <si>
    <t>G-REQ-00378-E2</t>
  </si>
  <si>
    <t>G-REQ-01801</t>
  </si>
  <si>
    <t>SYNTHETIC: Laptop allocation; Approved; asset G-AST-00206</t>
  </si>
  <si>
    <t>G-REQ-00378-E3</t>
  </si>
  <si>
    <t>G-REQ-01802</t>
  </si>
  <si>
    <t>SYNTHETIC: Laptop allocation; In progress; asset G-AST-00206</t>
  </si>
  <si>
    <t>G-REQ-00378-E4</t>
  </si>
  <si>
    <t>G-REQ-01803</t>
  </si>
  <si>
    <t>SYNTHETIC: Laptop allocation; Completed; asset G-AST-00206</t>
  </si>
  <si>
    <t>G-REQ-00379-E1</t>
  </si>
  <si>
    <t>SYNTHETIC: Laptop allocation; Pending approval; asset G-AST-00207</t>
  </si>
  <si>
    <t>G-REQ-00379-E2</t>
  </si>
  <si>
    <t>G-REQ-01804</t>
  </si>
  <si>
    <t>SYNTHETIC: Laptop allocation; Approved; asset G-AST-00207</t>
  </si>
  <si>
    <t>G-REQ-00379-E3</t>
  </si>
  <si>
    <t>G-REQ-01805</t>
  </si>
  <si>
    <t>SYNTHETIC: Laptop allocation; In progress; asset G-AST-00207</t>
  </si>
  <si>
    <t>G-REQ-00379-E4</t>
  </si>
  <si>
    <t>G-REQ-01806</t>
  </si>
  <si>
    <t>SYNTHETIC: Laptop allocation; Completed; asset G-AST-00207</t>
  </si>
  <si>
    <t>G-REQ-00380-E1</t>
  </si>
  <si>
    <t>G-REQ-01807</t>
  </si>
  <si>
    <t>SYNTHETIC: Laptop repair; Pending approval; asset G-AST-00103</t>
  </si>
  <si>
    <t>G-REQ-00380-E2</t>
  </si>
  <si>
    <t>G-REQ-01808</t>
  </si>
  <si>
    <t>SYNTHETIC: Laptop repair; Approved; asset G-AST-00103</t>
  </si>
  <si>
    <t>G-REQ-00380-E3</t>
  </si>
  <si>
    <t>G-REQ-01809</t>
  </si>
  <si>
    <t>SYNTHETIC: Laptop repair; In progress; asset G-AST-00103</t>
  </si>
  <si>
    <t>G-REQ-00380-E4</t>
  </si>
  <si>
    <t>G-REQ-01810</t>
  </si>
  <si>
    <t>SYNTHETIC: Laptop repair; Completed; asset G-AST-00103</t>
  </si>
  <si>
    <t>G-REQ-00381-E1</t>
  </si>
  <si>
    <t>G-REQ-01811</t>
  </si>
  <si>
    <t>SYNTHETIC: Laptop allocation; Pending approval; asset G-AST-00208</t>
  </si>
  <si>
    <t>G-REQ-00381-E2</t>
  </si>
  <si>
    <t>SYNTHETIC: Laptop allocation; Approved; asset G-AST-00208</t>
  </si>
  <si>
    <t>G-REQ-01812</t>
  </si>
  <si>
    <t>G-REQ-00381-E3</t>
  </si>
  <si>
    <t>SYNTHETIC: Laptop allocation; In progress; asset G-AST-00208</t>
  </si>
  <si>
    <t>G-REQ-00381-E4</t>
  </si>
  <si>
    <t>G-REQ-01813</t>
  </si>
  <si>
    <t>SYNTHETIC: Laptop allocation; Completed; asset G-AST-00208</t>
  </si>
  <si>
    <t>G-REQ-00382-E1</t>
  </si>
  <si>
    <t>G-REQ-01814</t>
  </si>
  <si>
    <t>SYNTHETIC: Laptop allocation; Pending approval; asset G-AST-00209</t>
  </si>
  <si>
    <t>G-REQ-00382-E2</t>
  </si>
  <si>
    <t>G-REQ-01815</t>
  </si>
  <si>
    <t>SYNTHETIC: Laptop allocation; Approved; asset G-AST-00209</t>
  </si>
  <si>
    <t>G-REQ-00382-E3</t>
  </si>
  <si>
    <t>G-REQ-01816</t>
  </si>
  <si>
    <t>SYNTHETIC: Laptop allocation; In progress; asset G-AST-00209</t>
  </si>
  <si>
    <t>G-REQ-00382-E4</t>
  </si>
  <si>
    <t>SYNTHETIC: Laptop allocation; Completed; asset G-AST-00209</t>
  </si>
  <si>
    <t>G-REQ-01817</t>
  </si>
  <si>
    <t>G-REQ-00383-E1</t>
  </si>
  <si>
    <t>SYNTHETIC: Laptop return; Pending approval; asset G-AST-00196</t>
  </si>
  <si>
    <t>G-REQ-00383-E2</t>
  </si>
  <si>
    <t>G-REQ-01818</t>
  </si>
  <si>
    <t>SYNTHETIC: Laptop return; Approved; asset G-AST-00196</t>
  </si>
  <si>
    <t>G-REQ-00383-E3</t>
  </si>
  <si>
    <t>G-REQ-01819</t>
  </si>
  <si>
    <t>SYNTHETIC: Laptop return; In progress; asset G-AST-00196</t>
  </si>
  <si>
    <t>G-REQ-00383-E4</t>
  </si>
  <si>
    <t>G-REQ-01820</t>
  </si>
  <si>
    <t>SYNTHETIC: Laptop return; Completed; asset G-AST-00196</t>
  </si>
  <si>
    <t>G-REQ-00384-E1</t>
  </si>
  <si>
    <t>G-REQ-01821</t>
  </si>
  <si>
    <t>G-REQ-00384-E2</t>
  </si>
  <si>
    <t>G-REQ-01822</t>
  </si>
  <si>
    <t>SYNTHETIC: Laptop repair; Rejected; asset G-AST-00116</t>
  </si>
  <si>
    <t>G-REQ-00385-E1</t>
  </si>
  <si>
    <t>G-REQ-01823</t>
  </si>
  <si>
    <t>SYNTHETIC: Laptop return; Pending approval; asset G-AST-00062</t>
  </si>
  <si>
    <t>G-REQ-00385-E2</t>
  </si>
  <si>
    <t>G-REQ-01824</t>
  </si>
  <si>
    <t>SYNTHETIC: Laptop return; Approved; asset G-AST-00062</t>
  </si>
  <si>
    <t>G-REQ-00385-E3</t>
  </si>
  <si>
    <t>G-REQ-01825</t>
  </si>
  <si>
    <t>SYNTHETIC: Laptop return; In progress; asset G-AST-00062</t>
  </si>
  <si>
    <t>G-REQ-00385-E4</t>
  </si>
  <si>
    <t>SYNTHETIC: Laptop return; Completed; asset G-AST-00062</t>
  </si>
  <si>
    <t>G-REQ-01826</t>
  </si>
  <si>
    <t>G-REQ-00386-E1</t>
  </si>
  <si>
    <t>G-REQ-01827</t>
  </si>
  <si>
    <t>G-REQ-00386-E2</t>
  </si>
  <si>
    <t>G-REQ-01828</t>
  </si>
  <si>
    <t>G-REQ-00387-E1</t>
  </si>
  <si>
    <t>SYNTHETIC: Laptop allocation; Pending approval; asset G-AST-00210</t>
  </si>
  <si>
    <t>G-REQ-00387-E2</t>
  </si>
  <si>
    <t>G-REQ-01829</t>
  </si>
  <si>
    <t>SYNTHETIC: Laptop allocation; Approved; asset G-AST-00210</t>
  </si>
  <si>
    <t>G-REQ-00387-E3</t>
  </si>
  <si>
    <t>G-REQ-01830</t>
  </si>
  <si>
    <t>SYNTHETIC: Laptop allocation; In progress; asset G-AST-00210</t>
  </si>
  <si>
    <t>G-REQ-00387-E4</t>
  </si>
  <si>
    <t>G-REQ-01831</t>
  </si>
  <si>
    <t>SYNTHETIC: Laptop allocation; Completed; asset G-AST-00210</t>
  </si>
  <si>
    <t>G-REQ-00388-E1</t>
  </si>
  <si>
    <t>G-REQ-01832</t>
  </si>
  <si>
    <t>G-REQ-00388-E2</t>
  </si>
  <si>
    <t>G-REQ-00388-E3</t>
  </si>
  <si>
    <t>G-REQ-01833</t>
  </si>
  <si>
    <t>G-REQ-00388-E4</t>
  </si>
  <si>
    <t>G-REQ-01834</t>
  </si>
  <si>
    <t>G-REQ-00389-E1</t>
  </si>
  <si>
    <t>G-REQ-01835</t>
  </si>
  <si>
    <t>SYNTHETIC: Laptop return; Pending approval; asset G-AST-00102</t>
  </si>
  <si>
    <t>G-REQ-00389-E2</t>
  </si>
  <si>
    <t>SYNTHETIC: Laptop return; Approved; asset G-AST-00102</t>
  </si>
  <si>
    <t>G-REQ-01836</t>
  </si>
  <si>
    <t>G-REQ-00389-E3</t>
  </si>
  <si>
    <t>SYNTHETIC: Laptop return; In progress; asset G-AST-00102</t>
  </si>
  <si>
    <t>G-REQ-00389-E4</t>
  </si>
  <si>
    <t>G-REQ-01837</t>
  </si>
  <si>
    <t>SYNTHETIC: Laptop return; Completed; asset G-AST-00102</t>
  </si>
  <si>
    <t>G-REQ-00390-E1</t>
  </si>
  <si>
    <t>G-REQ-01838</t>
  </si>
  <si>
    <t>SYNTHETIC: Laptop repair; Pending approval; asset G-AST-00169</t>
  </si>
  <si>
    <t>G-REQ-00390-E2</t>
  </si>
  <si>
    <t>G-REQ-01839</t>
  </si>
  <si>
    <t>SYNTHETIC: Laptop repair; Approved; asset G-AST-00169</t>
  </si>
  <si>
    <t>G-REQ-00390-E3</t>
  </si>
  <si>
    <t>G-REQ-01840</t>
  </si>
  <si>
    <t>SYNTHETIC: Laptop repair; In progress; asset G-AST-00169</t>
  </si>
  <si>
    <t>G-REQ-00390-E4</t>
  </si>
  <si>
    <t>G-REQ-01841</t>
  </si>
  <si>
    <t>SYNTHETIC: Laptop repair; Completed; asset G-AST-00169</t>
  </si>
  <si>
    <t>G-REQ-00391-E1</t>
  </si>
  <si>
    <t>G-REQ-01842</t>
  </si>
  <si>
    <t>SYNTHETIC: Laptop repair; Pending approval; asset G-AST-00204</t>
  </si>
  <si>
    <t>G-REQ-00391-E2</t>
  </si>
  <si>
    <t>SYNTHETIC: Laptop repair; Approved; asset G-AST-00204</t>
  </si>
  <si>
    <t>G-REQ-01843</t>
  </si>
  <si>
    <t>G-REQ-00391-E3</t>
  </si>
  <si>
    <t>SYNTHETIC: Laptop repair; In progress; asset G-AST-00204</t>
  </si>
  <si>
    <t>G-REQ-00391-E4</t>
  </si>
  <si>
    <t>G-REQ-01844</t>
  </si>
  <si>
    <t>SYNTHETIC: Laptop repair; Completed; asset G-AST-00204</t>
  </si>
  <si>
    <t>G-REQ-00392-E1</t>
  </si>
  <si>
    <t>G-REQ-01845</t>
  </si>
  <si>
    <t>SYNTHETIC: Laptop allocation; Pending approval; asset G-AST-00211</t>
  </si>
  <si>
    <t>G-REQ-00392-E2</t>
  </si>
  <si>
    <t>G-REQ-01846</t>
  </si>
  <si>
    <t>SYNTHETIC: Laptop allocation; Approved; asset G-AST-00211</t>
  </si>
  <si>
    <t>G-REQ-00392-E3</t>
  </si>
  <si>
    <t>G-REQ-01847</t>
  </si>
  <si>
    <t>SYNTHETIC: Laptop allocation; In progress; asset G-AST-00211</t>
  </si>
  <si>
    <t>G-REQ-00392-E4</t>
  </si>
  <si>
    <t>G-REQ-01848</t>
  </si>
  <si>
    <t>SYNTHETIC: Laptop allocation; Completed; asset G-AST-00211</t>
  </si>
  <si>
    <t>G-REQ-00393-E1</t>
  </si>
  <si>
    <t>SYNTHETIC: Laptop repair; Pending approval; asset G-AST-00091</t>
  </si>
  <si>
    <t>G-REQ-01849</t>
  </si>
  <si>
    <t>G-REQ-00393-E2</t>
  </si>
  <si>
    <t>SYNTHETIC: Laptop repair; Approved; asset G-AST-00091</t>
  </si>
  <si>
    <t>G-REQ-00393-E3</t>
  </si>
  <si>
    <t>G-REQ-01850</t>
  </si>
  <si>
    <t>SYNTHETIC: Laptop repair; In progress; asset G-AST-00091</t>
  </si>
  <si>
    <t>G-REQ-00393-E4</t>
  </si>
  <si>
    <t>G-REQ-01851</t>
  </si>
  <si>
    <t>SYNTHETIC: Laptop repair; Completed; asset G-AST-00091</t>
  </si>
  <si>
    <t>G-REQ-00394-E1</t>
  </si>
  <si>
    <t>G-REQ-01852</t>
  </si>
  <si>
    <t>G-REQ-00394-E2</t>
  </si>
  <si>
    <t>G-REQ-00394-E3</t>
  </si>
  <si>
    <t>G-REQ-01853</t>
  </si>
  <si>
    <t>G-REQ-00394-E4</t>
  </si>
  <si>
    <t>G-REQ-01854</t>
  </si>
  <si>
    <t>G-REQ-00395-E1</t>
  </si>
  <si>
    <t>G-REQ-01855</t>
  </si>
  <si>
    <t>G-REQ-00395-E2</t>
  </si>
  <si>
    <t>G-REQ-01856</t>
  </si>
  <si>
    <t>G-REQ-00395-E3</t>
  </si>
  <si>
    <t>G-REQ-01857</t>
  </si>
  <si>
    <t>G-REQ-00395-E4</t>
  </si>
  <si>
    <t>G-REQ-01858</t>
  </si>
  <si>
    <t>G-REQ-00396-E1</t>
  </si>
  <si>
    <t>SYNTHETIC: Laptop allocation; Pending approval; asset G-AST-00212</t>
  </si>
  <si>
    <t>G-REQ-00396-E2</t>
  </si>
  <si>
    <t>G-REQ-01859</t>
  </si>
  <si>
    <t>SYNTHETIC: Laptop allocation; Approved; asset G-AST-00212</t>
  </si>
  <si>
    <t>G-REQ-01860</t>
  </si>
  <si>
    <t>G-REQ-00396-E3</t>
  </si>
  <si>
    <t>SYNTHETIC: Laptop allocation; In progress; asset G-AST-00212</t>
  </si>
  <si>
    <t>G-REQ-00396-E4</t>
  </si>
  <si>
    <t>G-REQ-01861</t>
  </si>
  <si>
    <t>SYNTHETIC: Laptop allocation; Completed; asset G-AST-00212</t>
  </si>
  <si>
    <t>G-REQ-00397-E1</t>
  </si>
  <si>
    <t>G-REQ-01862</t>
  </si>
  <si>
    <t>G-REQ-00397-E2</t>
  </si>
  <si>
    <t>G-REQ-01863</t>
  </si>
  <si>
    <t>G-REQ-00397-E3</t>
  </si>
  <si>
    <t>G-REQ-01864</t>
  </si>
  <si>
    <t>G-REQ-00397-E4</t>
  </si>
  <si>
    <t>G-REQ-00398-E1</t>
  </si>
  <si>
    <t>G-REQ-00398-E2</t>
  </si>
  <si>
    <t>G-REQ-01865</t>
  </si>
  <si>
    <t>G-REQ-00398-E3</t>
  </si>
  <si>
    <t>G-REQ-01866</t>
  </si>
  <si>
    <t>G-REQ-00398-E4</t>
  </si>
  <si>
    <t>G-REQ-01867</t>
  </si>
  <si>
    <t>G-REQ-00399-E1</t>
  </si>
  <si>
    <t>G-REQ-01868</t>
  </si>
  <si>
    <t>SYNTHETIC: Laptop repair; Pending approval; asset G-AST-00180</t>
  </si>
  <si>
    <t>G-REQ-00399-E2</t>
  </si>
  <si>
    <t>G-REQ-01869</t>
  </si>
  <si>
    <t>SYNTHETIC: Laptop repair; Approved; asset G-AST-00180</t>
  </si>
  <si>
    <t>G-REQ-00399-E3</t>
  </si>
  <si>
    <t>G-REQ-01870</t>
  </si>
  <si>
    <t>SYNTHETIC: Laptop repair; In progress; asset G-AST-00180</t>
  </si>
  <si>
    <t>G-REQ-00399-E4</t>
  </si>
  <si>
    <t>G-REQ-01871</t>
  </si>
  <si>
    <t>SYNTHETIC: Laptop repair; Completed; asset G-AST-00180</t>
  </si>
  <si>
    <t>G-REQ-00400-E1</t>
  </si>
  <si>
    <t>SYNTHETIC: Laptop allocation; Pending approval; asset G-AST-00213</t>
  </si>
  <si>
    <t>G-REQ-01872</t>
  </si>
  <si>
    <t>G-REQ-00400-E2</t>
  </si>
  <si>
    <t>SYNTHETIC: Laptop allocation; Approved; asset G-AST-00213</t>
  </si>
  <si>
    <t>G-REQ-00400-E3</t>
  </si>
  <si>
    <t>G-REQ-01873</t>
  </si>
  <si>
    <t>SYNTHETIC: Laptop allocation; In progress; asset G-AST-00213</t>
  </si>
  <si>
    <t>G-REQ-00400-E4</t>
  </si>
  <si>
    <t>G-REQ-01874</t>
  </si>
  <si>
    <t>SYNTHETIC: Laptop allocation; Completed; asset G-AST-00213</t>
  </si>
  <si>
    <t>G-REQ-00401-E1</t>
  </si>
  <si>
    <t>G-REQ-01875</t>
  </si>
  <si>
    <t>SYNTHETIC: Laptop allocation; Pending approval; asset G-AST-00214</t>
  </si>
  <si>
    <t>G-REQ-00401-E2</t>
  </si>
  <si>
    <t>G-REQ-01876</t>
  </si>
  <si>
    <t>SYNTHETIC: Laptop allocation; Approved; asset G-AST-00214</t>
  </si>
  <si>
    <t>G-REQ-00401-E3</t>
  </si>
  <si>
    <t>SYNTHETIC: Laptop allocation; In progress; asset G-AST-00214</t>
  </si>
  <si>
    <t>G-REQ-01877</t>
  </si>
  <si>
    <t>G-REQ-00401-E4</t>
  </si>
  <si>
    <t>SYNTHETIC: Laptop allocation; Completed; asset G-AST-00214</t>
  </si>
  <si>
    <t>G-REQ-01878</t>
  </si>
  <si>
    <t>G-REQ-00402-E1</t>
  </si>
  <si>
    <t>G-REQ-01879</t>
  </si>
  <si>
    <t>G-REQ-00402-E2</t>
  </si>
  <si>
    <t>G-REQ-00402-E3</t>
  </si>
  <si>
    <t>G-REQ-01880</t>
  </si>
  <si>
    <t>G-REQ-00402-E4</t>
  </si>
  <si>
    <t>G-REQ-01881</t>
  </si>
  <si>
    <t>G-REQ-00403-E1</t>
  </si>
  <si>
    <t>G-REQ-01882</t>
  </si>
  <si>
    <t>SYNTHETIC: Laptop return; Pending approval; asset G-AST-00002</t>
  </si>
  <si>
    <t>G-REQ-00403-E2</t>
  </si>
  <si>
    <t>G-REQ-01883</t>
  </si>
  <si>
    <t>SYNTHETIC: Laptop return; Approved; asset G-AST-00002</t>
  </si>
  <si>
    <t>G-REQ-00403-E3</t>
  </si>
  <si>
    <t>G-REQ-01884</t>
  </si>
  <si>
    <t>SYNTHETIC: Laptop return; In progress; asset G-AST-00002</t>
  </si>
  <si>
    <t>G-REQ-00403-E4</t>
  </si>
  <si>
    <t>G-REQ-01885</t>
  </si>
  <si>
    <t>SYNTHETIC: Laptop return; Completed; asset G-AST-00002</t>
  </si>
  <si>
    <t>G-REQ-00404-E1</t>
  </si>
  <si>
    <t>G-REQ-01886</t>
  </si>
  <si>
    <t>SYNTHETIC: Laptop repair; Pending approval; asset G-AST-00119</t>
  </si>
  <si>
    <t>G-REQ-00404-E2</t>
  </si>
  <si>
    <t>SYNTHETIC: Laptop repair; Approved; asset G-AST-00119</t>
  </si>
  <si>
    <t>G-REQ-01887</t>
  </si>
  <si>
    <t>G-REQ-00404-E3</t>
  </si>
  <si>
    <t>SYNTHETIC: Laptop repair; In progress; asset G-AST-00119</t>
  </si>
  <si>
    <t>G-REQ-00404-E4</t>
  </si>
  <si>
    <t>G-REQ-01888</t>
  </si>
  <si>
    <t>SYNTHETIC: Laptop repair; Completed; asset G-AST-00119</t>
  </si>
  <si>
    <t>G-REQ-00405-E1</t>
  </si>
  <si>
    <t>G-REQ-01889</t>
  </si>
  <si>
    <t>SYNTHETIC: Laptop repair; Pending approval; asset G-AST-00183</t>
  </si>
  <si>
    <t>G-REQ-00405-E2</t>
  </si>
  <si>
    <t>G-REQ-01890</t>
  </si>
  <si>
    <t>SYNTHETIC: Laptop repair; Approved; asset G-AST-00183</t>
  </si>
  <si>
    <t>G-REQ-00405-E3</t>
  </si>
  <si>
    <t>G-REQ-01891</t>
  </si>
  <si>
    <t>SYNTHETIC: Laptop repair; In progress; asset G-AST-00183</t>
  </si>
  <si>
    <t>G-REQ-00405-E4</t>
  </si>
  <si>
    <t>G-REQ-01892</t>
  </si>
  <si>
    <t>SYNTHETIC: Laptop repair; Completed; asset G-AST-00183</t>
  </si>
  <si>
    <t>G-REQ-01893</t>
  </si>
  <si>
    <t>G-REQ-00406-E1</t>
  </si>
  <si>
    <t>G-REQ-01894</t>
  </si>
  <si>
    <t>SYNTHETIC: Laptop repair; Pending approval; asset G-AST-00098</t>
  </si>
  <si>
    <t>G-REQ-00406-E2</t>
  </si>
  <si>
    <t>G-REQ-01895</t>
  </si>
  <si>
    <t>SYNTHETIC: Laptop repair; Approved; asset G-AST-00098</t>
  </si>
  <si>
    <t>G-REQ-01896</t>
  </si>
  <si>
    <t>G-REQ-00406-E3</t>
  </si>
  <si>
    <t>SYNTHETIC: Laptop repair; In progress; asset G-AST-00098</t>
  </si>
  <si>
    <t>G-REQ-01897</t>
  </si>
  <si>
    <t>G-REQ-00406-E4</t>
  </si>
  <si>
    <t>SYNTHETIC: Laptop repair; Completed; asset G-AST-00098</t>
  </si>
  <si>
    <t>G-REQ-00407-E1</t>
  </si>
  <si>
    <t>G-REQ-01898</t>
  </si>
  <si>
    <t>SYNTHETIC: Laptop repair; Pending approval; asset G-AST-00127</t>
  </si>
  <si>
    <t>G-REQ-00407-E2</t>
  </si>
  <si>
    <t>G-REQ-01899</t>
  </si>
  <si>
    <t>SYNTHETIC: Laptop repair; Approved; asset G-AST-00127</t>
  </si>
  <si>
    <t>G-REQ-00407-E3</t>
  </si>
  <si>
    <t>G-REQ-01900</t>
  </si>
  <si>
    <t>SYNTHETIC: Laptop repair; In progress; asset G-AST-00127</t>
  </si>
  <si>
    <t>G-REQ-00407-E4</t>
  </si>
  <si>
    <t>G-REQ-01901</t>
  </si>
  <si>
    <t>SYNTHETIC: Laptop repair; Completed; asset G-AST-00127</t>
  </si>
  <si>
    <t>G-REQ-00408-E1</t>
  </si>
  <si>
    <t>G-REQ-01902</t>
  </si>
  <si>
    <t>SYNTHETIC: Laptop return; Pending approval; asset G-AST-00206</t>
  </si>
  <si>
    <t>G-REQ-00408-E2</t>
  </si>
  <si>
    <t>G-REQ-01903</t>
  </si>
  <si>
    <t>SYNTHETIC: Laptop return; Approved; asset G-AST-00206</t>
  </si>
  <si>
    <t>G-REQ-00408-E3</t>
  </si>
  <si>
    <t>G-REQ-01904</t>
  </si>
  <si>
    <t>SYNTHETIC: Laptop return; In progress; asset G-AST-00206</t>
  </si>
  <si>
    <t>G-REQ-00408-E4</t>
  </si>
  <si>
    <t>G-REQ-01905</t>
  </si>
  <si>
    <t>SYNTHETIC: Laptop return; Completed; asset G-AST-00206</t>
  </si>
  <si>
    <t>G-REQ-00409-E1</t>
  </si>
  <si>
    <t>SYNTHETIC: Laptop allocation; Pending approval; asset G-AST-00215</t>
  </si>
  <si>
    <t>G-REQ-00409-E2</t>
  </si>
  <si>
    <t>G-REQ-01906</t>
  </si>
  <si>
    <t>SYNTHETIC: Laptop allocation; Approved; asset G-AST-00215</t>
  </si>
  <si>
    <t>G-REQ-00409-E3</t>
  </si>
  <si>
    <t>G-REQ-01907</t>
  </si>
  <si>
    <t>SYNTHETIC: Laptop allocation; In progress; asset G-AST-00215</t>
  </si>
  <si>
    <t>G-REQ-00409-E4</t>
  </si>
  <si>
    <t>G-REQ-01908</t>
  </si>
  <si>
    <t>SYNTHETIC: Laptop allocation; Completed; asset G-AST-00215</t>
  </si>
  <si>
    <t>G-REQ-00410-E1</t>
  </si>
  <si>
    <t>G-REQ-01909</t>
  </si>
  <si>
    <t>SYNTHETIC: Laptop return; Pending approval; asset G-AST-00074</t>
  </si>
  <si>
    <t>G-REQ-00410-E2</t>
  </si>
  <si>
    <t>G-REQ-01910</t>
  </si>
  <si>
    <t>SYNTHETIC: Laptop return; Approved; asset G-AST-00074</t>
  </si>
  <si>
    <t>G-REQ-00410-E3</t>
  </si>
  <si>
    <t>G-REQ-01911</t>
  </si>
  <si>
    <t>SYNTHETIC: Laptop return; In progress; asset G-AST-00074</t>
  </si>
  <si>
    <t>G-REQ-00410-E4</t>
  </si>
  <si>
    <t>SYNTHETIC: Laptop return; Completed; asset G-AST-00074</t>
  </si>
  <si>
    <t>G-REQ-01912</t>
  </si>
  <si>
    <t>G-REQ-00411-E1</t>
  </si>
  <si>
    <t>G-REQ-01913</t>
  </si>
  <si>
    <t>G-REQ-00411-E2</t>
  </si>
  <si>
    <t>G-REQ-00411-E3</t>
  </si>
  <si>
    <t>G-REQ-01914</t>
  </si>
  <si>
    <t>G-REQ-00411-E4</t>
  </si>
  <si>
    <t>G-REQ-01915</t>
  </si>
  <si>
    <t>G-REQ-00412-E1</t>
  </si>
  <si>
    <t>G-REQ-01916</t>
  </si>
  <si>
    <t>SYNTHETIC: Laptop allocation; Pending approval; asset G-AST-00216</t>
  </si>
  <si>
    <t>G-REQ-00412-E2</t>
  </si>
  <si>
    <t>G-REQ-01917</t>
  </si>
  <si>
    <t>SYNTHETIC: Laptop allocation; Approved; asset G-AST-00216</t>
  </si>
  <si>
    <t>G-REQ-00412-E3</t>
  </si>
  <si>
    <t>G-REQ-01918</t>
  </si>
  <si>
    <t>SYNTHETIC: Laptop allocation; In progress; asset G-AST-00216</t>
  </si>
  <si>
    <t>G-REQ-00412-E4</t>
  </si>
  <si>
    <t>G-REQ-01919</t>
  </si>
  <si>
    <t>SYNTHETIC: Laptop allocation; Completed; asset G-AST-00216</t>
  </si>
  <si>
    <t>G-REQ-00413-E1</t>
  </si>
  <si>
    <t>G-REQ-01920</t>
  </si>
  <si>
    <t>G-REQ-00413-E2</t>
  </si>
  <si>
    <t>G-REQ-01921</t>
  </si>
  <si>
    <t>G-REQ-00413-E3</t>
  </si>
  <si>
    <t>G-REQ-01922</t>
  </si>
  <si>
    <t>G-REQ-00413-E4</t>
  </si>
  <si>
    <t>G-REQ-00414-E1</t>
  </si>
  <si>
    <t>G-REQ-01923</t>
  </si>
  <si>
    <t>SYNTHETIC: Laptop repair; Pending approval; asset G-AST-00192</t>
  </si>
  <si>
    <t>G-REQ-00414-E2</t>
  </si>
  <si>
    <t>SYNTHETIC: Laptop repair; Approved; asset G-AST-00192</t>
  </si>
  <si>
    <t>G-REQ-01924</t>
  </si>
  <si>
    <t>G-REQ-00414-E3</t>
  </si>
  <si>
    <t>SYNTHETIC: Laptop repair; In progress; asset G-AST-00192</t>
  </si>
  <si>
    <t>G-REQ-01925</t>
  </si>
  <si>
    <t>G-REQ-00414-E4</t>
  </si>
  <si>
    <t>G-REQ-01926</t>
  </si>
  <si>
    <t>SYNTHETIC: Laptop repair; Completed; asset G-AST-00192</t>
  </si>
  <si>
    <t>G-REQ-00415-E1</t>
  </si>
  <si>
    <t>G-REQ-01927</t>
  </si>
  <si>
    <t>SYNTHETIC: Laptop return; Pending approval; asset G-AST-00194</t>
  </si>
  <si>
    <t>G-REQ-00415-E2</t>
  </si>
  <si>
    <t>G-REQ-01928</t>
  </si>
  <si>
    <t>SYNTHETIC: Laptop return; Approved; asset G-AST-00194</t>
  </si>
  <si>
    <t>G-REQ-00415-E3</t>
  </si>
  <si>
    <t>G-REQ-01929</t>
  </si>
  <si>
    <t>SYNTHETIC: Laptop return; In progress; asset G-AST-00194</t>
  </si>
  <si>
    <t>G-REQ-00415-E4</t>
  </si>
  <si>
    <t>SYNTHETIC: Laptop return; Completed; asset G-AST-00194</t>
  </si>
  <si>
    <t>G-REQ-01930</t>
  </si>
  <si>
    <t>G-REQ-00416-E1</t>
  </si>
  <si>
    <t>SYNTHETIC: Laptop repair; Pending approval; asset G-AST-00067</t>
  </si>
  <si>
    <t>G-REQ-01931</t>
  </si>
  <si>
    <t>G-REQ-00416-E2</t>
  </si>
  <si>
    <t>SYNTHETIC: Laptop repair; Approved; asset G-AST-00067</t>
  </si>
  <si>
    <t>G-REQ-01932</t>
  </si>
  <si>
    <t>G-REQ-00416-E3</t>
  </si>
  <si>
    <t>SYNTHETIC: Laptop repair; In progress; asset G-AST-00067</t>
  </si>
  <si>
    <t>G-REQ-00416-E4</t>
  </si>
  <si>
    <t>G-REQ-01933</t>
  </si>
  <si>
    <t>SYNTHETIC: Laptop repair; Completed; asset G-AST-00067</t>
  </si>
  <si>
    <t>G-REQ-00417-E1</t>
  </si>
  <si>
    <t>G-REQ-01934</t>
  </si>
  <si>
    <t>SYNTHETIC: Laptop repair; Pending approval; asset G-AST-00157</t>
  </si>
  <si>
    <t>G-REQ-00417-E2</t>
  </si>
  <si>
    <t>G-REQ-01935</t>
  </si>
  <si>
    <t>SYNTHETIC: Laptop repair; Approved; asset G-AST-00157</t>
  </si>
  <si>
    <t>G-REQ-00417-E3</t>
  </si>
  <si>
    <t>G-REQ-01936</t>
  </si>
  <si>
    <t>SYNTHETIC: Laptop repair; In progress; asset G-AST-00157</t>
  </si>
  <si>
    <t>G-REQ-00417-E4</t>
  </si>
  <si>
    <t>G-REQ-01937</t>
  </si>
  <si>
    <t>SYNTHETIC: Laptop repair; Completed; asset G-AST-00157</t>
  </si>
  <si>
    <t>G-REQ-00418-E1</t>
  </si>
  <si>
    <t>G-REQ-01938</t>
  </si>
  <si>
    <t>SYNTHETIC: Laptop allocation; Pending approval; asset G-AST-00217</t>
  </si>
  <si>
    <t>G-REQ-00418-E2</t>
  </si>
  <si>
    <t>G-REQ-01939</t>
  </si>
  <si>
    <t>SYNTHETIC: Laptop allocation; Approved; asset G-AST-00217</t>
  </si>
  <si>
    <t>G-REQ-00418-E3</t>
  </si>
  <si>
    <t>G-REQ-01940</t>
  </si>
  <si>
    <t>SYNTHETIC: Laptop allocation; In progress; asset G-AST-00217</t>
  </si>
  <si>
    <t>G-REQ-00418-E4</t>
  </si>
  <si>
    <t>SYNTHETIC: Laptop allocation; Completed; asset G-AST-00217</t>
  </si>
  <si>
    <t>G-REQ-01941</t>
  </si>
  <si>
    <t>G-REQ-00419-E1</t>
  </si>
  <si>
    <t>SYNTHETIC: Laptop repair; Pending approval; asset G-AST-00190</t>
  </si>
  <si>
    <t>G-REQ-01942</t>
  </si>
  <si>
    <t>G-REQ-00419-E2</t>
  </si>
  <si>
    <t>SYNTHETIC: Laptop repair; Approved; asset G-AST-00190</t>
  </si>
  <si>
    <t>G-REQ-00419-E3</t>
  </si>
  <si>
    <t>G-REQ-01943</t>
  </si>
  <si>
    <t>SYNTHETIC: Laptop repair; In progress; asset G-AST-00190</t>
  </si>
  <si>
    <t>G-REQ-00419-E4</t>
  </si>
  <si>
    <t>G-REQ-01944</t>
  </si>
  <si>
    <t>SYNTHETIC: Laptop repair; Completed; asset G-AST-00190</t>
  </si>
  <si>
    <t>G-REQ-00420-E1</t>
  </si>
  <si>
    <t>G-REQ-01945</t>
  </si>
  <si>
    <t>SYNTHETIC: Laptop repair; Pending approval; asset G-AST-00170</t>
  </si>
  <si>
    <t>G-REQ-00420-E2</t>
  </si>
  <si>
    <t>SYNTHETIC: Laptop repair; Approved; asset G-AST-00170</t>
  </si>
  <si>
    <t>G-REQ-00420-E3</t>
  </si>
  <si>
    <t>G-REQ-01946</t>
  </si>
  <si>
    <t>SYNTHETIC: Laptop repair; In progress; asset G-AST-00170</t>
  </si>
  <si>
    <t>G-REQ-00420-E4</t>
  </si>
  <si>
    <t>G-REQ-01947</t>
  </si>
  <si>
    <t>SYNTHETIC: Laptop repair; Completed; asset G-AST-00170</t>
  </si>
  <si>
    <t>G-REQ-00421-E1</t>
  </si>
  <si>
    <t>SYNTHETIC: Laptop allocation; Pending approval; asset G-AST-00218</t>
  </si>
  <si>
    <t>G-REQ-00421-E2</t>
  </si>
  <si>
    <t>G-REQ-01948</t>
  </si>
  <si>
    <t>SYNTHETIC: Laptop allocation; Approved; asset G-AST-00218</t>
  </si>
  <si>
    <t>G-REQ-00421-E3</t>
  </si>
  <si>
    <t>G-REQ-01949</t>
  </si>
  <si>
    <t>SYNTHETIC: Laptop allocation; In progress; asset G-AST-00218</t>
  </si>
  <si>
    <t>G-REQ-00421-E4</t>
  </si>
  <si>
    <t>SYNTHETIC: Laptop allocation; Completed; asset G-AST-00218</t>
  </si>
  <si>
    <t>G-REQ-00422-E1</t>
  </si>
  <si>
    <t>G-REQ-01950</t>
  </si>
  <si>
    <t>G-REQ-00422-E2</t>
  </si>
  <si>
    <t>G-REQ-01951</t>
  </si>
  <si>
    <t>G-REQ-00423-E1</t>
  </si>
  <si>
    <t>G-REQ-01952</t>
  </si>
  <si>
    <t>G-REQ-00423-E2</t>
  </si>
  <si>
    <t>G-REQ-01953</t>
  </si>
  <si>
    <t>G-REQ-00423-E3</t>
  </si>
  <si>
    <t>G-REQ-01954</t>
  </si>
  <si>
    <t>G-REQ-00423-E4</t>
  </si>
  <si>
    <t>G-REQ-01955</t>
  </si>
  <si>
    <t>G-REQ-00424-E1</t>
  </si>
  <si>
    <t>G-REQ-01956</t>
  </si>
  <si>
    <t>G-REQ-00424-E2</t>
  </si>
  <si>
    <t>G-REQ-01957</t>
  </si>
  <si>
    <t>SYNTHETIC: Laptop return; Approved; asset G-AST-00111</t>
  </si>
  <si>
    <t>G-REQ-00424-E3</t>
  </si>
  <si>
    <t>SYNTHETIC: Laptop return; In progress; asset G-AST-00111</t>
  </si>
  <si>
    <t>G-REQ-01958</t>
  </si>
  <si>
    <t>G-REQ-00424-E4</t>
  </si>
  <si>
    <t>SYNTHETIC: Laptop return; Completed; asset G-AST-00111</t>
  </si>
  <si>
    <t>G-REQ-00425-E1</t>
  </si>
  <si>
    <t>G-REQ-01959</t>
  </si>
  <si>
    <t>G-REQ-00425-E2</t>
  </si>
  <si>
    <t>G-REQ-01960</t>
  </si>
  <si>
    <t>G-REQ-00425-E3</t>
  </si>
  <si>
    <t>G-REQ-01961</t>
  </si>
  <si>
    <t>G-REQ-00425-E4</t>
  </si>
  <si>
    <t>G-REQ-01962</t>
  </si>
  <si>
    <t>G-REQ-00426-E1</t>
  </si>
  <si>
    <t>SYNTHETIC: Laptop allocation; Pending approval; asset G-AST-00219</t>
  </si>
  <si>
    <t>G-REQ-01963</t>
  </si>
  <si>
    <t>G-REQ-00426-E2</t>
  </si>
  <si>
    <t>SYNTHETIC: Laptop allocation; Approved; asset G-AST-00219</t>
  </si>
  <si>
    <t>G-REQ-00426-E3</t>
  </si>
  <si>
    <t>G-REQ-01964</t>
  </si>
  <si>
    <t>SYNTHETIC: Laptop allocation; In progress; asset G-AST-00219</t>
  </si>
  <si>
    <t>G-REQ-00426-E4</t>
  </si>
  <si>
    <t>G-REQ-01965</t>
  </si>
  <si>
    <t>SYNTHETIC: Laptop allocation; Completed; asset G-AST-00219</t>
  </si>
  <si>
    <t>G-REQ-00427-E1</t>
  </si>
  <si>
    <t>G-REQ-01966</t>
  </si>
  <si>
    <t>SYNTHETIC: Laptop allocation; Pending approval; asset G-AST-00220</t>
  </si>
  <si>
    <t>G-REQ-00427-E2</t>
  </si>
  <si>
    <t>G-REQ-01967</t>
  </si>
  <si>
    <t>SYNTHETIC: Laptop allocation; Approved; asset G-AST-00220</t>
  </si>
  <si>
    <t>G-REQ-00427-E3</t>
  </si>
  <si>
    <t>G-REQ-01968</t>
  </si>
  <si>
    <t>SYNTHETIC: Laptop allocation; In progress; asset G-AST-00220</t>
  </si>
  <si>
    <t>G-REQ-00427-E4</t>
  </si>
  <si>
    <t>G-REQ-01969</t>
  </si>
  <si>
    <t>SYNTHETIC: Laptop allocation; Completed; asset G-AST-00220</t>
  </si>
  <si>
    <t>G-REQ-00428-E1</t>
  </si>
  <si>
    <t>G-REQ-01970</t>
  </si>
  <si>
    <t>SYNTHETIC: Laptop return; Pending approval; asset G-AST-00157</t>
  </si>
  <si>
    <t>G-REQ-00428-E2</t>
  </si>
  <si>
    <t>G-REQ-01971</t>
  </si>
  <si>
    <t>SYNTHETIC: Laptop return; Approved; asset G-AST-00157</t>
  </si>
  <si>
    <t>G-REQ-00428-E3</t>
  </si>
  <si>
    <t>G-REQ-01972</t>
  </si>
  <si>
    <t>SYNTHETIC: Laptop return; In progress; asset G-AST-00157</t>
  </si>
  <si>
    <t>G-REQ-00428-E4</t>
  </si>
  <si>
    <t>SYNTHETIC: Laptop return; Completed; asset G-AST-00157</t>
  </si>
  <si>
    <t>G-REQ-01973</t>
  </si>
  <si>
    <t>G-REQ-00429-E1</t>
  </si>
  <si>
    <t>SYNTHETIC: Laptop return; Pending approval; asset G-AST-00104</t>
  </si>
  <si>
    <t>G-REQ-01974</t>
  </si>
  <si>
    <t>G-REQ-00429-E2</t>
  </si>
  <si>
    <t>SYNTHETIC: Laptop return; Approved; asset G-AST-00104</t>
  </si>
  <si>
    <t>G-REQ-00429-E3</t>
  </si>
  <si>
    <t>G-REQ-01975</t>
  </si>
  <si>
    <t>SYNTHETIC: Laptop return; In progress; asset G-AST-00104</t>
  </si>
  <si>
    <t>G-REQ-00429-E4</t>
  </si>
  <si>
    <t>G-REQ-01976</t>
  </si>
  <si>
    <t>SYNTHETIC: Laptop return; Completed; asset G-AST-00104</t>
  </si>
  <si>
    <t>G-REQ-00430-E1</t>
  </si>
  <si>
    <t>G-REQ-01977</t>
  </si>
  <si>
    <t>SYNTHETIC: Laptop allocation; Pending approval; asset G-AST-00221</t>
  </si>
  <si>
    <t>G-REQ-00430-E2</t>
  </si>
  <si>
    <t>G-REQ-01978</t>
  </si>
  <si>
    <t>SYNTHETIC: Laptop allocation; Approved; asset G-AST-00221</t>
  </si>
  <si>
    <t>G-REQ-00430-E3</t>
  </si>
  <si>
    <t>SYNTHETIC: Laptop allocation; In progress; asset G-AST-00221</t>
  </si>
  <si>
    <t>G-REQ-01979</t>
  </si>
  <si>
    <t>G-REQ-00430-E4</t>
  </si>
  <si>
    <t>SYNTHETIC: Laptop allocation; Completed; asset G-AST-00221</t>
  </si>
  <si>
    <t>G-REQ-01980</t>
  </si>
  <si>
    <t>G-REQ-00431-E1</t>
  </si>
  <si>
    <t>SYNTHETIC: Laptop repair; Pending approval; asset G-AST-00163</t>
  </si>
  <si>
    <t>G-REQ-01981</t>
  </si>
  <si>
    <t>G-REQ-00431-E2</t>
  </si>
  <si>
    <t>SYNTHETIC: Laptop repair; Approved; asset G-AST-00163</t>
  </si>
  <si>
    <t>G-REQ-01982</t>
  </si>
  <si>
    <t>G-REQ-00431-E3</t>
  </si>
  <si>
    <t>SYNTHETIC: Laptop repair; In progress; asset G-AST-00163</t>
  </si>
  <si>
    <t>G-REQ-00431-E4</t>
  </si>
  <si>
    <t>G-REQ-01983</t>
  </si>
  <si>
    <t>SYNTHETIC: Laptop repair; Completed; asset G-AST-00163</t>
  </si>
  <si>
    <t>G-REQ-00432-E1</t>
  </si>
  <si>
    <t>G-REQ-01984</t>
  </si>
  <si>
    <t>SYNTHETIC: Laptop return; Pending approval; asset G-AST-00078</t>
  </si>
  <si>
    <t>G-REQ-00432-E2</t>
  </si>
  <si>
    <t>G-REQ-01985</t>
  </si>
  <si>
    <t>SYNTHETIC: Laptop return; Approved; asset G-AST-00078</t>
  </si>
  <si>
    <t>G-REQ-00432-E3</t>
  </si>
  <si>
    <t>G-REQ-01986</t>
  </si>
  <si>
    <t>SYNTHETIC: Laptop return; In progress; asset G-AST-00078</t>
  </si>
  <si>
    <t>G-REQ-00432-E4</t>
  </si>
  <si>
    <t>G-REQ-01987</t>
  </si>
  <si>
    <t>SYNTHETIC: Laptop return; Completed; asset G-AST-00078</t>
  </si>
  <si>
    <t>G-REQ-00433-E1</t>
  </si>
  <si>
    <t>G-REQ-01988</t>
  </si>
  <si>
    <t>SYNTHETIC: Laptop return; Pending approval; asset G-AST-00218</t>
  </si>
  <si>
    <t>G-REQ-00433-E2</t>
  </si>
  <si>
    <t>G-REQ-01989</t>
  </si>
  <si>
    <t>SYNTHETIC: Laptop return; Approved; asset G-AST-00218</t>
  </si>
  <si>
    <t>G-REQ-00433-E3</t>
  </si>
  <si>
    <t>SYNTHETIC: Laptop return; In progress; asset G-AST-00218</t>
  </si>
  <si>
    <t>G-REQ-01990</t>
  </si>
  <si>
    <t>G-REQ-00433-E4</t>
  </si>
  <si>
    <t>SYNTHETIC: Laptop return; Completed; asset G-AST-00218</t>
  </si>
  <si>
    <t>G-REQ-01991</t>
  </si>
  <si>
    <t>G-REQ-00434-E1</t>
  </si>
  <si>
    <t>SYNTHETIC: Laptop repair; Pending approval; asset G-AST-00114</t>
  </si>
  <si>
    <t>G-REQ-00434-E2</t>
  </si>
  <si>
    <t>G-REQ-01992</t>
  </si>
  <si>
    <t>SYNTHETIC: Laptop repair; Approved; asset G-AST-00114</t>
  </si>
  <si>
    <t>G-REQ-00434-E3</t>
  </si>
  <si>
    <t>G-REQ-01993</t>
  </si>
  <si>
    <t>SYNTHETIC: Laptop repair; In progress; asset G-AST-00114</t>
  </si>
  <si>
    <t>G-REQ-00434-E4</t>
  </si>
  <si>
    <t>G-REQ-01994</t>
  </si>
  <si>
    <t>SYNTHETIC: Laptop repair; Completed; asset G-AST-00114</t>
  </si>
  <si>
    <t>G-REQ-00435-E1</t>
  </si>
  <si>
    <t>G-REQ-01995</t>
  </si>
  <si>
    <t>SYNTHETIC: Laptop repair; Pending approval; asset G-AST-00184</t>
  </si>
  <si>
    <t>G-REQ-00435-E2</t>
  </si>
  <si>
    <t>G-REQ-01996</t>
  </si>
  <si>
    <t>SYNTHETIC: Laptop repair; Approved; asset G-AST-00184</t>
  </si>
  <si>
    <t>G-REQ-00435-E3</t>
  </si>
  <si>
    <t>SYNTHETIC: Laptop repair; In progress; asset G-AST-00184</t>
  </si>
  <si>
    <t>G-REQ-01997</t>
  </si>
  <si>
    <t>G-REQ-00435-E4</t>
  </si>
  <si>
    <t>SYNTHETIC: Laptop repair; Completed; asset G-AST-00184</t>
  </si>
  <si>
    <t>G-REQ-00436-E1</t>
  </si>
  <si>
    <t>G-REQ-01998</t>
  </si>
  <si>
    <t>SYNTHETIC: Laptop allocation; Pending approval; asset G-AST-00222</t>
  </si>
  <si>
    <t>G-REQ-00436-E2</t>
  </si>
  <si>
    <t>G-REQ-01999</t>
  </si>
  <si>
    <t>SYNTHETIC: Laptop allocation; Approved; asset G-AST-00222</t>
  </si>
  <si>
    <t>G-REQ-00436-E3</t>
  </si>
  <si>
    <t>G-REQ-02000</t>
  </si>
  <si>
    <t>SYNTHETIC: Laptop allocation; In progress; asset G-AST-00222</t>
  </si>
  <si>
    <t>G-REQ-00436-E4</t>
  </si>
  <si>
    <t>G-REQ-02001</t>
  </si>
  <si>
    <t>SYNTHETIC: Laptop allocation; Completed; asset G-AST-00222</t>
  </si>
  <si>
    <t>G-REQ-00437-E1</t>
  </si>
  <si>
    <t>G-REQ-02002</t>
  </si>
  <si>
    <t>SYNTHETIC: Laptop return; Pending approval; asset G-AST-00207</t>
  </si>
  <si>
    <t>G-REQ-00437-E2</t>
  </si>
  <si>
    <t>G-REQ-02003</t>
  </si>
  <si>
    <t>SYNTHETIC: Laptop return; Approved; asset G-AST-00207</t>
  </si>
  <si>
    <t>G-REQ-00437-E3</t>
  </si>
  <si>
    <t>G-REQ-02004</t>
  </si>
  <si>
    <t>SYNTHETIC: Laptop return; In progress; asset G-AST-00207</t>
  </si>
  <si>
    <t>G-REQ-00437-E4</t>
  </si>
  <si>
    <t>G-REQ-02005</t>
  </si>
  <si>
    <t>SYNTHETIC: Laptop return; Completed; asset G-AST-00207</t>
  </si>
  <si>
    <t>G-REQ-00438-E1</t>
  </si>
  <si>
    <t>G-REQ-02006</t>
  </si>
  <si>
    <t>SYNTHETIC: Laptop allocation; Pending approval; asset G-AST-00223</t>
  </si>
  <si>
    <t>G-REQ-00438-E2</t>
  </si>
  <si>
    <t>G-REQ-02007</t>
  </si>
  <si>
    <t>SYNTHETIC: Laptop allocation; Approved; asset G-AST-00223</t>
  </si>
  <si>
    <t>G-REQ-00438-E3</t>
  </si>
  <si>
    <t>SYNTHETIC: Laptop allocation; In progress; asset G-AST-00223</t>
  </si>
  <si>
    <t>G-REQ-02008</t>
  </si>
  <si>
    <t>G-REQ-00438-E4</t>
  </si>
  <si>
    <t>SYNTHETIC: Laptop allocation; Completed; asset G-AST-00223</t>
  </si>
  <si>
    <t>G-REQ-02009</t>
  </si>
  <si>
    <t>G-REQ-00439-E1</t>
  </si>
  <si>
    <t>SYNTHETIC: Laptop allocation; Pending approval; asset G-AST-00224</t>
  </si>
  <si>
    <t>G-REQ-00439-E2</t>
  </si>
  <si>
    <t>G-REQ-02010</t>
  </si>
  <si>
    <t>SYNTHETIC: Laptop allocation; Approved; asset G-AST-00224</t>
  </si>
  <si>
    <t>G-REQ-00439-E3</t>
  </si>
  <si>
    <t>G-REQ-02011</t>
  </si>
  <si>
    <t>SYNTHETIC: Laptop allocation; In progress; asset G-AST-00224</t>
  </si>
  <si>
    <t>G-REQ-00439-E4</t>
  </si>
  <si>
    <t>G-REQ-02012</t>
  </si>
  <si>
    <t>SYNTHETIC: Laptop allocation; Completed; asset G-AST-00224</t>
  </si>
  <si>
    <t>G-REQ-00440-E1</t>
  </si>
  <si>
    <t>G-REQ-02013</t>
  </si>
  <si>
    <t>SYNTHETIC: Laptop allocation; Pending approval; asset G-AST-00225</t>
  </si>
  <si>
    <t>G-REQ-00440-E2</t>
  </si>
  <si>
    <t>G-REQ-02014</t>
  </si>
  <si>
    <t>SYNTHETIC: Laptop allocation; Approved; asset G-AST-00225</t>
  </si>
  <si>
    <t>G-REQ-00440-E3</t>
  </si>
  <si>
    <t>SYNTHETIC: Laptop allocation; In progress; asset G-AST-00225</t>
  </si>
  <si>
    <t>G-REQ-00440-E4</t>
  </si>
  <si>
    <t>G-REQ-02015</t>
  </si>
  <si>
    <t>SYNTHETIC: Laptop allocation; Completed; asset G-AST-00225</t>
  </si>
  <si>
    <t>G-REQ-00441-E1</t>
  </si>
  <si>
    <t>G-REQ-02016</t>
  </si>
  <si>
    <t>SYNTHETIC: Laptop repair; Pending approval; asset G-AST-00217</t>
  </si>
  <si>
    <t>G-REQ-00441-E2</t>
  </si>
  <si>
    <t>SYNTHETIC: Laptop repair; Rejected; asset G-AST-00217</t>
  </si>
  <si>
    <t>G-REQ-02017</t>
  </si>
  <si>
    <t>G-REQ-00442-E1</t>
  </si>
  <si>
    <t>SYNTHETIC: Laptop repair; Pending approval; asset G-AST-00224</t>
  </si>
  <si>
    <t>G-REQ-02018</t>
  </si>
  <si>
    <t>G-REQ-00442-E2</t>
  </si>
  <si>
    <t>SYNTHETIC: Laptop repair; Approved; asset G-AST-00224</t>
  </si>
  <si>
    <t>G-REQ-02019</t>
  </si>
  <si>
    <t>G-REQ-00442-E3</t>
  </si>
  <si>
    <t>SYNTHETIC: Laptop repair; In progress; asset G-AST-00224</t>
  </si>
  <si>
    <t>G-REQ-02020</t>
  </si>
  <si>
    <t>G-REQ-00442-E4</t>
  </si>
  <si>
    <t>SYNTHETIC: Laptop repair; Completed; asset G-AST-00224</t>
  </si>
  <si>
    <t>G-REQ-00443-E1</t>
  </si>
  <si>
    <t>G-REQ-02021</t>
  </si>
  <si>
    <t>G-REQ-00443-E2</t>
  </si>
  <si>
    <t>G-REQ-02022</t>
  </si>
  <si>
    <t>G-REQ-00443-E3</t>
  </si>
  <si>
    <t>G-REQ-02023</t>
  </si>
  <si>
    <t>G-REQ-00443-E4</t>
  </si>
  <si>
    <t>G-REQ-02024</t>
  </si>
  <si>
    <t>G-REQ-00444-E1</t>
  </si>
  <si>
    <t>G-REQ-02025</t>
  </si>
  <si>
    <t>SYNTHETIC: Laptop return; Pending approval; asset G-AST-00026</t>
  </si>
  <si>
    <t>G-REQ-00444-E2</t>
  </si>
  <si>
    <t>G-REQ-02026</t>
  </si>
  <si>
    <t>SYNTHETIC: Laptop return; Approved; asset G-AST-00026</t>
  </si>
  <si>
    <t>G-REQ-00444-E3</t>
  </si>
  <si>
    <t>SYNTHETIC: Laptop return; In progress; asset G-AST-00026</t>
  </si>
  <si>
    <t>G-REQ-00444-E4</t>
  </si>
  <si>
    <t>G-REQ-02027</t>
  </si>
  <si>
    <t>SYNTHETIC: Laptop return; Completed; asset G-AST-00026</t>
  </si>
  <si>
    <t>G-REQ-00445-E1</t>
  </si>
  <si>
    <t>G-REQ-02028</t>
  </si>
  <si>
    <t>SYNTHETIC: Laptop allocation; Pending approval; asset G-AST-00226</t>
  </si>
  <si>
    <t>G-REQ-00445-E2</t>
  </si>
  <si>
    <t>G-REQ-02029</t>
  </si>
  <si>
    <t>SYNTHETIC: Laptop allocation; Approved; asset G-AST-00226</t>
  </si>
  <si>
    <t>G-REQ-00445-E3</t>
  </si>
  <si>
    <t>G-REQ-02030</t>
  </si>
  <si>
    <t>SYNTHETIC: Laptop allocation; In progress; asset G-AST-00226</t>
  </si>
  <si>
    <t>G-REQ-00445-E4</t>
  </si>
  <si>
    <t>G-REQ-02031</t>
  </si>
  <si>
    <t>SYNTHETIC: Laptop allocation; Completed; asset G-AST-00226</t>
  </si>
  <si>
    <t>G-REQ-00446-E1</t>
  </si>
  <si>
    <t>SYNTHETIC: Laptop return; Pending approval; asset G-AST-00127</t>
  </si>
  <si>
    <t>G-REQ-02032</t>
  </si>
  <si>
    <t>G-REQ-00446-E2</t>
  </si>
  <si>
    <t>SYNTHETIC: Laptop return; Approved; asset G-AST-00127</t>
  </si>
  <si>
    <t>G-REQ-02033</t>
  </si>
  <si>
    <t>G-REQ-00446-E3</t>
  </si>
  <si>
    <t>SYNTHETIC: Laptop return; In progress; asset G-AST-00127</t>
  </si>
  <si>
    <t>G-REQ-00446-E4</t>
  </si>
  <si>
    <t>G-REQ-02034</t>
  </si>
  <si>
    <t>SYNTHETIC: Laptop return; Completed; asset G-AST-00127</t>
  </si>
  <si>
    <t>G-REQ-00447-E1</t>
  </si>
  <si>
    <t>G-REQ-02035</t>
  </si>
  <si>
    <t>SYNTHETIC: Laptop repair; Pending approval; asset G-AST-00012</t>
  </si>
  <si>
    <t>G-REQ-00447-E2</t>
  </si>
  <si>
    <t>G-REQ-02036</t>
  </si>
  <si>
    <t>SYNTHETIC: Laptop repair; Approved; asset G-AST-00012</t>
  </si>
  <si>
    <t>G-REQ-00447-E3</t>
  </si>
  <si>
    <t>G-REQ-02037</t>
  </si>
  <si>
    <t>SYNTHETIC: Laptop repair; In progress; asset G-AST-00012</t>
  </si>
  <si>
    <t>G-REQ-00447-E4</t>
  </si>
  <si>
    <t>G-REQ-02038</t>
  </si>
  <si>
    <t>SYNTHETIC: Laptop repair; Completed; asset G-AST-00012</t>
  </si>
  <si>
    <t>G-REQ-00448-E1</t>
  </si>
  <si>
    <t>G-REQ-02039</t>
  </si>
  <si>
    <t>SYNTHETIC: Laptop return; Pending approval; asset G-AST-00046</t>
  </si>
  <si>
    <t>G-REQ-00448-E2</t>
  </si>
  <si>
    <t>SYNTHETIC: Laptop return; Rejected; asset G-AST-00046</t>
  </si>
  <si>
    <t>G-REQ-02040</t>
  </si>
  <si>
    <t>G-REQ-00449-E1</t>
  </si>
  <si>
    <t>SYNTHETIC: Laptop allocation; Pending approval; asset G-AST-00227</t>
  </si>
  <si>
    <t>G-REQ-02041</t>
  </si>
  <si>
    <t>G-REQ-00449-E2</t>
  </si>
  <si>
    <t>SYNTHETIC: Laptop allocation; Approved; asset G-AST-00227</t>
  </si>
  <si>
    <t>G-REQ-02042</t>
  </si>
  <si>
    <t>G-REQ-00449-E3</t>
  </si>
  <si>
    <t>SYNTHETIC: Laptop allocation; In progress; asset G-AST-00227</t>
  </si>
  <si>
    <t>G-REQ-00449-E4</t>
  </si>
  <si>
    <t>G-REQ-02043</t>
  </si>
  <si>
    <t>SYNTHETIC: Laptop allocation; Completed; asset G-AST-00227</t>
  </si>
  <si>
    <t>G-REQ-00450-E1</t>
  </si>
  <si>
    <t>G-REQ-02044</t>
  </si>
  <si>
    <t>SYNTHETIC: Laptop return; Pending approval; asset G-AST-00055</t>
  </si>
  <si>
    <t>G-REQ-00450-E2</t>
  </si>
  <si>
    <t>G-REQ-02045</t>
  </si>
  <si>
    <t>SYNTHETIC: Laptop return; Approved; asset G-AST-00055</t>
  </si>
  <si>
    <t>G-REQ-00450-E3</t>
  </si>
  <si>
    <t>G-REQ-02046</t>
  </si>
  <si>
    <t>SYNTHETIC: Laptop return; In progress; asset G-AST-00055</t>
  </si>
  <si>
    <t>G-REQ-00450-E4</t>
  </si>
  <si>
    <t>G-REQ-02047</t>
  </si>
  <si>
    <t>SYNTHETIC: Laptop return; Completed; asset G-AST-00055</t>
  </si>
  <si>
    <t>G-REQ-00451-E1</t>
  </si>
  <si>
    <t>G-REQ-02048</t>
  </si>
  <si>
    <t>SYNTHETIC: Laptop return; Pending approval; asset G-AST-00041</t>
  </si>
  <si>
    <t>G-REQ-00451-E2</t>
  </si>
  <si>
    <t>G-REQ-02049</t>
  </si>
  <si>
    <t>SYNTHETIC: Laptop return; Approved; asset G-AST-00041</t>
  </si>
  <si>
    <t>G-REQ-00451-E3</t>
  </si>
  <si>
    <t>G-REQ-02050</t>
  </si>
  <si>
    <t>SYNTHETIC: Laptop return; In progress; asset G-AST-00041</t>
  </si>
  <si>
    <t>G-REQ-00451-E4</t>
  </si>
  <si>
    <t>SYNTHETIC: Laptop return; Completed; asset G-AST-00041</t>
  </si>
  <si>
    <t>G-REQ-00452-E1</t>
  </si>
  <si>
    <t>G-REQ-02051</t>
  </si>
  <si>
    <t>SYNTHETIC: Laptop allocation; Pending approval; asset G-AST-00228</t>
  </si>
  <si>
    <t>G-REQ-00452-E2</t>
  </si>
  <si>
    <t>G-REQ-02052</t>
  </si>
  <si>
    <t>SYNTHETIC: Laptop allocation; Approved; asset G-AST-00228</t>
  </si>
  <si>
    <t>G-REQ-00452-E3</t>
  </si>
  <si>
    <t>G-REQ-02053</t>
  </si>
  <si>
    <t>SYNTHETIC: Laptop allocation; In progress; asset G-AST-00228</t>
  </si>
  <si>
    <t>G-REQ-00452-E4</t>
  </si>
  <si>
    <t>G-REQ-02054</t>
  </si>
  <si>
    <t>SYNTHETIC: Laptop allocation; Completed; asset G-AST-00228</t>
  </si>
  <si>
    <t>G-REQ-00453-E1</t>
  </si>
  <si>
    <t>G-REQ-02055</t>
  </si>
  <si>
    <t>SYNTHETIC: Laptop allocation; Pending approval; asset G-AST-00229</t>
  </si>
  <si>
    <t>G-REQ-00453-E2</t>
  </si>
  <si>
    <t>G-REQ-02056</t>
  </si>
  <si>
    <t>SYNTHETIC: Laptop allocation; Approved; asset G-AST-00229</t>
  </si>
  <si>
    <t>G-REQ-00453-E3</t>
  </si>
  <si>
    <t>SYNTHETIC: Laptop allocation; In progress; asset G-AST-00229</t>
  </si>
  <si>
    <t>G-REQ-00453-E4</t>
  </si>
  <si>
    <t>G-REQ-02057</t>
  </si>
  <si>
    <t>SYNTHETIC: Laptop allocation; Completed; asset G-AST-00229</t>
  </si>
  <si>
    <t>G-REQ-00454-E1</t>
  </si>
  <si>
    <t>G-REQ-02058</t>
  </si>
  <si>
    <t>SYNTHETIC: Laptop allocation; Pending approval; asset G-AST-00230</t>
  </si>
  <si>
    <t>G-REQ-00454-E2</t>
  </si>
  <si>
    <t>G-REQ-02059</t>
  </si>
  <si>
    <t>SYNTHETIC: Laptop allocation; Approved; asset G-AST-00230</t>
  </si>
  <si>
    <t>G-REQ-00454-E3</t>
  </si>
  <si>
    <t>G-REQ-02060</t>
  </si>
  <si>
    <t>SYNTHETIC: Laptop allocation; In progress; asset G-AST-00230</t>
  </si>
  <si>
    <t>G-REQ-00454-E4</t>
  </si>
  <si>
    <t>G-REQ-02061</t>
  </si>
  <si>
    <t>SYNTHETIC: Laptop allocation; Completed; asset G-AST-00230</t>
  </si>
  <si>
    <t>G-REQ-00455-E1</t>
  </si>
  <si>
    <t>G-REQ-02062</t>
  </si>
  <si>
    <t>G-REQ-00455-E2</t>
  </si>
  <si>
    <t>G-REQ-00456-E1</t>
  </si>
  <si>
    <t>G-REQ-02063</t>
  </si>
  <si>
    <t>G-REQ-02064</t>
  </si>
  <si>
    <t>G-REQ-00456-E2</t>
  </si>
  <si>
    <t>G-REQ-02065</t>
  </si>
  <si>
    <t>G-REQ-00456-E3</t>
  </si>
  <si>
    <t>G-REQ-02066</t>
  </si>
  <si>
    <t>G-REQ-00456-E4</t>
  </si>
  <si>
    <t>G-REQ-02067</t>
  </si>
  <si>
    <t>G-REQ-00457-E1</t>
  </si>
  <si>
    <t>G-REQ-02068</t>
  </si>
  <si>
    <t>SYNTHETIC: Laptop allocation; Pending approval; asset G-AST-00231</t>
  </si>
  <si>
    <t>G-REQ-00457-E2</t>
  </si>
  <si>
    <t>G-REQ-02069</t>
  </si>
  <si>
    <t>SYNTHETIC: Laptop allocation; Approved; asset G-AST-00231</t>
  </si>
  <si>
    <t>G-REQ-00457-E3</t>
  </si>
  <si>
    <t>G-REQ-02070</t>
  </si>
  <si>
    <t>SYNTHETIC: Laptop allocation; In progress; asset G-AST-00231</t>
  </si>
  <si>
    <t>G-REQ-00457-E4</t>
  </si>
  <si>
    <t>G-REQ-02071</t>
  </si>
  <si>
    <t>SYNTHETIC: Laptop allocation; Completed; asset G-AST-00231</t>
  </si>
  <si>
    <t>G-REQ-00458-E1</t>
  </si>
  <si>
    <t>SYNTHETIC: Laptop allocation; Pending approval; asset G-AST-00232</t>
  </si>
  <si>
    <t>G-REQ-02072</t>
  </si>
  <si>
    <t>G-REQ-00458-E2</t>
  </si>
  <si>
    <t>SYNTHETIC: Laptop allocation; Approved; asset G-AST-00232</t>
  </si>
  <si>
    <t>G-REQ-00458-E3</t>
  </si>
  <si>
    <t>G-REQ-02073</t>
  </si>
  <si>
    <t>SYNTHETIC: Laptop allocation; In progress; asset G-AST-00232</t>
  </si>
  <si>
    <t>G-REQ-00458-E4</t>
  </si>
  <si>
    <t>G-REQ-02074</t>
  </si>
  <si>
    <t>SYNTHETIC: Laptop allocation; Completed; asset G-AST-00232</t>
  </si>
  <si>
    <t>G-REQ-00459-E1</t>
  </si>
  <si>
    <t>G-REQ-02075</t>
  </si>
  <si>
    <t>SYNTHETIC: Laptop allocation; Pending approval; asset G-AST-00233</t>
  </si>
  <si>
    <t>G-REQ-00459-E2</t>
  </si>
  <si>
    <t>G-REQ-02076</t>
  </si>
  <si>
    <t>SYNTHETIC: Laptop allocation; Approved; asset G-AST-00233</t>
  </si>
  <si>
    <t>G-REQ-00459-E3</t>
  </si>
  <si>
    <t>G-REQ-02077</t>
  </si>
  <si>
    <t>SYNTHETIC: Laptop allocation; In progress; asset G-AST-00233</t>
  </si>
  <si>
    <t>G-REQ-00459-E4</t>
  </si>
  <si>
    <t>G-REQ-02078</t>
  </si>
  <si>
    <t>SYNTHETIC: Laptop allocation; Completed; asset G-AST-00233</t>
  </si>
  <si>
    <t>G-REQ-00460-E1</t>
  </si>
  <si>
    <t>G-REQ-02079</t>
  </si>
  <si>
    <t>SYNTHETIC: Laptop allocation; Pending approval; asset G-AST-00234</t>
  </si>
  <si>
    <t>G-REQ-00460-E2</t>
  </si>
  <si>
    <t>G-REQ-02080</t>
  </si>
  <si>
    <t>SYNTHETIC: Laptop allocation; Approved; asset G-AST-00234</t>
  </si>
  <si>
    <t>G-REQ-00460-E3</t>
  </si>
  <si>
    <t>SYNTHETIC: Laptop allocation; In progress; asset G-AST-00234</t>
  </si>
  <si>
    <t>G-REQ-00460-E4</t>
  </si>
  <si>
    <t>G-REQ-02081</t>
  </si>
  <si>
    <t>SYNTHETIC: Laptop allocation; Completed; asset G-AST-00234</t>
  </si>
  <si>
    <t>G-REQ-00461-E1</t>
  </si>
  <si>
    <t>G-REQ-02082</t>
  </si>
  <si>
    <t>SYNTHETIC: Laptop allocation; Pending approval; asset G-AST-00235</t>
  </si>
  <si>
    <t>G-REQ-00461-E2</t>
  </si>
  <si>
    <t>G-REQ-02083</t>
  </si>
  <si>
    <t>SYNTHETIC: Laptop allocation; Approved; asset G-AST-00235</t>
  </si>
  <si>
    <t>G-REQ-00461-E3</t>
  </si>
  <si>
    <t>G-REQ-02084</t>
  </si>
  <si>
    <t>SYNTHETIC: Laptop allocation; In progress; asset G-AST-00235</t>
  </si>
  <si>
    <t>G-REQ-00461-E4</t>
  </si>
  <si>
    <t>SYNTHETIC: Laptop allocation; Completed; asset G-AST-00235</t>
  </si>
  <si>
    <t>G-REQ-02085</t>
  </si>
  <si>
    <t>G-REQ-00462-E1</t>
  </si>
  <si>
    <t>G-REQ-02086</t>
  </si>
  <si>
    <t>SYNTHETIC: Laptop allocation; Pending approval; asset G-AST-00236</t>
  </si>
  <si>
    <t>G-REQ-00462-E2</t>
  </si>
  <si>
    <t>SYNTHETIC: Laptop allocation; Approved; asset G-AST-00236</t>
  </si>
  <si>
    <t>G-REQ-02087</t>
  </si>
  <si>
    <t>G-REQ-00462-E3</t>
  </si>
  <si>
    <t>SYNTHETIC: Laptop allocation; In progress; asset G-AST-00236</t>
  </si>
  <si>
    <t>G-REQ-02088</t>
  </si>
  <si>
    <t>G-REQ-00462-E4</t>
  </si>
  <si>
    <t>SYNTHETIC: Laptop allocation; Completed; asset G-AST-00236</t>
  </si>
  <si>
    <t>G-REQ-00463-E1</t>
  </si>
  <si>
    <t>G-REQ-02089</t>
  </si>
  <si>
    <t>SYNTHETIC: Laptop repair; Pending approval; asset G-AST-00211</t>
  </si>
  <si>
    <t>G-REQ-00463-E2</t>
  </si>
  <si>
    <t>G-REQ-02090</t>
  </si>
  <si>
    <t>SYNTHETIC: Laptop repair; Approved; asset G-AST-00211</t>
  </si>
  <si>
    <t>G-REQ-00463-E3</t>
  </si>
  <si>
    <t>G-REQ-02091</t>
  </si>
  <si>
    <t>SYNTHETIC: Laptop repair; In progress; asset G-AST-00211</t>
  </si>
  <si>
    <t>G-REQ-00463-E4</t>
  </si>
  <si>
    <t>G-REQ-02092</t>
  </si>
  <si>
    <t>SYNTHETIC: Laptop repair; Completed; asset G-AST-00211</t>
  </si>
  <si>
    <t>G-REQ-00464-E1</t>
  </si>
  <si>
    <t>G-REQ-02093</t>
  </si>
  <si>
    <t>SYNTHETIC: Laptop repair; Pending approval; asset G-AST-00047</t>
  </si>
  <si>
    <t>G-REQ-00464-E2</t>
  </si>
  <si>
    <t>SYNTHETIC: Laptop repair; Cancelled; asset G-AST-00047</t>
  </si>
  <si>
    <t>G-REQ-02094</t>
  </si>
  <si>
    <t>G-REQ-00465-E1</t>
  </si>
  <si>
    <t>G-REQ-02095</t>
  </si>
  <si>
    <t>G-REQ-00465-E2</t>
  </si>
  <si>
    <t>G-REQ-00465-E3</t>
  </si>
  <si>
    <t>G-REQ-02096</t>
  </si>
  <si>
    <t>G-REQ-00465-E4</t>
  </si>
  <si>
    <t>G-REQ-02097</t>
  </si>
  <si>
    <t>G-REQ-00466-E1</t>
  </si>
  <si>
    <t>SYNTHETIC: Laptop repair; Pending approval; asset G-AST-00081</t>
  </si>
  <si>
    <t>G-REQ-02098</t>
  </si>
  <si>
    <t>G-REQ-00466-E2</t>
  </si>
  <si>
    <t>SYNTHETIC: Laptop repair; Approved; asset G-AST-00081</t>
  </si>
  <si>
    <t>G-REQ-02099</t>
  </si>
  <si>
    <t>G-REQ-00466-E3</t>
  </si>
  <si>
    <t>SYNTHETIC: Laptop repair; In progress; asset G-AST-00081</t>
  </si>
  <si>
    <t>G-REQ-02100</t>
  </si>
  <si>
    <t>G-REQ-00466-E4</t>
  </si>
  <si>
    <t>SYNTHETIC: Laptop repair; Completed; asset G-AST-00081</t>
  </si>
  <si>
    <t>G-REQ-02101</t>
  </si>
  <si>
    <t>G-REQ-00467-E1</t>
  </si>
  <si>
    <t>G-REQ-02102</t>
  </si>
  <si>
    <t>G-REQ-00467-E2</t>
  </si>
  <si>
    <t>G-REQ-00467-E3</t>
  </si>
  <si>
    <t>G-REQ-02103</t>
  </si>
  <si>
    <t>G-REQ-00467-E4</t>
  </si>
  <si>
    <t>G-REQ-02104</t>
  </si>
  <si>
    <t>G-REQ-00468-E1</t>
  </si>
  <si>
    <t>G-REQ-02105</t>
  </si>
  <si>
    <t>SYNTHETIC: Laptop return; Pending approval; asset G-AST-00120</t>
  </si>
  <si>
    <t>G-REQ-00468-E2</t>
  </si>
  <si>
    <t>G-REQ-02106</t>
  </si>
  <si>
    <t>SYNTHETIC: Laptop return; Approved; asset G-AST-00120</t>
  </si>
  <si>
    <t>G-REQ-00468-E3</t>
  </si>
  <si>
    <t>SYNTHETIC: Laptop return; In progress; asset G-AST-00120</t>
  </si>
  <si>
    <t>G-REQ-02107</t>
  </si>
  <si>
    <t>G-REQ-00468-E4</t>
  </si>
  <si>
    <t>SYNTHETIC: Laptop return; Completed; asset G-AST-00120</t>
  </si>
  <si>
    <t>G-REQ-02108</t>
  </si>
  <si>
    <t>G-REQ-00469-E1</t>
  </si>
  <si>
    <t>SYNTHETIC: Laptop repair; Pending approval; asset G-AST-00124</t>
  </si>
  <si>
    <t>G-REQ-00469-E2</t>
  </si>
  <si>
    <t>G-REQ-02109</t>
  </si>
  <si>
    <t>SYNTHETIC: Laptop repair; Approved; asset G-AST-00124</t>
  </si>
  <si>
    <t>G-REQ-00469-E3</t>
  </si>
  <si>
    <t>G-REQ-02110</t>
  </si>
  <si>
    <t>SYNTHETIC: Laptop repair; In progress; asset G-AST-00124</t>
  </si>
  <si>
    <t>G-REQ-00469-E4</t>
  </si>
  <si>
    <t>G-REQ-02111</t>
  </si>
  <si>
    <t>SYNTHETIC: Laptop repair; Completed; asset G-AST-00124</t>
  </si>
  <si>
    <t>G-REQ-00470-E1</t>
  </si>
  <si>
    <t>G-REQ-02112</t>
  </si>
  <si>
    <t>SYNTHETIC: Laptop allocation; Pending approval; asset G-AST-00237</t>
  </si>
  <si>
    <t>G-REQ-00470-E2</t>
  </si>
  <si>
    <t>SYNTHETIC: Laptop allocation; Approved; asset G-AST-00237</t>
  </si>
  <si>
    <t>G-REQ-02113</t>
  </si>
  <si>
    <t>G-REQ-00470-E3</t>
  </si>
  <si>
    <t>SYNTHETIC: Laptop allocation; In progress; asset G-AST-00237</t>
  </si>
  <si>
    <t>G-REQ-00470-E4</t>
  </si>
  <si>
    <t>G-REQ-02114</t>
  </si>
  <si>
    <t>SYNTHETIC: Laptop allocation; Completed; asset G-AST-00237</t>
  </si>
  <si>
    <t>G-REQ-00471-E1</t>
  </si>
  <si>
    <t>G-REQ-02115</t>
  </si>
  <si>
    <t>G-REQ-00471-E2</t>
  </si>
  <si>
    <t>G-REQ-02116</t>
  </si>
  <si>
    <t>G-REQ-00472-E1</t>
  </si>
  <si>
    <t>G-REQ-02117</t>
  </si>
  <si>
    <t>SYNTHETIC: Laptop return; Pending approval; asset G-AST-00103</t>
  </si>
  <si>
    <t>G-REQ-00472-E2</t>
  </si>
  <si>
    <t>G-REQ-02118</t>
  </si>
  <si>
    <t>SYNTHETIC: Laptop return; Approved; asset G-AST-00103</t>
  </si>
  <si>
    <t>G-REQ-00472-E3</t>
  </si>
  <si>
    <t>G-REQ-02119</t>
  </si>
  <si>
    <t>SYNTHETIC: Laptop return; In progress; asset G-AST-00103</t>
  </si>
  <si>
    <t>G-REQ-00472-E4</t>
  </si>
  <si>
    <t>G-REQ-02120</t>
  </si>
  <si>
    <t>SYNTHETIC: Laptop return; Completed; asset G-AST-00103</t>
  </si>
  <si>
    <t>G-REQ-00473-E1</t>
  </si>
  <si>
    <t>G-REQ-02121</t>
  </si>
  <si>
    <t>G-REQ-00473-E2</t>
  </si>
  <si>
    <t>G-REQ-02122</t>
  </si>
  <si>
    <t>G-REQ-00473-E3</t>
  </si>
  <si>
    <t>G-REQ-02123</t>
  </si>
  <si>
    <t>G-REQ-00473-E4</t>
  </si>
  <si>
    <t>G-REQ-02124</t>
  </si>
  <si>
    <t>G-REQ-00474-E1</t>
  </si>
  <si>
    <t>G-REQ-02125</t>
  </si>
  <si>
    <t>G-REQ-00474-E2</t>
  </si>
  <si>
    <t>G-REQ-02126</t>
  </si>
  <si>
    <t>SYNTHETIC: Laptop repair; Rejected; asset G-AST-00211</t>
  </si>
  <si>
    <t>G-REQ-00475-E1</t>
  </si>
  <si>
    <t>SYNTHETIC: Laptop allocation; Pending approval; asset G-AST-00238</t>
  </si>
  <si>
    <t>G-REQ-00475-E2</t>
  </si>
  <si>
    <t>G-REQ-02127</t>
  </si>
  <si>
    <t>SYNTHETIC: Laptop allocation; Approved; asset G-AST-00238</t>
  </si>
  <si>
    <t>G-REQ-00475-E3</t>
  </si>
  <si>
    <t>G-REQ-02128</t>
  </si>
  <si>
    <t>SYNTHETIC: Laptop allocation; In progress; asset G-AST-00238</t>
  </si>
  <si>
    <t>G-REQ-00475-E4</t>
  </si>
  <si>
    <t>G-REQ-02129</t>
  </si>
  <si>
    <t>SYNTHETIC: Laptop allocation; Completed; asset G-AST-00238</t>
  </si>
  <si>
    <t>G-REQ-00476-E1</t>
  </si>
  <si>
    <t>SYNTHETIC: Laptop repair; Pending approval; asset G-AST-00134</t>
  </si>
  <si>
    <t>G-REQ-02130</t>
  </si>
  <si>
    <t>G-REQ-00476-E2</t>
  </si>
  <si>
    <t>SYNTHETIC: Laptop repair; Approved; asset G-AST-00134</t>
  </si>
  <si>
    <t>G-REQ-00476-E3</t>
  </si>
  <si>
    <t>G-REQ-02131</t>
  </si>
  <si>
    <t>SYNTHETIC: Laptop repair; In progress; asset G-AST-00134</t>
  </si>
  <si>
    <t>G-REQ-00476-E4</t>
  </si>
  <si>
    <t>G-REQ-02132</t>
  </si>
  <si>
    <t>SYNTHETIC: Laptop repair; Completed; asset G-AST-00134</t>
  </si>
  <si>
    <t>G-REQ-00477-E1</t>
  </si>
  <si>
    <t>G-REQ-02133</t>
  </si>
  <si>
    <t>SYNTHETIC: Laptop allocation; Pending approval; asset G-AST-00239</t>
  </si>
  <si>
    <t>G-REQ-00477-E2</t>
  </si>
  <si>
    <t>G-REQ-02134</t>
  </si>
  <si>
    <t>SYNTHETIC: Laptop allocation; Approved; asset G-AST-00239</t>
  </si>
  <si>
    <t>G-REQ-00477-E3</t>
  </si>
  <si>
    <t>G-REQ-02135</t>
  </si>
  <si>
    <t>SYNTHETIC: Laptop allocation; In progress; asset G-AST-00239</t>
  </si>
  <si>
    <t>G-REQ-00477-E4</t>
  </si>
  <si>
    <t>G-REQ-02136</t>
  </si>
  <si>
    <t>SYNTHETIC: Laptop allocation; Completed; asset G-AST-00239</t>
  </si>
  <si>
    <t>G-REQ-00478-E1</t>
  </si>
  <si>
    <t>G-REQ-02137</t>
  </si>
  <si>
    <t>SYNTHETIC: Laptop repair; Pending approval; asset G-AST-00063</t>
  </si>
  <si>
    <t>G-REQ-00478-E2</t>
  </si>
  <si>
    <t>G-REQ-02138</t>
  </si>
  <si>
    <t>SYNTHETIC: Laptop repair; Approved; asset G-AST-00063</t>
  </si>
  <si>
    <t>G-REQ-00478-E3</t>
  </si>
  <si>
    <t>G-REQ-02139</t>
  </si>
  <si>
    <t>SYNTHETIC: Laptop repair; In progress; asset G-AST-00063</t>
  </si>
  <si>
    <t>G-REQ-00478-E4</t>
  </si>
  <si>
    <t>G-REQ-02140</t>
  </si>
  <si>
    <t>SYNTHETIC: Laptop repair; Completed; asset G-AST-00063</t>
  </si>
  <si>
    <t>G-REQ-00479-E1</t>
  </si>
  <si>
    <t>G-REQ-02141</t>
  </si>
  <si>
    <t>SYNTHETIC: Laptop return; Pending approval; asset G-AST-00117</t>
  </si>
  <si>
    <t>G-REQ-00479-E2</t>
  </si>
  <si>
    <t>G-REQ-02142</t>
  </si>
  <si>
    <t>SYNTHETIC: Laptop return; Approved; asset G-AST-00117</t>
  </si>
  <si>
    <t>G-REQ-00479-E3</t>
  </si>
  <si>
    <t>SYNTHETIC: Laptop return; In progress; asset G-AST-00117</t>
  </si>
  <si>
    <t>G-REQ-02143</t>
  </si>
  <si>
    <t>G-REQ-00479-E4</t>
  </si>
  <si>
    <t>SYNTHETIC: Laptop return; Completed; asset G-AST-00117</t>
  </si>
  <si>
    <t>G-REQ-00480-E1</t>
  </si>
  <si>
    <t>G-REQ-02144</t>
  </si>
  <si>
    <t>SYNTHETIC: Laptop repair; Pending approval; asset G-AST-00178</t>
  </si>
  <si>
    <t>G-REQ-00480-E2</t>
  </si>
  <si>
    <t>G-REQ-02145</t>
  </si>
  <si>
    <t>SYNTHETIC: Laptop repair; Approved; asset G-AST-00178</t>
  </si>
  <si>
    <t>G-REQ-00480-E3</t>
  </si>
  <si>
    <t>G-REQ-02146</t>
  </si>
  <si>
    <t>SYNTHETIC: Laptop repair; In progress; asset G-AST-00178</t>
  </si>
  <si>
    <t>G-REQ-00480-E4</t>
  </si>
  <si>
    <t>SYNTHETIC: Laptop repair; Completed; asset G-AST-00178</t>
  </si>
  <si>
    <t>G-REQ-02147</t>
  </si>
  <si>
    <t>G-REQ-00481-E1</t>
  </si>
  <si>
    <t>G-REQ-02148</t>
  </si>
  <si>
    <t>G-REQ-00481-E2</t>
  </si>
  <si>
    <t>G-REQ-00481-E3</t>
  </si>
  <si>
    <t>G-REQ-02149</t>
  </si>
  <si>
    <t>G-REQ-00481-E4</t>
  </si>
  <si>
    <t>G-REQ-02150</t>
  </si>
  <si>
    <t>G-REQ-00482-E1</t>
  </si>
  <si>
    <t>G-REQ-02151</t>
  </si>
  <si>
    <t>SYNTHETIC: Laptop allocation; Pending approval; asset G-AST-00240</t>
  </si>
  <si>
    <t>G-REQ-00482-E2</t>
  </si>
  <si>
    <t>G-REQ-02152</t>
  </si>
  <si>
    <t>SYNTHETIC: Laptop allocation; Approved; asset G-AST-00240</t>
  </si>
  <si>
    <t>G-REQ-00482-E3</t>
  </si>
  <si>
    <t>G-REQ-02153</t>
  </si>
  <si>
    <t>SYNTHETIC: Laptop allocation; In progress; asset G-AST-00240</t>
  </si>
  <si>
    <t>G-REQ-00482-E4</t>
  </si>
  <si>
    <t>SYNTHETIC: Laptop allocation; Completed; asset G-AST-00240</t>
  </si>
  <si>
    <t>G-REQ-02154</t>
  </si>
  <si>
    <t>G-REQ-00483-E1</t>
  </si>
  <si>
    <t>SYNTHETIC: Laptop repair; Pending approval; asset G-AST-00230</t>
  </si>
  <si>
    <t>G-REQ-02155</t>
  </si>
  <si>
    <t>G-REQ-00483-E2</t>
  </si>
  <si>
    <t>SYNTHETIC: Laptop repair; Approved; asset G-AST-00230</t>
  </si>
  <si>
    <t>G-REQ-02156</t>
  </si>
  <si>
    <t>G-REQ-00483-E3</t>
  </si>
  <si>
    <t>SYNTHETIC: Laptop repair; In progress; asset G-AST-00230</t>
  </si>
  <si>
    <t>G-REQ-02157</t>
  </si>
  <si>
    <t>G-REQ-00483-E4</t>
  </si>
  <si>
    <t>SYNTHETIC: Laptop repair; Completed; asset G-AST-00230</t>
  </si>
  <si>
    <t>G-REQ-00484-E1</t>
  </si>
  <si>
    <t>G-REQ-02158</t>
  </si>
  <si>
    <t>G-REQ-00484-E2</t>
  </si>
  <si>
    <t>G-REQ-02159</t>
  </si>
  <si>
    <t>G-REQ-00484-E3</t>
  </si>
  <si>
    <t>G-REQ-02160</t>
  </si>
  <si>
    <t>G-REQ-00484-E4</t>
  </si>
  <si>
    <t>G-REQ-02161</t>
  </si>
  <si>
    <t>G-REQ-00485-E1</t>
  </si>
  <si>
    <t>SYNTHETIC: Laptop allocation; Pending approval; asset G-AST-00241</t>
  </si>
  <si>
    <t>G-REQ-00485-E2</t>
  </si>
  <si>
    <t>G-REQ-02162</t>
  </si>
  <si>
    <t>SYNTHETIC: Laptop allocation; Approved; asset G-AST-00241</t>
  </si>
  <si>
    <t>G-REQ-00485-E3</t>
  </si>
  <si>
    <t>G-REQ-02163</t>
  </si>
  <si>
    <t>SYNTHETIC: Laptop allocation; In progress; asset G-AST-00241</t>
  </si>
  <si>
    <t>G-REQ-00485-E4</t>
  </si>
  <si>
    <t>G-REQ-02164</t>
  </si>
  <si>
    <t>SYNTHETIC: Laptop allocation; Completed; asset G-AST-00241</t>
  </si>
  <si>
    <t>G-REQ-00486-E1</t>
  </si>
  <si>
    <t>G-REQ-02165</t>
  </si>
  <si>
    <t>SYNTHETIC: Laptop return; Pending approval; asset G-AST-00238</t>
  </si>
  <si>
    <t>G-REQ-00486-E2</t>
  </si>
  <si>
    <t>G-REQ-02166</t>
  </si>
  <si>
    <t>SYNTHETIC: Laptop return; Approved; asset G-AST-00238</t>
  </si>
  <si>
    <t>G-REQ-00486-E3</t>
  </si>
  <si>
    <t>G-REQ-02167</t>
  </si>
  <si>
    <t>SYNTHETIC: Laptop return; In progress; asset G-AST-00238</t>
  </si>
  <si>
    <t>G-REQ-00486-E4</t>
  </si>
  <si>
    <t>G-REQ-02168</t>
  </si>
  <si>
    <t>SYNTHETIC: Laptop return; Completed; asset G-AST-00238</t>
  </si>
  <si>
    <t>G-REQ-00487-E1</t>
  </si>
  <si>
    <t>G-REQ-02169</t>
  </si>
  <si>
    <t>SYNTHETIC: Laptop allocation; Pending approval; asset G-AST-00242</t>
  </si>
  <si>
    <t>G-REQ-00487-E2</t>
  </si>
  <si>
    <t>G-REQ-02170</t>
  </si>
  <si>
    <t>SYNTHETIC: Laptop allocation; Approved; asset G-AST-00242</t>
  </si>
  <si>
    <t>G-REQ-00487-E3</t>
  </si>
  <si>
    <t>G-REQ-02171</t>
  </si>
  <si>
    <t>G-REQ-02172</t>
  </si>
  <si>
    <t>G-REQ-02173</t>
  </si>
  <si>
    <t>SYNTHETIC: Laptop allocation; In progress; asset G-AST-00242</t>
  </si>
  <si>
    <t>G-REQ-00487-E4</t>
  </si>
  <si>
    <t>G-REQ-02174</t>
  </si>
  <si>
    <t>SYNTHETIC: Laptop allocation; Completed; asset G-AST-00242</t>
  </si>
  <si>
    <t>G-REQ-00488-E1</t>
  </si>
  <si>
    <t>G-REQ-02175</t>
  </si>
  <si>
    <t>SYNTHETIC: Laptop repair; Pending approval; asset G-AST-00088</t>
  </si>
  <si>
    <t>G-REQ-00488-E2</t>
  </si>
  <si>
    <t>G-REQ-02176</t>
  </si>
  <si>
    <t>SYNTHETIC: Laptop repair; Approved; asset G-AST-00088</t>
  </si>
  <si>
    <t>G-REQ-00488-E3</t>
  </si>
  <si>
    <t>SYNTHETIC: Laptop repair; In progress; asset G-AST-00088</t>
  </si>
  <si>
    <t>G-REQ-02177</t>
  </si>
  <si>
    <t>G-REQ-00488-E4</t>
  </si>
  <si>
    <t>SYNTHETIC: Laptop repair; Completed; asset G-AST-00088</t>
  </si>
  <si>
    <t>G-REQ-00489-E1</t>
  </si>
  <si>
    <t>G-REQ-02178</t>
  </si>
  <si>
    <t>G-REQ-00489-E2</t>
  </si>
  <si>
    <t>G-REQ-02179</t>
  </si>
  <si>
    <t>G-REQ-00489-E3</t>
  </si>
  <si>
    <t>G-REQ-00489-E4</t>
  </si>
  <si>
    <t>G-REQ-02180</t>
  </si>
  <si>
    <t>G-REQ-00490-E1</t>
  </si>
  <si>
    <t>G-REQ-02181</t>
  </si>
  <si>
    <t>SYNTHETIC: Laptop allocation; Pending approval; asset G-AST-00243</t>
  </si>
  <si>
    <t>G-REQ-00490-E2</t>
  </si>
  <si>
    <t>G-REQ-02182</t>
  </si>
  <si>
    <t>SYNTHETIC: Laptop allocation; Approved; asset G-AST-00243</t>
  </si>
  <si>
    <t>G-REQ-00490-E3</t>
  </si>
  <si>
    <t>SYNTHETIC: Laptop allocation; In progress; asset G-AST-00243</t>
  </si>
  <si>
    <t>G-REQ-02183</t>
  </si>
  <si>
    <t>G-REQ-00490-E4</t>
  </si>
  <si>
    <t>SYNTHETIC: Laptop allocation; Completed; asset G-AST-00243</t>
  </si>
  <si>
    <t>G-REQ-02184</t>
  </si>
  <si>
    <t>G-REQ-00491-E1</t>
  </si>
  <si>
    <t>SYNTHETIC: Laptop return; Pending approval; asset G-AST-00213</t>
  </si>
  <si>
    <t>G-REQ-00491-E2</t>
  </si>
  <si>
    <t>G-REQ-02185</t>
  </si>
  <si>
    <t>SYNTHETIC: Laptop return; Approved; asset G-AST-00213</t>
  </si>
  <si>
    <t>G-REQ-00491-E3</t>
  </si>
  <si>
    <t>G-REQ-02186</t>
  </si>
  <si>
    <t>SYNTHETIC: Laptop return; In progress; asset G-AST-00213</t>
  </si>
  <si>
    <t>G-REQ-00491-E4</t>
  </si>
  <si>
    <t>G-REQ-02187</t>
  </si>
  <si>
    <t>SYNTHETIC: Laptop return; Completed; asset G-AST-00213</t>
  </si>
  <si>
    <t>G-REQ-00492-E1</t>
  </si>
  <si>
    <t>G-REQ-02188</t>
  </si>
  <si>
    <t>SYNTHETIC: Laptop allocation; Pending approval; asset G-AST-00244</t>
  </si>
  <si>
    <t>G-REQ-00492-E2</t>
  </si>
  <si>
    <t>G-REQ-02189</t>
  </si>
  <si>
    <t>SYNTHETIC: Laptop allocation; Approved; asset G-AST-00244</t>
  </si>
  <si>
    <t>G-REQ-00492-E3</t>
  </si>
  <si>
    <t>G-REQ-02190</t>
  </si>
  <si>
    <t>SYNTHETIC: Laptop allocation; In progress; asset G-AST-00244</t>
  </si>
  <si>
    <t>G-REQ-00492-E4</t>
  </si>
  <si>
    <t>G-REQ-02191</t>
  </si>
  <si>
    <t>SYNTHETIC: Laptop allocation; Completed; asset G-AST-00244</t>
  </si>
  <si>
    <t>G-REQ-00493-E1</t>
  </si>
  <si>
    <t>G-REQ-02192</t>
  </si>
  <si>
    <t>SYNTHETIC: Laptop return; Pending approval; asset G-AST-00177</t>
  </si>
  <si>
    <t>G-REQ-00493-E2</t>
  </si>
  <si>
    <t>G-REQ-02193</t>
  </si>
  <si>
    <t>SYNTHETIC: Laptop return; Approved; asset G-AST-00177</t>
  </si>
  <si>
    <t>G-REQ-00493-E3</t>
  </si>
  <si>
    <t>G-REQ-02194</t>
  </si>
  <si>
    <t>SYNTHETIC: Laptop return; In progress; asset G-AST-00177</t>
  </si>
  <si>
    <t>G-REQ-00493-E4</t>
  </si>
  <si>
    <t>G-REQ-02195</t>
  </si>
  <si>
    <t>SYNTHETIC: Laptop return; Completed; asset G-AST-00177</t>
  </si>
  <si>
    <t>G-REQ-00494-E1</t>
  </si>
  <si>
    <t>G-REQ-02196</t>
  </si>
  <si>
    <t>SYNTHETIC: Laptop return; Pending approval; asset G-AST-00048</t>
  </si>
  <si>
    <t>G-REQ-00494-E2</t>
  </si>
  <si>
    <t>G-REQ-02197</t>
  </si>
  <si>
    <t>SYNTHETIC: Laptop return; Approved; asset G-AST-00048</t>
  </si>
  <si>
    <t>G-REQ-00494-E3</t>
  </si>
  <si>
    <t>SYNTHETIC: Laptop return; In progress; asset G-AST-00048</t>
  </si>
  <si>
    <t>G-REQ-00494-E4</t>
  </si>
  <si>
    <t>G-REQ-02198</t>
  </si>
  <si>
    <t>SYNTHETIC: Laptop return; Completed; asset G-AST-00048</t>
  </si>
  <si>
    <t>G-REQ-00495-E1</t>
  </si>
  <si>
    <t>SYNTHETIC: Laptop allocation; Pending approval; asset G-AST-00245</t>
  </si>
  <si>
    <t>G-REQ-00495-E2</t>
  </si>
  <si>
    <t>G-REQ-02199</t>
  </si>
  <si>
    <t>SYNTHETIC: Laptop allocation; Approved; asset G-AST-00245</t>
  </si>
  <si>
    <t>G-REQ-00495-E3</t>
  </si>
  <si>
    <t>G-REQ-02200</t>
  </si>
  <si>
    <t>SYNTHETIC: Laptop allocation; In progress; asset G-AST-00245</t>
  </si>
  <si>
    <t>G-REQ-00495-E4</t>
  </si>
  <si>
    <t>G-REQ-02201</t>
  </si>
  <si>
    <t>SYNTHETIC: Laptop allocation; Completed; asset G-AST-00245</t>
  </si>
  <si>
    <t>G-REQ-00496-E1</t>
  </si>
  <si>
    <t>G-REQ-02202</t>
  </si>
  <si>
    <t>G-REQ-00496-E2</t>
  </si>
  <si>
    <t>G-REQ-02203</t>
  </si>
  <si>
    <t>G-REQ-00496-E3</t>
  </si>
  <si>
    <t>G-REQ-02204</t>
  </si>
  <si>
    <t>G-REQ-00496-E4</t>
  </si>
  <si>
    <t>G-REQ-02205</t>
  </si>
  <si>
    <t>G-REQ-00497-E1</t>
  </si>
  <si>
    <t>SYNTHETIC: Laptop allocation; Pending approval; asset G-AST-00246</t>
  </si>
  <si>
    <t>G-REQ-02206</t>
  </si>
  <si>
    <t>G-REQ-00497-E2</t>
  </si>
  <si>
    <t>SYNTHETIC: Laptop allocation; Approved; asset G-AST-00246</t>
  </si>
  <si>
    <t>G-REQ-00497-E3</t>
  </si>
  <si>
    <t>G-REQ-02207</t>
  </si>
  <si>
    <t>SYNTHETIC: Laptop allocation; In progress; asset G-AST-00246</t>
  </si>
  <si>
    <t>G-REQ-00497-E4</t>
  </si>
  <si>
    <t>G-REQ-02208</t>
  </si>
  <si>
    <t>SYNTHETIC: Laptop allocation; Completed; asset G-AST-00246</t>
  </si>
  <si>
    <t>G-REQ-00498-E1</t>
  </si>
  <si>
    <t>G-REQ-02209</t>
  </si>
  <si>
    <t>SYNTHETIC: Laptop allocation; Pending approval; asset G-AST-00247</t>
  </si>
  <si>
    <t>G-REQ-00498-E2</t>
  </si>
  <si>
    <t>SYNTHETIC: Laptop allocation; Approved; asset G-AST-00247</t>
  </si>
  <si>
    <t>G-REQ-02210</t>
  </si>
  <si>
    <t>G-REQ-00498-E3</t>
  </si>
  <si>
    <t>SYNTHETIC: Laptop allocation; In progress; asset G-AST-00247</t>
  </si>
  <si>
    <t>G-REQ-00498-E4</t>
  </si>
  <si>
    <t>G-REQ-02211</t>
  </si>
  <si>
    <t>SYNTHETIC: Laptop allocation; Completed; asset G-AST-00247</t>
  </si>
  <si>
    <t>G-REQ-00499-E1</t>
  </si>
  <si>
    <t>G-REQ-02212</t>
  </si>
  <si>
    <t>SYNTHETIC: Laptop allocation; Pending approval; asset G-AST-00248</t>
  </si>
  <si>
    <t>G-REQ-00499-E2</t>
  </si>
  <si>
    <t>G-REQ-02213</t>
  </si>
  <si>
    <t>SYNTHETIC: Laptop allocation; Approved; asset G-AST-00248</t>
  </si>
  <si>
    <t>G-REQ-00499-E3</t>
  </si>
  <si>
    <t>SYNTHETIC: Laptop allocation; In progress; asset G-AST-00248</t>
  </si>
  <si>
    <t>G-REQ-02214</t>
  </si>
  <si>
    <t>G-REQ-00499-E4</t>
  </si>
  <si>
    <t>SYNTHETIC: Laptop allocation; Completed; asset G-AST-00248</t>
  </si>
  <si>
    <t>G-REQ-02215</t>
  </si>
  <si>
    <t>G-REQ-00500-E1</t>
  </si>
  <si>
    <t>G-REQ-02216</t>
  </si>
  <si>
    <t>G-REQ-00500-E2</t>
  </si>
  <si>
    <t>G-REQ-02217</t>
  </si>
  <si>
    <t>G-REQ-00500-E3</t>
  </si>
  <si>
    <t>G-REQ-02218</t>
  </si>
  <si>
    <t>G-REQ-00500-E4</t>
  </si>
  <si>
    <t>G-REQ-02219</t>
  </si>
  <si>
    <t>G-REQ-00501-E1</t>
  </si>
  <si>
    <t>SYNTHETIC: Laptop allocation; Pending approval; asset G-AST-00249</t>
  </si>
  <si>
    <t>G-REQ-02220</t>
  </si>
  <si>
    <t>G-REQ-00501-E2</t>
  </si>
  <si>
    <t>SYNTHETIC: Laptop allocation; Approved; asset G-AST-00249</t>
  </si>
  <si>
    <t>G-REQ-00501-E3</t>
  </si>
  <si>
    <t>G-REQ-02221</t>
  </si>
  <si>
    <t>SYNTHETIC: Laptop allocation; In progress; asset G-AST-00249</t>
  </si>
  <si>
    <t>G-REQ-00501-E4</t>
  </si>
  <si>
    <t>G-REQ-02222</t>
  </si>
  <si>
    <t>SYNTHETIC: Laptop allocation; Completed; asset G-AST-00249</t>
  </si>
  <si>
    <t>G-REQ-00502-E1</t>
  </si>
  <si>
    <t>G-REQ-02223</t>
  </si>
  <si>
    <t>SYNTHETIC: Laptop allocation; Pending approval; asset G-AST-00250</t>
  </si>
  <si>
    <t>G-REQ-00502-E2</t>
  </si>
  <si>
    <t>G-REQ-02224</t>
  </si>
  <si>
    <t>SYNTHETIC: Laptop allocation; Approved; asset G-AST-00250</t>
  </si>
  <si>
    <t>G-REQ-00502-E3</t>
  </si>
  <si>
    <t>G-REQ-02225</t>
  </si>
  <si>
    <t>SYNTHETIC: Laptop allocation; In progress; asset G-AST-00250</t>
  </si>
  <si>
    <t>G-REQ-00502-E4</t>
  </si>
  <si>
    <t>G-REQ-02226</t>
  </si>
  <si>
    <t>G-REQ-02227</t>
  </si>
  <si>
    <t>SYNTHETIC: Laptop allocation; Completed; asset G-AST-00250</t>
  </si>
  <si>
    <t>G-REQ-00503-E1</t>
  </si>
  <si>
    <t>G-REQ-02228</t>
  </si>
  <si>
    <t>SYNTHETIC: Laptop allocation; Pending approval; asset G-AST-00251</t>
  </si>
  <si>
    <t>G-REQ-00503-E2</t>
  </si>
  <si>
    <t>G-REQ-02229</t>
  </si>
  <si>
    <t>SYNTHETIC: Laptop allocation; Approved; asset G-AST-00251</t>
  </si>
  <si>
    <t>G-REQ-00503-E3</t>
  </si>
  <si>
    <t>SYNTHETIC: Laptop allocation; In progress; asset G-AST-00251</t>
  </si>
  <si>
    <t>G-REQ-02230</t>
  </si>
  <si>
    <t>G-REQ-00503-E4</t>
  </si>
  <si>
    <t>SYNTHETIC: Laptop allocation; Completed; asset G-AST-00251</t>
  </si>
  <si>
    <t>G-REQ-00504-E1</t>
  </si>
  <si>
    <t>G-REQ-02231</t>
  </si>
  <si>
    <t>SYNTHETIC: Laptop repair; Pending approval; asset G-AST-00181</t>
  </si>
  <si>
    <t>G-REQ-00504-E2</t>
  </si>
  <si>
    <t>G-REQ-02232</t>
  </si>
  <si>
    <t>SYNTHETIC: Laptop repair; Cancelled; asset G-AST-00181</t>
  </si>
  <si>
    <t>G-REQ-00505-E1</t>
  </si>
  <si>
    <t>G-REQ-02233</t>
  </si>
  <si>
    <t>G-REQ-00505-E2</t>
  </si>
  <si>
    <t>G-REQ-02234</t>
  </si>
  <si>
    <t>G-REQ-00505-E3</t>
  </si>
  <si>
    <t>G-REQ-02235</t>
  </si>
  <si>
    <t>G-REQ-00505-E4</t>
  </si>
  <si>
    <t>G-REQ-02236</t>
  </si>
  <si>
    <t>G-REQ-00506-E1</t>
  </si>
  <si>
    <t>G-REQ-02237</t>
  </si>
  <si>
    <t>SYNTHETIC: Laptop allocation; Pending approval; asset G-AST-00252</t>
  </si>
  <si>
    <t>G-REQ-00506-E2</t>
  </si>
  <si>
    <t>G-REQ-02238</t>
  </si>
  <si>
    <t>SYNTHETIC: Laptop allocation; Approved; asset G-AST-00252</t>
  </si>
  <si>
    <t>G-REQ-02239</t>
  </si>
  <si>
    <t>G-REQ-00506-E3</t>
  </si>
  <si>
    <t>G-REQ-02240</t>
  </si>
  <si>
    <t>SYNTHETIC: Laptop allocation; In progress; asset G-AST-00252</t>
  </si>
  <si>
    <t>G-REQ-00506-E4</t>
  </si>
  <si>
    <t>G-REQ-02241</t>
  </si>
  <si>
    <t>SYNTHETIC: Laptop allocation; Completed; asset G-AST-00252</t>
  </si>
  <si>
    <t>G-REQ-00507-E1</t>
  </si>
  <si>
    <t>G-REQ-02242</t>
  </si>
  <si>
    <t>SYNTHETIC: Laptop repair; Pending approval; asset G-AST-00087</t>
  </si>
  <si>
    <t>G-REQ-00507-E2</t>
  </si>
  <si>
    <t>G-REQ-02243</t>
  </si>
  <si>
    <t>SYNTHETIC: Laptop repair; Rejected; asset G-AST-00087</t>
  </si>
  <si>
    <t>G-REQ-02244</t>
  </si>
  <si>
    <t>G-REQ-00508-E1</t>
  </si>
  <si>
    <t>G-REQ-02245</t>
  </si>
  <si>
    <t>SYNTHETIC: Laptop repair; Pending approval; asset G-AST-00176</t>
  </si>
  <si>
    <t>G-REQ-00508-E2</t>
  </si>
  <si>
    <t>G-REQ-02246</t>
  </si>
  <si>
    <t>G-REQ-02247</t>
  </si>
  <si>
    <t>SYNTHETIC: Laptop repair; Approved; asset G-AST-00176</t>
  </si>
  <si>
    <t>G-REQ-00508-E3</t>
  </si>
  <si>
    <t>G-REQ-02248</t>
  </si>
  <si>
    <t>SYNTHETIC: Laptop repair; In progress; asset G-AST-00176</t>
  </si>
  <si>
    <t>G-REQ-00508-E4</t>
  </si>
  <si>
    <t>G-REQ-02249</t>
  </si>
  <si>
    <t>SYNTHETIC: Laptop repair; Completed; asset G-AST-00176</t>
  </si>
  <si>
    <t>G-REQ-00509-E1</t>
  </si>
  <si>
    <t>G-REQ-02250</t>
  </si>
  <si>
    <t>SYNTHETIC: Laptop repair; Pending approval; asset G-AST-00232</t>
  </si>
  <si>
    <t>G-REQ-00509-E2</t>
  </si>
  <si>
    <t>G-REQ-02251</t>
  </si>
  <si>
    <t>SYNTHETIC: Laptop repair; Approved; asset G-AST-00232</t>
  </si>
  <si>
    <t>G-REQ-00509-E3</t>
  </si>
  <si>
    <t>G-REQ-02252</t>
  </si>
  <si>
    <t>SYNTHETIC: Laptop repair; In progress; asset G-AST-00232</t>
  </si>
  <si>
    <t>G-REQ-00509-E4</t>
  </si>
  <si>
    <t>G-REQ-02253</t>
  </si>
  <si>
    <t>SYNTHETIC: Laptop repair; Completed; asset G-AST-00232</t>
  </si>
  <si>
    <t>G-REQ-00510-E1</t>
  </si>
  <si>
    <t>G-REQ-02254</t>
  </si>
  <si>
    <t>SYNTHETIC: Laptop repair; Pending approval; asset G-AST-00070</t>
  </si>
  <si>
    <t>G-REQ-00510-E2</t>
  </si>
  <si>
    <t>SYNTHETIC: Laptop repair; Approved; asset G-AST-00070</t>
  </si>
  <si>
    <t>G-REQ-02255</t>
  </si>
  <si>
    <t>G-REQ-00510-E3</t>
  </si>
  <si>
    <t>SYNTHETIC: Laptop repair; In progress; asset G-AST-00070</t>
  </si>
  <si>
    <t>G-REQ-02256</t>
  </si>
  <si>
    <t>G-REQ-00510-E4</t>
  </si>
  <si>
    <t>SYNTHETIC: Laptop repair; Completed; asset G-AST-00070</t>
  </si>
  <si>
    <t>G-REQ-00511-E1</t>
  </si>
  <si>
    <t>G-REQ-02257</t>
  </si>
  <si>
    <t>SYNTHETIC: Laptop allocation; Pending approval; asset G-AST-00253</t>
  </si>
  <si>
    <t>G-REQ-00511-E2</t>
  </si>
  <si>
    <t>G-REQ-02258</t>
  </si>
  <si>
    <t>SYNTHETIC: Laptop allocation; Approved; asset G-AST-00253</t>
  </si>
  <si>
    <t>G-REQ-00511-E3</t>
  </si>
  <si>
    <t>G-REQ-02259</t>
  </si>
  <si>
    <t>SYNTHETIC: Laptop allocation; In progress; asset G-AST-00253</t>
  </si>
  <si>
    <t>G-REQ-00511-E4</t>
  </si>
  <si>
    <t>G-REQ-02260</t>
  </si>
  <si>
    <t>SYNTHETIC: Laptop allocation; Completed; asset G-AST-00253</t>
  </si>
  <si>
    <t>G-REQ-00512-E1</t>
  </si>
  <si>
    <t>G-REQ-02261</t>
  </si>
  <si>
    <t>SYNTHETIC: Laptop return; Pending approval; asset G-AST-00156</t>
  </si>
  <si>
    <t>G-REQ-00512-E2</t>
  </si>
  <si>
    <t>G-REQ-02262</t>
  </si>
  <si>
    <t>SYNTHETIC: Laptop return; Approved; asset G-AST-00156</t>
  </si>
  <si>
    <t>G-REQ-00512-E3</t>
  </si>
  <si>
    <t>SYNTHETIC: Laptop return; In progress; asset G-AST-00156</t>
  </si>
  <si>
    <t>G-REQ-02263</t>
  </si>
  <si>
    <t>G-REQ-00512-E4</t>
  </si>
  <si>
    <t>SYNTHETIC: Laptop return; Completed; asset G-AST-00156</t>
  </si>
  <si>
    <t>G-REQ-02264</t>
  </si>
  <si>
    <t>G-REQ-00513-E1</t>
  </si>
  <si>
    <t>G-REQ-02265</t>
  </si>
  <si>
    <t>G-REQ-00513-E2</t>
  </si>
  <si>
    <t>G-REQ-02266</t>
  </si>
  <si>
    <t>G-REQ-00513-E3</t>
  </si>
  <si>
    <t>G-REQ-02267</t>
  </si>
  <si>
    <t>G-REQ-00513-E4</t>
  </si>
  <si>
    <t>G-REQ-02268</t>
  </si>
  <si>
    <t>G-REQ-00514-E1</t>
  </si>
  <si>
    <t>SYNTHETIC: Laptop return; Pending approval; asset G-AST-00152</t>
  </si>
  <si>
    <t>G-REQ-00514-E2</t>
  </si>
  <si>
    <t>G-REQ-02269</t>
  </si>
  <si>
    <t>SYNTHETIC: Laptop return; Approved; asset G-AST-00152</t>
  </si>
  <si>
    <t>G-REQ-00514-E3</t>
  </si>
  <si>
    <t>G-REQ-02270</t>
  </si>
  <si>
    <t>SYNTHETIC: Laptop return; In progress; asset G-AST-00152</t>
  </si>
  <si>
    <t>G-REQ-00514-E4</t>
  </si>
  <si>
    <t>G-REQ-02271</t>
  </si>
  <si>
    <t>SYNTHETIC: Laptop return; Completed; asset G-AST-00152</t>
  </si>
  <si>
    <t>G-REQ-00515-E1</t>
  </si>
  <si>
    <t>G-REQ-02272</t>
  </si>
  <si>
    <t>SYNTHETIC: Laptop repair; Pending approval; asset G-AST-00110</t>
  </si>
  <si>
    <t>G-REQ-00515-E2</t>
  </si>
  <si>
    <t>G-REQ-02273</t>
  </si>
  <si>
    <t>SYNTHETIC: Laptop repair; Approved; asset G-AST-00110</t>
  </si>
  <si>
    <t>G-REQ-00515-E3</t>
  </si>
  <si>
    <t>G-REQ-02274</t>
  </si>
  <si>
    <t>SYNTHETIC: Laptop repair; In progress; asset G-AST-00110</t>
  </si>
  <si>
    <t>G-REQ-00515-E4</t>
  </si>
  <si>
    <t>G-REQ-02275</t>
  </si>
  <si>
    <t>SYNTHETIC: Laptop repair; Completed; asset G-AST-00110</t>
  </si>
  <si>
    <t>G-REQ-00516-E1</t>
  </si>
  <si>
    <t>G-REQ-00516-E2</t>
  </si>
  <si>
    <t>G-REQ-02276</t>
  </si>
  <si>
    <t>G-REQ-00516-E3</t>
  </si>
  <si>
    <t>G-REQ-02277</t>
  </si>
  <si>
    <t>G-REQ-00516-E4</t>
  </si>
  <si>
    <t>G-REQ-02278</t>
  </si>
  <si>
    <t>G-REQ-00517-E1</t>
  </si>
  <si>
    <t>SYNTHETIC: Laptop return; Pending approval; asset G-AST-00121</t>
  </si>
  <si>
    <t>G-REQ-02279</t>
  </si>
  <si>
    <t>G-REQ-00517-E2</t>
  </si>
  <si>
    <t>SYNTHETIC: Laptop return; Approved; asset G-AST-00121</t>
  </si>
  <si>
    <t>G-REQ-00517-E3</t>
  </si>
  <si>
    <t>G-REQ-02280</t>
  </si>
  <si>
    <t>SYNTHETIC: Laptop return; In progress; asset G-AST-00121</t>
  </si>
  <si>
    <t>G-REQ-00517-E4</t>
  </si>
  <si>
    <t>G-REQ-02281</t>
  </si>
  <si>
    <t>SYNTHETIC: Laptop return; Completed; asset G-AST-00121</t>
  </si>
  <si>
    <t>G-REQ-00518-E1</t>
  </si>
  <si>
    <t>G-REQ-02282</t>
  </si>
  <si>
    <t>SYNTHETIC: Laptop repair; Pending approval; asset G-AST-00172</t>
  </si>
  <si>
    <t>G-REQ-00518-E2</t>
  </si>
  <si>
    <t>G-REQ-02283</t>
  </si>
  <si>
    <t>SYNTHETIC: Laptop repair; Rejected; asset G-AST-00172</t>
  </si>
  <si>
    <t>G-REQ-00519-E1</t>
  </si>
  <si>
    <t>G-REQ-02284</t>
  </si>
  <si>
    <t>SYNTHETIC: Laptop allocation; Pending approval; asset G-AST-00254</t>
  </si>
  <si>
    <t>G-REQ-00519-E2</t>
  </si>
  <si>
    <t>G-REQ-02285</t>
  </si>
  <si>
    <t>SYNTHETIC: Laptop allocation; Approved; asset G-AST-00254</t>
  </si>
  <si>
    <t>G-REQ-00519-E3</t>
  </si>
  <si>
    <t>G-REQ-02286</t>
  </si>
  <si>
    <t>SYNTHETIC: Laptop allocation; In progress; asset G-AST-00254</t>
  </si>
  <si>
    <t>G-REQ-00519-E4</t>
  </si>
  <si>
    <t>G-REQ-02287</t>
  </si>
  <si>
    <t>SYNTHETIC: Laptop allocation; Completed; asset G-AST-00254</t>
  </si>
  <si>
    <t>G-REQ-00520-E1</t>
  </si>
  <si>
    <t>SYNTHETIC: Laptop return; Pending approval; asset G-AST-00234</t>
  </si>
  <si>
    <t>G-REQ-02288</t>
  </si>
  <si>
    <t>G-REQ-00520-E2</t>
  </si>
  <si>
    <t>SYNTHETIC: Laptop return; Approved; asset G-AST-00234</t>
  </si>
  <si>
    <t>G-REQ-00520-E3</t>
  </si>
  <si>
    <t>G-REQ-02289</t>
  </si>
  <si>
    <t>SYNTHETIC: Laptop return; In progress; asset G-AST-00234</t>
  </si>
  <si>
    <t>G-REQ-00520-E4</t>
  </si>
  <si>
    <t>G-REQ-02290</t>
  </si>
  <si>
    <t>SYNTHETIC: Laptop return; Completed; asset G-AST-00234</t>
  </si>
  <si>
    <t>G-REQ-00521-E1</t>
  </si>
  <si>
    <t>G-REQ-02291</t>
  </si>
  <si>
    <t>G-REQ-00521-E2</t>
  </si>
  <si>
    <t>G-REQ-02292</t>
  </si>
  <si>
    <t>G-REQ-00521-E3</t>
  </si>
  <si>
    <t>G-REQ-02293</t>
  </si>
  <si>
    <t>G-REQ-00521-E4</t>
  </si>
  <si>
    <t>G-REQ-00522-E1</t>
  </si>
  <si>
    <t>G-REQ-02294</t>
  </si>
  <si>
    <t>SYNTHETIC: Laptop allocation; Pending approval; asset G-AST-00255</t>
  </si>
  <si>
    <t>G-REQ-00522-E2</t>
  </si>
  <si>
    <t>G-REQ-02295</t>
  </si>
  <si>
    <t>SYNTHETIC: Laptop allocation; Approved; asset G-AST-00255</t>
  </si>
  <si>
    <t>G-REQ-00522-E3</t>
  </si>
  <si>
    <t>G-REQ-02296</t>
  </si>
  <si>
    <t>SYNTHETIC: Laptop allocation; In progress; asset G-AST-00255</t>
  </si>
  <si>
    <t>G-REQ-00522-E4</t>
  </si>
  <si>
    <t>G-REQ-02297</t>
  </si>
  <si>
    <t>SYNTHETIC: Laptop allocation; Completed; asset G-AST-00255</t>
  </si>
  <si>
    <t>G-REQ-00523-E1</t>
  </si>
  <si>
    <t>G-REQ-02298</t>
  </si>
  <si>
    <t>SYNTHETIC: Laptop repair; Pending approval; asset G-AST-00255</t>
  </si>
  <si>
    <t>G-REQ-00523-E2</t>
  </si>
  <si>
    <t>SYNTHETIC: Laptop repair; Approved; asset G-AST-00255</t>
  </si>
  <si>
    <t>G-REQ-02299</t>
  </si>
  <si>
    <t>G-REQ-00523-E3</t>
  </si>
  <si>
    <t>SYNTHETIC: Laptop repair; In progress; asset G-AST-00255</t>
  </si>
  <si>
    <t>G-REQ-00523-E4</t>
  </si>
  <si>
    <t>G-REQ-02300</t>
  </si>
  <si>
    <t>SYNTHETIC: Laptop repair; Completed; asset G-AST-00255</t>
  </si>
  <si>
    <t>G-REQ-00524-E1</t>
  </si>
  <si>
    <t>G-REQ-02301</t>
  </si>
  <si>
    <t>SYNTHETIC: Laptop return; Pending approval; asset G-AST-00202</t>
  </si>
  <si>
    <t>G-REQ-00524-E2</t>
  </si>
  <si>
    <t>G-REQ-02302</t>
  </si>
  <si>
    <t>SYNTHETIC: Laptop return; Approved; asset G-AST-00202</t>
  </si>
  <si>
    <t>G-REQ-00524-E3</t>
  </si>
  <si>
    <t>G-REQ-02303</t>
  </si>
  <si>
    <t>SYNTHETIC: Laptop return; In progress; asset G-AST-00202</t>
  </si>
  <si>
    <t>G-REQ-00524-E4</t>
  </si>
  <si>
    <t>G-REQ-02304</t>
  </si>
  <si>
    <t>SYNTHETIC: Laptop return; Completed; asset G-AST-00202</t>
  </si>
  <si>
    <t>G-REQ-00525-E1</t>
  </si>
  <si>
    <t>G-REQ-02305</t>
  </si>
  <si>
    <t>SYNTHETIC: Laptop allocation; Pending approval; asset G-AST-00256</t>
  </si>
  <si>
    <t>G-REQ-00525-E2</t>
  </si>
  <si>
    <t>G-REQ-02306</t>
  </si>
  <si>
    <t>SYNTHETIC: Laptop allocation; Approved; asset G-AST-00256</t>
  </si>
  <si>
    <t>G-REQ-00525-E3</t>
  </si>
  <si>
    <t>SYNTHETIC: Laptop allocation; In progress; asset G-AST-00256</t>
  </si>
  <si>
    <t>G-REQ-02307</t>
  </si>
  <si>
    <t>G-REQ-00525-E4</t>
  </si>
  <si>
    <t>SYNTHETIC: Laptop allocation; Completed; asset G-AST-00256</t>
  </si>
  <si>
    <t>G-REQ-00526-E1</t>
  </si>
  <si>
    <t>SYNTHETIC: Laptop allocation; Pending approval; asset G-AST-00257</t>
  </si>
  <si>
    <t>G-REQ-00526-E2</t>
  </si>
  <si>
    <t>G-REQ-02308</t>
  </si>
  <si>
    <t>SYNTHETIC: Laptop allocation; Approved; asset G-AST-00257</t>
  </si>
  <si>
    <t>G-REQ-00526-E3</t>
  </si>
  <si>
    <t>G-REQ-02309</t>
  </si>
  <si>
    <t>SYNTHETIC: Laptop allocation; In progress; asset G-AST-00257</t>
  </si>
  <si>
    <t>G-REQ-00526-E4</t>
  </si>
  <si>
    <t>G-REQ-02310</t>
  </si>
  <si>
    <t>SYNTHETIC: Laptop allocation; Completed; asset G-AST-00257</t>
  </si>
  <si>
    <t>G-REQ-00527-E1</t>
  </si>
  <si>
    <t>G-REQ-02311</t>
  </si>
  <si>
    <t>G-REQ-00527-E2</t>
  </si>
  <si>
    <t>SYNTHETIC: Laptop repair; Approved; asset G-AST-00082</t>
  </si>
  <si>
    <t>G-REQ-02312</t>
  </si>
  <si>
    <t>G-REQ-00527-E3</t>
  </si>
  <si>
    <t>SYNTHETIC: Laptop repair; In progress; asset G-AST-00082</t>
  </si>
  <si>
    <t>G-REQ-00527-E4</t>
  </si>
  <si>
    <t>G-REQ-02313</t>
  </si>
  <si>
    <t>SYNTHETIC: Laptop repair; Completed; asset G-AST-00082</t>
  </si>
  <si>
    <t>G-REQ-00528-E1</t>
  </si>
  <si>
    <t>G-REQ-02314</t>
  </si>
  <si>
    <t>G-REQ-00528-E2</t>
  </si>
  <si>
    <t>G-REQ-02315</t>
  </si>
  <si>
    <t>G-REQ-00528-E3</t>
  </si>
  <si>
    <t>G-REQ-02316</t>
  </si>
  <si>
    <t>G-REQ-00528-E4</t>
  </si>
  <si>
    <t>G-REQ-02317</t>
  </si>
  <si>
    <t>G-REQ-00529-E1</t>
  </si>
  <si>
    <t>G-REQ-02318</t>
  </si>
  <si>
    <t>SYNTHETIC: Laptop allocation; Pending approval; asset G-AST-00258</t>
  </si>
  <si>
    <t>G-REQ-00529-E2</t>
  </si>
  <si>
    <t>SYNTHETIC: Laptop allocation; Approved; asset G-AST-00258</t>
  </si>
  <si>
    <t>G-REQ-02319</t>
  </si>
  <si>
    <t>G-REQ-00529-E3</t>
  </si>
  <si>
    <t>SYNTHETIC: Laptop allocation; In progress; asset G-AST-00258</t>
  </si>
  <si>
    <t>G-REQ-00529-E4</t>
  </si>
  <si>
    <t>G-REQ-02320</t>
  </si>
  <si>
    <t>SYNTHETIC: Laptop allocation; Completed; asset G-AST-00258</t>
  </si>
  <si>
    <t>G-REQ-00530-E1</t>
  </si>
  <si>
    <t>G-REQ-02321</t>
  </si>
  <si>
    <t>SYNTHETIC: Laptop repair; Pending approval; asset G-AST-00251</t>
  </si>
  <si>
    <t>G-REQ-00530-E2</t>
  </si>
  <si>
    <t>G-REQ-02322</t>
  </si>
  <si>
    <t>SYNTHETIC: Laptop repair; Approved; asset G-AST-00251</t>
  </si>
  <si>
    <t>G-REQ-00530-E3</t>
  </si>
  <si>
    <t>G-REQ-02323</t>
  </si>
  <si>
    <t>SYNTHETIC: Laptop repair; In progress; asset G-AST-00251</t>
  </si>
  <si>
    <t>G-REQ-00530-E4</t>
  </si>
  <si>
    <t>G-REQ-02324</t>
  </si>
  <si>
    <t>SYNTHETIC: Laptop repair; Completed; asset G-AST-00251</t>
  </si>
  <si>
    <t>G-REQ-00531-E1</t>
  </si>
  <si>
    <t>G-REQ-02325</t>
  </si>
  <si>
    <t>SYNTHETIC: Laptop repair; Pending approval; asset G-AST-00083</t>
  </si>
  <si>
    <t>G-REQ-00531-E2</t>
  </si>
  <si>
    <t>G-REQ-02326</t>
  </si>
  <si>
    <t>SYNTHETIC: Laptop repair; Approved; asset G-AST-00083</t>
  </si>
  <si>
    <t>G-REQ-00531-E3</t>
  </si>
  <si>
    <t>G-REQ-02327</t>
  </si>
  <si>
    <t>SYNTHETIC: Laptop repair; In progress; asset G-AST-00083</t>
  </si>
  <si>
    <t>G-REQ-00531-E4</t>
  </si>
  <si>
    <t>G-REQ-02328</t>
  </si>
  <si>
    <t>SYNTHETIC: Laptop repair; Completed; asset G-AST-00083</t>
  </si>
  <si>
    <t>G-REQ-00532-E1</t>
  </si>
  <si>
    <t>G-REQ-02329</t>
  </si>
  <si>
    <t>SYNTHETIC: Laptop return; Pending approval; asset G-AST-00070</t>
  </si>
  <si>
    <t>G-REQ-00532-E2</t>
  </si>
  <si>
    <t>G-REQ-02330</t>
  </si>
  <si>
    <t>SYNTHETIC: Laptop return; Cancelled; asset G-AST-00070</t>
  </si>
  <si>
    <t>G-REQ-00533-E1</t>
  </si>
  <si>
    <t>SYNTHETIC: Laptop repair; Pending approval; asset G-AST-00077</t>
  </si>
  <si>
    <t>G-REQ-02331</t>
  </si>
  <si>
    <t>G-REQ-00533-E2</t>
  </si>
  <si>
    <t>SYNTHETIC: Laptop repair; Approved; asset G-AST-00077</t>
  </si>
  <si>
    <t>G-REQ-02332</t>
  </si>
  <si>
    <t>G-REQ-00533-E3</t>
  </si>
  <si>
    <t>SYNTHETIC: Laptop repair; In progress; asset G-AST-00077</t>
  </si>
  <si>
    <t>G-REQ-00533-E4</t>
  </si>
  <si>
    <t>G-REQ-02333</t>
  </si>
  <si>
    <t>SYNTHETIC: Laptop repair; Completed; asset G-AST-00077</t>
  </si>
  <si>
    <t>G-REQ-00534-E1</t>
  </si>
  <si>
    <t>G-REQ-02334</t>
  </si>
  <si>
    <t>G-REQ-00534-E2</t>
  </si>
  <si>
    <t>G-REQ-02335</t>
  </si>
  <si>
    <t>SYNTHETIC: Laptop return; Rejected; asset G-AST-00108</t>
  </si>
  <si>
    <t>G-REQ-00535-E1</t>
  </si>
  <si>
    <t>G-REQ-02336</t>
  </si>
  <si>
    <t>SYNTHETIC: Laptop repair; Pending approval; asset G-AST-00140</t>
  </si>
  <si>
    <t>G-REQ-00535-E2</t>
  </si>
  <si>
    <t>SYNTHETIC: Laptop repair; Approved; asset G-AST-00140</t>
  </si>
  <si>
    <t>G-REQ-02337</t>
  </si>
  <si>
    <t>G-REQ-00535-E3</t>
  </si>
  <si>
    <t>SYNTHETIC: Laptop repair; In progress; asset G-AST-00140</t>
  </si>
  <si>
    <t>G-REQ-00535-E4</t>
  </si>
  <si>
    <t>G-REQ-02338</t>
  </si>
  <si>
    <t>SYNTHETIC: Laptop repair; Completed; asset G-AST-00140</t>
  </si>
  <si>
    <t>G-REQ-00536-E1</t>
  </si>
  <si>
    <t>G-REQ-02339</t>
  </si>
  <si>
    <t>G-REQ-00536-E2</t>
  </si>
  <si>
    <t>G-REQ-02340</t>
  </si>
  <si>
    <t>G-REQ-00536-E3</t>
  </si>
  <si>
    <t>G-REQ-02341</t>
  </si>
  <si>
    <t>G-REQ-00536-E4</t>
  </si>
  <si>
    <t>G-REQ-02342</t>
  </si>
  <si>
    <t>G-REQ-00537-E1</t>
  </si>
  <si>
    <t>G-REQ-02343</t>
  </si>
  <si>
    <t>SYNTHETIC: Laptop allocation; Pending approval; asset G-AST-00259</t>
  </si>
  <si>
    <t>G-REQ-00537-E2</t>
  </si>
  <si>
    <t>G-REQ-02344</t>
  </si>
  <si>
    <t>SYNTHETIC: Laptop allocation; Approved; asset G-AST-00259</t>
  </si>
  <si>
    <t>G-REQ-00537-E3</t>
  </si>
  <si>
    <t>G-REQ-02345</t>
  </si>
  <si>
    <t>SYNTHETIC: Laptop allocation; In progress; asset G-AST-00259</t>
  </si>
  <si>
    <t>G-REQ-00537-E4</t>
  </si>
  <si>
    <t>G-REQ-02346</t>
  </si>
  <si>
    <t>SYNTHETIC: Laptop allocation; Completed; asset G-AST-00259</t>
  </si>
  <si>
    <t>G-REQ-00538-E1</t>
  </si>
  <si>
    <t>SYNTHETIC: Laptop return; Pending approval; asset G-AST-00247</t>
  </si>
  <si>
    <t>G-REQ-02347</t>
  </si>
  <si>
    <t>G-REQ-00538-E2</t>
  </si>
  <si>
    <t>SYNTHETIC: Laptop return; Approved; asset G-AST-00247</t>
  </si>
  <si>
    <t>G-REQ-00538-E3</t>
  </si>
  <si>
    <t>G-REQ-02348</t>
  </si>
  <si>
    <t>SYNTHETIC: Laptop return; In progress; asset G-AST-00247</t>
  </si>
  <si>
    <t>G-REQ-00538-E4</t>
  </si>
  <si>
    <t>G-REQ-02349</t>
  </si>
  <si>
    <t>SYNTHETIC: Laptop return; Completed; asset G-AST-00247</t>
  </si>
  <si>
    <t>G-REQ-00539-E1</t>
  </si>
  <si>
    <t>G-REQ-02350</t>
  </si>
  <si>
    <t>SYNTHETIC: Laptop allocation; Pending approval; asset G-AST-00260</t>
  </si>
  <si>
    <t>G-REQ-00539-E2</t>
  </si>
  <si>
    <t>G-REQ-02351</t>
  </si>
  <si>
    <t>SYNTHETIC: Laptop allocation; Approved; asset G-AST-00260</t>
  </si>
  <si>
    <t>G-REQ-00539-E3</t>
  </si>
  <si>
    <t>SYNTHETIC: Laptop allocation; In progress; asset G-AST-00260</t>
  </si>
  <si>
    <t>G-REQ-02352</t>
  </si>
  <si>
    <t>G-REQ-00539-E4</t>
  </si>
  <si>
    <t>SYNTHETIC: Laptop allocation; Completed; asset G-AST-00260</t>
  </si>
  <si>
    <t>G-REQ-02353</t>
  </si>
  <si>
    <t>G-REQ-00540-E1</t>
  </si>
  <si>
    <t>SYNTHETIC: Laptop allocation; Pending approval; asset G-AST-00261</t>
  </si>
  <si>
    <t>G-REQ-00540-E2</t>
  </si>
  <si>
    <t>G-REQ-02354</t>
  </si>
  <si>
    <t>SYNTHETIC: Laptop allocation; Approved; asset G-AST-00261</t>
  </si>
  <si>
    <t>G-REQ-00540-E3</t>
  </si>
  <si>
    <t>G-REQ-02355</t>
  </si>
  <si>
    <t>SYNTHETIC: Laptop allocation; In progress; asset G-AST-00261</t>
  </si>
  <si>
    <t>G-REQ-00540-E4</t>
  </si>
  <si>
    <t>G-REQ-02356</t>
  </si>
  <si>
    <t>SYNTHETIC: Laptop allocation; Completed; asset G-AST-00261</t>
  </si>
  <si>
    <t>G-REQ-00541-E1</t>
  </si>
  <si>
    <t>G-REQ-02357</t>
  </si>
  <si>
    <t>SYNTHETIC: Laptop allocation; Pending approval; asset G-AST-00262</t>
  </si>
  <si>
    <t>G-REQ-00541-E2</t>
  </si>
  <si>
    <t>SYNTHETIC: Laptop allocation; Approved; asset G-AST-00262</t>
  </si>
  <si>
    <t>G-REQ-00541-E3</t>
  </si>
  <si>
    <t>G-REQ-02358</t>
  </si>
  <si>
    <t>SYNTHETIC: Laptop allocation; In progress; asset G-AST-00262</t>
  </si>
  <si>
    <t>G-REQ-00541-E4</t>
  </si>
  <si>
    <t>G-REQ-02359</t>
  </si>
  <si>
    <t>SYNTHETIC: Laptop allocation; Completed; asset G-AST-00262</t>
  </si>
  <si>
    <t>G-REQ-00542-E1</t>
  </si>
  <si>
    <t>SYNTHETIC: Laptop allocation; Pending approval; asset G-AST-00263</t>
  </si>
  <si>
    <t>G-REQ-00542-E2</t>
  </si>
  <si>
    <t>G-REQ-02360</t>
  </si>
  <si>
    <t>SYNTHETIC: Laptop allocation; Approved; asset G-AST-00263</t>
  </si>
  <si>
    <t>G-REQ-00542-E3</t>
  </si>
  <si>
    <t>G-REQ-02361</t>
  </si>
  <si>
    <t>SYNTHETIC: Laptop allocation; In progress; asset G-AST-00263</t>
  </si>
  <si>
    <t>G-REQ-00542-E4</t>
  </si>
  <si>
    <t>G-REQ-02362</t>
  </si>
  <si>
    <t>SYNTHETIC: Laptop allocation; Completed; asset G-AST-00263</t>
  </si>
  <si>
    <t>G-REQ-00543-E1</t>
  </si>
  <si>
    <t>G-REQ-02363</t>
  </si>
  <si>
    <t>SYNTHETIC: Laptop allocation; Pending approval; asset G-AST-00264</t>
  </si>
  <si>
    <t>G-REQ-00543-E2</t>
  </si>
  <si>
    <t>G-REQ-02364</t>
  </si>
  <si>
    <t>SYNTHETIC: Laptop allocation; Approved; asset G-AST-00264</t>
  </si>
  <si>
    <t>G-REQ-00543-E3</t>
  </si>
  <si>
    <t>G-REQ-02365</t>
  </si>
  <si>
    <t>SYNTHETIC: Laptop allocation; In progress; asset G-AST-00264</t>
  </si>
  <si>
    <t>G-REQ-00543-E4</t>
  </si>
  <si>
    <t>SYNTHETIC: Laptop allocation; Completed; asset G-AST-00264</t>
  </si>
  <si>
    <t>G-REQ-02366</t>
  </si>
  <si>
    <t>G-REQ-00544-E1</t>
  </si>
  <si>
    <t>SYNTHETIC: Laptop allocation; Pending approval; asset G-AST-00265</t>
  </si>
  <si>
    <t>G-REQ-00544-E2</t>
  </si>
  <si>
    <t>G-REQ-02367</t>
  </si>
  <si>
    <t>SYNTHETIC: Laptop allocation; Approved; asset G-AST-00265</t>
  </si>
  <si>
    <t>G-REQ-00544-E3</t>
  </si>
  <si>
    <t>G-REQ-02368</t>
  </si>
  <si>
    <t>SYNTHETIC: Laptop allocation; In progress; asset G-AST-00265</t>
  </si>
  <si>
    <t>G-REQ-00544-E4</t>
  </si>
  <si>
    <t>G-REQ-02369</t>
  </si>
  <si>
    <t>SYNTHETIC: Laptop allocation; Completed; asset G-AST-00265</t>
  </si>
  <si>
    <t>G-REQ-00545-E1</t>
  </si>
  <si>
    <t>G-REQ-02370</t>
  </si>
  <si>
    <t>SYNTHETIC: Laptop return; Pending approval; asset G-AST-00264</t>
  </si>
  <si>
    <t>G-REQ-00545-E2</t>
  </si>
  <si>
    <t>G-REQ-02371</t>
  </si>
  <si>
    <t>SYNTHETIC: Laptop return; Approved; asset G-AST-00264</t>
  </si>
  <si>
    <t>G-REQ-00545-E3</t>
  </si>
  <si>
    <t>G-REQ-02372</t>
  </si>
  <si>
    <t>SYNTHETIC: Laptop return; In progress; asset G-AST-00264</t>
  </si>
  <si>
    <t>G-REQ-00545-E4</t>
  </si>
  <si>
    <t>G-REQ-02373</t>
  </si>
  <si>
    <t>SYNTHETIC: Laptop return; Completed; asset G-AST-00264</t>
  </si>
  <si>
    <t>G-REQ-00546-E1</t>
  </si>
  <si>
    <t>G-REQ-02374</t>
  </si>
  <si>
    <t>G-REQ-00546-E2</t>
  </si>
  <si>
    <t>G-REQ-02375</t>
  </si>
  <si>
    <t>G-REQ-00546-E3</t>
  </si>
  <si>
    <t>G-REQ-02376</t>
  </si>
  <si>
    <t>G-REQ-00546-E4</t>
  </si>
  <si>
    <t>G-REQ-02377</t>
  </si>
  <si>
    <t>G-REQ-00547-E1</t>
  </si>
  <si>
    <t>SYNTHETIC: Laptop allocation; Pending approval; asset G-AST-00266</t>
  </si>
  <si>
    <t>G-REQ-00547-E2</t>
  </si>
  <si>
    <t>G-REQ-02378</t>
  </si>
  <si>
    <t>SYNTHETIC: Laptop allocation; Approved; asset G-AST-00266</t>
  </si>
  <si>
    <t>G-REQ-00547-E3</t>
  </si>
  <si>
    <t>G-REQ-02379</t>
  </si>
  <si>
    <t>SYNTHETIC: Laptop allocation; In progress; asset G-AST-00266</t>
  </si>
  <si>
    <t>G-REQ-00547-E4</t>
  </si>
  <si>
    <t>G-REQ-02380</t>
  </si>
  <si>
    <t>SYNTHETIC: Laptop allocation; Completed; asset G-AST-00266</t>
  </si>
  <si>
    <t>G-REQ-00548-E1</t>
  </si>
  <si>
    <t>SYNTHETIC: Laptop allocation; Pending approval; asset G-AST-00267</t>
  </si>
  <si>
    <t>G-REQ-02381</t>
  </si>
  <si>
    <t>G-REQ-00548-E2</t>
  </si>
  <si>
    <t>SYNTHETIC: Laptop allocation; Approved; asset G-AST-00267</t>
  </si>
  <si>
    <t>G-REQ-02382</t>
  </si>
  <si>
    <t>G-REQ-00548-E3</t>
  </si>
  <si>
    <t>SYNTHETIC: Laptop allocation; In progress; asset G-AST-00267</t>
  </si>
  <si>
    <t>G-REQ-00548-E4</t>
  </si>
  <si>
    <t>G-REQ-02383</t>
  </si>
  <si>
    <t>SYNTHETIC: Laptop allocation; Completed; asset G-AST-00267</t>
  </si>
  <si>
    <t>G-REQ-00549-E1</t>
  </si>
  <si>
    <t>G-REQ-02384</t>
  </si>
  <si>
    <t>SYNTHETIC: Laptop allocation; Pending approval; asset G-AST-00268</t>
  </si>
  <si>
    <t>G-REQ-00549-E2</t>
  </si>
  <si>
    <t>SYNTHETIC: Laptop allocation; Approved; asset G-AST-00268</t>
  </si>
  <si>
    <t>G-REQ-00549-E3</t>
  </si>
  <si>
    <t>G-REQ-02385</t>
  </si>
  <si>
    <t>SYNTHETIC: Laptop allocation; In progress; asset G-AST-00268</t>
  </si>
  <si>
    <t>G-REQ-00549-E4</t>
  </si>
  <si>
    <t>G-REQ-02386</t>
  </si>
  <si>
    <t>SYNTHETIC: Laptop allocation; Completed; asset G-AST-00268</t>
  </si>
  <si>
    <t>G-REQ-00550-E1</t>
  </si>
  <si>
    <t>G-REQ-02387</t>
  </si>
  <si>
    <t>SYNTHETIC: Laptop return; Pending approval; asset G-AST-00176</t>
  </si>
  <si>
    <t>G-REQ-00550-E2</t>
  </si>
  <si>
    <t>G-REQ-02388</t>
  </si>
  <si>
    <t>SYNTHETIC: Laptop return; Approved; asset G-AST-00176</t>
  </si>
  <si>
    <t>G-REQ-00550-E3</t>
  </si>
  <si>
    <t>SYNTHETIC: Laptop return; In progress; asset G-AST-00176</t>
  </si>
  <si>
    <t>G-REQ-02389</t>
  </si>
  <si>
    <t>G-REQ-00550-E4</t>
  </si>
  <si>
    <t>SYNTHETIC: Laptop return; Completed; asset G-AST-00176</t>
  </si>
  <si>
    <t>G-REQ-00551-E1</t>
  </si>
  <si>
    <t>G-REQ-02390</t>
  </si>
  <si>
    <t>SYNTHETIC: Laptop allocation; Pending approval; asset G-AST-00269</t>
  </si>
  <si>
    <t>G-REQ-00551-E2</t>
  </si>
  <si>
    <t>G-REQ-02391</t>
  </si>
  <si>
    <t>SYNTHETIC: Laptop allocation; Approved; asset G-AST-00269</t>
  </si>
  <si>
    <t>G-REQ-00551-E3</t>
  </si>
  <si>
    <t>G-REQ-02392</t>
  </si>
  <si>
    <t>SYNTHETIC: Laptop allocation; In progress; asset G-AST-00269</t>
  </si>
  <si>
    <t>G-REQ-00551-E4</t>
  </si>
  <si>
    <t>G-REQ-02393</t>
  </si>
  <si>
    <t>SYNTHETIC: Laptop allocation; Completed; asset G-AST-00269</t>
  </si>
  <si>
    <t>G-REQ-00552-E1</t>
  </si>
  <si>
    <t>G-REQ-02394</t>
  </si>
  <si>
    <t>SYNTHETIC: Laptop return; Pending approval; asset G-AST-00209</t>
  </si>
  <si>
    <t>G-REQ-00552-E2</t>
  </si>
  <si>
    <t>SYNTHETIC: Laptop return; Approved; asset G-AST-00209</t>
  </si>
  <si>
    <t>G-REQ-00552-E3</t>
  </si>
  <si>
    <t>G-REQ-02395</t>
  </si>
  <si>
    <t>SYNTHETIC: Laptop return; In progress; asset G-AST-00209</t>
  </si>
  <si>
    <t>G-REQ-00552-E4</t>
  </si>
  <si>
    <t>G-REQ-02396</t>
  </si>
  <si>
    <t>SYNTHETIC: Laptop return; Completed; asset G-AST-00209</t>
  </si>
  <si>
    <t>G-REQ-00553-E1</t>
  </si>
  <si>
    <t>G-REQ-02397</t>
  </si>
  <si>
    <t>SYNTHETIC: Laptop repair; Pending approval; asset G-AST-00239</t>
  </si>
  <si>
    <t>G-REQ-00553-E2</t>
  </si>
  <si>
    <t>G-REQ-02398</t>
  </si>
  <si>
    <t>SYNTHETIC: Laptop repair; Approved; asset G-AST-00239</t>
  </si>
  <si>
    <t>G-REQ-00553-E3</t>
  </si>
  <si>
    <t>SYNTHETIC: Laptop repair; In progress; asset G-AST-00239</t>
  </si>
  <si>
    <t>G-REQ-02399</t>
  </si>
  <si>
    <t>G-REQ-00553-E4</t>
  </si>
  <si>
    <t>SYNTHETIC: Laptop repair; Completed; asset G-AST-00239</t>
  </si>
  <si>
    <t>G-REQ-00554-E1</t>
  </si>
  <si>
    <t>G-REQ-02400</t>
  </si>
  <si>
    <t>SYNTHETIC: Laptop allocation; Pending approval; asset G-AST-00270</t>
  </si>
  <si>
    <t>G-REQ-00554-E2</t>
  </si>
  <si>
    <t>G-REQ-02401</t>
  </si>
  <si>
    <t>SYNTHETIC: Laptop allocation; Approved; asset G-AST-00270</t>
  </si>
  <si>
    <t>G-REQ-00554-E3</t>
  </si>
  <si>
    <t>G-REQ-02402</t>
  </si>
  <si>
    <t>SYNTHETIC: Laptop allocation; In progress; asset G-AST-00270</t>
  </si>
  <si>
    <t>G-REQ-00554-E4</t>
  </si>
  <si>
    <t>G-REQ-02403</t>
  </si>
  <si>
    <t>SYNTHETIC: Laptop allocation; Completed; asset G-AST-00270</t>
  </si>
  <si>
    <t>G-REQ-00555-E1</t>
  </si>
  <si>
    <t>SYNTHETIC: Laptop return; Pending approval; asset G-AST-00185</t>
  </si>
  <si>
    <t>G-REQ-02404</t>
  </si>
  <si>
    <t>G-REQ-00555-E2</t>
  </si>
  <si>
    <t>SYNTHETIC: Laptop return; Approved; asset G-AST-00185</t>
  </si>
  <si>
    <t>G-REQ-02405</t>
  </si>
  <si>
    <t>G-REQ-00555-E3</t>
  </si>
  <si>
    <t>SYNTHETIC: Laptop return; In progress; asset G-AST-00185</t>
  </si>
  <si>
    <t>G-REQ-00555-E4</t>
  </si>
  <si>
    <t>G-REQ-02406</t>
  </si>
  <si>
    <t>SYNTHETIC: Laptop return; Completed; asset G-AST-00185</t>
  </si>
  <si>
    <t>G-REQ-00556-E1</t>
  </si>
  <si>
    <t>G-REQ-02407</t>
  </si>
  <si>
    <t>SYNTHETIC: Laptop allocation; Pending approval; asset G-AST-00271</t>
  </si>
  <si>
    <t>G-REQ-00556-E2</t>
  </si>
  <si>
    <t>G-REQ-02408</t>
  </si>
  <si>
    <t>SYNTHETIC: Laptop allocation; Approved; asset G-AST-00271</t>
  </si>
  <si>
    <t>G-REQ-00556-E3</t>
  </si>
  <si>
    <t>G-REQ-02409</t>
  </si>
  <si>
    <t>SYNTHETIC: Laptop allocation; In progress; asset G-AST-00271</t>
  </si>
  <si>
    <t>G-REQ-00556-E4</t>
  </si>
  <si>
    <t>G-REQ-02410</t>
  </si>
  <si>
    <t>SYNTHETIC: Laptop allocation; Completed; asset G-AST-00271</t>
  </si>
  <si>
    <t>G-REQ-00557-E1</t>
  </si>
  <si>
    <t>G-REQ-02411</t>
  </si>
  <si>
    <t>G-REQ-00557-E2</t>
  </si>
  <si>
    <t>G-REQ-02412</t>
  </si>
  <si>
    <t>G-REQ-00557-E3</t>
  </si>
  <si>
    <t>G-REQ-00557-E4</t>
  </si>
  <si>
    <t>G-REQ-02413</t>
  </si>
  <si>
    <t>G-REQ-00558-E1</t>
  </si>
  <si>
    <t>G-REQ-02414</t>
  </si>
  <si>
    <t>SYNTHETIC: Laptop allocation; Pending approval; asset G-AST-00272</t>
  </si>
  <si>
    <t>G-REQ-00558-E2</t>
  </si>
  <si>
    <t>G-REQ-02415</t>
  </si>
  <si>
    <t>SYNTHETIC: Laptop allocation; Approved; asset G-AST-00272</t>
  </si>
  <si>
    <t>G-REQ-00558-E3</t>
  </si>
  <si>
    <t>G-REQ-02416</t>
  </si>
  <si>
    <t>SYNTHETIC: Laptop allocation; In progress; asset G-AST-00272</t>
  </si>
  <si>
    <t>G-REQ-00558-E4</t>
  </si>
  <si>
    <t>SYNTHETIC: Laptop allocation; Completed; asset G-AST-00272</t>
  </si>
  <si>
    <t>G-REQ-02417</t>
  </si>
  <si>
    <t>G-REQ-00559-E1</t>
  </si>
  <si>
    <t>SYNTHETIC: Laptop repair; Pending approval; asset G-AST-00233</t>
  </si>
  <si>
    <t>G-REQ-00559-E2</t>
  </si>
  <si>
    <t>G-REQ-02418</t>
  </si>
  <si>
    <t>SYNTHETIC: Laptop repair; Rejected; asset G-AST-00233</t>
  </si>
  <si>
    <t>G-REQ-00560-E1</t>
  </si>
  <si>
    <t>G-REQ-02419</t>
  </si>
  <si>
    <t>SYNTHETIC: Laptop repair; Pending approval; asset G-AST-00035</t>
  </si>
  <si>
    <t>G-REQ-00560-E2</t>
  </si>
  <si>
    <t>G-REQ-02420</t>
  </si>
  <si>
    <t>SYNTHETIC: Laptop repair; Approved; asset G-AST-00035</t>
  </si>
  <si>
    <t>G-REQ-00560-E3</t>
  </si>
  <si>
    <t>G-REQ-02421</t>
  </si>
  <si>
    <t>SYNTHETIC: Laptop repair; In progress; asset G-AST-00035</t>
  </si>
  <si>
    <t>G-REQ-00560-E4</t>
  </si>
  <si>
    <t>SYNTHETIC: Laptop repair; Completed; asset G-AST-00035</t>
  </si>
  <si>
    <t>G-REQ-02422</t>
  </si>
  <si>
    <t>G-REQ-00561-E1</t>
  </si>
  <si>
    <t>SYNTHETIC: Laptop repair; Pending approval; asset G-AST-00009</t>
  </si>
  <si>
    <t>G-REQ-02423</t>
  </si>
  <si>
    <t>G-REQ-00561-E2</t>
  </si>
  <si>
    <t>SYNTHETIC: Laptop repair; Approved; asset G-AST-00009</t>
  </si>
  <si>
    <t>G-REQ-00561-E3</t>
  </si>
  <si>
    <t>G-REQ-02424</t>
  </si>
  <si>
    <t>SYNTHETIC: Laptop repair; In progress; asset G-AST-00009</t>
  </si>
  <si>
    <t>G-REQ-00561-E4</t>
  </si>
  <si>
    <t>G-REQ-02425</t>
  </si>
  <si>
    <t>SYNTHETIC: Laptop repair; Completed; asset G-AST-00009</t>
  </si>
  <si>
    <t>G-REQ-00562-E1</t>
  </si>
  <si>
    <t>G-REQ-02426</t>
  </si>
  <si>
    <t>SYNTHETIC: Laptop allocation; Pending approval; asset G-AST-00273</t>
  </si>
  <si>
    <t>G-REQ-00562-E2</t>
  </si>
  <si>
    <t>G-REQ-02427</t>
  </si>
  <si>
    <t>SYNTHETIC: Laptop allocation; Approved; asset G-AST-00273</t>
  </si>
  <si>
    <t>G-REQ-00562-E3</t>
  </si>
  <si>
    <t>G-REQ-02428</t>
  </si>
  <si>
    <t>SYNTHETIC: Laptop allocation; In progress; asset G-AST-00273</t>
  </si>
  <si>
    <t>G-REQ-00562-E4</t>
  </si>
  <si>
    <t>G-REQ-02429</t>
  </si>
  <si>
    <t>SYNTHETIC: Laptop allocation; Completed; asset G-AST-00273</t>
  </si>
  <si>
    <t>G-REQ-00563-E1</t>
  </si>
  <si>
    <t>G-REQ-00563-E2</t>
  </si>
  <si>
    <t>G-REQ-02430</t>
  </si>
  <si>
    <t>G-REQ-00564-E1</t>
  </si>
  <si>
    <t>G-REQ-02431</t>
  </si>
  <si>
    <t>SYNTHETIC: Laptop allocation; Pending approval; asset G-AST-00274</t>
  </si>
  <si>
    <t>G-REQ-00564-E2</t>
  </si>
  <si>
    <t>G-REQ-02432</t>
  </si>
  <si>
    <t>SYNTHETIC: Laptop allocation; Approved; asset G-AST-00274</t>
  </si>
  <si>
    <t>G-REQ-00564-E3</t>
  </si>
  <si>
    <t>SYNTHETIC: Laptop allocation; In progress; asset G-AST-00274</t>
  </si>
  <si>
    <t>G-REQ-00564-E4</t>
  </si>
  <si>
    <t>G-REQ-02433</t>
  </si>
  <si>
    <t>SYNTHETIC: Laptop allocation; Completed; asset G-AST-00274</t>
  </si>
  <si>
    <t>G-REQ-00565-E1</t>
  </si>
  <si>
    <t>G-REQ-02434</t>
  </si>
  <si>
    <t>SYNTHETIC: Laptop return; Pending approval; asset G-AST-00229</t>
  </si>
  <si>
    <t>G-REQ-00565-E2</t>
  </si>
  <si>
    <t>G-REQ-02435</t>
  </si>
  <si>
    <t>SYNTHETIC: Laptop return; Approved; asset G-AST-00229</t>
  </si>
  <si>
    <t>G-REQ-00565-E3</t>
  </si>
  <si>
    <t>SYNTHETIC: Laptop return; In progress; asset G-AST-00229</t>
  </si>
  <si>
    <t>G-REQ-02436</t>
  </si>
  <si>
    <t>G-REQ-00565-E4</t>
  </si>
  <si>
    <t>SYNTHETIC: Laptop return; Completed; asset G-AST-00229</t>
  </si>
  <si>
    <t>G-REQ-00566-E1</t>
  </si>
  <si>
    <t>G-REQ-02437</t>
  </si>
  <si>
    <t>SYNTHETIC: Laptop repair; Pending approval; asset G-AST-00254</t>
  </si>
  <si>
    <t>G-REQ-00566-E2</t>
  </si>
  <si>
    <t>G-REQ-02438</t>
  </si>
  <si>
    <t>SYNTHETIC: Laptop repair; Approved; asset G-AST-00254</t>
  </si>
  <si>
    <t>G-REQ-00566-E3</t>
  </si>
  <si>
    <t>G-REQ-02439</t>
  </si>
  <si>
    <t>SYNTHETIC: Laptop repair; In progress; asset G-AST-00254</t>
  </si>
  <si>
    <t>G-REQ-00566-E4</t>
  </si>
  <si>
    <t>G-REQ-02440</t>
  </si>
  <si>
    <t>SYNTHETIC: Laptop repair; Completed; asset G-AST-00254</t>
  </si>
  <si>
    <t>G-REQ-00567-E1</t>
  </si>
  <si>
    <t>G-REQ-02441</t>
  </si>
  <si>
    <t>G-REQ-00567-E2</t>
  </si>
  <si>
    <t>G-REQ-02442</t>
  </si>
  <si>
    <t>G-REQ-00568-E1</t>
  </si>
  <si>
    <t>G-REQ-02443</t>
  </si>
  <si>
    <t>G-REQ-00568-E2</t>
  </si>
  <si>
    <t>G-REQ-00568-E3</t>
  </si>
  <si>
    <t>G-REQ-02444</t>
  </si>
  <si>
    <t>G-REQ-00568-E4</t>
  </si>
  <si>
    <t>G-REQ-02445</t>
  </si>
  <si>
    <t>G-REQ-00569-E1</t>
  </si>
  <si>
    <t>SYNTHETIC: Laptop return; Pending approval; asset G-AST-00169</t>
  </si>
  <si>
    <t>G-REQ-02446</t>
  </si>
  <si>
    <t>G-REQ-00569-E2</t>
  </si>
  <si>
    <t>SYNTHETIC: Laptop return; Approved; asset G-AST-00169</t>
  </si>
  <si>
    <t>G-REQ-00569-E3</t>
  </si>
  <si>
    <t>G-REQ-02447</t>
  </si>
  <si>
    <t>SYNTHETIC: Laptop return; In progress; asset G-AST-00169</t>
  </si>
  <si>
    <t>G-REQ-00569-E4</t>
  </si>
  <si>
    <t>G-REQ-02448</t>
  </si>
  <si>
    <t>SYNTHETIC: Laptop return; Completed; asset G-AST-00169</t>
  </si>
  <si>
    <t>G-REQ-00570-E1</t>
  </si>
  <si>
    <t>G-REQ-02449</t>
  </si>
  <si>
    <t>SYNTHETIC: Laptop return; Pending approval; asset G-AST-00222</t>
  </si>
  <si>
    <t>G-REQ-00570-E2</t>
  </si>
  <si>
    <t>G-REQ-02450</t>
  </si>
  <si>
    <t>SYNTHETIC: Laptop return; Approved; asset G-AST-00222</t>
  </si>
  <si>
    <t>G-REQ-00570-E3</t>
  </si>
  <si>
    <t>SYNTHETIC: Laptop return; In progress; asset G-AST-00222</t>
  </si>
  <si>
    <t>G-REQ-02451</t>
  </si>
  <si>
    <t>G-REQ-00570-E4</t>
  </si>
  <si>
    <t>SYNTHETIC: Laptop return; Completed; asset G-AST-00222</t>
  </si>
  <si>
    <t>G-REQ-00571-E1</t>
  </si>
  <si>
    <t>G-REQ-02452</t>
  </si>
  <si>
    <t>G-REQ-00571-E2</t>
  </si>
  <si>
    <t>G-REQ-02453</t>
  </si>
  <si>
    <t>G-REQ-00571-E3</t>
  </si>
  <si>
    <t>G-REQ-02454</t>
  </si>
  <si>
    <t>G-REQ-00571-E4</t>
  </si>
  <si>
    <t>G-REQ-02455</t>
  </si>
  <si>
    <t>G-REQ-00572-E1</t>
  </si>
  <si>
    <t>G-REQ-02456</t>
  </si>
  <si>
    <t>SYNTHETIC: Laptop repair; Pending approval; asset G-AST-00240</t>
  </si>
  <si>
    <t>G-REQ-00572-E2</t>
  </si>
  <si>
    <t>SYNTHETIC: Laptop repair; Cancelled; asset G-AST-00240</t>
  </si>
  <si>
    <t>G-REQ-02457</t>
  </si>
  <si>
    <t>G-REQ-00573-E1</t>
  </si>
  <si>
    <t>SYNTHETIC: Laptop return; Pending approval; asset G-AST-00067</t>
  </si>
  <si>
    <t>G-REQ-02458</t>
  </si>
  <si>
    <t>G-REQ-00573-E2</t>
  </si>
  <si>
    <t>SYNTHETIC: Laptop return; Approved; asset G-AST-00067</t>
  </si>
  <si>
    <t>G-REQ-02459</t>
  </si>
  <si>
    <t>G-REQ-00573-E3</t>
  </si>
  <si>
    <t>SYNTHETIC: Laptop return; In progress; asset G-AST-00067</t>
  </si>
  <si>
    <t>G-REQ-00573-E4</t>
  </si>
  <si>
    <t>G-REQ-02460</t>
  </si>
  <si>
    <t>SYNTHETIC: Laptop return; Completed; asset G-AST-00067</t>
  </si>
  <si>
    <t>G-REQ-00574-E1</t>
  </si>
  <si>
    <t>G-REQ-02461</t>
  </si>
  <si>
    <t>SYNTHETIC: Laptop allocation; Pending approval; asset G-AST-00275</t>
  </si>
  <si>
    <t>G-REQ-00574-E2</t>
  </si>
  <si>
    <t>G-REQ-02462</t>
  </si>
  <si>
    <t>SYNTHETIC: Laptop allocation; Approved; asset G-AST-00275</t>
  </si>
  <si>
    <t>G-REQ-00574-E3</t>
  </si>
  <si>
    <t>G-REQ-02463</t>
  </si>
  <si>
    <t>SYNTHETIC: Laptop allocation; In progress; asset G-AST-00275</t>
  </si>
  <si>
    <t>G-REQ-00574-E4</t>
  </si>
  <si>
    <t>SYNTHETIC: Laptop allocation; Completed; asset G-AST-00275</t>
  </si>
  <si>
    <t>G-REQ-02464</t>
  </si>
  <si>
    <t>G-REQ-00575-E1</t>
  </si>
  <si>
    <t>SYNTHETIC: Laptop repair; Pending approval; asset G-AST-00053</t>
  </si>
  <si>
    <t>G-REQ-00575-E2</t>
  </si>
  <si>
    <t>G-REQ-02465</t>
  </si>
  <si>
    <t>SYNTHETIC: Laptop repair; Cancelled; asset G-AST-00053</t>
  </si>
  <si>
    <t>G-REQ-00576-E1</t>
  </si>
  <si>
    <t>G-REQ-02466</t>
  </si>
  <si>
    <t>SYNTHETIC: Laptop return; Pending approval; asset G-AST-00178</t>
  </si>
  <si>
    <t>G-REQ-00576-E2</t>
  </si>
  <si>
    <t>G-REQ-02467</t>
  </si>
  <si>
    <t>SYNTHETIC: Laptop return; Rejected; asset G-AST-00178</t>
  </si>
  <si>
    <t>G-REQ-00577-E1</t>
  </si>
  <si>
    <t>G-REQ-02468</t>
  </si>
  <si>
    <t>SYNTHETIC: Laptop allocation; Pending approval; asset G-AST-00276</t>
  </si>
  <si>
    <t>G-REQ-00577-E2</t>
  </si>
  <si>
    <t>G-REQ-02469</t>
  </si>
  <si>
    <t>SYNTHETIC: Laptop allocation; Approved; asset G-AST-00276</t>
  </si>
  <si>
    <t>G-REQ-00577-E3</t>
  </si>
  <si>
    <t>G-REQ-02470</t>
  </si>
  <si>
    <t>SYNTHETIC: Laptop allocation; In progress; asset G-AST-00276</t>
  </si>
  <si>
    <t>G-REQ-00577-E4</t>
  </si>
  <si>
    <t>G-REQ-02471</t>
  </si>
  <si>
    <t>SYNTHETIC: Laptop allocation; Completed; asset G-AST-00276</t>
  </si>
  <si>
    <t>G-REQ-00578-E1</t>
  </si>
  <si>
    <t>SYNTHETIC: Laptop repair; Pending approval; asset G-AST-00046</t>
  </si>
  <si>
    <t>G-REQ-02472</t>
  </si>
  <si>
    <t>G-REQ-00578-E2</t>
  </si>
  <si>
    <t>SYNTHETIC: Laptop repair; Cancelled; asset G-AST-00046</t>
  </si>
  <si>
    <t>G-REQ-00579-E1</t>
  </si>
  <si>
    <t>G-REQ-02473</t>
  </si>
  <si>
    <t>G-REQ-00579-E2</t>
  </si>
  <si>
    <t>G-REQ-02474</t>
  </si>
  <si>
    <t>G-REQ-00579-E3</t>
  </si>
  <si>
    <t>G-REQ-02475</t>
  </si>
  <si>
    <t>G-REQ-00579-E4</t>
  </si>
  <si>
    <t>G-REQ-02476</t>
  </si>
  <si>
    <t>G-REQ-00580-E1</t>
  </si>
  <si>
    <t>G-REQ-02477</t>
  </si>
  <si>
    <t>SYNTHETIC: Laptop return; Pending approval; asset G-AST-00142</t>
  </si>
  <si>
    <t>G-REQ-00580-E2</t>
  </si>
  <si>
    <t>SYNTHETIC: Laptop return; Approved; asset G-AST-00142</t>
  </si>
  <si>
    <t>G-REQ-02478</t>
  </si>
  <si>
    <t>G-REQ-00580-E3</t>
  </si>
  <si>
    <t>SYNTHETIC: Laptop return; In progress; asset G-AST-00142</t>
  </si>
  <si>
    <t>G-REQ-00580-E4</t>
  </si>
  <si>
    <t>G-REQ-02479</t>
  </si>
  <si>
    <t>SYNTHETIC: Laptop return; Completed; asset G-AST-00142</t>
  </si>
  <si>
    <t>G-REQ-00581-E1</t>
  </si>
  <si>
    <t>G-REQ-02480</t>
  </si>
  <si>
    <t>SYNTHETIC: Laptop return; Pending approval; asset G-AST-00262</t>
  </si>
  <si>
    <t>G-REQ-00581-E2</t>
  </si>
  <si>
    <t>G-REQ-02481</t>
  </si>
  <si>
    <t>SYNTHETIC: Laptop return; Approved; asset G-AST-00262</t>
  </si>
  <si>
    <t>G-REQ-00581-E3</t>
  </si>
  <si>
    <t>G-REQ-02482</t>
  </si>
  <si>
    <t>SYNTHETIC: Laptop return; In progress; asset G-AST-00262</t>
  </si>
  <si>
    <t>G-REQ-00581-E4</t>
  </si>
  <si>
    <t>SYNTHETIC: Laptop return; Completed; asset G-AST-00262</t>
  </si>
  <si>
    <t>G-REQ-00582-E1</t>
  </si>
  <si>
    <t>G-REQ-02483</t>
  </si>
  <si>
    <t>SYNTHETIC: Laptop return; Pending approval; asset G-AST-00255</t>
  </si>
  <si>
    <t>G-REQ-00582-E2</t>
  </si>
  <si>
    <t>G-REQ-02484</t>
  </si>
  <si>
    <t>SYNTHETIC: Laptop return; Approved; asset G-AST-00255</t>
  </si>
  <si>
    <t>G-REQ-00582-E3</t>
  </si>
  <si>
    <t>G-REQ-02485</t>
  </si>
  <si>
    <t>SYNTHETIC: Laptop return; In progress; asset G-AST-00255</t>
  </si>
  <si>
    <t>G-REQ-00582-E4</t>
  </si>
  <si>
    <t>G-REQ-02486</t>
  </si>
  <si>
    <t>SYNTHETIC: Laptop return; Completed; asset G-AST-00255</t>
  </si>
  <si>
    <t>G-REQ-00583-E1</t>
  </si>
  <si>
    <t>SYNTHETIC: Laptop allocation; Pending approval; asset G-AST-00277</t>
  </si>
  <si>
    <t>G-REQ-02487</t>
  </si>
  <si>
    <t>G-REQ-00583-E2</t>
  </si>
  <si>
    <t>SYNTHETIC: Laptop allocation; Approved; asset G-AST-00277</t>
  </si>
  <si>
    <t>G-REQ-02488</t>
  </si>
  <si>
    <t>G-REQ-00583-E3</t>
  </si>
  <si>
    <t>SYNTHETIC: Laptop allocation; In progress; asset G-AST-00277</t>
  </si>
  <si>
    <t>G-REQ-00583-E4</t>
  </si>
  <si>
    <t>G-REQ-02489</t>
  </si>
  <si>
    <t>SYNTHETIC: Laptop allocation; Completed; asset G-AST-00277</t>
  </si>
  <si>
    <t>G-REQ-00584-E1</t>
  </si>
  <si>
    <t>G-REQ-02490</t>
  </si>
  <si>
    <t>SYNTHETIC: Laptop allocation; Pending approval; asset G-AST-00278</t>
  </si>
  <si>
    <t>G-REQ-00584-E2</t>
  </si>
  <si>
    <t>G-REQ-02491</t>
  </si>
  <si>
    <t>SYNTHETIC: Laptop allocation; Approved; asset G-AST-00278</t>
  </si>
  <si>
    <t>G-REQ-00584-E3</t>
  </si>
  <si>
    <t>G-REQ-02492</t>
  </si>
  <si>
    <t>SYNTHETIC: Laptop allocation; In progress; asset G-AST-00278</t>
  </si>
  <si>
    <t>G-REQ-00584-E4</t>
  </si>
  <si>
    <t>G-REQ-02493</t>
  </si>
  <si>
    <t>SYNTHETIC: Laptop allocation; Completed; asset G-AST-00278</t>
  </si>
  <si>
    <t>G-REQ-00585-E1</t>
  </si>
  <si>
    <t>SYNTHETIC: Laptop repair; Pending approval; asset G-AST-00090</t>
  </si>
  <si>
    <t>G-REQ-02494</t>
  </si>
  <si>
    <t>G-REQ-00585-E2</t>
  </si>
  <si>
    <t>SYNTHETIC: Laptop repair; Approved; asset G-AST-00090</t>
  </si>
  <si>
    <t>G-REQ-02495</t>
  </si>
  <si>
    <t>G-REQ-00585-E3</t>
  </si>
  <si>
    <t>SYNTHETIC: Laptop repair; In progress; asset G-AST-00090</t>
  </si>
  <si>
    <t>G-REQ-00585-E4</t>
  </si>
  <si>
    <t>G-REQ-02496</t>
  </si>
  <si>
    <t>SYNTHETIC: Laptop repair; Completed; asset G-AST-00090</t>
  </si>
  <si>
    <t>G-REQ-00586-E1</t>
  </si>
  <si>
    <t>G-REQ-02497</t>
  </si>
  <si>
    <t>SYNTHETIC: Laptop repair; Pending approval; asset G-AST-00236</t>
  </si>
  <si>
    <t>G-REQ-02498</t>
  </si>
  <si>
    <t>G-REQ-00586-E2</t>
  </si>
  <si>
    <t>SYNTHETIC: Laptop repair; Approved; asset G-AST-00236</t>
  </si>
  <si>
    <t>G-REQ-00586-E3</t>
  </si>
  <si>
    <t>G-REQ-02499</t>
  </si>
  <si>
    <t>SYNTHETIC: Laptop repair; In progress; asset G-AST-00236</t>
  </si>
  <si>
    <t>G-REQ-00586-E4</t>
  </si>
  <si>
    <t>G-REQ-02500</t>
  </si>
  <si>
    <t>SYNTHETIC: Laptop repair; Completed; asset G-AST-00236</t>
  </si>
  <si>
    <t>G-REQ-00587-E1</t>
  </si>
  <si>
    <t>G-REQ-02501</t>
  </si>
  <si>
    <t>SYNTHETIC: Laptop return; Pending approval; asset G-AST-00135</t>
  </si>
  <si>
    <t>G-REQ-00587-E2</t>
  </si>
  <si>
    <t>G-REQ-02502</t>
  </si>
  <si>
    <t>SYNTHETIC: Laptop return; Approved; asset G-AST-00135</t>
  </si>
  <si>
    <t>G-REQ-00587-E3</t>
  </si>
  <si>
    <t>G-REQ-02503</t>
  </si>
  <si>
    <t>SYNTHETIC: Laptop return; In progress; asset G-AST-00135</t>
  </si>
  <si>
    <t>G-REQ-00587-E4</t>
  </si>
  <si>
    <t>G-REQ-02504</t>
  </si>
  <si>
    <t>SYNTHETIC: Laptop return; Completed; asset G-AST-00135</t>
  </si>
  <si>
    <t>G-REQ-00588-E1</t>
  </si>
  <si>
    <t>G-REQ-02505</t>
  </si>
  <si>
    <t>G-REQ-00588-E2</t>
  </si>
  <si>
    <t>G-REQ-02506</t>
  </si>
  <si>
    <t>G-REQ-00589-E1</t>
  </si>
  <si>
    <t>SYNTHETIC: Laptop allocation; Pending approval; asset G-AST-00279</t>
  </si>
  <si>
    <t>G-REQ-02507</t>
  </si>
  <si>
    <t>G-REQ-00589-E2</t>
  </si>
  <si>
    <t>SYNTHETIC: Laptop allocation; Approved; asset G-AST-00279</t>
  </si>
  <si>
    <t>G-REQ-02508</t>
  </si>
  <si>
    <t>G-REQ-00589-E3</t>
  </si>
  <si>
    <t>SYNTHETIC: Laptop allocation; In progress; asset G-AST-00279</t>
  </si>
  <si>
    <t>G-REQ-00589-E4</t>
  </si>
  <si>
    <t>G-REQ-02509</t>
  </si>
  <si>
    <t>SYNTHETIC: Laptop allocation; Completed; asset G-AST-00279</t>
  </si>
  <si>
    <t>G-REQ-00590-E1</t>
  </si>
  <si>
    <t>G-REQ-02510</t>
  </si>
  <si>
    <t>SYNTHETIC: Laptop repair; Pending approval; asset G-AST-00191</t>
  </si>
  <si>
    <t>G-REQ-00590-E2</t>
  </si>
  <si>
    <t>G-REQ-02511</t>
  </si>
  <si>
    <t>SYNTHETIC: Laptop repair; Approved; asset G-AST-00191</t>
  </si>
  <si>
    <t>G-REQ-00590-E3</t>
  </si>
  <si>
    <t>G-REQ-02512</t>
  </si>
  <si>
    <t>SYNTHETIC: Laptop repair; In progress; asset G-AST-00191</t>
  </si>
  <si>
    <t>G-REQ-00590-E4</t>
  </si>
  <si>
    <t>G-REQ-02513</t>
  </si>
  <si>
    <t>SYNTHETIC: Laptop repair; Completed; asset G-AST-00191</t>
  </si>
  <si>
    <t>G-REQ-00591-E1</t>
  </si>
  <si>
    <t>SYNTHETIC: Laptop return; Pending approval; asset G-AST-00228</t>
  </si>
  <si>
    <t>G-REQ-00591-E2</t>
  </si>
  <si>
    <t>G-REQ-02514</t>
  </si>
  <si>
    <t>SYNTHETIC: Laptop return; Approved; asset G-AST-00228</t>
  </si>
  <si>
    <t>G-REQ-00591-E3</t>
  </si>
  <si>
    <t>G-REQ-02515</t>
  </si>
  <si>
    <t>SYNTHETIC: Laptop return; In progress; asset G-AST-00228</t>
  </si>
  <si>
    <t>G-REQ-00591-E4</t>
  </si>
  <si>
    <t>G-REQ-02516</t>
  </si>
  <si>
    <t>SYNTHETIC: Laptop return; Completed; asset G-AST-00228</t>
  </si>
  <si>
    <t>G-REQ-00592-E1</t>
  </si>
  <si>
    <t>G-REQ-02517</t>
  </si>
  <si>
    <t>G-REQ-00592-E2</t>
  </si>
  <si>
    <t>G-REQ-02518</t>
  </si>
  <si>
    <t>G-REQ-00593-E1</t>
  </si>
  <si>
    <t>G-REQ-02519</t>
  </si>
  <si>
    <t>G-REQ-00593-E2</t>
  </si>
  <si>
    <t>SYNTHETIC: Laptop repair; Approved; asset G-AST-00047</t>
  </si>
  <si>
    <t>G-REQ-00593-E3</t>
  </si>
  <si>
    <t>G-REQ-02520</t>
  </si>
  <si>
    <t>SYNTHETIC: Laptop repair; In progress; asset G-AST-00047</t>
  </si>
  <si>
    <t>G-REQ-00593-E4</t>
  </si>
  <si>
    <t>G-REQ-02521</t>
  </si>
  <si>
    <t>SYNTHETIC: Laptop repair; Completed; asset G-AST-00047</t>
  </si>
  <si>
    <t>G-REQ-00594-E1</t>
  </si>
  <si>
    <t>G-REQ-02522</t>
  </si>
  <si>
    <t>SYNTHETIC: Laptop return; Pending approval; asset G-AST-00275</t>
  </si>
  <si>
    <t>G-REQ-00594-E2</t>
  </si>
  <si>
    <t>SYNTHETIC: Laptop return; Approved; asset G-AST-00275</t>
  </si>
  <si>
    <t>G-REQ-02523</t>
  </si>
  <si>
    <t>G-REQ-00594-E3</t>
  </si>
  <si>
    <t>SYNTHETIC: Laptop return; In progress; asset G-AST-00275</t>
  </si>
  <si>
    <t>G-REQ-00594-E4</t>
  </si>
  <si>
    <t>G-REQ-02524</t>
  </si>
  <si>
    <t>SYNTHETIC: Laptop return; Completed; asset G-AST-00275</t>
  </si>
  <si>
    <t>G-REQ-00595-E1</t>
  </si>
  <si>
    <t>G-REQ-02525</t>
  </si>
  <si>
    <t>SYNTHETIC: Laptop allocation; Pending approval; asset G-AST-00280</t>
  </si>
  <si>
    <t>G-REQ-00595-E2</t>
  </si>
  <si>
    <t>G-REQ-02526</t>
  </si>
  <si>
    <t>SYNTHETIC: Laptop allocation; Approved; asset G-AST-00280</t>
  </si>
  <si>
    <t>G-REQ-00595-E3</t>
  </si>
  <si>
    <t>SYNTHETIC: Laptop allocation; In progress; asset G-AST-00280</t>
  </si>
  <si>
    <t>G-REQ-02527</t>
  </si>
  <si>
    <t>G-REQ-00595-E4</t>
  </si>
  <si>
    <t>SYNTHETIC: Laptop allocation; Completed; asset G-AST-00280</t>
  </si>
  <si>
    <t>G-REQ-00596-E1</t>
  </si>
  <si>
    <t>G-REQ-02528</t>
  </si>
  <si>
    <t>G-REQ-00596-E2</t>
  </si>
  <si>
    <t>G-REQ-02529</t>
  </si>
  <si>
    <t>G-REQ-00596-E3</t>
  </si>
  <si>
    <t>G-REQ-02530</t>
  </si>
  <si>
    <t>G-REQ-00596-E4</t>
  </si>
  <si>
    <t>G-REQ-02531</t>
  </si>
  <si>
    <t>G-REQ-00597-E1</t>
  </si>
  <si>
    <t>G-REQ-02532</t>
  </si>
  <si>
    <t>SYNTHETIC: Laptop allocation; Pending approval; asset G-AST-00281</t>
  </si>
  <si>
    <t>G-REQ-00597-E2</t>
  </si>
  <si>
    <t>G-REQ-02533</t>
  </si>
  <si>
    <t>SYNTHETIC: Laptop allocation; Approved; asset G-AST-00281</t>
  </si>
  <si>
    <t>G-REQ-00597-E3</t>
  </si>
  <si>
    <t>G-REQ-02534</t>
  </si>
  <si>
    <t>SYNTHETIC: Laptop allocation; In progress; asset G-AST-00281</t>
  </si>
  <si>
    <t>G-REQ-00597-E4</t>
  </si>
  <si>
    <t>G-REQ-02535</t>
  </si>
  <si>
    <t>SYNTHETIC: Laptop allocation; Completed; asset G-AST-00281</t>
  </si>
  <si>
    <t>G-REQ-00598-E1</t>
  </si>
  <si>
    <t>G-REQ-02536</t>
  </si>
  <si>
    <t>G-REQ-00598-E2</t>
  </si>
  <si>
    <t>G-REQ-02537</t>
  </si>
  <si>
    <t>G-REQ-00598-E3</t>
  </si>
  <si>
    <t>G-REQ-00598-E4</t>
  </si>
  <si>
    <t>G-REQ-02538</t>
  </si>
  <si>
    <t>G-REQ-00599-E1</t>
  </si>
  <si>
    <t>G-REQ-02539</t>
  </si>
  <si>
    <t>SYNTHETIC: Laptop repair; Pending approval; asset G-AST-00237</t>
  </si>
  <si>
    <t>G-REQ-00599-E2</t>
  </si>
  <si>
    <t>G-REQ-02540</t>
  </si>
  <si>
    <t>SYNTHETIC: Laptop repair; Approved; asset G-AST-00237</t>
  </si>
  <si>
    <t>G-REQ-00599-E3</t>
  </si>
  <si>
    <t>G-REQ-02541</t>
  </si>
  <si>
    <t>SYNTHETIC: Laptop repair; In progress; asset G-AST-00237</t>
  </si>
  <si>
    <t>G-REQ-00599-E4</t>
  </si>
  <si>
    <t>G-REQ-02542</t>
  </si>
  <si>
    <t>SYNTHETIC: Laptop repair; Completed; asset G-AST-00237</t>
  </si>
  <si>
    <t>G-REQ-00600-E1</t>
  </si>
  <si>
    <t>G-REQ-02543</t>
  </si>
  <si>
    <t>G-REQ-00600-E2</t>
  </si>
  <si>
    <t>G-REQ-02544</t>
  </si>
  <si>
    <t>SYNTHETIC: Laptop repair; Rejected; asset G-AST-00170</t>
  </si>
  <si>
    <t>G-REQ-00601-E1</t>
  </si>
  <si>
    <t>G-REQ-02545</t>
  </si>
  <si>
    <t>SYNTHETIC: Laptop return; Pending approval; asset G-AST-00146</t>
  </si>
  <si>
    <t>G-REQ-00601-E2</t>
  </si>
  <si>
    <t>SYNTHETIC: Laptop return; Approved; asset G-AST-00146</t>
  </si>
  <si>
    <t>G-REQ-02546</t>
  </si>
  <si>
    <t>G-REQ-00601-E3</t>
  </si>
  <si>
    <t>SYNTHETIC: Laptop return; In progress; asset G-AST-00146</t>
  </si>
  <si>
    <t>G-REQ-00601-E4</t>
  </si>
  <si>
    <t>G-REQ-02547</t>
  </si>
  <si>
    <t>SYNTHETIC: Laptop return; Completed; asset G-AST-00146</t>
  </si>
  <si>
    <t>G-REQ-00602-E1</t>
  </si>
  <si>
    <t>G-REQ-02548</t>
  </si>
  <si>
    <t>SYNTHETIC: Laptop return; Pending approval; asset G-AST-00226</t>
  </si>
  <si>
    <t>G-REQ-00602-E2</t>
  </si>
  <si>
    <t>SYNTHETIC: Laptop return; Cancelled; asset G-AST-00226</t>
  </si>
  <si>
    <t>G-REQ-02549</t>
  </si>
  <si>
    <t>G-REQ-00603-E1</t>
  </si>
  <si>
    <t>SYNTHETIC: Laptop return; Pending approval; asset G-AST-00274</t>
  </si>
  <si>
    <t>G-REQ-02550</t>
  </si>
  <si>
    <t>G-REQ-00603-E2</t>
  </si>
  <si>
    <t>SYNTHETIC: Laptop return; Approved; asset G-AST-00274</t>
  </si>
  <si>
    <t>G-REQ-00603-E3</t>
  </si>
  <si>
    <t>G-REQ-02551</t>
  </si>
  <si>
    <t>SYNTHETIC: Laptop return; In progress; asset G-AST-00274</t>
  </si>
  <si>
    <t>G-REQ-00603-E4</t>
  </si>
  <si>
    <t>G-REQ-02552</t>
  </si>
  <si>
    <t>SYNTHETIC: Laptop return; Completed; asset G-AST-00274</t>
  </si>
  <si>
    <t>G-REQ-00604-E1</t>
  </si>
  <si>
    <t>G-REQ-02553</t>
  </si>
  <si>
    <t>G-REQ-00604-E2</t>
  </si>
  <si>
    <t>G-REQ-02554</t>
  </si>
  <si>
    <t>SYNTHETIC: Laptop return; Approved; asset G-AST-00049</t>
  </si>
  <si>
    <t>G-REQ-00604-E3</t>
  </si>
  <si>
    <t>G-REQ-02555</t>
  </si>
  <si>
    <t>SYNTHETIC: Laptop return; In progress; asset G-AST-00049</t>
  </si>
  <si>
    <t>G-REQ-00604-E4</t>
  </si>
  <si>
    <t>G-REQ-02556</t>
  </si>
  <si>
    <t>SYNTHETIC: Laptop return; Completed; asset G-AST-00049</t>
  </si>
  <si>
    <t>G-REQ-00605-E1</t>
  </si>
  <si>
    <t>G-REQ-02557</t>
  </si>
  <si>
    <t>SYNTHETIC: Laptop allocation; Pending approval; asset G-AST-00282</t>
  </si>
  <si>
    <t>G-REQ-00605-E2</t>
  </si>
  <si>
    <t>G-REQ-02558</t>
  </si>
  <si>
    <t>SYNTHETIC: Laptop allocation; Approved; asset G-AST-00282</t>
  </si>
  <si>
    <t>G-REQ-00605-E3</t>
  </si>
  <si>
    <t>G-REQ-02559</t>
  </si>
  <si>
    <t>SYNTHETIC: Laptop allocation; In progress; asset G-AST-00282</t>
  </si>
  <si>
    <t>G-REQ-00605-E4</t>
  </si>
  <si>
    <t>SYNTHETIC: Laptop allocation; Completed; asset G-AST-00282</t>
  </si>
  <si>
    <t>G-REQ-02560</t>
  </si>
  <si>
    <t>G-REQ-00606-E1</t>
  </si>
  <si>
    <t>G-REQ-00606-E2</t>
  </si>
  <si>
    <t>G-REQ-02561</t>
  </si>
  <si>
    <t>G-REQ-02562</t>
  </si>
  <si>
    <t>G-REQ-00607-E1</t>
  </si>
  <si>
    <t>G-REQ-02563</t>
  </si>
  <si>
    <t>G-REQ-00607-E2</t>
  </si>
  <si>
    <t>G-REQ-02564</t>
  </si>
  <si>
    <t>SYNTHETIC: Laptop repair; Rejected; asset G-AST-00124</t>
  </si>
  <si>
    <t>G-REQ-00608-E1</t>
  </si>
  <si>
    <t>G-REQ-02565</t>
  </si>
  <si>
    <t>G-REQ-00608-E2</t>
  </si>
  <si>
    <t>G-REQ-02566</t>
  </si>
  <si>
    <t>G-REQ-00608-E3</t>
  </si>
  <si>
    <t>G-REQ-02567</t>
  </si>
  <si>
    <t>G-REQ-00608-E4</t>
  </si>
  <si>
    <t>G-REQ-02568</t>
  </si>
  <si>
    <t>G-REQ-00609-E1</t>
  </si>
  <si>
    <t>SYNTHETIC: Laptop return; Pending approval; asset G-AST-00236</t>
  </si>
  <si>
    <t>G-REQ-02569</t>
  </si>
  <si>
    <t>G-REQ-00609-E2</t>
  </si>
  <si>
    <t>SYNTHETIC: Laptop return; Approved; asset G-AST-00236</t>
  </si>
  <si>
    <t>G-REQ-00609-E3</t>
  </si>
  <si>
    <t>G-REQ-02570</t>
  </si>
  <si>
    <t>SYNTHETIC: Laptop return; In progress; asset G-AST-00236</t>
  </si>
  <si>
    <t>G-REQ-00609-E4</t>
  </si>
  <si>
    <t>G-REQ-02571</t>
  </si>
  <si>
    <t>SYNTHETIC: Laptop return; Completed; asset G-AST-00236</t>
  </si>
  <si>
    <t>G-REQ-00610-E1</t>
  </si>
  <si>
    <t>G-REQ-02572</t>
  </si>
  <si>
    <t>G-REQ-00610-E2</t>
  </si>
  <si>
    <t>G-REQ-02573</t>
  </si>
  <si>
    <t>G-REQ-00610-E3</t>
  </si>
  <si>
    <t>G-REQ-02574</t>
  </si>
  <si>
    <t>G-REQ-00610-E4</t>
  </si>
  <si>
    <t>G-REQ-02575</t>
  </si>
  <si>
    <t>G-REQ-00611-E1</t>
  </si>
  <si>
    <t>SYNTHETIC: Laptop return; Pending approval; asset G-AST-00269</t>
  </si>
  <si>
    <t>G-REQ-02576</t>
  </si>
  <si>
    <t>G-REQ-00611-E2</t>
  </si>
  <si>
    <t>SYNTHETIC: Laptop return; Rejected; asset G-AST-00269</t>
  </si>
  <si>
    <t>G-REQ-02577</t>
  </si>
  <si>
    <t>G-REQ-00612-E1</t>
  </si>
  <si>
    <t>SYNTHETIC: Laptop return; Pending approval; asset G-AST-00095</t>
  </si>
  <si>
    <t>G-REQ-02578</t>
  </si>
  <si>
    <t>G-REQ-00612-E2</t>
  </si>
  <si>
    <t>SYNTHETIC: Laptop return; Approved; asset G-AST-00095</t>
  </si>
  <si>
    <t>G-REQ-00612-E3</t>
  </si>
  <si>
    <t>G-REQ-02579</t>
  </si>
  <si>
    <t>SYNTHETIC: Laptop return; In progress; asset G-AST-00095</t>
  </si>
  <si>
    <t>G-REQ-00612-E4</t>
  </si>
  <si>
    <t>G-REQ-02580</t>
  </si>
  <si>
    <t>SYNTHETIC: Laptop return; Completed; asset G-AST-00095</t>
  </si>
  <si>
    <t>G-REQ-02581</t>
  </si>
  <si>
    <t>G-REQ-00613-E1</t>
  </si>
  <si>
    <t>G-REQ-02582</t>
  </si>
  <si>
    <t>G-REQ-00613-E2</t>
  </si>
  <si>
    <t>G-REQ-02583</t>
  </si>
  <si>
    <t>G-REQ-02584</t>
  </si>
  <si>
    <t>G-REQ-00613-E3</t>
  </si>
  <si>
    <t>G-REQ-00613-E4</t>
  </si>
  <si>
    <t>G-REQ-02585</t>
  </si>
  <si>
    <t>G-REQ-00614-E1</t>
  </si>
  <si>
    <t>G-REQ-02586</t>
  </si>
  <si>
    <t>SYNTHETIC: Laptop return; Pending approval; asset G-AST-00225</t>
  </si>
  <si>
    <t>G-REQ-00614-E2</t>
  </si>
  <si>
    <t>G-REQ-02587</t>
  </si>
  <si>
    <t>SYNTHETIC: Laptop return; Approved; asset G-AST-00225</t>
  </si>
  <si>
    <t>G-REQ-00614-E3</t>
  </si>
  <si>
    <t>SYNTHETIC: Laptop return; In progress; asset G-AST-00225</t>
  </si>
  <si>
    <t>G-REQ-02588</t>
  </si>
  <si>
    <t>G-REQ-00614-E4</t>
  </si>
  <si>
    <t>SYNTHETIC: Laptop return; Completed; asset G-AST-00225</t>
  </si>
  <si>
    <t>G-REQ-02589</t>
  </si>
  <si>
    <t>G-REQ-00615-E1</t>
  </si>
  <si>
    <t>SYNTHETIC: Laptop allocation; Pending approval; asset G-AST-00283</t>
  </si>
  <si>
    <t>G-REQ-02590</t>
  </si>
  <si>
    <t>G-REQ-00615-E2</t>
  </si>
  <si>
    <t>SYNTHETIC: Laptop allocation; Approved; asset G-AST-00283</t>
  </si>
  <si>
    <t>G-REQ-02591</t>
  </si>
  <si>
    <t>G-REQ-00615-E3</t>
  </si>
  <si>
    <t>SYNTHETIC: Laptop allocation; In progress; asset G-AST-00283</t>
  </si>
  <si>
    <t>G-REQ-00615-E4</t>
  </si>
  <si>
    <t>G-REQ-02592</t>
  </si>
  <si>
    <t>SYNTHETIC: Laptop allocation; Completed; asset G-AST-00283</t>
  </si>
  <si>
    <t>G-REQ-00616-E1</t>
  </si>
  <si>
    <t>G-REQ-02593</t>
  </si>
  <si>
    <t>SYNTHETIC: Laptop repair; Pending approval; asset G-AST-00259</t>
  </si>
  <si>
    <t>G-REQ-00616-E2</t>
  </si>
  <si>
    <t>G-REQ-02594</t>
  </si>
  <si>
    <t>SYNTHETIC: Laptop repair; Rejected; asset G-AST-00259</t>
  </si>
  <si>
    <t>G-REQ-00617-E1</t>
  </si>
  <si>
    <t>G-REQ-02595</t>
  </si>
  <si>
    <t>SYNTHETIC: Laptop return; Pending approval; asset G-AST-00140</t>
  </si>
  <si>
    <t>G-REQ-00617-E2</t>
  </si>
  <si>
    <t>G-REQ-02596</t>
  </si>
  <si>
    <t>SYNTHETIC: Laptop return; Approved; asset G-AST-00140</t>
  </si>
  <si>
    <t>G-REQ-00617-E3</t>
  </si>
  <si>
    <t>SYNTHETIC: Laptop return; In progress; asset G-AST-00140</t>
  </si>
  <si>
    <t>G-REQ-02597</t>
  </si>
  <si>
    <t>G-REQ-00617-E4</t>
  </si>
  <si>
    <t>SYNTHETIC: Laptop return; Completed; asset G-AST-00140</t>
  </si>
  <si>
    <t>G-REQ-02598</t>
  </si>
  <si>
    <t>G-REQ-00618-E1</t>
  </si>
  <si>
    <t>SYNTHETIC: Laptop return; Pending approval; asset G-AST-00265</t>
  </si>
  <si>
    <t>G-REQ-02599</t>
  </si>
  <si>
    <t>G-REQ-00618-E2</t>
  </si>
  <si>
    <t>SYNTHETIC: Laptop return; Approved; asset G-AST-00265</t>
  </si>
  <si>
    <t>G-REQ-00618-E3</t>
  </si>
  <si>
    <t>G-REQ-02600</t>
  </si>
  <si>
    <t>SYNTHETIC: Laptop return; In progress; asset G-AST-00265</t>
  </si>
  <si>
    <t>G-REQ-00618-E4</t>
  </si>
  <si>
    <t>G-REQ-02601</t>
  </si>
  <si>
    <t>SYNTHETIC: Laptop return; Completed; asset G-AST-00265</t>
  </si>
  <si>
    <t>G-REQ-00619-E1</t>
  </si>
  <si>
    <t>SYNTHETIC: Laptop return; Pending approval; asset G-AST-00114</t>
  </si>
  <si>
    <t>G-REQ-02602</t>
  </si>
  <si>
    <t>G-REQ-00619-E2</t>
  </si>
  <si>
    <t>SYNTHETIC: Laptop return; Approved; asset G-AST-00114</t>
  </si>
  <si>
    <t>G-REQ-02603</t>
  </si>
  <si>
    <t>G-REQ-00619-E3</t>
  </si>
  <si>
    <t>SYNTHETIC: Laptop return; In progress; asset G-AST-00114</t>
  </si>
  <si>
    <t>G-REQ-00619-E4</t>
  </si>
  <si>
    <t>G-REQ-02604</t>
  </si>
  <si>
    <t>SYNTHETIC: Laptop return; Completed; asset G-AST-00114</t>
  </si>
  <si>
    <t>G-REQ-00620-E1</t>
  </si>
  <si>
    <t>G-REQ-02605</t>
  </si>
  <si>
    <t>G-REQ-00620-E2</t>
  </si>
  <si>
    <t>G-REQ-02606</t>
  </si>
  <si>
    <t>G-REQ-00620-E3</t>
  </si>
  <si>
    <t>G-REQ-02607</t>
  </si>
  <si>
    <t>G-REQ-00620-E4</t>
  </si>
  <si>
    <t>G-REQ-02608</t>
  </si>
  <si>
    <t>G-REQ-00621-E1</t>
  </si>
  <si>
    <t>G-REQ-02609</t>
  </si>
  <si>
    <t>SYNTHETIC: Laptop return; Pending approval; asset G-AST-00217</t>
  </si>
  <si>
    <t>G-REQ-00621-E2</t>
  </si>
  <si>
    <t>G-REQ-02610</t>
  </si>
  <si>
    <t>SYNTHETIC: Laptop return; Approved; asset G-AST-00217</t>
  </si>
  <si>
    <t>G-REQ-00621-E3</t>
  </si>
  <si>
    <t>G-REQ-02611</t>
  </si>
  <si>
    <t>SYNTHETIC: Laptop return; In progress; asset G-AST-00217</t>
  </si>
  <si>
    <t>G-REQ-00621-E4</t>
  </si>
  <si>
    <t>SYNTHETIC: Laptop return; Completed; asset G-AST-00217</t>
  </si>
  <si>
    <t>G-REQ-00622-E1</t>
  </si>
  <si>
    <t>G-REQ-02612</t>
  </si>
  <si>
    <t>SYNTHETIC: Laptop allocation; Pending approval; asset G-AST-00284</t>
  </si>
  <si>
    <t>G-REQ-00622-E2</t>
  </si>
  <si>
    <t>G-REQ-02613</t>
  </si>
  <si>
    <t>SYNTHETIC: Laptop allocation; Approved; asset G-AST-00284</t>
  </si>
  <si>
    <t>G-REQ-00622-E3</t>
  </si>
  <si>
    <t>G-REQ-02614</t>
  </si>
  <si>
    <t>SYNTHETIC: Laptop allocation; In progress; asset G-AST-00284</t>
  </si>
  <si>
    <t>G-REQ-00622-E4</t>
  </si>
  <si>
    <t>G-REQ-02615</t>
  </si>
  <si>
    <t>SYNTHETIC: Laptop allocation; Completed; asset G-AST-00284</t>
  </si>
  <si>
    <t>G-REQ-00623-E1</t>
  </si>
  <si>
    <t>G-REQ-02616</t>
  </si>
  <si>
    <t>SYNTHETIC: Laptop allocation; Pending approval; asset G-AST-00285</t>
  </si>
  <si>
    <t>G-REQ-00623-E2</t>
  </si>
  <si>
    <t>SYNTHETIC: Laptop allocation; Approved; asset G-AST-00285</t>
  </si>
  <si>
    <t>G-REQ-00623-E3</t>
  </si>
  <si>
    <t>G-REQ-02617</t>
  </si>
  <si>
    <t>SYNTHETIC: Laptop allocation; In progress; asset G-AST-00285</t>
  </si>
  <si>
    <t>G-REQ-00623-E4</t>
  </si>
  <si>
    <t>G-REQ-02618</t>
  </si>
  <si>
    <t>SYNTHETIC: Laptop allocation; Completed; asset G-AST-00285</t>
  </si>
  <si>
    <t>G-REQ-00624-E1</t>
  </si>
  <si>
    <t>G-REQ-02619</t>
  </si>
  <si>
    <t>G-REQ-00624-E2</t>
  </si>
  <si>
    <t>G-REQ-02620</t>
  </si>
  <si>
    <t>G-REQ-00624-E3</t>
  </si>
  <si>
    <t>G-REQ-00624-E4</t>
  </si>
  <si>
    <t>G-REQ-02621</t>
  </si>
  <si>
    <t>G-REQ-00625-E1</t>
  </si>
  <si>
    <t>G-REQ-02622</t>
  </si>
  <si>
    <t>G-REQ-00625-E2</t>
  </si>
  <si>
    <t>G-REQ-02623</t>
  </si>
  <si>
    <t>G-REQ-00626-E1</t>
  </si>
  <si>
    <t>G-REQ-02624</t>
  </si>
  <si>
    <t>G-REQ-00626-E2</t>
  </si>
  <si>
    <t>G-REQ-02625</t>
  </si>
  <si>
    <t>SYNTHETIC: Laptop repair; Rejected; asset G-AST-00163</t>
  </si>
  <si>
    <t>G-REQ-00627-E1</t>
  </si>
  <si>
    <t>G-REQ-02626</t>
  </si>
  <si>
    <t>SYNTHETIC: Laptop return; Pending approval; asset G-AST-00267</t>
  </si>
  <si>
    <t>G-REQ-00627-E2</t>
  </si>
  <si>
    <t>G-REQ-02627</t>
  </si>
  <si>
    <t>SYNTHETIC: Laptop return; Cancelled; asset G-AST-00267</t>
  </si>
  <si>
    <t>G-REQ-00628-E1</t>
  </si>
  <si>
    <t>G-REQ-02628</t>
  </si>
  <si>
    <t>SYNTHETIC: Laptop return; Pending approval; asset G-AST-00198</t>
  </si>
  <si>
    <t>G-REQ-00628-E2</t>
  </si>
  <si>
    <t>G-REQ-02629</t>
  </si>
  <si>
    <t>SYNTHETIC: Laptop return; Approved; asset G-AST-00198</t>
  </si>
  <si>
    <t>G-REQ-00628-E3</t>
  </si>
  <si>
    <t>G-REQ-02630</t>
  </si>
  <si>
    <t>SYNTHETIC: Laptop return; In progress; asset G-AST-00198</t>
  </si>
  <si>
    <t>G-REQ-00628-E4</t>
  </si>
  <si>
    <t>G-REQ-02631</t>
  </si>
  <si>
    <t>SYNTHETIC: Laptop return; Completed; asset G-AST-00198</t>
  </si>
  <si>
    <t>G-REQ-00629-E1</t>
  </si>
  <si>
    <t>G-REQ-02632</t>
  </si>
  <si>
    <t>SYNTHETIC: Laptop return; Pending approval; asset G-AST-00250</t>
  </si>
  <si>
    <t>G-REQ-00629-E2</t>
  </si>
  <si>
    <t>G-REQ-02633</t>
  </si>
  <si>
    <t>SYNTHETIC: Laptop return; Approved; asset G-AST-00250</t>
  </si>
  <si>
    <t>G-REQ-00629-E3</t>
  </si>
  <si>
    <t>SYNTHETIC: Laptop return; In progress; asset G-AST-00250</t>
  </si>
  <si>
    <t>G-REQ-02634</t>
  </si>
  <si>
    <t>G-REQ-00629-E4</t>
  </si>
  <si>
    <t>SYNTHETIC: Laptop return; Completed; asset G-AST-00250</t>
  </si>
  <si>
    <t>G-REQ-00630-E1</t>
  </si>
  <si>
    <t>G-REQ-02635</t>
  </si>
  <si>
    <t>SYNTHETIC: Laptop allocation; Pending approval; asset G-AST-00286</t>
  </si>
  <si>
    <t>G-REQ-00630-E2</t>
  </si>
  <si>
    <t>G-REQ-02636</t>
  </si>
  <si>
    <t>SYNTHETIC: Laptop allocation; Approved; asset G-AST-00286</t>
  </si>
  <si>
    <t>G-REQ-00630-E3</t>
  </si>
  <si>
    <t>SYNTHETIC: Laptop allocation; In progress; asset G-AST-00286</t>
  </si>
  <si>
    <t>G-REQ-02637</t>
  </si>
  <si>
    <t>G-REQ-00630-E4</t>
  </si>
  <si>
    <t>SYNTHETIC: Laptop allocation; Completed; asset G-AST-00286</t>
  </si>
  <si>
    <t>G-REQ-00631-E1</t>
  </si>
  <si>
    <t>G-REQ-02638</t>
  </si>
  <si>
    <t>SYNTHETIC: Laptop allocation; Pending approval; asset G-AST-00287</t>
  </si>
  <si>
    <t>G-REQ-00631-E2</t>
  </si>
  <si>
    <t>G-REQ-02639</t>
  </si>
  <si>
    <t>SYNTHETIC: Laptop allocation; Approved; asset G-AST-00287</t>
  </si>
  <si>
    <t>G-REQ-00631-E3</t>
  </si>
  <si>
    <t>G-REQ-02640</t>
  </si>
  <si>
    <t>SYNTHETIC: Laptop allocation; In progress; asset G-AST-00287</t>
  </si>
  <si>
    <t>G-REQ-02641</t>
  </si>
  <si>
    <t>G-REQ-00631-E4</t>
  </si>
  <si>
    <t>G-REQ-02642</t>
  </si>
  <si>
    <t>SYNTHETIC: Laptop allocation; Completed; asset G-AST-00287</t>
  </si>
  <si>
    <t>G-REQ-00632-E1</t>
  </si>
  <si>
    <t>G-REQ-02643</t>
  </si>
  <si>
    <t>G-REQ-00632-E2</t>
  </si>
  <si>
    <t>G-REQ-02644</t>
  </si>
  <si>
    <t>G-REQ-00632-E3</t>
  </si>
  <si>
    <t>G-REQ-00632-E4</t>
  </si>
  <si>
    <t>G-REQ-02645</t>
  </si>
  <si>
    <t>G-REQ-00633-E1</t>
  </si>
  <si>
    <t>G-REQ-02646</t>
  </si>
  <si>
    <t>G-REQ-00633-E2</t>
  </si>
  <si>
    <t>G-REQ-02647</t>
  </si>
  <si>
    <t>G-REQ-00633-E3</t>
  </si>
  <si>
    <t>G-REQ-02648</t>
  </si>
  <si>
    <t>G-REQ-00633-E4</t>
  </si>
  <si>
    <t>G-REQ-02649</t>
  </si>
  <si>
    <t>G-REQ-00634-E1</t>
  </si>
  <si>
    <t>SYNTHETIC: Laptop return; Pending approval; asset G-AST-00168</t>
  </si>
  <si>
    <t>G-REQ-02650</t>
  </si>
  <si>
    <t>G-REQ-00634-E2</t>
  </si>
  <si>
    <t>SYNTHETIC: Laptop return; Approved; asset G-AST-00168</t>
  </si>
  <si>
    <t>G-REQ-02651</t>
  </si>
  <si>
    <t>G-REQ-00634-E3</t>
  </si>
  <si>
    <t>SYNTHETIC: Laptop return; In progress; asset G-AST-00168</t>
  </si>
  <si>
    <t>G-REQ-00634-E4</t>
  </si>
  <si>
    <t>G-REQ-02652</t>
  </si>
  <si>
    <t>SYNTHETIC: Laptop return; Completed; asset G-AST-00168</t>
  </si>
  <si>
    <t>G-REQ-00635-E1</t>
  </si>
  <si>
    <t>G-REQ-02653</t>
  </si>
  <si>
    <t>G-REQ-00635-E2</t>
  </si>
  <si>
    <t>G-REQ-02654</t>
  </si>
  <si>
    <t>G-REQ-00635-E3</t>
  </si>
  <si>
    <t>G-REQ-02655</t>
  </si>
  <si>
    <t>G-REQ-00635-E4</t>
  </si>
  <si>
    <t>G-REQ-02656</t>
  </si>
  <si>
    <t>G-REQ-00636-E1</t>
  </si>
  <si>
    <t>G-REQ-02657</t>
  </si>
  <si>
    <t>G-REQ-00636-E2</t>
  </si>
  <si>
    <t>G-REQ-00636-E3</t>
  </si>
  <si>
    <t>G-REQ-02658</t>
  </si>
  <si>
    <t>G-REQ-00636-E4</t>
  </si>
  <si>
    <t>G-REQ-02659</t>
  </si>
  <si>
    <t>G-REQ-00637-E1</t>
  </si>
  <si>
    <t>G-REQ-02660</t>
  </si>
  <si>
    <t>SYNTHETIC: Laptop allocation; Pending approval; asset G-AST-00288</t>
  </si>
  <si>
    <t>G-REQ-00637-E2</t>
  </si>
  <si>
    <t>G-REQ-02661</t>
  </si>
  <si>
    <t>SYNTHETIC: Laptop allocation; Approved; asset G-AST-00288</t>
  </si>
  <si>
    <t>G-REQ-00637-E3</t>
  </si>
  <si>
    <t>SYNTHETIC: Laptop allocation; In progress; asset G-AST-00288</t>
  </si>
  <si>
    <t>G-REQ-02662</t>
  </si>
  <si>
    <t>G-REQ-00637-E4</t>
  </si>
  <si>
    <t>SYNTHETIC: Laptop allocation; Completed; asset G-AST-00288</t>
  </si>
  <si>
    <t>G-REQ-02663</t>
  </si>
  <si>
    <t>G-REQ-00638-E1</t>
  </si>
  <si>
    <t>SYNTHETIC: Laptop repair; Pending approval; asset G-AST-00148</t>
  </si>
  <si>
    <t>G-REQ-00638-E2</t>
  </si>
  <si>
    <t>G-REQ-02664</t>
  </si>
  <si>
    <t>SYNTHETIC: Laptop repair; Approved; asset G-AST-00148</t>
  </si>
  <si>
    <t>G-REQ-00638-E3</t>
  </si>
  <si>
    <t>G-REQ-02665</t>
  </si>
  <si>
    <t>SYNTHETIC: Laptop repair; In progress; asset G-AST-00148</t>
  </si>
  <si>
    <t>G-REQ-00638-E4</t>
  </si>
  <si>
    <t>G-REQ-02666</t>
  </si>
  <si>
    <t>SYNTHETIC: Laptop repair; Completed; asset G-AST-00148</t>
  </si>
  <si>
    <t>G-REQ-00639-E1</t>
  </si>
  <si>
    <t>G-REQ-02667</t>
  </si>
  <si>
    <t>SYNTHETIC: Laptop allocation; Pending approval; asset G-AST-00289</t>
  </si>
  <si>
    <t>G-REQ-00639-E2</t>
  </si>
  <si>
    <t>G-REQ-02668</t>
  </si>
  <si>
    <t>SYNTHETIC: Laptop allocation; Approved; asset G-AST-00289</t>
  </si>
  <si>
    <t>G-REQ-00639-E3</t>
  </si>
  <si>
    <t>G-REQ-02669</t>
  </si>
  <si>
    <t>SYNTHETIC: Laptop allocation; In progress; asset G-AST-00289</t>
  </si>
  <si>
    <t>G-REQ-00639-E4</t>
  </si>
  <si>
    <t>SYNTHETIC: Laptop allocation; Completed; asset G-AST-00289</t>
  </si>
  <si>
    <t>G-REQ-02670</t>
  </si>
  <si>
    <t>G-REQ-00640-E1</t>
  </si>
  <si>
    <t>SYNTHETIC: Laptop repair; Pending approval; asset G-AST-00195</t>
  </si>
  <si>
    <t>G-REQ-02671</t>
  </si>
  <si>
    <t>G-REQ-00640-E2</t>
  </si>
  <si>
    <t>SYNTHETIC: Laptop repair; Approved; asset G-AST-00195</t>
  </si>
  <si>
    <t>G-REQ-00640-E3</t>
  </si>
  <si>
    <t>G-REQ-02672</t>
  </si>
  <si>
    <t>SYNTHETIC: Laptop repair; In progress; asset G-AST-00195</t>
  </si>
  <si>
    <t>G-REQ-00640-E4</t>
  </si>
  <si>
    <t>G-REQ-02673</t>
  </si>
  <si>
    <t>SYNTHETIC: Laptop repair; Completed; asset G-AST-00195</t>
  </si>
  <si>
    <t>G-REQ-00641-E1</t>
  </si>
  <si>
    <t>G-REQ-02674</t>
  </si>
  <si>
    <t>SYNTHETIC: Laptop allocation; Pending approval; asset G-AST-00290</t>
  </si>
  <si>
    <t>G-REQ-00641-E2</t>
  </si>
  <si>
    <t>SYNTHETIC: Laptop allocation; Approved; asset G-AST-00290</t>
  </si>
  <si>
    <t>G-REQ-00641-E3</t>
  </si>
  <si>
    <t>G-REQ-02675</t>
  </si>
  <si>
    <t>SYNTHETIC: Laptop allocation; In progress; asset G-AST-00290</t>
  </si>
  <si>
    <t>G-REQ-00641-E4</t>
  </si>
  <si>
    <t>G-REQ-02676</t>
  </si>
  <si>
    <t>SYNTHETIC: Laptop allocation; Completed; asset G-AST-00290</t>
  </si>
  <si>
    <t>G-REQ-00642-E1</t>
  </si>
  <si>
    <t>G-REQ-02677</t>
  </si>
  <si>
    <t>G-REQ-00642-E2</t>
  </si>
  <si>
    <t>G-REQ-02678</t>
  </si>
  <si>
    <t>G-REQ-00642-E3</t>
  </si>
  <si>
    <t>G-REQ-02679</t>
  </si>
  <si>
    <t>G-REQ-00642-E4</t>
  </si>
  <si>
    <t>G-REQ-02680</t>
  </si>
  <si>
    <t>G-REQ-00643-E1</t>
  </si>
  <si>
    <t>G-REQ-02681</t>
  </si>
  <si>
    <t>SYNTHETIC: Laptop return; Pending approval; asset G-AST-00165</t>
  </si>
  <si>
    <t>G-REQ-00643-E2</t>
  </si>
  <si>
    <t>SYNTHETIC: Laptop return; Approved; asset G-AST-00165</t>
  </si>
  <si>
    <t>G-REQ-02682</t>
  </si>
  <si>
    <t>G-REQ-00643-E3</t>
  </si>
  <si>
    <t>SYNTHETIC: Laptop return; In progress; asset G-AST-00165</t>
  </si>
  <si>
    <t>G-REQ-00643-E4</t>
  </si>
  <si>
    <t>G-REQ-02683</t>
  </si>
  <si>
    <t>SYNTHETIC: Laptop return; Completed; asset G-AST-00165</t>
  </si>
  <si>
    <t>G-REQ-00644-E1</t>
  </si>
  <si>
    <t>G-REQ-02684</t>
  </si>
  <si>
    <t>SYNTHETIC: Laptop repair; Pending approval; asset G-AST-00215</t>
  </si>
  <si>
    <t>G-REQ-00644-E2</t>
  </si>
  <si>
    <t>G-REQ-02685</t>
  </si>
  <si>
    <t>SYNTHETIC: Laptop repair; Approved; asset G-AST-00215</t>
  </si>
  <si>
    <t>G-REQ-00644-E3</t>
  </si>
  <si>
    <t>G-REQ-02686</t>
  </si>
  <si>
    <t>SYNTHETIC: Laptop repair; In progress; asset G-AST-00215</t>
  </si>
  <si>
    <t>G-REQ-00644-E4</t>
  </si>
  <si>
    <t>G-REQ-02687</t>
  </si>
  <si>
    <t>SYNTHETIC: Laptop repair; Completed; asset G-AST-00215</t>
  </si>
  <si>
    <t>G-REQ-00645-E1</t>
  </si>
  <si>
    <t>SYNTHETIC: Laptop repair; Pending approval; asset G-AST-00284</t>
  </si>
  <si>
    <t>G-REQ-00645-E2</t>
  </si>
  <si>
    <t>G-REQ-02688</t>
  </si>
  <si>
    <t>SYNTHETIC: Laptop repair; Cancelled; asset G-AST-00284</t>
  </si>
  <si>
    <t>G-REQ-00646-E1</t>
  </si>
  <si>
    <t>G-REQ-02689</t>
  </si>
  <si>
    <t>SYNTHETIC: Laptop return; Pending approval; asset G-AST-00170</t>
  </si>
  <si>
    <t>G-REQ-02690</t>
  </si>
  <si>
    <t>G-REQ-00646-E2</t>
  </si>
  <si>
    <t>SYNTHETIC: Laptop return; Approved; asset G-AST-00170</t>
  </si>
  <si>
    <t>G-REQ-02691</t>
  </si>
  <si>
    <t>G-REQ-00646-E3</t>
  </si>
  <si>
    <t>SYNTHETIC: Laptop return; In progress; asset G-AST-00170</t>
  </si>
  <si>
    <t>G-REQ-00646-E4</t>
  </si>
  <si>
    <t>G-REQ-02692</t>
  </si>
  <si>
    <t>SYNTHETIC: Laptop return; Completed; asset G-AST-00170</t>
  </si>
  <si>
    <t>G-REQ-00647-E1</t>
  </si>
  <si>
    <t>G-REQ-02693</t>
  </si>
  <si>
    <t>SYNTHETIC: Laptop return; Pending approval; asset G-AST-00221</t>
  </si>
  <si>
    <t>G-REQ-00647-E2</t>
  </si>
  <si>
    <t>G-REQ-02694</t>
  </si>
  <si>
    <t>SYNTHETIC: Laptop return; Approved; asset G-AST-00221</t>
  </si>
  <si>
    <t>G-REQ-00647-E3</t>
  </si>
  <si>
    <t>SYNTHETIC: Laptop return; In progress; asset G-AST-00221</t>
  </si>
  <si>
    <t>G-REQ-02695</t>
  </si>
  <si>
    <t>G-REQ-00647-E4</t>
  </si>
  <si>
    <t>SYNTHETIC: Laptop return; Completed; asset G-AST-00221</t>
  </si>
  <si>
    <t>G-REQ-00648-E1</t>
  </si>
  <si>
    <t>G-REQ-02696</t>
  </si>
  <si>
    <t>G-REQ-00648-E2</t>
  </si>
  <si>
    <t>G-REQ-02697</t>
  </si>
  <si>
    <t>G-REQ-00648-E3</t>
  </si>
  <si>
    <t>G-REQ-02698</t>
  </si>
  <si>
    <t>G-REQ-00648-E4</t>
  </si>
  <si>
    <t>G-REQ-02699</t>
  </si>
  <si>
    <t>G-REQ-00649-E1</t>
  </si>
  <si>
    <t>G-REQ-02700</t>
  </si>
  <si>
    <t>SYNTHETIC: Laptop return; Pending approval; asset G-AST-00210</t>
  </si>
  <si>
    <t>G-REQ-00649-E2</t>
  </si>
  <si>
    <t>G-REQ-02701</t>
  </si>
  <si>
    <t>G-REQ-02702</t>
  </si>
  <si>
    <t>SYNTHETIC: Laptop return; Approved; asset G-AST-00210</t>
  </si>
  <si>
    <t>G-REQ-00649-E3</t>
  </si>
  <si>
    <t>SYNTHETIC: Laptop return; In progress; asset G-AST-00210</t>
  </si>
  <si>
    <t>G-REQ-00649-E4</t>
  </si>
  <si>
    <t>G-REQ-02703</t>
  </si>
  <si>
    <t>SYNTHETIC: Laptop return; Completed; asset G-AST-00210</t>
  </si>
  <si>
    <t>G-REQ-00650-E1</t>
  </si>
  <si>
    <t>G-REQ-02704</t>
  </si>
  <si>
    <t>SYNTHETIC: Laptop return; Pending approval; asset G-AST-00100</t>
  </si>
  <si>
    <t>G-REQ-00650-E2</t>
  </si>
  <si>
    <t>G-REQ-02705</t>
  </si>
  <si>
    <t>G-REQ-02706</t>
  </si>
  <si>
    <t>SYNTHETIC: Laptop return; Approved; asset G-AST-00100</t>
  </si>
  <si>
    <t>G-REQ-00650-E3</t>
  </si>
  <si>
    <t>G-REQ-02707</t>
  </si>
  <si>
    <t>SYNTHETIC: Laptop return; In progress; asset G-AST-00100</t>
  </si>
  <si>
    <t>G-REQ-00650-E4</t>
  </si>
  <si>
    <t>G-REQ-02708</t>
  </si>
  <si>
    <t>SYNTHETIC: Laptop return; Completed; asset G-AST-00100</t>
  </si>
  <si>
    <t>G-REQ-00651-E1</t>
  </si>
  <si>
    <t>G-REQ-00651-E2</t>
  </si>
  <si>
    <t>G-REQ-02709</t>
  </si>
  <si>
    <t>G-REQ-00652-E1</t>
  </si>
  <si>
    <t>G-REQ-02710</t>
  </si>
  <si>
    <t>SYNTHETIC: Laptop allocation; Pending approval; asset G-AST-00291</t>
  </si>
  <si>
    <t>G-REQ-00652-E2</t>
  </si>
  <si>
    <t>G-REQ-02711</t>
  </si>
  <si>
    <t>SYNTHETIC: Laptop allocation; Approved; asset G-AST-00291</t>
  </si>
  <si>
    <t>G-REQ-00652-E3</t>
  </si>
  <si>
    <t>SYNTHETIC: Laptop allocation; In progress; asset G-AST-00291</t>
  </si>
  <si>
    <t>G-REQ-02712</t>
  </si>
  <si>
    <t>G-REQ-00652-E4</t>
  </si>
  <si>
    <t>SYNTHETIC: Laptop allocation; Completed; asset G-AST-00291</t>
  </si>
  <si>
    <t>G-REQ-00653-E1</t>
  </si>
  <si>
    <t>G-REQ-02713</t>
  </si>
  <si>
    <t>SYNTHETIC: Laptop return; Pending approval; asset G-AST-00200</t>
  </si>
  <si>
    <t>G-REQ-00653-E2</t>
  </si>
  <si>
    <t>G-REQ-02714</t>
  </si>
  <si>
    <t>SYNTHETIC: Laptop return; Approved; asset G-AST-00200</t>
  </si>
  <si>
    <t>G-REQ-00653-E3</t>
  </si>
  <si>
    <t>G-REQ-02715</t>
  </si>
  <si>
    <t>SYNTHETIC: Laptop return; In progress; asset G-AST-00200</t>
  </si>
  <si>
    <t>G-REQ-00653-E4</t>
  </si>
  <si>
    <t>SYNTHETIC: Laptop return; Completed; asset G-AST-00200</t>
  </si>
  <si>
    <t>G-REQ-02716</t>
  </si>
  <si>
    <t>G-REQ-00654-E1</t>
  </si>
  <si>
    <t>SYNTHETIC: Laptop allocation; Pending approval; asset G-AST-00292</t>
  </si>
  <si>
    <t>G-REQ-02717</t>
  </si>
  <si>
    <t>G-REQ-00654-E2</t>
  </si>
  <si>
    <t>SYNTHETIC: Laptop allocation; Approved; asset G-AST-00292</t>
  </si>
  <si>
    <t>G-REQ-00654-E3</t>
  </si>
  <si>
    <t>G-REQ-02718</t>
  </si>
  <si>
    <t>SYNTHETIC: Laptop allocation; In progress; asset G-AST-00292</t>
  </si>
  <si>
    <t>G-REQ-00654-E4</t>
  </si>
  <si>
    <t>G-REQ-02719</t>
  </si>
  <si>
    <t>SYNTHETIC: Laptop allocation; Completed; asset G-AST-00292</t>
  </si>
  <si>
    <t>G-REQ-00655-E1</t>
  </si>
  <si>
    <t>G-REQ-02720</t>
  </si>
  <si>
    <t>G-REQ-00655-E2</t>
  </si>
  <si>
    <t>G-REQ-02721</t>
  </si>
  <si>
    <t>G-REQ-02722</t>
  </si>
  <si>
    <t>G-REQ-00656-E1</t>
  </si>
  <si>
    <t>G-REQ-02723</t>
  </si>
  <si>
    <t>SYNTHETIC: Laptop return; Pending approval; asset G-AST-00232</t>
  </si>
  <si>
    <t>G-REQ-00656-E2</t>
  </si>
  <si>
    <t>G-REQ-02724</t>
  </si>
  <si>
    <t>SYNTHETIC: Laptop return; Approved; asset G-AST-00232</t>
  </si>
  <si>
    <t>G-REQ-00656-E3</t>
  </si>
  <si>
    <t>G-REQ-02725</t>
  </si>
  <si>
    <t>SYNTHETIC: Laptop return; In progress; asset G-AST-00232</t>
  </si>
  <si>
    <t>G-REQ-00656-E4</t>
  </si>
  <si>
    <t>G-REQ-02726</t>
  </si>
  <si>
    <t>SYNTHETIC: Laptop return; Completed; asset G-AST-00232</t>
  </si>
  <si>
    <t>G-REQ-02727</t>
  </si>
  <si>
    <t>G-REQ-00657-E1</t>
  </si>
  <si>
    <t>G-REQ-02728</t>
  </si>
  <si>
    <t>SYNTHETIC: Laptop allocation; Pending approval; asset G-AST-00293</t>
  </si>
  <si>
    <t>G-REQ-00657-E2</t>
  </si>
  <si>
    <t>G-REQ-02729</t>
  </si>
  <si>
    <t>SYNTHETIC: Laptop allocation; Approved; asset G-AST-00293</t>
  </si>
  <si>
    <t>G-REQ-00657-E3</t>
  </si>
  <si>
    <t>G-REQ-02730</t>
  </si>
  <si>
    <t>SYNTHETIC: Laptop allocation; In progress; asset G-AST-00293</t>
  </si>
  <si>
    <t>G-REQ-02731</t>
  </si>
  <si>
    <t>G-REQ-00657-E4</t>
  </si>
  <si>
    <t>SYNTHETIC: Laptop allocation; Completed; asset G-AST-00293</t>
  </si>
  <si>
    <t>G-REQ-02732</t>
  </si>
  <si>
    <t>G-REQ-00658-E1</t>
  </si>
  <si>
    <t>SYNTHETIC: Laptop repair; Pending approval; asset G-AST-00270</t>
  </si>
  <si>
    <t>G-REQ-02733</t>
  </si>
  <si>
    <t>G-REQ-00658-E2</t>
  </si>
  <si>
    <t>SYNTHETIC: Laptop repair; Approved; asset G-AST-00270</t>
  </si>
  <si>
    <t>G-REQ-00658-E3</t>
  </si>
  <si>
    <t>SYNTHETIC: Laptop repair; In progress; asset G-AST-00270</t>
  </si>
  <si>
    <t>G-REQ-00658-E4</t>
  </si>
  <si>
    <t>SYNTHETIC: Laptop repair; Completed; asset G-AST-00270</t>
  </si>
  <si>
    <t>G-REQ-02734</t>
  </si>
  <si>
    <t>G-REQ-00659-E1</t>
  </si>
  <si>
    <t>SYNTHETIC: Laptop return; Pending approval; asset G-AST-00272</t>
  </si>
  <si>
    <t>G-REQ-02735</t>
  </si>
  <si>
    <t>G-REQ-00659-E2</t>
  </si>
  <si>
    <t>SYNTHETIC: Laptop return; Approved; asset G-AST-00272</t>
  </si>
  <si>
    <t>G-REQ-00659-E3</t>
  </si>
  <si>
    <t>G-REQ-02736</t>
  </si>
  <si>
    <t>SYNTHETIC: Laptop return; In progress; asset G-AST-00272</t>
  </si>
  <si>
    <t>G-REQ-00659-E4</t>
  </si>
  <si>
    <t>G-REQ-02737</t>
  </si>
  <si>
    <t>SYNTHETIC: Laptop return; Completed; asset G-AST-00272</t>
  </si>
  <si>
    <t>G-REQ-00660-E1</t>
  </si>
  <si>
    <t>G-REQ-02738</t>
  </si>
  <si>
    <t>SYNTHETIC: Laptop return; Pending approval; asset G-AST-00220</t>
  </si>
  <si>
    <t>G-REQ-00660-E2</t>
  </si>
  <si>
    <t>SYNTHETIC: Laptop return; Approved; asset G-AST-00220</t>
  </si>
  <si>
    <t>G-REQ-02739</t>
  </si>
  <si>
    <t>G-REQ-00660-E3</t>
  </si>
  <si>
    <t>SYNTHETIC: Laptop return; In progress; asset G-AST-00220</t>
  </si>
  <si>
    <t>G-REQ-00660-E4</t>
  </si>
  <si>
    <t>G-REQ-02740</t>
  </si>
  <si>
    <t>SYNTHETIC: Laptop return; Completed; asset G-AST-00220</t>
  </si>
  <si>
    <t>G-REQ-00661-E1</t>
  </si>
  <si>
    <t>G-REQ-02741</t>
  </si>
  <si>
    <t>G-REQ-00661-E2</t>
  </si>
  <si>
    <t>G-REQ-02742</t>
  </si>
  <si>
    <t>G-REQ-00661-E3</t>
  </si>
  <si>
    <t>G-REQ-02743</t>
  </si>
  <si>
    <t>G-REQ-00661-E4</t>
  </si>
  <si>
    <t>G-REQ-02744</t>
  </si>
  <si>
    <t>G-REQ-00662-E1</t>
  </si>
  <si>
    <t>G-REQ-02745</t>
  </si>
  <si>
    <t>SYNTHETIC: Laptop return; Pending approval; asset G-AST-00283</t>
  </si>
  <si>
    <t>G-REQ-00662-E2</t>
  </si>
  <si>
    <t>G-REQ-02746</t>
  </si>
  <si>
    <t>SYNTHETIC: Laptop return; Rejected; asset G-AST-00283</t>
  </si>
  <si>
    <t>G-REQ-02747</t>
  </si>
  <si>
    <t>G-REQ-00663-E1</t>
  </si>
  <si>
    <t>G-REQ-02748</t>
  </si>
  <si>
    <t>SYNTHETIC: Laptop allocation; Pending approval; asset G-AST-00294</t>
  </si>
  <si>
    <t>G-REQ-00663-E2</t>
  </si>
  <si>
    <t>G-REQ-02749</t>
  </si>
  <si>
    <t>SYNTHETIC: Laptop allocation; Approved; asset G-AST-00294</t>
  </si>
  <si>
    <t>G-REQ-00663-E3</t>
  </si>
  <si>
    <t>G-REQ-02750</t>
  </si>
  <si>
    <t>SYNTHETIC: Laptop allocation; In progress; asset G-AST-00294</t>
  </si>
  <si>
    <t>G-REQ-02751</t>
  </si>
  <si>
    <t>G-REQ-00663-E4</t>
  </si>
  <si>
    <t>G-REQ-02752</t>
  </si>
  <si>
    <t>SYNTHETIC: Laptop allocation; Completed; asset G-AST-00294</t>
  </si>
  <si>
    <t>G-REQ-00664-E1</t>
  </si>
  <si>
    <t>G-REQ-02753</t>
  </si>
  <si>
    <t>SYNTHETIC: Laptop return; Pending approval; asset G-AST-00252</t>
  </si>
  <si>
    <t>G-REQ-00664-E2</t>
  </si>
  <si>
    <t>G-REQ-02754</t>
  </si>
  <si>
    <t>SYNTHETIC: Laptop return; Rejected; asset G-AST-00252</t>
  </si>
  <si>
    <t>G-REQ-02755</t>
  </si>
  <si>
    <t>G-REQ-00665-E1</t>
  </si>
  <si>
    <t>G-REQ-02756</t>
  </si>
  <si>
    <t>SYNTHETIC: Laptop repair; Pending approval; asset G-AST-00245</t>
  </si>
  <si>
    <t>G-REQ-00665-E2</t>
  </si>
  <si>
    <t>G-REQ-02757</t>
  </si>
  <si>
    <t>SYNTHETIC: Laptop repair; Approved; asset G-AST-00245</t>
  </si>
  <si>
    <t>G-REQ-00665-E3</t>
  </si>
  <si>
    <t>G-REQ-02758</t>
  </si>
  <si>
    <t>SYNTHETIC: Laptop repair; In progress; asset G-AST-00245</t>
  </si>
  <si>
    <t>G-REQ-00665-E4</t>
  </si>
  <si>
    <t>G-REQ-02759</t>
  </si>
  <si>
    <t>SYNTHETIC: Laptop repair; Completed; asset G-AST-00245</t>
  </si>
  <si>
    <t>G-REQ-02760</t>
  </si>
  <si>
    <t>G-REQ-00666-E1</t>
  </si>
  <si>
    <t>G-REQ-02761</t>
  </si>
  <si>
    <t>SYNTHETIC: Laptop allocation; Pending approval; asset G-AST-00295</t>
  </si>
  <si>
    <t>G-REQ-00666-E2</t>
  </si>
  <si>
    <t>G-REQ-02762</t>
  </si>
  <si>
    <t>SYNTHETIC: Laptop allocation; Approved; asset G-AST-00295</t>
  </si>
  <si>
    <t>G-REQ-02763</t>
  </si>
  <si>
    <t>G-REQ-00666-E3</t>
  </si>
  <si>
    <t>G-REQ-02764</t>
  </si>
  <si>
    <t>SYNTHETIC: Laptop allocation; In progress; asset G-AST-00295</t>
  </si>
  <si>
    <t>G-REQ-00666-E4</t>
  </si>
  <si>
    <t>G-REQ-02765</t>
  </si>
  <si>
    <t>SYNTHETIC: Laptop allocation; Completed; asset G-AST-00295</t>
  </si>
  <si>
    <t>G-REQ-00667-E1</t>
  </si>
  <si>
    <t>G-REQ-02766</t>
  </si>
  <si>
    <t>G-REQ-02767</t>
  </si>
  <si>
    <t>SYNTHETIC: Laptop repair; Pending approval; asset G-AST-00290</t>
  </si>
  <si>
    <t>G-REQ-00667-E2</t>
  </si>
  <si>
    <t>G-REQ-02768</t>
  </si>
  <si>
    <t>SYNTHETIC: Laptop repair; Approved; asset G-AST-00290</t>
  </si>
  <si>
    <t>G-REQ-00667-E3</t>
  </si>
  <si>
    <t>G-REQ-02769</t>
  </si>
  <si>
    <t>SYNTHETIC: Laptop repair; In progress; asset G-AST-00290</t>
  </si>
  <si>
    <t>G-REQ-02770</t>
  </si>
  <si>
    <t>G-REQ-00667-E4</t>
  </si>
  <si>
    <t>G-REQ-02771</t>
  </si>
  <si>
    <t>SYNTHETIC: Laptop repair; Completed; asset G-AST-00290</t>
  </si>
  <si>
    <t>G-REQ-00668-E1</t>
  </si>
  <si>
    <t>G-REQ-02772</t>
  </si>
  <si>
    <t>SYNTHETIC: Laptop allocation; Pending approval; asset G-AST-00296</t>
  </si>
  <si>
    <t>G-REQ-00668-E2</t>
  </si>
  <si>
    <t>G-REQ-02773</t>
  </si>
  <si>
    <t>G-REQ-02774</t>
  </si>
  <si>
    <t>SYNTHETIC: Laptop allocation; Approved; asset G-AST-00296</t>
  </si>
  <si>
    <t>G-REQ-00668-E3</t>
  </si>
  <si>
    <t>G-REQ-02775</t>
  </si>
  <si>
    <t>SYNTHETIC: Laptop allocation; In progress; asset G-AST-00296</t>
  </si>
  <si>
    <t>G-REQ-00668-E4</t>
  </si>
  <si>
    <t>G-REQ-02776</t>
  </si>
  <si>
    <t>G-REQ-02777</t>
  </si>
  <si>
    <t>SYNTHETIC: Laptop allocation; Completed; asset G-AST-00296</t>
  </si>
  <si>
    <t>G-REQ-00669-E1</t>
  </si>
  <si>
    <t>G-REQ-02778</t>
  </si>
  <si>
    <t>SYNTHETIC: Laptop repair; Pending approval; asset G-AST-00244</t>
  </si>
  <si>
    <t>G-REQ-02779</t>
  </si>
  <si>
    <t>G-REQ-00669-E2</t>
  </si>
  <si>
    <t>G-REQ-02780</t>
  </si>
  <si>
    <t>SYNTHETIC: Laptop repair; Approved; asset G-AST-00244</t>
  </si>
  <si>
    <t>G-REQ-00669-E3</t>
  </si>
  <si>
    <t>G-REQ-02781</t>
  </si>
  <si>
    <t>SYNTHETIC: Laptop repair; In progress; asset G-AST-00244</t>
  </si>
  <si>
    <t>G-REQ-00669-E4</t>
  </si>
  <si>
    <t>G-REQ-02782</t>
  </si>
  <si>
    <t>SYNTHETIC: Laptop repair; Completed; asset G-AST-00244</t>
  </si>
  <si>
    <t>G-REQ-02783</t>
  </si>
  <si>
    <t>G-REQ-00670-E1</t>
  </si>
  <si>
    <t>G-REQ-02784</t>
  </si>
  <si>
    <t>SYNTHETIC: Laptop allocation; Pending approval; asset G-AST-00297</t>
  </si>
  <si>
    <t>G-REQ-00670-E2</t>
  </si>
  <si>
    <t>G-REQ-02785</t>
  </si>
  <si>
    <t>SYNTHETIC: Laptop allocation; Approved; asset G-AST-00297</t>
  </si>
  <si>
    <t>G-REQ-02786</t>
  </si>
  <si>
    <t>G-REQ-00670-E3</t>
  </si>
  <si>
    <t>G-REQ-02787</t>
  </si>
  <si>
    <t>SYNTHETIC: Laptop allocation; In progress; asset G-AST-00297</t>
  </si>
  <si>
    <t>G-REQ-00670-E4</t>
  </si>
  <si>
    <t>G-REQ-02788</t>
  </si>
  <si>
    <t>SYNTHETIC: Laptop allocation; Completed; asset G-AST-00297</t>
  </si>
  <si>
    <t>G-REQ-00671-E1</t>
  </si>
  <si>
    <t>G-REQ-02789</t>
  </si>
  <si>
    <t>SYNTHETIC: Laptop allocation; Pending approval; asset G-AST-00298</t>
  </si>
  <si>
    <t>G-REQ-02790</t>
  </si>
  <si>
    <t>G-REQ-00671-E2</t>
  </si>
  <si>
    <t>SYNTHETIC: Laptop allocation; Approved; asset G-AST-00298</t>
  </si>
  <si>
    <t>G-REQ-02791</t>
  </si>
  <si>
    <t>G-REQ-00671-E3</t>
  </si>
  <si>
    <t>G-REQ-02792</t>
  </si>
  <si>
    <t>SYNTHETIC: Laptop allocation; In progress; asset G-AST-00298</t>
  </si>
  <si>
    <t>G-REQ-00671-E4</t>
  </si>
  <si>
    <t>G-REQ-02793</t>
  </si>
  <si>
    <t>SYNTHETIC: Laptop allocation; Completed; asset G-AST-00298</t>
  </si>
  <si>
    <t>G-REQ-00672-E1</t>
  </si>
  <si>
    <t>G-REQ-02794</t>
  </si>
  <si>
    <t>SYNTHETIC: Laptop repair; Pending approval; asset G-AST-00101</t>
  </si>
  <si>
    <t>G-REQ-02795</t>
  </si>
  <si>
    <t>G-REQ-00672-E2</t>
  </si>
  <si>
    <t>G-REQ-02796</t>
  </si>
  <si>
    <t>SYNTHETIC: Laptop repair; Rejected; asset G-AST-00101</t>
  </si>
  <si>
    <t>G-REQ-00673-E1</t>
  </si>
  <si>
    <t>G-REQ-02797</t>
  </si>
  <si>
    <t>SYNTHETIC: Laptop allocation; Pending approval; asset G-AST-00299</t>
  </si>
  <si>
    <t>G-REQ-00673-E2</t>
  </si>
  <si>
    <t>G-REQ-02798</t>
  </si>
  <si>
    <t>SYNTHETIC: Laptop allocation; Approved; asset G-AST-00299</t>
  </si>
  <si>
    <t>G-REQ-02799</t>
  </si>
  <si>
    <t>G-REQ-00673-E3</t>
  </si>
  <si>
    <t>G-REQ-02800</t>
  </si>
  <si>
    <t>SYNTHETIC: Laptop allocation; In progress; asset G-AST-00299</t>
  </si>
  <si>
    <t>G-REQ-00673-E4</t>
  </si>
  <si>
    <t>G-REQ-02801</t>
  </si>
  <si>
    <t>SYNTHETIC: Laptop allocation; Completed; asset G-AST-00299</t>
  </si>
  <si>
    <t>G-REQ-00674-E1</t>
  </si>
  <si>
    <t>G-REQ-02802</t>
  </si>
  <si>
    <t>SYNTHETIC: Laptop allocation; Pending approval; asset G-AST-00300</t>
  </si>
  <si>
    <t>G-REQ-02803</t>
  </si>
  <si>
    <t>G-REQ-00674-E2</t>
  </si>
  <si>
    <t>G-REQ-02804</t>
  </si>
  <si>
    <t>SYNTHETIC: Laptop allocation; Approved; asset G-AST-00300</t>
  </si>
  <si>
    <t>G-REQ-00674-E3</t>
  </si>
  <si>
    <t>G-REQ-02805</t>
  </si>
  <si>
    <t>SYNTHETIC: Laptop allocation; In progress; asset G-AST-00300</t>
  </si>
  <si>
    <t>G-REQ-00674-E4</t>
  </si>
  <si>
    <t>G-REQ-02806</t>
  </si>
  <si>
    <t>SYNTHETIC: Laptop allocation; Completed; asset G-AST-00300</t>
  </si>
  <si>
    <t>G-REQ-00675-E1</t>
  </si>
  <si>
    <t>G-REQ-02807</t>
  </si>
  <si>
    <t>G-REQ-02808</t>
  </si>
  <si>
    <t>SYNTHETIC: Laptop return; Pending approval; asset G-AST-00193</t>
  </si>
  <si>
    <t>G-REQ-00675-E2</t>
  </si>
  <si>
    <t>G-REQ-02809</t>
  </si>
  <si>
    <t>SYNTHETIC: Laptop return; Approved; asset G-AST-00193</t>
  </si>
  <si>
    <t>G-REQ-00675-E3</t>
  </si>
  <si>
    <t>G-REQ-02810</t>
  </si>
  <si>
    <t>SYNTHETIC: Laptop return; In progress; asset G-AST-00193</t>
  </si>
  <si>
    <t>G-REQ-00675-E4</t>
  </si>
  <si>
    <t>G-REQ-02811</t>
  </si>
  <si>
    <t>SYNTHETIC: Laptop return; Completed; asset G-AST-00193</t>
  </si>
  <si>
    <t>G-REQ-02812</t>
  </si>
  <si>
    <t>G-REQ-00676-E1</t>
  </si>
  <si>
    <t>G-REQ-02813</t>
  </si>
  <si>
    <t>SYNTHETIC: Laptop allocation; Pending approval; asset G-AST-00301</t>
  </si>
  <si>
    <t>G-REQ-00676-E2</t>
  </si>
  <si>
    <t>G-REQ-02814</t>
  </si>
  <si>
    <t>SYNTHETIC: Laptop allocation; Approved; asset G-AST-00301</t>
  </si>
  <si>
    <t>G-REQ-00676-E3</t>
  </si>
  <si>
    <t>G-REQ-02815</t>
  </si>
  <si>
    <t>SYNTHETIC: Laptop allocation; In progress; asset G-AST-00301</t>
  </si>
  <si>
    <t>G-REQ-02816</t>
  </si>
  <si>
    <t>G-REQ-00676-E4</t>
  </si>
  <si>
    <t>G-REQ-02817</t>
  </si>
  <si>
    <t>SYNTHETIC: Laptop allocation; Completed; asset G-AST-00301</t>
  </si>
  <si>
    <t>G-REQ-00677-E1</t>
  </si>
  <si>
    <t>G-REQ-02818</t>
  </si>
  <si>
    <t>SYNTHETIC: Laptop allocation; Pending approval; asset G-AST-00302</t>
  </si>
  <si>
    <t>G-REQ-00677-E2</t>
  </si>
  <si>
    <t>G-REQ-02819</t>
  </si>
  <si>
    <t>SYNTHETIC: Laptop allocation; Approved; asset G-AST-00302</t>
  </si>
  <si>
    <t>G-REQ-00677-E3</t>
  </si>
  <si>
    <t>G-REQ-02820</t>
  </si>
  <si>
    <t>SYNTHETIC: Laptop allocation; In progress; asset G-AST-00302</t>
  </si>
  <si>
    <t>G-REQ-00677-E4</t>
  </si>
  <si>
    <t>G-REQ-02821</t>
  </si>
  <si>
    <t>SYNTHETIC: Laptop allocation; Completed; asset G-AST-00302</t>
  </si>
  <si>
    <t>G-REQ-02822</t>
  </si>
  <si>
    <t>G-REQ-00678-E1</t>
  </si>
  <si>
    <t>G-REQ-02823</t>
  </si>
  <si>
    <t>SYNTHETIC: Laptop return; Pending approval; asset G-AST-00189</t>
  </si>
  <si>
    <t>G-REQ-00678-E2</t>
  </si>
  <si>
    <t>G-REQ-02824</t>
  </si>
  <si>
    <t>SYNTHETIC: Laptop return; Approved; asset G-AST-00189</t>
  </si>
  <si>
    <t>G-REQ-02825</t>
  </si>
  <si>
    <t>G-REQ-00678-E3</t>
  </si>
  <si>
    <t>G-REQ-02826</t>
  </si>
  <si>
    <t>SYNTHETIC: Laptop return; In progress; asset G-AST-00189</t>
  </si>
  <si>
    <t>G-REQ-00678-E4</t>
  </si>
  <si>
    <t>G-REQ-02827</t>
  </si>
  <si>
    <t>SYNTHETIC: Laptop return; Completed; asset G-AST-00189</t>
  </si>
  <si>
    <t>G-REQ-00679-E1</t>
  </si>
  <si>
    <t>G-REQ-02828</t>
  </si>
  <si>
    <t>SYNTHETIC: Laptop allocation; Pending approval; asset G-AST-00303</t>
  </si>
  <si>
    <t>G-REQ-02829</t>
  </si>
  <si>
    <t>G-REQ-00679-E2</t>
  </si>
  <si>
    <t>G-REQ-02830</t>
  </si>
  <si>
    <t>SYNTHETIC: Laptop allocation; Approved; asset G-AST-00303</t>
  </si>
  <si>
    <t>G-REQ-00679-E3</t>
  </si>
  <si>
    <t>G-REQ-02831</t>
  </si>
  <si>
    <t>SYNTHETIC: Laptop allocation; In progress; asset G-AST-00303</t>
  </si>
  <si>
    <t>G-REQ-00679-E4</t>
  </si>
  <si>
    <t>G-REQ-02832</t>
  </si>
  <si>
    <t>SYNTHETIC: Laptop allocation; Completed; asset G-AST-00303</t>
  </si>
  <si>
    <t>G-REQ-00680-E1</t>
  </si>
  <si>
    <t>G-REQ-02833</t>
  </si>
  <si>
    <t>SYNTHETIC: Laptop repair; Pending approval; asset G-AST-00303</t>
  </si>
  <si>
    <t>G-REQ-02834</t>
  </si>
  <si>
    <t>G-REQ-00680-E2</t>
  </si>
  <si>
    <t>G-REQ-02835</t>
  </si>
  <si>
    <t>SYNTHETIC: Laptop repair; Approved; asset G-AST-00303</t>
  </si>
  <si>
    <t>G-REQ-00680-E3</t>
  </si>
  <si>
    <t>G-REQ-02836</t>
  </si>
  <si>
    <t>SYNTHETIC: Laptop repair; In progress; asset G-AST-00303</t>
  </si>
  <si>
    <t>G-REQ-00680-E4</t>
  </si>
  <si>
    <t>G-REQ-02837</t>
  </si>
  <si>
    <t>SYNTHETIC: Laptop repair; Completed; asset G-AST-00303</t>
  </si>
  <si>
    <t>G-REQ-00681-E1</t>
  </si>
  <si>
    <t>G-REQ-02838</t>
  </si>
  <si>
    <t>G-REQ-02839</t>
  </si>
  <si>
    <t>G-REQ-00681-E2</t>
  </si>
  <si>
    <t>G-REQ-02840</t>
  </si>
  <si>
    <t>G-REQ-00681-E3</t>
  </si>
  <si>
    <t>G-REQ-02841</t>
  </si>
  <si>
    <t>G-REQ-02842</t>
  </si>
  <si>
    <t>G-REQ-00681-E4</t>
  </si>
  <si>
    <t>G-REQ-02843</t>
  </si>
  <si>
    <t>G-REQ-02844</t>
  </si>
  <si>
    <t>G-REQ-00682-E1</t>
  </si>
  <si>
    <t>G-REQ-02845</t>
  </si>
  <si>
    <t>G-REQ-00682-E2</t>
  </si>
  <si>
    <t>G-REQ-02846</t>
  </si>
  <si>
    <t>G-REQ-02847</t>
  </si>
  <si>
    <t>G-REQ-00682-E3</t>
  </si>
  <si>
    <t>G-REQ-02848</t>
  </si>
  <si>
    <t>G-REQ-00682-E4</t>
  </si>
  <si>
    <t>G-REQ-02849</t>
  </si>
  <si>
    <t>G-REQ-02850</t>
  </si>
  <si>
    <t>G-REQ-00683-E1</t>
  </si>
  <si>
    <t>G-REQ-02851</t>
  </si>
  <si>
    <t>SYNTHETIC: Laptop allocation; Pending approval; asset G-AST-00304</t>
  </si>
  <si>
    <t>G-REQ-00683-E2</t>
  </si>
  <si>
    <t>G-REQ-02852</t>
  </si>
  <si>
    <t>SYNTHETIC: Laptop allocation; Approved; asset G-AST-00304</t>
  </si>
  <si>
    <t>G-REQ-00683-E3</t>
  </si>
  <si>
    <t>G-REQ-02853</t>
  </si>
  <si>
    <t>SYNTHETIC: Laptop allocation; In progress; asset G-AST-00304</t>
  </si>
  <si>
    <t>G-REQ-02854</t>
  </si>
  <si>
    <t>G-REQ-00683-E4</t>
  </si>
  <si>
    <t>G-REQ-02855</t>
  </si>
  <si>
    <t>SYNTHETIC: Laptop allocation; Completed; asset G-AST-00304</t>
  </si>
  <si>
    <t>G-REQ-00684-E1</t>
  </si>
  <si>
    <t>G-REQ-02856</t>
  </si>
  <si>
    <t>SYNTHETIC: Laptop return; Pending approval; asset G-AST-00138</t>
  </si>
  <si>
    <t>G-REQ-00684-E2</t>
  </si>
  <si>
    <t>G-REQ-02857</t>
  </si>
  <si>
    <t>SYNTHETIC: Laptop return; Approved; asset G-AST-00138</t>
  </si>
  <si>
    <t>G-REQ-00684-E3</t>
  </si>
  <si>
    <t>G-REQ-02858</t>
  </si>
  <si>
    <t>SYNTHETIC: Laptop return; In progress; asset G-AST-00138</t>
  </si>
  <si>
    <t>G-REQ-02859</t>
  </si>
  <si>
    <t>G-REQ-00684-E4</t>
  </si>
  <si>
    <t>G-REQ-02860</t>
  </si>
  <si>
    <t>SYNTHETIC: Laptop return; Completed; asset G-AST-00138</t>
  </si>
  <si>
    <t>G-REQ-00685-E1</t>
  </si>
  <si>
    <t>G-REQ-02861</t>
  </si>
  <si>
    <t>SYNTHETIC: Laptop repair; Pending approval; asset G-AST-00277</t>
  </si>
  <si>
    <t>G-REQ-00685-E2</t>
  </si>
  <si>
    <t>G-REQ-02862</t>
  </si>
  <si>
    <t>G-REQ-02863</t>
  </si>
  <si>
    <t>SYNTHETIC: Laptop repair; Approved; asset G-AST-00277</t>
  </si>
  <si>
    <t>G-REQ-00685-E3</t>
  </si>
  <si>
    <t>G-REQ-02864</t>
  </si>
  <si>
    <t>SYNTHETIC: Laptop repair; In progress; asset G-AST-00277</t>
  </si>
  <si>
    <t>G-REQ-00685-E4</t>
  </si>
  <si>
    <t>G-REQ-02865</t>
  </si>
  <si>
    <t>SYNTHETIC: Laptop repair; Completed; asset G-AST-00277</t>
  </si>
  <si>
    <t>G-REQ-02866</t>
  </si>
  <si>
    <t>G-REQ-00686-E1</t>
  </si>
  <si>
    <t>G-REQ-02867</t>
  </si>
  <si>
    <t>SYNTHETIC: Laptop allocation; Pending approval; asset G-AST-00305</t>
  </si>
  <si>
    <t>G-REQ-00686-E2</t>
  </si>
  <si>
    <t>G-REQ-02868</t>
  </si>
  <si>
    <t>SYNTHETIC: Laptop allocation; Approved; asset G-AST-00305</t>
  </si>
  <si>
    <t>G-REQ-02869</t>
  </si>
  <si>
    <t>G-REQ-00686-E3</t>
  </si>
  <si>
    <t>G-REQ-02870</t>
  </si>
  <si>
    <t>SYNTHETIC: Laptop allocation; In progress; asset G-AST-00305</t>
  </si>
  <si>
    <t>G-REQ-00686-E4</t>
  </si>
  <si>
    <t>G-REQ-02871</t>
  </si>
  <si>
    <t>SYNTHETIC: Laptop allocation; Completed; asset G-AST-00305</t>
  </si>
  <si>
    <t>G-REQ-00687-E1</t>
  </si>
  <si>
    <t>G-REQ-02872</t>
  </si>
  <si>
    <t>G-REQ-02873</t>
  </si>
  <si>
    <t>G-REQ-00687-E2</t>
  </si>
  <si>
    <t>G-REQ-02874</t>
  </si>
  <si>
    <t>G-REQ-00687-E3</t>
  </si>
  <si>
    <t>G-REQ-02875</t>
  </si>
  <si>
    <t>G-REQ-00687-E4</t>
  </si>
  <si>
    <t>G-REQ-02876</t>
  </si>
  <si>
    <t>G-REQ-02877</t>
  </si>
  <si>
    <t>G-REQ-00688-E1</t>
  </si>
  <si>
    <t>G-REQ-02878</t>
  </si>
  <si>
    <t>G-REQ-00688-E2</t>
  </si>
  <si>
    <t>G-REQ-02879</t>
  </si>
  <si>
    <t>G-REQ-02880</t>
  </si>
  <si>
    <t>G-REQ-00688-E3</t>
  </si>
  <si>
    <t>G-REQ-02881</t>
  </si>
  <si>
    <t>G-REQ-00688-E4</t>
  </si>
  <si>
    <t>G-REQ-02882</t>
  </si>
  <si>
    <t>G-REQ-00689-E1</t>
  </si>
  <si>
    <t>G-REQ-02883</t>
  </si>
  <si>
    <t>SYNTHETIC: Laptop allocation; Pending approval; asset G-AST-00306</t>
  </si>
  <si>
    <t>G-REQ-02884</t>
  </si>
  <si>
    <t>G-REQ-00689-E2</t>
  </si>
  <si>
    <t>G-REQ-02885</t>
  </si>
  <si>
    <t>SYNTHETIC: Laptop allocation; Approved; asset G-AST-00306</t>
  </si>
  <si>
    <t>G-REQ-00689-E3</t>
  </si>
  <si>
    <t>G-REQ-02886</t>
  </si>
  <si>
    <t>SYNTHETIC: Laptop allocation; In progress; asset G-AST-00306</t>
  </si>
  <si>
    <t>G-REQ-00689-E4</t>
  </si>
  <si>
    <t>G-REQ-02887</t>
  </si>
  <si>
    <t>SYNTHETIC: Laptop allocation; Completed; asset G-AST-00306</t>
  </si>
  <si>
    <t>G-REQ-02888</t>
  </si>
  <si>
    <t>G-REQ-00690-E1</t>
  </si>
  <si>
    <t>G-REQ-02889</t>
  </si>
  <si>
    <t>SYNTHETIC: Laptop allocation; Pending approval; asset G-AST-00307</t>
  </si>
  <si>
    <t>G-REQ-00690-E2</t>
  </si>
  <si>
    <t>G-REQ-02890</t>
  </si>
  <si>
    <t>SYNTHETIC: Laptop allocation; Approved; asset G-AST-00307</t>
  </si>
  <si>
    <t>G-REQ-00690-E3</t>
  </si>
  <si>
    <t>G-REQ-02891</t>
  </si>
  <si>
    <t>SYNTHETIC: Laptop allocation; In progress; asset G-AST-00307</t>
  </si>
  <si>
    <t>G-REQ-02892</t>
  </si>
  <si>
    <t>G-REQ-00690-E4</t>
  </si>
  <si>
    <t>G-REQ-02893</t>
  </si>
  <si>
    <t>SYNTHETIC: Laptop allocation; Completed; asset G-AST-00307</t>
  </si>
  <si>
    <t>G-REQ-00691-E1</t>
  </si>
  <si>
    <t>G-REQ-02894</t>
  </si>
  <si>
    <t>G-REQ-02895</t>
  </si>
  <si>
    <t>SYNTHETIC: Laptop return; Pending approval; asset G-AST-00063</t>
  </si>
  <si>
    <t>G-REQ-00691-E2</t>
  </si>
  <si>
    <t>G-REQ-02896</t>
  </si>
  <si>
    <t>SYNTHETIC: Laptop return; Approved; asset G-AST-00063</t>
  </si>
  <si>
    <t>G-REQ-00691-E3</t>
  </si>
  <si>
    <t>G-REQ-02897</t>
  </si>
  <si>
    <t>SYNTHETIC: Laptop return; In progress; asset G-AST-00063</t>
  </si>
  <si>
    <t>G-REQ-02898</t>
  </si>
  <si>
    <t>G-REQ-00691-E4</t>
  </si>
  <si>
    <t>G-REQ-02899</t>
  </si>
  <si>
    <t>SYNTHETIC: Laptop return; Completed; asset G-AST-00063</t>
  </si>
  <si>
    <t>G-REQ-00692-E1</t>
  </si>
  <si>
    <t>G-REQ-02900</t>
  </si>
  <si>
    <t>SYNTHETIC: Laptop repair; Pending approval; asset G-AST-00179</t>
  </si>
  <si>
    <t>G-REQ-00692-E2</t>
  </si>
  <si>
    <t>G-REQ-02901</t>
  </si>
  <si>
    <t>G-REQ-02902</t>
  </si>
  <si>
    <t>SYNTHETIC: Laptop repair; Approved; asset G-AST-00179</t>
  </si>
  <si>
    <t>G-REQ-00692-E3</t>
  </si>
  <si>
    <t>G-REQ-02903</t>
  </si>
  <si>
    <t>SYNTHETIC: Laptop repair; In progress; asset G-AST-00179</t>
  </si>
  <si>
    <t>G-REQ-00692-E4</t>
  </si>
  <si>
    <t>G-REQ-02904</t>
  </si>
  <si>
    <t>SYNTHETIC: Laptop repair; Completed; asset G-AST-00179</t>
  </si>
  <si>
    <t>G-REQ-02905</t>
  </si>
  <si>
    <t>G-REQ-00693-E1</t>
  </si>
  <si>
    <t>G-REQ-02906</t>
  </si>
  <si>
    <t>SYNTHETIC: Laptop allocation; Pending approval; asset G-AST-00308</t>
  </si>
  <si>
    <t>G-REQ-00693-E2</t>
  </si>
  <si>
    <t>G-REQ-02907</t>
  </si>
  <si>
    <t>SYNTHETIC: Laptop allocation; Approved; asset G-AST-00308</t>
  </si>
  <si>
    <t>G-REQ-00693-E3</t>
  </si>
  <si>
    <t>G-REQ-02908</t>
  </si>
  <si>
    <t>SYNTHETIC: Laptop allocation; In progress; asset G-AST-00308</t>
  </si>
  <si>
    <t>G-REQ-02909</t>
  </si>
  <si>
    <t>G-REQ-00693-E4</t>
  </si>
  <si>
    <t>G-REQ-02910</t>
  </si>
  <si>
    <t>SYNTHETIC: Laptop allocation; Completed; asset G-AST-00308</t>
  </si>
  <si>
    <t>G-REQ-00694-E1</t>
  </si>
  <si>
    <t>G-REQ-02911</t>
  </si>
  <si>
    <t>SYNTHETIC: Laptop allocation; Pending approval; asset G-AST-00309</t>
  </si>
  <si>
    <t>G-REQ-00694-E2</t>
  </si>
  <si>
    <t>G-REQ-02912</t>
  </si>
  <si>
    <t>SYNTHETIC: Laptop allocation; Approved; asset G-AST-00309</t>
  </si>
  <si>
    <t>G-REQ-02913</t>
  </si>
  <si>
    <t>G-REQ-00694-E3</t>
  </si>
  <si>
    <t>G-REQ-02914</t>
  </si>
  <si>
    <t>SYNTHETIC: Laptop allocation; In progress; asset G-AST-00309</t>
  </si>
  <si>
    <t>G-REQ-00694-E4</t>
  </si>
  <si>
    <t>G-REQ-02915</t>
  </si>
  <si>
    <t>SYNTHETIC: Laptop allocation; Completed; asset G-AST-00309</t>
  </si>
  <si>
    <t>G-REQ-00695-E1</t>
  </si>
  <si>
    <t>G-REQ-02916</t>
  </si>
  <si>
    <t>SYNTHETIC: Laptop return; Pending approval; asset G-AST-00290</t>
  </si>
  <si>
    <t>G-REQ-02917</t>
  </si>
  <si>
    <t>G-REQ-00695-E2</t>
  </si>
  <si>
    <t>G-REQ-02918</t>
  </si>
  <si>
    <t>SYNTHETIC: Laptop return; Rejected; asset G-AST-00290</t>
  </si>
  <si>
    <t>G-REQ-00696-E1</t>
  </si>
  <si>
    <t>G-REQ-02919</t>
  </si>
  <si>
    <t>SYNTHETIC: Laptop repair; Pending approval; asset G-AST-00182</t>
  </si>
  <si>
    <t>G-REQ-02920</t>
  </si>
  <si>
    <t>G-REQ-00696-E2</t>
  </si>
  <si>
    <t>G-REQ-02921</t>
  </si>
  <si>
    <t>SYNTHETIC: Laptop repair; Approved; asset G-AST-00182</t>
  </si>
  <si>
    <t>G-REQ-00696-E3</t>
  </si>
  <si>
    <t>G-REQ-02922</t>
  </si>
  <si>
    <t>SYNTHETIC: Laptop repair; In progress; asset G-AST-00182</t>
  </si>
  <si>
    <t>G-REQ-00696-E4</t>
  </si>
  <si>
    <t>G-REQ-02923</t>
  </si>
  <si>
    <t>SYNTHETIC: Laptop repair; Completed; asset G-AST-00182</t>
  </si>
  <si>
    <t>G-REQ-02924</t>
  </si>
  <si>
    <t>G-REQ-00697-E1</t>
  </si>
  <si>
    <t>G-REQ-02925</t>
  </si>
  <si>
    <t>SYNTHETIC: Laptop return; Pending approval; asset G-AST-00072</t>
  </si>
  <si>
    <t>G-REQ-00697-E2</t>
  </si>
  <si>
    <t>G-REQ-02926</t>
  </si>
  <si>
    <t>SYNTHETIC: Laptop return; Approved; asset G-AST-00072</t>
  </si>
  <si>
    <t>G-REQ-00697-E3</t>
  </si>
  <si>
    <t>G-REQ-02927</t>
  </si>
  <si>
    <t>SYNTHETIC: Laptop return; In progress; asset G-AST-00072</t>
  </si>
  <si>
    <t>G-REQ-02928</t>
  </si>
  <si>
    <t>G-REQ-00697-E4</t>
  </si>
  <si>
    <t>G-REQ-02929</t>
  </si>
  <si>
    <t>SYNTHETIC: Laptop return; Completed; asset G-AST-00072</t>
  </si>
  <si>
    <t>G-REQ-00698-E1</t>
  </si>
  <si>
    <t>G-REQ-02930</t>
  </si>
  <si>
    <t>G-REQ-02931</t>
  </si>
  <si>
    <t>G-REQ-00698-E2</t>
  </si>
  <si>
    <t>G-REQ-02932</t>
  </si>
  <si>
    <t>G-REQ-00698-E3</t>
  </si>
  <si>
    <t>G-REQ-02933</t>
  </si>
  <si>
    <t>G-REQ-00698-E4</t>
  </si>
  <si>
    <t>G-REQ-02934</t>
  </si>
  <si>
    <t>G-REQ-02935</t>
  </si>
  <si>
    <t>G-REQ-00699-E1</t>
  </si>
  <si>
    <t>G-REQ-02936</t>
  </si>
  <si>
    <t>SYNTHETIC: Laptop repair; Pending approval; asset G-AST-00292</t>
  </si>
  <si>
    <t>G-REQ-00699-E2</t>
  </si>
  <si>
    <t>G-REQ-02937</t>
  </si>
  <si>
    <t>SYNTHETIC: Laptop repair; Approved; asset G-AST-00292</t>
  </si>
  <si>
    <t>G-REQ-02938</t>
  </si>
  <si>
    <t>G-REQ-00699-E3</t>
  </si>
  <si>
    <t>G-REQ-02939</t>
  </si>
  <si>
    <t>SYNTHETIC: Laptop repair; In progress; asset G-AST-00292</t>
  </si>
  <si>
    <t>G-REQ-00699-E4</t>
  </si>
  <si>
    <t>G-REQ-02940</t>
  </si>
  <si>
    <t>SYNTHETIC: Laptop repair; Completed; asset G-AST-00292</t>
  </si>
  <si>
    <t>G-REQ-00700-E1</t>
  </si>
  <si>
    <t>G-REQ-02941</t>
  </si>
  <si>
    <t>G-REQ-02942</t>
  </si>
  <si>
    <t>SYNTHETIC: Laptop allocation; Pending approval; asset G-AST-00310</t>
  </si>
  <si>
    <t>G-REQ-00700-E2</t>
  </si>
  <si>
    <t>G-REQ-02943</t>
  </si>
  <si>
    <t>SYNTHETIC: Laptop allocation; Approved; asset G-AST-00310</t>
  </si>
  <si>
    <t>G-REQ-00700-E3</t>
  </si>
  <si>
    <t>G-REQ-02944</t>
  </si>
  <si>
    <t>SYNTHETIC: Laptop allocation; In progress; asset G-AST-00310</t>
  </si>
  <si>
    <t>G-REQ-00700-E4</t>
  </si>
  <si>
    <t>G-REQ-02945</t>
  </si>
  <si>
    <t>SYNTHETIC: Laptop allocation; Completed; asset G-AST-00310</t>
  </si>
  <si>
    <t>G-REQ-00701-E1</t>
  </si>
  <si>
    <t>G-REQ-02946</t>
  </si>
  <si>
    <t>G-REQ-00701-E2</t>
  </si>
  <si>
    <t>G-REQ-02947</t>
  </si>
  <si>
    <t>SYNTHETIC: Laptop repair; Approved; asset G-AST-00181</t>
  </si>
  <si>
    <t>G-REQ-00701-E3</t>
  </si>
  <si>
    <t>G-REQ-02948</t>
  </si>
  <si>
    <t>SYNTHETIC: Laptop repair; In progress; asset G-AST-00181</t>
  </si>
  <si>
    <t>G-REQ-02949</t>
  </si>
  <si>
    <t>G-REQ-00701-E4</t>
  </si>
  <si>
    <t>G-REQ-02950</t>
  </si>
  <si>
    <t>SYNTHETIC: Laptop repair; Completed; asset G-AST-00181</t>
  </si>
  <si>
    <t>G-REQ-00702-E1</t>
  </si>
  <si>
    <t>G-REQ-02951</t>
  </si>
  <si>
    <t>SYNTHETIC: Laptop allocation; Pending approval; asset G-AST-00311</t>
  </si>
  <si>
    <t>G-REQ-02952</t>
  </si>
  <si>
    <t>G-REQ-00702-E2</t>
  </si>
  <si>
    <t>G-REQ-02953</t>
  </si>
  <si>
    <t>SYNTHETIC: Laptop allocation; Approved; asset G-AST-00311</t>
  </si>
  <si>
    <t>G-REQ-00702-E3</t>
  </si>
  <si>
    <t>G-REQ-02954</t>
  </si>
  <si>
    <t>SYNTHETIC: Laptop allocation; In progress; asset G-AST-00311</t>
  </si>
  <si>
    <t>G-REQ-00702-E4</t>
  </si>
  <si>
    <t>G-REQ-02955</t>
  </si>
  <si>
    <t>SYNTHETIC: Laptop allocation; Completed; asset G-AST-00311</t>
  </si>
  <si>
    <t>G-REQ-02956</t>
  </si>
  <si>
    <t>G-REQ-00703-E1</t>
  </si>
  <si>
    <t>G-REQ-02957</t>
  </si>
  <si>
    <t>SYNTHETIC: Laptop return; Pending approval; asset G-AST-00241</t>
  </si>
  <si>
    <t>G-REQ-00703-E2</t>
  </si>
  <si>
    <t>G-REQ-02958</t>
  </si>
  <si>
    <t>SYNTHETIC: Laptop return; Approved; asset G-AST-00241</t>
  </si>
  <si>
    <t>G-REQ-02959</t>
  </si>
  <si>
    <t>G-REQ-00703-E3</t>
  </si>
  <si>
    <t>G-REQ-02960</t>
  </si>
  <si>
    <t>SYNTHETIC: Laptop return; In progress; asset G-AST-00241</t>
  </si>
  <si>
    <t>G-REQ-00703-E4</t>
  </si>
  <si>
    <t>G-REQ-02961</t>
  </si>
  <si>
    <t>SYNTHETIC: Laptop return; Completed; asset G-AST-00241</t>
  </si>
  <si>
    <t>G-REQ-00704-E1</t>
  </si>
  <si>
    <t>G-REQ-02962</t>
  </si>
  <si>
    <t>SYNTHETIC: Laptop return; Pending approval; asset G-AST-00087</t>
  </si>
  <si>
    <t>G-REQ-02963</t>
  </si>
  <si>
    <t>G-REQ-00704-E2</t>
  </si>
  <si>
    <t>G-REQ-02964</t>
  </si>
  <si>
    <t>SYNTHETIC: Laptop return; Approved; asset G-AST-00087</t>
  </si>
  <si>
    <t>G-REQ-00704-E3</t>
  </si>
  <si>
    <t>G-REQ-02965</t>
  </si>
  <si>
    <t>SYNTHETIC: Laptop return; In progress; asset G-AST-00087</t>
  </si>
  <si>
    <t>G-REQ-02966</t>
  </si>
  <si>
    <t>G-REQ-00704-E4</t>
  </si>
  <si>
    <t>G-REQ-02967</t>
  </si>
  <si>
    <t>SYNTHETIC: Laptop return; Completed; asset G-AST-00087</t>
  </si>
  <si>
    <t>G-REQ-00705-E1</t>
  </si>
  <si>
    <t>G-REQ-02968</t>
  </si>
  <si>
    <t>SYNTHETIC: Laptop return; Pending approval; asset G-AST-00230</t>
  </si>
  <si>
    <t>G-REQ-00705-E2</t>
  </si>
  <si>
    <t>G-REQ-02969</t>
  </si>
  <si>
    <t>SYNTHETIC: Laptop return; Approved; asset G-AST-00230</t>
  </si>
  <si>
    <t>G-REQ-00705-E3</t>
  </si>
  <si>
    <t>G-REQ-02970</t>
  </si>
  <si>
    <t>SYNTHETIC: Laptop return; In progress; asset G-AST-00230</t>
  </si>
  <si>
    <t>G-REQ-00705-E4</t>
  </si>
  <si>
    <t>G-REQ-02971</t>
  </si>
  <si>
    <t>SYNTHETIC: Laptop return; Completed; asset G-AST-00230</t>
  </si>
  <si>
    <t>G-REQ-00706-E1</t>
  </si>
  <si>
    <t>G-REQ-02972</t>
  </si>
  <si>
    <t>SYNTHETIC: Laptop allocation; Pending approval; asset G-AST-00312</t>
  </si>
  <si>
    <t>G-REQ-00706-E2</t>
  </si>
  <si>
    <t>G-REQ-02973</t>
  </si>
  <si>
    <t>SYNTHETIC: Laptop allocation; Approved; asset G-AST-00312</t>
  </si>
  <si>
    <t>G-REQ-00706-E3</t>
  </si>
  <si>
    <t>SYNTHETIC: Laptop allocation; In progress; asset G-AST-00312</t>
  </si>
  <si>
    <t>G-REQ-00706-E4</t>
  </si>
  <si>
    <t>G-REQ-02974</t>
  </si>
  <si>
    <t>SYNTHETIC: Laptop allocation; Completed; asset G-AST-00312</t>
  </si>
  <si>
    <t>G-REQ-00707-E1</t>
  </si>
  <si>
    <t>G-REQ-02975</t>
  </si>
  <si>
    <t>SYNTHETIC: Laptop repair; Pending approval; asset G-AST-00159</t>
  </si>
  <si>
    <t>G-REQ-00707-E2</t>
  </si>
  <si>
    <t>G-REQ-02976</t>
  </si>
  <si>
    <t>SYNTHETIC: Laptop repair; Approved; asset G-AST-00159</t>
  </si>
  <si>
    <t>G-REQ-00707-E3</t>
  </si>
  <si>
    <t>G-REQ-02977</t>
  </si>
  <si>
    <t>SYNTHETIC: Laptop repair; In progress; asset G-AST-00159</t>
  </si>
  <si>
    <t>G-REQ-00707-E4</t>
  </si>
  <si>
    <t>G-REQ-02978</t>
  </si>
  <si>
    <t>SYNTHETIC: Laptop repair; Completed; asset G-AST-00159</t>
  </si>
  <si>
    <t>G-REQ-02979</t>
  </si>
  <si>
    <t>G-REQ-00708-E1</t>
  </si>
  <si>
    <t>G-REQ-02980</t>
  </si>
  <si>
    <t>SYNTHETIC: Laptop return; Pending approval; asset G-AST-00273</t>
  </si>
  <si>
    <t>G-REQ-00708-E2</t>
  </si>
  <si>
    <t>G-REQ-02981</t>
  </si>
  <si>
    <t>SYNTHETIC: Laptop return; Cancelled; asset G-AST-00273</t>
  </si>
  <si>
    <t>G-REQ-00709-E1</t>
  </si>
  <si>
    <t>G-REQ-02982</t>
  </si>
  <si>
    <t>SYNTHETIC: Laptop repair; Pending approval; asset G-AST-00293</t>
  </si>
  <si>
    <t>G-REQ-00709-E2</t>
  </si>
  <si>
    <t>G-REQ-02983</t>
  </si>
  <si>
    <t>SYNTHETIC: Laptop repair; Approved; asset G-AST-00293</t>
  </si>
  <si>
    <t>G-REQ-00709-E3</t>
  </si>
  <si>
    <t>G-REQ-02984</t>
  </si>
  <si>
    <t>SYNTHETIC: Laptop repair; In progress; asset G-AST-00293</t>
  </si>
  <si>
    <t>G-REQ-00709-E4</t>
  </si>
  <si>
    <t>G-REQ-02985</t>
  </si>
  <si>
    <t>SYNTHETIC: Laptop repair; Completed; asset G-AST-00293</t>
  </si>
  <si>
    <t>G-REQ-00710-E1</t>
  </si>
  <si>
    <t>G-REQ-02986</t>
  </si>
  <si>
    <t>SYNTHETIC: Laptop return; Pending approval; asset G-AST-00086</t>
  </si>
  <si>
    <t>G-REQ-00710-E2</t>
  </si>
  <si>
    <t>SYNTHETIC: Laptop return; Cancelled; asset G-AST-00086</t>
  </si>
  <si>
    <t>G-REQ-02987</t>
  </si>
  <si>
    <t>G-REQ-00711-E1</t>
  </si>
  <si>
    <t>G-REQ-02988</t>
  </si>
  <si>
    <t>SYNTHETIC: Laptop allocation; Pending approval; asset G-AST-00313</t>
  </si>
  <si>
    <t>G-REQ-00711-E2</t>
  </si>
  <si>
    <t>G-REQ-02989</t>
  </si>
  <si>
    <t>SYNTHETIC: Laptop allocation; Approved; asset G-AST-00313</t>
  </si>
  <si>
    <t>G-REQ-00711-E3</t>
  </si>
  <si>
    <t>G-REQ-02990</t>
  </si>
  <si>
    <t>SYNTHETIC: Laptop allocation; In progress; asset G-AST-00313</t>
  </si>
  <si>
    <t>G-REQ-02991</t>
  </si>
  <si>
    <t>G-REQ-00711-E4</t>
  </si>
  <si>
    <t>G-REQ-02992</t>
  </si>
  <si>
    <t>SYNTHETIC: Laptop allocation; Completed; asset G-AST-00313</t>
  </si>
  <si>
    <t>G-REQ-00712-E1</t>
  </si>
  <si>
    <t>G-REQ-02993</t>
  </si>
  <si>
    <t>SYNTHETIC: Laptop allocation; Pending approval; asset G-AST-00314</t>
  </si>
  <si>
    <t>G-REQ-02994</t>
  </si>
  <si>
    <t>G-REQ-00712-E2</t>
  </si>
  <si>
    <t>G-REQ-02995</t>
  </si>
  <si>
    <t>SYNTHETIC: Laptop allocation; Approved; asset G-AST-00314</t>
  </si>
  <si>
    <t>G-REQ-00712-E3</t>
  </si>
  <si>
    <t>G-REQ-02996</t>
  </si>
  <si>
    <t>SYNTHETIC: Laptop allocation; In progress; asset G-AST-00314</t>
  </si>
  <si>
    <t>G-REQ-00712-E4</t>
  </si>
  <si>
    <t>G-REQ-02997</t>
  </si>
  <si>
    <t>G-REQ-02998</t>
  </si>
  <si>
    <t>SYNTHETIC: Laptop allocation; Completed; asset G-AST-00314</t>
  </si>
  <si>
    <t>G-REQ-00713-E1</t>
  </si>
  <si>
    <t>G-REQ-02999</t>
  </si>
  <si>
    <t>G-REQ-00713-E2</t>
  </si>
  <si>
    <t>G-REQ-03000</t>
  </si>
  <si>
    <t>SYNTHETIC: Laptop return; Approved; asset G-AST-00070</t>
  </si>
  <si>
    <t>G-REQ-00713-E3</t>
  </si>
  <si>
    <t>G-REQ-03001</t>
  </si>
  <si>
    <t>SYNTHETIC: Laptop return; In progress; asset G-AST-00070</t>
  </si>
  <si>
    <t>G-REQ-00713-E4</t>
  </si>
  <si>
    <t>SYNTHETIC: Laptop return; Completed; asset G-AST-00070</t>
  </si>
  <si>
    <t>G-REQ-03002</t>
  </si>
  <si>
    <t>G-REQ-00714-E1</t>
  </si>
  <si>
    <t>SYNTHETIC: Laptop allocation; Pending approval; asset G-AST-00315</t>
  </si>
  <si>
    <t>G-REQ-00714-E2</t>
  </si>
  <si>
    <t>G-REQ-03003</t>
  </si>
  <si>
    <t>SYNTHETIC: Laptop allocation; Approved; asset G-AST-00315</t>
  </si>
  <si>
    <t>G-REQ-00714-E3</t>
  </si>
  <si>
    <t>G-REQ-03004</t>
  </si>
  <si>
    <t>SYNTHETIC: Laptop allocation; In progress; asset G-AST-00315</t>
  </si>
  <si>
    <t>G-REQ-00714-E4</t>
  </si>
  <si>
    <t>G-REQ-03005</t>
  </si>
  <si>
    <t>SYNTHETIC: Laptop allocation; Completed; asset G-AST-00315</t>
  </si>
  <si>
    <t>G-REQ-00715-E1</t>
  </si>
  <si>
    <t>G-REQ-03006</t>
  </si>
  <si>
    <t>G-REQ-00715-E2</t>
  </si>
  <si>
    <t>G-REQ-00715-E3</t>
  </si>
  <si>
    <t>G-REQ-03007</t>
  </si>
  <si>
    <t>G-REQ-00715-E4</t>
  </si>
  <si>
    <t>G-REQ-03008</t>
  </si>
  <si>
    <t>G-REQ-03009</t>
  </si>
  <si>
    <t>G-REQ-00716-E1</t>
  </si>
  <si>
    <t>G-REQ-03010</t>
  </si>
  <si>
    <t>SYNTHETIC: Laptop allocation; Pending approval; asset G-AST-00316</t>
  </si>
  <si>
    <t>G-REQ-00716-E2</t>
  </si>
  <si>
    <t>G-REQ-03011</t>
  </si>
  <si>
    <t>G-REQ-03012</t>
  </si>
  <si>
    <t>SYNTHETIC: Laptop allocation; Approved; asset G-AST-00316</t>
  </si>
  <si>
    <t>G-REQ-00716-E3</t>
  </si>
  <si>
    <t>G-REQ-03013</t>
  </si>
  <si>
    <t>SYNTHETIC: Laptop allocation; In progress; asset G-AST-00316</t>
  </si>
  <si>
    <t>G-REQ-00716-E4</t>
  </si>
  <si>
    <t>G-REQ-03014</t>
  </si>
  <si>
    <t>G-REQ-03015</t>
  </si>
  <si>
    <t>SYNTHETIC: Laptop allocation; Completed; asset G-AST-00316</t>
  </si>
  <si>
    <t>G-REQ-00717-E1</t>
  </si>
  <si>
    <t>G-REQ-03016</t>
  </si>
  <si>
    <t>SYNTHETIC: Laptop repair; Pending approval; asset G-AST-00010</t>
  </si>
  <si>
    <t>G-REQ-00717-E2</t>
  </si>
  <si>
    <t>G-REQ-03017</t>
  </si>
  <si>
    <t>G-REQ-03018</t>
  </si>
  <si>
    <t>SYNTHETIC: Laptop repair; Approved; asset G-AST-00010</t>
  </si>
  <si>
    <t>G-REQ-00717-E3</t>
  </si>
  <si>
    <t>G-REQ-03019</t>
  </si>
  <si>
    <t>SYNTHETIC: Laptop repair; In progress; asset G-AST-00010</t>
  </si>
  <si>
    <t>G-REQ-00717-E4</t>
  </si>
  <si>
    <t>G-REQ-03020</t>
  </si>
  <si>
    <t>SYNTHETIC: Laptop repair; Completed; asset G-AST-00010</t>
  </si>
  <si>
    <t>G-REQ-03021</t>
  </si>
  <si>
    <t>G-REQ-00718-E1</t>
  </si>
  <si>
    <t>G-REQ-03022</t>
  </si>
  <si>
    <t>G-REQ-00718-E2</t>
  </si>
  <si>
    <t>G-REQ-03023</t>
  </si>
  <si>
    <t>G-REQ-03024</t>
  </si>
  <si>
    <t>G-REQ-00718-E3</t>
  </si>
  <si>
    <t>G-REQ-03025</t>
  </si>
  <si>
    <t>G-REQ-00718-E4</t>
  </si>
  <si>
    <t>G-REQ-03026</t>
  </si>
  <si>
    <t>G-REQ-03027</t>
  </si>
  <si>
    <t>G-REQ-00719-E1</t>
  </si>
  <si>
    <t>SYNTHETIC: Laptop return; Pending approval; asset G-AST-00180</t>
  </si>
  <si>
    <t>G-REQ-03028</t>
  </si>
  <si>
    <t>G-REQ-00719-E2</t>
  </si>
  <si>
    <t>SYNTHETIC: Laptop return; Rejected; asset G-AST-00180</t>
  </si>
  <si>
    <t>G-REQ-00720-E1</t>
  </si>
  <si>
    <t>G-REQ-03029</t>
  </si>
  <si>
    <t>SYNTHETIC: Laptop allocation; Pending approval; asset G-AST-00317</t>
  </si>
  <si>
    <t>G-REQ-00720-E2</t>
  </si>
  <si>
    <t>G-REQ-03030</t>
  </si>
  <si>
    <t>SYNTHETIC: Laptop allocation; Approved; asset G-AST-00317</t>
  </si>
  <si>
    <t>G-REQ-00720-E3</t>
  </si>
  <si>
    <t>G-REQ-03031</t>
  </si>
  <si>
    <t>SYNTHETIC: Laptop allocation; In progress; asset G-AST-00317</t>
  </si>
  <si>
    <t>G-REQ-00720-E4</t>
  </si>
  <si>
    <t>G-REQ-03032</t>
  </si>
  <si>
    <t>SYNTHETIC: Laptop allocation; Completed; asset G-AST-00317</t>
  </si>
  <si>
    <t>G-REQ-00721-E1</t>
  </si>
  <si>
    <t>G-REQ-03033</t>
  </si>
  <si>
    <t>SYNTHETIC: Laptop repair; Pending approval; asset G-AST-00212</t>
  </si>
  <si>
    <t>G-REQ-00721-E2</t>
  </si>
  <si>
    <t>G-REQ-03034</t>
  </si>
  <si>
    <t>SYNTHETIC: Laptop repair; Approved; asset G-AST-00212</t>
  </si>
  <si>
    <t>G-REQ-00721-E3</t>
  </si>
  <si>
    <t>SYNTHETIC: Laptop repair; In progress; asset G-AST-00212</t>
  </si>
  <si>
    <t>G-REQ-00721-E4</t>
  </si>
  <si>
    <t>G-REQ-03035</t>
  </si>
  <si>
    <t>SYNTHETIC: Laptop repair; Completed; asset G-AST-00212</t>
  </si>
  <si>
    <t>G-REQ-00722-E1</t>
  </si>
  <si>
    <t>G-REQ-03036</t>
  </si>
  <si>
    <t>G-REQ-00722-E2</t>
  </si>
  <si>
    <t>G-REQ-03037</t>
  </si>
  <si>
    <t>G-REQ-00723-E1</t>
  </si>
  <si>
    <t>G-REQ-03038</t>
  </si>
  <si>
    <t>SYNTHETIC: Laptop return; Pending approval; asset G-AST-00208</t>
  </si>
  <si>
    <t>G-REQ-03039</t>
  </si>
  <si>
    <t>G-REQ-00723-E2</t>
  </si>
  <si>
    <t>SYNTHETIC: Laptop return; Approved; asset G-AST-00208</t>
  </si>
  <si>
    <t>G-REQ-00723-E3</t>
  </si>
  <si>
    <t>G-REQ-03040</t>
  </si>
  <si>
    <t>SYNTHETIC: Laptop return; In progress; asset G-AST-00208</t>
  </si>
  <si>
    <t>G-REQ-00723-E4</t>
  </si>
  <si>
    <t>G-REQ-03041</t>
  </si>
  <si>
    <t>SYNTHETIC: Laptop return; Completed; asset G-AST-00208</t>
  </si>
  <si>
    <t>G-REQ-00724-E1</t>
  </si>
  <si>
    <t>G-REQ-03042</t>
  </si>
  <si>
    <t>SYNTHETIC: Laptop repair; Pending approval; asset G-AST-00261</t>
  </si>
  <si>
    <t>G-REQ-00724-E2</t>
  </si>
  <si>
    <t>G-REQ-03043</t>
  </si>
  <si>
    <t>SYNTHETIC: Laptop repair; Approved; asset G-AST-00261</t>
  </si>
  <si>
    <t>G-REQ-00724-E3</t>
  </si>
  <si>
    <t>G-REQ-03044</t>
  </si>
  <si>
    <t>SYNTHETIC: Laptop repair; In progress; asset G-AST-00261</t>
  </si>
  <si>
    <t>G-REQ-00724-E4</t>
  </si>
  <si>
    <t>G-REQ-03045</t>
  </si>
  <si>
    <t>SYNTHETIC: Laptop repair; Completed; asset G-AST-00261</t>
  </si>
  <si>
    <t>G-REQ-00725-E1</t>
  </si>
  <si>
    <t>G-REQ-03046</t>
  </si>
  <si>
    <t>SYNTHETIC: Laptop return; Pending approval; asset G-AST-00303</t>
  </si>
  <si>
    <t>G-REQ-00725-E2</t>
  </si>
  <si>
    <t>G-REQ-03047</t>
  </si>
  <si>
    <t>SYNTHETIC: Laptop return; Approved; asset G-AST-00303</t>
  </si>
  <si>
    <t>G-REQ-00725-E3</t>
  </si>
  <si>
    <t>SYNTHETIC: Laptop return; In progress; asset G-AST-00303</t>
  </si>
  <si>
    <t>G-REQ-03048</t>
  </si>
  <si>
    <t>G-REQ-00725-E4</t>
  </si>
  <si>
    <t>SYNTHETIC: Laptop return; Completed; asset G-AST-00303</t>
  </si>
  <si>
    <t>G-REQ-00726-E1</t>
  </si>
  <si>
    <t>G-REQ-03049</t>
  </si>
  <si>
    <t>SYNTHETIC: Laptop repair; Pending approval; asset G-AST-00276</t>
  </si>
  <si>
    <t>G-REQ-00726-E2</t>
  </si>
  <si>
    <t>G-REQ-03050</t>
  </si>
  <si>
    <t>SYNTHETIC: Laptop repair; Approved; asset G-AST-00276</t>
  </si>
  <si>
    <t>G-REQ-00726-E3</t>
  </si>
  <si>
    <t>SYNTHETIC: Laptop repair; In progress; asset G-AST-00276</t>
  </si>
  <si>
    <t>G-REQ-00726-E4</t>
  </si>
  <si>
    <t>G-REQ-03051</t>
  </si>
  <si>
    <t>SYNTHETIC: Laptop repair; Completed; asset G-AST-00276</t>
  </si>
  <si>
    <t>G-REQ-03052</t>
  </si>
  <si>
    <t>G-REQ-00727-E1</t>
  </si>
  <si>
    <t>SYNTHETIC: Laptop repair; Pending approval; asset G-AST-00289</t>
  </si>
  <si>
    <t>G-REQ-00727-E2</t>
  </si>
  <si>
    <t>G-REQ-03053</t>
  </si>
  <si>
    <t>SYNTHETIC: Laptop repair; Approved; asset G-AST-00289</t>
  </si>
  <si>
    <t>G-REQ-00727-E3</t>
  </si>
  <si>
    <t>G-REQ-03054</t>
  </si>
  <si>
    <t>SYNTHETIC: Laptop repair; In progress; asset G-AST-00289</t>
  </si>
  <si>
    <t>G-REQ-00727-E4</t>
  </si>
  <si>
    <t>G-REQ-03055</t>
  </si>
  <si>
    <t>SYNTHETIC: Laptop repair; Completed; asset G-AST-00289</t>
  </si>
  <si>
    <t>G-REQ-00728-E1</t>
  </si>
  <si>
    <t>G-REQ-03056</t>
  </si>
  <si>
    <t>SYNTHETIC: Laptop return; Pending approval; asset G-AST-00069</t>
  </si>
  <si>
    <t>G-REQ-00728-E2</t>
  </si>
  <si>
    <t>SYNTHETIC: Laptop return; Approved; asset G-AST-00069</t>
  </si>
  <si>
    <t>G-REQ-03057</t>
  </si>
  <si>
    <t>G-REQ-00728-E3</t>
  </si>
  <si>
    <t>SYNTHETIC: Laptop return; In progress; asset G-AST-00069</t>
  </si>
  <si>
    <t>G-REQ-00728-E4</t>
  </si>
  <si>
    <t>G-REQ-03058</t>
  </si>
  <si>
    <t>SYNTHETIC: Laptop return; Completed; asset G-AST-00069</t>
  </si>
  <si>
    <t>G-REQ-00729-E1</t>
  </si>
  <si>
    <t>G-REQ-03059</t>
  </si>
  <si>
    <t>G-REQ-00729-E2</t>
  </si>
  <si>
    <t>G-REQ-03060</t>
  </si>
  <si>
    <t>G-REQ-00730-E1</t>
  </si>
  <si>
    <t>G-REQ-03061</t>
  </si>
  <si>
    <t>SYNTHETIC: Laptop return; Pending approval; asset G-AST-00134</t>
  </si>
  <si>
    <t>G-REQ-03062</t>
  </si>
  <si>
    <t>G-REQ-00730-E2</t>
  </si>
  <si>
    <t>G-REQ-03063</t>
  </si>
  <si>
    <t>SYNTHETIC: Laptop return; Approved; asset G-AST-00134</t>
  </si>
  <si>
    <t>G-REQ-00730-E3</t>
  </si>
  <si>
    <t>G-REQ-03064</t>
  </si>
  <si>
    <t>SYNTHETIC: Laptop return; In progress; asset G-AST-00134</t>
  </si>
  <si>
    <t>G-REQ-03065</t>
  </si>
  <si>
    <t>G-REQ-00730-E4</t>
  </si>
  <si>
    <t>G-REQ-03066</t>
  </si>
  <si>
    <t>SYNTHETIC: Laptop return; Completed; asset G-AST-00134</t>
  </si>
  <si>
    <t>G-REQ-00731-E1</t>
  </si>
  <si>
    <t>G-REQ-03067</t>
  </si>
  <si>
    <t>G-REQ-03068</t>
  </si>
  <si>
    <t>G-REQ-00731-E2</t>
  </si>
  <si>
    <t>G-REQ-03069</t>
  </si>
  <si>
    <t>G-REQ-00731-E3</t>
  </si>
  <si>
    <t>G-REQ-03070</t>
  </si>
  <si>
    <t>G-REQ-00731-E4</t>
  </si>
  <si>
    <t>G-REQ-03071</t>
  </si>
  <si>
    <t>G-REQ-03072</t>
  </si>
  <si>
    <t>G-REQ-00732-E1</t>
  </si>
  <si>
    <t>G-REQ-03073</t>
  </si>
  <si>
    <t>SYNTHETIC: Laptop allocation; Pending approval; asset G-AST-00318</t>
  </si>
  <si>
    <t>G-REQ-00732-E2</t>
  </si>
  <si>
    <t>G-REQ-03074</t>
  </si>
  <si>
    <t>SYNTHETIC: Laptop allocation; Approved; asset G-AST-00318</t>
  </si>
  <si>
    <t>G-REQ-00732-E3</t>
  </si>
  <si>
    <t>G-REQ-03075</t>
  </si>
  <si>
    <t>SYNTHETIC: Laptop allocation; In progress; asset G-AST-00318</t>
  </si>
  <si>
    <t>G-REQ-00732-E4</t>
  </si>
  <si>
    <t>G-REQ-03076</t>
  </si>
  <si>
    <t>SYNTHETIC: Laptop allocation; Completed; asset G-AST-00318</t>
  </si>
  <si>
    <t>G-REQ-00733-E1</t>
  </si>
  <si>
    <t>G-REQ-03077</t>
  </si>
  <si>
    <t>SYNTHETIC: Laptop repair; Pending approval; asset G-AST-00173</t>
  </si>
  <si>
    <t>G-REQ-00733-E2</t>
  </si>
  <si>
    <t>SYNTHETIC: Laptop repair; Approved; asset G-AST-00173</t>
  </si>
  <si>
    <t>G-REQ-03078</t>
  </si>
  <si>
    <t>G-REQ-00733-E3</t>
  </si>
  <si>
    <t>SYNTHETIC: Laptop repair; In progress; asset G-AST-00173</t>
  </si>
  <si>
    <t>G-REQ-03079</t>
  </si>
  <si>
    <t>G-REQ-00733-E4</t>
  </si>
  <si>
    <t>SYNTHETIC: Laptop repair; Completed; asset G-AST-00173</t>
  </si>
  <si>
    <t>G-REQ-03080</t>
  </si>
  <si>
    <t>G-REQ-00734-E1</t>
  </si>
  <si>
    <t>G-REQ-03081</t>
  </si>
  <si>
    <t>G-REQ-00734-E2</t>
  </si>
  <si>
    <t>G-REQ-00735-E1</t>
  </si>
  <si>
    <t>G-REQ-03082</t>
  </si>
  <si>
    <t>SYNTHETIC: Laptop return; Pending approval; asset G-AST-00249</t>
  </si>
  <si>
    <t>G-REQ-00735-E2</t>
  </si>
  <si>
    <t>G-REQ-03083</t>
  </si>
  <si>
    <t>SYNTHETIC: Laptop return; Approved; asset G-AST-00249</t>
  </si>
  <si>
    <t>G-REQ-00735-E3</t>
  </si>
  <si>
    <t>G-REQ-03084</t>
  </si>
  <si>
    <t>SYNTHETIC: Laptop return; In progress; asset G-AST-00249</t>
  </si>
  <si>
    <t>G-REQ-00735-E4</t>
  </si>
  <si>
    <t>G-REQ-03085</t>
  </si>
  <si>
    <t>SYNTHETIC: Laptop return; Completed; asset G-AST-00249</t>
  </si>
  <si>
    <t>G-REQ-00736-E1</t>
  </si>
  <si>
    <t>G-REQ-03086</t>
  </si>
  <si>
    <t>SYNTHETIC: Laptop return; Pending approval; asset G-AST-00215</t>
  </si>
  <si>
    <t>G-REQ-00736-E2</t>
  </si>
  <si>
    <t>SYNTHETIC: Laptop return; Approved; asset G-AST-00215</t>
  </si>
  <si>
    <t>G-REQ-03087</t>
  </si>
  <si>
    <t>G-REQ-00736-E3</t>
  </si>
  <si>
    <t>SYNTHETIC: Laptop return; In progress; asset G-AST-00215</t>
  </si>
  <si>
    <t>G-REQ-00736-E4</t>
  </si>
  <si>
    <t>G-REQ-03088</t>
  </si>
  <si>
    <t>SYNTHETIC: Laptop return; Completed; asset G-AST-00215</t>
  </si>
  <si>
    <t>G-REQ-00737-E1</t>
  </si>
  <si>
    <t>G-REQ-03089</t>
  </si>
  <si>
    <t>G-REQ-00737-E2</t>
  </si>
  <si>
    <t>G-REQ-03090</t>
  </si>
  <si>
    <t>SYNTHETIC: Laptop return; Approved; asset G-AST-00108</t>
  </si>
  <si>
    <t>G-REQ-00737-E3</t>
  </si>
  <si>
    <t>SYNTHETIC: Laptop return; In progress; asset G-AST-00108</t>
  </si>
  <si>
    <t>G-REQ-00737-E4</t>
  </si>
  <si>
    <t>G-REQ-03091</t>
  </si>
  <si>
    <t>SYNTHETIC: Laptop return; Completed; asset G-AST-00108</t>
  </si>
  <si>
    <t>G-REQ-00738-E1</t>
  </si>
  <si>
    <t>G-REQ-03092</t>
  </si>
  <si>
    <t>G-REQ-00738-E2</t>
  </si>
  <si>
    <t>G-REQ-03093</t>
  </si>
  <si>
    <t>G-REQ-00739-E1</t>
  </si>
  <si>
    <t>G-REQ-03094</t>
  </si>
  <si>
    <t>SYNTHETIC: Laptop repair; Pending approval; asset G-AST-00075</t>
  </si>
  <si>
    <t>G-REQ-00739-E2</t>
  </si>
  <si>
    <t>G-REQ-03095</t>
  </si>
  <si>
    <t>SYNTHETIC: Laptop repair; Approved; asset G-AST-00075</t>
  </si>
  <si>
    <t>G-REQ-00739-E3</t>
  </si>
  <si>
    <t>G-REQ-03096</t>
  </si>
  <si>
    <t>SYNTHETIC: Laptop repair; In progress; asset G-AST-00075</t>
  </si>
  <si>
    <t>G-REQ-00739-E4</t>
  </si>
  <si>
    <t>SYNTHETIC: Laptop repair; Completed; asset G-AST-00075</t>
  </si>
  <si>
    <t>G-REQ-03097</t>
  </si>
  <si>
    <t>G-REQ-00740-E1</t>
  </si>
  <si>
    <t>G-REQ-03098</t>
  </si>
  <si>
    <t>G-REQ-00740-E2</t>
  </si>
  <si>
    <t>G-REQ-00740-E3</t>
  </si>
  <si>
    <t>G-REQ-03099</t>
  </si>
  <si>
    <t>G-REQ-00740-E4</t>
  </si>
  <si>
    <t>G-REQ-03100</t>
  </si>
  <si>
    <t>G-REQ-03101</t>
  </si>
  <si>
    <t>G-REQ-00741-E1</t>
  </si>
  <si>
    <t>G-REQ-03102</t>
  </si>
  <si>
    <t>G-REQ-00741-E2</t>
  </si>
  <si>
    <t>G-REQ-03103</t>
  </si>
  <si>
    <t>G-REQ-03104</t>
  </si>
  <si>
    <t>G-REQ-00741-E3</t>
  </si>
  <si>
    <t>G-REQ-03105</t>
  </si>
  <si>
    <t>G-REQ-00741-E4</t>
  </si>
  <si>
    <t>G-REQ-03106</t>
  </si>
  <si>
    <t>G-REQ-00742-E1</t>
  </si>
  <si>
    <t>SYNTHETIC: Laptop allocation; Pending approval; asset G-AST-00319</t>
  </si>
  <si>
    <t>G-REQ-00742-E2</t>
  </si>
  <si>
    <t>G-REQ-03107</t>
  </si>
  <si>
    <t>SYNTHETIC: Laptop allocation; Approved; asset G-AST-00319</t>
  </si>
  <si>
    <t>G-REQ-00742-E3</t>
  </si>
  <si>
    <t>SYNTHETIC: Laptop allocation; In progress; asset G-AST-00319</t>
  </si>
  <si>
    <t>G-REQ-03108</t>
  </si>
  <si>
    <t>G-REQ-00742-E4</t>
  </si>
  <si>
    <t>SYNTHETIC: Laptop allocation; Completed; asset G-AST-00319</t>
  </si>
  <si>
    <t>G-REQ-00743-E1</t>
  </si>
  <si>
    <t>G-REQ-03109</t>
  </si>
  <si>
    <t>G-REQ-00743-E2</t>
  </si>
  <si>
    <t>G-REQ-03110</t>
  </si>
  <si>
    <t>G-REQ-00743-E3</t>
  </si>
  <si>
    <t>G-REQ-03111</t>
  </si>
  <si>
    <t>G-REQ-00743-E4</t>
  </si>
  <si>
    <t>G-REQ-03112</t>
  </si>
  <si>
    <t>G-REQ-00744-E1</t>
  </si>
  <si>
    <t>SYNTHETIC: Laptop return; Pending approval; asset G-AST-00248</t>
  </si>
  <si>
    <t>G-REQ-00744-E2</t>
  </si>
  <si>
    <t>G-REQ-03113</t>
  </si>
  <si>
    <t>SYNTHETIC: Laptop return; Approved; asset G-AST-00248</t>
  </si>
  <si>
    <t>G-REQ-00744-E3</t>
  </si>
  <si>
    <t>G-REQ-03114</t>
  </si>
  <si>
    <t>SYNTHETIC: Laptop return; In progress; asset G-AST-00248</t>
  </si>
  <si>
    <t>G-REQ-00744-E4</t>
  </si>
  <si>
    <t>G-REQ-03115</t>
  </si>
  <si>
    <t>SYNTHETIC: Laptop return; Completed; asset G-AST-00248</t>
  </si>
  <si>
    <t>G-REQ-00745-E1</t>
  </si>
  <si>
    <t>G-REQ-03116</t>
  </si>
  <si>
    <t>SYNTHETIC: Laptop return; Pending approval; asset G-AST-00280</t>
  </si>
  <si>
    <t>G-REQ-00745-E2</t>
  </si>
  <si>
    <t>SYNTHETIC: Laptop return; Approved; asset G-AST-00280</t>
  </si>
  <si>
    <t>G-REQ-03117</t>
  </si>
  <si>
    <t>G-REQ-00745-E3</t>
  </si>
  <si>
    <t>SYNTHETIC: Laptop return; In progress; asset G-AST-00280</t>
  </si>
  <si>
    <t>G-REQ-00745-E4</t>
  </si>
  <si>
    <t>G-REQ-03118</t>
  </si>
  <si>
    <t>SYNTHETIC: Laptop return; Completed; asset G-AST-00280</t>
  </si>
  <si>
    <t>G-REQ-00746-E1</t>
  </si>
  <si>
    <t>G-REQ-03119</t>
  </si>
  <si>
    <t>SYNTHETIC: Laptop allocation; Pending approval; asset G-AST-00320</t>
  </si>
  <si>
    <t>G-REQ-00746-E2</t>
  </si>
  <si>
    <t>G-REQ-03120</t>
  </si>
  <si>
    <t>SYNTHETIC: Laptop allocation; Approved; asset G-AST-00320</t>
  </si>
  <si>
    <t>G-REQ-00746-E3</t>
  </si>
  <si>
    <t>SYNTHETIC: Laptop allocation; In progress; asset G-AST-00320</t>
  </si>
  <si>
    <t>G-REQ-03121</t>
  </si>
  <si>
    <t>G-REQ-00746-E4</t>
  </si>
  <si>
    <t>SYNTHETIC: Laptop allocation; Completed; asset G-AST-00320</t>
  </si>
  <si>
    <t>G-REQ-00747-E1</t>
  </si>
  <si>
    <t>G-REQ-03122</t>
  </si>
  <si>
    <t>SYNTHETIC: Laptop return; Pending approval; asset G-AST-00182</t>
  </si>
  <si>
    <t>G-REQ-00747-E2</t>
  </si>
  <si>
    <t>G-REQ-03123</t>
  </si>
  <si>
    <t>SYNTHETIC: Laptop return; Approved; asset G-AST-00182</t>
  </si>
  <si>
    <t>G-REQ-00747-E3</t>
  </si>
  <si>
    <t>G-REQ-03124</t>
  </si>
  <si>
    <t>SYNTHETIC: Laptop return; In progress; asset G-AST-00182</t>
  </si>
  <si>
    <t>G-REQ-00747-E4</t>
  </si>
  <si>
    <t>SYNTHETIC: Laptop return; Completed; asset G-AST-00182</t>
  </si>
  <si>
    <t>G-REQ-03125</t>
  </si>
  <si>
    <t>G-REQ-00748-E1</t>
  </si>
  <si>
    <t>SYNTHETIC: Laptop repair; Pending approval; asset G-AST-00214</t>
  </si>
  <si>
    <t>G-REQ-00748-E2</t>
  </si>
  <si>
    <t>G-REQ-03126</t>
  </si>
  <si>
    <t>SYNTHETIC: Laptop repair; Approved; asset G-AST-00214</t>
  </si>
  <si>
    <t>G-REQ-00748-E3</t>
  </si>
  <si>
    <t>G-REQ-03127</t>
  </si>
  <si>
    <t>SYNTHETIC: Laptop repair; In progress; asset G-AST-00214</t>
  </si>
  <si>
    <t>G-REQ-00748-E4</t>
  </si>
  <si>
    <t>G-REQ-03128</t>
  </si>
  <si>
    <t>SYNTHETIC: Laptop repair; Completed; asset G-AST-00214</t>
  </si>
  <si>
    <t>G-REQ-00749-E1</t>
  </si>
  <si>
    <t>G-REQ-03129</t>
  </si>
  <si>
    <t>SYNTHETIC: Laptop allocation; Pending approval; asset G-AST-00321</t>
  </si>
  <si>
    <t>G-REQ-00749-E2</t>
  </si>
  <si>
    <t>SYNTHETIC: Laptop allocation; Approved; asset G-AST-00321</t>
  </si>
  <si>
    <t>G-REQ-00749-E3</t>
  </si>
  <si>
    <t>G-REQ-03130</t>
  </si>
  <si>
    <t>SYNTHETIC: Laptop allocation; In progress; asset G-AST-00321</t>
  </si>
  <si>
    <t>G-REQ-00749-E4</t>
  </si>
  <si>
    <t>G-REQ-03131</t>
  </si>
  <si>
    <t>SYNTHETIC: Laptop allocation; Completed; asset G-AST-00321</t>
  </si>
  <si>
    <t>G-REQ-00750-E1</t>
  </si>
  <si>
    <t>G-REQ-03132</t>
  </si>
  <si>
    <t>G-REQ-00750-E2</t>
  </si>
  <si>
    <t>G-REQ-00751-E1</t>
  </si>
  <si>
    <t>G-REQ-03133</t>
  </si>
  <si>
    <t>SYNTHETIC: Laptop repair; Pending approval; asset G-AST-00314</t>
  </si>
  <si>
    <t>G-REQ-00751-E2</t>
  </si>
  <si>
    <t>G-REQ-03134</t>
  </si>
  <si>
    <t>SYNTHETIC: Laptop repair; Rejected; asset G-AST-00314</t>
  </si>
  <si>
    <t>G-REQ-00752-E1</t>
  </si>
  <si>
    <t>G-REQ-03135</t>
  </si>
  <si>
    <t>G-REQ-00752-E2</t>
  </si>
  <si>
    <t>G-REQ-03136</t>
  </si>
  <si>
    <t>SYNTHETIC: Laptop return; Approved; asset G-AST-00180</t>
  </si>
  <si>
    <t>G-REQ-00752-E3</t>
  </si>
  <si>
    <t>G-REQ-03137</t>
  </si>
  <si>
    <t>SYNTHETIC: Laptop return; In progress; asset G-AST-00180</t>
  </si>
  <si>
    <t>G-REQ-00752-E4</t>
  </si>
  <si>
    <t>SYNTHETIC: Laptop return; Completed; asset G-AST-00180</t>
  </si>
  <si>
    <t>G-REQ-00753-E1</t>
  </si>
  <si>
    <t>G-REQ-03138</t>
  </si>
  <si>
    <t>SYNTHETIC: Laptop repair; Pending approval; asset G-AST-00311</t>
  </si>
  <si>
    <t>G-REQ-00753-E2</t>
  </si>
  <si>
    <t>G-REQ-03139</t>
  </si>
  <si>
    <t>SYNTHETIC: Laptop repair; Approved; asset G-AST-00311</t>
  </si>
  <si>
    <t>G-REQ-00753-E3</t>
  </si>
  <si>
    <t>G-REQ-03140</t>
  </si>
  <si>
    <t>SYNTHETIC: Laptop repair; In progress; asset G-AST-00311</t>
  </si>
  <si>
    <t>G-REQ-00753-E4</t>
  </si>
  <si>
    <t>SYNTHETIC: Laptop repair; Completed; asset G-AST-00311</t>
  </si>
  <si>
    <t>G-REQ-03141</t>
  </si>
  <si>
    <t>G-REQ-00754-E1</t>
  </si>
  <si>
    <t>SYNTHETIC: Laptop repair; Pending approval; asset G-AST-00295</t>
  </si>
  <si>
    <t>G-REQ-00754-E2</t>
  </si>
  <si>
    <t>G-REQ-03142</t>
  </si>
  <si>
    <t>SYNTHETIC: Laptop repair; Approved; asset G-AST-00295</t>
  </si>
  <si>
    <t>G-REQ-00754-E3</t>
  </si>
  <si>
    <t>G-REQ-03143</t>
  </si>
  <si>
    <t>SYNTHETIC: Laptop repair; In progress; asset G-AST-00295</t>
  </si>
  <si>
    <t>G-REQ-00754-E4</t>
  </si>
  <si>
    <t>G-REQ-03144</t>
  </si>
  <si>
    <t>SYNTHETIC: Laptop repair; Completed; asset G-AST-00295</t>
  </si>
  <si>
    <t>G-REQ-00755-E1</t>
  </si>
  <si>
    <t>G-REQ-03145</t>
  </si>
  <si>
    <t>SYNTHETIC: Laptop repair; Pending approval; asset G-AST-00008</t>
  </si>
  <si>
    <t>G-REQ-00755-E2</t>
  </si>
  <si>
    <t>SYNTHETIC: Laptop repair; Approved; asset G-AST-00008</t>
  </si>
  <si>
    <t>G-REQ-03146</t>
  </si>
  <si>
    <t>G-REQ-00755-E3</t>
  </si>
  <si>
    <t>SYNTHETIC: Laptop repair; In progress; asset G-AST-00008</t>
  </si>
  <si>
    <t>G-REQ-00755-E4</t>
  </si>
  <si>
    <t>G-REQ-03147</t>
  </si>
  <si>
    <t>SYNTHETIC: Laptop repair; Completed; asset G-AST-00008</t>
  </si>
  <si>
    <t>G-REQ-00756-E1</t>
  </si>
  <si>
    <t>G-REQ-03148</t>
  </si>
  <si>
    <t>SYNTHETIC: Laptop allocation; Pending approval; asset G-AST-00322</t>
  </si>
  <si>
    <t>G-REQ-00756-E2</t>
  </si>
  <si>
    <t>G-REQ-03149</t>
  </si>
  <si>
    <t>SYNTHETIC: Laptop allocation; Approved; asset G-AST-00322</t>
  </si>
  <si>
    <t>G-REQ-00756-E3</t>
  </si>
  <si>
    <t>SYNTHETIC: Laptop allocation; In progress; asset G-AST-00322</t>
  </si>
  <si>
    <t>G-REQ-03150</t>
  </si>
  <si>
    <t>G-REQ-00756-E4</t>
  </si>
  <si>
    <t>SYNTHETIC: Laptop allocation; Completed; asset G-AST-00322</t>
  </si>
  <si>
    <t>G-REQ-00757-E1</t>
  </si>
  <si>
    <t>G-REQ-03151</t>
  </si>
  <si>
    <t>SYNTHETIC: Laptop repair; Pending approval; asset G-AST-00282</t>
  </si>
  <si>
    <t>G-REQ-00757-E2</t>
  </si>
  <si>
    <t>G-REQ-03152</t>
  </si>
  <si>
    <t>SYNTHETIC: Laptop repair; Approved; asset G-AST-00282</t>
  </si>
  <si>
    <t>G-REQ-00757-E3</t>
  </si>
  <si>
    <t>G-REQ-03153</t>
  </si>
  <si>
    <t>SYNTHETIC: Laptop repair; In progress; asset G-AST-00282</t>
  </si>
  <si>
    <t>G-REQ-00757-E4</t>
  </si>
  <si>
    <t>SYNTHETIC: Laptop repair; Completed; asset G-AST-00282</t>
  </si>
  <si>
    <t>G-REQ-00758-E1</t>
  </si>
  <si>
    <t>G-REQ-03154</t>
  </si>
  <si>
    <t>G-REQ-00758-E2</t>
  </si>
  <si>
    <t>G-REQ-03155</t>
  </si>
  <si>
    <t>SYNTHETIC: Laptop repair; Rejected; asset G-AST-00035</t>
  </si>
  <si>
    <t>G-REQ-00759-E1</t>
  </si>
  <si>
    <t>G-REQ-03156</t>
  </si>
  <si>
    <t>SYNTHETIC: Laptop return; Pending approval; asset G-AST-00302</t>
  </si>
  <si>
    <t>G-REQ-00759-E2</t>
  </si>
  <si>
    <t>G-REQ-03157</t>
  </si>
  <si>
    <t>SYNTHETIC: Laptop return; Approved; asset G-AST-00302</t>
  </si>
  <si>
    <t>G-REQ-00759-E3</t>
  </si>
  <si>
    <t>G-REQ-03158</t>
  </si>
  <si>
    <t>SYNTHETIC: Laptop return; In progress; asset G-AST-00302</t>
  </si>
  <si>
    <t>G-REQ-00759-E4</t>
  </si>
  <si>
    <t>G-REQ-03159</t>
  </si>
  <si>
    <t>SYNTHETIC: Laptop return; Completed; asset G-AST-00302</t>
  </si>
  <si>
    <t>G-REQ-00760-E1</t>
  </si>
  <si>
    <t>G-REQ-03160</t>
  </si>
  <si>
    <t>SYNTHETIC: Laptop allocation; Pending approval; asset G-AST-00323</t>
  </si>
  <si>
    <t>G-REQ-00760-E2</t>
  </si>
  <si>
    <t>G-REQ-03161</t>
  </si>
  <si>
    <t>SYNTHETIC: Laptop allocation; Approved; asset G-AST-00323</t>
  </si>
  <si>
    <t>G-REQ-00760-E3</t>
  </si>
  <si>
    <t>G-REQ-03162</t>
  </si>
  <si>
    <t>SYNTHETIC: Laptop allocation; In progress; asset G-AST-00323</t>
  </si>
  <si>
    <t>G-REQ-00760-E4</t>
  </si>
  <si>
    <t>G-REQ-03163</t>
  </si>
  <si>
    <t>SYNTHETIC: Laptop allocation; Completed; asset G-AST-00323</t>
  </si>
  <si>
    <t>G-REQ-00761-E1</t>
  </si>
  <si>
    <t>G-REQ-03164</t>
  </si>
  <si>
    <t>G-REQ-00761-E2</t>
  </si>
  <si>
    <t>G-REQ-03165</t>
  </si>
  <si>
    <t>G-REQ-00762-E1</t>
  </si>
  <si>
    <t>G-REQ-03166</t>
  </si>
  <si>
    <t>SYNTHETIC: Laptop allocation; Pending approval; asset G-AST-00324</t>
  </si>
  <si>
    <t>G-REQ-00762-E2</t>
  </si>
  <si>
    <t>G-REQ-03167</t>
  </si>
  <si>
    <t>SYNTHETIC: Laptop allocation; Approved; asset G-AST-00324</t>
  </si>
  <si>
    <t>G-REQ-00762-E3</t>
  </si>
  <si>
    <t>G-REQ-03168</t>
  </si>
  <si>
    <t>SYNTHETIC: Laptop allocation; In progress; asset G-AST-00324</t>
  </si>
  <si>
    <t>G-REQ-00762-E4</t>
  </si>
  <si>
    <t>G-REQ-03169</t>
  </si>
  <si>
    <t>SYNTHETIC: Laptop allocation; Completed; asset G-AST-00324</t>
  </si>
  <si>
    <t>G-REQ-00763-E1</t>
  </si>
  <si>
    <t>G-REQ-03170</t>
  </si>
  <si>
    <t>SYNTHETIC: Laptop allocation; Pending approval; asset G-AST-00325</t>
  </si>
  <si>
    <t>G-REQ-00763-E2</t>
  </si>
  <si>
    <t>SYNTHETIC: Laptop allocation; Approved; asset G-AST-00325</t>
  </si>
  <si>
    <t>G-REQ-00763-E3</t>
  </si>
  <si>
    <t>G-REQ-03171</t>
  </si>
  <si>
    <t>SYNTHETIC: Laptop allocation; In progress; asset G-AST-00325</t>
  </si>
  <si>
    <t>G-REQ-00763-E4</t>
  </si>
  <si>
    <t>G-REQ-03172</t>
  </si>
  <si>
    <t>SYNTHETIC: Laptop allocation; Completed; asset G-AST-00325</t>
  </si>
  <si>
    <t>G-REQ-00764-E1</t>
  </si>
  <si>
    <t>G-REQ-03173</t>
  </si>
  <si>
    <t>SYNTHETIC: Laptop allocation; Pending approval; asset G-AST-00326</t>
  </si>
  <si>
    <t>G-REQ-00764-E2</t>
  </si>
  <si>
    <t>SYNTHETIC: Laptop allocation; Approved; asset G-AST-00326</t>
  </si>
  <si>
    <t>G-REQ-03174</t>
  </si>
  <si>
    <t>G-REQ-00764-E3</t>
  </si>
  <si>
    <t>SYNTHETIC: Laptop allocation; In progress; asset G-AST-00326</t>
  </si>
  <si>
    <t>G-REQ-00764-E4</t>
  </si>
  <si>
    <t>G-REQ-03175</t>
  </si>
  <si>
    <t>G-REQ-03176</t>
  </si>
  <si>
    <t>SYNTHETIC: Laptop allocation; Completed; asset G-AST-00326</t>
  </si>
  <si>
    <t>G-REQ-00765-E1</t>
  </si>
  <si>
    <t>G-REQ-03177</t>
  </si>
  <si>
    <t>G-REQ-03178</t>
  </si>
  <si>
    <t>G-REQ-00765-E2</t>
  </si>
  <si>
    <t>G-REQ-00765-E3</t>
  </si>
  <si>
    <t>G-REQ-03179</t>
  </si>
  <si>
    <t>G-REQ-00765-E4</t>
  </si>
  <si>
    <t>G-REQ-03180</t>
  </si>
  <si>
    <t>G-REQ-00766-E1</t>
  </si>
  <si>
    <t>G-REQ-03181</t>
  </si>
  <si>
    <t>SYNTHETIC: Laptop return; Pending approval; asset G-AST-00231</t>
  </si>
  <si>
    <t>G-REQ-00766-E2</t>
  </si>
  <si>
    <t>G-REQ-03182</t>
  </si>
  <si>
    <t>SYNTHETIC: Laptop return; Cancelled; asset G-AST-00231</t>
  </si>
  <si>
    <t>G-REQ-00767-E1</t>
  </si>
  <si>
    <t>G-REQ-03183</t>
  </si>
  <si>
    <t>SYNTHETIC: Laptop return; Pending approval; asset G-AST-00245</t>
  </si>
  <si>
    <t>G-REQ-00767-E2</t>
  </si>
  <si>
    <t>SYNTHETIC: Laptop return; Cancelled; asset G-AST-00245</t>
  </si>
  <si>
    <t>G-REQ-03184</t>
  </si>
  <si>
    <t>G-REQ-00768-E1</t>
  </si>
  <si>
    <t>SYNTHETIC: Laptop return; Pending approval; asset G-AST-00109</t>
  </si>
  <si>
    <t>G-REQ-00768-E2</t>
  </si>
  <si>
    <t>G-REQ-03185</t>
  </si>
  <si>
    <t>SYNTHETIC: Laptop return; Approved; asset G-AST-00109</t>
  </si>
  <si>
    <t>G-REQ-00768-E3</t>
  </si>
  <si>
    <t>G-REQ-03186</t>
  </si>
  <si>
    <t>SYNTHETIC: Laptop return; In progress; asset G-AST-00109</t>
  </si>
  <si>
    <t>G-REQ-00768-E4</t>
  </si>
  <si>
    <t>SYNTHETIC: Laptop return; Completed; asset G-AST-00109</t>
  </si>
  <si>
    <t>G-REQ-00769-E1</t>
  </si>
  <si>
    <t>G-REQ-00769-E2</t>
  </si>
  <si>
    <t>G-REQ-03187</t>
  </si>
  <si>
    <t>SYNTHETIC: Laptop repair; Cancelled; asset G-AST-00110</t>
  </si>
  <si>
    <t>G-REQ-00770-E1</t>
  </si>
  <si>
    <t>G-REQ-03188</t>
  </si>
  <si>
    <t>SYNTHETIC: Laptop return; Pending approval; asset G-AST-00154</t>
  </si>
  <si>
    <t>G-REQ-00770-E2</t>
  </si>
  <si>
    <t>G-REQ-03189</t>
  </si>
  <si>
    <t>SYNTHETIC: Laptop return; Approved; asset G-AST-00154</t>
  </si>
  <si>
    <t>G-REQ-00770-E3</t>
  </si>
  <si>
    <t>SYNTHETIC: Laptop return; In progress; asset G-AST-00154</t>
  </si>
  <si>
    <t>G-REQ-03190</t>
  </si>
  <si>
    <t>G-REQ-00770-E4</t>
  </si>
  <si>
    <t>SYNTHETIC: Laptop return; Completed; asset G-AST-00154</t>
  </si>
  <si>
    <t>G-REQ-00771-E1</t>
  </si>
  <si>
    <t>G-REQ-03191</t>
  </si>
  <si>
    <t>SYNTHETIC: Laptop allocation; Pending approval; asset G-AST-00327</t>
  </si>
  <si>
    <t>G-REQ-00771-E2</t>
  </si>
  <si>
    <t>G-REQ-03192</t>
  </si>
  <si>
    <t>SYNTHETIC: Laptop allocation; Approved; asset G-AST-00327</t>
  </si>
  <si>
    <t>G-REQ-00771-E3</t>
  </si>
  <si>
    <t>G-REQ-03193</t>
  </si>
  <si>
    <t>SYNTHETIC: Laptop allocation; In progress; asset G-AST-00327</t>
  </si>
  <si>
    <t>G-REQ-00771-E4</t>
  </si>
  <si>
    <t>G-REQ-03194</t>
  </si>
  <si>
    <t>SYNTHETIC: Laptop allocation; Completed; asset G-AST-00327</t>
  </si>
  <si>
    <t>G-REQ-00772-E1</t>
  </si>
  <si>
    <t>G-REQ-03195</t>
  </si>
  <si>
    <t>SYNTHETIC: Laptop repair; Pending approval; asset G-AST-00266</t>
  </si>
  <si>
    <t>G-REQ-00772-E2</t>
  </si>
  <si>
    <t>G-REQ-03196</t>
  </si>
  <si>
    <t>SYNTHETIC: Laptop repair; Approved; asset G-AST-00266</t>
  </si>
  <si>
    <t>G-REQ-00772-E3</t>
  </si>
  <si>
    <t>SYNTHETIC: Laptop repair; In progress; asset G-AST-00266</t>
  </si>
  <si>
    <t>G-REQ-03197</t>
  </si>
  <si>
    <t>G-REQ-00772-E4</t>
  </si>
  <si>
    <t>SYNTHETIC: Laptop repair; Completed; asset G-AST-00266</t>
  </si>
  <si>
    <t>G-REQ-03198</t>
  </si>
  <si>
    <t>G-REQ-00773-E1</t>
  </si>
  <si>
    <t>G-REQ-03199</t>
  </si>
  <si>
    <t>SYNTHETIC: Laptop allocation; Pending approval; asset G-AST-00328</t>
  </si>
  <si>
    <t>G-REQ-00773-E2</t>
  </si>
  <si>
    <t>G-REQ-03200</t>
  </si>
  <si>
    <t>SYNTHETIC: Laptop allocation; Approved; asset G-AST-00328</t>
  </si>
  <si>
    <t>G-REQ-00773-E3</t>
  </si>
  <si>
    <t>G-REQ-03201</t>
  </si>
  <si>
    <t>SYNTHETIC: Laptop allocation; In progress; asset G-AST-00328</t>
  </si>
  <si>
    <t>G-REQ-00773-E4</t>
  </si>
  <si>
    <t>G-REQ-03202</t>
  </si>
  <si>
    <t>SYNTHETIC: Laptop allocation; Completed; asset G-AST-00328</t>
  </si>
  <si>
    <t>G-REQ-00774-E1</t>
  </si>
  <si>
    <t>G-REQ-03203</t>
  </si>
  <si>
    <t>SYNTHETIC: Laptop return; Pending approval; asset G-AST-00256</t>
  </si>
  <si>
    <t>G-REQ-00774-E2</t>
  </si>
  <si>
    <t>SYNTHETIC: Laptop return; Rejected; asset G-AST-00256</t>
  </si>
  <si>
    <t>G-REQ-03204</t>
  </si>
  <si>
    <t>G-REQ-00775-E1</t>
  </si>
  <si>
    <t>SYNTHETIC: Laptop allocation; Pending approval; asset G-AST-00329</t>
  </si>
  <si>
    <t>G-REQ-03205</t>
  </si>
  <si>
    <t>G-REQ-00775-E2</t>
  </si>
  <si>
    <t>SYNTHETIC: Laptop allocation; Approved; asset G-AST-00329</t>
  </si>
  <si>
    <t>G-REQ-00775-E3</t>
  </si>
  <si>
    <t>G-REQ-03206</t>
  </si>
  <si>
    <t>SYNTHETIC: Laptop allocation; In progress; asset G-AST-00329</t>
  </si>
  <si>
    <t>G-REQ-00775-E4</t>
  </si>
  <si>
    <t>G-REQ-03207</t>
  </si>
  <si>
    <t>SYNTHETIC: Laptop allocation; Completed; asset G-AST-00329</t>
  </si>
  <si>
    <t>G-REQ-00776-E1</t>
  </si>
  <si>
    <t>G-REQ-03208</t>
  </si>
  <si>
    <t>SYNTHETIC: Laptop return; Pending approval; asset G-AST-00315</t>
  </si>
  <si>
    <t>G-REQ-00776-E2</t>
  </si>
  <si>
    <t>SYNTHETIC: Laptop return; Approved; asset G-AST-00315</t>
  </si>
  <si>
    <t>G-REQ-00776-E3</t>
  </si>
  <si>
    <t>G-REQ-03209</t>
  </si>
  <si>
    <t>SYNTHETIC: Laptop return; In progress; asset G-AST-00315</t>
  </si>
  <si>
    <t>G-REQ-00776-E4</t>
  </si>
  <si>
    <t>G-REQ-03210</t>
  </si>
  <si>
    <t>SYNTHETIC: Laptop return; Completed; asset G-AST-00315</t>
  </si>
  <si>
    <t>G-REQ-00777-E1</t>
  </si>
  <si>
    <t>G-REQ-03211</t>
  </si>
  <si>
    <t>SYNTHETIC: Laptop allocation; Pending approval; asset G-AST-00330</t>
  </si>
  <si>
    <t>G-REQ-00777-E2</t>
  </si>
  <si>
    <t>G-REQ-03212</t>
  </si>
  <si>
    <t>SYNTHETIC: Laptop allocation; Approved; asset G-AST-00330</t>
  </si>
  <si>
    <t>G-REQ-00777-E3</t>
  </si>
  <si>
    <t>SYNTHETIC: Laptop allocation; In progress; asset G-AST-00330</t>
  </si>
  <si>
    <t>G-REQ-03213</t>
  </si>
  <si>
    <t>G-REQ-00777-E4</t>
  </si>
  <si>
    <t>SYNTHETIC: Laptop allocation; Completed; asset G-AST-00330</t>
  </si>
  <si>
    <t>G-REQ-00778-E1</t>
  </si>
  <si>
    <t>G-REQ-03214</t>
  </si>
  <si>
    <t>SYNTHETIC: Laptop repair; Pending approval; asset G-AST-00205</t>
  </si>
  <si>
    <t>G-REQ-00778-E2</t>
  </si>
  <si>
    <t>G-REQ-03215</t>
  </si>
  <si>
    <t>SYNTHETIC: Laptop repair; Approved; asset G-AST-00205</t>
  </si>
  <si>
    <t>G-REQ-00778-E3</t>
  </si>
  <si>
    <t>G-REQ-03216</t>
  </si>
  <si>
    <t>SYNTHETIC: Laptop repair; In progress; asset G-AST-00205</t>
  </si>
  <si>
    <t>G-REQ-00778-E4</t>
  </si>
  <si>
    <t>G-REQ-03217</t>
  </si>
  <si>
    <t>SYNTHETIC: Laptop repair; Completed; asset G-AST-00205</t>
  </si>
  <si>
    <t>G-REQ-00779-E1</t>
  </si>
  <si>
    <t>SYNTHETIC: Laptop allocation; Pending approval; asset G-AST-00331</t>
  </si>
  <si>
    <t>G-REQ-00779-E2</t>
  </si>
  <si>
    <t>G-REQ-03218</t>
  </si>
  <si>
    <t>SYNTHETIC: Laptop allocation; Approved; asset G-AST-00331</t>
  </si>
  <si>
    <t>G-REQ-00779-E3</t>
  </si>
  <si>
    <t>G-REQ-03219</t>
  </si>
  <si>
    <t>SYNTHETIC: Laptop allocation; In progress; asset G-AST-00331</t>
  </si>
  <si>
    <t>G-REQ-00779-E4</t>
  </si>
  <si>
    <t>G-REQ-03220</t>
  </si>
  <si>
    <t>SYNTHETIC: Laptop allocation; Completed; asset G-AST-00331</t>
  </si>
  <si>
    <t>G-REQ-00780-E1</t>
  </si>
  <si>
    <t>G-REQ-03221</t>
  </si>
  <si>
    <t>G-REQ-00780-E2</t>
  </si>
  <si>
    <t>G-REQ-03222</t>
  </si>
  <si>
    <t>G-REQ-00780-E3</t>
  </si>
  <si>
    <t>G-REQ-00780-E4</t>
  </si>
  <si>
    <t>G-REQ-03223</t>
  </si>
  <si>
    <t>G-REQ-00781-E1</t>
  </si>
  <si>
    <t>G-REQ-03224</t>
  </si>
  <si>
    <t>SYNTHETIC: Laptop allocation; Pending approval; asset G-AST-00332</t>
  </si>
  <si>
    <t>G-REQ-00781-E2</t>
  </si>
  <si>
    <t>G-REQ-03225</t>
  </si>
  <si>
    <t>SYNTHETIC: Laptop allocation; Approved; asset G-AST-00332</t>
  </si>
  <si>
    <t>G-REQ-03226</t>
  </si>
  <si>
    <t>G-REQ-00781-E3</t>
  </si>
  <si>
    <t>G-REQ-03227</t>
  </si>
  <si>
    <t>SYNTHETIC: Laptop allocation; In progress; asset G-AST-00332</t>
  </si>
  <si>
    <t>G-REQ-00781-E4</t>
  </si>
  <si>
    <t>G-REQ-03228</t>
  </si>
  <si>
    <t>SYNTHETIC: Laptop allocation; Completed; asset G-AST-00332</t>
  </si>
  <si>
    <t>G-REQ-00782-E1</t>
  </si>
  <si>
    <t>G-REQ-03229</t>
  </si>
  <si>
    <t>SYNTHETIC: Laptop repair; Pending approval; asset G-AST-00060</t>
  </si>
  <si>
    <t>G-REQ-00782-E2</t>
  </si>
  <si>
    <t>G-REQ-03230</t>
  </si>
  <si>
    <t>SYNTHETIC: Laptop repair; Approved; asset G-AST-00060</t>
  </si>
  <si>
    <t>G-REQ-00782-E3</t>
  </si>
  <si>
    <t>SYNTHETIC: Laptop repair; In progress; asset G-AST-00060</t>
  </si>
  <si>
    <t>G-REQ-03231</t>
  </si>
  <si>
    <t>G-REQ-00782-E4</t>
  </si>
  <si>
    <t>SYNTHETIC: Laptop repair; Completed; asset G-AST-00060</t>
  </si>
  <si>
    <t>G-REQ-03232</t>
  </si>
  <si>
    <t>G-REQ-00783-E1</t>
  </si>
  <si>
    <t>SYNTHETIC: Laptop allocation; Pending approval; asset G-AST-00333</t>
  </si>
  <si>
    <t>G-REQ-03233</t>
  </si>
  <si>
    <t>G-REQ-00783-E2</t>
  </si>
  <si>
    <t>G-REQ-03234</t>
  </si>
  <si>
    <t>SYNTHETIC: Laptop allocation; Approved; asset G-AST-00333</t>
  </si>
  <si>
    <t>G-REQ-00783-E3</t>
  </si>
  <si>
    <t>SYNTHETIC: Laptop allocation; In progress; asset G-AST-00333</t>
  </si>
  <si>
    <t>G-REQ-03235</t>
  </si>
  <si>
    <t>G-REQ-00783-E4</t>
  </si>
  <si>
    <t>SYNTHETIC: Laptop allocation; Completed; asset G-AST-00333</t>
  </si>
  <si>
    <t>G-REQ-00784-E1</t>
  </si>
  <si>
    <t>G-REQ-03236</t>
  </si>
  <si>
    <t>SYNTHETIC: Laptop return; Pending approval; asset G-AST-00257</t>
  </si>
  <si>
    <t>G-REQ-00784-E2</t>
  </si>
  <si>
    <t>G-REQ-03237</t>
  </si>
  <si>
    <t>SYNTHETIC: Laptop return; Cancelled; asset G-AST-00257</t>
  </si>
  <si>
    <t>G-REQ-03238</t>
  </si>
  <si>
    <t>G-REQ-00785-E1</t>
  </si>
  <si>
    <t>G-REQ-03239</t>
  </si>
  <si>
    <t>SYNTHETIC: Laptop allocation; Pending approval; asset G-AST-00334</t>
  </si>
  <si>
    <t>G-REQ-00785-E2</t>
  </si>
  <si>
    <t>G-REQ-03240</t>
  </si>
  <si>
    <t>SYNTHETIC: Laptop allocation; Approved; asset G-AST-00334</t>
  </si>
  <si>
    <t>G-REQ-00785-E3</t>
  </si>
  <si>
    <t>G-REQ-03241</t>
  </si>
  <si>
    <t>SYNTHETIC: Laptop allocation; In progress; asset G-AST-00334</t>
  </si>
  <si>
    <t>G-REQ-00785-E4</t>
  </si>
  <si>
    <t>G-REQ-03242</t>
  </si>
  <si>
    <t>SYNTHETIC: Laptop allocation; Completed; asset G-AST-00334</t>
  </si>
  <si>
    <t>G-REQ-00786-E1</t>
  </si>
  <si>
    <t>G-REQ-03243</t>
  </si>
  <si>
    <t>SYNTHETIC: Laptop return; Pending approval; asset G-AST-00205</t>
  </si>
  <si>
    <t>G-REQ-00786-E2</t>
  </si>
  <si>
    <t>SYNTHETIC: Laptop return; Approved; asset G-AST-00205</t>
  </si>
  <si>
    <t>G-REQ-03244</t>
  </si>
  <si>
    <t>G-REQ-00786-E3</t>
  </si>
  <si>
    <t>SYNTHETIC: Laptop return; In progress; asset G-AST-00205</t>
  </si>
  <si>
    <t>G-REQ-03245</t>
  </si>
  <si>
    <t>G-REQ-00786-E4</t>
  </si>
  <si>
    <t>SYNTHETIC: Laptop return; Completed; asset G-AST-00205</t>
  </si>
  <si>
    <t>G-REQ-00787-E1</t>
  </si>
  <si>
    <t>G-REQ-03246</t>
  </si>
  <si>
    <t>SYNTHETIC: Laptop return; Pending approval; asset G-AST-00044</t>
  </si>
  <si>
    <t>G-REQ-00787-E2</t>
  </si>
  <si>
    <t>G-REQ-03247</t>
  </si>
  <si>
    <t>SYNTHETIC: Laptop return; Approved; asset G-AST-00044</t>
  </si>
  <si>
    <t>G-REQ-00787-E3</t>
  </si>
  <si>
    <t>G-REQ-03248</t>
  </si>
  <si>
    <t>SYNTHETIC: Laptop return; In progress; asset G-AST-00044</t>
  </si>
  <si>
    <t>G-REQ-00787-E4</t>
  </si>
  <si>
    <t>G-REQ-03249</t>
  </si>
  <si>
    <t>SYNTHETIC: Laptop return; Completed; asset G-AST-00044</t>
  </si>
  <si>
    <t>G-REQ-03250</t>
  </si>
  <si>
    <t>G-REQ-00788-E1</t>
  </si>
  <si>
    <t>G-REQ-03251</t>
  </si>
  <si>
    <t>SYNTHETIC: Laptop allocation; Pending approval; asset G-AST-00335</t>
  </si>
  <si>
    <t>G-REQ-00788-E2</t>
  </si>
  <si>
    <t>G-REQ-03252</t>
  </si>
  <si>
    <t>SYNTHETIC: Laptop allocation; Approved; asset G-AST-00335</t>
  </si>
  <si>
    <t>G-REQ-00788-E3</t>
  </si>
  <si>
    <t>SYNTHETIC: Laptop allocation; In progress; asset G-AST-00335</t>
  </si>
  <si>
    <t>G-REQ-03253</t>
  </si>
  <si>
    <t>G-REQ-00788-E4</t>
  </si>
  <si>
    <t>SYNTHETIC: Laptop allocation; Completed; asset G-AST-00335</t>
  </si>
  <si>
    <t>G-REQ-00789-E1</t>
  </si>
  <si>
    <t>G-REQ-03254</t>
  </si>
  <si>
    <t>SYNTHETIC: Laptop return; Pending approval; asset G-AST-00129</t>
  </si>
  <si>
    <t>G-REQ-00789-E2</t>
  </si>
  <si>
    <t>G-REQ-03255</t>
  </si>
  <si>
    <t>SYNTHETIC: Laptop return; Approved; asset G-AST-00129</t>
  </si>
  <si>
    <t>G-REQ-00789-E3</t>
  </si>
  <si>
    <t>G-REQ-03256</t>
  </si>
  <si>
    <t>SYNTHETIC: Laptop return; In progress; asset G-AST-00129</t>
  </si>
  <si>
    <t>G-REQ-00789-E4</t>
  </si>
  <si>
    <t>G-REQ-03257</t>
  </si>
  <si>
    <t>SYNTHETIC: Laptop return; Completed; asset G-AST-00129</t>
  </si>
  <si>
    <t>G-REQ-00790-E1</t>
  </si>
  <si>
    <t>SYNTHETIC: Laptop repair; Pending approval; asset G-AST-00304</t>
  </si>
  <si>
    <t>G-REQ-03258</t>
  </si>
  <si>
    <t>G-REQ-00790-E2</t>
  </si>
  <si>
    <t>SYNTHETIC: Laptop repair; Approved; asset G-AST-00304</t>
  </si>
  <si>
    <t>G-REQ-00790-E3</t>
  </si>
  <si>
    <t>G-REQ-03259</t>
  </si>
  <si>
    <t>SYNTHETIC: Laptop repair; In progress; asset G-AST-00304</t>
  </si>
  <si>
    <t>G-REQ-00790-E4</t>
  </si>
  <si>
    <t>G-REQ-03260</t>
  </si>
  <si>
    <t>SYNTHETIC: Laptop repair; Completed; asset G-AST-00304</t>
  </si>
  <si>
    <t>G-REQ-00791-E1</t>
  </si>
  <si>
    <t>G-REQ-03261</t>
  </si>
  <si>
    <t>SYNTHETIC: Laptop allocation; Pending approval; asset G-AST-00336</t>
  </si>
  <si>
    <t>G-REQ-00791-E2</t>
  </si>
  <si>
    <t>SYNTHETIC: Laptop allocation; Approved; asset G-AST-00336</t>
  </si>
  <si>
    <t>G-REQ-03262</t>
  </si>
  <si>
    <t>G-REQ-00791-E3</t>
  </si>
  <si>
    <t>SYNTHETIC: Laptop allocation; In progress; asset G-AST-00336</t>
  </si>
  <si>
    <t>G-REQ-00791-E4</t>
  </si>
  <si>
    <t>G-REQ-03263</t>
  </si>
  <si>
    <t>SYNTHETIC: Laptop allocation; Completed; asset G-AST-00336</t>
  </si>
  <si>
    <t>G-REQ-00792-E1</t>
  </si>
  <si>
    <t>SYNTHETIC: Laptop return; Pending approval; asset G-AST-00167</t>
  </si>
  <si>
    <t>G-REQ-03264</t>
  </si>
  <si>
    <t>G-REQ-00792-E2</t>
  </si>
  <si>
    <t>SYNTHETIC: Laptop return; Approved; asset G-AST-00167</t>
  </si>
  <si>
    <t>G-REQ-00792-E3</t>
  </si>
  <si>
    <t>G-REQ-03265</t>
  </si>
  <si>
    <t>SYNTHETIC: Laptop return; In progress; asset G-AST-00167</t>
  </si>
  <si>
    <t>G-REQ-00792-E4</t>
  </si>
  <si>
    <t>G-REQ-03266</t>
  </si>
  <si>
    <t>SYNTHETIC: Laptop return; Completed; asset G-AST-00167</t>
  </si>
  <si>
    <t>G-REQ-00793-E1</t>
  </si>
  <si>
    <t>G-REQ-03267</t>
  </si>
  <si>
    <t>SYNTHETIC: Laptop return; Pending approval; asset G-AST-00219</t>
  </si>
  <si>
    <t>G-REQ-00793-E2</t>
  </si>
  <si>
    <t>G-REQ-03268</t>
  </si>
  <si>
    <t>SYNTHETIC: Laptop return; Approved; asset G-AST-00219</t>
  </si>
  <si>
    <t>G-REQ-00793-E3</t>
  </si>
  <si>
    <t>SYNTHETIC: Laptop return; In progress; asset G-AST-00219</t>
  </si>
  <si>
    <t>G-REQ-00793-E4</t>
  </si>
  <si>
    <t>G-REQ-03269</t>
  </si>
  <si>
    <t>SYNTHETIC: Laptop return; Completed; asset G-AST-00219</t>
  </si>
  <si>
    <t>G-REQ-00794-E1</t>
  </si>
  <si>
    <t>G-REQ-03270</t>
  </si>
  <si>
    <t>SYNTHETIC: Laptop allocation; Pending approval; asset G-AST-00337</t>
  </si>
  <si>
    <t>G-REQ-00794-E2</t>
  </si>
  <si>
    <t>SYNTHETIC: Laptop allocation; Approved; asset G-AST-00337</t>
  </si>
  <si>
    <t>G-REQ-00794-E3</t>
  </si>
  <si>
    <t>G-REQ-03271</t>
  </si>
  <si>
    <t>SYNTHETIC: Laptop allocation; In progress; asset G-AST-00337</t>
  </si>
  <si>
    <t>G-REQ-03272</t>
  </si>
  <si>
    <t>G-REQ-00794-E4</t>
  </si>
  <si>
    <t>G-REQ-03273</t>
  </si>
  <si>
    <t>SYNTHETIC: Laptop allocation; Completed; asset G-AST-00337</t>
  </si>
  <si>
    <t>G-REQ-00795-E1</t>
  </si>
  <si>
    <t>G-REQ-03274</t>
  </si>
  <si>
    <t>SYNTHETIC: Laptop allocation; Pending approval; asset G-AST-00338</t>
  </si>
  <si>
    <t>G-REQ-00795-E2</t>
  </si>
  <si>
    <t>G-REQ-03275</t>
  </si>
  <si>
    <t>SYNTHETIC: Laptop allocation; Approved; asset G-AST-00338</t>
  </si>
  <si>
    <t>G-REQ-00795-E3</t>
  </si>
  <si>
    <t>G-REQ-03276</t>
  </si>
  <si>
    <t>SYNTHETIC: Laptop allocation; In progress; asset G-AST-00338</t>
  </si>
  <si>
    <t>G-REQ-00795-E4</t>
  </si>
  <si>
    <t>SYNTHETIC: Laptop allocation; Completed; asset G-AST-00338</t>
  </si>
  <si>
    <t>G-REQ-00796-E1</t>
  </si>
  <si>
    <t>G-REQ-03277</t>
  </si>
  <si>
    <t>G-REQ-00796-E2</t>
  </si>
  <si>
    <t>G-REQ-03278</t>
  </si>
  <si>
    <t>G-REQ-00797-E1</t>
  </si>
  <si>
    <t>G-REQ-03279</t>
  </si>
  <si>
    <t>G-REQ-03280</t>
  </si>
  <si>
    <t>G-REQ-03281</t>
  </si>
  <si>
    <t>SYNTHETIC: Laptop allocation; Pending approval; asset G-AST-00339</t>
  </si>
  <si>
    <t>G-REQ-00797-E2</t>
  </si>
  <si>
    <t>SYNTHETIC: Laptop allocation; Approved; asset G-AST-00339</t>
  </si>
  <si>
    <t>G-REQ-00797-E3</t>
  </si>
  <si>
    <t>G-REQ-03282</t>
  </si>
  <si>
    <t>SYNTHETIC: Laptop allocation; In progress; asset G-AST-00339</t>
  </si>
  <si>
    <t>G-REQ-00797-E4</t>
  </si>
  <si>
    <t>G-REQ-03283</t>
  </si>
  <si>
    <t>SYNTHETIC: Laptop allocation; Completed; asset G-AST-00339</t>
  </si>
  <si>
    <t>G-REQ-00798-E1</t>
  </si>
  <si>
    <t>G-REQ-03284</t>
  </si>
  <si>
    <t>G-REQ-00798-E2</t>
  </si>
  <si>
    <t>G-REQ-03285</t>
  </si>
  <si>
    <t>SYNTHETIC: Laptop return; Approved; asset G-AST-00139</t>
  </si>
  <si>
    <t>G-REQ-00798-E3</t>
  </si>
  <si>
    <t>SYNTHETIC: Laptop return; In progress; asset G-AST-00139</t>
  </si>
  <si>
    <t>G-REQ-00798-E4</t>
  </si>
  <si>
    <t>G-REQ-03286</t>
  </si>
  <si>
    <t>SYNTHETIC: Laptop return; Completed; asset G-AST-00139</t>
  </si>
  <si>
    <t>G-REQ-00799-E1</t>
  </si>
  <si>
    <t>G-REQ-03287</t>
  </si>
  <si>
    <t>G-REQ-00799-E2</t>
  </si>
  <si>
    <t>G-REQ-03288</t>
  </si>
  <si>
    <t>G-REQ-00799-E3</t>
  </si>
  <si>
    <t>G-REQ-03289</t>
  </si>
  <si>
    <t>G-REQ-00799-E4</t>
  </si>
  <si>
    <t>G-REQ-00800-E1</t>
  </si>
  <si>
    <t>G-REQ-03290</t>
  </si>
  <si>
    <t>G-REQ-00800-E2</t>
  </si>
  <si>
    <t>G-REQ-03291</t>
  </si>
  <si>
    <t>G-REQ-00800-E3</t>
  </si>
  <si>
    <t>G-REQ-03292</t>
  </si>
  <si>
    <t>G-REQ-00800-E4</t>
  </si>
  <si>
    <t>G-REQ-03293</t>
  </si>
  <si>
    <t>G-REQ-00801-E1</t>
  </si>
  <si>
    <t>SYNTHETIC: Laptop return; Pending approval; asset G-AST-00291</t>
  </si>
  <si>
    <t>G-REQ-03294</t>
  </si>
  <si>
    <t>G-REQ-00801-E2</t>
  </si>
  <si>
    <t>SYNTHETIC: Laptop return; Approved; asset G-AST-00291</t>
  </si>
  <si>
    <t>G-REQ-00801-E3</t>
  </si>
  <si>
    <t>G-REQ-03295</t>
  </si>
  <si>
    <t>SYNTHETIC: Laptop return; In progress; asset G-AST-00291</t>
  </si>
  <si>
    <t>G-REQ-00801-E4</t>
  </si>
  <si>
    <t>G-REQ-03296</t>
  </si>
  <si>
    <t>SYNTHETIC: Laptop return; Completed; asset G-AST-00291</t>
  </si>
  <si>
    <t>G-REQ-00802-E1</t>
  </si>
  <si>
    <t>G-REQ-03297</t>
  </si>
  <si>
    <t>SYNTHETIC: Laptop return; Pending approval; asset G-AST-00334</t>
  </si>
  <si>
    <t>G-REQ-00802-E2</t>
  </si>
  <si>
    <t>G-REQ-03298</t>
  </si>
  <si>
    <t>SYNTHETIC: Laptop return; Approved; asset G-AST-00334</t>
  </si>
  <si>
    <t>G-REQ-00802-E3</t>
  </si>
  <si>
    <t>SYNTHETIC: Laptop return; In progress; asset G-AST-00334</t>
  </si>
  <si>
    <t>G-REQ-00802-E4</t>
  </si>
  <si>
    <t>G-REQ-03299</t>
  </si>
  <si>
    <t>G-REQ-03300</t>
  </si>
  <si>
    <t>SYNTHETIC: Laptop return; Completed; asset G-AST-00334</t>
  </si>
  <si>
    <t>G-REQ-00803-E1</t>
  </si>
  <si>
    <t>G-REQ-03301</t>
  </si>
  <si>
    <t>SYNTHETIC: Laptop allocation; Pending approval; asset G-AST-00340</t>
  </si>
  <si>
    <t>G-REQ-00803-E2</t>
  </si>
  <si>
    <t>G-REQ-03302</t>
  </si>
  <si>
    <t>SYNTHETIC: Laptop allocation; Approved; asset G-AST-00340</t>
  </si>
  <si>
    <t>G-REQ-00803-E3</t>
  </si>
  <si>
    <t>G-REQ-03303</t>
  </si>
  <si>
    <t>SYNTHETIC: Laptop allocation; In progress; asset G-AST-00340</t>
  </si>
  <si>
    <t>G-REQ-00803-E4</t>
  </si>
  <si>
    <t>G-REQ-03304</t>
  </si>
  <si>
    <t>SYNTHETIC: Laptop allocation; Completed; asset G-AST-00340</t>
  </si>
  <si>
    <t>G-REQ-00804-E1</t>
  </si>
  <si>
    <t>G-REQ-03305</t>
  </si>
  <si>
    <t>SYNTHETIC: Laptop allocation; Pending approval; asset G-AST-00341</t>
  </si>
  <si>
    <t>G-REQ-00804-E2</t>
  </si>
  <si>
    <t>SYNTHETIC: Laptop allocation; Approved; asset G-AST-00341</t>
  </si>
  <si>
    <t>G-REQ-03306</t>
  </si>
  <si>
    <t>G-REQ-00804-E3</t>
  </si>
  <si>
    <t>SYNTHETIC: Laptop allocation; In progress; asset G-AST-00341</t>
  </si>
  <si>
    <t>G-REQ-00804-E4</t>
  </si>
  <si>
    <t>G-REQ-03307</t>
  </si>
  <si>
    <t>SYNTHETIC: Laptop allocation; Completed; asset G-AST-00341</t>
  </si>
  <si>
    <t>G-REQ-00805-E1</t>
  </si>
  <si>
    <t>G-REQ-03308</t>
  </si>
  <si>
    <t>SYNTHETIC: Laptop return; Pending approval; asset G-AST-00321</t>
  </si>
  <si>
    <t>G-REQ-00805-E2</t>
  </si>
  <si>
    <t>G-REQ-03309</t>
  </si>
  <si>
    <t>SYNTHETIC: Laptop return; Cancelled; asset G-AST-00321</t>
  </si>
  <si>
    <t>G-REQ-00806-E1</t>
  </si>
  <si>
    <t>G-REQ-03310</t>
  </si>
  <si>
    <t>SYNTHETIC: Laptop return; Pending approval; asset G-AST-00125</t>
  </si>
  <si>
    <t>G-REQ-00806-E2</t>
  </si>
  <si>
    <t>G-REQ-03311</t>
  </si>
  <si>
    <t>SYNTHETIC: Laptop return; Approved; asset G-AST-00125</t>
  </si>
  <si>
    <t>G-REQ-00806-E3</t>
  </si>
  <si>
    <t>G-REQ-03312</t>
  </si>
  <si>
    <t>SYNTHETIC: Laptop return; In progress; asset G-AST-00125</t>
  </si>
  <si>
    <t>G-REQ-00806-E4</t>
  </si>
  <si>
    <t>SYNTHETIC: Laptop return; Completed; asset G-AST-00125</t>
  </si>
  <si>
    <t>G-REQ-00807-E1</t>
  </si>
  <si>
    <t>G-REQ-03313</t>
  </si>
  <si>
    <t>SYNTHETIC: Laptop allocation; Pending approval; asset G-AST-00342</t>
  </si>
  <si>
    <t>G-REQ-00807-E2</t>
  </si>
  <si>
    <t>G-REQ-03314</t>
  </si>
  <si>
    <t>SYNTHETIC: Laptop allocation; Approved; asset G-AST-00342</t>
  </si>
  <si>
    <t>G-REQ-00807-E3</t>
  </si>
  <si>
    <t>G-REQ-03315</t>
  </si>
  <si>
    <t>SYNTHETIC: Laptop allocation; In progress; asset G-AST-00342</t>
  </si>
  <si>
    <t>G-REQ-00807-E4</t>
  </si>
  <si>
    <t>G-REQ-03316</t>
  </si>
  <si>
    <t>SYNTHETIC: Laptop allocation; Completed; asset G-AST-00342</t>
  </si>
  <si>
    <t>G-REQ-00808-E1</t>
  </si>
  <si>
    <t>G-REQ-03317</t>
  </si>
  <si>
    <t>G-REQ-00808-E2</t>
  </si>
  <si>
    <t>SYNTHETIC: Laptop repair; Cancelled; asset G-AST-00107</t>
  </si>
  <si>
    <t>G-REQ-00809-E1</t>
  </si>
  <si>
    <t>G-REQ-03318</t>
  </si>
  <si>
    <t>G-REQ-00809-E2</t>
  </si>
  <si>
    <t>G-REQ-03319</t>
  </si>
  <si>
    <t>G-REQ-00809-E3</t>
  </si>
  <si>
    <t>G-REQ-03320</t>
  </si>
  <si>
    <t>G-REQ-00809-E4</t>
  </si>
  <si>
    <t>G-REQ-03321</t>
  </si>
  <si>
    <t>G-REQ-00810-E1</t>
  </si>
  <si>
    <t>G-REQ-03322</t>
  </si>
  <si>
    <t>G-REQ-00810-E2</t>
  </si>
  <si>
    <t>G-REQ-03323</t>
  </si>
  <si>
    <t>G-REQ-00810-E3</t>
  </si>
  <si>
    <t>G-REQ-03324</t>
  </si>
  <si>
    <t>G-REQ-00810-E4</t>
  </si>
  <si>
    <t>G-REQ-03325</t>
  </si>
  <si>
    <t>G-REQ-00811-E1</t>
  </si>
  <si>
    <t>G-REQ-03326</t>
  </si>
  <si>
    <t>SYNTHETIC: Laptop return; Pending approval; asset G-AST-00327</t>
  </si>
  <si>
    <t>G-REQ-03327</t>
  </si>
  <si>
    <t>G-REQ-00811-E2</t>
  </si>
  <si>
    <t>SYNTHETIC: Laptop return; Approved; asset G-AST-00327</t>
  </si>
  <si>
    <t>G-REQ-00811-E3</t>
  </si>
  <si>
    <t>G-REQ-03328</t>
  </si>
  <si>
    <t>SYNTHETIC: Laptop return; In progress; asset G-AST-00327</t>
  </si>
  <si>
    <t>G-REQ-00811-E4</t>
  </si>
  <si>
    <t>G-REQ-03329</t>
  </si>
  <si>
    <t>SYNTHETIC: Laptop return; Completed; asset G-AST-00327</t>
  </si>
  <si>
    <t>G-REQ-00812-E1</t>
  </si>
  <si>
    <t>G-REQ-03330</t>
  </si>
  <si>
    <t>SYNTHETIC: Laptop allocation; Pending approval; asset G-AST-00343</t>
  </si>
  <si>
    <t>G-REQ-00812-E2</t>
  </si>
  <si>
    <t>SYNTHETIC: Laptop allocation; Approved; asset G-AST-00343</t>
  </si>
  <si>
    <t>G-REQ-03331</t>
  </si>
  <si>
    <t>G-REQ-00812-E3</t>
  </si>
  <si>
    <t>SYNTHETIC: Laptop allocation; In progress; asset G-AST-00343</t>
  </si>
  <si>
    <t>G-REQ-00812-E4</t>
  </si>
  <si>
    <t>G-REQ-03332</t>
  </si>
  <si>
    <t>SYNTHETIC: Laptop allocation; Completed; asset G-AST-00343</t>
  </si>
  <si>
    <t>G-REQ-00813-E1</t>
  </si>
  <si>
    <t>G-REQ-03333</t>
  </si>
  <si>
    <t>G-REQ-00813-E2</t>
  </si>
  <si>
    <t>G-REQ-03334</t>
  </si>
  <si>
    <t>SYNTHETIC: Laptop repair; Approved; asset G-AST-00172</t>
  </si>
  <si>
    <t>G-REQ-00813-E3</t>
  </si>
  <si>
    <t>G-REQ-03335</t>
  </si>
  <si>
    <t>SYNTHETIC: Laptop repair; In progress; asset G-AST-00172</t>
  </si>
  <si>
    <t>G-REQ-00813-E4</t>
  </si>
  <si>
    <t>G-REQ-03336</t>
  </si>
  <si>
    <t>SYNTHETIC: Laptop repair; Completed; asset G-AST-00172</t>
  </si>
  <si>
    <t>G-REQ-00814-E1</t>
  </si>
  <si>
    <t>G-REQ-03337</t>
  </si>
  <si>
    <t>SYNTHETIC: Laptop return; Pending approval; asset G-AST-00081</t>
  </si>
  <si>
    <t>G-REQ-00814-E2</t>
  </si>
  <si>
    <t>SYNTHETIC: Laptop return; Approved; asset G-AST-00081</t>
  </si>
  <si>
    <t>G-REQ-00814-E3</t>
  </si>
  <si>
    <t>SYNTHETIC: Laptop return; In progress; asset G-AST-00081</t>
  </si>
  <si>
    <t>G-REQ-00814-E4</t>
  </si>
  <si>
    <t>G-REQ-03338</t>
  </si>
  <si>
    <t>SYNTHETIC: Laptop return; Completed; asset G-AST-00081</t>
  </si>
  <si>
    <t>G-REQ-00815-E1</t>
  </si>
  <si>
    <t>G-REQ-03339</t>
  </si>
  <si>
    <t>SYNTHETIC: Laptop allocation; Pending approval; asset G-AST-00344</t>
  </si>
  <si>
    <t>G-REQ-00815-E2</t>
  </si>
  <si>
    <t>SYNTHETIC: Laptop allocation; Approved; asset G-AST-00344</t>
  </si>
  <si>
    <t>G-REQ-03340</t>
  </si>
  <si>
    <t>G-REQ-00815-E3</t>
  </si>
  <si>
    <t>SYNTHETIC: Laptop allocation; In progress; asset G-AST-00344</t>
  </si>
  <si>
    <t>G-REQ-03341</t>
  </si>
  <si>
    <t>G-REQ-00815-E4</t>
  </si>
  <si>
    <t>SYNTHETIC: Laptop allocation; Completed; asset G-AST-00344</t>
  </si>
  <si>
    <t>G-REQ-00816-E1</t>
  </si>
  <si>
    <t>G-REQ-03342</t>
  </si>
  <si>
    <t>SYNTHETIC: Laptop repair; Pending approval; asset G-AST-00301</t>
  </si>
  <si>
    <t>G-REQ-00816-E2</t>
  </si>
  <si>
    <t>G-REQ-03343</t>
  </si>
  <si>
    <t>SYNTHETIC: Laptop repair; Approved; asset G-AST-00301</t>
  </si>
  <si>
    <t>G-REQ-00816-E3</t>
  </si>
  <si>
    <t>G-REQ-03344</t>
  </si>
  <si>
    <t>SYNTHETIC: Laptop repair; In progress; asset G-AST-00301</t>
  </si>
  <si>
    <t>G-REQ-00816-E4</t>
  </si>
  <si>
    <t>G-REQ-03345</t>
  </si>
  <si>
    <t>SYNTHETIC: Laptop repair; Completed; asset G-AST-00301</t>
  </si>
  <si>
    <t>G-REQ-00817-E1</t>
  </si>
  <si>
    <t>SYNTHETIC: Laptop return; Pending approval; asset G-AST-00308</t>
  </si>
  <si>
    <t>G-REQ-03346</t>
  </si>
  <si>
    <t>G-REQ-00817-E2</t>
  </si>
  <si>
    <t>SYNTHETIC: Laptop return; Cancelled; asset G-AST-00308</t>
  </si>
  <si>
    <t>G-REQ-00818-E1</t>
  </si>
  <si>
    <t>G-REQ-03347</t>
  </si>
  <si>
    <t>SYNTHETIC: Laptop allocation; Pending approval; asset G-AST-00345</t>
  </si>
  <si>
    <t>G-REQ-00818-E2</t>
  </si>
  <si>
    <t>G-REQ-03348</t>
  </si>
  <si>
    <t>SYNTHETIC: Laptop allocation; Approved; asset G-AST-00345</t>
  </si>
  <si>
    <t>G-REQ-03349</t>
  </si>
  <si>
    <t>G-REQ-00818-E3</t>
  </si>
  <si>
    <t>G-REQ-03350</t>
  </si>
  <si>
    <t>SYNTHETIC: Laptop allocation; In progress; asset G-AST-00345</t>
  </si>
  <si>
    <t>G-REQ-00818-E4</t>
  </si>
  <si>
    <t>G-REQ-03351</t>
  </si>
  <si>
    <t>SYNTHETIC: Laptop allocation; Completed; asset G-AST-00345</t>
  </si>
  <si>
    <t>G-REQ-00819-E1</t>
  </si>
  <si>
    <t>G-REQ-03352</t>
  </si>
  <si>
    <t>SYNTHETIC: Laptop allocation; Pending approval; asset G-AST-00346</t>
  </si>
  <si>
    <t>G-REQ-00819-E2</t>
  </si>
  <si>
    <t>G-REQ-03353</t>
  </si>
  <si>
    <t>SYNTHETIC: Laptop allocation; Approved; asset G-AST-00346</t>
  </si>
  <si>
    <t>G-REQ-00819-E3</t>
  </si>
  <si>
    <t>G-REQ-03354</t>
  </si>
  <si>
    <t>SYNTHETIC: Laptop allocation; In progress; asset G-AST-00346</t>
  </si>
  <si>
    <t>G-REQ-00819-E4</t>
  </si>
  <si>
    <t>SYNTHETIC: Laptop allocation; Completed; asset G-AST-00346</t>
  </si>
  <si>
    <t>G-REQ-03355</t>
  </si>
  <si>
    <t>G-REQ-00820-E1</t>
  </si>
  <si>
    <t>SYNTHETIC: Laptop allocation; Pending approval; asset G-AST-00347</t>
  </si>
  <si>
    <t>G-REQ-00820-E2</t>
  </si>
  <si>
    <t>G-REQ-03356</t>
  </si>
  <si>
    <t>SYNTHETIC: Laptop allocation; Approved; asset G-AST-00347</t>
  </si>
  <si>
    <t>G-REQ-00820-E3</t>
  </si>
  <si>
    <t>G-REQ-03357</t>
  </si>
  <si>
    <t>SYNTHETIC: Laptop allocation; In progress; asset G-AST-00347</t>
  </si>
  <si>
    <t>G-REQ-00820-E4</t>
  </si>
  <si>
    <t>SYNTHETIC: Laptop allocation; Completed; asset G-AST-00347</t>
  </si>
  <si>
    <t>G-REQ-03358</t>
  </si>
  <si>
    <t>G-REQ-00821-E1</t>
  </si>
  <si>
    <t>SYNTHETIC: Laptop allocation; Pending approval; asset G-AST-00348</t>
  </si>
  <si>
    <t>G-REQ-03359</t>
  </si>
  <si>
    <t>G-REQ-00821-E2</t>
  </si>
  <si>
    <t>SYNTHETIC: Laptop allocation; Approved; asset G-AST-00348</t>
  </si>
  <si>
    <t>G-REQ-00821-E3</t>
  </si>
  <si>
    <t>G-REQ-03360</t>
  </si>
  <si>
    <t>SYNTHETIC: Laptop allocation; In progress; asset G-AST-00348</t>
  </si>
  <si>
    <t>G-REQ-00821-E4</t>
  </si>
  <si>
    <t>G-REQ-03361</t>
  </si>
  <si>
    <t>SYNTHETIC: Laptop allocation; Completed; asset G-AST-00348</t>
  </si>
  <si>
    <t>G-REQ-00822-E1</t>
  </si>
  <si>
    <t>G-REQ-03362</t>
  </si>
  <si>
    <t>SYNTHETIC: Laptop allocation; Pending approval; asset G-AST-00349</t>
  </si>
  <si>
    <t>G-REQ-00822-E2</t>
  </si>
  <si>
    <t>G-REQ-03363</t>
  </si>
  <si>
    <t>SYNTHETIC: Laptop allocation; Approved; asset G-AST-00349</t>
  </si>
  <si>
    <t>G-REQ-00822-E3</t>
  </si>
  <si>
    <t>SYNTHETIC: Laptop allocation; In progress; asset G-AST-00349</t>
  </si>
  <si>
    <t>G-REQ-03364</t>
  </si>
  <si>
    <t>G-REQ-00822-E4</t>
  </si>
  <si>
    <t>SYNTHETIC: Laptop allocation; Completed; asset G-AST-00349</t>
  </si>
  <si>
    <t>G-REQ-00823-E1</t>
  </si>
  <si>
    <t>G-REQ-03365</t>
  </si>
  <si>
    <t>SYNTHETIC: Laptop return; Pending approval; asset G-AST-00233</t>
  </si>
  <si>
    <t>G-REQ-00823-E2</t>
  </si>
  <si>
    <t>G-REQ-03366</t>
  </si>
  <si>
    <t>SYNTHETIC: Laptop return; Rejected; asset G-AST-00233</t>
  </si>
  <si>
    <t>G-REQ-00824-E1</t>
  </si>
  <si>
    <t>G-REQ-03367</t>
  </si>
  <si>
    <t>SYNTHETIC: Laptop repair; Pending approval; asset G-AST-00223</t>
  </si>
  <si>
    <t>G-REQ-00824-E2</t>
  </si>
  <si>
    <t>G-REQ-03368</t>
  </si>
  <si>
    <t>SYNTHETIC: Laptop repair; Approved; asset G-AST-00223</t>
  </si>
  <si>
    <t>G-REQ-00824-E3</t>
  </si>
  <si>
    <t>SYNTHETIC: Laptop repair; In progress; asset G-AST-00223</t>
  </si>
  <si>
    <t>G-REQ-03369</t>
  </si>
  <si>
    <t>G-REQ-00824-E4</t>
  </si>
  <si>
    <t>SYNTHETIC: Laptop repair; Completed; asset G-AST-00223</t>
  </si>
  <si>
    <t>G-REQ-00825-E1</t>
  </si>
  <si>
    <t>G-REQ-03370</t>
  </si>
  <si>
    <t>SYNTHETIC: Laptop return; Pending approval; asset G-AST-00192</t>
  </si>
  <si>
    <t>G-REQ-00825-E2</t>
  </si>
  <si>
    <t>G-REQ-03371</t>
  </si>
  <si>
    <t>SYNTHETIC: Laptop return; Approved; asset G-AST-00192</t>
  </si>
  <si>
    <t>G-REQ-00825-E3</t>
  </si>
  <si>
    <t>G-REQ-03372</t>
  </si>
  <si>
    <t>SYNTHETIC: Laptop return; In progress; asset G-AST-00192</t>
  </si>
  <si>
    <t>G-REQ-00825-E4</t>
  </si>
  <si>
    <t>G-REQ-03373</t>
  </si>
  <si>
    <t>SYNTHETIC: Laptop return; Completed; asset G-AST-00192</t>
  </si>
  <si>
    <t>G-REQ-00826-E1</t>
  </si>
  <si>
    <t>G-REQ-03374</t>
  </si>
  <si>
    <t>SYNTHETIC: Laptop return; Pending approval; asset G-AST-00287</t>
  </si>
  <si>
    <t>G-REQ-00826-E2</t>
  </si>
  <si>
    <t>G-REQ-03375</t>
  </si>
  <si>
    <t>SYNTHETIC: Laptop return; Approved; asset G-AST-00287</t>
  </si>
  <si>
    <t>G-REQ-03376</t>
  </si>
  <si>
    <t>G-REQ-00826-E3</t>
  </si>
  <si>
    <t>SYNTHETIC: Laptop return; In progress; asset G-AST-00287</t>
  </si>
  <si>
    <t>G-REQ-00826-E4</t>
  </si>
  <si>
    <t>G-REQ-03377</t>
  </si>
  <si>
    <t>SYNTHETIC: Laptop return; Completed; asset G-AST-00287</t>
  </si>
  <si>
    <t>G-REQ-00827-E1</t>
  </si>
  <si>
    <t>G-REQ-03378</t>
  </si>
  <si>
    <t>G-REQ-00827-E2</t>
  </si>
  <si>
    <t>G-REQ-03379</t>
  </si>
  <si>
    <t>SYNTHETIC: Laptop return; Approved; asset G-AST-00233</t>
  </si>
  <si>
    <t>G-REQ-00827-E3</t>
  </si>
  <si>
    <t>SYNTHETIC: Laptop return; In progress; asset G-AST-00233</t>
  </si>
  <si>
    <t>G-REQ-03380</t>
  </si>
  <si>
    <t>G-REQ-00827-E4</t>
  </si>
  <si>
    <t>SYNTHETIC: Laptop return; Completed; asset G-AST-00233</t>
  </si>
  <si>
    <t>G-REQ-00828-E1</t>
  </si>
  <si>
    <t>G-REQ-03381</t>
  </si>
  <si>
    <t>SYNTHETIC: Laptop allocation; Pending approval; asset G-AST-00350</t>
  </si>
  <si>
    <t>G-REQ-00828-E2</t>
  </si>
  <si>
    <t>G-REQ-03382</t>
  </si>
  <si>
    <t>SYNTHETIC: Laptop allocation; Approved; asset G-AST-00350</t>
  </si>
  <si>
    <t>G-REQ-00828-E3</t>
  </si>
  <si>
    <t>G-REQ-03383</t>
  </si>
  <si>
    <t>SYNTHETIC: Laptop allocation; In progress; asset G-AST-00350</t>
  </si>
  <si>
    <t>G-REQ-00828-E4</t>
  </si>
  <si>
    <t>G-REQ-03384</t>
  </si>
  <si>
    <t>SYNTHETIC: Laptop allocation; Completed; asset G-AST-00350</t>
  </si>
  <si>
    <t>G-REQ-00829-E1</t>
  </si>
  <si>
    <t>G-REQ-03385</t>
  </si>
  <si>
    <t>SYNTHETIC: Laptop return; Pending approval; asset G-AST-00043</t>
  </si>
  <si>
    <t>G-REQ-00829-E2</t>
  </si>
  <si>
    <t>G-REQ-03386</t>
  </si>
  <si>
    <t>SYNTHETIC: Laptop return; Approved; asset G-AST-00043</t>
  </si>
  <si>
    <t>G-REQ-00829-E3</t>
  </si>
  <si>
    <t>SYNTHETIC: Laptop return; In progress; asset G-AST-00043</t>
  </si>
  <si>
    <t>G-REQ-03387</t>
  </si>
  <si>
    <t>G-REQ-00829-E4</t>
  </si>
  <si>
    <t>SYNTHETIC: Laptop return; Completed; asset G-AST-00043</t>
  </si>
  <si>
    <t>G-REQ-00830-E1</t>
  </si>
  <si>
    <t>G-REQ-03388</t>
  </si>
  <si>
    <t>G-REQ-00830-E2</t>
  </si>
  <si>
    <t>G-REQ-03389</t>
  </si>
  <si>
    <t>G-REQ-00830-E3</t>
  </si>
  <si>
    <t>G-REQ-03390</t>
  </si>
  <si>
    <t>G-REQ-00830-E4</t>
  </si>
  <si>
    <t>G-REQ-03391</t>
  </si>
  <si>
    <t>G-REQ-00831-E1</t>
  </si>
  <si>
    <t>G-REQ-03392</t>
  </si>
  <si>
    <t>SYNTHETIC: Laptop return; Pending approval; asset G-AST-00173</t>
  </si>
  <si>
    <t>G-REQ-00831-E2</t>
  </si>
  <si>
    <t>SYNTHETIC: Laptop return; Approved; asset G-AST-00173</t>
  </si>
  <si>
    <t>G-REQ-03393</t>
  </si>
  <si>
    <t>G-REQ-00831-E3</t>
  </si>
  <si>
    <t>SYNTHETIC: Laptop return; In progress; asset G-AST-00173</t>
  </si>
  <si>
    <t>G-REQ-00831-E4</t>
  </si>
  <si>
    <t>G-REQ-03394</t>
  </si>
  <si>
    <t>SYNTHETIC: Laptop return; Completed; asset G-AST-00173</t>
  </si>
  <si>
    <t>G-REQ-03395</t>
  </si>
  <si>
    <t>G-REQ-00832-E1</t>
  </si>
  <si>
    <t>G-REQ-03396</t>
  </si>
  <si>
    <t>SYNTHETIC: Laptop repair; Pending approval; asset G-AST-00271</t>
  </si>
  <si>
    <t>G-REQ-00832-E2</t>
  </si>
  <si>
    <t>G-REQ-03397</t>
  </si>
  <si>
    <t>SYNTHETIC: Laptop repair; Approved; asset G-AST-00271</t>
  </si>
  <si>
    <t>G-REQ-00832-E3</t>
  </si>
  <si>
    <t>G-REQ-03398</t>
  </si>
  <si>
    <t>SYNTHETIC: Laptop repair; In progress; asset G-AST-00271</t>
  </si>
  <si>
    <t>G-REQ-00832-E4</t>
  </si>
  <si>
    <t>G-REQ-03399</t>
  </si>
  <si>
    <t>SYNTHETIC: Laptop repair; Completed; asset G-AST-00271</t>
  </si>
  <si>
    <t>G-REQ-00833-E1</t>
  </si>
  <si>
    <t>G-REQ-03400</t>
  </si>
  <si>
    <t>G-REQ-00833-E2</t>
  </si>
  <si>
    <t>G-REQ-03401</t>
  </si>
  <si>
    <t>G-REQ-00833-E3</t>
  </si>
  <si>
    <t>G-REQ-00833-E4</t>
  </si>
  <si>
    <t>G-REQ-03402</t>
  </si>
  <si>
    <t>G-REQ-00834-E1</t>
  </si>
  <si>
    <t>G-REQ-03403</t>
  </si>
  <si>
    <t>SYNTHETIC: Laptop return; Pending approval; asset G-AST-00088</t>
  </si>
  <si>
    <t>G-REQ-00834-E2</t>
  </si>
  <si>
    <t>G-REQ-03404</t>
  </si>
  <si>
    <t>SYNTHETIC: Laptop return; Approved; asset G-AST-00088</t>
  </si>
  <si>
    <t>G-REQ-00834-E3</t>
  </si>
  <si>
    <t>G-REQ-03405</t>
  </si>
  <si>
    <t>SYNTHETIC: Laptop return; In progress; asset G-AST-00088</t>
  </si>
  <si>
    <t>G-REQ-00834-E4</t>
  </si>
  <si>
    <t>G-REQ-03406</t>
  </si>
  <si>
    <t>SYNTHETIC: Laptop return; Completed; asset G-AST-00088</t>
  </si>
  <si>
    <t>G-REQ-00835-E1</t>
  </si>
  <si>
    <t>G-REQ-03407</t>
  </si>
  <si>
    <t>SYNTHETIC: Laptop allocation; Pending approval; asset G-AST-00351</t>
  </si>
  <si>
    <t>G-REQ-00835-E2</t>
  </si>
  <si>
    <t>SYNTHETIC: Laptop allocation; Approved; asset G-AST-00351</t>
  </si>
  <si>
    <t>G-REQ-03408</t>
  </si>
  <si>
    <t>G-REQ-00835-E3</t>
  </si>
  <si>
    <t>SYNTHETIC: Laptop allocation; In progress; asset G-AST-00351</t>
  </si>
  <si>
    <t>G-REQ-00835-E4</t>
  </si>
  <si>
    <t>G-REQ-03409</t>
  </si>
  <si>
    <t>SYNTHETIC: Laptop allocation; Completed; asset G-AST-00351</t>
  </si>
  <si>
    <t>G-REQ-00836-E1</t>
  </si>
  <si>
    <t>G-REQ-03410</t>
  </si>
  <si>
    <t>G-REQ-00836-E2</t>
  </si>
  <si>
    <t>G-REQ-03411</t>
  </si>
  <si>
    <t>G-REQ-00836-E3</t>
  </si>
  <si>
    <t>G-REQ-00836-E4</t>
  </si>
  <si>
    <t>G-REQ-03412</t>
  </si>
  <si>
    <t>G-REQ-00837-E1</t>
  </si>
  <si>
    <t>G-REQ-03413</t>
  </si>
  <si>
    <t>SYNTHETIC: Laptop allocation; Pending approval; asset G-AST-00352</t>
  </si>
  <si>
    <t>G-REQ-00837-E2</t>
  </si>
  <si>
    <t>G-REQ-03414</t>
  </si>
  <si>
    <t>SYNTHETIC: Laptop allocation; Approved; asset G-AST-00352</t>
  </si>
  <si>
    <t>G-REQ-00837-E3</t>
  </si>
  <si>
    <t>G-REQ-03415</t>
  </si>
  <si>
    <t>SYNTHETIC: Laptop allocation; In progress; asset G-AST-00352</t>
  </si>
  <si>
    <t>G-REQ-00837-E4</t>
  </si>
  <si>
    <t>SYNTHETIC: Laptop allocation; Completed; asset G-AST-00352</t>
  </si>
  <si>
    <t>G-REQ-03416</t>
  </si>
  <si>
    <t>G-REQ-00838-E1</t>
  </si>
  <si>
    <t>SYNTHETIC: Laptop repair; Pending approval; asset G-AST-00028</t>
  </si>
  <si>
    <t>G-REQ-03417</t>
  </si>
  <si>
    <t>G-REQ-00838-E2</t>
  </si>
  <si>
    <t>SYNTHETIC: Laptop repair; Approved; asset G-AST-00028</t>
  </si>
  <si>
    <t>G-REQ-00838-E3</t>
  </si>
  <si>
    <t>G-REQ-03418</t>
  </si>
  <si>
    <t>SYNTHETIC: Laptop repair; In progress; asset G-AST-00028</t>
  </si>
  <si>
    <t>G-REQ-00838-E4</t>
  </si>
  <si>
    <t>G-REQ-03419</t>
  </si>
  <si>
    <t>SYNTHETIC: Laptop repair; Completed; asset G-AST-00028</t>
  </si>
  <si>
    <t>G-REQ-00839-E1</t>
  </si>
  <si>
    <t>G-REQ-03420</t>
  </si>
  <si>
    <t>G-REQ-03421</t>
  </si>
  <si>
    <t>G-REQ-00839-E2</t>
  </si>
  <si>
    <t>G-REQ-03422</t>
  </si>
  <si>
    <t>SYNTHETIC: Laptop repair; Rejected; asset G-AST-00036</t>
  </si>
  <si>
    <t>G-REQ-00840-E1</t>
  </si>
  <si>
    <t>SYNTHETIC: Laptop return; Pending approval; asset G-AST-00116</t>
  </si>
  <si>
    <t>G-REQ-03423</t>
  </si>
  <si>
    <t>G-REQ-00840-E2</t>
  </si>
  <si>
    <t>G-REQ-03424</t>
  </si>
  <si>
    <t>SYNTHETIC: Laptop return; Approved; asset G-AST-00116</t>
  </si>
  <si>
    <t>G-REQ-00840-E3</t>
  </si>
  <si>
    <t>SYNTHETIC: Laptop return; In progress; asset G-AST-00116</t>
  </si>
  <si>
    <t>G-REQ-03425</t>
  </si>
  <si>
    <t>G-REQ-00840-E4</t>
  </si>
  <si>
    <t>SYNTHETIC: Laptop return; Completed; asset G-AST-00116</t>
  </si>
  <si>
    <t>G-REQ-00841-E1</t>
  </si>
  <si>
    <t>G-REQ-03426</t>
  </si>
  <si>
    <t>SYNTHETIC: Laptop allocation; Pending approval; asset G-AST-00353</t>
  </si>
  <si>
    <t>G-REQ-00841-E2</t>
  </si>
  <si>
    <t>G-REQ-03427</t>
  </si>
  <si>
    <t>SYNTHETIC: Laptop allocation; Approved; asset G-AST-00353</t>
  </si>
  <si>
    <t>G-REQ-00841-E3</t>
  </si>
  <si>
    <t>G-REQ-03428</t>
  </si>
  <si>
    <t>SYNTHETIC: Laptop allocation; In progress; asset G-AST-00353</t>
  </si>
  <si>
    <t>G-REQ-00841-E4</t>
  </si>
  <si>
    <t>SYNTHETIC: Laptop allocation; Completed; asset G-AST-00353</t>
  </si>
  <si>
    <t>G-REQ-03429</t>
  </si>
  <si>
    <t>G-REQ-00842-E1</t>
  </si>
  <si>
    <t>G-REQ-03430</t>
  </si>
  <si>
    <t>G-REQ-00842-E2</t>
  </si>
  <si>
    <t>G-REQ-00843-E1</t>
  </si>
  <si>
    <t>G-REQ-03431</t>
  </si>
  <si>
    <t>SYNTHETIC: Laptop return; Pending approval; asset G-AST-00053</t>
  </si>
  <si>
    <t>G-REQ-00843-E2</t>
  </si>
  <si>
    <t>G-REQ-03432</t>
  </si>
  <si>
    <t>SYNTHETIC: Laptop return; Approved; asset G-AST-00053</t>
  </si>
  <si>
    <t>G-REQ-00843-E3</t>
  </si>
  <si>
    <t>SYNTHETIC: Laptop return; In progress; asset G-AST-00053</t>
  </si>
  <si>
    <t>G-REQ-00843-E4</t>
  </si>
  <si>
    <t>G-REQ-03433</t>
  </si>
  <si>
    <t>SYNTHETIC: Laptop return; Completed; asset G-AST-00053</t>
  </si>
  <si>
    <t>G-REQ-00844-E1</t>
  </si>
  <si>
    <t>G-REQ-03434</t>
  </si>
  <si>
    <t>SYNTHETIC: Laptop return; Pending approval; asset G-AST-00338</t>
  </si>
  <si>
    <t>G-REQ-00844-E2</t>
  </si>
  <si>
    <t>SYNTHETIC: Laptop return; Cancelled; asset G-AST-00338</t>
  </si>
  <si>
    <t>G-REQ-03435</t>
  </si>
  <si>
    <t>G-REQ-00845-E1</t>
  </si>
  <si>
    <t>SYNTHETIC: Laptop repair; Pending approval; asset G-AST-00227</t>
  </si>
  <si>
    <t>G-REQ-03436</t>
  </si>
  <si>
    <t>G-REQ-00845-E2</t>
  </si>
  <si>
    <t>SYNTHETIC: Laptop repair; Approved; asset G-AST-00227</t>
  </si>
  <si>
    <t>G-REQ-00845-E3</t>
  </si>
  <si>
    <t>G-REQ-03437</t>
  </si>
  <si>
    <t>SYNTHETIC: Laptop repair; In progress; asset G-AST-00227</t>
  </si>
  <si>
    <t>G-REQ-00845-E4</t>
  </si>
  <si>
    <t>G-REQ-03438</t>
  </si>
  <si>
    <t>SYNTHETIC: Laptop repair; Completed; asset G-AST-00227</t>
  </si>
  <si>
    <t>G-REQ-00846-E1</t>
  </si>
  <si>
    <t>G-REQ-03439</t>
  </si>
  <si>
    <t>SYNTHETIC: Laptop return; Pending approval; asset G-AST-00279</t>
  </si>
  <si>
    <t>G-REQ-00846-E2</t>
  </si>
  <si>
    <t>G-REQ-03440</t>
  </si>
  <si>
    <t>SYNTHETIC: Laptop return; Approved; asset G-AST-00279</t>
  </si>
  <si>
    <t>G-REQ-00846-E3</t>
  </si>
  <si>
    <t>G-REQ-03441</t>
  </si>
  <si>
    <t>SYNTHETIC: Laptop return; In progress; asset G-AST-00279</t>
  </si>
  <si>
    <t>G-REQ-00846-E4</t>
  </si>
  <si>
    <t>SYNTHETIC: Laptop return; Completed; asset G-AST-00279</t>
  </si>
  <si>
    <t>G-REQ-00847-E1</t>
  </si>
  <si>
    <t>G-REQ-03442</t>
  </si>
  <si>
    <t>SYNTHETIC: Laptop repair; Pending approval; asset G-AST-00347</t>
  </si>
  <si>
    <t>G-REQ-00847-E2</t>
  </si>
  <si>
    <t>G-REQ-03443</t>
  </si>
  <si>
    <t>SYNTHETIC: Laptop repair; Approved; asset G-AST-00347</t>
  </si>
  <si>
    <t>G-REQ-00847-E3</t>
  </si>
  <si>
    <t>G-REQ-03444</t>
  </si>
  <si>
    <t>SYNTHETIC: Laptop repair; In progress; asset G-AST-00347</t>
  </si>
  <si>
    <t>G-REQ-03445</t>
  </si>
  <si>
    <t>G-REQ-00847-E4</t>
  </si>
  <si>
    <t>G-REQ-03446</t>
  </si>
  <si>
    <t>SYNTHETIC: Laptop repair; Completed; asset G-AST-00347</t>
  </si>
  <si>
    <t>G-REQ-00848-E1</t>
  </si>
  <si>
    <t>G-REQ-03447</t>
  </si>
  <si>
    <t>SYNTHETIC: Laptop allocation; Pending approval; asset G-AST-00354</t>
  </si>
  <si>
    <t>G-REQ-00848-E2</t>
  </si>
  <si>
    <t>G-REQ-03448</t>
  </si>
  <si>
    <t>SYNTHETIC: Laptop allocation; Approved; asset G-AST-00354</t>
  </si>
  <si>
    <t>G-REQ-00848-E3</t>
  </si>
  <si>
    <t>G-REQ-03449</t>
  </si>
  <si>
    <t>SYNTHETIC: Laptop allocation; In progress; asset G-AST-00354</t>
  </si>
  <si>
    <t>G-REQ-00848-E4</t>
  </si>
  <si>
    <t>G-REQ-03450</t>
  </si>
  <si>
    <t>SYNTHETIC: Laptop allocation; Completed; asset G-AST-00354</t>
  </si>
  <si>
    <t>G-REQ-00849-E1</t>
  </si>
  <si>
    <t>SYNTHETIC: Laptop repair; Pending approval; asset G-AST-00351</t>
  </si>
  <si>
    <t>G-REQ-03451</t>
  </si>
  <si>
    <t>G-REQ-00849-E2</t>
  </si>
  <si>
    <t>SYNTHETIC: Laptop repair; Rejected; asset G-AST-00351</t>
  </si>
  <si>
    <t>G-REQ-00850-E1</t>
  </si>
  <si>
    <t>G-REQ-03452</t>
  </si>
  <si>
    <t>SYNTHETIC: Laptop return; Pending approval; asset G-AST-00033</t>
  </si>
  <si>
    <t>G-REQ-00850-E2</t>
  </si>
  <si>
    <t>G-REQ-03453</t>
  </si>
  <si>
    <t>SYNTHETIC: Laptop return; Approved; asset G-AST-00033</t>
  </si>
  <si>
    <t>G-REQ-00850-E3</t>
  </si>
  <si>
    <t>G-REQ-03454</t>
  </si>
  <si>
    <t>SYNTHETIC: Laptop return; In progress; asset G-AST-00033</t>
  </si>
  <si>
    <t>G-REQ-00850-E4</t>
  </si>
  <si>
    <t>SYNTHETIC: Laptop return; Completed; asset G-AST-00033</t>
  </si>
  <si>
    <t>G-REQ-03455</t>
  </si>
  <si>
    <t>G-REQ-00851-E1</t>
  </si>
  <si>
    <t>SYNTHETIC: Laptop allocation; Pending approval; asset G-AST-00355</t>
  </si>
  <si>
    <t>G-REQ-03456</t>
  </si>
  <si>
    <t>G-REQ-00851-E2</t>
  </si>
  <si>
    <t>SYNTHETIC: Laptop allocation; Approved; asset G-AST-00355</t>
  </si>
  <si>
    <t>G-REQ-00851-E3</t>
  </si>
  <si>
    <t>G-REQ-03457</t>
  </si>
  <si>
    <t>SYNTHETIC: Laptop allocation; In progress; asset G-AST-00355</t>
  </si>
  <si>
    <t>G-REQ-00851-E4</t>
  </si>
  <si>
    <t>G-REQ-03458</t>
  </si>
  <si>
    <t>SYNTHETIC: Laptop allocation; Completed; asset G-AST-00355</t>
  </si>
  <si>
    <t>G-REQ-00852-E1</t>
  </si>
  <si>
    <t>G-REQ-03459</t>
  </si>
  <si>
    <t>G-REQ-00852-E2</t>
  </si>
  <si>
    <t>G-REQ-03460</t>
  </si>
  <si>
    <t>G-REQ-00852-E3</t>
  </si>
  <si>
    <t>G-REQ-00852-E4</t>
  </si>
  <si>
    <t>G-REQ-03461</t>
  </si>
  <si>
    <t>G-REQ-00853-E1</t>
  </si>
  <si>
    <t>G-REQ-03462</t>
  </si>
  <si>
    <t>SYNTHETIC: Laptop allocation; Pending approval; asset G-AST-00356</t>
  </si>
  <si>
    <t>G-REQ-00853-E2</t>
  </si>
  <si>
    <t>G-REQ-03463</t>
  </si>
  <si>
    <t>SYNTHETIC: Laptop allocation; Approved; asset G-AST-00356</t>
  </si>
  <si>
    <t>G-REQ-00853-E3</t>
  </si>
  <si>
    <t>G-REQ-03464</t>
  </si>
  <si>
    <t>SYNTHETIC: Laptop allocation; In progress; asset G-AST-00356</t>
  </si>
  <si>
    <t>G-REQ-00853-E4</t>
  </si>
  <si>
    <t>SYNTHETIC: Laptop allocation; Completed; asset G-AST-00356</t>
  </si>
  <si>
    <t>G-REQ-00854-E1</t>
  </si>
  <si>
    <t>G-REQ-03465</t>
  </si>
  <si>
    <t>G-REQ-00854-E2</t>
  </si>
  <si>
    <t>G-REQ-03466</t>
  </si>
  <si>
    <t>G-REQ-00854-E3</t>
  </si>
  <si>
    <t>G-REQ-03467</t>
  </si>
  <si>
    <t>G-REQ-00854-E4</t>
  </si>
  <si>
    <t>G-REQ-03468</t>
  </si>
  <si>
    <t>G-REQ-00855-E1</t>
  </si>
  <si>
    <t>G-REQ-03469</t>
  </si>
  <si>
    <t>SYNTHETIC: Laptop repair; Pending approval; asset G-AST-00267</t>
  </si>
  <si>
    <t>G-REQ-00855-E2</t>
  </si>
  <si>
    <t>G-REQ-03470</t>
  </si>
  <si>
    <t>SYNTHETIC: Laptop repair; Approved; asset G-AST-00267</t>
  </si>
  <si>
    <t>G-REQ-00855-E3</t>
  </si>
  <si>
    <t>G-REQ-03471</t>
  </si>
  <si>
    <t>G-REQ-03472</t>
  </si>
  <si>
    <t>SYNTHETIC: Laptop repair; In progress; asset G-AST-00267</t>
  </si>
  <si>
    <t>G-REQ-00855-E4</t>
  </si>
  <si>
    <t>G-REQ-03473</t>
  </si>
  <si>
    <t>SYNTHETIC: Laptop repair; Completed; asset G-AST-00267</t>
  </si>
  <si>
    <t>G-REQ-00856-E1</t>
  </si>
  <si>
    <t>G-REQ-03474</t>
  </si>
  <si>
    <t>G-REQ-03475</t>
  </si>
  <si>
    <t>SYNTHETIC: Laptop return; Pending approval; asset G-AST-00024</t>
  </si>
  <si>
    <t>G-REQ-00856-E2</t>
  </si>
  <si>
    <t>G-REQ-03476</t>
  </si>
  <si>
    <t>SYNTHETIC: Laptop return; Approved; asset G-AST-00024</t>
  </si>
  <si>
    <t>G-REQ-00856-E3</t>
  </si>
  <si>
    <t>G-REQ-03477</t>
  </si>
  <si>
    <t>G-REQ-03478</t>
  </si>
  <si>
    <t>SYNTHETIC: Laptop return; In progress; asset G-AST-00024</t>
  </si>
  <si>
    <t>G-REQ-03479</t>
  </si>
  <si>
    <t>G-REQ-00856-E4</t>
  </si>
  <si>
    <t>SYNTHETIC: Laptop return; Completed; asset G-AST-00024</t>
  </si>
  <si>
    <t>G-REQ-00857-E1</t>
  </si>
  <si>
    <t>G-REQ-03480</t>
  </si>
  <si>
    <t>SYNTHETIC: Laptop allocation; Pending approval; asset G-AST-00357</t>
  </si>
  <si>
    <t>G-REQ-00857-E2</t>
  </si>
  <si>
    <t>G-REQ-03481</t>
  </si>
  <si>
    <t>SYNTHETIC: Laptop allocation; Approved; asset G-AST-00357</t>
  </si>
  <si>
    <t>G-REQ-00857-E3</t>
  </si>
  <si>
    <t>G-REQ-03482</t>
  </si>
  <si>
    <t>SYNTHETIC: Laptop allocation; In progress; asset G-AST-00357</t>
  </si>
  <si>
    <t>G-REQ-00857-E4</t>
  </si>
  <si>
    <t>SYNTHETIC: Laptop allocation; Completed; asset G-AST-00357</t>
  </si>
  <si>
    <t>G-REQ-00858-E1</t>
  </si>
  <si>
    <t>G-REQ-03483</t>
  </si>
  <si>
    <t>SYNTHETIC: Laptop repair; Pending approval; asset G-AST-00357</t>
  </si>
  <si>
    <t>G-REQ-00858-E2</t>
  </si>
  <si>
    <t>G-REQ-03484</t>
  </si>
  <si>
    <t>SYNTHETIC: Laptop repair; Approved; asset G-AST-00357</t>
  </si>
  <si>
    <t>G-REQ-00858-E3</t>
  </si>
  <si>
    <t>G-REQ-03485</t>
  </si>
  <si>
    <t>SYNTHETIC: Laptop repair; In progress; asset G-AST-00357</t>
  </si>
  <si>
    <t>G-REQ-00858-E4</t>
  </si>
  <si>
    <t>G-REQ-03486</t>
  </si>
  <si>
    <t>SYNTHETIC: Laptop repair; Completed; asset G-AST-00357</t>
  </si>
  <si>
    <t>G-REQ-00859-E1</t>
  </si>
  <si>
    <t>G-REQ-03487</t>
  </si>
  <si>
    <t>SYNTHETIC: Laptop allocation; Pending approval; asset G-AST-00358</t>
  </si>
  <si>
    <t>G-REQ-00859-E2</t>
  </si>
  <si>
    <t>SYNTHETIC: Laptop allocation; Approved; asset G-AST-00358</t>
  </si>
  <si>
    <t>G-REQ-03488</t>
  </si>
  <si>
    <t>G-REQ-00859-E3</t>
  </si>
  <si>
    <t>SYNTHETIC: Laptop allocation; In progress; asset G-AST-00358</t>
  </si>
  <si>
    <t>G-REQ-00859-E4</t>
  </si>
  <si>
    <t>G-REQ-03489</t>
  </si>
  <si>
    <t>SYNTHETIC: Laptop allocation; Completed; asset G-AST-00358</t>
  </si>
  <si>
    <t>G-REQ-00860-E1</t>
  </si>
  <si>
    <t>G-REQ-03490</t>
  </si>
  <si>
    <t>G-REQ-00860-E2</t>
  </si>
  <si>
    <t>G-REQ-03491</t>
  </si>
  <si>
    <t>G-REQ-00860-E3</t>
  </si>
  <si>
    <t>G-REQ-03492</t>
  </si>
  <si>
    <t>G-REQ-00860-E4</t>
  </si>
  <si>
    <t>G-REQ-03493</t>
  </si>
  <si>
    <t>G-REQ-00861-E1</t>
  </si>
  <si>
    <t>G-REQ-03494</t>
  </si>
  <si>
    <t>G-REQ-00861-E2</t>
  </si>
  <si>
    <t>G-REQ-03495</t>
  </si>
  <si>
    <t>G-REQ-03496</t>
  </si>
  <si>
    <t>G-REQ-00862-E1</t>
  </si>
  <si>
    <t>G-REQ-03497</t>
  </si>
  <si>
    <t>SYNTHETIC: Laptop return; Pending approval; asset G-AST-00313</t>
  </si>
  <si>
    <t>G-REQ-00862-E2</t>
  </si>
  <si>
    <t>G-REQ-03498</t>
  </si>
  <si>
    <t>SYNTHETIC: Laptop return; Approved; asset G-AST-00313</t>
  </si>
  <si>
    <t>G-REQ-00862-E3</t>
  </si>
  <si>
    <t>G-REQ-03499</t>
  </si>
  <si>
    <t>SYNTHETIC: Laptop return; In progress; asset G-AST-00313</t>
  </si>
  <si>
    <t>G-REQ-03500</t>
  </si>
  <si>
    <t>G-REQ-00862-E4</t>
  </si>
  <si>
    <t>SYNTHETIC: Laptop return; Completed; asset G-AST-00313</t>
  </si>
  <si>
    <t>G-REQ-00863-E1</t>
  </si>
  <si>
    <t>G-REQ-03501</t>
  </si>
  <si>
    <t>G-REQ-00863-E2</t>
  </si>
  <si>
    <t>G-REQ-03502</t>
  </si>
  <si>
    <t>SYNTHETIC: Laptop repair; Cancelled; asset G-AST-00012</t>
  </si>
  <si>
    <t>G-REQ-00864-E1</t>
  </si>
  <si>
    <t>G-REQ-03503</t>
  </si>
  <si>
    <t>SYNTHETIC: Laptop return; Pending approval; asset G-AST-00336</t>
  </si>
  <si>
    <t>G-REQ-00864-E2</t>
  </si>
  <si>
    <t>G-REQ-03504</t>
  </si>
  <si>
    <t>SYNTHETIC: Laptop return; Rejected; asset G-AST-00336</t>
  </si>
  <si>
    <t>G-REQ-00865-E1</t>
  </si>
  <si>
    <t>G-REQ-03505</t>
  </si>
  <si>
    <t>SYNTHETIC: Laptop repair; Pending approval; asset G-AST-00320</t>
  </si>
  <si>
    <t>G-REQ-00865-E2</t>
  </si>
  <si>
    <t>SYNTHETIC: Laptop repair; Approved; asset G-AST-00320</t>
  </si>
  <si>
    <t>G-REQ-00865-E3</t>
  </si>
  <si>
    <t>G-REQ-03506</t>
  </si>
  <si>
    <t>SYNTHETIC: Laptop repair; In progress; asset G-AST-00320</t>
  </si>
  <si>
    <t>G-REQ-00865-E4</t>
  </si>
  <si>
    <t>G-REQ-03507</t>
  </si>
  <si>
    <t>SYNTHETIC: Laptop repair; Completed; asset G-AST-00320</t>
  </si>
  <si>
    <t>G-REQ-00866-E1</t>
  </si>
  <si>
    <t>G-REQ-03508</t>
  </si>
  <si>
    <t>SYNTHETIC: Laptop allocation; Pending approval; asset G-AST-00359</t>
  </si>
  <si>
    <t>G-REQ-00866-E2</t>
  </si>
  <si>
    <t>G-REQ-03509</t>
  </si>
  <si>
    <t>SYNTHETIC: Laptop allocation; Approved; asset G-AST-00359</t>
  </si>
  <si>
    <t>G-REQ-00866-E3</t>
  </si>
  <si>
    <t>G-REQ-03510</t>
  </si>
  <si>
    <t>SYNTHETIC: Laptop allocation; In progress; asset G-AST-00359</t>
  </si>
  <si>
    <t>G-REQ-00866-E4</t>
  </si>
  <si>
    <t>SYNTHETIC: Laptop allocation; Completed; asset G-AST-00359</t>
  </si>
  <si>
    <t>G-REQ-03511</t>
  </si>
  <si>
    <t>G-REQ-00867-E1</t>
  </si>
  <si>
    <t>SYNTHETIC: Laptop return; Pending approval; asset G-AST-00028</t>
  </si>
  <si>
    <t>G-REQ-00867-E2</t>
  </si>
  <si>
    <t>G-REQ-03512</t>
  </si>
  <si>
    <t>SYNTHETIC: Laptop return; Approved; asset G-AST-00028</t>
  </si>
  <si>
    <t>G-REQ-00867-E3</t>
  </si>
  <si>
    <t>G-REQ-03513</t>
  </si>
  <si>
    <t>SYNTHETIC: Laptop return; In progress; asset G-AST-00028</t>
  </si>
  <si>
    <t>G-REQ-00867-E4</t>
  </si>
  <si>
    <t>G-REQ-03514</t>
  </si>
  <si>
    <t>SYNTHETIC: Laptop return; Completed; asset G-AST-00028</t>
  </si>
  <si>
    <t>G-REQ-00868-E1</t>
  </si>
  <si>
    <t>SYNTHETIC: Laptop repair; Pending approval; asset G-AST-00203</t>
  </si>
  <si>
    <t>G-REQ-03515</t>
  </si>
  <si>
    <t>G-REQ-00868-E2</t>
  </si>
  <si>
    <t>SYNTHETIC: Laptop repair; Approved; asset G-AST-00203</t>
  </si>
  <si>
    <t>G-REQ-03516</t>
  </si>
  <si>
    <t>G-REQ-00868-E3</t>
  </si>
  <si>
    <t>SYNTHETIC: Laptop repair; In progress; asset G-AST-00203</t>
  </si>
  <si>
    <t>G-REQ-00868-E4</t>
  </si>
  <si>
    <t>G-REQ-03517</t>
  </si>
  <si>
    <t>SYNTHETIC: Laptop repair; Completed; asset G-AST-00203</t>
  </si>
  <si>
    <t>G-REQ-00869-E1</t>
  </si>
  <si>
    <t>G-REQ-03518</t>
  </si>
  <si>
    <t>G-REQ-03519</t>
  </si>
  <si>
    <t>G-REQ-00869-E2</t>
  </si>
  <si>
    <t>G-REQ-03520</t>
  </si>
  <si>
    <t>G-REQ-00869-E3</t>
  </si>
  <si>
    <t>G-REQ-03521</t>
  </si>
  <si>
    <t>G-REQ-00869-E4</t>
  </si>
  <si>
    <t>G-REQ-03522</t>
  </si>
  <si>
    <t>G-REQ-00870-E1</t>
  </si>
  <si>
    <t>SYNTHETIC: Laptop return; Pending approval; asset G-AST-00337</t>
  </si>
  <si>
    <t>G-REQ-00870-E2</t>
  </si>
  <si>
    <t>G-REQ-03523</t>
  </si>
  <si>
    <t>SYNTHETIC: Laptop return; Approved; asset G-AST-00337</t>
  </si>
  <si>
    <t>G-REQ-00870-E3</t>
  </si>
  <si>
    <t>G-REQ-03524</t>
  </si>
  <si>
    <t>SYNTHETIC: Laptop return; In progress; asset G-AST-00337</t>
  </si>
  <si>
    <t>G-REQ-00870-E4</t>
  </si>
  <si>
    <t>G-REQ-03525</t>
  </si>
  <si>
    <t>SYNTHETIC: Laptop return; Completed; asset G-AST-00337</t>
  </si>
  <si>
    <t>G-REQ-00871-E1</t>
  </si>
  <si>
    <t>SYNTHETIC: Laptop repair; Pending approval; asset G-AST-00297</t>
  </si>
  <si>
    <t>G-REQ-03526</t>
  </si>
  <si>
    <t>G-REQ-00871-E2</t>
  </si>
  <si>
    <t>SYNTHETIC: Laptop repair; Approved; asset G-AST-00297</t>
  </si>
  <si>
    <t>G-REQ-03527</t>
  </si>
  <si>
    <t>G-REQ-00871-E3</t>
  </si>
  <si>
    <t>G-REQ-03528</t>
  </si>
  <si>
    <t>G-REQ-03529</t>
  </si>
  <si>
    <t>SYNTHETIC: Laptop repair; In progress; asset G-AST-00297</t>
  </si>
  <si>
    <t>G-REQ-03530</t>
  </si>
  <si>
    <t>G-REQ-00871-E4</t>
  </si>
  <si>
    <t>SYNTHETIC: Laptop repair; Completed; asset G-AST-00297</t>
  </si>
  <si>
    <t>G-REQ-00872-E1</t>
  </si>
  <si>
    <t>G-REQ-03531</t>
  </si>
  <si>
    <t>SYNTHETIC: Laptop return; Pending approval; asset G-AST-00309</t>
  </si>
  <si>
    <t>G-REQ-00872-E2</t>
  </si>
  <si>
    <t>G-REQ-03532</t>
  </si>
  <si>
    <t>SYNTHETIC: Laptop return; Approved; asset G-AST-00309</t>
  </si>
  <si>
    <t>G-REQ-00872-E3</t>
  </si>
  <si>
    <t>G-REQ-03533</t>
  </si>
  <si>
    <t>SYNTHETIC: Laptop return; In progress; asset G-AST-00309</t>
  </si>
  <si>
    <t>G-REQ-00872-E4</t>
  </si>
  <si>
    <t>G-REQ-03534</t>
  </si>
  <si>
    <t>SYNTHETIC: Laptop return; Completed; asset G-AST-00309</t>
  </si>
  <si>
    <t>G-REQ-00873-E1</t>
  </si>
  <si>
    <t>G-REQ-03535</t>
  </si>
  <si>
    <t>G-REQ-00873-E2</t>
  </si>
  <si>
    <t>G-REQ-03536</t>
  </si>
  <si>
    <t>G-REQ-00873-E3</t>
  </si>
  <si>
    <t>G-REQ-03537</t>
  </si>
  <si>
    <t>G-REQ-00873-E4</t>
  </si>
  <si>
    <t>G-REQ-03538</t>
  </si>
  <si>
    <t>G-REQ-00874-E1</t>
  </si>
  <si>
    <t>G-REQ-03539</t>
  </si>
  <si>
    <t>SYNTHETIC: Laptop return; Pending approval; asset G-AST-00350</t>
  </si>
  <si>
    <t>G-REQ-00874-E2</t>
  </si>
  <si>
    <t>G-REQ-03540</t>
  </si>
  <si>
    <t>G-REQ-03541</t>
  </si>
  <si>
    <t>SYNTHETIC: Laptop return; Approved; asset G-AST-00350</t>
  </si>
  <si>
    <t>G-REQ-00874-E3</t>
  </si>
  <si>
    <t>G-REQ-03542</t>
  </si>
  <si>
    <t>SYNTHETIC: Laptop return; In progress; asset G-AST-00350</t>
  </si>
  <si>
    <t>G-REQ-00874-E4</t>
  </si>
  <si>
    <t>G-REQ-03543</t>
  </si>
  <si>
    <t>SYNTHETIC: Laptop return; Completed; asset G-AST-00350</t>
  </si>
  <si>
    <t>G-REQ-03544</t>
  </si>
  <si>
    <t>G-REQ-00875-E1</t>
  </si>
  <si>
    <t>G-REQ-03545</t>
  </si>
  <si>
    <t>G-REQ-00875-E2</t>
  </si>
  <si>
    <t>G-REQ-03546</t>
  </si>
  <si>
    <t>SYNTHETIC: Laptop repair; Rejected; asset G-AST-00304</t>
  </si>
  <si>
    <t>G-REQ-00876-E1</t>
  </si>
  <si>
    <t>SYNTHETIC: Laptop return; Pending approval; asset G-AST-00133</t>
  </si>
  <si>
    <t>G-REQ-03547</t>
  </si>
  <si>
    <t>G-REQ-00876-E2</t>
  </si>
  <si>
    <t>G-REQ-03548</t>
  </si>
  <si>
    <t>G-REQ-03549</t>
  </si>
  <si>
    <t>SYNTHETIC: Laptop return; Approved; asset G-AST-00133</t>
  </si>
  <si>
    <t>G-REQ-03550</t>
  </si>
  <si>
    <t>G-REQ-00876-E3</t>
  </si>
  <si>
    <t>G-REQ-03551</t>
  </si>
  <si>
    <t>SYNTHETIC: Laptop return; In progress; asset G-AST-00133</t>
  </si>
  <si>
    <t>G-REQ-00876-E4</t>
  </si>
  <si>
    <t>G-REQ-03552</t>
  </si>
  <si>
    <t>SYNTHETIC: Laptop return; Completed; asset G-AST-00133</t>
  </si>
  <si>
    <t>G-REQ-03553</t>
  </si>
  <si>
    <t>G-REQ-00877-E1</t>
  </si>
  <si>
    <t>G-REQ-03554</t>
  </si>
  <si>
    <t>SYNTHETIC: Laptop allocation; Pending approval; asset G-AST-00360</t>
  </si>
  <si>
    <t>G-REQ-00877-E2</t>
  </si>
  <si>
    <t>G-REQ-03555</t>
  </si>
  <si>
    <t>SYNTHETIC: Laptop allocation; Approved; asset G-AST-00360</t>
  </si>
  <si>
    <t>G-REQ-00877-E3</t>
  </si>
  <si>
    <t>G-REQ-03556</t>
  </si>
  <si>
    <t>SYNTHETIC: Laptop allocation; In progress; asset G-AST-00360</t>
  </si>
  <si>
    <t>G-REQ-00877-E4</t>
  </si>
  <si>
    <t>G-REQ-03557</t>
  </si>
  <si>
    <t>G-REQ-03558</t>
  </si>
  <si>
    <t>SYNTHETIC: Laptop allocation; Completed; asset G-AST-00360</t>
  </si>
  <si>
    <t>G-REQ-00878-E1</t>
  </si>
  <si>
    <t>G-REQ-03559</t>
  </si>
  <si>
    <t>G-REQ-00878-E2</t>
  </si>
  <si>
    <t>G-REQ-03560</t>
  </si>
  <si>
    <t>G-REQ-00878-E3</t>
  </si>
  <si>
    <t>G-REQ-03561</t>
  </si>
  <si>
    <t>G-REQ-00878-E4</t>
  </si>
  <si>
    <t>G-REQ-03562</t>
  </si>
  <si>
    <t>G-REQ-03563</t>
  </si>
  <si>
    <t>G-REQ-00879-E1</t>
  </si>
  <si>
    <t>G-REQ-03564</t>
  </si>
  <si>
    <t>G-REQ-00879-E2</t>
  </si>
  <si>
    <t>G-REQ-03565</t>
  </si>
  <si>
    <t>G-REQ-00879-E3</t>
  </si>
  <si>
    <t>G-REQ-03566</t>
  </si>
  <si>
    <t>G-REQ-00879-E4</t>
  </si>
  <si>
    <t>G-REQ-03567</t>
  </si>
  <si>
    <t>G-REQ-00880-E1</t>
  </si>
  <si>
    <t>G-REQ-03568</t>
  </si>
  <si>
    <t>G-REQ-00880-E2</t>
  </si>
  <si>
    <t>G-REQ-03569</t>
  </si>
  <si>
    <t>G-REQ-00880-E3</t>
  </si>
  <si>
    <t>G-REQ-03570</t>
  </si>
  <si>
    <t>G-REQ-00880-E4</t>
  </si>
  <si>
    <t>G-REQ-00881-E1</t>
  </si>
  <si>
    <t>G-REQ-03571</t>
  </si>
  <si>
    <t>SYNTHETIC: Laptop allocation; Pending approval; asset G-AST-00361</t>
  </si>
  <si>
    <t>G-REQ-00881-E2</t>
  </si>
  <si>
    <t>G-REQ-03572</t>
  </si>
  <si>
    <t>SYNTHETIC: Laptop allocation; Approved; asset G-AST-00361</t>
  </si>
  <si>
    <t>G-REQ-00881-E3</t>
  </si>
  <si>
    <t>G-REQ-03573</t>
  </si>
  <si>
    <t>SYNTHETIC: Laptop allocation; In progress; asset G-AST-00361</t>
  </si>
  <si>
    <t>G-REQ-00881-E4</t>
  </si>
  <si>
    <t>G-REQ-03574</t>
  </si>
  <si>
    <t>SYNTHETIC: Laptop allocation; Completed; asset G-AST-00361</t>
  </si>
  <si>
    <t>G-REQ-00882-E1</t>
  </si>
  <si>
    <t>SYNTHETIC: Laptop allocation; Pending approval; asset G-AST-00362</t>
  </si>
  <si>
    <t>G-REQ-03575</t>
  </si>
  <si>
    <t>G-REQ-00882-E2</t>
  </si>
  <si>
    <t>SYNTHETIC: Laptop allocation; Approved; asset G-AST-00362</t>
  </si>
  <si>
    <t>G-REQ-00882-E3</t>
  </si>
  <si>
    <t>G-REQ-03576</t>
  </si>
  <si>
    <t>SYNTHETIC: Laptop allocation; In progress; asset G-AST-00362</t>
  </si>
  <si>
    <t>G-REQ-00882-E4</t>
  </si>
  <si>
    <t>G-REQ-03577</t>
  </si>
  <si>
    <t>SYNTHETIC: Laptop allocation; Completed; asset G-AST-00362</t>
  </si>
  <si>
    <t>G-REQ-00883-E1</t>
  </si>
  <si>
    <t>G-REQ-03578</t>
  </si>
  <si>
    <t>SYNTHETIC: Laptop repair; Pending approval; asset G-AST-00346</t>
  </si>
  <si>
    <t>G-REQ-00883-E2</t>
  </si>
  <si>
    <t>G-REQ-03579</t>
  </si>
  <si>
    <t>SYNTHETIC: Laptop repair; Approved; asset G-AST-00346</t>
  </si>
  <si>
    <t>G-REQ-00883-E3</t>
  </si>
  <si>
    <t>G-REQ-03580</t>
  </si>
  <si>
    <t>SYNTHETIC: Laptop repair; In progress; asset G-AST-00346</t>
  </si>
  <si>
    <t>G-REQ-00883-E4</t>
  </si>
  <si>
    <t>SYNTHETIC: Laptop repair; Completed; asset G-AST-00346</t>
  </si>
  <si>
    <t>G-REQ-00884-E1</t>
  </si>
  <si>
    <t>G-REQ-03581</t>
  </si>
  <si>
    <t>SYNTHETIC: Laptop return; Pending approval; asset G-AST-00056</t>
  </si>
  <si>
    <t>G-REQ-00884-E2</t>
  </si>
  <si>
    <t>G-REQ-03582</t>
  </si>
  <si>
    <t>SYNTHETIC: Laptop return; Approved; asset G-AST-00056</t>
  </si>
  <si>
    <t>G-REQ-00884-E3</t>
  </si>
  <si>
    <t>G-REQ-03583</t>
  </si>
  <si>
    <t>SYNTHETIC: Laptop return; In progress; asset G-AST-00056</t>
  </si>
  <si>
    <t>G-REQ-00884-E4</t>
  </si>
  <si>
    <t>G-REQ-03584</t>
  </si>
  <si>
    <t>SYNTHETIC: Laptop return; Completed; asset G-AST-00056</t>
  </si>
  <si>
    <t>G-REQ-00885-E1</t>
  </si>
  <si>
    <t>G-REQ-03585</t>
  </si>
  <si>
    <t>SYNTHETIC: Laptop allocation; Pending approval; asset G-AST-00363</t>
  </si>
  <si>
    <t>G-REQ-00885-E2</t>
  </si>
  <si>
    <t>G-REQ-03586</t>
  </si>
  <si>
    <t>SYNTHETIC: Laptop allocation; Approved; asset G-AST-00363</t>
  </si>
  <si>
    <t>G-REQ-00885-E3</t>
  </si>
  <si>
    <t>G-REQ-03587</t>
  </si>
  <si>
    <t>SYNTHETIC: Laptop allocation; In progress; asset G-AST-00363</t>
  </si>
  <si>
    <t>G-REQ-00885-E4</t>
  </si>
  <si>
    <t>G-REQ-03588</t>
  </si>
  <si>
    <t>SYNTHETIC: Laptop allocation; Completed; asset G-AST-00363</t>
  </si>
  <si>
    <t>G-REQ-00886-E1</t>
  </si>
  <si>
    <t>G-REQ-03589</t>
  </si>
  <si>
    <t>SYNTHETIC: Laptop repair; Pending approval; asset G-AST-00235</t>
  </si>
  <si>
    <t>G-REQ-00886-E2</t>
  </si>
  <si>
    <t>G-REQ-03590</t>
  </si>
  <si>
    <t>SYNTHETIC: Laptop repair; Approved; asset G-AST-00235</t>
  </si>
  <si>
    <t>G-REQ-00886-E3</t>
  </si>
  <si>
    <t>G-REQ-03591</t>
  </si>
  <si>
    <t>SYNTHETIC: Laptop repair; In progress; asset G-AST-00235</t>
  </si>
  <si>
    <t>G-REQ-00886-E4</t>
  </si>
  <si>
    <t>G-REQ-03592</t>
  </si>
  <si>
    <t>SYNTHETIC: Laptop repair; Completed; asset G-AST-00235</t>
  </si>
  <si>
    <t>G-REQ-00887-E1</t>
  </si>
  <si>
    <t>G-REQ-03593</t>
  </si>
  <si>
    <t>G-REQ-03594</t>
  </si>
  <si>
    <t>G-REQ-00887-E2</t>
  </si>
  <si>
    <t>G-REQ-00887-E3</t>
  </si>
  <si>
    <t>G-REQ-03595</t>
  </si>
  <si>
    <t>G-REQ-03596</t>
  </si>
  <si>
    <t>G-REQ-00887-E4</t>
  </si>
  <si>
    <t>G-REQ-03597</t>
  </si>
  <si>
    <t>G-REQ-00888-E1</t>
  </si>
  <si>
    <t>G-REQ-03598</t>
  </si>
  <si>
    <t>SYNTHETIC: Laptop allocation; Pending approval; asset G-AST-00364</t>
  </si>
  <si>
    <t>G-REQ-00888-E2</t>
  </si>
  <si>
    <t>G-REQ-03599</t>
  </si>
  <si>
    <t>SYNTHETIC: Laptop allocation; Approved; asset G-AST-00364</t>
  </si>
  <si>
    <t>G-REQ-00888-E3</t>
  </si>
  <si>
    <t>G-REQ-03600</t>
  </si>
  <si>
    <t>SYNTHETIC: Laptop allocation; In progress; asset G-AST-00364</t>
  </si>
  <si>
    <t>G-REQ-00888-E4</t>
  </si>
  <si>
    <t>G-REQ-03601</t>
  </si>
  <si>
    <t>SYNTHETIC: Laptop allocation; Completed; asset G-AST-00364</t>
  </si>
  <si>
    <t>G-REQ-03602</t>
  </si>
  <si>
    <t>G-REQ-00889-E1</t>
  </si>
  <si>
    <t>G-REQ-03603</t>
  </si>
  <si>
    <t>SYNTHETIC: Laptop repair; Pending approval; asset G-AST-00285</t>
  </si>
  <si>
    <t>G-REQ-00889-E2</t>
  </si>
  <si>
    <t>G-REQ-03604</t>
  </si>
  <si>
    <t>SYNTHETIC: Laptop repair; Approved; asset G-AST-00285</t>
  </si>
  <si>
    <t>G-REQ-00889-E3</t>
  </si>
  <si>
    <t>G-REQ-03605</t>
  </si>
  <si>
    <t>SYNTHETIC: Laptop repair; In progress; asset G-AST-00285</t>
  </si>
  <si>
    <t>G-REQ-00889-E4</t>
  </si>
  <si>
    <t>G-REQ-03606</t>
  </si>
  <si>
    <t>SYNTHETIC: Laptop repair; Completed; asset G-AST-00285</t>
  </si>
  <si>
    <t>G-REQ-03607</t>
  </si>
  <si>
    <t>G-REQ-00890-E1</t>
  </si>
  <si>
    <t>G-REQ-03608</t>
  </si>
  <si>
    <t>SYNTHETIC: Laptop allocation; Pending approval; asset G-AST-00365</t>
  </si>
  <si>
    <t>G-REQ-00890-E2</t>
  </si>
  <si>
    <t>G-REQ-03609</t>
  </si>
  <si>
    <t>SYNTHETIC: Laptop allocation; Approved; asset G-AST-00365</t>
  </si>
  <si>
    <t>G-REQ-00890-E3</t>
  </si>
  <si>
    <t>G-REQ-03610</t>
  </si>
  <si>
    <t>SYNTHETIC: Laptop allocation; In progress; asset G-AST-00365</t>
  </si>
  <si>
    <t>G-REQ-00890-E4</t>
  </si>
  <si>
    <t>G-REQ-03611</t>
  </si>
  <si>
    <t>SYNTHETIC: Laptop allocation; Completed; asset G-AST-00365</t>
  </si>
  <si>
    <t>G-REQ-03612</t>
  </si>
  <si>
    <t>G-REQ-00891-E1</t>
  </si>
  <si>
    <t>G-REQ-03613</t>
  </si>
  <si>
    <t>SYNTHETIC: Laptop allocation; Pending approval; asset G-AST-00366</t>
  </si>
  <si>
    <t>G-REQ-00891-E2</t>
  </si>
  <si>
    <t>G-REQ-03614</t>
  </si>
  <si>
    <t>SYNTHETIC: Laptop allocation; Approved; asset G-AST-00366</t>
  </si>
  <si>
    <t>G-REQ-00891-E3</t>
  </si>
  <si>
    <t>G-REQ-03615</t>
  </si>
  <si>
    <t>SYNTHETIC: Laptop allocation; In progress; asset G-AST-00366</t>
  </si>
  <si>
    <t>G-REQ-03616</t>
  </si>
  <si>
    <t>G-REQ-00891-E4</t>
  </si>
  <si>
    <t>G-REQ-03617</t>
  </si>
  <si>
    <t>SYNTHETIC: Laptop allocation; Completed; asset G-AST-00366</t>
  </si>
  <si>
    <t>G-REQ-00892-E1</t>
  </si>
  <si>
    <t>G-REQ-03618</t>
  </si>
  <si>
    <t>SYNTHETIC: Laptop allocation; Pending approval; asset G-AST-00367</t>
  </si>
  <si>
    <t>G-REQ-00892-E2</t>
  </si>
  <si>
    <t>G-REQ-03619</t>
  </si>
  <si>
    <t>G-REQ-03620</t>
  </si>
  <si>
    <t>SYNTHETIC: Laptop allocation; Approved; asset G-AST-00367</t>
  </si>
  <si>
    <t>G-REQ-00892-E3</t>
  </si>
  <si>
    <t>G-REQ-03621</t>
  </si>
  <si>
    <t>SYNTHETIC: Laptop allocation; In progress; asset G-AST-00367</t>
  </si>
  <si>
    <t>G-REQ-00892-E4</t>
  </si>
  <si>
    <t>SYNTHETIC: Laptop allocation; Completed; asset G-AST-00367</t>
  </si>
  <si>
    <t>G-REQ-00893-E1</t>
  </si>
  <si>
    <t>G-REQ-03622</t>
  </si>
  <si>
    <t>G-REQ-00893-E2</t>
  </si>
  <si>
    <t>G-REQ-03623</t>
  </si>
  <si>
    <t>G-REQ-00893-E3</t>
  </si>
  <si>
    <t>G-REQ-03624</t>
  </si>
  <si>
    <t>G-REQ-00893-E4</t>
  </si>
  <si>
    <t>G-REQ-03625</t>
  </si>
  <si>
    <t>G-REQ-00894-E1</t>
  </si>
  <si>
    <t>SYNTHETIC: Laptop return; Pending approval; asset G-AST-00363</t>
  </si>
  <si>
    <t>G-REQ-03626</t>
  </si>
  <si>
    <t>G-REQ-00894-E2</t>
  </si>
  <si>
    <t>SYNTHETIC: Laptop return; Approved; asset G-AST-00363</t>
  </si>
  <si>
    <t>G-REQ-00894-E3</t>
  </si>
  <si>
    <t>G-REQ-03627</t>
  </si>
  <si>
    <t>SYNTHETIC: Laptop return; In progress; asset G-AST-00363</t>
  </si>
  <si>
    <t>G-REQ-00894-E4</t>
  </si>
  <si>
    <t>G-REQ-03628</t>
  </si>
  <si>
    <t>SYNTHETIC: Laptop return; Completed; asset G-AST-00363</t>
  </si>
  <si>
    <t>G-REQ-00895-E1</t>
  </si>
  <si>
    <t>G-REQ-03629</t>
  </si>
  <si>
    <t>SYNTHETIC: Laptop return; Pending approval; asset G-AST-00330</t>
  </si>
  <si>
    <t>G-REQ-00895-E2</t>
  </si>
  <si>
    <t>G-REQ-03630</t>
  </si>
  <si>
    <t>SYNTHETIC: Laptop return; Approved; asset G-AST-00330</t>
  </si>
  <si>
    <t>G-REQ-00895-E3</t>
  </si>
  <si>
    <t>SYNTHETIC: Laptop return; In progress; asset G-AST-00330</t>
  </si>
  <si>
    <t>G-REQ-03631</t>
  </si>
  <si>
    <t>G-REQ-00895-E4</t>
  </si>
  <si>
    <t>SYNTHETIC: Laptop return; Completed; asset G-AST-00330</t>
  </si>
  <si>
    <t>G-REQ-00896-E1</t>
  </si>
  <si>
    <t>G-REQ-03632</t>
  </si>
  <si>
    <t>SYNTHETIC: Laptop allocation; Pending approval; asset G-AST-00368</t>
  </si>
  <si>
    <t>G-REQ-00896-E2</t>
  </si>
  <si>
    <t>G-REQ-03633</t>
  </si>
  <si>
    <t>SYNTHETIC: Laptop allocation; Approved; asset G-AST-00368</t>
  </si>
  <si>
    <t>G-REQ-00896-E3</t>
  </si>
  <si>
    <t>G-REQ-03634</t>
  </si>
  <si>
    <t>SYNTHETIC: Laptop allocation; In progress; asset G-AST-00368</t>
  </si>
  <si>
    <t>G-REQ-00896-E4</t>
  </si>
  <si>
    <t>G-REQ-03635</t>
  </si>
  <si>
    <t>SYNTHETIC: Laptop allocation; Completed; asset G-AST-00368</t>
  </si>
  <si>
    <t>G-REQ-00897-E1</t>
  </si>
  <si>
    <t>SYNTHETIC: Laptop return; Pending approval; asset G-AST-00344</t>
  </si>
  <si>
    <t>G-REQ-03636</t>
  </si>
  <si>
    <t>G-REQ-00897-E2</t>
  </si>
  <si>
    <t>SYNTHETIC: Laptop return; Approved; asset G-AST-00344</t>
  </si>
  <si>
    <t>G-REQ-00897-E3</t>
  </si>
  <si>
    <t>G-REQ-03637</t>
  </si>
  <si>
    <t>SYNTHETIC: Laptop return; In progress; asset G-AST-00344</t>
  </si>
  <si>
    <t>G-REQ-00897-E4</t>
  </si>
  <si>
    <t>G-REQ-03638</t>
  </si>
  <si>
    <t>SYNTHETIC: Laptop return; Completed; asset G-AST-00344</t>
  </si>
  <si>
    <t>G-REQ-00898-E1</t>
  </si>
  <si>
    <t>G-REQ-03639</t>
  </si>
  <si>
    <t>SYNTHETIC: Laptop repair; Pending approval; asset G-AST-00299</t>
  </si>
  <si>
    <t>G-REQ-00898-E2</t>
  </si>
  <si>
    <t>G-REQ-03640</t>
  </si>
  <si>
    <t>SYNTHETIC: Laptop repair; Approved; asset G-AST-00299</t>
  </si>
  <si>
    <t>G-REQ-00898-E3</t>
  </si>
  <si>
    <t>G-REQ-03641</t>
  </si>
  <si>
    <t>SYNTHETIC: Laptop repair; In progress; asset G-AST-00299</t>
  </si>
  <si>
    <t>G-REQ-00898-E4</t>
  </si>
  <si>
    <t>G-REQ-03642</t>
  </si>
  <si>
    <t>SYNTHETIC: Laptop repair; Completed; asset G-AST-00299</t>
  </si>
  <si>
    <t>G-REQ-00899-E1</t>
  </si>
  <si>
    <t>G-REQ-03643</t>
  </si>
  <si>
    <t>SYNTHETIC: Laptop repair; Pending approval; asset G-AST-00333</t>
  </si>
  <si>
    <t>G-REQ-00899-E2</t>
  </si>
  <si>
    <t>G-REQ-03644</t>
  </si>
  <si>
    <t>SYNTHETIC: Laptop repair; Rejected; asset G-AST-00333</t>
  </si>
  <si>
    <t>G-REQ-00900-E1</t>
  </si>
  <si>
    <t>G-REQ-03645</t>
  </si>
  <si>
    <t>SYNTHETIC: Laptop repair; Pending approval; asset G-AST-00039</t>
  </si>
  <si>
    <t>G-REQ-00900-E2</t>
  </si>
  <si>
    <t>G-REQ-03646</t>
  </si>
  <si>
    <t>SYNTHETIC: Laptop repair; Cancelled; asset G-AST-00039</t>
  </si>
  <si>
    <t>G-REQ-00901-E1</t>
  </si>
  <si>
    <t>G-REQ-03647</t>
  </si>
  <si>
    <t>G-REQ-00901-E2</t>
  </si>
  <si>
    <t>G-REQ-03648</t>
  </si>
  <si>
    <t>SYNTHETIC: Laptop repair; Cancelled; asset G-AST-00267</t>
  </si>
  <si>
    <t>G-REQ-00902-E1</t>
  </si>
  <si>
    <t>G-REQ-03649</t>
  </si>
  <si>
    <t>SYNTHETIC: Laptop allocation; Pending approval; asset G-AST-00369</t>
  </si>
  <si>
    <t>G-REQ-03650</t>
  </si>
  <si>
    <t>G-REQ-00902-E2</t>
  </si>
  <si>
    <t>G-REQ-03651</t>
  </si>
  <si>
    <t>SYNTHETIC: Laptop allocation; Approved; asset G-AST-00369</t>
  </si>
  <si>
    <t>G-REQ-00902-E3</t>
  </si>
  <si>
    <t>G-REQ-03652</t>
  </si>
  <si>
    <t>SYNTHETIC: Laptop allocation; In progress; asset G-AST-00369</t>
  </si>
  <si>
    <t>G-REQ-03653</t>
  </si>
  <si>
    <t>G-REQ-00902-E4</t>
  </si>
  <si>
    <t>G-REQ-03654</t>
  </si>
  <si>
    <t>SYNTHETIC: Laptop allocation; Completed; asset G-AST-00369</t>
  </si>
  <si>
    <t>G-REQ-00903-E1</t>
  </si>
  <si>
    <t>G-REQ-03655</t>
  </si>
  <si>
    <t>SYNTHETIC: Laptop allocation; Pending approval; asset G-AST-00370</t>
  </si>
  <si>
    <t>G-REQ-00903-E2</t>
  </si>
  <si>
    <t>SYNTHETIC: Laptop allocation; Approved; asset G-AST-00370</t>
  </si>
  <si>
    <t>G-REQ-03656</t>
  </si>
  <si>
    <t>G-REQ-00903-E3</t>
  </si>
  <si>
    <t>SYNTHETIC: Laptop allocation; In progress; asset G-AST-00370</t>
  </si>
  <si>
    <t>G-REQ-03657</t>
  </si>
  <si>
    <t>G-REQ-00903-E4</t>
  </si>
  <si>
    <t>SYNTHETIC: Laptop allocation; Completed; asset G-AST-00370</t>
  </si>
  <si>
    <t>G-REQ-00904-E1</t>
  </si>
  <si>
    <t>G-REQ-03658</t>
  </si>
  <si>
    <t>SYNTHETIC: Laptop repair; Pending approval; asset G-AST-00286</t>
  </si>
  <si>
    <t>G-REQ-00904-E2</t>
  </si>
  <si>
    <t>G-REQ-03659</t>
  </si>
  <si>
    <t>SYNTHETIC: Laptop repair; Approved; asset G-AST-00286</t>
  </si>
  <si>
    <t>G-REQ-00904-E3</t>
  </si>
  <si>
    <t>G-REQ-03660</t>
  </si>
  <si>
    <t>SYNTHETIC: Laptop repair; In progress; asset G-AST-00286</t>
  </si>
  <si>
    <t>G-REQ-00904-E4</t>
  </si>
  <si>
    <t>G-REQ-03661</t>
  </si>
  <si>
    <t>SYNTHETIC: Laptop repair; Completed; asset G-AST-00286</t>
  </si>
  <si>
    <t>G-REQ-00905-E1</t>
  </si>
  <si>
    <t>G-REQ-03662</t>
  </si>
  <si>
    <t>SYNTHETIC: Laptop allocation; Pending approval; asset G-AST-00371</t>
  </si>
  <si>
    <t>G-REQ-00905-E2</t>
  </si>
  <si>
    <t>G-REQ-03663</t>
  </si>
  <si>
    <t>SYNTHETIC: Laptop allocation; Approved; asset G-AST-00371</t>
  </si>
  <si>
    <t>G-REQ-00905-E3</t>
  </si>
  <si>
    <t>G-REQ-03664</t>
  </si>
  <si>
    <t>SYNTHETIC: Laptop allocation; In progress; asset G-AST-00371</t>
  </si>
  <si>
    <t>G-REQ-03665</t>
  </si>
  <si>
    <t>G-REQ-00905-E4</t>
  </si>
  <si>
    <t>G-REQ-03666</t>
  </si>
  <si>
    <t>SYNTHETIC: Laptop allocation; Completed; asset G-AST-00371</t>
  </si>
  <si>
    <t>G-REQ-00906-E1</t>
  </si>
  <si>
    <t>G-REQ-03667</t>
  </si>
  <si>
    <t>SYNTHETIC: Laptop return; Pending approval; asset G-AST-00319</t>
  </si>
  <si>
    <t>G-REQ-00906-E2</t>
  </si>
  <si>
    <t>G-REQ-03668</t>
  </si>
  <si>
    <t>SYNTHETIC: Laptop return; Approved; asset G-AST-00319</t>
  </si>
  <si>
    <t>G-REQ-03669</t>
  </si>
  <si>
    <t>G-REQ-00906-E3</t>
  </si>
  <si>
    <t>SYNTHETIC: Laptop return; In progress; asset G-AST-00319</t>
  </si>
  <si>
    <t>G-REQ-00906-E4</t>
  </si>
  <si>
    <t>G-REQ-03670</t>
  </si>
  <si>
    <t>SYNTHETIC: Laptop return; Completed; asset G-AST-00319</t>
  </si>
  <si>
    <t>G-REQ-00907-E1</t>
  </si>
  <si>
    <t>G-REQ-03671</t>
  </si>
  <si>
    <t>SYNTHETIC: Laptop allocation; Pending approval; asset G-AST-00372</t>
  </si>
  <si>
    <t>G-REQ-00907-E2</t>
  </si>
  <si>
    <t>G-REQ-03672</t>
  </si>
  <si>
    <t>SYNTHETIC: Laptop allocation; Approved; asset G-AST-00372</t>
  </si>
  <si>
    <t>G-REQ-00907-E3</t>
  </si>
  <si>
    <t>G-REQ-03673</t>
  </si>
  <si>
    <t>SYNTHETIC: Laptop allocation; In progress; asset G-AST-00372</t>
  </si>
  <si>
    <t>G-REQ-00907-E4</t>
  </si>
  <si>
    <t>G-REQ-03674</t>
  </si>
  <si>
    <t>SYNTHETIC: Laptop allocation; Completed; asset G-AST-00372</t>
  </si>
  <si>
    <t>G-REQ-00908-E1</t>
  </si>
  <si>
    <t>G-REQ-03675</t>
  </si>
  <si>
    <t>SYNTHETIC: Laptop repair; Pending approval; asset G-AST-00372</t>
  </si>
  <si>
    <t>G-REQ-00908-E2</t>
  </si>
  <si>
    <t>G-REQ-03676</t>
  </si>
  <si>
    <t>SYNTHETIC: Laptop repair; Approved; asset G-AST-00372</t>
  </si>
  <si>
    <t>G-REQ-00908-E3</t>
  </si>
  <si>
    <t>G-REQ-03677</t>
  </si>
  <si>
    <t>SYNTHETIC: Laptop repair; In progress; asset G-AST-00372</t>
  </si>
  <si>
    <t>G-REQ-00908-E4</t>
  </si>
  <si>
    <t>G-REQ-03678</t>
  </si>
  <si>
    <t>SYNTHETIC: Laptop repair; Completed; asset G-AST-00372</t>
  </si>
  <si>
    <t>G-REQ-00909-E1</t>
  </si>
  <si>
    <t>G-REQ-03679</t>
  </si>
  <si>
    <t>SYNTHETIC: Laptop allocation; Pending approval; asset G-AST-00373</t>
  </si>
  <si>
    <t>G-REQ-00909-E2</t>
  </si>
  <si>
    <t>G-REQ-03680</t>
  </si>
  <si>
    <t>SYNTHETIC: Laptop allocation; Approved; asset G-AST-00373</t>
  </si>
  <si>
    <t>G-REQ-00909-E3</t>
  </si>
  <si>
    <t>G-REQ-03681</t>
  </si>
  <si>
    <t>SYNTHETIC: Laptop allocation; In progress; asset G-AST-00373</t>
  </si>
  <si>
    <t>G-REQ-00909-E4</t>
  </si>
  <si>
    <t>SYNTHETIC: Laptop allocation; Completed; asset G-AST-00373</t>
  </si>
  <si>
    <t>G-REQ-00910-E1</t>
  </si>
  <si>
    <t>G-REQ-03682</t>
  </si>
  <si>
    <t>SYNTHETIC: Laptop return; Pending approval; asset G-AST-00266</t>
  </si>
  <si>
    <t>G-REQ-00910-E2</t>
  </si>
  <si>
    <t>G-REQ-03683</t>
  </si>
  <si>
    <t>SYNTHETIC: Laptop return; Approved; asset G-AST-00266</t>
  </si>
  <si>
    <t>G-REQ-00910-E3</t>
  </si>
  <si>
    <t>G-REQ-03684</t>
  </si>
  <si>
    <t>SYNTHETIC: Laptop return; In progress; asset G-AST-00266</t>
  </si>
  <si>
    <t>G-REQ-00910-E4</t>
  </si>
  <si>
    <t>G-REQ-03685</t>
  </si>
  <si>
    <t>SYNTHETIC: Laptop return; Completed; asset G-AST-00266</t>
  </si>
  <si>
    <t>G-REQ-00911-E1</t>
  </si>
  <si>
    <t>G-REQ-03686</t>
  </si>
  <si>
    <t>SYNTHETIC: Laptop repair; Pending approval; asset G-AST-00300</t>
  </si>
  <si>
    <t>G-REQ-00911-E2</t>
  </si>
  <si>
    <t>G-REQ-03687</t>
  </si>
  <si>
    <t>SYNTHETIC: Laptop repair; Approved; asset G-AST-00300</t>
  </si>
  <si>
    <t>G-REQ-00911-E3</t>
  </si>
  <si>
    <t>G-REQ-03688</t>
  </si>
  <si>
    <t>SYNTHETIC: Laptop repair; In progress; asset G-AST-00300</t>
  </si>
  <si>
    <t>G-REQ-00911-E4</t>
  </si>
  <si>
    <t>G-REQ-03689</t>
  </si>
  <si>
    <t>SYNTHETIC: Laptop repair; Completed; asset G-AST-00300</t>
  </si>
  <si>
    <t>G-REQ-00912-E1</t>
  </si>
  <si>
    <t>G-REQ-03690</t>
  </si>
  <si>
    <t>SYNTHETIC: Laptop repair; Pending approval; asset G-AST-00361</t>
  </si>
  <si>
    <t>G-REQ-03691</t>
  </si>
  <si>
    <t>G-REQ-00912-E2</t>
  </si>
  <si>
    <t>G-REQ-03692</t>
  </si>
  <si>
    <t>SYNTHETIC: Laptop repair; Approved; asset G-AST-00361</t>
  </si>
  <si>
    <t>G-REQ-00912-E3</t>
  </si>
  <si>
    <t>G-REQ-03693</t>
  </si>
  <si>
    <t>SYNTHETIC: Laptop repair; In progress; asset G-AST-00361</t>
  </si>
  <si>
    <t>G-REQ-00912-E4</t>
  </si>
  <si>
    <t>G-REQ-03694</t>
  </si>
  <si>
    <t>SYNTHETIC: Laptop repair; Completed; asset G-AST-00361</t>
  </si>
  <si>
    <t>G-REQ-03695</t>
  </si>
  <si>
    <t>G-REQ-00913-E1</t>
  </si>
  <si>
    <t>G-REQ-03696</t>
  </si>
  <si>
    <t>SYNTHETIC: Laptop return; Pending approval; asset G-AST-00158</t>
  </si>
  <si>
    <t>G-REQ-00913-E2</t>
  </si>
  <si>
    <t>G-REQ-03697</t>
  </si>
  <si>
    <t>SYNTHETIC: Laptop return; Approved; asset G-AST-00158</t>
  </si>
  <si>
    <t>G-REQ-03698</t>
  </si>
  <si>
    <t>G-REQ-00913-E3</t>
  </si>
  <si>
    <t>G-REQ-03699</t>
  </si>
  <si>
    <t>SYNTHETIC: Laptop return; In progress; asset G-AST-00158</t>
  </si>
  <si>
    <t>G-REQ-00913-E4</t>
  </si>
  <si>
    <t>G-REQ-03700</t>
  </si>
  <si>
    <t>SYNTHETIC: Laptop return; Completed; asset G-AST-00158</t>
  </si>
  <si>
    <t>G-REQ-03701</t>
  </si>
  <si>
    <t>G-REQ-00914-E1</t>
  </si>
  <si>
    <t>G-REQ-03702</t>
  </si>
  <si>
    <t>SYNTHETIC: Laptop allocation; Pending approval; asset G-AST-00374</t>
  </si>
  <si>
    <t>G-REQ-00914-E2</t>
  </si>
  <si>
    <t>G-REQ-03703</t>
  </si>
  <si>
    <t>SYNTHETIC: Laptop allocation; Approved; asset G-AST-00374</t>
  </si>
  <si>
    <t>G-REQ-00914-E3</t>
  </si>
  <si>
    <t>G-REQ-03704</t>
  </si>
  <si>
    <t>SYNTHETIC: Laptop allocation; In progress; asset G-AST-00374</t>
  </si>
  <si>
    <t>G-REQ-03705</t>
  </si>
  <si>
    <t>G-REQ-00914-E4</t>
  </si>
  <si>
    <t>G-REQ-03706</t>
  </si>
  <si>
    <t>SYNTHETIC: Laptop allocation; Completed; asset G-AST-00374</t>
  </si>
  <si>
    <t>G-REQ-00915-E1</t>
  </si>
  <si>
    <t>G-REQ-03707</t>
  </si>
  <si>
    <t>SYNTHETIC: Laptop allocation; Pending approval; asset G-AST-00375</t>
  </si>
  <si>
    <t>G-REQ-00915-E2</t>
  </si>
  <si>
    <t>G-REQ-03708</t>
  </si>
  <si>
    <t>G-REQ-03709</t>
  </si>
  <si>
    <t>SYNTHETIC: Laptop allocation; Approved; asset G-AST-00375</t>
  </si>
  <si>
    <t>G-REQ-00915-E3</t>
  </si>
  <si>
    <t>G-REQ-03710</t>
  </si>
  <si>
    <t>SYNTHETIC: Laptop allocation; In progress; asset G-AST-00375</t>
  </si>
  <si>
    <t>G-REQ-00915-E4</t>
  </si>
  <si>
    <t>G-REQ-03711</t>
  </si>
  <si>
    <t>G-REQ-03712</t>
  </si>
  <si>
    <t>SYNTHETIC: Laptop allocation; Completed; asset G-AST-00375</t>
  </si>
  <si>
    <t>G-REQ-03713</t>
  </si>
  <si>
    <t>G-REQ-00916-E1</t>
  </si>
  <si>
    <t>G-REQ-03714</t>
  </si>
  <si>
    <t>SYNTHETIC: Laptop return; Pending approval; asset G-AST-00371</t>
  </si>
  <si>
    <t>G-REQ-03715</t>
  </si>
  <si>
    <t>G-REQ-00916-E2</t>
  </si>
  <si>
    <t>G-REQ-03716</t>
  </si>
  <si>
    <t>SYNTHETIC: Laptop return; Cancelled; asset G-AST-00371</t>
  </si>
  <si>
    <t>G-REQ-00917-E1</t>
  </si>
  <si>
    <t>G-REQ-03717</t>
  </si>
  <si>
    <t>SYNTHETIC: Laptop repair; Pending approval; asset G-AST-00356</t>
  </si>
  <si>
    <t>G-REQ-00917-E2</t>
  </si>
  <si>
    <t>G-REQ-03718</t>
  </si>
  <si>
    <t>SYNTHETIC: Laptop repair; Approved; asset G-AST-00356</t>
  </si>
  <si>
    <t>G-REQ-00917-E3</t>
  </si>
  <si>
    <t>G-REQ-03719</t>
  </si>
  <si>
    <t>SYNTHETIC: Laptop repair; In progress; asset G-AST-00356</t>
  </si>
  <si>
    <t>G-REQ-00917-E4</t>
  </si>
  <si>
    <t>G-REQ-03720</t>
  </si>
  <si>
    <t>SYNTHETIC: Laptop repair; Completed; asset G-AST-00356</t>
  </si>
  <si>
    <t>G-REQ-00918-E1</t>
  </si>
  <si>
    <t>G-REQ-03721</t>
  </si>
  <si>
    <t>G-REQ-03722</t>
  </si>
  <si>
    <t>G-REQ-00918-E2</t>
  </si>
  <si>
    <t>G-REQ-03723</t>
  </si>
  <si>
    <t>SYNTHETIC: Laptop return; Approved; asset G-AST-00047</t>
  </si>
  <si>
    <t>G-REQ-00918-E3</t>
  </si>
  <si>
    <t>G-REQ-03724</t>
  </si>
  <si>
    <t>SYNTHETIC: Laptop return; In progress; asset G-AST-00047</t>
  </si>
  <si>
    <t>G-REQ-00918-E4</t>
  </si>
  <si>
    <t>G-REQ-03725</t>
  </si>
  <si>
    <t>SYNTHETIC: Laptop return; Completed; asset G-AST-00047</t>
  </si>
  <si>
    <t>G-REQ-00919-E1</t>
  </si>
  <si>
    <t>G-REQ-03726</t>
  </si>
  <si>
    <t>G-REQ-03727</t>
  </si>
  <si>
    <t>G-REQ-00919-E2</t>
  </si>
  <si>
    <t>G-REQ-03728</t>
  </si>
  <si>
    <t>G-REQ-00919-E3</t>
  </si>
  <si>
    <t>G-REQ-03729</t>
  </si>
  <si>
    <t>G-REQ-00919-E4</t>
  </si>
  <si>
    <t>G-REQ-03730</t>
  </si>
  <si>
    <t>G-REQ-00920-E1</t>
  </si>
  <si>
    <t>G-REQ-03731</t>
  </si>
  <si>
    <t>SYNTHETIC: Laptop allocation; Pending approval; asset G-AST-00376</t>
  </si>
  <si>
    <t>G-REQ-00920-E2</t>
  </si>
  <si>
    <t>G-REQ-03732</t>
  </si>
  <si>
    <t>SYNTHETIC: Laptop allocation; Approved; asset G-AST-00376</t>
  </si>
  <si>
    <t>G-REQ-00920-E3</t>
  </si>
  <si>
    <t>G-REQ-03733</t>
  </si>
  <si>
    <t>SYNTHETIC: Laptop allocation; In progress; asset G-AST-00376</t>
  </si>
  <si>
    <t>G-REQ-00920-E4</t>
  </si>
  <si>
    <t>SYNTHETIC: Laptop allocation; Completed; asset G-AST-00376</t>
  </si>
  <si>
    <t>G-REQ-03734</t>
  </si>
  <si>
    <t>G-REQ-00921-E1</t>
  </si>
  <si>
    <t>G-REQ-03735</t>
  </si>
  <si>
    <t>G-REQ-00921-E2</t>
  </si>
  <si>
    <t>G-REQ-00921-E3</t>
  </si>
  <si>
    <t>G-REQ-03736</t>
  </si>
  <si>
    <t>G-REQ-00921-E4</t>
  </si>
  <si>
    <t>G-REQ-03737</t>
  </si>
  <si>
    <t>G-REQ-00922-E1</t>
  </si>
  <si>
    <t>G-REQ-03738</t>
  </si>
  <si>
    <t>SYNTHETIC: Laptop allocation; Pending approval; asset G-AST-00377</t>
  </si>
  <si>
    <t>G-REQ-00922-E2</t>
  </si>
  <si>
    <t>G-REQ-03739</t>
  </si>
  <si>
    <t>SYNTHETIC: Laptop allocation; Approved; asset G-AST-00377</t>
  </si>
  <si>
    <t>G-REQ-00922-E3</t>
  </si>
  <si>
    <t>SYNTHETIC: Laptop allocation; In progress; asset G-AST-00377</t>
  </si>
  <si>
    <t>G-REQ-00922-E4</t>
  </si>
  <si>
    <t>G-REQ-03740</t>
  </si>
  <si>
    <t>SYNTHETIC: Laptop allocation; Completed; asset G-AST-00377</t>
  </si>
  <si>
    <t>G-REQ-00923-E1</t>
  </si>
  <si>
    <t>G-REQ-03741</t>
  </si>
  <si>
    <t>SYNTHETIC: Laptop allocation; Pending approval; asset G-AST-00378</t>
  </si>
  <si>
    <t>G-REQ-00923-E2</t>
  </si>
  <si>
    <t>SYNTHETIC: Laptop allocation; Approved; asset G-AST-00378</t>
  </si>
  <si>
    <t>G-REQ-03742</t>
  </si>
  <si>
    <t>G-REQ-00923-E3</t>
  </si>
  <si>
    <t>SYNTHETIC: Laptop allocation; In progress; asset G-AST-00378</t>
  </si>
  <si>
    <t>G-REQ-00923-E4</t>
  </si>
  <si>
    <t>G-REQ-03743</t>
  </si>
  <si>
    <t>SYNTHETIC: Laptop allocation; Completed; asset G-AST-00378</t>
  </si>
  <si>
    <t>G-REQ-00924-E1</t>
  </si>
  <si>
    <t>G-REQ-03744</t>
  </si>
  <si>
    <t>G-REQ-00924-E2</t>
  </si>
  <si>
    <t>G-REQ-03745</t>
  </si>
  <si>
    <t>G-REQ-00924-E3</t>
  </si>
  <si>
    <t>G-REQ-03746</t>
  </si>
  <si>
    <t>G-REQ-00924-E4</t>
  </si>
  <si>
    <t>G-REQ-03747</t>
  </si>
  <si>
    <t>G-REQ-00925-E1</t>
  </si>
  <si>
    <t>G-REQ-03748</t>
  </si>
  <si>
    <t>SYNTHETIC: Laptop repair; Pending approval; asset G-AST-00370</t>
  </si>
  <si>
    <t>G-REQ-00925-E2</t>
  </si>
  <si>
    <t>SYNTHETIC: Laptop repair; Approved; asset G-AST-00370</t>
  </si>
  <si>
    <t>G-REQ-03749</t>
  </si>
  <si>
    <t>G-REQ-00925-E3</t>
  </si>
  <si>
    <t>SYNTHETIC: Laptop repair; In progress; asset G-AST-00370</t>
  </si>
  <si>
    <t>G-REQ-00925-E4</t>
  </si>
  <si>
    <t>G-REQ-03750</t>
  </si>
  <si>
    <t>SYNTHETIC: Laptop repair; Completed; asset G-AST-00370</t>
  </si>
  <si>
    <t>G-REQ-00926-E1</t>
  </si>
  <si>
    <t>G-REQ-03751</t>
  </si>
  <si>
    <t>SYNTHETIC: Laptop allocation; Pending approval; asset G-AST-00379</t>
  </si>
  <si>
    <t>G-REQ-00926-E2</t>
  </si>
  <si>
    <t>G-REQ-03752</t>
  </si>
  <si>
    <t>SYNTHETIC: Laptop allocation; Approved; asset G-AST-00379</t>
  </si>
  <si>
    <t>G-REQ-00926-E3</t>
  </si>
  <si>
    <t>G-REQ-03753</t>
  </si>
  <si>
    <t>SYNTHETIC: Laptop allocation; In progress; asset G-AST-00379</t>
  </si>
  <si>
    <t>G-REQ-00926-E4</t>
  </si>
  <si>
    <t>SYNTHETIC: Laptop allocation; Completed; asset G-AST-00379</t>
  </si>
  <si>
    <t>G-REQ-00927-E1</t>
  </si>
  <si>
    <t>G-REQ-03754</t>
  </si>
  <si>
    <t>SYNTHETIC: Laptop allocation; Pending approval; asset G-AST-00380</t>
  </si>
  <si>
    <t>G-REQ-00927-E2</t>
  </si>
  <si>
    <t>G-REQ-03755</t>
  </si>
  <si>
    <t>SYNTHETIC: Laptop allocation; Approved; asset G-AST-00380</t>
  </si>
  <si>
    <t>G-REQ-00927-E3</t>
  </si>
  <si>
    <t>G-REQ-03756</t>
  </si>
  <si>
    <t>SYNTHETIC: Laptop allocation; In progress; asset G-AST-00380</t>
  </si>
  <si>
    <t>G-REQ-00927-E4</t>
  </si>
  <si>
    <t>G-REQ-03757</t>
  </si>
  <si>
    <t>SYNTHETIC: Laptop allocation; Completed; asset G-AST-00380</t>
  </si>
  <si>
    <t>G-REQ-00928-E1</t>
  </si>
  <si>
    <t>G-REQ-03758</t>
  </si>
  <si>
    <t>G-REQ-00928-E2</t>
  </si>
  <si>
    <t>G-REQ-03759</t>
  </si>
  <si>
    <t>SYNTHETIC: Laptop repair; Cancelled; asset G-AST-00347</t>
  </si>
  <si>
    <t>G-REQ-00929-E1</t>
  </si>
  <si>
    <t>G-REQ-03760</t>
  </si>
  <si>
    <t>SYNTHETIC: Laptop repair; Pending approval; asset G-AST-00188</t>
  </si>
  <si>
    <t>G-REQ-00929-E2</t>
  </si>
  <si>
    <t>SYNTHETIC: Laptop repair; Approved; asset G-AST-00188</t>
  </si>
  <si>
    <t>G-REQ-00929-E3</t>
  </si>
  <si>
    <t>G-REQ-03761</t>
  </si>
  <si>
    <t>SYNTHETIC: Laptop repair; In progress; asset G-AST-00188</t>
  </si>
  <si>
    <t>G-REQ-03762</t>
  </si>
  <si>
    <t>G-REQ-00929-E4</t>
  </si>
  <si>
    <t>G-REQ-03763</t>
  </si>
  <si>
    <t>SYNTHETIC: Laptop repair; Completed; asset G-AST-00188</t>
  </si>
  <si>
    <t>G-REQ-00930-E1</t>
  </si>
  <si>
    <t>G-REQ-03764</t>
  </si>
  <si>
    <t>G-REQ-00930-E2</t>
  </si>
  <si>
    <t>G-REQ-03765</t>
  </si>
  <si>
    <t>G-REQ-00931-E1</t>
  </si>
  <si>
    <t>G-REQ-03766</t>
  </si>
  <si>
    <t>SYNTHETIC: Laptop return; Pending approval; asset G-AST-00296</t>
  </si>
  <si>
    <t>G-REQ-00931-E2</t>
  </si>
  <si>
    <t>SYNTHETIC: Laptop return; Approved; asset G-AST-00296</t>
  </si>
  <si>
    <t>G-REQ-00931-E3</t>
  </si>
  <si>
    <t>G-REQ-03767</t>
  </si>
  <si>
    <t>SYNTHETIC: Laptop return; In progress; asset G-AST-00296</t>
  </si>
  <si>
    <t>G-REQ-00931-E4</t>
  </si>
  <si>
    <t>G-REQ-03768</t>
  </si>
  <si>
    <t>SYNTHETIC: Laptop return; Completed; asset G-AST-00296</t>
  </si>
  <si>
    <t>G-REQ-00932-E1</t>
  </si>
  <si>
    <t>G-REQ-03769</t>
  </si>
  <si>
    <t>G-REQ-03770</t>
  </si>
  <si>
    <t>G-REQ-00932-E2</t>
  </si>
  <si>
    <t>G-REQ-03771</t>
  </si>
  <si>
    <t>G-REQ-00933-E1</t>
  </si>
  <si>
    <t>G-REQ-03772</t>
  </si>
  <si>
    <t>SYNTHETIC: Laptop repair; Pending approval; asset G-AST-00339</t>
  </si>
  <si>
    <t>G-REQ-00933-E2</t>
  </si>
  <si>
    <t>G-REQ-03773</t>
  </si>
  <si>
    <t>SYNTHETIC: Laptop repair; Approved; asset G-AST-00339</t>
  </si>
  <si>
    <t>G-REQ-00933-E3</t>
  </si>
  <si>
    <t>G-REQ-03774</t>
  </si>
  <si>
    <t>SYNTHETIC: Laptop repair; In progress; asset G-AST-00339</t>
  </si>
  <si>
    <t>G-REQ-00933-E4</t>
  </si>
  <si>
    <t>G-REQ-03775</t>
  </si>
  <si>
    <t>SYNTHETIC: Laptop repair; Completed; asset G-AST-00339</t>
  </si>
  <si>
    <t>G-REQ-03776</t>
  </si>
  <si>
    <t>G-REQ-00934-E1</t>
  </si>
  <si>
    <t>G-REQ-03777</t>
  </si>
  <si>
    <t>G-REQ-00934-E2</t>
  </si>
  <si>
    <t>SYNTHETIC: Laptop return; Approved; asset G-AST-00290</t>
  </si>
  <si>
    <t>G-REQ-00934-E3</t>
  </si>
  <si>
    <t>G-REQ-03778</t>
  </si>
  <si>
    <t>SYNTHETIC: Laptop return; In progress; asset G-AST-00290</t>
  </si>
  <si>
    <t>G-REQ-00934-E4</t>
  </si>
  <si>
    <t>G-REQ-03779</t>
  </si>
  <si>
    <t>SYNTHETIC: Laptop return; Completed; asset G-AST-00290</t>
  </si>
  <si>
    <t>G-REQ-00935-E1</t>
  </si>
  <si>
    <t>G-REQ-03780</t>
  </si>
  <si>
    <t>G-REQ-00935-E2</t>
  </si>
  <si>
    <t>G-REQ-03781</t>
  </si>
  <si>
    <t>SYNTHETIC: Laptop return; Approved; asset G-AST-00338</t>
  </si>
  <si>
    <t>G-REQ-00935-E3</t>
  </si>
  <si>
    <t>SYNTHETIC: Laptop return; In progress; asset G-AST-00338</t>
  </si>
  <si>
    <t>G-REQ-03782</t>
  </si>
  <si>
    <t>G-REQ-00935-E4</t>
  </si>
  <si>
    <t>G-REQ-03783</t>
  </si>
  <si>
    <t>SYNTHETIC: Laptop return; Completed; asset G-AST-00338</t>
  </si>
  <si>
    <t>G-REQ-00936-E1</t>
  </si>
  <si>
    <t>G-REQ-03784</t>
  </si>
  <si>
    <t>SYNTHETIC: Laptop repair; Pending approval; asset G-AST-00226</t>
  </si>
  <si>
    <t>G-REQ-00936-E2</t>
  </si>
  <si>
    <t>G-REQ-03785</t>
  </si>
  <si>
    <t>SYNTHETIC: Laptop repair; Approved; asset G-AST-00226</t>
  </si>
  <si>
    <t>G-REQ-00936-E3</t>
  </si>
  <si>
    <t>G-REQ-03786</t>
  </si>
  <si>
    <t>SYNTHETIC: Laptop repair; In progress; asset G-AST-00226</t>
  </si>
  <si>
    <t>G-REQ-00936-E4</t>
  </si>
  <si>
    <t>G-REQ-03787</t>
  </si>
  <si>
    <t>SYNTHETIC: Laptop repair; Completed; asset G-AST-00226</t>
  </si>
  <si>
    <t>G-REQ-00937-E1</t>
  </si>
  <si>
    <t>G-REQ-03788</t>
  </si>
  <si>
    <t>SYNTHETIC: Laptop allocation; Pending approval; asset G-AST-00381</t>
  </si>
  <si>
    <t>G-REQ-00937-E2</t>
  </si>
  <si>
    <t>G-REQ-03789</t>
  </si>
  <si>
    <t>SYNTHETIC: Laptop allocation; Approved; asset G-AST-00381</t>
  </si>
  <si>
    <t>G-REQ-03790</t>
  </si>
  <si>
    <t>G-REQ-00937-E3</t>
  </si>
  <si>
    <t>G-REQ-03791</t>
  </si>
  <si>
    <t>SYNTHETIC: Laptop allocation; In progress; asset G-AST-00381</t>
  </si>
  <si>
    <t>G-REQ-00937-E4</t>
  </si>
  <si>
    <t>G-REQ-03792</t>
  </si>
  <si>
    <t>SYNTHETIC: Laptop allocation; Completed; asset G-AST-00381</t>
  </si>
  <si>
    <t>G-REQ-00938-E1</t>
  </si>
  <si>
    <t>G-REQ-03793</t>
  </si>
  <si>
    <t>SYNTHETIC: Laptop allocation; Pending approval; asset G-AST-00382</t>
  </si>
  <si>
    <t>G-REQ-00938-E2</t>
  </si>
  <si>
    <t>G-REQ-03794</t>
  </si>
  <si>
    <t>SYNTHETIC: Laptop allocation; Approved; asset G-AST-00382</t>
  </si>
  <si>
    <t>G-REQ-00938-E3</t>
  </si>
  <si>
    <t>G-REQ-03795</t>
  </si>
  <si>
    <t>SYNTHETIC: Laptop allocation; In progress; asset G-AST-00382</t>
  </si>
  <si>
    <t>G-REQ-00938-E4</t>
  </si>
  <si>
    <t>G-REQ-03796</t>
  </si>
  <si>
    <t>SYNTHETIC: Laptop allocation; Completed; asset G-AST-00382</t>
  </si>
  <si>
    <t>G-REQ-00939-E1</t>
  </si>
  <si>
    <t>G-REQ-03797</t>
  </si>
  <si>
    <t>G-REQ-00939-E2</t>
  </si>
  <si>
    <t>G-REQ-03798</t>
  </si>
  <si>
    <t>G-REQ-00939-E3</t>
  </si>
  <si>
    <t>G-REQ-03799</t>
  </si>
  <si>
    <t>G-REQ-00939-E4</t>
  </si>
  <si>
    <t>G-REQ-03800</t>
  </si>
  <si>
    <t>G-REQ-00940-E1</t>
  </si>
  <si>
    <t>G-REQ-03801</t>
  </si>
  <si>
    <t>G-REQ-03802</t>
  </si>
  <si>
    <t>G-REQ-00940-E2</t>
  </si>
  <si>
    <t>G-REQ-03803</t>
  </si>
  <si>
    <t>G-REQ-00940-E3</t>
  </si>
  <si>
    <t>G-REQ-03804</t>
  </si>
  <si>
    <t>G-REQ-00940-E4</t>
  </si>
  <si>
    <t>G-REQ-03805</t>
  </si>
  <si>
    <t>G-REQ-00941-E1</t>
  </si>
  <si>
    <t>G-REQ-03806</t>
  </si>
  <si>
    <t>SYNTHETIC: Laptop return; Pending approval; asset G-AST-00348</t>
  </si>
  <si>
    <t>G-REQ-00941-E2</t>
  </si>
  <si>
    <t>G-REQ-03807</t>
  </si>
  <si>
    <t>SYNTHETIC: Laptop return; Approved; asset G-AST-00348</t>
  </si>
  <si>
    <t>G-REQ-00941-E3</t>
  </si>
  <si>
    <t>G-REQ-03808</t>
  </si>
  <si>
    <t>G-REQ-03809</t>
  </si>
  <si>
    <t>SYNTHETIC: Laptop return; In progress; asset G-AST-00348</t>
  </si>
  <si>
    <t>G-REQ-00941-E4</t>
  </si>
  <si>
    <t>G-REQ-03810</t>
  </si>
  <si>
    <t>SYNTHETIC: Laptop return; Completed; asset G-AST-00348</t>
  </si>
  <si>
    <t>G-REQ-00942-E1</t>
  </si>
  <si>
    <t>G-REQ-03811</t>
  </si>
  <si>
    <t>SYNTHETIC: Laptop return; Pending approval; asset G-AST-00381</t>
  </si>
  <si>
    <t>G-REQ-03812</t>
  </si>
  <si>
    <t>G-REQ-00942-E2</t>
  </si>
  <si>
    <t>G-REQ-03813</t>
  </si>
  <si>
    <t>SYNTHETIC: Laptop return; Approved; asset G-AST-00381</t>
  </si>
  <si>
    <t>G-REQ-00942-E3</t>
  </si>
  <si>
    <t>G-REQ-03814</t>
  </si>
  <si>
    <t>SYNTHETIC: Laptop return; In progress; asset G-AST-00381</t>
  </si>
  <si>
    <t>G-REQ-03815</t>
  </si>
  <si>
    <t>G-REQ-00942-E4</t>
  </si>
  <si>
    <t>G-REQ-03816</t>
  </si>
  <si>
    <t>SYNTHETIC: Laptop return; Completed; asset G-AST-00381</t>
  </si>
  <si>
    <t>G-REQ-00943-E1</t>
  </si>
  <si>
    <t>G-REQ-03817</t>
  </si>
  <si>
    <t>G-REQ-03818</t>
  </si>
  <si>
    <t>SYNTHETIC: Laptop allocation; Pending approval; asset G-AST-00383</t>
  </si>
  <si>
    <t>G-REQ-00943-E2</t>
  </si>
  <si>
    <t>G-REQ-03819</t>
  </si>
  <si>
    <t>SYNTHETIC: Laptop allocation; Approved; asset G-AST-00383</t>
  </si>
  <si>
    <t>G-REQ-00943-E3</t>
  </si>
  <si>
    <t>G-REQ-03820</t>
  </si>
  <si>
    <t>SYNTHETIC: Laptop allocation; In progress; asset G-AST-00383</t>
  </si>
  <si>
    <t>G-REQ-00943-E4</t>
  </si>
  <si>
    <t>G-REQ-03821</t>
  </si>
  <si>
    <t>SYNTHETIC: Laptop allocation; Completed; asset G-AST-00383</t>
  </si>
  <si>
    <t>G-REQ-00944-E1</t>
  </si>
  <si>
    <t>G-REQ-03822</t>
  </si>
  <si>
    <t>SYNTHETIC: Laptop repair; Pending approval; asset G-AST-00318</t>
  </si>
  <si>
    <t>G-REQ-00944-E2</t>
  </si>
  <si>
    <t>G-REQ-03823</t>
  </si>
  <si>
    <t>SYNTHETIC: Laptop repair; Approved; asset G-AST-00318</t>
  </si>
  <si>
    <t>G-REQ-00944-E3</t>
  </si>
  <si>
    <t>G-REQ-03824</t>
  </si>
  <si>
    <t>SYNTHETIC: Laptop repair; In progress; asset G-AST-00318</t>
  </si>
  <si>
    <t>G-REQ-00944-E4</t>
  </si>
  <si>
    <t>G-REQ-03825</t>
  </si>
  <si>
    <t>SYNTHETIC: Laptop repair; Completed; asset G-AST-00318</t>
  </si>
  <si>
    <t>G-REQ-00945-E1</t>
  </si>
  <si>
    <t>G-REQ-03826</t>
  </si>
  <si>
    <t>G-REQ-00945-E2</t>
  </si>
  <si>
    <t>SYNTHETIC: Laptop repair; Cancelled; asset G-AST-00161</t>
  </si>
  <si>
    <t>G-REQ-00946-E1</t>
  </si>
  <si>
    <t>G-REQ-03827</t>
  </si>
  <si>
    <t>SYNTHETIC: Laptop allocation; Pending approval; asset G-AST-00384</t>
  </si>
  <si>
    <t>G-REQ-00946-E2</t>
  </si>
  <si>
    <t>G-REQ-03828</t>
  </si>
  <si>
    <t>SYNTHETIC: Laptop allocation; Approved; asset G-AST-00384</t>
  </si>
  <si>
    <t>G-REQ-00946-E3</t>
  </si>
  <si>
    <t>G-REQ-03829</t>
  </si>
  <si>
    <t>SYNTHETIC: Laptop allocation; In progress; asset G-AST-00384</t>
  </si>
  <si>
    <t>G-REQ-00946-E4</t>
  </si>
  <si>
    <t>G-REQ-03830</t>
  </si>
  <si>
    <t>SYNTHETIC: Laptop allocation; Completed; asset G-AST-00384</t>
  </si>
  <si>
    <t>G-REQ-00947-E1</t>
  </si>
  <si>
    <t>SYNTHETIC: Laptop allocation; Pending approval; asset G-AST-00385</t>
  </si>
  <si>
    <t>G-REQ-00947-E2</t>
  </si>
  <si>
    <t>G-REQ-03831</t>
  </si>
  <si>
    <t>SYNTHETIC: Laptop allocation; Approved; asset G-AST-00385</t>
  </si>
  <si>
    <t>G-REQ-00947-E3</t>
  </si>
  <si>
    <t>G-REQ-03832</t>
  </si>
  <si>
    <t>G-REQ-03833</t>
  </si>
  <si>
    <t>SYNTHETIC: Laptop allocation; In progress; asset G-AST-00385</t>
  </si>
  <si>
    <t>G-REQ-00947-E4</t>
  </si>
  <si>
    <t>SYNTHETIC: Laptop allocation; Completed; asset G-AST-00385</t>
  </si>
  <si>
    <t>G-REQ-00948-E1</t>
  </si>
  <si>
    <t>G-REQ-03834</t>
  </si>
  <si>
    <t>G-REQ-00948-E2</t>
  </si>
  <si>
    <t>G-REQ-03835</t>
  </si>
  <si>
    <t>G-REQ-03836</t>
  </si>
  <si>
    <t>G-REQ-00948-E3</t>
  </si>
  <si>
    <t>G-REQ-03837</t>
  </si>
  <si>
    <t>G-REQ-00948-E4</t>
  </si>
  <si>
    <t>G-REQ-03838</t>
  </si>
  <si>
    <t>G-REQ-00949-E1</t>
  </si>
  <si>
    <t>G-REQ-03839</t>
  </si>
  <si>
    <t>SYNTHETIC: Laptop return; Pending approval; asset G-AST-00009</t>
  </si>
  <si>
    <t>G-REQ-03840</t>
  </si>
  <si>
    <t>G-REQ-00949-E2</t>
  </si>
  <si>
    <t>G-REQ-03841</t>
  </si>
  <si>
    <t>SYNTHETIC: Laptop return; Approved; asset G-AST-00009</t>
  </si>
  <si>
    <t>G-REQ-00949-E3</t>
  </si>
  <si>
    <t>G-REQ-03842</t>
  </si>
  <si>
    <t>SYNTHETIC: Laptop return; In progress; asset G-AST-00009</t>
  </si>
  <si>
    <t>G-REQ-00949-E4</t>
  </si>
  <si>
    <t>G-REQ-03843</t>
  </si>
  <si>
    <t>SYNTHETIC: Laptop return; Completed; asset G-AST-00009</t>
  </si>
  <si>
    <t>G-REQ-03844</t>
  </si>
  <si>
    <t>G-REQ-00950-E1</t>
  </si>
  <si>
    <t>G-REQ-03845</t>
  </si>
  <si>
    <t>SYNTHETIC: Laptop return; Pending approval; asset G-AST-00282</t>
  </si>
  <si>
    <t>G-REQ-00950-E2</t>
  </si>
  <si>
    <t>G-REQ-03846</t>
  </si>
  <si>
    <t>SYNTHETIC: Laptop return; Approved; asset G-AST-00282</t>
  </si>
  <si>
    <t>G-REQ-00950-E3</t>
  </si>
  <si>
    <t>G-REQ-03847</t>
  </si>
  <si>
    <t>SYNTHETIC: Laptop return; In progress; asset G-AST-00282</t>
  </si>
  <si>
    <t>G-REQ-03848</t>
  </si>
  <si>
    <t>G-REQ-00950-E4</t>
  </si>
  <si>
    <t>G-REQ-03849</t>
  </si>
  <si>
    <t>SYNTHETIC: Laptop return; Completed; asset G-AST-00282</t>
  </si>
  <si>
    <t>G-REQ-00951-E1</t>
  </si>
  <si>
    <t>G-REQ-03850</t>
  </si>
  <si>
    <t>SYNTHETIC: Laptop return; Pending approval; asset G-AST-00051</t>
  </si>
  <si>
    <t>G-REQ-03851</t>
  </si>
  <si>
    <t>G-REQ-00951-E2</t>
  </si>
  <si>
    <t>G-REQ-03852</t>
  </si>
  <si>
    <t>SYNTHETIC: Laptop return; Approved; asset G-AST-00051</t>
  </si>
  <si>
    <t>G-REQ-00951-E3</t>
  </si>
  <si>
    <t>G-REQ-03853</t>
  </si>
  <si>
    <t>SYNTHETIC: Laptop return; In progress; asset G-AST-00051</t>
  </si>
  <si>
    <t>G-REQ-00951-E4</t>
  </si>
  <si>
    <t>G-REQ-03854</t>
  </si>
  <si>
    <t>SYNTHETIC: Laptop return; Completed; asset G-AST-00051</t>
  </si>
  <si>
    <t>G-REQ-03855</t>
  </si>
  <si>
    <t>G-REQ-00952-E1</t>
  </si>
  <si>
    <t>G-REQ-03856</t>
  </si>
  <si>
    <t>SYNTHETIC: Laptop return; Pending approval; asset G-AST-00011</t>
  </si>
  <si>
    <t>G-REQ-00952-E2</t>
  </si>
  <si>
    <t>G-REQ-03857</t>
  </si>
  <si>
    <t>SYNTHETIC: Laptop return; Approved; asset G-AST-00011</t>
  </si>
  <si>
    <t>G-REQ-00952-E3</t>
  </si>
  <si>
    <t>G-REQ-03858</t>
  </si>
  <si>
    <t>SYNTHETIC: Laptop return; In progress; asset G-AST-00011</t>
  </si>
  <si>
    <t>G-REQ-00952-E4</t>
  </si>
  <si>
    <t>G-REQ-03859</t>
  </si>
  <si>
    <t>SYNTHETIC: Laptop return; Completed; asset G-AST-00011</t>
  </si>
  <si>
    <t>G-REQ-03860</t>
  </si>
  <si>
    <t>G-REQ-00953-E1</t>
  </si>
  <si>
    <t>G-REQ-03861</t>
  </si>
  <si>
    <t>G-REQ-00953-E2</t>
  </si>
  <si>
    <t>G-REQ-03862</t>
  </si>
  <si>
    <t>G-REQ-03863</t>
  </si>
  <si>
    <t>G-REQ-00954-E1</t>
  </si>
  <si>
    <t>G-REQ-03864</t>
  </si>
  <si>
    <t>SYNTHETIC: Laptop allocation; Pending approval; asset G-AST-00386</t>
  </si>
  <si>
    <t>G-REQ-00954-E2</t>
  </si>
  <si>
    <t>G-REQ-03865</t>
  </si>
  <si>
    <t>SYNTHETIC: Laptop allocation; Approved; asset G-AST-00386</t>
  </si>
  <si>
    <t>G-REQ-00954-E3</t>
  </si>
  <si>
    <t>G-REQ-03866</t>
  </si>
  <si>
    <t>SYNTHETIC: Laptop allocation; In progress; asset G-AST-00386</t>
  </si>
  <si>
    <t>G-REQ-00954-E4</t>
  </si>
  <si>
    <t>G-REQ-03867</t>
  </si>
  <si>
    <t>SYNTHETIC: Laptop allocation; Completed; asset G-AST-00386</t>
  </si>
  <si>
    <t>G-REQ-00955-E1</t>
  </si>
  <si>
    <t>G-REQ-03868</t>
  </si>
  <si>
    <t>SYNTHETIC: Laptop return; Pending approval; asset G-AST-00261</t>
  </si>
  <si>
    <t>G-REQ-00955-E2</t>
  </si>
  <si>
    <t>G-REQ-03869</t>
  </si>
  <si>
    <t>SYNTHETIC: Laptop return; Approved; asset G-AST-00261</t>
  </si>
  <si>
    <t>G-REQ-00955-E3</t>
  </si>
  <si>
    <t>G-REQ-03870</t>
  </si>
  <si>
    <t>SYNTHETIC: Laptop return; In progress; asset G-AST-00261</t>
  </si>
  <si>
    <t>G-REQ-00955-E4</t>
  </si>
  <si>
    <t>G-REQ-03871</t>
  </si>
  <si>
    <t>SYNTHETIC: Laptop return; Completed; asset G-AST-00261</t>
  </si>
  <si>
    <t>G-REQ-00956-E1</t>
  </si>
  <si>
    <t>G-REQ-03872</t>
  </si>
  <si>
    <t>SYNTHETIC: Laptop return; Pending approval; asset G-AST-00305</t>
  </si>
  <si>
    <t>G-REQ-00956-E2</t>
  </si>
  <si>
    <t>G-REQ-03873</t>
  </si>
  <si>
    <t>SYNTHETIC: Laptop return; Approved; asset G-AST-00305</t>
  </si>
  <si>
    <t>G-REQ-00956-E3</t>
  </si>
  <si>
    <t>SYNTHETIC: Laptop return; In progress; asset G-AST-00305</t>
  </si>
  <si>
    <t>G-REQ-00956-E4</t>
  </si>
  <si>
    <t>G-REQ-03874</t>
  </si>
  <si>
    <t>SYNTHETIC: Laptop return; Completed; asset G-AST-00305</t>
  </si>
  <si>
    <t>G-REQ-03875</t>
  </si>
  <si>
    <t>G-REQ-00957-E1</t>
  </si>
  <si>
    <t>G-REQ-03876</t>
  </si>
  <si>
    <t>SYNTHETIC: Laptop allocation; Pending approval; asset G-AST-00387</t>
  </si>
  <si>
    <t>G-REQ-00957-E2</t>
  </si>
  <si>
    <t>G-REQ-03877</t>
  </si>
  <si>
    <t>SYNTHETIC: Laptop allocation; Approved; asset G-AST-00387</t>
  </si>
  <si>
    <t>G-REQ-00957-E3</t>
  </si>
  <si>
    <t>G-REQ-03878</t>
  </si>
  <si>
    <t>G-REQ-03879</t>
  </si>
  <si>
    <t>SYNTHETIC: Laptop allocation; In progress; asset G-AST-00387</t>
  </si>
  <si>
    <t>G-REQ-00957-E4</t>
  </si>
  <si>
    <t>G-REQ-03880</t>
  </si>
  <si>
    <t>SYNTHETIC: Laptop allocation; Completed; asset G-AST-00387</t>
  </si>
  <si>
    <t>G-REQ-00958-E1</t>
  </si>
  <si>
    <t>G-REQ-03881</t>
  </si>
  <si>
    <t>SYNTHETIC: Laptop return; Pending approval; asset G-AST-00212</t>
  </si>
  <si>
    <t>G-REQ-00958-E2</t>
  </si>
  <si>
    <t>G-REQ-03882</t>
  </si>
  <si>
    <t>SYNTHETIC: Laptop return; Approved; asset G-AST-00212</t>
  </si>
  <si>
    <t>G-REQ-00958-E3</t>
  </si>
  <si>
    <t>G-REQ-03883</t>
  </si>
  <si>
    <t>SYNTHETIC: Laptop return; In progress; asset G-AST-00212</t>
  </si>
  <si>
    <t>G-REQ-00958-E4</t>
  </si>
  <si>
    <t>G-REQ-03884</t>
  </si>
  <si>
    <t>SYNTHETIC: Laptop return; Completed; asset G-AST-00212</t>
  </si>
  <si>
    <t>G-REQ-00959-E1</t>
  </si>
  <si>
    <t>G-REQ-03885</t>
  </si>
  <si>
    <t>SYNTHETIC: Laptop allocation; Pending approval; asset G-AST-00388</t>
  </si>
  <si>
    <t>G-REQ-00959-E2</t>
  </si>
  <si>
    <t>G-REQ-03886</t>
  </si>
  <si>
    <t>SYNTHETIC: Laptop allocation; Approved; asset G-AST-00388</t>
  </si>
  <si>
    <t>G-REQ-00959-E3</t>
  </si>
  <si>
    <t>SYNTHETIC: Laptop allocation; In progress; asset G-AST-00388</t>
  </si>
  <si>
    <t>G-REQ-03887</t>
  </si>
  <si>
    <t>G-REQ-00959-E4</t>
  </si>
  <si>
    <t>SYNTHETIC: Laptop allocation; Completed; asset G-AST-00388</t>
  </si>
  <si>
    <t>G-REQ-00960-E1</t>
  </si>
  <si>
    <t>G-REQ-03888</t>
  </si>
  <si>
    <t>SYNTHETIC: Laptop return; Pending approval; asset G-AST-00244</t>
  </si>
  <si>
    <t>G-REQ-03889</t>
  </si>
  <si>
    <t>G-REQ-00960-E2</t>
  </si>
  <si>
    <t>G-REQ-03890</t>
  </si>
  <si>
    <t>SYNTHETIC: Laptop return; Rejected; asset G-AST-00244</t>
  </si>
  <si>
    <t>G-REQ-00961-E1</t>
  </si>
  <si>
    <t>G-REQ-03891</t>
  </si>
  <si>
    <t>SYNTHETIC: Laptop return; Pending approval; asset G-AST-00347</t>
  </si>
  <si>
    <t>G-REQ-00961-E2</t>
  </si>
  <si>
    <t>G-REQ-03892</t>
  </si>
  <si>
    <t>SYNTHETIC: Laptop return; Approved; asset G-AST-00347</t>
  </si>
  <si>
    <t>G-REQ-00961-E3</t>
  </si>
  <si>
    <t>G-REQ-03893</t>
  </si>
  <si>
    <t>SYNTHETIC: Laptop return; In progress; asset G-AST-00347</t>
  </si>
  <si>
    <t>G-REQ-00961-E4</t>
  </si>
  <si>
    <t>G-REQ-03894</t>
  </si>
  <si>
    <t>G-REQ-03895</t>
  </si>
  <si>
    <t>SYNTHETIC: Laptop return; Completed; asset G-AST-00347</t>
  </si>
  <si>
    <t>G-REQ-00962-E1</t>
  </si>
  <si>
    <t>G-REQ-03896</t>
  </si>
  <si>
    <t>SYNTHETIC: Laptop return; Pending approval; asset G-AST-00372</t>
  </si>
  <si>
    <t>G-REQ-00962-E2</t>
  </si>
  <si>
    <t>G-REQ-03897</t>
  </si>
  <si>
    <t>SYNTHETIC: Laptop return; Approved; asset G-AST-00372</t>
  </si>
  <si>
    <t>G-REQ-03898</t>
  </si>
  <si>
    <t>G-REQ-00962-E3</t>
  </si>
  <si>
    <t>SYNTHETIC: Laptop return; In progress; asset G-AST-00372</t>
  </si>
  <si>
    <t>G-REQ-00962-E4</t>
  </si>
  <si>
    <t>G-REQ-03899</t>
  </si>
  <si>
    <t>SYNTHETIC: Laptop return; Completed; asset G-AST-00372</t>
  </si>
  <si>
    <t>G-REQ-00963-E1</t>
  </si>
  <si>
    <t>G-REQ-03900</t>
  </si>
  <si>
    <t>SYNTHETIC: Laptop allocation; Pending approval; asset G-AST-00389</t>
  </si>
  <si>
    <t>G-REQ-00963-E2</t>
  </si>
  <si>
    <t>G-REQ-03901</t>
  </si>
  <si>
    <t>SYNTHETIC: Laptop allocation; Approved; asset G-AST-00389</t>
  </si>
  <si>
    <t>G-REQ-00963-E3</t>
  </si>
  <si>
    <t>SYNTHETIC: Laptop allocation; In progress; asset G-AST-00389</t>
  </si>
  <si>
    <t>G-REQ-03902</t>
  </si>
  <si>
    <t>G-REQ-00963-E4</t>
  </si>
  <si>
    <t>SYNTHETIC: Laptop allocation; Completed; asset G-AST-00389</t>
  </si>
  <si>
    <t>G-REQ-00964-E1</t>
  </si>
  <si>
    <t>G-REQ-03903</t>
  </si>
  <si>
    <t>SYNTHETIC: Laptop allocation; Pending approval; asset G-AST-00390</t>
  </si>
  <si>
    <t>G-REQ-00964-E2</t>
  </si>
  <si>
    <t>G-REQ-03904</t>
  </si>
  <si>
    <t>SYNTHETIC: Laptop allocation; Approved; asset G-AST-00390</t>
  </si>
  <si>
    <t>G-REQ-00964-E3</t>
  </si>
  <si>
    <t>G-REQ-03905</t>
  </si>
  <si>
    <t>SYNTHETIC: Laptop allocation; In progress; asset G-AST-00390</t>
  </si>
  <si>
    <t>G-REQ-00964-E4</t>
  </si>
  <si>
    <t>G-REQ-03906</t>
  </si>
  <si>
    <t>SYNTHETIC: Laptop allocation; Completed; asset G-AST-00390</t>
  </si>
  <si>
    <t>G-REQ-00965-E1</t>
  </si>
  <si>
    <t>G-REQ-03907</t>
  </si>
  <si>
    <t>G-REQ-03908</t>
  </si>
  <si>
    <t>G-REQ-00965-E2</t>
  </si>
  <si>
    <t>G-REQ-00966-E1</t>
  </si>
  <si>
    <t>G-REQ-03909</t>
  </si>
  <si>
    <t>SYNTHETIC: Laptop return; Pending approval; asset G-AST-00300</t>
  </si>
  <si>
    <t>G-REQ-00966-E2</t>
  </si>
  <si>
    <t>G-REQ-03910</t>
  </si>
  <si>
    <t>SYNTHETIC: Laptop return; Rejected; asset G-AST-00300</t>
  </si>
  <si>
    <t>G-REQ-00967-E1</t>
  </si>
  <si>
    <t>G-REQ-03911</t>
  </si>
  <si>
    <t>G-REQ-00967-E2</t>
  </si>
  <si>
    <t>G-REQ-03912</t>
  </si>
  <si>
    <t>G-REQ-03913</t>
  </si>
  <si>
    <t>G-REQ-00967-E3</t>
  </si>
  <si>
    <t>G-REQ-03914</t>
  </si>
  <si>
    <t>G-REQ-00967-E4</t>
  </si>
  <si>
    <t>G-REQ-03915</t>
  </si>
  <si>
    <t>G-REQ-00968-E1</t>
  </si>
  <si>
    <t>G-REQ-03916</t>
  </si>
  <si>
    <t>G-REQ-03917</t>
  </si>
  <si>
    <t>G-REQ-00968-E2</t>
  </si>
  <si>
    <t>G-REQ-03918</t>
  </si>
  <si>
    <t>SYNTHETIC: Laptop repair; Approved; asset G-AST-00155</t>
  </si>
  <si>
    <t>G-REQ-00968-E3</t>
  </si>
  <si>
    <t>G-REQ-03919</t>
  </si>
  <si>
    <t>SYNTHETIC: Laptop repair; In progress; asset G-AST-00155</t>
  </si>
  <si>
    <t>G-REQ-00968-E4</t>
  </si>
  <si>
    <t>G-REQ-03920</t>
  </si>
  <si>
    <t>SYNTHETIC: Laptop repair; Completed; asset G-AST-00155</t>
  </si>
  <si>
    <t>G-REQ-03921</t>
  </si>
  <si>
    <t>G-REQ-00969-E1</t>
  </si>
  <si>
    <t>G-REQ-03922</t>
  </si>
  <si>
    <t>SYNTHETIC: Laptop repair; Pending approval; asset G-AST-00003</t>
  </si>
  <si>
    <t>G-REQ-00969-E2</t>
  </si>
  <si>
    <t>G-REQ-03923</t>
  </si>
  <si>
    <t>SYNTHETIC: Laptop repair; Approved; asset G-AST-00003</t>
  </si>
  <si>
    <t>G-REQ-00969-E3</t>
  </si>
  <si>
    <t>G-REQ-03924</t>
  </si>
  <si>
    <t>SYNTHETIC: Laptop repair; In progress; asset G-AST-00003</t>
  </si>
  <si>
    <t>G-REQ-03925</t>
  </si>
  <si>
    <t>G-REQ-00969-E4</t>
  </si>
  <si>
    <t>G-REQ-03926</t>
  </si>
  <si>
    <t>SYNTHETIC: Laptop repair; Completed; asset G-AST-00003</t>
  </si>
  <si>
    <t>G-REQ-00970-E1</t>
  </si>
  <si>
    <t>G-REQ-03927</t>
  </si>
  <si>
    <t>SYNTHETIC: Laptop allocation; Pending approval; asset G-AST-00391</t>
  </si>
  <si>
    <t>G-REQ-00970-E2</t>
  </si>
  <si>
    <t>G-REQ-03928</t>
  </si>
  <si>
    <t>G-REQ-03929</t>
  </si>
  <si>
    <t>SYNTHETIC: Laptop allocation; Approved; asset G-AST-00391</t>
  </si>
  <si>
    <t>G-REQ-00970-E3</t>
  </si>
  <si>
    <t>G-REQ-03930</t>
  </si>
  <si>
    <t>SYNTHETIC: Laptop allocation; In progress; asset G-AST-00391</t>
  </si>
  <si>
    <t>G-REQ-00970-E4</t>
  </si>
  <si>
    <t>G-REQ-03931</t>
  </si>
  <si>
    <t>SYNTHETIC: Laptop allocation; Completed; asset G-AST-00391</t>
  </si>
  <si>
    <t>G-REQ-03932</t>
  </si>
  <si>
    <t>G-REQ-00971-E1</t>
  </si>
  <si>
    <t>G-REQ-03933</t>
  </si>
  <si>
    <t>SYNTHETIC: Laptop return; Pending approval; asset G-AST-00179</t>
  </si>
  <si>
    <t>G-REQ-00971-E2</t>
  </si>
  <si>
    <t>G-REQ-03934</t>
  </si>
  <si>
    <t>SYNTHETIC: Laptop return; Approved; asset G-AST-00179</t>
  </si>
  <si>
    <t>G-REQ-00971-E3</t>
  </si>
  <si>
    <t>G-REQ-03935</t>
  </si>
  <si>
    <t>SYNTHETIC: Laptop return; In progress; asset G-AST-00179</t>
  </si>
  <si>
    <t>G-REQ-03936</t>
  </si>
  <si>
    <t>G-REQ-00971-E4</t>
  </si>
  <si>
    <t>G-REQ-03937</t>
  </si>
  <si>
    <t>SYNTHETIC: Laptop return; Completed; asset G-AST-00179</t>
  </si>
  <si>
    <t>G-REQ-00972-E1</t>
  </si>
  <si>
    <t>G-REQ-03938</t>
  </si>
  <si>
    <t>SYNTHETIC: Laptop return; Pending approval; asset G-AST-00326</t>
  </si>
  <si>
    <t>G-REQ-03939</t>
  </si>
  <si>
    <t>G-REQ-00972-E2</t>
  </si>
  <si>
    <t>G-REQ-03940</t>
  </si>
  <si>
    <t>SYNTHETIC: Laptop return; Approved; asset G-AST-00326</t>
  </si>
  <si>
    <t>G-REQ-00972-E3</t>
  </si>
  <si>
    <t>G-REQ-03941</t>
  </si>
  <si>
    <t>SYNTHETIC: Laptop return; In progress; asset G-AST-00326</t>
  </si>
  <si>
    <t>G-REQ-00972-E4</t>
  </si>
  <si>
    <t>G-REQ-03942</t>
  </si>
  <si>
    <t>SYNTHETIC: Laptop return; Completed; asset G-AST-00326</t>
  </si>
  <si>
    <t>G-REQ-00973-E1</t>
  </si>
  <si>
    <t>G-REQ-03943</t>
  </si>
  <si>
    <t>SYNTHETIC: Laptop allocation; Pending approval; asset G-AST-00392</t>
  </si>
  <si>
    <t>G-REQ-03944</t>
  </si>
  <si>
    <t>G-REQ-00973-E2</t>
  </si>
  <si>
    <t>G-REQ-03945</t>
  </si>
  <si>
    <t>SYNTHETIC: Laptop allocation; Approved; asset G-AST-00392</t>
  </si>
  <si>
    <t>G-REQ-00973-E3</t>
  </si>
  <si>
    <t>G-REQ-03946</t>
  </si>
  <si>
    <t>SYNTHETIC: Laptop allocation; In progress; asset G-AST-00392</t>
  </si>
  <si>
    <t>G-REQ-03947</t>
  </si>
  <si>
    <t>G-REQ-00973-E4</t>
  </si>
  <si>
    <t>SYNTHETIC: Laptop allocation; Completed; asset G-AST-00392</t>
  </si>
  <si>
    <t>G-REQ-03948</t>
  </si>
  <si>
    <t>G-REQ-00974-E1</t>
  </si>
  <si>
    <t>G-REQ-03949</t>
  </si>
  <si>
    <t>SYNTHETIC: Laptop return; Pending approval; asset G-AST-00340</t>
  </si>
  <si>
    <t>G-REQ-00974-E2</t>
  </si>
  <si>
    <t>G-REQ-03950</t>
  </si>
  <si>
    <t>SYNTHETIC: Laptop return; Approved; asset G-AST-00340</t>
  </si>
  <si>
    <t>G-REQ-00974-E3</t>
  </si>
  <si>
    <t>G-REQ-03951</t>
  </si>
  <si>
    <t>G-REQ-03952</t>
  </si>
  <si>
    <t>SYNTHETIC: Laptop return; In progress; asset G-AST-00340</t>
  </si>
  <si>
    <t>G-REQ-00974-E4</t>
  </si>
  <si>
    <t>G-REQ-03953</t>
  </si>
  <si>
    <t>SYNTHETIC: Laptop return; Completed; asset G-AST-00340</t>
  </si>
  <si>
    <t>G-REQ-03954</t>
  </si>
  <si>
    <t>G-REQ-00975-E1</t>
  </si>
  <si>
    <t>G-REQ-03955</t>
  </si>
  <si>
    <t>SYNTHETIC: Laptop return; Pending approval; asset G-AST-00163</t>
  </si>
  <si>
    <t>G-REQ-00975-E2</t>
  </si>
  <si>
    <t>G-REQ-03956</t>
  </si>
  <si>
    <t>SYNTHETIC: Laptop return; Approved; asset G-AST-00163</t>
  </si>
  <si>
    <t>G-REQ-03957</t>
  </si>
  <si>
    <t>G-REQ-00975-E3</t>
  </si>
  <si>
    <t>G-REQ-03958</t>
  </si>
  <si>
    <t>SYNTHETIC: Laptop return; In progress; asset G-AST-00163</t>
  </si>
  <si>
    <t>G-REQ-00975-E4</t>
  </si>
  <si>
    <t>G-REQ-03959</t>
  </si>
  <si>
    <t>SYNTHETIC: Laptop return; Completed; asset G-AST-00163</t>
  </si>
  <si>
    <t>G-REQ-00976-E1</t>
  </si>
  <si>
    <t>G-REQ-03960</t>
  </si>
  <si>
    <t>SYNTHETIC: Laptop return; Pending approval; asset G-AST-00010</t>
  </si>
  <si>
    <t>G-REQ-03961</t>
  </si>
  <si>
    <t>G-REQ-00976-E2</t>
  </si>
  <si>
    <t>G-REQ-03962</t>
  </si>
  <si>
    <t>SYNTHETIC: Laptop return; Approved; asset G-AST-00010</t>
  </si>
  <si>
    <t>G-REQ-00976-E3</t>
  </si>
  <si>
    <t>G-REQ-03963</t>
  </si>
  <si>
    <t>SYNTHETIC: Laptop return; In progress; asset G-AST-00010</t>
  </si>
  <si>
    <t>G-REQ-00976-E4</t>
  </si>
  <si>
    <t>G-REQ-03964</t>
  </si>
  <si>
    <t>SYNTHETIC: Laptop return; Completed; asset G-AST-00010</t>
  </si>
  <si>
    <t>G-REQ-03965</t>
  </si>
  <si>
    <t>G-REQ-00977-E1</t>
  </si>
  <si>
    <t>G-REQ-03966</t>
  </si>
  <si>
    <t>SYNTHETIC: Laptop repair; Pending approval; asset G-AST-00174</t>
  </si>
  <si>
    <t>G-REQ-00977-E2</t>
  </si>
  <si>
    <t>G-REQ-03967</t>
  </si>
  <si>
    <t>SYNTHETIC: Laptop repair; Approved; asset G-AST-00174</t>
  </si>
  <si>
    <t>G-REQ-00977-E3</t>
  </si>
  <si>
    <t>G-REQ-03968</t>
  </si>
  <si>
    <t>SYNTHETIC: Laptop repair; In progress; asset G-AST-00174</t>
  </si>
  <si>
    <t>G-REQ-00977-E4</t>
  </si>
  <si>
    <t>G-REQ-03969</t>
  </si>
  <si>
    <t>SYNTHETIC: Laptop repair; Completed; asset G-AST-00174</t>
  </si>
  <si>
    <t>G-REQ-03970</t>
  </si>
  <si>
    <t>G-REQ-00978-E1</t>
  </si>
  <si>
    <t>G-REQ-03971</t>
  </si>
  <si>
    <t>SYNTHETIC: Laptop repair; Pending approval; asset G-AST-00257</t>
  </si>
  <si>
    <t>G-REQ-00978-E2</t>
  </si>
  <si>
    <t>G-REQ-03972</t>
  </si>
  <si>
    <t>SYNTHETIC: Laptop repair; Approved; asset G-AST-00257</t>
  </si>
  <si>
    <t>G-REQ-03973</t>
  </si>
  <si>
    <t>G-REQ-00978-E3</t>
  </si>
  <si>
    <t>G-REQ-03974</t>
  </si>
  <si>
    <t>SYNTHETIC: Laptop repair; In progress; asset G-AST-00257</t>
  </si>
  <si>
    <t>G-REQ-00978-E4</t>
  </si>
  <si>
    <t>G-REQ-03975</t>
  </si>
  <si>
    <t>SYNTHETIC: Laptop repair; Completed; asset G-AST-00257</t>
  </si>
  <si>
    <t>G-REQ-00979-E1</t>
  </si>
  <si>
    <t>G-REQ-03976</t>
  </si>
  <si>
    <t>G-REQ-03977</t>
  </si>
  <si>
    <t>SYNTHETIC: Laptop return; Pending approval; asset G-AST-00211</t>
  </si>
  <si>
    <t>G-REQ-00979-E2</t>
  </si>
  <si>
    <t>G-REQ-03978</t>
  </si>
  <si>
    <t>SYNTHETIC: Laptop return; Rejected; asset G-AST-00211</t>
  </si>
  <si>
    <t>G-REQ-00980-E1</t>
  </si>
  <si>
    <t>G-REQ-03979</t>
  </si>
  <si>
    <t>G-REQ-03980</t>
  </si>
  <si>
    <t>G-REQ-00980-E2</t>
  </si>
  <si>
    <t>G-REQ-03981</t>
  </si>
  <si>
    <t>SYNTHETIC: Laptop repair; Approved; asset G-AST-00333</t>
  </si>
  <si>
    <t>G-REQ-00980-E3</t>
  </si>
  <si>
    <t>G-REQ-03982</t>
  </si>
  <si>
    <t>SYNTHETIC: Laptop repair; In progress; asset G-AST-00333</t>
  </si>
  <si>
    <t>G-REQ-00980-E4</t>
  </si>
  <si>
    <t>G-REQ-03983</t>
  </si>
  <si>
    <t>SYNTHETIC: Laptop repair; Completed; asset G-AST-00333</t>
  </si>
  <si>
    <t>G-REQ-00981-E1</t>
  </si>
  <si>
    <t>G-REQ-03984</t>
  </si>
  <si>
    <t>SYNTHETIC: Laptop allocation; Pending approval; asset G-AST-00393</t>
  </si>
  <si>
    <t>G-REQ-03985</t>
  </si>
  <si>
    <t>G-REQ-00981-E2</t>
  </si>
  <si>
    <t>G-REQ-03986</t>
  </si>
  <si>
    <t>SYNTHETIC: Laptop allocation; Approved; asset G-AST-00393</t>
  </si>
  <si>
    <t>G-REQ-00981-E3</t>
  </si>
  <si>
    <t>G-REQ-03987</t>
  </si>
  <si>
    <t>SYNTHETIC: Laptop allocation; In progress; asset G-AST-00393</t>
  </si>
  <si>
    <t>G-REQ-00981-E4</t>
  </si>
  <si>
    <t>G-REQ-03988</t>
  </si>
  <si>
    <t>SYNTHETIC: Laptop allocation; Completed; asset G-AST-00393</t>
  </si>
  <si>
    <t>G-REQ-00982-E1</t>
  </si>
  <si>
    <t>G-REQ-03989</t>
  </si>
  <si>
    <t>SYNTHETIC: Laptop repair; Pending approval; asset G-AST-00260</t>
  </si>
  <si>
    <t>G-REQ-03990</t>
  </si>
  <si>
    <t>G-REQ-00982-E2</t>
  </si>
  <si>
    <t>SYNTHETIC: Laptop repair; Approved; asset G-AST-00260</t>
  </si>
  <si>
    <t>G-REQ-03991</t>
  </si>
  <si>
    <t>G-REQ-00982-E3</t>
  </si>
  <si>
    <t>SYNTHETIC: Laptop repair; In progress; asset G-AST-00260</t>
  </si>
  <si>
    <t>G-REQ-03992</t>
  </si>
  <si>
    <t>G-REQ-00982-E4</t>
  </si>
  <si>
    <t>G-REQ-03993</t>
  </si>
  <si>
    <t>SYNTHETIC: Laptop repair; Completed; asset G-AST-00260</t>
  </si>
  <si>
    <t>G-REQ-00983-E1</t>
  </si>
  <si>
    <t>G-REQ-03994</t>
  </si>
  <si>
    <t>G-REQ-00983-E2</t>
  </si>
  <si>
    <t>G-REQ-03995</t>
  </si>
  <si>
    <t>G-REQ-03996</t>
  </si>
  <si>
    <t>G-REQ-00984-E1</t>
  </si>
  <si>
    <t>G-REQ-03997</t>
  </si>
  <si>
    <t>SYNTHETIC: Laptop repair; Pending approval; asset G-AST-00380</t>
  </si>
  <si>
    <t>G-REQ-00984-E2</t>
  </si>
  <si>
    <t>G-REQ-03998</t>
  </si>
  <si>
    <t>SYNTHETIC: Laptop repair; Rejected; asset G-AST-00380</t>
  </si>
  <si>
    <t>G-REQ-00985-E1</t>
  </si>
  <si>
    <t>G-REQ-03999</t>
  </si>
  <si>
    <t>G-REQ-04000</t>
  </si>
  <si>
    <t>SYNTHETIC: Laptop repair; Pending approval; asset G-AST-00362</t>
  </si>
  <si>
    <t>G-REQ-00985-E2</t>
  </si>
  <si>
    <t>G-REQ-04001</t>
  </si>
  <si>
    <t>SYNTHETIC: Laptop repair; Approved; asset G-AST-00362</t>
  </si>
  <si>
    <t>G-REQ-00985-E3</t>
  </si>
  <si>
    <t>G-REQ-04002</t>
  </si>
  <si>
    <t>SYNTHETIC: Laptop repair; In progress; asset G-AST-00362</t>
  </si>
  <si>
    <t>G-REQ-04003</t>
  </si>
  <si>
    <t>G-REQ-00985-E4</t>
  </si>
  <si>
    <t>G-REQ-04004</t>
  </si>
  <si>
    <t>SYNTHETIC: Laptop repair; Completed; asset G-AST-00362</t>
  </si>
  <si>
    <t>G-REQ-00986-E1</t>
  </si>
  <si>
    <t>G-REQ-04005</t>
  </si>
  <si>
    <t>G-REQ-04006</t>
  </si>
  <si>
    <t>G-REQ-00986-E2</t>
  </si>
  <si>
    <t>G-REQ-04007</t>
  </si>
  <si>
    <t>G-REQ-00987-E1</t>
  </si>
  <si>
    <t>G-REQ-04008</t>
  </si>
  <si>
    <t>SYNTHETIC: Laptop return; Pending approval; asset G-AST-00214</t>
  </si>
  <si>
    <t>G-REQ-04009</t>
  </si>
  <si>
    <t>G-REQ-00987-E2</t>
  </si>
  <si>
    <t>G-REQ-04010</t>
  </si>
  <si>
    <t>SYNTHETIC: Laptop return; Approved; asset G-AST-00214</t>
  </si>
  <si>
    <t>G-REQ-00987-E3</t>
  </si>
  <si>
    <t>G-REQ-04011</t>
  </si>
  <si>
    <t>SYNTHETIC: Laptop return; In progress; asset G-AST-00214</t>
  </si>
  <si>
    <t>G-REQ-00987-E4</t>
  </si>
  <si>
    <t>G-REQ-04012</t>
  </si>
  <si>
    <t>G-REQ-04013</t>
  </si>
  <si>
    <t>SYNTHETIC: Laptop return; Completed; asset G-AST-00214</t>
  </si>
  <si>
    <t>G-REQ-00988-E1</t>
  </si>
  <si>
    <t>G-REQ-04014</t>
  </si>
  <si>
    <t>SYNTHETIC: Laptop repair; Pending approval; asset G-AST-00349</t>
  </si>
  <si>
    <t>G-REQ-00988-E2</t>
  </si>
  <si>
    <t>G-REQ-04015</t>
  </si>
  <si>
    <t>SYNTHETIC: Laptop repair; Approved; asset G-AST-00349</t>
  </si>
  <si>
    <t>G-REQ-04016</t>
  </si>
  <si>
    <t>G-REQ-00988-E3</t>
  </si>
  <si>
    <t>G-REQ-04017</t>
  </si>
  <si>
    <t>SYNTHETIC: Laptop repair; In progress; asset G-AST-00349</t>
  </si>
  <si>
    <t>G-REQ-00988-E4</t>
  </si>
  <si>
    <t>G-REQ-04018</t>
  </si>
  <si>
    <t>SYNTHETIC: Laptop repair; Completed; asset G-AST-00349</t>
  </si>
  <si>
    <t>G-REQ-00989-E1</t>
  </si>
  <si>
    <t>G-REQ-04019</t>
  </si>
  <si>
    <t>SYNTHETIC: Laptop return; Pending approval; asset G-AST-00324</t>
  </si>
  <si>
    <t>G-REQ-04020</t>
  </si>
  <si>
    <t>G-REQ-00989-E2</t>
  </si>
  <si>
    <t>G-REQ-04021</t>
  </si>
  <si>
    <t>SYNTHETIC: Laptop return; Approved; asset G-AST-00324</t>
  </si>
  <si>
    <t>G-REQ-00989-E3</t>
  </si>
  <si>
    <t>G-REQ-04022</t>
  </si>
  <si>
    <t>SYNTHETIC: Laptop return; In progress; asset G-AST-00324</t>
  </si>
  <si>
    <t>G-REQ-00989-E4</t>
  </si>
  <si>
    <t>G-REQ-04023</t>
  </si>
  <si>
    <t>SYNTHETIC: Laptop return; Completed; asset G-AST-00324</t>
  </si>
  <si>
    <t>G-REQ-00990-E1</t>
  </si>
  <si>
    <t>G-REQ-04024</t>
  </si>
  <si>
    <t>G-REQ-04025</t>
  </si>
  <si>
    <t>G-REQ-00990-E2</t>
  </si>
  <si>
    <t>G-REQ-04026</t>
  </si>
  <si>
    <t>SYNTHETIC: Laptop return; Approved; asset G-AST-00178</t>
  </si>
  <si>
    <t>G-REQ-00990-E3</t>
  </si>
  <si>
    <t>G-REQ-04027</t>
  </si>
  <si>
    <t>SYNTHETIC: Laptop return; In progress; asset G-AST-00178</t>
  </si>
  <si>
    <t>G-REQ-00990-E4</t>
  </si>
  <si>
    <t>G-REQ-04028</t>
  </si>
  <si>
    <t>G-REQ-04029</t>
  </si>
  <si>
    <t>SYNTHETIC: Laptop return; Completed; asset G-AST-00178</t>
  </si>
  <si>
    <t>G-REQ-00991-E1</t>
  </si>
  <si>
    <t>G-REQ-04030</t>
  </si>
  <si>
    <t>SYNTHETIC: Laptop allocation; Pending approval; asset G-AST-00394</t>
  </si>
  <si>
    <t>G-REQ-04031</t>
  </si>
  <si>
    <t>G-REQ-00991-E2</t>
  </si>
  <si>
    <t>G-REQ-04032</t>
  </si>
  <si>
    <t>SYNTHETIC: Laptop allocation; Approved; asset G-AST-00394</t>
  </si>
  <si>
    <t>G-REQ-00991-E3</t>
  </si>
  <si>
    <t>G-REQ-04033</t>
  </si>
  <si>
    <t>SYNTHETIC: Laptop allocation; In progress; asset G-AST-00394</t>
  </si>
  <si>
    <t>G-REQ-04034</t>
  </si>
  <si>
    <t>G-REQ-00991-E4</t>
  </si>
  <si>
    <t>G-REQ-04035</t>
  </si>
  <si>
    <t>SYNTHETIC: Laptop allocation; Completed; asset G-AST-00394</t>
  </si>
  <si>
    <t>G-REQ-00992-E1</t>
  </si>
  <si>
    <t>G-REQ-04036</t>
  </si>
  <si>
    <t>G-REQ-04037</t>
  </si>
  <si>
    <t>G-REQ-00992-E2</t>
  </si>
  <si>
    <t>G-REQ-04038</t>
  </si>
  <si>
    <t>SYNTHETIC: Laptop repair; Approved; asset G-AST-00284</t>
  </si>
  <si>
    <t>G-REQ-00992-E3</t>
  </si>
  <si>
    <t>G-REQ-04039</t>
  </si>
  <si>
    <t>SYNTHETIC: Laptop repair; In progress; asset G-AST-00284</t>
  </si>
  <si>
    <t>G-REQ-00992-E4</t>
  </si>
  <si>
    <t>G-REQ-04040</t>
  </si>
  <si>
    <t>SYNTHETIC: Laptop repair; Completed; asset G-AST-00284</t>
  </si>
  <si>
    <t>G-REQ-04041</t>
  </si>
  <si>
    <t>G-REQ-00993-E1</t>
  </si>
  <si>
    <t>G-REQ-04042</t>
  </si>
  <si>
    <t>SYNTHETIC: Laptop repair; Pending approval; asset G-AST-00288</t>
  </si>
  <si>
    <t>G-REQ-00993-E2</t>
  </si>
  <si>
    <t>G-REQ-04043</t>
  </si>
  <si>
    <t>SYNTHETIC: Laptop repair; Approved; asset G-AST-00288</t>
  </si>
  <si>
    <t>G-REQ-04044</t>
  </si>
  <si>
    <t>G-REQ-00993-E3</t>
  </si>
  <si>
    <t>G-REQ-04045</t>
  </si>
  <si>
    <t>SYNTHETIC: Laptop repair; In progress; asset G-AST-00288</t>
  </si>
  <si>
    <t>G-REQ-00993-E4</t>
  </si>
  <si>
    <t>G-REQ-04046</t>
  </si>
  <si>
    <t>SYNTHETIC: Laptop repair; Completed; asset G-AST-00288</t>
  </si>
  <si>
    <t>G-REQ-00994-E1</t>
  </si>
  <si>
    <t>G-REQ-04047</t>
  </si>
  <si>
    <t>G-REQ-04048</t>
  </si>
  <si>
    <t>G-REQ-00994-E2</t>
  </si>
  <si>
    <t>G-REQ-04049</t>
  </si>
  <si>
    <t>G-REQ-00994-E3</t>
  </si>
  <si>
    <t>G-REQ-04050</t>
  </si>
  <si>
    <t>G-REQ-00994-E4</t>
  </si>
  <si>
    <t>G-REQ-04051</t>
  </si>
  <si>
    <t>G-REQ-00995-E1</t>
  </si>
  <si>
    <t>G-REQ-04052</t>
  </si>
  <si>
    <t>SYNTHETIC: Laptop return; Pending approval; asset G-AST-00197</t>
  </si>
  <si>
    <t>G-REQ-04053</t>
  </si>
  <si>
    <t>G-REQ-00995-E2</t>
  </si>
  <si>
    <t>G-REQ-04054</t>
  </si>
  <si>
    <t>SYNTHETIC: Laptop return; Approved; asset G-AST-00197</t>
  </si>
  <si>
    <t>G-REQ-00995-E3</t>
  </si>
  <si>
    <t>G-REQ-04055</t>
  </si>
  <si>
    <t>SYNTHETIC: Laptop return; In progress; asset G-AST-00197</t>
  </si>
  <si>
    <t>G-REQ-04056</t>
  </si>
  <si>
    <t>G-REQ-00995-E4</t>
  </si>
  <si>
    <t>G-REQ-04057</t>
  </si>
  <si>
    <t>SYNTHETIC: Laptop return; Completed; asset G-AST-00197</t>
  </si>
  <si>
    <t>G-REQ-00996-E1</t>
  </si>
  <si>
    <t>G-REQ-04058</t>
  </si>
  <si>
    <t>G-REQ-04059</t>
  </si>
  <si>
    <t>G-REQ-00996-E2</t>
  </si>
  <si>
    <t>G-REQ-04060</t>
  </si>
  <si>
    <t>G-REQ-00996-E3</t>
  </si>
  <si>
    <t>G-REQ-04061</t>
  </si>
  <si>
    <t>G-REQ-04062</t>
  </si>
  <si>
    <t>G-REQ-00996-E4</t>
  </si>
  <si>
    <t>G-REQ-04063</t>
  </si>
  <si>
    <t>G-REQ-00997-E1</t>
  </si>
  <si>
    <t>G-REQ-04064</t>
  </si>
  <si>
    <t>G-REQ-04065</t>
  </si>
  <si>
    <t>G-REQ-00997-E2</t>
  </si>
  <si>
    <t>G-REQ-04066</t>
  </si>
  <si>
    <t>SYNTHETIC: Laptop repair; Rejected; asset G-AST-00184</t>
  </si>
  <si>
    <t>G-REQ-00998-E1</t>
  </si>
  <si>
    <t>G-REQ-04067</t>
  </si>
  <si>
    <t>SYNTHETIC: Laptop return; Pending approval; asset G-AST-00251</t>
  </si>
  <si>
    <t>G-REQ-04068</t>
  </si>
  <si>
    <t>G-REQ-00998-E2</t>
  </si>
  <si>
    <t>G-REQ-04069</t>
  </si>
  <si>
    <t>SYNTHETIC: Laptop return; Approved; asset G-AST-00251</t>
  </si>
  <si>
    <t>G-REQ-00998-E3</t>
  </si>
  <si>
    <t>G-REQ-04070</t>
  </si>
  <si>
    <t>G-REQ-04071</t>
  </si>
  <si>
    <t>SYNTHETIC: Laptop return; In progress; asset G-AST-00251</t>
  </si>
  <si>
    <t>G-REQ-00998-E4</t>
  </si>
  <si>
    <t>G-REQ-04072</t>
  </si>
  <si>
    <t>SYNTHETIC: Laptop return; Completed; asset G-AST-00251</t>
  </si>
  <si>
    <t>G-REQ-00999-E1</t>
  </si>
  <si>
    <t>G-REQ-04073</t>
  </si>
  <si>
    <t>G-REQ-04074</t>
  </si>
  <si>
    <t>G-REQ-00999-E2</t>
  </si>
  <si>
    <t>G-REQ-04075</t>
  </si>
  <si>
    <t>SYNTHETIC: Laptop repair; Approved; asset G-AST-00259</t>
  </si>
  <si>
    <t>G-REQ-04076</t>
  </si>
  <si>
    <t>G-REQ-00999-E3</t>
  </si>
  <si>
    <t>G-REQ-04077</t>
  </si>
  <si>
    <t>SYNTHETIC: Laptop repair; In progress; asset G-AST-00259</t>
  </si>
  <si>
    <t>G-REQ-00999-E4</t>
  </si>
  <si>
    <t>G-REQ-04078</t>
  </si>
  <si>
    <t>G-REQ-04079</t>
  </si>
  <si>
    <t>SYNTHETIC: Laptop repair; Completed; asset G-AST-00259</t>
  </si>
  <si>
    <t>G-REQ-01000-E1</t>
  </si>
  <si>
    <t>G-REQ-04080</t>
  </si>
  <si>
    <t>SYNTHETIC: Laptop return; Pending approval; asset G-AST-00039</t>
  </si>
  <si>
    <t>G-REQ-04081</t>
  </si>
  <si>
    <t>G-REQ-01000-E2</t>
  </si>
  <si>
    <t>G-REQ-04082</t>
  </si>
  <si>
    <t>SYNTHETIC: Laptop return; Approved; asset G-AST-00039</t>
  </si>
  <si>
    <t>G-REQ-01000-E3</t>
  </si>
  <si>
    <t>G-REQ-04083</t>
  </si>
  <si>
    <t>SYNTHETIC: Laptop return; In progress; asset G-AST-00039</t>
  </si>
  <si>
    <t>G-REQ-01000-E4</t>
  </si>
  <si>
    <t>G-REQ-04084</t>
  </si>
  <si>
    <t>SYNTHETIC: Laptop return; Completed; asset G-AST-00039</t>
  </si>
  <si>
    <t>G-REQ-04085</t>
  </si>
  <si>
    <t>G-REQ-01001-E1</t>
  </si>
  <si>
    <t>G-REQ-04086</t>
  </si>
  <si>
    <t>G-REQ-01001-E2</t>
  </si>
  <si>
    <t>G-REQ-04087</t>
  </si>
  <si>
    <t>SYNTHETIC: Laptop repair; Approved; asset G-AST-00101</t>
  </si>
  <si>
    <t>G-REQ-04088</t>
  </si>
  <si>
    <t>G-REQ-01001-E3</t>
  </si>
  <si>
    <t>G-REQ-04089</t>
  </si>
  <si>
    <t>SYNTHETIC: Laptop repair; In progress; asset G-AST-00101</t>
  </si>
  <si>
    <t>G-REQ-01001-E4</t>
  </si>
  <si>
    <t>G-REQ-04090</t>
  </si>
  <si>
    <t>SYNTHETIC: Laptop repair; Completed; asset G-AST-00101</t>
  </si>
  <si>
    <t>G-REQ-01002-E1</t>
  </si>
  <si>
    <t>G-REQ-04091</t>
  </si>
  <si>
    <t>G-REQ-04092</t>
  </si>
  <si>
    <t>G-REQ-01002-E2</t>
  </si>
  <si>
    <t>G-REQ-04093</t>
  </si>
  <si>
    <t>G-REQ-01002-E3</t>
  </si>
  <si>
    <t>G-REQ-04094</t>
  </si>
  <si>
    <t>G-REQ-04095</t>
  </si>
  <si>
    <t>G-REQ-01002-E4</t>
  </si>
  <si>
    <t>G-REQ-04096</t>
  </si>
  <si>
    <t>G-REQ-01003-E1</t>
  </si>
  <si>
    <t>G-REQ-04097</t>
  </si>
  <si>
    <t>G-REQ-01003-E2</t>
  </si>
  <si>
    <t>G-REQ-04098</t>
  </si>
  <si>
    <t>G-REQ-04099</t>
  </si>
  <si>
    <t>G-REQ-01003-E3</t>
  </si>
  <si>
    <t>G-REQ-04100</t>
  </si>
  <si>
    <t>G-REQ-01003-E4</t>
  </si>
  <si>
    <t>G-REQ-04101</t>
  </si>
  <si>
    <t>G-REQ-04102</t>
  </si>
  <si>
    <t>G-REQ-01004-E1</t>
  </si>
  <si>
    <t>G-REQ-04103</t>
  </si>
  <si>
    <t>SYNTHETIC: Laptop allocation; Pending approval; asset G-AST-00395</t>
  </si>
  <si>
    <t>G-REQ-01004-E2</t>
  </si>
  <si>
    <t>G-REQ-04104</t>
  </si>
  <si>
    <t>SYNTHETIC: Laptop allocation; Approved; asset G-AST-00395</t>
  </si>
  <si>
    <t>G-REQ-04105</t>
  </si>
  <si>
    <t>G-REQ-01004-E3</t>
  </si>
  <si>
    <t>G-REQ-04106</t>
  </si>
  <si>
    <t>SYNTHETIC: Laptop allocation; In progress; asset G-AST-00395</t>
  </si>
  <si>
    <t>G-REQ-01004-E4</t>
  </si>
  <si>
    <t>G-REQ-04107</t>
  </si>
  <si>
    <t>SYNTHETIC: Laptop allocation; Completed; asset G-AST-00395</t>
  </si>
  <si>
    <t>G-REQ-01005-E1</t>
  </si>
  <si>
    <t>G-REQ-04108</t>
  </si>
  <si>
    <t>G-REQ-04109</t>
  </si>
  <si>
    <t>G-REQ-01005-E2</t>
  </si>
  <si>
    <t>G-REQ-04110</t>
  </si>
  <si>
    <t>SYNTHETIC: Laptop repair; Approved; asset G-AST-00314</t>
  </si>
  <si>
    <t>G-REQ-01005-E3</t>
  </si>
  <si>
    <t>G-REQ-04111</t>
  </si>
  <si>
    <t>SYNTHETIC: Laptop repair; In progress; asset G-AST-00314</t>
  </si>
  <si>
    <t>G-REQ-01005-E4</t>
  </si>
  <si>
    <t>G-REQ-04112</t>
  </si>
  <si>
    <t>SYNTHETIC: Laptop repair; Completed; asset G-AST-00314</t>
  </si>
  <si>
    <t>G-REQ-04113</t>
  </si>
  <si>
    <t>G-REQ-01006-E1</t>
  </si>
  <si>
    <t>G-REQ-04114</t>
  </si>
  <si>
    <t>SYNTHETIC: Laptop allocation; Pending approval; asset G-AST-00396</t>
  </si>
  <si>
    <t>G-REQ-01006-E2</t>
  </si>
  <si>
    <t>G-REQ-04115</t>
  </si>
  <si>
    <t>SYNTHETIC: Laptop allocation; Approved; asset G-AST-00396</t>
  </si>
  <si>
    <t>G-REQ-01006-E3</t>
  </si>
  <si>
    <t>G-REQ-04116</t>
  </si>
  <si>
    <t>SYNTHETIC: Laptop allocation; In progress; asset G-AST-00396</t>
  </si>
  <si>
    <t>G-REQ-04117</t>
  </si>
  <si>
    <t>G-REQ-01006-E4</t>
  </si>
  <si>
    <t>G-REQ-04118</t>
  </si>
  <si>
    <t>SYNTHETIC: Laptop allocation; Completed; asset G-AST-00396</t>
  </si>
  <si>
    <t>G-REQ-01007-E1</t>
  </si>
  <si>
    <t>G-REQ-04119</t>
  </si>
  <si>
    <t>G-REQ-01007-E2</t>
  </si>
  <si>
    <t>G-REQ-04120</t>
  </si>
  <si>
    <t>G-REQ-04121</t>
  </si>
  <si>
    <t>G-REQ-01007-E3</t>
  </si>
  <si>
    <t>G-REQ-04122</t>
  </si>
  <si>
    <t>G-REQ-01007-E4</t>
  </si>
  <si>
    <t>G-REQ-04123</t>
  </si>
  <si>
    <t>G-REQ-04124</t>
  </si>
  <si>
    <t>G-REQ-01008-E1</t>
  </si>
  <si>
    <t>G-REQ-04125</t>
  </si>
  <si>
    <t>SYNTHETIC: Laptop allocation; Pending approval; asset G-AST-00397</t>
  </si>
  <si>
    <t>G-REQ-01008-E2</t>
  </si>
  <si>
    <t>G-REQ-04126</t>
  </si>
  <si>
    <t>SYNTHETIC: Laptop allocation; Approved; asset G-AST-00397</t>
  </si>
  <si>
    <t>G-REQ-04127</t>
  </si>
  <si>
    <t>G-REQ-01008-E3</t>
  </si>
  <si>
    <t>G-REQ-04128</t>
  </si>
  <si>
    <t>SYNTHETIC: Laptop allocation; In progress; asset G-AST-00397</t>
  </si>
  <si>
    <t>G-REQ-01008-E4</t>
  </si>
  <si>
    <t>G-REQ-04129</t>
  </si>
  <si>
    <t>SYNTHETIC: Laptop allocation; Completed; asset G-AST-00397</t>
  </si>
  <si>
    <t>G-REQ-04130</t>
  </si>
  <si>
    <t>G-REQ-01009-E1</t>
  </si>
  <si>
    <t>G-REQ-04131</t>
  </si>
  <si>
    <t>SYNTHETIC: Laptop allocation; Pending approval; asset G-AST-00398</t>
  </si>
  <si>
    <t>G-REQ-04132</t>
  </si>
  <si>
    <t>G-REQ-01009-E2</t>
  </si>
  <si>
    <t>G-REQ-04133</t>
  </si>
  <si>
    <t>SYNTHETIC: Laptop allocation; Approved; asset G-AST-00398</t>
  </si>
  <si>
    <t>G-REQ-01009-E3</t>
  </si>
  <si>
    <t>G-REQ-04134</t>
  </si>
  <si>
    <t>SYNTHETIC: Laptop allocation; In progress; asset G-AST-00398</t>
  </si>
  <si>
    <t>G-REQ-01009-E4</t>
  </si>
  <si>
    <t>G-REQ-04135</t>
  </si>
  <si>
    <t>G-REQ-04136</t>
  </si>
  <si>
    <t>SYNTHETIC: Laptop allocation; Completed; asset G-AST-00398</t>
  </si>
  <si>
    <t>G-REQ-01010-E1</t>
  </si>
  <si>
    <t>G-REQ-04137</t>
  </si>
  <si>
    <t>SYNTHETIC: Laptop return; Pending approval; asset G-AST-00366</t>
  </si>
  <si>
    <t>G-REQ-01010-E2</t>
  </si>
  <si>
    <t>G-REQ-04138</t>
  </si>
  <si>
    <t>G-REQ-04139</t>
  </si>
  <si>
    <t>SYNTHETIC: Laptop return; Approved; asset G-AST-00366</t>
  </si>
  <si>
    <t>G-REQ-01010-E3</t>
  </si>
  <si>
    <t>G-REQ-04140</t>
  </si>
  <si>
    <t>SYNTHETIC: Laptop return; In progress; asset G-AST-00366</t>
  </si>
  <si>
    <t>G-REQ-04141</t>
  </si>
  <si>
    <t>G-REQ-04142</t>
  </si>
  <si>
    <t>G-REQ-01010-E4</t>
  </si>
  <si>
    <t>G-REQ-04143</t>
  </si>
  <si>
    <t>SYNTHETIC: Laptop return; Completed; asset G-AST-00366</t>
  </si>
  <si>
    <t>G-REQ-01011-E1</t>
  </si>
  <si>
    <t>G-REQ-04144</t>
  </si>
  <si>
    <t>G-REQ-01011-E2</t>
  </si>
  <si>
    <t>G-REQ-04145</t>
  </si>
  <si>
    <t>SYNTHETIC: Laptop repair; Rejected; asset G-AST-00245</t>
  </si>
  <si>
    <t>G-REQ-01012-E1</t>
  </si>
  <si>
    <t>G-REQ-04146</t>
  </si>
  <si>
    <t>G-REQ-04147</t>
  </si>
  <si>
    <t>G-REQ-01012-E2</t>
  </si>
  <si>
    <t>G-REQ-01012-E3</t>
  </si>
  <si>
    <t>G-REQ-04148</t>
  </si>
  <si>
    <t>G-REQ-01012-E4</t>
  </si>
  <si>
    <t>G-REQ-04149</t>
  </si>
  <si>
    <t>G-REQ-01013-E1</t>
  </si>
  <si>
    <t>G-REQ-04150</t>
  </si>
  <si>
    <t>SYNTHETIC: Laptop allocation; Pending approval; asset G-AST-00399</t>
  </si>
  <si>
    <t>G-REQ-01013-E2</t>
  </si>
  <si>
    <t>G-REQ-04151</t>
  </si>
  <si>
    <t>SYNTHETIC: Laptop allocation; Approved; asset G-AST-00399</t>
  </si>
  <si>
    <t>G-REQ-01013-E3</t>
  </si>
  <si>
    <t>SYNTHETIC: Laptop allocation; In progress; asset G-AST-00399</t>
  </si>
  <si>
    <t>G-REQ-04152</t>
  </si>
  <si>
    <t>G-REQ-01013-E4</t>
  </si>
  <si>
    <t>SYNTHETIC: Laptop allocation; Completed; asset G-AST-00399</t>
  </si>
  <si>
    <t>G-REQ-01014-E1</t>
  </si>
  <si>
    <t>G-REQ-04153</t>
  </si>
  <si>
    <t>SYNTHETIC: Laptop allocation; Pending approval; asset G-AST-00400</t>
  </si>
  <si>
    <t>G-REQ-01014-E2</t>
  </si>
  <si>
    <t>G-REQ-04154</t>
  </si>
  <si>
    <t>SYNTHETIC: Laptop allocation; Approved; asset G-AST-00400</t>
  </si>
  <si>
    <t>G-REQ-04155</t>
  </si>
  <si>
    <t>G-REQ-01014-E3</t>
  </si>
  <si>
    <t>G-REQ-04156</t>
  </si>
  <si>
    <t>SYNTHETIC: Laptop allocation; In progress; asset G-AST-00400</t>
  </si>
  <si>
    <t>G-REQ-01014-E4</t>
  </si>
  <si>
    <t>G-REQ-04157</t>
  </si>
  <si>
    <t>SYNTHETIC: Laptop allocation; Completed; asset G-AST-00400</t>
  </si>
  <si>
    <t>G-REQ-01015-E1</t>
  </si>
  <si>
    <t>G-REQ-04158</t>
  </si>
  <si>
    <t>SYNTHETIC: Laptop return; Pending approval; asset G-AST-00042</t>
  </si>
  <si>
    <t>G-REQ-01015-E2</t>
  </si>
  <si>
    <t>G-REQ-04159</t>
  </si>
  <si>
    <t>SYNTHETIC: Laptop return; Approved; asset G-AST-00042</t>
  </si>
  <si>
    <t>G-REQ-01015-E3</t>
  </si>
  <si>
    <t>G-REQ-04160</t>
  </si>
  <si>
    <t>SYNTHETIC: Laptop return; In progress; asset G-AST-00042</t>
  </si>
  <si>
    <t>G-REQ-01015-E4</t>
  </si>
  <si>
    <t>G-REQ-04161</t>
  </si>
  <si>
    <t>SYNTHETIC: Laptop return; Completed; asset G-AST-00042</t>
  </si>
  <si>
    <t>G-REQ-01016-E1</t>
  </si>
  <si>
    <t>G-REQ-04162</t>
  </si>
  <si>
    <t>SYNTHETIC: Laptop repair; Pending approval; asset G-AST-00369</t>
  </si>
  <si>
    <t>G-REQ-01016-E2</t>
  </si>
  <si>
    <t>G-REQ-04163</t>
  </si>
  <si>
    <t>SYNTHETIC: Laptop repair; Approved; asset G-AST-00369</t>
  </si>
  <si>
    <t>G-REQ-01016-E3</t>
  </si>
  <si>
    <t>SYNTHETIC: Laptop repair; In progress; asset G-AST-00369</t>
  </si>
  <si>
    <t>G-REQ-04164</t>
  </si>
  <si>
    <t>G-REQ-01016-E4</t>
  </si>
  <si>
    <t>SYNTHETIC: Laptop repair; Completed; asset G-AST-00369</t>
  </si>
  <si>
    <t>G-REQ-01017-E1</t>
  </si>
  <si>
    <t>G-REQ-04165</t>
  </si>
  <si>
    <t>G-REQ-01017-E2</t>
  </si>
  <si>
    <t>G-REQ-04166</t>
  </si>
  <si>
    <t>G-REQ-01017-E3</t>
  </si>
  <si>
    <t>G-REQ-04167</t>
  </si>
  <si>
    <t>G-REQ-01017-E4</t>
  </si>
  <si>
    <t>G-REQ-04168</t>
  </si>
  <si>
    <t>G-REQ-01018-E1</t>
  </si>
  <si>
    <t>G-REQ-04169</t>
  </si>
  <si>
    <t>SYNTHETIC: Laptop return; Pending approval; asset G-AST-00254</t>
  </si>
  <si>
    <t>G-REQ-01018-E2</t>
  </si>
  <si>
    <t>SYNTHETIC: Laptop return; Approved; asset G-AST-00254</t>
  </si>
  <si>
    <t>G-REQ-04170</t>
  </si>
  <si>
    <t>G-REQ-01018-E3</t>
  </si>
  <si>
    <t>SYNTHETIC: Laptop return; In progress; asset G-AST-00254</t>
  </si>
  <si>
    <t>G-REQ-01018-E4</t>
  </si>
  <si>
    <t>G-REQ-04171</t>
  </si>
  <si>
    <t>SYNTHETIC: Laptop return; Completed; asset G-AST-00254</t>
  </si>
  <si>
    <t>G-REQ-01019-E1</t>
  </si>
  <si>
    <t>G-REQ-04172</t>
  </si>
  <si>
    <t>SYNTHETIC: Laptop repair; Pending approval; asset G-AST-00396</t>
  </si>
  <si>
    <t>G-REQ-01019-E2</t>
  </si>
  <si>
    <t>SYNTHETIC: Laptop repair; Approved; asset G-AST-00396</t>
  </si>
  <si>
    <t>G-REQ-01019-E3</t>
  </si>
  <si>
    <t>G-REQ-04173</t>
  </si>
  <si>
    <t>SYNTHETIC: Laptop repair; In progress; asset G-AST-00396</t>
  </si>
  <si>
    <t>G-REQ-01019-E4</t>
  </si>
  <si>
    <t>G-REQ-04174</t>
  </si>
  <si>
    <t>SYNTHETIC: Laptop repair; Completed; asset G-AST-00396</t>
  </si>
  <si>
    <t>G-REQ-01020-E1</t>
  </si>
  <si>
    <t>G-REQ-04175</t>
  </si>
  <si>
    <t>SYNTHETIC: Laptop allocation; Pending approval; asset G-AST-00401</t>
  </si>
  <si>
    <t>G-REQ-01020-E2</t>
  </si>
  <si>
    <t>G-REQ-04176</t>
  </si>
  <si>
    <t>SYNTHETIC: Laptop allocation; Approved; asset G-AST-00401</t>
  </si>
  <si>
    <t>G-REQ-01020-E3</t>
  </si>
  <si>
    <t>SYNTHETIC: Laptop allocation; In progress; asset G-AST-00401</t>
  </si>
  <si>
    <t>G-REQ-04177</t>
  </si>
  <si>
    <t>G-REQ-01020-E4</t>
  </si>
  <si>
    <t>SYNTHETIC: Laptop allocation; Completed; asset G-AST-00401</t>
  </si>
  <si>
    <t>G-REQ-04178</t>
  </si>
  <si>
    <t>G-REQ-01021-E1</t>
  </si>
  <si>
    <t>G-REQ-01021-E2</t>
  </si>
  <si>
    <t>G-REQ-04179</t>
  </si>
  <si>
    <t>G-REQ-01021-E3</t>
  </si>
  <si>
    <t>G-REQ-04180</t>
  </si>
  <si>
    <t>G-REQ-01021-E4</t>
  </si>
  <si>
    <t>G-REQ-04181</t>
  </si>
  <si>
    <t>G-REQ-01022-E1</t>
  </si>
  <si>
    <t>G-REQ-04182</t>
  </si>
  <si>
    <t>SYNTHETIC: Laptop allocation; Pending approval; asset G-AST-00402</t>
  </si>
  <si>
    <t>G-REQ-01022-E2</t>
  </si>
  <si>
    <t>G-REQ-04183</t>
  </si>
  <si>
    <t>SYNTHETIC: Laptop allocation; Approved; asset G-AST-00402</t>
  </si>
  <si>
    <t>G-REQ-01022-E3</t>
  </si>
  <si>
    <t>G-REQ-04184</t>
  </si>
  <si>
    <t>SYNTHETIC: Laptop allocation; In progress; asset G-AST-00402</t>
  </si>
  <si>
    <t>G-REQ-01022-E4</t>
  </si>
  <si>
    <t>G-REQ-04185</t>
  </si>
  <si>
    <t>SYNTHETIC: Laptop allocation; Completed; asset G-AST-00402</t>
  </si>
  <si>
    <t>G-REQ-01023-E1</t>
  </si>
  <si>
    <t>G-REQ-04186</t>
  </si>
  <si>
    <t>SYNTHETIC: Laptop allocation; Pending approval; asset G-AST-00403</t>
  </si>
  <si>
    <t>G-REQ-01023-E2</t>
  </si>
  <si>
    <t>SYNTHETIC: Laptop allocation; Approved; asset G-AST-00403</t>
  </si>
  <si>
    <t>G-REQ-04187</t>
  </si>
  <si>
    <t>G-REQ-01023-E3</t>
  </si>
  <si>
    <t>SYNTHETIC: Laptop allocation; In progress; asset G-AST-00403</t>
  </si>
  <si>
    <t>G-REQ-01023-E4</t>
  </si>
  <si>
    <t>G-REQ-04188</t>
  </si>
  <si>
    <t>SYNTHETIC: Laptop allocation; Completed; asset G-AST-00403</t>
  </si>
  <si>
    <t>G-REQ-01024-E1</t>
  </si>
  <si>
    <t>G-REQ-04189</t>
  </si>
  <si>
    <t>SYNTHETIC: Laptop allocation; Pending approval; asset G-AST-00404</t>
  </si>
  <si>
    <t>G-REQ-01024-E2</t>
  </si>
  <si>
    <t>G-REQ-04190</t>
  </si>
  <si>
    <t>SYNTHETIC: Laptop allocation; Approved; asset G-AST-00404</t>
  </si>
  <si>
    <t>G-REQ-01024-E3</t>
  </si>
  <si>
    <t>G-REQ-04191</t>
  </si>
  <si>
    <t>SYNTHETIC: Laptop allocation; In progress; asset G-AST-00404</t>
  </si>
  <si>
    <t>G-REQ-01024-E4</t>
  </si>
  <si>
    <t>SYNTHETIC: Laptop allocation; Completed; asset G-AST-00404</t>
  </si>
  <si>
    <t>G-REQ-04192</t>
  </si>
  <si>
    <t>G-REQ-01025-E1</t>
  </si>
  <si>
    <t>SYNTHETIC: Laptop allocation; Pending approval; asset G-AST-00405</t>
  </si>
  <si>
    <t>G-REQ-04193</t>
  </si>
  <si>
    <t>G-REQ-01025-E2</t>
  </si>
  <si>
    <t>SYNTHETIC: Laptop allocation; Approved; asset G-AST-00405</t>
  </si>
  <si>
    <t>G-REQ-01025-E3</t>
  </si>
  <si>
    <t>G-REQ-04194</t>
  </si>
  <si>
    <t>SYNTHETIC: Laptop allocation; In progress; asset G-AST-00405</t>
  </si>
  <si>
    <t>G-REQ-01025-E4</t>
  </si>
  <si>
    <t>G-REQ-04195</t>
  </si>
  <si>
    <t>SYNTHETIC: Laptop allocation; Completed; asset G-AST-00405</t>
  </si>
  <si>
    <t>G-REQ-01026-E1</t>
  </si>
  <si>
    <t>G-REQ-04196</t>
  </si>
  <si>
    <t>SYNTHETIC: Laptop return; Pending approval; asset G-AST-00201</t>
  </si>
  <si>
    <t>G-REQ-01026-E2</t>
  </si>
  <si>
    <t>SYNTHETIC: Laptop return; Approved; asset G-AST-00201</t>
  </si>
  <si>
    <t>G-REQ-04197</t>
  </si>
  <si>
    <t>G-REQ-01026-E3</t>
  </si>
  <si>
    <t>SYNTHETIC: Laptop return; In progress; asset G-AST-00201</t>
  </si>
  <si>
    <t>G-REQ-01026-E4</t>
  </si>
  <si>
    <t>SYNTHETIC: Laptop return; Completed; asset G-AST-00201</t>
  </si>
  <si>
    <t>G-REQ-04198</t>
  </si>
  <si>
    <t>G-REQ-01027-E1</t>
  </si>
  <si>
    <t>G-REQ-04199</t>
  </si>
  <si>
    <t>G-REQ-01027-E2</t>
  </si>
  <si>
    <t>G-REQ-01028-E1</t>
  </si>
  <si>
    <t>G-REQ-04200</t>
  </si>
  <si>
    <t>G-REQ-01028-E2</t>
  </si>
  <si>
    <t>G-REQ-04201</t>
  </si>
  <si>
    <t>G-REQ-01029-E1</t>
  </si>
  <si>
    <t>G-REQ-04202</t>
  </si>
  <si>
    <t>G-REQ-01029-E2</t>
  </si>
  <si>
    <t>G-REQ-04203</t>
  </si>
  <si>
    <t>SYNTHETIC: Laptop return; Approved; asset G-AST-00336</t>
  </si>
  <si>
    <t>G-REQ-01029-E3</t>
  </si>
  <si>
    <t>SYNTHETIC: Laptop return; In progress; asset G-AST-00336</t>
  </si>
  <si>
    <t>G-REQ-04204</t>
  </si>
  <si>
    <t>G-REQ-01029-E4</t>
  </si>
  <si>
    <t>SYNTHETIC: Laptop return; Completed; asset G-AST-00336</t>
  </si>
  <si>
    <t>G-REQ-01030-E1</t>
  </si>
  <si>
    <t>G-REQ-04205</t>
  </si>
  <si>
    <t>SYNTHETIC: Laptop allocation; Pending approval; asset G-AST-00406</t>
  </si>
  <si>
    <t>G-REQ-01030-E2</t>
  </si>
  <si>
    <t>G-REQ-04206</t>
  </si>
  <si>
    <t>SYNTHETIC: Laptop allocation; Approved; asset G-AST-00406</t>
  </si>
  <si>
    <t>G-REQ-01030-E3</t>
  </si>
  <si>
    <t>G-REQ-04207</t>
  </si>
  <si>
    <t>SYNTHETIC: Laptop allocation; In progress; asset G-AST-00406</t>
  </si>
  <si>
    <t>G-REQ-01030-E4</t>
  </si>
  <si>
    <t>G-REQ-04208</t>
  </si>
  <si>
    <t>SYNTHETIC: Laptop allocation; Completed; asset G-AST-00406</t>
  </si>
  <si>
    <t>G-REQ-01031-E1</t>
  </si>
  <si>
    <t>G-REQ-04209</t>
  </si>
  <si>
    <t>G-REQ-01031-E2</t>
  </si>
  <si>
    <t>SYNTHETIC: Laptop repair; Rejected; asset G-AST-00190</t>
  </si>
  <si>
    <t>G-REQ-04210</t>
  </si>
  <si>
    <t>G-REQ-01032-E1</t>
  </si>
  <si>
    <t>SYNTHETIC: Laptop allocation; Pending approval; asset G-AST-00407</t>
  </si>
  <si>
    <t>G-REQ-04211</t>
  </si>
  <si>
    <t>G-REQ-01032-E2</t>
  </si>
  <si>
    <t>SYNTHETIC: Laptop allocation; Approved; asset G-AST-00407</t>
  </si>
  <si>
    <t>G-REQ-01032-E3</t>
  </si>
  <si>
    <t>G-REQ-04212</t>
  </si>
  <si>
    <t>SYNTHETIC: Laptop allocation; In progress; asset G-AST-00407</t>
  </si>
  <si>
    <t>G-REQ-01032-E4</t>
  </si>
  <si>
    <t>G-REQ-04213</t>
  </si>
  <si>
    <t>SYNTHETIC: Laptop allocation; Completed; asset G-AST-00407</t>
  </si>
  <si>
    <t>G-REQ-01033-E1</t>
  </si>
  <si>
    <t>G-REQ-04214</t>
  </si>
  <si>
    <t>SYNTHETIC: Laptop allocation; Pending approval; asset G-AST-00408</t>
  </si>
  <si>
    <t>G-REQ-01033-E2</t>
  </si>
  <si>
    <t>SYNTHETIC: Laptop allocation; Approved; asset G-AST-00408</t>
  </si>
  <si>
    <t>G-REQ-04215</t>
  </si>
  <si>
    <t>G-REQ-01033-E3</t>
  </si>
  <si>
    <t>SYNTHETIC: Laptop allocation; In progress; asset G-AST-00408</t>
  </si>
  <si>
    <t>G-REQ-01033-E4</t>
  </si>
  <si>
    <t>G-REQ-04216</t>
  </si>
  <si>
    <t>SYNTHETIC: Laptop allocation; Completed; asset G-AST-00408</t>
  </si>
  <si>
    <t>G-REQ-01034-E1</t>
  </si>
  <si>
    <t>G-REQ-04217</t>
  </si>
  <si>
    <t>G-REQ-01034-E2</t>
  </si>
  <si>
    <t>G-REQ-04218</t>
  </si>
  <si>
    <t>G-REQ-01034-E3</t>
  </si>
  <si>
    <t>G-REQ-04219</t>
  </si>
  <si>
    <t>G-REQ-01034-E4</t>
  </si>
  <si>
    <t>G-REQ-04220</t>
  </si>
  <si>
    <t>G-REQ-01035-E1</t>
  </si>
  <si>
    <t>G-REQ-04221</t>
  </si>
  <si>
    <t>SYNTHETIC: Laptop repair; Pending approval; asset G-AST-00355</t>
  </si>
  <si>
    <t>G-REQ-01035-E2</t>
  </si>
  <si>
    <t>SYNTHETIC: Laptop repair; Approved; asset G-AST-00355</t>
  </si>
  <si>
    <t>G-REQ-01035-E3</t>
  </si>
  <si>
    <t>G-REQ-04222</t>
  </si>
  <si>
    <t>SYNTHETIC: Laptop repair; In progress; asset G-AST-00355</t>
  </si>
  <si>
    <t>G-REQ-01035-E4</t>
  </si>
  <si>
    <t>G-REQ-04223</t>
  </si>
  <si>
    <t>SYNTHETIC: Laptop repair; Completed; asset G-AST-00355</t>
  </si>
  <si>
    <t>G-REQ-01036-E1</t>
  </si>
  <si>
    <t>SYNTHETIC: Laptop return; Pending approval; asset G-AST-00082</t>
  </si>
  <si>
    <t>G-REQ-04224</t>
  </si>
  <si>
    <t>G-REQ-01036-E2</t>
  </si>
  <si>
    <t>SYNTHETIC: Laptop return; Approved; asset G-AST-00082</t>
  </si>
  <si>
    <t>G-REQ-04225</t>
  </si>
  <si>
    <t>G-REQ-01036-E3</t>
  </si>
  <si>
    <t>G-REQ-04226</t>
  </si>
  <si>
    <t>SYNTHETIC: Laptop return; In progress; asset G-AST-00082</t>
  </si>
  <si>
    <t>G-REQ-01036-E4</t>
  </si>
  <si>
    <t>G-REQ-04227</t>
  </si>
  <si>
    <t>SYNTHETIC: Laptop return; Completed; asset G-AST-00082</t>
  </si>
  <si>
    <t>G-REQ-01037-E1</t>
  </si>
  <si>
    <t>G-REQ-04228</t>
  </si>
  <si>
    <t>SYNTHETIC: Laptop return; Pending approval; asset G-AST-00360</t>
  </si>
  <si>
    <t>G-REQ-01037-E2</t>
  </si>
  <si>
    <t>G-REQ-04229</t>
  </si>
  <si>
    <t>SYNTHETIC: Laptop return; Approved; asset G-AST-00360</t>
  </si>
  <si>
    <t>G-REQ-01037-E3</t>
  </si>
  <si>
    <t>G-REQ-04230</t>
  </si>
  <si>
    <t>SYNTHETIC: Laptop return; In progress; asset G-AST-00360</t>
  </si>
  <si>
    <t>G-REQ-01037-E4</t>
  </si>
  <si>
    <t>G-REQ-04231</t>
  </si>
  <si>
    <t>SYNTHETIC: Laptop return; Completed; asset G-AST-00360</t>
  </si>
  <si>
    <t>G-REQ-01038-E1</t>
  </si>
  <si>
    <t>G-REQ-04232</t>
  </si>
  <si>
    <t>SYNTHETIC: Laptop allocation; Pending approval; asset G-AST-00409</t>
  </si>
  <si>
    <t>G-REQ-01038-E2</t>
  </si>
  <si>
    <t>SYNTHETIC: Laptop allocation; Approved; asset G-AST-00409</t>
  </si>
  <si>
    <t>G-REQ-04233</t>
  </si>
  <si>
    <t>G-REQ-01038-E3</t>
  </si>
  <si>
    <t>SYNTHETIC: Laptop allocation; In progress; asset G-AST-00409</t>
  </si>
  <si>
    <t>G-REQ-01038-E4</t>
  </si>
  <si>
    <t>G-REQ-04234</t>
  </si>
  <si>
    <t>SYNTHETIC: Laptop allocation; Completed; asset G-AST-00409</t>
  </si>
  <si>
    <t>G-REQ-01039-E1</t>
  </si>
  <si>
    <t>G-REQ-04235</t>
  </si>
  <si>
    <t>G-REQ-01039-E2</t>
  </si>
  <si>
    <t>G-REQ-04236</t>
  </si>
  <si>
    <t>G-REQ-01039-E3</t>
  </si>
  <si>
    <t>G-REQ-04237</t>
  </si>
  <si>
    <t>G-REQ-01039-E4</t>
  </si>
  <si>
    <t>G-REQ-04238</t>
  </si>
  <si>
    <t>G-REQ-01040-E1</t>
  </si>
  <si>
    <t>G-REQ-04239</t>
  </si>
  <si>
    <t>SYNTHETIC: Laptop allocation; Pending approval; asset G-AST-00410</t>
  </si>
  <si>
    <t>G-REQ-01040-E2</t>
  </si>
  <si>
    <t>G-REQ-04240</t>
  </si>
  <si>
    <t>SYNTHETIC: Laptop allocation; Approved; asset G-AST-00410</t>
  </si>
  <si>
    <t>G-REQ-01040-E3</t>
  </si>
  <si>
    <t>SYNTHETIC: Laptop allocation; In progress; asset G-AST-00410</t>
  </si>
  <si>
    <t>G-REQ-04241</t>
  </si>
  <si>
    <t>G-REQ-01040-E4</t>
  </si>
  <si>
    <t>SYNTHETIC: Laptop allocation; Completed; asset G-AST-00410</t>
  </si>
  <si>
    <t>G-REQ-01041-E1</t>
  </si>
  <si>
    <t>G-REQ-04242</t>
  </si>
  <si>
    <t>G-REQ-04243</t>
  </si>
  <si>
    <t>SYNTHETIC: Laptop allocation; Pending approval; asset G-AST-00411</t>
  </si>
  <si>
    <t>G-REQ-01041-E2</t>
  </si>
  <si>
    <t>SYNTHETIC: Laptop allocation; Approved; asset G-AST-00411</t>
  </si>
  <si>
    <t>G-REQ-04244</t>
  </si>
  <si>
    <t>G-REQ-01041-E3</t>
  </si>
  <si>
    <t>SYNTHETIC: Laptop allocation; In progress; asset G-AST-00411</t>
  </si>
  <si>
    <t>G-REQ-01041-E4</t>
  </si>
  <si>
    <t>G-REQ-04245</t>
  </si>
  <si>
    <t>SYNTHETIC: Laptop allocation; Completed; asset G-AST-00411</t>
  </si>
  <si>
    <t>G-REQ-01042-E1</t>
  </si>
  <si>
    <t>G-REQ-04246</t>
  </si>
  <si>
    <t>G-REQ-01042-E2</t>
  </si>
  <si>
    <t>G-REQ-04247</t>
  </si>
  <si>
    <t>G-REQ-01042-E3</t>
  </si>
  <si>
    <t>G-REQ-04248</t>
  </si>
  <si>
    <t>G-REQ-01042-E4</t>
  </si>
  <si>
    <t>G-REQ-04249</t>
  </si>
  <si>
    <t>G-REQ-01043-E1</t>
  </si>
  <si>
    <t>SYNTHETIC: Laptop allocation; Pending approval; asset G-AST-00412</t>
  </si>
  <si>
    <t>G-REQ-04250</t>
  </si>
  <si>
    <t>G-REQ-01043-E2</t>
  </si>
  <si>
    <t>SYNTHETIC: Laptop allocation; Approved; asset G-AST-00412</t>
  </si>
  <si>
    <t>G-REQ-01043-E3</t>
  </si>
  <si>
    <t>G-REQ-04251</t>
  </si>
  <si>
    <t>SYNTHETIC: Laptop allocation; In progress; asset G-AST-00412</t>
  </si>
  <si>
    <t>G-REQ-01043-E4</t>
  </si>
  <si>
    <t>G-REQ-04252</t>
  </si>
  <si>
    <t>SYNTHETIC: Laptop allocation; Completed; asset G-AST-00412</t>
  </si>
  <si>
    <t>G-REQ-01044-E1</t>
  </si>
  <si>
    <t>G-REQ-04253</t>
  </si>
  <si>
    <t>G-REQ-01044-E2</t>
  </si>
  <si>
    <t>G-REQ-01044-E3</t>
  </si>
  <si>
    <t>G-REQ-04254</t>
  </si>
  <si>
    <t>G-REQ-01044-E4</t>
  </si>
  <si>
    <t>G-REQ-04255</t>
  </si>
  <si>
    <t>G-REQ-01045-E1</t>
  </si>
  <si>
    <t>G-REQ-04256</t>
  </si>
  <si>
    <t>SYNTHETIC: Laptop repair; Pending approval; asset G-AST-00377</t>
  </si>
  <si>
    <t>G-REQ-01045-E2</t>
  </si>
  <si>
    <t>G-REQ-04257</t>
  </si>
  <si>
    <t>SYNTHETIC: Laptop repair; Approved; asset G-AST-00377</t>
  </si>
  <si>
    <t>G-REQ-01045-E3</t>
  </si>
  <si>
    <t>G-REQ-04258</t>
  </si>
  <si>
    <t>SYNTHETIC: Laptop repair; In progress; asset G-AST-00377</t>
  </si>
  <si>
    <t>G-REQ-01045-E4</t>
  </si>
  <si>
    <t>G-REQ-04259</t>
  </si>
  <si>
    <t>SYNTHETIC: Laptop repair; Completed; asset G-AST-00377</t>
  </si>
  <si>
    <t>G-REQ-04260</t>
  </si>
  <si>
    <t>G-REQ-01046-E1</t>
  </si>
  <si>
    <t>SYNTHETIC: Laptop allocation; Pending approval; asset G-AST-00413</t>
  </si>
  <si>
    <t>G-REQ-04261</t>
  </si>
  <si>
    <t>G-REQ-01046-E2</t>
  </si>
  <si>
    <t>SYNTHETIC: Laptop allocation; Approved; asset G-AST-00413</t>
  </si>
  <si>
    <t>G-REQ-04262</t>
  </si>
  <si>
    <t>G-REQ-01046-E3</t>
  </si>
  <si>
    <t>SYNTHETIC: Laptop allocation; In progress; asset G-AST-00413</t>
  </si>
  <si>
    <t>G-REQ-01046-E4</t>
  </si>
  <si>
    <t>G-REQ-04263</t>
  </si>
  <si>
    <t>SYNTHETIC: Laptop allocation; Completed; asset G-AST-00413</t>
  </si>
  <si>
    <t>G-REQ-01047-E1</t>
  </si>
  <si>
    <t>G-REQ-04264</t>
  </si>
  <si>
    <t>SYNTHETIC: Laptop return; Pending approval; asset G-AST-00399</t>
  </si>
  <si>
    <t>G-REQ-01047-E2</t>
  </si>
  <si>
    <t>G-REQ-04265</t>
  </si>
  <si>
    <t>SYNTHETIC: Laptop return; Approved; asset G-AST-00399</t>
  </si>
  <si>
    <t>G-REQ-01047-E3</t>
  </si>
  <si>
    <t>SYNTHETIC: Laptop return; In progress; asset G-AST-00399</t>
  </si>
  <si>
    <t>G-REQ-04266</t>
  </si>
  <si>
    <t>G-REQ-01047-E4</t>
  </si>
  <si>
    <t>SYNTHETIC: Laptop return; Completed; asset G-AST-00399</t>
  </si>
  <si>
    <t>G-REQ-01048-E1</t>
  </si>
  <si>
    <t>G-REQ-04267</t>
  </si>
  <si>
    <t>SYNTHETIC: Laptop allocation; Pending approval; asset G-AST-00414</t>
  </si>
  <si>
    <t>G-REQ-01048-E2</t>
  </si>
  <si>
    <t>G-REQ-04268</t>
  </si>
  <si>
    <t>SYNTHETIC: Laptop allocation; Approved; asset G-AST-00414</t>
  </si>
  <si>
    <t>G-REQ-01048-E3</t>
  </si>
  <si>
    <t>SYNTHETIC: Laptop allocation; In progress; asset G-AST-00414</t>
  </si>
  <si>
    <t>G-REQ-04269</t>
  </si>
  <si>
    <t>G-REQ-01048-E4</t>
  </si>
  <si>
    <t>SYNTHETIC: Laptop allocation; Completed; asset G-AST-00414</t>
  </si>
  <si>
    <t>G-REQ-01049-E1</t>
  </si>
  <si>
    <t>G-REQ-04270</t>
  </si>
  <si>
    <t>SYNTHETIC: Laptop repair; Pending approval; asset G-AST-00322</t>
  </si>
  <si>
    <t>G-REQ-04271</t>
  </si>
  <si>
    <t>G-REQ-01049-E2</t>
  </si>
  <si>
    <t>SYNTHETIC: Laptop repair; Approved; asset G-AST-00322</t>
  </si>
  <si>
    <t>G-REQ-01049-E3</t>
  </si>
  <si>
    <t>G-REQ-04272</t>
  </si>
  <si>
    <t>SYNTHETIC: Laptop repair; In progress; asset G-AST-00322</t>
  </si>
  <si>
    <t>G-REQ-01049-E4</t>
  </si>
  <si>
    <t>G-REQ-04273</t>
  </si>
  <si>
    <t>SYNTHETIC: Laptop repair; Completed; asset G-AST-00322</t>
  </si>
  <si>
    <t>G-REQ-01050-E1</t>
  </si>
  <si>
    <t>G-REQ-04274</t>
  </si>
  <si>
    <t>G-REQ-01050-E2</t>
  </si>
  <si>
    <t>G-REQ-04275</t>
  </si>
  <si>
    <t>G-REQ-01051-E1</t>
  </si>
  <si>
    <t>G-REQ-04276</t>
  </si>
  <si>
    <t>G-REQ-01051-E2</t>
  </si>
  <si>
    <t>G-REQ-04277</t>
  </si>
  <si>
    <t>G-REQ-01051-E3</t>
  </si>
  <si>
    <t>G-REQ-04278</t>
  </si>
  <si>
    <t>G-REQ-04279</t>
  </si>
  <si>
    <t>G-REQ-01051-E4</t>
  </si>
  <si>
    <t>G-REQ-04280</t>
  </si>
  <si>
    <t>G-REQ-01052-E1</t>
  </si>
  <si>
    <t>G-REQ-04281</t>
  </si>
  <si>
    <t>G-REQ-01052-E2</t>
  </si>
  <si>
    <t>G-REQ-04282</t>
  </si>
  <si>
    <t>G-REQ-04283</t>
  </si>
  <si>
    <t>G-REQ-01053-E1</t>
  </si>
  <si>
    <t>G-REQ-04284</t>
  </si>
  <si>
    <t>SYNTHETIC: Laptop return; Pending approval; asset G-AST-00316</t>
  </si>
  <si>
    <t>G-REQ-01053-E2</t>
  </si>
  <si>
    <t>G-REQ-04285</t>
  </si>
  <si>
    <t>SYNTHETIC: Laptop return; Approved; asset G-AST-00316</t>
  </si>
  <si>
    <t>G-REQ-01053-E3</t>
  </si>
  <si>
    <t>SYNTHETIC: Laptop return; In progress; asset G-AST-00316</t>
  </si>
  <si>
    <t>G-REQ-04286</t>
  </si>
  <si>
    <t>G-REQ-01053-E4</t>
  </si>
  <si>
    <t>SYNTHETIC: Laptop return; Completed; asset G-AST-00316</t>
  </si>
  <si>
    <t>G-REQ-01054-E1</t>
  </si>
  <si>
    <t>G-REQ-04287</t>
  </si>
  <si>
    <t>SYNTHETIC: Laptop allocation; Pending approval; asset G-AST-00415</t>
  </si>
  <si>
    <t>G-REQ-01054-E2</t>
  </si>
  <si>
    <t>G-REQ-04288</t>
  </si>
  <si>
    <t>SYNTHETIC: Laptop allocation; Approved; asset G-AST-00415</t>
  </si>
  <si>
    <t>G-REQ-01054-E3</t>
  </si>
  <si>
    <t>G-REQ-04289</t>
  </si>
  <si>
    <t>SYNTHETIC: Laptop allocation; In progress; asset G-AST-00415</t>
  </si>
  <si>
    <t>G-REQ-01054-E4</t>
  </si>
  <si>
    <t>SYNTHETIC: Laptop allocation; Completed; asset G-AST-00415</t>
  </si>
  <si>
    <t>G-REQ-01055-E1</t>
  </si>
  <si>
    <t>G-REQ-04290</t>
  </si>
  <si>
    <t>SYNTHETIC: Laptop allocation; Pending approval; asset G-AST-00416</t>
  </si>
  <si>
    <t>G-REQ-01055-E2</t>
  </si>
  <si>
    <t>G-REQ-04291</t>
  </si>
  <si>
    <t>SYNTHETIC: Laptop allocation; Approved; asset G-AST-00416</t>
  </si>
  <si>
    <t>G-REQ-01055-E3</t>
  </si>
  <si>
    <t>G-REQ-04292</t>
  </si>
  <si>
    <t>SYNTHETIC: Laptop allocation; In progress; asset G-AST-00416</t>
  </si>
  <si>
    <t>G-REQ-01055-E4</t>
  </si>
  <si>
    <t>SYNTHETIC: Laptop allocation; Completed; asset G-AST-00416</t>
  </si>
  <si>
    <t>G-REQ-01056-E1</t>
  </si>
  <si>
    <t>G-REQ-04293</t>
  </si>
  <si>
    <t>G-REQ-01056-E2</t>
  </si>
  <si>
    <t>G-REQ-04294</t>
  </si>
  <si>
    <t>G-REQ-01056-E3</t>
  </si>
  <si>
    <t>G-REQ-04295</t>
  </si>
  <si>
    <t>G-REQ-01056-E4</t>
  </si>
  <si>
    <t>G-REQ-01057-E1</t>
  </si>
  <si>
    <t>SYNTHETIC: Laptop repair; Pending approval; asset G-AST-00415</t>
  </si>
  <si>
    <t>G-REQ-01057-E2</t>
  </si>
  <si>
    <t>SYNTHETIC: Laptop repair; Approved; asset G-AST-00415</t>
  </si>
  <si>
    <t>G-REQ-04296</t>
  </si>
  <si>
    <t>G-REQ-01057-E3</t>
  </si>
  <si>
    <t>SYNTHETIC: Laptop repair; In progress; asset G-AST-00415</t>
  </si>
  <si>
    <t>G-REQ-01057-E4</t>
  </si>
  <si>
    <t>G-REQ-04297</t>
  </si>
  <si>
    <t>SYNTHETIC: Laptop repair; Completed; asset G-AST-00415</t>
  </si>
  <si>
    <t>G-REQ-01058-E1</t>
  </si>
  <si>
    <t>G-REQ-04298</t>
  </si>
  <si>
    <t>G-REQ-01058-E2</t>
  </si>
  <si>
    <t>G-REQ-04299</t>
  </si>
  <si>
    <t>G-REQ-01058-E3</t>
  </si>
  <si>
    <t>G-REQ-04300</t>
  </si>
  <si>
    <t>G-REQ-01058-E4</t>
  </si>
  <si>
    <t>G-REQ-04301</t>
  </si>
  <si>
    <t>G-REQ-01059-E1</t>
  </si>
  <si>
    <t>G-REQ-04302</t>
  </si>
  <si>
    <t>SYNTHETIC: Laptop allocation; Pending approval; asset G-AST-00417</t>
  </si>
  <si>
    <t>G-REQ-01059-E2</t>
  </si>
  <si>
    <t>G-REQ-04303</t>
  </si>
  <si>
    <t>SYNTHETIC: Laptop allocation; Approved; asset G-AST-00417</t>
  </si>
  <si>
    <t>G-REQ-01059-E3</t>
  </si>
  <si>
    <t>SYNTHETIC: Laptop allocation; In progress; asset G-AST-00417</t>
  </si>
  <si>
    <t>G-REQ-01059-E4</t>
  </si>
  <si>
    <t>G-REQ-04304</t>
  </si>
  <si>
    <t>SYNTHETIC: Laptop allocation; Completed; asset G-AST-00417</t>
  </si>
  <si>
    <t>G-REQ-01060-E1</t>
  </si>
  <si>
    <t>G-REQ-04305</t>
  </si>
  <si>
    <t>G-REQ-01060-E2</t>
  </si>
  <si>
    <t>G-REQ-04306</t>
  </si>
  <si>
    <t>G-REQ-01060-E3</t>
  </si>
  <si>
    <t>G-REQ-01060-E4</t>
  </si>
  <si>
    <t>G-REQ-04307</t>
  </si>
  <si>
    <t>G-REQ-01061-E1</t>
  </si>
  <si>
    <t>G-REQ-04308</t>
  </si>
  <si>
    <t>SYNTHETIC: Laptop return; Pending approval; asset G-AST-00333</t>
  </si>
  <si>
    <t>G-REQ-01061-E2</t>
  </si>
  <si>
    <t>G-REQ-04309</t>
  </si>
  <si>
    <t>SYNTHETIC: Laptop return; Approved; asset G-AST-00333</t>
  </si>
  <si>
    <t>G-REQ-01061-E3</t>
  </si>
  <si>
    <t>G-REQ-04310</t>
  </si>
  <si>
    <t>SYNTHETIC: Laptop return; In progress; asset G-AST-00333</t>
  </si>
  <si>
    <t>G-REQ-01061-E4</t>
  </si>
  <si>
    <t>SYNTHETIC: Laptop return; Completed; asset G-AST-00333</t>
  </si>
  <si>
    <t>G-REQ-04311</t>
  </si>
  <si>
    <t>G-REQ-01062-E1</t>
  </si>
  <si>
    <t>G-REQ-01062-E2</t>
  </si>
  <si>
    <t>G-REQ-04312</t>
  </si>
  <si>
    <t>G-REQ-01062-E3</t>
  </si>
  <si>
    <t>G-REQ-04313</t>
  </si>
  <si>
    <t>G-REQ-01062-E4</t>
  </si>
  <si>
    <t>G-REQ-04314</t>
  </si>
  <si>
    <t>G-REQ-01063-E1</t>
  </si>
  <si>
    <t>G-REQ-04315</t>
  </si>
  <si>
    <t>SYNTHETIC: Laptop return; Pending approval; asset G-AST-00404</t>
  </si>
  <si>
    <t>G-REQ-01063-E2</t>
  </si>
  <si>
    <t>G-REQ-04316</t>
  </si>
  <si>
    <t>SYNTHETIC: Laptop return; Cancelled; asset G-AST-00404</t>
  </si>
  <si>
    <t>G-REQ-01064-E1</t>
  </si>
  <si>
    <t>SYNTHETIC: Laptop repair; Pending approval; asset G-AST-00149</t>
  </si>
  <si>
    <t>G-REQ-04317</t>
  </si>
  <si>
    <t>G-REQ-01064-E2</t>
  </si>
  <si>
    <t>SYNTHETIC: Laptop repair; Cancelled; asset G-AST-00149</t>
  </si>
  <si>
    <t>G-REQ-01065-E1</t>
  </si>
  <si>
    <t>SYNTHETIC: Laptop allocation; Pending approval; asset G-AST-00418</t>
  </si>
  <si>
    <t>G-REQ-01065-E2</t>
  </si>
  <si>
    <t>G-REQ-04318</t>
  </si>
  <si>
    <t>G-REQ-04319</t>
  </si>
  <si>
    <t>SYNTHETIC: Laptop allocation; Approved; asset G-AST-00418</t>
  </si>
  <si>
    <t>G-REQ-01065-E3</t>
  </si>
  <si>
    <t>SYNTHETIC: Laptop allocation; In progress; asset G-AST-00418</t>
  </si>
  <si>
    <t>G-REQ-04320</t>
  </si>
  <si>
    <t>G-REQ-01065-E4</t>
  </si>
  <si>
    <t>SYNTHETIC: Laptop allocation; Completed; asset G-AST-00418</t>
  </si>
  <si>
    <t>G-REQ-01066-E1</t>
  </si>
  <si>
    <t>G-REQ-04321</t>
  </si>
  <si>
    <t>SYNTHETIC: Laptop allocation; Pending approval; asset G-AST-00419</t>
  </si>
  <si>
    <t>G-REQ-01066-E2</t>
  </si>
  <si>
    <t>SYNTHETIC: Laptop allocation; Approved; asset G-AST-00419</t>
  </si>
  <si>
    <t>G-REQ-01066-E3</t>
  </si>
  <si>
    <t>G-REQ-04322</t>
  </si>
  <si>
    <t>SYNTHETIC: Laptop allocation; In progress; asset G-AST-00419</t>
  </si>
  <si>
    <t>G-REQ-01066-E4</t>
  </si>
  <si>
    <t>SYNTHETIC: Laptop allocation; Completed; asset G-AST-00419</t>
  </si>
  <si>
    <t>G-REQ-01067-E1</t>
  </si>
  <si>
    <t>G-REQ-04323</t>
  </si>
  <si>
    <t>SYNTHETIC: Laptop return; Pending approval; asset G-AST-00253</t>
  </si>
  <si>
    <t>G-REQ-01067-E2</t>
  </si>
  <si>
    <t>G-REQ-04324</t>
  </si>
  <si>
    <t>SYNTHETIC: Laptop return; Approved; asset G-AST-00253</t>
  </si>
  <si>
    <t>G-REQ-01067-E3</t>
  </si>
  <si>
    <t>G-REQ-04325</t>
  </si>
  <si>
    <t>SYNTHETIC: Laptop return; In progress; asset G-AST-00253</t>
  </si>
  <si>
    <t>G-REQ-01067-E4</t>
  </si>
  <si>
    <t>SYNTHETIC: Laptop return; Completed; asset G-AST-00253</t>
  </si>
  <si>
    <t>G-REQ-04326</t>
  </si>
  <si>
    <t>G-REQ-01068-E1</t>
  </si>
  <si>
    <t>SYNTHETIC: Laptop allocation; Pending approval; asset G-AST-00420</t>
  </si>
  <si>
    <t>G-REQ-04327</t>
  </si>
  <si>
    <t>G-REQ-01068-E2</t>
  </si>
  <si>
    <t>SYNTHETIC: Laptop allocation; Approved; asset G-AST-00420</t>
  </si>
  <si>
    <t>G-REQ-01068-E3</t>
  </si>
  <si>
    <t>G-REQ-04328</t>
  </si>
  <si>
    <t>SYNTHETIC: Laptop allocation; In progress; asset G-AST-00420</t>
  </si>
  <si>
    <t>G-REQ-01068-E4</t>
  </si>
  <si>
    <t>G-REQ-04329</t>
  </si>
  <si>
    <t>SYNTHETIC: Laptop allocation; Completed; asset G-AST-00420</t>
  </si>
  <si>
    <t>G-REQ-01069-E1</t>
  </si>
  <si>
    <t>G-REQ-04330</t>
  </si>
  <si>
    <t>SYNTHETIC: Laptop allocation; Pending approval; asset G-AST-00421</t>
  </si>
  <si>
    <t>G-REQ-01069-E2</t>
  </si>
  <si>
    <t>SYNTHETIC: Laptop allocation; Approved; asset G-AST-00421</t>
  </si>
  <si>
    <t>G-REQ-04331</t>
  </si>
  <si>
    <t>G-REQ-01069-E3</t>
  </si>
  <si>
    <t>SYNTHETIC: Laptop allocation; In progress; asset G-AST-00421</t>
  </si>
  <si>
    <t>G-REQ-01069-E4</t>
  </si>
  <si>
    <t>G-REQ-04332</t>
  </si>
  <si>
    <t>SYNTHETIC: Laptop allocation; Completed; asset G-AST-00421</t>
  </si>
  <si>
    <t>G-REQ-01070-E1</t>
  </si>
  <si>
    <t>G-REQ-04333</t>
  </si>
  <si>
    <t>SYNTHETIC: Laptop repair; Pending approval; asset G-AST-00352</t>
  </si>
  <si>
    <t>G-REQ-01070-E2</t>
  </si>
  <si>
    <t>G-REQ-04334</t>
  </si>
  <si>
    <t>SYNTHETIC: Laptop repair; Approved; asset G-AST-00352</t>
  </si>
  <si>
    <t>G-REQ-01070-E3</t>
  </si>
  <si>
    <t>SYNTHETIC: Laptop repair; In progress; asset G-AST-00352</t>
  </si>
  <si>
    <t>G-REQ-04335</t>
  </si>
  <si>
    <t>G-REQ-01070-E4</t>
  </si>
  <si>
    <t>SYNTHETIC: Laptop repair; Completed; asset G-AST-00352</t>
  </si>
  <si>
    <t>G-REQ-01071-E1</t>
  </si>
  <si>
    <t>G-REQ-04336</t>
  </si>
  <si>
    <t>G-REQ-01071-E2</t>
  </si>
  <si>
    <t>G-REQ-04337</t>
  </si>
  <si>
    <t>G-REQ-01072-E1</t>
  </si>
  <si>
    <t>G-REQ-04338</t>
  </si>
  <si>
    <t>SYNTHETIC: Laptop repair; Pending approval; asset G-AST-00403</t>
  </si>
  <si>
    <t>G-REQ-01072-E2</t>
  </si>
  <si>
    <t>SYNTHETIC: Laptop repair; Approved; asset G-AST-00403</t>
  </si>
  <si>
    <t>G-REQ-04339</t>
  </si>
  <si>
    <t>G-REQ-01072-E3</t>
  </si>
  <si>
    <t>SYNTHETIC: Laptop repair; In progress; asset G-AST-00403</t>
  </si>
  <si>
    <t>G-REQ-01072-E4</t>
  </si>
  <si>
    <t>G-REQ-04340</t>
  </si>
  <si>
    <t>SYNTHETIC: Laptop repair; Completed; asset G-AST-00403</t>
  </si>
  <si>
    <t>G-REQ-01073-E1</t>
  </si>
  <si>
    <t>G-REQ-04341</t>
  </si>
  <si>
    <t>SYNTHETIC: Laptop return; Pending approval; asset G-AST-00284</t>
  </si>
  <si>
    <t>G-REQ-01073-E2</t>
  </si>
  <si>
    <t>G-REQ-04342</t>
  </si>
  <si>
    <t>SYNTHETIC: Laptop return; Approved; asset G-AST-00284</t>
  </si>
  <si>
    <t>G-REQ-01073-E3</t>
  </si>
  <si>
    <t>SYNTHETIC: Laptop return; In progress; asset G-AST-00284</t>
  </si>
  <si>
    <t>G-REQ-01073-E4</t>
  </si>
  <si>
    <t>G-REQ-04343</t>
  </si>
  <si>
    <t>SYNTHETIC: Laptop return; Completed; asset G-AST-00284</t>
  </si>
  <si>
    <t>G-REQ-01074-E1</t>
  </si>
  <si>
    <t>G-REQ-04344</t>
  </si>
  <si>
    <t>SYNTHETIC: Laptop repair; Pending approval; asset G-AST-00420</t>
  </si>
  <si>
    <t>G-REQ-01074-E2</t>
  </si>
  <si>
    <t>G-REQ-04345</t>
  </si>
  <si>
    <t>SYNTHETIC: Laptop repair; Approved; asset G-AST-00420</t>
  </si>
  <si>
    <t>G-REQ-01074-E3</t>
  </si>
  <si>
    <t>G-REQ-04346</t>
  </si>
  <si>
    <t>SYNTHETIC: Laptop repair; In progress; asset G-AST-00420</t>
  </si>
  <si>
    <t>G-REQ-01074-E4</t>
  </si>
  <si>
    <t>SYNTHETIC: Laptop repair; Completed; asset G-AST-00420</t>
  </si>
  <si>
    <t>G-REQ-01075-E1</t>
  </si>
  <si>
    <t>G-REQ-04347</t>
  </si>
  <si>
    <t>SYNTHETIC: Laptop return; Pending approval; asset G-AST-00147</t>
  </si>
  <si>
    <t>G-REQ-01075-E2</t>
  </si>
  <si>
    <t>G-REQ-04348</t>
  </si>
  <si>
    <t>SYNTHETIC: Laptop return; Approved; asset G-AST-00147</t>
  </si>
  <si>
    <t>G-REQ-01075-E3</t>
  </si>
  <si>
    <t>G-REQ-04349</t>
  </si>
  <si>
    <t>SYNTHETIC: Laptop return; In progress; asset G-AST-00147</t>
  </si>
  <si>
    <t>G-REQ-01075-E4</t>
  </si>
  <si>
    <t>G-REQ-04350</t>
  </si>
  <si>
    <t>SYNTHETIC: Laptop return; Completed; asset G-AST-00147</t>
  </si>
  <si>
    <t>G-REQ-01076-E1</t>
  </si>
  <si>
    <t>G-REQ-04351</t>
  </si>
  <si>
    <t>SYNTHETIC: Laptop return; Pending approval; asset G-AST-00345</t>
  </si>
  <si>
    <t>G-REQ-01076-E2</t>
  </si>
  <si>
    <t>SYNTHETIC: Laptop return; Approved; asset G-AST-00345</t>
  </si>
  <si>
    <t>G-REQ-01076-E3</t>
  </si>
  <si>
    <t>G-REQ-04352</t>
  </si>
  <si>
    <t>SYNTHETIC: Laptop return; In progress; asset G-AST-00345</t>
  </si>
  <si>
    <t>G-REQ-01076-E4</t>
  </si>
  <si>
    <t>G-REQ-04353</t>
  </si>
  <si>
    <t>SYNTHETIC: Laptop return; Completed; asset G-AST-00345</t>
  </si>
  <si>
    <t>G-REQ-01077-E1</t>
  </si>
  <si>
    <t>G-REQ-04354</t>
  </si>
  <si>
    <t>SYNTHETIC: Laptop return; Pending approval; asset G-AST-00243</t>
  </si>
  <si>
    <t>G-REQ-01077-E2</t>
  </si>
  <si>
    <t>SYNTHETIC: Laptop return; Approved; asset G-AST-00243</t>
  </si>
  <si>
    <t>G-REQ-04355</t>
  </si>
  <si>
    <t>G-REQ-01077-E3</t>
  </si>
  <si>
    <t>SYNTHETIC: Laptop return; In progress; asset G-AST-00243</t>
  </si>
  <si>
    <t>G-REQ-01077-E4</t>
  </si>
  <si>
    <t>G-REQ-04356</t>
  </si>
  <si>
    <t>SYNTHETIC: Laptop return; Completed; asset G-AST-00243</t>
  </si>
  <si>
    <t>G-REQ-01078-E1</t>
  </si>
  <si>
    <t>G-REQ-04357</t>
  </si>
  <si>
    <t>SYNTHETIC: Laptop allocation; Pending approval; asset G-AST-00422</t>
  </si>
  <si>
    <t>G-REQ-01078-E2</t>
  </si>
  <si>
    <t>G-REQ-04358</t>
  </si>
  <si>
    <t>SYNTHETIC: Laptop allocation; Approved; asset G-AST-00422</t>
  </si>
  <si>
    <t>G-REQ-01078-E3</t>
  </si>
  <si>
    <t>G-REQ-04359</t>
  </si>
  <si>
    <t>SYNTHETIC: Laptop allocation; In progress; asset G-AST-00422</t>
  </si>
  <si>
    <t>G-REQ-01078-E4</t>
  </si>
  <si>
    <t>SYNTHETIC: Laptop allocation; Completed; asset G-AST-00422</t>
  </si>
  <si>
    <t>G-REQ-01079-E1</t>
  </si>
  <si>
    <t>G-REQ-04360</t>
  </si>
  <si>
    <t>SYNTHETIC: Laptop return; Pending approval; asset G-AST-00289</t>
  </si>
  <si>
    <t>G-REQ-01079-E2</t>
  </si>
  <si>
    <t>G-REQ-04361</t>
  </si>
  <si>
    <t>SYNTHETIC: Laptop return; Approved; asset G-AST-00289</t>
  </si>
  <si>
    <t>G-REQ-01079-E3</t>
  </si>
  <si>
    <t>G-REQ-04362</t>
  </si>
  <si>
    <t>SYNTHETIC: Laptop return; In progress; asset G-AST-00289</t>
  </si>
  <si>
    <t>G-REQ-01079-E4</t>
  </si>
  <si>
    <t>SYNTHETIC: Laptop return; Completed; asset G-AST-00289</t>
  </si>
  <si>
    <t>G-REQ-04363</t>
  </si>
  <si>
    <t>G-REQ-01080-E1</t>
  </si>
  <si>
    <t>SYNTHETIC: Laptop allocation; Pending approval; asset G-AST-00423</t>
  </si>
  <si>
    <t>G-REQ-01080-E2</t>
  </si>
  <si>
    <t>G-REQ-04364</t>
  </si>
  <si>
    <t>SYNTHETIC: Laptop allocation; Approved; asset G-AST-00423</t>
  </si>
  <si>
    <t>G-REQ-01080-E3</t>
  </si>
  <si>
    <t>G-REQ-04365</t>
  </si>
  <si>
    <t>SYNTHETIC: Laptop allocation; In progress; asset G-AST-00423</t>
  </si>
  <si>
    <t>G-REQ-01080-E4</t>
  </si>
  <si>
    <t>G-REQ-04366</t>
  </si>
  <si>
    <t>SYNTHETIC: Laptop allocation; Completed; asset G-AST-00423</t>
  </si>
  <si>
    <t>G-REQ-01081-E1</t>
  </si>
  <si>
    <t>SYNTHETIC: Laptop return; Pending approval; asset G-AST-00352</t>
  </si>
  <si>
    <t>G-REQ-01081-E2</t>
  </si>
  <si>
    <t>G-REQ-04367</t>
  </si>
  <si>
    <t>SYNTHETIC: Laptop return; Approved; asset G-AST-00352</t>
  </si>
  <si>
    <t>G-REQ-01081-E3</t>
  </si>
  <si>
    <t>G-REQ-04368</t>
  </si>
  <si>
    <t>SYNTHETIC: Laptop return; In progress; asset G-AST-00352</t>
  </si>
  <si>
    <t>G-REQ-01081-E4</t>
  </si>
  <si>
    <t>SYNTHETIC: Laptop return; Completed; asset G-AST-00352</t>
  </si>
  <si>
    <t>G-REQ-01082-E1</t>
  </si>
  <si>
    <t>G-REQ-04369</t>
  </si>
  <si>
    <t>SYNTHETIC: Laptop allocation; Pending approval; asset G-AST-00424</t>
  </si>
  <si>
    <t>G-REQ-01082-E2</t>
  </si>
  <si>
    <t>G-REQ-04370</t>
  </si>
  <si>
    <t>SYNTHETIC: Laptop allocation; Approved; asset G-AST-00424</t>
  </si>
  <si>
    <t>G-REQ-01082-E3</t>
  </si>
  <si>
    <t>SYNTHETIC: Laptop allocation; In progress; asset G-AST-00424</t>
  </si>
  <si>
    <t>G-REQ-04371</t>
  </si>
  <si>
    <t>G-REQ-01082-E4</t>
  </si>
  <si>
    <t>SYNTHETIC: Laptop allocation; Completed; asset G-AST-00424</t>
  </si>
  <si>
    <t>G-REQ-01083-E1</t>
  </si>
  <si>
    <t>G-REQ-04372</t>
  </si>
  <si>
    <t>SYNTHETIC: Laptop return; Pending approval; asset G-AST-00400</t>
  </si>
  <si>
    <t>G-REQ-01083-E2</t>
  </si>
  <si>
    <t>G-REQ-04373</t>
  </si>
  <si>
    <t>SYNTHETIC: Laptop return; Approved; asset G-AST-00400</t>
  </si>
  <si>
    <t>G-REQ-01083-E3</t>
  </si>
  <si>
    <t>G-REQ-04374</t>
  </si>
  <si>
    <t>SYNTHETIC: Laptop return; In progress; asset G-AST-00400</t>
  </si>
  <si>
    <t>G-REQ-01083-E4</t>
  </si>
  <si>
    <t>SYNTHETIC: Laptop return; Completed; asset G-AST-00400</t>
  </si>
  <si>
    <t>G-REQ-01084-E1</t>
  </si>
  <si>
    <t>G-REQ-04375</t>
  </si>
  <si>
    <t>SYNTHETIC: Laptop allocation; Pending approval; asset G-AST-00425</t>
  </si>
  <si>
    <t>G-REQ-01084-E2</t>
  </si>
  <si>
    <t>G-REQ-04376</t>
  </si>
  <si>
    <t>SYNTHETIC: Laptop allocation; Approved; asset G-AST-00425</t>
  </si>
  <si>
    <t>G-REQ-01084-E3</t>
  </si>
  <si>
    <t>G-REQ-04377</t>
  </si>
  <si>
    <t>SYNTHETIC: Laptop allocation; In progress; asset G-AST-00425</t>
  </si>
  <si>
    <t>G-REQ-01084-E4</t>
  </si>
  <si>
    <t>G-REQ-04378</t>
  </si>
  <si>
    <t>SYNTHETIC: Laptop allocation; Completed; asset G-AST-00425</t>
  </si>
  <si>
    <t>G-REQ-01085-E1</t>
  </si>
  <si>
    <t>G-REQ-04379</t>
  </si>
  <si>
    <t>SYNTHETIC: Laptop allocation; Pending approval; asset G-AST-00426</t>
  </si>
  <si>
    <t>G-REQ-01085-E2</t>
  </si>
  <si>
    <t>SYNTHETIC: Laptop allocation; Approved; asset G-AST-00426</t>
  </si>
  <si>
    <t>G-REQ-04380</t>
  </si>
  <si>
    <t>G-REQ-01085-E3</t>
  </si>
  <si>
    <t>SYNTHETIC: Laptop allocation; In progress; asset G-AST-00426</t>
  </si>
  <si>
    <t>G-REQ-01085-E4</t>
  </si>
  <si>
    <t>G-REQ-04381</t>
  </si>
  <si>
    <t>SYNTHETIC: Laptop allocation; Completed; asset G-AST-00426</t>
  </si>
  <si>
    <t>G-REQ-01086-E1</t>
  </si>
  <si>
    <t>G-REQ-04382</t>
  </si>
  <si>
    <t>SYNTHETIC: Laptop allocation; Pending approval; asset G-AST-00427</t>
  </si>
  <si>
    <t>G-REQ-01086-E2</t>
  </si>
  <si>
    <t>G-REQ-04383</t>
  </si>
  <si>
    <t>SYNTHETIC: Laptop allocation; Approved; asset G-AST-00427</t>
  </si>
  <si>
    <t>G-REQ-01086-E3</t>
  </si>
  <si>
    <t>SYNTHETIC: Laptop allocation; In progress; asset G-AST-00427</t>
  </si>
  <si>
    <t>G-REQ-04384</t>
  </si>
  <si>
    <t>G-REQ-01086-E4</t>
  </si>
  <si>
    <t>SYNTHETIC: Laptop allocation; Completed; asset G-AST-00427</t>
  </si>
  <si>
    <t>G-REQ-01087-E1</t>
  </si>
  <si>
    <t>G-REQ-04385</t>
  </si>
  <si>
    <t>SYNTHETIC: Laptop repair; Pending approval; asset G-AST-00390</t>
  </si>
  <si>
    <t>G-REQ-01087-E2</t>
  </si>
  <si>
    <t>G-REQ-04386</t>
  </si>
  <si>
    <t>SYNTHETIC: Laptop repair; Approved; asset G-AST-00390</t>
  </si>
  <si>
    <t>G-REQ-01087-E3</t>
  </si>
  <si>
    <t>SYNTHETIC: Laptop repair; In progress; asset G-AST-00390</t>
  </si>
  <si>
    <t>G-REQ-04387</t>
  </si>
  <si>
    <t>G-REQ-01087-E4</t>
  </si>
  <si>
    <t>SYNTHETIC: Laptop repair; Completed; asset G-AST-00390</t>
  </si>
  <si>
    <t>G-REQ-01088-E1</t>
  </si>
  <si>
    <t>G-REQ-04388</t>
  </si>
  <si>
    <t>G-REQ-01088-E2</t>
  </si>
  <si>
    <t>G-REQ-04389</t>
  </si>
  <si>
    <t>G-REQ-01088-E3</t>
  </si>
  <si>
    <t>G-REQ-04390</t>
  </si>
  <si>
    <t>G-REQ-01088-E4</t>
  </si>
  <si>
    <t>G-REQ-04391</t>
  </si>
  <si>
    <t>G-REQ-01089-E1</t>
  </si>
  <si>
    <t>SYNTHETIC: Laptop allocation; Pending approval; asset G-AST-00428</t>
  </si>
  <si>
    <t>G-REQ-04392</t>
  </si>
  <si>
    <t>G-REQ-01089-E2</t>
  </si>
  <si>
    <t>SYNTHETIC: Laptop allocation; Approved; asset G-AST-00428</t>
  </si>
  <si>
    <t>G-REQ-01089-E3</t>
  </si>
  <si>
    <t>G-REQ-04393</t>
  </si>
  <si>
    <t>SYNTHETIC: Laptop allocation; In progress; asset G-AST-00428</t>
  </si>
  <si>
    <t>G-REQ-01089-E4</t>
  </si>
  <si>
    <t>G-REQ-04394</t>
  </si>
  <si>
    <t>SYNTHETIC: Laptop allocation; Completed; asset G-AST-00428</t>
  </si>
  <si>
    <t>G-REQ-01090-E1</t>
  </si>
  <si>
    <t>G-REQ-04395</t>
  </si>
  <si>
    <t>SYNTHETIC: Laptop allocation; Pending approval; asset G-AST-00429</t>
  </si>
  <si>
    <t>G-REQ-01090-E2</t>
  </si>
  <si>
    <t>SYNTHETIC: Laptop allocation; Approved; asset G-AST-00429</t>
  </si>
  <si>
    <t>G-REQ-04396</t>
  </si>
  <si>
    <t>G-REQ-01090-E3</t>
  </si>
  <si>
    <t>SYNTHETIC: Laptop allocation; In progress; asset G-AST-00429</t>
  </si>
  <si>
    <t>G-REQ-01090-E4</t>
  </si>
  <si>
    <t>G-REQ-04397</t>
  </si>
  <si>
    <t>SYNTHETIC: Laptop allocation; Completed; asset G-AST-00429</t>
  </si>
  <si>
    <t>G-REQ-01091-E1</t>
  </si>
  <si>
    <t>G-REQ-04398</t>
  </si>
  <si>
    <t>SYNTHETIC: Laptop return; Pending approval; asset G-AST-00405</t>
  </si>
  <si>
    <t>G-REQ-01091-E2</t>
  </si>
  <si>
    <t>SYNTHETIC: Laptop return; Approved; asset G-AST-00405</t>
  </si>
  <si>
    <t>G-REQ-04399</t>
  </si>
  <si>
    <t>G-REQ-01091-E3</t>
  </si>
  <si>
    <t>SYNTHETIC: Laptop return; In progress; asset G-AST-00405</t>
  </si>
  <si>
    <t>G-REQ-01091-E4</t>
  </si>
  <si>
    <t>G-REQ-04400</t>
  </si>
  <si>
    <t>SYNTHETIC: Laptop return; Completed; asset G-AST-00405</t>
  </si>
  <si>
    <t>G-REQ-01092-E1</t>
  </si>
  <si>
    <t>SYNTHETIC: Laptop repair; Pending approval; asset G-AST-00354</t>
  </si>
  <si>
    <t>G-REQ-04401</t>
  </si>
  <si>
    <t>G-REQ-01092-E2</t>
  </si>
  <si>
    <t>SYNTHETIC: Laptop repair; Approved; asset G-AST-00354</t>
  </si>
  <si>
    <t>G-REQ-04402</t>
  </si>
  <si>
    <t>G-REQ-01092-E3</t>
  </si>
  <si>
    <t>SYNTHETIC: Laptop repair; In progress; asset G-AST-00354</t>
  </si>
  <si>
    <t>G-REQ-04403</t>
  </si>
  <si>
    <t>G-REQ-01092-E4</t>
  </si>
  <si>
    <t>SYNTHETIC: Laptop repair; Completed; asset G-AST-00354</t>
  </si>
  <si>
    <t>G-REQ-01093-E1</t>
  </si>
  <si>
    <t>G-REQ-04404</t>
  </si>
  <si>
    <t>G-REQ-01093-E2</t>
  </si>
  <si>
    <t>G-REQ-04405</t>
  </si>
  <si>
    <t>SYNTHETIC: Laptop return; Approved; asset G-AST-00086</t>
  </si>
  <si>
    <t>G-REQ-01093-E3</t>
  </si>
  <si>
    <t>G-REQ-04406</t>
  </si>
  <si>
    <t>SYNTHETIC: Laptop return; In progress; asset G-AST-00086</t>
  </si>
  <si>
    <t>G-REQ-01093-E4</t>
  </si>
  <si>
    <t>G-REQ-04407</t>
  </si>
  <si>
    <t>SYNTHETIC: Laptop return; Completed; asset G-AST-00086</t>
  </si>
  <si>
    <t>G-REQ-01094-E1</t>
  </si>
  <si>
    <t>G-REQ-04408</t>
  </si>
  <si>
    <t>SYNTHETIC: Laptop return; Pending approval; asset G-AST-00406</t>
  </si>
  <si>
    <t>G-REQ-01094-E2</t>
  </si>
  <si>
    <t>SYNTHETIC: Laptop return; Approved; asset G-AST-00406</t>
  </si>
  <si>
    <t>G-REQ-01094-E3</t>
  </si>
  <si>
    <t>G-REQ-04409</t>
  </si>
  <si>
    <t>SYNTHETIC: Laptop return; In progress; asset G-AST-00406</t>
  </si>
  <si>
    <t>G-REQ-01094-E4</t>
  </si>
  <si>
    <t>G-REQ-04410</t>
  </si>
  <si>
    <t>SYNTHETIC: Laptop return; Completed; asset G-AST-00406</t>
  </si>
  <si>
    <t>G-REQ-01095-E1</t>
  </si>
  <si>
    <t>G-REQ-04411</t>
  </si>
  <si>
    <t>SYNTHETIC: Laptop allocation; Pending approval; asset G-AST-00430</t>
  </si>
  <si>
    <t>G-REQ-01095-E2</t>
  </si>
  <si>
    <t>SYNTHETIC: Laptop allocation; Approved; asset G-AST-00430</t>
  </si>
  <si>
    <t>G-REQ-04412</t>
  </si>
  <si>
    <t>G-REQ-01095-E3</t>
  </si>
  <si>
    <t>SYNTHETIC: Laptop allocation; In progress; asset G-AST-00430</t>
  </si>
  <si>
    <t>G-REQ-01095-E4</t>
  </si>
  <si>
    <t>G-REQ-04413</t>
  </si>
  <si>
    <t>SYNTHETIC: Laptop allocation; Completed; asset G-AST-00430</t>
  </si>
  <si>
    <t>G-REQ-01096-E1</t>
  </si>
  <si>
    <t>G-REQ-04414</t>
  </si>
  <si>
    <t>G-REQ-01096-E2</t>
  </si>
  <si>
    <t>G-REQ-04415</t>
  </si>
  <si>
    <t>G-REQ-01097-E1</t>
  </si>
  <si>
    <t>G-REQ-04416</t>
  </si>
  <si>
    <t>G-REQ-01097-E2</t>
  </si>
  <si>
    <t>G-REQ-04417</t>
  </si>
  <si>
    <t>G-REQ-01097-E3</t>
  </si>
  <si>
    <t>G-REQ-01097-E4</t>
  </si>
  <si>
    <t>G-REQ-04418</t>
  </si>
  <si>
    <t>G-REQ-01098-E1</t>
  </si>
  <si>
    <t>G-REQ-04419</t>
  </si>
  <si>
    <t>SYNTHETIC: Laptop allocation; Pending approval; asset G-AST-00431</t>
  </si>
  <si>
    <t>G-REQ-01098-E2</t>
  </si>
  <si>
    <t>G-REQ-04420</t>
  </si>
  <si>
    <t>SYNTHETIC: Laptop allocation; Approved; asset G-AST-00431</t>
  </si>
  <si>
    <t>G-REQ-01098-E3</t>
  </si>
  <si>
    <t>G-REQ-04421</t>
  </si>
  <si>
    <t>SYNTHETIC: Laptop allocation; In progress; asset G-AST-00431</t>
  </si>
  <si>
    <t>G-REQ-01098-E4</t>
  </si>
  <si>
    <t>SYNTHETIC: Laptop allocation; Completed; asset G-AST-00431</t>
  </si>
  <si>
    <t>G-REQ-04422</t>
  </si>
  <si>
    <t>G-REQ-01099-E1</t>
  </si>
  <si>
    <t>SYNTHETIC: Laptop return; Pending approval; asset G-AST-00278</t>
  </si>
  <si>
    <t>G-REQ-04423</t>
  </si>
  <si>
    <t>G-REQ-01099-E2</t>
  </si>
  <si>
    <t>SYNTHETIC: Laptop return; Approved; asset G-AST-00278</t>
  </si>
  <si>
    <t>G-REQ-01099-E3</t>
  </si>
  <si>
    <t>G-REQ-04424</t>
  </si>
  <si>
    <t>SYNTHETIC: Laptop return; In progress; asset G-AST-00278</t>
  </si>
  <si>
    <t>G-REQ-01099-E4</t>
  </si>
  <si>
    <t>G-REQ-04425</t>
  </si>
  <si>
    <t>SYNTHETIC: Laptop return; Completed; asset G-AST-00278</t>
  </si>
  <si>
    <t>G-REQ-01100-E1</t>
  </si>
  <si>
    <t>G-REQ-01100-E2</t>
  </si>
  <si>
    <t>G-REQ-04426</t>
  </si>
  <si>
    <t>G-REQ-01100-E3</t>
  </si>
  <si>
    <t>G-REQ-04427</t>
  </si>
  <si>
    <t>G-REQ-01100-E4</t>
  </si>
  <si>
    <t>G-REQ-04428</t>
  </si>
  <si>
    <t>G-REQ-01101-E1</t>
  </si>
  <si>
    <t>SYNTHETIC: Laptop return; Pending approval; asset G-AST-00144</t>
  </si>
  <si>
    <t>G-REQ-01101-E2</t>
  </si>
  <si>
    <t>G-REQ-04429</t>
  </si>
  <si>
    <t>SYNTHETIC: Laptop return; Approved; asset G-AST-00144</t>
  </si>
  <si>
    <t>G-REQ-01101-E3</t>
  </si>
  <si>
    <t>G-REQ-04430</t>
  </si>
  <si>
    <t>SYNTHETIC: Laptop return; In progress; asset G-AST-00144</t>
  </si>
  <si>
    <t>G-REQ-01101-E4</t>
  </si>
  <si>
    <t>G-REQ-04431</t>
  </si>
  <si>
    <t>SYNTHETIC: Laptop return; Completed; asset G-AST-00144</t>
  </si>
  <si>
    <t>G-REQ-01102-E1</t>
  </si>
  <si>
    <t>G-REQ-04432</t>
  </si>
  <si>
    <t>G-REQ-01102-E2</t>
  </si>
  <si>
    <t>G-REQ-01102-E3</t>
  </si>
  <si>
    <t>G-REQ-04433</t>
  </si>
  <si>
    <t>G-REQ-01102-E4</t>
  </si>
  <si>
    <t>G-REQ-04434</t>
  </si>
  <si>
    <t>G-REQ-01103-E1</t>
  </si>
  <si>
    <t>G-REQ-04435</t>
  </si>
  <si>
    <t>G-REQ-01103-E2</t>
  </si>
  <si>
    <t>G-REQ-01103-E3</t>
  </si>
  <si>
    <t>G-REQ-04436</t>
  </si>
  <si>
    <t>G-REQ-01103-E4</t>
  </si>
  <si>
    <t>G-REQ-04437</t>
  </si>
  <si>
    <t>G-REQ-01104-E1</t>
  </si>
  <si>
    <t>G-REQ-04438</t>
  </si>
  <si>
    <t>SYNTHETIC: Laptop repair; Pending approval; asset G-AST-00398</t>
  </si>
  <si>
    <t>G-REQ-01104-E2</t>
  </si>
  <si>
    <t>G-REQ-04439</t>
  </si>
  <si>
    <t>SYNTHETIC: Laptop repair; Approved; asset G-AST-00398</t>
  </si>
  <si>
    <t>G-REQ-01104-E3</t>
  </si>
  <si>
    <t>SYNTHETIC: Laptop repair; In progress; asset G-AST-00398</t>
  </si>
  <si>
    <t>G-REQ-01104-E4</t>
  </si>
  <si>
    <t>G-REQ-04440</t>
  </si>
  <si>
    <t>SYNTHETIC: Laptop repair; Completed; asset G-AST-00398</t>
  </si>
  <si>
    <t>G-REQ-01105-E1</t>
  </si>
  <si>
    <t>G-REQ-04441</t>
  </si>
  <si>
    <t>SYNTHETIC: Laptop return; Pending approval; asset G-AST-00395</t>
  </si>
  <si>
    <t>G-REQ-01105-E2</t>
  </si>
  <si>
    <t>G-REQ-04442</t>
  </si>
  <si>
    <t>SYNTHETIC: Laptop return; Approved; asset G-AST-00395</t>
  </si>
  <si>
    <t>G-REQ-01105-E3</t>
  </si>
  <si>
    <t>G-REQ-04443</t>
  </si>
  <si>
    <t>SYNTHETIC: Laptop return; In progress; asset G-AST-00395</t>
  </si>
  <si>
    <t>G-REQ-01105-E4</t>
  </si>
  <si>
    <t>G-REQ-04444</t>
  </si>
  <si>
    <t>SYNTHETIC: Laptop return; Completed; asset G-AST-00395</t>
  </si>
  <si>
    <t>G-REQ-01106-E1</t>
  </si>
  <si>
    <t>G-REQ-04445</t>
  </si>
  <si>
    <t>G-REQ-01106-E2</t>
  </si>
  <si>
    <t>SYNTHETIC: Laptop repair; Rejected; asset G-AST-00224</t>
  </si>
  <si>
    <t>G-REQ-01107-E1</t>
  </si>
  <si>
    <t>G-REQ-04446</t>
  </si>
  <si>
    <t>G-REQ-01107-E2</t>
  </si>
  <si>
    <t>G-REQ-04447</t>
  </si>
  <si>
    <t>SYNTHETIC: Laptop repair; Rejected; asset G-AST-00260</t>
  </si>
  <si>
    <t>G-REQ-01108-E1</t>
  </si>
  <si>
    <t>G-REQ-04448</t>
  </si>
  <si>
    <t>SYNTHETIC: Laptop return; Pending approval; asset G-AST-00012</t>
  </si>
  <si>
    <t>G-REQ-01108-E2</t>
  </si>
  <si>
    <t>G-REQ-04449</t>
  </si>
  <si>
    <t>SYNTHETIC: Laptop return; Approved; asset G-AST-00012</t>
  </si>
  <si>
    <t>G-REQ-01108-E3</t>
  </si>
  <si>
    <t>SYNTHETIC: Laptop return; In progress; asset G-AST-00012</t>
  </si>
  <si>
    <t>G-REQ-01108-E4</t>
  </si>
  <si>
    <t>G-REQ-04450</t>
  </si>
  <si>
    <t>SYNTHETIC: Laptop return; Completed; asset G-AST-00012</t>
  </si>
  <si>
    <t>G-REQ-01109-E1</t>
  </si>
  <si>
    <t>G-REQ-04451</t>
  </si>
  <si>
    <t>SYNTHETIC: Laptop allocation; Pending approval; asset G-AST-00432</t>
  </si>
  <si>
    <t>G-REQ-01109-E2</t>
  </si>
  <si>
    <t>G-REQ-04452</t>
  </si>
  <si>
    <t>SYNTHETIC: Laptop allocation; Approved; asset G-AST-00432</t>
  </si>
  <si>
    <t>G-REQ-01109-E3</t>
  </si>
  <si>
    <t>SYNTHETIC: Laptop allocation; In progress; asset G-AST-00432</t>
  </si>
  <si>
    <t>G-REQ-04453</t>
  </si>
  <si>
    <t>G-REQ-01109-E4</t>
  </si>
  <si>
    <t>G-REQ-04454</t>
  </si>
  <si>
    <t>SYNTHETIC: Laptop allocation; Completed; asset G-AST-00432</t>
  </si>
  <si>
    <t>G-REQ-01110-E1</t>
  </si>
  <si>
    <t>G-REQ-04455</t>
  </si>
  <si>
    <t>G-REQ-01110-E2</t>
  </si>
  <si>
    <t>G-REQ-04456</t>
  </si>
  <si>
    <t>G-REQ-01111-E1</t>
  </si>
  <si>
    <t>G-REQ-04457</t>
  </si>
  <si>
    <t>SYNTHETIC: Laptop return; Pending approval; asset G-AST-00409</t>
  </si>
  <si>
    <t>G-REQ-01111-E2</t>
  </si>
  <si>
    <t>G-REQ-04458</t>
  </si>
  <si>
    <t>SYNTHETIC: Laptop return; Approved; asset G-AST-00409</t>
  </si>
  <si>
    <t>G-REQ-04459</t>
  </si>
  <si>
    <t>G-REQ-01111-E3</t>
  </si>
  <si>
    <t>G-REQ-04460</t>
  </si>
  <si>
    <t>SYNTHETIC: Laptop return; In progress; asset G-AST-00409</t>
  </si>
  <si>
    <t>G-REQ-01111-E4</t>
  </si>
  <si>
    <t>SYNTHETIC: Laptop return; Completed; asset G-AST-00409</t>
  </si>
  <si>
    <t>G-REQ-04461</t>
  </si>
  <si>
    <t>G-REQ-01112-E1</t>
  </si>
  <si>
    <t>SYNTHETIC: Laptop repair; Pending approval; asset G-AST-00325</t>
  </si>
  <si>
    <t>G-REQ-04462</t>
  </si>
  <si>
    <t>G-REQ-01112-E2</t>
  </si>
  <si>
    <t>SYNTHETIC: Laptop repair; Approved; asset G-AST-00325</t>
  </si>
  <si>
    <t>G-REQ-01112-E3</t>
  </si>
  <si>
    <t>G-REQ-04463</t>
  </si>
  <si>
    <t>SYNTHETIC: Laptop repair; In progress; asset G-AST-00325</t>
  </si>
  <si>
    <t>G-REQ-01112-E4</t>
  </si>
  <si>
    <t>SYNTHETIC: Laptop repair; Completed; asset G-AST-00325</t>
  </si>
  <si>
    <t>G-REQ-04464</t>
  </si>
  <si>
    <t>G-REQ-01113-E1</t>
  </si>
  <si>
    <t>SYNTHETIC: Laptop repair; Pending approval; asset G-AST-00307</t>
  </si>
  <si>
    <t>G-REQ-01113-E2</t>
  </si>
  <si>
    <t>G-REQ-04465</t>
  </si>
  <si>
    <t>SYNTHETIC: Laptop repair; Approved; asset G-AST-00307</t>
  </si>
  <si>
    <t>G-REQ-01113-E3</t>
  </si>
  <si>
    <t>G-REQ-04466</t>
  </si>
  <si>
    <t>SYNTHETIC: Laptop repair; In progress; asset G-AST-00307</t>
  </si>
  <si>
    <t>G-REQ-01113-E4</t>
  </si>
  <si>
    <t>G-REQ-04467</t>
  </si>
  <si>
    <t>SYNTHETIC: Laptop repair; Completed; asset G-AST-00307</t>
  </si>
  <si>
    <t>G-REQ-01114-E1</t>
  </si>
  <si>
    <t>G-REQ-04468</t>
  </si>
  <si>
    <t>SYNTHETIC: Laptop allocation; Pending approval; asset G-AST-00433</t>
  </si>
  <si>
    <t>G-REQ-01114-E2</t>
  </si>
  <si>
    <t>SYNTHETIC: Laptop allocation; Approved; asset G-AST-00433</t>
  </si>
  <si>
    <t>G-REQ-04469</t>
  </si>
  <si>
    <t>G-REQ-01114-E3</t>
  </si>
  <si>
    <t>SYNTHETIC: Laptop allocation; In progress; asset G-AST-00433</t>
  </si>
  <si>
    <t>G-REQ-01114-E4</t>
  </si>
  <si>
    <t>G-REQ-04470</t>
  </si>
  <si>
    <t>SYNTHETIC: Laptop allocation; Completed; asset G-AST-00433</t>
  </si>
  <si>
    <t>G-REQ-01115-E1</t>
  </si>
  <si>
    <t>G-REQ-04471</t>
  </si>
  <si>
    <t>G-REQ-01115-E2</t>
  </si>
  <si>
    <t>G-REQ-04472</t>
  </si>
  <si>
    <t>G-REQ-01115-E3</t>
  </si>
  <si>
    <t>G-REQ-04473</t>
  </si>
  <si>
    <t>G-REQ-01115-E4</t>
  </si>
  <si>
    <t>G-REQ-04474</t>
  </si>
  <si>
    <t>G-REQ-01116-E1</t>
  </si>
  <si>
    <t>G-REQ-04475</t>
  </si>
  <si>
    <t>G-REQ-01116-E2</t>
  </si>
  <si>
    <t>G-REQ-04476</t>
  </si>
  <si>
    <t>G-REQ-01116-E3</t>
  </si>
  <si>
    <t>G-REQ-04477</t>
  </si>
  <si>
    <t>G-REQ-01116-E4</t>
  </si>
  <si>
    <t>G-REQ-04478</t>
  </si>
  <si>
    <t>G-REQ-01117-E1</t>
  </si>
  <si>
    <t>G-REQ-04479</t>
  </si>
  <si>
    <t>SYNTHETIC: Laptop return; Pending approval; asset G-AST-00413</t>
  </si>
  <si>
    <t>G-REQ-01117-E2</t>
  </si>
  <si>
    <t>SYNTHETIC: Laptop return; Approved; asset G-AST-00413</t>
  </si>
  <si>
    <t>G-REQ-04480</t>
  </si>
  <si>
    <t>G-REQ-01117-E3</t>
  </si>
  <si>
    <t>SYNTHETIC: Laptop return; In progress; asset G-AST-00413</t>
  </si>
  <si>
    <t>G-REQ-01117-E4</t>
  </si>
  <si>
    <t>G-REQ-04481</t>
  </si>
  <si>
    <t>SYNTHETIC: Laptop return; Completed; asset G-AST-00413</t>
  </si>
  <si>
    <t>G-REQ-01118-E1</t>
  </si>
  <si>
    <t>G-REQ-04482</t>
  </si>
  <si>
    <t>SYNTHETIC: Laptop allocation; Pending approval; asset G-AST-00434</t>
  </si>
  <si>
    <t>G-REQ-01118-E2</t>
  </si>
  <si>
    <t>SYNTHETIC: Laptop allocation; Approved; asset G-AST-00434</t>
  </si>
  <si>
    <t>G-REQ-04483</t>
  </si>
  <si>
    <t>G-REQ-01118-E3</t>
  </si>
  <si>
    <t>SYNTHETIC: Laptop allocation; In progress; asset G-AST-00434</t>
  </si>
  <si>
    <t>G-REQ-01118-E4</t>
  </si>
  <si>
    <t>G-REQ-04484</t>
  </si>
  <si>
    <t>SYNTHETIC: Laptop allocation; Completed; asset G-AST-00434</t>
  </si>
  <si>
    <t>G-REQ-01119-E1</t>
  </si>
  <si>
    <t>SYNTHETIC: Laptop return; Pending approval; asset G-AST-00367</t>
  </si>
  <si>
    <t>G-REQ-01119-E2</t>
  </si>
  <si>
    <t>SYNTHETIC: Laptop return; Approved; asset G-AST-00367</t>
  </si>
  <si>
    <t>G-REQ-01119-E3</t>
  </si>
  <si>
    <t>G-REQ-04485</t>
  </si>
  <si>
    <t>SYNTHETIC: Laptop return; In progress; asset G-AST-00367</t>
  </si>
  <si>
    <t>G-REQ-01119-E4</t>
  </si>
  <si>
    <t>G-REQ-04486</t>
  </si>
  <si>
    <t>SYNTHETIC: Laptop return; Completed; asset G-AST-00367</t>
  </si>
  <si>
    <t>G-REQ-01120-E1</t>
  </si>
  <si>
    <t>SYNTHETIC: Laptop repair; Pending approval; asset G-AST-00364</t>
  </si>
  <si>
    <t>G-REQ-04487</t>
  </si>
  <si>
    <t>G-REQ-01120-E2</t>
  </si>
  <si>
    <t>SYNTHETIC: Laptop repair; Approved; asset G-AST-00364</t>
  </si>
  <si>
    <t>G-REQ-04488</t>
  </si>
  <si>
    <t>G-REQ-01120-E3</t>
  </si>
  <si>
    <t>SYNTHETIC: Laptop repair; In progress; asset G-AST-00364</t>
  </si>
  <si>
    <t>G-REQ-01120-E4</t>
  </si>
  <si>
    <t>G-REQ-04489</t>
  </si>
  <si>
    <t>SYNTHETIC: Laptop repair; Completed; asset G-AST-00364</t>
  </si>
  <si>
    <t>G-REQ-01121-E1</t>
  </si>
  <si>
    <t>G-REQ-04490</t>
  </si>
  <si>
    <t>SYNTHETIC: Laptop return; Pending approval; asset G-AST-00077</t>
  </si>
  <si>
    <t>G-REQ-01121-E2</t>
  </si>
  <si>
    <t>G-REQ-04491</t>
  </si>
  <si>
    <t>SYNTHETIC: Laptop return; Approved; asset G-AST-00077</t>
  </si>
  <si>
    <t>G-REQ-01121-E3</t>
  </si>
  <si>
    <t>G-REQ-04492</t>
  </si>
  <si>
    <t>SYNTHETIC: Laptop return; In progress; asset G-AST-00077</t>
  </si>
  <si>
    <t>G-REQ-01121-E4</t>
  </si>
  <si>
    <t>G-REQ-04493</t>
  </si>
  <si>
    <t>SYNTHETIC: Laptop return; Completed; asset G-AST-00077</t>
  </si>
  <si>
    <t>G-REQ-01122-E1</t>
  </si>
  <si>
    <t>G-REQ-04494</t>
  </si>
  <si>
    <t>SYNTHETIC: Laptop repair; Pending approval; asset G-AST-00298</t>
  </si>
  <si>
    <t>G-REQ-01122-E2</t>
  </si>
  <si>
    <t>SYNTHETIC: Laptop repair; Approved; asset G-AST-00298</t>
  </si>
  <si>
    <t>G-REQ-01122-E3</t>
  </si>
  <si>
    <t>G-REQ-04495</t>
  </si>
  <si>
    <t>SYNTHETIC: Laptop repair; In progress; asset G-AST-00298</t>
  </si>
  <si>
    <t>G-REQ-01122-E4</t>
  </si>
  <si>
    <t>G-REQ-04496</t>
  </si>
  <si>
    <t>SYNTHETIC: Laptop repair; Completed; asset G-AST-00298</t>
  </si>
  <si>
    <t>G-REQ-01123-E1</t>
  </si>
  <si>
    <t>G-REQ-04497</t>
  </si>
  <si>
    <t>SYNTHETIC: Laptop allocation; Pending approval; asset G-AST-00435</t>
  </si>
  <si>
    <t>G-REQ-01123-E2</t>
  </si>
  <si>
    <t>SYNTHETIC: Laptop allocation; Approved; asset G-AST-00435</t>
  </si>
  <si>
    <t>G-REQ-04498</t>
  </si>
  <si>
    <t>G-REQ-01123-E3</t>
  </si>
  <si>
    <t>SYNTHETIC: Laptop allocation; In progress; asset G-AST-00435</t>
  </si>
  <si>
    <t>G-REQ-04499</t>
  </si>
  <si>
    <t>G-REQ-01123-E4</t>
  </si>
  <si>
    <t>SYNTHETIC: Laptop allocation; Completed; asset G-AST-00435</t>
  </si>
  <si>
    <t>G-REQ-01124-E1</t>
  </si>
  <si>
    <t>G-REQ-04500</t>
  </si>
  <si>
    <t>SYNTHETIC: Laptop allocation; Pending approval; asset G-AST-00436</t>
  </si>
  <si>
    <t>G-REQ-01124-E2</t>
  </si>
  <si>
    <t>G-REQ-04501</t>
  </si>
  <si>
    <t>SYNTHETIC: Laptop allocation; Approved; asset G-AST-00436</t>
  </si>
  <si>
    <t>G-REQ-01124-E3</t>
  </si>
  <si>
    <t>G-REQ-04502</t>
  </si>
  <si>
    <t>SYNTHETIC: Laptop allocation; In progress; asset G-AST-00436</t>
  </si>
  <si>
    <t>G-REQ-01124-E4</t>
  </si>
  <si>
    <t>SYNTHETIC: Laptop allocation; Completed; asset G-AST-00436</t>
  </si>
  <si>
    <t>G-REQ-01125-E1</t>
  </si>
  <si>
    <t>G-REQ-04503</t>
  </si>
  <si>
    <t>SYNTHETIC: Laptop return; Pending approval; asset G-AST-00064</t>
  </si>
  <si>
    <t>G-REQ-01125-E2</t>
  </si>
  <si>
    <t>G-REQ-04504</t>
  </si>
  <si>
    <t>SYNTHETIC: Laptop return; Approved; asset G-AST-00064</t>
  </si>
  <si>
    <t>G-REQ-01125-E3</t>
  </si>
  <si>
    <t>G-REQ-04505</t>
  </si>
  <si>
    <t>SYNTHETIC: Laptop return; In progress; asset G-AST-00064</t>
  </si>
  <si>
    <t>G-REQ-01125-E4</t>
  </si>
  <si>
    <t>G-REQ-04506</t>
  </si>
  <si>
    <t>SYNTHETIC: Laptop return; Completed; asset G-AST-00064</t>
  </si>
  <si>
    <t>G-REQ-01126-E1</t>
  </si>
  <si>
    <t>G-REQ-04507</t>
  </si>
  <si>
    <t>SYNTHETIC: Laptop return; Pending approval; asset G-AST-00317</t>
  </si>
  <si>
    <t>G-REQ-01126-E2</t>
  </si>
  <si>
    <t>SYNTHETIC: Laptop return; Approved; asset G-AST-00317</t>
  </si>
  <si>
    <t>G-REQ-04508</t>
  </si>
  <si>
    <t>G-REQ-01126-E3</t>
  </si>
  <si>
    <t>SYNTHETIC: Laptop return; In progress; asset G-AST-00317</t>
  </si>
  <si>
    <t>G-REQ-01126-E4</t>
  </si>
  <si>
    <t>G-REQ-04509</t>
  </si>
  <si>
    <t>SYNTHETIC: Laptop return; Completed; asset G-AST-00317</t>
  </si>
  <si>
    <t>G-REQ-01127-E1</t>
  </si>
  <si>
    <t>G-REQ-04510</t>
  </si>
  <si>
    <t>G-REQ-01127-E2</t>
  </si>
  <si>
    <t>G-REQ-04511</t>
  </si>
  <si>
    <t>G-REQ-01127-E3</t>
  </si>
  <si>
    <t>G-REQ-04512</t>
  </si>
  <si>
    <t>G-REQ-01127-E4</t>
  </si>
  <si>
    <t>G-REQ-04513</t>
  </si>
  <si>
    <t>G-REQ-01128-E1</t>
  </si>
  <si>
    <t>G-REQ-01128-E2</t>
  </si>
  <si>
    <t>G-REQ-04514</t>
  </si>
  <si>
    <t>G-REQ-01129-E1</t>
  </si>
  <si>
    <t>G-REQ-04515</t>
  </si>
  <si>
    <t>G-REQ-01129-E2</t>
  </si>
  <si>
    <t>G-REQ-04516</t>
  </si>
  <si>
    <t>G-REQ-01130-E1</t>
  </si>
  <si>
    <t>G-REQ-04517</t>
  </si>
  <si>
    <t>SYNTHETIC: Laptop repair; Pending approval; asset G-AST-00411</t>
  </si>
  <si>
    <t>G-REQ-01130-E2</t>
  </si>
  <si>
    <t>SYNTHETIC: Laptop repair; Approved; asset G-AST-00411</t>
  </si>
  <si>
    <t>G-REQ-04518</t>
  </si>
  <si>
    <t>G-REQ-01130-E3</t>
  </si>
  <si>
    <t>SYNTHETIC: Laptop repair; In progress; asset G-AST-00411</t>
  </si>
  <si>
    <t>G-REQ-01130-E4</t>
  </si>
  <si>
    <t>G-REQ-04519</t>
  </si>
  <si>
    <t>SYNTHETIC: Laptop repair; Completed; asset G-AST-00411</t>
  </si>
  <si>
    <t>G-REQ-01131-E1</t>
  </si>
  <si>
    <t>G-REQ-04520</t>
  </si>
  <si>
    <t>SYNTHETIC: Laptop allocation; Pending approval; asset G-AST-00437</t>
  </si>
  <si>
    <t>G-REQ-01131-E2</t>
  </si>
  <si>
    <t>SYNTHETIC: Laptop allocation; Approved; asset G-AST-00437</t>
  </si>
  <si>
    <t>G-REQ-01131-E3</t>
  </si>
  <si>
    <t>G-REQ-04521</t>
  </si>
  <si>
    <t>SYNTHETIC: Laptop allocation; In progress; asset G-AST-00437</t>
  </si>
  <si>
    <t>G-REQ-01131-E4</t>
  </si>
  <si>
    <t>G-REQ-04522</t>
  </si>
  <si>
    <t>SYNTHETIC: Laptop allocation; Completed; asset G-AST-00437</t>
  </si>
  <si>
    <t>G-REQ-01132-E1</t>
  </si>
  <si>
    <t>G-REQ-04523</t>
  </si>
  <si>
    <t>SYNTHETIC: Laptop allocation; Pending approval; asset G-AST-00438</t>
  </si>
  <si>
    <t>G-REQ-01132-E2</t>
  </si>
  <si>
    <t>G-REQ-04524</t>
  </si>
  <si>
    <t>SYNTHETIC: Laptop allocation; Approved; asset G-AST-00438</t>
  </si>
  <si>
    <t>G-REQ-01132-E3</t>
  </si>
  <si>
    <t>G-REQ-04525</t>
  </si>
  <si>
    <t>SYNTHETIC: Laptop allocation; In progress; asset G-AST-00438</t>
  </si>
  <si>
    <t>G-REQ-01132-E4</t>
  </si>
  <si>
    <t>SYNTHETIC: Laptop allocation; Completed; asset G-AST-00438</t>
  </si>
  <si>
    <t>G-REQ-01133-E1</t>
  </si>
  <si>
    <t>G-REQ-04526</t>
  </si>
  <si>
    <t>SYNTHETIC: Laptop repair; Pending approval; asset G-AST-00437</t>
  </si>
  <si>
    <t>G-REQ-01133-E2</t>
  </si>
  <si>
    <t>G-REQ-04527</t>
  </si>
  <si>
    <t>SYNTHETIC: Laptop repair; Approved; asset G-AST-00437</t>
  </si>
  <si>
    <t>G-REQ-01133-E3</t>
  </si>
  <si>
    <t>G-REQ-04528</t>
  </si>
  <si>
    <t>SYNTHETIC: Laptop repair; In progress; asset G-AST-00437</t>
  </si>
  <si>
    <t>G-REQ-01133-E4</t>
  </si>
  <si>
    <t>G-REQ-04529</t>
  </si>
  <si>
    <t>SYNTHETIC: Laptop repair; Completed; asset G-AST-00437</t>
  </si>
  <si>
    <t>G-REQ-01134-E1</t>
  </si>
  <si>
    <t>G-REQ-04530</t>
  </si>
  <si>
    <t>G-REQ-01134-E2</t>
  </si>
  <si>
    <t>G-REQ-04531</t>
  </si>
  <si>
    <t>G-REQ-01134-E3</t>
  </si>
  <si>
    <t>G-REQ-01134-E4</t>
  </si>
  <si>
    <t>G-REQ-04532</t>
  </si>
  <si>
    <t>G-REQ-01135-E1</t>
  </si>
  <si>
    <t>G-REQ-04533</t>
  </si>
  <si>
    <t>SYNTHETIC: Laptop repair; Pending approval; asset G-AST-00306</t>
  </si>
  <si>
    <t>G-REQ-01135-E2</t>
  </si>
  <si>
    <t>G-REQ-04534</t>
  </si>
  <si>
    <t>SYNTHETIC: Laptop repair; Approved; asset G-AST-00306</t>
  </si>
  <si>
    <t>G-REQ-01135-E3</t>
  </si>
  <si>
    <t>G-REQ-04535</t>
  </si>
  <si>
    <t>SYNTHETIC: Laptop repair; In progress; asset G-AST-00306</t>
  </si>
  <si>
    <t>G-REQ-01135-E4</t>
  </si>
  <si>
    <t>G-REQ-04536</t>
  </si>
  <si>
    <t>SYNTHETIC: Laptop repair; Completed; asset G-AST-00306</t>
  </si>
  <si>
    <t>G-REQ-01136-E1</t>
  </si>
  <si>
    <t>G-REQ-04537</t>
  </si>
  <si>
    <t>G-REQ-01136-E2</t>
  </si>
  <si>
    <t>G-REQ-04538</t>
  </si>
  <si>
    <t>G-REQ-01136-E3</t>
  </si>
  <si>
    <t>G-REQ-04539</t>
  </si>
  <si>
    <t>G-REQ-01136-E4</t>
  </si>
  <si>
    <t>G-REQ-01137-E1</t>
  </si>
  <si>
    <t>G-REQ-04540</t>
  </si>
  <si>
    <t>SYNTHETIC: Laptop allocation; Pending approval; asset G-AST-00439</t>
  </si>
  <si>
    <t>G-REQ-01137-E2</t>
  </si>
  <si>
    <t>G-REQ-04541</t>
  </si>
  <si>
    <t>SYNTHETIC: Laptop allocation; Approved; asset G-AST-00439</t>
  </si>
  <si>
    <t>G-REQ-01137-E3</t>
  </si>
  <si>
    <t>G-REQ-04542</t>
  </si>
  <si>
    <t>SYNTHETIC: Laptop allocation; In progress; asset G-AST-00439</t>
  </si>
  <si>
    <t>G-REQ-01137-E4</t>
  </si>
  <si>
    <t>SYNTHETIC: Laptop allocation; Completed; asset G-AST-00439</t>
  </si>
  <si>
    <t>G-REQ-04543</t>
  </si>
  <si>
    <t>G-REQ-01138-E1</t>
  </si>
  <si>
    <t>SYNTHETIC: Laptop return; Pending approval; asset G-AST-00322</t>
  </si>
  <si>
    <t>G-REQ-04544</t>
  </si>
  <si>
    <t>G-REQ-01138-E2</t>
  </si>
  <si>
    <t>SYNTHETIC: Laptop return; Approved; asset G-AST-00322</t>
  </si>
  <si>
    <t>G-REQ-01138-E3</t>
  </si>
  <si>
    <t>G-REQ-04545</t>
  </si>
  <si>
    <t>SYNTHETIC: Laptop return; In progress; asset G-AST-00322</t>
  </si>
  <si>
    <t>G-REQ-01138-E4</t>
  </si>
  <si>
    <t>G-REQ-04546</t>
  </si>
  <si>
    <t>SYNTHETIC: Laptop return; Completed; asset G-AST-00322</t>
  </si>
  <si>
    <t>G-REQ-01139-E1</t>
  </si>
  <si>
    <t>SYNTHETIC: Laptop allocation; Pending approval; asset G-AST-00440</t>
  </si>
  <si>
    <t>G-REQ-04547</t>
  </si>
  <si>
    <t>G-REQ-01139-E2</t>
  </si>
  <si>
    <t>SYNTHETIC: Laptop allocation; Approved; asset G-AST-00440</t>
  </si>
  <si>
    <t>G-REQ-04548</t>
  </si>
  <si>
    <t>G-REQ-01139-E3</t>
  </si>
  <si>
    <t>SYNTHETIC: Laptop allocation; In progress; asset G-AST-00440</t>
  </si>
  <si>
    <t>G-REQ-01139-E4</t>
  </si>
  <si>
    <t>G-REQ-04549</t>
  </si>
  <si>
    <t>SYNTHETIC: Laptop allocation; Completed; asset G-AST-00440</t>
  </si>
  <si>
    <t>G-REQ-01140-E1</t>
  </si>
  <si>
    <t>G-REQ-04550</t>
  </si>
  <si>
    <t>G-REQ-04551</t>
  </si>
  <si>
    <t>G-REQ-01140-E2</t>
  </si>
  <si>
    <t>G-REQ-04552</t>
  </si>
  <si>
    <t>G-REQ-01140-E3</t>
  </si>
  <si>
    <t>G-REQ-04553</t>
  </si>
  <si>
    <t>G-REQ-01140-E4</t>
  </si>
  <si>
    <t>G-REQ-04554</t>
  </si>
  <si>
    <t>G-REQ-01141-E1</t>
  </si>
  <si>
    <t>SYNTHETIC: Laptop allocation; Pending approval; asset G-AST-00441</t>
  </si>
  <si>
    <t>G-REQ-01141-E2</t>
  </si>
  <si>
    <t>G-REQ-04555</t>
  </si>
  <si>
    <t>SYNTHETIC: Laptop allocation; Approved; asset G-AST-00441</t>
  </si>
  <si>
    <t>G-REQ-01141-E3</t>
  </si>
  <si>
    <t>SYNTHETIC: Laptop allocation; In progress; asset G-AST-00441</t>
  </si>
  <si>
    <t>G-REQ-01141-E4</t>
  </si>
  <si>
    <t>G-REQ-04556</t>
  </si>
  <si>
    <t>SYNTHETIC: Laptop allocation; Completed; asset G-AST-00441</t>
  </si>
  <si>
    <t>G-REQ-01142-E1</t>
  </si>
  <si>
    <t>G-REQ-04557</t>
  </si>
  <si>
    <t>G-REQ-04558</t>
  </si>
  <si>
    <t>SYNTHETIC: Laptop allocation; Pending approval; asset G-AST-00442</t>
  </si>
  <si>
    <t>G-REQ-01142-E2</t>
  </si>
  <si>
    <t>G-REQ-04559</t>
  </si>
  <si>
    <t>SYNTHETIC: Laptop allocation; Approved; asset G-AST-00442</t>
  </si>
  <si>
    <t>G-REQ-01142-E3</t>
  </si>
  <si>
    <t>SYNTHETIC: Laptop allocation; In progress; asset G-AST-00442</t>
  </si>
  <si>
    <t>G-REQ-01142-E4</t>
  </si>
  <si>
    <t>G-REQ-04560</t>
  </si>
  <si>
    <t>SYNTHETIC: Laptop allocation; Completed; asset G-AST-00442</t>
  </si>
  <si>
    <t>G-REQ-04561</t>
  </si>
  <si>
    <t>G-REQ-01143-E1</t>
  </si>
  <si>
    <t>G-REQ-04562</t>
  </si>
  <si>
    <t>G-REQ-01143-E2</t>
  </si>
  <si>
    <t>G-REQ-01144-E1</t>
  </si>
  <si>
    <t>G-REQ-04563</t>
  </si>
  <si>
    <t>SYNTHETIC: Laptop allocation; Pending approval; asset G-AST-00443</t>
  </si>
  <si>
    <t>G-REQ-01144-E2</t>
  </si>
  <si>
    <t>G-REQ-04564</t>
  </si>
  <si>
    <t>SYNTHETIC: Laptop allocation; Approved; asset G-AST-00443</t>
  </si>
  <si>
    <t>G-REQ-01144-E3</t>
  </si>
  <si>
    <t>G-REQ-04565</t>
  </si>
  <si>
    <t>SYNTHETIC: Laptop allocation; In progress; asset G-AST-00443</t>
  </si>
  <si>
    <t>G-REQ-01144-E4</t>
  </si>
  <si>
    <t>G-REQ-04566</t>
  </si>
  <si>
    <t>SYNTHETIC: Laptop allocation; Completed; asset G-AST-00443</t>
  </si>
  <si>
    <t>G-REQ-01145-E1</t>
  </si>
  <si>
    <t>G-REQ-04567</t>
  </si>
  <si>
    <t>G-REQ-01145-E2</t>
  </si>
  <si>
    <t>G-REQ-01145-E3</t>
  </si>
  <si>
    <t>G-REQ-04568</t>
  </si>
  <si>
    <t>G-REQ-01145-E4</t>
  </si>
  <si>
    <t>G-REQ-04569</t>
  </si>
  <si>
    <t>G-REQ-01146-E1</t>
  </si>
  <si>
    <t>G-REQ-04570</t>
  </si>
  <si>
    <t>G-REQ-01146-E2</t>
  </si>
  <si>
    <t>G-REQ-04571</t>
  </si>
  <si>
    <t>G-REQ-01146-E3</t>
  </si>
  <si>
    <t>G-REQ-01146-E4</t>
  </si>
  <si>
    <t>G-REQ-04572</t>
  </si>
  <si>
    <t>G-REQ-01147-E1</t>
  </si>
  <si>
    <t>G-REQ-04573</t>
  </si>
  <si>
    <t>G-REQ-01147-E2</t>
  </si>
  <si>
    <t>G-REQ-04574</t>
  </si>
  <si>
    <t>G-REQ-01147-E3</t>
  </si>
  <si>
    <t>G-REQ-04575</t>
  </si>
  <si>
    <t>G-REQ-01147-E4</t>
  </si>
  <si>
    <t>G-REQ-04576</t>
  </si>
  <si>
    <t>G-REQ-01148-E1</t>
  </si>
  <si>
    <t>G-REQ-01148-E2</t>
  </si>
  <si>
    <t>G-REQ-04577</t>
  </si>
  <si>
    <t>SYNTHETIC: Laptop repair; Rejected; asset G-AST-00107</t>
  </si>
  <si>
    <t>G-REQ-01149-E1</t>
  </si>
  <si>
    <t>G-REQ-04578</t>
  </si>
  <si>
    <t>G-REQ-01149-E2</t>
  </si>
  <si>
    <t>G-REQ-04579</t>
  </si>
  <si>
    <t>G-REQ-01149-E3</t>
  </si>
  <si>
    <t>G-REQ-04580</t>
  </si>
  <si>
    <t>G-REQ-01149-E4</t>
  </si>
  <si>
    <t>G-REQ-01150-E1</t>
  </si>
  <si>
    <t>G-REQ-04581</t>
  </si>
  <si>
    <t>SYNTHETIC: Laptop return; Pending approval; asset G-AST-00351</t>
  </si>
  <si>
    <t>G-REQ-01150-E2</t>
  </si>
  <si>
    <t>G-REQ-04582</t>
  </si>
  <si>
    <t>SYNTHETIC: Laptop return; Approved; asset G-AST-00351</t>
  </si>
  <si>
    <t>G-REQ-01150-E3</t>
  </si>
  <si>
    <t>G-REQ-04583</t>
  </si>
  <si>
    <t>SYNTHETIC: Laptop return; In progress; asset G-AST-00351</t>
  </si>
  <si>
    <t>G-REQ-01150-E4</t>
  </si>
  <si>
    <t>SYNTHETIC: Laptop return; Completed; asset G-AST-00351</t>
  </si>
  <si>
    <t>G-REQ-04584</t>
  </si>
  <si>
    <t>G-REQ-01151-E1</t>
  </si>
  <si>
    <t>SYNTHETIC: Laptop repair; Pending approval; asset G-AST-00379</t>
  </si>
  <si>
    <t>G-REQ-04585</t>
  </si>
  <si>
    <t>G-REQ-01151-E2</t>
  </si>
  <si>
    <t>SYNTHETIC: Laptop repair; Approved; asset G-AST-00379</t>
  </si>
  <si>
    <t>G-REQ-01151-E3</t>
  </si>
  <si>
    <t>G-REQ-04586</t>
  </si>
  <si>
    <t>SYNTHETIC: Laptop repair; In progress; asset G-AST-00379</t>
  </si>
  <si>
    <t>G-REQ-01151-E4</t>
  </si>
  <si>
    <t>G-REQ-04587</t>
  </si>
  <si>
    <t>SYNTHETIC: Laptop repair; Completed; asset G-AST-00379</t>
  </si>
  <si>
    <t>G-REQ-01152-E1</t>
  </si>
  <si>
    <t>G-REQ-04588</t>
  </si>
  <si>
    <t>SYNTHETIC: Laptop return; Pending approval; asset G-AST-00346</t>
  </si>
  <si>
    <t>G-REQ-01152-E2</t>
  </si>
  <si>
    <t>G-REQ-04589</t>
  </si>
  <si>
    <t>SYNTHETIC: Laptop return; Approved; asset G-AST-00346</t>
  </si>
  <si>
    <t>G-REQ-01152-E3</t>
  </si>
  <si>
    <t>SYNTHETIC: Laptop return; In progress; asset G-AST-00346</t>
  </si>
  <si>
    <t>G-REQ-04590</t>
  </si>
  <si>
    <t>G-REQ-01152-E4</t>
  </si>
  <si>
    <t>SYNTHETIC: Laptop return; Completed; asset G-AST-00346</t>
  </si>
  <si>
    <t>G-REQ-01153-E1</t>
  </si>
  <si>
    <t>G-REQ-04591</t>
  </si>
  <si>
    <t>SYNTHETIC: Laptop repair; Pending approval; asset G-AST-00407</t>
  </si>
  <si>
    <t>G-REQ-04592</t>
  </si>
  <si>
    <t>G-REQ-01153-E2</t>
  </si>
  <si>
    <t>SYNTHETIC: Laptop repair; Approved; asset G-AST-00407</t>
  </si>
  <si>
    <t>G-REQ-04593</t>
  </si>
  <si>
    <t>G-REQ-01153-E3</t>
  </si>
  <si>
    <t>SYNTHETIC: Laptop repair; In progress; asset G-AST-00407</t>
  </si>
  <si>
    <t>G-REQ-01153-E4</t>
  </si>
  <si>
    <t>G-REQ-04594</t>
  </si>
  <si>
    <t>SYNTHETIC: Laptop repair; Completed; asset G-AST-00407</t>
  </si>
  <si>
    <t>G-REQ-01154-E1</t>
  </si>
  <si>
    <t>G-REQ-04595</t>
  </si>
  <si>
    <t>SYNTHETIC: Laptop repair; Pending approval; asset G-AST-00417</t>
  </si>
  <si>
    <t>G-REQ-01154-E2</t>
  </si>
  <si>
    <t>SYNTHETIC: Laptop repair; Approved; asset G-AST-00417</t>
  </si>
  <si>
    <t>G-REQ-01154-E3</t>
  </si>
  <si>
    <t>G-REQ-04596</t>
  </si>
  <si>
    <t>SYNTHETIC: Laptop repair; In progress; asset G-AST-00417</t>
  </si>
  <si>
    <t>G-REQ-01154-E4</t>
  </si>
  <si>
    <t>G-REQ-04597</t>
  </si>
  <si>
    <t>SYNTHETIC: Laptop repair; Completed; asset G-AST-00417</t>
  </si>
  <si>
    <t>G-REQ-01155-E1</t>
  </si>
  <si>
    <t>G-REQ-04598</t>
  </si>
  <si>
    <t>SYNTHETIC: Laptop repair; Pending approval; asset G-AST-00273</t>
  </si>
  <si>
    <t>G-REQ-01155-E2</t>
  </si>
  <si>
    <t>G-REQ-04599</t>
  </si>
  <si>
    <t>SYNTHETIC: Laptop repair; Approved; asset G-AST-00273</t>
  </si>
  <si>
    <t>G-REQ-01155-E3</t>
  </si>
  <si>
    <t>SYNTHETIC: Laptop repair; In progress; asset G-AST-00273</t>
  </si>
  <si>
    <t>G-REQ-01155-E4</t>
  </si>
  <si>
    <t>G-REQ-04600</t>
  </si>
  <si>
    <t>SYNTHETIC: Laptop repair; Completed; asset G-AST-00273</t>
  </si>
  <si>
    <t>G-REQ-01156-E1</t>
  </si>
  <si>
    <t>G-REQ-04601</t>
  </si>
  <si>
    <t>G-REQ-01156-E2</t>
  </si>
  <si>
    <t>G-REQ-04602</t>
  </si>
  <si>
    <t>SYNTHETIC: Laptop return; Approved; asset G-AST-00046</t>
  </si>
  <si>
    <t>G-REQ-01156-E3</t>
  </si>
  <si>
    <t>SYNTHETIC: Laptop return; In progress; asset G-AST-00046</t>
  </si>
  <si>
    <t>G-REQ-04603</t>
  </si>
  <si>
    <t>G-REQ-01156-E4</t>
  </si>
  <si>
    <t>SYNTHETIC: Laptop return; Completed; asset G-AST-00046</t>
  </si>
  <si>
    <t>G-REQ-01157-E1</t>
  </si>
  <si>
    <t>G-REQ-04604</t>
  </si>
  <si>
    <t>SYNTHETIC: Laptop repair; Pending approval; asset G-AST-00294</t>
  </si>
  <si>
    <t>G-REQ-01157-E2</t>
  </si>
  <si>
    <t>G-REQ-04605</t>
  </si>
  <si>
    <t>SYNTHETIC: Laptop repair; Approved; asset G-AST-00294</t>
  </si>
  <si>
    <t>G-REQ-01157-E3</t>
  </si>
  <si>
    <t>G-REQ-04606</t>
  </si>
  <si>
    <t>SYNTHETIC: Laptop repair; In progress; asset G-AST-00294</t>
  </si>
  <si>
    <t>G-REQ-01157-E4</t>
  </si>
  <si>
    <t>SYNTHETIC: Laptop repair; Completed; asset G-AST-00294</t>
  </si>
  <si>
    <t>G-REQ-04607</t>
  </si>
  <si>
    <t>G-REQ-01158-E1</t>
  </si>
  <si>
    <t>SYNTHETIC: Laptop allocation; Pending approval; asset G-AST-00444</t>
  </si>
  <si>
    <t>G-REQ-01158-E2</t>
  </si>
  <si>
    <t>G-REQ-04608</t>
  </si>
  <si>
    <t>SYNTHETIC: Laptop allocation; Approved; asset G-AST-00444</t>
  </si>
  <si>
    <t>G-REQ-01158-E3</t>
  </si>
  <si>
    <t>G-REQ-04609</t>
  </si>
  <si>
    <t>SYNTHETIC: Laptop allocation; In progress; asset G-AST-00444</t>
  </si>
  <si>
    <t>G-REQ-01158-E4</t>
  </si>
  <si>
    <t>G-REQ-04610</t>
  </si>
  <si>
    <t>SYNTHETIC: Laptop allocation; Completed; asset G-AST-00444</t>
  </si>
  <si>
    <t>G-REQ-01159-E1</t>
  </si>
  <si>
    <t>G-REQ-04611</t>
  </si>
  <si>
    <t>SYNTHETIC: Laptop allocation; Pending approval; asset G-AST-00445</t>
  </si>
  <si>
    <t>G-REQ-01159-E2</t>
  </si>
  <si>
    <t>SYNTHETIC: Laptop allocation; Approved; asset G-AST-00445</t>
  </si>
  <si>
    <t>G-REQ-04612</t>
  </si>
  <si>
    <t>G-REQ-01159-E3</t>
  </si>
  <si>
    <t>SYNTHETIC: Laptop allocation; In progress; asset G-AST-00445</t>
  </si>
  <si>
    <t>G-REQ-04613</t>
  </si>
  <si>
    <t>G-REQ-01159-E4</t>
  </si>
  <si>
    <t>SYNTHETIC: Laptop allocation; Completed; asset G-AST-00445</t>
  </si>
  <si>
    <t>G-REQ-01160-E1</t>
  </si>
  <si>
    <t>G-REQ-04614</t>
  </si>
  <si>
    <t>G-REQ-01160-E2</t>
  </si>
  <si>
    <t>G-REQ-04615</t>
  </si>
  <si>
    <t>SYNTHETIC: Laptop repair; Rejected; asset G-AST-00295</t>
  </si>
  <si>
    <t>G-REQ-01161-E1</t>
  </si>
  <si>
    <t>G-REQ-04616</t>
  </si>
  <si>
    <t>SYNTHETIC: Laptop repair; Pending approval; asset G-AST-00414</t>
  </si>
  <si>
    <t>G-REQ-01161-E2</t>
  </si>
  <si>
    <t>G-REQ-04617</t>
  </si>
  <si>
    <t>SYNTHETIC: Laptop repair; Approved; asset G-AST-00414</t>
  </si>
  <si>
    <t>G-REQ-01161-E3</t>
  </si>
  <si>
    <t>SYNTHETIC: Laptop repair; In progress; asset G-AST-00414</t>
  </si>
  <si>
    <t>G-REQ-01161-E4</t>
  </si>
  <si>
    <t>G-REQ-04618</t>
  </si>
  <si>
    <t>SYNTHETIC: Laptop repair; Completed; asset G-AST-00414</t>
  </si>
  <si>
    <t>G-REQ-01162-E1</t>
  </si>
  <si>
    <t>G-REQ-04619</t>
  </si>
  <si>
    <t>G-REQ-01162-E2</t>
  </si>
  <si>
    <t>G-REQ-04620</t>
  </si>
  <si>
    <t>G-REQ-01162-E3</t>
  </si>
  <si>
    <t>G-REQ-04621</t>
  </si>
  <si>
    <t>G-REQ-01162-E4</t>
  </si>
  <si>
    <t>G-REQ-04622</t>
  </si>
  <si>
    <t>G-REQ-01163-E1</t>
  </si>
  <si>
    <t>SYNTHETIC: Laptop repair; Pending approval; asset G-AST-00258</t>
  </si>
  <si>
    <t>G-REQ-04623</t>
  </si>
  <si>
    <t>G-REQ-01163-E2</t>
  </si>
  <si>
    <t>SYNTHETIC: Laptop repair; Approved; asset G-AST-00258</t>
  </si>
  <si>
    <t>G-REQ-01163-E3</t>
  </si>
  <si>
    <t>G-REQ-04624</t>
  </si>
  <si>
    <t>SYNTHETIC: Laptop repair; In progress; asset G-AST-00258</t>
  </si>
  <si>
    <t>G-REQ-01163-E4</t>
  </si>
  <si>
    <t>G-REQ-04625</t>
  </si>
  <si>
    <t>SYNTHETIC: Laptop repair; Completed; asset G-AST-00258</t>
  </si>
  <si>
    <t>G-REQ-01164-E1</t>
  </si>
  <si>
    <t>G-REQ-04626</t>
  </si>
  <si>
    <t>G-REQ-01164-E2</t>
  </si>
  <si>
    <t>G-REQ-01165-E1</t>
  </si>
  <si>
    <t>G-REQ-04627</t>
  </si>
  <si>
    <t>G-REQ-01165-E2</t>
  </si>
  <si>
    <t>G-REQ-04628</t>
  </si>
  <si>
    <t>G-REQ-01165-E3</t>
  </si>
  <si>
    <t>G-REQ-04629</t>
  </si>
  <si>
    <t>G-REQ-01165-E4</t>
  </si>
  <si>
    <t>G-REQ-04630</t>
  </si>
  <si>
    <t>G-REQ-01166-E1</t>
  </si>
  <si>
    <t>G-REQ-04631</t>
  </si>
  <si>
    <t>SYNTHETIC: Laptop return; Pending approval; asset G-AST-00385</t>
  </si>
  <si>
    <t>G-REQ-01166-E2</t>
  </si>
  <si>
    <t>SYNTHETIC: Laptop return; Approved; asset G-AST-00385</t>
  </si>
  <si>
    <t>G-REQ-04632</t>
  </si>
  <si>
    <t>G-REQ-01166-E3</t>
  </si>
  <si>
    <t>SYNTHETIC: Laptop return; In progress; asset G-AST-00385</t>
  </si>
  <si>
    <t>G-REQ-01166-E4</t>
  </si>
  <si>
    <t>G-REQ-04633</t>
  </si>
  <si>
    <t>SYNTHETIC: Laptop return; Completed; asset G-AST-00385</t>
  </si>
  <si>
    <t>G-REQ-01167-E1</t>
  </si>
  <si>
    <t>G-REQ-04634</t>
  </si>
  <si>
    <t>SYNTHETIC: Laptop return; Pending approval; asset G-AST-00306</t>
  </si>
  <si>
    <t>G-REQ-01167-E2</t>
  </si>
  <si>
    <t>SYNTHETIC: Laptop return; Rejected; asset G-AST-00306</t>
  </si>
  <si>
    <t>G-REQ-04635</t>
  </si>
  <si>
    <t>G-REQ-01168-E1</t>
  </si>
  <si>
    <t>SYNTHETIC: Laptop repair; Pending approval; asset G-AST-00373</t>
  </si>
  <si>
    <t>G-REQ-04636</t>
  </si>
  <si>
    <t>G-REQ-01168-E2</t>
  </si>
  <si>
    <t>SYNTHETIC: Laptop repair; Approved; asset G-AST-00373</t>
  </si>
  <si>
    <t>G-REQ-01168-E3</t>
  </si>
  <si>
    <t>G-REQ-04637</t>
  </si>
  <si>
    <t>SYNTHETIC: Laptop repair; In progress; asset G-AST-00373</t>
  </si>
  <si>
    <t>G-REQ-01168-E4</t>
  </si>
  <si>
    <t>G-REQ-04638</t>
  </si>
  <si>
    <t>SYNTHETIC: Laptop repair; Completed; asset G-AST-00373</t>
  </si>
  <si>
    <t>G-REQ-01169-E1</t>
  </si>
  <si>
    <t>SYNTHETIC: Laptop repair; Pending approval; asset G-AST-00392</t>
  </si>
  <si>
    <t>G-REQ-04639</t>
  </si>
  <si>
    <t>G-REQ-01169-E2</t>
  </si>
  <si>
    <t>SYNTHETIC: Laptop repair; Approved; asset G-AST-00392</t>
  </si>
  <si>
    <t>G-REQ-01169-E3</t>
  </si>
  <si>
    <t>G-REQ-04640</t>
  </si>
  <si>
    <t>SYNTHETIC: Laptop repair; In progress; asset G-AST-00392</t>
  </si>
  <si>
    <t>G-REQ-01169-E4</t>
  </si>
  <si>
    <t>G-REQ-04641</t>
  </si>
  <si>
    <t>SYNTHETIC: Laptop repair; Completed; asset G-AST-00392</t>
  </si>
  <si>
    <t>G-REQ-01170-E1</t>
  </si>
  <si>
    <t>G-REQ-04642</t>
  </si>
  <si>
    <t>SYNTHETIC: Laptop allocation; Pending approval; asset G-AST-00446</t>
  </si>
  <si>
    <t>G-REQ-01170-E2</t>
  </si>
  <si>
    <t>SYNTHETIC: Laptop allocation; Approved; asset G-AST-00446</t>
  </si>
  <si>
    <t>G-REQ-04643</t>
  </si>
  <si>
    <t>G-REQ-01170-E3</t>
  </si>
  <si>
    <t>SYNTHETIC: Laptop allocation; In progress; asset G-AST-00446</t>
  </si>
  <si>
    <t>G-REQ-01170-E4</t>
  </si>
  <si>
    <t>G-REQ-04644</t>
  </si>
  <si>
    <t>SYNTHETIC: Laptop allocation; Completed; asset G-AST-00446</t>
  </si>
  <si>
    <t>G-REQ-01171-E1</t>
  </si>
  <si>
    <t>G-REQ-04645</t>
  </si>
  <si>
    <t>SYNTHETIC: Laptop return; Pending approval; asset G-AST-00365</t>
  </si>
  <si>
    <t>G-REQ-01171-E2</t>
  </si>
  <si>
    <t>G-REQ-04646</t>
  </si>
  <si>
    <t>SYNTHETIC: Laptop return; Approved; asset G-AST-00365</t>
  </si>
  <si>
    <t>G-REQ-01171-E3</t>
  </si>
  <si>
    <t>SYNTHETIC: Laptop return; In progress; asset G-AST-00365</t>
  </si>
  <si>
    <t>G-REQ-04647</t>
  </si>
  <si>
    <t>G-REQ-01171-E4</t>
  </si>
  <si>
    <t>SYNTHETIC: Laptop return; Completed; asset G-AST-00365</t>
  </si>
  <si>
    <t>G-REQ-01172-E1</t>
  </si>
  <si>
    <t>G-REQ-04648</t>
  </si>
  <si>
    <t>SYNTHETIC: Laptop allocation; Pending approval; asset G-AST-00447</t>
  </si>
  <si>
    <t>G-REQ-01172-E2</t>
  </si>
  <si>
    <t>G-REQ-04649</t>
  </si>
  <si>
    <t>SYNTHETIC: Laptop allocation; Approved; asset G-AST-00447</t>
  </si>
  <si>
    <t>G-REQ-01172-E3</t>
  </si>
  <si>
    <t>G-REQ-04650</t>
  </si>
  <si>
    <t>SYNTHETIC: Laptop allocation; In progress; asset G-AST-00447</t>
  </si>
  <si>
    <t>G-REQ-01172-E4</t>
  </si>
  <si>
    <t>SYNTHETIC: Laptop allocation; Completed; asset G-AST-00447</t>
  </si>
  <si>
    <t>G-REQ-01173-E1</t>
  </si>
  <si>
    <t>G-REQ-04651</t>
  </si>
  <si>
    <t>G-REQ-01173-E2</t>
  </si>
  <si>
    <t>G-REQ-04652</t>
  </si>
  <si>
    <t>G-REQ-01173-E3</t>
  </si>
  <si>
    <t>G-REQ-04653</t>
  </si>
  <si>
    <t>G-REQ-01173-E4</t>
  </si>
  <si>
    <t>G-REQ-04654</t>
  </si>
  <si>
    <t>G-REQ-01174-E1</t>
  </si>
  <si>
    <t>SYNTHETIC: Laptop return; Pending approval; asset G-AST-00285</t>
  </si>
  <si>
    <t>G-REQ-04655</t>
  </si>
  <si>
    <t>G-REQ-01174-E2</t>
  </si>
  <si>
    <t>SYNTHETIC: Laptop return; Approved; asset G-AST-00285</t>
  </si>
  <si>
    <t>G-REQ-01174-E3</t>
  </si>
  <si>
    <t>G-REQ-04656</t>
  </si>
  <si>
    <t>SYNTHETIC: Laptop return; In progress; asset G-AST-00285</t>
  </si>
  <si>
    <t>G-REQ-01174-E4</t>
  </si>
  <si>
    <t>G-REQ-04657</t>
  </si>
  <si>
    <t>SYNTHETIC: Laptop return; Completed; asset G-AST-00285</t>
  </si>
  <si>
    <t>G-REQ-01175-E1</t>
  </si>
  <si>
    <t>G-REQ-04658</t>
  </si>
  <si>
    <t>SYNTHETIC: Laptop repair; Pending approval; asset G-AST-00431</t>
  </si>
  <si>
    <t>G-REQ-01175-E2</t>
  </si>
  <si>
    <t>G-REQ-04659</t>
  </si>
  <si>
    <t>SYNTHETIC: Laptop repair; Cancelled; asset G-AST-00431</t>
  </si>
  <si>
    <t>G-REQ-01176-E1</t>
  </si>
  <si>
    <t>SYNTHETIC: Laptop allocation; Pending approval; asset G-AST-00448</t>
  </si>
  <si>
    <t>G-REQ-04660</t>
  </si>
  <si>
    <t>G-REQ-01176-E2</t>
  </si>
  <si>
    <t>SYNTHETIC: Laptop allocation; Approved; asset G-AST-00448</t>
  </si>
  <si>
    <t>G-REQ-01176-E3</t>
  </si>
  <si>
    <t>G-REQ-04661</t>
  </si>
  <si>
    <t>SYNTHETIC: Laptop allocation; In progress; asset G-AST-00448</t>
  </si>
  <si>
    <t>G-REQ-01176-E4</t>
  </si>
  <si>
    <t>G-REQ-04662</t>
  </si>
  <si>
    <t>SYNTHETIC: Laptop allocation; Completed; asset G-AST-00448</t>
  </si>
  <si>
    <t>G-REQ-01177-E1</t>
  </si>
  <si>
    <t>G-REQ-04663</t>
  </si>
  <si>
    <t>G-REQ-01177-E2</t>
  </si>
  <si>
    <t>SYNTHETIC: Laptop repair; Cancelled; asset G-AST-00301</t>
  </si>
  <si>
    <t>G-REQ-04664</t>
  </si>
  <si>
    <t>G-REQ-01178-E1</t>
  </si>
  <si>
    <t>G-REQ-04665</t>
  </si>
  <si>
    <t>G-REQ-01178-E2</t>
  </si>
  <si>
    <t>G-REQ-01179-E1</t>
  </si>
  <si>
    <t>G-REQ-04666</t>
  </si>
  <si>
    <t>SYNTHETIC: Laptop allocation; Pending approval; asset G-AST-00449</t>
  </si>
  <si>
    <t>G-REQ-01179-E2</t>
  </si>
  <si>
    <t>G-REQ-04667</t>
  </si>
  <si>
    <t>SYNTHETIC: Laptop allocation; Approved; asset G-AST-00449</t>
  </si>
  <si>
    <t>G-REQ-01179-E3</t>
  </si>
  <si>
    <t>G-REQ-04668</t>
  </si>
  <si>
    <t>SYNTHETIC: Laptop allocation; In progress; asset G-AST-00449</t>
  </si>
  <si>
    <t>G-REQ-01179-E4</t>
  </si>
  <si>
    <t>SYNTHETIC: Laptop allocation; Completed; asset G-AST-00449</t>
  </si>
  <si>
    <t>G-REQ-04669</t>
  </si>
  <si>
    <t>G-REQ-01180-E1</t>
  </si>
  <si>
    <t>G-REQ-01180-E2</t>
  </si>
  <si>
    <t>G-REQ-04670</t>
  </si>
  <si>
    <t>SYNTHETIC: Laptop repair; Rejected; asset G-AST-00301</t>
  </si>
  <si>
    <t>G-REQ-01181-E1</t>
  </si>
  <si>
    <t>G-REQ-04671</t>
  </si>
  <si>
    <t>SYNTHETIC: Laptop return; Pending approval; asset G-AST-00052</t>
  </si>
  <si>
    <t>G-REQ-01181-E2</t>
  </si>
  <si>
    <t>G-REQ-04672</t>
  </si>
  <si>
    <t>SYNTHETIC: Laptop return; Rejected; asset G-AST-00052</t>
  </si>
  <si>
    <t>G-REQ-01182-E1</t>
  </si>
  <si>
    <t>G-REQ-04673</t>
  </si>
  <si>
    <t>G-REQ-01182-E2</t>
  </si>
  <si>
    <t>SYNTHETIC: Laptop return; Approved; asset G-AST-00211</t>
  </si>
  <si>
    <t>G-REQ-04674</t>
  </si>
  <si>
    <t>G-REQ-01182-E3</t>
  </si>
  <si>
    <t>SYNTHETIC: Laptop return; In progress; asset G-AST-00211</t>
  </si>
  <si>
    <t>G-REQ-01182-E4</t>
  </si>
  <si>
    <t>G-REQ-04675</t>
  </si>
  <si>
    <t>SYNTHETIC: Laptop return; Completed; asset G-AST-00211</t>
  </si>
  <si>
    <t>G-REQ-01183-E1</t>
  </si>
  <si>
    <t>G-REQ-04676</t>
  </si>
  <si>
    <t>G-REQ-01183-E2</t>
  </si>
  <si>
    <t>G-REQ-04677</t>
  </si>
  <si>
    <t>G-REQ-01184-E1</t>
  </si>
  <si>
    <t>G-REQ-04678</t>
  </si>
  <si>
    <t>G-REQ-01184-E2</t>
  </si>
  <si>
    <t>G-REQ-04679</t>
  </si>
  <si>
    <t>G-REQ-01184-E3</t>
  </si>
  <si>
    <t>G-REQ-01184-E4</t>
  </si>
  <si>
    <t>G-REQ-04680</t>
  </si>
  <si>
    <t>G-REQ-01185-E1</t>
  </si>
  <si>
    <t>SYNTHETIC: Laptop repair; Pending approval; asset G-AST-00410</t>
  </si>
  <si>
    <t>G-REQ-01185-E2</t>
  </si>
  <si>
    <t>G-REQ-04681</t>
  </si>
  <si>
    <t>SYNTHETIC: Laptop repair; Approved; asset G-AST-00410</t>
  </si>
  <si>
    <t>G-REQ-01185-E3</t>
  </si>
  <si>
    <t>G-REQ-04682</t>
  </si>
  <si>
    <t>SYNTHETIC: Laptop repair; In progress; asset G-AST-00410</t>
  </si>
  <si>
    <t>G-REQ-01185-E4</t>
  </si>
  <si>
    <t>G-REQ-04683</t>
  </si>
  <si>
    <t>SYNTHETIC: Laptop repair; Completed; asset G-AST-00410</t>
  </si>
  <si>
    <t>G-REQ-01186-E1</t>
  </si>
  <si>
    <t>G-REQ-04684</t>
  </si>
  <si>
    <t>SYNTHETIC: Laptop allocation; Pending approval; asset G-AST-00450</t>
  </si>
  <si>
    <t>G-REQ-01186-E2</t>
  </si>
  <si>
    <t>SYNTHETIC: Laptop allocation; Approved; asset G-AST-00450</t>
  </si>
  <si>
    <t>G-REQ-04685</t>
  </si>
  <si>
    <t>G-REQ-01186-E3</t>
  </si>
  <si>
    <t>SYNTHETIC: Laptop allocation; In progress; asset G-AST-00450</t>
  </si>
  <si>
    <t>G-REQ-01186-E4</t>
  </si>
  <si>
    <t>G-REQ-04686</t>
  </si>
  <si>
    <t>SYNTHETIC: Laptop allocation; Completed; asset G-AST-00450</t>
  </si>
  <si>
    <t>G-REQ-01187-E1</t>
  </si>
  <si>
    <t>G-REQ-04687</t>
  </si>
  <si>
    <t>G-REQ-01187-E2</t>
  </si>
  <si>
    <t>G-REQ-04688</t>
  </si>
  <si>
    <t>G-REQ-01187-E3</t>
  </si>
  <si>
    <t>G-REQ-04689</t>
  </si>
  <si>
    <t>G-REQ-01187-E4</t>
  </si>
  <si>
    <t>G-REQ-01188-E1</t>
  </si>
  <si>
    <t>G-REQ-04690</t>
  </si>
  <si>
    <t>SYNTHETIC: Laptop return; Pending approval; asset G-AST-00259</t>
  </si>
  <si>
    <t>G-REQ-01188-E2</t>
  </si>
  <si>
    <t>G-REQ-04691</t>
  </si>
  <si>
    <t>SYNTHETIC: Laptop return; Approved; asset G-AST-00259</t>
  </si>
  <si>
    <t>G-REQ-01188-E3</t>
  </si>
  <si>
    <t>G-REQ-04692</t>
  </si>
  <si>
    <t>SYNTHETIC: Laptop return; In progress; asset G-AST-00259</t>
  </si>
  <si>
    <t>G-REQ-01188-E4</t>
  </si>
  <si>
    <t>SYNTHETIC: Laptop return; Completed; asset G-AST-00259</t>
  </si>
  <si>
    <t>G-REQ-04693</t>
  </si>
  <si>
    <t>G-REQ-01189-E1</t>
  </si>
  <si>
    <t>SYNTHETIC: Laptop return; Pending approval; asset G-AST-00258</t>
  </si>
  <si>
    <t>G-REQ-01189-E2</t>
  </si>
  <si>
    <t>G-REQ-04694</t>
  </si>
  <si>
    <t>SYNTHETIC: Laptop return; Approved; asset G-AST-00258</t>
  </si>
  <si>
    <t>G-REQ-01189-E3</t>
  </si>
  <si>
    <t>G-REQ-04695</t>
  </si>
  <si>
    <t>SYNTHETIC: Laptop return; In progress; asset G-AST-00258</t>
  </si>
  <si>
    <t>G-REQ-01189-E4</t>
  </si>
  <si>
    <t>G-REQ-04696</t>
  </si>
  <si>
    <t>SYNTHETIC: Laptop return; Completed; asset G-AST-00258</t>
  </si>
  <si>
    <t>G-REQ-01190-E1</t>
  </si>
  <si>
    <t>G-REQ-04697</t>
  </si>
  <si>
    <t>G-REQ-01190-E2</t>
  </si>
  <si>
    <t>G-REQ-01190-E3</t>
  </si>
  <si>
    <t>G-REQ-04698</t>
  </si>
  <si>
    <t>G-REQ-01190-E4</t>
  </si>
  <si>
    <t>G-REQ-04699</t>
  </si>
  <si>
    <t>G-REQ-01191-E1</t>
  </si>
  <si>
    <t>G-REQ-04700</t>
  </si>
  <si>
    <t>SYNTHETIC: Laptop allocation; Pending approval; asset G-AST-00451</t>
  </si>
  <si>
    <t>G-REQ-01191-E2</t>
  </si>
  <si>
    <t>SYNTHETIC: Laptop allocation; Approved; asset G-AST-00451</t>
  </si>
  <si>
    <t>G-REQ-04701</t>
  </si>
  <si>
    <t>G-REQ-01191-E3</t>
  </si>
  <si>
    <t>SYNTHETIC: Laptop allocation; In progress; asset G-AST-00451</t>
  </si>
  <si>
    <t>G-REQ-01191-E4</t>
  </si>
  <si>
    <t>G-REQ-04702</t>
  </si>
  <si>
    <t>SYNTHETIC: Laptop allocation; Completed; asset G-AST-00451</t>
  </si>
  <si>
    <t>G-REQ-01192-E1</t>
  </si>
  <si>
    <t>G-REQ-04703</t>
  </si>
  <si>
    <t>G-REQ-01192-E2</t>
  </si>
  <si>
    <t>G-REQ-04704</t>
  </si>
  <si>
    <t>SYNTHETIC: Laptop repair; Rejected; asset G-AST-00195</t>
  </si>
  <si>
    <t>G-REQ-01193-E1</t>
  </si>
  <si>
    <t>G-REQ-04705</t>
  </si>
  <si>
    <t>SYNTHETIC: Laptop allocation; Pending approval; asset G-AST-00452</t>
  </si>
  <si>
    <t>G-REQ-01193-E2</t>
  </si>
  <si>
    <t>SYNTHETIC: Laptop allocation; Approved; asset G-AST-00452</t>
  </si>
  <si>
    <t>G-REQ-04706</t>
  </si>
  <si>
    <t>G-REQ-01193-E3</t>
  </si>
  <si>
    <t>SYNTHETIC: Laptop allocation; In progress; asset G-AST-00452</t>
  </si>
  <si>
    <t>G-REQ-01193-E4</t>
  </si>
  <si>
    <t>G-REQ-04707</t>
  </si>
  <si>
    <t>SYNTHETIC: Laptop allocation; Completed; asset G-AST-00452</t>
  </si>
  <si>
    <t>G-REQ-01194-E1</t>
  </si>
  <si>
    <t>G-REQ-04708</t>
  </si>
  <si>
    <t>G-REQ-01194-E2</t>
  </si>
  <si>
    <t>G-REQ-04709</t>
  </si>
  <si>
    <t>G-REQ-01195-E1</t>
  </si>
  <si>
    <t>SYNTHETIC: Laptop allocation; Pending approval; asset G-AST-00453</t>
  </si>
  <si>
    <t>G-REQ-04710</t>
  </si>
  <si>
    <t>G-REQ-01195-E2</t>
  </si>
  <si>
    <t>SYNTHETIC: Laptop allocation; Approved; asset G-AST-00453</t>
  </si>
  <si>
    <t>G-REQ-01195-E3</t>
  </si>
  <si>
    <t>G-REQ-04711</t>
  </si>
  <si>
    <t>SYNTHETIC: Laptop allocation; In progress; asset G-AST-00453</t>
  </si>
  <si>
    <t>G-REQ-01195-E4</t>
  </si>
  <si>
    <t>G-REQ-04712</t>
  </si>
  <si>
    <t>SYNTHETIC: Laptop allocation; Completed; asset G-AST-00453</t>
  </si>
  <si>
    <t>G-REQ-01196-E1</t>
  </si>
  <si>
    <t>G-REQ-04713</t>
  </si>
  <si>
    <t>G-REQ-01196-E2</t>
  </si>
  <si>
    <t>G-REQ-01196-E3</t>
  </si>
  <si>
    <t>G-REQ-04714</t>
  </si>
  <si>
    <t>G-REQ-01196-E4</t>
  </si>
  <si>
    <t>G-REQ-04715</t>
  </si>
  <si>
    <t>G-REQ-01197-E1</t>
  </si>
  <si>
    <t>G-REQ-04716</t>
  </si>
  <si>
    <t>SYNTHETIC: Laptop return; Pending approval; asset G-AST-00355</t>
  </si>
  <si>
    <t>G-REQ-01197-E2</t>
  </si>
  <si>
    <t>G-REQ-04717</t>
  </si>
  <si>
    <t>SYNTHETIC: Laptop return; Approved; asset G-AST-00355</t>
  </si>
  <si>
    <t>G-REQ-01197-E3</t>
  </si>
  <si>
    <t>SYNTHETIC: Laptop return; In progress; asset G-AST-00355</t>
  </si>
  <si>
    <t>G-REQ-04718</t>
  </si>
  <si>
    <t>G-REQ-01197-E4</t>
  </si>
  <si>
    <t>SYNTHETIC: Laptop return; Completed; asset G-AST-00355</t>
  </si>
  <si>
    <t>G-REQ-01198-E1</t>
  </si>
  <si>
    <t>G-REQ-04719</t>
  </si>
  <si>
    <t>G-REQ-01198-E2</t>
  </si>
  <si>
    <t>G-REQ-04720</t>
  </si>
  <si>
    <t>G-REQ-01198-E3</t>
  </si>
  <si>
    <t>G-REQ-04721</t>
  </si>
  <si>
    <t>G-REQ-01198-E4</t>
  </si>
  <si>
    <t>G-REQ-04722</t>
  </si>
  <si>
    <t>G-REQ-01199-E1</t>
  </si>
  <si>
    <t>G-REQ-01199-E2</t>
  </si>
  <si>
    <t>G-REQ-04723</t>
  </si>
  <si>
    <t>G-REQ-01199-E3</t>
  </si>
  <si>
    <t>G-REQ-04724</t>
  </si>
  <si>
    <t>G-REQ-01199-E4</t>
  </si>
  <si>
    <t>G-REQ-04725</t>
  </si>
  <si>
    <t>G-REQ-01200-E1</t>
  </si>
  <si>
    <t>G-REQ-04726</t>
  </si>
  <si>
    <t>SYNTHETIC: Laptop return; Pending approval; asset G-AST-00416</t>
  </si>
  <si>
    <t>G-REQ-01200-E2</t>
  </si>
  <si>
    <t>G-REQ-04727</t>
  </si>
  <si>
    <t>SYNTHETIC: Laptop return; Approved; asset G-AST-00416</t>
  </si>
  <si>
    <t>G-REQ-01200-E3</t>
  </si>
  <si>
    <t>SYNTHETIC: Laptop return; In progress; asset G-AST-00416</t>
  </si>
  <si>
    <t>G-REQ-04728</t>
  </si>
  <si>
    <t>G-REQ-01200-E4</t>
  </si>
  <si>
    <t>SYNTHETIC: Laptop return; Completed; asset G-AST-00416</t>
  </si>
  <si>
    <t>G-REQ-01201-E1</t>
  </si>
  <si>
    <t>G-REQ-04729</t>
  </si>
  <si>
    <t>G-REQ-01201-E2</t>
  </si>
  <si>
    <t>G-REQ-04730</t>
  </si>
  <si>
    <t>G-REQ-01201-E3</t>
  </si>
  <si>
    <t>G-REQ-04731</t>
  </si>
  <si>
    <t>G-REQ-04732</t>
  </si>
  <si>
    <t>G-REQ-01201-E4</t>
  </si>
  <si>
    <t>G-REQ-04733</t>
  </si>
  <si>
    <t>G-REQ-01202-E1</t>
  </si>
  <si>
    <t>G-REQ-04734</t>
  </si>
  <si>
    <t>G-REQ-01202-E2</t>
  </si>
  <si>
    <t>G-REQ-04735</t>
  </si>
  <si>
    <t>G-REQ-04736</t>
  </si>
  <si>
    <t>G-REQ-01202-E3</t>
  </si>
  <si>
    <t>G-REQ-04737</t>
  </si>
  <si>
    <t>G-REQ-01202-E4</t>
  </si>
  <si>
    <t>G-REQ-04738</t>
  </si>
  <si>
    <t>G-REQ-01203-E1</t>
  </si>
  <si>
    <t>G-REQ-04739</t>
  </si>
  <si>
    <t>G-REQ-04740</t>
  </si>
  <si>
    <t>SYNTHETIC: Laptop repair; Pending approval; asset G-AST-00371</t>
  </si>
  <si>
    <t>G-REQ-01203-E2</t>
  </si>
  <si>
    <t>G-REQ-04741</t>
  </si>
  <si>
    <t>SYNTHETIC: Laptop repair; Approved; asset G-AST-00371</t>
  </si>
  <si>
    <t>G-REQ-04742</t>
  </si>
  <si>
    <t>G-REQ-01203-E3</t>
  </si>
  <si>
    <t>G-REQ-04743</t>
  </si>
  <si>
    <t>SYNTHETIC: Laptop repair; In progress; asset G-AST-00371</t>
  </si>
  <si>
    <t>G-REQ-01203-E4</t>
  </si>
  <si>
    <t>G-REQ-04744</t>
  </si>
  <si>
    <t>SYNTHETIC: Laptop repair; Completed; asset G-AST-00371</t>
  </si>
  <si>
    <t>G-REQ-04745</t>
  </si>
  <si>
    <t>G-REQ-01204-E1</t>
  </si>
  <si>
    <t>G-REQ-04746</t>
  </si>
  <si>
    <t>SYNTHETIC: Laptop repair; Pending approval; asset G-AST-00384</t>
  </si>
  <si>
    <t>G-REQ-01204-E2</t>
  </si>
  <si>
    <t>G-REQ-04747</t>
  </si>
  <si>
    <t>SYNTHETIC: Laptop repair; Approved; asset G-AST-00384</t>
  </si>
  <si>
    <t>G-REQ-04748</t>
  </si>
  <si>
    <t>G-REQ-01204-E3</t>
  </si>
  <si>
    <t>G-REQ-04749</t>
  </si>
  <si>
    <t>SYNTHETIC: Laptop repair; In progress; asset G-AST-00384</t>
  </si>
  <si>
    <t>G-REQ-01204-E4</t>
  </si>
  <si>
    <t>G-REQ-04750</t>
  </si>
  <si>
    <t>SYNTHETIC: Laptop repair; Completed; asset G-AST-00384</t>
  </si>
  <si>
    <t>G-REQ-01205-E1</t>
  </si>
  <si>
    <t>G-REQ-04751</t>
  </si>
  <si>
    <t>SYNTHETIC: Laptop repair; Pending approval; asset G-AST-00429</t>
  </si>
  <si>
    <t>G-REQ-01205-E2</t>
  </si>
  <si>
    <t>G-REQ-04752</t>
  </si>
  <si>
    <t>SYNTHETIC: Laptop repair; Approved; asset G-AST-00429</t>
  </si>
  <si>
    <t>G-REQ-01205-E3</t>
  </si>
  <si>
    <t>G-REQ-04753</t>
  </si>
  <si>
    <t>SYNTHETIC: Laptop repair; In progress; asset G-AST-00429</t>
  </si>
  <si>
    <t>G-REQ-01205-E4</t>
  </si>
  <si>
    <t>G-REQ-04754</t>
  </si>
  <si>
    <t>SYNTHETIC: Laptop repair; Completed; asset G-AST-00429</t>
  </si>
  <si>
    <t>G-REQ-01206-E1</t>
  </si>
  <si>
    <t>G-REQ-04755</t>
  </si>
  <si>
    <t>SYNTHETIC: Laptop allocation; Pending approval; asset G-AST-00454</t>
  </si>
  <si>
    <t>G-REQ-01206-E2</t>
  </si>
  <si>
    <t>G-REQ-04756</t>
  </si>
  <si>
    <t>SYNTHETIC: Laptop allocation; Approved; asset G-AST-00454</t>
  </si>
  <si>
    <t>G-REQ-04757</t>
  </si>
  <si>
    <t>G-REQ-01206-E3</t>
  </si>
  <si>
    <t>G-REQ-04758</t>
  </si>
  <si>
    <t>SYNTHETIC: Laptop allocation; In progress; asset G-AST-00454</t>
  </si>
  <si>
    <t>G-REQ-01206-E4</t>
  </si>
  <si>
    <t>G-REQ-04759</t>
  </si>
  <si>
    <t>SYNTHETIC: Laptop allocation; Completed; asset G-AST-00454</t>
  </si>
  <si>
    <t>G-REQ-01207-E1</t>
  </si>
  <si>
    <t>G-REQ-04760</t>
  </si>
  <si>
    <t>G-REQ-01207-E2</t>
  </si>
  <si>
    <t>G-REQ-04761</t>
  </si>
  <si>
    <t>G-REQ-04762</t>
  </si>
  <si>
    <t>G-REQ-01208-E1</t>
  </si>
  <si>
    <t>G-REQ-04763</t>
  </si>
  <si>
    <t>SYNTHETIC: Laptop repair; Pending approval; asset G-AST-00446</t>
  </si>
  <si>
    <t>G-REQ-01208-E2</t>
  </si>
  <si>
    <t>G-REQ-04764</t>
  </si>
  <si>
    <t>SYNTHETIC: Laptop repair; Approved; asset G-AST-00446</t>
  </si>
  <si>
    <t>G-REQ-04765</t>
  </si>
  <si>
    <t>G-REQ-01208-E3</t>
  </si>
  <si>
    <t>G-REQ-04766</t>
  </si>
  <si>
    <t>SYNTHETIC: Laptop repair; In progress; asset G-AST-00446</t>
  </si>
  <si>
    <t>G-REQ-01208-E4</t>
  </si>
  <si>
    <t>G-REQ-04767</t>
  </si>
  <si>
    <t>SYNTHETIC: Laptop repair; Completed; asset G-AST-00446</t>
  </si>
  <si>
    <t>G-REQ-01209-E1</t>
  </si>
  <si>
    <t>G-REQ-04768</t>
  </si>
  <si>
    <t>SYNTHETIC: Laptop allocation; Pending approval; asset G-AST-00455</t>
  </si>
  <si>
    <t>G-REQ-04769</t>
  </si>
  <si>
    <t>G-REQ-01209-E2</t>
  </si>
  <si>
    <t>G-REQ-04770</t>
  </si>
  <si>
    <t>SYNTHETIC: Laptop allocation; Approved; asset G-AST-00455</t>
  </si>
  <si>
    <t>G-REQ-01209-E3</t>
  </si>
  <si>
    <t>G-REQ-04771</t>
  </si>
  <si>
    <t>SYNTHETIC: Laptop allocation; In progress; asset G-AST-00455</t>
  </si>
  <si>
    <t>G-REQ-01209-E4</t>
  </si>
  <si>
    <t>G-REQ-04772</t>
  </si>
  <si>
    <t>SYNTHETIC: Laptop allocation; Completed; asset G-AST-00455</t>
  </si>
  <si>
    <t>G-REQ-01210-E1</t>
  </si>
  <si>
    <t>G-REQ-04773</t>
  </si>
  <si>
    <t>SYNTHETIC: Laptop return; Pending approval; asset G-AST-00434</t>
  </si>
  <si>
    <t>G-REQ-01210-E2</t>
  </si>
  <si>
    <t>G-REQ-04774</t>
  </si>
  <si>
    <t>SYNTHETIC: Laptop return; Approved; asset G-AST-00434</t>
  </si>
  <si>
    <t>G-REQ-04775</t>
  </si>
  <si>
    <t>G-REQ-01210-E3</t>
  </si>
  <si>
    <t>G-REQ-04776</t>
  </si>
  <si>
    <t>SYNTHETIC: Laptop return; In progress; asset G-AST-00434</t>
  </si>
  <si>
    <t>G-REQ-01210-E4</t>
  </si>
  <si>
    <t>G-REQ-04777</t>
  </si>
  <si>
    <t>SYNTHETIC: Laptop return; Completed; asset G-AST-00434</t>
  </si>
  <si>
    <t>G-REQ-01211-E1</t>
  </si>
  <si>
    <t>G-REQ-04778</t>
  </si>
  <si>
    <t>G-REQ-04779</t>
  </si>
  <si>
    <t>SYNTHETIC: Laptop repair; Pending approval; asset G-AST-00353</t>
  </si>
  <si>
    <t>G-REQ-01211-E2</t>
  </si>
  <si>
    <t>SYNTHETIC: Laptop repair; Approved; asset G-AST-00353</t>
  </si>
  <si>
    <t>G-REQ-04780</t>
  </si>
  <si>
    <t>G-REQ-01211-E3</t>
  </si>
  <si>
    <t>SYNTHETIC: Laptop repair; In progress; asset G-AST-00353</t>
  </si>
  <si>
    <t>G-REQ-01211-E4</t>
  </si>
  <si>
    <t>G-REQ-04781</t>
  </si>
  <si>
    <t>SYNTHETIC: Laptop repair; Completed; asset G-AST-00353</t>
  </si>
  <si>
    <t>G-REQ-01212-E1</t>
  </si>
  <si>
    <t>G-REQ-04782</t>
  </si>
  <si>
    <t>SYNTHETIC: Laptop allocation; Pending approval; asset G-AST-00456</t>
  </si>
  <si>
    <t>G-REQ-01212-E2</t>
  </si>
  <si>
    <t>G-REQ-04783</t>
  </si>
  <si>
    <t>SYNTHETIC: Laptop allocation; Approved; asset G-AST-00456</t>
  </si>
  <si>
    <t>G-REQ-01212-E3</t>
  </si>
  <si>
    <t>SYNTHETIC: Laptop allocation; In progress; asset G-AST-00456</t>
  </si>
  <si>
    <t>G-REQ-04784</t>
  </si>
  <si>
    <t>G-REQ-01212-E4</t>
  </si>
  <si>
    <t>SYNTHETIC: Laptop allocation; Completed; asset G-AST-00456</t>
  </si>
  <si>
    <t>G-REQ-04785</t>
  </si>
  <si>
    <t>G-REQ-01213-E1</t>
  </si>
  <si>
    <t>G-REQ-04786</t>
  </si>
  <si>
    <t>G-REQ-01213-E2</t>
  </si>
  <si>
    <t>G-REQ-01213-E3</t>
  </si>
  <si>
    <t>G-REQ-04787</t>
  </si>
  <si>
    <t>G-REQ-01213-E4</t>
  </si>
  <si>
    <t>G-REQ-04788</t>
  </si>
  <si>
    <t>G-REQ-01214-E1</t>
  </si>
  <si>
    <t>SYNTHETIC: Laptop allocation; Pending approval; asset G-AST-00457</t>
  </si>
  <si>
    <t>G-REQ-01214-E2</t>
  </si>
  <si>
    <t>G-REQ-04789</t>
  </si>
  <si>
    <t>SYNTHETIC: Laptop allocation; Approved; asset G-AST-00457</t>
  </si>
  <si>
    <t>G-REQ-01214-E3</t>
  </si>
  <si>
    <t>G-REQ-04790</t>
  </si>
  <si>
    <t>SYNTHETIC: Laptop allocation; In progress; asset G-AST-00457</t>
  </si>
  <si>
    <t>G-REQ-01214-E4</t>
  </si>
  <si>
    <t>G-REQ-04791</t>
  </si>
  <si>
    <t>SYNTHETIC: Laptop allocation; Completed; asset G-AST-00457</t>
  </si>
  <si>
    <t>G-REQ-01215-E1</t>
  </si>
  <si>
    <t>G-REQ-04792</t>
  </si>
  <si>
    <t>G-REQ-01215-E2</t>
  </si>
  <si>
    <t>G-REQ-04793</t>
  </si>
  <si>
    <t>G-REQ-01215-E3</t>
  </si>
  <si>
    <t>G-REQ-04794</t>
  </si>
  <si>
    <t>G-REQ-01215-E4</t>
  </si>
  <si>
    <t>G-REQ-01216-E1</t>
  </si>
  <si>
    <t>G-REQ-04795</t>
  </si>
  <si>
    <t>SYNTHETIC: Laptop allocation; Pending approval; asset G-AST-00458</t>
  </si>
  <si>
    <t>G-REQ-01216-E2</t>
  </si>
  <si>
    <t>G-REQ-04796</t>
  </si>
  <si>
    <t>SYNTHETIC: Laptop allocation; Approved; asset G-AST-00458</t>
  </si>
  <si>
    <t>G-REQ-01216-E3</t>
  </si>
  <si>
    <t>G-REQ-04797</t>
  </si>
  <si>
    <t>SYNTHETIC: Laptop allocation; In progress; asset G-AST-00458</t>
  </si>
  <si>
    <t>G-REQ-01216-E4</t>
  </si>
  <si>
    <t>G-REQ-04798</t>
  </si>
  <si>
    <t>SYNTHETIC: Laptop allocation; Completed; asset G-AST-00458</t>
  </si>
  <si>
    <t>G-REQ-01217-E1</t>
  </si>
  <si>
    <t>SYNTHETIC: Laptop return; Pending approval; asset G-AST-00174</t>
  </si>
  <si>
    <t>G-REQ-04799</t>
  </si>
  <si>
    <t>G-REQ-01217-E2</t>
  </si>
  <si>
    <t>SYNTHETIC: Laptop return; Approved; asset G-AST-00174</t>
  </si>
  <si>
    <t>G-REQ-01217-E3</t>
  </si>
  <si>
    <t>G-REQ-04800</t>
  </si>
  <si>
    <t>SYNTHETIC: Laptop return; In progress; asset G-AST-00174</t>
  </si>
  <si>
    <t>G-REQ-01217-E4</t>
  </si>
  <si>
    <t>G-REQ-04801</t>
  </si>
  <si>
    <t>SYNTHETIC: Laptop return; Completed; asset G-AST-00174</t>
  </si>
  <si>
    <t>G-REQ-01218-E1</t>
  </si>
  <si>
    <t>SYNTHETIC: Laptop return; Pending approval; asset G-AST-00442</t>
  </si>
  <si>
    <t>G-REQ-01218-E2</t>
  </si>
  <si>
    <t>G-REQ-04802</t>
  </si>
  <si>
    <t>SYNTHETIC: Laptop return; Approved; asset G-AST-00442</t>
  </si>
  <si>
    <t>G-REQ-01218-E3</t>
  </si>
  <si>
    <t>G-REQ-04803</t>
  </si>
  <si>
    <t>SYNTHETIC: Laptop return; In progress; asset G-AST-00442</t>
  </si>
  <si>
    <t>G-REQ-01218-E4</t>
  </si>
  <si>
    <t>G-REQ-04804</t>
  </si>
  <si>
    <t>SYNTHETIC: Laptop return; Completed; asset G-AST-00442</t>
  </si>
  <si>
    <t>G-REQ-01219-E1</t>
  </si>
  <si>
    <t>G-REQ-04805</t>
  </si>
  <si>
    <t>SYNTHETIC: Laptop allocation; Pending approval; asset G-AST-00459</t>
  </si>
  <si>
    <t>G-REQ-01219-E2</t>
  </si>
  <si>
    <t>SYNTHETIC: Laptop allocation; Approved; asset G-AST-00459</t>
  </si>
  <si>
    <t>G-REQ-01219-E3</t>
  </si>
  <si>
    <t>G-REQ-04806</t>
  </si>
  <si>
    <t>SYNTHETIC: Laptop allocation; In progress; asset G-AST-00459</t>
  </si>
  <si>
    <t>G-REQ-01219-E4</t>
  </si>
  <si>
    <t>G-REQ-04807</t>
  </si>
  <si>
    <t>SYNTHETIC: Laptop allocation; Completed; asset G-AST-00459</t>
  </si>
  <si>
    <t>G-REQ-01220-E1</t>
  </si>
  <si>
    <t>G-REQ-04808</t>
  </si>
  <si>
    <t>SYNTHETIC: Laptop repair; Pending approval; asset G-AST-00246</t>
  </si>
  <si>
    <t>G-REQ-01220-E2</t>
  </si>
  <si>
    <t>SYNTHETIC: Laptop repair; Approved; asset G-AST-00246</t>
  </si>
  <si>
    <t>G-REQ-04809</t>
  </si>
  <si>
    <t>G-REQ-01220-E3</t>
  </si>
  <si>
    <t>SYNTHETIC: Laptop repair; In progress; asset G-AST-00246</t>
  </si>
  <si>
    <t>G-REQ-01220-E4</t>
  </si>
  <si>
    <t>G-REQ-04810</t>
  </si>
  <si>
    <t>SYNTHETIC: Laptop repair; Completed; asset G-AST-00246</t>
  </si>
  <si>
    <t>G-REQ-01221-E1</t>
  </si>
  <si>
    <t>G-REQ-04811</t>
  </si>
  <si>
    <t>SYNTHETIC: Laptop allocation; Pending approval; asset G-AST-00460</t>
  </si>
  <si>
    <t>G-REQ-01221-E2</t>
  </si>
  <si>
    <t>SYNTHETIC: Laptop allocation; Approved; asset G-AST-00460</t>
  </si>
  <si>
    <t>G-REQ-04812</t>
  </si>
  <si>
    <t>G-REQ-01221-E3</t>
  </si>
  <si>
    <t>SYNTHETIC: Laptop allocation; In progress; asset G-AST-00460</t>
  </si>
  <si>
    <t>G-REQ-01221-E4</t>
  </si>
  <si>
    <t>G-REQ-04813</t>
  </si>
  <si>
    <t>SYNTHETIC: Laptop allocation; Completed; asset G-AST-00460</t>
  </si>
  <si>
    <t>G-REQ-01222-E1</t>
  </si>
  <si>
    <t>G-REQ-04814</t>
  </si>
  <si>
    <t>SYNTHETIC: Laptop allocation; Pending approval; asset G-AST-00461</t>
  </si>
  <si>
    <t>G-REQ-01222-E2</t>
  </si>
  <si>
    <t>G-REQ-04815</t>
  </si>
  <si>
    <t>SYNTHETIC: Laptop allocation; Approved; asset G-AST-00461</t>
  </si>
  <si>
    <t>G-REQ-01222-E3</t>
  </si>
  <si>
    <t>SYNTHETIC: Laptop allocation; In progress; asset G-AST-00461</t>
  </si>
  <si>
    <t>G-REQ-01222-E4</t>
  </si>
  <si>
    <t>G-REQ-04816</t>
  </si>
  <si>
    <t>SYNTHETIC: Laptop allocation; Completed; asset G-AST-00461</t>
  </si>
  <si>
    <t>G-REQ-01223-E1</t>
  </si>
  <si>
    <t>G-REQ-04817</t>
  </si>
  <si>
    <t>SYNTHETIC: Laptop allocation; Pending approval; asset G-AST-00462</t>
  </si>
  <si>
    <t>G-REQ-01223-E2</t>
  </si>
  <si>
    <t>G-REQ-04818</t>
  </si>
  <si>
    <t>SYNTHETIC: Laptop allocation; Approved; asset G-AST-00462</t>
  </si>
  <si>
    <t>G-REQ-01223-E3</t>
  </si>
  <si>
    <t>G-REQ-04819</t>
  </si>
  <si>
    <t>SYNTHETIC: Laptop allocation; In progress; asset G-AST-00462</t>
  </si>
  <si>
    <t>G-REQ-01223-E4</t>
  </si>
  <si>
    <t>SYNTHETIC: Laptop allocation; Completed; asset G-AST-00462</t>
  </si>
  <si>
    <t>G-REQ-04820</t>
  </si>
  <si>
    <t>G-REQ-01224-E1</t>
  </si>
  <si>
    <t>SYNTHETIC: Laptop repair; Pending approval; asset G-AST-00378</t>
  </si>
  <si>
    <t>G-REQ-01224-E2</t>
  </si>
  <si>
    <t>G-REQ-04821</t>
  </si>
  <si>
    <t>SYNTHETIC: Laptop repair; Approved; asset G-AST-00378</t>
  </si>
  <si>
    <t>G-REQ-01224-E3</t>
  </si>
  <si>
    <t>G-REQ-04822</t>
  </si>
  <si>
    <t>SYNTHETIC: Laptop repair; In progress; asset G-AST-00378</t>
  </si>
  <si>
    <t>G-REQ-01224-E4</t>
  </si>
  <si>
    <t>G-REQ-04823</t>
  </si>
  <si>
    <t>SYNTHETIC: Laptop repair; Completed; asset G-AST-00378</t>
  </si>
  <si>
    <t>G-REQ-01225-E1</t>
  </si>
  <si>
    <t>SYNTHETIC: Laptop repair; Pending approval; asset G-AST-00440</t>
  </si>
  <si>
    <t>G-REQ-01225-E2</t>
  </si>
  <si>
    <t>G-REQ-04824</t>
  </si>
  <si>
    <t>SYNTHETIC: Laptop repair; Approved; asset G-AST-00440</t>
  </si>
  <si>
    <t>G-REQ-01225-E3</t>
  </si>
  <si>
    <t>G-REQ-04825</t>
  </si>
  <si>
    <t>SYNTHETIC: Laptop repair; In progress; asset G-AST-00440</t>
  </si>
  <si>
    <t>G-REQ-01225-E4</t>
  </si>
  <si>
    <t>G-REQ-04826</t>
  </si>
  <si>
    <t>SYNTHETIC: Laptop repair; Completed; asset G-AST-00440</t>
  </si>
  <si>
    <t>G-REQ-01226-E1</t>
  </si>
  <si>
    <t>G-REQ-04827</t>
  </si>
  <si>
    <t>SYNTHETIC: Laptop allocation; Pending approval; asset G-AST-00463</t>
  </si>
  <si>
    <t>G-REQ-01226-E2</t>
  </si>
  <si>
    <t>SYNTHETIC: Laptop allocation; Approved; asset G-AST-00463</t>
  </si>
  <si>
    <t>G-REQ-04828</t>
  </si>
  <si>
    <t>G-REQ-01226-E3</t>
  </si>
  <si>
    <t>SYNTHETIC: Laptop allocation; In progress; asset G-AST-00463</t>
  </si>
  <si>
    <t>G-REQ-01226-E4</t>
  </si>
  <si>
    <t>G-REQ-04829</t>
  </si>
  <si>
    <t>SYNTHETIC: Laptop allocation; Completed; asset G-AST-00463</t>
  </si>
  <si>
    <t>G-REQ-01227-E1</t>
  </si>
  <si>
    <t>G-REQ-04830</t>
  </si>
  <si>
    <t>G-REQ-01227-E2</t>
  </si>
  <si>
    <t>G-REQ-04831</t>
  </si>
  <si>
    <t>G-REQ-01227-E3</t>
  </si>
  <si>
    <t>G-REQ-04832</t>
  </si>
  <si>
    <t>G-REQ-01227-E4</t>
  </si>
  <si>
    <t>G-REQ-04833</t>
  </si>
  <si>
    <t>G-REQ-01228-E1</t>
  </si>
  <si>
    <t>SYNTHETIC: Laptop allocation; Pending approval; asset G-AST-00464</t>
  </si>
  <si>
    <t>G-REQ-01228-E2</t>
  </si>
  <si>
    <t>G-REQ-04834</t>
  </si>
  <si>
    <t>SYNTHETIC: Laptop allocation; Approved; asset G-AST-00464</t>
  </si>
  <si>
    <t>G-REQ-01228-E3</t>
  </si>
  <si>
    <t>G-REQ-04835</t>
  </si>
  <si>
    <t>SYNTHETIC: Laptop allocation; In progress; asset G-AST-00464</t>
  </si>
  <si>
    <t>G-REQ-01228-E4</t>
  </si>
  <si>
    <t>G-REQ-04836</t>
  </si>
  <si>
    <t>SYNTHETIC: Laptop allocation; Completed; asset G-AST-00464</t>
  </si>
  <si>
    <t>G-REQ-01229-E1</t>
  </si>
  <si>
    <t>G-REQ-04837</t>
  </si>
  <si>
    <t>G-REQ-01229-E2</t>
  </si>
  <si>
    <t>G-REQ-04838</t>
  </si>
  <si>
    <t>SYNTHETIC: Laptop return; Approved; asset G-AST-00231</t>
  </si>
  <si>
    <t>G-REQ-01229-E3</t>
  </si>
  <si>
    <t>SYNTHETIC: Laptop return; In progress; asset G-AST-00231</t>
  </si>
  <si>
    <t>G-REQ-04839</t>
  </si>
  <si>
    <t>G-REQ-01229-E4</t>
  </si>
  <si>
    <t>SYNTHETIC: Laptop return; Completed; asset G-AST-00231</t>
  </si>
  <si>
    <t>G-REQ-04840</t>
  </si>
  <si>
    <t>G-REQ-01230-E1</t>
  </si>
  <si>
    <t>SYNTHETIC: Laptop repair; Pending approval; asset G-AST-00432</t>
  </si>
  <si>
    <t>G-REQ-01230-E2</t>
  </si>
  <si>
    <t>G-REQ-04841</t>
  </si>
  <si>
    <t>SYNTHETIC: Laptop repair; Approved; asset G-AST-00432</t>
  </si>
  <si>
    <t>G-REQ-01230-E3</t>
  </si>
  <si>
    <t>G-REQ-04842</t>
  </si>
  <si>
    <t>SYNTHETIC: Laptop repair; In progress; asset G-AST-00432</t>
  </si>
  <si>
    <t>G-REQ-01230-E4</t>
  </si>
  <si>
    <t>G-REQ-04843</t>
  </si>
  <si>
    <t>SYNTHETIC: Laptop repair; Completed; asset G-AST-00432</t>
  </si>
  <si>
    <t>G-REQ-01231-E1</t>
  </si>
  <si>
    <t>G-REQ-04844</t>
  </si>
  <si>
    <t>SYNTHETIC: Laptop return; Pending approval; asset G-AST-00402</t>
  </si>
  <si>
    <t>G-REQ-01231-E2</t>
  </si>
  <si>
    <t>SYNTHETIC: Laptop return; Approved; asset G-AST-00402</t>
  </si>
  <si>
    <t>G-REQ-04845</t>
  </si>
  <si>
    <t>G-REQ-01231-E3</t>
  </si>
  <si>
    <t>SYNTHETIC: Laptop return; In progress; asset G-AST-00402</t>
  </si>
  <si>
    <t>G-REQ-01231-E4</t>
  </si>
  <si>
    <t>G-REQ-04846</t>
  </si>
  <si>
    <t>SYNTHETIC: Laptop return; Completed; asset G-AST-00402</t>
  </si>
  <si>
    <t>G-REQ-01232-E1</t>
  </si>
  <si>
    <t>G-REQ-04847</t>
  </si>
  <si>
    <t>G-REQ-01232-E2</t>
  </si>
  <si>
    <t>G-REQ-04848</t>
  </si>
  <si>
    <t>G-REQ-01232-E3</t>
  </si>
  <si>
    <t>G-REQ-04849</t>
  </si>
  <si>
    <t>G-REQ-01232-E4</t>
  </si>
  <si>
    <t>G-REQ-01233-E1</t>
  </si>
  <si>
    <t>G-REQ-04850</t>
  </si>
  <si>
    <t>SYNTHETIC: Laptop allocation; Pending approval; asset G-AST-00465</t>
  </si>
  <si>
    <t>G-REQ-01233-E2</t>
  </si>
  <si>
    <t>G-REQ-04851</t>
  </si>
  <si>
    <t>SYNTHETIC: Laptop allocation; Approved; asset G-AST-00465</t>
  </si>
  <si>
    <t>G-REQ-01233-E3</t>
  </si>
  <si>
    <t>G-REQ-04852</t>
  </si>
  <si>
    <t>SYNTHETIC: Laptop allocation; In progress; asset G-AST-00465</t>
  </si>
  <si>
    <t>G-REQ-01233-E4</t>
  </si>
  <si>
    <t>SYNTHETIC: Laptop allocation; Completed; asset G-AST-00465</t>
  </si>
  <si>
    <t>G-REQ-01234-E1</t>
  </si>
  <si>
    <t>G-REQ-04853</t>
  </si>
  <si>
    <t>SYNTHETIC: Laptop repair; Pending approval; asset G-AST-00418</t>
  </si>
  <si>
    <t>G-REQ-01234-E2</t>
  </si>
  <si>
    <t>G-REQ-04854</t>
  </si>
  <si>
    <t>SYNTHETIC: Laptop repair; Approved; asset G-AST-00418</t>
  </si>
  <si>
    <t>G-REQ-01234-E3</t>
  </si>
  <si>
    <t>G-REQ-04855</t>
  </si>
  <si>
    <t>SYNTHETIC: Laptop repair; In progress; asset G-AST-00418</t>
  </si>
  <si>
    <t>G-REQ-01234-E4</t>
  </si>
  <si>
    <t>SYNTHETIC: Laptop repair; Completed; asset G-AST-00418</t>
  </si>
  <si>
    <t>G-REQ-04856</t>
  </si>
  <si>
    <t>G-REQ-01235-E1</t>
  </si>
  <si>
    <t>SYNTHETIC: Laptop allocation; Pending approval; asset G-AST-00466</t>
  </si>
  <si>
    <t>G-REQ-01235-E2</t>
  </si>
  <si>
    <t>G-REQ-04857</t>
  </si>
  <si>
    <t>SYNTHETIC: Laptop allocation; Approved; asset G-AST-00466</t>
  </si>
  <si>
    <t>G-REQ-01235-E3</t>
  </si>
  <si>
    <t>G-REQ-04858</t>
  </si>
  <si>
    <t>SYNTHETIC: Laptop allocation; In progress; asset G-AST-00466</t>
  </si>
  <si>
    <t>G-REQ-01235-E4</t>
  </si>
  <si>
    <t>G-REQ-04859</t>
  </si>
  <si>
    <t>SYNTHETIC: Laptop allocation; Completed; asset G-AST-00466</t>
  </si>
  <si>
    <t>G-REQ-01236-E1</t>
  </si>
  <si>
    <t>G-REQ-04860</t>
  </si>
  <si>
    <t>G-REQ-01236-E2</t>
  </si>
  <si>
    <t>G-REQ-01236-E3</t>
  </si>
  <si>
    <t>G-REQ-04861</t>
  </si>
  <si>
    <t>G-REQ-01236-E4</t>
  </si>
  <si>
    <t>G-REQ-04862</t>
  </si>
  <si>
    <t>G-REQ-01237-E1</t>
  </si>
  <si>
    <t>G-REQ-04863</t>
  </si>
  <si>
    <t>G-REQ-01237-E2</t>
  </si>
  <si>
    <t>G-REQ-04864</t>
  </si>
  <si>
    <t>G-REQ-01237-E3</t>
  </si>
  <si>
    <t>G-REQ-04865</t>
  </si>
  <si>
    <t>G-REQ-01237-E4</t>
  </si>
  <si>
    <t>G-REQ-04866</t>
  </si>
  <si>
    <t>G-REQ-01238-E1</t>
  </si>
  <si>
    <t>G-REQ-04867</t>
  </si>
  <si>
    <t>G-REQ-01238-E2</t>
  </si>
  <si>
    <t>G-REQ-04868</t>
  </si>
  <si>
    <t>G-REQ-01238-E3</t>
  </si>
  <si>
    <t>G-REQ-01238-E4</t>
  </si>
  <si>
    <t>G-REQ-04869</t>
  </si>
  <si>
    <t>G-REQ-01239-E1</t>
  </si>
  <si>
    <t>G-REQ-04870</t>
  </si>
  <si>
    <t>SYNTHETIC: Laptop return; Pending approval; asset G-AST-00383</t>
  </si>
  <si>
    <t>G-REQ-01239-E2</t>
  </si>
  <si>
    <t>G-REQ-04871</t>
  </si>
  <si>
    <t>SYNTHETIC: Laptop return; Approved; asset G-AST-00383</t>
  </si>
  <si>
    <t>G-REQ-01239-E3</t>
  </si>
  <si>
    <t>SYNTHETIC: Laptop return; In progress; asset G-AST-00383</t>
  </si>
  <si>
    <t>G-REQ-04872</t>
  </si>
  <si>
    <t>G-REQ-01239-E4</t>
  </si>
  <si>
    <t>SYNTHETIC: Laptop return; Completed; asset G-AST-00383</t>
  </si>
  <si>
    <t>G-REQ-01240-E1</t>
  </si>
  <si>
    <t>G-REQ-04873</t>
  </si>
  <si>
    <t>G-REQ-01240-E2</t>
  </si>
  <si>
    <t>G-REQ-04874</t>
  </si>
  <si>
    <t>G-REQ-01240-E3</t>
  </si>
  <si>
    <t>G-REQ-04875</t>
  </si>
  <si>
    <t>G-REQ-01240-E4</t>
  </si>
  <si>
    <t>G-REQ-01241-E1</t>
  </si>
  <si>
    <t>G-REQ-04876</t>
  </si>
  <si>
    <t>SYNTHETIC: Laptop allocation; Pending approval; asset G-AST-00467</t>
  </si>
  <si>
    <t>G-REQ-01241-E2</t>
  </si>
  <si>
    <t>G-REQ-04877</t>
  </si>
  <si>
    <t>SYNTHETIC: Laptop allocation; Approved; asset G-AST-00467</t>
  </si>
  <si>
    <t>G-REQ-01241-E3</t>
  </si>
  <si>
    <t>G-REQ-04878</t>
  </si>
  <si>
    <t>SYNTHETIC: Laptop allocation; In progress; asset G-AST-00467</t>
  </si>
  <si>
    <t>G-REQ-01241-E4</t>
  </si>
  <si>
    <t>G-REQ-04879</t>
  </si>
  <si>
    <t>SYNTHETIC: Laptop allocation; Completed; asset G-AST-00467</t>
  </si>
  <si>
    <t>G-REQ-01242-E1</t>
  </si>
  <si>
    <t>G-REQ-04880</t>
  </si>
  <si>
    <t>SYNTHETIC: Laptop repair; Pending approval; asset G-AST-00450</t>
  </si>
  <si>
    <t>G-REQ-01242-E2</t>
  </si>
  <si>
    <t>G-REQ-04881</t>
  </si>
  <si>
    <t>SYNTHETIC: Laptop repair; Approved; asset G-AST-00450</t>
  </si>
  <si>
    <t>G-REQ-01242-E3</t>
  </si>
  <si>
    <t>SYNTHETIC: Laptop repair; In progress; asset G-AST-00450</t>
  </si>
  <si>
    <t>G-REQ-04882</t>
  </si>
  <si>
    <t>G-REQ-01242-E4</t>
  </si>
  <si>
    <t>SYNTHETIC: Laptop repair; Completed; asset G-AST-00450</t>
  </si>
  <si>
    <t>G-REQ-01243-E1</t>
  </si>
  <si>
    <t>G-REQ-04883</t>
  </si>
  <si>
    <t>SYNTHETIC: Laptop allocation; Pending approval; asset G-AST-00468</t>
  </si>
  <si>
    <t>G-REQ-01243-E2</t>
  </si>
  <si>
    <t>G-REQ-04884</t>
  </si>
  <si>
    <t>SYNTHETIC: Laptop allocation; Approved; asset G-AST-00468</t>
  </si>
  <si>
    <t>G-REQ-01243-E3</t>
  </si>
  <si>
    <t>G-REQ-04885</t>
  </si>
  <si>
    <t>SYNTHETIC: Laptop allocation; In progress; asset G-AST-00468</t>
  </si>
  <si>
    <t>G-REQ-01243-E4</t>
  </si>
  <si>
    <t>G-REQ-04886</t>
  </si>
  <si>
    <t>SYNTHETIC: Laptop allocation; Completed; asset G-AST-00468</t>
  </si>
  <si>
    <t>G-REQ-01244-E1</t>
  </si>
  <si>
    <t>G-REQ-04887</t>
  </si>
  <si>
    <t>SYNTHETIC: Laptop return; Pending approval; asset G-AST-00446</t>
  </si>
  <si>
    <t>G-REQ-01244-E2</t>
  </si>
  <si>
    <t>SYNTHETIC: Laptop return; Approved; asset G-AST-00446</t>
  </si>
  <si>
    <t>G-REQ-04888</t>
  </si>
  <si>
    <t>G-REQ-01244-E3</t>
  </si>
  <si>
    <t>SYNTHETIC: Laptop return; In progress; asset G-AST-00446</t>
  </si>
  <si>
    <t>G-REQ-01244-E4</t>
  </si>
  <si>
    <t>G-REQ-04889</t>
  </si>
  <si>
    <t>SYNTHETIC: Laptop return; Completed; asset G-AST-00446</t>
  </si>
  <si>
    <t>G-REQ-01245-E1</t>
  </si>
  <si>
    <t>G-REQ-04890</t>
  </si>
  <si>
    <t>SYNTHETIC: Laptop repair; Pending approval; asset G-AST-00323</t>
  </si>
  <si>
    <t>G-REQ-01245-E2</t>
  </si>
  <si>
    <t>G-REQ-04891</t>
  </si>
  <si>
    <t>SYNTHETIC: Laptop repair; Approved; asset G-AST-00323</t>
  </si>
  <si>
    <t>G-REQ-01245-E3</t>
  </si>
  <si>
    <t>SYNTHETIC: Laptop repair; In progress; asset G-AST-00323</t>
  </si>
  <si>
    <t>G-REQ-01245-E4</t>
  </si>
  <si>
    <t>G-REQ-04892</t>
  </si>
  <si>
    <t>SYNTHETIC: Laptop repair; Completed; asset G-AST-00323</t>
  </si>
  <si>
    <t>G-REQ-01246-E1</t>
  </si>
  <si>
    <t>G-REQ-04893</t>
  </si>
  <si>
    <t>G-REQ-01246-E2</t>
  </si>
  <si>
    <t>G-REQ-04894</t>
  </si>
  <si>
    <t>SYNTHETIC: Laptop repair; Rejected; asset G-AST-00037</t>
  </si>
  <si>
    <t>G-REQ-01247-E1</t>
  </si>
  <si>
    <t>G-REQ-01247-E2</t>
  </si>
  <si>
    <t>G-REQ-04895</t>
  </si>
  <si>
    <t>G-REQ-01248-E1</t>
  </si>
  <si>
    <t>G-REQ-04896</t>
  </si>
  <si>
    <t>G-REQ-01248-E2</t>
  </si>
  <si>
    <t>G-REQ-04897</t>
  </si>
  <si>
    <t>G-REQ-01249-E1</t>
  </si>
  <si>
    <t>G-REQ-04898</t>
  </si>
  <si>
    <t>G-REQ-01249-E2</t>
  </si>
  <si>
    <t>G-REQ-04899</t>
  </si>
  <si>
    <t>G-REQ-01249-E3</t>
  </si>
  <si>
    <t>G-REQ-04900</t>
  </si>
  <si>
    <t>G-REQ-01249-E4</t>
  </si>
  <si>
    <t>G-REQ-01250-E1</t>
  </si>
  <si>
    <t>G-REQ-04901</t>
  </si>
  <si>
    <t>SYNTHETIC: Laptop return; Pending approval; asset G-AST-00295</t>
  </si>
  <si>
    <t>G-REQ-01250-E2</t>
  </si>
  <si>
    <t>G-REQ-04902</t>
  </si>
  <si>
    <t>SYNTHETIC: Laptop return; Approved; asset G-AST-00295</t>
  </si>
  <si>
    <t>G-REQ-01250-E3</t>
  </si>
  <si>
    <t>G-REQ-04903</t>
  </si>
  <si>
    <t>SYNTHETIC: Laptop return; In progress; asset G-AST-00295</t>
  </si>
  <si>
    <t>G-REQ-01250-E4</t>
  </si>
  <si>
    <t>SYNTHETIC: Laptop return; Completed; asset G-AST-00295</t>
  </si>
  <si>
    <t>G-REQ-04904</t>
  </si>
  <si>
    <t>G-REQ-01251-E1</t>
  </si>
  <si>
    <t>G-REQ-04905</t>
  </si>
  <si>
    <t>G-REQ-04906</t>
  </si>
  <si>
    <t>SYNTHETIC: Laptop allocation; Pending approval; asset G-AST-00469</t>
  </si>
  <si>
    <t>G-REQ-01251-E2</t>
  </si>
  <si>
    <t>G-REQ-04907</t>
  </si>
  <si>
    <t>SYNTHETIC: Laptop allocation; Approved; asset G-AST-00469</t>
  </si>
  <si>
    <t>G-REQ-01251-E3</t>
  </si>
  <si>
    <t>SYNTHETIC: Laptop allocation; In progress; asset G-AST-00469</t>
  </si>
  <si>
    <t>G-REQ-04908</t>
  </si>
  <si>
    <t>G-REQ-01251-E4</t>
  </si>
  <si>
    <t>SYNTHETIC: Laptop allocation; Completed; asset G-AST-00469</t>
  </si>
  <si>
    <t>G-REQ-01252-E1</t>
  </si>
  <si>
    <t>G-REQ-04909</t>
  </si>
  <si>
    <t>SYNTHETIC: Laptop allocation; Pending approval; asset G-AST-00470</t>
  </si>
  <si>
    <t>G-REQ-01252-E2</t>
  </si>
  <si>
    <t>G-REQ-04910</t>
  </si>
  <si>
    <t>SYNTHETIC: Laptop allocation; Approved; asset G-AST-00470</t>
  </si>
  <si>
    <t>G-REQ-01252-E3</t>
  </si>
  <si>
    <t>G-REQ-04911</t>
  </si>
  <si>
    <t>SYNTHETIC: Laptop allocation; In progress; asset G-AST-00470</t>
  </si>
  <si>
    <t>G-REQ-01252-E4</t>
  </si>
  <si>
    <t>SYNTHETIC: Laptop allocation; Completed; asset G-AST-00470</t>
  </si>
  <si>
    <t>G-REQ-04912</t>
  </si>
  <si>
    <t>G-REQ-01253-E1</t>
  </si>
  <si>
    <t>SYNTHETIC: Laptop repair; Pending approval; asset G-AST-00457</t>
  </si>
  <si>
    <t>G-REQ-01253-E2</t>
  </si>
  <si>
    <t>SYNTHETIC: Laptop repair; Approved; asset G-AST-00457</t>
  </si>
  <si>
    <t>G-REQ-01253-E3</t>
  </si>
  <si>
    <t>SYNTHETIC: Laptop repair; In progress; asset G-AST-00457</t>
  </si>
  <si>
    <t>G-REQ-04913</t>
  </si>
  <si>
    <t>G-REQ-01253-E4</t>
  </si>
  <si>
    <t>SYNTHETIC: Laptop repair; Completed; asset G-AST-00457</t>
  </si>
  <si>
    <t>G-REQ-04914</t>
  </si>
  <si>
    <t>G-REQ-01254-E1</t>
  </si>
  <si>
    <t>SYNTHETIC: Laptop repair; Pending approval; asset G-AST-00451</t>
  </si>
  <si>
    <t>G-REQ-01254-E2</t>
  </si>
  <si>
    <t>G-REQ-04915</t>
  </si>
  <si>
    <t>SYNTHETIC: Laptop repair; Approved; asset G-AST-00451</t>
  </si>
  <si>
    <t>G-REQ-01254-E3</t>
  </si>
  <si>
    <t>G-REQ-04916</t>
  </si>
  <si>
    <t>SYNTHETIC: Laptop repair; In progress; asset G-AST-00451</t>
  </si>
  <si>
    <t>G-REQ-01254-E4</t>
  </si>
  <si>
    <t>G-REQ-04917</t>
  </si>
  <si>
    <t>SYNTHETIC: Laptop repair; Completed; asset G-AST-00451</t>
  </si>
  <si>
    <t>G-REQ-01255-E1</t>
  </si>
  <si>
    <t>G-REQ-04918</t>
  </si>
  <si>
    <t>G-REQ-01255-E2</t>
  </si>
  <si>
    <t>G-REQ-04919</t>
  </si>
  <si>
    <t>G-REQ-01255-E3</t>
  </si>
  <si>
    <t>G-REQ-04920</t>
  </si>
  <si>
    <t>G-REQ-01255-E4</t>
  </si>
  <si>
    <t>G-REQ-04921</t>
  </si>
  <si>
    <t>G-REQ-01256-E1</t>
  </si>
  <si>
    <t>SYNTHETIC: Laptop allocation; Pending approval; asset G-AST-00471</t>
  </si>
  <si>
    <t>G-REQ-04922</t>
  </si>
  <si>
    <t>G-REQ-01256-E2</t>
  </si>
  <si>
    <t>SYNTHETIC: Laptop allocation; Approved; asset G-AST-00471</t>
  </si>
  <si>
    <t>G-REQ-01256-E3</t>
  </si>
  <si>
    <t>SYNTHETIC: Laptop allocation; In progress; asset G-AST-00471</t>
  </si>
  <si>
    <t>G-REQ-01256-E4</t>
  </si>
  <si>
    <t>G-REQ-04923</t>
  </si>
  <si>
    <t>SYNTHETIC: Laptop allocation; Completed; asset G-AST-00471</t>
  </si>
  <si>
    <t>G-REQ-01257-E1</t>
  </si>
  <si>
    <t>G-REQ-04924</t>
  </si>
  <si>
    <t>SYNTHETIC: Laptop repair; Pending approval; asset G-AST-00256</t>
  </si>
  <si>
    <t>G-REQ-01257-E2</t>
  </si>
  <si>
    <t>G-REQ-04925</t>
  </si>
  <si>
    <t>SYNTHETIC: Laptop repair; Approved; asset G-AST-00256</t>
  </si>
  <si>
    <t>G-REQ-01257-E3</t>
  </si>
  <si>
    <t>G-REQ-04926</t>
  </si>
  <si>
    <t>SYNTHETIC: Laptop repair; In progress; asset G-AST-00256</t>
  </si>
  <si>
    <t>G-REQ-01257-E4</t>
  </si>
  <si>
    <t>G-REQ-04927</t>
  </si>
  <si>
    <t>SYNTHETIC: Laptop repair; Completed; asset G-AST-00256</t>
  </si>
  <si>
    <t>G-REQ-01258-E1</t>
  </si>
  <si>
    <t>SYNTHETIC: Laptop repair; Pending approval; asset G-AST-00445</t>
  </si>
  <si>
    <t>G-REQ-04928</t>
  </si>
  <si>
    <t>G-REQ-01258-E2</t>
  </si>
  <si>
    <t>SYNTHETIC: Laptop repair; Approved; asset G-AST-00445</t>
  </si>
  <si>
    <t>G-REQ-01258-E3</t>
  </si>
  <si>
    <t>G-REQ-04929</t>
  </si>
  <si>
    <t>SYNTHETIC: Laptop repair; In progress; asset G-AST-00445</t>
  </si>
  <si>
    <t>G-REQ-01258-E4</t>
  </si>
  <si>
    <t>G-REQ-04930</t>
  </si>
  <si>
    <t>SYNTHETIC: Laptop repair; Completed; asset G-AST-00445</t>
  </si>
  <si>
    <t>G-REQ-01259-E1</t>
  </si>
  <si>
    <t>G-REQ-04931</t>
  </si>
  <si>
    <t>SYNTHETIC: Laptop return; Pending approval; asset G-AST-00008</t>
  </si>
  <si>
    <t>G-REQ-01259-E2</t>
  </si>
  <si>
    <t>G-REQ-04932</t>
  </si>
  <si>
    <t>SYNTHETIC: Laptop return; Approved; asset G-AST-00008</t>
  </si>
  <si>
    <t>G-REQ-01259-E3</t>
  </si>
  <si>
    <t>SYNTHETIC: Laptop return; In progress; asset G-AST-00008</t>
  </si>
  <si>
    <t>G-REQ-01259-E4</t>
  </si>
  <si>
    <t>G-REQ-04933</t>
  </si>
  <si>
    <t>SYNTHETIC: Laptop return; Completed; asset G-AST-00008</t>
  </si>
  <si>
    <t>G-REQ-01260-E1</t>
  </si>
  <si>
    <t>G-REQ-04934</t>
  </si>
  <si>
    <t>G-REQ-01260-E2</t>
  </si>
  <si>
    <t>G-REQ-04935</t>
  </si>
  <si>
    <t>G-REQ-01260-E3</t>
  </si>
  <si>
    <t>G-REQ-04936</t>
  </si>
  <si>
    <t>G-REQ-01260-E4</t>
  </si>
  <si>
    <t>G-REQ-01261-E1</t>
  </si>
  <si>
    <t>G-REQ-04937</t>
  </si>
  <si>
    <t>G-REQ-01261-E2</t>
  </si>
  <si>
    <t>G-REQ-04938</t>
  </si>
  <si>
    <t>G-REQ-01261-E3</t>
  </si>
  <si>
    <t>G-REQ-04939</t>
  </si>
  <si>
    <t>G-REQ-01261-E4</t>
  </si>
  <si>
    <t>G-REQ-04940</t>
  </si>
  <si>
    <t>G-REQ-01262-E1</t>
  </si>
  <si>
    <t>G-REQ-04941</t>
  </si>
  <si>
    <t>G-REQ-01262-E2</t>
  </si>
  <si>
    <t>G-REQ-04942</t>
  </si>
  <si>
    <t>SYNTHETIC: Laptop return; Approved; asset G-AST-00060</t>
  </si>
  <si>
    <t>G-REQ-04943</t>
  </si>
  <si>
    <t>G-REQ-01262-E3</t>
  </si>
  <si>
    <t>SYNTHETIC: Laptop return; In progress; asset G-AST-00060</t>
  </si>
  <si>
    <t>G-REQ-01262-E4</t>
  </si>
  <si>
    <t>G-REQ-04944</t>
  </si>
  <si>
    <t>SYNTHETIC: Laptop return; Completed; asset G-AST-00060</t>
  </si>
  <si>
    <t>G-REQ-01263-E1</t>
  </si>
  <si>
    <t>G-REQ-04945</t>
  </si>
  <si>
    <t>SYNTHETIC: Laptop repair; Pending approval; asset G-AST-00454</t>
  </si>
  <si>
    <t>G-REQ-01263-E2</t>
  </si>
  <si>
    <t>G-REQ-04946</t>
  </si>
  <si>
    <t>SYNTHETIC: Laptop repair; Approved; asset G-AST-00454</t>
  </si>
  <si>
    <t>G-REQ-01263-E3</t>
  </si>
  <si>
    <t>G-REQ-04947</t>
  </si>
  <si>
    <t>SYNTHETIC: Laptop repair; In progress; asset G-AST-00454</t>
  </si>
  <si>
    <t>G-REQ-01263-E4</t>
  </si>
  <si>
    <t>G-REQ-04948</t>
  </si>
  <si>
    <t>SYNTHETIC: Laptop repair; Completed; asset G-AST-00454</t>
  </si>
  <si>
    <t>G-REQ-04949</t>
  </si>
  <si>
    <t>G-REQ-01264-E1</t>
  </si>
  <si>
    <t>SYNTHETIC: Laptop allocation; Pending approval; asset G-AST-00472</t>
  </si>
  <si>
    <t>G-REQ-04950</t>
  </si>
  <si>
    <t>G-REQ-01264-E2</t>
  </si>
  <si>
    <t>SYNTHETIC: Laptop allocation; Approved; asset G-AST-00472</t>
  </si>
  <si>
    <t>G-REQ-01264-E3</t>
  </si>
  <si>
    <t>G-REQ-04951</t>
  </si>
  <si>
    <t>SYNTHETIC: Laptop allocation; In progress; asset G-AST-00472</t>
  </si>
  <si>
    <t>G-REQ-01264-E4</t>
  </si>
  <si>
    <t>G-REQ-04952</t>
  </si>
  <si>
    <t>SYNTHETIC: Laptop allocation; Completed; asset G-AST-00472</t>
  </si>
  <si>
    <t>G-REQ-01265-E1</t>
  </si>
  <si>
    <t>G-REQ-04953</t>
  </si>
  <si>
    <t>SYNTHETIC: Laptop return; Pending approval; asset G-AST-00407</t>
  </si>
  <si>
    <t>G-REQ-01265-E2</t>
  </si>
  <si>
    <t>SYNTHETIC: Laptop return; Approved; asset G-AST-00407</t>
  </si>
  <si>
    <t>G-REQ-04954</t>
  </si>
  <si>
    <t>G-REQ-01265-E3</t>
  </si>
  <si>
    <t>SYNTHETIC: Laptop return; In progress; asset G-AST-00407</t>
  </si>
  <si>
    <t>G-REQ-01265-E4</t>
  </si>
  <si>
    <t>G-REQ-04955</t>
  </si>
  <si>
    <t>SYNTHETIC: Laptop return; Completed; asset G-AST-00407</t>
  </si>
  <si>
    <t>G-REQ-01266-E1</t>
  </si>
  <si>
    <t>G-REQ-04956</t>
  </si>
  <si>
    <t>SYNTHETIC: Laptop return; Pending approval; asset G-AST-00450</t>
  </si>
  <si>
    <t>G-REQ-01266-E2</t>
  </si>
  <si>
    <t>G-REQ-04957</t>
  </si>
  <si>
    <t>SYNTHETIC: Laptop return; Rejected; asset G-AST-00450</t>
  </si>
  <si>
    <t>G-REQ-01267-E1</t>
  </si>
  <si>
    <t>G-REQ-04958</t>
  </si>
  <si>
    <t>G-REQ-01267-E2</t>
  </si>
  <si>
    <t>G-REQ-04959</t>
  </si>
  <si>
    <t>G-REQ-01267-E3</t>
  </si>
  <si>
    <t>G-REQ-01267-E4</t>
  </si>
  <si>
    <t>G-REQ-04960</t>
  </si>
  <si>
    <t>G-REQ-01268-E1</t>
  </si>
  <si>
    <t>G-REQ-04961</t>
  </si>
  <si>
    <t>SYNTHETIC: Laptop return; Pending approval; asset G-AST-00242</t>
  </si>
  <si>
    <t>G-REQ-01268-E2</t>
  </si>
  <si>
    <t>G-REQ-04962</t>
  </si>
  <si>
    <t>SYNTHETIC: Laptop return; Approved; asset G-AST-00242</t>
  </si>
  <si>
    <t>G-REQ-01268-E3</t>
  </si>
  <si>
    <t>G-REQ-04963</t>
  </si>
  <si>
    <t>SYNTHETIC: Laptop return; In progress; asset G-AST-00242</t>
  </si>
  <si>
    <t>G-REQ-01268-E4</t>
  </si>
  <si>
    <t>SYNTHETIC: Laptop return; Completed; asset G-AST-00242</t>
  </si>
  <si>
    <t>G-REQ-01269-E1</t>
  </si>
  <si>
    <t>G-REQ-04964</t>
  </si>
  <si>
    <t>G-REQ-01269-E2</t>
  </si>
  <si>
    <t>G-REQ-04965</t>
  </si>
  <si>
    <t>G-REQ-01269-E3</t>
  </si>
  <si>
    <t>G-REQ-04966</t>
  </si>
  <si>
    <t>G-REQ-01269-E4</t>
  </si>
  <si>
    <t>G-REQ-04967</t>
  </si>
  <si>
    <t>G-REQ-01270-E1</t>
  </si>
  <si>
    <t>G-REQ-04968</t>
  </si>
  <si>
    <t>SYNTHETIC: Laptop return; Pending approval; asset G-AST-00462</t>
  </si>
  <si>
    <t>G-REQ-01270-E2</t>
  </si>
  <si>
    <t>SYNTHETIC: Laptop return; Rejected; asset G-AST-00462</t>
  </si>
  <si>
    <t>G-REQ-01271-E1</t>
  </si>
  <si>
    <t>G-REQ-04969</t>
  </si>
  <si>
    <t>SYNTHETIC: Laptop allocation; Pending approval; asset G-AST-00473</t>
  </si>
  <si>
    <t>G-REQ-01271-E2</t>
  </si>
  <si>
    <t>G-REQ-04970</t>
  </si>
  <si>
    <t>SYNTHETIC: Laptop allocation; Approved; asset G-AST-00473</t>
  </si>
  <si>
    <t>G-REQ-01271-E3</t>
  </si>
  <si>
    <t>G-REQ-04971</t>
  </si>
  <si>
    <t>SYNTHETIC: Laptop allocation; In progress; asset G-AST-00473</t>
  </si>
  <si>
    <t>G-REQ-01271-E4</t>
  </si>
  <si>
    <t>SYNTHETIC: Laptop allocation; Completed; asset G-AST-00473</t>
  </si>
  <si>
    <t>G-REQ-04972</t>
  </si>
  <si>
    <t>G-REQ-01272-E1</t>
  </si>
  <si>
    <t>SYNTHETIC: Laptop return; Pending approval; asset G-AST-00436</t>
  </si>
  <si>
    <t>G-REQ-01272-E2</t>
  </si>
  <si>
    <t>G-REQ-04973</t>
  </si>
  <si>
    <t>SYNTHETIC: Laptop return; Approved; asset G-AST-00436</t>
  </si>
  <si>
    <t>G-REQ-01272-E3</t>
  </si>
  <si>
    <t>G-REQ-04974</t>
  </si>
  <si>
    <t>SYNTHETIC: Laptop return; In progress; asset G-AST-00436</t>
  </si>
  <si>
    <t>G-REQ-01272-E4</t>
  </si>
  <si>
    <t>G-REQ-04975</t>
  </si>
  <si>
    <t>SYNTHETIC: Laptop return; Completed; asset G-AST-00436</t>
  </si>
  <si>
    <t>G-REQ-01273-E1</t>
  </si>
  <si>
    <t>SYNTHETIC: Laptop allocation; Pending approval; asset G-AST-00474</t>
  </si>
  <si>
    <t>G-REQ-01273-E2</t>
  </si>
  <si>
    <t>G-REQ-04976</t>
  </si>
  <si>
    <t>SYNTHETIC: Laptop allocation; Approved; asset G-AST-00474</t>
  </si>
  <si>
    <t>G-REQ-01273-E3</t>
  </si>
  <si>
    <t>G-REQ-04977</t>
  </si>
  <si>
    <t>SYNTHETIC: Laptop allocation; In progress; asset G-AST-00474</t>
  </si>
  <si>
    <t>G-REQ-01273-E4</t>
  </si>
  <si>
    <t>G-REQ-04978</t>
  </si>
  <si>
    <t>SYNTHETIC: Laptop allocation; Completed; asset G-AST-00474</t>
  </si>
  <si>
    <t>G-REQ-01274-E1</t>
  </si>
  <si>
    <t>G-REQ-04979</t>
  </si>
  <si>
    <t>SYNTHETIC: Laptop return; Pending approval; asset G-AST-00357</t>
  </si>
  <si>
    <t>G-REQ-01274-E2</t>
  </si>
  <si>
    <t>SYNTHETIC: Laptop return; Approved; asset G-AST-00357</t>
  </si>
  <si>
    <t>G-REQ-04980</t>
  </si>
  <si>
    <t>G-REQ-01274-E3</t>
  </si>
  <si>
    <t>SYNTHETIC: Laptop return; In progress; asset G-AST-00357</t>
  </si>
  <si>
    <t>G-REQ-01274-E4</t>
  </si>
  <si>
    <t>G-REQ-04981</t>
  </si>
  <si>
    <t>SYNTHETIC: Laptop return; Completed; asset G-AST-00357</t>
  </si>
  <si>
    <t>G-REQ-01275-E1</t>
  </si>
  <si>
    <t>G-REQ-04982</t>
  </si>
  <si>
    <t>SYNTHETIC: Laptop repair; Pending approval; asset G-AST-00281</t>
  </si>
  <si>
    <t>G-REQ-01275-E2</t>
  </si>
  <si>
    <t>G-REQ-04983</t>
  </si>
  <si>
    <t>SYNTHETIC: Laptop repair; Approved; asset G-AST-00281</t>
  </si>
  <si>
    <t>G-REQ-01275-E3</t>
  </si>
  <si>
    <t>G-REQ-04984</t>
  </si>
  <si>
    <t>SYNTHETIC: Laptop repair; In progress; asset G-AST-00281</t>
  </si>
  <si>
    <t>G-REQ-01275-E4</t>
  </si>
  <si>
    <t>SYNTHETIC: Laptop repair; Completed; asset G-AST-00281</t>
  </si>
  <si>
    <t>G-REQ-04985</t>
  </si>
  <si>
    <t>G-REQ-01276-E1</t>
  </si>
  <si>
    <t>G-REQ-04986</t>
  </si>
  <si>
    <t>SYNTHETIC: Laptop return; Pending approval; asset G-AST-00370</t>
  </si>
  <si>
    <t>G-REQ-01276-E2</t>
  </si>
  <si>
    <t>SYNTHETIC: Laptop return; Approved; asset G-AST-00370</t>
  </si>
  <si>
    <t>G-REQ-04987</t>
  </si>
  <si>
    <t>G-REQ-01276-E3</t>
  </si>
  <si>
    <t>SYNTHETIC: Laptop return; In progress; asset G-AST-00370</t>
  </si>
  <si>
    <t>G-REQ-01276-E4</t>
  </si>
  <si>
    <t>G-REQ-04988</t>
  </si>
  <si>
    <t>SYNTHETIC: Laptop return; Completed; asset G-AST-00370</t>
  </si>
  <si>
    <t>G-REQ-01277-E1</t>
  </si>
  <si>
    <t>G-REQ-04989</t>
  </si>
  <si>
    <t>SYNTHETIC: Laptop return; Pending approval; asset G-AST-00390</t>
  </si>
  <si>
    <t>G-REQ-01277-E2</t>
  </si>
  <si>
    <t>SYNTHETIC: Laptop return; Approved; asset G-AST-00390</t>
  </si>
  <si>
    <t>G-REQ-04990</t>
  </si>
  <si>
    <t>G-REQ-01277-E3</t>
  </si>
  <si>
    <t>SYNTHETIC: Laptop return; In progress; asset G-AST-00390</t>
  </si>
  <si>
    <t>G-REQ-01277-E4</t>
  </si>
  <si>
    <t>G-REQ-04991</t>
  </si>
  <si>
    <t>SYNTHETIC: Laptop return; Completed; asset G-AST-00390</t>
  </si>
  <si>
    <t>G-REQ-01278-E1</t>
  </si>
  <si>
    <t>G-REQ-04992</t>
  </si>
  <si>
    <t>SYNTHETIC: Laptop repair; Pending approval; asset G-AST-00474</t>
  </si>
  <si>
    <t>G-REQ-01278-E2</t>
  </si>
  <si>
    <t>G-REQ-04993</t>
  </si>
  <si>
    <t>SYNTHETIC: Laptop repair; Rejected; asset G-AST-00474</t>
  </si>
  <si>
    <t>G-REQ-01279-E1</t>
  </si>
  <si>
    <t>G-REQ-04994</t>
  </si>
  <si>
    <t>G-REQ-01279-E2</t>
  </si>
  <si>
    <t>G-REQ-04995</t>
  </si>
  <si>
    <t>G-REQ-01279-E3</t>
  </si>
  <si>
    <t>G-REQ-01279-E4</t>
  </si>
  <si>
    <t>G-REQ-04996</t>
  </si>
  <si>
    <t>G-REQ-01280-E1</t>
  </si>
  <si>
    <t>G-REQ-04997</t>
  </si>
  <si>
    <t>SYNTHETIC: Laptop repair; Pending approval; asset G-AST-00358</t>
  </si>
  <si>
    <t>G-REQ-01280-E2</t>
  </si>
  <si>
    <t>G-REQ-04998</t>
  </si>
  <si>
    <t>SYNTHETIC: Laptop repair; Approved; asset G-AST-00358</t>
  </si>
  <si>
    <t>G-REQ-01280-E3</t>
  </si>
  <si>
    <t>G-REQ-04999</t>
  </si>
  <si>
    <t>SYNTHETIC: Laptop repair; In progress; asset G-AST-00358</t>
  </si>
  <si>
    <t>G-REQ-01280-E4</t>
  </si>
  <si>
    <t>G-REQ-05000</t>
  </si>
  <si>
    <t>SYNTHETIC: Laptop repair; Completed; asset G-AST-00358</t>
  </si>
  <si>
    <t>G-REQ-01281-E1</t>
  </si>
  <si>
    <t>G-REQ-05001</t>
  </si>
  <si>
    <t>SYNTHETIC: Laptop repair; Pending approval; asset G-AST-00462</t>
  </si>
  <si>
    <t>G-REQ-01281-E2</t>
  </si>
  <si>
    <t>SYNTHETIC: Laptop repair; Cancelled; asset G-AST-00462</t>
  </si>
  <si>
    <t>G-REQ-05002</t>
  </si>
  <si>
    <t>G-REQ-01282-E1</t>
  </si>
  <si>
    <t>SYNTHETIC: Laptop repair; Pending approval; asset G-AST-00453</t>
  </si>
  <si>
    <t>G-REQ-05003</t>
  </si>
  <si>
    <t>G-REQ-01282-E2</t>
  </si>
  <si>
    <t>SYNTHETIC: Laptop repair; Approved; asset G-AST-00453</t>
  </si>
  <si>
    <t>G-REQ-01282-E3</t>
  </si>
  <si>
    <t>G-REQ-05004</t>
  </si>
  <si>
    <t>SYNTHETIC: Laptop repair; In progress; asset G-AST-00453</t>
  </si>
  <si>
    <t>G-REQ-01282-E4</t>
  </si>
  <si>
    <t>G-REQ-05005</t>
  </si>
  <si>
    <t>SYNTHETIC: Laptop repair; Completed; asset G-AST-00453</t>
  </si>
  <si>
    <t>G-REQ-01283-E1</t>
  </si>
  <si>
    <t>G-REQ-05006</t>
  </si>
  <si>
    <t>G-REQ-01283-E2</t>
  </si>
  <si>
    <t>G-REQ-05007</t>
  </si>
  <si>
    <t>G-REQ-01283-E3</t>
  </si>
  <si>
    <t>G-REQ-05008</t>
  </si>
  <si>
    <t>G-REQ-01283-E4</t>
  </si>
  <si>
    <t>G-REQ-01284-E1</t>
  </si>
  <si>
    <t>G-REQ-05009</t>
  </si>
  <si>
    <t>G-REQ-01284-E2</t>
  </si>
  <si>
    <t>G-REQ-05010</t>
  </si>
  <si>
    <t>G-REQ-01285-E1</t>
  </si>
  <si>
    <t>G-REQ-05011</t>
  </si>
  <si>
    <t>SYNTHETIC: Laptop repair; Pending approval; asset G-AST-00386</t>
  </si>
  <si>
    <t>G-REQ-01285-E2</t>
  </si>
  <si>
    <t>G-REQ-05012</t>
  </si>
  <si>
    <t>SYNTHETIC: Laptop repair; Approved; asset G-AST-00386</t>
  </si>
  <si>
    <t>G-REQ-01285-E3</t>
  </si>
  <si>
    <t>SYNTHETIC: Laptop repair; In progress; asset G-AST-00386</t>
  </si>
  <si>
    <t>G-REQ-05013</t>
  </si>
  <si>
    <t>G-REQ-01285-E4</t>
  </si>
  <si>
    <t>SYNTHETIC: Laptop repair; Completed; asset G-AST-00386</t>
  </si>
  <si>
    <t>G-REQ-01286-E1</t>
  </si>
  <si>
    <t>G-REQ-05014</t>
  </si>
  <si>
    <t>SYNTHETIC: Laptop allocation; Pending approval; asset G-AST-00475</t>
  </si>
  <si>
    <t>G-REQ-01286-E2</t>
  </si>
  <si>
    <t>G-REQ-05015</t>
  </si>
  <si>
    <t>SYNTHETIC: Laptop allocation; Approved; asset G-AST-00475</t>
  </si>
  <si>
    <t>G-REQ-01286-E3</t>
  </si>
  <si>
    <t>G-REQ-05016</t>
  </si>
  <si>
    <t>SYNTHETIC: Laptop allocation; In progress; asset G-AST-00475</t>
  </si>
  <si>
    <t>G-REQ-01286-E4</t>
  </si>
  <si>
    <t>SYNTHETIC: Laptop allocation; Completed; asset G-AST-00475</t>
  </si>
  <si>
    <t>G-REQ-05017</t>
  </si>
  <si>
    <t>G-REQ-01287-E1</t>
  </si>
  <si>
    <t>SYNTHETIC: Laptop allocation; Pending approval; asset G-AST-00476</t>
  </si>
  <si>
    <t>G-REQ-05018</t>
  </si>
  <si>
    <t>G-REQ-01287-E2</t>
  </si>
  <si>
    <t>SYNTHETIC: Laptop allocation; Approved; asset G-AST-00476</t>
  </si>
  <si>
    <t>G-REQ-01287-E3</t>
  </si>
  <si>
    <t>G-REQ-05019</t>
  </si>
  <si>
    <t>SYNTHETIC: Laptop allocation; In progress; asset G-AST-00476</t>
  </si>
  <si>
    <t>G-REQ-01287-E4</t>
  </si>
  <si>
    <t>G-REQ-05020</t>
  </si>
  <si>
    <t>SYNTHETIC: Laptop allocation; Completed; asset G-AST-00476</t>
  </si>
  <si>
    <t>G-REQ-01288-E1</t>
  </si>
  <si>
    <t>G-REQ-05021</t>
  </si>
  <si>
    <t>SYNTHETIC: Laptop return; Pending approval; asset G-AST-00155</t>
  </si>
  <si>
    <t>G-REQ-01288-E2</t>
  </si>
  <si>
    <t>G-REQ-05022</t>
  </si>
  <si>
    <t>SYNTHETIC: Laptop return; Approved; asset G-AST-00155</t>
  </si>
  <si>
    <t>G-REQ-01288-E3</t>
  </si>
  <si>
    <t>SYNTHETIC: Laptop return; In progress; asset G-AST-00155</t>
  </si>
  <si>
    <t>G-REQ-05023</t>
  </si>
  <si>
    <t>G-REQ-01288-E4</t>
  </si>
  <si>
    <t>SYNTHETIC: Laptop return; Completed; asset G-AST-00155</t>
  </si>
  <si>
    <t>G-REQ-01289-E1</t>
  </si>
  <si>
    <t>G-REQ-05024</t>
  </si>
  <si>
    <t>SYNTHETIC: Laptop return; Pending approval; asset G-AST-00199</t>
  </si>
  <si>
    <t>G-REQ-01289-E2</t>
  </si>
  <si>
    <t>G-REQ-05025</t>
  </si>
  <si>
    <t>SYNTHETIC: Laptop return; Approved; asset G-AST-00199</t>
  </si>
  <si>
    <t>G-REQ-01289-E3</t>
  </si>
  <si>
    <t>G-REQ-05026</t>
  </si>
  <si>
    <t>SYNTHETIC: Laptop return; In progress; asset G-AST-00199</t>
  </si>
  <si>
    <t>G-REQ-01289-E4</t>
  </si>
  <si>
    <t>G-REQ-05027</t>
  </si>
  <si>
    <t>SYNTHETIC: Laptop return; Completed; asset G-AST-00199</t>
  </si>
  <si>
    <t>G-REQ-01290-E1</t>
  </si>
  <si>
    <t>G-REQ-05028</t>
  </si>
  <si>
    <t>SYNTHETIC: Laptop allocation; Pending approval; asset G-AST-00477</t>
  </si>
  <si>
    <t>G-REQ-01290-E2</t>
  </si>
  <si>
    <t>SYNTHETIC: Laptop allocation; Approved; asset G-AST-00477</t>
  </si>
  <si>
    <t>G-REQ-05029</t>
  </si>
  <si>
    <t>G-REQ-01290-E3</t>
  </si>
  <si>
    <t>SYNTHETIC: Laptop allocation; In progress; asset G-AST-00477</t>
  </si>
  <si>
    <t>G-REQ-01290-E4</t>
  </si>
  <si>
    <t>G-REQ-05030</t>
  </si>
  <si>
    <t>SYNTHETIC: Laptop allocation; Completed; asset G-AST-00477</t>
  </si>
  <si>
    <t>G-REQ-01291-E1</t>
  </si>
  <si>
    <t>G-REQ-05031</t>
  </si>
  <si>
    <t>SYNTHETIC: Laptop repair; Pending approval; asset G-AST-00456</t>
  </si>
  <si>
    <t>G-REQ-01291-E2</t>
  </si>
  <si>
    <t>G-REQ-05032</t>
  </si>
  <si>
    <t>SYNTHETIC: Laptop repair; Approved; asset G-AST-00456</t>
  </si>
  <si>
    <t>G-REQ-01291-E3</t>
  </si>
  <si>
    <t>G-REQ-05033</t>
  </si>
  <si>
    <t>SYNTHETIC: Laptop repair; In progress; asset G-AST-00456</t>
  </si>
  <si>
    <t>G-REQ-01291-E4</t>
  </si>
  <si>
    <t>SYNTHETIC: Laptop repair; Completed; asset G-AST-00456</t>
  </si>
  <si>
    <t>G-REQ-01292-E1</t>
  </si>
  <si>
    <t>G-REQ-05034</t>
  </si>
  <si>
    <t>SYNTHETIC: Laptop return; Pending approval; asset G-AST-00107</t>
  </si>
  <si>
    <t>G-REQ-01292-E2</t>
  </si>
  <si>
    <t>G-REQ-05035</t>
  </si>
  <si>
    <t>SYNTHETIC: Laptop return; Approved; asset G-AST-00107</t>
  </si>
  <si>
    <t>G-REQ-01292-E3</t>
  </si>
  <si>
    <t>G-REQ-05036</t>
  </si>
  <si>
    <t>SYNTHETIC: Laptop return; In progress; asset G-AST-00107</t>
  </si>
  <si>
    <t>G-REQ-01292-E4</t>
  </si>
  <si>
    <t>G-REQ-05037</t>
  </si>
  <si>
    <t>SYNTHETIC: Laptop return; Completed; asset G-AST-00107</t>
  </si>
  <si>
    <t>G-REQ-01293-E1</t>
  </si>
  <si>
    <t>G-REQ-05038</t>
  </si>
  <si>
    <t>SYNTHETIC: Laptop return; Pending approval; asset G-AST-00149</t>
  </si>
  <si>
    <t>G-REQ-01293-E2</t>
  </si>
  <si>
    <t>SYNTHETIC: Laptop return; Approved; asset G-AST-00149</t>
  </si>
  <si>
    <t>G-REQ-05039</t>
  </si>
  <si>
    <t>G-REQ-01293-E3</t>
  </si>
  <si>
    <t>SYNTHETIC: Laptop return; In progress; asset G-AST-00149</t>
  </si>
  <si>
    <t>G-REQ-01293-E4</t>
  </si>
  <si>
    <t>G-REQ-05040</t>
  </si>
  <si>
    <t>SYNTHETIC: Laptop return; Completed; asset G-AST-00149</t>
  </si>
  <si>
    <t>G-REQ-01294-E1</t>
  </si>
  <si>
    <t>G-REQ-05041</t>
  </si>
  <si>
    <t>SYNTHETIC: Laptop return; Pending approval; asset G-AST-00286</t>
  </si>
  <si>
    <t>G-REQ-01294-E2</t>
  </si>
  <si>
    <t>SYNTHETIC: Laptop return; Approved; asset G-AST-00286</t>
  </si>
  <si>
    <t>G-REQ-05042</t>
  </si>
  <si>
    <t>G-REQ-01294-E3</t>
  </si>
  <si>
    <t>SYNTHETIC: Laptop return; In progress; asset G-AST-00286</t>
  </si>
  <si>
    <t>G-REQ-01294-E4</t>
  </si>
  <si>
    <t>G-REQ-05043</t>
  </si>
  <si>
    <t>SYNTHETIC: Laptop return; Completed; asset G-AST-00286</t>
  </si>
  <si>
    <t>G-REQ-01295-E1</t>
  </si>
  <si>
    <t>G-REQ-05044</t>
  </si>
  <si>
    <t>SYNTHETIC: Laptop return; Pending approval; asset G-AST-00276</t>
  </si>
  <si>
    <t>G-REQ-01295-E2</t>
  </si>
  <si>
    <t>SYNTHETIC: Laptop return; Approved; asset G-AST-00276</t>
  </si>
  <si>
    <t>G-REQ-05045</t>
  </si>
  <si>
    <t>G-REQ-01295-E3</t>
  </si>
  <si>
    <t>SYNTHETIC: Laptop return; In progress; asset G-AST-00276</t>
  </si>
  <si>
    <t>G-REQ-01295-E4</t>
  </si>
  <si>
    <t>SYNTHETIC: Laptop return; Completed; asset G-AST-00276</t>
  </si>
  <si>
    <t>G-REQ-01296-E1</t>
  </si>
  <si>
    <t>G-REQ-05046</t>
  </si>
  <si>
    <t>SYNTHETIC: Laptop allocation; Pending approval; asset G-AST-00478</t>
  </si>
  <si>
    <t>G-REQ-05047</t>
  </si>
  <si>
    <t>G-REQ-01296-E2</t>
  </si>
  <si>
    <t>SYNTHETIC: Laptop allocation; Approved; asset G-AST-00478</t>
  </si>
  <si>
    <t>G-REQ-05048</t>
  </si>
  <si>
    <t>G-REQ-01296-E3</t>
  </si>
  <si>
    <t>SYNTHETIC: Laptop allocation; In progress; asset G-AST-00478</t>
  </si>
  <si>
    <t>G-REQ-01296-E4</t>
  </si>
  <si>
    <t>G-REQ-05049</t>
  </si>
  <si>
    <t>SYNTHETIC: Laptop allocation; Completed; asset G-AST-00478</t>
  </si>
  <si>
    <t>G-REQ-01297-E1</t>
  </si>
  <si>
    <t>G-REQ-05050</t>
  </si>
  <si>
    <t>SYNTHETIC: Laptop allocation; Pending approval; asset G-AST-00479</t>
  </si>
  <si>
    <t>G-REQ-01297-E2</t>
  </si>
  <si>
    <t>G-REQ-05051</t>
  </si>
  <si>
    <t>SYNTHETIC: Laptop allocation; Approved; asset G-AST-00479</t>
  </si>
  <si>
    <t>G-REQ-01297-E3</t>
  </si>
  <si>
    <t>SYNTHETIC: Laptop allocation; In progress; asset G-AST-00479</t>
  </si>
  <si>
    <t>G-REQ-01297-E4</t>
  </si>
  <si>
    <t>G-REQ-05052</t>
  </si>
  <si>
    <t>SYNTHETIC: Laptop allocation; Completed; asset G-AST-00479</t>
  </si>
  <si>
    <t>G-REQ-01298-E1</t>
  </si>
  <si>
    <t>G-REQ-05053</t>
  </si>
  <si>
    <t>SYNTHETIC: Laptop repair; Pending approval; asset G-AST-00341</t>
  </si>
  <si>
    <t>G-REQ-01298-E2</t>
  </si>
  <si>
    <t>G-REQ-05054</t>
  </si>
  <si>
    <t>SYNTHETIC: Laptop repair; Approved; asset G-AST-00341</t>
  </si>
  <si>
    <t>G-REQ-01298-E3</t>
  </si>
  <si>
    <t>G-REQ-05055</t>
  </si>
  <si>
    <t>SYNTHETIC: Laptop repair; In progress; asset G-AST-00341</t>
  </si>
  <si>
    <t>G-REQ-01298-E4</t>
  </si>
  <si>
    <t>G-REQ-05056</t>
  </si>
  <si>
    <t>SYNTHETIC: Laptop repair; Completed; asset G-AST-00341</t>
  </si>
  <si>
    <t>G-REQ-01299-E1</t>
  </si>
  <si>
    <t>G-REQ-05057</t>
  </si>
  <si>
    <t>SYNTHETIC: Laptop allocation; Pending approval; asset G-AST-00480</t>
  </si>
  <si>
    <t>G-REQ-01299-E2</t>
  </si>
  <si>
    <t>SYNTHETIC: Laptop allocation; Approved; asset G-AST-00480</t>
  </si>
  <si>
    <t>G-REQ-05058</t>
  </si>
  <si>
    <t>G-REQ-01299-E3</t>
  </si>
  <si>
    <t>SYNTHETIC: Laptop allocation; In progress; asset G-AST-00480</t>
  </si>
  <si>
    <t>G-REQ-01299-E4</t>
  </si>
  <si>
    <t>G-REQ-05059</t>
  </si>
  <si>
    <t>SYNTHETIC: Laptop allocation; Completed; asset G-AST-00480</t>
  </si>
  <si>
    <t>G-REQ-01300-E1</t>
  </si>
  <si>
    <t>G-REQ-05060</t>
  </si>
  <si>
    <t>SYNTHETIC: Laptop allocation; Pending approval; asset G-AST-00481</t>
  </si>
  <si>
    <t>G-REQ-01300-E2</t>
  </si>
  <si>
    <t>G-REQ-05061</t>
  </si>
  <si>
    <t>SYNTHETIC: Laptop allocation; Approved; asset G-AST-00481</t>
  </si>
  <si>
    <t>G-REQ-01300-E3</t>
  </si>
  <si>
    <t>SYNTHETIC: Laptop allocation; In progress; asset G-AST-00481</t>
  </si>
  <si>
    <t>G-REQ-05062</t>
  </si>
  <si>
    <t>G-REQ-01300-E4</t>
  </si>
  <si>
    <t>SYNTHETIC: Laptop allocation; Completed; asset G-AST-00481</t>
  </si>
  <si>
    <t>G-REQ-01301-E1</t>
  </si>
  <si>
    <t>G-REQ-05063</t>
  </si>
  <si>
    <t>SYNTHETIC: Laptop repair; Pending approval; asset G-AST-00408</t>
  </si>
  <si>
    <t>G-REQ-01301-E2</t>
  </si>
  <si>
    <t>G-REQ-05064</t>
  </si>
  <si>
    <t>SYNTHETIC: Laptop repair; Approved; asset G-AST-00408</t>
  </si>
  <si>
    <t>G-REQ-01301-E3</t>
  </si>
  <si>
    <t>G-REQ-05065</t>
  </si>
  <si>
    <t>SYNTHETIC: Laptop repair; In progress; asset G-AST-00408</t>
  </si>
  <si>
    <t>G-REQ-01301-E4</t>
  </si>
  <si>
    <t>SYNTHETIC: Laptop repair; Completed; asset G-AST-00408</t>
  </si>
  <si>
    <t>G-REQ-05066</t>
  </si>
  <si>
    <t>G-REQ-01302-E1</t>
  </si>
  <si>
    <t>G-REQ-05067</t>
  </si>
  <si>
    <t>SYNTHETIC: Laptop return; Pending approval; asset G-AST-00240</t>
  </si>
  <si>
    <t>G-REQ-01302-E2</t>
  </si>
  <si>
    <t>SYNTHETIC: Laptop return; Approved; asset G-AST-00240</t>
  </si>
  <si>
    <t>G-REQ-01302-E3</t>
  </si>
  <si>
    <t>G-REQ-05068</t>
  </si>
  <si>
    <t>SYNTHETIC: Laptop return; In progress; asset G-AST-00240</t>
  </si>
  <si>
    <t>G-REQ-01302-E4</t>
  </si>
  <si>
    <t>G-REQ-05069</t>
  </si>
  <si>
    <t>SYNTHETIC: Laptop return; Completed; asset G-AST-00240</t>
  </si>
  <si>
    <t>G-REQ-01303-E1</t>
  </si>
  <si>
    <t>G-REQ-05070</t>
  </si>
  <si>
    <t>SYNTHETIC: Laptop return; Pending approval; asset G-AST-00470</t>
  </si>
  <si>
    <t>G-REQ-01303-E2</t>
  </si>
  <si>
    <t>SYNTHETIC: Laptop return; Approved; asset G-AST-00470</t>
  </si>
  <si>
    <t>G-REQ-05071</t>
  </si>
  <si>
    <t>G-REQ-01303-E3</t>
  </si>
  <si>
    <t>SYNTHETIC: Laptop return; In progress; asset G-AST-00470</t>
  </si>
  <si>
    <t>G-REQ-01303-E4</t>
  </si>
  <si>
    <t>G-REQ-05072</t>
  </si>
  <si>
    <t>SYNTHETIC: Laptop return; Completed; asset G-AST-00470</t>
  </si>
  <si>
    <t>G-REQ-01304-E1</t>
  </si>
  <si>
    <t>G-REQ-05073</t>
  </si>
  <si>
    <t>SYNTHETIC: Laptop return; Pending approval; asset G-AST-00397</t>
  </si>
  <si>
    <t>G-REQ-01304-E2</t>
  </si>
  <si>
    <t>G-REQ-05074</t>
  </si>
  <si>
    <t>SYNTHETIC: Laptop return; Approved; asset G-AST-00397</t>
  </si>
  <si>
    <t>G-REQ-01304-E3</t>
  </si>
  <si>
    <t>G-REQ-05075</t>
  </si>
  <si>
    <t>SYNTHETIC: Laptop return; In progress; asset G-AST-00397</t>
  </si>
  <si>
    <t>G-REQ-01304-E4</t>
  </si>
  <si>
    <t>SYNTHETIC: Laptop return; Completed; asset G-AST-00397</t>
  </si>
  <si>
    <t>G-REQ-01305-E1</t>
  </si>
  <si>
    <t>G-REQ-05076</t>
  </si>
  <si>
    <t>G-REQ-01305-E2</t>
  </si>
  <si>
    <t>G-REQ-05077</t>
  </si>
  <si>
    <t>G-REQ-01305-E3</t>
  </si>
  <si>
    <t>G-REQ-05078</t>
  </si>
  <si>
    <t>G-REQ-01305-E4</t>
  </si>
  <si>
    <t>G-REQ-05079</t>
  </si>
  <si>
    <t>G-REQ-01306-E1</t>
  </si>
  <si>
    <t>G-REQ-05080</t>
  </si>
  <si>
    <t>G-REQ-01306-E2</t>
  </si>
  <si>
    <t>G-REQ-05081</t>
  </si>
  <si>
    <t>G-REQ-01306-E3</t>
  </si>
  <si>
    <t>G-REQ-05082</t>
  </si>
  <si>
    <t>G-REQ-01306-E4</t>
  </si>
  <si>
    <t>G-REQ-01307-E1</t>
  </si>
  <si>
    <t>G-REQ-05083</t>
  </si>
  <si>
    <t>SYNTHETIC: Laptop repair; Pending approval; asset G-AST-00332</t>
  </si>
  <si>
    <t>G-REQ-01307-E2</t>
  </si>
  <si>
    <t>G-REQ-05084</t>
  </si>
  <si>
    <t>SYNTHETIC: Laptop repair; Cancelled; asset G-AST-00332</t>
  </si>
  <si>
    <t>G-REQ-01308-E1</t>
  </si>
  <si>
    <t>G-REQ-05085</t>
  </si>
  <si>
    <t>SYNTHETIC: Laptop allocation; Pending approval; asset G-AST-00482</t>
  </si>
  <si>
    <t>G-REQ-01308-E2</t>
  </si>
  <si>
    <t>G-REQ-05086</t>
  </si>
  <si>
    <t>SYNTHETIC: Laptop allocation; Approved; asset G-AST-00482</t>
  </si>
  <si>
    <t>G-REQ-01308-E3</t>
  </si>
  <si>
    <t>SYNTHETIC: Laptop allocation; In progress; asset G-AST-00482</t>
  </si>
  <si>
    <t>G-REQ-05087</t>
  </si>
  <si>
    <t>G-REQ-01308-E4</t>
  </si>
  <si>
    <t>SYNTHETIC: Laptop allocation; Completed; asset G-AST-00482</t>
  </si>
  <si>
    <t>G-REQ-01309-E1</t>
  </si>
  <si>
    <t>G-REQ-05088</t>
  </si>
  <si>
    <t>G-REQ-01309-E2</t>
  </si>
  <si>
    <t>G-REQ-05089</t>
  </si>
  <si>
    <t>SYNTHETIC: Laptop repair; Approved; asset G-AST-00474</t>
  </si>
  <si>
    <t>G-REQ-01309-E3</t>
  </si>
  <si>
    <t>SYNTHETIC: Laptop repair; In progress; asset G-AST-00474</t>
  </si>
  <si>
    <t>G-REQ-05090</t>
  </si>
  <si>
    <t>G-REQ-01309-E4</t>
  </si>
  <si>
    <t>SYNTHETIC: Laptop repair; Completed; asset G-AST-00474</t>
  </si>
  <si>
    <t>G-REQ-01310-E1</t>
  </si>
  <si>
    <t>G-REQ-05091</t>
  </si>
  <si>
    <t>G-REQ-01310-E2</t>
  </si>
  <si>
    <t>G-REQ-05092</t>
  </si>
  <si>
    <t>G-REQ-01311-E1</t>
  </si>
  <si>
    <t>G-REQ-05093</t>
  </si>
  <si>
    <t>SYNTHETIC: Laptop repair; Pending approval; asset G-AST-00461</t>
  </si>
  <si>
    <t>G-REQ-01311-E2</t>
  </si>
  <si>
    <t>SYNTHETIC: Laptop repair; Approved; asset G-AST-00461</t>
  </si>
  <si>
    <t>G-REQ-05094</t>
  </si>
  <si>
    <t>G-REQ-01311-E3</t>
  </si>
  <si>
    <t>SYNTHETIC: Laptop repair; In progress; asset G-AST-00461</t>
  </si>
  <si>
    <t>G-REQ-01311-E4</t>
  </si>
  <si>
    <t>G-REQ-05095</t>
  </si>
  <si>
    <t>SYNTHETIC: Laptop repair; Completed; asset G-AST-00461</t>
  </si>
  <si>
    <t>G-REQ-01312-E1</t>
  </si>
  <si>
    <t>G-REQ-05096</t>
  </si>
  <si>
    <t>SYNTHETIC: Laptop allocation; Pending approval; asset G-AST-00483</t>
  </si>
  <si>
    <t>G-REQ-01312-E2</t>
  </si>
  <si>
    <t>G-REQ-05097</t>
  </si>
  <si>
    <t>SYNTHETIC: Laptop allocation; Approved; asset G-AST-00483</t>
  </si>
  <si>
    <t>G-REQ-01312-E3</t>
  </si>
  <si>
    <t>G-REQ-05098</t>
  </si>
  <si>
    <t>SYNTHETIC: Laptop allocation; In progress; asset G-AST-00483</t>
  </si>
  <si>
    <t>G-REQ-01312-E4</t>
  </si>
  <si>
    <t>G-REQ-05099</t>
  </si>
  <si>
    <t>SYNTHETIC: Laptop allocation; Completed; asset G-AST-00483</t>
  </si>
  <si>
    <t>G-REQ-01313-E1</t>
  </si>
  <si>
    <t>G-REQ-05100</t>
  </si>
  <si>
    <t>G-REQ-01313-E2</t>
  </si>
  <si>
    <t>G-REQ-05101</t>
  </si>
  <si>
    <t>G-REQ-01313-E3</t>
  </si>
  <si>
    <t>G-REQ-05102</t>
  </si>
  <si>
    <t>G-REQ-01313-E4</t>
  </si>
  <si>
    <t>G-REQ-01314-E1</t>
  </si>
  <si>
    <t>G-REQ-05103</t>
  </si>
  <si>
    <t>SYNTHETIC: Laptop repair; Pending approval; asset G-AST-00268</t>
  </si>
  <si>
    <t>G-REQ-01314-E2</t>
  </si>
  <si>
    <t>G-REQ-05104</t>
  </si>
  <si>
    <t>SYNTHETIC: Laptop repair; Rejected; asset G-AST-00268</t>
  </si>
  <si>
    <t>G-REQ-01315-E1</t>
  </si>
  <si>
    <t>G-REQ-05105</t>
  </si>
  <si>
    <t>SYNTHETIC: Laptop return; Pending approval; asset G-AST-00311</t>
  </si>
  <si>
    <t>G-REQ-01315-E2</t>
  </si>
  <si>
    <t>G-REQ-05106</t>
  </si>
  <si>
    <t>SYNTHETIC: Laptop return; Approved; asset G-AST-00311</t>
  </si>
  <si>
    <t>G-REQ-01315-E3</t>
  </si>
  <si>
    <t>G-REQ-05107</t>
  </si>
  <si>
    <t>SYNTHETIC: Laptop return; In progress; asset G-AST-00311</t>
  </si>
  <si>
    <t>G-REQ-01315-E4</t>
  </si>
  <si>
    <t>SYNTHETIC: Laptop return; Completed; asset G-AST-00311</t>
  </si>
  <si>
    <t>G-REQ-01316-E1</t>
  </si>
  <si>
    <t>G-REQ-05108</t>
  </si>
  <si>
    <t>G-REQ-01316-E2</t>
  </si>
  <si>
    <t>G-REQ-05109</t>
  </si>
  <si>
    <t>G-REQ-01316-E3</t>
  </si>
  <si>
    <t>G-REQ-05110</t>
  </si>
  <si>
    <t>G-REQ-01316-E4</t>
  </si>
  <si>
    <t>G-REQ-05111</t>
  </si>
  <si>
    <t>G-REQ-01317-E1</t>
  </si>
  <si>
    <t>G-REQ-05112</t>
  </si>
  <si>
    <t>SYNTHETIC: Laptop allocation; Pending approval; asset G-AST-00484</t>
  </si>
  <si>
    <t>G-REQ-01317-E2</t>
  </si>
  <si>
    <t>SYNTHETIC: Laptop allocation; Approved; asset G-AST-00484</t>
  </si>
  <si>
    <t>G-REQ-05113</t>
  </si>
  <si>
    <t>G-REQ-01317-E3</t>
  </si>
  <si>
    <t>SYNTHETIC: Laptop allocation; In progress; asset G-AST-00484</t>
  </si>
  <si>
    <t>G-REQ-01317-E4</t>
  </si>
  <si>
    <t>G-REQ-05114</t>
  </si>
  <si>
    <t>SYNTHETIC: Laptop allocation; Completed; asset G-AST-00484</t>
  </si>
  <si>
    <t>G-REQ-01318-E1</t>
  </si>
  <si>
    <t>G-REQ-05115</t>
  </si>
  <si>
    <t>G-REQ-01318-E2</t>
  </si>
  <si>
    <t>G-REQ-05116</t>
  </si>
  <si>
    <t>G-REQ-01319-E1</t>
  </si>
  <si>
    <t>SYNTHETIC: Laptop allocation; Pending approval; asset G-AST-00485</t>
  </si>
  <si>
    <t>G-REQ-05117</t>
  </si>
  <si>
    <t>G-REQ-01319-E2</t>
  </si>
  <si>
    <t>SYNTHETIC: Laptop allocation; Approved; asset G-AST-00485</t>
  </si>
  <si>
    <t>G-REQ-01319-E3</t>
  </si>
  <si>
    <t>G-REQ-05118</t>
  </si>
  <si>
    <t>SYNTHETIC: Laptop allocation; In progress; asset G-AST-00485</t>
  </si>
  <si>
    <t>G-REQ-01319-E4</t>
  </si>
  <si>
    <t>G-REQ-05119</t>
  </si>
  <si>
    <t>SYNTHETIC: Laptop allocation; Completed; asset G-AST-00485</t>
  </si>
  <si>
    <t>G-REQ-01320-E1</t>
  </si>
  <si>
    <t>G-REQ-05120</t>
  </si>
  <si>
    <t>SYNTHETIC: Laptop allocation; Pending approval; asset G-AST-00486</t>
  </si>
  <si>
    <t>G-REQ-01320-E2</t>
  </si>
  <si>
    <t>SYNTHETIC: Laptop allocation; Approved; asset G-AST-00486</t>
  </si>
  <si>
    <t>G-REQ-05121</t>
  </si>
  <si>
    <t>G-REQ-01320-E3</t>
  </si>
  <si>
    <t>SYNTHETIC: Laptop allocation; In progress; asset G-AST-00486</t>
  </si>
  <si>
    <t>G-REQ-01320-E4</t>
  </si>
  <si>
    <t>G-REQ-05122</t>
  </si>
  <si>
    <t>SYNTHETIC: Laptop allocation; Completed; asset G-AST-00486</t>
  </si>
  <si>
    <t>G-REQ-01321-E1</t>
  </si>
  <si>
    <t>G-REQ-05123</t>
  </si>
  <si>
    <t>G-REQ-01321-E2</t>
  </si>
  <si>
    <t>G-REQ-05124</t>
  </si>
  <si>
    <t>SYNTHETIC: Laptop return; Approved; asset G-AST-00267</t>
  </si>
  <si>
    <t>G-REQ-01321-E3</t>
  </si>
  <si>
    <t>G-REQ-05125</t>
  </si>
  <si>
    <t>SYNTHETIC: Laptop return; In progress; asset G-AST-00267</t>
  </si>
  <si>
    <t>G-REQ-01321-E4</t>
  </si>
  <si>
    <t>G-REQ-05126</t>
  </si>
  <si>
    <t>SYNTHETIC: Laptop return; Completed; asset G-AST-00267</t>
  </si>
  <si>
    <t>G-REQ-01322-E1</t>
  </si>
  <si>
    <t>SYNTHETIC: Laptop return; Pending approval; asset G-AST-00368</t>
  </si>
  <si>
    <t>G-REQ-05127</t>
  </si>
  <si>
    <t>G-REQ-01322-E2</t>
  </si>
  <si>
    <t>SYNTHETIC: Laptop return; Approved; asset G-AST-00368</t>
  </si>
  <si>
    <t>G-REQ-01322-E3</t>
  </si>
  <si>
    <t>G-REQ-05128</t>
  </si>
  <si>
    <t>SYNTHETIC: Laptop return; In progress; asset G-AST-00368</t>
  </si>
  <si>
    <t>G-REQ-01322-E4</t>
  </si>
  <si>
    <t>G-REQ-05129</t>
  </si>
  <si>
    <t>SYNTHETIC: Laptop return; Completed; asset G-AST-00368</t>
  </si>
  <si>
    <t>G-REQ-01323-E1</t>
  </si>
  <si>
    <t>G-REQ-05130</t>
  </si>
  <si>
    <t>SYNTHETIC: Laptop return; Pending approval; asset G-AST-00299</t>
  </si>
  <si>
    <t>G-REQ-01323-E2</t>
  </si>
  <si>
    <t>SYNTHETIC: Laptop return; Approved; asset G-AST-00299</t>
  </si>
  <si>
    <t>G-REQ-05131</t>
  </si>
  <si>
    <t>G-REQ-01323-E3</t>
  </si>
  <si>
    <t>SYNTHETIC: Laptop return; In progress; asset G-AST-00299</t>
  </si>
  <si>
    <t>G-REQ-01323-E4</t>
  </si>
  <si>
    <t>G-REQ-05132</t>
  </si>
  <si>
    <t>SYNTHETIC: Laptop return; Completed; asset G-AST-00299</t>
  </si>
  <si>
    <t>G-REQ-01324-E1</t>
  </si>
  <si>
    <t>G-REQ-05133</t>
  </si>
  <si>
    <t>G-REQ-01324-E2</t>
  </si>
  <si>
    <t>G-REQ-05134</t>
  </si>
  <si>
    <t>G-REQ-01324-E3</t>
  </si>
  <si>
    <t>G-REQ-05135</t>
  </si>
  <si>
    <t>G-REQ-01324-E4</t>
  </si>
  <si>
    <t>G-REQ-01325-E1</t>
  </si>
  <si>
    <t>G-REQ-05136</t>
  </si>
  <si>
    <t>G-REQ-01325-E2</t>
  </si>
  <si>
    <t>G-REQ-05137</t>
  </si>
  <si>
    <t>G-REQ-01325-E3</t>
  </si>
  <si>
    <t>G-REQ-05138</t>
  </si>
  <si>
    <t>G-REQ-01325-E4</t>
  </si>
  <si>
    <t>G-REQ-05139</t>
  </si>
  <si>
    <t>G-REQ-01326-E1</t>
  </si>
  <si>
    <t>G-REQ-05140</t>
  </si>
  <si>
    <t>SYNTHETIC: Laptop return; Pending approval; asset G-AST-00029</t>
  </si>
  <si>
    <t>G-REQ-01326-E2</t>
  </si>
  <si>
    <t>G-REQ-05141</t>
  </si>
  <si>
    <t>SYNTHETIC: Laptop return; Approved; asset G-AST-00029</t>
  </si>
  <si>
    <t>G-REQ-01326-E3</t>
  </si>
  <si>
    <t>SYNTHETIC: Laptop return; In progress; asset G-AST-00029</t>
  </si>
  <si>
    <t>G-REQ-05142</t>
  </si>
  <si>
    <t>G-REQ-01326-E4</t>
  </si>
  <si>
    <t>SYNTHETIC: Laptop return; Completed; asset G-AST-00029</t>
  </si>
  <si>
    <t>G-REQ-01327-E1</t>
  </si>
  <si>
    <t>G-REQ-05143</t>
  </si>
  <si>
    <t>SYNTHETIC: Laptop repair; Pending approval; asset G-AST-00482</t>
  </si>
  <si>
    <t>G-REQ-01327-E2</t>
  </si>
  <si>
    <t>G-REQ-05144</t>
  </si>
  <si>
    <t>SYNTHETIC: Laptop repair; Approved; asset G-AST-00482</t>
  </si>
  <si>
    <t>G-REQ-01327-E3</t>
  </si>
  <si>
    <t>G-REQ-05145</t>
  </si>
  <si>
    <t>SYNTHETIC: Laptop repair; In progress; asset G-AST-00482</t>
  </si>
  <si>
    <t>G-REQ-01327-E4</t>
  </si>
  <si>
    <t>SYNTHETIC: Laptop repair; Completed; asset G-AST-00482</t>
  </si>
  <si>
    <t>G-REQ-01328-E1</t>
  </si>
  <si>
    <t>G-REQ-05146</t>
  </si>
  <si>
    <t>SYNTHETIC: Laptop return; Pending approval; asset G-AST-00451</t>
  </si>
  <si>
    <t>G-REQ-01328-E2</t>
  </si>
  <si>
    <t>G-REQ-05147</t>
  </si>
  <si>
    <t>SYNTHETIC: Laptop return; Approved; asset G-AST-00451</t>
  </si>
  <si>
    <t>G-REQ-01328-E3</t>
  </si>
  <si>
    <t>G-REQ-05148</t>
  </si>
  <si>
    <t>SYNTHETIC: Laptop return; In progress; asset G-AST-00451</t>
  </si>
  <si>
    <t>G-REQ-01328-E4</t>
  </si>
  <si>
    <t>G-REQ-05149</t>
  </si>
  <si>
    <t>SYNTHETIC: Laptop return; Completed; asset G-AST-00451</t>
  </si>
  <si>
    <t>G-REQ-01329-E1</t>
  </si>
  <si>
    <t>G-REQ-05150</t>
  </si>
  <si>
    <t>G-REQ-05151</t>
  </si>
  <si>
    <t>G-REQ-01329-E2</t>
  </si>
  <si>
    <t>G-REQ-05152</t>
  </si>
  <si>
    <t>SYNTHETIC: Laptop repair; Rejected; asset G-AST-00203</t>
  </si>
  <si>
    <t>G-REQ-01330-E1</t>
  </si>
  <si>
    <t>G-REQ-05153</t>
  </si>
  <si>
    <t>G-REQ-01330-E2</t>
  </si>
  <si>
    <t>G-REQ-05154</t>
  </si>
  <si>
    <t>SYNTHETIC: Laptop repair; Rejected; asset G-AST-00297</t>
  </si>
  <si>
    <t>G-REQ-01331-E1</t>
  </si>
  <si>
    <t>G-REQ-05155</t>
  </si>
  <si>
    <t>G-REQ-01331-E2</t>
  </si>
  <si>
    <t>G-REQ-05156</t>
  </si>
  <si>
    <t>G-REQ-01331-E3</t>
  </si>
  <si>
    <t>G-REQ-05157</t>
  </si>
  <si>
    <t>G-REQ-01331-E4</t>
  </si>
  <si>
    <t>G-REQ-05158</t>
  </si>
  <si>
    <t>G-REQ-01332-E1</t>
  </si>
  <si>
    <t>G-REQ-05159</t>
  </si>
  <si>
    <t>SYNTHETIC: Laptop allocation; Pending approval; asset G-AST-00487</t>
  </si>
  <si>
    <t>G-REQ-01332-E2</t>
  </si>
  <si>
    <t>SYNTHETIC: Laptop allocation; Approved; asset G-AST-00487</t>
  </si>
  <si>
    <t>G-REQ-05160</t>
  </si>
  <si>
    <t>G-REQ-01332-E3</t>
  </si>
  <si>
    <t>SYNTHETIC: Laptop allocation; In progress; asset G-AST-00487</t>
  </si>
  <si>
    <t>G-REQ-01332-E4</t>
  </si>
  <si>
    <t>G-REQ-05161</t>
  </si>
  <si>
    <t>SYNTHETIC: Laptop allocation; Completed; asset G-AST-00487</t>
  </si>
  <si>
    <t>G-REQ-01333-E1</t>
  </si>
  <si>
    <t>G-REQ-05162</t>
  </si>
  <si>
    <t>G-REQ-01333-E2</t>
  </si>
  <si>
    <t>G-REQ-05163</t>
  </si>
  <si>
    <t>G-REQ-01333-E3</t>
  </si>
  <si>
    <t>G-REQ-05164</t>
  </si>
  <si>
    <t>G-REQ-01333-E4</t>
  </si>
  <si>
    <t>G-REQ-05165</t>
  </si>
  <si>
    <t>G-REQ-01334-E1</t>
  </si>
  <si>
    <t>SYNTHETIC: Laptop allocation; Pending approval; asset G-AST-00488</t>
  </si>
  <si>
    <t>G-REQ-05166</t>
  </si>
  <si>
    <t>G-REQ-01334-E2</t>
  </si>
  <si>
    <t>SYNTHETIC: Laptop allocation; Approved; asset G-AST-00488</t>
  </si>
  <si>
    <t>G-REQ-05167</t>
  </si>
  <si>
    <t>G-REQ-01334-E3</t>
  </si>
  <si>
    <t>SYNTHETIC: Laptop allocation; In progress; asset G-AST-00488</t>
  </si>
  <si>
    <t>G-REQ-01334-E4</t>
  </si>
  <si>
    <t>G-REQ-05168</t>
  </si>
  <si>
    <t>SYNTHETIC: Laptop allocation; Completed; asset G-AST-00488</t>
  </si>
  <si>
    <t>G-REQ-01335-E1</t>
  </si>
  <si>
    <t>G-REQ-05169</t>
  </si>
  <si>
    <t>SYNTHETIC: Laptop return; Pending approval; asset G-AST-00227</t>
  </si>
  <si>
    <t>G-REQ-05170</t>
  </si>
  <si>
    <t>G-REQ-01335-E2</t>
  </si>
  <si>
    <t>SYNTHETIC: Laptop return; Approved; asset G-AST-00227</t>
  </si>
  <si>
    <t>G-REQ-01335-E3</t>
  </si>
  <si>
    <t>G-REQ-05171</t>
  </si>
  <si>
    <t>SYNTHETIC: Laptop return; In progress; asset G-AST-00227</t>
  </si>
  <si>
    <t>G-REQ-01335-E4</t>
  </si>
  <si>
    <t>G-REQ-05172</t>
  </si>
  <si>
    <t>SYNTHETIC: Laptop return; Completed; asset G-AST-00227</t>
  </si>
  <si>
    <t>G-REQ-01336-E1</t>
  </si>
  <si>
    <t>G-REQ-05173</t>
  </si>
  <si>
    <t>SYNTHETIC: Laptop return; Pending approval; asset G-AST-00424</t>
  </si>
  <si>
    <t>G-REQ-01336-E2</t>
  </si>
  <si>
    <t>G-REQ-05174</t>
  </si>
  <si>
    <t>SYNTHETIC: Laptop return; Rejected; asset G-AST-00424</t>
  </si>
  <si>
    <t>G-REQ-01337-E1</t>
  </si>
  <si>
    <t>SYNTHETIC: Laptop return; Pending approval; asset G-AST-00359</t>
  </si>
  <si>
    <t>G-REQ-05175</t>
  </si>
  <si>
    <t>G-REQ-01337-E2</t>
  </si>
  <si>
    <t>SYNTHETIC: Laptop return; Approved; asset G-AST-00359</t>
  </si>
  <si>
    <t>G-REQ-01337-E3</t>
  </si>
  <si>
    <t>G-REQ-05176</t>
  </si>
  <si>
    <t>SYNTHETIC: Laptop return; In progress; asset G-AST-00359</t>
  </si>
  <si>
    <t>G-REQ-01337-E4</t>
  </si>
  <si>
    <t>G-REQ-05177</t>
  </si>
  <si>
    <t>SYNTHETIC: Laptop return; Completed; asset G-AST-00359</t>
  </si>
  <si>
    <t>G-REQ-01338-E1</t>
  </si>
  <si>
    <t>G-REQ-05178</t>
  </si>
  <si>
    <t>SYNTHETIC: Laptop return; Pending approval; asset G-AST-00119</t>
  </si>
  <si>
    <t>G-REQ-01338-E2</t>
  </si>
  <si>
    <t>SYNTHETIC: Laptop return; Approved; asset G-AST-00119</t>
  </si>
  <si>
    <t>G-REQ-01338-E3</t>
  </si>
  <si>
    <t>G-REQ-05179</t>
  </si>
  <si>
    <t>SYNTHETIC: Laptop return; In progress; asset G-AST-00119</t>
  </si>
  <si>
    <t>G-REQ-01338-E4</t>
  </si>
  <si>
    <t>G-REQ-05180</t>
  </si>
  <si>
    <t>SYNTHETIC: Laptop return; Completed; asset G-AST-00119</t>
  </si>
  <si>
    <t>G-REQ-01339-E1</t>
  </si>
  <si>
    <t>G-REQ-05181</t>
  </si>
  <si>
    <t>G-REQ-01339-E2</t>
  </si>
  <si>
    <t>G-REQ-05182</t>
  </si>
  <si>
    <t>G-REQ-01339-E3</t>
  </si>
  <si>
    <t>G-REQ-01339-E4</t>
  </si>
  <si>
    <t>G-REQ-05183</t>
  </si>
  <si>
    <t>G-REQ-01340-E1</t>
  </si>
  <si>
    <t>G-REQ-05184</t>
  </si>
  <si>
    <t>SYNTHETIC: Laptop allocation; Pending approval; asset G-AST-00489</t>
  </si>
  <si>
    <t>G-REQ-01340-E2</t>
  </si>
  <si>
    <t>G-REQ-05185</t>
  </si>
  <si>
    <t>SYNTHETIC: Laptop allocation; Approved; asset G-AST-00489</t>
  </si>
  <si>
    <t>G-REQ-01340-E3</t>
  </si>
  <si>
    <t>SYNTHETIC: Laptop allocation; In progress; asset G-AST-00489</t>
  </si>
  <si>
    <t>G-REQ-05186</t>
  </si>
  <si>
    <t>G-REQ-01340-E4</t>
  </si>
  <si>
    <t>SYNTHETIC: Laptop allocation; Completed; asset G-AST-00489</t>
  </si>
  <si>
    <t>G-REQ-01341-E1</t>
  </si>
  <si>
    <t>G-REQ-05187</t>
  </si>
  <si>
    <t>G-REQ-01341-E2</t>
  </si>
  <si>
    <t>G-REQ-05188</t>
  </si>
  <si>
    <t>G-REQ-01341-E3</t>
  </si>
  <si>
    <t>G-REQ-05189</t>
  </si>
  <si>
    <t>G-REQ-01341-E4</t>
  </si>
  <si>
    <t>G-REQ-05190</t>
  </si>
  <si>
    <t>G-REQ-01342-E1</t>
  </si>
  <si>
    <t>G-REQ-05191</t>
  </si>
  <si>
    <t>G-REQ-01342-E2</t>
  </si>
  <si>
    <t>SYNTHETIC: Laptop return; Approved; asset G-AST-00371</t>
  </si>
  <si>
    <t>G-REQ-01342-E3</t>
  </si>
  <si>
    <t>G-REQ-05192</t>
  </si>
  <si>
    <t>SYNTHETIC: Laptop return; In progress; asset G-AST-00371</t>
  </si>
  <si>
    <t>G-REQ-01342-E4</t>
  </si>
  <si>
    <t>G-REQ-05193</t>
  </si>
  <si>
    <t>SYNTHETIC: Laptop return; Completed; asset G-AST-00371</t>
  </si>
  <si>
    <t>G-REQ-01343-E1</t>
  </si>
  <si>
    <t>G-REQ-05194</t>
  </si>
  <si>
    <t>SYNTHETIC: Laptop return; Pending approval; asset G-AST-00457</t>
  </si>
  <si>
    <t>G-REQ-01343-E2</t>
  </si>
  <si>
    <t>SYNTHETIC: Laptop return; Approved; asset G-AST-00457</t>
  </si>
  <si>
    <t>G-REQ-05195</t>
  </si>
  <si>
    <t>G-REQ-01343-E3</t>
  </si>
  <si>
    <t>SYNTHETIC: Laptop return; In progress; asset G-AST-00457</t>
  </si>
  <si>
    <t>G-REQ-01343-E4</t>
  </si>
  <si>
    <t>G-REQ-05196</t>
  </si>
  <si>
    <t>SYNTHETIC: Laptop return; Completed; asset G-AST-00457</t>
  </si>
  <si>
    <t>G-REQ-01344-E1</t>
  </si>
  <si>
    <t>G-REQ-05197</t>
  </si>
  <si>
    <t>SYNTHETIC: Laptop repair; Pending approval; asset G-AST-00441</t>
  </si>
  <si>
    <t>G-REQ-01344-E2</t>
  </si>
  <si>
    <t>G-REQ-05198</t>
  </si>
  <si>
    <t>SYNTHETIC: Laptop repair; Approved; asset G-AST-00441</t>
  </si>
  <si>
    <t>G-REQ-01344-E3</t>
  </si>
  <si>
    <t>SYNTHETIC: Laptop repair; In progress; asset G-AST-00441</t>
  </si>
  <si>
    <t>G-REQ-05199</t>
  </si>
  <si>
    <t>G-REQ-01344-E4</t>
  </si>
  <si>
    <t>SYNTHETIC: Laptop repair; Completed; asset G-AST-00441</t>
  </si>
  <si>
    <t>G-REQ-01345-E1</t>
  </si>
  <si>
    <t>G-REQ-05200</t>
  </si>
  <si>
    <t>G-REQ-01345-E2</t>
  </si>
  <si>
    <t>G-REQ-05201</t>
  </si>
  <si>
    <t>G-REQ-01345-E3</t>
  </si>
  <si>
    <t>G-REQ-05202</t>
  </si>
  <si>
    <t>G-REQ-01345-E4</t>
  </si>
  <si>
    <t>G-REQ-05203</t>
  </si>
  <si>
    <t>G-REQ-01346-E1</t>
  </si>
  <si>
    <t>SYNTHETIC: Laptop return; Pending approval; asset G-AST-00294</t>
  </si>
  <si>
    <t>G-REQ-05204</t>
  </si>
  <si>
    <t>G-REQ-01346-E2</t>
  </si>
  <si>
    <t>SYNTHETIC: Laptop return; Approved; asset G-AST-00294</t>
  </si>
  <si>
    <t>G-REQ-01346-E3</t>
  </si>
  <si>
    <t>G-REQ-05205</t>
  </si>
  <si>
    <t>SYNTHETIC: Laptop return; In progress; asset G-AST-00294</t>
  </si>
  <si>
    <t>G-REQ-01346-E4</t>
  </si>
  <si>
    <t>G-REQ-05206</t>
  </si>
  <si>
    <t>SYNTHETIC: Laptop return; Completed; asset G-AST-00294</t>
  </si>
  <si>
    <t>G-REQ-01347-E1</t>
  </si>
  <si>
    <t>G-REQ-05207</t>
  </si>
  <si>
    <t>G-REQ-01347-E2</t>
  </si>
  <si>
    <t>G-REQ-01348-E1</t>
  </si>
  <si>
    <t>G-REQ-05208</t>
  </si>
  <si>
    <t>G-REQ-01348-E2</t>
  </si>
  <si>
    <t>G-REQ-05209</t>
  </si>
  <si>
    <t>G-REQ-01348-E3</t>
  </si>
  <si>
    <t>G-REQ-05210</t>
  </si>
  <si>
    <t>G-REQ-01348-E4</t>
  </si>
  <si>
    <t>G-REQ-05211</t>
  </si>
  <si>
    <t>G-REQ-01349-E1</t>
  </si>
  <si>
    <t>SYNTHETIC: Laptop return; Pending approval; asset G-AST-00466</t>
  </si>
  <si>
    <t>G-REQ-05212</t>
  </si>
  <si>
    <t>G-REQ-01349-E2</t>
  </si>
  <si>
    <t>SYNTHETIC: Laptop return; Approved; asset G-AST-00466</t>
  </si>
  <si>
    <t>G-REQ-01349-E3</t>
  </si>
  <si>
    <t>G-REQ-05213</t>
  </si>
  <si>
    <t>SYNTHETIC: Laptop return; In progress; asset G-AST-00466</t>
  </si>
  <si>
    <t>G-REQ-01349-E4</t>
  </si>
  <si>
    <t>G-REQ-05214</t>
  </si>
  <si>
    <t>SYNTHETIC: Laptop return; Completed; asset G-AST-00466</t>
  </si>
  <si>
    <t>G-REQ-01350-E1</t>
  </si>
  <si>
    <t>G-REQ-05215</t>
  </si>
  <si>
    <t>SYNTHETIC: Laptop return; Pending approval; asset G-AST-00091</t>
  </si>
  <si>
    <t>G-REQ-01350-E2</t>
  </si>
  <si>
    <t>G-REQ-05216</t>
  </si>
  <si>
    <t>SYNTHETIC: Laptop return; Approved; asset G-AST-00091</t>
  </si>
  <si>
    <t>G-REQ-01350-E3</t>
  </si>
  <si>
    <t>SYNTHETIC: Laptop return; In progress; asset G-AST-00091</t>
  </si>
  <si>
    <t>G-REQ-05217</t>
  </si>
  <si>
    <t>G-REQ-01350-E4</t>
  </si>
  <si>
    <t>SYNTHETIC: Laptop return; Completed; asset G-AST-00091</t>
  </si>
  <si>
    <t>G-REQ-01351-E1</t>
  </si>
  <si>
    <t>G-REQ-05218</t>
  </si>
  <si>
    <t>G-REQ-01351-E2</t>
  </si>
  <si>
    <t>G-REQ-05219</t>
  </si>
  <si>
    <t>SYNTHETIC: Laptop return; Approved; asset G-AST-00424</t>
  </si>
  <si>
    <t>G-REQ-01351-E3</t>
  </si>
  <si>
    <t>G-REQ-05220</t>
  </si>
  <si>
    <t>SYNTHETIC: Laptop return; In progress; asset G-AST-00424</t>
  </si>
  <si>
    <t>G-REQ-01351-E4</t>
  </si>
  <si>
    <t>SYNTHETIC: Laptop return; Completed; asset G-AST-00424</t>
  </si>
  <si>
    <t>G-REQ-05221</t>
  </si>
  <si>
    <t>G-REQ-01352-E1</t>
  </si>
  <si>
    <t>G-REQ-05222</t>
  </si>
  <si>
    <t>SYNTHETIC: Laptop allocation; Pending approval; asset G-AST-00490</t>
  </si>
  <si>
    <t>G-REQ-01352-E2</t>
  </si>
  <si>
    <t>SYNTHETIC: Laptop allocation; Approved; asset G-AST-00490</t>
  </si>
  <si>
    <t>G-REQ-01352-E3</t>
  </si>
  <si>
    <t>G-REQ-05223</t>
  </si>
  <si>
    <t>SYNTHETIC: Laptop allocation; In progress; asset G-AST-00490</t>
  </si>
  <si>
    <t>G-REQ-01352-E4</t>
  </si>
  <si>
    <t>G-REQ-05224</t>
  </si>
  <si>
    <t>SYNTHETIC: Laptop allocation; Completed; asset G-AST-00490</t>
  </si>
  <si>
    <t>G-REQ-01353-E1</t>
  </si>
  <si>
    <t>G-REQ-05225</t>
  </si>
  <si>
    <t>SYNTHETIC: Laptop allocation; Pending approval; asset G-AST-00491</t>
  </si>
  <si>
    <t>G-REQ-01353-E2</t>
  </si>
  <si>
    <t>G-REQ-05226</t>
  </si>
  <si>
    <t>SYNTHETIC: Laptop allocation; Approved; asset G-AST-00491</t>
  </si>
  <si>
    <t>G-REQ-01353-E3</t>
  </si>
  <si>
    <t>SYNTHETIC: Laptop allocation; In progress; asset G-AST-00491</t>
  </si>
  <si>
    <t>G-REQ-05227</t>
  </si>
  <si>
    <t>G-REQ-01353-E4</t>
  </si>
  <si>
    <t>SYNTHETIC: Laptop allocation; Completed; asset G-AST-00491</t>
  </si>
  <si>
    <t>G-REQ-01354-E1</t>
  </si>
  <si>
    <t>G-REQ-05228</t>
  </si>
  <si>
    <t>SYNTHETIC: Laptop repair; Pending approval; asset G-AST-00455</t>
  </si>
  <si>
    <t>G-REQ-01354-E2</t>
  </si>
  <si>
    <t>G-REQ-05229</t>
  </si>
  <si>
    <t>SYNTHETIC: Laptop repair; Approved; asset G-AST-00455</t>
  </si>
  <si>
    <t>G-REQ-01354-E3</t>
  </si>
  <si>
    <t>G-REQ-05230</t>
  </si>
  <si>
    <t>SYNTHETIC: Laptop repair; In progress; asset G-AST-00455</t>
  </si>
  <si>
    <t>G-REQ-01354-E4</t>
  </si>
  <si>
    <t>SYNTHETIC: Laptop repair; Completed; asset G-AST-00455</t>
  </si>
  <si>
    <t>G-REQ-05231</t>
  </si>
  <si>
    <t>G-REQ-01355-E1</t>
  </si>
  <si>
    <t>SYNTHETIC: Laptop return; Pending approval; asset G-AST-00297</t>
  </si>
  <si>
    <t>G-REQ-05232</t>
  </si>
  <si>
    <t>G-REQ-01355-E2</t>
  </si>
  <si>
    <t>SYNTHETIC: Laptop return; Cancelled; asset G-AST-00297</t>
  </si>
  <si>
    <t>G-REQ-05233</t>
  </si>
  <si>
    <t>G-REQ-01356-E1</t>
  </si>
  <si>
    <t>G-REQ-01356-E2</t>
  </si>
  <si>
    <t>G-REQ-05234</t>
  </si>
  <si>
    <t>G-REQ-01356-E3</t>
  </si>
  <si>
    <t>G-REQ-05235</t>
  </si>
  <si>
    <t>G-REQ-01356-E4</t>
  </si>
  <si>
    <t>G-REQ-05236</t>
  </si>
  <si>
    <t>G-REQ-01357-E1</t>
  </si>
  <si>
    <t>G-REQ-05237</t>
  </si>
  <si>
    <t>SYNTHETIC: Laptop allocation; Pending approval; asset G-AST-00492</t>
  </si>
  <si>
    <t>G-REQ-01357-E2</t>
  </si>
  <si>
    <t>SYNTHETIC: Laptop allocation; Approved; asset G-AST-00492</t>
  </si>
  <si>
    <t>G-REQ-05238</t>
  </si>
  <si>
    <t>G-REQ-01357-E3</t>
  </si>
  <si>
    <t>SYNTHETIC: Laptop allocation; In progress; asset G-AST-00492</t>
  </si>
  <si>
    <t>G-REQ-05239</t>
  </si>
  <si>
    <t>G-REQ-01357-E4</t>
  </si>
  <si>
    <t>SYNTHETIC: Laptop allocation; Completed; asset G-AST-00492</t>
  </si>
  <si>
    <t>G-REQ-01358-E1</t>
  </si>
  <si>
    <t>G-REQ-05240</t>
  </si>
  <si>
    <t>SYNTHETIC: Laptop repair; Pending approval; asset G-AST-00447</t>
  </si>
  <si>
    <t>G-REQ-01358-E2</t>
  </si>
  <si>
    <t>G-REQ-05241</t>
  </si>
  <si>
    <t>SYNTHETIC: Laptop repair; Approved; asset G-AST-00447</t>
  </si>
  <si>
    <t>G-REQ-01358-E3</t>
  </si>
  <si>
    <t>G-REQ-05242</t>
  </si>
  <si>
    <t>SYNTHETIC: Laptop repair; In progress; asset G-AST-00447</t>
  </si>
  <si>
    <t>G-REQ-01358-E4</t>
  </si>
  <si>
    <t>G-REQ-05243</t>
  </si>
  <si>
    <t>SYNTHETIC: Laptop repair; Completed; asset G-AST-00447</t>
  </si>
  <si>
    <t>G-REQ-01359-E1</t>
  </si>
  <si>
    <t>G-REQ-05244</t>
  </si>
  <si>
    <t>SYNTHETIC: Laptop repair; Pending approval; asset G-AST-00428</t>
  </si>
  <si>
    <t>G-REQ-01359-E2</t>
  </si>
  <si>
    <t>SYNTHETIC: Laptop repair; Approved; asset G-AST-00428</t>
  </si>
  <si>
    <t>G-REQ-05245</t>
  </si>
  <si>
    <t>G-REQ-01359-E3</t>
  </si>
  <si>
    <t>SYNTHETIC: Laptop repair; In progress; asset G-AST-00428</t>
  </si>
  <si>
    <t>G-REQ-01359-E4</t>
  </si>
  <si>
    <t>G-REQ-05246</t>
  </si>
  <si>
    <t>SYNTHETIC: Laptop repair; Completed; asset G-AST-00428</t>
  </si>
  <si>
    <t>G-REQ-01360-E1</t>
  </si>
  <si>
    <t>G-REQ-01360-E2</t>
  </si>
  <si>
    <t>G-REQ-05247</t>
  </si>
  <si>
    <t>G-REQ-01360-E3</t>
  </si>
  <si>
    <t>G-REQ-05248</t>
  </si>
  <si>
    <t>G-REQ-01360-E4</t>
  </si>
  <si>
    <t>G-REQ-05249</t>
  </si>
  <si>
    <t>G-REQ-01361-E1</t>
  </si>
  <si>
    <t>G-REQ-05250</t>
  </si>
  <si>
    <t>G-REQ-01361-E2</t>
  </si>
  <si>
    <t>G-REQ-01361-E3</t>
  </si>
  <si>
    <t>G-REQ-05251</t>
  </si>
  <si>
    <t>G-REQ-01361-E4</t>
  </si>
  <si>
    <t>G-REQ-05252</t>
  </si>
  <si>
    <t>G-REQ-01362-E1</t>
  </si>
  <si>
    <t>G-REQ-05253</t>
  </si>
  <si>
    <t>G-REQ-01362-E2</t>
  </si>
  <si>
    <t>G-REQ-05254</t>
  </si>
  <si>
    <t>G-REQ-01362-E3</t>
  </si>
  <si>
    <t>G-REQ-05255</t>
  </si>
  <si>
    <t>G-REQ-01362-E4</t>
  </si>
  <si>
    <t>G-REQ-01363-E1</t>
  </si>
  <si>
    <t>G-REQ-05256</t>
  </si>
  <si>
    <t>SYNTHETIC: Laptop repair; Pending approval; asset G-AST-00435</t>
  </si>
  <si>
    <t>G-REQ-01363-E2</t>
  </si>
  <si>
    <t>G-REQ-05257</t>
  </si>
  <si>
    <t>SYNTHETIC: Laptop repair; Approved; asset G-AST-00435</t>
  </si>
  <si>
    <t>G-REQ-01363-E3</t>
  </si>
  <si>
    <t>G-REQ-05258</t>
  </si>
  <si>
    <t>SYNTHETIC: Laptop repair; In progress; asset G-AST-00435</t>
  </si>
  <si>
    <t>G-REQ-01363-E4</t>
  </si>
  <si>
    <t>SYNTHETIC: Laptop repair; Completed; asset G-AST-00435</t>
  </si>
  <si>
    <t>G-REQ-05259</t>
  </si>
  <si>
    <t>G-REQ-01364-E1</t>
  </si>
  <si>
    <t>SYNTHETIC: Laptop return; Pending approval; asset G-AST-00216</t>
  </si>
  <si>
    <t>G-REQ-05260</t>
  </si>
  <si>
    <t>G-REQ-01364-E2</t>
  </si>
  <si>
    <t>SYNTHETIC: Laptop return; Approved; asset G-AST-00216</t>
  </si>
  <si>
    <t>G-REQ-01364-E3</t>
  </si>
  <si>
    <t>G-REQ-05261</t>
  </si>
  <si>
    <t>SYNTHETIC: Laptop return; In progress; asset G-AST-00216</t>
  </si>
  <si>
    <t>G-REQ-01364-E4</t>
  </si>
  <si>
    <t>G-REQ-05262</t>
  </si>
  <si>
    <t>SYNTHETIC: Laptop return; Completed; asset G-AST-00216</t>
  </si>
  <si>
    <t>G-REQ-01365-E1</t>
  </si>
  <si>
    <t>G-REQ-05263</t>
  </si>
  <si>
    <t>SYNTHETIC: Laptop return; Pending approval; asset G-AST-00391</t>
  </si>
  <si>
    <t>G-REQ-01365-E2</t>
  </si>
  <si>
    <t>G-REQ-05264</t>
  </si>
  <si>
    <t>SYNTHETIC: Laptop return; Approved; asset G-AST-00391</t>
  </si>
  <si>
    <t>G-REQ-01365-E3</t>
  </si>
  <si>
    <t>SYNTHETIC: Laptop return; In progress; asset G-AST-00391</t>
  </si>
  <si>
    <t>G-REQ-01365-E4</t>
  </si>
  <si>
    <t>G-REQ-05265</t>
  </si>
  <si>
    <t>SYNTHETIC: Laptop return; Completed; asset G-AST-00391</t>
  </si>
  <si>
    <t>G-REQ-01366-E1</t>
  </si>
  <si>
    <t>G-REQ-05266</t>
  </si>
  <si>
    <t>SYNTHETIC: Laptop return; Pending approval; asset G-AST-00432</t>
  </si>
  <si>
    <t>G-REQ-01366-E2</t>
  </si>
  <si>
    <t>SYNTHETIC: Laptop return; Approved; asset G-AST-00432</t>
  </si>
  <si>
    <t>G-REQ-05267</t>
  </si>
  <si>
    <t>G-REQ-01366-E3</t>
  </si>
  <si>
    <t>SYNTHETIC: Laptop return; In progress; asset G-AST-00432</t>
  </si>
  <si>
    <t>G-REQ-01366-E4</t>
  </si>
  <si>
    <t>G-REQ-05268</t>
  </si>
  <si>
    <t>SYNTHETIC: Laptop return; Completed; asset G-AST-00432</t>
  </si>
  <si>
    <t>G-REQ-01367-E1</t>
  </si>
  <si>
    <t>G-REQ-05269</t>
  </si>
  <si>
    <t>SYNTHETIC: Laptop return; Pending approval; asset G-AST-00364</t>
  </si>
  <si>
    <t>G-REQ-01367-E2</t>
  </si>
  <si>
    <t>G-REQ-05270</t>
  </si>
  <si>
    <t>SYNTHETIC: Laptop return; Approved; asset G-AST-00364</t>
  </si>
  <si>
    <t>G-REQ-01367-E3</t>
  </si>
  <si>
    <t>G-REQ-05271</t>
  </si>
  <si>
    <t>SYNTHETIC: Laptop return; In progress; asset G-AST-00364</t>
  </si>
  <si>
    <t>G-REQ-01367-E4</t>
  </si>
  <si>
    <t>SYNTHETIC: Laptop return; Completed; asset G-AST-00364</t>
  </si>
  <si>
    <t>G-REQ-01368-E1</t>
  </si>
  <si>
    <t>G-REQ-05272</t>
  </si>
  <si>
    <t>SYNTHETIC: Laptop repair; Pending approval; asset G-AST-00376</t>
  </si>
  <si>
    <t>G-REQ-01368-E2</t>
  </si>
  <si>
    <t>G-REQ-05273</t>
  </si>
  <si>
    <t>SYNTHETIC: Laptop repair; Approved; asset G-AST-00376</t>
  </si>
  <si>
    <t>G-REQ-01368-E3</t>
  </si>
  <si>
    <t>G-REQ-05274</t>
  </si>
  <si>
    <t>SYNTHETIC: Laptop repair; In progress; asset G-AST-00376</t>
  </si>
  <si>
    <t>G-REQ-01368-E4</t>
  </si>
  <si>
    <t>G-REQ-05275</t>
  </si>
  <si>
    <t>SYNTHETIC: Laptop repair; Completed; asset G-AST-00376</t>
  </si>
  <si>
    <t>G-REQ-01369-E1</t>
  </si>
  <si>
    <t>SYNTHETIC: Laptop return; Pending approval; asset G-AST-00090</t>
  </si>
  <si>
    <t>G-REQ-05276</t>
  </si>
  <si>
    <t>G-REQ-01369-E2</t>
  </si>
  <si>
    <t>SYNTHETIC: Laptop return; Approved; asset G-AST-00090</t>
  </si>
  <si>
    <t>G-REQ-01369-E3</t>
  </si>
  <si>
    <t>G-REQ-05277</t>
  </si>
  <si>
    <t>SYNTHETIC: Laptop return; In progress; asset G-AST-00090</t>
  </si>
  <si>
    <t>G-REQ-01369-E4</t>
  </si>
  <si>
    <t>G-REQ-05278</t>
  </si>
  <si>
    <t>SYNTHETIC: Laptop return; Completed; asset G-AST-00090</t>
  </si>
  <si>
    <t>G-REQ-01370-E1</t>
  </si>
  <si>
    <t>SYNTHETIC: Laptop return; Pending approval; asset G-AST-00394</t>
  </si>
  <si>
    <t>G-REQ-05279</t>
  </si>
  <si>
    <t>G-REQ-01370-E2</t>
  </si>
  <si>
    <t>SYNTHETIC: Laptop return; Approved; asset G-AST-00394</t>
  </si>
  <si>
    <t>G-REQ-01370-E3</t>
  </si>
  <si>
    <t>G-REQ-05280</t>
  </si>
  <si>
    <t>SYNTHETIC: Laptop return; In progress; asset G-AST-00394</t>
  </si>
  <si>
    <t>G-REQ-01370-E4</t>
  </si>
  <si>
    <t>G-REQ-05281</t>
  </si>
  <si>
    <t>SYNTHETIC: Laptop return; Completed; asset G-AST-00394</t>
  </si>
  <si>
    <t>G-REQ-01371-E1</t>
  </si>
  <si>
    <t>G-REQ-05282</t>
  </si>
  <si>
    <t>G-REQ-01371-E2</t>
  </si>
  <si>
    <t>G-REQ-05283</t>
  </si>
  <si>
    <t>G-REQ-01371-E3</t>
  </si>
  <si>
    <t>G-REQ-01371-E4</t>
  </si>
  <si>
    <t>G-REQ-05284</t>
  </si>
  <si>
    <t>G-REQ-01372-E1</t>
  </si>
  <si>
    <t>G-REQ-05285</t>
  </si>
  <si>
    <t>SYNTHETIC: Laptop allocation; Pending approval; asset G-AST-00493</t>
  </si>
  <si>
    <t>G-REQ-01372-E2</t>
  </si>
  <si>
    <t>G-REQ-05286</t>
  </si>
  <si>
    <t>SYNTHETIC: Laptop allocation; Approved; asset G-AST-00493</t>
  </si>
  <si>
    <t>G-REQ-01372-E3</t>
  </si>
  <si>
    <t>SYNTHETIC: Laptop allocation; In progress; asset G-AST-00493</t>
  </si>
  <si>
    <t>G-REQ-05287</t>
  </si>
  <si>
    <t>G-REQ-01372-E4</t>
  </si>
  <si>
    <t>SYNTHETIC: Laptop allocation; Completed; asset G-AST-00493</t>
  </si>
  <si>
    <t>G-REQ-01373-E1</t>
  </si>
  <si>
    <t>G-REQ-05288</t>
  </si>
  <si>
    <t>SYNTHETIC: Laptop allocation; Pending approval; asset G-AST-00494</t>
  </si>
  <si>
    <t>G-REQ-01373-E2</t>
  </si>
  <si>
    <t>G-REQ-05289</t>
  </si>
  <si>
    <t>SYNTHETIC: Laptop allocation; Approved; asset G-AST-00494</t>
  </si>
  <si>
    <t>G-REQ-01373-E3</t>
  </si>
  <si>
    <t>G-REQ-05290</t>
  </si>
  <si>
    <t>SYNTHETIC: Laptop allocation; In progress; asset G-AST-00494</t>
  </si>
  <si>
    <t>G-REQ-01373-E4</t>
  </si>
  <si>
    <t>SYNTHETIC: Laptop allocation; Completed; asset G-AST-00494</t>
  </si>
  <si>
    <t>G-REQ-05291</t>
  </si>
  <si>
    <t>G-REQ-01374-E1</t>
  </si>
  <si>
    <t>G-REQ-05292</t>
  </si>
  <si>
    <t>G-REQ-01374-E2</t>
  </si>
  <si>
    <t>G-REQ-05293</t>
  </si>
  <si>
    <t>G-REQ-01374-E3</t>
  </si>
  <si>
    <t>G-REQ-01374-E4</t>
  </si>
  <si>
    <t>G-REQ-05294</t>
  </si>
  <si>
    <t>G-REQ-01375-E1</t>
  </si>
  <si>
    <t>G-REQ-01375-E2</t>
  </si>
  <si>
    <t>G-REQ-05295</t>
  </si>
  <si>
    <t>SYNTHETIC: Laptop return; Approved; asset G-AST-00308</t>
  </si>
  <si>
    <t>G-REQ-01375-E3</t>
  </si>
  <si>
    <t>G-REQ-05296</t>
  </si>
  <si>
    <t>SYNTHETIC: Laptop return; In progress; asset G-AST-00308</t>
  </si>
  <si>
    <t>G-REQ-01375-E4</t>
  </si>
  <si>
    <t>G-REQ-05297</t>
  </si>
  <si>
    <t>SYNTHETIC: Laptop return; Completed; asset G-AST-00308</t>
  </si>
  <si>
    <t>G-REQ-01376-E1</t>
  </si>
  <si>
    <t>G-REQ-05298</t>
  </si>
  <si>
    <t>SYNTHETIC: Laptop repair; Pending approval; asset G-AST-00449</t>
  </si>
  <si>
    <t>G-REQ-01376-E2</t>
  </si>
  <si>
    <t>G-REQ-05299</t>
  </si>
  <si>
    <t>SYNTHETIC: Laptop repair; Approved; asset G-AST-00449</t>
  </si>
  <si>
    <t>G-REQ-01376-E3</t>
  </si>
  <si>
    <t>SYNTHETIC: Laptop repair; In progress; asset G-AST-00449</t>
  </si>
  <si>
    <t>G-REQ-05300</t>
  </si>
  <si>
    <t>G-REQ-01376-E4</t>
  </si>
  <si>
    <t>SYNTHETIC: Laptop repair; Completed; asset G-AST-00449</t>
  </si>
  <si>
    <t>G-REQ-01377-E1</t>
  </si>
  <si>
    <t>G-REQ-05301</t>
  </si>
  <si>
    <t>G-REQ-01377-E2</t>
  </si>
  <si>
    <t>G-REQ-05302</t>
  </si>
  <si>
    <t>G-REQ-01378-E1</t>
  </si>
  <si>
    <t>G-REQ-05303</t>
  </si>
  <si>
    <t>G-REQ-01378-E2</t>
  </si>
  <si>
    <t>G-REQ-01379-E1</t>
  </si>
  <si>
    <t>G-REQ-05304</t>
  </si>
  <si>
    <t>G-REQ-01379-E2</t>
  </si>
  <si>
    <t>G-REQ-05305</t>
  </si>
  <si>
    <t>G-REQ-01379-E3</t>
  </si>
  <si>
    <t>G-REQ-05306</t>
  </si>
  <si>
    <t>G-REQ-01379-E4</t>
  </si>
  <si>
    <t>G-REQ-05307</t>
  </si>
  <si>
    <t>G-REQ-01380-E1</t>
  </si>
  <si>
    <t>G-REQ-05308</t>
  </si>
  <si>
    <t>SYNTHETIC: Laptop return; Pending approval; asset G-AST-00332</t>
  </si>
  <si>
    <t>G-REQ-01380-E2</t>
  </si>
  <si>
    <t>SYNTHETIC: Laptop return; Approved; asset G-AST-00332</t>
  </si>
  <si>
    <t>G-REQ-05309</t>
  </si>
  <si>
    <t>G-REQ-01380-E3</t>
  </si>
  <si>
    <t>SYNTHETIC: Laptop return; In progress; asset G-AST-00332</t>
  </si>
  <si>
    <t>G-REQ-01380-E4</t>
  </si>
  <si>
    <t>G-REQ-05310</t>
  </si>
  <si>
    <t>SYNTHETIC: Laptop return; Completed; asset G-AST-00332</t>
  </si>
  <si>
    <t>G-REQ-01381-E1</t>
  </si>
  <si>
    <t>G-REQ-05311</t>
  </si>
  <si>
    <t>G-REQ-01381-E2</t>
  </si>
  <si>
    <t>G-REQ-05312</t>
  </si>
  <si>
    <t>G-REQ-01382-E1</t>
  </si>
  <si>
    <t>G-REQ-05313</t>
  </si>
  <si>
    <t>SYNTHETIC: Laptop return; Pending approval; asset G-AST-00435</t>
  </si>
  <si>
    <t>G-REQ-01382-E2</t>
  </si>
  <si>
    <t>SYNTHETIC: Laptop return; Approved; asset G-AST-00435</t>
  </si>
  <si>
    <t>G-REQ-05314</t>
  </si>
  <si>
    <t>G-REQ-01382-E3</t>
  </si>
  <si>
    <t>SYNTHETIC: Laptop return; In progress; asset G-AST-00435</t>
  </si>
  <si>
    <t>G-REQ-01382-E4</t>
  </si>
  <si>
    <t>G-REQ-05315</t>
  </si>
  <si>
    <t>SYNTHETIC: Laptop return; Completed; asset G-AST-00435</t>
  </si>
  <si>
    <t>G-REQ-01383-E1</t>
  </si>
  <si>
    <t>G-REQ-05316</t>
  </si>
  <si>
    <t>SYNTHETIC: Laptop return; Pending approval; asset G-AST-00380</t>
  </si>
  <si>
    <t>G-REQ-01383-E2</t>
  </si>
  <si>
    <t>G-REQ-05317</t>
  </si>
  <si>
    <t>SYNTHETIC: Laptop return; Approved; asset G-AST-00380</t>
  </si>
  <si>
    <t>G-REQ-01383-E3</t>
  </si>
  <si>
    <t>SYNTHETIC: Laptop return; In progress; asset G-AST-00380</t>
  </si>
  <si>
    <t>G-REQ-05318</t>
  </si>
  <si>
    <t>G-REQ-01383-E4</t>
  </si>
  <si>
    <t>SYNTHETIC: Laptop return; Completed; asset G-AST-00380</t>
  </si>
  <si>
    <t>G-REQ-01384-E1</t>
  </si>
  <si>
    <t>G-REQ-05319</t>
  </si>
  <si>
    <t>SYNTHETIC: Laptop repair; Pending approval; asset G-AST-00425</t>
  </si>
  <si>
    <t>G-REQ-01384-E2</t>
  </si>
  <si>
    <t>G-REQ-05320</t>
  </si>
  <si>
    <t>SYNTHETIC: Laptop repair; Rejected; asset G-AST-00425</t>
  </si>
  <si>
    <t>G-REQ-01385-E1</t>
  </si>
  <si>
    <t>G-REQ-05321</t>
  </si>
  <si>
    <t>SYNTHETIC: Laptop repair; Pending approval; asset G-AST-00493</t>
  </si>
  <si>
    <t>G-REQ-01385-E2</t>
  </si>
  <si>
    <t>G-REQ-05322</t>
  </si>
  <si>
    <t>SYNTHETIC: Laptop repair; Approved; asset G-AST-00493</t>
  </si>
  <si>
    <t>G-REQ-01385-E3</t>
  </si>
  <si>
    <t>G-REQ-05323</t>
  </si>
  <si>
    <t>SYNTHETIC: Laptop repair; In progress; asset G-AST-00493</t>
  </si>
  <si>
    <t>G-REQ-01385-E4</t>
  </si>
  <si>
    <t>SYNTHETIC: Laptop repair; Completed; asset G-AST-00493</t>
  </si>
  <si>
    <t>G-REQ-01386-E1</t>
  </si>
  <si>
    <t>G-REQ-05324</t>
  </si>
  <si>
    <t>G-REQ-01386-E2</t>
  </si>
  <si>
    <t>G-REQ-05325</t>
  </si>
  <si>
    <t>G-REQ-01386-E3</t>
  </si>
  <si>
    <t>G-REQ-05326</t>
  </si>
  <si>
    <t>G-REQ-01386-E4</t>
  </si>
  <si>
    <t>G-REQ-05327</t>
  </si>
  <si>
    <t>G-REQ-01387-E1</t>
  </si>
  <si>
    <t>G-REQ-05328</t>
  </si>
  <si>
    <t>SYNTHETIC: Laptop return; Pending approval; asset G-AST-00472</t>
  </si>
  <si>
    <t>G-REQ-01387-E2</t>
  </si>
  <si>
    <t>G-REQ-05329</t>
  </si>
  <si>
    <t>SYNTHETIC: Laptop return; Cancelled; asset G-AST-00472</t>
  </si>
  <si>
    <t>G-REQ-01388-E1</t>
  </si>
  <si>
    <t>G-REQ-05330</t>
  </si>
  <si>
    <t>SYNTHETIC: Laptop return; Pending approval; asset G-AST-00035</t>
  </si>
  <si>
    <t>G-REQ-01388-E2</t>
  </si>
  <si>
    <t>SYNTHETIC: Laptop return; Approved; asset G-AST-00035</t>
  </si>
  <si>
    <t>G-REQ-05331</t>
  </si>
  <si>
    <t>G-REQ-01388-E3</t>
  </si>
  <si>
    <t>SYNTHETIC: Laptop return; In progress; asset G-AST-00035</t>
  </si>
  <si>
    <t>G-REQ-01388-E4</t>
  </si>
  <si>
    <t>G-REQ-05332</t>
  </si>
  <si>
    <t>SYNTHETIC: Laptop return; Completed; asset G-AST-00035</t>
  </si>
  <si>
    <t>G-REQ-01389-E1</t>
  </si>
  <si>
    <t>G-REQ-05333</t>
  </si>
  <si>
    <t>SYNTHETIC: Laptop repair; Pending approval; asset G-AST-00310</t>
  </si>
  <si>
    <t>G-REQ-01389-E2</t>
  </si>
  <si>
    <t>G-REQ-05334</t>
  </si>
  <si>
    <t>SYNTHETIC: Laptop repair; Rejected; asset G-AST-00310</t>
  </si>
  <si>
    <t>G-REQ-01390-E1</t>
  </si>
  <si>
    <t>G-REQ-05335</t>
  </si>
  <si>
    <t>G-REQ-01390-E2</t>
  </si>
  <si>
    <t>G-REQ-05336</t>
  </si>
  <si>
    <t>G-REQ-01391-E1</t>
  </si>
  <si>
    <t>G-REQ-01391-E2</t>
  </si>
  <si>
    <t>G-REQ-05337</t>
  </si>
  <si>
    <t>G-REQ-01391-E3</t>
  </si>
  <si>
    <t>G-REQ-05338</t>
  </si>
  <si>
    <t>G-REQ-01391-E4</t>
  </si>
  <si>
    <t>G-REQ-05339</t>
  </si>
  <si>
    <t>G-REQ-01392-E1</t>
  </si>
  <si>
    <t>G-REQ-05340</t>
  </si>
  <si>
    <t>G-REQ-01392-E2</t>
  </si>
  <si>
    <t>G-REQ-05341</t>
  </si>
  <si>
    <t>G-REQ-01392-E3</t>
  </si>
  <si>
    <t>G-REQ-01392-E4</t>
  </si>
  <si>
    <t>G-REQ-05342</t>
  </si>
  <si>
    <t>G-REQ-01393-E1</t>
  </si>
  <si>
    <t>G-REQ-05343</t>
  </si>
  <si>
    <t>SYNTHETIC: Laptop allocation; Pending approval; asset G-AST-00495</t>
  </si>
  <si>
    <t>G-REQ-01393-E2</t>
  </si>
  <si>
    <t>G-REQ-05344</t>
  </si>
  <si>
    <t>SYNTHETIC: Laptop allocation; Approved; asset G-AST-00495</t>
  </si>
  <si>
    <t>G-REQ-01393-E3</t>
  </si>
  <si>
    <t>SYNTHETIC: Laptop allocation; In progress; asset G-AST-00495</t>
  </si>
  <si>
    <t>G-REQ-01393-E4</t>
  </si>
  <si>
    <t>G-REQ-05345</t>
  </si>
  <si>
    <t>SYNTHETIC: Laptop allocation; Completed; asset G-AST-00495</t>
  </si>
  <si>
    <t>G-REQ-01394-E1</t>
  </si>
  <si>
    <t>G-REQ-05346</t>
  </si>
  <si>
    <t>G-REQ-01394-E2</t>
  </si>
  <si>
    <t>G-REQ-05347</t>
  </si>
  <si>
    <t>G-REQ-01395-E1</t>
  </si>
  <si>
    <t>G-REQ-05348</t>
  </si>
  <si>
    <t>SYNTHETIC: Laptop repair; Pending approval; asset G-AST-00488</t>
  </si>
  <si>
    <t>G-REQ-01395-E2</t>
  </si>
  <si>
    <t>G-REQ-05349</t>
  </si>
  <si>
    <t>SYNTHETIC: Laptop repair; Approved; asset G-AST-00488</t>
  </si>
  <si>
    <t>G-REQ-01395-E3</t>
  </si>
  <si>
    <t>SYNTHETIC: Laptop repair; In progress; asset G-AST-00488</t>
  </si>
  <si>
    <t>G-REQ-01395-E4</t>
  </si>
  <si>
    <t>G-REQ-05350</t>
  </si>
  <si>
    <t>SYNTHETIC: Laptop repair; Completed; asset G-AST-00488</t>
  </si>
  <si>
    <t>G-REQ-01396-E1</t>
  </si>
  <si>
    <t>G-REQ-05351</t>
  </si>
  <si>
    <t>SYNTHETIC: Laptop return; Pending approval; asset G-AST-00393</t>
  </si>
  <si>
    <t>G-REQ-01396-E2</t>
  </si>
  <si>
    <t>G-REQ-05352</t>
  </si>
  <si>
    <t>SYNTHETIC: Laptop return; Approved; asset G-AST-00393</t>
  </si>
  <si>
    <t>G-REQ-01396-E3</t>
  </si>
  <si>
    <t>G-REQ-05353</t>
  </si>
  <si>
    <t>SYNTHETIC: Laptop return; In progress; asset G-AST-00393</t>
  </si>
  <si>
    <t>G-REQ-01396-E4</t>
  </si>
  <si>
    <t>SYNTHETIC: Laptop return; Completed; asset G-AST-00393</t>
  </si>
  <si>
    <t>G-REQ-05354</t>
  </si>
  <si>
    <t>G-REQ-01397-E1</t>
  </si>
  <si>
    <t>SYNTHETIC: Laptop return; Pending approval; asset G-AST-00482</t>
  </si>
  <si>
    <t>G-REQ-01397-E2</t>
  </si>
  <si>
    <t>G-REQ-05355</t>
  </si>
  <si>
    <t>SYNTHETIC: Laptop return; Approved; asset G-AST-00482</t>
  </si>
  <si>
    <t>G-REQ-01397-E3</t>
  </si>
  <si>
    <t>G-REQ-05356</t>
  </si>
  <si>
    <t>SYNTHETIC: Laptop return; In progress; asset G-AST-00482</t>
  </si>
  <si>
    <t>G-REQ-01397-E4</t>
  </si>
  <si>
    <t>G-REQ-05357</t>
  </si>
  <si>
    <t>SYNTHETIC: Laptop return; Completed; asset G-AST-00482</t>
  </si>
  <si>
    <t>G-REQ-01398-E1</t>
  </si>
  <si>
    <t>G-REQ-05358</t>
  </si>
  <si>
    <t>G-REQ-01398-E2</t>
  </si>
  <si>
    <t>G-REQ-05359</t>
  </si>
  <si>
    <t>G-REQ-01399-E1</t>
  </si>
  <si>
    <t>G-REQ-05360</t>
  </si>
  <si>
    <t>SYNTHETIC: Laptop repair; Pending approval; asset G-AST-00480</t>
  </si>
  <si>
    <t>G-REQ-01399-E2</t>
  </si>
  <si>
    <t>G-REQ-05361</t>
  </si>
  <si>
    <t>SYNTHETIC: Laptop repair; Approved; asset G-AST-00480</t>
  </si>
  <si>
    <t>G-REQ-01399-E3</t>
  </si>
  <si>
    <t>G-REQ-05362</t>
  </si>
  <si>
    <t>SYNTHETIC: Laptop repair; In progress; asset G-AST-00480</t>
  </si>
  <si>
    <t>G-REQ-01399-E4</t>
  </si>
  <si>
    <t>SYNTHETIC: Laptop repair; Completed; asset G-AST-00480</t>
  </si>
  <si>
    <t>G-REQ-01400-E1</t>
  </si>
  <si>
    <t>G-REQ-05363</t>
  </si>
  <si>
    <t>SYNTHETIC: Laptop allocation; Pending approval; asset G-AST-00496</t>
  </si>
  <si>
    <t>G-REQ-01400-E2</t>
  </si>
  <si>
    <t>G-REQ-05364</t>
  </si>
  <si>
    <t>SYNTHETIC: Laptop allocation; Approved; asset G-AST-00496</t>
  </si>
  <si>
    <t>G-REQ-01400-E3</t>
  </si>
  <si>
    <t>G-REQ-05365</t>
  </si>
  <si>
    <t>SYNTHETIC: Laptop allocation; In progress; asset G-AST-00496</t>
  </si>
  <si>
    <t>G-REQ-01400-E4</t>
  </si>
  <si>
    <t>SYNTHETIC: Laptop allocation; Completed; asset G-AST-00496</t>
  </si>
  <si>
    <t>G-REQ-01401-E1</t>
  </si>
  <si>
    <t>G-REQ-05366</t>
  </si>
  <si>
    <t>G-REQ-01401-E2</t>
  </si>
  <si>
    <t>G-REQ-05367</t>
  </si>
  <si>
    <t>G-REQ-01401-E3</t>
  </si>
  <si>
    <t>G-REQ-05368</t>
  </si>
  <si>
    <t>G-REQ-01401-E4</t>
  </si>
  <si>
    <t>G-REQ-05369</t>
  </si>
  <si>
    <t>G-REQ-01402-E1</t>
  </si>
  <si>
    <t>G-REQ-05370</t>
  </si>
  <si>
    <t>G-REQ-01402-E2</t>
  </si>
  <si>
    <t>G-REQ-01402-E3</t>
  </si>
  <si>
    <t>G-REQ-05371</t>
  </si>
  <si>
    <t>G-REQ-01402-E4</t>
  </si>
  <si>
    <t>G-REQ-05372</t>
  </si>
  <si>
    <t>G-REQ-01403-E1</t>
  </si>
  <si>
    <t>G-REQ-05373</t>
  </si>
  <si>
    <t>G-REQ-01403-E2</t>
  </si>
  <si>
    <t>G-REQ-01404-E1</t>
  </si>
  <si>
    <t>G-REQ-05374</t>
  </si>
  <si>
    <t>SYNTHETIC: Laptop allocation; Pending approval; asset G-AST-00497</t>
  </si>
  <si>
    <t>G-REQ-01404-E2</t>
  </si>
  <si>
    <t>G-REQ-05375</t>
  </si>
  <si>
    <t>SYNTHETIC: Laptop allocation; Approved; asset G-AST-00497</t>
  </si>
  <si>
    <t>G-REQ-01404-E3</t>
  </si>
  <si>
    <t>G-REQ-05376</t>
  </si>
  <si>
    <t>SYNTHETIC: Laptop allocation; In progress; asset G-AST-00497</t>
  </si>
  <si>
    <t>G-REQ-01404-E4</t>
  </si>
  <si>
    <t>G-REQ-05377</t>
  </si>
  <si>
    <t>SYNTHETIC: Laptop allocation; Completed; asset G-AST-00497</t>
  </si>
  <si>
    <t>G-REQ-01405-E1</t>
  </si>
  <si>
    <t>SYNTHETIC: Laptop allocation; Pending approval; asset G-AST-00498</t>
  </si>
  <si>
    <t>G-REQ-05378</t>
  </si>
  <si>
    <t>G-REQ-01405-E2</t>
  </si>
  <si>
    <t>SYNTHETIC: Laptop allocation; Approved; asset G-AST-00498</t>
  </si>
  <si>
    <t>G-REQ-01405-E3</t>
  </si>
  <si>
    <t>G-REQ-05379</t>
  </si>
  <si>
    <t>SYNTHETIC: Laptop allocation; In progress; asset G-AST-00498</t>
  </si>
  <si>
    <t>G-REQ-01405-E4</t>
  </si>
  <si>
    <t>G-REQ-05380</t>
  </si>
  <si>
    <t>SYNTHETIC: Laptop allocation; Completed; asset G-AST-00498</t>
  </si>
  <si>
    <t>G-REQ-01406-E1</t>
  </si>
  <si>
    <t>G-REQ-05381</t>
  </si>
  <si>
    <t>SYNTHETIC: Laptop allocation; Pending approval; asset G-AST-00499</t>
  </si>
  <si>
    <t>G-REQ-01406-E2</t>
  </si>
  <si>
    <t>SYNTHETIC: Laptop allocation; Approved; asset G-AST-00499</t>
  </si>
  <si>
    <t>G-REQ-05382</t>
  </si>
  <si>
    <t>G-REQ-01406-E3</t>
  </si>
  <si>
    <t>SYNTHETIC: Laptop allocation; In progress; asset G-AST-00499</t>
  </si>
  <si>
    <t>G-REQ-01406-E4</t>
  </si>
  <si>
    <t>G-REQ-05383</t>
  </si>
  <si>
    <t>SYNTHETIC: Laptop allocation; Completed; asset G-AST-00499</t>
  </si>
  <si>
    <t>G-REQ-01407-E1</t>
  </si>
  <si>
    <t>G-REQ-05384</t>
  </si>
  <si>
    <t>SYNTHETIC: Laptop repair; Pending approval; asset G-AST-00468</t>
  </si>
  <si>
    <t>G-REQ-01407-E2</t>
  </si>
  <si>
    <t>G-REQ-05385</t>
  </si>
  <si>
    <t>SYNTHETIC: Laptop repair; Approved; asset G-AST-00468</t>
  </si>
  <si>
    <t>G-REQ-01407-E3</t>
  </si>
  <si>
    <t>SYNTHETIC: Laptop repair; In progress; asset G-AST-00468</t>
  </si>
  <si>
    <t>G-REQ-05386</t>
  </si>
  <si>
    <t>G-REQ-01407-E4</t>
  </si>
  <si>
    <t>SYNTHETIC: Laptop repair; Completed; asset G-AST-00468</t>
  </si>
  <si>
    <t>G-REQ-01408-E1</t>
  </si>
  <si>
    <t>G-REQ-05387</t>
  </si>
  <si>
    <t>G-REQ-01408-E2</t>
  </si>
  <si>
    <t>G-REQ-05388</t>
  </si>
  <si>
    <t>G-REQ-01408-E3</t>
  </si>
  <si>
    <t>G-REQ-05389</t>
  </si>
  <si>
    <t>G-REQ-01408-E4</t>
  </si>
  <si>
    <t>G-REQ-05390</t>
  </si>
  <si>
    <t>G-REQ-01409-E1</t>
  </si>
  <si>
    <t>G-REQ-05391</t>
  </si>
  <si>
    <t>G-REQ-01409-E2</t>
  </si>
  <si>
    <t>G-REQ-05392</t>
  </si>
  <si>
    <t>G-REQ-01409-E3</t>
  </si>
  <si>
    <t>G-REQ-05393</t>
  </si>
  <si>
    <t>G-REQ-01409-E4</t>
  </si>
  <si>
    <t>G-REQ-01410-E1</t>
  </si>
  <si>
    <t>G-REQ-05394</t>
  </si>
  <si>
    <t>SYNTHETIC: Laptop allocation; Pending approval; asset G-AST-00500</t>
  </si>
  <si>
    <t>G-REQ-01410-E2</t>
  </si>
  <si>
    <t>G-REQ-05395</t>
  </si>
  <si>
    <t>SYNTHETIC: Laptop allocation; Approved; asset G-AST-00500</t>
  </si>
  <si>
    <t>G-REQ-01410-E3</t>
  </si>
  <si>
    <t>G-REQ-05396</t>
  </si>
  <si>
    <t>SYNTHETIC: Laptop allocation; In progress; asset G-AST-00500</t>
  </si>
  <si>
    <t>G-REQ-01410-E4</t>
  </si>
  <si>
    <t>SYNTHETIC: Laptop allocation; Completed; asset G-AST-00500</t>
  </si>
  <si>
    <t>G-REQ-05397</t>
  </si>
  <si>
    <t>G-REQ-01411-E1</t>
  </si>
  <si>
    <t>SYNTHETIC: Laptop allocation; Pending approval; asset G-AST-00501</t>
  </si>
  <si>
    <t>G-REQ-01411-E2</t>
  </si>
  <si>
    <t>G-REQ-05398</t>
  </si>
  <si>
    <t>SYNTHETIC: Laptop allocation; Approved; asset G-AST-00501</t>
  </si>
  <si>
    <t>G-REQ-01411-E3</t>
  </si>
  <si>
    <t>G-REQ-05399</t>
  </si>
  <si>
    <t>SYNTHETIC: Laptop allocation; In progress; asset G-AST-00501</t>
  </si>
  <si>
    <t>G-REQ-01411-E4</t>
  </si>
  <si>
    <t>G-REQ-05400</t>
  </si>
  <si>
    <t>SYNTHETIC: Laptop allocation; Completed; asset G-AST-00501</t>
  </si>
  <si>
    <t>G-REQ-01412-E1</t>
  </si>
  <si>
    <t>G-REQ-05401</t>
  </si>
  <si>
    <t>SYNTHETIC: Laptop return; Pending approval; asset G-AST-00307</t>
  </si>
  <si>
    <t>G-REQ-01412-E2</t>
  </si>
  <si>
    <t>SYNTHETIC: Laptop return; Approved; asset G-AST-00307</t>
  </si>
  <si>
    <t>G-REQ-05402</t>
  </si>
  <si>
    <t>G-REQ-01412-E3</t>
  </si>
  <si>
    <t>SYNTHETIC: Laptop return; In progress; asset G-AST-00307</t>
  </si>
  <si>
    <t>G-REQ-01412-E4</t>
  </si>
  <si>
    <t>G-REQ-05403</t>
  </si>
  <si>
    <t>SYNTHETIC: Laptop return; Completed; asset G-AST-00307</t>
  </si>
  <si>
    <t>G-REQ-01413-E1</t>
  </si>
  <si>
    <t>G-REQ-05404</t>
  </si>
  <si>
    <t>SYNTHETIC: Laptop allocation; Pending approval; asset G-AST-00502</t>
  </si>
  <si>
    <t>G-REQ-01413-E2</t>
  </si>
  <si>
    <t>G-REQ-05405</t>
  </si>
  <si>
    <t>SYNTHETIC: Laptop allocation; Approved; asset G-AST-00502</t>
  </si>
  <si>
    <t>G-REQ-01413-E3</t>
  </si>
  <si>
    <t>SYNTHETIC: Laptop allocation; In progress; asset G-AST-00502</t>
  </si>
  <si>
    <t>G-REQ-01413-E4</t>
  </si>
  <si>
    <t>G-REQ-05406</t>
  </si>
  <si>
    <t>SYNTHETIC: Laptop allocation; Completed; asset G-AST-00502</t>
  </si>
  <si>
    <t>G-REQ-01414-E1</t>
  </si>
  <si>
    <t>G-REQ-05407</t>
  </si>
  <si>
    <t>SYNTHETIC: Laptop return; Pending approval; asset G-AST-00439</t>
  </si>
  <si>
    <t>G-REQ-01414-E2</t>
  </si>
  <si>
    <t>G-REQ-05408</t>
  </si>
  <si>
    <t>SYNTHETIC: Laptop return; Approved; asset G-AST-00439</t>
  </si>
  <si>
    <t>G-REQ-01414-E3</t>
  </si>
  <si>
    <t>G-REQ-05409</t>
  </si>
  <si>
    <t>SYNTHETIC: Laptop return; In progress; asset G-AST-00439</t>
  </si>
  <si>
    <t>G-REQ-01414-E4</t>
  </si>
  <si>
    <t>SYNTHETIC: Laptop return; Completed; asset G-AST-00439</t>
  </si>
  <si>
    <t>G-REQ-01415-E1</t>
  </si>
  <si>
    <t>G-REQ-05410</t>
  </si>
  <si>
    <t>SYNTHETIC: Laptop return; Pending approval; asset G-AST-00449</t>
  </si>
  <si>
    <t>G-REQ-01415-E2</t>
  </si>
  <si>
    <t>G-REQ-05411</t>
  </si>
  <si>
    <t>SYNTHETIC: Laptop return; Approved; asset G-AST-00449</t>
  </si>
  <si>
    <t>G-REQ-01415-E3</t>
  </si>
  <si>
    <t>G-REQ-05412</t>
  </si>
  <si>
    <t>SYNTHETIC: Laptop return; In progress; asset G-AST-00449</t>
  </si>
  <si>
    <t>G-REQ-01415-E4</t>
  </si>
  <si>
    <t>SYNTHETIC: Laptop return; Completed; asset G-AST-00449</t>
  </si>
  <si>
    <t>G-REQ-05413</t>
  </si>
  <si>
    <t>G-REQ-01416-E1</t>
  </si>
  <si>
    <t>SYNTHETIC: Laptop allocation; Pending approval; asset G-AST-00503</t>
  </si>
  <si>
    <t>G-REQ-05414</t>
  </si>
  <si>
    <t>G-REQ-01416-E2</t>
  </si>
  <si>
    <t>SYNTHETIC: Laptop allocation; Approved; asset G-AST-00503</t>
  </si>
  <si>
    <t>G-REQ-01416-E3</t>
  </si>
  <si>
    <t>G-REQ-05415</t>
  </si>
  <si>
    <t>SYNTHETIC: Laptop allocation; In progress; asset G-AST-00503</t>
  </si>
  <si>
    <t>G-REQ-01416-E4</t>
  </si>
  <si>
    <t>G-REQ-05416</t>
  </si>
  <si>
    <t>SYNTHETIC: Laptop allocation; Completed; asset G-AST-00503</t>
  </si>
  <si>
    <t>G-REQ-01417-E1</t>
  </si>
  <si>
    <t>SYNTHETIC: Laptop return; Pending approval; asset G-AST-00497</t>
  </si>
  <si>
    <t>G-REQ-05417</t>
  </si>
  <si>
    <t>G-REQ-01417-E2</t>
  </si>
  <si>
    <t>SYNTHETIC: Laptop return; Approved; asset G-AST-00497</t>
  </si>
  <si>
    <t>G-REQ-01417-E3</t>
  </si>
  <si>
    <t>G-REQ-05418</t>
  </si>
  <si>
    <t>SYNTHETIC: Laptop return; In progress; asset G-AST-00497</t>
  </si>
  <si>
    <t>G-REQ-01417-E4</t>
  </si>
  <si>
    <t>SYNTHETIC: Laptop return; Completed; asset G-AST-00497</t>
  </si>
  <si>
    <t>G-REQ-01418-E1</t>
  </si>
  <si>
    <t>G-REQ-05419</t>
  </si>
  <si>
    <t>G-REQ-01418-E2</t>
  </si>
  <si>
    <t>G-REQ-05420</t>
  </si>
  <si>
    <t>G-REQ-05421</t>
  </si>
  <si>
    <t>G-REQ-01418-E3</t>
  </si>
  <si>
    <t>G-REQ-05422</t>
  </si>
  <si>
    <t>G-REQ-01418-E4</t>
  </si>
  <si>
    <t>G-REQ-05423</t>
  </si>
  <si>
    <t>G-REQ-01419-E1</t>
  </si>
  <si>
    <t>SYNTHETIC: Laptop repair; Pending approval; asset G-AST-00283</t>
  </si>
  <si>
    <t>G-REQ-05424</t>
  </si>
  <si>
    <t>G-REQ-01419-E2</t>
  </si>
  <si>
    <t>SYNTHETIC: Laptop repair; Approved; asset G-AST-00283</t>
  </si>
  <si>
    <t>G-REQ-01419-E3</t>
  </si>
  <si>
    <t>G-REQ-05425</t>
  </si>
  <si>
    <t>SYNTHETIC: Laptop repair; In progress; asset G-AST-00283</t>
  </si>
  <si>
    <t>G-REQ-01419-E4</t>
  </si>
  <si>
    <t>G-REQ-05426</t>
  </si>
  <si>
    <t>SYNTHETIC: Laptop repair; Completed; asset G-AST-00283</t>
  </si>
  <si>
    <t>G-REQ-01420-E1</t>
  </si>
  <si>
    <t>G-REQ-05427</t>
  </si>
  <si>
    <t>SYNTHETIC: Laptop return; Pending approval; asset G-AST-00431</t>
  </si>
  <si>
    <t>G-REQ-01420-E2</t>
  </si>
  <si>
    <t>SYNTHETIC: Laptop return; Approved; asset G-AST-00431</t>
  </si>
  <si>
    <t>G-REQ-01420-E3</t>
  </si>
  <si>
    <t>G-REQ-05428</t>
  </si>
  <si>
    <t>SYNTHETIC: Laptop return; In progress; asset G-AST-00431</t>
  </si>
  <si>
    <t>G-REQ-01420-E4</t>
  </si>
  <si>
    <t>G-REQ-05429</t>
  </si>
  <si>
    <t>SYNTHETIC: Laptop return; Completed; asset G-AST-00431</t>
  </si>
  <si>
    <t>G-REQ-01421-E1</t>
  </si>
  <si>
    <t>G-REQ-05430</t>
  </si>
  <si>
    <t>SYNTHETIC: Laptop return; Pending approval; asset G-AST-00387</t>
  </si>
  <si>
    <t>G-REQ-01421-E2</t>
  </si>
  <si>
    <t>SYNTHETIC: Laptop return; Approved; asset G-AST-00387</t>
  </si>
  <si>
    <t>G-REQ-05431</t>
  </si>
  <si>
    <t>G-REQ-01421-E3</t>
  </si>
  <si>
    <t>SYNTHETIC: Laptop return; In progress; asset G-AST-00387</t>
  </si>
  <si>
    <t>G-REQ-01421-E4</t>
  </si>
  <si>
    <t>G-REQ-05432</t>
  </si>
  <si>
    <t>SYNTHETIC: Laptop return; Completed; asset G-AST-00387</t>
  </si>
  <si>
    <t>G-REQ-01422-E1</t>
  </si>
  <si>
    <t>G-REQ-05433</t>
  </si>
  <si>
    <t>G-REQ-01422-E2</t>
  </si>
  <si>
    <t>G-REQ-05434</t>
  </si>
  <si>
    <t>SYNTHETIC: Laptop repair; Approved; asset G-AST-00462</t>
  </si>
  <si>
    <t>G-REQ-01422-E3</t>
  </si>
  <si>
    <t>G-REQ-05435</t>
  </si>
  <si>
    <t>SYNTHETIC: Laptop repair; In progress; asset G-AST-00462</t>
  </si>
  <si>
    <t>G-REQ-01422-E4</t>
  </si>
  <si>
    <t>SYNTHETIC: Laptop repair; Completed; asset G-AST-00462</t>
  </si>
  <si>
    <t>G-REQ-01423-E1</t>
  </si>
  <si>
    <t>G-REQ-05436</t>
  </si>
  <si>
    <t>SYNTHETIC: Laptop return; Pending approval; asset G-AST-00464</t>
  </si>
  <si>
    <t>G-REQ-01423-E2</t>
  </si>
  <si>
    <t>G-REQ-05437</t>
  </si>
  <si>
    <t>SYNTHETIC: Laptop return; Cancelled; asset G-AST-00464</t>
  </si>
  <si>
    <t>G-REQ-01424-E1</t>
  </si>
  <si>
    <t>G-REQ-05438</t>
  </si>
  <si>
    <t>SYNTHETIC: Laptop allocation; Pending approval; asset G-AST-00504</t>
  </si>
  <si>
    <t>G-REQ-01424-E2</t>
  </si>
  <si>
    <t>G-REQ-05439</t>
  </si>
  <si>
    <t>SYNTHETIC: Laptop allocation; Approved; asset G-AST-00504</t>
  </si>
  <si>
    <t>G-REQ-01424-E3</t>
  </si>
  <si>
    <t>G-REQ-05440</t>
  </si>
  <si>
    <t>SYNTHETIC: Laptop allocation; In progress; asset G-AST-00504</t>
  </si>
  <si>
    <t>G-REQ-01424-E4</t>
  </si>
  <si>
    <t>SYNTHETIC: Laptop allocation; Completed; asset G-AST-00504</t>
  </si>
  <si>
    <t>G-REQ-05441</t>
  </si>
  <si>
    <t>G-REQ-01425-E1</t>
  </si>
  <si>
    <t>SYNTHETIC: Laptop allocation; Pending approval; asset G-AST-00505</t>
  </si>
  <si>
    <t>G-REQ-05442</t>
  </si>
  <si>
    <t>G-REQ-01425-E2</t>
  </si>
  <si>
    <t>SYNTHETIC: Laptop allocation; Approved; asset G-AST-00505</t>
  </si>
  <si>
    <t>G-REQ-01425-E3</t>
  </si>
  <si>
    <t>G-REQ-05443</t>
  </si>
  <si>
    <t>SYNTHETIC: Laptop allocation; In progress; asset G-AST-00505</t>
  </si>
  <si>
    <t>G-REQ-01425-E4</t>
  </si>
  <si>
    <t>G-REQ-05444</t>
  </si>
  <si>
    <t>SYNTHETIC: Laptop allocation; Completed; asset G-AST-00505</t>
  </si>
  <si>
    <t>G-REQ-01426-E1</t>
  </si>
  <si>
    <t>SYNTHETIC: Laptop return; Pending approval; asset G-AST-00162</t>
  </si>
  <si>
    <t>G-REQ-05445</t>
  </si>
  <si>
    <t>G-REQ-01426-E2</t>
  </si>
  <si>
    <t>SYNTHETIC: Laptop return; Approved; asset G-AST-00162</t>
  </si>
  <si>
    <t>G-REQ-01426-E3</t>
  </si>
  <si>
    <t>G-REQ-05446</t>
  </si>
  <si>
    <t>SYNTHETIC: Laptop return; In progress; asset G-AST-00162</t>
  </si>
  <si>
    <t>G-REQ-01426-E4</t>
  </si>
  <si>
    <t>G-REQ-05447</t>
  </si>
  <si>
    <t>SYNTHETIC: Laptop return; Completed; asset G-AST-00162</t>
  </si>
  <si>
    <t>G-REQ-01427-E1</t>
  </si>
  <si>
    <t>G-REQ-05448</t>
  </si>
  <si>
    <t>SYNTHETIC: Laptop allocation; Pending approval; asset G-AST-00506</t>
  </si>
  <si>
    <t>G-REQ-01427-E2</t>
  </si>
  <si>
    <t>SYNTHETIC: Laptop allocation; Approved; asset G-AST-00506</t>
  </si>
  <si>
    <t>G-REQ-05449</t>
  </si>
  <si>
    <t>G-REQ-01427-E3</t>
  </si>
  <si>
    <t>SYNTHETIC: Laptop allocation; In progress; asset G-AST-00506</t>
  </si>
  <si>
    <t>G-REQ-01427-E4</t>
  </si>
  <si>
    <t>G-REQ-05450</t>
  </si>
  <si>
    <t>SYNTHETIC: Laptop allocation; Completed; asset G-AST-00506</t>
  </si>
  <si>
    <t>G-REQ-01428-E1</t>
  </si>
  <si>
    <t>G-REQ-05451</t>
  </si>
  <si>
    <t>G-REQ-01428-E2</t>
  </si>
  <si>
    <t>G-REQ-05452</t>
  </si>
  <si>
    <t>SYNTHETIC: Laptop return; Approved; asset G-AST-00450</t>
  </si>
  <si>
    <t>G-REQ-01428-E3</t>
  </si>
  <si>
    <t>G-REQ-05453</t>
  </si>
  <si>
    <t>SYNTHETIC: Laptop return; In progress; asset G-AST-00450</t>
  </si>
  <si>
    <t>G-REQ-01428-E4</t>
  </si>
  <si>
    <t>SYNTHETIC: Laptop return; Completed; asset G-AST-00450</t>
  </si>
  <si>
    <t>G-REQ-05454</t>
  </si>
  <si>
    <t>G-REQ-01429-E1</t>
  </si>
  <si>
    <t>SYNTHETIC: Laptop allocation; Pending approval; asset G-AST-00507</t>
  </si>
  <si>
    <t>G-REQ-01429-E2</t>
  </si>
  <si>
    <t>G-REQ-05455</t>
  </si>
  <si>
    <t>SYNTHETIC: Laptop allocation; Approved; asset G-AST-00507</t>
  </si>
  <si>
    <t>G-REQ-01429-E3</t>
  </si>
  <si>
    <t>G-REQ-05456</t>
  </si>
  <si>
    <t>SYNTHETIC: Laptop allocation; In progress; asset G-AST-00507</t>
  </si>
  <si>
    <t>G-REQ-01429-E4</t>
  </si>
  <si>
    <t>G-REQ-05457</t>
  </si>
  <si>
    <t>SYNTHETIC: Laptop allocation; Completed; asset G-AST-00507</t>
  </si>
  <si>
    <t>G-REQ-01430-E1</t>
  </si>
  <si>
    <t>G-REQ-05458</t>
  </si>
  <si>
    <t>SYNTHETIC: Laptop allocation; Pending approval; asset G-AST-00508</t>
  </si>
  <si>
    <t>G-REQ-01430-E2</t>
  </si>
  <si>
    <t>G-REQ-05459</t>
  </si>
  <si>
    <t>SYNTHETIC: Laptop allocation; Approved; asset G-AST-00508</t>
  </si>
  <si>
    <t>G-REQ-01430-E3</t>
  </si>
  <si>
    <t>SYNTHETIC: Laptop allocation; In progress; asset G-AST-00508</t>
  </si>
  <si>
    <t>G-REQ-05460</t>
  </si>
  <si>
    <t>G-REQ-01430-E4</t>
  </si>
  <si>
    <t>SYNTHETIC: Laptop allocation; Completed; asset G-AST-00508</t>
  </si>
  <si>
    <t>G-REQ-01431-E1</t>
  </si>
  <si>
    <t>G-REQ-05461</t>
  </si>
  <si>
    <t>G-REQ-05462</t>
  </si>
  <si>
    <t>G-REQ-05463</t>
  </si>
  <si>
    <t>SYNTHETIC: Laptop repair; Pending approval; asset G-AST-00503</t>
  </si>
  <si>
    <t>G-REQ-01431-E2</t>
  </si>
  <si>
    <t>G-REQ-05464</t>
  </si>
  <si>
    <t>SYNTHETIC: Laptop repair; Approved; asset G-AST-00503</t>
  </si>
  <si>
    <t>G-REQ-01431-E3</t>
  </si>
  <si>
    <t>G-REQ-05465</t>
  </si>
  <si>
    <t>SYNTHETIC: Laptop repair; In progress; asset G-AST-00503</t>
  </si>
  <si>
    <t>G-REQ-01431-E4</t>
  </si>
  <si>
    <t>G-REQ-05466</t>
  </si>
  <si>
    <t>SYNTHETIC: Laptop repair; Completed; asset G-AST-00503</t>
  </si>
  <si>
    <t>G-REQ-01432-E1</t>
  </si>
  <si>
    <t>G-REQ-05467</t>
  </si>
  <si>
    <t>SYNTHETIC: Laptop repair; Pending approval; asset G-AST-00471</t>
  </si>
  <si>
    <t>G-REQ-01432-E2</t>
  </si>
  <si>
    <t>SYNTHETIC: Laptop repair; Approved; asset G-AST-00471</t>
  </si>
  <si>
    <t>G-REQ-01432-E3</t>
  </si>
  <si>
    <t>G-REQ-05468</t>
  </si>
  <si>
    <t>SYNTHETIC: Laptop repair; In progress; asset G-AST-00471</t>
  </si>
  <si>
    <t>G-REQ-01432-E4</t>
  </si>
  <si>
    <t>G-REQ-05469</t>
  </si>
  <si>
    <t>SYNTHETIC: Laptop repair; Completed; asset G-AST-00471</t>
  </si>
  <si>
    <t>G-REQ-01433-E1</t>
  </si>
  <si>
    <t>G-REQ-05470</t>
  </si>
  <si>
    <t>G-REQ-01433-E2</t>
  </si>
  <si>
    <t>G-REQ-05471</t>
  </si>
  <si>
    <t>G-REQ-01433-E3</t>
  </si>
  <si>
    <t>G-REQ-05472</t>
  </si>
  <si>
    <t>G-REQ-01433-E4</t>
  </si>
  <si>
    <t>G-REQ-01434-E1</t>
  </si>
  <si>
    <t>G-REQ-05473</t>
  </si>
  <si>
    <t>SYNTHETIC: Laptop allocation; Pending approval; asset G-AST-00509</t>
  </si>
  <si>
    <t>G-REQ-01434-E2</t>
  </si>
  <si>
    <t>G-REQ-05474</t>
  </si>
  <si>
    <t>G-REQ-05475</t>
  </si>
  <si>
    <t>SYNTHETIC: Laptop allocation; Approved; asset G-AST-00509</t>
  </si>
  <si>
    <t>G-REQ-01434-E3</t>
  </si>
  <si>
    <t>G-REQ-05476</t>
  </si>
  <si>
    <t>SYNTHETIC: Laptop allocation; In progress; asset G-AST-00509</t>
  </si>
  <si>
    <t>G-REQ-01434-E4</t>
  </si>
  <si>
    <t>SYNTHETIC: Laptop allocation; Completed; asset G-AST-00509</t>
  </si>
  <si>
    <t>G-REQ-05477</t>
  </si>
  <si>
    <t>G-REQ-01435-E1</t>
  </si>
  <si>
    <t>SYNTHETIC: Laptop return; Pending approval; asset G-AST-00483</t>
  </si>
  <si>
    <t>G-REQ-01435-E2</t>
  </si>
  <si>
    <t>G-REQ-05478</t>
  </si>
  <si>
    <t>SYNTHETIC: Laptop return; Approved; asset G-AST-00483</t>
  </si>
  <si>
    <t>G-REQ-01435-E3</t>
  </si>
  <si>
    <t>G-REQ-05479</t>
  </si>
  <si>
    <t>SYNTHETIC: Laptop return; In progress; asset G-AST-00483</t>
  </si>
  <si>
    <t>G-REQ-01435-E4</t>
  </si>
  <si>
    <t>G-REQ-05480</t>
  </si>
  <si>
    <t>SYNTHETIC: Laptop return; Completed; asset G-AST-00483</t>
  </si>
  <si>
    <t>G-REQ-01436-E1</t>
  </si>
  <si>
    <t>G-REQ-05481</t>
  </si>
  <si>
    <t>G-REQ-01436-E2</t>
  </si>
  <si>
    <t>G-REQ-01436-E3</t>
  </si>
  <si>
    <t>G-REQ-05482</t>
  </si>
  <si>
    <t>G-REQ-01436-E4</t>
  </si>
  <si>
    <t>G-REQ-05483</t>
  </si>
  <si>
    <t>G-REQ-01437-E1</t>
  </si>
  <si>
    <t>G-REQ-05484</t>
  </si>
  <si>
    <t>SYNTHETIC: Laptop allocation; Pending approval; asset G-AST-00510</t>
  </si>
  <si>
    <t>G-REQ-01437-E2</t>
  </si>
  <si>
    <t>G-REQ-05485</t>
  </si>
  <si>
    <t>SYNTHETIC: Laptop allocation; Approved; asset G-AST-00510</t>
  </si>
  <si>
    <t>G-REQ-01437-E3</t>
  </si>
  <si>
    <t>G-REQ-05486</t>
  </si>
  <si>
    <t>SYNTHETIC: Laptop allocation; In progress; asset G-AST-00510</t>
  </si>
  <si>
    <t>G-REQ-01437-E4</t>
  </si>
  <si>
    <t>SYNTHETIC: Laptop allocation; Completed; asset G-AST-00510</t>
  </si>
  <si>
    <t>G-REQ-05487</t>
  </si>
  <si>
    <t>G-REQ-01438-E1</t>
  </si>
  <si>
    <t>SYNTHETIC: Laptop allocation; Pending approval; asset G-AST-00511</t>
  </si>
  <si>
    <t>G-REQ-01438-E2</t>
  </si>
  <si>
    <t>G-REQ-05488</t>
  </si>
  <si>
    <t>SYNTHETIC: Laptop allocation; Approved; asset G-AST-00511</t>
  </si>
  <si>
    <t>G-REQ-01438-E3</t>
  </si>
  <si>
    <t>G-REQ-05489</t>
  </si>
  <si>
    <t>SYNTHETIC: Laptop allocation; In progress; asset G-AST-00511</t>
  </si>
  <si>
    <t>G-REQ-01438-E4</t>
  </si>
  <si>
    <t>G-REQ-05490</t>
  </si>
  <si>
    <t>SYNTHETIC: Laptop allocation; Completed; asset G-AST-00511</t>
  </si>
  <si>
    <t>G-REQ-01439-E1</t>
  </si>
  <si>
    <t>SYNTHETIC: Laptop return; Pending approval; asset G-AST-00314</t>
  </si>
  <si>
    <t>G-REQ-05491</t>
  </si>
  <si>
    <t>G-REQ-01439-E2</t>
  </si>
  <si>
    <t>SYNTHETIC: Laptop return; Approved; asset G-AST-00314</t>
  </si>
  <si>
    <t>G-REQ-01439-E3</t>
  </si>
  <si>
    <t>G-REQ-05492</t>
  </si>
  <si>
    <t>SYNTHETIC: Laptop return; In progress; asset G-AST-00314</t>
  </si>
  <si>
    <t>G-REQ-01439-E4</t>
  </si>
  <si>
    <t>G-REQ-05493</t>
  </si>
  <si>
    <t>SYNTHETIC: Laptop return; Completed; asset G-AST-00314</t>
  </si>
  <si>
    <t>G-REQ-01440-E1</t>
  </si>
  <si>
    <t>G-REQ-05494</t>
  </si>
  <si>
    <t>G-REQ-01440-E2</t>
  </si>
  <si>
    <t>G-REQ-05495</t>
  </si>
  <si>
    <t>G-REQ-01440-E3</t>
  </si>
  <si>
    <t>G-REQ-01440-E4</t>
  </si>
  <si>
    <t>G-REQ-05496</t>
  </si>
  <si>
    <t>G-REQ-01441-E1</t>
  </si>
  <si>
    <t>G-REQ-05497</t>
  </si>
  <si>
    <t>SYNTHETIC: Laptop repair; Pending approval; asset G-AST-00475</t>
  </si>
  <si>
    <t>G-REQ-01441-E2</t>
  </si>
  <si>
    <t>G-REQ-05498</t>
  </si>
  <si>
    <t>SYNTHETIC: Laptop repair; Approved; asset G-AST-00475</t>
  </si>
  <si>
    <t>G-REQ-01441-E3</t>
  </si>
  <si>
    <t>G-REQ-05499</t>
  </si>
  <si>
    <t>SYNTHETIC: Laptop repair; In progress; asset G-AST-00475</t>
  </si>
  <si>
    <t>G-REQ-01441-E4</t>
  </si>
  <si>
    <t>SYNTHETIC: Laptop repair; Completed; asset G-AST-00475</t>
  </si>
  <si>
    <t>G-REQ-01442-E1</t>
  </si>
  <si>
    <t>G-REQ-05500</t>
  </si>
  <si>
    <t>SYNTHETIC: Laptop repair; Pending approval; asset G-AST-00448</t>
  </si>
  <si>
    <t>G-REQ-01442-E2</t>
  </si>
  <si>
    <t>G-REQ-05501</t>
  </si>
  <si>
    <t>SYNTHETIC: Laptop repair; Approved; asset G-AST-00448</t>
  </si>
  <si>
    <t>G-REQ-01442-E3</t>
  </si>
  <si>
    <t>G-REQ-05502</t>
  </si>
  <si>
    <t>SYNTHETIC: Laptop repair; In progress; asset G-AST-00448</t>
  </si>
  <si>
    <t>G-REQ-01442-E4</t>
  </si>
  <si>
    <t>G-REQ-05503</t>
  </si>
  <si>
    <t>SYNTHETIC: Laptop repair; Completed; asset G-AST-00448</t>
  </si>
  <si>
    <t>G-REQ-01443-E1</t>
  </si>
  <si>
    <t>G-REQ-01443-E2</t>
  </si>
  <si>
    <t>G-REQ-05504</t>
  </si>
  <si>
    <t>G-REQ-01443-E3</t>
  </si>
  <si>
    <t>G-REQ-05505</t>
  </si>
  <si>
    <t>G-REQ-01443-E4</t>
  </si>
  <si>
    <t>G-REQ-05506</t>
  </si>
  <si>
    <t>G-REQ-01444-E1</t>
  </si>
  <si>
    <t>G-REQ-01444-E2</t>
  </si>
  <si>
    <t>G-REQ-05507</t>
  </si>
  <si>
    <t>G-REQ-01445-E1</t>
  </si>
  <si>
    <t>G-REQ-05508</t>
  </si>
  <si>
    <t>SYNTHETIC: Laptop return; Pending approval; asset G-AST-00468</t>
  </si>
  <si>
    <t>G-REQ-01445-E2</t>
  </si>
  <si>
    <t>G-REQ-05509</t>
  </si>
  <si>
    <t>SYNTHETIC: Laptop return; Approved; asset G-AST-00468</t>
  </si>
  <si>
    <t>G-REQ-01445-E3</t>
  </si>
  <si>
    <t>G-REQ-05510</t>
  </si>
  <si>
    <t>SYNTHETIC: Laptop return; In progress; asset G-AST-00468</t>
  </si>
  <si>
    <t>G-REQ-01445-E4</t>
  </si>
  <si>
    <t>SYNTHETIC: Laptop return; Completed; asset G-AST-00468</t>
  </si>
  <si>
    <t>G-REQ-05511</t>
  </si>
  <si>
    <t>G-REQ-01446-E1</t>
  </si>
  <si>
    <t>SYNTHETIC: Laptop allocation; Pending approval; asset G-AST-00512</t>
  </si>
  <si>
    <t>G-REQ-05512</t>
  </si>
  <si>
    <t>G-REQ-01446-E2</t>
  </si>
  <si>
    <t>SYNTHETIC: Laptop allocation; Approved; asset G-AST-00512</t>
  </si>
  <si>
    <t>G-REQ-01446-E3</t>
  </si>
  <si>
    <t>G-REQ-05513</t>
  </si>
  <si>
    <t>SYNTHETIC: Laptop allocation; In progress; asset G-AST-00512</t>
  </si>
  <si>
    <t>G-REQ-01446-E4</t>
  </si>
  <si>
    <t>G-REQ-05514</t>
  </si>
  <si>
    <t>SYNTHETIC: Laptop allocation; Completed; asset G-AST-00512</t>
  </si>
  <si>
    <t>G-REQ-01447-E1</t>
  </si>
  <si>
    <t>G-REQ-05515</t>
  </si>
  <si>
    <t>SYNTHETIC: Laptop return; Pending approval; asset G-AST-00325</t>
  </si>
  <si>
    <t>G-REQ-01447-E2</t>
  </si>
  <si>
    <t>G-REQ-05516</t>
  </si>
  <si>
    <t>SYNTHETIC: Laptop return; Approved; asset G-AST-00325</t>
  </si>
  <si>
    <t>G-REQ-01447-E3</t>
  </si>
  <si>
    <t>G-REQ-05517</t>
  </si>
  <si>
    <t>SYNTHETIC: Laptop return; In progress; asset G-AST-00325</t>
  </si>
  <si>
    <t>G-REQ-01447-E4</t>
  </si>
  <si>
    <t>SYNTHETIC: Laptop return; Completed; asset G-AST-00325</t>
  </si>
  <si>
    <t>G-REQ-05518</t>
  </si>
  <si>
    <t>G-REQ-01448-E1</t>
  </si>
  <si>
    <t>G-REQ-05519</t>
  </si>
  <si>
    <t>G-REQ-01448-E2</t>
  </si>
  <si>
    <t>G-REQ-05520</t>
  </si>
  <si>
    <t>G-REQ-01448-E3</t>
  </si>
  <si>
    <t>G-REQ-01448-E4</t>
  </si>
  <si>
    <t>G-REQ-05521</t>
  </si>
  <si>
    <t>G-REQ-01449-E1</t>
  </si>
  <si>
    <t>G-REQ-05522</t>
  </si>
  <si>
    <t>G-REQ-01449-E2</t>
  </si>
  <si>
    <t>G-REQ-05523</t>
  </si>
  <si>
    <t>SYNTHETIC: Laptop return; Approved; asset G-AST-00226</t>
  </si>
  <si>
    <t>G-REQ-01449-E3</t>
  </si>
  <si>
    <t>G-REQ-05524</t>
  </si>
  <si>
    <t>SYNTHETIC: Laptop return; In progress; asset G-AST-00226</t>
  </si>
  <si>
    <t>G-REQ-01449-E4</t>
  </si>
  <si>
    <t>G-REQ-05525</t>
  </si>
  <si>
    <t>SYNTHETIC: Laptop return; Completed; asset G-AST-00226</t>
  </si>
  <si>
    <t>G-REQ-01450-E1</t>
  </si>
  <si>
    <t>G-REQ-05526</t>
  </si>
  <si>
    <t>G-REQ-01450-E2</t>
  </si>
  <si>
    <t>G-REQ-05527</t>
  </si>
  <si>
    <t>G-REQ-01451-E1</t>
  </si>
  <si>
    <t>SYNTHETIC: Laptop repair; Pending approval; asset G-AST-00498</t>
  </si>
  <si>
    <t>G-REQ-05528</t>
  </si>
  <si>
    <t>G-REQ-01451-E2</t>
  </si>
  <si>
    <t>SYNTHETIC: Laptop repair; Cancelled; asset G-AST-00498</t>
  </si>
  <si>
    <t>G-REQ-01452-E1</t>
  </si>
  <si>
    <t>G-REQ-05529</t>
  </si>
  <si>
    <t>SYNTHETIC: Laptop repair; Pending approval; asset G-AST-00452</t>
  </si>
  <si>
    <t>G-REQ-01452-E2</t>
  </si>
  <si>
    <t>G-REQ-05530</t>
  </si>
  <si>
    <t>SYNTHETIC: Laptop repair; Approved; asset G-AST-00452</t>
  </si>
  <si>
    <t>G-REQ-01452-E3</t>
  </si>
  <si>
    <t>G-REQ-05531</t>
  </si>
  <si>
    <t>SYNTHETIC: Laptop repair; In progress; asset G-AST-00452</t>
  </si>
  <si>
    <t>G-REQ-01452-E4</t>
  </si>
  <si>
    <t>G-REQ-05532</t>
  </si>
  <si>
    <t>SYNTHETIC: Laptop repair; Completed; asset G-AST-00452</t>
  </si>
  <si>
    <t>G-REQ-01453-E1</t>
  </si>
  <si>
    <t>SYNTHETIC: Laptop allocation; Pending approval; asset G-AST-00513</t>
  </si>
  <si>
    <t>G-REQ-05533</t>
  </si>
  <si>
    <t>G-REQ-01453-E2</t>
  </si>
  <si>
    <t>SYNTHETIC: Laptop allocation; Approved; asset G-AST-00513</t>
  </si>
  <si>
    <t>G-REQ-01453-E3</t>
  </si>
  <si>
    <t>G-REQ-05534</t>
  </si>
  <si>
    <t>SYNTHETIC: Laptop allocation; In progress; asset G-AST-00513</t>
  </si>
  <si>
    <t>G-REQ-01453-E4</t>
  </si>
  <si>
    <t>G-REQ-05535</t>
  </si>
  <si>
    <t>SYNTHETIC: Laptop allocation; Completed; asset G-AST-00513</t>
  </si>
  <si>
    <t>G-REQ-01454-E1</t>
  </si>
  <si>
    <t>G-REQ-05536</t>
  </si>
  <si>
    <t>G-REQ-01454-E2</t>
  </si>
  <si>
    <t>SYNTHETIC: Laptop return; Approved; asset G-AST-00252</t>
  </si>
  <si>
    <t>G-REQ-01454-E3</t>
  </si>
  <si>
    <t>G-REQ-05537</t>
  </si>
  <si>
    <t>SYNTHETIC: Laptop return; In progress; asset G-AST-00252</t>
  </si>
  <si>
    <t>G-REQ-01454-E4</t>
  </si>
  <si>
    <t>G-REQ-05538</t>
  </si>
  <si>
    <t>SYNTHETIC: Laptop return; Completed; asset G-AST-00252</t>
  </si>
  <si>
    <t>G-REQ-01455-E1</t>
  </si>
  <si>
    <t>G-REQ-05539</t>
  </si>
  <si>
    <t>G-REQ-01455-E2</t>
  </si>
  <si>
    <t>G-REQ-05540</t>
  </si>
  <si>
    <t>G-REQ-01455-E3</t>
  </si>
  <si>
    <t>G-REQ-01455-E4</t>
  </si>
  <si>
    <t>G-REQ-05541</t>
  </si>
  <si>
    <t>G-REQ-01456-E1</t>
  </si>
  <si>
    <t>G-REQ-05542</t>
  </si>
  <si>
    <t>SYNTHETIC: Laptop return; Pending approval; asset G-AST-00223</t>
  </si>
  <si>
    <t>G-REQ-01456-E2</t>
  </si>
  <si>
    <t>G-REQ-05543</t>
  </si>
  <si>
    <t>SYNTHETIC: Laptop return; Rejected; asset G-AST-00223</t>
  </si>
  <si>
    <t>G-REQ-01457-E1</t>
  </si>
  <si>
    <t>G-REQ-05544</t>
  </si>
  <si>
    <t>SYNTHETIC: Laptop allocation; Pending approval; asset G-AST-00514</t>
  </si>
  <si>
    <t>G-REQ-01457-E2</t>
  </si>
  <si>
    <t>SYNTHETIC: Laptop allocation; Approved; asset G-AST-00514</t>
  </si>
  <si>
    <t>G-REQ-01457-E3</t>
  </si>
  <si>
    <t>SYNTHETIC: Laptop allocation; In progress; asset G-AST-00514</t>
  </si>
  <si>
    <t>G-REQ-05545</t>
  </si>
  <si>
    <t>G-REQ-01457-E4</t>
  </si>
  <si>
    <t>SYNTHETIC: Laptop allocation; Completed; asset G-AST-00514</t>
  </si>
  <si>
    <t>G-REQ-01458-E1</t>
  </si>
  <si>
    <t>G-REQ-05546</t>
  </si>
  <si>
    <t>SYNTHETIC: Laptop allocation; Pending approval; asset G-AST-00515</t>
  </si>
  <si>
    <t>G-REQ-05547</t>
  </si>
  <si>
    <t>G-REQ-01458-E2</t>
  </si>
  <si>
    <t>SYNTHETIC: Laptop allocation; Approved; asset G-AST-00515</t>
  </si>
  <si>
    <t>G-REQ-01458-E3</t>
  </si>
  <si>
    <t>G-REQ-05548</t>
  </si>
  <si>
    <t>SYNTHETIC: Laptop allocation; In progress; asset G-AST-00515</t>
  </si>
  <si>
    <t>G-REQ-01458-E4</t>
  </si>
  <si>
    <t>G-REQ-05549</t>
  </si>
  <si>
    <t>SYNTHETIC: Laptop allocation; Completed; asset G-AST-00515</t>
  </si>
  <si>
    <t>G-REQ-01459-E1</t>
  </si>
  <si>
    <t>G-REQ-05550</t>
  </si>
  <si>
    <t>G-REQ-01459-E2</t>
  </si>
  <si>
    <t>G-REQ-05551</t>
  </si>
  <si>
    <t>G-REQ-01459-E3</t>
  </si>
  <si>
    <t>G-REQ-05552</t>
  </si>
  <si>
    <t>G-REQ-01459-E4</t>
  </si>
  <si>
    <t>G-REQ-01460-E1</t>
  </si>
  <si>
    <t>G-REQ-05553</t>
  </si>
  <si>
    <t>G-REQ-01460-E2</t>
  </si>
  <si>
    <t>G-REQ-05554</t>
  </si>
  <si>
    <t>G-REQ-01460-E3</t>
  </si>
  <si>
    <t>G-REQ-05555</t>
  </si>
  <si>
    <t>G-REQ-01460-E4</t>
  </si>
  <si>
    <t>G-REQ-05556</t>
  </si>
  <si>
    <t>G-REQ-01461-E1</t>
  </si>
  <si>
    <t>G-REQ-05557</t>
  </si>
  <si>
    <t>G-REQ-01461-E2</t>
  </si>
  <si>
    <t>SYNTHETIC: Laptop repair; Cancelled; asset G-AST-00098</t>
  </si>
  <si>
    <t>G-REQ-05558</t>
  </si>
  <si>
    <t>G-REQ-01462-E1</t>
  </si>
  <si>
    <t>G-REQ-05559</t>
  </si>
  <si>
    <t>G-REQ-05560</t>
  </si>
  <si>
    <t>SYNTHETIC: Laptop allocation; Pending approval; asset G-AST-00516</t>
  </si>
  <si>
    <t>G-REQ-05561</t>
  </si>
  <si>
    <t>G-REQ-01462-E2</t>
  </si>
  <si>
    <t>SYNTHETIC: Laptop allocation; Approved; asset G-AST-00516</t>
  </si>
  <si>
    <t>G-REQ-01462-E3</t>
  </si>
  <si>
    <t>G-REQ-05562</t>
  </si>
  <si>
    <t>SYNTHETIC: Laptop allocation; In progress; asset G-AST-00516</t>
  </si>
  <si>
    <t>G-REQ-01462-E4</t>
  </si>
  <si>
    <t>G-REQ-05563</t>
  </si>
  <si>
    <t>SYNTHETIC: Laptop allocation; Completed; asset G-AST-00516</t>
  </si>
  <si>
    <t>G-REQ-01463-E1</t>
  </si>
  <si>
    <t>G-REQ-05564</t>
  </si>
  <si>
    <t>G-REQ-01463-E2</t>
  </si>
  <si>
    <t>G-REQ-05565</t>
  </si>
  <si>
    <t>G-REQ-01463-E3</t>
  </si>
  <si>
    <t>G-REQ-05566</t>
  </si>
  <si>
    <t>G-REQ-01463-E4</t>
  </si>
  <si>
    <t>G-REQ-01464-E1</t>
  </si>
  <si>
    <t>G-REQ-05567</t>
  </si>
  <si>
    <t>SYNTHETIC: Laptop allocation; Pending approval; asset G-AST-00517</t>
  </si>
  <si>
    <t>G-REQ-01464-E2</t>
  </si>
  <si>
    <t>G-REQ-05568</t>
  </si>
  <si>
    <t>SYNTHETIC: Laptop allocation; Approved; asset G-AST-00517</t>
  </si>
  <si>
    <t>G-REQ-01464-E3</t>
  </si>
  <si>
    <t>G-REQ-05569</t>
  </si>
  <si>
    <t>SYNTHETIC: Laptop allocation; In progress; asset G-AST-00517</t>
  </si>
  <si>
    <t>G-REQ-01464-E4</t>
  </si>
  <si>
    <t>G-REQ-05570</t>
  </si>
  <si>
    <t>SYNTHETIC: Laptop allocation; Completed; asset G-AST-00517</t>
  </si>
  <si>
    <t>G-REQ-01465-E1</t>
  </si>
  <si>
    <t>G-REQ-05571</t>
  </si>
  <si>
    <t>G-REQ-01465-E2</t>
  </si>
  <si>
    <t>G-REQ-01465-E3</t>
  </si>
  <si>
    <t>G-REQ-05572</t>
  </si>
  <si>
    <t>G-REQ-01465-E4</t>
  </si>
  <si>
    <t>G-REQ-05573</t>
  </si>
  <si>
    <t>G-REQ-01466-E1</t>
  </si>
  <si>
    <t>SYNTHETIC: Laptop allocation; Pending approval; asset G-AST-00518</t>
  </si>
  <si>
    <t>G-REQ-05574</t>
  </si>
  <si>
    <t>G-REQ-01466-E2</t>
  </si>
  <si>
    <t>SYNTHETIC: Laptop allocation; Approved; asset G-AST-00518</t>
  </si>
  <si>
    <t>G-REQ-01466-E3</t>
  </si>
  <si>
    <t>G-REQ-05575</t>
  </si>
  <si>
    <t>SYNTHETIC: Laptop allocation; In progress; asset G-AST-00518</t>
  </si>
  <si>
    <t>G-REQ-01466-E4</t>
  </si>
  <si>
    <t>G-REQ-05576</t>
  </si>
  <si>
    <t>SYNTHETIC: Laptop allocation; Completed; asset G-AST-00518</t>
  </si>
  <si>
    <t>G-REQ-01467-E1</t>
  </si>
  <si>
    <t>SYNTHETIC: Laptop allocation; Pending approval; asset G-AST-00519</t>
  </si>
  <si>
    <t>G-REQ-05577</t>
  </si>
  <si>
    <t>G-REQ-01467-E2</t>
  </si>
  <si>
    <t>SYNTHETIC: Laptop allocation; Approved; asset G-AST-00519</t>
  </si>
  <si>
    <t>G-REQ-01467-E3</t>
  </si>
  <si>
    <t>G-REQ-05578</t>
  </si>
  <si>
    <t>SYNTHETIC: Laptop allocation; In progress; asset G-AST-00519</t>
  </si>
  <si>
    <t>G-REQ-01467-E4</t>
  </si>
  <si>
    <t>G-REQ-05579</t>
  </si>
  <si>
    <t>SYNTHETIC: Laptop allocation; Completed; asset G-AST-00519</t>
  </si>
  <si>
    <t>G-REQ-01468-E1</t>
  </si>
  <si>
    <t>G-REQ-05580</t>
  </si>
  <si>
    <t>SYNTHETIC: Laptop repair; Pending approval; asset G-AST-00382</t>
  </si>
  <si>
    <t>G-REQ-01468-E2</t>
  </si>
  <si>
    <t>G-REQ-05581</t>
  </si>
  <si>
    <t>SYNTHETIC: Laptop repair; Approved; asset G-AST-00382</t>
  </si>
  <si>
    <t>G-REQ-01468-E3</t>
  </si>
  <si>
    <t>SYNTHETIC: Laptop repair; In progress; asset G-AST-00382</t>
  </si>
  <si>
    <t>G-REQ-05582</t>
  </si>
  <si>
    <t>G-REQ-01468-E4</t>
  </si>
  <si>
    <t>SYNTHETIC: Laptop repair; Completed; asset G-AST-00382</t>
  </si>
  <si>
    <t>G-REQ-05583</t>
  </si>
  <si>
    <t>G-REQ-01469-E1</t>
  </si>
  <si>
    <t>SYNTHETIC: Laptop allocation; Pending approval; asset G-AST-00520</t>
  </si>
  <si>
    <t>G-REQ-01469-E2</t>
  </si>
  <si>
    <t>G-REQ-05584</t>
  </si>
  <si>
    <t>SYNTHETIC: Laptop allocation; Approved; asset G-AST-00520</t>
  </si>
  <si>
    <t>G-REQ-01469-E3</t>
  </si>
  <si>
    <t>G-REQ-05585</t>
  </si>
  <si>
    <t>SYNTHETIC: Laptop allocation; In progress; asset G-AST-00520</t>
  </si>
  <si>
    <t>G-REQ-01469-E4</t>
  </si>
  <si>
    <t>G-REQ-05586</t>
  </si>
  <si>
    <t>SYNTHETIC: Laptop allocation; Completed; asset G-AST-00520</t>
  </si>
  <si>
    <t>G-REQ-01470-E1</t>
  </si>
  <si>
    <t>G-REQ-05587</t>
  </si>
  <si>
    <t>G-REQ-01470-E2</t>
  </si>
  <si>
    <t>G-REQ-05588</t>
  </si>
  <si>
    <t>G-REQ-01471-E1</t>
  </si>
  <si>
    <t>SYNTHETIC: Laptop return; Pending approval; asset G-AST-00339</t>
  </si>
  <si>
    <t>G-REQ-05589</t>
  </si>
  <si>
    <t>G-REQ-01471-E2</t>
  </si>
  <si>
    <t>SYNTHETIC: Laptop return; Approved; asset G-AST-00339</t>
  </si>
  <si>
    <t>G-REQ-01471-E3</t>
  </si>
  <si>
    <t>G-REQ-05590</t>
  </si>
  <si>
    <t>SYNTHETIC: Laptop return; In progress; asset G-AST-00339</t>
  </si>
  <si>
    <t>G-REQ-01471-E4</t>
  </si>
  <si>
    <t>G-REQ-05591</t>
  </si>
  <si>
    <t>SYNTHETIC: Laptop return; Completed; asset G-AST-00339</t>
  </si>
  <si>
    <t>G-REQ-01472-E1</t>
  </si>
  <si>
    <t>G-REQ-05592</t>
  </si>
  <si>
    <t>SYNTHETIC: Laptop allocation; Pending approval; asset G-AST-00521</t>
  </si>
  <si>
    <t>G-REQ-01472-E2</t>
  </si>
  <si>
    <t>G-REQ-05593</t>
  </si>
  <si>
    <t>SYNTHETIC: Laptop allocation; Approved; asset G-AST-00521</t>
  </si>
  <si>
    <t>G-REQ-01472-E3</t>
  </si>
  <si>
    <t>G-REQ-05594</t>
  </si>
  <si>
    <t>SYNTHETIC: Laptop allocation; In progress; asset G-AST-00521</t>
  </si>
  <si>
    <t>G-REQ-01472-E4</t>
  </si>
  <si>
    <t>SYNTHETIC: Laptop allocation; Completed; asset G-AST-00521</t>
  </si>
  <si>
    <t>G-REQ-01473-E1</t>
  </si>
  <si>
    <t>G-REQ-05595</t>
  </si>
  <si>
    <t>G-REQ-01473-E2</t>
  </si>
  <si>
    <t>G-REQ-05596</t>
  </si>
  <si>
    <t>G-REQ-01473-E3</t>
  </si>
  <si>
    <t>G-REQ-05597</t>
  </si>
  <si>
    <t>G-REQ-01473-E4</t>
  </si>
  <si>
    <t>G-REQ-05598</t>
  </si>
  <si>
    <t>G-REQ-01474-E1</t>
  </si>
  <si>
    <t>G-REQ-05599</t>
  </si>
  <si>
    <t>G-REQ-01474-E2</t>
  </si>
  <si>
    <t>G-REQ-01474-E3</t>
  </si>
  <si>
    <t>G-REQ-05600</t>
  </si>
  <si>
    <t>G-REQ-01474-E4</t>
  </si>
  <si>
    <t>G-REQ-05601</t>
  </si>
  <si>
    <t>G-REQ-01475-E1</t>
  </si>
  <si>
    <t>SYNTHETIC: Laptop return; Pending approval; asset G-AST-00378</t>
  </si>
  <si>
    <t>G-REQ-05602</t>
  </si>
  <si>
    <t>G-REQ-01475-E2</t>
  </si>
  <si>
    <t>SYNTHETIC: Laptop return; Approved; asset G-AST-00378</t>
  </si>
  <si>
    <t>G-REQ-01475-E3</t>
  </si>
  <si>
    <t>G-REQ-05603</t>
  </si>
  <si>
    <t>SYNTHETIC: Laptop return; In progress; asset G-AST-00378</t>
  </si>
  <si>
    <t>G-REQ-01475-E4</t>
  </si>
  <si>
    <t>G-REQ-05604</t>
  </si>
  <si>
    <t>SYNTHETIC: Laptop return; Completed; asset G-AST-00378</t>
  </si>
  <si>
    <t>G-REQ-01476-E1</t>
  </si>
  <si>
    <t>G-REQ-05605</t>
  </si>
  <si>
    <t>SYNTHETIC: Laptop repair; Pending approval; asset G-AST-00520</t>
  </si>
  <si>
    <t>G-REQ-01476-E2</t>
  </si>
  <si>
    <t>SYNTHETIC: Laptop repair; Approved; asset G-AST-00520</t>
  </si>
  <si>
    <t>G-REQ-01476-E3</t>
  </si>
  <si>
    <t>SYNTHETIC: Laptop repair; In progress; asset G-AST-00520</t>
  </si>
  <si>
    <t>G-REQ-01476-E4</t>
  </si>
  <si>
    <t>SYNTHETIC: Laptop repair; Completed; asset G-AST-00520</t>
  </si>
  <si>
    <t>G-REQ-01477-E1</t>
  </si>
  <si>
    <t>G-REQ-05606</t>
  </si>
  <si>
    <t>SYNTHETIC: Laptop allocation; Pending approval; asset G-AST-00522</t>
  </si>
  <si>
    <t>G-REQ-01477-E2</t>
  </si>
  <si>
    <t>G-REQ-05607</t>
  </si>
  <si>
    <t>SYNTHETIC: Laptop allocation; Approved; asset G-AST-00522</t>
  </si>
  <si>
    <t>G-REQ-01477-E3</t>
  </si>
  <si>
    <t>G-REQ-05608</t>
  </si>
  <si>
    <t>SYNTHETIC: Laptop allocation; In progress; asset G-AST-00522</t>
  </si>
  <si>
    <t>G-REQ-01477-E4</t>
  </si>
  <si>
    <t>G-REQ-05609</t>
  </si>
  <si>
    <t>SYNTHETIC: Laptop allocation; Completed; asset G-AST-00522</t>
  </si>
  <si>
    <t>G-REQ-01478-E1</t>
  </si>
  <si>
    <t>G-REQ-05610</t>
  </si>
  <si>
    <t>SYNTHETIC: Laptop repair; Pending approval; asset G-AST-00430</t>
  </si>
  <si>
    <t>G-REQ-01478-E2</t>
  </si>
  <si>
    <t>G-REQ-05611</t>
  </si>
  <si>
    <t>SYNTHETIC: Laptop repair; Approved; asset G-AST-00430</t>
  </si>
  <si>
    <t>G-REQ-01478-E3</t>
  </si>
  <si>
    <t>G-REQ-05612</t>
  </si>
  <si>
    <t>SYNTHETIC: Laptop repair; In progress; asset G-AST-00430</t>
  </si>
  <si>
    <t>G-REQ-01478-E4</t>
  </si>
  <si>
    <t>SYNTHETIC: Laptop repair; Completed; asset G-AST-00430</t>
  </si>
  <si>
    <t>G-REQ-05613</t>
  </si>
  <si>
    <t>G-REQ-01479-E1</t>
  </si>
  <si>
    <t>SYNTHETIC: Laptop allocation; Pending approval; asset G-AST-00523</t>
  </si>
  <si>
    <t>G-REQ-05614</t>
  </si>
  <si>
    <t>G-REQ-01479-E2</t>
  </si>
  <si>
    <t>SYNTHETIC: Laptop allocation; Approved; asset G-AST-00523</t>
  </si>
  <si>
    <t>G-REQ-01479-E3</t>
  </si>
  <si>
    <t>G-REQ-05615</t>
  </si>
  <si>
    <t>SYNTHETIC: Laptop allocation; In progress; asset G-AST-00523</t>
  </si>
  <si>
    <t>G-REQ-01479-E4</t>
  </si>
  <si>
    <t>G-REQ-05616</t>
  </si>
  <si>
    <t>SYNTHETIC: Laptop allocation; Completed; asset G-AST-00523</t>
  </si>
  <si>
    <t>G-REQ-01480-E1</t>
  </si>
  <si>
    <t>G-REQ-01480-E2</t>
  </si>
  <si>
    <t>G-REQ-05617</t>
  </si>
  <si>
    <t>G-REQ-01480-E3</t>
  </si>
  <si>
    <t>G-REQ-05618</t>
  </si>
  <si>
    <t>G-REQ-01480-E4</t>
  </si>
  <si>
    <t>G-REQ-05619</t>
  </si>
  <si>
    <t>G-REQ-01481-E1</t>
  </si>
  <si>
    <t>G-REQ-05620</t>
  </si>
  <si>
    <t>SYNTHETIC: Laptop repair; Pending approval; asset G-AST-00496</t>
  </si>
  <si>
    <t>G-REQ-01481-E2</t>
  </si>
  <si>
    <t>G-REQ-05621</t>
  </si>
  <si>
    <t>SYNTHETIC: Laptop repair; Approved; asset G-AST-00496</t>
  </si>
  <si>
    <t>G-REQ-01481-E3</t>
  </si>
  <si>
    <t>SYNTHETIC: Laptop repair; In progress; asset G-AST-00496</t>
  </si>
  <si>
    <t>G-REQ-01481-E4</t>
  </si>
  <si>
    <t>G-REQ-05622</t>
  </si>
  <si>
    <t>SYNTHETIC: Laptop repair; Completed; asset G-AST-00496</t>
  </si>
  <si>
    <t>G-REQ-01482-E1</t>
  </si>
  <si>
    <t>G-REQ-05623</t>
  </si>
  <si>
    <t>G-REQ-01482-E2</t>
  </si>
  <si>
    <t>G-REQ-05624</t>
  </si>
  <si>
    <t>G-REQ-01482-E3</t>
  </si>
  <si>
    <t>G-REQ-05625</t>
  </si>
  <si>
    <t>G-REQ-01482-E4</t>
  </si>
  <si>
    <t>G-REQ-05626</t>
  </si>
  <si>
    <t>G-REQ-01483-E1</t>
  </si>
  <si>
    <t>G-REQ-05627</t>
  </si>
  <si>
    <t>SYNTHETIC: Laptop return; Pending approval; asset G-AST-00312</t>
  </si>
  <si>
    <t>G-REQ-01483-E2</t>
  </si>
  <si>
    <t>G-REQ-05628</t>
  </si>
  <si>
    <t>SYNTHETIC: Laptop return; Approved; asset G-AST-00312</t>
  </si>
  <si>
    <t>G-REQ-01483-E3</t>
  </si>
  <si>
    <t>SYNTHETIC: Laptop return; In progress; asset G-AST-00312</t>
  </si>
  <si>
    <t>G-REQ-05629</t>
  </si>
  <si>
    <t>G-REQ-01483-E4</t>
  </si>
  <si>
    <t>SYNTHETIC: Laptop return; Completed; asset G-AST-00312</t>
  </si>
  <si>
    <t>G-REQ-01484-E1</t>
  </si>
  <si>
    <t>G-REQ-05630</t>
  </si>
  <si>
    <t>G-REQ-01484-E2</t>
  </si>
  <si>
    <t>G-REQ-05631</t>
  </si>
  <si>
    <t>G-REQ-01484-E3</t>
  </si>
  <si>
    <t>G-REQ-05632</t>
  </si>
  <si>
    <t>G-REQ-01484-E4</t>
  </si>
  <si>
    <t>G-REQ-05633</t>
  </si>
  <si>
    <t>G-REQ-01485-E1</t>
  </si>
  <si>
    <t>G-REQ-05634</t>
  </si>
  <si>
    <t>SYNTHETIC: Laptop allocation; Pending approval; asset G-AST-00524</t>
  </si>
  <si>
    <t>G-REQ-01485-E2</t>
  </si>
  <si>
    <t>G-REQ-05635</t>
  </si>
  <si>
    <t>SYNTHETIC: Laptop allocation; Approved; asset G-AST-00524</t>
  </si>
  <si>
    <t>G-REQ-01485-E3</t>
  </si>
  <si>
    <t>G-REQ-05636</t>
  </si>
  <si>
    <t>SYNTHETIC: Laptop allocation; In progress; asset G-AST-00524</t>
  </si>
  <si>
    <t>G-REQ-01485-E4</t>
  </si>
  <si>
    <t>G-REQ-05637</t>
  </si>
  <si>
    <t>SYNTHETIC: Laptop allocation; Completed; asset G-AST-00524</t>
  </si>
  <si>
    <t>G-REQ-01486-E1</t>
  </si>
  <si>
    <t>G-REQ-05638</t>
  </si>
  <si>
    <t>SYNTHETIC: Laptop return; Pending approval; asset G-AST-00455</t>
  </si>
  <si>
    <t>G-REQ-01486-E2</t>
  </si>
  <si>
    <t>G-REQ-05639</t>
  </si>
  <si>
    <t>SYNTHETIC: Laptop return; Approved; asset G-AST-00455</t>
  </si>
  <si>
    <t>G-REQ-01486-E3</t>
  </si>
  <si>
    <t>G-REQ-05640</t>
  </si>
  <si>
    <t>SYNTHETIC: Laptop return; In progress; asset G-AST-00455</t>
  </si>
  <si>
    <t>G-REQ-01486-E4</t>
  </si>
  <si>
    <t>G-REQ-05641</t>
  </si>
  <si>
    <t>SYNTHETIC: Laptop return; Completed; asset G-AST-00455</t>
  </si>
  <si>
    <t>G-REQ-01487-E1</t>
  </si>
  <si>
    <t>G-REQ-05642</t>
  </si>
  <si>
    <t>SYNTHETIC: Laptop return; Pending approval; asset G-AST-00392</t>
  </si>
  <si>
    <t>G-REQ-01487-E2</t>
  </si>
  <si>
    <t>G-REQ-05643</t>
  </si>
  <si>
    <t>SYNTHETIC: Laptop return; Approved; asset G-AST-00392</t>
  </si>
  <si>
    <t>G-REQ-01487-E3</t>
  </si>
  <si>
    <t>SYNTHETIC: Laptop return; In progress; asset G-AST-00392</t>
  </si>
  <si>
    <t>G-REQ-05644</t>
  </si>
  <si>
    <t>G-REQ-01487-E4</t>
  </si>
  <si>
    <t>SYNTHETIC: Laptop return; Completed; asset G-AST-00392</t>
  </si>
  <si>
    <t>G-REQ-01488-E1</t>
  </si>
  <si>
    <t>G-REQ-05645</t>
  </si>
  <si>
    <t>G-REQ-05646</t>
  </si>
  <si>
    <t>SYNTHETIC: Laptop repair; Pending approval; asset G-AST-00419</t>
  </si>
  <si>
    <t>G-REQ-01488-E2</t>
  </si>
  <si>
    <t>G-REQ-05647</t>
  </si>
  <si>
    <t>SYNTHETIC: Laptop repair; Approved; asset G-AST-00419</t>
  </si>
  <si>
    <t>G-REQ-01488-E3</t>
  </si>
  <si>
    <t>SYNTHETIC: Laptop repair; In progress; asset G-AST-00419</t>
  </si>
  <si>
    <t>G-REQ-05648</t>
  </si>
  <si>
    <t>G-REQ-01488-E4</t>
  </si>
  <si>
    <t>SYNTHETIC: Laptop repair; Completed; asset G-AST-00419</t>
  </si>
  <si>
    <t>G-REQ-01489-E1</t>
  </si>
  <si>
    <t>G-REQ-05649</t>
  </si>
  <si>
    <t>SYNTHETIC: Laptop return; Pending approval; asset G-AST-00461</t>
  </si>
  <si>
    <t>G-REQ-01489-E2</t>
  </si>
  <si>
    <t>G-REQ-05650</t>
  </si>
  <si>
    <t>SYNTHETIC: Laptop return; Approved; asset G-AST-00461</t>
  </si>
  <si>
    <t>G-REQ-01489-E3</t>
  </si>
  <si>
    <t>G-REQ-05651</t>
  </si>
  <si>
    <t>SYNTHETIC: Laptop return; In progress; asset G-AST-00461</t>
  </si>
  <si>
    <t>G-REQ-01489-E4</t>
  </si>
  <si>
    <t>G-REQ-05652</t>
  </si>
  <si>
    <t>SYNTHETIC: Laptop return; Completed; asset G-AST-00461</t>
  </si>
  <si>
    <t>G-REQ-01490-E1</t>
  </si>
  <si>
    <t>G-REQ-05653</t>
  </si>
  <si>
    <t>SYNTHETIC: Laptop repair; Pending approval; asset G-AST-00343</t>
  </si>
  <si>
    <t>G-REQ-01490-E2</t>
  </si>
  <si>
    <t>G-REQ-05654</t>
  </si>
  <si>
    <t>SYNTHETIC: Laptop repair; Cancelled; asset G-AST-00343</t>
  </si>
  <si>
    <t>G-REQ-01491-E1</t>
  </si>
  <si>
    <t>SYNTHETIC: Laptop allocation; Pending approval; asset G-AST-00525</t>
  </si>
  <si>
    <t>G-REQ-05655</t>
  </si>
  <si>
    <t>G-REQ-01491-E2</t>
  </si>
  <si>
    <t>SYNTHETIC: Laptop allocation; Approved; asset G-AST-00525</t>
  </si>
  <si>
    <t>G-REQ-01491-E3</t>
  </si>
  <si>
    <t>G-REQ-05656</t>
  </si>
  <si>
    <t>SYNTHETIC: Laptop allocation; In progress; asset G-AST-00525</t>
  </si>
  <si>
    <t>G-REQ-01491-E4</t>
  </si>
  <si>
    <t>SYNTHETIC: Laptop allocation; Completed; asset G-AST-00525</t>
  </si>
  <si>
    <t>G-REQ-05657</t>
  </si>
  <si>
    <t>G-REQ-01492-E1</t>
  </si>
  <si>
    <t>SYNTHETIC: Laptop repair; Pending approval; asset G-AST-00499</t>
  </si>
  <si>
    <t>G-REQ-01492-E2</t>
  </si>
  <si>
    <t>G-REQ-05658</t>
  </si>
  <si>
    <t>SYNTHETIC: Laptop repair; Approved; asset G-AST-00499</t>
  </si>
  <si>
    <t>G-REQ-01492-E3</t>
  </si>
  <si>
    <t>G-REQ-05659</t>
  </si>
  <si>
    <t>SYNTHETIC: Laptop repair; In progress; asset G-AST-00499</t>
  </si>
  <si>
    <t>G-REQ-01492-E4</t>
  </si>
  <si>
    <t>G-REQ-05660</t>
  </si>
  <si>
    <t>SYNTHETIC: Laptop repair; Completed; asset G-AST-00499</t>
  </si>
  <si>
    <t>G-REQ-01493-E1</t>
  </si>
  <si>
    <t>G-REQ-05661</t>
  </si>
  <si>
    <t>SYNTHETIC: Laptop allocation; Pending approval; asset G-AST-00526</t>
  </si>
  <si>
    <t>G-REQ-01493-E2</t>
  </si>
  <si>
    <t>G-REQ-05662</t>
  </si>
  <si>
    <t>SYNTHETIC: Laptop allocation; Approved; asset G-AST-00526</t>
  </si>
  <si>
    <t>G-REQ-01493-E3</t>
  </si>
  <si>
    <t>SYNTHETIC: Laptop allocation; In progress; asset G-AST-00526</t>
  </si>
  <si>
    <t>G-REQ-01493-E4</t>
  </si>
  <si>
    <t>G-REQ-05663</t>
  </si>
  <si>
    <t>SYNTHETIC: Laptop allocation; Completed; asset G-AST-00526</t>
  </si>
  <si>
    <t>G-REQ-01494-E1</t>
  </si>
  <si>
    <t>G-REQ-05664</t>
  </si>
  <si>
    <t>G-REQ-01494-E2</t>
  </si>
  <si>
    <t>G-REQ-05665</t>
  </si>
  <si>
    <t>G-REQ-01494-E3</t>
  </si>
  <si>
    <t>G-REQ-05666</t>
  </si>
  <si>
    <t>G-REQ-01494-E4</t>
  </si>
  <si>
    <t>G-REQ-05667</t>
  </si>
  <si>
    <t>G-REQ-01495-E1</t>
  </si>
  <si>
    <t>SYNTHETIC: Laptop return; Pending approval; asset G-AST-00341</t>
  </si>
  <si>
    <t>G-REQ-01495-E2</t>
  </si>
  <si>
    <t>SYNTHETIC: Laptop return; Approved; asset G-AST-00341</t>
  </si>
  <si>
    <t>G-REQ-05668</t>
  </si>
  <si>
    <t>G-REQ-01495-E3</t>
  </si>
  <si>
    <t>G-REQ-05669</t>
  </si>
  <si>
    <t>SYNTHETIC: Laptop return; In progress; asset G-AST-00341</t>
  </si>
  <si>
    <t>G-REQ-01495-E4</t>
  </si>
  <si>
    <t>G-REQ-05670</t>
  </si>
  <si>
    <t>SYNTHETIC: Laptop return; Completed; asset G-AST-00341</t>
  </si>
  <si>
    <t>G-REQ-01496-E1</t>
  </si>
  <si>
    <t>G-REQ-05671</t>
  </si>
  <si>
    <t>SYNTHETIC: Laptop repair; Pending approval; asset G-AST-00421</t>
  </si>
  <si>
    <t>G-REQ-01496-E2</t>
  </si>
  <si>
    <t>G-REQ-05672</t>
  </si>
  <si>
    <t>SYNTHETIC: Laptop repair; Approved; asset G-AST-00421</t>
  </si>
  <si>
    <t>G-REQ-01496-E3</t>
  </si>
  <si>
    <t>G-REQ-05673</t>
  </si>
  <si>
    <t>SYNTHETIC: Laptop repair; In progress; asset G-AST-00421</t>
  </si>
  <si>
    <t>G-REQ-01496-E4</t>
  </si>
  <si>
    <t>G-REQ-05674</t>
  </si>
  <si>
    <t>SYNTHETIC: Laptop repair; Completed; asset G-AST-00421</t>
  </si>
  <si>
    <t>G-REQ-01497-E1</t>
  </si>
  <si>
    <t>G-REQ-05675</t>
  </si>
  <si>
    <t>SYNTHETIC: Laptop allocation; Pending approval; asset G-AST-00527</t>
  </si>
  <si>
    <t>G-REQ-01497-E2</t>
  </si>
  <si>
    <t>SYNTHETIC: Laptop allocation; Approved; asset G-AST-00527</t>
  </si>
  <si>
    <t>G-REQ-05676</t>
  </si>
  <si>
    <t>G-REQ-01497-E3</t>
  </si>
  <si>
    <t>SYNTHETIC: Laptop allocation; In progress; asset G-AST-00527</t>
  </si>
  <si>
    <t>G-REQ-01497-E4</t>
  </si>
  <si>
    <t>G-REQ-05677</t>
  </si>
  <si>
    <t>SYNTHETIC: Laptop allocation; Completed; asset G-AST-00527</t>
  </si>
  <si>
    <t>G-REQ-01498-E1</t>
  </si>
  <si>
    <t>G-REQ-05678</t>
  </si>
  <si>
    <t>SYNTHETIC: Laptop allocation; Pending approval; asset G-AST-00528</t>
  </si>
  <si>
    <t>G-REQ-01498-E2</t>
  </si>
  <si>
    <t>SYNTHETIC: Laptop allocation; Approved; asset G-AST-00528</t>
  </si>
  <si>
    <t>G-REQ-05679</t>
  </si>
  <si>
    <t>G-REQ-01498-E3</t>
  </si>
  <si>
    <t>SYNTHETIC: Laptop allocation; In progress; asset G-AST-00528</t>
  </si>
  <si>
    <t>G-REQ-01498-E4</t>
  </si>
  <si>
    <t>G-REQ-05680</t>
  </si>
  <si>
    <t>SYNTHETIC: Laptop allocation; Completed; asset G-AST-00528</t>
  </si>
  <si>
    <t>G-REQ-01499-E1</t>
  </si>
  <si>
    <t>G-REQ-05681</t>
  </si>
  <si>
    <t>G-REQ-01499-E2</t>
  </si>
  <si>
    <t>G-REQ-05682</t>
  </si>
  <si>
    <t>G-REQ-01499-E3</t>
  </si>
  <si>
    <t>G-REQ-05683</t>
  </si>
  <si>
    <t>G-REQ-01499-E4</t>
  </si>
  <si>
    <t>G-REQ-01500-E1</t>
  </si>
  <si>
    <t>G-REQ-05684</t>
  </si>
  <si>
    <t>SYNTHETIC: Laptop allocation; Pending approval; asset G-AST-00529</t>
  </si>
  <si>
    <t>G-REQ-01500-E2</t>
  </si>
  <si>
    <t>G-REQ-05685</t>
  </si>
  <si>
    <t>SYNTHETIC: Laptop allocation; Approved; asset G-AST-00529</t>
  </si>
  <si>
    <t>G-REQ-01500-E3</t>
  </si>
  <si>
    <t>G-REQ-05686</t>
  </si>
  <si>
    <t>SYNTHETIC: Laptop allocation; In progress; asset G-AST-00529</t>
  </si>
  <si>
    <t>G-REQ-01500-E4</t>
  </si>
  <si>
    <t>SYNTHETIC: Laptop allocation; Completed; asset G-AST-00529</t>
  </si>
  <si>
    <t>G-REQ-05687</t>
  </si>
  <si>
    <t>G-REQ-01501-E1</t>
  </si>
  <si>
    <t>G-REQ-05688</t>
  </si>
  <si>
    <t>G-REQ-01501-E2</t>
  </si>
  <si>
    <t>SYNTHETIC: Laptop repair; Rejected; asset G-AST-00237</t>
  </si>
  <si>
    <t>G-REQ-01502-E1</t>
  </si>
  <si>
    <t>G-REQ-05689</t>
  </si>
  <si>
    <t>SYNTHETIC: Laptop repair; Pending approval; asset G-AST-00491</t>
  </si>
  <si>
    <t>G-REQ-01502-E2</t>
  </si>
  <si>
    <t>G-REQ-05690</t>
  </si>
  <si>
    <t>SYNTHETIC: Laptop repair; Approved; asset G-AST-00491</t>
  </si>
  <si>
    <t>G-REQ-01502-E3</t>
  </si>
  <si>
    <t>G-REQ-05691</t>
  </si>
  <si>
    <t>SYNTHETIC: Laptop repair; In progress; asset G-AST-00491</t>
  </si>
  <si>
    <t>G-REQ-01502-E4</t>
  </si>
  <si>
    <t>SYNTHETIC: Laptop repair; Completed; asset G-AST-00491</t>
  </si>
  <si>
    <t>G-REQ-01503-E1</t>
  </si>
  <si>
    <t>G-REQ-05692</t>
  </si>
  <si>
    <t>SYNTHETIC: Laptop return; Pending approval; asset G-AST-00161</t>
  </si>
  <si>
    <t>G-REQ-01503-E2</t>
  </si>
  <si>
    <t>G-REQ-05693</t>
  </si>
  <si>
    <t>SYNTHETIC: Laptop return; Approved; asset G-AST-00161</t>
  </si>
  <si>
    <t>G-REQ-01503-E3</t>
  </si>
  <si>
    <t>G-REQ-05694</t>
  </si>
  <si>
    <t>SYNTHETIC: Laptop return; In progress; asset G-AST-00161</t>
  </si>
  <si>
    <t>G-REQ-01503-E4</t>
  </si>
  <si>
    <t>G-REQ-05695</t>
  </si>
  <si>
    <t>SYNTHETIC: Laptop return; Completed; asset G-AST-00161</t>
  </si>
  <si>
    <t>G-REQ-01504-E1</t>
  </si>
  <si>
    <t>G-REQ-05696</t>
  </si>
  <si>
    <t>G-REQ-01504-E2</t>
  </si>
  <si>
    <t>SYNTHETIC: Laptop repair; Approved; asset G-AST-00268</t>
  </si>
  <si>
    <t>G-REQ-05697</t>
  </si>
  <si>
    <t>G-REQ-01504-E3</t>
  </si>
  <si>
    <t>SYNTHETIC: Laptop repair; In progress; asset G-AST-00268</t>
  </si>
  <si>
    <t>G-REQ-05698</t>
  </si>
  <si>
    <t>G-REQ-01504-E4</t>
  </si>
  <si>
    <t>SYNTHETIC: Laptop repair; Completed; asset G-AST-00268</t>
  </si>
  <si>
    <t>G-REQ-01505-E1</t>
  </si>
  <si>
    <t>G-REQ-05699</t>
  </si>
  <si>
    <t>SYNTHETIC: Laptop return; Pending approval; asset G-AST-00172</t>
  </si>
  <si>
    <t>G-REQ-01505-E2</t>
  </si>
  <si>
    <t>G-REQ-05700</t>
  </si>
  <si>
    <t>SYNTHETIC: Laptop return; Approved; asset G-AST-00172</t>
  </si>
  <si>
    <t>G-REQ-01505-E3</t>
  </si>
  <si>
    <t>SYNTHETIC: Laptop return; In progress; asset G-AST-00172</t>
  </si>
  <si>
    <t>G-REQ-05701</t>
  </si>
  <si>
    <t>G-REQ-01505-E4</t>
  </si>
  <si>
    <t>SYNTHETIC: Laptop return; Completed; asset G-AST-00172</t>
  </si>
  <si>
    <t>G-REQ-01506-E1</t>
  </si>
  <si>
    <t>G-REQ-05702</t>
  </si>
  <si>
    <t>SYNTHETIC: Laptop repair; Pending approval; asset G-AST-00516</t>
  </si>
  <si>
    <t>G-REQ-01506-E2</t>
  </si>
  <si>
    <t>G-REQ-05703</t>
  </si>
  <si>
    <t>SYNTHETIC: Laptop repair; Approved; asset G-AST-00516</t>
  </si>
  <si>
    <t>G-REQ-01506-E3</t>
  </si>
  <si>
    <t>G-REQ-05704</t>
  </si>
  <si>
    <t>SYNTHETIC: Laptop repair; In progress; asset G-AST-00516</t>
  </si>
  <si>
    <t>G-REQ-01506-E4</t>
  </si>
  <si>
    <t>SYNTHETIC: Laptop repair; Completed; asset G-AST-00516</t>
  </si>
  <si>
    <t>G-REQ-05705</t>
  </si>
  <si>
    <t>G-REQ-01507-E1</t>
  </si>
  <si>
    <t>SYNTHETIC: Laptop return; Pending approval; asset G-AST-00430</t>
  </si>
  <si>
    <t>G-REQ-05706</t>
  </si>
  <si>
    <t>G-REQ-01507-E2</t>
  </si>
  <si>
    <t>SYNTHETIC: Laptop return; Approved; asset G-AST-00430</t>
  </si>
  <si>
    <t>G-REQ-01507-E3</t>
  </si>
  <si>
    <t>G-REQ-05707</t>
  </si>
  <si>
    <t>SYNTHETIC: Laptop return; In progress; asset G-AST-00430</t>
  </si>
  <si>
    <t>G-REQ-01507-E4</t>
  </si>
  <si>
    <t>G-REQ-05708</t>
  </si>
  <si>
    <t>SYNTHETIC: Laptop return; Completed; asset G-AST-00430</t>
  </si>
  <si>
    <t>G-REQ-01508-E1</t>
  </si>
  <si>
    <t>SYNTHETIC: Laptop allocation; Pending approval; asset G-AST-00530</t>
  </si>
  <si>
    <t>G-REQ-05709</t>
  </si>
  <si>
    <t>G-REQ-01508-E2</t>
  </si>
  <si>
    <t>SYNTHETIC: Laptop allocation; Approved; asset G-AST-00530</t>
  </si>
  <si>
    <t>G-REQ-01508-E3</t>
  </si>
  <si>
    <t>G-REQ-05710</t>
  </si>
  <si>
    <t>SYNTHETIC: Laptop allocation; In progress; asset G-AST-00530</t>
  </si>
  <si>
    <t>G-REQ-01508-E4</t>
  </si>
  <si>
    <t>G-REQ-05711</t>
  </si>
  <si>
    <t>SYNTHETIC: Laptop allocation; Completed; asset G-AST-00530</t>
  </si>
  <si>
    <t>G-REQ-01509-E1</t>
  </si>
  <si>
    <t>G-REQ-05712</t>
  </si>
  <si>
    <t>SYNTHETIC: Laptop return; Pending approval; asset G-AST-00496</t>
  </si>
  <si>
    <t>G-REQ-01509-E2</t>
  </si>
  <si>
    <t>SYNTHETIC: Laptop return; Approved; asset G-AST-00496</t>
  </si>
  <si>
    <t>G-REQ-05713</t>
  </si>
  <si>
    <t>G-REQ-01509-E3</t>
  </si>
  <si>
    <t>SYNTHETIC: Laptop return; In progress; asset G-AST-00496</t>
  </si>
  <si>
    <t>G-REQ-01509-E4</t>
  </si>
  <si>
    <t>G-REQ-05714</t>
  </si>
  <si>
    <t>SYNTHETIC: Laptop return; Completed; asset G-AST-00496</t>
  </si>
  <si>
    <t>G-REQ-01510-E1</t>
  </si>
  <si>
    <t>G-REQ-05715</t>
  </si>
  <si>
    <t>SYNTHETIC: Laptop return; Pending approval; asset G-AST-00110</t>
  </si>
  <si>
    <t>G-REQ-01510-E2</t>
  </si>
  <si>
    <t>SYNTHETIC: Laptop return; Approved; asset G-AST-00110</t>
  </si>
  <si>
    <t>G-REQ-05716</t>
  </si>
  <si>
    <t>G-REQ-01510-E3</t>
  </si>
  <si>
    <t>SYNTHETIC: Laptop return; In progress; asset G-AST-00110</t>
  </si>
  <si>
    <t>G-REQ-01510-E4</t>
  </si>
  <si>
    <t>G-REQ-05717</t>
  </si>
  <si>
    <t>SYNTHETIC: Laptop return; Completed; asset G-AST-00110</t>
  </si>
  <si>
    <t>G-REQ-01511-E1</t>
  </si>
  <si>
    <t>G-REQ-05718</t>
  </si>
  <si>
    <t>SYNTHETIC: Laptop return; Pending approval; asset G-AST-00112</t>
  </si>
  <si>
    <t>G-REQ-01511-E2</t>
  </si>
  <si>
    <t>G-REQ-05719</t>
  </si>
  <si>
    <t>SYNTHETIC: Laptop return; Approved; asset G-AST-00112</t>
  </si>
  <si>
    <t>G-REQ-01511-E3</t>
  </si>
  <si>
    <t>SYNTHETIC: Laptop return; In progress; asset G-AST-00112</t>
  </si>
  <si>
    <t>G-REQ-05720</t>
  </si>
  <si>
    <t>G-REQ-01511-E4</t>
  </si>
  <si>
    <t>SYNTHETIC: Laptop return; Completed; asset G-AST-00112</t>
  </si>
  <si>
    <t>G-REQ-05721</t>
  </si>
  <si>
    <t>G-REQ-01512-E1</t>
  </si>
  <si>
    <t>SYNTHETIC: Laptop allocation; Pending approval; asset G-AST-00531</t>
  </si>
  <si>
    <t>G-REQ-01512-E2</t>
  </si>
  <si>
    <t>G-REQ-05722</t>
  </si>
  <si>
    <t>SYNTHETIC: Laptop allocation; Approved; asset G-AST-00531</t>
  </si>
  <si>
    <t>G-REQ-01512-E3</t>
  </si>
  <si>
    <t>G-REQ-05723</t>
  </si>
  <si>
    <t>SYNTHETIC: Laptop allocation; In progress; asset G-AST-00531</t>
  </si>
  <si>
    <t>G-REQ-01512-E4</t>
  </si>
  <si>
    <t>SYNTHETIC: Laptop allocation; Completed; asset G-AST-00531</t>
  </si>
  <si>
    <t>G-REQ-05724</t>
  </si>
  <si>
    <t>G-REQ-01513-E1</t>
  </si>
  <si>
    <t>G-REQ-05725</t>
  </si>
  <si>
    <t>SYNTHETIC: Laptop return; Pending approval; asset G-AST-00148</t>
  </si>
  <si>
    <t>G-REQ-01513-E2</t>
  </si>
  <si>
    <t>SYNTHETIC: Laptop return; Approved; asset G-AST-00148</t>
  </si>
  <si>
    <t>G-REQ-01513-E3</t>
  </si>
  <si>
    <t>G-REQ-05726</t>
  </si>
  <si>
    <t>SYNTHETIC: Laptop return; In progress; asset G-AST-00148</t>
  </si>
  <si>
    <t>G-REQ-01513-E4</t>
  </si>
  <si>
    <t>G-REQ-05727</t>
  </si>
  <si>
    <t>SYNTHETIC: Laptop return; Completed; asset G-AST-00148</t>
  </si>
  <si>
    <t>G-REQ-01514-E1</t>
  </si>
  <si>
    <t>G-REQ-05728</t>
  </si>
  <si>
    <t>G-REQ-01514-E2</t>
  </si>
  <si>
    <t>G-REQ-05729</t>
  </si>
  <si>
    <t>G-REQ-01514-E3</t>
  </si>
  <si>
    <t>G-REQ-05730</t>
  </si>
  <si>
    <t>G-REQ-01514-E4</t>
  </si>
  <si>
    <t>G-REQ-05731</t>
  </si>
  <si>
    <t>G-REQ-01515-E1</t>
  </si>
  <si>
    <t>G-REQ-05732</t>
  </si>
  <si>
    <t>G-REQ-01515-E2</t>
  </si>
  <si>
    <t>G-REQ-05733</t>
  </si>
  <si>
    <t>G-REQ-01516-E1</t>
  </si>
  <si>
    <t>G-REQ-05734</t>
  </si>
  <si>
    <t>G-REQ-01516-E2</t>
  </si>
  <si>
    <t>G-REQ-05735</t>
  </si>
  <si>
    <t>G-REQ-01517-E1</t>
  </si>
  <si>
    <t>G-REQ-05736</t>
  </si>
  <si>
    <t>SYNTHETIC: Laptop repair; Pending approval; asset G-AST-00514</t>
  </si>
  <si>
    <t>G-REQ-01517-E2</t>
  </si>
  <si>
    <t>G-REQ-05737</t>
  </si>
  <si>
    <t>SYNTHETIC: Laptop repair; Approved; asset G-AST-00514</t>
  </si>
  <si>
    <t>G-REQ-01517-E3</t>
  </si>
  <si>
    <t>G-REQ-05738</t>
  </si>
  <si>
    <t>SYNTHETIC: Laptop repair; In progress; asset G-AST-00514</t>
  </si>
  <si>
    <t>G-REQ-01517-E4</t>
  </si>
  <si>
    <t>SYNTHETIC: Laptop repair; Completed; asset G-AST-00514</t>
  </si>
  <si>
    <t>G-REQ-01518-E1</t>
  </si>
  <si>
    <t>G-REQ-05739</t>
  </si>
  <si>
    <t>SYNTHETIC: Laptop repair; Pending approval; asset G-AST-00464</t>
  </si>
  <si>
    <t>G-REQ-01518-E2</t>
  </si>
  <si>
    <t>G-REQ-05740</t>
  </si>
  <si>
    <t>SYNTHETIC: Laptop repair; Approved; asset G-AST-00464</t>
  </si>
  <si>
    <t>G-REQ-01518-E3</t>
  </si>
  <si>
    <t>G-REQ-05741</t>
  </si>
  <si>
    <t>SYNTHETIC: Laptop repair; In progress; asset G-AST-00464</t>
  </si>
  <si>
    <t>G-REQ-01518-E4</t>
  </si>
  <si>
    <t>SYNTHETIC: Laptop repair; Completed; asset G-AST-00464</t>
  </si>
  <si>
    <t>G-REQ-05742</t>
  </si>
  <si>
    <t>G-REQ-01519-E1</t>
  </si>
  <si>
    <t>SYNTHETIC: Laptop return; Pending approval; asset G-AST-00320</t>
  </si>
  <si>
    <t>G-REQ-01519-E2</t>
  </si>
  <si>
    <t>G-REQ-05743</t>
  </si>
  <si>
    <t>SYNTHETIC: Laptop return; Approved; asset G-AST-00320</t>
  </si>
  <si>
    <t>G-REQ-01519-E3</t>
  </si>
  <si>
    <t>G-REQ-05744</t>
  </si>
  <si>
    <t>SYNTHETIC: Laptop return; In progress; asset G-AST-00320</t>
  </si>
  <si>
    <t>G-REQ-01519-E4</t>
  </si>
  <si>
    <t>SYNTHETIC: Laptop return; Completed; asset G-AST-00320</t>
  </si>
  <si>
    <t>G-REQ-05745</t>
  </si>
  <si>
    <t>G-REQ-01520-E1</t>
  </si>
  <si>
    <t>SYNTHETIC: Laptop allocation; Pending approval; asset G-AST-00532</t>
  </si>
  <si>
    <t>G-REQ-01520-E2</t>
  </si>
  <si>
    <t>G-REQ-05746</t>
  </si>
  <si>
    <t>SYNTHETIC: Laptop allocation; Approved; asset G-AST-00532</t>
  </si>
  <si>
    <t>G-REQ-01520-E3</t>
  </si>
  <si>
    <t>G-REQ-05747</t>
  </si>
  <si>
    <t>SYNTHETIC: Laptop allocation; In progress; asset G-AST-00532</t>
  </si>
  <si>
    <t>G-REQ-01520-E4</t>
  </si>
  <si>
    <t>SYNTHETIC: Laptop allocation; Completed; asset G-AST-00532</t>
  </si>
  <si>
    <t>G-REQ-05748</t>
  </si>
  <si>
    <t>G-REQ-01521-E1</t>
  </si>
  <si>
    <t>SYNTHETIC: Laptop return; Pending approval; asset G-AST-00239</t>
  </si>
  <si>
    <t>G-REQ-01521-E2</t>
  </si>
  <si>
    <t>G-REQ-05749</t>
  </si>
  <si>
    <t>SYNTHETIC: Laptop return; Approved; asset G-AST-00239</t>
  </si>
  <si>
    <t>G-REQ-01521-E3</t>
  </si>
  <si>
    <t>G-REQ-05750</t>
  </si>
  <si>
    <t>SYNTHETIC: Laptop return; In progress; asset G-AST-00239</t>
  </si>
  <si>
    <t>G-REQ-01521-E4</t>
  </si>
  <si>
    <t>G-REQ-05751</t>
  </si>
  <si>
    <t>SYNTHETIC: Laptop return; Completed; asset G-AST-00239</t>
  </si>
  <si>
    <t>G-REQ-01522-E1</t>
  </si>
  <si>
    <t>G-REQ-05752</t>
  </si>
  <si>
    <t>G-REQ-01522-E2</t>
  </si>
  <si>
    <t>G-REQ-01523-E1</t>
  </si>
  <si>
    <t>G-REQ-05753</t>
  </si>
  <si>
    <t>G-REQ-01523-E2</t>
  </si>
  <si>
    <t>G-REQ-05754</t>
  </si>
  <si>
    <t>G-REQ-01523-E3</t>
  </si>
  <si>
    <t>G-REQ-05755</t>
  </si>
  <si>
    <t>G-REQ-01523-E4</t>
  </si>
  <si>
    <t>G-REQ-05756</t>
  </si>
  <si>
    <t>G-REQ-01524-E1</t>
  </si>
  <si>
    <t>G-REQ-05757</t>
  </si>
  <si>
    <t>G-REQ-01524-E2</t>
  </si>
  <si>
    <t>G-REQ-05758</t>
  </si>
  <si>
    <t>G-REQ-01524-E3</t>
  </si>
  <si>
    <t>G-REQ-01524-E4</t>
  </si>
  <si>
    <t>G-REQ-05759</t>
  </si>
  <si>
    <t>G-REQ-01525-E1</t>
  </si>
  <si>
    <t>G-REQ-05760</t>
  </si>
  <si>
    <t>G-REQ-01525-E2</t>
  </si>
  <si>
    <t>G-REQ-05761</t>
  </si>
  <si>
    <t>G-REQ-01525-E3</t>
  </si>
  <si>
    <t>G-REQ-05762</t>
  </si>
  <si>
    <t>G-REQ-01525-E4</t>
  </si>
  <si>
    <t>G-REQ-01526-E1</t>
  </si>
  <si>
    <t>G-REQ-05763</t>
  </si>
  <si>
    <t>SYNTHETIC: Laptop allocation; Pending approval; asset G-AST-00533</t>
  </si>
  <si>
    <t>G-REQ-01526-E2</t>
  </si>
  <si>
    <t>SYNTHETIC: Laptop allocation; Approved; asset G-AST-00533</t>
  </si>
  <si>
    <t>G-REQ-01526-E3</t>
  </si>
  <si>
    <t>SYNTHETIC: Laptop allocation; In progress; asset G-AST-00533</t>
  </si>
  <si>
    <t>G-REQ-01526-E4</t>
  </si>
  <si>
    <t>SYNTHETIC: Laptop allocation; Completed; asset G-AST-00533</t>
  </si>
  <si>
    <t>G-REQ-01527-E1</t>
  </si>
  <si>
    <t>G-REQ-05764</t>
  </si>
  <si>
    <t>SYNTHETIC: Laptop repair; Pending approval; asset G-AST-00525</t>
  </si>
  <si>
    <t>G-REQ-01527-E2</t>
  </si>
  <si>
    <t>G-REQ-05765</t>
  </si>
  <si>
    <t>SYNTHETIC: Laptop repair; Approved; asset G-AST-00525</t>
  </si>
  <si>
    <t>G-REQ-01527-E3</t>
  </si>
  <si>
    <t>SYNTHETIC: Laptop repair; In progress; asset G-AST-00525</t>
  </si>
  <si>
    <t>G-REQ-05766</t>
  </si>
  <si>
    <t>G-REQ-01527-E4</t>
  </si>
  <si>
    <t>SYNTHETIC: Laptop repair; Completed; asset G-AST-00525</t>
  </si>
  <si>
    <t>G-REQ-01528-E1</t>
  </si>
  <si>
    <t>G-REQ-05767</t>
  </si>
  <si>
    <t>SYNTHETIC: Laptop repair; Pending approval; asset G-AST-00404</t>
  </si>
  <si>
    <t>G-REQ-01528-E2</t>
  </si>
  <si>
    <t>G-REQ-05768</t>
  </si>
  <si>
    <t>SYNTHETIC: Laptop repair; Approved; asset G-AST-00404</t>
  </si>
  <si>
    <t>G-REQ-01528-E3</t>
  </si>
  <si>
    <t>SYNTHETIC: Laptop repair; In progress; asset G-AST-00404</t>
  </si>
  <si>
    <t>G-REQ-05769</t>
  </si>
  <si>
    <t>G-REQ-01528-E4</t>
  </si>
  <si>
    <t>SYNTHETIC: Laptop repair; Completed; asset G-AST-00404</t>
  </si>
  <si>
    <t>G-REQ-01529-E1</t>
  </si>
  <si>
    <t>G-REQ-05770</t>
  </si>
  <si>
    <t>SYNTHETIC: Laptop repair; Pending approval; asset G-AST-00269</t>
  </si>
  <si>
    <t>G-REQ-01529-E2</t>
  </si>
  <si>
    <t>G-REQ-05771</t>
  </si>
  <si>
    <t>SYNTHETIC: Laptop repair; Approved; asset G-AST-00269</t>
  </si>
  <si>
    <t>G-REQ-01529-E3</t>
  </si>
  <si>
    <t>G-REQ-05772</t>
  </si>
  <si>
    <t>SYNTHETIC: Laptop repair; In progress; asset G-AST-00269</t>
  </si>
  <si>
    <t>G-REQ-01529-E4</t>
  </si>
  <si>
    <t>SYNTHETIC: Laptop repair; Completed; asset G-AST-00269</t>
  </si>
  <si>
    <t>G-REQ-01530-E1</t>
  </si>
  <si>
    <t>G-REQ-05773</t>
  </si>
  <si>
    <t>SYNTHETIC: Laptop allocation; Pending approval; asset G-AST-00534</t>
  </si>
  <si>
    <t>G-REQ-01530-E2</t>
  </si>
  <si>
    <t>G-REQ-05774</t>
  </si>
  <si>
    <t>SYNTHETIC: Laptop allocation; Approved; asset G-AST-00534</t>
  </si>
  <si>
    <t>G-REQ-01530-E3</t>
  </si>
  <si>
    <t>G-REQ-05775</t>
  </si>
  <si>
    <t>SYNTHETIC: Laptop allocation; In progress; asset G-AST-00534</t>
  </si>
  <si>
    <t>G-REQ-01530-E4</t>
  </si>
  <si>
    <t>SYNTHETIC: Laptop allocation; Completed; asset G-AST-00534</t>
  </si>
  <si>
    <t>G-REQ-05776</t>
  </si>
  <si>
    <t>G-REQ-01531-E1</t>
  </si>
  <si>
    <t>SYNTHETIC: Laptop allocation; Pending approval; asset G-AST-00535</t>
  </si>
  <si>
    <t>G-REQ-01531-E2</t>
  </si>
  <si>
    <t>G-REQ-05777</t>
  </si>
  <si>
    <t>SYNTHETIC: Laptop allocation; Approved; asset G-AST-00535</t>
  </si>
  <si>
    <t>G-REQ-01531-E3</t>
  </si>
  <si>
    <t>G-REQ-05778</t>
  </si>
  <si>
    <t>SYNTHETIC: Laptop allocation; In progress; asset G-AST-00535</t>
  </si>
  <si>
    <t>G-REQ-01531-E4</t>
  </si>
  <si>
    <t>G-REQ-05779</t>
  </si>
  <si>
    <t>SYNTHETIC: Laptop allocation; Completed; asset G-AST-00535</t>
  </si>
  <si>
    <t>G-REQ-01532-E1</t>
  </si>
  <si>
    <t>SYNTHETIC: Laptop repair; Pending approval; asset G-AST-00532</t>
  </si>
  <si>
    <t>G-REQ-05780</t>
  </si>
  <si>
    <t>G-REQ-01532-E2</t>
  </si>
  <si>
    <t>SYNTHETIC: Laptop repair; Approved; asset G-AST-00532</t>
  </si>
  <si>
    <t>G-REQ-01532-E3</t>
  </si>
  <si>
    <t>G-REQ-05781</t>
  </si>
  <si>
    <t>SYNTHETIC: Laptop repair; In progress; asset G-AST-00532</t>
  </si>
  <si>
    <t>G-REQ-01532-E4</t>
  </si>
  <si>
    <t>G-REQ-05782</t>
  </si>
  <si>
    <t>SYNTHETIC: Laptop repair; Completed; asset G-AST-00532</t>
  </si>
  <si>
    <t>G-REQ-01533-E1</t>
  </si>
  <si>
    <t>G-REQ-05783</t>
  </si>
  <si>
    <t>G-REQ-01533-E2</t>
  </si>
  <si>
    <t>G-REQ-05784</t>
  </si>
  <si>
    <t>G-REQ-01533-E3</t>
  </si>
  <si>
    <t>G-REQ-01533-E4</t>
  </si>
  <si>
    <t>G-REQ-05785</t>
  </si>
  <si>
    <t>G-REQ-01534-E1</t>
  </si>
  <si>
    <t>G-REQ-05786</t>
  </si>
  <si>
    <t>SYNTHETIC: Laptop return; Pending approval; asset G-AST-00480</t>
  </si>
  <si>
    <t>G-REQ-01534-E2</t>
  </si>
  <si>
    <t>G-REQ-05787</t>
  </si>
  <si>
    <t>SYNTHETIC: Laptop return; Cancelled; asset G-AST-00480</t>
  </si>
  <si>
    <t>G-REQ-01535-E1</t>
  </si>
  <si>
    <t>G-REQ-05788</t>
  </si>
  <si>
    <t>SYNTHETIC: Laptop return; Pending approval; asset G-AST-00516</t>
  </si>
  <si>
    <t>G-REQ-01535-E2</t>
  </si>
  <si>
    <t>SYNTHETIC: Laptop return; Approved; asset G-AST-00516</t>
  </si>
  <si>
    <t>G-REQ-05789</t>
  </si>
  <si>
    <t>G-REQ-01535-E3</t>
  </si>
  <si>
    <t>SYNTHETIC: Laptop return; In progress; asset G-AST-00516</t>
  </si>
  <si>
    <t>G-REQ-01535-E4</t>
  </si>
  <si>
    <t>SYNTHETIC: Laptop return; Completed; asset G-AST-00516</t>
  </si>
  <si>
    <t>G-REQ-05790</t>
  </si>
  <si>
    <t>G-REQ-01536-E1</t>
  </si>
  <si>
    <t>SYNTHETIC: Laptop return; Pending approval; asset G-AST-00408</t>
  </si>
  <si>
    <t>G-REQ-05791</t>
  </si>
  <si>
    <t>G-REQ-01536-E2</t>
  </si>
  <si>
    <t>G-REQ-05792</t>
  </si>
  <si>
    <t>SYNTHETIC: Laptop return; Cancelled; asset G-AST-00408</t>
  </si>
  <si>
    <t>G-REQ-01537-E1</t>
  </si>
  <si>
    <t>SYNTHETIC: Laptop repair; Pending approval; asset G-AST-00507</t>
  </si>
  <si>
    <t>G-REQ-05793</t>
  </si>
  <si>
    <t>G-REQ-01537-E2</t>
  </si>
  <si>
    <t>SYNTHETIC: Laptop repair; Approved; asset G-AST-00507</t>
  </si>
  <si>
    <t>G-REQ-01537-E3</t>
  </si>
  <si>
    <t>G-REQ-05794</t>
  </si>
  <si>
    <t>SYNTHETIC: Laptop repair; In progress; asset G-AST-00507</t>
  </si>
  <si>
    <t>G-REQ-01537-E4</t>
  </si>
  <si>
    <t>G-REQ-05795</t>
  </si>
  <si>
    <t>SYNTHETIC: Laptop repair; Completed; asset G-AST-00507</t>
  </si>
  <si>
    <t>G-REQ-01538-E1</t>
  </si>
  <si>
    <t>G-REQ-05796</t>
  </si>
  <si>
    <t>G-REQ-01538-E2</t>
  </si>
  <si>
    <t>G-REQ-01538-E3</t>
  </si>
  <si>
    <t>G-REQ-05797</t>
  </si>
  <si>
    <t>G-REQ-01538-E4</t>
  </si>
  <si>
    <t>G-REQ-05798</t>
  </si>
  <si>
    <t>G-REQ-01539-E1</t>
  </si>
  <si>
    <t>G-REQ-05799</t>
  </si>
  <si>
    <t>SYNTHETIC: Laptop return; Pending approval; asset G-AST-00511</t>
  </si>
  <si>
    <t>G-REQ-01539-E2</t>
  </si>
  <si>
    <t>SYNTHETIC: Laptop return; Approved; asset G-AST-00511</t>
  </si>
  <si>
    <t>G-REQ-05800</t>
  </si>
  <si>
    <t>G-REQ-01539-E3</t>
  </si>
  <si>
    <t>SYNTHETIC: Laptop return; In progress; asset G-AST-00511</t>
  </si>
  <si>
    <t>G-REQ-01539-E4</t>
  </si>
  <si>
    <t>G-REQ-05801</t>
  </si>
  <si>
    <t>SYNTHETIC: Laptop return; Completed; asset G-AST-00511</t>
  </si>
  <si>
    <t>G-REQ-01540-E1</t>
  </si>
  <si>
    <t>G-REQ-05802</t>
  </si>
  <si>
    <t>SYNTHETIC: Laptop allocation; Pending approval; asset G-AST-00536</t>
  </si>
  <si>
    <t>G-REQ-01540-E2</t>
  </si>
  <si>
    <t>G-REQ-05803</t>
  </si>
  <si>
    <t>SYNTHETIC: Laptop allocation; Approved; asset G-AST-00536</t>
  </si>
  <si>
    <t>G-REQ-01540-E3</t>
  </si>
  <si>
    <t>SYNTHETIC: Laptop allocation; In progress; asset G-AST-00536</t>
  </si>
  <si>
    <t>G-REQ-05804</t>
  </si>
  <si>
    <t>G-REQ-01540-E4</t>
  </si>
  <si>
    <t>SYNTHETIC: Laptop allocation; Completed; asset G-AST-00536</t>
  </si>
  <si>
    <t>G-REQ-05805</t>
  </si>
  <si>
    <t>G-REQ-01541-E1</t>
  </si>
  <si>
    <t>SYNTHETIC: Laptop allocation; Pending approval; asset G-AST-00537</t>
  </si>
  <si>
    <t>G-REQ-05806</t>
  </si>
  <si>
    <t>G-REQ-01541-E2</t>
  </si>
  <si>
    <t>SYNTHETIC: Laptop allocation; Approved; asset G-AST-00537</t>
  </si>
  <si>
    <t>G-REQ-01541-E3</t>
  </si>
  <si>
    <t>G-REQ-05807</t>
  </si>
  <si>
    <t>SYNTHETIC: Laptop allocation; In progress; asset G-AST-00537</t>
  </si>
  <si>
    <t>G-REQ-01541-E4</t>
  </si>
  <si>
    <t>G-REQ-05808</t>
  </si>
  <si>
    <t>SYNTHETIC: Laptop allocation; Completed; asset G-AST-00537</t>
  </si>
  <si>
    <t>G-REQ-01542-E1</t>
  </si>
  <si>
    <t>SYNTHETIC: Laptop return; Pending approval; asset G-AST-00447</t>
  </si>
  <si>
    <t>G-REQ-05809</t>
  </si>
  <si>
    <t>G-REQ-01542-E2</t>
  </si>
  <si>
    <t>SYNTHETIC: Laptop return; Approved; asset G-AST-00447</t>
  </si>
  <si>
    <t>G-REQ-01542-E3</t>
  </si>
  <si>
    <t>G-REQ-05810</t>
  </si>
  <si>
    <t>SYNTHETIC: Laptop return; In progress; asset G-AST-00447</t>
  </si>
  <si>
    <t>G-REQ-01542-E4</t>
  </si>
  <si>
    <t>G-REQ-05811</t>
  </si>
  <si>
    <t>SYNTHETIC: Laptop return; Completed; asset G-AST-00447</t>
  </si>
  <si>
    <t>G-REQ-01543-E1</t>
  </si>
  <si>
    <t>G-REQ-05812</t>
  </si>
  <si>
    <t>SYNTHETIC: Laptop repair; Pending approval; asset G-AST-00529</t>
  </si>
  <si>
    <t>G-REQ-01543-E2</t>
  </si>
  <si>
    <t>SYNTHETIC: Laptop repair; Approved; asset G-AST-00529</t>
  </si>
  <si>
    <t>G-REQ-05813</t>
  </si>
  <si>
    <t>G-REQ-01543-E3</t>
  </si>
  <si>
    <t>SYNTHETIC: Laptop repair; In progress; asset G-AST-00529</t>
  </si>
  <si>
    <t>G-REQ-01543-E4</t>
  </si>
  <si>
    <t>G-REQ-05814</t>
  </si>
  <si>
    <t>SYNTHETIC: Laptop repair; Completed; asset G-AST-00529</t>
  </si>
  <si>
    <t>G-REQ-01544-E1</t>
  </si>
  <si>
    <t>G-REQ-05815</t>
  </si>
  <si>
    <t>SYNTHETIC: Laptop return; Pending approval; asset G-AST-00505</t>
  </si>
  <si>
    <t>G-REQ-01544-E2</t>
  </si>
  <si>
    <t>G-REQ-05816</t>
  </si>
  <si>
    <t>SYNTHETIC: Laptop return; Approved; asset G-AST-00505</t>
  </si>
  <si>
    <t>G-REQ-01544-E3</t>
  </si>
  <si>
    <t>G-REQ-05817</t>
  </si>
  <si>
    <t>SYNTHETIC: Laptop return; In progress; asset G-AST-00505</t>
  </si>
  <si>
    <t>G-REQ-01544-E4</t>
  </si>
  <si>
    <t>SYNTHETIC: Laptop return; Completed; asset G-AST-00505</t>
  </si>
  <si>
    <t>G-REQ-05818</t>
  </si>
  <si>
    <t>G-REQ-01545-E1</t>
  </si>
  <si>
    <t>SYNTHETIC: Laptop allocation; Pending approval; asset G-AST-00538</t>
  </si>
  <si>
    <t>G-REQ-05819</t>
  </si>
  <si>
    <t>G-REQ-01545-E2</t>
  </si>
  <si>
    <t>SYNTHETIC: Laptop allocation; Approved; asset G-AST-00538</t>
  </si>
  <si>
    <t>G-REQ-01545-E3</t>
  </si>
  <si>
    <t>G-REQ-05820</t>
  </si>
  <si>
    <t>SYNTHETIC: Laptop allocation; In progress; asset G-AST-00538</t>
  </si>
  <si>
    <t>G-REQ-01545-E4</t>
  </si>
  <si>
    <t>G-REQ-05821</t>
  </si>
  <si>
    <t>SYNTHETIC: Laptop allocation; Completed; asset G-AST-00538</t>
  </si>
  <si>
    <t>G-REQ-01546-E1</t>
  </si>
  <si>
    <t>G-REQ-05822</t>
  </si>
  <si>
    <t>G-REQ-01546-E2</t>
  </si>
  <si>
    <t>G-REQ-05823</t>
  </si>
  <si>
    <t>G-REQ-01546-E3</t>
  </si>
  <si>
    <t>G-REQ-01546-E4</t>
  </si>
  <si>
    <t>G-REQ-05824</t>
  </si>
  <si>
    <t>G-REQ-01547-E1</t>
  </si>
  <si>
    <t>G-REQ-05825</t>
  </si>
  <si>
    <t>G-REQ-01547-E2</t>
  </si>
  <si>
    <t>G-REQ-05826</t>
  </si>
  <si>
    <t>SYNTHETIC: Laptop repair; Rejected; asset G-AST-00323</t>
  </si>
  <si>
    <t>G-REQ-01548-E1</t>
  </si>
  <si>
    <t>G-REQ-05827</t>
  </si>
  <si>
    <t>SYNTHETIC: Laptop repair; Pending approval; asset G-AST-00335</t>
  </si>
  <si>
    <t>G-REQ-01548-E2</t>
  </si>
  <si>
    <t>G-REQ-05828</t>
  </si>
  <si>
    <t>SYNTHETIC: Laptop repair; Approved; asset G-AST-00335</t>
  </si>
  <si>
    <t>G-REQ-01548-E3</t>
  </si>
  <si>
    <t>SYNTHETIC: Laptop repair; In progress; asset G-AST-00335</t>
  </si>
  <si>
    <t>G-REQ-05829</t>
  </si>
  <si>
    <t>G-REQ-01548-E4</t>
  </si>
  <si>
    <t>SYNTHETIC: Laptop repair; Completed; asset G-AST-00335</t>
  </si>
  <si>
    <t>G-REQ-01549-E1</t>
  </si>
  <si>
    <t>G-REQ-05830</t>
  </si>
  <si>
    <t>SYNTHETIC: Laptop return; Pending approval; asset G-AST-00438</t>
  </si>
  <si>
    <t>G-REQ-01549-E2</t>
  </si>
  <si>
    <t>G-REQ-05831</t>
  </si>
  <si>
    <t>SYNTHETIC: Laptop return; Approved; asset G-AST-00438</t>
  </si>
  <si>
    <t>G-REQ-01549-E3</t>
  </si>
  <si>
    <t>G-REQ-05832</t>
  </si>
  <si>
    <t>SYNTHETIC: Laptop return; In progress; asset G-AST-00438</t>
  </si>
  <si>
    <t>G-REQ-01549-E4</t>
  </si>
  <si>
    <t>SYNTHETIC: Laptop return; Completed; asset G-AST-00438</t>
  </si>
  <si>
    <t>G-REQ-05833</t>
  </si>
  <si>
    <t>G-REQ-01550-E1</t>
  </si>
  <si>
    <t>SYNTHETIC: Laptop return; Pending approval; asset G-AST-00487</t>
  </si>
  <si>
    <t>G-REQ-05834</t>
  </si>
  <si>
    <t>G-REQ-01550-E2</t>
  </si>
  <si>
    <t>SYNTHETIC: Laptop return; Approved; asset G-AST-00487</t>
  </si>
  <si>
    <t>G-REQ-01550-E3</t>
  </si>
  <si>
    <t>G-REQ-05835</t>
  </si>
  <si>
    <t>SYNTHETIC: Laptop return; In progress; asset G-AST-00487</t>
  </si>
  <si>
    <t>G-REQ-01550-E4</t>
  </si>
  <si>
    <t>G-REQ-05836</t>
  </si>
  <si>
    <t>SYNTHETIC: Laptop return; Completed; asset G-AST-00487</t>
  </si>
  <si>
    <t>G-REQ-01551-E1</t>
  </si>
  <si>
    <t>G-REQ-05837</t>
  </si>
  <si>
    <t>G-REQ-01551-E2</t>
  </si>
  <si>
    <t>G-REQ-05838</t>
  </si>
  <si>
    <t>G-REQ-01551-E3</t>
  </si>
  <si>
    <t>G-REQ-05839</t>
  </si>
  <si>
    <t>G-REQ-01551-E4</t>
  </si>
  <si>
    <t>G-REQ-05840</t>
  </si>
  <si>
    <t>G-REQ-01552-E1</t>
  </si>
  <si>
    <t>SYNTHETIC: Laptop repair; Pending approval; asset G-AST-00458</t>
  </si>
  <si>
    <t>G-REQ-01552-E2</t>
  </si>
  <si>
    <t>G-REQ-05841</t>
  </si>
  <si>
    <t>SYNTHETIC: Laptop repair; Approved; asset G-AST-00458</t>
  </si>
  <si>
    <t>G-REQ-01552-E3</t>
  </si>
  <si>
    <t>G-REQ-05842</t>
  </si>
  <si>
    <t>SYNTHETIC: Laptop repair; In progress; asset G-AST-00458</t>
  </si>
  <si>
    <t>G-REQ-01552-E4</t>
  </si>
  <si>
    <t>G-REQ-05843</t>
  </si>
  <si>
    <t>SYNTHETIC: Laptop repair; Completed; asset G-AST-00458</t>
  </si>
  <si>
    <t>G-REQ-01553-E1</t>
  </si>
  <si>
    <t>G-REQ-05844</t>
  </si>
  <si>
    <t>G-REQ-01553-E2</t>
  </si>
  <si>
    <t>G-REQ-05845</t>
  </si>
  <si>
    <t>G-REQ-01553-E3</t>
  </si>
  <si>
    <t>G-REQ-01553-E4</t>
  </si>
  <si>
    <t>G-REQ-05846</t>
  </si>
  <si>
    <t>G-REQ-01554-E1</t>
  </si>
  <si>
    <t>G-REQ-05847</t>
  </si>
  <si>
    <t>SYNTHETIC: Laptop repair; Pending approval; asset G-AST-00531</t>
  </si>
  <si>
    <t>G-REQ-01554-E2</t>
  </si>
  <si>
    <t>G-REQ-05848</t>
  </si>
  <si>
    <t>SYNTHETIC: Laptop repair; Approved; asset G-AST-00531</t>
  </si>
  <si>
    <t>G-REQ-01554-E3</t>
  </si>
  <si>
    <t>G-REQ-05849</t>
  </si>
  <si>
    <t>SYNTHETIC: Laptop repair; In progress; asset G-AST-00531</t>
  </si>
  <si>
    <t>G-REQ-01554-E4</t>
  </si>
  <si>
    <t>SYNTHETIC: Laptop repair; Completed; asset G-AST-00531</t>
  </si>
  <si>
    <t>G-REQ-05850</t>
  </si>
  <si>
    <t>G-REQ-01555-E1</t>
  </si>
  <si>
    <t>G-REQ-01555-E2</t>
  </si>
  <si>
    <t>G-REQ-05851</t>
  </si>
  <si>
    <t>G-REQ-01555-E3</t>
  </si>
  <si>
    <t>G-REQ-05852</t>
  </si>
  <si>
    <t>G-REQ-01555-E4</t>
  </si>
  <si>
    <t>G-REQ-05853</t>
  </si>
  <si>
    <t>G-REQ-01556-E1</t>
  </si>
  <si>
    <t>G-REQ-05854</t>
  </si>
  <si>
    <t>SYNTHETIC: Laptop return; Pending approval; asset G-AST-00525</t>
  </si>
  <si>
    <t>G-REQ-01556-E2</t>
  </si>
  <si>
    <t>SYNTHETIC: Laptop return; Approved; asset G-AST-00525</t>
  </si>
  <si>
    <t>G-REQ-05855</t>
  </si>
  <si>
    <t>G-REQ-01556-E3</t>
  </si>
  <si>
    <t>SYNTHETIC: Laptop return; In progress; asset G-AST-00525</t>
  </si>
  <si>
    <t>G-REQ-05856</t>
  </si>
  <si>
    <t>G-REQ-01556-E4</t>
  </si>
  <si>
    <t>SYNTHETIC: Laptop return; Completed; asset G-AST-00525</t>
  </si>
  <si>
    <t>G-REQ-01557-E1</t>
  </si>
  <si>
    <t>G-REQ-05857</t>
  </si>
  <si>
    <t>SYNTHETIC: Laptop return; Pending approval; asset G-AST-00503</t>
  </si>
  <si>
    <t>G-REQ-01557-E2</t>
  </si>
  <si>
    <t>G-REQ-05858</t>
  </si>
  <si>
    <t>SYNTHETIC: Laptop return; Approved; asset G-AST-00503</t>
  </si>
  <si>
    <t>G-REQ-01557-E3</t>
  </si>
  <si>
    <t>SYNTHETIC: Laptop return; In progress; asset G-AST-00503</t>
  </si>
  <si>
    <t>G-REQ-05859</t>
  </si>
  <si>
    <t>G-REQ-01557-E4</t>
  </si>
  <si>
    <t>SYNTHETIC: Laptop return; Completed; asset G-AST-00503</t>
  </si>
  <si>
    <t>G-REQ-01558-E1</t>
  </si>
  <si>
    <t>G-REQ-05860</t>
  </si>
  <si>
    <t>G-REQ-01558-E2</t>
  </si>
  <si>
    <t>G-REQ-05861</t>
  </si>
  <si>
    <t>G-REQ-01559-E1</t>
  </si>
  <si>
    <t>G-REQ-05862</t>
  </si>
  <si>
    <t>SYNTHETIC: Laptop return; Pending approval; asset G-AST-00477</t>
  </si>
  <si>
    <t>G-REQ-01559-E2</t>
  </si>
  <si>
    <t>SYNTHETIC: Laptop return; Approved; asset G-AST-00477</t>
  </si>
  <si>
    <t>G-REQ-05863</t>
  </si>
  <si>
    <t>G-REQ-01559-E3</t>
  </si>
  <si>
    <t>SYNTHETIC: Laptop return; In progress; asset G-AST-00477</t>
  </si>
  <si>
    <t>G-REQ-01559-E4</t>
  </si>
  <si>
    <t>G-REQ-05864</t>
  </si>
  <si>
    <t>SYNTHETIC: Laptop return; Completed; asset G-AST-00477</t>
  </si>
  <si>
    <t>G-REQ-01560-E1</t>
  </si>
  <si>
    <t>G-REQ-05865</t>
  </si>
  <si>
    <t>G-REQ-01560-E2</t>
  </si>
  <si>
    <t>G-REQ-05866</t>
  </si>
  <si>
    <t>G-REQ-01560-E3</t>
  </si>
  <si>
    <t>G-REQ-05867</t>
  </si>
  <si>
    <t>G-REQ-01560-E4</t>
  </si>
  <si>
    <t>G-REQ-01561-E1</t>
  </si>
  <si>
    <t>G-REQ-05868</t>
  </si>
  <si>
    <t>SYNTHETIC: Laptop return; Pending approval; asset G-AST-00389</t>
  </si>
  <si>
    <t>G-REQ-01561-E2</t>
  </si>
  <si>
    <t>G-REQ-05869</t>
  </si>
  <si>
    <t>SYNTHETIC: Laptop return; Approved; asset G-AST-00389</t>
  </si>
  <si>
    <t>G-REQ-01561-E3</t>
  </si>
  <si>
    <t>G-REQ-05870</t>
  </si>
  <si>
    <t>SYNTHETIC: Laptop return; In progress; asset G-AST-00389</t>
  </si>
  <si>
    <t>G-REQ-01561-E4</t>
  </si>
  <si>
    <t>G-REQ-05871</t>
  </si>
  <si>
    <t>SYNTHETIC: Laptop return; Completed; asset G-AST-00389</t>
  </si>
  <si>
    <t>G-REQ-01562-E1</t>
  </si>
  <si>
    <t>G-REQ-05872</t>
  </si>
  <si>
    <t>G-REQ-01562-E2</t>
  </si>
  <si>
    <t>G-REQ-05873</t>
  </si>
  <si>
    <t>G-REQ-01562-E3</t>
  </si>
  <si>
    <t>G-REQ-05874</t>
  </si>
  <si>
    <t>G-REQ-01562-E4</t>
  </si>
  <si>
    <t>G-REQ-01563-E1</t>
  </si>
  <si>
    <t>G-REQ-05875</t>
  </si>
  <si>
    <t>G-REQ-05876</t>
  </si>
  <si>
    <t>G-REQ-01563-E2</t>
  </si>
  <si>
    <t>G-REQ-05877</t>
  </si>
  <si>
    <t>SYNTHETIC: Laptop repair; Rejected; asset G-AST-00456</t>
  </si>
  <si>
    <t>G-REQ-01564-E1</t>
  </si>
  <si>
    <t>G-REQ-05878</t>
  </si>
  <si>
    <t>SYNTHETIC: Laptop repair; Pending approval; asset G-AST-00476</t>
  </si>
  <si>
    <t>G-REQ-01564-E2</t>
  </si>
  <si>
    <t>G-REQ-05879</t>
  </si>
  <si>
    <t>SYNTHETIC: Laptop repair; Approved; asset G-AST-00476</t>
  </si>
  <si>
    <t>G-REQ-01564-E3</t>
  </si>
  <si>
    <t>SYNTHETIC: Laptop repair; In progress; asset G-AST-00476</t>
  </si>
  <si>
    <t>G-REQ-05880</t>
  </si>
  <si>
    <t>G-REQ-01564-E4</t>
  </si>
  <si>
    <t>SYNTHETIC: Laptop repair; Completed; asset G-AST-00476</t>
  </si>
  <si>
    <t>G-REQ-01565-E1</t>
  </si>
  <si>
    <t>G-REQ-05881</t>
  </si>
  <si>
    <t>G-REQ-01565-E2</t>
  </si>
  <si>
    <t>G-REQ-05882</t>
  </si>
  <si>
    <t>G-REQ-01565-E3</t>
  </si>
  <si>
    <t>G-REQ-05883</t>
  </si>
  <si>
    <t>G-REQ-01565-E4</t>
  </si>
  <si>
    <t>G-REQ-05884</t>
  </si>
  <si>
    <t>G-REQ-01566-E1</t>
  </si>
  <si>
    <t>G-REQ-05885</t>
  </si>
  <si>
    <t>G-REQ-01566-E2</t>
  </si>
  <si>
    <t>G-REQ-05886</t>
  </si>
  <si>
    <t>G-REQ-01566-E3</t>
  </si>
  <si>
    <t>G-REQ-01566-E4</t>
  </si>
  <si>
    <t>G-REQ-05887</t>
  </si>
  <si>
    <t>G-REQ-01567-E1</t>
  </si>
  <si>
    <t>G-REQ-05888</t>
  </si>
  <si>
    <t>G-REQ-01567-E2</t>
  </si>
  <si>
    <t>G-REQ-05889</t>
  </si>
  <si>
    <t>G-REQ-01567-E3</t>
  </si>
  <si>
    <t>G-REQ-05890</t>
  </si>
  <si>
    <t>G-REQ-01567-E4</t>
  </si>
  <si>
    <t>G-REQ-05891</t>
  </si>
  <si>
    <t>G-REQ-01568-E1</t>
  </si>
  <si>
    <t>G-REQ-01568-E2</t>
  </si>
  <si>
    <t>G-REQ-05892</t>
  </si>
  <si>
    <t>G-REQ-01568-E3</t>
  </si>
  <si>
    <t>G-REQ-05893</t>
  </si>
  <si>
    <t>G-REQ-01568-E4</t>
  </si>
  <si>
    <t>G-REQ-05894</t>
  </si>
  <si>
    <t>G-REQ-01569-E1</t>
  </si>
  <si>
    <t>G-REQ-05895</t>
  </si>
  <si>
    <t>SYNTHETIC: Laptop repair; Pending approval; asset G-AST-00460</t>
  </si>
  <si>
    <t>G-REQ-01569-E2</t>
  </si>
  <si>
    <t>SYNTHETIC: Laptop repair; Approved; asset G-AST-00460</t>
  </si>
  <si>
    <t>G-REQ-05896</t>
  </si>
  <si>
    <t>G-REQ-01569-E3</t>
  </si>
  <si>
    <t>SYNTHETIC: Laptop repair; In progress; asset G-AST-00460</t>
  </si>
  <si>
    <t>G-REQ-01569-E4</t>
  </si>
  <si>
    <t>G-REQ-05897</t>
  </si>
  <si>
    <t>SYNTHETIC: Laptop repair; Completed; asset G-AST-00460</t>
  </si>
  <si>
    <t>G-REQ-01570-E1</t>
  </si>
  <si>
    <t>G-REQ-05898</t>
  </si>
  <si>
    <t>G-REQ-01570-E2</t>
  </si>
  <si>
    <t>G-REQ-05899</t>
  </si>
  <si>
    <t>G-REQ-01570-E3</t>
  </si>
  <si>
    <t>G-REQ-05900</t>
  </si>
  <si>
    <t>G-REQ-01570-E4</t>
  </si>
  <si>
    <t>G-REQ-05901</t>
  </si>
  <si>
    <t>G-REQ-01571-E1</t>
  </si>
  <si>
    <t>SYNTHETIC: Laptop return; Pending approval; asset G-AST-00003</t>
  </si>
  <si>
    <t>G-REQ-01571-E2</t>
  </si>
  <si>
    <t>G-REQ-05902</t>
  </si>
  <si>
    <t>SYNTHETIC: Laptop return; Rejected; asset G-AST-00003</t>
  </si>
  <si>
    <t>G-REQ-01572-E1</t>
  </si>
  <si>
    <t>G-REQ-05903</t>
  </si>
  <si>
    <t>SYNTHETIC: Laptop repair; Pending approval; asset G-AST-00443</t>
  </si>
  <si>
    <t>G-REQ-01572-E2</t>
  </si>
  <si>
    <t>G-REQ-05904</t>
  </si>
  <si>
    <t>SYNTHETIC: Laptop repair; Approved; asset G-AST-00443</t>
  </si>
  <si>
    <t>G-REQ-01572-E3</t>
  </si>
  <si>
    <t>SYNTHETIC: Laptop repair; In progress; asset G-AST-00443</t>
  </si>
  <si>
    <t>G-REQ-05905</t>
  </si>
  <si>
    <t>G-REQ-01572-E4</t>
  </si>
  <si>
    <t>SYNTHETIC: Laptop repair; Completed; asset G-AST-00443</t>
  </si>
  <si>
    <t>G-REQ-01573-E1</t>
  </si>
  <si>
    <t>G-REQ-05906</t>
  </si>
  <si>
    <t>SYNTHETIC: Laptop return; Pending approval; asset G-AST-00195</t>
  </si>
  <si>
    <t>G-REQ-01573-E2</t>
  </si>
  <si>
    <t>G-REQ-05907</t>
  </si>
  <si>
    <t>SYNTHETIC: Laptop return; Approved; asset G-AST-00195</t>
  </si>
  <si>
    <t>G-REQ-01573-E3</t>
  </si>
  <si>
    <t>G-REQ-05908</t>
  </si>
  <si>
    <t>SYNTHETIC: Laptop return; In progress; asset G-AST-00195</t>
  </si>
  <si>
    <t>G-REQ-01573-E4</t>
  </si>
  <si>
    <t>G-REQ-05909</t>
  </si>
  <si>
    <t>SYNTHETIC: Laptop return; Completed; asset G-AST-00195</t>
  </si>
  <si>
    <t>G-REQ-01574-E1</t>
  </si>
  <si>
    <t>G-REQ-05910</t>
  </si>
  <si>
    <t>SYNTHETIC: Laptop repair; Pending approval; asset G-AST-00052</t>
  </si>
  <si>
    <t>G-REQ-01574-E2</t>
  </si>
  <si>
    <t>SYNTHETIC: Laptop repair; Approved; asset G-AST-00052</t>
  </si>
  <si>
    <t>G-REQ-05911</t>
  </si>
  <si>
    <t>G-REQ-01574-E3</t>
  </si>
  <si>
    <t>SYNTHETIC: Laptop repair; In progress; asset G-AST-00052</t>
  </si>
  <si>
    <t>G-REQ-01574-E4</t>
  </si>
  <si>
    <t>G-REQ-05912</t>
  </si>
  <si>
    <t>SYNTHETIC: Laptop repair; Completed; asset G-AST-00052</t>
  </si>
  <si>
    <t>G-REQ-01575-E1</t>
  </si>
  <si>
    <t>G-REQ-05913</t>
  </si>
  <si>
    <t>G-REQ-01575-E2</t>
  </si>
  <si>
    <t>G-REQ-05914</t>
  </si>
  <si>
    <t>G-REQ-01575-E3</t>
  </si>
  <si>
    <t>G-REQ-05915</t>
  </si>
  <si>
    <t>G-REQ-01575-E4</t>
  </si>
  <si>
    <t>G-REQ-01576-E1</t>
  </si>
  <si>
    <t>G-REQ-05916</t>
  </si>
  <si>
    <t>G-REQ-01576-E2</t>
  </si>
  <si>
    <t>G-REQ-05917</t>
  </si>
  <si>
    <t>G-REQ-01576-E3</t>
  </si>
  <si>
    <t>G-REQ-05918</t>
  </si>
  <si>
    <t>G-REQ-01576-E4</t>
  </si>
  <si>
    <t>G-REQ-01577-E1</t>
  </si>
  <si>
    <t>G-REQ-05919</t>
  </si>
  <si>
    <t>SYNTHETIC: Laptop return; Pending approval; asset G-AST-00263</t>
  </si>
  <si>
    <t>G-REQ-01577-E2</t>
  </si>
  <si>
    <t>G-REQ-05920</t>
  </si>
  <si>
    <t>SYNTHETIC: Laptop return; Approved; asset G-AST-00263</t>
  </si>
  <si>
    <t>G-REQ-01577-E3</t>
  </si>
  <si>
    <t>G-REQ-05921</t>
  </si>
  <si>
    <t>SYNTHETIC: Laptop return; In progress; asset G-AST-00263</t>
  </si>
  <si>
    <t>G-REQ-01577-E4</t>
  </si>
  <si>
    <t>G-REQ-05922</t>
  </si>
  <si>
    <t>SYNTHETIC: Laptop return; Completed; asset G-AST-00263</t>
  </si>
  <si>
    <t>G-REQ-01578-E1</t>
  </si>
  <si>
    <t>G-REQ-05923</t>
  </si>
  <si>
    <t>G-REQ-01578-E2</t>
  </si>
  <si>
    <t>G-REQ-05924</t>
  </si>
  <si>
    <t>SYNTHETIC: Laptop return; Approved; asset G-AST-00306</t>
  </si>
  <si>
    <t>G-REQ-01578-E3</t>
  </si>
  <si>
    <t>G-REQ-05925</t>
  </si>
  <si>
    <t>SYNTHETIC: Laptop return; In progress; asset G-AST-00306</t>
  </si>
  <si>
    <t>G-REQ-01578-E4</t>
  </si>
  <si>
    <t>SYNTHETIC: Laptop return; Completed; asset G-AST-00306</t>
  </si>
  <si>
    <t>G-REQ-01579-E1</t>
  </si>
  <si>
    <t>G-REQ-05926</t>
  </si>
  <si>
    <t>G-REQ-01579-E2</t>
  </si>
  <si>
    <t>G-REQ-01579-E3</t>
  </si>
  <si>
    <t>G-REQ-05927</t>
  </si>
  <si>
    <t>G-REQ-01579-E4</t>
  </si>
  <si>
    <t>G-REQ-05928</t>
  </si>
  <si>
    <t>G-REQ-01580-E1</t>
  </si>
  <si>
    <t>G-REQ-05929</t>
  </si>
  <si>
    <t>G-REQ-01580-E2</t>
  </si>
  <si>
    <t>G-REQ-01580-E3</t>
  </si>
  <si>
    <t>G-REQ-05930</t>
  </si>
  <si>
    <t>G-REQ-01580-E4</t>
  </si>
  <si>
    <t>G-REQ-05931</t>
  </si>
  <si>
    <t>G-REQ-01581-E1</t>
  </si>
  <si>
    <t>G-REQ-05932</t>
  </si>
  <si>
    <t>SYNTHETIC: Laptop return; Pending approval; asset G-AST-00298</t>
  </si>
  <si>
    <t>G-REQ-01581-E2</t>
  </si>
  <si>
    <t>G-REQ-05933</t>
  </si>
  <si>
    <t>SYNTHETIC: Laptop return; Approved; asset G-AST-00298</t>
  </si>
  <si>
    <t>G-REQ-01581-E3</t>
  </si>
  <si>
    <t>SYNTHETIC: Laptop return; In progress; asset G-AST-00298</t>
  </si>
  <si>
    <t>G-REQ-01581-E4</t>
  </si>
  <si>
    <t>G-REQ-05934</t>
  </si>
  <si>
    <t>SYNTHETIC: Laptop return; Completed; asset G-AST-00298</t>
  </si>
  <si>
    <t>G-REQ-01582-E1</t>
  </si>
  <si>
    <t>G-REQ-05935</t>
  </si>
  <si>
    <t>G-REQ-01582-E2</t>
  </si>
  <si>
    <t>G-REQ-05936</t>
  </si>
  <si>
    <t>G-REQ-01582-E3</t>
  </si>
  <si>
    <t>G-REQ-05937</t>
  </si>
  <si>
    <t>G-REQ-01582-E4</t>
  </si>
  <si>
    <t>G-REQ-05938</t>
  </si>
  <si>
    <t>G-REQ-01583-E1</t>
  </si>
  <si>
    <t>SYNTHETIC: Laptop repair; Pending approval; asset G-AST-00533</t>
  </si>
  <si>
    <t>G-REQ-05939</t>
  </si>
  <si>
    <t>G-REQ-01583-E2</t>
  </si>
  <si>
    <t>SYNTHETIC: Laptop repair; Approved; asset G-AST-00533</t>
  </si>
  <si>
    <t>G-REQ-01583-E3</t>
  </si>
  <si>
    <t>G-REQ-05940</t>
  </si>
  <si>
    <t>SYNTHETIC: Laptop repair; In progress; asset G-AST-00533</t>
  </si>
  <si>
    <t>G-REQ-01583-E4</t>
  </si>
  <si>
    <t>G-REQ-05941</t>
  </si>
  <si>
    <t>SYNTHETIC: Laptop repair; Completed; asset G-AST-00533</t>
  </si>
  <si>
    <t>G-REQ-01584-E1</t>
  </si>
  <si>
    <t>G-REQ-05942</t>
  </si>
  <si>
    <t>G-REQ-01584-E2</t>
  </si>
  <si>
    <t>G-REQ-05943</t>
  </si>
  <si>
    <t>G-REQ-01584-E3</t>
  </si>
  <si>
    <t>G-REQ-01584-E4</t>
  </si>
  <si>
    <t>G-REQ-05944</t>
  </si>
  <si>
    <t>G-REQ-01585-E1</t>
  </si>
  <si>
    <t>G-REQ-05945</t>
  </si>
  <si>
    <t>G-REQ-01585-E2</t>
  </si>
  <si>
    <t>G-REQ-05946</t>
  </si>
  <si>
    <t>G-REQ-01585-E3</t>
  </si>
  <si>
    <t>G-REQ-05947</t>
  </si>
  <si>
    <t>G-REQ-01585-E4</t>
  </si>
  <si>
    <t>G-REQ-01586-E1</t>
  </si>
  <si>
    <t>G-REQ-05948</t>
  </si>
  <si>
    <t>SYNTHETIC: Laptop return; Pending approval; asset G-AST-00532</t>
  </si>
  <si>
    <t>G-REQ-01586-E2</t>
  </si>
  <si>
    <t>G-REQ-05949</t>
  </si>
  <si>
    <t>SYNTHETIC: Laptop return; Approved; asset G-AST-00532</t>
  </si>
  <si>
    <t>G-REQ-01586-E3</t>
  </si>
  <si>
    <t>SYNTHETIC: Laptop return; In progress; asset G-AST-00532</t>
  </si>
  <si>
    <t>G-REQ-01586-E4</t>
  </si>
  <si>
    <t>SYNTHETIC: Laptop return; Completed; asset G-AST-00532</t>
  </si>
  <si>
    <t>G-REQ-01587-E1</t>
  </si>
  <si>
    <t>G-REQ-05950</t>
  </si>
  <si>
    <t>G-REQ-01587-E2</t>
  </si>
  <si>
    <t>G-REQ-01587-E3</t>
  </si>
  <si>
    <t>G-REQ-05951</t>
  </si>
  <si>
    <t>G-REQ-01587-E4</t>
  </si>
  <si>
    <t>G-REQ-05952</t>
  </si>
  <si>
    <t>G-REQ-01588-E1</t>
  </si>
  <si>
    <t>G-REQ-05953</t>
  </si>
  <si>
    <t>G-REQ-01588-E2</t>
  </si>
  <si>
    <t>G-REQ-05954</t>
  </si>
  <si>
    <t>G-REQ-01588-E3</t>
  </si>
  <si>
    <t>G-REQ-05955</t>
  </si>
  <si>
    <t>G-REQ-05956</t>
  </si>
  <si>
    <t>G-REQ-01588-E4</t>
  </si>
  <si>
    <t>G-REQ-05957</t>
  </si>
  <si>
    <t>G-REQ-01589-E1</t>
  </si>
  <si>
    <t>G-REQ-05958</t>
  </si>
  <si>
    <t>G-REQ-01589-E2</t>
  </si>
  <si>
    <t>G-REQ-01590-E1</t>
  </si>
  <si>
    <t>G-REQ-05959</t>
  </si>
  <si>
    <t>SYNTHETIC: Laptop return; Pending approval; asset G-AST-00506</t>
  </si>
  <si>
    <t>G-REQ-01590-E2</t>
  </si>
  <si>
    <t>G-REQ-05960</t>
  </si>
  <si>
    <t>SYNTHETIC: Laptop return; Cancelled; asset G-AST-00506</t>
  </si>
  <si>
    <t>G-REQ-01591-E1</t>
  </si>
  <si>
    <t>G-REQ-05961</t>
  </si>
  <si>
    <t>G-REQ-01591-E2</t>
  </si>
  <si>
    <t>G-REQ-05962</t>
  </si>
  <si>
    <t>SYNTHETIC: Laptop return; Approved; asset G-AST-00464</t>
  </si>
  <si>
    <t>G-REQ-01591-E3</t>
  </si>
  <si>
    <t>SYNTHETIC: Laptop return; In progress; asset G-AST-00464</t>
  </si>
  <si>
    <t>G-REQ-05963</t>
  </si>
  <si>
    <t>G-REQ-01591-E4</t>
  </si>
  <si>
    <t>SYNTHETIC: Laptop return; Completed; asset G-AST-00464</t>
  </si>
  <si>
    <t>G-REQ-05964</t>
  </si>
  <si>
    <t>G-REQ-01592-E1</t>
  </si>
  <si>
    <t>SYNTHETIC: Laptop return; Pending approval; asset G-AST-00388</t>
  </si>
  <si>
    <t>G-REQ-05965</t>
  </si>
  <si>
    <t>G-REQ-01592-E2</t>
  </si>
  <si>
    <t>SYNTHETIC: Laptop return; Approved; asset G-AST-00388</t>
  </si>
  <si>
    <t>G-REQ-01592-E3</t>
  </si>
  <si>
    <t>G-REQ-05966</t>
  </si>
  <si>
    <t>SYNTHETIC: Laptop return; In progress; asset G-AST-00388</t>
  </si>
  <si>
    <t>G-REQ-01592-E4</t>
  </si>
  <si>
    <t>G-REQ-05967</t>
  </si>
  <si>
    <t>SYNTHETIC: Laptop return; Completed; asset G-AST-00388</t>
  </si>
  <si>
    <t>G-REQ-01593-E1</t>
  </si>
  <si>
    <t>G-REQ-05968</t>
  </si>
  <si>
    <t>SYNTHETIC: Laptop repair; Pending approval; asset G-AST-00517</t>
  </si>
  <si>
    <t>G-REQ-01593-E2</t>
  </si>
  <si>
    <t>SYNTHETIC: Laptop repair; Approved; asset G-AST-00517</t>
  </si>
  <si>
    <t>G-REQ-05969</t>
  </si>
  <si>
    <t>G-REQ-01593-E3</t>
  </si>
  <si>
    <t>SYNTHETIC: Laptop repair; In progress; asset G-AST-00517</t>
  </si>
  <si>
    <t>G-REQ-01593-E4</t>
  </si>
  <si>
    <t>G-REQ-05970</t>
  </si>
  <si>
    <t>SYNTHETIC: Laptop repair; Completed; asset G-AST-00517</t>
  </si>
  <si>
    <t>G-REQ-01594-E1</t>
  </si>
  <si>
    <t>G-REQ-05971</t>
  </si>
  <si>
    <t>SYNTHETIC: Laptop return; Pending approval; asset G-AST-00419</t>
  </si>
  <si>
    <t>G-REQ-01594-E2</t>
  </si>
  <si>
    <t>SYNTHETIC: Laptop return; Approved; asset G-AST-00419</t>
  </si>
  <si>
    <t>G-REQ-05972</t>
  </si>
  <si>
    <t>G-REQ-01594-E3</t>
  </si>
  <si>
    <t>SYNTHETIC: Laptop return; In progress; asset G-AST-00419</t>
  </si>
  <si>
    <t>G-REQ-01594-E4</t>
  </si>
  <si>
    <t>G-REQ-05973</t>
  </si>
  <si>
    <t>SYNTHETIC: Laptop return; Completed; asset G-AST-00419</t>
  </si>
  <si>
    <t>G-REQ-01595-E1</t>
  </si>
  <si>
    <t>G-REQ-05974</t>
  </si>
  <si>
    <t>SYNTHETIC: Laptop return; Pending approval; asset G-AST-00382</t>
  </si>
  <si>
    <t>G-REQ-01595-E2</t>
  </si>
  <si>
    <t>G-REQ-05975</t>
  </si>
  <si>
    <t>SYNTHETIC: Laptop return; Approved; asset G-AST-00382</t>
  </si>
  <si>
    <t>G-REQ-01595-E3</t>
  </si>
  <si>
    <t>SYNTHETIC: Laptop return; In progress; asset G-AST-00382</t>
  </si>
  <si>
    <t>G-REQ-05976</t>
  </si>
  <si>
    <t>G-REQ-01595-E4</t>
  </si>
  <si>
    <t>SYNTHETIC: Laptop return; Completed; asset G-AST-00382</t>
  </si>
  <si>
    <t>G-REQ-01596-E1</t>
  </si>
  <si>
    <t>G-REQ-05977</t>
  </si>
  <si>
    <t>G-REQ-01596-E2</t>
  </si>
  <si>
    <t>G-REQ-05978</t>
  </si>
  <si>
    <t>G-REQ-01596-E3</t>
  </si>
  <si>
    <t>G-REQ-05979</t>
  </si>
  <si>
    <t>G-REQ-01596-E4</t>
  </si>
  <si>
    <t>G-REQ-05980</t>
  </si>
  <si>
    <t>G-REQ-01597-E1</t>
  </si>
  <si>
    <t>G-REQ-05981</t>
  </si>
  <si>
    <t>G-REQ-05982</t>
  </si>
  <si>
    <t>G-REQ-01597-E2</t>
  </si>
  <si>
    <t>G-REQ-05983</t>
  </si>
  <si>
    <t>SYNTHETIC: Laptop repair; Cancelled; asset G-AST-00270</t>
  </si>
  <si>
    <t>G-REQ-01598-E1</t>
  </si>
  <si>
    <t>G-REQ-05984</t>
  </si>
  <si>
    <t>SYNTHETIC: Laptop repair; Pending approval; asset G-AST-00509</t>
  </si>
  <si>
    <t>G-REQ-05985</t>
  </si>
  <si>
    <t>G-REQ-01598-E2</t>
  </si>
  <si>
    <t>G-REQ-05986</t>
  </si>
  <si>
    <t>SYNTHETIC: Laptop repair; Approved; asset G-AST-00509</t>
  </si>
  <si>
    <t>G-REQ-01598-E3</t>
  </si>
  <si>
    <t>G-REQ-05987</t>
  </si>
  <si>
    <t>SYNTHETIC: Laptop repair; In progress; asset G-AST-00509</t>
  </si>
  <si>
    <t>G-REQ-01598-E4</t>
  </si>
  <si>
    <t>G-REQ-05988</t>
  </si>
  <si>
    <t>SYNTHETIC: Laptop repair; Completed; asset G-AST-00509</t>
  </si>
  <si>
    <t>G-REQ-01599-E1</t>
  </si>
  <si>
    <t>G-REQ-05989</t>
  </si>
  <si>
    <t>G-REQ-01599-E2</t>
  </si>
  <si>
    <t>G-REQ-05990</t>
  </si>
  <si>
    <t>G-REQ-01599-E3</t>
  </si>
  <si>
    <t>G-REQ-05991</t>
  </si>
  <si>
    <t>G-REQ-01599-E4</t>
  </si>
  <si>
    <t>G-REQ-05992</t>
  </si>
  <si>
    <t>G-REQ-01600-E1</t>
  </si>
  <si>
    <t>G-REQ-05993</t>
  </si>
  <si>
    <t>G-REQ-01600-E2</t>
  </si>
  <si>
    <t>G-REQ-01600-E3</t>
  </si>
  <si>
    <t>G-REQ-05994</t>
  </si>
  <si>
    <t>G-REQ-01600-E4</t>
  </si>
  <si>
    <t>G-REQ-05995</t>
  </si>
  <si>
    <t>G-REQ-01601-E1</t>
  </si>
  <si>
    <t>G-REQ-05996</t>
  </si>
  <si>
    <t>G-REQ-01601-E2</t>
  </si>
  <si>
    <t>G-REQ-05997</t>
  </si>
  <si>
    <t>G-REQ-01601-E3</t>
  </si>
  <si>
    <t>G-REQ-05998</t>
  </si>
  <si>
    <t>G-REQ-01601-E4</t>
  </si>
  <si>
    <t>G-REQ-01602-E1</t>
  </si>
  <si>
    <t>G-REQ-05999</t>
  </si>
  <si>
    <t>G-REQ-01602-E2</t>
  </si>
  <si>
    <t>G-REQ-06000</t>
  </si>
  <si>
    <t>G-REQ-01602-E3</t>
  </si>
  <si>
    <t>G-REQ-06001</t>
  </si>
  <si>
    <t>G-REQ-01602-E4</t>
  </si>
  <si>
    <t>G-REQ-06002</t>
  </si>
  <si>
    <t>G-REQ-01603-E1</t>
  </si>
  <si>
    <t>G-REQ-06003</t>
  </si>
  <si>
    <t>G-REQ-01603-E2</t>
  </si>
  <si>
    <t>G-REQ-06004</t>
  </si>
  <si>
    <t>G-REQ-01603-E3</t>
  </si>
  <si>
    <t>G-REQ-06005</t>
  </si>
  <si>
    <t>G-REQ-01603-E4</t>
  </si>
  <si>
    <t>G-REQ-06006</t>
  </si>
  <si>
    <t>G-REQ-06007</t>
  </si>
  <si>
    <t>G-REQ-01604-E1</t>
  </si>
  <si>
    <t>G-REQ-06008</t>
  </si>
  <si>
    <t>G-REQ-01604-E2</t>
  </si>
  <si>
    <t>G-REQ-06009</t>
  </si>
  <si>
    <t>G-REQ-01604-E3</t>
  </si>
  <si>
    <t>G-REQ-01604-E4</t>
  </si>
  <si>
    <t>G-REQ-06010</t>
  </si>
  <si>
    <t>G-REQ-01605-E1</t>
  </si>
  <si>
    <t>G-REQ-06011</t>
  </si>
  <si>
    <t>SYNTHETIC: Laptop return; Pending approval; asset G-AST-00443</t>
  </si>
  <si>
    <t>G-REQ-01605-E2</t>
  </si>
  <si>
    <t>G-REQ-06012</t>
  </si>
  <si>
    <t>SYNTHETIC: Laptop return; Approved; asset G-AST-00443</t>
  </si>
  <si>
    <t>G-REQ-01605-E3</t>
  </si>
  <si>
    <t>G-REQ-06013</t>
  </si>
  <si>
    <t>SYNTHETIC: Laptop return; In progress; asset G-AST-00443</t>
  </si>
  <si>
    <t>G-REQ-01605-E4</t>
  </si>
  <si>
    <t>G-REQ-06014</t>
  </si>
  <si>
    <t>SYNTHETIC: Laptop return; Completed; asset G-AST-00443</t>
  </si>
  <si>
    <t>G-REQ-01606-E1</t>
  </si>
  <si>
    <t>G-REQ-06015</t>
  </si>
  <si>
    <t>G-REQ-01606-E2</t>
  </si>
  <si>
    <t>G-REQ-01607-E1</t>
  </si>
  <si>
    <t>G-REQ-06016</t>
  </si>
  <si>
    <t>SYNTHETIC: Laptop return; Pending approval; asset G-AST-00474</t>
  </si>
  <si>
    <t>G-REQ-01607-E2</t>
  </si>
  <si>
    <t>G-REQ-06017</t>
  </si>
  <si>
    <t>SYNTHETIC: Laptop return; Approved; asset G-AST-00474</t>
  </si>
  <si>
    <t>G-REQ-01607-E3</t>
  </si>
  <si>
    <t>G-REQ-06018</t>
  </si>
  <si>
    <t>SYNTHETIC: Laptop return; In progress; asset G-AST-00474</t>
  </si>
  <si>
    <t>G-REQ-01607-E4</t>
  </si>
  <si>
    <t>G-REQ-06019</t>
  </si>
  <si>
    <t>SYNTHETIC: Laptop return; Completed; asset G-AST-00474</t>
  </si>
  <si>
    <t>G-REQ-01608-E1</t>
  </si>
  <si>
    <t>G-REQ-06020</t>
  </si>
  <si>
    <t>SYNTHETIC: Laptop return; Pending approval; asset G-AST-00501</t>
  </si>
  <si>
    <t>G-REQ-01608-E2</t>
  </si>
  <si>
    <t>SYNTHETIC: Laptop return; Rejected; asset G-AST-00501</t>
  </si>
  <si>
    <t>G-REQ-01609-E1</t>
  </si>
  <si>
    <t>G-REQ-06021</t>
  </si>
  <si>
    <t>G-REQ-01609-E2</t>
  </si>
  <si>
    <t>G-REQ-06022</t>
  </si>
  <si>
    <t>G-REQ-01609-E3</t>
  </si>
  <si>
    <t>G-REQ-06023</t>
  </si>
  <si>
    <t>G-REQ-01609-E4</t>
  </si>
  <si>
    <t>G-REQ-06024</t>
  </si>
  <si>
    <t>G-REQ-01610-E1</t>
  </si>
  <si>
    <t>G-REQ-06025</t>
  </si>
  <si>
    <t>G-REQ-01610-E2</t>
  </si>
  <si>
    <t>G-REQ-06026</t>
  </si>
  <si>
    <t>SYNTHETIC: Laptop repair; Cancelled; asset G-AST-00480</t>
  </si>
  <si>
    <t>G-REQ-01611-E1</t>
  </si>
  <si>
    <t>G-REQ-06027</t>
  </si>
  <si>
    <t>G-REQ-01611-E2</t>
  </si>
  <si>
    <t>G-REQ-06028</t>
  </si>
  <si>
    <t>G-REQ-01611-E3</t>
  </si>
  <si>
    <t>G-REQ-01611-E4</t>
  </si>
  <si>
    <t>G-REQ-06029</t>
  </si>
  <si>
    <t>G-REQ-01612-E1</t>
  </si>
  <si>
    <t>G-REQ-06030</t>
  </si>
  <si>
    <t>SYNTHETIC: Laptop return; Pending approval; asset G-AST-00181</t>
  </si>
  <si>
    <t>G-REQ-01612-E2</t>
  </si>
  <si>
    <t>G-REQ-06031</t>
  </si>
  <si>
    <t>SYNTHETIC: Laptop return; Approved; asset G-AST-00181</t>
  </si>
  <si>
    <t>G-REQ-01612-E3</t>
  </si>
  <si>
    <t>G-REQ-06032</t>
  </si>
  <si>
    <t>SYNTHETIC: Laptop return; In progress; asset G-AST-00181</t>
  </si>
  <si>
    <t>G-REQ-01612-E4</t>
  </si>
  <si>
    <t>G-REQ-06033</t>
  </si>
  <si>
    <t>SYNTHETIC: Laptop return; Completed; asset G-AST-00181</t>
  </si>
  <si>
    <t>G-REQ-01613-E1</t>
  </si>
  <si>
    <t>G-REQ-06034</t>
  </si>
  <si>
    <t>G-REQ-01613-E2</t>
  </si>
  <si>
    <t>G-REQ-06035</t>
  </si>
  <si>
    <t>G-REQ-01613-E3</t>
  </si>
  <si>
    <t>G-REQ-06036</t>
  </si>
  <si>
    <t>G-REQ-01613-E4</t>
  </si>
  <si>
    <t>G-REQ-06037</t>
  </si>
  <si>
    <t>G-REQ-01614-E1</t>
  </si>
  <si>
    <t>G-REQ-01614-E2</t>
  </si>
  <si>
    <t>G-REQ-06038</t>
  </si>
  <si>
    <t>G-REQ-01614-E3</t>
  </si>
  <si>
    <t>G-REQ-06039</t>
  </si>
  <si>
    <t>G-REQ-01614-E4</t>
  </si>
  <si>
    <t>G-REQ-01615-E1</t>
  </si>
  <si>
    <t>G-REQ-06040</t>
  </si>
  <si>
    <t>G-REQ-06041</t>
  </si>
  <si>
    <t>G-REQ-01615-E2</t>
  </si>
  <si>
    <t>G-REQ-06042</t>
  </si>
  <si>
    <t>G-REQ-01615-E3</t>
  </si>
  <si>
    <t>G-REQ-06043</t>
  </si>
  <si>
    <t>G-REQ-01615-E4</t>
  </si>
  <si>
    <t>G-REQ-06044</t>
  </si>
  <si>
    <t>G-REQ-01616-E1</t>
  </si>
  <si>
    <t>G-REQ-01616-E2</t>
  </si>
  <si>
    <t>G-REQ-06045</t>
  </si>
  <si>
    <t>G-REQ-01617-E1</t>
  </si>
  <si>
    <t>G-REQ-06046</t>
  </si>
  <si>
    <t>SYNTHETIC: Laptop repair; Pending approval; asset G-AST-00374</t>
  </si>
  <si>
    <t>G-REQ-01617-E2</t>
  </si>
  <si>
    <t>G-REQ-06047</t>
  </si>
  <si>
    <t>SYNTHETIC: Laptop repair; Approved; asset G-AST-00374</t>
  </si>
  <si>
    <t>G-REQ-01617-E3</t>
  </si>
  <si>
    <t>G-REQ-06048</t>
  </si>
  <si>
    <t>SYNTHETIC: Laptop repair; In progress; asset G-AST-00374</t>
  </si>
  <si>
    <t>G-REQ-01617-E4</t>
  </si>
  <si>
    <t>G-REQ-06049</t>
  </si>
  <si>
    <t>SYNTHETIC: Laptop repair; Completed; asset G-AST-00374</t>
  </si>
  <si>
    <t>G-REQ-01618-E1</t>
  </si>
  <si>
    <t>SYNTHETIC: Laptop repair; Pending approval; asset G-AST-00321</t>
  </si>
  <si>
    <t>G-REQ-06050</t>
  </si>
  <si>
    <t>G-REQ-01618-E2</t>
  </si>
  <si>
    <t>SYNTHETIC: Laptop repair; Approved; asset G-AST-00321</t>
  </si>
  <si>
    <t>G-REQ-01618-E3</t>
  </si>
  <si>
    <t>G-REQ-06051</t>
  </si>
  <si>
    <t>SYNTHETIC: Laptop repair; In progress; asset G-AST-00321</t>
  </si>
  <si>
    <t>G-REQ-01618-E4</t>
  </si>
  <si>
    <t>G-REQ-06052</t>
  </si>
  <si>
    <t>SYNTHETIC: Laptop repair; Completed; asset G-AST-00321</t>
  </si>
  <si>
    <t>G-REQ-01619-E1</t>
  </si>
  <si>
    <t>G-REQ-06053</t>
  </si>
  <si>
    <t>SYNTHETIC: Laptop return; Pending approval; asset G-AST-00448</t>
  </si>
  <si>
    <t>G-REQ-01619-E2</t>
  </si>
  <si>
    <t>G-REQ-06054</t>
  </si>
  <si>
    <t>SYNTHETIC: Laptop return; Approved; asset G-AST-00448</t>
  </si>
  <si>
    <t>G-REQ-01619-E3</t>
  </si>
  <si>
    <t>SYNTHETIC: Laptop return; In progress; asset G-AST-00448</t>
  </si>
  <si>
    <t>G-REQ-06055</t>
  </si>
  <si>
    <t>G-REQ-01619-E4</t>
  </si>
  <si>
    <t>SYNTHETIC: Laptop return; Completed; asset G-AST-00448</t>
  </si>
  <si>
    <t>G-REQ-01620-E1</t>
  </si>
  <si>
    <t>G-REQ-06056</t>
  </si>
  <si>
    <t>SYNTHETIC: Laptop return; Pending approval; asset G-AST-00479</t>
  </si>
  <si>
    <t>G-REQ-01620-E2</t>
  </si>
  <si>
    <t>G-REQ-06057</t>
  </si>
  <si>
    <t>SYNTHETIC: Laptop return; Approved; asset G-AST-00479</t>
  </si>
  <si>
    <t>G-REQ-01620-E3</t>
  </si>
  <si>
    <t>G-REQ-06058</t>
  </si>
  <si>
    <t>SYNTHETIC: Laptop return; In progress; asset G-AST-00479</t>
  </si>
  <si>
    <t>G-REQ-01620-E4</t>
  </si>
  <si>
    <t>SYNTHETIC: Laptop return; Completed; asset G-AST-00479</t>
  </si>
  <si>
    <t>G-REQ-06059</t>
  </si>
  <si>
    <t>G-REQ-01621-E1</t>
  </si>
  <si>
    <t>G-REQ-06060</t>
  </si>
  <si>
    <t>G-REQ-01621-E2</t>
  </si>
  <si>
    <t>SYNTHETIC: Laptop return; Approved; asset G-AST-00052</t>
  </si>
  <si>
    <t>G-REQ-06061</t>
  </si>
  <si>
    <t>G-REQ-01621-E3</t>
  </si>
  <si>
    <t>SYNTHETIC: Laptop return; In progress; asset G-AST-00052</t>
  </si>
  <si>
    <t>G-REQ-01621-E4</t>
  </si>
  <si>
    <t>G-REQ-06062</t>
  </si>
  <si>
    <t>SYNTHETIC: Laptop return; Completed; asset G-AST-00052</t>
  </si>
  <si>
    <t>G-REQ-01622-E1</t>
  </si>
  <si>
    <t>G-REQ-06063</t>
  </si>
  <si>
    <t>G-REQ-01622-E2</t>
  </si>
  <si>
    <t>G-REQ-06064</t>
  </si>
  <si>
    <t>G-REQ-01623-E1</t>
  </si>
  <si>
    <t>G-REQ-06065</t>
  </si>
  <si>
    <t>G-REQ-01623-E2</t>
  </si>
  <si>
    <t>G-REQ-06066</t>
  </si>
  <si>
    <t>G-REQ-01623-E3</t>
  </si>
  <si>
    <t>G-REQ-06067</t>
  </si>
  <si>
    <t>G-REQ-01623-E4</t>
  </si>
  <si>
    <t>G-REQ-01624-E1</t>
  </si>
  <si>
    <t>G-REQ-06068</t>
  </si>
  <si>
    <t>G-REQ-01624-E2</t>
  </si>
  <si>
    <t>G-REQ-06069</t>
  </si>
  <si>
    <t>G-REQ-01624-E3</t>
  </si>
  <si>
    <t>G-REQ-06070</t>
  </si>
  <si>
    <t>G-REQ-01624-E4</t>
  </si>
  <si>
    <t>G-REQ-06071</t>
  </si>
  <si>
    <t>G-REQ-01625-E1</t>
  </si>
  <si>
    <t>G-REQ-06072</t>
  </si>
  <si>
    <t>G-REQ-01625-E2</t>
  </si>
  <si>
    <t>G-REQ-06073</t>
  </si>
  <si>
    <t>G-REQ-01625-E3</t>
  </si>
  <si>
    <t>G-REQ-01625-E4</t>
  </si>
  <si>
    <t>G-REQ-06074</t>
  </si>
  <si>
    <t>G-REQ-01626-E1</t>
  </si>
  <si>
    <t>G-REQ-06075</t>
  </si>
  <si>
    <t>G-REQ-01626-E2</t>
  </si>
  <si>
    <t>G-REQ-06076</t>
  </si>
  <si>
    <t>G-REQ-01626-E3</t>
  </si>
  <si>
    <t>G-REQ-06077</t>
  </si>
  <si>
    <t>G-REQ-01626-E4</t>
  </si>
  <si>
    <t>G-REQ-01627-E1</t>
  </si>
  <si>
    <t>G-REQ-06078</t>
  </si>
  <si>
    <t>G-REQ-01627-E2</t>
  </si>
  <si>
    <t>G-REQ-06079</t>
  </si>
  <si>
    <t>G-REQ-01627-E3</t>
  </si>
  <si>
    <t>G-REQ-06080</t>
  </si>
  <si>
    <t>G-REQ-01627-E4</t>
  </si>
  <si>
    <t>G-REQ-06081</t>
  </si>
  <si>
    <t>G-REQ-01628-E1</t>
  </si>
  <si>
    <t>G-REQ-06082</t>
  </si>
  <si>
    <t>SYNTHETIC: Laptop return; Pending approval; asset G-AST-00444</t>
  </si>
  <si>
    <t>G-REQ-01628-E2</t>
  </si>
  <si>
    <t>SYNTHETIC: Laptop return; Approved; asset G-AST-00444</t>
  </si>
  <si>
    <t>G-REQ-06083</t>
  </si>
  <si>
    <t>G-REQ-01628-E3</t>
  </si>
  <si>
    <t>SYNTHETIC: Laptop return; In progress; asset G-AST-00444</t>
  </si>
  <si>
    <t>G-REQ-01628-E4</t>
  </si>
  <si>
    <t>G-REQ-06084</t>
  </si>
  <si>
    <t>SYNTHETIC: Laptop return; Completed; asset G-AST-00444</t>
  </si>
  <si>
    <t>G-REQ-01629-E1</t>
  </si>
  <si>
    <t>G-REQ-06085</t>
  </si>
  <si>
    <t>G-REQ-01629-E2</t>
  </si>
  <si>
    <t>G-REQ-06086</t>
  </si>
  <si>
    <t>G-REQ-01629-E3</t>
  </si>
  <si>
    <t>G-REQ-06087</t>
  </si>
  <si>
    <t>G-REQ-01629-E4</t>
  </si>
  <si>
    <t>G-REQ-06088</t>
  </si>
  <si>
    <t>G-REQ-01630-E1</t>
  </si>
  <si>
    <t>G-REQ-06089</t>
  </si>
  <si>
    <t>G-REQ-01630-E2</t>
  </si>
  <si>
    <t>G-REQ-01630-E3</t>
  </si>
  <si>
    <t>G-REQ-06090</t>
  </si>
  <si>
    <t>G-REQ-01630-E4</t>
  </si>
  <si>
    <t>G-REQ-06091</t>
  </si>
  <si>
    <t>G-REQ-01631-E1</t>
  </si>
  <si>
    <t>G-REQ-06092</t>
  </si>
  <si>
    <t>G-REQ-01631-E2</t>
  </si>
  <si>
    <t>G-REQ-06093</t>
  </si>
  <si>
    <t>G-REQ-01631-E3</t>
  </si>
  <si>
    <t>G-REQ-06094</t>
  </si>
  <si>
    <t>G-REQ-01631-E4</t>
  </si>
  <si>
    <t>G-REQ-06095</t>
  </si>
  <si>
    <t>G-REQ-01632-E1</t>
  </si>
  <si>
    <t>G-REQ-06096</t>
  </si>
  <si>
    <t>G-REQ-06097</t>
  </si>
  <si>
    <t>G-REQ-01632-E2</t>
  </si>
  <si>
    <t>SYNTHETIC: Laptop return; Approved; asset G-AST-00506</t>
  </si>
  <si>
    <t>G-REQ-01632-E3</t>
  </si>
  <si>
    <t>G-REQ-06098</t>
  </si>
  <si>
    <t>SYNTHETIC: Laptop return; In progress; asset G-AST-00506</t>
  </si>
  <si>
    <t>G-REQ-01632-E4</t>
  </si>
  <si>
    <t>G-REQ-06099</t>
  </si>
  <si>
    <t>SYNTHETIC: Laptop return; Completed; asset G-AST-00506</t>
  </si>
  <si>
    <t>G-REQ-01633-E1</t>
  </si>
  <si>
    <t>G-REQ-06100</t>
  </si>
  <si>
    <t>G-REQ-01633-E2</t>
  </si>
  <si>
    <t>G-REQ-06101</t>
  </si>
  <si>
    <t>G-REQ-01633-E3</t>
  </si>
  <si>
    <t>G-REQ-01633-E4</t>
  </si>
  <si>
    <t>G-REQ-01634-E1</t>
  </si>
  <si>
    <t>G-REQ-06102</t>
  </si>
  <si>
    <t>G-REQ-01634-E2</t>
  </si>
  <si>
    <t>G-REQ-06103</t>
  </si>
  <si>
    <t>G-REQ-01634-E3</t>
  </si>
  <si>
    <t>G-REQ-06104</t>
  </si>
  <si>
    <t>G-REQ-01634-E4</t>
  </si>
  <si>
    <t>G-REQ-06105</t>
  </si>
  <si>
    <t>G-REQ-01635-E1</t>
  </si>
  <si>
    <t>G-REQ-06106</t>
  </si>
  <si>
    <t>SYNTHETIC: Laptop repair; Pending approval; asset G-AST-00519</t>
  </si>
  <si>
    <t>G-REQ-01635-E2</t>
  </si>
  <si>
    <t>G-REQ-06107</t>
  </si>
  <si>
    <t>SYNTHETIC: Laptop repair; Approved; asset G-AST-00519</t>
  </si>
  <si>
    <t>G-REQ-01635-E3</t>
  </si>
  <si>
    <t>SYNTHETIC: Laptop repair; In progress; asset G-AST-00519</t>
  </si>
  <si>
    <t>G-REQ-01635-E4</t>
  </si>
  <si>
    <t>G-REQ-06108</t>
  </si>
  <si>
    <t>SYNTHETIC: Laptop repair; Completed; asset G-AST-00519</t>
  </si>
  <si>
    <t>G-REQ-01636-E1</t>
  </si>
  <si>
    <t>G-REQ-06109</t>
  </si>
  <si>
    <t>G-REQ-01636-E2</t>
  </si>
  <si>
    <t>G-REQ-06110</t>
  </si>
  <si>
    <t>G-REQ-01636-E3</t>
  </si>
  <si>
    <t>G-REQ-06111</t>
  </si>
  <si>
    <t>G-REQ-01636-E4</t>
  </si>
  <si>
    <t>G-REQ-06112</t>
  </si>
  <si>
    <t>G-REQ-01637-E1</t>
  </si>
  <si>
    <t>G-REQ-06113</t>
  </si>
  <si>
    <t>G-REQ-01637-E2</t>
  </si>
  <si>
    <t>G-REQ-01638-E1</t>
  </si>
  <si>
    <t>G-REQ-06114</t>
  </si>
  <si>
    <t>SYNTHETIC: Laptop return; Pending approval; asset G-AST-00486</t>
  </si>
  <si>
    <t>G-REQ-01638-E2</t>
  </si>
  <si>
    <t>G-REQ-06115</t>
  </si>
  <si>
    <t>SYNTHETIC: Laptop return; Approved; asset G-AST-00486</t>
  </si>
  <si>
    <t>G-REQ-01638-E3</t>
  </si>
  <si>
    <t>G-REQ-06116</t>
  </si>
  <si>
    <t>SYNTHETIC: Laptop return; In progress; asset G-AST-00486</t>
  </si>
  <si>
    <t>G-REQ-01638-E4</t>
  </si>
  <si>
    <t>G-REQ-06117</t>
  </si>
  <si>
    <t>SYNTHETIC: Laptop return; Completed; asset G-AST-00486</t>
  </si>
  <si>
    <t>G-REQ-01639-E1</t>
  </si>
  <si>
    <t>G-REQ-06118</t>
  </si>
  <si>
    <t>SYNTHETIC: Laptop return; Pending approval; asset G-AST-00526</t>
  </si>
  <si>
    <t>G-REQ-01639-E2</t>
  </si>
  <si>
    <t>SYNTHETIC: Laptop return; Approved; asset G-AST-00526</t>
  </si>
  <si>
    <t>G-REQ-01639-E3</t>
  </si>
  <si>
    <t>G-REQ-06119</t>
  </si>
  <si>
    <t>SYNTHETIC: Laptop return; In progress; asset G-AST-00526</t>
  </si>
  <si>
    <t>G-REQ-01639-E4</t>
  </si>
  <si>
    <t>G-REQ-06120</t>
  </si>
  <si>
    <t>SYNTHETIC: Laptop return; Completed; asset G-AST-00526</t>
  </si>
  <si>
    <t>G-REQ-01640-E1</t>
  </si>
  <si>
    <t>G-REQ-06121</t>
  </si>
  <si>
    <t>G-REQ-01640-E2</t>
  </si>
  <si>
    <t>G-REQ-06122</t>
  </si>
  <si>
    <t>G-REQ-01640-E3</t>
  </si>
  <si>
    <t>G-REQ-06123</t>
  </si>
  <si>
    <t>G-REQ-01640-E4</t>
  </si>
  <si>
    <t>G-REQ-01641-E1</t>
  </si>
  <si>
    <t>G-REQ-06124</t>
  </si>
  <si>
    <t>G-REQ-01641-E2</t>
  </si>
  <si>
    <t>G-REQ-06125</t>
  </si>
  <si>
    <t>SYNTHETIC: Laptop repair; Cancelled; asset G-AST-00204</t>
  </si>
  <si>
    <t>G-REQ-01642-E1</t>
  </si>
  <si>
    <t>G-REQ-06126</t>
  </si>
  <si>
    <t>G-REQ-01642-E2</t>
  </si>
  <si>
    <t>G-REQ-06127</t>
  </si>
  <si>
    <t>G-REQ-01642-E3</t>
  </si>
  <si>
    <t>G-REQ-06128</t>
  </si>
  <si>
    <t>G-REQ-01642-E4</t>
  </si>
  <si>
    <t>G-REQ-06129</t>
  </si>
  <si>
    <t>G-REQ-01643-E1</t>
  </si>
  <si>
    <t>G-REQ-06130</t>
  </si>
  <si>
    <t>G-REQ-01643-E2</t>
  </si>
  <si>
    <t>G-REQ-06131</t>
  </si>
  <si>
    <t>G-REQ-01643-E3</t>
  </si>
  <si>
    <t>G-REQ-06132</t>
  </si>
  <si>
    <t>G-REQ-01643-E4</t>
  </si>
  <si>
    <t>G-REQ-01644-E1</t>
  </si>
  <si>
    <t>G-REQ-06133</t>
  </si>
  <si>
    <t>SYNTHETIC: Laptop repair; Pending approval; asset G-AST-00521</t>
  </si>
  <si>
    <t>G-REQ-01644-E2</t>
  </si>
  <si>
    <t>G-REQ-06134</t>
  </si>
  <si>
    <t>SYNTHETIC: Laptop repair; Approved; asset G-AST-00521</t>
  </si>
  <si>
    <t>G-REQ-01644-E3</t>
  </si>
  <si>
    <t>G-REQ-06135</t>
  </si>
  <si>
    <t>SYNTHETIC: Laptop repair; In progress; asset G-AST-00521</t>
  </si>
  <si>
    <t>G-REQ-01644-E4</t>
  </si>
  <si>
    <t>SYNTHETIC: Laptop repair; Completed; asset G-AST-00521</t>
  </si>
  <si>
    <t>G-REQ-01645-E1</t>
  </si>
  <si>
    <t>G-REQ-06136</t>
  </si>
  <si>
    <t>G-REQ-01645-E2</t>
  </si>
  <si>
    <t>G-REQ-06137</t>
  </si>
  <si>
    <t>G-REQ-01645-E3</t>
  </si>
  <si>
    <t>G-REQ-06138</t>
  </si>
  <si>
    <t>G-REQ-01645-E4</t>
  </si>
  <si>
    <t>G-REQ-06139</t>
  </si>
  <si>
    <t>G-REQ-01646-E1</t>
  </si>
  <si>
    <t>G-REQ-06140</t>
  </si>
  <si>
    <t>SYNTHETIC: Laptop return; Pending approval; asset G-AST-00080</t>
  </si>
  <si>
    <t>G-REQ-01646-E2</t>
  </si>
  <si>
    <t>SYNTHETIC: Laptop return; Approved; asset G-AST-00080</t>
  </si>
  <si>
    <t>G-REQ-06141</t>
  </si>
  <si>
    <t>G-REQ-01646-E3</t>
  </si>
  <si>
    <t>SYNTHETIC: Laptop return; In progress; asset G-AST-00080</t>
  </si>
  <si>
    <t>G-REQ-01646-E4</t>
  </si>
  <si>
    <t>G-REQ-06142</t>
  </si>
  <si>
    <t>SYNTHETIC: Laptop return; Completed; asset G-AST-00080</t>
  </si>
  <si>
    <t>G-REQ-01647-E1</t>
  </si>
  <si>
    <t>G-REQ-06143</t>
  </si>
  <si>
    <t>SYNTHETIC: Laptop return; Pending approval; asset G-AST-00490</t>
  </si>
  <si>
    <t>G-REQ-01647-E2</t>
  </si>
  <si>
    <t>G-REQ-06144</t>
  </si>
  <si>
    <t>SYNTHETIC: Laptop return; Approved; asset G-AST-00490</t>
  </si>
  <si>
    <t>G-REQ-01647-E3</t>
  </si>
  <si>
    <t>G-REQ-06145</t>
  </si>
  <si>
    <t>SYNTHETIC: Laptop return; In progress; asset G-AST-00490</t>
  </si>
  <si>
    <t>G-REQ-01647-E4</t>
  </si>
  <si>
    <t>SYNTHETIC: Laptop return; Completed; asset G-AST-00490</t>
  </si>
  <si>
    <t>G-REQ-06146</t>
  </si>
  <si>
    <t>G-REQ-01648-E1</t>
  </si>
  <si>
    <t>SYNTHETIC: Laptop return; Pending approval; asset G-AST-00491</t>
  </si>
  <si>
    <t>G-REQ-06147</t>
  </si>
  <si>
    <t>G-REQ-01648-E2</t>
  </si>
  <si>
    <t>SYNTHETIC: Laptop return; Approved; asset G-AST-00491</t>
  </si>
  <si>
    <t>G-REQ-01648-E3</t>
  </si>
  <si>
    <t>G-REQ-06148</t>
  </si>
  <si>
    <t>SYNTHETIC: Laptop return; In progress; asset G-AST-00491</t>
  </si>
  <si>
    <t>G-REQ-01648-E4</t>
  </si>
  <si>
    <t>G-REQ-06149</t>
  </si>
  <si>
    <t>SYNTHETIC: Laptop return; Completed; asset G-AST-00491</t>
  </si>
  <si>
    <t>G-REQ-01649-E1</t>
  </si>
  <si>
    <t>G-REQ-06150</t>
  </si>
  <si>
    <t>G-REQ-01649-E2</t>
  </si>
  <si>
    <t>G-REQ-06151</t>
  </si>
  <si>
    <t>G-REQ-01649-E3</t>
  </si>
  <si>
    <t>G-REQ-01649-E4</t>
  </si>
  <si>
    <t>G-REQ-06152</t>
  </si>
  <si>
    <t>G-REQ-01650-E1</t>
  </si>
  <si>
    <t>G-REQ-06153</t>
  </si>
  <si>
    <t>G-REQ-01650-E2</t>
  </si>
  <si>
    <t>G-REQ-06154</t>
  </si>
  <si>
    <t>G-REQ-01650-E3</t>
  </si>
  <si>
    <t>G-REQ-06155</t>
  </si>
  <si>
    <t>G-REQ-01650-E4</t>
  </si>
  <si>
    <t>G-REQ-06156</t>
  </si>
  <si>
    <t>G-REQ-01651-E1</t>
  </si>
  <si>
    <t>G-REQ-01651-E2</t>
  </si>
  <si>
    <t>G-REQ-06157</t>
  </si>
  <si>
    <t>G-REQ-01652-E1</t>
  </si>
  <si>
    <t>G-REQ-06158</t>
  </si>
  <si>
    <t>SYNTHETIC: Laptop repair; Pending approval; asset G-AST-00465</t>
  </si>
  <si>
    <t>G-REQ-01652-E2</t>
  </si>
  <si>
    <t>G-REQ-06159</t>
  </si>
  <si>
    <t>SYNTHETIC: Laptop repair; Approved; asset G-AST-00465</t>
  </si>
  <si>
    <t>G-REQ-01652-E3</t>
  </si>
  <si>
    <t>G-REQ-06160</t>
  </si>
  <si>
    <t>SYNTHETIC: Laptop repair; In progress; asset G-AST-00465</t>
  </si>
  <si>
    <t>G-REQ-01652-E4</t>
  </si>
  <si>
    <t>SYNTHETIC: Laptop repair; Completed; asset G-AST-00465</t>
  </si>
  <si>
    <t>G-REQ-06161</t>
  </si>
  <si>
    <t>G-REQ-01653-E1</t>
  </si>
  <si>
    <t>SYNTHETIC: Laptop return; Pending approval; asset G-AST-00534</t>
  </si>
  <si>
    <t>G-REQ-06162</t>
  </si>
  <si>
    <t>G-REQ-01653-E2</t>
  </si>
  <si>
    <t>SYNTHETIC: Laptop return; Approved; asset G-AST-00534</t>
  </si>
  <si>
    <t>G-REQ-01653-E3</t>
  </si>
  <si>
    <t>G-REQ-06163</t>
  </si>
  <si>
    <t>SYNTHETIC: Laptop return; In progress; asset G-AST-00534</t>
  </si>
  <si>
    <t>G-REQ-01653-E4</t>
  </si>
  <si>
    <t>SYNTHETIC: Laptop return; Completed; asset G-AST-00534</t>
  </si>
  <si>
    <t>G-REQ-01654-E1</t>
  </si>
  <si>
    <t>G-REQ-06164</t>
  </si>
  <si>
    <t>G-REQ-01654-E2</t>
  </si>
  <si>
    <t>G-REQ-06165</t>
  </si>
  <si>
    <t>G-REQ-01654-E3</t>
  </si>
  <si>
    <t>G-REQ-06166</t>
  </si>
  <si>
    <t>G-REQ-01654-E4</t>
  </si>
  <si>
    <t>G-REQ-06167</t>
  </si>
  <si>
    <t>G-REQ-01655-E1</t>
  </si>
  <si>
    <t>SYNTHETIC: Laptop return; Pending approval; asset G-AST-00517</t>
  </si>
  <si>
    <t>G-REQ-01655-E2</t>
  </si>
  <si>
    <t>G-REQ-06168</t>
  </si>
  <si>
    <t>SYNTHETIC: Laptop return; Approved; asset G-AST-00517</t>
  </si>
  <si>
    <t>G-REQ-01655-E3</t>
  </si>
  <si>
    <t>G-REQ-06169</t>
  </si>
  <si>
    <t>SYNTHETIC: Laptop return; In progress; asset G-AST-00517</t>
  </si>
  <si>
    <t>G-REQ-01655-E4</t>
  </si>
  <si>
    <t>G-REQ-06170</t>
  </si>
  <si>
    <t>SYNTHETIC: Laptop return; Completed; asset G-AST-00517</t>
  </si>
  <si>
    <t>G-REQ-01656-E1</t>
  </si>
  <si>
    <t>G-REQ-06171</t>
  </si>
  <si>
    <t>G-REQ-01656-E2</t>
  </si>
  <si>
    <t>SYNTHETIC: Laptop repair; Approved; asset G-AST-00498</t>
  </si>
  <si>
    <t>G-REQ-06172</t>
  </si>
  <si>
    <t>G-REQ-01656-E3</t>
  </si>
  <si>
    <t>SYNTHETIC: Laptop repair; In progress; asset G-AST-00498</t>
  </si>
  <si>
    <t>G-REQ-01656-E4</t>
  </si>
  <si>
    <t>G-REQ-06173</t>
  </si>
  <si>
    <t>SYNTHETIC: Laptop repair; Completed; asset G-AST-00498</t>
  </si>
  <si>
    <t>G-REQ-01657-E1</t>
  </si>
  <si>
    <t>G-REQ-06174</t>
  </si>
  <si>
    <t>SYNTHETIC: Laptop return; Pending approval; asset G-AST-00536</t>
  </si>
  <si>
    <t>G-REQ-01657-E2</t>
  </si>
  <si>
    <t>G-REQ-06175</t>
  </si>
  <si>
    <t>SYNTHETIC: Laptop return; Approved; asset G-AST-00536</t>
  </si>
  <si>
    <t>G-REQ-01657-E3</t>
  </si>
  <si>
    <t>G-REQ-06176</t>
  </si>
  <si>
    <t>SYNTHETIC: Laptop return; In progress; asset G-AST-00536</t>
  </si>
  <si>
    <t>G-REQ-01657-E4</t>
  </si>
  <si>
    <t>SYNTHETIC: Laptop return; Completed; asset G-AST-00536</t>
  </si>
  <si>
    <t>G-REQ-06177</t>
  </si>
  <si>
    <t>G-REQ-01658-E1</t>
  </si>
  <si>
    <t>SYNTHETIC: Laptop repair; Pending approval; asset G-AST-00401</t>
  </si>
  <si>
    <t>G-REQ-06178</t>
  </si>
  <si>
    <t>G-REQ-01658-E2</t>
  </si>
  <si>
    <t>SYNTHETIC: Laptop repair; Approved; asset G-AST-00401</t>
  </si>
  <si>
    <t>G-REQ-01658-E3</t>
  </si>
  <si>
    <t>G-REQ-06179</t>
  </si>
  <si>
    <t>SYNTHETIC: Laptop repair; In progress; asset G-AST-00401</t>
  </si>
  <si>
    <t>G-REQ-01658-E4</t>
  </si>
  <si>
    <t>SYNTHETIC: Laptop repair; Completed; asset G-AST-00401</t>
  </si>
  <si>
    <t>G-REQ-06180</t>
  </si>
  <si>
    <t>G-REQ-01659-E1</t>
  </si>
  <si>
    <t>G-REQ-01659-E2</t>
  </si>
  <si>
    <t>G-REQ-06181</t>
  </si>
  <si>
    <t>G-REQ-01659-E3</t>
  </si>
  <si>
    <t>G-REQ-06182</t>
  </si>
  <si>
    <t>G-REQ-01659-E4</t>
  </si>
  <si>
    <t>G-REQ-06183</t>
  </si>
  <si>
    <t>G-REQ-01660-E1</t>
  </si>
  <si>
    <t>G-REQ-06184</t>
  </si>
  <si>
    <t>SYNTHETIC: Laptop return; Pending approval; asset G-AST-00412</t>
  </si>
  <si>
    <t>G-REQ-01660-E2</t>
  </si>
  <si>
    <t>SYNTHETIC: Laptop return; Approved; asset G-AST-00412</t>
  </si>
  <si>
    <t>G-REQ-06185</t>
  </si>
  <si>
    <t>G-REQ-01660-E3</t>
  </si>
  <si>
    <t>SYNTHETIC: Laptop return; In progress; asset G-AST-00412</t>
  </si>
  <si>
    <t>G-REQ-01660-E4</t>
  </si>
  <si>
    <t>G-REQ-06186</t>
  </si>
  <si>
    <t>SYNTHETIC: Laptop return; Completed; asset G-AST-00412</t>
  </si>
  <si>
    <t>G-REQ-01661-E1</t>
  </si>
  <si>
    <t>G-REQ-06187</t>
  </si>
  <si>
    <t>G-REQ-01661-E2</t>
  </si>
  <si>
    <t>G-REQ-06188</t>
  </si>
  <si>
    <t>G-REQ-01661-E3</t>
  </si>
  <si>
    <t>G-REQ-06189</t>
  </si>
  <si>
    <t>G-REQ-01661-E4</t>
  </si>
  <si>
    <t>G-REQ-06190</t>
  </si>
  <si>
    <t>G-REQ-01662-E1</t>
  </si>
  <si>
    <t>G-REQ-01662-E2</t>
  </si>
  <si>
    <t>G-REQ-06191</t>
  </si>
  <si>
    <t>G-REQ-01663-E1</t>
  </si>
  <si>
    <t>G-REQ-06192</t>
  </si>
  <si>
    <t>G-REQ-01663-E2</t>
  </si>
  <si>
    <t>G-REQ-06193</t>
  </si>
  <si>
    <t>G-REQ-01663-E3</t>
  </si>
  <si>
    <t>G-REQ-06194</t>
  </si>
  <si>
    <t>G-REQ-01663-E4</t>
  </si>
  <si>
    <t>G-REQ-06195</t>
  </si>
  <si>
    <t>G-REQ-01664-E1</t>
  </si>
  <si>
    <t>G-REQ-06196</t>
  </si>
  <si>
    <t>G-REQ-01664-E2</t>
  </si>
  <si>
    <t>G-REQ-01664-E3</t>
  </si>
  <si>
    <t>G-REQ-06197</t>
  </si>
  <si>
    <t>G-REQ-01664-E4</t>
  </si>
  <si>
    <t>G-REQ-06198</t>
  </si>
  <si>
    <t>G-REQ-01665-E1</t>
  </si>
  <si>
    <t>G-REQ-06199</t>
  </si>
  <si>
    <t>SYNTHETIC: Laptop repair; Pending approval; asset G-AST-00331</t>
  </si>
  <si>
    <t>G-REQ-01665-E2</t>
  </si>
  <si>
    <t>SYNTHETIC: Laptop repair; Approved; asset G-AST-00331</t>
  </si>
  <si>
    <t>G-REQ-06200</t>
  </si>
  <si>
    <t>G-REQ-01665-E3</t>
  </si>
  <si>
    <t>SYNTHETIC: Laptop repair; In progress; asset G-AST-00331</t>
  </si>
  <si>
    <t>G-REQ-06201</t>
  </si>
  <si>
    <t>G-REQ-01665-E4</t>
  </si>
  <si>
    <t>SYNTHETIC: Laptop repair; Completed; asset G-AST-00331</t>
  </si>
  <si>
    <t>G-REQ-01666-E1</t>
  </si>
  <si>
    <t>G-REQ-06202</t>
  </si>
  <si>
    <t>SYNTHETIC: Laptop return; Pending approval; asset G-AST-00456</t>
  </si>
  <si>
    <t>G-REQ-01666-E2</t>
  </si>
  <si>
    <t>G-REQ-06203</t>
  </si>
  <si>
    <t>SYNTHETIC: Laptop return; Approved; asset G-AST-00456</t>
  </si>
  <si>
    <t>G-REQ-01666-E3</t>
  </si>
  <si>
    <t>G-REQ-06204</t>
  </si>
  <si>
    <t>SYNTHETIC: Laptop return; In progress; asset G-AST-00456</t>
  </si>
  <si>
    <t>G-REQ-01666-E4</t>
  </si>
  <si>
    <t>SYNTHETIC: Laptop return; Completed; asset G-AST-00456</t>
  </si>
  <si>
    <t>G-REQ-06205</t>
  </si>
  <si>
    <t>G-REQ-01667-E1</t>
  </si>
  <si>
    <t>G-REQ-06206</t>
  </si>
  <si>
    <t>G-REQ-01667-E2</t>
  </si>
  <si>
    <t>G-REQ-01668-E1</t>
  </si>
  <si>
    <t>G-REQ-06207</t>
  </si>
  <si>
    <t>G-REQ-01668-E2</t>
  </si>
  <si>
    <t>G-REQ-06208</t>
  </si>
  <si>
    <t>G-REQ-01668-E3</t>
  </si>
  <si>
    <t>G-REQ-06209</t>
  </si>
  <si>
    <t>G-REQ-01668-E4</t>
  </si>
  <si>
    <t>G-REQ-06210</t>
  </si>
  <si>
    <t>G-REQ-01669-E1</t>
  </si>
  <si>
    <t>G-REQ-06211</t>
  </si>
  <si>
    <t>G-REQ-01669-E2</t>
  </si>
  <si>
    <t>G-REQ-06212</t>
  </si>
  <si>
    <t>G-REQ-01669-E3</t>
  </si>
  <si>
    <t>G-REQ-01669-E4</t>
  </si>
  <si>
    <t>G-REQ-06213</t>
  </si>
  <si>
    <t>G-REQ-01670-E1</t>
  </si>
  <si>
    <t>G-REQ-06214</t>
  </si>
  <si>
    <t>SYNTHETIC: Laptop return; Pending approval; asset G-AST-00504</t>
  </si>
  <si>
    <t>G-REQ-01670-E2</t>
  </si>
  <si>
    <t>G-REQ-06215</t>
  </si>
  <si>
    <t>SYNTHETIC: Laptop return; Approved; asset G-AST-00504</t>
  </si>
  <si>
    <t>G-REQ-01670-E3</t>
  </si>
  <si>
    <t>G-REQ-06216</t>
  </si>
  <si>
    <t>SYNTHETIC: Laptop return; In progress; asset G-AST-00504</t>
  </si>
  <si>
    <t>G-REQ-01670-E4</t>
  </si>
  <si>
    <t>SYNTHETIC: Laptop return; Completed; asset G-AST-00504</t>
  </si>
  <si>
    <t>G-REQ-06217</t>
  </si>
  <si>
    <t>G-REQ-01671-E1</t>
  </si>
  <si>
    <t>G-REQ-06218</t>
  </si>
  <si>
    <t>G-REQ-01671-E2</t>
  </si>
  <si>
    <t>G-REQ-01671-E3</t>
  </si>
  <si>
    <t>G-REQ-06219</t>
  </si>
  <si>
    <t>G-REQ-01671-E4</t>
  </si>
  <si>
    <t>G-REQ-06220</t>
  </si>
  <si>
    <t>G-REQ-01672-E1</t>
  </si>
  <si>
    <t>G-REQ-06221</t>
  </si>
  <si>
    <t>SYNTHETIC: Laptop return; Pending approval; asset G-AST-00398</t>
  </si>
  <si>
    <t>G-REQ-01672-E2</t>
  </si>
  <si>
    <t>G-REQ-06222</t>
  </si>
  <si>
    <t>SYNTHETIC: Laptop return; Approved; asset G-AST-00398</t>
  </si>
  <si>
    <t>G-REQ-01672-E3</t>
  </si>
  <si>
    <t>SYNTHETIC: Laptop return; In progress; asset G-AST-00398</t>
  </si>
  <si>
    <t>G-REQ-06223</t>
  </si>
  <si>
    <t>G-REQ-01672-E4</t>
  </si>
  <si>
    <t>SYNTHETIC: Laptop return; Completed; asset G-AST-00398</t>
  </si>
  <si>
    <t>G-REQ-01673-E1</t>
  </si>
  <si>
    <t>G-REQ-06224</t>
  </si>
  <si>
    <t>SYNTHETIC: Laptop return; Pending approval; asset G-AST-00414</t>
  </si>
  <si>
    <t>G-REQ-01673-E2</t>
  </si>
  <si>
    <t>G-REQ-06225</t>
  </si>
  <si>
    <t>SYNTHETIC: Laptop return; Approved; asset G-AST-00414</t>
  </si>
  <si>
    <t>G-REQ-01673-E3</t>
  </si>
  <si>
    <t>G-REQ-06226</t>
  </si>
  <si>
    <t>SYNTHETIC: Laptop return; In progress; asset G-AST-00414</t>
  </si>
  <si>
    <t>G-REQ-01673-E4</t>
  </si>
  <si>
    <t>G-REQ-06227</t>
  </si>
  <si>
    <t>SYNTHETIC: Laptop return; Completed; asset G-AST-00414</t>
  </si>
  <si>
    <t>G-REQ-01674-E1</t>
  </si>
  <si>
    <t>G-REQ-06228</t>
  </si>
  <si>
    <t>SYNTHETIC: Laptop repair; Pending approval; asset G-AST-00171</t>
  </si>
  <si>
    <t>G-REQ-01674-E2</t>
  </si>
  <si>
    <t>SYNTHETIC: Laptop repair; Approved; asset G-AST-00171</t>
  </si>
  <si>
    <t>G-REQ-01674-E3</t>
  </si>
  <si>
    <t>G-REQ-06229</t>
  </si>
  <si>
    <t>SYNTHETIC: Laptop repair; In progress; asset G-AST-00171</t>
  </si>
  <si>
    <t>G-REQ-01674-E4</t>
  </si>
  <si>
    <t>G-REQ-06230</t>
  </si>
  <si>
    <t>SYNTHETIC: Laptop repair; Completed; asset G-AST-00171</t>
  </si>
  <si>
    <t>G-REQ-01675-E1</t>
  </si>
  <si>
    <t>G-REQ-06231</t>
  </si>
  <si>
    <t>SYNTHETIC: Laptop return; Pending approval; asset G-AST-00527</t>
  </si>
  <si>
    <t>G-REQ-01675-E2</t>
  </si>
  <si>
    <t>G-REQ-06232</t>
  </si>
  <si>
    <t>SYNTHETIC: Laptop return; Approved; asset G-AST-00527</t>
  </si>
  <si>
    <t>G-REQ-01675-E3</t>
  </si>
  <si>
    <t>SYNTHETIC: Laptop return; In progress; asset G-AST-00527</t>
  </si>
  <si>
    <t>G-REQ-06233</t>
  </si>
  <si>
    <t>G-REQ-01675-E4</t>
  </si>
  <si>
    <t>SYNTHETIC: Laptop return; Completed; asset G-AST-00527</t>
  </si>
  <si>
    <t>G-REQ-01676-E1</t>
  </si>
  <si>
    <t>G-REQ-06234</t>
  </si>
  <si>
    <t>SYNTHETIC: Laptop repair; Pending approval; asset G-AST-00512</t>
  </si>
  <si>
    <t>G-REQ-01676-E2</t>
  </si>
  <si>
    <t>G-REQ-06235</t>
  </si>
  <si>
    <t>SYNTHETIC: Laptop repair; Approved; asset G-AST-00512</t>
  </si>
  <si>
    <t>G-REQ-01676-E3</t>
  </si>
  <si>
    <t>G-REQ-06236</t>
  </si>
  <si>
    <t>SYNTHETIC: Laptop repair; In progress; asset G-AST-00512</t>
  </si>
  <si>
    <t>G-REQ-01676-E4</t>
  </si>
  <si>
    <t>G-REQ-06237</t>
  </si>
  <si>
    <t>SYNTHETIC: Laptop repair; Completed; asset G-AST-00512</t>
  </si>
  <si>
    <t>G-REQ-01677-E1</t>
  </si>
  <si>
    <t>SYNTHETIC: Laptop repair; Pending approval; asset G-AST-00469</t>
  </si>
  <si>
    <t>G-REQ-06238</t>
  </si>
  <si>
    <t>G-REQ-01677-E2</t>
  </si>
  <si>
    <t>SYNTHETIC: Laptop repair; Approved; asset G-AST-00469</t>
  </si>
  <si>
    <t>G-REQ-01677-E3</t>
  </si>
  <si>
    <t>G-REQ-06239</t>
  </si>
  <si>
    <t>SYNTHETIC: Laptop repair; In progress; asset G-AST-00469</t>
  </si>
  <si>
    <t>G-REQ-01677-E4</t>
  </si>
  <si>
    <t>G-REQ-06240</t>
  </si>
  <si>
    <t>SYNTHETIC: Laptop repair; Completed; asset G-AST-00469</t>
  </si>
  <si>
    <t>G-REQ-01678-E1</t>
  </si>
  <si>
    <t>G-REQ-06241</t>
  </si>
  <si>
    <t>SYNTHETIC: Laptop return; Pending approval; asset G-AST-00533</t>
  </si>
  <si>
    <t>G-REQ-01678-E2</t>
  </si>
  <si>
    <t>SYNTHETIC: Laptop return; Rejected; asset G-AST-00533</t>
  </si>
  <si>
    <t>G-REQ-06242</t>
  </si>
  <si>
    <t>G-REQ-01679-E1</t>
  </si>
  <si>
    <t>SYNTHETIC: Laptop repair; Pending approval; asset G-AST-00427</t>
  </si>
  <si>
    <t>G-REQ-06243</t>
  </si>
  <si>
    <t>G-REQ-01679-E2</t>
  </si>
  <si>
    <t>SYNTHETIC: Laptop repair; Approved; asset G-AST-00427</t>
  </si>
  <si>
    <t>G-REQ-06244</t>
  </si>
  <si>
    <t>G-REQ-01679-E3</t>
  </si>
  <si>
    <t>SYNTHETIC: Laptop repair; In progress; asset G-AST-00427</t>
  </si>
  <si>
    <t>G-REQ-01679-E4</t>
  </si>
  <si>
    <t>G-REQ-06245</t>
  </si>
  <si>
    <t>SYNTHETIC: Laptop repair; Completed; asset G-AST-00427</t>
  </si>
  <si>
    <t>G-REQ-01680-E1</t>
  </si>
  <si>
    <t>G-REQ-06246</t>
  </si>
  <si>
    <t>SYNTHETIC: Laptop return; Pending approval; asset G-AST-00362</t>
  </si>
  <si>
    <t>G-REQ-01680-E2</t>
  </si>
  <si>
    <t>G-REQ-06247</t>
  </si>
  <si>
    <t>SYNTHETIC: Laptop return; Approved; asset G-AST-00362</t>
  </si>
  <si>
    <t>G-REQ-01680-E3</t>
  </si>
  <si>
    <t>G-REQ-06248</t>
  </si>
  <si>
    <t>SYNTHETIC: Laptop return; In progress; asset G-AST-00362</t>
  </si>
  <si>
    <t>G-REQ-01680-E4</t>
  </si>
  <si>
    <t>SYNTHETIC: Laptop return; Completed; asset G-AST-00362</t>
  </si>
  <si>
    <t>G-REQ-06249</t>
  </si>
  <si>
    <t>G-REQ-01681-E1</t>
  </si>
  <si>
    <t>G-REQ-01681-E2</t>
  </si>
  <si>
    <t>G-REQ-06250</t>
  </si>
  <si>
    <t>G-REQ-01682-E1</t>
  </si>
  <si>
    <t>G-REQ-06251</t>
  </si>
  <si>
    <t>SYNTHETIC: Laptop return; Pending approval; asset G-AST-00512</t>
  </si>
  <si>
    <t>G-REQ-01682-E2</t>
  </si>
  <si>
    <t>G-REQ-06252</t>
  </si>
  <si>
    <t>SYNTHETIC: Laptop return; Approved; asset G-AST-00512</t>
  </si>
  <si>
    <t>G-REQ-01682-E3</t>
  </si>
  <si>
    <t>SYNTHETIC: Laptop return; In progress; asset G-AST-00512</t>
  </si>
  <si>
    <t>G-REQ-06253</t>
  </si>
  <si>
    <t>G-REQ-01682-E4</t>
  </si>
  <si>
    <t>SYNTHETIC: Laptop return; Completed; asset G-AST-00512</t>
  </si>
  <si>
    <t>G-REQ-01683-E1</t>
  </si>
  <si>
    <t>G-REQ-06254</t>
  </si>
  <si>
    <t>SYNTHETIC: Laptop return; Pending approval; asset G-AST-00054</t>
  </si>
  <si>
    <t>G-REQ-01683-E2</t>
  </si>
  <si>
    <t>G-REQ-06255</t>
  </si>
  <si>
    <t>SYNTHETIC: Laptop return; Approved; asset G-AST-00054</t>
  </si>
  <si>
    <t>G-REQ-01683-E3</t>
  </si>
  <si>
    <t>G-REQ-06256</t>
  </si>
  <si>
    <t>SYNTHETIC: Laptop return; In progress; asset G-AST-00054</t>
  </si>
  <si>
    <t>G-REQ-01683-E4</t>
  </si>
  <si>
    <t>G-REQ-06257</t>
  </si>
  <si>
    <t>SYNTHETIC: Laptop return; Completed; asset G-AST-00054</t>
  </si>
  <si>
    <t>G-REQ-01684-E1</t>
  </si>
  <si>
    <t>G-REQ-06258</t>
  </si>
  <si>
    <t>G-REQ-01684-E2</t>
  </si>
  <si>
    <t>G-REQ-01684-E3</t>
  </si>
  <si>
    <t>G-REQ-06259</t>
  </si>
  <si>
    <t>G-REQ-01684-E4</t>
  </si>
  <si>
    <t>G-REQ-06260</t>
  </si>
  <si>
    <t>G-REQ-01685-E1</t>
  </si>
  <si>
    <t>G-REQ-06261</t>
  </si>
  <si>
    <t>G-REQ-01685-E2</t>
  </si>
  <si>
    <t>G-REQ-06262</t>
  </si>
  <si>
    <t>G-REQ-01686-E1</t>
  </si>
  <si>
    <t>G-REQ-06263</t>
  </si>
  <si>
    <t>G-REQ-01686-E2</t>
  </si>
  <si>
    <t>G-REQ-06264</t>
  </si>
  <si>
    <t>G-REQ-01686-E3</t>
  </si>
  <si>
    <t>G-REQ-01686-E4</t>
  </si>
  <si>
    <t>G-REQ-06265</t>
  </si>
  <si>
    <t>G-REQ-01687-E1</t>
  </si>
  <si>
    <t>G-REQ-06266</t>
  </si>
  <si>
    <t>G-REQ-01687-E2</t>
  </si>
  <si>
    <t>G-REQ-06267</t>
  </si>
  <si>
    <t>G-REQ-06268</t>
  </si>
  <si>
    <t>G-REQ-01687-E3</t>
  </si>
  <si>
    <t>G-REQ-06269</t>
  </si>
  <si>
    <t>G-REQ-01687-E4</t>
  </si>
  <si>
    <t>G-REQ-06270</t>
  </si>
  <si>
    <t>G-REQ-01688-E1</t>
  </si>
  <si>
    <t>G-REQ-06271</t>
  </si>
  <si>
    <t>G-REQ-01688-E2</t>
  </si>
  <si>
    <t>G-REQ-06272</t>
  </si>
  <si>
    <t>G-REQ-01688-E3</t>
  </si>
  <si>
    <t>G-REQ-06273</t>
  </si>
  <si>
    <t>G-REQ-01688-E4</t>
  </si>
  <si>
    <t>G-REQ-01689-E1</t>
  </si>
  <si>
    <t>G-REQ-06274</t>
  </si>
  <si>
    <t>G-REQ-01689-E2</t>
  </si>
  <si>
    <t>G-REQ-06275</t>
  </si>
  <si>
    <t>G-REQ-01689-E3</t>
  </si>
  <si>
    <t>G-REQ-06276</t>
  </si>
  <si>
    <t>G-REQ-01689-E4</t>
  </si>
  <si>
    <t>G-REQ-06277</t>
  </si>
  <si>
    <t>G-REQ-01690-E1</t>
  </si>
  <si>
    <t>G-REQ-01690-E2</t>
  </si>
  <si>
    <t>G-REQ-06278</t>
  </si>
  <si>
    <t>G-REQ-01690-E3</t>
  </si>
  <si>
    <t>G-REQ-06279</t>
  </si>
  <si>
    <t>G-REQ-01690-E4</t>
  </si>
  <si>
    <t>G-REQ-06280</t>
  </si>
  <si>
    <t>G-REQ-01691-E1</t>
  </si>
  <si>
    <t>G-REQ-06281</t>
  </si>
  <si>
    <t>G-REQ-01691-E2</t>
  </si>
  <si>
    <t>SYNTHETIC: Laptop repair; Approved; asset G-AST-00343</t>
  </si>
  <si>
    <t>G-REQ-06282</t>
  </si>
  <si>
    <t>G-REQ-01691-E3</t>
  </si>
  <si>
    <t>SYNTHETIC: Laptop repair; In progress; asset G-AST-00343</t>
  </si>
  <si>
    <t>G-REQ-01691-E4</t>
  </si>
  <si>
    <t>G-REQ-06283</t>
  </si>
  <si>
    <t>SYNTHETIC: Laptop repair; Completed; asset G-AST-00343</t>
  </si>
  <si>
    <t>G-REQ-01692-E1</t>
  </si>
  <si>
    <t>G-REQ-06284</t>
  </si>
  <si>
    <t>G-REQ-01692-E2</t>
  </si>
  <si>
    <t>G-REQ-06285</t>
  </si>
  <si>
    <t>G-REQ-01692-E3</t>
  </si>
  <si>
    <t>G-REQ-06286</t>
  </si>
  <si>
    <t>G-REQ-01692-E4</t>
  </si>
  <si>
    <t>G-REQ-06287</t>
  </si>
  <si>
    <t>G-REQ-01693-E1</t>
  </si>
  <si>
    <t>G-REQ-06288</t>
  </si>
  <si>
    <t>SYNTHETIC: Laptop return; Pending approval; asset G-AST-00188</t>
  </si>
  <si>
    <t>G-REQ-01693-E2</t>
  </si>
  <si>
    <t>SYNTHETIC: Laptop return; Approved; asset G-AST-00188</t>
  </si>
  <si>
    <t>G-REQ-06289</t>
  </si>
  <si>
    <t>G-REQ-01693-E3</t>
  </si>
  <si>
    <t>SYNTHETIC: Laptop return; In progress; asset G-AST-00188</t>
  </si>
  <si>
    <t>G-REQ-01693-E4</t>
  </si>
  <si>
    <t>G-REQ-06290</t>
  </si>
  <si>
    <t>SYNTHETIC: Laptop return; Completed; asset G-AST-00188</t>
  </si>
  <si>
    <t>G-REQ-01694-E1</t>
  </si>
  <si>
    <t>G-REQ-06291</t>
  </si>
  <si>
    <t>G-REQ-01694-E2</t>
  </si>
  <si>
    <t>G-REQ-01694-E3</t>
  </si>
  <si>
    <t>G-REQ-01694-E4</t>
  </si>
  <si>
    <t>G-REQ-06292</t>
  </si>
  <si>
    <t>G-REQ-01695-E1</t>
  </si>
  <si>
    <t>G-REQ-06293</t>
  </si>
  <si>
    <t>G-REQ-01695-E2</t>
  </si>
  <si>
    <t>G-REQ-01695-E3</t>
  </si>
  <si>
    <t>G-REQ-06294</t>
  </si>
  <si>
    <t>G-REQ-01695-E4</t>
  </si>
  <si>
    <t>G-REQ-06295</t>
  </si>
  <si>
    <t>G-REQ-01696-E1</t>
  </si>
  <si>
    <t>G-REQ-06296</t>
  </si>
  <si>
    <t>G-REQ-01696-E2</t>
  </si>
  <si>
    <t>G-REQ-06297</t>
  </si>
  <si>
    <t>G-REQ-01697-E1</t>
  </si>
  <si>
    <t>G-REQ-06298</t>
  </si>
  <si>
    <t>G-REQ-01697-E2</t>
  </si>
  <si>
    <t>G-REQ-06299</t>
  </si>
  <si>
    <t>G-REQ-01697-E3</t>
  </si>
  <si>
    <t>G-REQ-01697-E4</t>
  </si>
  <si>
    <t>G-REQ-06300</t>
  </si>
  <si>
    <t>G-REQ-01698-E1</t>
  </si>
  <si>
    <t>G-REQ-06301</t>
  </si>
  <si>
    <t>G-REQ-01698-E2</t>
  </si>
  <si>
    <t>G-REQ-06302</t>
  </si>
  <si>
    <t>G-REQ-01698-E3</t>
  </si>
  <si>
    <t>G-REQ-06303</t>
  </si>
  <si>
    <t>G-REQ-01698-E4</t>
  </si>
  <si>
    <t>G-REQ-06304</t>
  </si>
  <si>
    <t>G-REQ-01699-E1</t>
  </si>
  <si>
    <t>G-REQ-06305</t>
  </si>
  <si>
    <t>SYNTHETIC: Laptop return; Pending approval; asset G-AST-00454</t>
  </si>
  <si>
    <t>G-REQ-01699-E2</t>
  </si>
  <si>
    <t>SYNTHETIC: Laptop return; Approved; asset G-AST-00454</t>
  </si>
  <si>
    <t>G-REQ-06306</t>
  </si>
  <si>
    <t>G-REQ-01699-E3</t>
  </si>
  <si>
    <t>SYNTHETIC: Laptop return; In progress; asset G-AST-00454</t>
  </si>
  <si>
    <t>G-REQ-01699-E4</t>
  </si>
  <si>
    <t>G-REQ-06307</t>
  </si>
  <si>
    <t>SYNTHETIC: Laptop return; Completed; asset G-AST-00454</t>
  </si>
  <si>
    <t>G-REQ-01700-E1</t>
  </si>
  <si>
    <t>G-REQ-06308</t>
  </si>
  <si>
    <t>SYNTHETIC: Laptop return; Pending approval; asset G-AST-00084</t>
  </si>
  <si>
    <t>G-REQ-01700-E2</t>
  </si>
  <si>
    <t>G-REQ-06309</t>
  </si>
  <si>
    <t>SYNTHETIC: Laptop return; Approved; asset G-AST-00084</t>
  </si>
  <si>
    <t>G-REQ-01700-E3</t>
  </si>
  <si>
    <t>SYNTHETIC: Laptop return; In progress; asset G-AST-00084</t>
  </si>
  <si>
    <t>G-REQ-06310</t>
  </si>
  <si>
    <t>G-REQ-01700-E4</t>
  </si>
  <si>
    <t>SYNTHETIC: Laptop return; Completed; asset G-AST-00084</t>
  </si>
  <si>
    <t>G-REQ-01701-E1</t>
  </si>
  <si>
    <t>G-REQ-06311</t>
  </si>
  <si>
    <t>SYNTHETIC: Laptop repair; Pending approval; asset G-AST-00030</t>
  </si>
  <si>
    <t>G-REQ-01701-E2</t>
  </si>
  <si>
    <t>G-REQ-06312</t>
  </si>
  <si>
    <t>SYNTHETIC: Laptop repair; Approved; asset G-AST-00030</t>
  </si>
  <si>
    <t>G-REQ-01701-E3</t>
  </si>
  <si>
    <t>G-REQ-06313</t>
  </si>
  <si>
    <t>SYNTHETIC: Laptop repair; In progress; asset G-AST-00030</t>
  </si>
  <si>
    <t>G-REQ-01701-E4</t>
  </si>
  <si>
    <t>G-REQ-06314</t>
  </si>
  <si>
    <t>SYNTHETIC: Laptop repair; Completed; asset G-AST-00030</t>
  </si>
  <si>
    <t>G-REQ-01702-E1</t>
  </si>
  <si>
    <t>G-REQ-06315</t>
  </si>
  <si>
    <t>G-REQ-01702-E2</t>
  </si>
  <si>
    <t>G-REQ-01702-E3</t>
  </si>
  <si>
    <t>G-REQ-06316</t>
  </si>
  <si>
    <t>G-REQ-01702-E4</t>
  </si>
  <si>
    <t>G-REQ-06317</t>
  </si>
  <si>
    <t>G-REQ-01703-E1</t>
  </si>
  <si>
    <t>G-REQ-06318</t>
  </si>
  <si>
    <t>SYNTHETIC: Laptop return; Pending approval; asset G-AST-00354</t>
  </si>
  <si>
    <t>G-REQ-01703-E2</t>
  </si>
  <si>
    <t>G-REQ-06319</t>
  </si>
  <si>
    <t>SYNTHETIC: Laptop return; Approved; asset G-AST-00354</t>
  </si>
  <si>
    <t>G-REQ-01703-E3</t>
  </si>
  <si>
    <t>SYNTHETIC: Laptop return; In progress; asset G-AST-00354</t>
  </si>
  <si>
    <t>G-REQ-01703-E4</t>
  </si>
  <si>
    <t>G-REQ-06320</t>
  </si>
  <si>
    <t>SYNTHETIC: Laptop return; Completed; asset G-AST-00354</t>
  </si>
  <si>
    <t>G-REQ-01704-E1</t>
  </si>
  <si>
    <t>G-REQ-06321</t>
  </si>
  <si>
    <t>G-REQ-01704-E2</t>
  </si>
  <si>
    <t>G-REQ-06322</t>
  </si>
  <si>
    <t>G-REQ-01704-E3</t>
  </si>
  <si>
    <t>G-REQ-06323</t>
  </si>
  <si>
    <t>G-REQ-01704-E4</t>
  </si>
  <si>
    <t>G-REQ-06324</t>
  </si>
  <si>
    <t>G-REQ-01705-E1</t>
  </si>
  <si>
    <t>G-REQ-06325</t>
  </si>
  <si>
    <t>SYNTHETIC: Laptop repair; Pending approval; asset G-AST-00423</t>
  </si>
  <si>
    <t>G-REQ-01705-E2</t>
  </si>
  <si>
    <t>SYNTHETIC: Laptop repair; Approved; asset G-AST-00423</t>
  </si>
  <si>
    <t>G-REQ-01705-E3</t>
  </si>
  <si>
    <t>G-REQ-06326</t>
  </si>
  <si>
    <t>SYNTHETIC: Laptop repair; In progress; asset G-AST-00423</t>
  </si>
  <si>
    <t>G-REQ-01705-E4</t>
  </si>
  <si>
    <t>G-REQ-06327</t>
  </si>
  <si>
    <t>SYNTHETIC: Laptop repair; Completed; asset G-AST-00423</t>
  </si>
  <si>
    <t>G-REQ-01706-E1</t>
  </si>
  <si>
    <t>G-REQ-06328</t>
  </si>
  <si>
    <t>SYNTHETIC: Laptop repair; Pending approval; asset G-AST-00426</t>
  </si>
  <si>
    <t>G-REQ-01706-E2</t>
  </si>
  <si>
    <t>SYNTHETIC: Laptop repair; Approved; asset G-AST-00426</t>
  </si>
  <si>
    <t>G-REQ-01706-E3</t>
  </si>
  <si>
    <t>G-REQ-06329</t>
  </si>
  <si>
    <t>SYNTHETIC: Laptop repair; In progress; asset G-AST-00426</t>
  </si>
  <si>
    <t>G-REQ-01706-E4</t>
  </si>
  <si>
    <t>G-REQ-06330</t>
  </si>
  <si>
    <t>SYNTHETIC: Laptop repair; Completed; asset G-AST-00426</t>
  </si>
  <si>
    <t>G-REQ-01707-E1</t>
  </si>
  <si>
    <t>G-REQ-06331</t>
  </si>
  <si>
    <t>G-REQ-01707-E2</t>
  </si>
  <si>
    <t>G-REQ-06332</t>
  </si>
  <si>
    <t>G-REQ-01707-E3</t>
  </si>
  <si>
    <t>G-REQ-01707-E4</t>
  </si>
  <si>
    <t>G-REQ-06333</t>
  </si>
  <si>
    <t>G-REQ-01708-E1</t>
  </si>
  <si>
    <t>G-REQ-06334</t>
  </si>
  <si>
    <t>G-REQ-01708-E2</t>
  </si>
  <si>
    <t>G-REQ-06335</t>
  </si>
  <si>
    <t>G-REQ-01708-E3</t>
  </si>
  <si>
    <t>G-REQ-06336</t>
  </si>
  <si>
    <t>G-REQ-01708-E4</t>
  </si>
  <si>
    <t>G-REQ-06337</t>
  </si>
  <si>
    <t>G-REQ-01709-E1</t>
  </si>
  <si>
    <t>SYNTHETIC: Laptop repair; Pending approval; asset G-AST-00500</t>
  </si>
  <si>
    <t>G-REQ-06338</t>
  </si>
  <si>
    <t>G-REQ-01709-E2</t>
  </si>
  <si>
    <t>SYNTHETIC: Laptop repair; Approved; asset G-AST-00500</t>
  </si>
  <si>
    <t>G-REQ-01709-E3</t>
  </si>
  <si>
    <t>G-REQ-06339</t>
  </si>
  <si>
    <t>SYNTHETIC: Laptop repair; In progress; asset G-AST-00500</t>
  </si>
  <si>
    <t>G-REQ-01709-E4</t>
  </si>
  <si>
    <t>G-REQ-06340</t>
  </si>
  <si>
    <t>SYNTHETIC: Laptop repair; Completed; asset G-AST-00500</t>
  </si>
  <si>
    <t>G-REQ-01710-E1</t>
  </si>
  <si>
    <t>G-REQ-06341</t>
  </si>
  <si>
    <t>G-REQ-01710-E2</t>
  </si>
  <si>
    <t>G-REQ-06342</t>
  </si>
  <si>
    <t>G-REQ-01710-E3</t>
  </si>
  <si>
    <t>G-REQ-01710-E4</t>
  </si>
  <si>
    <t>G-REQ-06343</t>
  </si>
  <si>
    <t>G-REQ-01711-E1</t>
  </si>
  <si>
    <t>G-REQ-06344</t>
  </si>
  <si>
    <t>SYNTHETIC: Laptop return; Pending approval; asset G-AST-00260</t>
  </si>
  <si>
    <t>G-REQ-01711-E2</t>
  </si>
  <si>
    <t>SYNTHETIC: Laptop return; Approved; asset G-AST-00260</t>
  </si>
  <si>
    <t>G-REQ-06345</t>
  </si>
  <si>
    <t>G-REQ-01711-E3</t>
  </si>
  <si>
    <t>SYNTHETIC: Laptop return; In progress; asset G-AST-00260</t>
  </si>
  <si>
    <t>G-REQ-01711-E4</t>
  </si>
  <si>
    <t>G-REQ-06346</t>
  </si>
  <si>
    <t>SYNTHETIC: Laptop return; Completed; asset G-AST-00260</t>
  </si>
  <si>
    <t>G-REQ-01712-E1</t>
  </si>
  <si>
    <t>G-REQ-06347</t>
  </si>
  <si>
    <t>SYNTHETIC: Laptop repair; Pending approval; asset G-AST-00467</t>
  </si>
  <si>
    <t>G-REQ-01712-E2</t>
  </si>
  <si>
    <t>G-REQ-06348</t>
  </si>
  <si>
    <t>SYNTHETIC: Laptop repair; Approved; asset G-AST-00467</t>
  </si>
  <si>
    <t>G-REQ-01712-E3</t>
  </si>
  <si>
    <t>SYNTHETIC: Laptop repair; In progress; asset G-AST-00467</t>
  </si>
  <si>
    <t>G-REQ-06349</t>
  </si>
  <si>
    <t>G-REQ-01712-E4</t>
  </si>
  <si>
    <t>SYNTHETIC: Laptop repair; Completed; asset G-AST-00467</t>
  </si>
  <si>
    <t>G-REQ-01713-E1</t>
  </si>
  <si>
    <t>G-REQ-06350</t>
  </si>
  <si>
    <t>SYNTHETIC: Laptop return; Pending approval; asset G-AST-00288</t>
  </si>
  <si>
    <t>G-REQ-01713-E2</t>
  </si>
  <si>
    <t>G-REQ-06351</t>
  </si>
  <si>
    <t>SYNTHETIC: Laptop return; Approved; asset G-AST-00288</t>
  </si>
  <si>
    <t>G-REQ-01713-E3</t>
  </si>
  <si>
    <t>G-REQ-06352</t>
  </si>
  <si>
    <t>SYNTHETIC: Laptop return; In progress; asset G-AST-00288</t>
  </si>
  <si>
    <t>G-REQ-01713-E4</t>
  </si>
  <si>
    <t>SYNTHETIC: Laptop return; Completed; asset G-AST-00288</t>
  </si>
  <si>
    <t>G-REQ-06353</t>
  </si>
  <si>
    <t>G-REQ-01714-E1</t>
  </si>
  <si>
    <t>G-REQ-06354</t>
  </si>
  <si>
    <t>G-REQ-01714-E2</t>
  </si>
  <si>
    <t>G-REQ-01714-E3</t>
  </si>
  <si>
    <t>G-REQ-06355</t>
  </si>
  <si>
    <t>G-REQ-01714-E4</t>
  </si>
  <si>
    <t>G-REQ-06356</t>
  </si>
  <si>
    <t>G-REQ-01715-E1</t>
  </si>
  <si>
    <t>G-REQ-06357</t>
  </si>
  <si>
    <t>SYNTHETIC: Laptop return; Pending approval; asset G-AST-00428</t>
  </si>
  <si>
    <t>G-REQ-06358</t>
  </si>
  <si>
    <t>G-REQ-01715-E2</t>
  </si>
  <si>
    <t>SYNTHETIC: Laptop return; Approved; asset G-AST-00428</t>
  </si>
  <si>
    <t>G-REQ-01715-E3</t>
  </si>
  <si>
    <t>G-REQ-06359</t>
  </si>
  <si>
    <t>SYNTHETIC: Laptop return; In progress; asset G-AST-00428</t>
  </si>
  <si>
    <t>G-REQ-01715-E4</t>
  </si>
  <si>
    <t>G-REQ-06360</t>
  </si>
  <si>
    <t>SYNTHETIC: Laptop return; Completed; asset G-AST-00428</t>
  </si>
  <si>
    <t>G-REQ-01716-E1</t>
  </si>
  <si>
    <t>G-REQ-06361</t>
  </si>
  <si>
    <t>SYNTHETIC: Laptop repair; Pending approval; asset G-AST-00492</t>
  </si>
  <si>
    <t>G-REQ-01716-E2</t>
  </si>
  <si>
    <t>G-REQ-06362</t>
  </si>
  <si>
    <t>SYNTHETIC: Laptop repair; Approved; asset G-AST-00492</t>
  </si>
  <si>
    <t>G-REQ-01716-E3</t>
  </si>
  <si>
    <t>G-REQ-06363</t>
  </si>
  <si>
    <t>SYNTHETIC: Laptop repair; In progress; asset G-AST-00492</t>
  </si>
  <si>
    <t>G-REQ-01716-E4</t>
  </si>
  <si>
    <t>SYNTHETIC: Laptop repair; Completed; asset G-AST-00492</t>
  </si>
  <si>
    <t>G-REQ-01717-E1</t>
  </si>
  <si>
    <t>G-REQ-06364</t>
  </si>
  <si>
    <t>G-REQ-01717-E2</t>
  </si>
  <si>
    <t>G-REQ-06365</t>
  </si>
  <si>
    <t>G-REQ-01717-E3</t>
  </si>
  <si>
    <t>G-REQ-06366</t>
  </si>
  <si>
    <t>G-REQ-01717-E4</t>
  </si>
  <si>
    <t>G-REQ-06367</t>
  </si>
  <si>
    <t>G-REQ-01718-E1</t>
  </si>
  <si>
    <t>G-REQ-06368</t>
  </si>
  <si>
    <t>SYNTHETIC: Laptop repair; Pending approval; asset G-AST-00328</t>
  </si>
  <si>
    <t>G-REQ-01718-E2</t>
  </si>
  <si>
    <t>SYNTHETIC: Laptop repair; Approved; asset G-AST-00328</t>
  </si>
  <si>
    <t>G-REQ-06369</t>
  </si>
  <si>
    <t>G-REQ-01718-E3</t>
  </si>
  <si>
    <t>SYNTHETIC: Laptop repair; In progress; asset G-AST-00328</t>
  </si>
  <si>
    <t>G-REQ-01718-E4</t>
  </si>
  <si>
    <t>G-REQ-06370</t>
  </si>
  <si>
    <t>SYNTHETIC: Laptop repair; Completed; asset G-AST-00328</t>
  </si>
  <si>
    <t>G-REQ-01719-E1</t>
  </si>
  <si>
    <t>G-REQ-06371</t>
  </si>
  <si>
    <t>SYNTHETIC: Laptop return; Pending approval; asset G-AST-00433</t>
  </si>
  <si>
    <t>G-REQ-01719-E2</t>
  </si>
  <si>
    <t>G-REQ-06372</t>
  </si>
  <si>
    <t>SYNTHETIC: Laptop return; Cancelled; asset G-AST-00433</t>
  </si>
  <si>
    <t>G-REQ-01720-E1</t>
  </si>
  <si>
    <t>SYNTHETIC: Laptop repair; Pending approval; asset G-AST-00524</t>
  </si>
  <si>
    <t>G-REQ-06373</t>
  </si>
  <si>
    <t>G-REQ-01720-E2</t>
  </si>
  <si>
    <t>SYNTHETIC: Laptop repair; Approved; asset G-AST-00524</t>
  </si>
  <si>
    <t>G-REQ-06374</t>
  </si>
  <si>
    <t>G-REQ-01720-E3</t>
  </si>
  <si>
    <t>SYNTHETIC: Laptop repair; In progress; asset G-AST-00524</t>
  </si>
  <si>
    <t>G-REQ-01720-E4</t>
  </si>
  <si>
    <t>G-REQ-06375</t>
  </si>
  <si>
    <t>SYNTHETIC: Laptop repair; Completed; asset G-AST-00524</t>
  </si>
  <si>
    <t>G-REQ-01721-E1</t>
  </si>
  <si>
    <t>G-REQ-06376</t>
  </si>
  <si>
    <t>G-REQ-01721-E2</t>
  </si>
  <si>
    <t>G-REQ-06377</t>
  </si>
  <si>
    <t>G-REQ-01721-E3</t>
  </si>
  <si>
    <t>G-REQ-01721-E4</t>
  </si>
  <si>
    <t>G-REQ-06378</t>
  </si>
  <si>
    <t>G-REQ-01722-E1</t>
  </si>
  <si>
    <t>G-REQ-06379</t>
  </si>
  <si>
    <t>G-REQ-01722-E2</t>
  </si>
  <si>
    <t>G-REQ-06380</t>
  </si>
  <si>
    <t>G-REQ-01722-E3</t>
  </si>
  <si>
    <t>G-REQ-06381</t>
  </si>
  <si>
    <t>G-REQ-01722-E4</t>
  </si>
  <si>
    <t>G-REQ-06382</t>
  </si>
  <si>
    <t>G-REQ-01723-E1</t>
  </si>
  <si>
    <t>G-REQ-06383</t>
  </si>
  <si>
    <t>G-REQ-01723-E2</t>
  </si>
  <si>
    <t>G-REQ-06384</t>
  </si>
  <si>
    <t>G-REQ-01723-E3</t>
  </si>
  <si>
    <t>G-REQ-01723-E4</t>
  </si>
  <si>
    <t>G-REQ-06385</t>
  </si>
  <si>
    <t>G-REQ-01724-E1</t>
  </si>
  <si>
    <t>G-REQ-06386</t>
  </si>
  <si>
    <t>SYNTHETIC: Laptop return; Pending approval; asset G-AST-00132</t>
  </si>
  <si>
    <t>G-REQ-01724-E2</t>
  </si>
  <si>
    <t>G-REQ-06387</t>
  </si>
  <si>
    <t>SYNTHETIC: Laptop return; Approved; asset G-AST-00132</t>
  </si>
  <si>
    <t>G-REQ-01724-E3</t>
  </si>
  <si>
    <t>G-REQ-06388</t>
  </si>
  <si>
    <t>SYNTHETIC: Laptop return; In progress; asset G-AST-00132</t>
  </si>
  <si>
    <t>G-REQ-01724-E4</t>
  </si>
  <si>
    <t>G-REQ-06389</t>
  </si>
  <si>
    <t>SYNTHETIC: Laptop return; Completed; asset G-AST-00132</t>
  </si>
  <si>
    <t>G-REQ-01725-E1</t>
  </si>
  <si>
    <t>G-REQ-06390</t>
  </si>
  <si>
    <t>SYNTHETIC: Laptop return; Pending approval; asset G-AST-00429</t>
  </si>
  <si>
    <t>G-REQ-01725-E2</t>
  </si>
  <si>
    <t>G-REQ-06391</t>
  </si>
  <si>
    <t>SYNTHETIC: Laptop return; Cancelled; asset G-AST-00429</t>
  </si>
  <si>
    <t>G-REQ-01726-E1</t>
  </si>
  <si>
    <t>G-REQ-01726-E2</t>
  </si>
  <si>
    <t>G-REQ-06392</t>
  </si>
  <si>
    <t>G-REQ-01726-E3</t>
  </si>
  <si>
    <t>G-REQ-06393</t>
  </si>
  <si>
    <t>G-REQ-01726-E4</t>
  </si>
  <si>
    <t>G-REQ-06394</t>
  </si>
  <si>
    <t>G-REQ-01727-E1</t>
  </si>
  <si>
    <t>SYNTHETIC: Laptop return; Pending approval; asset G-AST-00471</t>
  </si>
  <si>
    <t>G-REQ-01727-E2</t>
  </si>
  <si>
    <t>SYNTHETIC: Laptop return; Approved; asset G-AST-00471</t>
  </si>
  <si>
    <t>G-REQ-01727-E3</t>
  </si>
  <si>
    <t>G-REQ-06395</t>
  </si>
  <si>
    <t>SYNTHETIC: Laptop return; In progress; asset G-AST-00471</t>
  </si>
  <si>
    <t>G-REQ-01727-E4</t>
  </si>
  <si>
    <t>G-REQ-06396</t>
  </si>
  <si>
    <t>SYNTHETIC: Laptop return; Completed; asset G-AST-00471</t>
  </si>
  <si>
    <t>G-REQ-01728-E1</t>
  </si>
  <si>
    <t>G-REQ-06397</t>
  </si>
  <si>
    <t>G-REQ-01728-E2</t>
  </si>
  <si>
    <t>G-REQ-06398</t>
  </si>
  <si>
    <t>G-REQ-01728-E3</t>
  </si>
  <si>
    <t>G-REQ-01728-E4</t>
  </si>
  <si>
    <t>G-REQ-06399</t>
  </si>
  <si>
    <t>G-REQ-01729-E1</t>
  </si>
  <si>
    <t>G-REQ-06400</t>
  </si>
  <si>
    <t>G-REQ-01729-E2</t>
  </si>
  <si>
    <t>G-REQ-06401</t>
  </si>
  <si>
    <t>G-REQ-01729-E3</t>
  </si>
  <si>
    <t>G-REQ-06402</t>
  </si>
  <si>
    <t>G-REQ-01729-E4</t>
  </si>
  <si>
    <t>G-REQ-06403</t>
  </si>
  <si>
    <t>G-REQ-01730-E1</t>
  </si>
  <si>
    <t>G-REQ-06404</t>
  </si>
  <si>
    <t>G-REQ-01730-E2</t>
  </si>
  <si>
    <t>G-REQ-06405</t>
  </si>
  <si>
    <t>G-REQ-01730-E3</t>
  </si>
  <si>
    <t>G-REQ-01730-E4</t>
  </si>
  <si>
    <t>G-REQ-06406</t>
  </si>
  <si>
    <t>G-REQ-01731-E1</t>
  </si>
  <si>
    <t>G-REQ-06407</t>
  </si>
  <si>
    <t>G-REQ-01731-E2</t>
  </si>
  <si>
    <t>G-REQ-06408</t>
  </si>
  <si>
    <t>G-REQ-01731-E3</t>
  </si>
  <si>
    <t>G-REQ-06409</t>
  </si>
  <si>
    <t>G-REQ-01731-E4</t>
  </si>
  <si>
    <t>G-REQ-01732-E1</t>
  </si>
  <si>
    <t>G-REQ-06410</t>
  </si>
  <si>
    <t>G-REQ-01732-E2</t>
  </si>
  <si>
    <t>G-REQ-06411</t>
  </si>
  <si>
    <t>SYNTHETIC: Laptop repair; Cancelled; asset G-AST-00033</t>
  </si>
  <si>
    <t>G-REQ-01733-E1</t>
  </si>
  <si>
    <t>G-REQ-06412</t>
  </si>
  <si>
    <t>G-REQ-01733-E2</t>
  </si>
  <si>
    <t>G-REQ-06413</t>
  </si>
  <si>
    <t>G-REQ-01733-E3</t>
  </si>
  <si>
    <t>G-REQ-01733-E4</t>
  </si>
  <si>
    <t>G-REQ-06414</t>
  </si>
  <si>
    <t>G-REQ-01734-E1</t>
  </si>
  <si>
    <t>G-REQ-06415</t>
  </si>
  <si>
    <t>G-REQ-01734-E2</t>
  </si>
  <si>
    <t>G-REQ-06416</t>
  </si>
  <si>
    <t>G-REQ-01734-E3</t>
  </si>
  <si>
    <t>G-REQ-06417</t>
  </si>
  <si>
    <t>G-REQ-01734-E4</t>
  </si>
  <si>
    <t>G-REQ-01735-E1</t>
  </si>
  <si>
    <t>G-REQ-06418</t>
  </si>
  <si>
    <t>G-REQ-01735-E2</t>
  </si>
  <si>
    <t>G-REQ-06419</t>
  </si>
  <si>
    <t>G-REQ-01735-E3</t>
  </si>
  <si>
    <t>G-REQ-06420</t>
  </si>
  <si>
    <t>G-REQ-01735-E4</t>
  </si>
  <si>
    <t>G-REQ-06421</t>
  </si>
  <si>
    <t>G-REQ-01736-E1</t>
  </si>
  <si>
    <t>G-REQ-06422</t>
  </si>
  <si>
    <t>G-REQ-01736-E2</t>
  </si>
  <si>
    <t>G-REQ-01736-E3</t>
  </si>
  <si>
    <t>G-REQ-06423</t>
  </si>
  <si>
    <t>G-REQ-01736-E4</t>
  </si>
  <si>
    <t>G-REQ-06424</t>
  </si>
  <si>
    <t>G-REQ-01737-E1</t>
  </si>
  <si>
    <t>G-REQ-06425</t>
  </si>
  <si>
    <t>G-REQ-01737-E2</t>
  </si>
  <si>
    <t>G-REQ-06426</t>
  </si>
  <si>
    <t>G-REQ-01737-E3</t>
  </si>
  <si>
    <t>G-REQ-06427</t>
  </si>
  <si>
    <t>G-REQ-01737-E4</t>
  </si>
  <si>
    <t>G-REQ-01738-E1</t>
  </si>
  <si>
    <t>G-REQ-06428</t>
  </si>
  <si>
    <t>G-REQ-01738-E2</t>
  </si>
  <si>
    <t>G-REQ-06429</t>
  </si>
  <si>
    <t>SYNTHETIC: Laptop return; Approved; asset G-AST-00223</t>
  </si>
  <si>
    <t>G-REQ-01738-E3</t>
  </si>
  <si>
    <t>G-REQ-06430</t>
  </si>
  <si>
    <t>SYNTHETIC: Laptop return; In progress; asset G-AST-00223</t>
  </si>
  <si>
    <t>G-REQ-01738-E4</t>
  </si>
  <si>
    <t>G-REQ-06431</t>
  </si>
  <si>
    <t>SYNTHETIC: Laptop return; Completed; asset G-AST-00223</t>
  </si>
  <si>
    <t>G-REQ-01739-E1</t>
  </si>
  <si>
    <t>SYNTHETIC: Laptop repair; Pending approval; asset G-AST-00019</t>
  </si>
  <si>
    <t>G-REQ-06432</t>
  </si>
  <si>
    <t>G-REQ-01739-E2</t>
  </si>
  <si>
    <t>SYNTHETIC: Laptop repair; Approved; asset G-AST-00019</t>
  </si>
  <si>
    <t>G-REQ-01739-E3</t>
  </si>
  <si>
    <t>G-REQ-06433</t>
  </si>
  <si>
    <t>SYNTHETIC: Laptop repair; In progress; asset G-AST-00019</t>
  </si>
  <si>
    <t>G-REQ-01739-E4</t>
  </si>
  <si>
    <t>G-REQ-06434</t>
  </si>
  <si>
    <t>SYNTHETIC: Laptop repair; Completed; asset G-AST-00019</t>
  </si>
  <si>
    <t>G-REQ-01740-E1</t>
  </si>
  <si>
    <t>G-REQ-06435</t>
  </si>
  <si>
    <t>G-REQ-01740-E2</t>
  </si>
  <si>
    <t>G-REQ-06436</t>
  </si>
  <si>
    <t>G-REQ-01740-E3</t>
  </si>
  <si>
    <t>G-REQ-06437</t>
  </si>
  <si>
    <t>G-REQ-01740-E4</t>
  </si>
  <si>
    <t>G-REQ-01741-E1</t>
  </si>
  <si>
    <t>G-REQ-06438</t>
  </si>
  <si>
    <t>G-REQ-01741-E2</t>
  </si>
  <si>
    <t>G-REQ-06439</t>
  </si>
  <si>
    <t>G-REQ-01741-E3</t>
  </si>
  <si>
    <t>G-REQ-06440</t>
  </si>
  <si>
    <t>G-REQ-01741-E4</t>
  </si>
  <si>
    <t>G-REQ-06441</t>
  </si>
  <si>
    <t>G-REQ-01742-E1</t>
  </si>
  <si>
    <t>G-REQ-06442</t>
  </si>
  <si>
    <t>SYNTHETIC: Laptop return; Pending approval; asset G-AST-00124</t>
  </si>
  <si>
    <t>G-REQ-01742-E2</t>
  </si>
  <si>
    <t>SYNTHETIC: Laptop return; Rejected; asset G-AST-00124</t>
  </si>
  <si>
    <t>G-REQ-06443</t>
  </si>
  <si>
    <t>G-REQ-01743-E1</t>
  </si>
  <si>
    <t>G-REQ-06444</t>
  </si>
  <si>
    <t>G-REQ-01743-E2</t>
  </si>
  <si>
    <t>G-REQ-06445</t>
  </si>
  <si>
    <t>G-REQ-01743-E3</t>
  </si>
  <si>
    <t>G-REQ-01743-E4</t>
  </si>
  <si>
    <t>G-REQ-06446</t>
  </si>
  <si>
    <t>G-REQ-01744-E1</t>
  </si>
  <si>
    <t>G-REQ-06447</t>
  </si>
  <si>
    <t>G-REQ-01744-E2</t>
  </si>
  <si>
    <t>G-REQ-06448</t>
  </si>
  <si>
    <t>G-REQ-01744-E3</t>
  </si>
  <si>
    <t>G-REQ-06449</t>
  </si>
  <si>
    <t>G-REQ-01744-E4</t>
  </si>
  <si>
    <t>G-REQ-06450</t>
  </si>
  <si>
    <t>G-REQ-01745-E1</t>
  </si>
  <si>
    <t>G-REQ-06451</t>
  </si>
  <si>
    <t>G-REQ-01745-E2</t>
  </si>
  <si>
    <t>G-REQ-06452</t>
  </si>
  <si>
    <t>G-REQ-01745-E3</t>
  </si>
  <si>
    <t>G-REQ-06453</t>
  </si>
  <si>
    <t>G-REQ-01745-E4</t>
  </si>
  <si>
    <t>G-REQ-01746-E1</t>
  </si>
  <si>
    <t>G-REQ-06454</t>
  </si>
  <si>
    <t>G-REQ-01746-E2</t>
  </si>
  <si>
    <t>G-REQ-06455</t>
  </si>
  <si>
    <t>G-REQ-01746-E3</t>
  </si>
  <si>
    <t>G-REQ-06456</t>
  </si>
  <si>
    <t>G-REQ-01746-E4</t>
  </si>
  <si>
    <t>G-REQ-06457</t>
  </si>
  <si>
    <t>G-REQ-01747-E1</t>
  </si>
  <si>
    <t>G-REQ-06458</t>
  </si>
  <si>
    <t>G-REQ-01747-E2</t>
  </si>
  <si>
    <t>G-REQ-06459</t>
  </si>
  <si>
    <t>G-REQ-01747-E3</t>
  </si>
  <si>
    <t>G-REQ-01747-E4</t>
  </si>
  <si>
    <t>G-REQ-06460</t>
  </si>
  <si>
    <t>G-REQ-01748-E1</t>
  </si>
  <si>
    <t>G-REQ-06461</t>
  </si>
  <si>
    <t>G-REQ-01748-E2</t>
  </si>
  <si>
    <t>G-REQ-06462</t>
  </si>
  <si>
    <t>G-REQ-01748-E3</t>
  </si>
  <si>
    <t>G-REQ-06463</t>
  </si>
  <si>
    <t>G-REQ-01748-E4</t>
  </si>
  <si>
    <t>G-REQ-06464</t>
  </si>
  <si>
    <t>G-REQ-01749-E1</t>
  </si>
  <si>
    <t>SYNTHETIC: Laptop return; Pending approval; asset G-AST-00452</t>
  </si>
  <si>
    <t>G-REQ-06465</t>
  </si>
  <si>
    <t>G-REQ-01749-E2</t>
  </si>
  <si>
    <t>SYNTHETIC: Laptop return; Approved; asset G-AST-00452</t>
  </si>
  <si>
    <t>G-REQ-01749-E3</t>
  </si>
  <si>
    <t>G-REQ-06466</t>
  </si>
  <si>
    <t>SYNTHETIC: Laptop return; In progress; asset G-AST-00452</t>
  </si>
  <si>
    <t>G-REQ-01749-E4</t>
  </si>
  <si>
    <t>G-REQ-06467</t>
  </si>
  <si>
    <t>SYNTHETIC: Laptop return; Completed; asset G-AST-00452</t>
  </si>
  <si>
    <t>G-REQ-01750-E1</t>
  </si>
  <si>
    <t>G-REQ-06468</t>
  </si>
  <si>
    <t>SYNTHETIC: Laptop repair; Pending approval; asset G-AST-00495</t>
  </si>
  <si>
    <t>G-REQ-01750-E2</t>
  </si>
  <si>
    <t>SYNTHETIC: Laptop repair; Approved; asset G-AST-00495</t>
  </si>
  <si>
    <t>G-REQ-06469</t>
  </si>
  <si>
    <t>G-REQ-01750-E3</t>
  </si>
  <si>
    <t>SYNTHETIC: Laptop repair; In progress; asset G-AST-00495</t>
  </si>
  <si>
    <t>G-REQ-01750-E4</t>
  </si>
  <si>
    <t>G-REQ-06470</t>
  </si>
  <si>
    <t>SYNTHETIC: Laptop repair; Completed; asset G-AST-00495</t>
  </si>
  <si>
    <t>G-REQ-01751-E1</t>
  </si>
  <si>
    <t>G-REQ-06471</t>
  </si>
  <si>
    <t>G-REQ-01751-E2</t>
  </si>
  <si>
    <t>G-REQ-06472</t>
  </si>
  <si>
    <t>SYNTHETIC: Laptop repair; Rejected; asset G-AST-00356</t>
  </si>
  <si>
    <t>G-REQ-01752-E1</t>
  </si>
  <si>
    <t>G-REQ-06473</t>
  </si>
  <si>
    <t>G-REQ-01752-E2</t>
  </si>
  <si>
    <t>G-REQ-06474</t>
  </si>
  <si>
    <t>SYNTHETIC: Laptop return; Approved; asset G-AST-00273</t>
  </si>
  <si>
    <t>G-REQ-01752-E3</t>
  </si>
  <si>
    <t>G-REQ-06475</t>
  </si>
  <si>
    <t>SYNTHETIC: Laptop return; In progress; asset G-AST-00273</t>
  </si>
  <si>
    <t>G-REQ-01752-E4</t>
  </si>
  <si>
    <t>SYNTHETIC: Laptop return; Completed; asset G-AST-00273</t>
  </si>
  <si>
    <t>G-REQ-06476</t>
  </si>
  <si>
    <t>G-REQ-01753-E1</t>
  </si>
  <si>
    <t>G-REQ-06477</t>
  </si>
  <si>
    <t>G-REQ-01753-E2</t>
  </si>
  <si>
    <t>SYNTHETIC: Laptop return; Approved; asset G-AST-00472</t>
  </si>
  <si>
    <t>G-REQ-01753-E3</t>
  </si>
  <si>
    <t>G-REQ-06478</t>
  </si>
  <si>
    <t>SYNTHETIC: Laptop return; In progress; asset G-AST-00472</t>
  </si>
  <si>
    <t>G-REQ-01753-E4</t>
  </si>
  <si>
    <t>G-REQ-06479</t>
  </si>
  <si>
    <t>SYNTHETIC: Laptop return; Completed; asset G-AST-00472</t>
  </si>
  <si>
    <t>G-REQ-01754-E1</t>
  </si>
  <si>
    <t>G-REQ-06480</t>
  </si>
  <si>
    <t>G-REQ-01754-E2</t>
  </si>
  <si>
    <t>G-REQ-06481</t>
  </si>
  <si>
    <t>G-REQ-01754-E3</t>
  </si>
  <si>
    <t>G-REQ-06482</t>
  </si>
  <si>
    <t>G-REQ-01754-E4</t>
  </si>
  <si>
    <t>G-REQ-01755-E1</t>
  </si>
  <si>
    <t>G-REQ-06483</t>
  </si>
  <si>
    <t>G-REQ-01755-E2</t>
  </si>
  <si>
    <t>G-REQ-06484</t>
  </si>
  <si>
    <t>SYNTHETIC: Laptop repair; Rejected; asset G-AST-00475</t>
  </si>
  <si>
    <t>G-REQ-01756-E1</t>
  </si>
  <si>
    <t>G-REQ-06485</t>
  </si>
  <si>
    <t>G-REQ-01756-E2</t>
  </si>
  <si>
    <t>G-REQ-06486</t>
  </si>
  <si>
    <t>G-REQ-01756-E3</t>
  </si>
  <si>
    <t>G-REQ-06487</t>
  </si>
  <si>
    <t>G-REQ-01756-E4</t>
  </si>
  <si>
    <t>G-REQ-06488</t>
  </si>
  <si>
    <t>G-REQ-01757-E1</t>
  </si>
  <si>
    <t>G-REQ-01757-E2</t>
  </si>
  <si>
    <t>G-REQ-06489</t>
  </si>
  <si>
    <t>G-REQ-01758-E1</t>
  </si>
  <si>
    <t>G-REQ-06490</t>
  </si>
  <si>
    <t>G-REQ-01758-E2</t>
  </si>
  <si>
    <t>G-REQ-06491</t>
  </si>
  <si>
    <t>G-REQ-01758-E3</t>
  </si>
  <si>
    <t>G-REQ-06492</t>
  </si>
  <si>
    <t>G-REQ-01758-E4</t>
  </si>
  <si>
    <t>G-REQ-06493</t>
  </si>
  <si>
    <t>G-REQ-01759-E1</t>
  </si>
  <si>
    <t>G-REQ-06494</t>
  </si>
  <si>
    <t>G-REQ-01759-E2</t>
  </si>
  <si>
    <t>G-REQ-06495</t>
  </si>
  <si>
    <t>G-REQ-01759-E3</t>
  </si>
  <si>
    <t>G-REQ-01759-E4</t>
  </si>
  <si>
    <t>G-REQ-06496</t>
  </si>
  <si>
    <t>G-REQ-01760-E1</t>
  </si>
  <si>
    <t>G-REQ-06497</t>
  </si>
  <si>
    <t>G-REQ-01760-E2</t>
  </si>
  <si>
    <t>G-REQ-06498</t>
  </si>
  <si>
    <t>G-REQ-01760-E3</t>
  </si>
  <si>
    <t>G-REQ-06499</t>
  </si>
  <si>
    <t>G-REQ-01760-E4</t>
  </si>
  <si>
    <t>G-REQ-06500</t>
  </si>
  <si>
    <t>G-REQ-01761-E1</t>
  </si>
  <si>
    <t>G-REQ-06501</t>
  </si>
  <si>
    <t>G-REQ-01761-E2</t>
  </si>
  <si>
    <t>G-REQ-06502</t>
  </si>
  <si>
    <t>G-REQ-01761-E3</t>
  </si>
  <si>
    <t>G-REQ-06503</t>
  </si>
  <si>
    <t>G-REQ-01761-E4</t>
  </si>
  <si>
    <t>G-REQ-06504</t>
  </si>
  <si>
    <t>G-REQ-01762-E1</t>
  </si>
  <si>
    <t>G-REQ-06505</t>
  </si>
  <si>
    <t>G-REQ-01762-E2</t>
  </si>
  <si>
    <t>G-REQ-06506</t>
  </si>
  <si>
    <t>G-REQ-01763-E1</t>
  </si>
  <si>
    <t>G-REQ-01763-E2</t>
  </si>
  <si>
    <t>G-REQ-06507</t>
  </si>
  <si>
    <t>G-REQ-01763-E3</t>
  </si>
  <si>
    <t>G-REQ-06508</t>
  </si>
  <si>
    <t>G-REQ-01763-E4</t>
  </si>
  <si>
    <t>G-REQ-06509</t>
  </si>
  <si>
    <t>G-REQ-01764-E1</t>
  </si>
  <si>
    <t>G-REQ-06510</t>
  </si>
  <si>
    <t>G-REQ-01764-E2</t>
  </si>
  <si>
    <t>G-REQ-06511</t>
  </si>
  <si>
    <t>G-REQ-01764-E3</t>
  </si>
  <si>
    <t>G-REQ-06512</t>
  </si>
  <si>
    <t>G-REQ-01764-E4</t>
  </si>
  <si>
    <t>G-REQ-01765-E1</t>
  </si>
  <si>
    <t>G-REQ-06513</t>
  </si>
  <si>
    <t>G-REQ-01765-E2</t>
  </si>
  <si>
    <t>G-REQ-06514</t>
  </si>
  <si>
    <t>G-REQ-01765-E3</t>
  </si>
  <si>
    <t>G-REQ-06515</t>
  </si>
  <si>
    <t>G-REQ-01765-E4</t>
  </si>
  <si>
    <t>G-REQ-06516</t>
  </si>
  <si>
    <t>G-REQ-01766-E1</t>
  </si>
  <si>
    <t>G-REQ-06517</t>
  </si>
  <si>
    <t>G-REQ-01766-E2</t>
  </si>
  <si>
    <t>G-REQ-06518</t>
  </si>
  <si>
    <t>G-REQ-01767-E1</t>
  </si>
  <si>
    <t>G-REQ-06519</t>
  </si>
  <si>
    <t>SYNTHETIC: Laptop repair; Pending approval; asset G-AST-00502</t>
  </si>
  <si>
    <t>G-REQ-01767-E2</t>
  </si>
  <si>
    <t>G-REQ-06520</t>
  </si>
  <si>
    <t>SYNTHETIC: Laptop repair; Approved; asset G-AST-00502</t>
  </si>
  <si>
    <t>G-REQ-01767-E3</t>
  </si>
  <si>
    <t>SYNTHETIC: Laptop repair; In progress; asset G-AST-00502</t>
  </si>
  <si>
    <t>G-REQ-01767-E4</t>
  </si>
  <si>
    <t>G-REQ-06521</t>
  </si>
  <si>
    <t>SYNTHETIC: Laptop repair; Completed; asset G-AST-00502</t>
  </si>
  <si>
    <t>G-REQ-01768-E1</t>
  </si>
  <si>
    <t>G-REQ-06522</t>
  </si>
  <si>
    <t>SYNTHETIC: Laptop return; Pending approval; asset G-AST-00500</t>
  </si>
  <si>
    <t>G-REQ-01768-E2</t>
  </si>
  <si>
    <t>G-REQ-06523</t>
  </si>
  <si>
    <t>SYNTHETIC: Laptop return; Approved; asset G-AST-00500</t>
  </si>
  <si>
    <t>G-REQ-01768-E3</t>
  </si>
  <si>
    <t>SYNTHETIC: Laptop return; In progress; asset G-AST-00500</t>
  </si>
  <si>
    <t>G-REQ-06524</t>
  </si>
  <si>
    <t>G-REQ-01768-E4</t>
  </si>
  <si>
    <t>SYNTHETIC: Laptop return; Completed; asset G-AST-00500</t>
  </si>
  <si>
    <t>G-REQ-01769-E1</t>
  </si>
  <si>
    <t>G-REQ-06525</t>
  </si>
  <si>
    <t>G-REQ-01769-E2</t>
  </si>
  <si>
    <t>G-REQ-06526</t>
  </si>
  <si>
    <t>G-REQ-01769-E3</t>
  </si>
  <si>
    <t>G-REQ-06527</t>
  </si>
  <si>
    <t>G-REQ-01769-E4</t>
  </si>
  <si>
    <t>G-REQ-06528</t>
  </si>
  <si>
    <t>G-REQ-01770-E1</t>
  </si>
  <si>
    <t>G-REQ-06529</t>
  </si>
  <si>
    <t>G-REQ-01770-E2</t>
  </si>
  <si>
    <t>G-REQ-06530</t>
  </si>
  <si>
    <t>G-REQ-01770-E3</t>
  </si>
  <si>
    <t>G-REQ-06531</t>
  </si>
  <si>
    <t>G-REQ-01770-E4</t>
  </si>
  <si>
    <t>G-REQ-06532</t>
  </si>
  <si>
    <t>G-REQ-01771-E1</t>
  </si>
  <si>
    <t>G-REQ-06533</t>
  </si>
  <si>
    <t>G-REQ-01771-E2</t>
  </si>
  <si>
    <t>G-REQ-01771-E3</t>
  </si>
  <si>
    <t>G-REQ-06534</t>
  </si>
  <si>
    <t>G-REQ-01771-E4</t>
  </si>
  <si>
    <t>G-REQ-06535</t>
  </si>
  <si>
    <t>G-REQ-01772-E1</t>
  </si>
  <si>
    <t>G-REQ-06536</t>
  </si>
  <si>
    <t>SYNTHETIC: Laptop return; Pending approval; asset G-AST-00467</t>
  </si>
  <si>
    <t>G-REQ-01772-E2</t>
  </si>
  <si>
    <t>G-REQ-06537</t>
  </si>
  <si>
    <t>SYNTHETIC: Laptop return; Approved; asset G-AST-00467</t>
  </si>
  <si>
    <t>G-REQ-01772-E3</t>
  </si>
  <si>
    <t>G-REQ-06538</t>
  </si>
  <si>
    <t>SYNTHETIC: Laptop return; In progress; asset G-AST-00467</t>
  </si>
  <si>
    <t>G-REQ-01772-E4</t>
  </si>
  <si>
    <t>SYNTHETIC: Laptop return; Completed; asset G-AST-00467</t>
  </si>
  <si>
    <t>G-REQ-01773-E1</t>
  </si>
  <si>
    <t>G-REQ-06539</t>
  </si>
  <si>
    <t>SYNTHETIC: Laptop return; Pending approval; asset G-AST-00342</t>
  </si>
  <si>
    <t>G-REQ-06540</t>
  </si>
  <si>
    <t>G-REQ-01773-E2</t>
  </si>
  <si>
    <t>SYNTHETIC: Laptop return; Approved; asset G-AST-00342</t>
  </si>
  <si>
    <t>G-REQ-01773-E3</t>
  </si>
  <si>
    <t>SYNTHETIC: Laptop return; In progress; asset G-AST-00342</t>
  </si>
  <si>
    <t>G-REQ-06541</t>
  </si>
  <si>
    <t>G-REQ-01773-E4</t>
  </si>
  <si>
    <t>SYNTHETIC: Laptop return; Completed; asset G-AST-00342</t>
  </si>
  <si>
    <t>G-REQ-01774-E1</t>
  </si>
  <si>
    <t>G-REQ-06542</t>
  </si>
  <si>
    <t>G-REQ-06543</t>
  </si>
  <si>
    <t>G-REQ-01774-E2</t>
  </si>
  <si>
    <t>G-REQ-06544</t>
  </si>
  <si>
    <t>G-REQ-01774-E3</t>
  </si>
  <si>
    <t>G-REQ-01774-E4</t>
  </si>
  <si>
    <t>G-REQ-06545</t>
  </si>
  <si>
    <t>G-REQ-01775-E1</t>
  </si>
  <si>
    <t>G-REQ-06546</t>
  </si>
  <si>
    <t>G-REQ-01775-E2</t>
  </si>
  <si>
    <t>G-REQ-06547</t>
  </si>
  <si>
    <t>G-REQ-01775-E3</t>
  </si>
  <si>
    <t>G-REQ-06548</t>
  </si>
  <si>
    <t>G-REQ-01775-E4</t>
  </si>
  <si>
    <t>G-REQ-06549</t>
  </si>
  <si>
    <t>G-REQ-01776-E1</t>
  </si>
  <si>
    <t>SYNTHETIC: Laptop return; Pending approval; asset G-AST-00478</t>
  </si>
  <si>
    <t>G-REQ-06550</t>
  </si>
  <si>
    <t>G-REQ-01776-E2</t>
  </si>
  <si>
    <t>SYNTHETIC: Laptop return; Approved; asset G-AST-00478</t>
  </si>
  <si>
    <t>G-REQ-06551</t>
  </si>
  <si>
    <t>G-REQ-01776-E3</t>
  </si>
  <si>
    <t>SYNTHETIC: Laptop return; In progress; asset G-AST-00478</t>
  </si>
  <si>
    <t>G-REQ-01776-E4</t>
  </si>
  <si>
    <t>G-REQ-06552</t>
  </si>
  <si>
    <t>SYNTHETIC: Laptop return; Completed; asset G-AST-00478</t>
  </si>
  <si>
    <t>G-REQ-01777-E1</t>
  </si>
  <si>
    <t>G-REQ-06553</t>
  </si>
  <si>
    <t>SYNTHETIC: Laptop return; Pending approval; asset G-AST-00423</t>
  </si>
  <si>
    <t>G-REQ-01777-E2</t>
  </si>
  <si>
    <t>G-REQ-06554</t>
  </si>
  <si>
    <t>SYNTHETIC: Laptop return; Approved; asset G-AST-00423</t>
  </si>
  <si>
    <t>G-REQ-01777-E3</t>
  </si>
  <si>
    <t>G-REQ-06555</t>
  </si>
  <si>
    <t>SYNTHETIC: Laptop return; In progress; asset G-AST-00423</t>
  </si>
  <si>
    <t>G-REQ-01777-E4</t>
  </si>
  <si>
    <t>SYNTHETIC: Laptop return; Completed; asset G-AST-00423</t>
  </si>
  <si>
    <t>G-REQ-01778-E1</t>
  </si>
  <si>
    <t>G-REQ-06556</t>
  </si>
  <si>
    <t>G-REQ-01778-E2</t>
  </si>
  <si>
    <t>G-REQ-06557</t>
  </si>
  <si>
    <t>G-REQ-01778-E3</t>
  </si>
  <si>
    <t>G-REQ-06558</t>
  </si>
  <si>
    <t>G-REQ-01778-E4</t>
  </si>
  <si>
    <t>G-REQ-06559</t>
  </si>
  <si>
    <t>G-REQ-01779-E1</t>
  </si>
  <si>
    <t>G-REQ-06560</t>
  </si>
  <si>
    <t>SYNTHETIC: Laptop return; Pending approval; asset G-AST-00513</t>
  </si>
  <si>
    <t>G-REQ-01779-E2</t>
  </si>
  <si>
    <t>G-REQ-06561</t>
  </si>
  <si>
    <t>SYNTHETIC: Laptop return; Approved; asset G-AST-00513</t>
  </si>
  <si>
    <t>G-REQ-01779-E3</t>
  </si>
  <si>
    <t>G-REQ-06562</t>
  </si>
  <si>
    <t>SYNTHETIC: Laptop return; In progress; asset G-AST-00513</t>
  </si>
  <si>
    <t>G-REQ-01779-E4</t>
  </si>
  <si>
    <t>G-REQ-06563</t>
  </si>
  <si>
    <t>SYNTHETIC: Laptop return; Completed; asset G-AST-00513</t>
  </si>
  <si>
    <t>G-REQ-01780-E1</t>
  </si>
  <si>
    <t>G-REQ-06564</t>
  </si>
  <si>
    <t>G-REQ-01780-E2</t>
  </si>
  <si>
    <t>G-REQ-01780-E3</t>
  </si>
  <si>
    <t>G-REQ-06565</t>
  </si>
  <si>
    <t>G-REQ-01780-E4</t>
  </si>
  <si>
    <t>G-REQ-06566</t>
  </si>
  <si>
    <t>G-REQ-01781-E1</t>
  </si>
  <si>
    <t>G-REQ-06567</t>
  </si>
  <si>
    <t>G-REQ-01781-E2</t>
  </si>
  <si>
    <t>G-REQ-06568</t>
  </si>
  <si>
    <t>G-REQ-01782-E1</t>
  </si>
  <si>
    <t>G-REQ-06569</t>
  </si>
  <si>
    <t>G-REQ-01782-E2</t>
  </si>
  <si>
    <t>G-REQ-06570</t>
  </si>
  <si>
    <t>G-REQ-01782-E3</t>
  </si>
  <si>
    <t>G-REQ-06571</t>
  </si>
  <si>
    <t>G-REQ-01782-E4</t>
  </si>
  <si>
    <t>G-REQ-06572</t>
  </si>
  <si>
    <t>G-REQ-01783-E1</t>
  </si>
  <si>
    <t>G-REQ-06573</t>
  </si>
  <si>
    <t>G-REQ-01783-E2</t>
  </si>
  <si>
    <t>G-REQ-01783-E3</t>
  </si>
  <si>
    <t>G-REQ-06574</t>
  </si>
  <si>
    <t>G-REQ-01783-E4</t>
  </si>
  <si>
    <t>G-REQ-06575</t>
  </si>
  <si>
    <t>G-REQ-01784-E1</t>
  </si>
  <si>
    <t>G-REQ-06576</t>
  </si>
  <si>
    <t>G-REQ-01784-E2</t>
  </si>
  <si>
    <t>G-REQ-06577</t>
  </si>
  <si>
    <t>SYNTHETIC: Laptop repair; Rejected; asset G-AST-00075</t>
  </si>
  <si>
    <t>G-REQ-01785-E1</t>
  </si>
  <si>
    <t>G-REQ-06578</t>
  </si>
  <si>
    <t>G-REQ-01785-E2</t>
  </si>
  <si>
    <t>G-REQ-06579</t>
  </si>
  <si>
    <t>G-REQ-01785-E3</t>
  </si>
  <si>
    <t>G-REQ-06580</t>
  </si>
  <si>
    <t>G-REQ-01785-E4</t>
  </si>
  <si>
    <t>G-REQ-06581</t>
  </si>
  <si>
    <t>G-REQ-01786-E1</t>
  </si>
  <si>
    <t>G-REQ-06582</t>
  </si>
  <si>
    <t>G-REQ-01786-E2</t>
  </si>
  <si>
    <t>G-REQ-01786-E3</t>
  </si>
  <si>
    <t>G-REQ-06583</t>
  </si>
  <si>
    <t>G-REQ-01786-E4</t>
  </si>
  <si>
    <t>G-REQ-06584</t>
  </si>
  <si>
    <t>G-REQ-01787-E1</t>
  </si>
  <si>
    <t>G-REQ-06585</t>
  </si>
  <si>
    <t>G-REQ-01787-E2</t>
  </si>
  <si>
    <t>G-REQ-06586</t>
  </si>
  <si>
    <t>G-REQ-01787-E3</t>
  </si>
  <si>
    <t>G-REQ-06587</t>
  </si>
  <si>
    <t>G-REQ-01787-E4</t>
  </si>
  <si>
    <t>G-REQ-01788-E1</t>
  </si>
  <si>
    <t>G-REQ-06588</t>
  </si>
  <si>
    <t>SYNTHETIC: Laptop return; Pending approval; asset G-AST-00495</t>
  </si>
  <si>
    <t>G-REQ-01788-E2</t>
  </si>
  <si>
    <t>G-REQ-06589</t>
  </si>
  <si>
    <t>SYNTHETIC: Laptop return; Approved; asset G-AST-00495</t>
  </si>
  <si>
    <t>G-REQ-01788-E3</t>
  </si>
  <si>
    <t>G-REQ-06590</t>
  </si>
  <si>
    <t>SYNTHETIC: Laptop return; In progress; asset G-AST-00495</t>
  </si>
  <si>
    <t>G-REQ-01788-E4</t>
  </si>
  <si>
    <t>SYNTHETIC: Laptop return; Completed; asset G-AST-00495</t>
  </si>
  <si>
    <t>G-REQ-01789-E1</t>
  </si>
  <si>
    <t>G-REQ-06591</t>
  </si>
  <si>
    <t>G-REQ-01789-E2</t>
  </si>
  <si>
    <t>G-REQ-06592</t>
  </si>
  <si>
    <t>G-REQ-01789-E3</t>
  </si>
  <si>
    <t>G-REQ-06593</t>
  </si>
  <si>
    <t>G-REQ-01789-E4</t>
  </si>
  <si>
    <t>G-REQ-06594</t>
  </si>
  <si>
    <t>G-REQ-01790-E1</t>
  </si>
  <si>
    <t>G-REQ-06595</t>
  </si>
  <si>
    <t>G-REQ-01790-E2</t>
  </si>
  <si>
    <t>G-REQ-01790-E3</t>
  </si>
  <si>
    <t>G-REQ-06596</t>
  </si>
  <si>
    <t>G-REQ-01790-E4</t>
  </si>
  <si>
    <t>G-REQ-06597</t>
  </si>
  <si>
    <t>G-REQ-01791-E1</t>
  </si>
  <si>
    <t>G-REQ-06598</t>
  </si>
  <si>
    <t>G-REQ-01791-E2</t>
  </si>
  <si>
    <t>G-REQ-06599</t>
  </si>
  <si>
    <t>G-REQ-01791-E3</t>
  </si>
  <si>
    <t>G-REQ-06600</t>
  </si>
  <si>
    <t>G-REQ-01791-E4</t>
  </si>
  <si>
    <t>G-REQ-06601</t>
  </si>
  <si>
    <t>G-REQ-01792-E1</t>
  </si>
  <si>
    <t>G-REQ-06602</t>
  </si>
  <si>
    <t>SYNTHETIC: Laptop repair; Pending approval; asset G-AST-00128</t>
  </si>
  <si>
    <t>G-REQ-01792-E2</t>
  </si>
  <si>
    <t>SYNTHETIC: Laptop repair; Approved; asset G-AST-00128</t>
  </si>
  <si>
    <t>G-REQ-06603</t>
  </si>
  <si>
    <t>G-REQ-01792-E3</t>
  </si>
  <si>
    <t>SYNTHETIC: Laptop repair; In progress; asset G-AST-00128</t>
  </si>
  <si>
    <t>G-REQ-01792-E4</t>
  </si>
  <si>
    <t>G-REQ-06604</t>
  </si>
  <si>
    <t>SYNTHETIC: Laptop repair; Completed; asset G-AST-00128</t>
  </si>
  <si>
    <t>G-REQ-01793-E1</t>
  </si>
  <si>
    <t>G-REQ-06605</t>
  </si>
  <si>
    <t>G-REQ-01793-E2</t>
  </si>
  <si>
    <t>G-REQ-06606</t>
  </si>
  <si>
    <t>SYNTHETIC: Laptop repair; Approved; asset G-AST-00039</t>
  </si>
  <si>
    <t>G-REQ-01793-E3</t>
  </si>
  <si>
    <t>G-REQ-06607</t>
  </si>
  <si>
    <t>SYNTHETIC: Laptop repair; In progress; asset G-AST-00039</t>
  </si>
  <si>
    <t>G-REQ-01793-E4</t>
  </si>
  <si>
    <t>SYNTHETIC: Laptop repair; Completed; asset G-AST-00039</t>
  </si>
  <si>
    <t>G-REQ-06608</t>
  </si>
  <si>
    <t>G-REQ-01794-E1</t>
  </si>
  <si>
    <t>SYNTHETIC: Laptop return; Pending approval; asset G-AST-00143</t>
  </si>
  <si>
    <t>G-REQ-06609</t>
  </si>
  <si>
    <t>G-REQ-01794-E2</t>
  </si>
  <si>
    <t>SYNTHETIC: Laptop return; Rejected; asset G-AST-00143</t>
  </si>
  <si>
    <t>G-REQ-01795-E1</t>
  </si>
  <si>
    <t>G-REQ-06610</t>
  </si>
  <si>
    <t>G-REQ-01795-E2</t>
  </si>
  <si>
    <t>G-REQ-06611</t>
  </si>
  <si>
    <t>G-REQ-01795-E3</t>
  </si>
  <si>
    <t>G-REQ-06612</t>
  </si>
  <si>
    <t>G-REQ-01795-E4</t>
  </si>
  <si>
    <t>G-REQ-06613</t>
  </si>
  <si>
    <t>G-REQ-01796-E1</t>
  </si>
  <si>
    <t>G-REQ-06614</t>
  </si>
  <si>
    <t>G-REQ-01796-E2</t>
  </si>
  <si>
    <t>G-REQ-01796-E3</t>
  </si>
  <si>
    <t>G-REQ-06615</t>
  </si>
  <si>
    <t>G-REQ-01796-E4</t>
  </si>
  <si>
    <t>G-REQ-06616</t>
  </si>
  <si>
    <t>G-REQ-01797-E1</t>
  </si>
  <si>
    <t>G-REQ-06617</t>
  </si>
  <si>
    <t>G-REQ-01797-E2</t>
  </si>
  <si>
    <t>G-REQ-06618</t>
  </si>
  <si>
    <t>G-REQ-01797-E3</t>
  </si>
  <si>
    <t>G-REQ-06619</t>
  </si>
  <si>
    <t>G-REQ-01797-E4</t>
  </si>
  <si>
    <t>G-REQ-06620</t>
  </si>
  <si>
    <t>G-REQ-01798-E1</t>
  </si>
  <si>
    <t>SYNTHETIC: Laptop return; Pending approval; asset G-AST-00524</t>
  </si>
  <si>
    <t>G-REQ-06621</t>
  </si>
  <si>
    <t>G-REQ-01798-E2</t>
  </si>
  <si>
    <t>SYNTHETIC: Laptop return; Approved; asset G-AST-00524</t>
  </si>
  <si>
    <t>G-REQ-01798-E3</t>
  </si>
  <si>
    <t>G-REQ-06622</t>
  </si>
  <si>
    <t>SYNTHETIC: Laptop return; In progress; asset G-AST-00524</t>
  </si>
  <si>
    <t>G-REQ-01798-E4</t>
  </si>
  <si>
    <t>G-REQ-06623</t>
  </si>
  <si>
    <t>SYNTHETIC: Laptop return; Completed; asset G-AST-00524</t>
  </si>
  <si>
    <t>G-REQ-01799-E1</t>
  </si>
  <si>
    <t>G-REQ-06624</t>
  </si>
  <si>
    <t>SYNTHETIC: Laptop repair; Pending approval; asset G-AST-00131</t>
  </si>
  <si>
    <t>G-REQ-01799-E2</t>
  </si>
  <si>
    <t>SYNTHETIC: Laptop repair; Approved; asset G-AST-00131</t>
  </si>
  <si>
    <t>G-REQ-06625</t>
  </si>
  <si>
    <t>G-REQ-01799-E3</t>
  </si>
  <si>
    <t>SYNTHETIC: Laptop repair; In progress; asset G-AST-00131</t>
  </si>
  <si>
    <t>G-REQ-01799-E4</t>
  </si>
  <si>
    <t>G-REQ-06626</t>
  </si>
  <si>
    <t>SYNTHETIC: Laptop repair; Completed; asset G-AST-00131</t>
  </si>
  <si>
    <t>G-REQ-01800-E1</t>
  </si>
  <si>
    <t>G-REQ-06627</t>
  </si>
  <si>
    <t>G-REQ-01800-E2</t>
  </si>
  <si>
    <t>G-REQ-06628</t>
  </si>
  <si>
    <t>G-REQ-01800-E3</t>
  </si>
  <si>
    <t>G-REQ-06629</t>
  </si>
  <si>
    <t>G-REQ-01800-E4</t>
  </si>
  <si>
    <t>G-REQ-06630</t>
  </si>
  <si>
    <t>G-REQ-01801-E1</t>
  </si>
  <si>
    <t>G-REQ-06631</t>
  </si>
  <si>
    <t>G-REQ-01801-E2</t>
  </si>
  <si>
    <t>G-REQ-01801-E3</t>
  </si>
  <si>
    <t>G-REQ-06632</t>
  </si>
  <si>
    <t>G-REQ-01801-E4</t>
  </si>
  <si>
    <t>G-REQ-06633</t>
  </si>
  <si>
    <t>G-REQ-01802-E1</t>
  </si>
  <si>
    <t>G-REQ-06634</t>
  </si>
  <si>
    <t>G-REQ-01802-E2</t>
  </si>
  <si>
    <t>G-REQ-06635</t>
  </si>
  <si>
    <t>G-REQ-01802-E3</t>
  </si>
  <si>
    <t>G-REQ-06636</t>
  </si>
  <si>
    <t>G-REQ-01802-E4</t>
  </si>
  <si>
    <t>G-REQ-06637</t>
  </si>
  <si>
    <t>G-REQ-01803-E1</t>
  </si>
  <si>
    <t>G-REQ-06638</t>
  </si>
  <si>
    <t>G-REQ-01803-E2</t>
  </si>
  <si>
    <t>SYNTHETIC: Laptop return; Rejected; asset G-AST-00018</t>
  </si>
  <si>
    <t>G-REQ-06639</t>
  </si>
  <si>
    <t>G-REQ-01804-E1</t>
  </si>
  <si>
    <t>SYNTHETIC: Laptop repair; Pending approval; asset G-AST-00175</t>
  </si>
  <si>
    <t>G-REQ-01804-E2</t>
  </si>
  <si>
    <t>G-REQ-06640</t>
  </si>
  <si>
    <t>SYNTHETIC: Laptop repair; Approved; asset G-AST-00175</t>
  </si>
  <si>
    <t>G-REQ-01804-E3</t>
  </si>
  <si>
    <t>G-REQ-06641</t>
  </si>
  <si>
    <t>SYNTHETIC: Laptop repair; In progress; asset G-AST-00175</t>
  </si>
  <si>
    <t>G-REQ-01804-E4</t>
  </si>
  <si>
    <t>G-REQ-06642</t>
  </si>
  <si>
    <t>SYNTHETIC: Laptop repair; Completed; asset G-AST-00175</t>
  </si>
  <si>
    <t>G-REQ-01805-E1</t>
  </si>
  <si>
    <t>SYNTHETIC: Laptop repair; Pending approval; asset G-AST-00014</t>
  </si>
  <si>
    <t>G-REQ-06643</t>
  </si>
  <si>
    <t>G-REQ-01805-E2</t>
  </si>
  <si>
    <t>SYNTHETIC: Laptop repair; Rejected; asset G-AST-00014</t>
  </si>
  <si>
    <t>G-REQ-01806-E1</t>
  </si>
  <si>
    <t>G-REQ-06644</t>
  </si>
  <si>
    <t>G-REQ-01806-E2</t>
  </si>
  <si>
    <t>G-REQ-06645</t>
  </si>
  <si>
    <t>SYNTHETIC: Laptop repair; Rejected; asset G-AST-00531</t>
  </si>
  <si>
    <t>G-REQ-01807-E1</t>
  </si>
  <si>
    <t>G-REQ-06646</t>
  </si>
  <si>
    <t>G-REQ-01807-E2</t>
  </si>
  <si>
    <t>G-REQ-06647</t>
  </si>
  <si>
    <t>G-REQ-01807-E3</t>
  </si>
  <si>
    <t>G-REQ-06648</t>
  </si>
  <si>
    <t>G-REQ-01807-E4</t>
  </si>
  <si>
    <t>G-REQ-01808-E1</t>
  </si>
  <si>
    <t>G-REQ-06649</t>
  </si>
  <si>
    <t>G-REQ-01808-E2</t>
  </si>
  <si>
    <t>G-REQ-06650</t>
  </si>
  <si>
    <t>G-REQ-01809-E1</t>
  </si>
  <si>
    <t>G-REQ-06651</t>
  </si>
  <si>
    <t>G-REQ-01809-E2</t>
  </si>
  <si>
    <t>G-REQ-06652</t>
  </si>
  <si>
    <t>G-REQ-01809-E3</t>
  </si>
  <si>
    <t>G-REQ-06653</t>
  </si>
  <si>
    <t>G-REQ-01809-E4</t>
  </si>
  <si>
    <t>G-REQ-06654</t>
  </si>
  <si>
    <t>G-REQ-01810-E1</t>
  </si>
  <si>
    <t>G-REQ-01810-E2</t>
  </si>
  <si>
    <t>G-REQ-06655</t>
  </si>
  <si>
    <t>G-REQ-01811-E1</t>
  </si>
  <si>
    <t>G-REQ-06656</t>
  </si>
  <si>
    <t>G-REQ-01811-E2</t>
  </si>
  <si>
    <t>G-REQ-06657</t>
  </si>
  <si>
    <t>G-REQ-01811-E3</t>
  </si>
  <si>
    <t>G-REQ-06658</t>
  </si>
  <si>
    <t>G-REQ-01811-E4</t>
  </si>
  <si>
    <t>G-REQ-06659</t>
  </si>
  <si>
    <t>G-REQ-01812-E1</t>
  </si>
  <si>
    <t>G-REQ-06660</t>
  </si>
  <si>
    <t>G-REQ-01812-E2</t>
  </si>
  <si>
    <t>G-REQ-06661</t>
  </si>
  <si>
    <t>SYNTHETIC: Laptop return; Approved; asset G-AST-00003</t>
  </si>
  <si>
    <t>G-REQ-01812-E3</t>
  </si>
  <si>
    <t>SYNTHETIC: Laptop return; In progress; asset G-AST-00003</t>
  </si>
  <si>
    <t>G-REQ-06662</t>
  </si>
  <si>
    <t>G-REQ-01812-E4</t>
  </si>
  <si>
    <t>SYNTHETIC: Laptop return; Completed; asset G-AST-00003</t>
  </si>
  <si>
    <t>G-REQ-01813-E1</t>
  </si>
  <si>
    <t>G-REQ-06663</t>
  </si>
  <si>
    <t>G-REQ-01813-E2</t>
  </si>
  <si>
    <t>G-REQ-06664</t>
  </si>
  <si>
    <t>G-REQ-01813-E3</t>
  </si>
  <si>
    <t>G-REQ-06665</t>
  </si>
  <si>
    <t>G-REQ-01813-E4</t>
  </si>
  <si>
    <t>G-REQ-06666</t>
  </si>
  <si>
    <t>G-REQ-01814-E1</t>
  </si>
  <si>
    <t>G-REQ-06667</t>
  </si>
  <si>
    <t>SYNTHETIC: Laptop return; Pending approval; asset G-AST-00235</t>
  </si>
  <si>
    <t>G-REQ-01814-E2</t>
  </si>
  <si>
    <t>SYNTHETIC: Laptop return; Approved; asset G-AST-00235</t>
  </si>
  <si>
    <t>G-REQ-06668</t>
  </si>
  <si>
    <t>G-REQ-01814-E3</t>
  </si>
  <si>
    <t>G-REQ-06669</t>
  </si>
  <si>
    <t>SYNTHETIC: Laptop return; In progress; asset G-AST-00235</t>
  </si>
  <si>
    <t>G-REQ-01814-E4</t>
  </si>
  <si>
    <t>SYNTHETIC: Laptop return; Completed; asset G-AST-00235</t>
  </si>
  <si>
    <t>G-REQ-06670</t>
  </si>
  <si>
    <t>G-REQ-01815-E1</t>
  </si>
  <si>
    <t>G-REQ-01815-E2</t>
  </si>
  <si>
    <t>G-REQ-06671</t>
  </si>
  <si>
    <t>G-REQ-01816-E1</t>
  </si>
  <si>
    <t>G-REQ-06672</t>
  </si>
  <si>
    <t>G-REQ-01816-E2</t>
  </si>
  <si>
    <t>SYNTHETIC: Laptop repair; Rejected; asset G-AST-00021</t>
  </si>
  <si>
    <t>G-REQ-06673</t>
  </si>
  <si>
    <t>G-REQ-01817-E1</t>
  </si>
  <si>
    <t>G-REQ-06674</t>
  </si>
  <si>
    <t>G-REQ-01817-E2</t>
  </si>
  <si>
    <t>SYNTHETIC: Laptop repair; Rejected; asset G-AST-00321</t>
  </si>
  <si>
    <t>G-REQ-06675</t>
  </si>
  <si>
    <t>G-REQ-01818-E1</t>
  </si>
  <si>
    <t>G-REQ-06676</t>
  </si>
  <si>
    <t>G-REQ-01818-E2</t>
  </si>
  <si>
    <t>G-REQ-01819-E1</t>
  </si>
  <si>
    <t>G-REQ-06677</t>
  </si>
  <si>
    <t>G-REQ-01819-E2</t>
  </si>
  <si>
    <t>G-REQ-06678</t>
  </si>
  <si>
    <t>SYNTHETIC: Laptop repair; Rejected; asset G-AST-00521</t>
  </si>
  <si>
    <t>G-REQ-01820-E1</t>
  </si>
  <si>
    <t>G-REQ-06679</t>
  </si>
  <si>
    <t>SYNTHETIC: Laptop return; Pending approval; asset G-AST-00384</t>
  </si>
  <si>
    <t>G-REQ-01820-E2</t>
  </si>
  <si>
    <t>G-REQ-06680</t>
  </si>
  <si>
    <t>SYNTHETIC: Laptop return; Approved; asset G-AST-00384</t>
  </si>
  <si>
    <t>G-REQ-01820-E3</t>
  </si>
  <si>
    <t>G-REQ-06681</t>
  </si>
  <si>
    <t>SYNTHETIC: Laptop return; In progress; asset G-AST-00384</t>
  </si>
  <si>
    <t>G-REQ-01820-E4</t>
  </si>
  <si>
    <t>G-REQ-06682</t>
  </si>
  <si>
    <t>SYNTHETIC: Laptop return; Completed; asset G-AST-00384</t>
  </si>
  <si>
    <t>G-REQ-01821-E1</t>
  </si>
  <si>
    <t>G-REQ-06683</t>
  </si>
  <si>
    <t>G-REQ-01821-E2</t>
  </si>
  <si>
    <t>G-REQ-06684</t>
  </si>
  <si>
    <t>SYNTHETIC: Laptop repair; Cancelled; asset G-AST-00070</t>
  </si>
  <si>
    <t>G-REQ-01822-E1</t>
  </si>
  <si>
    <t>G-REQ-06685</t>
  </si>
  <si>
    <t>G-REQ-01822-E2</t>
  </si>
  <si>
    <t>SYNTHETIC: Laptop repair; Rejected; asset G-AST-00257</t>
  </si>
  <si>
    <t>G-REQ-06686</t>
  </si>
  <si>
    <t>G-REQ-01823-E1</t>
  </si>
  <si>
    <t>G-REQ-06687</t>
  </si>
  <si>
    <t>G-REQ-01823-E2</t>
  </si>
  <si>
    <t>G-REQ-01823-E3</t>
  </si>
  <si>
    <t>G-REQ-06688</t>
  </si>
  <si>
    <t>G-REQ-01823-E4</t>
  </si>
  <si>
    <t>G-REQ-06689</t>
  </si>
  <si>
    <t>G-REQ-01824-E1</t>
  </si>
  <si>
    <t>G-REQ-06690</t>
  </si>
  <si>
    <t>G-REQ-01824-E2</t>
  </si>
  <si>
    <t>G-REQ-06691</t>
  </si>
  <si>
    <t>G-REQ-01824-E3</t>
  </si>
  <si>
    <t>G-REQ-06692</t>
  </si>
  <si>
    <t>G-REQ-01824-E4</t>
  </si>
  <si>
    <t>G-REQ-06693</t>
  </si>
  <si>
    <t>G-REQ-01825-E1</t>
  </si>
  <si>
    <t>SYNTHETIC: Laptop return; Pending approval; asset G-AST-00356</t>
  </si>
  <si>
    <t>G-REQ-06694</t>
  </si>
  <si>
    <t>G-REQ-01825-E2</t>
  </si>
  <si>
    <t>SYNTHETIC: Laptop return; Approved; asset G-AST-00356</t>
  </si>
  <si>
    <t>G-REQ-01825-E3</t>
  </si>
  <si>
    <t>G-REQ-06695</t>
  </si>
  <si>
    <t>SYNTHETIC: Laptop return; In progress; asset G-AST-00356</t>
  </si>
  <si>
    <t>G-REQ-01825-E4</t>
  </si>
  <si>
    <t>G-REQ-06696</t>
  </si>
  <si>
    <t>SYNTHETIC: Laptop return; Completed; asset G-AST-00356</t>
  </si>
  <si>
    <t>G-REQ-01826-E1</t>
  </si>
  <si>
    <t>SYNTHETIC: Laptop return; Pending approval; asset G-AST-00190</t>
  </si>
  <si>
    <t>G-REQ-06697</t>
  </si>
  <si>
    <t>G-REQ-01826-E2</t>
  </si>
  <si>
    <t>SYNTHETIC: Laptop return; Rejected; asset G-AST-00190</t>
  </si>
  <si>
    <t>G-REQ-01827-E1</t>
  </si>
  <si>
    <t>G-REQ-06698</t>
  </si>
  <si>
    <t>G-REQ-01827-E2</t>
  </si>
  <si>
    <t>G-REQ-06699</t>
  </si>
  <si>
    <t>SYNTHETIC: Laptop return; Approved; asset G-AST-00501</t>
  </si>
  <si>
    <t>G-REQ-01827-E3</t>
  </si>
  <si>
    <t>G-REQ-06700</t>
  </si>
  <si>
    <t>SYNTHETIC: Laptop return; In progress; asset G-AST-00501</t>
  </si>
  <si>
    <t>G-REQ-01827-E4</t>
  </si>
  <si>
    <t>G-REQ-06701</t>
  </si>
  <si>
    <t>SYNTHETIC: Laptop return; Completed; asset G-AST-00501</t>
  </si>
  <si>
    <t>G-REQ-01828-E1</t>
  </si>
  <si>
    <t>G-REQ-06702</t>
  </si>
  <si>
    <t>G-REQ-01828-E2</t>
  </si>
  <si>
    <t>G-REQ-06703</t>
  </si>
  <si>
    <t>G-REQ-01828-E3</t>
  </si>
  <si>
    <t>G-REQ-06704</t>
  </si>
  <si>
    <t>G-REQ-01828-E4</t>
  </si>
  <si>
    <t>G-REQ-06705</t>
  </si>
  <si>
    <t>G-REQ-01829-E1</t>
  </si>
  <si>
    <t>SYNTHETIC: Laptop return; Pending approval; asset G-AST-00358</t>
  </si>
  <si>
    <t>G-REQ-01829-E2</t>
  </si>
  <si>
    <t>G-REQ-06706</t>
  </si>
  <si>
    <t>SYNTHETIC: Laptop return; Approved; asset G-AST-00358</t>
  </si>
  <si>
    <t>G-REQ-01829-E3</t>
  </si>
  <si>
    <t>G-REQ-06707</t>
  </si>
  <si>
    <t>SYNTHETIC: Laptop return; In progress; asset G-AST-00358</t>
  </si>
  <si>
    <t>G-REQ-01829-E4</t>
  </si>
  <si>
    <t>G-REQ-06708</t>
  </si>
  <si>
    <t>SYNTHETIC: Laptop return; Completed; asset G-AST-00358</t>
  </si>
  <si>
    <t>G-REQ-01830-E1</t>
  </si>
  <si>
    <t>G-REQ-06709</t>
  </si>
  <si>
    <t>G-REQ-01830-E2</t>
  </si>
  <si>
    <t>SYNTHETIC: Laptop repair; Rejected; asset G-AST-00420</t>
  </si>
  <si>
    <t>G-REQ-06710</t>
  </si>
  <si>
    <t>G-REQ-01831-E1</t>
  </si>
  <si>
    <t>SYNTHETIC: Laptop return; Pending approval; asset G-AST-00530</t>
  </si>
  <si>
    <t>G-REQ-06711</t>
  </si>
  <si>
    <t>G-REQ-01831-E2</t>
  </si>
  <si>
    <t>SYNTHETIC: Laptop return; Approved; asset G-AST-00530</t>
  </si>
  <si>
    <t>G-REQ-01831-E3</t>
  </si>
  <si>
    <t>G-REQ-06712</t>
  </si>
  <si>
    <t>SYNTHETIC: Laptop return; In progress; asset G-AST-00530</t>
  </si>
  <si>
    <t>G-REQ-01831-E4</t>
  </si>
  <si>
    <t>G-REQ-06713</t>
  </si>
  <si>
    <t>SYNTHETIC: Laptop return; Completed; asset G-AST-00530</t>
  </si>
  <si>
    <t>G-REQ-01832-E1</t>
  </si>
  <si>
    <t>G-REQ-06714</t>
  </si>
  <si>
    <t>G-REQ-01832-E2</t>
  </si>
  <si>
    <t>SYNTHETIC: Laptop repair; Rejected; asset G-AST-00492</t>
  </si>
  <si>
    <t>G-REQ-06715</t>
  </si>
  <si>
    <t>G-REQ-01833-E1</t>
  </si>
  <si>
    <t>G-REQ-01833-E2</t>
  </si>
  <si>
    <t>G-REQ-06716</t>
  </si>
  <si>
    <t>SYNTHETIC: Laptop repair; Rejected; asset G-AST-00488</t>
  </si>
  <si>
    <t>G-REQ-01834-E1</t>
  </si>
  <si>
    <t>G-REQ-06717</t>
  </si>
  <si>
    <t>G-REQ-01834-E2</t>
  </si>
  <si>
    <t>G-REQ-06718</t>
  </si>
  <si>
    <t>G-REQ-01834-E3</t>
  </si>
  <si>
    <t>G-REQ-06719</t>
  </si>
  <si>
    <t>G-REQ-01834-E4</t>
  </si>
  <si>
    <t>G-REQ-06720</t>
  </si>
  <si>
    <t>G-REQ-01835-E1</t>
  </si>
  <si>
    <t>G-REQ-06721</t>
  </si>
  <si>
    <t>G-REQ-01835-E2</t>
  </si>
  <si>
    <t>G-REQ-06722</t>
  </si>
  <si>
    <t>G-REQ-01835-E3</t>
  </si>
  <si>
    <t>G-REQ-06723</t>
  </si>
  <si>
    <t>G-REQ-01835-E4</t>
  </si>
  <si>
    <t>G-REQ-06724</t>
  </si>
  <si>
    <t>G-REQ-01836-E1</t>
  </si>
  <si>
    <t>G-REQ-06725</t>
  </si>
  <si>
    <t>G-REQ-01836-E2</t>
  </si>
  <si>
    <t>G-REQ-06726</t>
  </si>
  <si>
    <t>G-REQ-01836-E3</t>
  </si>
  <si>
    <t>G-REQ-06727</t>
  </si>
  <si>
    <t>G-REQ-01836-E4</t>
  </si>
  <si>
    <t>G-REQ-01837-E1</t>
  </si>
  <si>
    <t>G-REQ-06728</t>
  </si>
  <si>
    <t>G-REQ-06729</t>
  </si>
  <si>
    <t>G-REQ-01837-E2</t>
  </si>
  <si>
    <t>G-REQ-06730</t>
  </si>
  <si>
    <t>G-REQ-01837-E3</t>
  </si>
  <si>
    <t>G-REQ-01837-E4</t>
  </si>
  <si>
    <t>G-REQ-06731</t>
  </si>
  <si>
    <t>G-REQ-01838-E1</t>
  </si>
  <si>
    <t>G-REQ-06732</t>
  </si>
  <si>
    <t>SYNTHETIC: Laptop return; Pending approval; asset G-AST-00175</t>
  </si>
  <si>
    <t>G-REQ-01838-E2</t>
  </si>
  <si>
    <t>G-REQ-06733</t>
  </si>
  <si>
    <t>SYNTHETIC: Laptop return; Approved; asset G-AST-00175</t>
  </si>
  <si>
    <t>G-REQ-01838-E3</t>
  </si>
  <si>
    <t>G-REQ-06734</t>
  </si>
  <si>
    <t>SYNTHETIC: Laptop return; In progress; asset G-AST-00175</t>
  </si>
  <si>
    <t>G-REQ-01838-E4</t>
  </si>
  <si>
    <t>G-REQ-06735</t>
  </si>
  <si>
    <t>SYNTHETIC: Laptop return; Completed; asset G-AST-00175</t>
  </si>
  <si>
    <t>G-REQ-01839-E1</t>
  </si>
  <si>
    <t>G-REQ-06736</t>
  </si>
  <si>
    <t>G-REQ-01839-E2</t>
  </si>
  <si>
    <t>G-REQ-06737</t>
  </si>
  <si>
    <t>G-REQ-01839-E3</t>
  </si>
  <si>
    <t>G-REQ-06738</t>
  </si>
  <si>
    <t>G-REQ-01839-E4</t>
  </si>
  <si>
    <t>G-REQ-01840-E1</t>
  </si>
  <si>
    <t>G-REQ-06739</t>
  </si>
  <si>
    <t>G-REQ-01840-E2</t>
  </si>
  <si>
    <t>G-REQ-06740</t>
  </si>
  <si>
    <t>SYNTHETIC: Laptop return; Approved; asset G-AST-00321</t>
  </si>
  <si>
    <t>G-REQ-01840-E3</t>
  </si>
  <si>
    <t>G-REQ-06741</t>
  </si>
  <si>
    <t>SYNTHETIC: Laptop return; In progress; asset G-AST-00321</t>
  </si>
  <si>
    <t>G-REQ-01840-E4</t>
  </si>
  <si>
    <t>SYNTHETIC: Laptop return; Completed; asset G-AST-00321</t>
  </si>
  <si>
    <t>G-REQ-01841-E1</t>
  </si>
  <si>
    <t>G-REQ-06742</t>
  </si>
  <si>
    <t>G-REQ-01841-E2</t>
  </si>
  <si>
    <t>G-REQ-06743</t>
  </si>
  <si>
    <t>G-REQ-01841-E3</t>
  </si>
  <si>
    <t>G-REQ-06744</t>
  </si>
  <si>
    <t>G-REQ-01841-E4</t>
  </si>
  <si>
    <t>G-REQ-06745</t>
  </si>
  <si>
    <t>G-REQ-01842-E1</t>
  </si>
  <si>
    <t>G-REQ-06746</t>
  </si>
  <si>
    <t>SYNTHETIC: Laptop return; Pending approval; asset G-AST-00281</t>
  </si>
  <si>
    <t>G-REQ-01842-E2</t>
  </si>
  <si>
    <t>SYNTHETIC: Laptop return; Approved; asset G-AST-00281</t>
  </si>
  <si>
    <t>G-REQ-01842-E3</t>
  </si>
  <si>
    <t>G-REQ-06747</t>
  </si>
  <si>
    <t>SYNTHETIC: Laptop return; In progress; asset G-AST-00281</t>
  </si>
  <si>
    <t>G-REQ-01842-E4</t>
  </si>
  <si>
    <t>G-REQ-06748</t>
  </si>
  <si>
    <t>SYNTHETIC: Laptop return; Completed; asset G-AST-00281</t>
  </si>
  <si>
    <t>G-REQ-01843-E1</t>
  </si>
  <si>
    <t>G-REQ-06749</t>
  </si>
  <si>
    <t>G-REQ-01843-E2</t>
  </si>
  <si>
    <t>G-REQ-06750</t>
  </si>
  <si>
    <t>G-REQ-01843-E3</t>
  </si>
  <si>
    <t>G-REQ-06751</t>
  </si>
  <si>
    <t>G-REQ-01843-E4</t>
  </si>
  <si>
    <t>G-REQ-06752</t>
  </si>
  <si>
    <t>G-REQ-01844-E1</t>
  </si>
  <si>
    <t>G-REQ-01844-E2</t>
  </si>
  <si>
    <t>G-REQ-06753</t>
  </si>
  <si>
    <t>G-REQ-01844-E3</t>
  </si>
  <si>
    <t>G-REQ-06754</t>
  </si>
  <si>
    <t>G-REQ-01844-E4</t>
  </si>
  <si>
    <t>G-REQ-06755</t>
  </si>
  <si>
    <t>G-REQ-01845-E1</t>
  </si>
  <si>
    <t>G-REQ-06756</t>
  </si>
  <si>
    <t>G-REQ-01845-E2</t>
  </si>
  <si>
    <t>G-REQ-06757</t>
  </si>
  <si>
    <t>G-REQ-01845-E3</t>
  </si>
  <si>
    <t>G-REQ-06758</t>
  </si>
  <si>
    <t>G-REQ-01845-E4</t>
  </si>
  <si>
    <t>G-REQ-01846-E1</t>
  </si>
  <si>
    <t>G-REQ-06759</t>
  </si>
  <si>
    <t>SYNTHETIC: Laptop repair; Pending approval; asset G-AST-00518</t>
  </si>
  <si>
    <t>G-REQ-01846-E2</t>
  </si>
  <si>
    <t>G-REQ-06760</t>
  </si>
  <si>
    <t>SYNTHETIC: Laptop repair; Approved; asset G-AST-00518</t>
  </si>
  <si>
    <t>G-REQ-01846-E3</t>
  </si>
  <si>
    <t>G-REQ-06761</t>
  </si>
  <si>
    <t>SYNTHETIC: Laptop repair; In progress; asset G-AST-00518</t>
  </si>
  <si>
    <t>G-REQ-01846-E4</t>
  </si>
  <si>
    <t>G-REQ-06762</t>
  </si>
  <si>
    <t>SYNTHETIC: Laptop repair; Completed; asset G-AST-00518</t>
  </si>
  <si>
    <t>G-REQ-01847-E1</t>
  </si>
  <si>
    <t>G-REQ-06763</t>
  </si>
  <si>
    <t>SYNTHETIC: Laptop repair; Pending approval; asset G-AST-00020</t>
  </si>
  <si>
    <t>G-REQ-01847-E2</t>
  </si>
  <si>
    <t>SYNTHETIC: Laptop repair; Approved; asset G-AST-00020</t>
  </si>
  <si>
    <t>G-REQ-06764</t>
  </si>
  <si>
    <t>G-REQ-01847-E3</t>
  </si>
  <si>
    <t>SYNTHETIC: Laptop repair; In progress; asset G-AST-00020</t>
  </si>
  <si>
    <t>G-REQ-01847-E4</t>
  </si>
  <si>
    <t>G-REQ-06765</t>
  </si>
  <si>
    <t>SYNTHETIC: Laptop repair; Completed; asset G-AST-00020</t>
  </si>
  <si>
    <t>G-REQ-01848-E1</t>
  </si>
  <si>
    <t>G-REQ-06766</t>
  </si>
  <si>
    <t>G-REQ-01848-E2</t>
  </si>
  <si>
    <t>G-REQ-06767</t>
  </si>
  <si>
    <t>G-REQ-01848-E3</t>
  </si>
  <si>
    <t>G-REQ-06768</t>
  </si>
  <si>
    <t>G-REQ-01848-E4</t>
  </si>
  <si>
    <t>G-REQ-06769</t>
  </si>
  <si>
    <t>G-REQ-01849-E1</t>
  </si>
  <si>
    <t>G-REQ-06770</t>
  </si>
  <si>
    <t>G-REQ-01849-E2</t>
  </si>
  <si>
    <t>G-REQ-01849-E3</t>
  </si>
  <si>
    <t>G-REQ-06771</t>
  </si>
  <si>
    <t>G-REQ-01849-E4</t>
  </si>
  <si>
    <t>G-REQ-06772</t>
  </si>
  <si>
    <t>G-REQ-01850-E1</t>
  </si>
  <si>
    <t>G-REQ-06773</t>
  </si>
  <si>
    <t>G-REQ-01850-E2</t>
  </si>
  <si>
    <t>G-REQ-06774</t>
  </si>
  <si>
    <t>G-REQ-01850-E3</t>
  </si>
  <si>
    <t>G-REQ-06775</t>
  </si>
  <si>
    <t>G-REQ-01850-E4</t>
  </si>
  <si>
    <t>G-REQ-06776</t>
  </si>
  <si>
    <t>G-REQ-01851-E1</t>
  </si>
  <si>
    <t>G-REQ-06777</t>
  </si>
  <si>
    <t>G-REQ-01851-E2</t>
  </si>
  <si>
    <t>G-REQ-01851-E3</t>
  </si>
  <si>
    <t>G-REQ-06778</t>
  </si>
  <si>
    <t>G-REQ-01851-E4</t>
  </si>
  <si>
    <t>G-REQ-06779</t>
  </si>
  <si>
    <t>G-REQ-01852-E1</t>
  </si>
  <si>
    <t>G-REQ-06780</t>
  </si>
  <si>
    <t>G-REQ-01852-E2</t>
  </si>
  <si>
    <t>G-REQ-06781</t>
  </si>
  <si>
    <t>G-REQ-01852-E3</t>
  </si>
  <si>
    <t>G-REQ-06782</t>
  </si>
  <si>
    <t>G-REQ-01852-E4</t>
  </si>
  <si>
    <t>G-REQ-06783</t>
  </si>
  <si>
    <t>G-REQ-01853-E1</t>
  </si>
  <si>
    <t>G-REQ-06784</t>
  </si>
  <si>
    <t>G-REQ-01853-E2</t>
  </si>
  <si>
    <t>G-REQ-01853-E3</t>
  </si>
  <si>
    <t>G-REQ-06785</t>
  </si>
  <si>
    <t>G-REQ-01853-E4</t>
  </si>
  <si>
    <t>G-REQ-06786</t>
  </si>
  <si>
    <t>G-REQ-01854-E1</t>
  </si>
  <si>
    <t>G-REQ-06787</t>
  </si>
  <si>
    <t>SYNTHETIC: Laptop return; Pending approval; asset G-AST-00349</t>
  </si>
  <si>
    <t>G-REQ-01854-E2</t>
  </si>
  <si>
    <t>G-REQ-06788</t>
  </si>
  <si>
    <t>SYNTHETIC: Laptop return; Rejected; asset G-AST-00349</t>
  </si>
  <si>
    <t>G-REQ-01855-E1</t>
  </si>
  <si>
    <t>G-REQ-01855-E2</t>
  </si>
  <si>
    <t>G-REQ-06789</t>
  </si>
  <si>
    <t>G-REQ-01855-E3</t>
  </si>
  <si>
    <t>G-REQ-06790</t>
  </si>
  <si>
    <t>G-REQ-01855-E4</t>
  </si>
  <si>
    <t>G-REQ-06791</t>
  </si>
  <si>
    <t>G-REQ-01856-E1</t>
  </si>
  <si>
    <t>G-REQ-06792</t>
  </si>
  <si>
    <t>G-REQ-01856-E2</t>
  </si>
  <si>
    <t>G-REQ-06793</t>
  </si>
  <si>
    <t>G-REQ-01856-E3</t>
  </si>
  <si>
    <t>G-REQ-06794</t>
  </si>
  <si>
    <t>G-REQ-01856-E4</t>
  </si>
  <si>
    <t>G-REQ-01857-E1</t>
  </si>
  <si>
    <t>G-REQ-06795</t>
  </si>
  <si>
    <t>G-REQ-01857-E2</t>
  </si>
  <si>
    <t>G-REQ-06796</t>
  </si>
  <si>
    <t>G-REQ-01857-E3</t>
  </si>
  <si>
    <t>G-REQ-06797</t>
  </si>
  <si>
    <t>G-REQ-01857-E4</t>
  </si>
  <si>
    <t>G-REQ-06798</t>
  </si>
  <si>
    <t>G-REQ-01858-E1</t>
  </si>
  <si>
    <t>G-REQ-01858-E2</t>
  </si>
  <si>
    <t>G-REQ-06799</t>
  </si>
  <si>
    <t>G-REQ-01858-E3</t>
  </si>
  <si>
    <t>G-REQ-06800</t>
  </si>
  <si>
    <t>G-REQ-01858-E4</t>
  </si>
  <si>
    <t>G-REQ-06801</t>
  </si>
  <si>
    <t>G-REQ-01859-E1</t>
  </si>
  <si>
    <t>G-REQ-06802</t>
  </si>
  <si>
    <t>G-REQ-01859-E2</t>
  </si>
  <si>
    <t>G-REQ-06803</t>
  </si>
  <si>
    <t>SYNTHETIC: Laptop repair; Rejected; asset G-AST-00057</t>
  </si>
  <si>
    <t>G-REQ-01860-E1</t>
  </si>
  <si>
    <t>G-REQ-06804</t>
  </si>
  <si>
    <t>G-REQ-01860-E2</t>
  </si>
  <si>
    <t>G-REQ-06805</t>
  </si>
  <si>
    <t>G-REQ-01860-E3</t>
  </si>
  <si>
    <t>G-REQ-06806</t>
  </si>
  <si>
    <t>G-REQ-01860-E4</t>
  </si>
  <si>
    <t>G-REQ-06807</t>
  </si>
  <si>
    <t>G-REQ-01861-E1</t>
  </si>
  <si>
    <t>G-REQ-06808</t>
  </si>
  <si>
    <t>G-REQ-01861-E2</t>
  </si>
  <si>
    <t>G-REQ-06809</t>
  </si>
  <si>
    <t>G-REQ-01861-E3</t>
  </si>
  <si>
    <t>G-REQ-06810</t>
  </si>
  <si>
    <t>G-REQ-01861-E4</t>
  </si>
  <si>
    <t>G-REQ-01862-E1</t>
  </si>
  <si>
    <t>G-REQ-06811</t>
  </si>
  <si>
    <t>SYNTHETIC: Laptop return; Pending approval; asset G-AST-00460</t>
  </si>
  <si>
    <t>G-REQ-01862-E2</t>
  </si>
  <si>
    <t>G-REQ-06812</t>
  </si>
  <si>
    <t>SYNTHETIC: Laptop return; Approved; asset G-AST-00460</t>
  </si>
  <si>
    <t>G-REQ-01862-E3</t>
  </si>
  <si>
    <t>G-REQ-06813</t>
  </si>
  <si>
    <t>SYNTHETIC: Laptop return; In progress; asset G-AST-00460</t>
  </si>
  <si>
    <t>G-REQ-01862-E4</t>
  </si>
  <si>
    <t>SYNTHETIC: Laptop return; Completed; asset G-AST-00460</t>
  </si>
  <si>
    <t>G-REQ-01863-E1</t>
  </si>
  <si>
    <t>G-REQ-06814</t>
  </si>
  <si>
    <t>SYNTHETIC: Laptop repair; Pending approval; asset G-AST-00068</t>
  </si>
  <si>
    <t>G-REQ-01863-E2</t>
  </si>
  <si>
    <t>G-REQ-06815</t>
  </si>
  <si>
    <t>SYNTHETIC: Laptop repair; Approved; asset G-AST-00068</t>
  </si>
  <si>
    <t>G-REQ-01863-E3</t>
  </si>
  <si>
    <t>G-REQ-06816</t>
  </si>
  <si>
    <t>SYNTHETIC: Laptop repair; In progress; asset G-AST-00068</t>
  </si>
  <si>
    <t>G-REQ-01863-E4</t>
  </si>
  <si>
    <t>G-REQ-06817</t>
  </si>
  <si>
    <t>SYNTHETIC: Laptop repair; Completed; asset G-AST-00068</t>
  </si>
  <si>
    <t>G-REQ-01864-E1</t>
  </si>
  <si>
    <t>G-REQ-06818</t>
  </si>
  <si>
    <t>SYNTHETIC: Laptop repair; Pending approval; asset G-AST-00045</t>
  </si>
  <si>
    <t>G-REQ-01864-E2</t>
  </si>
  <si>
    <t>G-REQ-06819</t>
  </si>
  <si>
    <t>SYNTHETIC: Laptop repair; Approved; asset G-AST-00045</t>
  </si>
  <si>
    <t>G-REQ-01864-E3</t>
  </si>
  <si>
    <t>SYNTHETIC: Laptop repair; In progress; asset G-AST-00045</t>
  </si>
  <si>
    <t>G-REQ-06820</t>
  </si>
  <si>
    <t>G-REQ-01864-E4</t>
  </si>
  <si>
    <t>SYNTHETIC: Laptop repair; Completed; asset G-AST-00045</t>
  </si>
  <si>
    <t>G-REQ-01865-E1</t>
  </si>
  <si>
    <t>G-REQ-06821</t>
  </si>
  <si>
    <t>G-REQ-01865-E2</t>
  </si>
  <si>
    <t>G-REQ-06822</t>
  </si>
  <si>
    <t>G-REQ-01865-E3</t>
  </si>
  <si>
    <t>G-REQ-06823</t>
  </si>
  <si>
    <t>G-REQ-01865-E4</t>
  </si>
  <si>
    <t>G-REQ-06824</t>
  </si>
  <si>
    <t>G-REQ-01866-E1</t>
  </si>
  <si>
    <t>G-REQ-06825</t>
  </si>
  <si>
    <t>G-REQ-01866-E2</t>
  </si>
  <si>
    <t>G-REQ-06826</t>
  </si>
  <si>
    <t>G-REQ-01866-E3</t>
  </si>
  <si>
    <t>G-REQ-06827</t>
  </si>
  <si>
    <t>G-REQ-01866-E4</t>
  </si>
  <si>
    <t>G-REQ-06828</t>
  </si>
  <si>
    <t>G-REQ-01867-E1</t>
  </si>
  <si>
    <t>G-REQ-06829</t>
  </si>
  <si>
    <t>G-REQ-01867-E2</t>
  </si>
  <si>
    <t>G-REQ-01867-E3</t>
  </si>
  <si>
    <t>G-REQ-06830</t>
  </si>
  <si>
    <t>G-REQ-01867-E4</t>
  </si>
  <si>
    <t>G-REQ-06831</t>
  </si>
  <si>
    <t>G-REQ-01868-E1</t>
  </si>
  <si>
    <t>G-REQ-06832</t>
  </si>
  <si>
    <t>G-REQ-01868-E2</t>
  </si>
  <si>
    <t>G-REQ-06833</t>
  </si>
  <si>
    <t>G-REQ-01868-E3</t>
  </si>
  <si>
    <t>G-REQ-06834</t>
  </si>
  <si>
    <t>G-REQ-01868-E4</t>
  </si>
  <si>
    <t>G-REQ-01869-E1</t>
  </si>
  <si>
    <t>G-REQ-06835</t>
  </si>
  <si>
    <t>SYNTHETIC: Laptop repair; Pending approval; asset G-AST-00007</t>
  </si>
  <si>
    <t>G-REQ-01869-E2</t>
  </si>
  <si>
    <t>G-REQ-06836</t>
  </si>
  <si>
    <t>SYNTHETIC: Laptop repair; Approved; asset G-AST-00007</t>
  </si>
  <si>
    <t>G-REQ-01869-E3</t>
  </si>
  <si>
    <t>G-REQ-06837</t>
  </si>
  <si>
    <t>SYNTHETIC: Laptop repair; In progress; asset G-AST-00007</t>
  </si>
  <si>
    <t>G-REQ-01869-E4</t>
  </si>
  <si>
    <t>SYNTHETIC: Laptop repair; Completed; asset G-AST-00007</t>
  </si>
  <si>
    <t>G-REQ-06838</t>
  </si>
  <si>
    <t>G-REQ-01870-E1</t>
  </si>
  <si>
    <t>G-REQ-01870-E2</t>
  </si>
  <si>
    <t>G-REQ-06839</t>
  </si>
  <si>
    <t>G-REQ-01870-E3</t>
  </si>
  <si>
    <t>G-REQ-06840</t>
  </si>
  <si>
    <t>G-REQ-01870-E4</t>
  </si>
  <si>
    <t>G-REQ-06841</t>
  </si>
  <si>
    <t>G-REQ-01871-E1</t>
  </si>
  <si>
    <t>G-REQ-06842</t>
  </si>
  <si>
    <t>G-REQ-01871-E2</t>
  </si>
  <si>
    <t>G-REQ-06843</t>
  </si>
  <si>
    <t>G-REQ-01871-E3</t>
  </si>
  <si>
    <t>G-REQ-06844</t>
  </si>
  <si>
    <t>G-REQ-01871-E4</t>
  </si>
  <si>
    <t>G-REQ-06845</t>
  </si>
  <si>
    <t>G-REQ-01872-E1</t>
  </si>
  <si>
    <t>G-REQ-06846</t>
  </si>
  <si>
    <t>G-REQ-01872-E2</t>
  </si>
  <si>
    <t>G-REQ-01872-E3</t>
  </si>
  <si>
    <t>G-REQ-06847</t>
  </si>
  <si>
    <t>G-REQ-01872-E4</t>
  </si>
  <si>
    <t>G-REQ-06848</t>
  </si>
  <si>
    <t>G-REQ-01873-E1</t>
  </si>
  <si>
    <t>G-REQ-06849</t>
  </si>
  <si>
    <t>G-REQ-01873-E2</t>
  </si>
  <si>
    <t>G-REQ-06850</t>
  </si>
  <si>
    <t>G-REQ-01873-E3</t>
  </si>
  <si>
    <t>G-REQ-06851</t>
  </si>
  <si>
    <t>G-REQ-01873-E4</t>
  </si>
  <si>
    <t>G-REQ-06852</t>
  </si>
  <si>
    <t>G-REQ-01874-E1</t>
  </si>
  <si>
    <t>G-REQ-06853</t>
  </si>
  <si>
    <t>G-REQ-01874-E2</t>
  </si>
  <si>
    <t>G-REQ-06854</t>
  </si>
  <si>
    <t>G-REQ-01874-E3</t>
  </si>
  <si>
    <t>G-REQ-01874-E4</t>
  </si>
  <si>
    <t>G-REQ-06855</t>
  </si>
  <si>
    <t>G-REQ-01875-E1</t>
  </si>
  <si>
    <t>G-REQ-06856</t>
  </si>
  <si>
    <t>G-REQ-01875-E2</t>
  </si>
  <si>
    <t>G-REQ-06857</t>
  </si>
  <si>
    <t>G-REQ-01875-E3</t>
  </si>
  <si>
    <t>G-REQ-06858</t>
  </si>
  <si>
    <t>G-REQ-01875-E4</t>
  </si>
  <si>
    <t>G-REQ-06859</t>
  </si>
  <si>
    <t>G-REQ-01876-E1</t>
  </si>
  <si>
    <t>G-REQ-06860</t>
  </si>
  <si>
    <t>G-REQ-01876-E2</t>
  </si>
  <si>
    <t>G-REQ-06861</t>
  </si>
  <si>
    <t>G-REQ-01876-E3</t>
  </si>
  <si>
    <t>G-REQ-01876-E4</t>
  </si>
  <si>
    <t>G-REQ-06862</t>
  </si>
  <si>
    <t>G-REQ-01877-E1</t>
  </si>
  <si>
    <t>G-REQ-06863</t>
  </si>
  <si>
    <t>SYNTHETIC: Laptop repair; Pending approval; asset G-AST-00040</t>
  </si>
  <si>
    <t>G-REQ-01877-E2</t>
  </si>
  <si>
    <t>G-REQ-06864</t>
  </si>
  <si>
    <t>SYNTHETIC: Laptop repair; Approved; asset G-AST-00040</t>
  </si>
  <si>
    <t>G-REQ-01877-E3</t>
  </si>
  <si>
    <t>G-REQ-06865</t>
  </si>
  <si>
    <t>SYNTHETIC: Laptop repair; In progress; asset G-AST-00040</t>
  </si>
  <si>
    <t>G-REQ-01877-E4</t>
  </si>
  <si>
    <t>G-REQ-06866</t>
  </si>
  <si>
    <t>SYNTHETIC: Laptop repair; Completed; asset G-AST-00040</t>
  </si>
  <si>
    <t>G-REQ-01878-E1</t>
  </si>
  <si>
    <t>G-REQ-06867</t>
  </si>
  <si>
    <t>SYNTHETIC: Laptop repair; Pending approval; asset G-AST-00071</t>
  </si>
  <si>
    <t>G-REQ-01878-E2</t>
  </si>
  <si>
    <t>G-REQ-06868</t>
  </si>
  <si>
    <t>SYNTHETIC: Laptop repair; Approved; asset G-AST-00071</t>
  </si>
  <si>
    <t>G-REQ-01878-E3</t>
  </si>
  <si>
    <t>SYNTHETIC: Laptop repair; In progress; asset G-AST-00071</t>
  </si>
  <si>
    <t>G-REQ-01878-E4</t>
  </si>
  <si>
    <t>G-REQ-06869</t>
  </si>
  <si>
    <t>SYNTHETIC: Laptop repair; Completed; asset G-AST-00071</t>
  </si>
  <si>
    <t>G-REQ-01879-E1</t>
  </si>
  <si>
    <t>G-REQ-06870</t>
  </si>
  <si>
    <t>G-REQ-01879-E2</t>
  </si>
  <si>
    <t>G-REQ-06871</t>
  </si>
  <si>
    <t>G-REQ-01879-E3</t>
  </si>
  <si>
    <t>G-REQ-06872</t>
  </si>
  <si>
    <t>G-REQ-01879-E4</t>
  </si>
  <si>
    <t>G-REQ-06873</t>
  </si>
  <si>
    <t>G-REQ-01880-E1</t>
  </si>
  <si>
    <t>SYNTHETIC: Laptop return; Pending approval; asset G-AST-00037</t>
  </si>
  <si>
    <t>G-REQ-01880-E2</t>
  </si>
  <si>
    <t>G-REQ-06874</t>
  </si>
  <si>
    <t>SYNTHETIC: Laptop return; Approved; asset G-AST-00037</t>
  </si>
  <si>
    <t>G-REQ-01880-E3</t>
  </si>
  <si>
    <t>G-REQ-06875</t>
  </si>
  <si>
    <t>SYNTHETIC: Laptop return; In progress; asset G-AST-00037</t>
  </si>
  <si>
    <t>G-REQ-01880-E4</t>
  </si>
  <si>
    <t>G-REQ-06876</t>
  </si>
  <si>
    <t>SYNTHETIC: Laptop return; Completed; asset G-AST-00037</t>
  </si>
  <si>
    <t>G-REQ-01881-E1</t>
  </si>
  <si>
    <t>G-REQ-01881-E2</t>
  </si>
  <si>
    <t>G-REQ-06877</t>
  </si>
  <si>
    <t>G-REQ-01881-E3</t>
  </si>
  <si>
    <t>G-REQ-06878</t>
  </si>
  <si>
    <t>G-REQ-01881-E4</t>
  </si>
  <si>
    <t>G-REQ-06879</t>
  </si>
  <si>
    <t>G-REQ-01882-E1</t>
  </si>
  <si>
    <t>G-REQ-06880</t>
  </si>
  <si>
    <t>G-REQ-01882-E2</t>
  </si>
  <si>
    <t>G-REQ-01882-E3</t>
  </si>
  <si>
    <t>G-REQ-06881</t>
  </si>
  <si>
    <t>G-REQ-01882-E4</t>
  </si>
  <si>
    <t>G-REQ-06882</t>
  </si>
  <si>
    <t>G-REQ-01883-E1</t>
  </si>
  <si>
    <t>G-REQ-06883</t>
  </si>
  <si>
    <t>G-REQ-01883-E2</t>
  </si>
  <si>
    <t>G-REQ-06884</t>
  </si>
  <si>
    <t>G-REQ-01883-E3</t>
  </si>
  <si>
    <t>G-REQ-06885</t>
  </si>
  <si>
    <t>G-REQ-01883-E4</t>
  </si>
  <si>
    <t>G-REQ-06886</t>
  </si>
  <si>
    <t>G-REQ-01884-E1</t>
  </si>
  <si>
    <t>G-REQ-06887</t>
  </si>
  <si>
    <t>G-REQ-01884-E2</t>
  </si>
  <si>
    <t>G-REQ-01884-E3</t>
  </si>
  <si>
    <t>G-REQ-06888</t>
  </si>
  <si>
    <t>G-REQ-01884-E4</t>
  </si>
  <si>
    <t>G-REQ-06889</t>
  </si>
  <si>
    <t>G-REQ-01885-E1</t>
  </si>
  <si>
    <t>G-REQ-06890</t>
  </si>
  <si>
    <t>G-REQ-01885-E2</t>
  </si>
  <si>
    <t>G-REQ-06891</t>
  </si>
  <si>
    <t>G-REQ-01885-E3</t>
  </si>
  <si>
    <t>G-REQ-06892</t>
  </si>
  <si>
    <t>G-REQ-01885-E4</t>
  </si>
  <si>
    <t>G-REQ-01886-E1</t>
  </si>
  <si>
    <t>G-REQ-06893</t>
  </si>
  <si>
    <t>G-REQ-01886-E2</t>
  </si>
  <si>
    <t>G-REQ-06894</t>
  </si>
  <si>
    <t>G-REQ-01886-E3</t>
  </si>
  <si>
    <t>G-REQ-06895</t>
  </si>
  <si>
    <t>G-REQ-01886-E4</t>
  </si>
  <si>
    <t>G-REQ-06896</t>
  </si>
  <si>
    <t>G-REQ-01887-E1</t>
  </si>
  <si>
    <t>G-REQ-06897</t>
  </si>
  <si>
    <t>G-REQ-01887-E2</t>
  </si>
  <si>
    <t>SYNTHETIC: Laptop repair; Rejected; asset G-AST-00030</t>
  </si>
  <si>
    <t>G-REQ-06898</t>
  </si>
  <si>
    <t>G-REQ-01888-E1</t>
  </si>
  <si>
    <t>G-REQ-01888-E2</t>
  </si>
  <si>
    <t>G-REQ-06899</t>
  </si>
  <si>
    <t>G-REQ-01888-E3</t>
  </si>
  <si>
    <t>G-REQ-06900</t>
  </si>
  <si>
    <t>G-REQ-01888-E4</t>
  </si>
  <si>
    <t>G-REQ-06901</t>
  </si>
  <si>
    <t>G-REQ-01889-E1</t>
  </si>
  <si>
    <t>G-REQ-06902</t>
  </si>
  <si>
    <t>G-REQ-01889-E2</t>
  </si>
  <si>
    <t>G-REQ-06903</t>
  </si>
  <si>
    <t>G-REQ-01889-E3</t>
  </si>
  <si>
    <t>G-REQ-06904</t>
  </si>
  <si>
    <t>G-REQ-01889-E4</t>
  </si>
  <si>
    <t>G-REQ-01890-E1</t>
  </si>
  <si>
    <t>G-REQ-06905</t>
  </si>
  <si>
    <t>G-REQ-01890-E2</t>
  </si>
  <si>
    <t>G-REQ-06906</t>
  </si>
  <si>
    <t>SYNTHETIC: Laptop return; Approved; asset G-AST-00480</t>
  </si>
  <si>
    <t>G-REQ-01890-E3</t>
  </si>
  <si>
    <t>G-REQ-06907</t>
  </si>
  <si>
    <t>SYNTHETIC: Laptop return; In progress; asset G-AST-00480</t>
  </si>
  <si>
    <t>G-REQ-01890-E4</t>
  </si>
  <si>
    <t>SYNTHETIC: Laptop return; Completed; asset G-AST-00480</t>
  </si>
  <si>
    <t>G-REQ-01891-E1</t>
  </si>
  <si>
    <t>G-REQ-06908</t>
  </si>
  <si>
    <t>G-REQ-01891-E2</t>
  </si>
  <si>
    <t>G-REQ-06909</t>
  </si>
  <si>
    <t>G-REQ-01891-E3</t>
  </si>
  <si>
    <t>G-REQ-06910</t>
  </si>
  <si>
    <t>G-REQ-01891-E4</t>
  </si>
  <si>
    <t>G-REQ-06911</t>
  </si>
  <si>
    <t>G-REQ-01892-E1</t>
  </si>
  <si>
    <t>G-REQ-06912</t>
  </si>
  <si>
    <t>G-REQ-01892-E2</t>
  </si>
  <si>
    <t>G-REQ-06913</t>
  </si>
  <si>
    <t>G-REQ-01892-E3</t>
  </si>
  <si>
    <t>G-REQ-01892-E4</t>
  </si>
  <si>
    <t>G-REQ-01893-E1</t>
  </si>
  <si>
    <t>G-REQ-06914</t>
  </si>
  <si>
    <t>G-REQ-01893-E2</t>
  </si>
  <si>
    <t>G-REQ-01893-E3</t>
  </si>
  <si>
    <t>G-REQ-06915</t>
  </si>
  <si>
    <t>G-REQ-01893-E4</t>
  </si>
  <si>
    <t>G-REQ-06916</t>
  </si>
  <si>
    <t>G-REQ-01894-E1</t>
  </si>
  <si>
    <t>G-REQ-06917</t>
  </si>
  <si>
    <t>G-REQ-01894-E2</t>
  </si>
  <si>
    <t>G-REQ-01894-E3</t>
  </si>
  <si>
    <t>G-REQ-06918</t>
  </si>
  <si>
    <t>G-REQ-01894-E4</t>
  </si>
  <si>
    <t>G-REQ-06919</t>
  </si>
  <si>
    <t>G-REQ-01895-E1</t>
  </si>
  <si>
    <t>G-REQ-06920</t>
  </si>
  <si>
    <t>SYNTHETIC: Laptop return; Pending approval; asset G-AST-00318</t>
  </si>
  <si>
    <t>G-REQ-01895-E2</t>
  </si>
  <si>
    <t>G-REQ-06921</t>
  </si>
  <si>
    <t>SYNTHETIC: Laptop return; Approved; asset G-AST-00318</t>
  </si>
  <si>
    <t>G-REQ-01895-E3</t>
  </si>
  <si>
    <t>G-REQ-06922</t>
  </si>
  <si>
    <t>SYNTHETIC: Laptop return; In progress; asset G-AST-00318</t>
  </si>
  <si>
    <t>G-REQ-01895-E4</t>
  </si>
  <si>
    <t>SYNTHETIC: Laptop return; Completed; asset G-AST-00318</t>
  </si>
  <si>
    <t>G-REQ-01896-E1</t>
  </si>
  <si>
    <t>G-REQ-06923</t>
  </si>
  <si>
    <t>SYNTHETIC: Laptop repair; Pending approval; asset G-AST-00537</t>
  </si>
  <si>
    <t>G-REQ-01896-E2</t>
  </si>
  <si>
    <t>G-REQ-06924</t>
  </si>
  <si>
    <t>SYNTHETIC: Laptop repair; Approved; asset G-AST-00537</t>
  </si>
  <si>
    <t>G-REQ-01896-E3</t>
  </si>
  <si>
    <t>G-REQ-06925</t>
  </si>
  <si>
    <t>SYNTHETIC: Laptop repair; In progress; asset G-AST-00537</t>
  </si>
  <si>
    <t>G-REQ-01896-E4</t>
  </si>
  <si>
    <t>G-REQ-06926</t>
  </si>
  <si>
    <t>SYNTHETIC: Laptop repair; Completed; asset G-AST-00537</t>
  </si>
  <si>
    <t>G-REQ-01897-E1</t>
  </si>
  <si>
    <t>G-REQ-06927</t>
  </si>
  <si>
    <t>G-REQ-01897-E2</t>
  </si>
  <si>
    <t>G-REQ-01897-E3</t>
  </si>
  <si>
    <t>G-REQ-06928</t>
  </si>
  <si>
    <t>G-REQ-01897-E4</t>
  </si>
  <si>
    <t>G-REQ-06929</t>
  </si>
  <si>
    <t>G-REQ-01898-E1</t>
  </si>
  <si>
    <t>G-REQ-06930</t>
  </si>
  <si>
    <t>SYNTHETIC: Laptop return; Pending approval; asset G-AST-00485</t>
  </si>
  <si>
    <t>G-REQ-01898-E2</t>
  </si>
  <si>
    <t>G-REQ-06931</t>
  </si>
  <si>
    <t>SYNTHETIC: Laptop return; Approved; asset G-AST-00485</t>
  </si>
  <si>
    <t>G-REQ-01898-E3</t>
  </si>
  <si>
    <t>G-REQ-06932</t>
  </si>
  <si>
    <t>SYNTHETIC: Laptop return; In progress; asset G-AST-00485</t>
  </si>
  <si>
    <t>G-REQ-01898-E4</t>
  </si>
  <si>
    <t>SYNTHETIC: Laptop return; Completed; asset G-AST-00485</t>
  </si>
  <si>
    <t>G-REQ-06933</t>
  </si>
  <si>
    <t>G-REQ-01899-E1</t>
  </si>
  <si>
    <t>G-REQ-06934</t>
  </si>
  <si>
    <t>G-REQ-01899-E2</t>
  </si>
  <si>
    <t>G-REQ-01899-E3</t>
  </si>
  <si>
    <t>G-REQ-06935</t>
  </si>
  <si>
    <t>G-REQ-01899-E4</t>
  </si>
  <si>
    <t>G-REQ-06936</t>
  </si>
  <si>
    <t>G-REQ-01900-E1</t>
  </si>
  <si>
    <t>G-REQ-06937</t>
  </si>
  <si>
    <t>SYNTHETIC: Laptop repair; Pending approval; asset G-AST-00038</t>
  </si>
  <si>
    <t>G-REQ-01900-E2</t>
  </si>
  <si>
    <t>G-REQ-06938</t>
  </si>
  <si>
    <t>SYNTHETIC: Laptop repair; Approved; asset G-AST-00038</t>
  </si>
  <si>
    <t>G-REQ-01900-E3</t>
  </si>
  <si>
    <t>SYNTHETIC: Laptop repair; In progress; asset G-AST-00038</t>
  </si>
  <si>
    <t>G-REQ-06939</t>
  </si>
  <si>
    <t>G-REQ-01900-E4</t>
  </si>
  <si>
    <t>SYNTHETIC: Laptop repair; Completed; asset G-AST-00038</t>
  </si>
  <si>
    <t>G-REQ-01901-E1</t>
  </si>
  <si>
    <t>G-REQ-06940</t>
  </si>
  <si>
    <t>G-REQ-01901-E2</t>
  </si>
  <si>
    <t>G-REQ-06941</t>
  </si>
  <si>
    <t>G-REQ-01901-E3</t>
  </si>
  <si>
    <t>G-REQ-06942</t>
  </si>
  <si>
    <t>G-REQ-01901-E4</t>
  </si>
  <si>
    <t>G-REQ-06943</t>
  </si>
  <si>
    <t>G-REQ-01902-E1</t>
  </si>
  <si>
    <t>G-REQ-06944</t>
  </si>
  <si>
    <t>G-REQ-01902-E2</t>
  </si>
  <si>
    <t>G-REQ-06945</t>
  </si>
  <si>
    <t>G-REQ-01902-E3</t>
  </si>
  <si>
    <t>G-REQ-01902-E4</t>
  </si>
  <si>
    <t>G-REQ-06946</t>
  </si>
  <si>
    <t>G-REQ-01903-E1</t>
  </si>
  <si>
    <t>G-REQ-06947</t>
  </si>
  <si>
    <t>SYNTHETIC: Laptop return; Pending approval; asset G-AST-00277</t>
  </si>
  <si>
    <t>G-REQ-01903-E2</t>
  </si>
  <si>
    <t>G-REQ-06948</t>
  </si>
  <si>
    <t>SYNTHETIC: Laptop return; Approved; asset G-AST-00277</t>
  </si>
  <si>
    <t>G-REQ-01903-E3</t>
  </si>
  <si>
    <t>G-REQ-06949</t>
  </si>
  <si>
    <t>SYNTHETIC: Laptop return; In progress; asset G-AST-00277</t>
  </si>
  <si>
    <t>G-REQ-01903-E4</t>
  </si>
  <si>
    <t>G-REQ-06950</t>
  </si>
  <si>
    <t>SYNTHETIC: Laptop return; Completed; asset G-AST-00277</t>
  </si>
  <si>
    <t>G-REQ-01904-E1</t>
  </si>
  <si>
    <t>G-REQ-06951</t>
  </si>
  <si>
    <t>G-REQ-01904-E2</t>
  </si>
  <si>
    <t>G-REQ-06952</t>
  </si>
  <si>
    <t>G-REQ-01904-E3</t>
  </si>
  <si>
    <t>G-REQ-06953</t>
  </si>
  <si>
    <t>G-REQ-01904-E4</t>
  </si>
  <si>
    <t>G-REQ-06954</t>
  </si>
  <si>
    <t>G-REQ-06955</t>
  </si>
  <si>
    <t>G-REQ-01905-E1</t>
  </si>
  <si>
    <t>G-REQ-01905-E2</t>
  </si>
  <si>
    <t>G-REQ-06956</t>
  </si>
  <si>
    <t>G-REQ-01905-E3</t>
  </si>
  <si>
    <t>G-REQ-06957</t>
  </si>
  <si>
    <t>G-REQ-01905-E4</t>
  </si>
  <si>
    <t>G-REQ-06958</t>
  </si>
  <si>
    <t>G-REQ-01906-E1</t>
  </si>
  <si>
    <t>G-REQ-06959</t>
  </si>
  <si>
    <t>G-REQ-01906-E2</t>
  </si>
  <si>
    <t>SYNTHETIC: Laptop return; Approved; asset G-AST-00533</t>
  </si>
  <si>
    <t>G-REQ-06960</t>
  </si>
  <si>
    <t>G-REQ-01906-E3</t>
  </si>
  <si>
    <t>SYNTHETIC: Laptop return; In progress; asset G-AST-00533</t>
  </si>
  <si>
    <t>G-REQ-06961</t>
  </si>
  <si>
    <t>G-REQ-01906-E4</t>
  </si>
  <si>
    <t>SYNTHETIC: Laptop return; Completed; asset G-AST-00533</t>
  </si>
  <si>
    <t>G-REQ-01907-E1</t>
  </si>
  <si>
    <t>G-REQ-06962</t>
  </si>
  <si>
    <t>G-REQ-01907-E2</t>
  </si>
  <si>
    <t>G-REQ-06963</t>
  </si>
  <si>
    <t>SYNTHETIC: Laptop return; Approved; asset G-AST-00349</t>
  </si>
  <si>
    <t>G-REQ-01907-E3</t>
  </si>
  <si>
    <t>G-REQ-06964</t>
  </si>
  <si>
    <t>SYNTHETIC: Laptop return; In progress; asset G-AST-00349</t>
  </si>
  <si>
    <t>G-REQ-01907-E4</t>
  </si>
  <si>
    <t>SYNTHETIC: Laptop return; Completed; asset G-AST-00349</t>
  </si>
  <si>
    <t>G-REQ-06965</t>
  </si>
  <si>
    <t>G-REQ-01908-E1</t>
  </si>
  <si>
    <t>G-REQ-06966</t>
  </si>
  <si>
    <t>G-REQ-01908-E2</t>
  </si>
  <si>
    <t>G-REQ-06967</t>
  </si>
  <si>
    <t>G-REQ-01908-E3</t>
  </si>
  <si>
    <t>G-REQ-01908-E4</t>
  </si>
  <si>
    <t>G-REQ-06968</t>
  </si>
  <si>
    <t>G-REQ-01909-E1</t>
  </si>
  <si>
    <t>G-REQ-06969</t>
  </si>
  <si>
    <t>G-REQ-06970</t>
  </si>
  <si>
    <t>G-REQ-01909-E2</t>
  </si>
  <si>
    <t>G-REQ-06971</t>
  </si>
  <si>
    <t>G-REQ-01909-E3</t>
  </si>
  <si>
    <t>G-REQ-06972</t>
  </si>
  <si>
    <t>G-REQ-01909-E4</t>
  </si>
  <si>
    <t>G-REQ-01910-E1</t>
  </si>
  <si>
    <t>G-REQ-06973</t>
  </si>
  <si>
    <t>G-REQ-01910-E2</t>
  </si>
  <si>
    <t>G-REQ-06974</t>
  </si>
  <si>
    <t>G-REQ-01910-E3</t>
  </si>
  <si>
    <t>G-REQ-06975</t>
  </si>
  <si>
    <t>G-REQ-01910-E4</t>
  </si>
  <si>
    <t>G-REQ-06976</t>
  </si>
  <si>
    <t>G-REQ-01911-E1</t>
  </si>
  <si>
    <t>G-REQ-06977</t>
  </si>
  <si>
    <t>G-REQ-01911-E2</t>
  </si>
  <si>
    <t>G-REQ-06978</t>
  </si>
  <si>
    <t>G-REQ-01911-E3</t>
  </si>
  <si>
    <t>G-REQ-01911-E4</t>
  </si>
  <si>
    <t>G-REQ-06979</t>
  </si>
  <si>
    <t>G-REQ-01912-E1</t>
  </si>
  <si>
    <t>G-REQ-06980</t>
  </si>
  <si>
    <t>G-REQ-01912-E2</t>
  </si>
  <si>
    <t>G-REQ-06981</t>
  </si>
  <si>
    <t>G-REQ-01912-E3</t>
  </si>
  <si>
    <t>G-REQ-06982</t>
  </si>
  <si>
    <t>G-REQ-01912-E4</t>
  </si>
  <si>
    <t>G-REQ-06983</t>
  </si>
  <si>
    <t>G-REQ-01913-E1</t>
  </si>
  <si>
    <t>G-REQ-06984</t>
  </si>
  <si>
    <t>G-REQ-01913-E2</t>
  </si>
  <si>
    <t>G-REQ-06985</t>
  </si>
  <si>
    <t>G-REQ-01913-E3</t>
  </si>
  <si>
    <t>G-REQ-01913-E4</t>
  </si>
  <si>
    <t>G-REQ-06986</t>
  </si>
  <si>
    <t>G-REQ-01914-E1</t>
  </si>
  <si>
    <t>G-REQ-06987</t>
  </si>
  <si>
    <t>G-REQ-01914-E2</t>
  </si>
  <si>
    <t>G-REQ-06988</t>
  </si>
  <si>
    <t>G-REQ-01914-E3</t>
  </si>
  <si>
    <t>G-REQ-06989</t>
  </si>
  <si>
    <t>G-REQ-01914-E4</t>
  </si>
  <si>
    <t>G-REQ-06990</t>
  </si>
  <si>
    <t>G-REQ-01915-E1</t>
  </si>
  <si>
    <t>G-REQ-06991</t>
  </si>
  <si>
    <t>G-REQ-01915-E2</t>
  </si>
  <si>
    <t>G-REQ-01915-E3</t>
  </si>
  <si>
    <t>G-REQ-06992</t>
  </si>
  <si>
    <t>G-REQ-01915-E4</t>
  </si>
  <si>
    <t>G-REQ-06993</t>
  </si>
  <si>
    <t>G-REQ-01916-E1</t>
  </si>
  <si>
    <t>G-REQ-06994</t>
  </si>
  <si>
    <t>G-REQ-01916-E2</t>
  </si>
  <si>
    <t>G-REQ-06995</t>
  </si>
  <si>
    <t>G-REQ-01916-E3</t>
  </si>
  <si>
    <t>G-REQ-06996</t>
  </si>
  <si>
    <t>G-REQ-01916-E4</t>
  </si>
  <si>
    <t>G-REQ-01917-E1</t>
  </si>
  <si>
    <t>G-REQ-06997</t>
  </si>
  <si>
    <t>G-REQ-01917-E2</t>
  </si>
  <si>
    <t>G-REQ-06998</t>
  </si>
  <si>
    <t>G-REQ-01917-E3</t>
  </si>
  <si>
    <t>G-REQ-06999</t>
  </si>
  <si>
    <t>G-REQ-01917-E4</t>
  </si>
  <si>
    <t>G-REQ-01918-E1</t>
  </si>
  <si>
    <t>G-REQ-07000</t>
  </si>
  <si>
    <t>G-REQ-01918-E2</t>
  </si>
  <si>
    <t>G-REQ-07001</t>
  </si>
  <si>
    <t>SYNTHETIC: Laptop return; Rejected; asset G-AST-00008</t>
  </si>
  <si>
    <t>G-REQ-01919-E1</t>
  </si>
  <si>
    <t>G-REQ-07002</t>
  </si>
  <si>
    <t>G-REQ-01919-E2</t>
  </si>
  <si>
    <t>G-REQ-07003</t>
  </si>
  <si>
    <t>SYNTHETIC: Laptop repair; Rejected; asset G-AST-00403</t>
  </si>
  <si>
    <t>G-REQ-01920-E1</t>
  </si>
  <si>
    <t>G-REQ-07004</t>
  </si>
  <si>
    <t>SYNTHETIC: Laptop return; Pending approval; asset G-AST-00493</t>
  </si>
  <si>
    <t>G-REQ-01920-E2</t>
  </si>
  <si>
    <t>SYNTHETIC: Laptop return; Approved; asset G-AST-00493</t>
  </si>
  <si>
    <t>G-REQ-07005</t>
  </si>
  <si>
    <t>G-REQ-01920-E3</t>
  </si>
  <si>
    <t>SYNTHETIC: Laptop return; In progress; asset G-AST-00493</t>
  </si>
  <si>
    <t>G-REQ-01920-E4</t>
  </si>
  <si>
    <t>G-REQ-07006</t>
  </si>
  <si>
    <t>SYNTHETIC: Laptop return; Completed; asset G-AST-00493</t>
  </si>
  <si>
    <t>G-REQ-01921-E1</t>
  </si>
  <si>
    <t>G-REQ-07007</t>
  </si>
  <si>
    <t>G-REQ-01921-E2</t>
  </si>
  <si>
    <t>G-REQ-07008</t>
  </si>
  <si>
    <t>G-REQ-01921-E3</t>
  </si>
  <si>
    <t>G-REQ-07009</t>
  </si>
  <si>
    <t>G-REQ-01921-E4</t>
  </si>
  <si>
    <t>G-REQ-07010</t>
  </si>
  <si>
    <t>G-REQ-01922-E1</t>
  </si>
  <si>
    <t>G-REQ-07011</t>
  </si>
  <si>
    <t>SYNTHETIC: Laptop repair; Pending approval; asset G-AST-00072</t>
  </si>
  <si>
    <t>G-REQ-01922-E2</t>
  </si>
  <si>
    <t>SYNTHETIC: Laptop repair; Rejected; asset G-AST-00072</t>
  </si>
  <si>
    <t>G-REQ-01923-E1</t>
  </si>
  <si>
    <t>G-REQ-07012</t>
  </si>
  <si>
    <t>SYNTHETIC: Laptop return; Pending approval; asset G-AST-00521</t>
  </si>
  <si>
    <t>G-REQ-01923-E2</t>
  </si>
  <si>
    <t>G-REQ-07013</t>
  </si>
  <si>
    <t>SYNTHETIC: Laptop return; Approved; asset G-AST-00521</t>
  </si>
  <si>
    <t>G-REQ-01923-E3</t>
  </si>
  <si>
    <t>G-REQ-07014</t>
  </si>
  <si>
    <t>SYNTHETIC: Laptop return; In progress; asset G-AST-00521</t>
  </si>
  <si>
    <t>G-REQ-01923-E4</t>
  </si>
  <si>
    <t>G-REQ-07015</t>
  </si>
  <si>
    <t>SYNTHETIC: Laptop return; Completed; asset G-AST-00521</t>
  </si>
  <si>
    <t>G-REQ-01924-E1</t>
  </si>
  <si>
    <t>G-REQ-07016</t>
  </si>
  <si>
    <t>G-REQ-01924-E2</t>
  </si>
  <si>
    <t>G-REQ-07017</t>
  </si>
  <si>
    <t>G-REQ-01924-E3</t>
  </si>
  <si>
    <t>G-REQ-07018</t>
  </si>
  <si>
    <t>G-REQ-01924-E4</t>
  </si>
  <si>
    <t>G-REQ-07019</t>
  </si>
  <si>
    <t>G-REQ-01925-E1</t>
  </si>
  <si>
    <t>G-REQ-07020</t>
  </si>
  <si>
    <t>G-REQ-01925-E2</t>
  </si>
  <si>
    <t>G-REQ-01925-E3</t>
  </si>
  <si>
    <t>G-REQ-07021</t>
  </si>
  <si>
    <t>G-REQ-01925-E4</t>
  </si>
  <si>
    <t>G-REQ-07022</t>
  </si>
  <si>
    <t>G-REQ-01926-E1</t>
  </si>
  <si>
    <t>G-REQ-07023</t>
  </si>
  <si>
    <t>G-REQ-01926-E2</t>
  </si>
  <si>
    <t>G-REQ-07024</t>
  </si>
  <si>
    <t>G-REQ-01926-E3</t>
  </si>
  <si>
    <t>G-REQ-01926-E4</t>
  </si>
  <si>
    <t>G-REQ-07025</t>
  </si>
  <si>
    <t>G-REQ-01927-E1</t>
  </si>
  <si>
    <t>G-REQ-07026</t>
  </si>
  <si>
    <t>G-REQ-01927-E2</t>
  </si>
  <si>
    <t>G-REQ-07027</t>
  </si>
  <si>
    <t>SYNTHETIC: Laptop return; Approved; asset G-AST-00190</t>
  </si>
  <si>
    <t>G-REQ-01927-E3</t>
  </si>
  <si>
    <t>G-REQ-07028</t>
  </si>
  <si>
    <t>SYNTHETIC: Laptop return; In progress; asset G-AST-00190</t>
  </si>
  <si>
    <t>G-REQ-01927-E4</t>
  </si>
  <si>
    <t>SYNTHETIC: Laptop return; Completed; asset G-AST-00190</t>
  </si>
  <si>
    <t>G-REQ-07029</t>
  </si>
  <si>
    <t>G-REQ-01928-E1</t>
  </si>
  <si>
    <t>G-REQ-01928-E2</t>
  </si>
  <si>
    <t>G-REQ-07030</t>
  </si>
  <si>
    <t>G-REQ-01928-E3</t>
  </si>
  <si>
    <t>G-REQ-01928-E4</t>
  </si>
  <si>
    <t>G-REQ-07031</t>
  </si>
  <si>
    <t>G-REQ-07032</t>
  </si>
  <si>
    <t>G-REQ-01929-E1</t>
  </si>
  <si>
    <t>G-REQ-07033</t>
  </si>
  <si>
    <t>G-REQ-01929-E2</t>
  </si>
  <si>
    <t>G-REQ-07034</t>
  </si>
  <si>
    <t>G-REQ-01929-E3</t>
  </si>
  <si>
    <t>G-REQ-01929-E4</t>
  </si>
  <si>
    <t>G-REQ-07035</t>
  </si>
  <si>
    <t>G-REQ-01930-E1</t>
  </si>
  <si>
    <t>G-REQ-07036</t>
  </si>
  <si>
    <t>G-REQ-01930-E2</t>
  </si>
  <si>
    <t>G-REQ-07037</t>
  </si>
  <si>
    <t>G-REQ-01930-E3</t>
  </si>
  <si>
    <t>G-REQ-07038</t>
  </si>
  <si>
    <t>G-REQ-01930-E4</t>
  </si>
  <si>
    <t>G-REQ-07039</t>
  </si>
  <si>
    <t>G-REQ-01931-E1</t>
  </si>
  <si>
    <t>G-REQ-01931-E2</t>
  </si>
  <si>
    <t>G-REQ-07040</t>
  </si>
  <si>
    <t>SYNTHETIC: Laptop repair; Cancelled; asset G-AST-00488</t>
  </si>
  <si>
    <t>G-REQ-01932-E1</t>
  </si>
  <si>
    <t>G-REQ-07041</t>
  </si>
  <si>
    <t>G-REQ-01932-E2</t>
  </si>
  <si>
    <t>G-REQ-07042</t>
  </si>
  <si>
    <t>G-REQ-01932-E3</t>
  </si>
  <si>
    <t>G-REQ-07043</t>
  </si>
  <si>
    <t>G-REQ-01932-E4</t>
  </si>
  <si>
    <t>G-REQ-07044</t>
  </si>
  <si>
    <t>G-REQ-01933-E1</t>
  </si>
  <si>
    <t>G-REQ-07045</t>
  </si>
  <si>
    <t>G-REQ-01933-E2</t>
  </si>
  <si>
    <t>G-REQ-01933-E3</t>
  </si>
  <si>
    <t>G-REQ-07046</t>
  </si>
  <si>
    <t>G-REQ-01933-E4</t>
  </si>
  <si>
    <t>G-REQ-07047</t>
  </si>
  <si>
    <t>G-REQ-01934-E1</t>
  </si>
  <si>
    <t>G-REQ-07048</t>
  </si>
  <si>
    <t>SYNTHETIC: Laptop repair; Pending approval; asset G-AST-00535</t>
  </si>
  <si>
    <t>G-REQ-01934-E2</t>
  </si>
  <si>
    <t>G-REQ-07049</t>
  </si>
  <si>
    <t>SYNTHETIC: Laptop repair; Approved; asset G-AST-00535</t>
  </si>
  <si>
    <t>G-REQ-01934-E3</t>
  </si>
  <si>
    <t>G-REQ-07050</t>
  </si>
  <si>
    <t>SYNTHETIC: Laptop repair; In progress; asset G-AST-00535</t>
  </si>
  <si>
    <t>G-REQ-01934-E4</t>
  </si>
  <si>
    <t>SYNTHETIC: Laptop repair; Completed; asset G-AST-00535</t>
  </si>
  <si>
    <t>G-REQ-07051</t>
  </si>
  <si>
    <t>G-REQ-01935-E1</t>
  </si>
  <si>
    <t>SYNTHETIC: Laptop repair; Pending approval; asset G-AST-00005</t>
  </si>
  <si>
    <t>G-REQ-07052</t>
  </si>
  <si>
    <t>G-REQ-01935-E2</t>
  </si>
  <si>
    <t>SYNTHETIC: Laptop repair; Approved; asset G-AST-00005</t>
  </si>
  <si>
    <t>G-REQ-01935-E3</t>
  </si>
  <si>
    <t>G-REQ-07053</t>
  </si>
  <si>
    <t>SYNTHETIC: Laptop repair; In progress; asset G-AST-00005</t>
  </si>
  <si>
    <t>G-REQ-01935-E4</t>
  </si>
  <si>
    <t>G-REQ-07054</t>
  </si>
  <si>
    <t>SYNTHETIC: Laptop repair; Completed; asset G-AST-00005</t>
  </si>
  <si>
    <t>G-REQ-01936-E1</t>
  </si>
  <si>
    <t>G-REQ-07055</t>
  </si>
  <si>
    <t>G-REQ-01936-E2</t>
  </si>
  <si>
    <t>G-REQ-07056</t>
  </si>
  <si>
    <t>G-REQ-01936-E3</t>
  </si>
  <si>
    <t>G-REQ-07057</t>
  </si>
  <si>
    <t>G-REQ-01936-E4</t>
  </si>
  <si>
    <t>G-REQ-01937-E1</t>
  </si>
  <si>
    <t>G-REQ-07058</t>
  </si>
  <si>
    <t>G-REQ-01937-E2</t>
  </si>
  <si>
    <t>G-REQ-07059</t>
  </si>
  <si>
    <t>G-REQ-01937-E3</t>
  </si>
  <si>
    <t>G-REQ-07060</t>
  </si>
  <si>
    <t>G-REQ-01937-E4</t>
  </si>
  <si>
    <t>G-REQ-07061</t>
  </si>
  <si>
    <t>G-REQ-01938-E1</t>
  </si>
  <si>
    <t>G-REQ-07062</t>
  </si>
  <si>
    <t>G-REQ-01938-E2</t>
  </si>
  <si>
    <t>G-REQ-07063</t>
  </si>
  <si>
    <t>G-REQ-07064</t>
  </si>
  <si>
    <t>G-REQ-01938-E3</t>
  </si>
  <si>
    <t>G-REQ-07065</t>
  </si>
  <si>
    <t>G-REQ-01938-E4</t>
  </si>
  <si>
    <t>G-REQ-07066</t>
  </si>
  <si>
    <t>G-REQ-01939-E1</t>
  </si>
  <si>
    <t>G-REQ-07067</t>
  </si>
  <si>
    <t>G-REQ-01939-E2</t>
  </si>
  <si>
    <t>G-REQ-01939-E3</t>
  </si>
  <si>
    <t>G-REQ-07068</t>
  </si>
  <si>
    <t>G-REQ-01939-E4</t>
  </si>
  <si>
    <t>G-REQ-07069</t>
  </si>
  <si>
    <t>G-REQ-01940-E1</t>
  </si>
  <si>
    <t>G-REQ-07070</t>
  </si>
  <si>
    <t>G-REQ-01940-E2</t>
  </si>
  <si>
    <t>G-REQ-07071</t>
  </si>
  <si>
    <t>SYNTHETIC: Laptop return; Approved; asset G-AST-00124</t>
  </si>
  <si>
    <t>G-REQ-01940-E3</t>
  </si>
  <si>
    <t>G-REQ-07072</t>
  </si>
  <si>
    <t>SYNTHETIC: Laptop return; In progress; asset G-AST-00124</t>
  </si>
  <si>
    <t>G-REQ-01940-E4</t>
  </si>
  <si>
    <t>SYNTHETIC: Laptop return; Completed; asset G-AST-00124</t>
  </si>
  <si>
    <t>G-REQ-07073</t>
  </si>
  <si>
    <t>G-REQ-01941-E1</t>
  </si>
  <si>
    <t>G-REQ-07074</t>
  </si>
  <si>
    <t>G-REQ-01941-E2</t>
  </si>
  <si>
    <t>G-REQ-07075</t>
  </si>
  <si>
    <t>G-REQ-01941-E3</t>
  </si>
  <si>
    <t>G-REQ-07076</t>
  </si>
  <si>
    <t>G-REQ-01941-E4</t>
  </si>
  <si>
    <t>G-REQ-07077</t>
  </si>
  <si>
    <t>G-REQ-01942-E1</t>
  </si>
  <si>
    <t>SYNTHETIC: Laptop repair; Pending approval; asset G-AST-00027</t>
  </si>
  <si>
    <t>G-REQ-01942-E2</t>
  </si>
  <si>
    <t>G-REQ-07078</t>
  </si>
  <si>
    <t>SYNTHETIC: Laptop repair; Approved; asset G-AST-00027</t>
  </si>
  <si>
    <t>G-REQ-01942-E3</t>
  </si>
  <si>
    <t>G-REQ-07079</t>
  </si>
  <si>
    <t>SYNTHETIC: Laptop repair; In progress; asset G-AST-00027</t>
  </si>
  <si>
    <t>G-REQ-01942-E4</t>
  </si>
  <si>
    <t>G-REQ-07080</t>
  </si>
  <si>
    <t>SYNTHETIC: Laptop repair; Completed; asset G-AST-00027</t>
  </si>
  <si>
    <t>G-REQ-01943-E1</t>
  </si>
  <si>
    <t>SYNTHETIC: Laptop repair; Pending approval; asset G-AST-00113</t>
  </si>
  <si>
    <t>G-REQ-07081</t>
  </si>
  <si>
    <t>G-REQ-01943-E2</t>
  </si>
  <si>
    <t>SYNTHETIC: Laptop repair; Rejected; asset G-AST-00113</t>
  </si>
  <si>
    <t>G-REQ-07082</t>
  </si>
  <si>
    <t>G-REQ-01944-E1</t>
  </si>
  <si>
    <t>G-REQ-01944-E2</t>
  </si>
  <si>
    <t>G-REQ-07083</t>
  </si>
  <si>
    <t>G-REQ-01944-E3</t>
  </si>
  <si>
    <t>G-REQ-07084</t>
  </si>
  <si>
    <t>G-REQ-01944-E4</t>
  </si>
  <si>
    <t>G-REQ-07085</t>
  </si>
  <si>
    <t>G-REQ-01945-E1</t>
  </si>
  <si>
    <t>G-REQ-07086</t>
  </si>
  <si>
    <t>G-REQ-01945-E2</t>
  </si>
  <si>
    <t>G-REQ-07087</t>
  </si>
  <si>
    <t>G-REQ-01945-E3</t>
  </si>
  <si>
    <t>G-REQ-07088</t>
  </si>
  <si>
    <t>G-REQ-01945-E4</t>
  </si>
  <si>
    <t>G-REQ-01946-E1</t>
  </si>
  <si>
    <t>G-REQ-07089</t>
  </si>
  <si>
    <t>G-REQ-01946-E2</t>
  </si>
  <si>
    <t>G-REQ-07090</t>
  </si>
  <si>
    <t>G-REQ-01946-E3</t>
  </si>
  <si>
    <t>G-REQ-07091</t>
  </si>
  <si>
    <t>G-REQ-01946-E4</t>
  </si>
  <si>
    <t>G-REQ-01947-E1</t>
  </si>
  <si>
    <t>G-REQ-07092</t>
  </si>
  <si>
    <t>SYNTHETIC: Laptop return; Pending approval; asset G-AST-00386</t>
  </si>
  <si>
    <t>G-REQ-01947-E2</t>
  </si>
  <si>
    <t>G-REQ-07093</t>
  </si>
  <si>
    <t>SYNTHETIC: Laptop return; Approved; asset G-AST-00386</t>
  </si>
  <si>
    <t>G-REQ-01947-E3</t>
  </si>
  <si>
    <t>G-REQ-07094</t>
  </si>
  <si>
    <t>SYNTHETIC: Laptop return; In progress; asset G-AST-00386</t>
  </si>
  <si>
    <t>G-REQ-01947-E4</t>
  </si>
  <si>
    <t>G-REQ-07095</t>
  </si>
  <si>
    <t>SYNTHETIC: Laptop return; Completed; asset G-AST-00386</t>
  </si>
  <si>
    <t>G-REQ-01948-E1</t>
  </si>
  <si>
    <t>G-REQ-07096</t>
  </si>
  <si>
    <t>G-REQ-01948-E2</t>
  </si>
  <si>
    <t>G-REQ-07097</t>
  </si>
  <si>
    <t>G-REQ-01948-E3</t>
  </si>
  <si>
    <t>G-REQ-01948-E4</t>
  </si>
  <si>
    <t>G-REQ-07098</t>
  </si>
  <si>
    <t>G-REQ-01949-E1</t>
  </si>
  <si>
    <t>G-REQ-07099</t>
  </si>
  <si>
    <t>SYNTHETIC: Laptop return; Pending approval; asset G-AST-00445</t>
  </si>
  <si>
    <t>G-REQ-01949-E2</t>
  </si>
  <si>
    <t>G-REQ-07100</t>
  </si>
  <si>
    <t>SYNTHETIC: Laptop return; Approved; asset G-AST-00445</t>
  </si>
  <si>
    <t>G-REQ-01949-E3</t>
  </si>
  <si>
    <t>G-REQ-07101</t>
  </si>
  <si>
    <t>SYNTHETIC: Laptop return; In progress; asset G-AST-00445</t>
  </si>
  <si>
    <t>G-REQ-01949-E4</t>
  </si>
  <si>
    <t>G-REQ-07102</t>
  </si>
  <si>
    <t>SYNTHETIC: Laptop return; Completed; asset G-AST-00445</t>
  </si>
  <si>
    <t>G-REQ-01950-E1</t>
  </si>
  <si>
    <t>G-REQ-07103</t>
  </si>
  <si>
    <t>SYNTHETIC: Laptop return; Pending approval; asset G-AST-00494</t>
  </si>
  <si>
    <t>G-REQ-01950-E2</t>
  </si>
  <si>
    <t>SYNTHETIC: Laptop return; Approved; asset G-AST-00494</t>
  </si>
  <si>
    <t>G-REQ-01950-E3</t>
  </si>
  <si>
    <t>G-REQ-07104</t>
  </si>
  <si>
    <t>SYNTHETIC: Laptop return; In progress; asset G-AST-00494</t>
  </si>
  <si>
    <t>G-REQ-01950-E4</t>
  </si>
  <si>
    <t>G-REQ-07105</t>
  </si>
  <si>
    <t>SYNTHETIC: Laptop return; Completed; asset G-AST-00494</t>
  </si>
  <si>
    <t>G-REQ-01951-E1</t>
  </si>
  <si>
    <t>G-REQ-07106</t>
  </si>
  <si>
    <t>G-REQ-01951-E2</t>
  </si>
  <si>
    <t>G-REQ-07107</t>
  </si>
  <si>
    <t>SYNTHETIC: Laptop repair; Rejected; asset G-AST-00007</t>
  </si>
  <si>
    <t>G-REQ-01952-E1</t>
  </si>
  <si>
    <t>G-REQ-07108</t>
  </si>
  <si>
    <t>G-REQ-01952-E2</t>
  </si>
  <si>
    <t>G-REQ-01952-E3</t>
  </si>
  <si>
    <t>G-REQ-07109</t>
  </si>
  <si>
    <t>G-REQ-01952-E4</t>
  </si>
  <si>
    <t>G-REQ-07110</t>
  </si>
  <si>
    <t>G-REQ-01953-E1</t>
  </si>
  <si>
    <t>G-REQ-07111</t>
  </si>
  <si>
    <t>SYNTHETIC: Laptop return; Pending approval; asset G-AST-00237</t>
  </si>
  <si>
    <t>G-REQ-01953-E2</t>
  </si>
  <si>
    <t>G-REQ-07112</t>
  </si>
  <si>
    <t>SYNTHETIC: Laptop return; Approved; asset G-AST-00237</t>
  </si>
  <si>
    <t>G-REQ-01953-E3</t>
  </si>
  <si>
    <t>G-REQ-07113</t>
  </si>
  <si>
    <t>SYNTHETIC: Laptop return; In progress; asset G-AST-00237</t>
  </si>
  <si>
    <t>G-REQ-01953-E4</t>
  </si>
  <si>
    <t>G-REQ-07114</t>
  </si>
  <si>
    <t>SYNTHETIC: Laptop return; Completed; asset G-AST-00237</t>
  </si>
  <si>
    <t>G-REQ-01954-E1</t>
  </si>
  <si>
    <t>G-REQ-07115</t>
  </si>
  <si>
    <t>G-REQ-01954-E2</t>
  </si>
  <si>
    <t>G-REQ-01955-E1</t>
  </si>
  <si>
    <t>G-REQ-07116</t>
  </si>
  <si>
    <t>G-REQ-01955-E2</t>
  </si>
  <si>
    <t>G-REQ-07117</t>
  </si>
  <si>
    <t>G-REQ-01955-E3</t>
  </si>
  <si>
    <t>G-REQ-07118</t>
  </si>
  <si>
    <t>G-REQ-01955-E4</t>
  </si>
  <si>
    <t>G-REQ-07119</t>
  </si>
  <si>
    <t>G-REQ-01956-E1</t>
  </si>
  <si>
    <t>G-REQ-07120</t>
  </si>
  <si>
    <t>G-REQ-01956-E2</t>
  </si>
  <si>
    <t>G-REQ-07121</t>
  </si>
  <si>
    <t>G-REQ-01956-E3</t>
  </si>
  <si>
    <t>G-REQ-07122</t>
  </si>
  <si>
    <t>G-REQ-01956-E4</t>
  </si>
  <si>
    <t>G-REQ-07123</t>
  </si>
  <si>
    <t>G-REQ-01957-E1</t>
  </si>
  <si>
    <t>G-REQ-07124</t>
  </si>
  <si>
    <t>G-REQ-01957-E2</t>
  </si>
  <si>
    <t>G-REQ-07125</t>
  </si>
  <si>
    <t>G-REQ-01957-E3</t>
  </si>
  <si>
    <t>G-REQ-07126</t>
  </si>
  <si>
    <t>G-REQ-01957-E4</t>
  </si>
  <si>
    <t>G-REQ-07127</t>
  </si>
  <si>
    <t>G-REQ-07128</t>
  </si>
  <si>
    <t>G-REQ-01958-E1</t>
  </si>
  <si>
    <t>G-REQ-07129</t>
  </si>
  <si>
    <t>SYNTHETIC: Laptop repair; Pending approval; asset G-AST-00422</t>
  </si>
  <si>
    <t>G-REQ-01958-E2</t>
  </si>
  <si>
    <t>G-REQ-07130</t>
  </si>
  <si>
    <t>SYNTHETIC: Laptop repair; Approved; asset G-AST-00422</t>
  </si>
  <si>
    <t>G-REQ-01958-E3</t>
  </si>
  <si>
    <t>SYNTHETIC: Laptop repair; In progress; asset G-AST-00422</t>
  </si>
  <si>
    <t>G-REQ-01958-E4</t>
  </si>
  <si>
    <t>G-REQ-07131</t>
  </si>
  <si>
    <t>SYNTHETIC: Laptop repair; Completed; asset G-AST-00422</t>
  </si>
  <si>
    <t>G-REQ-01959-E1</t>
  </si>
  <si>
    <t>G-REQ-07132</t>
  </si>
  <si>
    <t>SYNTHETIC: Laptop repair; Pending approval; asset G-AST-00013</t>
  </si>
  <si>
    <t>G-REQ-01959-E2</t>
  </si>
  <si>
    <t>G-REQ-07133</t>
  </si>
  <si>
    <t>SYNTHETIC: Laptop repair; Approved; asset G-AST-00013</t>
  </si>
  <si>
    <t>G-REQ-01959-E3</t>
  </si>
  <si>
    <t>G-REQ-07134</t>
  </si>
  <si>
    <t>SYNTHETIC: Laptop repair; In progress; asset G-AST-00013</t>
  </si>
  <si>
    <t>G-REQ-01959-E4</t>
  </si>
  <si>
    <t>SYNTHETIC: Laptop repair; Completed; asset G-AST-00013</t>
  </si>
  <si>
    <t>G-REQ-07135</t>
  </si>
  <si>
    <t>G-REQ-01960-E1</t>
  </si>
  <si>
    <t>G-REQ-07136</t>
  </si>
  <si>
    <t>G-REQ-01960-E2</t>
  </si>
  <si>
    <t>G-REQ-07137</t>
  </si>
  <si>
    <t>G-REQ-01960-E3</t>
  </si>
  <si>
    <t>G-REQ-01960-E4</t>
  </si>
  <si>
    <t>G-REQ-07138</t>
  </si>
  <si>
    <t>G-REQ-01961-E1</t>
  </si>
  <si>
    <t>G-REQ-07139</t>
  </si>
  <si>
    <t>G-REQ-01961-E2</t>
  </si>
  <si>
    <t>G-REQ-07140</t>
  </si>
  <si>
    <t>G-REQ-01962-E1</t>
  </si>
  <si>
    <t>G-REQ-07141</t>
  </si>
  <si>
    <t>G-REQ-01962-E2</t>
  </si>
  <si>
    <t>SYNTHETIC: Laptop repair; Approved; asset G-AST-00310</t>
  </si>
  <si>
    <t>G-REQ-07142</t>
  </si>
  <si>
    <t>G-REQ-01962-E3</t>
  </si>
  <si>
    <t>SYNTHETIC: Laptop repair; In progress; asset G-AST-00310</t>
  </si>
  <si>
    <t>G-REQ-07143</t>
  </si>
  <si>
    <t>G-REQ-01962-E4</t>
  </si>
  <si>
    <t>SYNTHETIC: Laptop repair; Completed; asset G-AST-00310</t>
  </si>
  <si>
    <t>G-REQ-01963-E1</t>
  </si>
  <si>
    <t>G-REQ-07144</t>
  </si>
  <si>
    <t>SYNTHETIC: Laptop return; Pending approval; asset G-AST-00075</t>
  </si>
  <si>
    <t>G-REQ-01963-E2</t>
  </si>
  <si>
    <t>G-REQ-07145</t>
  </si>
  <si>
    <t>SYNTHETIC: Laptop return; Approved; asset G-AST-00075</t>
  </si>
  <si>
    <t>G-REQ-01963-E3</t>
  </si>
  <si>
    <t>G-REQ-07146</t>
  </si>
  <si>
    <t>SYNTHETIC: Laptop return; In progress; asset G-AST-00075</t>
  </si>
  <si>
    <t>G-REQ-01963-E4</t>
  </si>
  <si>
    <t>G-REQ-07147</t>
  </si>
  <si>
    <t>SYNTHETIC: Laptop return; Completed; asset G-AST-00075</t>
  </si>
  <si>
    <t>G-REQ-01964-E1</t>
  </si>
  <si>
    <t>G-REQ-07148</t>
  </si>
  <si>
    <t>G-REQ-01964-E2</t>
  </si>
  <si>
    <t>G-REQ-07149</t>
  </si>
  <si>
    <t>G-REQ-01964-E3</t>
  </si>
  <si>
    <t>G-REQ-07150</t>
  </si>
  <si>
    <t>G-REQ-01964-E4</t>
  </si>
  <si>
    <t>G-REQ-01965-E1</t>
  </si>
  <si>
    <t>G-REQ-07151</t>
  </si>
  <si>
    <t>G-REQ-01965-E2</t>
  </si>
  <si>
    <t>G-REQ-07152</t>
  </si>
  <si>
    <t>SYNTHETIC: Laptop return; Cancelled; asset G-AST-00071</t>
  </si>
  <si>
    <t>G-REQ-01966-E1</t>
  </si>
  <si>
    <t>G-REQ-07153</t>
  </si>
  <si>
    <t>G-REQ-01966-E2</t>
  </si>
  <si>
    <t>G-REQ-07154</t>
  </si>
  <si>
    <t>SYNTHETIC: Laptop return; Rejected; asset G-AST-00087</t>
  </si>
  <si>
    <t>G-REQ-01967-E1</t>
  </si>
  <si>
    <t>G-REQ-07155</t>
  </si>
  <si>
    <t>G-REQ-01967-E2</t>
  </si>
  <si>
    <t>G-REQ-01967-E3</t>
  </si>
  <si>
    <t>G-REQ-07156</t>
  </si>
  <si>
    <t>G-REQ-01967-E4</t>
  </si>
  <si>
    <t>G-REQ-07157</t>
  </si>
  <si>
    <t>G-REQ-01968-E1</t>
  </si>
  <si>
    <t>G-REQ-01968-E2</t>
  </si>
  <si>
    <t>G-REQ-07158</t>
  </si>
  <si>
    <t>G-REQ-01968-E3</t>
  </si>
  <si>
    <t>G-REQ-07159</t>
  </si>
  <si>
    <t>G-REQ-01968-E4</t>
  </si>
  <si>
    <t>G-REQ-07160</t>
  </si>
  <si>
    <t>G-REQ-01969-E1</t>
  </si>
  <si>
    <t>G-REQ-07161</t>
  </si>
  <si>
    <t>G-REQ-01969-E2</t>
  </si>
  <si>
    <t>G-REQ-01969-E3</t>
  </si>
  <si>
    <t>G-REQ-07162</t>
  </si>
  <si>
    <t>G-REQ-01969-E4</t>
  </si>
  <si>
    <t>G-REQ-07163</t>
  </si>
  <si>
    <t>G-REQ-01970-E1</t>
  </si>
  <si>
    <t>G-REQ-07164</t>
  </si>
  <si>
    <t>G-REQ-07165</t>
  </si>
  <si>
    <t>G-REQ-01970-E2</t>
  </si>
  <si>
    <t>G-REQ-07166</t>
  </si>
  <si>
    <t>G-REQ-01970-E3</t>
  </si>
  <si>
    <t>G-REQ-07167</t>
  </si>
  <si>
    <t>G-REQ-01970-E4</t>
  </si>
  <si>
    <t>G-REQ-07168</t>
  </si>
  <si>
    <t>G-REQ-01971-E1</t>
  </si>
  <si>
    <t>G-REQ-07169</t>
  </si>
  <si>
    <t>G-REQ-01971-E2</t>
  </si>
  <si>
    <t>G-REQ-07170</t>
  </si>
  <si>
    <t>G-REQ-01971-E3</t>
  </si>
  <si>
    <t>G-REQ-07171</t>
  </si>
  <si>
    <t>G-REQ-01971-E4</t>
  </si>
  <si>
    <t>G-REQ-07172</t>
  </si>
  <si>
    <t>G-REQ-01972-E1</t>
  </si>
  <si>
    <t>G-REQ-07173</t>
  </si>
  <si>
    <t>G-REQ-01972-E2</t>
  </si>
  <si>
    <t>SYNTHETIC: Laptop repair; Cancelled; asset G-AST-00440</t>
  </si>
  <si>
    <t>G-REQ-07174</t>
  </si>
  <si>
    <t>G-REQ-01973-E1</t>
  </si>
  <si>
    <t>SYNTHETIC: Laptop return; Pending approval; asset G-AST-00529</t>
  </si>
  <si>
    <t>G-REQ-07175</t>
  </si>
  <si>
    <t>G-REQ-01973-E2</t>
  </si>
  <si>
    <t>SYNTHETIC: Laptop return; Approved; asset G-AST-00529</t>
  </si>
  <si>
    <t>G-REQ-01973-E3</t>
  </si>
  <si>
    <t>G-REQ-07176</t>
  </si>
  <si>
    <t>SYNTHETIC: Laptop return; In progress; asset G-AST-00529</t>
  </si>
  <si>
    <t>G-REQ-01973-E4</t>
  </si>
  <si>
    <t>G-REQ-07177</t>
  </si>
  <si>
    <t>SYNTHETIC: Laptop return; Completed; asset G-AST-00529</t>
  </si>
  <si>
    <t>G-REQ-01974-E1</t>
  </si>
  <si>
    <t>G-REQ-07178</t>
  </si>
  <si>
    <t>SYNTHETIC: Laptop return; Pending approval; asset G-AST-00465</t>
  </si>
  <si>
    <t>G-REQ-01974-E2</t>
  </si>
  <si>
    <t>G-REQ-07179</t>
  </si>
  <si>
    <t>SYNTHETIC: Laptop return; Approved; asset G-AST-00465</t>
  </si>
  <si>
    <t>G-REQ-01974-E3</t>
  </si>
  <si>
    <t>SYNTHETIC: Laptop return; In progress; asset G-AST-00465</t>
  </si>
  <si>
    <t>G-REQ-07180</t>
  </si>
  <si>
    <t>G-REQ-01974-E4</t>
  </si>
  <si>
    <t>SYNTHETIC: Laptop return; Completed; asset G-AST-00465</t>
  </si>
  <si>
    <t>G-REQ-01975-E1</t>
  </si>
  <si>
    <t>G-REQ-07181</t>
  </si>
  <si>
    <t>SYNTHETIC: Laptop return; Pending approval; asset G-AST-00292</t>
  </si>
  <si>
    <t>G-REQ-01975-E2</t>
  </si>
  <si>
    <t>G-REQ-07182</t>
  </si>
  <si>
    <t>SYNTHETIC: Laptop return; Rejected; asset G-AST-00292</t>
  </si>
  <si>
    <t>G-REQ-01976-E1</t>
  </si>
  <si>
    <t>G-REQ-07183</t>
  </si>
  <si>
    <t>G-REQ-01976-E2</t>
  </si>
  <si>
    <t>G-REQ-07184</t>
  </si>
  <si>
    <t>G-REQ-01977-E1</t>
  </si>
  <si>
    <t>G-REQ-07185</t>
  </si>
  <si>
    <t>G-REQ-01977-E2</t>
  </si>
  <si>
    <t>G-REQ-07186</t>
  </si>
  <si>
    <t>G-REQ-01977-E3</t>
  </si>
  <si>
    <t>G-REQ-07187</t>
  </si>
  <si>
    <t>G-REQ-01977-E4</t>
  </si>
  <si>
    <t>G-REQ-01978-E1</t>
  </si>
  <si>
    <t>G-REQ-07188</t>
  </si>
  <si>
    <t>G-REQ-01978-E2</t>
  </si>
  <si>
    <t>G-REQ-07189</t>
  </si>
  <si>
    <t>G-REQ-01978-E3</t>
  </si>
  <si>
    <t>G-REQ-07190</t>
  </si>
  <si>
    <t>G-REQ-01978-E4</t>
  </si>
  <si>
    <t>G-REQ-07191</t>
  </si>
  <si>
    <t>G-REQ-01979-E1</t>
  </si>
  <si>
    <t>G-REQ-07192</t>
  </si>
  <si>
    <t>G-REQ-01979-E2</t>
  </si>
  <si>
    <t>G-REQ-07193</t>
  </si>
  <si>
    <t>G-REQ-01979-E3</t>
  </si>
  <si>
    <t>G-REQ-01979-E4</t>
  </si>
  <si>
    <t>G-REQ-07194</t>
  </si>
  <si>
    <t>G-REQ-01980-E1</t>
  </si>
  <si>
    <t>G-REQ-07195</t>
  </si>
  <si>
    <t>G-REQ-01980-E2</t>
  </si>
  <si>
    <t>G-REQ-07196</t>
  </si>
  <si>
    <t>G-REQ-01980-E3</t>
  </si>
  <si>
    <t>G-REQ-07197</t>
  </si>
  <si>
    <t>G-REQ-01980-E4</t>
  </si>
  <si>
    <t>G-REQ-07198</t>
  </si>
  <si>
    <t>G-REQ-01981-E1</t>
  </si>
  <si>
    <t>G-REQ-07199</t>
  </si>
  <si>
    <t>G-REQ-01981-E2</t>
  </si>
  <si>
    <t>G-REQ-07200</t>
  </si>
  <si>
    <t>G-REQ-01981-E3</t>
  </si>
  <si>
    <t>G-REQ-01981-E4</t>
  </si>
  <si>
    <t>G-REQ-07201</t>
  </si>
  <si>
    <t>G-REQ-01982-E1</t>
  </si>
  <si>
    <t>G-REQ-07202</t>
  </si>
  <si>
    <t>G-REQ-01982-E2</t>
  </si>
  <si>
    <t>G-REQ-07203</t>
  </si>
  <si>
    <t>G-REQ-01982-E3</t>
  </si>
  <si>
    <t>G-REQ-07204</t>
  </si>
  <si>
    <t>G-REQ-01982-E4</t>
  </si>
  <si>
    <t>G-REQ-07205</t>
  </si>
  <si>
    <t>G-REQ-01983-E1</t>
  </si>
  <si>
    <t>G-REQ-07206</t>
  </si>
  <si>
    <t>SYNTHETIC: Laptop return; Pending approval; asset G-AST-00481</t>
  </si>
  <si>
    <t>G-REQ-01983-E2</t>
  </si>
  <si>
    <t>G-REQ-07207</t>
  </si>
  <si>
    <t>SYNTHETIC: Laptop return; Approved; asset G-AST-00481</t>
  </si>
  <si>
    <t>G-REQ-01983-E3</t>
  </si>
  <si>
    <t>SYNTHETIC: Laptop return; In progress; asset G-AST-00481</t>
  </si>
  <si>
    <t>G-REQ-07208</t>
  </si>
  <si>
    <t>G-REQ-01983-E4</t>
  </si>
  <si>
    <t>SYNTHETIC: Laptop return; Completed; asset G-AST-00481</t>
  </si>
  <si>
    <t>G-REQ-01984-E1</t>
  </si>
  <si>
    <t>G-REQ-07209</t>
  </si>
  <si>
    <t>G-REQ-01984-E2</t>
  </si>
  <si>
    <t>G-REQ-07210</t>
  </si>
  <si>
    <t>G-REQ-01984-E3</t>
  </si>
  <si>
    <t>G-REQ-07211</t>
  </si>
  <si>
    <t>G-REQ-01984-E4</t>
  </si>
  <si>
    <t>G-REQ-07212</t>
  </si>
  <si>
    <t>G-REQ-01985-E1</t>
  </si>
  <si>
    <t>G-REQ-07213</t>
  </si>
  <si>
    <t>G-REQ-07214</t>
  </si>
  <si>
    <t>G-REQ-07215</t>
  </si>
  <si>
    <t>G-REQ-01985-E2</t>
  </si>
  <si>
    <t>G-REQ-07216</t>
  </si>
  <si>
    <t>G-REQ-01985-E3</t>
  </si>
  <si>
    <t>G-REQ-01985-E4</t>
  </si>
  <si>
    <t>G-REQ-07217</t>
  </si>
  <si>
    <t>G-REQ-01986-E1</t>
  </si>
  <si>
    <t>G-REQ-07218</t>
  </si>
  <si>
    <t>G-REQ-01986-E2</t>
  </si>
  <si>
    <t>G-REQ-07219</t>
  </si>
  <si>
    <t>G-REQ-01987-E1</t>
  </si>
  <si>
    <t>G-REQ-01987-E2</t>
  </si>
  <si>
    <t>G-REQ-07220</t>
  </si>
  <si>
    <t>G-REQ-01987-E3</t>
  </si>
  <si>
    <t>G-REQ-07221</t>
  </si>
  <si>
    <t>G-REQ-01987-E4</t>
  </si>
  <si>
    <t>G-REQ-07222</t>
  </si>
  <si>
    <t>G-REQ-01988-E1</t>
  </si>
  <si>
    <t>G-REQ-07223</t>
  </si>
  <si>
    <t>G-REQ-01988-E2</t>
  </si>
  <si>
    <t>G-REQ-01988-E3</t>
  </si>
  <si>
    <t>G-REQ-07224</t>
  </si>
  <si>
    <t>G-REQ-01988-E4</t>
  </si>
  <si>
    <t>G-REQ-07225</t>
  </si>
  <si>
    <t>G-REQ-01989-E1</t>
  </si>
  <si>
    <t>G-REQ-07226</t>
  </si>
  <si>
    <t>SYNTHETIC: Laptop repair; Pending approval; asset G-AST-00329</t>
  </si>
  <si>
    <t>G-REQ-01989-E2</t>
  </si>
  <si>
    <t>G-REQ-07227</t>
  </si>
  <si>
    <t>SYNTHETIC: Laptop repair; Rejected; asset G-AST-00329</t>
  </si>
  <si>
    <t>G-REQ-01990-E1</t>
  </si>
  <si>
    <t>G-REQ-07228</t>
  </si>
  <si>
    <t>G-REQ-01990-E2</t>
  </si>
  <si>
    <t>G-REQ-07229</t>
  </si>
  <si>
    <t>G-REQ-01990-E3</t>
  </si>
  <si>
    <t>G-REQ-07230</t>
  </si>
  <si>
    <t>G-REQ-01990-E4</t>
  </si>
  <si>
    <t>G-REQ-07231</t>
  </si>
  <si>
    <t>G-REQ-01991-E1</t>
  </si>
  <si>
    <t>SYNTHETIC: Laptop return; Pending approval; asset G-AST-00343</t>
  </si>
  <si>
    <t>G-REQ-07232</t>
  </si>
  <si>
    <t>G-REQ-01991-E2</t>
  </si>
  <si>
    <t>SYNTHETIC: Laptop return; Approved; asset G-AST-00343</t>
  </si>
  <si>
    <t>G-REQ-01991-E3</t>
  </si>
  <si>
    <t>G-REQ-07233</t>
  </si>
  <si>
    <t>SYNTHETIC: Laptop return; In progress; asset G-AST-00343</t>
  </si>
  <si>
    <t>G-REQ-01991-E4</t>
  </si>
  <si>
    <t>G-REQ-07234</t>
  </si>
  <si>
    <t>SYNTHETIC: Laptop return; Completed; asset G-AST-00343</t>
  </si>
  <si>
    <t>G-REQ-01992-E1</t>
  </si>
  <si>
    <t>G-REQ-07235</t>
  </si>
  <si>
    <t>SYNTHETIC: Laptop return; Pending approval; asset G-AST-00224</t>
  </si>
  <si>
    <t>G-REQ-01992-E2</t>
  </si>
  <si>
    <t>G-REQ-07236</t>
  </si>
  <si>
    <t>SYNTHETIC: Laptop return; Approved; asset G-AST-00224</t>
  </si>
  <si>
    <t>G-REQ-01992-E3</t>
  </si>
  <si>
    <t>G-REQ-07237</t>
  </si>
  <si>
    <t>SYNTHETIC: Laptop return; In progress; asset G-AST-00224</t>
  </si>
  <si>
    <t>G-REQ-01992-E4</t>
  </si>
  <si>
    <t>G-REQ-07238</t>
  </si>
  <si>
    <t>SYNTHETIC: Laptop return; Completed; asset G-AST-00224</t>
  </si>
  <si>
    <t>G-REQ-01993-E1</t>
  </si>
  <si>
    <t>G-REQ-07239</t>
  </si>
  <si>
    <t>G-REQ-01993-E2</t>
  </si>
  <si>
    <t>G-REQ-07240</t>
  </si>
  <si>
    <t>SYNTHETIC: Laptop repair; Approved; asset G-AST-00087</t>
  </si>
  <si>
    <t>G-REQ-01993-E3</t>
  </si>
  <si>
    <t>G-REQ-07241</t>
  </si>
  <si>
    <t>SYNTHETIC: Laptop repair; In progress; asset G-AST-00087</t>
  </si>
  <si>
    <t>G-REQ-01993-E4</t>
  </si>
  <si>
    <t>SYNTHETIC: Laptop repair; Completed; asset G-AST-00087</t>
  </si>
  <si>
    <t>G-REQ-07242</t>
  </si>
  <si>
    <t>G-REQ-01994-E1</t>
  </si>
  <si>
    <t>SYNTHETIC: Laptop return; Pending approval; asset G-AST-00410</t>
  </si>
  <si>
    <t>G-REQ-07243</t>
  </si>
  <si>
    <t>G-REQ-01994-E2</t>
  </si>
  <si>
    <t>SYNTHETIC: Laptop return; Approved; asset G-AST-00410</t>
  </si>
  <si>
    <t>G-REQ-07244</t>
  </si>
  <si>
    <t>G-REQ-01994-E3</t>
  </si>
  <si>
    <t>SYNTHETIC: Laptop return; In progress; asset G-AST-00410</t>
  </si>
  <si>
    <t>G-REQ-07245</t>
  </si>
  <si>
    <t>G-REQ-01994-E4</t>
  </si>
  <si>
    <t>SYNTHETIC: Laptop return; Completed; asset G-AST-00410</t>
  </si>
  <si>
    <t>G-REQ-07246</t>
  </si>
  <si>
    <t>G-REQ-01995-E1</t>
  </si>
  <si>
    <t>SYNTHETIC: Laptop repair; Pending approval; asset G-AST-00061</t>
  </si>
  <si>
    <t>G-REQ-07247</t>
  </si>
  <si>
    <t>G-REQ-01995-E2</t>
  </si>
  <si>
    <t>SYNTHETIC: Laptop repair; Approved; asset G-AST-00061</t>
  </si>
  <si>
    <t>G-REQ-01995-E3</t>
  </si>
  <si>
    <t>G-REQ-07248</t>
  </si>
  <si>
    <t>SYNTHETIC: Laptop repair; In progress; asset G-AST-00061</t>
  </si>
  <si>
    <t>G-REQ-01995-E4</t>
  </si>
  <si>
    <t>G-REQ-07249</t>
  </si>
  <si>
    <t>SYNTHETIC: Laptop repair; Completed; asset G-AST-00061</t>
  </si>
  <si>
    <t>G-REQ-01996-E1</t>
  </si>
  <si>
    <t>G-REQ-07250</t>
  </si>
  <si>
    <t>G-REQ-01996-E2</t>
  </si>
  <si>
    <t>G-REQ-07251</t>
  </si>
  <si>
    <t>G-REQ-01996-E3</t>
  </si>
  <si>
    <t>G-REQ-07252</t>
  </si>
  <si>
    <t>G-REQ-01996-E4</t>
  </si>
  <si>
    <t>G-REQ-07253</t>
  </si>
  <si>
    <t>G-REQ-01997-E1</t>
  </si>
  <si>
    <t>G-REQ-07254</t>
  </si>
  <si>
    <t>SYNTHETIC: Laptop repair; Pending approval; asset G-AST-00001</t>
  </si>
  <si>
    <t>G-REQ-01997-E2</t>
  </si>
  <si>
    <t>G-REQ-07255</t>
  </si>
  <si>
    <t>SYNTHETIC: Laptop repair; Approved; asset G-AST-00001</t>
  </si>
  <si>
    <t>G-REQ-01997-E3</t>
  </si>
  <si>
    <t>SYNTHETIC: Laptop repair; In progress; asset G-AST-00001</t>
  </si>
  <si>
    <t>G-REQ-07256</t>
  </si>
  <si>
    <t>G-REQ-01997-E4</t>
  </si>
  <si>
    <t>SYNTHETIC: Laptop repair; Completed; asset G-AST-00001</t>
  </si>
  <si>
    <t>G-REQ-01998-E1</t>
  </si>
  <si>
    <t>G-REQ-07257</t>
  </si>
  <si>
    <t>G-REQ-01998-E2</t>
  </si>
  <si>
    <t>G-REQ-07258</t>
  </si>
  <si>
    <t>G-REQ-01998-E3</t>
  </si>
  <si>
    <t>G-REQ-07259</t>
  </si>
  <si>
    <t>G-REQ-01998-E4</t>
  </si>
  <si>
    <t>G-REQ-07260</t>
  </si>
  <si>
    <t>G-REQ-01999-E1</t>
  </si>
  <si>
    <t>G-REQ-07261</t>
  </si>
  <si>
    <t>G-REQ-01999-E2</t>
  </si>
  <si>
    <t>G-REQ-07262</t>
  </si>
  <si>
    <t>G-REQ-01999-E3</t>
  </si>
  <si>
    <t>G-REQ-07263</t>
  </si>
  <si>
    <t>G-REQ-01999-E4</t>
  </si>
  <si>
    <t>G-REQ-07264</t>
  </si>
  <si>
    <t>G-REQ-02000-E1</t>
  </si>
  <si>
    <t>G-REQ-07265</t>
  </si>
  <si>
    <t>SYNTHETIC: Laptop return; Pending approval; asset G-AST-00101</t>
  </si>
  <si>
    <t>G-REQ-02000-E2</t>
  </si>
  <si>
    <t>G-REQ-07266</t>
  </si>
  <si>
    <t>SYNTHETIC: Laptop return; Approved; asset G-AST-00101</t>
  </si>
  <si>
    <t>G-REQ-02000-E3</t>
  </si>
  <si>
    <t>G-REQ-07267</t>
  </si>
  <si>
    <t>SYNTHETIC: Laptop return; In progress; asset G-AST-00101</t>
  </si>
  <si>
    <t>G-REQ-02000-E4</t>
  </si>
  <si>
    <t>G-REQ-07268</t>
  </si>
  <si>
    <t>SYNTHETIC: Laptop return; Completed; asset G-AST-00101</t>
  </si>
  <si>
    <t>G-REQ-02001-E1</t>
  </si>
  <si>
    <t>G-REQ-07269</t>
  </si>
  <si>
    <t>G-REQ-02001-E2</t>
  </si>
  <si>
    <t>SYNTHETIC: Laptop return; Approved; asset G-AST-00404</t>
  </si>
  <si>
    <t>G-REQ-07270</t>
  </si>
  <si>
    <t>G-REQ-02001-E3</t>
  </si>
  <si>
    <t>SYNTHETIC: Laptop return; In progress; asset G-AST-00404</t>
  </si>
  <si>
    <t>G-REQ-07271</t>
  </si>
  <si>
    <t>G-REQ-02001-E4</t>
  </si>
  <si>
    <t>SYNTHETIC: Laptop return; Completed; asset G-AST-00404</t>
  </si>
  <si>
    <t>G-REQ-07272</t>
  </si>
  <si>
    <t>G-REQ-02002-E1</t>
  </si>
  <si>
    <t>SYNTHETIC: Laptop return; Pending approval; asset G-AST-00328</t>
  </si>
  <si>
    <t>G-REQ-07273</t>
  </si>
  <si>
    <t>G-REQ-02002-E2</t>
  </si>
  <si>
    <t>SYNTHETIC: Laptop return; Approved; asset G-AST-00328</t>
  </si>
  <si>
    <t>G-REQ-02002-E3</t>
  </si>
  <si>
    <t>G-REQ-07274</t>
  </si>
  <si>
    <t>SYNTHETIC: Laptop return; In progress; asset G-AST-00328</t>
  </si>
  <si>
    <t>G-REQ-02002-E4</t>
  </si>
  <si>
    <t>G-REQ-07275</t>
  </si>
  <si>
    <t>SYNTHETIC: Laptop return; Completed; asset G-AST-00328</t>
  </si>
  <si>
    <t>G-REQ-02003-E1</t>
  </si>
  <si>
    <t>G-REQ-07276</t>
  </si>
  <si>
    <t>SYNTHETIC: Laptop return; Pending approval; asset G-AST-00425</t>
  </si>
  <si>
    <t>G-REQ-02003-E2</t>
  </si>
  <si>
    <t>G-REQ-07277</t>
  </si>
  <si>
    <t>SYNTHETIC: Laptop return; Approved; asset G-AST-00425</t>
  </si>
  <si>
    <t>G-REQ-02003-E3</t>
  </si>
  <si>
    <t>G-REQ-07278</t>
  </si>
  <si>
    <t>SYNTHETIC: Laptop return; In progress; asset G-AST-00425</t>
  </si>
  <si>
    <t>G-REQ-02003-E4</t>
  </si>
  <si>
    <t>G-REQ-07279</t>
  </si>
  <si>
    <t>SYNTHETIC: Laptop return; Completed; asset G-AST-00425</t>
  </si>
  <si>
    <t>G-REQ-02004-E1</t>
  </si>
  <si>
    <t>G-REQ-07280</t>
  </si>
  <si>
    <t>G-REQ-02004-E2</t>
  </si>
  <si>
    <t>G-REQ-07281</t>
  </si>
  <si>
    <t>G-REQ-02004-E3</t>
  </si>
  <si>
    <t>G-REQ-07282</t>
  </si>
  <si>
    <t>G-REQ-02004-E4</t>
  </si>
  <si>
    <t>G-REQ-02005-E1</t>
  </si>
  <si>
    <t>G-REQ-07283</t>
  </si>
  <si>
    <t>G-REQ-07284</t>
  </si>
  <si>
    <t>G-REQ-02005-E2</t>
  </si>
  <si>
    <t>G-REQ-07285</t>
  </si>
  <si>
    <t>SYNTHETIC: Laptop repair; Rejected; asset G-AST-00335</t>
  </si>
  <si>
    <t>G-REQ-02006-E1</t>
  </si>
  <si>
    <t>G-REQ-07286</t>
  </si>
  <si>
    <t>G-REQ-02006-E2</t>
  </si>
  <si>
    <t>G-REQ-07287</t>
  </si>
  <si>
    <t>G-REQ-02006-E3</t>
  </si>
  <si>
    <t>G-REQ-07288</t>
  </si>
  <si>
    <t>G-REQ-02006-E4</t>
  </si>
  <si>
    <t>G-REQ-02007-E1</t>
  </si>
  <si>
    <t>G-REQ-07289</t>
  </si>
  <si>
    <t>G-REQ-02007-E2</t>
  </si>
  <si>
    <t>G-REQ-07290</t>
  </si>
  <si>
    <t>G-REQ-02007-E3</t>
  </si>
  <si>
    <t>G-REQ-07291</t>
  </si>
  <si>
    <t>G-REQ-02007-E4</t>
  </si>
  <si>
    <t>G-REQ-07292</t>
  </si>
  <si>
    <t>G-REQ-02008-E1</t>
  </si>
  <si>
    <t>G-REQ-07293</t>
  </si>
  <si>
    <t>SYNTHETIC: Laptop return; Pending approval; asset G-AST-00459</t>
  </si>
  <si>
    <t>G-REQ-02008-E2</t>
  </si>
  <si>
    <t>G-REQ-07294</t>
  </si>
  <si>
    <t>SYNTHETIC: Laptop return; Approved; asset G-AST-00459</t>
  </si>
  <si>
    <t>G-REQ-02008-E3</t>
  </si>
  <si>
    <t>G-REQ-07295</t>
  </si>
  <si>
    <t>SYNTHETIC: Laptop return; In progress; asset G-AST-00459</t>
  </si>
  <si>
    <t>G-REQ-02008-E4</t>
  </si>
  <si>
    <t>G-REQ-07296</t>
  </si>
  <si>
    <t>SYNTHETIC: Laptop return; Completed; asset G-AST-00459</t>
  </si>
  <si>
    <t>G-REQ-02009-E1</t>
  </si>
  <si>
    <t>G-REQ-07297</t>
  </si>
  <si>
    <t>G-REQ-02009-E2</t>
  </si>
  <si>
    <t>G-REQ-07298</t>
  </si>
  <si>
    <t>G-REQ-02009-E3</t>
  </si>
  <si>
    <t>G-REQ-07299</t>
  </si>
  <si>
    <t>G-REQ-02009-E4</t>
  </si>
  <si>
    <t>G-REQ-07300</t>
  </si>
  <si>
    <t>G-REQ-02010-E1</t>
  </si>
  <si>
    <t>G-REQ-07301</t>
  </si>
  <si>
    <t>G-REQ-02010-E2</t>
  </si>
  <si>
    <t>G-REQ-07302</t>
  </si>
  <si>
    <t>G-REQ-02010-E3</t>
  </si>
  <si>
    <t>G-REQ-07303</t>
  </si>
  <si>
    <t>G-REQ-02010-E4</t>
  </si>
  <si>
    <t>G-REQ-07304</t>
  </si>
  <si>
    <t>G-REQ-02011-E1</t>
  </si>
  <si>
    <t>G-REQ-07305</t>
  </si>
  <si>
    <t>G-REQ-02011-E2</t>
  </si>
  <si>
    <t>G-REQ-07306</t>
  </si>
  <si>
    <t>G-REQ-02011-E3</t>
  </si>
  <si>
    <t>G-REQ-07307</t>
  </si>
  <si>
    <t>G-REQ-02011-E4</t>
  </si>
  <si>
    <t>G-REQ-02012-E1</t>
  </si>
  <si>
    <t>G-REQ-07308</t>
  </si>
  <si>
    <t>G-REQ-02012-E2</t>
  </si>
  <si>
    <t>G-REQ-07309</t>
  </si>
  <si>
    <t>G-REQ-02013-E1</t>
  </si>
  <si>
    <t>G-REQ-07310</t>
  </si>
  <si>
    <t>G-REQ-02013-E2</t>
  </si>
  <si>
    <t>G-REQ-07311</t>
  </si>
  <si>
    <t>G-REQ-02013-E3</t>
  </si>
  <si>
    <t>G-REQ-07312</t>
  </si>
  <si>
    <t>G-REQ-02013-E4</t>
  </si>
  <si>
    <t>G-REQ-07313</t>
  </si>
  <si>
    <t>G-REQ-02014-E1</t>
  </si>
  <si>
    <t>G-REQ-07314</t>
  </si>
  <si>
    <t>SYNTHETIC: Laptop return; Pending approval; asset G-AST-00115</t>
  </si>
  <si>
    <t>G-REQ-02014-E2</t>
  </si>
  <si>
    <t>G-REQ-07315</t>
  </si>
  <si>
    <t>SYNTHETIC: Laptop return; Approved; asset G-AST-00115</t>
  </si>
  <si>
    <t>G-REQ-02014-E3</t>
  </si>
  <si>
    <t>G-REQ-07316</t>
  </si>
  <si>
    <t>SYNTHETIC: Laptop return; In progress; asset G-AST-00115</t>
  </si>
  <si>
    <t>G-REQ-02014-E4</t>
  </si>
  <si>
    <t>G-REQ-07317</t>
  </si>
  <si>
    <t>SYNTHETIC: Laptop return; Completed; asset G-AST-00115</t>
  </si>
  <si>
    <t>G-REQ-02015-E1</t>
  </si>
  <si>
    <t>G-REQ-07318</t>
  </si>
  <si>
    <t>G-REQ-02015-E2</t>
  </si>
  <si>
    <t>G-REQ-07319</t>
  </si>
  <si>
    <t>G-REQ-02015-E3</t>
  </si>
  <si>
    <t>G-REQ-07320</t>
  </si>
  <si>
    <t>G-REQ-02015-E4</t>
  </si>
  <si>
    <t>G-REQ-07321</t>
  </si>
  <si>
    <t>G-REQ-02016-E1</t>
  </si>
  <si>
    <t>G-REQ-07322</t>
  </si>
  <si>
    <t>G-REQ-02016-E2</t>
  </si>
  <si>
    <t>SYNTHETIC: Laptop return; Rejected; asset G-AST-00042</t>
  </si>
  <si>
    <t>G-REQ-02017-E1</t>
  </si>
  <si>
    <t>G-REQ-07323</t>
  </si>
  <si>
    <t>G-REQ-02017-E2</t>
  </si>
  <si>
    <t>G-REQ-07324</t>
  </si>
  <si>
    <t>G-REQ-02017-E3</t>
  </si>
  <si>
    <t>G-REQ-07325</t>
  </si>
  <si>
    <t>G-REQ-02017-E4</t>
  </si>
  <si>
    <t>G-REQ-07326</t>
  </si>
  <si>
    <t>G-REQ-02018-E1</t>
  </si>
  <si>
    <t>G-REQ-07327</t>
  </si>
  <si>
    <t>G-REQ-02018-E2</t>
  </si>
  <si>
    <t>G-REQ-07328</t>
  </si>
  <si>
    <t>G-REQ-02018-E3</t>
  </si>
  <si>
    <t>G-REQ-07329</t>
  </si>
  <si>
    <t>G-REQ-02018-E4</t>
  </si>
  <si>
    <t>G-REQ-07330</t>
  </si>
  <si>
    <t>G-REQ-02019-E1</t>
  </si>
  <si>
    <t>G-REQ-07331</t>
  </si>
  <si>
    <t>G-REQ-02019-E2</t>
  </si>
  <si>
    <t>SYNTHETIC: Laptop return; Cancelled; asset G-AST-00039</t>
  </si>
  <si>
    <t>G-REQ-02020-E1</t>
  </si>
  <si>
    <t>G-REQ-07332</t>
  </si>
  <si>
    <t>G-REQ-02020-E2</t>
  </si>
  <si>
    <t>G-REQ-07333</t>
  </si>
  <si>
    <t>G-REQ-02020-E3</t>
  </si>
  <si>
    <t>G-REQ-07334</t>
  </si>
  <si>
    <t>G-REQ-02020-E4</t>
  </si>
  <si>
    <t>G-REQ-07335</t>
  </si>
  <si>
    <t>G-REQ-02021-E1</t>
  </si>
  <si>
    <t>G-REQ-07336</t>
  </si>
  <si>
    <t>G-REQ-02021-E2</t>
  </si>
  <si>
    <t>G-REQ-07337</t>
  </si>
  <si>
    <t>G-REQ-02021-E3</t>
  </si>
  <si>
    <t>G-REQ-07338</t>
  </si>
  <si>
    <t>G-REQ-02021-E4</t>
  </si>
  <si>
    <t>G-REQ-07339</t>
  </si>
  <si>
    <t>G-REQ-02022-E1</t>
  </si>
  <si>
    <t>G-REQ-07340</t>
  </si>
  <si>
    <t>G-REQ-02022-E2</t>
  </si>
  <si>
    <t>G-REQ-07341</t>
  </si>
  <si>
    <t>G-REQ-02022-E3</t>
  </si>
  <si>
    <t>G-REQ-07342</t>
  </si>
  <si>
    <t>G-REQ-02022-E4</t>
  </si>
  <si>
    <t>G-REQ-07343</t>
  </si>
  <si>
    <t>G-REQ-02023-E1</t>
  </si>
  <si>
    <t>G-REQ-07344</t>
  </si>
  <si>
    <t>G-REQ-02023-E2</t>
  </si>
  <si>
    <t>G-REQ-07345</t>
  </si>
  <si>
    <t>G-REQ-02024-E1</t>
  </si>
  <si>
    <t>SYNTHETIC: Laptop return; Pending approval; asset G-AST-00184</t>
  </si>
  <si>
    <t>G-REQ-07346</t>
  </si>
  <si>
    <t>G-REQ-02024-E2</t>
  </si>
  <si>
    <t>SYNTHETIC: Laptop return; Approved; asset G-AST-00184</t>
  </si>
  <si>
    <t>G-REQ-07347</t>
  </si>
  <si>
    <t>G-REQ-02024-E3</t>
  </si>
  <si>
    <t>SYNTHETIC: Laptop return; In progress; asset G-AST-00184</t>
  </si>
  <si>
    <t>G-REQ-02024-E4</t>
  </si>
  <si>
    <t>G-REQ-07348</t>
  </si>
  <si>
    <t>SYNTHETIC: Laptop return; Completed; asset G-AST-00184</t>
  </si>
  <si>
    <t>G-REQ-02025-E1</t>
  </si>
  <si>
    <t>G-REQ-07349</t>
  </si>
  <si>
    <t>G-REQ-02025-E2</t>
  </si>
  <si>
    <t>G-REQ-07350</t>
  </si>
  <si>
    <t>G-REQ-02025-E3</t>
  </si>
  <si>
    <t>G-REQ-07351</t>
  </si>
  <si>
    <t>G-REQ-02025-E4</t>
  </si>
  <si>
    <t>G-REQ-07352</t>
  </si>
  <si>
    <t>G-REQ-02026-E1</t>
  </si>
  <si>
    <t>G-REQ-07353</t>
  </si>
  <si>
    <t>G-REQ-02026-E2</t>
  </si>
  <si>
    <t>G-REQ-07354</t>
  </si>
  <si>
    <t>SYNTHETIC: Laptop return; Approved; asset G-AST-00433</t>
  </si>
  <si>
    <t>G-REQ-02026-E3</t>
  </si>
  <si>
    <t>G-REQ-07355</t>
  </si>
  <si>
    <t>SYNTHETIC: Laptop return; In progress; asset G-AST-00433</t>
  </si>
  <si>
    <t>G-REQ-02026-E4</t>
  </si>
  <si>
    <t>G-REQ-07356</t>
  </si>
  <si>
    <t>SYNTHETIC: Laptop return; Completed; asset G-AST-00433</t>
  </si>
  <si>
    <t>G-REQ-02027-E1</t>
  </si>
  <si>
    <t>G-REQ-07357</t>
  </si>
  <si>
    <t>SYNTHETIC: Laptop repair; Pending approval; asset G-AST-00073</t>
  </si>
  <si>
    <t>G-REQ-02027-E2</t>
  </si>
  <si>
    <t>G-REQ-07358</t>
  </si>
  <si>
    <t>SYNTHETIC: Laptop repair; Approved; asset G-AST-00073</t>
  </si>
  <si>
    <t>G-REQ-02027-E3</t>
  </si>
  <si>
    <t>SYNTHETIC: Laptop repair; In progress; asset G-AST-00073</t>
  </si>
  <si>
    <t>G-REQ-07359</t>
  </si>
  <si>
    <t>G-REQ-02027-E4</t>
  </si>
  <si>
    <t>SYNTHETIC: Laptop repair; Completed; asset G-AST-00073</t>
  </si>
  <si>
    <t>G-REQ-02028-E1</t>
  </si>
  <si>
    <t>G-REQ-07360</t>
  </si>
  <si>
    <t>G-REQ-02028-E2</t>
  </si>
  <si>
    <t>G-REQ-07361</t>
  </si>
  <si>
    <t>G-REQ-02028-E3</t>
  </si>
  <si>
    <t>G-REQ-07362</t>
  </si>
  <si>
    <t>G-REQ-02028-E4</t>
  </si>
  <si>
    <t>G-REQ-07363</t>
  </si>
  <si>
    <t>G-REQ-02029-E1</t>
  </si>
  <si>
    <t>G-REQ-07364</t>
  </si>
  <si>
    <t>G-REQ-02029-E2</t>
  </si>
  <si>
    <t>G-REQ-07365</t>
  </si>
  <si>
    <t>G-REQ-02029-E3</t>
  </si>
  <si>
    <t>G-REQ-07366</t>
  </si>
  <si>
    <t>G-REQ-02029-E4</t>
  </si>
  <si>
    <t>G-REQ-07367</t>
  </si>
  <si>
    <t>G-REQ-02030-E1</t>
  </si>
  <si>
    <t>G-REQ-07368</t>
  </si>
  <si>
    <t>SYNTHETIC: Laptop return; Pending approval; asset G-AST-00475</t>
  </si>
  <si>
    <t>G-REQ-02030-E2</t>
  </si>
  <si>
    <t>SYNTHETIC: Laptop return; Approved; asset G-AST-00475</t>
  </si>
  <si>
    <t>G-REQ-07369</t>
  </si>
  <si>
    <t>G-REQ-02030-E3</t>
  </si>
  <si>
    <t>SYNTHETIC: Laptop return; In progress; asset G-AST-00475</t>
  </si>
  <si>
    <t>G-REQ-07370</t>
  </si>
  <si>
    <t>G-REQ-02030-E4</t>
  </si>
  <si>
    <t>SYNTHETIC: Laptop return; Completed; asset G-AST-00475</t>
  </si>
  <si>
    <t>G-REQ-07371</t>
  </si>
  <si>
    <t>G-REQ-02031-E1</t>
  </si>
  <si>
    <t>SYNTHETIC: Laptop return; Pending approval; asset G-AST-00441</t>
  </si>
  <si>
    <t>G-REQ-02031-E2</t>
  </si>
  <si>
    <t>G-REQ-07372</t>
  </si>
  <si>
    <t>SYNTHETIC: Laptop return; Approved; asset G-AST-00441</t>
  </si>
  <si>
    <t>G-REQ-02031-E3</t>
  </si>
  <si>
    <t>G-REQ-07373</t>
  </si>
  <si>
    <t>SYNTHETIC: Laptop return; In progress; asset G-AST-00441</t>
  </si>
  <si>
    <t>G-REQ-02031-E4</t>
  </si>
  <si>
    <t>G-REQ-07374</t>
  </si>
  <si>
    <t>SYNTHETIC: Laptop return; Completed; asset G-AST-00441</t>
  </si>
  <si>
    <t>G-REQ-02032-E1</t>
  </si>
  <si>
    <t>G-REQ-07375</t>
  </si>
  <si>
    <t>G-REQ-02032-E2</t>
  </si>
  <si>
    <t>G-REQ-07376</t>
  </si>
  <si>
    <t>G-REQ-02032-E3</t>
  </si>
  <si>
    <t>G-REQ-07377</t>
  </si>
  <si>
    <t>G-REQ-02032-E4</t>
  </si>
  <si>
    <t>G-REQ-07378</t>
  </si>
  <si>
    <t>G-REQ-02033-E1</t>
  </si>
  <si>
    <t>G-REQ-07379</t>
  </si>
  <si>
    <t>G-REQ-07380</t>
  </si>
  <si>
    <t>G-REQ-02033-E2</t>
  </si>
  <si>
    <t>G-REQ-07381</t>
  </si>
  <si>
    <t>G-REQ-02033-E3</t>
  </si>
  <si>
    <t>G-REQ-02033-E4</t>
  </si>
  <si>
    <t>G-REQ-07382</t>
  </si>
  <si>
    <t>G-REQ-02034-E1</t>
  </si>
  <si>
    <t>G-REQ-07383</t>
  </si>
  <si>
    <t>SYNTHETIC: Laptop return; Pending approval; asset G-AST-00519</t>
  </si>
  <si>
    <t>G-REQ-02034-E2</t>
  </si>
  <si>
    <t>G-REQ-07384</t>
  </si>
  <si>
    <t>SYNTHETIC: Laptop return; Approved; asset G-AST-00519</t>
  </si>
  <si>
    <t>G-REQ-02034-E3</t>
  </si>
  <si>
    <t>G-REQ-07385</t>
  </si>
  <si>
    <t>SYNTHETIC: Laptop return; In progress; asset G-AST-00519</t>
  </si>
  <si>
    <t>G-REQ-02034-E4</t>
  </si>
  <si>
    <t>G-REQ-07386</t>
  </si>
  <si>
    <t>SYNTHETIC: Laptop return; Completed; asset G-AST-00519</t>
  </si>
  <si>
    <t>G-REQ-02035-E1</t>
  </si>
  <si>
    <t>G-REQ-07387</t>
  </si>
  <si>
    <t>G-REQ-02035-E2</t>
  </si>
  <si>
    <t>G-REQ-07388</t>
  </si>
  <si>
    <t>G-REQ-02035-E3</t>
  </si>
  <si>
    <t>G-REQ-07389</t>
  </si>
  <si>
    <t>G-REQ-02035-E4</t>
  </si>
  <si>
    <t>G-REQ-07390</t>
  </si>
  <si>
    <t>G-REQ-02036-E1</t>
  </si>
  <si>
    <t>G-REQ-07391</t>
  </si>
  <si>
    <t>G-REQ-02036-E2</t>
  </si>
  <si>
    <t>G-REQ-07392</t>
  </si>
  <si>
    <t>G-REQ-02036-E3</t>
  </si>
  <si>
    <t>G-REQ-07393</t>
  </si>
  <si>
    <t>G-REQ-02036-E4</t>
  </si>
  <si>
    <t>G-REQ-07394</t>
  </si>
  <si>
    <t>G-REQ-02037-E1</t>
  </si>
  <si>
    <t>G-REQ-07395</t>
  </si>
  <si>
    <t>G-REQ-02037-E2</t>
  </si>
  <si>
    <t>G-REQ-07396</t>
  </si>
  <si>
    <t>G-REQ-02037-E3</t>
  </si>
  <si>
    <t>G-REQ-07397</t>
  </si>
  <si>
    <t>G-REQ-02037-E4</t>
  </si>
  <si>
    <t>G-REQ-07398</t>
  </si>
  <si>
    <t>G-REQ-02038-E1</t>
  </si>
  <si>
    <t>G-REQ-07399</t>
  </si>
  <si>
    <t>G-REQ-02038-E2</t>
  </si>
  <si>
    <t>G-REQ-07400</t>
  </si>
  <si>
    <t>G-REQ-02038-E3</t>
  </si>
  <si>
    <t>G-REQ-07401</t>
  </si>
  <si>
    <t>G-REQ-02038-E4</t>
  </si>
  <si>
    <t>G-REQ-07402</t>
  </si>
  <si>
    <t>G-REQ-02039-E1</t>
  </si>
  <si>
    <t>SYNTHETIC: Laptop return; Pending approval; asset G-AST-00268</t>
  </si>
  <si>
    <t>G-REQ-07403</t>
  </si>
  <si>
    <t>G-REQ-02039-E2</t>
  </si>
  <si>
    <t>SYNTHETIC: Laptop return; Approved; asset G-AST-00268</t>
  </si>
  <si>
    <t>G-REQ-07404</t>
  </si>
  <si>
    <t>G-REQ-02039-E3</t>
  </si>
  <si>
    <t>SYNTHETIC: Laptop return; In progress; asset G-AST-00268</t>
  </si>
  <si>
    <t>G-REQ-02039-E4</t>
  </si>
  <si>
    <t>G-REQ-07405</t>
  </si>
  <si>
    <t>SYNTHETIC: Laptop return; Completed; asset G-AST-00268</t>
  </si>
  <si>
    <t>G-REQ-02040-E1</t>
  </si>
  <si>
    <t>G-REQ-02040-E2</t>
  </si>
  <si>
    <t>G-REQ-07406</t>
  </si>
  <si>
    <t>G-REQ-02040-E3</t>
  </si>
  <si>
    <t>G-REQ-07407</t>
  </si>
  <si>
    <t>G-REQ-02040-E4</t>
  </si>
  <si>
    <t>G-REQ-02041-E1</t>
  </si>
  <si>
    <t>G-REQ-07408</t>
  </si>
  <si>
    <t>G-REQ-02041-E2</t>
  </si>
  <si>
    <t>G-REQ-07409</t>
  </si>
  <si>
    <t>G-REQ-07410</t>
  </si>
  <si>
    <t>G-REQ-02041-E3</t>
  </si>
  <si>
    <t>G-REQ-07411</t>
  </si>
  <si>
    <t>G-REQ-02041-E4</t>
  </si>
  <si>
    <t>G-REQ-07412</t>
  </si>
  <si>
    <t>G-REQ-02042-E1</t>
  </si>
  <si>
    <t>G-REQ-07413</t>
  </si>
  <si>
    <t>SYNTHETIC: Laptop repair; Pending approval; asset G-AST-00126</t>
  </si>
  <si>
    <t>G-REQ-02042-E2</t>
  </si>
  <si>
    <t>G-REQ-07414</t>
  </si>
  <si>
    <t>SYNTHETIC: Laptop repair; Approved; asset G-AST-00126</t>
  </si>
  <si>
    <t>G-REQ-02042-E3</t>
  </si>
  <si>
    <t>G-REQ-07415</t>
  </si>
  <si>
    <t>SYNTHETIC: Laptop repair; In progress; asset G-AST-00126</t>
  </si>
  <si>
    <t>G-REQ-02042-E4</t>
  </si>
  <si>
    <t>G-REQ-07416</t>
  </si>
  <si>
    <t>SYNTHETIC: Laptop repair; Completed; asset G-AST-00126</t>
  </si>
  <si>
    <t>G-REQ-02043-E1</t>
  </si>
  <si>
    <t>G-REQ-07417</t>
  </si>
  <si>
    <t>G-REQ-02043-E2</t>
  </si>
  <si>
    <t>G-REQ-07418</t>
  </si>
  <si>
    <t>G-REQ-02044-E1</t>
  </si>
  <si>
    <t>G-REQ-07419</t>
  </si>
  <si>
    <t>G-REQ-02044-E2</t>
  </si>
  <si>
    <t>G-REQ-07420</t>
  </si>
  <si>
    <t>G-REQ-02044-E3</t>
  </si>
  <si>
    <t>G-REQ-07421</t>
  </si>
  <si>
    <t>G-REQ-02044-E4</t>
  </si>
  <si>
    <t>G-REQ-07422</t>
  </si>
  <si>
    <t>G-REQ-02045-E1</t>
  </si>
  <si>
    <t>G-REQ-07423</t>
  </si>
  <si>
    <t>G-REQ-02045-E2</t>
  </si>
  <si>
    <t>G-REQ-07424</t>
  </si>
  <si>
    <t>G-REQ-02045-E3</t>
  </si>
  <si>
    <t>G-REQ-07425</t>
  </si>
  <si>
    <t>G-REQ-02045-E4</t>
  </si>
  <si>
    <t>G-REQ-02046-E1</t>
  </si>
  <si>
    <t>G-REQ-07426</t>
  </si>
  <si>
    <t>G-REQ-02046-E2</t>
  </si>
  <si>
    <t>G-REQ-07427</t>
  </si>
  <si>
    <t>G-REQ-02046-E3</t>
  </si>
  <si>
    <t>G-REQ-07428</t>
  </si>
  <si>
    <t>G-REQ-02046-E4</t>
  </si>
  <si>
    <t>G-REQ-07429</t>
  </si>
  <si>
    <t>G-REQ-02047-E1</t>
  </si>
  <si>
    <t>G-REQ-07430</t>
  </si>
  <si>
    <t>G-REQ-02047-E2</t>
  </si>
  <si>
    <t>G-REQ-07431</t>
  </si>
  <si>
    <t>G-REQ-02047-E3</t>
  </si>
  <si>
    <t>G-REQ-07432</t>
  </si>
  <si>
    <t>G-REQ-02047-E4</t>
  </si>
  <si>
    <t>G-REQ-07433</t>
  </si>
  <si>
    <t>G-REQ-02048-E1</t>
  </si>
  <si>
    <t>G-REQ-07434</t>
  </si>
  <si>
    <t>G-REQ-02048-E2</t>
  </si>
  <si>
    <t>G-REQ-07435</t>
  </si>
  <si>
    <t>G-REQ-02048-E3</t>
  </si>
  <si>
    <t>G-REQ-07436</t>
  </si>
  <si>
    <t>G-REQ-02048-E4</t>
  </si>
  <si>
    <t>G-REQ-07437</t>
  </si>
  <si>
    <t>G-REQ-02049-E1</t>
  </si>
  <si>
    <t>G-REQ-07438</t>
  </si>
  <si>
    <t>G-REQ-02049-E2</t>
  </si>
  <si>
    <t>G-REQ-07439</t>
  </si>
  <si>
    <t>SYNTHETIC: Laptop return; Approved; asset G-AST-00408</t>
  </si>
  <si>
    <t>G-REQ-02049-E3</t>
  </si>
  <si>
    <t>G-REQ-07440</t>
  </si>
  <si>
    <t>SYNTHETIC: Laptop return; In progress; asset G-AST-00408</t>
  </si>
  <si>
    <t>G-REQ-02049-E4</t>
  </si>
  <si>
    <t>SYNTHETIC: Laptop return; Completed; asset G-AST-00408</t>
  </si>
  <si>
    <t>G-REQ-07441</t>
  </si>
  <si>
    <t>G-REQ-02050-E1</t>
  </si>
  <si>
    <t>G-REQ-07442</t>
  </si>
  <si>
    <t>G-REQ-02050-E2</t>
  </si>
  <si>
    <t>G-REQ-02050-E3</t>
  </si>
  <si>
    <t>G-REQ-07443</t>
  </si>
  <si>
    <t>G-REQ-02050-E4</t>
  </si>
  <si>
    <t>G-REQ-07444</t>
  </si>
  <si>
    <t>G-REQ-02051-E1</t>
  </si>
  <si>
    <t>G-REQ-07445</t>
  </si>
  <si>
    <t>G-REQ-02051-E2</t>
  </si>
  <si>
    <t>G-REQ-07446</t>
  </si>
  <si>
    <t>G-REQ-02051-E3</t>
  </si>
  <si>
    <t>G-REQ-07447</t>
  </si>
  <si>
    <t>G-REQ-02051-E4</t>
  </si>
  <si>
    <t>G-REQ-07448</t>
  </si>
  <si>
    <t>G-REQ-02052-E1</t>
  </si>
  <si>
    <t>G-REQ-07449</t>
  </si>
  <si>
    <t>SYNTHETIC: Laptop return; Pending approval; asset G-AST-00122</t>
  </si>
  <si>
    <t>G-REQ-02052-E2</t>
  </si>
  <si>
    <t>SYNTHETIC: Laptop return; Approved; asset G-AST-00122</t>
  </si>
  <si>
    <t>G-REQ-07450</t>
  </si>
  <si>
    <t>G-REQ-02052-E3</t>
  </si>
  <si>
    <t>SYNTHETIC: Laptop return; In progress; asset G-AST-00122</t>
  </si>
  <si>
    <t>G-REQ-07451</t>
  </si>
  <si>
    <t>G-REQ-02052-E4</t>
  </si>
  <si>
    <t>SYNTHETIC: Laptop return; Completed; asset G-AST-00122</t>
  </si>
  <si>
    <t>G-REQ-07452</t>
  </si>
  <si>
    <t>G-REQ-02053-E1</t>
  </si>
  <si>
    <t>G-REQ-07453</t>
  </si>
  <si>
    <t>G-REQ-02053-E2</t>
  </si>
  <si>
    <t>G-REQ-07454</t>
  </si>
  <si>
    <t>G-REQ-02053-E3</t>
  </si>
  <si>
    <t>G-REQ-02053-E4</t>
  </si>
  <si>
    <t>G-REQ-07455</t>
  </si>
  <si>
    <t>G-REQ-02054-E1</t>
  </si>
  <si>
    <t>G-REQ-07456</t>
  </si>
  <si>
    <t>G-REQ-02054-E2</t>
  </si>
  <si>
    <t>G-REQ-07457</t>
  </si>
  <si>
    <t>G-REQ-02054-E3</t>
  </si>
  <si>
    <t>G-REQ-07458</t>
  </si>
  <si>
    <t>G-REQ-02054-E4</t>
  </si>
  <si>
    <t>G-REQ-07459</t>
  </si>
  <si>
    <t>G-REQ-02055-E1</t>
  </si>
  <si>
    <t>G-REQ-07460</t>
  </si>
  <si>
    <t>G-REQ-02055-E2</t>
  </si>
  <si>
    <t>G-REQ-07461</t>
  </si>
  <si>
    <t>G-REQ-02055-E3</t>
  </si>
  <si>
    <t>G-REQ-07462</t>
  </si>
  <si>
    <t>G-REQ-02055-E4</t>
  </si>
  <si>
    <t>G-REQ-07463</t>
  </si>
  <si>
    <t>G-REQ-02056-E1</t>
  </si>
  <si>
    <t>G-REQ-07464</t>
  </si>
  <si>
    <t>G-REQ-02056-E2</t>
  </si>
  <si>
    <t>G-REQ-02056-E3</t>
  </si>
  <si>
    <t>G-REQ-07465</t>
  </si>
  <si>
    <t>G-REQ-02056-E4</t>
  </si>
  <si>
    <t>G-REQ-07466</t>
  </si>
  <si>
    <t>G-REQ-02057-E1</t>
  </si>
  <si>
    <t>G-REQ-07467</t>
  </si>
  <si>
    <t>G-REQ-02057-E2</t>
  </si>
  <si>
    <t>G-REQ-07468</t>
  </si>
  <si>
    <t>SYNTHETIC: Laptop repair; Cancelled; asset G-AST-00088</t>
  </si>
  <si>
    <t>G-REQ-02058-E1</t>
  </si>
  <si>
    <t>G-REQ-07469</t>
  </si>
  <si>
    <t>SYNTHETIC: Laptop return; Pending approval; asset G-AST-00510</t>
  </si>
  <si>
    <t>G-REQ-02058-E2</t>
  </si>
  <si>
    <t>G-REQ-07470</t>
  </si>
  <si>
    <t>SYNTHETIC: Laptop return; Approved; asset G-AST-00510</t>
  </si>
  <si>
    <t>G-REQ-02058-E3</t>
  </si>
  <si>
    <t>G-REQ-07471</t>
  </si>
  <si>
    <t>SYNTHETIC: Laptop return; In progress; asset G-AST-00510</t>
  </si>
  <si>
    <t>G-REQ-02058-E4</t>
  </si>
  <si>
    <t>G-REQ-07472</t>
  </si>
  <si>
    <t>SYNTHETIC: Laptop return; Completed; asset G-AST-00510</t>
  </si>
  <si>
    <t>G-REQ-02059-E1</t>
  </si>
  <si>
    <t>G-REQ-07473</t>
  </si>
  <si>
    <t>G-REQ-02059-E2</t>
  </si>
  <si>
    <t>G-REQ-07474</t>
  </si>
  <si>
    <t>G-REQ-02059-E3</t>
  </si>
  <si>
    <t>G-REQ-07475</t>
  </si>
  <si>
    <t>G-REQ-02059-E4</t>
  </si>
  <si>
    <t>G-REQ-07476</t>
  </si>
  <si>
    <t>G-REQ-02060-E1</t>
  </si>
  <si>
    <t>G-REQ-07477</t>
  </si>
  <si>
    <t>G-REQ-02060-E2</t>
  </si>
  <si>
    <t>G-REQ-07478</t>
  </si>
  <si>
    <t>G-REQ-02060-E3</t>
  </si>
  <si>
    <t>G-REQ-07479</t>
  </si>
  <si>
    <t>G-REQ-02060-E4</t>
  </si>
  <si>
    <t>G-REQ-07480</t>
  </si>
  <si>
    <t>G-REQ-02061-E1</t>
  </si>
  <si>
    <t>G-REQ-07481</t>
  </si>
  <si>
    <t>G-REQ-02061-E2</t>
  </si>
  <si>
    <t>G-REQ-07482</t>
  </si>
  <si>
    <t>G-REQ-02061-E3</t>
  </si>
  <si>
    <t>G-REQ-07483</t>
  </si>
  <si>
    <t>G-REQ-02061-E4</t>
  </si>
  <si>
    <t>G-REQ-07484</t>
  </si>
  <si>
    <t>G-REQ-02062-E1</t>
  </si>
  <si>
    <t>SYNTHETIC: Laptop repair; Pending approval; asset G-AST-00141</t>
  </si>
  <si>
    <t>G-REQ-02062-E2</t>
  </si>
  <si>
    <t>G-REQ-07485</t>
  </si>
  <si>
    <t>SYNTHETIC: Laptop repair; Approved; asset G-AST-00141</t>
  </si>
  <si>
    <t>G-REQ-02062-E3</t>
  </si>
  <si>
    <t>G-REQ-07486</t>
  </si>
  <si>
    <t>SYNTHETIC: Laptop repair; In progress; asset G-AST-00141</t>
  </si>
  <si>
    <t>G-REQ-02062-E4</t>
  </si>
  <si>
    <t>G-REQ-07487</t>
  </si>
  <si>
    <t>SYNTHETIC: Laptop repair; Completed; asset G-AST-00141</t>
  </si>
  <si>
    <t>G-REQ-02063-E1</t>
  </si>
  <si>
    <t>G-REQ-07488</t>
  </si>
  <si>
    <t>G-REQ-02063-E2</t>
  </si>
  <si>
    <t>G-REQ-07489</t>
  </si>
  <si>
    <t>G-REQ-02063-E3</t>
  </si>
  <si>
    <t>G-REQ-07490</t>
  </si>
  <si>
    <t>G-REQ-02063-E4</t>
  </si>
  <si>
    <t>G-REQ-07491</t>
  </si>
  <si>
    <t>G-REQ-02064-E1</t>
  </si>
  <si>
    <t>G-REQ-07492</t>
  </si>
  <si>
    <t>G-REQ-02064-E2</t>
  </si>
  <si>
    <t>G-REQ-07493</t>
  </si>
  <si>
    <t>G-REQ-02064-E3</t>
  </si>
  <si>
    <t>G-REQ-07494</t>
  </si>
  <si>
    <t>G-REQ-02064-E4</t>
  </si>
  <si>
    <t>G-REQ-07495</t>
  </si>
  <si>
    <t>G-REQ-02065-E1</t>
  </si>
  <si>
    <t>G-REQ-07496</t>
  </si>
  <si>
    <t>G-REQ-02065-E2</t>
  </si>
  <si>
    <t>G-REQ-07497</t>
  </si>
  <si>
    <t>G-REQ-02065-E3</t>
  </si>
  <si>
    <t>G-REQ-07498</t>
  </si>
  <si>
    <t>G-REQ-02065-E4</t>
  </si>
  <si>
    <t>G-REQ-07499</t>
  </si>
  <si>
    <t>G-REQ-02066-E1</t>
  </si>
  <si>
    <t>G-REQ-07500</t>
  </si>
  <si>
    <t>G-REQ-02066-E2</t>
  </si>
  <si>
    <t>G-REQ-07501</t>
  </si>
  <si>
    <t>G-REQ-02067-E1</t>
  </si>
  <si>
    <t>G-REQ-07502</t>
  </si>
  <si>
    <t>G-REQ-02067-E2</t>
  </si>
  <si>
    <t>G-REQ-02067-E3</t>
  </si>
  <si>
    <t>G-REQ-07503</t>
  </si>
  <si>
    <t>G-REQ-02067-E4</t>
  </si>
  <si>
    <t>G-REQ-07504</t>
  </si>
  <si>
    <t>G-REQ-02068-E1</t>
  </si>
  <si>
    <t>G-REQ-07505</t>
  </si>
  <si>
    <t>G-REQ-02068-E2</t>
  </si>
  <si>
    <t>G-REQ-07506</t>
  </si>
  <si>
    <t>G-REQ-02068-E3</t>
  </si>
  <si>
    <t>G-REQ-07507</t>
  </si>
  <si>
    <t>G-REQ-02068-E4</t>
  </si>
  <si>
    <t>G-REQ-07508</t>
  </si>
  <si>
    <t>G-REQ-02069-E1</t>
  </si>
  <si>
    <t>G-REQ-07509</t>
  </si>
  <si>
    <t>SYNTHETIC: Laptop repair; Pending approval; asset G-AST-00463</t>
  </si>
  <si>
    <t>G-REQ-02069-E2</t>
  </si>
  <si>
    <t>G-REQ-07510</t>
  </si>
  <si>
    <t>SYNTHETIC: Laptop repair; Rejected; asset G-AST-00463</t>
  </si>
  <si>
    <t>G-REQ-02070-E1</t>
  </si>
  <si>
    <t>G-REQ-07511</t>
  </si>
  <si>
    <t>G-REQ-02070-E2</t>
  </si>
  <si>
    <t>G-REQ-07512</t>
  </si>
  <si>
    <t>G-REQ-02070-E3</t>
  </si>
  <si>
    <t>G-REQ-07513</t>
  </si>
  <si>
    <t>G-REQ-02070-E4</t>
  </si>
  <si>
    <t>G-REQ-07514</t>
  </si>
  <si>
    <t>G-REQ-02071-E1</t>
  </si>
  <si>
    <t>SYNTHETIC: Laptop repair; Pending approval; asset G-AST-00065</t>
  </si>
  <si>
    <t>G-REQ-02071-E2</t>
  </si>
  <si>
    <t>G-REQ-07515</t>
  </si>
  <si>
    <t>SYNTHETIC: Laptop repair; Approved; asset G-AST-00065</t>
  </si>
  <si>
    <t>G-REQ-02071-E3</t>
  </si>
  <si>
    <t>G-REQ-07516</t>
  </si>
  <si>
    <t>SYNTHETIC: Laptop repair; In progress; asset G-AST-00065</t>
  </si>
  <si>
    <t>G-REQ-02071-E4</t>
  </si>
  <si>
    <t>G-REQ-07517</t>
  </si>
  <si>
    <t>SYNTHETIC: Laptop repair; Completed; asset G-AST-00065</t>
  </si>
  <si>
    <t>G-REQ-02072-E1</t>
  </si>
  <si>
    <t>G-REQ-07518</t>
  </si>
  <si>
    <t>G-REQ-02072-E2</t>
  </si>
  <si>
    <t>G-REQ-07519</t>
  </si>
  <si>
    <t>G-REQ-02072-E3</t>
  </si>
  <si>
    <t>G-REQ-07520</t>
  </si>
  <si>
    <t>G-REQ-02072-E4</t>
  </si>
  <si>
    <t>G-REQ-07521</t>
  </si>
  <si>
    <t>G-REQ-02073-E1</t>
  </si>
  <si>
    <t>G-REQ-07522</t>
  </si>
  <si>
    <t>G-REQ-02073-E2</t>
  </si>
  <si>
    <t>G-REQ-07523</t>
  </si>
  <si>
    <t>G-REQ-02073-E3</t>
  </si>
  <si>
    <t>G-REQ-07524</t>
  </si>
  <si>
    <t>G-REQ-02073-E4</t>
  </si>
  <si>
    <t>G-REQ-07525</t>
  </si>
  <si>
    <t>G-REQ-02074-E1</t>
  </si>
  <si>
    <t>SYNTHETIC: Laptop return; Pending approval; asset G-AST-00369</t>
  </si>
  <si>
    <t>G-REQ-07526</t>
  </si>
  <si>
    <t>G-REQ-02074-E2</t>
  </si>
  <si>
    <t>SYNTHETIC: Laptop return; Approved; asset G-AST-00369</t>
  </si>
  <si>
    <t>G-REQ-02074-E3</t>
  </si>
  <si>
    <t>G-REQ-07527</t>
  </si>
  <si>
    <t>SYNTHETIC: Laptop return; In progress; asset G-AST-00369</t>
  </si>
  <si>
    <t>G-REQ-02074-E4</t>
  </si>
  <si>
    <t>G-REQ-07528</t>
  </si>
  <si>
    <t>SYNTHETIC: Laptop return; Completed; asset G-AST-00369</t>
  </si>
  <si>
    <t>G-REQ-02075-E1</t>
  </si>
  <si>
    <t>G-REQ-07529</t>
  </si>
  <si>
    <t>G-REQ-02075-E2</t>
  </si>
  <si>
    <t>G-REQ-07530</t>
  </si>
  <si>
    <t>G-REQ-02075-E3</t>
  </si>
  <si>
    <t>G-REQ-07531</t>
  </si>
  <si>
    <t>G-REQ-02075-E4</t>
  </si>
  <si>
    <t>G-REQ-07532</t>
  </si>
  <si>
    <t>G-REQ-02076-E1</t>
  </si>
  <si>
    <t>SYNTHETIC: Laptop return; Pending approval; asset G-AST-00440</t>
  </si>
  <si>
    <t>G-REQ-07533</t>
  </si>
  <si>
    <t>G-REQ-02076-E2</t>
  </si>
  <si>
    <t>SYNTHETIC: Laptop return; Approved; asset G-AST-00440</t>
  </si>
  <si>
    <t>G-REQ-02076-E3</t>
  </si>
  <si>
    <t>G-REQ-07534</t>
  </si>
  <si>
    <t>SYNTHETIC: Laptop return; In progress; asset G-AST-00440</t>
  </si>
  <si>
    <t>G-REQ-07535</t>
  </si>
  <si>
    <t>G-REQ-02076-E4</t>
  </si>
  <si>
    <t>SYNTHETIC: Laptop return; Completed; asset G-AST-00440</t>
  </si>
  <si>
    <t>G-REQ-07536</t>
  </si>
  <si>
    <t>G-REQ-02077-E1</t>
  </si>
  <si>
    <t>G-REQ-02077-E2</t>
  </si>
  <si>
    <t>G-REQ-07537</t>
  </si>
  <si>
    <t>G-REQ-02077-E3</t>
  </si>
  <si>
    <t>G-REQ-07538</t>
  </si>
  <si>
    <t>G-REQ-02077-E4</t>
  </si>
  <si>
    <t>G-REQ-07539</t>
  </si>
  <si>
    <t>G-REQ-07540</t>
  </si>
  <si>
    <t>G-REQ-02078-E1</t>
  </si>
  <si>
    <t>G-REQ-07541</t>
  </si>
  <si>
    <t>G-REQ-02078-E2</t>
  </si>
  <si>
    <t>G-REQ-07542</t>
  </si>
  <si>
    <t>G-REQ-02078-E3</t>
  </si>
  <si>
    <t>G-REQ-07543</t>
  </si>
  <si>
    <t>G-REQ-02078-E4</t>
  </si>
  <si>
    <t>G-REQ-07544</t>
  </si>
  <si>
    <t>G-REQ-07545</t>
  </si>
  <si>
    <t>G-REQ-02079-E1</t>
  </si>
  <si>
    <t>SYNTHETIC: Laptop return; Pending approval; asset G-AST-00329</t>
  </si>
  <si>
    <t>G-REQ-07546</t>
  </si>
  <si>
    <t>G-REQ-02079-E2</t>
  </si>
  <si>
    <t>SYNTHETIC: Laptop return; Approved; asset G-AST-00329</t>
  </si>
  <si>
    <t>G-REQ-07547</t>
  </si>
  <si>
    <t>G-REQ-02079-E3</t>
  </si>
  <si>
    <t>SYNTHETIC: Laptop return; In progress; asset G-AST-00329</t>
  </si>
  <si>
    <t>G-REQ-07548</t>
  </si>
  <si>
    <t>G-REQ-02079-E4</t>
  </si>
  <si>
    <t>SYNTHETIC: Laptop return; Completed; asset G-AST-00329</t>
  </si>
  <si>
    <t>G-REQ-07549</t>
  </si>
  <si>
    <t>G-REQ-02080-E1</t>
  </si>
  <si>
    <t>G-REQ-07550</t>
  </si>
  <si>
    <t>G-REQ-02080-E2</t>
  </si>
  <si>
    <t>G-REQ-07551</t>
  </si>
  <si>
    <t>G-REQ-02080-E3</t>
  </si>
  <si>
    <t>G-REQ-07552</t>
  </si>
  <si>
    <t>G-REQ-02080-E4</t>
  </si>
  <si>
    <t>G-REQ-07553</t>
  </si>
  <si>
    <t>G-REQ-02081-E1</t>
  </si>
  <si>
    <t>SYNTHETIC: Laptop repair; Pending approval; asset G-AST-00146</t>
  </si>
  <si>
    <t>G-REQ-07554</t>
  </si>
  <si>
    <t>G-REQ-02081-E2</t>
  </si>
  <si>
    <t>SYNTHETIC: Laptop repair; Approved; asset G-AST-00146</t>
  </si>
  <si>
    <t>G-REQ-02081-E3</t>
  </si>
  <si>
    <t>G-REQ-07555</t>
  </si>
  <si>
    <t>SYNTHETIC: Laptop repair; In progress; asset G-AST-00146</t>
  </si>
  <si>
    <t>G-REQ-02081-E4</t>
  </si>
  <si>
    <t>G-REQ-07556</t>
  </si>
  <si>
    <t>SYNTHETIC: Laptop repair; Completed; asset G-AST-00146</t>
  </si>
  <si>
    <t>G-REQ-02082-E1</t>
  </si>
  <si>
    <t>G-REQ-07557</t>
  </si>
  <si>
    <t>G-REQ-02082-E2</t>
  </si>
  <si>
    <t>G-REQ-07558</t>
  </si>
  <si>
    <t>G-REQ-02082-E3</t>
  </si>
  <si>
    <t>G-REQ-07559</t>
  </si>
  <si>
    <t>G-REQ-02082-E4</t>
  </si>
  <si>
    <t>G-REQ-07560</t>
  </si>
  <si>
    <t>G-REQ-02083-E1</t>
  </si>
  <si>
    <t>G-REQ-07561</t>
  </si>
  <si>
    <t>G-REQ-02083-E2</t>
  </si>
  <si>
    <t>G-REQ-07562</t>
  </si>
  <si>
    <t>G-REQ-02083-E3</t>
  </si>
  <si>
    <t>G-REQ-07563</t>
  </si>
  <si>
    <t>G-REQ-02083-E4</t>
  </si>
  <si>
    <t>G-REQ-07564</t>
  </si>
  <si>
    <t>G-REQ-02084-E1</t>
  </si>
  <si>
    <t>G-REQ-07565</t>
  </si>
  <si>
    <t>G-REQ-02084-E2</t>
  </si>
  <si>
    <t>G-REQ-07566</t>
  </si>
  <si>
    <t>G-REQ-02084-E3</t>
  </si>
  <si>
    <t>G-REQ-07567</t>
  </si>
  <si>
    <t>G-REQ-02084-E4</t>
  </si>
  <si>
    <t>G-REQ-07568</t>
  </si>
  <si>
    <t>G-REQ-02085-E1</t>
  </si>
  <si>
    <t>G-REQ-07569</t>
  </si>
  <si>
    <t>G-REQ-02085-E2</t>
  </si>
  <si>
    <t>G-REQ-07570</t>
  </si>
  <si>
    <t>G-REQ-02085-E3</t>
  </si>
  <si>
    <t>G-REQ-07571</t>
  </si>
  <si>
    <t>G-REQ-02085-E4</t>
  </si>
  <si>
    <t>G-REQ-07572</t>
  </si>
  <si>
    <t>G-REQ-02086-E1</t>
  </si>
  <si>
    <t>G-REQ-07573</t>
  </si>
  <si>
    <t>SYNTHETIC: Laptop repair; Pending approval; asset G-AST-00004</t>
  </si>
  <si>
    <t>G-REQ-02086-E2</t>
  </si>
  <si>
    <t>SYNTHETIC: Laptop repair; Approved; asset G-AST-00004</t>
  </si>
  <si>
    <t>G-REQ-07574</t>
  </si>
  <si>
    <t>G-REQ-02086-E3</t>
  </si>
  <si>
    <t>SYNTHETIC: Laptop repair; In progress; asset G-AST-00004</t>
  </si>
  <si>
    <t>G-REQ-07575</t>
  </si>
  <si>
    <t>G-REQ-02086-E4</t>
  </si>
  <si>
    <t>SYNTHETIC: Laptop repair; Completed; asset G-AST-00004</t>
  </si>
  <si>
    <t>G-REQ-02087-E1</t>
  </si>
  <si>
    <t>G-REQ-07576</t>
  </si>
  <si>
    <t>G-REQ-02087-E2</t>
  </si>
  <si>
    <t>G-REQ-07577</t>
  </si>
  <si>
    <t>G-REQ-02087-E3</t>
  </si>
  <si>
    <t>G-REQ-07578</t>
  </si>
  <si>
    <t>G-REQ-02087-E4</t>
  </si>
  <si>
    <t>G-REQ-07579</t>
  </si>
  <si>
    <t>G-REQ-02088-E1</t>
  </si>
  <si>
    <t>G-REQ-07580</t>
  </si>
  <si>
    <t>G-REQ-02088-E2</t>
  </si>
  <si>
    <t>G-REQ-07581</t>
  </si>
  <si>
    <t>G-REQ-02088-E3</t>
  </si>
  <si>
    <t>G-REQ-02088-E4</t>
  </si>
  <si>
    <t>G-REQ-07582</t>
  </si>
  <si>
    <t>G-REQ-02089-E1</t>
  </si>
  <si>
    <t>G-REQ-07583</t>
  </si>
  <si>
    <t>G-REQ-02089-E2</t>
  </si>
  <si>
    <t>G-REQ-07584</t>
  </si>
  <si>
    <t>G-REQ-02089-E3</t>
  </si>
  <si>
    <t>G-REQ-07585</t>
  </si>
  <si>
    <t>G-REQ-02089-E4</t>
  </si>
  <si>
    <t>G-REQ-07586</t>
  </si>
  <si>
    <t>G-REQ-02090-E1</t>
  </si>
  <si>
    <t>G-REQ-07587</t>
  </si>
  <si>
    <t>G-REQ-02090-E2</t>
  </si>
  <si>
    <t>G-REQ-07588</t>
  </si>
  <si>
    <t>G-REQ-02090-E3</t>
  </si>
  <si>
    <t>G-REQ-07589</t>
  </si>
  <si>
    <t>G-REQ-02090-E4</t>
  </si>
  <si>
    <t>G-REQ-07590</t>
  </si>
  <si>
    <t>G-REQ-02091-E1</t>
  </si>
  <si>
    <t>G-REQ-07591</t>
  </si>
  <si>
    <t>G-REQ-02091-E2</t>
  </si>
  <si>
    <t>G-REQ-07592</t>
  </si>
  <si>
    <t>G-REQ-02091-E3</t>
  </si>
  <si>
    <t>G-REQ-07593</t>
  </si>
  <si>
    <t>G-REQ-02091-E4</t>
  </si>
  <si>
    <t>G-REQ-07594</t>
  </si>
  <si>
    <t>G-REQ-02092-E1</t>
  </si>
  <si>
    <t>G-REQ-07595</t>
  </si>
  <si>
    <t>G-REQ-02092-E2</t>
  </si>
  <si>
    <t>G-REQ-07596</t>
  </si>
  <si>
    <t>G-REQ-02092-E3</t>
  </si>
  <si>
    <t>G-REQ-07597</t>
  </si>
  <si>
    <t>G-REQ-02092-E4</t>
  </si>
  <si>
    <t>G-REQ-07598</t>
  </si>
  <si>
    <t>G-REQ-02093-E1</t>
  </si>
  <si>
    <t>G-REQ-07599</t>
  </si>
  <si>
    <t>G-REQ-02093-E2</t>
  </si>
  <si>
    <t>SYNTHETIC: Laptop repair; Rejected; asset G-AST-00417</t>
  </si>
  <si>
    <t>G-REQ-07600</t>
  </si>
  <si>
    <t>G-REQ-02094-E1</t>
  </si>
  <si>
    <t>G-REQ-07601</t>
  </si>
  <si>
    <t>G-REQ-02094-E2</t>
  </si>
  <si>
    <t>G-REQ-02094-E3</t>
  </si>
  <si>
    <t>G-REQ-07602</t>
  </si>
  <si>
    <t>G-REQ-02094-E4</t>
  </si>
  <si>
    <t>G-REQ-07603</t>
  </si>
  <si>
    <t>G-REQ-02095-E1</t>
  </si>
  <si>
    <t>G-REQ-07604</t>
  </si>
  <si>
    <t>G-REQ-02095-E2</t>
  </si>
  <si>
    <t>G-REQ-07605</t>
  </si>
  <si>
    <t>G-REQ-02095-E3</t>
  </si>
  <si>
    <t>G-REQ-07606</t>
  </si>
  <si>
    <t>G-REQ-02095-E4</t>
  </si>
  <si>
    <t>G-REQ-07607</t>
  </si>
  <si>
    <t>G-REQ-02096-E1</t>
  </si>
  <si>
    <t>G-REQ-07608</t>
  </si>
  <si>
    <t>G-REQ-02096-E2</t>
  </si>
  <si>
    <t>G-REQ-07609</t>
  </si>
  <si>
    <t>G-REQ-02096-E3</t>
  </si>
  <si>
    <t>G-REQ-07610</t>
  </si>
  <si>
    <t>G-REQ-02096-E4</t>
  </si>
  <si>
    <t>G-REQ-02097-E1</t>
  </si>
  <si>
    <t>G-REQ-02097-E2</t>
  </si>
  <si>
    <t>G-REQ-07611</t>
  </si>
  <si>
    <t>G-REQ-02097-E3</t>
  </si>
  <si>
    <t>G-REQ-07612</t>
  </si>
  <si>
    <t>G-REQ-02097-E4</t>
  </si>
  <si>
    <t>G-REQ-07613</t>
  </si>
  <si>
    <t>G-REQ-02098-E1</t>
  </si>
  <si>
    <t>G-REQ-07614</t>
  </si>
  <si>
    <t>G-REQ-02098-E2</t>
  </si>
  <si>
    <t>G-REQ-07615</t>
  </si>
  <si>
    <t>G-REQ-02098-E3</t>
  </si>
  <si>
    <t>G-REQ-07616</t>
  </si>
  <si>
    <t>G-REQ-02098-E4</t>
  </si>
  <si>
    <t>G-REQ-07617</t>
  </si>
  <si>
    <t>G-REQ-02099-E1</t>
  </si>
  <si>
    <t>G-REQ-07618</t>
  </si>
  <si>
    <t>G-REQ-02099-E2</t>
  </si>
  <si>
    <t>G-REQ-07619</t>
  </si>
  <si>
    <t>G-REQ-02099-E3</t>
  </si>
  <si>
    <t>G-REQ-07620</t>
  </si>
  <si>
    <t>G-REQ-02099-E4</t>
  </si>
  <si>
    <t>G-REQ-07621</t>
  </si>
  <si>
    <t>G-REQ-02100-E1</t>
  </si>
  <si>
    <t>G-REQ-07622</t>
  </si>
  <si>
    <t>G-REQ-02100-E2</t>
  </si>
  <si>
    <t>G-REQ-07623</t>
  </si>
  <si>
    <t>G-REQ-02100-E3</t>
  </si>
  <si>
    <t>G-REQ-07624</t>
  </si>
  <si>
    <t>G-REQ-02100-E4</t>
  </si>
  <si>
    <t>G-REQ-07625</t>
  </si>
  <si>
    <t>G-REQ-02101-E1</t>
  </si>
  <si>
    <t>G-REQ-07626</t>
  </si>
  <si>
    <t>G-REQ-02101-E2</t>
  </si>
  <si>
    <t>G-REQ-07627</t>
  </si>
  <si>
    <t>G-REQ-02101-E3</t>
  </si>
  <si>
    <t>G-REQ-07628</t>
  </si>
  <si>
    <t>G-REQ-02101-E4</t>
  </si>
  <si>
    <t>G-REQ-02102-E1</t>
  </si>
  <si>
    <t>G-REQ-07629</t>
  </si>
  <si>
    <t>G-REQ-02102-E2</t>
  </si>
  <si>
    <t>G-REQ-07630</t>
  </si>
  <si>
    <t>G-REQ-02102-E3</t>
  </si>
  <si>
    <t>G-REQ-07631</t>
  </si>
  <si>
    <t>G-REQ-02102-E4</t>
  </si>
  <si>
    <t>G-REQ-07632</t>
  </si>
  <si>
    <t>G-REQ-02103-E1</t>
  </si>
  <si>
    <t>G-REQ-07633</t>
  </si>
  <si>
    <t>G-REQ-02103-E2</t>
  </si>
  <si>
    <t>G-REQ-07634</t>
  </si>
  <si>
    <t>G-REQ-02103-E3</t>
  </si>
  <si>
    <t>G-REQ-07635</t>
  </si>
  <si>
    <t>G-REQ-02103-E4</t>
  </si>
  <si>
    <t>G-REQ-07636</t>
  </si>
  <si>
    <t>G-REQ-02104-E1</t>
  </si>
  <si>
    <t>G-REQ-07637</t>
  </si>
  <si>
    <t>SYNTHETIC: Laptop return; Pending approval; asset G-AST-00492</t>
  </si>
  <si>
    <t>G-REQ-02104-E2</t>
  </si>
  <si>
    <t>G-REQ-07638</t>
  </si>
  <si>
    <t>SYNTHETIC: Laptop return; Approved; asset G-AST-00492</t>
  </si>
  <si>
    <t>G-REQ-02104-E3</t>
  </si>
  <si>
    <t>SYNTHETIC: Laptop return; In progress; asset G-AST-00492</t>
  </si>
  <si>
    <t>G-REQ-07639</t>
  </si>
  <si>
    <t>G-REQ-02104-E4</t>
  </si>
  <si>
    <t>SYNTHETIC: Laptop return; Completed; asset G-AST-00492</t>
  </si>
  <si>
    <t>G-REQ-07640</t>
  </si>
  <si>
    <t>G-REQ-02105-E1</t>
  </si>
  <si>
    <t>G-REQ-07641</t>
  </si>
  <si>
    <t>G-REQ-02105-E2</t>
  </si>
  <si>
    <t>G-REQ-07642</t>
  </si>
  <si>
    <t>G-REQ-02105-E3</t>
  </si>
  <si>
    <t>G-REQ-07643</t>
  </si>
  <si>
    <t>G-REQ-02105-E4</t>
  </si>
  <si>
    <t>G-REQ-02106-E1</t>
  </si>
  <si>
    <t>G-REQ-07644</t>
  </si>
  <si>
    <t>SYNTHETIC: Laptop repair; Pending approval; asset G-AST-00076</t>
  </si>
  <si>
    <t>G-REQ-07645</t>
  </si>
  <si>
    <t>G-REQ-02106-E2</t>
  </si>
  <si>
    <t>SYNTHETIC: Laptop repair; Approved; asset G-AST-00076</t>
  </si>
  <si>
    <t>G-REQ-07646</t>
  </si>
  <si>
    <t>G-REQ-02106-E3</t>
  </si>
  <si>
    <t>SYNTHETIC: Laptop repair; In progress; asset G-AST-00076</t>
  </si>
  <si>
    <t>G-REQ-02106-E4</t>
  </si>
  <si>
    <t>G-REQ-07647</t>
  </si>
  <si>
    <t>SYNTHETIC: Laptop repair; Completed; asset G-AST-00076</t>
  </si>
  <si>
    <t>G-REQ-02107-E1</t>
  </si>
  <si>
    <t>G-REQ-07648</t>
  </si>
  <si>
    <t>SYNTHETIC: Laptop repair; Pending approval; asset G-AST-00123</t>
  </si>
  <si>
    <t>G-REQ-02107-E2</t>
  </si>
  <si>
    <t>G-REQ-07649</t>
  </si>
  <si>
    <t>SYNTHETIC: Laptop repair; Rejected; asset G-AST-00123</t>
  </si>
  <si>
    <t>G-REQ-02108-E1</t>
  </si>
  <si>
    <t>G-REQ-07650</t>
  </si>
  <si>
    <t>G-REQ-02108-E2</t>
  </si>
  <si>
    <t>G-REQ-07651</t>
  </si>
  <si>
    <t>G-REQ-02108-E3</t>
  </si>
  <si>
    <t>G-REQ-07652</t>
  </si>
  <si>
    <t>G-REQ-02108-E4</t>
  </si>
  <si>
    <t>G-REQ-02109-E1</t>
  </si>
  <si>
    <t>G-REQ-07653</t>
  </si>
  <si>
    <t>G-REQ-02109-E2</t>
  </si>
  <si>
    <t>G-REQ-07654</t>
  </si>
  <si>
    <t>G-REQ-02109-E3</t>
  </si>
  <si>
    <t>G-REQ-07655</t>
  </si>
  <si>
    <t>G-REQ-02109-E4</t>
  </si>
  <si>
    <t>G-REQ-07656</t>
  </si>
  <si>
    <t>G-REQ-02110-E1</t>
  </si>
  <si>
    <t>G-REQ-07657</t>
  </si>
  <si>
    <t>G-REQ-02110-E2</t>
  </si>
  <si>
    <t>G-REQ-07658</t>
  </si>
  <si>
    <t>G-REQ-02110-E3</t>
  </si>
  <si>
    <t>G-REQ-07659</t>
  </si>
  <si>
    <t>G-REQ-02110-E4</t>
  </si>
  <si>
    <t>G-REQ-07660</t>
  </si>
  <si>
    <t>G-REQ-02111-E1</t>
  </si>
  <si>
    <t>G-REQ-07661</t>
  </si>
  <si>
    <t>G-REQ-02111-E2</t>
  </si>
  <si>
    <t>G-REQ-07662</t>
  </si>
  <si>
    <t>G-REQ-02111-E3</t>
  </si>
  <si>
    <t>G-REQ-07663</t>
  </si>
  <si>
    <t>G-REQ-02111-E4</t>
  </si>
  <si>
    <t>G-REQ-07664</t>
  </si>
  <si>
    <t>G-REQ-02112-E1</t>
  </si>
  <si>
    <t>G-REQ-07665</t>
  </si>
  <si>
    <t>G-REQ-02112-E2</t>
  </si>
  <si>
    <t>G-REQ-07666</t>
  </si>
  <si>
    <t>G-REQ-02112-E3</t>
  </si>
  <si>
    <t>G-REQ-07667</t>
  </si>
  <si>
    <t>G-REQ-02112-E4</t>
  </si>
  <si>
    <t>G-REQ-07668</t>
  </si>
  <si>
    <t>G-REQ-02113-E1</t>
  </si>
  <si>
    <t>G-REQ-07669</t>
  </si>
  <si>
    <t>G-REQ-02113-E2</t>
  </si>
  <si>
    <t>SYNTHETIC: Laptop repair; Cancelled; asset G-AST-00155</t>
  </si>
  <si>
    <t>G-REQ-07670</t>
  </si>
  <si>
    <t>G-REQ-02114-E1</t>
  </si>
  <si>
    <t>SYNTHETIC: Laptop repair; Pending approval; asset G-AST-00147</t>
  </si>
  <si>
    <t>G-REQ-07671</t>
  </si>
  <si>
    <t>G-REQ-02114-E2</t>
  </si>
  <si>
    <t>SYNTHETIC: Laptop repair; Approved; asset G-AST-00147</t>
  </si>
  <si>
    <t>G-REQ-07672</t>
  </si>
  <si>
    <t>G-REQ-02114-E3</t>
  </si>
  <si>
    <t>SYNTHETIC: Laptop repair; In progress; asset G-AST-00147</t>
  </si>
  <si>
    <t>G-REQ-07673</t>
  </si>
  <si>
    <t>G-REQ-02114-E4</t>
  </si>
  <si>
    <t>SYNTHETIC: Laptop repair; Completed; asset G-AST-00147</t>
  </si>
  <si>
    <t>G-REQ-02115-E1</t>
  </si>
  <si>
    <t>G-REQ-07674</t>
  </si>
  <si>
    <t>SYNTHETIC: Laptop return; Pending approval; asset G-AST-00098</t>
  </si>
  <si>
    <t>G-REQ-02115-E2</t>
  </si>
  <si>
    <t>G-REQ-07675</t>
  </si>
  <si>
    <t>SYNTHETIC: Laptop return; Approved; asset G-AST-00098</t>
  </si>
  <si>
    <t>G-REQ-02115-E3</t>
  </si>
  <si>
    <t>G-REQ-07676</t>
  </si>
  <si>
    <t>SYNTHETIC: Laptop return; In progress; asset G-AST-00098</t>
  </si>
  <si>
    <t>G-REQ-02115-E4</t>
  </si>
  <si>
    <t>G-REQ-07677</t>
  </si>
  <si>
    <t>SYNTHETIC: Laptop return; Completed; asset G-AST-00098</t>
  </si>
  <si>
    <t>G-REQ-02116-E1</t>
  </si>
  <si>
    <t>G-REQ-07678</t>
  </si>
  <si>
    <t>G-REQ-02116-E2</t>
  </si>
  <si>
    <t>G-REQ-07679</t>
  </si>
  <si>
    <t>G-REQ-02116-E3</t>
  </si>
  <si>
    <t>G-REQ-07680</t>
  </si>
  <si>
    <t>G-REQ-02116-E4</t>
  </si>
  <si>
    <t>G-REQ-07681</t>
  </si>
  <si>
    <t>G-REQ-02117-E1</t>
  </si>
  <si>
    <t>G-REQ-07682</t>
  </si>
  <si>
    <t>G-REQ-02117-E2</t>
  </si>
  <si>
    <t>G-REQ-07683</t>
  </si>
  <si>
    <t>G-REQ-02117-E3</t>
  </si>
  <si>
    <t>G-REQ-07684</t>
  </si>
  <si>
    <t>G-REQ-02117-E4</t>
  </si>
  <si>
    <t>G-REQ-07685</t>
  </si>
  <si>
    <t>G-REQ-02118-E1</t>
  </si>
  <si>
    <t>G-REQ-07686</t>
  </si>
  <si>
    <t>G-REQ-02118-E2</t>
  </si>
  <si>
    <t>G-REQ-07687</t>
  </si>
  <si>
    <t>G-REQ-02118-E3</t>
  </si>
  <si>
    <t>G-REQ-07688</t>
  </si>
  <si>
    <t>G-REQ-02118-E4</t>
  </si>
  <si>
    <t>G-REQ-07689</t>
  </si>
  <si>
    <t>G-REQ-02119-E1</t>
  </si>
  <si>
    <t>G-REQ-07690</t>
  </si>
  <si>
    <t>G-REQ-02119-E2</t>
  </si>
  <si>
    <t>G-REQ-02119-E3</t>
  </si>
  <si>
    <t>G-REQ-07691</t>
  </si>
  <si>
    <t>G-REQ-02119-E4</t>
  </si>
  <si>
    <t>G-REQ-07692</t>
  </si>
  <si>
    <t>G-REQ-02120-E1</t>
  </si>
  <si>
    <t>G-REQ-07693</t>
  </si>
  <si>
    <t>SYNTHETIC: Laptop repair; Pending approval; asset G-AST-00095</t>
  </si>
  <si>
    <t>G-REQ-02120-E2</t>
  </si>
  <si>
    <t>G-REQ-07694</t>
  </si>
  <si>
    <t>SYNTHETIC: Laptop repair; Approved; asset G-AST-00095</t>
  </si>
  <si>
    <t>G-REQ-02120-E3</t>
  </si>
  <si>
    <t>G-REQ-07695</t>
  </si>
  <si>
    <t>SYNTHETIC: Laptop repair; In progress; asset G-AST-00095</t>
  </si>
  <si>
    <t>G-REQ-02120-E4</t>
  </si>
  <si>
    <t>G-REQ-07696</t>
  </si>
  <si>
    <t>SYNTHETIC: Laptop repair; Completed; asset G-AST-00095</t>
  </si>
  <si>
    <t>G-REQ-02121-E1</t>
  </si>
  <si>
    <t>G-REQ-07697</t>
  </si>
  <si>
    <t>G-REQ-02121-E2</t>
  </si>
  <si>
    <t>G-REQ-07698</t>
  </si>
  <si>
    <t>G-REQ-02121-E3</t>
  </si>
  <si>
    <t>G-REQ-07699</t>
  </si>
  <si>
    <t>G-REQ-02121-E4</t>
  </si>
  <si>
    <t>G-REQ-07700</t>
  </si>
  <si>
    <t>G-REQ-02122-E1</t>
  </si>
  <si>
    <t>G-REQ-07701</t>
  </si>
  <si>
    <t>G-REQ-02122-E2</t>
  </si>
  <si>
    <t>G-REQ-07702</t>
  </si>
  <si>
    <t>G-REQ-02122-E3</t>
  </si>
  <si>
    <t>G-REQ-02122-E4</t>
  </si>
  <si>
    <t>G-REQ-07703</t>
  </si>
  <si>
    <t>G-REQ-02123-E1</t>
  </si>
  <si>
    <t>G-REQ-07704</t>
  </si>
  <si>
    <t>SYNTHETIC: Laptop repair; Pending approval; asset G-AST-00041</t>
  </si>
  <si>
    <t>G-REQ-02123-E2</t>
  </si>
  <si>
    <t>G-REQ-07705</t>
  </si>
  <si>
    <t>SYNTHETIC: Laptop repair; Rejected; asset G-AST-00041</t>
  </si>
  <si>
    <t>G-REQ-02124-E1</t>
  </si>
  <si>
    <t>G-REQ-07706</t>
  </si>
  <si>
    <t>G-REQ-02124-E2</t>
  </si>
  <si>
    <t>G-REQ-07707</t>
  </si>
  <si>
    <t>G-REQ-02124-E3</t>
  </si>
  <si>
    <t>G-REQ-07708</t>
  </si>
  <si>
    <t>G-REQ-02124-E4</t>
  </si>
  <si>
    <t>G-REQ-07709</t>
  </si>
  <si>
    <t>G-REQ-02125-E1</t>
  </si>
  <si>
    <t>G-REQ-07710</t>
  </si>
  <si>
    <t>G-REQ-02125-E2</t>
  </si>
  <si>
    <t>G-REQ-07711</t>
  </si>
  <si>
    <t>G-REQ-02125-E3</t>
  </si>
  <si>
    <t>G-REQ-07712</t>
  </si>
  <si>
    <t>G-REQ-02125-E4</t>
  </si>
  <si>
    <t>G-REQ-07713</t>
  </si>
  <si>
    <t>G-REQ-02126-E1</t>
  </si>
  <si>
    <t>G-REQ-07714</t>
  </si>
  <si>
    <t>G-REQ-02126-E2</t>
  </si>
  <si>
    <t>G-REQ-07715</t>
  </si>
  <si>
    <t>G-REQ-02126-E3</t>
  </si>
  <si>
    <t>G-REQ-07716</t>
  </si>
  <si>
    <t>G-REQ-02126-E4</t>
  </si>
  <si>
    <t>G-REQ-07717</t>
  </si>
  <si>
    <t>G-REQ-02127-E1</t>
  </si>
  <si>
    <t>SYNTHETIC: Laptop repair; Pending approval; asset G-AST-00023</t>
  </si>
  <si>
    <t>G-REQ-07718</t>
  </si>
  <si>
    <t>G-REQ-02127-E2</t>
  </si>
  <si>
    <t>SYNTHETIC: Laptop repair; Approved; asset G-AST-00023</t>
  </si>
  <si>
    <t>G-REQ-07719</t>
  </si>
  <si>
    <t>G-REQ-02127-E3</t>
  </si>
  <si>
    <t>SYNTHETIC: Laptop repair; In progress; asset G-AST-00023</t>
  </si>
  <si>
    <t>G-REQ-02127-E4</t>
  </si>
  <si>
    <t>G-REQ-07720</t>
  </si>
  <si>
    <t>SYNTHETIC: Laptop repair; Completed; asset G-AST-00023</t>
  </si>
  <si>
    <t>G-REQ-02128-E1</t>
  </si>
  <si>
    <t>G-REQ-07721</t>
  </si>
  <si>
    <t>G-REQ-02128-E2</t>
  </si>
  <si>
    <t>G-REQ-07722</t>
  </si>
  <si>
    <t>G-REQ-02128-E3</t>
  </si>
  <si>
    <t>G-REQ-07723</t>
  </si>
  <si>
    <t>G-REQ-02128-E4</t>
  </si>
  <si>
    <t>G-REQ-07724</t>
  </si>
  <si>
    <t>G-REQ-02129-E1</t>
  </si>
  <si>
    <t>G-REQ-07725</t>
  </si>
  <si>
    <t>G-REQ-02129-E2</t>
  </si>
  <si>
    <t>G-REQ-07726</t>
  </si>
  <si>
    <t>G-REQ-02129-E3</t>
  </si>
  <si>
    <t>G-REQ-07727</t>
  </si>
  <si>
    <t>G-REQ-02129-E4</t>
  </si>
  <si>
    <t>G-REQ-07728</t>
  </si>
  <si>
    <t>G-REQ-02130-E1</t>
  </si>
  <si>
    <t>G-REQ-07729</t>
  </si>
  <si>
    <t>G-REQ-02130-E2</t>
  </si>
  <si>
    <t>G-REQ-07730</t>
  </si>
  <si>
    <t>G-REQ-02130-E3</t>
  </si>
  <si>
    <t>G-REQ-07731</t>
  </si>
  <si>
    <t>G-REQ-02130-E4</t>
  </si>
  <si>
    <t>G-REQ-07732</t>
  </si>
  <si>
    <t>G-REQ-02131-E1</t>
  </si>
  <si>
    <t>G-REQ-07733</t>
  </si>
  <si>
    <t>G-REQ-02131-E2</t>
  </si>
  <si>
    <t>G-REQ-07734</t>
  </si>
  <si>
    <t>G-REQ-02131-E3</t>
  </si>
  <si>
    <t>G-REQ-02131-E4</t>
  </si>
  <si>
    <t>G-REQ-07735</t>
  </si>
  <si>
    <t>G-REQ-02132-E1</t>
  </si>
  <si>
    <t>G-REQ-07736</t>
  </si>
  <si>
    <t>G-REQ-07737</t>
  </si>
  <si>
    <t>G-REQ-07738</t>
  </si>
  <si>
    <t>G-REQ-02132-E2</t>
  </si>
  <si>
    <t>G-REQ-07739</t>
  </si>
  <si>
    <t>G-REQ-02132-E3</t>
  </si>
  <si>
    <t>G-REQ-07740</t>
  </si>
  <si>
    <t>G-REQ-02132-E4</t>
  </si>
  <si>
    <t>G-REQ-07741</t>
  </si>
  <si>
    <t>G-REQ-02133-E1</t>
  </si>
  <si>
    <t>G-REQ-07742</t>
  </si>
  <si>
    <t>SYNTHETIC: Laptop repair; Pending approval; asset G-AST-00032</t>
  </si>
  <si>
    <t>G-REQ-02133-E2</t>
  </si>
  <si>
    <t>SYNTHETIC: Laptop repair; Approved; asset G-AST-00032</t>
  </si>
  <si>
    <t>G-REQ-07743</t>
  </si>
  <si>
    <t>G-REQ-02133-E3</t>
  </si>
  <si>
    <t>SYNTHETIC: Laptop repair; In progress; asset G-AST-00032</t>
  </si>
  <si>
    <t>G-REQ-07744</t>
  </si>
  <si>
    <t>G-REQ-02133-E4</t>
  </si>
  <si>
    <t>SYNTHETIC: Laptop repair; Completed; asset G-AST-00032</t>
  </si>
  <si>
    <t>G-REQ-02134-E1</t>
  </si>
  <si>
    <t>G-REQ-07745</t>
  </si>
  <si>
    <t>G-REQ-02134-E2</t>
  </si>
  <si>
    <t>G-REQ-07746</t>
  </si>
  <si>
    <t>G-REQ-02134-E3</t>
  </si>
  <si>
    <t>G-REQ-07747</t>
  </si>
  <si>
    <t>G-REQ-02134-E4</t>
  </si>
  <si>
    <t>G-REQ-07748</t>
  </si>
  <si>
    <t>G-REQ-02135-E1</t>
  </si>
  <si>
    <t>G-REQ-07749</t>
  </si>
  <si>
    <t>G-REQ-02135-E2</t>
  </si>
  <si>
    <t>G-REQ-07750</t>
  </si>
  <si>
    <t>G-REQ-02135-E3</t>
  </si>
  <si>
    <t>G-REQ-07751</t>
  </si>
  <si>
    <t>G-REQ-02135-E4</t>
  </si>
  <si>
    <t>G-REQ-07752</t>
  </si>
  <si>
    <t>G-REQ-02136-E1</t>
  </si>
  <si>
    <t>G-REQ-07753</t>
  </si>
  <si>
    <t>SYNTHETIC: Laptop repair; Pending approval; asset G-AST-00135</t>
  </si>
  <si>
    <t>G-REQ-02136-E2</t>
  </si>
  <si>
    <t>G-REQ-07754</t>
  </si>
  <si>
    <t>SYNTHETIC: Laptop repair; Rejected; asset G-AST-00135</t>
  </si>
  <si>
    <t>G-REQ-02137-E1</t>
  </si>
  <si>
    <t>G-REQ-07755</t>
  </si>
  <si>
    <t>G-REQ-02137-E2</t>
  </si>
  <si>
    <t>G-REQ-07756</t>
  </si>
  <si>
    <t>G-REQ-02137-E3</t>
  </si>
  <si>
    <t>G-REQ-02137-E4</t>
  </si>
  <si>
    <t>G-REQ-07757</t>
  </si>
  <si>
    <t>G-REQ-02138-E1</t>
  </si>
  <si>
    <t>G-REQ-07758</t>
  </si>
  <si>
    <t>G-REQ-02138-E2</t>
  </si>
  <si>
    <t>G-REQ-07759</t>
  </si>
  <si>
    <t>G-REQ-02138-E3</t>
  </si>
  <si>
    <t>G-REQ-07760</t>
  </si>
  <si>
    <t>G-REQ-02138-E4</t>
  </si>
  <si>
    <t>G-REQ-07761</t>
  </si>
  <si>
    <t>G-REQ-02139-E1</t>
  </si>
  <si>
    <t>G-REQ-07762</t>
  </si>
  <si>
    <t>G-REQ-02139-E2</t>
  </si>
  <si>
    <t>G-REQ-07763</t>
  </si>
  <si>
    <t>G-REQ-02139-E3</t>
  </si>
  <si>
    <t>G-REQ-07764</t>
  </si>
  <si>
    <t>G-REQ-02139-E4</t>
  </si>
  <si>
    <t>G-REQ-07765</t>
  </si>
  <si>
    <t>G-REQ-02140-E1</t>
  </si>
  <si>
    <t>G-REQ-07766</t>
  </si>
  <si>
    <t>SYNTHETIC: Laptop return; Pending approval; asset G-AST-00458</t>
  </si>
  <si>
    <t>G-REQ-02140-E2</t>
  </si>
  <si>
    <t>G-REQ-07767</t>
  </si>
  <si>
    <t>SYNTHETIC: Laptop return; Approved; asset G-AST-00458</t>
  </si>
  <si>
    <t>G-REQ-02140-E3</t>
  </si>
  <si>
    <t>G-REQ-07768</t>
  </si>
  <si>
    <t>SYNTHETIC: Laptop return; In progress; asset G-AST-00458</t>
  </si>
  <si>
    <t>G-REQ-02140-E4</t>
  </si>
  <si>
    <t>G-REQ-07769</t>
  </si>
  <si>
    <t>SYNTHETIC: Laptop return; Completed; asset G-AST-00458</t>
  </si>
  <si>
    <t>G-REQ-02141-E1</t>
  </si>
  <si>
    <t>G-REQ-07770</t>
  </si>
  <si>
    <t>G-REQ-02141-E2</t>
  </si>
  <si>
    <t>G-REQ-07771</t>
  </si>
  <si>
    <t>G-REQ-07772</t>
  </si>
  <si>
    <t>G-REQ-02141-E3</t>
  </si>
  <si>
    <t>G-REQ-07773</t>
  </si>
  <si>
    <t>G-REQ-02141-E4</t>
  </si>
  <si>
    <t>G-REQ-07774</t>
  </si>
  <si>
    <t>G-REQ-02142-E1</t>
  </si>
  <si>
    <t>G-REQ-07775</t>
  </si>
  <si>
    <t>G-REQ-07776</t>
  </si>
  <si>
    <t>G-REQ-02142-E2</t>
  </si>
  <si>
    <t>G-REQ-07777</t>
  </si>
  <si>
    <t>G-REQ-02142-E3</t>
  </si>
  <si>
    <t>G-REQ-07778</t>
  </si>
  <si>
    <t>G-REQ-02142-E4</t>
  </si>
  <si>
    <t>G-REQ-02143-E1</t>
  </si>
  <si>
    <t>G-REQ-07779</t>
  </si>
  <si>
    <t>G-REQ-07780</t>
  </si>
  <si>
    <t>G-REQ-02143-E2</t>
  </si>
  <si>
    <t>G-REQ-07781</t>
  </si>
  <si>
    <t>G-REQ-02143-E3</t>
  </si>
  <si>
    <t>G-REQ-07782</t>
  </si>
  <si>
    <t>G-REQ-02143-E4</t>
  </si>
  <si>
    <t>G-REQ-07783</t>
  </si>
  <si>
    <t>G-REQ-02144-E1</t>
  </si>
  <si>
    <t>G-REQ-07784</t>
  </si>
  <si>
    <t>G-REQ-02144-E2</t>
  </si>
  <si>
    <t>G-REQ-07785</t>
  </si>
  <si>
    <t>G-REQ-02144-E3</t>
  </si>
  <si>
    <t>G-REQ-07786</t>
  </si>
  <si>
    <t>G-REQ-07787</t>
  </si>
  <si>
    <t>G-REQ-02144-E4</t>
  </si>
  <si>
    <t>G-REQ-07788</t>
  </si>
  <si>
    <t>G-REQ-02145-E1</t>
  </si>
  <si>
    <t>G-REQ-07789</t>
  </si>
  <si>
    <t>SYNTHETIC: Laptop repair; Pending approval; asset G-AST-00138</t>
  </si>
  <si>
    <t>G-REQ-02145-E2</t>
  </si>
  <si>
    <t>G-REQ-07790</t>
  </si>
  <si>
    <t>SYNTHETIC: Laptop repair; Approved; asset G-AST-00138</t>
  </si>
  <si>
    <t>G-REQ-07791</t>
  </si>
  <si>
    <t>G-REQ-02145-E3</t>
  </si>
  <si>
    <t>SYNTHETIC: Laptop repair; In progress; asset G-AST-00138</t>
  </si>
  <si>
    <t>G-REQ-07792</t>
  </si>
  <si>
    <t>G-REQ-02145-E4</t>
  </si>
  <si>
    <t>SYNTHETIC: Laptop repair; Completed; asset G-AST-00138</t>
  </si>
  <si>
    <t>G-REQ-07793</t>
  </si>
  <si>
    <t>G-REQ-02146-E1</t>
  </si>
  <si>
    <t>G-REQ-07794</t>
  </si>
  <si>
    <t>G-REQ-02146-E2</t>
  </si>
  <si>
    <t>G-REQ-07795</t>
  </si>
  <si>
    <t>G-REQ-02146-E3</t>
  </si>
  <si>
    <t>G-REQ-07796</t>
  </si>
  <si>
    <t>G-REQ-02146-E4</t>
  </si>
  <si>
    <t>G-REQ-07797</t>
  </si>
  <si>
    <t>G-REQ-02147-E1</t>
  </si>
  <si>
    <t>G-REQ-07798</t>
  </si>
  <si>
    <t>G-REQ-02147-E2</t>
  </si>
  <si>
    <t>G-REQ-07799</t>
  </si>
  <si>
    <t>G-REQ-02147-E3</t>
  </si>
  <si>
    <t>G-REQ-07800</t>
  </si>
  <si>
    <t>G-REQ-02147-E4</t>
  </si>
  <si>
    <t>G-REQ-02148-E1</t>
  </si>
  <si>
    <t>G-REQ-07801</t>
  </si>
  <si>
    <t>G-REQ-02148-E2</t>
  </si>
  <si>
    <t>G-REQ-07802</t>
  </si>
  <si>
    <t>G-REQ-02148-E3</t>
  </si>
  <si>
    <t>G-REQ-07803</t>
  </si>
  <si>
    <t>G-REQ-02148-E4</t>
  </si>
  <si>
    <t>G-REQ-07804</t>
  </si>
  <si>
    <t>G-REQ-02149-E1</t>
  </si>
  <si>
    <t>G-REQ-07805</t>
  </si>
  <si>
    <t>G-REQ-02149-E2</t>
  </si>
  <si>
    <t>G-REQ-07806</t>
  </si>
  <si>
    <t>G-REQ-02149-E3</t>
  </si>
  <si>
    <t>G-REQ-07807</t>
  </si>
  <si>
    <t>G-REQ-02149-E4</t>
  </si>
  <si>
    <t>G-REQ-07808</t>
  </si>
  <si>
    <t>G-REQ-02150-E1</t>
  </si>
  <si>
    <t>G-REQ-07809</t>
  </si>
  <si>
    <t>G-REQ-02150-E2</t>
  </si>
  <si>
    <t>G-REQ-07810</t>
  </si>
  <si>
    <t>G-REQ-02150-E3</t>
  </si>
  <si>
    <t>G-REQ-07811</t>
  </si>
  <si>
    <t>G-REQ-02150-E4</t>
  </si>
  <si>
    <t>G-REQ-07812</t>
  </si>
  <si>
    <t>G-REQ-02151-E1</t>
  </si>
  <si>
    <t>G-REQ-07813</t>
  </si>
  <si>
    <t>SYNTHETIC: Laptop return; Pending approval; asset G-AST-00422</t>
  </si>
  <si>
    <t>G-REQ-02151-E2</t>
  </si>
  <si>
    <t>G-REQ-07814</t>
  </si>
  <si>
    <t>SYNTHETIC: Laptop return; Approved; asset G-AST-00422</t>
  </si>
  <si>
    <t>G-REQ-02151-E3</t>
  </si>
  <si>
    <t>G-REQ-07815</t>
  </si>
  <si>
    <t>SYNTHETIC: Laptop return; In progress; asset G-AST-00422</t>
  </si>
  <si>
    <t>G-REQ-07816</t>
  </si>
  <si>
    <t>G-REQ-02151-E4</t>
  </si>
  <si>
    <t>G-REQ-07817</t>
  </si>
  <si>
    <t>SYNTHETIC: Laptop return; Completed; asset G-AST-00422</t>
  </si>
  <si>
    <t>G-REQ-02152-E1</t>
  </si>
  <si>
    <t>G-REQ-07818</t>
  </si>
  <si>
    <t>G-REQ-07819</t>
  </si>
  <si>
    <t>G-REQ-02152-E2</t>
  </si>
  <si>
    <t>G-REQ-07820</t>
  </si>
  <si>
    <t>SYNTHETIC: Laptop return; Rejected; asset G-AST-00149</t>
  </si>
  <si>
    <t>G-REQ-02153-E1</t>
  </si>
  <si>
    <t>G-REQ-07821</t>
  </si>
  <si>
    <t>G-REQ-02153-E2</t>
  </si>
  <si>
    <t>G-REQ-07822</t>
  </si>
  <si>
    <t>G-REQ-02153-E3</t>
  </si>
  <si>
    <t>G-REQ-07823</t>
  </si>
  <si>
    <t>G-REQ-02153-E4</t>
  </si>
  <si>
    <t>G-REQ-07824</t>
  </si>
  <si>
    <t>G-REQ-02154-E1</t>
  </si>
  <si>
    <t>G-REQ-07825</t>
  </si>
  <si>
    <t>G-REQ-02154-E2</t>
  </si>
  <si>
    <t>G-REQ-07826</t>
  </si>
  <si>
    <t>G-REQ-02154-E3</t>
  </si>
  <si>
    <t>G-REQ-07827</t>
  </si>
  <si>
    <t>G-REQ-02154-E4</t>
  </si>
  <si>
    <t>G-REQ-07828</t>
  </si>
  <si>
    <t>G-REQ-02155-E1</t>
  </si>
  <si>
    <t>G-REQ-07829</t>
  </si>
  <si>
    <t>G-REQ-02155-E2</t>
  </si>
  <si>
    <t>G-REQ-07830</t>
  </si>
  <si>
    <t>G-REQ-02156-E1</t>
  </si>
  <si>
    <t>G-REQ-07831</t>
  </si>
  <si>
    <t>G-REQ-02156-E2</t>
  </si>
  <si>
    <t>G-REQ-07832</t>
  </si>
  <si>
    <t>G-REQ-02156-E3</t>
  </si>
  <si>
    <t>G-REQ-07833</t>
  </si>
  <si>
    <t>G-REQ-02156-E4</t>
  </si>
  <si>
    <t>G-REQ-07834</t>
  </si>
  <si>
    <t>G-REQ-02157-E1</t>
  </si>
  <si>
    <t>G-REQ-07835</t>
  </si>
  <si>
    <t>SYNTHETIC: Laptop repair; Pending approval; asset G-AST-00489</t>
  </si>
  <si>
    <t>G-REQ-02157-E2</t>
  </si>
  <si>
    <t>G-REQ-07836</t>
  </si>
  <si>
    <t>SYNTHETIC: Laptop repair; Approved; asset G-AST-00489</t>
  </si>
  <si>
    <t>G-REQ-02157-E3</t>
  </si>
  <si>
    <t>G-REQ-07837</t>
  </si>
  <si>
    <t>G-REQ-07838</t>
  </si>
  <si>
    <t>SYNTHETIC: Laptop repair; In progress; asset G-AST-00489</t>
  </si>
  <si>
    <t>G-REQ-02157-E4</t>
  </si>
  <si>
    <t>G-REQ-07839</t>
  </si>
  <si>
    <t>SYNTHETIC: Laptop repair; Completed; asset G-AST-00489</t>
  </si>
  <si>
    <t>G-REQ-02158-E1</t>
  </si>
  <si>
    <t>G-REQ-07840</t>
  </si>
  <si>
    <t>G-REQ-02158-E2</t>
  </si>
  <si>
    <t>G-REQ-07841</t>
  </si>
  <si>
    <t>G-REQ-07842</t>
  </si>
  <si>
    <t>G-REQ-02158-E3</t>
  </si>
  <si>
    <t>G-REQ-07843</t>
  </si>
  <si>
    <t>G-REQ-02158-E4</t>
  </si>
  <si>
    <t>G-REQ-07844</t>
  </si>
  <si>
    <t>G-REQ-02159-E1</t>
  </si>
  <si>
    <t>G-REQ-07845</t>
  </si>
  <si>
    <t>G-REQ-02159-E2</t>
  </si>
  <si>
    <t>G-REQ-02159-E3</t>
  </si>
  <si>
    <t>G-REQ-07846</t>
  </si>
  <si>
    <t>G-REQ-02159-E4</t>
  </si>
  <si>
    <t>G-REQ-07847</t>
  </si>
  <si>
    <t>G-REQ-02160-E1</t>
  </si>
  <si>
    <t>G-REQ-07848</t>
  </si>
  <si>
    <t>G-REQ-02160-E2</t>
  </si>
  <si>
    <t>G-REQ-07849</t>
  </si>
  <si>
    <t>G-REQ-02160-E3</t>
  </si>
  <si>
    <t>G-REQ-07850</t>
  </si>
  <si>
    <t>G-REQ-02160-E4</t>
  </si>
  <si>
    <t>G-REQ-07851</t>
  </si>
  <si>
    <t>G-REQ-02161-E1</t>
  </si>
  <si>
    <t>G-REQ-02161-E2</t>
  </si>
  <si>
    <t>G-REQ-02161-E3</t>
  </si>
  <si>
    <t>G-REQ-02161-E4</t>
  </si>
  <si>
    <t>G-REQ-02162-E1</t>
  </si>
  <si>
    <t>G-REQ-02162-E2</t>
  </si>
  <si>
    <t>G-REQ-02162-E3</t>
  </si>
  <si>
    <t>G-REQ-02162-E4</t>
  </si>
  <si>
    <t>G-REQ-02163-E1</t>
  </si>
  <si>
    <t>G-REQ-02163-E2</t>
  </si>
  <si>
    <t>G-REQ-02164-E1</t>
  </si>
  <si>
    <t>G-REQ-02164-E2</t>
  </si>
  <si>
    <t>G-REQ-02164-E3</t>
  </si>
  <si>
    <t>G-REQ-02164-E4</t>
  </si>
  <si>
    <t>G-REQ-02165-E1</t>
  </si>
  <si>
    <t>G-REQ-02165-E2</t>
  </si>
  <si>
    <t>G-REQ-02165-E3</t>
  </si>
  <si>
    <t>G-REQ-02165-E4</t>
  </si>
  <si>
    <t>G-REQ-02166-E1</t>
  </si>
  <si>
    <t>G-REQ-02166-E2</t>
  </si>
  <si>
    <t>G-REQ-02166-E3</t>
  </si>
  <si>
    <t>G-REQ-02166-E4</t>
  </si>
  <si>
    <t>G-REQ-02167-E1</t>
  </si>
  <si>
    <t>G-REQ-02167-E2</t>
  </si>
  <si>
    <t>G-REQ-02167-E3</t>
  </si>
  <si>
    <t>G-REQ-02167-E4</t>
  </si>
  <si>
    <t>G-REQ-02168-E1</t>
  </si>
  <si>
    <t>SYNTHETIC: Laptop repair; Pending approval; asset G-AST-00177</t>
  </si>
  <si>
    <t>G-REQ-02168-E2</t>
  </si>
  <si>
    <t>SYNTHETIC: Laptop repair; Cancelled; asset G-AST-00177</t>
  </si>
  <si>
    <t>G-REQ-02169-E1</t>
  </si>
  <si>
    <t>G-REQ-02169-E2</t>
  </si>
  <si>
    <t>SYNTHETIC: Laptop return; Approved; asset G-AST-00283</t>
  </si>
  <si>
    <t>G-REQ-02169-E3</t>
  </si>
  <si>
    <t>SYNTHETIC: Laptop return; In progress; asset G-AST-00283</t>
  </si>
  <si>
    <t>G-REQ-02169-E4</t>
  </si>
  <si>
    <t>SYNTHETIC: Laptop return; Completed; asset G-AST-00283</t>
  </si>
  <si>
    <t>G-REQ-02170-E1</t>
  </si>
  <si>
    <t>G-REQ-02170-E2</t>
  </si>
  <si>
    <t>SYNTHETIC: Laptop repair; Rejected; asset G-AST-00535</t>
  </si>
  <si>
    <t>G-REQ-02171-E1</t>
  </si>
  <si>
    <t>G-REQ-02171-E2</t>
  </si>
  <si>
    <t>G-REQ-02171-E3</t>
  </si>
  <si>
    <t>G-REQ-02171-E4</t>
  </si>
  <si>
    <t>G-REQ-02172-E1</t>
  </si>
  <si>
    <t>G-REQ-02172-E2</t>
  </si>
  <si>
    <t>G-REQ-02172-E3</t>
  </si>
  <si>
    <t>G-REQ-02172-E4</t>
  </si>
  <si>
    <t>G-REQ-02173-E1</t>
  </si>
  <si>
    <t>G-REQ-02173-E2</t>
  </si>
  <si>
    <t>G-REQ-02173-E3</t>
  </si>
  <si>
    <t>G-REQ-02173-E4</t>
  </si>
  <si>
    <t>G-REQ-02174-E1</t>
  </si>
  <si>
    <t>G-REQ-02174-E2</t>
  </si>
  <si>
    <t>SYNTHETIC: Laptop repair; Approved; asset G-AST-00041</t>
  </si>
  <si>
    <t>G-REQ-02174-E3</t>
  </si>
  <si>
    <t>SYNTHETIC: Laptop repair; In progress; asset G-AST-00041</t>
  </si>
  <si>
    <t>G-REQ-02174-E4</t>
  </si>
  <si>
    <t>SYNTHETIC: Laptop repair; Completed; asset G-AST-00041</t>
  </si>
  <si>
    <t>G-REQ-02175-E1</t>
  </si>
  <si>
    <t>G-REQ-02175-E2</t>
  </si>
  <si>
    <t>G-REQ-02175-E3</t>
  </si>
  <si>
    <t>G-REQ-02175-E4</t>
  </si>
  <si>
    <t>G-REQ-02176-E1</t>
  </si>
  <si>
    <t>G-REQ-02176-E2</t>
  </si>
  <si>
    <t>G-REQ-02176-E3</t>
  </si>
  <si>
    <t>G-REQ-02176-E4</t>
  </si>
  <si>
    <t>G-REQ-02177-E1</t>
  </si>
  <si>
    <t>G-REQ-02177-E2</t>
  </si>
  <si>
    <t>G-REQ-02177-E3</t>
  </si>
  <si>
    <t>G-REQ-02177-E4</t>
  </si>
  <si>
    <t>G-REQ-02178-E1</t>
  </si>
  <si>
    <t>G-REQ-02178-E2</t>
  </si>
  <si>
    <t>G-REQ-02178-E3</t>
  </si>
  <si>
    <t>G-REQ-02178-E4</t>
  </si>
  <si>
    <t>G-REQ-02179-E1</t>
  </si>
  <si>
    <t>G-REQ-02179-E2</t>
  </si>
  <si>
    <t>G-REQ-02179-E3</t>
  </si>
  <si>
    <t>G-REQ-02179-E4</t>
  </si>
  <si>
    <t>G-REQ-02180-E1</t>
  </si>
  <si>
    <t>G-REQ-02180-E2</t>
  </si>
  <si>
    <t>G-REQ-02180-E3</t>
  </si>
  <si>
    <t>G-REQ-02180-E4</t>
  </si>
  <si>
    <t>G-REQ-02181-E1</t>
  </si>
  <si>
    <t>G-REQ-02181-E2</t>
  </si>
  <si>
    <t>G-REQ-02181-E3</t>
  </si>
  <si>
    <t>G-REQ-02181-E4</t>
  </si>
  <si>
    <t>G-REQ-02182-E1</t>
  </si>
  <si>
    <t>G-REQ-02182-E2</t>
  </si>
  <si>
    <t>G-REQ-02182-E3</t>
  </si>
  <si>
    <t>G-REQ-02182-E4</t>
  </si>
  <si>
    <t>G-REQ-02183-E1</t>
  </si>
  <si>
    <t>G-REQ-02183-E2</t>
  </si>
  <si>
    <t>G-REQ-02183-E3</t>
  </si>
  <si>
    <t>G-REQ-02183-E4</t>
  </si>
  <si>
    <t>G-REQ-02184-E1</t>
  </si>
  <si>
    <t>G-REQ-02184-E2</t>
  </si>
  <si>
    <t>G-REQ-02184-E3</t>
  </si>
  <si>
    <t>G-REQ-02184-E4</t>
  </si>
  <si>
    <t>G-REQ-02185-E1</t>
  </si>
  <si>
    <t>G-REQ-02185-E2</t>
  </si>
  <si>
    <t>G-REQ-02185-E3</t>
  </si>
  <si>
    <t>G-REQ-02185-E4</t>
  </si>
  <si>
    <t>G-REQ-02186-E1</t>
  </si>
  <si>
    <t>G-REQ-02186-E2</t>
  </si>
  <si>
    <t>G-REQ-02187-E1</t>
  </si>
  <si>
    <t>G-REQ-02187-E2</t>
  </si>
  <si>
    <t>G-REQ-02187-E3</t>
  </si>
  <si>
    <t>G-REQ-02187-E4</t>
  </si>
  <si>
    <t>G-REQ-02188-E1</t>
  </si>
  <si>
    <t>G-REQ-02188-E2</t>
  </si>
  <si>
    <t>G-REQ-02188-E3</t>
  </si>
  <si>
    <t>G-REQ-02188-E4</t>
  </si>
  <si>
    <t>G-REQ-02189-E1</t>
  </si>
  <si>
    <t>G-REQ-02189-E2</t>
  </si>
  <si>
    <t>G-REQ-02189-E3</t>
  </si>
  <si>
    <t>G-REQ-02189-E4</t>
  </si>
  <si>
    <t>G-REQ-02190-E1</t>
  </si>
  <si>
    <t>G-REQ-02190-E2</t>
  </si>
  <si>
    <t>G-REQ-02190-E3</t>
  </si>
  <si>
    <t>G-REQ-02190-E4</t>
  </si>
  <si>
    <t>G-REQ-02191-E1</t>
  </si>
  <si>
    <t>G-REQ-02191-E2</t>
  </si>
  <si>
    <t>SYNTHETIC: Laptop repair; Rejected; asset G-AST-00019</t>
  </si>
  <si>
    <t>G-REQ-02192-E1</t>
  </si>
  <si>
    <t>G-REQ-02192-E2</t>
  </si>
  <si>
    <t>G-REQ-02192-E3</t>
  </si>
  <si>
    <t>G-REQ-02192-E4</t>
  </si>
  <si>
    <t>G-REQ-02193-E1</t>
  </si>
  <si>
    <t>G-REQ-02193-E2</t>
  </si>
  <si>
    <t>G-REQ-02193-E3</t>
  </si>
  <si>
    <t>G-REQ-02193-E4</t>
  </si>
  <si>
    <t>G-REQ-02194-E1</t>
  </si>
  <si>
    <t>G-REQ-02194-E2</t>
  </si>
  <si>
    <t>G-REQ-02194-E3</t>
  </si>
  <si>
    <t>G-REQ-02194-E4</t>
  </si>
  <si>
    <t>G-REQ-02195-E1</t>
  </si>
  <si>
    <t>SYNTHETIC: Laptop return; Pending approval; asset G-AST-00331</t>
  </si>
  <si>
    <t>G-REQ-02195-E2</t>
  </si>
  <si>
    <t>SYNTHETIC: Laptop return; Approved; asset G-AST-00331</t>
  </si>
  <si>
    <t>G-REQ-02195-E3</t>
  </si>
  <si>
    <t>SYNTHETIC: Laptop return; In progress; asset G-AST-00331</t>
  </si>
  <si>
    <t>G-REQ-02195-E4</t>
  </si>
  <si>
    <t>SYNTHETIC: Laptop return; Completed; asset G-AST-00331</t>
  </si>
  <si>
    <t>G-REQ-02196-E1</t>
  </si>
  <si>
    <t>G-REQ-02196-E2</t>
  </si>
  <si>
    <t>G-REQ-02196-E3</t>
  </si>
  <si>
    <t>G-REQ-02196-E4</t>
  </si>
  <si>
    <t>G-REQ-02197-E1</t>
  </si>
  <si>
    <t>G-REQ-02197-E2</t>
  </si>
  <si>
    <t>G-REQ-02197-E3</t>
  </si>
  <si>
    <t>G-REQ-02197-E4</t>
  </si>
  <si>
    <t>G-REQ-02198-E1</t>
  </si>
  <si>
    <t>G-REQ-02198-E2</t>
  </si>
  <si>
    <t>G-REQ-02198-E3</t>
  </si>
  <si>
    <t>G-REQ-02198-E4</t>
  </si>
  <si>
    <t>G-REQ-02199-E1</t>
  </si>
  <si>
    <t>G-REQ-02199-E2</t>
  </si>
  <si>
    <t>G-REQ-02199-E3</t>
  </si>
  <si>
    <t>G-REQ-02199-E4</t>
  </si>
  <si>
    <t>G-REQ-02200-E1</t>
  </si>
  <si>
    <t>SYNTHETIC: Laptop repair; Pending approval; asset G-AST-00194</t>
  </si>
  <si>
    <t>G-REQ-02200-E2</t>
  </si>
  <si>
    <t>SYNTHETIC: Laptop repair; Approved; asset G-AST-00194</t>
  </si>
  <si>
    <t>G-REQ-02200-E3</t>
  </si>
  <si>
    <t>SYNTHETIC: Laptop repair; In progress; asset G-AST-00194</t>
  </si>
  <si>
    <t>G-REQ-02200-E4</t>
  </si>
  <si>
    <t>SYNTHETIC: Laptop repair; Completed; asset G-AST-00194</t>
  </si>
  <si>
    <t>G-REQ-02201-E1</t>
  </si>
  <si>
    <t>G-REQ-02201-E2</t>
  </si>
  <si>
    <t>G-REQ-02201-E3</t>
  </si>
  <si>
    <t>G-REQ-02201-E4</t>
  </si>
  <si>
    <t>G-REQ-02202-E1</t>
  </si>
  <si>
    <t>G-REQ-02202-E2</t>
  </si>
  <si>
    <t>G-REQ-02202-E3</t>
  </si>
  <si>
    <t>G-REQ-02202-E4</t>
  </si>
  <si>
    <t>G-REQ-02203-E1</t>
  </si>
  <si>
    <t>SYNTHETIC: Laptop repair; Pending approval; asset G-AST-00193</t>
  </si>
  <si>
    <t>G-REQ-02203-E2</t>
  </si>
  <si>
    <t>SYNTHETIC: Laptop repair; Rejected; asset G-AST-00193</t>
  </si>
  <si>
    <t>G-REQ-02204-E1</t>
  </si>
  <si>
    <t>G-REQ-02204-E2</t>
  </si>
  <si>
    <t>G-REQ-02204-E3</t>
  </si>
  <si>
    <t>G-REQ-02204-E4</t>
  </si>
  <si>
    <t>G-REQ-02205-E1</t>
  </si>
  <si>
    <t>G-REQ-02205-E2</t>
  </si>
  <si>
    <t>G-REQ-02205-E3</t>
  </si>
  <si>
    <t>G-REQ-02205-E4</t>
  </si>
  <si>
    <t>G-REQ-02206-E1</t>
  </si>
  <si>
    <t>G-REQ-02206-E2</t>
  </si>
  <si>
    <t>G-REQ-02206-E3</t>
  </si>
  <si>
    <t>G-REQ-02206-E4</t>
  </si>
  <si>
    <t>G-REQ-02207-E1</t>
  </si>
  <si>
    <t>G-REQ-02207-E2</t>
  </si>
  <si>
    <t>G-REQ-02207-E3</t>
  </si>
  <si>
    <t>G-REQ-02207-E4</t>
  </si>
  <si>
    <t>G-REQ-02208-E1</t>
  </si>
  <si>
    <t>G-REQ-02208-E2</t>
  </si>
  <si>
    <t>G-REQ-02208-E3</t>
  </si>
  <si>
    <t>G-REQ-02208-E4</t>
  </si>
  <si>
    <t>G-REQ-02209-E1</t>
  </si>
  <si>
    <t>G-REQ-02209-E2</t>
  </si>
  <si>
    <t>G-REQ-02209-E3</t>
  </si>
  <si>
    <t>G-REQ-02209-E4</t>
  </si>
  <si>
    <t>G-REQ-02210-E1</t>
  </si>
  <si>
    <t>G-REQ-02210-E2</t>
  </si>
  <si>
    <t>G-REQ-02210-E3</t>
  </si>
  <si>
    <t>G-REQ-02210-E4</t>
  </si>
  <si>
    <t>G-REQ-02211-E1</t>
  </si>
  <si>
    <t>G-REQ-02211-E2</t>
  </si>
  <si>
    <t>G-REQ-02211-E3</t>
  </si>
  <si>
    <t>G-REQ-02211-E4</t>
  </si>
  <si>
    <t>G-REQ-02212-E1</t>
  </si>
  <si>
    <t>G-REQ-02212-E2</t>
  </si>
  <si>
    <t>G-REQ-02212-E3</t>
  </si>
  <si>
    <t>G-REQ-02212-E4</t>
  </si>
  <si>
    <t>G-REQ-02213-E1</t>
  </si>
  <si>
    <t>G-REQ-02213-E2</t>
  </si>
  <si>
    <t>G-REQ-02213-E3</t>
  </si>
  <si>
    <t>G-REQ-02213-E4</t>
  </si>
  <si>
    <t>G-REQ-02214-E1</t>
  </si>
  <si>
    <t>SYNTHETIC: Laptop repair; Pending approval; asset G-AST-00185</t>
  </si>
  <si>
    <t>G-REQ-02214-E2</t>
  </si>
  <si>
    <t>SYNTHETIC: Laptop repair; Approved; asset G-AST-00185</t>
  </si>
  <si>
    <t>G-REQ-02214-E3</t>
  </si>
  <si>
    <t>SYNTHETIC: Laptop repair; In progress; asset G-AST-00185</t>
  </si>
  <si>
    <t>G-REQ-02214-E4</t>
  </si>
  <si>
    <t>SYNTHETIC: Laptop repair; Completed; asset G-AST-00185</t>
  </si>
  <si>
    <t>G-REQ-02215-E1</t>
  </si>
  <si>
    <t>G-REQ-02215-E2</t>
  </si>
  <si>
    <t>G-REQ-02215-E3</t>
  </si>
  <si>
    <t>G-REQ-02215-E4</t>
  </si>
  <si>
    <t>G-REQ-02216-E1</t>
  </si>
  <si>
    <t>G-REQ-02216-E2</t>
  </si>
  <si>
    <t>G-REQ-02217-E1</t>
  </si>
  <si>
    <t>G-REQ-02217-E2</t>
  </si>
  <si>
    <t>G-REQ-02217-E3</t>
  </si>
  <si>
    <t>G-REQ-02217-E4</t>
  </si>
  <si>
    <t>G-REQ-02218-E1</t>
  </si>
  <si>
    <t>G-REQ-02218-E2</t>
  </si>
  <si>
    <t>G-REQ-02219-E1</t>
  </si>
  <si>
    <t>G-REQ-02219-E2</t>
  </si>
  <si>
    <t>G-REQ-02219-E3</t>
  </si>
  <si>
    <t>G-REQ-02219-E4</t>
  </si>
  <si>
    <t>G-REQ-02220-E1</t>
  </si>
  <si>
    <t>G-REQ-02220-E2</t>
  </si>
  <si>
    <t>G-REQ-02220-E3</t>
  </si>
  <si>
    <t>G-REQ-02220-E4</t>
  </si>
  <si>
    <t>G-REQ-02221-E1</t>
  </si>
  <si>
    <t>G-REQ-02221-E2</t>
  </si>
  <si>
    <t>G-REQ-02221-E3</t>
  </si>
  <si>
    <t>G-REQ-02221-E4</t>
  </si>
  <si>
    <t>G-REQ-02222-E1</t>
  </si>
  <si>
    <t>G-REQ-02222-E2</t>
  </si>
  <si>
    <t>G-REQ-02222-E3</t>
  </si>
  <si>
    <t>G-REQ-02222-E4</t>
  </si>
  <si>
    <t>G-REQ-02223-E1</t>
  </si>
  <si>
    <t>G-REQ-02223-E2</t>
  </si>
  <si>
    <t>G-REQ-02223-E3</t>
  </si>
  <si>
    <t>G-REQ-02223-E4</t>
  </si>
  <si>
    <t>G-REQ-02224-E1</t>
  </si>
  <si>
    <t>G-REQ-02224-E2</t>
  </si>
  <si>
    <t>G-REQ-02224-E3</t>
  </si>
  <si>
    <t>G-REQ-02224-E4</t>
  </si>
  <si>
    <t>G-REQ-02225-E1</t>
  </si>
  <si>
    <t>G-REQ-02225-E2</t>
  </si>
  <si>
    <t>G-REQ-02225-E3</t>
  </si>
  <si>
    <t>G-REQ-02225-E4</t>
  </si>
  <si>
    <t>G-REQ-02226-E1</t>
  </si>
  <si>
    <t>G-REQ-02226-E2</t>
  </si>
  <si>
    <t>SYNTHETIC: Laptop repair; Rejected; asset G-AST-00039</t>
  </si>
  <si>
    <t>G-REQ-02227-E1</t>
  </si>
  <si>
    <t>G-REQ-02227-E2</t>
  </si>
  <si>
    <t>G-REQ-02227-E3</t>
  </si>
  <si>
    <t>G-REQ-02227-E4</t>
  </si>
  <si>
    <t>G-REQ-02228-E1</t>
  </si>
  <si>
    <t>G-REQ-02228-E2</t>
  </si>
  <si>
    <t>G-REQ-02228-E3</t>
  </si>
  <si>
    <t>G-REQ-02228-E4</t>
  </si>
  <si>
    <t>G-REQ-02229-E1</t>
  </si>
  <si>
    <t>G-REQ-02229-E2</t>
  </si>
  <si>
    <t>G-REQ-02229-E3</t>
  </si>
  <si>
    <t>G-REQ-02229-E4</t>
  </si>
  <si>
    <t>G-REQ-02230-E1</t>
  </si>
  <si>
    <t>SYNTHETIC: Laptop return; Pending approval; asset G-AST-00377</t>
  </si>
  <si>
    <t>G-REQ-02230-E2</t>
  </si>
  <si>
    <t>SYNTHETIC: Laptop return; Approved; asset G-AST-00377</t>
  </si>
  <si>
    <t>G-REQ-02230-E3</t>
  </si>
  <si>
    <t>SYNTHETIC: Laptop return; In progress; asset G-AST-00377</t>
  </si>
  <si>
    <t>G-REQ-02230-E4</t>
  </si>
  <si>
    <t>SYNTHETIC: Laptop return; Completed; asset G-AST-00377</t>
  </si>
  <si>
    <t>G-REQ-02231-E1</t>
  </si>
  <si>
    <t>SYNTHETIC: Laptop return; Pending approval; asset G-AST-00323</t>
  </si>
  <si>
    <t>G-REQ-02231-E2</t>
  </si>
  <si>
    <t>SYNTHETIC: Laptop return; Rejected; asset G-AST-00323</t>
  </si>
  <si>
    <t>G-REQ-02232-E1</t>
  </si>
  <si>
    <t>G-REQ-02232-E2</t>
  </si>
  <si>
    <t>G-REQ-02232-E3</t>
  </si>
  <si>
    <t>G-REQ-02232-E4</t>
  </si>
  <si>
    <t>G-REQ-02233-E1</t>
  </si>
  <si>
    <t>G-REQ-02233-E2</t>
  </si>
  <si>
    <t>G-REQ-02233-E3</t>
  </si>
  <si>
    <t>G-REQ-02233-E4</t>
  </si>
  <si>
    <t>G-REQ-02234-E1</t>
  </si>
  <si>
    <t>G-REQ-02234-E2</t>
  </si>
  <si>
    <t>G-REQ-02234-E3</t>
  </si>
  <si>
    <t>G-REQ-02234-E4</t>
  </si>
  <si>
    <t>G-REQ-02235-E1</t>
  </si>
  <si>
    <t>G-REQ-02235-E2</t>
  </si>
  <si>
    <t>G-REQ-02235-E3</t>
  </si>
  <si>
    <t>G-REQ-02235-E4</t>
  </si>
  <si>
    <t>G-REQ-02236-E1</t>
  </si>
  <si>
    <t>G-REQ-02236-E2</t>
  </si>
  <si>
    <t>SYNTHETIC: Laptop return; Approved; asset G-AST-00244</t>
  </si>
  <si>
    <t>G-REQ-02236-E3</t>
  </si>
  <si>
    <t>SYNTHETIC: Laptop return; In progress; asset G-AST-00244</t>
  </si>
  <si>
    <t>G-REQ-02236-E4</t>
  </si>
  <si>
    <t>SYNTHETIC: Laptop return; Completed; asset G-AST-00244</t>
  </si>
  <si>
    <t>G-REQ-02237-E1</t>
  </si>
  <si>
    <t>G-REQ-02237-E2</t>
  </si>
  <si>
    <t>G-REQ-02237-E3</t>
  </si>
  <si>
    <t>G-REQ-02237-E4</t>
  </si>
  <si>
    <t>G-REQ-02238-E1</t>
  </si>
  <si>
    <t>G-REQ-02238-E2</t>
  </si>
  <si>
    <t>G-REQ-02238-E3</t>
  </si>
  <si>
    <t>G-REQ-02238-E4</t>
  </si>
  <si>
    <t>G-REQ-02239-E1</t>
  </si>
  <si>
    <t>SYNTHETIC: Laptop return; Pending approval; asset G-AST-00376</t>
  </si>
  <si>
    <t>G-REQ-02239-E2</t>
  </si>
  <si>
    <t>SYNTHETIC: Laptop return; Approved; asset G-AST-00376</t>
  </si>
  <si>
    <t>G-REQ-02239-E3</t>
  </si>
  <si>
    <t>SYNTHETIC: Laptop return; In progress; asset G-AST-00376</t>
  </si>
  <si>
    <t>G-REQ-02239-E4</t>
  </si>
  <si>
    <t>SYNTHETIC: Laptop return; Completed; asset G-AST-00376</t>
  </si>
  <si>
    <t>G-REQ-02240-E1</t>
  </si>
  <si>
    <t>G-REQ-02240-E2</t>
  </si>
  <si>
    <t>G-REQ-02240-E3</t>
  </si>
  <si>
    <t>G-REQ-02240-E4</t>
  </si>
  <si>
    <t>G-REQ-02241-E1</t>
  </si>
  <si>
    <t>G-REQ-02241-E2</t>
  </si>
  <si>
    <t>SYNTHETIC: Laptop return; Cancelled; asset G-AST-00175</t>
  </si>
  <si>
    <t>G-REQ-02242-E1</t>
  </si>
  <si>
    <t>G-REQ-02242-E2</t>
  </si>
  <si>
    <t>G-REQ-02242-E3</t>
  </si>
  <si>
    <t>G-REQ-02242-E4</t>
  </si>
  <si>
    <t>G-REQ-02243-E1</t>
  </si>
  <si>
    <t>G-REQ-02243-E2</t>
  </si>
  <si>
    <t>SYNTHETIC: Laptop repair; Rejected; asset G-AST-00046</t>
  </si>
  <si>
    <t>G-REQ-02244-E1</t>
  </si>
  <si>
    <t>G-REQ-02244-E2</t>
  </si>
  <si>
    <t>G-REQ-02244-E3</t>
  </si>
  <si>
    <t>G-REQ-02244-E4</t>
  </si>
  <si>
    <t>G-REQ-02245-E1</t>
  </si>
  <si>
    <t>G-REQ-02245-E2</t>
  </si>
  <si>
    <t>SYNTHETIC: Laptop repair; Approved; asset G-AST-00149</t>
  </si>
  <si>
    <t>G-REQ-02245-E3</t>
  </si>
  <si>
    <t>SYNTHETIC: Laptop repair; In progress; asset G-AST-00149</t>
  </si>
  <si>
    <t>G-REQ-02245-E4</t>
  </si>
  <si>
    <t>SYNTHETIC: Laptop repair; Completed; asset G-AST-00149</t>
  </si>
  <si>
    <t>G-REQ-02246-E1</t>
  </si>
  <si>
    <t>G-REQ-02246-E2</t>
  </si>
  <si>
    <t>G-REQ-02246-E3</t>
  </si>
  <si>
    <t>G-REQ-02246-E4</t>
  </si>
  <si>
    <t>G-REQ-02247-E1</t>
  </si>
  <si>
    <t>G-REQ-02247-E2</t>
  </si>
  <si>
    <t>G-REQ-02247-E3</t>
  </si>
  <si>
    <t>G-REQ-02247-E4</t>
  </si>
  <si>
    <t>G-REQ-02248-E1</t>
  </si>
  <si>
    <t>SYNTHETIC: Laptop repair; Pending approval; asset G-AST-00200</t>
  </si>
  <si>
    <t>G-REQ-02248-E2</t>
  </si>
  <si>
    <t>SYNTHETIC: Laptop repair; Approved; asset G-AST-00200</t>
  </si>
  <si>
    <t>G-REQ-02248-E3</t>
  </si>
  <si>
    <t>SYNTHETIC: Laptop repair; In progress; asset G-AST-00200</t>
  </si>
  <si>
    <t>G-REQ-02248-E4</t>
  </si>
  <si>
    <t>SYNTHETIC: Laptop repair; Completed; asset G-AST-00200</t>
  </si>
  <si>
    <t>G-REQ-02249-E1</t>
  </si>
  <si>
    <t>G-REQ-02249-E2</t>
  </si>
  <si>
    <t>G-REQ-02249-E3</t>
  </si>
  <si>
    <t>G-REQ-02249-E4</t>
  </si>
  <si>
    <t>G-REQ-02250-E1</t>
  </si>
  <si>
    <t>G-REQ-02250-E2</t>
  </si>
  <si>
    <t>G-REQ-02250-E3</t>
  </si>
  <si>
    <t>G-REQ-02250-E4</t>
  </si>
  <si>
    <t>G-REQ-02251-E1</t>
  </si>
  <si>
    <t>G-REQ-02251-E2</t>
  </si>
  <si>
    <t>G-REQ-02251-E3</t>
  </si>
  <si>
    <t>G-REQ-02251-E4</t>
  </si>
  <si>
    <t>G-REQ-02252-E1</t>
  </si>
  <si>
    <t>G-REQ-02252-E2</t>
  </si>
  <si>
    <t>G-REQ-02252-E3</t>
  </si>
  <si>
    <t>G-REQ-02252-E4</t>
  </si>
  <si>
    <t>G-REQ-02253-E1</t>
  </si>
  <si>
    <t>G-REQ-02253-E2</t>
  </si>
  <si>
    <t>G-REQ-02253-E3</t>
  </si>
  <si>
    <t>G-REQ-02253-E4</t>
  </si>
  <si>
    <t>G-REQ-02254-E1</t>
  </si>
  <si>
    <t>SYNTHETIC: Laptop return; Pending approval; asset G-AST-00537</t>
  </si>
  <si>
    <t>G-REQ-02254-E2</t>
  </si>
  <si>
    <t>SYNTHETIC: Laptop return; Approved; asset G-AST-00537</t>
  </si>
  <si>
    <t>G-REQ-02254-E3</t>
  </si>
  <si>
    <t>SYNTHETIC: Laptop return; In progress; asset G-AST-00537</t>
  </si>
  <si>
    <t>G-REQ-02254-E4</t>
  </si>
  <si>
    <t>SYNTHETIC: Laptop return; Completed; asset G-AST-00537</t>
  </si>
  <si>
    <t>G-REQ-02255-E1</t>
  </si>
  <si>
    <t>G-REQ-02255-E2</t>
  </si>
  <si>
    <t>G-REQ-02255-E3</t>
  </si>
  <si>
    <t>G-REQ-02255-E4</t>
  </si>
  <si>
    <t>G-REQ-02256-E1</t>
  </si>
  <si>
    <t>G-REQ-02256-E2</t>
  </si>
  <si>
    <t>G-REQ-02256-E3</t>
  </si>
  <si>
    <t>G-REQ-02256-E4</t>
  </si>
  <si>
    <t>G-REQ-02257-E1</t>
  </si>
  <si>
    <t>G-REQ-02257-E2</t>
  </si>
  <si>
    <t>G-REQ-02257-E3</t>
  </si>
  <si>
    <t>G-REQ-02257-E4</t>
  </si>
  <si>
    <t>G-REQ-02258-E1</t>
  </si>
  <si>
    <t>G-REQ-02258-E2</t>
  </si>
  <si>
    <t>G-REQ-02258-E3</t>
  </si>
  <si>
    <t>G-REQ-02258-E4</t>
  </si>
  <si>
    <t>G-REQ-02259-E1</t>
  </si>
  <si>
    <t>SYNTHETIC: Laptop return; Pending approval; asset G-AST-00476</t>
  </si>
  <si>
    <t>G-REQ-02259-E2</t>
  </si>
  <si>
    <t>SYNTHETIC: Laptop return; Rejected; asset G-AST-00476</t>
  </si>
  <si>
    <t>G-REQ-02260-E1</t>
  </si>
  <si>
    <t>SYNTHETIC: Laptop return; Pending approval; asset G-AST-00415</t>
  </si>
  <si>
    <t>G-REQ-02260-E2</t>
  </si>
  <si>
    <t>SYNTHETIC: Laptop return; Approved; asset G-AST-00415</t>
  </si>
  <si>
    <t>G-REQ-02260-E3</t>
  </si>
  <si>
    <t>SYNTHETIC: Laptop return; In progress; asset G-AST-00415</t>
  </si>
  <si>
    <t>G-REQ-02260-E4</t>
  </si>
  <si>
    <t>SYNTHETIC: Laptop return; Completed; asset G-AST-00415</t>
  </si>
  <si>
    <t>G-REQ-02261-E1</t>
  </si>
  <si>
    <t>G-REQ-02261-E2</t>
  </si>
  <si>
    <t>G-REQ-02261-E3</t>
  </si>
  <si>
    <t>G-REQ-02261-E4</t>
  </si>
  <si>
    <t>G-REQ-02262-E1</t>
  </si>
  <si>
    <t>G-REQ-02262-E2</t>
  </si>
  <si>
    <t>G-REQ-02262-E3</t>
  </si>
  <si>
    <t>G-REQ-02262-E4</t>
  </si>
  <si>
    <t>G-REQ-02263-E1</t>
  </si>
  <si>
    <t>G-REQ-02263-E2</t>
  </si>
  <si>
    <t>G-REQ-02263-E3</t>
  </si>
  <si>
    <t>G-REQ-02263-E4</t>
  </si>
  <si>
    <t>G-REQ-02264-E1</t>
  </si>
  <si>
    <t>SYNTHETIC: Laptop repair; Pending approval; asset G-AST-00210</t>
  </si>
  <si>
    <t>G-REQ-02264-E2</t>
  </si>
  <si>
    <t>SYNTHETIC: Laptop repair; Approved; asset G-AST-00210</t>
  </si>
  <si>
    <t>G-REQ-02264-E3</t>
  </si>
  <si>
    <t>SYNTHETIC: Laptop repair; In progress; asset G-AST-00210</t>
  </si>
  <si>
    <t>G-REQ-02264-E4</t>
  </si>
  <si>
    <t>SYNTHETIC: Laptop repair; Completed; asset G-AST-00210</t>
  </si>
  <si>
    <t>G-REQ-02265-E1</t>
  </si>
  <si>
    <t>G-REQ-02265-E2</t>
  </si>
  <si>
    <t>SYNTHETIC: Laptop repair; Cancelled; asset G-AST-00188</t>
  </si>
  <si>
    <t>G-REQ-02266-E1</t>
  </si>
  <si>
    <t>G-REQ-02266-E2</t>
  </si>
  <si>
    <t>G-REQ-02266-E3</t>
  </si>
  <si>
    <t>G-REQ-02266-E4</t>
  </si>
  <si>
    <t>G-REQ-02267-E1</t>
  </si>
  <si>
    <t>G-REQ-02267-E2</t>
  </si>
  <si>
    <t>G-REQ-02267-E3</t>
  </si>
  <si>
    <t>G-REQ-02267-E4</t>
  </si>
  <si>
    <t>G-REQ-02268-E1</t>
  </si>
  <si>
    <t>G-REQ-02268-E2</t>
  </si>
  <si>
    <t>G-REQ-02268-E3</t>
  </si>
  <si>
    <t>G-REQ-02268-E4</t>
  </si>
  <si>
    <t>G-REQ-02269-E1</t>
  </si>
  <si>
    <t>G-REQ-02269-E2</t>
  </si>
  <si>
    <t>G-REQ-02269-E3</t>
  </si>
  <si>
    <t>G-REQ-02269-E4</t>
  </si>
  <si>
    <t>G-REQ-02270-E1</t>
  </si>
  <si>
    <t>G-REQ-02270-E2</t>
  </si>
  <si>
    <t>G-REQ-02270-E3</t>
  </si>
  <si>
    <t>G-REQ-02270-E4</t>
  </si>
  <si>
    <t>G-REQ-02271-E1</t>
  </si>
  <si>
    <t>G-REQ-02271-E2</t>
  </si>
  <si>
    <t>G-REQ-02271-E3</t>
  </si>
  <si>
    <t>G-REQ-02271-E4</t>
  </si>
  <si>
    <t>G-REQ-02272-E1</t>
  </si>
  <si>
    <t>G-REQ-02272-E2</t>
  </si>
  <si>
    <t>G-REQ-02272-E3</t>
  </si>
  <si>
    <t>G-REQ-02272-E4</t>
  </si>
  <si>
    <t>G-REQ-02273-E1</t>
  </si>
  <si>
    <t>G-REQ-02273-E2</t>
  </si>
  <si>
    <t>SYNTHETIC: Laptop repair; Cancelled; asset G-AST-00148</t>
  </si>
  <si>
    <t>G-REQ-02274-E1</t>
  </si>
  <si>
    <t>G-REQ-02274-E2</t>
  </si>
  <si>
    <t>G-REQ-02274-E3</t>
  </si>
  <si>
    <t>G-REQ-02274-E4</t>
  </si>
  <si>
    <t>G-REQ-02275-E1</t>
  </si>
  <si>
    <t>G-REQ-02275-E2</t>
  </si>
  <si>
    <t>G-REQ-02275-E3</t>
  </si>
  <si>
    <t>G-REQ-02275-E4</t>
  </si>
  <si>
    <t>G-REQ-02276-E1</t>
  </si>
  <si>
    <t>G-REQ-02276-E2</t>
  </si>
  <si>
    <t>G-REQ-02276-E3</t>
  </si>
  <si>
    <t>G-REQ-02276-E4</t>
  </si>
  <si>
    <t>G-REQ-02277-E1</t>
  </si>
  <si>
    <t>G-REQ-02277-E2</t>
  </si>
  <si>
    <t>G-REQ-02277-E3</t>
  </si>
  <si>
    <t>G-REQ-02277-E4</t>
  </si>
  <si>
    <t>G-REQ-02278-E1</t>
  </si>
  <si>
    <t>G-REQ-02278-E2</t>
  </si>
  <si>
    <t>G-REQ-02279-E1</t>
  </si>
  <si>
    <t>G-REQ-02279-E2</t>
  </si>
  <si>
    <t>G-REQ-02279-E3</t>
  </si>
  <si>
    <t>G-REQ-02279-E4</t>
  </si>
  <si>
    <t>G-REQ-02280-E1</t>
  </si>
  <si>
    <t>G-REQ-02280-E2</t>
  </si>
  <si>
    <t>G-REQ-02280-E3</t>
  </si>
  <si>
    <t>G-REQ-02280-E4</t>
  </si>
  <si>
    <t>G-REQ-02281-E1</t>
  </si>
  <si>
    <t>G-REQ-02281-E2</t>
  </si>
  <si>
    <t>G-REQ-02281-E3</t>
  </si>
  <si>
    <t>G-REQ-02281-E4</t>
  </si>
  <si>
    <t>G-REQ-02282-E1</t>
  </si>
  <si>
    <t>SYNTHETIC: Laptop return; Pending approval; asset G-AST-00166</t>
  </si>
  <si>
    <t>G-REQ-02282-E2</t>
  </si>
  <si>
    <t>SYNTHETIC: Laptop return; Approved; asset G-AST-00166</t>
  </si>
  <si>
    <t>G-REQ-02282-E3</t>
  </si>
  <si>
    <t>SYNTHETIC: Laptop return; In progress; asset G-AST-00166</t>
  </si>
  <si>
    <t>G-REQ-02282-E4</t>
  </si>
  <si>
    <t>SYNTHETIC: Laptop return; Completed; asset G-AST-00166</t>
  </si>
  <si>
    <t>G-REQ-02283-E1</t>
  </si>
  <si>
    <t>G-REQ-02283-E2</t>
  </si>
  <si>
    <t>G-REQ-02283-E3</t>
  </si>
  <si>
    <t>G-REQ-02283-E4</t>
  </si>
  <si>
    <t>G-REQ-02284-E1</t>
  </si>
  <si>
    <t>G-REQ-02284-E2</t>
  </si>
  <si>
    <t>G-REQ-02285-E1</t>
  </si>
  <si>
    <t>G-REQ-02285-E2</t>
  </si>
  <si>
    <t>G-REQ-02285-E3</t>
  </si>
  <si>
    <t>G-REQ-02285-E4</t>
  </si>
  <si>
    <t>G-REQ-02286-E1</t>
  </si>
  <si>
    <t>SYNTHETIC: Laptop repair; Pending approval; asset G-AST-00209</t>
  </si>
  <si>
    <t>G-REQ-02286-E2</t>
  </si>
  <si>
    <t>SYNTHETIC: Laptop repair; Approved; asset G-AST-00209</t>
  </si>
  <si>
    <t>G-REQ-02286-E3</t>
  </si>
  <si>
    <t>SYNTHETIC: Laptop repair; In progress; asset G-AST-00209</t>
  </si>
  <si>
    <t>G-REQ-02286-E4</t>
  </si>
  <si>
    <t>SYNTHETIC: Laptop repair; Completed; asset G-AST-00209</t>
  </si>
  <si>
    <t>G-REQ-02287-E1</t>
  </si>
  <si>
    <t>SYNTHETIC: Laptop return; Pending approval; asset G-AST-00411</t>
  </si>
  <si>
    <t>G-REQ-02287-E2</t>
  </si>
  <si>
    <t>SYNTHETIC: Laptop return; Approved; asset G-AST-00411</t>
  </si>
  <si>
    <t>G-REQ-02287-E3</t>
  </si>
  <si>
    <t>SYNTHETIC: Laptop return; In progress; asset G-AST-00411</t>
  </si>
  <si>
    <t>G-REQ-02287-E4</t>
  </si>
  <si>
    <t>SYNTHETIC: Laptop return; Completed; asset G-AST-00411</t>
  </si>
  <si>
    <t>G-REQ-02288-E1</t>
  </si>
  <si>
    <t>G-REQ-02288-E2</t>
  </si>
  <si>
    <t>G-REQ-02288-E3</t>
  </si>
  <si>
    <t>G-REQ-02288-E4</t>
  </si>
  <si>
    <t>G-REQ-02289-E1</t>
  </si>
  <si>
    <t>G-REQ-02289-E2</t>
  </si>
  <si>
    <t>G-REQ-02289-E3</t>
  </si>
  <si>
    <t>G-REQ-02289-E4</t>
  </si>
  <si>
    <t>G-REQ-02290-E1</t>
  </si>
  <si>
    <t>G-REQ-02290-E2</t>
  </si>
  <si>
    <t>G-REQ-02290-E3</t>
  </si>
  <si>
    <t>G-REQ-02290-E4</t>
  </si>
  <si>
    <t>G-REQ-02291-E1</t>
  </si>
  <si>
    <t>G-REQ-02291-E2</t>
  </si>
  <si>
    <t>G-REQ-02291-E3</t>
  </si>
  <si>
    <t>G-REQ-02291-E4</t>
  </si>
  <si>
    <t>G-REQ-02292-E1</t>
  </si>
  <si>
    <t>SYNTHETIC: Laptop return; Pending approval; asset G-AST-00498</t>
  </si>
  <si>
    <t>G-REQ-02292-E2</t>
  </si>
  <si>
    <t>SYNTHETIC: Laptop return; Approved; asset G-AST-00498</t>
  </si>
  <si>
    <t>G-REQ-02292-E3</t>
  </si>
  <si>
    <t>SYNTHETIC: Laptop return; In progress; asset G-AST-00498</t>
  </si>
  <si>
    <t>G-REQ-02292-E4</t>
  </si>
  <si>
    <t>SYNTHETIC: Laptop return; Completed; asset G-AST-00498</t>
  </si>
  <si>
    <t>G-REQ-02293-E1</t>
  </si>
  <si>
    <t>G-REQ-02293-E2</t>
  </si>
  <si>
    <t>G-REQ-02293-E3</t>
  </si>
  <si>
    <t>G-REQ-02293-E4</t>
  </si>
  <si>
    <t>G-REQ-02294-E1</t>
  </si>
  <si>
    <t>SYNTHETIC: Laptop return; Pending approval; asset G-AST-00538</t>
  </si>
  <si>
    <t>G-REQ-02294-E2</t>
  </si>
  <si>
    <t>SYNTHETIC: Laptop return; Approved; asset G-AST-00538</t>
  </si>
  <si>
    <t>G-REQ-02294-E3</t>
  </si>
  <si>
    <t>SYNTHETIC: Laptop return; In progress; asset G-AST-00538</t>
  </si>
  <si>
    <t>G-REQ-02294-E4</t>
  </si>
  <si>
    <t>SYNTHETIC: Laptop return; Completed; asset G-AST-00538</t>
  </si>
  <si>
    <t>G-REQ-02295-E1</t>
  </si>
  <si>
    <t>G-REQ-02295-E2</t>
  </si>
  <si>
    <t>SYNTHETIC: Laptop repair; Approved; asset G-AST-00018</t>
  </si>
  <si>
    <t>G-REQ-02295-E3</t>
  </si>
  <si>
    <t>SYNTHETIC: Laptop repair; In progress; asset G-AST-00018</t>
  </si>
  <si>
    <t>G-REQ-02295-E4</t>
  </si>
  <si>
    <t>SYNTHETIC: Laptop repair; Completed; asset G-AST-00018</t>
  </si>
  <si>
    <t>G-REQ-02296-E1</t>
  </si>
  <si>
    <t>G-REQ-02296-E2</t>
  </si>
  <si>
    <t>G-REQ-02296-E3</t>
  </si>
  <si>
    <t>G-REQ-02296-E4</t>
  </si>
  <si>
    <t>G-REQ-02297-E1</t>
  </si>
  <si>
    <t>G-REQ-02297-E2</t>
  </si>
  <si>
    <t>G-REQ-02297-E3</t>
  </si>
  <si>
    <t>G-REQ-02297-E4</t>
  </si>
  <si>
    <t>G-REQ-02298-E1</t>
  </si>
  <si>
    <t>G-REQ-02298-E2</t>
  </si>
  <si>
    <t>G-REQ-02298-E3</t>
  </si>
  <si>
    <t>G-REQ-02298-E4</t>
  </si>
  <si>
    <t>G-REQ-02299-E1</t>
  </si>
  <si>
    <t>G-REQ-02299-E2</t>
  </si>
  <si>
    <t>G-REQ-02299-E3</t>
  </si>
  <si>
    <t>G-REQ-02299-E4</t>
  </si>
  <si>
    <t>G-REQ-02300-E1</t>
  </si>
  <si>
    <t>G-REQ-02300-E2</t>
  </si>
  <si>
    <t>SYNTHETIC: Laptop repair; Approved; asset G-AST-00046</t>
  </si>
  <si>
    <t>G-REQ-02300-E3</t>
  </si>
  <si>
    <t>SYNTHETIC: Laptop repair; In progress; asset G-AST-00046</t>
  </si>
  <si>
    <t>G-REQ-02300-E4</t>
  </si>
  <si>
    <t>SYNTHETIC: Laptop repair; Completed; asset G-AST-00046</t>
  </si>
  <si>
    <t>G-REQ-02301-E1</t>
  </si>
  <si>
    <t>SYNTHETIC: Laptop return; Pending approval; asset G-AST-00271</t>
  </si>
  <si>
    <t>G-REQ-02301-E2</t>
  </si>
  <si>
    <t>SYNTHETIC: Laptop return; Approved; asset G-AST-00271</t>
  </si>
  <si>
    <t>G-REQ-02301-E3</t>
  </si>
  <si>
    <t>SYNTHETIC: Laptop return; In progress; asset G-AST-00271</t>
  </si>
  <si>
    <t>G-REQ-02301-E4</t>
  </si>
  <si>
    <t>SYNTHETIC: Laptop return; Completed; asset G-AST-00271</t>
  </si>
  <si>
    <t>G-REQ-02302-E1</t>
  </si>
  <si>
    <t>G-REQ-02302-E2</t>
  </si>
  <si>
    <t>G-REQ-02302-E3</t>
  </si>
  <si>
    <t>G-REQ-02302-E4</t>
  </si>
  <si>
    <t>G-REQ-02303-E1</t>
  </si>
  <si>
    <t>G-REQ-02303-E2</t>
  </si>
  <si>
    <t>SYNTHETIC: Laptop return; Approved; asset G-AST-00171</t>
  </si>
  <si>
    <t>G-REQ-02303-E3</t>
  </si>
  <si>
    <t>SYNTHETIC: Laptop return; In progress; asset G-AST-00171</t>
  </si>
  <si>
    <t>G-REQ-02303-E4</t>
  </si>
  <si>
    <t>SYNTHETIC: Laptop return; Completed; asset G-AST-00171</t>
  </si>
  <si>
    <t>G-REQ-02304-E1</t>
  </si>
  <si>
    <t>G-REQ-02304-E2</t>
  </si>
  <si>
    <t>SYNTHETIC: Laptop return; Approved; asset G-AST-00292</t>
  </si>
  <si>
    <t>G-REQ-02304-E3</t>
  </si>
  <si>
    <t>SYNTHETIC: Laptop return; In progress; asset G-AST-00292</t>
  </si>
  <si>
    <t>G-REQ-02304-E4</t>
  </si>
  <si>
    <t>SYNTHETIC: Laptop return; Completed; asset G-AST-00292</t>
  </si>
  <si>
    <t>G-REQ-02305-E1</t>
  </si>
  <si>
    <t>G-REQ-02305-E2</t>
  </si>
  <si>
    <t>G-REQ-02305-E3</t>
  </si>
  <si>
    <t>G-REQ-02305-E4</t>
  </si>
  <si>
    <t>G-REQ-02306-E1</t>
  </si>
  <si>
    <t>G-REQ-02306-E2</t>
  </si>
  <si>
    <t>G-REQ-02306-E3</t>
  </si>
  <si>
    <t>G-REQ-02306-E4</t>
  </si>
  <si>
    <t>G-REQ-02307-E1</t>
  </si>
  <si>
    <t>G-REQ-02307-E2</t>
  </si>
  <si>
    <t>G-REQ-02307-E3</t>
  </si>
  <si>
    <t>G-REQ-02307-E4</t>
  </si>
  <si>
    <t>G-REQ-02308-E1</t>
  </si>
  <si>
    <t>SYNTHETIC: Laptop repair; Pending approval; asset G-AST-00207</t>
  </si>
  <si>
    <t>G-REQ-02308-E2</t>
  </si>
  <si>
    <t>SYNTHETIC: Laptop repair; Rejected; asset G-AST-00207</t>
  </si>
  <si>
    <t>G-REQ-02309-E1</t>
  </si>
  <si>
    <t>G-REQ-02309-E2</t>
  </si>
  <si>
    <t>G-REQ-02309-E3</t>
  </si>
  <si>
    <t>G-REQ-02309-E4</t>
  </si>
  <si>
    <t>G-REQ-02310-E1</t>
  </si>
  <si>
    <t>G-REQ-02310-E2</t>
  </si>
  <si>
    <t>SYNTHETIC: Laptop repair; Rejected; asset G-AST-00094</t>
  </si>
  <si>
    <t>G-REQ-02311-E1</t>
  </si>
  <si>
    <t>G-REQ-02311-E2</t>
  </si>
  <si>
    <t>G-REQ-02311-E3</t>
  </si>
  <si>
    <t>G-REQ-02311-E4</t>
  </si>
  <si>
    <t>G-REQ-02312-E1</t>
  </si>
  <si>
    <t>G-REQ-02312-E2</t>
  </si>
  <si>
    <t>G-REQ-02312-E3</t>
  </si>
  <si>
    <t>G-REQ-02312-E4</t>
  </si>
  <si>
    <t>G-REQ-02313-E1</t>
  </si>
  <si>
    <t>G-REQ-02313-E2</t>
  </si>
  <si>
    <t>G-REQ-02313-E3</t>
  </si>
  <si>
    <t>G-REQ-02313-E4</t>
  </si>
  <si>
    <t>G-REQ-02314-E1</t>
  </si>
  <si>
    <t>G-REQ-02314-E2</t>
  </si>
  <si>
    <t>G-REQ-02314-E3</t>
  </si>
  <si>
    <t>G-REQ-02314-E4</t>
  </si>
  <si>
    <t>G-REQ-02315-E1</t>
  </si>
  <si>
    <t>G-REQ-02315-E2</t>
  </si>
  <si>
    <t>G-REQ-02315-E3</t>
  </si>
  <si>
    <t>G-REQ-02315-E4</t>
  </si>
  <si>
    <t>G-REQ-02316-E1</t>
  </si>
  <si>
    <t>G-REQ-02316-E2</t>
  </si>
  <si>
    <t>G-REQ-02316-E3</t>
  </si>
  <si>
    <t>G-REQ-02316-E4</t>
  </si>
  <si>
    <t>G-REQ-02317-E1</t>
  </si>
  <si>
    <t>G-REQ-02317-E2</t>
  </si>
  <si>
    <t>G-REQ-02317-E3</t>
  </si>
  <si>
    <t>G-REQ-02317-E4</t>
  </si>
  <si>
    <t>G-REQ-02318-E1</t>
  </si>
  <si>
    <t>SYNTHETIC: Laptop repair; Pending approval; asset G-AST-00528</t>
  </si>
  <si>
    <t>G-REQ-02318-E2</t>
  </si>
  <si>
    <t>SYNTHETIC: Laptop repair; Approved; asset G-AST-00528</t>
  </si>
  <si>
    <t>G-REQ-02318-E3</t>
  </si>
  <si>
    <t>SYNTHETIC: Laptop repair; In progress; asset G-AST-00528</t>
  </si>
  <si>
    <t>G-REQ-02318-E4</t>
  </si>
  <si>
    <t>SYNTHETIC: Laptop repair; Completed; asset G-AST-00528</t>
  </si>
  <si>
    <t>G-REQ-02319-E1</t>
  </si>
  <si>
    <t>G-REQ-02319-E2</t>
  </si>
  <si>
    <t>G-REQ-02319-E3</t>
  </si>
  <si>
    <t>G-REQ-02319-E4</t>
  </si>
  <si>
    <t>G-REQ-02320-E1</t>
  </si>
  <si>
    <t>G-REQ-02320-E2</t>
  </si>
  <si>
    <t>G-REQ-02320-E3</t>
  </si>
  <si>
    <t>G-REQ-02320-E4</t>
  </si>
  <si>
    <t>G-REQ-02321-E1</t>
  </si>
  <si>
    <t>G-REQ-02321-E2</t>
  </si>
  <si>
    <t>G-REQ-02321-E3</t>
  </si>
  <si>
    <t>G-REQ-02321-E4</t>
  </si>
  <si>
    <t>G-REQ-02322-E1</t>
  </si>
  <si>
    <t>G-REQ-02322-E2</t>
  </si>
  <si>
    <t>G-REQ-02322-E3</t>
  </si>
  <si>
    <t>G-REQ-02322-E4</t>
  </si>
  <si>
    <t>G-REQ-02323-E1</t>
  </si>
  <si>
    <t>SYNTHETIC: Laptop repair; Pending approval; asset G-AST-00218</t>
  </si>
  <si>
    <t>G-REQ-02323-E2</t>
  </si>
  <si>
    <t>SYNTHETIC: Laptop repair; Approved; asset G-AST-00218</t>
  </si>
  <si>
    <t>G-REQ-02323-E3</t>
  </si>
  <si>
    <t>SYNTHETIC: Laptop repair; In progress; asset G-AST-00218</t>
  </si>
  <si>
    <t>G-REQ-02323-E4</t>
  </si>
  <si>
    <t>SYNTHETIC: Laptop repair; Completed; asset G-AST-00218</t>
  </si>
  <si>
    <t>G-REQ-02324-E1</t>
  </si>
  <si>
    <t>SYNTHETIC: Laptop repair; Pending approval; asset G-AST-00121</t>
  </si>
  <si>
    <t>G-REQ-02324-E2</t>
  </si>
  <si>
    <t>SYNTHETIC: Laptop repair; Approved; asset G-AST-00121</t>
  </si>
  <si>
    <t>G-REQ-02324-E3</t>
  </si>
  <si>
    <t>SYNTHETIC: Laptop repair; In progress; asset G-AST-00121</t>
  </si>
  <si>
    <t>G-REQ-02324-E4</t>
  </si>
  <si>
    <t>SYNTHETIC: Laptop repair; Completed; asset G-AST-00121</t>
  </si>
  <si>
    <t>G-REQ-02325-E1</t>
  </si>
  <si>
    <t>G-REQ-02325-E2</t>
  </si>
  <si>
    <t>G-REQ-02325-E3</t>
  </si>
  <si>
    <t>G-REQ-02325-E4</t>
  </si>
  <si>
    <t>G-REQ-02326-E1</t>
  </si>
  <si>
    <t>G-REQ-02326-E2</t>
  </si>
  <si>
    <t>G-REQ-02326-E3</t>
  </si>
  <si>
    <t>G-REQ-02326-E4</t>
  </si>
  <si>
    <t>G-REQ-02327-E1</t>
  </si>
  <si>
    <t>G-REQ-02327-E2</t>
  </si>
  <si>
    <t>G-REQ-02327-E3</t>
  </si>
  <si>
    <t>G-REQ-02327-E4</t>
  </si>
  <si>
    <t>G-REQ-02328-E1</t>
  </si>
  <si>
    <t>G-REQ-02328-E2</t>
  </si>
  <si>
    <t>G-REQ-02328-E3</t>
  </si>
  <si>
    <t>G-REQ-02328-E4</t>
  </si>
  <si>
    <t>G-REQ-02329-E1</t>
  </si>
  <si>
    <t>SYNTHETIC: Laptop repair; Pending approval; asset G-AST-00197</t>
  </si>
  <si>
    <t>G-REQ-02329-E2</t>
  </si>
  <si>
    <t>SYNTHETIC: Laptop repair; Approved; asset G-AST-00197</t>
  </si>
  <si>
    <t>G-REQ-02329-E3</t>
  </si>
  <si>
    <t>SYNTHETIC: Laptop repair; In progress; asset G-AST-00197</t>
  </si>
  <si>
    <t>G-REQ-02329-E4</t>
  </si>
  <si>
    <t>SYNTHETIC: Laptop repair; Completed; asset G-AST-00197</t>
  </si>
  <si>
    <t>G-REQ-02330-E1</t>
  </si>
  <si>
    <t>G-REQ-02330-E2</t>
  </si>
  <si>
    <t>G-REQ-02330-E3</t>
  </si>
  <si>
    <t>G-REQ-02330-E4</t>
  </si>
  <si>
    <t>G-REQ-02331-E1</t>
  </si>
  <si>
    <t>G-REQ-02331-E2</t>
  </si>
  <si>
    <t>G-REQ-02331-E3</t>
  </si>
  <si>
    <t>G-REQ-02331-E4</t>
  </si>
  <si>
    <t>G-REQ-02332-E1</t>
  </si>
  <si>
    <t>G-REQ-02332-E2</t>
  </si>
  <si>
    <t>G-REQ-02332-E3</t>
  </si>
  <si>
    <t>G-REQ-02332-E4</t>
  </si>
  <si>
    <t>G-REQ-02333-E1</t>
  </si>
  <si>
    <t>G-REQ-02333-E2</t>
  </si>
  <si>
    <t>G-REQ-02333-E3</t>
  </si>
  <si>
    <t>G-REQ-02333-E4</t>
  </si>
  <si>
    <t>G-REQ-02334-E1</t>
  </si>
  <si>
    <t>G-REQ-02334-E2</t>
  </si>
  <si>
    <t>G-REQ-02334-E3</t>
  </si>
  <si>
    <t>G-REQ-02334-E4</t>
  </si>
  <si>
    <t>G-REQ-02335-E1</t>
  </si>
  <si>
    <t>G-REQ-02335-E2</t>
  </si>
  <si>
    <t>G-REQ-02335-E3</t>
  </si>
  <si>
    <t>G-REQ-02335-E4</t>
  </si>
  <si>
    <t>G-REQ-02336-E1</t>
  </si>
  <si>
    <t>G-REQ-02336-E2</t>
  </si>
  <si>
    <t>SYNTHETIC: Laptop return; Cancelled; asset G-AST-00065</t>
  </si>
  <si>
    <t>G-REQ-02337-E1</t>
  </si>
  <si>
    <t>G-REQ-02337-E2</t>
  </si>
  <si>
    <t>G-REQ-02337-E3</t>
  </si>
  <si>
    <t>G-REQ-02337-E4</t>
  </si>
  <si>
    <t>G-REQ-02338-E1</t>
  </si>
  <si>
    <t>G-REQ-02338-E2</t>
  </si>
  <si>
    <t>G-REQ-02338-E3</t>
  </si>
  <si>
    <t>G-REQ-02338-E4</t>
  </si>
  <si>
    <t>G-REQ-02339-E1</t>
  </si>
  <si>
    <t>G-REQ-02339-E2</t>
  </si>
  <si>
    <t>G-REQ-02339-E3</t>
  </si>
  <si>
    <t>G-REQ-02339-E4</t>
  </si>
  <si>
    <t>G-REQ-02340-E1</t>
  </si>
  <si>
    <t>SYNTHETIC: Laptop repair; Pending approval; asset G-AST-00221</t>
  </si>
  <si>
    <t>G-REQ-02340-E2</t>
  </si>
  <si>
    <t>SYNTHETIC: Laptop repair; Approved; asset G-AST-00221</t>
  </si>
  <si>
    <t>G-REQ-02340-E3</t>
  </si>
  <si>
    <t>SYNTHETIC: Laptop repair; In progress; asset G-AST-00221</t>
  </si>
  <si>
    <t>G-REQ-02340-E4</t>
  </si>
  <si>
    <t>SYNTHETIC: Laptop repair; Completed; asset G-AST-00221</t>
  </si>
  <si>
    <t>G-REQ-02341-E1</t>
  </si>
  <si>
    <t>G-REQ-02341-E2</t>
  </si>
  <si>
    <t>G-REQ-02341-E3</t>
  </si>
  <si>
    <t>G-REQ-02341-E4</t>
  </si>
  <si>
    <t>G-REQ-02342-E1</t>
  </si>
  <si>
    <t>G-REQ-02342-E2</t>
  </si>
  <si>
    <t>G-REQ-02342-E3</t>
  </si>
  <si>
    <t>G-REQ-02342-E4</t>
  </si>
  <si>
    <t>G-REQ-02343-E1</t>
  </si>
  <si>
    <t>G-REQ-02343-E2</t>
  </si>
  <si>
    <t>G-REQ-02343-E3</t>
  </si>
  <si>
    <t>G-REQ-02343-E4</t>
  </si>
  <si>
    <t>G-REQ-02344-E1</t>
  </si>
  <si>
    <t>G-REQ-02344-E2</t>
  </si>
  <si>
    <t>G-REQ-02344-E3</t>
  </si>
  <si>
    <t>G-REQ-02344-E4</t>
  </si>
  <si>
    <t>G-REQ-02345-E1</t>
  </si>
  <si>
    <t>SYNTHETIC: Laptop repair; Pending approval; asset G-AST-00136</t>
  </si>
  <si>
    <t>G-REQ-02345-E2</t>
  </si>
  <si>
    <t>SYNTHETIC: Laptop repair; Approved; asset G-AST-00136</t>
  </si>
  <si>
    <t>G-REQ-02345-E3</t>
  </si>
  <si>
    <t>SYNTHETIC: Laptop repair; In progress; asset G-AST-00136</t>
  </si>
  <si>
    <t>G-REQ-02345-E4</t>
  </si>
  <si>
    <t>SYNTHETIC: Laptop repair; Completed; asset G-AST-00136</t>
  </si>
  <si>
    <t>G-REQ-02346-E1</t>
  </si>
  <si>
    <t>G-REQ-02346-E2</t>
  </si>
  <si>
    <t>G-REQ-02346-E3</t>
  </si>
  <si>
    <t>G-REQ-02346-E4</t>
  </si>
  <si>
    <t>G-REQ-02347-E1</t>
  </si>
  <si>
    <t>SYNTHETIC: Laptop repair; Pending approval; asset G-AST-00484</t>
  </si>
  <si>
    <t>G-REQ-02347-E2</t>
  </si>
  <si>
    <t>SYNTHETIC: Laptop repair; Approved; asset G-AST-00484</t>
  </si>
  <si>
    <t>G-REQ-02347-E3</t>
  </si>
  <si>
    <t>SYNTHETIC: Laptop repair; In progress; asset G-AST-00484</t>
  </si>
  <si>
    <t>G-REQ-02347-E4</t>
  </si>
  <si>
    <t>SYNTHETIC: Laptop repair; Completed; asset G-AST-00484</t>
  </si>
  <si>
    <t>G-REQ-02348-E1</t>
  </si>
  <si>
    <t>G-REQ-02348-E2</t>
  </si>
  <si>
    <t>SYNTHETIC: Laptop repair; Rejected; asset G-AST-00058</t>
  </si>
  <si>
    <t>G-REQ-02349-E1</t>
  </si>
  <si>
    <t>G-REQ-02349-E2</t>
  </si>
  <si>
    <t>G-REQ-02349-E3</t>
  </si>
  <si>
    <t>G-REQ-02349-E4</t>
  </si>
  <si>
    <t>G-REQ-02350-E1</t>
  </si>
  <si>
    <t>G-REQ-02350-E2</t>
  </si>
  <si>
    <t>G-REQ-02350-E3</t>
  </si>
  <si>
    <t>G-REQ-02350-E4</t>
  </si>
  <si>
    <t>G-REQ-02351-E1</t>
  </si>
  <si>
    <t>G-REQ-02351-E2</t>
  </si>
  <si>
    <t>G-REQ-02351-E3</t>
  </si>
  <si>
    <t>G-REQ-02351-E4</t>
  </si>
  <si>
    <t>G-REQ-02352-E1</t>
  </si>
  <si>
    <t>G-REQ-02352-E2</t>
  </si>
  <si>
    <t>G-REQ-02352-E3</t>
  </si>
  <si>
    <t>G-REQ-02352-E4</t>
  </si>
  <si>
    <t>G-REQ-02353-E1</t>
  </si>
  <si>
    <t>G-REQ-02353-E2</t>
  </si>
  <si>
    <t>G-REQ-02353-E3</t>
  </si>
  <si>
    <t>G-REQ-02353-E4</t>
  </si>
  <si>
    <t>G-REQ-02354-E1</t>
  </si>
  <si>
    <t>G-REQ-02354-E2</t>
  </si>
  <si>
    <t>G-REQ-02354-E3</t>
  </si>
  <si>
    <t>G-REQ-02354-E4</t>
  </si>
  <si>
    <t>G-REQ-02355-E1</t>
  </si>
  <si>
    <t>SYNTHETIC: Laptop return; Pending approval; asset G-AST-00520</t>
  </si>
  <si>
    <t>G-REQ-02355-E2</t>
  </si>
  <si>
    <t>SYNTHETIC: Laptop return; Approved; asset G-AST-00520</t>
  </si>
  <si>
    <t>G-REQ-02355-E3</t>
  </si>
  <si>
    <t>SYNTHETIC: Laptop return; In progress; asset G-AST-00520</t>
  </si>
  <si>
    <t>G-REQ-02355-E4</t>
  </si>
  <si>
    <t>SYNTHETIC: Laptop return; Completed; asset G-AST-00520</t>
  </si>
  <si>
    <t>G-REQ-02356-E1</t>
  </si>
  <si>
    <t>G-REQ-02356-E2</t>
  </si>
  <si>
    <t>G-REQ-02356-E3</t>
  </si>
  <si>
    <t>G-REQ-02356-E4</t>
  </si>
  <si>
    <t>G-REQ-02357-E1</t>
  </si>
  <si>
    <t>G-REQ-02357-E2</t>
  </si>
  <si>
    <t>G-REQ-02357-E3</t>
  </si>
  <si>
    <t>G-REQ-02357-E4</t>
  </si>
  <si>
    <t>G-REQ-02358-E1</t>
  </si>
  <si>
    <t>G-REQ-02358-E2</t>
  </si>
  <si>
    <t>G-REQ-02358-E3</t>
  </si>
  <si>
    <t>G-REQ-02358-E4</t>
  </si>
  <si>
    <t>G-REQ-02359-E1</t>
  </si>
  <si>
    <t>G-REQ-02359-E2</t>
  </si>
  <si>
    <t>G-REQ-02359-E3</t>
  </si>
  <si>
    <t>G-REQ-02359-E4</t>
  </si>
  <si>
    <t>G-REQ-02360-E1</t>
  </si>
  <si>
    <t>G-REQ-02360-E2</t>
  </si>
  <si>
    <t>G-REQ-02360-E3</t>
  </si>
  <si>
    <t>G-REQ-02360-E4</t>
  </si>
  <si>
    <t>G-REQ-02361-E1</t>
  </si>
  <si>
    <t>G-REQ-02361-E2</t>
  </si>
  <si>
    <t>G-REQ-02361-E3</t>
  </si>
  <si>
    <t>G-REQ-02361-E4</t>
  </si>
  <si>
    <t>G-REQ-02362-E1</t>
  </si>
  <si>
    <t>G-REQ-02362-E2</t>
  </si>
  <si>
    <t>G-REQ-02362-E3</t>
  </si>
  <si>
    <t>G-REQ-02362-E4</t>
  </si>
  <si>
    <t>G-REQ-02363-E1</t>
  </si>
  <si>
    <t>G-REQ-02363-E2</t>
  </si>
  <si>
    <t>G-REQ-02363-E3</t>
  </si>
  <si>
    <t>G-REQ-02363-E4</t>
  </si>
  <si>
    <t>G-REQ-02364-E1</t>
  </si>
  <si>
    <t>G-REQ-02364-E2</t>
  </si>
  <si>
    <t>G-REQ-02364-E3</t>
  </si>
  <si>
    <t>G-REQ-02364-E4</t>
  </si>
  <si>
    <t>G-REQ-02365-E1</t>
  </si>
  <si>
    <t>G-REQ-02365-E2</t>
  </si>
  <si>
    <t>G-REQ-02365-E3</t>
  </si>
  <si>
    <t>G-REQ-02365-E4</t>
  </si>
  <si>
    <t>G-REQ-02366-E1</t>
  </si>
  <si>
    <t>G-REQ-02366-E2</t>
  </si>
  <si>
    <t>G-REQ-02366-E3</t>
  </si>
  <si>
    <t>G-REQ-02366-E4</t>
  </si>
  <si>
    <t>G-REQ-02367-E1</t>
  </si>
  <si>
    <t>G-REQ-02367-E2</t>
  </si>
  <si>
    <t>G-REQ-02367-E3</t>
  </si>
  <si>
    <t>G-REQ-02367-E4</t>
  </si>
  <si>
    <t>G-REQ-02368-E1</t>
  </si>
  <si>
    <t>SYNTHETIC: Laptop repair; Pending approval; asset G-AST-00152</t>
  </si>
  <si>
    <t>G-REQ-02368-E2</t>
  </si>
  <si>
    <t>SYNTHETIC: Laptop repair; Approved; asset G-AST-00152</t>
  </si>
  <si>
    <t>G-REQ-02368-E3</t>
  </si>
  <si>
    <t>SYNTHETIC: Laptop repair; In progress; asset G-AST-00152</t>
  </si>
  <si>
    <t>G-REQ-02368-E4</t>
  </si>
  <si>
    <t>SYNTHETIC: Laptop repair; Completed; asset G-AST-00152</t>
  </si>
  <si>
    <t>G-REQ-02369-E1</t>
  </si>
  <si>
    <t>SYNTHETIC: Laptop return; Pending approval; asset G-AST-00403</t>
  </si>
  <si>
    <t>G-REQ-02369-E2</t>
  </si>
  <si>
    <t>SYNTHETIC: Laptop return; Approved; asset G-AST-00403</t>
  </si>
  <si>
    <t>G-REQ-02369-E3</t>
  </si>
  <si>
    <t>SYNTHETIC: Laptop return; In progress; asset G-AST-00403</t>
  </si>
  <si>
    <t>G-REQ-02369-E4</t>
  </si>
  <si>
    <t>SYNTHETIC: Laptop return; Completed; asset G-AST-00403</t>
  </si>
  <si>
    <t>G-REQ-02370-E1</t>
  </si>
  <si>
    <t>G-REQ-02370-E2</t>
  </si>
  <si>
    <t>G-REQ-02371-E1</t>
  </si>
  <si>
    <t>G-REQ-02371-E2</t>
  </si>
  <si>
    <t>G-REQ-02372-E1</t>
  </si>
  <si>
    <t>G-REQ-02372-E2</t>
  </si>
  <si>
    <t>G-REQ-02372-E3</t>
  </si>
  <si>
    <t>G-REQ-02372-E4</t>
  </si>
  <si>
    <t>G-REQ-02373-E1</t>
  </si>
  <si>
    <t>G-REQ-02373-E2</t>
  </si>
  <si>
    <t>G-REQ-02373-E3</t>
  </si>
  <si>
    <t>G-REQ-02373-E4</t>
  </si>
  <si>
    <t>G-REQ-02374-E1</t>
  </si>
  <si>
    <t>G-REQ-02374-E2</t>
  </si>
  <si>
    <t>G-REQ-02375-E1</t>
  </si>
  <si>
    <t>G-REQ-02375-E2</t>
  </si>
  <si>
    <t>G-REQ-02375-E3</t>
  </si>
  <si>
    <t>G-REQ-02375-E4</t>
  </si>
  <si>
    <t>G-REQ-02376-E1</t>
  </si>
  <si>
    <t>G-REQ-02376-E2</t>
  </si>
  <si>
    <t>SYNTHETIC: Laptop repair; Approved; asset G-AST-00113</t>
  </si>
  <si>
    <t>G-REQ-02376-E3</t>
  </si>
  <si>
    <t>SYNTHETIC: Laptop repair; In progress; asset G-AST-00113</t>
  </si>
  <si>
    <t>G-REQ-02376-E4</t>
  </si>
  <si>
    <t>SYNTHETIC: Laptop repair; Completed; asset G-AST-00113</t>
  </si>
  <si>
    <t>G-REQ-02377-E1</t>
  </si>
  <si>
    <t>SYNTHETIC: Laptop repair; Pending approval; asset G-AST-00375</t>
  </si>
  <si>
    <t>G-REQ-02377-E2</t>
  </si>
  <si>
    <t>SYNTHETIC: Laptop repair; Approved; asset G-AST-00375</t>
  </si>
  <si>
    <t>G-REQ-02377-E3</t>
  </si>
  <si>
    <t>SYNTHETIC: Laptop repair; In progress; asset G-AST-00375</t>
  </si>
  <si>
    <t>G-REQ-02377-E4</t>
  </si>
  <si>
    <t>SYNTHETIC: Laptop repair; Completed; asset G-AST-00375</t>
  </si>
  <si>
    <t>G-REQ-02378-E1</t>
  </si>
  <si>
    <t>G-REQ-02378-E2</t>
  </si>
  <si>
    <t>G-REQ-02378-E3</t>
  </si>
  <si>
    <t>G-REQ-02378-E4</t>
  </si>
  <si>
    <t>G-REQ-02379-E1</t>
  </si>
  <si>
    <t>SYNTHETIC: Laptop return; Pending approval; asset G-AST-00509</t>
  </si>
  <si>
    <t>G-REQ-02379-E2</t>
  </si>
  <si>
    <t>SYNTHETIC: Laptop return; Approved; asset G-AST-00509</t>
  </si>
  <si>
    <t>G-REQ-02379-E3</t>
  </si>
  <si>
    <t>SYNTHETIC: Laptop return; In progress; asset G-AST-00509</t>
  </si>
  <si>
    <t>G-REQ-02379-E4</t>
  </si>
  <si>
    <t>SYNTHETIC: Laptop return; Completed; asset G-AST-00509</t>
  </si>
  <si>
    <t>G-REQ-02380-E1</t>
  </si>
  <si>
    <t>G-REQ-02380-E2</t>
  </si>
  <si>
    <t>G-REQ-02380-E3</t>
  </si>
  <si>
    <t>G-REQ-02380-E4</t>
  </si>
  <si>
    <t>G-REQ-02381-E1</t>
  </si>
  <si>
    <t>G-REQ-02381-E2</t>
  </si>
  <si>
    <t>G-REQ-02381-E3</t>
  </si>
  <si>
    <t>G-REQ-02381-E4</t>
  </si>
  <si>
    <t>G-REQ-02382-E1</t>
  </si>
  <si>
    <t>SYNTHETIC: Laptop repair; Pending approval; asset G-AST-00202</t>
  </si>
  <si>
    <t>G-REQ-02382-E2</t>
  </si>
  <si>
    <t>SYNTHETIC: Laptop repair; Approved; asset G-AST-00202</t>
  </si>
  <si>
    <t>G-REQ-02382-E3</t>
  </si>
  <si>
    <t>SYNTHETIC: Laptop repair; In progress; asset G-AST-00202</t>
  </si>
  <si>
    <t>G-REQ-02382-E4</t>
  </si>
  <si>
    <t>SYNTHETIC: Laptop repair; Completed; asset G-AST-00202</t>
  </si>
  <si>
    <t>G-REQ-02383-E1</t>
  </si>
  <si>
    <t>G-REQ-02383-E2</t>
  </si>
  <si>
    <t>G-REQ-02383-E3</t>
  </si>
  <si>
    <t>G-REQ-02383-E4</t>
  </si>
  <si>
    <t>G-REQ-02384-E1</t>
  </si>
  <si>
    <t>G-REQ-02384-E2</t>
  </si>
  <si>
    <t>G-REQ-02384-E3</t>
  </si>
  <si>
    <t>G-REQ-02384-E4</t>
  </si>
  <si>
    <t>G-REQ-02385-E1</t>
  </si>
  <si>
    <t>G-REQ-02385-E2</t>
  </si>
  <si>
    <t>SYNTHETIC: Laptop return; Rejected; asset G-AST-00045</t>
  </si>
  <si>
    <t>G-REQ-02386-E1</t>
  </si>
  <si>
    <t>SYNTHETIC: Laptop repair; Pending approval; asset G-AST-00523</t>
  </si>
  <si>
    <t>G-REQ-02386-E2</t>
  </si>
  <si>
    <t>SYNTHETIC: Laptop repair; Approved; asset G-AST-00523</t>
  </si>
  <si>
    <t>G-REQ-02386-E3</t>
  </si>
  <si>
    <t>SYNTHETIC: Laptop repair; In progress; asset G-AST-00523</t>
  </si>
  <si>
    <t>G-REQ-02386-E4</t>
  </si>
  <si>
    <t>SYNTHETIC: Laptop repair; Completed; asset G-AST-00523</t>
  </si>
  <si>
    <t>G-REQ-02387-E1</t>
  </si>
  <si>
    <t>G-REQ-02387-E2</t>
  </si>
  <si>
    <t>G-REQ-02387-E3</t>
  </si>
  <si>
    <t>G-REQ-02387-E4</t>
  </si>
  <si>
    <t>G-REQ-02388-E1</t>
  </si>
  <si>
    <t>SYNTHETIC: Laptop repair; Pending approval; asset G-AST-00102</t>
  </si>
  <si>
    <t>G-REQ-02388-E2</t>
  </si>
  <si>
    <t>SYNTHETIC: Laptop repair; Rejected; asset G-AST-00102</t>
  </si>
  <si>
    <t>G-REQ-02389-E1</t>
  </si>
  <si>
    <t>G-REQ-02389-E2</t>
  </si>
  <si>
    <t>G-REQ-02389-E3</t>
  </si>
  <si>
    <t>G-REQ-02389-E4</t>
  </si>
  <si>
    <t>G-REQ-02390-E1</t>
  </si>
  <si>
    <t>G-REQ-02390-E2</t>
  </si>
  <si>
    <t>G-REQ-02390-E3</t>
  </si>
  <si>
    <t>G-REQ-02390-E4</t>
  </si>
  <si>
    <t>G-REQ-02391-E1</t>
  </si>
  <si>
    <t>G-REQ-02391-E2</t>
  </si>
  <si>
    <t>G-REQ-02391-E3</t>
  </si>
  <si>
    <t>G-REQ-02391-E4</t>
  </si>
  <si>
    <t>G-REQ-02392-E1</t>
  </si>
  <si>
    <t>G-REQ-02392-E2</t>
  </si>
  <si>
    <t>G-REQ-02392-E3</t>
  </si>
  <si>
    <t>G-REQ-02392-E4</t>
  </si>
  <si>
    <t>G-REQ-02393-E1</t>
  </si>
  <si>
    <t>SYNTHETIC: Laptop return; Pending approval; asset G-AST-00304</t>
  </si>
  <si>
    <t>G-REQ-02393-E2</t>
  </si>
  <si>
    <t>SYNTHETIC: Laptop return; Approved; asset G-AST-00304</t>
  </si>
  <si>
    <t>G-REQ-02393-E3</t>
  </si>
  <si>
    <t>SYNTHETIC: Laptop return; In progress; asset G-AST-00304</t>
  </si>
  <si>
    <t>G-REQ-02393-E4</t>
  </si>
  <si>
    <t>SYNTHETIC: Laptop return; Completed; asset G-AST-00304</t>
  </si>
  <si>
    <t>G-REQ-02394-E1</t>
  </si>
  <si>
    <t>G-REQ-02394-E2</t>
  </si>
  <si>
    <t>G-REQ-02394-E3</t>
  </si>
  <si>
    <t>G-REQ-02394-E4</t>
  </si>
  <si>
    <t>G-REQ-02395-E1</t>
  </si>
  <si>
    <t>G-REQ-02395-E2</t>
  </si>
  <si>
    <t>G-REQ-02395-E3</t>
  </si>
  <si>
    <t>G-REQ-02395-E4</t>
  </si>
  <si>
    <t>G-REQ-02396-E1</t>
  </si>
  <si>
    <t>G-REQ-02396-E2</t>
  </si>
  <si>
    <t>SYNTHETIC: Laptop return; Cancelled; asset G-AST-00182</t>
  </si>
  <si>
    <t>G-REQ-02397-E1</t>
  </si>
  <si>
    <t>G-REQ-02397-E2</t>
  </si>
  <si>
    <t>G-REQ-02397-E3</t>
  </si>
  <si>
    <t>G-REQ-02397-E4</t>
  </si>
  <si>
    <t>G-REQ-02398-E1</t>
  </si>
  <si>
    <t>G-REQ-02398-E2</t>
  </si>
  <si>
    <t>G-REQ-02398-E3</t>
  </si>
  <si>
    <t>G-REQ-02398-E4</t>
  </si>
  <si>
    <t>G-REQ-02399-E1</t>
  </si>
  <si>
    <t>G-REQ-02399-E2</t>
  </si>
  <si>
    <t>G-REQ-02399-E3</t>
  </si>
  <si>
    <t>G-REQ-02399-E4</t>
  </si>
  <si>
    <t>G-REQ-02400-E1</t>
  </si>
  <si>
    <t>G-REQ-02400-E2</t>
  </si>
  <si>
    <t>G-REQ-02400-E3</t>
  </si>
  <si>
    <t>G-REQ-02400-E4</t>
  </si>
  <si>
    <t>G-REQ-02401-E1</t>
  </si>
  <si>
    <t>G-REQ-02401-E2</t>
  </si>
  <si>
    <t>G-REQ-02402-E1</t>
  </si>
  <si>
    <t>G-REQ-02402-E2</t>
  </si>
  <si>
    <t>G-REQ-02402-E3</t>
  </si>
  <si>
    <t>G-REQ-02402-E4</t>
  </si>
  <si>
    <t>G-REQ-02403-E1</t>
  </si>
  <si>
    <t>G-REQ-02403-E2</t>
  </si>
  <si>
    <t>G-REQ-02403-E3</t>
  </si>
  <si>
    <t>G-REQ-02403-E4</t>
  </si>
  <si>
    <t>G-REQ-02404-E1</t>
  </si>
  <si>
    <t>G-REQ-02404-E2</t>
  </si>
  <si>
    <t>G-REQ-02405-E1</t>
  </si>
  <si>
    <t>G-REQ-02405-E2</t>
  </si>
  <si>
    <t>G-REQ-02405-E3</t>
  </si>
  <si>
    <t>G-REQ-02405-E4</t>
  </si>
  <si>
    <t>G-REQ-02406-E1</t>
  </si>
  <si>
    <t>G-REQ-02406-E2</t>
  </si>
  <si>
    <t>G-REQ-02406-E3</t>
  </si>
  <si>
    <t>G-REQ-02406-E4</t>
  </si>
  <si>
    <t>G-REQ-02407-E1</t>
  </si>
  <si>
    <t>G-REQ-02407-E2</t>
  </si>
  <si>
    <t>G-REQ-02407-E3</t>
  </si>
  <si>
    <t>G-REQ-02407-E4</t>
  </si>
  <si>
    <t>G-REQ-02408-E1</t>
  </si>
  <si>
    <t>G-REQ-02408-E2</t>
  </si>
  <si>
    <t>G-REQ-02408-E3</t>
  </si>
  <si>
    <t>G-REQ-02408-E4</t>
  </si>
  <si>
    <t>G-REQ-02409-E1</t>
  </si>
  <si>
    <t>SYNTHETIC: Laptop return; Pending approval; asset G-AST-00373</t>
  </si>
  <si>
    <t>G-REQ-02409-E2</t>
  </si>
  <si>
    <t>SYNTHETIC: Laptop return; Approved; asset G-AST-00373</t>
  </si>
  <si>
    <t>G-REQ-02409-E3</t>
  </si>
  <si>
    <t>SYNTHETIC: Laptop return; In progress; asset G-AST-00373</t>
  </si>
  <si>
    <t>G-REQ-02409-E4</t>
  </si>
  <si>
    <t>SYNTHETIC: Laptop return; Completed; asset G-AST-00373</t>
  </si>
  <si>
    <t>G-REQ-02410-E1</t>
  </si>
  <si>
    <t>G-REQ-02410-E2</t>
  </si>
  <si>
    <t>G-REQ-02410-E3</t>
  </si>
  <si>
    <t>G-REQ-02410-E4</t>
  </si>
  <si>
    <t>G-REQ-02411-E1</t>
  </si>
  <si>
    <t>G-REQ-02411-E2</t>
  </si>
  <si>
    <t>G-REQ-02411-E3</t>
  </si>
  <si>
    <t>G-REQ-02411-E4</t>
  </si>
  <si>
    <t>G-REQ-02412-E1</t>
  </si>
  <si>
    <t>G-REQ-02412-E2</t>
  </si>
  <si>
    <t>SYNTHETIC: Laptop repair; Rejected; asset G-AST-00161</t>
  </si>
  <si>
    <t>G-REQ-02413-E1</t>
  </si>
  <si>
    <t>G-REQ-02413-E2</t>
  </si>
  <si>
    <t>G-REQ-02414-E1</t>
  </si>
  <si>
    <t>G-REQ-02414-E2</t>
  </si>
  <si>
    <t>G-REQ-02414-E3</t>
  </si>
  <si>
    <t>G-REQ-02414-E4</t>
  </si>
  <si>
    <t>G-REQ-02415-E1</t>
  </si>
  <si>
    <t>SYNTHETIC: Laptop return; Pending approval; asset G-AST-00293</t>
  </si>
  <si>
    <t>G-REQ-02415-E2</t>
  </si>
  <si>
    <t>SYNTHETIC: Laptop return; Cancelled; asset G-AST-00293</t>
  </si>
  <si>
    <t>G-REQ-02416-E1</t>
  </si>
  <si>
    <t>G-REQ-02416-E2</t>
  </si>
  <si>
    <t>G-REQ-02416-E3</t>
  </si>
  <si>
    <t>G-REQ-02416-E4</t>
  </si>
  <si>
    <t>G-REQ-02417-E1</t>
  </si>
  <si>
    <t>G-REQ-02417-E2</t>
  </si>
  <si>
    <t>G-REQ-02417-E3</t>
  </si>
  <si>
    <t>G-REQ-02417-E4</t>
  </si>
  <si>
    <t>G-REQ-02418-E1</t>
  </si>
  <si>
    <t>G-REQ-02418-E2</t>
  </si>
  <si>
    <t>G-REQ-02418-E3</t>
  </si>
  <si>
    <t>G-REQ-02418-E4</t>
  </si>
  <si>
    <t>G-REQ-02419-E1</t>
  </si>
  <si>
    <t>G-REQ-02419-E2</t>
  </si>
  <si>
    <t>G-REQ-02419-E3</t>
  </si>
  <si>
    <t>G-REQ-02419-E4</t>
  </si>
  <si>
    <t>G-REQ-02420-E1</t>
  </si>
  <si>
    <t>G-REQ-02420-E2</t>
  </si>
  <si>
    <t>G-REQ-02420-E3</t>
  </si>
  <si>
    <t>G-REQ-02420-E4</t>
  </si>
  <si>
    <t>G-REQ-02421-E1</t>
  </si>
  <si>
    <t>G-REQ-02421-E2</t>
  </si>
  <si>
    <t>G-REQ-02421-E3</t>
  </si>
  <si>
    <t>G-REQ-02421-E4</t>
  </si>
  <si>
    <t>G-REQ-02422-E1</t>
  </si>
  <si>
    <t>SYNTHETIC: Laptop repair; Pending approval; asset G-AST-00229</t>
  </si>
  <si>
    <t>G-REQ-02422-E2</t>
  </si>
  <si>
    <t>SYNTHETIC: Laptop repair; Rejected; asset G-AST-00229</t>
  </si>
  <si>
    <t>G-REQ-02423-E1</t>
  </si>
  <si>
    <t>G-REQ-02423-E2</t>
  </si>
  <si>
    <t>G-REQ-02423-E3</t>
  </si>
  <si>
    <t>G-REQ-02423-E4</t>
  </si>
  <si>
    <t>G-REQ-02424-E1</t>
  </si>
  <si>
    <t>SYNTHETIC: Laptop repair; Pending approval; asset G-AST-00130</t>
  </si>
  <si>
    <t>G-REQ-02424-E2</t>
  </si>
  <si>
    <t>SYNTHETIC: Laptop repair; Approved; asset G-AST-00130</t>
  </si>
  <si>
    <t>G-REQ-02424-E3</t>
  </si>
  <si>
    <t>SYNTHETIC: Laptop repair; In progress; asset G-AST-00130</t>
  </si>
  <si>
    <t>G-REQ-02424-E4</t>
  </si>
  <si>
    <t>SYNTHETIC: Laptop repair; Completed; asset G-AST-00130</t>
  </si>
  <si>
    <t>G-REQ-02425-E1</t>
  </si>
  <si>
    <t>SYNTHETIC: Laptop return; Pending approval; asset G-AST-00036</t>
  </si>
  <si>
    <t>G-REQ-02425-E2</t>
  </si>
  <si>
    <t>SYNTHETIC: Laptop return; Approved; asset G-AST-00036</t>
  </si>
  <si>
    <t>G-REQ-02425-E3</t>
  </si>
  <si>
    <t>SYNTHETIC: Laptop return; In progress; asset G-AST-00036</t>
  </si>
  <si>
    <t>G-REQ-02425-E4</t>
  </si>
  <si>
    <t>SYNTHETIC: Laptop return; Completed; asset G-AST-00036</t>
  </si>
  <si>
    <t>G-REQ-02426-E1</t>
  </si>
  <si>
    <t>G-REQ-02426-E2</t>
  </si>
  <si>
    <t>G-REQ-02426-E3</t>
  </si>
  <si>
    <t>G-REQ-02426-E4</t>
  </si>
  <si>
    <t>G-REQ-02427-E1</t>
  </si>
  <si>
    <t>G-REQ-02427-E2</t>
  </si>
  <si>
    <t>G-REQ-02427-E3</t>
  </si>
  <si>
    <t>G-REQ-02427-E4</t>
  </si>
  <si>
    <t>G-REQ-02428-E1</t>
  </si>
  <si>
    <t>G-REQ-02428-E2</t>
  </si>
  <si>
    <t>SYNTHETIC: Laptop return; Rejected; asset G-AST-00429</t>
  </si>
  <si>
    <t>G-REQ-02429-E1</t>
  </si>
  <si>
    <t>G-REQ-02429-E2</t>
  </si>
  <si>
    <t>G-REQ-02429-E3</t>
  </si>
  <si>
    <t>G-REQ-02429-E4</t>
  </si>
  <si>
    <t>G-REQ-02430-E1</t>
  </si>
  <si>
    <t>SYNTHETIC: Laptop repair; Pending approval; asset G-AST-00213</t>
  </si>
  <si>
    <t>G-REQ-02430-E2</t>
  </si>
  <si>
    <t>SYNTHETIC: Laptop repair; Cancelled; asset G-AST-00213</t>
  </si>
  <si>
    <t>G-REQ-02431-E1</t>
  </si>
  <si>
    <t>SYNTHETIC: Laptop repair; Pending approval; asset G-AST-00243</t>
  </si>
  <si>
    <t>G-REQ-02431-E2</t>
  </si>
  <si>
    <t>SYNTHETIC: Laptop repair; Approved; asset G-AST-00243</t>
  </si>
  <si>
    <t>G-REQ-02431-E3</t>
  </si>
  <si>
    <t>SYNTHETIC: Laptop repair; In progress; asset G-AST-00243</t>
  </si>
  <si>
    <t>G-REQ-02431-E4</t>
  </si>
  <si>
    <t>SYNTHETIC: Laptop repair; Completed; asset G-AST-00243</t>
  </si>
  <si>
    <t>G-REQ-02432-E1</t>
  </si>
  <si>
    <t>G-REQ-02432-E2</t>
  </si>
  <si>
    <t>G-REQ-02432-E3</t>
  </si>
  <si>
    <t>G-REQ-02432-E4</t>
  </si>
  <si>
    <t>G-REQ-02433-E1</t>
  </si>
  <si>
    <t>G-REQ-02433-E2</t>
  </si>
  <si>
    <t>G-REQ-02433-E3</t>
  </si>
  <si>
    <t>G-REQ-02433-E4</t>
  </si>
  <si>
    <t>G-REQ-02434-E1</t>
  </si>
  <si>
    <t>G-REQ-02434-E2</t>
  </si>
  <si>
    <t>G-REQ-02434-E3</t>
  </si>
  <si>
    <t>G-REQ-02434-E4</t>
  </si>
  <si>
    <t>G-REQ-02435-E1</t>
  </si>
  <si>
    <t>SYNTHETIC: Laptop repair; Pending approval; asset G-AST-00473</t>
  </si>
  <si>
    <t>G-REQ-02435-E2</t>
  </si>
  <si>
    <t>SYNTHETIC: Laptop repair; Approved; asset G-AST-00473</t>
  </si>
  <si>
    <t>G-REQ-02435-E3</t>
  </si>
  <si>
    <t>SYNTHETIC: Laptop repair; In progress; asset G-AST-00473</t>
  </si>
  <si>
    <t>G-REQ-02435-E4</t>
  </si>
  <si>
    <t>SYNTHETIC: Laptop repair; Completed; asset G-AST-00473</t>
  </si>
  <si>
    <t>G-REQ-02436-E1</t>
  </si>
  <si>
    <t>G-REQ-02436-E2</t>
  </si>
  <si>
    <t>G-REQ-02436-E3</t>
  </si>
  <si>
    <t>G-REQ-02436-E4</t>
  </si>
  <si>
    <t>G-REQ-02437-E1</t>
  </si>
  <si>
    <t>G-REQ-02437-E2</t>
  </si>
  <si>
    <t>G-REQ-02437-E3</t>
  </si>
  <si>
    <t>G-REQ-02437-E4</t>
  </si>
  <si>
    <t>G-REQ-02438-E1</t>
  </si>
  <si>
    <t>G-REQ-02438-E2</t>
  </si>
  <si>
    <t>G-REQ-02438-E3</t>
  </si>
  <si>
    <t>G-REQ-02438-E4</t>
  </si>
  <si>
    <t>G-REQ-02439-E1</t>
  </si>
  <si>
    <t>G-REQ-02439-E2</t>
  </si>
  <si>
    <t>G-REQ-02439-E3</t>
  </si>
  <si>
    <t>G-REQ-02439-E4</t>
  </si>
  <si>
    <t>G-REQ-02440-E1</t>
  </si>
  <si>
    <t>SYNTHETIC: Laptop repair; Pending approval; asset G-AST-00247</t>
  </si>
  <si>
    <t>G-REQ-02440-E2</t>
  </si>
  <si>
    <t>SYNTHETIC: Laptop repair; Approved; asset G-AST-00247</t>
  </si>
  <si>
    <t>G-REQ-02440-E3</t>
  </si>
  <si>
    <t>SYNTHETIC: Laptop repair; In progress; asset G-AST-00247</t>
  </si>
  <si>
    <t>G-REQ-02440-E4</t>
  </si>
  <si>
    <t>SYNTHETIC: Laptop repair; Completed; asset G-AST-00247</t>
  </si>
  <si>
    <t>G-REQ-02441-E1</t>
  </si>
  <si>
    <t>G-REQ-02441-E2</t>
  </si>
  <si>
    <t>G-REQ-02441-E3</t>
  </si>
  <si>
    <t>G-REQ-02441-E4</t>
  </si>
  <si>
    <t>G-REQ-02442-E1</t>
  </si>
  <si>
    <t>G-REQ-02442-E2</t>
  </si>
  <si>
    <t>G-REQ-02442-E3</t>
  </si>
  <si>
    <t>G-REQ-02442-E4</t>
  </si>
  <si>
    <t>G-REQ-02443-E1</t>
  </si>
  <si>
    <t>G-REQ-02443-E2</t>
  </si>
  <si>
    <t>G-REQ-02443-E3</t>
  </si>
  <si>
    <t>G-REQ-02443-E4</t>
  </si>
  <si>
    <t>G-REQ-02444-E1</t>
  </si>
  <si>
    <t>G-REQ-02444-E2</t>
  </si>
  <si>
    <t>G-REQ-02444-E3</t>
  </si>
  <si>
    <t>G-REQ-02444-E4</t>
  </si>
  <si>
    <t>G-REQ-02445-E1</t>
  </si>
  <si>
    <t>SYNTHETIC: Laptop repair; Pending approval; asset G-AST-00165</t>
  </si>
  <si>
    <t>G-REQ-02445-E2</t>
  </si>
  <si>
    <t>SYNTHETIC: Laptop repair; Rejected; asset G-AST-00165</t>
  </si>
  <si>
    <t>G-REQ-02446-E1</t>
  </si>
  <si>
    <t>G-REQ-02446-E2</t>
  </si>
  <si>
    <t>G-REQ-02446-E3</t>
  </si>
  <si>
    <t>G-REQ-02446-E4</t>
  </si>
  <si>
    <t>G-REQ-02447-E1</t>
  </si>
  <si>
    <t>SYNTHETIC: Laptop repair; Pending approval; asset G-AST-00250</t>
  </si>
  <si>
    <t>G-REQ-02447-E2</t>
  </si>
  <si>
    <t>SYNTHETIC: Laptop repair; Cancelled; asset G-AST-00250</t>
  </si>
  <si>
    <t>G-REQ-02448-E1</t>
  </si>
  <si>
    <t>G-REQ-02448-E2</t>
  </si>
  <si>
    <t>G-REQ-02448-E3</t>
  </si>
  <si>
    <t>G-REQ-02448-E4</t>
  </si>
  <si>
    <t>G-REQ-02449-E1</t>
  </si>
  <si>
    <t>G-REQ-02449-E2</t>
  </si>
  <si>
    <t>G-REQ-02449-E3</t>
  </si>
  <si>
    <t>G-REQ-02449-E4</t>
  </si>
  <si>
    <t>G-REQ-02450-E1</t>
  </si>
  <si>
    <t>G-REQ-02450-E2</t>
  </si>
  <si>
    <t>SYNTHETIC: Laptop repair; Rejected; asset G-AST-00269</t>
  </si>
  <si>
    <t>G-REQ-02451-E1</t>
  </si>
  <si>
    <t>G-REQ-02451-E2</t>
  </si>
  <si>
    <t>G-REQ-02451-E3</t>
  </si>
  <si>
    <t>G-REQ-02451-E4</t>
  </si>
  <si>
    <t>G-REQ-02452-E1</t>
  </si>
  <si>
    <t>G-REQ-02452-E2</t>
  </si>
  <si>
    <t>G-REQ-02452-E3</t>
  </si>
  <si>
    <t>G-REQ-02452-E4</t>
  </si>
  <si>
    <t>G-REQ-02453-E1</t>
  </si>
  <si>
    <t>G-REQ-02453-E2</t>
  </si>
  <si>
    <t>G-REQ-02453-E3</t>
  </si>
  <si>
    <t>G-REQ-02453-E4</t>
  </si>
  <si>
    <t>G-REQ-02454-E1</t>
  </si>
  <si>
    <t>G-REQ-02454-E2</t>
  </si>
  <si>
    <t>SYNTHETIC: Laptop repair; Approved; asset G-AST-00135</t>
  </si>
  <si>
    <t>G-REQ-02454-E3</t>
  </si>
  <si>
    <t>SYNTHETIC: Laptop repair; In progress; asset G-AST-00135</t>
  </si>
  <si>
    <t>G-REQ-02454-E4</t>
  </si>
  <si>
    <t>SYNTHETIC: Laptop repair; Completed; asset G-AST-00135</t>
  </si>
  <si>
    <t>G-REQ-02455-E1</t>
  </si>
  <si>
    <t>SYNTHETIC: Laptop return; Pending approval; asset G-AST-00131</t>
  </si>
  <si>
    <t>G-REQ-02455-E2</t>
  </si>
  <si>
    <t>SYNTHETIC: Laptop return; Approved; asset G-AST-00131</t>
  </si>
  <si>
    <t>G-REQ-02455-E3</t>
  </si>
  <si>
    <t>SYNTHETIC: Laptop return; In progress; asset G-AST-00131</t>
  </si>
  <si>
    <t>G-REQ-02455-E4</t>
  </si>
  <si>
    <t>SYNTHETIC: Laptop return; Completed; asset G-AST-00131</t>
  </si>
  <si>
    <t>G-REQ-02456-E1</t>
  </si>
  <si>
    <t>G-REQ-02456-E2</t>
  </si>
  <si>
    <t>G-REQ-02456-E3</t>
  </si>
  <si>
    <t>G-REQ-02456-E4</t>
  </si>
  <si>
    <t>G-REQ-02457-E1</t>
  </si>
  <si>
    <t>G-REQ-02457-E2</t>
  </si>
  <si>
    <t>G-REQ-02457-E3</t>
  </si>
  <si>
    <t>G-REQ-02457-E4</t>
  </si>
  <si>
    <t>G-REQ-02458-E1</t>
  </si>
  <si>
    <t>G-REQ-02458-E2</t>
  </si>
  <si>
    <t>G-REQ-02458-E3</t>
  </si>
  <si>
    <t>G-REQ-02458-E4</t>
  </si>
  <si>
    <t>G-REQ-02459-E1</t>
  </si>
  <si>
    <t>G-REQ-02459-E2</t>
  </si>
  <si>
    <t>G-REQ-02459-E3</t>
  </si>
  <si>
    <t>G-REQ-02459-E4</t>
  </si>
  <si>
    <t>G-REQ-02460-E1</t>
  </si>
  <si>
    <t>G-REQ-02460-E2</t>
  </si>
  <si>
    <t>G-REQ-02460-E3</t>
  </si>
  <si>
    <t>G-REQ-02460-E4</t>
  </si>
  <si>
    <t>G-REQ-02461-E1</t>
  </si>
  <si>
    <t>G-REQ-02461-E2</t>
  </si>
  <si>
    <t>G-REQ-02461-E3</t>
  </si>
  <si>
    <t>G-REQ-02461-E4</t>
  </si>
  <si>
    <t>G-REQ-02462-E1</t>
  </si>
  <si>
    <t>G-REQ-02462-E2</t>
  </si>
  <si>
    <t>G-REQ-02462-E3</t>
  </si>
  <si>
    <t>G-REQ-02462-E4</t>
  </si>
  <si>
    <t>G-REQ-02463-E1</t>
  </si>
  <si>
    <t>G-REQ-02463-E2</t>
  </si>
  <si>
    <t>G-REQ-02463-E3</t>
  </si>
  <si>
    <t>G-REQ-02463-E4</t>
  </si>
  <si>
    <t>G-REQ-02464-E1</t>
  </si>
  <si>
    <t>G-REQ-02464-E2</t>
  </si>
  <si>
    <t>G-REQ-02464-E3</t>
  </si>
  <si>
    <t>G-REQ-02464-E4</t>
  </si>
  <si>
    <t>G-REQ-02465-E1</t>
  </si>
  <si>
    <t>G-REQ-02465-E2</t>
  </si>
  <si>
    <t>G-REQ-02465-E3</t>
  </si>
  <si>
    <t>G-REQ-02465-E4</t>
  </si>
  <si>
    <t>G-REQ-02466-E1</t>
  </si>
  <si>
    <t>G-REQ-02466-E2</t>
  </si>
  <si>
    <t>G-REQ-02467-E1</t>
  </si>
  <si>
    <t>G-REQ-02467-E2</t>
  </si>
  <si>
    <t>G-REQ-02467-E3</t>
  </si>
  <si>
    <t>G-REQ-02467-E4</t>
  </si>
  <si>
    <t>G-REQ-02468-E1</t>
  </si>
  <si>
    <t>G-REQ-02468-E2</t>
  </si>
  <si>
    <t>G-REQ-02468-E3</t>
  </si>
  <si>
    <t>G-REQ-02468-E4</t>
  </si>
  <si>
    <t>G-REQ-02469-E1</t>
  </si>
  <si>
    <t>G-REQ-02469-E2</t>
  </si>
  <si>
    <t>SYNTHETIC: Laptop repair; Rejected; asset G-AST-00162</t>
  </si>
  <si>
    <t>G-REQ-02470-E1</t>
  </si>
  <si>
    <t>G-REQ-02470-E2</t>
  </si>
  <si>
    <t>G-REQ-02470-E3</t>
  </si>
  <si>
    <t>G-REQ-02470-E4</t>
  </si>
  <si>
    <t>G-REQ-02471-E1</t>
  </si>
  <si>
    <t>G-REQ-02471-E2</t>
  </si>
  <si>
    <t>G-REQ-02471-E3</t>
  </si>
  <si>
    <t>G-REQ-02471-E4</t>
  </si>
  <si>
    <t>G-REQ-02472-E1</t>
  </si>
  <si>
    <t>G-REQ-02472-E2</t>
  </si>
  <si>
    <t>G-REQ-02472-E3</t>
  </si>
  <si>
    <t>G-REQ-02472-E4</t>
  </si>
  <si>
    <t>G-REQ-02473-E1</t>
  </si>
  <si>
    <t>SYNTHETIC: Laptop repair; Pending approval; asset G-AST-00225</t>
  </si>
  <si>
    <t>G-REQ-02473-E2</t>
  </si>
  <si>
    <t>SYNTHETIC: Laptop repair; Rejected; asset G-AST-00225</t>
  </si>
  <si>
    <t>G-REQ-02474-E1</t>
  </si>
  <si>
    <t>G-REQ-02474-E2</t>
  </si>
  <si>
    <t>G-REQ-02474-E3</t>
  </si>
  <si>
    <t>G-REQ-02474-E4</t>
  </si>
  <si>
    <t>G-REQ-02475-E1</t>
  </si>
  <si>
    <t>G-REQ-02475-E2</t>
  </si>
  <si>
    <t>G-REQ-02475-E3</t>
  </si>
  <si>
    <t>G-REQ-02475-E4</t>
  </si>
  <si>
    <t>G-REQ-02476-E1</t>
  </si>
  <si>
    <t>G-REQ-02476-E2</t>
  </si>
  <si>
    <t>G-REQ-02476-E3</t>
  </si>
  <si>
    <t>G-REQ-02476-E4</t>
  </si>
  <si>
    <t>G-REQ-02477-E1</t>
  </si>
  <si>
    <t>G-REQ-02477-E2</t>
  </si>
  <si>
    <t>G-REQ-02477-E3</t>
  </si>
  <si>
    <t>G-REQ-02477-E4</t>
  </si>
  <si>
    <t>G-REQ-02478-E1</t>
  </si>
  <si>
    <t>G-REQ-02478-E2</t>
  </si>
  <si>
    <t>G-REQ-02478-E3</t>
  </si>
  <si>
    <t>G-REQ-02478-E4</t>
  </si>
  <si>
    <t>G-REQ-02479-E1</t>
  </si>
  <si>
    <t>G-REQ-02479-E2</t>
  </si>
  <si>
    <t>G-REQ-02479-E3</t>
  </si>
  <si>
    <t>G-REQ-02479-E4</t>
  </si>
  <si>
    <t>G-REQ-02480-E1</t>
  </si>
  <si>
    <t>G-REQ-02480-E2</t>
  </si>
  <si>
    <t>G-REQ-02480-E3</t>
  </si>
  <si>
    <t>G-REQ-02480-E4</t>
  </si>
  <si>
    <t>G-REQ-02481-E1</t>
  </si>
  <si>
    <t>G-REQ-02481-E2</t>
  </si>
  <si>
    <t>G-REQ-02481-E3</t>
  </si>
  <si>
    <t>G-REQ-02481-E4</t>
  </si>
  <si>
    <t>G-REQ-02482-E1</t>
  </si>
  <si>
    <t>G-REQ-02482-E2</t>
  </si>
  <si>
    <t>G-REQ-02482-E3</t>
  </si>
  <si>
    <t>G-REQ-02482-E4</t>
  </si>
  <si>
    <t>G-REQ-02483-E1</t>
  </si>
  <si>
    <t>G-REQ-02483-E2</t>
  </si>
  <si>
    <t>G-REQ-02483-E3</t>
  </si>
  <si>
    <t>G-REQ-02483-E4</t>
  </si>
  <si>
    <t>G-REQ-02484-E1</t>
  </si>
  <si>
    <t>G-REQ-02484-E2</t>
  </si>
  <si>
    <t>SYNTHETIC: Laptop repair; Rejected; asset G-AST-00136</t>
  </si>
  <si>
    <t>G-REQ-02485-E1</t>
  </si>
  <si>
    <t>G-REQ-02485-E2</t>
  </si>
  <si>
    <t>G-REQ-02485-E3</t>
  </si>
  <si>
    <t>G-REQ-02485-E4</t>
  </si>
  <si>
    <t>G-REQ-02486-E1</t>
  </si>
  <si>
    <t>G-REQ-02486-E2</t>
  </si>
  <si>
    <t>G-REQ-02486-E3</t>
  </si>
  <si>
    <t>G-REQ-02486-E4</t>
  </si>
  <si>
    <t>G-REQ-02487-E1</t>
  </si>
  <si>
    <t>SYNTHETIC: Laptop repair; Pending approval; asset G-AST-00201</t>
  </si>
  <si>
    <t>G-REQ-02487-E2</t>
  </si>
  <si>
    <t>SYNTHETIC: Laptop repair; Approved; asset G-AST-00201</t>
  </si>
  <si>
    <t>G-REQ-02487-E3</t>
  </si>
  <si>
    <t>SYNTHETIC: Laptop repair; In progress; asset G-AST-00201</t>
  </si>
  <si>
    <t>G-REQ-02487-E4</t>
  </si>
  <si>
    <t>SYNTHETIC: Laptop repair; Completed; asset G-AST-00201</t>
  </si>
  <si>
    <t>G-REQ-02488-E1</t>
  </si>
  <si>
    <t>G-REQ-02488-E2</t>
  </si>
  <si>
    <t>G-REQ-02488-E3</t>
  </si>
  <si>
    <t>G-REQ-02488-E4</t>
  </si>
  <si>
    <t>G-REQ-02489-E1</t>
  </si>
  <si>
    <t>G-REQ-02489-E2</t>
  </si>
  <si>
    <t>G-REQ-02489-E3</t>
  </si>
  <si>
    <t>G-REQ-02489-E4</t>
  </si>
  <si>
    <t>G-REQ-02490-E1</t>
  </si>
  <si>
    <t>G-REQ-02490-E2</t>
  </si>
  <si>
    <t>G-REQ-02490-E3</t>
  </si>
  <si>
    <t>G-REQ-02490-E4</t>
  </si>
  <si>
    <t>G-REQ-02491-E1</t>
  </si>
  <si>
    <t>SYNTHETIC: Laptop return; Pending approval; asset G-AST-00246</t>
  </si>
  <si>
    <t>G-REQ-02491-E2</t>
  </si>
  <si>
    <t>SYNTHETIC: Laptop return; Approved; asset G-AST-00246</t>
  </si>
  <si>
    <t>G-REQ-02491-E3</t>
  </si>
  <si>
    <t>SYNTHETIC: Laptop return; In progress; asset G-AST-00246</t>
  </si>
  <si>
    <t>G-REQ-02491-E4</t>
  </si>
  <si>
    <t>SYNTHETIC: Laptop return; Completed; asset G-AST-00246</t>
  </si>
  <si>
    <t>G-REQ-02492-E1</t>
  </si>
  <si>
    <t>G-REQ-02492-E2</t>
  </si>
  <si>
    <t>G-REQ-02492-E3</t>
  </si>
  <si>
    <t>G-REQ-02492-E4</t>
  </si>
  <si>
    <t>G-REQ-02493-E1</t>
  </si>
  <si>
    <t>G-REQ-02493-E2</t>
  </si>
  <si>
    <t>G-REQ-02493-E3</t>
  </si>
  <si>
    <t>G-REQ-02493-E4</t>
  </si>
  <si>
    <t>G-REQ-02494-E1</t>
  </si>
  <si>
    <t>G-REQ-02494-E2</t>
  </si>
  <si>
    <t>SYNTHETIC: Laptop repair; Approved; asset G-AST-00165</t>
  </si>
  <si>
    <t>G-REQ-02494-E3</t>
  </si>
  <si>
    <t>SYNTHETIC: Laptop repair; In progress; asset G-AST-00165</t>
  </si>
  <si>
    <t>G-REQ-02494-E4</t>
  </si>
  <si>
    <t>SYNTHETIC: Laptop repair; Completed; asset G-AST-00165</t>
  </si>
  <si>
    <t>G-REQ-02495-E1</t>
  </si>
  <si>
    <t>G-REQ-02495-E2</t>
  </si>
  <si>
    <t>G-REQ-02495-E3</t>
  </si>
  <si>
    <t>G-REQ-02495-E4</t>
  </si>
  <si>
    <t>G-REQ-02496-E1</t>
  </si>
  <si>
    <t>G-REQ-02496-E2</t>
  </si>
  <si>
    <t>G-REQ-02497-E1</t>
  </si>
  <si>
    <t>G-REQ-02497-E2</t>
  </si>
  <si>
    <t>G-REQ-02497-E3</t>
  </si>
  <si>
    <t>G-REQ-02497-E4</t>
  </si>
  <si>
    <t>G-REQ-02498-E1</t>
  </si>
  <si>
    <t>G-REQ-02498-E2</t>
  </si>
  <si>
    <t>G-REQ-02498-E3</t>
  </si>
  <si>
    <t>G-REQ-02498-E4</t>
  </si>
  <si>
    <t>G-REQ-02499-E1</t>
  </si>
  <si>
    <t>G-REQ-02499-E2</t>
  </si>
  <si>
    <t>G-REQ-02499-E3</t>
  </si>
  <si>
    <t>G-REQ-02499-E4</t>
  </si>
  <si>
    <t>G-REQ-02500-E1</t>
  </si>
  <si>
    <t>G-REQ-02500-E2</t>
  </si>
  <si>
    <t>SYNTHETIC: Laptop return; Cancelled; asset G-AST-00033</t>
  </si>
  <si>
    <t>G-REQ-02501-E1</t>
  </si>
  <si>
    <t>G-REQ-02501-E2</t>
  </si>
  <si>
    <t>SYNTHETIC: Laptop repair; Cancelled; asset G-AST-00256</t>
  </si>
  <si>
    <t>G-REQ-02502-E1</t>
  </si>
  <si>
    <t>G-REQ-02502-E2</t>
  </si>
  <si>
    <t>G-REQ-02502-E3</t>
  </si>
  <si>
    <t>G-REQ-02502-E4</t>
  </si>
  <si>
    <t>G-REQ-02503-E1</t>
  </si>
  <si>
    <t>G-REQ-02503-E2</t>
  </si>
  <si>
    <t>G-REQ-02503-E3</t>
  </si>
  <si>
    <t>G-REQ-02503-E4</t>
  </si>
  <si>
    <t>G-REQ-02504-E1</t>
  </si>
  <si>
    <t>SYNTHETIC: Laptop return; Pending approval; asset G-AST-00401</t>
  </si>
  <si>
    <t>G-REQ-02504-E2</t>
  </si>
  <si>
    <t>SYNTHETIC: Laptop return; Approved; asset G-AST-00401</t>
  </si>
  <si>
    <t>G-REQ-02504-E3</t>
  </si>
  <si>
    <t>SYNTHETIC: Laptop return; In progress; asset G-AST-00401</t>
  </si>
  <si>
    <t>G-REQ-02504-E4</t>
  </si>
  <si>
    <t>SYNTHETIC: Laptop return; Completed; asset G-AST-00401</t>
  </si>
  <si>
    <t>G-REQ-02505-E1</t>
  </si>
  <si>
    <t>SYNTHETIC: Laptop repair; Pending approval; asset G-AST-00055</t>
  </si>
  <si>
    <t>G-REQ-02505-E2</t>
  </si>
  <si>
    <t>SYNTHETIC: Laptop repair; Approved; asset G-AST-00055</t>
  </si>
  <si>
    <t>G-REQ-02505-E3</t>
  </si>
  <si>
    <t>SYNTHETIC: Laptop repair; In progress; asset G-AST-00055</t>
  </si>
  <si>
    <t>G-REQ-02505-E4</t>
  </si>
  <si>
    <t>SYNTHETIC: Laptop repair; Completed; asset G-AST-00055</t>
  </si>
  <si>
    <t>G-REQ-02506-E1</t>
  </si>
  <si>
    <t>G-REQ-02506-E2</t>
  </si>
  <si>
    <t>G-REQ-02506-E3</t>
  </si>
  <si>
    <t>G-REQ-02506-E4</t>
  </si>
  <si>
    <t>G-REQ-02507-E1</t>
  </si>
  <si>
    <t>G-REQ-02507-E2</t>
  </si>
  <si>
    <t>G-REQ-02507-E3</t>
  </si>
  <si>
    <t>G-REQ-02507-E4</t>
  </si>
  <si>
    <t>G-REQ-02508-E1</t>
  </si>
  <si>
    <t>G-REQ-02508-E2</t>
  </si>
  <si>
    <t>G-REQ-02508-E3</t>
  </si>
  <si>
    <t>G-REQ-02508-E4</t>
  </si>
  <si>
    <t>G-REQ-02509-E1</t>
  </si>
  <si>
    <t>G-REQ-02509-E2</t>
  </si>
  <si>
    <t>G-REQ-02509-E3</t>
  </si>
  <si>
    <t>G-REQ-02509-E4</t>
  </si>
  <si>
    <t>G-REQ-02510-E1</t>
  </si>
  <si>
    <t>SYNTHETIC: Laptop return; Pending approval; asset G-AST-00270</t>
  </si>
  <si>
    <t>G-REQ-02510-E2</t>
  </si>
  <si>
    <t>SYNTHETIC: Laptop return; Approved; asset G-AST-00270</t>
  </si>
  <si>
    <t>G-REQ-02510-E3</t>
  </si>
  <si>
    <t>SYNTHETIC: Laptop return; In progress; asset G-AST-00270</t>
  </si>
  <si>
    <t>G-REQ-02510-E4</t>
  </si>
  <si>
    <t>SYNTHETIC: Laptop return; Completed; asset G-AST-00270</t>
  </si>
  <si>
    <t>G-REQ-02511-E1</t>
  </si>
  <si>
    <t>G-REQ-02511-E2</t>
  </si>
  <si>
    <t>G-REQ-02511-E3</t>
  </si>
  <si>
    <t>G-REQ-02511-E4</t>
  </si>
  <si>
    <t>G-REQ-02512-E1</t>
  </si>
  <si>
    <t>G-REQ-02512-E2</t>
  </si>
  <si>
    <t>G-REQ-02512-E3</t>
  </si>
  <si>
    <t>G-REQ-02512-E4</t>
  </si>
  <si>
    <t>G-REQ-02513-E1</t>
  </si>
  <si>
    <t>G-REQ-02513-E2</t>
  </si>
  <si>
    <t>G-REQ-02513-E3</t>
  </si>
  <si>
    <t>G-REQ-02513-E4</t>
  </si>
  <si>
    <t>G-REQ-02514-E1</t>
  </si>
  <si>
    <t>G-REQ-02514-E2</t>
  </si>
  <si>
    <t>G-REQ-02514-E3</t>
  </si>
  <si>
    <t>G-REQ-02514-E4</t>
  </si>
  <si>
    <t>G-REQ-02515-E1</t>
  </si>
  <si>
    <t>SYNTHETIC: Laptop repair; Pending approval; asset G-AST-00186</t>
  </si>
  <si>
    <t>G-REQ-02515-E2</t>
  </si>
  <si>
    <t>SYNTHETIC: Laptop repair; Approved; asset G-AST-00186</t>
  </si>
  <si>
    <t>G-REQ-02515-E3</t>
  </si>
  <si>
    <t>SYNTHETIC: Laptop repair; In progress; asset G-AST-00186</t>
  </si>
  <si>
    <t>G-REQ-02515-E4</t>
  </si>
  <si>
    <t>SYNTHETIC: Laptop repair; Completed; asset G-AST-00186</t>
  </si>
  <si>
    <t>G-REQ-02516-E1</t>
  </si>
  <si>
    <t>G-REQ-02516-E2</t>
  </si>
  <si>
    <t>G-REQ-02516-E3</t>
  </si>
  <si>
    <t>G-REQ-02516-E4</t>
  </si>
  <si>
    <t>G-REQ-02517-E1</t>
  </si>
  <si>
    <t>G-REQ-02517-E2</t>
  </si>
  <si>
    <t>SYNTHETIC: Laptop repair; Rejected; asset G-AST-00421</t>
  </si>
  <si>
    <t>G-REQ-02518-E1</t>
  </si>
  <si>
    <t>G-REQ-02518-E2</t>
  </si>
  <si>
    <t>G-REQ-02518-E3</t>
  </si>
  <si>
    <t>G-REQ-02518-E4</t>
  </si>
  <si>
    <t>G-REQ-02519-E1</t>
  </si>
  <si>
    <t>G-REQ-02519-E2</t>
  </si>
  <si>
    <t>G-REQ-02519-E3</t>
  </si>
  <si>
    <t>G-REQ-02519-E4</t>
  </si>
  <si>
    <t>G-REQ-02520-E1</t>
  </si>
  <si>
    <t>G-REQ-02520-E2</t>
  </si>
  <si>
    <t>G-REQ-02521-E1</t>
  </si>
  <si>
    <t>G-REQ-02521-E2</t>
  </si>
  <si>
    <t>G-REQ-02521-E3</t>
  </si>
  <si>
    <t>G-REQ-02521-E4</t>
  </si>
  <si>
    <t>G-REQ-02522-E1</t>
  </si>
  <si>
    <t>SYNTHETIC: Laptop return; Pending approval; asset G-AST-00353</t>
  </si>
  <si>
    <t>G-REQ-02522-E2</t>
  </si>
  <si>
    <t>SYNTHETIC: Laptop return; Approved; asset G-AST-00353</t>
  </si>
  <si>
    <t>G-REQ-02522-E3</t>
  </si>
  <si>
    <t>SYNTHETIC: Laptop return; In progress; asset G-AST-00353</t>
  </si>
  <si>
    <t>G-REQ-02522-E4</t>
  </si>
  <si>
    <t>SYNTHETIC: Laptop return; Completed; asset G-AST-00353</t>
  </si>
  <si>
    <t>G-REQ-02523-E1</t>
  </si>
  <si>
    <t>G-REQ-02523-E2</t>
  </si>
  <si>
    <t>G-REQ-02523-E3</t>
  </si>
  <si>
    <t>G-REQ-02523-E4</t>
  </si>
  <si>
    <t>G-REQ-02524-E1</t>
  </si>
  <si>
    <t>G-REQ-02524-E2</t>
  </si>
  <si>
    <t>SYNTHETIC: Laptop repair; Rejected; asset G-AST-00076</t>
  </si>
  <si>
    <t>G-REQ-02525-E1</t>
  </si>
  <si>
    <t>G-REQ-02525-E2</t>
  </si>
  <si>
    <t>SYNTHETIC: Laptop repair; Approved; asset G-AST-00225</t>
  </si>
  <si>
    <t>G-REQ-02525-E3</t>
  </si>
  <si>
    <t>SYNTHETIC: Laptop repair; In progress; asset G-AST-00225</t>
  </si>
  <si>
    <t>G-REQ-02525-E4</t>
  </si>
  <si>
    <t>SYNTHETIC: Laptop repair; Completed; asset G-AST-00225</t>
  </si>
  <si>
    <t>G-REQ-02526-E1</t>
  </si>
  <si>
    <t>G-REQ-02526-E2</t>
  </si>
  <si>
    <t>G-REQ-02526-E3</t>
  </si>
  <si>
    <t>G-REQ-02526-E4</t>
  </si>
  <si>
    <t>G-REQ-02527-E1</t>
  </si>
  <si>
    <t>G-REQ-02527-E2</t>
  </si>
  <si>
    <t>G-REQ-02527-E3</t>
  </si>
  <si>
    <t>G-REQ-02527-E4</t>
  </si>
  <si>
    <t>G-REQ-02528-E1</t>
  </si>
  <si>
    <t>SYNTHETIC: Laptop repair; Pending approval; asset G-AST-00096</t>
  </si>
  <si>
    <t>G-REQ-02528-E2</t>
  </si>
  <si>
    <t>SYNTHETIC: Laptop repair; Approved; asset G-AST-00096</t>
  </si>
  <si>
    <t>G-REQ-02528-E3</t>
  </si>
  <si>
    <t>SYNTHETIC: Laptop repair; In progress; asset G-AST-00096</t>
  </si>
  <si>
    <t>G-REQ-02528-E4</t>
  </si>
  <si>
    <t>SYNTHETIC: Laptop repair; Completed; asset G-AST-00096</t>
  </si>
  <si>
    <t>G-REQ-02529-E1</t>
  </si>
  <si>
    <t>G-REQ-02529-E2</t>
  </si>
  <si>
    <t>G-REQ-02529-E3</t>
  </si>
  <si>
    <t>G-REQ-02529-E4</t>
  </si>
  <si>
    <t>G-REQ-02530-E1</t>
  </si>
  <si>
    <t>G-REQ-02530-E2</t>
  </si>
  <si>
    <t>G-REQ-02530-E3</t>
  </si>
  <si>
    <t>G-REQ-02530-E4</t>
  </si>
  <si>
    <t>G-REQ-02531-E1</t>
  </si>
  <si>
    <t>G-REQ-02531-E2</t>
  </si>
  <si>
    <t>G-REQ-02531-E3</t>
  </si>
  <si>
    <t>G-REQ-02531-E4</t>
  </si>
  <si>
    <t>G-REQ-02532-E1</t>
  </si>
  <si>
    <t>G-REQ-02532-E2</t>
  </si>
  <si>
    <t>G-REQ-02532-E3</t>
  </si>
  <si>
    <t>G-REQ-02532-E4</t>
  </si>
  <si>
    <t>G-REQ-02533-E1</t>
  </si>
  <si>
    <t>G-REQ-02533-E2</t>
  </si>
  <si>
    <t>G-REQ-02534-E1</t>
  </si>
  <si>
    <t>SYNTHETIC: Laptop return; Pending approval; asset G-AST-00507</t>
  </si>
  <si>
    <t>G-REQ-02534-E2</t>
  </si>
  <si>
    <t>SYNTHETIC: Laptop return; Approved; asset G-AST-00507</t>
  </si>
  <si>
    <t>G-REQ-02534-E3</t>
  </si>
  <si>
    <t>SYNTHETIC: Laptop return; In progress; asset G-AST-00507</t>
  </si>
  <si>
    <t>G-REQ-02534-E4</t>
  </si>
  <si>
    <t>SYNTHETIC: Laptop return; Completed; asset G-AST-00507</t>
  </si>
  <si>
    <t>G-REQ-02535-E1</t>
  </si>
  <si>
    <t>G-REQ-02535-E2</t>
  </si>
  <si>
    <t>G-REQ-02535-E3</t>
  </si>
  <si>
    <t>G-REQ-02535-E4</t>
  </si>
  <si>
    <t>G-REQ-02536-E1</t>
  </si>
  <si>
    <t>G-REQ-02536-E2</t>
  </si>
  <si>
    <t>G-REQ-02536-E3</t>
  </si>
  <si>
    <t>G-REQ-02536-E4</t>
  </si>
  <si>
    <t>G-REQ-02537-E1</t>
  </si>
  <si>
    <t>SYNTHETIC: Laptop return; Pending approval; asset G-AST-00421</t>
  </si>
  <si>
    <t>G-REQ-02537-E2</t>
  </si>
  <si>
    <t>SYNTHETIC: Laptop return; Approved; asset G-AST-00421</t>
  </si>
  <si>
    <t>G-REQ-02537-E3</t>
  </si>
  <si>
    <t>SYNTHETIC: Laptop return; In progress; asset G-AST-00421</t>
  </si>
  <si>
    <t>G-REQ-02537-E4</t>
  </si>
  <si>
    <t>SYNTHETIC: Laptop return; Completed; asset G-AST-00421</t>
  </si>
  <si>
    <t>G-REQ-02538-E1</t>
  </si>
  <si>
    <t>G-REQ-02538-E2</t>
  </si>
  <si>
    <t>G-REQ-02539-E1</t>
  </si>
  <si>
    <t>G-REQ-02539-E2</t>
  </si>
  <si>
    <t>G-REQ-02539-E3</t>
  </si>
  <si>
    <t>G-REQ-02539-E4</t>
  </si>
  <si>
    <t>G-REQ-02540-E1</t>
  </si>
  <si>
    <t>G-REQ-02540-E2</t>
  </si>
  <si>
    <t>SYNTHETIC: Laptop repair; Cancelled; asset G-AST-00277</t>
  </si>
  <si>
    <t>G-REQ-02541-E1</t>
  </si>
  <si>
    <t>G-REQ-02541-E2</t>
  </si>
  <si>
    <t>G-REQ-02541-E3</t>
  </si>
  <si>
    <t>G-REQ-02541-E4</t>
  </si>
  <si>
    <t>G-REQ-02542-E1</t>
  </si>
  <si>
    <t>G-REQ-02542-E2</t>
  </si>
  <si>
    <t>G-REQ-02542-E3</t>
  </si>
  <si>
    <t>G-REQ-02542-E4</t>
  </si>
  <si>
    <t>G-REQ-02543-E1</t>
  </si>
  <si>
    <t>G-REQ-02543-E2</t>
  </si>
  <si>
    <t>G-REQ-02543-E3</t>
  </si>
  <si>
    <t>G-REQ-02543-E4</t>
  </si>
  <si>
    <t>G-REQ-02544-E1</t>
  </si>
  <si>
    <t>G-REQ-02544-E2</t>
  </si>
  <si>
    <t>G-REQ-02544-E3</t>
  </si>
  <si>
    <t>G-REQ-02544-E4</t>
  </si>
  <si>
    <t>G-REQ-02545-E1</t>
  </si>
  <si>
    <t>G-REQ-02545-E2</t>
  </si>
  <si>
    <t>G-REQ-02545-E3</t>
  </si>
  <si>
    <t>G-REQ-02545-E4</t>
  </si>
  <si>
    <t>G-REQ-02546-E1</t>
  </si>
  <si>
    <t>G-REQ-02546-E2</t>
  </si>
  <si>
    <t>SYNTHETIC: Laptop repair; Rejected; asset G-AST-00191</t>
  </si>
  <si>
    <t>G-REQ-02547-E1</t>
  </si>
  <si>
    <t>G-REQ-02547-E2</t>
  </si>
  <si>
    <t>G-REQ-02547-E3</t>
  </si>
  <si>
    <t>G-REQ-02547-E4</t>
  </si>
  <si>
    <t>G-REQ-02548-E1</t>
  </si>
  <si>
    <t>G-REQ-02548-E2</t>
  </si>
  <si>
    <t>G-REQ-02548-E3</t>
  </si>
  <si>
    <t>G-REQ-02548-E4</t>
  </si>
  <si>
    <t>G-REQ-02549-E1</t>
  </si>
  <si>
    <t>G-REQ-02549-E2</t>
  </si>
  <si>
    <t>G-REQ-02549-E3</t>
  </si>
  <si>
    <t>G-REQ-02549-E4</t>
  </si>
  <si>
    <t>G-REQ-02550-E1</t>
  </si>
  <si>
    <t>SYNTHETIC: Laptop return; Pending approval; asset G-AST-00361</t>
  </si>
  <si>
    <t>G-REQ-02550-E2</t>
  </si>
  <si>
    <t>SYNTHETIC: Laptop return; Approved; asset G-AST-00361</t>
  </si>
  <si>
    <t>G-REQ-02550-E3</t>
  </si>
  <si>
    <t>SYNTHETIC: Laptop return; In progress; asset G-AST-00361</t>
  </si>
  <si>
    <t>G-REQ-02550-E4</t>
  </si>
  <si>
    <t>SYNTHETIC: Laptop return; Completed; asset G-AST-00361</t>
  </si>
  <si>
    <t>G-REQ-02551-E1</t>
  </si>
  <si>
    <t>G-REQ-02551-E2</t>
  </si>
  <si>
    <t>G-REQ-02551-E3</t>
  </si>
  <si>
    <t>G-REQ-02551-E4</t>
  </si>
  <si>
    <t>G-REQ-02552-E1</t>
  </si>
  <si>
    <t>G-REQ-02552-E2</t>
  </si>
  <si>
    <t>G-REQ-02552-E3</t>
  </si>
  <si>
    <t>G-REQ-02552-E4</t>
  </si>
  <si>
    <t>G-REQ-02553-E1</t>
  </si>
  <si>
    <t>G-REQ-02553-E2</t>
  </si>
  <si>
    <t>G-REQ-02553-E3</t>
  </si>
  <si>
    <t>G-REQ-02553-E4</t>
  </si>
  <si>
    <t>G-REQ-02554-E1</t>
  </si>
  <si>
    <t>G-REQ-02554-E2</t>
  </si>
  <si>
    <t>SYNTHETIC: Laptop return; Approved; asset G-AST-00476</t>
  </si>
  <si>
    <t>G-REQ-02554-E3</t>
  </si>
  <si>
    <t>SYNTHETIC: Laptop return; In progress; asset G-AST-00476</t>
  </si>
  <si>
    <t>G-REQ-02554-E4</t>
  </si>
  <si>
    <t>SYNTHETIC: Laptop return; Completed; asset G-AST-00476</t>
  </si>
  <si>
    <t>G-REQ-02555-E1</t>
  </si>
  <si>
    <t>G-REQ-02555-E2</t>
  </si>
  <si>
    <t>SYNTHETIC: Laptop repair; Approved; asset G-AST-00463</t>
  </si>
  <si>
    <t>G-REQ-02555-E3</t>
  </si>
  <si>
    <t>SYNTHETIC: Laptop repair; In progress; asset G-AST-00463</t>
  </si>
  <si>
    <t>G-REQ-02555-E4</t>
  </si>
  <si>
    <t>SYNTHETIC: Laptop repair; Completed; asset G-AST-00463</t>
  </si>
  <si>
    <t>G-REQ-02556-E1</t>
  </si>
  <si>
    <t>G-REQ-02556-E2</t>
  </si>
  <si>
    <t>G-REQ-02556-E3</t>
  </si>
  <si>
    <t>G-REQ-02556-E4</t>
  </si>
  <si>
    <t>G-REQ-02557-E1</t>
  </si>
  <si>
    <t>G-REQ-02557-E2</t>
  </si>
  <si>
    <t>G-REQ-02557-E3</t>
  </si>
  <si>
    <t>G-REQ-02557-E4</t>
  </si>
  <si>
    <t>G-REQ-02558-E1</t>
  </si>
  <si>
    <t>G-REQ-02558-E2</t>
  </si>
  <si>
    <t>G-REQ-02558-E3</t>
  </si>
  <si>
    <t>G-REQ-02558-E4</t>
  </si>
  <si>
    <t>G-REQ-02559-E1</t>
  </si>
  <si>
    <t>SYNTHETIC: Laptop repair; Pending approval; asset G-AST-00263</t>
  </si>
  <si>
    <t>G-REQ-02559-E2</t>
  </si>
  <si>
    <t>SYNTHETIC: Laptop repair; Approved; asset G-AST-00263</t>
  </si>
  <si>
    <t>G-REQ-02559-E3</t>
  </si>
  <si>
    <t>SYNTHETIC: Laptop repair; In progress; asset G-AST-00263</t>
  </si>
  <si>
    <t>G-REQ-02559-E4</t>
  </si>
  <si>
    <t>SYNTHETIC: Laptop repair; Completed; asset G-AST-00263</t>
  </si>
  <si>
    <t>G-REQ-02560-E1</t>
  </si>
  <si>
    <t>G-REQ-02560-E2</t>
  </si>
  <si>
    <t>G-REQ-02560-E3</t>
  </si>
  <si>
    <t>G-REQ-02560-E4</t>
  </si>
  <si>
    <t>G-REQ-02561-E1</t>
  </si>
  <si>
    <t>SYNTHETIC: Laptop repair; Pending approval; asset G-AST-00274</t>
  </si>
  <si>
    <t>G-REQ-02561-E2</t>
  </si>
  <si>
    <t>SYNTHETIC: Laptop repair; Approved; asset G-AST-00274</t>
  </si>
  <si>
    <t>G-REQ-02561-E3</t>
  </si>
  <si>
    <t>SYNTHETIC: Laptop repair; In progress; asset G-AST-00274</t>
  </si>
  <si>
    <t>G-REQ-02561-E4</t>
  </si>
  <si>
    <t>SYNTHETIC: Laptop repair; Completed; asset G-AST-00274</t>
  </si>
  <si>
    <t>G-REQ-02562-E1</t>
  </si>
  <si>
    <t>G-REQ-02562-E2</t>
  </si>
  <si>
    <t>G-REQ-02562-E3</t>
  </si>
  <si>
    <t>G-REQ-02562-E4</t>
  </si>
  <si>
    <t>G-REQ-02563-E1</t>
  </si>
  <si>
    <t>G-REQ-02563-E2</t>
  </si>
  <si>
    <t>G-REQ-02563-E3</t>
  </si>
  <si>
    <t>G-REQ-02563-E4</t>
  </si>
  <si>
    <t>G-REQ-02564-E1</t>
  </si>
  <si>
    <t>G-REQ-02564-E2</t>
  </si>
  <si>
    <t>G-REQ-02564-E3</t>
  </si>
  <si>
    <t>G-REQ-02564-E4</t>
  </si>
  <si>
    <t>G-REQ-02565-E1</t>
  </si>
  <si>
    <t>G-REQ-02565-E2</t>
  </si>
  <si>
    <t>G-REQ-02566-E1</t>
  </si>
  <si>
    <t>G-REQ-02566-E2</t>
  </si>
  <si>
    <t>G-REQ-02566-E3</t>
  </si>
  <si>
    <t>G-REQ-02566-E4</t>
  </si>
  <si>
    <t>G-REQ-02567-E1</t>
  </si>
  <si>
    <t>G-REQ-02567-E2</t>
  </si>
  <si>
    <t>G-REQ-02567-E3</t>
  </si>
  <si>
    <t>G-REQ-02567-E4</t>
  </si>
  <si>
    <t>G-REQ-02568-E1</t>
  </si>
  <si>
    <t>G-REQ-02568-E2</t>
  </si>
  <si>
    <t>G-REQ-02568-E3</t>
  </si>
  <si>
    <t>G-REQ-02568-E4</t>
  </si>
  <si>
    <t>G-REQ-02569-E1</t>
  </si>
  <si>
    <t>G-REQ-02569-E2</t>
  </si>
  <si>
    <t>G-REQ-02569-E3</t>
  </si>
  <si>
    <t>G-REQ-02569-E4</t>
  </si>
  <si>
    <t>G-REQ-02570-E1</t>
  </si>
  <si>
    <t>G-REQ-02570-E2</t>
  </si>
  <si>
    <t>G-REQ-02570-E3</t>
  </si>
  <si>
    <t>G-REQ-02570-E4</t>
  </si>
  <si>
    <t>G-REQ-02571-E1</t>
  </si>
  <si>
    <t>G-REQ-02571-E2</t>
  </si>
  <si>
    <t>G-REQ-02571-E3</t>
  </si>
  <si>
    <t>G-REQ-02571-E4</t>
  </si>
  <si>
    <t>G-REQ-02572-E1</t>
  </si>
  <si>
    <t>G-REQ-02572-E2</t>
  </si>
  <si>
    <t>G-REQ-02572-E3</t>
  </si>
  <si>
    <t>G-REQ-02572-E4</t>
  </si>
  <si>
    <t>G-REQ-02573-E1</t>
  </si>
  <si>
    <t>G-REQ-02573-E2</t>
  </si>
  <si>
    <t>SYNTHETIC: Laptop return; Approved; asset G-AST-00257</t>
  </si>
  <si>
    <t>G-REQ-02573-E3</t>
  </si>
  <si>
    <t>SYNTHETIC: Laptop return; In progress; asset G-AST-00257</t>
  </si>
  <si>
    <t>G-REQ-02573-E4</t>
  </si>
  <si>
    <t>SYNTHETIC: Laptop return; Completed; asset G-AST-00257</t>
  </si>
  <si>
    <t>G-REQ-02574-E1</t>
  </si>
  <si>
    <t>G-REQ-02574-E2</t>
  </si>
  <si>
    <t>G-REQ-02574-E3</t>
  </si>
  <si>
    <t>G-REQ-02574-E4</t>
  </si>
  <si>
    <t>G-REQ-02575-E1</t>
  </si>
  <si>
    <t>G-REQ-02575-E2</t>
  </si>
  <si>
    <t>G-REQ-02575-E3</t>
  </si>
  <si>
    <t>G-REQ-02575-E4</t>
  </si>
  <si>
    <t>G-REQ-02576-E1</t>
  </si>
  <si>
    <t>G-REQ-02576-E2</t>
  </si>
  <si>
    <t>G-REQ-02577-E1</t>
  </si>
  <si>
    <t>G-REQ-02577-E2</t>
  </si>
  <si>
    <t>G-REQ-02577-E3</t>
  </si>
  <si>
    <t>G-REQ-02577-E4</t>
  </si>
  <si>
    <t>G-REQ-02578-E1</t>
  </si>
  <si>
    <t>G-REQ-02578-E2</t>
  </si>
  <si>
    <t>G-REQ-02578-E3</t>
  </si>
  <si>
    <t>G-REQ-02578-E4</t>
  </si>
  <si>
    <t>G-REQ-02579-E1</t>
  </si>
  <si>
    <t>G-REQ-02579-E2</t>
  </si>
  <si>
    <t>G-REQ-02579-E3</t>
  </si>
  <si>
    <t>G-REQ-02579-E4</t>
  </si>
  <si>
    <t>G-REQ-02580-E1</t>
  </si>
  <si>
    <t>G-REQ-02580-E2</t>
  </si>
  <si>
    <t>G-REQ-02580-E3</t>
  </si>
  <si>
    <t>G-REQ-02580-E4</t>
  </si>
  <si>
    <t>G-REQ-02581-E1</t>
  </si>
  <si>
    <t>G-REQ-02581-E2</t>
  </si>
  <si>
    <t>G-REQ-02581-E3</t>
  </si>
  <si>
    <t>G-REQ-02581-E4</t>
  </si>
  <si>
    <t>G-REQ-02582-E1</t>
  </si>
  <si>
    <t>G-REQ-02582-E2</t>
  </si>
  <si>
    <t>G-REQ-02582-E3</t>
  </si>
  <si>
    <t>G-REQ-02582-E4</t>
  </si>
  <si>
    <t>G-REQ-02583-E1</t>
  </si>
  <si>
    <t>G-REQ-02583-E2</t>
  </si>
  <si>
    <t>G-REQ-02583-E3</t>
  </si>
  <si>
    <t>G-REQ-02583-E4</t>
  </si>
  <si>
    <t>G-REQ-02584-E1</t>
  </si>
  <si>
    <t>G-REQ-02584-E2</t>
  </si>
  <si>
    <t>G-REQ-02584-E3</t>
  </si>
  <si>
    <t>G-REQ-02584-E4</t>
  </si>
  <si>
    <t>G-REQ-02585-E1</t>
  </si>
  <si>
    <t>SYNTHETIC: Laptop repair; Pending approval; asset G-AST-00220</t>
  </si>
  <si>
    <t>G-REQ-02585-E2</t>
  </si>
  <si>
    <t>SYNTHETIC: Laptop repair; Approved; asset G-AST-00220</t>
  </si>
  <si>
    <t>G-REQ-02585-E3</t>
  </si>
  <si>
    <t>SYNTHETIC: Laptop repair; In progress; asset G-AST-00220</t>
  </si>
  <si>
    <t>G-REQ-02585-E4</t>
  </si>
  <si>
    <t>SYNTHETIC: Laptop repair; Completed; asset G-AST-00220</t>
  </si>
  <si>
    <t>G-REQ-02586-E1</t>
  </si>
  <si>
    <t>SYNTHETIC: Laptop return; Pending approval; asset G-AST-00515</t>
  </si>
  <si>
    <t>G-REQ-02586-E2</t>
  </si>
  <si>
    <t>SYNTHETIC: Laptop return; Approved; asset G-AST-00515</t>
  </si>
  <si>
    <t>G-REQ-02586-E3</t>
  </si>
  <si>
    <t>SYNTHETIC: Laptop return; In progress; asset G-AST-00515</t>
  </si>
  <si>
    <t>G-REQ-02586-E4</t>
  </si>
  <si>
    <t>SYNTHETIC: Laptop return; Completed; asset G-AST-00515</t>
  </si>
  <si>
    <t>G-REQ-02587-E1</t>
  </si>
  <si>
    <t>G-REQ-02587-E2</t>
  </si>
  <si>
    <t>G-REQ-02587-E3</t>
  </si>
  <si>
    <t>G-REQ-02587-E4</t>
  </si>
  <si>
    <t>G-REQ-02588-E1</t>
  </si>
  <si>
    <t>G-REQ-02588-E2</t>
  </si>
  <si>
    <t>G-REQ-02588-E3</t>
  </si>
  <si>
    <t>G-REQ-02588-E4</t>
  </si>
  <si>
    <t>G-REQ-02589-E1</t>
  </si>
  <si>
    <t>G-REQ-02589-E2</t>
  </si>
  <si>
    <t>G-REQ-02589-E3</t>
  </si>
  <si>
    <t>G-REQ-02589-E4</t>
  </si>
  <si>
    <t>G-REQ-02590-E1</t>
  </si>
  <si>
    <t>G-REQ-02590-E2</t>
  </si>
  <si>
    <t>G-REQ-02590-E3</t>
  </si>
  <si>
    <t>G-REQ-02590-E4</t>
  </si>
  <si>
    <t>G-REQ-02591-E1</t>
  </si>
  <si>
    <t>G-REQ-02591-E2</t>
  </si>
  <si>
    <t>G-REQ-02591-E3</t>
  </si>
  <si>
    <t>G-REQ-02591-E4</t>
  </si>
  <si>
    <t>G-REQ-02592-E1</t>
  </si>
  <si>
    <t>G-REQ-02592-E2</t>
  </si>
  <si>
    <t>G-REQ-02592-E3</t>
  </si>
  <si>
    <t>G-REQ-02592-E4</t>
  </si>
  <si>
    <t>G-REQ-02593-E1</t>
  </si>
  <si>
    <t>G-REQ-02593-E2</t>
  </si>
  <si>
    <t>G-REQ-02593-E3</t>
  </si>
  <si>
    <t>G-REQ-02593-E4</t>
  </si>
  <si>
    <t>G-REQ-02594-E1</t>
  </si>
  <si>
    <t>G-REQ-02594-E2</t>
  </si>
  <si>
    <t>G-REQ-02594-E3</t>
  </si>
  <si>
    <t>G-REQ-02594-E4</t>
  </si>
  <si>
    <t>G-REQ-02595-E1</t>
  </si>
  <si>
    <t>G-REQ-02595-E2</t>
  </si>
  <si>
    <t>G-REQ-02595-E3</t>
  </si>
  <si>
    <t>G-REQ-02595-E4</t>
  </si>
  <si>
    <t>G-REQ-02596-E1</t>
  </si>
  <si>
    <t>G-REQ-02596-E2</t>
  </si>
  <si>
    <t>G-REQ-02596-E3</t>
  </si>
  <si>
    <t>G-REQ-02596-E4</t>
  </si>
  <si>
    <t>G-REQ-02597-E1</t>
  </si>
  <si>
    <t>SYNTHETIC: Laptop return; Pending approval; asset G-AST-00484</t>
  </si>
  <si>
    <t>G-REQ-02597-E2</t>
  </si>
  <si>
    <t>SYNTHETIC: Laptop return; Approved; asset G-AST-00484</t>
  </si>
  <si>
    <t>G-REQ-02597-E3</t>
  </si>
  <si>
    <t>SYNTHETIC: Laptop return; In progress; asset G-AST-00484</t>
  </si>
  <si>
    <t>G-REQ-02597-E4</t>
  </si>
  <si>
    <t>SYNTHETIC: Laptop return; Completed; asset G-AST-00484</t>
  </si>
  <si>
    <t>G-REQ-02598-E1</t>
  </si>
  <si>
    <t>G-REQ-02598-E2</t>
  </si>
  <si>
    <t>G-REQ-02598-E3</t>
  </si>
  <si>
    <t>G-REQ-02598-E4</t>
  </si>
  <si>
    <t>G-REQ-02599-E1</t>
  </si>
  <si>
    <t>G-REQ-02599-E2</t>
  </si>
  <si>
    <t>SYNTHETIC: Laptop repair; Cancelled; asset G-AST-00030</t>
  </si>
  <si>
    <t>G-REQ-02600-E1</t>
  </si>
  <si>
    <t>G-REQ-02600-E2</t>
  </si>
  <si>
    <t>SYNTHETIC: Laptop return; Approved; asset G-AST-00300</t>
  </si>
  <si>
    <t>G-REQ-02600-E3</t>
  </si>
  <si>
    <t>SYNTHETIC: Laptop return; In progress; asset G-AST-00300</t>
  </si>
  <si>
    <t>G-REQ-02600-E4</t>
  </si>
  <si>
    <t>SYNTHETIC: Laptop return; Completed; asset G-AST-00300</t>
  </si>
  <si>
    <t>G-REQ-02601-E1</t>
  </si>
  <si>
    <t>G-REQ-02601-E2</t>
  </si>
  <si>
    <t>G-REQ-02601-E3</t>
  </si>
  <si>
    <t>G-REQ-02601-E4</t>
  </si>
  <si>
    <t>G-REQ-02602-E1</t>
  </si>
  <si>
    <t>G-REQ-02602-E2</t>
  </si>
  <si>
    <t>G-REQ-02602-E3</t>
  </si>
  <si>
    <t>G-REQ-02602-E4</t>
  </si>
  <si>
    <t>G-REQ-02603-E1</t>
  </si>
  <si>
    <t>G-REQ-02603-E2</t>
  </si>
  <si>
    <t>G-REQ-02603-E3</t>
  </si>
  <si>
    <t>G-REQ-02603-E4</t>
  </si>
  <si>
    <t>G-REQ-02604-E1</t>
  </si>
  <si>
    <t>G-REQ-02604-E2</t>
  </si>
  <si>
    <t>G-REQ-02604-E3</t>
  </si>
  <si>
    <t>G-REQ-02604-E4</t>
  </si>
  <si>
    <t>G-REQ-02605-E1</t>
  </si>
  <si>
    <t>G-REQ-02605-E2</t>
  </si>
  <si>
    <t>G-REQ-02605-E3</t>
  </si>
  <si>
    <t>G-REQ-02605-E4</t>
  </si>
  <si>
    <t>G-REQ-02606-E1</t>
  </si>
  <si>
    <t>G-REQ-02606-E2</t>
  </si>
  <si>
    <t>G-REQ-02606-E3</t>
  </si>
  <si>
    <t>G-REQ-02606-E4</t>
  </si>
  <si>
    <t>G-REQ-02607-E1</t>
  </si>
  <si>
    <t>G-REQ-02607-E2</t>
  </si>
  <si>
    <t>SYNTHETIC: Laptop return; Approved; asset G-AST-00293</t>
  </si>
  <si>
    <t>G-REQ-02607-E3</t>
  </si>
  <si>
    <t>SYNTHETIC: Laptop return; In progress; asset G-AST-00293</t>
  </si>
  <si>
    <t>G-REQ-02607-E4</t>
  </si>
  <si>
    <t>SYNTHETIC: Laptop return; Completed; asset G-AST-00293</t>
  </si>
  <si>
    <t>G-REQ-02608-E1</t>
  </si>
  <si>
    <t>G-REQ-02608-E2</t>
  </si>
  <si>
    <t>SYNTHETIC: Laptop return; Approved; asset G-AST-00323</t>
  </si>
  <si>
    <t>G-REQ-02608-E3</t>
  </si>
  <si>
    <t>SYNTHETIC: Laptop return; In progress; asset G-AST-00323</t>
  </si>
  <si>
    <t>G-REQ-02608-E4</t>
  </si>
  <si>
    <t>SYNTHETIC: Laptop return; Completed; asset G-AST-00323</t>
  </si>
  <si>
    <t>G-REQ-02609-E1</t>
  </si>
  <si>
    <t>G-REQ-02609-E2</t>
  </si>
  <si>
    <t>G-REQ-02609-E3</t>
  </si>
  <si>
    <t>G-REQ-02609-E4</t>
  </si>
  <si>
    <t>G-REQ-02610-E1</t>
  </si>
  <si>
    <t>SYNTHETIC: Laptop return; Pending approval; asset G-AST-00203</t>
  </si>
  <si>
    <t>G-REQ-02610-E2</t>
  </si>
  <si>
    <t>SYNTHETIC: Laptop return; Approved; asset G-AST-00203</t>
  </si>
  <si>
    <t>G-REQ-02610-E3</t>
  </si>
  <si>
    <t>SYNTHETIC: Laptop return; In progress; asset G-AST-00203</t>
  </si>
  <si>
    <t>G-REQ-02610-E4</t>
  </si>
  <si>
    <t>SYNTHETIC: Laptop return; Completed; asset G-AST-00203</t>
  </si>
  <si>
    <t>G-REQ-02611-E1</t>
  </si>
  <si>
    <t>G-REQ-02611-E2</t>
  </si>
  <si>
    <t>G-REQ-02611-E3</t>
  </si>
  <si>
    <t>G-REQ-02611-E4</t>
  </si>
  <si>
    <t>G-REQ-02612-E1</t>
  </si>
  <si>
    <t>G-REQ-02612-E2</t>
  </si>
  <si>
    <t>G-REQ-02612-E3</t>
  </si>
  <si>
    <t>G-REQ-02612-E4</t>
  </si>
  <si>
    <t>G-REQ-02613-E1</t>
  </si>
  <si>
    <t>G-REQ-02613-E2</t>
  </si>
  <si>
    <t>G-REQ-02613-E3</t>
  </si>
  <si>
    <t>G-REQ-02613-E4</t>
  </si>
  <si>
    <t>G-REQ-02614-E1</t>
  </si>
  <si>
    <t>G-REQ-02614-E2</t>
  </si>
  <si>
    <t>G-REQ-02614-E3</t>
  </si>
  <si>
    <t>G-REQ-02614-E4</t>
  </si>
  <si>
    <t>G-REQ-02615-E1</t>
  </si>
  <si>
    <t>G-REQ-02615-E2</t>
  </si>
  <si>
    <t>G-REQ-02615-E3</t>
  </si>
  <si>
    <t>G-REQ-02615-E4</t>
  </si>
  <si>
    <t>G-REQ-02616-E1</t>
  </si>
  <si>
    <t>SYNTHETIC: Laptop repair; Pending approval; asset G-AST-00278</t>
  </si>
  <si>
    <t>G-REQ-02616-E2</t>
  </si>
  <si>
    <t>SYNTHETIC: Laptop repair; Approved; asset G-AST-00278</t>
  </si>
  <si>
    <t>G-REQ-02616-E3</t>
  </si>
  <si>
    <t>SYNTHETIC: Laptop repair; In progress; asset G-AST-00278</t>
  </si>
  <si>
    <t>G-REQ-02616-E4</t>
  </si>
  <si>
    <t>SYNTHETIC: Laptop repair; Completed; asset G-AST-00278</t>
  </si>
  <si>
    <t>G-REQ-02617-E1</t>
  </si>
  <si>
    <t>G-REQ-02617-E2</t>
  </si>
  <si>
    <t>G-REQ-02617-E3</t>
  </si>
  <si>
    <t>G-REQ-02617-E4</t>
  </si>
  <si>
    <t>G-REQ-02618-E1</t>
  </si>
  <si>
    <t>G-REQ-02618-E2</t>
  </si>
  <si>
    <t>G-REQ-02618-E3</t>
  </si>
  <si>
    <t>G-REQ-02618-E4</t>
  </si>
  <si>
    <t>G-REQ-02619-E1</t>
  </si>
  <si>
    <t>G-REQ-02619-E2</t>
  </si>
  <si>
    <t>G-REQ-02619-E3</t>
  </si>
  <si>
    <t>G-REQ-02619-E4</t>
  </si>
  <si>
    <t>G-REQ-02620-E1</t>
  </si>
  <si>
    <t>SYNTHETIC: Laptop repair; Pending approval; asset G-AST-00150</t>
  </si>
  <si>
    <t>G-REQ-02620-E2</t>
  </si>
  <si>
    <t>SYNTHETIC: Laptop repair; Approved; asset G-AST-00150</t>
  </si>
  <si>
    <t>G-REQ-02620-E3</t>
  </si>
  <si>
    <t>SYNTHETIC: Laptop repair; In progress; asset G-AST-00150</t>
  </si>
  <si>
    <t>G-REQ-02620-E4</t>
  </si>
  <si>
    <t>SYNTHETIC: Laptop repair; Completed; asset G-AST-00150</t>
  </si>
  <si>
    <t>G-REQ-02621-E1</t>
  </si>
  <si>
    <t>G-REQ-02621-E2</t>
  </si>
  <si>
    <t>G-REQ-02621-E3</t>
  </si>
  <si>
    <t>G-REQ-02621-E4</t>
  </si>
  <si>
    <t>G-REQ-02622-E1</t>
  </si>
  <si>
    <t>G-REQ-02622-E2</t>
  </si>
  <si>
    <t>G-REQ-02622-E3</t>
  </si>
  <si>
    <t>G-REQ-02622-E4</t>
  </si>
  <si>
    <t>G-REQ-02623-E1</t>
  </si>
  <si>
    <t>G-REQ-02623-E2</t>
  </si>
  <si>
    <t>G-REQ-02623-E3</t>
  </si>
  <si>
    <t>G-REQ-02623-E4</t>
  </si>
  <si>
    <t>G-REQ-02624-E1</t>
  </si>
  <si>
    <t>G-REQ-02624-E2</t>
  </si>
  <si>
    <t>G-REQ-02624-E3</t>
  </si>
  <si>
    <t>G-REQ-02624-E4</t>
  </si>
  <si>
    <t>G-REQ-02625-E1</t>
  </si>
  <si>
    <t>SYNTHETIC: Laptop return; Pending approval; asset G-AST-00374</t>
  </si>
  <si>
    <t>G-REQ-02625-E2</t>
  </si>
  <si>
    <t>SYNTHETIC: Laptop return; Approved; asset G-AST-00374</t>
  </si>
  <si>
    <t>G-REQ-02625-E3</t>
  </si>
  <si>
    <t>SYNTHETIC: Laptop return; In progress; asset G-AST-00374</t>
  </si>
  <si>
    <t>G-REQ-02625-E4</t>
  </si>
  <si>
    <t>SYNTHETIC: Laptop return; Completed; asset G-AST-00374</t>
  </si>
  <si>
    <t>G-REQ-02626-E1</t>
  </si>
  <si>
    <t>G-REQ-02626-E2</t>
  </si>
  <si>
    <t>G-REQ-02626-E3</t>
  </si>
  <si>
    <t>G-REQ-02626-E4</t>
  </si>
  <si>
    <t>G-REQ-02627-E1</t>
  </si>
  <si>
    <t>G-REQ-02627-E2</t>
  </si>
  <si>
    <t>G-REQ-02627-E3</t>
  </si>
  <si>
    <t>G-REQ-02627-E4</t>
  </si>
  <si>
    <t>G-REQ-02628-E1</t>
  </si>
  <si>
    <t>G-REQ-02628-E2</t>
  </si>
  <si>
    <t>G-REQ-02628-E3</t>
  </si>
  <si>
    <t>G-REQ-02628-E4</t>
  </si>
  <si>
    <t>G-REQ-02629-E1</t>
  </si>
  <si>
    <t>G-REQ-02629-E2</t>
  </si>
  <si>
    <t>G-REQ-02629-E3</t>
  </si>
  <si>
    <t>G-REQ-02629-E4</t>
  </si>
  <si>
    <t>G-REQ-02630-E1</t>
  </si>
  <si>
    <t>G-REQ-02630-E2</t>
  </si>
  <si>
    <t>G-REQ-02630-E3</t>
  </si>
  <si>
    <t>G-REQ-02630-E4</t>
  </si>
  <si>
    <t>G-REQ-02631-E1</t>
  </si>
  <si>
    <t>G-REQ-02631-E2</t>
  </si>
  <si>
    <t>G-REQ-02632-E1</t>
  </si>
  <si>
    <t>G-REQ-02632-E2</t>
  </si>
  <si>
    <t>G-REQ-02632-E3</t>
  </si>
  <si>
    <t>G-REQ-02632-E4</t>
  </si>
  <si>
    <t>G-REQ-02633-E1</t>
  </si>
  <si>
    <t>G-REQ-02633-E2</t>
  </si>
  <si>
    <t>G-REQ-02633-E3</t>
  </si>
  <si>
    <t>G-REQ-02633-E4</t>
  </si>
  <si>
    <t>G-REQ-02634-E1</t>
  </si>
  <si>
    <t>G-REQ-02634-E2</t>
  </si>
  <si>
    <t>G-REQ-02634-E3</t>
  </si>
  <si>
    <t>G-REQ-02634-E4</t>
  </si>
  <si>
    <t>G-REQ-02635-E1</t>
  </si>
  <si>
    <t>G-REQ-02635-E2</t>
  </si>
  <si>
    <t>G-REQ-02635-E3</t>
  </si>
  <si>
    <t>G-REQ-02635-E4</t>
  </si>
  <si>
    <t>G-REQ-02636-E1</t>
  </si>
  <si>
    <t>G-REQ-02636-E2</t>
  </si>
  <si>
    <t>G-REQ-02636-E3</t>
  </si>
  <si>
    <t>G-REQ-02636-E4</t>
  </si>
  <si>
    <t>G-REQ-02637-E1</t>
  </si>
  <si>
    <t>G-REQ-02637-E2</t>
  </si>
  <si>
    <t>G-REQ-02637-E3</t>
  </si>
  <si>
    <t>G-REQ-02637-E4</t>
  </si>
  <si>
    <t>G-REQ-02638-E1</t>
  </si>
  <si>
    <t>G-REQ-02638-E2</t>
  </si>
  <si>
    <t>G-REQ-02638-E3</t>
  </si>
  <si>
    <t>G-REQ-02638-E4</t>
  </si>
  <si>
    <t>G-REQ-02639-E1</t>
  </si>
  <si>
    <t>G-REQ-02639-E2</t>
  </si>
  <si>
    <t>G-REQ-02639-E3</t>
  </si>
  <si>
    <t>G-REQ-02639-E4</t>
  </si>
  <si>
    <t>G-REQ-02640-E1</t>
  </si>
  <si>
    <t>G-REQ-02640-E2</t>
  </si>
  <si>
    <t>G-REQ-02640-E3</t>
  </si>
  <si>
    <t>G-REQ-02640-E4</t>
  </si>
  <si>
    <t>G-REQ-02641-E1</t>
  </si>
  <si>
    <t>SYNTHETIC: Laptop repair; Pending approval; asset G-AST-00265</t>
  </si>
  <si>
    <t>G-REQ-02641-E2</t>
  </si>
  <si>
    <t>SYNTHETIC: Laptop repair; Approved; asset G-AST-00265</t>
  </si>
  <si>
    <t>G-REQ-02641-E3</t>
  </si>
  <si>
    <t>SYNTHETIC: Laptop repair; In progress; asset G-AST-00265</t>
  </si>
  <si>
    <t>G-REQ-02641-E4</t>
  </si>
  <si>
    <t>SYNTHETIC: Laptop repair; Completed; asset G-AST-00265</t>
  </si>
  <si>
    <t>G-REQ-02642-E1</t>
  </si>
  <si>
    <t>G-REQ-02642-E2</t>
  </si>
  <si>
    <t>G-REQ-02642-E3</t>
  </si>
  <si>
    <t>G-REQ-02642-E4</t>
  </si>
  <si>
    <t>G-REQ-02643-E1</t>
  </si>
  <si>
    <t>G-REQ-02643-E2</t>
  </si>
  <si>
    <t>G-REQ-02643-E3</t>
  </si>
  <si>
    <t>G-REQ-02643-E4</t>
  </si>
  <si>
    <t>G-REQ-02644-E1</t>
  </si>
  <si>
    <t>G-REQ-02644-E2</t>
  </si>
  <si>
    <t>G-REQ-02644-E3</t>
  </si>
  <si>
    <t>G-REQ-02644-E4</t>
  </si>
  <si>
    <t>G-REQ-02645-E1</t>
  </si>
  <si>
    <t>G-REQ-02645-E2</t>
  </si>
  <si>
    <t>G-REQ-02645-E3</t>
  </si>
  <si>
    <t>G-REQ-02645-E4</t>
  </si>
  <si>
    <t>G-REQ-02646-E1</t>
  </si>
  <si>
    <t>G-REQ-02646-E2</t>
  </si>
  <si>
    <t>SYNTHETIC: Laptop repair; Approved; asset G-AST-00217</t>
  </si>
  <si>
    <t>G-REQ-02646-E3</t>
  </si>
  <si>
    <t>SYNTHETIC: Laptop repair; In progress; asset G-AST-00217</t>
  </si>
  <si>
    <t>G-REQ-02646-E4</t>
  </si>
  <si>
    <t>SYNTHETIC: Laptop repair; Completed; asset G-AST-00217</t>
  </si>
  <si>
    <t>G-REQ-02647-E1</t>
  </si>
  <si>
    <t>G-REQ-02647-E2</t>
  </si>
  <si>
    <t>G-REQ-02647-E3</t>
  </si>
  <si>
    <t>G-REQ-02647-E4</t>
  </si>
  <si>
    <t>G-REQ-02648-E1</t>
  </si>
  <si>
    <t>G-REQ-02648-E2</t>
  </si>
  <si>
    <t>G-REQ-02648-E3</t>
  </si>
  <si>
    <t>G-REQ-02648-E4</t>
  </si>
  <si>
    <t>G-REQ-02649-E1</t>
  </si>
  <si>
    <t>G-REQ-02649-E2</t>
  </si>
  <si>
    <t>G-REQ-02649-E3</t>
  </si>
  <si>
    <t>G-REQ-02649-E4</t>
  </si>
  <si>
    <t>G-REQ-02650-E1</t>
  </si>
  <si>
    <t>SYNTHETIC: Laptop repair; Pending approval; asset G-AST-00275</t>
  </si>
  <si>
    <t>G-REQ-02650-E2</t>
  </si>
  <si>
    <t>SYNTHETIC: Laptop repair; Cancelled; asset G-AST-00275</t>
  </si>
  <si>
    <t>G-REQ-02651-E1</t>
  </si>
  <si>
    <t>SYNTHETIC: Laptop repair; Pending approval; asset G-AST-00287</t>
  </si>
  <si>
    <t>G-REQ-02651-E2</t>
  </si>
  <si>
    <t>SYNTHETIC: Laptop repair; Approved; asset G-AST-00287</t>
  </si>
  <si>
    <t>G-REQ-02651-E3</t>
  </si>
  <si>
    <t>SYNTHETIC: Laptop repair; In progress; asset G-AST-00287</t>
  </si>
  <si>
    <t>G-REQ-02651-E4</t>
  </si>
  <si>
    <t>SYNTHETIC: Laptop repair; Completed; asset G-AST-00287</t>
  </si>
  <si>
    <t>G-REQ-02652-E1</t>
  </si>
  <si>
    <t>G-REQ-02652-E2</t>
  </si>
  <si>
    <t>G-REQ-02652-E3</t>
  </si>
  <si>
    <t>G-REQ-02652-E4</t>
  </si>
  <si>
    <t>G-REQ-02653-E1</t>
  </si>
  <si>
    <t>G-REQ-02653-E2</t>
  </si>
  <si>
    <t>SYNTHETIC: Laptop repair; Approved; asset G-AST-00240</t>
  </si>
  <si>
    <t>G-REQ-02653-E3</t>
  </si>
  <si>
    <t>SYNTHETIC: Laptop repair; In progress; asset G-AST-00240</t>
  </si>
  <si>
    <t>G-REQ-02653-E4</t>
  </si>
  <si>
    <t>SYNTHETIC: Laptop repair; Completed; asset G-AST-00240</t>
  </si>
  <si>
    <t>G-REQ-02654-E1</t>
  </si>
  <si>
    <t>G-REQ-02654-E2</t>
  </si>
  <si>
    <t>G-REQ-02654-E3</t>
  </si>
  <si>
    <t>G-REQ-02654-E4</t>
  </si>
  <si>
    <t>G-REQ-02655-E1</t>
  </si>
  <si>
    <t>G-REQ-02655-E2</t>
  </si>
  <si>
    <t>G-REQ-02655-E3</t>
  </si>
  <si>
    <t>G-REQ-02655-E4</t>
  </si>
  <si>
    <t>G-REQ-02656-E1</t>
  </si>
  <si>
    <t>G-REQ-02656-E2</t>
  </si>
  <si>
    <t>G-REQ-02656-E3</t>
  </si>
  <si>
    <t>G-REQ-02656-E4</t>
  </si>
  <si>
    <t>G-REQ-02657-E1</t>
  </si>
  <si>
    <t>G-REQ-02657-E2</t>
  </si>
  <si>
    <t>G-REQ-02657-E3</t>
  </si>
  <si>
    <t>G-REQ-02657-E4</t>
  </si>
  <si>
    <t>G-REQ-02658-E1</t>
  </si>
  <si>
    <t>G-REQ-02658-E2</t>
  </si>
  <si>
    <t>G-REQ-02658-E3</t>
  </si>
  <si>
    <t>G-REQ-02658-E4</t>
  </si>
  <si>
    <t>G-REQ-02659-E1</t>
  </si>
  <si>
    <t>G-REQ-02659-E2</t>
  </si>
  <si>
    <t>G-REQ-02659-E3</t>
  </si>
  <si>
    <t>G-REQ-02659-E4</t>
  </si>
  <si>
    <t>G-REQ-02660-E1</t>
  </si>
  <si>
    <t>G-REQ-02660-E2</t>
  </si>
  <si>
    <t>G-REQ-02660-E3</t>
  </si>
  <si>
    <t>G-REQ-02660-E4</t>
  </si>
  <si>
    <t>G-REQ-02661-E1</t>
  </si>
  <si>
    <t>G-REQ-02661-E2</t>
  </si>
  <si>
    <t>G-REQ-02661-E3</t>
  </si>
  <si>
    <t>G-REQ-02661-E4</t>
  </si>
  <si>
    <t>G-REQ-02662-E1</t>
  </si>
  <si>
    <t>G-REQ-02662-E2</t>
  </si>
  <si>
    <t>G-REQ-02662-E3</t>
  </si>
  <si>
    <t>G-REQ-02662-E4</t>
  </si>
  <si>
    <t>G-REQ-02663-E1</t>
  </si>
  <si>
    <t>G-REQ-02663-E2</t>
  </si>
  <si>
    <t>G-REQ-02663-E3</t>
  </si>
  <si>
    <t>G-REQ-02663-E4</t>
  </si>
  <si>
    <t>G-REQ-02664-E1</t>
  </si>
  <si>
    <t>G-REQ-02664-E2</t>
  </si>
  <si>
    <t>G-REQ-02664-E3</t>
  </si>
  <si>
    <t>G-REQ-02664-E4</t>
  </si>
  <si>
    <t>G-REQ-02665-E1</t>
  </si>
  <si>
    <t>G-REQ-02665-E2</t>
  </si>
  <si>
    <t>G-REQ-02665-E3</t>
  </si>
  <si>
    <t>G-REQ-02665-E4</t>
  </si>
  <si>
    <t>G-REQ-02666-E1</t>
  </si>
  <si>
    <t>G-REQ-02666-E2</t>
  </si>
  <si>
    <t>G-REQ-02666-E3</t>
  </si>
  <si>
    <t>G-REQ-02666-E4</t>
  </si>
  <si>
    <t>G-REQ-02667-E1</t>
  </si>
  <si>
    <t>G-REQ-02667-E2</t>
  </si>
  <si>
    <t>G-REQ-02667-E3</t>
  </si>
  <si>
    <t>G-REQ-02667-E4</t>
  </si>
  <si>
    <t>G-REQ-02668-E1</t>
  </si>
  <si>
    <t>G-REQ-02668-E2</t>
  </si>
  <si>
    <t>G-REQ-02668-E3</t>
  </si>
  <si>
    <t>G-REQ-02668-E4</t>
  </si>
  <si>
    <t>G-REQ-02669-E1</t>
  </si>
  <si>
    <t>G-REQ-02669-E2</t>
  </si>
  <si>
    <t>G-REQ-02669-E3</t>
  </si>
  <si>
    <t>G-REQ-02669-E4</t>
  </si>
  <si>
    <t>G-REQ-02670-E1</t>
  </si>
  <si>
    <t>G-REQ-02670-E2</t>
  </si>
  <si>
    <t>G-REQ-02670-E3</t>
  </si>
  <si>
    <t>G-REQ-02670-E4</t>
  </si>
  <si>
    <t>G-REQ-02671-E1</t>
  </si>
  <si>
    <t>G-REQ-02671-E2</t>
  </si>
  <si>
    <t>G-REQ-02671-E3</t>
  </si>
  <si>
    <t>G-REQ-02671-E4</t>
  </si>
  <si>
    <t>G-REQ-02672-E1</t>
  </si>
  <si>
    <t>G-REQ-02672-E2</t>
  </si>
  <si>
    <t>G-REQ-02672-E3</t>
  </si>
  <si>
    <t>G-REQ-02672-E4</t>
  </si>
  <si>
    <t>G-REQ-02673-E1</t>
  </si>
  <si>
    <t>G-REQ-02673-E2</t>
  </si>
  <si>
    <t>SYNTHETIC: Laptop return; Approved; asset G-AST-00256</t>
  </si>
  <si>
    <t>G-REQ-02673-E3</t>
  </si>
  <si>
    <t>SYNTHETIC: Laptop return; In progress; asset G-AST-00256</t>
  </si>
  <si>
    <t>G-REQ-02673-E4</t>
  </si>
  <si>
    <t>SYNTHETIC: Laptop return; Completed; asset G-AST-00256</t>
  </si>
  <si>
    <t>G-REQ-02674-E1</t>
  </si>
  <si>
    <t>G-REQ-02674-E2</t>
  </si>
  <si>
    <t>G-REQ-02674-E3</t>
  </si>
  <si>
    <t>G-REQ-02674-E4</t>
  </si>
  <si>
    <t>G-REQ-02675-E1</t>
  </si>
  <si>
    <t>G-REQ-02675-E2</t>
  </si>
  <si>
    <t>G-REQ-02675-E3</t>
  </si>
  <si>
    <t>G-REQ-02675-E4</t>
  </si>
  <si>
    <t>G-REQ-02676-E1</t>
  </si>
  <si>
    <t>G-REQ-02676-E2</t>
  </si>
  <si>
    <t>G-REQ-02676-E3</t>
  </si>
  <si>
    <t>G-REQ-02676-E4</t>
  </si>
  <si>
    <t>G-REQ-02677-E1</t>
  </si>
  <si>
    <t>G-REQ-02677-E2</t>
  </si>
  <si>
    <t>G-REQ-02677-E3</t>
  </si>
  <si>
    <t>G-REQ-02677-E4</t>
  </si>
  <si>
    <t>G-REQ-02678-E1</t>
  </si>
  <si>
    <t>G-REQ-02678-E2</t>
  </si>
  <si>
    <t>G-REQ-02678-E3</t>
  </si>
  <si>
    <t>G-REQ-02678-E4</t>
  </si>
  <si>
    <t>G-REQ-02679-E1</t>
  </si>
  <si>
    <t>G-REQ-02679-E2</t>
  </si>
  <si>
    <t>G-REQ-02679-E3</t>
  </si>
  <si>
    <t>G-REQ-02679-E4</t>
  </si>
  <si>
    <t>G-REQ-02680-E1</t>
  </si>
  <si>
    <t>G-REQ-02680-E2</t>
  </si>
  <si>
    <t>SYNTHETIC: Laptop return; Rejected; asset G-AST-00296</t>
  </si>
  <si>
    <t>G-REQ-02681-E1</t>
  </si>
  <si>
    <t>G-REQ-02681-E2</t>
  </si>
  <si>
    <t>G-REQ-02681-E3</t>
  </si>
  <si>
    <t>G-REQ-02681-E4</t>
  </si>
  <si>
    <t>G-REQ-02682-E1</t>
  </si>
  <si>
    <t>G-REQ-02682-E2</t>
  </si>
  <si>
    <t>G-REQ-02682-E3</t>
  </si>
  <si>
    <t>G-REQ-02682-E4</t>
  </si>
  <si>
    <t>G-REQ-02683-E1</t>
  </si>
  <si>
    <t>SYNTHETIC: Laptop return; Pending approval; asset G-AST-00301</t>
  </si>
  <si>
    <t>G-REQ-02683-E2</t>
  </si>
  <si>
    <t>SYNTHETIC: Laptop return; Approved; asset G-AST-00301</t>
  </si>
  <si>
    <t>G-REQ-02683-E3</t>
  </si>
  <si>
    <t>SYNTHETIC: Laptop return; In progress; asset G-AST-00301</t>
  </si>
  <si>
    <t>G-REQ-02683-E4</t>
  </si>
  <si>
    <t>SYNTHETIC: Laptop return; Completed; asset G-AST-00301</t>
  </si>
  <si>
    <t>G-REQ-02684-E1</t>
  </si>
  <si>
    <t>G-REQ-02684-E2</t>
  </si>
  <si>
    <t>G-REQ-02684-E3</t>
  </si>
  <si>
    <t>G-REQ-02684-E4</t>
  </si>
  <si>
    <t>G-REQ-02685-E1</t>
  </si>
  <si>
    <t>G-REQ-02685-E2</t>
  </si>
  <si>
    <t>SYNTHETIC: Laptop repair; Cancelled; asset G-AST-00005</t>
  </si>
  <si>
    <t>G-REQ-02686-E1</t>
  </si>
  <si>
    <t>G-REQ-02686-E2</t>
  </si>
  <si>
    <t>G-REQ-02686-E3</t>
  </si>
  <si>
    <t>G-REQ-02686-E4</t>
  </si>
  <si>
    <t>G-REQ-02687-E1</t>
  </si>
  <si>
    <t>G-REQ-02687-E2</t>
  </si>
  <si>
    <t>G-REQ-02687-E3</t>
  </si>
  <si>
    <t>G-REQ-02687-E4</t>
  </si>
  <si>
    <t>G-REQ-02688-E1</t>
  </si>
  <si>
    <t>G-REQ-02688-E2</t>
  </si>
  <si>
    <t>G-REQ-02688-E3</t>
  </si>
  <si>
    <t>G-REQ-02688-E4</t>
  </si>
  <si>
    <t>G-REQ-02689-E1</t>
  </si>
  <si>
    <t>G-REQ-02689-E2</t>
  </si>
  <si>
    <t>SYNTHETIC: Laptop repair; Rejected; asset G-AST-00186</t>
  </si>
  <si>
    <t>G-REQ-02690-E1</t>
  </si>
  <si>
    <t>G-REQ-02690-E2</t>
  </si>
  <si>
    <t>G-REQ-02690-E3</t>
  </si>
  <si>
    <t>G-REQ-02690-E4</t>
  </si>
  <si>
    <t>G-REQ-02691-E1</t>
  </si>
  <si>
    <t>G-REQ-02691-E2</t>
  </si>
  <si>
    <t>G-REQ-02691-E3</t>
  </si>
  <si>
    <t>G-REQ-02691-E4</t>
  </si>
  <si>
    <t>G-REQ-02692-E1</t>
  </si>
  <si>
    <t>G-REQ-02692-E2</t>
  </si>
  <si>
    <t>G-REQ-02692-E3</t>
  </si>
  <si>
    <t>G-REQ-02692-E4</t>
  </si>
  <si>
    <t>G-REQ-02693-E1</t>
  </si>
  <si>
    <t>G-REQ-02693-E2</t>
  </si>
  <si>
    <t>G-REQ-02693-E3</t>
  </si>
  <si>
    <t>G-REQ-02693-E4</t>
  </si>
  <si>
    <t>G-REQ-02694-E1</t>
  </si>
  <si>
    <t>G-REQ-02694-E2</t>
  </si>
  <si>
    <t>G-REQ-02694-E3</t>
  </si>
  <si>
    <t>G-REQ-02694-E4</t>
  </si>
  <si>
    <t>G-REQ-02695-E1</t>
  </si>
  <si>
    <t>G-REQ-02695-E2</t>
  </si>
  <si>
    <t>G-REQ-02695-E3</t>
  </si>
  <si>
    <t>G-REQ-02695-E4</t>
  </si>
  <si>
    <t>G-REQ-02696-E1</t>
  </si>
  <si>
    <t>G-REQ-02696-E2</t>
  </si>
  <si>
    <t>G-REQ-02696-E3</t>
  </si>
  <si>
    <t>G-REQ-02696-E4</t>
  </si>
  <si>
    <t>G-REQ-02697-E1</t>
  </si>
  <si>
    <t>G-REQ-02697-E2</t>
  </si>
  <si>
    <t>G-REQ-02697-E3</t>
  </si>
  <si>
    <t>G-REQ-02697-E4</t>
  </si>
  <si>
    <t>G-REQ-02698-E1</t>
  </si>
  <si>
    <t>G-REQ-02698-E2</t>
  </si>
  <si>
    <t>G-REQ-02698-E3</t>
  </si>
  <si>
    <t>G-REQ-02698-E4</t>
  </si>
  <si>
    <t>G-REQ-02699-E1</t>
  </si>
  <si>
    <t>G-REQ-02699-E2</t>
  </si>
  <si>
    <t>G-REQ-02699-E3</t>
  </si>
  <si>
    <t>G-REQ-02699-E4</t>
  </si>
  <si>
    <t>G-REQ-02700-E1</t>
  </si>
  <si>
    <t>G-REQ-02700-E2</t>
  </si>
  <si>
    <t>G-REQ-02700-E3</t>
  </si>
  <si>
    <t>G-REQ-02700-E4</t>
  </si>
  <si>
    <t>G-REQ-02701-E1</t>
  </si>
  <si>
    <t>G-REQ-02701-E2</t>
  </si>
  <si>
    <t>G-REQ-02701-E3</t>
  </si>
  <si>
    <t>G-REQ-02701-E4</t>
  </si>
  <si>
    <t>G-REQ-02702-E1</t>
  </si>
  <si>
    <t>G-REQ-02702-E2</t>
  </si>
  <si>
    <t>G-REQ-02702-E3</t>
  </si>
  <si>
    <t>G-REQ-02702-E4</t>
  </si>
  <si>
    <t>G-REQ-02703-E1</t>
  </si>
  <si>
    <t>G-REQ-02703-E2</t>
  </si>
  <si>
    <t>G-REQ-02703-E3</t>
  </si>
  <si>
    <t>G-REQ-02703-E4</t>
  </si>
  <si>
    <t>G-REQ-02704-E1</t>
  </si>
  <si>
    <t>G-REQ-02704-E2</t>
  </si>
  <si>
    <t>G-REQ-02704-E3</t>
  </si>
  <si>
    <t>G-REQ-02704-E4</t>
  </si>
  <si>
    <t>G-REQ-02705-E1</t>
  </si>
  <si>
    <t>G-REQ-02705-E2</t>
  </si>
  <si>
    <t>G-REQ-02705-E3</t>
  </si>
  <si>
    <t>G-REQ-02705-E4</t>
  </si>
  <si>
    <t>G-REQ-02706-E1</t>
  </si>
  <si>
    <t>G-REQ-02706-E2</t>
  </si>
  <si>
    <t>G-REQ-02706-E3</t>
  </si>
  <si>
    <t>G-REQ-02706-E4</t>
  </si>
  <si>
    <t>G-REQ-02707-E1</t>
  </si>
  <si>
    <t>G-REQ-02707-E2</t>
  </si>
  <si>
    <t>G-REQ-02707-E3</t>
  </si>
  <si>
    <t>G-REQ-02707-E4</t>
  </si>
  <si>
    <t>G-REQ-02708-E1</t>
  </si>
  <si>
    <t>G-REQ-02708-E2</t>
  </si>
  <si>
    <t>G-REQ-02708-E3</t>
  </si>
  <si>
    <t>G-REQ-02708-E4</t>
  </si>
  <si>
    <t>G-REQ-02709-E1</t>
  </si>
  <si>
    <t>G-REQ-02709-E2</t>
  </si>
  <si>
    <t>G-REQ-02709-E3</t>
  </si>
  <si>
    <t>G-REQ-02709-E4</t>
  </si>
  <si>
    <t>G-REQ-02710-E1</t>
  </si>
  <si>
    <t>G-REQ-02710-E2</t>
  </si>
  <si>
    <t>G-REQ-02710-E3</t>
  </si>
  <si>
    <t>G-REQ-02710-E4</t>
  </si>
  <si>
    <t>G-REQ-02711-E1</t>
  </si>
  <si>
    <t>G-REQ-02711-E2</t>
  </si>
  <si>
    <t>G-REQ-02711-E3</t>
  </si>
  <si>
    <t>G-REQ-02711-E4</t>
  </si>
  <si>
    <t>G-REQ-02712-E1</t>
  </si>
  <si>
    <t>SYNTHETIC: Laptop repair; Pending approval; asset G-AST-00234</t>
  </si>
  <si>
    <t>G-REQ-02712-E2</t>
  </si>
  <si>
    <t>SYNTHETIC: Laptop repair; Approved; asset G-AST-00234</t>
  </si>
  <si>
    <t>G-REQ-02712-E3</t>
  </si>
  <si>
    <t>SYNTHETIC: Laptop repair; In progress; asset G-AST-00234</t>
  </si>
  <si>
    <t>G-REQ-02712-E4</t>
  </si>
  <si>
    <t>SYNTHETIC: Laptop repair; Completed; asset G-AST-00234</t>
  </si>
  <si>
    <t>G-REQ-02713-E1</t>
  </si>
  <si>
    <t>G-REQ-02713-E2</t>
  </si>
  <si>
    <t>G-REQ-02713-E3</t>
  </si>
  <si>
    <t>G-REQ-02713-E4</t>
  </si>
  <si>
    <t>G-REQ-02714-E1</t>
  </si>
  <si>
    <t>G-REQ-02714-E2</t>
  </si>
  <si>
    <t>G-REQ-02714-E3</t>
  </si>
  <si>
    <t>G-REQ-02714-E4</t>
  </si>
  <si>
    <t>G-REQ-02715-E1</t>
  </si>
  <si>
    <t>G-REQ-02715-E2</t>
  </si>
  <si>
    <t>G-REQ-02715-E3</t>
  </si>
  <si>
    <t>G-REQ-02715-E4</t>
  </si>
  <si>
    <t>G-REQ-02716-E1</t>
  </si>
  <si>
    <t>G-REQ-02716-E2</t>
  </si>
  <si>
    <t>G-REQ-02716-E3</t>
  </si>
  <si>
    <t>G-REQ-02716-E4</t>
  </si>
  <si>
    <t>G-REQ-02717-E1</t>
  </si>
  <si>
    <t>SYNTHETIC: Laptop repair; Pending approval; asset G-AST-00316</t>
  </si>
  <si>
    <t>G-REQ-02717-E2</t>
  </si>
  <si>
    <t>SYNTHETIC: Laptop repair; Approved; asset G-AST-00316</t>
  </si>
  <si>
    <t>G-REQ-02717-E3</t>
  </si>
  <si>
    <t>SYNTHETIC: Laptop repair; In progress; asset G-AST-00316</t>
  </si>
  <si>
    <t>G-REQ-02717-E4</t>
  </si>
  <si>
    <t>SYNTHETIC: Laptop repair; Completed; asset G-AST-00316</t>
  </si>
  <si>
    <t>G-REQ-02718-E1</t>
  </si>
  <si>
    <t>G-REQ-02718-E2</t>
  </si>
  <si>
    <t>G-REQ-02718-E3</t>
  </si>
  <si>
    <t>G-REQ-02718-E4</t>
  </si>
  <si>
    <t>G-REQ-02719-E1</t>
  </si>
  <si>
    <t>G-REQ-02719-E2</t>
  </si>
  <si>
    <t>G-REQ-02719-E3</t>
  </si>
  <si>
    <t>G-REQ-02719-E4</t>
  </si>
  <si>
    <t>G-REQ-02720-E1</t>
  </si>
  <si>
    <t>G-REQ-02720-E2</t>
  </si>
  <si>
    <t>G-REQ-02720-E3</t>
  </si>
  <si>
    <t>G-REQ-02720-E4</t>
  </si>
  <si>
    <t>G-REQ-02721-E1</t>
  </si>
  <si>
    <t>G-REQ-02721-E2</t>
  </si>
  <si>
    <t>G-REQ-02721-E3</t>
  </si>
  <si>
    <t>G-REQ-02721-E4</t>
  </si>
  <si>
    <t>G-REQ-02722-E1</t>
  </si>
  <si>
    <t>SYNTHETIC: Laptop repair; Pending approval; asset G-AST-00305</t>
  </si>
  <si>
    <t>G-REQ-02722-E2</t>
  </si>
  <si>
    <t>SYNTHETIC: Laptop repair; Approved; asset G-AST-00305</t>
  </si>
  <si>
    <t>G-REQ-02722-E3</t>
  </si>
  <si>
    <t>SYNTHETIC: Laptop repair; In progress; asset G-AST-00305</t>
  </si>
  <si>
    <t>G-REQ-02722-E4</t>
  </si>
  <si>
    <t>SYNTHETIC: Laptop repair; Completed; asset G-AST-00305</t>
  </si>
  <si>
    <t>G-REQ-02723-E1</t>
  </si>
  <si>
    <t>G-REQ-02723-E2</t>
  </si>
  <si>
    <t>G-REQ-02723-E3</t>
  </si>
  <si>
    <t>G-REQ-02723-E4</t>
  </si>
  <si>
    <t>G-REQ-02724-E1</t>
  </si>
  <si>
    <t>G-REQ-02724-E2</t>
  </si>
  <si>
    <t>G-REQ-02724-E3</t>
  </si>
  <si>
    <t>G-REQ-02724-E4</t>
  </si>
  <si>
    <t>G-REQ-02725-E1</t>
  </si>
  <si>
    <t>SYNTHETIC: Laptop return; Pending approval; asset G-AST-00514</t>
  </si>
  <si>
    <t>G-REQ-02725-E2</t>
  </si>
  <si>
    <t>SYNTHETIC: Laptop return; Approved; asset G-AST-00514</t>
  </si>
  <si>
    <t>G-REQ-02725-E3</t>
  </si>
  <si>
    <t>SYNTHETIC: Laptop return; In progress; asset G-AST-00514</t>
  </si>
  <si>
    <t>G-REQ-02725-E4</t>
  </si>
  <si>
    <t>SYNTHETIC: Laptop return; Completed; asset G-AST-00514</t>
  </si>
  <si>
    <t>G-REQ-02726-E1</t>
  </si>
  <si>
    <t>G-REQ-02726-E2</t>
  </si>
  <si>
    <t>G-REQ-02726-E3</t>
  </si>
  <si>
    <t>G-REQ-02726-E4</t>
  </si>
  <si>
    <t>G-REQ-02727-E1</t>
  </si>
  <si>
    <t>G-REQ-02727-E2</t>
  </si>
  <si>
    <t>SYNTHETIC: Laptop repair; Rejected; asset G-AST-00518</t>
  </si>
  <si>
    <t>G-REQ-02728-E1</t>
  </si>
  <si>
    <t>G-REQ-02728-E2</t>
  </si>
  <si>
    <t>G-REQ-02728-E3</t>
  </si>
  <si>
    <t>G-REQ-02728-E4</t>
  </si>
  <si>
    <t>G-REQ-02729-E1</t>
  </si>
  <si>
    <t>G-REQ-02729-E2</t>
  </si>
  <si>
    <t>G-REQ-02729-E3</t>
  </si>
  <si>
    <t>G-REQ-02729-E4</t>
  </si>
  <si>
    <t>G-REQ-02730-E1</t>
  </si>
  <si>
    <t>G-REQ-02730-E2</t>
  </si>
  <si>
    <t>G-REQ-02730-E3</t>
  </si>
  <si>
    <t>G-REQ-02730-E4</t>
  </si>
  <si>
    <t>G-REQ-02731-E1</t>
  </si>
  <si>
    <t>G-REQ-02731-E2</t>
  </si>
  <si>
    <t>G-REQ-02731-E3</t>
  </si>
  <si>
    <t>G-REQ-02731-E4</t>
  </si>
  <si>
    <t>G-REQ-02732-E1</t>
  </si>
  <si>
    <t>G-REQ-02732-E2</t>
  </si>
  <si>
    <t>G-REQ-02732-E3</t>
  </si>
  <si>
    <t>G-REQ-02732-E4</t>
  </si>
  <si>
    <t>G-REQ-02733-E1</t>
  </si>
  <si>
    <t>G-REQ-02733-E2</t>
  </si>
  <si>
    <t>G-REQ-02734-E1</t>
  </si>
  <si>
    <t>G-REQ-02734-E2</t>
  </si>
  <si>
    <t>SYNTHETIC: Laptop repair; Rejected; asset G-AST-00298</t>
  </si>
  <si>
    <t>G-REQ-02735-E1</t>
  </si>
  <si>
    <t>G-REQ-02735-E2</t>
  </si>
  <si>
    <t>G-REQ-02735-E3</t>
  </si>
  <si>
    <t>G-REQ-02735-E4</t>
  </si>
  <si>
    <t>G-REQ-02736-E1</t>
  </si>
  <si>
    <t>G-REQ-02736-E2</t>
  </si>
  <si>
    <t>G-REQ-02736-E3</t>
  </si>
  <si>
    <t>G-REQ-02736-E4</t>
  </si>
  <si>
    <t>G-REQ-02737-E1</t>
  </si>
  <si>
    <t>G-REQ-02737-E2</t>
  </si>
  <si>
    <t>G-REQ-02737-E3</t>
  </si>
  <si>
    <t>G-REQ-02737-E4</t>
  </si>
  <si>
    <t>G-REQ-02738-E1</t>
  </si>
  <si>
    <t>SYNTHETIC: Laptop repair; Pending approval; asset G-AST-00262</t>
  </si>
  <si>
    <t>G-REQ-02738-E2</t>
  </si>
  <si>
    <t>SYNTHETIC: Laptop repair; Approved; asset G-AST-00262</t>
  </si>
  <si>
    <t>G-REQ-02738-E3</t>
  </si>
  <si>
    <t>SYNTHETIC: Laptop repair; In progress; asset G-AST-00262</t>
  </si>
  <si>
    <t>G-REQ-02738-E4</t>
  </si>
  <si>
    <t>SYNTHETIC: Laptop repair; Completed; asset G-AST-00262</t>
  </si>
  <si>
    <t>G-REQ-02739-E1</t>
  </si>
  <si>
    <t>G-REQ-02739-E2</t>
  </si>
  <si>
    <t>G-REQ-02739-E3</t>
  </si>
  <si>
    <t>G-REQ-02739-E4</t>
  </si>
  <si>
    <t>G-REQ-02740-E1</t>
  </si>
  <si>
    <t>G-REQ-02740-E2</t>
  </si>
  <si>
    <t>SYNTHETIC: Laptop repair; Approved; asset G-AST-00329</t>
  </si>
  <si>
    <t>G-REQ-02740-E3</t>
  </si>
  <si>
    <t>SYNTHETIC: Laptop repair; In progress; asset G-AST-00329</t>
  </si>
  <si>
    <t>G-REQ-02740-E4</t>
  </si>
  <si>
    <t>SYNTHETIC: Laptop repair; Completed; asset G-AST-00329</t>
  </si>
  <si>
    <t>G-REQ-02741-E1</t>
  </si>
  <si>
    <t>G-REQ-02741-E2</t>
  </si>
  <si>
    <t>SYNTHETIC: Laptop repair; Rejected; asset G-AST-00294</t>
  </si>
  <si>
    <t>G-REQ-02742-E1</t>
  </si>
  <si>
    <t>G-REQ-02742-E2</t>
  </si>
  <si>
    <t>G-REQ-02742-E3</t>
  </si>
  <si>
    <t>G-REQ-02742-E4</t>
  </si>
  <si>
    <t>G-REQ-02743-E1</t>
  </si>
  <si>
    <t>G-REQ-02743-E2</t>
  </si>
  <si>
    <t>SYNTHETIC: Laptop return; Rejected; asset G-AST-00267</t>
  </si>
  <si>
    <t>G-REQ-02744-E1</t>
  </si>
  <si>
    <t>G-REQ-02744-E2</t>
  </si>
  <si>
    <t>SYNTHETIC: Laptop return; Approved; asset G-AST-00462</t>
  </si>
  <si>
    <t>G-REQ-02744-E3</t>
  </si>
  <si>
    <t>SYNTHETIC: Laptop return; In progress; asset G-AST-00462</t>
  </si>
  <si>
    <t>G-REQ-02744-E4</t>
  </si>
  <si>
    <t>SYNTHETIC: Laptop return; Completed; asset G-AST-00462</t>
  </si>
  <si>
    <t>G-REQ-02745-E1</t>
  </si>
  <si>
    <t>G-REQ-02745-E2</t>
  </si>
  <si>
    <t>G-REQ-02745-E3</t>
  </si>
  <si>
    <t>G-REQ-02745-E4</t>
  </si>
  <si>
    <t>G-REQ-02746-E1</t>
  </si>
  <si>
    <t>G-REQ-02746-E2</t>
  </si>
  <si>
    <t>G-REQ-02746-E3</t>
  </si>
  <si>
    <t>G-REQ-02746-E4</t>
  </si>
  <si>
    <t>G-REQ-02747-E1</t>
  </si>
  <si>
    <t>G-REQ-02747-E2</t>
  </si>
  <si>
    <t>G-REQ-02747-E3</t>
  </si>
  <si>
    <t>G-REQ-02747-E4</t>
  </si>
  <si>
    <t>G-REQ-02748-E1</t>
  </si>
  <si>
    <t>G-REQ-02748-E2</t>
  </si>
  <si>
    <t>G-REQ-02748-E3</t>
  </si>
  <si>
    <t>G-REQ-02748-E4</t>
  </si>
  <si>
    <t>G-REQ-02749-E1</t>
  </si>
  <si>
    <t>G-REQ-02749-E2</t>
  </si>
  <si>
    <t>G-REQ-02749-E3</t>
  </si>
  <si>
    <t>G-REQ-02749-E4</t>
  </si>
  <si>
    <t>G-REQ-02750-E1</t>
  </si>
  <si>
    <t>G-REQ-02750-E2</t>
  </si>
  <si>
    <t>G-REQ-02750-E3</t>
  </si>
  <si>
    <t>G-REQ-02750-E4</t>
  </si>
  <si>
    <t>G-REQ-02751-E1</t>
  </si>
  <si>
    <t>G-REQ-02751-E2</t>
  </si>
  <si>
    <t>G-REQ-02751-E3</t>
  </si>
  <si>
    <t>G-REQ-02751-E4</t>
  </si>
  <si>
    <t>G-REQ-02752-E1</t>
  </si>
  <si>
    <t>G-REQ-02752-E2</t>
  </si>
  <si>
    <t>G-REQ-02752-E3</t>
  </si>
  <si>
    <t>G-REQ-02752-E4</t>
  </si>
  <si>
    <t>G-REQ-02753-E1</t>
  </si>
  <si>
    <t>SYNTHETIC: Laptop repair; Pending approval; asset G-AST-00253</t>
  </si>
  <si>
    <t>G-REQ-02753-E2</t>
  </si>
  <si>
    <t>SYNTHETIC: Laptop repair; Approved; asset G-AST-00253</t>
  </si>
  <si>
    <t>G-REQ-02753-E3</t>
  </si>
  <si>
    <t>SYNTHETIC: Laptop repair; In progress; asset G-AST-00253</t>
  </si>
  <si>
    <t>G-REQ-02753-E4</t>
  </si>
  <si>
    <t>SYNTHETIC: Laptop repair; Completed; asset G-AST-00253</t>
  </si>
  <si>
    <t>G-REQ-02754-E1</t>
  </si>
  <si>
    <t>G-REQ-02754-E2</t>
  </si>
  <si>
    <t>G-REQ-02754-E3</t>
  </si>
  <si>
    <t>G-REQ-02754-E4</t>
  </si>
  <si>
    <t>G-REQ-02755-E1</t>
  </si>
  <si>
    <t>SYNTHETIC: Laptop return; Pending approval; asset G-AST-00453</t>
  </si>
  <si>
    <t>G-REQ-02755-E2</t>
  </si>
  <si>
    <t>SYNTHETIC: Laptop return; Approved; asset G-AST-00453</t>
  </si>
  <si>
    <t>G-REQ-02755-E3</t>
  </si>
  <si>
    <t>SYNTHETIC: Laptop return; In progress; asset G-AST-00453</t>
  </si>
  <si>
    <t>G-REQ-02755-E4</t>
  </si>
  <si>
    <t>SYNTHETIC: Laptop return; Completed; asset G-AST-00453</t>
  </si>
  <si>
    <t>G-REQ-02756-E1</t>
  </si>
  <si>
    <t>G-REQ-02756-E2</t>
  </si>
  <si>
    <t>G-REQ-02756-E3</t>
  </si>
  <si>
    <t>G-REQ-02756-E4</t>
  </si>
  <si>
    <t>G-REQ-02757-E1</t>
  </si>
  <si>
    <t>SYNTHETIC: Laptop repair; Pending approval; asset G-AST-00264</t>
  </si>
  <si>
    <t>G-REQ-02757-E2</t>
  </si>
  <si>
    <t>SYNTHETIC: Laptop repair; Approved; asset G-AST-00264</t>
  </si>
  <si>
    <t>G-REQ-02757-E3</t>
  </si>
  <si>
    <t>SYNTHETIC: Laptop repair; In progress; asset G-AST-00264</t>
  </si>
  <si>
    <t>G-REQ-02757-E4</t>
  </si>
  <si>
    <t>SYNTHETIC: Laptop repair; Completed; asset G-AST-00264</t>
  </si>
  <si>
    <t>G-REQ-02758-E1</t>
  </si>
  <si>
    <t>G-REQ-02758-E2</t>
  </si>
  <si>
    <t>G-REQ-02758-E3</t>
  </si>
  <si>
    <t>G-REQ-02758-E4</t>
  </si>
  <si>
    <t>G-REQ-02759-E1</t>
  </si>
  <si>
    <t>G-REQ-02759-E2</t>
  </si>
  <si>
    <t>G-REQ-02759-E3</t>
  </si>
  <si>
    <t>G-REQ-02759-E4</t>
  </si>
  <si>
    <t>G-REQ-02760-E1</t>
  </si>
  <si>
    <t>G-REQ-02760-E2</t>
  </si>
  <si>
    <t>G-REQ-02760-E3</t>
  </si>
  <si>
    <t>G-REQ-02760-E4</t>
  </si>
  <si>
    <t>G-REQ-02761-E1</t>
  </si>
  <si>
    <t>SYNTHETIC: Laptop return; Pending approval; asset G-AST-00488</t>
  </si>
  <si>
    <t>G-REQ-02761-E2</t>
  </si>
  <si>
    <t>SYNTHETIC: Laptop return; Approved; asset G-AST-00488</t>
  </si>
  <si>
    <t>G-REQ-02761-E3</t>
  </si>
  <si>
    <t>SYNTHETIC: Laptop return; In progress; asset G-AST-00488</t>
  </si>
  <si>
    <t>G-REQ-02761-E4</t>
  </si>
  <si>
    <t>SYNTHETIC: Laptop return; Completed; asset G-AST-00488</t>
  </si>
  <si>
    <t>G-REQ-02762-E1</t>
  </si>
  <si>
    <t>G-REQ-02762-E2</t>
  </si>
  <si>
    <t>SYNTHETIC: Laptop repair; Rejected; asset G-AST-00152</t>
  </si>
  <si>
    <t>G-REQ-02763-E1</t>
  </si>
  <si>
    <t>G-REQ-02763-E2</t>
  </si>
  <si>
    <t>G-REQ-02763-E3</t>
  </si>
  <si>
    <t>G-REQ-02763-E4</t>
  </si>
  <si>
    <t>G-REQ-02764-E1</t>
  </si>
  <si>
    <t>G-REQ-02764-E2</t>
  </si>
  <si>
    <t>G-REQ-02764-E3</t>
  </si>
  <si>
    <t>G-REQ-02764-E4</t>
  </si>
  <si>
    <t>G-REQ-02765-E1</t>
  </si>
  <si>
    <t>G-REQ-02765-E2</t>
  </si>
  <si>
    <t>G-REQ-02765-E3</t>
  </si>
  <si>
    <t>G-REQ-02765-E4</t>
  </si>
  <si>
    <t>G-REQ-02766-E1</t>
  </si>
  <si>
    <t>G-REQ-02766-E2</t>
  </si>
  <si>
    <t>G-REQ-02766-E3</t>
  </si>
  <si>
    <t>G-REQ-02766-E4</t>
  </si>
  <si>
    <t>G-REQ-02767-E1</t>
  </si>
  <si>
    <t>G-REQ-02767-E2</t>
  </si>
  <si>
    <t>G-REQ-02767-E3</t>
  </si>
  <si>
    <t>G-REQ-02767-E4</t>
  </si>
  <si>
    <t>G-REQ-02768-E1</t>
  </si>
  <si>
    <t>G-REQ-02768-E2</t>
  </si>
  <si>
    <t>SYNTHETIC: Laptop repair; Rejected; asset G-AST-00328</t>
  </si>
  <si>
    <t>G-REQ-02769-E1</t>
  </si>
  <si>
    <t>G-REQ-02769-E2</t>
  </si>
  <si>
    <t>G-REQ-02769-E3</t>
  </si>
  <si>
    <t>G-REQ-02769-E4</t>
  </si>
  <si>
    <t>G-REQ-02770-E1</t>
  </si>
  <si>
    <t>G-REQ-02770-E2</t>
  </si>
  <si>
    <t>G-REQ-02770-E3</t>
  </si>
  <si>
    <t>G-REQ-02770-E4</t>
  </si>
  <si>
    <t>G-REQ-02771-E1</t>
  </si>
  <si>
    <t>G-REQ-02771-E2</t>
  </si>
  <si>
    <t>SYNTHETIC: Laptop return; Cancelled; asset G-AST-00303</t>
  </si>
  <si>
    <t>G-REQ-02772-E1</t>
  </si>
  <si>
    <t>G-REQ-02772-E2</t>
  </si>
  <si>
    <t>G-REQ-02772-E3</t>
  </si>
  <si>
    <t>G-REQ-02772-E4</t>
  </si>
  <si>
    <t>G-REQ-02773-E1</t>
  </si>
  <si>
    <t>G-REQ-02773-E2</t>
  </si>
  <si>
    <t>SYNTHETIC: Laptop return; Cancelled; asset G-AST-00143</t>
  </si>
  <si>
    <t>G-REQ-02774-E1</t>
  </si>
  <si>
    <t>G-REQ-02774-E2</t>
  </si>
  <si>
    <t>SYNTHETIC: Laptop repair; Rejected; asset G-AST-00343</t>
  </si>
  <si>
    <t>G-REQ-02775-E1</t>
  </si>
  <si>
    <t>G-REQ-02775-E2</t>
  </si>
  <si>
    <t>G-REQ-02776-E1</t>
  </si>
  <si>
    <t>G-REQ-02776-E2</t>
  </si>
  <si>
    <t>G-REQ-02776-E3</t>
  </si>
  <si>
    <t>G-REQ-02776-E4</t>
  </si>
  <si>
    <t>G-REQ-02777-E1</t>
  </si>
  <si>
    <t>G-REQ-02777-E2</t>
  </si>
  <si>
    <t>G-REQ-02777-E3</t>
  </si>
  <si>
    <t>G-REQ-02777-E4</t>
  </si>
  <si>
    <t>G-REQ-02778-E1</t>
  </si>
  <si>
    <t>G-REQ-02778-E2</t>
  </si>
  <si>
    <t>G-REQ-02778-E3</t>
  </si>
  <si>
    <t>G-REQ-02778-E4</t>
  </si>
  <si>
    <t>G-REQ-02779-E1</t>
  </si>
  <si>
    <t>G-REQ-02779-E2</t>
  </si>
  <si>
    <t>G-REQ-02779-E3</t>
  </si>
  <si>
    <t>G-REQ-02779-E4</t>
  </si>
  <si>
    <t>G-REQ-02780-E1</t>
  </si>
  <si>
    <t>G-REQ-02780-E2</t>
  </si>
  <si>
    <t>G-REQ-02780-E3</t>
  </si>
  <si>
    <t>G-REQ-02780-E4</t>
  </si>
  <si>
    <t>G-REQ-02781-E1</t>
  </si>
  <si>
    <t>G-REQ-02781-E2</t>
  </si>
  <si>
    <t>G-REQ-02781-E3</t>
  </si>
  <si>
    <t>G-REQ-02781-E4</t>
  </si>
  <si>
    <t>G-REQ-02782-E1</t>
  </si>
  <si>
    <t>SYNTHETIC: Laptop repair; Pending approval; asset G-AST-00337</t>
  </si>
  <si>
    <t>G-REQ-02782-E2</t>
  </si>
  <si>
    <t>SYNTHETIC: Laptop repair; Approved; asset G-AST-00337</t>
  </si>
  <si>
    <t>G-REQ-02782-E3</t>
  </si>
  <si>
    <t>SYNTHETIC: Laptop repair; In progress; asset G-AST-00337</t>
  </si>
  <si>
    <t>G-REQ-02782-E4</t>
  </si>
  <si>
    <t>SYNTHETIC: Laptop repair; Completed; asset G-AST-00337</t>
  </si>
  <si>
    <t>G-REQ-02783-E1</t>
  </si>
  <si>
    <t>G-REQ-02783-E2</t>
  </si>
  <si>
    <t>G-REQ-02783-E3</t>
  </si>
  <si>
    <t>G-REQ-02783-E4</t>
  </si>
  <si>
    <t>G-REQ-02784-E1</t>
  </si>
  <si>
    <t>G-REQ-02784-E2</t>
  </si>
  <si>
    <t>G-REQ-02784-E3</t>
  </si>
  <si>
    <t>G-REQ-02784-E4</t>
  </si>
  <si>
    <t>G-REQ-02785-E1</t>
  </si>
  <si>
    <t>G-REQ-02785-E2</t>
  </si>
  <si>
    <t>G-REQ-02785-E3</t>
  </si>
  <si>
    <t>G-REQ-02785-E4</t>
  </si>
  <si>
    <t>G-REQ-02786-E1</t>
  </si>
  <si>
    <t>G-REQ-02786-E2</t>
  </si>
  <si>
    <t>G-REQ-02786-E3</t>
  </si>
  <si>
    <t>G-REQ-02786-E4</t>
  </si>
  <si>
    <t>G-REQ-02787-E1</t>
  </si>
  <si>
    <t>G-REQ-02787-E2</t>
  </si>
  <si>
    <t>G-REQ-02788-E1</t>
  </si>
  <si>
    <t>G-REQ-02788-E2</t>
  </si>
  <si>
    <t>SYNTHETIC: Laptop repair; Rejected; asset G-AST-00114</t>
  </si>
  <si>
    <t>G-REQ-02789-E1</t>
  </si>
  <si>
    <t>G-REQ-02789-E2</t>
  </si>
  <si>
    <t>G-REQ-02789-E3</t>
  </si>
  <si>
    <t>G-REQ-02789-E4</t>
  </si>
  <si>
    <t>G-REQ-02790-E1</t>
  </si>
  <si>
    <t>G-REQ-02790-E2</t>
  </si>
  <si>
    <t>G-REQ-02790-E3</t>
  </si>
  <si>
    <t>G-REQ-02790-E4</t>
  </si>
  <si>
    <t>G-REQ-02791-E1</t>
  </si>
  <si>
    <t>G-REQ-02791-E2</t>
  </si>
  <si>
    <t>G-REQ-02791-E3</t>
  </si>
  <si>
    <t>G-REQ-02791-E4</t>
  </si>
  <si>
    <t>G-REQ-02792-E1</t>
  </si>
  <si>
    <t>G-REQ-02792-E2</t>
  </si>
  <si>
    <t>SYNTHETIC: Laptop repair; Rejected; asset G-AST-00278</t>
  </si>
  <si>
    <t>G-REQ-02793-E1</t>
  </si>
  <si>
    <t>G-REQ-02793-E2</t>
  </si>
  <si>
    <t>G-REQ-02793-E3</t>
  </si>
  <si>
    <t>G-REQ-02793-E4</t>
  </si>
  <si>
    <t>G-REQ-02794-E1</t>
  </si>
  <si>
    <t>G-REQ-02794-E2</t>
  </si>
  <si>
    <t>SYNTHETIC: Laptop repair; Approved; asset G-AST-00332</t>
  </si>
  <si>
    <t>G-REQ-02794-E3</t>
  </si>
  <si>
    <t>SYNTHETIC: Laptop repair; In progress; asset G-AST-00332</t>
  </si>
  <si>
    <t>G-REQ-02794-E4</t>
  </si>
  <si>
    <t>SYNTHETIC: Laptop repair; Completed; asset G-AST-00332</t>
  </si>
  <si>
    <t>G-REQ-02795-E1</t>
  </si>
  <si>
    <t>G-REQ-02795-E2</t>
  </si>
  <si>
    <t>G-REQ-02795-E3</t>
  </si>
  <si>
    <t>G-REQ-02795-E4</t>
  </si>
  <si>
    <t>G-REQ-02796-E1</t>
  </si>
  <si>
    <t>G-REQ-02796-E2</t>
  </si>
  <si>
    <t>G-REQ-02796-E3</t>
  </si>
  <si>
    <t>G-REQ-02796-E4</t>
  </si>
  <si>
    <t>G-REQ-02797-E1</t>
  </si>
  <si>
    <t>G-REQ-02797-E2</t>
  </si>
  <si>
    <t>G-REQ-02797-E3</t>
  </si>
  <si>
    <t>G-REQ-02797-E4</t>
  </si>
  <si>
    <t>G-REQ-02798-E1</t>
  </si>
  <si>
    <t>G-REQ-02798-E2</t>
  </si>
  <si>
    <t>G-REQ-02798-E3</t>
  </si>
  <si>
    <t>G-REQ-02798-E4</t>
  </si>
  <si>
    <t>G-REQ-02799-E1</t>
  </si>
  <si>
    <t>G-REQ-02799-E2</t>
  </si>
  <si>
    <t>G-REQ-02799-E3</t>
  </si>
  <si>
    <t>G-REQ-02799-E4</t>
  </si>
  <si>
    <t>G-REQ-02800-E1</t>
  </si>
  <si>
    <t>SYNTHETIC: Laptop return; Pending approval; asset G-AST-00396</t>
  </si>
  <si>
    <t>G-REQ-02800-E2</t>
  </si>
  <si>
    <t>SYNTHETIC: Laptop return; Approved; asset G-AST-00396</t>
  </si>
  <si>
    <t>G-REQ-02800-E3</t>
  </si>
  <si>
    <t>SYNTHETIC: Laptop return; In progress; asset G-AST-00396</t>
  </si>
  <si>
    <t>G-REQ-02800-E4</t>
  </si>
  <si>
    <t>SYNTHETIC: Laptop return; Completed; asset G-AST-00396</t>
  </si>
  <si>
    <t>G-REQ-02801-E1</t>
  </si>
  <si>
    <t>SYNTHETIC: Laptop return; Pending approval; asset G-AST-00426</t>
  </si>
  <si>
    <t>G-REQ-02801-E2</t>
  </si>
  <si>
    <t>SYNTHETIC: Laptop return; Approved; asset G-AST-00426</t>
  </si>
  <si>
    <t>G-REQ-02801-E3</t>
  </si>
  <si>
    <t>SYNTHETIC: Laptop return; In progress; asset G-AST-00426</t>
  </si>
  <si>
    <t>G-REQ-02801-E4</t>
  </si>
  <si>
    <t>SYNTHETIC: Laptop return; Completed; asset G-AST-00426</t>
  </si>
  <si>
    <t>G-REQ-02802-E1</t>
  </si>
  <si>
    <t>G-REQ-02802-E2</t>
  </si>
  <si>
    <t>G-REQ-02802-E3</t>
  </si>
  <si>
    <t>G-REQ-02802-E4</t>
  </si>
  <si>
    <t>G-REQ-02803-E1</t>
  </si>
  <si>
    <t>SYNTHETIC: Laptop repair; Pending approval; asset G-AST-00338</t>
  </si>
  <si>
    <t>G-REQ-02803-E2</t>
  </si>
  <si>
    <t>SYNTHETIC: Laptop repair; Approved; asset G-AST-00338</t>
  </si>
  <si>
    <t>G-REQ-02803-E3</t>
  </si>
  <si>
    <t>SYNTHETIC: Laptop repair; In progress; asset G-AST-00338</t>
  </si>
  <si>
    <t>G-REQ-02803-E4</t>
  </si>
  <si>
    <t>SYNTHETIC: Laptop repair; Completed; asset G-AST-00338</t>
  </si>
  <si>
    <t>G-REQ-02804-E1</t>
  </si>
  <si>
    <t>G-REQ-02804-E2</t>
  </si>
  <si>
    <t>G-REQ-02804-E3</t>
  </si>
  <si>
    <t>G-REQ-02804-E4</t>
  </si>
  <si>
    <t>G-REQ-02805-E1</t>
  </si>
  <si>
    <t>G-REQ-02805-E2</t>
  </si>
  <si>
    <t>G-REQ-02805-E3</t>
  </si>
  <si>
    <t>G-REQ-02805-E4</t>
  </si>
  <si>
    <t>G-REQ-02806-E1</t>
  </si>
  <si>
    <t>G-REQ-02806-E2</t>
  </si>
  <si>
    <t>G-REQ-02806-E3</t>
  </si>
  <si>
    <t>G-REQ-02806-E4</t>
  </si>
  <si>
    <t>G-REQ-02807-E1</t>
  </si>
  <si>
    <t>G-REQ-02807-E2</t>
  </si>
  <si>
    <t>SYNTHETIC: Laptop repair; Cancelled; asset G-AST-00211</t>
  </si>
  <si>
    <t>G-REQ-02808-E1</t>
  </si>
  <si>
    <t>G-REQ-02808-E2</t>
  </si>
  <si>
    <t>G-REQ-02808-E3</t>
  </si>
  <si>
    <t>G-REQ-02808-E4</t>
  </si>
  <si>
    <t>G-REQ-02809-E1</t>
  </si>
  <si>
    <t>G-REQ-02809-E2</t>
  </si>
  <si>
    <t>G-REQ-02809-E3</t>
  </si>
  <si>
    <t>G-REQ-02809-E4</t>
  </si>
  <si>
    <t>G-REQ-02810-E1</t>
  </si>
  <si>
    <t>G-REQ-02810-E2</t>
  </si>
  <si>
    <t>G-REQ-02810-E3</t>
  </si>
  <si>
    <t>G-REQ-02810-E4</t>
  </si>
  <si>
    <t>G-REQ-02811-E1</t>
  </si>
  <si>
    <t>G-REQ-02811-E2</t>
  </si>
  <si>
    <t>G-REQ-02811-E3</t>
  </si>
  <si>
    <t>G-REQ-02811-E4</t>
  </si>
  <si>
    <t>G-REQ-02812-E1</t>
  </si>
  <si>
    <t>G-REQ-02812-E2</t>
  </si>
  <si>
    <t>G-REQ-02812-E3</t>
  </si>
  <si>
    <t>G-REQ-02812-E4</t>
  </si>
  <si>
    <t>G-REQ-02813-E1</t>
  </si>
  <si>
    <t>G-REQ-02813-E2</t>
  </si>
  <si>
    <t>G-REQ-02813-E3</t>
  </si>
  <si>
    <t>G-REQ-02813-E4</t>
  </si>
  <si>
    <t>G-REQ-02814-E1</t>
  </si>
  <si>
    <t>G-REQ-02814-E2</t>
  </si>
  <si>
    <t>G-REQ-02815-E1</t>
  </si>
  <si>
    <t>G-REQ-02815-E2</t>
  </si>
  <si>
    <t>G-REQ-02815-E3</t>
  </si>
  <si>
    <t>G-REQ-02815-E4</t>
  </si>
  <si>
    <t>G-REQ-02816-E1</t>
  </si>
  <si>
    <t>G-REQ-02816-E2</t>
  </si>
  <si>
    <t>G-REQ-02816-E3</t>
  </si>
  <si>
    <t>G-REQ-02816-E4</t>
  </si>
  <si>
    <t>G-REQ-02817-E1</t>
  </si>
  <si>
    <t>G-REQ-02817-E2</t>
  </si>
  <si>
    <t>G-REQ-02817-E3</t>
  </si>
  <si>
    <t>G-REQ-02817-E4</t>
  </si>
  <si>
    <t>G-REQ-02818-E1</t>
  </si>
  <si>
    <t>G-REQ-02818-E2</t>
  </si>
  <si>
    <t>G-REQ-02818-E3</t>
  </si>
  <si>
    <t>G-REQ-02818-E4</t>
  </si>
  <si>
    <t>G-REQ-02819-E1</t>
  </si>
  <si>
    <t>G-REQ-02819-E2</t>
  </si>
  <si>
    <t>G-REQ-02819-E3</t>
  </si>
  <si>
    <t>G-REQ-02819-E4</t>
  </si>
  <si>
    <t>G-REQ-02820-E1</t>
  </si>
  <si>
    <t>G-REQ-02820-E2</t>
  </si>
  <si>
    <t>SYNTHETIC: Laptop return; Cancelled; asset G-AST-00284</t>
  </si>
  <si>
    <t>G-REQ-02821-E1</t>
  </si>
  <si>
    <t>G-REQ-02821-E2</t>
  </si>
  <si>
    <t>G-REQ-02821-E3</t>
  </si>
  <si>
    <t>G-REQ-02821-E4</t>
  </si>
  <si>
    <t>G-REQ-02822-E1</t>
  </si>
  <si>
    <t>G-REQ-02822-E2</t>
  </si>
  <si>
    <t>G-REQ-02822-E3</t>
  </si>
  <si>
    <t>G-REQ-02822-E4</t>
  </si>
  <si>
    <t>G-REQ-02823-E1</t>
  </si>
  <si>
    <t>G-REQ-02823-E2</t>
  </si>
  <si>
    <t>SYNTHETIC: Laptop return; Approved; asset G-AST-00245</t>
  </si>
  <si>
    <t>G-REQ-02823-E3</t>
  </si>
  <si>
    <t>SYNTHETIC: Laptop return; In progress; asset G-AST-00245</t>
  </si>
  <si>
    <t>G-REQ-02823-E4</t>
  </si>
  <si>
    <t>SYNTHETIC: Laptop return; Completed; asset G-AST-00245</t>
  </si>
  <si>
    <t>G-REQ-02824-E1</t>
  </si>
  <si>
    <t>G-REQ-02824-E2</t>
  </si>
  <si>
    <t>G-REQ-02824-E3</t>
  </si>
  <si>
    <t>G-REQ-02824-E4</t>
  </si>
  <si>
    <t>G-REQ-02825-E1</t>
  </si>
  <si>
    <t>G-REQ-02825-E2</t>
  </si>
  <si>
    <t>G-REQ-02825-E3</t>
  </si>
  <si>
    <t>G-REQ-02825-E4</t>
  </si>
  <si>
    <t>G-REQ-02826-E1</t>
  </si>
  <si>
    <t>G-REQ-02826-E2</t>
  </si>
  <si>
    <t>G-REQ-02826-E3</t>
  </si>
  <si>
    <t>G-REQ-02826-E4</t>
  </si>
  <si>
    <t>G-REQ-02827-E1</t>
  </si>
  <si>
    <t>G-REQ-02827-E2</t>
  </si>
  <si>
    <t>G-REQ-02827-E3</t>
  </si>
  <si>
    <t>G-REQ-02827-E4</t>
  </si>
  <si>
    <t>G-REQ-02828-E1</t>
  </si>
  <si>
    <t>G-REQ-02828-E2</t>
  </si>
  <si>
    <t>G-REQ-02828-E3</t>
  </si>
  <si>
    <t>G-REQ-02828-E4</t>
  </si>
  <si>
    <t>G-REQ-02829-E1</t>
  </si>
  <si>
    <t>SYNTHETIC: Laptop repair; Pending approval; asset G-AST-00342</t>
  </si>
  <si>
    <t>G-REQ-02829-E2</t>
  </si>
  <si>
    <t>SYNTHETIC: Laptop repair; Approved; asset G-AST-00342</t>
  </si>
  <si>
    <t>G-REQ-02829-E3</t>
  </si>
  <si>
    <t>SYNTHETIC: Laptop repair; In progress; asset G-AST-00342</t>
  </si>
  <si>
    <t>G-REQ-02829-E4</t>
  </si>
  <si>
    <t>SYNTHETIC: Laptop repair; Completed; asset G-AST-00342</t>
  </si>
  <si>
    <t>G-REQ-02830-E1</t>
  </si>
  <si>
    <t>G-REQ-02830-E2</t>
  </si>
  <si>
    <t>G-REQ-02830-E3</t>
  </si>
  <si>
    <t>G-REQ-02830-E4</t>
  </si>
  <si>
    <t>G-REQ-02831-E1</t>
  </si>
  <si>
    <t>G-REQ-02831-E2</t>
  </si>
  <si>
    <t>G-REQ-02831-E3</t>
  </si>
  <si>
    <t>G-REQ-02831-E4</t>
  </si>
  <si>
    <t>G-REQ-02832-E1</t>
  </si>
  <si>
    <t>G-REQ-02832-E2</t>
  </si>
  <si>
    <t>G-REQ-02833-E1</t>
  </si>
  <si>
    <t>SYNTHETIC: Laptop repair; Pending approval; asset G-AST-00359</t>
  </si>
  <si>
    <t>G-REQ-02833-E2</t>
  </si>
  <si>
    <t>SYNTHETIC: Laptop repair; Approved; asset G-AST-00359</t>
  </si>
  <si>
    <t>G-REQ-02833-E3</t>
  </si>
  <si>
    <t>SYNTHETIC: Laptop repair; In progress; asset G-AST-00359</t>
  </si>
  <si>
    <t>G-REQ-02833-E4</t>
  </si>
  <si>
    <t>SYNTHETIC: Laptop repair; Completed; asset G-AST-00359</t>
  </si>
  <si>
    <t>G-REQ-02834-E1</t>
  </si>
  <si>
    <t>G-REQ-02834-E2</t>
  </si>
  <si>
    <t>G-REQ-02834-E3</t>
  </si>
  <si>
    <t>G-REQ-02834-E4</t>
  </si>
  <si>
    <t>G-REQ-02835-E1</t>
  </si>
  <si>
    <t>G-REQ-02835-E2</t>
  </si>
  <si>
    <t>G-REQ-02835-E3</t>
  </si>
  <si>
    <t>G-REQ-02835-E4</t>
  </si>
  <si>
    <t>G-REQ-02836-E1</t>
  </si>
  <si>
    <t>G-REQ-02836-E2</t>
  </si>
  <si>
    <t>G-REQ-02836-E3</t>
  </si>
  <si>
    <t>G-REQ-02836-E4</t>
  </si>
  <si>
    <t>G-REQ-02837-E1</t>
  </si>
  <si>
    <t>G-REQ-02837-E2</t>
  </si>
  <si>
    <t>G-REQ-02837-E3</t>
  </si>
  <si>
    <t>G-REQ-02837-E4</t>
  </si>
  <si>
    <t>G-REQ-02838-E1</t>
  </si>
  <si>
    <t>G-REQ-02838-E2</t>
  </si>
  <si>
    <t>G-REQ-02838-E3</t>
  </si>
  <si>
    <t>G-REQ-02838-E4</t>
  </si>
  <si>
    <t>G-REQ-02839-E1</t>
  </si>
  <si>
    <t>G-REQ-02839-E2</t>
  </si>
  <si>
    <t>G-REQ-02839-E3</t>
  </si>
  <si>
    <t>G-REQ-02839-E4</t>
  </si>
  <si>
    <t>G-REQ-02840-E1</t>
  </si>
  <si>
    <t>G-REQ-02840-E2</t>
  </si>
  <si>
    <t>G-REQ-02841-E1</t>
  </si>
  <si>
    <t>G-REQ-02841-E2</t>
  </si>
  <si>
    <t>G-REQ-02841-E3</t>
  </si>
  <si>
    <t>G-REQ-02841-E4</t>
  </si>
  <si>
    <t>G-REQ-02842-E1</t>
  </si>
  <si>
    <t>G-REQ-02842-E2</t>
  </si>
  <si>
    <t>G-REQ-02842-E3</t>
  </si>
  <si>
    <t>G-REQ-02842-E4</t>
  </si>
  <si>
    <t>G-REQ-02843-E1</t>
  </si>
  <si>
    <t>G-REQ-02843-E2</t>
  </si>
  <si>
    <t>G-REQ-02843-E3</t>
  </si>
  <si>
    <t>G-REQ-02843-E4</t>
  </si>
  <si>
    <t>G-REQ-02844-E1</t>
  </si>
  <si>
    <t>G-REQ-02844-E2</t>
  </si>
  <si>
    <t>G-REQ-02844-E3</t>
  </si>
  <si>
    <t>G-REQ-02844-E4</t>
  </si>
  <si>
    <t>G-REQ-02845-E1</t>
  </si>
  <si>
    <t>G-REQ-02845-E2</t>
  </si>
  <si>
    <t>G-REQ-02845-E3</t>
  </si>
  <si>
    <t>G-REQ-02845-E4</t>
  </si>
  <si>
    <t>G-REQ-02846-E1</t>
  </si>
  <si>
    <t>G-REQ-02846-E2</t>
  </si>
  <si>
    <t>G-REQ-02846-E3</t>
  </si>
  <si>
    <t>G-REQ-02846-E4</t>
  </si>
  <si>
    <t>G-REQ-02847-E1</t>
  </si>
  <si>
    <t>G-REQ-02847-E2</t>
  </si>
  <si>
    <t>G-REQ-02847-E3</t>
  </si>
  <si>
    <t>G-REQ-02847-E4</t>
  </si>
  <si>
    <t>G-REQ-02848-E1</t>
  </si>
  <si>
    <t>G-REQ-02848-E2</t>
  </si>
  <si>
    <t>G-REQ-02848-E3</t>
  </si>
  <si>
    <t>G-REQ-02848-E4</t>
  </si>
  <si>
    <t>G-REQ-02849-E1</t>
  </si>
  <si>
    <t>G-REQ-02849-E2</t>
  </si>
  <si>
    <t>G-REQ-02849-E3</t>
  </si>
  <si>
    <t>G-REQ-02849-E4</t>
  </si>
  <si>
    <t>G-REQ-02850-E1</t>
  </si>
  <si>
    <t>G-REQ-02850-E2</t>
  </si>
  <si>
    <t>G-REQ-02851-E1</t>
  </si>
  <si>
    <t>G-REQ-02851-E2</t>
  </si>
  <si>
    <t>G-REQ-02851-E3</t>
  </si>
  <si>
    <t>G-REQ-02851-E4</t>
  </si>
  <si>
    <t>G-REQ-02852-E1</t>
  </si>
  <si>
    <t>G-REQ-02852-E2</t>
  </si>
  <si>
    <t>G-REQ-02852-E3</t>
  </si>
  <si>
    <t>G-REQ-02852-E4</t>
  </si>
  <si>
    <t>G-REQ-02853-E1</t>
  </si>
  <si>
    <t>G-REQ-02853-E2</t>
  </si>
  <si>
    <t>G-REQ-02853-E3</t>
  </si>
  <si>
    <t>G-REQ-02853-E4</t>
  </si>
  <si>
    <t>G-REQ-02854-E1</t>
  </si>
  <si>
    <t>G-REQ-02854-E2</t>
  </si>
  <si>
    <t>G-REQ-02854-E3</t>
  </si>
  <si>
    <t>G-REQ-02854-E4</t>
  </si>
  <si>
    <t>G-REQ-02855-E1</t>
  </si>
  <si>
    <t>G-REQ-02855-E2</t>
  </si>
  <si>
    <t>G-REQ-02855-E3</t>
  </si>
  <si>
    <t>G-REQ-02855-E4</t>
  </si>
  <si>
    <t>G-REQ-02856-E1</t>
  </si>
  <si>
    <t>SYNTHETIC: Laptop repair; Pending approval; asset G-AST-00522</t>
  </si>
  <si>
    <t>G-REQ-02856-E2</t>
  </si>
  <si>
    <t>SYNTHETIC: Laptop repair; Approved; asset G-AST-00522</t>
  </si>
  <si>
    <t>G-REQ-02856-E3</t>
  </si>
  <si>
    <t>SYNTHETIC: Laptop repair; In progress; asset G-AST-00522</t>
  </si>
  <si>
    <t>G-REQ-02856-E4</t>
  </si>
  <si>
    <t>SYNTHETIC: Laptop repair; Completed; asset G-AST-00522</t>
  </si>
  <si>
    <t>G-REQ-02857-E1</t>
  </si>
  <si>
    <t>G-REQ-02857-E2</t>
  </si>
  <si>
    <t>G-REQ-02858-E1</t>
  </si>
  <si>
    <t>G-REQ-02858-E2</t>
  </si>
  <si>
    <t>G-REQ-02858-E3</t>
  </si>
  <si>
    <t>G-REQ-02858-E4</t>
  </si>
  <si>
    <t>G-REQ-02859-E1</t>
  </si>
  <si>
    <t>G-REQ-02859-E2</t>
  </si>
  <si>
    <t>G-REQ-02859-E3</t>
  </si>
  <si>
    <t>G-REQ-02859-E4</t>
  </si>
  <si>
    <t>G-REQ-02860-E1</t>
  </si>
  <si>
    <t>SYNTHETIC: Laptop return; Pending approval; asset G-AST-00508</t>
  </si>
  <si>
    <t>G-REQ-02860-E2</t>
  </si>
  <si>
    <t>SYNTHETIC: Laptop return; Approved; asset G-AST-00508</t>
  </si>
  <si>
    <t>G-REQ-02860-E3</t>
  </si>
  <si>
    <t>SYNTHETIC: Laptop return; In progress; asset G-AST-00508</t>
  </si>
  <si>
    <t>G-REQ-02860-E4</t>
  </si>
  <si>
    <t>SYNTHETIC: Laptop return; Completed; asset G-AST-00508</t>
  </si>
  <si>
    <t>G-REQ-02861-E1</t>
  </si>
  <si>
    <t>G-REQ-02861-E2</t>
  </si>
  <si>
    <t>G-REQ-02861-E3</t>
  </si>
  <si>
    <t>G-REQ-02861-E4</t>
  </si>
  <si>
    <t>G-REQ-02862-E1</t>
  </si>
  <si>
    <t>G-REQ-02862-E2</t>
  </si>
  <si>
    <t>G-REQ-02862-E3</t>
  </si>
  <si>
    <t>G-REQ-02862-E4</t>
  </si>
  <si>
    <t>G-REQ-02863-E1</t>
  </si>
  <si>
    <t>G-REQ-02863-E2</t>
  </si>
  <si>
    <t>G-REQ-02863-E3</t>
  </si>
  <si>
    <t>G-REQ-02863-E4</t>
  </si>
  <si>
    <t>G-REQ-02864-E1</t>
  </si>
  <si>
    <t>G-REQ-02864-E2</t>
  </si>
  <si>
    <t>G-REQ-02864-E3</t>
  </si>
  <si>
    <t>G-REQ-02864-E4</t>
  </si>
  <si>
    <t>G-REQ-02865-E1</t>
  </si>
  <si>
    <t>G-REQ-02865-E2</t>
  </si>
  <si>
    <t>SYNTHETIC: Laptop return; Cancelled; asset G-AST-00324</t>
  </si>
  <si>
    <t>G-REQ-02866-E1</t>
  </si>
  <si>
    <t>G-REQ-02866-E2</t>
  </si>
  <si>
    <t>G-REQ-02866-E3</t>
  </si>
  <si>
    <t>G-REQ-02866-E4</t>
  </si>
  <si>
    <t>G-REQ-02867-E1</t>
  </si>
  <si>
    <t>SYNTHETIC: Laptop repair; Pending approval; asset G-AST-00330</t>
  </si>
  <si>
    <t>G-REQ-02867-E2</t>
  </si>
  <si>
    <t>SYNTHETIC: Laptop repair; Approved; asset G-AST-00330</t>
  </si>
  <si>
    <t>G-REQ-02867-E3</t>
  </si>
  <si>
    <t>SYNTHETIC: Laptop repair; In progress; asset G-AST-00330</t>
  </si>
  <si>
    <t>G-REQ-02867-E4</t>
  </si>
  <si>
    <t>SYNTHETIC: Laptop repair; Completed; asset G-AST-00330</t>
  </si>
  <si>
    <t>G-REQ-02868-E1</t>
  </si>
  <si>
    <t>G-REQ-02868-E2</t>
  </si>
  <si>
    <t>G-REQ-02868-E3</t>
  </si>
  <si>
    <t>G-REQ-02868-E4</t>
  </si>
  <si>
    <t>G-REQ-02869-E1</t>
  </si>
  <si>
    <t>G-REQ-02869-E2</t>
  </si>
  <si>
    <t>SYNTHETIC: Laptop repair; Rejected; asset G-AST-00332</t>
  </si>
  <si>
    <t>G-REQ-02870-E1</t>
  </si>
  <si>
    <t>G-REQ-02870-E2</t>
  </si>
  <si>
    <t>G-REQ-02870-E3</t>
  </si>
  <si>
    <t>G-REQ-02870-E4</t>
  </si>
  <si>
    <t>G-REQ-02871-E1</t>
  </si>
  <si>
    <t>G-REQ-02871-E2</t>
  </si>
  <si>
    <t>G-REQ-02871-E3</t>
  </si>
  <si>
    <t>G-REQ-02871-E4</t>
  </si>
  <si>
    <t>G-REQ-02872-E1</t>
  </si>
  <si>
    <t>G-REQ-02872-E2</t>
  </si>
  <si>
    <t>G-REQ-02872-E3</t>
  </si>
  <si>
    <t>G-REQ-02872-E4</t>
  </si>
  <si>
    <t>G-REQ-02873-E1</t>
  </si>
  <si>
    <t>G-REQ-02873-E2</t>
  </si>
  <si>
    <t>G-REQ-02873-E3</t>
  </si>
  <si>
    <t>G-REQ-02873-E4</t>
  </si>
  <si>
    <t>G-REQ-02874-E1</t>
  </si>
  <si>
    <t>G-REQ-02874-E2</t>
  </si>
  <si>
    <t>G-REQ-02874-E3</t>
  </si>
  <si>
    <t>G-REQ-02874-E4</t>
  </si>
  <si>
    <t>G-REQ-02875-E1</t>
  </si>
  <si>
    <t>G-REQ-02875-E2</t>
  </si>
  <si>
    <t>G-REQ-02875-E3</t>
  </si>
  <si>
    <t>G-REQ-02875-E4</t>
  </si>
  <si>
    <t>G-REQ-02876-E1</t>
  </si>
  <si>
    <t>G-REQ-02876-E2</t>
  </si>
  <si>
    <t>G-REQ-02876-E3</t>
  </si>
  <si>
    <t>G-REQ-02876-E4</t>
  </si>
  <si>
    <t>G-REQ-02877-E1</t>
  </si>
  <si>
    <t>G-REQ-02877-E2</t>
  </si>
  <si>
    <t>SYNTHETIC: Laptop repair; Rejected; asset G-AST-00289</t>
  </si>
  <si>
    <t>G-REQ-02878-E1</t>
  </si>
  <si>
    <t>G-REQ-02878-E2</t>
  </si>
  <si>
    <t>G-REQ-02878-E3</t>
  </si>
  <si>
    <t>G-REQ-02878-E4</t>
  </si>
  <si>
    <t>G-REQ-02879-E1</t>
  </si>
  <si>
    <t>G-REQ-02879-E2</t>
  </si>
  <si>
    <t>G-REQ-02879-E3</t>
  </si>
  <si>
    <t>G-REQ-02879-E4</t>
  </si>
  <si>
    <t>G-REQ-02880-E1</t>
  </si>
  <si>
    <t>G-REQ-02880-E2</t>
  </si>
  <si>
    <t>G-REQ-02880-E3</t>
  </si>
  <si>
    <t>G-REQ-02880-E4</t>
  </si>
  <si>
    <t>G-REQ-02881-E1</t>
  </si>
  <si>
    <t>G-REQ-02881-E2</t>
  </si>
  <si>
    <t>G-REQ-02881-E3</t>
  </si>
  <si>
    <t>G-REQ-02881-E4</t>
  </si>
  <si>
    <t>G-REQ-02882-E1</t>
  </si>
  <si>
    <t>G-REQ-02882-E2</t>
  </si>
  <si>
    <t>SYNTHETIC: Laptop repair; Rejected; asset G-AST-00104</t>
  </si>
  <si>
    <t>G-REQ-02883-E1</t>
  </si>
  <si>
    <t>G-REQ-02883-E2</t>
  </si>
  <si>
    <t>G-REQ-02883-E3</t>
  </si>
  <si>
    <t>G-REQ-02883-E4</t>
  </si>
  <si>
    <t>G-REQ-02884-E1</t>
  </si>
  <si>
    <t>G-REQ-02884-E2</t>
  </si>
  <si>
    <t>G-REQ-02884-E3</t>
  </si>
  <si>
    <t>G-REQ-02884-E4</t>
  </si>
  <si>
    <t>G-REQ-02885-E1</t>
  </si>
  <si>
    <t>SYNTHETIC: Laptop return; Pending approval; asset G-AST-00094</t>
  </si>
  <si>
    <t>G-REQ-02885-E2</t>
  </si>
  <si>
    <t>SYNTHETIC: Laptop return; Approved; asset G-AST-00094</t>
  </si>
  <si>
    <t>G-REQ-02885-E3</t>
  </si>
  <si>
    <t>SYNTHETIC: Laptop return; In progress; asset G-AST-00094</t>
  </si>
  <si>
    <t>G-REQ-02885-E4</t>
  </si>
  <si>
    <t>SYNTHETIC: Laptop return; Completed; asset G-AST-00094</t>
  </si>
  <si>
    <t>G-REQ-02886-E1</t>
  </si>
  <si>
    <t>G-REQ-02886-E2</t>
  </si>
  <si>
    <t>G-REQ-02886-E3</t>
  </si>
  <si>
    <t>G-REQ-02886-E4</t>
  </si>
  <si>
    <t>G-REQ-02887-E1</t>
  </si>
  <si>
    <t>G-REQ-02887-E2</t>
  </si>
  <si>
    <t>G-REQ-02887-E3</t>
  </si>
  <si>
    <t>G-REQ-02887-E4</t>
  </si>
  <si>
    <t>G-REQ-02888-E1</t>
  </si>
  <si>
    <t>G-REQ-02888-E2</t>
  </si>
  <si>
    <t>SYNTHETIC: Laptop return; Rejected; asset G-AST-00146</t>
  </si>
  <si>
    <t>G-REQ-02889-E1</t>
  </si>
  <si>
    <t>G-REQ-02889-E2</t>
  </si>
  <si>
    <t>G-REQ-02889-E3</t>
  </si>
  <si>
    <t>G-REQ-02889-E4</t>
  </si>
  <si>
    <t>G-REQ-02890-E1</t>
  </si>
  <si>
    <t>G-REQ-02890-E2</t>
  </si>
  <si>
    <t>G-REQ-02890-E3</t>
  </si>
  <si>
    <t>G-REQ-02890-E4</t>
  </si>
  <si>
    <t>G-REQ-02891-E1</t>
  </si>
  <si>
    <t>G-REQ-02891-E2</t>
  </si>
  <si>
    <t>G-REQ-02891-E3</t>
  </si>
  <si>
    <t>G-REQ-02891-E4</t>
  </si>
  <si>
    <t>G-REQ-02892-E1</t>
  </si>
  <si>
    <t>SYNTHETIC: Laptop repair; Pending approval; asset G-AST-00327</t>
  </si>
  <si>
    <t>G-REQ-02892-E2</t>
  </si>
  <si>
    <t>SYNTHETIC: Laptop repair; Rejected; asset G-AST-00327</t>
  </si>
  <si>
    <t>G-REQ-02893-E1</t>
  </si>
  <si>
    <t>G-REQ-02893-E2</t>
  </si>
  <si>
    <t>G-REQ-02893-E3</t>
  </si>
  <si>
    <t>G-REQ-02893-E4</t>
  </si>
  <si>
    <t>G-REQ-02894-E1</t>
  </si>
  <si>
    <t>G-REQ-02894-E2</t>
  </si>
  <si>
    <t>SYNTHETIC: Laptop repair; Cancelled; asset G-AST-00289</t>
  </si>
  <si>
    <t>G-REQ-02895-E1</t>
  </si>
  <si>
    <t>G-REQ-02895-E2</t>
  </si>
  <si>
    <t>G-REQ-02895-E3</t>
  </si>
  <si>
    <t>G-REQ-02895-E4</t>
  </si>
  <si>
    <t>G-REQ-02896-E1</t>
  </si>
  <si>
    <t>G-REQ-02896-E2</t>
  </si>
  <si>
    <t>G-REQ-02896-E3</t>
  </si>
  <si>
    <t>G-REQ-02896-E4</t>
  </si>
  <si>
    <t>G-REQ-02897-E1</t>
  </si>
  <si>
    <t>G-REQ-02897-E2</t>
  </si>
  <si>
    <t>G-REQ-02898-E1</t>
  </si>
  <si>
    <t>G-REQ-02898-E2</t>
  </si>
  <si>
    <t>G-REQ-02898-E3</t>
  </si>
  <si>
    <t>G-REQ-02898-E4</t>
  </si>
  <si>
    <t>G-REQ-02899-E1</t>
  </si>
  <si>
    <t>G-REQ-02899-E2</t>
  </si>
  <si>
    <t>G-REQ-02899-E3</t>
  </si>
  <si>
    <t>G-REQ-02899-E4</t>
  </si>
  <si>
    <t>G-REQ-02900-E1</t>
  </si>
  <si>
    <t>G-REQ-02900-E2</t>
  </si>
  <si>
    <t>G-REQ-02900-E3</t>
  </si>
  <si>
    <t>G-REQ-02900-E4</t>
  </si>
  <si>
    <t>G-REQ-02901-E1</t>
  </si>
  <si>
    <t>G-REQ-02901-E2</t>
  </si>
  <si>
    <t>G-REQ-02902-E1</t>
  </si>
  <si>
    <t>G-REQ-02902-E2</t>
  </si>
  <si>
    <t>SYNTHETIC: Laptop repair; Approved; asset G-AST-00380</t>
  </si>
  <si>
    <t>G-REQ-02902-E3</t>
  </si>
  <si>
    <t>SYNTHETIC: Laptop repair; In progress; asset G-AST-00380</t>
  </si>
  <si>
    <t>G-REQ-02902-E4</t>
  </si>
  <si>
    <t>SYNTHETIC: Laptop repair; Completed; asset G-AST-00380</t>
  </si>
  <si>
    <t>G-REQ-02903-E1</t>
  </si>
  <si>
    <t>G-REQ-02903-E2</t>
  </si>
  <si>
    <t>G-REQ-02903-E3</t>
  </si>
  <si>
    <t>G-REQ-02903-E4</t>
  </si>
  <si>
    <t>G-REQ-02904-E1</t>
  </si>
  <si>
    <t>G-REQ-02904-E2</t>
  </si>
  <si>
    <t>G-REQ-02904-E3</t>
  </si>
  <si>
    <t>G-REQ-02904-E4</t>
  </si>
  <si>
    <t>G-REQ-02905-E1</t>
  </si>
  <si>
    <t>G-REQ-02905-E2</t>
  </si>
  <si>
    <t>G-REQ-02905-E3</t>
  </si>
  <si>
    <t>G-REQ-02905-E4</t>
  </si>
  <si>
    <t>G-REQ-02906-E1</t>
  </si>
  <si>
    <t>G-REQ-02906-E2</t>
  </si>
  <si>
    <t>G-REQ-02906-E3</t>
  </si>
  <si>
    <t>G-REQ-02906-E4</t>
  </si>
  <si>
    <t>G-REQ-02907-E1</t>
  </si>
  <si>
    <t>G-REQ-02907-E2</t>
  </si>
  <si>
    <t>G-REQ-02907-E3</t>
  </si>
  <si>
    <t>G-REQ-02907-E4</t>
  </si>
  <si>
    <t>G-REQ-02908-E1</t>
  </si>
  <si>
    <t>SYNTHETIC: Laptop repair; Pending approval; asset G-AST-00296</t>
  </si>
  <si>
    <t>G-REQ-02908-E2</t>
  </si>
  <si>
    <t>SYNTHETIC: Laptop repair; Approved; asset G-AST-00296</t>
  </si>
  <si>
    <t>G-REQ-02908-E3</t>
  </si>
  <si>
    <t>SYNTHETIC: Laptop repair; In progress; asset G-AST-00296</t>
  </si>
  <si>
    <t>G-REQ-02908-E4</t>
  </si>
  <si>
    <t>SYNTHETIC: Laptop repair; Completed; asset G-AST-00296</t>
  </si>
  <si>
    <t>G-REQ-02909-E1</t>
  </si>
  <si>
    <t>G-REQ-02909-E2</t>
  </si>
  <si>
    <t>G-REQ-02909-E3</t>
  </si>
  <si>
    <t>G-REQ-02909-E4</t>
  </si>
  <si>
    <t>G-REQ-02910-E1</t>
  </si>
  <si>
    <t>G-REQ-02910-E2</t>
  </si>
  <si>
    <t>G-REQ-02910-E3</t>
  </si>
  <si>
    <t>G-REQ-02910-E4</t>
  </si>
  <si>
    <t>G-REQ-02911-E1</t>
  </si>
  <si>
    <t>G-REQ-02911-E2</t>
  </si>
  <si>
    <t>G-REQ-02911-E3</t>
  </si>
  <si>
    <t>G-REQ-02911-E4</t>
  </si>
  <si>
    <t>G-REQ-02912-E1</t>
  </si>
  <si>
    <t>G-REQ-02912-E2</t>
  </si>
  <si>
    <t>G-REQ-02912-E3</t>
  </si>
  <si>
    <t>G-REQ-02912-E4</t>
  </si>
  <si>
    <t>G-REQ-02913-E1</t>
  </si>
  <si>
    <t>G-REQ-02913-E2</t>
  </si>
  <si>
    <t>G-REQ-02913-E3</t>
  </si>
  <si>
    <t>G-REQ-02913-E4</t>
  </si>
  <si>
    <t>G-REQ-02914-E1</t>
  </si>
  <si>
    <t>SYNTHETIC: Laptop repair; Pending approval; asset G-AST-00363</t>
  </si>
  <si>
    <t>G-REQ-02914-E2</t>
  </si>
  <si>
    <t>SYNTHETIC: Laptop repair; Approved; asset G-AST-00363</t>
  </si>
  <si>
    <t>G-REQ-02914-E3</t>
  </si>
  <si>
    <t>SYNTHETIC: Laptop repair; In progress; asset G-AST-00363</t>
  </si>
  <si>
    <t>G-REQ-02914-E4</t>
  </si>
  <si>
    <t>SYNTHETIC: Laptop repair; Completed; asset G-AST-00363</t>
  </si>
  <si>
    <t>G-REQ-02915-E1</t>
  </si>
  <si>
    <t>G-REQ-02915-E2</t>
  </si>
  <si>
    <t>G-REQ-02915-E3</t>
  </si>
  <si>
    <t>G-REQ-02915-E4</t>
  </si>
  <si>
    <t>G-REQ-02916-E1</t>
  </si>
  <si>
    <t>G-REQ-02916-E2</t>
  </si>
  <si>
    <t>G-REQ-02916-E3</t>
  </si>
  <si>
    <t>G-REQ-02916-E4</t>
  </si>
  <si>
    <t>G-REQ-02917-E1</t>
  </si>
  <si>
    <t>G-REQ-02917-E2</t>
  </si>
  <si>
    <t>G-REQ-02917-E3</t>
  </si>
  <si>
    <t>G-REQ-02917-E4</t>
  </si>
  <si>
    <t>G-REQ-02918-E1</t>
  </si>
  <si>
    <t>G-REQ-02918-E2</t>
  </si>
  <si>
    <t>G-REQ-02918-E3</t>
  </si>
  <si>
    <t>G-REQ-02918-E4</t>
  </si>
  <si>
    <t>G-REQ-02919-E1</t>
  </si>
  <si>
    <t>G-REQ-02919-E2</t>
  </si>
  <si>
    <t>G-REQ-02919-E3</t>
  </si>
  <si>
    <t>G-REQ-02919-E4</t>
  </si>
  <si>
    <t>G-REQ-02920-E1</t>
  </si>
  <si>
    <t>G-REQ-02920-E2</t>
  </si>
  <si>
    <t>G-REQ-02920-E3</t>
  </si>
  <si>
    <t>G-REQ-02920-E4</t>
  </si>
  <si>
    <t>G-REQ-02921-E1</t>
  </si>
  <si>
    <t>G-REQ-02921-E2</t>
  </si>
  <si>
    <t>G-REQ-02921-E3</t>
  </si>
  <si>
    <t>G-REQ-02921-E4</t>
  </si>
  <si>
    <t>G-REQ-02922-E1</t>
  </si>
  <si>
    <t>G-REQ-02922-E2</t>
  </si>
  <si>
    <t>G-REQ-02922-E3</t>
  </si>
  <si>
    <t>G-REQ-02922-E4</t>
  </si>
  <si>
    <t>G-REQ-02923-E1</t>
  </si>
  <si>
    <t>SYNTHETIC: Laptop repair; Pending approval; asset G-AST-00340</t>
  </si>
  <si>
    <t>G-REQ-02923-E2</t>
  </si>
  <si>
    <t>SYNTHETIC: Laptop repair; Approved; asset G-AST-00340</t>
  </si>
  <si>
    <t>G-REQ-02923-E3</t>
  </si>
  <si>
    <t>SYNTHETIC: Laptop repair; In progress; asset G-AST-00340</t>
  </si>
  <si>
    <t>G-REQ-02923-E4</t>
  </si>
  <si>
    <t>SYNTHETIC: Laptop repair; Completed; asset G-AST-00340</t>
  </si>
  <si>
    <t>G-REQ-02924-E1</t>
  </si>
  <si>
    <t>G-REQ-02924-E2</t>
  </si>
  <si>
    <t>SYNTHETIC: Laptop repair; Rejected; asset G-AST-00026</t>
  </si>
  <si>
    <t>G-REQ-02925-E1</t>
  </si>
  <si>
    <t>G-REQ-02925-E2</t>
  </si>
  <si>
    <t>G-REQ-02925-E3</t>
  </si>
  <si>
    <t>G-REQ-02925-E4</t>
  </si>
  <si>
    <t>G-REQ-02926-E1</t>
  </si>
  <si>
    <t>G-REQ-02926-E2</t>
  </si>
  <si>
    <t>G-REQ-02926-E3</t>
  </si>
  <si>
    <t>G-REQ-02926-E4</t>
  </si>
  <si>
    <t>G-REQ-02927-E1</t>
  </si>
  <si>
    <t>G-REQ-02927-E2</t>
  </si>
  <si>
    <t>G-REQ-02927-E3</t>
  </si>
  <si>
    <t>G-REQ-02927-E4</t>
  </si>
  <si>
    <t>G-REQ-02928-E1</t>
  </si>
  <si>
    <t>G-REQ-02928-E2</t>
  </si>
  <si>
    <t>G-REQ-02928-E3</t>
  </si>
  <si>
    <t>G-REQ-02928-E4</t>
  </si>
  <si>
    <t>G-REQ-02929-E1</t>
  </si>
  <si>
    <t>G-REQ-02929-E2</t>
  </si>
  <si>
    <t>G-REQ-02929-E3</t>
  </si>
  <si>
    <t>G-REQ-02929-E4</t>
  </si>
  <si>
    <t>G-REQ-02930-E1</t>
  </si>
  <si>
    <t>G-REQ-02930-E2</t>
  </si>
  <si>
    <t>G-REQ-02930-E3</t>
  </si>
  <si>
    <t>G-REQ-02930-E4</t>
  </si>
  <si>
    <t>G-REQ-02931-E1</t>
  </si>
  <si>
    <t>G-REQ-02931-E2</t>
  </si>
  <si>
    <t>G-REQ-02931-E3</t>
  </si>
  <si>
    <t>G-REQ-02931-E4</t>
  </si>
  <si>
    <t>G-REQ-02932-E1</t>
  </si>
  <si>
    <t>G-REQ-02932-E2</t>
  </si>
  <si>
    <t>G-REQ-02932-E3</t>
  </si>
  <si>
    <t>G-REQ-02932-E4</t>
  </si>
  <si>
    <t>G-REQ-02933-E1</t>
  </si>
  <si>
    <t>SYNTHETIC: Laptop return; Pending approval; asset G-AST-00083</t>
  </si>
  <si>
    <t>G-REQ-02933-E2</t>
  </si>
  <si>
    <t>SYNTHETIC: Laptop return; Rejected; asset G-AST-00083</t>
  </si>
  <si>
    <t>G-REQ-02934-E1</t>
  </si>
  <si>
    <t>G-REQ-02934-E2</t>
  </si>
  <si>
    <t>G-REQ-02934-E3</t>
  </si>
  <si>
    <t>G-REQ-02934-E4</t>
  </si>
  <si>
    <t>G-REQ-02935-E1</t>
  </si>
  <si>
    <t>G-REQ-02935-E2</t>
  </si>
  <si>
    <t>G-REQ-02935-E3</t>
  </si>
  <si>
    <t>G-REQ-02935-E4</t>
  </si>
  <si>
    <t>G-REQ-02936-E1</t>
  </si>
  <si>
    <t>G-REQ-02936-E2</t>
  </si>
  <si>
    <t>G-REQ-02936-E3</t>
  </si>
  <si>
    <t>G-REQ-02936-E4</t>
  </si>
  <si>
    <t>G-REQ-02937-E1</t>
  </si>
  <si>
    <t>G-REQ-02937-E2</t>
  </si>
  <si>
    <t>G-REQ-02937-E3</t>
  </si>
  <si>
    <t>G-REQ-02937-E4</t>
  </si>
  <si>
    <t>G-REQ-02938-E1</t>
  </si>
  <si>
    <t>G-REQ-02938-E2</t>
  </si>
  <si>
    <t>SYNTHETIC: Laptop return; Cancelled; asset G-AST-00195</t>
  </si>
  <si>
    <t>G-REQ-02939-E1</t>
  </si>
  <si>
    <t>G-REQ-02939-E2</t>
  </si>
  <si>
    <t>G-REQ-02939-E3</t>
  </si>
  <si>
    <t>G-REQ-02939-E4</t>
  </si>
  <si>
    <t>G-REQ-02940-E1</t>
  </si>
  <si>
    <t>SYNTHETIC: Laptop repair; Pending approval; asset G-AST-00302</t>
  </si>
  <si>
    <t>G-REQ-02940-E2</t>
  </si>
  <si>
    <t>SYNTHETIC: Laptop repair; Approved; asset G-AST-00302</t>
  </si>
  <si>
    <t>G-REQ-02940-E3</t>
  </si>
  <si>
    <t>SYNTHETIC: Laptop repair; In progress; asset G-AST-00302</t>
  </si>
  <si>
    <t>G-REQ-02940-E4</t>
  </si>
  <si>
    <t>SYNTHETIC: Laptop repair; Completed; asset G-AST-00302</t>
  </si>
  <si>
    <t>G-REQ-02941-E1</t>
  </si>
  <si>
    <t>G-REQ-02941-E2</t>
  </si>
  <si>
    <t>G-REQ-02941-E3</t>
  </si>
  <si>
    <t>G-REQ-02941-E4</t>
  </si>
  <si>
    <t>G-REQ-02942-E1</t>
  </si>
  <si>
    <t>G-REQ-02942-E2</t>
  </si>
  <si>
    <t>G-REQ-02942-E3</t>
  </si>
  <si>
    <t>G-REQ-02942-E4</t>
  </si>
  <si>
    <t>G-REQ-02943-E1</t>
  </si>
  <si>
    <t>G-REQ-02943-E2</t>
  </si>
  <si>
    <t>G-REQ-02943-E3</t>
  </si>
  <si>
    <t>G-REQ-02943-E4</t>
  </si>
  <si>
    <t>G-REQ-02944-E1</t>
  </si>
  <si>
    <t>G-REQ-02944-E2</t>
  </si>
  <si>
    <t>G-REQ-02944-E3</t>
  </si>
  <si>
    <t>G-REQ-02944-E4</t>
  </si>
  <si>
    <t>G-REQ-02945-E1</t>
  </si>
  <si>
    <t>G-REQ-02945-E2</t>
  </si>
  <si>
    <t>G-REQ-02945-E3</t>
  </si>
  <si>
    <t>G-REQ-02945-E4</t>
  </si>
  <si>
    <t>G-REQ-02946-E1</t>
  </si>
  <si>
    <t>SYNTHETIC: Laptop repair; Pending approval; asset G-AST-00381</t>
  </si>
  <si>
    <t>G-REQ-02946-E2</t>
  </si>
  <si>
    <t>SYNTHETIC: Laptop repair; Approved; asset G-AST-00381</t>
  </si>
  <si>
    <t>G-REQ-02946-E3</t>
  </si>
  <si>
    <t>SYNTHETIC: Laptop repair; In progress; asset G-AST-00381</t>
  </si>
  <si>
    <t>G-REQ-02946-E4</t>
  </si>
  <si>
    <t>SYNTHETIC: Laptop repair; Completed; asset G-AST-00381</t>
  </si>
  <si>
    <t>G-REQ-02947-E1</t>
  </si>
  <si>
    <t>G-REQ-02947-E2</t>
  </si>
  <si>
    <t>G-REQ-02947-E3</t>
  </si>
  <si>
    <t>G-REQ-02947-E4</t>
  </si>
  <si>
    <t>G-REQ-02948-E1</t>
  </si>
  <si>
    <t>G-REQ-02948-E2</t>
  </si>
  <si>
    <t>G-REQ-02948-E3</t>
  </si>
  <si>
    <t>G-REQ-02948-E4</t>
  </si>
  <si>
    <t>G-REQ-02949-E1</t>
  </si>
  <si>
    <t>SYNTHETIC: Laptop repair; Pending approval; asset G-AST-00315</t>
  </si>
  <si>
    <t>G-REQ-02949-E2</t>
  </si>
  <si>
    <t>SYNTHETIC: Laptop repair; Approved; asset G-AST-00315</t>
  </si>
  <si>
    <t>G-REQ-02949-E3</t>
  </si>
  <si>
    <t>SYNTHETIC: Laptop repair; In progress; asset G-AST-00315</t>
  </si>
  <si>
    <t>G-REQ-02949-E4</t>
  </si>
  <si>
    <t>SYNTHETIC: Laptop repair; Completed; asset G-AST-00315</t>
  </si>
  <si>
    <t>G-REQ-02950-E1</t>
  </si>
  <si>
    <t>G-REQ-02950-E2</t>
  </si>
  <si>
    <t>G-REQ-02950-E3</t>
  </si>
  <si>
    <t>G-REQ-02950-E4</t>
  </si>
  <si>
    <t>G-REQ-02951-E1</t>
  </si>
  <si>
    <t>G-REQ-02951-E2</t>
  </si>
  <si>
    <t>G-REQ-02951-E3</t>
  </si>
  <si>
    <t>G-REQ-02951-E4</t>
  </si>
  <si>
    <t>G-REQ-02952-E1</t>
  </si>
  <si>
    <t>G-REQ-02952-E2</t>
  </si>
  <si>
    <t>G-REQ-02952-E3</t>
  </si>
  <si>
    <t>G-REQ-02952-E4</t>
  </si>
  <si>
    <t>G-REQ-02953-E1</t>
  </si>
  <si>
    <t>SYNTHETIC: Laptop return; Pending approval; asset G-AST-00335</t>
  </si>
  <si>
    <t>G-REQ-02953-E2</t>
  </si>
  <si>
    <t>SYNTHETIC: Laptop return; Approved; asset G-AST-00335</t>
  </si>
  <si>
    <t>G-REQ-02953-E3</t>
  </si>
  <si>
    <t>SYNTHETIC: Laptop return; In progress; asset G-AST-00335</t>
  </si>
  <si>
    <t>G-REQ-02953-E4</t>
  </si>
  <si>
    <t>SYNTHETIC: Laptop return; Completed; asset G-AST-00335</t>
  </si>
  <si>
    <t>G-REQ-02954-E1</t>
  </si>
  <si>
    <t>G-REQ-02954-E2</t>
  </si>
  <si>
    <t>G-REQ-02955-E1</t>
  </si>
  <si>
    <t>SYNTHETIC: Laptop return; Pending approval; asset G-AST-00473</t>
  </si>
  <si>
    <t>G-REQ-02955-E2</t>
  </si>
  <si>
    <t>SYNTHETIC: Laptop return; Approved; asset G-AST-00473</t>
  </si>
  <si>
    <t>G-REQ-02955-E3</t>
  </si>
  <si>
    <t>SYNTHETIC: Laptop return; In progress; asset G-AST-00473</t>
  </si>
  <si>
    <t>G-REQ-02955-E4</t>
  </si>
  <si>
    <t>SYNTHETIC: Laptop return; Completed; asset G-AST-00473</t>
  </si>
  <si>
    <t>G-REQ-02956-E1</t>
  </si>
  <si>
    <t>G-REQ-02956-E2</t>
  </si>
  <si>
    <t>G-REQ-02956-E3</t>
  </si>
  <si>
    <t>G-REQ-02956-E4</t>
  </si>
  <si>
    <t>G-REQ-02957-E1</t>
  </si>
  <si>
    <t>SYNTHETIC: Laptop return; Pending approval; asset G-AST-00499</t>
  </si>
  <si>
    <t>G-REQ-02957-E2</t>
  </si>
  <si>
    <t>SYNTHETIC: Laptop return; Approved; asset G-AST-00499</t>
  </si>
  <si>
    <t>G-REQ-02957-E3</t>
  </si>
  <si>
    <t>SYNTHETIC: Laptop return; In progress; asset G-AST-00499</t>
  </si>
  <si>
    <t>G-REQ-02957-E4</t>
  </si>
  <si>
    <t>SYNTHETIC: Laptop return; Completed; asset G-AST-00499</t>
  </si>
  <si>
    <t>G-REQ-02958-E1</t>
  </si>
  <si>
    <t>G-REQ-02958-E2</t>
  </si>
  <si>
    <t>G-REQ-02958-E3</t>
  </si>
  <si>
    <t>G-REQ-02958-E4</t>
  </si>
  <si>
    <t>G-REQ-02959-E1</t>
  </si>
  <si>
    <t>G-REQ-02959-E2</t>
  </si>
  <si>
    <t>G-REQ-02959-E3</t>
  </si>
  <si>
    <t>G-REQ-02959-E4</t>
  </si>
  <si>
    <t>G-REQ-02960-E1</t>
  </si>
  <si>
    <t>G-REQ-02960-E2</t>
  </si>
  <si>
    <t>G-REQ-02960-E3</t>
  </si>
  <si>
    <t>G-REQ-02960-E4</t>
  </si>
  <si>
    <t>G-REQ-02961-E1</t>
  </si>
  <si>
    <t>G-REQ-02961-E2</t>
  </si>
  <si>
    <t>G-REQ-02961-E3</t>
  </si>
  <si>
    <t>G-REQ-02961-E4</t>
  </si>
  <si>
    <t>G-REQ-02962-E1</t>
  </si>
  <si>
    <t>G-REQ-02962-E2</t>
  </si>
  <si>
    <t>G-REQ-02962-E3</t>
  </si>
  <si>
    <t>G-REQ-02962-E4</t>
  </si>
  <si>
    <t>G-REQ-02963-E1</t>
  </si>
  <si>
    <t>G-REQ-02963-E2</t>
  </si>
  <si>
    <t>G-REQ-02963-E3</t>
  </si>
  <si>
    <t>G-REQ-02963-E4</t>
  </si>
  <si>
    <t>G-REQ-02964-E1</t>
  </si>
  <si>
    <t>SYNTHETIC: Laptop repair; Pending approval; asset G-AST-00366</t>
  </si>
  <si>
    <t>G-REQ-02964-E2</t>
  </si>
  <si>
    <t>SYNTHETIC: Laptop repair; Approved; asset G-AST-00366</t>
  </si>
  <si>
    <t>G-REQ-02964-E3</t>
  </si>
  <si>
    <t>SYNTHETIC: Laptop repair; In progress; asset G-AST-00366</t>
  </si>
  <si>
    <t>G-REQ-02964-E4</t>
  </si>
  <si>
    <t>SYNTHETIC: Laptop repair; Completed; asset G-AST-00366</t>
  </si>
  <si>
    <t>G-REQ-02965-E1</t>
  </si>
  <si>
    <t>G-REQ-02965-E2</t>
  </si>
  <si>
    <t>G-REQ-02965-E3</t>
  </si>
  <si>
    <t>G-REQ-02965-E4</t>
  </si>
  <si>
    <t>G-REQ-02966-E1</t>
  </si>
  <si>
    <t>G-REQ-02966-E2</t>
  </si>
  <si>
    <t>G-REQ-02966-E3</t>
  </si>
  <si>
    <t>G-REQ-02966-E4</t>
  </si>
  <si>
    <t>G-REQ-02967-E1</t>
  </si>
  <si>
    <t>G-REQ-02967-E2</t>
  </si>
  <si>
    <t>G-REQ-02967-E3</t>
  </si>
  <si>
    <t>G-REQ-02967-E4</t>
  </si>
  <si>
    <t>G-REQ-02968-E1</t>
  </si>
  <si>
    <t>G-REQ-02968-E2</t>
  </si>
  <si>
    <t>G-REQ-02968-E3</t>
  </si>
  <si>
    <t>G-REQ-02968-E4</t>
  </si>
  <si>
    <t>G-REQ-02969-E1</t>
  </si>
  <si>
    <t>G-REQ-02969-E2</t>
  </si>
  <si>
    <t>G-REQ-02969-E3</t>
  </si>
  <si>
    <t>G-REQ-02969-E4</t>
  </si>
  <si>
    <t>G-REQ-02970-E1</t>
  </si>
  <si>
    <t>G-REQ-02970-E2</t>
  </si>
  <si>
    <t>G-REQ-02970-E3</t>
  </si>
  <si>
    <t>G-REQ-02970-E4</t>
  </si>
  <si>
    <t>G-REQ-02971-E1</t>
  </si>
  <si>
    <t>G-REQ-02971-E2</t>
  </si>
  <si>
    <t>G-REQ-02971-E3</t>
  </si>
  <si>
    <t>G-REQ-02971-E4</t>
  </si>
  <si>
    <t>G-REQ-02972-E1</t>
  </si>
  <si>
    <t>G-REQ-02972-E2</t>
  </si>
  <si>
    <t>G-REQ-02972-E3</t>
  </si>
  <si>
    <t>G-REQ-02972-E4</t>
  </si>
  <si>
    <t>G-REQ-02973-E1</t>
  </si>
  <si>
    <t>G-REQ-02973-E2</t>
  </si>
  <si>
    <t>G-REQ-02973-E3</t>
  </si>
  <si>
    <t>G-REQ-02973-E4</t>
  </si>
  <si>
    <t>G-REQ-02974-E1</t>
  </si>
  <si>
    <t>G-REQ-02974-E2</t>
  </si>
  <si>
    <t>G-REQ-02974-E3</t>
  </si>
  <si>
    <t>G-REQ-02974-E4</t>
  </si>
  <si>
    <t>G-REQ-02975-E1</t>
  </si>
  <si>
    <t>G-REQ-02975-E2</t>
  </si>
  <si>
    <t>G-REQ-02975-E3</t>
  </si>
  <si>
    <t>G-REQ-02975-E4</t>
  </si>
  <si>
    <t>G-REQ-02976-E1</t>
  </si>
  <si>
    <t>G-REQ-02976-E2</t>
  </si>
  <si>
    <t>G-REQ-02976-E3</t>
  </si>
  <si>
    <t>G-REQ-02976-E4</t>
  </si>
  <si>
    <t>G-REQ-02977-E1</t>
  </si>
  <si>
    <t>G-REQ-02977-E2</t>
  </si>
  <si>
    <t>G-REQ-02977-E3</t>
  </si>
  <si>
    <t>G-REQ-02977-E4</t>
  </si>
  <si>
    <t>G-REQ-02978-E1</t>
  </si>
  <si>
    <t>G-REQ-02978-E2</t>
  </si>
  <si>
    <t>G-REQ-02978-E3</t>
  </si>
  <si>
    <t>G-REQ-02978-E4</t>
  </si>
  <si>
    <t>G-REQ-02979-E1</t>
  </si>
  <si>
    <t>G-REQ-02979-E2</t>
  </si>
  <si>
    <t>G-REQ-02979-E3</t>
  </si>
  <si>
    <t>G-REQ-02979-E4</t>
  </si>
  <si>
    <t>G-REQ-02980-E1</t>
  </si>
  <si>
    <t>G-REQ-02980-E2</t>
  </si>
  <si>
    <t>G-REQ-02980-E3</t>
  </si>
  <si>
    <t>G-REQ-02980-E4</t>
  </si>
  <si>
    <t>G-REQ-02981-E1</t>
  </si>
  <si>
    <t>G-REQ-02981-E2</t>
  </si>
  <si>
    <t>G-REQ-02981-E3</t>
  </si>
  <si>
    <t>G-REQ-02981-E4</t>
  </si>
  <si>
    <t>G-REQ-02982-E1</t>
  </si>
  <si>
    <t>G-REQ-02982-E2</t>
  </si>
  <si>
    <t>G-REQ-02982-E3</t>
  </si>
  <si>
    <t>G-REQ-02982-E4</t>
  </si>
  <si>
    <t>G-REQ-02983-E1</t>
  </si>
  <si>
    <t>G-REQ-02983-E2</t>
  </si>
  <si>
    <t>G-REQ-02983-E3</t>
  </si>
  <si>
    <t>G-REQ-02983-E4</t>
  </si>
  <si>
    <t>G-REQ-02984-E1</t>
  </si>
  <si>
    <t>G-REQ-02984-E2</t>
  </si>
  <si>
    <t>G-REQ-02984-E3</t>
  </si>
  <si>
    <t>G-REQ-02984-E4</t>
  </si>
  <si>
    <t>G-REQ-02985-E1</t>
  </si>
  <si>
    <t>G-REQ-02985-E2</t>
  </si>
  <si>
    <t>G-REQ-02985-E3</t>
  </si>
  <si>
    <t>G-REQ-02985-E4</t>
  </si>
  <si>
    <t>G-REQ-02986-E1</t>
  </si>
  <si>
    <t>G-REQ-02986-E2</t>
  </si>
  <si>
    <t>G-REQ-02986-E3</t>
  </si>
  <si>
    <t>G-REQ-02986-E4</t>
  </si>
  <si>
    <t>G-REQ-02987-E1</t>
  </si>
  <si>
    <t>G-REQ-02987-E2</t>
  </si>
  <si>
    <t>G-REQ-02987-E3</t>
  </si>
  <si>
    <t>G-REQ-02987-E4</t>
  </si>
  <si>
    <t>G-REQ-02988-E1</t>
  </si>
  <si>
    <t>G-REQ-02988-E2</t>
  </si>
  <si>
    <t>G-REQ-02988-E3</t>
  </si>
  <si>
    <t>G-REQ-02988-E4</t>
  </si>
  <si>
    <t>G-REQ-02989-E1</t>
  </si>
  <si>
    <t>G-REQ-02989-E2</t>
  </si>
  <si>
    <t>G-REQ-02989-E3</t>
  </si>
  <si>
    <t>G-REQ-02989-E4</t>
  </si>
  <si>
    <t>G-REQ-02990-E1</t>
  </si>
  <si>
    <t>G-REQ-02990-E2</t>
  </si>
  <si>
    <t>G-REQ-02990-E3</t>
  </si>
  <si>
    <t>G-REQ-02990-E4</t>
  </si>
  <si>
    <t>G-REQ-02991-E1</t>
  </si>
  <si>
    <t>G-REQ-02991-E2</t>
  </si>
  <si>
    <t>G-REQ-02991-E3</t>
  </si>
  <si>
    <t>G-REQ-02991-E4</t>
  </si>
  <si>
    <t>G-REQ-02992-E1</t>
  </si>
  <si>
    <t>G-REQ-02992-E2</t>
  </si>
  <si>
    <t>SYNTHETIC: Laptop repair; Rejected; asset G-AST-00373</t>
  </si>
  <si>
    <t>G-REQ-02993-E1</t>
  </si>
  <si>
    <t>G-REQ-02993-E2</t>
  </si>
  <si>
    <t>G-REQ-02993-E3</t>
  </si>
  <si>
    <t>G-REQ-02993-E4</t>
  </si>
  <si>
    <t>G-REQ-02994-E1</t>
  </si>
  <si>
    <t>SYNTHETIC: Laptop repair; Pending approval; asset G-AST-00395</t>
  </si>
  <si>
    <t>G-REQ-02994-E2</t>
  </si>
  <si>
    <t>SYNTHETIC: Laptop repair; Approved; asset G-AST-00395</t>
  </si>
  <si>
    <t>G-REQ-02994-E3</t>
  </si>
  <si>
    <t>SYNTHETIC: Laptop repair; In progress; asset G-AST-00395</t>
  </si>
  <si>
    <t>G-REQ-02994-E4</t>
  </si>
  <si>
    <t>SYNTHETIC: Laptop repair; Completed; asset G-AST-00395</t>
  </si>
  <si>
    <t>G-REQ-02995-E1</t>
  </si>
  <si>
    <t>G-REQ-02995-E2</t>
  </si>
  <si>
    <t>G-REQ-02995-E3</t>
  </si>
  <si>
    <t>G-REQ-02995-E4</t>
  </si>
  <si>
    <t>G-REQ-02996-E1</t>
  </si>
  <si>
    <t>SYNTHETIC: Laptop repair; Pending approval; asset G-AST-00231</t>
  </si>
  <si>
    <t>G-REQ-02996-E2</t>
  </si>
  <si>
    <t>SYNTHETIC: Laptop repair; Approved; asset G-AST-00231</t>
  </si>
  <si>
    <t>G-REQ-02996-E3</t>
  </si>
  <si>
    <t>SYNTHETIC: Laptop repair; In progress; asset G-AST-00231</t>
  </si>
  <si>
    <t>G-REQ-02996-E4</t>
  </si>
  <si>
    <t>SYNTHETIC: Laptop repair; Completed; asset G-AST-00231</t>
  </si>
  <si>
    <t>G-REQ-02997-E1</t>
  </si>
  <si>
    <t>G-REQ-02997-E2</t>
  </si>
  <si>
    <t>G-REQ-02997-E3</t>
  </si>
  <si>
    <t>G-REQ-02997-E4</t>
  </si>
  <si>
    <t>G-REQ-02998-E1</t>
  </si>
  <si>
    <t>G-REQ-02998-E2</t>
  </si>
  <si>
    <t>G-REQ-02998-E3</t>
  </si>
  <si>
    <t>G-REQ-02998-E4</t>
  </si>
  <si>
    <t>G-REQ-02999-E1</t>
  </si>
  <si>
    <t>G-REQ-02999-E2</t>
  </si>
  <si>
    <t>G-REQ-02999-E3</t>
  </si>
  <si>
    <t>G-REQ-02999-E4</t>
  </si>
  <si>
    <t>G-REQ-03000-E1</t>
  </si>
  <si>
    <t>G-REQ-03000-E2</t>
  </si>
  <si>
    <t>G-REQ-03000-E3</t>
  </si>
  <si>
    <t>G-REQ-03000-E4</t>
  </si>
  <si>
    <t>G-REQ-03001-E1</t>
  </si>
  <si>
    <t>G-REQ-03001-E2</t>
  </si>
  <si>
    <t>G-REQ-03001-E3</t>
  </si>
  <si>
    <t>G-REQ-03001-E4</t>
  </si>
  <si>
    <t>G-REQ-03002-E1</t>
  </si>
  <si>
    <t>G-REQ-03002-E2</t>
  </si>
  <si>
    <t>G-REQ-03002-E3</t>
  </si>
  <si>
    <t>G-REQ-03002-E4</t>
  </si>
  <si>
    <t>G-REQ-03003-E1</t>
  </si>
  <si>
    <t>G-REQ-03003-E2</t>
  </si>
  <si>
    <t>G-REQ-03004-E1</t>
  </si>
  <si>
    <t>G-REQ-03004-E2</t>
  </si>
  <si>
    <t>G-REQ-03004-E3</t>
  </si>
  <si>
    <t>G-REQ-03004-E4</t>
  </si>
  <si>
    <t>G-REQ-03005-E1</t>
  </si>
  <si>
    <t>G-REQ-03005-E2</t>
  </si>
  <si>
    <t>G-REQ-03005-E3</t>
  </si>
  <si>
    <t>G-REQ-03005-E4</t>
  </si>
  <si>
    <t>G-REQ-03006-E1</t>
  </si>
  <si>
    <t>G-REQ-03006-E2</t>
  </si>
  <si>
    <t>G-REQ-03006-E3</t>
  </si>
  <si>
    <t>G-REQ-03006-E4</t>
  </si>
  <si>
    <t>G-REQ-03007-E1</t>
  </si>
  <si>
    <t>G-REQ-03007-E2</t>
  </si>
  <si>
    <t>G-REQ-03007-E3</t>
  </si>
  <si>
    <t>G-REQ-03007-E4</t>
  </si>
  <si>
    <t>G-REQ-03008-E1</t>
  </si>
  <si>
    <t>G-REQ-03008-E2</t>
  </si>
  <si>
    <t>G-REQ-03008-E3</t>
  </si>
  <si>
    <t>G-REQ-03008-E4</t>
  </si>
  <si>
    <t>G-REQ-03009-E1</t>
  </si>
  <si>
    <t>G-REQ-03009-E2</t>
  </si>
  <si>
    <t>SYNTHETIC: Laptop repair; Approved; asset G-AST-00351</t>
  </si>
  <si>
    <t>G-REQ-03009-E3</t>
  </si>
  <si>
    <t>SYNTHETIC: Laptop repair; In progress; asset G-AST-00351</t>
  </si>
  <si>
    <t>G-REQ-03009-E4</t>
  </si>
  <si>
    <t>SYNTHETIC: Laptop repair; Completed; asset G-AST-00351</t>
  </si>
  <si>
    <t>G-REQ-03010-E1</t>
  </si>
  <si>
    <t>G-REQ-03010-E2</t>
  </si>
  <si>
    <t>G-REQ-03010-E3</t>
  </si>
  <si>
    <t>G-REQ-03010-E4</t>
  </si>
  <si>
    <t>G-REQ-03011-E1</t>
  </si>
  <si>
    <t>SYNTHETIC: Laptop return; Pending approval; asset G-AST-00159</t>
  </si>
  <si>
    <t>G-REQ-03011-E2</t>
  </si>
  <si>
    <t>SYNTHETIC: Laptop return; Approved; asset G-AST-00159</t>
  </si>
  <si>
    <t>G-REQ-03011-E3</t>
  </si>
  <si>
    <t>SYNTHETIC: Laptop return; In progress; asset G-AST-00159</t>
  </si>
  <si>
    <t>G-REQ-03011-E4</t>
  </si>
  <si>
    <t>SYNTHETIC: Laptop return; Completed; asset G-AST-00159</t>
  </si>
  <si>
    <t>G-REQ-03012-E1</t>
  </si>
  <si>
    <t>G-REQ-03012-E2</t>
  </si>
  <si>
    <t>SYNTHETIC: Laptop return; Rejected; asset G-AST-00197</t>
  </si>
  <si>
    <t>G-REQ-03013-E1</t>
  </si>
  <si>
    <t>SYNTHETIC: Laptop repair; Pending approval; asset G-AST-00208</t>
  </si>
  <si>
    <t>G-REQ-03013-E2</t>
  </si>
  <si>
    <t>SYNTHETIC: Laptop repair; Approved; asset G-AST-00208</t>
  </si>
  <si>
    <t>G-REQ-03013-E3</t>
  </si>
  <si>
    <t>SYNTHETIC: Laptop repair; In progress; asset G-AST-00208</t>
  </si>
  <si>
    <t>G-REQ-03013-E4</t>
  </si>
  <si>
    <t>SYNTHETIC: Laptop repair; Completed; asset G-AST-00208</t>
  </si>
  <si>
    <t>G-REQ-03014-E1</t>
  </si>
  <si>
    <t>G-REQ-03014-E2</t>
  </si>
  <si>
    <t>G-REQ-03014-E3</t>
  </si>
  <si>
    <t>G-REQ-03014-E4</t>
  </si>
  <si>
    <t>G-REQ-03015-E1</t>
  </si>
  <si>
    <t>G-REQ-03015-E2</t>
  </si>
  <si>
    <t>G-REQ-03015-E3</t>
  </si>
  <si>
    <t>G-REQ-03015-E4</t>
  </si>
  <si>
    <t>G-REQ-03016-E1</t>
  </si>
  <si>
    <t>G-REQ-03016-E2</t>
  </si>
  <si>
    <t>G-REQ-03016-E3</t>
  </si>
  <si>
    <t>G-REQ-03016-E4</t>
  </si>
  <si>
    <t>G-REQ-03017-E1</t>
  </si>
  <si>
    <t>G-REQ-03017-E2</t>
  </si>
  <si>
    <t>G-REQ-03017-E3</t>
  </si>
  <si>
    <t>G-REQ-03017-E4</t>
  </si>
  <si>
    <t>G-REQ-03018-E1</t>
  </si>
  <si>
    <t>G-REQ-03018-E2</t>
  </si>
  <si>
    <t>G-REQ-03018-E3</t>
  </si>
  <si>
    <t>G-REQ-03018-E4</t>
  </si>
  <si>
    <t>G-REQ-03019-E1</t>
  </si>
  <si>
    <t>G-REQ-03019-E2</t>
  </si>
  <si>
    <t>G-REQ-03019-E3</t>
  </si>
  <si>
    <t>G-REQ-03019-E4</t>
  </si>
  <si>
    <t>G-REQ-03020-E1</t>
  </si>
  <si>
    <t>SYNTHETIC: Laptop return; Pending approval; asset G-AST-00128</t>
  </si>
  <si>
    <t>G-REQ-03020-E2</t>
  </si>
  <si>
    <t>SYNTHETIC: Laptop return; Approved; asset G-AST-00128</t>
  </si>
  <si>
    <t>G-REQ-03020-E3</t>
  </si>
  <si>
    <t>SYNTHETIC: Laptop return; In progress; asset G-AST-00128</t>
  </si>
  <si>
    <t>G-REQ-03020-E4</t>
  </si>
  <si>
    <t>SYNTHETIC: Laptop return; Completed; asset G-AST-00128</t>
  </si>
  <si>
    <t>G-REQ-03021-E1</t>
  </si>
  <si>
    <t>G-REQ-03021-E2</t>
  </si>
  <si>
    <t>G-REQ-03021-E3</t>
  </si>
  <si>
    <t>G-REQ-03021-E4</t>
  </si>
  <si>
    <t>G-REQ-03022-E1</t>
  </si>
  <si>
    <t>G-REQ-03022-E2</t>
  </si>
  <si>
    <t>G-REQ-03022-E3</t>
  </si>
  <si>
    <t>G-REQ-03022-E4</t>
  </si>
  <si>
    <t>G-REQ-03023-E1</t>
  </si>
  <si>
    <t>G-REQ-03023-E2</t>
  </si>
  <si>
    <t>G-REQ-03023-E3</t>
  </si>
  <si>
    <t>G-REQ-03023-E4</t>
  </si>
  <si>
    <t>G-REQ-03024-E1</t>
  </si>
  <si>
    <t>G-REQ-03024-E2</t>
  </si>
  <si>
    <t>G-REQ-03024-E3</t>
  </si>
  <si>
    <t>G-REQ-03024-E4</t>
  </si>
  <si>
    <t>G-REQ-03025-E1</t>
  </si>
  <si>
    <t>G-REQ-03025-E2</t>
  </si>
  <si>
    <t>SYNTHETIC: Laptop repair; Approved; asset G-AST-00275</t>
  </si>
  <si>
    <t>G-REQ-03025-E3</t>
  </si>
  <si>
    <t>SYNTHETIC: Laptop repair; In progress; asset G-AST-00275</t>
  </si>
  <si>
    <t>G-REQ-03025-E4</t>
  </si>
  <si>
    <t>SYNTHETIC: Laptop repair; Completed; asset G-AST-00275</t>
  </si>
  <si>
    <t>G-REQ-03026-E1</t>
  </si>
  <si>
    <t>G-REQ-03026-E2</t>
  </si>
  <si>
    <t>G-REQ-03026-E3</t>
  </si>
  <si>
    <t>G-REQ-03026-E4</t>
  </si>
  <si>
    <t>G-REQ-03027-E1</t>
  </si>
  <si>
    <t>G-REQ-03027-E2</t>
  </si>
  <si>
    <t>G-REQ-03027-E3</t>
  </si>
  <si>
    <t>G-REQ-03027-E4</t>
  </si>
  <si>
    <t>G-REQ-03028-E1</t>
  </si>
  <si>
    <t>G-REQ-03028-E2</t>
  </si>
  <si>
    <t>G-REQ-03028-E3</t>
  </si>
  <si>
    <t>G-REQ-03028-E4</t>
  </si>
  <si>
    <t>G-REQ-03029-E1</t>
  </si>
  <si>
    <t>G-REQ-03029-E2</t>
  </si>
  <si>
    <t>G-REQ-03029-E3</t>
  </si>
  <si>
    <t>G-REQ-03029-E4</t>
  </si>
  <si>
    <t>G-REQ-03030-E1</t>
  </si>
  <si>
    <t>G-REQ-03030-E2</t>
  </si>
  <si>
    <t>G-REQ-03030-E3</t>
  </si>
  <si>
    <t>G-REQ-03030-E4</t>
  </si>
  <si>
    <t>G-REQ-03031-E1</t>
  </si>
  <si>
    <t>G-REQ-03031-E2</t>
  </si>
  <si>
    <t>SYNTHETIC: Laptop repair; Approved; asset G-AST-00102</t>
  </si>
  <si>
    <t>G-REQ-03031-E3</t>
  </si>
  <si>
    <t>SYNTHETIC: Laptop repair; In progress; asset G-AST-00102</t>
  </si>
  <si>
    <t>G-REQ-03031-E4</t>
  </si>
  <si>
    <t>SYNTHETIC: Laptop repair; Completed; asset G-AST-00102</t>
  </si>
  <si>
    <t>G-REQ-03032-E1</t>
  </si>
  <si>
    <t>G-REQ-03032-E2</t>
  </si>
  <si>
    <t>G-REQ-03032-E3</t>
  </si>
  <si>
    <t>G-REQ-03032-E4</t>
  </si>
  <si>
    <t>G-REQ-03033-E1</t>
  </si>
  <si>
    <t>G-REQ-03033-E2</t>
  </si>
  <si>
    <t>G-REQ-03033-E3</t>
  </si>
  <si>
    <t>G-REQ-03033-E4</t>
  </si>
  <si>
    <t>G-REQ-03034-E1</t>
  </si>
  <si>
    <t>G-REQ-03034-E2</t>
  </si>
  <si>
    <t>G-REQ-03034-E3</t>
  </si>
  <si>
    <t>G-REQ-03034-E4</t>
  </si>
  <si>
    <t>G-REQ-03035-E1</t>
  </si>
  <si>
    <t>G-REQ-03035-E2</t>
  </si>
  <si>
    <t>G-REQ-03035-E3</t>
  </si>
  <si>
    <t>G-REQ-03035-E4</t>
  </si>
  <si>
    <t>G-REQ-03036-E1</t>
  </si>
  <si>
    <t>G-REQ-03036-E2</t>
  </si>
  <si>
    <t>SYNTHETIC: Laptop repair; Rejected; asset G-AST-00318</t>
  </si>
  <si>
    <t>G-REQ-03037-E1</t>
  </si>
  <si>
    <t>SYNTHETIC: Laptop repair; Pending approval; asset G-AST-00393</t>
  </si>
  <si>
    <t>G-REQ-03037-E2</t>
  </si>
  <si>
    <t>SYNTHETIC: Laptop repair; Approved; asset G-AST-00393</t>
  </si>
  <si>
    <t>G-REQ-03037-E3</t>
  </si>
  <si>
    <t>SYNTHETIC: Laptop repair; In progress; asset G-AST-00393</t>
  </si>
  <si>
    <t>G-REQ-03037-E4</t>
  </si>
  <si>
    <t>SYNTHETIC: Laptop repair; Completed; asset G-AST-00393</t>
  </si>
  <si>
    <t>G-REQ-03038-E1</t>
  </si>
  <si>
    <t>SYNTHETIC: Laptop repair; Pending approval; asset G-AST-00118</t>
  </si>
  <si>
    <t>G-REQ-03038-E2</t>
  </si>
  <si>
    <t>SYNTHETIC: Laptop repair; Approved; asset G-AST-00118</t>
  </si>
  <si>
    <t>G-REQ-03038-E3</t>
  </si>
  <si>
    <t>SYNTHETIC: Laptop repair; In progress; asset G-AST-00118</t>
  </si>
  <si>
    <t>G-REQ-03038-E4</t>
  </si>
  <si>
    <t>SYNTHETIC: Laptop repair; Completed; asset G-AST-00118</t>
  </si>
  <si>
    <t>G-REQ-03039-E1</t>
  </si>
  <si>
    <t>G-REQ-03039-E2</t>
  </si>
  <si>
    <t>G-REQ-03039-E3</t>
  </si>
  <si>
    <t>G-REQ-03039-E4</t>
  </si>
  <si>
    <t>G-REQ-03040-E1</t>
  </si>
  <si>
    <t>G-REQ-03040-E2</t>
  </si>
  <si>
    <t>G-REQ-03040-E3</t>
  </si>
  <si>
    <t>G-REQ-03040-E4</t>
  </si>
  <si>
    <t>G-REQ-03041-E1</t>
  </si>
  <si>
    <t>G-REQ-03041-E2</t>
  </si>
  <si>
    <t>G-REQ-03041-E3</t>
  </si>
  <si>
    <t>G-REQ-03041-E4</t>
  </si>
  <si>
    <t>G-REQ-03042-E1</t>
  </si>
  <si>
    <t>G-REQ-03042-E2</t>
  </si>
  <si>
    <t>G-REQ-03042-E3</t>
  </si>
  <si>
    <t>G-REQ-03042-E4</t>
  </si>
  <si>
    <t>G-REQ-03043-E1</t>
  </si>
  <si>
    <t>G-REQ-03043-E2</t>
  </si>
  <si>
    <t>G-REQ-03043-E3</t>
  </si>
  <si>
    <t>G-REQ-03043-E4</t>
  </si>
  <si>
    <t>G-REQ-03044-E1</t>
  </si>
  <si>
    <t>G-REQ-03044-E2</t>
  </si>
  <si>
    <t>G-REQ-03044-E3</t>
  </si>
  <si>
    <t>G-REQ-03044-E4</t>
  </si>
  <si>
    <t>G-REQ-03045-E1</t>
  </si>
  <si>
    <t>G-REQ-03045-E2</t>
  </si>
  <si>
    <t>SYNTHETIC: Laptop return; Cancelled; asset G-AST-00118</t>
  </si>
  <si>
    <t>G-REQ-03046-E1</t>
  </si>
  <si>
    <t>G-REQ-03046-E2</t>
  </si>
  <si>
    <t>G-REQ-03047-E1</t>
  </si>
  <si>
    <t>G-REQ-03047-E2</t>
  </si>
  <si>
    <t>G-REQ-03047-E3</t>
  </si>
  <si>
    <t>G-REQ-03047-E4</t>
  </si>
  <si>
    <t>G-REQ-03048-E1</t>
  </si>
  <si>
    <t>G-REQ-03048-E2</t>
  </si>
  <si>
    <t>G-REQ-03048-E3</t>
  </si>
  <si>
    <t>G-REQ-03048-E4</t>
  </si>
  <si>
    <t>G-REQ-03049-E1</t>
  </si>
  <si>
    <t>G-REQ-03049-E2</t>
  </si>
  <si>
    <t>G-REQ-03049-E3</t>
  </si>
  <si>
    <t>G-REQ-03049-E4</t>
  </si>
  <si>
    <t>G-REQ-03050-E1</t>
  </si>
  <si>
    <t>G-REQ-03050-E2</t>
  </si>
  <si>
    <t>G-REQ-03050-E3</t>
  </si>
  <si>
    <t>G-REQ-03050-E4</t>
  </si>
  <si>
    <t>G-REQ-03051-E1</t>
  </si>
  <si>
    <t>G-REQ-03051-E2</t>
  </si>
  <si>
    <t>SYNTHETIC: Laptop return; Rejected; asset G-AST-00407</t>
  </si>
  <si>
    <t>G-REQ-03052-E1</t>
  </si>
  <si>
    <t>G-REQ-03052-E2</t>
  </si>
  <si>
    <t>SYNTHETIC: Laptop return; Cancelled; asset G-AST-00266</t>
  </si>
  <si>
    <t>G-REQ-03053-E1</t>
  </si>
  <si>
    <t>G-REQ-03053-E2</t>
  </si>
  <si>
    <t>G-REQ-03053-E3</t>
  </si>
  <si>
    <t>G-REQ-03053-E4</t>
  </si>
  <si>
    <t>G-REQ-03054-E1</t>
  </si>
  <si>
    <t>G-REQ-03054-E2</t>
  </si>
  <si>
    <t>G-REQ-03054-E3</t>
  </si>
  <si>
    <t>G-REQ-03054-E4</t>
  </si>
  <si>
    <t>G-REQ-03055-E1</t>
  </si>
  <si>
    <t>G-REQ-03055-E2</t>
  </si>
  <si>
    <t>G-REQ-03055-E3</t>
  </si>
  <si>
    <t>G-REQ-03055-E4</t>
  </si>
  <si>
    <t>G-REQ-03056-E1</t>
  </si>
  <si>
    <t>G-REQ-03056-E2</t>
  </si>
  <si>
    <t>G-REQ-03057-E1</t>
  </si>
  <si>
    <t>SYNTHETIC: Laptop repair; Pending approval; asset G-AST-00309</t>
  </si>
  <si>
    <t>G-REQ-03057-E2</t>
  </si>
  <si>
    <t>SYNTHETIC: Laptop repair; Approved; asset G-AST-00309</t>
  </si>
  <si>
    <t>G-REQ-03057-E3</t>
  </si>
  <si>
    <t>SYNTHETIC: Laptop repair; In progress; asset G-AST-00309</t>
  </si>
  <si>
    <t>G-REQ-03057-E4</t>
  </si>
  <si>
    <t>SYNTHETIC: Laptop repair; Completed; asset G-AST-00309</t>
  </si>
  <si>
    <t>G-REQ-03058-E1</t>
  </si>
  <si>
    <t>SYNTHETIC: Laptop return; Pending approval; asset G-AST-00310</t>
  </si>
  <si>
    <t>G-REQ-03058-E2</t>
  </si>
  <si>
    <t>SYNTHETIC: Laptop return; Approved; asset G-AST-00310</t>
  </si>
  <si>
    <t>G-REQ-03058-E3</t>
  </si>
  <si>
    <t>SYNTHETIC: Laptop return; In progress; asset G-AST-00310</t>
  </si>
  <si>
    <t>G-REQ-03058-E4</t>
  </si>
  <si>
    <t>SYNTHETIC: Laptop return; Completed; asset G-AST-00310</t>
  </si>
  <si>
    <t>G-REQ-03059-E1</t>
  </si>
  <si>
    <t>SYNTHETIC: Laptop repair; Pending approval; asset G-AST-00048</t>
  </si>
  <si>
    <t>G-REQ-03059-E2</t>
  </si>
  <si>
    <t>SYNTHETIC: Laptop repair; Approved; asset G-AST-00048</t>
  </si>
  <si>
    <t>G-REQ-03059-E3</t>
  </si>
  <si>
    <t>SYNTHETIC: Laptop repair; In progress; asset G-AST-00048</t>
  </si>
  <si>
    <t>G-REQ-03059-E4</t>
  </si>
  <si>
    <t>SYNTHETIC: Laptop repair; Completed; asset G-AST-00048</t>
  </si>
  <si>
    <t>G-REQ-03060-E1</t>
  </si>
  <si>
    <t>G-REQ-03060-E2</t>
  </si>
  <si>
    <t>G-REQ-03060-E3</t>
  </si>
  <si>
    <t>G-REQ-03060-E4</t>
  </si>
  <si>
    <t>G-REQ-03061-E1</t>
  </si>
  <si>
    <t>G-REQ-03061-E2</t>
  </si>
  <si>
    <t>G-REQ-03061-E3</t>
  </si>
  <si>
    <t>G-REQ-03061-E4</t>
  </si>
  <si>
    <t>G-REQ-03062-E1</t>
  </si>
  <si>
    <t>G-REQ-03062-E2</t>
  </si>
  <si>
    <t>G-REQ-03062-E3</t>
  </si>
  <si>
    <t>G-REQ-03062-E4</t>
  </si>
  <si>
    <t>G-REQ-03063-E1</t>
  </si>
  <si>
    <t>G-REQ-03063-E2</t>
  </si>
  <si>
    <t>G-REQ-03063-E3</t>
  </si>
  <si>
    <t>G-REQ-03063-E4</t>
  </si>
  <si>
    <t>G-REQ-03064-E1</t>
  </si>
  <si>
    <t>G-REQ-03064-E2</t>
  </si>
  <si>
    <t>G-REQ-03064-E3</t>
  </si>
  <si>
    <t>G-REQ-03064-E4</t>
  </si>
  <si>
    <t>G-REQ-03065-E1</t>
  </si>
  <si>
    <t>G-REQ-03065-E2</t>
  </si>
  <si>
    <t>G-REQ-03065-E3</t>
  </si>
  <si>
    <t>G-REQ-03065-E4</t>
  </si>
  <si>
    <t>G-REQ-03066-E1</t>
  </si>
  <si>
    <t>G-REQ-03066-E2</t>
  </si>
  <si>
    <t>G-REQ-03066-E3</t>
  </si>
  <si>
    <t>G-REQ-03066-E4</t>
  </si>
  <si>
    <t>G-REQ-03067-E1</t>
  </si>
  <si>
    <t>G-REQ-03067-E2</t>
  </si>
  <si>
    <t>G-REQ-03067-E3</t>
  </si>
  <si>
    <t>G-REQ-03067-E4</t>
  </si>
  <si>
    <t>G-REQ-03068-E1</t>
  </si>
  <si>
    <t>G-REQ-03068-E2</t>
  </si>
  <si>
    <t>G-REQ-03068-E3</t>
  </si>
  <si>
    <t>G-REQ-03068-E4</t>
  </si>
  <si>
    <t>G-REQ-03069-E1</t>
  </si>
  <si>
    <t>G-REQ-03069-E2</t>
  </si>
  <si>
    <t>G-REQ-03069-E3</t>
  </si>
  <si>
    <t>G-REQ-03069-E4</t>
  </si>
  <si>
    <t>G-REQ-03070-E1</t>
  </si>
  <si>
    <t>SYNTHETIC: Laptop repair; Pending approval; asset G-AST-00413</t>
  </si>
  <si>
    <t>G-REQ-03070-E2</t>
  </si>
  <si>
    <t>SYNTHETIC: Laptop repair; Approved; asset G-AST-00413</t>
  </si>
  <si>
    <t>G-REQ-03070-E3</t>
  </si>
  <si>
    <t>SYNTHETIC: Laptop repair; In progress; asset G-AST-00413</t>
  </si>
  <si>
    <t>G-REQ-03070-E4</t>
  </si>
  <si>
    <t>SYNTHETIC: Laptop repair; Completed; asset G-AST-00413</t>
  </si>
  <si>
    <t>G-REQ-03071-E1</t>
  </si>
  <si>
    <t>G-REQ-03071-E2</t>
  </si>
  <si>
    <t>SYNTHETIC: Laptop repair; Rejected; asset G-AST-00134</t>
  </si>
  <si>
    <t>G-REQ-03072-E1</t>
  </si>
  <si>
    <t>G-REQ-03072-E2</t>
  </si>
  <si>
    <t>G-REQ-03072-E3</t>
  </si>
  <si>
    <t>G-REQ-03072-E4</t>
  </si>
  <si>
    <t>G-REQ-03073-E1</t>
  </si>
  <si>
    <t>G-REQ-03073-E2</t>
  </si>
  <si>
    <t>G-REQ-03073-E3</t>
  </si>
  <si>
    <t>G-REQ-03073-E4</t>
  </si>
  <si>
    <t>G-REQ-03074-E1</t>
  </si>
  <si>
    <t>G-REQ-03074-E2</t>
  </si>
  <si>
    <t>G-REQ-03074-E3</t>
  </si>
  <si>
    <t>G-REQ-03074-E4</t>
  </si>
  <si>
    <t>G-REQ-03075-E1</t>
  </si>
  <si>
    <t>G-REQ-03075-E2</t>
  </si>
  <si>
    <t>G-REQ-03075-E3</t>
  </si>
  <si>
    <t>G-REQ-03075-E4</t>
  </si>
  <si>
    <t>G-REQ-03076-E1</t>
  </si>
  <si>
    <t>G-REQ-03076-E2</t>
  </si>
  <si>
    <t>G-REQ-03076-E3</t>
  </si>
  <si>
    <t>G-REQ-03076-E4</t>
  </si>
  <si>
    <t>G-REQ-03077-E1</t>
  </si>
  <si>
    <t>G-REQ-03077-E2</t>
  </si>
  <si>
    <t>G-REQ-03077-E3</t>
  </si>
  <si>
    <t>G-REQ-03077-E4</t>
  </si>
  <si>
    <t>G-REQ-03078-E1</t>
  </si>
  <si>
    <t>G-REQ-03078-E2</t>
  </si>
  <si>
    <t>G-REQ-03078-E3</t>
  </si>
  <si>
    <t>G-REQ-03078-E4</t>
  </si>
  <si>
    <t>G-REQ-03079-E1</t>
  </si>
  <si>
    <t>G-REQ-03079-E2</t>
  </si>
  <si>
    <t>G-REQ-03079-E3</t>
  </si>
  <si>
    <t>G-REQ-03079-E4</t>
  </si>
  <si>
    <t>G-REQ-03080-E1</t>
  </si>
  <si>
    <t>G-REQ-03080-E2</t>
  </si>
  <si>
    <t>G-REQ-03080-E3</t>
  </si>
  <si>
    <t>G-REQ-03080-E4</t>
  </si>
  <si>
    <t>G-REQ-03081-E1</t>
  </si>
  <si>
    <t>G-REQ-03081-E2</t>
  </si>
  <si>
    <t>G-REQ-03081-E3</t>
  </si>
  <si>
    <t>G-REQ-03081-E4</t>
  </si>
  <si>
    <t>G-REQ-03082-E1</t>
  </si>
  <si>
    <t>SYNTHETIC: Laptop repair; Pending approval; asset G-AST-00405</t>
  </si>
  <si>
    <t>G-REQ-03082-E2</t>
  </si>
  <si>
    <t>SYNTHETIC: Laptop repair; Approved; asset G-AST-00405</t>
  </si>
  <si>
    <t>G-REQ-03082-E3</t>
  </si>
  <si>
    <t>SYNTHETIC: Laptop repair; In progress; asset G-AST-00405</t>
  </si>
  <si>
    <t>G-REQ-03082-E4</t>
  </si>
  <si>
    <t>SYNTHETIC: Laptop repair; Completed; asset G-AST-00405</t>
  </si>
  <si>
    <t>G-REQ-03083-E1</t>
  </si>
  <si>
    <t>G-REQ-03083-E2</t>
  </si>
  <si>
    <t>SYNTHETIC: Laptop return; Rejected; asset G-AST-00073</t>
  </si>
  <si>
    <t>G-REQ-03084-E1</t>
  </si>
  <si>
    <t>G-REQ-03084-E2</t>
  </si>
  <si>
    <t>G-REQ-03084-E3</t>
  </si>
  <si>
    <t>G-REQ-03084-E4</t>
  </si>
  <si>
    <t>G-REQ-03085-E1</t>
  </si>
  <si>
    <t>G-REQ-03085-E2</t>
  </si>
  <si>
    <t>G-REQ-03085-E3</t>
  </si>
  <si>
    <t>G-REQ-03085-E4</t>
  </si>
  <si>
    <t>G-REQ-03086-E1</t>
  </si>
  <si>
    <t>G-REQ-03086-E2</t>
  </si>
  <si>
    <t>G-REQ-03086-E3</t>
  </si>
  <si>
    <t>G-REQ-03086-E4</t>
  </si>
  <si>
    <t>G-REQ-03087-E1</t>
  </si>
  <si>
    <t>G-REQ-03087-E2</t>
  </si>
  <si>
    <t>G-REQ-03087-E3</t>
  </si>
  <si>
    <t>G-REQ-03087-E4</t>
  </si>
  <si>
    <t>G-REQ-03088-E1</t>
  </si>
  <si>
    <t>SYNTHETIC: Laptop repair; Pending approval; asset G-AST-00308</t>
  </si>
  <si>
    <t>G-REQ-03088-E2</t>
  </si>
  <si>
    <t>SYNTHETIC: Laptop repair; Approved; asset G-AST-00308</t>
  </si>
  <si>
    <t>G-REQ-03088-E3</t>
  </si>
  <si>
    <t>SYNTHETIC: Laptop repair; In progress; asset G-AST-00308</t>
  </si>
  <si>
    <t>G-REQ-03088-E4</t>
  </si>
  <si>
    <t>SYNTHETIC: Laptop repair; Completed; asset G-AST-00308</t>
  </si>
  <si>
    <t>G-REQ-03089-E1</t>
  </si>
  <si>
    <t>SYNTHETIC: Laptop repair; Pending approval; asset G-AST-00391</t>
  </si>
  <si>
    <t>G-REQ-03089-E2</t>
  </si>
  <si>
    <t>SYNTHETIC: Laptop repair; Approved; asset G-AST-00391</t>
  </si>
  <si>
    <t>G-REQ-03089-E3</t>
  </si>
  <si>
    <t>SYNTHETIC: Laptop repair; In progress; asset G-AST-00391</t>
  </si>
  <si>
    <t>G-REQ-03089-E4</t>
  </si>
  <si>
    <t>SYNTHETIC: Laptop repair; Completed; asset G-AST-00391</t>
  </si>
  <si>
    <t>G-REQ-03090-E1</t>
  </si>
  <si>
    <t>G-REQ-03090-E2</t>
  </si>
  <si>
    <t>G-REQ-03090-E3</t>
  </si>
  <si>
    <t>G-REQ-03090-E4</t>
  </si>
  <si>
    <t>G-REQ-03091-E1</t>
  </si>
  <si>
    <t>G-REQ-03091-E2</t>
  </si>
  <si>
    <t>G-REQ-03091-E3</t>
  </si>
  <si>
    <t>G-REQ-03091-E4</t>
  </si>
  <si>
    <t>G-REQ-03092-E1</t>
  </si>
  <si>
    <t>G-REQ-03092-E2</t>
  </si>
  <si>
    <t>SYNTHETIC: Laptop repair; Cancelled; asset G-AST-00259</t>
  </si>
  <si>
    <t>G-REQ-03093-E1</t>
  </si>
  <si>
    <t>G-REQ-03093-E2</t>
  </si>
  <si>
    <t>G-REQ-03093-E3</t>
  </si>
  <si>
    <t>G-REQ-03093-E4</t>
  </si>
  <si>
    <t>G-REQ-03094-E1</t>
  </si>
  <si>
    <t>G-REQ-03094-E2</t>
  </si>
  <si>
    <t>SYNTHETIC: Laptop repair; Approved; asset G-AST-00425</t>
  </si>
  <si>
    <t>G-REQ-03094-E3</t>
  </si>
  <si>
    <t>SYNTHETIC: Laptop repair; In progress; asset G-AST-00425</t>
  </si>
  <si>
    <t>G-REQ-03094-E4</t>
  </si>
  <si>
    <t>SYNTHETIC: Laptop repair; Completed; asset G-AST-00425</t>
  </si>
  <si>
    <t>G-REQ-03095-E1</t>
  </si>
  <si>
    <t>G-REQ-03095-E2</t>
  </si>
  <si>
    <t>G-REQ-03095-E3</t>
  </si>
  <si>
    <t>G-REQ-03095-E4</t>
  </si>
  <si>
    <t>G-REQ-03096-E1</t>
  </si>
  <si>
    <t>G-REQ-03096-E2</t>
  </si>
  <si>
    <t>G-REQ-03096-E3</t>
  </si>
  <si>
    <t>G-REQ-03096-E4</t>
  </si>
  <si>
    <t>G-REQ-03097-E1</t>
  </si>
  <si>
    <t>G-REQ-03097-E2</t>
  </si>
  <si>
    <t>G-REQ-03097-E3</t>
  </si>
  <si>
    <t>G-REQ-03097-E4</t>
  </si>
  <si>
    <t>G-REQ-03098-E1</t>
  </si>
  <si>
    <t>G-REQ-03098-E2</t>
  </si>
  <si>
    <t>G-REQ-03098-E3</t>
  </si>
  <si>
    <t>G-REQ-03098-E4</t>
  </si>
  <si>
    <t>G-REQ-03099-E1</t>
  </si>
  <si>
    <t>G-REQ-03099-E2</t>
  </si>
  <si>
    <t>G-REQ-03099-E3</t>
  </si>
  <si>
    <t>G-REQ-03099-E4</t>
  </si>
  <si>
    <t>G-REQ-03100-E1</t>
  </si>
  <si>
    <t>G-REQ-03100-E2</t>
  </si>
  <si>
    <t>G-REQ-03101-E1</t>
  </si>
  <si>
    <t>G-REQ-03101-E2</t>
  </si>
  <si>
    <t>G-REQ-03101-E3</t>
  </si>
  <si>
    <t>G-REQ-03101-E4</t>
  </si>
  <si>
    <t>G-REQ-03102-E1</t>
  </si>
  <si>
    <t>G-REQ-03102-E2</t>
  </si>
  <si>
    <t>G-REQ-03102-E3</t>
  </si>
  <si>
    <t>G-REQ-03102-E4</t>
  </si>
  <si>
    <t>G-REQ-03103-E1</t>
  </si>
  <si>
    <t>G-REQ-03103-E2</t>
  </si>
  <si>
    <t>G-REQ-03103-E3</t>
  </si>
  <si>
    <t>G-REQ-03103-E4</t>
  </si>
  <si>
    <t>G-REQ-03104-E1</t>
  </si>
  <si>
    <t>G-REQ-03104-E2</t>
  </si>
  <si>
    <t>G-REQ-03104-E3</t>
  </si>
  <si>
    <t>G-REQ-03104-E4</t>
  </si>
  <si>
    <t>G-REQ-03105-E1</t>
  </si>
  <si>
    <t>G-REQ-03105-E2</t>
  </si>
  <si>
    <t>SYNTHETIC: Laptop return; Cancelled; asset G-AST-00330</t>
  </si>
  <si>
    <t>G-REQ-03106-E1</t>
  </si>
  <si>
    <t>G-REQ-03106-E2</t>
  </si>
  <si>
    <t>G-REQ-03106-E3</t>
  </si>
  <si>
    <t>G-REQ-03106-E4</t>
  </si>
  <si>
    <t>G-REQ-03107-E1</t>
  </si>
  <si>
    <t>G-REQ-03107-E2</t>
  </si>
  <si>
    <t>G-REQ-03107-E3</t>
  </si>
  <si>
    <t>G-REQ-03107-E4</t>
  </si>
  <si>
    <t>G-REQ-03108-E1</t>
  </si>
  <si>
    <t>G-REQ-03108-E2</t>
  </si>
  <si>
    <t>G-REQ-03108-E3</t>
  </si>
  <si>
    <t>G-REQ-03108-E4</t>
  </si>
  <si>
    <t>G-REQ-03109-E1</t>
  </si>
  <si>
    <t>G-REQ-03109-E2</t>
  </si>
  <si>
    <t>G-REQ-03109-E3</t>
  </si>
  <si>
    <t>G-REQ-03109-E4</t>
  </si>
  <si>
    <t>G-REQ-03110-E1</t>
  </si>
  <si>
    <t>SYNTHETIC: Laptop return; Pending approval; asset G-AST-00427</t>
  </si>
  <si>
    <t>G-REQ-03110-E2</t>
  </si>
  <si>
    <t>SYNTHETIC: Laptop return; Approved; asset G-AST-00427</t>
  </si>
  <si>
    <t>G-REQ-03110-E3</t>
  </si>
  <si>
    <t>SYNTHETIC: Laptop return; In progress; asset G-AST-00427</t>
  </si>
  <si>
    <t>G-REQ-03110-E4</t>
  </si>
  <si>
    <t>SYNTHETIC: Laptop return; Completed; asset G-AST-00427</t>
  </si>
  <si>
    <t>G-REQ-03111-E1</t>
  </si>
  <si>
    <t>G-REQ-03111-E2</t>
  </si>
  <si>
    <t>G-REQ-03111-E3</t>
  </si>
  <si>
    <t>G-REQ-03111-E4</t>
  </si>
  <si>
    <t>G-REQ-03112-E1</t>
  </si>
  <si>
    <t>G-REQ-03112-E2</t>
  </si>
  <si>
    <t>G-REQ-03112-E3</t>
  </si>
  <si>
    <t>G-REQ-03112-E4</t>
  </si>
  <si>
    <t>G-REQ-03113-E1</t>
  </si>
  <si>
    <t>G-REQ-03113-E2</t>
  </si>
  <si>
    <t>G-REQ-03113-E3</t>
  </si>
  <si>
    <t>G-REQ-03113-E4</t>
  </si>
  <si>
    <t>G-REQ-03114-E1</t>
  </si>
  <si>
    <t>G-REQ-03114-E2</t>
  </si>
  <si>
    <t>G-REQ-03114-E3</t>
  </si>
  <si>
    <t>G-REQ-03114-E4</t>
  </si>
  <si>
    <t>G-REQ-03115-E1</t>
  </si>
  <si>
    <t>G-REQ-03115-E2</t>
  </si>
  <si>
    <t>G-REQ-03115-E3</t>
  </si>
  <si>
    <t>G-REQ-03115-E4</t>
  </si>
  <si>
    <t>G-REQ-03116-E1</t>
  </si>
  <si>
    <t>G-REQ-03116-E2</t>
  </si>
  <si>
    <t>G-REQ-03116-E3</t>
  </si>
  <si>
    <t>G-REQ-03116-E4</t>
  </si>
  <si>
    <t>G-REQ-03117-E1</t>
  </si>
  <si>
    <t>G-REQ-03117-E2</t>
  </si>
  <si>
    <t>G-REQ-03117-E3</t>
  </si>
  <si>
    <t>G-REQ-03117-E4</t>
  </si>
  <si>
    <t>G-REQ-03118-E1</t>
  </si>
  <si>
    <t>G-REQ-03118-E2</t>
  </si>
  <si>
    <t>G-REQ-03118-E3</t>
  </si>
  <si>
    <t>G-REQ-03118-E4</t>
  </si>
  <si>
    <t>G-REQ-03119-E1</t>
  </si>
  <si>
    <t>G-REQ-03119-E2</t>
  </si>
  <si>
    <t>G-REQ-03119-E3</t>
  </si>
  <si>
    <t>G-REQ-03119-E4</t>
  </si>
  <si>
    <t>G-REQ-03120-E1</t>
  </si>
  <si>
    <t>G-REQ-03120-E2</t>
  </si>
  <si>
    <t>G-REQ-03120-E3</t>
  </si>
  <si>
    <t>G-REQ-03120-E4</t>
  </si>
  <si>
    <t>G-REQ-03121-E1</t>
  </si>
  <si>
    <t>G-REQ-03121-E2</t>
  </si>
  <si>
    <t>G-REQ-03121-E3</t>
  </si>
  <si>
    <t>G-REQ-03121-E4</t>
  </si>
  <si>
    <t>G-REQ-03122-E1</t>
  </si>
  <si>
    <t>G-REQ-03122-E2</t>
  </si>
  <si>
    <t>G-REQ-03122-E3</t>
  </si>
  <si>
    <t>G-REQ-03122-E4</t>
  </si>
  <si>
    <t>G-REQ-03123-E1</t>
  </si>
  <si>
    <t>G-REQ-03123-E2</t>
  </si>
  <si>
    <t>G-REQ-03123-E3</t>
  </si>
  <si>
    <t>G-REQ-03123-E4</t>
  </si>
  <si>
    <t>G-REQ-03124-E1</t>
  </si>
  <si>
    <t>G-REQ-03124-E2</t>
  </si>
  <si>
    <t>G-REQ-03125-E1</t>
  </si>
  <si>
    <t>G-REQ-03125-E2</t>
  </si>
  <si>
    <t>G-REQ-03125-E3</t>
  </si>
  <si>
    <t>G-REQ-03125-E4</t>
  </si>
  <si>
    <t>G-REQ-03126-E1</t>
  </si>
  <si>
    <t>G-REQ-03126-E2</t>
  </si>
  <si>
    <t>G-REQ-03126-E3</t>
  </si>
  <si>
    <t>G-REQ-03126-E4</t>
  </si>
  <si>
    <t>G-REQ-03127-E1</t>
  </si>
  <si>
    <t>G-REQ-03127-E2</t>
  </si>
  <si>
    <t>G-REQ-03127-E3</t>
  </si>
  <si>
    <t>G-REQ-03127-E4</t>
  </si>
  <si>
    <t>G-REQ-03128-E1</t>
  </si>
  <si>
    <t>G-REQ-03128-E2</t>
  </si>
  <si>
    <t>G-REQ-03128-E3</t>
  </si>
  <si>
    <t>G-REQ-03128-E4</t>
  </si>
  <si>
    <t>G-REQ-03129-E1</t>
  </si>
  <si>
    <t>G-REQ-03129-E2</t>
  </si>
  <si>
    <t>G-REQ-03129-E3</t>
  </si>
  <si>
    <t>G-REQ-03129-E4</t>
  </si>
  <si>
    <t>G-REQ-03130-E1</t>
  </si>
  <si>
    <t>G-REQ-03130-E2</t>
  </si>
  <si>
    <t>G-REQ-03131-E1</t>
  </si>
  <si>
    <t>G-REQ-03131-E2</t>
  </si>
  <si>
    <t>G-REQ-03131-E3</t>
  </si>
  <si>
    <t>G-REQ-03131-E4</t>
  </si>
  <si>
    <t>G-REQ-03132-E1</t>
  </si>
  <si>
    <t>G-REQ-03132-E2</t>
  </si>
  <si>
    <t>G-REQ-03132-E3</t>
  </si>
  <si>
    <t>G-REQ-03132-E4</t>
  </si>
  <si>
    <t>G-REQ-03133-E1</t>
  </si>
  <si>
    <t>G-REQ-03133-E2</t>
  </si>
  <si>
    <t>SYNTHETIC: Laptop repair; Rejected; asset G-AST-00369</t>
  </si>
  <si>
    <t>G-REQ-03134-E1</t>
  </si>
  <si>
    <t>G-REQ-03134-E2</t>
  </si>
  <si>
    <t>G-REQ-03134-E3</t>
  </si>
  <si>
    <t>G-REQ-03134-E4</t>
  </si>
  <si>
    <t>G-REQ-03135-E1</t>
  </si>
  <si>
    <t>G-REQ-03135-E2</t>
  </si>
  <si>
    <t>G-REQ-03135-E3</t>
  </si>
  <si>
    <t>G-REQ-03135-E4</t>
  </si>
  <si>
    <t>G-REQ-03136-E1</t>
  </si>
  <si>
    <t>G-REQ-03136-E2</t>
  </si>
  <si>
    <t>G-REQ-03136-E3</t>
  </si>
  <si>
    <t>G-REQ-03136-E4</t>
  </si>
  <si>
    <t>G-REQ-03137-E1</t>
  </si>
  <si>
    <t>G-REQ-03137-E2</t>
  </si>
  <si>
    <t>SYNTHETIC: Laptop return; Cancelled; asset G-AST-00392</t>
  </si>
  <si>
    <t>G-REQ-03138-E1</t>
  </si>
  <si>
    <t>G-REQ-03138-E2</t>
  </si>
  <si>
    <t>G-REQ-03138-E3</t>
  </si>
  <si>
    <t>G-REQ-03138-E4</t>
  </si>
  <si>
    <t>G-REQ-03139-E1</t>
  </si>
  <si>
    <t>G-REQ-03139-E2</t>
  </si>
  <si>
    <t>G-REQ-03139-E3</t>
  </si>
  <si>
    <t>G-REQ-03139-E4</t>
  </si>
  <si>
    <t>G-REQ-03140-E1</t>
  </si>
  <si>
    <t>G-REQ-03140-E2</t>
  </si>
  <si>
    <t>G-REQ-03140-E3</t>
  </si>
  <si>
    <t>G-REQ-03140-E4</t>
  </si>
  <si>
    <t>G-REQ-03141-E1</t>
  </si>
  <si>
    <t>G-REQ-03141-E2</t>
  </si>
  <si>
    <t>G-REQ-03141-E3</t>
  </si>
  <si>
    <t>G-REQ-03141-E4</t>
  </si>
  <si>
    <t>G-REQ-03142-E1</t>
  </si>
  <si>
    <t>G-REQ-03142-E2</t>
  </si>
  <si>
    <t>G-REQ-03142-E3</t>
  </si>
  <si>
    <t>G-REQ-03142-E4</t>
  </si>
  <si>
    <t>G-REQ-03143-E1</t>
  </si>
  <si>
    <t>G-REQ-03143-E2</t>
  </si>
  <si>
    <t>G-REQ-03143-E3</t>
  </si>
  <si>
    <t>G-REQ-03143-E4</t>
  </si>
  <si>
    <t>G-REQ-03144-E1</t>
  </si>
  <si>
    <t>G-REQ-03144-E2</t>
  </si>
  <si>
    <t>G-REQ-03144-E3</t>
  </si>
  <si>
    <t>G-REQ-03144-E4</t>
  </si>
  <si>
    <t>G-REQ-03145-E1</t>
  </si>
  <si>
    <t>G-REQ-03145-E2</t>
  </si>
  <si>
    <t>G-REQ-03145-E3</t>
  </si>
  <si>
    <t>G-REQ-03145-E4</t>
  </si>
  <si>
    <t>G-REQ-03146-E1</t>
  </si>
  <si>
    <t>G-REQ-03146-E2</t>
  </si>
  <si>
    <t>G-REQ-03146-E3</t>
  </si>
  <si>
    <t>G-REQ-03146-E4</t>
  </si>
  <si>
    <t>G-REQ-03147-E1</t>
  </si>
  <si>
    <t>G-REQ-03147-E2</t>
  </si>
  <si>
    <t>G-REQ-03147-E3</t>
  </si>
  <si>
    <t>G-REQ-03147-E4</t>
  </si>
  <si>
    <t>G-REQ-03148-E1</t>
  </si>
  <si>
    <t>G-REQ-03148-E2</t>
  </si>
  <si>
    <t>G-REQ-03148-E3</t>
  </si>
  <si>
    <t>G-REQ-03148-E4</t>
  </si>
  <si>
    <t>G-REQ-03149-E1</t>
  </si>
  <si>
    <t>G-REQ-03149-E2</t>
  </si>
  <si>
    <t>G-REQ-03149-E3</t>
  </si>
  <si>
    <t>G-REQ-03149-E4</t>
  </si>
  <si>
    <t>G-REQ-03150-E1</t>
  </si>
  <si>
    <t>G-REQ-03150-E2</t>
  </si>
  <si>
    <t>SYNTHETIC: Laptop return; Rejected; asset G-AST-00262</t>
  </si>
  <si>
    <t>G-REQ-03151-E1</t>
  </si>
  <si>
    <t>G-REQ-03151-E2</t>
  </si>
  <si>
    <t>G-REQ-03151-E3</t>
  </si>
  <si>
    <t>G-REQ-03151-E4</t>
  </si>
  <si>
    <t>G-REQ-03152-E1</t>
  </si>
  <si>
    <t>G-REQ-03152-E2</t>
  </si>
  <si>
    <t>G-REQ-03152-E3</t>
  </si>
  <si>
    <t>G-REQ-03152-E4</t>
  </si>
  <si>
    <t>G-REQ-03153-E1</t>
  </si>
  <si>
    <t>G-REQ-03153-E2</t>
  </si>
  <si>
    <t>G-REQ-03153-E3</t>
  </si>
  <si>
    <t>G-REQ-03153-E4</t>
  </si>
  <si>
    <t>G-REQ-03154-E1</t>
  </si>
  <si>
    <t>G-REQ-03154-E2</t>
  </si>
  <si>
    <t>G-REQ-03154-E3</t>
  </si>
  <si>
    <t>G-REQ-03154-E4</t>
  </si>
  <si>
    <t>G-REQ-03155-E1</t>
  </si>
  <si>
    <t>G-REQ-03155-E2</t>
  </si>
  <si>
    <t>G-REQ-03156-E1</t>
  </si>
  <si>
    <t>G-REQ-03156-E2</t>
  </si>
  <si>
    <t>G-REQ-03157-E1</t>
  </si>
  <si>
    <t>G-REQ-03157-E2</t>
  </si>
  <si>
    <t>G-REQ-03157-E3</t>
  </si>
  <si>
    <t>G-REQ-03157-E4</t>
  </si>
  <si>
    <t>G-REQ-03158-E1</t>
  </si>
  <si>
    <t>G-REQ-03158-E2</t>
  </si>
  <si>
    <t>G-REQ-03158-E3</t>
  </si>
  <si>
    <t>G-REQ-03158-E4</t>
  </si>
  <si>
    <t>G-REQ-03159-E1</t>
  </si>
  <si>
    <t>G-REQ-03159-E2</t>
  </si>
  <si>
    <t>G-REQ-03159-E3</t>
  </si>
  <si>
    <t>G-REQ-03159-E4</t>
  </si>
  <si>
    <t>G-REQ-03160-E1</t>
  </si>
  <si>
    <t>G-REQ-03160-E2</t>
  </si>
  <si>
    <t>G-REQ-03160-E3</t>
  </si>
  <si>
    <t>G-REQ-03160-E4</t>
  </si>
  <si>
    <t>G-REQ-03161-E1</t>
  </si>
  <si>
    <t>SYNTHETIC: Laptop return; Pending approval; asset G-AST-00535</t>
  </si>
  <si>
    <t>G-REQ-03161-E2</t>
  </si>
  <si>
    <t>SYNTHETIC: Laptop return; Approved; asset G-AST-00535</t>
  </si>
  <si>
    <t>G-REQ-03161-E3</t>
  </si>
  <si>
    <t>SYNTHETIC: Laptop return; In progress; asset G-AST-00535</t>
  </si>
  <si>
    <t>G-REQ-03161-E4</t>
  </si>
  <si>
    <t>SYNTHETIC: Laptop return; Completed; asset G-AST-00535</t>
  </si>
  <si>
    <t>G-REQ-03162-E1</t>
  </si>
  <si>
    <t>G-REQ-03162-E2</t>
  </si>
  <si>
    <t>G-REQ-03162-E3</t>
  </si>
  <si>
    <t>G-REQ-03162-E4</t>
  </si>
  <si>
    <t>G-REQ-03163-E1</t>
  </si>
  <si>
    <t>G-REQ-03163-E2</t>
  </si>
  <si>
    <t>G-REQ-03163-E3</t>
  </si>
  <si>
    <t>G-REQ-03163-E4</t>
  </si>
  <si>
    <t>G-REQ-03164-E1</t>
  </si>
  <si>
    <t>G-REQ-03164-E2</t>
  </si>
  <si>
    <t>G-REQ-03164-E3</t>
  </si>
  <si>
    <t>G-REQ-03164-E4</t>
  </si>
  <si>
    <t>G-REQ-03165-E1</t>
  </si>
  <si>
    <t>G-REQ-03165-E2</t>
  </si>
  <si>
    <t>G-REQ-03165-E3</t>
  </si>
  <si>
    <t>G-REQ-03165-E4</t>
  </si>
  <si>
    <t>G-REQ-03166-E1</t>
  </si>
  <si>
    <t>G-REQ-03166-E2</t>
  </si>
  <si>
    <t>SYNTHETIC: Laptop return; Cancelled; asset G-AST-00362</t>
  </si>
  <si>
    <t>G-REQ-03167-E1</t>
  </si>
  <si>
    <t>G-REQ-03167-E2</t>
  </si>
  <si>
    <t>G-REQ-03167-E3</t>
  </si>
  <si>
    <t>G-REQ-03167-E4</t>
  </si>
  <si>
    <t>G-REQ-03168-E1</t>
  </si>
  <si>
    <t>G-REQ-03168-E2</t>
  </si>
  <si>
    <t>G-REQ-03168-E3</t>
  </si>
  <si>
    <t>G-REQ-03168-E4</t>
  </si>
  <si>
    <t>G-REQ-03169-E1</t>
  </si>
  <si>
    <t>G-REQ-03169-E2</t>
  </si>
  <si>
    <t>G-REQ-03169-E3</t>
  </si>
  <si>
    <t>G-REQ-03169-E4</t>
  </si>
  <si>
    <t>G-REQ-03170-E1</t>
  </si>
  <si>
    <t>G-REQ-03170-E2</t>
  </si>
  <si>
    <t>G-REQ-03170-E3</t>
  </si>
  <si>
    <t>G-REQ-03170-E4</t>
  </si>
  <si>
    <t>G-REQ-03171-E1</t>
  </si>
  <si>
    <t>G-REQ-03171-E2</t>
  </si>
  <si>
    <t>G-REQ-03171-E3</t>
  </si>
  <si>
    <t>G-REQ-03171-E4</t>
  </si>
  <si>
    <t>G-REQ-03172-E1</t>
  </si>
  <si>
    <t>G-REQ-03172-E2</t>
  </si>
  <si>
    <t>G-REQ-03172-E3</t>
  </si>
  <si>
    <t>G-REQ-03172-E4</t>
  </si>
  <si>
    <t>G-REQ-03173-E1</t>
  </si>
  <si>
    <t>G-REQ-03173-E2</t>
  </si>
  <si>
    <t>G-REQ-03173-E3</t>
  </si>
  <si>
    <t>G-REQ-03173-E4</t>
  </si>
  <si>
    <t>G-REQ-03174-E1</t>
  </si>
  <si>
    <t>G-REQ-03174-E2</t>
  </si>
  <si>
    <t>G-REQ-03174-E3</t>
  </si>
  <si>
    <t>G-REQ-03174-E4</t>
  </si>
  <si>
    <t>G-REQ-03175-E1</t>
  </si>
  <si>
    <t>G-REQ-03175-E2</t>
  </si>
  <si>
    <t>G-REQ-03176-E1</t>
  </si>
  <si>
    <t>G-REQ-03176-E2</t>
  </si>
  <si>
    <t>SYNTHETIC: Laptop repair; Cancelled; asset G-AST-00384</t>
  </si>
  <si>
    <t>G-REQ-03177-E1</t>
  </si>
  <si>
    <t>G-REQ-03177-E2</t>
  </si>
  <si>
    <t>G-REQ-03178-E1</t>
  </si>
  <si>
    <t>G-REQ-03178-E2</t>
  </si>
  <si>
    <t>G-REQ-03178-E3</t>
  </si>
  <si>
    <t>G-REQ-03178-E4</t>
  </si>
  <si>
    <t>G-REQ-03179-E1</t>
  </si>
  <si>
    <t>G-REQ-03179-E2</t>
  </si>
  <si>
    <t>G-REQ-03179-E3</t>
  </si>
  <si>
    <t>G-REQ-03179-E4</t>
  </si>
  <si>
    <t>G-REQ-03180-E1</t>
  </si>
  <si>
    <t>G-REQ-03180-E2</t>
  </si>
  <si>
    <t>SYNTHETIC: Laptop return; Rejected; asset G-AST-00163</t>
  </si>
  <si>
    <t>G-REQ-03181-E1</t>
  </si>
  <si>
    <t>G-REQ-03181-E2</t>
  </si>
  <si>
    <t>G-REQ-03181-E3</t>
  </si>
  <si>
    <t>G-REQ-03181-E4</t>
  </si>
  <si>
    <t>G-REQ-03182-E1</t>
  </si>
  <si>
    <t>G-REQ-03182-E2</t>
  </si>
  <si>
    <t>G-REQ-03182-E3</t>
  </si>
  <si>
    <t>G-REQ-03182-E4</t>
  </si>
  <si>
    <t>G-REQ-03183-E1</t>
  </si>
  <si>
    <t>G-REQ-03183-E2</t>
  </si>
  <si>
    <t>G-REQ-03183-E3</t>
  </si>
  <si>
    <t>G-REQ-03183-E4</t>
  </si>
  <si>
    <t>G-REQ-03184-E1</t>
  </si>
  <si>
    <t>G-REQ-03184-E2</t>
  </si>
  <si>
    <t>G-REQ-03185-E1</t>
  </si>
  <si>
    <t>G-REQ-03185-E2</t>
  </si>
  <si>
    <t>G-REQ-03185-E3</t>
  </si>
  <si>
    <t>G-REQ-03185-E4</t>
  </si>
  <si>
    <t>G-REQ-03186-E1</t>
  </si>
  <si>
    <t>G-REQ-03186-E2</t>
  </si>
  <si>
    <t>G-REQ-03186-E3</t>
  </si>
  <si>
    <t>G-REQ-03186-E4</t>
  </si>
  <si>
    <t>G-REQ-03187-E1</t>
  </si>
  <si>
    <t>G-REQ-03187-E2</t>
  </si>
  <si>
    <t>G-REQ-03187-E3</t>
  </si>
  <si>
    <t>G-REQ-03187-E4</t>
  </si>
  <si>
    <t>G-REQ-03188-E1</t>
  </si>
  <si>
    <t>G-REQ-03188-E2</t>
  </si>
  <si>
    <t>SYNTHETIC: Laptop return; Rejected; asset G-AST-00096</t>
  </si>
  <si>
    <t>G-REQ-03189-E1</t>
  </si>
  <si>
    <t>G-REQ-03189-E2</t>
  </si>
  <si>
    <t>G-REQ-03189-E3</t>
  </si>
  <si>
    <t>G-REQ-03189-E4</t>
  </si>
  <si>
    <t>G-REQ-03190-E1</t>
  </si>
  <si>
    <t>G-REQ-03190-E2</t>
  </si>
  <si>
    <t>G-REQ-03190-E3</t>
  </si>
  <si>
    <t>G-REQ-03190-E4</t>
  </si>
  <si>
    <t>G-REQ-03191-E1</t>
  </si>
  <si>
    <t>G-REQ-03191-E2</t>
  </si>
  <si>
    <t>G-REQ-03192-E1</t>
  </si>
  <si>
    <t>G-REQ-03192-E2</t>
  </si>
  <si>
    <t>G-REQ-03192-E3</t>
  </si>
  <si>
    <t>G-REQ-03192-E4</t>
  </si>
  <si>
    <t>G-REQ-03193-E1</t>
  </si>
  <si>
    <t>G-REQ-03193-E2</t>
  </si>
  <si>
    <t>SYNTHETIC: Laptop repair; Rejected; asset G-AST-00188</t>
  </si>
  <si>
    <t>G-REQ-03194-E1</t>
  </si>
  <si>
    <t>G-REQ-03194-E2</t>
  </si>
  <si>
    <t>G-REQ-03194-E3</t>
  </si>
  <si>
    <t>G-REQ-03194-E4</t>
  </si>
  <si>
    <t>G-REQ-03195-E1</t>
  </si>
  <si>
    <t>G-REQ-03195-E2</t>
  </si>
  <si>
    <t>G-REQ-03195-E3</t>
  </si>
  <si>
    <t>G-REQ-03195-E4</t>
  </si>
  <si>
    <t>G-REQ-03196-E1</t>
  </si>
  <si>
    <t>G-REQ-03196-E2</t>
  </si>
  <si>
    <t>G-REQ-03196-E3</t>
  </si>
  <si>
    <t>G-REQ-03196-E4</t>
  </si>
  <si>
    <t>G-REQ-03197-E1</t>
  </si>
  <si>
    <t>G-REQ-03197-E2</t>
  </si>
  <si>
    <t>G-REQ-03197-E3</t>
  </si>
  <si>
    <t>G-REQ-03197-E4</t>
  </si>
  <si>
    <t>G-REQ-03198-E1</t>
  </si>
  <si>
    <t>G-REQ-03198-E2</t>
  </si>
  <si>
    <t>G-REQ-03198-E3</t>
  </si>
  <si>
    <t>G-REQ-03198-E4</t>
  </si>
  <si>
    <t>G-REQ-03199-E1</t>
  </si>
  <si>
    <t>G-REQ-03199-E2</t>
  </si>
  <si>
    <t>G-REQ-03199-E3</t>
  </si>
  <si>
    <t>G-REQ-03199-E4</t>
  </si>
  <si>
    <t>G-REQ-03200-E1</t>
  </si>
  <si>
    <t>G-REQ-03200-E2</t>
  </si>
  <si>
    <t>G-REQ-03200-E3</t>
  </si>
  <si>
    <t>G-REQ-03200-E4</t>
  </si>
  <si>
    <t>G-REQ-03201-E1</t>
  </si>
  <si>
    <t>G-REQ-03201-E2</t>
  </si>
  <si>
    <t>G-REQ-03201-E3</t>
  </si>
  <si>
    <t>G-REQ-03201-E4</t>
  </si>
  <si>
    <t>G-REQ-03202-E1</t>
  </si>
  <si>
    <t>G-REQ-03202-E2</t>
  </si>
  <si>
    <t>SYNTHETIC: Laptop repair; Approved; asset G-AST-00193</t>
  </si>
  <si>
    <t>G-REQ-03202-E3</t>
  </si>
  <si>
    <t>SYNTHETIC: Laptop repair; In progress; asset G-AST-00193</t>
  </si>
  <si>
    <t>G-REQ-03202-E4</t>
  </si>
  <si>
    <t>SYNTHETIC: Laptop repair; Completed; asset G-AST-00193</t>
  </si>
  <si>
    <t>G-REQ-03203-E1</t>
  </si>
  <si>
    <t>G-REQ-03203-E2</t>
  </si>
  <si>
    <t>SYNTHETIC: Laptop return; Approved; asset G-AST-00429</t>
  </si>
  <si>
    <t>G-REQ-03203-E3</t>
  </si>
  <si>
    <t>SYNTHETIC: Laptop return; In progress; asset G-AST-00429</t>
  </si>
  <si>
    <t>G-REQ-03203-E4</t>
  </si>
  <si>
    <t>SYNTHETIC: Laptop return; Completed; asset G-AST-00429</t>
  </si>
  <si>
    <t>G-REQ-03204-E1</t>
  </si>
  <si>
    <t>G-REQ-03204-E2</t>
  </si>
  <si>
    <t>G-REQ-03204-E3</t>
  </si>
  <si>
    <t>G-REQ-03204-E4</t>
  </si>
  <si>
    <t>G-REQ-03205-E1</t>
  </si>
  <si>
    <t>G-REQ-03205-E2</t>
  </si>
  <si>
    <t>SYNTHETIC: Laptop return; Rejected; asset G-AST-00095</t>
  </si>
  <si>
    <t>G-REQ-03206-E1</t>
  </si>
  <si>
    <t>G-REQ-03206-E2</t>
  </si>
  <si>
    <t>G-REQ-03206-E3</t>
  </si>
  <si>
    <t>G-REQ-03206-E4</t>
  </si>
  <si>
    <t>G-REQ-03207-E1</t>
  </si>
  <si>
    <t>G-REQ-03207-E2</t>
  </si>
  <si>
    <t>G-REQ-03207-E3</t>
  </si>
  <si>
    <t>G-REQ-03207-E4</t>
  </si>
  <si>
    <t>G-REQ-03208-E1</t>
  </si>
  <si>
    <t>G-REQ-03208-E2</t>
  </si>
  <si>
    <t>G-REQ-03208-E3</t>
  </si>
  <si>
    <t>G-REQ-03208-E4</t>
  </si>
  <si>
    <t>G-REQ-03209-E1</t>
  </si>
  <si>
    <t>G-REQ-03209-E2</t>
  </si>
  <si>
    <t>G-REQ-03209-E3</t>
  </si>
  <si>
    <t>G-REQ-03209-E4</t>
  </si>
  <si>
    <t>G-REQ-03210-E1</t>
  </si>
  <si>
    <t>G-REQ-03210-E2</t>
  </si>
  <si>
    <t>SYNTHETIC: Laptop repair; Rejected; asset G-AST-00331</t>
  </si>
  <si>
    <t>G-REQ-03211-E1</t>
  </si>
  <si>
    <t>G-REQ-03211-E2</t>
  </si>
  <si>
    <t>G-REQ-03211-E3</t>
  </si>
  <si>
    <t>G-REQ-03211-E4</t>
  </si>
  <si>
    <t>G-REQ-03212-E1</t>
  </si>
  <si>
    <t>G-REQ-03212-E2</t>
  </si>
  <si>
    <t>G-REQ-03212-E3</t>
  </si>
  <si>
    <t>G-REQ-03212-E4</t>
  </si>
  <si>
    <t>G-REQ-03213-E1</t>
  </si>
  <si>
    <t>G-REQ-03213-E2</t>
  </si>
  <si>
    <t>G-REQ-03213-E3</t>
  </si>
  <si>
    <t>G-REQ-03213-E4</t>
  </si>
  <si>
    <t>G-REQ-03214-E1</t>
  </si>
  <si>
    <t>G-REQ-03214-E2</t>
  </si>
  <si>
    <t>G-REQ-03214-E3</t>
  </si>
  <si>
    <t>G-REQ-03214-E4</t>
  </si>
  <si>
    <t>G-REQ-03215-E1</t>
  </si>
  <si>
    <t>G-REQ-03215-E2</t>
  </si>
  <si>
    <t>G-REQ-03215-E3</t>
  </si>
  <si>
    <t>G-REQ-03215-E4</t>
  </si>
  <si>
    <t>G-REQ-03216-E1</t>
  </si>
  <si>
    <t>G-REQ-03216-E2</t>
  </si>
  <si>
    <t>G-REQ-03216-E3</t>
  </si>
  <si>
    <t>G-REQ-03216-E4</t>
  </si>
  <si>
    <t>G-REQ-03217-E1</t>
  </si>
  <si>
    <t>G-REQ-03217-E2</t>
  </si>
  <si>
    <t>G-REQ-03217-E3</t>
  </si>
  <si>
    <t>G-REQ-03217-E4</t>
  </si>
  <si>
    <t>G-REQ-03218-E1</t>
  </si>
  <si>
    <t>SYNTHETIC: Laptop return; Pending approval; asset G-AST-00417</t>
  </si>
  <si>
    <t>G-REQ-03218-E2</t>
  </si>
  <si>
    <t>SYNTHETIC: Laptop return; Approved; asset G-AST-00417</t>
  </si>
  <si>
    <t>G-REQ-03218-E3</t>
  </si>
  <si>
    <t>SYNTHETIC: Laptop return; In progress; asset G-AST-00417</t>
  </si>
  <si>
    <t>G-REQ-03218-E4</t>
  </si>
  <si>
    <t>SYNTHETIC: Laptop return; Completed; asset G-AST-00417</t>
  </si>
  <si>
    <t>G-REQ-03219-E1</t>
  </si>
  <si>
    <t>G-REQ-03219-E2</t>
  </si>
  <si>
    <t>G-REQ-03219-E3</t>
  </si>
  <si>
    <t>G-REQ-03219-E4</t>
  </si>
  <si>
    <t>G-REQ-03220-E1</t>
  </si>
  <si>
    <t>G-REQ-03220-E2</t>
  </si>
  <si>
    <t>G-REQ-03220-E3</t>
  </si>
  <si>
    <t>G-REQ-03220-E4</t>
  </si>
  <si>
    <t>G-REQ-03221-E1</t>
  </si>
  <si>
    <t>SYNTHETIC: Laptop return; Pending approval; asset G-AST-00204</t>
  </si>
  <si>
    <t>G-REQ-03221-E2</t>
  </si>
  <si>
    <t>SYNTHETIC: Laptop return; Approved; asset G-AST-00204</t>
  </si>
  <si>
    <t>G-REQ-03221-E3</t>
  </si>
  <si>
    <t>SYNTHETIC: Laptop return; In progress; asset G-AST-00204</t>
  </si>
  <si>
    <t>G-REQ-03221-E4</t>
  </si>
  <si>
    <t>SYNTHETIC: Laptop return; Completed; asset G-AST-00204</t>
  </si>
  <si>
    <t>G-REQ-03222-E1</t>
  </si>
  <si>
    <t>G-REQ-03222-E2</t>
  </si>
  <si>
    <t>G-REQ-03222-E3</t>
  </si>
  <si>
    <t>G-REQ-03222-E4</t>
  </si>
  <si>
    <t>G-REQ-03223-E1</t>
  </si>
  <si>
    <t>SYNTHETIC: Laptop repair; Pending approval; asset G-AST-00424</t>
  </si>
  <si>
    <t>G-REQ-03223-E2</t>
  </si>
  <si>
    <t>SYNTHETIC: Laptop repair; Rejected; asset G-AST-00424</t>
  </si>
  <si>
    <t>G-REQ-03224-E1</t>
  </si>
  <si>
    <t>G-REQ-03224-E2</t>
  </si>
  <si>
    <t>G-REQ-03224-E3</t>
  </si>
  <si>
    <t>G-REQ-03224-E4</t>
  </si>
  <si>
    <t>G-REQ-03225-E1</t>
  </si>
  <si>
    <t>G-REQ-03225-E2</t>
  </si>
  <si>
    <t>G-REQ-03225-E3</t>
  </si>
  <si>
    <t>G-REQ-03225-E4</t>
  </si>
  <si>
    <t>G-REQ-03226-E1</t>
  </si>
  <si>
    <t>G-REQ-03226-E2</t>
  </si>
  <si>
    <t>G-REQ-03227-E1</t>
  </si>
  <si>
    <t>G-REQ-03227-E2</t>
  </si>
  <si>
    <t>G-REQ-03227-E3</t>
  </si>
  <si>
    <t>G-REQ-03227-E4</t>
  </si>
  <si>
    <t>G-REQ-03228-E1</t>
  </si>
  <si>
    <t>G-REQ-03228-E2</t>
  </si>
  <si>
    <t>SYNTHETIC: Laptop return; Rejected; asset G-AST-00212</t>
  </si>
  <si>
    <t>G-REQ-03229-E1</t>
  </si>
  <si>
    <t>G-REQ-03229-E2</t>
  </si>
  <si>
    <t>G-REQ-03229-E3</t>
  </si>
  <si>
    <t>G-REQ-03229-E4</t>
  </si>
  <si>
    <t>G-REQ-03230-E1</t>
  </si>
  <si>
    <t>G-REQ-03230-E2</t>
  </si>
  <si>
    <t>G-REQ-03230-E3</t>
  </si>
  <si>
    <t>G-REQ-03230-E4</t>
  </si>
  <si>
    <t>G-REQ-03231-E1</t>
  </si>
  <si>
    <t>G-REQ-03231-E2</t>
  </si>
  <si>
    <t>G-REQ-03231-E3</t>
  </si>
  <si>
    <t>G-REQ-03231-E4</t>
  </si>
  <si>
    <t>G-REQ-03232-E1</t>
  </si>
  <si>
    <t>G-REQ-03232-E2</t>
  </si>
  <si>
    <t>G-REQ-03232-E3</t>
  </si>
  <si>
    <t>G-REQ-03232-E4</t>
  </si>
  <si>
    <t>G-REQ-03233-E1</t>
  </si>
  <si>
    <t>G-REQ-03233-E2</t>
  </si>
  <si>
    <t>G-REQ-03233-E3</t>
  </si>
  <si>
    <t>G-REQ-03233-E4</t>
  </si>
  <si>
    <t>G-REQ-03234-E1</t>
  </si>
  <si>
    <t>G-REQ-03234-E2</t>
  </si>
  <si>
    <t>G-REQ-03234-E3</t>
  </si>
  <si>
    <t>G-REQ-03234-E4</t>
  </si>
  <si>
    <t>G-REQ-03235-E1</t>
  </si>
  <si>
    <t>G-REQ-03235-E2</t>
  </si>
  <si>
    <t>SYNTHETIC: Laptop return; Rejected; asset G-AST-00430</t>
  </si>
  <si>
    <t>G-REQ-03236-E1</t>
  </si>
  <si>
    <t>SYNTHETIC: Laptop return; Pending approval; asset G-AST-00463</t>
  </si>
  <si>
    <t>G-REQ-03236-E2</t>
  </si>
  <si>
    <t>SYNTHETIC: Laptop return; Approved; asset G-AST-00463</t>
  </si>
  <si>
    <t>G-REQ-03236-E3</t>
  </si>
  <si>
    <t>SYNTHETIC: Laptop return; In progress; asset G-AST-00463</t>
  </si>
  <si>
    <t>G-REQ-03236-E4</t>
  </si>
  <si>
    <t>SYNTHETIC: Laptop return; Completed; asset G-AST-00463</t>
  </si>
  <si>
    <t>G-REQ-03237-E1</t>
  </si>
  <si>
    <t>G-REQ-03237-E2</t>
  </si>
  <si>
    <t>G-REQ-03237-E3</t>
  </si>
  <si>
    <t>G-REQ-03237-E4</t>
  </si>
  <si>
    <t>G-REQ-03238-E1</t>
  </si>
  <si>
    <t>SYNTHETIC: Laptop repair; Pending approval; asset G-AST-00439</t>
  </si>
  <si>
    <t>G-REQ-03238-E2</t>
  </si>
  <si>
    <t>SYNTHETIC: Laptop repair; Rejected; asset G-AST-00439</t>
  </si>
  <si>
    <t>G-REQ-03239-E1</t>
  </si>
  <si>
    <t>G-REQ-03239-E2</t>
  </si>
  <si>
    <t>G-REQ-03239-E3</t>
  </si>
  <si>
    <t>G-REQ-03239-E4</t>
  </si>
  <si>
    <t>G-REQ-03240-E1</t>
  </si>
  <si>
    <t>G-REQ-03240-E2</t>
  </si>
  <si>
    <t>G-REQ-03240-E3</t>
  </si>
  <si>
    <t>G-REQ-03240-E4</t>
  </si>
  <si>
    <t>G-REQ-03241-E1</t>
  </si>
  <si>
    <t>G-REQ-03241-E2</t>
  </si>
  <si>
    <t>G-REQ-03241-E3</t>
  </si>
  <si>
    <t>G-REQ-03241-E4</t>
  </si>
  <si>
    <t>G-REQ-03242-E1</t>
  </si>
  <si>
    <t>G-REQ-03242-E2</t>
  </si>
  <si>
    <t>G-REQ-03242-E3</t>
  </si>
  <si>
    <t>G-REQ-03242-E4</t>
  </si>
  <si>
    <t>G-REQ-03243-E1</t>
  </si>
  <si>
    <t>G-REQ-03243-E2</t>
  </si>
  <si>
    <t>G-REQ-03243-E3</t>
  </si>
  <si>
    <t>G-REQ-03243-E4</t>
  </si>
  <si>
    <t>G-REQ-03244-E1</t>
  </si>
  <si>
    <t>G-REQ-03244-E2</t>
  </si>
  <si>
    <t>G-REQ-03244-E3</t>
  </si>
  <si>
    <t>G-REQ-03244-E4</t>
  </si>
  <si>
    <t>G-REQ-03245-E1</t>
  </si>
  <si>
    <t>G-REQ-03245-E2</t>
  </si>
  <si>
    <t>G-REQ-03245-E3</t>
  </si>
  <si>
    <t>G-REQ-03245-E4</t>
  </si>
  <si>
    <t>G-REQ-03246-E1</t>
  </si>
  <si>
    <t>G-REQ-03246-E2</t>
  </si>
  <si>
    <t>G-REQ-03246-E3</t>
  </si>
  <si>
    <t>G-REQ-03246-E4</t>
  </si>
  <si>
    <t>G-REQ-03247-E1</t>
  </si>
  <si>
    <t>G-REQ-03247-E2</t>
  </si>
  <si>
    <t>G-REQ-03248-E1</t>
  </si>
  <si>
    <t>G-REQ-03248-E2</t>
  </si>
  <si>
    <t>G-REQ-03248-E3</t>
  </si>
  <si>
    <t>G-REQ-03248-E4</t>
  </si>
  <si>
    <t>G-REQ-03249-E1</t>
  </si>
  <si>
    <t>G-REQ-03249-E2</t>
  </si>
  <si>
    <t>G-REQ-03249-E3</t>
  </si>
  <si>
    <t>G-REQ-03249-E4</t>
  </si>
  <si>
    <t>G-REQ-03250-E1</t>
  </si>
  <si>
    <t>G-REQ-03250-E2</t>
  </si>
  <si>
    <t>G-REQ-03250-E3</t>
  </si>
  <si>
    <t>G-REQ-03250-E4</t>
  </si>
  <si>
    <t>G-REQ-03251-E1</t>
  </si>
  <si>
    <t>G-REQ-03251-E2</t>
  </si>
  <si>
    <t>G-REQ-03251-E3</t>
  </si>
  <si>
    <t>G-REQ-03251-E4</t>
  </si>
  <si>
    <t>G-REQ-03252-E1</t>
  </si>
  <si>
    <t>G-REQ-03252-E2</t>
  </si>
  <si>
    <t>SYNTHETIC: Laptop return; Approved; asset G-AST-00297</t>
  </si>
  <si>
    <t>G-REQ-03252-E3</t>
  </si>
  <si>
    <t>SYNTHETIC: Laptop return; In progress; asset G-AST-00297</t>
  </si>
  <si>
    <t>G-REQ-03252-E4</t>
  </si>
  <si>
    <t>SYNTHETIC: Laptop return; Completed; asset G-AST-00297</t>
  </si>
  <si>
    <t>G-REQ-03253-E1</t>
  </si>
  <si>
    <t>G-REQ-03253-E2</t>
  </si>
  <si>
    <t>G-REQ-03253-E3</t>
  </si>
  <si>
    <t>G-REQ-03253-E4</t>
  </si>
  <si>
    <t>G-REQ-03254-E1</t>
  </si>
  <si>
    <t>G-REQ-03254-E2</t>
  </si>
  <si>
    <t>G-REQ-03254-E3</t>
  </si>
  <si>
    <t>G-REQ-03254-E4</t>
  </si>
  <si>
    <t>G-REQ-03255-E1</t>
  </si>
  <si>
    <t>G-REQ-03255-E2</t>
  </si>
  <si>
    <t>G-REQ-03255-E3</t>
  </si>
  <si>
    <t>G-REQ-03255-E4</t>
  </si>
  <si>
    <t>G-REQ-03256-E1</t>
  </si>
  <si>
    <t>G-REQ-03256-E2</t>
  </si>
  <si>
    <t>G-REQ-03257-E1</t>
  </si>
  <si>
    <t>G-REQ-03257-E2</t>
  </si>
  <si>
    <t>G-REQ-03257-E3</t>
  </si>
  <si>
    <t>G-REQ-03257-E4</t>
  </si>
  <si>
    <t>G-REQ-03258-E1</t>
  </si>
  <si>
    <t>G-REQ-03258-E2</t>
  </si>
  <si>
    <t>G-REQ-03258-E3</t>
  </si>
  <si>
    <t>G-REQ-03258-E4</t>
  </si>
  <si>
    <t>G-REQ-03259-E1</t>
  </si>
  <si>
    <t>G-REQ-03259-E2</t>
  </si>
  <si>
    <t>G-REQ-03259-E3</t>
  </si>
  <si>
    <t>G-REQ-03259-E4</t>
  </si>
  <si>
    <t>G-REQ-03260-E1</t>
  </si>
  <si>
    <t>G-REQ-03260-E2</t>
  </si>
  <si>
    <t>G-REQ-03260-E3</t>
  </si>
  <si>
    <t>G-REQ-03260-E4</t>
  </si>
  <si>
    <t>G-REQ-03261-E1</t>
  </si>
  <si>
    <t>G-REQ-03261-E2</t>
  </si>
  <si>
    <t>SYNTHETIC: Laptop repair; Cancelled; asset G-AST-00264</t>
  </si>
  <si>
    <t>G-REQ-03262-E1</t>
  </si>
  <si>
    <t>G-REQ-03262-E2</t>
  </si>
  <si>
    <t>G-REQ-03262-E3</t>
  </si>
  <si>
    <t>G-REQ-03262-E4</t>
  </si>
  <si>
    <t>G-REQ-03263-E1</t>
  </si>
  <si>
    <t>G-REQ-03263-E2</t>
  </si>
  <si>
    <t>G-REQ-03263-E3</t>
  </si>
  <si>
    <t>G-REQ-03263-E4</t>
  </si>
  <si>
    <t>G-REQ-03264-E1</t>
  </si>
  <si>
    <t>G-REQ-03264-E2</t>
  </si>
  <si>
    <t>G-REQ-03264-E3</t>
  </si>
  <si>
    <t>G-REQ-03264-E4</t>
  </si>
  <si>
    <t>G-REQ-03265-E1</t>
  </si>
  <si>
    <t>G-REQ-03265-E2</t>
  </si>
  <si>
    <t>G-REQ-03265-E3</t>
  </si>
  <si>
    <t>G-REQ-03265-E4</t>
  </si>
  <si>
    <t>G-REQ-03266-E1</t>
  </si>
  <si>
    <t>G-REQ-03266-E2</t>
  </si>
  <si>
    <t>G-REQ-03266-E3</t>
  </si>
  <si>
    <t>G-REQ-03266-E4</t>
  </si>
  <si>
    <t>G-REQ-03267-E1</t>
  </si>
  <si>
    <t>G-REQ-03267-E2</t>
  </si>
  <si>
    <t>G-REQ-03267-E3</t>
  </si>
  <si>
    <t>G-REQ-03267-E4</t>
  </si>
  <si>
    <t>G-REQ-03268-E1</t>
  </si>
  <si>
    <t>G-REQ-03268-E2</t>
  </si>
  <si>
    <t>G-REQ-03268-E3</t>
  </si>
  <si>
    <t>G-REQ-03268-E4</t>
  </si>
  <si>
    <t>G-REQ-03269-E1</t>
  </si>
  <si>
    <t>G-REQ-03269-E2</t>
  </si>
  <si>
    <t>G-REQ-03269-E3</t>
  </si>
  <si>
    <t>G-REQ-03269-E4</t>
  </si>
  <si>
    <t>G-REQ-03270-E1</t>
  </si>
  <si>
    <t>G-REQ-03270-E2</t>
  </si>
  <si>
    <t>G-REQ-03270-E3</t>
  </si>
  <si>
    <t>G-REQ-03270-E4</t>
  </si>
  <si>
    <t>G-REQ-03271-E1</t>
  </si>
  <si>
    <t>G-REQ-03271-E2</t>
  </si>
  <si>
    <t>G-REQ-03271-E3</t>
  </si>
  <si>
    <t>G-REQ-03271-E4</t>
  </si>
  <si>
    <t>G-REQ-03272-E1</t>
  </si>
  <si>
    <t>G-REQ-03272-E2</t>
  </si>
  <si>
    <t>G-REQ-03272-E3</t>
  </si>
  <si>
    <t>G-REQ-03272-E4</t>
  </si>
  <si>
    <t>G-REQ-03273-E1</t>
  </si>
  <si>
    <t>SYNTHETIC: Laptop repair; Pending approval; asset G-AST-00434</t>
  </si>
  <si>
    <t>G-REQ-03273-E2</t>
  </si>
  <si>
    <t>SYNTHETIC: Laptop repair; Approved; asset G-AST-00434</t>
  </si>
  <si>
    <t>G-REQ-03273-E3</t>
  </si>
  <si>
    <t>SYNTHETIC: Laptop repair; In progress; asset G-AST-00434</t>
  </si>
  <si>
    <t>G-REQ-03273-E4</t>
  </si>
  <si>
    <t>SYNTHETIC: Laptop repair; Completed; asset G-AST-00434</t>
  </si>
  <si>
    <t>G-REQ-03274-E1</t>
  </si>
  <si>
    <t>G-REQ-03274-E2</t>
  </si>
  <si>
    <t>G-REQ-03274-E3</t>
  </si>
  <si>
    <t>G-REQ-03274-E4</t>
  </si>
  <si>
    <t>G-REQ-03275-E1</t>
  </si>
  <si>
    <t>G-REQ-03275-E2</t>
  </si>
  <si>
    <t>G-REQ-03275-E3</t>
  </si>
  <si>
    <t>G-REQ-03275-E4</t>
  </si>
  <si>
    <t>G-REQ-03276-E1</t>
  </si>
  <si>
    <t>G-REQ-03276-E2</t>
  </si>
  <si>
    <t>G-REQ-03276-E3</t>
  </si>
  <si>
    <t>G-REQ-03276-E4</t>
  </si>
  <si>
    <t>G-REQ-03277-E1</t>
  </si>
  <si>
    <t>G-REQ-03277-E2</t>
  </si>
  <si>
    <t>G-REQ-03277-E3</t>
  </si>
  <si>
    <t>G-REQ-03277-E4</t>
  </si>
  <si>
    <t>G-REQ-03278-E1</t>
  </si>
  <si>
    <t>G-REQ-03278-E2</t>
  </si>
  <si>
    <t>SYNTHETIC: Laptop return; Rejected; asset G-AST-00298</t>
  </si>
  <si>
    <t>G-REQ-03279-E1</t>
  </si>
  <si>
    <t>G-REQ-03279-E2</t>
  </si>
  <si>
    <t>G-REQ-03279-E3</t>
  </si>
  <si>
    <t>G-REQ-03279-E4</t>
  </si>
  <si>
    <t>G-REQ-03280-E1</t>
  </si>
  <si>
    <t>G-REQ-03280-E2</t>
  </si>
  <si>
    <t>G-REQ-03280-E3</t>
  </si>
  <si>
    <t>G-REQ-03280-E4</t>
  </si>
  <si>
    <t>G-REQ-03281-E1</t>
  </si>
  <si>
    <t>SYNTHETIC: Laptop return; Pending approval; asset G-AST-00437</t>
  </si>
  <si>
    <t>G-REQ-03281-E2</t>
  </si>
  <si>
    <t>SYNTHETIC: Laptop return; Approved; asset G-AST-00437</t>
  </si>
  <si>
    <t>G-REQ-03281-E3</t>
  </si>
  <si>
    <t>SYNTHETIC: Laptop return; In progress; asset G-AST-00437</t>
  </si>
  <si>
    <t>G-REQ-03281-E4</t>
  </si>
  <si>
    <t>SYNTHETIC: Laptop return; Completed; asset G-AST-00437</t>
  </si>
  <si>
    <t>G-REQ-03282-E1</t>
  </si>
  <si>
    <t>SYNTHETIC: Laptop return; Pending approval; asset G-AST-00489</t>
  </si>
  <si>
    <t>G-REQ-03282-E2</t>
  </si>
  <si>
    <t>SYNTHETIC: Laptop return; Approved; asset G-AST-00489</t>
  </si>
  <si>
    <t>G-REQ-03282-E3</t>
  </si>
  <si>
    <t>SYNTHETIC: Laptop return; In progress; asset G-AST-00489</t>
  </si>
  <si>
    <t>G-REQ-03282-E4</t>
  </si>
  <si>
    <t>SYNTHETIC: Laptop return; Completed; asset G-AST-00489</t>
  </si>
  <si>
    <t>G-REQ-03283-E1</t>
  </si>
  <si>
    <t>G-REQ-03283-E2</t>
  </si>
  <si>
    <t>G-REQ-03283-E3</t>
  </si>
  <si>
    <t>G-REQ-03283-E4</t>
  </si>
  <si>
    <t>G-REQ-03284-E1</t>
  </si>
  <si>
    <t>G-REQ-03284-E2</t>
  </si>
  <si>
    <t>G-REQ-03284-E3</t>
  </si>
  <si>
    <t>G-REQ-03284-E4</t>
  </si>
  <si>
    <t>G-REQ-03285-E1</t>
  </si>
  <si>
    <t>G-REQ-03285-E2</t>
  </si>
  <si>
    <t>G-REQ-03285-E3</t>
  </si>
  <si>
    <t>G-REQ-03285-E4</t>
  </si>
  <si>
    <t>G-REQ-03286-E1</t>
  </si>
  <si>
    <t>G-REQ-03286-E2</t>
  </si>
  <si>
    <t>G-REQ-03286-E3</t>
  </si>
  <si>
    <t>G-REQ-03286-E4</t>
  </si>
  <si>
    <t>G-REQ-03287-E1</t>
  </si>
  <si>
    <t>G-REQ-03287-E2</t>
  </si>
  <si>
    <t>G-REQ-03287-E3</t>
  </si>
  <si>
    <t>G-REQ-03287-E4</t>
  </si>
  <si>
    <t>G-REQ-03288-E1</t>
  </si>
  <si>
    <t>G-REQ-03288-E2</t>
  </si>
  <si>
    <t>G-REQ-03288-E3</t>
  </si>
  <si>
    <t>G-REQ-03288-E4</t>
  </si>
  <si>
    <t>G-REQ-03289-E1</t>
  </si>
  <si>
    <t>G-REQ-03289-E2</t>
  </si>
  <si>
    <t>G-REQ-03289-E3</t>
  </si>
  <si>
    <t>G-REQ-03289-E4</t>
  </si>
  <si>
    <t>G-REQ-03290-E1</t>
  </si>
  <si>
    <t>SYNTHETIC: Laptop return; Pending approval; asset G-AST-00076</t>
  </si>
  <si>
    <t>G-REQ-03290-E2</t>
  </si>
  <si>
    <t>SYNTHETIC: Laptop return; Approved; asset G-AST-00076</t>
  </si>
  <si>
    <t>G-REQ-03290-E3</t>
  </si>
  <si>
    <t>SYNTHETIC: Laptop return; In progress; asset G-AST-00076</t>
  </si>
  <si>
    <t>G-REQ-03290-E4</t>
  </si>
  <si>
    <t>SYNTHETIC: Laptop return; Completed; asset G-AST-00076</t>
  </si>
  <si>
    <t>G-REQ-03291-E1</t>
  </si>
  <si>
    <t>SYNTHETIC: Laptop repair; Pending approval; asset G-AST-00470</t>
  </si>
  <si>
    <t>G-REQ-03291-E2</t>
  </si>
  <si>
    <t>SYNTHETIC: Laptop repair; Approved; asset G-AST-00470</t>
  </si>
  <si>
    <t>G-REQ-03291-E3</t>
  </si>
  <si>
    <t>SYNTHETIC: Laptop repair; In progress; asset G-AST-00470</t>
  </si>
  <si>
    <t>G-REQ-03291-E4</t>
  </si>
  <si>
    <t>SYNTHETIC: Laptop repair; Completed; asset G-AST-00470</t>
  </si>
  <si>
    <t>G-REQ-03292-E1</t>
  </si>
  <si>
    <t>G-REQ-03292-E2</t>
  </si>
  <si>
    <t>G-REQ-03292-E3</t>
  </si>
  <si>
    <t>G-REQ-03292-E4</t>
  </si>
  <si>
    <t>G-REQ-03293-E1</t>
  </si>
  <si>
    <t>G-REQ-03293-E2</t>
  </si>
  <si>
    <t>G-REQ-03294-E1</t>
  </si>
  <si>
    <t>G-REQ-03294-E2</t>
  </si>
  <si>
    <t>G-REQ-03294-E3</t>
  </si>
  <si>
    <t>G-REQ-03294-E4</t>
  </si>
  <si>
    <t>G-REQ-03295-E1</t>
  </si>
  <si>
    <t>SYNTHETIC: Laptop repair; Pending approval; asset G-AST-00368</t>
  </si>
  <si>
    <t>G-REQ-03295-E2</t>
  </si>
  <si>
    <t>SYNTHETIC: Laptop repair; Approved; asset G-AST-00368</t>
  </si>
  <si>
    <t>G-REQ-03295-E3</t>
  </si>
  <si>
    <t>SYNTHETIC: Laptop repair; In progress; asset G-AST-00368</t>
  </si>
  <si>
    <t>G-REQ-03295-E4</t>
  </si>
  <si>
    <t>SYNTHETIC: Laptop repair; Completed; asset G-AST-00368</t>
  </si>
  <si>
    <t>G-REQ-03296-E1</t>
  </si>
  <si>
    <t>G-REQ-03296-E2</t>
  </si>
  <si>
    <t>G-REQ-03296-E3</t>
  </si>
  <si>
    <t>G-REQ-03296-E4</t>
  </si>
  <si>
    <t>G-REQ-03297-E1</t>
  </si>
  <si>
    <t>G-REQ-03297-E2</t>
  </si>
  <si>
    <t>G-REQ-03298-E1</t>
  </si>
  <si>
    <t>G-REQ-03298-E2</t>
  </si>
  <si>
    <t>G-REQ-03298-E3</t>
  </si>
  <si>
    <t>G-REQ-03298-E4</t>
  </si>
  <si>
    <t>G-REQ-03299-E1</t>
  </si>
  <si>
    <t>G-REQ-03299-E2</t>
  </si>
  <si>
    <t>G-REQ-03299-E3</t>
  </si>
  <si>
    <t>G-REQ-03299-E4</t>
  </si>
  <si>
    <t>G-REQ-03300-E1</t>
  </si>
  <si>
    <t>G-REQ-03300-E2</t>
  </si>
  <si>
    <t>G-REQ-03300-E3</t>
  </si>
  <si>
    <t>G-REQ-03300-E4</t>
  </si>
  <si>
    <t>G-REQ-03301-E1</t>
  </si>
  <si>
    <t>G-REQ-03301-E2</t>
  </si>
  <si>
    <t>G-REQ-03301-E3</t>
  </si>
  <si>
    <t>G-REQ-03301-E4</t>
  </si>
  <si>
    <t>G-REQ-03302-E1</t>
  </si>
  <si>
    <t>G-REQ-03302-E2</t>
  </si>
  <si>
    <t>G-REQ-03302-E3</t>
  </si>
  <si>
    <t>G-REQ-03302-E4</t>
  </si>
  <si>
    <t>G-REQ-03303-E1</t>
  </si>
  <si>
    <t>G-REQ-03303-E2</t>
  </si>
  <si>
    <t>G-REQ-03303-E3</t>
  </si>
  <si>
    <t>G-REQ-03303-E4</t>
  </si>
  <si>
    <t>G-REQ-03304-E1</t>
  </si>
  <si>
    <t>G-REQ-03304-E2</t>
  </si>
  <si>
    <t>SYNTHETIC: Laptop repair; Rejected; asset G-AST-00095</t>
  </si>
  <si>
    <t>G-REQ-03305-E1</t>
  </si>
  <si>
    <t>G-REQ-03305-E2</t>
  </si>
  <si>
    <t>G-REQ-03305-E3</t>
  </si>
  <si>
    <t>G-REQ-03305-E4</t>
  </si>
  <si>
    <t>G-REQ-03306-E1</t>
  </si>
  <si>
    <t>G-REQ-03306-E2</t>
  </si>
  <si>
    <t>G-REQ-03306-E3</t>
  </si>
  <si>
    <t>G-REQ-03306-E4</t>
  </si>
  <si>
    <t>G-REQ-03307-E1</t>
  </si>
  <si>
    <t>SYNTHETIC: Laptop repair; Pending approval; asset G-AST-00389</t>
  </si>
  <si>
    <t>G-REQ-03307-E2</t>
  </si>
  <si>
    <t>SYNTHETIC: Laptop repair; Approved; asset G-AST-00389</t>
  </si>
  <si>
    <t>G-REQ-03307-E3</t>
  </si>
  <si>
    <t>SYNTHETIC: Laptop repair; In progress; asset G-AST-00389</t>
  </si>
  <si>
    <t>G-REQ-03307-E4</t>
  </si>
  <si>
    <t>SYNTHETIC: Laptop repair; Completed; asset G-AST-00389</t>
  </si>
  <si>
    <t>G-REQ-03308-E1</t>
  </si>
  <si>
    <t>G-REQ-03308-E2</t>
  </si>
  <si>
    <t>G-REQ-03308-E3</t>
  </si>
  <si>
    <t>G-REQ-03308-E4</t>
  </si>
  <si>
    <t>G-REQ-03309-E1</t>
  </si>
  <si>
    <t>G-REQ-03309-E2</t>
  </si>
  <si>
    <t>G-REQ-03309-E3</t>
  </si>
  <si>
    <t>G-REQ-03309-E4</t>
  </si>
  <si>
    <t>G-REQ-03310-E1</t>
  </si>
  <si>
    <t>G-REQ-03310-E2</t>
  </si>
  <si>
    <t>G-REQ-03311-E1</t>
  </si>
  <si>
    <t>G-REQ-03311-E2</t>
  </si>
  <si>
    <t>G-REQ-03312-E1</t>
  </si>
  <si>
    <t>G-REQ-03312-E2</t>
  </si>
  <si>
    <t>G-REQ-03312-E3</t>
  </si>
  <si>
    <t>G-REQ-03312-E4</t>
  </si>
  <si>
    <t>G-REQ-03313-E1</t>
  </si>
  <si>
    <t>G-REQ-03313-E2</t>
  </si>
  <si>
    <t>G-REQ-03313-E3</t>
  </si>
  <si>
    <t>G-REQ-03313-E4</t>
  </si>
  <si>
    <t>G-REQ-03314-E1</t>
  </si>
  <si>
    <t>G-REQ-03314-E2</t>
  </si>
  <si>
    <t>G-REQ-03314-E3</t>
  </si>
  <si>
    <t>G-REQ-03314-E4</t>
  </si>
  <si>
    <t>G-REQ-03315-E1</t>
  </si>
  <si>
    <t>G-REQ-03315-E2</t>
  </si>
  <si>
    <t>G-REQ-03315-E3</t>
  </si>
  <si>
    <t>G-REQ-03315-E4</t>
  </si>
  <si>
    <t>G-REQ-03316-E1</t>
  </si>
  <si>
    <t>G-REQ-03316-E2</t>
  </si>
  <si>
    <t>G-REQ-03316-E3</t>
  </si>
  <si>
    <t>G-REQ-03316-E4</t>
  </si>
  <si>
    <t>G-REQ-03317-E1</t>
  </si>
  <si>
    <t>G-REQ-03317-E2</t>
  </si>
  <si>
    <t>G-REQ-03318-E1</t>
  </si>
  <si>
    <t>G-REQ-03318-E2</t>
  </si>
  <si>
    <t>G-REQ-03318-E3</t>
  </si>
  <si>
    <t>G-REQ-03318-E4</t>
  </si>
  <si>
    <t>G-REQ-03319-E1</t>
  </si>
  <si>
    <t>G-REQ-03319-E2</t>
  </si>
  <si>
    <t>G-REQ-03320-E1</t>
  </si>
  <si>
    <t>G-REQ-03320-E2</t>
  </si>
  <si>
    <t>SYNTHETIC: Laptop return; Rejected; asset G-AST-00275</t>
  </si>
  <si>
    <t>G-REQ-03321-E1</t>
  </si>
  <si>
    <t>G-REQ-03321-E2</t>
  </si>
  <si>
    <t>G-REQ-03321-E3</t>
  </si>
  <si>
    <t>G-REQ-03321-E4</t>
  </si>
  <si>
    <t>G-REQ-03322-E1</t>
  </si>
  <si>
    <t>G-REQ-03322-E2</t>
  </si>
  <si>
    <t>G-REQ-03322-E3</t>
  </si>
  <si>
    <t>G-REQ-03322-E4</t>
  </si>
  <si>
    <t>G-REQ-03323-E1</t>
  </si>
  <si>
    <t>G-REQ-03323-E2</t>
  </si>
  <si>
    <t>G-REQ-03323-E3</t>
  </si>
  <si>
    <t>G-REQ-03323-E4</t>
  </si>
  <si>
    <t>G-REQ-03324-E1</t>
  </si>
  <si>
    <t>G-REQ-03324-E2</t>
  </si>
  <si>
    <t>G-REQ-03324-E3</t>
  </si>
  <si>
    <t>G-REQ-03324-E4</t>
  </si>
  <si>
    <t>G-REQ-03325-E1</t>
  </si>
  <si>
    <t>G-REQ-03325-E2</t>
  </si>
  <si>
    <t>G-REQ-03325-E3</t>
  </si>
  <si>
    <t>G-REQ-03325-E4</t>
  </si>
  <si>
    <t>G-REQ-03326-E1</t>
  </si>
  <si>
    <t>G-REQ-03326-E2</t>
  </si>
  <si>
    <t>G-REQ-03326-E3</t>
  </si>
  <si>
    <t>G-REQ-03326-E4</t>
  </si>
  <si>
    <t>G-REQ-03327-E1</t>
  </si>
  <si>
    <t>G-REQ-03327-E2</t>
  </si>
  <si>
    <t>SYNTHETIC: Laptop return; Rejected; asset G-AST-00463</t>
  </si>
  <si>
    <t>G-REQ-03328-E1</t>
  </si>
  <si>
    <t>G-REQ-03328-E2</t>
  </si>
  <si>
    <t>G-REQ-03328-E3</t>
  </si>
  <si>
    <t>G-REQ-03328-E4</t>
  </si>
  <si>
    <t>G-REQ-03329-E1</t>
  </si>
  <si>
    <t>G-REQ-03329-E2</t>
  </si>
  <si>
    <t>G-REQ-03329-E3</t>
  </si>
  <si>
    <t>G-REQ-03329-E4</t>
  </si>
  <si>
    <t>G-REQ-03330-E1</t>
  </si>
  <si>
    <t>G-REQ-03330-E2</t>
  </si>
  <si>
    <t>G-REQ-03330-E3</t>
  </si>
  <si>
    <t>G-REQ-03330-E4</t>
  </si>
  <si>
    <t>G-REQ-03331-E1</t>
  </si>
  <si>
    <t>G-REQ-03331-E2</t>
  </si>
  <si>
    <t>G-REQ-03331-E3</t>
  </si>
  <si>
    <t>G-REQ-03331-E4</t>
  </si>
  <si>
    <t>G-REQ-03332-E1</t>
  </si>
  <si>
    <t>G-REQ-03332-E2</t>
  </si>
  <si>
    <t>G-REQ-03332-E3</t>
  </si>
  <si>
    <t>G-REQ-03332-E4</t>
  </si>
  <si>
    <t>G-REQ-03333-E1</t>
  </si>
  <si>
    <t>G-REQ-03333-E2</t>
  </si>
  <si>
    <t>G-REQ-03333-E3</t>
  </si>
  <si>
    <t>G-REQ-03333-E4</t>
  </si>
  <si>
    <t>G-REQ-03334-E1</t>
  </si>
  <si>
    <t>G-REQ-03334-E2</t>
  </si>
  <si>
    <t>G-REQ-03334-E3</t>
  </si>
  <si>
    <t>G-REQ-03334-E4</t>
  </si>
  <si>
    <t>G-REQ-03335-E1</t>
  </si>
  <si>
    <t>G-REQ-03335-E2</t>
  </si>
  <si>
    <t>G-REQ-03335-E3</t>
  </si>
  <si>
    <t>G-REQ-03335-E4</t>
  </si>
  <si>
    <t>G-REQ-03336-E1</t>
  </si>
  <si>
    <t>G-REQ-03336-E2</t>
  </si>
  <si>
    <t>G-REQ-03336-E3</t>
  </si>
  <si>
    <t>G-REQ-03336-E4</t>
  </si>
  <si>
    <t>G-REQ-03337-E1</t>
  </si>
  <si>
    <t>G-REQ-03337-E2</t>
  </si>
  <si>
    <t>G-REQ-03337-E3</t>
  </si>
  <si>
    <t>G-REQ-03337-E4</t>
  </si>
  <si>
    <t>G-REQ-03338-E1</t>
  </si>
  <si>
    <t>G-REQ-03338-E2</t>
  </si>
  <si>
    <t>G-REQ-03338-E3</t>
  </si>
  <si>
    <t>G-REQ-03338-E4</t>
  </si>
  <si>
    <t>G-REQ-03339-E1</t>
  </si>
  <si>
    <t>G-REQ-03339-E2</t>
  </si>
  <si>
    <t>G-REQ-03339-E3</t>
  </si>
  <si>
    <t>G-REQ-03339-E4</t>
  </si>
  <si>
    <t>G-REQ-03340-E1</t>
  </si>
  <si>
    <t>G-REQ-03340-E2</t>
  </si>
  <si>
    <t>G-REQ-03341-E1</t>
  </si>
  <si>
    <t>G-REQ-03341-E2</t>
  </si>
  <si>
    <t>G-REQ-03341-E3</t>
  </si>
  <si>
    <t>G-REQ-03341-E4</t>
  </si>
  <si>
    <t>G-REQ-03342-E1</t>
  </si>
  <si>
    <t>G-REQ-03342-E2</t>
  </si>
  <si>
    <t>G-REQ-03342-E3</t>
  </si>
  <si>
    <t>G-REQ-03342-E4</t>
  </si>
  <si>
    <t>G-REQ-03343-E1</t>
  </si>
  <si>
    <t>G-REQ-03343-E2</t>
  </si>
  <si>
    <t>G-REQ-03343-E3</t>
  </si>
  <si>
    <t>G-REQ-03343-E4</t>
  </si>
  <si>
    <t>G-REQ-03344-E1</t>
  </si>
  <si>
    <t>G-REQ-03344-E2</t>
  </si>
  <si>
    <t>G-REQ-03344-E3</t>
  </si>
  <si>
    <t>G-REQ-03344-E4</t>
  </si>
  <si>
    <t>G-REQ-03345-E1</t>
  </si>
  <si>
    <t>G-REQ-03345-E2</t>
  </si>
  <si>
    <t>G-REQ-03345-E3</t>
  </si>
  <si>
    <t>G-REQ-03345-E4</t>
  </si>
  <si>
    <t>G-REQ-03346-E1</t>
  </si>
  <si>
    <t>SYNTHETIC: Laptop return; Pending approval; asset G-AST-00518</t>
  </si>
  <si>
    <t>G-REQ-03346-E2</t>
  </si>
  <si>
    <t>SYNTHETIC: Laptop return; Approved; asset G-AST-00518</t>
  </si>
  <si>
    <t>G-REQ-03346-E3</t>
  </si>
  <si>
    <t>SYNTHETIC: Laptop return; In progress; asset G-AST-00518</t>
  </si>
  <si>
    <t>G-REQ-03346-E4</t>
  </si>
  <si>
    <t>SYNTHETIC: Laptop return; Completed; asset G-AST-00518</t>
  </si>
  <si>
    <t>G-REQ-03347-E1</t>
  </si>
  <si>
    <t>G-REQ-03347-E2</t>
  </si>
  <si>
    <t>G-REQ-03347-E3</t>
  </si>
  <si>
    <t>G-REQ-03347-E4</t>
  </si>
  <si>
    <t>G-REQ-03348-E1</t>
  </si>
  <si>
    <t>G-REQ-03348-E2</t>
  </si>
  <si>
    <t>G-REQ-03348-E3</t>
  </si>
  <si>
    <t>G-REQ-03348-E4</t>
  </si>
  <si>
    <t>G-REQ-03349-E1</t>
  </si>
  <si>
    <t>G-REQ-03349-E2</t>
  </si>
  <si>
    <t>G-REQ-03349-E3</t>
  </si>
  <si>
    <t>G-REQ-03349-E4</t>
  </si>
  <si>
    <t>G-REQ-03350-E1</t>
  </si>
  <si>
    <t>G-REQ-03350-E2</t>
  </si>
  <si>
    <t>G-REQ-03350-E3</t>
  </si>
  <si>
    <t>G-REQ-03350-E4</t>
  </si>
  <si>
    <t>G-REQ-03351-E1</t>
  </si>
  <si>
    <t>G-REQ-03351-E2</t>
  </si>
  <si>
    <t>G-REQ-03351-E3</t>
  </si>
  <si>
    <t>G-REQ-03351-E4</t>
  </si>
  <si>
    <t>G-REQ-03352-E1</t>
  </si>
  <si>
    <t>G-REQ-03352-E2</t>
  </si>
  <si>
    <t>G-REQ-03352-E3</t>
  </si>
  <si>
    <t>G-REQ-03352-E4</t>
  </si>
  <si>
    <t>G-REQ-03353-E1</t>
  </si>
  <si>
    <t>SYNTHETIC: Laptop repair; Pending approval; asset G-AST-00490</t>
  </si>
  <si>
    <t>G-REQ-03353-E2</t>
  </si>
  <si>
    <t>SYNTHETIC: Laptop repair; Approved; asset G-AST-00490</t>
  </si>
  <si>
    <t>G-REQ-03353-E3</t>
  </si>
  <si>
    <t>SYNTHETIC: Laptop repair; In progress; asset G-AST-00490</t>
  </si>
  <si>
    <t>G-REQ-03353-E4</t>
  </si>
  <si>
    <t>SYNTHETIC: Laptop repair; Completed; asset G-AST-00490</t>
  </si>
  <si>
    <t>G-REQ-03354-E1</t>
  </si>
  <si>
    <t>G-REQ-03354-E2</t>
  </si>
  <si>
    <t>G-REQ-03354-E3</t>
  </si>
  <si>
    <t>G-REQ-03354-E4</t>
  </si>
  <si>
    <t>G-REQ-03355-E1</t>
  </si>
  <si>
    <t>SYNTHETIC: Laptop repair; Pending approval; asset G-AST-00385</t>
  </si>
  <si>
    <t>G-REQ-03355-E2</t>
  </si>
  <si>
    <t>SYNTHETIC: Laptop repair; Approved; asset G-AST-00385</t>
  </si>
  <si>
    <t>G-REQ-03355-E3</t>
  </si>
  <si>
    <t>SYNTHETIC: Laptop repair; In progress; asset G-AST-00385</t>
  </si>
  <si>
    <t>G-REQ-03355-E4</t>
  </si>
  <si>
    <t>SYNTHETIC: Laptop repair; Completed; asset G-AST-00385</t>
  </si>
  <si>
    <t>G-REQ-03356-E1</t>
  </si>
  <si>
    <t>G-REQ-03356-E2</t>
  </si>
  <si>
    <t>G-REQ-03356-E3</t>
  </si>
  <si>
    <t>G-REQ-03356-E4</t>
  </si>
  <si>
    <t>G-REQ-03357-E1</t>
  </si>
  <si>
    <t>G-REQ-03357-E2</t>
  </si>
  <si>
    <t>G-REQ-03357-E3</t>
  </si>
  <si>
    <t>G-REQ-03357-E4</t>
  </si>
  <si>
    <t>G-REQ-03358-E1</t>
  </si>
  <si>
    <t>G-REQ-03358-E2</t>
  </si>
  <si>
    <t>G-REQ-03358-E3</t>
  </si>
  <si>
    <t>G-REQ-03358-E4</t>
  </si>
  <si>
    <t>G-REQ-03359-E1</t>
  </si>
  <si>
    <t>G-REQ-03359-E2</t>
  </si>
  <si>
    <t>G-REQ-03359-E3</t>
  </si>
  <si>
    <t>G-REQ-03359-E4</t>
  </si>
  <si>
    <t>G-REQ-03360-E1</t>
  </si>
  <si>
    <t>G-REQ-03360-E2</t>
  </si>
  <si>
    <t>G-REQ-03360-E3</t>
  </si>
  <si>
    <t>G-REQ-03360-E4</t>
  </si>
  <si>
    <t>G-REQ-03361-E1</t>
  </si>
  <si>
    <t>G-REQ-03361-E2</t>
  </si>
  <si>
    <t>G-REQ-03361-E3</t>
  </si>
  <si>
    <t>G-REQ-03361-E4</t>
  </si>
  <si>
    <t>G-REQ-03362-E1</t>
  </si>
  <si>
    <t>G-REQ-03362-E2</t>
  </si>
  <si>
    <t>G-REQ-03362-E3</t>
  </si>
  <si>
    <t>G-REQ-03362-E4</t>
  </si>
  <si>
    <t>G-REQ-03363-E1</t>
  </si>
  <si>
    <t>G-REQ-03363-E2</t>
  </si>
  <si>
    <t>G-REQ-03363-E3</t>
  </si>
  <si>
    <t>G-REQ-03363-E4</t>
  </si>
  <si>
    <t>G-REQ-03364-E1</t>
  </si>
  <si>
    <t>G-REQ-03364-E2</t>
  </si>
  <si>
    <t>G-REQ-03364-E3</t>
  </si>
  <si>
    <t>G-REQ-03364-E4</t>
  </si>
  <si>
    <t>G-REQ-03365-E1</t>
  </si>
  <si>
    <t>G-REQ-03365-E2</t>
  </si>
  <si>
    <t>G-REQ-03365-E3</t>
  </si>
  <si>
    <t>G-REQ-03365-E4</t>
  </si>
  <si>
    <t>G-REQ-03366-E1</t>
  </si>
  <si>
    <t>SYNTHETIC: Laptop repair; Pending approval; asset G-AST-00069</t>
  </si>
  <si>
    <t>G-REQ-03366-E2</t>
  </si>
  <si>
    <t>SYNTHETIC: Laptop repair; Approved; asset G-AST-00069</t>
  </si>
  <si>
    <t>G-REQ-03366-E3</t>
  </si>
  <si>
    <t>SYNTHETIC: Laptop repair; In progress; asset G-AST-00069</t>
  </si>
  <si>
    <t>G-REQ-03366-E4</t>
  </si>
  <si>
    <t>SYNTHETIC: Laptop repair; Completed; asset G-AST-00069</t>
  </si>
  <si>
    <t>G-REQ-03367-E1</t>
  </si>
  <si>
    <t>SYNTHETIC: Laptop repair; Pending approval; asset G-AST-00252</t>
  </si>
  <si>
    <t>G-REQ-03367-E2</t>
  </si>
  <si>
    <t>SYNTHETIC: Laptop repair; Approved; asset G-AST-00252</t>
  </si>
  <si>
    <t>G-REQ-03367-E3</t>
  </si>
  <si>
    <t>SYNTHETIC: Laptop repair; In progress; asset G-AST-00252</t>
  </si>
  <si>
    <t>G-REQ-03367-E4</t>
  </si>
  <si>
    <t>SYNTHETIC: Laptop repair; Completed; asset G-AST-00252</t>
  </si>
  <si>
    <t>G-REQ-03368-E1</t>
  </si>
  <si>
    <t>G-REQ-03368-E2</t>
  </si>
  <si>
    <t>G-REQ-03368-E3</t>
  </si>
  <si>
    <t>G-REQ-03368-E4</t>
  </si>
  <si>
    <t>G-REQ-03369-E1</t>
  </si>
  <si>
    <t>SYNTHETIC: Laptop return; Pending approval; asset G-AST-00469</t>
  </si>
  <si>
    <t>G-REQ-03369-E2</t>
  </si>
  <si>
    <t>SYNTHETIC: Laptop return; Approved; asset G-AST-00469</t>
  </si>
  <si>
    <t>G-REQ-03369-E3</t>
  </si>
  <si>
    <t>SYNTHETIC: Laptop return; In progress; asset G-AST-00469</t>
  </si>
  <si>
    <t>G-REQ-03369-E4</t>
  </si>
  <si>
    <t>SYNTHETIC: Laptop return; Completed; asset G-AST-00469</t>
  </si>
  <si>
    <t>G-REQ-03370-E1</t>
  </si>
  <si>
    <t>G-REQ-03370-E2</t>
  </si>
  <si>
    <t>G-REQ-03370-E3</t>
  </si>
  <si>
    <t>G-REQ-03370-E4</t>
  </si>
  <si>
    <t>G-REQ-03371-E1</t>
  </si>
  <si>
    <t>G-REQ-03371-E2</t>
  </si>
  <si>
    <t>G-REQ-03371-E3</t>
  </si>
  <si>
    <t>G-REQ-03371-E4</t>
  </si>
  <si>
    <t>G-REQ-03372-E1</t>
  </si>
  <si>
    <t>G-REQ-03372-E2</t>
  </si>
  <si>
    <t>G-REQ-03372-E3</t>
  </si>
  <si>
    <t>G-REQ-03372-E4</t>
  </si>
  <si>
    <t>G-REQ-03373-E1</t>
  </si>
  <si>
    <t>G-REQ-03373-E2</t>
  </si>
  <si>
    <t>G-REQ-03373-E3</t>
  </si>
  <si>
    <t>G-REQ-03373-E4</t>
  </si>
  <si>
    <t>G-REQ-03374-E1</t>
  </si>
  <si>
    <t>G-REQ-03374-E2</t>
  </si>
  <si>
    <t>G-REQ-03374-E3</t>
  </si>
  <si>
    <t>G-REQ-03374-E4</t>
  </si>
  <si>
    <t>G-REQ-03375-E1</t>
  </si>
  <si>
    <t>G-REQ-03375-E2</t>
  </si>
  <si>
    <t>G-REQ-03375-E3</t>
  </si>
  <si>
    <t>G-REQ-03375-E4</t>
  </si>
  <si>
    <t>G-REQ-03376-E1</t>
  </si>
  <si>
    <t>G-REQ-03376-E2</t>
  </si>
  <si>
    <t>G-REQ-03376-E3</t>
  </si>
  <si>
    <t>G-REQ-03376-E4</t>
  </si>
  <si>
    <t>G-REQ-03377-E1</t>
  </si>
  <si>
    <t>G-REQ-03377-E2</t>
  </si>
  <si>
    <t>G-REQ-03377-E3</t>
  </si>
  <si>
    <t>G-REQ-03377-E4</t>
  </si>
  <si>
    <t>G-REQ-03378-E1</t>
  </si>
  <si>
    <t>G-REQ-03378-E2</t>
  </si>
  <si>
    <t>G-REQ-03378-E3</t>
  </si>
  <si>
    <t>G-REQ-03378-E4</t>
  </si>
  <si>
    <t>G-REQ-03379-E1</t>
  </si>
  <si>
    <t>G-REQ-03379-E2</t>
  </si>
  <si>
    <t>G-REQ-03379-E3</t>
  </si>
  <si>
    <t>G-REQ-03379-E4</t>
  </si>
  <si>
    <t>G-REQ-03380-E1</t>
  </si>
  <si>
    <t>G-REQ-03380-E2</t>
  </si>
  <si>
    <t>G-REQ-03380-E3</t>
  </si>
  <si>
    <t>G-REQ-03380-E4</t>
  </si>
  <si>
    <t>G-REQ-03381-E1</t>
  </si>
  <si>
    <t>SYNTHETIC: Laptop repair; Pending approval; asset G-AST-00494</t>
  </si>
  <si>
    <t>G-REQ-03381-E2</t>
  </si>
  <si>
    <t>SYNTHETIC: Laptop repair; Approved; asset G-AST-00494</t>
  </si>
  <si>
    <t>G-REQ-03381-E3</t>
  </si>
  <si>
    <t>SYNTHETIC: Laptop repair; In progress; asset G-AST-00494</t>
  </si>
  <si>
    <t>G-REQ-03381-E4</t>
  </si>
  <si>
    <t>SYNTHETIC: Laptop repair; Completed; asset G-AST-00494</t>
  </si>
  <si>
    <t>G-REQ-03382-E1</t>
  </si>
  <si>
    <t>G-REQ-03382-E2</t>
  </si>
  <si>
    <t>G-REQ-03383-E1</t>
  </si>
  <si>
    <t>G-REQ-03383-E2</t>
  </si>
  <si>
    <t>G-REQ-03383-E3</t>
  </si>
  <si>
    <t>G-REQ-03383-E4</t>
  </si>
  <si>
    <t>G-REQ-03384-E1</t>
  </si>
  <si>
    <t>G-REQ-03384-E2</t>
  </si>
  <si>
    <t>SYNTHETIC: Laptop return; Rejected; asset G-AST-00355</t>
  </si>
  <si>
    <t>G-REQ-03385-E1</t>
  </si>
  <si>
    <t>G-REQ-03385-E2</t>
  </si>
  <si>
    <t>SYNTHETIC: Laptop return; Cancelled; asset G-AST-00497</t>
  </si>
  <si>
    <t>G-REQ-03386-E1</t>
  </si>
  <si>
    <t>G-REQ-03386-E2</t>
  </si>
  <si>
    <t>SYNTHETIC: Laptop return; Cancelled; asset G-AST-00468</t>
  </si>
  <si>
    <t>G-REQ-03387-E1</t>
  </si>
  <si>
    <t>G-REQ-03387-E2</t>
  </si>
  <si>
    <t>G-REQ-03387-E3</t>
  </si>
  <si>
    <t>G-REQ-03387-E4</t>
  </si>
  <si>
    <t>G-REQ-03388-E1</t>
  </si>
  <si>
    <t>G-REQ-03388-E2</t>
  </si>
  <si>
    <t>G-REQ-03388-E3</t>
  </si>
  <si>
    <t>G-REQ-03388-E4</t>
  </si>
  <si>
    <t>G-REQ-03389-E1</t>
  </si>
  <si>
    <t>G-REQ-03389-E2</t>
  </si>
  <si>
    <t>G-REQ-03389-E3</t>
  </si>
  <si>
    <t>G-REQ-03389-E4</t>
  </si>
  <si>
    <t>G-REQ-03390-E1</t>
  </si>
  <si>
    <t>G-REQ-03390-E2</t>
  </si>
  <si>
    <t>G-REQ-03390-E3</t>
  </si>
  <si>
    <t>G-REQ-03390-E4</t>
  </si>
  <si>
    <t>G-REQ-03391-E1</t>
  </si>
  <si>
    <t>G-REQ-03391-E2</t>
  </si>
  <si>
    <t>G-REQ-03391-E3</t>
  </si>
  <si>
    <t>G-REQ-03391-E4</t>
  </si>
  <si>
    <t>G-REQ-03392-E1</t>
  </si>
  <si>
    <t>G-REQ-03392-E2</t>
  </si>
  <si>
    <t>G-REQ-03392-E3</t>
  </si>
  <si>
    <t>G-REQ-03392-E4</t>
  </si>
  <si>
    <t>G-REQ-03393-E1</t>
  </si>
  <si>
    <t>G-REQ-03393-E2</t>
  </si>
  <si>
    <t>G-REQ-03393-E3</t>
  </si>
  <si>
    <t>G-REQ-03393-E4</t>
  </si>
  <si>
    <t>G-REQ-03394-E1</t>
  </si>
  <si>
    <t>G-REQ-03394-E2</t>
  </si>
  <si>
    <t>G-REQ-03394-E3</t>
  </si>
  <si>
    <t>G-REQ-03394-E4</t>
  </si>
  <si>
    <t>G-REQ-03395-E1</t>
  </si>
  <si>
    <t>G-REQ-03395-E2</t>
  </si>
  <si>
    <t>G-REQ-03395-E3</t>
  </si>
  <si>
    <t>G-REQ-03395-E4</t>
  </si>
  <si>
    <t>G-REQ-03396-E1</t>
  </si>
  <si>
    <t>G-REQ-03396-E2</t>
  </si>
  <si>
    <t>G-REQ-03396-E3</t>
  </si>
  <si>
    <t>G-REQ-03396-E4</t>
  </si>
  <si>
    <t>G-REQ-03397-E1</t>
  </si>
  <si>
    <t>G-REQ-03397-E2</t>
  </si>
  <si>
    <t>G-REQ-03397-E3</t>
  </si>
  <si>
    <t>G-REQ-03397-E4</t>
  </si>
  <si>
    <t>G-REQ-03398-E1</t>
  </si>
  <si>
    <t>G-REQ-03398-E2</t>
  </si>
  <si>
    <t>G-REQ-03398-E3</t>
  </si>
  <si>
    <t>G-REQ-03398-E4</t>
  </si>
  <si>
    <t>G-REQ-03399-E1</t>
  </si>
  <si>
    <t>G-REQ-03399-E2</t>
  </si>
  <si>
    <t>SYNTHETIC: Laptop return; Rejected; asset G-AST-00464</t>
  </si>
  <si>
    <t>G-REQ-03400-E1</t>
  </si>
  <si>
    <t>G-REQ-03400-E2</t>
  </si>
  <si>
    <t>G-REQ-03400-E3</t>
  </si>
  <si>
    <t>G-REQ-03400-E4</t>
  </si>
  <si>
    <t>G-REQ-03401-E1</t>
  </si>
  <si>
    <t>SYNTHETIC: Laptop return; Pending approval; asset G-AST-00502</t>
  </si>
  <si>
    <t>G-REQ-03401-E2</t>
  </si>
  <si>
    <t>SYNTHETIC: Laptop return; Approved; asset G-AST-00502</t>
  </si>
  <si>
    <t>G-REQ-03401-E3</t>
  </si>
  <si>
    <t>SYNTHETIC: Laptop return; In progress; asset G-AST-00502</t>
  </si>
  <si>
    <t>G-REQ-03401-E4</t>
  </si>
  <si>
    <t>SYNTHETIC: Laptop return; Completed; asset G-AST-00502</t>
  </si>
  <si>
    <t>G-REQ-03402-E1</t>
  </si>
  <si>
    <t>G-REQ-03402-E2</t>
  </si>
  <si>
    <t>G-REQ-03402-E3</t>
  </si>
  <si>
    <t>G-REQ-03402-E4</t>
  </si>
  <si>
    <t>G-REQ-03403-E1</t>
  </si>
  <si>
    <t>G-REQ-03403-E2</t>
  </si>
  <si>
    <t>G-REQ-03404-E1</t>
  </si>
  <si>
    <t>G-REQ-03404-E2</t>
  </si>
  <si>
    <t>G-REQ-03404-E3</t>
  </si>
  <si>
    <t>G-REQ-03404-E4</t>
  </si>
  <si>
    <t>G-REQ-03405-E1</t>
  </si>
  <si>
    <t>G-REQ-03405-E2</t>
  </si>
  <si>
    <t>G-REQ-03405-E3</t>
  </si>
  <si>
    <t>G-REQ-03405-E4</t>
  </si>
  <si>
    <t>G-REQ-03406-E1</t>
  </si>
  <si>
    <t>G-REQ-03406-E2</t>
  </si>
  <si>
    <t>G-REQ-03406-E3</t>
  </si>
  <si>
    <t>G-REQ-03406-E4</t>
  </si>
  <si>
    <t>G-REQ-03407-E1</t>
  </si>
  <si>
    <t>G-REQ-03407-E2</t>
  </si>
  <si>
    <t>G-REQ-03407-E3</t>
  </si>
  <si>
    <t>G-REQ-03407-E4</t>
  </si>
  <si>
    <t>G-REQ-03408-E1</t>
  </si>
  <si>
    <t>G-REQ-03408-E2</t>
  </si>
  <si>
    <t>G-REQ-03408-E3</t>
  </si>
  <si>
    <t>G-REQ-03408-E4</t>
  </si>
  <si>
    <t>G-REQ-03409-E1</t>
  </si>
  <si>
    <t>G-REQ-03409-E2</t>
  </si>
  <si>
    <t>G-REQ-03409-E3</t>
  </si>
  <si>
    <t>G-REQ-03409-E4</t>
  </si>
  <si>
    <t>G-REQ-03410-E1</t>
  </si>
  <si>
    <t>G-REQ-03410-E2</t>
  </si>
  <si>
    <t>SYNTHETIC: Laptop repair; Cancelled; asset G-AST-00311</t>
  </si>
  <si>
    <t>G-REQ-03411-E1</t>
  </si>
  <si>
    <t>G-REQ-03411-E2</t>
  </si>
  <si>
    <t>G-REQ-03411-E3</t>
  </si>
  <si>
    <t>G-REQ-03411-E4</t>
  </si>
  <si>
    <t>G-REQ-03412-E1</t>
  </si>
  <si>
    <t>G-REQ-03412-E2</t>
  </si>
  <si>
    <t>G-REQ-03412-E3</t>
  </si>
  <si>
    <t>G-REQ-03412-E4</t>
  </si>
  <si>
    <t>G-REQ-03413-E1</t>
  </si>
  <si>
    <t>SYNTHETIC: Laptop repair; Pending approval; asset G-AST-00510</t>
  </si>
  <si>
    <t>G-REQ-03413-E2</t>
  </si>
  <si>
    <t>SYNTHETIC: Laptop repair; Cancelled; asset G-AST-00510</t>
  </si>
  <si>
    <t>G-REQ-03414-E1</t>
  </si>
  <si>
    <t>G-REQ-03414-E2</t>
  </si>
  <si>
    <t>G-REQ-03414-E3</t>
  </si>
  <si>
    <t>G-REQ-03414-E4</t>
  </si>
  <si>
    <t>G-REQ-03415-E1</t>
  </si>
  <si>
    <t>SYNTHETIC: Laptop repair; Pending approval; asset G-AST-00416</t>
  </si>
  <si>
    <t>G-REQ-03415-E2</t>
  </si>
  <si>
    <t>SYNTHETIC: Laptop repair; Approved; asset G-AST-00416</t>
  </si>
  <si>
    <t>G-REQ-03415-E3</t>
  </si>
  <si>
    <t>SYNTHETIC: Laptop repair; In progress; asset G-AST-00416</t>
  </si>
  <si>
    <t>G-REQ-03415-E4</t>
  </si>
  <si>
    <t>SYNTHETIC: Laptop repair; Completed; asset G-AST-00416</t>
  </si>
  <si>
    <t>G-REQ-03416-E1</t>
  </si>
  <si>
    <t>G-REQ-03416-E2</t>
  </si>
  <si>
    <t>G-REQ-03416-E3</t>
  </si>
  <si>
    <t>G-REQ-03416-E4</t>
  </si>
  <si>
    <t>G-REQ-03417-E1</t>
  </si>
  <si>
    <t>G-REQ-03417-E2</t>
  </si>
  <si>
    <t>G-REQ-03417-E3</t>
  </si>
  <si>
    <t>G-REQ-03417-E4</t>
  </si>
  <si>
    <t>G-REQ-03418-E1</t>
  </si>
  <si>
    <t>G-REQ-03418-E2</t>
  </si>
  <si>
    <t>G-REQ-03418-E3</t>
  </si>
  <si>
    <t>G-REQ-03418-E4</t>
  </si>
  <si>
    <t>G-REQ-03419-E1</t>
  </si>
  <si>
    <t>G-REQ-03419-E2</t>
  </si>
  <si>
    <t>SYNTHETIC: Laptop repair; Cancelled; asset G-AST-00318</t>
  </si>
  <si>
    <t>G-REQ-03420-E1</t>
  </si>
  <si>
    <t>G-REQ-03420-E2</t>
  </si>
  <si>
    <t>G-REQ-03420-E3</t>
  </si>
  <si>
    <t>G-REQ-03420-E4</t>
  </si>
  <si>
    <t>G-REQ-03421-E1</t>
  </si>
  <si>
    <t>G-REQ-03421-E2</t>
  </si>
  <si>
    <t>G-REQ-03421-E3</t>
  </si>
  <si>
    <t>G-REQ-03421-E4</t>
  </si>
  <si>
    <t>G-REQ-03422-E1</t>
  </si>
  <si>
    <t>G-REQ-03422-E2</t>
  </si>
  <si>
    <t>SYNTHETIC: Laptop repair; Rejected; asset G-AST-00495</t>
  </si>
  <si>
    <t>G-REQ-03423-E1</t>
  </si>
  <si>
    <t>G-REQ-03423-E2</t>
  </si>
  <si>
    <t>G-REQ-03423-E3</t>
  </si>
  <si>
    <t>G-REQ-03423-E4</t>
  </si>
  <si>
    <t>G-REQ-03424-E1</t>
  </si>
  <si>
    <t>G-REQ-03424-E2</t>
  </si>
  <si>
    <t>G-REQ-03424-E3</t>
  </si>
  <si>
    <t>G-REQ-03424-E4</t>
  </si>
  <si>
    <t>G-REQ-03425-E1</t>
  </si>
  <si>
    <t>G-REQ-03425-E2</t>
  </si>
  <si>
    <t>G-REQ-03425-E3</t>
  </si>
  <si>
    <t>G-REQ-03425-E4</t>
  </si>
  <si>
    <t>G-REQ-03426-E1</t>
  </si>
  <si>
    <t>G-REQ-03426-E2</t>
  </si>
  <si>
    <t>G-REQ-03426-E3</t>
  </si>
  <si>
    <t>G-REQ-03426-E4</t>
  </si>
  <si>
    <t>G-REQ-03427-E1</t>
  </si>
  <si>
    <t>G-REQ-03427-E2</t>
  </si>
  <si>
    <t>G-REQ-03427-E3</t>
  </si>
  <si>
    <t>G-REQ-03427-E4</t>
  </si>
  <si>
    <t>G-REQ-03428-E1</t>
  </si>
  <si>
    <t>SYNTHETIC: Laptop repair; Pending approval; asset G-AST-00089</t>
  </si>
  <si>
    <t>G-REQ-03428-E2</t>
  </si>
  <si>
    <t>SYNTHETIC: Laptop repair; Rejected; asset G-AST-00089</t>
  </si>
  <si>
    <t>G-REQ-03429-E1</t>
  </si>
  <si>
    <t>G-REQ-03429-E2</t>
  </si>
  <si>
    <t>G-REQ-03430-E1</t>
  </si>
  <si>
    <t>G-REQ-03430-E2</t>
  </si>
  <si>
    <t>G-REQ-03430-E3</t>
  </si>
  <si>
    <t>G-REQ-03430-E4</t>
  </si>
  <si>
    <t>G-REQ-03431-E1</t>
  </si>
  <si>
    <t>G-REQ-03431-E2</t>
  </si>
  <si>
    <t>G-REQ-03431-E3</t>
  </si>
  <si>
    <t>G-REQ-03431-E4</t>
  </si>
  <si>
    <t>G-REQ-03432-E1</t>
  </si>
  <si>
    <t>G-REQ-03432-E2</t>
  </si>
  <si>
    <t>G-REQ-03432-E3</t>
  </si>
  <si>
    <t>G-REQ-03432-E4</t>
  </si>
  <si>
    <t>G-REQ-03433-E1</t>
  </si>
  <si>
    <t>SYNTHETIC: Laptop return; Pending approval; asset G-AST-00528</t>
  </si>
  <si>
    <t>G-REQ-03433-E2</t>
  </si>
  <si>
    <t>SYNTHETIC: Laptop return; Approved; asset G-AST-00528</t>
  </si>
  <si>
    <t>G-REQ-03433-E3</t>
  </si>
  <si>
    <t>SYNTHETIC: Laptop return; In progress; asset G-AST-00528</t>
  </si>
  <si>
    <t>G-REQ-03433-E4</t>
  </si>
  <si>
    <t>SYNTHETIC: Laptop return; Completed; asset G-AST-00528</t>
  </si>
  <si>
    <t>G-REQ-03434-E1</t>
  </si>
  <si>
    <t>G-REQ-03434-E2</t>
  </si>
  <si>
    <t>G-REQ-03434-E3</t>
  </si>
  <si>
    <t>G-REQ-03434-E4</t>
  </si>
  <si>
    <t>G-REQ-03435-E1</t>
  </si>
  <si>
    <t>G-REQ-03435-E2</t>
  </si>
  <si>
    <t>G-REQ-03435-E3</t>
  </si>
  <si>
    <t>G-REQ-03435-E4</t>
  </si>
  <si>
    <t>G-REQ-03436-E1</t>
  </si>
  <si>
    <t>G-REQ-03436-E2</t>
  </si>
  <si>
    <t>G-REQ-03436-E3</t>
  </si>
  <si>
    <t>G-REQ-03436-E4</t>
  </si>
  <si>
    <t>G-REQ-03437-E1</t>
  </si>
  <si>
    <t>G-REQ-03437-E2</t>
  </si>
  <si>
    <t>G-REQ-03437-E3</t>
  </si>
  <si>
    <t>G-REQ-03437-E4</t>
  </si>
  <si>
    <t>G-REQ-03438-E1</t>
  </si>
  <si>
    <t>G-REQ-03438-E2</t>
  </si>
  <si>
    <t>G-REQ-03438-E3</t>
  </si>
  <si>
    <t>G-REQ-03438-E4</t>
  </si>
  <si>
    <t>G-REQ-03439-E1</t>
  </si>
  <si>
    <t>G-REQ-03439-E2</t>
  </si>
  <si>
    <t>G-REQ-03439-E3</t>
  </si>
  <si>
    <t>G-REQ-03439-E4</t>
  </si>
  <si>
    <t>G-REQ-03440-E1</t>
  </si>
  <si>
    <t>G-REQ-03440-E2</t>
  </si>
  <si>
    <t>G-REQ-03440-E3</t>
  </si>
  <si>
    <t>G-REQ-03440-E4</t>
  </si>
  <si>
    <t>G-REQ-03441-E1</t>
  </si>
  <si>
    <t>G-REQ-03441-E2</t>
  </si>
  <si>
    <t>G-REQ-03441-E3</t>
  </si>
  <si>
    <t>G-REQ-03441-E4</t>
  </si>
  <si>
    <t>G-REQ-03442-E1</t>
  </si>
  <si>
    <t>G-REQ-03442-E2</t>
  </si>
  <si>
    <t>G-REQ-03442-E3</t>
  </si>
  <si>
    <t>G-REQ-03442-E4</t>
  </si>
  <si>
    <t>G-REQ-03443-E1</t>
  </si>
  <si>
    <t>G-REQ-03443-E2</t>
  </si>
  <si>
    <t>G-REQ-03444-E1</t>
  </si>
  <si>
    <t>G-REQ-03444-E2</t>
  </si>
  <si>
    <t>G-REQ-03444-E3</t>
  </si>
  <si>
    <t>G-REQ-03444-E4</t>
  </si>
  <si>
    <t>G-REQ-03445-E1</t>
  </si>
  <si>
    <t>G-REQ-03445-E2</t>
  </si>
  <si>
    <t>G-REQ-03446-E1</t>
  </si>
  <si>
    <t>G-REQ-03446-E2</t>
  </si>
  <si>
    <t>G-REQ-03446-E3</t>
  </si>
  <si>
    <t>G-REQ-03446-E4</t>
  </si>
  <si>
    <t>G-REQ-03447-E1</t>
  </si>
  <si>
    <t>G-REQ-03447-E2</t>
  </si>
  <si>
    <t>G-REQ-03447-E3</t>
  </si>
  <si>
    <t>G-REQ-03447-E4</t>
  </si>
  <si>
    <t>G-REQ-03448-E1</t>
  </si>
  <si>
    <t>G-REQ-03448-E2</t>
  </si>
  <si>
    <t>G-REQ-03448-E3</t>
  </si>
  <si>
    <t>G-REQ-03448-E4</t>
  </si>
  <si>
    <t>G-REQ-03449-E1</t>
  </si>
  <si>
    <t>G-REQ-03449-E2</t>
  </si>
  <si>
    <t>SYNTHETIC: Laptop repair; Rejected; asset G-AST-00464</t>
  </si>
  <si>
    <t>G-REQ-03450-E1</t>
  </si>
  <si>
    <t>G-REQ-03450-E2</t>
  </si>
  <si>
    <t>G-REQ-03450-E3</t>
  </si>
  <si>
    <t>G-REQ-03450-E4</t>
  </si>
  <si>
    <t>G-REQ-03451-E1</t>
  </si>
  <si>
    <t>G-REQ-03451-E2</t>
  </si>
  <si>
    <t>G-REQ-03451-E3</t>
  </si>
  <si>
    <t>G-REQ-03451-E4</t>
  </si>
  <si>
    <t>G-REQ-03452-E1</t>
  </si>
  <si>
    <t>G-REQ-03452-E2</t>
  </si>
  <si>
    <t>G-REQ-03452-E3</t>
  </si>
  <si>
    <t>G-REQ-03452-E4</t>
  </si>
  <si>
    <t>G-REQ-03453-E1</t>
  </si>
  <si>
    <t>G-REQ-03453-E2</t>
  </si>
  <si>
    <t>G-REQ-03453-E3</t>
  </si>
  <si>
    <t>G-REQ-03453-E4</t>
  </si>
  <si>
    <t>G-REQ-03454-E1</t>
  </si>
  <si>
    <t>G-REQ-03454-E2</t>
  </si>
  <si>
    <t>SYNTHETIC: Laptop return; Rejected; asset G-AST-00402</t>
  </si>
  <si>
    <t>G-REQ-03455-E1</t>
  </si>
  <si>
    <t>G-REQ-03455-E2</t>
  </si>
  <si>
    <t>G-REQ-03455-E3</t>
  </si>
  <si>
    <t>G-REQ-03455-E4</t>
  </si>
  <si>
    <t>G-REQ-03456-E1</t>
  </si>
  <si>
    <t>SYNTHETIC: Laptop repair; Pending approval; asset G-AST-00508</t>
  </si>
  <si>
    <t>G-REQ-03456-E2</t>
  </si>
  <si>
    <t>SYNTHETIC: Laptop repair; Approved; asset G-AST-00508</t>
  </si>
  <si>
    <t>G-REQ-03456-E3</t>
  </si>
  <si>
    <t>SYNTHETIC: Laptop repair; In progress; asset G-AST-00508</t>
  </si>
  <si>
    <t>G-REQ-03456-E4</t>
  </si>
  <si>
    <t>SYNTHETIC: Laptop repair; Completed; asset G-AST-00508</t>
  </si>
  <si>
    <t>G-REQ-03457-E1</t>
  </si>
  <si>
    <t>G-REQ-03457-E2</t>
  </si>
  <si>
    <t>G-REQ-03457-E3</t>
  </si>
  <si>
    <t>G-REQ-03457-E4</t>
  </si>
  <si>
    <t>G-REQ-03458-E1</t>
  </si>
  <si>
    <t>G-REQ-03458-E2</t>
  </si>
  <si>
    <t>G-REQ-03458-E3</t>
  </si>
  <si>
    <t>G-REQ-03458-E4</t>
  </si>
  <si>
    <t>G-REQ-03459-E1</t>
  </si>
  <si>
    <t>G-REQ-03459-E2</t>
  </si>
  <si>
    <t>G-REQ-03459-E3</t>
  </si>
  <si>
    <t>G-REQ-03459-E4</t>
  </si>
  <si>
    <t>G-REQ-03460-E1</t>
  </si>
  <si>
    <t>G-REQ-03460-E2</t>
  </si>
  <si>
    <t>G-REQ-03460-E3</t>
  </si>
  <si>
    <t>G-REQ-03460-E4</t>
  </si>
  <si>
    <t>G-REQ-03461-E1</t>
  </si>
  <si>
    <t>G-REQ-03461-E2</t>
  </si>
  <si>
    <t>G-REQ-03461-E3</t>
  </si>
  <si>
    <t>G-REQ-03461-E4</t>
  </si>
  <si>
    <t>G-REQ-03462-E1</t>
  </si>
  <si>
    <t>G-REQ-03462-E2</t>
  </si>
  <si>
    <t>G-REQ-03462-E3</t>
  </si>
  <si>
    <t>G-REQ-03462-E4</t>
  </si>
  <si>
    <t>G-REQ-03463-E1</t>
  </si>
  <si>
    <t>G-REQ-03463-E2</t>
  </si>
  <si>
    <t>G-REQ-03463-E3</t>
  </si>
  <si>
    <t>G-REQ-03463-E4</t>
  </si>
  <si>
    <t>G-REQ-03464-E1</t>
  </si>
  <si>
    <t>SYNTHETIC: Laptop repair; Pending approval; asset G-AST-00154</t>
  </si>
  <si>
    <t>G-REQ-03464-E2</t>
  </si>
  <si>
    <t>SYNTHETIC: Laptop repair; Approved; asset G-AST-00154</t>
  </si>
  <si>
    <t>G-REQ-03464-E3</t>
  </si>
  <si>
    <t>SYNTHETIC: Laptop repair; In progress; asset G-AST-00154</t>
  </si>
  <si>
    <t>G-REQ-03464-E4</t>
  </si>
  <si>
    <t>SYNTHETIC: Laptop repair; Completed; asset G-AST-00154</t>
  </si>
  <si>
    <t>G-REQ-03465-E1</t>
  </si>
  <si>
    <t>G-REQ-03465-E2</t>
  </si>
  <si>
    <t>G-REQ-03465-E3</t>
  </si>
  <si>
    <t>G-REQ-03465-E4</t>
  </si>
  <si>
    <t>G-REQ-03466-E1</t>
  </si>
  <si>
    <t>G-REQ-03466-E2</t>
  </si>
  <si>
    <t>G-REQ-03466-E3</t>
  </si>
  <si>
    <t>G-REQ-03466-E4</t>
  </si>
  <si>
    <t>G-REQ-03467-E1</t>
  </si>
  <si>
    <t>G-REQ-03467-E2</t>
  </si>
  <si>
    <t>G-REQ-03467-E3</t>
  </si>
  <si>
    <t>G-REQ-03467-E4</t>
  </si>
  <si>
    <t>G-REQ-03468-E1</t>
  </si>
  <si>
    <t>G-REQ-03468-E2</t>
  </si>
  <si>
    <t>G-REQ-03468-E3</t>
  </si>
  <si>
    <t>G-REQ-03468-E4</t>
  </si>
  <si>
    <t>G-REQ-03469-E1</t>
  </si>
  <si>
    <t>G-REQ-03469-E2</t>
  </si>
  <si>
    <t>G-REQ-03469-E3</t>
  </si>
  <si>
    <t>G-REQ-03469-E4</t>
  </si>
  <si>
    <t>G-REQ-03470-E1</t>
  </si>
  <si>
    <t>G-REQ-03470-E2</t>
  </si>
  <si>
    <t>G-REQ-03470-E3</t>
  </si>
  <si>
    <t>G-REQ-03470-E4</t>
  </si>
  <si>
    <t>G-REQ-03471-E1</t>
  </si>
  <si>
    <t>G-REQ-03471-E2</t>
  </si>
  <si>
    <t>G-REQ-03471-E3</t>
  </si>
  <si>
    <t>G-REQ-03471-E4</t>
  </si>
  <si>
    <t>G-REQ-03472-E1</t>
  </si>
  <si>
    <t>G-REQ-03472-E2</t>
  </si>
  <si>
    <t>G-REQ-03472-E3</t>
  </si>
  <si>
    <t>G-REQ-03472-E4</t>
  </si>
  <si>
    <t>G-REQ-03473-E1</t>
  </si>
  <si>
    <t>G-REQ-03473-E2</t>
  </si>
  <si>
    <t>G-REQ-03473-E3</t>
  </si>
  <si>
    <t>G-REQ-03473-E4</t>
  </si>
  <si>
    <t>G-REQ-03474-E1</t>
  </si>
  <si>
    <t>G-REQ-03474-E2</t>
  </si>
  <si>
    <t>G-REQ-03474-E3</t>
  </si>
  <si>
    <t>G-REQ-03474-E4</t>
  </si>
  <si>
    <t>G-REQ-03475-E1</t>
  </si>
  <si>
    <t>SYNTHETIC: Laptop return; Pending approval; asset G-AST-00375</t>
  </si>
  <si>
    <t>G-REQ-03475-E2</t>
  </si>
  <si>
    <t>SYNTHETIC: Laptop return; Approved; asset G-AST-00375</t>
  </si>
  <si>
    <t>G-REQ-03475-E3</t>
  </si>
  <si>
    <t>SYNTHETIC: Laptop return; In progress; asset G-AST-00375</t>
  </si>
  <si>
    <t>G-REQ-03475-E4</t>
  </si>
  <si>
    <t>SYNTHETIC: Laptop return; Completed; asset G-AST-00375</t>
  </si>
  <si>
    <t>G-REQ-03476-E1</t>
  </si>
  <si>
    <t>G-REQ-03476-E2</t>
  </si>
  <si>
    <t>G-REQ-03476-E3</t>
  </si>
  <si>
    <t>G-REQ-03476-E4</t>
  </si>
  <si>
    <t>G-REQ-03477-E1</t>
  </si>
  <si>
    <t>G-REQ-03477-E2</t>
  </si>
  <si>
    <t>G-REQ-03477-E3</t>
  </si>
  <si>
    <t>G-REQ-03477-E4</t>
  </si>
  <si>
    <t>G-REQ-03478-E1</t>
  </si>
  <si>
    <t>G-REQ-03478-E2</t>
  </si>
  <si>
    <t>G-REQ-03478-E3</t>
  </si>
  <si>
    <t>G-REQ-03478-E4</t>
  </si>
  <si>
    <t>G-REQ-03479-E1</t>
  </si>
  <si>
    <t>G-REQ-03479-E2</t>
  </si>
  <si>
    <t>G-REQ-03479-E3</t>
  </si>
  <si>
    <t>G-REQ-03479-E4</t>
  </si>
  <si>
    <t>G-REQ-03480-E1</t>
  </si>
  <si>
    <t>G-REQ-03480-E2</t>
  </si>
  <si>
    <t>SYNTHETIC: Laptop repair; Cancelled; asset G-AST-00366</t>
  </si>
  <si>
    <t>G-REQ-03481-E1</t>
  </si>
  <si>
    <t>SYNTHETIC: Laptop repair; Pending approval; asset G-AST-00241</t>
  </si>
  <si>
    <t>G-REQ-03481-E2</t>
  </si>
  <si>
    <t>SYNTHETIC: Laptop repair; Approved; asset G-AST-00241</t>
  </si>
  <si>
    <t>G-REQ-03481-E3</t>
  </si>
  <si>
    <t>SYNTHETIC: Laptop repair; In progress; asset G-AST-00241</t>
  </si>
  <si>
    <t>G-REQ-03481-E4</t>
  </si>
  <si>
    <t>SYNTHETIC: Laptop repair; Completed; asset G-AST-00241</t>
  </si>
  <si>
    <t>G-REQ-03482-E1</t>
  </si>
  <si>
    <t>SYNTHETIC: Laptop repair; Pending approval; asset G-AST-00348</t>
  </si>
  <si>
    <t>G-REQ-03482-E2</t>
  </si>
  <si>
    <t>SYNTHETIC: Laptop repair; Approved; asset G-AST-00348</t>
  </si>
  <si>
    <t>G-REQ-03482-E3</t>
  </si>
  <si>
    <t>SYNTHETIC: Laptop repair; In progress; asset G-AST-00348</t>
  </si>
  <si>
    <t>G-REQ-03482-E4</t>
  </si>
  <si>
    <t>SYNTHETIC: Laptop repair; Completed; asset G-AST-00348</t>
  </si>
  <si>
    <t>G-REQ-03483-E1</t>
  </si>
  <si>
    <t>G-REQ-03483-E2</t>
  </si>
  <si>
    <t>G-REQ-03483-E3</t>
  </si>
  <si>
    <t>G-REQ-03483-E4</t>
  </si>
  <si>
    <t>G-REQ-03484-E1</t>
  </si>
  <si>
    <t>G-REQ-03484-E2</t>
  </si>
  <si>
    <t>G-REQ-03484-E3</t>
  </si>
  <si>
    <t>G-REQ-03484-E4</t>
  </si>
  <si>
    <t>G-REQ-03485-E1</t>
  </si>
  <si>
    <t>G-REQ-03485-E2</t>
  </si>
  <si>
    <t>G-REQ-03485-E3</t>
  </si>
  <si>
    <t>G-REQ-03485-E4</t>
  </si>
  <si>
    <t>G-REQ-03486-E1</t>
  </si>
  <si>
    <t>SYNTHETIC: Laptop repair; Pending approval; asset G-AST-00291</t>
  </si>
  <si>
    <t>G-REQ-03486-E2</t>
  </si>
  <si>
    <t>SYNTHETIC: Laptop repair; Approved; asset G-AST-00291</t>
  </si>
  <si>
    <t>G-REQ-03486-E3</t>
  </si>
  <si>
    <t>SYNTHETIC: Laptop repair; In progress; asset G-AST-00291</t>
  </si>
  <si>
    <t>G-REQ-03486-E4</t>
  </si>
  <si>
    <t>SYNTHETIC: Laptop repair; Completed; asset G-AST-00291</t>
  </si>
  <si>
    <t>G-REQ-03487-E1</t>
  </si>
  <si>
    <t>G-REQ-03487-E2</t>
  </si>
  <si>
    <t>SYNTHETIC: Laptop repair; Cancelled; asset G-AST-00434</t>
  </si>
  <si>
    <t>G-REQ-03488-E1</t>
  </si>
  <si>
    <t>G-REQ-03488-E2</t>
  </si>
  <si>
    <t>G-REQ-03488-E3</t>
  </si>
  <si>
    <t>G-REQ-03488-E4</t>
  </si>
  <si>
    <t>G-REQ-03489-E1</t>
  </si>
  <si>
    <t>G-REQ-03489-E2</t>
  </si>
  <si>
    <t>G-REQ-03489-E3</t>
  </si>
  <si>
    <t>G-REQ-03489-E4</t>
  </si>
  <si>
    <t>G-REQ-03490-E1</t>
  </si>
  <si>
    <t>SYNTHETIC: Laptop repair; Pending approval; asset G-AST-00479</t>
  </si>
  <si>
    <t>G-REQ-03490-E2</t>
  </si>
  <si>
    <t>SYNTHETIC: Laptop repair; Approved; asset G-AST-00479</t>
  </si>
  <si>
    <t>G-REQ-03490-E3</t>
  </si>
  <si>
    <t>SYNTHETIC: Laptop repair; In progress; asset G-AST-00479</t>
  </si>
  <si>
    <t>G-REQ-03490-E4</t>
  </si>
  <si>
    <t>SYNTHETIC: Laptop repair; Completed; asset G-AST-00479</t>
  </si>
  <si>
    <t>G-REQ-03491-E1</t>
  </si>
  <si>
    <t>G-REQ-03491-E2</t>
  </si>
  <si>
    <t>G-REQ-03491-E3</t>
  </si>
  <si>
    <t>G-REQ-03491-E4</t>
  </si>
  <si>
    <t>G-REQ-03492-E1</t>
  </si>
  <si>
    <t>G-REQ-03492-E2</t>
  </si>
  <si>
    <t>SYNTHETIC: Laptop return; Cancelled; asset G-AST-00286</t>
  </si>
  <si>
    <t>G-REQ-03493-E1</t>
  </si>
  <si>
    <t>G-REQ-03493-E2</t>
  </si>
  <si>
    <t>G-REQ-03493-E3</t>
  </si>
  <si>
    <t>G-REQ-03493-E4</t>
  </si>
  <si>
    <t>G-REQ-03494-E1</t>
  </si>
  <si>
    <t>G-REQ-03494-E2</t>
  </si>
  <si>
    <t>G-REQ-03494-E3</t>
  </si>
  <si>
    <t>G-REQ-03494-E4</t>
  </si>
  <si>
    <t>G-REQ-03495-E1</t>
  </si>
  <si>
    <t>G-REQ-03495-E2</t>
  </si>
  <si>
    <t>G-REQ-03495-E3</t>
  </si>
  <si>
    <t>G-REQ-03495-E4</t>
  </si>
  <si>
    <t>G-REQ-03496-E1</t>
  </si>
  <si>
    <t>G-REQ-03496-E2</t>
  </si>
  <si>
    <t>G-REQ-03496-E3</t>
  </si>
  <si>
    <t>G-REQ-03496-E4</t>
  </si>
  <si>
    <t>G-REQ-03497-E1</t>
  </si>
  <si>
    <t>G-REQ-03497-E2</t>
  </si>
  <si>
    <t>G-REQ-03497-E3</t>
  </si>
  <si>
    <t>G-REQ-03497-E4</t>
  </si>
  <si>
    <t>G-REQ-03498-E1</t>
  </si>
  <si>
    <t>G-REQ-03498-E2</t>
  </si>
  <si>
    <t>G-REQ-03498-E3</t>
  </si>
  <si>
    <t>G-REQ-03498-E4</t>
  </si>
  <si>
    <t>G-REQ-03499-E1</t>
  </si>
  <si>
    <t>G-REQ-03499-E2</t>
  </si>
  <si>
    <t>G-REQ-03499-E3</t>
  </si>
  <si>
    <t>G-REQ-03499-E4</t>
  </si>
  <si>
    <t>G-REQ-03500-E1</t>
  </si>
  <si>
    <t>G-REQ-03500-E2</t>
  </si>
  <si>
    <t>G-REQ-03500-E3</t>
  </si>
  <si>
    <t>G-REQ-03500-E4</t>
  </si>
  <si>
    <t>G-REQ-03501-E1</t>
  </si>
  <si>
    <t>G-REQ-03501-E2</t>
  </si>
  <si>
    <t>G-REQ-03501-E3</t>
  </si>
  <si>
    <t>G-REQ-03501-E4</t>
  </si>
  <si>
    <t>G-REQ-03502-E1</t>
  </si>
  <si>
    <t>G-REQ-03502-E2</t>
  </si>
  <si>
    <t>G-REQ-03502-E3</t>
  </si>
  <si>
    <t>G-REQ-03502-E4</t>
  </si>
  <si>
    <t>G-REQ-03503-E1</t>
  </si>
  <si>
    <t>SYNTHETIC: Laptop repair; Pending approval; asset G-AST-00406</t>
  </si>
  <si>
    <t>G-REQ-03503-E2</t>
  </si>
  <si>
    <t>SYNTHETIC: Laptop repair; Approved; asset G-AST-00406</t>
  </si>
  <si>
    <t>G-REQ-03503-E3</t>
  </si>
  <si>
    <t>SYNTHETIC: Laptop repair; In progress; asset G-AST-00406</t>
  </si>
  <si>
    <t>G-REQ-03503-E4</t>
  </si>
  <si>
    <t>SYNTHETIC: Laptop repair; Completed; asset G-AST-00406</t>
  </si>
  <si>
    <t>G-REQ-03504-E1</t>
  </si>
  <si>
    <t>G-REQ-03504-E2</t>
  </si>
  <si>
    <t>G-REQ-03504-E3</t>
  </si>
  <si>
    <t>G-REQ-03504-E4</t>
  </si>
  <si>
    <t>G-REQ-03505-E1</t>
  </si>
  <si>
    <t>G-REQ-03505-E2</t>
  </si>
  <si>
    <t>G-REQ-03505-E3</t>
  </si>
  <si>
    <t>G-REQ-03505-E4</t>
  </si>
  <si>
    <t>G-REQ-03506-E1</t>
  </si>
  <si>
    <t>G-REQ-03506-E2</t>
  </si>
  <si>
    <t>G-REQ-03506-E3</t>
  </si>
  <si>
    <t>G-REQ-03506-E4</t>
  </si>
  <si>
    <t>G-REQ-03507-E1</t>
  </si>
  <si>
    <t>SYNTHETIC: Laptop return; Pending approval; asset G-AST-00523</t>
  </si>
  <si>
    <t>G-REQ-03507-E2</t>
  </si>
  <si>
    <t>SYNTHETIC: Laptop return; Rejected; asset G-AST-00523</t>
  </si>
  <si>
    <t>G-REQ-03508-E1</t>
  </si>
  <si>
    <t>G-REQ-03508-E2</t>
  </si>
  <si>
    <t>SYNTHETIC: Laptop repair; Rejected; asset G-AST-00524</t>
  </si>
  <si>
    <t>G-REQ-03509-E1</t>
  </si>
  <si>
    <t>G-REQ-03509-E2</t>
  </si>
  <si>
    <t>SYNTHETIC: Laptop repair; Rejected; asset G-AST-00212</t>
  </si>
  <si>
    <t>G-REQ-03510-E1</t>
  </si>
  <si>
    <t>G-REQ-03510-E2</t>
  </si>
  <si>
    <t>G-REQ-03511-E1</t>
  </si>
  <si>
    <t>G-REQ-03511-E2</t>
  </si>
  <si>
    <t>G-REQ-03511-E3</t>
  </si>
  <si>
    <t>G-REQ-03511-E4</t>
  </si>
  <si>
    <t>G-REQ-03512-E1</t>
  </si>
  <si>
    <t>G-REQ-03512-E2</t>
  </si>
  <si>
    <t>G-REQ-03512-E3</t>
  </si>
  <si>
    <t>G-REQ-03512-E4</t>
  </si>
  <si>
    <t>G-REQ-03513-E1</t>
  </si>
  <si>
    <t>G-REQ-03513-E2</t>
  </si>
  <si>
    <t>G-REQ-03513-E3</t>
  </si>
  <si>
    <t>G-REQ-03513-E4</t>
  </si>
  <si>
    <t>G-REQ-03514-E1</t>
  </si>
  <si>
    <t>G-REQ-03514-E2</t>
  </si>
  <si>
    <t>G-REQ-03514-E3</t>
  </si>
  <si>
    <t>G-REQ-03514-E4</t>
  </si>
  <si>
    <t>G-REQ-03515-E1</t>
  </si>
  <si>
    <t>G-REQ-03515-E2</t>
  </si>
  <si>
    <t>G-REQ-03515-E3</t>
  </si>
  <si>
    <t>G-REQ-03515-E4</t>
  </si>
  <si>
    <t>G-REQ-03516-E1</t>
  </si>
  <si>
    <t>G-REQ-03516-E2</t>
  </si>
  <si>
    <t>G-REQ-03517-E1</t>
  </si>
  <si>
    <t>G-REQ-03517-E2</t>
  </si>
  <si>
    <t>G-REQ-03517-E3</t>
  </si>
  <si>
    <t>G-REQ-03517-E4</t>
  </si>
  <si>
    <t>G-REQ-03518-E1</t>
  </si>
  <si>
    <t>G-REQ-03518-E2</t>
  </si>
  <si>
    <t>G-REQ-03518-E3</t>
  </si>
  <si>
    <t>G-REQ-03518-E4</t>
  </si>
  <si>
    <t>G-REQ-03519-E1</t>
  </si>
  <si>
    <t>G-REQ-03519-E2</t>
  </si>
  <si>
    <t>G-REQ-03519-E3</t>
  </si>
  <si>
    <t>G-REQ-03519-E4</t>
  </si>
  <si>
    <t>G-REQ-03520-E1</t>
  </si>
  <si>
    <t>G-REQ-03520-E2</t>
  </si>
  <si>
    <t>G-REQ-03520-E3</t>
  </si>
  <si>
    <t>G-REQ-03520-E4</t>
  </si>
  <si>
    <t>G-REQ-03521-E1</t>
  </si>
  <si>
    <t>G-REQ-03521-E2</t>
  </si>
  <si>
    <t>G-REQ-03521-E3</t>
  </si>
  <si>
    <t>G-REQ-03521-E4</t>
  </si>
  <si>
    <t>G-REQ-03522-E1</t>
  </si>
  <si>
    <t>G-REQ-03522-E2</t>
  </si>
  <si>
    <t>G-REQ-03522-E3</t>
  </si>
  <si>
    <t>G-REQ-03522-E4</t>
  </si>
  <si>
    <t>G-REQ-03523-E1</t>
  </si>
  <si>
    <t>G-REQ-03523-E2</t>
  </si>
  <si>
    <t>G-REQ-03523-E3</t>
  </si>
  <si>
    <t>G-REQ-03523-E4</t>
  </si>
  <si>
    <t>G-REQ-03524-E1</t>
  </si>
  <si>
    <t>G-REQ-03524-E2</t>
  </si>
  <si>
    <t>G-REQ-03524-E3</t>
  </si>
  <si>
    <t>G-REQ-03524-E4</t>
  </si>
  <si>
    <t>G-REQ-03525-E1</t>
  </si>
  <si>
    <t>SYNTHETIC: Laptop repair; Pending approval; asset G-AST-00444</t>
  </si>
  <si>
    <t>G-REQ-03525-E2</t>
  </si>
  <si>
    <t>SYNTHETIC: Laptop repair; Cancelled; asset G-AST-00444</t>
  </si>
  <si>
    <t>G-REQ-03526-E1</t>
  </si>
  <si>
    <t>G-REQ-03526-E2</t>
  </si>
  <si>
    <t>G-REQ-03526-E3</t>
  </si>
  <si>
    <t>G-REQ-03526-E4</t>
  </si>
  <si>
    <t>G-REQ-03527-E1</t>
  </si>
  <si>
    <t>G-REQ-03527-E2</t>
  </si>
  <si>
    <t>G-REQ-03528-E1</t>
  </si>
  <si>
    <t>G-REQ-03528-E2</t>
  </si>
  <si>
    <t>G-REQ-03528-E3</t>
  </si>
  <si>
    <t>G-REQ-03528-E4</t>
  </si>
  <si>
    <t>G-REQ-03529-E1</t>
  </si>
  <si>
    <t>G-REQ-03529-E2</t>
  </si>
  <si>
    <t>G-REQ-03529-E3</t>
  </si>
  <si>
    <t>G-REQ-03529-E4</t>
  </si>
  <si>
    <t>G-REQ-03530-E1</t>
  </si>
  <si>
    <t>G-REQ-03530-E2</t>
  </si>
  <si>
    <t>G-REQ-03530-E3</t>
  </si>
  <si>
    <t>G-REQ-03530-E4</t>
  </si>
  <si>
    <t>G-REQ-03531-E1</t>
  </si>
  <si>
    <t>G-REQ-03531-E2</t>
  </si>
  <si>
    <t>G-REQ-03531-E3</t>
  </si>
  <si>
    <t>G-REQ-03531-E4</t>
  </si>
  <si>
    <t>G-REQ-03532-E1</t>
  </si>
  <si>
    <t>G-REQ-03532-E2</t>
  </si>
  <si>
    <t>G-REQ-03532-E3</t>
  </si>
  <si>
    <t>G-REQ-03532-E4</t>
  </si>
  <si>
    <t>G-REQ-03533-E1</t>
  </si>
  <si>
    <t>G-REQ-03533-E2</t>
  </si>
  <si>
    <t>G-REQ-03533-E3</t>
  </si>
  <si>
    <t>G-REQ-03533-E4</t>
  </si>
  <si>
    <t>G-REQ-03534-E1</t>
  </si>
  <si>
    <t>G-REQ-03534-E2</t>
  </si>
  <si>
    <t>G-REQ-03534-E3</t>
  </si>
  <si>
    <t>G-REQ-03534-E4</t>
  </si>
  <si>
    <t>G-REQ-03535-E1</t>
  </si>
  <si>
    <t>G-REQ-03535-E2</t>
  </si>
  <si>
    <t>SYNTHETIC: Laptop return; Cancelled; asset G-AST-00146</t>
  </si>
  <si>
    <t>G-REQ-03536-E1</t>
  </si>
  <si>
    <t>G-REQ-03536-E2</t>
  </si>
  <si>
    <t>G-REQ-03536-E3</t>
  </si>
  <si>
    <t>G-REQ-03536-E4</t>
  </si>
  <si>
    <t>G-REQ-03537-E1</t>
  </si>
  <si>
    <t>SYNTHETIC: Laptop repair; Pending approval; asset G-AST-00394</t>
  </si>
  <si>
    <t>G-REQ-03537-E2</t>
  </si>
  <si>
    <t>SYNTHETIC: Laptop repair; Approved; asset G-AST-00394</t>
  </si>
  <si>
    <t>G-REQ-03537-E3</t>
  </si>
  <si>
    <t>SYNTHETIC: Laptop repair; In progress; asset G-AST-00394</t>
  </si>
  <si>
    <t>G-REQ-03537-E4</t>
  </si>
  <si>
    <t>SYNTHETIC: Laptop repair; Completed; asset G-AST-00394</t>
  </si>
  <si>
    <t>G-REQ-03538-E1</t>
  </si>
  <si>
    <t>G-REQ-03538-E2</t>
  </si>
  <si>
    <t>G-REQ-03538-E3</t>
  </si>
  <si>
    <t>G-REQ-03538-E4</t>
  </si>
  <si>
    <t>G-REQ-03539-E1</t>
  </si>
  <si>
    <t>G-REQ-03539-E2</t>
  </si>
  <si>
    <t>G-REQ-03539-E3</t>
  </si>
  <si>
    <t>G-REQ-03539-E4</t>
  </si>
  <si>
    <t>G-REQ-03540-E1</t>
  </si>
  <si>
    <t>G-REQ-03540-E2</t>
  </si>
  <si>
    <t>G-REQ-03540-E3</t>
  </si>
  <si>
    <t>G-REQ-03540-E4</t>
  </si>
  <si>
    <t>G-REQ-03541-E1</t>
  </si>
  <si>
    <t>G-REQ-03541-E2</t>
  </si>
  <si>
    <t>G-REQ-03541-E3</t>
  </si>
  <si>
    <t>G-REQ-03541-E4</t>
  </si>
  <si>
    <t>G-REQ-03542-E1</t>
  </si>
  <si>
    <t>G-REQ-03542-E2</t>
  </si>
  <si>
    <t>G-REQ-03542-E3</t>
  </si>
  <si>
    <t>G-REQ-03542-E4</t>
  </si>
  <si>
    <t>G-REQ-03543-E1</t>
  </si>
  <si>
    <t>G-REQ-03543-E2</t>
  </si>
  <si>
    <t>G-REQ-03543-E3</t>
  </si>
  <si>
    <t>G-REQ-03543-E4</t>
  </si>
  <si>
    <t>G-REQ-03544-E1</t>
  </si>
  <si>
    <t>G-REQ-03544-E2</t>
  </si>
  <si>
    <t>G-REQ-03544-E3</t>
  </si>
  <si>
    <t>G-REQ-03544-E4</t>
  </si>
  <si>
    <t>G-REQ-03545-E1</t>
  </si>
  <si>
    <t>G-REQ-03545-E2</t>
  </si>
  <si>
    <t>G-REQ-03545-E3</t>
  </si>
  <si>
    <t>G-REQ-03545-E4</t>
  </si>
  <si>
    <t>G-REQ-03546-E1</t>
  </si>
  <si>
    <t>G-REQ-03546-E2</t>
  </si>
  <si>
    <t>G-REQ-03546-E3</t>
  </si>
  <si>
    <t>G-REQ-03546-E4</t>
  </si>
  <si>
    <t>G-REQ-03547-E1</t>
  </si>
  <si>
    <t>SYNTHETIC: Laptop repair; Pending approval; asset G-AST-00383</t>
  </si>
  <si>
    <t>G-REQ-03547-E2</t>
  </si>
  <si>
    <t>SYNTHETIC: Laptop repair; Approved; asset G-AST-00383</t>
  </si>
  <si>
    <t>G-REQ-03547-E3</t>
  </si>
  <si>
    <t>SYNTHETIC: Laptop repair; In progress; asset G-AST-00383</t>
  </si>
  <si>
    <t>G-REQ-03547-E4</t>
  </si>
  <si>
    <t>SYNTHETIC: Laptop repair; Completed; asset G-AST-00383</t>
  </si>
  <si>
    <t>G-REQ-03548-E1</t>
  </si>
  <si>
    <t>G-REQ-03548-E2</t>
  </si>
  <si>
    <t>G-REQ-03548-E3</t>
  </si>
  <si>
    <t>G-REQ-03548-E4</t>
  </si>
  <si>
    <t>G-REQ-03549-E1</t>
  </si>
  <si>
    <t>G-REQ-03549-E2</t>
  </si>
  <si>
    <t>G-REQ-03549-E3</t>
  </si>
  <si>
    <t>G-REQ-03549-E4</t>
  </si>
  <si>
    <t>G-REQ-03550-E1</t>
  </si>
  <si>
    <t>G-REQ-03550-E2</t>
  </si>
  <si>
    <t>G-REQ-03550-E3</t>
  </si>
  <si>
    <t>G-REQ-03550-E4</t>
  </si>
  <si>
    <t>G-REQ-03551-E1</t>
  </si>
  <si>
    <t>G-REQ-03551-E2</t>
  </si>
  <si>
    <t>G-REQ-03552-E1</t>
  </si>
  <si>
    <t>SYNTHETIC: Laptop repair; Pending approval; asset G-AST-00511</t>
  </si>
  <si>
    <t>G-REQ-03552-E2</t>
  </si>
  <si>
    <t>SYNTHETIC: Laptop repair; Approved; asset G-AST-00511</t>
  </si>
  <si>
    <t>G-REQ-03552-E3</t>
  </si>
  <si>
    <t>SYNTHETIC: Laptop repair; In progress; asset G-AST-00511</t>
  </si>
  <si>
    <t>G-REQ-03552-E4</t>
  </si>
  <si>
    <t>SYNTHETIC: Laptop repair; Completed; asset G-AST-00511</t>
  </si>
  <si>
    <t>G-REQ-03553-E1</t>
  </si>
  <si>
    <t>G-REQ-03553-E2</t>
  </si>
  <si>
    <t>G-REQ-03553-E3</t>
  </si>
  <si>
    <t>G-REQ-03553-E4</t>
  </si>
  <si>
    <t>G-REQ-03554-E1</t>
  </si>
  <si>
    <t>G-REQ-03554-E2</t>
  </si>
  <si>
    <t>G-REQ-03554-E3</t>
  </si>
  <si>
    <t>G-REQ-03554-E4</t>
  </si>
  <si>
    <t>G-REQ-03555-E1</t>
  </si>
  <si>
    <t>G-REQ-03555-E2</t>
  </si>
  <si>
    <t>G-REQ-03555-E3</t>
  </si>
  <si>
    <t>G-REQ-03555-E4</t>
  </si>
  <si>
    <t>G-REQ-03556-E1</t>
  </si>
  <si>
    <t>G-REQ-03556-E2</t>
  </si>
  <si>
    <t>SYNTHETIC: Laptop repair; Rejected; asset G-AST-00177</t>
  </si>
  <si>
    <t>G-REQ-03557-E1</t>
  </si>
  <si>
    <t>G-REQ-03557-E2</t>
  </si>
  <si>
    <t>G-REQ-03557-E3</t>
  </si>
  <si>
    <t>G-REQ-03557-E4</t>
  </si>
  <si>
    <t>G-REQ-03558-E1</t>
  </si>
  <si>
    <t>G-REQ-03558-E2</t>
  </si>
  <si>
    <t>G-REQ-03558-E3</t>
  </si>
  <si>
    <t>G-REQ-03558-E4</t>
  </si>
  <si>
    <t>G-REQ-03559-E1</t>
  </si>
  <si>
    <t>G-REQ-03559-E2</t>
  </si>
  <si>
    <t>G-REQ-03559-E3</t>
  </si>
  <si>
    <t>G-REQ-03559-E4</t>
  </si>
  <si>
    <t>G-REQ-03560-E1</t>
  </si>
  <si>
    <t>G-REQ-03560-E2</t>
  </si>
  <si>
    <t>G-REQ-03560-E3</t>
  </si>
  <si>
    <t>G-REQ-03560-E4</t>
  </si>
  <si>
    <t>G-REQ-03561-E1</t>
  </si>
  <si>
    <t>G-REQ-03561-E2</t>
  </si>
  <si>
    <t>G-REQ-03561-E3</t>
  </si>
  <si>
    <t>G-REQ-03561-E4</t>
  </si>
  <si>
    <t>G-REQ-03562-E1</t>
  </si>
  <si>
    <t>G-REQ-03562-E2</t>
  </si>
  <si>
    <t>G-REQ-03562-E3</t>
  </si>
  <si>
    <t>G-REQ-03562-E4</t>
  </si>
  <si>
    <t>G-REQ-03563-E1</t>
  </si>
  <si>
    <t>G-REQ-03563-E2</t>
  </si>
  <si>
    <t>G-REQ-03563-E3</t>
  </si>
  <si>
    <t>G-REQ-03563-E4</t>
  </si>
  <si>
    <t>G-REQ-03564-E1</t>
  </si>
  <si>
    <t>G-REQ-03564-E2</t>
  </si>
  <si>
    <t>G-REQ-03564-E3</t>
  </si>
  <si>
    <t>G-REQ-03564-E4</t>
  </si>
  <si>
    <t>G-REQ-03565-E1</t>
  </si>
  <si>
    <t>G-REQ-03565-E2</t>
  </si>
  <si>
    <t>SYNTHETIC: Laptop repair; Approved; asset G-AST-00327</t>
  </si>
  <si>
    <t>G-REQ-03565-E3</t>
  </si>
  <si>
    <t>SYNTHETIC: Laptop repair; In progress; asset G-AST-00327</t>
  </si>
  <si>
    <t>G-REQ-03565-E4</t>
  </si>
  <si>
    <t>SYNTHETIC: Laptop repair; Completed; asset G-AST-00327</t>
  </si>
  <si>
    <t>G-REQ-03566-E1</t>
  </si>
  <si>
    <t>G-REQ-03566-E2</t>
  </si>
  <si>
    <t>G-REQ-03567-E1</t>
  </si>
  <si>
    <t>G-REQ-03567-E2</t>
  </si>
  <si>
    <t>G-REQ-03567-E3</t>
  </si>
  <si>
    <t>G-REQ-03567-E4</t>
  </si>
  <si>
    <t>G-REQ-03568-E1</t>
  </si>
  <si>
    <t>G-REQ-03568-E2</t>
  </si>
  <si>
    <t>G-REQ-03568-E3</t>
  </si>
  <si>
    <t>G-REQ-03568-E4</t>
  </si>
  <si>
    <t>G-REQ-03569-E1</t>
  </si>
  <si>
    <t>G-REQ-03569-E2</t>
  </si>
  <si>
    <t>G-REQ-03569-E3</t>
  </si>
  <si>
    <t>G-REQ-03569-E4</t>
  </si>
  <si>
    <t>G-REQ-03570-E1</t>
  </si>
  <si>
    <t>G-REQ-03570-E2</t>
  </si>
  <si>
    <t>G-REQ-03570-E3</t>
  </si>
  <si>
    <t>G-REQ-03570-E4</t>
  </si>
  <si>
    <t>G-REQ-03571-E1</t>
  </si>
  <si>
    <t>G-REQ-03571-E2</t>
  </si>
  <si>
    <t>G-REQ-03571-E3</t>
  </si>
  <si>
    <t>G-REQ-03571-E4</t>
  </si>
  <si>
    <t>G-REQ-03572-E1</t>
  </si>
  <si>
    <t>G-REQ-03572-E2</t>
  </si>
  <si>
    <t>G-REQ-03572-E3</t>
  </si>
  <si>
    <t>G-REQ-03572-E4</t>
  </si>
  <si>
    <t>G-REQ-03573-E1</t>
  </si>
  <si>
    <t>G-REQ-03573-E2</t>
  </si>
  <si>
    <t>G-REQ-03573-E3</t>
  </si>
  <si>
    <t>G-REQ-03573-E4</t>
  </si>
  <si>
    <t>G-REQ-03574-E1</t>
  </si>
  <si>
    <t>G-REQ-03574-E2</t>
  </si>
  <si>
    <t>G-REQ-03574-E3</t>
  </si>
  <si>
    <t>G-REQ-03574-E4</t>
  </si>
  <si>
    <t>G-REQ-03575-E1</t>
  </si>
  <si>
    <t>G-REQ-03575-E2</t>
  </si>
  <si>
    <t>G-REQ-03575-E3</t>
  </si>
  <si>
    <t>G-REQ-03575-E4</t>
  </si>
  <si>
    <t>G-REQ-03576-E1</t>
  </si>
  <si>
    <t>G-REQ-03576-E2</t>
  </si>
  <si>
    <t>G-REQ-03576-E3</t>
  </si>
  <si>
    <t>G-REQ-03576-E4</t>
  </si>
  <si>
    <t>G-REQ-03577-E1</t>
  </si>
  <si>
    <t>G-REQ-03577-E2</t>
  </si>
  <si>
    <t>G-REQ-03577-E3</t>
  </si>
  <si>
    <t>G-REQ-03577-E4</t>
  </si>
  <si>
    <t>G-REQ-03578-E1</t>
  </si>
  <si>
    <t>G-REQ-03578-E2</t>
  </si>
  <si>
    <t>G-REQ-03578-E3</t>
  </si>
  <si>
    <t>G-REQ-03578-E4</t>
  </si>
  <si>
    <t>G-REQ-03579-E1</t>
  </si>
  <si>
    <t>G-REQ-03579-E2</t>
  </si>
  <si>
    <t>G-REQ-03579-E3</t>
  </si>
  <si>
    <t>G-REQ-03579-E4</t>
  </si>
  <si>
    <t>G-REQ-03580-E1</t>
  </si>
  <si>
    <t>G-REQ-03580-E2</t>
  </si>
  <si>
    <t>G-REQ-03580-E3</t>
  </si>
  <si>
    <t>G-REQ-03580-E4</t>
  </si>
  <si>
    <t>G-REQ-03581-E1</t>
  </si>
  <si>
    <t>G-REQ-03581-E2</t>
  </si>
  <si>
    <t>G-REQ-03582-E1</t>
  </si>
  <si>
    <t>G-REQ-03582-E2</t>
  </si>
  <si>
    <t>G-REQ-03582-E3</t>
  </si>
  <si>
    <t>G-REQ-03582-E4</t>
  </si>
  <si>
    <t>G-REQ-03583-E1</t>
  </si>
  <si>
    <t>G-REQ-03583-E2</t>
  </si>
  <si>
    <t>G-REQ-03583-E3</t>
  </si>
  <si>
    <t>G-REQ-03583-E4</t>
  </si>
  <si>
    <t>G-REQ-03584-E1</t>
  </si>
  <si>
    <t>G-REQ-03584-E2</t>
  </si>
  <si>
    <t>G-REQ-03585-E1</t>
  </si>
  <si>
    <t>G-REQ-03585-E2</t>
  </si>
  <si>
    <t>G-REQ-03585-E3</t>
  </si>
  <si>
    <t>G-REQ-03585-E4</t>
  </si>
  <si>
    <t>G-REQ-03586-E1</t>
  </si>
  <si>
    <t>G-REQ-03586-E2</t>
  </si>
  <si>
    <t>G-REQ-03586-E3</t>
  </si>
  <si>
    <t>G-REQ-03586-E4</t>
  </si>
  <si>
    <t>G-REQ-03587-E1</t>
  </si>
  <si>
    <t>G-REQ-03587-E2</t>
  </si>
  <si>
    <t>G-REQ-03587-E3</t>
  </si>
  <si>
    <t>G-REQ-03587-E4</t>
  </si>
  <si>
    <t>G-REQ-03588-E1</t>
  </si>
  <si>
    <t>G-REQ-03588-E2</t>
  </si>
  <si>
    <t>G-REQ-03588-E3</t>
  </si>
  <si>
    <t>G-REQ-03588-E4</t>
  </si>
  <si>
    <t>G-REQ-03589-E1</t>
  </si>
  <si>
    <t>G-REQ-03589-E2</t>
  </si>
  <si>
    <t>G-REQ-03589-E3</t>
  </si>
  <si>
    <t>G-REQ-03589-E4</t>
  </si>
  <si>
    <t>G-REQ-03590-E1</t>
  </si>
  <si>
    <t>SYNTHETIC: Laptop repair; Pending approval; asset G-AST-00530</t>
  </si>
  <si>
    <t>G-REQ-03590-E2</t>
  </si>
  <si>
    <t>SYNTHETIC: Laptop repair; Approved; asset G-AST-00530</t>
  </si>
  <si>
    <t>G-REQ-03590-E3</t>
  </si>
  <si>
    <t>SYNTHETIC: Laptop repair; In progress; asset G-AST-00530</t>
  </si>
  <si>
    <t>G-REQ-03590-E4</t>
  </si>
  <si>
    <t>SYNTHETIC: Laptop repair; Completed; asset G-AST-00530</t>
  </si>
  <si>
    <t>G-REQ-03591-E1</t>
  </si>
  <si>
    <t>G-REQ-03591-E2</t>
  </si>
  <si>
    <t>G-REQ-03591-E3</t>
  </si>
  <si>
    <t>G-REQ-03591-E4</t>
  </si>
  <si>
    <t>G-REQ-03592-E1</t>
  </si>
  <si>
    <t>G-REQ-03592-E2</t>
  </si>
  <si>
    <t>G-REQ-03592-E3</t>
  </si>
  <si>
    <t>G-REQ-03592-E4</t>
  </si>
  <si>
    <t>G-REQ-03593-E1</t>
  </si>
  <si>
    <t>G-REQ-03593-E2</t>
  </si>
  <si>
    <t>G-REQ-03593-E3</t>
  </si>
  <si>
    <t>G-REQ-03593-E4</t>
  </si>
  <si>
    <t>G-REQ-03594-E1</t>
  </si>
  <si>
    <t>G-REQ-03594-E2</t>
  </si>
  <si>
    <t>G-REQ-03594-E3</t>
  </si>
  <si>
    <t>G-REQ-03594-E4</t>
  </si>
  <si>
    <t>G-REQ-03595-E1</t>
  </si>
  <si>
    <t>G-REQ-03595-E2</t>
  </si>
  <si>
    <t>G-REQ-03595-E3</t>
  </si>
  <si>
    <t>G-REQ-03595-E4</t>
  </si>
  <si>
    <t>G-REQ-03596-E1</t>
  </si>
  <si>
    <t>G-REQ-03596-E2</t>
  </si>
  <si>
    <t>G-REQ-03597-E1</t>
  </si>
  <si>
    <t>G-REQ-03597-E2</t>
  </si>
  <si>
    <t>SYNTHETIC: Laptop repair; Rejected; asset G-AST-00529</t>
  </si>
  <si>
    <t>G-REQ-03598-E1</t>
  </si>
  <si>
    <t>G-REQ-03598-E2</t>
  </si>
  <si>
    <t>G-REQ-03598-E3</t>
  </si>
  <si>
    <t>G-REQ-03598-E4</t>
  </si>
  <si>
    <t>G-REQ-03599-E1</t>
  </si>
  <si>
    <t>G-REQ-03599-E2</t>
  </si>
  <si>
    <t>SYNTHETIC: Laptop repair; Rejected; asset G-AST-00366</t>
  </si>
  <si>
    <t>G-REQ-03600-E1</t>
  </si>
  <si>
    <t>G-REQ-03600-E2</t>
  </si>
  <si>
    <t>G-REQ-03600-E3</t>
  </si>
  <si>
    <t>G-REQ-03600-E4</t>
  </si>
  <si>
    <t>G-REQ-03601-E1</t>
  </si>
  <si>
    <t>G-REQ-03601-E2</t>
  </si>
  <si>
    <t>G-REQ-03601-E3</t>
  </si>
  <si>
    <t>G-REQ-03601-E4</t>
  </si>
  <si>
    <t>G-REQ-03602-E1</t>
  </si>
  <si>
    <t>G-REQ-03602-E2</t>
  </si>
  <si>
    <t>G-REQ-03602-E3</t>
  </si>
  <si>
    <t>G-REQ-03602-E4</t>
  </si>
  <si>
    <t>G-REQ-03603-E1</t>
  </si>
  <si>
    <t>G-REQ-03603-E2</t>
  </si>
  <si>
    <t>G-REQ-03603-E3</t>
  </si>
  <si>
    <t>G-REQ-03603-E4</t>
  </si>
  <si>
    <t>G-REQ-03604-E1</t>
  </si>
  <si>
    <t>G-REQ-03604-E2</t>
  </si>
  <si>
    <t>G-REQ-03604-E3</t>
  </si>
  <si>
    <t>G-REQ-03604-E4</t>
  </si>
  <si>
    <t>G-REQ-03605-E1</t>
  </si>
  <si>
    <t>G-REQ-03605-E2</t>
  </si>
  <si>
    <t>G-REQ-03605-E3</t>
  </si>
  <si>
    <t>G-REQ-03605-E4</t>
  </si>
  <si>
    <t>G-REQ-03606-E1</t>
  </si>
  <si>
    <t>G-REQ-03606-E2</t>
  </si>
  <si>
    <t>G-REQ-03606-E3</t>
  </si>
  <si>
    <t>G-REQ-03606-E4</t>
  </si>
  <si>
    <t>G-REQ-03607-E1</t>
  </si>
  <si>
    <t>G-REQ-03607-E2</t>
  </si>
  <si>
    <t>G-REQ-03607-E3</t>
  </si>
  <si>
    <t>G-REQ-03607-E4</t>
  </si>
  <si>
    <t>G-REQ-03608-E1</t>
  </si>
  <si>
    <t>G-REQ-03608-E2</t>
  </si>
  <si>
    <t>G-REQ-03608-E3</t>
  </si>
  <si>
    <t>G-REQ-03608-E4</t>
  </si>
  <si>
    <t>G-REQ-03609-E1</t>
  </si>
  <si>
    <t>G-REQ-03609-E2</t>
  </si>
  <si>
    <t>G-REQ-03609-E3</t>
  </si>
  <si>
    <t>G-REQ-03609-E4</t>
  </si>
  <si>
    <t>G-REQ-03610-E1</t>
  </si>
  <si>
    <t>G-REQ-03610-E2</t>
  </si>
  <si>
    <t>G-REQ-03610-E3</t>
  </si>
  <si>
    <t>G-REQ-03610-E4</t>
  </si>
  <si>
    <t>G-REQ-03611-E1</t>
  </si>
  <si>
    <t>G-REQ-03611-E2</t>
  </si>
  <si>
    <t>G-REQ-03611-E3</t>
  </si>
  <si>
    <t>G-REQ-03611-E4</t>
  </si>
  <si>
    <t>G-REQ-03612-E1</t>
  </si>
  <si>
    <t>G-REQ-03612-E2</t>
  </si>
  <si>
    <t>G-REQ-03612-E3</t>
  </si>
  <si>
    <t>G-REQ-03612-E4</t>
  </si>
  <si>
    <t>G-REQ-03613-E1</t>
  </si>
  <si>
    <t>G-REQ-03613-E2</t>
  </si>
  <si>
    <t>G-REQ-03613-E3</t>
  </si>
  <si>
    <t>G-REQ-03613-E4</t>
  </si>
  <si>
    <t>G-REQ-03614-E1</t>
  </si>
  <si>
    <t>G-REQ-03614-E2</t>
  </si>
  <si>
    <t>G-REQ-03614-E3</t>
  </si>
  <si>
    <t>G-REQ-03614-E4</t>
  </si>
  <si>
    <t>G-REQ-03615-E1</t>
  </si>
  <si>
    <t>G-REQ-03615-E2</t>
  </si>
  <si>
    <t>G-REQ-03615-E3</t>
  </si>
  <si>
    <t>G-REQ-03615-E4</t>
  </si>
  <si>
    <t>G-REQ-03616-E1</t>
  </si>
  <si>
    <t>G-REQ-03616-E2</t>
  </si>
  <si>
    <t>G-REQ-03616-E3</t>
  </si>
  <si>
    <t>G-REQ-03616-E4</t>
  </si>
  <si>
    <t>G-REQ-03617-E1</t>
  </si>
  <si>
    <t>G-REQ-03617-E2</t>
  </si>
  <si>
    <t>G-REQ-03617-E3</t>
  </si>
  <si>
    <t>G-REQ-03617-E4</t>
  </si>
  <si>
    <t>G-REQ-03618-E1</t>
  </si>
  <si>
    <t>G-REQ-03618-E2</t>
  </si>
  <si>
    <t>G-REQ-03618-E3</t>
  </si>
  <si>
    <t>G-REQ-03618-E4</t>
  </si>
  <si>
    <t>G-REQ-03619-E1</t>
  </si>
  <si>
    <t>SYNTHETIC: Laptop repair; Pending approval; asset G-AST-00477</t>
  </si>
  <si>
    <t>G-REQ-03619-E2</t>
  </si>
  <si>
    <t>SYNTHETIC: Laptop repair; Approved; asset G-AST-00477</t>
  </si>
  <si>
    <t>G-REQ-03619-E3</t>
  </si>
  <si>
    <t>SYNTHETIC: Laptop repair; In progress; asset G-AST-00477</t>
  </si>
  <si>
    <t>G-REQ-03619-E4</t>
  </si>
  <si>
    <t>SYNTHETIC: Laptop repair; Completed; asset G-AST-00477</t>
  </si>
  <si>
    <t>G-REQ-03620-E1</t>
  </si>
  <si>
    <t>G-REQ-03620-E2</t>
  </si>
  <si>
    <t>G-REQ-03621-E1</t>
  </si>
  <si>
    <t>SYNTHETIC: Laptop repair; Pending approval; asset G-AST-00534</t>
  </si>
  <si>
    <t>G-REQ-03621-E2</t>
  </si>
  <si>
    <t>SYNTHETIC: Laptop repair; Approved; asset G-AST-00534</t>
  </si>
  <si>
    <t>G-REQ-03621-E3</t>
  </si>
  <si>
    <t>SYNTHETIC: Laptop repair; In progress; asset G-AST-00534</t>
  </si>
  <si>
    <t>G-REQ-03621-E4</t>
  </si>
  <si>
    <t>SYNTHETIC: Laptop repair; Completed; asset G-AST-00534</t>
  </si>
  <si>
    <t>G-REQ-03622-E1</t>
  </si>
  <si>
    <t>G-REQ-03622-E2</t>
  </si>
  <si>
    <t>SYNTHETIC: Laptop return; Rejected; asset G-AST-00489</t>
  </si>
  <si>
    <t>G-REQ-03623-E1</t>
  </si>
  <si>
    <t>G-REQ-03623-E2</t>
  </si>
  <si>
    <t>G-REQ-03623-E3</t>
  </si>
  <si>
    <t>G-REQ-03623-E4</t>
  </si>
  <si>
    <t>G-REQ-03624-E1</t>
  </si>
  <si>
    <t>G-REQ-03624-E2</t>
  </si>
  <si>
    <t>G-REQ-03624-E3</t>
  </si>
  <si>
    <t>G-REQ-03624-E4</t>
  </si>
  <si>
    <t>G-REQ-03625-E1</t>
  </si>
  <si>
    <t>G-REQ-03625-E2</t>
  </si>
  <si>
    <t>G-REQ-03625-E3</t>
  </si>
  <si>
    <t>G-REQ-03625-E4</t>
  </si>
  <si>
    <t>G-REQ-03626-E1</t>
  </si>
  <si>
    <t>G-REQ-03626-E2</t>
  </si>
  <si>
    <t>G-REQ-03626-E3</t>
  </si>
  <si>
    <t>G-REQ-03626-E4</t>
  </si>
  <si>
    <t>G-REQ-03627-E1</t>
  </si>
  <si>
    <t>G-REQ-03627-E2</t>
  </si>
  <si>
    <t>G-REQ-03627-E3</t>
  </si>
  <si>
    <t>G-REQ-03627-E4</t>
  </si>
  <si>
    <t>G-REQ-03628-E1</t>
  </si>
  <si>
    <t>G-REQ-03628-E2</t>
  </si>
  <si>
    <t>G-REQ-03628-E3</t>
  </si>
  <si>
    <t>G-REQ-03628-E4</t>
  </si>
  <si>
    <t>G-REQ-03629-E1</t>
  </si>
  <si>
    <t>G-REQ-03629-E2</t>
  </si>
  <si>
    <t>G-REQ-03629-E3</t>
  </si>
  <si>
    <t>G-REQ-03629-E4</t>
  </si>
  <si>
    <t>G-REQ-03630-E1</t>
  </si>
  <si>
    <t>G-REQ-03630-E2</t>
  </si>
  <si>
    <t>G-REQ-03630-E3</t>
  </si>
  <si>
    <t>G-REQ-03630-E4</t>
  </si>
  <si>
    <t>G-REQ-03631-E1</t>
  </si>
  <si>
    <t>G-REQ-03631-E2</t>
  </si>
  <si>
    <t>SYNTHETIC: Laptop return; Rejected; asset G-AST-00038</t>
  </si>
  <si>
    <t>G-REQ-03632-E1</t>
  </si>
  <si>
    <t>G-REQ-03632-E2</t>
  </si>
  <si>
    <t>G-REQ-03632-E3</t>
  </si>
  <si>
    <t>G-REQ-03632-E4</t>
  </si>
  <si>
    <t>G-REQ-03633-E1</t>
  </si>
  <si>
    <t>G-REQ-03633-E2</t>
  </si>
  <si>
    <t>G-REQ-03633-E3</t>
  </si>
  <si>
    <t>G-REQ-03633-E4</t>
  </si>
  <si>
    <t>G-REQ-03634-E1</t>
  </si>
  <si>
    <t>G-REQ-03634-E2</t>
  </si>
  <si>
    <t>G-REQ-03634-E3</t>
  </si>
  <si>
    <t>G-REQ-03634-E4</t>
  </si>
  <si>
    <t>G-REQ-03635-E1</t>
  </si>
  <si>
    <t>SYNTHETIC: Laptop repair; Pending approval; asset G-AST-00006</t>
  </si>
  <si>
    <t>G-REQ-03635-E2</t>
  </si>
  <si>
    <t>SYNTHETIC: Laptop repair; Approved; asset G-AST-00006</t>
  </si>
  <si>
    <t>G-REQ-03635-E3</t>
  </si>
  <si>
    <t>SYNTHETIC: Laptop repair; In progress; asset G-AST-00006</t>
  </si>
  <si>
    <t>G-REQ-03635-E4</t>
  </si>
  <si>
    <t>SYNTHETIC: Laptop repair; Completed; asset G-AST-00006</t>
  </si>
  <si>
    <t>G-REQ-03636-E1</t>
  </si>
  <si>
    <t>G-REQ-03636-E2</t>
  </si>
  <si>
    <t>G-REQ-03636-E3</t>
  </si>
  <si>
    <t>G-REQ-03636-E4</t>
  </si>
  <si>
    <t>G-REQ-03637-E1</t>
  </si>
  <si>
    <t>G-REQ-03637-E2</t>
  </si>
  <si>
    <t>G-REQ-03637-E3</t>
  </si>
  <si>
    <t>G-REQ-03637-E4</t>
  </si>
  <si>
    <t>G-REQ-03638-E1</t>
  </si>
  <si>
    <t>G-REQ-03638-E2</t>
  </si>
  <si>
    <t>G-REQ-03638-E3</t>
  </si>
  <si>
    <t>G-REQ-03638-E4</t>
  </si>
  <si>
    <t>G-REQ-03639-E1</t>
  </si>
  <si>
    <t>G-REQ-03639-E2</t>
  </si>
  <si>
    <t>G-REQ-03639-E3</t>
  </si>
  <si>
    <t>G-REQ-03639-E4</t>
  </si>
  <si>
    <t>G-REQ-03640-E1</t>
  </si>
  <si>
    <t>G-REQ-03640-E2</t>
  </si>
  <si>
    <t>G-REQ-03640-E3</t>
  </si>
  <si>
    <t>G-REQ-03640-E4</t>
  </si>
  <si>
    <t>G-REQ-03641-E1</t>
  </si>
  <si>
    <t>G-REQ-03641-E2</t>
  </si>
  <si>
    <t>G-REQ-03641-E3</t>
  </si>
  <si>
    <t>G-REQ-03641-E4</t>
  </si>
  <si>
    <t>G-REQ-03642-E1</t>
  </si>
  <si>
    <t>G-REQ-03642-E2</t>
  </si>
  <si>
    <t>G-REQ-03642-E3</t>
  </si>
  <si>
    <t>G-REQ-03642-E4</t>
  </si>
  <si>
    <t>G-REQ-03643-E1</t>
  </si>
  <si>
    <t>G-REQ-03643-E2</t>
  </si>
  <si>
    <t>SYNTHETIC: Laptop return; Cancelled; asset G-AST-00444</t>
  </si>
  <si>
    <t>G-REQ-03644-E1</t>
  </si>
  <si>
    <t>G-REQ-03644-E2</t>
  </si>
  <si>
    <t>G-REQ-03644-E3</t>
  </si>
  <si>
    <t>G-REQ-03644-E4</t>
  </si>
  <si>
    <t>G-REQ-03645-E1</t>
  </si>
  <si>
    <t>G-REQ-03645-E2</t>
  </si>
  <si>
    <t>SYNTHETIC: Laptop return; Rejected; asset G-AST-00015</t>
  </si>
  <si>
    <t>G-REQ-03646-E1</t>
  </si>
  <si>
    <t>G-REQ-03646-E2</t>
  </si>
  <si>
    <t>G-REQ-03646-E3</t>
  </si>
  <si>
    <t>G-REQ-03646-E4</t>
  </si>
  <si>
    <t>G-REQ-03647-E1</t>
  </si>
  <si>
    <t>G-REQ-03647-E2</t>
  </si>
  <si>
    <t>G-REQ-03647-E3</t>
  </si>
  <si>
    <t>G-REQ-03647-E4</t>
  </si>
  <si>
    <t>G-REQ-03648-E1</t>
  </si>
  <si>
    <t>G-REQ-03648-E2</t>
  </si>
  <si>
    <t>G-REQ-03648-E3</t>
  </si>
  <si>
    <t>G-REQ-03648-E4</t>
  </si>
  <si>
    <t>G-REQ-03649-E1</t>
  </si>
  <si>
    <t>G-REQ-03649-E2</t>
  </si>
  <si>
    <t>G-REQ-03649-E3</t>
  </si>
  <si>
    <t>G-REQ-03649-E4</t>
  </si>
  <si>
    <t>G-REQ-03650-E1</t>
  </si>
  <si>
    <t>G-REQ-03650-E2</t>
  </si>
  <si>
    <t>G-REQ-03650-E3</t>
  </si>
  <si>
    <t>G-REQ-03650-E4</t>
  </si>
  <si>
    <t>G-REQ-03651-E1</t>
  </si>
  <si>
    <t>SYNTHETIC: Laptop repair; Pending approval; asset G-AST-00527</t>
  </si>
  <si>
    <t>G-REQ-03651-E2</t>
  </si>
  <si>
    <t>SYNTHETIC: Laptop repair; Approved; asset G-AST-00527</t>
  </si>
  <si>
    <t>G-REQ-03651-E3</t>
  </si>
  <si>
    <t>SYNTHETIC: Laptop repair; In progress; asset G-AST-00527</t>
  </si>
  <si>
    <t>G-REQ-03651-E4</t>
  </si>
  <si>
    <t>SYNTHETIC: Laptop repair; Completed; asset G-AST-00527</t>
  </si>
  <si>
    <t>G-REQ-03652-E1</t>
  </si>
  <si>
    <t>G-REQ-03652-E2</t>
  </si>
  <si>
    <t>G-REQ-03653-E1</t>
  </si>
  <si>
    <t>G-REQ-03653-E2</t>
  </si>
  <si>
    <t>G-REQ-03653-E3</t>
  </si>
  <si>
    <t>G-REQ-03653-E4</t>
  </si>
  <si>
    <t>G-REQ-03654-E1</t>
  </si>
  <si>
    <t>G-REQ-03654-E2</t>
  </si>
  <si>
    <t>G-REQ-03654-E3</t>
  </si>
  <si>
    <t>G-REQ-03654-E4</t>
  </si>
  <si>
    <t>G-REQ-03655-E1</t>
  </si>
  <si>
    <t>G-REQ-03655-E2</t>
  </si>
  <si>
    <t>SYNTHETIC: Laptop repair; Rejected; asset G-AST-00394</t>
  </si>
  <si>
    <t>G-REQ-03656-E1</t>
  </si>
  <si>
    <t>G-REQ-03656-E2</t>
  </si>
  <si>
    <t>G-REQ-03656-E3</t>
  </si>
  <si>
    <t>G-REQ-03656-E4</t>
  </si>
  <si>
    <t>G-REQ-03657-E1</t>
  </si>
  <si>
    <t>G-REQ-03657-E2</t>
  </si>
  <si>
    <t>G-REQ-03657-E3</t>
  </si>
  <si>
    <t>G-REQ-03657-E4</t>
  </si>
  <si>
    <t>G-REQ-03658-E1</t>
  </si>
  <si>
    <t>G-REQ-03658-E2</t>
  </si>
  <si>
    <t>G-REQ-03658-E3</t>
  </si>
  <si>
    <t>G-REQ-03658-E4</t>
  </si>
  <si>
    <t>G-REQ-03659-E1</t>
  </si>
  <si>
    <t>G-REQ-03659-E2</t>
  </si>
  <si>
    <t>G-REQ-03659-E3</t>
  </si>
  <si>
    <t>G-REQ-03659-E4</t>
  </si>
  <si>
    <t>G-REQ-03660-E1</t>
  </si>
  <si>
    <t>G-REQ-03660-E2</t>
  </si>
  <si>
    <t>G-REQ-03660-E3</t>
  </si>
  <si>
    <t>G-REQ-03660-E4</t>
  </si>
  <si>
    <t>G-REQ-03661-E1</t>
  </si>
  <si>
    <t>G-REQ-03661-E2</t>
  </si>
  <si>
    <t>G-REQ-03661-E3</t>
  </si>
  <si>
    <t>G-REQ-03661-E4</t>
  </si>
  <si>
    <t>G-REQ-03662-E1</t>
  </si>
  <si>
    <t>G-REQ-03662-E2</t>
  </si>
  <si>
    <t>G-REQ-03662-E3</t>
  </si>
  <si>
    <t>G-REQ-03662-E4</t>
  </si>
  <si>
    <t>G-REQ-03663-E1</t>
  </si>
  <si>
    <t>G-REQ-03663-E2</t>
  </si>
  <si>
    <t>G-REQ-03664-E1</t>
  </si>
  <si>
    <t>G-REQ-03664-E2</t>
  </si>
  <si>
    <t>SYNTHETIC: Laptop repair; Rejected; asset G-AST-00490</t>
  </si>
  <si>
    <t>G-REQ-03665-E1</t>
  </si>
  <si>
    <t>G-REQ-03665-E2</t>
  </si>
  <si>
    <t>G-REQ-03665-E3</t>
  </si>
  <si>
    <t>G-REQ-03665-E4</t>
  </si>
  <si>
    <t>G-REQ-03666-E1</t>
  </si>
  <si>
    <t>G-REQ-03666-E2</t>
  </si>
  <si>
    <t>G-REQ-03666-E3</t>
  </si>
  <si>
    <t>G-REQ-03666-E4</t>
  </si>
  <si>
    <t>G-REQ-03667-E1</t>
  </si>
  <si>
    <t>G-REQ-03667-E2</t>
  </si>
  <si>
    <t>G-REQ-03667-E3</t>
  </si>
  <si>
    <t>G-REQ-03667-E4</t>
  </si>
  <si>
    <t>G-REQ-03668-E1</t>
  </si>
  <si>
    <t>G-REQ-03668-E2</t>
  </si>
  <si>
    <t>G-REQ-03668-E3</t>
  </si>
  <si>
    <t>G-REQ-03668-E4</t>
  </si>
  <si>
    <t>G-REQ-03669-E1</t>
  </si>
  <si>
    <t>G-REQ-03669-E2</t>
  </si>
  <si>
    <t>G-REQ-03669-E3</t>
  </si>
  <si>
    <t>G-REQ-03669-E4</t>
  </si>
  <si>
    <t>G-REQ-03670-E1</t>
  </si>
  <si>
    <t>G-REQ-03670-E2</t>
  </si>
  <si>
    <t>G-REQ-03670-E3</t>
  </si>
  <si>
    <t>G-REQ-03670-E4</t>
  </si>
  <si>
    <t>G-REQ-03671-E1</t>
  </si>
  <si>
    <t>SYNTHETIC: Laptop return; Pending approval; asset G-AST-00531</t>
  </si>
  <si>
    <t>G-REQ-03671-E2</t>
  </si>
  <si>
    <t>SYNTHETIC: Laptop return; Rejected; asset G-AST-00531</t>
  </si>
  <si>
    <t>G-REQ-03672-E1</t>
  </si>
  <si>
    <t>G-REQ-03672-E2</t>
  </si>
  <si>
    <t>G-REQ-03672-E3</t>
  </si>
  <si>
    <t>G-REQ-03672-E4</t>
  </si>
  <si>
    <t>G-REQ-03673-E1</t>
  </si>
  <si>
    <t>G-REQ-03673-E2</t>
  </si>
  <si>
    <t>G-REQ-03674-E1</t>
  </si>
  <si>
    <t>G-REQ-03674-E2</t>
  </si>
  <si>
    <t>G-REQ-03674-E3</t>
  </si>
  <si>
    <t>G-REQ-03674-E4</t>
  </si>
  <si>
    <t>G-REQ-03675-E1</t>
  </si>
  <si>
    <t>G-REQ-03675-E2</t>
  </si>
  <si>
    <t>G-REQ-03675-E3</t>
  </si>
  <si>
    <t>G-REQ-03675-E4</t>
  </si>
  <si>
    <t>G-REQ-03676-E1</t>
  </si>
  <si>
    <t>G-REQ-03676-E2</t>
  </si>
  <si>
    <t>G-REQ-03676-E3</t>
  </si>
  <si>
    <t>G-REQ-03676-E4</t>
  </si>
  <si>
    <t>G-REQ-03677-E1</t>
  </si>
  <si>
    <t>G-REQ-03677-E2</t>
  </si>
  <si>
    <t>G-REQ-03677-E3</t>
  </si>
  <si>
    <t>G-REQ-03677-E4</t>
  </si>
  <si>
    <t>G-REQ-03678-E1</t>
  </si>
  <si>
    <t>G-REQ-03678-E2</t>
  </si>
  <si>
    <t>G-REQ-03678-E3</t>
  </si>
  <si>
    <t>G-REQ-03678-E4</t>
  </si>
  <si>
    <t>G-REQ-03679-E1</t>
  </si>
  <si>
    <t>G-REQ-03679-E2</t>
  </si>
  <si>
    <t>G-REQ-03679-E3</t>
  </si>
  <si>
    <t>G-REQ-03679-E4</t>
  </si>
  <si>
    <t>G-REQ-03680-E1</t>
  </si>
  <si>
    <t>G-REQ-03680-E2</t>
  </si>
  <si>
    <t>G-REQ-03681-E1</t>
  </si>
  <si>
    <t>SYNTHETIC: Laptop return; Pending approval; asset G-AST-00183</t>
  </si>
  <si>
    <t>G-REQ-03681-E2</t>
  </si>
  <si>
    <t>SYNTHETIC: Laptop return; Cancelled; asset G-AST-00183</t>
  </si>
  <si>
    <t>G-REQ-03682-E1</t>
  </si>
  <si>
    <t>G-REQ-03682-E2</t>
  </si>
  <si>
    <t>G-REQ-03682-E3</t>
  </si>
  <si>
    <t>G-REQ-03682-E4</t>
  </si>
  <si>
    <t>G-REQ-03683-E1</t>
  </si>
  <si>
    <t>SYNTHETIC: Laptop repair; Pending approval; asset G-AST-00022</t>
  </si>
  <si>
    <t>G-REQ-03683-E2</t>
  </si>
  <si>
    <t>SYNTHETIC: Laptop repair; Approved; asset G-AST-00022</t>
  </si>
  <si>
    <t>G-REQ-03683-E3</t>
  </si>
  <si>
    <t>SYNTHETIC: Laptop repair; In progress; asset G-AST-00022</t>
  </si>
  <si>
    <t>G-REQ-03683-E4</t>
  </si>
  <si>
    <t>SYNTHETIC: Laptop repair; Completed; asset G-AST-00022</t>
  </si>
  <si>
    <t>G-REQ-03684-E1</t>
  </si>
  <si>
    <t>G-REQ-03684-E2</t>
  </si>
  <si>
    <t>G-REQ-03684-E3</t>
  </si>
  <si>
    <t>G-REQ-03684-E4</t>
  </si>
  <si>
    <t>G-REQ-03685-E1</t>
  </si>
  <si>
    <t>SYNTHETIC: Laptop repair; Pending approval; asset G-AST-00487</t>
  </si>
  <si>
    <t>G-REQ-03685-E2</t>
  </si>
  <si>
    <t>SYNTHETIC: Laptop repair; Approved; asset G-AST-00487</t>
  </si>
  <si>
    <t>G-REQ-03685-E3</t>
  </si>
  <si>
    <t>SYNTHETIC: Laptop repair; In progress; asset G-AST-00487</t>
  </si>
  <si>
    <t>G-REQ-03685-E4</t>
  </si>
  <si>
    <t>SYNTHETIC: Laptop repair; Completed; asset G-AST-00487</t>
  </si>
  <si>
    <t>G-REQ-03686-E1</t>
  </si>
  <si>
    <t>G-REQ-03686-E2</t>
  </si>
  <si>
    <t>G-REQ-03686-E3</t>
  </si>
  <si>
    <t>G-REQ-03686-E4</t>
  </si>
  <si>
    <t>G-REQ-03687-E1</t>
  </si>
  <si>
    <t>G-REQ-03687-E2</t>
  </si>
  <si>
    <t>G-REQ-03688-E1</t>
  </si>
  <si>
    <t>G-REQ-03688-E2</t>
  </si>
  <si>
    <t>SYNTHETIC: Laptop return; Rejected; asset G-AST-00519</t>
  </si>
  <si>
    <t>G-REQ-03689-E1</t>
  </si>
  <si>
    <t>G-REQ-03689-E2</t>
  </si>
  <si>
    <t>G-REQ-03689-E3</t>
  </si>
  <si>
    <t>G-REQ-03689-E4</t>
  </si>
  <si>
    <t>G-REQ-03690-E1</t>
  </si>
  <si>
    <t>G-REQ-03690-E2</t>
  </si>
  <si>
    <t>G-REQ-03690-E3</t>
  </si>
  <si>
    <t>G-REQ-03690-E4</t>
  </si>
  <si>
    <t>G-REQ-03691-E1</t>
  </si>
  <si>
    <t>G-REQ-03691-E2</t>
  </si>
  <si>
    <t>G-REQ-03691-E3</t>
  </si>
  <si>
    <t>G-REQ-03691-E4</t>
  </si>
  <si>
    <t>G-REQ-03692-E1</t>
  </si>
  <si>
    <t>G-REQ-03692-E2</t>
  </si>
  <si>
    <t>G-REQ-03692-E3</t>
  </si>
  <si>
    <t>G-REQ-03692-E4</t>
  </si>
  <si>
    <t>G-REQ-03693-E1</t>
  </si>
  <si>
    <t>G-REQ-03693-E2</t>
  </si>
  <si>
    <t>SYNTHETIC: Laptop repair; Rejected; asset G-AST-00434</t>
  </si>
  <si>
    <t>G-REQ-03694-E1</t>
  </si>
  <si>
    <t>G-REQ-03694-E2</t>
  </si>
  <si>
    <t>G-REQ-03694-E3</t>
  </si>
  <si>
    <t>G-REQ-03694-E4</t>
  </si>
  <si>
    <t>G-REQ-03695-E1</t>
  </si>
  <si>
    <t>G-REQ-03695-E2</t>
  </si>
  <si>
    <t>G-REQ-03695-E3</t>
  </si>
  <si>
    <t>G-REQ-03695-E4</t>
  </si>
  <si>
    <t>G-REQ-03696-E1</t>
  </si>
  <si>
    <t>G-REQ-03696-E2</t>
  </si>
  <si>
    <t>G-REQ-03696-E3</t>
  </si>
  <si>
    <t>G-REQ-03696-E4</t>
  </si>
  <si>
    <t>G-REQ-03697-E1</t>
  </si>
  <si>
    <t>G-REQ-03697-E2</t>
  </si>
  <si>
    <t>G-REQ-03697-E3</t>
  </si>
  <si>
    <t>G-REQ-03697-E4</t>
  </si>
  <si>
    <t>G-REQ-03698-E1</t>
  </si>
  <si>
    <t>G-REQ-03698-E2</t>
  </si>
  <si>
    <t>G-REQ-03698-E3</t>
  </si>
  <si>
    <t>G-REQ-03698-E4</t>
  </si>
  <si>
    <t>G-REQ-03699-E1</t>
  </si>
  <si>
    <t>G-REQ-03699-E2</t>
  </si>
  <si>
    <t>G-REQ-03699-E3</t>
  </si>
  <si>
    <t>G-REQ-03699-E4</t>
  </si>
  <si>
    <t>G-REQ-03700-E1</t>
  </si>
  <si>
    <t>G-REQ-03700-E2</t>
  </si>
  <si>
    <t>G-REQ-03700-E3</t>
  </si>
  <si>
    <t>G-REQ-03700-E4</t>
  </si>
  <si>
    <t>G-REQ-03701-E1</t>
  </si>
  <si>
    <t>G-REQ-03701-E2</t>
  </si>
  <si>
    <t>G-REQ-03701-E3</t>
  </si>
  <si>
    <t>G-REQ-03701-E4</t>
  </si>
  <si>
    <t>G-REQ-03702-E1</t>
  </si>
  <si>
    <t>G-REQ-03702-E2</t>
  </si>
  <si>
    <t>G-REQ-03702-E3</t>
  </si>
  <si>
    <t>G-REQ-03702-E4</t>
  </si>
  <si>
    <t>G-REQ-03703-E1</t>
  </si>
  <si>
    <t>G-REQ-03703-E2</t>
  </si>
  <si>
    <t>G-REQ-03703-E3</t>
  </si>
  <si>
    <t>G-REQ-03703-E4</t>
  </si>
  <si>
    <t>G-REQ-03704-E1</t>
  </si>
  <si>
    <t>G-REQ-03704-E2</t>
  </si>
  <si>
    <t>G-REQ-03704-E3</t>
  </si>
  <si>
    <t>G-REQ-03704-E4</t>
  </si>
  <si>
    <t>G-REQ-03705-E1</t>
  </si>
  <si>
    <t>G-REQ-03705-E2</t>
  </si>
  <si>
    <t>G-REQ-03705-E3</t>
  </si>
  <si>
    <t>G-REQ-03705-E4</t>
  </si>
  <si>
    <t>G-REQ-03706-E1</t>
  </si>
  <si>
    <t>G-REQ-03706-E2</t>
  </si>
  <si>
    <t>G-REQ-03706-E3</t>
  </si>
  <si>
    <t>G-REQ-03706-E4</t>
  </si>
  <si>
    <t>G-REQ-03707-E1</t>
  </si>
  <si>
    <t>SYNTHETIC: Laptop repair; Pending approval; asset G-AST-00015</t>
  </si>
  <si>
    <t>G-REQ-03707-E2</t>
  </si>
  <si>
    <t>SYNTHETIC: Laptop repair; Approved; asset G-AST-00015</t>
  </si>
  <si>
    <t>G-REQ-03707-E3</t>
  </si>
  <si>
    <t>SYNTHETIC: Laptop repair; In progress; asset G-AST-00015</t>
  </si>
  <si>
    <t>G-REQ-03707-E4</t>
  </si>
  <si>
    <t>SYNTHETIC: Laptop repair; Completed; asset G-AST-00015</t>
  </si>
  <si>
    <t>G-REQ-03708-E1</t>
  </si>
  <si>
    <t>G-REQ-03708-E2</t>
  </si>
  <si>
    <t>G-REQ-03708-E3</t>
  </si>
  <si>
    <t>G-REQ-03708-E4</t>
  </si>
  <si>
    <t>G-REQ-03709-E1</t>
  </si>
  <si>
    <t>G-REQ-03709-E2</t>
  </si>
  <si>
    <t>G-REQ-03709-E3</t>
  </si>
  <si>
    <t>G-REQ-03709-E4</t>
  </si>
  <si>
    <t>G-REQ-03710-E1</t>
  </si>
  <si>
    <t>G-REQ-03710-E2</t>
  </si>
  <si>
    <t>G-REQ-03710-E3</t>
  </si>
  <si>
    <t>G-REQ-03710-E4</t>
  </si>
  <si>
    <t>G-REQ-03711-E1</t>
  </si>
  <si>
    <t>G-REQ-03711-E2</t>
  </si>
  <si>
    <t>G-REQ-03711-E3</t>
  </si>
  <si>
    <t>G-REQ-03711-E4</t>
  </si>
  <si>
    <t>G-REQ-03712-E1</t>
  </si>
  <si>
    <t>G-REQ-03712-E2</t>
  </si>
  <si>
    <t>G-REQ-03712-E3</t>
  </si>
  <si>
    <t>G-REQ-03712-E4</t>
  </si>
  <si>
    <t>G-REQ-03713-E1</t>
  </si>
  <si>
    <t>SYNTHETIC: Laptop repair; Pending approval; asset G-AST-00466</t>
  </si>
  <si>
    <t>G-REQ-03713-E2</t>
  </si>
  <si>
    <t>SYNTHETIC: Laptop repair; Approved; asset G-AST-00466</t>
  </si>
  <si>
    <t>G-REQ-03713-E3</t>
  </si>
  <si>
    <t>SYNTHETIC: Laptop repair; In progress; asset G-AST-00466</t>
  </si>
  <si>
    <t>G-REQ-03713-E4</t>
  </si>
  <si>
    <t>SYNTHETIC: Laptop repair; Completed; asset G-AST-00466</t>
  </si>
  <si>
    <t>G-REQ-03714-E1</t>
  </si>
  <si>
    <t>G-REQ-03714-E2</t>
  </si>
  <si>
    <t>SYNTHETIC: Laptop repair; Rejected; asset G-AST-00527</t>
  </si>
  <si>
    <t>G-REQ-03715-E1</t>
  </si>
  <si>
    <t>G-REQ-03715-E2</t>
  </si>
  <si>
    <t>G-REQ-03715-E3</t>
  </si>
  <si>
    <t>G-REQ-03715-E4</t>
  </si>
  <si>
    <t>G-REQ-03716-E1</t>
  </si>
  <si>
    <t>G-REQ-03716-E2</t>
  </si>
  <si>
    <t>G-REQ-03716-E3</t>
  </si>
  <si>
    <t>G-REQ-03716-E4</t>
  </si>
  <si>
    <t>G-REQ-03717-E1</t>
  </si>
  <si>
    <t>G-REQ-03717-E2</t>
  </si>
  <si>
    <t>G-REQ-03717-E3</t>
  </si>
  <si>
    <t>G-REQ-03717-E4</t>
  </si>
  <si>
    <t>G-REQ-03718-E1</t>
  </si>
  <si>
    <t>SYNTHETIC: Laptop repair; Pending approval; asset G-AST-00497</t>
  </si>
  <si>
    <t>G-REQ-03718-E2</t>
  </si>
  <si>
    <t>SYNTHETIC: Laptop repair; Cancelled; asset G-AST-00497</t>
  </si>
  <si>
    <t>G-REQ-03719-E1</t>
  </si>
  <si>
    <t>G-REQ-03719-E2</t>
  </si>
  <si>
    <t>G-REQ-03719-E3</t>
  </si>
  <si>
    <t>G-REQ-03719-E4</t>
  </si>
  <si>
    <t>G-REQ-03720-E1</t>
  </si>
  <si>
    <t>G-REQ-03720-E2</t>
  </si>
  <si>
    <t>G-REQ-03720-E3</t>
  </si>
  <si>
    <t>G-REQ-03720-E4</t>
  </si>
  <si>
    <t>G-REQ-03721-E1</t>
  </si>
  <si>
    <t>G-REQ-03721-E2</t>
  </si>
  <si>
    <t>SYNTHETIC: Laptop repair; Rejected; asset G-AST-00391</t>
  </si>
  <si>
    <t>G-REQ-03722-E1</t>
  </si>
  <si>
    <t>G-REQ-03722-E2</t>
  </si>
  <si>
    <t>G-REQ-03722-E3</t>
  </si>
  <si>
    <t>G-REQ-03722-E4</t>
  </si>
  <si>
    <t>G-REQ-03723-E1</t>
  </si>
  <si>
    <t>G-REQ-03723-E2</t>
  </si>
  <si>
    <t>G-REQ-03723-E3</t>
  </si>
  <si>
    <t>G-REQ-03723-E4</t>
  </si>
  <si>
    <t>G-REQ-03724-E1</t>
  </si>
  <si>
    <t>G-REQ-03724-E2</t>
  </si>
  <si>
    <t>G-REQ-03724-E3</t>
  </si>
  <si>
    <t>G-REQ-03724-E4</t>
  </si>
  <si>
    <t>G-REQ-03725-E1</t>
  </si>
  <si>
    <t>G-REQ-03725-E2</t>
  </si>
  <si>
    <t>SYNTHETIC: Laptop return; Rejected; asset G-AST-00022</t>
  </si>
  <si>
    <t>G-REQ-03726-E1</t>
  </si>
  <si>
    <t>G-REQ-03726-E2</t>
  </si>
  <si>
    <t>SYNTHETIC: Laptop repair; Rejected; asset G-AST-00466</t>
  </si>
  <si>
    <t>G-REQ-03727-E1</t>
  </si>
  <si>
    <t>G-REQ-03727-E2</t>
  </si>
  <si>
    <t>G-REQ-03727-E3</t>
  </si>
  <si>
    <t>G-REQ-03727-E4</t>
  </si>
  <si>
    <t>G-REQ-03728-E1</t>
  </si>
  <si>
    <t>G-REQ-03728-E2</t>
  </si>
  <si>
    <t>G-REQ-03728-E3</t>
  </si>
  <si>
    <t>G-REQ-03728-E4</t>
  </si>
  <si>
    <t>G-REQ-03729-E1</t>
  </si>
  <si>
    <t>G-REQ-03729-E2</t>
  </si>
  <si>
    <t>G-REQ-03729-E3</t>
  </si>
  <si>
    <t>G-REQ-03729-E4</t>
  </si>
  <si>
    <t>G-REQ-03730-E1</t>
  </si>
  <si>
    <t>G-REQ-03730-E2</t>
  </si>
  <si>
    <t>G-REQ-03730-E3</t>
  </si>
  <si>
    <t>G-REQ-03730-E4</t>
  </si>
  <si>
    <t>G-REQ-03731-E1</t>
  </si>
  <si>
    <t>G-REQ-03731-E2</t>
  </si>
  <si>
    <t>SYNTHETIC: Laptop repair; Approved; asset G-AST-00439</t>
  </si>
  <si>
    <t>G-REQ-03731-E3</t>
  </si>
  <si>
    <t>SYNTHETIC: Laptop repair; In progress; asset G-AST-00439</t>
  </si>
  <si>
    <t>G-REQ-03731-E4</t>
  </si>
  <si>
    <t>SYNTHETIC: Laptop repair; Completed; asset G-AST-00439</t>
  </si>
  <si>
    <t>G-REQ-03732-E1</t>
  </si>
  <si>
    <t>SYNTHETIC: Laptop repair; Pending approval; asset G-AST-00034</t>
  </si>
  <si>
    <t>G-REQ-03732-E2</t>
  </si>
  <si>
    <t>SYNTHETIC: Laptop repair; Approved; asset G-AST-00034</t>
  </si>
  <si>
    <t>G-REQ-03732-E3</t>
  </si>
  <si>
    <t>SYNTHETIC: Laptop repair; In progress; asset G-AST-00034</t>
  </si>
  <si>
    <t>G-REQ-03732-E4</t>
  </si>
  <si>
    <t>SYNTHETIC: Laptop repair; Completed; asset G-AST-00034</t>
  </si>
  <si>
    <t>G-REQ-03733-E1</t>
  </si>
  <si>
    <t>G-REQ-03733-E2</t>
  </si>
  <si>
    <t>SYNTHETIC: Laptop return; Cancelled; asset G-AST-00150</t>
  </si>
  <si>
    <t>G-REQ-03734-E1</t>
  </si>
  <si>
    <t>G-REQ-03734-E2</t>
  </si>
  <si>
    <t>G-REQ-03734-E3</t>
  </si>
  <si>
    <t>G-REQ-03734-E4</t>
  </si>
  <si>
    <t>G-REQ-03735-E1</t>
  </si>
  <si>
    <t>G-REQ-03735-E2</t>
  </si>
  <si>
    <t>G-REQ-03735-E3</t>
  </si>
  <si>
    <t>G-REQ-03735-E4</t>
  </si>
  <si>
    <t>G-REQ-03736-E1</t>
  </si>
  <si>
    <t>G-REQ-03736-E2</t>
  </si>
  <si>
    <t>G-REQ-03736-E3</t>
  </si>
  <si>
    <t>G-REQ-03736-E4</t>
  </si>
  <si>
    <t>G-REQ-03737-E1</t>
  </si>
  <si>
    <t>G-REQ-03737-E2</t>
  </si>
  <si>
    <t>SYNTHETIC: Laptop repair; Cancelled; asset G-AST-00362</t>
  </si>
  <si>
    <t>G-REQ-03738-E1</t>
  </si>
  <si>
    <t>G-REQ-03738-E2</t>
  </si>
  <si>
    <t>G-REQ-03738-E3</t>
  </si>
  <si>
    <t>G-REQ-03738-E4</t>
  </si>
  <si>
    <t>G-REQ-03739-E1</t>
  </si>
  <si>
    <t>G-REQ-03739-E2</t>
  </si>
  <si>
    <t>G-REQ-03739-E3</t>
  </si>
  <si>
    <t>G-REQ-03739-E4</t>
  </si>
  <si>
    <t>G-REQ-03740-E1</t>
  </si>
  <si>
    <t>G-REQ-03740-E2</t>
  </si>
  <si>
    <t>G-REQ-03740-E3</t>
  </si>
  <si>
    <t>G-REQ-03740-E4</t>
  </si>
  <si>
    <t>G-REQ-03741-E1</t>
  </si>
  <si>
    <t>G-REQ-03741-E2</t>
  </si>
  <si>
    <t>G-REQ-03741-E3</t>
  </si>
  <si>
    <t>G-REQ-03741-E4</t>
  </si>
  <si>
    <t>G-REQ-03742-E1</t>
  </si>
  <si>
    <t>G-REQ-03742-E2</t>
  </si>
  <si>
    <t>G-REQ-03742-E3</t>
  </si>
  <si>
    <t>G-REQ-03742-E4</t>
  </si>
  <si>
    <t>G-REQ-03743-E1</t>
  </si>
  <si>
    <t>SYNTHETIC: Laptop return; Pending approval; asset G-AST-00379</t>
  </si>
  <si>
    <t>G-REQ-03743-E2</t>
  </si>
  <si>
    <t>SYNTHETIC: Laptop return; Approved; asset G-AST-00379</t>
  </si>
  <si>
    <t>G-REQ-03743-E3</t>
  </si>
  <si>
    <t>SYNTHETIC: Laptop return; In progress; asset G-AST-00379</t>
  </si>
  <si>
    <t>G-REQ-03743-E4</t>
  </si>
  <si>
    <t>SYNTHETIC: Laptop return; Completed; asset G-AST-00379</t>
  </si>
  <si>
    <t>G-REQ-03744-E1</t>
  </si>
  <si>
    <t>SYNTHETIC: Laptop repair; Pending approval; asset G-AST-00043</t>
  </si>
  <si>
    <t>G-REQ-03744-E2</t>
  </si>
  <si>
    <t>SYNTHETIC: Laptop repair; Approved; asset G-AST-00043</t>
  </si>
  <si>
    <t>G-REQ-03744-E3</t>
  </si>
  <si>
    <t>SYNTHETIC: Laptop repair; In progress; asset G-AST-00043</t>
  </si>
  <si>
    <t>G-REQ-03744-E4</t>
  </si>
  <si>
    <t>SYNTHETIC: Laptop repair; Completed; asset G-AST-00043</t>
  </si>
  <si>
    <t>G-REQ-03745-E1</t>
  </si>
  <si>
    <t>G-REQ-03745-E2</t>
  </si>
  <si>
    <t>SYNTHETIC: Laptop repair; Cancelled; asset G-AST-00423</t>
  </si>
  <si>
    <t>G-REQ-03746-E1</t>
  </si>
  <si>
    <t>G-REQ-03746-E2</t>
  </si>
  <si>
    <t>G-REQ-03746-E3</t>
  </si>
  <si>
    <t>G-REQ-03746-E4</t>
  </si>
  <si>
    <t>G-REQ-03747-E1</t>
  </si>
  <si>
    <t>G-REQ-03747-E2</t>
  </si>
  <si>
    <t>G-REQ-03747-E3</t>
  </si>
  <si>
    <t>G-REQ-03747-E4</t>
  </si>
  <si>
    <t>G-REQ-03748-E1</t>
  </si>
  <si>
    <t>G-REQ-03748-E2</t>
  </si>
  <si>
    <t>G-REQ-03748-E3</t>
  </si>
  <si>
    <t>G-REQ-03748-E4</t>
  </si>
  <si>
    <t>G-REQ-03749-E1</t>
  </si>
  <si>
    <t>G-REQ-03749-E2</t>
  </si>
  <si>
    <t>G-REQ-03750-E1</t>
  </si>
  <si>
    <t>G-REQ-03750-E2</t>
  </si>
  <si>
    <t>G-REQ-03750-E3</t>
  </si>
  <si>
    <t>G-REQ-03750-E4</t>
  </si>
  <si>
    <t>G-REQ-03751-E1</t>
  </si>
  <si>
    <t>G-REQ-03751-E2</t>
  </si>
  <si>
    <t>G-REQ-03751-E3</t>
  </si>
  <si>
    <t>G-REQ-03751-E4</t>
  </si>
  <si>
    <t>G-REQ-03752-E1</t>
  </si>
  <si>
    <t>G-REQ-03752-E2</t>
  </si>
  <si>
    <t>G-REQ-03753-E1</t>
  </si>
  <si>
    <t>G-REQ-03753-E2</t>
  </si>
  <si>
    <t>G-REQ-03753-E3</t>
  </si>
  <si>
    <t>G-REQ-03753-E4</t>
  </si>
  <si>
    <t>G-REQ-03754-E1</t>
  </si>
  <si>
    <t>G-REQ-03754-E2</t>
  </si>
  <si>
    <t>G-REQ-03754-E3</t>
  </si>
  <si>
    <t>G-REQ-03754-E4</t>
  </si>
  <si>
    <t>G-REQ-03755-E1</t>
  </si>
  <si>
    <t>G-REQ-03755-E2</t>
  </si>
  <si>
    <t>G-REQ-03755-E3</t>
  </si>
  <si>
    <t>G-REQ-03755-E4</t>
  </si>
  <si>
    <t>G-REQ-03756-E1</t>
  </si>
  <si>
    <t>G-REQ-03756-E2</t>
  </si>
  <si>
    <t>G-REQ-03756-E3</t>
  </si>
  <si>
    <t>G-REQ-03756-E4</t>
  </si>
  <si>
    <t>G-REQ-03757-E1</t>
  </si>
  <si>
    <t>G-REQ-03757-E2</t>
  </si>
  <si>
    <t>SYNTHETIC: Laptop return; Approved; asset G-AST-00183</t>
  </si>
  <si>
    <t>G-REQ-03757-E3</t>
  </si>
  <si>
    <t>SYNTHETIC: Laptop return; In progress; asset G-AST-00183</t>
  </si>
  <si>
    <t>G-REQ-03757-E4</t>
  </si>
  <si>
    <t>SYNTHETIC: Laptop return; Completed; asset G-AST-00183</t>
  </si>
  <si>
    <t>G-REQ-03758-E1</t>
  </si>
  <si>
    <t>G-REQ-03758-E2</t>
  </si>
  <si>
    <t>SYNTHETIC: Laptop repair; Rejected; asset G-AST-00055</t>
  </si>
  <si>
    <t>G-REQ-03759-E1</t>
  </si>
  <si>
    <t>G-REQ-03759-E2</t>
  </si>
  <si>
    <t>G-REQ-03759-E3</t>
  </si>
  <si>
    <t>G-REQ-03759-E4</t>
  </si>
  <si>
    <t>G-REQ-03760-E1</t>
  </si>
  <si>
    <t>G-REQ-03760-E2</t>
  </si>
  <si>
    <t>G-REQ-03760-E3</t>
  </si>
  <si>
    <t>G-REQ-03760-E4</t>
  </si>
  <si>
    <t>G-REQ-03761-E1</t>
  </si>
  <si>
    <t>G-REQ-03761-E2</t>
  </si>
  <si>
    <t>G-REQ-03761-E3</t>
  </si>
  <si>
    <t>G-REQ-03761-E4</t>
  </si>
  <si>
    <t>G-REQ-03762-E1</t>
  </si>
  <si>
    <t>G-REQ-03762-E2</t>
  </si>
  <si>
    <t>G-REQ-03762-E3</t>
  </si>
  <si>
    <t>G-REQ-03762-E4</t>
  </si>
  <si>
    <t>G-REQ-03763-E1</t>
  </si>
  <si>
    <t>G-REQ-03763-E2</t>
  </si>
  <si>
    <t>G-REQ-03763-E3</t>
  </si>
  <si>
    <t>G-REQ-03763-E4</t>
  </si>
  <si>
    <t>G-REQ-03764-E1</t>
  </si>
  <si>
    <t>G-REQ-03764-E2</t>
  </si>
  <si>
    <t>G-REQ-03764-E3</t>
  </si>
  <si>
    <t>G-REQ-03764-E4</t>
  </si>
  <si>
    <t>G-REQ-03765-E1</t>
  </si>
  <si>
    <t>G-REQ-03765-E2</t>
  </si>
  <si>
    <t>SYNTHETIC: Laptop return; Rejected; asset G-AST-00498</t>
  </si>
  <si>
    <t>G-REQ-03766-E1</t>
  </si>
  <si>
    <t>G-REQ-03766-E2</t>
  </si>
  <si>
    <t>G-REQ-03766-E3</t>
  </si>
  <si>
    <t>G-REQ-03766-E4</t>
  </si>
  <si>
    <t>G-REQ-03767-E1</t>
  </si>
  <si>
    <t>G-REQ-03767-E2</t>
  </si>
  <si>
    <t>G-REQ-03767-E3</t>
  </si>
  <si>
    <t>G-REQ-03767-E4</t>
  </si>
  <si>
    <t>G-REQ-03768-E1</t>
  </si>
  <si>
    <t>G-REQ-03768-E2</t>
  </si>
  <si>
    <t>G-REQ-03768-E3</t>
  </si>
  <si>
    <t>G-REQ-03768-E4</t>
  </si>
  <si>
    <t>G-REQ-03769-E1</t>
  </si>
  <si>
    <t>G-REQ-03769-E2</t>
  </si>
  <si>
    <t>G-REQ-03769-E3</t>
  </si>
  <si>
    <t>G-REQ-03769-E4</t>
  </si>
  <si>
    <t>G-REQ-03770-E1</t>
  </si>
  <si>
    <t>G-REQ-03770-E2</t>
  </si>
  <si>
    <t>SYNTHETIC: Laptop repair; Rejected; asset G-AST-00500</t>
  </si>
  <si>
    <t>G-REQ-03771-E1</t>
  </si>
  <si>
    <t>G-REQ-03771-E2</t>
  </si>
  <si>
    <t>G-REQ-03772-E1</t>
  </si>
  <si>
    <t>G-REQ-03772-E2</t>
  </si>
  <si>
    <t>G-REQ-03772-E3</t>
  </si>
  <si>
    <t>G-REQ-03772-E4</t>
  </si>
  <si>
    <t>G-REQ-03773-E1</t>
  </si>
  <si>
    <t>G-REQ-03773-E2</t>
  </si>
  <si>
    <t>G-REQ-03773-E3</t>
  </si>
  <si>
    <t>G-REQ-03773-E4</t>
  </si>
  <si>
    <t>G-REQ-03774-E1</t>
  </si>
  <si>
    <t>G-REQ-03774-E2</t>
  </si>
  <si>
    <t>SYNTHETIC: Laptop repair; Rejected; asset G-AST-00389</t>
  </si>
  <si>
    <t>G-REQ-03775-E1</t>
  </si>
  <si>
    <t>G-REQ-03775-E2</t>
  </si>
  <si>
    <t>G-REQ-03775-E3</t>
  </si>
  <si>
    <t>G-REQ-03775-E4</t>
  </si>
  <si>
    <t>G-REQ-03776-E1</t>
  </si>
  <si>
    <t>G-REQ-03776-E2</t>
  </si>
  <si>
    <t>G-REQ-03776-E3</t>
  </si>
  <si>
    <t>G-REQ-03776-E4</t>
  </si>
  <si>
    <t>G-REQ-03777-E1</t>
  </si>
  <si>
    <t>G-REQ-03777-E2</t>
  </si>
  <si>
    <t>G-REQ-03777-E3</t>
  </si>
  <si>
    <t>G-REQ-03777-E4</t>
  </si>
  <si>
    <t>G-REQ-03778-E1</t>
  </si>
  <si>
    <t>G-REQ-03778-E2</t>
  </si>
  <si>
    <t>G-REQ-03778-E3</t>
  </si>
  <si>
    <t>G-REQ-03778-E4</t>
  </si>
  <si>
    <t>G-REQ-03779-E1</t>
  </si>
  <si>
    <t>G-REQ-03779-E2</t>
  </si>
  <si>
    <t>SYNTHETIC: Laptop return; Rejected; asset G-AST-00341</t>
  </si>
  <si>
    <t>G-REQ-03780-E1</t>
  </si>
  <si>
    <t>G-REQ-03780-E2</t>
  </si>
  <si>
    <t>G-REQ-03780-E3</t>
  </si>
  <si>
    <t>G-REQ-03780-E4</t>
  </si>
  <si>
    <t>G-REQ-03781-E1</t>
  </si>
  <si>
    <t>SYNTHETIC: Laptop repair; Pending approval; asset G-AST-00387</t>
  </si>
  <si>
    <t>G-REQ-03781-E2</t>
  </si>
  <si>
    <t>SYNTHETIC: Laptop repair; Approved; asset G-AST-00387</t>
  </si>
  <si>
    <t>G-REQ-03781-E3</t>
  </si>
  <si>
    <t>SYNTHETIC: Laptop repair; In progress; asset G-AST-00387</t>
  </si>
  <si>
    <t>G-REQ-03781-E4</t>
  </si>
  <si>
    <t>SYNTHETIC: Laptop repair; Completed; asset G-AST-00387</t>
  </si>
  <si>
    <t>G-REQ-03782-E1</t>
  </si>
  <si>
    <t>G-REQ-03782-E2</t>
  </si>
  <si>
    <t>G-REQ-03782-E3</t>
  </si>
  <si>
    <t>G-REQ-03782-E4</t>
  </si>
  <si>
    <t>G-REQ-03783-E1</t>
  </si>
  <si>
    <t>G-REQ-03783-E2</t>
  </si>
  <si>
    <t>G-REQ-03783-E3</t>
  </si>
  <si>
    <t>G-REQ-03783-E4</t>
  </si>
  <si>
    <t>G-REQ-03784-E1</t>
  </si>
  <si>
    <t>G-REQ-03784-E2</t>
  </si>
  <si>
    <t>SYNTHETIC: Laptop repair; Rejected; asset G-AST-00001</t>
  </si>
  <si>
    <t>G-REQ-03785-E1</t>
  </si>
  <si>
    <t>G-REQ-03785-E2</t>
  </si>
  <si>
    <t>G-REQ-03785-E3</t>
  </si>
  <si>
    <t>G-REQ-03785-E4</t>
  </si>
  <si>
    <t>G-REQ-03786-E1</t>
  </si>
  <si>
    <t>G-REQ-03786-E2</t>
  </si>
  <si>
    <t>G-REQ-03786-E3</t>
  </si>
  <si>
    <t>G-REQ-03786-E4</t>
  </si>
  <si>
    <t>G-REQ-03787-E1</t>
  </si>
  <si>
    <t>G-REQ-03787-E2</t>
  </si>
  <si>
    <t>G-REQ-03787-E3</t>
  </si>
  <si>
    <t>G-REQ-03787-E4</t>
  </si>
  <si>
    <t>G-REQ-03788-E1</t>
  </si>
  <si>
    <t>G-REQ-03788-E2</t>
  </si>
  <si>
    <t>G-REQ-03788-E3</t>
  </si>
  <si>
    <t>G-REQ-03788-E4</t>
  </si>
  <si>
    <t>G-REQ-03789-E1</t>
  </si>
  <si>
    <t>G-REQ-03789-E2</t>
  </si>
  <si>
    <t>G-REQ-03789-E3</t>
  </si>
  <si>
    <t>G-REQ-03789-E4</t>
  </si>
  <si>
    <t>G-REQ-03790-E1</t>
  </si>
  <si>
    <t>G-REQ-03790-E2</t>
  </si>
  <si>
    <t>G-REQ-03790-E3</t>
  </si>
  <si>
    <t>G-REQ-03790-E4</t>
  </si>
  <si>
    <t>G-REQ-03791-E1</t>
  </si>
  <si>
    <t>G-REQ-03791-E2</t>
  </si>
  <si>
    <t>G-REQ-03791-E3</t>
  </si>
  <si>
    <t>G-REQ-03791-E4</t>
  </si>
  <si>
    <t>G-REQ-03792-E1</t>
  </si>
  <si>
    <t>G-REQ-03792-E2</t>
  </si>
  <si>
    <t>G-REQ-03792-E3</t>
  </si>
  <si>
    <t>G-REQ-03792-E4</t>
  </si>
  <si>
    <t>G-REQ-03793-E1</t>
  </si>
  <si>
    <t>G-REQ-03793-E2</t>
  </si>
  <si>
    <t>G-REQ-03793-E3</t>
  </si>
  <si>
    <t>G-REQ-03793-E4</t>
  </si>
  <si>
    <t>G-REQ-03794-E1</t>
  </si>
  <si>
    <t>G-REQ-03794-E2</t>
  </si>
  <si>
    <t>G-REQ-03794-E3</t>
  </si>
  <si>
    <t>G-REQ-03794-E4</t>
  </si>
  <si>
    <t>G-REQ-03795-E1</t>
  </si>
  <si>
    <t>G-REQ-03795-E2</t>
  </si>
  <si>
    <t>G-REQ-03795-E3</t>
  </si>
  <si>
    <t>G-REQ-03795-E4</t>
  </si>
  <si>
    <t>G-REQ-03796-E1</t>
  </si>
  <si>
    <t>G-REQ-03796-E2</t>
  </si>
  <si>
    <t>G-REQ-03796-E3</t>
  </si>
  <si>
    <t>G-REQ-03796-E4</t>
  </si>
  <si>
    <t>G-REQ-03797-E1</t>
  </si>
  <si>
    <t>G-REQ-03797-E2</t>
  </si>
  <si>
    <t>G-REQ-03797-E3</t>
  </si>
  <si>
    <t>G-REQ-03797-E4</t>
  </si>
  <si>
    <t>G-REQ-03798-E1</t>
  </si>
  <si>
    <t>G-REQ-03798-E2</t>
  </si>
  <si>
    <t>G-REQ-03798-E3</t>
  </si>
  <si>
    <t>G-REQ-03798-E4</t>
  </si>
  <si>
    <t>G-REQ-03799-E1</t>
  </si>
  <si>
    <t>G-REQ-03799-E2</t>
  </si>
  <si>
    <t>G-REQ-03799-E3</t>
  </si>
  <si>
    <t>G-REQ-03799-E4</t>
  </si>
  <si>
    <t>G-REQ-03800-E1</t>
  </si>
  <si>
    <t>G-REQ-03800-E2</t>
  </si>
  <si>
    <t>G-REQ-03800-E3</t>
  </si>
  <si>
    <t>G-REQ-03800-E4</t>
  </si>
  <si>
    <t>G-REQ-03801-E1</t>
  </si>
  <si>
    <t>G-REQ-03801-E2</t>
  </si>
  <si>
    <t>G-REQ-03801-E3</t>
  </si>
  <si>
    <t>G-REQ-03801-E4</t>
  </si>
  <si>
    <t>G-REQ-03802-E1</t>
  </si>
  <si>
    <t>SYNTHETIC: Laptop return; Pending approval; asset G-AST-00418</t>
  </si>
  <si>
    <t>G-REQ-03802-E2</t>
  </si>
  <si>
    <t>SYNTHETIC: Laptop return; Approved; asset G-AST-00418</t>
  </si>
  <si>
    <t>G-REQ-03802-E3</t>
  </si>
  <si>
    <t>SYNTHETIC: Laptop return; In progress; asset G-AST-00418</t>
  </si>
  <si>
    <t>G-REQ-03802-E4</t>
  </si>
  <si>
    <t>SYNTHETIC: Laptop return; Completed; asset G-AST-00418</t>
  </si>
  <si>
    <t>G-REQ-03803-E1</t>
  </si>
  <si>
    <t>G-REQ-03803-E2</t>
  </si>
  <si>
    <t>G-REQ-03803-E3</t>
  </si>
  <si>
    <t>G-REQ-03803-E4</t>
  </si>
  <si>
    <t>G-REQ-03804-E1</t>
  </si>
  <si>
    <t>G-REQ-03804-E2</t>
  </si>
  <si>
    <t>G-REQ-03804-E3</t>
  </si>
  <si>
    <t>G-REQ-03804-E4</t>
  </si>
  <si>
    <t>G-REQ-03805-E1</t>
  </si>
  <si>
    <t>G-REQ-03805-E2</t>
  </si>
  <si>
    <t>G-REQ-03805-E3</t>
  </si>
  <si>
    <t>G-REQ-03805-E4</t>
  </si>
  <si>
    <t>G-REQ-03806-E1</t>
  </si>
  <si>
    <t>G-REQ-03806-E2</t>
  </si>
  <si>
    <t>G-REQ-03806-E3</t>
  </si>
  <si>
    <t>G-REQ-03806-E4</t>
  </si>
  <si>
    <t>G-REQ-03807-E1</t>
  </si>
  <si>
    <t>G-REQ-03807-E2</t>
  </si>
  <si>
    <t>G-REQ-03807-E3</t>
  </si>
  <si>
    <t>G-REQ-03807-E4</t>
  </si>
  <si>
    <t>G-REQ-03808-E1</t>
  </si>
  <si>
    <t>G-REQ-03808-E2</t>
  </si>
  <si>
    <t>G-REQ-03809-E1</t>
  </si>
  <si>
    <t>G-REQ-03809-E2</t>
  </si>
  <si>
    <t>G-REQ-03810-E1</t>
  </si>
  <si>
    <t>G-REQ-03810-E2</t>
  </si>
  <si>
    <t>G-REQ-03810-E3</t>
  </si>
  <si>
    <t>G-REQ-03810-E4</t>
  </si>
  <si>
    <t>G-REQ-03811-E1</t>
  </si>
  <si>
    <t>G-REQ-03811-E2</t>
  </si>
  <si>
    <t>G-REQ-03811-E3</t>
  </si>
  <si>
    <t>G-REQ-03811-E4</t>
  </si>
  <si>
    <t>G-REQ-03812-E1</t>
  </si>
  <si>
    <t>G-REQ-03812-E2</t>
  </si>
  <si>
    <t>SYNTHETIC: Laptop return; Rejected; asset G-AST-00490</t>
  </si>
  <si>
    <t>G-REQ-03813-E1</t>
  </si>
  <si>
    <t>G-REQ-03813-E2</t>
  </si>
  <si>
    <t>G-REQ-03813-E3</t>
  </si>
  <si>
    <t>G-REQ-03813-E4</t>
  </si>
  <si>
    <t>G-REQ-03814-E1</t>
  </si>
  <si>
    <t>SYNTHETIC: Laptop repair; Pending approval; asset G-AST-00062</t>
  </si>
  <si>
    <t>G-REQ-03814-E2</t>
  </si>
  <si>
    <t>SYNTHETIC: Laptop repair; Approved; asset G-AST-00062</t>
  </si>
  <si>
    <t>G-REQ-03814-E3</t>
  </si>
  <si>
    <t>SYNTHETIC: Laptop repair; In progress; asset G-AST-00062</t>
  </si>
  <si>
    <t>G-REQ-03814-E4</t>
  </si>
  <si>
    <t>SYNTHETIC: Laptop repair; Completed; asset G-AST-00062</t>
  </si>
  <si>
    <t>G-REQ-03815-E1</t>
  </si>
  <si>
    <t>G-REQ-03815-E2</t>
  </si>
  <si>
    <t>G-REQ-03815-E3</t>
  </si>
  <si>
    <t>G-REQ-03815-E4</t>
  </si>
  <si>
    <t>G-REQ-03816-E1</t>
  </si>
  <si>
    <t>G-REQ-03816-E2</t>
  </si>
  <si>
    <t>G-REQ-03816-E3</t>
  </si>
  <si>
    <t>G-REQ-03816-E4</t>
  </si>
  <si>
    <t>G-REQ-03817-E1</t>
  </si>
  <si>
    <t>G-REQ-03817-E2</t>
  </si>
  <si>
    <t>G-REQ-03817-E3</t>
  </si>
  <si>
    <t>G-REQ-03817-E4</t>
  </si>
  <si>
    <t>G-REQ-03818-E1</t>
  </si>
  <si>
    <t>G-REQ-03818-E2</t>
  </si>
  <si>
    <t>G-REQ-03818-E3</t>
  </si>
  <si>
    <t>G-REQ-03818-E4</t>
  </si>
  <si>
    <t>G-REQ-03819-E1</t>
  </si>
  <si>
    <t>SYNTHETIC: Laptop repair; Pending approval; asset G-AST-00078</t>
  </si>
  <si>
    <t>G-REQ-03819-E2</t>
  </si>
  <si>
    <t>SYNTHETIC: Laptop repair; Approved; asset G-AST-00078</t>
  </si>
  <si>
    <t>G-REQ-03819-E3</t>
  </si>
  <si>
    <t>SYNTHETIC: Laptop repair; In progress; asset G-AST-00078</t>
  </si>
  <si>
    <t>G-REQ-03819-E4</t>
  </si>
  <si>
    <t>SYNTHETIC: Laptop repair; Completed; asset G-AST-00078</t>
  </si>
  <si>
    <t>G-REQ-03820-E1</t>
  </si>
  <si>
    <t>G-REQ-03820-E2</t>
  </si>
  <si>
    <t>G-REQ-03821-E1</t>
  </si>
  <si>
    <t>G-REQ-03821-E2</t>
  </si>
  <si>
    <t>SYNTHETIC: Laptop return; Rejected; asset G-AST-00524</t>
  </si>
  <si>
    <t>G-REQ-03822-E1</t>
  </si>
  <si>
    <t>G-REQ-03822-E2</t>
  </si>
  <si>
    <t>G-REQ-03822-E3</t>
  </si>
  <si>
    <t>G-REQ-03822-E4</t>
  </si>
  <si>
    <t>G-REQ-03823-E1</t>
  </si>
  <si>
    <t>G-REQ-03823-E2</t>
  </si>
  <si>
    <t>G-REQ-03823-E3</t>
  </si>
  <si>
    <t>G-REQ-03823-E4</t>
  </si>
  <si>
    <t>G-REQ-03824-E1</t>
  </si>
  <si>
    <t>G-REQ-03824-E2</t>
  </si>
  <si>
    <t>G-REQ-03824-E3</t>
  </si>
  <si>
    <t>G-REQ-03824-E4</t>
  </si>
  <si>
    <t>G-REQ-03825-E1</t>
  </si>
  <si>
    <t>G-REQ-03825-E2</t>
  </si>
  <si>
    <t>G-REQ-03825-E3</t>
  </si>
  <si>
    <t>G-REQ-03825-E4</t>
  </si>
  <si>
    <t>G-REQ-03826-E1</t>
  </si>
  <si>
    <t>G-REQ-03826-E2</t>
  </si>
  <si>
    <t>G-REQ-03826-E3</t>
  </si>
  <si>
    <t>G-REQ-03826-E4</t>
  </si>
  <si>
    <t>G-REQ-03827-E1</t>
  </si>
  <si>
    <t>G-REQ-03827-E2</t>
  </si>
  <si>
    <t>G-REQ-03828-E1</t>
  </si>
  <si>
    <t>G-REQ-03828-E2</t>
  </si>
  <si>
    <t>G-REQ-03828-E3</t>
  </si>
  <si>
    <t>G-REQ-03828-E4</t>
  </si>
  <si>
    <t>G-REQ-03829-E1</t>
  </si>
  <si>
    <t>G-REQ-03829-E2</t>
  </si>
  <si>
    <t>G-REQ-03829-E3</t>
  </si>
  <si>
    <t>G-REQ-03829-E4</t>
  </si>
  <si>
    <t>G-REQ-03830-E1</t>
  </si>
  <si>
    <t>G-REQ-03830-E2</t>
  </si>
  <si>
    <t>G-REQ-03830-E3</t>
  </si>
  <si>
    <t>G-REQ-03830-E4</t>
  </si>
  <si>
    <t>G-REQ-03831-E1</t>
  </si>
  <si>
    <t>G-REQ-03831-E2</t>
  </si>
  <si>
    <t>SYNTHETIC: Laptop return; Rejected; asset G-AST-00351</t>
  </si>
  <si>
    <t>G-REQ-03832-E1</t>
  </si>
  <si>
    <t>G-REQ-03832-E2</t>
  </si>
  <si>
    <t>G-REQ-03832-E3</t>
  </si>
  <si>
    <t>G-REQ-03832-E4</t>
  </si>
  <si>
    <t>G-REQ-03833-E1</t>
  </si>
  <si>
    <t>G-REQ-03833-E2</t>
  </si>
  <si>
    <t>G-REQ-03833-E3</t>
  </si>
  <si>
    <t>G-REQ-03833-E4</t>
  </si>
  <si>
    <t>G-REQ-03834-E1</t>
  </si>
  <si>
    <t>G-REQ-03834-E2</t>
  </si>
  <si>
    <t>G-REQ-03834-E3</t>
  </si>
  <si>
    <t>G-REQ-03834-E4</t>
  </si>
  <si>
    <t>G-REQ-03835-E1</t>
  </si>
  <si>
    <t>G-REQ-03835-E2</t>
  </si>
  <si>
    <t>G-REQ-03835-E3</t>
  </si>
  <si>
    <t>G-REQ-03835-E4</t>
  </si>
  <si>
    <t>G-REQ-03836-E1</t>
  </si>
  <si>
    <t>G-REQ-03836-E2</t>
  </si>
  <si>
    <t>G-REQ-03836-E3</t>
  </si>
  <si>
    <t>G-REQ-03836-E4</t>
  </si>
  <si>
    <t>G-REQ-03837-E1</t>
  </si>
  <si>
    <t>G-REQ-03837-E2</t>
  </si>
  <si>
    <t>G-REQ-03837-E3</t>
  </si>
  <si>
    <t>G-REQ-03837-E4</t>
  </si>
  <si>
    <t>G-REQ-03838-E1</t>
  </si>
  <si>
    <t>G-REQ-03838-E2</t>
  </si>
  <si>
    <t>G-REQ-03838-E3</t>
  </si>
  <si>
    <t>G-REQ-03838-E4</t>
  </si>
  <si>
    <t>G-REQ-03839-E1</t>
  </si>
  <si>
    <t>G-REQ-03839-E2</t>
  </si>
  <si>
    <t>G-REQ-03839-E3</t>
  </si>
  <si>
    <t>G-REQ-03839-E4</t>
  </si>
  <si>
    <t>G-REQ-03840-E1</t>
  </si>
  <si>
    <t>G-REQ-03840-E2</t>
  </si>
  <si>
    <t>G-REQ-03840-E3</t>
  </si>
  <si>
    <t>G-REQ-03840-E4</t>
  </si>
  <si>
    <t>G-REQ-03841-E1</t>
  </si>
  <si>
    <t>G-REQ-03841-E2</t>
  </si>
  <si>
    <t>G-REQ-03842-E1</t>
  </si>
  <si>
    <t>SYNTHETIC: Laptop repair; Pending approval; asset G-AST-00079</t>
  </si>
  <si>
    <t>G-REQ-03842-E2</t>
  </si>
  <si>
    <t>SYNTHETIC: Laptop repair; Approved; asset G-AST-00079</t>
  </si>
  <si>
    <t>G-REQ-03842-E3</t>
  </si>
  <si>
    <t>SYNTHETIC: Laptop repair; In progress; asset G-AST-00079</t>
  </si>
  <si>
    <t>G-REQ-03842-E4</t>
  </si>
  <si>
    <t>SYNTHETIC: Laptop repair; Completed; asset G-AST-00079</t>
  </si>
  <si>
    <t>G-REQ-03843-E1</t>
  </si>
  <si>
    <t>G-REQ-03843-E2</t>
  </si>
  <si>
    <t>SYNTHETIC: Laptop return; Cancelled; asset G-AST-00085</t>
  </si>
  <si>
    <t>G-REQ-03844-E1</t>
  </si>
  <si>
    <t>G-REQ-03844-E2</t>
  </si>
  <si>
    <t>G-REQ-03844-E3</t>
  </si>
  <si>
    <t>G-REQ-03844-E4</t>
  </si>
  <si>
    <t>G-REQ-03845-E1</t>
  </si>
  <si>
    <t>G-REQ-03845-E2</t>
  </si>
  <si>
    <t>G-REQ-03845-E3</t>
  </si>
  <si>
    <t>G-REQ-03845-E4</t>
  </si>
  <si>
    <t>G-REQ-03846-E1</t>
  </si>
  <si>
    <t>G-REQ-03846-E2</t>
  </si>
  <si>
    <t>G-REQ-03846-E3</t>
  </si>
  <si>
    <t>G-REQ-03846-E4</t>
  </si>
  <si>
    <t>G-REQ-03847-E1</t>
  </si>
  <si>
    <t>G-REQ-03847-E2</t>
  </si>
  <si>
    <t>G-REQ-03847-E3</t>
  </si>
  <si>
    <t>G-REQ-03847-E4</t>
  </si>
  <si>
    <t>G-REQ-03848-E1</t>
  </si>
  <si>
    <t>G-REQ-03848-E2</t>
  </si>
  <si>
    <t>G-REQ-03848-E3</t>
  </si>
  <si>
    <t>G-REQ-03848-E4</t>
  </si>
  <si>
    <t>G-REQ-03849-E1</t>
  </si>
  <si>
    <t>G-REQ-03849-E2</t>
  </si>
  <si>
    <t>G-REQ-03849-E3</t>
  </si>
  <si>
    <t>G-REQ-03849-E4</t>
  </si>
  <si>
    <t>G-REQ-03850-E1</t>
  </si>
  <si>
    <t>G-REQ-03850-E2</t>
  </si>
  <si>
    <t>G-REQ-03850-E3</t>
  </si>
  <si>
    <t>G-REQ-03850-E4</t>
  </si>
  <si>
    <t>G-REQ-03851-E1</t>
  </si>
  <si>
    <t>G-REQ-03851-E2</t>
  </si>
  <si>
    <t>G-REQ-03851-E3</t>
  </si>
  <si>
    <t>G-REQ-03851-E4</t>
  </si>
  <si>
    <t>G-REQ-03852-E1</t>
  </si>
  <si>
    <t>G-REQ-03852-E2</t>
  </si>
  <si>
    <t>G-REQ-03852-E3</t>
  </si>
  <si>
    <t>G-REQ-03852-E4</t>
  </si>
  <si>
    <t>G-REQ-03853-E1</t>
  </si>
  <si>
    <t>G-REQ-03853-E2</t>
  </si>
  <si>
    <t>G-REQ-03853-E3</t>
  </si>
  <si>
    <t>G-REQ-03853-E4</t>
  </si>
  <si>
    <t>G-REQ-03854-E1</t>
  </si>
  <si>
    <t>G-REQ-03854-E2</t>
  </si>
  <si>
    <t>G-REQ-03854-E3</t>
  </si>
  <si>
    <t>G-REQ-03854-E4</t>
  </si>
  <si>
    <t>G-REQ-03855-E1</t>
  </si>
  <si>
    <t>G-REQ-03855-E2</t>
  </si>
  <si>
    <t>G-REQ-03855-E3</t>
  </si>
  <si>
    <t>G-REQ-03855-E4</t>
  </si>
  <si>
    <t>G-REQ-03856-E1</t>
  </si>
  <si>
    <t>G-REQ-03856-E2</t>
  </si>
  <si>
    <t>G-REQ-03856-E3</t>
  </si>
  <si>
    <t>G-REQ-03856-E4</t>
  </si>
  <si>
    <t>G-REQ-03857-E1</t>
  </si>
  <si>
    <t>G-REQ-03857-E2</t>
  </si>
  <si>
    <t>G-REQ-03857-E3</t>
  </si>
  <si>
    <t>G-REQ-03857-E4</t>
  </si>
  <si>
    <t>G-REQ-03858-E1</t>
  </si>
  <si>
    <t>G-REQ-03858-E2</t>
  </si>
  <si>
    <t>G-REQ-03858-E3</t>
  </si>
  <si>
    <t>G-REQ-03858-E4</t>
  </si>
  <si>
    <t>G-REQ-03859-E1</t>
  </si>
  <si>
    <t>G-REQ-03859-E2</t>
  </si>
  <si>
    <t>G-REQ-03859-E3</t>
  </si>
  <si>
    <t>G-REQ-03859-E4</t>
  </si>
  <si>
    <t>G-REQ-03860-E1</t>
  </si>
  <si>
    <t>G-REQ-03860-E2</t>
  </si>
  <si>
    <t>G-REQ-03860-E3</t>
  </si>
  <si>
    <t>G-REQ-03860-E4</t>
  </si>
  <si>
    <t>G-REQ-03861-E1</t>
  </si>
  <si>
    <t>G-REQ-03861-E2</t>
  </si>
  <si>
    <t>G-REQ-03861-E3</t>
  </si>
  <si>
    <t>G-REQ-03861-E4</t>
  </si>
  <si>
    <t>G-REQ-03862-E1</t>
  </si>
  <si>
    <t>G-REQ-03862-E2</t>
  </si>
  <si>
    <t>G-REQ-03862-E3</t>
  </si>
  <si>
    <t>G-REQ-03862-E4</t>
  </si>
  <si>
    <t>G-REQ-03863-E1</t>
  </si>
  <si>
    <t>G-REQ-03863-E2</t>
  </si>
  <si>
    <t>G-REQ-03863-E3</t>
  </si>
  <si>
    <t>G-REQ-03863-E4</t>
  </si>
  <si>
    <t>G-REQ-03864-E1</t>
  </si>
  <si>
    <t>G-REQ-03864-E2</t>
  </si>
  <si>
    <t>G-REQ-03864-E3</t>
  </si>
  <si>
    <t>G-REQ-03864-E4</t>
  </si>
  <si>
    <t>G-REQ-03865-E1</t>
  </si>
  <si>
    <t>G-REQ-03865-E2</t>
  </si>
  <si>
    <t>G-REQ-03865-E3</t>
  </si>
  <si>
    <t>G-REQ-03865-E4</t>
  </si>
  <si>
    <t>G-REQ-03866-E1</t>
  </si>
  <si>
    <t>G-REQ-03866-E2</t>
  </si>
  <si>
    <t>G-REQ-03866-E3</t>
  </si>
  <si>
    <t>G-REQ-03866-E4</t>
  </si>
  <si>
    <t>G-REQ-03867-E1</t>
  </si>
  <si>
    <t>G-REQ-03867-E2</t>
  </si>
  <si>
    <t>G-REQ-03867-E3</t>
  </si>
  <si>
    <t>G-REQ-03867-E4</t>
  </si>
  <si>
    <t>G-REQ-03868-E1</t>
  </si>
  <si>
    <t>G-REQ-03868-E2</t>
  </si>
  <si>
    <t>G-REQ-03868-E3</t>
  </si>
  <si>
    <t>G-REQ-03868-E4</t>
  </si>
  <si>
    <t>G-REQ-03869-E1</t>
  </si>
  <si>
    <t>G-REQ-03869-E2</t>
  </si>
  <si>
    <t>G-REQ-03869-E3</t>
  </si>
  <si>
    <t>G-REQ-03869-E4</t>
  </si>
  <si>
    <t>G-REQ-03870-E1</t>
  </si>
  <si>
    <t>G-REQ-03870-E2</t>
  </si>
  <si>
    <t>G-REQ-03870-E3</t>
  </si>
  <si>
    <t>G-REQ-03870-E4</t>
  </si>
  <si>
    <t>G-REQ-03871-E1</t>
  </si>
  <si>
    <t>G-REQ-03871-E2</t>
  </si>
  <si>
    <t>SYNTHETIC: Laptop repair; Rejected; asset G-AST-00430</t>
  </si>
  <si>
    <t>G-REQ-03872-E1</t>
  </si>
  <si>
    <t>G-REQ-03872-E2</t>
  </si>
  <si>
    <t>G-REQ-03872-E3</t>
  </si>
  <si>
    <t>G-REQ-03872-E4</t>
  </si>
  <si>
    <t>G-REQ-03873-E1</t>
  </si>
  <si>
    <t>G-REQ-03873-E2</t>
  </si>
  <si>
    <t>G-REQ-03873-E3</t>
  </si>
  <si>
    <t>G-REQ-03873-E4</t>
  </si>
  <si>
    <t>G-REQ-03874-E1</t>
  </si>
  <si>
    <t>G-REQ-03874-E2</t>
  </si>
  <si>
    <t>G-REQ-03875-E1</t>
  </si>
  <si>
    <t>G-REQ-03875-E2</t>
  </si>
  <si>
    <t>G-REQ-03875-E3</t>
  </si>
  <si>
    <t>G-REQ-03875-E4</t>
  </si>
  <si>
    <t>G-REQ-03876-E1</t>
  </si>
  <si>
    <t>G-REQ-03876-E2</t>
  </si>
  <si>
    <t>G-REQ-03876-E3</t>
  </si>
  <si>
    <t>G-REQ-03876-E4</t>
  </si>
  <si>
    <t>G-REQ-03877-E1</t>
  </si>
  <si>
    <t>G-REQ-03877-E2</t>
  </si>
  <si>
    <t>G-REQ-03877-E3</t>
  </si>
  <si>
    <t>G-REQ-03877-E4</t>
  </si>
  <si>
    <t>G-REQ-03878-E1</t>
  </si>
  <si>
    <t>G-REQ-03878-E2</t>
  </si>
  <si>
    <t>G-REQ-03878-E3</t>
  </si>
  <si>
    <t>G-REQ-03878-E4</t>
  </si>
  <si>
    <t>G-REQ-03879-E1</t>
  </si>
  <si>
    <t>G-REQ-03879-E2</t>
  </si>
  <si>
    <t>G-REQ-03879-E3</t>
  </si>
  <si>
    <t>G-REQ-03879-E4</t>
  </si>
  <si>
    <t>G-REQ-03880-E1</t>
  </si>
  <si>
    <t>G-REQ-03880-E2</t>
  </si>
  <si>
    <t>G-REQ-03880-E3</t>
  </si>
  <si>
    <t>G-REQ-03880-E4</t>
  </si>
  <si>
    <t>G-REQ-03881-E1</t>
  </si>
  <si>
    <t>G-REQ-03881-E2</t>
  </si>
  <si>
    <t>G-REQ-03881-E3</t>
  </si>
  <si>
    <t>G-REQ-03881-E4</t>
  </si>
  <si>
    <t>G-REQ-03882-E1</t>
  </si>
  <si>
    <t>G-REQ-03882-E2</t>
  </si>
  <si>
    <t>G-REQ-03882-E3</t>
  </si>
  <si>
    <t>G-REQ-03882-E4</t>
  </si>
  <si>
    <t>G-REQ-03883-E1</t>
  </si>
  <si>
    <t>G-REQ-03883-E2</t>
  </si>
  <si>
    <t>G-REQ-03883-E3</t>
  </si>
  <si>
    <t>G-REQ-03883-E4</t>
  </si>
  <si>
    <t>G-REQ-03884-E1</t>
  </si>
  <si>
    <t>G-REQ-03884-E2</t>
  </si>
  <si>
    <t>G-REQ-03884-E3</t>
  </si>
  <si>
    <t>G-REQ-03884-E4</t>
  </si>
  <si>
    <t>G-REQ-03885-E1</t>
  </si>
  <si>
    <t>G-REQ-03885-E2</t>
  </si>
  <si>
    <t>G-REQ-03885-E3</t>
  </si>
  <si>
    <t>G-REQ-03885-E4</t>
  </si>
  <si>
    <t>G-REQ-03886-E1</t>
  </si>
  <si>
    <t>G-REQ-03886-E2</t>
  </si>
  <si>
    <t>G-REQ-03886-E3</t>
  </si>
  <si>
    <t>G-REQ-03886-E4</t>
  </si>
  <si>
    <t>G-REQ-03887-E1</t>
  </si>
  <si>
    <t>G-REQ-03887-E2</t>
  </si>
  <si>
    <t>G-REQ-03887-E3</t>
  </si>
  <si>
    <t>G-REQ-03887-E4</t>
  </si>
  <si>
    <t>G-REQ-03888-E1</t>
  </si>
  <si>
    <t>SYNTHETIC: Laptop repair; Pending approval; asset G-AST-00099</t>
  </si>
  <si>
    <t>G-REQ-03888-E2</t>
  </si>
  <si>
    <t>SYNTHETIC: Laptop repair; Approved; asset G-AST-00099</t>
  </si>
  <si>
    <t>G-REQ-03888-E3</t>
  </si>
  <si>
    <t>SYNTHETIC: Laptop repair; In progress; asset G-AST-00099</t>
  </si>
  <si>
    <t>G-REQ-03888-E4</t>
  </si>
  <si>
    <t>SYNTHETIC: Laptop repair; Completed; asset G-AST-00099</t>
  </si>
  <si>
    <t>G-REQ-03889-E1</t>
  </si>
  <si>
    <t>SYNTHETIC: Laptop repair; Pending approval; asset G-AST-00074</t>
  </si>
  <si>
    <t>G-REQ-03889-E2</t>
  </si>
  <si>
    <t>SYNTHETIC: Laptop repair; Approved; asset G-AST-00074</t>
  </si>
  <si>
    <t>G-REQ-03889-E3</t>
  </si>
  <si>
    <t>SYNTHETIC: Laptop repair; In progress; asset G-AST-00074</t>
  </si>
  <si>
    <t>G-REQ-03889-E4</t>
  </si>
  <si>
    <t>SYNTHETIC: Laptop repair; Completed; asset G-AST-00074</t>
  </si>
  <si>
    <t>G-REQ-03890-E1</t>
  </si>
  <si>
    <t>G-REQ-03890-E2</t>
  </si>
  <si>
    <t>SYNTHETIC: Laptop return; Cancelled; asset G-AST-00532</t>
  </si>
  <si>
    <t>G-REQ-03891-E1</t>
  </si>
  <si>
    <t>G-REQ-03891-E2</t>
  </si>
  <si>
    <t>G-REQ-03891-E3</t>
  </si>
  <si>
    <t>G-REQ-03891-E4</t>
  </si>
  <si>
    <t>G-REQ-03892-E1</t>
  </si>
  <si>
    <t>G-REQ-03892-E2</t>
  </si>
  <si>
    <t>G-REQ-03892-E3</t>
  </si>
  <si>
    <t>G-REQ-03892-E4</t>
  </si>
  <si>
    <t>G-REQ-03893-E1</t>
  </si>
  <si>
    <t>G-REQ-03893-E2</t>
  </si>
  <si>
    <t>G-REQ-03893-E3</t>
  </si>
  <si>
    <t>G-REQ-03893-E4</t>
  </si>
  <si>
    <t>G-REQ-03894-E1</t>
  </si>
  <si>
    <t>G-REQ-03894-E2</t>
  </si>
  <si>
    <t>G-REQ-03894-E3</t>
  </si>
  <si>
    <t>G-REQ-03894-E4</t>
  </si>
  <si>
    <t>G-REQ-03895-E1</t>
  </si>
  <si>
    <t>G-REQ-03895-E2</t>
  </si>
  <si>
    <t>SYNTHETIC: Laptop repair; Approved; asset G-AST-00510</t>
  </si>
  <si>
    <t>G-REQ-03895-E3</t>
  </si>
  <si>
    <t>SYNTHETIC: Laptop repair; In progress; asset G-AST-00510</t>
  </si>
  <si>
    <t>G-REQ-03895-E4</t>
  </si>
  <si>
    <t>SYNTHETIC: Laptop repair; Completed; asset G-AST-00510</t>
  </si>
  <si>
    <t>G-REQ-03896-E1</t>
  </si>
  <si>
    <t>G-REQ-03896-E2</t>
  </si>
  <si>
    <t>G-REQ-03897-E1</t>
  </si>
  <si>
    <t>G-REQ-03897-E2</t>
  </si>
  <si>
    <t>G-REQ-03897-E3</t>
  </si>
  <si>
    <t>G-REQ-03897-E4</t>
  </si>
  <si>
    <t>G-REQ-03898-E1</t>
  </si>
  <si>
    <t>G-REQ-03898-E2</t>
  </si>
  <si>
    <t>G-REQ-03898-E3</t>
  </si>
  <si>
    <t>G-REQ-03898-E4</t>
  </si>
  <si>
    <t>G-REQ-03899-E1</t>
  </si>
  <si>
    <t>G-REQ-03899-E2</t>
  </si>
  <si>
    <t>G-REQ-03899-E3</t>
  </si>
  <si>
    <t>G-REQ-03899-E4</t>
  </si>
  <si>
    <t>G-REQ-03900-E1</t>
  </si>
  <si>
    <t>G-REQ-03900-E2</t>
  </si>
  <si>
    <t>G-REQ-03900-E3</t>
  </si>
  <si>
    <t>G-REQ-03900-E4</t>
  </si>
  <si>
    <t>G-REQ-03901-E1</t>
  </si>
  <si>
    <t>G-REQ-03901-E2</t>
  </si>
  <si>
    <t>G-REQ-03901-E3</t>
  </si>
  <si>
    <t>G-REQ-03901-E4</t>
  </si>
  <si>
    <t>G-REQ-03902-E1</t>
  </si>
  <si>
    <t>G-REQ-03902-E2</t>
  </si>
  <si>
    <t>G-REQ-03902-E3</t>
  </si>
  <si>
    <t>G-REQ-03902-E4</t>
  </si>
  <si>
    <t>G-REQ-03903-E1</t>
  </si>
  <si>
    <t>G-REQ-03903-E2</t>
  </si>
  <si>
    <t>G-REQ-03903-E3</t>
  </si>
  <si>
    <t>G-REQ-03903-E4</t>
  </si>
  <si>
    <t>G-REQ-03904-E1</t>
  </si>
  <si>
    <t>G-REQ-03904-E2</t>
  </si>
  <si>
    <t>G-REQ-03904-E3</t>
  </si>
  <si>
    <t>G-REQ-03904-E4</t>
  </si>
  <si>
    <t>G-REQ-03905-E1</t>
  </si>
  <si>
    <t>G-REQ-03905-E2</t>
  </si>
  <si>
    <t>G-REQ-03905-E3</t>
  </si>
  <si>
    <t>G-REQ-03905-E4</t>
  </si>
  <si>
    <t>G-REQ-03906-E1</t>
  </si>
  <si>
    <t>G-REQ-03906-E2</t>
  </si>
  <si>
    <t>G-REQ-03906-E3</t>
  </si>
  <si>
    <t>G-REQ-03906-E4</t>
  </si>
  <si>
    <t>G-REQ-03907-E1</t>
  </si>
  <si>
    <t>G-REQ-03907-E2</t>
  </si>
  <si>
    <t>G-REQ-03908-E1</t>
  </si>
  <si>
    <t>G-REQ-03908-E2</t>
  </si>
  <si>
    <t>G-REQ-03908-E3</t>
  </si>
  <si>
    <t>G-REQ-03908-E4</t>
  </si>
  <si>
    <t>G-REQ-03909-E1</t>
  </si>
  <si>
    <t>G-REQ-03909-E2</t>
  </si>
  <si>
    <t>G-REQ-03909-E3</t>
  </si>
  <si>
    <t>G-REQ-03909-E4</t>
  </si>
  <si>
    <t>G-REQ-03910-E1</t>
  </si>
  <si>
    <t>G-REQ-03910-E2</t>
  </si>
  <si>
    <t>G-REQ-03910-E3</t>
  </si>
  <si>
    <t>G-REQ-03910-E4</t>
  </si>
  <si>
    <t>G-REQ-03911-E1</t>
  </si>
  <si>
    <t>G-REQ-03911-E2</t>
  </si>
  <si>
    <t>G-REQ-03911-E3</t>
  </si>
  <si>
    <t>G-REQ-03911-E4</t>
  </si>
  <si>
    <t>G-REQ-03912-E1</t>
  </si>
  <si>
    <t>G-REQ-03912-E2</t>
  </si>
  <si>
    <t>G-REQ-03912-E3</t>
  </si>
  <si>
    <t>G-REQ-03912-E4</t>
  </si>
  <si>
    <t>G-REQ-03913-E1</t>
  </si>
  <si>
    <t>G-REQ-03913-E2</t>
  </si>
  <si>
    <t>G-REQ-03913-E3</t>
  </si>
  <si>
    <t>G-REQ-03913-E4</t>
  </si>
  <si>
    <t>G-REQ-03914-E1</t>
  </si>
  <si>
    <t>G-REQ-03914-E2</t>
  </si>
  <si>
    <t>G-REQ-03914-E3</t>
  </si>
  <si>
    <t>G-REQ-03914-E4</t>
  </si>
  <si>
    <t>G-REQ-03915-E1</t>
  </si>
  <si>
    <t>G-REQ-03915-E2</t>
  </si>
  <si>
    <t>G-REQ-03915-E3</t>
  </si>
  <si>
    <t>G-REQ-03915-E4</t>
  </si>
  <si>
    <t>G-REQ-03916-E1</t>
  </si>
  <si>
    <t>G-REQ-03916-E2</t>
  </si>
  <si>
    <t>G-REQ-03917-E1</t>
  </si>
  <si>
    <t>SYNTHETIC: Laptop repair; Pending approval; asset G-AST-00485</t>
  </si>
  <si>
    <t>G-REQ-03917-E2</t>
  </si>
  <si>
    <t>SYNTHETIC: Laptop repair; Cancelled; asset G-AST-00485</t>
  </si>
  <si>
    <t>G-REQ-03918-E1</t>
  </si>
  <si>
    <t>G-REQ-03918-E2</t>
  </si>
  <si>
    <t>G-REQ-03918-E3</t>
  </si>
  <si>
    <t>G-REQ-03918-E4</t>
  </si>
  <si>
    <t>G-REQ-03919-E1</t>
  </si>
  <si>
    <t>G-REQ-03919-E2</t>
  </si>
  <si>
    <t>G-REQ-03919-E3</t>
  </si>
  <si>
    <t>G-REQ-03919-E4</t>
  </si>
  <si>
    <t>G-REQ-03920-E1</t>
  </si>
  <si>
    <t>G-REQ-03920-E2</t>
  </si>
  <si>
    <t>G-REQ-03920-E3</t>
  </si>
  <si>
    <t>G-REQ-03920-E4</t>
  </si>
  <si>
    <t>G-REQ-03921-E1</t>
  </si>
  <si>
    <t>G-REQ-03921-E2</t>
  </si>
  <si>
    <t>G-REQ-03921-E3</t>
  </si>
  <si>
    <t>G-REQ-03921-E4</t>
  </si>
  <si>
    <t>G-REQ-03922-E1</t>
  </si>
  <si>
    <t>G-REQ-03922-E2</t>
  </si>
  <si>
    <t>G-REQ-03922-E3</t>
  </si>
  <si>
    <t>G-REQ-03922-E4</t>
  </si>
  <si>
    <t>G-REQ-03923-E1</t>
  </si>
  <si>
    <t>G-REQ-03923-E2</t>
  </si>
  <si>
    <t>G-REQ-03923-E3</t>
  </si>
  <si>
    <t>G-REQ-03923-E4</t>
  </si>
  <si>
    <t>G-REQ-03924-E1</t>
  </si>
  <si>
    <t>G-REQ-03924-E2</t>
  </si>
  <si>
    <t>G-REQ-03925-E1</t>
  </si>
  <si>
    <t>G-REQ-03925-E2</t>
  </si>
  <si>
    <t>G-REQ-03925-E3</t>
  </si>
  <si>
    <t>G-REQ-03925-E4</t>
  </si>
  <si>
    <t>G-REQ-03926-E1</t>
  </si>
  <si>
    <t>G-REQ-03926-E2</t>
  </si>
  <si>
    <t>G-REQ-03926-E3</t>
  </si>
  <si>
    <t>G-REQ-03926-E4</t>
  </si>
  <si>
    <t>G-REQ-03927-E1</t>
  </si>
  <si>
    <t>G-REQ-03927-E2</t>
  </si>
  <si>
    <t>SYNTHETIC: Laptop return; Rejected; asset G-AST-00445</t>
  </si>
  <si>
    <t>G-REQ-03928-E1</t>
  </si>
  <si>
    <t>G-REQ-03928-E2</t>
  </si>
  <si>
    <t>G-REQ-03928-E3</t>
  </si>
  <si>
    <t>G-REQ-03928-E4</t>
  </si>
  <si>
    <t>G-REQ-03929-E1</t>
  </si>
  <si>
    <t>G-REQ-03929-E2</t>
  </si>
  <si>
    <t>G-REQ-03929-E3</t>
  </si>
  <si>
    <t>G-REQ-03929-E4</t>
  </si>
  <si>
    <t>G-REQ-03930-E1</t>
  </si>
  <si>
    <t>G-REQ-03930-E2</t>
  </si>
  <si>
    <t>G-REQ-03930-E3</t>
  </si>
  <si>
    <t>G-REQ-03930-E4</t>
  </si>
  <si>
    <t>G-REQ-03931-E1</t>
  </si>
  <si>
    <t>G-REQ-03931-E2</t>
  </si>
  <si>
    <t>G-REQ-03931-E3</t>
  </si>
  <si>
    <t>G-REQ-03931-E4</t>
  </si>
  <si>
    <t>G-REQ-03932-E1</t>
  </si>
  <si>
    <t>G-REQ-03932-E2</t>
  </si>
  <si>
    <t>G-REQ-03932-E3</t>
  </si>
  <si>
    <t>G-REQ-03932-E4</t>
  </si>
  <si>
    <t>G-REQ-03933-E1</t>
  </si>
  <si>
    <t>G-REQ-03933-E2</t>
  </si>
  <si>
    <t>G-REQ-03933-E3</t>
  </si>
  <si>
    <t>G-REQ-03933-E4</t>
  </si>
  <si>
    <t>G-REQ-03934-E1</t>
  </si>
  <si>
    <t>G-REQ-03934-E2</t>
  </si>
  <si>
    <t>G-REQ-03934-E3</t>
  </si>
  <si>
    <t>G-REQ-03934-E4</t>
  </si>
  <si>
    <t>G-REQ-03935-E1</t>
  </si>
  <si>
    <t>G-REQ-03935-E2</t>
  </si>
  <si>
    <t>G-REQ-03935-E3</t>
  </si>
  <si>
    <t>G-REQ-03935-E4</t>
  </si>
  <si>
    <t>G-REQ-03936-E1</t>
  </si>
  <si>
    <t>G-REQ-03936-E2</t>
  </si>
  <si>
    <t>G-REQ-03936-E3</t>
  </si>
  <si>
    <t>G-REQ-03936-E4</t>
  </si>
  <si>
    <t>G-REQ-03937-E1</t>
  </si>
  <si>
    <t>G-REQ-03937-E2</t>
  </si>
  <si>
    <t>G-REQ-03937-E3</t>
  </si>
  <si>
    <t>G-REQ-03937-E4</t>
  </si>
  <si>
    <t>G-REQ-03938-E1</t>
  </si>
  <si>
    <t>G-REQ-03938-E2</t>
  </si>
  <si>
    <t>G-REQ-03938-E3</t>
  </si>
  <si>
    <t>G-REQ-03938-E4</t>
  </si>
  <si>
    <t>G-REQ-03939-E1</t>
  </si>
  <si>
    <t>G-REQ-03939-E2</t>
  </si>
  <si>
    <t>G-REQ-03939-E3</t>
  </si>
  <si>
    <t>G-REQ-03939-E4</t>
  </si>
  <si>
    <t>G-REQ-03940-E1</t>
  </si>
  <si>
    <t>G-REQ-03940-E2</t>
  </si>
  <si>
    <t>G-REQ-03940-E3</t>
  </si>
  <si>
    <t>G-REQ-03940-E4</t>
  </si>
  <si>
    <t>G-REQ-03941-E1</t>
  </si>
  <si>
    <t>G-REQ-03941-E2</t>
  </si>
  <si>
    <t>G-REQ-03941-E3</t>
  </si>
  <si>
    <t>G-REQ-03941-E4</t>
  </si>
  <si>
    <t>G-REQ-03942-E1</t>
  </si>
  <si>
    <t>G-REQ-03942-E2</t>
  </si>
  <si>
    <t>SYNTHETIC: Laptop return; Approved; asset G-AST-00143</t>
  </si>
  <si>
    <t>G-REQ-03942-E3</t>
  </si>
  <si>
    <t>SYNTHETIC: Laptop return; In progress; asset G-AST-00143</t>
  </si>
  <si>
    <t>G-REQ-03942-E4</t>
  </si>
  <si>
    <t>SYNTHETIC: Laptop return; Completed; asset G-AST-00143</t>
  </si>
  <si>
    <t>G-REQ-03943-E1</t>
  </si>
  <si>
    <t>G-REQ-03943-E2</t>
  </si>
  <si>
    <t>G-REQ-03943-E3</t>
  </si>
  <si>
    <t>G-REQ-03943-E4</t>
  </si>
  <si>
    <t>G-REQ-03944-E1</t>
  </si>
  <si>
    <t>G-REQ-03944-E2</t>
  </si>
  <si>
    <t>G-REQ-03944-E3</t>
  </si>
  <si>
    <t>G-REQ-03944-E4</t>
  </si>
  <si>
    <t>G-REQ-03945-E1</t>
  </si>
  <si>
    <t>G-REQ-03945-E2</t>
  </si>
  <si>
    <t>G-REQ-03945-E3</t>
  </si>
  <si>
    <t>G-REQ-03945-E4</t>
  </si>
  <si>
    <t>G-REQ-03946-E1</t>
  </si>
  <si>
    <t>G-REQ-03946-E2</t>
  </si>
  <si>
    <t>G-REQ-03946-E3</t>
  </si>
  <si>
    <t>G-REQ-03946-E4</t>
  </si>
  <si>
    <t>G-REQ-03947-E1</t>
  </si>
  <si>
    <t>G-REQ-03947-E2</t>
  </si>
  <si>
    <t>G-REQ-03947-E3</t>
  </si>
  <si>
    <t>G-REQ-03947-E4</t>
  </si>
  <si>
    <t>G-REQ-03948-E1</t>
  </si>
  <si>
    <t>G-REQ-03948-E2</t>
  </si>
  <si>
    <t>G-REQ-03948-E3</t>
  </si>
  <si>
    <t>G-REQ-03948-E4</t>
  </si>
  <si>
    <t>G-REQ-03949-E1</t>
  </si>
  <si>
    <t>G-REQ-03949-E2</t>
  </si>
  <si>
    <t>G-REQ-03949-E3</t>
  </si>
  <si>
    <t>G-REQ-03949-E4</t>
  </si>
  <si>
    <t>G-REQ-03950-E1</t>
  </si>
  <si>
    <t>SYNTHETIC: Laptop repair; Pending approval; asset G-AST-00459</t>
  </si>
  <si>
    <t>G-REQ-03950-E2</t>
  </si>
  <si>
    <t>SYNTHETIC: Laptop repair; Approved; asset G-AST-00459</t>
  </si>
  <si>
    <t>G-REQ-03950-E3</t>
  </si>
  <si>
    <t>SYNTHETIC: Laptop repair; In progress; asset G-AST-00459</t>
  </si>
  <si>
    <t>G-REQ-03950-E4</t>
  </si>
  <si>
    <t>SYNTHETIC: Laptop repair; Completed; asset G-AST-00459</t>
  </si>
  <si>
    <t>G-REQ-03951-E1</t>
  </si>
  <si>
    <t>G-REQ-03951-E2</t>
  </si>
  <si>
    <t>G-REQ-03951-E3</t>
  </si>
  <si>
    <t>G-REQ-03951-E4</t>
  </si>
  <si>
    <t>G-REQ-03952-E1</t>
  </si>
  <si>
    <t>G-REQ-03952-E2</t>
  </si>
  <si>
    <t>G-REQ-03952-E3</t>
  </si>
  <si>
    <t>G-REQ-03952-E4</t>
  </si>
  <si>
    <t>G-REQ-03953-E1</t>
  </si>
  <si>
    <t>G-REQ-03953-E2</t>
  </si>
  <si>
    <t>G-REQ-03953-E3</t>
  </si>
  <si>
    <t>G-REQ-03953-E4</t>
  </si>
  <si>
    <t>G-REQ-03954-E1</t>
  </si>
  <si>
    <t>G-REQ-03954-E2</t>
  </si>
  <si>
    <t>G-REQ-03954-E3</t>
  </si>
  <si>
    <t>G-REQ-03954-E4</t>
  </si>
  <si>
    <t>G-REQ-03955-E1</t>
  </si>
  <si>
    <t>G-REQ-03955-E2</t>
  </si>
  <si>
    <t>SYNTHETIC: Laptop return; Rejected; asset G-AST-00116</t>
  </si>
  <si>
    <t>G-REQ-03956-E1</t>
  </si>
  <si>
    <t>G-REQ-03956-E2</t>
  </si>
  <si>
    <t>G-REQ-03956-E3</t>
  </si>
  <si>
    <t>G-REQ-03956-E4</t>
  </si>
  <si>
    <t>G-REQ-03957-E1</t>
  </si>
  <si>
    <t>G-REQ-03957-E2</t>
  </si>
  <si>
    <t>G-REQ-03957-E3</t>
  </si>
  <si>
    <t>G-REQ-03957-E4</t>
  </si>
  <si>
    <t>G-REQ-03958-E1</t>
  </si>
  <si>
    <t>G-REQ-03958-E2</t>
  </si>
  <si>
    <t>G-REQ-03958-E3</t>
  </si>
  <si>
    <t>G-REQ-03958-E4</t>
  </si>
  <si>
    <t>G-REQ-03959-E1</t>
  </si>
  <si>
    <t>G-REQ-03959-E2</t>
  </si>
  <si>
    <t>G-REQ-03959-E3</t>
  </si>
  <si>
    <t>G-REQ-03959-E4</t>
  </si>
  <si>
    <t>G-REQ-03960-E1</t>
  </si>
  <si>
    <t>G-REQ-03960-E2</t>
  </si>
  <si>
    <t>G-REQ-03960-E3</t>
  </si>
  <si>
    <t>G-REQ-03960-E4</t>
  </si>
  <si>
    <t>G-REQ-03961-E1</t>
  </si>
  <si>
    <t>G-REQ-03961-E2</t>
  </si>
  <si>
    <t>G-REQ-03961-E3</t>
  </si>
  <si>
    <t>G-REQ-03961-E4</t>
  </si>
  <si>
    <t>G-REQ-03962-E1</t>
  </si>
  <si>
    <t>G-REQ-03962-E2</t>
  </si>
  <si>
    <t>G-REQ-03962-E3</t>
  </si>
  <si>
    <t>G-REQ-03962-E4</t>
  </si>
  <si>
    <t>G-REQ-03963-E1</t>
  </si>
  <si>
    <t>G-REQ-03963-E2</t>
  </si>
  <si>
    <t>G-REQ-03964-E1</t>
  </si>
  <si>
    <t>G-REQ-03964-E2</t>
  </si>
  <si>
    <t>G-REQ-03964-E3</t>
  </si>
  <si>
    <t>G-REQ-03964-E4</t>
  </si>
  <si>
    <t>G-REQ-03965-E1</t>
  </si>
  <si>
    <t>G-REQ-03965-E2</t>
  </si>
  <si>
    <t>SYNTHETIC: Laptop return; Cancelled; asset G-AST-00152</t>
  </si>
  <si>
    <t>G-REQ-03966-E1</t>
  </si>
  <si>
    <t>G-REQ-03966-E2</t>
  </si>
  <si>
    <t>G-REQ-03966-E3</t>
  </si>
  <si>
    <t>G-REQ-03966-E4</t>
  </si>
  <si>
    <t>G-REQ-03967-E1</t>
  </si>
  <si>
    <t>G-REQ-03967-E2</t>
  </si>
  <si>
    <t>SYNTHETIC: Laptop return; Cancelled; asset G-AST-00511</t>
  </si>
  <si>
    <t>G-REQ-03968-E1</t>
  </si>
  <si>
    <t>G-REQ-03968-E2</t>
  </si>
  <si>
    <t>G-REQ-03968-E3</t>
  </si>
  <si>
    <t>G-REQ-03968-E4</t>
  </si>
  <si>
    <t>G-REQ-03969-E1</t>
  </si>
  <si>
    <t>G-REQ-03969-E2</t>
  </si>
  <si>
    <t>G-REQ-03970-E1</t>
  </si>
  <si>
    <t>G-REQ-03970-E2</t>
  </si>
  <si>
    <t>G-REQ-03970-E3</t>
  </si>
  <si>
    <t>G-REQ-03970-E4</t>
  </si>
  <si>
    <t>G-REQ-03971-E1</t>
  </si>
  <si>
    <t>G-REQ-03971-E2</t>
  </si>
  <si>
    <t>G-REQ-03972-E1</t>
  </si>
  <si>
    <t>G-REQ-03972-E2</t>
  </si>
  <si>
    <t>G-REQ-03972-E3</t>
  </si>
  <si>
    <t>G-REQ-03972-E4</t>
  </si>
  <si>
    <t>G-REQ-03973-E1</t>
  </si>
  <si>
    <t>G-REQ-03973-E2</t>
  </si>
  <si>
    <t>G-REQ-03973-E3</t>
  </si>
  <si>
    <t>G-REQ-03973-E4</t>
  </si>
  <si>
    <t>G-REQ-03974-E1</t>
  </si>
  <si>
    <t>G-REQ-03974-E2</t>
  </si>
  <si>
    <t>G-REQ-03974-E3</t>
  </si>
  <si>
    <t>G-REQ-03974-E4</t>
  </si>
  <si>
    <t>G-REQ-03975-E1</t>
  </si>
  <si>
    <t>G-REQ-03975-E2</t>
  </si>
  <si>
    <t>G-REQ-03975-E3</t>
  </si>
  <si>
    <t>G-REQ-03975-E4</t>
  </si>
  <si>
    <t>G-REQ-03976-E1</t>
  </si>
  <si>
    <t>G-REQ-03976-E2</t>
  </si>
  <si>
    <t>G-REQ-03977-E1</t>
  </si>
  <si>
    <t>G-REQ-03977-E2</t>
  </si>
  <si>
    <t>G-REQ-03977-E3</t>
  </si>
  <si>
    <t>G-REQ-03977-E4</t>
  </si>
  <si>
    <t>G-REQ-03978-E1</t>
  </si>
  <si>
    <t>G-REQ-03978-E2</t>
  </si>
  <si>
    <t>G-REQ-03978-E3</t>
  </si>
  <si>
    <t>G-REQ-03978-E4</t>
  </si>
  <si>
    <t>G-REQ-03979-E1</t>
  </si>
  <si>
    <t>G-REQ-03979-E2</t>
  </si>
  <si>
    <t>G-REQ-03979-E3</t>
  </si>
  <si>
    <t>G-REQ-03979-E4</t>
  </si>
  <si>
    <t>G-REQ-03980-E1</t>
  </si>
  <si>
    <t>G-REQ-03980-E2</t>
  </si>
  <si>
    <t>G-REQ-03980-E3</t>
  </si>
  <si>
    <t>G-REQ-03980-E4</t>
  </si>
  <si>
    <t>G-REQ-03981-E1</t>
  </si>
  <si>
    <t>SYNTHETIC: Laptop repair; Pending approval; asset G-AST-00093</t>
  </si>
  <si>
    <t>G-REQ-03981-E2</t>
  </si>
  <si>
    <t>SYNTHETIC: Laptop repair; Approved; asset G-AST-00093</t>
  </si>
  <si>
    <t>G-REQ-03981-E3</t>
  </si>
  <si>
    <t>SYNTHETIC: Laptop repair; In progress; asset G-AST-00093</t>
  </si>
  <si>
    <t>G-REQ-03981-E4</t>
  </si>
  <si>
    <t>SYNTHETIC: Laptop repair; Completed; asset G-AST-00093</t>
  </si>
  <si>
    <t>G-REQ-03982-E1</t>
  </si>
  <si>
    <t>G-REQ-03982-E2</t>
  </si>
  <si>
    <t>G-REQ-03982-E3</t>
  </si>
  <si>
    <t>G-REQ-03982-E4</t>
  </si>
  <si>
    <t>G-REQ-03983-E1</t>
  </si>
  <si>
    <t>G-REQ-03983-E2</t>
  </si>
  <si>
    <t>G-REQ-03983-E3</t>
  </si>
  <si>
    <t>G-REQ-03983-E4</t>
  </si>
  <si>
    <t>G-REQ-03984-E1</t>
  </si>
  <si>
    <t>G-REQ-03984-E2</t>
  </si>
  <si>
    <t>G-REQ-03984-E3</t>
  </si>
  <si>
    <t>G-REQ-03984-E4</t>
  </si>
  <si>
    <t>G-REQ-03985-E1</t>
  </si>
  <si>
    <t>G-REQ-03985-E2</t>
  </si>
  <si>
    <t>G-REQ-03985-E3</t>
  </si>
  <si>
    <t>G-REQ-03985-E4</t>
  </si>
  <si>
    <t>G-REQ-03986-E1</t>
  </si>
  <si>
    <t>G-REQ-03986-E2</t>
  </si>
  <si>
    <t>G-REQ-03986-E3</t>
  </si>
  <si>
    <t>G-REQ-03986-E4</t>
  </si>
  <si>
    <t>G-REQ-03987-E1</t>
  </si>
  <si>
    <t>G-REQ-03987-E2</t>
  </si>
  <si>
    <t>G-REQ-03987-E3</t>
  </si>
  <si>
    <t>G-REQ-03987-E4</t>
  </si>
  <si>
    <t>G-REQ-03988-E1</t>
  </si>
  <si>
    <t>G-REQ-03988-E2</t>
  </si>
  <si>
    <t>G-REQ-03988-E3</t>
  </si>
  <si>
    <t>G-REQ-03988-E4</t>
  </si>
  <si>
    <t>G-REQ-03989-E1</t>
  </si>
  <si>
    <t>G-REQ-03989-E2</t>
  </si>
  <si>
    <t>G-REQ-03989-E3</t>
  </si>
  <si>
    <t>G-REQ-03989-E4</t>
  </si>
  <si>
    <t>G-REQ-03990-E1</t>
  </si>
  <si>
    <t>G-REQ-03990-E2</t>
  </si>
  <si>
    <t>G-REQ-03990-E3</t>
  </si>
  <si>
    <t>G-REQ-03990-E4</t>
  </si>
  <si>
    <t>G-REQ-03991-E1</t>
  </si>
  <si>
    <t>G-REQ-03991-E2</t>
  </si>
  <si>
    <t>G-REQ-03991-E3</t>
  </si>
  <si>
    <t>G-REQ-03991-E4</t>
  </si>
  <si>
    <t>G-REQ-03992-E1</t>
  </si>
  <si>
    <t>G-REQ-03992-E2</t>
  </si>
  <si>
    <t>G-REQ-03992-E3</t>
  </si>
  <si>
    <t>G-REQ-03992-E4</t>
  </si>
  <si>
    <t>G-REQ-03993-E1</t>
  </si>
  <si>
    <t>G-REQ-03993-E2</t>
  </si>
  <si>
    <t>G-REQ-03993-E3</t>
  </si>
  <si>
    <t>G-REQ-03993-E4</t>
  </si>
  <si>
    <t>G-REQ-03994-E1</t>
  </si>
  <si>
    <t>G-REQ-03994-E2</t>
  </si>
  <si>
    <t>G-REQ-03994-E3</t>
  </si>
  <si>
    <t>G-REQ-03994-E4</t>
  </si>
  <si>
    <t>G-REQ-03995-E1</t>
  </si>
  <si>
    <t>G-REQ-03995-E2</t>
  </si>
  <si>
    <t>G-REQ-03995-E3</t>
  </si>
  <si>
    <t>G-REQ-03995-E4</t>
  </si>
  <si>
    <t>G-REQ-03996-E1</t>
  </si>
  <si>
    <t>G-REQ-03996-E2</t>
  </si>
  <si>
    <t>SYNTHETIC: Laptop repair; Cancelled; asset G-AST-00045</t>
  </si>
  <si>
    <t>G-REQ-03997-E1</t>
  </si>
  <si>
    <t>G-REQ-03997-E2</t>
  </si>
  <si>
    <t>SYNTHETIC: Laptop repair; Rejected; asset G-AST-00465</t>
  </si>
  <si>
    <t>G-REQ-03998-E1</t>
  </si>
  <si>
    <t>G-REQ-03998-E2</t>
  </si>
  <si>
    <t>G-REQ-03998-E3</t>
  </si>
  <si>
    <t>G-REQ-03998-E4</t>
  </si>
  <si>
    <t>G-REQ-03999-E1</t>
  </si>
  <si>
    <t>G-REQ-03999-E2</t>
  </si>
  <si>
    <t>G-REQ-03999-E3</t>
  </si>
  <si>
    <t>G-REQ-03999-E4</t>
  </si>
  <si>
    <t>G-REQ-04000-E1</t>
  </si>
  <si>
    <t>G-REQ-04000-E2</t>
  </si>
  <si>
    <t>G-REQ-04000-E3</t>
  </si>
  <si>
    <t>G-REQ-04000-E4</t>
  </si>
  <si>
    <t>G-REQ-04001-E1</t>
  </si>
  <si>
    <t>G-REQ-04001-E2</t>
  </si>
  <si>
    <t>G-REQ-04001-E3</t>
  </si>
  <si>
    <t>G-REQ-04001-E4</t>
  </si>
  <si>
    <t>G-REQ-04002-E1</t>
  </si>
  <si>
    <t>G-REQ-04002-E2</t>
  </si>
  <si>
    <t>G-REQ-04002-E3</t>
  </si>
  <si>
    <t>G-REQ-04002-E4</t>
  </si>
  <si>
    <t>G-REQ-04003-E1</t>
  </si>
  <si>
    <t>G-REQ-04003-E2</t>
  </si>
  <si>
    <t>G-REQ-04003-E3</t>
  </si>
  <si>
    <t>G-REQ-04003-E4</t>
  </si>
  <si>
    <t>G-REQ-04004-E1</t>
  </si>
  <si>
    <t>G-REQ-04004-E2</t>
  </si>
  <si>
    <t>G-REQ-04004-E3</t>
  </si>
  <si>
    <t>G-REQ-04004-E4</t>
  </si>
  <si>
    <t>G-REQ-04005-E1</t>
  </si>
  <si>
    <t>G-REQ-04005-E2</t>
  </si>
  <si>
    <t>G-REQ-04005-E3</t>
  </si>
  <si>
    <t>G-REQ-04005-E4</t>
  </si>
  <si>
    <t>G-REQ-04006-E1</t>
  </si>
  <si>
    <t>G-REQ-04006-E2</t>
  </si>
  <si>
    <t>G-REQ-04006-E3</t>
  </si>
  <si>
    <t>G-REQ-04006-E4</t>
  </si>
  <si>
    <t>G-REQ-04007-E1</t>
  </si>
  <si>
    <t>G-REQ-04007-E2</t>
  </si>
  <si>
    <t>G-REQ-04007-E3</t>
  </si>
  <si>
    <t>G-REQ-04007-E4</t>
  </si>
  <si>
    <t>G-REQ-04008-E1</t>
  </si>
  <si>
    <t>G-REQ-04008-E2</t>
  </si>
  <si>
    <t>G-REQ-04008-E3</t>
  </si>
  <si>
    <t>G-REQ-04008-E4</t>
  </si>
  <si>
    <t>G-REQ-04009-E1</t>
  </si>
  <si>
    <t>G-REQ-04009-E2</t>
  </si>
  <si>
    <t>G-REQ-04009-E3</t>
  </si>
  <si>
    <t>G-REQ-04009-E4</t>
  </si>
  <si>
    <t>G-REQ-04010-E1</t>
  </si>
  <si>
    <t>G-REQ-04010-E2</t>
  </si>
  <si>
    <t>G-REQ-04010-E3</t>
  </si>
  <si>
    <t>G-REQ-04010-E4</t>
  </si>
  <si>
    <t>G-REQ-04011-E1</t>
  </si>
  <si>
    <t>G-REQ-04011-E2</t>
  </si>
  <si>
    <t>G-REQ-04011-E3</t>
  </si>
  <si>
    <t>G-REQ-04011-E4</t>
  </si>
  <si>
    <t>G-REQ-04012-E1</t>
  </si>
  <si>
    <t>G-REQ-04012-E2</t>
  </si>
  <si>
    <t>G-REQ-04012-E3</t>
  </si>
  <si>
    <t>G-REQ-04012-E4</t>
  </si>
  <si>
    <t>G-REQ-04013-E1</t>
  </si>
  <si>
    <t>G-REQ-04013-E2</t>
  </si>
  <si>
    <t>G-REQ-04013-E3</t>
  </si>
  <si>
    <t>G-REQ-04013-E4</t>
  </si>
  <si>
    <t>G-REQ-04014-E1</t>
  </si>
  <si>
    <t>G-REQ-04014-E2</t>
  </si>
  <si>
    <t>G-REQ-04014-E3</t>
  </si>
  <si>
    <t>G-REQ-04014-E4</t>
  </si>
  <si>
    <t>G-REQ-04015-E1</t>
  </si>
  <si>
    <t>G-REQ-04015-E2</t>
  </si>
  <si>
    <t>SYNTHETIC: Laptop return; Rejected; asset G-AST-00436</t>
  </si>
  <si>
    <t>G-REQ-04016-E1</t>
  </si>
  <si>
    <t>G-REQ-04016-E2</t>
  </si>
  <si>
    <t>G-REQ-04016-E3</t>
  </si>
  <si>
    <t>G-REQ-04016-E4</t>
  </si>
  <si>
    <t>G-REQ-04017-E1</t>
  </si>
  <si>
    <t>G-REQ-04017-E2</t>
  </si>
  <si>
    <t>G-REQ-04017-E3</t>
  </si>
  <si>
    <t>G-REQ-04017-E4</t>
  </si>
  <si>
    <t>G-REQ-04018-E1</t>
  </si>
  <si>
    <t>G-REQ-04018-E2</t>
  </si>
  <si>
    <t>SYNTHETIC: Laptop repair; Approved; asset G-AST-00072</t>
  </si>
  <si>
    <t>G-REQ-04018-E3</t>
  </si>
  <si>
    <t>SYNTHETIC: Laptop repair; In progress; asset G-AST-00072</t>
  </si>
  <si>
    <t>G-REQ-04018-E4</t>
  </si>
  <si>
    <t>SYNTHETIC: Laptop repair; Completed; asset G-AST-00072</t>
  </si>
  <si>
    <t>G-REQ-04019-E1</t>
  </si>
  <si>
    <t>G-REQ-04019-E2</t>
  </si>
  <si>
    <t>G-REQ-04019-E3</t>
  </si>
  <si>
    <t>G-REQ-04019-E4</t>
  </si>
  <si>
    <t>G-REQ-04020-E1</t>
  </si>
  <si>
    <t>G-REQ-04020-E2</t>
  </si>
  <si>
    <t>G-REQ-04020-E3</t>
  </si>
  <si>
    <t>G-REQ-04020-E4</t>
  </si>
  <si>
    <t>G-REQ-04021-E1</t>
  </si>
  <si>
    <t>G-REQ-04021-E2</t>
  </si>
  <si>
    <t>SYNTHETIC: Laptop repair; Rejected; asset G-AST-00377</t>
  </si>
  <si>
    <t>G-REQ-04022-E1</t>
  </si>
  <si>
    <t>G-REQ-04022-E2</t>
  </si>
  <si>
    <t>G-REQ-04022-E3</t>
  </si>
  <si>
    <t>G-REQ-04022-E4</t>
  </si>
  <si>
    <t>G-REQ-04023-E1</t>
  </si>
  <si>
    <t>G-REQ-04023-E2</t>
  </si>
  <si>
    <t>G-REQ-04023-E3</t>
  </si>
  <si>
    <t>G-REQ-04023-E4</t>
  </si>
  <si>
    <t>G-REQ-04024-E1</t>
  </si>
  <si>
    <t>G-REQ-04024-E2</t>
  </si>
  <si>
    <t>G-REQ-04024-E3</t>
  </si>
  <si>
    <t>G-REQ-04024-E4</t>
  </si>
  <si>
    <t>G-REQ-04025-E1</t>
  </si>
  <si>
    <t>G-REQ-04025-E2</t>
  </si>
  <si>
    <t>G-REQ-04025-E3</t>
  </si>
  <si>
    <t>G-REQ-04025-E4</t>
  </si>
  <si>
    <t>G-REQ-04026-E1</t>
  </si>
  <si>
    <t>G-REQ-04026-E2</t>
  </si>
  <si>
    <t>G-REQ-04026-E3</t>
  </si>
  <si>
    <t>G-REQ-04026-E4</t>
  </si>
  <si>
    <t>G-REQ-04027-E1</t>
  </si>
  <si>
    <t>G-REQ-04027-E2</t>
  </si>
  <si>
    <t>G-REQ-04027-E3</t>
  </si>
  <si>
    <t>G-REQ-04027-E4</t>
  </si>
  <si>
    <t>G-REQ-04028-E1</t>
  </si>
  <si>
    <t>G-REQ-04028-E2</t>
  </si>
  <si>
    <t>G-REQ-04028-E3</t>
  </si>
  <si>
    <t>G-REQ-04028-E4</t>
  </si>
  <si>
    <t>G-REQ-04029-E1</t>
  </si>
  <si>
    <t>G-REQ-04029-E2</t>
  </si>
  <si>
    <t>G-REQ-04029-E3</t>
  </si>
  <si>
    <t>G-REQ-04029-E4</t>
  </si>
  <si>
    <t>G-REQ-04030-E1</t>
  </si>
  <si>
    <t>G-REQ-04030-E2</t>
  </si>
  <si>
    <t>G-REQ-04030-E3</t>
  </si>
  <si>
    <t>G-REQ-04030-E4</t>
  </si>
  <si>
    <t>G-REQ-04031-E1</t>
  </si>
  <si>
    <t>G-REQ-04031-E2</t>
  </si>
  <si>
    <t>G-REQ-04031-E3</t>
  </si>
  <si>
    <t>G-REQ-04031-E4</t>
  </si>
  <si>
    <t>G-REQ-04032-E1</t>
  </si>
  <si>
    <t>G-REQ-04032-E2</t>
  </si>
  <si>
    <t>G-REQ-04032-E3</t>
  </si>
  <si>
    <t>G-REQ-04032-E4</t>
  </si>
  <si>
    <t>G-REQ-04033-E1</t>
  </si>
  <si>
    <t>G-REQ-04033-E2</t>
  </si>
  <si>
    <t>G-REQ-04033-E3</t>
  </si>
  <si>
    <t>G-REQ-04033-E4</t>
  </si>
  <si>
    <t>G-REQ-04034-E1</t>
  </si>
  <si>
    <t>G-REQ-04034-E2</t>
  </si>
  <si>
    <t>G-REQ-04034-E3</t>
  </si>
  <si>
    <t>G-REQ-04034-E4</t>
  </si>
  <si>
    <t>G-REQ-04035-E1</t>
  </si>
  <si>
    <t>G-REQ-04035-E2</t>
  </si>
  <si>
    <t>G-REQ-04035-E3</t>
  </si>
  <si>
    <t>G-REQ-04035-E4</t>
  </si>
  <si>
    <t>G-REQ-04036-E1</t>
  </si>
  <si>
    <t>G-REQ-04036-E2</t>
  </si>
  <si>
    <t>G-REQ-04036-E3</t>
  </si>
  <si>
    <t>G-REQ-04036-E4</t>
  </si>
  <si>
    <t>G-REQ-04037-E1</t>
  </si>
  <si>
    <t>G-REQ-04037-E2</t>
  </si>
  <si>
    <t>G-REQ-04037-E3</t>
  </si>
  <si>
    <t>G-REQ-04037-E4</t>
  </si>
  <si>
    <t>G-REQ-04038-E1</t>
  </si>
  <si>
    <t>SYNTHETIC: Laptop repair; Pending approval; asset G-AST-00085</t>
  </si>
  <si>
    <t>G-REQ-04038-E2</t>
  </si>
  <si>
    <t>SYNTHETIC: Laptop repair; Approved; asset G-AST-00085</t>
  </si>
  <si>
    <t>G-REQ-04038-E3</t>
  </si>
  <si>
    <t>SYNTHETIC: Laptop repair; In progress; asset G-AST-00085</t>
  </si>
  <si>
    <t>G-REQ-04038-E4</t>
  </si>
  <si>
    <t>SYNTHETIC: Laptop repair; Completed; asset G-AST-00085</t>
  </si>
  <si>
    <t>G-REQ-04039-E1</t>
  </si>
  <si>
    <t>G-REQ-04039-E2</t>
  </si>
  <si>
    <t>G-REQ-04039-E3</t>
  </si>
  <si>
    <t>G-REQ-04039-E4</t>
  </si>
  <si>
    <t>G-REQ-04040-E1</t>
  </si>
  <si>
    <t>G-REQ-04040-E2</t>
  </si>
  <si>
    <t>G-REQ-04040-E3</t>
  </si>
  <si>
    <t>G-REQ-04040-E4</t>
  </si>
  <si>
    <t>G-REQ-04041-E1</t>
  </si>
  <si>
    <t>SYNTHETIC: Laptop repair; Pending approval; asset G-AST-00120</t>
  </si>
  <si>
    <t>G-REQ-04041-E2</t>
  </si>
  <si>
    <t>SYNTHETIC: Laptop repair; Rejected; asset G-AST-00120</t>
  </si>
  <si>
    <t>G-REQ-04042-E1</t>
  </si>
  <si>
    <t>SYNTHETIC: Laptop repair; Pending approval; asset G-AST-00513</t>
  </si>
  <si>
    <t>G-REQ-04042-E2</t>
  </si>
  <si>
    <t>SYNTHETIC: Laptop repair; Rejected; asset G-AST-00513</t>
  </si>
  <si>
    <t>G-REQ-04043-E1</t>
  </si>
  <si>
    <t>G-REQ-04043-E2</t>
  </si>
  <si>
    <t>G-REQ-04043-E3</t>
  </si>
  <si>
    <t>G-REQ-04043-E4</t>
  </si>
  <si>
    <t>G-REQ-04044-E1</t>
  </si>
  <si>
    <t>G-REQ-04044-E2</t>
  </si>
  <si>
    <t>SYNTHETIC: Laptop repair; Approved; asset G-AST-00444</t>
  </si>
  <si>
    <t>G-REQ-04044-E3</t>
  </si>
  <si>
    <t>SYNTHETIC: Laptop repair; In progress; asset G-AST-00444</t>
  </si>
  <si>
    <t>G-REQ-04044-E4</t>
  </si>
  <si>
    <t>SYNTHETIC: Laptop repair; Completed; asset G-AST-00444</t>
  </si>
  <si>
    <t>G-REQ-04045-E1</t>
  </si>
  <si>
    <t>G-REQ-04045-E2</t>
  </si>
  <si>
    <t>G-REQ-04045-E3</t>
  </si>
  <si>
    <t>G-REQ-04045-E4</t>
  </si>
  <si>
    <t>G-REQ-04046-E1</t>
  </si>
  <si>
    <t>G-REQ-04046-E2</t>
  </si>
  <si>
    <t>G-REQ-04046-E3</t>
  </si>
  <si>
    <t>G-REQ-04046-E4</t>
  </si>
  <si>
    <t>G-REQ-04047-E1</t>
  </si>
  <si>
    <t>G-REQ-04047-E2</t>
  </si>
  <si>
    <t>G-REQ-04047-E3</t>
  </si>
  <si>
    <t>G-REQ-04047-E4</t>
  </si>
  <si>
    <t>G-REQ-04048-E1</t>
  </si>
  <si>
    <t>G-REQ-04048-E2</t>
  </si>
  <si>
    <t>G-REQ-04048-E3</t>
  </si>
  <si>
    <t>G-REQ-04048-E4</t>
  </si>
  <si>
    <t>G-REQ-04049-E1</t>
  </si>
  <si>
    <t>G-REQ-04049-E2</t>
  </si>
  <si>
    <t>G-REQ-04049-E3</t>
  </si>
  <si>
    <t>G-REQ-04049-E4</t>
  </si>
  <si>
    <t>G-REQ-04050-E1</t>
  </si>
  <si>
    <t>G-REQ-04050-E2</t>
  </si>
  <si>
    <t>G-REQ-04050-E3</t>
  </si>
  <si>
    <t>G-REQ-04050-E4</t>
  </si>
  <si>
    <t>G-REQ-04051-E1</t>
  </si>
  <si>
    <t>G-REQ-04051-E2</t>
  </si>
  <si>
    <t>G-REQ-04051-E3</t>
  </si>
  <si>
    <t>G-REQ-04051-E4</t>
  </si>
  <si>
    <t>G-REQ-04052-E1</t>
  </si>
  <si>
    <t>G-REQ-04052-E2</t>
  </si>
  <si>
    <t>G-REQ-04052-E3</t>
  </si>
  <si>
    <t>G-REQ-04052-E4</t>
  </si>
  <si>
    <t>G-REQ-04053-E1</t>
  </si>
  <si>
    <t>G-REQ-04053-E2</t>
  </si>
  <si>
    <t>G-REQ-04053-E3</t>
  </si>
  <si>
    <t>G-REQ-04053-E4</t>
  </si>
  <si>
    <t>G-REQ-04054-E1</t>
  </si>
  <si>
    <t>G-REQ-04054-E2</t>
  </si>
  <si>
    <t>G-REQ-04054-E3</t>
  </si>
  <si>
    <t>G-REQ-04054-E4</t>
  </si>
  <si>
    <t>G-REQ-04055-E1</t>
  </si>
  <si>
    <t>G-REQ-04055-E2</t>
  </si>
  <si>
    <t>G-REQ-04056-E1</t>
  </si>
  <si>
    <t>G-REQ-04056-E2</t>
  </si>
  <si>
    <t>G-REQ-04056-E3</t>
  </si>
  <si>
    <t>G-REQ-04056-E4</t>
  </si>
  <si>
    <t>G-REQ-04057-E1</t>
  </si>
  <si>
    <t>G-REQ-04057-E2</t>
  </si>
  <si>
    <t>G-REQ-04057-E3</t>
  </si>
  <si>
    <t>G-REQ-04057-E4</t>
  </si>
  <si>
    <t>G-REQ-04058-E1</t>
  </si>
  <si>
    <t>G-REQ-04058-E2</t>
  </si>
  <si>
    <t>G-REQ-04059-E1</t>
  </si>
  <si>
    <t>G-REQ-04059-E2</t>
  </si>
  <si>
    <t>G-REQ-04059-E3</t>
  </si>
  <si>
    <t>G-REQ-04059-E4</t>
  </si>
  <si>
    <t>G-REQ-04060-E1</t>
  </si>
  <si>
    <t>G-REQ-04060-E2</t>
  </si>
  <si>
    <t>G-REQ-04060-E3</t>
  </si>
  <si>
    <t>G-REQ-04060-E4</t>
  </si>
  <si>
    <t>G-REQ-04061-E1</t>
  </si>
  <si>
    <t>G-REQ-04061-E2</t>
  </si>
  <si>
    <t>G-REQ-04061-E3</t>
  </si>
  <si>
    <t>G-REQ-04061-E4</t>
  </si>
  <si>
    <t>G-REQ-04062-E1</t>
  </si>
  <si>
    <t>G-REQ-04062-E2</t>
  </si>
  <si>
    <t>G-REQ-04062-E3</t>
  </si>
  <si>
    <t>G-REQ-04062-E4</t>
  </si>
  <si>
    <t>G-REQ-04063-E1</t>
  </si>
  <si>
    <t>G-REQ-04063-E2</t>
  </si>
  <si>
    <t>G-REQ-04063-E3</t>
  </si>
  <si>
    <t>G-REQ-04063-E4</t>
  </si>
  <si>
    <t>G-REQ-04064-E1</t>
  </si>
  <si>
    <t>G-REQ-04064-E2</t>
  </si>
  <si>
    <t>G-REQ-04064-E3</t>
  </si>
  <si>
    <t>G-REQ-04064-E4</t>
  </si>
  <si>
    <t>G-REQ-04065-E1</t>
  </si>
  <si>
    <t>SYNTHETIC: Laptop repair; Pending approval; asset G-AST-00481</t>
  </si>
  <si>
    <t>G-REQ-04065-E2</t>
  </si>
  <si>
    <t>SYNTHETIC: Laptop repair; Rejected; asset G-AST-00481</t>
  </si>
  <si>
    <t>G-REQ-04066-E1</t>
  </si>
  <si>
    <t>G-REQ-04066-E2</t>
  </si>
  <si>
    <t>G-REQ-04066-E3</t>
  </si>
  <si>
    <t>G-REQ-04066-E4</t>
  </si>
  <si>
    <t>G-REQ-04067-E1</t>
  </si>
  <si>
    <t>G-REQ-04067-E2</t>
  </si>
  <si>
    <t>G-REQ-04067-E3</t>
  </si>
  <si>
    <t>G-REQ-04067-E4</t>
  </si>
  <si>
    <t>G-REQ-04068-E1</t>
  </si>
  <si>
    <t>G-REQ-04068-E2</t>
  </si>
  <si>
    <t>G-REQ-04068-E3</t>
  </si>
  <si>
    <t>G-REQ-04068-E4</t>
  </si>
  <si>
    <t>G-REQ-04069-E1</t>
  </si>
  <si>
    <t>G-REQ-04069-E2</t>
  </si>
  <si>
    <t>G-REQ-04069-E3</t>
  </si>
  <si>
    <t>G-REQ-04069-E4</t>
  </si>
  <si>
    <t>G-REQ-04070-E1</t>
  </si>
  <si>
    <t>G-REQ-04070-E2</t>
  </si>
  <si>
    <t>G-REQ-04070-E3</t>
  </si>
  <si>
    <t>G-REQ-04070-E4</t>
  </si>
  <si>
    <t>G-REQ-04071-E1</t>
  </si>
  <si>
    <t>G-REQ-04071-E2</t>
  </si>
  <si>
    <t>G-REQ-04071-E3</t>
  </si>
  <si>
    <t>G-REQ-04071-E4</t>
  </si>
  <si>
    <t>G-REQ-04072-E1</t>
  </si>
  <si>
    <t>G-REQ-04072-E2</t>
  </si>
  <si>
    <t>G-REQ-04072-E3</t>
  </si>
  <si>
    <t>G-REQ-04072-E4</t>
  </si>
  <si>
    <t>G-REQ-04073-E1</t>
  </si>
  <si>
    <t>G-REQ-04073-E2</t>
  </si>
  <si>
    <t>G-REQ-04073-E3</t>
  </si>
  <si>
    <t>G-REQ-04073-E4</t>
  </si>
  <si>
    <t>G-REQ-04074-E1</t>
  </si>
  <si>
    <t>G-REQ-04074-E2</t>
  </si>
  <si>
    <t>G-REQ-04074-E3</t>
  </si>
  <si>
    <t>G-REQ-04074-E4</t>
  </si>
  <si>
    <t>G-REQ-04075-E1</t>
  </si>
  <si>
    <t>G-REQ-04075-E2</t>
  </si>
  <si>
    <t>G-REQ-04075-E3</t>
  </si>
  <si>
    <t>G-REQ-04075-E4</t>
  </si>
  <si>
    <t>G-REQ-04076-E1</t>
  </si>
  <si>
    <t>G-REQ-04076-E2</t>
  </si>
  <si>
    <t>G-REQ-04076-E3</t>
  </si>
  <si>
    <t>G-REQ-04076-E4</t>
  </si>
  <si>
    <t>G-REQ-04077-E1</t>
  </si>
  <si>
    <t>G-REQ-04077-E2</t>
  </si>
  <si>
    <t>G-REQ-04077-E3</t>
  </si>
  <si>
    <t>G-REQ-04077-E4</t>
  </si>
  <si>
    <t>G-REQ-04078-E1</t>
  </si>
  <si>
    <t>SYNTHETIC: Laptop repair; Pending approval; asset G-AST-00111</t>
  </si>
  <si>
    <t>G-REQ-04078-E2</t>
  </si>
  <si>
    <t>SYNTHETIC: Laptop repair; Approved; asset G-AST-00111</t>
  </si>
  <si>
    <t>G-REQ-04078-E3</t>
  </si>
  <si>
    <t>SYNTHETIC: Laptop repair; In progress; asset G-AST-00111</t>
  </si>
  <si>
    <t>G-REQ-04078-E4</t>
  </si>
  <si>
    <t>SYNTHETIC: Laptop repair; Completed; asset G-AST-00111</t>
  </si>
  <si>
    <t>G-REQ-04079-E1</t>
  </si>
  <si>
    <t>G-REQ-04079-E2</t>
  </si>
  <si>
    <t>G-REQ-04079-E3</t>
  </si>
  <si>
    <t>G-REQ-04079-E4</t>
  </si>
  <si>
    <t>G-REQ-04080-E1</t>
  </si>
  <si>
    <t>G-REQ-04080-E2</t>
  </si>
  <si>
    <t>G-REQ-04080-E3</t>
  </si>
  <si>
    <t>G-REQ-04080-E4</t>
  </si>
  <si>
    <t>G-REQ-04081-E1</t>
  </si>
  <si>
    <t>SYNTHETIC: Laptop repair; Pending approval; asset G-AST-00129</t>
  </si>
  <si>
    <t>G-REQ-04081-E2</t>
  </si>
  <si>
    <t>SYNTHETIC: Laptop repair; Approved; asset G-AST-00129</t>
  </si>
  <si>
    <t>G-REQ-04081-E3</t>
  </si>
  <si>
    <t>SYNTHETIC: Laptop repair; In progress; asset G-AST-00129</t>
  </si>
  <si>
    <t>G-REQ-04081-E4</t>
  </si>
  <si>
    <t>SYNTHETIC: Laptop repair; Completed; asset G-AST-00129</t>
  </si>
  <si>
    <t>G-REQ-04082-E1</t>
  </si>
  <si>
    <t>G-REQ-04082-E2</t>
  </si>
  <si>
    <t>G-REQ-04082-E3</t>
  </si>
  <si>
    <t>G-REQ-04082-E4</t>
  </si>
  <si>
    <t>G-REQ-04083-E1</t>
  </si>
  <si>
    <t>G-REQ-04083-E2</t>
  </si>
  <si>
    <t>G-REQ-04083-E3</t>
  </si>
  <si>
    <t>G-REQ-04083-E4</t>
  </si>
  <si>
    <t>G-REQ-04084-E1</t>
  </si>
  <si>
    <t>G-REQ-04084-E2</t>
  </si>
  <si>
    <t>G-REQ-04084-E3</t>
  </si>
  <si>
    <t>G-REQ-04084-E4</t>
  </si>
  <si>
    <t>G-REQ-04085-E1</t>
  </si>
  <si>
    <t>G-REQ-04085-E2</t>
  </si>
  <si>
    <t>G-REQ-04085-E3</t>
  </si>
  <si>
    <t>G-REQ-04085-E4</t>
  </si>
  <si>
    <t>G-REQ-04086-E1</t>
  </si>
  <si>
    <t>G-REQ-04086-E2</t>
  </si>
  <si>
    <t>G-REQ-04086-E3</t>
  </si>
  <si>
    <t>G-REQ-04086-E4</t>
  </si>
  <si>
    <t>G-REQ-04087-E1</t>
  </si>
  <si>
    <t>G-REQ-04087-E2</t>
  </si>
  <si>
    <t>G-REQ-04087-E3</t>
  </si>
  <si>
    <t>G-REQ-04087-E4</t>
  </si>
  <si>
    <t>G-REQ-04088-E1</t>
  </si>
  <si>
    <t>G-REQ-04088-E2</t>
  </si>
  <si>
    <t>G-REQ-04088-E3</t>
  </si>
  <si>
    <t>G-REQ-04088-E4</t>
  </si>
  <si>
    <t>G-REQ-04089-E1</t>
  </si>
  <si>
    <t>G-REQ-04089-E2</t>
  </si>
  <si>
    <t>G-REQ-04089-E3</t>
  </si>
  <si>
    <t>G-REQ-04089-E4</t>
  </si>
  <si>
    <t>G-REQ-04090-E1</t>
  </si>
  <si>
    <t>G-REQ-04090-E2</t>
  </si>
  <si>
    <t>G-REQ-04091-E1</t>
  </si>
  <si>
    <t>G-REQ-04091-E2</t>
  </si>
  <si>
    <t>G-REQ-04091-E3</t>
  </si>
  <si>
    <t>G-REQ-04091-E4</t>
  </si>
  <si>
    <t>G-REQ-04092-E1</t>
  </si>
  <si>
    <t>G-REQ-04092-E2</t>
  </si>
  <si>
    <t>G-REQ-04092-E3</t>
  </si>
  <si>
    <t>G-REQ-04092-E4</t>
  </si>
  <si>
    <t>G-REQ-04093-E1</t>
  </si>
  <si>
    <t>G-REQ-04093-E2</t>
  </si>
  <si>
    <t>G-REQ-04093-E3</t>
  </si>
  <si>
    <t>G-REQ-04093-E4</t>
  </si>
  <si>
    <t>G-REQ-04094-E1</t>
  </si>
  <si>
    <t>G-REQ-04094-E2</t>
  </si>
  <si>
    <t>G-REQ-04095-E1</t>
  </si>
  <si>
    <t>G-REQ-04095-E2</t>
  </si>
  <si>
    <t>G-REQ-04095-E3</t>
  </si>
  <si>
    <t>G-REQ-04095-E4</t>
  </si>
  <si>
    <t>G-REQ-04096-E1</t>
  </si>
  <si>
    <t>G-REQ-04096-E2</t>
  </si>
  <si>
    <t>G-REQ-04096-E3</t>
  </si>
  <si>
    <t>G-REQ-04096-E4</t>
  </si>
  <si>
    <t>G-REQ-04097-E1</t>
  </si>
  <si>
    <t>G-REQ-04097-E2</t>
  </si>
  <si>
    <t>G-REQ-04097-E3</t>
  </si>
  <si>
    <t>G-REQ-04097-E4</t>
  </si>
  <si>
    <t>G-REQ-04098-E1</t>
  </si>
  <si>
    <t>G-REQ-04098-E2</t>
  </si>
  <si>
    <t>G-REQ-04098-E3</t>
  </si>
  <si>
    <t>G-REQ-04098-E4</t>
  </si>
  <si>
    <t>G-REQ-04099-E1</t>
  </si>
  <si>
    <t>G-REQ-04099-E2</t>
  </si>
  <si>
    <t>G-REQ-04099-E3</t>
  </si>
  <si>
    <t>G-REQ-04099-E4</t>
  </si>
  <si>
    <t>G-REQ-04100-E1</t>
  </si>
  <si>
    <t>G-REQ-04100-E2</t>
  </si>
  <si>
    <t>G-REQ-04100-E3</t>
  </si>
  <si>
    <t>G-REQ-04100-E4</t>
  </si>
  <si>
    <t>G-REQ-04101-E1</t>
  </si>
  <si>
    <t>G-REQ-04101-E2</t>
  </si>
  <si>
    <t>G-REQ-04101-E3</t>
  </si>
  <si>
    <t>G-REQ-04101-E4</t>
  </si>
  <si>
    <t>G-REQ-04102-E1</t>
  </si>
  <si>
    <t>G-REQ-04102-E2</t>
  </si>
  <si>
    <t>G-REQ-04102-E3</t>
  </si>
  <si>
    <t>G-REQ-04102-E4</t>
  </si>
  <si>
    <t>G-REQ-04103-E1</t>
  </si>
  <si>
    <t>G-REQ-04103-E2</t>
  </si>
  <si>
    <t>G-REQ-04103-E3</t>
  </si>
  <si>
    <t>G-REQ-04103-E4</t>
  </si>
  <si>
    <t>G-REQ-04104-E1</t>
  </si>
  <si>
    <t>G-REQ-04104-E2</t>
  </si>
  <si>
    <t>G-REQ-04104-E3</t>
  </si>
  <si>
    <t>G-REQ-04104-E4</t>
  </si>
  <si>
    <t>G-REQ-04105-E1</t>
  </si>
  <si>
    <t>G-REQ-04105-E2</t>
  </si>
  <si>
    <t>G-REQ-04105-E3</t>
  </si>
  <si>
    <t>G-REQ-04105-E4</t>
  </si>
  <si>
    <t>G-REQ-04106-E1</t>
  </si>
  <si>
    <t>G-REQ-04106-E2</t>
  </si>
  <si>
    <t>SYNTHETIC: Laptop return; Rejected; asset G-AST-00092</t>
  </si>
  <si>
    <t>G-REQ-04107-E1</t>
  </si>
  <si>
    <t>G-REQ-04107-E2</t>
  </si>
  <si>
    <t>G-REQ-04107-E3</t>
  </si>
  <si>
    <t>G-REQ-04107-E4</t>
  </si>
  <si>
    <t>G-REQ-04108-E1</t>
  </si>
  <si>
    <t>G-REQ-04108-E2</t>
  </si>
  <si>
    <t>G-REQ-04108-E3</t>
  </si>
  <si>
    <t>G-REQ-04108-E4</t>
  </si>
  <si>
    <t>G-REQ-04109-E1</t>
  </si>
  <si>
    <t>G-REQ-04109-E2</t>
  </si>
  <si>
    <t>G-REQ-04109-E3</t>
  </si>
  <si>
    <t>G-REQ-04109-E4</t>
  </si>
  <si>
    <t>G-REQ-04110-E1</t>
  </si>
  <si>
    <t>G-REQ-04110-E2</t>
  </si>
  <si>
    <t>G-REQ-04110-E3</t>
  </si>
  <si>
    <t>G-REQ-04110-E4</t>
  </si>
  <si>
    <t>G-REQ-04111-E1</t>
  </si>
  <si>
    <t>G-REQ-04111-E2</t>
  </si>
  <si>
    <t>SYNTHETIC: Laptop return; Cancelled; asset G-AST-00066</t>
  </si>
  <si>
    <t>G-REQ-04112-E1</t>
  </si>
  <si>
    <t>G-REQ-04112-E2</t>
  </si>
  <si>
    <t>G-REQ-04112-E3</t>
  </si>
  <si>
    <t>G-REQ-04112-E4</t>
  </si>
  <si>
    <t>G-REQ-04113-E1</t>
  </si>
  <si>
    <t>G-REQ-04113-E2</t>
  </si>
  <si>
    <t>G-REQ-04113-E3</t>
  </si>
  <si>
    <t>G-REQ-04113-E4</t>
  </si>
  <si>
    <t>G-REQ-04114-E1</t>
  </si>
  <si>
    <t>G-REQ-04114-E2</t>
  </si>
  <si>
    <t>G-REQ-04115-E1</t>
  </si>
  <si>
    <t>G-REQ-04115-E2</t>
  </si>
  <si>
    <t>G-REQ-04115-E3</t>
  </si>
  <si>
    <t>G-REQ-04115-E4</t>
  </si>
  <si>
    <t>G-REQ-04116-E1</t>
  </si>
  <si>
    <t>G-REQ-04116-E2</t>
  </si>
  <si>
    <t>G-REQ-04116-E3</t>
  </si>
  <si>
    <t>G-REQ-04116-E4</t>
  </si>
  <si>
    <t>G-REQ-04117-E1</t>
  </si>
  <si>
    <t>G-REQ-04117-E2</t>
  </si>
  <si>
    <t>G-REQ-04117-E3</t>
  </si>
  <si>
    <t>G-REQ-04117-E4</t>
  </si>
  <si>
    <t>G-REQ-04118-E1</t>
  </si>
  <si>
    <t>G-REQ-04118-E2</t>
  </si>
  <si>
    <t>G-REQ-04118-E3</t>
  </si>
  <si>
    <t>G-REQ-04118-E4</t>
  </si>
  <si>
    <t>G-REQ-04119-E1</t>
  </si>
  <si>
    <t>G-REQ-04119-E2</t>
  </si>
  <si>
    <t>G-REQ-04119-E3</t>
  </si>
  <si>
    <t>G-REQ-04119-E4</t>
  </si>
  <si>
    <t>G-REQ-04120-E1</t>
  </si>
  <si>
    <t>G-REQ-04120-E2</t>
  </si>
  <si>
    <t>G-REQ-04120-E3</t>
  </si>
  <si>
    <t>G-REQ-04120-E4</t>
  </si>
  <si>
    <t>G-REQ-04121-E1</t>
  </si>
  <si>
    <t>G-REQ-04121-E2</t>
  </si>
  <si>
    <t>G-REQ-04121-E3</t>
  </si>
  <si>
    <t>G-REQ-04121-E4</t>
  </si>
  <si>
    <t>G-REQ-04122-E1</t>
  </si>
  <si>
    <t>G-REQ-04122-E2</t>
  </si>
  <si>
    <t>G-REQ-04122-E3</t>
  </si>
  <si>
    <t>G-REQ-04122-E4</t>
  </si>
  <si>
    <t>G-REQ-04123-E1</t>
  </si>
  <si>
    <t>G-REQ-04123-E2</t>
  </si>
  <si>
    <t>G-REQ-04123-E3</t>
  </si>
  <si>
    <t>G-REQ-04123-E4</t>
  </si>
  <si>
    <t>G-REQ-04124-E1</t>
  </si>
  <si>
    <t>G-REQ-04124-E2</t>
  </si>
  <si>
    <t>G-REQ-04124-E3</t>
  </si>
  <si>
    <t>G-REQ-04124-E4</t>
  </si>
  <si>
    <t>G-REQ-04125-E1</t>
  </si>
  <si>
    <t>G-REQ-04125-E2</t>
  </si>
  <si>
    <t>SYNTHETIC: Laptop repair; Rejected; asset G-AST-00523</t>
  </si>
  <si>
    <t>G-REQ-04126-E1</t>
  </si>
  <si>
    <t>G-REQ-04126-E2</t>
  </si>
  <si>
    <t>G-REQ-04126-E3</t>
  </si>
  <si>
    <t>G-REQ-04126-E4</t>
  </si>
  <si>
    <t>G-REQ-04127-E1</t>
  </si>
  <si>
    <t>G-REQ-04127-E2</t>
  </si>
  <si>
    <t>G-REQ-04127-E3</t>
  </si>
  <si>
    <t>G-REQ-04127-E4</t>
  </si>
  <si>
    <t>G-REQ-04128-E1</t>
  </si>
  <si>
    <t>G-REQ-04128-E2</t>
  </si>
  <si>
    <t>G-REQ-04128-E3</t>
  </si>
  <si>
    <t>G-REQ-04128-E4</t>
  </si>
  <si>
    <t>G-REQ-04129-E1</t>
  </si>
  <si>
    <t>G-REQ-04129-E2</t>
  </si>
  <si>
    <t>G-REQ-04129-E3</t>
  </si>
  <si>
    <t>G-REQ-04129-E4</t>
  </si>
  <si>
    <t>G-REQ-04130-E1</t>
  </si>
  <si>
    <t>G-REQ-04130-E2</t>
  </si>
  <si>
    <t>G-REQ-04130-E3</t>
  </si>
  <si>
    <t>G-REQ-04130-E4</t>
  </si>
  <si>
    <t>G-REQ-04131-E1</t>
  </si>
  <si>
    <t>G-REQ-04131-E2</t>
  </si>
  <si>
    <t>G-REQ-04131-E3</t>
  </si>
  <si>
    <t>G-REQ-04131-E4</t>
  </si>
  <si>
    <t>G-REQ-04132-E1</t>
  </si>
  <si>
    <t>G-REQ-04132-E2</t>
  </si>
  <si>
    <t>G-REQ-04132-E3</t>
  </si>
  <si>
    <t>G-REQ-04132-E4</t>
  </si>
  <si>
    <t>G-REQ-04133-E1</t>
  </si>
  <si>
    <t>G-REQ-04133-E2</t>
  </si>
  <si>
    <t>G-REQ-04133-E3</t>
  </si>
  <si>
    <t>G-REQ-04133-E4</t>
  </si>
  <si>
    <t>G-REQ-04134-E1</t>
  </si>
  <si>
    <t>G-REQ-04134-E2</t>
  </si>
  <si>
    <t>G-REQ-04134-E3</t>
  </si>
  <si>
    <t>G-REQ-04134-E4</t>
  </si>
  <si>
    <t>G-REQ-04135-E1</t>
  </si>
  <si>
    <t>G-REQ-04135-E2</t>
  </si>
  <si>
    <t>G-REQ-04135-E3</t>
  </si>
  <si>
    <t>G-REQ-04135-E4</t>
  </si>
  <si>
    <t>G-REQ-04136-E1</t>
  </si>
  <si>
    <t>G-REQ-04136-E2</t>
  </si>
  <si>
    <t>G-REQ-04137-E1</t>
  </si>
  <si>
    <t>G-REQ-04137-E2</t>
  </si>
  <si>
    <t>SYNTHETIC: Laptop return; Cancelled; asset G-AST-00504</t>
  </si>
  <si>
    <t>G-REQ-04138-E1</t>
  </si>
  <si>
    <t>G-REQ-04138-E2</t>
  </si>
  <si>
    <t>G-REQ-04138-E3</t>
  </si>
  <si>
    <t>G-REQ-04138-E4</t>
  </si>
  <si>
    <t>G-REQ-04139-E1</t>
  </si>
  <si>
    <t>G-REQ-04139-E2</t>
  </si>
  <si>
    <t>G-REQ-04139-E3</t>
  </si>
  <si>
    <t>G-REQ-04139-E4</t>
  </si>
  <si>
    <t>G-REQ-04140-E1</t>
  </si>
  <si>
    <t>G-REQ-04140-E2</t>
  </si>
  <si>
    <t>G-REQ-04140-E3</t>
  </si>
  <si>
    <t>G-REQ-04140-E4</t>
  </si>
  <si>
    <t>G-REQ-04141-E1</t>
  </si>
  <si>
    <t>G-REQ-04141-E2</t>
  </si>
  <si>
    <t>G-REQ-04141-E3</t>
  </si>
  <si>
    <t>G-REQ-04141-E4</t>
  </si>
  <si>
    <t>G-REQ-04142-E1</t>
  </si>
  <si>
    <t>G-REQ-04142-E2</t>
  </si>
  <si>
    <t>G-REQ-04142-E3</t>
  </si>
  <si>
    <t>G-REQ-04142-E4</t>
  </si>
  <si>
    <t>G-REQ-04143-E1</t>
  </si>
  <si>
    <t>G-REQ-04143-E2</t>
  </si>
  <si>
    <t>G-REQ-04143-E3</t>
  </si>
  <si>
    <t>G-REQ-04143-E4</t>
  </si>
  <si>
    <t>G-REQ-04144-E1</t>
  </si>
  <si>
    <t>G-REQ-04144-E2</t>
  </si>
  <si>
    <t>G-REQ-04144-E3</t>
  </si>
  <si>
    <t>G-REQ-04144-E4</t>
  </si>
  <si>
    <t>G-REQ-04145-E1</t>
  </si>
  <si>
    <t>G-REQ-04145-E2</t>
  </si>
  <si>
    <t>G-REQ-04145-E3</t>
  </si>
  <si>
    <t>G-REQ-04145-E4</t>
  </si>
  <si>
    <t>G-REQ-04146-E1</t>
  </si>
  <si>
    <t>G-REQ-04146-E2</t>
  </si>
  <si>
    <t>G-REQ-04146-E3</t>
  </si>
  <si>
    <t>G-REQ-04146-E4</t>
  </si>
  <si>
    <t>G-REQ-04147-E1</t>
  </si>
  <si>
    <t>G-REQ-04147-E2</t>
  </si>
  <si>
    <t>G-REQ-04147-E3</t>
  </si>
  <si>
    <t>G-REQ-04147-E4</t>
  </si>
  <si>
    <t>G-REQ-04148-E1</t>
  </si>
  <si>
    <t>G-REQ-04148-E2</t>
  </si>
  <si>
    <t>G-REQ-04148-E3</t>
  </si>
  <si>
    <t>G-REQ-04148-E4</t>
  </si>
  <si>
    <t>G-REQ-04149-E1</t>
  </si>
  <si>
    <t>G-REQ-04149-E2</t>
  </si>
  <si>
    <t>G-REQ-04149-E3</t>
  </si>
  <si>
    <t>G-REQ-04149-E4</t>
  </si>
  <si>
    <t>G-REQ-04150-E1</t>
  </si>
  <si>
    <t>G-REQ-04150-E2</t>
  </si>
  <si>
    <t>G-REQ-04150-E3</t>
  </si>
  <si>
    <t>G-REQ-04150-E4</t>
  </si>
  <si>
    <t>G-REQ-04151-E1</t>
  </si>
  <si>
    <t>G-REQ-04151-E2</t>
  </si>
  <si>
    <t>G-REQ-04151-E3</t>
  </si>
  <si>
    <t>G-REQ-04151-E4</t>
  </si>
  <si>
    <t>G-REQ-04152-E1</t>
  </si>
  <si>
    <t>G-REQ-04152-E2</t>
  </si>
  <si>
    <t>G-REQ-04152-E3</t>
  </si>
  <si>
    <t>G-REQ-04152-E4</t>
  </si>
  <si>
    <t>G-REQ-04153-E1</t>
  </si>
  <si>
    <t>G-REQ-04153-E2</t>
  </si>
  <si>
    <t>G-REQ-04153-E3</t>
  </si>
  <si>
    <t>G-REQ-04153-E4</t>
  </si>
  <si>
    <t>G-REQ-04154-E1</t>
  </si>
  <si>
    <t>G-REQ-04154-E2</t>
  </si>
  <si>
    <t>SYNTHETIC: Laptop repair; Cancelled; asset G-AST-00020</t>
  </si>
  <si>
    <t>G-REQ-04155-E1</t>
  </si>
  <si>
    <t>G-REQ-04155-E2</t>
  </si>
  <si>
    <t>G-REQ-04156-E1</t>
  </si>
  <si>
    <t>G-REQ-04156-E2</t>
  </si>
  <si>
    <t>G-REQ-04156-E3</t>
  </si>
  <si>
    <t>G-REQ-04156-E4</t>
  </si>
  <si>
    <t>G-REQ-04157-E1</t>
  </si>
  <si>
    <t>G-REQ-04157-E2</t>
  </si>
  <si>
    <t>SYNTHETIC: Laptop return; Rejected; asset G-AST-00151</t>
  </si>
  <si>
    <t>G-REQ-04158-E1</t>
  </si>
  <si>
    <t>G-REQ-04158-E2</t>
  </si>
  <si>
    <t>G-REQ-04159-E1</t>
  </si>
  <si>
    <t>G-REQ-04159-E2</t>
  </si>
  <si>
    <t>G-REQ-04160-E1</t>
  </si>
  <si>
    <t>G-REQ-04160-E2</t>
  </si>
  <si>
    <t>G-REQ-04160-E3</t>
  </si>
  <si>
    <t>G-REQ-04160-E4</t>
  </si>
  <si>
    <t>G-REQ-04161-E1</t>
  </si>
  <si>
    <t>G-REQ-04161-E2</t>
  </si>
  <si>
    <t>G-REQ-04161-E3</t>
  </si>
  <si>
    <t>G-REQ-04161-E4</t>
  </si>
  <si>
    <t>G-REQ-04162-E1</t>
  </si>
  <si>
    <t>G-REQ-04162-E2</t>
  </si>
  <si>
    <t>G-REQ-04162-E3</t>
  </si>
  <si>
    <t>G-REQ-04162-E4</t>
  </si>
  <si>
    <t>G-REQ-04163-E1</t>
  </si>
  <si>
    <t>G-REQ-04163-E2</t>
  </si>
  <si>
    <t>G-REQ-04163-E3</t>
  </si>
  <si>
    <t>G-REQ-04163-E4</t>
  </si>
  <si>
    <t>G-REQ-04164-E1</t>
  </si>
  <si>
    <t>G-REQ-04164-E2</t>
  </si>
  <si>
    <t>G-REQ-04164-E3</t>
  </si>
  <si>
    <t>G-REQ-04164-E4</t>
  </si>
  <si>
    <t>G-REQ-04165-E1</t>
  </si>
  <si>
    <t>G-REQ-04165-E2</t>
  </si>
  <si>
    <t>SYNTHETIC: Laptop repair; Cancelled; asset G-AST-00377</t>
  </si>
  <si>
    <t>G-REQ-04166-E1</t>
  </si>
  <si>
    <t>G-REQ-04166-E2</t>
  </si>
  <si>
    <t>G-REQ-04166-E3</t>
  </si>
  <si>
    <t>G-REQ-04166-E4</t>
  </si>
  <si>
    <t>G-REQ-04167-E1</t>
  </si>
  <si>
    <t>G-REQ-04167-E2</t>
  </si>
  <si>
    <t>G-REQ-04167-E3</t>
  </si>
  <si>
    <t>G-REQ-04167-E4</t>
  </si>
  <si>
    <t>G-REQ-04168-E1</t>
  </si>
  <si>
    <t>G-REQ-04168-E2</t>
  </si>
  <si>
    <t>G-REQ-04168-E3</t>
  </si>
  <si>
    <t>G-REQ-04168-E4</t>
  </si>
  <si>
    <t>G-REQ-04169-E1</t>
  </si>
  <si>
    <t>G-REQ-04169-E2</t>
  </si>
  <si>
    <t>G-REQ-04169-E3</t>
  </si>
  <si>
    <t>G-REQ-04169-E4</t>
  </si>
  <si>
    <t>G-REQ-04170-E1</t>
  </si>
  <si>
    <t>G-REQ-04170-E2</t>
  </si>
  <si>
    <t>G-REQ-04170-E3</t>
  </si>
  <si>
    <t>G-REQ-04170-E4</t>
  </si>
  <si>
    <t>G-REQ-04171-E1</t>
  </si>
  <si>
    <t>G-REQ-04171-E2</t>
  </si>
  <si>
    <t>G-REQ-04171-E3</t>
  </si>
  <si>
    <t>G-REQ-04171-E4</t>
  </si>
  <si>
    <t>G-REQ-04172-E1</t>
  </si>
  <si>
    <t>G-REQ-04172-E2</t>
  </si>
  <si>
    <t>G-REQ-04172-E3</t>
  </si>
  <si>
    <t>G-REQ-04172-E4</t>
  </si>
  <si>
    <t>G-REQ-04173-E1</t>
  </si>
  <si>
    <t>G-REQ-04173-E2</t>
  </si>
  <si>
    <t>G-REQ-04173-E3</t>
  </si>
  <si>
    <t>G-REQ-04173-E4</t>
  </si>
  <si>
    <t>G-REQ-04174-E1</t>
  </si>
  <si>
    <t>G-REQ-04174-E2</t>
  </si>
  <si>
    <t>G-REQ-04174-E3</t>
  </si>
  <si>
    <t>G-REQ-04174-E4</t>
  </si>
  <si>
    <t>G-REQ-04175-E1</t>
  </si>
  <si>
    <t>G-REQ-04175-E2</t>
  </si>
  <si>
    <t>G-REQ-04175-E3</t>
  </si>
  <si>
    <t>G-REQ-04175-E4</t>
  </si>
  <si>
    <t>G-REQ-04176-E1</t>
  </si>
  <si>
    <t>G-REQ-04176-E2</t>
  </si>
  <si>
    <t>G-REQ-04176-E3</t>
  </si>
  <si>
    <t>G-REQ-04176-E4</t>
  </si>
  <si>
    <t>G-REQ-04177-E1</t>
  </si>
  <si>
    <t>G-REQ-04177-E2</t>
  </si>
  <si>
    <t>G-REQ-04177-E3</t>
  </si>
  <si>
    <t>G-REQ-04177-E4</t>
  </si>
  <si>
    <t>G-REQ-04178-E1</t>
  </si>
  <si>
    <t>SYNTHETIC: Laptop repair; Pending approval; asset G-AST-00526</t>
  </si>
  <si>
    <t>G-REQ-04178-E2</t>
  </si>
  <si>
    <t>SYNTHETIC: Laptop repair; Approved; asset G-AST-00526</t>
  </si>
  <si>
    <t>G-REQ-04178-E3</t>
  </si>
  <si>
    <t>SYNTHETIC: Laptop repair; In progress; asset G-AST-00526</t>
  </si>
  <si>
    <t>G-REQ-04178-E4</t>
  </si>
  <si>
    <t>SYNTHETIC: Laptop repair; Completed; asset G-AST-00526</t>
  </si>
  <si>
    <t>G-REQ-04179-E1</t>
  </si>
  <si>
    <t>G-REQ-04179-E2</t>
  </si>
  <si>
    <t>G-REQ-04179-E3</t>
  </si>
  <si>
    <t>G-REQ-04179-E4</t>
  </si>
  <si>
    <t>G-REQ-04180-E1</t>
  </si>
  <si>
    <t>G-REQ-04180-E2</t>
  </si>
  <si>
    <t>G-REQ-04180-E3</t>
  </si>
  <si>
    <t>G-REQ-04180-E4</t>
  </si>
  <si>
    <t>G-REQ-04181-E1</t>
  </si>
  <si>
    <t>G-REQ-04181-E2</t>
  </si>
  <si>
    <t>G-REQ-04181-E3</t>
  </si>
  <si>
    <t>G-REQ-04181-E4</t>
  </si>
  <si>
    <t>G-REQ-04182-E1</t>
  </si>
  <si>
    <t>G-REQ-04182-E2</t>
  </si>
  <si>
    <t>G-REQ-04182-E3</t>
  </si>
  <si>
    <t>G-REQ-04182-E4</t>
  </si>
  <si>
    <t>G-REQ-04183-E1</t>
  </si>
  <si>
    <t>G-REQ-04183-E2</t>
  </si>
  <si>
    <t>G-REQ-04183-E3</t>
  </si>
  <si>
    <t>G-REQ-04183-E4</t>
  </si>
  <si>
    <t>G-REQ-04184-E1</t>
  </si>
  <si>
    <t>G-REQ-04184-E2</t>
  </si>
  <si>
    <t>G-REQ-04184-E3</t>
  </si>
  <si>
    <t>G-REQ-04184-E4</t>
  </si>
  <si>
    <t>G-REQ-04185-E1</t>
  </si>
  <si>
    <t>G-REQ-04185-E2</t>
  </si>
  <si>
    <t>G-REQ-04185-E3</t>
  </si>
  <si>
    <t>G-REQ-04185-E4</t>
  </si>
  <si>
    <t>G-REQ-04186-E1</t>
  </si>
  <si>
    <t>SYNTHETIC: Laptop repair; Pending approval; asset G-AST-00109</t>
  </si>
  <si>
    <t>G-REQ-04186-E2</t>
  </si>
  <si>
    <t>SYNTHETIC: Laptop repair; Approved; asset G-AST-00109</t>
  </si>
  <si>
    <t>G-REQ-04186-E3</t>
  </si>
  <si>
    <t>SYNTHETIC: Laptop repair; In progress; asset G-AST-00109</t>
  </si>
  <si>
    <t>G-REQ-04186-E4</t>
  </si>
  <si>
    <t>SYNTHETIC: Laptop repair; Completed; asset G-AST-00109</t>
  </si>
  <si>
    <t>G-REQ-04187-E1</t>
  </si>
  <si>
    <t>G-REQ-04187-E2</t>
  </si>
  <si>
    <t>G-REQ-04187-E3</t>
  </si>
  <si>
    <t>G-REQ-04187-E4</t>
  </si>
  <si>
    <t>G-REQ-04188-E1</t>
  </si>
  <si>
    <t>G-REQ-04188-E2</t>
  </si>
  <si>
    <t>G-REQ-04188-E3</t>
  </si>
  <si>
    <t>G-REQ-04188-E4</t>
  </si>
  <si>
    <t>G-REQ-04189-E1</t>
  </si>
  <si>
    <t>G-REQ-04189-E2</t>
  </si>
  <si>
    <t>G-REQ-04190-E1</t>
  </si>
  <si>
    <t>G-REQ-04190-E2</t>
  </si>
  <si>
    <t>G-REQ-04191-E1</t>
  </si>
  <si>
    <t>G-REQ-04191-E2</t>
  </si>
  <si>
    <t>SYNTHETIC: Laptop repair; Rejected; asset G-AST-00370</t>
  </si>
  <si>
    <t>G-REQ-04192-E1</t>
  </si>
  <si>
    <t>G-REQ-04192-E2</t>
  </si>
  <si>
    <t>G-REQ-04192-E3</t>
  </si>
  <si>
    <t>G-REQ-04192-E4</t>
  </si>
  <si>
    <t>G-REQ-04193-E1</t>
  </si>
  <si>
    <t>G-REQ-04193-E2</t>
  </si>
  <si>
    <t>G-REQ-04193-E3</t>
  </si>
  <si>
    <t>G-REQ-04193-E4</t>
  </si>
  <si>
    <t>G-REQ-04194-E1</t>
  </si>
  <si>
    <t>G-REQ-04194-E2</t>
  </si>
  <si>
    <t>G-REQ-04194-E3</t>
  </si>
  <si>
    <t>G-REQ-04194-E4</t>
  </si>
  <si>
    <t>G-REQ-04195-E1</t>
  </si>
  <si>
    <t>G-REQ-04195-E2</t>
  </si>
  <si>
    <t>G-REQ-04195-E3</t>
  </si>
  <si>
    <t>G-REQ-04195-E4</t>
  </si>
  <si>
    <t>G-REQ-04196-E1</t>
  </si>
  <si>
    <t>G-REQ-04196-E2</t>
  </si>
  <si>
    <t>G-REQ-04196-E3</t>
  </si>
  <si>
    <t>G-REQ-04196-E4</t>
  </si>
  <si>
    <t>G-REQ-04197-E1</t>
  </si>
  <si>
    <t>G-REQ-04197-E2</t>
  </si>
  <si>
    <t>G-REQ-04197-E3</t>
  </si>
  <si>
    <t>G-REQ-04197-E4</t>
  </si>
  <si>
    <t>G-REQ-04198-E1</t>
  </si>
  <si>
    <t>G-REQ-04198-E2</t>
  </si>
  <si>
    <t>G-REQ-04198-E3</t>
  </si>
  <si>
    <t>G-REQ-04198-E4</t>
  </si>
  <si>
    <t>G-REQ-04199-E1</t>
  </si>
  <si>
    <t>G-REQ-04199-E2</t>
  </si>
  <si>
    <t>G-REQ-04199-E3</t>
  </si>
  <si>
    <t>G-REQ-04199-E4</t>
  </si>
  <si>
    <t>G-REQ-04200-E1</t>
  </si>
  <si>
    <t>G-REQ-04200-E2</t>
  </si>
  <si>
    <t>G-REQ-04200-E3</t>
  </si>
  <si>
    <t>G-REQ-04200-E4</t>
  </si>
  <si>
    <t>G-REQ-04201-E1</t>
  </si>
  <si>
    <t>G-REQ-04201-E2</t>
  </si>
  <si>
    <t>G-REQ-04201-E3</t>
  </si>
  <si>
    <t>G-REQ-04201-E4</t>
  </si>
  <si>
    <t>G-REQ-04202-E1</t>
  </si>
  <si>
    <t>G-REQ-04202-E2</t>
  </si>
  <si>
    <t>G-REQ-04202-E3</t>
  </si>
  <si>
    <t>G-REQ-04202-E4</t>
  </si>
  <si>
    <t>G-REQ-04203-E1</t>
  </si>
  <si>
    <t>G-REQ-04203-E2</t>
  </si>
  <si>
    <t>G-REQ-04203-E3</t>
  </si>
  <si>
    <t>G-REQ-04203-E4</t>
  </si>
  <si>
    <t>G-REQ-04204-E1</t>
  </si>
  <si>
    <t>G-REQ-04204-E2</t>
  </si>
  <si>
    <t>G-REQ-04204-E3</t>
  </si>
  <si>
    <t>G-REQ-04204-E4</t>
  </si>
  <si>
    <t>G-REQ-04205-E1</t>
  </si>
  <si>
    <t>G-REQ-04205-E2</t>
  </si>
  <si>
    <t>G-REQ-04206-E1</t>
  </si>
  <si>
    <t>G-REQ-04206-E2</t>
  </si>
  <si>
    <t>G-REQ-04206-E3</t>
  </si>
  <si>
    <t>G-REQ-04206-E4</t>
  </si>
  <si>
    <t>G-REQ-04207-E1</t>
  </si>
  <si>
    <t>G-REQ-04207-E2</t>
  </si>
  <si>
    <t>G-REQ-04207-E3</t>
  </si>
  <si>
    <t>G-REQ-04207-E4</t>
  </si>
  <si>
    <t>G-REQ-04208-E1</t>
  </si>
  <si>
    <t>G-REQ-04208-E2</t>
  </si>
  <si>
    <t>G-REQ-04208-E3</t>
  </si>
  <si>
    <t>G-REQ-04208-E4</t>
  </si>
  <si>
    <t>G-REQ-04209-E1</t>
  </si>
  <si>
    <t>G-REQ-04209-E2</t>
  </si>
  <si>
    <t>G-REQ-04209-E3</t>
  </si>
  <si>
    <t>G-REQ-04209-E4</t>
  </si>
  <si>
    <t>G-REQ-04210-E1</t>
  </si>
  <si>
    <t>G-REQ-04210-E2</t>
  </si>
  <si>
    <t>G-REQ-04210-E3</t>
  </si>
  <si>
    <t>G-REQ-04210-E4</t>
  </si>
  <si>
    <t>G-REQ-04211-E1</t>
  </si>
  <si>
    <t>G-REQ-04211-E2</t>
  </si>
  <si>
    <t>G-REQ-04211-E3</t>
  </si>
  <si>
    <t>G-REQ-04211-E4</t>
  </si>
  <si>
    <t>G-REQ-04212-E1</t>
  </si>
  <si>
    <t>G-REQ-04212-E2</t>
  </si>
  <si>
    <t>G-REQ-04212-E3</t>
  </si>
  <si>
    <t>G-REQ-04212-E4</t>
  </si>
  <si>
    <t>G-REQ-04213-E1</t>
  </si>
  <si>
    <t>G-REQ-04213-E2</t>
  </si>
  <si>
    <t>G-REQ-04213-E3</t>
  </si>
  <si>
    <t>G-REQ-04213-E4</t>
  </si>
  <si>
    <t>G-REQ-04214-E1</t>
  </si>
  <si>
    <t>G-REQ-04214-E2</t>
  </si>
  <si>
    <t>G-REQ-04214-E3</t>
  </si>
  <si>
    <t>G-REQ-04214-E4</t>
  </si>
  <si>
    <t>G-REQ-04215-E1</t>
  </si>
  <si>
    <t>G-REQ-04215-E2</t>
  </si>
  <si>
    <t>G-REQ-04215-E3</t>
  </si>
  <si>
    <t>G-REQ-04215-E4</t>
  </si>
  <si>
    <t>G-REQ-04216-E1</t>
  </si>
  <si>
    <t>G-REQ-04216-E2</t>
  </si>
  <si>
    <t>G-REQ-04216-E3</t>
  </si>
  <si>
    <t>G-REQ-04216-E4</t>
  </si>
  <si>
    <t>G-REQ-04217-E1</t>
  </si>
  <si>
    <t>G-REQ-04217-E2</t>
  </si>
  <si>
    <t>G-REQ-04217-E3</t>
  </si>
  <si>
    <t>G-REQ-04217-E4</t>
  </si>
  <si>
    <t>G-REQ-04218-E1</t>
  </si>
  <si>
    <t>G-REQ-04218-E2</t>
  </si>
  <si>
    <t>G-REQ-04218-E3</t>
  </si>
  <si>
    <t>G-REQ-04218-E4</t>
  </si>
  <si>
    <t>G-REQ-04219-E1</t>
  </si>
  <si>
    <t>G-REQ-04219-E2</t>
  </si>
  <si>
    <t>SYNTHETIC: Laptop repair; Approved; asset G-AST-00120</t>
  </si>
  <si>
    <t>G-REQ-04219-E3</t>
  </si>
  <si>
    <t>SYNTHETIC: Laptop repair; In progress; asset G-AST-00120</t>
  </si>
  <si>
    <t>G-REQ-04219-E4</t>
  </si>
  <si>
    <t>SYNTHETIC: Laptop repair; Completed; asset G-AST-00120</t>
  </si>
  <si>
    <t>G-REQ-04220-E1</t>
  </si>
  <si>
    <t>G-REQ-04220-E2</t>
  </si>
  <si>
    <t>G-REQ-04220-E3</t>
  </si>
  <si>
    <t>G-REQ-04220-E4</t>
  </si>
  <si>
    <t>G-REQ-04221-E1</t>
  </si>
  <si>
    <t>G-REQ-04221-E2</t>
  </si>
  <si>
    <t>SYNTHETIC: Laptop repair; Cancelled; asset G-AST-00081</t>
  </si>
  <si>
    <t>G-REQ-04222-E1</t>
  </si>
  <si>
    <t>G-REQ-04222-E2</t>
  </si>
  <si>
    <t>G-REQ-04222-E3</t>
  </si>
  <si>
    <t>G-REQ-04222-E4</t>
  </si>
  <si>
    <t>G-REQ-04223-E1</t>
  </si>
  <si>
    <t>G-REQ-04223-E2</t>
  </si>
  <si>
    <t>G-REQ-04223-E3</t>
  </si>
  <si>
    <t>G-REQ-04223-E4</t>
  </si>
  <si>
    <t>G-REQ-04224-E1</t>
  </si>
  <si>
    <t>G-REQ-04224-E2</t>
  </si>
  <si>
    <t>SYNTHETIC: Laptop repair; Rejected; asset G-AST-00255</t>
  </si>
  <si>
    <t>G-REQ-04225-E1</t>
  </si>
  <si>
    <t>G-REQ-04225-E2</t>
  </si>
  <si>
    <t>G-REQ-04225-E3</t>
  </si>
  <si>
    <t>G-REQ-04225-E4</t>
  </si>
  <si>
    <t>G-REQ-04226-E1</t>
  </si>
  <si>
    <t>G-REQ-04226-E2</t>
  </si>
  <si>
    <t>G-REQ-04226-E3</t>
  </si>
  <si>
    <t>G-REQ-04226-E4</t>
  </si>
  <si>
    <t>G-REQ-04227-E1</t>
  </si>
  <si>
    <t>G-REQ-04227-E2</t>
  </si>
  <si>
    <t>G-REQ-04227-E3</t>
  </si>
  <si>
    <t>G-REQ-04227-E4</t>
  </si>
  <si>
    <t>G-REQ-04228-E1</t>
  </si>
  <si>
    <t>G-REQ-04228-E2</t>
  </si>
  <si>
    <t>G-REQ-04228-E3</t>
  </si>
  <si>
    <t>G-REQ-04228-E4</t>
  </si>
  <si>
    <t>G-REQ-04229-E1</t>
  </si>
  <si>
    <t>G-REQ-04229-E2</t>
  </si>
  <si>
    <t>G-REQ-04229-E3</t>
  </si>
  <si>
    <t>G-REQ-04229-E4</t>
  </si>
  <si>
    <t>G-REQ-04230-E1</t>
  </si>
  <si>
    <t>G-REQ-04230-E2</t>
  </si>
  <si>
    <t>G-REQ-04230-E3</t>
  </si>
  <si>
    <t>G-REQ-04230-E4</t>
  </si>
  <si>
    <t>G-REQ-04231-E1</t>
  </si>
  <si>
    <t>G-REQ-04231-E2</t>
  </si>
  <si>
    <t>G-REQ-04231-E3</t>
  </si>
  <si>
    <t>G-REQ-04231-E4</t>
  </si>
  <si>
    <t>G-REQ-04232-E1</t>
  </si>
  <si>
    <t>G-REQ-04232-E2</t>
  </si>
  <si>
    <t>G-REQ-04233-E1</t>
  </si>
  <si>
    <t>G-REQ-04233-E2</t>
  </si>
  <si>
    <t>G-REQ-04233-E3</t>
  </si>
  <si>
    <t>G-REQ-04233-E4</t>
  </si>
  <si>
    <t>G-REQ-04234-E1</t>
  </si>
  <si>
    <t>G-REQ-04234-E2</t>
  </si>
  <si>
    <t>G-REQ-04234-E3</t>
  </si>
  <si>
    <t>G-REQ-04234-E4</t>
  </si>
  <si>
    <t>G-REQ-04235-E1</t>
  </si>
  <si>
    <t>G-REQ-04235-E2</t>
  </si>
  <si>
    <t>G-REQ-04235-E3</t>
  </si>
  <si>
    <t>G-REQ-04235-E4</t>
  </si>
  <si>
    <t>G-REQ-04236-E1</t>
  </si>
  <si>
    <t>G-REQ-04236-E2</t>
  </si>
  <si>
    <t>G-REQ-04236-E3</t>
  </si>
  <si>
    <t>G-REQ-04236-E4</t>
  </si>
  <si>
    <t>G-REQ-04237-E1</t>
  </si>
  <si>
    <t>G-REQ-04237-E2</t>
  </si>
  <si>
    <t>G-REQ-04237-E3</t>
  </si>
  <si>
    <t>G-REQ-04237-E4</t>
  </si>
  <si>
    <t>G-REQ-04238-E1</t>
  </si>
  <si>
    <t>G-REQ-04238-E2</t>
  </si>
  <si>
    <t>G-REQ-04238-E3</t>
  </si>
  <si>
    <t>G-REQ-04238-E4</t>
  </si>
  <si>
    <t>G-REQ-04239-E1</t>
  </si>
  <si>
    <t>G-REQ-04239-E2</t>
  </si>
  <si>
    <t>G-REQ-04239-E3</t>
  </si>
  <si>
    <t>G-REQ-04239-E4</t>
  </si>
  <si>
    <t>G-REQ-04240-E1</t>
  </si>
  <si>
    <t>G-REQ-04240-E2</t>
  </si>
  <si>
    <t>G-REQ-04240-E3</t>
  </si>
  <si>
    <t>G-REQ-04240-E4</t>
  </si>
  <si>
    <t>G-REQ-04241-E1</t>
  </si>
  <si>
    <t>G-REQ-04241-E2</t>
  </si>
  <si>
    <t>G-REQ-04241-E3</t>
  </si>
  <si>
    <t>G-REQ-04241-E4</t>
  </si>
  <si>
    <t>G-REQ-04242-E1</t>
  </si>
  <si>
    <t>G-REQ-04242-E2</t>
  </si>
  <si>
    <t>G-REQ-04242-E3</t>
  </si>
  <si>
    <t>G-REQ-04242-E4</t>
  </si>
  <si>
    <t>G-REQ-04243-E1</t>
  </si>
  <si>
    <t>G-REQ-04243-E2</t>
  </si>
  <si>
    <t>G-REQ-04243-E3</t>
  </si>
  <si>
    <t>G-REQ-04243-E4</t>
  </si>
  <si>
    <t>G-REQ-04244-E1</t>
  </si>
  <si>
    <t>G-REQ-04244-E2</t>
  </si>
  <si>
    <t>G-REQ-04245-E1</t>
  </si>
  <si>
    <t>G-REQ-04245-E2</t>
  </si>
  <si>
    <t>G-REQ-04245-E3</t>
  </si>
  <si>
    <t>G-REQ-04245-E4</t>
  </si>
  <si>
    <t>G-REQ-04246-E1</t>
  </si>
  <si>
    <t>G-REQ-04246-E2</t>
  </si>
  <si>
    <t>G-REQ-04246-E3</t>
  </si>
  <si>
    <t>G-REQ-04246-E4</t>
  </si>
  <si>
    <t>G-REQ-04247-E1</t>
  </si>
  <si>
    <t>G-REQ-04247-E2</t>
  </si>
  <si>
    <t>G-REQ-04247-E3</t>
  </si>
  <si>
    <t>G-REQ-04247-E4</t>
  </si>
  <si>
    <t>G-REQ-04248-E1</t>
  </si>
  <si>
    <t>G-REQ-04248-E2</t>
  </si>
  <si>
    <t>G-REQ-04248-E3</t>
  </si>
  <si>
    <t>G-REQ-04248-E4</t>
  </si>
  <si>
    <t>G-REQ-04249-E1</t>
  </si>
  <si>
    <t>G-REQ-04249-E2</t>
  </si>
  <si>
    <t>G-REQ-04249-E3</t>
  </si>
  <si>
    <t>G-REQ-04249-E4</t>
  </si>
  <si>
    <t>G-REQ-04250-E1</t>
  </si>
  <si>
    <t>G-REQ-04250-E2</t>
  </si>
  <si>
    <t>G-REQ-04250-E3</t>
  </si>
  <si>
    <t>G-REQ-04250-E4</t>
  </si>
  <si>
    <t>G-REQ-04251-E1</t>
  </si>
  <si>
    <t>SYNTHETIC: Laptop repair; Pending approval; asset G-AST-00158</t>
  </si>
  <si>
    <t>G-REQ-04251-E2</t>
  </si>
  <si>
    <t>SYNTHETIC: Laptop repair; Cancelled; asset G-AST-00158</t>
  </si>
  <si>
    <t>G-REQ-04252-E1</t>
  </si>
  <si>
    <t>G-REQ-04252-E2</t>
  </si>
  <si>
    <t>G-REQ-04252-E3</t>
  </si>
  <si>
    <t>G-REQ-04252-E4</t>
  </si>
  <si>
    <t>G-REQ-04253-E1</t>
  </si>
  <si>
    <t>G-REQ-04253-E2</t>
  </si>
  <si>
    <t>G-REQ-04253-E3</t>
  </si>
  <si>
    <t>G-REQ-04253-E4</t>
  </si>
  <si>
    <t>G-REQ-04254-E1</t>
  </si>
  <si>
    <t>G-REQ-04254-E2</t>
  </si>
  <si>
    <t>G-REQ-04254-E3</t>
  </si>
  <si>
    <t>G-REQ-04254-E4</t>
  </si>
  <si>
    <t>G-REQ-04255-E1</t>
  </si>
  <si>
    <t>G-REQ-04255-E2</t>
  </si>
  <si>
    <t>G-REQ-04255-E3</t>
  </si>
  <si>
    <t>G-REQ-04255-E4</t>
  </si>
  <si>
    <t>G-REQ-04256-E1</t>
  </si>
  <si>
    <t>G-REQ-04256-E2</t>
  </si>
  <si>
    <t>G-REQ-04256-E3</t>
  </si>
  <si>
    <t>G-REQ-04256-E4</t>
  </si>
  <si>
    <t>G-REQ-04257-E1</t>
  </si>
  <si>
    <t>G-REQ-04257-E2</t>
  </si>
  <si>
    <t>G-REQ-04257-E3</t>
  </si>
  <si>
    <t>G-REQ-04257-E4</t>
  </si>
  <si>
    <t>G-REQ-04258-E1</t>
  </si>
  <si>
    <t>G-REQ-04258-E2</t>
  </si>
  <si>
    <t>G-REQ-04258-E3</t>
  </si>
  <si>
    <t>G-REQ-04258-E4</t>
  </si>
  <si>
    <t>G-REQ-04259-E1</t>
  </si>
  <si>
    <t>G-REQ-04259-E2</t>
  </si>
  <si>
    <t>G-REQ-04260-E1</t>
  </si>
  <si>
    <t>G-REQ-04260-E2</t>
  </si>
  <si>
    <t>G-REQ-04260-E3</t>
  </si>
  <si>
    <t>G-REQ-04260-E4</t>
  </si>
  <si>
    <t>G-REQ-04261-E1</t>
  </si>
  <si>
    <t>G-REQ-04261-E2</t>
  </si>
  <si>
    <t>G-REQ-04261-E3</t>
  </si>
  <si>
    <t>G-REQ-04261-E4</t>
  </si>
  <si>
    <t>G-REQ-04262-E1</t>
  </si>
  <si>
    <t>G-REQ-04262-E2</t>
  </si>
  <si>
    <t>SYNTHETIC: Laptop return; Cancelled; asset G-AST-00069</t>
  </si>
  <si>
    <t>G-REQ-04263-E1</t>
  </si>
  <si>
    <t>G-REQ-04263-E2</t>
  </si>
  <si>
    <t>G-REQ-04263-E3</t>
  </si>
  <si>
    <t>G-REQ-04263-E4</t>
  </si>
  <si>
    <t>G-REQ-04264-E1</t>
  </si>
  <si>
    <t>G-REQ-04264-E2</t>
  </si>
  <si>
    <t>G-REQ-04264-E3</t>
  </si>
  <si>
    <t>G-REQ-04264-E4</t>
  </si>
  <si>
    <t>G-REQ-04265-E1</t>
  </si>
  <si>
    <t>G-REQ-04265-E2</t>
  </si>
  <si>
    <t>G-REQ-04265-E3</t>
  </si>
  <si>
    <t>G-REQ-04265-E4</t>
  </si>
  <si>
    <t>G-REQ-04266-E1</t>
  </si>
  <si>
    <t>G-REQ-04266-E2</t>
  </si>
  <si>
    <t>G-REQ-04267-E1</t>
  </si>
  <si>
    <t>G-REQ-04267-E2</t>
  </si>
  <si>
    <t>G-REQ-04267-E3</t>
  </si>
  <si>
    <t>G-REQ-04267-E4</t>
  </si>
  <si>
    <t>G-REQ-04268-E1</t>
  </si>
  <si>
    <t>G-REQ-04268-E2</t>
  </si>
  <si>
    <t>G-REQ-04268-E3</t>
  </si>
  <si>
    <t>G-REQ-04268-E4</t>
  </si>
  <si>
    <t>G-REQ-04269-E1</t>
  </si>
  <si>
    <t>G-REQ-04269-E2</t>
  </si>
  <si>
    <t>G-REQ-04269-E3</t>
  </si>
  <si>
    <t>G-REQ-04269-E4</t>
  </si>
  <si>
    <t>G-REQ-04270-E1</t>
  </si>
  <si>
    <t>G-REQ-04270-E2</t>
  </si>
  <si>
    <t>G-REQ-04271-E1</t>
  </si>
  <si>
    <t>G-REQ-04271-E2</t>
  </si>
  <si>
    <t>SYNTHETIC: Laptop return; Cancelled; asset G-AST-00031</t>
  </si>
  <si>
    <t>G-REQ-04272-E1</t>
  </si>
  <si>
    <t>G-REQ-04272-E2</t>
  </si>
  <si>
    <t>G-REQ-04272-E3</t>
  </si>
  <si>
    <t>G-REQ-04272-E4</t>
  </si>
  <si>
    <t>G-REQ-04273-E1</t>
  </si>
  <si>
    <t>G-REQ-04273-E2</t>
  </si>
  <si>
    <t>G-REQ-04273-E3</t>
  </si>
  <si>
    <t>G-REQ-04273-E4</t>
  </si>
  <si>
    <t>G-REQ-04274-E1</t>
  </si>
  <si>
    <t>G-REQ-04274-E2</t>
  </si>
  <si>
    <t>SYNTHETIC: Laptop repair; Rejected; asset G-AST-00098</t>
  </si>
  <si>
    <t>G-REQ-04275-E1</t>
  </si>
  <si>
    <t>G-REQ-04275-E2</t>
  </si>
  <si>
    <t>G-REQ-04275-E3</t>
  </si>
  <si>
    <t>G-REQ-04275-E4</t>
  </si>
  <si>
    <t>G-REQ-04276-E1</t>
  </si>
  <si>
    <t>G-REQ-04276-E2</t>
  </si>
  <si>
    <t>G-REQ-04276-E3</t>
  </si>
  <si>
    <t>G-REQ-04276-E4</t>
  </si>
  <si>
    <t>G-REQ-04277-E1</t>
  </si>
  <si>
    <t>G-REQ-04277-E2</t>
  </si>
  <si>
    <t>SYNTHETIC: Laptop repair; Approved; asset G-AST-00014</t>
  </si>
  <si>
    <t>G-REQ-04277-E3</t>
  </si>
  <si>
    <t>SYNTHETIC: Laptop repair; In progress; asset G-AST-00014</t>
  </si>
  <si>
    <t>G-REQ-04277-E4</t>
  </si>
  <si>
    <t>SYNTHETIC: Laptop repair; Completed; asset G-AST-00014</t>
  </si>
  <si>
    <t>G-REQ-04278-E1</t>
  </si>
  <si>
    <t>G-REQ-04278-E2</t>
  </si>
  <si>
    <t>G-REQ-04278-E3</t>
  </si>
  <si>
    <t>G-REQ-04278-E4</t>
  </si>
  <si>
    <t>G-REQ-04279-E1</t>
  </si>
  <si>
    <t>G-REQ-04279-E2</t>
  </si>
  <si>
    <t>G-REQ-04279-E3</t>
  </si>
  <si>
    <t>G-REQ-04279-E4</t>
  </si>
  <si>
    <t>G-REQ-04280-E1</t>
  </si>
  <si>
    <t>G-REQ-04280-E2</t>
  </si>
  <si>
    <t>G-REQ-04280-E3</t>
  </si>
  <si>
    <t>G-REQ-04280-E4</t>
  </si>
  <si>
    <t>G-REQ-04281-E1</t>
  </si>
  <si>
    <t>G-REQ-04281-E2</t>
  </si>
  <si>
    <t>SYNTHETIC: Laptop return; Rejected; asset G-AST-00216</t>
  </si>
  <si>
    <t>G-REQ-04282-E1</t>
  </si>
  <si>
    <t>G-REQ-04282-E2</t>
  </si>
  <si>
    <t>G-REQ-04282-E3</t>
  </si>
  <si>
    <t>G-REQ-04282-E4</t>
  </si>
  <si>
    <t>G-REQ-04283-E1</t>
  </si>
  <si>
    <t>G-REQ-04283-E2</t>
  </si>
  <si>
    <t>G-REQ-04283-E3</t>
  </si>
  <si>
    <t>G-REQ-04283-E4</t>
  </si>
  <si>
    <t>G-REQ-04284-E1</t>
  </si>
  <si>
    <t>G-REQ-04284-E2</t>
  </si>
  <si>
    <t>G-REQ-04284-E3</t>
  </si>
  <si>
    <t>G-REQ-04284-E4</t>
  </si>
  <si>
    <t>G-REQ-04285-E1</t>
  </si>
  <si>
    <t>G-REQ-04285-E2</t>
  </si>
  <si>
    <t>SYNTHETIC: Laptop return; Rejected; asset G-AST-00384</t>
  </si>
  <si>
    <t>G-REQ-04286-E1</t>
  </si>
  <si>
    <t>G-REQ-04286-E2</t>
  </si>
  <si>
    <t>G-REQ-04286-E3</t>
  </si>
  <si>
    <t>G-REQ-04286-E4</t>
  </si>
  <si>
    <t>G-REQ-04287-E1</t>
  </si>
  <si>
    <t>G-REQ-04287-E2</t>
  </si>
  <si>
    <t>G-REQ-04287-E3</t>
  </si>
  <si>
    <t>G-REQ-04287-E4</t>
  </si>
  <si>
    <t>G-REQ-04288-E1</t>
  </si>
  <si>
    <t>G-REQ-04288-E2</t>
  </si>
  <si>
    <t>G-REQ-04288-E3</t>
  </si>
  <si>
    <t>G-REQ-04288-E4</t>
  </si>
  <si>
    <t>G-REQ-04289-E1</t>
  </si>
  <si>
    <t>G-REQ-04289-E2</t>
  </si>
  <si>
    <t>G-REQ-04289-E3</t>
  </si>
  <si>
    <t>G-REQ-04289-E4</t>
  </si>
  <si>
    <t>G-REQ-04290-E1</t>
  </si>
  <si>
    <t>G-REQ-04290-E2</t>
  </si>
  <si>
    <t>G-REQ-04290-E3</t>
  </si>
  <si>
    <t>G-REQ-04290-E4</t>
  </si>
  <si>
    <t>G-REQ-04291-E1</t>
  </si>
  <si>
    <t>G-REQ-04291-E2</t>
  </si>
  <si>
    <t>G-REQ-04291-E3</t>
  </si>
  <si>
    <t>G-REQ-04291-E4</t>
  </si>
  <si>
    <t>G-REQ-04292-E1</t>
  </si>
  <si>
    <t>SYNTHETIC: Laptop repair; Pending approval; asset G-AST-00436</t>
  </si>
  <si>
    <t>G-REQ-04292-E2</t>
  </si>
  <si>
    <t>SYNTHETIC: Laptop repair; Approved; asset G-AST-00436</t>
  </si>
  <si>
    <t>G-REQ-04292-E3</t>
  </si>
  <si>
    <t>SYNTHETIC: Laptop repair; In progress; asset G-AST-00436</t>
  </si>
  <si>
    <t>G-REQ-04292-E4</t>
  </si>
  <si>
    <t>SYNTHETIC: Laptop repair; Completed; asset G-AST-00436</t>
  </si>
  <si>
    <t>G-REQ-04293-E1</t>
  </si>
  <si>
    <t>G-REQ-04293-E2</t>
  </si>
  <si>
    <t>G-REQ-04293-E3</t>
  </si>
  <si>
    <t>G-REQ-04293-E4</t>
  </si>
  <si>
    <t>G-REQ-04294-E1</t>
  </si>
  <si>
    <t>G-REQ-04294-E2</t>
  </si>
  <si>
    <t>G-REQ-04294-E3</t>
  </si>
  <si>
    <t>G-REQ-04294-E4</t>
  </si>
  <si>
    <t>G-REQ-04295-E1</t>
  </si>
  <si>
    <t>G-REQ-04295-E2</t>
  </si>
  <si>
    <t>G-REQ-04295-E3</t>
  </si>
  <si>
    <t>G-REQ-04295-E4</t>
  </si>
  <si>
    <t>G-REQ-04296-E1</t>
  </si>
  <si>
    <t>G-REQ-04296-E2</t>
  </si>
  <si>
    <t>G-REQ-04297-E1</t>
  </si>
  <si>
    <t>G-REQ-04297-E2</t>
  </si>
  <si>
    <t>G-REQ-04297-E3</t>
  </si>
  <si>
    <t>G-REQ-04297-E4</t>
  </si>
  <si>
    <t>G-REQ-04298-E1</t>
  </si>
  <si>
    <t>SYNTHETIC: Laptop repair; Pending approval; asset G-AST-00125</t>
  </si>
  <si>
    <t>G-REQ-04298-E2</t>
  </si>
  <si>
    <t>SYNTHETIC: Laptop repair; Rejected; asset G-AST-00125</t>
  </si>
  <si>
    <t>G-REQ-04299-E1</t>
  </si>
  <si>
    <t>SYNTHETIC: Laptop return; Pending approval; asset G-AST-00420</t>
  </si>
  <si>
    <t>G-REQ-04299-E2</t>
  </si>
  <si>
    <t>SYNTHETIC: Laptop return; Rejected; asset G-AST-00420</t>
  </si>
  <si>
    <t>G-REQ-04300-E1</t>
  </si>
  <si>
    <t>G-REQ-04300-E2</t>
  </si>
  <si>
    <t>G-REQ-04300-E3</t>
  </si>
  <si>
    <t>G-REQ-04300-E4</t>
  </si>
  <si>
    <t>G-REQ-04301-E1</t>
  </si>
  <si>
    <t>G-REQ-04301-E2</t>
  </si>
  <si>
    <t>G-REQ-04301-E3</t>
  </si>
  <si>
    <t>G-REQ-04301-E4</t>
  </si>
  <si>
    <t>G-REQ-04302-E1</t>
  </si>
  <si>
    <t>G-REQ-04302-E2</t>
  </si>
  <si>
    <t>G-REQ-04302-E3</t>
  </si>
  <si>
    <t>G-REQ-04302-E4</t>
  </si>
  <si>
    <t>G-REQ-04303-E1</t>
  </si>
  <si>
    <t>G-REQ-04303-E2</t>
  </si>
  <si>
    <t>G-REQ-04303-E3</t>
  </si>
  <si>
    <t>G-REQ-04303-E4</t>
  </si>
  <si>
    <t>G-REQ-04304-E1</t>
  </si>
  <si>
    <t>G-REQ-04304-E2</t>
  </si>
  <si>
    <t>SYNTHETIC: Laptop return; Cancelled; asset G-AST-00074</t>
  </si>
  <si>
    <t>G-REQ-04305-E1</t>
  </si>
  <si>
    <t>G-REQ-04305-E2</t>
  </si>
  <si>
    <t>G-REQ-04305-E3</t>
  </si>
  <si>
    <t>G-REQ-04305-E4</t>
  </si>
  <si>
    <t>G-REQ-04306-E1</t>
  </si>
  <si>
    <t>G-REQ-04306-E2</t>
  </si>
  <si>
    <t>G-REQ-04306-E3</t>
  </si>
  <si>
    <t>G-REQ-04306-E4</t>
  </si>
  <si>
    <t>G-REQ-04307-E1</t>
  </si>
  <si>
    <t>G-REQ-04307-E2</t>
  </si>
  <si>
    <t>G-REQ-04307-E3</t>
  </si>
  <si>
    <t>G-REQ-04307-E4</t>
  </si>
  <si>
    <t>G-REQ-04308-E1</t>
  </si>
  <si>
    <t>G-REQ-04308-E2</t>
  </si>
  <si>
    <t>G-REQ-04308-E3</t>
  </si>
  <si>
    <t>G-REQ-04308-E4</t>
  </si>
  <si>
    <t>G-REQ-04309-E1</t>
  </si>
  <si>
    <t>G-REQ-04309-E2</t>
  </si>
  <si>
    <t>G-REQ-04309-E3</t>
  </si>
  <si>
    <t>G-REQ-04309-E4</t>
  </si>
  <si>
    <t>G-REQ-04310-E1</t>
  </si>
  <si>
    <t>SYNTHETIC: Laptop return; Pending approval; asset G-AST-00191</t>
  </si>
  <si>
    <t>G-REQ-04310-E2</t>
  </si>
  <si>
    <t>SYNTHETIC: Laptop return; Approved; asset G-AST-00191</t>
  </si>
  <si>
    <t>G-REQ-04310-E3</t>
  </si>
  <si>
    <t>SYNTHETIC: Laptop return; In progress; asset G-AST-00191</t>
  </si>
  <si>
    <t>G-REQ-04310-E4</t>
  </si>
  <si>
    <t>SYNTHETIC: Laptop return; Completed; asset G-AST-00191</t>
  </si>
  <si>
    <t>G-REQ-04311-E1</t>
  </si>
  <si>
    <t>G-REQ-04311-E2</t>
  </si>
  <si>
    <t>G-REQ-04311-E3</t>
  </si>
  <si>
    <t>G-REQ-04311-E4</t>
  </si>
  <si>
    <t>G-REQ-04312-E1</t>
  </si>
  <si>
    <t>G-REQ-04312-E2</t>
  </si>
  <si>
    <t>G-REQ-04312-E3</t>
  </si>
  <si>
    <t>G-REQ-04312-E4</t>
  </si>
  <si>
    <t>G-REQ-04313-E1</t>
  </si>
  <si>
    <t>G-REQ-04313-E2</t>
  </si>
  <si>
    <t>G-REQ-04313-E3</t>
  </si>
  <si>
    <t>G-REQ-04313-E4</t>
  </si>
  <si>
    <t>G-REQ-04314-E1</t>
  </si>
  <si>
    <t>G-REQ-04314-E2</t>
  </si>
  <si>
    <t>G-REQ-04314-E3</t>
  </si>
  <si>
    <t>G-REQ-04314-E4</t>
  </si>
  <si>
    <t>G-REQ-04315-E1</t>
  </si>
  <si>
    <t>G-REQ-04315-E2</t>
  </si>
  <si>
    <t>G-REQ-04315-E3</t>
  </si>
  <si>
    <t>G-REQ-04315-E4</t>
  </si>
  <si>
    <t>G-REQ-04316-E1</t>
  </si>
  <si>
    <t>G-REQ-04316-E2</t>
  </si>
  <si>
    <t>G-REQ-04316-E3</t>
  </si>
  <si>
    <t>G-REQ-04316-E4</t>
  </si>
  <si>
    <t>G-REQ-04317-E1</t>
  </si>
  <si>
    <t>G-REQ-04317-E2</t>
  </si>
  <si>
    <t>G-REQ-04317-E3</t>
  </si>
  <si>
    <t>G-REQ-04317-E4</t>
  </si>
  <si>
    <t>G-REQ-04318-E1</t>
  </si>
  <si>
    <t>G-REQ-04318-E2</t>
  </si>
  <si>
    <t>G-REQ-04319-E1</t>
  </si>
  <si>
    <t>G-REQ-04319-E2</t>
  </si>
  <si>
    <t>G-REQ-04319-E3</t>
  </si>
  <si>
    <t>G-REQ-04319-E4</t>
  </si>
  <si>
    <t>G-REQ-04320-E1</t>
  </si>
  <si>
    <t>G-REQ-04320-E2</t>
  </si>
  <si>
    <t>G-REQ-04320-E3</t>
  </si>
  <si>
    <t>G-REQ-04320-E4</t>
  </si>
  <si>
    <t>G-REQ-04321-E1</t>
  </si>
  <si>
    <t>G-REQ-04321-E2</t>
  </si>
  <si>
    <t>G-REQ-04321-E3</t>
  </si>
  <si>
    <t>G-REQ-04321-E4</t>
  </si>
  <si>
    <t>G-REQ-04322-E1</t>
  </si>
  <si>
    <t>G-REQ-04322-E2</t>
  </si>
  <si>
    <t>G-REQ-04322-E3</t>
  </si>
  <si>
    <t>G-REQ-04322-E4</t>
  </si>
  <si>
    <t>G-REQ-04323-E1</t>
  </si>
  <si>
    <t>G-REQ-04323-E2</t>
  </si>
  <si>
    <t>G-REQ-04323-E3</t>
  </si>
  <si>
    <t>G-REQ-04323-E4</t>
  </si>
  <si>
    <t>G-REQ-04324-E1</t>
  </si>
  <si>
    <t>G-REQ-04324-E2</t>
  </si>
  <si>
    <t>G-REQ-04324-E3</t>
  </si>
  <si>
    <t>G-REQ-04324-E4</t>
  </si>
  <si>
    <t>G-REQ-04325-E1</t>
  </si>
  <si>
    <t>G-REQ-04325-E2</t>
  </si>
  <si>
    <t>G-REQ-04325-E3</t>
  </si>
  <si>
    <t>G-REQ-04325-E4</t>
  </si>
  <si>
    <t>G-REQ-04326-E1</t>
  </si>
  <si>
    <t>G-REQ-04326-E2</t>
  </si>
  <si>
    <t>G-REQ-04326-E3</t>
  </si>
  <si>
    <t>G-REQ-04326-E4</t>
  </si>
  <si>
    <t>G-REQ-04327-E1</t>
  </si>
  <si>
    <t>G-REQ-04327-E2</t>
  </si>
  <si>
    <t>G-REQ-04327-E3</t>
  </si>
  <si>
    <t>G-REQ-04327-E4</t>
  </si>
  <si>
    <t>G-REQ-04328-E1</t>
  </si>
  <si>
    <t>G-REQ-04328-E2</t>
  </si>
  <si>
    <t>G-REQ-04329-E1</t>
  </si>
  <si>
    <t>G-REQ-04329-E2</t>
  </si>
  <si>
    <t>G-REQ-04329-E3</t>
  </si>
  <si>
    <t>G-REQ-04329-E4</t>
  </si>
  <si>
    <t>G-REQ-04330-E1</t>
  </si>
  <si>
    <t>G-REQ-04330-E2</t>
  </si>
  <si>
    <t>G-REQ-04331-E1</t>
  </si>
  <si>
    <t>G-REQ-04331-E2</t>
  </si>
  <si>
    <t>G-REQ-04331-E3</t>
  </si>
  <si>
    <t>G-REQ-04331-E4</t>
  </si>
  <si>
    <t>G-REQ-04332-E1</t>
  </si>
  <si>
    <t>G-REQ-04332-E2</t>
  </si>
  <si>
    <t>G-REQ-04332-E3</t>
  </si>
  <si>
    <t>G-REQ-04332-E4</t>
  </si>
  <si>
    <t>G-REQ-04333-E1</t>
  </si>
  <si>
    <t>G-REQ-04333-E2</t>
  </si>
  <si>
    <t>G-REQ-04333-E3</t>
  </si>
  <si>
    <t>G-REQ-04333-E4</t>
  </si>
  <si>
    <t>G-REQ-04334-E1</t>
  </si>
  <si>
    <t>G-REQ-04334-E2</t>
  </si>
  <si>
    <t>G-REQ-04334-E3</t>
  </si>
  <si>
    <t>G-REQ-04334-E4</t>
  </si>
  <si>
    <t>G-REQ-04335-E1</t>
  </si>
  <si>
    <t>G-REQ-04335-E2</t>
  </si>
  <si>
    <t>G-REQ-04335-E3</t>
  </si>
  <si>
    <t>G-REQ-04335-E4</t>
  </si>
  <si>
    <t>G-REQ-04336-E1</t>
  </si>
  <si>
    <t>G-REQ-04336-E2</t>
  </si>
  <si>
    <t>G-REQ-04336-E3</t>
  </si>
  <si>
    <t>G-REQ-04336-E4</t>
  </si>
  <si>
    <t>G-REQ-04337-E1</t>
  </si>
  <si>
    <t>G-REQ-04337-E2</t>
  </si>
  <si>
    <t>G-REQ-04337-E3</t>
  </si>
  <si>
    <t>G-REQ-04337-E4</t>
  </si>
  <si>
    <t>G-REQ-04338-E1</t>
  </si>
  <si>
    <t>G-REQ-04338-E2</t>
  </si>
  <si>
    <t>G-REQ-04338-E3</t>
  </si>
  <si>
    <t>G-REQ-04338-E4</t>
  </si>
  <si>
    <t>G-REQ-04339-E1</t>
  </si>
  <si>
    <t>G-REQ-04339-E2</t>
  </si>
  <si>
    <t>G-REQ-04339-E3</t>
  </si>
  <si>
    <t>G-REQ-04339-E4</t>
  </si>
  <si>
    <t>G-REQ-04340-E1</t>
  </si>
  <si>
    <t>G-REQ-04340-E2</t>
  </si>
  <si>
    <t>G-REQ-04340-E3</t>
  </si>
  <si>
    <t>G-REQ-04340-E4</t>
  </si>
  <si>
    <t>G-REQ-04341-E1</t>
  </si>
  <si>
    <t>G-REQ-04341-E2</t>
  </si>
  <si>
    <t>G-REQ-04341-E3</t>
  </si>
  <si>
    <t>G-REQ-04341-E4</t>
  </si>
  <si>
    <t>G-REQ-04342-E1</t>
  </si>
  <si>
    <t>G-REQ-04342-E2</t>
  </si>
  <si>
    <t>G-REQ-04342-E3</t>
  </si>
  <si>
    <t>G-REQ-04342-E4</t>
  </si>
  <si>
    <t>G-REQ-04343-E1</t>
  </si>
  <si>
    <t>G-REQ-04343-E2</t>
  </si>
  <si>
    <t>G-REQ-04343-E3</t>
  </si>
  <si>
    <t>G-REQ-04343-E4</t>
  </si>
  <si>
    <t>G-REQ-04344-E1</t>
  </si>
  <si>
    <t>G-REQ-04344-E2</t>
  </si>
  <si>
    <t>G-REQ-04344-E3</t>
  </si>
  <si>
    <t>G-REQ-04344-E4</t>
  </si>
  <si>
    <t>G-REQ-04345-E1</t>
  </si>
  <si>
    <t>G-REQ-04345-E2</t>
  </si>
  <si>
    <t>G-REQ-04345-E3</t>
  </si>
  <si>
    <t>G-REQ-04345-E4</t>
  </si>
  <si>
    <t>G-REQ-04346-E1</t>
  </si>
  <si>
    <t>G-REQ-04346-E2</t>
  </si>
  <si>
    <t>G-REQ-04346-E3</t>
  </si>
  <si>
    <t>G-REQ-04346-E4</t>
  </si>
  <si>
    <t>G-REQ-04347-E1</t>
  </si>
  <si>
    <t>G-REQ-04347-E2</t>
  </si>
  <si>
    <t>G-REQ-04347-E3</t>
  </si>
  <si>
    <t>G-REQ-04347-E4</t>
  </si>
  <si>
    <t>G-REQ-04348-E1</t>
  </si>
  <si>
    <t>G-REQ-04348-E2</t>
  </si>
  <si>
    <t>G-REQ-04348-E3</t>
  </si>
  <si>
    <t>G-REQ-04348-E4</t>
  </si>
  <si>
    <t>G-REQ-04349-E1</t>
  </si>
  <si>
    <t>G-REQ-04349-E2</t>
  </si>
  <si>
    <t>G-REQ-04349-E3</t>
  </si>
  <si>
    <t>G-REQ-04349-E4</t>
  </si>
  <si>
    <t>G-REQ-04350-E1</t>
  </si>
  <si>
    <t>G-REQ-04350-E2</t>
  </si>
  <si>
    <t>G-REQ-04350-E3</t>
  </si>
  <si>
    <t>G-REQ-04350-E4</t>
  </si>
  <si>
    <t>G-REQ-04351-E1</t>
  </si>
  <si>
    <t>G-REQ-04351-E2</t>
  </si>
  <si>
    <t>G-REQ-04351-E3</t>
  </si>
  <si>
    <t>G-REQ-04351-E4</t>
  </si>
  <si>
    <t>G-REQ-04352-E1</t>
  </si>
  <si>
    <t>G-REQ-04352-E2</t>
  </si>
  <si>
    <t>G-REQ-04352-E3</t>
  </si>
  <si>
    <t>G-REQ-04352-E4</t>
  </si>
  <si>
    <t>G-REQ-04353-E1</t>
  </si>
  <si>
    <t>G-REQ-04353-E2</t>
  </si>
  <si>
    <t>G-REQ-04353-E3</t>
  </si>
  <si>
    <t>G-REQ-04353-E4</t>
  </si>
  <si>
    <t>G-REQ-04354-E1</t>
  </si>
  <si>
    <t>G-REQ-04354-E2</t>
  </si>
  <si>
    <t>G-REQ-04354-E3</t>
  </si>
  <si>
    <t>G-REQ-04354-E4</t>
  </si>
  <si>
    <t>G-REQ-04355-E1</t>
  </si>
  <si>
    <t>G-REQ-04355-E2</t>
  </si>
  <si>
    <t>G-REQ-04355-E3</t>
  </si>
  <si>
    <t>G-REQ-04355-E4</t>
  </si>
  <si>
    <t>G-REQ-04356-E1</t>
  </si>
  <si>
    <t>G-REQ-04356-E2</t>
  </si>
  <si>
    <t>G-REQ-04356-E3</t>
  </si>
  <si>
    <t>G-REQ-04356-E4</t>
  </si>
  <si>
    <t>G-REQ-04357-E1</t>
  </si>
  <si>
    <t>G-REQ-04357-E2</t>
  </si>
  <si>
    <t>G-REQ-04357-E3</t>
  </si>
  <si>
    <t>G-REQ-04357-E4</t>
  </si>
  <si>
    <t>G-REQ-04358-E1</t>
  </si>
  <si>
    <t>SYNTHETIC: Laptop repair; Pending approval; asset G-AST-00097</t>
  </si>
  <si>
    <t>G-REQ-04358-E2</t>
  </si>
  <si>
    <t>SYNTHETIC: Laptop repair; Approved; asset G-AST-00097</t>
  </si>
  <si>
    <t>G-REQ-04358-E3</t>
  </si>
  <si>
    <t>SYNTHETIC: Laptop repair; In progress; asset G-AST-00097</t>
  </si>
  <si>
    <t>G-REQ-04358-E4</t>
  </si>
  <si>
    <t>SYNTHETIC: Laptop repair; Completed; asset G-AST-00097</t>
  </si>
  <si>
    <t>G-REQ-04359-E1</t>
  </si>
  <si>
    <t>G-REQ-04359-E2</t>
  </si>
  <si>
    <t>G-REQ-04359-E3</t>
  </si>
  <si>
    <t>G-REQ-04359-E4</t>
  </si>
  <si>
    <t>G-REQ-04360-E1</t>
  </si>
  <si>
    <t>G-REQ-04360-E2</t>
  </si>
  <si>
    <t>G-REQ-04360-E3</t>
  </si>
  <si>
    <t>G-REQ-04360-E4</t>
  </si>
  <si>
    <t>G-REQ-04361-E1</t>
  </si>
  <si>
    <t>G-REQ-04361-E2</t>
  </si>
  <si>
    <t>SYNTHETIC: Laptop repair; Rejected; asset G-AST-00239</t>
  </si>
  <si>
    <t>G-REQ-04362-E1</t>
  </si>
  <si>
    <t>G-REQ-04362-E2</t>
  </si>
  <si>
    <t>G-REQ-04362-E3</t>
  </si>
  <si>
    <t>G-REQ-04362-E4</t>
  </si>
  <si>
    <t>G-REQ-04363-E1</t>
  </si>
  <si>
    <t>G-REQ-04363-E2</t>
  </si>
  <si>
    <t>G-REQ-04363-E3</t>
  </si>
  <si>
    <t>G-REQ-04363-E4</t>
  </si>
  <si>
    <t>G-REQ-04364-E1</t>
  </si>
  <si>
    <t>G-REQ-04364-E2</t>
  </si>
  <si>
    <t>G-REQ-04364-E3</t>
  </si>
  <si>
    <t>G-REQ-04364-E4</t>
  </si>
  <si>
    <t>G-REQ-04365-E1</t>
  </si>
  <si>
    <t>G-REQ-04365-E2</t>
  </si>
  <si>
    <t>G-REQ-04365-E3</t>
  </si>
  <si>
    <t>G-REQ-04365-E4</t>
  </si>
  <si>
    <t>G-REQ-04366-E1</t>
  </si>
  <si>
    <t>G-REQ-04366-E2</t>
  </si>
  <si>
    <t>G-REQ-04366-E3</t>
  </si>
  <si>
    <t>G-REQ-04366-E4</t>
  </si>
  <si>
    <t>G-REQ-04367-E1</t>
  </si>
  <si>
    <t>G-REQ-04367-E2</t>
  </si>
  <si>
    <t>G-REQ-04367-E3</t>
  </si>
  <si>
    <t>G-REQ-04367-E4</t>
  </si>
  <si>
    <t>G-REQ-04368-E1</t>
  </si>
  <si>
    <t>SYNTHETIC: Laptop repair; Pending approval; asset G-AST-00145</t>
  </si>
  <si>
    <t>G-REQ-04368-E2</t>
  </si>
  <si>
    <t>SYNTHETIC: Laptop repair; Approved; asset G-AST-00145</t>
  </si>
  <si>
    <t>G-REQ-04368-E3</t>
  </si>
  <si>
    <t>SYNTHETIC: Laptop repair; In progress; asset G-AST-00145</t>
  </si>
  <si>
    <t>G-REQ-04368-E4</t>
  </si>
  <si>
    <t>SYNTHETIC: Laptop repair; Completed; asset G-AST-00145</t>
  </si>
  <si>
    <t>G-REQ-04369-E1</t>
  </si>
  <si>
    <t>G-REQ-04369-E2</t>
  </si>
  <si>
    <t>G-REQ-04369-E3</t>
  </si>
  <si>
    <t>G-REQ-04369-E4</t>
  </si>
  <si>
    <t>G-REQ-04370-E1</t>
  </si>
  <si>
    <t>G-REQ-04370-E2</t>
  </si>
  <si>
    <t>G-REQ-04370-E3</t>
  </si>
  <si>
    <t>G-REQ-04370-E4</t>
  </si>
  <si>
    <t>G-REQ-04371-E1</t>
  </si>
  <si>
    <t>G-REQ-04371-E2</t>
  </si>
  <si>
    <t>SYNTHETIC: Laptop return; Rejected; asset G-AST-00526</t>
  </si>
  <si>
    <t>G-REQ-04372-E1</t>
  </si>
  <si>
    <t>G-REQ-04372-E2</t>
  </si>
  <si>
    <t>SYNTHETIC: Laptop return; Cancelled; asset G-AST-00179</t>
  </si>
  <si>
    <t>G-REQ-04373-E1</t>
  </si>
  <si>
    <t>G-REQ-04373-E2</t>
  </si>
  <si>
    <t>G-REQ-04373-E3</t>
  </si>
  <si>
    <t>G-REQ-04373-E4</t>
  </si>
  <si>
    <t>G-REQ-04374-E1</t>
  </si>
  <si>
    <t>G-REQ-04374-E2</t>
  </si>
  <si>
    <t>G-REQ-04374-E3</t>
  </si>
  <si>
    <t>G-REQ-04374-E4</t>
  </si>
  <si>
    <t>G-REQ-04375-E1</t>
  </si>
  <si>
    <t>G-REQ-04375-E2</t>
  </si>
  <si>
    <t>G-REQ-04375-E3</t>
  </si>
  <si>
    <t>G-REQ-04375-E4</t>
  </si>
  <si>
    <t>G-REQ-04376-E1</t>
  </si>
  <si>
    <t>G-REQ-04376-E2</t>
  </si>
  <si>
    <t>G-REQ-04376-E3</t>
  </si>
  <si>
    <t>G-REQ-04376-E4</t>
  </si>
  <si>
    <t>G-REQ-04377-E1</t>
  </si>
  <si>
    <t>G-REQ-04377-E2</t>
  </si>
  <si>
    <t>SYNTHETIC: Laptop repair; Approved; asset G-AST-00207</t>
  </si>
  <si>
    <t>G-REQ-04377-E3</t>
  </si>
  <si>
    <t>SYNTHETIC: Laptop repair; In progress; asset G-AST-00207</t>
  </si>
  <si>
    <t>G-REQ-04377-E4</t>
  </si>
  <si>
    <t>SYNTHETIC: Laptop repair; Completed; asset G-AST-00207</t>
  </si>
  <si>
    <t>G-REQ-04378-E1</t>
  </si>
  <si>
    <t>G-REQ-04378-E2</t>
  </si>
  <si>
    <t>G-REQ-04378-E3</t>
  </si>
  <si>
    <t>G-REQ-04378-E4</t>
  </si>
  <si>
    <t>G-REQ-04379-E1</t>
  </si>
  <si>
    <t>G-REQ-04379-E2</t>
  </si>
  <si>
    <t>G-REQ-04379-E3</t>
  </si>
  <si>
    <t>G-REQ-04379-E4</t>
  </si>
  <si>
    <t>G-REQ-04380-E1</t>
  </si>
  <si>
    <t>G-REQ-04380-E2</t>
  </si>
  <si>
    <t>G-REQ-04380-E3</t>
  </si>
  <si>
    <t>G-REQ-04380-E4</t>
  </si>
  <si>
    <t>G-REQ-04381-E1</t>
  </si>
  <si>
    <t>G-REQ-04381-E2</t>
  </si>
  <si>
    <t>G-REQ-04381-E3</t>
  </si>
  <si>
    <t>G-REQ-04381-E4</t>
  </si>
  <si>
    <t>G-REQ-04382-E1</t>
  </si>
  <si>
    <t>G-REQ-04382-E2</t>
  </si>
  <si>
    <t>G-REQ-04382-E3</t>
  </si>
  <si>
    <t>G-REQ-04382-E4</t>
  </si>
  <si>
    <t>G-REQ-04383-E1</t>
  </si>
  <si>
    <t>G-REQ-04383-E2</t>
  </si>
  <si>
    <t>G-REQ-04383-E3</t>
  </si>
  <si>
    <t>G-REQ-04383-E4</t>
  </si>
  <si>
    <t>G-REQ-04384-E1</t>
  </si>
  <si>
    <t>G-REQ-04384-E2</t>
  </si>
  <si>
    <t>G-REQ-04384-E3</t>
  </si>
  <si>
    <t>G-REQ-04384-E4</t>
  </si>
  <si>
    <t>G-REQ-04385-E1</t>
  </si>
  <si>
    <t>G-REQ-04385-E2</t>
  </si>
  <si>
    <t>G-REQ-04385-E3</t>
  </si>
  <si>
    <t>G-REQ-04385-E4</t>
  </si>
  <si>
    <t>G-REQ-04386-E1</t>
  </si>
  <si>
    <t>SYNTHETIC: Laptop repair; Pending approval; asset G-AST-00199</t>
  </si>
  <si>
    <t>G-REQ-04386-E2</t>
  </si>
  <si>
    <t>SYNTHETIC: Laptop repair; Approved; asset G-AST-00199</t>
  </si>
  <si>
    <t>G-REQ-04386-E3</t>
  </si>
  <si>
    <t>SYNTHETIC: Laptop repair; In progress; asset G-AST-00199</t>
  </si>
  <si>
    <t>G-REQ-04386-E4</t>
  </si>
  <si>
    <t>SYNTHETIC: Laptop repair; Completed; asset G-AST-00199</t>
  </si>
  <si>
    <t>G-REQ-04387-E1</t>
  </si>
  <si>
    <t>G-REQ-04387-E2</t>
  </si>
  <si>
    <t>G-REQ-04387-E3</t>
  </si>
  <si>
    <t>G-REQ-04387-E4</t>
  </si>
  <si>
    <t>G-REQ-04388-E1</t>
  </si>
  <si>
    <t>G-REQ-04388-E2</t>
  </si>
  <si>
    <t>G-REQ-04388-E3</t>
  </si>
  <si>
    <t>G-REQ-04388-E4</t>
  </si>
  <si>
    <t>G-REQ-04389-E1</t>
  </si>
  <si>
    <t>G-REQ-04389-E2</t>
  </si>
  <si>
    <t>G-REQ-04389-E3</t>
  </si>
  <si>
    <t>G-REQ-04389-E4</t>
  </si>
  <si>
    <t>G-REQ-04390-E1</t>
  </si>
  <si>
    <t>G-REQ-04390-E2</t>
  </si>
  <si>
    <t>G-REQ-04390-E3</t>
  </si>
  <si>
    <t>G-REQ-04390-E4</t>
  </si>
  <si>
    <t>G-REQ-04391-E1</t>
  </si>
  <si>
    <t>G-REQ-04391-E2</t>
  </si>
  <si>
    <t>G-REQ-04391-E3</t>
  </si>
  <si>
    <t>G-REQ-04391-E4</t>
  </si>
  <si>
    <t>G-REQ-04392-E1</t>
  </si>
  <si>
    <t>G-REQ-04392-E2</t>
  </si>
  <si>
    <t>G-REQ-04393-E1</t>
  </si>
  <si>
    <t>G-REQ-04393-E2</t>
  </si>
  <si>
    <t>G-REQ-04393-E3</t>
  </si>
  <si>
    <t>G-REQ-04393-E4</t>
  </si>
  <si>
    <t>G-REQ-04394-E1</t>
  </si>
  <si>
    <t>SYNTHETIC: Laptop repair; Pending approval; asset G-AST-00228</t>
  </si>
  <si>
    <t>G-REQ-04394-E2</t>
  </si>
  <si>
    <t>SYNTHETIC: Laptop repair; Approved; asset G-AST-00228</t>
  </si>
  <si>
    <t>G-REQ-04394-E3</t>
  </si>
  <si>
    <t>SYNTHETIC: Laptop repair; In progress; asset G-AST-00228</t>
  </si>
  <si>
    <t>G-REQ-04394-E4</t>
  </si>
  <si>
    <t>SYNTHETIC: Laptop repair; Completed; asset G-AST-00228</t>
  </si>
  <si>
    <t>G-REQ-04395-E1</t>
  </si>
  <si>
    <t>G-REQ-04395-E2</t>
  </si>
  <si>
    <t>G-REQ-04395-E3</t>
  </si>
  <si>
    <t>G-REQ-04395-E4</t>
  </si>
  <si>
    <t>G-REQ-04396-E1</t>
  </si>
  <si>
    <t>G-REQ-04396-E2</t>
  </si>
  <si>
    <t>G-REQ-04396-E3</t>
  </si>
  <si>
    <t>G-REQ-04396-E4</t>
  </si>
  <si>
    <t>G-REQ-04397-E1</t>
  </si>
  <si>
    <t>SYNTHETIC: Laptop repair; Pending approval; asset G-AST-00504</t>
  </si>
  <si>
    <t>G-REQ-04397-E2</t>
  </si>
  <si>
    <t>SYNTHETIC: Laptop repair; Rejected; asset G-AST-00504</t>
  </si>
  <si>
    <t>G-REQ-04398-E1</t>
  </si>
  <si>
    <t>G-REQ-04398-E2</t>
  </si>
  <si>
    <t>G-REQ-04398-E3</t>
  </si>
  <si>
    <t>G-REQ-04398-E4</t>
  </si>
  <si>
    <t>G-REQ-04399-E1</t>
  </si>
  <si>
    <t>SYNTHETIC: Laptop repair; Pending approval; asset G-AST-00122</t>
  </si>
  <si>
    <t>G-REQ-04399-E2</t>
  </si>
  <si>
    <t>SYNTHETIC: Laptop repair; Approved; asset G-AST-00122</t>
  </si>
  <si>
    <t>G-REQ-04399-E3</t>
  </si>
  <si>
    <t>SYNTHETIC: Laptop repair; In progress; asset G-AST-00122</t>
  </si>
  <si>
    <t>G-REQ-04399-E4</t>
  </si>
  <si>
    <t>SYNTHETIC: Laptop repair; Completed; asset G-AST-00122</t>
  </si>
  <si>
    <t>G-REQ-04400-E1</t>
  </si>
  <si>
    <t>G-REQ-04400-E2</t>
  </si>
  <si>
    <t>G-REQ-04400-E3</t>
  </si>
  <si>
    <t>G-REQ-04400-E4</t>
  </si>
  <si>
    <t>G-REQ-04401-E1</t>
  </si>
  <si>
    <t>G-REQ-04401-E2</t>
  </si>
  <si>
    <t>G-REQ-04401-E3</t>
  </si>
  <si>
    <t>G-REQ-04401-E4</t>
  </si>
  <si>
    <t>G-REQ-04402-E1</t>
  </si>
  <si>
    <t>G-REQ-04402-E2</t>
  </si>
  <si>
    <t>G-REQ-04403-E1</t>
  </si>
  <si>
    <t>G-REQ-04403-E2</t>
  </si>
  <si>
    <t>G-REQ-04403-E3</t>
  </si>
  <si>
    <t>G-REQ-04403-E4</t>
  </si>
  <si>
    <t>G-REQ-04404-E1</t>
  </si>
  <si>
    <t>G-REQ-04404-E2</t>
  </si>
  <si>
    <t>G-REQ-04404-E3</t>
  </si>
  <si>
    <t>G-REQ-04404-E4</t>
  </si>
  <si>
    <t>G-REQ-04405-E1</t>
  </si>
  <si>
    <t>G-REQ-04405-E2</t>
  </si>
  <si>
    <t>G-REQ-04405-E3</t>
  </si>
  <si>
    <t>G-REQ-04405-E4</t>
  </si>
  <si>
    <t>G-REQ-04406-E1</t>
  </si>
  <si>
    <t>G-REQ-04406-E2</t>
  </si>
  <si>
    <t>G-REQ-04406-E3</t>
  </si>
  <si>
    <t>G-REQ-04406-E4</t>
  </si>
  <si>
    <t>G-REQ-04407-E1</t>
  </si>
  <si>
    <t>G-REQ-04407-E2</t>
  </si>
  <si>
    <t>G-REQ-04407-E3</t>
  </si>
  <si>
    <t>G-REQ-04407-E4</t>
  </si>
  <si>
    <t>G-REQ-04408-E1</t>
  </si>
  <si>
    <t>G-REQ-04408-E2</t>
  </si>
  <si>
    <t>G-REQ-04408-E3</t>
  </si>
  <si>
    <t>G-REQ-04408-E4</t>
  </si>
  <si>
    <t>G-REQ-04409-E1</t>
  </si>
  <si>
    <t>G-REQ-04409-E2</t>
  </si>
  <si>
    <t>G-REQ-04409-E3</t>
  </si>
  <si>
    <t>G-REQ-04409-E4</t>
  </si>
  <si>
    <t>G-REQ-04410-E1</t>
  </si>
  <si>
    <t>G-REQ-04410-E2</t>
  </si>
  <si>
    <t>G-REQ-04410-E3</t>
  </si>
  <si>
    <t>G-REQ-04410-E4</t>
  </si>
  <si>
    <t>G-REQ-04411-E1</t>
  </si>
  <si>
    <t>SYNTHETIC: Laptop repair; Pending approval; asset G-AST-00206</t>
  </si>
  <si>
    <t>G-REQ-04411-E2</t>
  </si>
  <si>
    <t>SYNTHETIC: Laptop repair; Approved; asset G-AST-00206</t>
  </si>
  <si>
    <t>G-REQ-04411-E3</t>
  </si>
  <si>
    <t>SYNTHETIC: Laptop repair; In progress; asset G-AST-00206</t>
  </si>
  <si>
    <t>G-REQ-04411-E4</t>
  </si>
  <si>
    <t>SYNTHETIC: Laptop repair; Completed; asset G-AST-00206</t>
  </si>
  <si>
    <t>G-REQ-04412-E1</t>
  </si>
  <si>
    <t>G-REQ-04412-E2</t>
  </si>
  <si>
    <t>G-REQ-04413-E1</t>
  </si>
  <si>
    <t>G-REQ-04413-E2</t>
  </si>
  <si>
    <t>G-REQ-04413-E3</t>
  </si>
  <si>
    <t>G-REQ-04413-E4</t>
  </si>
  <si>
    <t>G-REQ-04414-E1</t>
  </si>
  <si>
    <t>G-REQ-04414-E2</t>
  </si>
  <si>
    <t>G-REQ-04414-E3</t>
  </si>
  <si>
    <t>G-REQ-04414-E4</t>
  </si>
  <si>
    <t>G-REQ-04415-E1</t>
  </si>
  <si>
    <t>G-REQ-04415-E2</t>
  </si>
  <si>
    <t>G-REQ-04415-E3</t>
  </si>
  <si>
    <t>G-REQ-04415-E4</t>
  </si>
  <si>
    <t>G-REQ-04416-E1</t>
  </si>
  <si>
    <t>G-REQ-04416-E2</t>
  </si>
  <si>
    <t>G-REQ-04417-E1</t>
  </si>
  <si>
    <t>G-REQ-04417-E2</t>
  </si>
  <si>
    <t>G-REQ-04417-E3</t>
  </si>
  <si>
    <t>G-REQ-04417-E4</t>
  </si>
  <si>
    <t>G-REQ-04418-E1</t>
  </si>
  <si>
    <t>G-REQ-04418-E2</t>
  </si>
  <si>
    <t>G-REQ-04418-E3</t>
  </si>
  <si>
    <t>G-REQ-04418-E4</t>
  </si>
  <si>
    <t>G-REQ-04419-E1</t>
  </si>
  <si>
    <t>G-REQ-04419-E2</t>
  </si>
  <si>
    <t>G-REQ-04419-E3</t>
  </si>
  <si>
    <t>G-REQ-04419-E4</t>
  </si>
  <si>
    <t>G-REQ-04420-E1</t>
  </si>
  <si>
    <t>G-REQ-04420-E2</t>
  </si>
  <si>
    <t>G-REQ-04420-E3</t>
  </si>
  <si>
    <t>G-REQ-04420-E4</t>
  </si>
  <si>
    <t>G-REQ-04421-E1</t>
  </si>
  <si>
    <t>G-REQ-04421-E2</t>
  </si>
  <si>
    <t>G-REQ-04421-E3</t>
  </si>
  <si>
    <t>G-REQ-04421-E4</t>
  </si>
  <si>
    <t>G-REQ-04422-E1</t>
  </si>
  <si>
    <t>G-REQ-04422-E2</t>
  </si>
  <si>
    <t>G-REQ-04422-E3</t>
  </si>
  <si>
    <t>G-REQ-04422-E4</t>
  </si>
  <si>
    <t>G-REQ-04423-E1</t>
  </si>
  <si>
    <t>G-REQ-04423-E2</t>
  </si>
  <si>
    <t>G-REQ-04423-E3</t>
  </si>
  <si>
    <t>G-REQ-04423-E4</t>
  </si>
  <si>
    <t>G-REQ-04424-E1</t>
  </si>
  <si>
    <t>G-REQ-04424-E2</t>
  </si>
  <si>
    <t>G-REQ-04424-E3</t>
  </si>
  <si>
    <t>G-REQ-04424-E4</t>
  </si>
  <si>
    <t>G-REQ-04425-E1</t>
  </si>
  <si>
    <t>G-REQ-04425-E2</t>
  </si>
  <si>
    <t>G-REQ-04425-E3</t>
  </si>
  <si>
    <t>G-REQ-04425-E4</t>
  </si>
  <si>
    <t>G-REQ-04426-E1</t>
  </si>
  <si>
    <t>G-REQ-04426-E2</t>
  </si>
  <si>
    <t>SYNTHETIC: Laptop return; Rejected; asset G-AST-00021</t>
  </si>
  <si>
    <t>G-REQ-04427-E1</t>
  </si>
  <si>
    <t>G-REQ-04427-E2</t>
  </si>
  <si>
    <t>G-REQ-04427-E3</t>
  </si>
  <si>
    <t>G-REQ-04427-E4</t>
  </si>
  <si>
    <t>G-REQ-04428-E1</t>
  </si>
  <si>
    <t>G-REQ-04428-E2</t>
  </si>
  <si>
    <t>G-REQ-04428-E3</t>
  </si>
  <si>
    <t>G-REQ-04428-E4</t>
  </si>
  <si>
    <t>G-REQ-04429-E1</t>
  </si>
  <si>
    <t>G-REQ-04429-E2</t>
  </si>
  <si>
    <t>G-REQ-04429-E3</t>
  </si>
  <si>
    <t>G-REQ-04429-E4</t>
  </si>
  <si>
    <t>G-REQ-04430-E1</t>
  </si>
  <si>
    <t>G-REQ-04430-E2</t>
  </si>
  <si>
    <t>SYNTHETIC: Laptop return; Rejected; asset G-AST-00208</t>
  </si>
  <si>
    <t>G-REQ-04431-E1</t>
  </si>
  <si>
    <t>G-REQ-04431-E2</t>
  </si>
  <si>
    <t>G-REQ-04431-E3</t>
  </si>
  <si>
    <t>G-REQ-04431-E4</t>
  </si>
  <si>
    <t>G-REQ-04432-E1</t>
  </si>
  <si>
    <t>G-REQ-04432-E2</t>
  </si>
  <si>
    <t>G-REQ-04432-E3</t>
  </si>
  <si>
    <t>G-REQ-04432-E4</t>
  </si>
  <si>
    <t>G-REQ-04433-E1</t>
  </si>
  <si>
    <t>G-REQ-04433-E2</t>
  </si>
  <si>
    <t>G-REQ-04433-E3</t>
  </si>
  <si>
    <t>G-REQ-04433-E4</t>
  </si>
  <si>
    <t>G-REQ-04434-E1</t>
  </si>
  <si>
    <t>G-REQ-04434-E2</t>
  </si>
  <si>
    <t>G-REQ-04434-E3</t>
  </si>
  <si>
    <t>G-REQ-04434-E4</t>
  </si>
  <si>
    <t>G-REQ-04435-E1</t>
  </si>
  <si>
    <t>G-REQ-04435-E2</t>
  </si>
  <si>
    <t>G-REQ-04435-E3</t>
  </si>
  <si>
    <t>G-REQ-04435-E4</t>
  </si>
  <si>
    <t>G-REQ-04436-E1</t>
  </si>
  <si>
    <t>G-REQ-04436-E2</t>
  </si>
  <si>
    <t>G-REQ-04436-E3</t>
  </si>
  <si>
    <t>G-REQ-04436-E4</t>
  </si>
  <si>
    <t>G-REQ-04437-E1</t>
  </si>
  <si>
    <t>G-REQ-04437-E2</t>
  </si>
  <si>
    <t>G-REQ-04437-E3</t>
  </si>
  <si>
    <t>G-REQ-04437-E4</t>
  </si>
  <si>
    <t>G-REQ-04438-E1</t>
  </si>
  <si>
    <t>G-REQ-04438-E2</t>
  </si>
  <si>
    <t>SYNTHETIC: Laptop return; Rejected; asset G-AST-00504</t>
  </si>
  <si>
    <t>G-REQ-04439-E1</t>
  </si>
  <si>
    <t>G-REQ-04439-E2</t>
  </si>
  <si>
    <t>G-REQ-04439-E3</t>
  </si>
  <si>
    <t>G-REQ-04439-E4</t>
  </si>
  <si>
    <t>G-REQ-04440-E1</t>
  </si>
  <si>
    <t>G-REQ-04440-E2</t>
  </si>
  <si>
    <t>G-REQ-04440-E3</t>
  </si>
  <si>
    <t>G-REQ-04440-E4</t>
  </si>
  <si>
    <t>G-REQ-04441-E1</t>
  </si>
  <si>
    <t>G-REQ-04441-E2</t>
  </si>
  <si>
    <t>G-REQ-04441-E3</t>
  </si>
  <si>
    <t>G-REQ-04441-E4</t>
  </si>
  <si>
    <t>G-REQ-04442-E1</t>
  </si>
  <si>
    <t>G-REQ-04442-E2</t>
  </si>
  <si>
    <t>G-REQ-04442-E3</t>
  </si>
  <si>
    <t>G-REQ-04442-E4</t>
  </si>
  <si>
    <t>G-REQ-04443-E1</t>
  </si>
  <si>
    <t>G-REQ-04443-E2</t>
  </si>
  <si>
    <t>G-REQ-04443-E3</t>
  </si>
  <si>
    <t>G-REQ-04443-E4</t>
  </si>
  <si>
    <t>G-REQ-04444-E1</t>
  </si>
  <si>
    <t>G-REQ-04444-E2</t>
  </si>
  <si>
    <t>G-REQ-04444-E3</t>
  </si>
  <si>
    <t>G-REQ-04444-E4</t>
  </si>
  <si>
    <t>G-REQ-04445-E1</t>
  </si>
  <si>
    <t>G-REQ-04445-E2</t>
  </si>
  <si>
    <t>G-REQ-04445-E3</t>
  </si>
  <si>
    <t>G-REQ-04445-E4</t>
  </si>
  <si>
    <t>G-REQ-04446-E1</t>
  </si>
  <si>
    <t>G-REQ-04446-E2</t>
  </si>
  <si>
    <t>G-REQ-04446-E3</t>
  </si>
  <si>
    <t>G-REQ-04446-E4</t>
  </si>
  <si>
    <t>G-REQ-04447-E1</t>
  </si>
  <si>
    <t>G-REQ-04447-E2</t>
  </si>
  <si>
    <t>G-REQ-04447-E3</t>
  </si>
  <si>
    <t>G-REQ-04447-E4</t>
  </si>
  <si>
    <t>G-REQ-04448-E1</t>
  </si>
  <si>
    <t>G-REQ-04448-E2</t>
  </si>
  <si>
    <t>G-REQ-04448-E3</t>
  </si>
  <si>
    <t>G-REQ-04448-E4</t>
  </si>
  <si>
    <t>G-REQ-04449-E1</t>
  </si>
  <si>
    <t>G-REQ-04449-E2</t>
  </si>
  <si>
    <t>G-REQ-04449-E3</t>
  </si>
  <si>
    <t>G-REQ-04449-E4</t>
  </si>
  <si>
    <t>G-REQ-04450-E1</t>
  </si>
  <si>
    <t>G-REQ-04450-E2</t>
  </si>
  <si>
    <t>G-REQ-04450-E3</t>
  </si>
  <si>
    <t>G-REQ-04450-E4</t>
  </si>
  <si>
    <t>G-REQ-04451-E1</t>
  </si>
  <si>
    <t>G-REQ-04451-E2</t>
  </si>
  <si>
    <t>G-REQ-04452-E1</t>
  </si>
  <si>
    <t>G-REQ-04452-E2</t>
  </si>
  <si>
    <t>G-REQ-04452-E3</t>
  </si>
  <si>
    <t>G-REQ-04452-E4</t>
  </si>
  <si>
    <t>G-REQ-04453-E1</t>
  </si>
  <si>
    <t>G-REQ-04453-E2</t>
  </si>
  <si>
    <t>G-REQ-04453-E3</t>
  </si>
  <si>
    <t>G-REQ-04453-E4</t>
  </si>
  <si>
    <t>G-REQ-04454-E1</t>
  </si>
  <si>
    <t>G-REQ-04454-E2</t>
  </si>
  <si>
    <t>G-REQ-04454-E3</t>
  </si>
  <si>
    <t>G-REQ-04454-E4</t>
  </si>
  <si>
    <t>G-REQ-04455-E1</t>
  </si>
  <si>
    <t>G-REQ-04455-E2</t>
  </si>
  <si>
    <t>G-REQ-04455-E3</t>
  </si>
  <si>
    <t>G-REQ-04455-E4</t>
  </si>
  <si>
    <t>G-REQ-04456-E1</t>
  </si>
  <si>
    <t>G-REQ-04456-E2</t>
  </si>
  <si>
    <t>G-REQ-04456-E3</t>
  </si>
  <si>
    <t>G-REQ-04456-E4</t>
  </si>
  <si>
    <t>G-REQ-04457-E1</t>
  </si>
  <si>
    <t>G-REQ-04457-E2</t>
  </si>
  <si>
    <t>G-REQ-04457-E3</t>
  </si>
  <si>
    <t>G-REQ-04457-E4</t>
  </si>
  <si>
    <t>G-REQ-04458-E1</t>
  </si>
  <si>
    <t>G-REQ-04458-E2</t>
  </si>
  <si>
    <t>G-REQ-04458-E3</t>
  </si>
  <si>
    <t>G-REQ-04458-E4</t>
  </si>
  <si>
    <t>G-REQ-04459-E1</t>
  </si>
  <si>
    <t>G-REQ-04459-E2</t>
  </si>
  <si>
    <t>G-REQ-04459-E3</t>
  </si>
  <si>
    <t>G-REQ-04459-E4</t>
  </si>
  <si>
    <t>G-REQ-04460-E1</t>
  </si>
  <si>
    <t>G-REQ-04460-E2</t>
  </si>
  <si>
    <t>G-REQ-04461-E1</t>
  </si>
  <si>
    <t>G-REQ-04461-E2</t>
  </si>
  <si>
    <t>G-REQ-04461-E3</t>
  </si>
  <si>
    <t>G-REQ-04461-E4</t>
  </si>
  <si>
    <t>G-REQ-04462-E1</t>
  </si>
  <si>
    <t>G-REQ-04462-E2</t>
  </si>
  <si>
    <t>G-REQ-04462-E3</t>
  </si>
  <si>
    <t>G-REQ-04462-E4</t>
  </si>
  <si>
    <t>G-REQ-04463-E1</t>
  </si>
  <si>
    <t>G-REQ-04463-E2</t>
  </si>
  <si>
    <t>G-REQ-04463-E3</t>
  </si>
  <si>
    <t>G-REQ-04463-E4</t>
  </si>
  <si>
    <t>G-REQ-04464-E1</t>
  </si>
  <si>
    <t>G-REQ-04464-E2</t>
  </si>
  <si>
    <t>G-REQ-04464-E3</t>
  </si>
  <si>
    <t>G-REQ-04464-E4</t>
  </si>
  <si>
    <t>G-REQ-04465-E1</t>
  </si>
  <si>
    <t>G-REQ-04465-E2</t>
  </si>
  <si>
    <t>SYNTHETIC: Laptop repair; Approved; asset G-AST-00481</t>
  </si>
  <si>
    <t>G-REQ-04465-E3</t>
  </si>
  <si>
    <t>SYNTHETIC: Laptop repair; In progress; asset G-AST-00481</t>
  </si>
  <si>
    <t>G-REQ-04465-E4</t>
  </si>
  <si>
    <t>SYNTHETIC: Laptop repair; Completed; asset G-AST-00481</t>
  </si>
  <si>
    <t>G-REQ-04466-E1</t>
  </si>
  <si>
    <t>SYNTHETIC: Laptop repair; Pending approval; asset G-AST-00216</t>
  </si>
  <si>
    <t>G-REQ-04466-E2</t>
  </si>
  <si>
    <t>SYNTHETIC: Laptop repair; Approved; asset G-AST-00216</t>
  </si>
  <si>
    <t>G-REQ-04466-E3</t>
  </si>
  <si>
    <t>SYNTHETIC: Laptop repair; In progress; asset G-AST-00216</t>
  </si>
  <si>
    <t>G-REQ-04466-E4</t>
  </si>
  <si>
    <t>SYNTHETIC: Laptop repair; Completed; asset G-AST-00216</t>
  </si>
  <si>
    <t>G-REQ-04467-E1</t>
  </si>
  <si>
    <t>G-REQ-04467-E2</t>
  </si>
  <si>
    <t>G-REQ-04467-E3</t>
  </si>
  <si>
    <t>G-REQ-04467-E4</t>
  </si>
  <si>
    <t>G-REQ-04468-E1</t>
  </si>
  <si>
    <t>G-REQ-04468-E2</t>
  </si>
  <si>
    <t>G-REQ-04468-E3</t>
  </si>
  <si>
    <t>G-REQ-04468-E4</t>
  </si>
  <si>
    <t>G-REQ-04469-E1</t>
  </si>
  <si>
    <t>G-REQ-04469-E2</t>
  </si>
  <si>
    <t>G-REQ-04469-E3</t>
  </si>
  <si>
    <t>G-REQ-04469-E4</t>
  </si>
  <si>
    <t>G-REQ-04470-E1</t>
  </si>
  <si>
    <t>G-REQ-04470-E2</t>
  </si>
  <si>
    <t>G-REQ-04470-E3</t>
  </si>
  <si>
    <t>G-REQ-04470-E4</t>
  </si>
  <si>
    <t>G-REQ-04471-E1</t>
  </si>
  <si>
    <t>G-REQ-04471-E2</t>
  </si>
  <si>
    <t>G-REQ-04471-E3</t>
  </si>
  <si>
    <t>G-REQ-04471-E4</t>
  </si>
  <si>
    <t>G-REQ-04472-E1</t>
  </si>
  <si>
    <t>G-REQ-04472-E2</t>
  </si>
  <si>
    <t>G-REQ-04472-E3</t>
  </si>
  <si>
    <t>G-REQ-04472-E4</t>
  </si>
  <si>
    <t>G-REQ-04473-E1</t>
  </si>
  <si>
    <t>G-REQ-04473-E2</t>
  </si>
  <si>
    <t>G-REQ-04473-E3</t>
  </si>
  <si>
    <t>G-REQ-04473-E4</t>
  </si>
  <si>
    <t>G-REQ-04474-E1</t>
  </si>
  <si>
    <t>G-REQ-04474-E2</t>
  </si>
  <si>
    <t>G-REQ-04474-E3</t>
  </si>
  <si>
    <t>G-REQ-04474-E4</t>
  </si>
  <si>
    <t>G-REQ-04475-E1</t>
  </si>
  <si>
    <t>G-REQ-04475-E2</t>
  </si>
  <si>
    <t>G-REQ-04475-E3</t>
  </si>
  <si>
    <t>G-REQ-04475-E4</t>
  </si>
  <si>
    <t>G-REQ-04476-E1</t>
  </si>
  <si>
    <t>G-REQ-04476-E2</t>
  </si>
  <si>
    <t>G-REQ-04476-E3</t>
  </si>
  <si>
    <t>G-REQ-04476-E4</t>
  </si>
  <si>
    <t>G-REQ-04477-E1</t>
  </si>
  <si>
    <t>G-REQ-04477-E2</t>
  </si>
  <si>
    <t>G-REQ-04477-E3</t>
  </si>
  <si>
    <t>G-REQ-04477-E4</t>
  </si>
  <si>
    <t>G-REQ-04478-E1</t>
  </si>
  <si>
    <t>G-REQ-04478-E2</t>
  </si>
  <si>
    <t>SYNTHETIC: Laptop repair; Rejected; asset G-AST-00533</t>
  </si>
  <si>
    <t>G-REQ-04479-E1</t>
  </si>
  <si>
    <t>G-REQ-04479-E2</t>
  </si>
  <si>
    <t>G-REQ-04479-E3</t>
  </si>
  <si>
    <t>G-REQ-04479-E4</t>
  </si>
  <si>
    <t>G-REQ-04480-E1</t>
  </si>
  <si>
    <t>G-REQ-04480-E2</t>
  </si>
  <si>
    <t>G-REQ-04480-E3</t>
  </si>
  <si>
    <t>G-REQ-04480-E4</t>
  </si>
  <si>
    <t>G-REQ-04481-E1</t>
  </si>
  <si>
    <t>G-REQ-04481-E2</t>
  </si>
  <si>
    <t>G-REQ-04481-E3</t>
  </si>
  <si>
    <t>G-REQ-04481-E4</t>
  </si>
  <si>
    <t>G-REQ-04482-E1</t>
  </si>
  <si>
    <t>G-REQ-04482-E2</t>
  </si>
  <si>
    <t>G-REQ-04482-E3</t>
  </si>
  <si>
    <t>G-REQ-04482-E4</t>
  </si>
  <si>
    <t>G-REQ-04483-E1</t>
  </si>
  <si>
    <t>G-REQ-04483-E2</t>
  </si>
  <si>
    <t>G-REQ-04483-E3</t>
  </si>
  <si>
    <t>G-REQ-04483-E4</t>
  </si>
  <si>
    <t>G-REQ-04484-E1</t>
  </si>
  <si>
    <t>G-REQ-04484-E2</t>
  </si>
  <si>
    <t>G-REQ-04484-E3</t>
  </si>
  <si>
    <t>G-REQ-04484-E4</t>
  </si>
  <si>
    <t>G-REQ-04485-E1</t>
  </si>
  <si>
    <t>G-REQ-04485-E2</t>
  </si>
  <si>
    <t>G-REQ-04485-E3</t>
  </si>
  <si>
    <t>G-REQ-04485-E4</t>
  </si>
  <si>
    <t>G-REQ-04486-E1</t>
  </si>
  <si>
    <t>G-REQ-04486-E2</t>
  </si>
  <si>
    <t>G-REQ-04486-E3</t>
  </si>
  <si>
    <t>G-REQ-04486-E4</t>
  </si>
  <si>
    <t>G-REQ-04487-E1</t>
  </si>
  <si>
    <t>G-REQ-04487-E2</t>
  </si>
  <si>
    <t>G-REQ-04487-E3</t>
  </si>
  <si>
    <t>G-REQ-04487-E4</t>
  </si>
  <si>
    <t>G-REQ-04488-E1</t>
  </si>
  <si>
    <t>G-REQ-04488-E2</t>
  </si>
  <si>
    <t>G-REQ-04488-E3</t>
  </si>
  <si>
    <t>G-REQ-04488-E4</t>
  </si>
  <si>
    <t>G-REQ-04489-E1</t>
  </si>
  <si>
    <t>G-REQ-04489-E2</t>
  </si>
  <si>
    <t>G-REQ-04489-E3</t>
  </si>
  <si>
    <t>G-REQ-04489-E4</t>
  </si>
  <si>
    <t>G-REQ-04490-E1</t>
  </si>
  <si>
    <t>G-REQ-04490-E2</t>
  </si>
  <si>
    <t>G-REQ-04490-E3</t>
  </si>
  <si>
    <t>G-REQ-04490-E4</t>
  </si>
  <si>
    <t>G-REQ-04491-E1</t>
  </si>
  <si>
    <t>G-REQ-04491-E2</t>
  </si>
  <si>
    <t>G-REQ-04491-E3</t>
  </si>
  <si>
    <t>G-REQ-04491-E4</t>
  </si>
  <si>
    <t>G-REQ-04492-E1</t>
  </si>
  <si>
    <t>G-REQ-04492-E2</t>
  </si>
  <si>
    <t>G-REQ-04492-E3</t>
  </si>
  <si>
    <t>G-REQ-04492-E4</t>
  </si>
  <si>
    <t>G-REQ-04493-E1</t>
  </si>
  <si>
    <t>G-REQ-04493-E2</t>
  </si>
  <si>
    <t>G-REQ-04493-E3</t>
  </si>
  <si>
    <t>G-REQ-04493-E4</t>
  </si>
  <si>
    <t>G-REQ-04494-E1</t>
  </si>
  <si>
    <t>G-REQ-04494-E2</t>
  </si>
  <si>
    <t>G-REQ-04494-E3</t>
  </si>
  <si>
    <t>G-REQ-04494-E4</t>
  </si>
  <si>
    <t>G-REQ-04495-E1</t>
  </si>
  <si>
    <t>G-REQ-04495-E2</t>
  </si>
  <si>
    <t>G-REQ-04495-E3</t>
  </si>
  <si>
    <t>G-REQ-04495-E4</t>
  </si>
  <si>
    <t>G-REQ-04496-E1</t>
  </si>
  <si>
    <t>G-REQ-04496-E2</t>
  </si>
  <si>
    <t>G-REQ-04496-E3</t>
  </si>
  <si>
    <t>G-REQ-04496-E4</t>
  </si>
  <si>
    <t>G-REQ-04497-E1</t>
  </si>
  <si>
    <t>G-REQ-04497-E2</t>
  </si>
  <si>
    <t>G-REQ-04497-E3</t>
  </si>
  <si>
    <t>G-REQ-04497-E4</t>
  </si>
  <si>
    <t>G-REQ-04498-E1</t>
  </si>
  <si>
    <t>G-REQ-04498-E2</t>
  </si>
  <si>
    <t>G-REQ-04498-E3</t>
  </si>
  <si>
    <t>G-REQ-04498-E4</t>
  </si>
  <si>
    <t>G-REQ-04499-E1</t>
  </si>
  <si>
    <t>G-REQ-04499-E2</t>
  </si>
  <si>
    <t>G-REQ-04499-E3</t>
  </si>
  <si>
    <t>G-REQ-04499-E4</t>
  </si>
  <si>
    <t>G-REQ-04500-E1</t>
  </si>
  <si>
    <t>G-REQ-04500-E2</t>
  </si>
  <si>
    <t>G-REQ-04500-E3</t>
  </si>
  <si>
    <t>G-REQ-04500-E4</t>
  </si>
  <si>
    <t>G-REQ-04501-E1</t>
  </si>
  <si>
    <t>G-REQ-04501-E2</t>
  </si>
  <si>
    <t>G-REQ-04501-E3</t>
  </si>
  <si>
    <t>G-REQ-04501-E4</t>
  </si>
  <si>
    <t>G-REQ-04502-E1</t>
  </si>
  <si>
    <t>G-REQ-04502-E2</t>
  </si>
  <si>
    <t>G-REQ-04502-E3</t>
  </si>
  <si>
    <t>G-REQ-04502-E4</t>
  </si>
  <si>
    <t>G-REQ-04503-E1</t>
  </si>
  <si>
    <t>G-REQ-04503-E2</t>
  </si>
  <si>
    <t>G-REQ-04503-E3</t>
  </si>
  <si>
    <t>G-REQ-04503-E4</t>
  </si>
  <si>
    <t>G-REQ-04504-E1</t>
  </si>
  <si>
    <t>G-REQ-04504-E2</t>
  </si>
  <si>
    <t>G-REQ-04504-E3</t>
  </si>
  <si>
    <t>G-REQ-04504-E4</t>
  </si>
  <si>
    <t>G-REQ-04505-E1</t>
  </si>
  <si>
    <t>G-REQ-04505-E2</t>
  </si>
  <si>
    <t>G-REQ-04505-E3</t>
  </si>
  <si>
    <t>G-REQ-04505-E4</t>
  </si>
  <si>
    <t>G-REQ-04506-E1</t>
  </si>
  <si>
    <t>G-REQ-04506-E2</t>
  </si>
  <si>
    <t>G-REQ-04506-E3</t>
  </si>
  <si>
    <t>G-REQ-04506-E4</t>
  </si>
  <si>
    <t>G-REQ-04507-E1</t>
  </si>
  <si>
    <t>G-REQ-04507-E2</t>
  </si>
  <si>
    <t>G-REQ-04507-E3</t>
  </si>
  <si>
    <t>G-REQ-04507-E4</t>
  </si>
  <si>
    <t>G-REQ-04508-E1</t>
  </si>
  <si>
    <t>G-REQ-04508-E2</t>
  </si>
  <si>
    <t>SYNTHETIC: Laptop return; Cancelled; asset G-AST-00131</t>
  </si>
  <si>
    <t>G-REQ-04509-E1</t>
  </si>
  <si>
    <t>G-REQ-04509-E2</t>
  </si>
  <si>
    <t>G-REQ-04509-E3</t>
  </si>
  <si>
    <t>G-REQ-04509-E4</t>
  </si>
  <si>
    <t>G-REQ-04510-E1</t>
  </si>
  <si>
    <t>G-REQ-04510-E2</t>
  </si>
  <si>
    <t>G-REQ-04510-E3</t>
  </si>
  <si>
    <t>G-REQ-04510-E4</t>
  </si>
  <si>
    <t>G-REQ-04511-E1</t>
  </si>
  <si>
    <t>G-REQ-04511-E2</t>
  </si>
  <si>
    <t>G-REQ-04511-E3</t>
  </si>
  <si>
    <t>G-REQ-04511-E4</t>
  </si>
  <si>
    <t>G-REQ-04512-E1</t>
  </si>
  <si>
    <t>G-REQ-04512-E2</t>
  </si>
  <si>
    <t>G-REQ-04512-E3</t>
  </si>
  <si>
    <t>G-REQ-04512-E4</t>
  </si>
  <si>
    <t>G-REQ-04513-E1</t>
  </si>
  <si>
    <t>G-REQ-04513-E2</t>
  </si>
  <si>
    <t>G-REQ-04513-E3</t>
  </si>
  <si>
    <t>G-REQ-04513-E4</t>
  </si>
  <si>
    <t>G-REQ-04514-E1</t>
  </si>
  <si>
    <t>G-REQ-04514-E2</t>
  </si>
  <si>
    <t>G-REQ-04514-E3</t>
  </si>
  <si>
    <t>G-REQ-04514-E4</t>
  </si>
  <si>
    <t>G-REQ-04515-E1</t>
  </si>
  <si>
    <t>G-REQ-04515-E2</t>
  </si>
  <si>
    <t>G-REQ-04515-E3</t>
  </si>
  <si>
    <t>G-REQ-04515-E4</t>
  </si>
  <si>
    <t>G-REQ-04516-E1</t>
  </si>
  <si>
    <t>G-REQ-04516-E2</t>
  </si>
  <si>
    <t>G-REQ-04516-E3</t>
  </si>
  <si>
    <t>G-REQ-04516-E4</t>
  </si>
  <si>
    <t>G-REQ-04517-E1</t>
  </si>
  <si>
    <t>G-REQ-04517-E2</t>
  </si>
  <si>
    <t>G-REQ-04517-E3</t>
  </si>
  <si>
    <t>G-REQ-04517-E4</t>
  </si>
  <si>
    <t>G-REQ-04518-E1</t>
  </si>
  <si>
    <t>G-REQ-04518-E2</t>
  </si>
  <si>
    <t>G-REQ-04518-E3</t>
  </si>
  <si>
    <t>G-REQ-04518-E4</t>
  </si>
  <si>
    <t>G-REQ-04519-E1</t>
  </si>
  <si>
    <t>G-REQ-04519-E2</t>
  </si>
  <si>
    <t>G-REQ-04519-E3</t>
  </si>
  <si>
    <t>G-REQ-04519-E4</t>
  </si>
  <si>
    <t>G-REQ-04520-E1</t>
  </si>
  <si>
    <t>G-REQ-04520-E2</t>
  </si>
  <si>
    <t>G-REQ-04520-E3</t>
  </si>
  <si>
    <t>G-REQ-04520-E4</t>
  </si>
  <si>
    <t>G-REQ-04521-E1</t>
  </si>
  <si>
    <t>G-REQ-04521-E2</t>
  </si>
  <si>
    <t>G-REQ-04521-E3</t>
  </si>
  <si>
    <t>G-REQ-04521-E4</t>
  </si>
  <si>
    <t>G-REQ-04522-E1</t>
  </si>
  <si>
    <t>G-REQ-04522-E2</t>
  </si>
  <si>
    <t>G-REQ-04522-E3</t>
  </si>
  <si>
    <t>G-REQ-04522-E4</t>
  </si>
  <si>
    <t>G-REQ-04523-E1</t>
  </si>
  <si>
    <t>G-REQ-04523-E2</t>
  </si>
  <si>
    <t>G-REQ-04524-E1</t>
  </si>
  <si>
    <t>G-REQ-04524-E2</t>
  </si>
  <si>
    <t>G-REQ-04524-E3</t>
  </si>
  <si>
    <t>G-REQ-04524-E4</t>
  </si>
  <si>
    <t>G-REQ-04525-E1</t>
  </si>
  <si>
    <t>G-REQ-04525-E2</t>
  </si>
  <si>
    <t>G-REQ-04525-E3</t>
  </si>
  <si>
    <t>G-REQ-04525-E4</t>
  </si>
  <si>
    <t>G-REQ-04526-E1</t>
  </si>
  <si>
    <t>G-REQ-04526-E2</t>
  </si>
  <si>
    <t>G-REQ-04526-E3</t>
  </si>
  <si>
    <t>G-REQ-04526-E4</t>
  </si>
  <si>
    <t>G-REQ-04527-E1</t>
  </si>
  <si>
    <t>G-REQ-04527-E2</t>
  </si>
  <si>
    <t>G-REQ-04527-E3</t>
  </si>
  <si>
    <t>G-REQ-04527-E4</t>
  </si>
  <si>
    <t>G-REQ-04528-E1</t>
  </si>
  <si>
    <t>G-REQ-04528-E2</t>
  </si>
  <si>
    <t>G-REQ-04528-E3</t>
  </si>
  <si>
    <t>G-REQ-04528-E4</t>
  </si>
  <si>
    <t>G-REQ-04529-E1</t>
  </si>
  <si>
    <t>G-REQ-04529-E2</t>
  </si>
  <si>
    <t>G-REQ-04529-E3</t>
  </si>
  <si>
    <t>G-REQ-04529-E4</t>
  </si>
  <si>
    <t>G-REQ-04530-E1</t>
  </si>
  <si>
    <t>SYNTHETIC: Laptop repair; Pending approval; asset G-AST-00198</t>
  </si>
  <si>
    <t>G-REQ-04530-E2</t>
  </si>
  <si>
    <t>SYNTHETIC: Laptop repair; Approved; asset G-AST-00198</t>
  </si>
  <si>
    <t>G-REQ-04530-E3</t>
  </si>
  <si>
    <t>SYNTHETIC: Laptop repair; In progress; asset G-AST-00198</t>
  </si>
  <si>
    <t>G-REQ-04530-E4</t>
  </si>
  <si>
    <t>SYNTHETIC: Laptop repair; Completed; asset G-AST-00198</t>
  </si>
  <si>
    <t>G-REQ-04531-E1</t>
  </si>
  <si>
    <t>G-REQ-04531-E2</t>
  </si>
  <si>
    <t>SYNTHETIC: Laptop repair; Rejected; asset G-AST-00130</t>
  </si>
  <si>
    <t>G-REQ-04532-E1</t>
  </si>
  <si>
    <t>G-REQ-04532-E2</t>
  </si>
  <si>
    <t>G-REQ-04532-E3</t>
  </si>
  <si>
    <t>G-REQ-04532-E4</t>
  </si>
  <si>
    <t>G-REQ-04533-E1</t>
  </si>
  <si>
    <t>G-REQ-04533-E2</t>
  </si>
  <si>
    <t>G-REQ-04533-E3</t>
  </si>
  <si>
    <t>G-REQ-04533-E4</t>
  </si>
  <si>
    <t>G-REQ-04534-E1</t>
  </si>
  <si>
    <t>G-REQ-04534-E2</t>
  </si>
  <si>
    <t>G-REQ-04534-E3</t>
  </si>
  <si>
    <t>G-REQ-04534-E4</t>
  </si>
  <si>
    <t>G-REQ-04535-E1</t>
  </si>
  <si>
    <t>G-REQ-04535-E2</t>
  </si>
  <si>
    <t>G-REQ-04535-E3</t>
  </si>
  <si>
    <t>G-REQ-04535-E4</t>
  </si>
  <si>
    <t>G-REQ-04536-E1</t>
  </si>
  <si>
    <t>G-REQ-04536-E2</t>
  </si>
  <si>
    <t>G-REQ-04536-E3</t>
  </si>
  <si>
    <t>G-REQ-04536-E4</t>
  </si>
  <si>
    <t>G-REQ-04537-E1</t>
  </si>
  <si>
    <t>G-REQ-04537-E2</t>
  </si>
  <si>
    <t>G-REQ-04537-E3</t>
  </si>
  <si>
    <t>G-REQ-04537-E4</t>
  </si>
  <si>
    <t>G-REQ-04538-E1</t>
  </si>
  <si>
    <t>G-REQ-04538-E2</t>
  </si>
  <si>
    <t>G-REQ-04538-E3</t>
  </si>
  <si>
    <t>G-REQ-04538-E4</t>
  </si>
  <si>
    <t>G-REQ-04539-E1</t>
  </si>
  <si>
    <t>G-REQ-04539-E2</t>
  </si>
  <si>
    <t>G-REQ-04539-E3</t>
  </si>
  <si>
    <t>G-REQ-04539-E4</t>
  </si>
  <si>
    <t>G-REQ-04540-E1</t>
  </si>
  <si>
    <t>SYNTHETIC: Laptop repair; Pending approval; asset G-AST-00249</t>
  </si>
  <si>
    <t>G-REQ-04540-E2</t>
  </si>
  <si>
    <t>SYNTHETIC: Laptop repair; Approved; asset G-AST-00249</t>
  </si>
  <si>
    <t>G-REQ-04540-E3</t>
  </si>
  <si>
    <t>SYNTHETIC: Laptop repair; In progress; asset G-AST-00249</t>
  </si>
  <si>
    <t>G-REQ-04540-E4</t>
  </si>
  <si>
    <t>SYNTHETIC: Laptop repair; Completed; asset G-AST-00249</t>
  </si>
  <si>
    <t>G-REQ-04541-E1</t>
  </si>
  <si>
    <t>G-REQ-04541-E2</t>
  </si>
  <si>
    <t>G-REQ-04542-E1</t>
  </si>
  <si>
    <t>G-REQ-04542-E2</t>
  </si>
  <si>
    <t>G-REQ-04542-E3</t>
  </si>
  <si>
    <t>G-REQ-04542-E4</t>
  </si>
  <si>
    <t>G-REQ-04543-E1</t>
  </si>
  <si>
    <t>G-REQ-04543-E2</t>
  </si>
  <si>
    <t>G-REQ-04543-E3</t>
  </si>
  <si>
    <t>G-REQ-04543-E4</t>
  </si>
  <si>
    <t>G-REQ-04544-E1</t>
  </si>
  <si>
    <t>G-REQ-04544-E2</t>
  </si>
  <si>
    <t>G-REQ-04544-E3</t>
  </si>
  <si>
    <t>G-REQ-04544-E4</t>
  </si>
  <si>
    <t>G-REQ-04545-E1</t>
  </si>
  <si>
    <t>G-REQ-04545-E2</t>
  </si>
  <si>
    <t>G-REQ-04545-E3</t>
  </si>
  <si>
    <t>G-REQ-04545-E4</t>
  </si>
  <si>
    <t>G-REQ-04546-E1</t>
  </si>
  <si>
    <t>G-REQ-04546-E2</t>
  </si>
  <si>
    <t>G-REQ-04546-E3</t>
  </si>
  <si>
    <t>G-REQ-04546-E4</t>
  </si>
  <si>
    <t>G-REQ-04547-E1</t>
  </si>
  <si>
    <t>G-REQ-04547-E2</t>
  </si>
  <si>
    <t>G-REQ-04547-E3</t>
  </si>
  <si>
    <t>G-REQ-04547-E4</t>
  </si>
  <si>
    <t>G-REQ-04548-E1</t>
  </si>
  <si>
    <t>G-REQ-04548-E2</t>
  </si>
  <si>
    <t>G-REQ-04548-E3</t>
  </si>
  <si>
    <t>G-REQ-04548-E4</t>
  </si>
  <si>
    <t>G-REQ-04549-E1</t>
  </si>
  <si>
    <t>G-REQ-04549-E2</t>
  </si>
  <si>
    <t>G-REQ-04549-E3</t>
  </si>
  <si>
    <t>G-REQ-04549-E4</t>
  </si>
  <si>
    <t>G-REQ-04550-E1</t>
  </si>
  <si>
    <t>G-REQ-04550-E2</t>
  </si>
  <si>
    <t>G-REQ-04550-E3</t>
  </si>
  <si>
    <t>G-REQ-04550-E4</t>
  </si>
  <si>
    <t>G-REQ-04551-E1</t>
  </si>
  <si>
    <t>G-REQ-04551-E2</t>
  </si>
  <si>
    <t>G-REQ-04551-E3</t>
  </si>
  <si>
    <t>G-REQ-04551-E4</t>
  </si>
  <si>
    <t>G-REQ-04552-E1</t>
  </si>
  <si>
    <t>G-REQ-04552-E2</t>
  </si>
  <si>
    <t>G-REQ-04552-E3</t>
  </si>
  <si>
    <t>G-REQ-04552-E4</t>
  </si>
  <si>
    <t>G-REQ-04553-E1</t>
  </si>
  <si>
    <t>G-REQ-04553-E2</t>
  </si>
  <si>
    <t>G-REQ-04553-E3</t>
  </si>
  <si>
    <t>G-REQ-04553-E4</t>
  </si>
  <si>
    <t>G-REQ-04554-E1</t>
  </si>
  <si>
    <t>G-REQ-04554-E2</t>
  </si>
  <si>
    <t>G-REQ-04554-E3</t>
  </si>
  <si>
    <t>G-REQ-04554-E4</t>
  </si>
  <si>
    <t>G-REQ-04555-E1</t>
  </si>
  <si>
    <t>G-REQ-04555-E2</t>
  </si>
  <si>
    <t>SYNTHETIC: Laptop repair; Rejected; asset G-AST-00077</t>
  </si>
  <si>
    <t>G-REQ-04556-E1</t>
  </si>
  <si>
    <t>G-REQ-04556-E2</t>
  </si>
  <si>
    <t>G-REQ-04556-E3</t>
  </si>
  <si>
    <t>G-REQ-04556-E4</t>
  </si>
  <si>
    <t>G-REQ-04557-E1</t>
  </si>
  <si>
    <t>G-REQ-04557-E2</t>
  </si>
  <si>
    <t>G-REQ-04557-E3</t>
  </si>
  <si>
    <t>G-REQ-04557-E4</t>
  </si>
  <si>
    <t>G-REQ-04558-E1</t>
  </si>
  <si>
    <t>G-REQ-04558-E2</t>
  </si>
  <si>
    <t>G-REQ-04558-E3</t>
  </si>
  <si>
    <t>G-REQ-04558-E4</t>
  </si>
  <si>
    <t>G-REQ-04559-E1</t>
  </si>
  <si>
    <t>G-REQ-04559-E2</t>
  </si>
  <si>
    <t>G-REQ-04559-E3</t>
  </si>
  <si>
    <t>G-REQ-04559-E4</t>
  </si>
  <si>
    <t>G-REQ-04560-E1</t>
  </si>
  <si>
    <t>G-REQ-04560-E2</t>
  </si>
  <si>
    <t>G-REQ-04560-E3</t>
  </si>
  <si>
    <t>G-REQ-04560-E4</t>
  </si>
  <si>
    <t>G-REQ-04561-E1</t>
  </si>
  <si>
    <t>G-REQ-04561-E2</t>
  </si>
  <si>
    <t>SYNTHETIC: Laptop repair; Cancelled; asset G-AST-00282</t>
  </si>
  <si>
    <t>G-REQ-04562-E1</t>
  </si>
  <si>
    <t>SYNTHETIC: Laptop repair; Pending approval; asset G-AST-00092</t>
  </si>
  <si>
    <t>G-REQ-04562-E2</t>
  </si>
  <si>
    <t>SYNTHETIC: Laptop repair; Cancelled; asset G-AST-00092</t>
  </si>
  <si>
    <t>G-REQ-04563-E1</t>
  </si>
  <si>
    <t>G-REQ-04563-E2</t>
  </si>
  <si>
    <t>G-REQ-04563-E3</t>
  </si>
  <si>
    <t>G-REQ-04563-E4</t>
  </si>
  <si>
    <t>G-REQ-04564-E1</t>
  </si>
  <si>
    <t>G-REQ-04564-E2</t>
  </si>
  <si>
    <t>G-REQ-04564-E3</t>
  </si>
  <si>
    <t>G-REQ-04564-E4</t>
  </si>
  <si>
    <t>G-REQ-04565-E1</t>
  </si>
  <si>
    <t>G-REQ-04565-E2</t>
  </si>
  <si>
    <t>G-REQ-04565-E3</t>
  </si>
  <si>
    <t>G-REQ-04565-E4</t>
  </si>
  <si>
    <t>G-REQ-04566-E1</t>
  </si>
  <si>
    <t>G-REQ-04566-E2</t>
  </si>
  <si>
    <t>G-REQ-04566-E3</t>
  </si>
  <si>
    <t>G-REQ-04566-E4</t>
  </si>
  <si>
    <t>G-REQ-04567-E1</t>
  </si>
  <si>
    <t>G-REQ-04567-E2</t>
  </si>
  <si>
    <t>G-REQ-04567-E3</t>
  </si>
  <si>
    <t>G-REQ-04567-E4</t>
  </si>
  <si>
    <t>G-REQ-04568-E1</t>
  </si>
  <si>
    <t>G-REQ-04568-E2</t>
  </si>
  <si>
    <t>G-REQ-04568-E3</t>
  </si>
  <si>
    <t>G-REQ-04568-E4</t>
  </si>
  <si>
    <t>G-REQ-04569-E1</t>
  </si>
  <si>
    <t>G-REQ-04569-E2</t>
  </si>
  <si>
    <t>G-REQ-04570-E1</t>
  </si>
  <si>
    <t>G-REQ-04570-E2</t>
  </si>
  <si>
    <t>G-REQ-04570-E3</t>
  </si>
  <si>
    <t>G-REQ-04570-E4</t>
  </si>
  <si>
    <t>G-REQ-04571-E1</t>
  </si>
  <si>
    <t>G-REQ-04571-E2</t>
  </si>
  <si>
    <t>G-REQ-04571-E3</t>
  </si>
  <si>
    <t>G-REQ-04571-E4</t>
  </si>
  <si>
    <t>G-REQ-04572-E1</t>
  </si>
  <si>
    <t>G-REQ-04572-E2</t>
  </si>
  <si>
    <t>G-REQ-04572-E3</t>
  </si>
  <si>
    <t>G-REQ-04572-E4</t>
  </si>
  <si>
    <t>G-REQ-04573-E1</t>
  </si>
  <si>
    <t>G-REQ-04573-E2</t>
  </si>
  <si>
    <t>G-REQ-04573-E3</t>
  </si>
  <si>
    <t>G-REQ-04573-E4</t>
  </si>
  <si>
    <t>G-REQ-04574-E1</t>
  </si>
  <si>
    <t>G-REQ-04574-E2</t>
  </si>
  <si>
    <t>G-REQ-04574-E3</t>
  </si>
  <si>
    <t>G-REQ-04574-E4</t>
  </si>
  <si>
    <t>G-REQ-04575-E1</t>
  </si>
  <si>
    <t>G-REQ-04575-E2</t>
  </si>
  <si>
    <t>SYNTHETIC: Laptop repair; Rejected; asset G-AST-00192</t>
  </si>
  <si>
    <t>G-REQ-04576-E1</t>
  </si>
  <si>
    <t>G-REQ-04576-E2</t>
  </si>
  <si>
    <t>G-REQ-04576-E3</t>
  </si>
  <si>
    <t>G-REQ-04576-E4</t>
  </si>
  <si>
    <t>G-REQ-04577-E1</t>
  </si>
  <si>
    <t>G-REQ-04577-E2</t>
  </si>
  <si>
    <t>G-REQ-04577-E3</t>
  </si>
  <si>
    <t>G-REQ-04577-E4</t>
  </si>
  <si>
    <t>G-REQ-04578-E1</t>
  </si>
  <si>
    <t>G-REQ-04578-E2</t>
  </si>
  <si>
    <t>G-REQ-04578-E3</t>
  </si>
  <si>
    <t>G-REQ-04578-E4</t>
  </si>
  <si>
    <t>G-REQ-04579-E1</t>
  </si>
  <si>
    <t>G-REQ-04579-E2</t>
  </si>
  <si>
    <t>G-REQ-04579-E3</t>
  </si>
  <si>
    <t>G-REQ-04579-E4</t>
  </si>
  <si>
    <t>G-REQ-04580-E1</t>
  </si>
  <si>
    <t>G-REQ-04580-E2</t>
  </si>
  <si>
    <t>G-REQ-04580-E3</t>
  </si>
  <si>
    <t>G-REQ-04580-E4</t>
  </si>
  <si>
    <t>G-REQ-04581-E1</t>
  </si>
  <si>
    <t>G-REQ-04581-E2</t>
  </si>
  <si>
    <t>G-REQ-04582-E1</t>
  </si>
  <si>
    <t>G-REQ-04582-E2</t>
  </si>
  <si>
    <t>G-REQ-04582-E3</t>
  </si>
  <si>
    <t>G-REQ-04582-E4</t>
  </si>
  <si>
    <t>G-REQ-04583-E1</t>
  </si>
  <si>
    <t>G-REQ-04583-E2</t>
  </si>
  <si>
    <t>G-REQ-04583-E3</t>
  </si>
  <si>
    <t>G-REQ-04583-E4</t>
  </si>
  <si>
    <t>G-REQ-04584-E1</t>
  </si>
  <si>
    <t>G-REQ-04584-E2</t>
  </si>
  <si>
    <t>G-REQ-04585-E1</t>
  </si>
  <si>
    <t>G-REQ-04585-E2</t>
  </si>
  <si>
    <t>G-REQ-04585-E3</t>
  </si>
  <si>
    <t>G-REQ-04585-E4</t>
  </si>
  <si>
    <t>G-REQ-04586-E1</t>
  </si>
  <si>
    <t>G-REQ-04586-E2</t>
  </si>
  <si>
    <t>G-REQ-04586-E3</t>
  </si>
  <si>
    <t>G-REQ-04586-E4</t>
  </si>
  <si>
    <t>G-REQ-04587-E1</t>
  </si>
  <si>
    <t>G-REQ-04587-E2</t>
  </si>
  <si>
    <t>G-REQ-04587-E3</t>
  </si>
  <si>
    <t>G-REQ-04587-E4</t>
  </si>
  <si>
    <t>G-REQ-04588-E1</t>
  </si>
  <si>
    <t>G-REQ-04588-E2</t>
  </si>
  <si>
    <t>G-REQ-04588-E3</t>
  </si>
  <si>
    <t>G-REQ-04588-E4</t>
  </si>
  <si>
    <t>G-REQ-04589-E1</t>
  </si>
  <si>
    <t>G-REQ-04589-E2</t>
  </si>
  <si>
    <t>G-REQ-04589-E3</t>
  </si>
  <si>
    <t>G-REQ-04589-E4</t>
  </si>
  <si>
    <t>G-REQ-04590-E1</t>
  </si>
  <si>
    <t>G-REQ-04590-E2</t>
  </si>
  <si>
    <t>G-REQ-04590-E3</t>
  </si>
  <si>
    <t>G-REQ-04590-E4</t>
  </si>
  <si>
    <t>G-REQ-04591-E1</t>
  </si>
  <si>
    <t>G-REQ-04591-E2</t>
  </si>
  <si>
    <t>G-REQ-04591-E3</t>
  </si>
  <si>
    <t>G-REQ-04591-E4</t>
  </si>
  <si>
    <t>G-REQ-04592-E1</t>
  </si>
  <si>
    <t>G-REQ-04592-E2</t>
  </si>
  <si>
    <t>G-REQ-04592-E3</t>
  </si>
  <si>
    <t>G-REQ-04592-E4</t>
  </si>
  <si>
    <t>G-REQ-04593-E1</t>
  </si>
  <si>
    <t>G-REQ-04593-E2</t>
  </si>
  <si>
    <t>SYNTHETIC: Laptop repair; Rejected; asset G-AST-00141</t>
  </si>
  <si>
    <t>G-REQ-04594-E1</t>
  </si>
  <si>
    <t>G-REQ-04594-E2</t>
  </si>
  <si>
    <t>G-REQ-04594-E3</t>
  </si>
  <si>
    <t>G-REQ-04594-E4</t>
  </si>
  <si>
    <t>G-REQ-04595-E1</t>
  </si>
  <si>
    <t>G-REQ-04595-E2</t>
  </si>
  <si>
    <t>G-REQ-04595-E3</t>
  </si>
  <si>
    <t>G-REQ-04595-E4</t>
  </si>
  <si>
    <t>G-REQ-04596-E1</t>
  </si>
  <si>
    <t>G-REQ-04596-E2</t>
  </si>
  <si>
    <t>G-REQ-04596-E3</t>
  </si>
  <si>
    <t>G-REQ-04596-E4</t>
  </si>
  <si>
    <t>G-REQ-04597-E1</t>
  </si>
  <si>
    <t>G-REQ-04597-E2</t>
  </si>
  <si>
    <t>G-REQ-04597-E3</t>
  </si>
  <si>
    <t>G-REQ-04597-E4</t>
  </si>
  <si>
    <t>G-REQ-04598-E1</t>
  </si>
  <si>
    <t>G-REQ-04598-E2</t>
  </si>
  <si>
    <t>G-REQ-04598-E3</t>
  </si>
  <si>
    <t>G-REQ-04598-E4</t>
  </si>
  <si>
    <t>G-REQ-04599-E1</t>
  </si>
  <si>
    <t>G-REQ-04599-E2</t>
  </si>
  <si>
    <t>G-REQ-04599-E3</t>
  </si>
  <si>
    <t>G-REQ-04599-E4</t>
  </si>
  <si>
    <t>G-REQ-04600-E1</t>
  </si>
  <si>
    <t>G-REQ-04600-E2</t>
  </si>
  <si>
    <t>G-REQ-04600-E3</t>
  </si>
  <si>
    <t>G-REQ-04600-E4</t>
  </si>
  <si>
    <t>G-REQ-04601-E1</t>
  </si>
  <si>
    <t>G-REQ-04601-E2</t>
  </si>
  <si>
    <t>G-REQ-04601-E3</t>
  </si>
  <si>
    <t>G-REQ-04601-E4</t>
  </si>
  <si>
    <t>G-REQ-04602-E1</t>
  </si>
  <si>
    <t>G-REQ-04602-E2</t>
  </si>
  <si>
    <t>G-REQ-04602-E3</t>
  </si>
  <si>
    <t>G-REQ-04602-E4</t>
  </si>
  <si>
    <t>G-REQ-04603-E1</t>
  </si>
  <si>
    <t>G-REQ-04603-E2</t>
  </si>
  <si>
    <t>G-REQ-04603-E3</t>
  </si>
  <si>
    <t>G-REQ-04603-E4</t>
  </si>
  <si>
    <t>G-REQ-04604-E1</t>
  </si>
  <si>
    <t>G-REQ-04604-E2</t>
  </si>
  <si>
    <t>G-REQ-04604-E3</t>
  </si>
  <si>
    <t>G-REQ-04604-E4</t>
  </si>
  <si>
    <t>G-REQ-04605-E1</t>
  </si>
  <si>
    <t>G-REQ-04605-E2</t>
  </si>
  <si>
    <t>G-REQ-04605-E3</t>
  </si>
  <si>
    <t>G-REQ-04605-E4</t>
  </si>
  <si>
    <t>G-REQ-04606-E1</t>
  </si>
  <si>
    <t>G-REQ-04606-E2</t>
  </si>
  <si>
    <t>G-REQ-04606-E3</t>
  </si>
  <si>
    <t>G-REQ-04606-E4</t>
  </si>
  <si>
    <t>G-REQ-04607-E1</t>
  </si>
  <si>
    <t>G-REQ-04607-E2</t>
  </si>
  <si>
    <t>G-REQ-04607-E3</t>
  </si>
  <si>
    <t>G-REQ-04607-E4</t>
  </si>
  <si>
    <t>G-REQ-04608-E1</t>
  </si>
  <si>
    <t>G-REQ-04608-E2</t>
  </si>
  <si>
    <t>G-REQ-04608-E3</t>
  </si>
  <si>
    <t>G-REQ-04608-E4</t>
  </si>
  <si>
    <t>G-REQ-04609-E1</t>
  </si>
  <si>
    <t>G-REQ-04609-E2</t>
  </si>
  <si>
    <t>G-REQ-04609-E3</t>
  </si>
  <si>
    <t>G-REQ-04609-E4</t>
  </si>
  <si>
    <t>G-REQ-04610-E1</t>
  </si>
  <si>
    <t>G-REQ-04610-E2</t>
  </si>
  <si>
    <t>G-REQ-04611-E1</t>
  </si>
  <si>
    <t>G-REQ-04611-E2</t>
  </si>
  <si>
    <t>G-REQ-04611-E3</t>
  </si>
  <si>
    <t>G-REQ-04611-E4</t>
  </si>
  <si>
    <t>G-REQ-04612-E1</t>
  </si>
  <si>
    <t>G-REQ-04612-E2</t>
  </si>
  <si>
    <t>SYNTHETIC: Laptop return; Rejected; asset G-AST-00444</t>
  </si>
  <si>
    <t>G-REQ-04613-E1</t>
  </si>
  <si>
    <t>G-REQ-04613-E2</t>
  </si>
  <si>
    <t>G-REQ-04613-E3</t>
  </si>
  <si>
    <t>G-REQ-04613-E4</t>
  </si>
  <si>
    <t>G-REQ-04614-E1</t>
  </si>
  <si>
    <t>G-REQ-04614-E2</t>
  </si>
  <si>
    <t>G-REQ-04614-E3</t>
  </si>
  <si>
    <t>G-REQ-04614-E4</t>
  </si>
  <si>
    <t>G-REQ-04615-E1</t>
  </si>
  <si>
    <t>G-REQ-04615-E2</t>
  </si>
  <si>
    <t>G-REQ-04615-E3</t>
  </si>
  <si>
    <t>G-REQ-04615-E4</t>
  </si>
  <si>
    <t>G-REQ-04616-E1</t>
  </si>
  <si>
    <t>G-REQ-04616-E2</t>
  </si>
  <si>
    <t>G-REQ-04616-E3</t>
  </si>
  <si>
    <t>G-REQ-04616-E4</t>
  </si>
  <si>
    <t>G-REQ-04617-E1</t>
  </si>
  <si>
    <t>G-REQ-04617-E2</t>
  </si>
  <si>
    <t>G-REQ-04617-E3</t>
  </si>
  <si>
    <t>G-REQ-04617-E4</t>
  </si>
  <si>
    <t>G-REQ-04618-E1</t>
  </si>
  <si>
    <t>G-REQ-04618-E2</t>
  </si>
  <si>
    <t>G-REQ-04618-E3</t>
  </si>
  <si>
    <t>G-REQ-04618-E4</t>
  </si>
  <si>
    <t>G-REQ-04619-E1</t>
  </si>
  <si>
    <t>G-REQ-04619-E2</t>
  </si>
  <si>
    <t>G-REQ-04619-E3</t>
  </si>
  <si>
    <t>G-REQ-04619-E4</t>
  </si>
  <si>
    <t>G-REQ-04620-E1</t>
  </si>
  <si>
    <t>G-REQ-04620-E2</t>
  </si>
  <si>
    <t>G-REQ-04620-E3</t>
  </si>
  <si>
    <t>G-REQ-04620-E4</t>
  </si>
  <si>
    <t>G-REQ-04621-E1</t>
  </si>
  <si>
    <t>G-REQ-04621-E2</t>
  </si>
  <si>
    <t>G-REQ-04622-E1</t>
  </si>
  <si>
    <t>SYNTHETIC: Laptop repair; Pending approval; asset G-AST-00272</t>
  </si>
  <si>
    <t>G-REQ-04622-E2</t>
  </si>
  <si>
    <t>SYNTHETIC: Laptop repair; Approved; asset G-AST-00272</t>
  </si>
  <si>
    <t>G-REQ-04622-E3</t>
  </si>
  <si>
    <t>SYNTHETIC: Laptop repair; In progress; asset G-AST-00272</t>
  </si>
  <si>
    <t>G-REQ-04622-E4</t>
  </si>
  <si>
    <t>SYNTHETIC: Laptop repair; Completed; asset G-AST-00272</t>
  </si>
  <si>
    <t>G-REQ-04623-E1</t>
  </si>
  <si>
    <t>G-REQ-04623-E2</t>
  </si>
  <si>
    <t>G-REQ-04623-E3</t>
  </si>
  <si>
    <t>G-REQ-04623-E4</t>
  </si>
  <si>
    <t>G-REQ-04624-E1</t>
  </si>
  <si>
    <t>G-REQ-04624-E2</t>
  </si>
  <si>
    <t>G-REQ-04624-E3</t>
  </si>
  <si>
    <t>G-REQ-04624-E4</t>
  </si>
  <si>
    <t>G-REQ-04625-E1</t>
  </si>
  <si>
    <t>G-REQ-04625-E2</t>
  </si>
  <si>
    <t>G-REQ-04625-E3</t>
  </si>
  <si>
    <t>G-REQ-04625-E4</t>
  </si>
  <si>
    <t>G-REQ-04626-E1</t>
  </si>
  <si>
    <t>G-REQ-04626-E2</t>
  </si>
  <si>
    <t>G-REQ-04626-E3</t>
  </si>
  <si>
    <t>G-REQ-04626-E4</t>
  </si>
  <si>
    <t>G-REQ-04627-E1</t>
  </si>
  <si>
    <t>G-REQ-04627-E2</t>
  </si>
  <si>
    <t>G-REQ-04627-E3</t>
  </si>
  <si>
    <t>G-REQ-04627-E4</t>
  </si>
  <si>
    <t>G-REQ-04628-E1</t>
  </si>
  <si>
    <t>G-REQ-04628-E2</t>
  </si>
  <si>
    <t>G-REQ-04628-E3</t>
  </si>
  <si>
    <t>G-REQ-04628-E4</t>
  </si>
  <si>
    <t>G-REQ-04629-E1</t>
  </si>
  <si>
    <t>G-REQ-04629-E2</t>
  </si>
  <si>
    <t>G-REQ-04629-E3</t>
  </si>
  <si>
    <t>G-REQ-04629-E4</t>
  </si>
  <si>
    <t>G-REQ-04630-E1</t>
  </si>
  <si>
    <t>G-REQ-04630-E2</t>
  </si>
  <si>
    <t>G-REQ-04630-E3</t>
  </si>
  <si>
    <t>G-REQ-04630-E4</t>
  </si>
  <si>
    <t>G-REQ-04631-E1</t>
  </si>
  <si>
    <t>G-REQ-04631-E2</t>
  </si>
  <si>
    <t>G-REQ-04631-E3</t>
  </si>
  <si>
    <t>G-REQ-04631-E4</t>
  </si>
  <si>
    <t>G-REQ-04632-E1</t>
  </si>
  <si>
    <t>G-REQ-04632-E2</t>
  </si>
  <si>
    <t>G-REQ-04632-E3</t>
  </si>
  <si>
    <t>G-REQ-04632-E4</t>
  </si>
  <si>
    <t>G-REQ-04633-E1</t>
  </si>
  <si>
    <t>SYNTHETIC: Laptop repair; Pending approval; asset G-AST-00319</t>
  </si>
  <si>
    <t>G-REQ-04633-E2</t>
  </si>
  <si>
    <t>SYNTHETIC: Laptop repair; Approved; asset G-AST-00319</t>
  </si>
  <si>
    <t>G-REQ-04633-E3</t>
  </si>
  <si>
    <t>SYNTHETIC: Laptop repair; In progress; asset G-AST-00319</t>
  </si>
  <si>
    <t>G-REQ-04633-E4</t>
  </si>
  <si>
    <t>SYNTHETIC: Laptop repair; Completed; asset G-AST-00319</t>
  </si>
  <si>
    <t>G-REQ-04634-E1</t>
  </si>
  <si>
    <t>G-REQ-04634-E2</t>
  </si>
  <si>
    <t>G-REQ-04634-E3</t>
  </si>
  <si>
    <t>G-REQ-04634-E4</t>
  </si>
  <si>
    <t>G-REQ-04635-E1</t>
  </si>
  <si>
    <t>G-REQ-04635-E2</t>
  </si>
  <si>
    <t>G-REQ-04635-E3</t>
  </si>
  <si>
    <t>G-REQ-04635-E4</t>
  </si>
  <si>
    <t>G-REQ-04636-E1</t>
  </si>
  <si>
    <t>G-REQ-04636-E2</t>
  </si>
  <si>
    <t>G-REQ-04636-E3</t>
  </si>
  <si>
    <t>G-REQ-04636-E4</t>
  </si>
  <si>
    <t>G-REQ-04637-E1</t>
  </si>
  <si>
    <t>G-REQ-04637-E2</t>
  </si>
  <si>
    <t>G-REQ-04637-E3</t>
  </si>
  <si>
    <t>G-REQ-04637-E4</t>
  </si>
  <si>
    <t>G-REQ-04638-E1</t>
  </si>
  <si>
    <t>G-REQ-04638-E2</t>
  </si>
  <si>
    <t>G-REQ-04638-E3</t>
  </si>
  <si>
    <t>G-REQ-04638-E4</t>
  </si>
  <si>
    <t>G-REQ-04639-E1</t>
  </si>
  <si>
    <t>SYNTHETIC: Laptop repair; Pending approval; asset G-AST-00248</t>
  </si>
  <si>
    <t>G-REQ-04639-E2</t>
  </si>
  <si>
    <t>SYNTHETIC: Laptop repair; Approved; asset G-AST-00248</t>
  </si>
  <si>
    <t>G-REQ-04639-E3</t>
  </si>
  <si>
    <t>SYNTHETIC: Laptop repair; In progress; asset G-AST-00248</t>
  </si>
  <si>
    <t>G-REQ-04639-E4</t>
  </si>
  <si>
    <t>SYNTHETIC: Laptop repair; Completed; asset G-AST-00248</t>
  </si>
  <si>
    <t>G-REQ-04640-E1</t>
  </si>
  <si>
    <t>G-REQ-04640-E2</t>
  </si>
  <si>
    <t>G-REQ-04640-E3</t>
  </si>
  <si>
    <t>G-REQ-04640-E4</t>
  </si>
  <si>
    <t>G-REQ-04641-E1</t>
  </si>
  <si>
    <t>G-REQ-04641-E2</t>
  </si>
  <si>
    <t>G-REQ-04641-E3</t>
  </si>
  <si>
    <t>G-REQ-04641-E4</t>
  </si>
  <si>
    <t>G-REQ-04642-E1</t>
  </si>
  <si>
    <t>G-REQ-04642-E2</t>
  </si>
  <si>
    <t>G-REQ-04642-E3</t>
  </si>
  <si>
    <t>G-REQ-04642-E4</t>
  </si>
  <si>
    <t>G-REQ-04643-E1</t>
  </si>
  <si>
    <t>G-REQ-04643-E2</t>
  </si>
  <si>
    <t>G-REQ-04643-E3</t>
  </si>
  <si>
    <t>G-REQ-04643-E4</t>
  </si>
  <si>
    <t>G-REQ-04644-E1</t>
  </si>
  <si>
    <t>G-REQ-04644-E2</t>
  </si>
  <si>
    <t>G-REQ-04644-E3</t>
  </si>
  <si>
    <t>G-REQ-04644-E4</t>
  </si>
  <si>
    <t>G-REQ-04645-E1</t>
  </si>
  <si>
    <t>G-REQ-04645-E2</t>
  </si>
  <si>
    <t>G-REQ-04645-E3</t>
  </si>
  <si>
    <t>G-REQ-04645-E4</t>
  </si>
  <si>
    <t>G-REQ-04646-E1</t>
  </si>
  <si>
    <t>G-REQ-04646-E2</t>
  </si>
  <si>
    <t>G-REQ-04646-E3</t>
  </si>
  <si>
    <t>G-REQ-04646-E4</t>
  </si>
  <si>
    <t>G-REQ-04647-E1</t>
  </si>
  <si>
    <t>G-REQ-04647-E2</t>
  </si>
  <si>
    <t>G-REQ-04647-E3</t>
  </si>
  <si>
    <t>G-REQ-04647-E4</t>
  </si>
  <si>
    <t>G-REQ-04648-E1</t>
  </si>
  <si>
    <t>SYNTHETIC: Laptop repair; Pending approval; asset G-AST-00066</t>
  </si>
  <si>
    <t>G-REQ-04648-E2</t>
  </si>
  <si>
    <t>SYNTHETIC: Laptop repair; Approved; asset G-AST-00066</t>
  </si>
  <si>
    <t>G-REQ-04648-E3</t>
  </si>
  <si>
    <t>SYNTHETIC: Laptop repair; In progress; asset G-AST-00066</t>
  </si>
  <si>
    <t>G-REQ-04648-E4</t>
  </si>
  <si>
    <t>SYNTHETIC: Laptop repair; Completed; asset G-AST-00066</t>
  </si>
  <si>
    <t>G-REQ-04649-E1</t>
  </si>
  <si>
    <t>G-REQ-04649-E2</t>
  </si>
  <si>
    <t>G-REQ-04649-E3</t>
  </si>
  <si>
    <t>G-REQ-04649-E4</t>
  </si>
  <si>
    <t>G-REQ-04650-E1</t>
  </si>
  <si>
    <t>G-REQ-04650-E2</t>
  </si>
  <si>
    <t>G-REQ-04650-E3</t>
  </si>
  <si>
    <t>G-REQ-04650-E4</t>
  </si>
  <si>
    <t>G-REQ-04651-E1</t>
  </si>
  <si>
    <t>G-REQ-04651-E2</t>
  </si>
  <si>
    <t>G-REQ-04651-E3</t>
  </si>
  <si>
    <t>G-REQ-04651-E4</t>
  </si>
  <si>
    <t>G-REQ-04652-E1</t>
  </si>
  <si>
    <t>G-REQ-04652-E2</t>
  </si>
  <si>
    <t>G-REQ-04652-E3</t>
  </si>
  <si>
    <t>G-REQ-04652-E4</t>
  </si>
  <si>
    <t>G-REQ-04653-E1</t>
  </si>
  <si>
    <t>G-REQ-04653-E2</t>
  </si>
  <si>
    <t>G-REQ-04653-E3</t>
  </si>
  <si>
    <t>G-REQ-04653-E4</t>
  </si>
  <si>
    <t>G-REQ-04654-E1</t>
  </si>
  <si>
    <t>G-REQ-04654-E2</t>
  </si>
  <si>
    <t>G-REQ-04654-E3</t>
  </si>
  <si>
    <t>G-REQ-04654-E4</t>
  </si>
  <si>
    <t>G-REQ-04655-E1</t>
  </si>
  <si>
    <t>G-REQ-04655-E2</t>
  </si>
  <si>
    <t>G-REQ-04655-E3</t>
  </si>
  <si>
    <t>G-REQ-04655-E4</t>
  </si>
  <si>
    <t>G-REQ-04656-E1</t>
  </si>
  <si>
    <t>G-REQ-04656-E2</t>
  </si>
  <si>
    <t>G-REQ-04656-E3</t>
  </si>
  <si>
    <t>G-REQ-04656-E4</t>
  </si>
  <si>
    <t>G-REQ-04657-E1</t>
  </si>
  <si>
    <t>G-REQ-04657-E2</t>
  </si>
  <si>
    <t>G-REQ-04657-E3</t>
  </si>
  <si>
    <t>G-REQ-04657-E4</t>
  </si>
  <si>
    <t>G-REQ-04658-E1</t>
  </si>
  <si>
    <t>G-REQ-04658-E2</t>
  </si>
  <si>
    <t>G-REQ-04659-E1</t>
  </si>
  <si>
    <t>G-REQ-04659-E2</t>
  </si>
  <si>
    <t>G-REQ-04659-E3</t>
  </si>
  <si>
    <t>G-REQ-04659-E4</t>
  </si>
  <si>
    <t>G-REQ-04660-E1</t>
  </si>
  <si>
    <t>G-REQ-04660-E2</t>
  </si>
  <si>
    <t>G-REQ-04660-E3</t>
  </si>
  <si>
    <t>G-REQ-04660-E4</t>
  </si>
  <si>
    <t>G-REQ-04661-E1</t>
  </si>
  <si>
    <t>G-REQ-04661-E2</t>
  </si>
  <si>
    <t>G-REQ-04661-E3</t>
  </si>
  <si>
    <t>G-REQ-04661-E4</t>
  </si>
  <si>
    <t>G-REQ-04662-E1</t>
  </si>
  <si>
    <t>G-REQ-04662-E2</t>
  </si>
  <si>
    <t>G-REQ-04662-E3</t>
  </si>
  <si>
    <t>G-REQ-04662-E4</t>
  </si>
  <si>
    <t>G-REQ-04663-E1</t>
  </si>
  <si>
    <t>G-REQ-04663-E2</t>
  </si>
  <si>
    <t>G-REQ-04663-E3</t>
  </si>
  <si>
    <t>G-REQ-04663-E4</t>
  </si>
  <si>
    <t>G-REQ-04664-E1</t>
  </si>
  <si>
    <t>G-REQ-04664-E2</t>
  </si>
  <si>
    <t>SYNTHETIC: Laptop repair; Rejected; asset G-AST-00258</t>
  </si>
  <si>
    <t>G-REQ-04665-E1</t>
  </si>
  <si>
    <t>G-REQ-04665-E2</t>
  </si>
  <si>
    <t>G-REQ-04665-E3</t>
  </si>
  <si>
    <t>G-REQ-04665-E4</t>
  </si>
  <si>
    <t>G-REQ-04666-E1</t>
  </si>
  <si>
    <t>G-REQ-04666-E2</t>
  </si>
  <si>
    <t>G-REQ-04666-E3</t>
  </si>
  <si>
    <t>G-REQ-04666-E4</t>
  </si>
  <si>
    <t>G-REQ-04667-E1</t>
  </si>
  <si>
    <t>G-REQ-04667-E2</t>
  </si>
  <si>
    <t>G-REQ-04667-E3</t>
  </si>
  <si>
    <t>G-REQ-04667-E4</t>
  </si>
  <si>
    <t>G-REQ-04668-E1</t>
  </si>
  <si>
    <t>G-REQ-04668-E2</t>
  </si>
  <si>
    <t>G-REQ-04668-E3</t>
  </si>
  <si>
    <t>G-REQ-04668-E4</t>
  </si>
  <si>
    <t>G-REQ-04669-E1</t>
  </si>
  <si>
    <t>G-REQ-04669-E2</t>
  </si>
  <si>
    <t>G-REQ-04669-E3</t>
  </si>
  <si>
    <t>G-REQ-04669-E4</t>
  </si>
  <si>
    <t>G-REQ-04670-E1</t>
  </si>
  <si>
    <t>G-REQ-04670-E2</t>
  </si>
  <si>
    <t>G-REQ-04670-E3</t>
  </si>
  <si>
    <t>G-REQ-04670-E4</t>
  </si>
  <si>
    <t>G-REQ-04671-E1</t>
  </si>
  <si>
    <t>G-REQ-04671-E2</t>
  </si>
  <si>
    <t>G-REQ-04672-E1</t>
  </si>
  <si>
    <t>G-REQ-04672-E2</t>
  </si>
  <si>
    <t>G-REQ-04672-E3</t>
  </si>
  <si>
    <t>G-REQ-04672-E4</t>
  </si>
  <si>
    <t>G-REQ-04673-E1</t>
  </si>
  <si>
    <t>G-REQ-04673-E2</t>
  </si>
  <si>
    <t>G-REQ-04673-E3</t>
  </si>
  <si>
    <t>G-REQ-04673-E4</t>
  </si>
  <si>
    <t>G-REQ-04674-E1</t>
  </si>
  <si>
    <t>G-REQ-04674-E2</t>
  </si>
  <si>
    <t>SYNTHETIC: Laptop repair; Rejected; asset G-AST-00254</t>
  </si>
  <si>
    <t>G-REQ-04675-E1</t>
  </si>
  <si>
    <t>G-REQ-04675-E2</t>
  </si>
  <si>
    <t>G-REQ-04675-E3</t>
  </si>
  <si>
    <t>G-REQ-04675-E4</t>
  </si>
  <si>
    <t>G-REQ-04676-E1</t>
  </si>
  <si>
    <t>G-REQ-04676-E2</t>
  </si>
  <si>
    <t>G-REQ-04676-E3</t>
  </si>
  <si>
    <t>G-REQ-04676-E4</t>
  </si>
  <si>
    <t>G-REQ-04677-E1</t>
  </si>
  <si>
    <t>G-REQ-04677-E2</t>
  </si>
  <si>
    <t>G-REQ-04677-E3</t>
  </si>
  <si>
    <t>G-REQ-04677-E4</t>
  </si>
  <si>
    <t>G-REQ-04678-E1</t>
  </si>
  <si>
    <t>G-REQ-04678-E2</t>
  </si>
  <si>
    <t>G-REQ-04678-E3</t>
  </si>
  <si>
    <t>G-REQ-04678-E4</t>
  </si>
  <si>
    <t>G-REQ-04679-E1</t>
  </si>
  <si>
    <t>G-REQ-04679-E2</t>
  </si>
  <si>
    <t>G-REQ-04679-E3</t>
  </si>
  <si>
    <t>G-REQ-04679-E4</t>
  </si>
  <si>
    <t>G-REQ-04680-E1</t>
  </si>
  <si>
    <t>G-REQ-04680-E2</t>
  </si>
  <si>
    <t>SYNTHETIC: Laptop return; Rejected; asset G-AST-00105</t>
  </si>
  <si>
    <t>G-REQ-04681-E1</t>
  </si>
  <si>
    <t>G-REQ-04681-E2</t>
  </si>
  <si>
    <t>G-REQ-04681-E3</t>
  </si>
  <si>
    <t>G-REQ-04681-E4</t>
  </si>
  <si>
    <t>G-REQ-04682-E1</t>
  </si>
  <si>
    <t>G-REQ-04682-E2</t>
  </si>
  <si>
    <t>G-REQ-04682-E3</t>
  </si>
  <si>
    <t>G-REQ-04682-E4</t>
  </si>
  <si>
    <t>G-REQ-04683-E1</t>
  </si>
  <si>
    <t>G-REQ-04683-E2</t>
  </si>
  <si>
    <t>G-REQ-04683-E3</t>
  </si>
  <si>
    <t>G-REQ-04683-E4</t>
  </si>
  <si>
    <t>G-REQ-04684-E1</t>
  </si>
  <si>
    <t>G-REQ-04684-E2</t>
  </si>
  <si>
    <t>G-REQ-04684-E3</t>
  </si>
  <si>
    <t>G-REQ-04684-E4</t>
  </si>
  <si>
    <t>G-REQ-04685-E1</t>
  </si>
  <si>
    <t>G-REQ-04685-E2</t>
  </si>
  <si>
    <t>G-REQ-04685-E3</t>
  </si>
  <si>
    <t>G-REQ-04685-E4</t>
  </si>
  <si>
    <t>G-REQ-04686-E1</t>
  </si>
  <si>
    <t>G-REQ-04686-E2</t>
  </si>
  <si>
    <t>G-REQ-04686-E3</t>
  </si>
  <si>
    <t>G-REQ-04686-E4</t>
  </si>
  <si>
    <t>G-REQ-04687-E1</t>
  </si>
  <si>
    <t>G-REQ-04687-E2</t>
  </si>
  <si>
    <t>G-REQ-04687-E3</t>
  </si>
  <si>
    <t>G-REQ-04687-E4</t>
  </si>
  <si>
    <t>G-REQ-04688-E1</t>
  </si>
  <si>
    <t>G-REQ-04688-E2</t>
  </si>
  <si>
    <t>G-REQ-04688-E3</t>
  </si>
  <si>
    <t>G-REQ-04688-E4</t>
  </si>
  <si>
    <t>G-REQ-04689-E1</t>
  </si>
  <si>
    <t>G-REQ-04689-E2</t>
  </si>
  <si>
    <t>G-REQ-04690-E1</t>
  </si>
  <si>
    <t>G-REQ-04690-E2</t>
  </si>
  <si>
    <t>G-REQ-04690-E3</t>
  </si>
  <si>
    <t>G-REQ-04690-E4</t>
  </si>
  <si>
    <t>G-REQ-04691-E1</t>
  </si>
  <si>
    <t>G-REQ-04691-E2</t>
  </si>
  <si>
    <t>G-REQ-04691-E3</t>
  </si>
  <si>
    <t>G-REQ-04691-E4</t>
  </si>
  <si>
    <t>G-REQ-04692-E1</t>
  </si>
  <si>
    <t>G-REQ-04692-E2</t>
  </si>
  <si>
    <t>G-REQ-04692-E3</t>
  </si>
  <si>
    <t>G-REQ-04692-E4</t>
  </si>
  <si>
    <t>G-REQ-04693-E1</t>
  </si>
  <si>
    <t>G-REQ-04693-E2</t>
  </si>
  <si>
    <t>G-REQ-04693-E3</t>
  </si>
  <si>
    <t>G-REQ-04693-E4</t>
  </si>
  <si>
    <t>G-REQ-04694-E1</t>
  </si>
  <si>
    <t>G-REQ-04694-E2</t>
  </si>
  <si>
    <t>G-REQ-04694-E3</t>
  </si>
  <si>
    <t>G-REQ-04694-E4</t>
  </si>
  <si>
    <t>G-REQ-04695-E1</t>
  </si>
  <si>
    <t>G-REQ-04695-E2</t>
  </si>
  <si>
    <t>G-REQ-04695-E3</t>
  </si>
  <si>
    <t>G-REQ-04695-E4</t>
  </si>
  <si>
    <t>G-REQ-04696-E1</t>
  </si>
  <si>
    <t>G-REQ-04696-E2</t>
  </si>
  <si>
    <t>G-REQ-04696-E3</t>
  </si>
  <si>
    <t>G-REQ-04696-E4</t>
  </si>
  <si>
    <t>G-REQ-04697-E1</t>
  </si>
  <si>
    <t>G-REQ-04697-E2</t>
  </si>
  <si>
    <t>SYNTHETIC: Laptop repair; Approved; asset G-AST-00213</t>
  </si>
  <si>
    <t>G-REQ-04697-E3</t>
  </si>
  <si>
    <t>SYNTHETIC: Laptop repair; In progress; asset G-AST-00213</t>
  </si>
  <si>
    <t>G-REQ-04697-E4</t>
  </si>
  <si>
    <t>SYNTHETIC: Laptop repair; Completed; asset G-AST-00213</t>
  </si>
  <si>
    <t>G-REQ-04698-E1</t>
  </si>
  <si>
    <t>G-REQ-04698-E2</t>
  </si>
  <si>
    <t>G-REQ-04698-E3</t>
  </si>
  <si>
    <t>G-REQ-04698-E4</t>
  </si>
  <si>
    <t>G-REQ-04699-E1</t>
  </si>
  <si>
    <t>G-REQ-04699-E2</t>
  </si>
  <si>
    <t>G-REQ-04699-E3</t>
  </si>
  <si>
    <t>G-REQ-04699-E4</t>
  </si>
  <si>
    <t>G-REQ-04700-E1</t>
  </si>
  <si>
    <t>G-REQ-04700-E2</t>
  </si>
  <si>
    <t>G-REQ-04700-E3</t>
  </si>
  <si>
    <t>G-REQ-04700-E4</t>
  </si>
  <si>
    <t>G-REQ-04701-E1</t>
  </si>
  <si>
    <t>G-REQ-04701-E2</t>
  </si>
  <si>
    <t>SYNTHETIC: Laptop repair; Approved; asset G-AST-00092</t>
  </si>
  <si>
    <t>G-REQ-04701-E3</t>
  </si>
  <si>
    <t>SYNTHETIC: Laptop repair; In progress; asset G-AST-00092</t>
  </si>
  <si>
    <t>G-REQ-04701-E4</t>
  </si>
  <si>
    <t>SYNTHETIC: Laptop repair; Completed; asset G-AST-00092</t>
  </si>
  <si>
    <t>G-REQ-04702-E1</t>
  </si>
  <si>
    <t>SYNTHETIC: Laptop repair; Pending approval; asset G-AST-00326</t>
  </si>
  <si>
    <t>G-REQ-04702-E2</t>
  </si>
  <si>
    <t>SYNTHETIC: Laptop repair; Approved; asset G-AST-00326</t>
  </si>
  <si>
    <t>G-REQ-04702-E3</t>
  </si>
  <si>
    <t>SYNTHETIC: Laptop repair; In progress; asset G-AST-00326</t>
  </si>
  <si>
    <t>G-REQ-04702-E4</t>
  </si>
  <si>
    <t>SYNTHETIC: Laptop repair; Completed; asset G-AST-00326</t>
  </si>
  <si>
    <t>G-REQ-04703-E1</t>
  </si>
  <si>
    <t>G-REQ-04703-E2</t>
  </si>
  <si>
    <t>G-REQ-04703-E3</t>
  </si>
  <si>
    <t>G-REQ-04703-E4</t>
  </si>
  <si>
    <t>G-REQ-04704-E1</t>
  </si>
  <si>
    <t>G-REQ-04704-E2</t>
  </si>
  <si>
    <t>G-REQ-04704-E3</t>
  </si>
  <si>
    <t>G-REQ-04704-E4</t>
  </si>
  <si>
    <t>G-REQ-04705-E1</t>
  </si>
  <si>
    <t>G-REQ-04705-E2</t>
  </si>
  <si>
    <t>G-REQ-04705-E3</t>
  </si>
  <si>
    <t>G-REQ-04705-E4</t>
  </si>
  <si>
    <t>G-REQ-04706-E1</t>
  </si>
  <si>
    <t>G-REQ-04706-E2</t>
  </si>
  <si>
    <t>G-REQ-04706-E3</t>
  </si>
  <si>
    <t>G-REQ-04706-E4</t>
  </si>
  <si>
    <t>G-REQ-04707-E1</t>
  </si>
  <si>
    <t>G-REQ-04707-E2</t>
  </si>
  <si>
    <t>G-REQ-04707-E3</t>
  </si>
  <si>
    <t>G-REQ-04707-E4</t>
  </si>
  <si>
    <t>G-REQ-04708-E1</t>
  </si>
  <si>
    <t>G-REQ-04708-E2</t>
  </si>
  <si>
    <t>G-REQ-04708-E3</t>
  </si>
  <si>
    <t>G-REQ-04708-E4</t>
  </si>
  <si>
    <t>G-REQ-04709-E1</t>
  </si>
  <si>
    <t>G-REQ-04709-E2</t>
  </si>
  <si>
    <t>G-REQ-04709-E3</t>
  </si>
  <si>
    <t>G-REQ-04709-E4</t>
  </si>
  <si>
    <t>G-REQ-04710-E1</t>
  </si>
  <si>
    <t>G-REQ-04710-E2</t>
  </si>
  <si>
    <t>G-REQ-04710-E3</t>
  </si>
  <si>
    <t>G-REQ-04710-E4</t>
  </si>
  <si>
    <t>G-REQ-04711-E1</t>
  </si>
  <si>
    <t>G-REQ-04711-E2</t>
  </si>
  <si>
    <t>SYNTHETIC: Laptop repair; Approved; asset G-AST-00053</t>
  </si>
  <si>
    <t>G-REQ-04711-E3</t>
  </si>
  <si>
    <t>SYNTHETIC: Laptop repair; In progress; asset G-AST-00053</t>
  </si>
  <si>
    <t>G-REQ-04711-E4</t>
  </si>
  <si>
    <t>SYNTHETIC: Laptop repair; Completed; asset G-AST-00053</t>
  </si>
  <si>
    <t>G-REQ-04712-E1</t>
  </si>
  <si>
    <t>G-REQ-04712-E2</t>
  </si>
  <si>
    <t>G-REQ-04713-E1</t>
  </si>
  <si>
    <t>G-REQ-04713-E2</t>
  </si>
  <si>
    <t>G-REQ-04713-E3</t>
  </si>
  <si>
    <t>G-REQ-04713-E4</t>
  </si>
  <si>
    <t>G-REQ-04714-E1</t>
  </si>
  <si>
    <t>G-REQ-04714-E2</t>
  </si>
  <si>
    <t>G-REQ-04714-E3</t>
  </si>
  <si>
    <t>G-REQ-04714-E4</t>
  </si>
  <si>
    <t>G-REQ-04715-E1</t>
  </si>
  <si>
    <t>G-REQ-04715-E2</t>
  </si>
  <si>
    <t>G-REQ-04715-E3</t>
  </si>
  <si>
    <t>G-REQ-04715-E4</t>
  </si>
  <si>
    <t>G-REQ-04716-E1</t>
  </si>
  <si>
    <t>G-REQ-04716-E2</t>
  </si>
  <si>
    <t>G-REQ-04716-E3</t>
  </si>
  <si>
    <t>G-REQ-04716-E4</t>
  </si>
  <si>
    <t>G-REQ-04717-E1</t>
  </si>
  <si>
    <t>G-REQ-04717-E2</t>
  </si>
  <si>
    <t>G-REQ-04717-E3</t>
  </si>
  <si>
    <t>G-REQ-04717-E4</t>
  </si>
  <si>
    <t>G-REQ-04718-E1</t>
  </si>
  <si>
    <t>G-REQ-04718-E2</t>
  </si>
  <si>
    <t>G-REQ-04718-E3</t>
  </si>
  <si>
    <t>G-REQ-04718-E4</t>
  </si>
  <si>
    <t>G-REQ-04719-E1</t>
  </si>
  <si>
    <t>G-REQ-04719-E2</t>
  </si>
  <si>
    <t>G-REQ-04719-E3</t>
  </si>
  <si>
    <t>G-REQ-04719-E4</t>
  </si>
  <si>
    <t>G-REQ-04720-E1</t>
  </si>
  <si>
    <t>G-REQ-04720-E2</t>
  </si>
  <si>
    <t>G-REQ-04720-E3</t>
  </si>
  <si>
    <t>G-REQ-04720-E4</t>
  </si>
  <si>
    <t>G-REQ-04721-E1</t>
  </si>
  <si>
    <t>G-REQ-04721-E2</t>
  </si>
  <si>
    <t>G-REQ-04721-E3</t>
  </si>
  <si>
    <t>G-REQ-04721-E4</t>
  </si>
  <si>
    <t>G-REQ-04722-E1</t>
  </si>
  <si>
    <t>G-REQ-04722-E2</t>
  </si>
  <si>
    <t>G-REQ-04722-E3</t>
  </si>
  <si>
    <t>G-REQ-04722-E4</t>
  </si>
  <si>
    <t>G-REQ-04723-E1</t>
  </si>
  <si>
    <t>G-REQ-04723-E2</t>
  </si>
  <si>
    <t>G-REQ-04724-E1</t>
  </si>
  <si>
    <t>G-REQ-04724-E2</t>
  </si>
  <si>
    <t>G-REQ-04724-E3</t>
  </si>
  <si>
    <t>G-REQ-04724-E4</t>
  </si>
  <si>
    <t>G-REQ-04725-E1</t>
  </si>
  <si>
    <t>G-REQ-04725-E2</t>
  </si>
  <si>
    <t>G-REQ-04725-E3</t>
  </si>
  <si>
    <t>G-REQ-04725-E4</t>
  </si>
  <si>
    <t>G-REQ-04726-E1</t>
  </si>
  <si>
    <t>G-REQ-04726-E2</t>
  </si>
  <si>
    <t>G-REQ-04726-E3</t>
  </si>
  <si>
    <t>G-REQ-04726-E4</t>
  </si>
  <si>
    <t>G-REQ-04727-E1</t>
  </si>
  <si>
    <t>G-REQ-04727-E2</t>
  </si>
  <si>
    <t>G-REQ-04727-E3</t>
  </si>
  <si>
    <t>G-REQ-04727-E4</t>
  </si>
  <si>
    <t>G-REQ-04728-E1</t>
  </si>
  <si>
    <t>G-REQ-04728-E2</t>
  </si>
  <si>
    <t>G-REQ-04728-E3</t>
  </si>
  <si>
    <t>G-REQ-04728-E4</t>
  </si>
  <si>
    <t>G-REQ-04729-E1</t>
  </si>
  <si>
    <t>G-REQ-04729-E2</t>
  </si>
  <si>
    <t>G-REQ-04729-E3</t>
  </si>
  <si>
    <t>G-REQ-04729-E4</t>
  </si>
  <si>
    <t>G-REQ-04730-E1</t>
  </si>
  <si>
    <t>G-REQ-04730-E2</t>
  </si>
  <si>
    <t>G-REQ-04730-E3</t>
  </si>
  <si>
    <t>G-REQ-04730-E4</t>
  </si>
  <si>
    <t>G-REQ-04731-E1</t>
  </si>
  <si>
    <t>G-REQ-04731-E2</t>
  </si>
  <si>
    <t>G-REQ-04731-E3</t>
  </si>
  <si>
    <t>G-REQ-04731-E4</t>
  </si>
  <si>
    <t>G-REQ-04732-E1</t>
  </si>
  <si>
    <t>G-REQ-04732-E2</t>
  </si>
  <si>
    <t>G-REQ-04732-E3</t>
  </si>
  <si>
    <t>G-REQ-04732-E4</t>
  </si>
  <si>
    <t>G-REQ-04733-E1</t>
  </si>
  <si>
    <t>G-REQ-04733-E2</t>
  </si>
  <si>
    <t>G-REQ-04733-E3</t>
  </si>
  <si>
    <t>G-REQ-04733-E4</t>
  </si>
  <si>
    <t>G-REQ-04734-E1</t>
  </si>
  <si>
    <t>G-REQ-04734-E2</t>
  </si>
  <si>
    <t>G-REQ-04734-E3</t>
  </si>
  <si>
    <t>G-REQ-04734-E4</t>
  </si>
  <si>
    <t>G-REQ-04735-E1</t>
  </si>
  <si>
    <t>G-REQ-04735-E2</t>
  </si>
  <si>
    <t>G-REQ-04735-E3</t>
  </si>
  <si>
    <t>G-REQ-04735-E4</t>
  </si>
  <si>
    <t>G-REQ-04736-E1</t>
  </si>
  <si>
    <t>G-REQ-04736-E2</t>
  </si>
  <si>
    <t>G-REQ-04736-E3</t>
  </si>
  <si>
    <t>G-REQ-04736-E4</t>
  </si>
  <si>
    <t>G-REQ-04737-E1</t>
  </si>
  <si>
    <t>G-REQ-04737-E2</t>
  </si>
  <si>
    <t>G-REQ-04737-E3</t>
  </si>
  <si>
    <t>G-REQ-04737-E4</t>
  </si>
  <si>
    <t>G-REQ-04738-E1</t>
  </si>
  <si>
    <t>G-REQ-04738-E2</t>
  </si>
  <si>
    <t>SYNTHETIC: Laptop repair; Rejected; asset G-AST-00272</t>
  </si>
  <si>
    <t>G-REQ-04739-E1</t>
  </si>
  <si>
    <t>G-REQ-04739-E2</t>
  </si>
  <si>
    <t>G-REQ-04739-E3</t>
  </si>
  <si>
    <t>G-REQ-04739-E4</t>
  </si>
  <si>
    <t>G-REQ-04740-E1</t>
  </si>
  <si>
    <t>G-REQ-04740-E2</t>
  </si>
  <si>
    <t>G-REQ-04740-E3</t>
  </si>
  <si>
    <t>G-REQ-04740-E4</t>
  </si>
  <si>
    <t>G-REQ-04741-E1</t>
  </si>
  <si>
    <t>G-REQ-04741-E2</t>
  </si>
  <si>
    <t>G-REQ-04741-E3</t>
  </si>
  <si>
    <t>G-REQ-04741-E4</t>
  </si>
  <si>
    <t>G-REQ-04742-E1</t>
  </si>
  <si>
    <t>G-REQ-04742-E2</t>
  </si>
  <si>
    <t>SYNTHETIC: Laptop repair; Cancelled; asset G-AST-00308</t>
  </si>
  <si>
    <t>G-REQ-04743-E1</t>
  </si>
  <si>
    <t>G-REQ-04743-E2</t>
  </si>
  <si>
    <t>G-REQ-04743-E3</t>
  </si>
  <si>
    <t>G-REQ-04743-E4</t>
  </si>
  <si>
    <t>G-REQ-04744-E1</t>
  </si>
  <si>
    <t>G-REQ-04744-E2</t>
  </si>
  <si>
    <t>SYNTHETIC: Laptop repair; Approved; asset G-AST-00158</t>
  </si>
  <si>
    <t>G-REQ-04744-E3</t>
  </si>
  <si>
    <t>SYNTHETIC: Laptop repair; In progress; asset G-AST-00158</t>
  </si>
  <si>
    <t>G-REQ-04744-E4</t>
  </si>
  <si>
    <t>SYNTHETIC: Laptop repair; Completed; asset G-AST-00158</t>
  </si>
  <si>
    <t>G-REQ-04745-E1</t>
  </si>
  <si>
    <t>G-REQ-04745-E2</t>
  </si>
  <si>
    <t>G-REQ-04746-E1</t>
  </si>
  <si>
    <t>G-REQ-04746-E2</t>
  </si>
  <si>
    <t>G-REQ-04746-E3</t>
  </si>
  <si>
    <t>G-REQ-04746-E4</t>
  </si>
  <si>
    <t>G-REQ-04747-E1</t>
  </si>
  <si>
    <t>G-REQ-04747-E2</t>
  </si>
  <si>
    <t>G-REQ-04747-E3</t>
  </si>
  <si>
    <t>G-REQ-04747-E4</t>
  </si>
  <si>
    <t>G-REQ-04748-E1</t>
  </si>
  <si>
    <t>G-REQ-04748-E2</t>
  </si>
  <si>
    <t>G-REQ-04748-E3</t>
  </si>
  <si>
    <t>G-REQ-04748-E4</t>
  </si>
  <si>
    <t>G-REQ-04749-E1</t>
  </si>
  <si>
    <t>G-REQ-04749-E2</t>
  </si>
  <si>
    <t>G-REQ-04749-E3</t>
  </si>
  <si>
    <t>G-REQ-04749-E4</t>
  </si>
  <si>
    <t>G-REQ-04750-E1</t>
  </si>
  <si>
    <t>G-REQ-04750-E2</t>
  </si>
  <si>
    <t>SYNTHETIC: Laptop repair; Cancelled; asset G-AST-00327</t>
  </si>
  <si>
    <t>G-REQ-04751-E1</t>
  </si>
  <si>
    <t>G-REQ-04751-E2</t>
  </si>
  <si>
    <t>G-REQ-04751-E3</t>
  </si>
  <si>
    <t>G-REQ-04751-E4</t>
  </si>
  <si>
    <t>G-REQ-04752-E1</t>
  </si>
  <si>
    <t>G-REQ-04752-E2</t>
  </si>
  <si>
    <t>G-REQ-04752-E3</t>
  </si>
  <si>
    <t>G-REQ-04752-E4</t>
  </si>
  <si>
    <t>G-REQ-04753-E1</t>
  </si>
  <si>
    <t>G-REQ-04753-E2</t>
  </si>
  <si>
    <t>G-REQ-04753-E3</t>
  </si>
  <si>
    <t>G-REQ-04753-E4</t>
  </si>
  <si>
    <t>G-REQ-04754-E1</t>
  </si>
  <si>
    <t>G-REQ-04754-E2</t>
  </si>
  <si>
    <t>G-REQ-04754-E3</t>
  </si>
  <si>
    <t>G-REQ-04754-E4</t>
  </si>
  <si>
    <t>G-REQ-04755-E1</t>
  </si>
  <si>
    <t>G-REQ-04755-E2</t>
  </si>
  <si>
    <t>G-REQ-04755-E3</t>
  </si>
  <si>
    <t>G-REQ-04755-E4</t>
  </si>
  <si>
    <t>G-REQ-04756-E1</t>
  </si>
  <si>
    <t>G-REQ-04756-E2</t>
  </si>
  <si>
    <t>G-REQ-04756-E3</t>
  </si>
  <si>
    <t>G-REQ-04756-E4</t>
  </si>
  <si>
    <t>G-REQ-04757-E1</t>
  </si>
  <si>
    <t>G-REQ-04757-E2</t>
  </si>
  <si>
    <t>G-REQ-04757-E3</t>
  </si>
  <si>
    <t>G-REQ-04757-E4</t>
  </si>
  <si>
    <t>G-REQ-04758-E1</t>
  </si>
  <si>
    <t>G-REQ-04758-E2</t>
  </si>
  <si>
    <t>G-REQ-04758-E3</t>
  </si>
  <si>
    <t>G-REQ-04758-E4</t>
  </si>
  <si>
    <t>G-REQ-04759-E1</t>
  </si>
  <si>
    <t>G-REQ-04759-E2</t>
  </si>
  <si>
    <t>G-REQ-04759-E3</t>
  </si>
  <si>
    <t>G-REQ-04759-E4</t>
  </si>
  <si>
    <t>G-REQ-04760-E1</t>
  </si>
  <si>
    <t>G-REQ-04760-E2</t>
  </si>
  <si>
    <t>G-REQ-04760-E3</t>
  </si>
  <si>
    <t>G-REQ-04760-E4</t>
  </si>
  <si>
    <t>G-REQ-04761-E1</t>
  </si>
  <si>
    <t>G-REQ-04761-E2</t>
  </si>
  <si>
    <t>G-REQ-04761-E3</t>
  </si>
  <si>
    <t>G-REQ-04761-E4</t>
  </si>
  <si>
    <t>G-REQ-04762-E1</t>
  </si>
  <si>
    <t>G-REQ-04762-E2</t>
  </si>
  <si>
    <t>G-REQ-04762-E3</t>
  </si>
  <si>
    <t>G-REQ-04762-E4</t>
  </si>
  <si>
    <t>G-REQ-04763-E1</t>
  </si>
  <si>
    <t>G-REQ-04763-E2</t>
  </si>
  <si>
    <t>G-REQ-04763-E3</t>
  </si>
  <si>
    <t>G-REQ-04763-E4</t>
  </si>
  <si>
    <t>G-REQ-04764-E1</t>
  </si>
  <si>
    <t>G-REQ-04764-E2</t>
  </si>
  <si>
    <t>G-REQ-04765-E1</t>
  </si>
  <si>
    <t>G-REQ-04765-E2</t>
  </si>
  <si>
    <t>G-REQ-04765-E3</t>
  </si>
  <si>
    <t>G-REQ-04765-E4</t>
  </si>
  <si>
    <t>G-REQ-04766-E1</t>
  </si>
  <si>
    <t>G-REQ-04766-E2</t>
  </si>
  <si>
    <t>G-REQ-04766-E3</t>
  </si>
  <si>
    <t>G-REQ-04766-E4</t>
  </si>
  <si>
    <t>G-REQ-04767-E1</t>
  </si>
  <si>
    <t>G-REQ-04767-E2</t>
  </si>
  <si>
    <t>G-REQ-04767-E3</t>
  </si>
  <si>
    <t>G-REQ-04767-E4</t>
  </si>
  <si>
    <t>G-REQ-04768-E1</t>
  </si>
  <si>
    <t>G-REQ-04768-E2</t>
  </si>
  <si>
    <t>G-REQ-04768-E3</t>
  </si>
  <si>
    <t>G-REQ-04768-E4</t>
  </si>
  <si>
    <t>G-REQ-04769-E1</t>
  </si>
  <si>
    <t>G-REQ-04769-E2</t>
  </si>
  <si>
    <t>G-REQ-04769-E3</t>
  </si>
  <si>
    <t>G-REQ-04769-E4</t>
  </si>
  <si>
    <t>G-REQ-04770-E1</t>
  </si>
  <si>
    <t>G-REQ-04770-E2</t>
  </si>
  <si>
    <t>G-REQ-04770-E3</t>
  </si>
  <si>
    <t>G-REQ-04770-E4</t>
  </si>
  <si>
    <t>G-REQ-04771-E1</t>
  </si>
  <si>
    <t>G-REQ-04771-E2</t>
  </si>
  <si>
    <t>G-REQ-04771-E3</t>
  </si>
  <si>
    <t>G-REQ-04771-E4</t>
  </si>
  <si>
    <t>G-REQ-04772-E1</t>
  </si>
  <si>
    <t>G-REQ-04772-E2</t>
  </si>
  <si>
    <t>G-REQ-04772-E3</t>
  </si>
  <si>
    <t>G-REQ-04772-E4</t>
  </si>
  <si>
    <t>G-REQ-04773-E1</t>
  </si>
  <si>
    <t>G-REQ-04773-E2</t>
  </si>
  <si>
    <t>SYNTHETIC: Laptop return; Rejected; asset G-AST-00367</t>
  </si>
  <si>
    <t>G-REQ-04774-E1</t>
  </si>
  <si>
    <t>G-REQ-04774-E2</t>
  </si>
  <si>
    <t>G-REQ-04774-E3</t>
  </si>
  <si>
    <t>G-REQ-04774-E4</t>
  </si>
  <si>
    <t>G-REQ-04775-E1</t>
  </si>
  <si>
    <t>G-REQ-04775-E2</t>
  </si>
  <si>
    <t>G-REQ-04775-E3</t>
  </si>
  <si>
    <t>G-REQ-04775-E4</t>
  </si>
  <si>
    <t>G-REQ-04776-E1</t>
  </si>
  <si>
    <t>G-REQ-04776-E2</t>
  </si>
  <si>
    <t>G-REQ-04776-E3</t>
  </si>
  <si>
    <t>G-REQ-04776-E4</t>
  </si>
  <si>
    <t>G-REQ-04777-E1</t>
  </si>
  <si>
    <t>SYNTHETIC: Laptop repair; Pending approval; asset G-AST-00505</t>
  </si>
  <si>
    <t>G-REQ-04777-E2</t>
  </si>
  <si>
    <t>SYNTHETIC: Laptop repair; Approved; asset G-AST-00505</t>
  </si>
  <si>
    <t>G-REQ-04777-E3</t>
  </si>
  <si>
    <t>SYNTHETIC: Laptop repair; In progress; asset G-AST-00505</t>
  </si>
  <si>
    <t>G-REQ-04777-E4</t>
  </si>
  <si>
    <t>SYNTHETIC: Laptop repair; Completed; asset G-AST-00505</t>
  </si>
  <si>
    <t>G-REQ-04778-E1</t>
  </si>
  <si>
    <t>G-REQ-04778-E2</t>
  </si>
  <si>
    <t>G-REQ-04778-E3</t>
  </si>
  <si>
    <t>G-REQ-04778-E4</t>
  </si>
  <si>
    <t>G-REQ-04779-E1</t>
  </si>
  <si>
    <t>G-REQ-04779-E2</t>
  </si>
  <si>
    <t>G-REQ-04779-E3</t>
  </si>
  <si>
    <t>G-REQ-04779-E4</t>
  </si>
  <si>
    <t>G-REQ-04780-E1</t>
  </si>
  <si>
    <t>G-REQ-04780-E2</t>
  </si>
  <si>
    <t>G-REQ-04781-E1</t>
  </si>
  <si>
    <t>G-REQ-04781-E2</t>
  </si>
  <si>
    <t>G-REQ-04781-E3</t>
  </si>
  <si>
    <t>G-REQ-04781-E4</t>
  </si>
  <si>
    <t>G-REQ-04782-E1</t>
  </si>
  <si>
    <t>G-REQ-04782-E2</t>
  </si>
  <si>
    <t>G-REQ-04782-E3</t>
  </si>
  <si>
    <t>G-REQ-04782-E4</t>
  </si>
  <si>
    <t>G-REQ-04783-E1</t>
  </si>
  <si>
    <t>G-REQ-04783-E2</t>
  </si>
  <si>
    <t>G-REQ-04783-E3</t>
  </si>
  <si>
    <t>G-REQ-04783-E4</t>
  </si>
  <si>
    <t>G-REQ-04784-E1</t>
  </si>
  <si>
    <t>G-REQ-04784-E2</t>
  </si>
  <si>
    <t>G-REQ-04784-E3</t>
  </si>
  <si>
    <t>G-REQ-04784-E4</t>
  </si>
  <si>
    <t>G-REQ-04785-E1</t>
  </si>
  <si>
    <t>G-REQ-04785-E2</t>
  </si>
  <si>
    <t>G-REQ-04785-E3</t>
  </si>
  <si>
    <t>G-REQ-04785-E4</t>
  </si>
  <si>
    <t>G-REQ-04786-E1</t>
  </si>
  <si>
    <t>G-REQ-04786-E2</t>
  </si>
  <si>
    <t>G-REQ-04786-E3</t>
  </si>
  <si>
    <t>G-REQ-04786-E4</t>
  </si>
  <si>
    <t>G-REQ-04787-E1</t>
  </si>
  <si>
    <t>G-REQ-04787-E2</t>
  </si>
  <si>
    <t>SYNTHETIC: Laptop repair; Rejected; asset G-AST-00166</t>
  </si>
  <si>
    <t>G-REQ-04788-E1</t>
  </si>
  <si>
    <t>G-REQ-04788-E2</t>
  </si>
  <si>
    <t>G-REQ-04788-E3</t>
  </si>
  <si>
    <t>G-REQ-04788-E4</t>
  </si>
  <si>
    <t>G-REQ-04789-E1</t>
  </si>
  <si>
    <t>G-REQ-04789-E2</t>
  </si>
  <si>
    <t>G-REQ-04789-E3</t>
  </si>
  <si>
    <t>G-REQ-04789-E4</t>
  </si>
  <si>
    <t>G-REQ-04790-E1</t>
  </si>
  <si>
    <t>G-REQ-04790-E2</t>
  </si>
  <si>
    <t>G-REQ-04790-E3</t>
  </si>
  <si>
    <t>G-REQ-04790-E4</t>
  </si>
  <si>
    <t>G-REQ-04791-E1</t>
  </si>
  <si>
    <t>G-REQ-04791-E2</t>
  </si>
  <si>
    <t>SYNTHETIC: Laptop repair; Cancelled; asset G-AST-00346</t>
  </si>
  <si>
    <t>G-REQ-04792-E1</t>
  </si>
  <si>
    <t>G-REQ-04792-E2</t>
  </si>
  <si>
    <t>G-REQ-04792-E3</t>
  </si>
  <si>
    <t>G-REQ-04792-E4</t>
  </si>
  <si>
    <t>G-REQ-04793-E1</t>
  </si>
  <si>
    <t>G-REQ-04793-E2</t>
  </si>
  <si>
    <t>G-REQ-04793-E3</t>
  </si>
  <si>
    <t>G-REQ-04793-E4</t>
  </si>
  <si>
    <t>G-REQ-04794-E1</t>
  </si>
  <si>
    <t>G-REQ-04794-E2</t>
  </si>
  <si>
    <t>G-REQ-04794-E3</t>
  </si>
  <si>
    <t>G-REQ-04794-E4</t>
  </si>
  <si>
    <t>G-REQ-04795-E1</t>
  </si>
  <si>
    <t>G-REQ-04795-E2</t>
  </si>
  <si>
    <t>G-REQ-04795-E3</t>
  </si>
  <si>
    <t>G-REQ-04795-E4</t>
  </si>
  <si>
    <t>G-REQ-04796-E1</t>
  </si>
  <si>
    <t>G-REQ-04796-E2</t>
  </si>
  <si>
    <t>G-REQ-04796-E3</t>
  </si>
  <si>
    <t>G-REQ-04796-E4</t>
  </si>
  <si>
    <t>G-REQ-04797-E1</t>
  </si>
  <si>
    <t>G-REQ-04797-E2</t>
  </si>
  <si>
    <t>SYNTHETIC: Laptop return; Cancelled; asset G-AST-00327</t>
  </si>
  <si>
    <t>G-REQ-04798-E1</t>
  </si>
  <si>
    <t>G-REQ-04798-E2</t>
  </si>
  <si>
    <t>G-REQ-04798-E3</t>
  </si>
  <si>
    <t>G-REQ-04798-E4</t>
  </si>
  <si>
    <t>G-REQ-04799-E1</t>
  </si>
  <si>
    <t>G-REQ-04799-E2</t>
  </si>
  <si>
    <t>G-REQ-04799-E3</t>
  </si>
  <si>
    <t>G-REQ-04799-E4</t>
  </si>
  <si>
    <t>G-REQ-04800-E1</t>
  </si>
  <si>
    <t>G-REQ-04800-E2</t>
  </si>
  <si>
    <t>G-REQ-04800-E3</t>
  </si>
  <si>
    <t>G-REQ-04800-E4</t>
  </si>
  <si>
    <t>G-REQ-04801-E1</t>
  </si>
  <si>
    <t>G-REQ-04801-E2</t>
  </si>
  <si>
    <t>G-REQ-04801-E3</t>
  </si>
  <si>
    <t>G-REQ-04801-E4</t>
  </si>
  <si>
    <t>G-REQ-04802-E1</t>
  </si>
  <si>
    <t>G-REQ-04802-E2</t>
  </si>
  <si>
    <t>G-REQ-04802-E3</t>
  </si>
  <si>
    <t>G-REQ-04802-E4</t>
  </si>
  <si>
    <t>G-REQ-04803-E1</t>
  </si>
  <si>
    <t>G-REQ-04803-E2</t>
  </si>
  <si>
    <t>SYNTHETIC: Laptop repair; Rejected; asset G-AST-00364</t>
  </si>
  <si>
    <t>G-REQ-04804-E1</t>
  </si>
  <si>
    <t>G-REQ-04804-E2</t>
  </si>
  <si>
    <t>G-REQ-04804-E3</t>
  </si>
  <si>
    <t>G-REQ-04804-E4</t>
  </si>
  <si>
    <t>G-REQ-04805-E1</t>
  </si>
  <si>
    <t>G-REQ-04805-E2</t>
  </si>
  <si>
    <t>G-REQ-04805-E3</t>
  </si>
  <si>
    <t>G-REQ-04805-E4</t>
  </si>
  <si>
    <t>G-REQ-04806-E1</t>
  </si>
  <si>
    <t>G-REQ-04806-E2</t>
  </si>
  <si>
    <t>G-REQ-04806-E3</t>
  </si>
  <si>
    <t>G-REQ-04806-E4</t>
  </si>
  <si>
    <t>G-REQ-04807-E1</t>
  </si>
  <si>
    <t>G-REQ-04807-E2</t>
  </si>
  <si>
    <t>G-REQ-04807-E3</t>
  </si>
  <si>
    <t>G-REQ-04807-E4</t>
  </si>
  <si>
    <t>G-REQ-04808-E1</t>
  </si>
  <si>
    <t>G-REQ-04808-E2</t>
  </si>
  <si>
    <t>G-REQ-04808-E3</t>
  </si>
  <si>
    <t>G-REQ-04808-E4</t>
  </si>
  <si>
    <t>G-REQ-04809-E1</t>
  </si>
  <si>
    <t>G-REQ-04809-E2</t>
  </si>
  <si>
    <t>G-REQ-04809-E3</t>
  </si>
  <si>
    <t>G-REQ-04809-E4</t>
  </si>
  <si>
    <t>G-REQ-04810-E1</t>
  </si>
  <si>
    <t>G-REQ-04810-E2</t>
  </si>
  <si>
    <t>G-REQ-04810-E3</t>
  </si>
  <si>
    <t>G-REQ-04810-E4</t>
  </si>
  <si>
    <t>G-REQ-04811-E1</t>
  </si>
  <si>
    <t>G-REQ-04811-E2</t>
  </si>
  <si>
    <t>G-REQ-04811-E3</t>
  </si>
  <si>
    <t>G-REQ-04811-E4</t>
  </si>
  <si>
    <t>G-REQ-04812-E1</t>
  </si>
  <si>
    <t>G-REQ-04812-E2</t>
  </si>
  <si>
    <t>G-REQ-04812-E3</t>
  </si>
  <si>
    <t>G-REQ-04812-E4</t>
  </si>
  <si>
    <t>G-REQ-04813-E1</t>
  </si>
  <si>
    <t>G-REQ-04813-E2</t>
  </si>
  <si>
    <t>G-REQ-04813-E3</t>
  </si>
  <si>
    <t>G-REQ-04813-E4</t>
  </si>
  <si>
    <t>G-REQ-04814-E1</t>
  </si>
  <si>
    <t>G-REQ-04814-E2</t>
  </si>
  <si>
    <t>G-REQ-04815-E1</t>
  </si>
  <si>
    <t>G-REQ-04815-E2</t>
  </si>
  <si>
    <t>G-REQ-04815-E3</t>
  </si>
  <si>
    <t>G-REQ-04815-E4</t>
  </si>
  <si>
    <t>G-REQ-04816-E1</t>
  </si>
  <si>
    <t>G-REQ-04816-E2</t>
  </si>
  <si>
    <t>G-REQ-04816-E3</t>
  </si>
  <si>
    <t>G-REQ-04816-E4</t>
  </si>
  <si>
    <t>G-REQ-04817-E1</t>
  </si>
  <si>
    <t>G-REQ-04817-E2</t>
  </si>
  <si>
    <t>G-REQ-04817-E3</t>
  </si>
  <si>
    <t>G-REQ-04817-E4</t>
  </si>
  <si>
    <t>G-REQ-04818-E1</t>
  </si>
  <si>
    <t>G-REQ-04818-E2</t>
  </si>
  <si>
    <t>G-REQ-04818-E3</t>
  </si>
  <si>
    <t>G-REQ-04818-E4</t>
  </si>
  <si>
    <t>G-REQ-04819-E1</t>
  </si>
  <si>
    <t>G-REQ-04819-E2</t>
  </si>
  <si>
    <t>G-REQ-04819-E3</t>
  </si>
  <si>
    <t>G-REQ-04819-E4</t>
  </si>
  <si>
    <t>G-REQ-04820-E1</t>
  </si>
  <si>
    <t>G-REQ-04820-E2</t>
  </si>
  <si>
    <t>G-REQ-04820-E3</t>
  </si>
  <si>
    <t>G-REQ-04820-E4</t>
  </si>
  <si>
    <t>G-REQ-04821-E1</t>
  </si>
  <si>
    <t>G-REQ-04821-E2</t>
  </si>
  <si>
    <t>G-REQ-04822-E1</t>
  </si>
  <si>
    <t>G-REQ-04822-E2</t>
  </si>
  <si>
    <t>G-REQ-04822-E3</t>
  </si>
  <si>
    <t>G-REQ-04822-E4</t>
  </si>
  <si>
    <t>G-REQ-04823-E1</t>
  </si>
  <si>
    <t>G-REQ-04823-E2</t>
  </si>
  <si>
    <t>SYNTHETIC: Laptop return; Cancelled; asset G-AST-00202</t>
  </si>
  <si>
    <t>G-REQ-04824-E1</t>
  </si>
  <si>
    <t>G-REQ-04824-E2</t>
  </si>
  <si>
    <t>G-REQ-04824-E3</t>
  </si>
  <si>
    <t>G-REQ-04824-E4</t>
  </si>
  <si>
    <t>G-REQ-04825-E1</t>
  </si>
  <si>
    <t>G-REQ-04825-E2</t>
  </si>
  <si>
    <t>G-REQ-04825-E3</t>
  </si>
  <si>
    <t>G-REQ-04825-E4</t>
  </si>
  <si>
    <t>G-REQ-04826-E1</t>
  </si>
  <si>
    <t>G-REQ-04826-E2</t>
  </si>
  <si>
    <t>G-REQ-04826-E3</t>
  </si>
  <si>
    <t>G-REQ-04826-E4</t>
  </si>
  <si>
    <t>G-REQ-04827-E1</t>
  </si>
  <si>
    <t>G-REQ-04827-E2</t>
  </si>
  <si>
    <t>G-REQ-04827-E3</t>
  </si>
  <si>
    <t>G-REQ-04827-E4</t>
  </si>
  <si>
    <t>G-REQ-04828-E1</t>
  </si>
  <si>
    <t>G-REQ-04828-E2</t>
  </si>
  <si>
    <t>G-REQ-04829-E1</t>
  </si>
  <si>
    <t>G-REQ-04829-E2</t>
  </si>
  <si>
    <t>G-REQ-04829-E3</t>
  </si>
  <si>
    <t>G-REQ-04829-E4</t>
  </si>
  <si>
    <t>G-REQ-04830-E1</t>
  </si>
  <si>
    <t>G-REQ-04830-E2</t>
  </si>
  <si>
    <t>G-REQ-04830-E3</t>
  </si>
  <si>
    <t>G-REQ-04830-E4</t>
  </si>
  <si>
    <t>G-REQ-04831-E1</t>
  </si>
  <si>
    <t>G-REQ-04831-E2</t>
  </si>
  <si>
    <t>G-REQ-04831-E3</t>
  </si>
  <si>
    <t>G-REQ-04831-E4</t>
  </si>
  <si>
    <t>G-REQ-04832-E1</t>
  </si>
  <si>
    <t>G-REQ-04832-E2</t>
  </si>
  <si>
    <t>G-REQ-04832-E3</t>
  </si>
  <si>
    <t>G-REQ-04832-E4</t>
  </si>
  <si>
    <t>G-REQ-04833-E1</t>
  </si>
  <si>
    <t>G-REQ-04833-E2</t>
  </si>
  <si>
    <t>G-REQ-04833-E3</t>
  </si>
  <si>
    <t>G-REQ-04833-E4</t>
  </si>
  <si>
    <t>G-REQ-04834-E1</t>
  </si>
  <si>
    <t>SYNTHETIC: Laptop repair; Pending approval; asset G-AST-00312</t>
  </si>
  <si>
    <t>G-REQ-04834-E2</t>
  </si>
  <si>
    <t>SYNTHETIC: Laptop repair; Approved; asset G-AST-00312</t>
  </si>
  <si>
    <t>G-REQ-04834-E3</t>
  </si>
  <si>
    <t>SYNTHETIC: Laptop repair; In progress; asset G-AST-00312</t>
  </si>
  <si>
    <t>G-REQ-04834-E4</t>
  </si>
  <si>
    <t>SYNTHETIC: Laptop repair; Completed; asset G-AST-00312</t>
  </si>
  <si>
    <t>G-REQ-04835-E1</t>
  </si>
  <si>
    <t>G-REQ-04835-E2</t>
  </si>
  <si>
    <t>G-REQ-04836-E1</t>
  </si>
  <si>
    <t>G-REQ-04836-E2</t>
  </si>
  <si>
    <t>G-REQ-04836-E3</t>
  </si>
  <si>
    <t>G-REQ-04836-E4</t>
  </si>
  <si>
    <t>G-REQ-04837-E1</t>
  </si>
  <si>
    <t>G-REQ-04837-E2</t>
  </si>
  <si>
    <t>SYNTHETIC: Laptop repair; Cancelled; asset G-AST-00182</t>
  </si>
  <si>
    <t>G-REQ-04838-E1</t>
  </si>
  <si>
    <t>G-REQ-04838-E2</t>
  </si>
  <si>
    <t>G-REQ-04838-E3</t>
  </si>
  <si>
    <t>G-REQ-04838-E4</t>
  </si>
  <si>
    <t>G-REQ-04839-E1</t>
  </si>
  <si>
    <t>G-REQ-04839-E2</t>
  </si>
  <si>
    <t>G-REQ-04839-E3</t>
  </si>
  <si>
    <t>G-REQ-04839-E4</t>
  </si>
  <si>
    <t>G-REQ-04840-E1</t>
  </si>
  <si>
    <t>G-REQ-04840-E2</t>
  </si>
  <si>
    <t>G-REQ-04840-E3</t>
  </si>
  <si>
    <t>G-REQ-04840-E4</t>
  </si>
  <si>
    <t>G-REQ-04841-E1</t>
  </si>
  <si>
    <t>G-REQ-04841-E2</t>
  </si>
  <si>
    <t>G-REQ-04841-E3</t>
  </si>
  <si>
    <t>G-REQ-04841-E4</t>
  </si>
  <si>
    <t>G-REQ-04842-E1</t>
  </si>
  <si>
    <t>G-REQ-04842-E2</t>
  </si>
  <si>
    <t>G-REQ-04842-E3</t>
  </si>
  <si>
    <t>G-REQ-04842-E4</t>
  </si>
  <si>
    <t>G-REQ-04843-E1</t>
  </si>
  <si>
    <t>G-REQ-04843-E2</t>
  </si>
  <si>
    <t>G-REQ-04843-E3</t>
  </si>
  <si>
    <t>G-REQ-04843-E4</t>
  </si>
  <si>
    <t>G-REQ-04844-E1</t>
  </si>
  <si>
    <t>SYNTHETIC: Laptop repair; Pending approval; asset G-AST-00360</t>
  </si>
  <si>
    <t>G-REQ-04844-E2</t>
  </si>
  <si>
    <t>SYNTHETIC: Laptop repair; Approved; asset G-AST-00360</t>
  </si>
  <si>
    <t>G-REQ-04844-E3</t>
  </si>
  <si>
    <t>SYNTHETIC: Laptop repair; In progress; asset G-AST-00360</t>
  </si>
  <si>
    <t>G-REQ-04844-E4</t>
  </si>
  <si>
    <t>SYNTHETIC: Laptop repair; Completed; asset G-AST-00360</t>
  </si>
  <si>
    <t>G-REQ-04845-E1</t>
  </si>
  <si>
    <t>G-REQ-04845-E2</t>
  </si>
  <si>
    <t>G-REQ-04845-E3</t>
  </si>
  <si>
    <t>G-REQ-04845-E4</t>
  </si>
  <si>
    <t>G-REQ-04846-E1</t>
  </si>
  <si>
    <t>G-REQ-04846-E2</t>
  </si>
  <si>
    <t>SYNTHETIC: Laptop return; Approved; asset G-AST-00531</t>
  </si>
  <si>
    <t>G-REQ-04846-E3</t>
  </si>
  <si>
    <t>SYNTHETIC: Laptop return; In progress; asset G-AST-00531</t>
  </si>
  <si>
    <t>G-REQ-04846-E4</t>
  </si>
  <si>
    <t>SYNTHETIC: Laptop return; Completed; asset G-AST-00531</t>
  </si>
  <si>
    <t>G-REQ-04847-E1</t>
  </si>
  <si>
    <t>G-REQ-04847-E2</t>
  </si>
  <si>
    <t>SYNTHETIC: Laptop return; Rejected; asset G-AST-00374</t>
  </si>
  <si>
    <t>G-REQ-04848-E1</t>
  </si>
  <si>
    <t>G-REQ-04848-E2</t>
  </si>
  <si>
    <t>G-REQ-04848-E3</t>
  </si>
  <si>
    <t>G-REQ-04848-E4</t>
  </si>
  <si>
    <t>G-REQ-04849-E1</t>
  </si>
  <si>
    <t>G-REQ-04849-E2</t>
  </si>
  <si>
    <t>G-REQ-04849-E3</t>
  </si>
  <si>
    <t>G-REQ-04849-E4</t>
  </si>
  <si>
    <t>G-REQ-04850-E1</t>
  </si>
  <si>
    <t>G-REQ-04850-E2</t>
  </si>
  <si>
    <t>G-REQ-04850-E3</t>
  </si>
  <si>
    <t>G-REQ-04850-E4</t>
  </si>
  <si>
    <t>G-REQ-04851-E1</t>
  </si>
  <si>
    <t>G-REQ-04851-E2</t>
  </si>
  <si>
    <t>G-REQ-04851-E3</t>
  </si>
  <si>
    <t>G-REQ-04851-E4</t>
  </si>
  <si>
    <t>G-REQ-04852-E1</t>
  </si>
  <si>
    <t>G-REQ-04852-E2</t>
  </si>
  <si>
    <t>G-REQ-04852-E3</t>
  </si>
  <si>
    <t>G-REQ-04852-E4</t>
  </si>
  <si>
    <t>G-REQ-04853-E1</t>
  </si>
  <si>
    <t>G-REQ-04853-E2</t>
  </si>
  <si>
    <t>G-REQ-04853-E3</t>
  </si>
  <si>
    <t>G-REQ-04853-E4</t>
  </si>
  <si>
    <t>G-REQ-04854-E1</t>
  </si>
  <si>
    <t>G-REQ-04854-E2</t>
  </si>
  <si>
    <t>G-REQ-04854-E3</t>
  </si>
  <si>
    <t>G-REQ-04854-E4</t>
  </si>
  <si>
    <t>G-REQ-04855-E1</t>
  </si>
  <si>
    <t>G-REQ-04855-E2</t>
  </si>
  <si>
    <t>G-REQ-04855-E3</t>
  </si>
  <si>
    <t>G-REQ-04855-E4</t>
  </si>
  <si>
    <t>G-REQ-04856-E1</t>
  </si>
  <si>
    <t>G-REQ-04856-E2</t>
  </si>
  <si>
    <t>G-REQ-04856-E3</t>
  </si>
  <si>
    <t>G-REQ-04856-E4</t>
  </si>
  <si>
    <t>G-REQ-04857-E1</t>
  </si>
  <si>
    <t>G-REQ-04857-E2</t>
  </si>
  <si>
    <t>G-REQ-04858-E1</t>
  </si>
  <si>
    <t>G-REQ-04858-E2</t>
  </si>
  <si>
    <t>G-REQ-04858-E3</t>
  </si>
  <si>
    <t>G-REQ-04858-E4</t>
  </si>
  <si>
    <t>G-REQ-04859-E1</t>
  </si>
  <si>
    <t>G-REQ-04859-E2</t>
  </si>
  <si>
    <t>G-REQ-04859-E3</t>
  </si>
  <si>
    <t>G-REQ-04859-E4</t>
  </si>
  <si>
    <t>G-REQ-04860-E1</t>
  </si>
  <si>
    <t>G-REQ-04860-E2</t>
  </si>
  <si>
    <t>SYNTHETIC: Laptop repair; Rejected; asset G-AST-00385</t>
  </si>
  <si>
    <t>G-REQ-04861-E1</t>
  </si>
  <si>
    <t>G-REQ-04861-E2</t>
  </si>
  <si>
    <t>G-REQ-04861-E3</t>
  </si>
  <si>
    <t>G-REQ-04861-E4</t>
  </si>
  <si>
    <t>G-REQ-04862-E1</t>
  </si>
  <si>
    <t>G-REQ-04862-E2</t>
  </si>
  <si>
    <t>G-REQ-04862-E3</t>
  </si>
  <si>
    <t>G-REQ-04862-E4</t>
  </si>
  <si>
    <t>G-REQ-04863-E1</t>
  </si>
  <si>
    <t>G-REQ-04863-E2</t>
  </si>
  <si>
    <t>G-REQ-04863-E3</t>
  </si>
  <si>
    <t>G-REQ-04863-E4</t>
  </si>
  <si>
    <t>G-REQ-04864-E1</t>
  </si>
  <si>
    <t>G-REQ-04864-E2</t>
  </si>
  <si>
    <t>G-REQ-04864-E3</t>
  </si>
  <si>
    <t>G-REQ-04864-E4</t>
  </si>
  <si>
    <t>G-REQ-04865-E1</t>
  </si>
  <si>
    <t>G-REQ-04865-E2</t>
  </si>
  <si>
    <t>G-REQ-04865-E3</t>
  </si>
  <si>
    <t>G-REQ-04865-E4</t>
  </si>
  <si>
    <t>G-REQ-04866-E1</t>
  </si>
  <si>
    <t>G-REQ-04866-E2</t>
  </si>
  <si>
    <t>G-REQ-04866-E3</t>
  </si>
  <si>
    <t>G-REQ-04866-E4</t>
  </si>
  <si>
    <t>G-REQ-04867-E1</t>
  </si>
  <si>
    <t>G-REQ-04867-E2</t>
  </si>
  <si>
    <t>G-REQ-04867-E3</t>
  </si>
  <si>
    <t>G-REQ-04867-E4</t>
  </si>
  <si>
    <t>G-REQ-04868-E1</t>
  </si>
  <si>
    <t>G-REQ-04868-E2</t>
  </si>
  <si>
    <t>G-REQ-04868-E3</t>
  </si>
  <si>
    <t>G-REQ-04868-E4</t>
  </si>
  <si>
    <t>G-REQ-04869-E1</t>
  </si>
  <si>
    <t>G-REQ-04869-E2</t>
  </si>
  <si>
    <t>G-REQ-04869-E3</t>
  </si>
  <si>
    <t>G-REQ-04869-E4</t>
  </si>
  <si>
    <t>G-REQ-04870-E1</t>
  </si>
  <si>
    <t>G-REQ-04870-E2</t>
  </si>
  <si>
    <t>G-REQ-04870-E3</t>
  </si>
  <si>
    <t>G-REQ-04870-E4</t>
  </si>
  <si>
    <t>G-REQ-04871-E1</t>
  </si>
  <si>
    <t>G-REQ-04871-E2</t>
  </si>
  <si>
    <t>G-REQ-04871-E3</t>
  </si>
  <si>
    <t>G-REQ-04871-E4</t>
  </si>
  <si>
    <t>G-REQ-04872-E1</t>
  </si>
  <si>
    <t>G-REQ-04872-E2</t>
  </si>
  <si>
    <t>G-REQ-04872-E3</t>
  </si>
  <si>
    <t>G-REQ-04872-E4</t>
  </si>
  <si>
    <t>G-REQ-04873-E1</t>
  </si>
  <si>
    <t>G-REQ-04873-E2</t>
  </si>
  <si>
    <t>G-REQ-04873-E3</t>
  </si>
  <si>
    <t>G-REQ-04873-E4</t>
  </si>
  <si>
    <t>G-REQ-04874-E1</t>
  </si>
  <si>
    <t>G-REQ-04874-E2</t>
  </si>
  <si>
    <t>G-REQ-04874-E3</t>
  </si>
  <si>
    <t>G-REQ-04874-E4</t>
  </si>
  <si>
    <t>G-REQ-04875-E1</t>
  </si>
  <si>
    <t>G-REQ-04875-E2</t>
  </si>
  <si>
    <t>G-REQ-04875-E3</t>
  </si>
  <si>
    <t>G-REQ-04875-E4</t>
  </si>
  <si>
    <t>G-REQ-04876-E1</t>
  </si>
  <si>
    <t>G-REQ-04876-E2</t>
  </si>
  <si>
    <t>G-REQ-04876-E3</t>
  </si>
  <si>
    <t>G-REQ-04876-E4</t>
  </si>
  <si>
    <t>G-REQ-04877-E1</t>
  </si>
  <si>
    <t>G-REQ-04877-E2</t>
  </si>
  <si>
    <t>G-REQ-04877-E3</t>
  </si>
  <si>
    <t>G-REQ-04877-E4</t>
  </si>
  <si>
    <t>G-REQ-04878-E1</t>
  </si>
  <si>
    <t>G-REQ-04878-E2</t>
  </si>
  <si>
    <t>G-REQ-04878-E3</t>
  </si>
  <si>
    <t>G-REQ-04878-E4</t>
  </si>
  <si>
    <t>G-REQ-04879-E1</t>
  </si>
  <si>
    <t>G-REQ-04879-E2</t>
  </si>
  <si>
    <t>SYNTHETIC: Laptop return; Cancelled; asset G-AST-00370</t>
  </si>
  <si>
    <t>G-REQ-04880-E1</t>
  </si>
  <si>
    <t>G-REQ-04880-E2</t>
  </si>
  <si>
    <t>G-REQ-04880-E3</t>
  </si>
  <si>
    <t>G-REQ-04880-E4</t>
  </si>
  <si>
    <t>G-REQ-04881-E1</t>
  </si>
  <si>
    <t>G-REQ-04881-E2</t>
  </si>
  <si>
    <t>G-REQ-04881-E3</t>
  </si>
  <si>
    <t>G-REQ-04881-E4</t>
  </si>
  <si>
    <t>G-REQ-04882-E1</t>
  </si>
  <si>
    <t>G-REQ-04882-E2</t>
  </si>
  <si>
    <t>G-REQ-04882-E3</t>
  </si>
  <si>
    <t>G-REQ-04882-E4</t>
  </si>
  <si>
    <t>G-REQ-04883-E1</t>
  </si>
  <si>
    <t>G-REQ-04883-E2</t>
  </si>
  <si>
    <t>SYNTHETIC: Laptop repair; Cancelled; asset G-AST-00420</t>
  </si>
  <si>
    <t>G-REQ-04884-E1</t>
  </si>
  <si>
    <t>G-REQ-04884-E2</t>
  </si>
  <si>
    <t>G-REQ-04884-E3</t>
  </si>
  <si>
    <t>G-REQ-04884-E4</t>
  </si>
  <si>
    <t>G-REQ-04885-E1</t>
  </si>
  <si>
    <t>G-REQ-04885-E2</t>
  </si>
  <si>
    <t>G-REQ-04885-E3</t>
  </si>
  <si>
    <t>G-REQ-04885-E4</t>
  </si>
  <si>
    <t>G-REQ-04886-E1</t>
  </si>
  <si>
    <t>G-REQ-04886-E2</t>
  </si>
  <si>
    <t>G-REQ-04886-E3</t>
  </si>
  <si>
    <t>G-REQ-04886-E4</t>
  </si>
  <si>
    <t>G-REQ-04887-E1</t>
  </si>
  <si>
    <t>G-REQ-04887-E2</t>
  </si>
  <si>
    <t>G-REQ-04887-E3</t>
  </si>
  <si>
    <t>G-REQ-04887-E4</t>
  </si>
  <si>
    <t>G-REQ-04888-E1</t>
  </si>
  <si>
    <t>G-REQ-04888-E2</t>
  </si>
  <si>
    <t>G-REQ-04888-E3</t>
  </si>
  <si>
    <t>G-REQ-04888-E4</t>
  </si>
  <si>
    <t>G-REQ-04889-E1</t>
  </si>
  <si>
    <t>G-REQ-04889-E2</t>
  </si>
  <si>
    <t>G-REQ-04889-E3</t>
  </si>
  <si>
    <t>G-REQ-04889-E4</t>
  </si>
  <si>
    <t>G-REQ-04890-E1</t>
  </si>
  <si>
    <t>G-REQ-04890-E2</t>
  </si>
  <si>
    <t>G-REQ-04890-E3</t>
  </si>
  <si>
    <t>G-REQ-04890-E4</t>
  </si>
  <si>
    <t>G-REQ-04891-E1</t>
  </si>
  <si>
    <t>SYNTHETIC: Laptop repair; Pending approval; asset G-AST-00350</t>
  </si>
  <si>
    <t>G-REQ-04891-E2</t>
  </si>
  <si>
    <t>SYNTHETIC: Laptop repair; Approved; asset G-AST-00350</t>
  </si>
  <si>
    <t>G-REQ-04891-E3</t>
  </si>
  <si>
    <t>SYNTHETIC: Laptop repair; In progress; asset G-AST-00350</t>
  </si>
  <si>
    <t>G-REQ-04891-E4</t>
  </si>
  <si>
    <t>SYNTHETIC: Laptop repair; Completed; asset G-AST-00350</t>
  </si>
  <si>
    <t>G-REQ-04892-E1</t>
  </si>
  <si>
    <t>G-REQ-04892-E2</t>
  </si>
  <si>
    <t>G-REQ-04892-E3</t>
  </si>
  <si>
    <t>G-REQ-04892-E4</t>
  </si>
  <si>
    <t>G-REQ-04893-E1</t>
  </si>
  <si>
    <t>G-REQ-04893-E2</t>
  </si>
  <si>
    <t>G-REQ-04893-E3</t>
  </si>
  <si>
    <t>G-REQ-04893-E4</t>
  </si>
  <si>
    <t>G-REQ-04894-E1</t>
  </si>
  <si>
    <t>G-REQ-04894-E2</t>
  </si>
  <si>
    <t>G-REQ-04894-E3</t>
  </si>
  <si>
    <t>G-REQ-04894-E4</t>
  </si>
  <si>
    <t>G-REQ-04895-E1</t>
  </si>
  <si>
    <t>G-REQ-04895-E2</t>
  </si>
  <si>
    <t>G-REQ-04895-E3</t>
  </si>
  <si>
    <t>G-REQ-04895-E4</t>
  </si>
  <si>
    <t>G-REQ-04896-E1</t>
  </si>
  <si>
    <t>G-REQ-04896-E2</t>
  </si>
  <si>
    <t>G-REQ-04896-E3</t>
  </si>
  <si>
    <t>G-REQ-04896-E4</t>
  </si>
  <si>
    <t>G-REQ-04897-E1</t>
  </si>
  <si>
    <t>G-REQ-04897-E2</t>
  </si>
  <si>
    <t>G-REQ-04897-E3</t>
  </si>
  <si>
    <t>G-REQ-04897-E4</t>
  </si>
  <si>
    <t>G-REQ-04898-E1</t>
  </si>
  <si>
    <t>G-REQ-04898-E2</t>
  </si>
  <si>
    <t>G-REQ-04898-E3</t>
  </si>
  <si>
    <t>G-REQ-04898-E4</t>
  </si>
  <si>
    <t>G-REQ-04899-E1</t>
  </si>
  <si>
    <t>SYNTHETIC: Laptop repair; Pending approval; asset G-AST-00336</t>
  </si>
  <si>
    <t>G-REQ-04899-E2</t>
  </si>
  <si>
    <t>SYNTHETIC: Laptop repair; Rejected; asset G-AST-00336</t>
  </si>
  <si>
    <t>G-REQ-04900-E1</t>
  </si>
  <si>
    <t>G-REQ-04900-E2</t>
  </si>
  <si>
    <t>G-REQ-04900-E3</t>
  </si>
  <si>
    <t>G-REQ-04900-E4</t>
  </si>
  <si>
    <t>G-REQ-04901-E1</t>
  </si>
  <si>
    <t>G-REQ-04901-E2</t>
  </si>
  <si>
    <t>G-REQ-04901-E3</t>
  </si>
  <si>
    <t>G-REQ-04901-E4</t>
  </si>
  <si>
    <t>G-REQ-04902-E1</t>
  </si>
  <si>
    <t>G-REQ-04902-E2</t>
  </si>
  <si>
    <t>G-REQ-04902-E3</t>
  </si>
  <si>
    <t>G-REQ-04902-E4</t>
  </si>
  <si>
    <t>G-REQ-04903-E1</t>
  </si>
  <si>
    <t>G-REQ-04903-E2</t>
  </si>
  <si>
    <t>G-REQ-04903-E3</t>
  </si>
  <si>
    <t>G-REQ-04903-E4</t>
  </si>
  <si>
    <t>G-REQ-04904-E1</t>
  </si>
  <si>
    <t>G-REQ-04904-E2</t>
  </si>
  <si>
    <t>G-REQ-04905-E1</t>
  </si>
  <si>
    <t>G-REQ-04905-E2</t>
  </si>
  <si>
    <t>G-REQ-04905-E3</t>
  </si>
  <si>
    <t>G-REQ-04905-E4</t>
  </si>
  <si>
    <t>G-REQ-04906-E1</t>
  </si>
  <si>
    <t>G-REQ-04906-E2</t>
  </si>
  <si>
    <t>G-REQ-04906-E3</t>
  </si>
  <si>
    <t>G-REQ-04906-E4</t>
  </si>
  <si>
    <t>G-REQ-04907-E1</t>
  </si>
  <si>
    <t>G-REQ-04907-E2</t>
  </si>
  <si>
    <t>G-REQ-04907-E3</t>
  </si>
  <si>
    <t>G-REQ-04907-E4</t>
  </si>
  <si>
    <t>G-REQ-04908-E1</t>
  </si>
  <si>
    <t>G-REQ-04908-E2</t>
  </si>
  <si>
    <t>G-REQ-04908-E3</t>
  </si>
  <si>
    <t>G-REQ-04908-E4</t>
  </si>
  <si>
    <t>G-REQ-04909-E1</t>
  </si>
  <si>
    <t>G-REQ-04909-E2</t>
  </si>
  <si>
    <t>G-REQ-04909-E3</t>
  </si>
  <si>
    <t>G-REQ-04909-E4</t>
  </si>
  <si>
    <t>G-REQ-04910-E1</t>
  </si>
  <si>
    <t>G-REQ-04910-E2</t>
  </si>
  <si>
    <t>G-REQ-04910-E3</t>
  </si>
  <si>
    <t>G-REQ-04910-E4</t>
  </si>
  <si>
    <t>G-REQ-04911-E1</t>
  </si>
  <si>
    <t>G-REQ-04911-E2</t>
  </si>
  <si>
    <t>G-REQ-04911-E3</t>
  </si>
  <si>
    <t>G-REQ-04911-E4</t>
  </si>
  <si>
    <t>G-REQ-04912-E1</t>
  </si>
  <si>
    <t>G-REQ-04912-E2</t>
  </si>
  <si>
    <t>G-REQ-04912-E3</t>
  </si>
  <si>
    <t>G-REQ-04912-E4</t>
  </si>
  <si>
    <t>G-REQ-04913-E1</t>
  </si>
  <si>
    <t>G-REQ-04913-E2</t>
  </si>
  <si>
    <t>G-REQ-04913-E3</t>
  </si>
  <si>
    <t>G-REQ-04913-E4</t>
  </si>
  <si>
    <t>G-REQ-04914-E1</t>
  </si>
  <si>
    <t>G-REQ-04914-E2</t>
  </si>
  <si>
    <t>G-REQ-04914-E3</t>
  </si>
  <si>
    <t>G-REQ-04914-E4</t>
  </si>
  <si>
    <t>G-REQ-04915-E1</t>
  </si>
  <si>
    <t>G-REQ-04915-E2</t>
  </si>
  <si>
    <t>G-REQ-04915-E3</t>
  </si>
  <si>
    <t>G-REQ-04915-E4</t>
  </si>
  <si>
    <t>G-REQ-04916-E1</t>
  </si>
  <si>
    <t>G-REQ-04916-E2</t>
  </si>
  <si>
    <t>G-REQ-04916-E3</t>
  </si>
  <si>
    <t>G-REQ-04916-E4</t>
  </si>
  <si>
    <t>G-REQ-04917-E1</t>
  </si>
  <si>
    <t>G-REQ-04917-E2</t>
  </si>
  <si>
    <t>G-REQ-04917-E3</t>
  </si>
  <si>
    <t>G-REQ-04917-E4</t>
  </si>
  <si>
    <t>G-REQ-04918-E1</t>
  </si>
  <si>
    <t>G-REQ-04918-E2</t>
  </si>
  <si>
    <t>G-REQ-04918-E3</t>
  </si>
  <si>
    <t>G-REQ-04918-E4</t>
  </si>
  <si>
    <t>G-REQ-04919-E1</t>
  </si>
  <si>
    <t>G-REQ-04919-E2</t>
  </si>
  <si>
    <t>G-REQ-04919-E3</t>
  </si>
  <si>
    <t>G-REQ-04919-E4</t>
  </si>
  <si>
    <t>G-REQ-04920-E1</t>
  </si>
  <si>
    <t>G-REQ-04920-E2</t>
  </si>
  <si>
    <t>G-REQ-04920-E3</t>
  </si>
  <si>
    <t>G-REQ-04920-E4</t>
  </si>
  <si>
    <t>G-REQ-04921-E1</t>
  </si>
  <si>
    <t>G-REQ-04921-E2</t>
  </si>
  <si>
    <t>G-REQ-04921-E3</t>
  </si>
  <si>
    <t>G-REQ-04921-E4</t>
  </si>
  <si>
    <t>G-REQ-04922-E1</t>
  </si>
  <si>
    <t>G-REQ-04922-E2</t>
  </si>
  <si>
    <t>G-REQ-04922-E3</t>
  </si>
  <si>
    <t>G-REQ-04922-E4</t>
  </si>
  <si>
    <t>G-REQ-04923-E1</t>
  </si>
  <si>
    <t>G-REQ-04923-E2</t>
  </si>
  <si>
    <t>G-REQ-04923-E3</t>
  </si>
  <si>
    <t>G-REQ-04923-E4</t>
  </si>
  <si>
    <t>G-REQ-04924-E1</t>
  </si>
  <si>
    <t>G-REQ-04924-E2</t>
  </si>
  <si>
    <t>G-REQ-04924-E3</t>
  </si>
  <si>
    <t>G-REQ-04924-E4</t>
  </si>
  <si>
    <t>G-REQ-04925-E1</t>
  </si>
  <si>
    <t>G-REQ-04925-E2</t>
  </si>
  <si>
    <t>G-REQ-04925-E3</t>
  </si>
  <si>
    <t>G-REQ-04925-E4</t>
  </si>
  <si>
    <t>G-REQ-04926-E1</t>
  </si>
  <si>
    <t>G-REQ-04926-E2</t>
  </si>
  <si>
    <t>G-REQ-04926-E3</t>
  </si>
  <si>
    <t>G-REQ-04926-E4</t>
  </si>
  <si>
    <t>G-REQ-04927-E1</t>
  </si>
  <si>
    <t>G-REQ-04927-E2</t>
  </si>
  <si>
    <t>G-REQ-04927-E3</t>
  </si>
  <si>
    <t>G-REQ-04927-E4</t>
  </si>
  <si>
    <t>G-REQ-04928-E1</t>
  </si>
  <si>
    <t>G-REQ-04928-E2</t>
  </si>
  <si>
    <t>G-REQ-04928-E3</t>
  </si>
  <si>
    <t>G-REQ-04928-E4</t>
  </si>
  <si>
    <t>G-REQ-04929-E1</t>
  </si>
  <si>
    <t>G-REQ-04929-E2</t>
  </si>
  <si>
    <t>G-REQ-04929-E3</t>
  </si>
  <si>
    <t>G-REQ-04929-E4</t>
  </si>
  <si>
    <t>G-REQ-04930-E1</t>
  </si>
  <si>
    <t>G-REQ-04930-E2</t>
  </si>
  <si>
    <t>G-REQ-04930-E3</t>
  </si>
  <si>
    <t>G-REQ-04930-E4</t>
  </si>
  <si>
    <t>G-REQ-04931-E1</t>
  </si>
  <si>
    <t>G-REQ-04931-E2</t>
  </si>
  <si>
    <t>G-REQ-04931-E3</t>
  </si>
  <si>
    <t>G-REQ-04931-E4</t>
  </si>
  <si>
    <t>G-REQ-04932-E1</t>
  </si>
  <si>
    <t>G-REQ-04932-E2</t>
  </si>
  <si>
    <t>G-REQ-04932-E3</t>
  </si>
  <si>
    <t>G-REQ-04932-E4</t>
  </si>
  <si>
    <t>G-REQ-04933-E1</t>
  </si>
  <si>
    <t>G-REQ-04933-E2</t>
  </si>
  <si>
    <t>SYNTHETIC: Laptop return; Rejected; asset G-AST-00255</t>
  </si>
  <si>
    <t>G-REQ-04934-E1</t>
  </si>
  <si>
    <t>G-REQ-04934-E2</t>
  </si>
  <si>
    <t>G-REQ-04934-E3</t>
  </si>
  <si>
    <t>G-REQ-04934-E4</t>
  </si>
  <si>
    <t>G-REQ-04935-E1</t>
  </si>
  <si>
    <t>G-REQ-04935-E2</t>
  </si>
  <si>
    <t>G-REQ-04935-E3</t>
  </si>
  <si>
    <t>G-REQ-04935-E4</t>
  </si>
  <si>
    <t>G-REQ-04936-E1</t>
  </si>
  <si>
    <t>G-REQ-04936-E2</t>
  </si>
  <si>
    <t>G-REQ-04936-E3</t>
  </si>
  <si>
    <t>G-REQ-04936-E4</t>
  </si>
  <si>
    <t>G-REQ-04937-E1</t>
  </si>
  <si>
    <t>G-REQ-04937-E2</t>
  </si>
  <si>
    <t>G-REQ-04937-E3</t>
  </si>
  <si>
    <t>G-REQ-04937-E4</t>
  </si>
  <si>
    <t>G-REQ-04938-E1</t>
  </si>
  <si>
    <t>G-REQ-04938-E2</t>
  </si>
  <si>
    <t>G-REQ-04938-E3</t>
  </si>
  <si>
    <t>G-REQ-04938-E4</t>
  </si>
  <si>
    <t>G-REQ-04939-E1</t>
  </si>
  <si>
    <t>G-REQ-04939-E2</t>
  </si>
  <si>
    <t>G-REQ-04939-E3</t>
  </si>
  <si>
    <t>G-REQ-04939-E4</t>
  </si>
  <si>
    <t>G-REQ-04940-E1</t>
  </si>
  <si>
    <t>G-REQ-04940-E2</t>
  </si>
  <si>
    <t>G-REQ-04940-E3</t>
  </si>
  <si>
    <t>G-REQ-04940-E4</t>
  </si>
  <si>
    <t>G-REQ-04941-E1</t>
  </si>
  <si>
    <t>G-REQ-04941-E2</t>
  </si>
  <si>
    <t>SYNTHETIC: Laptop repair; Rejected; asset G-AST-00145</t>
  </si>
  <si>
    <t>G-REQ-04942-E1</t>
  </si>
  <si>
    <t>G-REQ-04942-E2</t>
  </si>
  <si>
    <t>G-REQ-04942-E3</t>
  </si>
  <si>
    <t>G-REQ-04942-E4</t>
  </si>
  <si>
    <t>G-REQ-04943-E1</t>
  </si>
  <si>
    <t>G-REQ-04943-E2</t>
  </si>
  <si>
    <t>G-REQ-04943-E3</t>
  </si>
  <si>
    <t>G-REQ-04943-E4</t>
  </si>
  <si>
    <t>G-REQ-04944-E1</t>
  </si>
  <si>
    <t>G-REQ-04944-E2</t>
  </si>
  <si>
    <t>G-REQ-04944-E3</t>
  </si>
  <si>
    <t>G-REQ-04944-E4</t>
  </si>
  <si>
    <t>G-REQ-04945-E1</t>
  </si>
  <si>
    <t>G-REQ-04945-E2</t>
  </si>
  <si>
    <t>G-REQ-04945-E3</t>
  </si>
  <si>
    <t>G-REQ-04945-E4</t>
  </si>
  <si>
    <t>G-REQ-04946-E1</t>
  </si>
  <si>
    <t>G-REQ-04946-E2</t>
  </si>
  <si>
    <t>G-REQ-04946-E3</t>
  </si>
  <si>
    <t>G-REQ-04946-E4</t>
  </si>
  <si>
    <t>G-REQ-04947-E1</t>
  </si>
  <si>
    <t>G-REQ-04947-E2</t>
  </si>
  <si>
    <t>G-REQ-04947-E3</t>
  </si>
  <si>
    <t>G-REQ-04947-E4</t>
  </si>
  <si>
    <t>G-REQ-04948-E1</t>
  </si>
  <si>
    <t>G-REQ-04948-E2</t>
  </si>
  <si>
    <t>G-REQ-04948-E3</t>
  </si>
  <si>
    <t>G-REQ-04948-E4</t>
  </si>
  <si>
    <t>G-REQ-04949-E1</t>
  </si>
  <si>
    <t>G-REQ-04949-E2</t>
  </si>
  <si>
    <t>G-REQ-04949-E3</t>
  </si>
  <si>
    <t>G-REQ-04949-E4</t>
  </si>
  <si>
    <t>G-REQ-04950-E1</t>
  </si>
  <si>
    <t>G-REQ-04950-E2</t>
  </si>
  <si>
    <t>G-REQ-04950-E3</t>
  </si>
  <si>
    <t>G-REQ-04950-E4</t>
  </si>
  <si>
    <t>G-REQ-04951-E1</t>
  </si>
  <si>
    <t>G-REQ-04951-E2</t>
  </si>
  <si>
    <t>G-REQ-04951-E3</t>
  </si>
  <si>
    <t>G-REQ-04951-E4</t>
  </si>
  <si>
    <t>G-REQ-04952-E1</t>
  </si>
  <si>
    <t>G-REQ-04952-E2</t>
  </si>
  <si>
    <t>G-REQ-04952-E3</t>
  </si>
  <si>
    <t>G-REQ-04952-E4</t>
  </si>
  <si>
    <t>G-REQ-04953-E1</t>
  </si>
  <si>
    <t>G-REQ-04953-E2</t>
  </si>
  <si>
    <t>G-REQ-04953-E3</t>
  </si>
  <si>
    <t>G-REQ-04953-E4</t>
  </si>
  <si>
    <t>G-REQ-04954-E1</t>
  </si>
  <si>
    <t>G-REQ-04954-E2</t>
  </si>
  <si>
    <t>G-REQ-04954-E3</t>
  </si>
  <si>
    <t>G-REQ-04954-E4</t>
  </si>
  <si>
    <t>G-REQ-04955-E1</t>
  </si>
  <si>
    <t>G-REQ-04955-E2</t>
  </si>
  <si>
    <t>G-REQ-04955-E3</t>
  </si>
  <si>
    <t>G-REQ-04955-E4</t>
  </si>
  <si>
    <t>G-REQ-04956-E1</t>
  </si>
  <si>
    <t>G-REQ-04956-E2</t>
  </si>
  <si>
    <t>G-REQ-04956-E3</t>
  </si>
  <si>
    <t>G-REQ-04956-E4</t>
  </si>
  <si>
    <t>G-REQ-04957-E1</t>
  </si>
  <si>
    <t>G-REQ-04957-E2</t>
  </si>
  <si>
    <t>G-REQ-04957-E3</t>
  </si>
  <si>
    <t>G-REQ-04957-E4</t>
  </si>
  <si>
    <t>G-REQ-04958-E1</t>
  </si>
  <si>
    <t>G-REQ-04958-E2</t>
  </si>
  <si>
    <t>G-REQ-04958-E3</t>
  </si>
  <si>
    <t>G-REQ-04958-E4</t>
  </si>
  <si>
    <t>G-REQ-04959-E1</t>
  </si>
  <si>
    <t>G-REQ-04959-E2</t>
  </si>
  <si>
    <t>SYNTHETIC: Laptop return; Rejected; asset G-AST-00321</t>
  </si>
  <si>
    <t>G-REQ-04960-E1</t>
  </si>
  <si>
    <t>G-REQ-04960-E2</t>
  </si>
  <si>
    <t>G-REQ-04960-E3</t>
  </si>
  <si>
    <t>G-REQ-04960-E4</t>
  </si>
  <si>
    <t>G-REQ-04961-E1</t>
  </si>
  <si>
    <t>G-REQ-04961-E2</t>
  </si>
  <si>
    <t>G-REQ-04961-E3</t>
  </si>
  <si>
    <t>G-REQ-04961-E4</t>
  </si>
  <si>
    <t>G-REQ-04962-E1</t>
  </si>
  <si>
    <t>G-REQ-04962-E2</t>
  </si>
  <si>
    <t>G-REQ-04962-E3</t>
  </si>
  <si>
    <t>G-REQ-04962-E4</t>
  </si>
  <si>
    <t>G-REQ-04963-E1</t>
  </si>
  <si>
    <t>G-REQ-04963-E2</t>
  </si>
  <si>
    <t>G-REQ-04963-E3</t>
  </si>
  <si>
    <t>G-REQ-04963-E4</t>
  </si>
  <si>
    <t>G-REQ-04964-E1</t>
  </si>
  <si>
    <t>G-REQ-04964-E2</t>
  </si>
  <si>
    <t>G-REQ-04964-E3</t>
  </si>
  <si>
    <t>G-REQ-04964-E4</t>
  </si>
  <si>
    <t>G-REQ-04965-E1</t>
  </si>
  <si>
    <t>G-REQ-04965-E2</t>
  </si>
  <si>
    <t>G-REQ-04965-E3</t>
  </si>
  <si>
    <t>G-REQ-04965-E4</t>
  </si>
  <si>
    <t>G-REQ-04966-E1</t>
  </si>
  <si>
    <t>G-REQ-04966-E2</t>
  </si>
  <si>
    <t>G-REQ-04966-E3</t>
  </si>
  <si>
    <t>G-REQ-04966-E4</t>
  </si>
  <si>
    <t>G-REQ-04967-E1</t>
  </si>
  <si>
    <t>G-REQ-04967-E2</t>
  </si>
  <si>
    <t>G-REQ-04967-E3</t>
  </si>
  <si>
    <t>G-REQ-04967-E4</t>
  </si>
  <si>
    <t>G-REQ-04968-E1</t>
  </si>
  <si>
    <t>G-REQ-04968-E2</t>
  </si>
  <si>
    <t>G-REQ-04968-E3</t>
  </si>
  <si>
    <t>G-REQ-04968-E4</t>
  </si>
  <si>
    <t>G-REQ-04969-E1</t>
  </si>
  <si>
    <t>G-REQ-04969-E2</t>
  </si>
  <si>
    <t>G-REQ-04969-E3</t>
  </si>
  <si>
    <t>G-REQ-04969-E4</t>
  </si>
  <si>
    <t>G-REQ-04970-E1</t>
  </si>
  <si>
    <t>G-REQ-04970-E2</t>
  </si>
  <si>
    <t>G-REQ-04970-E3</t>
  </si>
  <si>
    <t>G-REQ-04970-E4</t>
  </si>
  <si>
    <t>G-REQ-04971-E1</t>
  </si>
  <si>
    <t>G-REQ-04971-E2</t>
  </si>
  <si>
    <t>G-REQ-04971-E3</t>
  </si>
  <si>
    <t>G-REQ-04971-E4</t>
  </si>
  <si>
    <t>G-REQ-04972-E1</t>
  </si>
  <si>
    <t>G-REQ-04972-E2</t>
  </si>
  <si>
    <t>G-REQ-04972-E3</t>
  </si>
  <si>
    <t>G-REQ-04972-E4</t>
  </si>
  <si>
    <t>G-REQ-04973-E1</t>
  </si>
  <si>
    <t>G-REQ-04973-E2</t>
  </si>
  <si>
    <t>G-REQ-04973-E3</t>
  </si>
  <si>
    <t>G-REQ-04973-E4</t>
  </si>
  <si>
    <t>G-REQ-04974-E1</t>
  </si>
  <si>
    <t>G-REQ-04974-E2</t>
  </si>
  <si>
    <t>G-REQ-04974-E3</t>
  </si>
  <si>
    <t>G-REQ-04974-E4</t>
  </si>
  <si>
    <t>G-REQ-04975-E1</t>
  </si>
  <si>
    <t>G-REQ-04975-E2</t>
  </si>
  <si>
    <t>G-REQ-04975-E3</t>
  </si>
  <si>
    <t>G-REQ-04975-E4</t>
  </si>
  <si>
    <t>G-REQ-04976-E1</t>
  </si>
  <si>
    <t>G-REQ-04976-E2</t>
  </si>
  <si>
    <t>G-REQ-04976-E3</t>
  </si>
  <si>
    <t>G-REQ-04976-E4</t>
  </si>
  <si>
    <t>G-REQ-04977-E1</t>
  </si>
  <si>
    <t>G-REQ-04977-E2</t>
  </si>
  <si>
    <t>G-REQ-04977-E3</t>
  </si>
  <si>
    <t>G-REQ-04977-E4</t>
  </si>
  <si>
    <t>G-REQ-04978-E1</t>
  </si>
  <si>
    <t>G-REQ-04978-E2</t>
  </si>
  <si>
    <t>G-REQ-04978-E3</t>
  </si>
  <si>
    <t>G-REQ-04978-E4</t>
  </si>
  <si>
    <t>G-REQ-04979-E1</t>
  </si>
  <si>
    <t>G-REQ-04979-E2</t>
  </si>
  <si>
    <t>G-REQ-04979-E3</t>
  </si>
  <si>
    <t>G-REQ-04979-E4</t>
  </si>
  <si>
    <t>G-REQ-04980-E1</t>
  </si>
  <si>
    <t>G-REQ-04980-E2</t>
  </si>
  <si>
    <t>G-REQ-04980-E3</t>
  </si>
  <si>
    <t>G-REQ-04980-E4</t>
  </si>
  <si>
    <t>G-REQ-04981-E1</t>
  </si>
  <si>
    <t>G-REQ-04981-E2</t>
  </si>
  <si>
    <t>G-REQ-04981-E3</t>
  </si>
  <si>
    <t>G-REQ-04981-E4</t>
  </si>
  <si>
    <t>G-REQ-04982-E1</t>
  </si>
  <si>
    <t>G-REQ-04982-E2</t>
  </si>
  <si>
    <t>G-REQ-04982-E3</t>
  </si>
  <si>
    <t>G-REQ-04982-E4</t>
  </si>
  <si>
    <t>G-REQ-04983-E1</t>
  </si>
  <si>
    <t>G-REQ-04983-E2</t>
  </si>
  <si>
    <t>G-REQ-04983-E3</t>
  </si>
  <si>
    <t>G-REQ-04983-E4</t>
  </si>
  <si>
    <t>G-REQ-04984-E1</t>
  </si>
  <si>
    <t>SYNTHETIC: Laptop repair; Pending approval; asset G-AST-00345</t>
  </si>
  <si>
    <t>G-REQ-04984-E2</t>
  </si>
  <si>
    <t>SYNTHETIC: Laptop repair; Approved; asset G-AST-00345</t>
  </si>
  <si>
    <t>G-REQ-04984-E3</t>
  </si>
  <si>
    <t>SYNTHETIC: Laptop repair; In progress; asset G-AST-00345</t>
  </si>
  <si>
    <t>G-REQ-04984-E4</t>
  </si>
  <si>
    <t>SYNTHETIC: Laptop repair; Completed; asset G-AST-00345</t>
  </si>
  <si>
    <t>G-REQ-04985-E1</t>
  </si>
  <si>
    <t>G-REQ-04985-E2</t>
  </si>
  <si>
    <t>G-REQ-04985-E3</t>
  </si>
  <si>
    <t>G-REQ-04985-E4</t>
  </si>
  <si>
    <t>G-REQ-04986-E1</t>
  </si>
  <si>
    <t>G-REQ-04986-E2</t>
  </si>
  <si>
    <t>G-REQ-04986-E3</t>
  </si>
  <si>
    <t>G-REQ-04986-E4</t>
  </si>
  <si>
    <t>G-REQ-04987-E1</t>
  </si>
  <si>
    <t>G-REQ-04987-E2</t>
  </si>
  <si>
    <t>G-REQ-04987-E3</t>
  </si>
  <si>
    <t>G-REQ-04987-E4</t>
  </si>
  <si>
    <t>G-REQ-04988-E1</t>
  </si>
  <si>
    <t>G-REQ-04988-E2</t>
  </si>
  <si>
    <t>G-REQ-04988-E3</t>
  </si>
  <si>
    <t>G-REQ-04988-E4</t>
  </si>
  <si>
    <t>G-REQ-04989-E1</t>
  </si>
  <si>
    <t>G-REQ-04989-E2</t>
  </si>
  <si>
    <t>G-REQ-04989-E3</t>
  </si>
  <si>
    <t>G-REQ-04989-E4</t>
  </si>
  <si>
    <t>G-REQ-04990-E1</t>
  </si>
  <si>
    <t>G-REQ-04990-E2</t>
  </si>
  <si>
    <t>G-REQ-04990-E3</t>
  </si>
  <si>
    <t>G-REQ-04990-E4</t>
  </si>
  <si>
    <t>G-REQ-04991-E1</t>
  </si>
  <si>
    <t>G-REQ-04991-E2</t>
  </si>
  <si>
    <t>G-REQ-04992-E1</t>
  </si>
  <si>
    <t>G-REQ-04992-E2</t>
  </si>
  <si>
    <t>G-REQ-04992-E3</t>
  </si>
  <si>
    <t>G-REQ-04992-E4</t>
  </si>
  <si>
    <t>G-REQ-04993-E1</t>
  </si>
  <si>
    <t>G-REQ-04993-E2</t>
  </si>
  <si>
    <t>G-REQ-04993-E3</t>
  </si>
  <si>
    <t>G-REQ-04993-E4</t>
  </si>
  <si>
    <t>G-REQ-04994-E1</t>
  </si>
  <si>
    <t>G-REQ-04994-E2</t>
  </si>
  <si>
    <t>G-REQ-04995-E1</t>
  </si>
  <si>
    <t>G-REQ-04995-E2</t>
  </si>
  <si>
    <t>G-REQ-04995-E3</t>
  </si>
  <si>
    <t>G-REQ-04995-E4</t>
  </si>
  <si>
    <t>G-REQ-04996-E1</t>
  </si>
  <si>
    <t>G-REQ-04996-E2</t>
  </si>
  <si>
    <t>G-REQ-04996-E3</t>
  </si>
  <si>
    <t>G-REQ-04996-E4</t>
  </si>
  <si>
    <t>G-REQ-04997-E1</t>
  </si>
  <si>
    <t>G-REQ-04997-E2</t>
  </si>
  <si>
    <t>G-REQ-04997-E3</t>
  </si>
  <si>
    <t>G-REQ-04997-E4</t>
  </si>
  <si>
    <t>G-REQ-04998-E1</t>
  </si>
  <si>
    <t>G-REQ-04998-E2</t>
  </si>
  <si>
    <t>G-REQ-04998-E3</t>
  </si>
  <si>
    <t>G-REQ-04998-E4</t>
  </si>
  <si>
    <t>G-REQ-04999-E1</t>
  </si>
  <si>
    <t>G-REQ-04999-E2</t>
  </si>
  <si>
    <t>SYNTHETIC: Laptop repair; Rejected; asset G-AST-00522</t>
  </si>
  <si>
    <t>G-REQ-05000-E1</t>
  </si>
  <si>
    <t>G-REQ-05000-E2</t>
  </si>
  <si>
    <t>G-REQ-05000-E3</t>
  </si>
  <si>
    <t>G-REQ-05000-E4</t>
  </si>
  <si>
    <t>G-REQ-05001-E1</t>
  </si>
  <si>
    <t>G-REQ-05001-E2</t>
  </si>
  <si>
    <t>G-REQ-05001-E3</t>
  </si>
  <si>
    <t>G-REQ-05001-E4</t>
  </si>
  <si>
    <t>G-REQ-05002-E1</t>
  </si>
  <si>
    <t>G-REQ-05002-E2</t>
  </si>
  <si>
    <t>G-REQ-05002-E3</t>
  </si>
  <si>
    <t>G-REQ-05002-E4</t>
  </si>
  <si>
    <t>G-REQ-05003-E1</t>
  </si>
  <si>
    <t>G-REQ-05003-E2</t>
  </si>
  <si>
    <t>G-REQ-05003-E3</t>
  </si>
  <si>
    <t>G-REQ-05003-E4</t>
  </si>
  <si>
    <t>G-REQ-05004-E1</t>
  </si>
  <si>
    <t>G-REQ-05004-E2</t>
  </si>
  <si>
    <t>G-REQ-05004-E3</t>
  </si>
  <si>
    <t>G-REQ-05004-E4</t>
  </si>
  <si>
    <t>G-REQ-05005-E1</t>
  </si>
  <si>
    <t>G-REQ-05005-E2</t>
  </si>
  <si>
    <t>G-REQ-05005-E3</t>
  </si>
  <si>
    <t>G-REQ-05005-E4</t>
  </si>
  <si>
    <t>G-REQ-05006-E1</t>
  </si>
  <si>
    <t>G-REQ-05006-E2</t>
  </si>
  <si>
    <t>SYNTHETIC: Laptop repair; Cancelled; asset G-AST-00245</t>
  </si>
  <si>
    <t>G-REQ-05007-E1</t>
  </si>
  <si>
    <t>G-REQ-05007-E2</t>
  </si>
  <si>
    <t>G-REQ-05007-E3</t>
  </si>
  <si>
    <t>G-REQ-05007-E4</t>
  </si>
  <si>
    <t>G-REQ-05008-E1</t>
  </si>
  <si>
    <t>G-REQ-05008-E2</t>
  </si>
  <si>
    <t>G-REQ-05008-E3</t>
  </si>
  <si>
    <t>G-REQ-05008-E4</t>
  </si>
  <si>
    <t>G-REQ-05009-E1</t>
  </si>
  <si>
    <t>G-REQ-05009-E2</t>
  </si>
  <si>
    <t>G-REQ-05009-E3</t>
  </si>
  <si>
    <t>G-REQ-05009-E4</t>
  </si>
  <si>
    <t>G-REQ-05010-E1</t>
  </si>
  <si>
    <t>G-REQ-05010-E2</t>
  </si>
  <si>
    <t>G-REQ-05010-E3</t>
  </si>
  <si>
    <t>G-REQ-05010-E4</t>
  </si>
  <si>
    <t>G-REQ-05011-E1</t>
  </si>
  <si>
    <t>G-REQ-05011-E2</t>
  </si>
  <si>
    <t>G-REQ-05011-E3</t>
  </si>
  <si>
    <t>G-REQ-05011-E4</t>
  </si>
  <si>
    <t>G-REQ-05012-E1</t>
  </si>
  <si>
    <t>G-REQ-05012-E2</t>
  </si>
  <si>
    <t>G-REQ-05012-E3</t>
  </si>
  <si>
    <t>G-REQ-05012-E4</t>
  </si>
  <si>
    <t>G-REQ-05013-E1</t>
  </si>
  <si>
    <t>G-REQ-05013-E2</t>
  </si>
  <si>
    <t>G-REQ-05013-E3</t>
  </si>
  <si>
    <t>G-REQ-05013-E4</t>
  </si>
  <si>
    <t>G-REQ-05014-E1</t>
  </si>
  <si>
    <t>G-REQ-05014-E2</t>
  </si>
  <si>
    <t>G-REQ-05015-E1</t>
  </si>
  <si>
    <t>G-REQ-05015-E2</t>
  </si>
  <si>
    <t>G-REQ-05015-E3</t>
  </si>
  <si>
    <t>G-REQ-05015-E4</t>
  </si>
  <si>
    <t>G-REQ-05016-E1</t>
  </si>
  <si>
    <t>G-REQ-05016-E2</t>
  </si>
  <si>
    <t>G-REQ-05016-E3</t>
  </si>
  <si>
    <t>G-REQ-05016-E4</t>
  </si>
  <si>
    <t>G-REQ-05017-E1</t>
  </si>
  <si>
    <t>G-REQ-05017-E2</t>
  </si>
  <si>
    <t>G-REQ-05017-E3</t>
  </si>
  <si>
    <t>G-REQ-05017-E4</t>
  </si>
  <si>
    <t>G-REQ-05018-E1</t>
  </si>
  <si>
    <t>G-REQ-05018-E2</t>
  </si>
  <si>
    <t>G-REQ-05018-E3</t>
  </si>
  <si>
    <t>G-REQ-05018-E4</t>
  </si>
  <si>
    <t>G-REQ-05019-E1</t>
  </si>
  <si>
    <t>G-REQ-05019-E2</t>
  </si>
  <si>
    <t>G-REQ-05019-E3</t>
  </si>
  <si>
    <t>G-REQ-05019-E4</t>
  </si>
  <si>
    <t>G-REQ-05020-E1</t>
  </si>
  <si>
    <t>G-REQ-05020-E2</t>
  </si>
  <si>
    <t>G-REQ-05020-E3</t>
  </si>
  <si>
    <t>G-REQ-05020-E4</t>
  </si>
  <si>
    <t>G-REQ-05021-E1</t>
  </si>
  <si>
    <t>G-REQ-05021-E2</t>
  </si>
  <si>
    <t>G-REQ-05021-E3</t>
  </si>
  <si>
    <t>G-REQ-05021-E4</t>
  </si>
  <si>
    <t>G-REQ-05022-E1</t>
  </si>
  <si>
    <t>G-REQ-05022-E2</t>
  </si>
  <si>
    <t>G-REQ-05022-E3</t>
  </si>
  <si>
    <t>G-REQ-05022-E4</t>
  </si>
  <si>
    <t>G-REQ-05023-E1</t>
  </si>
  <si>
    <t>G-REQ-05023-E2</t>
  </si>
  <si>
    <t>G-REQ-05023-E3</t>
  </si>
  <si>
    <t>G-REQ-05023-E4</t>
  </si>
  <si>
    <t>G-REQ-05024-E1</t>
  </si>
  <si>
    <t>G-REQ-05024-E2</t>
  </si>
  <si>
    <t>SYNTHETIC: Laptop return; Cancelled; asset G-AST-00054</t>
  </si>
  <si>
    <t>G-REQ-05025-E1</t>
  </si>
  <si>
    <t>G-REQ-05025-E2</t>
  </si>
  <si>
    <t>G-REQ-05026-E1</t>
  </si>
  <si>
    <t>G-REQ-05026-E2</t>
  </si>
  <si>
    <t>G-REQ-05026-E3</t>
  </si>
  <si>
    <t>G-REQ-05026-E4</t>
  </si>
  <si>
    <t>G-REQ-05027-E1</t>
  </si>
  <si>
    <t>G-REQ-05027-E2</t>
  </si>
  <si>
    <t>SYNTHETIC: Laptop return; Cancelled; asset G-AST-00295</t>
  </si>
  <si>
    <t>G-REQ-05028-E1</t>
  </si>
  <si>
    <t>G-REQ-05028-E2</t>
  </si>
  <si>
    <t>SYNTHETIC: Laptop repair; Cancelled; asset G-AST-00522</t>
  </si>
  <si>
    <t>G-REQ-05029-E1</t>
  </si>
  <si>
    <t>G-REQ-05029-E2</t>
  </si>
  <si>
    <t>G-REQ-05029-E3</t>
  </si>
  <si>
    <t>G-REQ-05029-E4</t>
  </si>
  <si>
    <t>G-REQ-05030-E1</t>
  </si>
  <si>
    <t>G-REQ-05030-E2</t>
  </si>
  <si>
    <t>G-REQ-05030-E3</t>
  </si>
  <si>
    <t>G-REQ-05030-E4</t>
  </si>
  <si>
    <t>G-REQ-05031-E1</t>
  </si>
  <si>
    <t>G-REQ-05031-E2</t>
  </si>
  <si>
    <t>G-REQ-05031-E3</t>
  </si>
  <si>
    <t>G-REQ-05031-E4</t>
  </si>
  <si>
    <t>G-REQ-05032-E1</t>
  </si>
  <si>
    <t>G-REQ-05032-E2</t>
  </si>
  <si>
    <t>G-REQ-05032-E3</t>
  </si>
  <si>
    <t>G-REQ-05032-E4</t>
  </si>
  <si>
    <t>G-REQ-05033-E1</t>
  </si>
  <si>
    <t>G-REQ-05033-E2</t>
  </si>
  <si>
    <t>G-REQ-05033-E3</t>
  </si>
  <si>
    <t>G-REQ-05033-E4</t>
  </si>
  <si>
    <t>G-REQ-05034-E1</t>
  </si>
  <si>
    <t>G-REQ-05034-E2</t>
  </si>
  <si>
    <t>G-REQ-05034-E3</t>
  </si>
  <si>
    <t>G-REQ-05034-E4</t>
  </si>
  <si>
    <t>G-REQ-05035-E1</t>
  </si>
  <si>
    <t>G-REQ-05035-E2</t>
  </si>
  <si>
    <t>G-REQ-05036-E1</t>
  </si>
  <si>
    <t>G-REQ-05036-E2</t>
  </si>
  <si>
    <t>G-REQ-05036-E3</t>
  </si>
  <si>
    <t>G-REQ-05036-E4</t>
  </si>
  <si>
    <t>G-REQ-05037-E1</t>
  </si>
  <si>
    <t>G-REQ-05037-E2</t>
  </si>
  <si>
    <t>G-REQ-05037-E3</t>
  </si>
  <si>
    <t>G-REQ-05037-E4</t>
  </si>
  <si>
    <t>G-REQ-05038-E1</t>
  </si>
  <si>
    <t>G-REQ-05038-E2</t>
  </si>
  <si>
    <t>G-REQ-05038-E3</t>
  </si>
  <si>
    <t>G-REQ-05038-E4</t>
  </si>
  <si>
    <t>G-REQ-05039-E1</t>
  </si>
  <si>
    <t>G-REQ-05039-E2</t>
  </si>
  <si>
    <t>G-REQ-05039-E3</t>
  </si>
  <si>
    <t>G-REQ-05039-E4</t>
  </si>
  <si>
    <t>G-REQ-05040-E1</t>
  </si>
  <si>
    <t>G-REQ-05040-E2</t>
  </si>
  <si>
    <t>G-REQ-05040-E3</t>
  </si>
  <si>
    <t>G-REQ-05040-E4</t>
  </si>
  <si>
    <t>G-REQ-05041-E1</t>
  </si>
  <si>
    <t>G-REQ-05041-E2</t>
  </si>
  <si>
    <t>G-REQ-05041-E3</t>
  </si>
  <si>
    <t>G-REQ-05041-E4</t>
  </si>
  <si>
    <t>G-REQ-05042-E1</t>
  </si>
  <si>
    <t>G-REQ-05042-E2</t>
  </si>
  <si>
    <t>G-REQ-05042-E3</t>
  </si>
  <si>
    <t>G-REQ-05042-E4</t>
  </si>
  <si>
    <t>G-REQ-05043-E1</t>
  </si>
  <si>
    <t>G-REQ-05043-E2</t>
  </si>
  <si>
    <t>G-REQ-05043-E3</t>
  </si>
  <si>
    <t>G-REQ-05043-E4</t>
  </si>
  <si>
    <t>G-REQ-05044-E1</t>
  </si>
  <si>
    <t>G-REQ-05044-E2</t>
  </si>
  <si>
    <t>G-REQ-05044-E3</t>
  </si>
  <si>
    <t>G-REQ-05044-E4</t>
  </si>
  <si>
    <t>G-REQ-05045-E1</t>
  </si>
  <si>
    <t>G-REQ-05045-E2</t>
  </si>
  <si>
    <t>G-REQ-05045-E3</t>
  </si>
  <si>
    <t>G-REQ-05045-E4</t>
  </si>
  <si>
    <t>G-REQ-05046-E1</t>
  </si>
  <si>
    <t>G-REQ-05046-E2</t>
  </si>
  <si>
    <t>G-REQ-05046-E3</t>
  </si>
  <si>
    <t>G-REQ-05046-E4</t>
  </si>
  <si>
    <t>G-REQ-05047-E1</t>
  </si>
  <si>
    <t>G-REQ-05047-E2</t>
  </si>
  <si>
    <t>SYNTHETIC: Laptop return; Cancelled; asset G-AST-00487</t>
  </si>
  <si>
    <t>G-REQ-05048-E1</t>
  </si>
  <si>
    <t>G-REQ-05048-E2</t>
  </si>
  <si>
    <t>G-REQ-05048-E3</t>
  </si>
  <si>
    <t>G-REQ-05048-E4</t>
  </si>
  <si>
    <t>G-REQ-05049-E1</t>
  </si>
  <si>
    <t>G-REQ-05049-E2</t>
  </si>
  <si>
    <t>SYNTHETIC: Laptop return; Cancelled; asset G-AST-00282</t>
  </si>
  <si>
    <t>G-REQ-05050-E1</t>
  </si>
  <si>
    <t>G-REQ-05050-E2</t>
  </si>
  <si>
    <t>G-REQ-05050-E3</t>
  </si>
  <si>
    <t>G-REQ-05050-E4</t>
  </si>
  <si>
    <t>G-REQ-05051-E1</t>
  </si>
  <si>
    <t>G-REQ-05051-E2</t>
  </si>
  <si>
    <t>G-REQ-05051-E3</t>
  </si>
  <si>
    <t>G-REQ-05051-E4</t>
  </si>
  <si>
    <t>G-REQ-05052-E1</t>
  </si>
  <si>
    <t>G-REQ-05052-E2</t>
  </si>
  <si>
    <t>G-REQ-05052-E3</t>
  </si>
  <si>
    <t>G-REQ-05052-E4</t>
  </si>
  <si>
    <t>G-REQ-05053-E1</t>
  </si>
  <si>
    <t>G-REQ-05053-E2</t>
  </si>
  <si>
    <t>G-REQ-05053-E3</t>
  </si>
  <si>
    <t>G-REQ-05053-E4</t>
  </si>
  <si>
    <t>G-REQ-05054-E1</t>
  </si>
  <si>
    <t>G-REQ-05054-E2</t>
  </si>
  <si>
    <t>G-REQ-05054-E3</t>
  </si>
  <si>
    <t>G-REQ-05054-E4</t>
  </si>
  <si>
    <t>G-REQ-05055-E1</t>
  </si>
  <si>
    <t>G-REQ-05055-E2</t>
  </si>
  <si>
    <t>G-REQ-05055-E3</t>
  </si>
  <si>
    <t>G-REQ-05055-E4</t>
  </si>
  <si>
    <t>G-REQ-05056-E1</t>
  </si>
  <si>
    <t>G-REQ-05056-E2</t>
  </si>
  <si>
    <t>G-REQ-05056-E3</t>
  </si>
  <si>
    <t>G-REQ-05056-E4</t>
  </si>
  <si>
    <t>G-REQ-05057-E1</t>
  </si>
  <si>
    <t>SYNTHETIC: Laptop repair; Pending approval; asset G-AST-00399</t>
  </si>
  <si>
    <t>G-REQ-05057-E2</t>
  </si>
  <si>
    <t>SYNTHETIC: Laptop repair; Approved; asset G-AST-00399</t>
  </si>
  <si>
    <t>G-REQ-05057-E3</t>
  </si>
  <si>
    <t>SYNTHETIC: Laptop repair; In progress; asset G-AST-00399</t>
  </si>
  <si>
    <t>G-REQ-05057-E4</t>
  </si>
  <si>
    <t>SYNTHETIC: Laptop repair; Completed; asset G-AST-00399</t>
  </si>
  <si>
    <t>G-REQ-05058-E1</t>
  </si>
  <si>
    <t>G-REQ-05058-E2</t>
  </si>
  <si>
    <t>G-REQ-05058-E3</t>
  </si>
  <si>
    <t>G-REQ-05058-E4</t>
  </si>
  <si>
    <t>G-REQ-05059-E1</t>
  </si>
  <si>
    <t>G-REQ-05059-E2</t>
  </si>
  <si>
    <t>G-REQ-05059-E3</t>
  </si>
  <si>
    <t>G-REQ-05059-E4</t>
  </si>
  <si>
    <t>G-REQ-05060-E1</t>
  </si>
  <si>
    <t>G-REQ-05060-E2</t>
  </si>
  <si>
    <t>G-REQ-05060-E3</t>
  </si>
  <si>
    <t>G-REQ-05060-E4</t>
  </si>
  <si>
    <t>G-REQ-05061-E1</t>
  </si>
  <si>
    <t>G-REQ-05061-E2</t>
  </si>
  <si>
    <t>G-REQ-05061-E3</t>
  </si>
  <si>
    <t>G-REQ-05061-E4</t>
  </si>
  <si>
    <t>G-REQ-05062-E1</t>
  </si>
  <si>
    <t>G-REQ-05062-E2</t>
  </si>
  <si>
    <t>G-REQ-05062-E3</t>
  </si>
  <si>
    <t>G-REQ-05062-E4</t>
  </si>
  <si>
    <t>G-REQ-05063-E1</t>
  </si>
  <si>
    <t>G-REQ-05063-E2</t>
  </si>
  <si>
    <t>G-REQ-05063-E3</t>
  </si>
  <si>
    <t>G-REQ-05063-E4</t>
  </si>
  <si>
    <t>G-REQ-05064-E1</t>
  </si>
  <si>
    <t>G-REQ-05064-E2</t>
  </si>
  <si>
    <t>G-REQ-05064-E3</t>
  </si>
  <si>
    <t>G-REQ-05064-E4</t>
  </si>
  <si>
    <t>G-REQ-05065-E1</t>
  </si>
  <si>
    <t>G-REQ-05065-E2</t>
  </si>
  <si>
    <t>G-REQ-05065-E3</t>
  </si>
  <si>
    <t>G-REQ-05065-E4</t>
  </si>
  <si>
    <t>G-REQ-05066-E1</t>
  </si>
  <si>
    <t>G-REQ-05066-E2</t>
  </si>
  <si>
    <t>G-REQ-05066-E3</t>
  </si>
  <si>
    <t>G-REQ-05066-E4</t>
  </si>
  <si>
    <t>G-REQ-05067-E1</t>
  </si>
  <si>
    <t>G-REQ-05067-E2</t>
  </si>
  <si>
    <t>G-REQ-05067-E3</t>
  </si>
  <si>
    <t>G-REQ-05067-E4</t>
  </si>
  <si>
    <t>G-REQ-05068-E1</t>
  </si>
  <si>
    <t>SYNTHETIC: Laptop repair; Pending approval; asset G-AST-00334</t>
  </si>
  <si>
    <t>G-REQ-05068-E2</t>
  </si>
  <si>
    <t>SYNTHETIC: Laptop repair; Approved; asset G-AST-00334</t>
  </si>
  <si>
    <t>G-REQ-05068-E3</t>
  </si>
  <si>
    <t>SYNTHETIC: Laptop repair; In progress; asset G-AST-00334</t>
  </si>
  <si>
    <t>G-REQ-05068-E4</t>
  </si>
  <si>
    <t>SYNTHETIC: Laptop repair; Completed; asset G-AST-00334</t>
  </si>
  <si>
    <t>G-REQ-05069-E1</t>
  </si>
  <si>
    <t>G-REQ-05069-E2</t>
  </si>
  <si>
    <t>G-REQ-05069-E3</t>
  </si>
  <si>
    <t>G-REQ-05069-E4</t>
  </si>
  <si>
    <t>G-REQ-05070-E1</t>
  </si>
  <si>
    <t>G-REQ-05070-E2</t>
  </si>
  <si>
    <t>G-REQ-05070-E3</t>
  </si>
  <si>
    <t>G-REQ-05070-E4</t>
  </si>
  <si>
    <t>G-REQ-05071-E1</t>
  </si>
  <si>
    <t>G-REQ-05071-E2</t>
  </si>
  <si>
    <t>G-REQ-05071-E3</t>
  </si>
  <si>
    <t>G-REQ-05071-E4</t>
  </si>
  <si>
    <t>G-REQ-05072-E1</t>
  </si>
  <si>
    <t>G-REQ-05072-E2</t>
  </si>
  <si>
    <t>G-REQ-05072-E3</t>
  </si>
  <si>
    <t>G-REQ-05072-E4</t>
  </si>
  <si>
    <t>G-REQ-05073-E1</t>
  </si>
  <si>
    <t>G-REQ-05073-E2</t>
  </si>
  <si>
    <t>G-REQ-05073-E3</t>
  </si>
  <si>
    <t>G-REQ-05073-E4</t>
  </si>
  <si>
    <t>G-REQ-05074-E1</t>
  </si>
  <si>
    <t>G-REQ-05074-E2</t>
  </si>
  <si>
    <t>G-REQ-05074-E3</t>
  </si>
  <si>
    <t>G-REQ-05074-E4</t>
  </si>
  <si>
    <t>G-REQ-05075-E1</t>
  </si>
  <si>
    <t>G-REQ-05075-E2</t>
  </si>
  <si>
    <t>G-REQ-05075-E3</t>
  </si>
  <si>
    <t>G-REQ-05075-E4</t>
  </si>
  <si>
    <t>G-REQ-05076-E1</t>
  </si>
  <si>
    <t>G-REQ-05076-E2</t>
  </si>
  <si>
    <t>G-REQ-05076-E3</t>
  </si>
  <si>
    <t>G-REQ-05076-E4</t>
  </si>
  <si>
    <t>G-REQ-05077-E1</t>
  </si>
  <si>
    <t>G-REQ-05077-E2</t>
  </si>
  <si>
    <t>G-REQ-05077-E3</t>
  </si>
  <si>
    <t>G-REQ-05077-E4</t>
  </si>
  <si>
    <t>G-REQ-05078-E1</t>
  </si>
  <si>
    <t>G-REQ-05078-E2</t>
  </si>
  <si>
    <t>G-REQ-05078-E3</t>
  </si>
  <si>
    <t>G-REQ-05078-E4</t>
  </si>
  <si>
    <t>G-REQ-05079-E1</t>
  </si>
  <si>
    <t>G-REQ-05079-E2</t>
  </si>
  <si>
    <t>G-REQ-05079-E3</t>
  </si>
  <si>
    <t>G-REQ-05079-E4</t>
  </si>
  <si>
    <t>G-REQ-05080-E1</t>
  </si>
  <si>
    <t>G-REQ-05080-E2</t>
  </si>
  <si>
    <t>G-REQ-05080-E3</t>
  </si>
  <si>
    <t>G-REQ-05080-E4</t>
  </si>
  <si>
    <t>G-REQ-05081-E1</t>
  </si>
  <si>
    <t>G-REQ-05081-E2</t>
  </si>
  <si>
    <t>G-REQ-05082-E1</t>
  </si>
  <si>
    <t>G-REQ-05082-E2</t>
  </si>
  <si>
    <t>G-REQ-05082-E3</t>
  </si>
  <si>
    <t>G-REQ-05082-E4</t>
  </si>
  <si>
    <t>G-REQ-05083-E1</t>
  </si>
  <si>
    <t>G-REQ-05083-E2</t>
  </si>
  <si>
    <t>G-REQ-05083-E3</t>
  </si>
  <si>
    <t>G-REQ-05083-E4</t>
  </si>
  <si>
    <t>G-REQ-05084-E1</t>
  </si>
  <si>
    <t>G-REQ-05084-E2</t>
  </si>
  <si>
    <t>G-REQ-05084-E3</t>
  </si>
  <si>
    <t>G-REQ-05084-E4</t>
  </si>
  <si>
    <t>G-REQ-05085-E1</t>
  </si>
  <si>
    <t>G-REQ-05085-E2</t>
  </si>
  <si>
    <t>SYNTHETIC: Laptop return; Cancelled; asset G-AST-00262</t>
  </si>
  <si>
    <t>G-REQ-05086-E1</t>
  </si>
  <si>
    <t>G-REQ-05086-E2</t>
  </si>
  <si>
    <t>G-REQ-05086-E3</t>
  </si>
  <si>
    <t>G-REQ-05086-E4</t>
  </si>
  <si>
    <t>G-REQ-05087-E1</t>
  </si>
  <si>
    <t>G-REQ-05087-E2</t>
  </si>
  <si>
    <t>G-REQ-05087-E3</t>
  </si>
  <si>
    <t>G-REQ-05087-E4</t>
  </si>
  <si>
    <t>G-REQ-05088-E1</t>
  </si>
  <si>
    <t>G-REQ-05088-E2</t>
  </si>
  <si>
    <t>G-REQ-05088-E3</t>
  </si>
  <si>
    <t>G-REQ-05088-E4</t>
  </si>
  <si>
    <t>G-REQ-05089-E1</t>
  </si>
  <si>
    <t>G-REQ-05089-E2</t>
  </si>
  <si>
    <t>G-REQ-05089-E3</t>
  </si>
  <si>
    <t>G-REQ-05089-E4</t>
  </si>
  <si>
    <t>G-REQ-05090-E1</t>
  </si>
  <si>
    <t>G-REQ-05090-E2</t>
  </si>
  <si>
    <t>G-REQ-05090-E3</t>
  </si>
  <si>
    <t>G-REQ-05090-E4</t>
  </si>
  <si>
    <t>G-REQ-05091-E1</t>
  </si>
  <si>
    <t>G-REQ-05091-E2</t>
  </si>
  <si>
    <t>G-REQ-05091-E3</t>
  </si>
  <si>
    <t>G-REQ-05091-E4</t>
  </si>
  <si>
    <t>G-REQ-05092-E1</t>
  </si>
  <si>
    <t>G-REQ-05092-E2</t>
  </si>
  <si>
    <t>SYNTHETIC: Laptop return; Rejected; asset G-AST-00113</t>
  </si>
  <si>
    <t>G-REQ-05093-E1</t>
  </si>
  <si>
    <t>G-REQ-05093-E2</t>
  </si>
  <si>
    <t>G-REQ-05093-E3</t>
  </si>
  <si>
    <t>G-REQ-05093-E4</t>
  </si>
  <si>
    <t>G-REQ-05094-E1</t>
  </si>
  <si>
    <t>G-REQ-05094-E2</t>
  </si>
  <si>
    <t>G-REQ-05094-E3</t>
  </si>
  <si>
    <t>G-REQ-05094-E4</t>
  </si>
  <si>
    <t>G-REQ-05095-E1</t>
  </si>
  <si>
    <t>G-REQ-05095-E2</t>
  </si>
  <si>
    <t>G-REQ-05095-E3</t>
  </si>
  <si>
    <t>G-REQ-05095-E4</t>
  </si>
  <si>
    <t>G-REQ-05096-E1</t>
  </si>
  <si>
    <t>G-REQ-05096-E2</t>
  </si>
  <si>
    <t>G-REQ-05096-E3</t>
  </si>
  <si>
    <t>G-REQ-05096-E4</t>
  </si>
  <si>
    <t>G-REQ-05097-E1</t>
  </si>
  <si>
    <t>G-REQ-05097-E2</t>
  </si>
  <si>
    <t>SYNTHETIC: Laptop repair; Cancelled; asset G-AST-00227</t>
  </si>
  <si>
    <t>G-REQ-05098-E1</t>
  </si>
  <si>
    <t>G-REQ-05098-E2</t>
  </si>
  <si>
    <t>G-REQ-05098-E3</t>
  </si>
  <si>
    <t>G-REQ-05098-E4</t>
  </si>
  <si>
    <t>G-REQ-05099-E1</t>
  </si>
  <si>
    <t>G-REQ-05099-E2</t>
  </si>
  <si>
    <t>G-REQ-05099-E3</t>
  </si>
  <si>
    <t>G-REQ-05099-E4</t>
  </si>
  <si>
    <t>G-REQ-05100-E1</t>
  </si>
  <si>
    <t>G-REQ-05100-E2</t>
  </si>
  <si>
    <t>G-REQ-05100-E3</t>
  </si>
  <si>
    <t>G-REQ-05100-E4</t>
  </si>
  <si>
    <t>G-REQ-05101-E1</t>
  </si>
  <si>
    <t>G-REQ-05101-E2</t>
  </si>
  <si>
    <t>G-REQ-05101-E3</t>
  </si>
  <si>
    <t>G-REQ-05101-E4</t>
  </si>
  <si>
    <t>G-REQ-05102-E1</t>
  </si>
  <si>
    <t>G-REQ-05102-E2</t>
  </si>
  <si>
    <t>SYNTHETIC: Laptop repair; Rejected; asset G-AST-00056</t>
  </si>
  <si>
    <t>G-REQ-05103-E1</t>
  </si>
  <si>
    <t>G-REQ-05103-E2</t>
  </si>
  <si>
    <t>G-REQ-05103-E3</t>
  </si>
  <si>
    <t>G-REQ-05103-E4</t>
  </si>
  <si>
    <t>G-REQ-05104-E1</t>
  </si>
  <si>
    <t>G-REQ-05104-E2</t>
  </si>
  <si>
    <t>G-REQ-05104-E3</t>
  </si>
  <si>
    <t>G-REQ-05104-E4</t>
  </si>
  <si>
    <t>G-REQ-05105-E1</t>
  </si>
  <si>
    <t>G-REQ-05105-E2</t>
  </si>
  <si>
    <t>G-REQ-05105-E3</t>
  </si>
  <si>
    <t>G-REQ-05105-E4</t>
  </si>
  <si>
    <t>G-REQ-05106-E1</t>
  </si>
  <si>
    <t>G-REQ-05106-E2</t>
  </si>
  <si>
    <t>G-REQ-05106-E3</t>
  </si>
  <si>
    <t>G-REQ-05106-E4</t>
  </si>
  <si>
    <t>G-REQ-05107-E1</t>
  </si>
  <si>
    <t>G-REQ-05107-E2</t>
  </si>
  <si>
    <t>G-REQ-05107-E3</t>
  </si>
  <si>
    <t>G-REQ-05107-E4</t>
  </si>
  <si>
    <t>G-REQ-05108-E1</t>
  </si>
  <si>
    <t>G-REQ-05108-E2</t>
  </si>
  <si>
    <t>SYNTHETIC: Laptop return; Rejected; asset G-AST-00435</t>
  </si>
  <si>
    <t>G-REQ-05109-E1</t>
  </si>
  <si>
    <t>G-REQ-05109-E2</t>
  </si>
  <si>
    <t>G-REQ-05109-E3</t>
  </si>
  <si>
    <t>G-REQ-05109-E4</t>
  </si>
  <si>
    <t>G-REQ-05110-E1</t>
  </si>
  <si>
    <t>G-REQ-05110-E2</t>
  </si>
  <si>
    <t>G-REQ-05110-E3</t>
  </si>
  <si>
    <t>G-REQ-05110-E4</t>
  </si>
  <si>
    <t>G-REQ-05111-E1</t>
  </si>
  <si>
    <t>G-REQ-05111-E2</t>
  </si>
  <si>
    <t>G-REQ-05111-E3</t>
  </si>
  <si>
    <t>G-REQ-05111-E4</t>
  </si>
  <si>
    <t>G-REQ-05112-E1</t>
  </si>
  <si>
    <t>G-REQ-05112-E2</t>
  </si>
  <si>
    <t>G-REQ-05112-E3</t>
  </si>
  <si>
    <t>G-REQ-05112-E4</t>
  </si>
  <si>
    <t>G-REQ-05113-E1</t>
  </si>
  <si>
    <t>G-REQ-05113-E2</t>
  </si>
  <si>
    <t>G-REQ-05113-E3</t>
  </si>
  <si>
    <t>G-REQ-05113-E4</t>
  </si>
  <si>
    <t>G-REQ-05114-E1</t>
  </si>
  <si>
    <t>G-REQ-05114-E2</t>
  </si>
  <si>
    <t>G-REQ-05114-E3</t>
  </si>
  <si>
    <t>G-REQ-05114-E4</t>
  </si>
  <si>
    <t>G-REQ-05115-E1</t>
  </si>
  <si>
    <t>G-REQ-05115-E2</t>
  </si>
  <si>
    <t>G-REQ-05115-E3</t>
  </si>
  <si>
    <t>G-REQ-05115-E4</t>
  </si>
  <si>
    <t>G-REQ-05116-E1</t>
  </si>
  <si>
    <t>G-REQ-05116-E2</t>
  </si>
  <si>
    <t>G-REQ-05116-E3</t>
  </si>
  <si>
    <t>G-REQ-05116-E4</t>
  </si>
  <si>
    <t>G-REQ-05117-E1</t>
  </si>
  <si>
    <t>G-REQ-05117-E2</t>
  </si>
  <si>
    <t>G-REQ-05117-E3</t>
  </si>
  <si>
    <t>G-REQ-05117-E4</t>
  </si>
  <si>
    <t>G-REQ-05118-E1</t>
  </si>
  <si>
    <t>G-REQ-05118-E2</t>
  </si>
  <si>
    <t>G-REQ-05118-E3</t>
  </si>
  <si>
    <t>G-REQ-05118-E4</t>
  </si>
  <si>
    <t>G-REQ-05119-E1</t>
  </si>
  <si>
    <t>SYNTHETIC: Laptop repair; Pending approval; asset G-AST-00397</t>
  </si>
  <si>
    <t>G-REQ-05119-E2</t>
  </si>
  <si>
    <t>SYNTHETIC: Laptop repair; Approved; asset G-AST-00397</t>
  </si>
  <si>
    <t>G-REQ-05119-E3</t>
  </si>
  <si>
    <t>SYNTHETIC: Laptop repair; In progress; asset G-AST-00397</t>
  </si>
  <si>
    <t>G-REQ-05119-E4</t>
  </si>
  <si>
    <t>SYNTHETIC: Laptop repair; Completed; asset G-AST-00397</t>
  </si>
  <si>
    <t>G-REQ-05120-E1</t>
  </si>
  <si>
    <t>G-REQ-05120-E2</t>
  </si>
  <si>
    <t>G-REQ-05120-E3</t>
  </si>
  <si>
    <t>G-REQ-05120-E4</t>
  </si>
  <si>
    <t>G-REQ-05121-E1</t>
  </si>
  <si>
    <t>G-REQ-05121-E2</t>
  </si>
  <si>
    <t>G-REQ-05121-E3</t>
  </si>
  <si>
    <t>G-REQ-05121-E4</t>
  </si>
  <si>
    <t>G-REQ-05122-E1</t>
  </si>
  <si>
    <t>G-REQ-05122-E2</t>
  </si>
  <si>
    <t>G-REQ-05122-E3</t>
  </si>
  <si>
    <t>G-REQ-05122-E4</t>
  </si>
  <si>
    <t>G-REQ-05123-E1</t>
  </si>
  <si>
    <t>G-REQ-05123-E2</t>
  </si>
  <si>
    <t>G-REQ-05123-E3</t>
  </si>
  <si>
    <t>G-REQ-05123-E4</t>
  </si>
  <si>
    <t>G-REQ-05124-E1</t>
  </si>
  <si>
    <t>G-REQ-05124-E2</t>
  </si>
  <si>
    <t>G-REQ-05124-E3</t>
  </si>
  <si>
    <t>G-REQ-05124-E4</t>
  </si>
  <si>
    <t>G-REQ-05125-E1</t>
  </si>
  <si>
    <t>G-REQ-05125-E2</t>
  </si>
  <si>
    <t>G-REQ-05125-E3</t>
  </si>
  <si>
    <t>G-REQ-05125-E4</t>
  </si>
  <si>
    <t>G-REQ-05126-E1</t>
  </si>
  <si>
    <t>G-REQ-05126-E2</t>
  </si>
  <si>
    <t>SYNTHETIC: Laptop repair; Rejected; asset G-AST-00312</t>
  </si>
  <si>
    <t>G-REQ-05127-E1</t>
  </si>
  <si>
    <t>G-REQ-05127-E2</t>
  </si>
  <si>
    <t>G-REQ-05127-E3</t>
  </si>
  <si>
    <t>G-REQ-05127-E4</t>
  </si>
  <si>
    <t>G-REQ-05128-E1</t>
  </si>
  <si>
    <t>G-REQ-05128-E2</t>
  </si>
  <si>
    <t>G-REQ-05128-E3</t>
  </si>
  <si>
    <t>G-REQ-05128-E4</t>
  </si>
  <si>
    <t>G-REQ-05129-E1</t>
  </si>
  <si>
    <t>G-REQ-05129-E2</t>
  </si>
  <si>
    <t>G-REQ-05129-E3</t>
  </si>
  <si>
    <t>G-REQ-05129-E4</t>
  </si>
  <si>
    <t>G-REQ-05130-E1</t>
  </si>
  <si>
    <t>G-REQ-05130-E2</t>
  </si>
  <si>
    <t>G-REQ-05130-E3</t>
  </si>
  <si>
    <t>G-REQ-05130-E4</t>
  </si>
  <si>
    <t>G-REQ-05131-E1</t>
  </si>
  <si>
    <t>G-REQ-05131-E2</t>
  </si>
  <si>
    <t>SYNTHETIC: Laptop return; Rejected; asset G-AST-00307</t>
  </si>
  <si>
    <t>G-REQ-05132-E1</t>
  </si>
  <si>
    <t>G-REQ-05132-E2</t>
  </si>
  <si>
    <t>G-REQ-05132-E3</t>
  </si>
  <si>
    <t>G-REQ-05132-E4</t>
  </si>
  <si>
    <t>G-REQ-05133-E1</t>
  </si>
  <si>
    <t>G-REQ-05133-E2</t>
  </si>
  <si>
    <t>G-REQ-05133-E3</t>
  </si>
  <si>
    <t>G-REQ-05133-E4</t>
  </si>
  <si>
    <t>G-REQ-05134-E1</t>
  </si>
  <si>
    <t>G-REQ-05134-E2</t>
  </si>
  <si>
    <t>G-REQ-05134-E3</t>
  </si>
  <si>
    <t>G-REQ-05134-E4</t>
  </si>
  <si>
    <t>G-REQ-05135-E1</t>
  </si>
  <si>
    <t>G-REQ-05135-E2</t>
  </si>
  <si>
    <t>G-REQ-05135-E3</t>
  </si>
  <si>
    <t>G-REQ-05135-E4</t>
  </si>
  <si>
    <t>G-REQ-05136-E1</t>
  </si>
  <si>
    <t>G-REQ-05136-E2</t>
  </si>
  <si>
    <t>G-REQ-05136-E3</t>
  </si>
  <si>
    <t>G-REQ-05136-E4</t>
  </si>
  <si>
    <t>G-REQ-05137-E1</t>
  </si>
  <si>
    <t>G-REQ-05137-E2</t>
  </si>
  <si>
    <t>G-REQ-05137-E3</t>
  </si>
  <si>
    <t>G-REQ-05137-E4</t>
  </si>
  <si>
    <t>G-REQ-05138-E1</t>
  </si>
  <si>
    <t>G-REQ-05138-E2</t>
  </si>
  <si>
    <t>G-REQ-05138-E3</t>
  </si>
  <si>
    <t>G-REQ-05138-E4</t>
  </si>
  <si>
    <t>G-REQ-05139-E1</t>
  </si>
  <si>
    <t>G-REQ-05139-E2</t>
  </si>
  <si>
    <t>G-REQ-05139-E3</t>
  </si>
  <si>
    <t>G-REQ-05139-E4</t>
  </si>
  <si>
    <t>G-REQ-05140-E1</t>
  </si>
  <si>
    <t>G-REQ-05140-E2</t>
  </si>
  <si>
    <t>G-REQ-05140-E3</t>
  </si>
  <si>
    <t>G-REQ-05140-E4</t>
  </si>
  <si>
    <t>G-REQ-05141-E1</t>
  </si>
  <si>
    <t>G-REQ-05141-E2</t>
  </si>
  <si>
    <t>G-REQ-05141-E3</t>
  </si>
  <si>
    <t>G-REQ-05141-E4</t>
  </si>
  <si>
    <t>G-REQ-05142-E1</t>
  </si>
  <si>
    <t>SYNTHETIC: Laptop repair; Pending approval; asset G-AST-00442</t>
  </si>
  <si>
    <t>G-REQ-05142-E2</t>
  </si>
  <si>
    <t>SYNTHETIC: Laptop repair; Approved; asset G-AST-00442</t>
  </si>
  <si>
    <t>G-REQ-05142-E3</t>
  </si>
  <si>
    <t>SYNTHETIC: Laptop repair; In progress; asset G-AST-00442</t>
  </si>
  <si>
    <t>G-REQ-05142-E4</t>
  </si>
  <si>
    <t>SYNTHETIC: Laptop repair; Completed; asset G-AST-00442</t>
  </si>
  <si>
    <t>G-REQ-05143-E1</t>
  </si>
  <si>
    <t>G-REQ-05143-E2</t>
  </si>
  <si>
    <t>G-REQ-05143-E3</t>
  </si>
  <si>
    <t>G-REQ-05143-E4</t>
  </si>
  <si>
    <t>G-REQ-05144-E1</t>
  </si>
  <si>
    <t>G-REQ-05144-E2</t>
  </si>
  <si>
    <t>SYNTHETIC: Laptop repair; Rejected; asset G-AST-00426</t>
  </si>
  <si>
    <t>G-REQ-05145-E1</t>
  </si>
  <si>
    <t>G-REQ-05145-E2</t>
  </si>
  <si>
    <t>G-REQ-05145-E3</t>
  </si>
  <si>
    <t>G-REQ-05145-E4</t>
  </si>
  <si>
    <t>G-REQ-05146-E1</t>
  </si>
  <si>
    <t>G-REQ-05146-E2</t>
  </si>
  <si>
    <t>G-REQ-05146-E3</t>
  </si>
  <si>
    <t>G-REQ-05146-E4</t>
  </si>
  <si>
    <t>G-REQ-05147-E1</t>
  </si>
  <si>
    <t>G-REQ-05147-E2</t>
  </si>
  <si>
    <t>G-REQ-05147-E3</t>
  </si>
  <si>
    <t>G-REQ-05147-E4</t>
  </si>
  <si>
    <t>G-REQ-05148-E1</t>
  </si>
  <si>
    <t>G-REQ-05148-E2</t>
  </si>
  <si>
    <t>SYNTHETIC: Laptop return; Cancelled; asset G-AST-00241</t>
  </si>
  <si>
    <t>G-REQ-05149-E1</t>
  </si>
  <si>
    <t>G-REQ-05149-E2</t>
  </si>
  <si>
    <t>G-REQ-05149-E3</t>
  </si>
  <si>
    <t>G-REQ-05149-E4</t>
  </si>
  <si>
    <t>G-REQ-05150-E1</t>
  </si>
  <si>
    <t>G-REQ-05150-E2</t>
  </si>
  <si>
    <t>G-REQ-05150-E3</t>
  </si>
  <si>
    <t>G-REQ-05150-E4</t>
  </si>
  <si>
    <t>G-REQ-05151-E1</t>
  </si>
  <si>
    <t>G-REQ-05151-E2</t>
  </si>
  <si>
    <t>G-REQ-05151-E3</t>
  </si>
  <si>
    <t>G-REQ-05151-E4</t>
  </si>
  <si>
    <t>G-REQ-05152-E1</t>
  </si>
  <si>
    <t>G-REQ-05152-E2</t>
  </si>
  <si>
    <t>G-REQ-05152-E3</t>
  </si>
  <si>
    <t>G-REQ-05152-E4</t>
  </si>
  <si>
    <t>G-REQ-05153-E1</t>
  </si>
  <si>
    <t>G-REQ-05153-E2</t>
  </si>
  <si>
    <t>G-REQ-05153-E3</t>
  </si>
  <si>
    <t>G-REQ-05153-E4</t>
  </si>
  <si>
    <t>G-REQ-05154-E1</t>
  </si>
  <si>
    <t>G-REQ-05154-E2</t>
  </si>
  <si>
    <t>G-REQ-05154-E3</t>
  </si>
  <si>
    <t>G-REQ-05154-E4</t>
  </si>
  <si>
    <t>G-REQ-05155-E1</t>
  </si>
  <si>
    <t>G-REQ-05155-E2</t>
  </si>
  <si>
    <t>G-REQ-05155-E3</t>
  </si>
  <si>
    <t>G-REQ-05155-E4</t>
  </si>
  <si>
    <t>G-REQ-05156-E1</t>
  </si>
  <si>
    <t>G-REQ-05156-E2</t>
  </si>
  <si>
    <t>G-REQ-05156-E3</t>
  </si>
  <si>
    <t>G-REQ-05156-E4</t>
  </si>
  <si>
    <t>G-REQ-05157-E1</t>
  </si>
  <si>
    <t>G-REQ-05157-E2</t>
  </si>
  <si>
    <t>G-REQ-05157-E3</t>
  </si>
  <si>
    <t>G-REQ-05157-E4</t>
  </si>
  <si>
    <t>G-REQ-05158-E1</t>
  </si>
  <si>
    <t>G-REQ-05158-E2</t>
  </si>
  <si>
    <t>SYNTHETIC: Laptop return; Rejected; asset G-AST-00182</t>
  </si>
  <si>
    <t>G-REQ-05159-E1</t>
  </si>
  <si>
    <t>G-REQ-05159-E2</t>
  </si>
  <si>
    <t>SYNTHETIC: Laptop return; Cancelled; asset G-AST-00409</t>
  </si>
  <si>
    <t>G-REQ-05160-E1</t>
  </si>
  <si>
    <t>G-REQ-05160-E2</t>
  </si>
  <si>
    <t>G-REQ-05160-E3</t>
  </si>
  <si>
    <t>G-REQ-05160-E4</t>
  </si>
  <si>
    <t>G-REQ-05161-E1</t>
  </si>
  <si>
    <t>G-REQ-05161-E2</t>
  </si>
  <si>
    <t>G-REQ-05161-E3</t>
  </si>
  <si>
    <t>G-REQ-05161-E4</t>
  </si>
  <si>
    <t>G-REQ-05162-E1</t>
  </si>
  <si>
    <t>G-REQ-05162-E2</t>
  </si>
  <si>
    <t>G-REQ-05162-E3</t>
  </si>
  <si>
    <t>G-REQ-05162-E4</t>
  </si>
  <si>
    <t>G-REQ-05163-E1</t>
  </si>
  <si>
    <t>G-REQ-05163-E2</t>
  </si>
  <si>
    <t>G-REQ-05163-E3</t>
  </si>
  <si>
    <t>G-REQ-05163-E4</t>
  </si>
  <si>
    <t>G-REQ-05164-E1</t>
  </si>
  <si>
    <t>G-REQ-05164-E2</t>
  </si>
  <si>
    <t>G-REQ-05164-E3</t>
  </si>
  <si>
    <t>G-REQ-05164-E4</t>
  </si>
  <si>
    <t>G-REQ-05165-E1</t>
  </si>
  <si>
    <t>G-REQ-05165-E2</t>
  </si>
  <si>
    <t>G-REQ-05165-E3</t>
  </si>
  <si>
    <t>G-REQ-05165-E4</t>
  </si>
  <si>
    <t>G-REQ-05166-E1</t>
  </si>
  <si>
    <t>G-REQ-05166-E2</t>
  </si>
  <si>
    <t>G-REQ-05166-E3</t>
  </si>
  <si>
    <t>G-REQ-05166-E4</t>
  </si>
  <si>
    <t>G-REQ-05167-E1</t>
  </si>
  <si>
    <t>G-REQ-05167-E2</t>
  </si>
  <si>
    <t>G-REQ-05167-E3</t>
  </si>
  <si>
    <t>G-REQ-05167-E4</t>
  </si>
  <si>
    <t>G-REQ-05168-E1</t>
  </si>
  <si>
    <t>G-REQ-05168-E2</t>
  </si>
  <si>
    <t>G-REQ-05169-E1</t>
  </si>
  <si>
    <t>G-REQ-05169-E2</t>
  </si>
  <si>
    <t>G-REQ-05169-E3</t>
  </si>
  <si>
    <t>G-REQ-05169-E4</t>
  </si>
  <si>
    <t>G-REQ-05170-E1</t>
  </si>
  <si>
    <t>G-REQ-05170-E2</t>
  </si>
  <si>
    <t>G-REQ-05170-E3</t>
  </si>
  <si>
    <t>G-REQ-05170-E4</t>
  </si>
  <si>
    <t>G-REQ-05171-E1</t>
  </si>
  <si>
    <t>G-REQ-05171-E2</t>
  </si>
  <si>
    <t>G-REQ-05171-E3</t>
  </si>
  <si>
    <t>G-REQ-05171-E4</t>
  </si>
  <si>
    <t>G-REQ-05172-E1</t>
  </si>
  <si>
    <t>G-REQ-05172-E2</t>
  </si>
  <si>
    <t>G-REQ-05172-E3</t>
  </si>
  <si>
    <t>G-REQ-05172-E4</t>
  </si>
  <si>
    <t>G-REQ-05173-E1</t>
  </si>
  <si>
    <t>G-REQ-05173-E2</t>
  </si>
  <si>
    <t>G-REQ-05173-E3</t>
  </si>
  <si>
    <t>G-REQ-05173-E4</t>
  </si>
  <si>
    <t>G-REQ-05174-E1</t>
  </si>
  <si>
    <t>G-REQ-05174-E2</t>
  </si>
  <si>
    <t>G-REQ-05174-E3</t>
  </si>
  <si>
    <t>G-REQ-05174-E4</t>
  </si>
  <si>
    <t>G-REQ-05175-E1</t>
  </si>
  <si>
    <t>G-REQ-05175-E2</t>
  </si>
  <si>
    <t>G-REQ-05175-E3</t>
  </si>
  <si>
    <t>G-REQ-05175-E4</t>
  </si>
  <si>
    <t>G-REQ-05176-E1</t>
  </si>
  <si>
    <t>G-REQ-05176-E2</t>
  </si>
  <si>
    <t>G-REQ-05176-E3</t>
  </si>
  <si>
    <t>G-REQ-05176-E4</t>
  </si>
  <si>
    <t>G-REQ-05177-E1</t>
  </si>
  <si>
    <t>G-REQ-05177-E2</t>
  </si>
  <si>
    <t>SYNTHETIC: Laptop return; Rejected; asset G-AST-00272</t>
  </si>
  <si>
    <t>G-REQ-05178-E1</t>
  </si>
  <si>
    <t>G-REQ-05178-E2</t>
  </si>
  <si>
    <t>G-REQ-05178-E3</t>
  </si>
  <si>
    <t>G-REQ-05178-E4</t>
  </si>
  <si>
    <t>G-REQ-05179-E1</t>
  </si>
  <si>
    <t>G-REQ-05179-E2</t>
  </si>
  <si>
    <t>G-REQ-05179-E3</t>
  </si>
  <si>
    <t>G-REQ-05179-E4</t>
  </si>
  <si>
    <t>G-REQ-05180-E1</t>
  </si>
  <si>
    <t>G-REQ-05180-E2</t>
  </si>
  <si>
    <t>G-REQ-05180-E3</t>
  </si>
  <si>
    <t>G-REQ-05180-E4</t>
  </si>
  <si>
    <t>G-REQ-05181-E1</t>
  </si>
  <si>
    <t>G-REQ-05181-E2</t>
  </si>
  <si>
    <t>G-REQ-05181-E3</t>
  </si>
  <si>
    <t>G-REQ-05181-E4</t>
  </si>
  <si>
    <t>G-REQ-05182-E1</t>
  </si>
  <si>
    <t>G-REQ-05182-E2</t>
  </si>
  <si>
    <t>G-REQ-05182-E3</t>
  </si>
  <si>
    <t>G-REQ-05182-E4</t>
  </si>
  <si>
    <t>G-REQ-05183-E1</t>
  </si>
  <si>
    <t>G-REQ-05183-E2</t>
  </si>
  <si>
    <t>G-REQ-05183-E3</t>
  </si>
  <si>
    <t>G-REQ-05183-E4</t>
  </si>
  <si>
    <t>G-REQ-05184-E1</t>
  </si>
  <si>
    <t>G-REQ-05184-E2</t>
  </si>
  <si>
    <t>G-REQ-05184-E3</t>
  </si>
  <si>
    <t>G-REQ-05184-E4</t>
  </si>
  <si>
    <t>G-REQ-05185-E1</t>
  </si>
  <si>
    <t>G-REQ-05185-E2</t>
  </si>
  <si>
    <t>G-REQ-05186-E1</t>
  </si>
  <si>
    <t>G-REQ-05186-E2</t>
  </si>
  <si>
    <t>G-REQ-05186-E3</t>
  </si>
  <si>
    <t>G-REQ-05186-E4</t>
  </si>
  <si>
    <t>G-REQ-05187-E1</t>
  </si>
  <si>
    <t>G-REQ-05187-E2</t>
  </si>
  <si>
    <t>G-REQ-05187-E3</t>
  </si>
  <si>
    <t>G-REQ-05187-E4</t>
  </si>
  <si>
    <t>G-REQ-05188-E1</t>
  </si>
  <si>
    <t>G-REQ-05188-E2</t>
  </si>
  <si>
    <t>G-REQ-05188-E3</t>
  </si>
  <si>
    <t>G-REQ-05188-E4</t>
  </si>
  <si>
    <t>G-REQ-05189-E1</t>
  </si>
  <si>
    <t>G-REQ-05189-E2</t>
  </si>
  <si>
    <t>G-REQ-05189-E3</t>
  </si>
  <si>
    <t>G-REQ-05189-E4</t>
  </si>
  <si>
    <t>G-REQ-05190-E1</t>
  </si>
  <si>
    <t>G-REQ-05190-E2</t>
  </si>
  <si>
    <t>G-REQ-05190-E3</t>
  </si>
  <si>
    <t>G-REQ-05190-E4</t>
  </si>
  <si>
    <t>G-REQ-05191-E1</t>
  </si>
  <si>
    <t>G-REQ-05191-E2</t>
  </si>
  <si>
    <t>G-REQ-05191-E3</t>
  </si>
  <si>
    <t>G-REQ-05191-E4</t>
  </si>
  <si>
    <t>G-REQ-05192-E1</t>
  </si>
  <si>
    <t>G-REQ-05192-E2</t>
  </si>
  <si>
    <t>G-REQ-05192-E3</t>
  </si>
  <si>
    <t>G-REQ-05192-E4</t>
  </si>
  <si>
    <t>G-REQ-05193-E1</t>
  </si>
  <si>
    <t>G-REQ-05193-E2</t>
  </si>
  <si>
    <t>G-REQ-05193-E3</t>
  </si>
  <si>
    <t>G-REQ-05193-E4</t>
  </si>
  <si>
    <t>G-REQ-05194-E1</t>
  </si>
  <si>
    <t>G-REQ-05194-E2</t>
  </si>
  <si>
    <t>G-REQ-05194-E3</t>
  </si>
  <si>
    <t>G-REQ-05194-E4</t>
  </si>
  <si>
    <t>G-REQ-05195-E1</t>
  </si>
  <si>
    <t>G-REQ-05195-E2</t>
  </si>
  <si>
    <t>G-REQ-05195-E3</t>
  </si>
  <si>
    <t>G-REQ-05195-E4</t>
  </si>
  <si>
    <t>G-REQ-05196-E1</t>
  </si>
  <si>
    <t>G-REQ-05196-E2</t>
  </si>
  <si>
    <t>G-REQ-05196-E3</t>
  </si>
  <si>
    <t>G-REQ-05196-E4</t>
  </si>
  <si>
    <t>G-REQ-05197-E1</t>
  </si>
  <si>
    <t>G-REQ-05197-E2</t>
  </si>
  <si>
    <t>G-REQ-05197-E3</t>
  </si>
  <si>
    <t>G-REQ-05197-E4</t>
  </si>
  <si>
    <t>G-REQ-05198-E1</t>
  </si>
  <si>
    <t>G-REQ-05198-E2</t>
  </si>
  <si>
    <t>G-REQ-05198-E3</t>
  </si>
  <si>
    <t>G-REQ-05198-E4</t>
  </si>
  <si>
    <t>G-REQ-05199-E1</t>
  </si>
  <si>
    <t>G-REQ-05199-E2</t>
  </si>
  <si>
    <t>G-REQ-05199-E3</t>
  </si>
  <si>
    <t>G-REQ-05199-E4</t>
  </si>
  <si>
    <t>G-REQ-05200-E1</t>
  </si>
  <si>
    <t>G-REQ-05200-E2</t>
  </si>
  <si>
    <t>SYNTHETIC: Laptop return; Cancelled; asset G-AST-00147</t>
  </si>
  <si>
    <t>G-REQ-05201-E1</t>
  </si>
  <si>
    <t>G-REQ-05201-E2</t>
  </si>
  <si>
    <t>SYNTHETIC: Laptop repair; Cancelled; asset G-AST-00481</t>
  </si>
  <si>
    <t>G-REQ-05202-E1</t>
  </si>
  <si>
    <t>G-REQ-05202-E2</t>
  </si>
  <si>
    <t>G-REQ-05202-E3</t>
  </si>
  <si>
    <t>G-REQ-05202-E4</t>
  </si>
  <si>
    <t>G-REQ-05203-E1</t>
  </si>
  <si>
    <t>G-REQ-05203-E2</t>
  </si>
  <si>
    <t>G-REQ-05203-E3</t>
  </si>
  <si>
    <t>G-REQ-05203-E4</t>
  </si>
  <si>
    <t>G-REQ-05204-E1</t>
  </si>
  <si>
    <t>G-REQ-05204-E2</t>
  </si>
  <si>
    <t>G-REQ-05204-E3</t>
  </si>
  <si>
    <t>G-REQ-05204-E4</t>
  </si>
  <si>
    <t>G-REQ-05205-E1</t>
  </si>
  <si>
    <t>G-REQ-05205-E2</t>
  </si>
  <si>
    <t>G-REQ-05205-E3</t>
  </si>
  <si>
    <t>G-REQ-05205-E4</t>
  </si>
  <si>
    <t>G-REQ-05206-E1</t>
  </si>
  <si>
    <t>G-REQ-05206-E2</t>
  </si>
  <si>
    <t>SYNTHETIC: Laptop return; Rejected; asset G-AST-00388</t>
  </si>
  <si>
    <t>G-REQ-05207-E1</t>
  </si>
  <si>
    <t>G-REQ-05207-E2</t>
  </si>
  <si>
    <t>G-REQ-05207-E3</t>
  </si>
  <si>
    <t>G-REQ-05207-E4</t>
  </si>
  <si>
    <t>G-REQ-05208-E1</t>
  </si>
  <si>
    <t>G-REQ-05208-E2</t>
  </si>
  <si>
    <t>G-REQ-05208-E3</t>
  </si>
  <si>
    <t>G-REQ-05208-E4</t>
  </si>
  <si>
    <t>G-REQ-05209-E1</t>
  </si>
  <si>
    <t>G-REQ-05209-E2</t>
  </si>
  <si>
    <t>SYNTHETIC: Laptop repair; Rejected; asset G-AST-00140</t>
  </si>
  <si>
    <t>G-REQ-05210-E1</t>
  </si>
  <si>
    <t>G-REQ-05210-E2</t>
  </si>
  <si>
    <t>G-REQ-05210-E3</t>
  </si>
  <si>
    <t>G-REQ-05210-E4</t>
  </si>
  <si>
    <t>G-REQ-05211-E1</t>
  </si>
  <si>
    <t>G-REQ-05211-E2</t>
  </si>
  <si>
    <t>G-REQ-05211-E3</t>
  </si>
  <si>
    <t>G-REQ-05211-E4</t>
  </si>
  <si>
    <t>G-REQ-05212-E1</t>
  </si>
  <si>
    <t>G-REQ-05212-E2</t>
  </si>
  <si>
    <t>G-REQ-05212-E3</t>
  </si>
  <si>
    <t>G-REQ-05212-E4</t>
  </si>
  <si>
    <t>G-REQ-05213-E1</t>
  </si>
  <si>
    <t>G-REQ-05213-E2</t>
  </si>
  <si>
    <t>G-REQ-05213-E3</t>
  </si>
  <si>
    <t>G-REQ-05213-E4</t>
  </si>
  <si>
    <t>G-REQ-05214-E1</t>
  </si>
  <si>
    <t>SYNTHETIC: Laptop repair; Pending approval; asset G-AST-00388</t>
  </si>
  <si>
    <t>G-REQ-05214-E2</t>
  </si>
  <si>
    <t>SYNTHETIC: Laptop repair; Rejected; asset G-AST-00388</t>
  </si>
  <si>
    <t>G-REQ-05215-E1</t>
  </si>
  <si>
    <t>G-REQ-05215-E2</t>
  </si>
  <si>
    <t>G-REQ-05215-E3</t>
  </si>
  <si>
    <t>G-REQ-05215-E4</t>
  </si>
  <si>
    <t>G-REQ-05216-E1</t>
  </si>
  <si>
    <t>G-REQ-05216-E2</t>
  </si>
  <si>
    <t>G-REQ-05216-E3</t>
  </si>
  <si>
    <t>G-REQ-05216-E4</t>
  </si>
  <si>
    <t>G-REQ-05217-E1</t>
  </si>
  <si>
    <t>G-REQ-05217-E2</t>
  </si>
  <si>
    <t>G-REQ-05217-E3</t>
  </si>
  <si>
    <t>G-REQ-05217-E4</t>
  </si>
  <si>
    <t>G-REQ-05218-E1</t>
  </si>
  <si>
    <t>G-REQ-05218-E2</t>
  </si>
  <si>
    <t>SYNTHETIC: Laptop repair; Rejected; asset G-AST-00462</t>
  </si>
  <si>
    <t>G-REQ-05219-E1</t>
  </si>
  <si>
    <t>G-REQ-05219-E2</t>
  </si>
  <si>
    <t>G-REQ-05219-E3</t>
  </si>
  <si>
    <t>G-REQ-05219-E4</t>
  </si>
  <si>
    <t>G-REQ-05220-E1</t>
  </si>
  <si>
    <t>G-REQ-05220-E2</t>
  </si>
  <si>
    <t>G-REQ-05220-E3</t>
  </si>
  <si>
    <t>G-REQ-05220-E4</t>
  </si>
  <si>
    <t>G-REQ-05221-E1</t>
  </si>
  <si>
    <t>G-REQ-05221-E2</t>
  </si>
  <si>
    <t>SYNTHETIC: Laptop return; Rejected; asset G-AST-00001</t>
  </si>
  <si>
    <t>G-REQ-05222-E1</t>
  </si>
  <si>
    <t>G-REQ-05222-E2</t>
  </si>
  <si>
    <t>G-REQ-05222-E3</t>
  </si>
  <si>
    <t>G-REQ-05222-E4</t>
  </si>
  <si>
    <t>G-REQ-05223-E1</t>
  </si>
  <si>
    <t>G-REQ-05223-E2</t>
  </si>
  <si>
    <t>G-REQ-05223-E3</t>
  </si>
  <si>
    <t>G-REQ-05223-E4</t>
  </si>
  <si>
    <t>G-REQ-05224-E1</t>
  </si>
  <si>
    <t>G-REQ-05224-E2</t>
  </si>
  <si>
    <t>G-REQ-05224-E3</t>
  </si>
  <si>
    <t>G-REQ-05224-E4</t>
  </si>
  <si>
    <t>G-REQ-05225-E1</t>
  </si>
  <si>
    <t>G-REQ-05225-E2</t>
  </si>
  <si>
    <t>G-REQ-05225-E3</t>
  </si>
  <si>
    <t>G-REQ-05225-E4</t>
  </si>
  <si>
    <t>G-REQ-05226-E1</t>
  </si>
  <si>
    <t>G-REQ-05226-E2</t>
  </si>
  <si>
    <t>G-REQ-05226-E3</t>
  </si>
  <si>
    <t>G-REQ-05226-E4</t>
  </si>
  <si>
    <t>G-REQ-05227-E1</t>
  </si>
  <si>
    <t>G-REQ-05227-E2</t>
  </si>
  <si>
    <t>G-REQ-05227-E3</t>
  </si>
  <si>
    <t>G-REQ-05227-E4</t>
  </si>
  <si>
    <t>G-REQ-05228-E1</t>
  </si>
  <si>
    <t>G-REQ-05228-E2</t>
  </si>
  <si>
    <t>G-REQ-05228-E3</t>
  </si>
  <si>
    <t>G-REQ-05228-E4</t>
  </si>
  <si>
    <t>G-REQ-05229-E1</t>
  </si>
  <si>
    <t>G-REQ-05229-E2</t>
  </si>
  <si>
    <t>G-REQ-05229-E3</t>
  </si>
  <si>
    <t>G-REQ-05229-E4</t>
  </si>
  <si>
    <t>G-REQ-05230-E1</t>
  </si>
  <si>
    <t>G-REQ-05230-E2</t>
  </si>
  <si>
    <t>SYNTHETIC: Laptop repair; Approved; asset G-AST-00388</t>
  </si>
  <si>
    <t>G-REQ-05230-E3</t>
  </si>
  <si>
    <t>SYNTHETIC: Laptop repair; In progress; asset G-AST-00388</t>
  </si>
  <si>
    <t>G-REQ-05230-E4</t>
  </si>
  <si>
    <t>SYNTHETIC: Laptop repair; Completed; asset G-AST-00388</t>
  </si>
  <si>
    <t>G-REQ-05231-E1</t>
  </si>
  <si>
    <t>G-REQ-05231-E2</t>
  </si>
  <si>
    <t>G-REQ-05231-E3</t>
  </si>
  <si>
    <t>G-REQ-05231-E4</t>
  </si>
  <si>
    <t>G-REQ-05232-E1</t>
  </si>
  <si>
    <t>G-REQ-05232-E2</t>
  </si>
  <si>
    <t>G-REQ-05232-E3</t>
  </si>
  <si>
    <t>G-REQ-05232-E4</t>
  </si>
  <si>
    <t>G-REQ-05233-E1</t>
  </si>
  <si>
    <t>G-REQ-05233-E2</t>
  </si>
  <si>
    <t>G-REQ-05233-E3</t>
  </si>
  <si>
    <t>G-REQ-05233-E4</t>
  </si>
  <si>
    <t>G-REQ-05234-E1</t>
  </si>
  <si>
    <t>G-REQ-05234-E2</t>
  </si>
  <si>
    <t>G-REQ-05234-E3</t>
  </si>
  <si>
    <t>G-REQ-05234-E4</t>
  </si>
  <si>
    <t>G-REQ-05235-E1</t>
  </si>
  <si>
    <t>G-REQ-05235-E2</t>
  </si>
  <si>
    <t>G-REQ-05235-E3</t>
  </si>
  <si>
    <t>G-REQ-05235-E4</t>
  </si>
  <si>
    <t>G-REQ-05236-E1</t>
  </si>
  <si>
    <t>G-REQ-05236-E2</t>
  </si>
  <si>
    <t>SYNTHETIC: Laptop return; Cancelled; asset G-AST-00477</t>
  </si>
  <si>
    <t>G-REQ-05237-E1</t>
  </si>
  <si>
    <t>G-REQ-05237-E2</t>
  </si>
  <si>
    <t>G-REQ-05237-E3</t>
  </si>
  <si>
    <t>G-REQ-05237-E4</t>
  </si>
  <si>
    <t>G-REQ-05238-E1</t>
  </si>
  <si>
    <t>G-REQ-05238-E2</t>
  </si>
  <si>
    <t>G-REQ-05239-E1</t>
  </si>
  <si>
    <t>G-REQ-05239-E2</t>
  </si>
  <si>
    <t>G-REQ-05239-E3</t>
  </si>
  <si>
    <t>G-REQ-05239-E4</t>
  </si>
  <si>
    <t>G-REQ-05240-E1</t>
  </si>
  <si>
    <t>G-REQ-05240-E2</t>
  </si>
  <si>
    <t>G-REQ-05240-E3</t>
  </si>
  <si>
    <t>G-REQ-05240-E4</t>
  </si>
  <si>
    <t>G-REQ-05241-E1</t>
  </si>
  <si>
    <t>G-REQ-05241-E2</t>
  </si>
  <si>
    <t>G-REQ-05242-E1</t>
  </si>
  <si>
    <t>G-REQ-05242-E2</t>
  </si>
  <si>
    <t>G-REQ-05242-E3</t>
  </si>
  <si>
    <t>G-REQ-05242-E4</t>
  </si>
  <si>
    <t>G-REQ-05243-E1</t>
  </si>
  <si>
    <t>G-REQ-05243-E2</t>
  </si>
  <si>
    <t>G-REQ-05243-E3</t>
  </si>
  <si>
    <t>G-REQ-05243-E4</t>
  </si>
  <si>
    <t>G-REQ-05244-E1</t>
  </si>
  <si>
    <t>G-REQ-05244-E2</t>
  </si>
  <si>
    <t>G-REQ-05244-E3</t>
  </si>
  <si>
    <t>G-REQ-05244-E4</t>
  </si>
  <si>
    <t>G-REQ-05245-E1</t>
  </si>
  <si>
    <t>G-REQ-05245-E2</t>
  </si>
  <si>
    <t>G-REQ-05245-E3</t>
  </si>
  <si>
    <t>G-REQ-05245-E4</t>
  </si>
  <si>
    <t>G-REQ-05246-E1</t>
  </si>
  <si>
    <t>G-REQ-05246-E2</t>
  </si>
  <si>
    <t>SYNTHETIC: Laptop repair; Rejected; asset G-AST-00398</t>
  </si>
  <si>
    <t>G-REQ-05247-E1</t>
  </si>
  <si>
    <t>G-REQ-05247-E2</t>
  </si>
  <si>
    <t>G-REQ-05247-E3</t>
  </si>
  <si>
    <t>G-REQ-05247-E4</t>
  </si>
  <si>
    <t>G-REQ-05248-E1</t>
  </si>
  <si>
    <t>G-REQ-05248-E2</t>
  </si>
  <si>
    <t>G-REQ-05248-E3</t>
  </si>
  <si>
    <t>G-REQ-05248-E4</t>
  </si>
  <si>
    <t>G-REQ-05249-E1</t>
  </si>
  <si>
    <t>G-REQ-05249-E2</t>
  </si>
  <si>
    <t>G-REQ-05249-E3</t>
  </si>
  <si>
    <t>G-REQ-05249-E4</t>
  </si>
  <si>
    <t>G-REQ-05250-E1</t>
  </si>
  <si>
    <t>G-REQ-05250-E2</t>
  </si>
  <si>
    <t>G-REQ-05250-E3</t>
  </si>
  <si>
    <t>G-REQ-05250-E4</t>
  </si>
  <si>
    <t>G-REQ-05251-E1</t>
  </si>
  <si>
    <t>G-REQ-05251-E2</t>
  </si>
  <si>
    <t>G-REQ-05252-E1</t>
  </si>
  <si>
    <t>G-REQ-05252-E2</t>
  </si>
  <si>
    <t>G-REQ-05252-E3</t>
  </si>
  <si>
    <t>G-REQ-05252-E4</t>
  </si>
  <si>
    <t>G-REQ-05253-E1</t>
  </si>
  <si>
    <t>G-REQ-05253-E2</t>
  </si>
  <si>
    <t>G-REQ-05253-E3</t>
  </si>
  <si>
    <t>G-REQ-05253-E4</t>
  </si>
  <si>
    <t>G-REQ-05254-E1</t>
  </si>
  <si>
    <t>G-REQ-05254-E2</t>
  </si>
  <si>
    <t>G-REQ-05254-E3</t>
  </si>
  <si>
    <t>G-REQ-05254-E4</t>
  </si>
  <si>
    <t>G-REQ-05255-E1</t>
  </si>
  <si>
    <t>G-REQ-05255-E2</t>
  </si>
  <si>
    <t>G-REQ-05256-E1</t>
  </si>
  <si>
    <t>G-REQ-05256-E2</t>
  </si>
  <si>
    <t>G-REQ-05256-E3</t>
  </si>
  <si>
    <t>G-REQ-05256-E4</t>
  </si>
  <si>
    <t>G-REQ-05257-E1</t>
  </si>
  <si>
    <t>G-REQ-05257-E2</t>
  </si>
  <si>
    <t>G-REQ-05257-E3</t>
  </si>
  <si>
    <t>G-REQ-05257-E4</t>
  </si>
  <si>
    <t>G-REQ-05258-E1</t>
  </si>
  <si>
    <t>G-REQ-05258-E2</t>
  </si>
  <si>
    <t>G-REQ-05258-E3</t>
  </si>
  <si>
    <t>G-REQ-05258-E4</t>
  </si>
  <si>
    <t>G-REQ-05259-E1</t>
  </si>
  <si>
    <t>G-REQ-05259-E2</t>
  </si>
  <si>
    <t>G-REQ-05259-E3</t>
  </si>
  <si>
    <t>G-REQ-05259-E4</t>
  </si>
  <si>
    <t>G-REQ-05260-E1</t>
  </si>
  <si>
    <t>G-REQ-05260-E2</t>
  </si>
  <si>
    <t>G-REQ-05260-E3</t>
  </si>
  <si>
    <t>G-REQ-05260-E4</t>
  </si>
  <si>
    <t>G-REQ-05261-E1</t>
  </si>
  <si>
    <t>G-REQ-05261-E2</t>
  </si>
  <si>
    <t>SYNTHETIC: Laptop return; Cancelled; asset G-AST-00077</t>
  </si>
  <si>
    <t>G-REQ-05262-E1</t>
  </si>
  <si>
    <t>G-REQ-05262-E2</t>
  </si>
  <si>
    <t>SYNTHETIC: Laptop repair; Cancelled; asset G-AST-00458</t>
  </si>
  <si>
    <t>G-REQ-05263-E1</t>
  </si>
  <si>
    <t>G-REQ-05263-E2</t>
  </si>
  <si>
    <t>G-REQ-05263-E3</t>
  </si>
  <si>
    <t>G-REQ-05263-E4</t>
  </si>
  <si>
    <t>G-REQ-05264-E1</t>
  </si>
  <si>
    <t>G-REQ-05264-E2</t>
  </si>
  <si>
    <t>G-REQ-05264-E3</t>
  </si>
  <si>
    <t>G-REQ-05264-E4</t>
  </si>
  <si>
    <t>G-REQ-05265-E1</t>
  </si>
  <si>
    <t>G-REQ-05265-E2</t>
  </si>
  <si>
    <t>G-REQ-05265-E3</t>
  </si>
  <si>
    <t>G-REQ-05265-E4</t>
  </si>
  <si>
    <t>G-REQ-05266-E1</t>
  </si>
  <si>
    <t>G-REQ-05266-E2</t>
  </si>
  <si>
    <t>G-REQ-05266-E3</t>
  </si>
  <si>
    <t>G-REQ-05266-E4</t>
  </si>
  <si>
    <t>G-REQ-05267-E1</t>
  </si>
  <si>
    <t>G-REQ-05267-E2</t>
  </si>
  <si>
    <t>G-REQ-05267-E3</t>
  </si>
  <si>
    <t>G-REQ-05267-E4</t>
  </si>
  <si>
    <t>G-REQ-05268-E1</t>
  </si>
  <si>
    <t>G-REQ-05268-E2</t>
  </si>
  <si>
    <t>G-REQ-05268-E3</t>
  </si>
  <si>
    <t>G-REQ-05268-E4</t>
  </si>
  <si>
    <t>G-REQ-05269-E1</t>
  </si>
  <si>
    <t>G-REQ-05269-E2</t>
  </si>
  <si>
    <t>SYNTHETIC: Laptop return; Rejected; asset G-AST-00393</t>
  </si>
  <si>
    <t>G-REQ-05270-E1</t>
  </si>
  <si>
    <t>G-REQ-05270-E2</t>
  </si>
  <si>
    <t>G-REQ-05271-E1</t>
  </si>
  <si>
    <t>G-REQ-05271-E2</t>
  </si>
  <si>
    <t>G-REQ-05271-E3</t>
  </si>
  <si>
    <t>G-REQ-05271-E4</t>
  </si>
  <si>
    <t>G-REQ-05272-E1</t>
  </si>
  <si>
    <t>G-REQ-05272-E2</t>
  </si>
  <si>
    <t>G-REQ-05272-E3</t>
  </si>
  <si>
    <t>G-REQ-05272-E4</t>
  </si>
  <si>
    <t>G-REQ-05273-E1</t>
  </si>
  <si>
    <t>G-REQ-05273-E2</t>
  </si>
  <si>
    <t>G-REQ-05273-E3</t>
  </si>
  <si>
    <t>G-REQ-05273-E4</t>
  </si>
  <si>
    <t>G-REQ-05274-E1</t>
  </si>
  <si>
    <t>G-REQ-05274-E2</t>
  </si>
  <si>
    <t>G-REQ-05274-E3</t>
  </si>
  <si>
    <t>G-REQ-05274-E4</t>
  </si>
  <si>
    <t>G-REQ-05275-E1</t>
  </si>
  <si>
    <t>G-REQ-05275-E2</t>
  </si>
  <si>
    <t>SYNTHETIC: Laptop repair; Cancelled; asset G-AST-00373</t>
  </si>
  <si>
    <t>G-REQ-05276-E1</t>
  </si>
  <si>
    <t>G-REQ-05276-E2</t>
  </si>
  <si>
    <t>G-REQ-05276-E3</t>
  </si>
  <si>
    <t>G-REQ-05276-E4</t>
  </si>
  <si>
    <t>G-REQ-05277-E1</t>
  </si>
  <si>
    <t>G-REQ-05277-E2</t>
  </si>
  <si>
    <t>G-REQ-05277-E3</t>
  </si>
  <si>
    <t>G-REQ-05277-E4</t>
  </si>
  <si>
    <t>G-REQ-05278-E1</t>
  </si>
  <si>
    <t>G-REQ-05278-E2</t>
  </si>
  <si>
    <t>G-REQ-05278-E3</t>
  </si>
  <si>
    <t>G-REQ-05278-E4</t>
  </si>
  <si>
    <t>G-REQ-05279-E1</t>
  </si>
  <si>
    <t>G-REQ-05279-E2</t>
  </si>
  <si>
    <t>G-REQ-05279-E3</t>
  </si>
  <si>
    <t>G-REQ-05279-E4</t>
  </si>
  <si>
    <t>G-REQ-05280-E1</t>
  </si>
  <si>
    <t>G-REQ-05280-E2</t>
  </si>
  <si>
    <t>G-REQ-05280-E3</t>
  </si>
  <si>
    <t>G-REQ-05280-E4</t>
  </si>
  <si>
    <t>G-REQ-05281-E1</t>
  </si>
  <si>
    <t>G-REQ-05281-E2</t>
  </si>
  <si>
    <t>G-REQ-05281-E3</t>
  </si>
  <si>
    <t>G-REQ-05281-E4</t>
  </si>
  <si>
    <t>G-REQ-05282-E1</t>
  </si>
  <si>
    <t>G-REQ-05282-E2</t>
  </si>
  <si>
    <t>G-REQ-05282-E3</t>
  </si>
  <si>
    <t>G-REQ-05282-E4</t>
  </si>
  <si>
    <t>G-REQ-05283-E1</t>
  </si>
  <si>
    <t>G-REQ-05283-E2</t>
  </si>
  <si>
    <t>G-REQ-05283-E3</t>
  </si>
  <si>
    <t>G-REQ-05283-E4</t>
  </si>
  <si>
    <t>G-REQ-05284-E1</t>
  </si>
  <si>
    <t>G-REQ-05284-E2</t>
  </si>
  <si>
    <t>G-REQ-05284-E3</t>
  </si>
  <si>
    <t>G-REQ-05284-E4</t>
  </si>
  <si>
    <t>G-REQ-05285-E1</t>
  </si>
  <si>
    <t>G-REQ-05285-E2</t>
  </si>
  <si>
    <t>G-REQ-05285-E3</t>
  </si>
  <si>
    <t>G-REQ-05285-E4</t>
  </si>
  <si>
    <t>G-REQ-05286-E1</t>
  </si>
  <si>
    <t>G-REQ-05286-E2</t>
  </si>
  <si>
    <t>G-REQ-05286-E3</t>
  </si>
  <si>
    <t>G-REQ-05286-E4</t>
  </si>
  <si>
    <t>G-REQ-05287-E1</t>
  </si>
  <si>
    <t>G-REQ-05287-E2</t>
  </si>
  <si>
    <t>G-REQ-05287-E3</t>
  </si>
  <si>
    <t>G-REQ-05287-E4</t>
  </si>
  <si>
    <t>G-REQ-05288-E1</t>
  </si>
  <si>
    <t>G-REQ-05288-E2</t>
  </si>
  <si>
    <t>G-REQ-05288-E3</t>
  </si>
  <si>
    <t>G-REQ-05288-E4</t>
  </si>
  <si>
    <t>G-REQ-05289-E1</t>
  </si>
  <si>
    <t>G-REQ-05289-E2</t>
  </si>
  <si>
    <t>G-REQ-05289-E3</t>
  </si>
  <si>
    <t>G-REQ-05289-E4</t>
  </si>
  <si>
    <t>G-REQ-05290-E1</t>
  </si>
  <si>
    <t>SYNTHETIC: Laptop repair; Pending approval; asset G-AST-00478</t>
  </si>
  <si>
    <t>G-REQ-05290-E2</t>
  </si>
  <si>
    <t>SYNTHETIC: Laptop repair; Rejected; asset G-AST-00478</t>
  </si>
  <si>
    <t>G-REQ-05291-E1</t>
  </si>
  <si>
    <t>G-REQ-05291-E2</t>
  </si>
  <si>
    <t>G-REQ-05291-E3</t>
  </si>
  <si>
    <t>G-REQ-05291-E4</t>
  </si>
  <si>
    <t>G-REQ-05292-E1</t>
  </si>
  <si>
    <t>G-REQ-05292-E2</t>
  </si>
  <si>
    <t>SYNTHETIC: Laptop repair; Approved; asset G-AST-00478</t>
  </si>
  <si>
    <t>G-REQ-05292-E3</t>
  </si>
  <si>
    <t>SYNTHETIC: Laptop repair; In progress; asset G-AST-00478</t>
  </si>
  <si>
    <t>G-REQ-05292-E4</t>
  </si>
  <si>
    <t>SYNTHETIC: Laptop repair; Completed; asset G-AST-00478</t>
  </si>
  <si>
    <t>G-REQ-05293-E1</t>
  </si>
  <si>
    <t>G-REQ-05293-E2</t>
  </si>
  <si>
    <t>G-REQ-05293-E3</t>
  </si>
  <si>
    <t>G-REQ-05293-E4</t>
  </si>
  <si>
    <t>G-REQ-05294-E1</t>
  </si>
  <si>
    <t>G-REQ-05294-E2</t>
  </si>
  <si>
    <t>G-REQ-05294-E3</t>
  </si>
  <si>
    <t>G-REQ-05294-E4</t>
  </si>
  <si>
    <t>G-REQ-05295-E1</t>
  </si>
  <si>
    <t>G-REQ-05295-E2</t>
  </si>
  <si>
    <t>G-REQ-05295-E3</t>
  </si>
  <si>
    <t>G-REQ-05295-E4</t>
  </si>
  <si>
    <t>G-REQ-05296-E1</t>
  </si>
  <si>
    <t>G-REQ-05296-E2</t>
  </si>
  <si>
    <t>G-REQ-05296-E3</t>
  </si>
  <si>
    <t>G-REQ-05296-E4</t>
  </si>
  <si>
    <t>G-REQ-05297-E1</t>
  </si>
  <si>
    <t>G-REQ-05297-E2</t>
  </si>
  <si>
    <t>SYNTHETIC: Laptop return; Approved; asset G-AST-00269</t>
  </si>
  <si>
    <t>G-REQ-05297-E3</t>
  </si>
  <si>
    <t>SYNTHETIC: Laptop return; In progress; asset G-AST-00269</t>
  </si>
  <si>
    <t>G-REQ-05297-E4</t>
  </si>
  <si>
    <t>SYNTHETIC: Laptop return; Completed; asset G-AST-00269</t>
  </si>
  <si>
    <t>G-REQ-05298-E1</t>
  </si>
  <si>
    <t>G-REQ-05298-E2</t>
  </si>
  <si>
    <t>SYNTHETIC: Laptop return; Cancelled; asset G-AST-00325</t>
  </si>
  <si>
    <t>G-REQ-05299-E1</t>
  </si>
  <si>
    <t>G-REQ-05299-E2</t>
  </si>
  <si>
    <t>G-REQ-05299-E3</t>
  </si>
  <si>
    <t>G-REQ-05299-E4</t>
  </si>
  <si>
    <t>G-REQ-05300-E1</t>
  </si>
  <si>
    <t>G-REQ-05300-E2</t>
  </si>
  <si>
    <t>G-REQ-05300-E3</t>
  </si>
  <si>
    <t>G-REQ-05300-E4</t>
  </si>
  <si>
    <t>G-REQ-05301-E1</t>
  </si>
  <si>
    <t>G-REQ-05301-E2</t>
  </si>
  <si>
    <t>G-REQ-05301-E3</t>
  </si>
  <si>
    <t>G-REQ-05301-E4</t>
  </si>
  <si>
    <t>G-REQ-05302-E1</t>
  </si>
  <si>
    <t>G-REQ-05302-E2</t>
  </si>
  <si>
    <t>SYNTHETIC: Laptop return; Cancelled; asset G-AST-00234</t>
  </si>
  <si>
    <t>G-REQ-05303-E1</t>
  </si>
  <si>
    <t>G-REQ-05303-E2</t>
  </si>
  <si>
    <t>SYNTHETIC: Laptop repair; Rejected; asset G-AST-00457</t>
  </si>
  <si>
    <t>G-REQ-05304-E1</t>
  </si>
  <si>
    <t>G-REQ-05304-E2</t>
  </si>
  <si>
    <t>G-REQ-05305-E1</t>
  </si>
  <si>
    <t>G-REQ-05305-E2</t>
  </si>
  <si>
    <t>G-REQ-05305-E3</t>
  </si>
  <si>
    <t>G-REQ-05305-E4</t>
  </si>
  <si>
    <t>G-REQ-05306-E1</t>
  </si>
  <si>
    <t>G-REQ-05306-E2</t>
  </si>
  <si>
    <t>G-REQ-05306-E3</t>
  </si>
  <si>
    <t>G-REQ-05306-E4</t>
  </si>
  <si>
    <t>G-REQ-05307-E1</t>
  </si>
  <si>
    <t>G-REQ-05307-E2</t>
  </si>
  <si>
    <t>G-REQ-05307-E3</t>
  </si>
  <si>
    <t>G-REQ-05307-E4</t>
  </si>
  <si>
    <t>G-REQ-05308-E1</t>
  </si>
  <si>
    <t>G-REQ-05308-E2</t>
  </si>
  <si>
    <t>G-REQ-05308-E3</t>
  </si>
  <si>
    <t>G-REQ-05308-E4</t>
  </si>
  <si>
    <t>G-REQ-05309-E1</t>
  </si>
  <si>
    <t>G-REQ-05309-E2</t>
  </si>
  <si>
    <t>G-REQ-05309-E3</t>
  </si>
  <si>
    <t>G-REQ-05309-E4</t>
  </si>
  <si>
    <t>G-REQ-05310-E1</t>
  </si>
  <si>
    <t>G-REQ-05310-E2</t>
  </si>
  <si>
    <t>G-REQ-05311-E1</t>
  </si>
  <si>
    <t>G-REQ-05311-E2</t>
  </si>
  <si>
    <t>G-REQ-05311-E3</t>
  </si>
  <si>
    <t>G-REQ-05311-E4</t>
  </si>
  <si>
    <t>G-REQ-05312-E1</t>
  </si>
  <si>
    <t>G-REQ-05312-E2</t>
  </si>
  <si>
    <t>G-REQ-05312-E3</t>
  </si>
  <si>
    <t>G-REQ-05312-E4</t>
  </si>
  <si>
    <t>G-REQ-05313-E1</t>
  </si>
  <si>
    <t>G-REQ-05313-E2</t>
  </si>
  <si>
    <t>G-REQ-05313-E3</t>
  </si>
  <si>
    <t>G-REQ-05313-E4</t>
  </si>
  <si>
    <t>G-REQ-05314-E1</t>
  </si>
  <si>
    <t>G-REQ-05314-E2</t>
  </si>
  <si>
    <t>G-REQ-05314-E3</t>
  </si>
  <si>
    <t>G-REQ-05314-E4</t>
  </si>
  <si>
    <t>G-REQ-05315-E1</t>
  </si>
  <si>
    <t>G-REQ-05315-E2</t>
  </si>
  <si>
    <t>G-REQ-05315-E3</t>
  </si>
  <si>
    <t>G-REQ-05315-E4</t>
  </si>
  <si>
    <t>G-REQ-05316-E1</t>
  </si>
  <si>
    <t>G-REQ-05316-E2</t>
  </si>
  <si>
    <t>SYNTHETIC: Laptop return; Approved; asset G-AST-00523</t>
  </si>
  <si>
    <t>G-REQ-05316-E3</t>
  </si>
  <si>
    <t>SYNTHETIC: Laptop return; In progress; asset G-AST-00523</t>
  </si>
  <si>
    <t>G-REQ-05316-E4</t>
  </si>
  <si>
    <t>SYNTHETIC: Laptop return; Completed; asset G-AST-00523</t>
  </si>
  <si>
    <t>G-REQ-05317-E1</t>
  </si>
  <si>
    <t>G-REQ-05317-E2</t>
  </si>
  <si>
    <t>G-REQ-05317-E3</t>
  </si>
  <si>
    <t>G-REQ-05317-E4</t>
  </si>
  <si>
    <t>G-REQ-05318-E1</t>
  </si>
  <si>
    <t>G-REQ-05318-E2</t>
  </si>
  <si>
    <t>G-REQ-05318-E3</t>
  </si>
  <si>
    <t>G-REQ-05318-E4</t>
  </si>
  <si>
    <t>G-REQ-05319-E1</t>
  </si>
  <si>
    <t>G-REQ-05319-E2</t>
  </si>
  <si>
    <t>G-REQ-05319-E3</t>
  </si>
  <si>
    <t>G-REQ-05319-E4</t>
  </si>
  <si>
    <t>G-REQ-05320-E1</t>
  </si>
  <si>
    <t>G-REQ-05320-E2</t>
  </si>
  <si>
    <t>G-REQ-05320-E3</t>
  </si>
  <si>
    <t>G-REQ-05320-E4</t>
  </si>
  <si>
    <t>G-REQ-05321-E1</t>
  </si>
  <si>
    <t>G-REQ-05321-E2</t>
  </si>
  <si>
    <t>G-REQ-05321-E3</t>
  </si>
  <si>
    <t>G-REQ-05321-E4</t>
  </si>
  <si>
    <t>G-REQ-05322-E1</t>
  </si>
  <si>
    <t>G-REQ-05322-E2</t>
  </si>
  <si>
    <t>G-REQ-05322-E3</t>
  </si>
  <si>
    <t>G-REQ-05322-E4</t>
  </si>
  <si>
    <t>G-REQ-05323-E1</t>
  </si>
  <si>
    <t>G-REQ-05323-E2</t>
  </si>
  <si>
    <t>G-REQ-05323-E3</t>
  </si>
  <si>
    <t>G-REQ-05323-E4</t>
  </si>
  <si>
    <t>G-REQ-05324-E1</t>
  </si>
  <si>
    <t>G-REQ-05324-E2</t>
  </si>
  <si>
    <t>G-REQ-05324-E3</t>
  </si>
  <si>
    <t>G-REQ-05324-E4</t>
  </si>
  <si>
    <t>G-REQ-05325-E1</t>
  </si>
  <si>
    <t>G-REQ-05325-E2</t>
  </si>
  <si>
    <t>G-REQ-05325-E3</t>
  </si>
  <si>
    <t>G-REQ-05325-E4</t>
  </si>
  <si>
    <t>G-REQ-05326-E1</t>
  </si>
  <si>
    <t>G-REQ-05326-E2</t>
  </si>
  <si>
    <t>G-REQ-05326-E3</t>
  </si>
  <si>
    <t>G-REQ-05326-E4</t>
  </si>
  <si>
    <t>G-REQ-05327-E1</t>
  </si>
  <si>
    <t>G-REQ-05327-E2</t>
  </si>
  <si>
    <t>G-REQ-05327-E3</t>
  </si>
  <si>
    <t>G-REQ-05327-E4</t>
  </si>
  <si>
    <t>G-REQ-05328-E1</t>
  </si>
  <si>
    <t>G-REQ-05328-E2</t>
  </si>
  <si>
    <t>SYNTHETIC: Laptop return; Cancelled; asset G-AST-00424</t>
  </si>
  <si>
    <t>G-REQ-05329-E1</t>
  </si>
  <si>
    <t>G-REQ-05329-E2</t>
  </si>
  <si>
    <t>G-REQ-05330-E1</t>
  </si>
  <si>
    <t>G-REQ-05330-E2</t>
  </si>
  <si>
    <t>G-REQ-05330-E3</t>
  </si>
  <si>
    <t>G-REQ-05330-E4</t>
  </si>
  <si>
    <t>G-REQ-05331-E1</t>
  </si>
  <si>
    <t>G-REQ-05331-E2</t>
  </si>
  <si>
    <t>G-REQ-05331-E3</t>
  </si>
  <si>
    <t>G-REQ-05331-E4</t>
  </si>
  <si>
    <t>G-REQ-05332-E1</t>
  </si>
  <si>
    <t>G-REQ-05332-E2</t>
  </si>
  <si>
    <t>G-REQ-05332-E3</t>
  </si>
  <si>
    <t>G-REQ-05332-E4</t>
  </si>
  <si>
    <t>G-REQ-05333-E1</t>
  </si>
  <si>
    <t>G-REQ-05333-E2</t>
  </si>
  <si>
    <t>SYNTHETIC: Laptop repair; Rejected; asset G-AST-00147</t>
  </si>
  <si>
    <t>G-REQ-05334-E1</t>
  </si>
  <si>
    <t>G-REQ-05334-E2</t>
  </si>
  <si>
    <t>G-REQ-05334-E3</t>
  </si>
  <si>
    <t>G-REQ-05334-E4</t>
  </si>
  <si>
    <t>G-REQ-05335-E1</t>
  </si>
  <si>
    <t>G-REQ-05335-E2</t>
  </si>
  <si>
    <t>G-REQ-05335-E3</t>
  </si>
  <si>
    <t>G-REQ-05335-E4</t>
  </si>
  <si>
    <t>G-REQ-05336-E1</t>
  </si>
  <si>
    <t>G-REQ-05336-E2</t>
  </si>
  <si>
    <t>G-REQ-05336-E3</t>
  </si>
  <si>
    <t>G-REQ-05336-E4</t>
  </si>
  <si>
    <t>G-REQ-05337-E1</t>
  </si>
  <si>
    <t>G-REQ-05337-E2</t>
  </si>
  <si>
    <t>G-REQ-05337-E3</t>
  </si>
  <si>
    <t>G-REQ-05337-E4</t>
  </si>
  <si>
    <t>G-REQ-05338-E1</t>
  </si>
  <si>
    <t>G-REQ-05338-E2</t>
  </si>
  <si>
    <t>G-REQ-05339-E1</t>
  </si>
  <si>
    <t>G-REQ-05339-E2</t>
  </si>
  <si>
    <t>G-REQ-05339-E3</t>
  </si>
  <si>
    <t>G-REQ-05339-E4</t>
  </si>
  <si>
    <t>G-REQ-05340-E1</t>
  </si>
  <si>
    <t>G-REQ-05340-E2</t>
  </si>
  <si>
    <t>G-REQ-05340-E3</t>
  </si>
  <si>
    <t>G-REQ-05340-E4</t>
  </si>
  <si>
    <t>G-REQ-05341-E1</t>
  </si>
  <si>
    <t>G-REQ-05341-E2</t>
  </si>
  <si>
    <t>G-REQ-05341-E3</t>
  </si>
  <si>
    <t>G-REQ-05341-E4</t>
  </si>
  <si>
    <t>G-REQ-05342-E1</t>
  </si>
  <si>
    <t>G-REQ-05342-E2</t>
  </si>
  <si>
    <t>G-REQ-05342-E3</t>
  </si>
  <si>
    <t>G-REQ-05342-E4</t>
  </si>
  <si>
    <t>G-REQ-05343-E1</t>
  </si>
  <si>
    <t>G-REQ-05343-E2</t>
  </si>
  <si>
    <t>G-REQ-05343-E3</t>
  </si>
  <si>
    <t>G-REQ-05343-E4</t>
  </si>
  <si>
    <t>G-REQ-05344-E1</t>
  </si>
  <si>
    <t>G-REQ-05344-E2</t>
  </si>
  <si>
    <t>G-REQ-05344-E3</t>
  </si>
  <si>
    <t>G-REQ-05344-E4</t>
  </si>
  <si>
    <t>G-REQ-05345-E1</t>
  </si>
  <si>
    <t>G-REQ-05345-E2</t>
  </si>
  <si>
    <t>G-REQ-05345-E3</t>
  </si>
  <si>
    <t>G-REQ-05345-E4</t>
  </si>
  <si>
    <t>G-REQ-05346-E1</t>
  </si>
  <si>
    <t>G-REQ-05346-E2</t>
  </si>
  <si>
    <t>G-REQ-05346-E3</t>
  </si>
  <si>
    <t>G-REQ-05346-E4</t>
  </si>
  <si>
    <t>G-REQ-05347-E1</t>
  </si>
  <si>
    <t>G-REQ-05347-E2</t>
  </si>
  <si>
    <t>G-REQ-05347-E3</t>
  </si>
  <si>
    <t>G-REQ-05347-E4</t>
  </si>
  <si>
    <t>G-REQ-05348-E1</t>
  </si>
  <si>
    <t>G-REQ-05348-E2</t>
  </si>
  <si>
    <t>G-REQ-05348-E3</t>
  </si>
  <si>
    <t>G-REQ-05348-E4</t>
  </si>
  <si>
    <t>G-REQ-05349-E1</t>
  </si>
  <si>
    <t>G-REQ-05349-E2</t>
  </si>
  <si>
    <t>G-REQ-05349-E3</t>
  </si>
  <si>
    <t>G-REQ-05349-E4</t>
  </si>
  <si>
    <t>G-REQ-05350-E1</t>
  </si>
  <si>
    <t>G-REQ-05350-E2</t>
  </si>
  <si>
    <t>G-REQ-05350-E3</t>
  </si>
  <si>
    <t>G-REQ-05350-E4</t>
  </si>
  <si>
    <t>G-REQ-05351-E1</t>
  </si>
  <si>
    <t>G-REQ-05351-E2</t>
  </si>
  <si>
    <t>G-REQ-05351-E3</t>
  </si>
  <si>
    <t>G-REQ-05351-E4</t>
  </si>
  <si>
    <t>G-REQ-05352-E1</t>
  </si>
  <si>
    <t>G-REQ-05352-E2</t>
  </si>
  <si>
    <t>G-REQ-05352-E3</t>
  </si>
  <si>
    <t>G-REQ-05352-E4</t>
  </si>
  <si>
    <t>G-REQ-05353-E1</t>
  </si>
  <si>
    <t>G-REQ-05353-E2</t>
  </si>
  <si>
    <t>G-REQ-05353-E3</t>
  </si>
  <si>
    <t>G-REQ-05353-E4</t>
  </si>
  <si>
    <t>G-REQ-05354-E1</t>
  </si>
  <si>
    <t>G-REQ-05354-E2</t>
  </si>
  <si>
    <t>G-REQ-05354-E3</t>
  </si>
  <si>
    <t>G-REQ-05354-E4</t>
  </si>
  <si>
    <t>G-REQ-05355-E1</t>
  </si>
  <si>
    <t>G-REQ-05355-E2</t>
  </si>
  <si>
    <t>G-REQ-05355-E3</t>
  </si>
  <si>
    <t>G-REQ-05355-E4</t>
  </si>
  <si>
    <t>G-REQ-05356-E1</t>
  </si>
  <si>
    <t>G-REQ-05356-E2</t>
  </si>
  <si>
    <t>G-REQ-05356-E3</t>
  </si>
  <si>
    <t>G-REQ-05356-E4</t>
  </si>
  <si>
    <t>G-REQ-05357-E1</t>
  </si>
  <si>
    <t>G-REQ-05357-E2</t>
  </si>
  <si>
    <t>G-REQ-05357-E3</t>
  </si>
  <si>
    <t>G-REQ-05357-E4</t>
  </si>
  <si>
    <t>G-REQ-05358-E1</t>
  </si>
  <si>
    <t>G-REQ-05358-E2</t>
  </si>
  <si>
    <t>G-REQ-05359-E1</t>
  </si>
  <si>
    <t>G-REQ-05359-E2</t>
  </si>
  <si>
    <t>SYNTHETIC: Laptop repair; Approved; asset G-AST-00485</t>
  </si>
  <si>
    <t>G-REQ-05359-E3</t>
  </si>
  <si>
    <t>SYNTHETIC: Laptop repair; In progress; asset G-AST-00485</t>
  </si>
  <si>
    <t>G-REQ-05359-E4</t>
  </si>
  <si>
    <t>SYNTHETIC: Laptop repair; Completed; asset G-AST-00485</t>
  </si>
  <si>
    <t>G-REQ-05360-E1</t>
  </si>
  <si>
    <t>G-REQ-05360-E2</t>
  </si>
  <si>
    <t>G-REQ-05360-E3</t>
  </si>
  <si>
    <t>G-REQ-05360-E4</t>
  </si>
  <si>
    <t>G-REQ-05361-E1</t>
  </si>
  <si>
    <t>G-REQ-05361-E2</t>
  </si>
  <si>
    <t>G-REQ-05361-E3</t>
  </si>
  <si>
    <t>G-REQ-05361-E4</t>
  </si>
  <si>
    <t>G-REQ-05362-E1</t>
  </si>
  <si>
    <t>G-REQ-05362-E2</t>
  </si>
  <si>
    <t>G-REQ-05362-E3</t>
  </si>
  <si>
    <t>G-REQ-05362-E4</t>
  </si>
  <si>
    <t>G-REQ-05363-E1</t>
  </si>
  <si>
    <t>G-REQ-05363-E2</t>
  </si>
  <si>
    <t>G-REQ-05363-E3</t>
  </si>
  <si>
    <t>G-REQ-05363-E4</t>
  </si>
  <si>
    <t>G-REQ-05364-E1</t>
  </si>
  <si>
    <t>G-REQ-05364-E2</t>
  </si>
  <si>
    <t>G-REQ-05364-E3</t>
  </si>
  <si>
    <t>G-REQ-05364-E4</t>
  </si>
  <si>
    <t>G-REQ-05365-E1</t>
  </si>
  <si>
    <t>G-REQ-05365-E2</t>
  </si>
  <si>
    <t>G-REQ-05365-E3</t>
  </si>
  <si>
    <t>G-REQ-05365-E4</t>
  </si>
  <si>
    <t>G-REQ-05366-E1</t>
  </si>
  <si>
    <t>G-REQ-05366-E2</t>
  </si>
  <si>
    <t>G-REQ-05366-E3</t>
  </si>
  <si>
    <t>G-REQ-05366-E4</t>
  </si>
  <si>
    <t>G-REQ-05367-E1</t>
  </si>
  <si>
    <t>G-REQ-05367-E2</t>
  </si>
  <si>
    <t>G-REQ-05367-E3</t>
  </si>
  <si>
    <t>G-REQ-05367-E4</t>
  </si>
  <si>
    <t>G-REQ-05368-E1</t>
  </si>
  <si>
    <t>G-REQ-05368-E2</t>
  </si>
  <si>
    <t>SYNTHETIC: Laptop repair; Rejected; asset G-AST-00509</t>
  </si>
  <si>
    <t>G-REQ-05369-E1</t>
  </si>
  <si>
    <t>G-REQ-05369-E2</t>
  </si>
  <si>
    <t>G-REQ-05369-E3</t>
  </si>
  <si>
    <t>G-REQ-05369-E4</t>
  </si>
  <si>
    <t>G-REQ-05370-E1</t>
  </si>
  <si>
    <t>G-REQ-05370-E2</t>
  </si>
  <si>
    <t>G-REQ-05371-E1</t>
  </si>
  <si>
    <t>G-REQ-05371-E2</t>
  </si>
  <si>
    <t>G-REQ-05371-E3</t>
  </si>
  <si>
    <t>G-REQ-05371-E4</t>
  </si>
  <si>
    <t>G-REQ-05372-E1</t>
  </si>
  <si>
    <t>G-REQ-05372-E2</t>
  </si>
  <si>
    <t>G-REQ-05372-E3</t>
  </si>
  <si>
    <t>G-REQ-05372-E4</t>
  </si>
  <si>
    <t>G-REQ-05373-E1</t>
  </si>
  <si>
    <t>G-REQ-05373-E2</t>
  </si>
  <si>
    <t>G-REQ-05373-E3</t>
  </si>
  <si>
    <t>G-REQ-05373-E4</t>
  </si>
  <si>
    <t>G-REQ-05374-E1</t>
  </si>
  <si>
    <t>G-REQ-05374-E2</t>
  </si>
  <si>
    <t>G-REQ-05374-E3</t>
  </si>
  <si>
    <t>G-REQ-05374-E4</t>
  </si>
  <si>
    <t>G-REQ-05375-E1</t>
  </si>
  <si>
    <t>G-REQ-05375-E2</t>
  </si>
  <si>
    <t>G-REQ-05375-E3</t>
  </si>
  <si>
    <t>G-REQ-05375-E4</t>
  </si>
  <si>
    <t>G-REQ-05376-E1</t>
  </si>
  <si>
    <t>G-REQ-05376-E2</t>
  </si>
  <si>
    <t>G-REQ-05376-E3</t>
  </si>
  <si>
    <t>G-REQ-05376-E4</t>
  </si>
  <si>
    <t>G-REQ-05377-E1</t>
  </si>
  <si>
    <t>G-REQ-05377-E2</t>
  </si>
  <si>
    <t>G-REQ-05377-E3</t>
  </si>
  <si>
    <t>G-REQ-05377-E4</t>
  </si>
  <si>
    <t>G-REQ-05378-E1</t>
  </si>
  <si>
    <t>G-REQ-05378-E2</t>
  </si>
  <si>
    <t>G-REQ-05378-E3</t>
  </si>
  <si>
    <t>G-REQ-05378-E4</t>
  </si>
  <si>
    <t>G-REQ-05379-E1</t>
  </si>
  <si>
    <t>G-REQ-05379-E2</t>
  </si>
  <si>
    <t>G-REQ-05379-E3</t>
  </si>
  <si>
    <t>G-REQ-05379-E4</t>
  </si>
  <si>
    <t>G-REQ-05380-E1</t>
  </si>
  <si>
    <t>G-REQ-05380-E2</t>
  </si>
  <si>
    <t>G-REQ-05380-E3</t>
  </si>
  <si>
    <t>G-REQ-05380-E4</t>
  </si>
  <si>
    <t>G-REQ-05381-E1</t>
  </si>
  <si>
    <t>G-REQ-05381-E2</t>
  </si>
  <si>
    <t>G-REQ-05382-E1</t>
  </si>
  <si>
    <t>G-REQ-05382-E2</t>
  </si>
  <si>
    <t>G-REQ-05382-E3</t>
  </si>
  <si>
    <t>G-REQ-05382-E4</t>
  </si>
  <si>
    <t>G-REQ-05383-E1</t>
  </si>
  <si>
    <t>G-REQ-05383-E2</t>
  </si>
  <si>
    <t>SYNTHETIC: Laptop return; Rejected; asset G-AST-00497</t>
  </si>
  <si>
    <t>G-REQ-05384-E1</t>
  </si>
  <si>
    <t>G-REQ-05384-E2</t>
  </si>
  <si>
    <t>G-REQ-05384-E3</t>
  </si>
  <si>
    <t>G-REQ-05384-E4</t>
  </si>
  <si>
    <t>G-REQ-05385-E1</t>
  </si>
  <si>
    <t>G-REQ-05385-E2</t>
  </si>
  <si>
    <t>G-REQ-05385-E3</t>
  </si>
  <si>
    <t>G-REQ-05385-E4</t>
  </si>
  <si>
    <t>G-REQ-05386-E1</t>
  </si>
  <si>
    <t>G-REQ-05386-E2</t>
  </si>
  <si>
    <t>G-REQ-05386-E3</t>
  </si>
  <si>
    <t>G-REQ-05386-E4</t>
  </si>
  <si>
    <t>G-REQ-05387-E1</t>
  </si>
  <si>
    <t>G-REQ-05387-E2</t>
  </si>
  <si>
    <t>SYNTHETIC: Laptop return; Rejected; asset G-AST-00226</t>
  </si>
  <si>
    <t>G-REQ-05388-E1</t>
  </si>
  <si>
    <t>G-REQ-05388-E2</t>
  </si>
  <si>
    <t>G-REQ-05388-E3</t>
  </si>
  <si>
    <t>G-REQ-05388-E4</t>
  </si>
  <si>
    <t>G-REQ-05389-E1</t>
  </si>
  <si>
    <t>G-REQ-05389-E2</t>
  </si>
  <si>
    <t>G-REQ-05389-E3</t>
  </si>
  <si>
    <t>G-REQ-05389-E4</t>
  </si>
  <si>
    <t>G-REQ-05390-E1</t>
  </si>
  <si>
    <t>G-REQ-05390-E2</t>
  </si>
  <si>
    <t>G-REQ-05390-E3</t>
  </si>
  <si>
    <t>G-REQ-05390-E4</t>
  </si>
  <si>
    <t>G-REQ-05391-E1</t>
  </si>
  <si>
    <t>G-REQ-05391-E2</t>
  </si>
  <si>
    <t>G-REQ-05391-E3</t>
  </si>
  <si>
    <t>G-REQ-05391-E4</t>
  </si>
  <si>
    <t>G-REQ-05392-E1</t>
  </si>
  <si>
    <t>G-REQ-05392-E2</t>
  </si>
  <si>
    <t>G-REQ-05392-E3</t>
  </si>
  <si>
    <t>G-REQ-05392-E4</t>
  </si>
  <si>
    <t>G-REQ-05393-E1</t>
  </si>
  <si>
    <t>G-REQ-05393-E2</t>
  </si>
  <si>
    <t>G-REQ-05393-E3</t>
  </si>
  <si>
    <t>G-REQ-05393-E4</t>
  </si>
  <si>
    <t>G-REQ-05394-E1</t>
  </si>
  <si>
    <t>G-REQ-05394-E2</t>
  </si>
  <si>
    <t>G-REQ-05394-E3</t>
  </si>
  <si>
    <t>G-REQ-05394-E4</t>
  </si>
  <si>
    <t>G-REQ-05395-E1</t>
  </si>
  <si>
    <t>G-REQ-05395-E2</t>
  </si>
  <si>
    <t>G-REQ-05395-E3</t>
  </si>
  <si>
    <t>G-REQ-05395-E4</t>
  </si>
  <si>
    <t>G-REQ-05396-E1</t>
  </si>
  <si>
    <t>G-REQ-05396-E2</t>
  </si>
  <si>
    <t>G-REQ-05396-E3</t>
  </si>
  <si>
    <t>G-REQ-05396-E4</t>
  </si>
  <si>
    <t>G-REQ-05397-E1</t>
  </si>
  <si>
    <t>G-REQ-05397-E2</t>
  </si>
  <si>
    <t>G-REQ-05397-E3</t>
  </si>
  <si>
    <t>G-REQ-05397-E4</t>
  </si>
  <si>
    <t>G-REQ-05398-E1</t>
  </si>
  <si>
    <t>G-REQ-05398-E2</t>
  </si>
  <si>
    <t>G-REQ-05398-E3</t>
  </si>
  <si>
    <t>G-REQ-05398-E4</t>
  </si>
  <si>
    <t>G-REQ-05399-E1</t>
  </si>
  <si>
    <t>G-REQ-05399-E2</t>
  </si>
  <si>
    <t>G-REQ-05399-E3</t>
  </si>
  <si>
    <t>G-REQ-05399-E4</t>
  </si>
  <si>
    <t>G-REQ-05400-E1</t>
  </si>
  <si>
    <t>G-REQ-05400-E2</t>
  </si>
  <si>
    <t>G-REQ-05400-E3</t>
  </si>
  <si>
    <t>G-REQ-05400-E4</t>
  </si>
  <si>
    <t>G-REQ-05401-E1</t>
  </si>
  <si>
    <t>G-REQ-05401-E2</t>
  </si>
  <si>
    <t>G-REQ-05401-E3</t>
  </si>
  <si>
    <t>G-REQ-05401-E4</t>
  </si>
  <si>
    <t>G-REQ-05402-E1</t>
  </si>
  <si>
    <t>G-REQ-05402-E2</t>
  </si>
  <si>
    <t>G-REQ-05402-E3</t>
  </si>
  <si>
    <t>G-REQ-05402-E4</t>
  </si>
  <si>
    <t>G-REQ-05403-E1</t>
  </si>
  <si>
    <t>G-REQ-05403-E2</t>
  </si>
  <si>
    <t>G-REQ-05403-E3</t>
  </si>
  <si>
    <t>G-REQ-05403-E4</t>
  </si>
  <si>
    <t>G-REQ-05404-E1</t>
  </si>
  <si>
    <t>G-REQ-05404-E2</t>
  </si>
  <si>
    <t>G-REQ-05404-E3</t>
  </si>
  <si>
    <t>G-REQ-05404-E4</t>
  </si>
  <si>
    <t>G-REQ-05405-E1</t>
  </si>
  <si>
    <t>G-REQ-05405-E2</t>
  </si>
  <si>
    <t>G-REQ-05405-E3</t>
  </si>
  <si>
    <t>G-REQ-05405-E4</t>
  </si>
  <si>
    <t>G-REQ-05406-E1</t>
  </si>
  <si>
    <t>G-REQ-05406-E2</t>
  </si>
  <si>
    <t>G-REQ-05406-E3</t>
  </si>
  <si>
    <t>G-REQ-05406-E4</t>
  </si>
  <si>
    <t>G-REQ-05407-E1</t>
  </si>
  <si>
    <t>G-REQ-05407-E2</t>
  </si>
  <si>
    <t>G-REQ-05407-E3</t>
  </si>
  <si>
    <t>G-REQ-05407-E4</t>
  </si>
  <si>
    <t>G-REQ-05408-E1</t>
  </si>
  <si>
    <t>G-REQ-05408-E2</t>
  </si>
  <si>
    <t>G-REQ-05408-E3</t>
  </si>
  <si>
    <t>G-REQ-05408-E4</t>
  </si>
  <si>
    <t>G-REQ-05409-E1</t>
  </si>
  <si>
    <t>SYNTHETIC: Laptop repair; Pending approval; asset G-AST-00438</t>
  </si>
  <si>
    <t>G-REQ-05409-E2</t>
  </si>
  <si>
    <t>SYNTHETIC: Laptop repair; Approved; asset G-AST-00438</t>
  </si>
  <si>
    <t>G-REQ-05409-E3</t>
  </si>
  <si>
    <t>SYNTHETIC: Laptop repair; In progress; asset G-AST-00438</t>
  </si>
  <si>
    <t>G-REQ-05409-E4</t>
  </si>
  <si>
    <t>SYNTHETIC: Laptop repair; Completed; asset G-AST-00438</t>
  </si>
  <si>
    <t>G-REQ-05410-E1</t>
  </si>
  <si>
    <t>G-REQ-05410-E2</t>
  </si>
  <si>
    <t>G-REQ-05410-E3</t>
  </si>
  <si>
    <t>G-REQ-05410-E4</t>
  </si>
  <si>
    <t>G-REQ-05411-E1</t>
  </si>
  <si>
    <t>G-REQ-05411-E2</t>
  </si>
  <si>
    <t>SYNTHETIC: Laptop repair; Approved; asset G-AST-00424</t>
  </si>
  <si>
    <t>G-REQ-05411-E3</t>
  </si>
  <si>
    <t>SYNTHETIC: Laptop repair; In progress; asset G-AST-00424</t>
  </si>
  <si>
    <t>G-REQ-05411-E4</t>
  </si>
  <si>
    <t>SYNTHETIC: Laptop repair; Completed; asset G-AST-00424</t>
  </si>
  <si>
    <t>G-REQ-05412-E1</t>
  </si>
  <si>
    <t>G-REQ-05412-E2</t>
  </si>
  <si>
    <t>G-REQ-05413-E1</t>
  </si>
  <si>
    <t>G-REQ-05413-E2</t>
  </si>
  <si>
    <t>G-REQ-05413-E3</t>
  </si>
  <si>
    <t>G-REQ-05413-E4</t>
  </si>
  <si>
    <t>G-REQ-05414-E1</t>
  </si>
  <si>
    <t>G-REQ-05414-E2</t>
  </si>
  <si>
    <t>G-REQ-05414-E3</t>
  </si>
  <si>
    <t>G-REQ-05414-E4</t>
  </si>
  <si>
    <t>G-REQ-05415-E1</t>
  </si>
  <si>
    <t>G-REQ-05415-E2</t>
  </si>
  <si>
    <t>G-REQ-05416-E1</t>
  </si>
  <si>
    <t>G-REQ-05416-E2</t>
  </si>
  <si>
    <t>G-REQ-05416-E3</t>
  </si>
  <si>
    <t>G-REQ-05416-E4</t>
  </si>
  <si>
    <t>G-REQ-05417-E1</t>
  </si>
  <si>
    <t>G-REQ-05417-E2</t>
  </si>
  <si>
    <t>G-REQ-05417-E3</t>
  </si>
  <si>
    <t>G-REQ-05417-E4</t>
  </si>
  <si>
    <t>G-REQ-05418-E1</t>
  </si>
  <si>
    <t>G-REQ-05418-E2</t>
  </si>
  <si>
    <t>G-REQ-05418-E3</t>
  </si>
  <si>
    <t>G-REQ-05418-E4</t>
  </si>
  <si>
    <t>G-REQ-05419-E1</t>
  </si>
  <si>
    <t>G-REQ-05419-E2</t>
  </si>
  <si>
    <t>G-REQ-05419-E3</t>
  </si>
  <si>
    <t>G-REQ-05419-E4</t>
  </si>
  <si>
    <t>G-REQ-05420-E1</t>
  </si>
  <si>
    <t>G-REQ-05420-E2</t>
  </si>
  <si>
    <t>G-REQ-05420-E3</t>
  </si>
  <si>
    <t>G-REQ-05420-E4</t>
  </si>
  <si>
    <t>G-REQ-05421-E1</t>
  </si>
  <si>
    <t>G-REQ-05421-E2</t>
  </si>
  <si>
    <t>G-REQ-05422-E1</t>
  </si>
  <si>
    <t>G-REQ-05422-E2</t>
  </si>
  <si>
    <t>G-REQ-05422-E3</t>
  </si>
  <si>
    <t>G-REQ-05422-E4</t>
  </si>
  <si>
    <t>G-REQ-05423-E1</t>
  </si>
  <si>
    <t>G-REQ-05423-E2</t>
  </si>
  <si>
    <t>G-REQ-05423-E3</t>
  </si>
  <si>
    <t>G-REQ-05423-E4</t>
  </si>
  <si>
    <t>G-REQ-05424-E1</t>
  </si>
  <si>
    <t>G-REQ-05424-E2</t>
  </si>
  <si>
    <t>G-REQ-05424-E3</t>
  </si>
  <si>
    <t>G-REQ-05424-E4</t>
  </si>
  <si>
    <t>G-REQ-05425-E1</t>
  </si>
  <si>
    <t>G-REQ-05425-E2</t>
  </si>
  <si>
    <t>G-REQ-05425-E3</t>
  </si>
  <si>
    <t>G-REQ-05425-E4</t>
  </si>
  <si>
    <t>G-REQ-05426-E1</t>
  </si>
  <si>
    <t>G-REQ-05426-E2</t>
  </si>
  <si>
    <t>G-REQ-05426-E3</t>
  </si>
  <si>
    <t>G-REQ-05426-E4</t>
  </si>
  <si>
    <t>G-REQ-05427-E1</t>
  </si>
  <si>
    <t>G-REQ-05427-E2</t>
  </si>
  <si>
    <t>G-REQ-05427-E3</t>
  </si>
  <si>
    <t>G-REQ-05427-E4</t>
  </si>
  <si>
    <t>G-REQ-05428-E1</t>
  </si>
  <si>
    <t>G-REQ-05428-E2</t>
  </si>
  <si>
    <t>G-REQ-05428-E3</t>
  </si>
  <si>
    <t>G-REQ-05428-E4</t>
  </si>
  <si>
    <t>G-REQ-05429-E1</t>
  </si>
  <si>
    <t>G-REQ-05429-E2</t>
  </si>
  <si>
    <t>G-REQ-05429-E3</t>
  </si>
  <si>
    <t>G-REQ-05429-E4</t>
  </si>
  <si>
    <t>G-REQ-05430-E1</t>
  </si>
  <si>
    <t>G-REQ-05430-E2</t>
  </si>
  <si>
    <t>G-REQ-05430-E3</t>
  </si>
  <si>
    <t>G-REQ-05430-E4</t>
  </si>
  <si>
    <t>G-REQ-05431-E1</t>
  </si>
  <si>
    <t>G-REQ-05431-E2</t>
  </si>
  <si>
    <t>G-REQ-05431-E3</t>
  </si>
  <si>
    <t>G-REQ-05431-E4</t>
  </si>
  <si>
    <t>G-REQ-05432-E1</t>
  </si>
  <si>
    <t>G-REQ-05432-E2</t>
  </si>
  <si>
    <t>G-REQ-05432-E3</t>
  </si>
  <si>
    <t>G-REQ-05432-E4</t>
  </si>
  <si>
    <t>G-REQ-05433-E1</t>
  </si>
  <si>
    <t>G-REQ-05433-E2</t>
  </si>
  <si>
    <t>G-REQ-05433-E3</t>
  </si>
  <si>
    <t>G-REQ-05433-E4</t>
  </si>
  <si>
    <t>G-REQ-05434-E1</t>
  </si>
  <si>
    <t>G-REQ-05434-E2</t>
  </si>
  <si>
    <t>G-REQ-05434-E3</t>
  </si>
  <si>
    <t>G-REQ-05434-E4</t>
  </si>
  <si>
    <t>G-REQ-05435-E1</t>
  </si>
  <si>
    <t>G-REQ-05435-E2</t>
  </si>
  <si>
    <t>G-REQ-05435-E3</t>
  </si>
  <si>
    <t>G-REQ-05435-E4</t>
  </si>
  <si>
    <t>G-REQ-05436-E1</t>
  </si>
  <si>
    <t>G-REQ-05436-E2</t>
  </si>
  <si>
    <t>G-REQ-05436-E3</t>
  </si>
  <si>
    <t>G-REQ-05436-E4</t>
  </si>
  <si>
    <t>G-REQ-05437-E1</t>
  </si>
  <si>
    <t>G-REQ-05437-E2</t>
  </si>
  <si>
    <t>SYNTHETIC: Laptop repair; Approved; asset G-AST-00504</t>
  </si>
  <si>
    <t>G-REQ-05437-E3</t>
  </si>
  <si>
    <t>SYNTHETIC: Laptop repair; In progress; asset G-AST-00504</t>
  </si>
  <si>
    <t>G-REQ-05437-E4</t>
  </si>
  <si>
    <t>SYNTHETIC: Laptop repair; Completed; asset G-AST-00504</t>
  </si>
  <si>
    <t>G-REQ-05438-E1</t>
  </si>
  <si>
    <t>G-REQ-05438-E2</t>
  </si>
  <si>
    <t>G-REQ-05438-E3</t>
  </si>
  <si>
    <t>G-REQ-05438-E4</t>
  </si>
  <si>
    <t>G-REQ-05439-E1</t>
  </si>
  <si>
    <t>G-REQ-05439-E2</t>
  </si>
  <si>
    <t>G-REQ-05439-E3</t>
  </si>
  <si>
    <t>G-REQ-05439-E4</t>
  </si>
  <si>
    <t>G-REQ-05440-E1</t>
  </si>
  <si>
    <t>G-REQ-05440-E2</t>
  </si>
  <si>
    <t>G-REQ-05440-E3</t>
  </si>
  <si>
    <t>G-REQ-05440-E4</t>
  </si>
  <si>
    <t>G-REQ-05441-E1</t>
  </si>
  <si>
    <t>G-REQ-05441-E2</t>
  </si>
  <si>
    <t>G-REQ-05441-E3</t>
  </si>
  <si>
    <t>G-REQ-05441-E4</t>
  </si>
  <si>
    <t>G-REQ-05442-E1</t>
  </si>
  <si>
    <t>G-REQ-05442-E2</t>
  </si>
  <si>
    <t>G-REQ-05442-E3</t>
  </si>
  <si>
    <t>G-REQ-05442-E4</t>
  </si>
  <si>
    <t>G-REQ-05443-E1</t>
  </si>
  <si>
    <t>G-REQ-05443-E2</t>
  </si>
  <si>
    <t>G-REQ-05443-E3</t>
  </si>
  <si>
    <t>G-REQ-05443-E4</t>
  </si>
  <si>
    <t>G-REQ-05444-E1</t>
  </si>
  <si>
    <t>G-REQ-05444-E2</t>
  </si>
  <si>
    <t>G-REQ-05444-E3</t>
  </si>
  <si>
    <t>G-REQ-05444-E4</t>
  </si>
  <si>
    <t>G-REQ-05445-E1</t>
  </si>
  <si>
    <t>G-REQ-05445-E2</t>
  </si>
  <si>
    <t>G-REQ-05445-E3</t>
  </si>
  <si>
    <t>G-REQ-05445-E4</t>
  </si>
  <si>
    <t>G-REQ-05446-E1</t>
  </si>
  <si>
    <t>G-REQ-05446-E2</t>
  </si>
  <si>
    <t>G-REQ-05446-E3</t>
  </si>
  <si>
    <t>G-REQ-05446-E4</t>
  </si>
  <si>
    <t>G-REQ-05447-E1</t>
  </si>
  <si>
    <t>G-REQ-05447-E2</t>
  </si>
  <si>
    <t>G-REQ-05447-E3</t>
  </si>
  <si>
    <t>G-REQ-05447-E4</t>
  </si>
  <si>
    <t>G-REQ-05448-E1</t>
  </si>
  <si>
    <t>G-REQ-05448-E2</t>
  </si>
  <si>
    <t>G-REQ-05448-E3</t>
  </si>
  <si>
    <t>G-REQ-05448-E4</t>
  </si>
  <si>
    <t>G-REQ-05449-E1</t>
  </si>
  <si>
    <t>G-REQ-05449-E2</t>
  </si>
  <si>
    <t>G-REQ-05449-E3</t>
  </si>
  <si>
    <t>G-REQ-05449-E4</t>
  </si>
  <si>
    <t>G-REQ-05450-E1</t>
  </si>
  <si>
    <t>G-REQ-05450-E2</t>
  </si>
  <si>
    <t>G-REQ-05450-E3</t>
  </si>
  <si>
    <t>G-REQ-05450-E4</t>
  </si>
  <si>
    <t>G-REQ-05451-E1</t>
  </si>
  <si>
    <t>G-REQ-05451-E2</t>
  </si>
  <si>
    <t>SYNTHETIC: Laptop return; Rejected; asset G-AST-00496</t>
  </si>
  <si>
    <t>G-REQ-05452-E1</t>
  </si>
  <si>
    <t>G-REQ-05452-E2</t>
  </si>
  <si>
    <t>G-REQ-05452-E3</t>
  </si>
  <si>
    <t>G-REQ-05452-E4</t>
  </si>
  <si>
    <t>G-REQ-05453-E1</t>
  </si>
  <si>
    <t>G-REQ-05453-E2</t>
  </si>
  <si>
    <t>G-REQ-05453-E3</t>
  </si>
  <si>
    <t>G-REQ-05453-E4</t>
  </si>
  <si>
    <t>G-REQ-05454-E1</t>
  </si>
  <si>
    <t>G-REQ-05454-E2</t>
  </si>
  <si>
    <t>G-REQ-05454-E3</t>
  </si>
  <si>
    <t>G-REQ-05454-E4</t>
  </si>
  <si>
    <t>G-REQ-05455-E1</t>
  </si>
  <si>
    <t>G-REQ-05455-E2</t>
  </si>
  <si>
    <t>G-REQ-05455-E3</t>
  </si>
  <si>
    <t>G-REQ-05455-E4</t>
  </si>
  <si>
    <t>G-REQ-05456-E1</t>
  </si>
  <si>
    <t>G-REQ-05456-E2</t>
  </si>
  <si>
    <t>G-REQ-05456-E3</t>
  </si>
  <si>
    <t>G-REQ-05456-E4</t>
  </si>
  <si>
    <t>G-REQ-05457-E1</t>
  </si>
  <si>
    <t>G-REQ-05457-E2</t>
  </si>
  <si>
    <t>G-REQ-05457-E3</t>
  </si>
  <si>
    <t>G-REQ-05457-E4</t>
  </si>
  <si>
    <t>G-REQ-05458-E1</t>
  </si>
  <si>
    <t>G-REQ-05458-E2</t>
  </si>
  <si>
    <t>SYNTHETIC: Laptop repair; Cancelled; asset G-AST-00147</t>
  </si>
  <si>
    <t>G-REQ-05459-E1</t>
  </si>
  <si>
    <t>G-REQ-05459-E2</t>
  </si>
  <si>
    <t>G-REQ-05459-E3</t>
  </si>
  <si>
    <t>G-REQ-05459-E4</t>
  </si>
  <si>
    <t>G-REQ-05460-E1</t>
  </si>
  <si>
    <t>G-REQ-05460-E2</t>
  </si>
  <si>
    <t>G-REQ-05460-E3</t>
  </si>
  <si>
    <t>G-REQ-05460-E4</t>
  </si>
  <si>
    <t>G-REQ-05461-E1</t>
  </si>
  <si>
    <t>G-REQ-05461-E2</t>
  </si>
  <si>
    <t>G-REQ-05461-E3</t>
  </si>
  <si>
    <t>G-REQ-05461-E4</t>
  </si>
  <si>
    <t>G-REQ-05462-E1</t>
  </si>
  <si>
    <t>G-REQ-05462-E2</t>
  </si>
  <si>
    <t>G-REQ-05462-E3</t>
  </si>
  <si>
    <t>G-REQ-05462-E4</t>
  </si>
  <si>
    <t>G-REQ-05463-E1</t>
  </si>
  <si>
    <t>G-REQ-05463-E2</t>
  </si>
  <si>
    <t>G-REQ-05463-E3</t>
  </si>
  <si>
    <t>G-REQ-05463-E4</t>
  </si>
  <si>
    <t>G-REQ-05464-E1</t>
  </si>
  <si>
    <t>G-REQ-05464-E2</t>
  </si>
  <si>
    <t>G-REQ-05464-E3</t>
  </si>
  <si>
    <t>G-REQ-05464-E4</t>
  </si>
  <si>
    <t>G-REQ-05465-E1</t>
  </si>
  <si>
    <t>G-REQ-05465-E2</t>
  </si>
  <si>
    <t>G-REQ-05465-E3</t>
  </si>
  <si>
    <t>G-REQ-05465-E4</t>
  </si>
  <si>
    <t>G-REQ-05466-E1</t>
  </si>
  <si>
    <t>G-REQ-05466-E2</t>
  </si>
  <si>
    <t>G-REQ-05466-E3</t>
  </si>
  <si>
    <t>G-REQ-05466-E4</t>
  </si>
  <si>
    <t>G-REQ-05467-E1</t>
  </si>
  <si>
    <t>G-REQ-05467-E2</t>
  </si>
  <si>
    <t>G-REQ-05467-E3</t>
  </si>
  <si>
    <t>G-REQ-05467-E4</t>
  </si>
  <si>
    <t>G-REQ-05468-E1</t>
  </si>
  <si>
    <t>G-REQ-05468-E2</t>
  </si>
  <si>
    <t>G-REQ-05468-E3</t>
  </si>
  <si>
    <t>G-REQ-05468-E4</t>
  </si>
  <si>
    <t>G-REQ-05469-E1</t>
  </si>
  <si>
    <t>G-REQ-05469-E2</t>
  </si>
  <si>
    <t>G-REQ-05469-E3</t>
  </si>
  <si>
    <t>G-REQ-05469-E4</t>
  </si>
  <si>
    <t>G-REQ-05470-E1</t>
  </si>
  <si>
    <t>G-REQ-05470-E2</t>
  </si>
  <si>
    <t>G-REQ-05471-E1</t>
  </si>
  <si>
    <t>G-REQ-05471-E2</t>
  </si>
  <si>
    <t>G-REQ-05471-E3</t>
  </si>
  <si>
    <t>G-REQ-05471-E4</t>
  </si>
  <si>
    <t>G-REQ-05472-E1</t>
  </si>
  <si>
    <t>G-REQ-05472-E2</t>
  </si>
  <si>
    <t>G-REQ-05472-E3</t>
  </si>
  <si>
    <t>G-REQ-05472-E4</t>
  </si>
  <si>
    <t>G-REQ-05473-E1</t>
  </si>
  <si>
    <t>G-REQ-05473-E2</t>
  </si>
  <si>
    <t>G-REQ-05473-E3</t>
  </si>
  <si>
    <t>G-REQ-05473-E4</t>
  </si>
  <si>
    <t>G-REQ-05474-E1</t>
  </si>
  <si>
    <t>G-REQ-05474-E2</t>
  </si>
  <si>
    <t>SYNTHETIC: Laptop repair; Cancelled; asset G-AST-00260</t>
  </si>
  <si>
    <t>G-REQ-05475-E1</t>
  </si>
  <si>
    <t>G-REQ-05475-E2</t>
  </si>
  <si>
    <t>G-REQ-05475-E3</t>
  </si>
  <si>
    <t>G-REQ-05475-E4</t>
  </si>
  <si>
    <t>G-REQ-05476-E1</t>
  </si>
  <si>
    <t>G-REQ-05476-E2</t>
  </si>
  <si>
    <t>G-REQ-05476-E3</t>
  </si>
  <si>
    <t>G-REQ-05476-E4</t>
  </si>
  <si>
    <t>G-REQ-05477-E1</t>
  </si>
  <si>
    <t>G-REQ-05477-E2</t>
  </si>
  <si>
    <t>G-REQ-05477-E3</t>
  </si>
  <si>
    <t>G-REQ-05477-E4</t>
  </si>
  <si>
    <t>G-REQ-05478-E1</t>
  </si>
  <si>
    <t>G-REQ-05478-E2</t>
  </si>
  <si>
    <t>G-REQ-05478-E3</t>
  </si>
  <si>
    <t>G-REQ-05478-E4</t>
  </si>
  <si>
    <t>G-REQ-05479-E1</t>
  </si>
  <si>
    <t>G-REQ-05479-E2</t>
  </si>
  <si>
    <t>SYNTHETIC: Laptop repair; Cancelled; asset G-AST-00353</t>
  </si>
  <si>
    <t>G-REQ-05480-E1</t>
  </si>
  <si>
    <t>G-REQ-05480-E2</t>
  </si>
  <si>
    <t>G-REQ-05480-E3</t>
  </si>
  <si>
    <t>G-REQ-05480-E4</t>
  </si>
  <si>
    <t>G-REQ-05481-E1</t>
  </si>
  <si>
    <t>G-REQ-05481-E2</t>
  </si>
  <si>
    <t>G-REQ-05481-E3</t>
  </si>
  <si>
    <t>G-REQ-05481-E4</t>
  </si>
  <si>
    <t>G-REQ-05482-E1</t>
  </si>
  <si>
    <t>G-REQ-05482-E2</t>
  </si>
  <si>
    <t>G-REQ-05482-E3</t>
  </si>
  <si>
    <t>G-REQ-05482-E4</t>
  </si>
  <si>
    <t>G-REQ-05483-E1</t>
  </si>
  <si>
    <t>G-REQ-05483-E2</t>
  </si>
  <si>
    <t>G-REQ-05483-E3</t>
  </si>
  <si>
    <t>G-REQ-05483-E4</t>
  </si>
  <si>
    <t>G-REQ-05484-E1</t>
  </si>
  <si>
    <t>G-REQ-05484-E2</t>
  </si>
  <si>
    <t>G-REQ-05484-E3</t>
  </si>
  <si>
    <t>G-REQ-05484-E4</t>
  </si>
  <si>
    <t>G-REQ-05485-E1</t>
  </si>
  <si>
    <t>G-REQ-05485-E2</t>
  </si>
  <si>
    <t>G-REQ-05485-E3</t>
  </si>
  <si>
    <t>G-REQ-05485-E4</t>
  </si>
  <si>
    <t>G-REQ-05486-E1</t>
  </si>
  <si>
    <t>G-REQ-05486-E2</t>
  </si>
  <si>
    <t>G-REQ-05486-E3</t>
  </si>
  <si>
    <t>G-REQ-05486-E4</t>
  </si>
  <si>
    <t>G-REQ-05487-E1</t>
  </si>
  <si>
    <t>G-REQ-05487-E2</t>
  </si>
  <si>
    <t>G-REQ-05487-E3</t>
  </si>
  <si>
    <t>G-REQ-05487-E4</t>
  </si>
  <si>
    <t>G-REQ-05488-E1</t>
  </si>
  <si>
    <t>G-REQ-05488-E2</t>
  </si>
  <si>
    <t>G-REQ-05488-E3</t>
  </si>
  <si>
    <t>G-REQ-05488-E4</t>
  </si>
  <si>
    <t>G-REQ-05489-E1</t>
  </si>
  <si>
    <t>G-REQ-05489-E2</t>
  </si>
  <si>
    <t>G-REQ-05489-E3</t>
  </si>
  <si>
    <t>G-REQ-05489-E4</t>
  </si>
  <si>
    <t>G-REQ-05490-E1</t>
  </si>
  <si>
    <t>G-REQ-05490-E2</t>
  </si>
  <si>
    <t>G-REQ-05490-E3</t>
  </si>
  <si>
    <t>G-REQ-05490-E4</t>
  </si>
  <si>
    <t>G-REQ-05491-E1</t>
  </si>
  <si>
    <t>G-REQ-05491-E2</t>
  </si>
  <si>
    <t>G-REQ-05491-E3</t>
  </si>
  <si>
    <t>G-REQ-05491-E4</t>
  </si>
  <si>
    <t>G-REQ-05492-E1</t>
  </si>
  <si>
    <t>G-REQ-05492-E2</t>
  </si>
  <si>
    <t>G-REQ-05492-E3</t>
  </si>
  <si>
    <t>G-REQ-05492-E4</t>
  </si>
  <si>
    <t>G-REQ-05493-E1</t>
  </si>
  <si>
    <t>G-REQ-05493-E2</t>
  </si>
  <si>
    <t>G-REQ-05493-E3</t>
  </si>
  <si>
    <t>G-REQ-05493-E4</t>
  </si>
  <si>
    <t>G-REQ-05494-E1</t>
  </si>
  <si>
    <t>G-REQ-05494-E2</t>
  </si>
  <si>
    <t>G-REQ-05494-E3</t>
  </si>
  <si>
    <t>G-REQ-05494-E4</t>
  </si>
  <si>
    <t>G-REQ-05495-E1</t>
  </si>
  <si>
    <t>G-REQ-05495-E2</t>
  </si>
  <si>
    <t>G-REQ-05495-E3</t>
  </si>
  <si>
    <t>G-REQ-05495-E4</t>
  </si>
  <si>
    <t>G-REQ-05496-E1</t>
  </si>
  <si>
    <t>G-REQ-05496-E2</t>
  </si>
  <si>
    <t>G-REQ-05496-E3</t>
  </si>
  <si>
    <t>G-REQ-05496-E4</t>
  </si>
  <si>
    <t>G-REQ-05497-E1</t>
  </si>
  <si>
    <t>G-REQ-05497-E2</t>
  </si>
  <si>
    <t>G-REQ-05497-E3</t>
  </si>
  <si>
    <t>G-REQ-05497-E4</t>
  </si>
  <si>
    <t>G-REQ-05498-E1</t>
  </si>
  <si>
    <t>G-REQ-05498-E2</t>
  </si>
  <si>
    <t>SYNTHETIC: Laptop repair; Cancelled; asset G-AST-00216</t>
  </si>
  <si>
    <t>G-REQ-05499-E1</t>
  </si>
  <si>
    <t>G-REQ-05499-E2</t>
  </si>
  <si>
    <t>G-REQ-05499-E3</t>
  </si>
  <si>
    <t>G-REQ-05499-E4</t>
  </si>
  <si>
    <t>G-REQ-05500-E1</t>
  </si>
  <si>
    <t>G-REQ-05500-E2</t>
  </si>
  <si>
    <t>G-REQ-05500-E3</t>
  </si>
  <si>
    <t>G-REQ-05500-E4</t>
  </si>
  <si>
    <t>G-REQ-05501-E1</t>
  </si>
  <si>
    <t>G-REQ-05501-E2</t>
  </si>
  <si>
    <t>G-REQ-05501-E3</t>
  </si>
  <si>
    <t>G-REQ-05501-E4</t>
  </si>
  <si>
    <t>G-REQ-05502-E1</t>
  </si>
  <si>
    <t>G-REQ-05502-E2</t>
  </si>
  <si>
    <t>G-REQ-05502-E3</t>
  </si>
  <si>
    <t>G-REQ-05502-E4</t>
  </si>
  <si>
    <t>G-REQ-05503-E1</t>
  </si>
  <si>
    <t>G-REQ-05503-E2</t>
  </si>
  <si>
    <t>G-REQ-05503-E3</t>
  </si>
  <si>
    <t>G-REQ-05503-E4</t>
  </si>
  <si>
    <t>G-REQ-05504-E1</t>
  </si>
  <si>
    <t>G-REQ-05504-E2</t>
  </si>
  <si>
    <t>G-REQ-05504-E3</t>
  </si>
  <si>
    <t>G-REQ-05504-E4</t>
  </si>
  <si>
    <t>G-REQ-05505-E1</t>
  </si>
  <si>
    <t>G-REQ-05505-E2</t>
  </si>
  <si>
    <t>G-REQ-05505-E3</t>
  </si>
  <si>
    <t>G-REQ-05505-E4</t>
  </si>
  <si>
    <t>G-REQ-05506-E1</t>
  </si>
  <si>
    <t>G-REQ-05506-E2</t>
  </si>
  <si>
    <t>G-REQ-05506-E3</t>
  </si>
  <si>
    <t>G-REQ-05506-E4</t>
  </si>
  <si>
    <t>G-REQ-05507-E1</t>
  </si>
  <si>
    <t>G-REQ-05507-E2</t>
  </si>
  <si>
    <t>G-REQ-05507-E3</t>
  </si>
  <si>
    <t>G-REQ-05507-E4</t>
  </si>
  <si>
    <t>G-REQ-05508-E1</t>
  </si>
  <si>
    <t>G-REQ-05508-E2</t>
  </si>
  <si>
    <t>G-REQ-05508-E3</t>
  </si>
  <si>
    <t>G-REQ-05508-E4</t>
  </si>
  <si>
    <t>G-REQ-05509-E1</t>
  </si>
  <si>
    <t>G-REQ-05509-E2</t>
  </si>
  <si>
    <t>G-REQ-05509-E3</t>
  </si>
  <si>
    <t>G-REQ-05509-E4</t>
  </si>
  <si>
    <t>G-REQ-05510-E1</t>
  </si>
  <si>
    <t>G-REQ-05510-E2</t>
  </si>
  <si>
    <t>G-REQ-05510-E3</t>
  </si>
  <si>
    <t>G-REQ-05510-E4</t>
  </si>
  <si>
    <t>G-REQ-05511-E1</t>
  </si>
  <si>
    <t>G-REQ-05511-E2</t>
  </si>
  <si>
    <t>G-REQ-05511-E3</t>
  </si>
  <si>
    <t>G-REQ-05511-E4</t>
  </si>
  <si>
    <t>G-REQ-05512-E1</t>
  </si>
  <si>
    <t>G-REQ-05512-E2</t>
  </si>
  <si>
    <t>G-REQ-05512-E3</t>
  </si>
  <si>
    <t>G-REQ-05512-E4</t>
  </si>
  <si>
    <t>G-REQ-05513-E1</t>
  </si>
  <si>
    <t>G-REQ-05513-E2</t>
  </si>
  <si>
    <t>G-REQ-05513-E3</t>
  </si>
  <si>
    <t>G-REQ-05513-E4</t>
  </si>
  <si>
    <t>G-REQ-05514-E1</t>
  </si>
  <si>
    <t>G-REQ-05514-E2</t>
  </si>
  <si>
    <t>G-REQ-05514-E3</t>
  </si>
  <si>
    <t>G-REQ-05514-E4</t>
  </si>
  <si>
    <t>G-REQ-05515-E1</t>
  </si>
  <si>
    <t>G-REQ-05515-E2</t>
  </si>
  <si>
    <t>G-REQ-05515-E3</t>
  </si>
  <si>
    <t>G-REQ-05515-E4</t>
  </si>
  <si>
    <t>G-REQ-05516-E1</t>
  </si>
  <si>
    <t>G-REQ-05516-E2</t>
  </si>
  <si>
    <t>G-REQ-05516-E3</t>
  </si>
  <si>
    <t>G-REQ-05516-E4</t>
  </si>
  <si>
    <t>G-REQ-05517-E1</t>
  </si>
  <si>
    <t>G-REQ-05517-E2</t>
  </si>
  <si>
    <t>G-REQ-05517-E3</t>
  </si>
  <si>
    <t>G-REQ-05517-E4</t>
  </si>
  <si>
    <t>G-REQ-05518-E1</t>
  </si>
  <si>
    <t>G-REQ-05518-E2</t>
  </si>
  <si>
    <t>G-REQ-05518-E3</t>
  </si>
  <si>
    <t>G-REQ-05518-E4</t>
  </si>
  <si>
    <t>G-REQ-05519-E1</t>
  </si>
  <si>
    <t>G-REQ-05519-E2</t>
  </si>
  <si>
    <t>G-REQ-05520-E1</t>
  </si>
  <si>
    <t>G-REQ-05520-E2</t>
  </si>
  <si>
    <t>G-REQ-05520-E3</t>
  </si>
  <si>
    <t>G-REQ-05520-E4</t>
  </si>
  <si>
    <t>G-REQ-05521-E1</t>
  </si>
  <si>
    <t>G-REQ-05521-E2</t>
  </si>
  <si>
    <t>G-REQ-05521-E3</t>
  </si>
  <si>
    <t>G-REQ-05521-E4</t>
  </si>
  <si>
    <t>G-REQ-05522-E1</t>
  </si>
  <si>
    <t>G-REQ-05522-E2</t>
  </si>
  <si>
    <t>G-REQ-05522-E3</t>
  </si>
  <si>
    <t>G-REQ-05522-E4</t>
  </si>
  <si>
    <t>G-REQ-05523-E1</t>
  </si>
  <si>
    <t>SYNTHETIC: Laptop repair; Pending approval; asset G-AST-00501</t>
  </si>
  <si>
    <t>G-REQ-05523-E2</t>
  </si>
  <si>
    <t>SYNTHETIC: Laptop repair; Approved; asset G-AST-00501</t>
  </si>
  <si>
    <t>G-REQ-05523-E3</t>
  </si>
  <si>
    <t>SYNTHETIC: Laptop repair; In progress; asset G-AST-00501</t>
  </si>
  <si>
    <t>G-REQ-05523-E4</t>
  </si>
  <si>
    <t>SYNTHETIC: Laptop repair; Completed; asset G-AST-00501</t>
  </si>
  <si>
    <t>G-REQ-05524-E1</t>
  </si>
  <si>
    <t>G-REQ-05524-E2</t>
  </si>
  <si>
    <t>G-REQ-05524-E3</t>
  </si>
  <si>
    <t>G-REQ-05524-E4</t>
  </si>
  <si>
    <t>G-REQ-05525-E1</t>
  </si>
  <si>
    <t>G-REQ-05525-E2</t>
  </si>
  <si>
    <t>G-REQ-05525-E3</t>
  </si>
  <si>
    <t>G-REQ-05525-E4</t>
  </si>
  <si>
    <t>G-REQ-05526-E1</t>
  </si>
  <si>
    <t>SYNTHETIC: Laptop repair; Pending approval; asset G-AST-00515</t>
  </si>
  <si>
    <t>G-REQ-05526-E2</t>
  </si>
  <si>
    <t>SYNTHETIC: Laptop repair; Approved; asset G-AST-00515</t>
  </si>
  <si>
    <t>G-REQ-05526-E3</t>
  </si>
  <si>
    <t>SYNTHETIC: Laptop repair; In progress; asset G-AST-00515</t>
  </si>
  <si>
    <t>G-REQ-05526-E4</t>
  </si>
  <si>
    <t>SYNTHETIC: Laptop repair; Completed; asset G-AST-00515</t>
  </si>
  <si>
    <t>G-REQ-05527-E1</t>
  </si>
  <si>
    <t>G-REQ-05527-E2</t>
  </si>
  <si>
    <t>G-REQ-05527-E3</t>
  </si>
  <si>
    <t>G-REQ-05527-E4</t>
  </si>
  <si>
    <t>G-REQ-05528-E1</t>
  </si>
  <si>
    <t>G-REQ-05528-E2</t>
  </si>
  <si>
    <t>G-REQ-05528-E3</t>
  </si>
  <si>
    <t>G-REQ-05528-E4</t>
  </si>
  <si>
    <t>G-REQ-05529-E1</t>
  </si>
  <si>
    <t>G-REQ-05529-E2</t>
  </si>
  <si>
    <t>G-REQ-05529-E3</t>
  </si>
  <si>
    <t>G-REQ-05529-E4</t>
  </si>
  <si>
    <t>G-REQ-05530-E1</t>
  </si>
  <si>
    <t>G-REQ-05530-E2</t>
  </si>
  <si>
    <t>G-REQ-05530-E3</t>
  </si>
  <si>
    <t>G-REQ-05530-E4</t>
  </si>
  <si>
    <t>G-REQ-05531-E1</t>
  </si>
  <si>
    <t>G-REQ-05531-E2</t>
  </si>
  <si>
    <t>G-REQ-05531-E3</t>
  </si>
  <si>
    <t>G-REQ-05531-E4</t>
  </si>
  <si>
    <t>G-REQ-05532-E1</t>
  </si>
  <si>
    <t>G-REQ-05532-E2</t>
  </si>
  <si>
    <t>G-REQ-05532-E3</t>
  </si>
  <si>
    <t>G-REQ-05532-E4</t>
  </si>
  <si>
    <t>G-REQ-05533-E1</t>
  </si>
  <si>
    <t>G-REQ-05533-E2</t>
  </si>
  <si>
    <t>G-REQ-05533-E3</t>
  </si>
  <si>
    <t>G-REQ-05533-E4</t>
  </si>
  <si>
    <t>G-REQ-05534-E1</t>
  </si>
  <si>
    <t>G-REQ-05534-E2</t>
  </si>
  <si>
    <t>G-REQ-05534-E3</t>
  </si>
  <si>
    <t>G-REQ-05534-E4</t>
  </si>
  <si>
    <t>G-REQ-05535-E1</t>
  </si>
  <si>
    <t>SYNTHETIC: Laptop repair; Pending approval; asset G-AST-00412</t>
  </si>
  <si>
    <t>G-REQ-05535-E2</t>
  </si>
  <si>
    <t>SYNTHETIC: Laptop repair; Approved; asset G-AST-00412</t>
  </si>
  <si>
    <t>G-REQ-05535-E3</t>
  </si>
  <si>
    <t>SYNTHETIC: Laptop repair; In progress; asset G-AST-00412</t>
  </si>
  <si>
    <t>G-REQ-05535-E4</t>
  </si>
  <si>
    <t>SYNTHETIC: Laptop repair; Completed; asset G-AST-00412</t>
  </si>
  <si>
    <t>G-REQ-05536-E1</t>
  </si>
  <si>
    <t>G-REQ-05536-E2</t>
  </si>
  <si>
    <t>G-REQ-05536-E3</t>
  </si>
  <si>
    <t>G-REQ-05536-E4</t>
  </si>
  <si>
    <t>G-REQ-05537-E1</t>
  </si>
  <si>
    <t>G-REQ-05537-E2</t>
  </si>
  <si>
    <t>SYNTHETIC: Laptop return; Rejected; asset G-AST-00474</t>
  </si>
  <si>
    <t>G-REQ-05538-E1</t>
  </si>
  <si>
    <t>G-REQ-05538-E2</t>
  </si>
  <si>
    <t>SYNTHETIC: Laptop repair; Cancelled; asset G-AST-00437</t>
  </si>
  <si>
    <t>G-REQ-05539-E1</t>
  </si>
  <si>
    <t>G-REQ-05539-E2</t>
  </si>
  <si>
    <t>G-REQ-05539-E3</t>
  </si>
  <si>
    <t>G-REQ-05539-E4</t>
  </si>
  <si>
    <t>G-REQ-05540-E1</t>
  </si>
  <si>
    <t>G-REQ-05540-E2</t>
  </si>
  <si>
    <t>G-REQ-05540-E3</t>
  </si>
  <si>
    <t>G-REQ-05540-E4</t>
  </si>
  <si>
    <t>G-REQ-05541-E1</t>
  </si>
  <si>
    <t>G-REQ-05541-E2</t>
  </si>
  <si>
    <t>G-REQ-05541-E3</t>
  </si>
  <si>
    <t>G-REQ-05541-E4</t>
  </si>
  <si>
    <t>G-REQ-05542-E1</t>
  </si>
  <si>
    <t>G-REQ-05542-E2</t>
  </si>
  <si>
    <t>G-REQ-05542-E3</t>
  </si>
  <si>
    <t>G-REQ-05542-E4</t>
  </si>
  <si>
    <t>G-REQ-05543-E1</t>
  </si>
  <si>
    <t>SYNTHETIC: Laptop repair; Pending approval; asset G-AST-00280</t>
  </si>
  <si>
    <t>G-REQ-05543-E2</t>
  </si>
  <si>
    <t>SYNTHETIC: Laptop repair; Approved; asset G-AST-00280</t>
  </si>
  <si>
    <t>G-REQ-05543-E3</t>
  </si>
  <si>
    <t>SYNTHETIC: Laptop repair; In progress; asset G-AST-00280</t>
  </si>
  <si>
    <t>G-REQ-05543-E4</t>
  </si>
  <si>
    <t>SYNTHETIC: Laptop repair; Completed; asset G-AST-00280</t>
  </si>
  <si>
    <t>G-REQ-05544-E1</t>
  </si>
  <si>
    <t>G-REQ-05544-E2</t>
  </si>
  <si>
    <t>G-REQ-05544-E3</t>
  </si>
  <si>
    <t>G-REQ-05544-E4</t>
  </si>
  <si>
    <t>G-REQ-05545-E1</t>
  </si>
  <si>
    <t>G-REQ-05545-E2</t>
  </si>
  <si>
    <t>G-REQ-05545-E3</t>
  </si>
  <si>
    <t>G-REQ-05545-E4</t>
  </si>
  <si>
    <t>G-REQ-05546-E1</t>
  </si>
  <si>
    <t>G-REQ-05546-E2</t>
  </si>
  <si>
    <t>G-REQ-05546-E3</t>
  </si>
  <si>
    <t>G-REQ-05546-E4</t>
  </si>
  <si>
    <t>G-REQ-05547-E1</t>
  </si>
  <si>
    <t>G-REQ-05547-E2</t>
  </si>
  <si>
    <t>G-REQ-05547-E3</t>
  </si>
  <si>
    <t>G-REQ-05547-E4</t>
  </si>
  <si>
    <t>G-REQ-05548-E1</t>
  </si>
  <si>
    <t>G-REQ-05548-E2</t>
  </si>
  <si>
    <t>G-REQ-05548-E3</t>
  </si>
  <si>
    <t>G-REQ-05548-E4</t>
  </si>
  <si>
    <t>G-REQ-05549-E1</t>
  </si>
  <si>
    <t>G-REQ-05549-E2</t>
  </si>
  <si>
    <t>G-REQ-05549-E3</t>
  </si>
  <si>
    <t>G-REQ-05549-E4</t>
  </si>
  <si>
    <t>G-REQ-05550-E1</t>
  </si>
  <si>
    <t>G-REQ-05550-E2</t>
  </si>
  <si>
    <t>G-REQ-05550-E3</t>
  </si>
  <si>
    <t>G-REQ-05550-E4</t>
  </si>
  <si>
    <t>G-REQ-05551-E1</t>
  </si>
  <si>
    <t>G-REQ-05551-E2</t>
  </si>
  <si>
    <t>G-REQ-05552-E1</t>
  </si>
  <si>
    <t>G-REQ-05552-E2</t>
  </si>
  <si>
    <t>G-REQ-05552-E3</t>
  </si>
  <si>
    <t>G-REQ-05552-E4</t>
  </si>
  <si>
    <t>G-REQ-05553-E1</t>
  </si>
  <si>
    <t>G-REQ-05553-E2</t>
  </si>
  <si>
    <t>G-REQ-05553-E3</t>
  </si>
  <si>
    <t>G-REQ-05553-E4</t>
  </si>
  <si>
    <t>G-REQ-05554-E1</t>
  </si>
  <si>
    <t>G-REQ-05554-E2</t>
  </si>
  <si>
    <t>G-REQ-05554-E3</t>
  </si>
  <si>
    <t>G-REQ-05554-E4</t>
  </si>
  <si>
    <t>G-REQ-05555-E1</t>
  </si>
  <si>
    <t>G-REQ-05555-E2</t>
  </si>
  <si>
    <t>G-REQ-05555-E3</t>
  </si>
  <si>
    <t>G-REQ-05555-E4</t>
  </si>
  <si>
    <t>G-REQ-05556-E1</t>
  </si>
  <si>
    <t>G-REQ-05556-E2</t>
  </si>
  <si>
    <t>G-REQ-05556-E3</t>
  </si>
  <si>
    <t>G-REQ-05556-E4</t>
  </si>
  <si>
    <t>G-REQ-05557-E1</t>
  </si>
  <si>
    <t>G-REQ-05557-E2</t>
  </si>
  <si>
    <t>G-REQ-05557-E3</t>
  </si>
  <si>
    <t>G-REQ-05557-E4</t>
  </si>
  <si>
    <t>G-REQ-05558-E1</t>
  </si>
  <si>
    <t>G-REQ-05558-E2</t>
  </si>
  <si>
    <t>G-REQ-05559-E1</t>
  </si>
  <si>
    <t>G-REQ-05559-E2</t>
  </si>
  <si>
    <t>G-REQ-05559-E3</t>
  </si>
  <si>
    <t>G-REQ-05559-E4</t>
  </si>
  <si>
    <t>G-REQ-05560-E1</t>
  </si>
  <si>
    <t>G-REQ-05560-E2</t>
  </si>
  <si>
    <t>G-REQ-05560-E3</t>
  </si>
  <si>
    <t>G-REQ-05560-E4</t>
  </si>
  <si>
    <t>G-REQ-05561-E1</t>
  </si>
  <si>
    <t>G-REQ-05561-E2</t>
  </si>
  <si>
    <t>G-REQ-05561-E3</t>
  </si>
  <si>
    <t>G-REQ-05561-E4</t>
  </si>
  <si>
    <t>G-REQ-05562-E1</t>
  </si>
  <si>
    <t>G-REQ-05562-E2</t>
  </si>
  <si>
    <t>G-REQ-05563-E1</t>
  </si>
  <si>
    <t>G-REQ-05563-E2</t>
  </si>
  <si>
    <t>G-REQ-05563-E3</t>
  </si>
  <si>
    <t>G-REQ-05563-E4</t>
  </si>
  <si>
    <t>G-REQ-05564-E1</t>
  </si>
  <si>
    <t>G-REQ-05564-E2</t>
  </si>
  <si>
    <t>G-REQ-05564-E3</t>
  </si>
  <si>
    <t>G-REQ-05564-E4</t>
  </si>
  <si>
    <t>G-REQ-05565-E1</t>
  </si>
  <si>
    <t>G-REQ-05565-E2</t>
  </si>
  <si>
    <t>G-REQ-05565-E3</t>
  </si>
  <si>
    <t>G-REQ-05565-E4</t>
  </si>
  <si>
    <t>G-REQ-05566-E1</t>
  </si>
  <si>
    <t>G-REQ-05566-E2</t>
  </si>
  <si>
    <t>SYNTHETIC: Laptop repair; Approved; asset G-AST-00513</t>
  </si>
  <si>
    <t>G-REQ-05566-E3</t>
  </si>
  <si>
    <t>SYNTHETIC: Laptop repair; In progress; asset G-AST-00513</t>
  </si>
  <si>
    <t>G-REQ-05566-E4</t>
  </si>
  <si>
    <t>SYNTHETIC: Laptop repair; Completed; asset G-AST-00513</t>
  </si>
  <si>
    <t>G-REQ-05567-E1</t>
  </si>
  <si>
    <t>G-REQ-05567-E2</t>
  </si>
  <si>
    <t>G-REQ-05567-E3</t>
  </si>
  <si>
    <t>G-REQ-05567-E4</t>
  </si>
  <si>
    <t>G-REQ-05568-E1</t>
  </si>
  <si>
    <t>G-REQ-05568-E2</t>
  </si>
  <si>
    <t>G-REQ-05568-E3</t>
  </si>
  <si>
    <t>G-REQ-05568-E4</t>
  </si>
  <si>
    <t>G-REQ-05569-E1</t>
  </si>
  <si>
    <t>G-REQ-05569-E2</t>
  </si>
  <si>
    <t>G-REQ-05570-E1</t>
  </si>
  <si>
    <t>G-REQ-05570-E2</t>
  </si>
  <si>
    <t>G-REQ-05570-E3</t>
  </si>
  <si>
    <t>G-REQ-05570-E4</t>
  </si>
  <si>
    <t>G-REQ-05571-E1</t>
  </si>
  <si>
    <t>G-REQ-05571-E2</t>
  </si>
  <si>
    <t>G-REQ-05571-E3</t>
  </si>
  <si>
    <t>G-REQ-05571-E4</t>
  </si>
  <si>
    <t>G-REQ-05572-E1</t>
  </si>
  <si>
    <t>G-REQ-05572-E2</t>
  </si>
  <si>
    <t>G-REQ-05572-E3</t>
  </si>
  <si>
    <t>G-REQ-05572-E4</t>
  </si>
  <si>
    <t>G-REQ-05573-E1</t>
  </si>
  <si>
    <t>G-REQ-05573-E2</t>
  </si>
  <si>
    <t>G-REQ-05573-E3</t>
  </si>
  <si>
    <t>G-REQ-05573-E4</t>
  </si>
  <si>
    <t>G-REQ-05574-E1</t>
  </si>
  <si>
    <t>G-REQ-05574-E2</t>
  </si>
  <si>
    <t>G-REQ-05574-E3</t>
  </si>
  <si>
    <t>G-REQ-05574-E4</t>
  </si>
  <si>
    <t>G-REQ-05575-E1</t>
  </si>
  <si>
    <t>SYNTHETIC: Laptop return; Pending approval; asset G-AST-00522</t>
  </si>
  <si>
    <t>G-REQ-05575-E2</t>
  </si>
  <si>
    <t>SYNTHETIC: Laptop return; Approved; asset G-AST-00522</t>
  </si>
  <si>
    <t>G-REQ-05575-E3</t>
  </si>
  <si>
    <t>SYNTHETIC: Laptop return; In progress; asset G-AST-00522</t>
  </si>
  <si>
    <t>G-REQ-05575-E4</t>
  </si>
  <si>
    <t>SYNTHETIC: Laptop return; Completed; asset G-AST-00522</t>
  </si>
  <si>
    <t>G-REQ-05576-E1</t>
  </si>
  <si>
    <t>G-REQ-05576-E2</t>
  </si>
  <si>
    <t>G-REQ-05576-E3</t>
  </si>
  <si>
    <t>G-REQ-05576-E4</t>
  </si>
  <si>
    <t>G-REQ-05577-E1</t>
  </si>
  <si>
    <t>G-REQ-05577-E2</t>
  </si>
  <si>
    <t>G-REQ-05577-E3</t>
  </si>
  <si>
    <t>G-REQ-05577-E4</t>
  </si>
  <si>
    <t>G-REQ-05578-E1</t>
  </si>
  <si>
    <t>G-REQ-05578-E2</t>
  </si>
  <si>
    <t>G-REQ-05578-E3</t>
  </si>
  <si>
    <t>G-REQ-05578-E4</t>
  </si>
  <si>
    <t>G-REQ-05579-E1</t>
  </si>
  <si>
    <t>G-REQ-05579-E2</t>
  </si>
  <si>
    <t>SYNTHETIC: Laptop repair; Rejected; asset G-AST-00206</t>
  </si>
  <si>
    <t>G-REQ-05580-E1</t>
  </si>
  <si>
    <t>G-REQ-05580-E2</t>
  </si>
  <si>
    <t>G-REQ-05580-E3</t>
  </si>
  <si>
    <t>G-REQ-05580-E4</t>
  </si>
  <si>
    <t>G-REQ-05581-E1</t>
  </si>
  <si>
    <t>G-REQ-05581-E2</t>
  </si>
  <si>
    <t>G-REQ-05581-E3</t>
  </si>
  <si>
    <t>G-REQ-05581-E4</t>
  </si>
  <si>
    <t>G-REQ-05582-E1</t>
  </si>
  <si>
    <t>G-REQ-05582-E2</t>
  </si>
  <si>
    <t>G-REQ-05582-E3</t>
  </si>
  <si>
    <t>G-REQ-05582-E4</t>
  </si>
  <si>
    <t>G-REQ-05583-E1</t>
  </si>
  <si>
    <t>G-REQ-05583-E2</t>
  </si>
  <si>
    <t>G-REQ-05583-E3</t>
  </si>
  <si>
    <t>G-REQ-05583-E4</t>
  </si>
  <si>
    <t>G-REQ-05584-E1</t>
  </si>
  <si>
    <t>G-REQ-05584-E2</t>
  </si>
  <si>
    <t>G-REQ-05584-E3</t>
  </si>
  <si>
    <t>G-REQ-05584-E4</t>
  </si>
  <si>
    <t>G-REQ-05585-E1</t>
  </si>
  <si>
    <t>G-REQ-05585-E2</t>
  </si>
  <si>
    <t>G-REQ-05585-E3</t>
  </si>
  <si>
    <t>G-REQ-05585-E4</t>
  </si>
  <si>
    <t>G-REQ-05586-E1</t>
  </si>
  <si>
    <t>G-REQ-05586-E2</t>
  </si>
  <si>
    <t>G-REQ-05586-E3</t>
  </si>
  <si>
    <t>G-REQ-05586-E4</t>
  </si>
  <si>
    <t>G-REQ-05587-E1</t>
  </si>
  <si>
    <t>G-REQ-05587-E2</t>
  </si>
  <si>
    <t>G-REQ-05587-E3</t>
  </si>
  <si>
    <t>G-REQ-05587-E4</t>
  </si>
  <si>
    <t>G-REQ-05588-E1</t>
  </si>
  <si>
    <t>G-REQ-05588-E2</t>
  </si>
  <si>
    <t>G-REQ-05588-E3</t>
  </si>
  <si>
    <t>G-REQ-05588-E4</t>
  </si>
  <si>
    <t>G-REQ-05589-E1</t>
  </si>
  <si>
    <t>G-REQ-05589-E2</t>
  </si>
  <si>
    <t>G-REQ-05589-E3</t>
  </si>
  <si>
    <t>G-REQ-05589-E4</t>
  </si>
  <si>
    <t>G-REQ-05590-E1</t>
  </si>
  <si>
    <t>G-REQ-05590-E2</t>
  </si>
  <si>
    <t>G-REQ-05590-E3</t>
  </si>
  <si>
    <t>G-REQ-05590-E4</t>
  </si>
  <si>
    <t>G-REQ-05591-E1</t>
  </si>
  <si>
    <t>G-REQ-05591-E2</t>
  </si>
  <si>
    <t>G-REQ-05591-E3</t>
  </si>
  <si>
    <t>G-REQ-05591-E4</t>
  </si>
  <si>
    <t>G-REQ-05592-E1</t>
  </si>
  <si>
    <t>G-REQ-05592-E2</t>
  </si>
  <si>
    <t>G-REQ-05592-E3</t>
  </si>
  <si>
    <t>G-REQ-05592-E4</t>
  </si>
  <si>
    <t>G-REQ-05593-E1</t>
  </si>
  <si>
    <t>G-REQ-05593-E2</t>
  </si>
  <si>
    <t>G-REQ-05593-E3</t>
  </si>
  <si>
    <t>G-REQ-05593-E4</t>
  </si>
  <si>
    <t>G-REQ-05594-E1</t>
  </si>
  <si>
    <t>G-REQ-05594-E2</t>
  </si>
  <si>
    <t>G-REQ-05594-E3</t>
  </si>
  <si>
    <t>G-REQ-05594-E4</t>
  </si>
  <si>
    <t>G-REQ-05595-E1</t>
  </si>
  <si>
    <t>G-REQ-05595-E2</t>
  </si>
  <si>
    <t>G-REQ-05595-E3</t>
  </si>
  <si>
    <t>G-REQ-05595-E4</t>
  </si>
  <si>
    <t>G-REQ-05596-E1</t>
  </si>
  <si>
    <t>G-REQ-05596-E2</t>
  </si>
  <si>
    <t>G-REQ-05596-E3</t>
  </si>
  <si>
    <t>G-REQ-05596-E4</t>
  </si>
  <si>
    <t>G-REQ-05597-E1</t>
  </si>
  <si>
    <t>G-REQ-05597-E2</t>
  </si>
  <si>
    <t>G-REQ-05597-E3</t>
  </si>
  <si>
    <t>G-REQ-05597-E4</t>
  </si>
  <si>
    <t>G-REQ-05598-E1</t>
  </si>
  <si>
    <t>G-REQ-05598-E2</t>
  </si>
  <si>
    <t>G-REQ-05598-E3</t>
  </si>
  <si>
    <t>G-REQ-05598-E4</t>
  </si>
  <si>
    <t>G-REQ-05599-E1</t>
  </si>
  <si>
    <t>G-REQ-05599-E2</t>
  </si>
  <si>
    <t>G-REQ-05600-E1</t>
  </si>
  <si>
    <t>G-REQ-05600-E2</t>
  </si>
  <si>
    <t>G-REQ-05600-E3</t>
  </si>
  <si>
    <t>G-REQ-05600-E4</t>
  </si>
  <si>
    <t>G-REQ-05601-E1</t>
  </si>
  <si>
    <t>G-REQ-05601-E2</t>
  </si>
  <si>
    <t>G-REQ-05601-E3</t>
  </si>
  <si>
    <t>G-REQ-05601-E4</t>
  </si>
  <si>
    <t>G-REQ-05602-E1</t>
  </si>
  <si>
    <t>G-REQ-05602-E2</t>
  </si>
  <si>
    <t>G-REQ-05602-E3</t>
  </si>
  <si>
    <t>G-REQ-05602-E4</t>
  </si>
  <si>
    <t>G-REQ-05603-E1</t>
  </si>
  <si>
    <t>G-REQ-05603-E2</t>
  </si>
  <si>
    <t>G-REQ-05603-E3</t>
  </si>
  <si>
    <t>G-REQ-05603-E4</t>
  </si>
  <si>
    <t>G-REQ-05604-E1</t>
  </si>
  <si>
    <t>G-REQ-05604-E2</t>
  </si>
  <si>
    <t>G-REQ-05604-E3</t>
  </si>
  <si>
    <t>G-REQ-05604-E4</t>
  </si>
  <si>
    <t>G-REQ-05605-E1</t>
  </si>
  <si>
    <t>G-REQ-05605-E2</t>
  </si>
  <si>
    <t>G-REQ-05605-E3</t>
  </si>
  <si>
    <t>G-REQ-05605-E4</t>
  </si>
  <si>
    <t>G-REQ-05606-E1</t>
  </si>
  <si>
    <t>G-REQ-05606-E2</t>
  </si>
  <si>
    <t>G-REQ-05606-E3</t>
  </si>
  <si>
    <t>G-REQ-05606-E4</t>
  </si>
  <si>
    <t>G-REQ-05607-E1</t>
  </si>
  <si>
    <t>G-REQ-05607-E2</t>
  </si>
  <si>
    <t>G-REQ-05607-E3</t>
  </si>
  <si>
    <t>G-REQ-05607-E4</t>
  </si>
  <si>
    <t>G-REQ-05608-E1</t>
  </si>
  <si>
    <t>G-REQ-05608-E2</t>
  </si>
  <si>
    <t>G-REQ-05608-E3</t>
  </si>
  <si>
    <t>G-REQ-05608-E4</t>
  </si>
  <si>
    <t>G-REQ-05609-E1</t>
  </si>
  <si>
    <t>G-REQ-05609-E2</t>
  </si>
  <si>
    <t>G-REQ-05609-E3</t>
  </si>
  <si>
    <t>G-REQ-05609-E4</t>
  </si>
  <si>
    <t>G-REQ-05610-E1</t>
  </si>
  <si>
    <t>G-REQ-05610-E2</t>
  </si>
  <si>
    <t>SYNTHETIC: Laptop return; Cancelled; asset G-AST-00496</t>
  </si>
  <si>
    <t>G-REQ-05611-E1</t>
  </si>
  <si>
    <t>G-REQ-05611-E2</t>
  </si>
  <si>
    <t>G-REQ-05611-E3</t>
  </si>
  <si>
    <t>G-REQ-05611-E4</t>
  </si>
  <si>
    <t>G-REQ-05612-E1</t>
  </si>
  <si>
    <t>G-REQ-05612-E2</t>
  </si>
  <si>
    <t>G-REQ-05612-E3</t>
  </si>
  <si>
    <t>G-REQ-05612-E4</t>
  </si>
  <si>
    <t>G-REQ-05613-E1</t>
  </si>
  <si>
    <t>G-REQ-05613-E2</t>
  </si>
  <si>
    <t>G-REQ-05613-E3</t>
  </si>
  <si>
    <t>G-REQ-05613-E4</t>
  </si>
  <si>
    <t>G-REQ-05614-E1</t>
  </si>
  <si>
    <t>G-REQ-05614-E2</t>
  </si>
  <si>
    <t>G-REQ-05614-E3</t>
  </si>
  <si>
    <t>G-REQ-05614-E4</t>
  </si>
  <si>
    <t>G-REQ-05615-E1</t>
  </si>
  <si>
    <t>G-REQ-05615-E2</t>
  </si>
  <si>
    <t>SYNTHETIC: Laptop repair; Rejected; asset G-AST-00081</t>
  </si>
  <si>
    <t>G-REQ-05616-E1</t>
  </si>
  <si>
    <t>G-REQ-05616-E2</t>
  </si>
  <si>
    <t>G-REQ-05616-E3</t>
  </si>
  <si>
    <t>G-REQ-05616-E4</t>
  </si>
  <si>
    <t>G-REQ-05617-E1</t>
  </si>
  <si>
    <t>G-REQ-05617-E2</t>
  </si>
  <si>
    <t>G-REQ-05617-E3</t>
  </si>
  <si>
    <t>G-REQ-05617-E4</t>
  </si>
  <si>
    <t>G-REQ-05618-E1</t>
  </si>
  <si>
    <t>G-REQ-05618-E2</t>
  </si>
  <si>
    <t>G-REQ-05618-E3</t>
  </si>
  <si>
    <t>G-REQ-05618-E4</t>
  </si>
  <si>
    <t>G-REQ-05619-E1</t>
  </si>
  <si>
    <t>G-REQ-05619-E2</t>
  </si>
  <si>
    <t>G-REQ-05619-E3</t>
  </si>
  <si>
    <t>G-REQ-05619-E4</t>
  </si>
  <si>
    <t>G-REQ-05620-E1</t>
  </si>
  <si>
    <t>G-REQ-05620-E2</t>
  </si>
  <si>
    <t>SYNTHETIC: Laptop repair; Rejected; asset G-AST-00299</t>
  </si>
  <si>
    <t>G-REQ-05621-E1</t>
  </si>
  <si>
    <t>G-REQ-05621-E2</t>
  </si>
  <si>
    <t>G-REQ-05621-E3</t>
  </si>
  <si>
    <t>G-REQ-05621-E4</t>
  </si>
  <si>
    <t>G-REQ-05622-E1</t>
  </si>
  <si>
    <t>G-REQ-05622-E2</t>
  </si>
  <si>
    <t>SYNTHETIC: Laptop return; Approved; asset G-AST-00083</t>
  </si>
  <si>
    <t>G-REQ-05622-E3</t>
  </si>
  <si>
    <t>SYNTHETIC: Laptop return; In progress; asset G-AST-00083</t>
  </si>
  <si>
    <t>G-REQ-05622-E4</t>
  </si>
  <si>
    <t>SYNTHETIC: Laptop return; Completed; asset G-AST-00083</t>
  </si>
  <si>
    <t>G-REQ-05623-E1</t>
  </si>
  <si>
    <t>G-REQ-05623-E2</t>
  </si>
  <si>
    <t>G-REQ-05623-E3</t>
  </si>
  <si>
    <t>G-REQ-05623-E4</t>
  </si>
  <si>
    <t>G-REQ-05624-E1</t>
  </si>
  <si>
    <t>G-REQ-05624-E2</t>
  </si>
  <si>
    <t>G-REQ-05624-E3</t>
  </si>
  <si>
    <t>G-REQ-05624-E4</t>
  </si>
  <si>
    <t>G-REQ-05625-E1</t>
  </si>
  <si>
    <t>G-REQ-05625-E2</t>
  </si>
  <si>
    <t>G-REQ-05626-E1</t>
  </si>
  <si>
    <t>G-REQ-05626-E2</t>
  </si>
  <si>
    <t>G-REQ-05627-E1</t>
  </si>
  <si>
    <t>G-REQ-05627-E2</t>
  </si>
  <si>
    <t>G-REQ-05627-E3</t>
  </si>
  <si>
    <t>G-REQ-05627-E4</t>
  </si>
  <si>
    <t>G-REQ-05628-E1</t>
  </si>
  <si>
    <t>G-REQ-05628-E2</t>
  </si>
  <si>
    <t>SYNTHETIC: Laptop return; Rejected; asset G-AST-00342</t>
  </si>
  <si>
    <t>G-REQ-05629-E1</t>
  </si>
  <si>
    <t>G-REQ-05629-E2</t>
  </si>
  <si>
    <t>G-REQ-05629-E3</t>
  </si>
  <si>
    <t>G-REQ-05629-E4</t>
  </si>
  <si>
    <t>G-REQ-05630-E1</t>
  </si>
  <si>
    <t>G-REQ-05630-E2</t>
  </si>
  <si>
    <t>G-REQ-05630-E3</t>
  </si>
  <si>
    <t>G-REQ-05630-E4</t>
  </si>
  <si>
    <t>G-REQ-05631-E1</t>
  </si>
  <si>
    <t>G-REQ-05631-E2</t>
  </si>
  <si>
    <t>G-REQ-05631-E3</t>
  </si>
  <si>
    <t>G-REQ-05631-E4</t>
  </si>
  <si>
    <t>G-REQ-05632-E1</t>
  </si>
  <si>
    <t>G-REQ-05632-E2</t>
  </si>
  <si>
    <t>G-REQ-05632-E3</t>
  </si>
  <si>
    <t>G-REQ-05632-E4</t>
  </si>
  <si>
    <t>G-REQ-05633-E1</t>
  </si>
  <si>
    <t>G-REQ-05633-E2</t>
  </si>
  <si>
    <t>G-REQ-05633-E3</t>
  </si>
  <si>
    <t>G-REQ-05633-E4</t>
  </si>
  <si>
    <t>G-REQ-05634-E1</t>
  </si>
  <si>
    <t>G-REQ-05634-E2</t>
  </si>
  <si>
    <t>G-REQ-05634-E3</t>
  </si>
  <si>
    <t>G-REQ-05634-E4</t>
  </si>
  <si>
    <t>G-REQ-05635-E1</t>
  </si>
  <si>
    <t>G-REQ-05635-E2</t>
  </si>
  <si>
    <t>G-REQ-05635-E3</t>
  </si>
  <si>
    <t>G-REQ-05635-E4</t>
  </si>
  <si>
    <t>G-REQ-05636-E1</t>
  </si>
  <si>
    <t>G-REQ-05636-E2</t>
  </si>
  <si>
    <t>SYNTHETIC: Laptop repair; Rejected; asset G-AST-00467</t>
  </si>
  <si>
    <t>G-REQ-05637-E1</t>
  </si>
  <si>
    <t>G-REQ-05637-E2</t>
  </si>
  <si>
    <t>G-REQ-05637-E3</t>
  </si>
  <si>
    <t>G-REQ-05637-E4</t>
  </si>
  <si>
    <t>G-REQ-05638-E1</t>
  </si>
  <si>
    <t>G-REQ-05638-E2</t>
  </si>
  <si>
    <t>G-REQ-05638-E3</t>
  </si>
  <si>
    <t>G-REQ-05638-E4</t>
  </si>
  <si>
    <t>G-REQ-05639-E1</t>
  </si>
  <si>
    <t>G-REQ-05639-E2</t>
  </si>
  <si>
    <t>SYNTHETIC: Laptop return; Cancelled; asset G-AST-00081</t>
  </si>
  <si>
    <t>G-REQ-05640-E1</t>
  </si>
  <si>
    <t>G-REQ-05640-E2</t>
  </si>
  <si>
    <t>G-REQ-05640-E3</t>
  </si>
  <si>
    <t>G-REQ-05640-E4</t>
  </si>
  <si>
    <t>G-REQ-05641-E1</t>
  </si>
  <si>
    <t>G-REQ-05641-E2</t>
  </si>
  <si>
    <t>G-REQ-05641-E3</t>
  </si>
  <si>
    <t>G-REQ-05641-E4</t>
  </si>
  <si>
    <t>G-REQ-05642-E1</t>
  </si>
  <si>
    <t>G-REQ-05642-E2</t>
  </si>
  <si>
    <t>G-REQ-05642-E3</t>
  </si>
  <si>
    <t>G-REQ-05642-E4</t>
  </si>
  <si>
    <t>G-REQ-05643-E1</t>
  </si>
  <si>
    <t>G-REQ-05643-E2</t>
  </si>
  <si>
    <t>SYNTHETIC: Laptop repair; Cancelled; asset G-AST-00466</t>
  </si>
  <si>
    <t>G-REQ-05644-E1</t>
  </si>
  <si>
    <t>G-REQ-05644-E2</t>
  </si>
  <si>
    <t>G-REQ-05644-E3</t>
  </si>
  <si>
    <t>G-REQ-05644-E4</t>
  </si>
  <si>
    <t>G-REQ-05645-E1</t>
  </si>
  <si>
    <t>G-REQ-05645-E2</t>
  </si>
  <si>
    <t>G-REQ-05645-E3</t>
  </si>
  <si>
    <t>G-REQ-05645-E4</t>
  </si>
  <si>
    <t>G-REQ-05646-E1</t>
  </si>
  <si>
    <t>G-REQ-05646-E2</t>
  </si>
  <si>
    <t>SYNTHETIC: Laptop return; Rejected; asset G-AST-00082</t>
  </si>
  <si>
    <t>G-REQ-05647-E1</t>
  </si>
  <si>
    <t>G-REQ-05647-E2</t>
  </si>
  <si>
    <t>G-REQ-05647-E3</t>
  </si>
  <si>
    <t>G-REQ-05647-E4</t>
  </si>
  <si>
    <t>G-REQ-05648-E1</t>
  </si>
  <si>
    <t>G-REQ-05648-E2</t>
  </si>
  <si>
    <t>G-REQ-05648-E3</t>
  </si>
  <si>
    <t>G-REQ-05648-E4</t>
  </si>
  <si>
    <t>G-REQ-05649-E1</t>
  </si>
  <si>
    <t>G-REQ-05649-E2</t>
  </si>
  <si>
    <t>G-REQ-05649-E3</t>
  </si>
  <si>
    <t>G-REQ-05649-E4</t>
  </si>
  <si>
    <t>G-REQ-05650-E1</t>
  </si>
  <si>
    <t>G-REQ-05650-E2</t>
  </si>
  <si>
    <t>G-REQ-05650-E3</t>
  </si>
  <si>
    <t>G-REQ-05650-E4</t>
  </si>
  <si>
    <t>G-REQ-05651-E1</t>
  </si>
  <si>
    <t>G-REQ-05651-E2</t>
  </si>
  <si>
    <t>G-REQ-05651-E3</t>
  </si>
  <si>
    <t>G-REQ-05651-E4</t>
  </si>
  <si>
    <t>G-REQ-05652-E1</t>
  </si>
  <si>
    <t>G-REQ-05652-E2</t>
  </si>
  <si>
    <t>G-REQ-05652-E3</t>
  </si>
  <si>
    <t>G-REQ-05652-E4</t>
  </si>
  <si>
    <t>G-REQ-05653-E1</t>
  </si>
  <si>
    <t>G-REQ-05653-E2</t>
  </si>
  <si>
    <t>G-REQ-05653-E3</t>
  </si>
  <si>
    <t>G-REQ-05653-E4</t>
  </si>
  <si>
    <t>G-REQ-05654-E1</t>
  </si>
  <si>
    <t>G-REQ-05654-E2</t>
  </si>
  <si>
    <t>G-REQ-05654-E3</t>
  </si>
  <si>
    <t>G-REQ-05654-E4</t>
  </si>
  <si>
    <t>G-REQ-05655-E1</t>
  </si>
  <si>
    <t>G-REQ-05655-E2</t>
  </si>
  <si>
    <t>G-REQ-05655-E3</t>
  </si>
  <si>
    <t>G-REQ-05655-E4</t>
  </si>
  <si>
    <t>G-REQ-05656-E1</t>
  </si>
  <si>
    <t>G-REQ-05656-E2</t>
  </si>
  <si>
    <t>G-REQ-05656-E3</t>
  </si>
  <si>
    <t>G-REQ-05656-E4</t>
  </si>
  <si>
    <t>G-REQ-05657-E1</t>
  </si>
  <si>
    <t>G-REQ-05657-E2</t>
  </si>
  <si>
    <t>G-REQ-05658-E1</t>
  </si>
  <si>
    <t>G-REQ-05658-E2</t>
  </si>
  <si>
    <t>G-REQ-05658-E3</t>
  </si>
  <si>
    <t>G-REQ-05658-E4</t>
  </si>
  <si>
    <t>G-REQ-05659-E1</t>
  </si>
  <si>
    <t>G-REQ-05659-E2</t>
  </si>
  <si>
    <t>G-REQ-05659-E3</t>
  </si>
  <si>
    <t>G-REQ-05659-E4</t>
  </si>
  <si>
    <t>G-REQ-05660-E1</t>
  </si>
  <si>
    <t>G-REQ-05660-E2</t>
  </si>
  <si>
    <t>G-REQ-05660-E3</t>
  </si>
  <si>
    <t>G-REQ-05660-E4</t>
  </si>
  <si>
    <t>G-REQ-05661-E1</t>
  </si>
  <si>
    <t>G-REQ-05661-E2</t>
  </si>
  <si>
    <t>G-REQ-05661-E3</t>
  </si>
  <si>
    <t>G-REQ-05661-E4</t>
  </si>
  <si>
    <t>G-REQ-05662-E1</t>
  </si>
  <si>
    <t>G-REQ-05662-E2</t>
  </si>
  <si>
    <t>G-REQ-05662-E3</t>
  </si>
  <si>
    <t>G-REQ-05662-E4</t>
  </si>
  <si>
    <t>G-REQ-05663-E1</t>
  </si>
  <si>
    <t>G-REQ-05663-E2</t>
  </si>
  <si>
    <t>G-REQ-05663-E3</t>
  </si>
  <si>
    <t>G-REQ-05663-E4</t>
  </si>
  <si>
    <t>G-REQ-05664-E1</t>
  </si>
  <si>
    <t>G-REQ-05664-E2</t>
  </si>
  <si>
    <t>G-REQ-05664-E3</t>
  </si>
  <si>
    <t>G-REQ-05664-E4</t>
  </si>
  <si>
    <t>G-REQ-05665-E1</t>
  </si>
  <si>
    <t>G-REQ-05665-E2</t>
  </si>
  <si>
    <t>G-REQ-05665-E3</t>
  </si>
  <si>
    <t>G-REQ-05665-E4</t>
  </si>
  <si>
    <t>G-REQ-05666-E1</t>
  </si>
  <si>
    <t>G-REQ-05666-E2</t>
  </si>
  <si>
    <t>G-REQ-05666-E3</t>
  </si>
  <si>
    <t>G-REQ-05666-E4</t>
  </si>
  <si>
    <t>G-REQ-05667-E1</t>
  </si>
  <si>
    <t>G-REQ-05667-E2</t>
  </si>
  <si>
    <t>G-REQ-05667-E3</t>
  </si>
  <si>
    <t>G-REQ-05667-E4</t>
  </si>
  <si>
    <t>G-REQ-05668-E1</t>
  </si>
  <si>
    <t>G-REQ-05668-E2</t>
  </si>
  <si>
    <t>G-REQ-05669-E1</t>
  </si>
  <si>
    <t>G-REQ-05669-E2</t>
  </si>
  <si>
    <t>G-REQ-05669-E3</t>
  </si>
  <si>
    <t>G-REQ-05669-E4</t>
  </si>
  <si>
    <t>G-REQ-05670-E1</t>
  </si>
  <si>
    <t>G-REQ-05670-E2</t>
  </si>
  <si>
    <t>G-REQ-05670-E3</t>
  </si>
  <si>
    <t>G-REQ-05670-E4</t>
  </si>
  <si>
    <t>G-REQ-05671-E1</t>
  </si>
  <si>
    <t>G-REQ-05671-E2</t>
  </si>
  <si>
    <t>G-REQ-05671-E3</t>
  </si>
  <si>
    <t>G-REQ-05671-E4</t>
  </si>
  <si>
    <t>G-REQ-05672-E1</t>
  </si>
  <si>
    <t>G-REQ-05672-E2</t>
  </si>
  <si>
    <t>G-REQ-05672-E3</t>
  </si>
  <si>
    <t>G-REQ-05672-E4</t>
  </si>
  <si>
    <t>G-REQ-05673-E1</t>
  </si>
  <si>
    <t>G-REQ-05673-E2</t>
  </si>
  <si>
    <t>G-REQ-05673-E3</t>
  </si>
  <si>
    <t>G-REQ-05673-E4</t>
  </si>
  <si>
    <t>G-REQ-05674-E1</t>
  </si>
  <si>
    <t>G-REQ-05674-E2</t>
  </si>
  <si>
    <t>G-REQ-05674-E3</t>
  </si>
  <si>
    <t>G-REQ-05674-E4</t>
  </si>
  <si>
    <t>G-REQ-05675-E1</t>
  </si>
  <si>
    <t>G-REQ-05675-E2</t>
  </si>
  <si>
    <t>G-REQ-05675-E3</t>
  </si>
  <si>
    <t>G-REQ-05675-E4</t>
  </si>
  <si>
    <t>G-REQ-05676-E1</t>
  </si>
  <si>
    <t>G-REQ-05676-E2</t>
  </si>
  <si>
    <t>G-REQ-05676-E3</t>
  </si>
  <si>
    <t>G-REQ-05676-E4</t>
  </si>
  <si>
    <t>G-REQ-05677-E1</t>
  </si>
  <si>
    <t>SYNTHETIC: Laptop repair; Pending approval; asset G-AST-00506</t>
  </si>
  <si>
    <t>G-REQ-05677-E2</t>
  </si>
  <si>
    <t>SYNTHETIC: Laptop repair; Approved; asset G-AST-00506</t>
  </si>
  <si>
    <t>G-REQ-05677-E3</t>
  </si>
  <si>
    <t>SYNTHETIC: Laptop repair; In progress; asset G-AST-00506</t>
  </si>
  <si>
    <t>G-REQ-05677-E4</t>
  </si>
  <si>
    <t>SYNTHETIC: Laptop repair; Completed; asset G-AST-00506</t>
  </si>
  <si>
    <t>G-REQ-05678-E1</t>
  </si>
  <si>
    <t>G-REQ-05678-E2</t>
  </si>
  <si>
    <t>G-REQ-05678-E3</t>
  </si>
  <si>
    <t>G-REQ-05678-E4</t>
  </si>
  <si>
    <t>G-REQ-05679-E1</t>
  </si>
  <si>
    <t>G-REQ-05679-E2</t>
  </si>
  <si>
    <t>G-REQ-05679-E3</t>
  </si>
  <si>
    <t>G-REQ-05679-E4</t>
  </si>
  <si>
    <t>G-REQ-05680-E1</t>
  </si>
  <si>
    <t>G-REQ-05680-E2</t>
  </si>
  <si>
    <t>G-REQ-05680-E3</t>
  </si>
  <si>
    <t>G-REQ-05680-E4</t>
  </si>
  <si>
    <t>G-REQ-05681-E1</t>
  </si>
  <si>
    <t>G-REQ-05681-E2</t>
  </si>
  <si>
    <t>G-REQ-05681-E3</t>
  </si>
  <si>
    <t>G-REQ-05681-E4</t>
  </si>
  <si>
    <t>G-REQ-05682-E1</t>
  </si>
  <si>
    <t>G-REQ-05682-E2</t>
  </si>
  <si>
    <t>G-REQ-05683-E1</t>
  </si>
  <si>
    <t>G-REQ-05683-E2</t>
  </si>
  <si>
    <t>G-REQ-05683-E3</t>
  </si>
  <si>
    <t>G-REQ-05683-E4</t>
  </si>
  <si>
    <t>G-REQ-05684-E1</t>
  </si>
  <si>
    <t>G-REQ-05684-E2</t>
  </si>
  <si>
    <t>G-REQ-05684-E3</t>
  </si>
  <si>
    <t>G-REQ-05684-E4</t>
  </si>
  <si>
    <t>G-REQ-05685-E1</t>
  </si>
  <si>
    <t>G-REQ-05685-E2</t>
  </si>
  <si>
    <t>G-REQ-05685-E3</t>
  </si>
  <si>
    <t>G-REQ-05685-E4</t>
  </si>
  <si>
    <t>G-REQ-05686-E1</t>
  </si>
  <si>
    <t>G-REQ-05686-E2</t>
  </si>
  <si>
    <t>G-REQ-05686-E3</t>
  </si>
  <si>
    <t>G-REQ-05686-E4</t>
  </si>
  <si>
    <t>G-REQ-05687-E1</t>
  </si>
  <si>
    <t>G-REQ-05687-E2</t>
  </si>
  <si>
    <t>G-REQ-05687-E3</t>
  </si>
  <si>
    <t>G-REQ-05687-E4</t>
  </si>
  <si>
    <t>G-REQ-05688-E1</t>
  </si>
  <si>
    <t>G-REQ-05688-E2</t>
  </si>
  <si>
    <t>SYNTHETIC: Laptop return; Cancelled; asset G-AST-00489</t>
  </si>
  <si>
    <t>G-REQ-05689-E1</t>
  </si>
  <si>
    <t>G-REQ-05689-E2</t>
  </si>
  <si>
    <t>G-REQ-05689-E3</t>
  </si>
  <si>
    <t>G-REQ-05689-E4</t>
  </si>
  <si>
    <t>G-REQ-05690-E1</t>
  </si>
  <si>
    <t>G-REQ-05690-E2</t>
  </si>
  <si>
    <t>G-REQ-05690-E3</t>
  </si>
  <si>
    <t>G-REQ-05690-E4</t>
  </si>
  <si>
    <t>G-REQ-05691-E1</t>
  </si>
  <si>
    <t>G-REQ-05691-E2</t>
  </si>
  <si>
    <t>G-REQ-05691-E3</t>
  </si>
  <si>
    <t>G-REQ-05691-E4</t>
  </si>
  <si>
    <t>G-REQ-05692-E1</t>
  </si>
  <si>
    <t>G-REQ-05692-E2</t>
  </si>
  <si>
    <t>G-REQ-05692-E3</t>
  </si>
  <si>
    <t>G-REQ-05692-E4</t>
  </si>
  <si>
    <t>G-REQ-05693-E1</t>
  </si>
  <si>
    <t>G-REQ-05693-E2</t>
  </si>
  <si>
    <t>G-REQ-05693-E3</t>
  </si>
  <si>
    <t>G-REQ-05693-E4</t>
  </si>
  <si>
    <t>G-REQ-05694-E1</t>
  </si>
  <si>
    <t>G-REQ-05694-E2</t>
  </si>
  <si>
    <t>SYNTHETIC: Laptop repair; Rejected; asset G-AST-00011</t>
  </si>
  <si>
    <t>G-REQ-05695-E1</t>
  </si>
  <si>
    <t>G-REQ-05695-E2</t>
  </si>
  <si>
    <t>G-REQ-05696-E1</t>
  </si>
  <si>
    <t>G-REQ-05696-E2</t>
  </si>
  <si>
    <t>G-REQ-05696-E3</t>
  </si>
  <si>
    <t>G-REQ-05696-E4</t>
  </si>
  <si>
    <t>G-REQ-05697-E1</t>
  </si>
  <si>
    <t>G-REQ-05697-E2</t>
  </si>
  <si>
    <t>G-REQ-05697-E3</t>
  </si>
  <si>
    <t>G-REQ-05697-E4</t>
  </si>
  <si>
    <t>G-REQ-05698-E1</t>
  </si>
  <si>
    <t>G-REQ-05698-E2</t>
  </si>
  <si>
    <t>G-REQ-05698-E3</t>
  </si>
  <si>
    <t>G-REQ-05698-E4</t>
  </si>
  <si>
    <t>G-REQ-05699-E1</t>
  </si>
  <si>
    <t>G-REQ-05699-E2</t>
  </si>
  <si>
    <t>G-REQ-05699-E3</t>
  </si>
  <si>
    <t>G-REQ-05699-E4</t>
  </si>
  <si>
    <t>G-REQ-05700-E1</t>
  </si>
  <si>
    <t>G-REQ-05700-E2</t>
  </si>
  <si>
    <t>G-REQ-05700-E3</t>
  </si>
  <si>
    <t>G-REQ-05700-E4</t>
  </si>
  <si>
    <t>G-REQ-05701-E1</t>
  </si>
  <si>
    <t>G-REQ-05701-E2</t>
  </si>
  <si>
    <t>G-REQ-05701-E3</t>
  </si>
  <si>
    <t>G-REQ-05701-E4</t>
  </si>
  <si>
    <t>G-REQ-05702-E1</t>
  </si>
  <si>
    <t>G-REQ-05702-E2</t>
  </si>
  <si>
    <t>G-REQ-05702-E3</t>
  </si>
  <si>
    <t>G-REQ-05702-E4</t>
  </si>
  <si>
    <t>G-REQ-05703-E1</t>
  </si>
  <si>
    <t>G-REQ-05703-E2</t>
  </si>
  <si>
    <t>G-REQ-05703-E3</t>
  </si>
  <si>
    <t>G-REQ-05703-E4</t>
  </si>
  <si>
    <t>G-REQ-05704-E1</t>
  </si>
  <si>
    <t>G-REQ-05704-E2</t>
  </si>
  <si>
    <t>G-REQ-05704-E3</t>
  </si>
  <si>
    <t>G-REQ-05704-E4</t>
  </si>
  <si>
    <t>G-REQ-05705-E1</t>
  </si>
  <si>
    <t>G-REQ-05705-E2</t>
  </si>
  <si>
    <t>G-REQ-05705-E3</t>
  </si>
  <si>
    <t>G-REQ-05705-E4</t>
  </si>
  <si>
    <t>G-REQ-05706-E1</t>
  </si>
  <si>
    <t>G-REQ-05706-E2</t>
  </si>
  <si>
    <t>G-REQ-05706-E3</t>
  </si>
  <si>
    <t>G-REQ-05706-E4</t>
  </si>
  <si>
    <t>G-REQ-05707-E1</t>
  </si>
  <si>
    <t>G-REQ-05707-E2</t>
  </si>
  <si>
    <t>G-REQ-05707-E3</t>
  </si>
  <si>
    <t>G-REQ-05707-E4</t>
  </si>
  <si>
    <t>G-REQ-05708-E1</t>
  </si>
  <si>
    <t>G-REQ-05708-E2</t>
  </si>
  <si>
    <t>G-REQ-05709-E1</t>
  </si>
  <si>
    <t>G-REQ-05709-E2</t>
  </si>
  <si>
    <t>G-REQ-05709-E3</t>
  </si>
  <si>
    <t>G-REQ-05709-E4</t>
  </si>
  <si>
    <t>G-REQ-05710-E1</t>
  </si>
  <si>
    <t>G-REQ-05710-E2</t>
  </si>
  <si>
    <t>G-REQ-05710-E3</t>
  </si>
  <si>
    <t>G-REQ-05710-E4</t>
  </si>
  <si>
    <t>G-REQ-05711-E1</t>
  </si>
  <si>
    <t>G-REQ-05711-E2</t>
  </si>
  <si>
    <t>G-REQ-05711-E3</t>
  </si>
  <si>
    <t>G-REQ-05711-E4</t>
  </si>
  <si>
    <t>G-REQ-05712-E1</t>
  </si>
  <si>
    <t>G-REQ-05712-E2</t>
  </si>
  <si>
    <t>G-REQ-05712-E3</t>
  </si>
  <si>
    <t>G-REQ-05712-E4</t>
  </si>
  <si>
    <t>G-REQ-05713-E1</t>
  </si>
  <si>
    <t>G-REQ-05713-E2</t>
  </si>
  <si>
    <t>SYNTHETIC: Laptop return; Rejected; asset G-AST-00166</t>
  </si>
  <si>
    <t>G-REQ-05714-E1</t>
  </si>
  <si>
    <t>G-REQ-05714-E2</t>
  </si>
  <si>
    <t>G-REQ-05714-E3</t>
  </si>
  <si>
    <t>G-REQ-05714-E4</t>
  </si>
  <si>
    <t>G-REQ-05715-E1</t>
  </si>
  <si>
    <t>G-REQ-05715-E2</t>
  </si>
  <si>
    <t>G-REQ-05715-E3</t>
  </si>
  <si>
    <t>G-REQ-05715-E4</t>
  </si>
  <si>
    <t>G-REQ-05716-E1</t>
  </si>
  <si>
    <t>G-REQ-05716-E2</t>
  </si>
  <si>
    <t>G-REQ-05716-E3</t>
  </si>
  <si>
    <t>G-REQ-05716-E4</t>
  </si>
  <si>
    <t>G-REQ-05717-E1</t>
  </si>
  <si>
    <t>G-REQ-05717-E2</t>
  </si>
  <si>
    <t>G-REQ-05717-E3</t>
  </si>
  <si>
    <t>G-REQ-05717-E4</t>
  </si>
  <si>
    <t>G-REQ-05718-E1</t>
  </si>
  <si>
    <t>G-REQ-05718-E2</t>
  </si>
  <si>
    <t>G-REQ-05718-E3</t>
  </si>
  <si>
    <t>G-REQ-05718-E4</t>
  </si>
  <si>
    <t>G-REQ-05719-E1</t>
  </si>
  <si>
    <t>G-REQ-05719-E2</t>
  </si>
  <si>
    <t>G-REQ-05719-E3</t>
  </si>
  <si>
    <t>G-REQ-05719-E4</t>
  </si>
  <si>
    <t>G-REQ-05720-E1</t>
  </si>
  <si>
    <t>G-REQ-05720-E2</t>
  </si>
  <si>
    <t>G-REQ-05721-E1</t>
  </si>
  <si>
    <t>G-REQ-05721-E2</t>
  </si>
  <si>
    <t>G-REQ-05721-E3</t>
  </si>
  <si>
    <t>G-REQ-05721-E4</t>
  </si>
  <si>
    <t>G-REQ-05722-E1</t>
  </si>
  <si>
    <t>G-REQ-05722-E2</t>
  </si>
  <si>
    <t>G-REQ-05722-E3</t>
  </si>
  <si>
    <t>G-REQ-05722-E4</t>
  </si>
  <si>
    <t>G-REQ-05723-E1</t>
  </si>
  <si>
    <t>G-REQ-05723-E2</t>
  </si>
  <si>
    <t>G-REQ-05723-E3</t>
  </si>
  <si>
    <t>G-REQ-05723-E4</t>
  </si>
  <si>
    <t>G-REQ-05724-E1</t>
  </si>
  <si>
    <t>G-REQ-05724-E2</t>
  </si>
  <si>
    <t>G-REQ-05724-E3</t>
  </si>
  <si>
    <t>G-REQ-05724-E4</t>
  </si>
  <si>
    <t>G-REQ-05725-E1</t>
  </si>
  <si>
    <t>G-REQ-05725-E2</t>
  </si>
  <si>
    <t>G-REQ-05725-E3</t>
  </si>
  <si>
    <t>G-REQ-05725-E4</t>
  </si>
  <si>
    <t>G-REQ-05726-E1</t>
  </si>
  <si>
    <t>G-REQ-05726-E2</t>
  </si>
  <si>
    <t>G-REQ-05727-E1</t>
  </si>
  <si>
    <t>G-REQ-05727-E2</t>
  </si>
  <si>
    <t>SYNTHETIC: Laptop return; Cancelled; asset G-AST-00051</t>
  </si>
  <si>
    <t>G-REQ-05728-E1</t>
  </si>
  <si>
    <t>G-REQ-05728-E2</t>
  </si>
  <si>
    <t>G-REQ-05728-E3</t>
  </si>
  <si>
    <t>G-REQ-05728-E4</t>
  </si>
  <si>
    <t>G-REQ-05729-E1</t>
  </si>
  <si>
    <t>G-REQ-05729-E2</t>
  </si>
  <si>
    <t>G-REQ-05729-E3</t>
  </si>
  <si>
    <t>G-REQ-05729-E4</t>
  </si>
  <si>
    <t>G-REQ-05730-E1</t>
  </si>
  <si>
    <t>G-REQ-05730-E2</t>
  </si>
  <si>
    <t>G-REQ-05730-E3</t>
  </si>
  <si>
    <t>G-REQ-05730-E4</t>
  </si>
  <si>
    <t>G-REQ-05731-E1</t>
  </si>
  <si>
    <t>G-REQ-05731-E2</t>
  </si>
  <si>
    <t>G-REQ-05731-E3</t>
  </si>
  <si>
    <t>G-REQ-05731-E4</t>
  </si>
  <si>
    <t>G-REQ-05732-E1</t>
  </si>
  <si>
    <t>G-REQ-05732-E2</t>
  </si>
  <si>
    <t>G-REQ-05732-E3</t>
  </si>
  <si>
    <t>G-REQ-05732-E4</t>
  </si>
  <si>
    <t>G-REQ-05733-E1</t>
  </si>
  <si>
    <t>G-REQ-05733-E2</t>
  </si>
  <si>
    <t>G-REQ-05733-E3</t>
  </si>
  <si>
    <t>G-REQ-05733-E4</t>
  </si>
  <si>
    <t>G-REQ-05734-E1</t>
  </si>
  <si>
    <t>G-REQ-05734-E2</t>
  </si>
  <si>
    <t>G-REQ-05734-E3</t>
  </si>
  <si>
    <t>G-REQ-05734-E4</t>
  </si>
  <si>
    <t>G-REQ-05735-E1</t>
  </si>
  <si>
    <t>G-REQ-05735-E2</t>
  </si>
  <si>
    <t>G-REQ-05735-E3</t>
  </si>
  <si>
    <t>G-REQ-05735-E4</t>
  </si>
  <si>
    <t>G-REQ-05736-E1</t>
  </si>
  <si>
    <t>G-REQ-05736-E2</t>
  </si>
  <si>
    <t>G-REQ-05736-E3</t>
  </si>
  <si>
    <t>G-REQ-05736-E4</t>
  </si>
  <si>
    <t>G-REQ-05737-E1</t>
  </si>
  <si>
    <t>G-REQ-05737-E2</t>
  </si>
  <si>
    <t>G-REQ-05737-E3</t>
  </si>
  <si>
    <t>G-REQ-05737-E4</t>
  </si>
  <si>
    <t>G-REQ-05738-E1</t>
  </si>
  <si>
    <t>G-REQ-05738-E2</t>
  </si>
  <si>
    <t>G-REQ-05738-E3</t>
  </si>
  <si>
    <t>G-REQ-05738-E4</t>
  </si>
  <si>
    <t>G-REQ-05739-E1</t>
  </si>
  <si>
    <t>G-REQ-05739-E2</t>
  </si>
  <si>
    <t>G-REQ-05739-E3</t>
  </si>
  <si>
    <t>G-REQ-05739-E4</t>
  </si>
  <si>
    <t>G-REQ-05740-E1</t>
  </si>
  <si>
    <t>G-REQ-05740-E2</t>
  </si>
  <si>
    <t>G-REQ-05740-E3</t>
  </si>
  <si>
    <t>G-REQ-05740-E4</t>
  </si>
  <si>
    <t>G-REQ-05741-E1</t>
  </si>
  <si>
    <t>G-REQ-05741-E2</t>
  </si>
  <si>
    <t>G-REQ-05741-E3</t>
  </si>
  <si>
    <t>G-REQ-05741-E4</t>
  </si>
  <si>
    <t>G-REQ-05742-E1</t>
  </si>
  <si>
    <t>G-REQ-05742-E2</t>
  </si>
  <si>
    <t>G-REQ-05742-E3</t>
  </si>
  <si>
    <t>G-REQ-05742-E4</t>
  </si>
  <si>
    <t>G-REQ-05743-E1</t>
  </si>
  <si>
    <t>G-REQ-05743-E2</t>
  </si>
  <si>
    <t>G-REQ-05743-E3</t>
  </si>
  <si>
    <t>G-REQ-05743-E4</t>
  </si>
  <si>
    <t>G-REQ-05744-E1</t>
  </si>
  <si>
    <t>G-REQ-05744-E2</t>
  </si>
  <si>
    <t>G-REQ-05744-E3</t>
  </si>
  <si>
    <t>G-REQ-05744-E4</t>
  </si>
  <si>
    <t>G-REQ-05745-E1</t>
  </si>
  <si>
    <t>G-REQ-05745-E2</t>
  </si>
  <si>
    <t>G-REQ-05745-E3</t>
  </si>
  <si>
    <t>G-REQ-05745-E4</t>
  </si>
  <si>
    <t>G-REQ-05746-E1</t>
  </si>
  <si>
    <t>G-REQ-05746-E2</t>
  </si>
  <si>
    <t>SYNTHETIC: Laptop repair; Rejected; asset G-AST-00068</t>
  </si>
  <si>
    <t>G-REQ-05747-E1</t>
  </si>
  <si>
    <t>G-REQ-05747-E2</t>
  </si>
  <si>
    <t>G-REQ-05747-E3</t>
  </si>
  <si>
    <t>G-REQ-05747-E4</t>
  </si>
  <si>
    <t>G-REQ-05748-E1</t>
  </si>
  <si>
    <t>G-REQ-05748-E2</t>
  </si>
  <si>
    <t>G-REQ-05748-E3</t>
  </si>
  <si>
    <t>G-REQ-05748-E4</t>
  </si>
  <si>
    <t>G-REQ-05749-E1</t>
  </si>
  <si>
    <t>G-REQ-05749-E2</t>
  </si>
  <si>
    <t>G-REQ-05749-E3</t>
  </si>
  <si>
    <t>G-REQ-05749-E4</t>
  </si>
  <si>
    <t>G-REQ-05750-E1</t>
  </si>
  <si>
    <t>G-REQ-05750-E2</t>
  </si>
  <si>
    <t>G-REQ-05750-E3</t>
  </si>
  <si>
    <t>G-REQ-05750-E4</t>
  </si>
  <si>
    <t>G-REQ-05751-E1</t>
  </si>
  <si>
    <t>SYNTHETIC: Laptop repair; Pending approval; asset G-AST-00433</t>
  </si>
  <si>
    <t>G-REQ-05751-E2</t>
  </si>
  <si>
    <t>SYNTHETIC: Laptop repair; Approved; asset G-AST-00433</t>
  </si>
  <si>
    <t>G-REQ-05751-E3</t>
  </si>
  <si>
    <t>SYNTHETIC: Laptop repair; In progress; asset G-AST-00433</t>
  </si>
  <si>
    <t>G-REQ-05751-E4</t>
  </si>
  <si>
    <t>SYNTHETIC: Laptop repair; Completed; asset G-AST-00433</t>
  </si>
  <si>
    <t>G-REQ-05752-E1</t>
  </si>
  <si>
    <t>G-REQ-05752-E2</t>
  </si>
  <si>
    <t>G-REQ-05752-E3</t>
  </si>
  <si>
    <t>G-REQ-05752-E4</t>
  </si>
  <si>
    <t>G-REQ-05753-E1</t>
  </si>
  <si>
    <t>G-REQ-05753-E2</t>
  </si>
  <si>
    <t>G-REQ-05753-E3</t>
  </si>
  <si>
    <t>G-REQ-05753-E4</t>
  </si>
  <si>
    <t>G-REQ-05754-E1</t>
  </si>
  <si>
    <t>G-REQ-05754-E2</t>
  </si>
  <si>
    <t>G-REQ-05754-E3</t>
  </si>
  <si>
    <t>G-REQ-05754-E4</t>
  </si>
  <si>
    <t>G-REQ-05755-E1</t>
  </si>
  <si>
    <t>G-REQ-05755-E2</t>
  </si>
  <si>
    <t>G-REQ-05755-E3</t>
  </si>
  <si>
    <t>G-REQ-05755-E4</t>
  </si>
  <si>
    <t>G-REQ-05756-E1</t>
  </si>
  <si>
    <t>G-REQ-05756-E2</t>
  </si>
  <si>
    <t>G-REQ-05756-E3</t>
  </si>
  <si>
    <t>G-REQ-05756-E4</t>
  </si>
  <si>
    <t>G-REQ-05757-E1</t>
  </si>
  <si>
    <t>G-REQ-05757-E2</t>
  </si>
  <si>
    <t>G-REQ-05757-E3</t>
  </si>
  <si>
    <t>G-REQ-05757-E4</t>
  </si>
  <si>
    <t>G-REQ-05758-E1</t>
  </si>
  <si>
    <t>G-REQ-05758-E2</t>
  </si>
  <si>
    <t>G-REQ-05758-E3</t>
  </si>
  <si>
    <t>G-REQ-05758-E4</t>
  </si>
  <si>
    <t>G-REQ-05759-E1</t>
  </si>
  <si>
    <t>G-REQ-05759-E2</t>
  </si>
  <si>
    <t>G-REQ-05759-E3</t>
  </si>
  <si>
    <t>G-REQ-05759-E4</t>
  </si>
  <si>
    <t>G-REQ-05760-E1</t>
  </si>
  <si>
    <t>G-REQ-05760-E2</t>
  </si>
  <si>
    <t>G-REQ-05760-E3</t>
  </si>
  <si>
    <t>G-REQ-05760-E4</t>
  </si>
  <si>
    <t>G-REQ-05761-E1</t>
  </si>
  <si>
    <t>G-REQ-05761-E2</t>
  </si>
  <si>
    <t>SYNTHETIC: Laptop repair; Rejected; asset G-AST-00100</t>
  </si>
  <si>
    <t>G-REQ-05762-E1</t>
  </si>
  <si>
    <t>G-REQ-05762-E2</t>
  </si>
  <si>
    <t>G-REQ-05762-E3</t>
  </si>
  <si>
    <t>G-REQ-05762-E4</t>
  </si>
  <si>
    <t>G-REQ-05763-E1</t>
  </si>
  <si>
    <t>G-REQ-05763-E2</t>
  </si>
  <si>
    <t>G-REQ-05763-E3</t>
  </si>
  <si>
    <t>G-REQ-05763-E4</t>
  </si>
  <si>
    <t>G-REQ-05764-E1</t>
  </si>
  <si>
    <t>G-REQ-05764-E2</t>
  </si>
  <si>
    <t>G-REQ-05764-E3</t>
  </si>
  <si>
    <t>G-REQ-05764-E4</t>
  </si>
  <si>
    <t>G-REQ-05765-E1</t>
  </si>
  <si>
    <t>G-REQ-05765-E2</t>
  </si>
  <si>
    <t>G-REQ-05766-E1</t>
  </si>
  <si>
    <t>G-REQ-05766-E2</t>
  </si>
  <si>
    <t>G-REQ-05766-E3</t>
  </si>
  <si>
    <t>G-REQ-05766-E4</t>
  </si>
  <si>
    <t>G-REQ-05767-E1</t>
  </si>
  <si>
    <t>G-REQ-05767-E2</t>
  </si>
  <si>
    <t>G-REQ-05767-E3</t>
  </si>
  <si>
    <t>G-REQ-05767-E4</t>
  </si>
  <si>
    <t>G-REQ-05768-E1</t>
  </si>
  <si>
    <t>G-REQ-05768-E2</t>
  </si>
  <si>
    <t>G-REQ-05768-E3</t>
  </si>
  <si>
    <t>G-REQ-05768-E4</t>
  </si>
  <si>
    <t>G-REQ-05769-E1</t>
  </si>
  <si>
    <t>G-REQ-05769-E2</t>
  </si>
  <si>
    <t>G-REQ-05769-E3</t>
  </si>
  <si>
    <t>G-REQ-05769-E4</t>
  </si>
  <si>
    <t>G-REQ-05770-E1</t>
  </si>
  <si>
    <t>G-REQ-05770-E2</t>
  </si>
  <si>
    <t>G-REQ-05770-E3</t>
  </si>
  <si>
    <t>G-REQ-05770-E4</t>
  </si>
  <si>
    <t>G-REQ-05771-E1</t>
  </si>
  <si>
    <t>G-REQ-05771-E2</t>
  </si>
  <si>
    <t>G-REQ-05771-E3</t>
  </si>
  <si>
    <t>G-REQ-05771-E4</t>
  </si>
  <si>
    <t>G-REQ-05772-E1</t>
  </si>
  <si>
    <t>G-REQ-05772-E2</t>
  </si>
  <si>
    <t>G-REQ-05772-E3</t>
  </si>
  <si>
    <t>G-REQ-05772-E4</t>
  </si>
  <si>
    <t>G-REQ-05773-E1</t>
  </si>
  <si>
    <t>G-REQ-05773-E2</t>
  </si>
  <si>
    <t>G-REQ-05773-E3</t>
  </si>
  <si>
    <t>G-REQ-05773-E4</t>
  </si>
  <si>
    <t>G-REQ-05774-E1</t>
  </si>
  <si>
    <t>G-REQ-05774-E2</t>
  </si>
  <si>
    <t>G-REQ-05774-E3</t>
  </si>
  <si>
    <t>G-REQ-05774-E4</t>
  </si>
  <si>
    <t>G-REQ-05775-E1</t>
  </si>
  <si>
    <t>G-REQ-05775-E2</t>
  </si>
  <si>
    <t>G-REQ-05775-E3</t>
  </si>
  <si>
    <t>G-REQ-05775-E4</t>
  </si>
  <si>
    <t>G-REQ-05776-E1</t>
  </si>
  <si>
    <t>G-REQ-05776-E2</t>
  </si>
  <si>
    <t>G-REQ-05776-E3</t>
  </si>
  <si>
    <t>G-REQ-05776-E4</t>
  </si>
  <si>
    <t>G-REQ-05777-E1</t>
  </si>
  <si>
    <t>G-REQ-05777-E2</t>
  </si>
  <si>
    <t>G-REQ-05777-E3</t>
  </si>
  <si>
    <t>G-REQ-05777-E4</t>
  </si>
  <si>
    <t>G-REQ-05778-E1</t>
  </si>
  <si>
    <t>G-REQ-05778-E2</t>
  </si>
  <si>
    <t>G-REQ-05778-E3</t>
  </si>
  <si>
    <t>G-REQ-05778-E4</t>
  </si>
  <si>
    <t>G-REQ-05779-E1</t>
  </si>
  <si>
    <t>G-REQ-05779-E2</t>
  </si>
  <si>
    <t>G-REQ-05779-E3</t>
  </si>
  <si>
    <t>G-REQ-05779-E4</t>
  </si>
  <si>
    <t>G-REQ-05780-E1</t>
  </si>
  <si>
    <t>G-REQ-05780-E2</t>
  </si>
  <si>
    <t>G-REQ-05780-E3</t>
  </si>
  <si>
    <t>G-REQ-05780-E4</t>
  </si>
  <si>
    <t>G-REQ-05781-E1</t>
  </si>
  <si>
    <t>G-REQ-05781-E2</t>
  </si>
  <si>
    <t>G-REQ-05781-E3</t>
  </si>
  <si>
    <t>G-REQ-05781-E4</t>
  </si>
  <si>
    <t>G-REQ-05782-E1</t>
  </si>
  <si>
    <t>G-REQ-05782-E2</t>
  </si>
  <si>
    <t>G-REQ-05782-E3</t>
  </si>
  <si>
    <t>G-REQ-05782-E4</t>
  </si>
  <si>
    <t>G-REQ-05783-E1</t>
  </si>
  <si>
    <t>G-REQ-05783-E2</t>
  </si>
  <si>
    <t>SYNTHETIC: Laptop return; Rejected; asset G-AST-00495</t>
  </si>
  <si>
    <t>G-REQ-05784-E1</t>
  </si>
  <si>
    <t>G-REQ-05784-E2</t>
  </si>
  <si>
    <t>G-REQ-05785-E1</t>
  </si>
  <si>
    <t>G-REQ-05785-E2</t>
  </si>
  <si>
    <t>G-REQ-05786-E1</t>
  </si>
  <si>
    <t>G-REQ-05786-E2</t>
  </si>
  <si>
    <t>G-REQ-05786-E3</t>
  </si>
  <si>
    <t>G-REQ-05786-E4</t>
  </si>
  <si>
    <t>G-REQ-05787-E1</t>
  </si>
  <si>
    <t>G-REQ-05787-E2</t>
  </si>
  <si>
    <t>G-REQ-05787-E3</t>
  </si>
  <si>
    <t>G-REQ-05787-E4</t>
  </si>
  <si>
    <t>G-REQ-05788-E1</t>
  </si>
  <si>
    <t>G-REQ-05788-E2</t>
  </si>
  <si>
    <t>G-REQ-05789-E1</t>
  </si>
  <si>
    <t>G-REQ-05789-E2</t>
  </si>
  <si>
    <t>G-REQ-05789-E3</t>
  </si>
  <si>
    <t>G-REQ-05789-E4</t>
  </si>
  <si>
    <t>G-REQ-05790-E1</t>
  </si>
  <si>
    <t>G-REQ-05790-E2</t>
  </si>
  <si>
    <t>G-REQ-05790-E3</t>
  </si>
  <si>
    <t>G-REQ-05790-E4</t>
  </si>
  <si>
    <t>G-REQ-05791-E1</t>
  </si>
  <si>
    <t>G-REQ-05791-E2</t>
  </si>
  <si>
    <t>G-REQ-05791-E3</t>
  </si>
  <si>
    <t>G-REQ-05791-E4</t>
  </si>
  <si>
    <t>G-REQ-05792-E1</t>
  </si>
  <si>
    <t>G-REQ-05792-E2</t>
  </si>
  <si>
    <t>G-REQ-05792-E3</t>
  </si>
  <si>
    <t>G-REQ-05792-E4</t>
  </si>
  <si>
    <t>G-REQ-05793-E1</t>
  </si>
  <si>
    <t>G-REQ-05793-E2</t>
  </si>
  <si>
    <t>G-REQ-05793-E3</t>
  </si>
  <si>
    <t>G-REQ-05793-E4</t>
  </si>
  <si>
    <t>G-REQ-05794-E1</t>
  </si>
  <si>
    <t>G-REQ-05794-E2</t>
  </si>
  <si>
    <t>G-REQ-05794-E3</t>
  </si>
  <si>
    <t>G-REQ-05794-E4</t>
  </si>
  <si>
    <t>G-REQ-05795-E1</t>
  </si>
  <si>
    <t>G-REQ-05795-E2</t>
  </si>
  <si>
    <t>G-REQ-05795-E3</t>
  </si>
  <si>
    <t>G-REQ-05795-E4</t>
  </si>
  <si>
    <t>G-REQ-05796-E1</t>
  </si>
  <si>
    <t>G-REQ-05796-E2</t>
  </si>
  <si>
    <t>G-REQ-05796-E3</t>
  </si>
  <si>
    <t>G-REQ-05796-E4</t>
  </si>
  <si>
    <t>G-REQ-05797-E1</t>
  </si>
  <si>
    <t>G-REQ-05797-E2</t>
  </si>
  <si>
    <t>G-REQ-05797-E3</t>
  </si>
  <si>
    <t>G-REQ-05797-E4</t>
  </si>
  <si>
    <t>G-REQ-05798-E1</t>
  </si>
  <si>
    <t>G-REQ-05798-E2</t>
  </si>
  <si>
    <t>G-REQ-05798-E3</t>
  </si>
  <si>
    <t>G-REQ-05798-E4</t>
  </si>
  <si>
    <t>G-REQ-05799-E1</t>
  </si>
  <si>
    <t>G-REQ-05799-E2</t>
  </si>
  <si>
    <t>G-REQ-05799-E3</t>
  </si>
  <si>
    <t>G-REQ-05799-E4</t>
  </si>
  <si>
    <t>G-REQ-05800-E1</t>
  </si>
  <si>
    <t>G-REQ-05800-E2</t>
  </si>
  <si>
    <t>G-REQ-05800-E3</t>
  </si>
  <si>
    <t>G-REQ-05800-E4</t>
  </si>
  <si>
    <t>G-REQ-05801-E1</t>
  </si>
  <si>
    <t>G-REQ-05801-E2</t>
  </si>
  <si>
    <t>G-REQ-05801-E3</t>
  </si>
  <si>
    <t>G-REQ-05801-E4</t>
  </si>
  <si>
    <t>G-REQ-05802-E1</t>
  </si>
  <si>
    <t>G-REQ-05802-E2</t>
  </si>
  <si>
    <t>G-REQ-05802-E3</t>
  </si>
  <si>
    <t>G-REQ-05802-E4</t>
  </si>
  <si>
    <t>G-REQ-05803-E1</t>
  </si>
  <si>
    <t>G-REQ-05803-E2</t>
  </si>
  <si>
    <t>G-REQ-05803-E3</t>
  </si>
  <si>
    <t>G-REQ-05803-E4</t>
  </si>
  <si>
    <t>G-REQ-05804-E1</t>
  </si>
  <si>
    <t>G-REQ-05804-E2</t>
  </si>
  <si>
    <t>G-REQ-05804-E3</t>
  </si>
  <si>
    <t>G-REQ-05804-E4</t>
  </si>
  <si>
    <t>G-REQ-05805-E1</t>
  </si>
  <si>
    <t>G-REQ-05805-E2</t>
  </si>
  <si>
    <t>G-REQ-05805-E3</t>
  </si>
  <si>
    <t>G-REQ-05805-E4</t>
  </si>
  <si>
    <t>G-REQ-05806-E1</t>
  </si>
  <si>
    <t>G-REQ-05806-E2</t>
  </si>
  <si>
    <t>G-REQ-05806-E3</t>
  </si>
  <si>
    <t>G-REQ-05806-E4</t>
  </si>
  <si>
    <t>G-REQ-05807-E1</t>
  </si>
  <si>
    <t>G-REQ-05807-E2</t>
  </si>
  <si>
    <t>G-REQ-05807-E3</t>
  </si>
  <si>
    <t>G-REQ-05807-E4</t>
  </si>
  <si>
    <t>G-REQ-05808-E1</t>
  </si>
  <si>
    <t>G-REQ-05808-E2</t>
  </si>
  <si>
    <t>G-REQ-05808-E3</t>
  </si>
  <si>
    <t>G-REQ-05808-E4</t>
  </si>
  <si>
    <t>G-REQ-05809-E1</t>
  </si>
  <si>
    <t>G-REQ-05809-E2</t>
  </si>
  <si>
    <t>G-REQ-05809-E3</t>
  </si>
  <si>
    <t>G-REQ-05809-E4</t>
  </si>
  <si>
    <t>G-REQ-05810-E1</t>
  </si>
  <si>
    <t>G-REQ-05810-E2</t>
  </si>
  <si>
    <t>G-REQ-05811-E1</t>
  </si>
  <si>
    <t>G-REQ-05811-E2</t>
  </si>
  <si>
    <t>G-REQ-05811-E3</t>
  </si>
  <si>
    <t>G-REQ-05811-E4</t>
  </si>
  <si>
    <t>G-REQ-05812-E1</t>
  </si>
  <si>
    <t>G-REQ-05812-E2</t>
  </si>
  <si>
    <t>G-REQ-05812-E3</t>
  </si>
  <si>
    <t>G-REQ-05812-E4</t>
  </si>
  <si>
    <t>G-REQ-05813-E1</t>
  </si>
  <si>
    <t>G-REQ-05813-E2</t>
  </si>
  <si>
    <t>G-REQ-05813-E3</t>
  </si>
  <si>
    <t>G-REQ-05813-E4</t>
  </si>
  <si>
    <t>G-REQ-05814-E1</t>
  </si>
  <si>
    <t>G-REQ-05814-E2</t>
  </si>
  <si>
    <t>G-REQ-05814-E3</t>
  </si>
  <si>
    <t>G-REQ-05814-E4</t>
  </si>
  <si>
    <t>G-REQ-05815-E1</t>
  </si>
  <si>
    <t>G-REQ-05815-E2</t>
  </si>
  <si>
    <t>G-REQ-05815-E3</t>
  </si>
  <si>
    <t>G-REQ-05815-E4</t>
  </si>
  <si>
    <t>G-REQ-05816-E1</t>
  </si>
  <si>
    <t>G-REQ-05816-E2</t>
  </si>
  <si>
    <t>G-REQ-05816-E3</t>
  </si>
  <si>
    <t>G-REQ-05816-E4</t>
  </si>
  <si>
    <t>G-REQ-05817-E1</t>
  </si>
  <si>
    <t>G-REQ-05817-E2</t>
  </si>
  <si>
    <t>G-REQ-05817-E3</t>
  </si>
  <si>
    <t>G-REQ-05817-E4</t>
  </si>
  <si>
    <t>G-REQ-05818-E1</t>
  </si>
  <si>
    <t>G-REQ-05818-E2</t>
  </si>
  <si>
    <t>G-REQ-05818-E3</t>
  </si>
  <si>
    <t>G-REQ-05818-E4</t>
  </si>
  <si>
    <t>G-REQ-05819-E1</t>
  </si>
  <si>
    <t>G-REQ-05819-E2</t>
  </si>
  <si>
    <t>G-REQ-05819-E3</t>
  </si>
  <si>
    <t>G-REQ-05819-E4</t>
  </si>
  <si>
    <t>G-REQ-05820-E1</t>
  </si>
  <si>
    <t>G-REQ-05820-E2</t>
  </si>
  <si>
    <t>G-REQ-05820-E3</t>
  </si>
  <si>
    <t>G-REQ-05820-E4</t>
  </si>
  <si>
    <t>G-REQ-05821-E1</t>
  </si>
  <si>
    <t>G-REQ-05821-E2</t>
  </si>
  <si>
    <t>G-REQ-05821-E3</t>
  </si>
  <si>
    <t>G-REQ-05821-E4</t>
  </si>
  <si>
    <t>G-REQ-05822-E1</t>
  </si>
  <si>
    <t>G-REQ-05822-E2</t>
  </si>
  <si>
    <t>G-REQ-05822-E3</t>
  </si>
  <si>
    <t>G-REQ-05822-E4</t>
  </si>
  <si>
    <t>G-REQ-05823-E1</t>
  </si>
  <si>
    <t>G-REQ-05823-E2</t>
  </si>
  <si>
    <t>G-REQ-05823-E3</t>
  </si>
  <si>
    <t>G-REQ-05823-E4</t>
  </si>
  <si>
    <t>G-REQ-05824-E1</t>
  </si>
  <si>
    <t>G-REQ-05824-E2</t>
  </si>
  <si>
    <t>G-REQ-05824-E3</t>
  </si>
  <si>
    <t>G-REQ-05824-E4</t>
  </si>
  <si>
    <t>G-REQ-05825-E1</t>
  </si>
  <si>
    <t>G-REQ-05825-E2</t>
  </si>
  <si>
    <t>G-REQ-05825-E3</t>
  </si>
  <si>
    <t>G-REQ-05825-E4</t>
  </si>
  <si>
    <t>G-REQ-05826-E1</t>
  </si>
  <si>
    <t>G-REQ-05826-E2</t>
  </si>
  <si>
    <t>G-REQ-05826-E3</t>
  </si>
  <si>
    <t>G-REQ-05826-E4</t>
  </si>
  <si>
    <t>G-REQ-05827-E1</t>
  </si>
  <si>
    <t>G-REQ-05827-E2</t>
  </si>
  <si>
    <t>G-REQ-05827-E3</t>
  </si>
  <si>
    <t>G-REQ-05827-E4</t>
  </si>
  <si>
    <t>G-REQ-05828-E1</t>
  </si>
  <si>
    <t>G-REQ-05828-E2</t>
  </si>
  <si>
    <t>G-REQ-05828-E3</t>
  </si>
  <si>
    <t>G-REQ-05828-E4</t>
  </si>
  <si>
    <t>G-REQ-05829-E1</t>
  </si>
  <si>
    <t>G-REQ-05829-E2</t>
  </si>
  <si>
    <t>G-REQ-05829-E3</t>
  </si>
  <si>
    <t>G-REQ-05829-E4</t>
  </si>
  <si>
    <t>G-REQ-05830-E1</t>
  </si>
  <si>
    <t>G-REQ-05830-E2</t>
  </si>
  <si>
    <t>G-REQ-05830-E3</t>
  </si>
  <si>
    <t>G-REQ-05830-E4</t>
  </si>
  <si>
    <t>G-REQ-05831-E1</t>
  </si>
  <si>
    <t>G-REQ-05831-E2</t>
  </si>
  <si>
    <t>G-REQ-05831-E3</t>
  </si>
  <si>
    <t>G-REQ-05831-E4</t>
  </si>
  <si>
    <t>G-REQ-05832-E1</t>
  </si>
  <si>
    <t>G-REQ-05832-E2</t>
  </si>
  <si>
    <t>G-REQ-05832-E3</t>
  </si>
  <si>
    <t>G-REQ-05832-E4</t>
  </si>
  <si>
    <t>G-REQ-05833-E1</t>
  </si>
  <si>
    <t>G-REQ-05833-E2</t>
  </si>
  <si>
    <t>G-REQ-05833-E3</t>
  </si>
  <si>
    <t>G-REQ-05833-E4</t>
  </si>
  <si>
    <t>G-REQ-05834-E1</t>
  </si>
  <si>
    <t>G-REQ-05834-E2</t>
  </si>
  <si>
    <t>G-REQ-05834-E3</t>
  </si>
  <si>
    <t>G-REQ-05834-E4</t>
  </si>
  <si>
    <t>G-REQ-05835-E1</t>
  </si>
  <si>
    <t>G-REQ-05835-E2</t>
  </si>
  <si>
    <t>G-REQ-05835-E3</t>
  </si>
  <si>
    <t>G-REQ-05835-E4</t>
  </si>
  <si>
    <t>G-REQ-05836-E1</t>
  </si>
  <si>
    <t>G-REQ-05836-E2</t>
  </si>
  <si>
    <t>G-REQ-05836-E3</t>
  </si>
  <si>
    <t>G-REQ-05836-E4</t>
  </si>
  <si>
    <t>G-REQ-05837-E1</t>
  </si>
  <si>
    <t>G-REQ-05837-E2</t>
  </si>
  <si>
    <t>G-REQ-05837-E3</t>
  </si>
  <si>
    <t>G-REQ-05837-E4</t>
  </si>
  <si>
    <t>G-REQ-05838-E1</t>
  </si>
  <si>
    <t>G-REQ-05838-E2</t>
  </si>
  <si>
    <t>G-REQ-05838-E3</t>
  </si>
  <si>
    <t>G-REQ-05838-E4</t>
  </si>
  <si>
    <t>G-REQ-05839-E1</t>
  </si>
  <si>
    <t>G-REQ-05839-E2</t>
  </si>
  <si>
    <t>G-REQ-05839-E3</t>
  </si>
  <si>
    <t>G-REQ-05839-E4</t>
  </si>
  <si>
    <t>G-REQ-05840-E1</t>
  </si>
  <si>
    <t>G-REQ-05840-E2</t>
  </si>
  <si>
    <t>G-REQ-05840-E3</t>
  </si>
  <si>
    <t>G-REQ-05840-E4</t>
  </si>
  <si>
    <t>G-REQ-05841-E1</t>
  </si>
  <si>
    <t>G-REQ-05841-E2</t>
  </si>
  <si>
    <t>SYNTHETIC: Laptop repair; Cancelled; asset G-AST-00079</t>
  </si>
  <si>
    <t>G-REQ-05842-E1</t>
  </si>
  <si>
    <t>G-REQ-05842-E2</t>
  </si>
  <si>
    <t>G-REQ-05842-E3</t>
  </si>
  <si>
    <t>G-REQ-05842-E4</t>
  </si>
  <si>
    <t>G-REQ-05843-E1</t>
  </si>
  <si>
    <t>G-REQ-05843-E2</t>
  </si>
  <si>
    <t>G-REQ-05843-E3</t>
  </si>
  <si>
    <t>G-REQ-05843-E4</t>
  </si>
  <si>
    <t>G-REQ-05844-E1</t>
  </si>
  <si>
    <t>G-REQ-05844-E2</t>
  </si>
  <si>
    <t>G-REQ-05844-E3</t>
  </si>
  <si>
    <t>G-REQ-05844-E4</t>
  </si>
  <si>
    <t>G-REQ-05845-E1</t>
  </si>
  <si>
    <t>G-REQ-05845-E2</t>
  </si>
  <si>
    <t>G-REQ-05845-E3</t>
  </si>
  <si>
    <t>G-REQ-05845-E4</t>
  </si>
  <si>
    <t>G-REQ-05846-E1</t>
  </si>
  <si>
    <t>G-REQ-05846-E2</t>
  </si>
  <si>
    <t>G-REQ-05846-E3</t>
  </si>
  <si>
    <t>G-REQ-05846-E4</t>
  </si>
  <si>
    <t>G-REQ-05847-E1</t>
  </si>
  <si>
    <t>G-REQ-05847-E2</t>
  </si>
  <si>
    <t>G-REQ-05847-E3</t>
  </si>
  <si>
    <t>G-REQ-05847-E4</t>
  </si>
  <si>
    <t>G-REQ-05848-E1</t>
  </si>
  <si>
    <t>G-REQ-05848-E2</t>
  </si>
  <si>
    <t>G-REQ-05848-E3</t>
  </si>
  <si>
    <t>G-REQ-05848-E4</t>
  </si>
  <si>
    <t>G-REQ-05849-E1</t>
  </si>
  <si>
    <t>G-REQ-05849-E2</t>
  </si>
  <si>
    <t>G-REQ-05849-E3</t>
  </si>
  <si>
    <t>G-REQ-05849-E4</t>
  </si>
  <si>
    <t>G-REQ-05850-E1</t>
  </si>
  <si>
    <t>G-REQ-05850-E2</t>
  </si>
  <si>
    <t>G-REQ-05850-E3</t>
  </si>
  <si>
    <t>G-REQ-05850-E4</t>
  </si>
  <si>
    <t>G-REQ-05851-E1</t>
  </si>
  <si>
    <t>G-REQ-05851-E2</t>
  </si>
  <si>
    <t>G-REQ-05851-E3</t>
  </si>
  <si>
    <t>G-REQ-05851-E4</t>
  </si>
  <si>
    <t>G-REQ-05852-E1</t>
  </si>
  <si>
    <t>G-REQ-05852-E2</t>
  </si>
  <si>
    <t>G-REQ-05852-E3</t>
  </si>
  <si>
    <t>G-REQ-05852-E4</t>
  </si>
  <si>
    <t>G-REQ-05853-E1</t>
  </si>
  <si>
    <t>G-REQ-05853-E2</t>
  </si>
  <si>
    <t>G-REQ-05853-E3</t>
  </si>
  <si>
    <t>G-REQ-05853-E4</t>
  </si>
  <si>
    <t>G-REQ-05854-E1</t>
  </si>
  <si>
    <t>G-REQ-05854-E2</t>
  </si>
  <si>
    <t>G-REQ-05854-E3</t>
  </si>
  <si>
    <t>G-REQ-05854-E4</t>
  </si>
  <si>
    <t>G-REQ-05855-E1</t>
  </si>
  <si>
    <t>G-REQ-05855-E2</t>
  </si>
  <si>
    <t>G-REQ-05855-E3</t>
  </si>
  <si>
    <t>G-REQ-05855-E4</t>
  </si>
  <si>
    <t>G-REQ-05856-E1</t>
  </si>
  <si>
    <t>G-REQ-05856-E2</t>
  </si>
  <si>
    <t>G-REQ-05856-E3</t>
  </si>
  <si>
    <t>G-REQ-05856-E4</t>
  </si>
  <si>
    <t>G-REQ-05857-E1</t>
  </si>
  <si>
    <t>G-REQ-05857-E2</t>
  </si>
  <si>
    <t>G-REQ-05857-E3</t>
  </si>
  <si>
    <t>G-REQ-05857-E4</t>
  </si>
  <si>
    <t>G-REQ-05858-E1</t>
  </si>
  <si>
    <t>G-REQ-05858-E2</t>
  </si>
  <si>
    <t>G-REQ-05858-E3</t>
  </si>
  <si>
    <t>G-REQ-05858-E4</t>
  </si>
  <si>
    <t>G-REQ-05859-E1</t>
  </si>
  <si>
    <t>G-REQ-05859-E2</t>
  </si>
  <si>
    <t>G-REQ-05859-E3</t>
  </si>
  <si>
    <t>G-REQ-05859-E4</t>
  </si>
  <si>
    <t>G-REQ-05860-E1</t>
  </si>
  <si>
    <t>G-REQ-05860-E2</t>
  </si>
  <si>
    <t>G-REQ-05860-E3</t>
  </si>
  <si>
    <t>G-REQ-05860-E4</t>
  </si>
  <si>
    <t>G-REQ-05861-E1</t>
  </si>
  <si>
    <t>G-REQ-05861-E2</t>
  </si>
  <si>
    <t>G-REQ-05861-E3</t>
  </si>
  <si>
    <t>G-REQ-05861-E4</t>
  </si>
  <si>
    <t>G-REQ-05862-E1</t>
  </si>
  <si>
    <t>G-REQ-05862-E2</t>
  </si>
  <si>
    <t>G-REQ-05862-E3</t>
  </si>
  <si>
    <t>G-REQ-05862-E4</t>
  </si>
  <si>
    <t>G-REQ-05863-E1</t>
  </si>
  <si>
    <t>G-REQ-05863-E2</t>
  </si>
  <si>
    <t>G-REQ-05863-E3</t>
  </si>
  <si>
    <t>G-REQ-05863-E4</t>
  </si>
  <si>
    <t>G-REQ-05864-E1</t>
  </si>
  <si>
    <t>G-REQ-05864-E2</t>
  </si>
  <si>
    <t>G-REQ-05864-E3</t>
  </si>
  <si>
    <t>G-REQ-05864-E4</t>
  </si>
  <si>
    <t>G-REQ-05865-E1</t>
  </si>
  <si>
    <t>G-REQ-05865-E2</t>
  </si>
  <si>
    <t>G-REQ-05865-E3</t>
  </si>
  <si>
    <t>G-REQ-05865-E4</t>
  </si>
  <si>
    <t>G-REQ-05866-E1</t>
  </si>
  <si>
    <t>G-REQ-05866-E2</t>
  </si>
  <si>
    <t>G-REQ-05866-E3</t>
  </si>
  <si>
    <t>G-REQ-05866-E4</t>
  </si>
  <si>
    <t>G-REQ-05867-E1</t>
  </si>
  <si>
    <t>G-REQ-05867-E2</t>
  </si>
  <si>
    <t>G-REQ-05867-E3</t>
  </si>
  <si>
    <t>G-REQ-05867-E4</t>
  </si>
  <si>
    <t>G-REQ-05868-E1</t>
  </si>
  <si>
    <t>G-REQ-05868-E2</t>
  </si>
  <si>
    <t>G-REQ-05868-E3</t>
  </si>
  <si>
    <t>G-REQ-05868-E4</t>
  </si>
  <si>
    <t>G-REQ-05869-E1</t>
  </si>
  <si>
    <t>G-REQ-05869-E2</t>
  </si>
  <si>
    <t>G-REQ-05869-E3</t>
  </si>
  <si>
    <t>G-REQ-05869-E4</t>
  </si>
  <si>
    <t>G-REQ-05870-E1</t>
  </si>
  <si>
    <t>G-REQ-05870-E2</t>
  </si>
  <si>
    <t>G-REQ-05870-E3</t>
  </si>
  <si>
    <t>G-REQ-05870-E4</t>
  </si>
  <si>
    <t>G-REQ-05871-E1</t>
  </si>
  <si>
    <t>G-REQ-05871-E2</t>
  </si>
  <si>
    <t>G-REQ-05871-E3</t>
  </si>
  <si>
    <t>G-REQ-05871-E4</t>
  </si>
  <si>
    <t>G-REQ-05872-E1</t>
  </si>
  <si>
    <t>G-REQ-05872-E2</t>
  </si>
  <si>
    <t>G-REQ-05872-E3</t>
  </si>
  <si>
    <t>G-REQ-05872-E4</t>
  </si>
  <si>
    <t>G-REQ-05873-E1</t>
  </si>
  <si>
    <t>G-REQ-05873-E2</t>
  </si>
  <si>
    <t>G-REQ-05873-E3</t>
  </si>
  <si>
    <t>G-REQ-05873-E4</t>
  </si>
  <si>
    <t>G-REQ-05874-E1</t>
  </si>
  <si>
    <t>G-REQ-05874-E2</t>
  </si>
  <si>
    <t>G-REQ-05874-E3</t>
  </si>
  <si>
    <t>G-REQ-05874-E4</t>
  </si>
  <si>
    <t>G-REQ-05875-E1</t>
  </si>
  <si>
    <t>G-REQ-05875-E2</t>
  </si>
  <si>
    <t>SYNTHETIC: Laptop repair; Rejected; asset G-AST-00458</t>
  </si>
  <si>
    <t>G-REQ-05876-E1</t>
  </si>
  <si>
    <t>G-REQ-05876-E2</t>
  </si>
  <si>
    <t>G-REQ-05876-E3</t>
  </si>
  <si>
    <t>G-REQ-05876-E4</t>
  </si>
  <si>
    <t>G-REQ-05877-E1</t>
  </si>
  <si>
    <t>G-REQ-05877-E2</t>
  </si>
  <si>
    <t>SYNTHETIC: Laptop repair; Rejected; asset G-AST-00070</t>
  </si>
  <si>
    <t>G-REQ-05878-E1</t>
  </si>
  <si>
    <t>G-REQ-05878-E2</t>
  </si>
  <si>
    <t>G-REQ-05879-E1</t>
  </si>
  <si>
    <t>G-REQ-05879-E2</t>
  </si>
  <si>
    <t>G-REQ-05879-E3</t>
  </si>
  <si>
    <t>G-REQ-05879-E4</t>
  </si>
  <si>
    <t>G-REQ-05880-E1</t>
  </si>
  <si>
    <t>G-REQ-05880-E2</t>
  </si>
  <si>
    <t>G-REQ-05880-E3</t>
  </si>
  <si>
    <t>G-REQ-05880-E4</t>
  </si>
  <si>
    <t>G-REQ-05881-E1</t>
  </si>
  <si>
    <t>G-REQ-05881-E2</t>
  </si>
  <si>
    <t>G-REQ-05881-E3</t>
  </si>
  <si>
    <t>G-REQ-05881-E4</t>
  </si>
  <si>
    <t>G-REQ-05882-E1</t>
  </si>
  <si>
    <t>G-REQ-05882-E2</t>
  </si>
  <si>
    <t>G-REQ-05882-E3</t>
  </si>
  <si>
    <t>G-REQ-05882-E4</t>
  </si>
  <si>
    <t>G-REQ-05883-E1</t>
  </si>
  <si>
    <t>G-REQ-05883-E2</t>
  </si>
  <si>
    <t>G-REQ-05883-E3</t>
  </si>
  <si>
    <t>G-REQ-05883-E4</t>
  </si>
  <si>
    <t>G-REQ-05884-E1</t>
  </si>
  <si>
    <t>G-REQ-05884-E2</t>
  </si>
  <si>
    <t>G-REQ-05884-E3</t>
  </si>
  <si>
    <t>G-REQ-05884-E4</t>
  </si>
  <si>
    <t>G-REQ-05885-E1</t>
  </si>
  <si>
    <t>G-REQ-05885-E2</t>
  </si>
  <si>
    <t>G-REQ-05885-E3</t>
  </si>
  <si>
    <t>G-REQ-05885-E4</t>
  </si>
  <si>
    <t>G-REQ-05886-E1</t>
  </si>
  <si>
    <t>G-REQ-05886-E2</t>
  </si>
  <si>
    <t>G-REQ-05886-E3</t>
  </si>
  <si>
    <t>G-REQ-05886-E4</t>
  </si>
  <si>
    <t>G-REQ-05887-E1</t>
  </si>
  <si>
    <t>G-REQ-05887-E2</t>
  </si>
  <si>
    <t>G-REQ-05887-E3</t>
  </si>
  <si>
    <t>G-REQ-05887-E4</t>
  </si>
  <si>
    <t>G-REQ-05888-E1</t>
  </si>
  <si>
    <t>G-REQ-05888-E2</t>
  </si>
  <si>
    <t>G-REQ-05888-E3</t>
  </si>
  <si>
    <t>G-REQ-05888-E4</t>
  </si>
  <si>
    <t>G-REQ-05889-E1</t>
  </si>
  <si>
    <t>G-REQ-05889-E2</t>
  </si>
  <si>
    <t>G-REQ-05889-E3</t>
  </si>
  <si>
    <t>G-REQ-05889-E4</t>
  </si>
  <si>
    <t>G-REQ-05890-E1</t>
  </si>
  <si>
    <t>G-REQ-05890-E2</t>
  </si>
  <si>
    <t>G-REQ-05890-E3</t>
  </si>
  <si>
    <t>G-REQ-05890-E4</t>
  </si>
  <si>
    <t>G-REQ-05891-E1</t>
  </si>
  <si>
    <t>G-REQ-05891-E2</t>
  </si>
  <si>
    <t>G-REQ-05891-E3</t>
  </si>
  <si>
    <t>G-REQ-05891-E4</t>
  </si>
  <si>
    <t>G-REQ-05892-E1</t>
  </si>
  <si>
    <t>G-REQ-05892-E2</t>
  </si>
  <si>
    <t>G-REQ-05893-E1</t>
  </si>
  <si>
    <t>G-REQ-05893-E2</t>
  </si>
  <si>
    <t>G-REQ-05894-E1</t>
  </si>
  <si>
    <t>G-REQ-05894-E2</t>
  </si>
  <si>
    <t>SYNTHETIC: Laptop repair; Rejected; asset G-AST-00534</t>
  </si>
  <si>
    <t>G-REQ-05895-E1</t>
  </si>
  <si>
    <t>G-REQ-05895-E2</t>
  </si>
  <si>
    <t>SYNTHETIC: Laptop return; Rejected; asset G-AST-00438</t>
  </si>
  <si>
    <t>G-REQ-05896-E1</t>
  </si>
  <si>
    <t>G-REQ-05896-E2</t>
  </si>
  <si>
    <t>G-REQ-05896-E3</t>
  </si>
  <si>
    <t>G-REQ-05896-E4</t>
  </si>
  <si>
    <t>G-REQ-05897-E1</t>
  </si>
  <si>
    <t>G-REQ-05897-E2</t>
  </si>
  <si>
    <t>G-REQ-05898-E1</t>
  </si>
  <si>
    <t>G-REQ-05898-E2</t>
  </si>
  <si>
    <t>SYNTHETIC: Laptop return; Rejected; asset G-AST-00094</t>
  </si>
  <si>
    <t>G-REQ-05899-E1</t>
  </si>
  <si>
    <t>G-REQ-05899-E2</t>
  </si>
  <si>
    <t>G-REQ-05899-E3</t>
  </si>
  <si>
    <t>G-REQ-05899-E4</t>
  </si>
  <si>
    <t>G-REQ-05900-E1</t>
  </si>
  <si>
    <t>G-REQ-05900-E2</t>
  </si>
  <si>
    <t>G-REQ-05900-E3</t>
  </si>
  <si>
    <t>G-REQ-05900-E4</t>
  </si>
  <si>
    <t>G-REQ-05901-E1</t>
  </si>
  <si>
    <t>G-REQ-05901-E2</t>
  </si>
  <si>
    <t>G-REQ-05901-E3</t>
  </si>
  <si>
    <t>G-REQ-05901-E4</t>
  </si>
  <si>
    <t>G-REQ-05902-E1</t>
  </si>
  <si>
    <t>G-REQ-05902-E2</t>
  </si>
  <si>
    <t>G-REQ-05902-E3</t>
  </si>
  <si>
    <t>G-REQ-05902-E4</t>
  </si>
  <si>
    <t>G-REQ-05903-E1</t>
  </si>
  <si>
    <t>G-REQ-05903-E2</t>
  </si>
  <si>
    <t>G-REQ-05903-E3</t>
  </si>
  <si>
    <t>G-REQ-05903-E4</t>
  </si>
  <si>
    <t>G-REQ-05904-E1</t>
  </si>
  <si>
    <t>G-REQ-05904-E2</t>
  </si>
  <si>
    <t>G-REQ-05904-E3</t>
  </si>
  <si>
    <t>G-REQ-05904-E4</t>
  </si>
  <si>
    <t>G-REQ-05905-E1</t>
  </si>
  <si>
    <t>G-REQ-05905-E2</t>
  </si>
  <si>
    <t>G-REQ-05905-E3</t>
  </si>
  <si>
    <t>G-REQ-05905-E4</t>
  </si>
  <si>
    <t>G-REQ-05906-E1</t>
  </si>
  <si>
    <t>G-REQ-05906-E2</t>
  </si>
  <si>
    <t>G-REQ-05906-E3</t>
  </si>
  <si>
    <t>G-REQ-05906-E4</t>
  </si>
  <si>
    <t>G-REQ-05907-E1</t>
  </si>
  <si>
    <t>G-REQ-05907-E2</t>
  </si>
  <si>
    <t>G-REQ-05907-E3</t>
  </si>
  <si>
    <t>G-REQ-05907-E4</t>
  </si>
  <si>
    <t>G-REQ-05908-E1</t>
  </si>
  <si>
    <t>G-REQ-05908-E2</t>
  </si>
  <si>
    <t>G-REQ-05908-E3</t>
  </si>
  <si>
    <t>G-REQ-05908-E4</t>
  </si>
  <si>
    <t>G-REQ-05909-E1</t>
  </si>
  <si>
    <t>G-REQ-05909-E2</t>
  </si>
  <si>
    <t>G-REQ-05909-E3</t>
  </si>
  <si>
    <t>G-REQ-05909-E4</t>
  </si>
  <si>
    <t>G-REQ-05910-E1</t>
  </si>
  <si>
    <t>G-REQ-05910-E2</t>
  </si>
  <si>
    <t>G-REQ-05910-E3</t>
  </si>
  <si>
    <t>G-REQ-05910-E4</t>
  </si>
  <si>
    <t>G-REQ-05911-E1</t>
  </si>
  <si>
    <t>SYNTHETIC: Laptop repair; Pending approval; asset G-AST-00409</t>
  </si>
  <si>
    <t>G-REQ-05911-E2</t>
  </si>
  <si>
    <t>SYNTHETIC: Laptop repair; Approved; asset G-AST-00409</t>
  </si>
  <si>
    <t>G-REQ-05911-E3</t>
  </si>
  <si>
    <t>SYNTHETIC: Laptop repair; In progress; asset G-AST-00409</t>
  </si>
  <si>
    <t>G-REQ-05911-E4</t>
  </si>
  <si>
    <t>SYNTHETIC: Laptop repair; Completed; asset G-AST-00409</t>
  </si>
  <si>
    <t>G-REQ-05912-E1</t>
  </si>
  <si>
    <t>G-REQ-05912-E2</t>
  </si>
  <si>
    <t>G-REQ-05912-E3</t>
  </si>
  <si>
    <t>G-REQ-05912-E4</t>
  </si>
  <si>
    <t>G-REQ-05913-E1</t>
  </si>
  <si>
    <t>G-REQ-05913-E2</t>
  </si>
  <si>
    <t>G-REQ-05913-E3</t>
  </si>
  <si>
    <t>G-REQ-05913-E4</t>
  </si>
  <si>
    <t>G-REQ-05914-E1</t>
  </si>
  <si>
    <t>G-REQ-05914-E2</t>
  </si>
  <si>
    <t>G-REQ-05914-E3</t>
  </si>
  <si>
    <t>G-REQ-05914-E4</t>
  </si>
  <si>
    <t>G-REQ-05915-E1</t>
  </si>
  <si>
    <t>G-REQ-05915-E2</t>
  </si>
  <si>
    <t>G-REQ-05915-E3</t>
  </si>
  <si>
    <t>G-REQ-05915-E4</t>
  </si>
  <si>
    <t>G-REQ-05916-E1</t>
  </si>
  <si>
    <t>G-REQ-05916-E2</t>
  </si>
  <si>
    <t>G-REQ-05916-E3</t>
  </si>
  <si>
    <t>G-REQ-05916-E4</t>
  </si>
  <si>
    <t>G-REQ-05917-E1</t>
  </si>
  <si>
    <t>G-REQ-05917-E2</t>
  </si>
  <si>
    <t>G-REQ-05917-E3</t>
  </si>
  <si>
    <t>G-REQ-05917-E4</t>
  </si>
  <si>
    <t>G-REQ-05918-E1</t>
  </si>
  <si>
    <t>G-REQ-05918-E2</t>
  </si>
  <si>
    <t>G-REQ-05918-E3</t>
  </si>
  <si>
    <t>G-REQ-05918-E4</t>
  </si>
  <si>
    <t>G-REQ-05919-E1</t>
  </si>
  <si>
    <t>G-REQ-05919-E2</t>
  </si>
  <si>
    <t>G-REQ-05919-E3</t>
  </si>
  <si>
    <t>G-REQ-05919-E4</t>
  </si>
  <si>
    <t>G-REQ-05920-E1</t>
  </si>
  <si>
    <t>G-REQ-05920-E2</t>
  </si>
  <si>
    <t>G-REQ-05920-E3</t>
  </si>
  <si>
    <t>G-REQ-05920-E4</t>
  </si>
  <si>
    <t>G-REQ-05921-E1</t>
  </si>
  <si>
    <t>G-REQ-05921-E2</t>
  </si>
  <si>
    <t>G-REQ-05921-E3</t>
  </si>
  <si>
    <t>G-REQ-05921-E4</t>
  </si>
  <si>
    <t>G-REQ-05922-E1</t>
  </si>
  <si>
    <t>G-REQ-05922-E2</t>
  </si>
  <si>
    <t>G-REQ-05922-E3</t>
  </si>
  <si>
    <t>G-REQ-05922-E4</t>
  </si>
  <si>
    <t>G-REQ-05923-E1</t>
  </si>
  <si>
    <t>G-REQ-05923-E2</t>
  </si>
  <si>
    <t>SYNTHETIC: Laptop repair; Rejected; asset G-AST-00103</t>
  </si>
  <si>
    <t>G-REQ-05924-E1</t>
  </si>
  <si>
    <t>G-REQ-05924-E2</t>
  </si>
  <si>
    <t>G-REQ-05924-E3</t>
  </si>
  <si>
    <t>G-REQ-05924-E4</t>
  </si>
  <si>
    <t>G-REQ-05925-E1</t>
  </si>
  <si>
    <t>G-REQ-05925-E2</t>
  </si>
  <si>
    <t>G-REQ-05925-E3</t>
  </si>
  <si>
    <t>G-REQ-05925-E4</t>
  </si>
  <si>
    <t>G-REQ-05926-E1</t>
  </si>
  <si>
    <t>G-REQ-05926-E2</t>
  </si>
  <si>
    <t>G-REQ-05926-E3</t>
  </si>
  <si>
    <t>G-REQ-05926-E4</t>
  </si>
  <si>
    <t>G-REQ-05927-E1</t>
  </si>
  <si>
    <t>G-REQ-05927-E2</t>
  </si>
  <si>
    <t>G-REQ-05927-E3</t>
  </si>
  <si>
    <t>G-REQ-05927-E4</t>
  </si>
  <si>
    <t>G-REQ-05928-E1</t>
  </si>
  <si>
    <t>G-REQ-05928-E2</t>
  </si>
  <si>
    <t>SYNTHETIC: Laptop repair; Cancelled; asset G-AST-00516</t>
  </si>
  <si>
    <t>G-REQ-05929-E1</t>
  </si>
  <si>
    <t>G-REQ-05929-E2</t>
  </si>
  <si>
    <t>G-REQ-05929-E3</t>
  </si>
  <si>
    <t>G-REQ-05929-E4</t>
  </si>
  <si>
    <t>G-REQ-05930-E1</t>
  </si>
  <si>
    <t>G-REQ-05930-E2</t>
  </si>
  <si>
    <t>G-REQ-05931-E1</t>
  </si>
  <si>
    <t>G-REQ-05931-E2</t>
  </si>
  <si>
    <t>SYNTHETIC: Laptop return; Rejected; asset G-AST-00527</t>
  </si>
  <si>
    <t>G-REQ-05932-E1</t>
  </si>
  <si>
    <t>G-REQ-05932-E2</t>
  </si>
  <si>
    <t>G-REQ-05932-E3</t>
  </si>
  <si>
    <t>G-REQ-05932-E4</t>
  </si>
  <si>
    <t>G-REQ-05933-E1</t>
  </si>
  <si>
    <t>G-REQ-05933-E2</t>
  </si>
  <si>
    <t>G-REQ-05933-E3</t>
  </si>
  <si>
    <t>G-REQ-05933-E4</t>
  </si>
  <si>
    <t>G-REQ-05934-E1</t>
  </si>
  <si>
    <t>G-REQ-05934-E2</t>
  </si>
  <si>
    <t>G-REQ-05934-E3</t>
  </si>
  <si>
    <t>G-REQ-05934-E4</t>
  </si>
  <si>
    <t>G-REQ-05935-E1</t>
  </si>
  <si>
    <t>G-REQ-05935-E2</t>
  </si>
  <si>
    <t>G-REQ-05935-E3</t>
  </si>
  <si>
    <t>G-REQ-05935-E4</t>
  </si>
  <si>
    <t>G-REQ-05936-E1</t>
  </si>
  <si>
    <t>G-REQ-05936-E2</t>
  </si>
  <si>
    <t>G-REQ-05936-E3</t>
  </si>
  <si>
    <t>G-REQ-05936-E4</t>
  </si>
  <si>
    <t>G-REQ-05937-E1</t>
  </si>
  <si>
    <t>G-REQ-05937-E2</t>
  </si>
  <si>
    <t>G-REQ-05937-E3</t>
  </si>
  <si>
    <t>G-REQ-05937-E4</t>
  </si>
  <si>
    <t>G-REQ-05938-E1</t>
  </si>
  <si>
    <t>G-REQ-05938-E2</t>
  </si>
  <si>
    <t>G-REQ-05938-E3</t>
  </si>
  <si>
    <t>G-REQ-05938-E4</t>
  </si>
  <si>
    <t>G-REQ-05939-E1</t>
  </si>
  <si>
    <t>G-REQ-05939-E2</t>
  </si>
  <si>
    <t>G-REQ-05939-E3</t>
  </si>
  <si>
    <t>G-REQ-05939-E4</t>
  </si>
  <si>
    <t>G-REQ-05940-E1</t>
  </si>
  <si>
    <t>G-REQ-05940-E2</t>
  </si>
  <si>
    <t>G-REQ-05940-E3</t>
  </si>
  <si>
    <t>G-REQ-05940-E4</t>
  </si>
  <si>
    <t>G-REQ-05941-E1</t>
  </si>
  <si>
    <t>G-REQ-05941-E2</t>
  </si>
  <si>
    <t>G-REQ-05941-E3</t>
  </si>
  <si>
    <t>G-REQ-05941-E4</t>
  </si>
  <si>
    <t>G-REQ-05942-E1</t>
  </si>
  <si>
    <t>G-REQ-05942-E2</t>
  </si>
  <si>
    <t>G-REQ-05943-E1</t>
  </si>
  <si>
    <t>G-REQ-05943-E2</t>
  </si>
  <si>
    <t>G-REQ-05943-E3</t>
  </si>
  <si>
    <t>G-REQ-05943-E4</t>
  </si>
  <si>
    <t>G-REQ-05944-E1</t>
  </si>
  <si>
    <t>G-REQ-05944-E2</t>
  </si>
  <si>
    <t>G-REQ-05944-E3</t>
  </si>
  <si>
    <t>G-REQ-05944-E4</t>
  </si>
  <si>
    <t>G-REQ-05945-E1</t>
  </si>
  <si>
    <t>G-REQ-05945-E2</t>
  </si>
  <si>
    <t>G-REQ-05945-E3</t>
  </si>
  <si>
    <t>G-REQ-05945-E4</t>
  </si>
  <si>
    <t>G-REQ-05946-E1</t>
  </si>
  <si>
    <t>G-REQ-05946-E2</t>
  </si>
  <si>
    <t>G-REQ-05946-E3</t>
  </si>
  <si>
    <t>G-REQ-05946-E4</t>
  </si>
  <si>
    <t>G-REQ-05947-E1</t>
  </si>
  <si>
    <t>G-REQ-05947-E2</t>
  </si>
  <si>
    <t>G-REQ-05947-E3</t>
  </si>
  <si>
    <t>G-REQ-05947-E4</t>
  </si>
  <si>
    <t>G-REQ-05948-E1</t>
  </si>
  <si>
    <t>G-REQ-05948-E2</t>
  </si>
  <si>
    <t>G-REQ-05948-E3</t>
  </si>
  <si>
    <t>G-REQ-05948-E4</t>
  </si>
  <si>
    <t>G-REQ-05949-E1</t>
  </si>
  <si>
    <t>G-REQ-05949-E2</t>
  </si>
  <si>
    <t>G-REQ-05949-E3</t>
  </si>
  <si>
    <t>G-REQ-05949-E4</t>
  </si>
  <si>
    <t>G-REQ-05950-E1</t>
  </si>
  <si>
    <t>G-REQ-05950-E2</t>
  </si>
  <si>
    <t>G-REQ-05950-E3</t>
  </si>
  <si>
    <t>G-REQ-05950-E4</t>
  </si>
  <si>
    <t>G-REQ-05951-E1</t>
  </si>
  <si>
    <t>G-REQ-05951-E2</t>
  </si>
  <si>
    <t>G-REQ-05951-E3</t>
  </si>
  <si>
    <t>G-REQ-05951-E4</t>
  </si>
  <si>
    <t>G-REQ-05952-E1</t>
  </si>
  <si>
    <t>G-REQ-05952-E2</t>
  </si>
  <si>
    <t>G-REQ-05953-E1</t>
  </si>
  <si>
    <t>G-REQ-05953-E2</t>
  </si>
  <si>
    <t>G-REQ-05953-E3</t>
  </si>
  <si>
    <t>G-REQ-05953-E4</t>
  </si>
  <si>
    <t>G-REQ-05954-E1</t>
  </si>
  <si>
    <t>G-REQ-05954-E2</t>
  </si>
  <si>
    <t>G-REQ-05954-E3</t>
  </si>
  <si>
    <t>G-REQ-05954-E4</t>
  </si>
  <si>
    <t>G-REQ-05955-E1</t>
  </si>
  <si>
    <t>G-REQ-05955-E2</t>
  </si>
  <si>
    <t>G-REQ-05955-E3</t>
  </si>
  <si>
    <t>G-REQ-05955-E4</t>
  </si>
  <si>
    <t>G-REQ-05956-E1</t>
  </si>
  <si>
    <t>G-REQ-05956-E2</t>
  </si>
  <si>
    <t>G-REQ-05956-E3</t>
  </si>
  <si>
    <t>G-REQ-05956-E4</t>
  </si>
  <si>
    <t>G-REQ-05957-E1</t>
  </si>
  <si>
    <t>G-REQ-05957-E2</t>
  </si>
  <si>
    <t>G-REQ-05957-E3</t>
  </si>
  <si>
    <t>G-REQ-05957-E4</t>
  </si>
  <si>
    <t>G-REQ-05958-E1</t>
  </si>
  <si>
    <t>G-REQ-05958-E2</t>
  </si>
  <si>
    <t>G-REQ-05958-E3</t>
  </si>
  <si>
    <t>G-REQ-05958-E4</t>
  </si>
  <si>
    <t>G-REQ-05959-E1</t>
  </si>
  <si>
    <t>G-REQ-05959-E2</t>
  </si>
  <si>
    <t>G-REQ-05959-E3</t>
  </si>
  <si>
    <t>G-REQ-05959-E4</t>
  </si>
  <si>
    <t>G-REQ-05960-E1</t>
  </si>
  <si>
    <t>G-REQ-05960-E2</t>
  </si>
  <si>
    <t>G-REQ-05960-E3</t>
  </si>
  <si>
    <t>G-REQ-05960-E4</t>
  </si>
  <si>
    <t>G-REQ-05961-E1</t>
  </si>
  <si>
    <t>G-REQ-05961-E2</t>
  </si>
  <si>
    <t>G-REQ-05961-E3</t>
  </si>
  <si>
    <t>G-REQ-05961-E4</t>
  </si>
  <si>
    <t>G-REQ-05962-E1</t>
  </si>
  <si>
    <t>G-REQ-05962-E2</t>
  </si>
  <si>
    <t>G-REQ-05962-E3</t>
  </si>
  <si>
    <t>G-REQ-05962-E4</t>
  </si>
  <si>
    <t>G-REQ-05963-E1</t>
  </si>
  <si>
    <t>G-REQ-05963-E2</t>
  </si>
  <si>
    <t>G-REQ-05963-E3</t>
  </si>
  <si>
    <t>G-REQ-05963-E4</t>
  </si>
  <si>
    <t>G-REQ-05964-E1</t>
  </si>
  <si>
    <t>G-REQ-05964-E2</t>
  </si>
  <si>
    <t>G-REQ-05964-E3</t>
  </si>
  <si>
    <t>G-REQ-05964-E4</t>
  </si>
  <si>
    <t>G-REQ-05965-E1</t>
  </si>
  <si>
    <t>G-REQ-05965-E2</t>
  </si>
  <si>
    <t>G-REQ-05965-E3</t>
  </si>
  <si>
    <t>G-REQ-05965-E4</t>
  </si>
  <si>
    <t>G-REQ-05966-E1</t>
  </si>
  <si>
    <t>G-REQ-05966-E2</t>
  </si>
  <si>
    <t>G-REQ-05966-E3</t>
  </si>
  <si>
    <t>G-REQ-05966-E4</t>
  </si>
  <si>
    <t>G-REQ-05967-E1</t>
  </si>
  <si>
    <t>G-REQ-05967-E2</t>
  </si>
  <si>
    <t>G-REQ-05967-E3</t>
  </si>
  <si>
    <t>G-REQ-05967-E4</t>
  </si>
  <si>
    <t>G-REQ-05968-E1</t>
  </si>
  <si>
    <t>G-REQ-05968-E2</t>
  </si>
  <si>
    <t>G-REQ-05968-E3</t>
  </si>
  <si>
    <t>G-REQ-05968-E4</t>
  </si>
  <si>
    <t>G-REQ-05969-E1</t>
  </si>
  <si>
    <t>G-REQ-05969-E2</t>
  </si>
  <si>
    <t>G-REQ-05969-E3</t>
  </si>
  <si>
    <t>G-REQ-05969-E4</t>
  </si>
  <si>
    <t>G-REQ-05970-E1</t>
  </si>
  <si>
    <t>G-REQ-05970-E2</t>
  </si>
  <si>
    <t>G-REQ-05970-E3</t>
  </si>
  <si>
    <t>G-REQ-05970-E4</t>
  </si>
  <si>
    <t>G-REQ-05971-E1</t>
  </si>
  <si>
    <t>G-REQ-05971-E2</t>
  </si>
  <si>
    <t>G-REQ-05971-E3</t>
  </si>
  <si>
    <t>G-REQ-05971-E4</t>
  </si>
  <si>
    <t>G-REQ-05972-E1</t>
  </si>
  <si>
    <t>G-REQ-05972-E2</t>
  </si>
  <si>
    <t>G-REQ-05972-E3</t>
  </si>
  <si>
    <t>G-REQ-05972-E4</t>
  </si>
  <si>
    <t>G-REQ-05973-E1</t>
  </si>
  <si>
    <t>G-REQ-05973-E2</t>
  </si>
  <si>
    <t>G-REQ-05973-E3</t>
  </si>
  <si>
    <t>G-REQ-05973-E4</t>
  </si>
  <si>
    <t>G-REQ-05974-E1</t>
  </si>
  <si>
    <t>G-REQ-05974-E2</t>
  </si>
  <si>
    <t>G-REQ-05974-E3</t>
  </si>
  <si>
    <t>G-REQ-05974-E4</t>
  </si>
  <si>
    <t>G-REQ-05975-E1</t>
  </si>
  <si>
    <t>G-REQ-05975-E2</t>
  </si>
  <si>
    <t>G-REQ-05975-E3</t>
  </si>
  <si>
    <t>G-REQ-05975-E4</t>
  </si>
  <si>
    <t>G-REQ-05976-E1</t>
  </si>
  <si>
    <t>G-REQ-05976-E2</t>
  </si>
  <si>
    <t>G-REQ-05976-E3</t>
  </si>
  <si>
    <t>G-REQ-05976-E4</t>
  </si>
  <si>
    <t>G-REQ-05977-E1</t>
  </si>
  <si>
    <t>G-REQ-05977-E2</t>
  </si>
  <si>
    <t>G-REQ-05977-E3</t>
  </si>
  <si>
    <t>G-REQ-05977-E4</t>
  </si>
  <si>
    <t>G-REQ-05978-E1</t>
  </si>
  <si>
    <t>G-REQ-05978-E2</t>
  </si>
  <si>
    <t>G-REQ-05979-E1</t>
  </si>
  <si>
    <t>G-REQ-05979-E2</t>
  </si>
  <si>
    <t>G-REQ-05980-E1</t>
  </si>
  <si>
    <t>G-REQ-05980-E2</t>
  </si>
  <si>
    <t>G-REQ-05980-E3</t>
  </si>
  <si>
    <t>G-REQ-05980-E4</t>
  </si>
  <si>
    <t>G-REQ-05981-E1</t>
  </si>
  <si>
    <t>G-REQ-05981-E2</t>
  </si>
  <si>
    <t>G-REQ-05981-E3</t>
  </si>
  <si>
    <t>G-REQ-05981-E4</t>
  </si>
  <si>
    <t>G-REQ-05982-E1</t>
  </si>
  <si>
    <t>G-REQ-05982-E2</t>
  </si>
  <si>
    <t>G-REQ-05983-E1</t>
  </si>
  <si>
    <t>G-REQ-05983-E2</t>
  </si>
  <si>
    <t>G-REQ-05983-E3</t>
  </si>
  <si>
    <t>G-REQ-05983-E4</t>
  </si>
  <si>
    <t>G-REQ-05984-E1</t>
  </si>
  <si>
    <t>G-REQ-05984-E2</t>
  </si>
  <si>
    <t>G-REQ-05984-E3</t>
  </si>
  <si>
    <t>G-REQ-05984-E4</t>
  </si>
  <si>
    <t>G-REQ-05985-E1</t>
  </si>
  <si>
    <t>G-REQ-05985-E2</t>
  </si>
  <si>
    <t>G-REQ-05985-E3</t>
  </si>
  <si>
    <t>G-REQ-05985-E4</t>
  </si>
  <si>
    <t>G-REQ-05986-E1</t>
  </si>
  <si>
    <t>G-REQ-05986-E2</t>
  </si>
  <si>
    <t>G-REQ-05986-E3</t>
  </si>
  <si>
    <t>G-REQ-05986-E4</t>
  </si>
  <si>
    <t>G-REQ-05987-E1</t>
  </si>
  <si>
    <t>G-REQ-05987-E2</t>
  </si>
  <si>
    <t>G-REQ-05987-E3</t>
  </si>
  <si>
    <t>G-REQ-05987-E4</t>
  </si>
  <si>
    <t>G-REQ-05988-E1</t>
  </si>
  <si>
    <t>G-REQ-05988-E2</t>
  </si>
  <si>
    <t>G-REQ-05988-E3</t>
  </si>
  <si>
    <t>G-REQ-05988-E4</t>
  </si>
  <si>
    <t>G-REQ-05989-E1</t>
  </si>
  <si>
    <t>G-REQ-05989-E2</t>
  </si>
  <si>
    <t>G-REQ-05989-E3</t>
  </si>
  <si>
    <t>G-REQ-05989-E4</t>
  </si>
  <si>
    <t>G-REQ-05990-E1</t>
  </si>
  <si>
    <t>G-REQ-05990-E2</t>
  </si>
  <si>
    <t>G-REQ-05990-E3</t>
  </si>
  <si>
    <t>G-REQ-05990-E4</t>
  </si>
  <si>
    <t>G-REQ-05991-E1</t>
  </si>
  <si>
    <t>G-REQ-05991-E2</t>
  </si>
  <si>
    <t>G-REQ-05991-E3</t>
  </si>
  <si>
    <t>G-REQ-05991-E4</t>
  </si>
  <si>
    <t>G-REQ-05992-E1</t>
  </si>
  <si>
    <t>G-REQ-05992-E2</t>
  </si>
  <si>
    <t>G-REQ-05993-E1</t>
  </si>
  <si>
    <t>G-REQ-05993-E2</t>
  </si>
  <si>
    <t>G-REQ-05993-E3</t>
  </si>
  <si>
    <t>G-REQ-05993-E4</t>
  </si>
  <si>
    <t>G-REQ-05994-E1</t>
  </si>
  <si>
    <t>G-REQ-05994-E2</t>
  </si>
  <si>
    <t>G-REQ-05994-E3</t>
  </si>
  <si>
    <t>G-REQ-05994-E4</t>
  </si>
  <si>
    <t>G-REQ-05995-E1</t>
  </si>
  <si>
    <t>G-REQ-05995-E2</t>
  </si>
  <si>
    <t>G-REQ-05996-E1</t>
  </si>
  <si>
    <t>G-REQ-05996-E2</t>
  </si>
  <si>
    <t>G-REQ-05996-E3</t>
  </si>
  <si>
    <t>G-REQ-05996-E4</t>
  </si>
  <si>
    <t>G-REQ-05997-E1</t>
  </si>
  <si>
    <t>G-REQ-05997-E2</t>
  </si>
  <si>
    <t>G-REQ-05997-E3</t>
  </si>
  <si>
    <t>G-REQ-05997-E4</t>
  </si>
  <si>
    <t>G-REQ-05998-E1</t>
  </si>
  <si>
    <t>G-REQ-05998-E2</t>
  </si>
  <si>
    <t>G-REQ-05998-E3</t>
  </si>
  <si>
    <t>G-REQ-05998-E4</t>
  </si>
  <si>
    <t>G-REQ-05999-E1</t>
  </si>
  <si>
    <t>G-REQ-05999-E2</t>
  </si>
  <si>
    <t>G-REQ-05999-E3</t>
  </si>
  <si>
    <t>G-REQ-05999-E4</t>
  </si>
  <si>
    <t>G-REQ-06000-E1</t>
  </si>
  <si>
    <t>G-REQ-06000-E2</t>
  </si>
  <si>
    <t>G-REQ-06000-E3</t>
  </si>
  <si>
    <t>G-REQ-06000-E4</t>
  </si>
  <si>
    <t>G-REQ-06001-E1</t>
  </si>
  <si>
    <t>G-REQ-06001-E2</t>
  </si>
  <si>
    <t>G-REQ-06002-E1</t>
  </si>
  <si>
    <t>G-REQ-06002-E2</t>
  </si>
  <si>
    <t>G-REQ-06002-E3</t>
  </si>
  <si>
    <t>G-REQ-06002-E4</t>
  </si>
  <si>
    <t>G-REQ-06003-E1</t>
  </si>
  <si>
    <t>G-REQ-06003-E2</t>
  </si>
  <si>
    <t>G-REQ-06003-E3</t>
  </si>
  <si>
    <t>G-REQ-06003-E4</t>
  </si>
  <si>
    <t>G-REQ-06004-E1</t>
  </si>
  <si>
    <t>G-REQ-06004-E2</t>
  </si>
  <si>
    <t>G-REQ-06004-E3</t>
  </si>
  <si>
    <t>G-REQ-06004-E4</t>
  </si>
  <si>
    <t>G-REQ-06005-E1</t>
  </si>
  <si>
    <t>G-REQ-06005-E2</t>
  </si>
  <si>
    <t>G-REQ-06005-E3</t>
  </si>
  <si>
    <t>G-REQ-06005-E4</t>
  </si>
  <si>
    <t>G-REQ-06006-E1</t>
  </si>
  <si>
    <t>G-REQ-06006-E2</t>
  </si>
  <si>
    <t>G-REQ-06006-E3</t>
  </si>
  <si>
    <t>G-REQ-06006-E4</t>
  </si>
  <si>
    <t>G-REQ-06007-E1</t>
  </si>
  <si>
    <t>G-REQ-06007-E2</t>
  </si>
  <si>
    <t>G-REQ-06007-E3</t>
  </si>
  <si>
    <t>G-REQ-06007-E4</t>
  </si>
  <si>
    <t>G-REQ-06008-E1</t>
  </si>
  <si>
    <t>G-REQ-06008-E2</t>
  </si>
  <si>
    <t>G-REQ-06008-E3</t>
  </si>
  <si>
    <t>G-REQ-06008-E4</t>
  </si>
  <si>
    <t>G-REQ-06009-E1</t>
  </si>
  <si>
    <t>G-REQ-06009-E2</t>
  </si>
  <si>
    <t>G-REQ-06009-E3</t>
  </si>
  <si>
    <t>G-REQ-06009-E4</t>
  </si>
  <si>
    <t>G-REQ-06010-E1</t>
  </si>
  <si>
    <t>G-REQ-06010-E2</t>
  </si>
  <si>
    <t>G-REQ-06010-E3</t>
  </si>
  <si>
    <t>G-REQ-06010-E4</t>
  </si>
  <si>
    <t>G-REQ-06011-E1</t>
  </si>
  <si>
    <t>G-REQ-06011-E2</t>
  </si>
  <si>
    <t>G-REQ-06011-E3</t>
  </si>
  <si>
    <t>G-REQ-06011-E4</t>
  </si>
  <si>
    <t>G-REQ-06012-E1</t>
  </si>
  <si>
    <t>G-REQ-06012-E2</t>
  </si>
  <si>
    <t>G-REQ-06012-E3</t>
  </si>
  <si>
    <t>G-REQ-06012-E4</t>
  </si>
  <si>
    <t>G-REQ-06013-E1</t>
  </si>
  <si>
    <t>G-REQ-06013-E2</t>
  </si>
  <si>
    <t>G-REQ-06013-E3</t>
  </si>
  <si>
    <t>G-REQ-06013-E4</t>
  </si>
  <si>
    <t>G-REQ-06014-E1</t>
  </si>
  <si>
    <t>G-REQ-06014-E2</t>
  </si>
  <si>
    <t>G-REQ-06014-E3</t>
  </si>
  <si>
    <t>G-REQ-06014-E4</t>
  </si>
  <si>
    <t>G-REQ-06015-E1</t>
  </si>
  <si>
    <t>G-REQ-06015-E2</t>
  </si>
  <si>
    <t>G-REQ-06015-E3</t>
  </si>
  <si>
    <t>G-REQ-06015-E4</t>
  </si>
  <si>
    <t>G-REQ-06016-E1</t>
  </si>
  <si>
    <t>G-REQ-06016-E2</t>
  </si>
  <si>
    <t>G-REQ-06016-E3</t>
  </si>
  <si>
    <t>G-REQ-06016-E4</t>
  </si>
  <si>
    <t>G-REQ-06017-E1</t>
  </si>
  <si>
    <t>G-REQ-06017-E2</t>
  </si>
  <si>
    <t>G-REQ-06017-E3</t>
  </si>
  <si>
    <t>G-REQ-06017-E4</t>
  </si>
  <si>
    <t>G-REQ-06018-E1</t>
  </si>
  <si>
    <t>G-REQ-06018-E2</t>
  </si>
  <si>
    <t>G-REQ-06018-E3</t>
  </si>
  <si>
    <t>G-REQ-06018-E4</t>
  </si>
  <si>
    <t>G-REQ-06019-E1</t>
  </si>
  <si>
    <t>G-REQ-06019-E2</t>
  </si>
  <si>
    <t>G-REQ-06020-E1</t>
  </si>
  <si>
    <t>G-REQ-06020-E2</t>
  </si>
  <si>
    <t>G-REQ-06020-E3</t>
  </si>
  <si>
    <t>G-REQ-06020-E4</t>
  </si>
  <si>
    <t>G-REQ-06021-E1</t>
  </si>
  <si>
    <t>G-REQ-06021-E2</t>
  </si>
  <si>
    <t>G-REQ-06021-E3</t>
  </si>
  <si>
    <t>G-REQ-06021-E4</t>
  </si>
  <si>
    <t>G-REQ-06022-E1</t>
  </si>
  <si>
    <t>G-REQ-06022-E2</t>
  </si>
  <si>
    <t>G-REQ-06022-E3</t>
  </si>
  <si>
    <t>G-REQ-06022-E4</t>
  </si>
  <si>
    <t>G-REQ-06023-E1</t>
  </si>
  <si>
    <t>G-REQ-06023-E2</t>
  </si>
  <si>
    <t>G-REQ-06023-E3</t>
  </si>
  <si>
    <t>G-REQ-06023-E4</t>
  </si>
  <si>
    <t>G-REQ-06024-E1</t>
  </si>
  <si>
    <t>G-REQ-06024-E2</t>
  </si>
  <si>
    <t>G-REQ-06024-E3</t>
  </si>
  <si>
    <t>G-REQ-06024-E4</t>
  </si>
  <si>
    <t>G-REQ-06025-E1</t>
  </si>
  <si>
    <t>G-REQ-06025-E2</t>
  </si>
  <si>
    <t>G-REQ-06025-E3</t>
  </si>
  <si>
    <t>G-REQ-06025-E4</t>
  </si>
  <si>
    <t>G-REQ-06026-E1</t>
  </si>
  <si>
    <t>G-REQ-06026-E2</t>
  </si>
  <si>
    <t>G-REQ-06026-E3</t>
  </si>
  <si>
    <t>G-REQ-06026-E4</t>
  </si>
  <si>
    <t>G-REQ-06027-E1</t>
  </si>
  <si>
    <t>G-REQ-06027-E2</t>
  </si>
  <si>
    <t>G-REQ-06027-E3</t>
  </si>
  <si>
    <t>G-REQ-06027-E4</t>
  </si>
  <si>
    <t>G-REQ-06028-E1</t>
  </si>
  <si>
    <t>G-REQ-06028-E2</t>
  </si>
  <si>
    <t>G-REQ-06028-E3</t>
  </si>
  <si>
    <t>G-REQ-06028-E4</t>
  </si>
  <si>
    <t>G-REQ-06029-E1</t>
  </si>
  <si>
    <t>G-REQ-06029-E2</t>
  </si>
  <si>
    <t>G-REQ-06029-E3</t>
  </si>
  <si>
    <t>G-REQ-06029-E4</t>
  </si>
  <si>
    <t>G-REQ-06030-E1</t>
  </si>
  <si>
    <t>G-REQ-06030-E2</t>
  </si>
  <si>
    <t>G-REQ-06030-E3</t>
  </si>
  <si>
    <t>G-REQ-06030-E4</t>
  </si>
  <si>
    <t>G-REQ-06031-E1</t>
  </si>
  <si>
    <t>G-REQ-06031-E2</t>
  </si>
  <si>
    <t>G-REQ-06031-E3</t>
  </si>
  <si>
    <t>G-REQ-06031-E4</t>
  </si>
  <si>
    <t>G-REQ-06032-E1</t>
  </si>
  <si>
    <t>G-REQ-06032-E2</t>
  </si>
  <si>
    <t>G-REQ-06032-E3</t>
  </si>
  <si>
    <t>G-REQ-06032-E4</t>
  </si>
  <si>
    <t>G-REQ-06033-E1</t>
  </si>
  <si>
    <t>G-REQ-06033-E2</t>
  </si>
  <si>
    <t>G-REQ-06033-E3</t>
  </si>
  <si>
    <t>G-REQ-06033-E4</t>
  </si>
  <si>
    <t>G-REQ-06034-E1</t>
  </si>
  <si>
    <t>G-REQ-06034-E2</t>
  </si>
  <si>
    <t>G-REQ-06034-E3</t>
  </si>
  <si>
    <t>G-REQ-06034-E4</t>
  </si>
  <si>
    <t>G-REQ-06035-E1</t>
  </si>
  <si>
    <t>G-REQ-06035-E2</t>
  </si>
  <si>
    <t>SYNTHETIC: Laptop return; Cancelled; asset G-AST-00534</t>
  </si>
  <si>
    <t>G-REQ-06036-E1</t>
  </si>
  <si>
    <t>G-REQ-06036-E2</t>
  </si>
  <si>
    <t>G-REQ-06036-E3</t>
  </si>
  <si>
    <t>G-REQ-06036-E4</t>
  </si>
  <si>
    <t>G-REQ-06037-E1</t>
  </si>
  <si>
    <t>G-REQ-06037-E2</t>
  </si>
  <si>
    <t>G-REQ-06037-E3</t>
  </si>
  <si>
    <t>G-REQ-06037-E4</t>
  </si>
  <si>
    <t>G-REQ-06038-E1</t>
  </si>
  <si>
    <t>G-REQ-06038-E2</t>
  </si>
  <si>
    <t>G-REQ-06038-E3</t>
  </si>
  <si>
    <t>G-REQ-06038-E4</t>
  </si>
  <si>
    <t>G-REQ-06039-E1</t>
  </si>
  <si>
    <t>G-REQ-06039-E2</t>
  </si>
  <si>
    <t>G-REQ-06039-E3</t>
  </si>
  <si>
    <t>G-REQ-06039-E4</t>
  </si>
  <si>
    <t>G-REQ-06040-E1</t>
  </si>
  <si>
    <t>G-REQ-06040-E2</t>
  </si>
  <si>
    <t>G-REQ-06040-E3</t>
  </si>
  <si>
    <t>G-REQ-06040-E4</t>
  </si>
  <si>
    <t>G-REQ-06041-E1</t>
  </si>
  <si>
    <t>G-REQ-06041-E2</t>
  </si>
  <si>
    <t>G-REQ-06041-E3</t>
  </si>
  <si>
    <t>G-REQ-06041-E4</t>
  </si>
  <si>
    <t>G-REQ-06042-E1</t>
  </si>
  <si>
    <t>G-REQ-06042-E2</t>
  </si>
  <si>
    <t>G-REQ-06042-E3</t>
  </si>
  <si>
    <t>G-REQ-06042-E4</t>
  </si>
  <si>
    <t>G-REQ-06043-E1</t>
  </si>
  <si>
    <t>G-REQ-06043-E2</t>
  </si>
  <si>
    <t>G-REQ-06043-E3</t>
  </si>
  <si>
    <t>G-REQ-06043-E4</t>
  </si>
  <si>
    <t>G-REQ-06044-E1</t>
  </si>
  <si>
    <t>G-REQ-06044-E2</t>
  </si>
  <si>
    <t>G-REQ-06044-E3</t>
  </si>
  <si>
    <t>G-REQ-06044-E4</t>
  </si>
  <si>
    <t>G-REQ-06045-E1</t>
  </si>
  <si>
    <t>G-REQ-06045-E2</t>
  </si>
  <si>
    <t>G-REQ-06045-E3</t>
  </si>
  <si>
    <t>G-REQ-06045-E4</t>
  </si>
  <si>
    <t>G-REQ-06046-E1</t>
  </si>
  <si>
    <t>G-REQ-06046-E2</t>
  </si>
  <si>
    <t>G-REQ-06046-E3</t>
  </si>
  <si>
    <t>G-REQ-06046-E4</t>
  </si>
  <si>
    <t>G-REQ-06047-E1</t>
  </si>
  <si>
    <t>G-REQ-06047-E2</t>
  </si>
  <si>
    <t>G-REQ-06048-E1</t>
  </si>
  <si>
    <t>G-REQ-06048-E2</t>
  </si>
  <si>
    <t>G-REQ-06048-E3</t>
  </si>
  <si>
    <t>G-REQ-06048-E4</t>
  </si>
  <si>
    <t>G-REQ-06049-E1</t>
  </si>
  <si>
    <t>G-REQ-06049-E2</t>
  </si>
  <si>
    <t>G-REQ-06049-E3</t>
  </si>
  <si>
    <t>G-REQ-06049-E4</t>
  </si>
  <si>
    <t>G-REQ-06050-E1</t>
  </si>
  <si>
    <t>G-REQ-06050-E2</t>
  </si>
  <si>
    <t>G-REQ-06050-E3</t>
  </si>
  <si>
    <t>G-REQ-06050-E4</t>
  </si>
  <si>
    <t>G-REQ-06051-E1</t>
  </si>
  <si>
    <t>G-REQ-06051-E2</t>
  </si>
  <si>
    <t>G-REQ-06051-E3</t>
  </si>
  <si>
    <t>G-REQ-06051-E4</t>
  </si>
  <si>
    <t>G-REQ-06052-E1</t>
  </si>
  <si>
    <t>G-REQ-06052-E2</t>
  </si>
  <si>
    <t>G-REQ-06053-E1</t>
  </si>
  <si>
    <t>SYNTHETIC: Laptop repair; Pending approval; asset G-AST-00156</t>
  </si>
  <si>
    <t>G-REQ-06053-E2</t>
  </si>
  <si>
    <t>SYNTHETIC: Laptop repair; Approved; asset G-AST-00156</t>
  </si>
  <si>
    <t>G-REQ-06053-E3</t>
  </si>
  <si>
    <t>SYNTHETIC: Laptop repair; In progress; asset G-AST-00156</t>
  </si>
  <si>
    <t>G-REQ-06053-E4</t>
  </si>
  <si>
    <t>SYNTHETIC: Laptop repair; Completed; asset G-AST-00156</t>
  </si>
  <si>
    <t>G-REQ-06054-E1</t>
  </si>
  <si>
    <t>G-REQ-06054-E2</t>
  </si>
  <si>
    <t>G-REQ-06054-E3</t>
  </si>
  <si>
    <t>G-REQ-06054-E4</t>
  </si>
  <si>
    <t>G-REQ-06055-E1</t>
  </si>
  <si>
    <t>G-REQ-06055-E2</t>
  </si>
  <si>
    <t>G-REQ-06055-E3</t>
  </si>
  <si>
    <t>G-REQ-06055-E4</t>
  </si>
  <si>
    <t>G-REQ-06056-E1</t>
  </si>
  <si>
    <t>G-REQ-06056-E2</t>
  </si>
  <si>
    <t>G-REQ-06056-E3</t>
  </si>
  <si>
    <t>G-REQ-06056-E4</t>
  </si>
  <si>
    <t>G-REQ-06057-E1</t>
  </si>
  <si>
    <t>G-REQ-06057-E2</t>
  </si>
  <si>
    <t>G-REQ-06057-E3</t>
  </si>
  <si>
    <t>G-REQ-06057-E4</t>
  </si>
  <si>
    <t>G-REQ-06058-E1</t>
  </si>
  <si>
    <t>G-REQ-06058-E2</t>
  </si>
  <si>
    <t>G-REQ-06058-E3</t>
  </si>
  <si>
    <t>G-REQ-06058-E4</t>
  </si>
  <si>
    <t>G-REQ-06059-E1</t>
  </si>
  <si>
    <t>G-REQ-06059-E2</t>
  </si>
  <si>
    <t>G-REQ-06059-E3</t>
  </si>
  <si>
    <t>G-REQ-06059-E4</t>
  </si>
  <si>
    <t>G-REQ-06060-E1</t>
  </si>
  <si>
    <t>G-REQ-06060-E2</t>
  </si>
  <si>
    <t>SYNTHETIC: Laptop return; Cancelled; asset G-AST-00106</t>
  </si>
  <si>
    <t>G-REQ-06061-E1</t>
  </si>
  <si>
    <t>G-REQ-06061-E2</t>
  </si>
  <si>
    <t>G-REQ-06061-E3</t>
  </si>
  <si>
    <t>G-REQ-06061-E4</t>
  </si>
  <si>
    <t>G-REQ-06062-E1</t>
  </si>
  <si>
    <t>G-REQ-06062-E2</t>
  </si>
  <si>
    <t>SYNTHETIC: Laptop return; Rejected; asset G-AST-00128</t>
  </si>
  <si>
    <t>G-REQ-06063-E1</t>
  </si>
  <si>
    <t>G-REQ-06063-E2</t>
  </si>
  <si>
    <t>G-REQ-06063-E3</t>
  </si>
  <si>
    <t>G-REQ-06063-E4</t>
  </si>
  <si>
    <t>G-REQ-06064-E1</t>
  </si>
  <si>
    <t>G-REQ-06064-E2</t>
  </si>
  <si>
    <t>G-REQ-06064-E3</t>
  </si>
  <si>
    <t>G-REQ-06064-E4</t>
  </si>
  <si>
    <t>G-REQ-06065-E1</t>
  </si>
  <si>
    <t>G-REQ-06065-E2</t>
  </si>
  <si>
    <t>G-REQ-06065-E3</t>
  </si>
  <si>
    <t>G-REQ-06065-E4</t>
  </si>
  <si>
    <t>G-REQ-06066-E1</t>
  </si>
  <si>
    <t>G-REQ-06066-E2</t>
  </si>
  <si>
    <t>G-REQ-06066-E3</t>
  </si>
  <si>
    <t>G-REQ-06066-E4</t>
  </si>
  <si>
    <t>G-REQ-06067-E1</t>
  </si>
  <si>
    <t>G-REQ-06067-E2</t>
  </si>
  <si>
    <t>G-REQ-06067-E3</t>
  </si>
  <si>
    <t>G-REQ-06067-E4</t>
  </si>
  <si>
    <t>G-REQ-06068-E1</t>
  </si>
  <si>
    <t>G-REQ-06068-E2</t>
  </si>
  <si>
    <t>G-REQ-06068-E3</t>
  </si>
  <si>
    <t>G-REQ-06068-E4</t>
  </si>
  <si>
    <t>G-REQ-06069-E1</t>
  </si>
  <si>
    <t>G-REQ-06069-E2</t>
  </si>
  <si>
    <t>G-REQ-06069-E3</t>
  </si>
  <si>
    <t>G-REQ-06069-E4</t>
  </si>
  <si>
    <t>G-REQ-06070-E1</t>
  </si>
  <si>
    <t>G-REQ-06070-E2</t>
  </si>
  <si>
    <t>G-REQ-06070-E3</t>
  </si>
  <si>
    <t>G-REQ-06070-E4</t>
  </si>
  <si>
    <t>G-REQ-06071-E1</t>
  </si>
  <si>
    <t>G-REQ-06071-E2</t>
  </si>
  <si>
    <t>G-REQ-06071-E3</t>
  </si>
  <si>
    <t>G-REQ-06071-E4</t>
  </si>
  <si>
    <t>G-REQ-06072-E1</t>
  </si>
  <si>
    <t>G-REQ-06072-E2</t>
  </si>
  <si>
    <t>G-REQ-06072-E3</t>
  </si>
  <si>
    <t>G-REQ-06072-E4</t>
  </si>
  <si>
    <t>G-REQ-06073-E1</t>
  </si>
  <si>
    <t>G-REQ-06073-E2</t>
  </si>
  <si>
    <t>G-REQ-06073-E3</t>
  </si>
  <si>
    <t>G-REQ-06073-E4</t>
  </si>
  <si>
    <t>G-REQ-06074-E1</t>
  </si>
  <si>
    <t>G-REQ-06074-E2</t>
  </si>
  <si>
    <t>G-REQ-06074-E3</t>
  </si>
  <si>
    <t>G-REQ-06074-E4</t>
  </si>
  <si>
    <t>G-REQ-06075-E1</t>
  </si>
  <si>
    <t>G-REQ-06075-E2</t>
  </si>
  <si>
    <t>G-REQ-06075-E3</t>
  </si>
  <si>
    <t>G-REQ-06075-E4</t>
  </si>
  <si>
    <t>G-REQ-06076-E1</t>
  </si>
  <si>
    <t>G-REQ-06076-E2</t>
  </si>
  <si>
    <t>G-REQ-06076-E3</t>
  </si>
  <si>
    <t>G-REQ-06076-E4</t>
  </si>
  <si>
    <t>G-REQ-06077-E1</t>
  </si>
  <si>
    <t>G-REQ-06077-E2</t>
  </si>
  <si>
    <t>G-REQ-06077-E3</t>
  </si>
  <si>
    <t>G-REQ-06077-E4</t>
  </si>
  <si>
    <t>G-REQ-06078-E1</t>
  </si>
  <si>
    <t>G-REQ-06078-E2</t>
  </si>
  <si>
    <t>G-REQ-06078-E3</t>
  </si>
  <si>
    <t>G-REQ-06078-E4</t>
  </si>
  <si>
    <t>G-REQ-06079-E1</t>
  </si>
  <si>
    <t>G-REQ-06079-E2</t>
  </si>
  <si>
    <t>G-REQ-06079-E3</t>
  </si>
  <si>
    <t>G-REQ-06079-E4</t>
  </si>
  <si>
    <t>G-REQ-06080-E1</t>
  </si>
  <si>
    <t>G-REQ-06080-E2</t>
  </si>
  <si>
    <t>G-REQ-06080-E3</t>
  </si>
  <si>
    <t>G-REQ-06080-E4</t>
  </si>
  <si>
    <t>G-REQ-06081-E1</t>
  </si>
  <si>
    <t>G-REQ-06081-E2</t>
  </si>
  <si>
    <t>G-REQ-06081-E3</t>
  </si>
  <si>
    <t>G-REQ-06081-E4</t>
  </si>
  <si>
    <t>G-REQ-06082-E1</t>
  </si>
  <si>
    <t>G-REQ-06082-E2</t>
  </si>
  <si>
    <t>G-REQ-06082-E3</t>
  </si>
  <si>
    <t>G-REQ-06082-E4</t>
  </si>
  <si>
    <t>G-REQ-06083-E1</t>
  </si>
  <si>
    <t>G-REQ-06083-E2</t>
  </si>
  <si>
    <t>G-REQ-06083-E3</t>
  </si>
  <si>
    <t>G-REQ-06083-E4</t>
  </si>
  <si>
    <t>G-REQ-06084-E1</t>
  </si>
  <si>
    <t>G-REQ-06084-E2</t>
  </si>
  <si>
    <t>G-REQ-06084-E3</t>
  </si>
  <si>
    <t>G-REQ-06084-E4</t>
  </si>
  <si>
    <t>G-REQ-06085-E1</t>
  </si>
  <si>
    <t>G-REQ-06085-E2</t>
  </si>
  <si>
    <t>G-REQ-06085-E3</t>
  </si>
  <si>
    <t>G-REQ-06085-E4</t>
  </si>
  <si>
    <t>G-REQ-06086-E1</t>
  </si>
  <si>
    <t>G-REQ-06086-E2</t>
  </si>
  <si>
    <t>G-REQ-06086-E3</t>
  </si>
  <si>
    <t>G-REQ-06086-E4</t>
  </si>
  <si>
    <t>G-REQ-06087-E1</t>
  </si>
  <si>
    <t>G-REQ-06087-E2</t>
  </si>
  <si>
    <t>G-REQ-06088-E1</t>
  </si>
  <si>
    <t>G-REQ-06088-E2</t>
  </si>
  <si>
    <t>G-REQ-06088-E3</t>
  </si>
  <si>
    <t>G-REQ-06088-E4</t>
  </si>
  <si>
    <t>G-REQ-06089-E1</t>
  </si>
  <si>
    <t>G-REQ-06089-E2</t>
  </si>
  <si>
    <t>G-REQ-06089-E3</t>
  </si>
  <si>
    <t>G-REQ-06089-E4</t>
  </si>
  <si>
    <t>G-REQ-06090-E1</t>
  </si>
  <si>
    <t>G-REQ-06090-E2</t>
  </si>
  <si>
    <t>G-REQ-06090-E3</t>
  </si>
  <si>
    <t>G-REQ-06090-E4</t>
  </si>
  <si>
    <t>G-REQ-06091-E1</t>
  </si>
  <si>
    <t>G-REQ-06091-E2</t>
  </si>
  <si>
    <t>G-REQ-06091-E3</t>
  </si>
  <si>
    <t>G-REQ-06091-E4</t>
  </si>
  <si>
    <t>G-REQ-06092-E1</t>
  </si>
  <si>
    <t>G-REQ-06092-E2</t>
  </si>
  <si>
    <t>SYNTHETIC: Laptop repair; Cancelled; asset G-AST-00202</t>
  </si>
  <si>
    <t>G-REQ-06093-E1</t>
  </si>
  <si>
    <t>G-REQ-06093-E2</t>
  </si>
  <si>
    <t>G-REQ-06093-E3</t>
  </si>
  <si>
    <t>G-REQ-06093-E4</t>
  </si>
  <si>
    <t>G-REQ-06094-E1</t>
  </si>
  <si>
    <t>G-REQ-06094-E2</t>
  </si>
  <si>
    <t>G-REQ-06094-E3</t>
  </si>
  <si>
    <t>G-REQ-06094-E4</t>
  </si>
  <si>
    <t>G-REQ-06095-E1</t>
  </si>
  <si>
    <t>G-REQ-06095-E2</t>
  </si>
  <si>
    <t>G-REQ-06095-E3</t>
  </si>
  <si>
    <t>G-REQ-06095-E4</t>
  </si>
  <si>
    <t>G-REQ-06096-E1</t>
  </si>
  <si>
    <t>G-REQ-06096-E2</t>
  </si>
  <si>
    <t>G-REQ-06096-E3</t>
  </si>
  <si>
    <t>G-REQ-06096-E4</t>
  </si>
  <si>
    <t>G-REQ-06097-E1</t>
  </si>
  <si>
    <t>G-REQ-06097-E2</t>
  </si>
  <si>
    <t>G-REQ-06097-E3</t>
  </si>
  <si>
    <t>G-REQ-06097-E4</t>
  </si>
  <si>
    <t>G-REQ-06098-E1</t>
  </si>
  <si>
    <t>G-REQ-06098-E2</t>
  </si>
  <si>
    <t>SYNTHETIC: Laptop repair; Approved; asset G-AST-00125</t>
  </si>
  <si>
    <t>G-REQ-06098-E3</t>
  </si>
  <si>
    <t>SYNTHETIC: Laptop repair; In progress; asset G-AST-00125</t>
  </si>
  <si>
    <t>G-REQ-06098-E4</t>
  </si>
  <si>
    <t>SYNTHETIC: Laptop repair; Completed; asset G-AST-00125</t>
  </si>
  <si>
    <t>G-REQ-06099-E1</t>
  </si>
  <si>
    <t>G-REQ-06099-E2</t>
  </si>
  <si>
    <t>G-REQ-06099-E3</t>
  </si>
  <si>
    <t>G-REQ-06099-E4</t>
  </si>
  <si>
    <t>G-REQ-06100-E1</t>
  </si>
  <si>
    <t>G-REQ-06100-E2</t>
  </si>
  <si>
    <t>G-REQ-06100-E3</t>
  </si>
  <si>
    <t>G-REQ-06100-E4</t>
  </si>
  <si>
    <t>G-REQ-06101-E1</t>
  </si>
  <si>
    <t>G-REQ-06101-E2</t>
  </si>
  <si>
    <t>G-REQ-06101-E3</t>
  </si>
  <si>
    <t>G-REQ-06101-E4</t>
  </si>
  <si>
    <t>G-REQ-06102-E1</t>
  </si>
  <si>
    <t>G-REQ-06102-E2</t>
  </si>
  <si>
    <t>G-REQ-06102-E3</t>
  </si>
  <si>
    <t>G-REQ-06102-E4</t>
  </si>
  <si>
    <t>G-REQ-06103-E1</t>
  </si>
  <si>
    <t>G-REQ-06103-E2</t>
  </si>
  <si>
    <t>G-REQ-06103-E3</t>
  </si>
  <si>
    <t>G-REQ-06103-E4</t>
  </si>
  <si>
    <t>G-REQ-06104-E1</t>
  </si>
  <si>
    <t>G-REQ-06104-E2</t>
  </si>
  <si>
    <t>SYNTHETIC: Laptop repair; Cancelled; asset G-AST-00528</t>
  </si>
  <si>
    <t>G-REQ-06105-E1</t>
  </si>
  <si>
    <t>G-REQ-06105-E2</t>
  </si>
  <si>
    <t>G-REQ-06105-E3</t>
  </si>
  <si>
    <t>G-REQ-06105-E4</t>
  </si>
  <si>
    <t>G-REQ-06106-E1</t>
  </si>
  <si>
    <t>G-REQ-06106-E2</t>
  </si>
  <si>
    <t>G-REQ-06106-E3</t>
  </si>
  <si>
    <t>G-REQ-06106-E4</t>
  </si>
  <si>
    <t>G-REQ-06107-E1</t>
  </si>
  <si>
    <t>G-REQ-06107-E2</t>
  </si>
  <si>
    <t>G-REQ-06107-E3</t>
  </si>
  <si>
    <t>G-REQ-06107-E4</t>
  </si>
  <si>
    <t>G-REQ-06108-E1</t>
  </si>
  <si>
    <t>G-REQ-06108-E2</t>
  </si>
  <si>
    <t>G-REQ-06108-E3</t>
  </si>
  <si>
    <t>G-REQ-06108-E4</t>
  </si>
  <si>
    <t>G-REQ-06109-E1</t>
  </si>
  <si>
    <t>G-REQ-06109-E2</t>
  </si>
  <si>
    <t>SYNTHETIC: Laptop repair; Cancelled; asset G-AST-00152</t>
  </si>
  <si>
    <t>G-REQ-06110-E1</t>
  </si>
  <si>
    <t>G-REQ-06110-E2</t>
  </si>
  <si>
    <t>G-REQ-06110-E3</t>
  </si>
  <si>
    <t>G-REQ-06110-E4</t>
  </si>
  <si>
    <t>G-REQ-06111-E1</t>
  </si>
  <si>
    <t>G-REQ-06111-E2</t>
  </si>
  <si>
    <t>G-REQ-06111-E3</t>
  </si>
  <si>
    <t>G-REQ-06111-E4</t>
  </si>
  <si>
    <t>G-REQ-06112-E1</t>
  </si>
  <si>
    <t>G-REQ-06112-E2</t>
  </si>
  <si>
    <t>G-REQ-06112-E3</t>
  </si>
  <si>
    <t>G-REQ-06112-E4</t>
  </si>
  <si>
    <t>G-REQ-06113-E1</t>
  </si>
  <si>
    <t>G-REQ-06113-E2</t>
  </si>
  <si>
    <t>SYNTHETIC: Laptop repair; Rejected; asset G-AST-00160</t>
  </si>
  <si>
    <t>G-REQ-06114-E1</t>
  </si>
  <si>
    <t>G-REQ-06114-E2</t>
  </si>
  <si>
    <t>G-REQ-06114-E3</t>
  </si>
  <si>
    <t>G-REQ-06114-E4</t>
  </si>
  <si>
    <t>G-REQ-06115-E1</t>
  </si>
  <si>
    <t>G-REQ-06115-E2</t>
  </si>
  <si>
    <t>G-REQ-06115-E3</t>
  </si>
  <si>
    <t>G-REQ-06115-E4</t>
  </si>
  <si>
    <t>G-REQ-06116-E1</t>
  </si>
  <si>
    <t>G-REQ-06116-E2</t>
  </si>
  <si>
    <t>G-REQ-06117-E1</t>
  </si>
  <si>
    <t>G-REQ-06117-E2</t>
  </si>
  <si>
    <t>G-REQ-06117-E3</t>
  </si>
  <si>
    <t>G-REQ-06117-E4</t>
  </si>
  <si>
    <t>G-REQ-06118-E1</t>
  </si>
  <si>
    <t>G-REQ-06118-E2</t>
  </si>
  <si>
    <t>G-REQ-06118-E3</t>
  </si>
  <si>
    <t>G-REQ-06118-E4</t>
  </si>
  <si>
    <t>G-REQ-06119-E1</t>
  </si>
  <si>
    <t>G-REQ-06119-E2</t>
  </si>
  <si>
    <t>G-REQ-06119-E3</t>
  </si>
  <si>
    <t>G-REQ-06119-E4</t>
  </si>
  <si>
    <t>G-REQ-06120-E1</t>
  </si>
  <si>
    <t>G-REQ-06120-E2</t>
  </si>
  <si>
    <t>G-REQ-06120-E3</t>
  </si>
  <si>
    <t>G-REQ-06120-E4</t>
  </si>
  <si>
    <t>G-REQ-06121-E1</t>
  </si>
  <si>
    <t>G-REQ-06121-E2</t>
  </si>
  <si>
    <t>G-REQ-06121-E3</t>
  </si>
  <si>
    <t>G-REQ-06121-E4</t>
  </si>
  <si>
    <t>G-REQ-06122-E1</t>
  </si>
  <si>
    <t>G-REQ-06122-E2</t>
  </si>
  <si>
    <t>G-REQ-06123-E1</t>
  </si>
  <si>
    <t>G-REQ-06123-E2</t>
  </si>
  <si>
    <t>G-REQ-06123-E3</t>
  </si>
  <si>
    <t>G-REQ-06123-E4</t>
  </si>
  <si>
    <t>G-REQ-06124-E1</t>
  </si>
  <si>
    <t>G-REQ-06124-E2</t>
  </si>
  <si>
    <t>G-REQ-06124-E3</t>
  </si>
  <si>
    <t>G-REQ-06124-E4</t>
  </si>
  <si>
    <t>G-REQ-06125-E1</t>
  </si>
  <si>
    <t>G-REQ-06125-E2</t>
  </si>
  <si>
    <t>G-REQ-06126-E1</t>
  </si>
  <si>
    <t>G-REQ-06126-E2</t>
  </si>
  <si>
    <t>G-REQ-06126-E3</t>
  </si>
  <si>
    <t>G-REQ-06126-E4</t>
  </si>
  <si>
    <t>G-REQ-06127-E1</t>
  </si>
  <si>
    <t>G-REQ-06127-E2</t>
  </si>
  <si>
    <t>G-REQ-06127-E3</t>
  </si>
  <si>
    <t>G-REQ-06127-E4</t>
  </si>
  <si>
    <t>G-REQ-06128-E1</t>
  </si>
  <si>
    <t>G-REQ-06128-E2</t>
  </si>
  <si>
    <t>G-REQ-06128-E3</t>
  </si>
  <si>
    <t>G-REQ-06128-E4</t>
  </si>
  <si>
    <t>G-REQ-06129-E1</t>
  </si>
  <si>
    <t>G-REQ-06129-E2</t>
  </si>
  <si>
    <t>G-REQ-06129-E3</t>
  </si>
  <si>
    <t>G-REQ-06129-E4</t>
  </si>
  <si>
    <t>G-REQ-06130-E1</t>
  </si>
  <si>
    <t>G-REQ-06130-E2</t>
  </si>
  <si>
    <t>G-REQ-06130-E3</t>
  </si>
  <si>
    <t>G-REQ-06130-E4</t>
  </si>
  <si>
    <t>G-REQ-06131-E1</t>
  </si>
  <si>
    <t>G-REQ-06131-E2</t>
  </si>
  <si>
    <t>G-REQ-06132-E1</t>
  </si>
  <si>
    <t>G-REQ-06132-E2</t>
  </si>
  <si>
    <t>G-REQ-06132-E3</t>
  </si>
  <si>
    <t>G-REQ-06132-E4</t>
  </si>
  <si>
    <t>G-REQ-06133-E1</t>
  </si>
  <si>
    <t>G-REQ-06133-E2</t>
  </si>
  <si>
    <t>G-REQ-06133-E3</t>
  </si>
  <si>
    <t>G-REQ-06133-E4</t>
  </si>
  <si>
    <t>G-REQ-06134-E1</t>
  </si>
  <si>
    <t>G-REQ-06134-E2</t>
  </si>
  <si>
    <t>G-REQ-06134-E3</t>
  </si>
  <si>
    <t>G-REQ-06134-E4</t>
  </si>
  <si>
    <t>G-REQ-06135-E1</t>
  </si>
  <si>
    <t>G-REQ-06135-E2</t>
  </si>
  <si>
    <t>G-REQ-06135-E3</t>
  </si>
  <si>
    <t>G-REQ-06135-E4</t>
  </si>
  <si>
    <t>G-REQ-06136-E1</t>
  </si>
  <si>
    <t>G-REQ-06136-E2</t>
  </si>
  <si>
    <t>SYNTHETIC: Laptop repair; Cancelled; asset G-AST-00473</t>
  </si>
  <si>
    <t>G-REQ-06137-E1</t>
  </si>
  <si>
    <t>G-REQ-06137-E2</t>
  </si>
  <si>
    <t>G-REQ-06137-E3</t>
  </si>
  <si>
    <t>G-REQ-06137-E4</t>
  </si>
  <si>
    <t>G-REQ-06138-E1</t>
  </si>
  <si>
    <t>G-REQ-06138-E2</t>
  </si>
  <si>
    <t>SYNTHETIC: Laptop repair; Rejected; asset G-AST-00073</t>
  </si>
  <si>
    <t>G-REQ-06139-E1</t>
  </si>
  <si>
    <t>G-REQ-06139-E2</t>
  </si>
  <si>
    <t>SYNTHETIC: Laptop repair; Approved; asset G-AST-00336</t>
  </si>
  <si>
    <t>G-REQ-06139-E3</t>
  </si>
  <si>
    <t>SYNTHETIC: Laptop repair; In progress; asset G-AST-00336</t>
  </si>
  <si>
    <t>G-REQ-06139-E4</t>
  </si>
  <si>
    <t>SYNTHETIC: Laptop repair; Completed; asset G-AST-00336</t>
  </si>
  <si>
    <t>G-REQ-06140-E1</t>
  </si>
  <si>
    <t>G-REQ-06140-E2</t>
  </si>
  <si>
    <t>G-REQ-06140-E3</t>
  </si>
  <si>
    <t>G-REQ-06140-E4</t>
  </si>
  <si>
    <t>G-REQ-06141-E1</t>
  </si>
  <si>
    <t>G-REQ-06141-E2</t>
  </si>
  <si>
    <t>G-REQ-06141-E3</t>
  </si>
  <si>
    <t>G-REQ-06141-E4</t>
  </si>
  <si>
    <t>G-REQ-06142-E1</t>
  </si>
  <si>
    <t>G-REQ-06142-E2</t>
  </si>
  <si>
    <t>G-REQ-06142-E3</t>
  </si>
  <si>
    <t>G-REQ-06142-E4</t>
  </si>
  <si>
    <t>G-REQ-06143-E1</t>
  </si>
  <si>
    <t>G-REQ-06143-E2</t>
  </si>
  <si>
    <t>G-REQ-06143-E3</t>
  </si>
  <si>
    <t>G-REQ-06143-E4</t>
  </si>
  <si>
    <t>G-REQ-06144-E1</t>
  </si>
  <si>
    <t>G-REQ-06144-E2</t>
  </si>
  <si>
    <t>G-REQ-06144-E3</t>
  </si>
  <si>
    <t>G-REQ-06144-E4</t>
  </si>
  <si>
    <t>G-REQ-06145-E1</t>
  </si>
  <si>
    <t>G-REQ-06145-E2</t>
  </si>
  <si>
    <t>G-REQ-06145-E3</t>
  </si>
  <si>
    <t>G-REQ-06145-E4</t>
  </si>
  <si>
    <t>G-REQ-06146-E1</t>
  </si>
  <si>
    <t>G-REQ-06146-E2</t>
  </si>
  <si>
    <t>G-REQ-06146-E3</t>
  </si>
  <si>
    <t>G-REQ-06146-E4</t>
  </si>
  <si>
    <t>G-REQ-06147-E1</t>
  </si>
  <si>
    <t>G-REQ-06147-E2</t>
  </si>
  <si>
    <t>G-REQ-06147-E3</t>
  </si>
  <si>
    <t>G-REQ-06147-E4</t>
  </si>
  <si>
    <t>G-REQ-06148-E1</t>
  </si>
  <si>
    <t>G-REQ-06148-E2</t>
  </si>
  <si>
    <t>G-REQ-06148-E3</t>
  </si>
  <si>
    <t>G-REQ-06148-E4</t>
  </si>
  <si>
    <t>G-REQ-06149-E1</t>
  </si>
  <si>
    <t>G-REQ-06149-E2</t>
  </si>
  <si>
    <t>G-REQ-06149-E3</t>
  </si>
  <si>
    <t>G-REQ-06149-E4</t>
  </si>
  <si>
    <t>G-REQ-06150-E1</t>
  </si>
  <si>
    <t>G-REQ-06150-E2</t>
  </si>
  <si>
    <t>G-REQ-06150-E3</t>
  </si>
  <si>
    <t>G-REQ-06150-E4</t>
  </si>
  <si>
    <t>G-REQ-06151-E1</t>
  </si>
  <si>
    <t>G-REQ-06151-E2</t>
  </si>
  <si>
    <t>G-REQ-06151-E3</t>
  </si>
  <si>
    <t>G-REQ-06151-E4</t>
  </si>
  <si>
    <t>G-REQ-06152-E1</t>
  </si>
  <si>
    <t>G-REQ-06152-E2</t>
  </si>
  <si>
    <t>G-REQ-06152-E3</t>
  </si>
  <si>
    <t>G-REQ-06152-E4</t>
  </si>
  <si>
    <t>G-REQ-06153-E1</t>
  </si>
  <si>
    <t>G-REQ-06153-E2</t>
  </si>
  <si>
    <t>G-REQ-06153-E3</t>
  </si>
  <si>
    <t>G-REQ-06153-E4</t>
  </si>
  <si>
    <t>G-REQ-06154-E1</t>
  </si>
  <si>
    <t>G-REQ-06154-E2</t>
  </si>
  <si>
    <t>G-REQ-06154-E3</t>
  </si>
  <si>
    <t>G-REQ-06154-E4</t>
  </si>
  <si>
    <t>G-REQ-06155-E1</t>
  </si>
  <si>
    <t>G-REQ-06155-E2</t>
  </si>
  <si>
    <t>G-REQ-06155-E3</t>
  </si>
  <si>
    <t>G-REQ-06155-E4</t>
  </si>
  <si>
    <t>G-REQ-06156-E1</t>
  </si>
  <si>
    <t>G-REQ-06156-E2</t>
  </si>
  <si>
    <t>SYNTHETIC: Laptop repair; Cancelled; asset G-AST-00062</t>
  </si>
  <si>
    <t>G-REQ-06157-E1</t>
  </si>
  <si>
    <t>G-REQ-06157-E2</t>
  </si>
  <si>
    <t>G-REQ-06158-E1</t>
  </si>
  <si>
    <t>G-REQ-06158-E2</t>
  </si>
  <si>
    <t>G-REQ-06158-E3</t>
  </si>
  <si>
    <t>G-REQ-06158-E4</t>
  </si>
  <si>
    <t>G-REQ-06159-E1</t>
  </si>
  <si>
    <t>G-REQ-06159-E2</t>
  </si>
  <si>
    <t>G-REQ-06159-E3</t>
  </si>
  <si>
    <t>G-REQ-06159-E4</t>
  </si>
  <si>
    <t>G-REQ-06160-E1</t>
  </si>
  <si>
    <t>G-REQ-06160-E2</t>
  </si>
  <si>
    <t>G-REQ-06160-E3</t>
  </si>
  <si>
    <t>G-REQ-06160-E4</t>
  </si>
  <si>
    <t>G-REQ-06161-E1</t>
  </si>
  <si>
    <t>G-REQ-06161-E2</t>
  </si>
  <si>
    <t>G-REQ-06161-E3</t>
  </si>
  <si>
    <t>G-REQ-06161-E4</t>
  </si>
  <si>
    <t>G-REQ-06162-E1</t>
  </si>
  <si>
    <t>G-REQ-06162-E2</t>
  </si>
  <si>
    <t>G-REQ-06163-E1</t>
  </si>
  <si>
    <t>G-REQ-06163-E2</t>
  </si>
  <si>
    <t>G-REQ-06163-E3</t>
  </si>
  <si>
    <t>G-REQ-06163-E4</t>
  </si>
  <si>
    <t>G-REQ-06164-E1</t>
  </si>
  <si>
    <t>G-REQ-06164-E2</t>
  </si>
  <si>
    <t>G-REQ-06164-E3</t>
  </si>
  <si>
    <t>G-REQ-06164-E4</t>
  </si>
  <si>
    <t>G-REQ-06165-E1</t>
  </si>
  <si>
    <t>G-REQ-06165-E2</t>
  </si>
  <si>
    <t>G-REQ-06165-E3</t>
  </si>
  <si>
    <t>G-REQ-06165-E4</t>
  </si>
  <si>
    <t>G-REQ-06166-E1</t>
  </si>
  <si>
    <t>G-REQ-06166-E2</t>
  </si>
  <si>
    <t>G-REQ-06166-E3</t>
  </si>
  <si>
    <t>G-REQ-06166-E4</t>
  </si>
  <si>
    <t>G-REQ-06167-E1</t>
  </si>
  <si>
    <t>G-REQ-06167-E2</t>
  </si>
  <si>
    <t>G-REQ-06167-E3</t>
  </si>
  <si>
    <t>G-REQ-06167-E4</t>
  </si>
  <si>
    <t>G-REQ-06168-E1</t>
  </si>
  <si>
    <t>G-REQ-06168-E2</t>
  </si>
  <si>
    <t>G-REQ-06168-E3</t>
  </si>
  <si>
    <t>G-REQ-06168-E4</t>
  </si>
  <si>
    <t>G-REQ-06169-E1</t>
  </si>
  <si>
    <t>G-REQ-06169-E2</t>
  </si>
  <si>
    <t>G-REQ-06169-E3</t>
  </si>
  <si>
    <t>G-REQ-06169-E4</t>
  </si>
  <si>
    <t>G-REQ-06170-E1</t>
  </si>
  <si>
    <t>G-REQ-06170-E2</t>
  </si>
  <si>
    <t>G-REQ-06170-E3</t>
  </si>
  <si>
    <t>G-REQ-06170-E4</t>
  </si>
  <si>
    <t>G-REQ-06171-E1</t>
  </si>
  <si>
    <t>G-REQ-06171-E2</t>
  </si>
  <si>
    <t>G-REQ-06171-E3</t>
  </si>
  <si>
    <t>G-REQ-06171-E4</t>
  </si>
  <si>
    <t>G-REQ-06172-E1</t>
  </si>
  <si>
    <t>G-REQ-06172-E2</t>
  </si>
  <si>
    <t>G-REQ-06172-E3</t>
  </si>
  <si>
    <t>G-REQ-06172-E4</t>
  </si>
  <si>
    <t>G-REQ-06173-E1</t>
  </si>
  <si>
    <t>G-REQ-06173-E2</t>
  </si>
  <si>
    <t>G-REQ-06174-E1</t>
  </si>
  <si>
    <t>G-REQ-06174-E2</t>
  </si>
  <si>
    <t>G-REQ-06174-E3</t>
  </si>
  <si>
    <t>G-REQ-06174-E4</t>
  </si>
  <si>
    <t>G-REQ-06175-E1</t>
  </si>
  <si>
    <t>G-REQ-06175-E2</t>
  </si>
  <si>
    <t>G-REQ-06175-E3</t>
  </si>
  <si>
    <t>G-REQ-06175-E4</t>
  </si>
  <si>
    <t>G-REQ-06176-E1</t>
  </si>
  <si>
    <t>G-REQ-06176-E2</t>
  </si>
  <si>
    <t>G-REQ-06176-E3</t>
  </si>
  <si>
    <t>G-REQ-06176-E4</t>
  </si>
  <si>
    <t>G-REQ-06177-E1</t>
  </si>
  <si>
    <t>G-REQ-06177-E2</t>
  </si>
  <si>
    <t>G-REQ-06177-E3</t>
  </si>
  <si>
    <t>G-REQ-06177-E4</t>
  </si>
  <si>
    <t>G-REQ-06178-E1</t>
  </si>
  <si>
    <t>G-REQ-06178-E2</t>
  </si>
  <si>
    <t>G-REQ-06178-E3</t>
  </si>
  <si>
    <t>G-REQ-06178-E4</t>
  </si>
  <si>
    <t>G-REQ-06179-E1</t>
  </si>
  <si>
    <t>G-REQ-06179-E2</t>
  </si>
  <si>
    <t>G-REQ-06179-E3</t>
  </si>
  <si>
    <t>G-REQ-06179-E4</t>
  </si>
  <si>
    <t>G-REQ-06180-E1</t>
  </si>
  <si>
    <t>G-REQ-06180-E2</t>
  </si>
  <si>
    <t>G-REQ-06180-E3</t>
  </si>
  <si>
    <t>G-REQ-06180-E4</t>
  </si>
  <si>
    <t>G-REQ-06181-E1</t>
  </si>
  <si>
    <t>G-REQ-06181-E2</t>
  </si>
  <si>
    <t>G-REQ-06181-E3</t>
  </si>
  <si>
    <t>G-REQ-06181-E4</t>
  </si>
  <si>
    <t>G-REQ-06182-E1</t>
  </si>
  <si>
    <t>G-REQ-06182-E2</t>
  </si>
  <si>
    <t>SYNTHETIC: Laptop repair; Rejected; asset G-AST-00074</t>
  </si>
  <si>
    <t>G-REQ-06183-E1</t>
  </si>
  <si>
    <t>G-REQ-06183-E2</t>
  </si>
  <si>
    <t>G-REQ-06183-E3</t>
  </si>
  <si>
    <t>G-REQ-06183-E4</t>
  </si>
  <si>
    <t>G-REQ-06184-E1</t>
  </si>
  <si>
    <t>G-REQ-06184-E2</t>
  </si>
  <si>
    <t>G-REQ-06184-E3</t>
  </si>
  <si>
    <t>G-REQ-06184-E4</t>
  </si>
  <si>
    <t>G-REQ-06185-E1</t>
  </si>
  <si>
    <t>G-REQ-06185-E2</t>
  </si>
  <si>
    <t>G-REQ-06185-E3</t>
  </si>
  <si>
    <t>G-REQ-06185-E4</t>
  </si>
  <si>
    <t>G-REQ-06186-E1</t>
  </si>
  <si>
    <t>G-REQ-06186-E2</t>
  </si>
  <si>
    <t>G-REQ-06186-E3</t>
  </si>
  <si>
    <t>G-REQ-06186-E4</t>
  </si>
  <si>
    <t>G-REQ-06187-E1</t>
  </si>
  <si>
    <t>G-REQ-06187-E2</t>
  </si>
  <si>
    <t>G-REQ-06187-E3</t>
  </si>
  <si>
    <t>G-REQ-06187-E4</t>
  </si>
  <si>
    <t>G-REQ-06188-E1</t>
  </si>
  <si>
    <t>G-REQ-06188-E2</t>
  </si>
  <si>
    <t>G-REQ-06188-E3</t>
  </si>
  <si>
    <t>G-REQ-06188-E4</t>
  </si>
  <si>
    <t>G-REQ-06189-E1</t>
  </si>
  <si>
    <t>G-REQ-06189-E2</t>
  </si>
  <si>
    <t>G-REQ-06189-E3</t>
  </si>
  <si>
    <t>G-REQ-06189-E4</t>
  </si>
  <si>
    <t>G-REQ-06190-E1</t>
  </si>
  <si>
    <t>G-REQ-06190-E2</t>
  </si>
  <si>
    <t>G-REQ-06190-E3</t>
  </si>
  <si>
    <t>G-REQ-06190-E4</t>
  </si>
  <si>
    <t>G-REQ-06191-E1</t>
  </si>
  <si>
    <t>G-REQ-06191-E2</t>
  </si>
  <si>
    <t>G-REQ-06191-E3</t>
  </si>
  <si>
    <t>G-REQ-06191-E4</t>
  </si>
  <si>
    <t>G-REQ-06192-E1</t>
  </si>
  <si>
    <t>G-REQ-06192-E2</t>
  </si>
  <si>
    <t>SYNTHETIC: Laptop repair; Rejected; asset G-AST-00020</t>
  </si>
  <si>
    <t>G-REQ-06193-E1</t>
  </si>
  <si>
    <t>G-REQ-06193-E2</t>
  </si>
  <si>
    <t>G-REQ-06193-E3</t>
  </si>
  <si>
    <t>G-REQ-06193-E4</t>
  </si>
  <si>
    <t>G-REQ-06194-E1</t>
  </si>
  <si>
    <t>G-REQ-06194-E2</t>
  </si>
  <si>
    <t>G-REQ-06194-E3</t>
  </si>
  <si>
    <t>G-REQ-06194-E4</t>
  </si>
  <si>
    <t>G-REQ-06195-E1</t>
  </si>
  <si>
    <t>G-REQ-06195-E2</t>
  </si>
  <si>
    <t>G-REQ-06195-E3</t>
  </si>
  <si>
    <t>G-REQ-06195-E4</t>
  </si>
  <si>
    <t>G-REQ-06196-E1</t>
  </si>
  <si>
    <t>G-REQ-06196-E2</t>
  </si>
  <si>
    <t>G-REQ-06196-E3</t>
  </si>
  <si>
    <t>G-REQ-06196-E4</t>
  </si>
  <si>
    <t>G-REQ-06197-E1</t>
  </si>
  <si>
    <t>G-REQ-06197-E2</t>
  </si>
  <si>
    <t>G-REQ-06197-E3</t>
  </si>
  <si>
    <t>G-REQ-06197-E4</t>
  </si>
  <si>
    <t>G-REQ-06198-E1</t>
  </si>
  <si>
    <t>G-REQ-06198-E2</t>
  </si>
  <si>
    <t>G-REQ-06198-E3</t>
  </si>
  <si>
    <t>G-REQ-06198-E4</t>
  </si>
  <si>
    <t>G-REQ-06199-E1</t>
  </si>
  <si>
    <t>G-REQ-06199-E2</t>
  </si>
  <si>
    <t>G-REQ-06199-E3</t>
  </si>
  <si>
    <t>G-REQ-06199-E4</t>
  </si>
  <si>
    <t>G-REQ-06200-E1</t>
  </si>
  <si>
    <t>G-REQ-06200-E2</t>
  </si>
  <si>
    <t>G-REQ-06200-E3</t>
  </si>
  <si>
    <t>G-REQ-06200-E4</t>
  </si>
  <si>
    <t>G-REQ-06201-E1</t>
  </si>
  <si>
    <t>G-REQ-06201-E2</t>
  </si>
  <si>
    <t>G-REQ-06201-E3</t>
  </si>
  <si>
    <t>G-REQ-06201-E4</t>
  </si>
  <si>
    <t>G-REQ-06202-E1</t>
  </si>
  <si>
    <t>G-REQ-06202-E2</t>
  </si>
  <si>
    <t>SYNTHETIC: Laptop return; Rejected; asset G-AST-00478</t>
  </si>
  <si>
    <t>G-REQ-06203-E1</t>
  </si>
  <si>
    <t>G-REQ-06203-E2</t>
  </si>
  <si>
    <t>G-REQ-06203-E3</t>
  </si>
  <si>
    <t>G-REQ-06203-E4</t>
  </si>
  <si>
    <t>G-REQ-06204-E1</t>
  </si>
  <si>
    <t>G-REQ-06204-E2</t>
  </si>
  <si>
    <t>G-REQ-06204-E3</t>
  </si>
  <si>
    <t>G-REQ-06204-E4</t>
  </si>
  <si>
    <t>G-REQ-06205-E1</t>
  </si>
  <si>
    <t>G-REQ-06205-E2</t>
  </si>
  <si>
    <t>G-REQ-06205-E3</t>
  </si>
  <si>
    <t>G-REQ-06205-E4</t>
  </si>
  <si>
    <t>G-REQ-06206-E1</t>
  </si>
  <si>
    <t>G-REQ-06206-E2</t>
  </si>
  <si>
    <t>G-REQ-06206-E3</t>
  </si>
  <si>
    <t>G-REQ-06206-E4</t>
  </si>
  <si>
    <t>G-REQ-06207-E1</t>
  </si>
  <si>
    <t>G-REQ-06207-E2</t>
  </si>
  <si>
    <t>G-REQ-06207-E3</t>
  </si>
  <si>
    <t>G-REQ-06207-E4</t>
  </si>
  <si>
    <t>G-REQ-06208-E1</t>
  </si>
  <si>
    <t>G-REQ-06208-E2</t>
  </si>
  <si>
    <t>G-REQ-06208-E3</t>
  </si>
  <si>
    <t>G-REQ-06208-E4</t>
  </si>
  <si>
    <t>G-REQ-06209-E1</t>
  </si>
  <si>
    <t>G-REQ-06209-E2</t>
  </si>
  <si>
    <t>G-REQ-06209-E3</t>
  </si>
  <si>
    <t>G-REQ-06209-E4</t>
  </si>
  <si>
    <t>G-REQ-06210-E1</t>
  </si>
  <si>
    <t>G-REQ-06210-E2</t>
  </si>
  <si>
    <t>G-REQ-06210-E3</t>
  </si>
  <si>
    <t>G-REQ-06210-E4</t>
  </si>
  <si>
    <t>G-REQ-06211-E1</t>
  </si>
  <si>
    <t>G-REQ-06211-E2</t>
  </si>
  <si>
    <t>G-REQ-06211-E3</t>
  </si>
  <si>
    <t>G-REQ-06211-E4</t>
  </si>
  <si>
    <t>G-REQ-06212-E1</t>
  </si>
  <si>
    <t>G-REQ-06212-E2</t>
  </si>
  <si>
    <t>G-REQ-06212-E3</t>
  </si>
  <si>
    <t>G-REQ-06212-E4</t>
  </si>
  <si>
    <t>G-REQ-06213-E1</t>
  </si>
  <si>
    <t>G-REQ-06213-E2</t>
  </si>
  <si>
    <t>G-REQ-06213-E3</t>
  </si>
  <si>
    <t>G-REQ-06213-E4</t>
  </si>
  <si>
    <t>G-REQ-06214-E1</t>
  </si>
  <si>
    <t>G-REQ-06214-E2</t>
  </si>
  <si>
    <t>G-REQ-06214-E3</t>
  </si>
  <si>
    <t>G-REQ-06214-E4</t>
  </si>
  <si>
    <t>G-REQ-06215-E1</t>
  </si>
  <si>
    <t>G-REQ-06215-E2</t>
  </si>
  <si>
    <t>G-REQ-06215-E3</t>
  </si>
  <si>
    <t>G-REQ-06215-E4</t>
  </si>
  <si>
    <t>G-REQ-06216-E1</t>
  </si>
  <si>
    <t>G-REQ-06216-E2</t>
  </si>
  <si>
    <t>G-REQ-06216-E3</t>
  </si>
  <si>
    <t>G-REQ-06216-E4</t>
  </si>
  <si>
    <t>G-REQ-06217-E1</t>
  </si>
  <si>
    <t>G-REQ-06217-E2</t>
  </si>
  <si>
    <t>G-REQ-06217-E3</t>
  </si>
  <si>
    <t>G-REQ-06217-E4</t>
  </si>
  <si>
    <t>G-REQ-06218-E1</t>
  </si>
  <si>
    <t>G-REQ-06218-E2</t>
  </si>
  <si>
    <t>G-REQ-06218-E3</t>
  </si>
  <si>
    <t>G-REQ-06218-E4</t>
  </si>
  <si>
    <t>G-REQ-06219-E1</t>
  </si>
  <si>
    <t>G-REQ-06219-E2</t>
  </si>
  <si>
    <t>G-REQ-06219-E3</t>
  </si>
  <si>
    <t>G-REQ-06219-E4</t>
  </si>
  <si>
    <t>G-REQ-06220-E1</t>
  </si>
  <si>
    <t>G-REQ-06220-E2</t>
  </si>
  <si>
    <t>G-REQ-06220-E3</t>
  </si>
  <si>
    <t>G-REQ-06220-E4</t>
  </si>
  <si>
    <t>G-REQ-06221-E1</t>
  </si>
  <si>
    <t>G-REQ-06221-E2</t>
  </si>
  <si>
    <t>G-REQ-06221-E3</t>
  </si>
  <si>
    <t>G-REQ-06221-E4</t>
  </si>
  <si>
    <t>G-REQ-06222-E1</t>
  </si>
  <si>
    <t>G-REQ-06222-E2</t>
  </si>
  <si>
    <t>G-REQ-06222-E3</t>
  </si>
  <si>
    <t>G-REQ-06222-E4</t>
  </si>
  <si>
    <t>G-REQ-06223-E1</t>
  </si>
  <si>
    <t>G-REQ-06223-E2</t>
  </si>
  <si>
    <t>G-REQ-06223-E3</t>
  </si>
  <si>
    <t>G-REQ-06223-E4</t>
  </si>
  <si>
    <t>G-REQ-06224-E1</t>
  </si>
  <si>
    <t>G-REQ-06224-E2</t>
  </si>
  <si>
    <t>G-REQ-06224-E3</t>
  </si>
  <si>
    <t>G-REQ-06224-E4</t>
  </si>
  <si>
    <t>G-REQ-06225-E1</t>
  </si>
  <si>
    <t>G-REQ-06225-E2</t>
  </si>
  <si>
    <t>G-REQ-06225-E3</t>
  </si>
  <si>
    <t>G-REQ-06225-E4</t>
  </si>
  <si>
    <t>G-REQ-06226-E1</t>
  </si>
  <si>
    <t>G-REQ-06226-E2</t>
  </si>
  <si>
    <t>G-REQ-06226-E3</t>
  </si>
  <si>
    <t>G-REQ-06226-E4</t>
  </si>
  <si>
    <t>G-REQ-06227-E1</t>
  </si>
  <si>
    <t>G-REQ-06227-E2</t>
  </si>
  <si>
    <t>G-REQ-06227-E3</t>
  </si>
  <si>
    <t>G-REQ-06227-E4</t>
  </si>
  <si>
    <t>G-REQ-06228-E1</t>
  </si>
  <si>
    <t>G-REQ-06228-E2</t>
  </si>
  <si>
    <t>G-REQ-06228-E3</t>
  </si>
  <si>
    <t>G-REQ-06228-E4</t>
  </si>
  <si>
    <t>G-REQ-06229-E1</t>
  </si>
  <si>
    <t>G-REQ-06229-E2</t>
  </si>
  <si>
    <t>G-REQ-06229-E3</t>
  </si>
  <si>
    <t>G-REQ-06229-E4</t>
  </si>
  <si>
    <t>G-REQ-06230-E1</t>
  </si>
  <si>
    <t>G-REQ-06230-E2</t>
  </si>
  <si>
    <t>G-REQ-06231-E1</t>
  </si>
  <si>
    <t>G-REQ-06231-E2</t>
  </si>
  <si>
    <t>G-REQ-06231-E3</t>
  </si>
  <si>
    <t>G-REQ-06231-E4</t>
  </si>
  <si>
    <t>G-REQ-06232-E1</t>
  </si>
  <si>
    <t>G-REQ-06232-E2</t>
  </si>
  <si>
    <t>G-REQ-06232-E3</t>
  </si>
  <si>
    <t>G-REQ-06232-E4</t>
  </si>
  <si>
    <t>G-REQ-06233-E1</t>
  </si>
  <si>
    <t>G-REQ-06233-E2</t>
  </si>
  <si>
    <t>G-REQ-06233-E3</t>
  </si>
  <si>
    <t>G-REQ-06233-E4</t>
  </si>
  <si>
    <t>G-REQ-06234-E1</t>
  </si>
  <si>
    <t>G-REQ-06234-E2</t>
  </si>
  <si>
    <t>G-REQ-06234-E3</t>
  </si>
  <si>
    <t>G-REQ-06234-E4</t>
  </si>
  <si>
    <t>G-REQ-06235-E1</t>
  </si>
  <si>
    <t>G-REQ-06235-E2</t>
  </si>
  <si>
    <t>G-REQ-06235-E3</t>
  </si>
  <si>
    <t>G-REQ-06235-E4</t>
  </si>
  <si>
    <t>G-REQ-06236-E1</t>
  </si>
  <si>
    <t>G-REQ-06236-E2</t>
  </si>
  <si>
    <t>G-REQ-06236-E3</t>
  </si>
  <si>
    <t>G-REQ-06236-E4</t>
  </si>
  <si>
    <t>G-REQ-06237-E1</t>
  </si>
  <si>
    <t>G-REQ-06237-E2</t>
  </si>
  <si>
    <t>SYNTHETIC: Laptop return; Cancelled; asset G-AST-00068</t>
  </si>
  <si>
    <t>G-REQ-06238-E1</t>
  </si>
  <si>
    <t>G-REQ-06238-E2</t>
  </si>
  <si>
    <t>G-REQ-06238-E3</t>
  </si>
  <si>
    <t>G-REQ-06238-E4</t>
  </si>
  <si>
    <t>G-REQ-06239-E1</t>
  </si>
  <si>
    <t>G-REQ-06239-E2</t>
  </si>
  <si>
    <t>G-REQ-06239-E3</t>
  </si>
  <si>
    <t>G-REQ-06239-E4</t>
  </si>
  <si>
    <t>G-REQ-06240-E1</t>
  </si>
  <si>
    <t>G-REQ-06240-E2</t>
  </si>
  <si>
    <t>G-REQ-06240-E3</t>
  </si>
  <si>
    <t>G-REQ-06240-E4</t>
  </si>
  <si>
    <t>G-REQ-06241-E1</t>
  </si>
  <si>
    <t>G-REQ-06241-E2</t>
  </si>
  <si>
    <t>G-REQ-06241-E3</t>
  </si>
  <si>
    <t>G-REQ-06241-E4</t>
  </si>
  <si>
    <t>G-REQ-06242-E1</t>
  </si>
  <si>
    <t>G-REQ-06242-E2</t>
  </si>
  <si>
    <t>G-REQ-06242-E3</t>
  </si>
  <si>
    <t>G-REQ-06242-E4</t>
  </si>
  <si>
    <t>G-REQ-06243-E1</t>
  </si>
  <si>
    <t>G-REQ-06243-E2</t>
  </si>
  <si>
    <t>G-REQ-06243-E3</t>
  </si>
  <si>
    <t>G-REQ-06243-E4</t>
  </si>
  <si>
    <t>G-REQ-06244-E1</t>
  </si>
  <si>
    <t>G-REQ-06244-E2</t>
  </si>
  <si>
    <t>G-REQ-06244-E3</t>
  </si>
  <si>
    <t>G-REQ-06244-E4</t>
  </si>
  <si>
    <t>G-REQ-06245-E1</t>
  </si>
  <si>
    <t>G-REQ-06245-E2</t>
  </si>
  <si>
    <t>G-REQ-06245-E3</t>
  </si>
  <si>
    <t>G-REQ-06245-E4</t>
  </si>
  <si>
    <t>G-REQ-06246-E1</t>
  </si>
  <si>
    <t>G-REQ-06246-E2</t>
  </si>
  <si>
    <t>G-REQ-06246-E3</t>
  </si>
  <si>
    <t>G-REQ-06246-E4</t>
  </si>
  <si>
    <t>G-REQ-06247-E1</t>
  </si>
  <si>
    <t>G-REQ-06247-E2</t>
  </si>
  <si>
    <t>G-REQ-06247-E3</t>
  </si>
  <si>
    <t>G-REQ-06247-E4</t>
  </si>
  <si>
    <t>G-REQ-06248-E1</t>
  </si>
  <si>
    <t>G-REQ-06248-E2</t>
  </si>
  <si>
    <t>G-REQ-06248-E3</t>
  </si>
  <si>
    <t>G-REQ-06248-E4</t>
  </si>
  <si>
    <t>G-REQ-06249-E1</t>
  </si>
  <si>
    <t>G-REQ-06249-E2</t>
  </si>
  <si>
    <t>G-REQ-06249-E3</t>
  </si>
  <si>
    <t>G-REQ-06249-E4</t>
  </si>
  <si>
    <t>G-REQ-06250-E1</t>
  </si>
  <si>
    <t>G-REQ-06250-E2</t>
  </si>
  <si>
    <t>G-REQ-06250-E3</t>
  </si>
  <si>
    <t>G-REQ-06250-E4</t>
  </si>
  <si>
    <t>G-REQ-06251-E1</t>
  </si>
  <si>
    <t>G-REQ-06251-E2</t>
  </si>
  <si>
    <t>G-REQ-06251-E3</t>
  </si>
  <si>
    <t>G-REQ-06251-E4</t>
  </si>
  <si>
    <t>G-REQ-06252-E1</t>
  </si>
  <si>
    <t>G-REQ-06252-E2</t>
  </si>
  <si>
    <t>G-REQ-06252-E3</t>
  </si>
  <si>
    <t>G-REQ-06252-E4</t>
  </si>
  <si>
    <t>G-REQ-06253-E1</t>
  </si>
  <si>
    <t>G-REQ-06253-E2</t>
  </si>
  <si>
    <t>G-REQ-06253-E3</t>
  </si>
  <si>
    <t>G-REQ-06253-E4</t>
  </si>
  <si>
    <t>G-REQ-06254-E1</t>
  </si>
  <si>
    <t>G-REQ-06254-E2</t>
  </si>
  <si>
    <t>G-REQ-06254-E3</t>
  </si>
  <si>
    <t>G-REQ-06254-E4</t>
  </si>
  <si>
    <t>G-REQ-06255-E1</t>
  </si>
  <si>
    <t>G-REQ-06255-E2</t>
  </si>
  <si>
    <t>G-REQ-06255-E3</t>
  </si>
  <si>
    <t>G-REQ-06255-E4</t>
  </si>
  <si>
    <t>G-REQ-06256-E1</t>
  </si>
  <si>
    <t>G-REQ-06256-E2</t>
  </si>
  <si>
    <t>G-REQ-06256-E3</t>
  </si>
  <si>
    <t>G-REQ-06256-E4</t>
  </si>
  <si>
    <t>G-REQ-06257-E1</t>
  </si>
  <si>
    <t>G-REQ-06257-E2</t>
  </si>
  <si>
    <t>SYNTHETIC: Laptop return; Cancelled; asset G-AST-00237</t>
  </si>
  <si>
    <t>G-REQ-06258-E1</t>
  </si>
  <si>
    <t>G-REQ-06258-E2</t>
  </si>
  <si>
    <t>SYNTHETIC: Laptop return; Rejected; asset G-AST-00373</t>
  </si>
  <si>
    <t>G-REQ-06259-E1</t>
  </si>
  <si>
    <t>G-REQ-06259-E2</t>
  </si>
  <si>
    <t>G-REQ-06259-E3</t>
  </si>
  <si>
    <t>G-REQ-06259-E4</t>
  </si>
  <si>
    <t>G-REQ-06260-E1</t>
  </si>
  <si>
    <t>G-REQ-06260-E2</t>
  </si>
  <si>
    <t>G-REQ-06260-E3</t>
  </si>
  <si>
    <t>G-REQ-06260-E4</t>
  </si>
  <si>
    <t>G-REQ-06261-E1</t>
  </si>
  <si>
    <t>G-REQ-06261-E2</t>
  </si>
  <si>
    <t>G-REQ-06261-E3</t>
  </si>
  <si>
    <t>G-REQ-06261-E4</t>
  </si>
  <si>
    <t>G-REQ-06262-E1</t>
  </si>
  <si>
    <t>G-REQ-06262-E2</t>
  </si>
  <si>
    <t>G-REQ-06262-E3</t>
  </si>
  <si>
    <t>G-REQ-06262-E4</t>
  </si>
  <si>
    <t>G-REQ-06263-E1</t>
  </si>
  <si>
    <t>G-REQ-06263-E2</t>
  </si>
  <si>
    <t>G-REQ-06263-E3</t>
  </si>
  <si>
    <t>G-REQ-06263-E4</t>
  </si>
  <si>
    <t>G-REQ-06264-E1</t>
  </si>
  <si>
    <t>G-REQ-06264-E2</t>
  </si>
  <si>
    <t>G-REQ-06265-E1</t>
  </si>
  <si>
    <t>G-REQ-06265-E2</t>
  </si>
  <si>
    <t>SYNTHETIC: Laptop repair; Approved; asset G-AST-00177</t>
  </si>
  <si>
    <t>G-REQ-06265-E3</t>
  </si>
  <si>
    <t>SYNTHETIC: Laptop repair; In progress; asset G-AST-00177</t>
  </si>
  <si>
    <t>G-REQ-06265-E4</t>
  </si>
  <si>
    <t>SYNTHETIC: Laptop repair; Completed; asset G-AST-00177</t>
  </si>
  <si>
    <t>G-REQ-06266-E1</t>
  </si>
  <si>
    <t>G-REQ-06266-E2</t>
  </si>
  <si>
    <t>G-REQ-06266-E3</t>
  </si>
  <si>
    <t>G-REQ-06266-E4</t>
  </si>
  <si>
    <t>G-REQ-06267-E1</t>
  </si>
  <si>
    <t>G-REQ-06267-E2</t>
  </si>
  <si>
    <t>G-REQ-06267-E3</t>
  </si>
  <si>
    <t>G-REQ-06267-E4</t>
  </si>
  <si>
    <t>G-REQ-06268-E1</t>
  </si>
  <si>
    <t>G-REQ-06268-E2</t>
  </si>
  <si>
    <t>G-REQ-06269-E1</t>
  </si>
  <si>
    <t>G-REQ-06269-E2</t>
  </si>
  <si>
    <t>G-REQ-06269-E3</t>
  </si>
  <si>
    <t>G-REQ-06269-E4</t>
  </si>
  <si>
    <t>G-REQ-06270-E1</t>
  </si>
  <si>
    <t>G-REQ-06270-E2</t>
  </si>
  <si>
    <t>G-REQ-06270-E3</t>
  </si>
  <si>
    <t>G-REQ-06270-E4</t>
  </si>
  <si>
    <t>G-REQ-06271-E1</t>
  </si>
  <si>
    <t>G-REQ-06271-E2</t>
  </si>
  <si>
    <t>G-REQ-06271-E3</t>
  </si>
  <si>
    <t>G-REQ-06271-E4</t>
  </si>
  <si>
    <t>G-REQ-06272-E1</t>
  </si>
  <si>
    <t>G-REQ-06272-E2</t>
  </si>
  <si>
    <t>G-REQ-06272-E3</t>
  </si>
  <si>
    <t>G-REQ-06272-E4</t>
  </si>
  <si>
    <t>G-REQ-06273-E1</t>
  </si>
  <si>
    <t>G-REQ-06273-E2</t>
  </si>
  <si>
    <t>SYNTHETIC: Laptop repair; Approved; asset G-AST-00123</t>
  </si>
  <si>
    <t>G-REQ-06273-E3</t>
  </si>
  <si>
    <t>SYNTHETIC: Laptop repair; In progress; asset G-AST-00123</t>
  </si>
  <si>
    <t>G-REQ-06273-E4</t>
  </si>
  <si>
    <t>SYNTHETIC: Laptop repair; Completed; asset G-AST-00123</t>
  </si>
  <si>
    <t>G-REQ-06274-E1</t>
  </si>
  <si>
    <t>G-REQ-06274-E2</t>
  </si>
  <si>
    <t>G-REQ-06274-E3</t>
  </si>
  <si>
    <t>G-REQ-06274-E4</t>
  </si>
  <si>
    <t>G-REQ-06275-E1</t>
  </si>
  <si>
    <t>G-REQ-06275-E2</t>
  </si>
  <si>
    <t>G-REQ-06276-E1</t>
  </si>
  <si>
    <t>G-REQ-06276-E2</t>
  </si>
  <si>
    <t>G-REQ-06276-E3</t>
  </si>
  <si>
    <t>G-REQ-06276-E4</t>
  </si>
  <si>
    <t>G-REQ-06277-E1</t>
  </si>
  <si>
    <t>G-REQ-06277-E2</t>
  </si>
  <si>
    <t>G-REQ-06277-E3</t>
  </si>
  <si>
    <t>G-REQ-06277-E4</t>
  </si>
  <si>
    <t>G-REQ-06278-E1</t>
  </si>
  <si>
    <t>G-REQ-06278-E2</t>
  </si>
  <si>
    <t>G-REQ-06278-E3</t>
  </si>
  <si>
    <t>G-REQ-06278-E4</t>
  </si>
  <si>
    <t>G-REQ-06279-E1</t>
  </si>
  <si>
    <t>G-REQ-06279-E2</t>
  </si>
  <si>
    <t>G-REQ-06279-E3</t>
  </si>
  <si>
    <t>G-REQ-06279-E4</t>
  </si>
  <si>
    <t>G-REQ-06280-E1</t>
  </si>
  <si>
    <t>G-REQ-06280-E2</t>
  </si>
  <si>
    <t>G-REQ-06280-E3</t>
  </si>
  <si>
    <t>G-REQ-06280-E4</t>
  </si>
  <si>
    <t>G-REQ-06281-E1</t>
  </si>
  <si>
    <t>G-REQ-06281-E2</t>
  </si>
  <si>
    <t>G-REQ-06281-E3</t>
  </si>
  <si>
    <t>G-REQ-06281-E4</t>
  </si>
  <si>
    <t>G-REQ-06282-E1</t>
  </si>
  <si>
    <t>SYNTHETIC: Laptop repair; Pending approval; asset G-AST-00538</t>
  </si>
  <si>
    <t>G-REQ-06282-E2</t>
  </si>
  <si>
    <t>SYNTHETIC: Laptop repair; Approved; asset G-AST-00538</t>
  </si>
  <si>
    <t>G-REQ-06282-E3</t>
  </si>
  <si>
    <t>SYNTHETIC: Laptop repair; In progress; asset G-AST-00538</t>
  </si>
  <si>
    <t>G-REQ-06282-E4</t>
  </si>
  <si>
    <t>SYNTHETIC: Laptop repair; Completed; asset G-AST-00538</t>
  </si>
  <si>
    <t>G-REQ-06283-E1</t>
  </si>
  <si>
    <t>G-REQ-06283-E2</t>
  </si>
  <si>
    <t>G-REQ-06283-E3</t>
  </si>
  <si>
    <t>G-REQ-06283-E4</t>
  </si>
  <si>
    <t>G-REQ-06284-E1</t>
  </si>
  <si>
    <t>G-REQ-06284-E2</t>
  </si>
  <si>
    <t>G-REQ-06284-E3</t>
  </si>
  <si>
    <t>G-REQ-06284-E4</t>
  </si>
  <si>
    <t>G-REQ-06285-E1</t>
  </si>
  <si>
    <t>G-REQ-06285-E2</t>
  </si>
  <si>
    <t>G-REQ-06285-E3</t>
  </si>
  <si>
    <t>G-REQ-06285-E4</t>
  </si>
  <si>
    <t>G-REQ-06286-E1</t>
  </si>
  <si>
    <t>G-REQ-06286-E2</t>
  </si>
  <si>
    <t>SYNTHETIC: Laptop repair; Rejected; asset G-AST-00133</t>
  </si>
  <si>
    <t>G-REQ-06287-E1</t>
  </si>
  <si>
    <t>G-REQ-06287-E2</t>
  </si>
  <si>
    <t>G-REQ-06287-E3</t>
  </si>
  <si>
    <t>G-REQ-06287-E4</t>
  </si>
  <si>
    <t>G-REQ-06288-E1</t>
  </si>
  <si>
    <t>G-REQ-06288-E2</t>
  </si>
  <si>
    <t>G-REQ-06288-E3</t>
  </si>
  <si>
    <t>G-REQ-06288-E4</t>
  </si>
  <si>
    <t>G-REQ-06289-E1</t>
  </si>
  <si>
    <t>G-REQ-06289-E2</t>
  </si>
  <si>
    <t>G-REQ-06289-E3</t>
  </si>
  <si>
    <t>G-REQ-06289-E4</t>
  </si>
  <si>
    <t>G-REQ-06290-E1</t>
  </si>
  <si>
    <t>G-REQ-06290-E2</t>
  </si>
  <si>
    <t>G-REQ-06290-E3</t>
  </si>
  <si>
    <t>G-REQ-06290-E4</t>
  </si>
  <si>
    <t>G-REQ-06291-E1</t>
  </si>
  <si>
    <t>G-REQ-06291-E2</t>
  </si>
  <si>
    <t>G-REQ-06291-E3</t>
  </si>
  <si>
    <t>G-REQ-06291-E4</t>
  </si>
  <si>
    <t>G-REQ-06292-E1</t>
  </si>
  <si>
    <t>G-REQ-06292-E2</t>
  </si>
  <si>
    <t>G-REQ-06293-E1</t>
  </si>
  <si>
    <t>G-REQ-06293-E2</t>
  </si>
  <si>
    <t>G-REQ-06293-E3</t>
  </si>
  <si>
    <t>G-REQ-06293-E4</t>
  </si>
  <si>
    <t>G-REQ-06294-E1</t>
  </si>
  <si>
    <t>G-REQ-06294-E2</t>
  </si>
  <si>
    <t>G-REQ-06294-E3</t>
  </si>
  <si>
    <t>G-REQ-06294-E4</t>
  </si>
  <si>
    <t>G-REQ-06295-E1</t>
  </si>
  <si>
    <t>G-REQ-06295-E2</t>
  </si>
  <si>
    <t>G-REQ-06295-E3</t>
  </si>
  <si>
    <t>G-REQ-06295-E4</t>
  </si>
  <si>
    <t>G-REQ-06296-E1</t>
  </si>
  <si>
    <t>G-REQ-06296-E2</t>
  </si>
  <si>
    <t>G-REQ-06296-E3</t>
  </si>
  <si>
    <t>G-REQ-06296-E4</t>
  </si>
  <si>
    <t>G-REQ-06297-E1</t>
  </si>
  <si>
    <t>G-REQ-06297-E2</t>
  </si>
  <si>
    <t>G-REQ-06297-E3</t>
  </si>
  <si>
    <t>G-REQ-06297-E4</t>
  </si>
  <si>
    <t>G-REQ-06298-E1</t>
  </si>
  <si>
    <t>G-REQ-06298-E2</t>
  </si>
  <si>
    <t>G-REQ-06298-E3</t>
  </si>
  <si>
    <t>G-REQ-06298-E4</t>
  </si>
  <si>
    <t>G-REQ-06299-E1</t>
  </si>
  <si>
    <t>G-REQ-06299-E2</t>
  </si>
  <si>
    <t>G-REQ-06299-E3</t>
  </si>
  <si>
    <t>G-REQ-06299-E4</t>
  </si>
  <si>
    <t>G-REQ-06300-E1</t>
  </si>
  <si>
    <t>G-REQ-06300-E2</t>
  </si>
  <si>
    <t>G-REQ-06300-E3</t>
  </si>
  <si>
    <t>G-REQ-06300-E4</t>
  </si>
  <si>
    <t>G-REQ-06301-E1</t>
  </si>
  <si>
    <t>G-REQ-06301-E2</t>
  </si>
  <si>
    <t>SYNTHETIC: Laptop return; Cancelled; asset G-AST-00123</t>
  </si>
  <si>
    <t>G-REQ-06302-E1</t>
  </si>
  <si>
    <t>G-REQ-06302-E2</t>
  </si>
  <si>
    <t>G-REQ-06302-E3</t>
  </si>
  <si>
    <t>G-REQ-06302-E4</t>
  </si>
  <si>
    <t>G-REQ-06303-E1</t>
  </si>
  <si>
    <t>G-REQ-06303-E2</t>
  </si>
  <si>
    <t>G-REQ-06303-E3</t>
  </si>
  <si>
    <t>G-REQ-06303-E4</t>
  </si>
  <si>
    <t>G-REQ-06304-E1</t>
  </si>
  <si>
    <t>G-REQ-06304-E2</t>
  </si>
  <si>
    <t>G-REQ-06305-E1</t>
  </si>
  <si>
    <t>G-REQ-06305-E2</t>
  </si>
  <si>
    <t>G-REQ-06305-E3</t>
  </si>
  <si>
    <t>G-REQ-06305-E4</t>
  </si>
  <si>
    <t>G-REQ-06306-E1</t>
  </si>
  <si>
    <t>G-REQ-06306-E2</t>
  </si>
  <si>
    <t>G-REQ-06306-E3</t>
  </si>
  <si>
    <t>G-REQ-06306-E4</t>
  </si>
  <si>
    <t>G-REQ-06307-E1</t>
  </si>
  <si>
    <t>G-REQ-06307-E2</t>
  </si>
  <si>
    <t>G-REQ-06307-E3</t>
  </si>
  <si>
    <t>G-REQ-06307-E4</t>
  </si>
  <si>
    <t>G-REQ-06308-E1</t>
  </si>
  <si>
    <t>G-REQ-06308-E2</t>
  </si>
  <si>
    <t>SYNTHETIC: Laptop return; Cancelled; asset G-AST-00197</t>
  </si>
  <si>
    <t>G-REQ-06309-E1</t>
  </si>
  <si>
    <t>G-REQ-06309-E2</t>
  </si>
  <si>
    <t>G-REQ-06309-E3</t>
  </si>
  <si>
    <t>G-REQ-06309-E4</t>
  </si>
  <si>
    <t>G-REQ-06310-E1</t>
  </si>
  <si>
    <t>G-REQ-06310-E2</t>
  </si>
  <si>
    <t>G-REQ-06311-E1</t>
  </si>
  <si>
    <t>G-REQ-06311-E2</t>
  </si>
  <si>
    <t>G-REQ-06312-E1</t>
  </si>
  <si>
    <t>G-REQ-06312-E2</t>
  </si>
  <si>
    <t>G-REQ-06312-E3</t>
  </si>
  <si>
    <t>G-REQ-06312-E4</t>
  </si>
  <si>
    <t>G-REQ-06313-E1</t>
  </si>
  <si>
    <t>G-REQ-06313-E2</t>
  </si>
  <si>
    <t>G-REQ-06314-E1</t>
  </si>
  <si>
    <t>G-REQ-06314-E2</t>
  </si>
  <si>
    <t>G-REQ-06314-E3</t>
  </si>
  <si>
    <t>G-REQ-06314-E4</t>
  </si>
  <si>
    <t>G-REQ-06315-E1</t>
  </si>
  <si>
    <t>G-REQ-06315-E2</t>
  </si>
  <si>
    <t>G-REQ-06315-E3</t>
  </si>
  <si>
    <t>G-REQ-06315-E4</t>
  </si>
  <si>
    <t>G-REQ-06316-E1</t>
  </si>
  <si>
    <t>G-REQ-06316-E2</t>
  </si>
  <si>
    <t>G-REQ-06316-E3</t>
  </si>
  <si>
    <t>G-REQ-06316-E4</t>
  </si>
  <si>
    <t>G-REQ-06317-E1</t>
  </si>
  <si>
    <t>G-REQ-06317-E2</t>
  </si>
  <si>
    <t>G-REQ-06318-E1</t>
  </si>
  <si>
    <t>G-REQ-06318-E2</t>
  </si>
  <si>
    <t>G-REQ-06318-E3</t>
  </si>
  <si>
    <t>G-REQ-06318-E4</t>
  </si>
  <si>
    <t>G-REQ-06319-E1</t>
  </si>
  <si>
    <t>G-REQ-06319-E2</t>
  </si>
  <si>
    <t>G-REQ-06319-E3</t>
  </si>
  <si>
    <t>G-REQ-06319-E4</t>
  </si>
  <si>
    <t>G-REQ-06320-E1</t>
  </si>
  <si>
    <t>G-REQ-06320-E2</t>
  </si>
  <si>
    <t>SYNTHETIC: Laptop repair; Cancelled; asset G-AST-00236</t>
  </si>
  <si>
    <t>G-REQ-06321-E1</t>
  </si>
  <si>
    <t>G-REQ-06321-E2</t>
  </si>
  <si>
    <t>G-REQ-06321-E3</t>
  </si>
  <si>
    <t>G-REQ-06321-E4</t>
  </si>
  <si>
    <t>G-REQ-06322-E1</t>
  </si>
  <si>
    <t>G-REQ-06322-E2</t>
  </si>
  <si>
    <t>SYNTHETIC: Laptop repair; Rejected; asset G-AST-00096</t>
  </si>
  <si>
    <t>G-REQ-06323-E1</t>
  </si>
  <si>
    <t>G-REQ-06323-E2</t>
  </si>
  <si>
    <t>G-REQ-06323-E3</t>
  </si>
  <si>
    <t>G-REQ-06323-E4</t>
  </si>
  <si>
    <t>G-REQ-06324-E1</t>
  </si>
  <si>
    <t>G-REQ-06324-E2</t>
  </si>
  <si>
    <t>G-REQ-06324-E3</t>
  </si>
  <si>
    <t>G-REQ-06324-E4</t>
  </si>
  <si>
    <t>G-REQ-06325-E1</t>
  </si>
  <si>
    <t>G-REQ-06325-E2</t>
  </si>
  <si>
    <t>G-REQ-06325-E3</t>
  </si>
  <si>
    <t>G-REQ-06325-E4</t>
  </si>
  <si>
    <t>G-REQ-06326-E1</t>
  </si>
  <si>
    <t>G-REQ-06326-E2</t>
  </si>
  <si>
    <t>G-REQ-06326-E3</t>
  </si>
  <si>
    <t>G-REQ-06326-E4</t>
  </si>
  <si>
    <t>G-REQ-06327-E1</t>
  </si>
  <si>
    <t>G-REQ-06327-E2</t>
  </si>
  <si>
    <t>G-REQ-06327-E3</t>
  </si>
  <si>
    <t>G-REQ-06327-E4</t>
  </si>
  <si>
    <t>G-REQ-06328-E1</t>
  </si>
  <si>
    <t>G-REQ-06328-E2</t>
  </si>
  <si>
    <t>G-REQ-06328-E3</t>
  </si>
  <si>
    <t>G-REQ-06328-E4</t>
  </si>
  <si>
    <t>G-REQ-06329-E1</t>
  </si>
  <si>
    <t>G-REQ-06329-E2</t>
  </si>
  <si>
    <t>G-REQ-06329-E3</t>
  </si>
  <si>
    <t>G-REQ-06329-E4</t>
  </si>
  <si>
    <t>G-REQ-06330-E1</t>
  </si>
  <si>
    <t>G-REQ-06330-E2</t>
  </si>
  <si>
    <t>G-REQ-06330-E3</t>
  </si>
  <si>
    <t>G-REQ-06330-E4</t>
  </si>
  <si>
    <t>G-REQ-06331-E1</t>
  </si>
  <si>
    <t>G-REQ-06331-E2</t>
  </si>
  <si>
    <t>G-REQ-06331-E3</t>
  </si>
  <si>
    <t>G-REQ-06331-E4</t>
  </si>
  <si>
    <t>G-REQ-06332-E1</t>
  </si>
  <si>
    <t>G-REQ-06332-E2</t>
  </si>
  <si>
    <t>G-REQ-06332-E3</t>
  </si>
  <si>
    <t>G-REQ-06332-E4</t>
  </si>
  <si>
    <t>G-REQ-06333-E1</t>
  </si>
  <si>
    <t>G-REQ-06333-E2</t>
  </si>
  <si>
    <t>G-REQ-06333-E3</t>
  </si>
  <si>
    <t>G-REQ-06333-E4</t>
  </si>
  <si>
    <t>G-REQ-06334-E1</t>
  </si>
  <si>
    <t>G-REQ-06334-E2</t>
  </si>
  <si>
    <t>G-REQ-06335-E1</t>
  </si>
  <si>
    <t>G-REQ-06335-E2</t>
  </si>
  <si>
    <t>G-REQ-06335-E3</t>
  </si>
  <si>
    <t>G-REQ-06335-E4</t>
  </si>
  <si>
    <t>G-REQ-06336-E1</t>
  </si>
  <si>
    <t>G-REQ-06336-E2</t>
  </si>
  <si>
    <t>G-REQ-06336-E3</t>
  </si>
  <si>
    <t>G-REQ-06336-E4</t>
  </si>
  <si>
    <t>G-REQ-06337-E1</t>
  </si>
  <si>
    <t>G-REQ-06337-E2</t>
  </si>
  <si>
    <t>G-REQ-06337-E3</t>
  </si>
  <si>
    <t>G-REQ-06337-E4</t>
  </si>
  <si>
    <t>G-REQ-06338-E1</t>
  </si>
  <si>
    <t>G-REQ-06338-E2</t>
  </si>
  <si>
    <t>G-REQ-06338-E3</t>
  </si>
  <si>
    <t>G-REQ-06338-E4</t>
  </si>
  <si>
    <t>G-REQ-06339-E1</t>
  </si>
  <si>
    <t>G-REQ-06339-E2</t>
  </si>
  <si>
    <t>G-REQ-06340-E1</t>
  </si>
  <si>
    <t>G-REQ-06340-E2</t>
  </si>
  <si>
    <t>G-REQ-06340-E3</t>
  </si>
  <si>
    <t>G-REQ-06340-E4</t>
  </si>
  <si>
    <t>G-REQ-06341-E1</t>
  </si>
  <si>
    <t>G-REQ-06341-E2</t>
  </si>
  <si>
    <t>G-REQ-06341-E3</t>
  </si>
  <si>
    <t>G-REQ-06341-E4</t>
  </si>
  <si>
    <t>G-REQ-06342-E1</t>
  </si>
  <si>
    <t>G-REQ-06342-E2</t>
  </si>
  <si>
    <t>G-REQ-06342-E3</t>
  </si>
  <si>
    <t>G-REQ-06342-E4</t>
  </si>
  <si>
    <t>G-REQ-06343-E1</t>
  </si>
  <si>
    <t>G-REQ-06343-E2</t>
  </si>
  <si>
    <t>G-REQ-06343-E3</t>
  </si>
  <si>
    <t>G-REQ-06343-E4</t>
  </si>
  <si>
    <t>G-REQ-06344-E1</t>
  </si>
  <si>
    <t>G-REQ-06344-E2</t>
  </si>
  <si>
    <t>G-REQ-06344-E3</t>
  </si>
  <si>
    <t>G-REQ-06344-E4</t>
  </si>
  <si>
    <t>G-REQ-06345-E1</t>
  </si>
  <si>
    <t>G-REQ-06345-E2</t>
  </si>
  <si>
    <t>G-REQ-06345-E3</t>
  </si>
  <si>
    <t>G-REQ-06345-E4</t>
  </si>
  <si>
    <t>G-REQ-06346-E1</t>
  </si>
  <si>
    <t>G-REQ-06346-E2</t>
  </si>
  <si>
    <t>G-REQ-06346-E3</t>
  </si>
  <si>
    <t>G-REQ-06346-E4</t>
  </si>
  <si>
    <t>G-REQ-06347-E1</t>
  </si>
  <si>
    <t>G-REQ-06347-E2</t>
  </si>
  <si>
    <t>G-REQ-06347-E3</t>
  </si>
  <si>
    <t>G-REQ-06347-E4</t>
  </si>
  <si>
    <t>G-REQ-06348-E1</t>
  </si>
  <si>
    <t>G-REQ-06348-E2</t>
  </si>
  <si>
    <t>G-REQ-06348-E3</t>
  </si>
  <si>
    <t>G-REQ-06348-E4</t>
  </si>
  <si>
    <t>G-REQ-06349-E1</t>
  </si>
  <si>
    <t>G-REQ-06349-E2</t>
  </si>
  <si>
    <t>G-REQ-06349-E3</t>
  </si>
  <si>
    <t>G-REQ-06349-E4</t>
  </si>
  <si>
    <t>G-REQ-06350-E1</t>
  </si>
  <si>
    <t>G-REQ-06350-E2</t>
  </si>
  <si>
    <t>G-REQ-06350-E3</t>
  </si>
  <si>
    <t>G-REQ-06350-E4</t>
  </si>
  <si>
    <t>G-REQ-06351-E1</t>
  </si>
  <si>
    <t>G-REQ-06351-E2</t>
  </si>
  <si>
    <t>G-REQ-06351-E3</t>
  </si>
  <si>
    <t>G-REQ-06351-E4</t>
  </si>
  <si>
    <t>G-REQ-06352-E1</t>
  </si>
  <si>
    <t>G-REQ-06352-E2</t>
  </si>
  <si>
    <t>G-REQ-06352-E3</t>
  </si>
  <si>
    <t>G-REQ-06352-E4</t>
  </si>
  <si>
    <t>G-REQ-06353-E1</t>
  </si>
  <si>
    <t>G-REQ-06353-E2</t>
  </si>
  <si>
    <t>G-REQ-06354-E1</t>
  </si>
  <si>
    <t>G-REQ-06354-E2</t>
  </si>
  <si>
    <t>SYNTHETIC: Laptop repair; Cancelled; asset G-AST-00080</t>
  </si>
  <si>
    <t>G-REQ-06355-E1</t>
  </si>
  <si>
    <t>G-REQ-06355-E2</t>
  </si>
  <si>
    <t>G-REQ-06355-E3</t>
  </si>
  <si>
    <t>G-REQ-06355-E4</t>
  </si>
  <si>
    <t>G-REQ-06356-E1</t>
  </si>
  <si>
    <t>G-REQ-06356-E2</t>
  </si>
  <si>
    <t>G-REQ-06356-E3</t>
  </si>
  <si>
    <t>G-REQ-06356-E4</t>
  </si>
  <si>
    <t>G-REQ-06357-E1</t>
  </si>
  <si>
    <t>G-REQ-06357-E2</t>
  </si>
  <si>
    <t>G-REQ-06357-E3</t>
  </si>
  <si>
    <t>G-REQ-06357-E4</t>
  </si>
  <si>
    <t>G-REQ-06358-E1</t>
  </si>
  <si>
    <t>G-REQ-06358-E2</t>
  </si>
  <si>
    <t>G-REQ-06358-E3</t>
  </si>
  <si>
    <t>G-REQ-06358-E4</t>
  </si>
  <si>
    <t>G-REQ-06359-E1</t>
  </si>
  <si>
    <t>G-REQ-06359-E2</t>
  </si>
  <si>
    <t>G-REQ-06359-E3</t>
  </si>
  <si>
    <t>G-REQ-06359-E4</t>
  </si>
  <si>
    <t>G-REQ-06360-E1</t>
  </si>
  <si>
    <t>G-REQ-06360-E2</t>
  </si>
  <si>
    <t>G-REQ-06360-E3</t>
  </si>
  <si>
    <t>G-REQ-06360-E4</t>
  </si>
  <si>
    <t>G-REQ-06361-E1</t>
  </si>
  <si>
    <t>G-REQ-06361-E2</t>
  </si>
  <si>
    <t>G-REQ-06361-E3</t>
  </si>
  <si>
    <t>G-REQ-06361-E4</t>
  </si>
  <si>
    <t>G-REQ-06362-E1</t>
  </si>
  <si>
    <t>G-REQ-06362-E2</t>
  </si>
  <si>
    <t>SYNTHETIC: Laptop repair; Rejected; asset G-AST-00069</t>
  </si>
  <si>
    <t>G-REQ-06363-E1</t>
  </si>
  <si>
    <t>G-REQ-06363-E2</t>
  </si>
  <si>
    <t>G-REQ-06363-E3</t>
  </si>
  <si>
    <t>G-REQ-06363-E4</t>
  </si>
  <si>
    <t>G-REQ-06364-E1</t>
  </si>
  <si>
    <t>G-REQ-06364-E2</t>
  </si>
  <si>
    <t>G-REQ-06364-E3</t>
  </si>
  <si>
    <t>G-REQ-06364-E4</t>
  </si>
  <si>
    <t>G-REQ-06365-E1</t>
  </si>
  <si>
    <t>G-REQ-06365-E2</t>
  </si>
  <si>
    <t>G-REQ-06365-E3</t>
  </si>
  <si>
    <t>G-REQ-06365-E4</t>
  </si>
  <si>
    <t>G-REQ-06366-E1</t>
  </si>
  <si>
    <t>G-REQ-06366-E2</t>
  </si>
  <si>
    <t>G-REQ-06366-E3</t>
  </si>
  <si>
    <t>G-REQ-06366-E4</t>
  </si>
  <si>
    <t>G-REQ-06367-E1</t>
  </si>
  <si>
    <t>G-REQ-06367-E2</t>
  </si>
  <si>
    <t>G-REQ-06367-E3</t>
  </si>
  <si>
    <t>G-REQ-06367-E4</t>
  </si>
  <si>
    <t>G-REQ-06368-E1</t>
  </si>
  <si>
    <t>G-REQ-06368-E2</t>
  </si>
  <si>
    <t>G-REQ-06368-E3</t>
  </si>
  <si>
    <t>G-REQ-06368-E4</t>
  </si>
  <si>
    <t>G-REQ-06369-E1</t>
  </si>
  <si>
    <t>G-REQ-06369-E2</t>
  </si>
  <si>
    <t>SYNTHETIC: Laptop return; Rejected; asset G-AST-00084</t>
  </si>
  <si>
    <t>G-REQ-06370-E1</t>
  </si>
  <si>
    <t>G-REQ-06370-E2</t>
  </si>
  <si>
    <t>G-REQ-06370-E3</t>
  </si>
  <si>
    <t>G-REQ-06370-E4</t>
  </si>
  <si>
    <t>G-REQ-06371-E1</t>
  </si>
  <si>
    <t>G-REQ-06371-E2</t>
  </si>
  <si>
    <t>G-REQ-06371-E3</t>
  </si>
  <si>
    <t>G-REQ-06371-E4</t>
  </si>
  <si>
    <t>G-REQ-06372-E1</t>
  </si>
  <si>
    <t>G-REQ-06372-E2</t>
  </si>
  <si>
    <t>G-REQ-06372-E3</t>
  </si>
  <si>
    <t>G-REQ-06372-E4</t>
  </si>
  <si>
    <t>G-REQ-06373-E1</t>
  </si>
  <si>
    <t>G-REQ-06373-E2</t>
  </si>
  <si>
    <t>G-REQ-06373-E3</t>
  </si>
  <si>
    <t>G-REQ-06373-E4</t>
  </si>
  <si>
    <t>G-REQ-06374-E1</t>
  </si>
  <si>
    <t>G-REQ-06374-E2</t>
  </si>
  <si>
    <t>G-REQ-06374-E3</t>
  </si>
  <si>
    <t>G-REQ-06374-E4</t>
  </si>
  <si>
    <t>G-REQ-06375-E1</t>
  </si>
  <si>
    <t>G-REQ-06375-E2</t>
  </si>
  <si>
    <t>G-REQ-06375-E3</t>
  </si>
  <si>
    <t>G-REQ-06375-E4</t>
  </si>
  <si>
    <t>G-REQ-06376-E1</t>
  </si>
  <si>
    <t>G-REQ-06376-E2</t>
  </si>
  <si>
    <t>G-REQ-06376-E3</t>
  </si>
  <si>
    <t>G-REQ-06376-E4</t>
  </si>
  <si>
    <t>G-REQ-06377-E1</t>
  </si>
  <si>
    <t>G-REQ-06377-E2</t>
  </si>
  <si>
    <t>G-REQ-06377-E3</t>
  </si>
  <si>
    <t>G-REQ-06377-E4</t>
  </si>
  <si>
    <t>G-REQ-06378-E1</t>
  </si>
  <si>
    <t>G-REQ-06378-E2</t>
  </si>
  <si>
    <t>SYNTHETIC: Laptop return; Rejected; asset G-AST-00242</t>
  </si>
  <si>
    <t>G-REQ-06379-E1</t>
  </si>
  <si>
    <t>G-REQ-06379-E2</t>
  </si>
  <si>
    <t>G-REQ-06379-E3</t>
  </si>
  <si>
    <t>G-REQ-06379-E4</t>
  </si>
  <si>
    <t>G-REQ-06380-E1</t>
  </si>
  <si>
    <t>G-REQ-06380-E2</t>
  </si>
  <si>
    <t>G-REQ-06380-E3</t>
  </si>
  <si>
    <t>G-REQ-06380-E4</t>
  </si>
  <si>
    <t>G-REQ-06381-E1</t>
  </si>
  <si>
    <t>G-REQ-06381-E2</t>
  </si>
  <si>
    <t>G-REQ-06381-E3</t>
  </si>
  <si>
    <t>G-REQ-06381-E4</t>
  </si>
  <si>
    <t>G-REQ-06382-E1</t>
  </si>
  <si>
    <t>G-REQ-06382-E2</t>
  </si>
  <si>
    <t>G-REQ-06382-E3</t>
  </si>
  <si>
    <t>G-REQ-06382-E4</t>
  </si>
  <si>
    <t>G-REQ-06383-E1</t>
  </si>
  <si>
    <t>G-REQ-06383-E2</t>
  </si>
  <si>
    <t>G-REQ-06383-E3</t>
  </si>
  <si>
    <t>G-REQ-06383-E4</t>
  </si>
  <si>
    <t>G-REQ-06384-E1</t>
  </si>
  <si>
    <t>G-REQ-06384-E2</t>
  </si>
  <si>
    <t>G-REQ-06384-E3</t>
  </si>
  <si>
    <t>G-REQ-06384-E4</t>
  </si>
  <si>
    <t>G-REQ-06385-E1</t>
  </si>
  <si>
    <t>G-REQ-06385-E2</t>
  </si>
  <si>
    <t>G-REQ-06385-E3</t>
  </si>
  <si>
    <t>G-REQ-06385-E4</t>
  </si>
  <si>
    <t>G-REQ-06386-E1</t>
  </si>
  <si>
    <t>G-REQ-06386-E2</t>
  </si>
  <si>
    <t>G-REQ-06387-E1</t>
  </si>
  <si>
    <t>G-REQ-06387-E2</t>
  </si>
  <si>
    <t>G-REQ-06387-E3</t>
  </si>
  <si>
    <t>G-REQ-06387-E4</t>
  </si>
  <si>
    <t>G-REQ-06388-E1</t>
  </si>
  <si>
    <t>G-REQ-06388-E2</t>
  </si>
  <si>
    <t>G-REQ-06388-E3</t>
  </si>
  <si>
    <t>G-REQ-06388-E4</t>
  </si>
  <si>
    <t>G-REQ-06389-E1</t>
  </si>
  <si>
    <t>G-REQ-06389-E2</t>
  </si>
  <si>
    <t>G-REQ-06389-E3</t>
  </si>
  <si>
    <t>G-REQ-06389-E4</t>
  </si>
  <si>
    <t>G-REQ-06390-E1</t>
  </si>
  <si>
    <t>G-REQ-06390-E2</t>
  </si>
  <si>
    <t>G-REQ-06390-E3</t>
  </si>
  <si>
    <t>G-REQ-06390-E4</t>
  </si>
  <si>
    <t>G-REQ-06391-E1</t>
  </si>
  <si>
    <t>G-REQ-06391-E2</t>
  </si>
  <si>
    <t>G-REQ-06391-E3</t>
  </si>
  <si>
    <t>G-REQ-06391-E4</t>
  </si>
  <si>
    <t>G-REQ-06392-E1</t>
  </si>
  <si>
    <t>G-REQ-06392-E2</t>
  </si>
  <si>
    <t>G-REQ-06392-E3</t>
  </si>
  <si>
    <t>G-REQ-06392-E4</t>
  </si>
  <si>
    <t>G-REQ-06393-E1</t>
  </si>
  <si>
    <t>G-REQ-06393-E2</t>
  </si>
  <si>
    <t>G-REQ-06393-E3</t>
  </si>
  <si>
    <t>G-REQ-06393-E4</t>
  </si>
  <si>
    <t>G-REQ-06394-E1</t>
  </si>
  <si>
    <t>G-REQ-06394-E2</t>
  </si>
  <si>
    <t>G-REQ-06394-E3</t>
  </si>
  <si>
    <t>G-REQ-06394-E4</t>
  </si>
  <si>
    <t>G-REQ-06395-E1</t>
  </si>
  <si>
    <t>G-REQ-06395-E2</t>
  </si>
  <si>
    <t>G-REQ-06395-E3</t>
  </si>
  <si>
    <t>G-REQ-06395-E4</t>
  </si>
  <si>
    <t>G-REQ-06396-E1</t>
  </si>
  <si>
    <t>G-REQ-06396-E2</t>
  </si>
  <si>
    <t>G-REQ-06396-E3</t>
  </si>
  <si>
    <t>G-REQ-06396-E4</t>
  </si>
  <si>
    <t>G-REQ-06397-E1</t>
  </si>
  <si>
    <t>G-REQ-06397-E2</t>
  </si>
  <si>
    <t>G-REQ-06397-E3</t>
  </si>
  <si>
    <t>G-REQ-06397-E4</t>
  </si>
  <si>
    <t>G-REQ-06398-E1</t>
  </si>
  <si>
    <t>G-REQ-06398-E2</t>
  </si>
  <si>
    <t>G-REQ-06398-E3</t>
  </si>
  <si>
    <t>G-REQ-06398-E4</t>
  </si>
  <si>
    <t>G-REQ-06399-E1</t>
  </si>
  <si>
    <t>G-REQ-06399-E2</t>
  </si>
  <si>
    <t>G-REQ-06399-E3</t>
  </si>
  <si>
    <t>G-REQ-06399-E4</t>
  </si>
  <si>
    <t>G-REQ-06400-E1</t>
  </si>
  <si>
    <t>G-REQ-06400-E2</t>
  </si>
  <si>
    <t>G-REQ-06400-E3</t>
  </si>
  <si>
    <t>G-REQ-06400-E4</t>
  </si>
  <si>
    <t>G-REQ-06401-E1</t>
  </si>
  <si>
    <t>G-REQ-06401-E2</t>
  </si>
  <si>
    <t>SYNTHETIC: Laptop repair; Cancelled; asset G-AST-00087</t>
  </si>
  <si>
    <t>G-REQ-06402-E1</t>
  </si>
  <si>
    <t>G-REQ-06402-E2</t>
  </si>
  <si>
    <t>G-REQ-06402-E3</t>
  </si>
  <si>
    <t>G-REQ-06402-E4</t>
  </si>
  <si>
    <t>G-REQ-06403-E1</t>
  </si>
  <si>
    <t>G-REQ-06403-E2</t>
  </si>
  <si>
    <t>G-REQ-06403-E3</t>
  </si>
  <si>
    <t>G-REQ-06403-E4</t>
  </si>
  <si>
    <t>G-REQ-06404-E1</t>
  </si>
  <si>
    <t>G-REQ-06404-E2</t>
  </si>
  <si>
    <t>G-REQ-06404-E3</t>
  </si>
  <si>
    <t>G-REQ-06404-E4</t>
  </si>
  <si>
    <t>G-REQ-06405-E1</t>
  </si>
  <si>
    <t>G-REQ-06405-E2</t>
  </si>
  <si>
    <t>G-REQ-06405-E3</t>
  </si>
  <si>
    <t>G-REQ-06405-E4</t>
  </si>
  <si>
    <t>G-REQ-06406-E1</t>
  </si>
  <si>
    <t>G-REQ-06406-E2</t>
  </si>
  <si>
    <t>G-REQ-06406-E3</t>
  </si>
  <si>
    <t>G-REQ-06406-E4</t>
  </si>
  <si>
    <t>G-REQ-06407-E1</t>
  </si>
  <si>
    <t>G-REQ-06407-E2</t>
  </si>
  <si>
    <t>G-REQ-06407-E3</t>
  </si>
  <si>
    <t>G-REQ-06407-E4</t>
  </si>
  <si>
    <t>G-REQ-06408-E1</t>
  </si>
  <si>
    <t>G-REQ-06408-E2</t>
  </si>
  <si>
    <t>G-REQ-06409-E1</t>
  </si>
  <si>
    <t>G-REQ-06409-E2</t>
  </si>
  <si>
    <t>G-REQ-06409-E3</t>
  </si>
  <si>
    <t>G-REQ-06409-E4</t>
  </si>
  <si>
    <t>G-REQ-06410-E1</t>
  </si>
  <si>
    <t>G-REQ-06410-E2</t>
  </si>
  <si>
    <t>G-REQ-06410-E3</t>
  </si>
  <si>
    <t>G-REQ-06410-E4</t>
  </si>
  <si>
    <t>G-REQ-06411-E1</t>
  </si>
  <si>
    <t>G-REQ-06411-E2</t>
  </si>
  <si>
    <t>SYNTHETIC: Laptop return; Cancelled; asset G-AST-00115</t>
  </si>
  <si>
    <t>G-REQ-06412-E1</t>
  </si>
  <si>
    <t>G-REQ-06412-E2</t>
  </si>
  <si>
    <t>SYNTHETIC: Laptop repair; Rejected; asset G-AST-00218</t>
  </si>
  <si>
    <t>G-REQ-06413-E1</t>
  </si>
  <si>
    <t>G-REQ-06413-E2</t>
  </si>
  <si>
    <t>G-REQ-06413-E3</t>
  </si>
  <si>
    <t>G-REQ-06413-E4</t>
  </si>
  <si>
    <t>G-REQ-06414-E1</t>
  </si>
  <si>
    <t>G-REQ-06414-E2</t>
  </si>
  <si>
    <t>G-REQ-06414-E3</t>
  </si>
  <si>
    <t>G-REQ-06414-E4</t>
  </si>
  <si>
    <t>G-REQ-06415-E1</t>
  </si>
  <si>
    <t>G-REQ-06415-E2</t>
  </si>
  <si>
    <t>SYNTHETIC: Laptop repair; Rejected; asset G-AST-00409</t>
  </si>
  <si>
    <t>G-REQ-06416-E1</t>
  </si>
  <si>
    <t>G-REQ-06416-E2</t>
  </si>
  <si>
    <t>G-REQ-06416-E3</t>
  </si>
  <si>
    <t>G-REQ-06416-E4</t>
  </si>
  <si>
    <t>G-REQ-06417-E1</t>
  </si>
  <si>
    <t>G-REQ-06417-E2</t>
  </si>
  <si>
    <t>G-REQ-06417-E3</t>
  </si>
  <si>
    <t>G-REQ-06417-E4</t>
  </si>
  <si>
    <t>G-REQ-06418-E1</t>
  </si>
  <si>
    <t>G-REQ-06418-E2</t>
  </si>
  <si>
    <t>G-REQ-06418-E3</t>
  </si>
  <si>
    <t>G-REQ-06418-E4</t>
  </si>
  <si>
    <t>G-REQ-06419-E1</t>
  </si>
  <si>
    <t>G-REQ-06419-E2</t>
  </si>
  <si>
    <t>G-REQ-06419-E3</t>
  </si>
  <si>
    <t>G-REQ-06419-E4</t>
  </si>
  <si>
    <t>G-REQ-06420-E1</t>
  </si>
  <si>
    <t>G-REQ-06420-E2</t>
  </si>
  <si>
    <t>G-REQ-06420-E3</t>
  </si>
  <si>
    <t>G-REQ-06420-E4</t>
  </si>
  <si>
    <t>G-REQ-06421-E1</t>
  </si>
  <si>
    <t>G-REQ-06421-E2</t>
  </si>
  <si>
    <t>G-REQ-06421-E3</t>
  </si>
  <si>
    <t>G-REQ-06421-E4</t>
  </si>
  <si>
    <t>G-REQ-06422-E1</t>
  </si>
  <si>
    <t>G-REQ-06422-E2</t>
  </si>
  <si>
    <t>G-REQ-06422-E3</t>
  </si>
  <si>
    <t>G-REQ-06422-E4</t>
  </si>
  <si>
    <t>G-REQ-06423-E1</t>
  </si>
  <si>
    <t>G-REQ-06423-E2</t>
  </si>
  <si>
    <t>G-REQ-06423-E3</t>
  </si>
  <si>
    <t>G-REQ-06423-E4</t>
  </si>
  <si>
    <t>G-REQ-06424-E1</t>
  </si>
  <si>
    <t>G-REQ-06424-E2</t>
  </si>
  <si>
    <t>G-REQ-06424-E3</t>
  </si>
  <si>
    <t>G-REQ-06424-E4</t>
  </si>
  <si>
    <t>G-REQ-06425-E1</t>
  </si>
  <si>
    <t>G-REQ-06425-E2</t>
  </si>
  <si>
    <t>G-REQ-06425-E3</t>
  </si>
  <si>
    <t>G-REQ-06425-E4</t>
  </si>
  <si>
    <t>G-REQ-06426-E1</t>
  </si>
  <si>
    <t>G-REQ-06426-E2</t>
  </si>
  <si>
    <t>G-REQ-06426-E3</t>
  </si>
  <si>
    <t>G-REQ-06426-E4</t>
  </si>
  <si>
    <t>G-REQ-06427-E1</t>
  </si>
  <si>
    <t>G-REQ-06427-E2</t>
  </si>
  <si>
    <t>G-REQ-06427-E3</t>
  </si>
  <si>
    <t>G-REQ-06427-E4</t>
  </si>
  <si>
    <t>G-REQ-06428-E1</t>
  </si>
  <si>
    <t>G-REQ-06428-E2</t>
  </si>
  <si>
    <t>G-REQ-06428-E3</t>
  </si>
  <si>
    <t>G-REQ-06428-E4</t>
  </si>
  <si>
    <t>G-REQ-06429-E1</t>
  </si>
  <si>
    <t>G-REQ-06429-E2</t>
  </si>
  <si>
    <t>G-REQ-06429-E3</t>
  </si>
  <si>
    <t>G-REQ-06429-E4</t>
  </si>
  <si>
    <t>G-REQ-06430-E1</t>
  </si>
  <si>
    <t>G-REQ-06430-E2</t>
  </si>
  <si>
    <t>G-REQ-06430-E3</t>
  </si>
  <si>
    <t>G-REQ-06430-E4</t>
  </si>
  <si>
    <t>G-REQ-06431-E1</t>
  </si>
  <si>
    <t>G-REQ-06431-E2</t>
  </si>
  <si>
    <t>G-REQ-06431-E3</t>
  </si>
  <si>
    <t>G-REQ-06431-E4</t>
  </si>
  <si>
    <t>G-REQ-06432-E1</t>
  </si>
  <si>
    <t>G-REQ-06432-E2</t>
  </si>
  <si>
    <t>G-REQ-06433-E1</t>
  </si>
  <si>
    <t>G-REQ-06433-E2</t>
  </si>
  <si>
    <t>G-REQ-06434-E1</t>
  </si>
  <si>
    <t>G-REQ-06434-E2</t>
  </si>
  <si>
    <t>G-REQ-06434-E3</t>
  </si>
  <si>
    <t>G-REQ-06434-E4</t>
  </si>
  <si>
    <t>G-REQ-06435-E1</t>
  </si>
  <si>
    <t>G-REQ-06435-E2</t>
  </si>
  <si>
    <t>G-REQ-06435-E3</t>
  </si>
  <si>
    <t>G-REQ-06435-E4</t>
  </si>
  <si>
    <t>G-REQ-06436-E1</t>
  </si>
  <si>
    <t>G-REQ-06436-E2</t>
  </si>
  <si>
    <t>SYNTHETIC: Laptop repair; Rejected; asset G-AST-00231</t>
  </si>
  <si>
    <t>G-REQ-06437-E1</t>
  </si>
  <si>
    <t>G-REQ-06437-E2</t>
  </si>
  <si>
    <t>G-REQ-06437-E3</t>
  </si>
  <si>
    <t>G-REQ-06437-E4</t>
  </si>
  <si>
    <t>G-REQ-06438-E1</t>
  </si>
  <si>
    <t>G-REQ-06438-E2</t>
  </si>
  <si>
    <t>G-REQ-06438-E3</t>
  </si>
  <si>
    <t>G-REQ-06438-E4</t>
  </si>
  <si>
    <t>G-REQ-06439-E1</t>
  </si>
  <si>
    <t>G-REQ-06439-E2</t>
  </si>
  <si>
    <t>G-REQ-06439-E3</t>
  </si>
  <si>
    <t>G-REQ-06439-E4</t>
  </si>
  <si>
    <t>G-REQ-06440-E1</t>
  </si>
  <si>
    <t>G-REQ-06440-E2</t>
  </si>
  <si>
    <t>G-REQ-06440-E3</t>
  </si>
  <si>
    <t>G-REQ-06440-E4</t>
  </si>
  <si>
    <t>G-REQ-06441-E1</t>
  </si>
  <si>
    <t>G-REQ-06441-E2</t>
  </si>
  <si>
    <t>G-REQ-06441-E3</t>
  </si>
  <si>
    <t>G-REQ-06441-E4</t>
  </si>
  <si>
    <t>G-REQ-06442-E1</t>
  </si>
  <si>
    <t>G-REQ-06442-E2</t>
  </si>
  <si>
    <t>G-REQ-06442-E3</t>
  </si>
  <si>
    <t>G-REQ-06442-E4</t>
  </si>
  <si>
    <t>G-REQ-06443-E1</t>
  </si>
  <si>
    <t>G-REQ-06443-E2</t>
  </si>
  <si>
    <t>G-REQ-06443-E3</t>
  </si>
  <si>
    <t>G-REQ-06443-E4</t>
  </si>
  <si>
    <t>G-REQ-06444-E1</t>
  </si>
  <si>
    <t>G-REQ-06444-E2</t>
  </si>
  <si>
    <t>G-REQ-06444-E3</t>
  </si>
  <si>
    <t>G-REQ-06444-E4</t>
  </si>
  <si>
    <t>G-REQ-06445-E1</t>
  </si>
  <si>
    <t>G-REQ-06445-E2</t>
  </si>
  <si>
    <t>G-REQ-06445-E3</t>
  </si>
  <si>
    <t>G-REQ-06445-E4</t>
  </si>
  <si>
    <t>G-REQ-06446-E1</t>
  </si>
  <si>
    <t>G-REQ-06446-E2</t>
  </si>
  <si>
    <t>G-REQ-06446-E3</t>
  </si>
  <si>
    <t>G-REQ-06446-E4</t>
  </si>
  <si>
    <t>G-REQ-06447-E1</t>
  </si>
  <si>
    <t>G-REQ-06447-E2</t>
  </si>
  <si>
    <t>G-REQ-06448-E1</t>
  </si>
  <si>
    <t>G-REQ-06448-E2</t>
  </si>
  <si>
    <t>G-REQ-06448-E3</t>
  </si>
  <si>
    <t>G-REQ-06448-E4</t>
  </si>
  <si>
    <t>G-REQ-06449-E1</t>
  </si>
  <si>
    <t>G-REQ-06449-E2</t>
  </si>
  <si>
    <t>G-REQ-06449-E3</t>
  </si>
  <si>
    <t>G-REQ-06449-E4</t>
  </si>
  <si>
    <t>G-REQ-06450-E1</t>
  </si>
  <si>
    <t>G-REQ-06450-E2</t>
  </si>
  <si>
    <t>SYNTHETIC: Laptop repair; Rejected; asset G-AST-00479</t>
  </si>
  <si>
    <t>G-REQ-06451-E1</t>
  </si>
  <si>
    <t>G-REQ-06451-E2</t>
  </si>
  <si>
    <t>G-REQ-06451-E3</t>
  </si>
  <si>
    <t>G-REQ-06451-E4</t>
  </si>
  <si>
    <t>G-REQ-06452-E1</t>
  </si>
  <si>
    <t>G-REQ-06452-E2</t>
  </si>
  <si>
    <t>G-REQ-06452-E3</t>
  </si>
  <si>
    <t>G-REQ-06452-E4</t>
  </si>
  <si>
    <t>G-REQ-06453-E1</t>
  </si>
  <si>
    <t>G-REQ-06453-E2</t>
  </si>
  <si>
    <t>G-REQ-06453-E3</t>
  </si>
  <si>
    <t>G-REQ-06453-E4</t>
  </si>
  <si>
    <t>G-REQ-06454-E1</t>
  </si>
  <si>
    <t>G-REQ-06454-E2</t>
  </si>
  <si>
    <t>G-REQ-06454-E3</t>
  </si>
  <si>
    <t>G-REQ-06454-E4</t>
  </si>
  <si>
    <t>G-REQ-06455-E1</t>
  </si>
  <si>
    <t>G-REQ-06455-E2</t>
  </si>
  <si>
    <t>G-REQ-06455-E3</t>
  </si>
  <si>
    <t>G-REQ-06455-E4</t>
  </si>
  <si>
    <t>G-REQ-06456-E1</t>
  </si>
  <si>
    <t>G-REQ-06456-E2</t>
  </si>
  <si>
    <t>G-REQ-06456-E3</t>
  </si>
  <si>
    <t>G-REQ-06456-E4</t>
  </si>
  <si>
    <t>G-REQ-06457-E1</t>
  </si>
  <si>
    <t>G-REQ-06457-E2</t>
  </si>
  <si>
    <t>G-REQ-06457-E3</t>
  </si>
  <si>
    <t>G-REQ-06457-E4</t>
  </si>
  <si>
    <t>G-REQ-06458-E1</t>
  </si>
  <si>
    <t>G-REQ-06458-E2</t>
  </si>
  <si>
    <t>G-REQ-06459-E1</t>
  </si>
  <si>
    <t>G-REQ-06459-E2</t>
  </si>
  <si>
    <t>G-REQ-06459-E3</t>
  </si>
  <si>
    <t>G-REQ-06459-E4</t>
  </si>
  <si>
    <t>G-REQ-06460-E1</t>
  </si>
  <si>
    <t>G-REQ-06460-E2</t>
  </si>
  <si>
    <t>G-REQ-06460-E3</t>
  </si>
  <si>
    <t>G-REQ-06460-E4</t>
  </si>
  <si>
    <t>G-REQ-06461-E1</t>
  </si>
  <si>
    <t>G-REQ-06461-E2</t>
  </si>
  <si>
    <t>G-REQ-06461-E3</t>
  </si>
  <si>
    <t>G-REQ-06461-E4</t>
  </si>
  <si>
    <t>G-REQ-06462-E1</t>
  </si>
  <si>
    <t>G-REQ-06462-E2</t>
  </si>
  <si>
    <t>SYNTHETIC: Laptop repair; Cancelled; asset G-AST-00084</t>
  </si>
  <si>
    <t>G-REQ-06463-E1</t>
  </si>
  <si>
    <t>G-REQ-06463-E2</t>
  </si>
  <si>
    <t>G-REQ-06463-E3</t>
  </si>
  <si>
    <t>G-REQ-06463-E4</t>
  </si>
  <si>
    <t>G-REQ-06464-E1</t>
  </si>
  <si>
    <t>G-REQ-06464-E2</t>
  </si>
  <si>
    <t>G-REQ-06464-E3</t>
  </si>
  <si>
    <t>G-REQ-06464-E4</t>
  </si>
  <si>
    <t>G-REQ-06465-E1</t>
  </si>
  <si>
    <t>G-REQ-06465-E2</t>
  </si>
  <si>
    <t>G-REQ-06465-E3</t>
  </si>
  <si>
    <t>G-REQ-06465-E4</t>
  </si>
  <si>
    <t>G-REQ-06466-E1</t>
  </si>
  <si>
    <t>G-REQ-06466-E2</t>
  </si>
  <si>
    <t>G-REQ-06466-E3</t>
  </si>
  <si>
    <t>G-REQ-06466-E4</t>
  </si>
  <si>
    <t>G-REQ-06467-E1</t>
  </si>
  <si>
    <t>G-REQ-06467-E2</t>
  </si>
  <si>
    <t>G-REQ-06467-E3</t>
  </si>
  <si>
    <t>G-REQ-06467-E4</t>
  </si>
  <si>
    <t>G-REQ-06468-E1</t>
  </si>
  <si>
    <t>G-REQ-06468-E2</t>
  </si>
  <si>
    <t>G-REQ-06468-E3</t>
  </si>
  <si>
    <t>G-REQ-06468-E4</t>
  </si>
  <si>
    <t>G-REQ-06469-E1</t>
  </si>
  <si>
    <t>G-REQ-06469-E2</t>
  </si>
  <si>
    <t>G-REQ-06469-E3</t>
  </si>
  <si>
    <t>G-REQ-06469-E4</t>
  </si>
  <si>
    <t>G-REQ-06470-E1</t>
  </si>
  <si>
    <t>G-REQ-06470-E2</t>
  </si>
  <si>
    <t>G-REQ-06470-E3</t>
  </si>
  <si>
    <t>G-REQ-06470-E4</t>
  </si>
  <si>
    <t>G-REQ-06471-E1</t>
  </si>
  <si>
    <t>G-REQ-06471-E2</t>
  </si>
  <si>
    <t>G-REQ-06471-E3</t>
  </si>
  <si>
    <t>G-REQ-06471-E4</t>
  </si>
  <si>
    <t>G-REQ-06472-E1</t>
  </si>
  <si>
    <t>G-REQ-06472-E2</t>
  </si>
  <si>
    <t>G-REQ-06472-E3</t>
  </si>
  <si>
    <t>G-REQ-06472-E4</t>
  </si>
  <si>
    <t>G-REQ-06473-E1</t>
  </si>
  <si>
    <t>SYNTHETIC: Laptop repair; Pending approval; asset G-AST-00153</t>
  </si>
  <si>
    <t>G-REQ-06473-E2</t>
  </si>
  <si>
    <t>SYNTHETIC: Laptop repair; Approved; asset G-AST-00153</t>
  </si>
  <si>
    <t>G-REQ-06473-E3</t>
  </si>
  <si>
    <t>SYNTHETIC: Laptop repair; In progress; asset G-AST-00153</t>
  </si>
  <si>
    <t>G-REQ-06473-E4</t>
  </si>
  <si>
    <t>SYNTHETIC: Laptop repair; Completed; asset G-AST-00153</t>
  </si>
  <si>
    <t>G-REQ-06474-E1</t>
  </si>
  <si>
    <t>G-REQ-06474-E2</t>
  </si>
  <si>
    <t>G-REQ-06474-E3</t>
  </si>
  <si>
    <t>G-REQ-06474-E4</t>
  </si>
  <si>
    <t>G-REQ-06475-E1</t>
  </si>
  <si>
    <t>G-REQ-06475-E2</t>
  </si>
  <si>
    <t>SYNTHETIC: Laptop return; Cancelled; asset G-AST-00114</t>
  </si>
  <si>
    <t>G-REQ-06476-E1</t>
  </si>
  <si>
    <t>G-REQ-06476-E2</t>
  </si>
  <si>
    <t>G-REQ-06476-E3</t>
  </si>
  <si>
    <t>G-REQ-06476-E4</t>
  </si>
  <si>
    <t>G-REQ-06477-E1</t>
  </si>
  <si>
    <t>G-REQ-06477-E2</t>
  </si>
  <si>
    <t>G-REQ-06477-E3</t>
  </si>
  <si>
    <t>G-REQ-06477-E4</t>
  </si>
  <si>
    <t>G-REQ-06478-E1</t>
  </si>
  <si>
    <t>G-REQ-06478-E2</t>
  </si>
  <si>
    <t>G-REQ-06478-E3</t>
  </si>
  <si>
    <t>G-REQ-06478-E4</t>
  </si>
  <si>
    <t>G-REQ-06479-E1</t>
  </si>
  <si>
    <t>G-REQ-06479-E2</t>
  </si>
  <si>
    <t>G-REQ-06479-E3</t>
  </si>
  <si>
    <t>G-REQ-06479-E4</t>
  </si>
  <si>
    <t>G-REQ-06480-E1</t>
  </si>
  <si>
    <t>G-REQ-06480-E2</t>
  </si>
  <si>
    <t>G-REQ-06480-E3</t>
  </si>
  <si>
    <t>G-REQ-06480-E4</t>
  </si>
  <si>
    <t>G-REQ-06481-E1</t>
  </si>
  <si>
    <t>G-REQ-06481-E2</t>
  </si>
  <si>
    <t>G-REQ-06482-E1</t>
  </si>
  <si>
    <t>G-REQ-06482-E2</t>
  </si>
  <si>
    <t>G-REQ-06482-E3</t>
  </si>
  <si>
    <t>G-REQ-06482-E4</t>
  </si>
  <si>
    <t>G-REQ-06483-E1</t>
  </si>
  <si>
    <t>G-REQ-06483-E2</t>
  </si>
  <si>
    <t>G-REQ-06483-E3</t>
  </si>
  <si>
    <t>G-REQ-06483-E4</t>
  </si>
  <si>
    <t>G-REQ-06484-E1</t>
  </si>
  <si>
    <t>G-REQ-06484-E2</t>
  </si>
  <si>
    <t>G-REQ-06484-E3</t>
  </si>
  <si>
    <t>G-REQ-06484-E4</t>
  </si>
  <si>
    <t>G-REQ-06485-E1</t>
  </si>
  <si>
    <t>G-REQ-06485-E2</t>
  </si>
  <si>
    <t>G-REQ-06485-E3</t>
  </si>
  <si>
    <t>G-REQ-06485-E4</t>
  </si>
  <si>
    <t>G-REQ-06486-E1</t>
  </si>
  <si>
    <t>G-REQ-06486-E2</t>
  </si>
  <si>
    <t>G-REQ-06486-E3</t>
  </si>
  <si>
    <t>G-REQ-06486-E4</t>
  </si>
  <si>
    <t>G-REQ-06487-E1</t>
  </si>
  <si>
    <t>G-REQ-06487-E2</t>
  </si>
  <si>
    <t>G-REQ-06487-E3</t>
  </si>
  <si>
    <t>G-REQ-06487-E4</t>
  </si>
  <si>
    <t>G-REQ-06488-E1</t>
  </si>
  <si>
    <t>G-REQ-06488-E2</t>
  </si>
  <si>
    <t>G-REQ-06489-E1</t>
  </si>
  <si>
    <t>G-REQ-06489-E2</t>
  </si>
  <si>
    <t>G-REQ-06489-E3</t>
  </si>
  <si>
    <t>G-REQ-06489-E4</t>
  </si>
  <si>
    <t>G-REQ-06490-E1</t>
  </si>
  <si>
    <t>G-REQ-06490-E2</t>
  </si>
  <si>
    <t>G-REQ-06490-E3</t>
  </si>
  <si>
    <t>G-REQ-06490-E4</t>
  </si>
  <si>
    <t>G-REQ-06491-E1</t>
  </si>
  <si>
    <t>G-REQ-06491-E2</t>
  </si>
  <si>
    <t>SYNTHETIC: Laptop return; Rejected; asset G-AST-00148</t>
  </si>
  <si>
    <t>G-REQ-06492-E1</t>
  </si>
  <si>
    <t>G-REQ-06492-E2</t>
  </si>
  <si>
    <t>G-REQ-06492-E3</t>
  </si>
  <si>
    <t>G-REQ-06492-E4</t>
  </si>
  <si>
    <t>G-REQ-06493-E1</t>
  </si>
  <si>
    <t>G-REQ-06493-E2</t>
  </si>
  <si>
    <t>G-REQ-06493-E3</t>
  </si>
  <si>
    <t>G-REQ-06493-E4</t>
  </si>
  <si>
    <t>G-REQ-06494-E1</t>
  </si>
  <si>
    <t>G-REQ-06494-E2</t>
  </si>
  <si>
    <t>G-REQ-06494-E3</t>
  </si>
  <si>
    <t>G-REQ-06494-E4</t>
  </si>
  <si>
    <t>G-REQ-06495-E1</t>
  </si>
  <si>
    <t>G-REQ-06495-E2</t>
  </si>
  <si>
    <t>G-REQ-06495-E3</t>
  </si>
  <si>
    <t>G-REQ-06495-E4</t>
  </si>
  <si>
    <t>G-REQ-06496-E1</t>
  </si>
  <si>
    <t>G-REQ-06496-E2</t>
  </si>
  <si>
    <t>G-REQ-06496-E3</t>
  </si>
  <si>
    <t>G-REQ-06496-E4</t>
  </si>
  <si>
    <t>G-REQ-06497-E1</t>
  </si>
  <si>
    <t>G-REQ-06497-E2</t>
  </si>
  <si>
    <t>G-REQ-06497-E3</t>
  </si>
  <si>
    <t>G-REQ-06497-E4</t>
  </si>
  <si>
    <t>G-REQ-06498-E1</t>
  </si>
  <si>
    <t>G-REQ-06498-E2</t>
  </si>
  <si>
    <t>G-REQ-06498-E3</t>
  </si>
  <si>
    <t>G-REQ-06498-E4</t>
  </si>
  <si>
    <t>G-REQ-06499-E1</t>
  </si>
  <si>
    <t>G-REQ-06499-E2</t>
  </si>
  <si>
    <t>G-REQ-06499-E3</t>
  </si>
  <si>
    <t>G-REQ-06499-E4</t>
  </si>
  <si>
    <t>G-REQ-06500-E1</t>
  </si>
  <si>
    <t>G-REQ-06500-E2</t>
  </si>
  <si>
    <t>G-REQ-06500-E3</t>
  </si>
  <si>
    <t>G-REQ-06500-E4</t>
  </si>
  <si>
    <t>G-REQ-06501-E1</t>
  </si>
  <si>
    <t>G-REQ-06501-E2</t>
  </si>
  <si>
    <t>G-REQ-06502-E1</t>
  </si>
  <si>
    <t>G-REQ-06502-E2</t>
  </si>
  <si>
    <t>G-REQ-06502-E3</t>
  </si>
  <si>
    <t>G-REQ-06502-E4</t>
  </si>
  <si>
    <t>G-REQ-06503-E1</t>
  </si>
  <si>
    <t>G-REQ-06503-E2</t>
  </si>
  <si>
    <t>G-REQ-06503-E3</t>
  </si>
  <si>
    <t>G-REQ-06503-E4</t>
  </si>
  <si>
    <t>G-REQ-06504-E1</t>
  </si>
  <si>
    <t>G-REQ-06504-E2</t>
  </si>
  <si>
    <t>G-REQ-06504-E3</t>
  </si>
  <si>
    <t>G-REQ-06504-E4</t>
  </si>
  <si>
    <t>G-REQ-06505-E1</t>
  </si>
  <si>
    <t>G-REQ-06505-E2</t>
  </si>
  <si>
    <t>G-REQ-06505-E3</t>
  </si>
  <si>
    <t>G-REQ-06505-E4</t>
  </si>
  <si>
    <t>G-REQ-06506-E1</t>
  </si>
  <si>
    <t>G-REQ-06506-E2</t>
  </si>
  <si>
    <t>G-REQ-06506-E3</t>
  </si>
  <si>
    <t>G-REQ-06506-E4</t>
  </si>
  <si>
    <t>G-REQ-06507-E1</t>
  </si>
  <si>
    <t>G-REQ-06507-E2</t>
  </si>
  <si>
    <t>G-REQ-06507-E3</t>
  </si>
  <si>
    <t>G-REQ-06507-E4</t>
  </si>
  <si>
    <t>G-REQ-06508-E1</t>
  </si>
  <si>
    <t>G-REQ-06508-E2</t>
  </si>
  <si>
    <t>G-REQ-06508-E3</t>
  </si>
  <si>
    <t>G-REQ-06508-E4</t>
  </si>
  <si>
    <t>G-REQ-06509-E1</t>
  </si>
  <si>
    <t>G-REQ-06509-E2</t>
  </si>
  <si>
    <t>G-REQ-06509-E3</t>
  </si>
  <si>
    <t>G-REQ-06509-E4</t>
  </si>
  <si>
    <t>G-REQ-06510-E1</t>
  </si>
  <si>
    <t>G-REQ-06510-E2</t>
  </si>
  <si>
    <t>G-REQ-06510-E3</t>
  </si>
  <si>
    <t>G-REQ-06510-E4</t>
  </si>
  <si>
    <t>G-REQ-06511-E1</t>
  </si>
  <si>
    <t>G-REQ-06511-E2</t>
  </si>
  <si>
    <t>SYNTHETIC: Laptop return; Rejected; asset G-AST-00386</t>
  </si>
  <si>
    <t>G-REQ-06512-E1</t>
  </si>
  <si>
    <t>G-REQ-06512-E2</t>
  </si>
  <si>
    <t>G-REQ-06512-E3</t>
  </si>
  <si>
    <t>G-REQ-06512-E4</t>
  </si>
  <si>
    <t>G-REQ-06513-E1</t>
  </si>
  <si>
    <t>G-REQ-06513-E2</t>
  </si>
  <si>
    <t>G-REQ-06513-E3</t>
  </si>
  <si>
    <t>G-REQ-06513-E4</t>
  </si>
  <si>
    <t>G-REQ-06514-E1</t>
  </si>
  <si>
    <t>G-REQ-06514-E2</t>
  </si>
  <si>
    <t>G-REQ-06514-E3</t>
  </si>
  <si>
    <t>G-REQ-06514-E4</t>
  </si>
  <si>
    <t>G-REQ-06515-E1</t>
  </si>
  <si>
    <t>G-REQ-06515-E2</t>
  </si>
  <si>
    <t>G-REQ-06515-E3</t>
  </si>
  <si>
    <t>G-REQ-06515-E4</t>
  </si>
  <si>
    <t>G-REQ-06516-E1</t>
  </si>
  <si>
    <t>G-REQ-06516-E2</t>
  </si>
  <si>
    <t>G-REQ-06516-E3</t>
  </si>
  <si>
    <t>G-REQ-06516-E4</t>
  </si>
  <si>
    <t>G-REQ-06517-E1</t>
  </si>
  <si>
    <t>G-REQ-06517-E2</t>
  </si>
  <si>
    <t>SYNTHETIC: Laptop return; Rejected; asset G-AST-00433</t>
  </si>
  <si>
    <t>G-REQ-06518-E1</t>
  </si>
  <si>
    <t>G-REQ-06518-E2</t>
  </si>
  <si>
    <t>G-REQ-06519-E1</t>
  </si>
  <si>
    <t>G-REQ-06519-E2</t>
  </si>
  <si>
    <t>G-REQ-06519-E3</t>
  </si>
  <si>
    <t>G-REQ-06519-E4</t>
  </si>
  <si>
    <t>G-REQ-06520-E1</t>
  </si>
  <si>
    <t>G-REQ-06520-E2</t>
  </si>
  <si>
    <t>G-REQ-06520-E3</t>
  </si>
  <si>
    <t>G-REQ-06520-E4</t>
  </si>
  <si>
    <t>G-REQ-06521-E1</t>
  </si>
  <si>
    <t>G-REQ-06521-E2</t>
  </si>
  <si>
    <t>SYNTHETIC: Laptop repair; Rejected; asset G-AST-00276</t>
  </si>
  <si>
    <t>G-REQ-06522-E1</t>
  </si>
  <si>
    <t>G-REQ-06522-E2</t>
  </si>
  <si>
    <t>G-REQ-06523-E1</t>
  </si>
  <si>
    <t>G-REQ-06523-E2</t>
  </si>
  <si>
    <t>G-REQ-06523-E3</t>
  </si>
  <si>
    <t>G-REQ-06523-E4</t>
  </si>
  <si>
    <t>G-REQ-06524-E1</t>
  </si>
  <si>
    <t>SYNTHETIC: Laptop repair; Pending approval; asset G-AST-00164</t>
  </si>
  <si>
    <t>G-REQ-06524-E2</t>
  </si>
  <si>
    <t>SYNTHETIC: Laptop repair; Approved; asset G-AST-00164</t>
  </si>
  <si>
    <t>G-REQ-06524-E3</t>
  </si>
  <si>
    <t>SYNTHETIC: Laptop repair; In progress; asset G-AST-00164</t>
  </si>
  <si>
    <t>G-REQ-06524-E4</t>
  </si>
  <si>
    <t>SYNTHETIC: Laptop repair; Completed; asset G-AST-00164</t>
  </si>
  <si>
    <t>G-REQ-06525-E1</t>
  </si>
  <si>
    <t>G-REQ-06525-E2</t>
  </si>
  <si>
    <t>G-REQ-06525-E3</t>
  </si>
  <si>
    <t>G-REQ-06525-E4</t>
  </si>
  <si>
    <t>G-REQ-06526-E1</t>
  </si>
  <si>
    <t>G-REQ-06526-E2</t>
  </si>
  <si>
    <t>G-REQ-06527-E1</t>
  </si>
  <si>
    <t>G-REQ-06527-E2</t>
  </si>
  <si>
    <t>G-REQ-06528-E1</t>
  </si>
  <si>
    <t>G-REQ-06528-E2</t>
  </si>
  <si>
    <t>G-REQ-06528-E3</t>
  </si>
  <si>
    <t>G-REQ-06528-E4</t>
  </si>
  <si>
    <t>G-REQ-06529-E1</t>
  </si>
  <si>
    <t>G-REQ-06529-E2</t>
  </si>
  <si>
    <t>G-REQ-06529-E3</t>
  </si>
  <si>
    <t>G-REQ-06529-E4</t>
  </si>
  <si>
    <t>G-REQ-06530-E1</t>
  </si>
  <si>
    <t>G-REQ-06530-E2</t>
  </si>
  <si>
    <t>G-REQ-06530-E3</t>
  </si>
  <si>
    <t>G-REQ-06530-E4</t>
  </si>
  <si>
    <t>G-REQ-06531-E1</t>
  </si>
  <si>
    <t>G-REQ-06531-E2</t>
  </si>
  <si>
    <t>G-REQ-06531-E3</t>
  </si>
  <si>
    <t>G-REQ-06531-E4</t>
  </si>
  <si>
    <t>G-REQ-06532-E1</t>
  </si>
  <si>
    <t>G-REQ-06532-E2</t>
  </si>
  <si>
    <t>G-REQ-06532-E3</t>
  </si>
  <si>
    <t>G-REQ-06532-E4</t>
  </si>
  <si>
    <t>G-REQ-06533-E1</t>
  </si>
  <si>
    <t>G-REQ-06533-E2</t>
  </si>
  <si>
    <t>G-REQ-06533-E3</t>
  </si>
  <si>
    <t>G-REQ-06533-E4</t>
  </si>
  <si>
    <t>G-REQ-06534-E1</t>
  </si>
  <si>
    <t>G-REQ-06534-E2</t>
  </si>
  <si>
    <t>G-REQ-06534-E3</t>
  </si>
  <si>
    <t>G-REQ-06534-E4</t>
  </si>
  <si>
    <t>G-REQ-06535-E1</t>
  </si>
  <si>
    <t>G-REQ-06535-E2</t>
  </si>
  <si>
    <t>SYNTHETIC: Laptop return; Rejected; asset G-AST-00534</t>
  </si>
  <si>
    <t>G-REQ-06536-E1</t>
  </si>
  <si>
    <t>G-REQ-06536-E2</t>
  </si>
  <si>
    <t>G-REQ-06536-E3</t>
  </si>
  <si>
    <t>G-REQ-06536-E4</t>
  </si>
  <si>
    <t>G-REQ-06537-E1</t>
  </si>
  <si>
    <t>G-REQ-06537-E2</t>
  </si>
  <si>
    <t>G-REQ-06537-E3</t>
  </si>
  <si>
    <t>G-REQ-06537-E4</t>
  </si>
  <si>
    <t>G-REQ-06538-E1</t>
  </si>
  <si>
    <t>G-REQ-06538-E2</t>
  </si>
  <si>
    <t>G-REQ-06538-E3</t>
  </si>
  <si>
    <t>G-REQ-06538-E4</t>
  </si>
  <si>
    <t>G-REQ-06539-E1</t>
  </si>
  <si>
    <t>G-REQ-06539-E2</t>
  </si>
  <si>
    <t>SYNTHETIC: Laptop return; Rejected; asset G-AST-00069</t>
  </si>
  <si>
    <t>G-REQ-06540-E1</t>
  </si>
  <si>
    <t>G-REQ-06540-E2</t>
  </si>
  <si>
    <t>G-REQ-06540-E3</t>
  </si>
  <si>
    <t>G-REQ-06540-E4</t>
  </si>
  <si>
    <t>G-REQ-06541-E1</t>
  </si>
  <si>
    <t>G-REQ-06541-E2</t>
  </si>
  <si>
    <t>SYNTHETIC: Laptop return; Rejected; asset G-AST-00135</t>
  </si>
  <si>
    <t>G-REQ-06542-E1</t>
  </si>
  <si>
    <t>G-REQ-06542-E2</t>
  </si>
  <si>
    <t>G-REQ-06542-E3</t>
  </si>
  <si>
    <t>G-REQ-06542-E4</t>
  </si>
  <si>
    <t>G-REQ-06543-E1</t>
  </si>
  <si>
    <t>G-REQ-06543-E2</t>
  </si>
  <si>
    <t>G-REQ-06544-E1</t>
  </si>
  <si>
    <t>G-REQ-06544-E2</t>
  </si>
  <si>
    <t>G-REQ-06544-E3</t>
  </si>
  <si>
    <t>G-REQ-06544-E4</t>
  </si>
  <si>
    <t>G-REQ-06545-E1</t>
  </si>
  <si>
    <t>G-REQ-06545-E2</t>
  </si>
  <si>
    <t>G-REQ-06545-E3</t>
  </si>
  <si>
    <t>G-REQ-06545-E4</t>
  </si>
  <si>
    <t>G-REQ-06546-E1</t>
  </si>
  <si>
    <t>G-REQ-06546-E2</t>
  </si>
  <si>
    <t>G-REQ-06546-E3</t>
  </si>
  <si>
    <t>G-REQ-06546-E4</t>
  </si>
  <si>
    <t>G-REQ-06547-E1</t>
  </si>
  <si>
    <t>G-REQ-06547-E2</t>
  </si>
  <si>
    <t>G-REQ-06548-E1</t>
  </si>
  <si>
    <t>G-REQ-06548-E2</t>
  </si>
  <si>
    <t>G-REQ-06548-E3</t>
  </si>
  <si>
    <t>G-REQ-06548-E4</t>
  </si>
  <si>
    <t>G-REQ-06549-E1</t>
  </si>
  <si>
    <t>G-REQ-06549-E2</t>
  </si>
  <si>
    <t>G-REQ-06549-E3</t>
  </si>
  <si>
    <t>G-REQ-06549-E4</t>
  </si>
  <si>
    <t>G-REQ-06550-E1</t>
  </si>
  <si>
    <t>G-REQ-06550-E2</t>
  </si>
  <si>
    <t>G-REQ-06550-E3</t>
  </si>
  <si>
    <t>G-REQ-06550-E4</t>
  </si>
  <si>
    <t>G-REQ-06551-E1</t>
  </si>
  <si>
    <t>G-REQ-06551-E2</t>
  </si>
  <si>
    <t>G-REQ-06551-E3</t>
  </si>
  <si>
    <t>G-REQ-06551-E4</t>
  </si>
  <si>
    <t>G-REQ-06552-E1</t>
  </si>
  <si>
    <t>G-REQ-06552-E2</t>
  </si>
  <si>
    <t>G-REQ-06552-E3</t>
  </si>
  <si>
    <t>G-REQ-06552-E4</t>
  </si>
  <si>
    <t>G-REQ-06553-E1</t>
  </si>
  <si>
    <t>G-REQ-06553-E2</t>
  </si>
  <si>
    <t>G-REQ-06553-E3</t>
  </si>
  <si>
    <t>G-REQ-06553-E4</t>
  </si>
  <si>
    <t>G-REQ-06554-E1</t>
  </si>
  <si>
    <t>G-REQ-06554-E2</t>
  </si>
  <si>
    <t>G-REQ-06554-E3</t>
  </si>
  <si>
    <t>G-REQ-06554-E4</t>
  </si>
  <si>
    <t>G-REQ-06555-E1</t>
  </si>
  <si>
    <t>G-REQ-06555-E2</t>
  </si>
  <si>
    <t>G-REQ-06555-E3</t>
  </si>
  <si>
    <t>G-REQ-06555-E4</t>
  </si>
  <si>
    <t>G-REQ-06556-E1</t>
  </si>
  <si>
    <t>G-REQ-06556-E2</t>
  </si>
  <si>
    <t>G-REQ-06556-E3</t>
  </si>
  <si>
    <t>G-REQ-06556-E4</t>
  </si>
  <si>
    <t>G-REQ-06557-E1</t>
  </si>
  <si>
    <t>G-REQ-06557-E2</t>
  </si>
  <si>
    <t>G-REQ-06557-E3</t>
  </si>
  <si>
    <t>G-REQ-06557-E4</t>
  </si>
  <si>
    <t>G-REQ-06558-E1</t>
  </si>
  <si>
    <t>G-REQ-06558-E2</t>
  </si>
  <si>
    <t>G-REQ-06558-E3</t>
  </si>
  <si>
    <t>G-REQ-06558-E4</t>
  </si>
  <si>
    <t>G-REQ-06559-E1</t>
  </si>
  <si>
    <t>G-REQ-06559-E2</t>
  </si>
  <si>
    <t>G-REQ-06559-E3</t>
  </si>
  <si>
    <t>G-REQ-06559-E4</t>
  </si>
  <si>
    <t>G-REQ-06560-E1</t>
  </si>
  <si>
    <t>G-REQ-06560-E2</t>
  </si>
  <si>
    <t>G-REQ-06560-E3</t>
  </si>
  <si>
    <t>G-REQ-06560-E4</t>
  </si>
  <si>
    <t>G-REQ-06561-E1</t>
  </si>
  <si>
    <t>G-REQ-06561-E2</t>
  </si>
  <si>
    <t>G-REQ-06561-E3</t>
  </si>
  <si>
    <t>G-REQ-06561-E4</t>
  </si>
  <si>
    <t>G-REQ-06562-E1</t>
  </si>
  <si>
    <t>G-REQ-06562-E2</t>
  </si>
  <si>
    <t>G-REQ-06562-E3</t>
  </si>
  <si>
    <t>G-REQ-06562-E4</t>
  </si>
  <si>
    <t>G-REQ-06563-E1</t>
  </si>
  <si>
    <t>G-REQ-06563-E2</t>
  </si>
  <si>
    <t>G-REQ-06563-E3</t>
  </si>
  <si>
    <t>G-REQ-06563-E4</t>
  </si>
  <si>
    <t>G-REQ-06564-E1</t>
  </si>
  <si>
    <t>G-REQ-06564-E2</t>
  </si>
  <si>
    <t>G-REQ-06564-E3</t>
  </si>
  <si>
    <t>G-REQ-06564-E4</t>
  </si>
  <si>
    <t>G-REQ-06565-E1</t>
  </si>
  <si>
    <t>G-REQ-06565-E2</t>
  </si>
  <si>
    <t>G-REQ-06565-E3</t>
  </si>
  <si>
    <t>G-REQ-06565-E4</t>
  </si>
  <si>
    <t>G-REQ-06566-E1</t>
  </si>
  <si>
    <t>G-REQ-06566-E2</t>
  </si>
  <si>
    <t>G-REQ-06566-E3</t>
  </si>
  <si>
    <t>G-REQ-06566-E4</t>
  </si>
  <si>
    <t>G-REQ-06567-E1</t>
  </si>
  <si>
    <t>G-REQ-06567-E2</t>
  </si>
  <si>
    <t>G-REQ-06567-E3</t>
  </si>
  <si>
    <t>G-REQ-06567-E4</t>
  </si>
  <si>
    <t>G-REQ-06568-E1</t>
  </si>
  <si>
    <t>G-REQ-06568-E2</t>
  </si>
  <si>
    <t>G-REQ-06568-E3</t>
  </si>
  <si>
    <t>G-REQ-06568-E4</t>
  </si>
  <si>
    <t>G-REQ-06569-E1</t>
  </si>
  <si>
    <t>G-REQ-06569-E2</t>
  </si>
  <si>
    <t>G-REQ-06569-E3</t>
  </si>
  <si>
    <t>G-REQ-06569-E4</t>
  </si>
  <si>
    <t>G-REQ-06570-E1</t>
  </si>
  <si>
    <t>G-REQ-06570-E2</t>
  </si>
  <si>
    <t>G-REQ-06570-E3</t>
  </si>
  <si>
    <t>G-REQ-06570-E4</t>
  </si>
  <si>
    <t>G-REQ-06571-E1</t>
  </si>
  <si>
    <t>G-REQ-06571-E2</t>
  </si>
  <si>
    <t>G-REQ-06571-E3</t>
  </si>
  <si>
    <t>G-REQ-06571-E4</t>
  </si>
  <si>
    <t>G-REQ-06572-E1</t>
  </si>
  <si>
    <t>G-REQ-06572-E2</t>
  </si>
  <si>
    <t>G-REQ-06572-E3</t>
  </si>
  <si>
    <t>G-REQ-06572-E4</t>
  </si>
  <si>
    <t>G-REQ-06573-E1</t>
  </si>
  <si>
    <t>G-REQ-06573-E2</t>
  </si>
  <si>
    <t>G-REQ-06573-E3</t>
  </si>
  <si>
    <t>G-REQ-06573-E4</t>
  </si>
  <si>
    <t>G-REQ-06574-E1</t>
  </si>
  <si>
    <t>G-REQ-06574-E2</t>
  </si>
  <si>
    <t>G-REQ-06574-E3</t>
  </si>
  <si>
    <t>G-REQ-06574-E4</t>
  </si>
  <si>
    <t>G-REQ-06575-E1</t>
  </si>
  <si>
    <t>G-REQ-06575-E2</t>
  </si>
  <si>
    <t>G-REQ-06575-E3</t>
  </si>
  <si>
    <t>G-REQ-06575-E4</t>
  </si>
  <si>
    <t>G-REQ-06576-E1</t>
  </si>
  <si>
    <t>G-REQ-06576-E2</t>
  </si>
  <si>
    <t>G-REQ-06576-E3</t>
  </si>
  <si>
    <t>G-REQ-06576-E4</t>
  </si>
  <si>
    <t>G-REQ-06577-E1</t>
  </si>
  <si>
    <t>G-REQ-06577-E2</t>
  </si>
  <si>
    <t>G-REQ-06577-E3</t>
  </si>
  <si>
    <t>G-REQ-06577-E4</t>
  </si>
  <si>
    <t>G-REQ-06578-E1</t>
  </si>
  <si>
    <t>G-REQ-06578-E2</t>
  </si>
  <si>
    <t>G-REQ-06578-E3</t>
  </si>
  <si>
    <t>G-REQ-06578-E4</t>
  </si>
  <si>
    <t>G-REQ-06579-E1</t>
  </si>
  <si>
    <t>G-REQ-06579-E2</t>
  </si>
  <si>
    <t>G-REQ-06580-E1</t>
  </si>
  <si>
    <t>G-REQ-06580-E2</t>
  </si>
  <si>
    <t>G-REQ-06580-E3</t>
  </si>
  <si>
    <t>G-REQ-06580-E4</t>
  </si>
  <si>
    <t>G-REQ-06581-E1</t>
  </si>
  <si>
    <t>G-REQ-06581-E2</t>
  </si>
  <si>
    <t>G-REQ-06581-E3</t>
  </si>
  <si>
    <t>G-REQ-06581-E4</t>
  </si>
  <si>
    <t>G-REQ-06582-E1</t>
  </si>
  <si>
    <t>G-REQ-06582-E2</t>
  </si>
  <si>
    <t>G-REQ-06583-E1</t>
  </si>
  <si>
    <t>G-REQ-06583-E2</t>
  </si>
  <si>
    <t>G-REQ-06583-E3</t>
  </si>
  <si>
    <t>G-REQ-06583-E4</t>
  </si>
  <si>
    <t>G-REQ-06584-E1</t>
  </si>
  <si>
    <t>G-REQ-06584-E2</t>
  </si>
  <si>
    <t>G-REQ-06585-E1</t>
  </si>
  <si>
    <t>G-REQ-06585-E2</t>
  </si>
  <si>
    <t>G-REQ-06585-E3</t>
  </si>
  <si>
    <t>G-REQ-06585-E4</t>
  </si>
  <si>
    <t>G-REQ-06586-E1</t>
  </si>
  <si>
    <t>G-REQ-06586-E2</t>
  </si>
  <si>
    <t>G-REQ-06586-E3</t>
  </si>
  <si>
    <t>G-REQ-06586-E4</t>
  </si>
  <si>
    <t>G-REQ-06587-E1</t>
  </si>
  <si>
    <t>G-REQ-06587-E2</t>
  </si>
  <si>
    <t>G-REQ-06587-E3</t>
  </si>
  <si>
    <t>G-REQ-06587-E4</t>
  </si>
  <si>
    <t>G-REQ-06588-E1</t>
  </si>
  <si>
    <t>G-REQ-06588-E2</t>
  </si>
  <si>
    <t>G-REQ-06588-E3</t>
  </si>
  <si>
    <t>G-REQ-06588-E4</t>
  </si>
  <si>
    <t>G-REQ-06589-E1</t>
  </si>
  <si>
    <t>G-REQ-06589-E2</t>
  </si>
  <si>
    <t>G-REQ-06589-E3</t>
  </si>
  <si>
    <t>G-REQ-06589-E4</t>
  </si>
  <si>
    <t>G-REQ-06590-E1</t>
  </si>
  <si>
    <t>G-REQ-06590-E2</t>
  </si>
  <si>
    <t>G-REQ-06590-E3</t>
  </si>
  <si>
    <t>G-REQ-06590-E4</t>
  </si>
  <si>
    <t>G-REQ-06591-E1</t>
  </si>
  <si>
    <t>G-REQ-06591-E2</t>
  </si>
  <si>
    <t>G-REQ-06591-E3</t>
  </si>
  <si>
    <t>G-REQ-06591-E4</t>
  </si>
  <si>
    <t>G-REQ-06592-E1</t>
  </si>
  <si>
    <t>G-REQ-06592-E2</t>
  </si>
  <si>
    <t>G-REQ-06592-E3</t>
  </si>
  <si>
    <t>G-REQ-06592-E4</t>
  </si>
  <si>
    <t>G-REQ-06593-E1</t>
  </si>
  <si>
    <t>G-REQ-06593-E2</t>
  </si>
  <si>
    <t>G-REQ-06593-E3</t>
  </si>
  <si>
    <t>G-REQ-06593-E4</t>
  </si>
  <si>
    <t>G-REQ-06594-E1</t>
  </si>
  <si>
    <t>G-REQ-06594-E2</t>
  </si>
  <si>
    <t>G-REQ-06594-E3</t>
  </si>
  <si>
    <t>G-REQ-06594-E4</t>
  </si>
  <si>
    <t>G-REQ-06595-E1</t>
  </si>
  <si>
    <t>G-REQ-06595-E2</t>
  </si>
  <si>
    <t>G-REQ-06595-E3</t>
  </si>
  <si>
    <t>G-REQ-06595-E4</t>
  </si>
  <si>
    <t>G-REQ-06596-E1</t>
  </si>
  <si>
    <t>G-REQ-06596-E2</t>
  </si>
  <si>
    <t>G-REQ-06596-E3</t>
  </si>
  <si>
    <t>G-REQ-06596-E4</t>
  </si>
  <si>
    <t>G-REQ-06597-E1</t>
  </si>
  <si>
    <t>G-REQ-06597-E2</t>
  </si>
  <si>
    <t>G-REQ-06597-E3</t>
  </si>
  <si>
    <t>G-REQ-06597-E4</t>
  </si>
  <si>
    <t>G-REQ-06598-E1</t>
  </si>
  <si>
    <t>G-REQ-06598-E2</t>
  </si>
  <si>
    <t>G-REQ-06598-E3</t>
  </si>
  <si>
    <t>G-REQ-06598-E4</t>
  </si>
  <si>
    <t>G-REQ-06599-E1</t>
  </si>
  <si>
    <t>G-REQ-06599-E2</t>
  </si>
  <si>
    <t>G-REQ-06599-E3</t>
  </si>
  <si>
    <t>G-REQ-06599-E4</t>
  </si>
  <si>
    <t>G-REQ-06600-E1</t>
  </si>
  <si>
    <t>G-REQ-06600-E2</t>
  </si>
  <si>
    <t>G-REQ-06600-E3</t>
  </si>
  <si>
    <t>G-REQ-06600-E4</t>
  </si>
  <si>
    <t>G-REQ-06601-E1</t>
  </si>
  <si>
    <t>G-REQ-06601-E2</t>
  </si>
  <si>
    <t>G-REQ-06601-E3</t>
  </si>
  <si>
    <t>G-REQ-06601-E4</t>
  </si>
  <si>
    <t>G-REQ-06602-E1</t>
  </si>
  <si>
    <t>G-REQ-06602-E2</t>
  </si>
  <si>
    <t>G-REQ-06602-E3</t>
  </si>
  <si>
    <t>G-REQ-06602-E4</t>
  </si>
  <si>
    <t>G-REQ-06603-E1</t>
  </si>
  <si>
    <t>G-REQ-06603-E2</t>
  </si>
  <si>
    <t>G-REQ-06603-E3</t>
  </si>
  <si>
    <t>G-REQ-06603-E4</t>
  </si>
  <si>
    <t>G-REQ-06604-E1</t>
  </si>
  <si>
    <t>G-REQ-06604-E2</t>
  </si>
  <si>
    <t>G-REQ-06604-E3</t>
  </si>
  <si>
    <t>G-REQ-06604-E4</t>
  </si>
  <si>
    <t>G-REQ-06605-E1</t>
  </si>
  <si>
    <t>G-REQ-06605-E2</t>
  </si>
  <si>
    <t>G-REQ-06605-E3</t>
  </si>
  <si>
    <t>G-REQ-06605-E4</t>
  </si>
  <si>
    <t>G-REQ-06606-E1</t>
  </si>
  <si>
    <t>G-REQ-06606-E2</t>
  </si>
  <si>
    <t>G-REQ-06606-E3</t>
  </si>
  <si>
    <t>G-REQ-06606-E4</t>
  </si>
  <si>
    <t>G-REQ-06607-E1</t>
  </si>
  <si>
    <t>G-REQ-06607-E2</t>
  </si>
  <si>
    <t>G-REQ-06607-E3</t>
  </si>
  <si>
    <t>G-REQ-06607-E4</t>
  </si>
  <si>
    <t>G-REQ-06608-E1</t>
  </si>
  <si>
    <t>G-REQ-06608-E2</t>
  </si>
  <si>
    <t>G-REQ-06608-E3</t>
  </si>
  <si>
    <t>G-REQ-06608-E4</t>
  </si>
  <si>
    <t>G-REQ-06609-E1</t>
  </si>
  <si>
    <t>G-REQ-06609-E2</t>
  </si>
  <si>
    <t>G-REQ-06609-E3</t>
  </si>
  <si>
    <t>G-REQ-06609-E4</t>
  </si>
  <si>
    <t>G-REQ-06610-E1</t>
  </si>
  <si>
    <t>G-REQ-06610-E2</t>
  </si>
  <si>
    <t>G-REQ-06610-E3</t>
  </si>
  <si>
    <t>G-REQ-06610-E4</t>
  </si>
  <si>
    <t>G-REQ-06611-E1</t>
  </si>
  <si>
    <t>G-REQ-06611-E2</t>
  </si>
  <si>
    <t>G-REQ-06611-E3</t>
  </si>
  <si>
    <t>G-REQ-06611-E4</t>
  </si>
  <si>
    <t>G-REQ-06612-E1</t>
  </si>
  <si>
    <t>G-REQ-06612-E2</t>
  </si>
  <si>
    <t>G-REQ-06612-E3</t>
  </si>
  <si>
    <t>G-REQ-06612-E4</t>
  </si>
  <si>
    <t>G-REQ-06613-E1</t>
  </si>
  <si>
    <t>G-REQ-06613-E2</t>
  </si>
  <si>
    <t>G-REQ-06613-E3</t>
  </si>
  <si>
    <t>G-REQ-06613-E4</t>
  </si>
  <si>
    <t>G-REQ-06614-E1</t>
  </si>
  <si>
    <t>G-REQ-06614-E2</t>
  </si>
  <si>
    <t>G-REQ-06614-E3</t>
  </si>
  <si>
    <t>G-REQ-06614-E4</t>
  </si>
  <si>
    <t>G-REQ-06615-E1</t>
  </si>
  <si>
    <t>G-REQ-06615-E2</t>
  </si>
  <si>
    <t>G-REQ-06616-E1</t>
  </si>
  <si>
    <t>G-REQ-06616-E2</t>
  </si>
  <si>
    <t>G-REQ-06616-E3</t>
  </si>
  <si>
    <t>G-REQ-06616-E4</t>
  </si>
  <si>
    <t>G-REQ-06617-E1</t>
  </si>
  <si>
    <t>G-REQ-06617-E2</t>
  </si>
  <si>
    <t>G-REQ-06617-E3</t>
  </si>
  <si>
    <t>G-REQ-06617-E4</t>
  </si>
  <si>
    <t>G-REQ-06618-E1</t>
  </si>
  <si>
    <t>G-REQ-06618-E2</t>
  </si>
  <si>
    <t>G-REQ-06618-E3</t>
  </si>
  <si>
    <t>G-REQ-06618-E4</t>
  </si>
  <si>
    <t>G-REQ-06619-E1</t>
  </si>
  <si>
    <t>G-REQ-06619-E2</t>
  </si>
  <si>
    <t>G-REQ-06619-E3</t>
  </si>
  <si>
    <t>G-REQ-06619-E4</t>
  </si>
  <si>
    <t>G-REQ-06620-E1</t>
  </si>
  <si>
    <t>G-REQ-06620-E2</t>
  </si>
  <si>
    <t>G-REQ-06620-E3</t>
  </si>
  <si>
    <t>G-REQ-06620-E4</t>
  </si>
  <si>
    <t>G-REQ-06621-E1</t>
  </si>
  <si>
    <t>G-REQ-06621-E2</t>
  </si>
  <si>
    <t>G-REQ-06621-E3</t>
  </si>
  <si>
    <t>G-REQ-06621-E4</t>
  </si>
  <si>
    <t>G-REQ-06622-E1</t>
  </si>
  <si>
    <t>G-REQ-06622-E2</t>
  </si>
  <si>
    <t>G-REQ-06622-E3</t>
  </si>
  <si>
    <t>G-REQ-06622-E4</t>
  </si>
  <si>
    <t>G-REQ-06623-E1</t>
  </si>
  <si>
    <t>G-REQ-06623-E2</t>
  </si>
  <si>
    <t>G-REQ-06623-E3</t>
  </si>
  <si>
    <t>G-REQ-06623-E4</t>
  </si>
  <si>
    <t>G-REQ-06624-E1</t>
  </si>
  <si>
    <t>G-REQ-06624-E2</t>
  </si>
  <si>
    <t>SYNTHETIC: Laptop return; Rejected; asset G-AST-00169</t>
  </si>
  <si>
    <t>G-REQ-06625-E1</t>
  </si>
  <si>
    <t>G-REQ-06625-E2</t>
  </si>
  <si>
    <t>G-REQ-06625-E3</t>
  </si>
  <si>
    <t>G-REQ-06625-E4</t>
  </si>
  <si>
    <t>G-REQ-06626-E1</t>
  </si>
  <si>
    <t>G-REQ-06626-E2</t>
  </si>
  <si>
    <t>G-REQ-06626-E3</t>
  </si>
  <si>
    <t>G-REQ-06626-E4</t>
  </si>
  <si>
    <t>G-REQ-06627-E1</t>
  </si>
  <si>
    <t>G-REQ-06627-E2</t>
  </si>
  <si>
    <t>G-REQ-06627-E3</t>
  </si>
  <si>
    <t>G-REQ-06627-E4</t>
  </si>
  <si>
    <t>G-REQ-06628-E1</t>
  </si>
  <si>
    <t>G-REQ-06628-E2</t>
  </si>
  <si>
    <t>G-REQ-06628-E3</t>
  </si>
  <si>
    <t>G-REQ-06628-E4</t>
  </si>
  <si>
    <t>G-REQ-06629-E1</t>
  </si>
  <si>
    <t>G-REQ-06629-E2</t>
  </si>
  <si>
    <t>G-REQ-06629-E3</t>
  </si>
  <si>
    <t>G-REQ-06629-E4</t>
  </si>
  <si>
    <t>G-REQ-06630-E1</t>
  </si>
  <si>
    <t>G-REQ-06630-E2</t>
  </si>
  <si>
    <t>G-REQ-06630-E3</t>
  </si>
  <si>
    <t>G-REQ-06630-E4</t>
  </si>
  <si>
    <t>G-REQ-06631-E1</t>
  </si>
  <si>
    <t>G-REQ-06631-E2</t>
  </si>
  <si>
    <t>G-REQ-06631-E3</t>
  </si>
  <si>
    <t>G-REQ-06631-E4</t>
  </si>
  <si>
    <t>G-REQ-06632-E1</t>
  </si>
  <si>
    <t>G-REQ-06632-E2</t>
  </si>
  <si>
    <t>G-REQ-06632-E3</t>
  </si>
  <si>
    <t>G-REQ-06632-E4</t>
  </si>
  <si>
    <t>G-REQ-06633-E1</t>
  </si>
  <si>
    <t>G-REQ-06633-E2</t>
  </si>
  <si>
    <t>SYNTHETIC: Laptop return; Cancelled; asset G-AST-00148</t>
  </si>
  <si>
    <t>G-REQ-06634-E1</t>
  </si>
  <si>
    <t>G-REQ-06634-E2</t>
  </si>
  <si>
    <t>G-REQ-06634-E3</t>
  </si>
  <si>
    <t>G-REQ-06634-E4</t>
  </si>
  <si>
    <t>G-REQ-06635-E1</t>
  </si>
  <si>
    <t>G-REQ-06635-E2</t>
  </si>
  <si>
    <t>G-REQ-06635-E3</t>
  </si>
  <si>
    <t>G-REQ-06635-E4</t>
  </si>
  <si>
    <t>G-REQ-06636-E1</t>
  </si>
  <si>
    <t>G-REQ-06636-E2</t>
  </si>
  <si>
    <t>G-REQ-06636-E3</t>
  </si>
  <si>
    <t>G-REQ-06636-E4</t>
  </si>
  <si>
    <t>G-REQ-06637-E1</t>
  </si>
  <si>
    <t>G-REQ-06637-E2</t>
  </si>
  <si>
    <t>G-REQ-06637-E3</t>
  </si>
  <si>
    <t>G-REQ-06637-E4</t>
  </si>
  <si>
    <t>G-REQ-06638-E1</t>
  </si>
  <si>
    <t>G-REQ-06638-E2</t>
  </si>
  <si>
    <t>G-REQ-06638-E3</t>
  </si>
  <si>
    <t>G-REQ-06638-E4</t>
  </si>
  <si>
    <t>G-REQ-06639-E1</t>
  </si>
  <si>
    <t>G-REQ-06639-E2</t>
  </si>
  <si>
    <t>G-REQ-06639-E3</t>
  </si>
  <si>
    <t>G-REQ-06639-E4</t>
  </si>
  <si>
    <t>G-REQ-06640-E1</t>
  </si>
  <si>
    <t>G-REQ-06640-E2</t>
  </si>
  <si>
    <t>G-REQ-06640-E3</t>
  </si>
  <si>
    <t>G-REQ-06640-E4</t>
  </si>
  <si>
    <t>G-REQ-06641-E1</t>
  </si>
  <si>
    <t>G-REQ-06641-E2</t>
  </si>
  <si>
    <t>SYNTHETIC: Laptop return; Cancelled; asset G-AST-00314</t>
  </si>
  <si>
    <t>G-REQ-06642-E1</t>
  </si>
  <si>
    <t>G-REQ-06642-E2</t>
  </si>
  <si>
    <t>G-REQ-06642-E3</t>
  </si>
  <si>
    <t>G-REQ-06642-E4</t>
  </si>
  <si>
    <t>G-REQ-06643-E1</t>
  </si>
  <si>
    <t>G-REQ-06643-E2</t>
  </si>
  <si>
    <t>G-REQ-06643-E3</t>
  </si>
  <si>
    <t>G-REQ-06643-E4</t>
  </si>
  <si>
    <t>G-REQ-06644-E1</t>
  </si>
  <si>
    <t>G-REQ-06644-E2</t>
  </si>
  <si>
    <t>G-REQ-06644-E3</t>
  </si>
  <si>
    <t>G-REQ-06644-E4</t>
  </si>
  <si>
    <t>G-REQ-06645-E1</t>
  </si>
  <si>
    <t>G-REQ-06645-E2</t>
  </si>
  <si>
    <t>G-REQ-06646-E1</t>
  </si>
  <si>
    <t>G-REQ-06646-E2</t>
  </si>
  <si>
    <t>G-REQ-06646-E3</t>
  </si>
  <si>
    <t>G-REQ-06646-E4</t>
  </si>
  <si>
    <t>G-REQ-06647-E1</t>
  </si>
  <si>
    <t>G-REQ-06647-E2</t>
  </si>
  <si>
    <t>G-REQ-06647-E3</t>
  </si>
  <si>
    <t>G-REQ-06647-E4</t>
  </si>
  <si>
    <t>G-REQ-06648-E1</t>
  </si>
  <si>
    <t>G-REQ-06648-E2</t>
  </si>
  <si>
    <t>G-REQ-06648-E3</t>
  </si>
  <si>
    <t>G-REQ-06648-E4</t>
  </si>
  <si>
    <t>G-REQ-06649-E1</t>
  </si>
  <si>
    <t>G-REQ-06649-E2</t>
  </si>
  <si>
    <t>G-REQ-06649-E3</t>
  </si>
  <si>
    <t>G-REQ-06649-E4</t>
  </si>
  <si>
    <t>G-REQ-06650-E1</t>
  </si>
  <si>
    <t>G-REQ-06650-E2</t>
  </si>
  <si>
    <t>G-REQ-06650-E3</t>
  </si>
  <si>
    <t>G-REQ-06650-E4</t>
  </si>
  <si>
    <t>G-REQ-06651-E1</t>
  </si>
  <si>
    <t>G-REQ-06651-E2</t>
  </si>
  <si>
    <t>G-REQ-06651-E3</t>
  </si>
  <si>
    <t>G-REQ-06651-E4</t>
  </si>
  <si>
    <t>G-REQ-06652-E1</t>
  </si>
  <si>
    <t>G-REQ-06652-E2</t>
  </si>
  <si>
    <t>G-REQ-06652-E3</t>
  </si>
  <si>
    <t>G-REQ-06652-E4</t>
  </si>
  <si>
    <t>G-REQ-06653-E1</t>
  </si>
  <si>
    <t>G-REQ-06653-E2</t>
  </si>
  <si>
    <t>G-REQ-06653-E3</t>
  </si>
  <si>
    <t>G-REQ-06653-E4</t>
  </si>
  <si>
    <t>G-REQ-06654-E1</t>
  </si>
  <si>
    <t>G-REQ-06654-E2</t>
  </si>
  <si>
    <t>G-REQ-06654-E3</t>
  </si>
  <si>
    <t>G-REQ-06654-E4</t>
  </si>
  <si>
    <t>G-REQ-06655-E1</t>
  </si>
  <si>
    <t>G-REQ-06655-E2</t>
  </si>
  <si>
    <t>G-REQ-06655-E3</t>
  </si>
  <si>
    <t>G-REQ-06655-E4</t>
  </si>
  <si>
    <t>G-REQ-06656-E1</t>
  </si>
  <si>
    <t>G-REQ-06656-E2</t>
  </si>
  <si>
    <t>G-REQ-06656-E3</t>
  </si>
  <si>
    <t>G-REQ-06656-E4</t>
  </si>
  <si>
    <t>G-REQ-06657-E1</t>
  </si>
  <si>
    <t>G-REQ-06657-E2</t>
  </si>
  <si>
    <t>G-REQ-06657-E3</t>
  </si>
  <si>
    <t>G-REQ-06657-E4</t>
  </si>
  <si>
    <t>G-REQ-06658-E1</t>
  </si>
  <si>
    <t>G-REQ-06658-E2</t>
  </si>
  <si>
    <t>G-REQ-06659-E1</t>
  </si>
  <si>
    <t>G-REQ-06659-E2</t>
  </si>
  <si>
    <t>G-REQ-06659-E3</t>
  </si>
  <si>
    <t>G-REQ-06659-E4</t>
  </si>
  <si>
    <t>G-REQ-06660-E1</t>
  </si>
  <si>
    <t>G-REQ-06660-E2</t>
  </si>
  <si>
    <t>G-REQ-06660-E3</t>
  </si>
  <si>
    <t>G-REQ-06660-E4</t>
  </si>
  <si>
    <t>G-REQ-06661-E1</t>
  </si>
  <si>
    <t>G-REQ-06661-E2</t>
  </si>
  <si>
    <t>G-REQ-06661-E3</t>
  </si>
  <si>
    <t>G-REQ-06661-E4</t>
  </si>
  <si>
    <t>G-REQ-06662-E1</t>
  </si>
  <si>
    <t>G-REQ-06662-E2</t>
  </si>
  <si>
    <t>G-REQ-06662-E3</t>
  </si>
  <si>
    <t>G-REQ-06662-E4</t>
  </si>
  <si>
    <t>G-REQ-06663-E1</t>
  </si>
  <si>
    <t>G-REQ-06663-E2</t>
  </si>
  <si>
    <t>G-REQ-06663-E3</t>
  </si>
  <si>
    <t>G-REQ-06663-E4</t>
  </si>
  <si>
    <t>G-REQ-06664-E1</t>
  </si>
  <si>
    <t>G-REQ-06664-E2</t>
  </si>
  <si>
    <t>G-REQ-06664-E3</t>
  </si>
  <si>
    <t>G-REQ-06664-E4</t>
  </si>
  <si>
    <t>G-REQ-06665-E1</t>
  </si>
  <si>
    <t>G-REQ-06665-E2</t>
  </si>
  <si>
    <t>G-REQ-06665-E3</t>
  </si>
  <si>
    <t>G-REQ-06665-E4</t>
  </si>
  <si>
    <t>G-REQ-06666-E1</t>
  </si>
  <si>
    <t>G-REQ-06666-E2</t>
  </si>
  <si>
    <t>G-REQ-06666-E3</t>
  </si>
  <si>
    <t>G-REQ-06666-E4</t>
  </si>
  <si>
    <t>G-REQ-06667-E1</t>
  </si>
  <si>
    <t>G-REQ-06667-E2</t>
  </si>
  <si>
    <t>SYNTHETIC: Laptop return; Rejected; asset G-AST-00282</t>
  </si>
  <si>
    <t>G-REQ-06668-E1</t>
  </si>
  <si>
    <t>G-REQ-06668-E2</t>
  </si>
  <si>
    <t>G-REQ-06669-E1</t>
  </si>
  <si>
    <t>G-REQ-06669-E2</t>
  </si>
  <si>
    <t>G-REQ-06669-E3</t>
  </si>
  <si>
    <t>G-REQ-06669-E4</t>
  </si>
  <si>
    <t>G-REQ-06670-E1</t>
  </si>
  <si>
    <t>G-REQ-06670-E2</t>
  </si>
  <si>
    <t>G-REQ-06670-E3</t>
  </si>
  <si>
    <t>G-REQ-06670-E4</t>
  </si>
  <si>
    <t>G-REQ-06671-E1</t>
  </si>
  <si>
    <t>G-REQ-06671-E2</t>
  </si>
  <si>
    <t>SYNTHETIC: Laptop repair; Cancelled; asset G-AST-00503</t>
  </si>
  <si>
    <t>G-REQ-06672-E1</t>
  </si>
  <si>
    <t>G-REQ-06672-E2</t>
  </si>
  <si>
    <t>G-REQ-06672-E3</t>
  </si>
  <si>
    <t>G-REQ-06672-E4</t>
  </si>
  <si>
    <t>G-REQ-06673-E1</t>
  </si>
  <si>
    <t>G-REQ-06673-E2</t>
  </si>
  <si>
    <t>G-REQ-06673-E3</t>
  </si>
  <si>
    <t>G-REQ-06673-E4</t>
  </si>
  <si>
    <t>G-REQ-06674-E1</t>
  </si>
  <si>
    <t>G-REQ-06674-E2</t>
  </si>
  <si>
    <t>G-REQ-06674-E3</t>
  </si>
  <si>
    <t>G-REQ-06674-E4</t>
  </si>
  <si>
    <t>G-REQ-06675-E1</t>
  </si>
  <si>
    <t>G-REQ-06675-E2</t>
  </si>
  <si>
    <t>G-REQ-06675-E3</t>
  </si>
  <si>
    <t>G-REQ-06675-E4</t>
  </si>
  <si>
    <t>G-REQ-06676-E1</t>
  </si>
  <si>
    <t>G-REQ-06676-E2</t>
  </si>
  <si>
    <t>G-REQ-06676-E3</t>
  </si>
  <si>
    <t>G-REQ-06676-E4</t>
  </si>
  <si>
    <t>G-REQ-06677-E1</t>
  </si>
  <si>
    <t>G-REQ-06677-E2</t>
  </si>
  <si>
    <t>G-REQ-06677-E3</t>
  </si>
  <si>
    <t>G-REQ-06677-E4</t>
  </si>
  <si>
    <t>G-REQ-06678-E1</t>
  </si>
  <si>
    <t>G-REQ-06678-E2</t>
  </si>
  <si>
    <t>G-REQ-06678-E3</t>
  </si>
  <si>
    <t>G-REQ-06678-E4</t>
  </si>
  <si>
    <t>G-REQ-06679-E1</t>
  </si>
  <si>
    <t>G-REQ-06679-E2</t>
  </si>
  <si>
    <t>G-REQ-06679-E3</t>
  </si>
  <si>
    <t>G-REQ-06679-E4</t>
  </si>
  <si>
    <t>G-REQ-06680-E1</t>
  </si>
  <si>
    <t>G-REQ-06680-E2</t>
  </si>
  <si>
    <t>G-REQ-06680-E3</t>
  </si>
  <si>
    <t>G-REQ-06680-E4</t>
  </si>
  <si>
    <t>G-REQ-06681-E1</t>
  </si>
  <si>
    <t>G-REQ-06681-E2</t>
  </si>
  <si>
    <t>G-REQ-06681-E3</t>
  </si>
  <si>
    <t>G-REQ-06681-E4</t>
  </si>
  <si>
    <t>G-REQ-06682-E1</t>
  </si>
  <si>
    <t>G-REQ-06682-E2</t>
  </si>
  <si>
    <t>G-REQ-06683-E1</t>
  </si>
  <si>
    <t>G-REQ-06683-E2</t>
  </si>
  <si>
    <t>G-REQ-06683-E3</t>
  </si>
  <si>
    <t>G-REQ-06683-E4</t>
  </si>
  <si>
    <t>G-REQ-06684-E1</t>
  </si>
  <si>
    <t>G-REQ-06684-E2</t>
  </si>
  <si>
    <t>G-REQ-06684-E3</t>
  </si>
  <si>
    <t>G-REQ-06684-E4</t>
  </si>
  <si>
    <t>G-REQ-06685-E1</t>
  </si>
  <si>
    <t>G-REQ-06685-E2</t>
  </si>
  <si>
    <t>G-REQ-06685-E3</t>
  </si>
  <si>
    <t>G-REQ-06685-E4</t>
  </si>
  <si>
    <t>G-REQ-06686-E1</t>
  </si>
  <si>
    <t>G-REQ-06686-E2</t>
  </si>
  <si>
    <t>G-REQ-06686-E3</t>
  </si>
  <si>
    <t>G-REQ-06686-E4</t>
  </si>
  <si>
    <t>G-REQ-06687-E1</t>
  </si>
  <si>
    <t>G-REQ-06687-E2</t>
  </si>
  <si>
    <t>G-REQ-06687-E3</t>
  </si>
  <si>
    <t>G-REQ-06687-E4</t>
  </si>
  <si>
    <t>G-REQ-06688-E1</t>
  </si>
  <si>
    <t>G-REQ-06688-E2</t>
  </si>
  <si>
    <t>G-REQ-06688-E3</t>
  </si>
  <si>
    <t>G-REQ-06688-E4</t>
  </si>
  <si>
    <t>G-REQ-06689-E1</t>
  </si>
  <si>
    <t>G-REQ-06689-E2</t>
  </si>
  <si>
    <t>G-REQ-06689-E3</t>
  </si>
  <si>
    <t>G-REQ-06689-E4</t>
  </si>
  <si>
    <t>G-REQ-06690-E1</t>
  </si>
  <si>
    <t>G-REQ-06690-E2</t>
  </si>
  <si>
    <t>G-REQ-06690-E3</t>
  </si>
  <si>
    <t>G-REQ-06690-E4</t>
  </si>
  <si>
    <t>G-REQ-06691-E1</t>
  </si>
  <si>
    <t>G-REQ-06691-E2</t>
  </si>
  <si>
    <t>SYNTHETIC: Laptop return; Cancelled; asset G-AST-00326</t>
  </si>
  <si>
    <t>G-REQ-06692-E1</t>
  </si>
  <si>
    <t>G-REQ-06692-E2</t>
  </si>
  <si>
    <t>SYNTHETIC: Laptop return; Rejected; asset G-AST-00156</t>
  </si>
  <si>
    <t>G-REQ-06693-E1</t>
  </si>
  <si>
    <t>G-REQ-06693-E2</t>
  </si>
  <si>
    <t>G-REQ-06693-E3</t>
  </si>
  <si>
    <t>G-REQ-06693-E4</t>
  </si>
  <si>
    <t>G-REQ-06694-E1</t>
  </si>
  <si>
    <t>G-REQ-06694-E2</t>
  </si>
  <si>
    <t>G-REQ-06694-E3</t>
  </si>
  <si>
    <t>G-REQ-06694-E4</t>
  </si>
  <si>
    <t>G-REQ-06695-E1</t>
  </si>
  <si>
    <t>G-REQ-06695-E2</t>
  </si>
  <si>
    <t>G-REQ-06695-E3</t>
  </si>
  <si>
    <t>G-REQ-06695-E4</t>
  </si>
  <si>
    <t>G-REQ-06696-E1</t>
  </si>
  <si>
    <t>G-REQ-06696-E2</t>
  </si>
  <si>
    <t>G-REQ-06696-E3</t>
  </si>
  <si>
    <t>G-REQ-06696-E4</t>
  </si>
  <si>
    <t>G-REQ-06697-E1</t>
  </si>
  <si>
    <t>G-REQ-06697-E2</t>
  </si>
  <si>
    <t>G-REQ-06697-E3</t>
  </si>
  <si>
    <t>G-REQ-06697-E4</t>
  </si>
  <si>
    <t>G-REQ-06698-E1</t>
  </si>
  <si>
    <t>G-REQ-06698-E2</t>
  </si>
  <si>
    <t>SYNTHETIC: Laptop repair; Rejected; asset G-AST-00326</t>
  </si>
  <si>
    <t>G-REQ-06699-E1</t>
  </si>
  <si>
    <t>G-REQ-06699-E2</t>
  </si>
  <si>
    <t>G-REQ-06699-E3</t>
  </si>
  <si>
    <t>G-REQ-06699-E4</t>
  </si>
  <si>
    <t>G-REQ-06700-E1</t>
  </si>
  <si>
    <t>G-REQ-06700-E2</t>
  </si>
  <si>
    <t>G-REQ-06700-E3</t>
  </si>
  <si>
    <t>G-REQ-06700-E4</t>
  </si>
  <si>
    <t>G-REQ-06701-E1</t>
  </si>
  <si>
    <t>G-REQ-06701-E2</t>
  </si>
  <si>
    <t>G-REQ-06701-E3</t>
  </si>
  <si>
    <t>G-REQ-06701-E4</t>
  </si>
  <si>
    <t>G-REQ-06702-E1</t>
  </si>
  <si>
    <t>G-REQ-06702-E2</t>
  </si>
  <si>
    <t>G-REQ-06702-E3</t>
  </si>
  <si>
    <t>G-REQ-06702-E4</t>
  </si>
  <si>
    <t>G-REQ-06703-E1</t>
  </si>
  <si>
    <t>G-REQ-06703-E2</t>
  </si>
  <si>
    <t>G-REQ-06703-E3</t>
  </si>
  <si>
    <t>G-REQ-06703-E4</t>
  </si>
  <si>
    <t>G-REQ-06704-E1</t>
  </si>
  <si>
    <t>G-REQ-06704-E2</t>
  </si>
  <si>
    <t>G-REQ-06704-E3</t>
  </si>
  <si>
    <t>G-REQ-06704-E4</t>
  </si>
  <si>
    <t>G-REQ-06705-E1</t>
  </si>
  <si>
    <t>G-REQ-06705-E2</t>
  </si>
  <si>
    <t>G-REQ-06705-E3</t>
  </si>
  <si>
    <t>G-REQ-06705-E4</t>
  </si>
  <si>
    <t>G-REQ-06706-E1</t>
  </si>
  <si>
    <t>G-REQ-06706-E2</t>
  </si>
  <si>
    <t>G-REQ-06707-E1</t>
  </si>
  <si>
    <t>G-REQ-06707-E2</t>
  </si>
  <si>
    <t>G-REQ-06707-E3</t>
  </si>
  <si>
    <t>G-REQ-06707-E4</t>
  </si>
  <si>
    <t>G-REQ-06708-E1</t>
  </si>
  <si>
    <t>G-REQ-06708-E2</t>
  </si>
  <si>
    <t>G-REQ-06708-E3</t>
  </si>
  <si>
    <t>G-REQ-06708-E4</t>
  </si>
  <si>
    <t>G-REQ-06709-E1</t>
  </si>
  <si>
    <t>G-REQ-06709-E2</t>
  </si>
  <si>
    <t>G-REQ-06709-E3</t>
  </si>
  <si>
    <t>G-REQ-06709-E4</t>
  </si>
  <si>
    <t>G-REQ-06710-E1</t>
  </si>
  <si>
    <t>G-REQ-06710-E2</t>
  </si>
  <si>
    <t>G-REQ-06710-E3</t>
  </si>
  <si>
    <t>G-REQ-06710-E4</t>
  </si>
  <si>
    <t>G-REQ-06711-E1</t>
  </si>
  <si>
    <t>G-REQ-06711-E2</t>
  </si>
  <si>
    <t>G-REQ-06711-E3</t>
  </si>
  <si>
    <t>G-REQ-06711-E4</t>
  </si>
  <si>
    <t>G-REQ-06712-E1</t>
  </si>
  <si>
    <t>G-REQ-06712-E2</t>
  </si>
  <si>
    <t>G-REQ-06713-E1</t>
  </si>
  <si>
    <t>G-REQ-06713-E2</t>
  </si>
  <si>
    <t>G-REQ-06713-E3</t>
  </si>
  <si>
    <t>G-REQ-06713-E4</t>
  </si>
  <si>
    <t>G-REQ-06714-E1</t>
  </si>
  <si>
    <t>G-REQ-06714-E2</t>
  </si>
  <si>
    <t>G-REQ-06714-E3</t>
  </si>
  <si>
    <t>G-REQ-06714-E4</t>
  </si>
  <si>
    <t>G-REQ-06715-E1</t>
  </si>
  <si>
    <t>G-REQ-06715-E2</t>
  </si>
  <si>
    <t>G-REQ-06716-E1</t>
  </si>
  <si>
    <t>G-REQ-06716-E2</t>
  </si>
  <si>
    <t>G-REQ-06716-E3</t>
  </si>
  <si>
    <t>G-REQ-06716-E4</t>
  </si>
  <si>
    <t>G-REQ-06717-E1</t>
  </si>
  <si>
    <t>G-REQ-06717-E2</t>
  </si>
  <si>
    <t>G-REQ-06717-E3</t>
  </si>
  <si>
    <t>G-REQ-06717-E4</t>
  </si>
  <si>
    <t>G-REQ-06718-E1</t>
  </si>
  <si>
    <t>G-REQ-06718-E2</t>
  </si>
  <si>
    <t>G-REQ-06718-E3</t>
  </si>
  <si>
    <t>G-REQ-06718-E4</t>
  </si>
  <si>
    <t>G-REQ-06719-E1</t>
  </si>
  <si>
    <t>G-REQ-06719-E2</t>
  </si>
  <si>
    <t>G-REQ-06719-E3</t>
  </si>
  <si>
    <t>G-REQ-06719-E4</t>
  </si>
  <si>
    <t>G-REQ-06720-E1</t>
  </si>
  <si>
    <t>G-REQ-06720-E2</t>
  </si>
  <si>
    <t>G-REQ-06720-E3</t>
  </si>
  <si>
    <t>G-REQ-06720-E4</t>
  </si>
  <si>
    <t>G-REQ-06721-E1</t>
  </si>
  <si>
    <t>G-REQ-06721-E2</t>
  </si>
  <si>
    <t>G-REQ-06721-E3</t>
  </si>
  <si>
    <t>G-REQ-06721-E4</t>
  </si>
  <si>
    <t>G-REQ-06722-E1</t>
  </si>
  <si>
    <t>G-REQ-06722-E2</t>
  </si>
  <si>
    <t>G-REQ-06722-E3</t>
  </si>
  <si>
    <t>G-REQ-06722-E4</t>
  </si>
  <si>
    <t>G-REQ-06723-E1</t>
  </si>
  <si>
    <t>G-REQ-06723-E2</t>
  </si>
  <si>
    <t>G-REQ-06723-E3</t>
  </si>
  <si>
    <t>G-REQ-06723-E4</t>
  </si>
  <si>
    <t>G-REQ-06724-E1</t>
  </si>
  <si>
    <t>G-REQ-06724-E2</t>
  </si>
  <si>
    <t>SYNTHETIC: Laptop repair; Rejected; asset G-AST-00267</t>
  </si>
  <si>
    <t>G-REQ-06725-E1</t>
  </si>
  <si>
    <t>G-REQ-06725-E2</t>
  </si>
  <si>
    <t>G-REQ-06725-E3</t>
  </si>
  <si>
    <t>G-REQ-06725-E4</t>
  </si>
  <si>
    <t>G-REQ-06726-E1</t>
  </si>
  <si>
    <t>G-REQ-06726-E2</t>
  </si>
  <si>
    <t>G-REQ-06726-E3</t>
  </si>
  <si>
    <t>G-REQ-06726-E4</t>
  </si>
  <si>
    <t>G-REQ-06727-E1</t>
  </si>
  <si>
    <t>G-REQ-06727-E2</t>
  </si>
  <si>
    <t>G-REQ-06727-E3</t>
  </si>
  <si>
    <t>G-REQ-06727-E4</t>
  </si>
  <si>
    <t>G-REQ-06728-E1</t>
  </si>
  <si>
    <t>G-REQ-06728-E2</t>
  </si>
  <si>
    <t>G-REQ-06728-E3</t>
  </si>
  <si>
    <t>G-REQ-06728-E4</t>
  </si>
  <si>
    <t>G-REQ-06729-E1</t>
  </si>
  <si>
    <t>G-REQ-06729-E2</t>
  </si>
  <si>
    <t>G-REQ-06729-E3</t>
  </si>
  <si>
    <t>G-REQ-06729-E4</t>
  </si>
  <si>
    <t>G-REQ-06730-E1</t>
  </si>
  <si>
    <t>G-REQ-06730-E2</t>
  </si>
  <si>
    <t>SYNTHETIC: Laptop repair; Rejected; asset G-AST-00530</t>
  </si>
  <si>
    <t>G-REQ-06731-E1</t>
  </si>
  <si>
    <t>G-REQ-06731-E2</t>
  </si>
  <si>
    <t>G-REQ-06731-E3</t>
  </si>
  <si>
    <t>G-REQ-06731-E4</t>
  </si>
  <si>
    <t>G-REQ-06732-E1</t>
  </si>
  <si>
    <t>SYNTHETIC: Laptop repair; Pending approval; asset G-AST-00196</t>
  </si>
  <si>
    <t>G-REQ-06732-E2</t>
  </si>
  <si>
    <t>SYNTHETIC: Laptop repair; Approved; asset G-AST-00196</t>
  </si>
  <si>
    <t>G-REQ-06732-E3</t>
  </si>
  <si>
    <t>SYNTHETIC: Laptop repair; In progress; asset G-AST-00196</t>
  </si>
  <si>
    <t>G-REQ-06732-E4</t>
  </si>
  <si>
    <t>SYNTHETIC: Laptop repair; Completed; asset G-AST-00196</t>
  </si>
  <si>
    <t>G-REQ-06733-E1</t>
  </si>
  <si>
    <t>G-REQ-06733-E2</t>
  </si>
  <si>
    <t>G-REQ-06733-E3</t>
  </si>
  <si>
    <t>G-REQ-06733-E4</t>
  </si>
  <si>
    <t>G-REQ-06734-E1</t>
  </si>
  <si>
    <t>G-REQ-06734-E2</t>
  </si>
  <si>
    <t>G-REQ-06734-E3</t>
  </si>
  <si>
    <t>G-REQ-06734-E4</t>
  </si>
  <si>
    <t>G-REQ-06735-E1</t>
  </si>
  <si>
    <t>G-REQ-06735-E2</t>
  </si>
  <si>
    <t>G-REQ-06735-E3</t>
  </si>
  <si>
    <t>G-REQ-06735-E4</t>
  </si>
  <si>
    <t>G-REQ-06736-E1</t>
  </si>
  <si>
    <t>G-REQ-06736-E2</t>
  </si>
  <si>
    <t>G-REQ-06736-E3</t>
  </si>
  <si>
    <t>G-REQ-06736-E4</t>
  </si>
  <si>
    <t>G-REQ-06737-E1</t>
  </si>
  <si>
    <t>G-REQ-06737-E2</t>
  </si>
  <si>
    <t>G-REQ-06737-E3</t>
  </si>
  <si>
    <t>G-REQ-06737-E4</t>
  </si>
  <si>
    <t>G-REQ-06738-E1</t>
  </si>
  <si>
    <t>G-REQ-06738-E2</t>
  </si>
  <si>
    <t>G-REQ-06738-E3</t>
  </si>
  <si>
    <t>G-REQ-06738-E4</t>
  </si>
  <si>
    <t>G-REQ-06739-E1</t>
  </si>
  <si>
    <t>G-REQ-06739-E2</t>
  </si>
  <si>
    <t>G-REQ-06739-E3</t>
  </si>
  <si>
    <t>G-REQ-06739-E4</t>
  </si>
  <si>
    <t>G-REQ-06740-E1</t>
  </si>
  <si>
    <t>G-REQ-06740-E2</t>
  </si>
  <si>
    <t>G-REQ-06740-E3</t>
  </si>
  <si>
    <t>G-REQ-06740-E4</t>
  </si>
  <si>
    <t>G-REQ-06741-E1</t>
  </si>
  <si>
    <t>G-REQ-06741-E2</t>
  </si>
  <si>
    <t>G-REQ-06741-E3</t>
  </si>
  <si>
    <t>G-REQ-06741-E4</t>
  </si>
  <si>
    <t>G-REQ-06742-E1</t>
  </si>
  <si>
    <t>G-REQ-06742-E2</t>
  </si>
  <si>
    <t>G-REQ-06742-E3</t>
  </si>
  <si>
    <t>G-REQ-06742-E4</t>
  </si>
  <si>
    <t>G-REQ-06743-E1</t>
  </si>
  <si>
    <t>G-REQ-06743-E2</t>
  </si>
  <si>
    <t>G-REQ-06743-E3</t>
  </si>
  <si>
    <t>G-REQ-06743-E4</t>
  </si>
  <si>
    <t>G-REQ-06744-E1</t>
  </si>
  <si>
    <t>G-REQ-06744-E2</t>
  </si>
  <si>
    <t>G-REQ-06744-E3</t>
  </si>
  <si>
    <t>G-REQ-06744-E4</t>
  </si>
  <si>
    <t>G-REQ-06745-E1</t>
  </si>
  <si>
    <t>G-REQ-06745-E2</t>
  </si>
  <si>
    <t>G-REQ-06745-E3</t>
  </si>
  <si>
    <t>G-REQ-06745-E4</t>
  </si>
  <si>
    <t>G-REQ-06746-E1</t>
  </si>
  <si>
    <t>G-REQ-06746-E2</t>
  </si>
  <si>
    <t>G-REQ-06746-E3</t>
  </si>
  <si>
    <t>G-REQ-06746-E4</t>
  </si>
  <si>
    <t>G-REQ-06747-E1</t>
  </si>
  <si>
    <t>G-REQ-06747-E2</t>
  </si>
  <si>
    <t>G-REQ-06747-E3</t>
  </si>
  <si>
    <t>G-REQ-06747-E4</t>
  </si>
  <si>
    <t>G-REQ-06748-E1</t>
  </si>
  <si>
    <t>G-REQ-06748-E2</t>
  </si>
  <si>
    <t>G-REQ-06748-E3</t>
  </si>
  <si>
    <t>G-REQ-06748-E4</t>
  </si>
  <si>
    <t>G-REQ-06749-E1</t>
  </si>
  <si>
    <t>G-REQ-06749-E2</t>
  </si>
  <si>
    <t>G-REQ-06749-E3</t>
  </si>
  <si>
    <t>G-REQ-06749-E4</t>
  </si>
  <si>
    <t>G-REQ-06750-E1</t>
  </si>
  <si>
    <t>G-REQ-06750-E2</t>
  </si>
  <si>
    <t>G-REQ-06750-E3</t>
  </si>
  <si>
    <t>G-REQ-06750-E4</t>
  </si>
  <si>
    <t>G-REQ-06751-E1</t>
  </si>
  <si>
    <t>G-REQ-06751-E2</t>
  </si>
  <si>
    <t>G-REQ-06751-E3</t>
  </si>
  <si>
    <t>G-REQ-06751-E4</t>
  </si>
  <si>
    <t>G-REQ-06752-E1</t>
  </si>
  <si>
    <t>G-REQ-06752-E2</t>
  </si>
  <si>
    <t>G-REQ-06752-E3</t>
  </si>
  <si>
    <t>G-REQ-06752-E4</t>
  </si>
  <si>
    <t>G-REQ-06753-E1</t>
  </si>
  <si>
    <t>G-REQ-06753-E2</t>
  </si>
  <si>
    <t>SYNTHETIC: Laptop repair; Cancelled; asset G-AST-00156</t>
  </si>
  <si>
    <t>G-REQ-06754-E1</t>
  </si>
  <si>
    <t>G-REQ-06754-E2</t>
  </si>
  <si>
    <t>G-REQ-06754-E3</t>
  </si>
  <si>
    <t>G-REQ-06754-E4</t>
  </si>
  <si>
    <t>G-REQ-06755-E1</t>
  </si>
  <si>
    <t>G-REQ-06755-E2</t>
  </si>
  <si>
    <t>G-REQ-06755-E3</t>
  </si>
  <si>
    <t>G-REQ-06755-E4</t>
  </si>
  <si>
    <t>G-REQ-06756-E1</t>
  </si>
  <si>
    <t>G-REQ-06756-E2</t>
  </si>
  <si>
    <t>G-REQ-06756-E3</t>
  </si>
  <si>
    <t>G-REQ-06756-E4</t>
  </si>
  <si>
    <t>G-REQ-06757-E1</t>
  </si>
  <si>
    <t>G-REQ-06757-E2</t>
  </si>
  <si>
    <t>G-REQ-06757-E3</t>
  </si>
  <si>
    <t>G-REQ-06757-E4</t>
  </si>
  <si>
    <t>G-REQ-06758-E1</t>
  </si>
  <si>
    <t>G-REQ-06758-E2</t>
  </si>
  <si>
    <t>G-REQ-06758-E3</t>
  </si>
  <si>
    <t>G-REQ-06758-E4</t>
  </si>
  <si>
    <t>G-REQ-06759-E1</t>
  </si>
  <si>
    <t>G-REQ-06759-E2</t>
  </si>
  <si>
    <t>G-REQ-06759-E3</t>
  </si>
  <si>
    <t>G-REQ-06759-E4</t>
  </si>
  <si>
    <t>G-REQ-06760-E1</t>
  </si>
  <si>
    <t>G-REQ-06760-E2</t>
  </si>
  <si>
    <t>SYNTHETIC: Laptop repair; Cancelled; asset G-AST-00339</t>
  </si>
  <si>
    <t>G-REQ-06761-E1</t>
  </si>
  <si>
    <t>G-REQ-06761-E2</t>
  </si>
  <si>
    <t>G-REQ-06761-E3</t>
  </si>
  <si>
    <t>G-REQ-06761-E4</t>
  </si>
  <si>
    <t>G-REQ-06762-E1</t>
  </si>
  <si>
    <t>G-REQ-06762-E2</t>
  </si>
  <si>
    <t>G-REQ-06762-E3</t>
  </si>
  <si>
    <t>G-REQ-06762-E4</t>
  </si>
  <si>
    <t>G-REQ-06763-E1</t>
  </si>
  <si>
    <t>G-REQ-06763-E2</t>
  </si>
  <si>
    <t>G-REQ-06763-E3</t>
  </si>
  <si>
    <t>G-REQ-06763-E4</t>
  </si>
  <si>
    <t>G-REQ-06764-E1</t>
  </si>
  <si>
    <t>G-REQ-06764-E2</t>
  </si>
  <si>
    <t>G-REQ-06764-E3</t>
  </si>
  <si>
    <t>G-REQ-06764-E4</t>
  </si>
  <si>
    <t>G-REQ-06765-E1</t>
  </si>
  <si>
    <t>G-REQ-06765-E2</t>
  </si>
  <si>
    <t>G-REQ-06765-E3</t>
  </si>
  <si>
    <t>G-REQ-06765-E4</t>
  </si>
  <si>
    <t>G-REQ-06766-E1</t>
  </si>
  <si>
    <t>G-REQ-06766-E2</t>
  </si>
  <si>
    <t>G-REQ-06766-E3</t>
  </si>
  <si>
    <t>G-REQ-06766-E4</t>
  </si>
  <si>
    <t>G-REQ-06767-E1</t>
  </si>
  <si>
    <t>G-REQ-06767-E2</t>
  </si>
  <si>
    <t>G-REQ-06767-E3</t>
  </si>
  <si>
    <t>G-REQ-06767-E4</t>
  </si>
  <si>
    <t>G-REQ-06768-E1</t>
  </si>
  <si>
    <t>G-REQ-06768-E2</t>
  </si>
  <si>
    <t>G-REQ-06768-E3</t>
  </si>
  <si>
    <t>G-REQ-06768-E4</t>
  </si>
  <si>
    <t>G-REQ-06769-E1</t>
  </si>
  <si>
    <t>G-REQ-06769-E2</t>
  </si>
  <si>
    <t>G-REQ-06769-E3</t>
  </si>
  <si>
    <t>G-REQ-06769-E4</t>
  </si>
  <si>
    <t>G-REQ-06770-E1</t>
  </si>
  <si>
    <t>G-REQ-06770-E2</t>
  </si>
  <si>
    <t>G-REQ-06770-E3</t>
  </si>
  <si>
    <t>G-REQ-06770-E4</t>
  </si>
  <si>
    <t>G-REQ-06771-E1</t>
  </si>
  <si>
    <t>G-REQ-06771-E2</t>
  </si>
  <si>
    <t>G-REQ-06771-E3</t>
  </si>
  <si>
    <t>G-REQ-06771-E4</t>
  </si>
  <si>
    <t>G-REQ-06772-E1</t>
  </si>
  <si>
    <t>G-REQ-06772-E2</t>
  </si>
  <si>
    <t>G-REQ-06772-E3</t>
  </si>
  <si>
    <t>G-REQ-06772-E4</t>
  </si>
  <si>
    <t>G-REQ-06773-E1</t>
  </si>
  <si>
    <t>G-REQ-06773-E2</t>
  </si>
  <si>
    <t>SYNTHETIC: Laptop repair; Rejected; asset G-AST-00538</t>
  </si>
  <si>
    <t>G-REQ-06774-E1</t>
  </si>
  <si>
    <t>G-REQ-06774-E2</t>
  </si>
  <si>
    <t>G-REQ-06774-E3</t>
  </si>
  <si>
    <t>G-REQ-06774-E4</t>
  </si>
  <si>
    <t>G-REQ-06775-E1</t>
  </si>
  <si>
    <t>G-REQ-06775-E2</t>
  </si>
  <si>
    <t>SYNTHETIC: Laptop repair; Rejected; asset G-AST-00473</t>
  </si>
  <si>
    <t>G-REQ-06776-E1</t>
  </si>
  <si>
    <t>G-REQ-06776-E2</t>
  </si>
  <si>
    <t>G-REQ-06776-E3</t>
  </si>
  <si>
    <t>G-REQ-06776-E4</t>
  </si>
  <si>
    <t>G-REQ-06777-E1</t>
  </si>
  <si>
    <t>G-REQ-06777-E2</t>
  </si>
  <si>
    <t>G-REQ-06777-E3</t>
  </si>
  <si>
    <t>G-REQ-06777-E4</t>
  </si>
  <si>
    <t>G-REQ-06778-E1</t>
  </si>
  <si>
    <t>G-REQ-06778-E2</t>
  </si>
  <si>
    <t>G-REQ-06778-E3</t>
  </si>
  <si>
    <t>G-REQ-06778-E4</t>
  </si>
  <si>
    <t>G-REQ-06779-E1</t>
  </si>
  <si>
    <t>G-REQ-06779-E2</t>
  </si>
  <si>
    <t>G-REQ-06779-E3</t>
  </si>
  <si>
    <t>G-REQ-06779-E4</t>
  </si>
  <si>
    <t>G-REQ-06780-E1</t>
  </si>
  <si>
    <t>G-REQ-06780-E2</t>
  </si>
  <si>
    <t>G-REQ-06780-E3</t>
  </si>
  <si>
    <t>G-REQ-06780-E4</t>
  </si>
  <si>
    <t>G-REQ-06781-E1</t>
  </si>
  <si>
    <t>G-REQ-06781-E2</t>
  </si>
  <si>
    <t>G-REQ-06781-E3</t>
  </si>
  <si>
    <t>G-REQ-06781-E4</t>
  </si>
  <si>
    <t>G-REQ-06782-E1</t>
  </si>
  <si>
    <t>G-REQ-06782-E2</t>
  </si>
  <si>
    <t>G-REQ-06782-E3</t>
  </si>
  <si>
    <t>G-REQ-06782-E4</t>
  </si>
  <si>
    <t>G-REQ-06783-E1</t>
  </si>
  <si>
    <t>G-REQ-06783-E2</t>
  </si>
  <si>
    <t>SYNTHETIC: Laptop repair; Approved; asset G-AST-00233</t>
  </si>
  <si>
    <t>G-REQ-06783-E3</t>
  </si>
  <si>
    <t>SYNTHETIC: Laptop repair; In progress; asset G-AST-00233</t>
  </si>
  <si>
    <t>G-REQ-06783-E4</t>
  </si>
  <si>
    <t>SYNTHETIC: Laptop repair; Completed; asset G-AST-00233</t>
  </si>
  <si>
    <t>G-REQ-06784-E1</t>
  </si>
  <si>
    <t>G-REQ-06784-E2</t>
  </si>
  <si>
    <t>G-REQ-06784-E3</t>
  </si>
  <si>
    <t>G-REQ-06784-E4</t>
  </si>
  <si>
    <t>G-REQ-06785-E1</t>
  </si>
  <si>
    <t>G-REQ-06785-E2</t>
  </si>
  <si>
    <t>G-REQ-06785-E3</t>
  </si>
  <si>
    <t>G-REQ-06785-E4</t>
  </si>
  <si>
    <t>G-REQ-06786-E1</t>
  </si>
  <si>
    <t>G-REQ-06786-E2</t>
  </si>
  <si>
    <t>G-REQ-06786-E3</t>
  </si>
  <si>
    <t>G-REQ-06786-E4</t>
  </si>
  <si>
    <t>G-REQ-06787-E1</t>
  </si>
  <si>
    <t>G-REQ-06787-E2</t>
  </si>
  <si>
    <t>G-REQ-06788-E1</t>
  </si>
  <si>
    <t>G-REQ-06788-E2</t>
  </si>
  <si>
    <t>G-REQ-06788-E3</t>
  </si>
  <si>
    <t>G-REQ-06788-E4</t>
  </si>
  <si>
    <t>G-REQ-06789-E1</t>
  </si>
  <si>
    <t>G-REQ-06789-E2</t>
  </si>
  <si>
    <t>G-REQ-06789-E3</t>
  </si>
  <si>
    <t>G-REQ-06789-E4</t>
  </si>
  <si>
    <t>G-REQ-06790-E1</t>
  </si>
  <si>
    <t>G-REQ-06790-E2</t>
  </si>
  <si>
    <t>G-REQ-06790-E3</t>
  </si>
  <si>
    <t>G-REQ-06790-E4</t>
  </si>
  <si>
    <t>G-REQ-06791-E1</t>
  </si>
  <si>
    <t>G-REQ-06791-E2</t>
  </si>
  <si>
    <t>G-REQ-06791-E3</t>
  </si>
  <si>
    <t>G-REQ-06791-E4</t>
  </si>
  <si>
    <t>G-REQ-06792-E1</t>
  </si>
  <si>
    <t>G-REQ-06792-E2</t>
  </si>
  <si>
    <t>G-REQ-06793-E1</t>
  </si>
  <si>
    <t>G-REQ-06793-E2</t>
  </si>
  <si>
    <t>G-REQ-06793-E3</t>
  </si>
  <si>
    <t>G-REQ-06793-E4</t>
  </si>
  <si>
    <t>G-REQ-06794-E1</t>
  </si>
  <si>
    <t>G-REQ-06794-E2</t>
  </si>
  <si>
    <t>G-REQ-06794-E3</t>
  </si>
  <si>
    <t>G-REQ-06794-E4</t>
  </si>
  <si>
    <t>G-REQ-06795-E1</t>
  </si>
  <si>
    <t>G-REQ-06795-E2</t>
  </si>
  <si>
    <t>G-REQ-06795-E3</t>
  </si>
  <si>
    <t>G-REQ-06795-E4</t>
  </si>
  <si>
    <t>G-REQ-06796-E1</t>
  </si>
  <si>
    <t>G-REQ-06796-E2</t>
  </si>
  <si>
    <t>G-REQ-06797-E1</t>
  </si>
  <si>
    <t>G-REQ-06797-E2</t>
  </si>
  <si>
    <t>G-REQ-06797-E3</t>
  </si>
  <si>
    <t>G-REQ-06797-E4</t>
  </si>
  <si>
    <t>G-REQ-06798-E1</t>
  </si>
  <si>
    <t>G-REQ-06798-E2</t>
  </si>
  <si>
    <t>G-REQ-06798-E3</t>
  </si>
  <si>
    <t>G-REQ-06798-E4</t>
  </si>
  <si>
    <t>G-REQ-06799-E1</t>
  </si>
  <si>
    <t>G-REQ-06799-E2</t>
  </si>
  <si>
    <t>G-REQ-06799-E3</t>
  </si>
  <si>
    <t>G-REQ-06799-E4</t>
  </si>
  <si>
    <t>G-REQ-06800-E1</t>
  </si>
  <si>
    <t>G-REQ-06800-E2</t>
  </si>
  <si>
    <t>G-REQ-06800-E3</t>
  </si>
  <si>
    <t>G-REQ-06800-E4</t>
  </si>
  <si>
    <t>G-REQ-06801-E1</t>
  </si>
  <si>
    <t>G-REQ-06801-E2</t>
  </si>
  <si>
    <t>G-REQ-06801-E3</t>
  </si>
  <si>
    <t>G-REQ-06801-E4</t>
  </si>
  <si>
    <t>G-REQ-06802-E1</t>
  </si>
  <si>
    <t>G-REQ-06802-E2</t>
  </si>
  <si>
    <t>G-REQ-06802-E3</t>
  </si>
  <si>
    <t>G-REQ-06802-E4</t>
  </si>
  <si>
    <t>G-REQ-06803-E1</t>
  </si>
  <si>
    <t>G-REQ-06803-E2</t>
  </si>
  <si>
    <t>G-REQ-06803-E3</t>
  </si>
  <si>
    <t>G-REQ-06803-E4</t>
  </si>
  <si>
    <t>G-REQ-06804-E1</t>
  </si>
  <si>
    <t>G-REQ-06804-E2</t>
  </si>
  <si>
    <t>G-REQ-06804-E3</t>
  </si>
  <si>
    <t>G-REQ-06804-E4</t>
  </si>
  <si>
    <t>G-REQ-06805-E1</t>
  </si>
  <si>
    <t>G-REQ-06805-E2</t>
  </si>
  <si>
    <t>G-REQ-06805-E3</t>
  </si>
  <si>
    <t>G-REQ-06805-E4</t>
  </si>
  <si>
    <t>G-REQ-06806-E1</t>
  </si>
  <si>
    <t>G-REQ-06806-E2</t>
  </si>
  <si>
    <t>G-REQ-06806-E3</t>
  </si>
  <si>
    <t>G-REQ-06806-E4</t>
  </si>
  <si>
    <t>G-REQ-06807-E1</t>
  </si>
  <si>
    <t>G-REQ-06807-E2</t>
  </si>
  <si>
    <t>G-REQ-06807-E3</t>
  </si>
  <si>
    <t>G-REQ-06807-E4</t>
  </si>
  <si>
    <t>G-REQ-06808-E1</t>
  </si>
  <si>
    <t>G-REQ-06808-E2</t>
  </si>
  <si>
    <t>G-REQ-06808-E3</t>
  </si>
  <si>
    <t>G-REQ-06808-E4</t>
  </si>
  <si>
    <t>G-REQ-06809-E1</t>
  </si>
  <si>
    <t>G-REQ-06809-E2</t>
  </si>
  <si>
    <t>G-REQ-06809-E3</t>
  </si>
  <si>
    <t>G-REQ-06809-E4</t>
  </si>
  <si>
    <t>G-REQ-06810-E1</t>
  </si>
  <si>
    <t>G-REQ-06810-E2</t>
  </si>
  <si>
    <t>G-REQ-06810-E3</t>
  </si>
  <si>
    <t>G-REQ-06810-E4</t>
  </si>
  <si>
    <t>G-REQ-06811-E1</t>
  </si>
  <si>
    <t>G-REQ-06811-E2</t>
  </si>
  <si>
    <t>G-REQ-06811-E3</t>
  </si>
  <si>
    <t>G-REQ-06811-E4</t>
  </si>
  <si>
    <t>G-REQ-06812-E1</t>
  </si>
  <si>
    <t>G-REQ-06812-E2</t>
  </si>
  <si>
    <t>G-REQ-06812-E3</t>
  </si>
  <si>
    <t>G-REQ-06812-E4</t>
  </si>
  <si>
    <t>G-REQ-06813-E1</t>
  </si>
  <si>
    <t>G-REQ-06813-E2</t>
  </si>
  <si>
    <t>G-REQ-06813-E3</t>
  </si>
  <si>
    <t>G-REQ-06813-E4</t>
  </si>
  <si>
    <t>G-REQ-06814-E1</t>
  </si>
  <si>
    <t>G-REQ-06814-E2</t>
  </si>
  <si>
    <t>G-REQ-06814-E3</t>
  </si>
  <si>
    <t>G-REQ-06814-E4</t>
  </si>
  <si>
    <t>G-REQ-06815-E1</t>
  </si>
  <si>
    <t>G-REQ-06815-E2</t>
  </si>
  <si>
    <t>G-REQ-06815-E3</t>
  </si>
  <si>
    <t>G-REQ-06815-E4</t>
  </si>
  <si>
    <t>G-REQ-06816-E1</t>
  </si>
  <si>
    <t>G-REQ-06816-E2</t>
  </si>
  <si>
    <t>G-REQ-06816-E3</t>
  </si>
  <si>
    <t>G-REQ-06816-E4</t>
  </si>
  <si>
    <t>G-REQ-06817-E1</t>
  </si>
  <si>
    <t>G-REQ-06817-E2</t>
  </si>
  <si>
    <t>G-REQ-06817-E3</t>
  </si>
  <si>
    <t>G-REQ-06817-E4</t>
  </si>
  <si>
    <t>G-REQ-06818-E1</t>
  </si>
  <si>
    <t>G-REQ-06818-E2</t>
  </si>
  <si>
    <t>G-REQ-06818-E3</t>
  </si>
  <si>
    <t>G-REQ-06818-E4</t>
  </si>
  <si>
    <t>G-REQ-06819-E1</t>
  </si>
  <si>
    <t>G-REQ-06819-E2</t>
  </si>
  <si>
    <t>G-REQ-06819-E3</t>
  </si>
  <si>
    <t>G-REQ-06819-E4</t>
  </si>
  <si>
    <t>G-REQ-06820-E1</t>
  </si>
  <si>
    <t>G-REQ-06820-E2</t>
  </si>
  <si>
    <t>G-REQ-06820-E3</t>
  </si>
  <si>
    <t>G-REQ-06820-E4</t>
  </si>
  <si>
    <t>G-REQ-06821-E1</t>
  </si>
  <si>
    <t>G-REQ-06821-E2</t>
  </si>
  <si>
    <t>SYNTHETIC: Laptop return; Cancelled; asset G-AST-00096</t>
  </si>
  <si>
    <t>G-REQ-06822-E1</t>
  </si>
  <si>
    <t>G-REQ-06822-E2</t>
  </si>
  <si>
    <t>G-REQ-06822-E3</t>
  </si>
  <si>
    <t>G-REQ-06822-E4</t>
  </si>
  <si>
    <t>G-REQ-06823-E1</t>
  </si>
  <si>
    <t>G-REQ-06823-E2</t>
  </si>
  <si>
    <t>SYNTHETIC: Laptop repair; Rejected; asset G-AST-00274</t>
  </si>
  <si>
    <t>G-REQ-06824-E1</t>
  </si>
  <si>
    <t>G-REQ-06824-E2</t>
  </si>
  <si>
    <t>G-REQ-06824-E3</t>
  </si>
  <si>
    <t>G-REQ-06824-E4</t>
  </si>
  <si>
    <t>G-REQ-06825-E1</t>
  </si>
  <si>
    <t>G-REQ-06825-E2</t>
  </si>
  <si>
    <t>G-REQ-06825-E3</t>
  </si>
  <si>
    <t>G-REQ-06825-E4</t>
  </si>
  <si>
    <t>G-REQ-06826-E1</t>
  </si>
  <si>
    <t>G-REQ-06826-E2</t>
  </si>
  <si>
    <t>G-REQ-06826-E3</t>
  </si>
  <si>
    <t>G-REQ-06826-E4</t>
  </si>
  <si>
    <t>G-REQ-06827-E1</t>
  </si>
  <si>
    <t>G-REQ-06827-E2</t>
  </si>
  <si>
    <t>G-REQ-06828-E1</t>
  </si>
  <si>
    <t>G-REQ-06828-E2</t>
  </si>
  <si>
    <t>G-REQ-06828-E3</t>
  </si>
  <si>
    <t>G-REQ-06828-E4</t>
  </si>
  <si>
    <t>G-REQ-06829-E1</t>
  </si>
  <si>
    <t>G-REQ-06829-E2</t>
  </si>
  <si>
    <t>G-REQ-06829-E3</t>
  </si>
  <si>
    <t>G-REQ-06829-E4</t>
  </si>
  <si>
    <t>G-REQ-06830-E1</t>
  </si>
  <si>
    <t>G-REQ-06830-E2</t>
  </si>
  <si>
    <t>G-REQ-06830-E3</t>
  </si>
  <si>
    <t>G-REQ-06830-E4</t>
  </si>
  <si>
    <t>G-REQ-06831-E1</t>
  </si>
  <si>
    <t>G-REQ-06831-E2</t>
  </si>
  <si>
    <t>G-REQ-06831-E3</t>
  </si>
  <si>
    <t>G-REQ-06831-E4</t>
  </si>
  <si>
    <t>G-REQ-06832-E1</t>
  </si>
  <si>
    <t>G-REQ-06832-E2</t>
  </si>
  <si>
    <t>G-REQ-06832-E3</t>
  </si>
  <si>
    <t>G-REQ-06832-E4</t>
  </si>
  <si>
    <t>G-REQ-06833-E1</t>
  </si>
  <si>
    <t>G-REQ-06833-E2</t>
  </si>
  <si>
    <t>G-REQ-06833-E3</t>
  </si>
  <si>
    <t>G-REQ-06833-E4</t>
  </si>
  <si>
    <t>G-REQ-06834-E1</t>
  </si>
  <si>
    <t>G-REQ-06834-E2</t>
  </si>
  <si>
    <t>G-REQ-06834-E3</t>
  </si>
  <si>
    <t>G-REQ-06834-E4</t>
  </si>
  <si>
    <t>G-REQ-06835-E1</t>
  </si>
  <si>
    <t>G-REQ-06835-E2</t>
  </si>
  <si>
    <t>G-REQ-06835-E3</t>
  </si>
  <si>
    <t>G-REQ-06835-E4</t>
  </si>
  <si>
    <t>G-REQ-06836-E1</t>
  </si>
  <si>
    <t>G-REQ-06836-E2</t>
  </si>
  <si>
    <t>G-REQ-06836-E3</t>
  </si>
  <si>
    <t>G-REQ-06836-E4</t>
  </si>
  <si>
    <t>G-REQ-06837-E1</t>
  </si>
  <si>
    <t>G-REQ-06837-E2</t>
  </si>
  <si>
    <t>G-REQ-06837-E3</t>
  </si>
  <si>
    <t>G-REQ-06837-E4</t>
  </si>
  <si>
    <t>G-REQ-06838-E1</t>
  </si>
  <si>
    <t>G-REQ-06838-E2</t>
  </si>
  <si>
    <t>G-REQ-06838-E3</t>
  </si>
  <si>
    <t>G-REQ-06838-E4</t>
  </si>
  <si>
    <t>G-REQ-06839-E1</t>
  </si>
  <si>
    <t>G-REQ-06839-E2</t>
  </si>
  <si>
    <t>G-REQ-06839-E3</t>
  </si>
  <si>
    <t>G-REQ-06839-E4</t>
  </si>
  <si>
    <t>G-REQ-06840-E1</t>
  </si>
  <si>
    <t>G-REQ-06840-E2</t>
  </si>
  <si>
    <t>G-REQ-06840-E3</t>
  </si>
  <si>
    <t>G-REQ-06840-E4</t>
  </si>
  <si>
    <t>G-REQ-06841-E1</t>
  </si>
  <si>
    <t>G-REQ-06841-E2</t>
  </si>
  <si>
    <t>G-REQ-06841-E3</t>
  </si>
  <si>
    <t>G-REQ-06841-E4</t>
  </si>
  <si>
    <t>G-REQ-06842-E1</t>
  </si>
  <si>
    <t>G-REQ-06842-E2</t>
  </si>
  <si>
    <t>G-REQ-06842-E3</t>
  </si>
  <si>
    <t>G-REQ-06842-E4</t>
  </si>
  <si>
    <t>G-REQ-06843-E1</t>
  </si>
  <si>
    <t>G-REQ-06843-E2</t>
  </si>
  <si>
    <t>G-REQ-06843-E3</t>
  </si>
  <si>
    <t>G-REQ-06843-E4</t>
  </si>
  <si>
    <t>G-REQ-06844-E1</t>
  </si>
  <si>
    <t>G-REQ-06844-E2</t>
  </si>
  <si>
    <t>G-REQ-06844-E3</t>
  </si>
  <si>
    <t>G-REQ-06844-E4</t>
  </si>
  <si>
    <t>G-REQ-06845-E1</t>
  </si>
  <si>
    <t>G-REQ-06845-E2</t>
  </si>
  <si>
    <t>G-REQ-06845-E3</t>
  </si>
  <si>
    <t>G-REQ-06845-E4</t>
  </si>
  <si>
    <t>G-REQ-06846-E1</t>
  </si>
  <si>
    <t>G-REQ-06846-E2</t>
  </si>
  <si>
    <t>SYNTHETIC: Laptop repair; Rejected; asset G-AST-00017</t>
  </si>
  <si>
    <t>G-REQ-06847-E1</t>
  </si>
  <si>
    <t>G-REQ-06847-E2</t>
  </si>
  <si>
    <t>G-REQ-06847-E3</t>
  </si>
  <si>
    <t>G-REQ-06847-E4</t>
  </si>
  <si>
    <t>G-REQ-06848-E1</t>
  </si>
  <si>
    <t>G-REQ-06848-E2</t>
  </si>
  <si>
    <t>G-REQ-06848-E3</t>
  </si>
  <si>
    <t>G-REQ-06848-E4</t>
  </si>
  <si>
    <t>G-REQ-06849-E1</t>
  </si>
  <si>
    <t>G-REQ-06849-E2</t>
  </si>
  <si>
    <t>G-REQ-06849-E3</t>
  </si>
  <si>
    <t>G-REQ-06849-E4</t>
  </si>
  <si>
    <t>G-REQ-06850-E1</t>
  </si>
  <si>
    <t>G-REQ-06850-E2</t>
  </si>
  <si>
    <t>G-REQ-06850-E3</t>
  </si>
  <si>
    <t>G-REQ-06850-E4</t>
  </si>
  <si>
    <t>G-REQ-06851-E1</t>
  </si>
  <si>
    <t>G-REQ-06851-E2</t>
  </si>
  <si>
    <t>G-REQ-06851-E3</t>
  </si>
  <si>
    <t>G-REQ-06851-E4</t>
  </si>
  <si>
    <t>G-REQ-06852-E1</t>
  </si>
  <si>
    <t>G-REQ-06852-E2</t>
  </si>
  <si>
    <t>G-REQ-06853-E1</t>
  </si>
  <si>
    <t>G-REQ-06853-E2</t>
  </si>
  <si>
    <t>G-REQ-06853-E3</t>
  </si>
  <si>
    <t>G-REQ-06853-E4</t>
  </si>
  <si>
    <t>G-REQ-06854-E1</t>
  </si>
  <si>
    <t>G-REQ-06854-E2</t>
  </si>
  <si>
    <t>SYNTHETIC: Laptop return; Rejected; asset G-AST-00325</t>
  </si>
  <si>
    <t>G-REQ-06855-E1</t>
  </si>
  <si>
    <t>G-REQ-06855-E2</t>
  </si>
  <si>
    <t>G-REQ-06855-E3</t>
  </si>
  <si>
    <t>G-REQ-06855-E4</t>
  </si>
  <si>
    <t>G-REQ-06856-E1</t>
  </si>
  <si>
    <t>G-REQ-06856-E2</t>
  </si>
  <si>
    <t>G-REQ-06856-E3</t>
  </si>
  <si>
    <t>G-REQ-06856-E4</t>
  </si>
  <si>
    <t>G-REQ-06857-E1</t>
  </si>
  <si>
    <t>G-REQ-06857-E2</t>
  </si>
  <si>
    <t>G-REQ-06857-E3</t>
  </si>
  <si>
    <t>G-REQ-06857-E4</t>
  </si>
  <si>
    <t>G-REQ-06858-E1</t>
  </si>
  <si>
    <t>G-REQ-06858-E2</t>
  </si>
  <si>
    <t>G-REQ-06858-E3</t>
  </si>
  <si>
    <t>G-REQ-06858-E4</t>
  </si>
  <si>
    <t>G-REQ-06859-E1</t>
  </si>
  <si>
    <t>G-REQ-06859-E2</t>
  </si>
  <si>
    <t>G-REQ-06859-E3</t>
  </si>
  <si>
    <t>G-REQ-06859-E4</t>
  </si>
  <si>
    <t>G-REQ-06860-E1</t>
  </si>
  <si>
    <t>G-REQ-06860-E2</t>
  </si>
  <si>
    <t>G-REQ-06860-E3</t>
  </si>
  <si>
    <t>G-REQ-06860-E4</t>
  </si>
  <si>
    <t>G-REQ-06861-E1</t>
  </si>
  <si>
    <t>G-REQ-06861-E2</t>
  </si>
  <si>
    <t>G-REQ-06861-E3</t>
  </si>
  <si>
    <t>G-REQ-06861-E4</t>
  </si>
  <si>
    <t>G-REQ-06862-E1</t>
  </si>
  <si>
    <t>G-REQ-06862-E2</t>
  </si>
  <si>
    <t>G-REQ-06862-E3</t>
  </si>
  <si>
    <t>G-REQ-06862-E4</t>
  </si>
  <si>
    <t>G-REQ-06863-E1</t>
  </si>
  <si>
    <t>G-REQ-06863-E2</t>
  </si>
  <si>
    <t>G-REQ-06863-E3</t>
  </si>
  <si>
    <t>G-REQ-06863-E4</t>
  </si>
  <si>
    <t>G-REQ-06864-E1</t>
  </si>
  <si>
    <t>G-REQ-06864-E2</t>
  </si>
  <si>
    <t>G-REQ-06864-E3</t>
  </si>
  <si>
    <t>G-REQ-06864-E4</t>
  </si>
  <si>
    <t>G-REQ-06865-E1</t>
  </si>
  <si>
    <t>G-REQ-06865-E2</t>
  </si>
  <si>
    <t>G-REQ-06865-E3</t>
  </si>
  <si>
    <t>G-REQ-06865-E4</t>
  </si>
  <si>
    <t>G-REQ-06866-E1</t>
  </si>
  <si>
    <t>G-REQ-06866-E2</t>
  </si>
  <si>
    <t>G-REQ-06866-E3</t>
  </si>
  <si>
    <t>G-REQ-06866-E4</t>
  </si>
  <si>
    <t>G-REQ-06867-E1</t>
  </si>
  <si>
    <t>G-REQ-06867-E2</t>
  </si>
  <si>
    <t>SYNTHETIC: Laptop repair; Cancelled; asset G-AST-00253</t>
  </si>
  <si>
    <t>G-REQ-06868-E1</t>
  </si>
  <si>
    <t>G-REQ-06868-E2</t>
  </si>
  <si>
    <t>G-REQ-06868-E3</t>
  </si>
  <si>
    <t>G-REQ-06868-E4</t>
  </si>
  <si>
    <t>G-REQ-06869-E1</t>
  </si>
  <si>
    <t>G-REQ-06869-E2</t>
  </si>
  <si>
    <t>G-REQ-06869-E3</t>
  </si>
  <si>
    <t>G-REQ-06869-E4</t>
  </si>
  <si>
    <t>G-REQ-06870-E1</t>
  </si>
  <si>
    <t>G-REQ-06870-E2</t>
  </si>
  <si>
    <t>G-REQ-06870-E3</t>
  </si>
  <si>
    <t>G-REQ-06870-E4</t>
  </si>
  <si>
    <t>G-REQ-06871-E1</t>
  </si>
  <si>
    <t>G-REQ-06871-E2</t>
  </si>
  <si>
    <t>G-REQ-06871-E3</t>
  </si>
  <si>
    <t>G-REQ-06871-E4</t>
  </si>
  <si>
    <t>G-REQ-06872-E1</t>
  </si>
  <si>
    <t>G-REQ-06872-E2</t>
  </si>
  <si>
    <t>G-REQ-06872-E3</t>
  </si>
  <si>
    <t>G-REQ-06872-E4</t>
  </si>
  <si>
    <t>G-REQ-06873-E1</t>
  </si>
  <si>
    <t>G-REQ-06873-E2</t>
  </si>
  <si>
    <t>G-REQ-06873-E3</t>
  </si>
  <si>
    <t>G-REQ-06873-E4</t>
  </si>
  <si>
    <t>G-REQ-06874-E1</t>
  </si>
  <si>
    <t>G-REQ-06874-E2</t>
  </si>
  <si>
    <t>G-REQ-06874-E3</t>
  </si>
  <si>
    <t>G-REQ-06874-E4</t>
  </si>
  <si>
    <t>G-REQ-06875-E1</t>
  </si>
  <si>
    <t>G-REQ-06875-E2</t>
  </si>
  <si>
    <t>G-REQ-06875-E3</t>
  </si>
  <si>
    <t>G-REQ-06875-E4</t>
  </si>
  <si>
    <t>G-REQ-06876-E1</t>
  </si>
  <si>
    <t>G-REQ-06876-E2</t>
  </si>
  <si>
    <t>G-REQ-06876-E3</t>
  </si>
  <si>
    <t>G-REQ-06876-E4</t>
  </si>
  <si>
    <t>G-REQ-06877-E1</t>
  </si>
  <si>
    <t>G-REQ-06877-E2</t>
  </si>
  <si>
    <t>G-REQ-06877-E3</t>
  </si>
  <si>
    <t>G-REQ-06877-E4</t>
  </si>
  <si>
    <t>G-REQ-06878-E1</t>
  </si>
  <si>
    <t>G-REQ-06878-E2</t>
  </si>
  <si>
    <t>G-REQ-06878-E3</t>
  </si>
  <si>
    <t>G-REQ-06878-E4</t>
  </si>
  <si>
    <t>G-REQ-06879-E1</t>
  </si>
  <si>
    <t>G-REQ-06879-E2</t>
  </si>
  <si>
    <t>G-REQ-06879-E3</t>
  </si>
  <si>
    <t>G-REQ-06879-E4</t>
  </si>
  <si>
    <t>G-REQ-06880-E1</t>
  </si>
  <si>
    <t>G-REQ-06880-E2</t>
  </si>
  <si>
    <t>G-REQ-06881-E1</t>
  </si>
  <si>
    <t>G-REQ-06881-E2</t>
  </si>
  <si>
    <t>G-REQ-06881-E3</t>
  </si>
  <si>
    <t>G-REQ-06881-E4</t>
  </si>
  <si>
    <t>G-REQ-06882-E1</t>
  </si>
  <si>
    <t>G-REQ-06882-E2</t>
  </si>
  <si>
    <t>G-REQ-06882-E3</t>
  </si>
  <si>
    <t>G-REQ-06882-E4</t>
  </si>
  <si>
    <t>G-REQ-06883-E1</t>
  </si>
  <si>
    <t>G-REQ-06883-E2</t>
  </si>
  <si>
    <t>G-REQ-06883-E3</t>
  </si>
  <si>
    <t>G-REQ-06883-E4</t>
  </si>
  <si>
    <t>G-REQ-06884-E1</t>
  </si>
  <si>
    <t>G-REQ-06884-E2</t>
  </si>
  <si>
    <t>G-REQ-06884-E3</t>
  </si>
  <si>
    <t>G-REQ-06884-E4</t>
  </si>
  <si>
    <t>G-REQ-06885-E1</t>
  </si>
  <si>
    <t>G-REQ-06885-E2</t>
  </si>
  <si>
    <t>G-REQ-06885-E3</t>
  </si>
  <si>
    <t>G-REQ-06885-E4</t>
  </si>
  <si>
    <t>G-REQ-06886-E1</t>
  </si>
  <si>
    <t>G-REQ-06886-E2</t>
  </si>
  <si>
    <t>G-REQ-06886-E3</t>
  </si>
  <si>
    <t>G-REQ-06886-E4</t>
  </si>
  <si>
    <t>G-REQ-06887-E1</t>
  </si>
  <si>
    <t>G-REQ-06887-E2</t>
  </si>
  <si>
    <t>G-REQ-06887-E3</t>
  </si>
  <si>
    <t>G-REQ-06887-E4</t>
  </si>
  <si>
    <t>G-REQ-06888-E1</t>
  </si>
  <si>
    <t>G-REQ-06888-E2</t>
  </si>
  <si>
    <t>G-REQ-06888-E3</t>
  </si>
  <si>
    <t>G-REQ-06888-E4</t>
  </si>
  <si>
    <t>G-REQ-06889-E1</t>
  </si>
  <si>
    <t>G-REQ-06889-E2</t>
  </si>
  <si>
    <t>G-REQ-06889-E3</t>
  </si>
  <si>
    <t>G-REQ-06889-E4</t>
  </si>
  <si>
    <t>G-REQ-06890-E1</t>
  </si>
  <si>
    <t>G-REQ-06890-E2</t>
  </si>
  <si>
    <t>G-REQ-06890-E3</t>
  </si>
  <si>
    <t>G-REQ-06890-E4</t>
  </si>
  <si>
    <t>G-REQ-06891-E1</t>
  </si>
  <si>
    <t>G-REQ-06891-E2</t>
  </si>
  <si>
    <t>SYNTHETIC: Laptop repair; Rejected; asset G-AST-00148</t>
  </si>
  <si>
    <t>G-REQ-06892-E1</t>
  </si>
  <si>
    <t>G-REQ-06892-E2</t>
  </si>
  <si>
    <t>G-REQ-06892-E3</t>
  </si>
  <si>
    <t>G-REQ-06892-E4</t>
  </si>
  <si>
    <t>G-REQ-06893-E1</t>
  </si>
  <si>
    <t>G-REQ-06893-E2</t>
  </si>
  <si>
    <t>G-REQ-06893-E3</t>
  </si>
  <si>
    <t>G-REQ-06893-E4</t>
  </si>
  <si>
    <t>G-REQ-06894-E1</t>
  </si>
  <si>
    <t>G-REQ-06894-E2</t>
  </si>
  <si>
    <t>G-REQ-06894-E3</t>
  </si>
  <si>
    <t>G-REQ-06894-E4</t>
  </si>
  <si>
    <t>G-REQ-06895-E1</t>
  </si>
  <si>
    <t>G-REQ-06895-E2</t>
  </si>
  <si>
    <t>G-REQ-06895-E3</t>
  </si>
  <si>
    <t>G-REQ-06895-E4</t>
  </si>
  <si>
    <t>G-REQ-06896-E1</t>
  </si>
  <si>
    <t>G-REQ-06896-E2</t>
  </si>
  <si>
    <t>G-REQ-06896-E3</t>
  </si>
  <si>
    <t>G-REQ-06896-E4</t>
  </si>
  <si>
    <t>G-REQ-06897-E1</t>
  </si>
  <si>
    <t>G-REQ-06897-E2</t>
  </si>
  <si>
    <t>SYNTHETIC: Laptop repair; Rejected; asset G-AST-00283</t>
  </si>
  <si>
    <t>G-REQ-06898-E1</t>
  </si>
  <si>
    <t>G-REQ-06898-E2</t>
  </si>
  <si>
    <t>G-REQ-06898-E3</t>
  </si>
  <si>
    <t>G-REQ-06898-E4</t>
  </si>
  <si>
    <t>G-REQ-06899-E1</t>
  </si>
  <si>
    <t>G-REQ-06899-E2</t>
  </si>
  <si>
    <t>G-REQ-06899-E3</t>
  </si>
  <si>
    <t>G-REQ-06899-E4</t>
  </si>
  <si>
    <t>G-REQ-06900-E1</t>
  </si>
  <si>
    <t>G-REQ-06900-E2</t>
  </si>
  <si>
    <t>G-REQ-06900-E3</t>
  </si>
  <si>
    <t>G-REQ-06900-E4</t>
  </si>
  <si>
    <t>G-REQ-06901-E1</t>
  </si>
  <si>
    <t>G-REQ-06901-E2</t>
  </si>
  <si>
    <t>G-REQ-06901-E3</t>
  </si>
  <si>
    <t>G-REQ-06901-E4</t>
  </si>
  <si>
    <t>G-REQ-06902-E1</t>
  </si>
  <si>
    <t>G-REQ-06902-E2</t>
  </si>
  <si>
    <t>G-REQ-06902-E3</t>
  </si>
  <si>
    <t>G-REQ-06902-E4</t>
  </si>
  <si>
    <t>G-REQ-06903-E1</t>
  </si>
  <si>
    <t>G-REQ-06903-E2</t>
  </si>
  <si>
    <t>G-REQ-06903-E3</t>
  </si>
  <si>
    <t>G-REQ-06903-E4</t>
  </si>
  <si>
    <t>G-REQ-06904-E1</t>
  </si>
  <si>
    <t>G-REQ-06904-E2</t>
  </si>
  <si>
    <t>G-REQ-06904-E3</t>
  </si>
  <si>
    <t>G-REQ-06904-E4</t>
  </si>
  <si>
    <t>G-REQ-06905-E1</t>
  </si>
  <si>
    <t>G-REQ-06905-E2</t>
  </si>
  <si>
    <t>G-REQ-06905-E3</t>
  </si>
  <si>
    <t>G-REQ-06905-E4</t>
  </si>
  <si>
    <t>G-REQ-06906-E1</t>
  </si>
  <si>
    <t>G-REQ-06906-E2</t>
  </si>
  <si>
    <t>SYNTHETIC: Laptop return; Cancelled; asset G-AST-00372</t>
  </si>
  <si>
    <t>G-REQ-06907-E1</t>
  </si>
  <si>
    <t>SYNTHETIC: Laptop repair; Pending approval; asset G-AST-00279</t>
  </si>
  <si>
    <t>G-REQ-06907-E2</t>
  </si>
  <si>
    <t>SYNTHETIC: Laptop repair; Approved; asset G-AST-00279</t>
  </si>
  <si>
    <t>G-REQ-06907-E3</t>
  </si>
  <si>
    <t>SYNTHETIC: Laptop repair; In progress; asset G-AST-00279</t>
  </si>
  <si>
    <t>G-REQ-06907-E4</t>
  </si>
  <si>
    <t>SYNTHETIC: Laptop repair; Completed; asset G-AST-00279</t>
  </si>
  <si>
    <t>G-REQ-06908-E1</t>
  </si>
  <si>
    <t>G-REQ-06908-E2</t>
  </si>
  <si>
    <t>G-REQ-06909-E1</t>
  </si>
  <si>
    <t>G-REQ-06909-E2</t>
  </si>
  <si>
    <t>G-REQ-06909-E3</t>
  </si>
  <si>
    <t>G-REQ-06909-E4</t>
  </si>
  <si>
    <t>G-REQ-06910-E1</t>
  </si>
  <si>
    <t>G-REQ-06910-E2</t>
  </si>
  <si>
    <t>SYNTHETIC: Laptop return; Rejected; asset G-AST-00396</t>
  </si>
  <si>
    <t>G-REQ-06911-E1</t>
  </si>
  <si>
    <t>G-REQ-06911-E2</t>
  </si>
  <si>
    <t>G-REQ-06911-E3</t>
  </si>
  <si>
    <t>G-REQ-06911-E4</t>
  </si>
  <si>
    <t>G-REQ-06912-E1</t>
  </si>
  <si>
    <t>G-REQ-06912-E2</t>
  </si>
  <si>
    <t>G-REQ-06912-E3</t>
  </si>
  <si>
    <t>G-REQ-06912-E4</t>
  </si>
  <si>
    <t>G-REQ-06913-E1</t>
  </si>
  <si>
    <t>G-REQ-06913-E2</t>
  </si>
  <si>
    <t>G-REQ-06913-E3</t>
  </si>
  <si>
    <t>G-REQ-06913-E4</t>
  </si>
  <si>
    <t>G-REQ-06914-E1</t>
  </si>
  <si>
    <t>G-REQ-06914-E2</t>
  </si>
  <si>
    <t>SYNTHETIC: Laptop repair; Rejected; asset G-AST-00296</t>
  </si>
  <si>
    <t>G-REQ-06915-E1</t>
  </si>
  <si>
    <t>G-REQ-06915-E2</t>
  </si>
  <si>
    <t>G-REQ-06915-E3</t>
  </si>
  <si>
    <t>G-REQ-06915-E4</t>
  </si>
  <si>
    <t>G-REQ-06916-E1</t>
  </si>
  <si>
    <t>G-REQ-06916-E2</t>
  </si>
  <si>
    <t>G-REQ-06916-E3</t>
  </si>
  <si>
    <t>G-REQ-06916-E4</t>
  </si>
  <si>
    <t>G-REQ-06917-E1</t>
  </si>
  <si>
    <t>G-REQ-06917-E2</t>
  </si>
  <si>
    <t>G-REQ-06917-E3</t>
  </si>
  <si>
    <t>G-REQ-06917-E4</t>
  </si>
  <si>
    <t>G-REQ-06918-E1</t>
  </si>
  <si>
    <t>G-REQ-06918-E2</t>
  </si>
  <si>
    <t>G-REQ-06919-E1</t>
  </si>
  <si>
    <t>G-REQ-06919-E2</t>
  </si>
  <si>
    <t>G-REQ-06919-E3</t>
  </si>
  <si>
    <t>G-REQ-06919-E4</t>
  </si>
  <si>
    <t>G-REQ-06920-E1</t>
  </si>
  <si>
    <t>G-REQ-06920-E2</t>
  </si>
  <si>
    <t>SYNTHETIC: Laptop repair; Cancelled; asset G-AST-00244</t>
  </si>
  <si>
    <t>G-REQ-06921-E1</t>
  </si>
  <si>
    <t>G-REQ-06921-E2</t>
  </si>
  <si>
    <t>G-REQ-06921-E3</t>
  </si>
  <si>
    <t>G-REQ-06921-E4</t>
  </si>
  <si>
    <t>G-REQ-06922-E1</t>
  </si>
  <si>
    <t>G-REQ-06922-E2</t>
  </si>
  <si>
    <t>G-REQ-06922-E3</t>
  </si>
  <si>
    <t>G-REQ-06922-E4</t>
  </si>
  <si>
    <t>G-REQ-06923-E1</t>
  </si>
  <si>
    <t>G-REQ-06923-E2</t>
  </si>
  <si>
    <t>G-REQ-06924-E1</t>
  </si>
  <si>
    <t>G-REQ-06924-E2</t>
  </si>
  <si>
    <t>G-REQ-06924-E3</t>
  </si>
  <si>
    <t>G-REQ-06924-E4</t>
  </si>
  <si>
    <t>G-REQ-06925-E1</t>
  </si>
  <si>
    <t>G-REQ-06925-E2</t>
  </si>
  <si>
    <t>G-REQ-06925-E3</t>
  </si>
  <si>
    <t>G-REQ-06925-E4</t>
  </si>
  <si>
    <t>G-REQ-06926-E1</t>
  </si>
  <si>
    <t>G-REQ-06926-E2</t>
  </si>
  <si>
    <t>G-REQ-06926-E3</t>
  </si>
  <si>
    <t>G-REQ-06926-E4</t>
  </si>
  <si>
    <t>G-REQ-06927-E1</t>
  </si>
  <si>
    <t>G-REQ-06927-E2</t>
  </si>
  <si>
    <t>G-REQ-06927-E3</t>
  </si>
  <si>
    <t>G-REQ-06927-E4</t>
  </si>
  <si>
    <t>G-REQ-06928-E1</t>
  </si>
  <si>
    <t>G-REQ-06928-E2</t>
  </si>
  <si>
    <t>G-REQ-06928-E3</t>
  </si>
  <si>
    <t>G-REQ-06928-E4</t>
  </si>
  <si>
    <t>G-REQ-06929-E1</t>
  </si>
  <si>
    <t>G-REQ-06929-E2</t>
  </si>
  <si>
    <t>G-REQ-06929-E3</t>
  </si>
  <si>
    <t>G-REQ-06929-E4</t>
  </si>
  <si>
    <t>G-REQ-06930-E1</t>
  </si>
  <si>
    <t>G-REQ-06930-E2</t>
  </si>
  <si>
    <t>G-REQ-06931-E1</t>
  </si>
  <si>
    <t>G-REQ-06931-E2</t>
  </si>
  <si>
    <t>G-REQ-06931-E3</t>
  </si>
  <si>
    <t>G-REQ-06931-E4</t>
  </si>
  <si>
    <t>G-REQ-06932-E1</t>
  </si>
  <si>
    <t>G-REQ-06932-E2</t>
  </si>
  <si>
    <t>G-REQ-06932-E3</t>
  </si>
  <si>
    <t>G-REQ-06932-E4</t>
  </si>
  <si>
    <t>G-REQ-06933-E1</t>
  </si>
  <si>
    <t>G-REQ-06933-E2</t>
  </si>
  <si>
    <t>G-REQ-06933-E3</t>
  </si>
  <si>
    <t>G-REQ-06933-E4</t>
  </si>
  <si>
    <t>G-REQ-06934-E1</t>
  </si>
  <si>
    <t>G-REQ-06934-E2</t>
  </si>
  <si>
    <t>G-REQ-06934-E3</t>
  </si>
  <si>
    <t>G-REQ-06934-E4</t>
  </si>
  <si>
    <t>G-REQ-06935-E1</t>
  </si>
  <si>
    <t>G-REQ-06935-E2</t>
  </si>
  <si>
    <t>G-REQ-06935-E3</t>
  </si>
  <si>
    <t>G-REQ-06935-E4</t>
  </si>
  <si>
    <t>G-REQ-06936-E1</t>
  </si>
  <si>
    <t>G-REQ-06936-E2</t>
  </si>
  <si>
    <t>G-REQ-06936-E3</t>
  </si>
  <si>
    <t>G-REQ-06936-E4</t>
  </si>
  <si>
    <t>G-REQ-06937-E1</t>
  </si>
  <si>
    <t>G-REQ-06937-E2</t>
  </si>
  <si>
    <t>G-REQ-06937-E3</t>
  </si>
  <si>
    <t>G-REQ-06937-E4</t>
  </si>
  <si>
    <t>G-REQ-06938-E1</t>
  </si>
  <si>
    <t>G-REQ-06938-E2</t>
  </si>
  <si>
    <t>SYNTHETIC: Laptop return; Rejected; asset G-AST-00387</t>
  </si>
  <si>
    <t>G-REQ-06939-E1</t>
  </si>
  <si>
    <t>G-REQ-06939-E2</t>
  </si>
  <si>
    <t>G-REQ-06939-E3</t>
  </si>
  <si>
    <t>G-REQ-06939-E4</t>
  </si>
  <si>
    <t>G-REQ-06940-E1</t>
  </si>
  <si>
    <t>G-REQ-06940-E2</t>
  </si>
  <si>
    <t>G-REQ-06940-E3</t>
  </si>
  <si>
    <t>G-REQ-06940-E4</t>
  </si>
  <si>
    <t>G-REQ-06941-E1</t>
  </si>
  <si>
    <t>G-REQ-06941-E2</t>
  </si>
  <si>
    <t>G-REQ-06941-E3</t>
  </si>
  <si>
    <t>G-REQ-06941-E4</t>
  </si>
  <si>
    <t>G-REQ-06942-E1</t>
  </si>
  <si>
    <t>G-REQ-06942-E2</t>
  </si>
  <si>
    <t>G-REQ-06942-E3</t>
  </si>
  <si>
    <t>G-REQ-06942-E4</t>
  </si>
  <si>
    <t>G-REQ-06943-E1</t>
  </si>
  <si>
    <t>G-REQ-06943-E2</t>
  </si>
  <si>
    <t>G-REQ-06943-E3</t>
  </si>
  <si>
    <t>G-REQ-06943-E4</t>
  </si>
  <si>
    <t>G-REQ-06944-E1</t>
  </si>
  <si>
    <t>G-REQ-06944-E2</t>
  </si>
  <si>
    <t>G-REQ-06944-E3</t>
  </si>
  <si>
    <t>G-REQ-06944-E4</t>
  </si>
  <si>
    <t>G-REQ-06945-E1</t>
  </si>
  <si>
    <t>G-REQ-06945-E2</t>
  </si>
  <si>
    <t>G-REQ-06945-E3</t>
  </si>
  <si>
    <t>G-REQ-06945-E4</t>
  </si>
  <si>
    <t>G-REQ-06946-E1</t>
  </si>
  <si>
    <t>G-REQ-06946-E2</t>
  </si>
  <si>
    <t>G-REQ-06946-E3</t>
  </si>
  <si>
    <t>G-REQ-06946-E4</t>
  </si>
  <si>
    <t>G-REQ-06947-E1</t>
  </si>
  <si>
    <t>G-REQ-06947-E2</t>
  </si>
  <si>
    <t>G-REQ-06947-E3</t>
  </si>
  <si>
    <t>G-REQ-06947-E4</t>
  </si>
  <si>
    <t>G-REQ-06948-E1</t>
  </si>
  <si>
    <t>G-REQ-06948-E2</t>
  </si>
  <si>
    <t>G-REQ-06949-E1</t>
  </si>
  <si>
    <t>G-REQ-06949-E2</t>
  </si>
  <si>
    <t>G-REQ-06949-E3</t>
  </si>
  <si>
    <t>G-REQ-06949-E4</t>
  </si>
  <si>
    <t>G-REQ-06950-E1</t>
  </si>
  <si>
    <t>G-REQ-06950-E2</t>
  </si>
  <si>
    <t>G-REQ-06950-E3</t>
  </si>
  <si>
    <t>G-REQ-06950-E4</t>
  </si>
  <si>
    <t>G-REQ-06951-E1</t>
  </si>
  <si>
    <t>G-REQ-06951-E2</t>
  </si>
  <si>
    <t>G-REQ-06951-E3</t>
  </si>
  <si>
    <t>G-REQ-06951-E4</t>
  </si>
  <si>
    <t>G-REQ-06952-E1</t>
  </si>
  <si>
    <t>G-REQ-06952-E2</t>
  </si>
  <si>
    <t>G-REQ-06952-E3</t>
  </si>
  <si>
    <t>G-REQ-06952-E4</t>
  </si>
  <si>
    <t>G-REQ-06953-E1</t>
  </si>
  <si>
    <t>G-REQ-06953-E2</t>
  </si>
  <si>
    <t>G-REQ-06953-E3</t>
  </si>
  <si>
    <t>G-REQ-06953-E4</t>
  </si>
  <si>
    <t>G-REQ-06954-E1</t>
  </si>
  <si>
    <t>G-REQ-06954-E2</t>
  </si>
  <si>
    <t>G-REQ-06954-E3</t>
  </si>
  <si>
    <t>G-REQ-06954-E4</t>
  </si>
  <si>
    <t>G-REQ-06955-E1</t>
  </si>
  <si>
    <t>G-REQ-06955-E2</t>
  </si>
  <si>
    <t>G-REQ-06955-E3</t>
  </si>
  <si>
    <t>G-REQ-06955-E4</t>
  </si>
  <si>
    <t>G-REQ-06956-E1</t>
  </si>
  <si>
    <t>G-REQ-06956-E2</t>
  </si>
  <si>
    <t>G-REQ-06956-E3</t>
  </si>
  <si>
    <t>G-REQ-06956-E4</t>
  </si>
  <si>
    <t>G-REQ-06957-E1</t>
  </si>
  <si>
    <t>G-REQ-06957-E2</t>
  </si>
  <si>
    <t>G-REQ-06957-E3</t>
  </si>
  <si>
    <t>G-REQ-06957-E4</t>
  </si>
  <si>
    <t>G-REQ-06958-E1</t>
  </si>
  <si>
    <t>G-REQ-06958-E2</t>
  </si>
  <si>
    <t>G-REQ-06958-E3</t>
  </si>
  <si>
    <t>G-REQ-06958-E4</t>
  </si>
  <si>
    <t>G-REQ-06959-E1</t>
  </si>
  <si>
    <t>G-REQ-06959-E2</t>
  </si>
  <si>
    <t>G-REQ-06959-E3</t>
  </si>
  <si>
    <t>G-REQ-06959-E4</t>
  </si>
  <si>
    <t>G-REQ-06960-E1</t>
  </si>
  <si>
    <t>G-REQ-06960-E2</t>
  </si>
  <si>
    <t>G-REQ-06960-E3</t>
  </si>
  <si>
    <t>G-REQ-06960-E4</t>
  </si>
  <si>
    <t>G-REQ-06961-E1</t>
  </si>
  <si>
    <t>G-REQ-06961-E2</t>
  </si>
  <si>
    <t>G-REQ-06961-E3</t>
  </si>
  <si>
    <t>G-REQ-06961-E4</t>
  </si>
  <si>
    <t>G-REQ-06962-E1</t>
  </si>
  <si>
    <t>G-REQ-06962-E2</t>
  </si>
  <si>
    <t>G-REQ-06962-E3</t>
  </si>
  <si>
    <t>G-REQ-06962-E4</t>
  </si>
  <si>
    <t>G-REQ-06963-E1</t>
  </si>
  <si>
    <t>G-REQ-06963-E2</t>
  </si>
  <si>
    <t>G-REQ-06963-E3</t>
  </si>
  <si>
    <t>G-REQ-06963-E4</t>
  </si>
  <si>
    <t>G-REQ-06964-E1</t>
  </si>
  <si>
    <t>G-REQ-06964-E2</t>
  </si>
  <si>
    <t>G-REQ-06964-E3</t>
  </si>
  <si>
    <t>G-REQ-06964-E4</t>
  </si>
  <si>
    <t>G-REQ-06965-E1</t>
  </si>
  <si>
    <t>G-REQ-06965-E2</t>
  </si>
  <si>
    <t>G-REQ-06965-E3</t>
  </si>
  <si>
    <t>G-REQ-06965-E4</t>
  </si>
  <si>
    <t>G-REQ-06966-E1</t>
  </si>
  <si>
    <t>G-REQ-06966-E2</t>
  </si>
  <si>
    <t>G-REQ-06966-E3</t>
  </si>
  <si>
    <t>G-REQ-06966-E4</t>
  </si>
  <si>
    <t>G-REQ-06967-E1</t>
  </si>
  <si>
    <t>SYNTHETIC: Laptop repair; Pending approval; asset G-AST-00400</t>
  </si>
  <si>
    <t>G-REQ-06967-E2</t>
  </si>
  <si>
    <t>SYNTHETIC: Laptop repair; Approved; asset G-AST-00400</t>
  </si>
  <si>
    <t>G-REQ-06967-E3</t>
  </si>
  <si>
    <t>SYNTHETIC: Laptop repair; In progress; asset G-AST-00400</t>
  </si>
  <si>
    <t>G-REQ-06967-E4</t>
  </si>
  <si>
    <t>SYNTHETIC: Laptop repair; Completed; asset G-AST-00400</t>
  </si>
  <si>
    <t>G-REQ-06968-E1</t>
  </si>
  <si>
    <t>G-REQ-06968-E2</t>
  </si>
  <si>
    <t>SYNTHETIC: Laptop return; Cancelled; asset G-AST-00365</t>
  </si>
  <si>
    <t>G-REQ-06969-E1</t>
  </si>
  <si>
    <t>G-REQ-06969-E2</t>
  </si>
  <si>
    <t>G-REQ-06969-E3</t>
  </si>
  <si>
    <t>G-REQ-06969-E4</t>
  </si>
  <si>
    <t>G-REQ-06970-E1</t>
  </si>
  <si>
    <t>G-REQ-06970-E2</t>
  </si>
  <si>
    <t>G-REQ-06970-E3</t>
  </si>
  <si>
    <t>G-REQ-06970-E4</t>
  </si>
  <si>
    <t>G-REQ-06971-E1</t>
  </si>
  <si>
    <t>G-REQ-06971-E2</t>
  </si>
  <si>
    <t>SYNTHETIC: Laptop repair; Rejected; asset G-AST-00406</t>
  </si>
  <si>
    <t>G-REQ-06972-E1</t>
  </si>
  <si>
    <t>G-REQ-06972-E2</t>
  </si>
  <si>
    <t>G-REQ-06972-E3</t>
  </si>
  <si>
    <t>G-REQ-06972-E4</t>
  </si>
  <si>
    <t>G-REQ-06973-E1</t>
  </si>
  <si>
    <t>G-REQ-06973-E2</t>
  </si>
  <si>
    <t>G-REQ-06974-E1</t>
  </si>
  <si>
    <t>G-REQ-06974-E2</t>
  </si>
  <si>
    <t>G-REQ-06974-E3</t>
  </si>
  <si>
    <t>G-REQ-06974-E4</t>
  </si>
  <si>
    <t>G-REQ-06975-E1</t>
  </si>
  <si>
    <t>G-REQ-06975-E2</t>
  </si>
  <si>
    <t>G-REQ-06975-E3</t>
  </si>
  <si>
    <t>G-REQ-06975-E4</t>
  </si>
  <si>
    <t>G-REQ-06976-E1</t>
  </si>
  <si>
    <t>G-REQ-06976-E2</t>
  </si>
  <si>
    <t>G-REQ-06976-E3</t>
  </si>
  <si>
    <t>G-REQ-06976-E4</t>
  </si>
  <si>
    <t>G-REQ-06977-E1</t>
  </si>
  <si>
    <t>G-REQ-06977-E2</t>
  </si>
  <si>
    <t>G-REQ-06977-E3</t>
  </si>
  <si>
    <t>G-REQ-06977-E4</t>
  </si>
  <si>
    <t>G-REQ-06978-E1</t>
  </si>
  <si>
    <t>G-REQ-06978-E2</t>
  </si>
  <si>
    <t>G-REQ-06978-E3</t>
  </si>
  <si>
    <t>G-REQ-06978-E4</t>
  </si>
  <si>
    <t>G-REQ-06979-E1</t>
  </si>
  <si>
    <t>G-REQ-06979-E2</t>
  </si>
  <si>
    <t>G-REQ-06979-E3</t>
  </si>
  <si>
    <t>G-REQ-06979-E4</t>
  </si>
  <si>
    <t>G-REQ-06980-E1</t>
  </si>
  <si>
    <t>G-REQ-06980-E2</t>
  </si>
  <si>
    <t>G-REQ-06980-E3</t>
  </si>
  <si>
    <t>G-REQ-06980-E4</t>
  </si>
  <si>
    <t>G-REQ-06981-E1</t>
  </si>
  <si>
    <t>G-REQ-06981-E2</t>
  </si>
  <si>
    <t>G-REQ-06981-E3</t>
  </si>
  <si>
    <t>G-REQ-06981-E4</t>
  </si>
  <si>
    <t>G-REQ-06982-E1</t>
  </si>
  <si>
    <t>G-REQ-06982-E2</t>
  </si>
  <si>
    <t>G-REQ-06982-E3</t>
  </si>
  <si>
    <t>G-REQ-06982-E4</t>
  </si>
  <si>
    <t>G-REQ-06983-E1</t>
  </si>
  <si>
    <t>G-REQ-06983-E2</t>
  </si>
  <si>
    <t>G-REQ-06983-E3</t>
  </si>
  <si>
    <t>G-REQ-06983-E4</t>
  </si>
  <si>
    <t>G-REQ-06984-E1</t>
  </si>
  <si>
    <t>G-REQ-06984-E2</t>
  </si>
  <si>
    <t>G-REQ-06984-E3</t>
  </si>
  <si>
    <t>G-REQ-06984-E4</t>
  </si>
  <si>
    <t>G-REQ-06985-E1</t>
  </si>
  <si>
    <t>G-REQ-06985-E2</t>
  </si>
  <si>
    <t>G-REQ-06985-E3</t>
  </si>
  <si>
    <t>G-REQ-06985-E4</t>
  </si>
  <si>
    <t>G-REQ-06986-E1</t>
  </si>
  <si>
    <t>G-REQ-06986-E2</t>
  </si>
  <si>
    <t>G-REQ-06986-E3</t>
  </si>
  <si>
    <t>G-REQ-06986-E4</t>
  </si>
  <si>
    <t>G-REQ-06987-E1</t>
  </si>
  <si>
    <t>G-REQ-06987-E2</t>
  </si>
  <si>
    <t>G-REQ-06987-E3</t>
  </si>
  <si>
    <t>G-REQ-06987-E4</t>
  </si>
  <si>
    <t>G-REQ-06988-E1</t>
  </si>
  <si>
    <t>G-REQ-06988-E2</t>
  </si>
  <si>
    <t>SYNTHETIC: Laptop return; Rejected; asset G-AST-00411</t>
  </si>
  <si>
    <t>G-REQ-06989-E1</t>
  </si>
  <si>
    <t>G-REQ-06989-E2</t>
  </si>
  <si>
    <t>G-REQ-06989-E3</t>
  </si>
  <si>
    <t>G-REQ-06989-E4</t>
  </si>
  <si>
    <t>G-REQ-06990-E1</t>
  </si>
  <si>
    <t>G-REQ-06990-E2</t>
  </si>
  <si>
    <t>SYNTHETIC: Laptop return; Cancelled; asset G-AST-00180</t>
  </si>
  <si>
    <t>G-REQ-06991-E1</t>
  </si>
  <si>
    <t>G-REQ-06991-E2</t>
  </si>
  <si>
    <t>G-REQ-06991-E3</t>
  </si>
  <si>
    <t>G-REQ-06991-E4</t>
  </si>
  <si>
    <t>G-REQ-06992-E1</t>
  </si>
  <si>
    <t>G-REQ-06992-E2</t>
  </si>
  <si>
    <t>G-REQ-06992-E3</t>
  </si>
  <si>
    <t>G-REQ-06992-E4</t>
  </si>
  <si>
    <t>G-REQ-06993-E1</t>
  </si>
  <si>
    <t>G-REQ-06993-E2</t>
  </si>
  <si>
    <t>G-REQ-06993-E3</t>
  </si>
  <si>
    <t>G-REQ-06993-E4</t>
  </si>
  <si>
    <t>G-REQ-06994-E1</t>
  </si>
  <si>
    <t>G-REQ-06994-E2</t>
  </si>
  <si>
    <t>G-REQ-06994-E3</t>
  </si>
  <si>
    <t>G-REQ-06994-E4</t>
  </si>
  <si>
    <t>G-REQ-06995-E1</t>
  </si>
  <si>
    <t>G-REQ-06995-E2</t>
  </si>
  <si>
    <t>G-REQ-06995-E3</t>
  </si>
  <si>
    <t>G-REQ-06995-E4</t>
  </si>
  <si>
    <t>G-REQ-06996-E1</t>
  </si>
  <si>
    <t>G-REQ-06996-E2</t>
  </si>
  <si>
    <t>G-REQ-06996-E3</t>
  </si>
  <si>
    <t>G-REQ-06996-E4</t>
  </si>
  <si>
    <t>G-REQ-06997-E1</t>
  </si>
  <si>
    <t>G-REQ-06997-E2</t>
  </si>
  <si>
    <t>G-REQ-06997-E3</t>
  </si>
  <si>
    <t>G-REQ-06997-E4</t>
  </si>
  <si>
    <t>G-REQ-06998-E1</t>
  </si>
  <si>
    <t>G-REQ-06998-E2</t>
  </si>
  <si>
    <t>G-REQ-06998-E3</t>
  </si>
  <si>
    <t>G-REQ-06998-E4</t>
  </si>
  <si>
    <t>G-REQ-06999-E1</t>
  </si>
  <si>
    <t>G-REQ-06999-E2</t>
  </si>
  <si>
    <t>G-REQ-06999-E3</t>
  </si>
  <si>
    <t>G-REQ-06999-E4</t>
  </si>
  <si>
    <t>G-REQ-07000-E1</t>
  </si>
  <si>
    <t>G-REQ-07000-E2</t>
  </si>
  <si>
    <t>G-REQ-07000-E3</t>
  </si>
  <si>
    <t>G-REQ-07000-E4</t>
  </si>
  <si>
    <t>G-REQ-07001-E1</t>
  </si>
  <si>
    <t>G-REQ-07001-E2</t>
  </si>
  <si>
    <t>G-REQ-07001-E3</t>
  </si>
  <si>
    <t>G-REQ-07001-E4</t>
  </si>
  <si>
    <t>G-REQ-07002-E1</t>
  </si>
  <si>
    <t>G-REQ-07002-E2</t>
  </si>
  <si>
    <t>G-REQ-07002-E3</t>
  </si>
  <si>
    <t>G-REQ-07002-E4</t>
  </si>
  <si>
    <t>G-REQ-07003-E1</t>
  </si>
  <si>
    <t>G-REQ-07003-E2</t>
  </si>
  <si>
    <t>G-REQ-07003-E3</t>
  </si>
  <si>
    <t>G-REQ-07003-E4</t>
  </si>
  <si>
    <t>G-REQ-07004-E1</t>
  </si>
  <si>
    <t>G-REQ-07004-E2</t>
  </si>
  <si>
    <t>G-REQ-07004-E3</t>
  </si>
  <si>
    <t>G-REQ-07004-E4</t>
  </si>
  <si>
    <t>G-REQ-07005-E1</t>
  </si>
  <si>
    <t>G-REQ-07005-E2</t>
  </si>
  <si>
    <t>SYNTHETIC: Laptop repair; Rejected; asset G-AST-00288</t>
  </si>
  <si>
    <t>G-REQ-07006-E1</t>
  </si>
  <si>
    <t>G-REQ-07006-E2</t>
  </si>
  <si>
    <t>G-REQ-07006-E3</t>
  </si>
  <si>
    <t>G-REQ-07006-E4</t>
  </si>
  <si>
    <t>G-REQ-07007-E1</t>
  </si>
  <si>
    <t>G-REQ-07007-E2</t>
  </si>
  <si>
    <t>G-REQ-07007-E3</t>
  </si>
  <si>
    <t>G-REQ-07007-E4</t>
  </si>
  <si>
    <t>G-REQ-07008-E1</t>
  </si>
  <si>
    <t>G-REQ-07008-E2</t>
  </si>
  <si>
    <t>G-REQ-07008-E3</t>
  </si>
  <si>
    <t>G-REQ-07008-E4</t>
  </si>
  <si>
    <t>G-REQ-07009-E1</t>
  </si>
  <si>
    <t>G-REQ-07009-E2</t>
  </si>
  <si>
    <t>G-REQ-07009-E3</t>
  </si>
  <si>
    <t>G-REQ-07009-E4</t>
  </si>
  <si>
    <t>G-REQ-07010-E1</t>
  </si>
  <si>
    <t>G-REQ-07010-E2</t>
  </si>
  <si>
    <t>G-REQ-07010-E3</t>
  </si>
  <si>
    <t>G-REQ-07010-E4</t>
  </si>
  <si>
    <t>G-REQ-07011-E1</t>
  </si>
  <si>
    <t>G-REQ-07011-E2</t>
  </si>
  <si>
    <t>G-REQ-07011-E3</t>
  </si>
  <si>
    <t>G-REQ-07011-E4</t>
  </si>
  <si>
    <t>G-REQ-07012-E1</t>
  </si>
  <si>
    <t>G-REQ-07012-E2</t>
  </si>
  <si>
    <t>G-REQ-07012-E3</t>
  </si>
  <si>
    <t>G-REQ-07012-E4</t>
  </si>
  <si>
    <t>G-REQ-07013-E1</t>
  </si>
  <si>
    <t>G-REQ-07013-E2</t>
  </si>
  <si>
    <t>G-REQ-07013-E3</t>
  </si>
  <si>
    <t>G-REQ-07013-E4</t>
  </si>
  <si>
    <t>G-REQ-07014-E1</t>
  </si>
  <si>
    <t>G-REQ-07014-E2</t>
  </si>
  <si>
    <t>G-REQ-07014-E3</t>
  </si>
  <si>
    <t>G-REQ-07014-E4</t>
  </si>
  <si>
    <t>G-REQ-07015-E1</t>
  </si>
  <si>
    <t>G-REQ-07015-E2</t>
  </si>
  <si>
    <t>G-REQ-07015-E3</t>
  </si>
  <si>
    <t>G-REQ-07015-E4</t>
  </si>
  <si>
    <t>G-REQ-07016-E1</t>
  </si>
  <si>
    <t>G-REQ-07016-E2</t>
  </si>
  <si>
    <t>G-REQ-07016-E3</t>
  </si>
  <si>
    <t>G-REQ-07016-E4</t>
  </si>
  <si>
    <t>G-REQ-07017-E1</t>
  </si>
  <si>
    <t>G-REQ-07017-E2</t>
  </si>
  <si>
    <t>G-REQ-07017-E3</t>
  </si>
  <si>
    <t>G-REQ-07017-E4</t>
  </si>
  <si>
    <t>G-REQ-07018-E1</t>
  </si>
  <si>
    <t>G-REQ-07018-E2</t>
  </si>
  <si>
    <t>SYNTHETIC: Laptop return; Rejected; asset G-AST-00241</t>
  </si>
  <si>
    <t>G-REQ-07019-E1</t>
  </si>
  <si>
    <t>G-REQ-07019-E2</t>
  </si>
  <si>
    <t>G-REQ-07019-E3</t>
  </si>
  <si>
    <t>G-REQ-07019-E4</t>
  </si>
  <si>
    <t>G-REQ-07020-E1</t>
  </si>
  <si>
    <t>G-REQ-07020-E2</t>
  </si>
  <si>
    <t>G-REQ-07020-E3</t>
  </si>
  <si>
    <t>G-REQ-07020-E4</t>
  </si>
  <si>
    <t>G-REQ-07021-E1</t>
  </si>
  <si>
    <t>G-REQ-07021-E2</t>
  </si>
  <si>
    <t>G-REQ-07021-E3</t>
  </si>
  <si>
    <t>G-REQ-07021-E4</t>
  </si>
  <si>
    <t>G-REQ-07022-E1</t>
  </si>
  <si>
    <t>G-REQ-07022-E2</t>
  </si>
  <si>
    <t>G-REQ-07022-E3</t>
  </si>
  <si>
    <t>G-REQ-07022-E4</t>
  </si>
  <si>
    <t>G-REQ-07023-E1</t>
  </si>
  <si>
    <t>G-REQ-07023-E2</t>
  </si>
  <si>
    <t>SYNTHETIC: Laptop return; Cancelled; asset G-AST-00094</t>
  </si>
  <si>
    <t>G-REQ-07024-E1</t>
  </si>
  <si>
    <t>G-REQ-07024-E2</t>
  </si>
  <si>
    <t>G-REQ-07024-E3</t>
  </si>
  <si>
    <t>G-REQ-07024-E4</t>
  </si>
  <si>
    <t>G-REQ-07025-E1</t>
  </si>
  <si>
    <t>G-REQ-07025-E2</t>
  </si>
  <si>
    <t>G-REQ-07025-E3</t>
  </si>
  <si>
    <t>G-REQ-07025-E4</t>
  </si>
  <si>
    <t>G-REQ-07026-E1</t>
  </si>
  <si>
    <t>G-REQ-07026-E2</t>
  </si>
  <si>
    <t>G-REQ-07026-E3</t>
  </si>
  <si>
    <t>G-REQ-07026-E4</t>
  </si>
  <si>
    <t>G-REQ-07027-E1</t>
  </si>
  <si>
    <t>G-REQ-07027-E2</t>
  </si>
  <si>
    <t>G-REQ-07028-E1</t>
  </si>
  <si>
    <t>G-REQ-07028-E2</t>
  </si>
  <si>
    <t>G-REQ-07028-E3</t>
  </si>
  <si>
    <t>G-REQ-07028-E4</t>
  </si>
  <si>
    <t>G-REQ-07029-E1</t>
  </si>
  <si>
    <t>G-REQ-07029-E2</t>
  </si>
  <si>
    <t>G-REQ-07029-E3</t>
  </si>
  <si>
    <t>G-REQ-07029-E4</t>
  </si>
  <si>
    <t>G-REQ-07030-E1</t>
  </si>
  <si>
    <t>G-REQ-07030-E2</t>
  </si>
  <si>
    <t>G-REQ-07030-E3</t>
  </si>
  <si>
    <t>G-REQ-07030-E4</t>
  </si>
  <si>
    <t>G-REQ-07031-E1</t>
  </si>
  <si>
    <t>G-REQ-07031-E2</t>
  </si>
  <si>
    <t>G-REQ-07031-E3</t>
  </si>
  <si>
    <t>G-REQ-07031-E4</t>
  </si>
  <si>
    <t>G-REQ-07032-E1</t>
  </si>
  <si>
    <t>G-REQ-07032-E2</t>
  </si>
  <si>
    <t>G-REQ-07032-E3</t>
  </si>
  <si>
    <t>G-REQ-07032-E4</t>
  </si>
  <si>
    <t>G-REQ-07033-E1</t>
  </si>
  <si>
    <t>G-REQ-07033-E2</t>
  </si>
  <si>
    <t>G-REQ-07033-E3</t>
  </si>
  <si>
    <t>G-REQ-07033-E4</t>
  </si>
  <si>
    <t>G-REQ-07034-E1</t>
  </si>
  <si>
    <t>G-REQ-07034-E2</t>
  </si>
  <si>
    <t>G-REQ-07034-E3</t>
  </si>
  <si>
    <t>G-REQ-07034-E4</t>
  </si>
  <si>
    <t>G-REQ-07035-E1</t>
  </si>
  <si>
    <t>G-REQ-07035-E2</t>
  </si>
  <si>
    <t>G-REQ-07035-E3</t>
  </si>
  <si>
    <t>G-REQ-07035-E4</t>
  </si>
  <si>
    <t>G-REQ-07036-E1</t>
  </si>
  <si>
    <t>G-REQ-07036-E2</t>
  </si>
  <si>
    <t>G-REQ-07036-E3</t>
  </si>
  <si>
    <t>G-REQ-07036-E4</t>
  </si>
  <si>
    <t>G-REQ-07037-E1</t>
  </si>
  <si>
    <t>G-REQ-07037-E2</t>
  </si>
  <si>
    <t>G-REQ-07037-E3</t>
  </si>
  <si>
    <t>G-REQ-07037-E4</t>
  </si>
  <si>
    <t>G-REQ-07038-E1</t>
  </si>
  <si>
    <t>G-REQ-07038-E2</t>
  </si>
  <si>
    <t>G-REQ-07038-E3</t>
  </si>
  <si>
    <t>G-REQ-07038-E4</t>
  </si>
  <si>
    <t>G-REQ-07039-E1</t>
  </si>
  <si>
    <t>G-REQ-07039-E2</t>
  </si>
  <si>
    <t>SYNTHETIC: Laptop repair; Cancelled; asset G-AST-00094</t>
  </si>
  <si>
    <t>G-REQ-07040-E1</t>
  </si>
  <si>
    <t>G-REQ-07040-E2</t>
  </si>
  <si>
    <t>G-REQ-07040-E3</t>
  </si>
  <si>
    <t>G-REQ-07040-E4</t>
  </si>
  <si>
    <t>G-REQ-07041-E1</t>
  </si>
  <si>
    <t>G-REQ-07041-E2</t>
  </si>
  <si>
    <t>G-REQ-07041-E3</t>
  </si>
  <si>
    <t>G-REQ-07041-E4</t>
  </si>
  <si>
    <t>G-REQ-07042-E1</t>
  </si>
  <si>
    <t>G-REQ-07042-E2</t>
  </si>
  <si>
    <t>G-REQ-07042-E3</t>
  </si>
  <si>
    <t>G-REQ-07042-E4</t>
  </si>
  <si>
    <t>G-REQ-07043-E1</t>
  </si>
  <si>
    <t>G-REQ-07043-E2</t>
  </si>
  <si>
    <t>G-REQ-07043-E3</t>
  </si>
  <si>
    <t>G-REQ-07043-E4</t>
  </si>
  <si>
    <t>G-REQ-07044-E1</t>
  </si>
  <si>
    <t>G-REQ-07044-E2</t>
  </si>
  <si>
    <t>G-REQ-07044-E3</t>
  </si>
  <si>
    <t>G-REQ-07044-E4</t>
  </si>
  <si>
    <t>G-REQ-07045-E1</t>
  </si>
  <si>
    <t>G-REQ-07045-E2</t>
  </si>
  <si>
    <t>G-REQ-07045-E3</t>
  </si>
  <si>
    <t>G-REQ-07045-E4</t>
  </si>
  <si>
    <t>G-REQ-07046-E1</t>
  </si>
  <si>
    <t>G-REQ-07046-E2</t>
  </si>
  <si>
    <t>G-REQ-07047-E1</t>
  </si>
  <si>
    <t>G-REQ-07047-E2</t>
  </si>
  <si>
    <t>G-REQ-07047-E3</t>
  </si>
  <si>
    <t>G-REQ-07047-E4</t>
  </si>
  <si>
    <t>G-REQ-07048-E1</t>
  </si>
  <si>
    <t>G-REQ-07048-E2</t>
  </si>
  <si>
    <t>G-REQ-07048-E3</t>
  </si>
  <si>
    <t>G-REQ-07048-E4</t>
  </si>
  <si>
    <t>G-REQ-07049-E1</t>
  </si>
  <si>
    <t>G-REQ-07049-E2</t>
  </si>
  <si>
    <t>G-REQ-07049-E3</t>
  </si>
  <si>
    <t>G-REQ-07049-E4</t>
  </si>
  <si>
    <t>G-REQ-07050-E1</t>
  </si>
  <si>
    <t>G-REQ-07050-E2</t>
  </si>
  <si>
    <t>G-REQ-07050-E3</t>
  </si>
  <si>
    <t>G-REQ-07050-E4</t>
  </si>
  <si>
    <t>G-REQ-07051-E1</t>
  </si>
  <si>
    <t>G-REQ-07051-E2</t>
  </si>
  <si>
    <t>G-REQ-07051-E3</t>
  </si>
  <si>
    <t>G-REQ-07051-E4</t>
  </si>
  <si>
    <t>G-REQ-07052-E1</t>
  </si>
  <si>
    <t>SYNTHETIC: Laptop repair; Pending approval; asset G-AST-00365</t>
  </si>
  <si>
    <t>G-REQ-07052-E2</t>
  </si>
  <si>
    <t>SYNTHETIC: Laptop repair; Approved; asset G-AST-00365</t>
  </si>
  <si>
    <t>G-REQ-07052-E3</t>
  </si>
  <si>
    <t>SYNTHETIC: Laptop repair; In progress; asset G-AST-00365</t>
  </si>
  <si>
    <t>G-REQ-07052-E4</t>
  </si>
  <si>
    <t>SYNTHETIC: Laptop repair; Completed; asset G-AST-00365</t>
  </si>
  <si>
    <t>G-REQ-07053-E1</t>
  </si>
  <si>
    <t>G-REQ-07053-E2</t>
  </si>
  <si>
    <t>G-REQ-07053-E3</t>
  </si>
  <si>
    <t>G-REQ-07053-E4</t>
  </si>
  <si>
    <t>G-REQ-07054-E1</t>
  </si>
  <si>
    <t>G-REQ-07054-E2</t>
  </si>
  <si>
    <t>G-REQ-07054-E3</t>
  </si>
  <si>
    <t>G-REQ-07054-E4</t>
  </si>
  <si>
    <t>G-REQ-07055-E1</t>
  </si>
  <si>
    <t>G-REQ-07055-E2</t>
  </si>
  <si>
    <t>G-REQ-07055-E3</t>
  </si>
  <si>
    <t>G-REQ-07055-E4</t>
  </si>
  <si>
    <t>G-REQ-07056-E1</t>
  </si>
  <si>
    <t>G-REQ-07056-E2</t>
  </si>
  <si>
    <t>G-REQ-07056-E3</t>
  </si>
  <si>
    <t>G-REQ-07056-E4</t>
  </si>
  <si>
    <t>G-REQ-07057-E1</t>
  </si>
  <si>
    <t>SYNTHETIC: Laptop repair; Pending approval; asset G-AST-00324</t>
  </si>
  <si>
    <t>G-REQ-07057-E2</t>
  </si>
  <si>
    <t>SYNTHETIC: Laptop repair; Approved; asset G-AST-00324</t>
  </si>
  <si>
    <t>G-REQ-07057-E3</t>
  </si>
  <si>
    <t>SYNTHETIC: Laptop repair; In progress; asset G-AST-00324</t>
  </si>
  <si>
    <t>G-REQ-07057-E4</t>
  </si>
  <si>
    <t>SYNTHETIC: Laptop repair; Completed; asset G-AST-00324</t>
  </si>
  <si>
    <t>G-REQ-07058-E1</t>
  </si>
  <si>
    <t>G-REQ-07058-E2</t>
  </si>
  <si>
    <t>G-REQ-07058-E3</t>
  </si>
  <si>
    <t>G-REQ-07058-E4</t>
  </si>
  <si>
    <t>G-REQ-07059-E1</t>
  </si>
  <si>
    <t>G-REQ-07059-E2</t>
  </si>
  <si>
    <t>G-REQ-07059-E3</t>
  </si>
  <si>
    <t>G-REQ-07059-E4</t>
  </si>
  <si>
    <t>G-REQ-07060-E1</t>
  </si>
  <si>
    <t>G-REQ-07060-E2</t>
  </si>
  <si>
    <t>G-REQ-07060-E3</t>
  </si>
  <si>
    <t>G-REQ-07060-E4</t>
  </si>
  <si>
    <t>G-REQ-07061-E1</t>
  </si>
  <si>
    <t>G-REQ-07061-E2</t>
  </si>
  <si>
    <t>G-REQ-07061-E3</t>
  </si>
  <si>
    <t>G-REQ-07061-E4</t>
  </si>
  <si>
    <t>G-REQ-07062-E1</t>
  </si>
  <si>
    <t>G-REQ-07062-E2</t>
  </si>
  <si>
    <t>G-REQ-07062-E3</t>
  </si>
  <si>
    <t>G-REQ-07062-E4</t>
  </si>
  <si>
    <t>G-REQ-07063-E1</t>
  </si>
  <si>
    <t>G-REQ-07063-E2</t>
  </si>
  <si>
    <t>G-REQ-07063-E3</t>
  </si>
  <si>
    <t>G-REQ-07063-E4</t>
  </si>
  <si>
    <t>G-REQ-07064-E1</t>
  </si>
  <si>
    <t>G-REQ-07064-E2</t>
  </si>
  <si>
    <t>G-REQ-07064-E3</t>
  </si>
  <si>
    <t>G-REQ-07064-E4</t>
  </si>
  <si>
    <t>G-REQ-07065-E1</t>
  </si>
  <si>
    <t>G-REQ-07065-E2</t>
  </si>
  <si>
    <t>G-REQ-07065-E3</t>
  </si>
  <si>
    <t>G-REQ-07065-E4</t>
  </si>
  <si>
    <t>G-REQ-07066-E1</t>
  </si>
  <si>
    <t>G-REQ-07066-E2</t>
  </si>
  <si>
    <t>G-REQ-07066-E3</t>
  </si>
  <si>
    <t>G-REQ-07066-E4</t>
  </si>
  <si>
    <t>G-REQ-07067-E1</t>
  </si>
  <si>
    <t>G-REQ-07067-E2</t>
  </si>
  <si>
    <t>G-REQ-07067-E3</t>
  </si>
  <si>
    <t>G-REQ-07067-E4</t>
  </si>
  <si>
    <t>G-REQ-07068-E1</t>
  </si>
  <si>
    <t>G-REQ-07068-E2</t>
  </si>
  <si>
    <t>G-REQ-07068-E3</t>
  </si>
  <si>
    <t>G-REQ-07068-E4</t>
  </si>
  <si>
    <t>G-REQ-07069-E1</t>
  </si>
  <si>
    <t>G-REQ-07069-E2</t>
  </si>
  <si>
    <t>G-REQ-07069-E3</t>
  </si>
  <si>
    <t>G-REQ-07069-E4</t>
  </si>
  <si>
    <t>G-REQ-07070-E1</t>
  </si>
  <si>
    <t>G-REQ-07070-E2</t>
  </si>
  <si>
    <t>G-REQ-07070-E3</t>
  </si>
  <si>
    <t>G-REQ-07070-E4</t>
  </si>
  <si>
    <t>G-REQ-07071-E1</t>
  </si>
  <si>
    <t>G-REQ-07071-E2</t>
  </si>
  <si>
    <t>G-REQ-07071-E3</t>
  </si>
  <si>
    <t>G-REQ-07071-E4</t>
  </si>
  <si>
    <t>G-REQ-07072-E1</t>
  </si>
  <si>
    <t>G-REQ-07072-E2</t>
  </si>
  <si>
    <t>G-REQ-07072-E3</t>
  </si>
  <si>
    <t>G-REQ-07072-E4</t>
  </si>
  <si>
    <t>G-REQ-07073-E1</t>
  </si>
  <si>
    <t>G-REQ-07073-E2</t>
  </si>
  <si>
    <t>G-REQ-07073-E3</t>
  </si>
  <si>
    <t>G-REQ-07073-E4</t>
  </si>
  <si>
    <t>G-REQ-07074-E1</t>
  </si>
  <si>
    <t>G-REQ-07074-E2</t>
  </si>
  <si>
    <t>SYNTHETIC: Laptop repair; Cancelled; asset G-AST-00364</t>
  </si>
  <si>
    <t>G-REQ-07075-E1</t>
  </si>
  <si>
    <t>G-REQ-07075-E2</t>
  </si>
  <si>
    <t>G-REQ-07075-E3</t>
  </si>
  <si>
    <t>G-REQ-07075-E4</t>
  </si>
  <si>
    <t>G-REQ-07076-E1</t>
  </si>
  <si>
    <t>G-REQ-07076-E2</t>
  </si>
  <si>
    <t>G-REQ-07076-E3</t>
  </si>
  <si>
    <t>G-REQ-07076-E4</t>
  </si>
  <si>
    <t>G-REQ-07077-E1</t>
  </si>
  <si>
    <t>G-REQ-07077-E2</t>
  </si>
  <si>
    <t>G-REQ-07077-E3</t>
  </si>
  <si>
    <t>G-REQ-07077-E4</t>
  </si>
  <si>
    <t>G-REQ-07078-E1</t>
  </si>
  <si>
    <t>G-REQ-07078-E2</t>
  </si>
  <si>
    <t>SYNTHETIC: Laptop repair; Rejected; asset G-AST-00407</t>
  </si>
  <si>
    <t>G-REQ-07079-E1</t>
  </si>
  <si>
    <t>G-REQ-07079-E2</t>
  </si>
  <si>
    <t>G-REQ-07079-E3</t>
  </si>
  <si>
    <t>G-REQ-07079-E4</t>
  </si>
  <si>
    <t>G-REQ-07080-E1</t>
  </si>
  <si>
    <t>G-REQ-07080-E2</t>
  </si>
  <si>
    <t>G-REQ-07080-E3</t>
  </si>
  <si>
    <t>G-REQ-07080-E4</t>
  </si>
  <si>
    <t>G-REQ-07081-E1</t>
  </si>
  <si>
    <t>G-REQ-07081-E2</t>
  </si>
  <si>
    <t>G-REQ-07081-E3</t>
  </si>
  <si>
    <t>G-REQ-07081-E4</t>
  </si>
  <si>
    <t>G-REQ-07082-E1</t>
  </si>
  <si>
    <t>G-REQ-07082-E2</t>
  </si>
  <si>
    <t>G-REQ-07082-E3</t>
  </si>
  <si>
    <t>G-REQ-07082-E4</t>
  </si>
  <si>
    <t>G-REQ-07083-E1</t>
  </si>
  <si>
    <t>G-REQ-07083-E2</t>
  </si>
  <si>
    <t>G-REQ-07083-E3</t>
  </si>
  <si>
    <t>G-REQ-07083-E4</t>
  </si>
  <si>
    <t>G-REQ-07084-E1</t>
  </si>
  <si>
    <t>G-REQ-07084-E2</t>
  </si>
  <si>
    <t>G-REQ-07084-E3</t>
  </si>
  <si>
    <t>G-REQ-07084-E4</t>
  </si>
  <si>
    <t>G-REQ-07085-E1</t>
  </si>
  <si>
    <t>G-REQ-07085-E2</t>
  </si>
  <si>
    <t>G-REQ-07085-E3</t>
  </si>
  <si>
    <t>G-REQ-07085-E4</t>
  </si>
  <si>
    <t>G-REQ-07086-E1</t>
  </si>
  <si>
    <t>G-REQ-07086-E2</t>
  </si>
  <si>
    <t>G-REQ-07086-E3</t>
  </si>
  <si>
    <t>G-REQ-07086-E4</t>
  </si>
  <si>
    <t>G-REQ-07087-E1</t>
  </si>
  <si>
    <t>G-REQ-07087-E2</t>
  </si>
  <si>
    <t>G-REQ-07087-E3</t>
  </si>
  <si>
    <t>G-REQ-07087-E4</t>
  </si>
  <si>
    <t>G-REQ-07088-E1</t>
  </si>
  <si>
    <t>G-REQ-07088-E2</t>
  </si>
  <si>
    <t>G-REQ-07088-E3</t>
  </si>
  <si>
    <t>G-REQ-07088-E4</t>
  </si>
  <si>
    <t>G-REQ-07089-E1</t>
  </si>
  <si>
    <t>G-REQ-07089-E2</t>
  </si>
  <si>
    <t>G-REQ-07089-E3</t>
  </si>
  <si>
    <t>G-REQ-07089-E4</t>
  </si>
  <si>
    <t>G-REQ-07090-E1</t>
  </si>
  <si>
    <t>G-REQ-07090-E2</t>
  </si>
  <si>
    <t>G-REQ-07090-E3</t>
  </si>
  <si>
    <t>G-REQ-07090-E4</t>
  </si>
  <si>
    <t>G-REQ-07091-E1</t>
  </si>
  <si>
    <t>G-REQ-07091-E2</t>
  </si>
  <si>
    <t>G-REQ-07091-E3</t>
  </si>
  <si>
    <t>G-REQ-07091-E4</t>
  </si>
  <si>
    <t>G-REQ-07092-E1</t>
  </si>
  <si>
    <t>G-REQ-07092-E2</t>
  </si>
  <si>
    <t>G-REQ-07092-E3</t>
  </si>
  <si>
    <t>G-REQ-07092-E4</t>
  </si>
  <si>
    <t>G-REQ-07093-E1</t>
  </si>
  <si>
    <t>G-REQ-07093-E2</t>
  </si>
  <si>
    <t>G-REQ-07093-E3</t>
  </si>
  <si>
    <t>G-REQ-07093-E4</t>
  </si>
  <si>
    <t>G-REQ-07094-E1</t>
  </si>
  <si>
    <t>G-REQ-07094-E2</t>
  </si>
  <si>
    <t>G-REQ-07094-E3</t>
  </si>
  <si>
    <t>G-REQ-07094-E4</t>
  </si>
  <si>
    <t>G-REQ-07095-E1</t>
  </si>
  <si>
    <t>G-REQ-07095-E2</t>
  </si>
  <si>
    <t>G-REQ-07096-E1</t>
  </si>
  <si>
    <t>G-REQ-07096-E2</t>
  </si>
  <si>
    <t>G-REQ-07096-E3</t>
  </si>
  <si>
    <t>G-REQ-07096-E4</t>
  </si>
  <si>
    <t>G-REQ-07097-E1</t>
  </si>
  <si>
    <t>G-REQ-07097-E2</t>
  </si>
  <si>
    <t>SYNTHETIC: Laptop return; Rejected; asset G-AST-00167</t>
  </si>
  <si>
    <t>G-REQ-07098-E1</t>
  </si>
  <si>
    <t>G-REQ-07098-E2</t>
  </si>
  <si>
    <t>G-REQ-07098-E3</t>
  </si>
  <si>
    <t>G-REQ-07098-E4</t>
  </si>
  <si>
    <t>G-REQ-07099-E1</t>
  </si>
  <si>
    <t>G-REQ-07099-E2</t>
  </si>
  <si>
    <t>G-REQ-07099-E3</t>
  </si>
  <si>
    <t>G-REQ-07099-E4</t>
  </si>
  <si>
    <t>G-REQ-07100-E1</t>
  </si>
  <si>
    <t>G-REQ-07100-E2</t>
  </si>
  <si>
    <t>G-REQ-07100-E3</t>
  </si>
  <si>
    <t>G-REQ-07100-E4</t>
  </si>
  <si>
    <t>G-REQ-07101-E1</t>
  </si>
  <si>
    <t>G-REQ-07101-E2</t>
  </si>
  <si>
    <t>G-REQ-07101-E3</t>
  </si>
  <si>
    <t>G-REQ-07101-E4</t>
  </si>
  <si>
    <t>G-REQ-07102-E1</t>
  </si>
  <si>
    <t>G-REQ-07102-E2</t>
  </si>
  <si>
    <t>G-REQ-07102-E3</t>
  </si>
  <si>
    <t>G-REQ-07102-E4</t>
  </si>
  <si>
    <t>G-REQ-07103-E1</t>
  </si>
  <si>
    <t>G-REQ-07103-E2</t>
  </si>
  <si>
    <t>G-REQ-07103-E3</t>
  </si>
  <si>
    <t>G-REQ-07103-E4</t>
  </si>
  <si>
    <t>G-REQ-07104-E1</t>
  </si>
  <si>
    <t>G-REQ-07104-E2</t>
  </si>
  <si>
    <t>G-REQ-07104-E3</t>
  </si>
  <si>
    <t>G-REQ-07104-E4</t>
  </si>
  <si>
    <t>G-REQ-07105-E1</t>
  </si>
  <si>
    <t>G-REQ-07105-E2</t>
  </si>
  <si>
    <t>G-REQ-07105-E3</t>
  </si>
  <si>
    <t>G-REQ-07105-E4</t>
  </si>
  <si>
    <t>G-REQ-07106-E1</t>
  </si>
  <si>
    <t>G-REQ-07106-E2</t>
  </si>
  <si>
    <t>G-REQ-07107-E1</t>
  </si>
  <si>
    <t>G-REQ-07107-E2</t>
  </si>
  <si>
    <t>G-REQ-07107-E3</t>
  </si>
  <si>
    <t>G-REQ-07107-E4</t>
  </si>
  <si>
    <t>G-REQ-07108-E1</t>
  </si>
  <si>
    <t>G-REQ-07108-E2</t>
  </si>
  <si>
    <t>G-REQ-07108-E3</t>
  </si>
  <si>
    <t>G-REQ-07108-E4</t>
  </si>
  <si>
    <t>G-REQ-07109-E1</t>
  </si>
  <si>
    <t>G-REQ-07109-E2</t>
  </si>
  <si>
    <t>G-REQ-07109-E3</t>
  </si>
  <si>
    <t>G-REQ-07109-E4</t>
  </si>
  <si>
    <t>G-REQ-07110-E1</t>
  </si>
  <si>
    <t>G-REQ-07110-E2</t>
  </si>
  <si>
    <t>G-REQ-07110-E3</t>
  </si>
  <si>
    <t>G-REQ-07110-E4</t>
  </si>
  <si>
    <t>G-REQ-07111-E1</t>
  </si>
  <si>
    <t>G-REQ-07111-E2</t>
  </si>
  <si>
    <t>G-REQ-07111-E3</t>
  </si>
  <si>
    <t>G-REQ-07111-E4</t>
  </si>
  <si>
    <t>G-REQ-07112-E1</t>
  </si>
  <si>
    <t>G-REQ-07112-E2</t>
  </si>
  <si>
    <t>G-REQ-07112-E3</t>
  </si>
  <si>
    <t>G-REQ-07112-E4</t>
  </si>
  <si>
    <t>G-REQ-07113-E1</t>
  </si>
  <si>
    <t>G-REQ-07113-E2</t>
  </si>
  <si>
    <t>G-REQ-07113-E3</t>
  </si>
  <si>
    <t>G-REQ-07113-E4</t>
  </si>
  <si>
    <t>G-REQ-07114-E1</t>
  </si>
  <si>
    <t>G-REQ-07114-E2</t>
  </si>
  <si>
    <t>G-REQ-07114-E3</t>
  </si>
  <si>
    <t>G-REQ-07114-E4</t>
  </si>
  <si>
    <t>G-REQ-07115-E1</t>
  </si>
  <si>
    <t>G-REQ-07115-E2</t>
  </si>
  <si>
    <t>G-REQ-07115-E3</t>
  </si>
  <si>
    <t>G-REQ-07115-E4</t>
  </si>
  <si>
    <t>G-REQ-07116-E1</t>
  </si>
  <si>
    <t>G-REQ-07116-E2</t>
  </si>
  <si>
    <t>G-REQ-07117-E1</t>
  </si>
  <si>
    <t>G-REQ-07117-E2</t>
  </si>
  <si>
    <t>G-REQ-07117-E3</t>
  </si>
  <si>
    <t>G-REQ-07117-E4</t>
  </si>
  <si>
    <t>G-REQ-07118-E1</t>
  </si>
  <si>
    <t>G-REQ-07118-E2</t>
  </si>
  <si>
    <t>G-REQ-07118-E3</t>
  </si>
  <si>
    <t>G-REQ-07118-E4</t>
  </si>
  <si>
    <t>G-REQ-07119-E1</t>
  </si>
  <si>
    <t>G-REQ-07119-E2</t>
  </si>
  <si>
    <t>G-REQ-07119-E3</t>
  </si>
  <si>
    <t>G-REQ-07119-E4</t>
  </si>
  <si>
    <t>G-REQ-07120-E1</t>
  </si>
  <si>
    <t>G-REQ-07120-E2</t>
  </si>
  <si>
    <t>G-REQ-07120-E3</t>
  </si>
  <si>
    <t>G-REQ-07120-E4</t>
  </si>
  <si>
    <t>G-REQ-07121-E1</t>
  </si>
  <si>
    <t>G-REQ-07121-E2</t>
  </si>
  <si>
    <t>G-REQ-07121-E3</t>
  </si>
  <si>
    <t>G-REQ-07121-E4</t>
  </si>
  <si>
    <t>G-REQ-07122-E1</t>
  </si>
  <si>
    <t>G-REQ-07122-E2</t>
  </si>
  <si>
    <t>G-REQ-07122-E3</t>
  </si>
  <si>
    <t>G-REQ-07122-E4</t>
  </si>
  <si>
    <t>G-REQ-07123-E1</t>
  </si>
  <si>
    <t>G-REQ-07123-E2</t>
  </si>
  <si>
    <t>G-REQ-07123-E3</t>
  </si>
  <si>
    <t>G-REQ-07123-E4</t>
  </si>
  <si>
    <t>G-REQ-07124-E1</t>
  </si>
  <si>
    <t>G-REQ-07124-E2</t>
  </si>
  <si>
    <t>G-REQ-07124-E3</t>
  </si>
  <si>
    <t>G-REQ-07124-E4</t>
  </si>
  <si>
    <t>G-REQ-07125-E1</t>
  </si>
  <si>
    <t>G-REQ-07125-E2</t>
  </si>
  <si>
    <t>G-REQ-07126-E1</t>
  </si>
  <si>
    <t>G-REQ-07126-E2</t>
  </si>
  <si>
    <t>G-REQ-07126-E3</t>
  </si>
  <si>
    <t>G-REQ-07126-E4</t>
  </si>
  <si>
    <t>G-REQ-07127-E1</t>
  </si>
  <si>
    <t>G-REQ-07127-E2</t>
  </si>
  <si>
    <t>G-REQ-07127-E3</t>
  </si>
  <si>
    <t>G-REQ-07127-E4</t>
  </si>
  <si>
    <t>G-REQ-07128-E1</t>
  </si>
  <si>
    <t>G-REQ-07128-E2</t>
  </si>
  <si>
    <t>G-REQ-07128-E3</t>
  </si>
  <si>
    <t>G-REQ-07128-E4</t>
  </si>
  <si>
    <t>G-REQ-07129-E1</t>
  </si>
  <si>
    <t>G-REQ-07129-E2</t>
  </si>
  <si>
    <t>SYNTHETIC: Laptop return; Rejected; asset G-AST-00235</t>
  </si>
  <si>
    <t>G-REQ-07130-E1</t>
  </si>
  <si>
    <t>G-REQ-07130-E2</t>
  </si>
  <si>
    <t>SYNTHETIC: Laptop return; Cancelled; asset G-AST-00344</t>
  </si>
  <si>
    <t>G-REQ-07131-E1</t>
  </si>
  <si>
    <t>G-REQ-07131-E2</t>
  </si>
  <si>
    <t>G-REQ-07131-E3</t>
  </si>
  <si>
    <t>G-REQ-07131-E4</t>
  </si>
  <si>
    <t>G-REQ-07132-E1</t>
  </si>
  <si>
    <t>G-REQ-07132-E2</t>
  </si>
  <si>
    <t>G-REQ-07132-E3</t>
  </si>
  <si>
    <t>G-REQ-07132-E4</t>
  </si>
  <si>
    <t>G-REQ-07133-E1</t>
  </si>
  <si>
    <t>G-REQ-07133-E2</t>
  </si>
  <si>
    <t>G-REQ-07134-E1</t>
  </si>
  <si>
    <t>G-REQ-07134-E2</t>
  </si>
  <si>
    <t>G-REQ-07134-E3</t>
  </si>
  <si>
    <t>G-REQ-07134-E4</t>
  </si>
  <si>
    <t>G-REQ-07135-E1</t>
  </si>
  <si>
    <t>G-REQ-07135-E2</t>
  </si>
  <si>
    <t>G-REQ-07135-E3</t>
  </si>
  <si>
    <t>G-REQ-07135-E4</t>
  </si>
  <si>
    <t>G-REQ-07136-E1</t>
  </si>
  <si>
    <t>G-REQ-07136-E2</t>
  </si>
  <si>
    <t>G-REQ-07136-E3</t>
  </si>
  <si>
    <t>G-REQ-07136-E4</t>
  </si>
  <si>
    <t>G-REQ-07137-E1</t>
  </si>
  <si>
    <t>G-REQ-07137-E2</t>
  </si>
  <si>
    <t>G-REQ-07137-E3</t>
  </si>
  <si>
    <t>G-REQ-07137-E4</t>
  </si>
  <si>
    <t>G-REQ-07138-E1</t>
  </si>
  <si>
    <t>G-REQ-07138-E2</t>
  </si>
  <si>
    <t>G-REQ-07138-E3</t>
  </si>
  <si>
    <t>G-REQ-07138-E4</t>
  </si>
  <si>
    <t>G-REQ-07139-E1</t>
  </si>
  <si>
    <t>G-REQ-07139-E2</t>
  </si>
  <si>
    <t>G-REQ-07139-E3</t>
  </si>
  <si>
    <t>G-REQ-07139-E4</t>
  </si>
  <si>
    <t>G-REQ-07140-E1</t>
  </si>
  <si>
    <t>G-REQ-07140-E2</t>
  </si>
  <si>
    <t>G-REQ-07140-E3</t>
  </si>
  <si>
    <t>G-REQ-07140-E4</t>
  </si>
  <si>
    <t>G-REQ-07141-E1</t>
  </si>
  <si>
    <t>G-REQ-07141-E2</t>
  </si>
  <si>
    <t>G-REQ-07141-E3</t>
  </si>
  <si>
    <t>G-REQ-07141-E4</t>
  </si>
  <si>
    <t>G-REQ-07142-E1</t>
  </si>
  <si>
    <t>G-REQ-07142-E2</t>
  </si>
  <si>
    <t>G-REQ-07142-E3</t>
  </si>
  <si>
    <t>G-REQ-07142-E4</t>
  </si>
  <si>
    <t>G-REQ-07143-E1</t>
  </si>
  <si>
    <t>G-REQ-07143-E2</t>
  </si>
  <si>
    <t>SYNTHETIC: Laptop return; Cancelled; asset G-AST-00281</t>
  </si>
  <si>
    <t>G-REQ-07144-E1</t>
  </si>
  <si>
    <t>G-REQ-07144-E2</t>
  </si>
  <si>
    <t>G-REQ-07145-E1</t>
  </si>
  <si>
    <t>G-REQ-07145-E2</t>
  </si>
  <si>
    <t>G-REQ-07145-E3</t>
  </si>
  <si>
    <t>G-REQ-07145-E4</t>
  </si>
  <si>
    <t>G-REQ-07146-E1</t>
  </si>
  <si>
    <t>G-REQ-07146-E2</t>
  </si>
  <si>
    <t>G-REQ-07146-E3</t>
  </si>
  <si>
    <t>G-REQ-07146-E4</t>
  </si>
  <si>
    <t>G-REQ-07147-E1</t>
  </si>
  <si>
    <t>G-REQ-07147-E2</t>
  </si>
  <si>
    <t>G-REQ-07147-E3</t>
  </si>
  <si>
    <t>G-REQ-07147-E4</t>
  </si>
  <si>
    <t>G-REQ-07148-E1</t>
  </si>
  <si>
    <t>G-REQ-07148-E2</t>
  </si>
  <si>
    <t>G-REQ-07148-E3</t>
  </si>
  <si>
    <t>G-REQ-07148-E4</t>
  </si>
  <si>
    <t>G-REQ-07149-E1</t>
  </si>
  <si>
    <t>G-REQ-07149-E2</t>
  </si>
  <si>
    <t>G-REQ-07149-E3</t>
  </si>
  <si>
    <t>G-REQ-07149-E4</t>
  </si>
  <si>
    <t>G-REQ-07150-E1</t>
  </si>
  <si>
    <t>G-REQ-07150-E2</t>
  </si>
  <si>
    <t>G-REQ-07150-E3</t>
  </si>
  <si>
    <t>G-REQ-07150-E4</t>
  </si>
  <si>
    <t>G-REQ-07151-E1</t>
  </si>
  <si>
    <t>G-REQ-07151-E2</t>
  </si>
  <si>
    <t>SYNTHETIC: Laptop repair; Approved; asset G-AST-00431</t>
  </si>
  <si>
    <t>G-REQ-07151-E3</t>
  </si>
  <si>
    <t>SYNTHETIC: Laptop repair; In progress; asset G-AST-00431</t>
  </si>
  <si>
    <t>G-REQ-07151-E4</t>
  </si>
  <si>
    <t>SYNTHETIC: Laptop repair; Completed; asset G-AST-00431</t>
  </si>
  <si>
    <t>G-REQ-07152-E1</t>
  </si>
  <si>
    <t>G-REQ-07152-E2</t>
  </si>
  <si>
    <t>G-REQ-07152-E3</t>
  </si>
  <si>
    <t>G-REQ-07152-E4</t>
  </si>
  <si>
    <t>G-REQ-07153-E1</t>
  </si>
  <si>
    <t>G-REQ-07153-E2</t>
  </si>
  <si>
    <t>SYNTHETIC: Laptop repair; Rejected; asset G-AST-00349</t>
  </si>
  <si>
    <t>G-REQ-07154-E1</t>
  </si>
  <si>
    <t>G-REQ-07154-E2</t>
  </si>
  <si>
    <t>G-REQ-07154-E3</t>
  </si>
  <si>
    <t>G-REQ-07154-E4</t>
  </si>
  <si>
    <t>G-REQ-07155-E1</t>
  </si>
  <si>
    <t>G-REQ-07155-E2</t>
  </si>
  <si>
    <t>G-REQ-07155-E3</t>
  </si>
  <si>
    <t>G-REQ-07155-E4</t>
  </si>
  <si>
    <t>G-REQ-07156-E1</t>
  </si>
  <si>
    <t>G-REQ-07156-E2</t>
  </si>
  <si>
    <t>G-REQ-07156-E3</t>
  </si>
  <si>
    <t>G-REQ-07156-E4</t>
  </si>
  <si>
    <t>G-REQ-07157-E1</t>
  </si>
  <si>
    <t>G-REQ-07157-E2</t>
  </si>
  <si>
    <t>G-REQ-07157-E3</t>
  </si>
  <si>
    <t>G-REQ-07157-E4</t>
  </si>
  <si>
    <t>G-REQ-07158-E1</t>
  </si>
  <si>
    <t>G-REQ-07158-E2</t>
  </si>
  <si>
    <t>G-REQ-07158-E3</t>
  </si>
  <si>
    <t>G-REQ-07158-E4</t>
  </si>
  <si>
    <t>G-REQ-07159-E1</t>
  </si>
  <si>
    <t>G-REQ-07159-E2</t>
  </si>
  <si>
    <t>G-REQ-07159-E3</t>
  </si>
  <si>
    <t>G-REQ-07159-E4</t>
  </si>
  <si>
    <t>G-REQ-07160-E1</t>
  </si>
  <si>
    <t>G-REQ-07160-E2</t>
  </si>
  <si>
    <t>G-REQ-07160-E3</t>
  </si>
  <si>
    <t>G-REQ-07160-E4</t>
  </si>
  <si>
    <t>G-REQ-07161-E1</t>
  </si>
  <si>
    <t>G-REQ-07161-E2</t>
  </si>
  <si>
    <t>G-REQ-07161-E3</t>
  </si>
  <si>
    <t>G-REQ-07161-E4</t>
  </si>
  <si>
    <t>G-REQ-07162-E1</t>
  </si>
  <si>
    <t>G-REQ-07162-E2</t>
  </si>
  <si>
    <t>G-REQ-07162-E3</t>
  </si>
  <si>
    <t>G-REQ-07162-E4</t>
  </si>
  <si>
    <t>G-REQ-07163-E1</t>
  </si>
  <si>
    <t>G-REQ-07163-E2</t>
  </si>
  <si>
    <t>G-REQ-07163-E3</t>
  </si>
  <si>
    <t>G-REQ-07163-E4</t>
  </si>
  <si>
    <t>G-REQ-07164-E1</t>
  </si>
  <si>
    <t>G-REQ-07164-E2</t>
  </si>
  <si>
    <t>SYNTHETIC: Laptop repair; Rejected; asset G-AST-00340</t>
  </si>
  <si>
    <t>G-REQ-07165-E1</t>
  </si>
  <si>
    <t>G-REQ-07165-E2</t>
  </si>
  <si>
    <t>G-REQ-07165-E3</t>
  </si>
  <si>
    <t>G-REQ-07165-E4</t>
  </si>
  <si>
    <t>G-REQ-07166-E1</t>
  </si>
  <si>
    <t>G-REQ-07166-E2</t>
  </si>
  <si>
    <t>G-REQ-07166-E3</t>
  </si>
  <si>
    <t>G-REQ-07166-E4</t>
  </si>
  <si>
    <t>G-REQ-07167-E1</t>
  </si>
  <si>
    <t>G-REQ-07167-E2</t>
  </si>
  <si>
    <t>G-REQ-07167-E3</t>
  </si>
  <si>
    <t>G-REQ-07167-E4</t>
  </si>
  <si>
    <t>G-REQ-07168-E1</t>
  </si>
  <si>
    <t>G-REQ-07168-E2</t>
  </si>
  <si>
    <t>G-REQ-07168-E3</t>
  </si>
  <si>
    <t>G-REQ-07168-E4</t>
  </si>
  <si>
    <t>G-REQ-07169-E1</t>
  </si>
  <si>
    <t>G-REQ-07169-E2</t>
  </si>
  <si>
    <t>G-REQ-07169-E3</t>
  </si>
  <si>
    <t>G-REQ-07169-E4</t>
  </si>
  <si>
    <t>G-REQ-07170-E1</t>
  </si>
  <si>
    <t>G-REQ-07170-E2</t>
  </si>
  <si>
    <t>G-REQ-07170-E3</t>
  </si>
  <si>
    <t>G-REQ-07170-E4</t>
  </si>
  <si>
    <t>G-REQ-07171-E1</t>
  </si>
  <si>
    <t>G-REQ-07171-E2</t>
  </si>
  <si>
    <t>G-REQ-07171-E3</t>
  </si>
  <si>
    <t>G-REQ-07171-E4</t>
  </si>
  <si>
    <t>G-REQ-07172-E1</t>
  </si>
  <si>
    <t>G-REQ-07172-E2</t>
  </si>
  <si>
    <t>G-REQ-07172-E3</t>
  </si>
  <si>
    <t>G-REQ-07172-E4</t>
  </si>
  <si>
    <t>G-REQ-07173-E1</t>
  </si>
  <si>
    <t>G-REQ-07173-E2</t>
  </si>
  <si>
    <t>G-REQ-07173-E3</t>
  </si>
  <si>
    <t>G-REQ-07173-E4</t>
  </si>
  <si>
    <t>G-REQ-07174-E1</t>
  </si>
  <si>
    <t>G-REQ-07174-E2</t>
  </si>
  <si>
    <t>G-REQ-07174-E3</t>
  </si>
  <si>
    <t>G-REQ-07174-E4</t>
  </si>
  <si>
    <t>G-REQ-07175-E1</t>
  </si>
  <si>
    <t>G-REQ-07175-E2</t>
  </si>
  <si>
    <t>G-REQ-07175-E3</t>
  </si>
  <si>
    <t>G-REQ-07175-E4</t>
  </si>
  <si>
    <t>G-REQ-07176-E1</t>
  </si>
  <si>
    <t>G-REQ-07176-E2</t>
  </si>
  <si>
    <t>G-REQ-07176-E3</t>
  </si>
  <si>
    <t>G-REQ-07176-E4</t>
  </si>
  <si>
    <t>G-REQ-07177-E1</t>
  </si>
  <si>
    <t>G-REQ-07177-E2</t>
  </si>
  <si>
    <t>G-REQ-07177-E3</t>
  </si>
  <si>
    <t>G-REQ-07177-E4</t>
  </si>
  <si>
    <t>G-REQ-07178-E1</t>
  </si>
  <si>
    <t>G-REQ-07178-E2</t>
  </si>
  <si>
    <t>G-REQ-07178-E3</t>
  </si>
  <si>
    <t>G-REQ-07178-E4</t>
  </si>
  <si>
    <t>G-REQ-07179-E1</t>
  </si>
  <si>
    <t>G-REQ-07179-E2</t>
  </si>
  <si>
    <t>G-REQ-07179-E3</t>
  </si>
  <si>
    <t>G-REQ-07179-E4</t>
  </si>
  <si>
    <t>G-REQ-07180-E1</t>
  </si>
  <si>
    <t>G-REQ-07180-E2</t>
  </si>
  <si>
    <t>G-REQ-07180-E3</t>
  </si>
  <si>
    <t>G-REQ-07180-E4</t>
  </si>
  <si>
    <t>G-REQ-07181-E1</t>
  </si>
  <si>
    <t>G-REQ-07181-E2</t>
  </si>
  <si>
    <t>SYNTHETIC: Laptop return; Cancelled; asset G-AST-00382</t>
  </si>
  <si>
    <t>G-REQ-07182-E1</t>
  </si>
  <si>
    <t>G-REQ-07182-E2</t>
  </si>
  <si>
    <t>G-REQ-07182-E3</t>
  </si>
  <si>
    <t>G-REQ-07182-E4</t>
  </si>
  <si>
    <t>G-REQ-07183-E1</t>
  </si>
  <si>
    <t>G-REQ-07183-E2</t>
  </si>
  <si>
    <t>G-REQ-07183-E3</t>
  </si>
  <si>
    <t>G-REQ-07183-E4</t>
  </si>
  <si>
    <t>G-REQ-07184-E1</t>
  </si>
  <si>
    <t>G-REQ-07184-E2</t>
  </si>
  <si>
    <t>SYNTHETIC: Laptop repair; Rejected; asset G-AST-00174</t>
  </si>
  <si>
    <t>G-REQ-07185-E1</t>
  </si>
  <si>
    <t>G-REQ-07185-E2</t>
  </si>
  <si>
    <t>G-REQ-07185-E3</t>
  </si>
  <si>
    <t>G-REQ-07185-E4</t>
  </si>
  <si>
    <t>G-REQ-07186-E1</t>
  </si>
  <si>
    <t>G-REQ-07186-E2</t>
  </si>
  <si>
    <t>G-REQ-07186-E3</t>
  </si>
  <si>
    <t>G-REQ-07186-E4</t>
  </si>
  <si>
    <t>G-REQ-07187-E1</t>
  </si>
  <si>
    <t>G-REQ-07187-E2</t>
  </si>
  <si>
    <t>G-REQ-07187-E3</t>
  </si>
  <si>
    <t>G-REQ-07187-E4</t>
  </si>
  <si>
    <t>G-REQ-07188-E1</t>
  </si>
  <si>
    <t>G-REQ-07188-E2</t>
  </si>
  <si>
    <t>SYNTHETIC: Laptop return; Cancelled; asset G-AST-00253</t>
  </si>
  <si>
    <t>G-REQ-07189-E1</t>
  </si>
  <si>
    <t>G-REQ-07189-E2</t>
  </si>
  <si>
    <t>G-REQ-07189-E3</t>
  </si>
  <si>
    <t>G-REQ-07189-E4</t>
  </si>
  <si>
    <t>G-REQ-07190-E1</t>
  </si>
  <si>
    <t>G-REQ-07190-E2</t>
  </si>
  <si>
    <t>G-REQ-07190-E3</t>
  </si>
  <si>
    <t>G-REQ-07190-E4</t>
  </si>
  <si>
    <t>G-REQ-07191-E1</t>
  </si>
  <si>
    <t>G-REQ-07191-E2</t>
  </si>
  <si>
    <t>G-REQ-07191-E3</t>
  </si>
  <si>
    <t>G-REQ-07191-E4</t>
  </si>
  <si>
    <t>G-REQ-07192-E1</t>
  </si>
  <si>
    <t>G-REQ-07192-E2</t>
  </si>
  <si>
    <t>G-REQ-07192-E3</t>
  </si>
  <si>
    <t>G-REQ-07192-E4</t>
  </si>
  <si>
    <t>G-REQ-07193-E1</t>
  </si>
  <si>
    <t>G-REQ-07193-E2</t>
  </si>
  <si>
    <t>G-REQ-07193-E3</t>
  </si>
  <si>
    <t>G-REQ-07193-E4</t>
  </si>
  <si>
    <t>G-REQ-07194-E1</t>
  </si>
  <si>
    <t>G-REQ-07194-E2</t>
  </si>
  <si>
    <t>G-REQ-07194-E3</t>
  </si>
  <si>
    <t>G-REQ-07194-E4</t>
  </si>
  <si>
    <t>G-REQ-07195-E1</t>
  </si>
  <si>
    <t>G-REQ-07195-E2</t>
  </si>
  <si>
    <t>G-REQ-07195-E3</t>
  </si>
  <si>
    <t>G-REQ-07195-E4</t>
  </si>
  <si>
    <t>G-REQ-07196-E1</t>
  </si>
  <si>
    <t>G-REQ-07196-E2</t>
  </si>
  <si>
    <t>G-REQ-07196-E3</t>
  </si>
  <si>
    <t>G-REQ-07196-E4</t>
  </si>
  <si>
    <t>G-REQ-07197-E1</t>
  </si>
  <si>
    <t>G-REQ-07197-E2</t>
  </si>
  <si>
    <t>G-REQ-07197-E3</t>
  </si>
  <si>
    <t>G-REQ-07197-E4</t>
  </si>
  <si>
    <t>G-REQ-07198-E1</t>
  </si>
  <si>
    <t>G-REQ-07198-E2</t>
  </si>
  <si>
    <t>G-REQ-07198-E3</t>
  </si>
  <si>
    <t>G-REQ-07198-E4</t>
  </si>
  <si>
    <t>G-REQ-07199-E1</t>
  </si>
  <si>
    <t>G-REQ-07199-E2</t>
  </si>
  <si>
    <t>G-REQ-07199-E3</t>
  </si>
  <si>
    <t>G-REQ-07199-E4</t>
  </si>
  <si>
    <t>G-REQ-07200-E1</t>
  </si>
  <si>
    <t>G-REQ-07200-E2</t>
  </si>
  <si>
    <t>G-REQ-07201-E1</t>
  </si>
  <si>
    <t>G-REQ-07201-E2</t>
  </si>
  <si>
    <t>G-REQ-07201-E3</t>
  </si>
  <si>
    <t>G-REQ-07201-E4</t>
  </si>
  <si>
    <t>G-REQ-07202-E1</t>
  </si>
  <si>
    <t>G-REQ-07202-E2</t>
  </si>
  <si>
    <t>G-REQ-07202-E3</t>
  </si>
  <si>
    <t>G-REQ-07202-E4</t>
  </si>
  <si>
    <t>G-REQ-07203-E1</t>
  </si>
  <si>
    <t>G-REQ-07203-E2</t>
  </si>
  <si>
    <t>G-REQ-07203-E3</t>
  </si>
  <si>
    <t>G-REQ-07203-E4</t>
  </si>
  <si>
    <t>G-REQ-07204-E1</t>
  </si>
  <si>
    <t>G-REQ-07204-E2</t>
  </si>
  <si>
    <t>G-REQ-07204-E3</t>
  </si>
  <si>
    <t>G-REQ-07204-E4</t>
  </si>
  <si>
    <t>G-REQ-07205-E1</t>
  </si>
  <si>
    <t>G-REQ-07205-E2</t>
  </si>
  <si>
    <t>G-REQ-07205-E3</t>
  </si>
  <si>
    <t>G-REQ-07205-E4</t>
  </si>
  <si>
    <t>G-REQ-07206-E1</t>
  </si>
  <si>
    <t>G-REQ-07206-E2</t>
  </si>
  <si>
    <t>G-REQ-07206-E3</t>
  </si>
  <si>
    <t>G-REQ-07206-E4</t>
  </si>
  <si>
    <t>G-REQ-07207-E1</t>
  </si>
  <si>
    <t>G-REQ-07207-E2</t>
  </si>
  <si>
    <t>G-REQ-07207-E3</t>
  </si>
  <si>
    <t>G-REQ-07207-E4</t>
  </si>
  <si>
    <t>G-REQ-07208-E1</t>
  </si>
  <si>
    <t>G-REQ-07208-E2</t>
  </si>
  <si>
    <t>G-REQ-07208-E3</t>
  </si>
  <si>
    <t>G-REQ-07208-E4</t>
  </si>
  <si>
    <t>G-REQ-07209-E1</t>
  </si>
  <si>
    <t>G-REQ-07209-E2</t>
  </si>
  <si>
    <t>G-REQ-07209-E3</t>
  </si>
  <si>
    <t>G-REQ-07209-E4</t>
  </si>
  <si>
    <t>G-REQ-07210-E1</t>
  </si>
  <si>
    <t>G-REQ-07210-E2</t>
  </si>
  <si>
    <t>G-REQ-07210-E3</t>
  </si>
  <si>
    <t>G-REQ-07210-E4</t>
  </si>
  <si>
    <t>G-REQ-07211-E1</t>
  </si>
  <si>
    <t>G-REQ-07211-E2</t>
  </si>
  <si>
    <t>G-REQ-07211-E3</t>
  </si>
  <si>
    <t>G-REQ-07211-E4</t>
  </si>
  <si>
    <t>G-REQ-07212-E1</t>
  </si>
  <si>
    <t>G-REQ-07212-E2</t>
  </si>
  <si>
    <t>SYNTHETIC: Laptop return; Rejected; asset G-AST-00465</t>
  </si>
  <si>
    <t>G-REQ-07213-E1</t>
  </si>
  <si>
    <t>G-REQ-07213-E2</t>
  </si>
  <si>
    <t>G-REQ-07213-E3</t>
  </si>
  <si>
    <t>G-REQ-07213-E4</t>
  </si>
  <si>
    <t>G-REQ-07214-E1</t>
  </si>
  <si>
    <t>G-REQ-07214-E2</t>
  </si>
  <si>
    <t>G-REQ-07214-E3</t>
  </si>
  <si>
    <t>G-REQ-07214-E4</t>
  </si>
  <si>
    <t>G-REQ-07215-E1</t>
  </si>
  <si>
    <t>G-REQ-07215-E2</t>
  </si>
  <si>
    <t>G-REQ-07215-E3</t>
  </si>
  <si>
    <t>G-REQ-07215-E4</t>
  </si>
  <si>
    <t>G-REQ-07216-E1</t>
  </si>
  <si>
    <t>G-REQ-07216-E2</t>
  </si>
  <si>
    <t>G-REQ-07217-E1</t>
  </si>
  <si>
    <t>G-REQ-07217-E2</t>
  </si>
  <si>
    <t>G-REQ-07217-E3</t>
  </si>
  <si>
    <t>G-REQ-07217-E4</t>
  </si>
  <si>
    <t>G-REQ-07218-E1</t>
  </si>
  <si>
    <t>G-REQ-07218-E2</t>
  </si>
  <si>
    <t>G-REQ-07219-E1</t>
  </si>
  <si>
    <t>G-REQ-07219-E2</t>
  </si>
  <si>
    <t>G-REQ-07220-E1</t>
  </si>
  <si>
    <t>G-REQ-07220-E2</t>
  </si>
  <si>
    <t>G-REQ-07220-E3</t>
  </si>
  <si>
    <t>G-REQ-07220-E4</t>
  </si>
  <si>
    <t>G-REQ-07221-E1</t>
  </si>
  <si>
    <t>G-REQ-07221-E2</t>
  </si>
  <si>
    <t>G-REQ-07221-E3</t>
  </si>
  <si>
    <t>G-REQ-07221-E4</t>
  </si>
  <si>
    <t>G-REQ-07222-E1</t>
  </si>
  <si>
    <t>G-REQ-07222-E2</t>
  </si>
  <si>
    <t>G-REQ-07222-E3</t>
  </si>
  <si>
    <t>G-REQ-07222-E4</t>
  </si>
  <si>
    <t>G-REQ-07223-E1</t>
  </si>
  <si>
    <t>G-REQ-07223-E2</t>
  </si>
  <si>
    <t>G-REQ-07223-E3</t>
  </si>
  <si>
    <t>G-REQ-07223-E4</t>
  </si>
  <si>
    <t>G-REQ-07224-E1</t>
  </si>
  <si>
    <t>G-REQ-07224-E2</t>
  </si>
  <si>
    <t>G-REQ-07224-E3</t>
  </si>
  <si>
    <t>G-REQ-07224-E4</t>
  </si>
  <si>
    <t>G-REQ-07225-E1</t>
  </si>
  <si>
    <t>G-REQ-07225-E2</t>
  </si>
  <si>
    <t>G-REQ-07225-E3</t>
  </si>
  <si>
    <t>G-REQ-07225-E4</t>
  </si>
  <si>
    <t>G-REQ-07226-E1</t>
  </si>
  <si>
    <t>G-REQ-07226-E2</t>
  </si>
  <si>
    <t>G-REQ-07227-E1</t>
  </si>
  <si>
    <t>G-REQ-07227-E2</t>
  </si>
  <si>
    <t>G-REQ-07227-E3</t>
  </si>
  <si>
    <t>G-REQ-07227-E4</t>
  </si>
  <si>
    <t>G-REQ-07228-E1</t>
  </si>
  <si>
    <t>G-REQ-07228-E2</t>
  </si>
  <si>
    <t>G-REQ-07228-E3</t>
  </si>
  <si>
    <t>G-REQ-07228-E4</t>
  </si>
  <si>
    <t>G-REQ-07229-E1</t>
  </si>
  <si>
    <t>G-REQ-07229-E2</t>
  </si>
  <si>
    <t>G-REQ-07229-E3</t>
  </si>
  <si>
    <t>G-REQ-07229-E4</t>
  </si>
  <si>
    <t>G-REQ-07230-E1</t>
  </si>
  <si>
    <t>G-REQ-07230-E2</t>
  </si>
  <si>
    <t>G-REQ-07231-E1</t>
  </si>
  <si>
    <t>G-REQ-07231-E2</t>
  </si>
  <si>
    <t>G-REQ-07231-E3</t>
  </si>
  <si>
    <t>G-REQ-07231-E4</t>
  </si>
  <si>
    <t>G-REQ-07232-E1</t>
  </si>
  <si>
    <t>G-REQ-07232-E2</t>
  </si>
  <si>
    <t>G-REQ-07232-E3</t>
  </si>
  <si>
    <t>G-REQ-07232-E4</t>
  </si>
  <si>
    <t>G-REQ-07233-E1</t>
  </si>
  <si>
    <t>G-REQ-07233-E2</t>
  </si>
  <si>
    <t>G-REQ-07233-E3</t>
  </si>
  <si>
    <t>G-REQ-07233-E4</t>
  </si>
  <si>
    <t>G-REQ-07234-E1</t>
  </si>
  <si>
    <t>G-REQ-07234-E2</t>
  </si>
  <si>
    <t>SYNTHETIC: Laptop return; Rejected; asset G-AST-00466</t>
  </si>
  <si>
    <t>G-REQ-07235-E1</t>
  </si>
  <si>
    <t>G-REQ-07235-E2</t>
  </si>
  <si>
    <t>G-REQ-07235-E3</t>
  </si>
  <si>
    <t>G-REQ-07235-E4</t>
  </si>
  <si>
    <t>G-REQ-07236-E1</t>
  </si>
  <si>
    <t>G-REQ-07236-E2</t>
  </si>
  <si>
    <t>G-REQ-07236-E3</t>
  </si>
  <si>
    <t>G-REQ-07236-E4</t>
  </si>
  <si>
    <t>G-REQ-07237-E1</t>
  </si>
  <si>
    <t>G-REQ-07237-E2</t>
  </si>
  <si>
    <t>G-REQ-07237-E3</t>
  </si>
  <si>
    <t>G-REQ-07237-E4</t>
  </si>
  <si>
    <t>G-REQ-07238-E1</t>
  </si>
  <si>
    <t>G-REQ-07238-E2</t>
  </si>
  <si>
    <t>G-REQ-07238-E3</t>
  </si>
  <si>
    <t>G-REQ-07238-E4</t>
  </si>
  <si>
    <t>G-REQ-07239-E1</t>
  </si>
  <si>
    <t>G-REQ-07239-E2</t>
  </si>
  <si>
    <t>G-REQ-07239-E3</t>
  </si>
  <si>
    <t>G-REQ-07239-E4</t>
  </si>
  <si>
    <t>G-REQ-07240-E1</t>
  </si>
  <si>
    <t>G-REQ-07240-E2</t>
  </si>
  <si>
    <t>G-REQ-07240-E3</t>
  </si>
  <si>
    <t>G-REQ-07240-E4</t>
  </si>
  <si>
    <t>G-REQ-07241-E1</t>
  </si>
  <si>
    <t>G-REQ-07241-E2</t>
  </si>
  <si>
    <t>G-REQ-07241-E3</t>
  </si>
  <si>
    <t>G-REQ-07241-E4</t>
  </si>
  <si>
    <t>G-REQ-07242-E1</t>
  </si>
  <si>
    <t>G-REQ-07242-E2</t>
  </si>
  <si>
    <t>G-REQ-07242-E3</t>
  </si>
  <si>
    <t>G-REQ-07242-E4</t>
  </si>
  <si>
    <t>G-REQ-07243-E1</t>
  </si>
  <si>
    <t>G-REQ-07243-E2</t>
  </si>
  <si>
    <t>G-REQ-07243-E3</t>
  </si>
  <si>
    <t>G-REQ-07243-E4</t>
  </si>
  <si>
    <t>G-REQ-07244-E1</t>
  </si>
  <si>
    <t>G-REQ-07244-E2</t>
  </si>
  <si>
    <t>G-REQ-07244-E3</t>
  </si>
  <si>
    <t>G-REQ-07244-E4</t>
  </si>
  <si>
    <t>G-REQ-07245-E1</t>
  </si>
  <si>
    <t>G-REQ-07245-E2</t>
  </si>
  <si>
    <t>G-REQ-07245-E3</t>
  </si>
  <si>
    <t>G-REQ-07245-E4</t>
  </si>
  <si>
    <t>G-REQ-07246-E1</t>
  </si>
  <si>
    <t>G-REQ-07246-E2</t>
  </si>
  <si>
    <t>G-REQ-07246-E3</t>
  </si>
  <si>
    <t>G-REQ-07246-E4</t>
  </si>
  <si>
    <t>G-REQ-07247-E1</t>
  </si>
  <si>
    <t>G-REQ-07247-E2</t>
  </si>
  <si>
    <t>G-REQ-07247-E3</t>
  </si>
  <si>
    <t>G-REQ-07247-E4</t>
  </si>
  <si>
    <t>G-REQ-07248-E1</t>
  </si>
  <si>
    <t>G-REQ-07248-E2</t>
  </si>
  <si>
    <t>G-REQ-07248-E3</t>
  </si>
  <si>
    <t>G-REQ-07248-E4</t>
  </si>
  <si>
    <t>G-REQ-07249-E1</t>
  </si>
  <si>
    <t>G-REQ-07249-E2</t>
  </si>
  <si>
    <t>G-REQ-07249-E3</t>
  </si>
  <si>
    <t>G-REQ-07249-E4</t>
  </si>
  <si>
    <t>G-REQ-07250-E1</t>
  </si>
  <si>
    <t>G-REQ-07250-E2</t>
  </si>
  <si>
    <t>G-REQ-07250-E3</t>
  </si>
  <si>
    <t>G-REQ-07250-E4</t>
  </si>
  <si>
    <t>G-REQ-07251-E1</t>
  </si>
  <si>
    <t>G-REQ-07251-E2</t>
  </si>
  <si>
    <t>G-REQ-07251-E3</t>
  </si>
  <si>
    <t>G-REQ-07251-E4</t>
  </si>
  <si>
    <t>G-REQ-07252-E1</t>
  </si>
  <si>
    <t>G-REQ-07252-E2</t>
  </si>
  <si>
    <t>G-REQ-07252-E3</t>
  </si>
  <si>
    <t>G-REQ-07252-E4</t>
  </si>
  <si>
    <t>G-REQ-07253-E1</t>
  </si>
  <si>
    <t>G-REQ-07253-E2</t>
  </si>
  <si>
    <t>G-REQ-07253-E3</t>
  </si>
  <si>
    <t>G-REQ-07253-E4</t>
  </si>
  <si>
    <t>G-REQ-07254-E1</t>
  </si>
  <si>
    <t>G-REQ-07254-E2</t>
  </si>
  <si>
    <t>G-REQ-07254-E3</t>
  </si>
  <si>
    <t>G-REQ-07254-E4</t>
  </si>
  <si>
    <t>G-REQ-07255-E1</t>
  </si>
  <si>
    <t>G-REQ-07255-E2</t>
  </si>
  <si>
    <t>G-REQ-07255-E3</t>
  </si>
  <si>
    <t>G-REQ-07255-E4</t>
  </si>
  <si>
    <t>G-REQ-07256-E1</t>
  </si>
  <si>
    <t>G-REQ-07256-E2</t>
  </si>
  <si>
    <t>G-REQ-07256-E3</t>
  </si>
  <si>
    <t>G-REQ-07256-E4</t>
  </si>
  <si>
    <t>G-REQ-07257-E1</t>
  </si>
  <si>
    <t>G-REQ-07257-E2</t>
  </si>
  <si>
    <t>G-REQ-07257-E3</t>
  </si>
  <si>
    <t>G-REQ-07257-E4</t>
  </si>
  <si>
    <t>G-REQ-07258-E1</t>
  </si>
  <si>
    <t>G-REQ-07258-E2</t>
  </si>
  <si>
    <t>G-REQ-07258-E3</t>
  </si>
  <si>
    <t>G-REQ-07258-E4</t>
  </si>
  <si>
    <t>G-REQ-07259-E1</t>
  </si>
  <si>
    <t>G-REQ-07259-E2</t>
  </si>
  <si>
    <t>G-REQ-07259-E3</t>
  </si>
  <si>
    <t>G-REQ-07259-E4</t>
  </si>
  <si>
    <t>G-REQ-07260-E1</t>
  </si>
  <si>
    <t>G-REQ-07260-E2</t>
  </si>
  <si>
    <t>G-REQ-07260-E3</t>
  </si>
  <si>
    <t>G-REQ-07260-E4</t>
  </si>
  <si>
    <t>G-REQ-07261-E1</t>
  </si>
  <si>
    <t>G-REQ-07261-E2</t>
  </si>
  <si>
    <t>G-REQ-07261-E3</t>
  </si>
  <si>
    <t>G-REQ-07261-E4</t>
  </si>
  <si>
    <t>G-REQ-07262-E1</t>
  </si>
  <si>
    <t>G-REQ-07262-E2</t>
  </si>
  <si>
    <t>G-REQ-07262-E3</t>
  </si>
  <si>
    <t>G-REQ-07262-E4</t>
  </si>
  <si>
    <t>G-REQ-07263-E1</t>
  </si>
  <si>
    <t>G-REQ-07263-E2</t>
  </si>
  <si>
    <t>G-REQ-07263-E3</t>
  </si>
  <si>
    <t>G-REQ-07263-E4</t>
  </si>
  <si>
    <t>G-REQ-07264-E1</t>
  </si>
  <si>
    <t>G-REQ-07264-E2</t>
  </si>
  <si>
    <t>G-REQ-07264-E3</t>
  </si>
  <si>
    <t>G-REQ-07264-E4</t>
  </si>
  <si>
    <t>G-REQ-07265-E1</t>
  </si>
  <si>
    <t>G-REQ-07265-E2</t>
  </si>
  <si>
    <t>G-REQ-07265-E3</t>
  </si>
  <si>
    <t>G-REQ-07265-E4</t>
  </si>
  <si>
    <t>G-REQ-07266-E1</t>
  </si>
  <si>
    <t>G-REQ-07266-E2</t>
  </si>
  <si>
    <t>SYNTHETIC: Laptop return; Cancelled; asset G-AST-00232</t>
  </si>
  <si>
    <t>G-REQ-07267-E1</t>
  </si>
  <si>
    <t>G-REQ-07267-E2</t>
  </si>
  <si>
    <t>G-REQ-07267-E3</t>
  </si>
  <si>
    <t>G-REQ-07267-E4</t>
  </si>
  <si>
    <t>G-REQ-07268-E1</t>
  </si>
  <si>
    <t>G-REQ-07268-E2</t>
  </si>
  <si>
    <t>G-REQ-07268-E3</t>
  </si>
  <si>
    <t>G-REQ-07268-E4</t>
  </si>
  <si>
    <t>G-REQ-07269-E1</t>
  </si>
  <si>
    <t>G-REQ-07269-E2</t>
  </si>
  <si>
    <t>G-REQ-07269-E3</t>
  </si>
  <si>
    <t>G-REQ-07269-E4</t>
  </si>
  <si>
    <t>G-REQ-07270-E1</t>
  </si>
  <si>
    <t>G-REQ-07270-E2</t>
  </si>
  <si>
    <t>G-REQ-07270-E3</t>
  </si>
  <si>
    <t>G-REQ-07270-E4</t>
  </si>
  <si>
    <t>G-REQ-07271-E1</t>
  </si>
  <si>
    <t>G-REQ-07271-E2</t>
  </si>
  <si>
    <t>G-REQ-07271-E3</t>
  </si>
  <si>
    <t>G-REQ-07271-E4</t>
  </si>
  <si>
    <t>G-REQ-07272-E1</t>
  </si>
  <si>
    <t>G-REQ-07272-E2</t>
  </si>
  <si>
    <t>G-REQ-07272-E3</t>
  </si>
  <si>
    <t>G-REQ-07272-E4</t>
  </si>
  <si>
    <t>G-REQ-07273-E1</t>
  </si>
  <si>
    <t>G-REQ-07273-E2</t>
  </si>
  <si>
    <t>SYNTHETIC: Laptop return; Rejected; asset G-AST-00422</t>
  </si>
  <si>
    <t>G-REQ-07274-E1</t>
  </si>
  <si>
    <t>G-REQ-07274-E2</t>
  </si>
  <si>
    <t>G-REQ-07274-E3</t>
  </si>
  <si>
    <t>G-REQ-07274-E4</t>
  </si>
  <si>
    <t>G-REQ-07275-E1</t>
  </si>
  <si>
    <t>G-REQ-07275-E2</t>
  </si>
  <si>
    <t>G-REQ-07275-E3</t>
  </si>
  <si>
    <t>G-REQ-07275-E4</t>
  </si>
  <si>
    <t>G-REQ-07276-E1</t>
  </si>
  <si>
    <t>G-REQ-07276-E2</t>
  </si>
  <si>
    <t>G-REQ-07276-E3</t>
  </si>
  <si>
    <t>G-REQ-07276-E4</t>
  </si>
  <si>
    <t>G-REQ-07277-E1</t>
  </si>
  <si>
    <t>G-REQ-07277-E2</t>
  </si>
  <si>
    <t>SYNTHETIC: Laptop repair; Rejected; asset G-AST-00378</t>
  </si>
  <si>
    <t>G-REQ-07278-E1</t>
  </si>
  <si>
    <t>SYNTHETIC: Laptop repair; Pending approval; asset G-AST-00486</t>
  </si>
  <si>
    <t>G-REQ-07278-E2</t>
  </si>
  <si>
    <t>SYNTHETIC: Laptop repair; Approved; asset G-AST-00486</t>
  </si>
  <si>
    <t>G-REQ-07278-E3</t>
  </si>
  <si>
    <t>SYNTHETIC: Laptop repair; In progress; asset G-AST-00486</t>
  </si>
  <si>
    <t>G-REQ-07278-E4</t>
  </si>
  <si>
    <t>SYNTHETIC: Laptop repair; Completed; asset G-AST-00486</t>
  </si>
  <si>
    <t>G-REQ-07279-E1</t>
  </si>
  <si>
    <t>G-REQ-07279-E2</t>
  </si>
  <si>
    <t>G-REQ-07279-E3</t>
  </si>
  <si>
    <t>G-REQ-07279-E4</t>
  </si>
  <si>
    <t>G-REQ-07280-E1</t>
  </si>
  <si>
    <t>G-REQ-07280-E2</t>
  </si>
  <si>
    <t>G-REQ-07280-E3</t>
  </si>
  <si>
    <t>G-REQ-07280-E4</t>
  </si>
  <si>
    <t>G-REQ-07281-E1</t>
  </si>
  <si>
    <t>G-REQ-07281-E2</t>
  </si>
  <si>
    <t>G-REQ-07281-E3</t>
  </si>
  <si>
    <t>G-REQ-07281-E4</t>
  </si>
  <si>
    <t>G-REQ-07282-E1</t>
  </si>
  <si>
    <t>G-REQ-07282-E2</t>
  </si>
  <si>
    <t>G-REQ-07282-E3</t>
  </si>
  <si>
    <t>G-REQ-07282-E4</t>
  </si>
  <si>
    <t>G-REQ-07283-E1</t>
  </si>
  <si>
    <t>G-REQ-07283-E2</t>
  </si>
  <si>
    <t>G-REQ-07283-E3</t>
  </si>
  <si>
    <t>G-REQ-07283-E4</t>
  </si>
  <si>
    <t>G-REQ-07284-E1</t>
  </si>
  <si>
    <t>G-REQ-07284-E2</t>
  </si>
  <si>
    <t>G-REQ-07284-E3</t>
  </si>
  <si>
    <t>G-REQ-07284-E4</t>
  </si>
  <si>
    <t>G-REQ-07285-E1</t>
  </si>
  <si>
    <t>G-REQ-07285-E2</t>
  </si>
  <si>
    <t>G-REQ-07285-E3</t>
  </si>
  <si>
    <t>G-REQ-07285-E4</t>
  </si>
  <si>
    <t>G-REQ-07286-E1</t>
  </si>
  <si>
    <t>G-REQ-07286-E2</t>
  </si>
  <si>
    <t>G-REQ-07286-E3</t>
  </si>
  <si>
    <t>G-REQ-07286-E4</t>
  </si>
  <si>
    <t>G-REQ-07287-E1</t>
  </si>
  <si>
    <t>G-REQ-07287-E2</t>
  </si>
  <si>
    <t>G-REQ-07287-E3</t>
  </si>
  <si>
    <t>G-REQ-07287-E4</t>
  </si>
  <si>
    <t>G-REQ-07288-E1</t>
  </si>
  <si>
    <t>G-REQ-07288-E2</t>
  </si>
  <si>
    <t>SYNTHETIC: Laptop repair; Cancelled; asset G-AST-00475</t>
  </si>
  <si>
    <t>G-REQ-07289-E1</t>
  </si>
  <si>
    <t>G-REQ-07289-E2</t>
  </si>
  <si>
    <t>G-REQ-07289-E3</t>
  </si>
  <si>
    <t>G-REQ-07289-E4</t>
  </si>
  <si>
    <t>G-REQ-07290-E1</t>
  </si>
  <si>
    <t>G-REQ-07290-E2</t>
  </si>
  <si>
    <t>G-REQ-07290-E3</t>
  </si>
  <si>
    <t>G-REQ-07290-E4</t>
  </si>
  <si>
    <t>G-REQ-07291-E1</t>
  </si>
  <si>
    <t>G-REQ-07291-E2</t>
  </si>
  <si>
    <t>G-REQ-07291-E3</t>
  </si>
  <si>
    <t>G-REQ-07291-E4</t>
  </si>
  <si>
    <t>G-REQ-07292-E1</t>
  </si>
  <si>
    <t>G-REQ-07292-E2</t>
  </si>
  <si>
    <t>G-REQ-07292-E3</t>
  </si>
  <si>
    <t>G-REQ-07292-E4</t>
  </si>
  <si>
    <t>G-REQ-07293-E1</t>
  </si>
  <si>
    <t>G-REQ-07293-E2</t>
  </si>
  <si>
    <t>SYNTHETIC: Laptop return; Approved; asset G-AST-00420</t>
  </si>
  <si>
    <t>G-REQ-07293-E3</t>
  </si>
  <si>
    <t>SYNTHETIC: Laptop return; In progress; asset G-AST-00420</t>
  </si>
  <si>
    <t>G-REQ-07293-E4</t>
  </si>
  <si>
    <t>SYNTHETIC: Laptop return; Completed; asset G-AST-00420</t>
  </si>
  <si>
    <t>G-REQ-07294-E1</t>
  </si>
  <si>
    <t>G-REQ-07294-E2</t>
  </si>
  <si>
    <t>G-REQ-07294-E3</t>
  </si>
  <si>
    <t>G-REQ-07294-E4</t>
  </si>
  <si>
    <t>G-REQ-07295-E1</t>
  </si>
  <si>
    <t>G-REQ-07295-E2</t>
  </si>
  <si>
    <t>G-REQ-07295-E3</t>
  </si>
  <si>
    <t>G-REQ-07295-E4</t>
  </si>
  <si>
    <t>G-REQ-07296-E1</t>
  </si>
  <si>
    <t>G-REQ-07296-E2</t>
  </si>
  <si>
    <t>G-REQ-07296-E3</t>
  </si>
  <si>
    <t>G-REQ-07296-E4</t>
  </si>
  <si>
    <t>G-REQ-07297-E1</t>
  </si>
  <si>
    <t>G-REQ-07297-E2</t>
  </si>
  <si>
    <t>G-REQ-07297-E3</t>
  </si>
  <si>
    <t>G-REQ-07297-E4</t>
  </si>
  <si>
    <t>G-REQ-07298-E1</t>
  </si>
  <si>
    <t>G-REQ-07298-E2</t>
  </si>
  <si>
    <t>G-REQ-07298-E3</t>
  </si>
  <si>
    <t>G-REQ-07298-E4</t>
  </si>
  <si>
    <t>G-REQ-07299-E1</t>
  </si>
  <si>
    <t>G-REQ-07299-E2</t>
  </si>
  <si>
    <t>G-REQ-07299-E3</t>
  </si>
  <si>
    <t>G-REQ-07299-E4</t>
  </si>
  <si>
    <t>G-REQ-07300-E1</t>
  </si>
  <si>
    <t>G-REQ-07300-E2</t>
  </si>
  <si>
    <t>G-REQ-07300-E3</t>
  </si>
  <si>
    <t>G-REQ-07300-E4</t>
  </si>
  <si>
    <t>G-REQ-07301-E1</t>
  </si>
  <si>
    <t>G-REQ-07301-E2</t>
  </si>
  <si>
    <t>G-REQ-07301-E3</t>
  </si>
  <si>
    <t>G-REQ-07301-E4</t>
  </si>
  <si>
    <t>G-REQ-07302-E1</t>
  </si>
  <si>
    <t>G-REQ-07302-E2</t>
  </si>
  <si>
    <t>G-REQ-07302-E3</t>
  </si>
  <si>
    <t>G-REQ-07302-E4</t>
  </si>
  <si>
    <t>G-REQ-07303-E1</t>
  </si>
  <si>
    <t>G-REQ-07303-E2</t>
  </si>
  <si>
    <t>G-REQ-07303-E3</t>
  </si>
  <si>
    <t>G-REQ-07303-E4</t>
  </si>
  <si>
    <t>G-REQ-07304-E1</t>
  </si>
  <si>
    <t>G-REQ-07304-E2</t>
  </si>
  <si>
    <t>G-REQ-07304-E3</t>
  </si>
  <si>
    <t>G-REQ-07304-E4</t>
  </si>
  <si>
    <t>G-REQ-07305-E1</t>
  </si>
  <si>
    <t>G-REQ-07305-E2</t>
  </si>
  <si>
    <t>G-REQ-07305-E3</t>
  </si>
  <si>
    <t>G-REQ-07305-E4</t>
  </si>
  <si>
    <t>G-REQ-07306-E1</t>
  </si>
  <si>
    <t>G-REQ-07306-E2</t>
  </si>
  <si>
    <t>G-REQ-07306-E3</t>
  </si>
  <si>
    <t>G-REQ-07306-E4</t>
  </si>
  <si>
    <t>G-REQ-07307-E1</t>
  </si>
  <si>
    <t>G-REQ-07307-E2</t>
  </si>
  <si>
    <t>G-REQ-07307-E3</t>
  </si>
  <si>
    <t>G-REQ-07307-E4</t>
  </si>
  <si>
    <t>G-REQ-07308-E1</t>
  </si>
  <si>
    <t>G-REQ-07308-E2</t>
  </si>
  <si>
    <t>G-REQ-07308-E3</t>
  </si>
  <si>
    <t>G-REQ-07308-E4</t>
  </si>
  <si>
    <t>G-REQ-07309-E1</t>
  </si>
  <si>
    <t>G-REQ-07309-E2</t>
  </si>
  <si>
    <t>SYNTHETIC: Laptop return; Cancelled; asset G-AST-00121</t>
  </si>
  <si>
    <t>G-REQ-07310-E1</t>
  </si>
  <si>
    <t>G-REQ-07310-E2</t>
  </si>
  <si>
    <t>G-REQ-07311-E1</t>
  </si>
  <si>
    <t>G-REQ-07311-E2</t>
  </si>
  <si>
    <t>G-REQ-07311-E3</t>
  </si>
  <si>
    <t>G-REQ-07311-E4</t>
  </si>
  <si>
    <t>G-REQ-07312-E1</t>
  </si>
  <si>
    <t>G-REQ-07312-E2</t>
  </si>
  <si>
    <t>G-REQ-07312-E3</t>
  </si>
  <si>
    <t>G-REQ-07312-E4</t>
  </si>
  <si>
    <t>G-REQ-07313-E1</t>
  </si>
  <si>
    <t>G-REQ-07313-E2</t>
  </si>
  <si>
    <t>G-REQ-07314-E1</t>
  </si>
  <si>
    <t>G-REQ-07314-E2</t>
  </si>
  <si>
    <t>G-REQ-07314-E3</t>
  </si>
  <si>
    <t>G-REQ-07314-E4</t>
  </si>
  <si>
    <t>G-REQ-07315-E1</t>
  </si>
  <si>
    <t>G-REQ-07315-E2</t>
  </si>
  <si>
    <t>G-REQ-07315-E3</t>
  </si>
  <si>
    <t>G-REQ-07315-E4</t>
  </si>
  <si>
    <t>G-REQ-07316-E1</t>
  </si>
  <si>
    <t>G-REQ-07316-E2</t>
  </si>
  <si>
    <t>G-REQ-07316-E3</t>
  </si>
  <si>
    <t>G-REQ-07316-E4</t>
  </si>
  <si>
    <t>G-REQ-07317-E1</t>
  </si>
  <si>
    <t>G-REQ-07317-E2</t>
  </si>
  <si>
    <t>SYNTHETIC: Laptop return; Cancelled; asset G-AST-00428</t>
  </si>
  <si>
    <t>G-REQ-07318-E1</t>
  </si>
  <si>
    <t>G-REQ-07318-E2</t>
  </si>
  <si>
    <t>G-REQ-07318-E3</t>
  </si>
  <si>
    <t>G-REQ-07318-E4</t>
  </si>
  <si>
    <t>G-REQ-07319-E1</t>
  </si>
  <si>
    <t>G-REQ-07319-E2</t>
  </si>
  <si>
    <t>G-REQ-07319-E3</t>
  </si>
  <si>
    <t>G-REQ-07319-E4</t>
  </si>
  <si>
    <t>G-REQ-07320-E1</t>
  </si>
  <si>
    <t>G-REQ-07320-E2</t>
  </si>
  <si>
    <t>G-REQ-07320-E3</t>
  </si>
  <si>
    <t>G-REQ-07320-E4</t>
  </si>
  <si>
    <t>G-REQ-07321-E1</t>
  </si>
  <si>
    <t>G-REQ-07321-E2</t>
  </si>
  <si>
    <t>G-REQ-07321-E3</t>
  </si>
  <si>
    <t>G-REQ-07321-E4</t>
  </si>
  <si>
    <t>G-REQ-07322-E1</t>
  </si>
  <si>
    <t>G-REQ-07322-E2</t>
  </si>
  <si>
    <t>G-REQ-07322-E3</t>
  </si>
  <si>
    <t>G-REQ-07322-E4</t>
  </si>
  <si>
    <t>G-REQ-07323-E1</t>
  </si>
  <si>
    <t>G-REQ-07323-E2</t>
  </si>
  <si>
    <t>G-REQ-07323-E3</t>
  </si>
  <si>
    <t>G-REQ-07323-E4</t>
  </si>
  <si>
    <t>G-REQ-07324-E1</t>
  </si>
  <si>
    <t>G-REQ-07324-E2</t>
  </si>
  <si>
    <t>G-REQ-07324-E3</t>
  </si>
  <si>
    <t>G-REQ-07324-E4</t>
  </si>
  <si>
    <t>G-REQ-07325-E1</t>
  </si>
  <si>
    <t>G-REQ-07325-E2</t>
  </si>
  <si>
    <t>G-REQ-07325-E3</t>
  </si>
  <si>
    <t>G-REQ-07325-E4</t>
  </si>
  <si>
    <t>G-REQ-07326-E1</t>
  </si>
  <si>
    <t>G-REQ-07326-E2</t>
  </si>
  <si>
    <t>G-REQ-07326-E3</t>
  </si>
  <si>
    <t>G-REQ-07326-E4</t>
  </si>
  <si>
    <t>G-REQ-07327-E1</t>
  </si>
  <si>
    <t>G-REQ-07327-E2</t>
  </si>
  <si>
    <t>G-REQ-07327-E3</t>
  </si>
  <si>
    <t>G-REQ-07327-E4</t>
  </si>
  <si>
    <t>G-REQ-07328-E1</t>
  </si>
  <si>
    <t>G-REQ-07328-E2</t>
  </si>
  <si>
    <t>G-REQ-07328-E3</t>
  </si>
  <si>
    <t>G-REQ-07328-E4</t>
  </si>
  <si>
    <t>G-REQ-07329-E1</t>
  </si>
  <si>
    <t>G-REQ-07329-E2</t>
  </si>
  <si>
    <t>G-REQ-07329-E3</t>
  </si>
  <si>
    <t>G-REQ-07329-E4</t>
  </si>
  <si>
    <t>G-REQ-07330-E1</t>
  </si>
  <si>
    <t>G-REQ-07330-E2</t>
  </si>
  <si>
    <t>G-REQ-07330-E3</t>
  </si>
  <si>
    <t>G-REQ-07330-E4</t>
  </si>
  <si>
    <t>G-REQ-07331-E1</t>
  </si>
  <si>
    <t>G-REQ-07331-E2</t>
  </si>
  <si>
    <t>G-REQ-07331-E3</t>
  </si>
  <si>
    <t>G-REQ-07331-E4</t>
  </si>
  <si>
    <t>G-REQ-07332-E1</t>
  </si>
  <si>
    <t>G-REQ-07332-E2</t>
  </si>
  <si>
    <t>G-REQ-07332-E3</t>
  </si>
  <si>
    <t>G-REQ-07332-E4</t>
  </si>
  <si>
    <t>G-REQ-07333-E1</t>
  </si>
  <si>
    <t>G-REQ-07333-E2</t>
  </si>
  <si>
    <t>G-REQ-07333-E3</t>
  </si>
  <si>
    <t>G-REQ-07333-E4</t>
  </si>
  <si>
    <t>G-REQ-07334-E1</t>
  </si>
  <si>
    <t>G-REQ-07334-E2</t>
  </si>
  <si>
    <t>G-REQ-07334-E3</t>
  </si>
  <si>
    <t>G-REQ-07334-E4</t>
  </si>
  <si>
    <t>G-REQ-07335-E1</t>
  </si>
  <si>
    <t>G-REQ-07335-E2</t>
  </si>
  <si>
    <t>G-REQ-07335-E3</t>
  </si>
  <si>
    <t>G-REQ-07335-E4</t>
  </si>
  <si>
    <t>G-REQ-07336-E1</t>
  </si>
  <si>
    <t>G-REQ-07336-E2</t>
  </si>
  <si>
    <t>G-REQ-07336-E3</t>
  </si>
  <si>
    <t>G-REQ-07336-E4</t>
  </si>
  <si>
    <t>G-REQ-07337-E1</t>
  </si>
  <si>
    <t>G-REQ-07337-E2</t>
  </si>
  <si>
    <t>G-REQ-07337-E3</t>
  </si>
  <si>
    <t>G-REQ-07337-E4</t>
  </si>
  <si>
    <t>G-REQ-07338-E1</t>
  </si>
  <si>
    <t>G-REQ-07338-E2</t>
  </si>
  <si>
    <t>G-REQ-07338-E3</t>
  </si>
  <si>
    <t>G-REQ-07338-E4</t>
  </si>
  <si>
    <t>G-REQ-07339-E1</t>
  </si>
  <si>
    <t>G-REQ-07339-E2</t>
  </si>
  <si>
    <t>G-REQ-07339-E3</t>
  </si>
  <si>
    <t>G-REQ-07339-E4</t>
  </si>
  <si>
    <t>G-REQ-07340-E1</t>
  </si>
  <si>
    <t>G-REQ-07340-E2</t>
  </si>
  <si>
    <t>G-REQ-07340-E3</t>
  </si>
  <si>
    <t>G-REQ-07340-E4</t>
  </si>
  <si>
    <t>G-REQ-07341-E1</t>
  </si>
  <si>
    <t>G-REQ-07341-E2</t>
  </si>
  <si>
    <t>G-REQ-07341-E3</t>
  </si>
  <si>
    <t>G-REQ-07341-E4</t>
  </si>
  <si>
    <t>G-REQ-07342-E1</t>
  </si>
  <si>
    <t>G-REQ-07342-E2</t>
  </si>
  <si>
    <t>G-REQ-07342-E3</t>
  </si>
  <si>
    <t>G-REQ-07342-E4</t>
  </si>
  <si>
    <t>G-REQ-07343-E1</t>
  </si>
  <si>
    <t>G-REQ-07343-E2</t>
  </si>
  <si>
    <t>SYNTHETIC: Laptop repair; Cancelled; asset G-AST-00375</t>
  </si>
  <si>
    <t>G-REQ-07344-E1</t>
  </si>
  <si>
    <t>G-REQ-07344-E2</t>
  </si>
  <si>
    <t>G-REQ-07344-E3</t>
  </si>
  <si>
    <t>G-REQ-07344-E4</t>
  </si>
  <si>
    <t>G-REQ-07345-E1</t>
  </si>
  <si>
    <t>G-REQ-07345-E2</t>
  </si>
  <si>
    <t>G-REQ-07346-E1</t>
  </si>
  <si>
    <t>G-REQ-07346-E2</t>
  </si>
  <si>
    <t>SYNTHETIC: Laptop return; Rejected; asset G-AST-00320</t>
  </si>
  <si>
    <t>G-REQ-07347-E1</t>
  </si>
  <si>
    <t>G-REQ-07347-E2</t>
  </si>
  <si>
    <t>G-REQ-07347-E3</t>
  </si>
  <si>
    <t>G-REQ-07347-E4</t>
  </si>
  <si>
    <t>G-REQ-07348-E1</t>
  </si>
  <si>
    <t>G-REQ-07348-E2</t>
  </si>
  <si>
    <t>G-REQ-07348-E3</t>
  </si>
  <si>
    <t>G-REQ-07348-E4</t>
  </si>
  <si>
    <t>G-REQ-07349-E1</t>
  </si>
  <si>
    <t>G-REQ-07349-E2</t>
  </si>
  <si>
    <t>G-REQ-07349-E3</t>
  </si>
  <si>
    <t>G-REQ-07349-E4</t>
  </si>
  <si>
    <t>G-REQ-07350-E1</t>
  </si>
  <si>
    <t>G-REQ-07350-E2</t>
  </si>
  <si>
    <t>G-REQ-07351-E1</t>
  </si>
  <si>
    <t>G-REQ-07351-E2</t>
  </si>
  <si>
    <t>G-REQ-07351-E3</t>
  </si>
  <si>
    <t>G-REQ-07351-E4</t>
  </si>
  <si>
    <t>G-REQ-07352-E1</t>
  </si>
  <si>
    <t>G-REQ-07352-E2</t>
  </si>
  <si>
    <t>G-REQ-07352-E3</t>
  </si>
  <si>
    <t>G-REQ-07352-E4</t>
  </si>
  <si>
    <t>G-REQ-07353-E1</t>
  </si>
  <si>
    <t>G-REQ-07353-E2</t>
  </si>
  <si>
    <t>G-REQ-07353-E3</t>
  </si>
  <si>
    <t>G-REQ-07353-E4</t>
  </si>
  <si>
    <t>G-REQ-07354-E1</t>
  </si>
  <si>
    <t>G-REQ-07354-E2</t>
  </si>
  <si>
    <t>G-REQ-07354-E3</t>
  </si>
  <si>
    <t>G-REQ-07354-E4</t>
  </si>
  <si>
    <t>G-REQ-07355-E1</t>
  </si>
  <si>
    <t>G-REQ-07355-E2</t>
  </si>
  <si>
    <t>G-REQ-07355-E3</t>
  </si>
  <si>
    <t>G-REQ-07355-E4</t>
  </si>
  <si>
    <t>G-REQ-07356-E1</t>
  </si>
  <si>
    <t>G-REQ-07356-E2</t>
  </si>
  <si>
    <t>G-REQ-07356-E3</t>
  </si>
  <si>
    <t>G-REQ-07356-E4</t>
  </si>
  <si>
    <t>G-REQ-07357-E1</t>
  </si>
  <si>
    <t>G-REQ-07357-E2</t>
  </si>
  <si>
    <t>G-REQ-07357-E3</t>
  </si>
  <si>
    <t>G-REQ-07357-E4</t>
  </si>
  <si>
    <t>G-REQ-07358-E1</t>
  </si>
  <si>
    <t>G-REQ-07358-E2</t>
  </si>
  <si>
    <t>G-REQ-07358-E3</t>
  </si>
  <si>
    <t>G-REQ-07358-E4</t>
  </si>
  <si>
    <t>G-REQ-07359-E1</t>
  </si>
  <si>
    <t>G-REQ-07359-E2</t>
  </si>
  <si>
    <t>G-REQ-07359-E3</t>
  </si>
  <si>
    <t>G-REQ-07359-E4</t>
  </si>
  <si>
    <t>G-REQ-07360-E1</t>
  </si>
  <si>
    <t>G-REQ-07360-E2</t>
  </si>
  <si>
    <t>G-REQ-07360-E3</t>
  </si>
  <si>
    <t>G-REQ-07360-E4</t>
  </si>
  <si>
    <t>G-REQ-07361-E1</t>
  </si>
  <si>
    <t>G-REQ-07361-E2</t>
  </si>
  <si>
    <t>G-REQ-07361-E3</t>
  </si>
  <si>
    <t>G-REQ-07361-E4</t>
  </si>
  <si>
    <t>G-REQ-07362-E1</t>
  </si>
  <si>
    <t>G-REQ-07362-E2</t>
  </si>
  <si>
    <t>G-REQ-07362-E3</t>
  </si>
  <si>
    <t>G-REQ-07362-E4</t>
  </si>
  <si>
    <t>G-REQ-07363-E1</t>
  </si>
  <si>
    <t>G-REQ-07363-E2</t>
  </si>
  <si>
    <t>G-REQ-07363-E3</t>
  </si>
  <si>
    <t>G-REQ-07363-E4</t>
  </si>
  <si>
    <t>G-REQ-07364-E1</t>
  </si>
  <si>
    <t>G-REQ-07364-E2</t>
  </si>
  <si>
    <t>G-REQ-07364-E3</t>
  </si>
  <si>
    <t>G-REQ-07364-E4</t>
  </si>
  <si>
    <t>G-REQ-07365-E1</t>
  </si>
  <si>
    <t>G-REQ-07365-E2</t>
  </si>
  <si>
    <t>G-REQ-07365-E3</t>
  </si>
  <si>
    <t>G-REQ-07365-E4</t>
  </si>
  <si>
    <t>G-REQ-07366-E1</t>
  </si>
  <si>
    <t>G-REQ-07366-E2</t>
  </si>
  <si>
    <t>G-REQ-07366-E3</t>
  </si>
  <si>
    <t>G-REQ-07366-E4</t>
  </si>
  <si>
    <t>G-REQ-07367-E1</t>
  </si>
  <si>
    <t>G-REQ-07367-E2</t>
  </si>
  <si>
    <t>G-REQ-07367-E3</t>
  </si>
  <si>
    <t>G-REQ-07367-E4</t>
  </si>
  <si>
    <t>G-REQ-07368-E1</t>
  </si>
  <si>
    <t>G-REQ-07368-E2</t>
  </si>
  <si>
    <t>G-REQ-07368-E3</t>
  </si>
  <si>
    <t>G-REQ-07368-E4</t>
  </si>
  <si>
    <t>G-REQ-07369-E1</t>
  </si>
  <si>
    <t>G-REQ-07369-E2</t>
  </si>
  <si>
    <t>G-REQ-07370-E1</t>
  </si>
  <si>
    <t>G-REQ-07370-E2</t>
  </si>
  <si>
    <t>G-REQ-07371-E1</t>
  </si>
  <si>
    <t>G-REQ-07371-E2</t>
  </si>
  <si>
    <t>G-REQ-07371-E3</t>
  </si>
  <si>
    <t>G-REQ-07371-E4</t>
  </si>
  <si>
    <t>G-REQ-07372-E1</t>
  </si>
  <si>
    <t>G-REQ-07372-E2</t>
  </si>
  <si>
    <t>G-REQ-07372-E3</t>
  </si>
  <si>
    <t>G-REQ-07372-E4</t>
  </si>
  <si>
    <t>G-REQ-07373-E1</t>
  </si>
  <si>
    <t>G-REQ-07373-E2</t>
  </si>
  <si>
    <t>G-REQ-07373-E3</t>
  </si>
  <si>
    <t>G-REQ-07373-E4</t>
  </si>
  <si>
    <t>G-REQ-07374-E1</t>
  </si>
  <si>
    <t>G-REQ-07374-E2</t>
  </si>
  <si>
    <t>G-REQ-07374-E3</t>
  </si>
  <si>
    <t>G-REQ-07374-E4</t>
  </si>
  <si>
    <t>G-REQ-07375-E1</t>
  </si>
  <si>
    <t>G-REQ-07375-E2</t>
  </si>
  <si>
    <t>G-REQ-07375-E3</t>
  </si>
  <si>
    <t>G-REQ-07375-E4</t>
  </si>
  <si>
    <t>G-REQ-07376-E1</t>
  </si>
  <si>
    <t>G-REQ-07376-E2</t>
  </si>
  <si>
    <t>G-REQ-07376-E3</t>
  </si>
  <si>
    <t>G-REQ-07376-E4</t>
  </si>
  <si>
    <t>G-REQ-07377-E1</t>
  </si>
  <si>
    <t>SYNTHETIC: Laptop repair; Pending approval; asset G-AST-00472</t>
  </si>
  <si>
    <t>G-REQ-07377-E2</t>
  </si>
  <si>
    <t>SYNTHETIC: Laptop repair; Rejected; asset G-AST-00472</t>
  </si>
  <si>
    <t>G-REQ-07378-E1</t>
  </si>
  <si>
    <t>G-REQ-07378-E2</t>
  </si>
  <si>
    <t>G-REQ-07378-E3</t>
  </si>
  <si>
    <t>G-REQ-07378-E4</t>
  </si>
  <si>
    <t>G-REQ-07379-E1</t>
  </si>
  <si>
    <t>G-REQ-07379-E2</t>
  </si>
  <si>
    <t>G-REQ-07379-E3</t>
  </si>
  <si>
    <t>G-REQ-07379-E4</t>
  </si>
  <si>
    <t>G-REQ-07380-E1</t>
  </si>
  <si>
    <t>G-REQ-07380-E2</t>
  </si>
  <si>
    <t>G-REQ-07380-E3</t>
  </si>
  <si>
    <t>G-REQ-07380-E4</t>
  </si>
  <si>
    <t>G-REQ-07381-E1</t>
  </si>
  <si>
    <t>G-REQ-07381-E2</t>
  </si>
  <si>
    <t>G-REQ-07381-E3</t>
  </si>
  <si>
    <t>G-REQ-07381-E4</t>
  </si>
  <si>
    <t>G-REQ-07382-E1</t>
  </si>
  <si>
    <t>G-REQ-07382-E2</t>
  </si>
  <si>
    <t>G-REQ-07382-E3</t>
  </si>
  <si>
    <t>G-REQ-07382-E4</t>
  </si>
  <si>
    <t>G-REQ-07383-E1</t>
  </si>
  <si>
    <t>G-REQ-07383-E2</t>
  </si>
  <si>
    <t>G-REQ-07383-E3</t>
  </si>
  <si>
    <t>G-REQ-07383-E4</t>
  </si>
  <si>
    <t>G-REQ-07384-E1</t>
  </si>
  <si>
    <t>G-REQ-07384-E2</t>
  </si>
  <si>
    <t>G-REQ-07384-E3</t>
  </si>
  <si>
    <t>G-REQ-07384-E4</t>
  </si>
  <si>
    <t>G-REQ-07385-E1</t>
  </si>
  <si>
    <t>G-REQ-07385-E2</t>
  </si>
  <si>
    <t>G-REQ-07385-E3</t>
  </si>
  <si>
    <t>G-REQ-07385-E4</t>
  </si>
  <si>
    <t>G-REQ-07386-E1</t>
  </si>
  <si>
    <t>G-REQ-07386-E2</t>
  </si>
  <si>
    <t>G-REQ-07386-E3</t>
  </si>
  <si>
    <t>G-REQ-07386-E4</t>
  </si>
  <si>
    <t>G-REQ-07387-E1</t>
  </si>
  <si>
    <t>G-REQ-07387-E2</t>
  </si>
  <si>
    <t>G-REQ-07387-E3</t>
  </si>
  <si>
    <t>G-REQ-07387-E4</t>
  </si>
  <si>
    <t>G-REQ-07388-E1</t>
  </si>
  <si>
    <t>G-REQ-07388-E2</t>
  </si>
  <si>
    <t>G-REQ-07388-E3</t>
  </si>
  <si>
    <t>G-REQ-07388-E4</t>
  </si>
  <si>
    <t>G-REQ-07389-E1</t>
  </si>
  <si>
    <t>G-REQ-07389-E2</t>
  </si>
  <si>
    <t>G-REQ-07389-E3</t>
  </si>
  <si>
    <t>G-REQ-07389-E4</t>
  </si>
  <si>
    <t>G-REQ-07390-E1</t>
  </si>
  <si>
    <t>G-REQ-07390-E2</t>
  </si>
  <si>
    <t>G-REQ-07390-E3</t>
  </si>
  <si>
    <t>G-REQ-07390-E4</t>
  </si>
  <si>
    <t>G-REQ-07391-E1</t>
  </si>
  <si>
    <t>G-REQ-07391-E2</t>
  </si>
  <si>
    <t>G-REQ-07392-E1</t>
  </si>
  <si>
    <t>G-REQ-07392-E2</t>
  </si>
  <si>
    <t>G-REQ-07392-E3</t>
  </si>
  <si>
    <t>G-REQ-07392-E4</t>
  </si>
  <si>
    <t>G-REQ-07393-E1</t>
  </si>
  <si>
    <t>G-REQ-07393-E2</t>
  </si>
  <si>
    <t>G-REQ-07393-E3</t>
  </si>
  <si>
    <t>G-REQ-07393-E4</t>
  </si>
  <si>
    <t>G-REQ-07394-E1</t>
  </si>
  <si>
    <t>G-REQ-07394-E2</t>
  </si>
  <si>
    <t>SYNTHETIC: Laptop repair; Rejected; asset G-AST-00346</t>
  </si>
  <si>
    <t>G-REQ-07395-E1</t>
  </si>
  <si>
    <t>G-REQ-07395-E2</t>
  </si>
  <si>
    <t>G-REQ-07395-E3</t>
  </si>
  <si>
    <t>G-REQ-07395-E4</t>
  </si>
  <si>
    <t>G-REQ-07396-E1</t>
  </si>
  <si>
    <t>G-REQ-07396-E2</t>
  </si>
  <si>
    <t>SYNTHETIC: Laptop repair; Rejected; asset G-AST-00194</t>
  </si>
  <si>
    <t>G-REQ-07397-E1</t>
  </si>
  <si>
    <t>G-REQ-07397-E2</t>
  </si>
  <si>
    <t>G-REQ-07397-E3</t>
  </si>
  <si>
    <t>G-REQ-07397-E4</t>
  </si>
  <si>
    <t>G-REQ-07398-E1</t>
  </si>
  <si>
    <t>G-REQ-07398-E2</t>
  </si>
  <si>
    <t>G-REQ-07398-E3</t>
  </si>
  <si>
    <t>G-REQ-07398-E4</t>
  </si>
  <si>
    <t>G-REQ-07399-E1</t>
  </si>
  <si>
    <t>G-REQ-07399-E2</t>
  </si>
  <si>
    <t>G-REQ-07399-E3</t>
  </si>
  <si>
    <t>G-REQ-07399-E4</t>
  </si>
  <si>
    <t>G-REQ-07400-E1</t>
  </si>
  <si>
    <t>G-REQ-07400-E2</t>
  </si>
  <si>
    <t>G-REQ-07400-E3</t>
  </si>
  <si>
    <t>G-REQ-07400-E4</t>
  </si>
  <si>
    <t>G-REQ-07401-E1</t>
  </si>
  <si>
    <t>G-REQ-07401-E2</t>
  </si>
  <si>
    <t>G-REQ-07401-E3</t>
  </si>
  <si>
    <t>G-REQ-07401-E4</t>
  </si>
  <si>
    <t>G-REQ-07402-E1</t>
  </si>
  <si>
    <t>G-REQ-07402-E2</t>
  </si>
  <si>
    <t>G-REQ-07402-E3</t>
  </si>
  <si>
    <t>G-REQ-07402-E4</t>
  </si>
  <si>
    <t>G-REQ-07403-E1</t>
  </si>
  <si>
    <t>G-REQ-07403-E2</t>
  </si>
  <si>
    <t>G-REQ-07403-E3</t>
  </si>
  <si>
    <t>G-REQ-07403-E4</t>
  </si>
  <si>
    <t>G-REQ-07404-E1</t>
  </si>
  <si>
    <t>G-REQ-07404-E2</t>
  </si>
  <si>
    <t>G-REQ-07404-E3</t>
  </si>
  <si>
    <t>G-REQ-07404-E4</t>
  </si>
  <si>
    <t>G-REQ-07405-E1</t>
  </si>
  <si>
    <t>G-REQ-07405-E2</t>
  </si>
  <si>
    <t>G-REQ-07405-E3</t>
  </si>
  <si>
    <t>G-REQ-07405-E4</t>
  </si>
  <si>
    <t>G-REQ-07406-E1</t>
  </si>
  <si>
    <t>G-REQ-07406-E2</t>
  </si>
  <si>
    <t>G-REQ-07406-E3</t>
  </si>
  <si>
    <t>G-REQ-07406-E4</t>
  </si>
  <si>
    <t>G-REQ-07407-E1</t>
  </si>
  <si>
    <t>G-REQ-07407-E2</t>
  </si>
  <si>
    <t>G-REQ-07407-E3</t>
  </si>
  <si>
    <t>G-REQ-07407-E4</t>
  </si>
  <si>
    <t>G-REQ-07408-E1</t>
  </si>
  <si>
    <t>G-REQ-07408-E2</t>
  </si>
  <si>
    <t>G-REQ-07408-E3</t>
  </si>
  <si>
    <t>G-REQ-07408-E4</t>
  </si>
  <si>
    <t>G-REQ-07409-E1</t>
  </si>
  <si>
    <t>G-REQ-07409-E2</t>
  </si>
  <si>
    <t>G-REQ-07409-E3</t>
  </si>
  <si>
    <t>G-REQ-07409-E4</t>
  </si>
  <si>
    <t>G-REQ-07410-E1</t>
  </si>
  <si>
    <t>G-REQ-07410-E2</t>
  </si>
  <si>
    <t>G-REQ-07410-E3</t>
  </si>
  <si>
    <t>G-REQ-07410-E4</t>
  </si>
  <si>
    <t>G-REQ-07411-E1</t>
  </si>
  <si>
    <t>G-REQ-07411-E2</t>
  </si>
  <si>
    <t>G-REQ-07411-E3</t>
  </si>
  <si>
    <t>G-REQ-07411-E4</t>
  </si>
  <si>
    <t>G-REQ-07412-E1</t>
  </si>
  <si>
    <t>G-REQ-07412-E2</t>
  </si>
  <si>
    <t>G-REQ-07412-E3</t>
  </si>
  <si>
    <t>G-REQ-07412-E4</t>
  </si>
  <si>
    <t>G-REQ-07413-E1</t>
  </si>
  <si>
    <t>G-REQ-07413-E2</t>
  </si>
  <si>
    <t>G-REQ-07413-E3</t>
  </si>
  <si>
    <t>G-REQ-07413-E4</t>
  </si>
  <si>
    <t>G-REQ-07414-E1</t>
  </si>
  <si>
    <t>G-REQ-07414-E2</t>
  </si>
  <si>
    <t>G-REQ-07415-E1</t>
  </si>
  <si>
    <t>G-REQ-07415-E2</t>
  </si>
  <si>
    <t>G-REQ-07415-E3</t>
  </si>
  <si>
    <t>G-REQ-07415-E4</t>
  </si>
  <si>
    <t>G-REQ-07416-E1</t>
  </si>
  <si>
    <t>G-REQ-07416-E2</t>
  </si>
  <si>
    <t>SYNTHETIC: Laptop repair; Cancelled; asset G-AST-00175</t>
  </si>
  <si>
    <t>G-REQ-07417-E1</t>
  </si>
  <si>
    <t>G-REQ-07417-E2</t>
  </si>
  <si>
    <t>G-REQ-07417-E3</t>
  </si>
  <si>
    <t>G-REQ-07417-E4</t>
  </si>
  <si>
    <t>G-REQ-07418-E1</t>
  </si>
  <si>
    <t>G-REQ-07418-E2</t>
  </si>
  <si>
    <t>G-REQ-07418-E3</t>
  </si>
  <si>
    <t>G-REQ-07418-E4</t>
  </si>
  <si>
    <t>G-REQ-07419-E1</t>
  </si>
  <si>
    <t>G-REQ-07419-E2</t>
  </si>
  <si>
    <t>G-REQ-07419-E3</t>
  </si>
  <si>
    <t>G-REQ-07419-E4</t>
  </si>
  <si>
    <t>G-REQ-07420-E1</t>
  </si>
  <si>
    <t>G-REQ-07420-E2</t>
  </si>
  <si>
    <t>G-REQ-07421-E1</t>
  </si>
  <si>
    <t>G-REQ-07421-E2</t>
  </si>
  <si>
    <t>SYNTHETIC: Laptop return; Rejected; asset G-AST-00375</t>
  </si>
  <si>
    <t>G-REQ-07422-E1</t>
  </si>
  <si>
    <t>G-REQ-07422-E2</t>
  </si>
  <si>
    <t>G-REQ-07422-E3</t>
  </si>
  <si>
    <t>G-REQ-07422-E4</t>
  </si>
  <si>
    <t>G-REQ-07423-E1</t>
  </si>
  <si>
    <t>G-REQ-07423-E2</t>
  </si>
  <si>
    <t>G-REQ-07423-E3</t>
  </si>
  <si>
    <t>G-REQ-07423-E4</t>
  </si>
  <si>
    <t>G-REQ-07424-E1</t>
  </si>
  <si>
    <t>G-REQ-07424-E2</t>
  </si>
  <si>
    <t>G-REQ-07424-E3</t>
  </si>
  <si>
    <t>G-REQ-07424-E4</t>
  </si>
  <si>
    <t>G-REQ-07425-E1</t>
  </si>
  <si>
    <t>G-REQ-07425-E2</t>
  </si>
  <si>
    <t>G-REQ-07425-E3</t>
  </si>
  <si>
    <t>G-REQ-07425-E4</t>
  </si>
  <si>
    <t>G-REQ-07426-E1</t>
  </si>
  <si>
    <t>G-REQ-07426-E2</t>
  </si>
  <si>
    <t>G-REQ-07426-E3</t>
  </si>
  <si>
    <t>G-REQ-07426-E4</t>
  </si>
  <si>
    <t>G-REQ-07427-E1</t>
  </si>
  <si>
    <t>G-REQ-07427-E2</t>
  </si>
  <si>
    <t>G-REQ-07427-E3</t>
  </si>
  <si>
    <t>G-REQ-07427-E4</t>
  </si>
  <si>
    <t>G-REQ-07428-E1</t>
  </si>
  <si>
    <t>G-REQ-07428-E2</t>
  </si>
  <si>
    <t>G-REQ-07428-E3</t>
  </si>
  <si>
    <t>G-REQ-07428-E4</t>
  </si>
  <si>
    <t>G-REQ-07429-E1</t>
  </si>
  <si>
    <t>G-REQ-07429-E2</t>
  </si>
  <si>
    <t>G-REQ-07429-E3</t>
  </si>
  <si>
    <t>G-REQ-07429-E4</t>
  </si>
  <si>
    <t>G-REQ-07430-E1</t>
  </si>
  <si>
    <t>G-REQ-07430-E2</t>
  </si>
  <si>
    <t>G-REQ-07430-E3</t>
  </si>
  <si>
    <t>G-REQ-07430-E4</t>
  </si>
  <si>
    <t>G-REQ-07431-E1</t>
  </si>
  <si>
    <t>G-REQ-07431-E2</t>
  </si>
  <si>
    <t>G-REQ-07431-E3</t>
  </si>
  <si>
    <t>G-REQ-07431-E4</t>
  </si>
  <si>
    <t>G-REQ-07432-E1</t>
  </si>
  <si>
    <t>G-REQ-07432-E2</t>
  </si>
  <si>
    <t>G-REQ-07432-E3</t>
  </si>
  <si>
    <t>G-REQ-07432-E4</t>
  </si>
  <si>
    <t>G-REQ-07433-E1</t>
  </si>
  <si>
    <t>G-REQ-07433-E2</t>
  </si>
  <si>
    <t>G-REQ-07433-E3</t>
  </si>
  <si>
    <t>G-REQ-07433-E4</t>
  </si>
  <si>
    <t>G-REQ-07434-E1</t>
  </si>
  <si>
    <t>G-REQ-07434-E2</t>
  </si>
  <si>
    <t>G-REQ-07434-E3</t>
  </si>
  <si>
    <t>G-REQ-07434-E4</t>
  </si>
  <si>
    <t>G-REQ-07435-E1</t>
  </si>
  <si>
    <t>G-REQ-07435-E2</t>
  </si>
  <si>
    <t>G-REQ-07435-E3</t>
  </si>
  <si>
    <t>G-REQ-07435-E4</t>
  </si>
  <si>
    <t>G-REQ-07436-E1</t>
  </si>
  <si>
    <t>G-REQ-07436-E2</t>
  </si>
  <si>
    <t>G-REQ-07436-E3</t>
  </si>
  <si>
    <t>G-REQ-07436-E4</t>
  </si>
  <si>
    <t>G-REQ-07437-E1</t>
  </si>
  <si>
    <t>G-REQ-07437-E2</t>
  </si>
  <si>
    <t>G-REQ-07437-E3</t>
  </si>
  <si>
    <t>G-REQ-07437-E4</t>
  </si>
  <si>
    <t>G-REQ-07438-E1</t>
  </si>
  <si>
    <t>G-REQ-07438-E2</t>
  </si>
  <si>
    <t>G-REQ-07438-E3</t>
  </si>
  <si>
    <t>G-REQ-07438-E4</t>
  </si>
  <si>
    <t>G-REQ-07439-E1</t>
  </si>
  <si>
    <t>G-REQ-07439-E2</t>
  </si>
  <si>
    <t>G-REQ-07439-E3</t>
  </si>
  <si>
    <t>G-REQ-07439-E4</t>
  </si>
  <si>
    <t>G-REQ-07440-E1</t>
  </si>
  <si>
    <t>G-REQ-07440-E2</t>
  </si>
  <si>
    <t>G-REQ-07440-E3</t>
  </si>
  <si>
    <t>G-REQ-07440-E4</t>
  </si>
  <si>
    <t>G-REQ-07441-E1</t>
  </si>
  <si>
    <t>G-REQ-07441-E2</t>
  </si>
  <si>
    <t>G-REQ-07441-E3</t>
  </si>
  <si>
    <t>G-REQ-07441-E4</t>
  </si>
  <si>
    <t>G-REQ-07442-E1</t>
  </si>
  <si>
    <t>G-REQ-07442-E2</t>
  </si>
  <si>
    <t>G-REQ-07442-E3</t>
  </si>
  <si>
    <t>G-REQ-07442-E4</t>
  </si>
  <si>
    <t>G-REQ-07443-E1</t>
  </si>
  <si>
    <t>G-REQ-07443-E2</t>
  </si>
  <si>
    <t>G-REQ-07443-E3</t>
  </si>
  <si>
    <t>G-REQ-07443-E4</t>
  </si>
  <si>
    <t>G-REQ-07444-E1</t>
  </si>
  <si>
    <t>G-REQ-07444-E2</t>
  </si>
  <si>
    <t>G-REQ-07444-E3</t>
  </si>
  <si>
    <t>G-REQ-07444-E4</t>
  </si>
  <si>
    <t>G-REQ-07445-E1</t>
  </si>
  <si>
    <t>G-REQ-07445-E2</t>
  </si>
  <si>
    <t>G-REQ-07445-E3</t>
  </si>
  <si>
    <t>G-REQ-07445-E4</t>
  </si>
  <si>
    <t>G-REQ-07446-E1</t>
  </si>
  <si>
    <t>G-REQ-07446-E2</t>
  </si>
  <si>
    <t>G-REQ-07446-E3</t>
  </si>
  <si>
    <t>G-REQ-07446-E4</t>
  </si>
  <si>
    <t>G-REQ-07447-E1</t>
  </si>
  <si>
    <t>G-REQ-07447-E2</t>
  </si>
  <si>
    <t>G-REQ-07447-E3</t>
  </si>
  <si>
    <t>G-REQ-07447-E4</t>
  </si>
  <si>
    <t>G-REQ-07448-E1</t>
  </si>
  <si>
    <t>G-REQ-07448-E2</t>
  </si>
  <si>
    <t>G-REQ-07448-E3</t>
  </si>
  <si>
    <t>G-REQ-07448-E4</t>
  </si>
  <si>
    <t>G-REQ-07449-E1</t>
  </si>
  <si>
    <t>G-REQ-07449-E2</t>
  </si>
  <si>
    <t>G-REQ-07449-E3</t>
  </si>
  <si>
    <t>G-REQ-07449-E4</t>
  </si>
  <si>
    <t>G-REQ-07450-E1</t>
  </si>
  <si>
    <t>G-REQ-07450-E2</t>
  </si>
  <si>
    <t>G-REQ-07450-E3</t>
  </si>
  <si>
    <t>G-REQ-07450-E4</t>
  </si>
  <si>
    <t>G-REQ-07451-E1</t>
  </si>
  <si>
    <t>G-REQ-07451-E2</t>
  </si>
  <si>
    <t>G-REQ-07451-E3</t>
  </si>
  <si>
    <t>G-REQ-07451-E4</t>
  </si>
  <si>
    <t>G-REQ-07452-E1</t>
  </si>
  <si>
    <t>G-REQ-07452-E2</t>
  </si>
  <si>
    <t>G-REQ-07452-E3</t>
  </si>
  <si>
    <t>G-REQ-07452-E4</t>
  </si>
  <si>
    <t>G-REQ-07453-E1</t>
  </si>
  <si>
    <t>G-REQ-07453-E2</t>
  </si>
  <si>
    <t>G-REQ-07453-E3</t>
  </si>
  <si>
    <t>G-REQ-07453-E4</t>
  </si>
  <si>
    <t>G-REQ-07454-E1</t>
  </si>
  <si>
    <t>G-REQ-07454-E2</t>
  </si>
  <si>
    <t>G-REQ-07454-E3</t>
  </si>
  <si>
    <t>G-REQ-07454-E4</t>
  </si>
  <si>
    <t>G-REQ-07455-E1</t>
  </si>
  <si>
    <t>G-REQ-07455-E2</t>
  </si>
  <si>
    <t>G-REQ-07455-E3</t>
  </si>
  <si>
    <t>G-REQ-07455-E4</t>
  </si>
  <si>
    <t>G-REQ-07456-E1</t>
  </si>
  <si>
    <t>G-REQ-07456-E2</t>
  </si>
  <si>
    <t>G-REQ-07456-E3</t>
  </si>
  <si>
    <t>G-REQ-07456-E4</t>
  </si>
  <si>
    <t>G-REQ-07457-E1</t>
  </si>
  <si>
    <t>G-REQ-07457-E2</t>
  </si>
  <si>
    <t>G-REQ-07457-E3</t>
  </si>
  <si>
    <t>G-REQ-07457-E4</t>
  </si>
  <si>
    <t>G-REQ-07458-E1</t>
  </si>
  <si>
    <t>G-REQ-07458-E2</t>
  </si>
  <si>
    <t>G-REQ-07458-E3</t>
  </si>
  <si>
    <t>G-REQ-07458-E4</t>
  </si>
  <si>
    <t>G-REQ-07459-E1</t>
  </si>
  <si>
    <t>G-REQ-07459-E2</t>
  </si>
  <si>
    <t>G-REQ-07459-E3</t>
  </si>
  <si>
    <t>G-REQ-07459-E4</t>
  </si>
  <si>
    <t>G-REQ-07460-E1</t>
  </si>
  <si>
    <t>G-REQ-07460-E2</t>
  </si>
  <si>
    <t>G-REQ-07460-E3</t>
  </si>
  <si>
    <t>G-REQ-07460-E4</t>
  </si>
  <si>
    <t>G-REQ-07461-E1</t>
  </si>
  <si>
    <t>G-REQ-07461-E2</t>
  </si>
  <si>
    <t>G-REQ-07461-E3</t>
  </si>
  <si>
    <t>G-REQ-07461-E4</t>
  </si>
  <si>
    <t>G-REQ-07462-E1</t>
  </si>
  <si>
    <t>G-REQ-07462-E2</t>
  </si>
  <si>
    <t>G-REQ-07462-E3</t>
  </si>
  <si>
    <t>G-REQ-07462-E4</t>
  </si>
  <si>
    <t>G-REQ-07463-E1</t>
  </si>
  <si>
    <t>G-REQ-07463-E2</t>
  </si>
  <si>
    <t>G-REQ-07463-E3</t>
  </si>
  <si>
    <t>G-REQ-07463-E4</t>
  </si>
  <si>
    <t>G-REQ-07464-E1</t>
  </si>
  <si>
    <t>G-REQ-07464-E2</t>
  </si>
  <si>
    <t>G-REQ-07464-E3</t>
  </si>
  <si>
    <t>G-REQ-07464-E4</t>
  </si>
  <si>
    <t>G-REQ-07465-E1</t>
  </si>
  <si>
    <t>G-REQ-07465-E2</t>
  </si>
  <si>
    <t>G-REQ-07465-E3</t>
  </si>
  <si>
    <t>G-REQ-07465-E4</t>
  </si>
  <si>
    <t>G-REQ-07466-E1</t>
  </si>
  <si>
    <t>G-REQ-07466-E2</t>
  </si>
  <si>
    <t>G-REQ-07466-E3</t>
  </si>
  <si>
    <t>G-REQ-07466-E4</t>
  </si>
  <si>
    <t>G-REQ-07467-E1</t>
  </si>
  <si>
    <t>G-REQ-07467-E2</t>
  </si>
  <si>
    <t>G-REQ-07468-E1</t>
  </si>
  <si>
    <t>G-REQ-07468-E2</t>
  </si>
  <si>
    <t>G-REQ-07468-E3</t>
  </si>
  <si>
    <t>G-REQ-07468-E4</t>
  </si>
  <si>
    <t>G-REQ-07469-E1</t>
  </si>
  <si>
    <t>G-REQ-07469-E2</t>
  </si>
  <si>
    <t>G-REQ-07469-E3</t>
  </si>
  <si>
    <t>G-REQ-07469-E4</t>
  </si>
  <si>
    <t>G-REQ-07470-E1</t>
  </si>
  <si>
    <t>G-REQ-07470-E2</t>
  </si>
  <si>
    <t>G-REQ-07470-E3</t>
  </si>
  <si>
    <t>G-REQ-07470-E4</t>
  </si>
  <si>
    <t>G-REQ-07471-E1</t>
  </si>
  <si>
    <t>G-REQ-07471-E2</t>
  </si>
  <si>
    <t>G-REQ-07471-E3</t>
  </si>
  <si>
    <t>G-REQ-07471-E4</t>
  </si>
  <si>
    <t>G-REQ-07472-E1</t>
  </si>
  <si>
    <t>G-REQ-07472-E2</t>
  </si>
  <si>
    <t>G-REQ-07472-E3</t>
  </si>
  <si>
    <t>G-REQ-07472-E4</t>
  </si>
  <si>
    <t>G-REQ-07473-E1</t>
  </si>
  <si>
    <t>G-REQ-07473-E2</t>
  </si>
  <si>
    <t>G-REQ-07473-E3</t>
  </si>
  <si>
    <t>G-REQ-07473-E4</t>
  </si>
  <si>
    <t>G-REQ-07474-E1</t>
  </si>
  <si>
    <t>G-REQ-07474-E2</t>
  </si>
  <si>
    <t>G-REQ-07474-E3</t>
  </si>
  <si>
    <t>G-REQ-07474-E4</t>
  </si>
  <si>
    <t>G-REQ-07475-E1</t>
  </si>
  <si>
    <t>G-REQ-07475-E2</t>
  </si>
  <si>
    <t>G-REQ-07475-E3</t>
  </si>
  <si>
    <t>G-REQ-07475-E4</t>
  </si>
  <si>
    <t>G-REQ-07476-E1</t>
  </si>
  <si>
    <t>G-REQ-07476-E2</t>
  </si>
  <si>
    <t>G-REQ-07476-E3</t>
  </si>
  <si>
    <t>G-REQ-07476-E4</t>
  </si>
  <si>
    <t>G-REQ-07477-E1</t>
  </si>
  <si>
    <t>G-REQ-07477-E2</t>
  </si>
  <si>
    <t>G-REQ-07477-E3</t>
  </si>
  <si>
    <t>G-REQ-07477-E4</t>
  </si>
  <si>
    <t>G-REQ-07478-E1</t>
  </si>
  <si>
    <t>G-REQ-07478-E2</t>
  </si>
  <si>
    <t>G-REQ-07479-E1</t>
  </si>
  <si>
    <t>G-REQ-07479-E2</t>
  </si>
  <si>
    <t>G-REQ-07479-E3</t>
  </si>
  <si>
    <t>G-REQ-07479-E4</t>
  </si>
  <si>
    <t>G-REQ-07480-E1</t>
  </si>
  <si>
    <t>G-REQ-07480-E2</t>
  </si>
  <si>
    <t>G-REQ-07480-E3</t>
  </si>
  <si>
    <t>G-REQ-07480-E4</t>
  </si>
  <si>
    <t>G-REQ-07481-E1</t>
  </si>
  <si>
    <t>G-REQ-07481-E2</t>
  </si>
  <si>
    <t>G-REQ-07481-E3</t>
  </si>
  <si>
    <t>G-REQ-07481-E4</t>
  </si>
  <si>
    <t>G-REQ-07482-E1</t>
  </si>
  <si>
    <t>G-REQ-07482-E2</t>
  </si>
  <si>
    <t>G-REQ-07482-E3</t>
  </si>
  <si>
    <t>G-REQ-07482-E4</t>
  </si>
  <si>
    <t>G-REQ-07483-E1</t>
  </si>
  <si>
    <t>G-REQ-07483-E2</t>
  </si>
  <si>
    <t>G-REQ-07483-E3</t>
  </si>
  <si>
    <t>G-REQ-07483-E4</t>
  </si>
  <si>
    <t>G-REQ-07484-E1</t>
  </si>
  <si>
    <t>G-REQ-07484-E2</t>
  </si>
  <si>
    <t>G-REQ-07484-E3</t>
  </si>
  <si>
    <t>G-REQ-07484-E4</t>
  </si>
  <si>
    <t>G-REQ-07485-E1</t>
  </si>
  <si>
    <t>G-REQ-07485-E2</t>
  </si>
  <si>
    <t>SYNTHETIC: Laptop repair; Rejected; asset G-AST-00468</t>
  </si>
  <si>
    <t>G-REQ-07486-E1</t>
  </si>
  <si>
    <t>G-REQ-07486-E2</t>
  </si>
  <si>
    <t>G-REQ-07486-E3</t>
  </si>
  <si>
    <t>G-REQ-07486-E4</t>
  </si>
  <si>
    <t>G-REQ-07487-E1</t>
  </si>
  <si>
    <t>G-REQ-07487-E2</t>
  </si>
  <si>
    <t>G-REQ-07487-E3</t>
  </si>
  <si>
    <t>G-REQ-07487-E4</t>
  </si>
  <si>
    <t>G-REQ-07488-E1</t>
  </si>
  <si>
    <t>G-REQ-07488-E2</t>
  </si>
  <si>
    <t>SYNTHETIC: Laptop repair; Rejected; asset G-AST-00484</t>
  </si>
  <si>
    <t>G-REQ-07489-E1</t>
  </si>
  <si>
    <t>G-REQ-07489-E2</t>
  </si>
  <si>
    <t>G-REQ-07489-E3</t>
  </si>
  <si>
    <t>G-REQ-07489-E4</t>
  </si>
  <si>
    <t>G-REQ-07490-E1</t>
  </si>
  <si>
    <t>G-REQ-07490-E2</t>
  </si>
  <si>
    <t>G-REQ-07490-E3</t>
  </si>
  <si>
    <t>G-REQ-07490-E4</t>
  </si>
  <si>
    <t>G-REQ-07491-E1</t>
  </si>
  <si>
    <t>G-REQ-07491-E2</t>
  </si>
  <si>
    <t>SYNTHETIC: Laptop repair; Rejected; asset G-AST-00232</t>
  </si>
  <si>
    <t>G-REQ-07492-E1</t>
  </si>
  <si>
    <t>G-REQ-07492-E2</t>
  </si>
  <si>
    <t>G-REQ-07492-E3</t>
  </si>
  <si>
    <t>G-REQ-07492-E4</t>
  </si>
  <si>
    <t>G-REQ-07493-E1</t>
  </si>
  <si>
    <t>G-REQ-07493-E2</t>
  </si>
  <si>
    <t>G-REQ-07493-E3</t>
  </si>
  <si>
    <t>G-REQ-07493-E4</t>
  </si>
  <si>
    <t>G-REQ-07494-E1</t>
  </si>
  <si>
    <t>G-REQ-07494-E2</t>
  </si>
  <si>
    <t>SYNTHETIC: Laptop repair; Rejected; asset G-AST-00511</t>
  </si>
  <si>
    <t>G-REQ-07495-E1</t>
  </si>
  <si>
    <t>G-REQ-07495-E2</t>
  </si>
  <si>
    <t>G-REQ-07495-E3</t>
  </si>
  <si>
    <t>G-REQ-07495-E4</t>
  </si>
  <si>
    <t>G-REQ-07496-E1</t>
  </si>
  <si>
    <t>G-REQ-07496-E2</t>
  </si>
  <si>
    <t>G-REQ-07496-E3</t>
  </si>
  <si>
    <t>G-REQ-07496-E4</t>
  </si>
  <si>
    <t>G-REQ-07497-E1</t>
  </si>
  <si>
    <t>G-REQ-07497-E2</t>
  </si>
  <si>
    <t>G-REQ-07497-E3</t>
  </si>
  <si>
    <t>G-REQ-07497-E4</t>
  </si>
  <si>
    <t>G-REQ-07498-E1</t>
  </si>
  <si>
    <t>G-REQ-07498-E2</t>
  </si>
  <si>
    <t>G-REQ-07498-E3</t>
  </si>
  <si>
    <t>G-REQ-07498-E4</t>
  </si>
  <si>
    <t>G-REQ-07499-E1</t>
  </si>
  <si>
    <t>G-REQ-07499-E2</t>
  </si>
  <si>
    <t>G-REQ-07499-E3</t>
  </si>
  <si>
    <t>G-REQ-07499-E4</t>
  </si>
  <si>
    <t>G-REQ-07500-E1</t>
  </si>
  <si>
    <t>G-REQ-07500-E2</t>
  </si>
  <si>
    <t>G-REQ-07500-E3</t>
  </si>
  <si>
    <t>G-REQ-07500-E4</t>
  </si>
  <si>
    <t>G-REQ-07501-E1</t>
  </si>
  <si>
    <t>G-REQ-07501-E2</t>
  </si>
  <si>
    <t>SYNTHETIC: Laptop repair; Rejected; asset G-AST-00449</t>
  </si>
  <si>
    <t>G-REQ-07502-E1</t>
  </si>
  <si>
    <t>G-REQ-07502-E2</t>
  </si>
  <si>
    <t>G-REQ-07502-E3</t>
  </si>
  <si>
    <t>G-REQ-07502-E4</t>
  </si>
  <si>
    <t>G-REQ-07503-E1</t>
  </si>
  <si>
    <t>G-REQ-07503-E2</t>
  </si>
  <si>
    <t>G-REQ-07503-E3</t>
  </si>
  <si>
    <t>G-REQ-07503-E4</t>
  </si>
  <si>
    <t>G-REQ-07504-E1</t>
  </si>
  <si>
    <t>G-REQ-07504-E2</t>
  </si>
  <si>
    <t>G-REQ-07504-E3</t>
  </si>
  <si>
    <t>G-REQ-07504-E4</t>
  </si>
  <si>
    <t>G-REQ-07505-E1</t>
  </si>
  <si>
    <t>G-REQ-07505-E2</t>
  </si>
  <si>
    <t>G-REQ-07505-E3</t>
  </si>
  <si>
    <t>G-REQ-07505-E4</t>
  </si>
  <si>
    <t>G-REQ-07506-E1</t>
  </si>
  <si>
    <t>G-REQ-07506-E2</t>
  </si>
  <si>
    <t>G-REQ-07506-E3</t>
  </si>
  <si>
    <t>G-REQ-07506-E4</t>
  </si>
  <si>
    <t>G-REQ-07507-E1</t>
  </si>
  <si>
    <t>G-REQ-07507-E2</t>
  </si>
  <si>
    <t>G-REQ-07507-E3</t>
  </si>
  <si>
    <t>G-REQ-07507-E4</t>
  </si>
  <si>
    <t>G-REQ-07508-E1</t>
  </si>
  <si>
    <t>G-REQ-07508-E2</t>
  </si>
  <si>
    <t>G-REQ-07508-E3</t>
  </si>
  <si>
    <t>G-REQ-07508-E4</t>
  </si>
  <si>
    <t>G-REQ-07509-E1</t>
  </si>
  <si>
    <t>G-REQ-07509-E2</t>
  </si>
  <si>
    <t>G-REQ-07509-E3</t>
  </si>
  <si>
    <t>G-REQ-07509-E4</t>
  </si>
  <si>
    <t>G-REQ-07510-E1</t>
  </si>
  <si>
    <t>G-REQ-07510-E2</t>
  </si>
  <si>
    <t>G-REQ-07510-E3</t>
  </si>
  <si>
    <t>G-REQ-07510-E4</t>
  </si>
  <si>
    <t>G-REQ-07511-E1</t>
  </si>
  <si>
    <t>G-REQ-07511-E2</t>
  </si>
  <si>
    <t>G-REQ-07511-E3</t>
  </si>
  <si>
    <t>G-REQ-07511-E4</t>
  </si>
  <si>
    <t>G-REQ-07512-E1</t>
  </si>
  <si>
    <t>G-REQ-07512-E2</t>
  </si>
  <si>
    <t>G-REQ-07512-E3</t>
  </si>
  <si>
    <t>G-REQ-07512-E4</t>
  </si>
  <si>
    <t>G-REQ-07513-E1</t>
  </si>
  <si>
    <t>G-REQ-07513-E2</t>
  </si>
  <si>
    <t>G-REQ-07514-E1</t>
  </si>
  <si>
    <t>G-REQ-07514-E2</t>
  </si>
  <si>
    <t>G-REQ-07514-E3</t>
  </si>
  <si>
    <t>G-REQ-07514-E4</t>
  </si>
  <si>
    <t>G-REQ-07515-E1</t>
  </si>
  <si>
    <t>G-REQ-07515-E2</t>
  </si>
  <si>
    <t>G-REQ-07515-E3</t>
  </si>
  <si>
    <t>G-REQ-07515-E4</t>
  </si>
  <si>
    <t>G-REQ-07516-E1</t>
  </si>
  <si>
    <t>G-REQ-07516-E2</t>
  </si>
  <si>
    <t>G-REQ-07516-E3</t>
  </si>
  <si>
    <t>G-REQ-07516-E4</t>
  </si>
  <si>
    <t>G-REQ-07517-E1</t>
  </si>
  <si>
    <t>G-REQ-07517-E2</t>
  </si>
  <si>
    <t>G-REQ-07517-E3</t>
  </si>
  <si>
    <t>G-REQ-07517-E4</t>
  </si>
  <si>
    <t>G-REQ-07518-E1</t>
  </si>
  <si>
    <t>G-REQ-07518-E2</t>
  </si>
  <si>
    <t>G-REQ-07518-E3</t>
  </si>
  <si>
    <t>G-REQ-07518-E4</t>
  </si>
  <si>
    <t>G-REQ-07519-E1</t>
  </si>
  <si>
    <t>G-REQ-07519-E2</t>
  </si>
  <si>
    <t>G-REQ-07519-E3</t>
  </si>
  <si>
    <t>G-REQ-07519-E4</t>
  </si>
  <si>
    <t>G-REQ-07520-E1</t>
  </si>
  <si>
    <t>G-REQ-07520-E2</t>
  </si>
  <si>
    <t>SYNTHETIC: Laptop repair; Rejected; asset G-AST-00382</t>
  </si>
  <si>
    <t>G-REQ-07521-E1</t>
  </si>
  <si>
    <t>G-REQ-07521-E2</t>
  </si>
  <si>
    <t>G-REQ-07521-E3</t>
  </si>
  <si>
    <t>G-REQ-07521-E4</t>
  </si>
  <si>
    <t>G-REQ-07522-E1</t>
  </si>
  <si>
    <t>G-REQ-07522-E2</t>
  </si>
  <si>
    <t>G-REQ-07522-E3</t>
  </si>
  <si>
    <t>G-REQ-07522-E4</t>
  </si>
  <si>
    <t>G-REQ-07523-E1</t>
  </si>
  <si>
    <t>G-REQ-07523-E2</t>
  </si>
  <si>
    <t>SYNTHETIC: Laptop repair; Cancelled; asset G-AST-00121</t>
  </si>
  <si>
    <t>G-REQ-07524-E1</t>
  </si>
  <si>
    <t>G-REQ-07524-E2</t>
  </si>
  <si>
    <t>G-REQ-07524-E3</t>
  </si>
  <si>
    <t>G-REQ-07524-E4</t>
  </si>
  <si>
    <t>G-REQ-07525-E1</t>
  </si>
  <si>
    <t>G-REQ-07525-E2</t>
  </si>
  <si>
    <t>G-REQ-07526-E1</t>
  </si>
  <si>
    <t>G-REQ-07526-E2</t>
  </si>
  <si>
    <t>G-REQ-07526-E3</t>
  </si>
  <si>
    <t>G-REQ-07526-E4</t>
  </si>
  <si>
    <t>G-REQ-07527-E1</t>
  </si>
  <si>
    <t>G-REQ-07527-E2</t>
  </si>
  <si>
    <t>G-REQ-07527-E3</t>
  </si>
  <si>
    <t>G-REQ-07527-E4</t>
  </si>
  <si>
    <t>G-REQ-07528-E1</t>
  </si>
  <si>
    <t>G-REQ-07528-E2</t>
  </si>
  <si>
    <t>G-REQ-07528-E3</t>
  </si>
  <si>
    <t>G-REQ-07528-E4</t>
  </si>
  <si>
    <t>G-REQ-07529-E1</t>
  </si>
  <si>
    <t>G-REQ-07529-E2</t>
  </si>
  <si>
    <t>SYNTHETIC: Laptop repair; Cancelled; asset G-AST-00217</t>
  </si>
  <si>
    <t>G-REQ-07530-E1</t>
  </si>
  <si>
    <t>G-REQ-07530-E2</t>
  </si>
  <si>
    <t>G-REQ-07530-E3</t>
  </si>
  <si>
    <t>G-REQ-07530-E4</t>
  </si>
  <si>
    <t>G-REQ-07531-E1</t>
  </si>
  <si>
    <t>G-REQ-07531-E2</t>
  </si>
  <si>
    <t>G-REQ-07531-E3</t>
  </si>
  <si>
    <t>G-REQ-07531-E4</t>
  </si>
  <si>
    <t>G-REQ-07532-E1</t>
  </si>
  <si>
    <t>G-REQ-07532-E2</t>
  </si>
  <si>
    <t>G-REQ-07532-E3</t>
  </si>
  <si>
    <t>G-REQ-07532-E4</t>
  </si>
  <si>
    <t>G-REQ-07533-E1</t>
  </si>
  <si>
    <t>G-REQ-07533-E2</t>
  </si>
  <si>
    <t>G-REQ-07533-E3</t>
  </si>
  <si>
    <t>G-REQ-07533-E4</t>
  </si>
  <si>
    <t>G-REQ-07534-E1</t>
  </si>
  <si>
    <t>G-REQ-07534-E2</t>
  </si>
  <si>
    <t>G-REQ-07534-E3</t>
  </si>
  <si>
    <t>G-REQ-07534-E4</t>
  </si>
  <si>
    <t>G-REQ-07535-E1</t>
  </si>
  <si>
    <t>G-REQ-07535-E2</t>
  </si>
  <si>
    <t>G-REQ-07535-E3</t>
  </si>
  <si>
    <t>G-REQ-07535-E4</t>
  </si>
  <si>
    <t>G-REQ-07536-E1</t>
  </si>
  <si>
    <t>G-REQ-07536-E2</t>
  </si>
  <si>
    <t>G-REQ-07537-E1</t>
  </si>
  <si>
    <t>G-REQ-07537-E2</t>
  </si>
  <si>
    <t>G-REQ-07537-E3</t>
  </si>
  <si>
    <t>G-REQ-07537-E4</t>
  </si>
  <si>
    <t>G-REQ-07538-E1</t>
  </si>
  <si>
    <t>G-REQ-07538-E2</t>
  </si>
  <si>
    <t>G-REQ-07538-E3</t>
  </si>
  <si>
    <t>G-REQ-07538-E4</t>
  </si>
  <si>
    <t>G-REQ-07539-E1</t>
  </si>
  <si>
    <t>G-REQ-07539-E2</t>
  </si>
  <si>
    <t>G-REQ-07539-E3</t>
  </si>
  <si>
    <t>G-REQ-07539-E4</t>
  </si>
  <si>
    <t>G-REQ-07540-E1</t>
  </si>
  <si>
    <t>G-REQ-07540-E2</t>
  </si>
  <si>
    <t>G-REQ-07540-E3</t>
  </si>
  <si>
    <t>G-REQ-07540-E4</t>
  </si>
  <si>
    <t>G-REQ-07541-E1</t>
  </si>
  <si>
    <t>G-REQ-07541-E2</t>
  </si>
  <si>
    <t>G-REQ-07541-E3</t>
  </si>
  <si>
    <t>G-REQ-07541-E4</t>
  </si>
  <si>
    <t>G-REQ-07542-E1</t>
  </si>
  <si>
    <t>G-REQ-07542-E2</t>
  </si>
  <si>
    <t>G-REQ-07542-E3</t>
  </si>
  <si>
    <t>G-REQ-07542-E4</t>
  </si>
  <si>
    <t>G-REQ-07543-E1</t>
  </si>
  <si>
    <t>G-REQ-07543-E2</t>
  </si>
  <si>
    <t>G-REQ-07543-E3</t>
  </si>
  <si>
    <t>G-REQ-07543-E4</t>
  </si>
  <si>
    <t>G-REQ-07544-E1</t>
  </si>
  <si>
    <t>G-REQ-07544-E2</t>
  </si>
  <si>
    <t>G-REQ-07544-E3</t>
  </si>
  <si>
    <t>G-REQ-07544-E4</t>
  </si>
  <si>
    <t>G-REQ-07545-E1</t>
  </si>
  <si>
    <t>G-REQ-07545-E2</t>
  </si>
  <si>
    <t>G-REQ-07545-E3</t>
  </si>
  <si>
    <t>G-REQ-07545-E4</t>
  </si>
  <si>
    <t>G-REQ-07546-E1</t>
  </si>
  <si>
    <t>G-REQ-07546-E2</t>
  </si>
  <si>
    <t>G-REQ-07546-E3</t>
  </si>
  <si>
    <t>G-REQ-07546-E4</t>
  </si>
  <si>
    <t>G-REQ-07547-E1</t>
  </si>
  <si>
    <t>G-REQ-07547-E2</t>
  </si>
  <si>
    <t>G-REQ-07547-E3</t>
  </si>
  <si>
    <t>G-REQ-07547-E4</t>
  </si>
  <si>
    <t>G-REQ-07548-E1</t>
  </si>
  <si>
    <t>G-REQ-07548-E2</t>
  </si>
  <si>
    <t>G-REQ-07548-E3</t>
  </si>
  <si>
    <t>G-REQ-07548-E4</t>
  </si>
  <si>
    <t>G-REQ-07549-E1</t>
  </si>
  <si>
    <t>G-REQ-07549-E2</t>
  </si>
  <si>
    <t>G-REQ-07549-E3</t>
  </si>
  <si>
    <t>G-REQ-07549-E4</t>
  </si>
  <si>
    <t>G-REQ-07550-E1</t>
  </si>
  <si>
    <t>G-REQ-07550-E2</t>
  </si>
  <si>
    <t>G-REQ-07550-E3</t>
  </si>
  <si>
    <t>G-REQ-07550-E4</t>
  </si>
  <si>
    <t>G-REQ-07551-E1</t>
  </si>
  <si>
    <t>G-REQ-07551-E2</t>
  </si>
  <si>
    <t>G-REQ-07551-E3</t>
  </si>
  <si>
    <t>G-REQ-07551-E4</t>
  </si>
  <si>
    <t>G-REQ-07552-E1</t>
  </si>
  <si>
    <t>G-REQ-07552-E2</t>
  </si>
  <si>
    <t>G-REQ-07552-E3</t>
  </si>
  <si>
    <t>G-REQ-07552-E4</t>
  </si>
  <si>
    <t>G-REQ-07553-E1</t>
  </si>
  <si>
    <t>G-REQ-07553-E2</t>
  </si>
  <si>
    <t>G-REQ-07553-E3</t>
  </si>
  <si>
    <t>G-REQ-07553-E4</t>
  </si>
  <si>
    <t>G-REQ-07554-E1</t>
  </si>
  <si>
    <t>G-REQ-07554-E2</t>
  </si>
  <si>
    <t>SYNTHETIC: Laptop return; Cancelled; asset G-AST-00229</t>
  </si>
  <si>
    <t>G-REQ-07555-E1</t>
  </si>
  <si>
    <t>G-REQ-07555-E2</t>
  </si>
  <si>
    <t>G-REQ-07555-E3</t>
  </si>
  <si>
    <t>G-REQ-07555-E4</t>
  </si>
  <si>
    <t>G-REQ-07556-E1</t>
  </si>
  <si>
    <t>G-REQ-07556-E2</t>
  </si>
  <si>
    <t>G-REQ-07556-E3</t>
  </si>
  <si>
    <t>G-REQ-07556-E4</t>
  </si>
  <si>
    <t>G-REQ-07557-E1</t>
  </si>
  <si>
    <t>G-REQ-07557-E2</t>
  </si>
  <si>
    <t>G-REQ-07557-E3</t>
  </si>
  <si>
    <t>G-REQ-07557-E4</t>
  </si>
  <si>
    <t>G-REQ-07558-E1</t>
  </si>
  <si>
    <t>G-REQ-07558-E2</t>
  </si>
  <si>
    <t>G-REQ-07558-E3</t>
  </si>
  <si>
    <t>G-REQ-07558-E4</t>
  </si>
  <si>
    <t>G-REQ-07559-E1</t>
  </si>
  <si>
    <t>G-REQ-07559-E2</t>
  </si>
  <si>
    <t>G-REQ-07560-E1</t>
  </si>
  <si>
    <t>G-REQ-07560-E2</t>
  </si>
  <si>
    <t>G-REQ-07561-E1</t>
  </si>
  <si>
    <t>G-REQ-07561-E2</t>
  </si>
  <si>
    <t>G-REQ-07561-E3</t>
  </si>
  <si>
    <t>G-REQ-07561-E4</t>
  </si>
  <si>
    <t>G-REQ-07562-E1</t>
  </si>
  <si>
    <t>G-REQ-07562-E2</t>
  </si>
  <si>
    <t>G-REQ-07562-E3</t>
  </si>
  <si>
    <t>G-REQ-07562-E4</t>
  </si>
  <si>
    <t>G-REQ-07563-E1</t>
  </si>
  <si>
    <t>G-REQ-07563-E2</t>
  </si>
  <si>
    <t>G-REQ-07563-E3</t>
  </si>
  <si>
    <t>G-REQ-07563-E4</t>
  </si>
  <si>
    <t>G-REQ-07564-E1</t>
  </si>
  <si>
    <t>G-REQ-07564-E2</t>
  </si>
  <si>
    <t>G-REQ-07564-E3</t>
  </si>
  <si>
    <t>G-REQ-07564-E4</t>
  </si>
  <si>
    <t>G-REQ-07565-E1</t>
  </si>
  <si>
    <t>G-REQ-07565-E2</t>
  </si>
  <si>
    <t>G-REQ-07565-E3</t>
  </si>
  <si>
    <t>G-REQ-07565-E4</t>
  </si>
  <si>
    <t>G-REQ-07566-E1</t>
  </si>
  <si>
    <t>G-REQ-07566-E2</t>
  </si>
  <si>
    <t>G-REQ-07566-E3</t>
  </si>
  <si>
    <t>G-REQ-07566-E4</t>
  </si>
  <si>
    <t>G-REQ-07567-E1</t>
  </si>
  <si>
    <t>G-REQ-07567-E2</t>
  </si>
  <si>
    <t>G-REQ-07568-E1</t>
  </si>
  <si>
    <t>G-REQ-07568-E2</t>
  </si>
  <si>
    <t>SYNTHETIC: Laptop repair; Rejected; asset G-AST-00405</t>
  </si>
  <si>
    <t>G-REQ-07569-E1</t>
  </si>
  <si>
    <t>G-REQ-07569-E2</t>
  </si>
  <si>
    <t>G-REQ-07570-E1</t>
  </si>
  <si>
    <t>G-REQ-07570-E2</t>
  </si>
  <si>
    <t>G-REQ-07570-E3</t>
  </si>
  <si>
    <t>G-REQ-07570-E4</t>
  </si>
  <si>
    <t>G-REQ-07571-E1</t>
  </si>
  <si>
    <t>G-REQ-07571-E2</t>
  </si>
  <si>
    <t>G-REQ-07571-E3</t>
  </si>
  <si>
    <t>G-REQ-07571-E4</t>
  </si>
  <si>
    <t>G-REQ-07572-E1</t>
  </si>
  <si>
    <t>G-REQ-07572-E2</t>
  </si>
  <si>
    <t>SYNTHETIC: Laptop repair; Rejected; asset G-AST-00164</t>
  </si>
  <si>
    <t>G-REQ-07573-E1</t>
  </si>
  <si>
    <t>G-REQ-07573-E2</t>
  </si>
  <si>
    <t>G-REQ-07573-E3</t>
  </si>
  <si>
    <t>G-REQ-07573-E4</t>
  </si>
  <si>
    <t>G-REQ-07574-E1</t>
  </si>
  <si>
    <t>G-REQ-07574-E2</t>
  </si>
  <si>
    <t>G-REQ-07574-E3</t>
  </si>
  <si>
    <t>G-REQ-07574-E4</t>
  </si>
  <si>
    <t>G-REQ-07575-E1</t>
  </si>
  <si>
    <t>G-REQ-07575-E2</t>
  </si>
  <si>
    <t>G-REQ-07575-E3</t>
  </si>
  <si>
    <t>G-REQ-07575-E4</t>
  </si>
  <si>
    <t>G-REQ-07576-E1</t>
  </si>
  <si>
    <t>G-REQ-07576-E2</t>
  </si>
  <si>
    <t>G-REQ-07576-E3</t>
  </si>
  <si>
    <t>G-REQ-07576-E4</t>
  </si>
  <si>
    <t>G-REQ-07577-E1</t>
  </si>
  <si>
    <t>G-REQ-07577-E2</t>
  </si>
  <si>
    <t>G-REQ-07577-E3</t>
  </si>
  <si>
    <t>G-REQ-07577-E4</t>
  </si>
  <si>
    <t>G-REQ-07578-E1</t>
  </si>
  <si>
    <t>G-REQ-07578-E2</t>
  </si>
  <si>
    <t>G-REQ-07578-E3</t>
  </si>
  <si>
    <t>G-REQ-07578-E4</t>
  </si>
  <si>
    <t>G-REQ-07579-E1</t>
  </si>
  <si>
    <t>G-REQ-07579-E2</t>
  </si>
  <si>
    <t>G-REQ-07579-E3</t>
  </si>
  <si>
    <t>G-REQ-07579-E4</t>
  </si>
  <si>
    <t>G-REQ-07580-E1</t>
  </si>
  <si>
    <t>G-REQ-07580-E2</t>
  </si>
  <si>
    <t>G-REQ-07580-E3</t>
  </si>
  <si>
    <t>G-REQ-07580-E4</t>
  </si>
  <si>
    <t>G-REQ-07581-E1</t>
  </si>
  <si>
    <t>G-REQ-07581-E2</t>
  </si>
  <si>
    <t>G-REQ-07581-E3</t>
  </si>
  <si>
    <t>G-REQ-07581-E4</t>
  </si>
  <si>
    <t>G-REQ-07582-E1</t>
  </si>
  <si>
    <t>G-REQ-07582-E2</t>
  </si>
  <si>
    <t>G-REQ-07583-E1</t>
  </si>
  <si>
    <t>G-REQ-07583-E2</t>
  </si>
  <si>
    <t>G-REQ-07583-E3</t>
  </si>
  <si>
    <t>G-REQ-07583-E4</t>
  </si>
  <si>
    <t>G-REQ-07584-E1</t>
  </si>
  <si>
    <t>G-REQ-07584-E2</t>
  </si>
  <si>
    <t>G-REQ-07584-E3</t>
  </si>
  <si>
    <t>G-REQ-07584-E4</t>
  </si>
  <si>
    <t>G-REQ-07585-E1</t>
  </si>
  <si>
    <t>G-REQ-07585-E2</t>
  </si>
  <si>
    <t>G-REQ-07585-E3</t>
  </si>
  <si>
    <t>G-REQ-07585-E4</t>
  </si>
  <si>
    <t>G-REQ-07586-E1</t>
  </si>
  <si>
    <t>G-REQ-07586-E2</t>
  </si>
  <si>
    <t>G-REQ-07586-E3</t>
  </si>
  <si>
    <t>G-REQ-07586-E4</t>
  </si>
  <si>
    <t>G-REQ-07587-E1</t>
  </si>
  <si>
    <t>G-REQ-07587-E2</t>
  </si>
  <si>
    <t>G-REQ-07587-E3</t>
  </si>
  <si>
    <t>G-REQ-07587-E4</t>
  </si>
  <si>
    <t>G-REQ-07588-E1</t>
  </si>
  <si>
    <t>G-REQ-07588-E2</t>
  </si>
  <si>
    <t>G-REQ-07588-E3</t>
  </si>
  <si>
    <t>G-REQ-07588-E4</t>
  </si>
  <si>
    <t>G-REQ-07589-E1</t>
  </si>
  <si>
    <t>G-REQ-07589-E2</t>
  </si>
  <si>
    <t>G-REQ-07590-E1</t>
  </si>
  <si>
    <t>G-REQ-07590-E2</t>
  </si>
  <si>
    <t>G-REQ-07590-E3</t>
  </si>
  <si>
    <t>G-REQ-07590-E4</t>
  </si>
  <si>
    <t>G-REQ-07591-E1</t>
  </si>
  <si>
    <t>G-REQ-07591-E2</t>
  </si>
  <si>
    <t>G-REQ-07591-E3</t>
  </si>
  <si>
    <t>G-REQ-07591-E4</t>
  </si>
  <si>
    <t>G-REQ-07592-E1</t>
  </si>
  <si>
    <t>G-REQ-07592-E2</t>
  </si>
  <si>
    <t>G-REQ-07592-E3</t>
  </si>
  <si>
    <t>G-REQ-07592-E4</t>
  </si>
  <si>
    <t>G-REQ-07593-E1</t>
  </si>
  <si>
    <t>G-REQ-07593-E2</t>
  </si>
  <si>
    <t>G-REQ-07593-E3</t>
  </si>
  <si>
    <t>G-REQ-07593-E4</t>
  </si>
  <si>
    <t>G-REQ-07594-E1</t>
  </si>
  <si>
    <t>G-REQ-07594-E2</t>
  </si>
  <si>
    <t>G-REQ-07594-E3</t>
  </si>
  <si>
    <t>G-REQ-07594-E4</t>
  </si>
  <si>
    <t>G-REQ-07595-E1</t>
  </si>
  <si>
    <t>G-REQ-07595-E2</t>
  </si>
  <si>
    <t>G-REQ-07596-E1</t>
  </si>
  <si>
    <t>G-REQ-07596-E2</t>
  </si>
  <si>
    <t>G-REQ-07596-E3</t>
  </si>
  <si>
    <t>G-REQ-07596-E4</t>
  </si>
  <si>
    <t>G-REQ-07597-E1</t>
  </si>
  <si>
    <t>G-REQ-07597-E2</t>
  </si>
  <si>
    <t>G-REQ-07597-E3</t>
  </si>
  <si>
    <t>G-REQ-07597-E4</t>
  </si>
  <si>
    <t>G-REQ-07598-E1</t>
  </si>
  <si>
    <t>G-REQ-07598-E2</t>
  </si>
  <si>
    <t>G-REQ-07598-E3</t>
  </si>
  <si>
    <t>G-REQ-07598-E4</t>
  </si>
  <si>
    <t>G-REQ-07599-E1</t>
  </si>
  <si>
    <t>G-REQ-07599-E2</t>
  </si>
  <si>
    <t>G-REQ-07599-E3</t>
  </si>
  <si>
    <t>G-REQ-07599-E4</t>
  </si>
  <si>
    <t>G-REQ-07600-E1</t>
  </si>
  <si>
    <t>G-REQ-07600-E2</t>
  </si>
  <si>
    <t>G-REQ-07600-E3</t>
  </si>
  <si>
    <t>G-REQ-07600-E4</t>
  </si>
  <si>
    <t>G-REQ-07601-E1</t>
  </si>
  <si>
    <t>G-REQ-07601-E2</t>
  </si>
  <si>
    <t>SYNTHETIC: Laptop repair; Cancelled; asset G-AST-00396</t>
  </si>
  <si>
    <t>G-REQ-07602-E1</t>
  </si>
  <si>
    <t>G-REQ-07603-E1</t>
  </si>
  <si>
    <t>G-REQ-07603-E2</t>
  </si>
  <si>
    <t>G-REQ-07603-E3</t>
  </si>
  <si>
    <t>G-REQ-07604-E1</t>
  </si>
  <si>
    <t>G-REQ-07605-E1</t>
  </si>
  <si>
    <t>G-REQ-07605-E2</t>
  </si>
  <si>
    <t>G-REQ-07605-E3</t>
  </si>
  <si>
    <t>G-REQ-07606-E1</t>
  </si>
  <si>
    <t>G-REQ-07607-E1</t>
  </si>
  <si>
    <t>G-REQ-07607-E2</t>
  </si>
  <si>
    <t>G-REQ-07607-E3</t>
  </si>
  <si>
    <t>G-REQ-07608-E1</t>
  </si>
  <si>
    <t>G-REQ-07609-E1</t>
  </si>
  <si>
    <t>G-REQ-07609-E2</t>
  </si>
  <si>
    <t>G-REQ-07609-E3</t>
  </si>
  <si>
    <t>G-REQ-07610-E1</t>
  </si>
  <si>
    <t>G-REQ-07611-E1</t>
  </si>
  <si>
    <t>G-REQ-07611-E2</t>
  </si>
  <si>
    <t>SYNTHETIC: Laptop allocation; Approved</t>
  </si>
  <si>
    <t>G-REQ-07611-E3</t>
  </si>
  <si>
    <t>SYNTHETIC: Laptop allocation; In progress</t>
  </si>
  <si>
    <t>G-REQ-07612-E1</t>
  </si>
  <si>
    <t>G-REQ-07613-E1</t>
  </si>
  <si>
    <t>G-REQ-07613-E2</t>
  </si>
  <si>
    <t>G-REQ-07613-E3</t>
  </si>
  <si>
    <t>G-REQ-07614-E1</t>
  </si>
  <si>
    <t>G-REQ-07615-E1</t>
  </si>
  <si>
    <t>G-REQ-07615-E2</t>
  </si>
  <si>
    <t>G-REQ-07615-E3</t>
  </si>
  <si>
    <t>G-REQ-07616-E1</t>
  </si>
  <si>
    <t>G-REQ-07617-E1</t>
  </si>
  <si>
    <t>G-REQ-07617-E2</t>
  </si>
  <si>
    <t>G-REQ-07617-E3</t>
  </si>
  <si>
    <t>G-REQ-07618-E1</t>
  </si>
  <si>
    <t>G-REQ-07619-E1</t>
  </si>
  <si>
    <t>G-REQ-07619-E2</t>
  </si>
  <si>
    <t>G-REQ-07619-E3</t>
  </si>
  <si>
    <t>G-REQ-07620-E1</t>
  </si>
  <si>
    <t>G-REQ-07621-E1</t>
  </si>
  <si>
    <t>G-REQ-07621-E2</t>
  </si>
  <si>
    <t>G-REQ-07621-E3</t>
  </si>
  <si>
    <t>G-REQ-07622-E1</t>
  </si>
  <si>
    <t>G-REQ-07623-E1</t>
  </si>
  <si>
    <t>G-REQ-07623-E2</t>
  </si>
  <si>
    <t>G-REQ-07623-E3</t>
  </si>
  <si>
    <t>G-REQ-07624-E1</t>
  </si>
  <si>
    <t>G-REQ-07625-E1</t>
  </si>
  <si>
    <t>G-REQ-07625-E2</t>
  </si>
  <si>
    <t>G-REQ-07625-E3</t>
  </si>
  <si>
    <t>G-REQ-07626-E1</t>
  </si>
  <si>
    <t>G-REQ-07627-E1</t>
  </si>
  <si>
    <t>G-REQ-07627-E2</t>
  </si>
  <si>
    <t>G-REQ-07627-E3</t>
  </si>
  <si>
    <t>G-REQ-07628-E1</t>
  </si>
  <si>
    <t>G-REQ-07629-E1</t>
  </si>
  <si>
    <t>G-REQ-07629-E2</t>
  </si>
  <si>
    <t>G-REQ-07629-E3</t>
  </si>
  <si>
    <t>G-REQ-07630-E1</t>
  </si>
  <si>
    <t>G-REQ-07631-E1</t>
  </si>
  <si>
    <t>G-REQ-07631-E2</t>
  </si>
  <si>
    <t>G-REQ-07631-E3</t>
  </si>
  <si>
    <t>G-REQ-07632-E1</t>
  </si>
  <si>
    <t>G-REQ-07633-E1</t>
  </si>
  <si>
    <t>G-REQ-07633-E2</t>
  </si>
  <si>
    <t>G-REQ-07633-E3</t>
  </si>
  <si>
    <t>G-REQ-07634-E1</t>
  </si>
  <si>
    <t>G-REQ-07635-E1</t>
  </si>
  <si>
    <t>G-REQ-07635-E2</t>
  </si>
  <si>
    <t>G-REQ-07635-E3</t>
  </si>
  <si>
    <t>G-REQ-07636-E1</t>
  </si>
  <si>
    <t>G-REQ-07637-E1</t>
  </si>
  <si>
    <t>G-REQ-07637-E2</t>
  </si>
  <si>
    <t>G-REQ-07637-E3</t>
  </si>
  <si>
    <t>G-REQ-07638-E1</t>
  </si>
  <si>
    <t>G-REQ-07639-E1</t>
  </si>
  <si>
    <t>G-REQ-07639-E2</t>
  </si>
  <si>
    <t>G-REQ-07639-E3</t>
  </si>
  <si>
    <t>G-REQ-07640-E1</t>
  </si>
  <si>
    <t>G-REQ-07641-E1</t>
  </si>
  <si>
    <t>G-REQ-07641-E2</t>
  </si>
  <si>
    <t>G-REQ-07641-E3</t>
  </si>
  <si>
    <t>G-REQ-07642-E1</t>
  </si>
  <si>
    <t>G-REQ-07643-E1</t>
  </si>
  <si>
    <t>G-REQ-07643-E2</t>
  </si>
  <si>
    <t>G-REQ-07643-E3</t>
  </si>
  <si>
    <t>G-REQ-07644-E1</t>
  </si>
  <si>
    <t>G-REQ-07645-E1</t>
  </si>
  <si>
    <t>G-REQ-07645-E2</t>
  </si>
  <si>
    <t>G-REQ-07645-E3</t>
  </si>
  <si>
    <t>G-REQ-07646-E1</t>
  </si>
  <si>
    <t>G-REQ-07647-E1</t>
  </si>
  <si>
    <t>G-REQ-07647-E2</t>
  </si>
  <si>
    <t>G-REQ-07647-E3</t>
  </si>
  <si>
    <t>G-REQ-07648-E1</t>
  </si>
  <si>
    <t>G-REQ-07649-E1</t>
  </si>
  <si>
    <t>G-REQ-07649-E2</t>
  </si>
  <si>
    <t>G-REQ-07649-E3</t>
  </si>
  <si>
    <t>G-REQ-07650-E1</t>
  </si>
  <si>
    <t>G-REQ-07651-E1</t>
  </si>
  <si>
    <t>G-REQ-07651-E2</t>
  </si>
  <si>
    <t>G-REQ-07651-E3</t>
  </si>
  <si>
    <t>G-REQ-07652-E1</t>
  </si>
  <si>
    <t>G-REQ-07653-E1</t>
  </si>
  <si>
    <t>G-REQ-07653-E2</t>
  </si>
  <si>
    <t>G-REQ-07653-E3</t>
  </si>
  <si>
    <t>G-REQ-07654-E1</t>
  </si>
  <si>
    <t>G-REQ-07655-E1</t>
  </si>
  <si>
    <t>G-REQ-07655-E2</t>
  </si>
  <si>
    <t>G-REQ-07655-E3</t>
  </si>
  <si>
    <t>G-REQ-07656-E1</t>
  </si>
  <si>
    <t>G-REQ-07657-E1</t>
  </si>
  <si>
    <t>G-REQ-07657-E2</t>
  </si>
  <si>
    <t>G-REQ-07657-E3</t>
  </si>
  <si>
    <t>G-REQ-07658-E1</t>
  </si>
  <si>
    <t>G-REQ-07659-E1</t>
  </si>
  <si>
    <t>G-REQ-07659-E2</t>
  </si>
  <si>
    <t>G-REQ-07659-E3</t>
  </si>
  <si>
    <t>G-REQ-07660-E1</t>
  </si>
  <si>
    <t>G-REQ-07661-E1</t>
  </si>
  <si>
    <t>G-REQ-07661-E2</t>
  </si>
  <si>
    <t>G-REQ-07661-E3</t>
  </si>
  <si>
    <t>G-REQ-07662-E1</t>
  </si>
  <si>
    <t>G-REQ-07663-E1</t>
  </si>
  <si>
    <t>G-REQ-07663-E2</t>
  </si>
  <si>
    <t>G-REQ-07663-E3</t>
  </si>
  <si>
    <t>G-REQ-07664-E1</t>
  </si>
  <si>
    <t>G-REQ-07665-E1</t>
  </si>
  <si>
    <t>G-REQ-07665-E2</t>
  </si>
  <si>
    <t>G-REQ-07665-E3</t>
  </si>
  <si>
    <t>G-REQ-07666-E1</t>
  </si>
  <si>
    <t>G-REQ-07667-E1</t>
  </si>
  <si>
    <t>G-REQ-07667-E2</t>
  </si>
  <si>
    <t>G-REQ-07667-E3</t>
  </si>
  <si>
    <t>G-REQ-07668-E1</t>
  </si>
  <si>
    <t>G-REQ-07669-E1</t>
  </si>
  <si>
    <t>G-REQ-07669-E2</t>
  </si>
  <si>
    <t>G-REQ-07669-E3</t>
  </si>
  <si>
    <t>G-REQ-07670-E1</t>
  </si>
  <si>
    <t>G-REQ-07671-E1</t>
  </si>
  <si>
    <t>G-REQ-07671-E2</t>
  </si>
  <si>
    <t>G-REQ-07671-E3</t>
  </si>
  <si>
    <t>G-REQ-07672-E1</t>
  </si>
  <si>
    <t>G-REQ-07673-E1</t>
  </si>
  <si>
    <t>G-REQ-07673-E2</t>
  </si>
  <si>
    <t>G-REQ-07673-E3</t>
  </si>
  <si>
    <t>G-REQ-07674-E1</t>
  </si>
  <si>
    <t>G-REQ-07675-E1</t>
  </si>
  <si>
    <t>G-REQ-07675-E2</t>
  </si>
  <si>
    <t>G-REQ-07675-E3</t>
  </si>
  <si>
    <t>G-REQ-07676-E1</t>
  </si>
  <si>
    <t>G-REQ-07677-E1</t>
  </si>
  <si>
    <t>G-REQ-07677-E2</t>
  </si>
  <si>
    <t>G-REQ-07677-E3</t>
  </si>
  <si>
    <t>G-REQ-07678-E1</t>
  </si>
  <si>
    <t>G-REQ-07679-E1</t>
  </si>
  <si>
    <t>G-REQ-07679-E2</t>
  </si>
  <si>
    <t>G-REQ-07679-E3</t>
  </si>
  <si>
    <t>G-REQ-07680-E1</t>
  </si>
  <si>
    <t>G-REQ-07681-E1</t>
  </si>
  <si>
    <t>G-REQ-07681-E2</t>
  </si>
  <si>
    <t>G-REQ-07681-E3</t>
  </si>
  <si>
    <t>G-REQ-07682-E1</t>
  </si>
  <si>
    <t>G-REQ-07683-E1</t>
  </si>
  <si>
    <t>G-REQ-07683-E2</t>
  </si>
  <si>
    <t>G-REQ-07683-E3</t>
  </si>
  <si>
    <t>G-REQ-07684-E1</t>
  </si>
  <si>
    <t>G-REQ-07685-E1</t>
  </si>
  <si>
    <t>G-REQ-07685-E2</t>
  </si>
  <si>
    <t>G-REQ-07685-E3</t>
  </si>
  <si>
    <t>G-REQ-07686-E1</t>
  </si>
  <si>
    <t>G-REQ-07687-E1</t>
  </si>
  <si>
    <t>G-REQ-07687-E2</t>
  </si>
  <si>
    <t>G-REQ-07687-E3</t>
  </si>
  <si>
    <t>G-REQ-07688-E1</t>
  </si>
  <si>
    <t>G-REQ-07689-E1</t>
  </si>
  <si>
    <t>SYNTHETIC: Laptop repair; Pending approval; asset G-AST-00536</t>
  </si>
  <si>
    <t>G-REQ-07689-E2</t>
  </si>
  <si>
    <t>SYNTHETIC: Laptop repair; Approved; asset G-AST-00536</t>
  </si>
  <si>
    <t>G-REQ-07689-E3</t>
  </si>
  <si>
    <t>SYNTHETIC: Laptop repair; In progress; asset G-AST-00536</t>
  </si>
  <si>
    <t>G-REQ-07690-E1</t>
  </si>
  <si>
    <t>G-REQ-07691-E1</t>
  </si>
  <si>
    <t>G-REQ-07691-E2</t>
  </si>
  <si>
    <t>G-REQ-07691-E3</t>
  </si>
  <si>
    <t>G-REQ-07692-E1</t>
  </si>
  <si>
    <t>G-REQ-07693-E1</t>
  </si>
  <si>
    <t>G-REQ-07693-E2</t>
  </si>
  <si>
    <t>G-REQ-07693-E3</t>
  </si>
  <si>
    <t>G-REQ-07694-E1</t>
  </si>
  <si>
    <t>G-REQ-07695-E1</t>
  </si>
  <si>
    <t>G-REQ-07695-E2</t>
  </si>
  <si>
    <t>G-REQ-07695-E3</t>
  </si>
  <si>
    <t>G-REQ-07696-E1</t>
  </si>
  <si>
    <t>G-REQ-07697-E1</t>
  </si>
  <si>
    <t>G-REQ-07697-E2</t>
  </si>
  <si>
    <t>G-REQ-07697-E3</t>
  </si>
  <si>
    <t>G-REQ-07698-E1</t>
  </si>
  <si>
    <t>G-REQ-07699-E1</t>
  </si>
  <si>
    <t>G-REQ-07699-E2</t>
  </si>
  <si>
    <t>G-REQ-07699-E3</t>
  </si>
  <si>
    <t>G-REQ-07700-E1</t>
  </si>
  <si>
    <t>G-REQ-07701-E1</t>
  </si>
  <si>
    <t>G-REQ-07701-E2</t>
  </si>
  <si>
    <t>G-REQ-07701-E3</t>
  </si>
  <si>
    <t>G-REQ-07702-E1</t>
  </si>
  <si>
    <t>G-REQ-07703-E1</t>
  </si>
  <si>
    <t>G-REQ-07703-E2</t>
  </si>
  <si>
    <t>G-REQ-07703-E3</t>
  </si>
  <si>
    <t>G-REQ-07704-E1</t>
  </si>
  <si>
    <t>G-REQ-07705-E1</t>
  </si>
  <si>
    <t>G-REQ-07705-E2</t>
  </si>
  <si>
    <t>G-REQ-07705-E3</t>
  </si>
  <si>
    <t>G-REQ-07706-E1</t>
  </si>
  <si>
    <t>G-REQ-07707-E1</t>
  </si>
  <si>
    <t>G-REQ-07707-E2</t>
  </si>
  <si>
    <t>G-REQ-07707-E3</t>
  </si>
  <si>
    <t>G-REQ-07708-E1</t>
  </si>
  <si>
    <t>G-REQ-07709-E1</t>
  </si>
  <si>
    <t>G-REQ-07709-E2</t>
  </si>
  <si>
    <t>G-REQ-07709-E3</t>
  </si>
  <si>
    <t>G-REQ-07710-E1</t>
  </si>
  <si>
    <t>G-REQ-07711-E1</t>
  </si>
  <si>
    <t>G-REQ-07711-E2</t>
  </si>
  <si>
    <t>G-REQ-07711-E3</t>
  </si>
  <si>
    <t>G-REQ-07712-E1</t>
  </si>
  <si>
    <t>G-REQ-07713-E1</t>
  </si>
  <si>
    <t>G-REQ-07713-E2</t>
  </si>
  <si>
    <t>G-REQ-07713-E3</t>
  </si>
  <si>
    <t>G-REQ-07714-E1</t>
  </si>
  <si>
    <t>G-REQ-07715-E1</t>
  </si>
  <si>
    <t>G-REQ-07715-E2</t>
  </si>
  <si>
    <t>G-REQ-07715-E3</t>
  </si>
  <si>
    <t>G-REQ-07716-E1</t>
  </si>
  <si>
    <t>G-REQ-07717-E1</t>
  </si>
  <si>
    <t>G-REQ-07717-E2</t>
  </si>
  <si>
    <t>G-REQ-07717-E3</t>
  </si>
  <si>
    <t>G-REQ-07718-E1</t>
  </si>
  <si>
    <t>G-REQ-07719-E1</t>
  </si>
  <si>
    <t>G-REQ-07719-E2</t>
  </si>
  <si>
    <t>G-REQ-07719-E3</t>
  </si>
  <si>
    <t>G-REQ-07720-E1</t>
  </si>
  <si>
    <t>G-REQ-07721-E1</t>
  </si>
  <si>
    <t>G-REQ-07721-E2</t>
  </si>
  <si>
    <t>G-REQ-07721-E3</t>
  </si>
  <si>
    <t>G-REQ-07722-E1</t>
  </si>
  <si>
    <t>G-REQ-07723-E1</t>
  </si>
  <si>
    <t>G-REQ-07723-E2</t>
  </si>
  <si>
    <t>G-REQ-07723-E3</t>
  </si>
  <si>
    <t>G-REQ-07724-E1</t>
  </si>
  <si>
    <t>G-REQ-07725-E1</t>
  </si>
  <si>
    <t>G-REQ-07725-E2</t>
  </si>
  <si>
    <t>G-REQ-07725-E3</t>
  </si>
  <si>
    <t>G-REQ-07726-E1</t>
  </si>
  <si>
    <t>G-REQ-07727-E1</t>
  </si>
  <si>
    <t>G-REQ-07727-E2</t>
  </si>
  <si>
    <t>G-REQ-07727-E3</t>
  </si>
  <si>
    <t>G-REQ-07728-E1</t>
  </si>
  <si>
    <t>G-REQ-07729-E1</t>
  </si>
  <si>
    <t>G-REQ-07729-E2</t>
  </si>
  <si>
    <t>G-REQ-07729-E3</t>
  </si>
  <si>
    <t>G-REQ-07730-E1</t>
  </si>
  <si>
    <t>G-REQ-07731-E1</t>
  </si>
  <si>
    <t>G-REQ-07731-E2</t>
  </si>
  <si>
    <t>G-REQ-07731-E3</t>
  </si>
  <si>
    <t>G-REQ-07732-E1</t>
  </si>
  <si>
    <t>G-REQ-07733-E1</t>
  </si>
  <si>
    <t>G-REQ-07733-E2</t>
  </si>
  <si>
    <t>G-REQ-07733-E3</t>
  </si>
  <si>
    <t>G-REQ-07734-E1</t>
  </si>
  <si>
    <t>G-REQ-07735-E1</t>
  </si>
  <si>
    <t>G-REQ-07735-E2</t>
  </si>
  <si>
    <t>G-REQ-07735-E3</t>
  </si>
  <si>
    <t>G-REQ-07736-E1</t>
  </si>
  <si>
    <t>G-REQ-07737-E1</t>
  </si>
  <si>
    <t>G-REQ-07737-E2</t>
  </si>
  <si>
    <t>G-REQ-07737-E3</t>
  </si>
  <si>
    <t>G-REQ-07738-E1</t>
  </si>
  <si>
    <t>G-REQ-07739-E1</t>
  </si>
  <si>
    <t>G-REQ-07739-E2</t>
  </si>
  <si>
    <t>G-REQ-07739-E3</t>
  </si>
  <si>
    <t>G-REQ-07740-E1</t>
  </si>
  <si>
    <t>G-REQ-07741-E1</t>
  </si>
  <si>
    <t>G-REQ-07741-E2</t>
  </si>
  <si>
    <t>G-REQ-07741-E3</t>
  </si>
  <si>
    <t>G-REQ-07742-E1</t>
  </si>
  <si>
    <t>G-REQ-07743-E1</t>
  </si>
  <si>
    <t>G-REQ-07743-E2</t>
  </si>
  <si>
    <t>G-REQ-07743-E3</t>
  </si>
  <si>
    <t>G-REQ-07744-E1</t>
  </si>
  <si>
    <t>G-REQ-07745-E1</t>
  </si>
  <si>
    <t>G-REQ-07745-E2</t>
  </si>
  <si>
    <t>G-REQ-07745-E3</t>
  </si>
  <si>
    <t>G-REQ-07746-E1</t>
  </si>
  <si>
    <t>G-REQ-07747-E1</t>
  </si>
  <si>
    <t>G-REQ-07747-E2</t>
  </si>
  <si>
    <t>G-REQ-07747-E3</t>
  </si>
  <si>
    <t>G-REQ-07748-E1</t>
  </si>
  <si>
    <t>G-REQ-07749-E1</t>
  </si>
  <si>
    <t>G-REQ-07749-E2</t>
  </si>
  <si>
    <t>G-REQ-07749-E3</t>
  </si>
  <si>
    <t>G-REQ-07750-E1</t>
  </si>
  <si>
    <t>G-REQ-07751-E1</t>
  </si>
  <si>
    <t>G-REQ-07751-E2</t>
  </si>
  <si>
    <t>G-REQ-07751-E3</t>
  </si>
  <si>
    <t>G-REQ-07752-E1</t>
  </si>
  <si>
    <t>G-REQ-07753-E1</t>
  </si>
  <si>
    <t>G-REQ-07753-E2</t>
  </si>
  <si>
    <t>G-REQ-07753-E3</t>
  </si>
  <si>
    <t>G-REQ-07754-E1</t>
  </si>
  <si>
    <t>G-REQ-07755-E1</t>
  </si>
  <si>
    <t>G-REQ-07755-E2</t>
  </si>
  <si>
    <t>G-REQ-07755-E3</t>
  </si>
  <si>
    <t>G-REQ-07756-E1</t>
  </si>
  <si>
    <t>G-REQ-07757-E1</t>
  </si>
  <si>
    <t>G-REQ-07757-E2</t>
  </si>
  <si>
    <t>G-REQ-07757-E3</t>
  </si>
  <si>
    <t>G-REQ-07758-E1</t>
  </si>
  <si>
    <t>G-REQ-07759-E1</t>
  </si>
  <si>
    <t>G-REQ-07759-E2</t>
  </si>
  <si>
    <t>G-REQ-07759-E3</t>
  </si>
  <si>
    <t>G-REQ-07760-E1</t>
  </si>
  <si>
    <t>G-REQ-07761-E1</t>
  </si>
  <si>
    <t>G-REQ-07761-E2</t>
  </si>
  <si>
    <t>SYNTHETIC: Laptop repair; Approved; asset G-AST-00229</t>
  </si>
  <si>
    <t>G-REQ-07761-E3</t>
  </si>
  <si>
    <t>SYNTHETIC: Laptop repair; In progress; asset G-AST-00229</t>
  </si>
  <si>
    <t>G-REQ-07762-E1</t>
  </si>
  <si>
    <t>G-REQ-07763-E1</t>
  </si>
  <si>
    <t>G-REQ-07763-E2</t>
  </si>
  <si>
    <t>G-REQ-07763-E3</t>
  </si>
  <si>
    <t>G-REQ-07764-E1</t>
  </si>
  <si>
    <t>G-REQ-07765-E1</t>
  </si>
  <si>
    <t>G-REQ-07765-E2</t>
  </si>
  <si>
    <t>G-REQ-07765-E3</t>
  </si>
  <si>
    <t>G-REQ-07766-E1</t>
  </si>
  <si>
    <t>G-REQ-07767-E1</t>
  </si>
  <si>
    <t>G-REQ-07767-E2</t>
  </si>
  <si>
    <t>G-REQ-07767-E3</t>
  </si>
  <si>
    <t>G-REQ-07768-E1</t>
  </si>
  <si>
    <t>G-REQ-07769-E1</t>
  </si>
  <si>
    <t>G-REQ-07769-E2</t>
  </si>
  <si>
    <t>G-REQ-07769-E3</t>
  </si>
  <si>
    <t>G-REQ-07770-E1</t>
  </si>
  <si>
    <t>G-REQ-07771-E1</t>
  </si>
  <si>
    <t>G-REQ-07771-E2</t>
  </si>
  <si>
    <t>G-REQ-07771-E3</t>
  </si>
  <si>
    <t>G-REQ-07772-E1</t>
  </si>
  <si>
    <t>G-REQ-07773-E1</t>
  </si>
  <si>
    <t>G-REQ-07773-E2</t>
  </si>
  <si>
    <t>G-REQ-07773-E3</t>
  </si>
  <si>
    <t>G-REQ-07774-E1</t>
  </si>
  <si>
    <t>G-REQ-07775-E1</t>
  </si>
  <si>
    <t>G-REQ-07775-E2</t>
  </si>
  <si>
    <t>G-REQ-07775-E3</t>
  </si>
  <si>
    <t>G-REQ-07776-E1</t>
  </si>
  <si>
    <t>G-REQ-07777-E1</t>
  </si>
  <si>
    <t>G-REQ-07777-E2</t>
  </si>
  <si>
    <t>G-REQ-07777-E3</t>
  </si>
  <si>
    <t>G-REQ-07778-E1</t>
  </si>
  <si>
    <t>G-REQ-07779-E1</t>
  </si>
  <si>
    <t>G-REQ-07779-E2</t>
  </si>
  <si>
    <t>G-REQ-07779-E3</t>
  </si>
  <si>
    <t>G-REQ-07780-E1</t>
  </si>
  <si>
    <t>G-REQ-07781-E1</t>
  </si>
  <si>
    <t>G-REQ-07781-E2</t>
  </si>
  <si>
    <t>G-REQ-07781-E3</t>
  </si>
  <si>
    <t>G-REQ-07782-E1</t>
  </si>
  <si>
    <t>G-REQ-07783-E1</t>
  </si>
  <si>
    <t>G-REQ-07783-E2</t>
  </si>
  <si>
    <t>G-REQ-07783-E3</t>
  </si>
  <si>
    <t>G-REQ-07784-E1</t>
  </si>
  <si>
    <t>G-REQ-07785-E1</t>
  </si>
  <si>
    <t>G-REQ-07785-E2</t>
  </si>
  <si>
    <t>G-REQ-07785-E3</t>
  </si>
  <si>
    <t>G-REQ-07786-E1</t>
  </si>
  <si>
    <t>G-REQ-07787-E1</t>
  </si>
  <si>
    <t>G-REQ-07787-E2</t>
  </si>
  <si>
    <t>G-REQ-07787-E3</t>
  </si>
  <si>
    <t>G-REQ-07788-E1</t>
  </si>
  <si>
    <t>G-REQ-07789-E1</t>
  </si>
  <si>
    <t>G-REQ-07789-E2</t>
  </si>
  <si>
    <t>G-REQ-07789-E3</t>
  </si>
  <si>
    <t>G-REQ-07790-E1</t>
  </si>
  <si>
    <t>G-REQ-07791-E1</t>
  </si>
  <si>
    <t>G-REQ-07791-E2</t>
  </si>
  <si>
    <t>G-REQ-07791-E3</t>
  </si>
  <si>
    <t>G-REQ-07792-E1</t>
  </si>
  <si>
    <t>G-REQ-07793-E1</t>
  </si>
  <si>
    <t>G-REQ-07793-E2</t>
  </si>
  <si>
    <t>G-REQ-07793-E3</t>
  </si>
  <si>
    <t>G-REQ-07794-E1</t>
  </si>
  <si>
    <t>G-REQ-07795-E1</t>
  </si>
  <si>
    <t>G-REQ-07795-E2</t>
  </si>
  <si>
    <t>G-REQ-07795-E3</t>
  </si>
  <si>
    <t>G-REQ-07796-E1</t>
  </si>
  <si>
    <t>G-REQ-07797-E1</t>
  </si>
  <si>
    <t>G-REQ-07797-E2</t>
  </si>
  <si>
    <t>G-REQ-07797-E3</t>
  </si>
  <si>
    <t>G-REQ-07798-E1</t>
  </si>
  <si>
    <t>G-REQ-07799-E1</t>
  </si>
  <si>
    <t>G-REQ-07799-E2</t>
  </si>
  <si>
    <t>G-REQ-07799-E3</t>
  </si>
  <si>
    <t>G-REQ-07800-E1</t>
  </si>
  <si>
    <t>G-REQ-07801-E1</t>
  </si>
  <si>
    <t>G-REQ-07801-E2</t>
  </si>
  <si>
    <t>G-REQ-07801-E3</t>
  </si>
  <si>
    <t>G-REQ-07802-E1</t>
  </si>
  <si>
    <t>G-REQ-07803-E1</t>
  </si>
  <si>
    <t>G-REQ-07803-E2</t>
  </si>
  <si>
    <t>G-REQ-07803-E3</t>
  </si>
  <si>
    <t>G-REQ-07804-E1</t>
  </si>
  <si>
    <t>G-REQ-07805-E1</t>
  </si>
  <si>
    <t>G-REQ-07805-E2</t>
  </si>
  <si>
    <t>G-REQ-07805-E3</t>
  </si>
  <si>
    <t>G-REQ-07806-E1</t>
  </si>
  <si>
    <t>G-REQ-07807-E1</t>
  </si>
  <si>
    <t>G-REQ-07807-E2</t>
  </si>
  <si>
    <t>SYNTHETIC: Laptop repair; Approved; asset G-AST-00472</t>
  </si>
  <si>
    <t>G-REQ-07807-E3</t>
  </si>
  <si>
    <t>SYNTHETIC: Laptop repair; In progress; asset G-AST-00472</t>
  </si>
  <si>
    <t>G-REQ-07808-E1</t>
  </si>
  <si>
    <t>G-REQ-07809-E1</t>
  </si>
  <si>
    <t>G-REQ-07809-E2</t>
  </si>
  <si>
    <t>G-REQ-07809-E3</t>
  </si>
  <si>
    <t>G-REQ-07810-E1</t>
  </si>
  <si>
    <t>G-REQ-07811-E1</t>
  </si>
  <si>
    <t>G-REQ-07811-E2</t>
  </si>
  <si>
    <t>G-REQ-07811-E3</t>
  </si>
  <si>
    <t>G-REQ-07812-E1</t>
  </si>
  <si>
    <t>G-REQ-07813-E1</t>
  </si>
  <si>
    <t>G-REQ-07813-E2</t>
  </si>
  <si>
    <t>G-REQ-07813-E3</t>
  </si>
  <si>
    <t>G-REQ-07814-E1</t>
  </si>
  <si>
    <t>G-REQ-07815-E1</t>
  </si>
  <si>
    <t>G-REQ-07815-E2</t>
  </si>
  <si>
    <t>G-REQ-07815-E3</t>
  </si>
  <si>
    <t>G-REQ-07816-E1</t>
  </si>
  <si>
    <t>G-REQ-07817-E1</t>
  </si>
  <si>
    <t>G-REQ-07817-E2</t>
  </si>
  <si>
    <t>G-REQ-07817-E3</t>
  </si>
  <si>
    <t>G-REQ-07818-E1</t>
  </si>
  <si>
    <t>G-REQ-07819-E1</t>
  </si>
  <si>
    <t>G-REQ-07819-E2</t>
  </si>
  <si>
    <t>G-REQ-07819-E3</t>
  </si>
  <si>
    <t>G-REQ-07820-E1</t>
  </si>
  <si>
    <t>G-REQ-07821-E1</t>
  </si>
  <si>
    <t>G-REQ-07821-E2</t>
  </si>
  <si>
    <t>G-REQ-07821-E3</t>
  </si>
  <si>
    <t>G-REQ-07822-E1</t>
  </si>
  <si>
    <t>G-REQ-07823-E1</t>
  </si>
  <si>
    <t>G-REQ-07823-E2</t>
  </si>
  <si>
    <t>G-REQ-07823-E3</t>
  </si>
  <si>
    <t>G-REQ-07824-E1</t>
  </si>
  <si>
    <t>G-REQ-07825-E1</t>
  </si>
  <si>
    <t>G-REQ-07825-E2</t>
  </si>
  <si>
    <t>G-REQ-07825-E3</t>
  </si>
  <si>
    <t>G-REQ-07826-E1</t>
  </si>
  <si>
    <t>G-REQ-07827-E1</t>
  </si>
  <si>
    <t>G-REQ-07827-E2</t>
  </si>
  <si>
    <t>G-REQ-07827-E3</t>
  </si>
  <si>
    <t>G-REQ-07828-E1</t>
  </si>
  <si>
    <t>G-REQ-07829-E1</t>
  </si>
  <si>
    <t>G-REQ-07829-E2</t>
  </si>
  <si>
    <t>G-REQ-07829-E3</t>
  </si>
  <si>
    <t>G-REQ-07830-E1</t>
  </si>
  <si>
    <t>G-REQ-07831-E1</t>
  </si>
  <si>
    <t>G-REQ-07831-E2</t>
  </si>
  <si>
    <t>G-REQ-07831-E3</t>
  </si>
  <si>
    <t>G-REQ-07832-E1</t>
  </si>
  <si>
    <t>G-REQ-07833-E1</t>
  </si>
  <si>
    <t>G-REQ-07833-E2</t>
  </si>
  <si>
    <t>G-REQ-07833-E3</t>
  </si>
  <si>
    <t>G-REQ-07834-E1</t>
  </si>
  <si>
    <t>G-REQ-07835-E1</t>
  </si>
  <si>
    <t>G-REQ-07835-E2</t>
  </si>
  <si>
    <t>G-REQ-07835-E3</t>
  </si>
  <si>
    <t>G-REQ-07836-E1</t>
  </si>
  <si>
    <t>G-REQ-07837-E1</t>
  </si>
  <si>
    <t>G-REQ-07837-E2</t>
  </si>
  <si>
    <t>G-REQ-07837-E3</t>
  </si>
  <si>
    <t>G-REQ-07838-E1</t>
  </si>
  <si>
    <t>G-REQ-07839-E1</t>
  </si>
  <si>
    <t>G-REQ-07839-E2</t>
  </si>
  <si>
    <t>G-REQ-07839-E3</t>
  </si>
  <si>
    <t>G-REQ-07840-E1</t>
  </si>
  <si>
    <t>G-REQ-07841-E1</t>
  </si>
  <si>
    <t>G-REQ-07841-E2</t>
  </si>
  <si>
    <t>G-REQ-07841-E3</t>
  </si>
  <si>
    <t>G-REQ-07842-E1</t>
  </si>
  <si>
    <t>G-REQ-07843-E1</t>
  </si>
  <si>
    <t>G-REQ-07843-E2</t>
  </si>
  <si>
    <t>G-REQ-07843-E3</t>
  </si>
  <si>
    <t>G-REQ-07844-E1</t>
  </si>
  <si>
    <t>G-REQ-07845-E1</t>
  </si>
  <si>
    <t>G-REQ-07845-E2</t>
  </si>
  <si>
    <t>G-REQ-07845-E3</t>
  </si>
  <si>
    <t>G-REQ-07846-E1</t>
  </si>
  <si>
    <t>G-REQ-07847-E1</t>
  </si>
  <si>
    <t>G-REQ-07847-E2</t>
  </si>
  <si>
    <t>G-REQ-07847-E3</t>
  </si>
  <si>
    <t>G-REQ-07848-E1</t>
  </si>
  <si>
    <t>G-REQ-07849-E1</t>
  </si>
  <si>
    <t>G-REQ-07849-E2</t>
  </si>
  <si>
    <t>G-REQ-07849-E3</t>
  </si>
  <si>
    <t>G-REQ-07850-E1</t>
  </si>
  <si>
    <t>G-REQ-07851-E1</t>
  </si>
  <si>
    <t>G-REQ-07851-E2</t>
  </si>
  <si>
    <t>G-REQ-07851-E3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</si>
</sst>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BEAFE"/>
        <bgColor rgb="FFDBEAFE"/>
      </patternFill>
    </fill>
    <fill>
      <patternFill patternType="solid">
        <fgColor rgb="FFDBEAFF"/>
        <bgColor rgb="FFDBEA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top" wrapText="1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shrinkToFit="0" vertical="top" wrapText="1"/>
    </xf>
    <xf borderId="0" fillId="0" fontId="2" numFmtId="0" xfId="0" applyFont="1"/>
    <xf quotePrefix="1" borderId="0" fillId="0" fontId="2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13"/>
    <col customWidth="1" min="2" max="2" width="36.38"/>
    <col customWidth="1" min="3" max="3" width="51.38"/>
  </cols>
  <sheetData>
    <row r="1">
      <c r="A1" s="2" t="s">
        <v>2</v>
      </c>
      <c r="B1" s="2" t="s">
        <v>6</v>
      </c>
      <c r="C1" s="2" t="s">
        <v>9</v>
      </c>
    </row>
    <row r="2">
      <c r="A2" s="4" t="s">
        <v>13</v>
      </c>
      <c r="B2" s="4" t="s">
        <v>17</v>
      </c>
      <c r="C2" s="4" t="s">
        <v>20</v>
      </c>
    </row>
    <row r="3">
      <c r="A3" s="4" t="s">
        <v>22</v>
      </c>
      <c r="B3" s="4" t="s">
        <v>24</v>
      </c>
      <c r="C3" s="4" t="s">
        <v>25</v>
      </c>
    </row>
    <row r="4">
      <c r="A4" s="4" t="s">
        <v>26</v>
      </c>
      <c r="B4" s="6">
        <f>COUNTA(Requests!A2:A60)</f>
        <v>8000</v>
      </c>
      <c r="C4" s="4" t="s">
        <v>80</v>
      </c>
    </row>
    <row r="5">
      <c r="A5" s="4" t="s">
        <v>84</v>
      </c>
      <c r="B5" s="6">
        <f>COUNTIF(Requests!C2:C60,"Laptop allocation")</f>
        <v>2513</v>
      </c>
      <c r="C5" s="4" t="s">
        <v>45</v>
      </c>
    </row>
    <row r="6">
      <c r="A6" s="4" t="s">
        <v>111</v>
      </c>
      <c r="B6" s="6">
        <f>COUNTIF(Requests!C2:C60,"Laptop return")</f>
        <v>2269</v>
      </c>
      <c r="C6" s="4" t="s">
        <v>45</v>
      </c>
    </row>
    <row r="7">
      <c r="A7" s="4" t="s">
        <v>133</v>
      </c>
      <c r="B7" s="6">
        <f>COUNTIF(Requests!D2:D60,"Completed")</f>
        <v>6735</v>
      </c>
      <c r="C7" s="4" t="s">
        <v>45</v>
      </c>
    </row>
    <row r="8">
      <c r="A8" s="4" t="s">
        <v>154</v>
      </c>
      <c r="B8" s="6">
        <f>COUNTIF(Requests!D2:D60,"Pending approval")</f>
        <v>135</v>
      </c>
      <c r="C8" s="4" t="s">
        <v>45</v>
      </c>
    </row>
    <row r="9">
      <c r="A9" s="4" t="s">
        <v>177</v>
      </c>
      <c r="B9" s="6">
        <f>COUNTIF(Requests!D2:D60,"Approved")</f>
        <v>0</v>
      </c>
      <c r="C9" s="4" t="s">
        <v>45</v>
      </c>
    </row>
    <row r="10">
      <c r="A10" s="4" t="s">
        <v>196</v>
      </c>
      <c r="B10" s="6">
        <f>COUNTIF(Requests!D2:D60,"In progress")</f>
        <v>135</v>
      </c>
      <c r="C10" s="4" t="s">
        <v>45</v>
      </c>
    </row>
    <row r="11">
      <c r="A11" s="4" t="s">
        <v>218</v>
      </c>
      <c r="B11" s="6">
        <f>COUNTIF(Requests!D2:D60,"Rejected")</f>
        <v>627</v>
      </c>
      <c r="C11" s="4" t="s">
        <v>45</v>
      </c>
    </row>
    <row r="12">
      <c r="A12" s="4" t="s">
        <v>241</v>
      </c>
      <c r="B12" s="6">
        <f>COUNTIF(Requests!D2:D60,"Cancelled")</f>
        <v>368</v>
      </c>
      <c r="C12" s="4" t="s">
        <v>45</v>
      </c>
    </row>
    <row r="13">
      <c r="A13" s="4" t="s">
        <v>262</v>
      </c>
      <c r="B13" s="6">
        <f>COUNTA(Equipment!A2:A60)</f>
        <v>600</v>
      </c>
      <c r="C13" s="4" t="s">
        <v>45</v>
      </c>
    </row>
    <row r="14">
      <c r="A14" s="4" t="s">
        <v>285</v>
      </c>
      <c r="B14" s="6">
        <f>COUNTIF(Equipment!D2:D60,"Assigned")</f>
        <v>208</v>
      </c>
      <c r="C14" s="4" t="s">
        <v>45</v>
      </c>
    </row>
    <row r="15">
      <c r="A15" s="4" t="s">
        <v>309</v>
      </c>
      <c r="B15" s="6">
        <f>COUNTIF(Equipment!D2:D60,"Available")</f>
        <v>392</v>
      </c>
      <c r="C15" s="4" t="s">
        <v>45</v>
      </c>
    </row>
    <row r="16">
      <c r="A16" s="4" t="s">
        <v>329</v>
      </c>
      <c r="B16" s="6">
        <f>COUNTA(Employees!A2:A60)</f>
        <v>300</v>
      </c>
      <c r="C16" s="4" t="s">
        <v>347</v>
      </c>
    </row>
    <row r="17">
      <c r="A17" s="4" t="s">
        <v>350</v>
      </c>
      <c r="B17" s="6">
        <f>COUNTA(RequestHistory!A2:A60)</f>
        <v>29470</v>
      </c>
      <c r="C17" s="4" t="s">
        <v>45</v>
      </c>
    </row>
    <row r="18">
      <c r="A18" s="4" t="s">
        <v>371</v>
      </c>
      <c r="B18" s="6">
        <f>COUNTIF(DataChecks!C2:C16,"CHECK")</f>
        <v>0</v>
      </c>
      <c r="C18" s="4" t="s">
        <v>385</v>
      </c>
    </row>
    <row r="19">
      <c r="A19" s="4" t="s">
        <v>386</v>
      </c>
      <c r="B19" s="8">
        <f>MAX(RequestHistory!F2:F60)</f>
        <v>46309.42222</v>
      </c>
      <c r="C19" s="4" t="s">
        <v>413</v>
      </c>
    </row>
    <row r="20">
      <c r="A20" s="4" t="s">
        <v>417</v>
      </c>
      <c r="B20" s="4" t="s">
        <v>420</v>
      </c>
      <c r="C20" s="4" t="s">
        <v>422</v>
      </c>
    </row>
    <row r="21">
      <c r="A21" s="4" t="s">
        <v>423</v>
      </c>
      <c r="B21" s="4" t="s">
        <v>427</v>
      </c>
      <c r="C21" s="4" t="s">
        <v>428</v>
      </c>
    </row>
    <row r="22">
      <c r="A22" s="4" t="s">
        <v>431</v>
      </c>
      <c r="B22" s="4" t="s">
        <v>433</v>
      </c>
      <c r="C22" s="4" t="s">
        <v>434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8.88"/>
    <col customWidth="1" min="3" max="3" width="9.5"/>
    <col customWidth="1" min="4" max="4" width="8.0"/>
  </cols>
  <sheetData>
    <row r="1">
      <c r="A1" s="1" t="s">
        <v>0</v>
      </c>
      <c r="B1" s="1" t="s">
        <v>3</v>
      </c>
      <c r="C1" s="1" t="s">
        <v>4</v>
      </c>
      <c r="D1" s="1" t="s">
        <v>7</v>
      </c>
    </row>
    <row r="2">
      <c r="A2" s="3" t="s">
        <v>10</v>
      </c>
      <c r="B2" s="3" t="s">
        <v>15</v>
      </c>
      <c r="C2" s="3" t="s">
        <v>16</v>
      </c>
      <c r="D2" s="3" t="s">
        <v>28</v>
      </c>
    </row>
    <row r="3">
      <c r="A3" s="3" t="s">
        <v>29</v>
      </c>
      <c r="B3" s="3" t="s">
        <v>30</v>
      </c>
      <c r="C3" s="3" t="s">
        <v>31</v>
      </c>
      <c r="D3" s="3" t="s">
        <v>34</v>
      </c>
    </row>
    <row r="4">
      <c r="A4" s="3" t="s">
        <v>35</v>
      </c>
      <c r="B4" s="3" t="s">
        <v>38</v>
      </c>
      <c r="C4" s="3" t="s">
        <v>16</v>
      </c>
      <c r="D4" s="3" t="s">
        <v>41</v>
      </c>
    </row>
    <row r="5">
      <c r="A5" s="3" t="s">
        <v>42</v>
      </c>
      <c r="B5" s="3" t="s">
        <v>43</v>
      </c>
      <c r="C5" s="3" t="s">
        <v>16</v>
      </c>
      <c r="D5" s="3" t="s">
        <v>28</v>
      </c>
    </row>
    <row r="6">
      <c r="A6" s="3" t="s">
        <v>46</v>
      </c>
      <c r="B6" s="3" t="s">
        <v>47</v>
      </c>
      <c r="C6" s="3" t="s">
        <v>48</v>
      </c>
      <c r="D6" s="3" t="s">
        <v>28</v>
      </c>
    </row>
    <row r="7">
      <c r="A7" s="3" t="s">
        <v>50</v>
      </c>
      <c r="B7" s="3" t="s">
        <v>52</v>
      </c>
      <c r="C7" s="3" t="s">
        <v>53</v>
      </c>
      <c r="D7" s="3" t="s">
        <v>28</v>
      </c>
    </row>
    <row r="8">
      <c r="A8" s="3" t="s">
        <v>54</v>
      </c>
      <c r="B8" s="3" t="s">
        <v>55</v>
      </c>
      <c r="C8" s="3" t="s">
        <v>57</v>
      </c>
      <c r="D8" s="3" t="s">
        <v>28</v>
      </c>
    </row>
    <row r="9">
      <c r="A9" s="3" t="s">
        <v>59</v>
      </c>
      <c r="B9" s="3" t="s">
        <v>60</v>
      </c>
      <c r="C9" s="3" t="s">
        <v>16</v>
      </c>
      <c r="D9" s="3" t="s">
        <v>28</v>
      </c>
    </row>
    <row r="10">
      <c r="A10" s="3" t="s">
        <v>62</v>
      </c>
      <c r="B10" s="3" t="s">
        <v>63</v>
      </c>
      <c r="C10" s="3" t="s">
        <v>48</v>
      </c>
      <c r="D10" s="3" t="s">
        <v>28</v>
      </c>
    </row>
    <row r="11">
      <c r="A11" s="3" t="s">
        <v>65</v>
      </c>
      <c r="B11" s="3" t="s">
        <v>66</v>
      </c>
      <c r="C11" s="3" t="s">
        <v>53</v>
      </c>
      <c r="D11" s="3" t="s">
        <v>28</v>
      </c>
    </row>
    <row r="12">
      <c r="A12" s="3" t="s">
        <v>69</v>
      </c>
      <c r="B12" s="3" t="s">
        <v>70</v>
      </c>
      <c r="C12" s="3" t="s">
        <v>57</v>
      </c>
      <c r="D12" s="3" t="s">
        <v>28</v>
      </c>
    </row>
    <row r="13">
      <c r="A13" s="3" t="s">
        <v>72</v>
      </c>
      <c r="B13" s="3" t="s">
        <v>73</v>
      </c>
      <c r="C13" s="3" t="s">
        <v>16</v>
      </c>
      <c r="D13" s="3" t="s">
        <v>28</v>
      </c>
    </row>
    <row r="14">
      <c r="A14" s="3" t="s">
        <v>75</v>
      </c>
      <c r="B14" s="3" t="s">
        <v>76</v>
      </c>
      <c r="C14" s="3" t="s">
        <v>48</v>
      </c>
      <c r="D14" s="3" t="s">
        <v>28</v>
      </c>
    </row>
    <row r="15">
      <c r="A15" s="3" t="s">
        <v>77</v>
      </c>
      <c r="B15" s="3" t="s">
        <v>79</v>
      </c>
      <c r="C15" s="3" t="s">
        <v>53</v>
      </c>
      <c r="D15" s="3" t="s">
        <v>28</v>
      </c>
    </row>
    <row r="16">
      <c r="A16" s="3" t="s">
        <v>82</v>
      </c>
      <c r="B16" s="3" t="s">
        <v>83</v>
      </c>
      <c r="C16" s="3" t="s">
        <v>57</v>
      </c>
      <c r="D16" s="3" t="s">
        <v>28</v>
      </c>
    </row>
    <row r="17">
      <c r="A17" s="3" t="s">
        <v>85</v>
      </c>
      <c r="B17" s="3" t="s">
        <v>86</v>
      </c>
      <c r="C17" s="3" t="s">
        <v>16</v>
      </c>
      <c r="D17" s="3" t="s">
        <v>28</v>
      </c>
    </row>
    <row r="18">
      <c r="A18" s="3" t="s">
        <v>89</v>
      </c>
      <c r="B18" s="3" t="s">
        <v>90</v>
      </c>
      <c r="C18" s="3" t="s">
        <v>48</v>
      </c>
      <c r="D18" s="3" t="s">
        <v>28</v>
      </c>
    </row>
    <row r="19">
      <c r="A19" s="3" t="s">
        <v>91</v>
      </c>
      <c r="B19" s="3" t="s">
        <v>92</v>
      </c>
      <c r="C19" s="3" t="s">
        <v>53</v>
      </c>
      <c r="D19" s="3" t="s">
        <v>28</v>
      </c>
    </row>
    <row r="20">
      <c r="A20" s="3" t="s">
        <v>95</v>
      </c>
      <c r="B20" s="3" t="s">
        <v>97</v>
      </c>
      <c r="C20" s="3" t="s">
        <v>57</v>
      </c>
      <c r="D20" s="3" t="s">
        <v>28</v>
      </c>
    </row>
    <row r="21">
      <c r="A21" s="3" t="s">
        <v>98</v>
      </c>
      <c r="B21" s="3" t="s">
        <v>99</v>
      </c>
      <c r="C21" s="3" t="s">
        <v>16</v>
      </c>
      <c r="D21" s="3" t="s">
        <v>28</v>
      </c>
    </row>
    <row r="22">
      <c r="A22" s="3" t="s">
        <v>102</v>
      </c>
      <c r="B22" s="3" t="s">
        <v>109</v>
      </c>
      <c r="C22" s="3" t="s">
        <v>48</v>
      </c>
      <c r="D22" s="3" t="s">
        <v>28</v>
      </c>
    </row>
    <row r="23">
      <c r="A23" s="3" t="s">
        <v>110</v>
      </c>
      <c r="B23" s="3" t="s">
        <v>112</v>
      </c>
      <c r="C23" s="3" t="s">
        <v>53</v>
      </c>
      <c r="D23" s="3" t="s">
        <v>28</v>
      </c>
    </row>
    <row r="24">
      <c r="A24" s="3" t="s">
        <v>115</v>
      </c>
      <c r="B24" s="3" t="s">
        <v>116</v>
      </c>
      <c r="C24" s="3" t="s">
        <v>57</v>
      </c>
      <c r="D24" s="3" t="s">
        <v>28</v>
      </c>
    </row>
    <row r="25">
      <c r="A25" s="3" t="s">
        <v>118</v>
      </c>
      <c r="B25" s="3" t="s">
        <v>119</v>
      </c>
      <c r="C25" s="3" t="s">
        <v>53</v>
      </c>
      <c r="D25" s="3" t="s">
        <v>41</v>
      </c>
    </row>
    <row r="26">
      <c r="A26" s="3" t="s">
        <v>100</v>
      </c>
      <c r="B26" s="3" t="s">
        <v>121</v>
      </c>
      <c r="C26" s="3" t="s">
        <v>31</v>
      </c>
      <c r="D26" s="3" t="s">
        <v>34</v>
      </c>
    </row>
    <row r="27">
      <c r="A27" s="3" t="s">
        <v>123</v>
      </c>
      <c r="B27" s="3" t="s">
        <v>124</v>
      </c>
      <c r="C27" s="3" t="s">
        <v>16</v>
      </c>
      <c r="D27" s="3" t="s">
        <v>28</v>
      </c>
    </row>
    <row r="28">
      <c r="A28" s="3" t="s">
        <v>126</v>
      </c>
      <c r="B28" s="3" t="s">
        <v>128</v>
      </c>
      <c r="C28" s="3" t="s">
        <v>48</v>
      </c>
      <c r="D28" s="3" t="s">
        <v>28</v>
      </c>
    </row>
    <row r="29">
      <c r="A29" s="3" t="s">
        <v>130</v>
      </c>
      <c r="B29" s="3" t="s">
        <v>131</v>
      </c>
      <c r="C29" s="3" t="s">
        <v>53</v>
      </c>
      <c r="D29" s="3" t="s">
        <v>28</v>
      </c>
    </row>
    <row r="30">
      <c r="A30" s="3" t="s">
        <v>135</v>
      </c>
      <c r="B30" s="3" t="s">
        <v>136</v>
      </c>
      <c r="C30" s="3" t="s">
        <v>57</v>
      </c>
      <c r="D30" s="3" t="s">
        <v>28</v>
      </c>
    </row>
    <row r="31">
      <c r="A31" s="3" t="s">
        <v>137</v>
      </c>
      <c r="B31" s="3" t="s">
        <v>138</v>
      </c>
      <c r="C31" s="3" t="s">
        <v>139</v>
      </c>
      <c r="D31" s="3" t="s">
        <v>28</v>
      </c>
    </row>
    <row r="32">
      <c r="A32" s="3" t="s">
        <v>141</v>
      </c>
      <c r="B32" s="3" t="s">
        <v>142</v>
      </c>
      <c r="C32" s="3" t="s">
        <v>16</v>
      </c>
      <c r="D32" s="3" t="s">
        <v>28</v>
      </c>
    </row>
    <row r="33">
      <c r="A33" s="3" t="s">
        <v>145</v>
      </c>
      <c r="B33" s="3" t="s">
        <v>146</v>
      </c>
      <c r="C33" s="3" t="s">
        <v>48</v>
      </c>
      <c r="D33" s="3" t="s">
        <v>28</v>
      </c>
    </row>
    <row r="34">
      <c r="A34" s="3" t="s">
        <v>148</v>
      </c>
      <c r="B34" s="3" t="s">
        <v>150</v>
      </c>
      <c r="C34" s="3" t="s">
        <v>53</v>
      </c>
      <c r="D34" s="3" t="s">
        <v>28</v>
      </c>
    </row>
    <row r="35">
      <c r="A35" s="3" t="s">
        <v>151</v>
      </c>
      <c r="B35" s="3" t="s">
        <v>152</v>
      </c>
      <c r="C35" s="3" t="s">
        <v>57</v>
      </c>
      <c r="D35" s="3" t="s">
        <v>28</v>
      </c>
    </row>
    <row r="36">
      <c r="A36" s="3" t="s">
        <v>156</v>
      </c>
      <c r="B36" s="3" t="s">
        <v>157</v>
      </c>
      <c r="C36" s="3" t="s">
        <v>139</v>
      </c>
      <c r="D36" s="3" t="s">
        <v>28</v>
      </c>
    </row>
    <row r="37">
      <c r="A37" s="3" t="s">
        <v>159</v>
      </c>
      <c r="B37" s="3" t="s">
        <v>160</v>
      </c>
      <c r="C37" s="3" t="s">
        <v>16</v>
      </c>
      <c r="D37" s="3" t="s">
        <v>28</v>
      </c>
    </row>
    <row r="38">
      <c r="A38" s="3" t="s">
        <v>162</v>
      </c>
      <c r="B38" s="3" t="s">
        <v>163</v>
      </c>
      <c r="C38" s="3" t="s">
        <v>48</v>
      </c>
      <c r="D38" s="3" t="s">
        <v>28</v>
      </c>
    </row>
    <row r="39">
      <c r="A39" s="3" t="s">
        <v>165</v>
      </c>
      <c r="B39" s="3" t="s">
        <v>166</v>
      </c>
      <c r="C39" s="3" t="s">
        <v>53</v>
      </c>
      <c r="D39" s="3" t="s">
        <v>28</v>
      </c>
    </row>
    <row r="40">
      <c r="A40" s="3" t="s">
        <v>168</v>
      </c>
      <c r="B40" s="3" t="s">
        <v>169</v>
      </c>
      <c r="C40" s="3" t="s">
        <v>57</v>
      </c>
      <c r="D40" s="3" t="s">
        <v>28</v>
      </c>
    </row>
    <row r="41">
      <c r="A41" s="3" t="s">
        <v>171</v>
      </c>
      <c r="B41" s="3" t="s">
        <v>172</v>
      </c>
      <c r="C41" s="3" t="s">
        <v>139</v>
      </c>
      <c r="D41" s="3" t="s">
        <v>28</v>
      </c>
    </row>
    <row r="42">
      <c r="A42" s="3" t="s">
        <v>175</v>
      </c>
      <c r="B42" s="3" t="s">
        <v>176</v>
      </c>
      <c r="C42" s="3" t="s">
        <v>16</v>
      </c>
      <c r="D42" s="3" t="s">
        <v>28</v>
      </c>
    </row>
    <row r="43">
      <c r="A43" s="3" t="s">
        <v>179</v>
      </c>
      <c r="B43" s="3" t="s">
        <v>180</v>
      </c>
      <c r="C43" s="3" t="s">
        <v>48</v>
      </c>
      <c r="D43" s="3" t="s">
        <v>28</v>
      </c>
    </row>
    <row r="44">
      <c r="A44" s="3" t="s">
        <v>183</v>
      </c>
      <c r="B44" s="3" t="s">
        <v>184</v>
      </c>
      <c r="C44" s="3" t="s">
        <v>53</v>
      </c>
      <c r="D44" s="3" t="s">
        <v>28</v>
      </c>
    </row>
    <row r="45">
      <c r="A45" s="3" t="s">
        <v>186</v>
      </c>
      <c r="B45" s="3" t="s">
        <v>187</v>
      </c>
      <c r="C45" s="3" t="s">
        <v>57</v>
      </c>
      <c r="D45" s="3" t="s">
        <v>28</v>
      </c>
    </row>
    <row r="46">
      <c r="A46" s="3" t="s">
        <v>189</v>
      </c>
      <c r="B46" s="3" t="s">
        <v>191</v>
      </c>
      <c r="C46" s="3" t="s">
        <v>139</v>
      </c>
      <c r="D46" s="3" t="s">
        <v>28</v>
      </c>
    </row>
    <row r="47">
      <c r="A47" s="3" t="s">
        <v>193</v>
      </c>
      <c r="B47" s="3" t="s">
        <v>194</v>
      </c>
      <c r="C47" s="3" t="s">
        <v>16</v>
      </c>
      <c r="D47" s="3" t="s">
        <v>28</v>
      </c>
    </row>
    <row r="48">
      <c r="A48" s="3" t="s">
        <v>197</v>
      </c>
      <c r="B48" s="3" t="s">
        <v>198</v>
      </c>
      <c r="C48" s="3" t="s">
        <v>48</v>
      </c>
      <c r="D48" s="3" t="s">
        <v>28</v>
      </c>
    </row>
    <row r="49">
      <c r="A49" s="3" t="s">
        <v>202</v>
      </c>
      <c r="B49" s="3" t="s">
        <v>203</v>
      </c>
      <c r="C49" s="3" t="s">
        <v>53</v>
      </c>
      <c r="D49" s="3" t="s">
        <v>28</v>
      </c>
    </row>
    <row r="50">
      <c r="A50" s="3" t="s">
        <v>204</v>
      </c>
      <c r="B50" s="3" t="s">
        <v>205</v>
      </c>
      <c r="C50" s="3" t="s">
        <v>57</v>
      </c>
      <c r="D50" s="3" t="s">
        <v>28</v>
      </c>
    </row>
    <row r="51">
      <c r="A51" s="3" t="s">
        <v>208</v>
      </c>
      <c r="B51" s="3" t="s">
        <v>210</v>
      </c>
      <c r="C51" s="3" t="s">
        <v>139</v>
      </c>
      <c r="D51" s="3" t="s">
        <v>28</v>
      </c>
    </row>
    <row r="52">
      <c r="A52" s="3" t="s">
        <v>211</v>
      </c>
      <c r="B52" s="3" t="s">
        <v>212</v>
      </c>
      <c r="C52" s="3" t="s">
        <v>16</v>
      </c>
      <c r="D52" s="3" t="s">
        <v>28</v>
      </c>
    </row>
    <row r="53">
      <c r="A53" s="3" t="s">
        <v>215</v>
      </c>
      <c r="B53" s="3" t="s">
        <v>217</v>
      </c>
      <c r="C53" s="3" t="s">
        <v>48</v>
      </c>
      <c r="D53" s="3" t="s">
        <v>28</v>
      </c>
    </row>
    <row r="54">
      <c r="A54" s="3" t="s">
        <v>219</v>
      </c>
      <c r="B54" s="3" t="s">
        <v>220</v>
      </c>
      <c r="C54" s="3" t="s">
        <v>53</v>
      </c>
      <c r="D54" s="3" t="s">
        <v>28</v>
      </c>
    </row>
    <row r="55">
      <c r="A55" s="3" t="s">
        <v>224</v>
      </c>
      <c r="B55" s="3" t="s">
        <v>225</v>
      </c>
      <c r="C55" s="3" t="s">
        <v>57</v>
      </c>
      <c r="D55" s="3" t="s">
        <v>28</v>
      </c>
    </row>
    <row r="56">
      <c r="A56" s="3" t="s">
        <v>226</v>
      </c>
      <c r="B56" s="3" t="s">
        <v>227</v>
      </c>
      <c r="C56" s="3" t="s">
        <v>139</v>
      </c>
      <c r="D56" s="3" t="s">
        <v>28</v>
      </c>
    </row>
    <row r="57">
      <c r="A57" s="3" t="s">
        <v>230</v>
      </c>
      <c r="B57" s="3" t="s">
        <v>231</v>
      </c>
      <c r="C57" s="3" t="s">
        <v>16</v>
      </c>
      <c r="D57" s="3" t="s">
        <v>28</v>
      </c>
    </row>
    <row r="58">
      <c r="A58" s="3" t="s">
        <v>233</v>
      </c>
      <c r="B58" s="3" t="s">
        <v>234</v>
      </c>
      <c r="C58" s="3" t="s">
        <v>48</v>
      </c>
      <c r="D58" s="3" t="s">
        <v>28</v>
      </c>
    </row>
    <row r="59">
      <c r="A59" s="3" t="s">
        <v>236</v>
      </c>
      <c r="B59" s="3" t="s">
        <v>238</v>
      </c>
      <c r="C59" s="3" t="s">
        <v>53</v>
      </c>
      <c r="D59" s="3" t="s">
        <v>28</v>
      </c>
    </row>
    <row r="60">
      <c r="A60" s="3" t="s">
        <v>239</v>
      </c>
      <c r="B60" s="3" t="s">
        <v>240</v>
      </c>
      <c r="C60" s="3" t="s">
        <v>57</v>
      </c>
      <c r="D60" s="3" t="s">
        <v>28</v>
      </c>
    </row>
    <row r="61">
      <c r="A61" s="3" t="s">
        <v>243</v>
      </c>
      <c r="B61" s="3" t="s">
        <v>245</v>
      </c>
      <c r="C61" s="3" t="s">
        <v>139</v>
      </c>
      <c r="D61" s="3" t="s">
        <v>28</v>
      </c>
    </row>
    <row r="62">
      <c r="A62" s="3" t="s">
        <v>247</v>
      </c>
      <c r="B62" s="3" t="s">
        <v>248</v>
      </c>
      <c r="C62" s="3" t="s">
        <v>16</v>
      </c>
      <c r="D62" s="3" t="s">
        <v>28</v>
      </c>
    </row>
    <row r="63">
      <c r="A63" s="3" t="s">
        <v>250</v>
      </c>
      <c r="B63" s="3" t="s">
        <v>251</v>
      </c>
      <c r="C63" s="3" t="s">
        <v>48</v>
      </c>
      <c r="D63" s="3" t="s">
        <v>28</v>
      </c>
    </row>
    <row r="64">
      <c r="A64" s="3" t="s">
        <v>253</v>
      </c>
      <c r="B64" s="3" t="s">
        <v>254</v>
      </c>
      <c r="C64" s="3" t="s">
        <v>53</v>
      </c>
      <c r="D64" s="3" t="s">
        <v>28</v>
      </c>
    </row>
    <row r="65">
      <c r="A65" s="3" t="s">
        <v>256</v>
      </c>
      <c r="B65" s="3" t="s">
        <v>257</v>
      </c>
      <c r="C65" s="3" t="s">
        <v>57</v>
      </c>
      <c r="D65" s="3" t="s">
        <v>28</v>
      </c>
    </row>
    <row r="66">
      <c r="A66" s="3" t="s">
        <v>260</v>
      </c>
      <c r="B66" s="3" t="s">
        <v>261</v>
      </c>
      <c r="C66" s="3" t="s">
        <v>139</v>
      </c>
      <c r="D66" s="3" t="s">
        <v>28</v>
      </c>
    </row>
    <row r="67">
      <c r="A67" s="3" t="s">
        <v>263</v>
      </c>
      <c r="B67" s="3" t="s">
        <v>264</v>
      </c>
      <c r="C67" s="3" t="s">
        <v>16</v>
      </c>
      <c r="D67" s="3" t="s">
        <v>28</v>
      </c>
    </row>
    <row r="68">
      <c r="A68" s="3" t="s">
        <v>266</v>
      </c>
      <c r="B68" s="3" t="s">
        <v>268</v>
      </c>
      <c r="C68" s="3" t="s">
        <v>48</v>
      </c>
      <c r="D68" s="3" t="s">
        <v>28</v>
      </c>
    </row>
    <row r="69">
      <c r="A69" s="3" t="s">
        <v>269</v>
      </c>
      <c r="B69" s="3" t="s">
        <v>270</v>
      </c>
      <c r="C69" s="3" t="s">
        <v>53</v>
      </c>
      <c r="D69" s="3" t="s">
        <v>28</v>
      </c>
    </row>
    <row r="70">
      <c r="A70" s="3" t="s">
        <v>272</v>
      </c>
      <c r="B70" s="3" t="s">
        <v>273</v>
      </c>
      <c r="C70" s="3" t="s">
        <v>57</v>
      </c>
      <c r="D70" s="3" t="s">
        <v>28</v>
      </c>
    </row>
    <row r="71">
      <c r="A71" s="3" t="s">
        <v>276</v>
      </c>
      <c r="B71" s="3" t="s">
        <v>277</v>
      </c>
      <c r="C71" s="3" t="s">
        <v>139</v>
      </c>
      <c r="D71" s="3" t="s">
        <v>28</v>
      </c>
    </row>
    <row r="72">
      <c r="A72" s="3" t="s">
        <v>280</v>
      </c>
      <c r="B72" s="3" t="s">
        <v>281</v>
      </c>
      <c r="C72" s="3" t="s">
        <v>16</v>
      </c>
      <c r="D72" s="3" t="s">
        <v>28</v>
      </c>
    </row>
    <row r="73">
      <c r="A73" s="3" t="s">
        <v>282</v>
      </c>
      <c r="B73" s="3" t="s">
        <v>284</v>
      </c>
      <c r="C73" s="3" t="s">
        <v>48</v>
      </c>
      <c r="D73" s="3" t="s">
        <v>28</v>
      </c>
    </row>
    <row r="74">
      <c r="A74" s="3" t="s">
        <v>287</v>
      </c>
      <c r="B74" s="3" t="s">
        <v>288</v>
      </c>
      <c r="C74" s="3" t="s">
        <v>53</v>
      </c>
      <c r="D74" s="3" t="s">
        <v>28</v>
      </c>
    </row>
    <row r="75">
      <c r="A75" s="3" t="s">
        <v>290</v>
      </c>
      <c r="B75" s="3" t="s">
        <v>291</v>
      </c>
      <c r="C75" s="3" t="s">
        <v>57</v>
      </c>
      <c r="D75" s="3" t="s">
        <v>28</v>
      </c>
    </row>
    <row r="76">
      <c r="A76" s="3" t="s">
        <v>293</v>
      </c>
      <c r="B76" s="3" t="s">
        <v>295</v>
      </c>
      <c r="C76" s="3" t="s">
        <v>139</v>
      </c>
      <c r="D76" s="3" t="s">
        <v>28</v>
      </c>
    </row>
    <row r="77">
      <c r="A77" s="3" t="s">
        <v>296</v>
      </c>
      <c r="B77" s="3" t="s">
        <v>297</v>
      </c>
      <c r="C77" s="3" t="s">
        <v>16</v>
      </c>
      <c r="D77" s="3" t="s">
        <v>28</v>
      </c>
    </row>
    <row r="78">
      <c r="A78" s="3" t="s">
        <v>299</v>
      </c>
      <c r="B78" s="3" t="s">
        <v>301</v>
      </c>
      <c r="C78" s="3" t="s">
        <v>48</v>
      </c>
      <c r="D78" s="3" t="s">
        <v>28</v>
      </c>
    </row>
    <row r="79">
      <c r="A79" s="3" t="s">
        <v>302</v>
      </c>
      <c r="B79" s="3" t="s">
        <v>303</v>
      </c>
      <c r="C79" s="3" t="s">
        <v>53</v>
      </c>
      <c r="D79" s="3" t="s">
        <v>28</v>
      </c>
    </row>
    <row r="80">
      <c r="A80" s="3" t="s">
        <v>307</v>
      </c>
      <c r="B80" s="3" t="s">
        <v>308</v>
      </c>
      <c r="C80" s="3" t="s">
        <v>57</v>
      </c>
      <c r="D80" s="3" t="s">
        <v>28</v>
      </c>
    </row>
    <row r="81">
      <c r="A81" s="3" t="s">
        <v>310</v>
      </c>
      <c r="B81" s="3" t="s">
        <v>311</v>
      </c>
      <c r="C81" s="3" t="s">
        <v>139</v>
      </c>
      <c r="D81" s="3" t="s">
        <v>28</v>
      </c>
    </row>
    <row r="82">
      <c r="A82" s="3" t="s">
        <v>313</v>
      </c>
      <c r="B82" s="3" t="s">
        <v>314</v>
      </c>
      <c r="C82" s="3" t="s">
        <v>16</v>
      </c>
      <c r="D82" s="3" t="s">
        <v>28</v>
      </c>
    </row>
    <row r="83">
      <c r="A83" s="3" t="s">
        <v>316</v>
      </c>
      <c r="B83" s="3" t="s">
        <v>317</v>
      </c>
      <c r="C83" s="3" t="s">
        <v>48</v>
      </c>
      <c r="D83" s="3" t="s">
        <v>28</v>
      </c>
    </row>
    <row r="84">
      <c r="A84" s="3" t="s">
        <v>319</v>
      </c>
      <c r="B84" s="3" t="s">
        <v>320</v>
      </c>
      <c r="C84" s="3" t="s">
        <v>53</v>
      </c>
      <c r="D84" s="3" t="s">
        <v>28</v>
      </c>
    </row>
    <row r="85">
      <c r="A85" s="3" t="s">
        <v>322</v>
      </c>
      <c r="B85" s="3" t="s">
        <v>323</v>
      </c>
      <c r="C85" s="3" t="s">
        <v>57</v>
      </c>
      <c r="D85" s="3" t="s">
        <v>28</v>
      </c>
    </row>
    <row r="86">
      <c r="A86" s="3" t="s">
        <v>326</v>
      </c>
      <c r="B86" s="3" t="s">
        <v>327</v>
      </c>
      <c r="C86" s="3" t="s">
        <v>139</v>
      </c>
      <c r="D86" s="3" t="s">
        <v>28</v>
      </c>
    </row>
    <row r="87">
      <c r="A87" s="3" t="s">
        <v>330</v>
      </c>
      <c r="B87" s="3" t="s">
        <v>331</v>
      </c>
      <c r="C87" s="3" t="s">
        <v>16</v>
      </c>
      <c r="D87" s="3" t="s">
        <v>28</v>
      </c>
    </row>
    <row r="88">
      <c r="A88" s="3" t="s">
        <v>333</v>
      </c>
      <c r="B88" s="3" t="s">
        <v>334</v>
      </c>
      <c r="C88" s="3" t="s">
        <v>48</v>
      </c>
      <c r="D88" s="3" t="s">
        <v>28</v>
      </c>
    </row>
    <row r="89">
      <c r="A89" s="3" t="s">
        <v>336</v>
      </c>
      <c r="B89" s="3" t="s">
        <v>337</v>
      </c>
      <c r="C89" s="3" t="s">
        <v>53</v>
      </c>
      <c r="D89" s="3" t="s">
        <v>28</v>
      </c>
    </row>
    <row r="90">
      <c r="A90" s="3" t="s">
        <v>341</v>
      </c>
      <c r="B90" s="3" t="s">
        <v>342</v>
      </c>
      <c r="C90" s="3" t="s">
        <v>57</v>
      </c>
      <c r="D90" s="3" t="s">
        <v>28</v>
      </c>
    </row>
    <row r="91">
      <c r="A91" s="3" t="s">
        <v>344</v>
      </c>
      <c r="B91" s="3" t="s">
        <v>345</v>
      </c>
      <c r="C91" s="3" t="s">
        <v>139</v>
      </c>
      <c r="D91" s="3" t="s">
        <v>28</v>
      </c>
    </row>
    <row r="92">
      <c r="A92" s="3" t="s">
        <v>348</v>
      </c>
      <c r="B92" s="3" t="s">
        <v>349</v>
      </c>
      <c r="C92" s="3" t="s">
        <v>16</v>
      </c>
      <c r="D92" s="3" t="s">
        <v>28</v>
      </c>
    </row>
    <row r="93">
      <c r="A93" s="3" t="s">
        <v>352</v>
      </c>
      <c r="B93" s="3" t="s">
        <v>354</v>
      </c>
      <c r="C93" s="3" t="s">
        <v>48</v>
      </c>
      <c r="D93" s="3" t="s">
        <v>28</v>
      </c>
    </row>
    <row r="94">
      <c r="A94" s="3" t="s">
        <v>356</v>
      </c>
      <c r="B94" s="3" t="s">
        <v>357</v>
      </c>
      <c r="C94" s="3" t="s">
        <v>53</v>
      </c>
      <c r="D94" s="3" t="s">
        <v>28</v>
      </c>
    </row>
    <row r="95">
      <c r="A95" s="3" t="s">
        <v>359</v>
      </c>
      <c r="B95" s="3" t="s">
        <v>360</v>
      </c>
      <c r="C95" s="3" t="s">
        <v>57</v>
      </c>
      <c r="D95" s="3" t="s">
        <v>28</v>
      </c>
    </row>
    <row r="96">
      <c r="A96" s="3" t="s">
        <v>363</v>
      </c>
      <c r="B96" s="3" t="s">
        <v>364</v>
      </c>
      <c r="C96" s="3" t="s">
        <v>139</v>
      </c>
      <c r="D96" s="3" t="s">
        <v>28</v>
      </c>
    </row>
    <row r="97">
      <c r="A97" s="3" t="s">
        <v>366</v>
      </c>
      <c r="B97" s="3" t="s">
        <v>367</v>
      </c>
      <c r="C97" s="3" t="s">
        <v>16</v>
      </c>
      <c r="D97" s="3" t="s">
        <v>28</v>
      </c>
    </row>
    <row r="98">
      <c r="A98" s="3" t="s">
        <v>369</v>
      </c>
      <c r="B98" s="3" t="s">
        <v>370</v>
      </c>
      <c r="C98" s="3" t="s">
        <v>48</v>
      </c>
      <c r="D98" s="3" t="s">
        <v>28</v>
      </c>
    </row>
    <row r="99">
      <c r="A99" s="3" t="s">
        <v>373</v>
      </c>
      <c r="B99" s="3" t="s">
        <v>375</v>
      </c>
      <c r="C99" s="3" t="s">
        <v>53</v>
      </c>
      <c r="D99" s="3" t="s">
        <v>28</v>
      </c>
    </row>
    <row r="100">
      <c r="A100" s="3" t="s">
        <v>377</v>
      </c>
      <c r="B100" s="3" t="s">
        <v>378</v>
      </c>
      <c r="C100" s="3" t="s">
        <v>57</v>
      </c>
      <c r="D100" s="3" t="s">
        <v>28</v>
      </c>
    </row>
    <row r="101">
      <c r="A101" s="3" t="s">
        <v>380</v>
      </c>
      <c r="B101" s="3" t="s">
        <v>381</v>
      </c>
      <c r="C101" s="3" t="s">
        <v>139</v>
      </c>
      <c r="D101" s="3" t="s">
        <v>28</v>
      </c>
    </row>
    <row r="102">
      <c r="A102" s="3" t="s">
        <v>383</v>
      </c>
      <c r="B102" s="3" t="s">
        <v>384</v>
      </c>
      <c r="C102" s="3" t="s">
        <v>16</v>
      </c>
      <c r="D102" s="3" t="s">
        <v>28</v>
      </c>
    </row>
    <row r="103">
      <c r="A103" s="3" t="s">
        <v>388</v>
      </c>
      <c r="B103" s="3" t="s">
        <v>389</v>
      </c>
      <c r="C103" s="3" t="s">
        <v>48</v>
      </c>
      <c r="D103" s="3" t="s">
        <v>28</v>
      </c>
    </row>
    <row r="104">
      <c r="A104" s="3" t="s">
        <v>391</v>
      </c>
      <c r="B104" s="3" t="s">
        <v>392</v>
      </c>
      <c r="C104" s="3" t="s">
        <v>53</v>
      </c>
      <c r="D104" s="3" t="s">
        <v>28</v>
      </c>
    </row>
    <row r="105">
      <c r="A105" s="3" t="s">
        <v>395</v>
      </c>
      <c r="B105" s="3" t="s">
        <v>396</v>
      </c>
      <c r="C105" s="3" t="s">
        <v>57</v>
      </c>
      <c r="D105" s="3" t="s">
        <v>28</v>
      </c>
    </row>
    <row r="106">
      <c r="A106" s="3" t="s">
        <v>398</v>
      </c>
      <c r="B106" s="3" t="s">
        <v>399</v>
      </c>
      <c r="C106" s="3" t="s">
        <v>139</v>
      </c>
      <c r="D106" s="3" t="s">
        <v>28</v>
      </c>
    </row>
    <row r="107">
      <c r="A107" s="3" t="s">
        <v>400</v>
      </c>
      <c r="B107" s="3" t="s">
        <v>402</v>
      </c>
      <c r="C107" s="3" t="s">
        <v>16</v>
      </c>
      <c r="D107" s="3" t="s">
        <v>28</v>
      </c>
    </row>
    <row r="108">
      <c r="A108" s="3" t="s">
        <v>404</v>
      </c>
      <c r="B108" s="3" t="s">
        <v>405</v>
      </c>
      <c r="C108" s="3" t="s">
        <v>48</v>
      </c>
      <c r="D108" s="3" t="s">
        <v>28</v>
      </c>
    </row>
    <row r="109">
      <c r="A109" s="3" t="s">
        <v>406</v>
      </c>
      <c r="B109" s="3" t="s">
        <v>408</v>
      </c>
      <c r="C109" s="3" t="s">
        <v>53</v>
      </c>
      <c r="D109" s="3" t="s">
        <v>28</v>
      </c>
    </row>
    <row r="110">
      <c r="A110" s="3" t="s">
        <v>411</v>
      </c>
      <c r="B110" s="3" t="s">
        <v>412</v>
      </c>
      <c r="C110" s="3" t="s">
        <v>57</v>
      </c>
      <c r="D110" s="3" t="s">
        <v>28</v>
      </c>
    </row>
    <row r="111">
      <c r="A111" s="3" t="s">
        <v>414</v>
      </c>
      <c r="B111" s="3" t="s">
        <v>416</v>
      </c>
      <c r="C111" s="3" t="s">
        <v>139</v>
      </c>
      <c r="D111" s="3" t="s">
        <v>28</v>
      </c>
    </row>
    <row r="112">
      <c r="A112" s="3" t="s">
        <v>419</v>
      </c>
      <c r="B112" s="3" t="s">
        <v>421</v>
      </c>
      <c r="C112" s="3" t="s">
        <v>16</v>
      </c>
      <c r="D112" s="3" t="s">
        <v>28</v>
      </c>
    </row>
    <row r="113">
      <c r="A113" s="3" t="s">
        <v>424</v>
      </c>
      <c r="B113" s="3" t="s">
        <v>426</v>
      </c>
      <c r="C113" s="3" t="s">
        <v>48</v>
      </c>
      <c r="D113" s="3" t="s">
        <v>28</v>
      </c>
    </row>
    <row r="114">
      <c r="A114" s="3" t="s">
        <v>430</v>
      </c>
      <c r="B114" s="3" t="s">
        <v>432</v>
      </c>
      <c r="C114" s="3" t="s">
        <v>53</v>
      </c>
      <c r="D114" s="3" t="s">
        <v>28</v>
      </c>
    </row>
    <row r="115">
      <c r="A115" s="3" t="s">
        <v>436</v>
      </c>
      <c r="B115" s="3" t="s">
        <v>437</v>
      </c>
      <c r="C115" s="3" t="s">
        <v>57</v>
      </c>
      <c r="D115" s="3" t="s">
        <v>28</v>
      </c>
    </row>
    <row r="116">
      <c r="A116" s="3" t="s">
        <v>440</v>
      </c>
      <c r="B116" s="3" t="s">
        <v>441</v>
      </c>
      <c r="C116" s="3" t="s">
        <v>139</v>
      </c>
      <c r="D116" s="3" t="s">
        <v>28</v>
      </c>
    </row>
    <row r="117">
      <c r="A117" s="3" t="s">
        <v>442</v>
      </c>
      <c r="B117" s="3" t="s">
        <v>444</v>
      </c>
      <c r="C117" s="3" t="s">
        <v>16</v>
      </c>
      <c r="D117" s="3" t="s">
        <v>28</v>
      </c>
    </row>
    <row r="118">
      <c r="A118" s="3" t="s">
        <v>446</v>
      </c>
      <c r="B118" s="3" t="s">
        <v>447</v>
      </c>
      <c r="C118" s="3" t="s">
        <v>48</v>
      </c>
      <c r="D118" s="3" t="s">
        <v>28</v>
      </c>
    </row>
    <row r="119">
      <c r="A119" s="3" t="s">
        <v>449</v>
      </c>
      <c r="B119" s="3" t="s">
        <v>450</v>
      </c>
      <c r="C119" s="3" t="s">
        <v>53</v>
      </c>
      <c r="D119" s="3" t="s">
        <v>28</v>
      </c>
    </row>
    <row r="120">
      <c r="A120" s="3" t="s">
        <v>453</v>
      </c>
      <c r="B120" s="3" t="s">
        <v>454</v>
      </c>
      <c r="C120" s="3" t="s">
        <v>57</v>
      </c>
      <c r="D120" s="3" t="s">
        <v>28</v>
      </c>
    </row>
    <row r="121">
      <c r="A121" s="3" t="s">
        <v>455</v>
      </c>
      <c r="B121" s="3" t="s">
        <v>457</v>
      </c>
      <c r="C121" s="3" t="s">
        <v>139</v>
      </c>
      <c r="D121" s="3" t="s">
        <v>28</v>
      </c>
    </row>
    <row r="122">
      <c r="A122" s="3" t="s">
        <v>460</v>
      </c>
      <c r="B122" s="3" t="s">
        <v>461</v>
      </c>
      <c r="C122" s="3" t="s">
        <v>16</v>
      </c>
      <c r="D122" s="3" t="s">
        <v>28</v>
      </c>
    </row>
    <row r="123">
      <c r="A123" s="3" t="s">
        <v>462</v>
      </c>
      <c r="B123" s="3" t="s">
        <v>463</v>
      </c>
      <c r="C123" s="3" t="s">
        <v>48</v>
      </c>
      <c r="D123" s="3" t="s">
        <v>28</v>
      </c>
    </row>
    <row r="124">
      <c r="A124" s="3" t="s">
        <v>466</v>
      </c>
      <c r="B124" s="3" t="s">
        <v>467</v>
      </c>
      <c r="C124" s="3" t="s">
        <v>53</v>
      </c>
      <c r="D124" s="3" t="s">
        <v>28</v>
      </c>
    </row>
    <row r="125">
      <c r="A125" s="3" t="s">
        <v>468</v>
      </c>
      <c r="B125" s="3" t="s">
        <v>469</v>
      </c>
      <c r="C125" s="3" t="s">
        <v>57</v>
      </c>
      <c r="D125" s="3" t="s">
        <v>28</v>
      </c>
    </row>
    <row r="126">
      <c r="A126" s="3" t="s">
        <v>472</v>
      </c>
      <c r="B126" s="3" t="s">
        <v>473</v>
      </c>
      <c r="C126" s="3" t="s">
        <v>139</v>
      </c>
      <c r="D126" s="3" t="s">
        <v>28</v>
      </c>
    </row>
    <row r="127">
      <c r="A127" s="3" t="s">
        <v>475</v>
      </c>
      <c r="B127" s="3" t="s">
        <v>476</v>
      </c>
      <c r="C127" s="3" t="s">
        <v>16</v>
      </c>
      <c r="D127" s="3" t="s">
        <v>28</v>
      </c>
    </row>
    <row r="128">
      <c r="A128" s="3" t="s">
        <v>479</v>
      </c>
      <c r="B128" s="3" t="s">
        <v>480</v>
      </c>
      <c r="C128" s="3" t="s">
        <v>48</v>
      </c>
      <c r="D128" s="3" t="s">
        <v>28</v>
      </c>
    </row>
    <row r="129">
      <c r="A129" s="3" t="s">
        <v>481</v>
      </c>
      <c r="B129" s="3" t="s">
        <v>482</v>
      </c>
      <c r="C129" s="3" t="s">
        <v>53</v>
      </c>
      <c r="D129" s="3" t="s">
        <v>28</v>
      </c>
    </row>
    <row r="130">
      <c r="A130" s="3" t="s">
        <v>485</v>
      </c>
      <c r="B130" s="3" t="s">
        <v>486</v>
      </c>
      <c r="C130" s="3" t="s">
        <v>57</v>
      </c>
      <c r="D130" s="3" t="s">
        <v>28</v>
      </c>
    </row>
    <row r="131">
      <c r="A131" s="3" t="s">
        <v>488</v>
      </c>
      <c r="B131" s="3" t="s">
        <v>489</v>
      </c>
      <c r="C131" s="3" t="s">
        <v>139</v>
      </c>
      <c r="D131" s="3" t="s">
        <v>28</v>
      </c>
    </row>
    <row r="132">
      <c r="A132" s="3" t="s">
        <v>491</v>
      </c>
      <c r="B132" s="3" t="s">
        <v>492</v>
      </c>
      <c r="C132" s="3" t="s">
        <v>16</v>
      </c>
      <c r="D132" s="3" t="s">
        <v>28</v>
      </c>
    </row>
    <row r="133">
      <c r="A133" s="3" t="s">
        <v>493</v>
      </c>
      <c r="B133" s="3" t="s">
        <v>494</v>
      </c>
      <c r="C133" s="3" t="s">
        <v>48</v>
      </c>
      <c r="D133" s="3" t="s">
        <v>28</v>
      </c>
    </row>
    <row r="134">
      <c r="A134" s="3" t="s">
        <v>496</v>
      </c>
      <c r="B134" s="3" t="s">
        <v>497</v>
      </c>
      <c r="C134" s="3" t="s">
        <v>53</v>
      </c>
      <c r="D134" s="3" t="s">
        <v>28</v>
      </c>
    </row>
    <row r="135">
      <c r="A135" s="3" t="s">
        <v>498</v>
      </c>
      <c r="B135" s="3" t="s">
        <v>499</v>
      </c>
      <c r="C135" s="3" t="s">
        <v>57</v>
      </c>
      <c r="D135" s="3" t="s">
        <v>28</v>
      </c>
    </row>
    <row r="136">
      <c r="A136" s="3" t="s">
        <v>502</v>
      </c>
      <c r="B136" s="3" t="s">
        <v>503</v>
      </c>
      <c r="C136" s="3" t="s">
        <v>139</v>
      </c>
      <c r="D136" s="3" t="s">
        <v>28</v>
      </c>
    </row>
    <row r="137">
      <c r="A137" s="3" t="s">
        <v>505</v>
      </c>
      <c r="B137" s="3" t="s">
        <v>506</v>
      </c>
      <c r="C137" s="3" t="s">
        <v>16</v>
      </c>
      <c r="D137" s="3" t="s">
        <v>28</v>
      </c>
    </row>
    <row r="138">
      <c r="A138" s="3" t="s">
        <v>507</v>
      </c>
      <c r="B138" s="3" t="s">
        <v>508</v>
      </c>
      <c r="C138" s="3" t="s">
        <v>48</v>
      </c>
      <c r="D138" s="3" t="s">
        <v>28</v>
      </c>
    </row>
    <row r="139">
      <c r="A139" s="3" t="s">
        <v>510</v>
      </c>
      <c r="B139" s="3" t="s">
        <v>511</v>
      </c>
      <c r="C139" s="3" t="s">
        <v>53</v>
      </c>
      <c r="D139" s="3" t="s">
        <v>28</v>
      </c>
    </row>
    <row r="140">
      <c r="A140" s="3" t="s">
        <v>512</v>
      </c>
      <c r="B140" s="3" t="s">
        <v>513</v>
      </c>
      <c r="C140" s="3" t="s">
        <v>57</v>
      </c>
      <c r="D140" s="3" t="s">
        <v>28</v>
      </c>
    </row>
    <row r="141">
      <c r="A141" s="3" t="s">
        <v>515</v>
      </c>
      <c r="B141" s="3" t="s">
        <v>517</v>
      </c>
      <c r="C141" s="3" t="s">
        <v>139</v>
      </c>
      <c r="D141" s="3" t="s">
        <v>28</v>
      </c>
    </row>
    <row r="142">
      <c r="A142" s="3" t="s">
        <v>519</v>
      </c>
      <c r="B142" s="3" t="s">
        <v>520</v>
      </c>
      <c r="C142" s="3" t="s">
        <v>16</v>
      </c>
      <c r="D142" s="3" t="s">
        <v>28</v>
      </c>
    </row>
    <row r="143">
      <c r="A143" s="3" t="s">
        <v>521</v>
      </c>
      <c r="B143" s="3" t="s">
        <v>522</v>
      </c>
      <c r="C143" s="3" t="s">
        <v>48</v>
      </c>
      <c r="D143" s="3" t="s">
        <v>28</v>
      </c>
    </row>
    <row r="144">
      <c r="A144" s="3" t="s">
        <v>524</v>
      </c>
      <c r="B144" s="3" t="s">
        <v>525</v>
      </c>
      <c r="C144" s="3" t="s">
        <v>53</v>
      </c>
      <c r="D144" s="3" t="s">
        <v>28</v>
      </c>
    </row>
    <row r="145">
      <c r="A145" s="3" t="s">
        <v>527</v>
      </c>
      <c r="B145" s="3" t="s">
        <v>529</v>
      </c>
      <c r="C145" s="3" t="s">
        <v>57</v>
      </c>
      <c r="D145" s="3" t="s">
        <v>28</v>
      </c>
    </row>
    <row r="146">
      <c r="A146" s="3" t="s">
        <v>530</v>
      </c>
      <c r="B146" s="3" t="s">
        <v>531</v>
      </c>
      <c r="C146" s="3" t="s">
        <v>139</v>
      </c>
      <c r="D146" s="3" t="s">
        <v>28</v>
      </c>
    </row>
    <row r="147">
      <c r="A147" s="3" t="s">
        <v>533</v>
      </c>
      <c r="B147" s="3" t="s">
        <v>534</v>
      </c>
      <c r="C147" s="3" t="s">
        <v>16</v>
      </c>
      <c r="D147" s="3" t="s">
        <v>28</v>
      </c>
    </row>
    <row r="148">
      <c r="A148" s="3" t="s">
        <v>535</v>
      </c>
      <c r="B148" s="3" t="s">
        <v>537</v>
      </c>
      <c r="C148" s="3" t="s">
        <v>48</v>
      </c>
      <c r="D148" s="3" t="s">
        <v>28</v>
      </c>
    </row>
    <row r="149">
      <c r="A149" s="3" t="s">
        <v>539</v>
      </c>
      <c r="B149" s="3" t="s">
        <v>540</v>
      </c>
      <c r="C149" s="3" t="s">
        <v>53</v>
      </c>
      <c r="D149" s="3" t="s">
        <v>28</v>
      </c>
    </row>
    <row r="150">
      <c r="A150" s="3" t="s">
        <v>541</v>
      </c>
      <c r="B150" s="3" t="s">
        <v>542</v>
      </c>
      <c r="C150" s="3" t="s">
        <v>57</v>
      </c>
      <c r="D150" s="3" t="s">
        <v>28</v>
      </c>
    </row>
    <row r="151">
      <c r="A151" s="3" t="s">
        <v>544</v>
      </c>
      <c r="B151" s="3" t="s">
        <v>545</v>
      </c>
      <c r="C151" s="3" t="s">
        <v>139</v>
      </c>
      <c r="D151" s="3" t="s">
        <v>28</v>
      </c>
    </row>
    <row r="152">
      <c r="A152" s="3" t="s">
        <v>547</v>
      </c>
      <c r="B152" s="3" t="s">
        <v>548</v>
      </c>
      <c r="C152" s="3" t="s">
        <v>16</v>
      </c>
      <c r="D152" s="3" t="s">
        <v>28</v>
      </c>
    </row>
    <row r="153">
      <c r="A153" s="3" t="s">
        <v>550</v>
      </c>
      <c r="B153" s="3" t="s">
        <v>552</v>
      </c>
      <c r="C153" s="3" t="s">
        <v>48</v>
      </c>
      <c r="D153" s="3" t="s">
        <v>28</v>
      </c>
    </row>
    <row r="154">
      <c r="A154" s="3" t="s">
        <v>554</v>
      </c>
      <c r="B154" s="3" t="s">
        <v>555</v>
      </c>
      <c r="C154" s="3" t="s">
        <v>53</v>
      </c>
      <c r="D154" s="3" t="s">
        <v>28</v>
      </c>
    </row>
    <row r="155">
      <c r="A155" s="3" t="s">
        <v>557</v>
      </c>
      <c r="B155" s="3" t="s">
        <v>558</v>
      </c>
      <c r="C155" s="3" t="s">
        <v>57</v>
      </c>
      <c r="D155" s="3" t="s">
        <v>28</v>
      </c>
    </row>
    <row r="156">
      <c r="A156" s="3" t="s">
        <v>561</v>
      </c>
      <c r="B156" s="3" t="s">
        <v>563</v>
      </c>
      <c r="C156" s="3" t="s">
        <v>139</v>
      </c>
      <c r="D156" s="3" t="s">
        <v>28</v>
      </c>
    </row>
    <row r="157">
      <c r="A157" s="3" t="s">
        <v>565</v>
      </c>
      <c r="B157" s="3" t="s">
        <v>566</v>
      </c>
      <c r="C157" s="3" t="s">
        <v>16</v>
      </c>
      <c r="D157" s="3" t="s">
        <v>28</v>
      </c>
    </row>
    <row r="158">
      <c r="A158" s="3" t="s">
        <v>569</v>
      </c>
      <c r="B158" s="3" t="s">
        <v>571</v>
      </c>
      <c r="C158" s="3" t="s">
        <v>48</v>
      </c>
      <c r="D158" s="3" t="s">
        <v>28</v>
      </c>
    </row>
    <row r="159">
      <c r="A159" s="3" t="s">
        <v>574</v>
      </c>
      <c r="B159" s="3" t="s">
        <v>576</v>
      </c>
      <c r="C159" s="3" t="s">
        <v>53</v>
      </c>
      <c r="D159" s="3" t="s">
        <v>28</v>
      </c>
    </row>
    <row r="160">
      <c r="A160" s="3" t="s">
        <v>579</v>
      </c>
      <c r="B160" s="3" t="s">
        <v>580</v>
      </c>
      <c r="C160" s="3" t="s">
        <v>57</v>
      </c>
      <c r="D160" s="3" t="s">
        <v>28</v>
      </c>
    </row>
    <row r="161">
      <c r="A161" s="3" t="s">
        <v>581</v>
      </c>
      <c r="B161" s="3" t="s">
        <v>582</v>
      </c>
      <c r="C161" s="3" t="s">
        <v>139</v>
      </c>
      <c r="D161" s="3" t="s">
        <v>28</v>
      </c>
    </row>
    <row r="162">
      <c r="A162" s="3" t="s">
        <v>584</v>
      </c>
      <c r="B162" s="3" t="s">
        <v>585</v>
      </c>
      <c r="C162" s="3" t="s">
        <v>16</v>
      </c>
      <c r="D162" s="3" t="s">
        <v>28</v>
      </c>
    </row>
    <row r="163">
      <c r="A163" s="3" t="s">
        <v>587</v>
      </c>
      <c r="B163" s="3" t="s">
        <v>588</v>
      </c>
      <c r="C163" s="3" t="s">
        <v>48</v>
      </c>
      <c r="D163" s="3" t="s">
        <v>28</v>
      </c>
    </row>
    <row r="164">
      <c r="A164" s="3" t="s">
        <v>591</v>
      </c>
      <c r="B164" s="3" t="s">
        <v>592</v>
      </c>
      <c r="C164" s="3" t="s">
        <v>53</v>
      </c>
      <c r="D164" s="3" t="s">
        <v>28</v>
      </c>
    </row>
    <row r="165">
      <c r="A165" s="3" t="s">
        <v>593</v>
      </c>
      <c r="B165" s="3" t="s">
        <v>594</v>
      </c>
      <c r="C165" s="3" t="s">
        <v>57</v>
      </c>
      <c r="D165" s="3" t="s">
        <v>28</v>
      </c>
    </row>
    <row r="166">
      <c r="A166" s="3" t="s">
        <v>596</v>
      </c>
      <c r="B166" s="3" t="s">
        <v>597</v>
      </c>
      <c r="C166" s="3" t="s">
        <v>139</v>
      </c>
      <c r="D166" s="3" t="s">
        <v>28</v>
      </c>
    </row>
    <row r="167">
      <c r="A167" s="3" t="s">
        <v>598</v>
      </c>
      <c r="B167" s="3" t="s">
        <v>599</v>
      </c>
      <c r="C167" s="3" t="s">
        <v>16</v>
      </c>
      <c r="D167" s="3" t="s">
        <v>28</v>
      </c>
    </row>
    <row r="168">
      <c r="A168" s="3" t="s">
        <v>601</v>
      </c>
      <c r="B168" s="3" t="s">
        <v>602</v>
      </c>
      <c r="C168" s="3" t="s">
        <v>48</v>
      </c>
      <c r="D168" s="3" t="s">
        <v>28</v>
      </c>
    </row>
    <row r="169">
      <c r="A169" s="3" t="s">
        <v>605</v>
      </c>
      <c r="B169" s="3" t="s">
        <v>606</v>
      </c>
      <c r="C169" s="3" t="s">
        <v>53</v>
      </c>
      <c r="D169" s="3" t="s">
        <v>28</v>
      </c>
    </row>
    <row r="170">
      <c r="A170" s="3" t="s">
        <v>609</v>
      </c>
      <c r="B170" s="3" t="s">
        <v>610</v>
      </c>
      <c r="C170" s="3" t="s">
        <v>57</v>
      </c>
      <c r="D170" s="3" t="s">
        <v>28</v>
      </c>
    </row>
    <row r="171">
      <c r="A171" s="3" t="s">
        <v>612</v>
      </c>
      <c r="B171" s="3" t="s">
        <v>613</v>
      </c>
      <c r="C171" s="3" t="s">
        <v>139</v>
      </c>
      <c r="D171" s="3" t="s">
        <v>28</v>
      </c>
    </row>
    <row r="172">
      <c r="A172" s="3" t="s">
        <v>616</v>
      </c>
      <c r="B172" s="3" t="s">
        <v>617</v>
      </c>
      <c r="C172" s="3" t="s">
        <v>16</v>
      </c>
      <c r="D172" s="3" t="s">
        <v>28</v>
      </c>
    </row>
    <row r="173">
      <c r="A173" s="3" t="s">
        <v>619</v>
      </c>
      <c r="B173" s="3" t="s">
        <v>620</v>
      </c>
      <c r="C173" s="3" t="s">
        <v>48</v>
      </c>
      <c r="D173" s="3" t="s">
        <v>28</v>
      </c>
    </row>
    <row r="174">
      <c r="A174" s="3" t="s">
        <v>622</v>
      </c>
      <c r="B174" s="3" t="s">
        <v>624</v>
      </c>
      <c r="C174" s="3" t="s">
        <v>53</v>
      </c>
      <c r="D174" s="3" t="s">
        <v>28</v>
      </c>
    </row>
    <row r="175">
      <c r="A175" s="3" t="s">
        <v>627</v>
      </c>
      <c r="B175" s="3" t="s">
        <v>628</v>
      </c>
      <c r="C175" s="3" t="s">
        <v>57</v>
      </c>
      <c r="D175" s="3" t="s">
        <v>28</v>
      </c>
    </row>
    <row r="176">
      <c r="A176" s="3" t="s">
        <v>629</v>
      </c>
      <c r="B176" s="3" t="s">
        <v>630</v>
      </c>
      <c r="C176" s="3" t="s">
        <v>139</v>
      </c>
      <c r="D176" s="3" t="s">
        <v>28</v>
      </c>
    </row>
    <row r="177">
      <c r="A177" s="3" t="s">
        <v>632</v>
      </c>
      <c r="B177" s="3" t="s">
        <v>634</v>
      </c>
      <c r="C177" s="3" t="s">
        <v>16</v>
      </c>
      <c r="D177" s="3" t="s">
        <v>28</v>
      </c>
    </row>
    <row r="178">
      <c r="A178" s="3" t="s">
        <v>637</v>
      </c>
      <c r="B178" s="3" t="s">
        <v>638</v>
      </c>
      <c r="C178" s="3" t="s">
        <v>48</v>
      </c>
      <c r="D178" s="3" t="s">
        <v>28</v>
      </c>
    </row>
    <row r="179">
      <c r="A179" s="3" t="s">
        <v>640</v>
      </c>
      <c r="B179" s="3" t="s">
        <v>642</v>
      </c>
      <c r="C179" s="3" t="s">
        <v>53</v>
      </c>
      <c r="D179" s="3" t="s">
        <v>28</v>
      </c>
    </row>
    <row r="180">
      <c r="A180" s="3" t="s">
        <v>643</v>
      </c>
      <c r="B180" s="3" t="s">
        <v>644</v>
      </c>
      <c r="C180" s="3" t="s">
        <v>57</v>
      </c>
      <c r="D180" s="3" t="s">
        <v>28</v>
      </c>
    </row>
    <row r="181">
      <c r="A181" s="3" t="s">
        <v>575</v>
      </c>
      <c r="B181" s="3" t="s">
        <v>647</v>
      </c>
      <c r="C181" s="3" t="s">
        <v>139</v>
      </c>
      <c r="D181" s="3" t="s">
        <v>28</v>
      </c>
    </row>
    <row r="182">
      <c r="A182" s="3" t="s">
        <v>652</v>
      </c>
      <c r="B182" s="3" t="s">
        <v>654</v>
      </c>
      <c r="C182" s="3" t="s">
        <v>16</v>
      </c>
      <c r="D182" s="3" t="s">
        <v>28</v>
      </c>
    </row>
    <row r="183">
      <c r="A183" s="3" t="s">
        <v>655</v>
      </c>
      <c r="B183" s="3" t="s">
        <v>656</v>
      </c>
      <c r="C183" s="3" t="s">
        <v>48</v>
      </c>
      <c r="D183" s="3" t="s">
        <v>28</v>
      </c>
    </row>
    <row r="184">
      <c r="A184" s="3" t="s">
        <v>658</v>
      </c>
      <c r="B184" s="3" t="s">
        <v>660</v>
      </c>
      <c r="C184" s="3" t="s">
        <v>53</v>
      </c>
      <c r="D184" s="3" t="s">
        <v>28</v>
      </c>
    </row>
    <row r="185">
      <c r="A185" s="3" t="s">
        <v>662</v>
      </c>
      <c r="B185" s="3" t="s">
        <v>663</v>
      </c>
      <c r="C185" s="3" t="s">
        <v>57</v>
      </c>
      <c r="D185" s="3" t="s">
        <v>28</v>
      </c>
    </row>
    <row r="186">
      <c r="A186" s="3" t="s">
        <v>665</v>
      </c>
      <c r="B186" s="3" t="s">
        <v>667</v>
      </c>
      <c r="C186" s="3" t="s">
        <v>139</v>
      </c>
      <c r="D186" s="3" t="s">
        <v>28</v>
      </c>
    </row>
    <row r="187">
      <c r="A187" s="3" t="s">
        <v>669</v>
      </c>
      <c r="B187" s="3" t="s">
        <v>670</v>
      </c>
      <c r="C187" s="3" t="s">
        <v>16</v>
      </c>
      <c r="D187" s="3" t="s">
        <v>28</v>
      </c>
    </row>
    <row r="188">
      <c r="A188" s="3" t="s">
        <v>672</v>
      </c>
      <c r="B188" s="3" t="s">
        <v>674</v>
      </c>
      <c r="C188" s="3" t="s">
        <v>48</v>
      </c>
      <c r="D188" s="3" t="s">
        <v>28</v>
      </c>
    </row>
    <row r="189">
      <c r="A189" s="3" t="s">
        <v>676</v>
      </c>
      <c r="B189" s="3" t="s">
        <v>677</v>
      </c>
      <c r="C189" s="3" t="s">
        <v>53</v>
      </c>
      <c r="D189" s="3" t="s">
        <v>28</v>
      </c>
    </row>
    <row r="190">
      <c r="A190" s="3" t="s">
        <v>650</v>
      </c>
      <c r="B190" s="3" t="s">
        <v>679</v>
      </c>
      <c r="C190" s="3" t="s">
        <v>57</v>
      </c>
      <c r="D190" s="3" t="s">
        <v>28</v>
      </c>
    </row>
    <row r="191">
      <c r="A191" s="3" t="s">
        <v>682</v>
      </c>
      <c r="B191" s="3" t="s">
        <v>683</v>
      </c>
      <c r="C191" s="3" t="s">
        <v>139</v>
      </c>
      <c r="D191" s="3" t="s">
        <v>28</v>
      </c>
    </row>
    <row r="192">
      <c r="A192" s="3" t="s">
        <v>685</v>
      </c>
      <c r="B192" s="3" t="s">
        <v>686</v>
      </c>
      <c r="C192" s="3" t="s">
        <v>16</v>
      </c>
      <c r="D192" s="3" t="s">
        <v>28</v>
      </c>
    </row>
    <row r="193">
      <c r="A193" s="3" t="s">
        <v>689</v>
      </c>
      <c r="B193" s="3" t="s">
        <v>690</v>
      </c>
      <c r="C193" s="3" t="s">
        <v>48</v>
      </c>
      <c r="D193" s="3" t="s">
        <v>28</v>
      </c>
    </row>
    <row r="194">
      <c r="A194" s="3" t="s">
        <v>691</v>
      </c>
      <c r="B194" s="3" t="s">
        <v>692</v>
      </c>
      <c r="C194" s="3" t="s">
        <v>53</v>
      </c>
      <c r="D194" s="3" t="s">
        <v>28</v>
      </c>
    </row>
    <row r="195">
      <c r="A195" s="3" t="s">
        <v>694</v>
      </c>
      <c r="B195" s="3" t="s">
        <v>695</v>
      </c>
      <c r="C195" s="3" t="s">
        <v>57</v>
      </c>
      <c r="D195" s="3" t="s">
        <v>28</v>
      </c>
    </row>
    <row r="196">
      <c r="A196" s="3" t="s">
        <v>698</v>
      </c>
      <c r="B196" s="3" t="s">
        <v>700</v>
      </c>
      <c r="C196" s="3" t="s">
        <v>139</v>
      </c>
      <c r="D196" s="3" t="s">
        <v>28</v>
      </c>
    </row>
    <row r="197">
      <c r="A197" s="3" t="s">
        <v>702</v>
      </c>
      <c r="B197" s="3" t="s">
        <v>703</v>
      </c>
      <c r="C197" s="3" t="s">
        <v>16</v>
      </c>
      <c r="D197" s="3" t="s">
        <v>28</v>
      </c>
    </row>
    <row r="198">
      <c r="A198" s="3" t="s">
        <v>704</v>
      </c>
      <c r="B198" s="3" t="s">
        <v>706</v>
      </c>
      <c r="C198" s="3" t="s">
        <v>48</v>
      </c>
      <c r="D198" s="3" t="s">
        <v>28</v>
      </c>
    </row>
    <row r="199">
      <c r="A199" s="3" t="s">
        <v>710</v>
      </c>
      <c r="B199" s="3" t="s">
        <v>711</v>
      </c>
      <c r="C199" s="3" t="s">
        <v>53</v>
      </c>
      <c r="D199" s="3" t="s">
        <v>28</v>
      </c>
    </row>
    <row r="200">
      <c r="A200" s="3" t="s">
        <v>713</v>
      </c>
      <c r="B200" s="3" t="s">
        <v>714</v>
      </c>
      <c r="C200" s="3" t="s">
        <v>57</v>
      </c>
      <c r="D200" s="3" t="s">
        <v>28</v>
      </c>
    </row>
    <row r="201">
      <c r="A201" s="3" t="s">
        <v>717</v>
      </c>
      <c r="B201" s="3" t="s">
        <v>718</v>
      </c>
      <c r="C201" s="3" t="s">
        <v>139</v>
      </c>
      <c r="D201" s="3" t="s">
        <v>28</v>
      </c>
    </row>
    <row r="202">
      <c r="A202" s="3" t="s">
        <v>559</v>
      </c>
      <c r="B202" s="3" t="s">
        <v>720</v>
      </c>
      <c r="C202" s="3" t="s">
        <v>16</v>
      </c>
      <c r="D202" s="3" t="s">
        <v>28</v>
      </c>
    </row>
    <row r="203">
      <c r="A203" s="3" t="s">
        <v>722</v>
      </c>
      <c r="B203" s="3" t="s">
        <v>723</v>
      </c>
      <c r="C203" s="3" t="s">
        <v>48</v>
      </c>
      <c r="D203" s="3" t="s">
        <v>28</v>
      </c>
    </row>
    <row r="204">
      <c r="A204" s="3" t="s">
        <v>725</v>
      </c>
      <c r="B204" s="3" t="s">
        <v>726</v>
      </c>
      <c r="C204" s="3" t="s">
        <v>53</v>
      </c>
      <c r="D204" s="3" t="s">
        <v>28</v>
      </c>
    </row>
    <row r="205">
      <c r="A205" s="3" t="s">
        <v>727</v>
      </c>
      <c r="B205" s="3" t="s">
        <v>729</v>
      </c>
      <c r="C205" s="3" t="s">
        <v>57</v>
      </c>
      <c r="D205" s="3" t="s">
        <v>28</v>
      </c>
    </row>
    <row r="206">
      <c r="A206" s="3" t="s">
        <v>731</v>
      </c>
      <c r="B206" s="3" t="s">
        <v>732</v>
      </c>
      <c r="C206" s="3" t="s">
        <v>139</v>
      </c>
      <c r="D206" s="3" t="s">
        <v>28</v>
      </c>
    </row>
    <row r="207">
      <c r="A207" s="3" t="s">
        <v>735</v>
      </c>
      <c r="B207" s="3" t="s">
        <v>737</v>
      </c>
      <c r="C207" s="3" t="s">
        <v>16</v>
      </c>
      <c r="D207" s="3" t="s">
        <v>28</v>
      </c>
    </row>
    <row r="208">
      <c r="A208" s="3" t="s">
        <v>536</v>
      </c>
      <c r="B208" s="3" t="s">
        <v>739</v>
      </c>
      <c r="C208" s="3" t="s">
        <v>48</v>
      </c>
      <c r="D208" s="3" t="s">
        <v>28</v>
      </c>
    </row>
    <row r="209">
      <c r="A209" s="3" t="s">
        <v>631</v>
      </c>
      <c r="B209" s="3" t="s">
        <v>740</v>
      </c>
      <c r="C209" s="3" t="s">
        <v>53</v>
      </c>
      <c r="D209" s="3" t="s">
        <v>28</v>
      </c>
    </row>
    <row r="210">
      <c r="A210" s="3" t="s">
        <v>742</v>
      </c>
      <c r="B210" s="3" t="s">
        <v>743</v>
      </c>
      <c r="C210" s="3" t="s">
        <v>57</v>
      </c>
      <c r="D210" s="3" t="s">
        <v>28</v>
      </c>
    </row>
    <row r="211">
      <c r="A211" s="3" t="s">
        <v>747</v>
      </c>
      <c r="B211" s="3" t="s">
        <v>748</v>
      </c>
      <c r="C211" s="3" t="s">
        <v>139</v>
      </c>
      <c r="D211" s="3" t="s">
        <v>28</v>
      </c>
    </row>
    <row r="212">
      <c r="A212" s="3" t="s">
        <v>708</v>
      </c>
      <c r="B212" s="3" t="s">
        <v>750</v>
      </c>
      <c r="C212" s="3" t="s">
        <v>16</v>
      </c>
      <c r="D212" s="3" t="s">
        <v>28</v>
      </c>
    </row>
    <row r="213">
      <c r="A213" s="3" t="s">
        <v>752</v>
      </c>
      <c r="B213" s="3" t="s">
        <v>753</v>
      </c>
      <c r="C213" s="3" t="s">
        <v>48</v>
      </c>
      <c r="D213" s="3" t="s">
        <v>28</v>
      </c>
    </row>
    <row r="214">
      <c r="A214" s="3" t="s">
        <v>756</v>
      </c>
      <c r="B214" s="3" t="s">
        <v>757</v>
      </c>
      <c r="C214" s="3" t="s">
        <v>53</v>
      </c>
      <c r="D214" s="3" t="s">
        <v>28</v>
      </c>
    </row>
    <row r="215">
      <c r="A215" s="3" t="s">
        <v>760</v>
      </c>
      <c r="B215" s="3" t="s">
        <v>761</v>
      </c>
      <c r="C215" s="3" t="s">
        <v>57</v>
      </c>
      <c r="D215" s="3" t="s">
        <v>28</v>
      </c>
    </row>
    <row r="216">
      <c r="A216" s="3" t="s">
        <v>763</v>
      </c>
      <c r="B216" s="3" t="s">
        <v>764</v>
      </c>
      <c r="C216" s="3" t="s">
        <v>139</v>
      </c>
      <c r="D216" s="3" t="s">
        <v>28</v>
      </c>
    </row>
    <row r="217">
      <c r="A217" s="3" t="s">
        <v>767</v>
      </c>
      <c r="B217" s="3" t="s">
        <v>768</v>
      </c>
      <c r="C217" s="3" t="s">
        <v>16</v>
      </c>
      <c r="D217" s="3" t="s">
        <v>28</v>
      </c>
    </row>
    <row r="218">
      <c r="A218" s="3" t="s">
        <v>770</v>
      </c>
      <c r="B218" s="3" t="s">
        <v>771</v>
      </c>
      <c r="C218" s="3" t="s">
        <v>48</v>
      </c>
      <c r="D218" s="3" t="s">
        <v>28</v>
      </c>
    </row>
    <row r="219">
      <c r="A219" s="3" t="s">
        <v>773</v>
      </c>
      <c r="B219" s="3" t="s">
        <v>775</v>
      </c>
      <c r="C219" s="3" t="s">
        <v>53</v>
      </c>
      <c r="D219" s="3" t="s">
        <v>28</v>
      </c>
    </row>
    <row r="220">
      <c r="A220" s="3" t="s">
        <v>778</v>
      </c>
      <c r="B220" s="3" t="s">
        <v>779</v>
      </c>
      <c r="C220" s="3" t="s">
        <v>57</v>
      </c>
      <c r="D220" s="3" t="s">
        <v>28</v>
      </c>
    </row>
    <row r="221">
      <c r="A221" s="3" t="s">
        <v>781</v>
      </c>
      <c r="B221" s="3" t="s">
        <v>782</v>
      </c>
      <c r="C221" s="3" t="s">
        <v>139</v>
      </c>
      <c r="D221" s="3" t="s">
        <v>28</v>
      </c>
    </row>
    <row r="222">
      <c r="A222" s="3" t="s">
        <v>785</v>
      </c>
      <c r="B222" s="3" t="s">
        <v>787</v>
      </c>
      <c r="C222" s="3" t="s">
        <v>16</v>
      </c>
      <c r="D222" s="3" t="s">
        <v>28</v>
      </c>
    </row>
    <row r="223">
      <c r="A223" s="3" t="s">
        <v>789</v>
      </c>
      <c r="B223" s="3" t="s">
        <v>790</v>
      </c>
      <c r="C223" s="3" t="s">
        <v>48</v>
      </c>
      <c r="D223" s="3" t="s">
        <v>28</v>
      </c>
    </row>
    <row r="224">
      <c r="A224" s="3" t="s">
        <v>793</v>
      </c>
      <c r="B224" s="3" t="s">
        <v>794</v>
      </c>
      <c r="C224" s="3" t="s">
        <v>53</v>
      </c>
      <c r="D224" s="3" t="s">
        <v>28</v>
      </c>
    </row>
    <row r="225">
      <c r="A225" s="3" t="s">
        <v>796</v>
      </c>
      <c r="B225" s="3" t="s">
        <v>798</v>
      </c>
      <c r="C225" s="3" t="s">
        <v>57</v>
      </c>
      <c r="D225" s="3" t="s">
        <v>28</v>
      </c>
    </row>
    <row r="226">
      <c r="A226" s="3" t="s">
        <v>800</v>
      </c>
      <c r="B226" s="3" t="s">
        <v>801</v>
      </c>
      <c r="C226" s="3" t="s">
        <v>139</v>
      </c>
      <c r="D226" s="3" t="s">
        <v>28</v>
      </c>
    </row>
    <row r="227">
      <c r="A227" s="3" t="s">
        <v>805</v>
      </c>
      <c r="B227" s="3" t="s">
        <v>807</v>
      </c>
      <c r="C227" s="3" t="s">
        <v>16</v>
      </c>
      <c r="D227" s="3" t="s">
        <v>28</v>
      </c>
    </row>
    <row r="228">
      <c r="A228" s="3" t="s">
        <v>751</v>
      </c>
      <c r="B228" s="3" t="s">
        <v>809</v>
      </c>
      <c r="C228" s="3" t="s">
        <v>48</v>
      </c>
      <c r="D228" s="3" t="s">
        <v>28</v>
      </c>
    </row>
    <row r="229">
      <c r="A229" s="3" t="s">
        <v>811</v>
      </c>
      <c r="B229" s="3" t="s">
        <v>812</v>
      </c>
      <c r="C229" s="3" t="s">
        <v>53</v>
      </c>
      <c r="D229" s="3" t="s">
        <v>28</v>
      </c>
    </row>
    <row r="230">
      <c r="A230" s="3" t="s">
        <v>816</v>
      </c>
      <c r="B230" s="3" t="s">
        <v>817</v>
      </c>
      <c r="C230" s="3" t="s">
        <v>57</v>
      </c>
      <c r="D230" s="3" t="s">
        <v>28</v>
      </c>
    </row>
    <row r="231">
      <c r="A231" s="3" t="s">
        <v>819</v>
      </c>
      <c r="B231" s="3" t="s">
        <v>820</v>
      </c>
      <c r="C231" s="3" t="s">
        <v>139</v>
      </c>
      <c r="D231" s="3" t="s">
        <v>28</v>
      </c>
    </row>
    <row r="232">
      <c r="A232" s="3" t="s">
        <v>822</v>
      </c>
      <c r="B232" s="3" t="s">
        <v>824</v>
      </c>
      <c r="C232" s="3" t="s">
        <v>16</v>
      </c>
      <c r="D232" s="3" t="s">
        <v>28</v>
      </c>
    </row>
    <row r="233">
      <c r="A233" s="3" t="s">
        <v>826</v>
      </c>
      <c r="B233" s="3" t="s">
        <v>828</v>
      </c>
      <c r="C233" s="3" t="s">
        <v>48</v>
      </c>
      <c r="D233" s="3" t="s">
        <v>28</v>
      </c>
    </row>
    <row r="234">
      <c r="A234" s="3" t="s">
        <v>830</v>
      </c>
      <c r="B234" s="3" t="s">
        <v>832</v>
      </c>
      <c r="C234" s="3" t="s">
        <v>53</v>
      </c>
      <c r="D234" s="3" t="s">
        <v>28</v>
      </c>
    </row>
    <row r="235">
      <c r="A235" s="3" t="s">
        <v>765</v>
      </c>
      <c r="B235" s="3" t="s">
        <v>835</v>
      </c>
      <c r="C235" s="3" t="s">
        <v>57</v>
      </c>
      <c r="D235" s="3" t="s">
        <v>28</v>
      </c>
    </row>
    <row r="236">
      <c r="A236" s="3" t="s">
        <v>838</v>
      </c>
      <c r="B236" s="3" t="s">
        <v>839</v>
      </c>
      <c r="C236" s="3" t="s">
        <v>139</v>
      </c>
      <c r="D236" s="3" t="s">
        <v>28</v>
      </c>
    </row>
    <row r="237">
      <c r="A237" s="3" t="s">
        <v>841</v>
      </c>
      <c r="B237" s="3" t="s">
        <v>842</v>
      </c>
      <c r="C237" s="3" t="s">
        <v>16</v>
      </c>
      <c r="D237" s="3" t="s">
        <v>28</v>
      </c>
    </row>
    <row r="238">
      <c r="A238" s="3" t="s">
        <v>845</v>
      </c>
      <c r="B238" s="3" t="s">
        <v>847</v>
      </c>
      <c r="C238" s="3" t="s">
        <v>48</v>
      </c>
      <c r="D238" s="3" t="s">
        <v>28</v>
      </c>
    </row>
    <row r="239">
      <c r="A239" s="3" t="s">
        <v>848</v>
      </c>
      <c r="B239" s="3" t="s">
        <v>850</v>
      </c>
      <c r="C239" s="3" t="s">
        <v>53</v>
      </c>
      <c r="D239" s="3" t="s">
        <v>28</v>
      </c>
    </row>
    <row r="240">
      <c r="A240" s="3" t="s">
        <v>853</v>
      </c>
      <c r="B240" s="3" t="s">
        <v>854</v>
      </c>
      <c r="C240" s="3" t="s">
        <v>57</v>
      </c>
      <c r="D240" s="3" t="s">
        <v>28</v>
      </c>
    </row>
    <row r="241">
      <c r="A241" s="3" t="s">
        <v>678</v>
      </c>
      <c r="B241" s="3" t="s">
        <v>858</v>
      </c>
      <c r="C241" s="3" t="s">
        <v>139</v>
      </c>
      <c r="D241" s="3" t="s">
        <v>28</v>
      </c>
    </row>
    <row r="242">
      <c r="A242" s="3" t="s">
        <v>860</v>
      </c>
      <c r="B242" s="3" t="s">
        <v>861</v>
      </c>
      <c r="C242" s="3" t="s">
        <v>16</v>
      </c>
      <c r="D242" s="3" t="s">
        <v>28</v>
      </c>
    </row>
    <row r="243">
      <c r="A243" s="3" t="s">
        <v>864</v>
      </c>
      <c r="B243" s="3" t="s">
        <v>865</v>
      </c>
      <c r="C243" s="3" t="s">
        <v>48</v>
      </c>
      <c r="D243" s="3" t="s">
        <v>28</v>
      </c>
    </row>
    <row r="244">
      <c r="A244" s="3" t="s">
        <v>870</v>
      </c>
      <c r="B244" s="3" t="s">
        <v>871</v>
      </c>
      <c r="C244" s="3" t="s">
        <v>53</v>
      </c>
      <c r="D244" s="3" t="s">
        <v>28</v>
      </c>
    </row>
    <row r="245">
      <c r="A245" s="3" t="s">
        <v>657</v>
      </c>
      <c r="B245" s="3" t="s">
        <v>873</v>
      </c>
      <c r="C245" s="3" t="s">
        <v>57</v>
      </c>
      <c r="D245" s="3" t="s">
        <v>28</v>
      </c>
    </row>
    <row r="246">
      <c r="A246" s="3" t="s">
        <v>586</v>
      </c>
      <c r="B246" s="3" t="s">
        <v>875</v>
      </c>
      <c r="C246" s="3" t="s">
        <v>139</v>
      </c>
      <c r="D246" s="3" t="s">
        <v>28</v>
      </c>
    </row>
    <row r="247">
      <c r="A247" s="3" t="s">
        <v>877</v>
      </c>
      <c r="B247" s="3" t="s">
        <v>879</v>
      </c>
      <c r="C247" s="3" t="s">
        <v>16</v>
      </c>
      <c r="D247" s="3" t="s">
        <v>28</v>
      </c>
    </row>
    <row r="248">
      <c r="A248" s="3" t="s">
        <v>523</v>
      </c>
      <c r="B248" s="3" t="s">
        <v>882</v>
      </c>
      <c r="C248" s="3" t="s">
        <v>48</v>
      </c>
      <c r="D248" s="3" t="s">
        <v>28</v>
      </c>
    </row>
    <row r="249">
      <c r="A249" s="3" t="s">
        <v>883</v>
      </c>
      <c r="B249" s="3" t="s">
        <v>884</v>
      </c>
      <c r="C249" s="3" t="s">
        <v>53</v>
      </c>
      <c r="D249" s="3" t="s">
        <v>28</v>
      </c>
    </row>
    <row r="250">
      <c r="A250" s="3" t="s">
        <v>886</v>
      </c>
      <c r="B250" s="3" t="s">
        <v>888</v>
      </c>
      <c r="C250" s="3" t="s">
        <v>57</v>
      </c>
      <c r="D250" s="3" t="s">
        <v>28</v>
      </c>
    </row>
    <row r="251">
      <c r="A251" s="3" t="s">
        <v>600</v>
      </c>
      <c r="B251" s="3" t="s">
        <v>892</v>
      </c>
      <c r="C251" s="3" t="s">
        <v>139</v>
      </c>
      <c r="D251" s="3" t="s">
        <v>28</v>
      </c>
    </row>
    <row r="252">
      <c r="A252" s="3" t="s">
        <v>895</v>
      </c>
      <c r="B252" s="3" t="s">
        <v>896</v>
      </c>
      <c r="C252" s="3" t="s">
        <v>16</v>
      </c>
      <c r="D252" s="3" t="s">
        <v>28</v>
      </c>
    </row>
    <row r="253">
      <c r="A253" s="3" t="s">
        <v>615</v>
      </c>
      <c r="B253" s="3" t="s">
        <v>897</v>
      </c>
      <c r="C253" s="3" t="s">
        <v>48</v>
      </c>
      <c r="D253" s="3" t="s">
        <v>28</v>
      </c>
    </row>
    <row r="254">
      <c r="A254" s="3" t="s">
        <v>546</v>
      </c>
      <c r="B254" s="3" t="s">
        <v>899</v>
      </c>
      <c r="C254" s="3" t="s">
        <v>53</v>
      </c>
      <c r="D254" s="3" t="s">
        <v>28</v>
      </c>
    </row>
    <row r="255">
      <c r="A255" s="3" t="s">
        <v>900</v>
      </c>
      <c r="B255" s="3" t="s">
        <v>901</v>
      </c>
      <c r="C255" s="3" t="s">
        <v>57</v>
      </c>
      <c r="D255" s="3" t="s">
        <v>28</v>
      </c>
    </row>
    <row r="256">
      <c r="A256" s="3" t="s">
        <v>903</v>
      </c>
      <c r="B256" s="3" t="s">
        <v>904</v>
      </c>
      <c r="C256" s="3" t="s">
        <v>139</v>
      </c>
      <c r="D256" s="3" t="s">
        <v>28</v>
      </c>
    </row>
    <row r="257">
      <c r="A257" s="3" t="s">
        <v>906</v>
      </c>
      <c r="B257" s="3" t="s">
        <v>907</v>
      </c>
      <c r="C257" s="3" t="s">
        <v>16</v>
      </c>
      <c r="D257" s="3" t="s">
        <v>28</v>
      </c>
    </row>
    <row r="258">
      <c r="A258" s="3" t="s">
        <v>908</v>
      </c>
      <c r="B258" s="3" t="s">
        <v>909</v>
      </c>
      <c r="C258" s="3" t="s">
        <v>48</v>
      </c>
      <c r="D258" s="3" t="s">
        <v>28</v>
      </c>
    </row>
    <row r="259">
      <c r="A259" s="3" t="s">
        <v>911</v>
      </c>
      <c r="B259" s="3" t="s">
        <v>912</v>
      </c>
      <c r="C259" s="3" t="s">
        <v>53</v>
      </c>
      <c r="D259" s="3" t="s">
        <v>28</v>
      </c>
    </row>
    <row r="260">
      <c r="A260" s="3" t="s">
        <v>913</v>
      </c>
      <c r="B260" s="3" t="s">
        <v>914</v>
      </c>
      <c r="C260" s="3" t="s">
        <v>57</v>
      </c>
      <c r="D260" s="3" t="s">
        <v>28</v>
      </c>
    </row>
    <row r="261">
      <c r="A261" s="3" t="s">
        <v>916</v>
      </c>
      <c r="B261" s="3" t="s">
        <v>917</v>
      </c>
      <c r="C261" s="3" t="s">
        <v>139</v>
      </c>
      <c r="D261" s="3" t="s">
        <v>28</v>
      </c>
    </row>
    <row r="262">
      <c r="A262" s="3" t="s">
        <v>920</v>
      </c>
      <c r="B262" s="3" t="s">
        <v>921</v>
      </c>
      <c r="C262" s="3" t="s">
        <v>16</v>
      </c>
      <c r="D262" s="3" t="s">
        <v>28</v>
      </c>
    </row>
    <row r="263">
      <c r="A263" s="3" t="s">
        <v>922</v>
      </c>
      <c r="B263" s="3" t="s">
        <v>924</v>
      </c>
      <c r="C263" s="3" t="s">
        <v>48</v>
      </c>
      <c r="D263" s="3" t="s">
        <v>28</v>
      </c>
    </row>
    <row r="264">
      <c r="A264" s="3" t="s">
        <v>926</v>
      </c>
      <c r="B264" s="3" t="s">
        <v>927</v>
      </c>
      <c r="C264" s="3" t="s">
        <v>53</v>
      </c>
      <c r="D264" s="3" t="s">
        <v>28</v>
      </c>
    </row>
    <row r="265">
      <c r="A265" s="3" t="s">
        <v>929</v>
      </c>
      <c r="B265" s="3" t="s">
        <v>931</v>
      </c>
      <c r="C265" s="3" t="s">
        <v>57</v>
      </c>
      <c r="D265" s="3" t="s">
        <v>28</v>
      </c>
    </row>
    <row r="266">
      <c r="A266" s="3" t="s">
        <v>758</v>
      </c>
      <c r="B266" s="3" t="s">
        <v>933</v>
      </c>
      <c r="C266" s="3" t="s">
        <v>139</v>
      </c>
      <c r="D266" s="3" t="s">
        <v>28</v>
      </c>
    </row>
    <row r="267">
      <c r="A267" s="3" t="s">
        <v>934</v>
      </c>
      <c r="B267" s="3" t="s">
        <v>936</v>
      </c>
      <c r="C267" s="3" t="s">
        <v>16</v>
      </c>
      <c r="D267" s="3" t="s">
        <v>28</v>
      </c>
    </row>
    <row r="268">
      <c r="A268" s="3" t="s">
        <v>937</v>
      </c>
      <c r="B268" s="3" t="s">
        <v>938</v>
      </c>
      <c r="C268" s="3" t="s">
        <v>48</v>
      </c>
      <c r="D268" s="3" t="s">
        <v>28</v>
      </c>
    </row>
    <row r="269">
      <c r="A269" s="3" t="s">
        <v>939</v>
      </c>
      <c r="B269" s="3" t="s">
        <v>941</v>
      </c>
      <c r="C269" s="3" t="s">
        <v>53</v>
      </c>
      <c r="D269" s="3" t="s">
        <v>28</v>
      </c>
    </row>
    <row r="270">
      <c r="A270" s="3" t="s">
        <v>943</v>
      </c>
      <c r="B270" s="3" t="s">
        <v>944</v>
      </c>
      <c r="C270" s="3" t="s">
        <v>57</v>
      </c>
      <c r="D270" s="3" t="s">
        <v>28</v>
      </c>
    </row>
    <row r="271">
      <c r="A271" s="3" t="s">
        <v>947</v>
      </c>
      <c r="B271" s="3" t="s">
        <v>948</v>
      </c>
      <c r="C271" s="3" t="s">
        <v>139</v>
      </c>
      <c r="D271" s="3" t="s">
        <v>28</v>
      </c>
    </row>
    <row r="272">
      <c r="A272" s="3" t="s">
        <v>949</v>
      </c>
      <c r="B272" s="3" t="s">
        <v>951</v>
      </c>
      <c r="C272" s="3" t="s">
        <v>16</v>
      </c>
      <c r="D272" s="3" t="s">
        <v>28</v>
      </c>
    </row>
    <row r="273">
      <c r="A273" s="3" t="s">
        <v>953</v>
      </c>
      <c r="B273" s="3" t="s">
        <v>955</v>
      </c>
      <c r="C273" s="3" t="s">
        <v>48</v>
      </c>
      <c r="D273" s="3" t="s">
        <v>28</v>
      </c>
    </row>
    <row r="274">
      <c r="A274" s="3" t="s">
        <v>957</v>
      </c>
      <c r="B274" s="3" t="s">
        <v>958</v>
      </c>
      <c r="C274" s="3" t="s">
        <v>53</v>
      </c>
      <c r="D274" s="3" t="s">
        <v>28</v>
      </c>
    </row>
    <row r="275">
      <c r="A275" s="3" t="s">
        <v>961</v>
      </c>
      <c r="B275" s="3" t="s">
        <v>962</v>
      </c>
      <c r="C275" s="3" t="s">
        <v>57</v>
      </c>
      <c r="D275" s="3" t="s">
        <v>28</v>
      </c>
    </row>
    <row r="276">
      <c r="A276" s="3" t="s">
        <v>965</v>
      </c>
      <c r="B276" s="3" t="s">
        <v>966</v>
      </c>
      <c r="C276" s="3" t="s">
        <v>139</v>
      </c>
      <c r="D276" s="3" t="s">
        <v>28</v>
      </c>
    </row>
    <row r="277">
      <c r="A277" s="3" t="s">
        <v>969</v>
      </c>
      <c r="B277" s="3" t="s">
        <v>970</v>
      </c>
      <c r="C277" s="3" t="s">
        <v>16</v>
      </c>
      <c r="D277" s="3" t="s">
        <v>28</v>
      </c>
    </row>
    <row r="278">
      <c r="A278" s="3" t="s">
        <v>972</v>
      </c>
      <c r="B278" s="3" t="s">
        <v>973</v>
      </c>
      <c r="C278" s="3" t="s">
        <v>48</v>
      </c>
      <c r="D278" s="3" t="s">
        <v>28</v>
      </c>
    </row>
    <row r="279">
      <c r="A279" s="3" t="s">
        <v>976</v>
      </c>
      <c r="B279" s="3" t="s">
        <v>978</v>
      </c>
      <c r="C279" s="3" t="s">
        <v>53</v>
      </c>
      <c r="D279" s="3" t="s">
        <v>28</v>
      </c>
    </row>
    <row r="280">
      <c r="A280" s="3" t="s">
        <v>980</v>
      </c>
      <c r="B280" s="3" t="s">
        <v>981</v>
      </c>
      <c r="C280" s="3" t="s">
        <v>57</v>
      </c>
      <c r="D280" s="3" t="s">
        <v>28</v>
      </c>
    </row>
    <row r="281">
      <c r="A281" s="3" t="s">
        <v>734</v>
      </c>
      <c r="B281" s="3" t="s">
        <v>984</v>
      </c>
      <c r="C281" s="3" t="s">
        <v>139</v>
      </c>
      <c r="D281" s="3" t="s">
        <v>28</v>
      </c>
    </row>
    <row r="282">
      <c r="A282" s="3" t="s">
        <v>987</v>
      </c>
      <c r="B282" s="3" t="s">
        <v>988</v>
      </c>
      <c r="C282" s="3" t="s">
        <v>16</v>
      </c>
      <c r="D282" s="3" t="s">
        <v>28</v>
      </c>
    </row>
    <row r="283">
      <c r="A283" s="3" t="s">
        <v>990</v>
      </c>
      <c r="B283" s="3" t="s">
        <v>992</v>
      </c>
      <c r="C283" s="3" t="s">
        <v>48</v>
      </c>
      <c r="D283" s="3" t="s">
        <v>28</v>
      </c>
    </row>
    <row r="284">
      <c r="A284" s="3" t="s">
        <v>993</v>
      </c>
      <c r="B284" s="3" t="s">
        <v>994</v>
      </c>
      <c r="C284" s="3" t="s">
        <v>53</v>
      </c>
      <c r="D284" s="3" t="s">
        <v>28</v>
      </c>
    </row>
    <row r="285">
      <c r="A285" s="3" t="s">
        <v>998</v>
      </c>
      <c r="B285" s="3" t="s">
        <v>999</v>
      </c>
      <c r="C285" s="3" t="s">
        <v>57</v>
      </c>
      <c r="D285" s="3" t="s">
        <v>28</v>
      </c>
    </row>
    <row r="286">
      <c r="A286" s="3" t="s">
        <v>1001</v>
      </c>
      <c r="B286" s="3" t="s">
        <v>1003</v>
      </c>
      <c r="C286" s="3" t="s">
        <v>139</v>
      </c>
      <c r="D286" s="3" t="s">
        <v>28</v>
      </c>
    </row>
    <row r="287">
      <c r="A287" s="3" t="s">
        <v>516</v>
      </c>
      <c r="B287" s="3" t="s">
        <v>1005</v>
      </c>
      <c r="C287" s="3" t="s">
        <v>16</v>
      </c>
      <c r="D287" s="3" t="s">
        <v>28</v>
      </c>
    </row>
    <row r="288">
      <c r="A288" s="3" t="s">
        <v>1008</v>
      </c>
      <c r="B288" s="3" t="s">
        <v>1009</v>
      </c>
      <c r="C288" s="3" t="s">
        <v>48</v>
      </c>
      <c r="D288" s="3" t="s">
        <v>28</v>
      </c>
    </row>
    <row r="289">
      <c r="A289" s="3" t="s">
        <v>1011</v>
      </c>
      <c r="B289" s="3" t="s">
        <v>1013</v>
      </c>
      <c r="C289" s="3" t="s">
        <v>53</v>
      </c>
      <c r="D289" s="3" t="s">
        <v>28</v>
      </c>
    </row>
    <row r="290">
      <c r="A290" s="3" t="s">
        <v>645</v>
      </c>
      <c r="B290" s="3" t="s">
        <v>1016</v>
      </c>
      <c r="C290" s="3" t="s">
        <v>57</v>
      </c>
      <c r="D290" s="3" t="s">
        <v>28</v>
      </c>
    </row>
    <row r="291">
      <c r="A291" s="3" t="s">
        <v>746</v>
      </c>
      <c r="B291" s="3" t="s">
        <v>1018</v>
      </c>
      <c r="C291" s="3" t="s">
        <v>139</v>
      </c>
      <c r="D291" s="3" t="s">
        <v>28</v>
      </c>
    </row>
    <row r="292">
      <c r="A292" s="3" t="s">
        <v>1021</v>
      </c>
      <c r="B292" s="3" t="s">
        <v>1023</v>
      </c>
      <c r="C292" s="3" t="s">
        <v>16</v>
      </c>
      <c r="D292" s="3" t="s">
        <v>28</v>
      </c>
    </row>
    <row r="293">
      <c r="A293" s="3" t="s">
        <v>1026</v>
      </c>
      <c r="B293" s="3" t="s">
        <v>1027</v>
      </c>
      <c r="C293" s="3" t="s">
        <v>48</v>
      </c>
      <c r="D293" s="3" t="s">
        <v>28</v>
      </c>
    </row>
    <row r="294">
      <c r="A294" s="3" t="s">
        <v>1030</v>
      </c>
      <c r="B294" s="3" t="s">
        <v>1032</v>
      </c>
      <c r="C294" s="3" t="s">
        <v>53</v>
      </c>
      <c r="D294" s="3" t="s">
        <v>28</v>
      </c>
    </row>
    <row r="295">
      <c r="A295" s="3" t="s">
        <v>1034</v>
      </c>
      <c r="B295" s="3" t="s">
        <v>1035</v>
      </c>
      <c r="C295" s="3" t="s">
        <v>57</v>
      </c>
      <c r="D295" s="3" t="s">
        <v>28</v>
      </c>
    </row>
    <row r="296">
      <c r="A296" s="3" t="s">
        <v>1037</v>
      </c>
      <c r="B296" s="3" t="s">
        <v>1038</v>
      </c>
      <c r="C296" s="3" t="s">
        <v>139</v>
      </c>
      <c r="D296" s="3" t="s">
        <v>28</v>
      </c>
    </row>
    <row r="297">
      <c r="A297" s="3" t="s">
        <v>1040</v>
      </c>
      <c r="B297" s="3" t="s">
        <v>1042</v>
      </c>
      <c r="C297" s="3" t="s">
        <v>16</v>
      </c>
      <c r="D297" s="3" t="s">
        <v>28</v>
      </c>
    </row>
    <row r="298">
      <c r="A298" s="3" t="s">
        <v>1043</v>
      </c>
      <c r="B298" s="3" t="s">
        <v>1044</v>
      </c>
      <c r="C298" s="3" t="s">
        <v>48</v>
      </c>
      <c r="D298" s="3" t="s">
        <v>28</v>
      </c>
    </row>
    <row r="299">
      <c r="A299" s="3" t="s">
        <v>501</v>
      </c>
      <c r="B299" s="3" t="s">
        <v>1046</v>
      </c>
      <c r="C299" s="3" t="s">
        <v>53</v>
      </c>
      <c r="D299" s="3" t="s">
        <v>28</v>
      </c>
    </row>
    <row r="300">
      <c r="A300" s="3" t="s">
        <v>1028</v>
      </c>
      <c r="B300" s="3" t="s">
        <v>1047</v>
      </c>
      <c r="C300" s="3" t="s">
        <v>57</v>
      </c>
      <c r="D300" s="3" t="s">
        <v>28</v>
      </c>
    </row>
    <row r="301">
      <c r="A301" s="3" t="s">
        <v>1049</v>
      </c>
      <c r="B301" s="3" t="s">
        <v>1050</v>
      </c>
      <c r="C301" s="3" t="s">
        <v>139</v>
      </c>
      <c r="D301" s="3" t="s">
        <v>28</v>
      </c>
    </row>
    <row r="302">
      <c r="D302" s="9"/>
    </row>
    <row r="303">
      <c r="D303" s="9"/>
    </row>
    <row r="304">
      <c r="D304" s="9"/>
    </row>
    <row r="305">
      <c r="D305" s="9"/>
    </row>
    <row r="306">
      <c r="D306" s="9"/>
    </row>
    <row r="307">
      <c r="D307" s="9"/>
    </row>
    <row r="308">
      <c r="D308" s="9"/>
    </row>
    <row r="309">
      <c r="D309" s="9"/>
    </row>
    <row r="310">
      <c r="D310" s="9"/>
    </row>
    <row r="311">
      <c r="D311" s="9"/>
    </row>
    <row r="312">
      <c r="D312" s="9"/>
    </row>
    <row r="313">
      <c r="D313" s="9"/>
    </row>
    <row r="314">
      <c r="D314" s="9"/>
    </row>
    <row r="315">
      <c r="D315" s="9"/>
    </row>
    <row r="316">
      <c r="D316" s="9"/>
    </row>
    <row r="317">
      <c r="D317" s="9"/>
    </row>
    <row r="318">
      <c r="D318" s="9"/>
    </row>
    <row r="319">
      <c r="D319" s="9"/>
    </row>
    <row r="320">
      <c r="D320" s="9"/>
    </row>
    <row r="321">
      <c r="D321" s="9"/>
    </row>
    <row r="322">
      <c r="D322" s="9"/>
    </row>
    <row r="323">
      <c r="D323" s="9"/>
    </row>
    <row r="324">
      <c r="D324" s="9"/>
    </row>
    <row r="325">
      <c r="D325" s="9"/>
    </row>
    <row r="326">
      <c r="D326" s="9"/>
    </row>
    <row r="327">
      <c r="D327" s="9"/>
    </row>
    <row r="328">
      <c r="D328" s="9"/>
    </row>
    <row r="329">
      <c r="D329" s="9"/>
    </row>
    <row r="330">
      <c r="D330" s="9"/>
    </row>
    <row r="331">
      <c r="D331" s="9"/>
    </row>
    <row r="332">
      <c r="D332" s="9"/>
    </row>
    <row r="333">
      <c r="D333" s="9"/>
    </row>
    <row r="334">
      <c r="D334" s="9"/>
    </row>
    <row r="335">
      <c r="D335" s="9"/>
    </row>
    <row r="336">
      <c r="D336" s="9"/>
    </row>
    <row r="337">
      <c r="D337" s="9"/>
    </row>
    <row r="338">
      <c r="D338" s="9"/>
    </row>
    <row r="339">
      <c r="D339" s="9"/>
    </row>
    <row r="340">
      <c r="D340" s="9"/>
    </row>
    <row r="341">
      <c r="D341" s="9"/>
    </row>
    <row r="342">
      <c r="D342" s="9"/>
    </row>
    <row r="343">
      <c r="D343" s="9"/>
    </row>
    <row r="344">
      <c r="D344" s="9"/>
    </row>
    <row r="345">
      <c r="D345" s="9"/>
    </row>
    <row r="346">
      <c r="D346" s="9"/>
    </row>
    <row r="347">
      <c r="D347" s="9"/>
    </row>
    <row r="348">
      <c r="D348" s="9"/>
    </row>
    <row r="349">
      <c r="D349" s="9"/>
    </row>
    <row r="350">
      <c r="D350" s="9"/>
    </row>
    <row r="351">
      <c r="D351" s="9"/>
    </row>
    <row r="352">
      <c r="D352" s="9"/>
    </row>
    <row r="353">
      <c r="D353" s="9"/>
    </row>
    <row r="354">
      <c r="D354" s="9"/>
    </row>
    <row r="355">
      <c r="D355" s="9"/>
    </row>
    <row r="356">
      <c r="D356" s="9"/>
    </row>
    <row r="357">
      <c r="D357" s="9"/>
    </row>
    <row r="358">
      <c r="D358" s="9"/>
    </row>
    <row r="359">
      <c r="D359" s="9"/>
    </row>
    <row r="360">
      <c r="D360" s="9"/>
    </row>
    <row r="361">
      <c r="D361" s="9"/>
    </row>
    <row r="362">
      <c r="D362" s="9"/>
    </row>
    <row r="363">
      <c r="D363" s="9"/>
    </row>
    <row r="364">
      <c r="D364" s="9"/>
    </row>
    <row r="365">
      <c r="D365" s="9"/>
    </row>
    <row r="366">
      <c r="D366" s="9"/>
    </row>
    <row r="367">
      <c r="D367" s="9"/>
    </row>
    <row r="368">
      <c r="D368" s="9"/>
    </row>
    <row r="369">
      <c r="D369" s="9"/>
    </row>
    <row r="370">
      <c r="D370" s="9"/>
    </row>
    <row r="371">
      <c r="D371" s="9"/>
    </row>
    <row r="372">
      <c r="D372" s="9"/>
    </row>
    <row r="373">
      <c r="D373" s="9"/>
    </row>
    <row r="374">
      <c r="D374" s="9"/>
    </row>
    <row r="375">
      <c r="D375" s="9"/>
    </row>
    <row r="376">
      <c r="D376" s="9"/>
    </row>
    <row r="377">
      <c r="D377" s="9"/>
    </row>
    <row r="378">
      <c r="D378" s="9"/>
    </row>
    <row r="379">
      <c r="D379" s="9"/>
    </row>
    <row r="380">
      <c r="D380" s="9"/>
    </row>
    <row r="381">
      <c r="D381" s="9"/>
    </row>
    <row r="382">
      <c r="D382" s="9"/>
    </row>
    <row r="383">
      <c r="D383" s="9"/>
    </row>
    <row r="384">
      <c r="D384" s="9"/>
    </row>
    <row r="385">
      <c r="D385" s="9"/>
    </row>
    <row r="386">
      <c r="D386" s="9"/>
    </row>
    <row r="387">
      <c r="D387" s="9"/>
    </row>
    <row r="388">
      <c r="D388" s="9"/>
    </row>
    <row r="389">
      <c r="D389" s="9"/>
    </row>
    <row r="390">
      <c r="D390" s="9"/>
    </row>
    <row r="391">
      <c r="D391" s="9"/>
    </row>
    <row r="392">
      <c r="D392" s="9"/>
    </row>
    <row r="393">
      <c r="D393" s="9"/>
    </row>
    <row r="394">
      <c r="D394" s="9"/>
    </row>
    <row r="395">
      <c r="D395" s="9"/>
    </row>
    <row r="396">
      <c r="D396" s="9"/>
    </row>
    <row r="397">
      <c r="D397" s="9"/>
    </row>
    <row r="398">
      <c r="D398" s="9"/>
    </row>
    <row r="399">
      <c r="D399" s="9"/>
    </row>
    <row r="400">
      <c r="D400" s="9"/>
    </row>
    <row r="401">
      <c r="D401" s="9"/>
    </row>
    <row r="402">
      <c r="D402" s="9"/>
    </row>
    <row r="403">
      <c r="D403" s="9"/>
    </row>
    <row r="404">
      <c r="D404" s="9"/>
    </row>
    <row r="405">
      <c r="D405" s="9"/>
    </row>
    <row r="406">
      <c r="D406" s="9"/>
    </row>
    <row r="407">
      <c r="D407" s="9"/>
    </row>
    <row r="408">
      <c r="D408" s="9"/>
    </row>
    <row r="409">
      <c r="D409" s="9"/>
    </row>
    <row r="410">
      <c r="D410" s="9"/>
    </row>
    <row r="411">
      <c r="D411" s="9"/>
    </row>
    <row r="412">
      <c r="D412" s="9"/>
    </row>
    <row r="413">
      <c r="D413" s="9"/>
    </row>
    <row r="414">
      <c r="D414" s="9"/>
    </row>
    <row r="415">
      <c r="D415" s="9"/>
    </row>
    <row r="416">
      <c r="D416" s="9"/>
    </row>
    <row r="417">
      <c r="D417" s="9"/>
    </row>
    <row r="418">
      <c r="D418" s="9"/>
    </row>
    <row r="419">
      <c r="D419" s="9"/>
    </row>
    <row r="420">
      <c r="D420" s="9"/>
    </row>
    <row r="421">
      <c r="D421" s="9"/>
    </row>
    <row r="422">
      <c r="D422" s="9"/>
    </row>
    <row r="423">
      <c r="D423" s="9"/>
    </row>
    <row r="424">
      <c r="D424" s="9"/>
    </row>
    <row r="425">
      <c r="D425" s="9"/>
    </row>
    <row r="426">
      <c r="D426" s="9"/>
    </row>
    <row r="427">
      <c r="D427" s="9"/>
    </row>
    <row r="428">
      <c r="D428" s="9"/>
    </row>
    <row r="429">
      <c r="D429" s="9"/>
    </row>
    <row r="430">
      <c r="D430" s="9"/>
    </row>
    <row r="431">
      <c r="D431" s="9"/>
    </row>
    <row r="432">
      <c r="D432" s="9"/>
    </row>
    <row r="433">
      <c r="D433" s="9"/>
    </row>
    <row r="434">
      <c r="D434" s="9"/>
    </row>
    <row r="435">
      <c r="D435" s="9"/>
    </row>
    <row r="436">
      <c r="D436" s="9"/>
    </row>
    <row r="437">
      <c r="D437" s="9"/>
    </row>
    <row r="438">
      <c r="D438" s="9"/>
    </row>
    <row r="439">
      <c r="D439" s="9"/>
    </row>
    <row r="440">
      <c r="D440" s="9"/>
    </row>
    <row r="441">
      <c r="D441" s="9"/>
    </row>
    <row r="442">
      <c r="D442" s="9"/>
    </row>
    <row r="443">
      <c r="D443" s="9"/>
    </row>
    <row r="444">
      <c r="D444" s="9"/>
    </row>
    <row r="445">
      <c r="D445" s="9"/>
    </row>
    <row r="446">
      <c r="D446" s="9"/>
    </row>
    <row r="447">
      <c r="D447" s="9"/>
    </row>
    <row r="448">
      <c r="D448" s="9"/>
    </row>
    <row r="449">
      <c r="D449" s="9"/>
    </row>
    <row r="450">
      <c r="D450" s="9"/>
    </row>
    <row r="451">
      <c r="D451" s="9"/>
    </row>
    <row r="452">
      <c r="D452" s="9"/>
    </row>
    <row r="453">
      <c r="D453" s="9"/>
    </row>
    <row r="454">
      <c r="D454" s="9"/>
    </row>
    <row r="455">
      <c r="D455" s="9"/>
    </row>
    <row r="456">
      <c r="D456" s="9"/>
    </row>
    <row r="457">
      <c r="D457" s="9"/>
    </row>
    <row r="458">
      <c r="D458" s="9"/>
    </row>
    <row r="459">
      <c r="D459" s="9"/>
    </row>
    <row r="460">
      <c r="D460" s="9"/>
    </row>
    <row r="461">
      <c r="D461" s="9"/>
    </row>
    <row r="462">
      <c r="D462" s="9"/>
    </row>
    <row r="463">
      <c r="D463" s="9"/>
    </row>
    <row r="464">
      <c r="D464" s="9"/>
    </row>
    <row r="465">
      <c r="D465" s="9"/>
    </row>
    <row r="466">
      <c r="D466" s="9"/>
    </row>
    <row r="467">
      <c r="D467" s="9"/>
    </row>
    <row r="468">
      <c r="D468" s="9"/>
    </row>
    <row r="469">
      <c r="D469" s="9"/>
    </row>
    <row r="470">
      <c r="D470" s="9"/>
    </row>
    <row r="471">
      <c r="D471" s="9"/>
    </row>
    <row r="472">
      <c r="D472" s="9"/>
    </row>
    <row r="473">
      <c r="D473" s="9"/>
    </row>
    <row r="474">
      <c r="D474" s="9"/>
    </row>
    <row r="475">
      <c r="D475" s="9"/>
    </row>
    <row r="476">
      <c r="D476" s="9"/>
    </row>
    <row r="477">
      <c r="D477" s="9"/>
    </row>
    <row r="478">
      <c r="D478" s="9"/>
    </row>
    <row r="479">
      <c r="D479" s="9"/>
    </row>
    <row r="480">
      <c r="D480" s="9"/>
    </row>
    <row r="481">
      <c r="D481" s="9"/>
    </row>
    <row r="482">
      <c r="D482" s="9"/>
    </row>
    <row r="483">
      <c r="D483" s="9"/>
    </row>
    <row r="484">
      <c r="D484" s="9"/>
    </row>
    <row r="485">
      <c r="D485" s="9"/>
    </row>
    <row r="486">
      <c r="D486" s="9"/>
    </row>
    <row r="487">
      <c r="D487" s="9"/>
    </row>
    <row r="488">
      <c r="D488" s="9"/>
    </row>
    <row r="489">
      <c r="D489" s="9"/>
    </row>
    <row r="490">
      <c r="D490" s="9"/>
    </row>
    <row r="491">
      <c r="D491" s="9"/>
    </row>
    <row r="492">
      <c r="D492" s="9"/>
    </row>
    <row r="493">
      <c r="D493" s="9"/>
    </row>
    <row r="494">
      <c r="D494" s="9"/>
    </row>
    <row r="495">
      <c r="D495" s="9"/>
    </row>
    <row r="496">
      <c r="D496" s="9"/>
    </row>
    <row r="497">
      <c r="D497" s="9"/>
    </row>
    <row r="498">
      <c r="D498" s="9"/>
    </row>
    <row r="499">
      <c r="D499" s="9"/>
    </row>
    <row r="500">
      <c r="D500" s="9"/>
    </row>
    <row r="501">
      <c r="D501" s="9"/>
    </row>
    <row r="502">
      <c r="D502" s="9"/>
    </row>
    <row r="503">
      <c r="D503" s="9"/>
    </row>
    <row r="504">
      <c r="D504" s="9"/>
    </row>
    <row r="505">
      <c r="D505" s="9"/>
    </row>
    <row r="506">
      <c r="D506" s="9"/>
    </row>
    <row r="507">
      <c r="D507" s="9"/>
    </row>
    <row r="508">
      <c r="D508" s="9"/>
    </row>
    <row r="509">
      <c r="D509" s="9"/>
    </row>
    <row r="510">
      <c r="D510" s="9"/>
    </row>
    <row r="511">
      <c r="D511" s="9"/>
    </row>
    <row r="512">
      <c r="D512" s="9"/>
    </row>
    <row r="513">
      <c r="D513" s="9"/>
    </row>
    <row r="514">
      <c r="D514" s="9"/>
    </row>
    <row r="515">
      <c r="D515" s="9"/>
    </row>
    <row r="516">
      <c r="D516" s="9"/>
    </row>
    <row r="517">
      <c r="D517" s="9"/>
    </row>
    <row r="518">
      <c r="D518" s="9"/>
    </row>
    <row r="519">
      <c r="D519" s="9"/>
    </row>
    <row r="520">
      <c r="D520" s="9"/>
    </row>
    <row r="521">
      <c r="D521" s="9"/>
    </row>
    <row r="522">
      <c r="D522" s="9"/>
    </row>
    <row r="523">
      <c r="D523" s="9"/>
    </row>
    <row r="524">
      <c r="D524" s="9"/>
    </row>
    <row r="525">
      <c r="D525" s="9"/>
    </row>
    <row r="526">
      <c r="D526" s="9"/>
    </row>
    <row r="527">
      <c r="D527" s="9"/>
    </row>
    <row r="528">
      <c r="D528" s="9"/>
    </row>
    <row r="529">
      <c r="D529" s="9"/>
    </row>
    <row r="530">
      <c r="D530" s="9"/>
    </row>
    <row r="531">
      <c r="D531" s="9"/>
    </row>
    <row r="532">
      <c r="D532" s="9"/>
    </row>
    <row r="533">
      <c r="D533" s="9"/>
    </row>
    <row r="534">
      <c r="D534" s="9"/>
    </row>
    <row r="535">
      <c r="D535" s="9"/>
    </row>
    <row r="536">
      <c r="D536" s="9"/>
    </row>
    <row r="537">
      <c r="D537" s="9"/>
    </row>
    <row r="538">
      <c r="D538" s="9"/>
    </row>
    <row r="539">
      <c r="D539" s="9"/>
    </row>
    <row r="540">
      <c r="D540" s="9"/>
    </row>
    <row r="541">
      <c r="D541" s="9"/>
    </row>
    <row r="542">
      <c r="D542" s="9"/>
    </row>
    <row r="543">
      <c r="D543" s="9"/>
    </row>
    <row r="544">
      <c r="D544" s="9"/>
    </row>
    <row r="545">
      <c r="D545" s="9"/>
    </row>
    <row r="546">
      <c r="D546" s="9"/>
    </row>
    <row r="547">
      <c r="D547" s="9"/>
    </row>
    <row r="548">
      <c r="D548" s="9"/>
    </row>
    <row r="549">
      <c r="D549" s="9"/>
    </row>
    <row r="550">
      <c r="D550" s="9"/>
    </row>
    <row r="551">
      <c r="D551" s="9"/>
    </row>
    <row r="552">
      <c r="D552" s="9"/>
    </row>
    <row r="553">
      <c r="D553" s="9"/>
    </row>
    <row r="554">
      <c r="D554" s="9"/>
    </row>
    <row r="555">
      <c r="D555" s="9"/>
    </row>
    <row r="556">
      <c r="D556" s="9"/>
    </row>
    <row r="557">
      <c r="D557" s="9"/>
    </row>
    <row r="558">
      <c r="D558" s="9"/>
    </row>
    <row r="559">
      <c r="D559" s="9"/>
    </row>
    <row r="560">
      <c r="D560" s="9"/>
    </row>
    <row r="561">
      <c r="D561" s="9"/>
    </row>
    <row r="562">
      <c r="D562" s="9"/>
    </row>
    <row r="563">
      <c r="D563" s="9"/>
    </row>
    <row r="564">
      <c r="D564" s="9"/>
    </row>
    <row r="565">
      <c r="D565" s="9"/>
    </row>
    <row r="566">
      <c r="D566" s="9"/>
    </row>
    <row r="567">
      <c r="D567" s="9"/>
    </row>
    <row r="568">
      <c r="D568" s="9"/>
    </row>
    <row r="569">
      <c r="D569" s="9"/>
    </row>
    <row r="570">
      <c r="D570" s="9"/>
    </row>
    <row r="571">
      <c r="D571" s="9"/>
    </row>
    <row r="572">
      <c r="D572" s="9"/>
    </row>
    <row r="573">
      <c r="D573" s="9"/>
    </row>
    <row r="574">
      <c r="D574" s="9"/>
    </row>
    <row r="575">
      <c r="D575" s="9"/>
    </row>
    <row r="576">
      <c r="D576" s="9"/>
    </row>
    <row r="577">
      <c r="D577" s="9"/>
    </row>
    <row r="578">
      <c r="D578" s="9"/>
    </row>
    <row r="579">
      <c r="D579" s="9"/>
    </row>
    <row r="580">
      <c r="D580" s="9"/>
    </row>
    <row r="581">
      <c r="D581" s="9"/>
    </row>
    <row r="582">
      <c r="D582" s="9"/>
    </row>
    <row r="583">
      <c r="D583" s="9"/>
    </row>
    <row r="584">
      <c r="D584" s="9"/>
    </row>
    <row r="585">
      <c r="D585" s="9"/>
    </row>
    <row r="586">
      <c r="D586" s="9"/>
    </row>
    <row r="587">
      <c r="D587" s="9"/>
    </row>
    <row r="588">
      <c r="D588" s="9"/>
    </row>
    <row r="589">
      <c r="D589" s="9"/>
    </row>
    <row r="590">
      <c r="D590" s="9"/>
    </row>
    <row r="591">
      <c r="D591" s="9"/>
    </row>
    <row r="592">
      <c r="D592" s="9"/>
    </row>
    <row r="593">
      <c r="D593" s="9"/>
    </row>
    <row r="594">
      <c r="D594" s="9"/>
    </row>
    <row r="595">
      <c r="D595" s="9"/>
    </row>
    <row r="596">
      <c r="D596" s="9"/>
    </row>
    <row r="597">
      <c r="D597" s="9"/>
    </row>
    <row r="598">
      <c r="D598" s="9"/>
    </row>
    <row r="599">
      <c r="D599" s="9"/>
    </row>
    <row r="600">
      <c r="D600" s="9"/>
    </row>
    <row r="601">
      <c r="D601" s="9"/>
    </row>
    <row r="602">
      <c r="D602" s="9"/>
    </row>
    <row r="603">
      <c r="D603" s="9"/>
    </row>
    <row r="604">
      <c r="D604" s="9"/>
    </row>
    <row r="605">
      <c r="D605" s="9"/>
    </row>
    <row r="606">
      <c r="D606" s="9"/>
    </row>
    <row r="607">
      <c r="D607" s="9"/>
    </row>
    <row r="608">
      <c r="D608" s="9"/>
    </row>
    <row r="609">
      <c r="D609" s="9"/>
    </row>
    <row r="610">
      <c r="D610" s="9"/>
    </row>
    <row r="611">
      <c r="D611" s="9"/>
    </row>
    <row r="612">
      <c r="D612" s="9"/>
    </row>
    <row r="613">
      <c r="D613" s="9"/>
    </row>
    <row r="614">
      <c r="D614" s="9"/>
    </row>
    <row r="615">
      <c r="D615" s="9"/>
    </row>
    <row r="616">
      <c r="D616" s="9"/>
    </row>
    <row r="617">
      <c r="D617" s="9"/>
    </row>
    <row r="618">
      <c r="D618" s="9"/>
    </row>
    <row r="619">
      <c r="D619" s="9"/>
    </row>
    <row r="620">
      <c r="D620" s="9"/>
    </row>
    <row r="621">
      <c r="D621" s="9"/>
    </row>
    <row r="622">
      <c r="D622" s="9"/>
    </row>
    <row r="623">
      <c r="D623" s="9"/>
    </row>
    <row r="624">
      <c r="D624" s="9"/>
    </row>
    <row r="625">
      <c r="D625" s="9"/>
    </row>
    <row r="626">
      <c r="D626" s="9"/>
    </row>
    <row r="627">
      <c r="D627" s="9"/>
    </row>
    <row r="628">
      <c r="D628" s="9"/>
    </row>
    <row r="629">
      <c r="D629" s="9"/>
    </row>
    <row r="630">
      <c r="D630" s="9"/>
    </row>
    <row r="631">
      <c r="D631" s="9"/>
    </row>
    <row r="632">
      <c r="D632" s="9"/>
    </row>
    <row r="633">
      <c r="D633" s="9"/>
    </row>
    <row r="634">
      <c r="D634" s="9"/>
    </row>
    <row r="635">
      <c r="D635" s="9"/>
    </row>
    <row r="636">
      <c r="D636" s="9"/>
    </row>
    <row r="637">
      <c r="D637" s="9"/>
    </row>
    <row r="638">
      <c r="D638" s="9"/>
    </row>
    <row r="639">
      <c r="D639" s="9"/>
    </row>
    <row r="640">
      <c r="D640" s="9"/>
    </row>
    <row r="641">
      <c r="D641" s="9"/>
    </row>
    <row r="642">
      <c r="D642" s="9"/>
    </row>
    <row r="643">
      <c r="D643" s="9"/>
    </row>
    <row r="644">
      <c r="D644" s="9"/>
    </row>
    <row r="645">
      <c r="D645" s="9"/>
    </row>
    <row r="646">
      <c r="D646" s="9"/>
    </row>
    <row r="647">
      <c r="D647" s="9"/>
    </row>
    <row r="648">
      <c r="D648" s="9"/>
    </row>
    <row r="649">
      <c r="D649" s="9"/>
    </row>
    <row r="650">
      <c r="D650" s="9"/>
    </row>
    <row r="651">
      <c r="D651" s="9"/>
    </row>
    <row r="652">
      <c r="D652" s="9"/>
    </row>
    <row r="653">
      <c r="D653" s="9"/>
    </row>
    <row r="654">
      <c r="D654" s="9"/>
    </row>
    <row r="655">
      <c r="D655" s="9"/>
    </row>
    <row r="656">
      <c r="D656" s="9"/>
    </row>
    <row r="657">
      <c r="D657" s="9"/>
    </row>
    <row r="658">
      <c r="D658" s="9"/>
    </row>
    <row r="659">
      <c r="D659" s="9"/>
    </row>
    <row r="660">
      <c r="D660" s="9"/>
    </row>
    <row r="661">
      <c r="D661" s="9"/>
    </row>
    <row r="662">
      <c r="D662" s="9"/>
    </row>
    <row r="663">
      <c r="D663" s="9"/>
    </row>
    <row r="664">
      <c r="D664" s="9"/>
    </row>
    <row r="665">
      <c r="D665" s="9"/>
    </row>
    <row r="666">
      <c r="D666" s="9"/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  <row r="878">
      <c r="D878" s="9"/>
    </row>
    <row r="879">
      <c r="D879" s="9"/>
    </row>
    <row r="880">
      <c r="D880" s="9"/>
    </row>
    <row r="881">
      <c r="D881" s="9"/>
    </row>
    <row r="882">
      <c r="D882" s="9"/>
    </row>
    <row r="883">
      <c r="D883" s="9"/>
    </row>
    <row r="884">
      <c r="D884" s="9"/>
    </row>
    <row r="885">
      <c r="D885" s="9"/>
    </row>
    <row r="886">
      <c r="D886" s="9"/>
    </row>
    <row r="887">
      <c r="D887" s="9"/>
    </row>
    <row r="888">
      <c r="D888" s="9"/>
    </row>
    <row r="889">
      <c r="D889" s="9"/>
    </row>
    <row r="890">
      <c r="D890" s="9"/>
    </row>
    <row r="891">
      <c r="D891" s="9"/>
    </row>
    <row r="892">
      <c r="D892" s="9"/>
    </row>
    <row r="893">
      <c r="D893" s="9"/>
    </row>
    <row r="894">
      <c r="D894" s="9"/>
    </row>
    <row r="895">
      <c r="D895" s="9"/>
    </row>
    <row r="896">
      <c r="D896" s="9"/>
    </row>
    <row r="897">
      <c r="D897" s="9"/>
    </row>
    <row r="898">
      <c r="D898" s="9"/>
    </row>
    <row r="899">
      <c r="D899" s="9"/>
    </row>
    <row r="900">
      <c r="D900" s="9"/>
    </row>
    <row r="901">
      <c r="D901" s="9"/>
    </row>
    <row r="902">
      <c r="D902" s="9"/>
    </row>
    <row r="903">
      <c r="D903" s="9"/>
    </row>
    <row r="904">
      <c r="D904" s="9"/>
    </row>
    <row r="905">
      <c r="D905" s="9"/>
    </row>
    <row r="906">
      <c r="D906" s="9"/>
    </row>
    <row r="907">
      <c r="D907" s="9"/>
    </row>
    <row r="908">
      <c r="D908" s="9"/>
    </row>
    <row r="909">
      <c r="D909" s="9"/>
    </row>
    <row r="910">
      <c r="D910" s="9"/>
    </row>
    <row r="911">
      <c r="D911" s="9"/>
    </row>
    <row r="912">
      <c r="D912" s="9"/>
    </row>
    <row r="913">
      <c r="D913" s="9"/>
    </row>
    <row r="914">
      <c r="D914" s="9"/>
    </row>
    <row r="915">
      <c r="D915" s="9"/>
    </row>
    <row r="916">
      <c r="D916" s="9"/>
    </row>
    <row r="917">
      <c r="D917" s="9"/>
    </row>
    <row r="918">
      <c r="D918" s="9"/>
    </row>
    <row r="919">
      <c r="D919" s="9"/>
    </row>
    <row r="920">
      <c r="D920" s="9"/>
    </row>
    <row r="921">
      <c r="D921" s="9"/>
    </row>
    <row r="922">
      <c r="D922" s="9"/>
    </row>
    <row r="923">
      <c r="D923" s="9"/>
    </row>
    <row r="924">
      <c r="D924" s="9"/>
    </row>
    <row r="925">
      <c r="D925" s="9"/>
    </row>
    <row r="926">
      <c r="D926" s="9"/>
    </row>
    <row r="927">
      <c r="D927" s="9"/>
    </row>
    <row r="928">
      <c r="D928" s="9"/>
    </row>
    <row r="929">
      <c r="D929" s="9"/>
    </row>
    <row r="930">
      <c r="D930" s="9"/>
    </row>
    <row r="931">
      <c r="D931" s="9"/>
    </row>
    <row r="932">
      <c r="D932" s="9"/>
    </row>
    <row r="933">
      <c r="D933" s="9"/>
    </row>
    <row r="934">
      <c r="D934" s="9"/>
    </row>
    <row r="935">
      <c r="D935" s="9"/>
    </row>
    <row r="936">
      <c r="D936" s="9"/>
    </row>
    <row r="937">
      <c r="D937" s="9"/>
    </row>
    <row r="938">
      <c r="D938" s="9"/>
    </row>
    <row r="939">
      <c r="D939" s="9"/>
    </row>
    <row r="940">
      <c r="D940" s="9"/>
    </row>
    <row r="941">
      <c r="D941" s="9"/>
    </row>
    <row r="942">
      <c r="D942" s="9"/>
    </row>
    <row r="943">
      <c r="D943" s="9"/>
    </row>
    <row r="944">
      <c r="D944" s="9"/>
    </row>
    <row r="945">
      <c r="D945" s="9"/>
    </row>
    <row r="946">
      <c r="D946" s="9"/>
    </row>
    <row r="947">
      <c r="D947" s="9"/>
    </row>
    <row r="948">
      <c r="D948" s="9"/>
    </row>
    <row r="949">
      <c r="D949" s="9"/>
    </row>
    <row r="950">
      <c r="D950" s="9"/>
    </row>
    <row r="951">
      <c r="D951" s="9"/>
    </row>
    <row r="952">
      <c r="D952" s="9"/>
    </row>
    <row r="953">
      <c r="D953" s="9"/>
    </row>
    <row r="954">
      <c r="D954" s="9"/>
    </row>
    <row r="955">
      <c r="D955" s="9"/>
    </row>
    <row r="956">
      <c r="D956" s="9"/>
    </row>
    <row r="957">
      <c r="D957" s="9"/>
    </row>
    <row r="958">
      <c r="D958" s="9"/>
    </row>
    <row r="959">
      <c r="D959" s="9"/>
    </row>
    <row r="960">
      <c r="D960" s="9"/>
    </row>
    <row r="961">
      <c r="D961" s="9"/>
    </row>
    <row r="962">
      <c r="D962" s="9"/>
    </row>
    <row r="963">
      <c r="D963" s="9"/>
    </row>
    <row r="964">
      <c r="D964" s="9"/>
    </row>
    <row r="965">
      <c r="D965" s="9"/>
    </row>
    <row r="966">
      <c r="D966" s="9"/>
    </row>
    <row r="967">
      <c r="D967" s="9"/>
    </row>
    <row r="968">
      <c r="D968" s="9"/>
    </row>
    <row r="969">
      <c r="D969" s="9"/>
    </row>
    <row r="970">
      <c r="D970" s="9"/>
    </row>
    <row r="971">
      <c r="D971" s="9"/>
    </row>
    <row r="972">
      <c r="D972" s="9"/>
    </row>
    <row r="973">
      <c r="D973" s="9"/>
    </row>
    <row r="974">
      <c r="D974" s="9"/>
    </row>
    <row r="975">
      <c r="D975" s="9"/>
    </row>
    <row r="976">
      <c r="D976" s="9"/>
    </row>
    <row r="977">
      <c r="D977" s="9"/>
    </row>
    <row r="978">
      <c r="D978" s="9"/>
    </row>
    <row r="979">
      <c r="D979" s="9"/>
    </row>
    <row r="980">
      <c r="D980" s="9"/>
    </row>
    <row r="981">
      <c r="D981" s="9"/>
    </row>
    <row r="982">
      <c r="D982" s="9"/>
    </row>
    <row r="983">
      <c r="D983" s="9"/>
    </row>
    <row r="984">
      <c r="D984" s="9"/>
    </row>
    <row r="985">
      <c r="D985" s="9"/>
    </row>
    <row r="986">
      <c r="D986" s="9"/>
    </row>
    <row r="987">
      <c r="D987" s="9"/>
    </row>
    <row r="988">
      <c r="D988" s="9"/>
    </row>
    <row r="989">
      <c r="D989" s="9"/>
    </row>
    <row r="990">
      <c r="D990" s="9"/>
    </row>
    <row r="991">
      <c r="D991" s="9"/>
    </row>
    <row r="992">
      <c r="D992" s="9"/>
    </row>
    <row r="993">
      <c r="D993" s="9"/>
    </row>
    <row r="994">
      <c r="D994" s="9"/>
    </row>
    <row r="995">
      <c r="D995" s="9"/>
    </row>
    <row r="996">
      <c r="D996" s="9"/>
    </row>
    <row r="997">
      <c r="D997" s="9"/>
    </row>
    <row r="998">
      <c r="D998" s="9"/>
    </row>
    <row r="999">
      <c r="D999" s="9"/>
    </row>
    <row r="1000">
      <c r="D1000" s="9"/>
    </row>
  </sheetData>
  <autoFilter ref="$A$1:$D$301"/>
  <dataValidations>
    <dataValidation type="list" allowBlank="1" showErrorMessage="1" sqref="D2:D1000">
      <formula1>"Employee,Manager,Operator"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6.63"/>
    <col customWidth="1" min="3" max="3" width="12.63"/>
    <col customWidth="1" min="4" max="4" width="7.5"/>
    <col customWidth="1" min="5" max="5" width="7.63"/>
  </cols>
  <sheetData>
    <row r="1">
      <c r="A1" s="1" t="s">
        <v>1</v>
      </c>
      <c r="B1" s="1" t="s">
        <v>5</v>
      </c>
      <c r="C1" s="1" t="s">
        <v>8</v>
      </c>
      <c r="D1" s="1" t="s">
        <v>11</v>
      </c>
      <c r="E1" s="1" t="s">
        <v>14</v>
      </c>
    </row>
    <row r="2">
      <c r="A2" s="3" t="s">
        <v>18</v>
      </c>
      <c r="B2" s="3" t="s">
        <v>19</v>
      </c>
      <c r="C2" s="3" t="s">
        <v>21</v>
      </c>
      <c r="D2" s="3" t="s">
        <v>33</v>
      </c>
      <c r="E2" s="3" t="s">
        <v>10</v>
      </c>
    </row>
    <row r="3">
      <c r="A3" s="3" t="s">
        <v>37</v>
      </c>
      <c r="B3" s="3" t="s">
        <v>39</v>
      </c>
      <c r="C3" s="3" t="s">
        <v>40</v>
      </c>
      <c r="D3" s="3" t="s">
        <v>44</v>
      </c>
      <c r="E3" s="5" t="s">
        <v>45</v>
      </c>
    </row>
    <row r="4">
      <c r="A4" s="3" t="s">
        <v>49</v>
      </c>
      <c r="B4" s="3" t="s">
        <v>19</v>
      </c>
      <c r="C4" s="3" t="s">
        <v>51</v>
      </c>
      <c r="D4" s="3" t="s">
        <v>44</v>
      </c>
      <c r="E4" s="3" t="s">
        <v>45</v>
      </c>
    </row>
    <row r="5">
      <c r="A5" s="3" t="s">
        <v>58</v>
      </c>
      <c r="B5" s="3" t="s">
        <v>19</v>
      </c>
      <c r="C5" s="3" t="s">
        <v>61</v>
      </c>
      <c r="D5" s="3" t="s">
        <v>44</v>
      </c>
      <c r="E5" s="3" t="s">
        <v>45</v>
      </c>
    </row>
    <row r="6">
      <c r="A6" s="3" t="s">
        <v>64</v>
      </c>
      <c r="B6" s="3" t="s">
        <v>19</v>
      </c>
      <c r="C6" s="3" t="s">
        <v>67</v>
      </c>
      <c r="D6" s="3" t="s">
        <v>44</v>
      </c>
      <c r="E6" s="3" t="s">
        <v>45</v>
      </c>
    </row>
    <row r="7">
      <c r="A7" s="3" t="s">
        <v>71</v>
      </c>
      <c r="B7" s="3" t="s">
        <v>19</v>
      </c>
      <c r="C7" s="3" t="s">
        <v>74</v>
      </c>
      <c r="D7" s="3" t="s">
        <v>44</v>
      </c>
      <c r="E7" s="3" t="s">
        <v>45</v>
      </c>
    </row>
    <row r="8">
      <c r="A8" s="3" t="s">
        <v>78</v>
      </c>
      <c r="B8" s="3" t="s">
        <v>19</v>
      </c>
      <c r="C8" s="3" t="s">
        <v>81</v>
      </c>
      <c r="D8" s="3" t="s">
        <v>44</v>
      </c>
      <c r="E8" s="3" t="s">
        <v>45</v>
      </c>
    </row>
    <row r="9">
      <c r="A9" s="3" t="s">
        <v>87</v>
      </c>
      <c r="B9" s="3" t="s">
        <v>19</v>
      </c>
      <c r="C9" s="3" t="s">
        <v>88</v>
      </c>
      <c r="D9" s="3" t="s">
        <v>44</v>
      </c>
      <c r="E9" s="3" t="s">
        <v>45</v>
      </c>
    </row>
    <row r="10">
      <c r="A10" s="3" t="s">
        <v>94</v>
      </c>
      <c r="B10" s="3" t="s">
        <v>19</v>
      </c>
      <c r="C10" s="3" t="s">
        <v>96</v>
      </c>
      <c r="D10" s="3" t="s">
        <v>44</v>
      </c>
      <c r="E10" s="3" t="s">
        <v>45</v>
      </c>
    </row>
    <row r="11">
      <c r="A11" s="3" t="s">
        <v>101</v>
      </c>
      <c r="B11" s="3" t="s">
        <v>19</v>
      </c>
      <c r="C11" s="3" t="s">
        <v>103</v>
      </c>
      <c r="D11" s="3" t="s">
        <v>44</v>
      </c>
      <c r="E11" s="3" t="s">
        <v>45</v>
      </c>
    </row>
    <row r="12">
      <c r="A12" s="3" t="s">
        <v>105</v>
      </c>
      <c r="B12" s="3" t="s">
        <v>19</v>
      </c>
      <c r="C12" s="3" t="s">
        <v>106</v>
      </c>
      <c r="D12" s="3" t="s">
        <v>44</v>
      </c>
      <c r="E12" s="3" t="s">
        <v>45</v>
      </c>
    </row>
    <row r="13">
      <c r="A13" s="3" t="s">
        <v>107</v>
      </c>
      <c r="B13" s="3" t="s">
        <v>19</v>
      </c>
      <c r="C13" s="3" t="s">
        <v>108</v>
      </c>
      <c r="D13" s="3" t="s">
        <v>44</v>
      </c>
      <c r="E13" s="3" t="s">
        <v>45</v>
      </c>
    </row>
    <row r="14">
      <c r="A14" s="3" t="s">
        <v>114</v>
      </c>
      <c r="B14" s="3" t="s">
        <v>19</v>
      </c>
      <c r="C14" s="3" t="s">
        <v>117</v>
      </c>
      <c r="D14" s="3" t="s">
        <v>44</v>
      </c>
      <c r="E14" s="3" t="s">
        <v>45</v>
      </c>
    </row>
    <row r="15">
      <c r="A15" s="3" t="s">
        <v>120</v>
      </c>
      <c r="B15" s="3" t="s">
        <v>19</v>
      </c>
      <c r="C15" s="3" t="s">
        <v>122</v>
      </c>
      <c r="D15" s="3" t="s">
        <v>44</v>
      </c>
      <c r="E15" s="3" t="s">
        <v>45</v>
      </c>
    </row>
    <row r="16">
      <c r="A16" s="3" t="s">
        <v>125</v>
      </c>
      <c r="B16" s="3" t="s">
        <v>19</v>
      </c>
      <c r="C16" s="3" t="s">
        <v>127</v>
      </c>
      <c r="D16" s="3" t="s">
        <v>44</v>
      </c>
      <c r="E16" s="3" t="s">
        <v>45</v>
      </c>
    </row>
    <row r="17">
      <c r="A17" s="3" t="s">
        <v>132</v>
      </c>
      <c r="B17" s="3" t="s">
        <v>19</v>
      </c>
      <c r="C17" s="3" t="s">
        <v>134</v>
      </c>
      <c r="D17" s="3" t="s">
        <v>44</v>
      </c>
      <c r="E17" s="3" t="s">
        <v>45</v>
      </c>
    </row>
    <row r="18">
      <c r="A18" s="3" t="s">
        <v>140</v>
      </c>
      <c r="B18" s="3" t="s">
        <v>19</v>
      </c>
      <c r="C18" s="3" t="s">
        <v>143</v>
      </c>
      <c r="D18" s="3" t="s">
        <v>44</v>
      </c>
      <c r="E18" s="3" t="s">
        <v>45</v>
      </c>
    </row>
    <row r="19">
      <c r="A19" s="3" t="s">
        <v>147</v>
      </c>
      <c r="B19" s="3" t="s">
        <v>19</v>
      </c>
      <c r="C19" s="3" t="s">
        <v>149</v>
      </c>
      <c r="D19" s="3" t="s">
        <v>44</v>
      </c>
      <c r="E19" s="3" t="s">
        <v>45</v>
      </c>
    </row>
    <row r="20">
      <c r="A20" s="3" t="s">
        <v>153</v>
      </c>
      <c r="B20" s="3" t="s">
        <v>19</v>
      </c>
      <c r="C20" s="3" t="s">
        <v>155</v>
      </c>
      <c r="D20" s="3" t="s">
        <v>44</v>
      </c>
      <c r="E20" s="3" t="s">
        <v>45</v>
      </c>
    </row>
    <row r="21">
      <c r="A21" s="3" t="s">
        <v>161</v>
      </c>
      <c r="B21" s="3" t="s">
        <v>19</v>
      </c>
      <c r="C21" s="3" t="s">
        <v>164</v>
      </c>
      <c r="D21" s="3" t="s">
        <v>44</v>
      </c>
      <c r="E21" s="3" t="s">
        <v>45</v>
      </c>
    </row>
    <row r="22">
      <c r="A22" s="3" t="s">
        <v>167</v>
      </c>
      <c r="B22" s="3" t="s">
        <v>19</v>
      </c>
      <c r="C22" s="3" t="s">
        <v>170</v>
      </c>
      <c r="D22" s="3" t="s">
        <v>44</v>
      </c>
      <c r="E22" s="3" t="s">
        <v>45</v>
      </c>
    </row>
    <row r="23">
      <c r="A23" s="3" t="s">
        <v>174</v>
      </c>
      <c r="B23" s="3" t="s">
        <v>19</v>
      </c>
      <c r="C23" s="3" t="s">
        <v>178</v>
      </c>
      <c r="D23" s="3" t="s">
        <v>44</v>
      </c>
      <c r="E23" s="3" t="s">
        <v>45</v>
      </c>
    </row>
    <row r="24">
      <c r="A24" s="3" t="s">
        <v>182</v>
      </c>
      <c r="B24" s="3" t="s">
        <v>19</v>
      </c>
      <c r="C24" s="3" t="s">
        <v>185</v>
      </c>
      <c r="D24" s="3" t="s">
        <v>44</v>
      </c>
      <c r="E24" s="3" t="s">
        <v>45</v>
      </c>
    </row>
    <row r="25">
      <c r="A25" s="3" t="s">
        <v>190</v>
      </c>
      <c r="B25" s="3" t="s">
        <v>19</v>
      </c>
      <c r="C25" s="3" t="s">
        <v>192</v>
      </c>
      <c r="D25" s="3" t="s">
        <v>44</v>
      </c>
      <c r="E25" s="3" t="s">
        <v>45</v>
      </c>
    </row>
    <row r="26">
      <c r="A26" s="3" t="s">
        <v>199</v>
      </c>
      <c r="B26" s="3" t="s">
        <v>19</v>
      </c>
      <c r="C26" s="3" t="s">
        <v>201</v>
      </c>
      <c r="D26" s="3" t="s">
        <v>44</v>
      </c>
      <c r="E26" s="3" t="s">
        <v>45</v>
      </c>
    </row>
    <row r="27">
      <c r="A27" s="3" t="s">
        <v>207</v>
      </c>
      <c r="B27" s="3" t="s">
        <v>19</v>
      </c>
      <c r="C27" s="3" t="s">
        <v>209</v>
      </c>
      <c r="D27" s="3" t="s">
        <v>44</v>
      </c>
      <c r="E27" s="3" t="s">
        <v>45</v>
      </c>
    </row>
    <row r="28">
      <c r="A28" s="3" t="s">
        <v>214</v>
      </c>
      <c r="B28" s="3" t="s">
        <v>19</v>
      </c>
      <c r="C28" s="3" t="s">
        <v>216</v>
      </c>
      <c r="D28" s="3" t="s">
        <v>44</v>
      </c>
      <c r="E28" s="3" t="s">
        <v>45</v>
      </c>
    </row>
    <row r="29">
      <c r="A29" s="3" t="s">
        <v>222</v>
      </c>
      <c r="B29" s="3" t="s">
        <v>19</v>
      </c>
      <c r="C29" s="3" t="s">
        <v>223</v>
      </c>
      <c r="D29" s="3" t="s">
        <v>44</v>
      </c>
      <c r="E29" s="3" t="s">
        <v>45</v>
      </c>
    </row>
    <row r="30">
      <c r="A30" s="3" t="s">
        <v>229</v>
      </c>
      <c r="B30" s="3" t="s">
        <v>19</v>
      </c>
      <c r="C30" s="3" t="s">
        <v>232</v>
      </c>
      <c r="D30" s="3" t="s">
        <v>44</v>
      </c>
      <c r="E30" s="3" t="s">
        <v>45</v>
      </c>
    </row>
    <row r="31">
      <c r="A31" s="3" t="s">
        <v>235</v>
      </c>
      <c r="B31" s="3" t="s">
        <v>19</v>
      </c>
      <c r="C31" s="3" t="s">
        <v>237</v>
      </c>
      <c r="D31" s="3" t="s">
        <v>44</v>
      </c>
      <c r="E31" s="3" t="s">
        <v>45</v>
      </c>
    </row>
    <row r="32">
      <c r="A32" s="3" t="s">
        <v>242</v>
      </c>
      <c r="B32" s="3" t="s">
        <v>19</v>
      </c>
      <c r="C32" s="3" t="s">
        <v>244</v>
      </c>
      <c r="D32" s="3" t="s">
        <v>44</v>
      </c>
      <c r="E32" s="3" t="s">
        <v>45</v>
      </c>
    </row>
    <row r="33">
      <c r="A33" s="3" t="s">
        <v>249</v>
      </c>
      <c r="B33" s="3" t="s">
        <v>19</v>
      </c>
      <c r="C33" s="3" t="s">
        <v>252</v>
      </c>
      <c r="D33" s="3" t="s">
        <v>44</v>
      </c>
      <c r="E33" s="3" t="s">
        <v>45</v>
      </c>
    </row>
    <row r="34">
      <c r="A34" s="3" t="s">
        <v>255</v>
      </c>
      <c r="B34" s="3" t="s">
        <v>19</v>
      </c>
      <c r="C34" s="3" t="s">
        <v>259</v>
      </c>
      <c r="D34" s="3" t="s">
        <v>44</v>
      </c>
      <c r="E34" s="3" t="s">
        <v>45</v>
      </c>
    </row>
    <row r="35">
      <c r="A35" s="3" t="s">
        <v>265</v>
      </c>
      <c r="B35" s="3" t="s">
        <v>19</v>
      </c>
      <c r="C35" s="3" t="s">
        <v>267</v>
      </c>
      <c r="D35" s="3" t="s">
        <v>44</v>
      </c>
      <c r="E35" s="3" t="s">
        <v>45</v>
      </c>
    </row>
    <row r="36">
      <c r="A36" s="3" t="s">
        <v>271</v>
      </c>
      <c r="B36" s="3" t="s">
        <v>19</v>
      </c>
      <c r="C36" s="3" t="s">
        <v>274</v>
      </c>
      <c r="D36" s="3" t="s">
        <v>44</v>
      </c>
      <c r="E36" s="3" t="s">
        <v>45</v>
      </c>
    </row>
    <row r="37">
      <c r="A37" s="3" t="s">
        <v>278</v>
      </c>
      <c r="B37" s="3" t="s">
        <v>19</v>
      </c>
      <c r="C37" s="3" t="s">
        <v>279</v>
      </c>
      <c r="D37" s="3" t="s">
        <v>44</v>
      </c>
      <c r="E37" s="3" t="s">
        <v>45</v>
      </c>
    </row>
    <row r="38">
      <c r="A38" s="3" t="s">
        <v>283</v>
      </c>
      <c r="B38" s="3" t="s">
        <v>19</v>
      </c>
      <c r="C38" s="3" t="s">
        <v>286</v>
      </c>
      <c r="D38" s="3" t="s">
        <v>44</v>
      </c>
      <c r="E38" s="3" t="s">
        <v>45</v>
      </c>
    </row>
    <row r="39">
      <c r="A39" s="3" t="s">
        <v>292</v>
      </c>
      <c r="B39" s="3" t="s">
        <v>19</v>
      </c>
      <c r="C39" s="3" t="s">
        <v>294</v>
      </c>
      <c r="D39" s="3" t="s">
        <v>44</v>
      </c>
      <c r="E39" s="3" t="s">
        <v>45</v>
      </c>
    </row>
    <row r="40">
      <c r="A40" s="3" t="s">
        <v>298</v>
      </c>
      <c r="B40" s="3" t="s">
        <v>19</v>
      </c>
      <c r="C40" s="3" t="s">
        <v>300</v>
      </c>
      <c r="D40" s="3" t="s">
        <v>44</v>
      </c>
      <c r="E40" s="3" t="s">
        <v>45</v>
      </c>
    </row>
    <row r="41">
      <c r="A41" s="3" t="s">
        <v>304</v>
      </c>
      <c r="B41" s="3" t="s">
        <v>19</v>
      </c>
      <c r="C41" s="3" t="s">
        <v>305</v>
      </c>
      <c r="D41" s="3" t="s">
        <v>44</v>
      </c>
      <c r="E41" s="3" t="s">
        <v>45</v>
      </c>
    </row>
    <row r="42">
      <c r="A42" s="3" t="s">
        <v>312</v>
      </c>
      <c r="B42" s="3" t="s">
        <v>19</v>
      </c>
      <c r="C42" s="3" t="s">
        <v>315</v>
      </c>
      <c r="D42" s="3" t="s">
        <v>44</v>
      </c>
      <c r="E42" s="3" t="s">
        <v>45</v>
      </c>
    </row>
    <row r="43">
      <c r="A43" s="3" t="s">
        <v>318</v>
      </c>
      <c r="B43" s="3" t="s">
        <v>19</v>
      </c>
      <c r="C43" s="3" t="s">
        <v>321</v>
      </c>
      <c r="D43" s="3" t="s">
        <v>44</v>
      </c>
      <c r="E43" s="3" t="s">
        <v>45</v>
      </c>
    </row>
    <row r="44">
      <c r="A44" s="3" t="s">
        <v>324</v>
      </c>
      <c r="B44" s="3" t="s">
        <v>19</v>
      </c>
      <c r="C44" s="3" t="s">
        <v>328</v>
      </c>
      <c r="D44" s="3" t="s">
        <v>44</v>
      </c>
      <c r="E44" s="3" t="s">
        <v>45</v>
      </c>
    </row>
    <row r="45">
      <c r="A45" s="3" t="s">
        <v>332</v>
      </c>
      <c r="B45" s="3" t="s">
        <v>19</v>
      </c>
      <c r="C45" s="3" t="s">
        <v>335</v>
      </c>
      <c r="D45" s="3" t="s">
        <v>44</v>
      </c>
      <c r="E45" s="3" t="s">
        <v>45</v>
      </c>
    </row>
    <row r="46">
      <c r="A46" s="3" t="s">
        <v>338</v>
      </c>
      <c r="B46" s="3" t="s">
        <v>19</v>
      </c>
      <c r="C46" s="3" t="s">
        <v>339</v>
      </c>
      <c r="D46" s="3" t="s">
        <v>44</v>
      </c>
      <c r="E46" s="3" t="s">
        <v>45</v>
      </c>
    </row>
    <row r="47">
      <c r="A47" s="3" t="s">
        <v>343</v>
      </c>
      <c r="B47" s="3" t="s">
        <v>19</v>
      </c>
      <c r="C47" s="3" t="s">
        <v>346</v>
      </c>
      <c r="D47" s="3" t="s">
        <v>44</v>
      </c>
      <c r="E47" s="3" t="s">
        <v>45</v>
      </c>
    </row>
    <row r="48">
      <c r="A48" s="3" t="s">
        <v>351</v>
      </c>
      <c r="B48" s="3" t="s">
        <v>19</v>
      </c>
      <c r="C48" s="3" t="s">
        <v>355</v>
      </c>
      <c r="D48" s="3" t="s">
        <v>44</v>
      </c>
      <c r="E48" s="3" t="s">
        <v>45</v>
      </c>
    </row>
    <row r="49">
      <c r="A49" s="3" t="s">
        <v>358</v>
      </c>
      <c r="B49" s="3" t="s">
        <v>19</v>
      </c>
      <c r="C49" s="3" t="s">
        <v>361</v>
      </c>
      <c r="D49" s="3" t="s">
        <v>44</v>
      </c>
      <c r="E49" s="3" t="s">
        <v>45</v>
      </c>
    </row>
    <row r="50">
      <c r="A50" s="3" t="s">
        <v>365</v>
      </c>
      <c r="B50" s="3" t="s">
        <v>19</v>
      </c>
      <c r="C50" s="3" t="s">
        <v>368</v>
      </c>
      <c r="D50" s="3" t="s">
        <v>44</v>
      </c>
      <c r="E50" s="3" t="s">
        <v>45</v>
      </c>
    </row>
    <row r="51">
      <c r="A51" s="3" t="s">
        <v>372</v>
      </c>
      <c r="B51" s="3" t="s">
        <v>19</v>
      </c>
      <c r="C51" s="3" t="s">
        <v>374</v>
      </c>
      <c r="D51" s="3" t="s">
        <v>44</v>
      </c>
      <c r="E51" s="3" t="s">
        <v>45</v>
      </c>
    </row>
    <row r="52">
      <c r="A52" s="3" t="s">
        <v>379</v>
      </c>
      <c r="B52" s="3" t="s">
        <v>19</v>
      </c>
      <c r="C52" s="3" t="s">
        <v>382</v>
      </c>
      <c r="D52" s="3" t="s">
        <v>33</v>
      </c>
      <c r="E52" s="3" t="s">
        <v>42</v>
      </c>
    </row>
    <row r="53">
      <c r="A53" s="3" t="s">
        <v>387</v>
      </c>
      <c r="B53" s="3" t="s">
        <v>19</v>
      </c>
      <c r="C53" s="3" t="s">
        <v>390</v>
      </c>
      <c r="D53" s="3" t="s">
        <v>33</v>
      </c>
      <c r="E53" s="3" t="s">
        <v>46</v>
      </c>
    </row>
    <row r="54">
      <c r="A54" s="3" t="s">
        <v>394</v>
      </c>
      <c r="B54" s="3" t="s">
        <v>19</v>
      </c>
      <c r="C54" s="3" t="s">
        <v>397</v>
      </c>
      <c r="D54" s="3" t="s">
        <v>33</v>
      </c>
      <c r="E54" s="3" t="s">
        <v>50</v>
      </c>
    </row>
    <row r="55">
      <c r="A55" s="3" t="s">
        <v>401</v>
      </c>
      <c r="B55" s="3" t="s">
        <v>19</v>
      </c>
      <c r="C55" s="3" t="s">
        <v>403</v>
      </c>
      <c r="D55" s="3" t="s">
        <v>33</v>
      </c>
      <c r="E55" s="3" t="s">
        <v>54</v>
      </c>
    </row>
    <row r="56">
      <c r="A56" s="3" t="s">
        <v>407</v>
      </c>
      <c r="B56" s="3" t="s">
        <v>19</v>
      </c>
      <c r="C56" s="3" t="s">
        <v>410</v>
      </c>
      <c r="D56" s="3" t="s">
        <v>33</v>
      </c>
      <c r="E56" s="3" t="s">
        <v>59</v>
      </c>
    </row>
    <row r="57">
      <c r="A57" s="3" t="s">
        <v>415</v>
      </c>
      <c r="B57" s="3" t="s">
        <v>19</v>
      </c>
      <c r="C57" s="3" t="s">
        <v>418</v>
      </c>
      <c r="D57" s="3" t="s">
        <v>33</v>
      </c>
      <c r="E57" s="3" t="s">
        <v>62</v>
      </c>
    </row>
    <row r="58">
      <c r="A58" s="3" t="s">
        <v>425</v>
      </c>
      <c r="B58" s="3" t="s">
        <v>19</v>
      </c>
      <c r="C58" s="3" t="s">
        <v>429</v>
      </c>
      <c r="D58" s="3" t="s">
        <v>33</v>
      </c>
      <c r="E58" s="3" t="s">
        <v>77</v>
      </c>
    </row>
    <row r="59">
      <c r="A59" s="3" t="s">
        <v>438</v>
      </c>
      <c r="B59" s="3" t="s">
        <v>19</v>
      </c>
      <c r="C59" s="3" t="s">
        <v>439</v>
      </c>
      <c r="D59" s="3" t="s">
        <v>33</v>
      </c>
      <c r="E59" s="3" t="s">
        <v>82</v>
      </c>
    </row>
    <row r="60">
      <c r="A60" s="3" t="s">
        <v>443</v>
      </c>
      <c r="B60" s="3" t="s">
        <v>19</v>
      </c>
      <c r="C60" s="3" t="s">
        <v>445</v>
      </c>
      <c r="D60" s="3" t="s">
        <v>33</v>
      </c>
      <c r="E60" s="3" t="s">
        <v>85</v>
      </c>
    </row>
    <row r="61">
      <c r="A61" s="3" t="s">
        <v>451</v>
      </c>
      <c r="B61" s="3" t="s">
        <v>19</v>
      </c>
      <c r="C61" s="3" t="s">
        <v>452</v>
      </c>
      <c r="D61" s="3" t="s">
        <v>33</v>
      </c>
      <c r="E61" s="3" t="s">
        <v>89</v>
      </c>
    </row>
    <row r="62">
      <c r="A62" s="3" t="s">
        <v>456</v>
      </c>
      <c r="B62" s="3" t="s">
        <v>19</v>
      </c>
      <c r="C62" s="3" t="s">
        <v>459</v>
      </c>
      <c r="D62" s="3" t="s">
        <v>33</v>
      </c>
      <c r="E62" s="3" t="s">
        <v>91</v>
      </c>
    </row>
    <row r="63">
      <c r="A63" s="3" t="s">
        <v>464</v>
      </c>
      <c r="B63" s="3" t="s">
        <v>19</v>
      </c>
      <c r="C63" s="3" t="s">
        <v>465</v>
      </c>
      <c r="D63" s="3" t="s">
        <v>33</v>
      </c>
      <c r="E63" s="3" t="s">
        <v>95</v>
      </c>
    </row>
    <row r="64">
      <c r="A64" s="3" t="s">
        <v>470</v>
      </c>
      <c r="B64" s="3" t="s">
        <v>19</v>
      </c>
      <c r="C64" s="3" t="s">
        <v>471</v>
      </c>
      <c r="D64" s="3" t="s">
        <v>33</v>
      </c>
      <c r="E64" s="3" t="s">
        <v>156</v>
      </c>
    </row>
    <row r="65">
      <c r="A65" s="3" t="s">
        <v>477</v>
      </c>
      <c r="B65" s="3" t="s">
        <v>19</v>
      </c>
      <c r="C65" s="3" t="s">
        <v>478</v>
      </c>
      <c r="D65" s="3" t="s">
        <v>33</v>
      </c>
      <c r="E65" s="3" t="s">
        <v>233</v>
      </c>
    </row>
    <row r="66">
      <c r="A66" s="3" t="s">
        <v>483</v>
      </c>
      <c r="B66" s="3" t="s">
        <v>19</v>
      </c>
      <c r="C66" s="3" t="s">
        <v>484</v>
      </c>
      <c r="D66" s="3" t="s">
        <v>44</v>
      </c>
      <c r="E66" s="3" t="s">
        <v>45</v>
      </c>
    </row>
    <row r="67">
      <c r="A67" s="3" t="s">
        <v>490</v>
      </c>
      <c r="B67" s="3" t="s">
        <v>19</v>
      </c>
      <c r="C67" s="3" t="s">
        <v>471</v>
      </c>
      <c r="D67" s="3" t="s">
        <v>44</v>
      </c>
      <c r="E67" s="3" t="s">
        <v>45</v>
      </c>
    </row>
    <row r="68">
      <c r="A68" s="3" t="s">
        <v>495</v>
      </c>
      <c r="B68" s="3" t="s">
        <v>19</v>
      </c>
      <c r="C68" s="3" t="s">
        <v>478</v>
      </c>
      <c r="D68" s="3" t="s">
        <v>33</v>
      </c>
      <c r="E68" s="3" t="s">
        <v>501</v>
      </c>
    </row>
    <row r="69">
      <c r="A69" s="3" t="s">
        <v>504</v>
      </c>
      <c r="B69" s="3" t="s">
        <v>19</v>
      </c>
      <c r="C69" s="3" t="s">
        <v>484</v>
      </c>
      <c r="D69" s="3" t="s">
        <v>33</v>
      </c>
      <c r="E69" s="3" t="s">
        <v>330</v>
      </c>
    </row>
    <row r="70">
      <c r="A70" s="3" t="s">
        <v>509</v>
      </c>
      <c r="B70" s="3" t="s">
        <v>19</v>
      </c>
      <c r="C70" s="3" t="s">
        <v>471</v>
      </c>
      <c r="D70" s="3" t="s">
        <v>33</v>
      </c>
      <c r="E70" s="3" t="s">
        <v>516</v>
      </c>
    </row>
    <row r="71">
      <c r="A71" s="3" t="s">
        <v>518</v>
      </c>
      <c r="B71" s="3" t="s">
        <v>19</v>
      </c>
      <c r="C71" s="3" t="s">
        <v>478</v>
      </c>
      <c r="D71" s="3" t="s">
        <v>33</v>
      </c>
      <c r="E71" s="3" t="s">
        <v>523</v>
      </c>
    </row>
    <row r="72">
      <c r="A72" s="3" t="s">
        <v>526</v>
      </c>
      <c r="B72" s="3" t="s">
        <v>19</v>
      </c>
      <c r="C72" s="3" t="s">
        <v>484</v>
      </c>
      <c r="D72" s="3" t="s">
        <v>33</v>
      </c>
      <c r="E72" s="3" t="s">
        <v>260</v>
      </c>
    </row>
    <row r="73">
      <c r="A73" s="3" t="s">
        <v>532</v>
      </c>
      <c r="B73" s="3" t="s">
        <v>19</v>
      </c>
      <c r="C73" s="3" t="s">
        <v>471</v>
      </c>
      <c r="D73" s="3" t="s">
        <v>33</v>
      </c>
      <c r="E73" s="3" t="s">
        <v>536</v>
      </c>
    </row>
    <row r="74">
      <c r="A74" s="3" t="s">
        <v>538</v>
      </c>
      <c r="B74" s="3" t="s">
        <v>19</v>
      </c>
      <c r="C74" s="3" t="s">
        <v>478</v>
      </c>
      <c r="D74" s="3" t="s">
        <v>33</v>
      </c>
      <c r="E74" s="3" t="s">
        <v>546</v>
      </c>
    </row>
    <row r="75">
      <c r="A75" s="3" t="s">
        <v>549</v>
      </c>
      <c r="B75" s="3" t="s">
        <v>19</v>
      </c>
      <c r="C75" s="3" t="s">
        <v>484</v>
      </c>
      <c r="D75" s="3" t="s">
        <v>44</v>
      </c>
      <c r="E75" s="3" t="s">
        <v>45</v>
      </c>
    </row>
    <row r="76">
      <c r="A76" s="3" t="s">
        <v>553</v>
      </c>
      <c r="B76" s="3" t="s">
        <v>19</v>
      </c>
      <c r="C76" s="3" t="s">
        <v>471</v>
      </c>
      <c r="D76" s="3" t="s">
        <v>33</v>
      </c>
      <c r="E76" s="3" t="s">
        <v>559</v>
      </c>
    </row>
    <row r="77">
      <c r="A77" s="3" t="s">
        <v>560</v>
      </c>
      <c r="B77" s="3" t="s">
        <v>19</v>
      </c>
      <c r="C77" s="3" t="s">
        <v>478</v>
      </c>
      <c r="D77" s="3" t="s">
        <v>33</v>
      </c>
      <c r="E77" s="3" t="s">
        <v>411</v>
      </c>
    </row>
    <row r="78">
      <c r="A78" s="3" t="s">
        <v>568</v>
      </c>
      <c r="B78" s="3" t="s">
        <v>19</v>
      </c>
      <c r="C78" s="3" t="s">
        <v>484</v>
      </c>
      <c r="D78" s="3" t="s">
        <v>33</v>
      </c>
      <c r="E78" s="3" t="s">
        <v>575</v>
      </c>
    </row>
    <row r="79">
      <c r="A79" s="3" t="s">
        <v>578</v>
      </c>
      <c r="B79" s="3" t="s">
        <v>19</v>
      </c>
      <c r="C79" s="3" t="s">
        <v>471</v>
      </c>
      <c r="D79" s="3" t="s">
        <v>33</v>
      </c>
      <c r="E79" s="3" t="s">
        <v>466</v>
      </c>
    </row>
    <row r="80">
      <c r="A80" s="3" t="s">
        <v>583</v>
      </c>
      <c r="B80" s="3" t="s">
        <v>19</v>
      </c>
      <c r="C80" s="3" t="s">
        <v>478</v>
      </c>
      <c r="D80" s="3" t="s">
        <v>33</v>
      </c>
      <c r="E80" s="3" t="s">
        <v>586</v>
      </c>
    </row>
    <row r="81">
      <c r="A81" s="3" t="s">
        <v>589</v>
      </c>
      <c r="B81" s="3" t="s">
        <v>19</v>
      </c>
      <c r="C81" s="3" t="s">
        <v>484</v>
      </c>
      <c r="D81" s="3" t="s">
        <v>44</v>
      </c>
      <c r="E81" s="3" t="s">
        <v>45</v>
      </c>
    </row>
    <row r="82">
      <c r="A82" s="3" t="s">
        <v>595</v>
      </c>
      <c r="B82" s="3" t="s">
        <v>19</v>
      </c>
      <c r="C82" s="3" t="s">
        <v>471</v>
      </c>
      <c r="D82" s="3" t="s">
        <v>33</v>
      </c>
      <c r="E82" s="3" t="s">
        <v>600</v>
      </c>
    </row>
    <row r="83">
      <c r="A83" s="3" t="s">
        <v>603</v>
      </c>
      <c r="B83" s="3" t="s">
        <v>19</v>
      </c>
      <c r="C83" s="3" t="s">
        <v>478</v>
      </c>
      <c r="D83" s="3" t="s">
        <v>33</v>
      </c>
      <c r="E83" s="3" t="s">
        <v>356</v>
      </c>
    </row>
    <row r="84">
      <c r="A84" s="3" t="s">
        <v>611</v>
      </c>
      <c r="B84" s="3" t="s">
        <v>19</v>
      </c>
      <c r="C84" s="3" t="s">
        <v>484</v>
      </c>
      <c r="D84" s="3" t="s">
        <v>33</v>
      </c>
      <c r="E84" s="3" t="s">
        <v>615</v>
      </c>
    </row>
    <row r="85">
      <c r="A85" s="3" t="s">
        <v>618</v>
      </c>
      <c r="B85" s="3" t="s">
        <v>19</v>
      </c>
      <c r="C85" s="3" t="s">
        <v>471</v>
      </c>
      <c r="D85" s="3" t="s">
        <v>44</v>
      </c>
      <c r="E85" s="3" t="s">
        <v>45</v>
      </c>
    </row>
    <row r="86">
      <c r="A86" s="3" t="s">
        <v>626</v>
      </c>
      <c r="B86" s="3" t="s">
        <v>19</v>
      </c>
      <c r="C86" s="3" t="s">
        <v>478</v>
      </c>
      <c r="D86" s="3" t="s">
        <v>33</v>
      </c>
      <c r="E86" s="3" t="s">
        <v>631</v>
      </c>
    </row>
    <row r="87">
      <c r="A87" s="3" t="s">
        <v>633</v>
      </c>
      <c r="B87" s="3" t="s">
        <v>19</v>
      </c>
      <c r="C87" s="3" t="s">
        <v>484</v>
      </c>
      <c r="D87" s="3" t="s">
        <v>44</v>
      </c>
      <c r="E87" s="3" t="s">
        <v>45</v>
      </c>
    </row>
    <row r="88">
      <c r="A88" s="3" t="s">
        <v>641</v>
      </c>
      <c r="B88" s="3" t="s">
        <v>19</v>
      </c>
      <c r="C88" s="3" t="s">
        <v>471</v>
      </c>
      <c r="D88" s="3" t="s">
        <v>33</v>
      </c>
      <c r="E88" s="3" t="s">
        <v>645</v>
      </c>
    </row>
    <row r="89">
      <c r="A89" s="3" t="s">
        <v>646</v>
      </c>
      <c r="B89" s="3" t="s">
        <v>19</v>
      </c>
      <c r="C89" s="3" t="s">
        <v>478</v>
      </c>
      <c r="D89" s="3" t="s">
        <v>33</v>
      </c>
      <c r="E89" s="3" t="s">
        <v>650</v>
      </c>
    </row>
    <row r="90">
      <c r="A90" s="3" t="s">
        <v>653</v>
      </c>
      <c r="B90" s="3" t="s">
        <v>19</v>
      </c>
      <c r="C90" s="3" t="s">
        <v>484</v>
      </c>
      <c r="D90" s="3" t="s">
        <v>33</v>
      </c>
      <c r="E90" s="3" t="s">
        <v>657</v>
      </c>
    </row>
    <row r="91">
      <c r="A91" s="3" t="s">
        <v>659</v>
      </c>
      <c r="B91" s="3" t="s">
        <v>19</v>
      </c>
      <c r="C91" s="3" t="s">
        <v>471</v>
      </c>
      <c r="D91" s="3" t="s">
        <v>33</v>
      </c>
      <c r="E91" s="3" t="s">
        <v>165</v>
      </c>
    </row>
    <row r="92">
      <c r="A92" s="3" t="s">
        <v>668</v>
      </c>
      <c r="B92" s="3" t="s">
        <v>19</v>
      </c>
      <c r="C92" s="3" t="s">
        <v>478</v>
      </c>
      <c r="D92" s="3" t="s">
        <v>33</v>
      </c>
      <c r="E92" s="3" t="s">
        <v>272</v>
      </c>
    </row>
    <row r="93">
      <c r="A93" s="3" t="s">
        <v>673</v>
      </c>
      <c r="B93" s="3" t="s">
        <v>19</v>
      </c>
      <c r="C93" s="3" t="s">
        <v>484</v>
      </c>
      <c r="D93" s="3" t="s">
        <v>33</v>
      </c>
      <c r="E93" s="3" t="s">
        <v>678</v>
      </c>
    </row>
    <row r="94">
      <c r="A94" s="3" t="s">
        <v>681</v>
      </c>
      <c r="B94" s="3" t="s">
        <v>19</v>
      </c>
      <c r="C94" s="3" t="s">
        <v>471</v>
      </c>
      <c r="D94" s="3" t="s">
        <v>44</v>
      </c>
      <c r="E94" s="3" t="s">
        <v>45</v>
      </c>
    </row>
    <row r="95">
      <c r="A95" s="3" t="s">
        <v>688</v>
      </c>
      <c r="B95" s="3" t="s">
        <v>19</v>
      </c>
      <c r="C95" s="3" t="s">
        <v>478</v>
      </c>
      <c r="D95" s="3" t="s">
        <v>33</v>
      </c>
      <c r="E95" s="3" t="s">
        <v>561</v>
      </c>
    </row>
    <row r="96">
      <c r="A96" s="3" t="s">
        <v>693</v>
      </c>
      <c r="B96" s="3" t="s">
        <v>19</v>
      </c>
      <c r="C96" s="3" t="s">
        <v>484</v>
      </c>
      <c r="D96" s="3" t="s">
        <v>33</v>
      </c>
      <c r="E96" s="3" t="s">
        <v>446</v>
      </c>
    </row>
    <row r="97">
      <c r="A97" s="3" t="s">
        <v>701</v>
      </c>
      <c r="B97" s="3" t="s">
        <v>19</v>
      </c>
      <c r="C97" s="3" t="s">
        <v>471</v>
      </c>
      <c r="D97" s="3" t="s">
        <v>33</v>
      </c>
      <c r="E97" s="3" t="s">
        <v>175</v>
      </c>
    </row>
    <row r="98">
      <c r="A98" s="3" t="s">
        <v>705</v>
      </c>
      <c r="B98" s="3" t="s">
        <v>19</v>
      </c>
      <c r="C98" s="3" t="s">
        <v>478</v>
      </c>
      <c r="D98" s="3" t="s">
        <v>33</v>
      </c>
      <c r="E98" s="3" t="s">
        <v>708</v>
      </c>
    </row>
    <row r="99">
      <c r="A99" s="3" t="s">
        <v>712</v>
      </c>
      <c r="B99" s="3" t="s">
        <v>19</v>
      </c>
      <c r="C99" s="3" t="s">
        <v>484</v>
      </c>
      <c r="D99" s="3" t="s">
        <v>33</v>
      </c>
      <c r="E99" s="3" t="s">
        <v>616</v>
      </c>
    </row>
    <row r="100">
      <c r="A100" s="3" t="s">
        <v>716</v>
      </c>
      <c r="B100" s="3" t="s">
        <v>19</v>
      </c>
      <c r="C100" s="3" t="s">
        <v>471</v>
      </c>
      <c r="D100" s="3" t="s">
        <v>33</v>
      </c>
      <c r="E100" s="3" t="s">
        <v>533</v>
      </c>
    </row>
    <row r="101">
      <c r="A101" s="3" t="s">
        <v>721</v>
      </c>
      <c r="B101" s="3" t="s">
        <v>19</v>
      </c>
      <c r="C101" s="3" t="s">
        <v>478</v>
      </c>
      <c r="D101" s="3" t="s">
        <v>33</v>
      </c>
      <c r="E101" s="3" t="s">
        <v>713</v>
      </c>
    </row>
    <row r="102">
      <c r="A102" s="3" t="s">
        <v>728</v>
      </c>
      <c r="B102" s="3" t="s">
        <v>19</v>
      </c>
      <c r="C102" s="3" t="s">
        <v>484</v>
      </c>
      <c r="D102" s="3" t="s">
        <v>33</v>
      </c>
      <c r="E102" s="3" t="s">
        <v>734</v>
      </c>
    </row>
    <row r="103">
      <c r="A103" s="3" t="s">
        <v>738</v>
      </c>
      <c r="B103" s="3" t="s">
        <v>19</v>
      </c>
      <c r="C103" s="3" t="s">
        <v>471</v>
      </c>
      <c r="D103" s="3" t="s">
        <v>33</v>
      </c>
      <c r="E103" s="3" t="s">
        <v>665</v>
      </c>
    </row>
    <row r="104">
      <c r="A104" s="3" t="s">
        <v>741</v>
      </c>
      <c r="B104" s="3" t="s">
        <v>19</v>
      </c>
      <c r="C104" s="3" t="s">
        <v>478</v>
      </c>
      <c r="D104" s="3" t="s">
        <v>33</v>
      </c>
      <c r="E104" s="3" t="s">
        <v>746</v>
      </c>
    </row>
    <row r="105">
      <c r="A105" s="3" t="s">
        <v>749</v>
      </c>
      <c r="B105" s="3" t="s">
        <v>19</v>
      </c>
      <c r="C105" s="3" t="s">
        <v>484</v>
      </c>
      <c r="D105" s="3" t="s">
        <v>33</v>
      </c>
      <c r="E105" s="3" t="s">
        <v>751</v>
      </c>
    </row>
    <row r="106">
      <c r="A106" s="3" t="s">
        <v>754</v>
      </c>
      <c r="B106" s="3" t="s">
        <v>19</v>
      </c>
      <c r="C106" s="3" t="s">
        <v>471</v>
      </c>
      <c r="D106" s="3" t="s">
        <v>33</v>
      </c>
      <c r="E106" s="3" t="s">
        <v>758</v>
      </c>
    </row>
    <row r="107">
      <c r="A107" s="3" t="s">
        <v>762</v>
      </c>
      <c r="B107" s="3" t="s">
        <v>19</v>
      </c>
      <c r="C107" s="3" t="s">
        <v>478</v>
      </c>
      <c r="D107" s="3" t="s">
        <v>33</v>
      </c>
      <c r="E107" s="3" t="s">
        <v>765</v>
      </c>
    </row>
    <row r="108">
      <c r="A108" s="3" t="s">
        <v>769</v>
      </c>
      <c r="B108" s="3" t="s">
        <v>19</v>
      </c>
      <c r="C108" s="3" t="s">
        <v>484</v>
      </c>
      <c r="D108" s="3" t="s">
        <v>33</v>
      </c>
      <c r="E108" s="3" t="s">
        <v>276</v>
      </c>
    </row>
    <row r="109">
      <c r="A109" s="3" t="s">
        <v>774</v>
      </c>
      <c r="B109" s="3" t="s">
        <v>19</v>
      </c>
      <c r="C109" s="3" t="s">
        <v>471</v>
      </c>
      <c r="D109" s="3" t="s">
        <v>33</v>
      </c>
      <c r="E109" s="3" t="s">
        <v>593</v>
      </c>
    </row>
    <row r="110">
      <c r="A110" s="3" t="s">
        <v>780</v>
      </c>
      <c r="B110" s="3" t="s">
        <v>19</v>
      </c>
      <c r="C110" s="3" t="s">
        <v>478</v>
      </c>
      <c r="D110" s="3" t="s">
        <v>33</v>
      </c>
      <c r="E110" s="3" t="s">
        <v>141</v>
      </c>
    </row>
    <row r="111">
      <c r="A111" s="3" t="s">
        <v>784</v>
      </c>
      <c r="B111" s="3" t="s">
        <v>19</v>
      </c>
      <c r="C111" s="3" t="s">
        <v>484</v>
      </c>
      <c r="D111" s="3" t="s">
        <v>44</v>
      </c>
      <c r="E111" s="3" t="s">
        <v>45</v>
      </c>
    </row>
    <row r="112">
      <c r="A112" s="3" t="s">
        <v>788</v>
      </c>
      <c r="B112" s="3" t="s">
        <v>19</v>
      </c>
      <c r="C112" s="3" t="s">
        <v>471</v>
      </c>
      <c r="D112" s="3" t="s">
        <v>44</v>
      </c>
      <c r="E112" s="3" t="s">
        <v>45</v>
      </c>
    </row>
    <row r="113">
      <c r="A113" s="3" t="s">
        <v>792</v>
      </c>
      <c r="B113" s="3" t="s">
        <v>19</v>
      </c>
      <c r="C113" s="3" t="s">
        <v>478</v>
      </c>
      <c r="D113" s="3" t="s">
        <v>44</v>
      </c>
      <c r="E113" s="3" t="s">
        <v>45</v>
      </c>
    </row>
    <row r="114">
      <c r="A114" s="3" t="s">
        <v>797</v>
      </c>
      <c r="B114" s="3" t="s">
        <v>19</v>
      </c>
      <c r="C114" s="3" t="s">
        <v>484</v>
      </c>
      <c r="D114" s="3" t="s">
        <v>44</v>
      </c>
      <c r="E114" s="3" t="s">
        <v>45</v>
      </c>
    </row>
    <row r="115">
      <c r="A115" s="3" t="s">
        <v>802</v>
      </c>
      <c r="B115" s="3" t="s">
        <v>19</v>
      </c>
      <c r="C115" s="3" t="s">
        <v>471</v>
      </c>
      <c r="D115" s="3" t="s">
        <v>44</v>
      </c>
      <c r="E115" s="3" t="s">
        <v>45</v>
      </c>
    </row>
    <row r="116">
      <c r="A116" s="3" t="s">
        <v>808</v>
      </c>
      <c r="B116" s="3" t="s">
        <v>19</v>
      </c>
      <c r="C116" s="3" t="s">
        <v>478</v>
      </c>
      <c r="D116" s="3" t="s">
        <v>44</v>
      </c>
      <c r="E116" s="3" t="s">
        <v>45</v>
      </c>
    </row>
    <row r="117">
      <c r="A117" s="3" t="s">
        <v>810</v>
      </c>
      <c r="B117" s="3" t="s">
        <v>19</v>
      </c>
      <c r="C117" s="3" t="s">
        <v>484</v>
      </c>
      <c r="D117" s="3" t="s">
        <v>44</v>
      </c>
      <c r="E117" s="3" t="s">
        <v>45</v>
      </c>
    </row>
    <row r="118">
      <c r="A118" s="3" t="s">
        <v>815</v>
      </c>
      <c r="B118" s="3" t="s">
        <v>19</v>
      </c>
      <c r="C118" s="3" t="s">
        <v>471</v>
      </c>
      <c r="D118" s="3" t="s">
        <v>44</v>
      </c>
      <c r="E118" s="3" t="s">
        <v>45</v>
      </c>
    </row>
    <row r="119">
      <c r="A119" s="3" t="s">
        <v>818</v>
      </c>
      <c r="B119" s="3" t="s">
        <v>19</v>
      </c>
      <c r="C119" s="3" t="s">
        <v>478</v>
      </c>
      <c r="D119" s="3" t="s">
        <v>44</v>
      </c>
      <c r="E119" s="3" t="s">
        <v>45</v>
      </c>
    </row>
    <row r="120">
      <c r="A120" s="3" t="s">
        <v>823</v>
      </c>
      <c r="B120" s="3" t="s">
        <v>19</v>
      </c>
      <c r="C120" s="3" t="s">
        <v>484</v>
      </c>
      <c r="D120" s="3" t="s">
        <v>33</v>
      </c>
      <c r="E120" s="3" t="s">
        <v>313</v>
      </c>
    </row>
    <row r="121">
      <c r="A121" s="3" t="s">
        <v>829</v>
      </c>
      <c r="B121" s="3" t="s">
        <v>19</v>
      </c>
      <c r="C121" s="3" t="s">
        <v>471</v>
      </c>
      <c r="D121" s="3" t="s">
        <v>44</v>
      </c>
      <c r="E121" s="3" t="s">
        <v>45</v>
      </c>
    </row>
    <row r="122">
      <c r="A122" s="3" t="s">
        <v>831</v>
      </c>
      <c r="B122" s="3" t="s">
        <v>19</v>
      </c>
      <c r="C122" s="3" t="s">
        <v>478</v>
      </c>
      <c r="D122" s="3" t="s">
        <v>44</v>
      </c>
      <c r="E122" s="3" t="s">
        <v>45</v>
      </c>
    </row>
    <row r="123">
      <c r="A123" s="3" t="s">
        <v>837</v>
      </c>
      <c r="B123" s="3" t="s">
        <v>19</v>
      </c>
      <c r="C123" s="3" t="s">
        <v>484</v>
      </c>
      <c r="D123" s="3" t="s">
        <v>44</v>
      </c>
      <c r="E123" s="3" t="s">
        <v>45</v>
      </c>
    </row>
    <row r="124">
      <c r="A124" s="3" t="s">
        <v>840</v>
      </c>
      <c r="B124" s="3" t="s">
        <v>19</v>
      </c>
      <c r="C124" s="3" t="s">
        <v>471</v>
      </c>
      <c r="D124" s="3" t="s">
        <v>44</v>
      </c>
      <c r="E124" s="3" t="s">
        <v>45</v>
      </c>
    </row>
    <row r="125">
      <c r="A125" s="3" t="s">
        <v>846</v>
      </c>
      <c r="B125" s="3" t="s">
        <v>19</v>
      </c>
      <c r="C125" s="3" t="s">
        <v>478</v>
      </c>
      <c r="D125" s="3" t="s">
        <v>44</v>
      </c>
      <c r="E125" s="3" t="s">
        <v>45</v>
      </c>
    </row>
    <row r="126">
      <c r="A126" s="3" t="s">
        <v>849</v>
      </c>
      <c r="B126" s="3" t="s">
        <v>19</v>
      </c>
      <c r="C126" s="3" t="s">
        <v>484</v>
      </c>
      <c r="D126" s="3" t="s">
        <v>44</v>
      </c>
      <c r="E126" s="3" t="s">
        <v>45</v>
      </c>
    </row>
    <row r="127">
      <c r="A127" s="3" t="s">
        <v>855</v>
      </c>
      <c r="B127" s="3" t="s">
        <v>19</v>
      </c>
      <c r="C127" s="3" t="s">
        <v>471</v>
      </c>
      <c r="D127" s="3" t="s">
        <v>44</v>
      </c>
      <c r="E127" s="3" t="s">
        <v>45</v>
      </c>
    </row>
    <row r="128">
      <c r="A128" s="3" t="s">
        <v>857</v>
      </c>
      <c r="B128" s="3" t="s">
        <v>19</v>
      </c>
      <c r="C128" s="3" t="s">
        <v>478</v>
      </c>
      <c r="D128" s="3" t="s">
        <v>44</v>
      </c>
      <c r="E128" s="3" t="s">
        <v>45</v>
      </c>
    </row>
    <row r="129">
      <c r="A129" s="3" t="s">
        <v>862</v>
      </c>
      <c r="B129" s="3" t="s">
        <v>19</v>
      </c>
      <c r="C129" s="3" t="s">
        <v>484</v>
      </c>
      <c r="D129" s="3" t="s">
        <v>44</v>
      </c>
      <c r="E129" s="3" t="s">
        <v>45</v>
      </c>
    </row>
    <row r="130">
      <c r="A130" s="3" t="s">
        <v>867</v>
      </c>
      <c r="B130" s="3" t="s">
        <v>19</v>
      </c>
      <c r="C130" s="3" t="s">
        <v>471</v>
      </c>
      <c r="D130" s="3" t="s">
        <v>44</v>
      </c>
      <c r="E130" s="3" t="s">
        <v>45</v>
      </c>
    </row>
    <row r="131">
      <c r="A131" s="3" t="s">
        <v>919</v>
      </c>
      <c r="B131" s="3" t="s">
        <v>19</v>
      </c>
      <c r="C131" s="3" t="s">
        <v>478</v>
      </c>
      <c r="D131" s="3" t="s">
        <v>44</v>
      </c>
      <c r="E131" s="3" t="s">
        <v>45</v>
      </c>
    </row>
    <row r="132">
      <c r="A132" s="3" t="s">
        <v>923</v>
      </c>
      <c r="B132" s="3" t="s">
        <v>19</v>
      </c>
      <c r="C132" s="3" t="s">
        <v>484</v>
      </c>
      <c r="D132" s="3" t="s">
        <v>44</v>
      </c>
      <c r="E132" s="3" t="s">
        <v>45</v>
      </c>
    </row>
    <row r="133">
      <c r="A133" s="3" t="s">
        <v>928</v>
      </c>
      <c r="B133" s="3" t="s">
        <v>19</v>
      </c>
      <c r="C133" s="3" t="s">
        <v>471</v>
      </c>
      <c r="D133" s="3" t="s">
        <v>44</v>
      </c>
      <c r="E133" s="3" t="s">
        <v>45</v>
      </c>
    </row>
    <row r="134">
      <c r="A134" s="3" t="s">
        <v>932</v>
      </c>
      <c r="B134" s="3" t="s">
        <v>19</v>
      </c>
      <c r="C134" s="3" t="s">
        <v>478</v>
      </c>
      <c r="D134" s="3" t="s">
        <v>44</v>
      </c>
      <c r="E134" s="3" t="s">
        <v>45</v>
      </c>
    </row>
    <row r="135">
      <c r="A135" s="3" t="s">
        <v>942</v>
      </c>
      <c r="B135" s="3" t="s">
        <v>19</v>
      </c>
      <c r="C135" s="3" t="s">
        <v>484</v>
      </c>
      <c r="D135" s="3" t="s">
        <v>44</v>
      </c>
      <c r="E135" s="3" t="s">
        <v>45</v>
      </c>
    </row>
    <row r="136">
      <c r="A136" s="3" t="s">
        <v>946</v>
      </c>
      <c r="B136" s="3" t="s">
        <v>19</v>
      </c>
      <c r="C136" s="3" t="s">
        <v>471</v>
      </c>
      <c r="D136" s="3" t="s">
        <v>44</v>
      </c>
      <c r="E136" s="3" t="s">
        <v>45</v>
      </c>
    </row>
    <row r="137">
      <c r="A137" s="3" t="s">
        <v>950</v>
      </c>
      <c r="B137" s="3" t="s">
        <v>19</v>
      </c>
      <c r="C137" s="3" t="s">
        <v>478</v>
      </c>
      <c r="D137" s="3" t="s">
        <v>44</v>
      </c>
      <c r="E137" s="3" t="s">
        <v>45</v>
      </c>
    </row>
    <row r="138">
      <c r="A138" s="3" t="s">
        <v>954</v>
      </c>
      <c r="B138" s="3" t="s">
        <v>19</v>
      </c>
      <c r="C138" s="3" t="s">
        <v>484</v>
      </c>
      <c r="D138" s="3" t="s">
        <v>44</v>
      </c>
      <c r="E138" s="3" t="s">
        <v>45</v>
      </c>
    </row>
    <row r="139">
      <c r="A139" s="3" t="s">
        <v>959</v>
      </c>
      <c r="B139" s="3" t="s">
        <v>19</v>
      </c>
      <c r="C139" s="3" t="s">
        <v>471</v>
      </c>
      <c r="D139" s="3" t="s">
        <v>44</v>
      </c>
      <c r="E139" s="3" t="s">
        <v>45</v>
      </c>
    </row>
    <row r="140">
      <c r="A140" s="3" t="s">
        <v>963</v>
      </c>
      <c r="B140" s="3" t="s">
        <v>19</v>
      </c>
      <c r="C140" s="3" t="s">
        <v>478</v>
      </c>
      <c r="D140" s="3" t="s">
        <v>44</v>
      </c>
      <c r="E140" s="3" t="s">
        <v>45</v>
      </c>
    </row>
    <row r="141">
      <c r="A141" s="3" t="s">
        <v>968</v>
      </c>
      <c r="B141" s="3" t="s">
        <v>19</v>
      </c>
      <c r="C141" s="3" t="s">
        <v>484</v>
      </c>
      <c r="D141" s="3" t="s">
        <v>44</v>
      </c>
      <c r="E141" s="3" t="s">
        <v>45</v>
      </c>
    </row>
    <row r="142">
      <c r="A142" s="3" t="s">
        <v>971</v>
      </c>
      <c r="B142" s="3" t="s">
        <v>19</v>
      </c>
      <c r="C142" s="3" t="s">
        <v>471</v>
      </c>
      <c r="D142" s="3" t="s">
        <v>44</v>
      </c>
      <c r="E142" s="3" t="s">
        <v>45</v>
      </c>
    </row>
    <row r="143">
      <c r="A143" s="3" t="s">
        <v>977</v>
      </c>
      <c r="B143" s="3" t="s">
        <v>19</v>
      </c>
      <c r="C143" s="3" t="s">
        <v>478</v>
      </c>
      <c r="D143" s="3" t="s">
        <v>44</v>
      </c>
      <c r="E143" s="3" t="s">
        <v>45</v>
      </c>
    </row>
    <row r="144">
      <c r="A144" s="3" t="s">
        <v>983</v>
      </c>
      <c r="B144" s="3" t="s">
        <v>19</v>
      </c>
      <c r="C144" s="3" t="s">
        <v>484</v>
      </c>
      <c r="D144" s="3" t="s">
        <v>44</v>
      </c>
      <c r="E144" s="3" t="s">
        <v>45</v>
      </c>
    </row>
    <row r="145">
      <c r="A145" s="3" t="s">
        <v>985</v>
      </c>
      <c r="B145" s="3" t="s">
        <v>19</v>
      </c>
      <c r="C145" s="3" t="s">
        <v>471</v>
      </c>
      <c r="D145" s="3" t="s">
        <v>44</v>
      </c>
      <c r="E145" s="3" t="s">
        <v>45</v>
      </c>
    </row>
    <row r="146">
      <c r="A146" s="3" t="s">
        <v>991</v>
      </c>
      <c r="B146" s="3" t="s">
        <v>19</v>
      </c>
      <c r="C146" s="3" t="s">
        <v>478</v>
      </c>
      <c r="D146" s="3" t="s">
        <v>44</v>
      </c>
      <c r="E146" s="3" t="s">
        <v>45</v>
      </c>
    </row>
    <row r="147">
      <c r="A147" s="3" t="s">
        <v>996</v>
      </c>
      <c r="B147" s="3" t="s">
        <v>19</v>
      </c>
      <c r="C147" s="3" t="s">
        <v>484</v>
      </c>
      <c r="D147" s="3" t="s">
        <v>44</v>
      </c>
      <c r="E147" s="3" t="s">
        <v>45</v>
      </c>
    </row>
    <row r="148">
      <c r="A148" s="3" t="s">
        <v>1000</v>
      </c>
      <c r="B148" s="3" t="s">
        <v>19</v>
      </c>
      <c r="C148" s="3" t="s">
        <v>471</v>
      </c>
      <c r="D148" s="3" t="s">
        <v>44</v>
      </c>
      <c r="E148" s="3" t="s">
        <v>45</v>
      </c>
    </row>
    <row r="149">
      <c r="A149" s="3" t="s">
        <v>1004</v>
      </c>
      <c r="B149" s="3" t="s">
        <v>19</v>
      </c>
      <c r="C149" s="3" t="s">
        <v>478</v>
      </c>
      <c r="D149" s="3" t="s">
        <v>44</v>
      </c>
      <c r="E149" s="3" t="s">
        <v>45</v>
      </c>
    </row>
    <row r="150">
      <c r="A150" s="3" t="s">
        <v>1007</v>
      </c>
      <c r="B150" s="3" t="s">
        <v>19</v>
      </c>
      <c r="C150" s="3" t="s">
        <v>484</v>
      </c>
      <c r="D150" s="3" t="s">
        <v>33</v>
      </c>
      <c r="E150" s="3" t="s">
        <v>637</v>
      </c>
    </row>
    <row r="151">
      <c r="A151" s="3" t="s">
        <v>1012</v>
      </c>
      <c r="B151" s="3" t="s">
        <v>19</v>
      </c>
      <c r="C151" s="3" t="s">
        <v>471</v>
      </c>
      <c r="D151" s="3" t="s">
        <v>44</v>
      </c>
      <c r="E151" s="3" t="s">
        <v>45</v>
      </c>
    </row>
    <row r="152">
      <c r="A152" s="3" t="s">
        <v>1015</v>
      </c>
      <c r="B152" s="3" t="s">
        <v>19</v>
      </c>
      <c r="C152" s="3" t="s">
        <v>478</v>
      </c>
      <c r="D152" s="3" t="s">
        <v>44</v>
      </c>
      <c r="E152" s="3" t="s">
        <v>45</v>
      </c>
    </row>
    <row r="153">
      <c r="A153" s="3" t="s">
        <v>1019</v>
      </c>
      <c r="B153" s="3" t="s">
        <v>19</v>
      </c>
      <c r="C153" s="3" t="s">
        <v>484</v>
      </c>
      <c r="D153" s="3" t="s">
        <v>44</v>
      </c>
      <c r="E153" s="3" t="s">
        <v>45</v>
      </c>
    </row>
    <row r="154">
      <c r="A154" s="3" t="s">
        <v>1025</v>
      </c>
      <c r="B154" s="3" t="s">
        <v>19</v>
      </c>
      <c r="C154" s="3" t="s">
        <v>471</v>
      </c>
      <c r="D154" s="3" t="s">
        <v>33</v>
      </c>
      <c r="E154" s="3" t="s">
        <v>1028</v>
      </c>
    </row>
    <row r="155">
      <c r="A155" s="3" t="s">
        <v>1029</v>
      </c>
      <c r="B155" s="3" t="s">
        <v>19</v>
      </c>
      <c r="C155" s="3" t="s">
        <v>478</v>
      </c>
      <c r="D155" s="3" t="s">
        <v>44</v>
      </c>
      <c r="E155" s="3" t="s">
        <v>45</v>
      </c>
    </row>
    <row r="156">
      <c r="A156" s="3" t="s">
        <v>1033</v>
      </c>
      <c r="B156" s="3" t="s">
        <v>19</v>
      </c>
      <c r="C156" s="3" t="s">
        <v>484</v>
      </c>
      <c r="D156" s="3" t="s">
        <v>44</v>
      </c>
      <c r="E156" s="3" t="s">
        <v>45</v>
      </c>
    </row>
    <row r="157">
      <c r="A157" s="3" t="s">
        <v>1039</v>
      </c>
      <c r="B157" s="3" t="s">
        <v>19</v>
      </c>
      <c r="C157" s="3" t="s">
        <v>471</v>
      </c>
      <c r="D157" s="3" t="s">
        <v>44</v>
      </c>
      <c r="E157" s="3" t="s">
        <v>45</v>
      </c>
    </row>
    <row r="158">
      <c r="A158" s="3" t="s">
        <v>1045</v>
      </c>
      <c r="B158" s="3" t="s">
        <v>19</v>
      </c>
      <c r="C158" s="3" t="s">
        <v>478</v>
      </c>
      <c r="D158" s="3" t="s">
        <v>44</v>
      </c>
      <c r="E158" s="3" t="s">
        <v>45</v>
      </c>
    </row>
    <row r="159">
      <c r="A159" s="3" t="s">
        <v>1048</v>
      </c>
      <c r="B159" s="3" t="s">
        <v>19</v>
      </c>
      <c r="C159" s="3" t="s">
        <v>484</v>
      </c>
      <c r="D159" s="3" t="s">
        <v>33</v>
      </c>
      <c r="E159" s="3" t="s">
        <v>911</v>
      </c>
    </row>
    <row r="160">
      <c r="A160" s="3" t="s">
        <v>1053</v>
      </c>
      <c r="B160" s="3" t="s">
        <v>19</v>
      </c>
      <c r="C160" s="3" t="s">
        <v>471</v>
      </c>
      <c r="D160" s="3" t="s">
        <v>44</v>
      </c>
      <c r="E160" s="3" t="s">
        <v>45</v>
      </c>
    </row>
    <row r="161">
      <c r="A161" s="3" t="s">
        <v>1054</v>
      </c>
      <c r="B161" s="3" t="s">
        <v>19</v>
      </c>
      <c r="C161" s="3" t="s">
        <v>478</v>
      </c>
      <c r="D161" s="3" t="s">
        <v>44</v>
      </c>
      <c r="E161" s="3" t="s">
        <v>45</v>
      </c>
    </row>
    <row r="162">
      <c r="A162" s="3" t="s">
        <v>1055</v>
      </c>
      <c r="B162" s="3" t="s">
        <v>19</v>
      </c>
      <c r="C162" s="3" t="s">
        <v>484</v>
      </c>
      <c r="D162" s="3" t="s">
        <v>44</v>
      </c>
      <c r="E162" s="3" t="s">
        <v>45</v>
      </c>
    </row>
    <row r="163">
      <c r="A163" s="3" t="s">
        <v>1058</v>
      </c>
      <c r="B163" s="3" t="s">
        <v>19</v>
      </c>
      <c r="C163" s="3" t="s">
        <v>471</v>
      </c>
      <c r="D163" s="3" t="s">
        <v>44</v>
      </c>
      <c r="E163" s="3" t="s">
        <v>45</v>
      </c>
    </row>
    <row r="164">
      <c r="A164" s="3" t="s">
        <v>1060</v>
      </c>
      <c r="B164" s="3" t="s">
        <v>19</v>
      </c>
      <c r="C164" s="3" t="s">
        <v>478</v>
      </c>
      <c r="D164" s="3" t="s">
        <v>44</v>
      </c>
      <c r="E164" s="3" t="s">
        <v>45</v>
      </c>
    </row>
    <row r="165">
      <c r="A165" s="3" t="s">
        <v>1063</v>
      </c>
      <c r="B165" s="3" t="s">
        <v>19</v>
      </c>
      <c r="C165" s="3" t="s">
        <v>484</v>
      </c>
      <c r="D165" s="3" t="s">
        <v>33</v>
      </c>
      <c r="E165" s="3" t="s">
        <v>204</v>
      </c>
    </row>
    <row r="166">
      <c r="A166" s="3" t="s">
        <v>1064</v>
      </c>
      <c r="B166" s="3" t="s">
        <v>19</v>
      </c>
      <c r="C166" s="3" t="s">
        <v>471</v>
      </c>
      <c r="D166" s="3" t="s">
        <v>44</v>
      </c>
      <c r="E166" s="3" t="s">
        <v>45</v>
      </c>
    </row>
    <row r="167">
      <c r="A167" s="3" t="s">
        <v>1066</v>
      </c>
      <c r="B167" s="3" t="s">
        <v>19</v>
      </c>
      <c r="C167" s="3" t="s">
        <v>478</v>
      </c>
      <c r="D167" s="3" t="s">
        <v>44</v>
      </c>
      <c r="E167" s="3" t="s">
        <v>45</v>
      </c>
    </row>
    <row r="168">
      <c r="A168" s="3" t="s">
        <v>1069</v>
      </c>
      <c r="B168" s="3" t="s">
        <v>19</v>
      </c>
      <c r="C168" s="3" t="s">
        <v>484</v>
      </c>
      <c r="D168" s="3" t="s">
        <v>44</v>
      </c>
      <c r="E168" s="3" t="s">
        <v>45</v>
      </c>
    </row>
    <row r="169">
      <c r="A169" s="3" t="s">
        <v>1070</v>
      </c>
      <c r="B169" s="3" t="s">
        <v>19</v>
      </c>
      <c r="C169" s="3" t="s">
        <v>471</v>
      </c>
      <c r="D169" s="3" t="s">
        <v>44</v>
      </c>
      <c r="E169" s="3" t="s">
        <v>45</v>
      </c>
    </row>
    <row r="170">
      <c r="A170" s="3" t="s">
        <v>1072</v>
      </c>
      <c r="B170" s="3" t="s">
        <v>19</v>
      </c>
      <c r="C170" s="3" t="s">
        <v>478</v>
      </c>
      <c r="D170" s="3" t="s">
        <v>44</v>
      </c>
      <c r="E170" s="3" t="s">
        <v>45</v>
      </c>
    </row>
    <row r="171">
      <c r="A171" s="3" t="s">
        <v>1074</v>
      </c>
      <c r="B171" s="3" t="s">
        <v>19</v>
      </c>
      <c r="C171" s="3" t="s">
        <v>484</v>
      </c>
      <c r="D171" s="3" t="s">
        <v>44</v>
      </c>
      <c r="E171" s="3" t="s">
        <v>45</v>
      </c>
    </row>
    <row r="172">
      <c r="A172" s="3" t="s">
        <v>1076</v>
      </c>
      <c r="B172" s="3" t="s">
        <v>19</v>
      </c>
      <c r="C172" s="3" t="s">
        <v>471</v>
      </c>
      <c r="D172" s="3" t="s">
        <v>44</v>
      </c>
      <c r="E172" s="3" t="s">
        <v>45</v>
      </c>
    </row>
    <row r="173">
      <c r="A173" s="3" t="s">
        <v>1079</v>
      </c>
      <c r="B173" s="3" t="s">
        <v>19</v>
      </c>
      <c r="C173" s="3" t="s">
        <v>478</v>
      </c>
      <c r="D173" s="3" t="s">
        <v>44</v>
      </c>
      <c r="E173" s="3" t="s">
        <v>45</v>
      </c>
    </row>
    <row r="174">
      <c r="A174" s="3" t="s">
        <v>1081</v>
      </c>
      <c r="B174" s="3" t="s">
        <v>19</v>
      </c>
      <c r="C174" s="3" t="s">
        <v>484</v>
      </c>
      <c r="D174" s="3" t="s">
        <v>44</v>
      </c>
      <c r="E174" s="3" t="s">
        <v>45</v>
      </c>
    </row>
    <row r="175">
      <c r="A175" s="3" t="s">
        <v>1083</v>
      </c>
      <c r="B175" s="3" t="s">
        <v>19</v>
      </c>
      <c r="C175" s="3" t="s">
        <v>471</v>
      </c>
      <c r="D175" s="3" t="s">
        <v>44</v>
      </c>
      <c r="E175" s="3" t="s">
        <v>45</v>
      </c>
    </row>
    <row r="176">
      <c r="A176" s="3" t="s">
        <v>1086</v>
      </c>
      <c r="B176" s="3" t="s">
        <v>19</v>
      </c>
      <c r="C176" s="3" t="s">
        <v>478</v>
      </c>
      <c r="D176" s="3" t="s">
        <v>44</v>
      </c>
      <c r="E176" s="3" t="s">
        <v>45</v>
      </c>
    </row>
    <row r="177">
      <c r="A177" s="3" t="s">
        <v>1088</v>
      </c>
      <c r="B177" s="3" t="s">
        <v>19</v>
      </c>
      <c r="C177" s="3" t="s">
        <v>484</v>
      </c>
      <c r="D177" s="3" t="s">
        <v>33</v>
      </c>
      <c r="E177" s="3" t="s">
        <v>980</v>
      </c>
    </row>
    <row r="178">
      <c r="A178" s="3" t="s">
        <v>1092</v>
      </c>
      <c r="B178" s="3" t="s">
        <v>19</v>
      </c>
      <c r="C178" s="3" t="s">
        <v>471</v>
      </c>
      <c r="D178" s="3" t="s">
        <v>33</v>
      </c>
      <c r="E178" s="3" t="s">
        <v>895</v>
      </c>
    </row>
    <row r="179">
      <c r="A179" s="3" t="s">
        <v>1094</v>
      </c>
      <c r="B179" s="3" t="s">
        <v>19</v>
      </c>
      <c r="C179" s="3" t="s">
        <v>478</v>
      </c>
      <c r="D179" s="3" t="s">
        <v>44</v>
      </c>
      <c r="E179" s="3" t="s">
        <v>45</v>
      </c>
    </row>
    <row r="180">
      <c r="A180" s="3" t="s">
        <v>1096</v>
      </c>
      <c r="B180" s="3" t="s">
        <v>19</v>
      </c>
      <c r="C180" s="3" t="s">
        <v>484</v>
      </c>
      <c r="D180" s="3" t="s">
        <v>33</v>
      </c>
      <c r="E180" s="3" t="s">
        <v>344</v>
      </c>
    </row>
    <row r="181">
      <c r="A181" s="3" t="s">
        <v>1099</v>
      </c>
      <c r="B181" s="3" t="s">
        <v>19</v>
      </c>
      <c r="C181" s="3" t="s">
        <v>471</v>
      </c>
      <c r="D181" s="3" t="s">
        <v>44</v>
      </c>
      <c r="E181" s="3" t="s">
        <v>45</v>
      </c>
    </row>
    <row r="182">
      <c r="A182" s="3" t="s">
        <v>1100</v>
      </c>
      <c r="B182" s="3" t="s">
        <v>19</v>
      </c>
      <c r="C182" s="3" t="s">
        <v>478</v>
      </c>
      <c r="D182" s="3" t="s">
        <v>44</v>
      </c>
      <c r="E182" s="3" t="s">
        <v>45</v>
      </c>
    </row>
    <row r="183">
      <c r="A183" s="3" t="s">
        <v>1103</v>
      </c>
      <c r="B183" s="3" t="s">
        <v>19</v>
      </c>
      <c r="C183" s="3" t="s">
        <v>484</v>
      </c>
      <c r="D183" s="3" t="s">
        <v>44</v>
      </c>
      <c r="E183" s="3" t="s">
        <v>45</v>
      </c>
    </row>
    <row r="184">
      <c r="A184" s="3" t="s">
        <v>1104</v>
      </c>
      <c r="B184" s="3" t="s">
        <v>19</v>
      </c>
      <c r="C184" s="3" t="s">
        <v>471</v>
      </c>
      <c r="D184" s="3" t="s">
        <v>33</v>
      </c>
      <c r="E184" s="3" t="s">
        <v>773</v>
      </c>
    </row>
    <row r="185">
      <c r="A185" s="3" t="s">
        <v>1110</v>
      </c>
      <c r="B185" s="3" t="s">
        <v>19</v>
      </c>
      <c r="C185" s="3" t="s">
        <v>478</v>
      </c>
      <c r="D185" s="3" t="s">
        <v>44</v>
      </c>
      <c r="E185" s="3" t="s">
        <v>45</v>
      </c>
    </row>
    <row r="186">
      <c r="A186" s="3" t="s">
        <v>1113</v>
      </c>
      <c r="B186" s="3" t="s">
        <v>19</v>
      </c>
      <c r="C186" s="3" t="s">
        <v>484</v>
      </c>
      <c r="D186" s="3" t="s">
        <v>44</v>
      </c>
      <c r="E186" s="3" t="s">
        <v>45</v>
      </c>
    </row>
    <row r="187">
      <c r="A187" s="3" t="s">
        <v>1114</v>
      </c>
      <c r="B187" s="3" t="s">
        <v>19</v>
      </c>
      <c r="C187" s="3" t="s">
        <v>471</v>
      </c>
      <c r="D187" s="3" t="s">
        <v>33</v>
      </c>
      <c r="E187" s="3" t="s">
        <v>669</v>
      </c>
    </row>
    <row r="188">
      <c r="A188" s="3" t="s">
        <v>1117</v>
      </c>
      <c r="B188" s="3" t="s">
        <v>19</v>
      </c>
      <c r="C188" s="3" t="s">
        <v>478</v>
      </c>
      <c r="D188" s="3" t="s">
        <v>33</v>
      </c>
      <c r="E188" s="3" t="s">
        <v>579</v>
      </c>
    </row>
    <row r="189">
      <c r="A189" s="3" t="s">
        <v>1119</v>
      </c>
      <c r="B189" s="3" t="s">
        <v>19</v>
      </c>
      <c r="C189" s="3" t="s">
        <v>484</v>
      </c>
      <c r="D189" s="3" t="s">
        <v>44</v>
      </c>
      <c r="E189" s="3" t="s">
        <v>45</v>
      </c>
    </row>
    <row r="190">
      <c r="A190" s="3" t="s">
        <v>1121</v>
      </c>
      <c r="B190" s="3" t="s">
        <v>19</v>
      </c>
      <c r="C190" s="3" t="s">
        <v>471</v>
      </c>
      <c r="D190" s="3" t="s">
        <v>44</v>
      </c>
      <c r="E190" s="3" t="s">
        <v>45</v>
      </c>
    </row>
    <row r="191">
      <c r="A191" s="3" t="s">
        <v>1125</v>
      </c>
      <c r="B191" s="3" t="s">
        <v>19</v>
      </c>
      <c r="C191" s="3" t="s">
        <v>478</v>
      </c>
      <c r="D191" s="3" t="s">
        <v>33</v>
      </c>
      <c r="E191" s="3" t="s">
        <v>883</v>
      </c>
    </row>
    <row r="192">
      <c r="A192" s="3" t="s">
        <v>1127</v>
      </c>
      <c r="B192" s="3" t="s">
        <v>19</v>
      </c>
      <c r="C192" s="3" t="s">
        <v>484</v>
      </c>
      <c r="D192" s="3" t="s">
        <v>44</v>
      </c>
      <c r="E192" s="3" t="s">
        <v>45</v>
      </c>
    </row>
    <row r="193">
      <c r="A193" s="3" t="s">
        <v>1129</v>
      </c>
      <c r="B193" s="3" t="s">
        <v>19</v>
      </c>
      <c r="C193" s="3" t="s">
        <v>471</v>
      </c>
      <c r="D193" s="3" t="s">
        <v>44</v>
      </c>
      <c r="E193" s="3" t="s">
        <v>45</v>
      </c>
    </row>
    <row r="194">
      <c r="A194" s="3" t="s">
        <v>1131</v>
      </c>
      <c r="B194" s="3" t="s">
        <v>19</v>
      </c>
      <c r="C194" s="3" t="s">
        <v>478</v>
      </c>
      <c r="D194" s="3" t="s">
        <v>44</v>
      </c>
      <c r="E194" s="3" t="s">
        <v>45</v>
      </c>
    </row>
    <row r="195">
      <c r="A195" s="3" t="s">
        <v>1133</v>
      </c>
      <c r="B195" s="3" t="s">
        <v>19</v>
      </c>
      <c r="C195" s="3" t="s">
        <v>484</v>
      </c>
      <c r="D195" s="3" t="s">
        <v>44</v>
      </c>
      <c r="E195" s="3" t="s">
        <v>45</v>
      </c>
    </row>
    <row r="196">
      <c r="A196" s="3" t="s">
        <v>1135</v>
      </c>
      <c r="B196" s="3" t="s">
        <v>19</v>
      </c>
      <c r="C196" s="3" t="s">
        <v>471</v>
      </c>
      <c r="D196" s="3" t="s">
        <v>44</v>
      </c>
      <c r="E196" s="3" t="s">
        <v>45</v>
      </c>
    </row>
    <row r="197">
      <c r="A197" s="3" t="s">
        <v>1138</v>
      </c>
      <c r="B197" s="3" t="s">
        <v>19</v>
      </c>
      <c r="C197" s="3" t="s">
        <v>478</v>
      </c>
      <c r="D197" s="3" t="s">
        <v>44</v>
      </c>
      <c r="E197" s="3" t="s">
        <v>45</v>
      </c>
    </row>
    <row r="198">
      <c r="A198" s="3" t="s">
        <v>1140</v>
      </c>
      <c r="B198" s="3" t="s">
        <v>19</v>
      </c>
      <c r="C198" s="3" t="s">
        <v>484</v>
      </c>
      <c r="D198" s="3" t="s">
        <v>44</v>
      </c>
      <c r="E198" s="3" t="s">
        <v>45</v>
      </c>
    </row>
    <row r="199">
      <c r="A199" s="3" t="s">
        <v>1143</v>
      </c>
      <c r="B199" s="3" t="s">
        <v>19</v>
      </c>
      <c r="C199" s="3" t="s">
        <v>471</v>
      </c>
      <c r="D199" s="3" t="s">
        <v>44</v>
      </c>
      <c r="E199" s="3" t="s">
        <v>45</v>
      </c>
    </row>
    <row r="200">
      <c r="A200" s="3" t="s">
        <v>1146</v>
      </c>
      <c r="B200" s="3" t="s">
        <v>19</v>
      </c>
      <c r="C200" s="3" t="s">
        <v>478</v>
      </c>
      <c r="D200" s="3" t="s">
        <v>44</v>
      </c>
      <c r="E200" s="3" t="s">
        <v>45</v>
      </c>
    </row>
    <row r="201">
      <c r="A201" s="3" t="s">
        <v>1148</v>
      </c>
      <c r="B201" s="3" t="s">
        <v>19</v>
      </c>
      <c r="C201" s="3" t="s">
        <v>484</v>
      </c>
      <c r="D201" s="3" t="s">
        <v>44</v>
      </c>
      <c r="E201" s="3" t="s">
        <v>45</v>
      </c>
    </row>
    <row r="202">
      <c r="A202" s="3" t="s">
        <v>1151</v>
      </c>
      <c r="B202" s="3" t="s">
        <v>19</v>
      </c>
      <c r="C202" s="3" t="s">
        <v>471</v>
      </c>
      <c r="D202" s="3" t="s">
        <v>44</v>
      </c>
      <c r="E202" s="3" t="s">
        <v>45</v>
      </c>
    </row>
    <row r="203">
      <c r="A203" s="3" t="s">
        <v>1153</v>
      </c>
      <c r="B203" s="3" t="s">
        <v>19</v>
      </c>
      <c r="C203" s="3" t="s">
        <v>478</v>
      </c>
      <c r="D203" s="3" t="s">
        <v>44</v>
      </c>
      <c r="E203" s="3" t="s">
        <v>45</v>
      </c>
    </row>
    <row r="204">
      <c r="A204" s="3" t="s">
        <v>1156</v>
      </c>
      <c r="B204" s="3" t="s">
        <v>19</v>
      </c>
      <c r="C204" s="3" t="s">
        <v>484</v>
      </c>
      <c r="D204" s="3" t="s">
        <v>44</v>
      </c>
      <c r="E204" s="3" t="s">
        <v>45</v>
      </c>
    </row>
    <row r="205">
      <c r="A205" s="3" t="s">
        <v>1158</v>
      </c>
      <c r="B205" s="3" t="s">
        <v>19</v>
      </c>
      <c r="C205" s="3" t="s">
        <v>471</v>
      </c>
      <c r="D205" s="3" t="s">
        <v>44</v>
      </c>
      <c r="E205" s="3" t="s">
        <v>45</v>
      </c>
    </row>
    <row r="206">
      <c r="A206" s="3" t="s">
        <v>1161</v>
      </c>
      <c r="B206" s="3" t="s">
        <v>19</v>
      </c>
      <c r="C206" s="3" t="s">
        <v>478</v>
      </c>
      <c r="D206" s="3" t="s">
        <v>44</v>
      </c>
      <c r="E206" s="3" t="s">
        <v>45</v>
      </c>
    </row>
    <row r="207">
      <c r="A207" s="3" t="s">
        <v>1162</v>
      </c>
      <c r="B207" s="3" t="s">
        <v>19</v>
      </c>
      <c r="C207" s="3" t="s">
        <v>484</v>
      </c>
      <c r="D207" s="3" t="s">
        <v>44</v>
      </c>
      <c r="E207" s="3" t="s">
        <v>45</v>
      </c>
    </row>
    <row r="208">
      <c r="A208" s="3" t="s">
        <v>1168</v>
      </c>
      <c r="B208" s="3" t="s">
        <v>19</v>
      </c>
      <c r="C208" s="3" t="s">
        <v>471</v>
      </c>
      <c r="D208" s="3" t="s">
        <v>44</v>
      </c>
      <c r="E208" s="3" t="s">
        <v>45</v>
      </c>
    </row>
    <row r="209">
      <c r="A209" s="3" t="s">
        <v>1171</v>
      </c>
      <c r="B209" s="3" t="s">
        <v>19</v>
      </c>
      <c r="C209" s="3" t="s">
        <v>478</v>
      </c>
      <c r="D209" s="3" t="s">
        <v>44</v>
      </c>
      <c r="E209" s="3" t="s">
        <v>45</v>
      </c>
    </row>
    <row r="210">
      <c r="A210" s="3" t="s">
        <v>1173</v>
      </c>
      <c r="B210" s="3" t="s">
        <v>19</v>
      </c>
      <c r="C210" s="3" t="s">
        <v>484</v>
      </c>
      <c r="D210" s="3" t="s">
        <v>44</v>
      </c>
      <c r="E210" s="3" t="s">
        <v>45</v>
      </c>
    </row>
    <row r="211">
      <c r="A211" s="3" t="s">
        <v>1177</v>
      </c>
      <c r="B211" s="3" t="s">
        <v>19</v>
      </c>
      <c r="C211" s="3" t="s">
        <v>471</v>
      </c>
      <c r="D211" s="3" t="s">
        <v>33</v>
      </c>
      <c r="E211" s="3" t="s">
        <v>691</v>
      </c>
    </row>
    <row r="212">
      <c r="A212" s="3" t="s">
        <v>1179</v>
      </c>
      <c r="B212" s="3" t="s">
        <v>19</v>
      </c>
      <c r="C212" s="3" t="s">
        <v>478</v>
      </c>
      <c r="D212" s="3" t="s">
        <v>44</v>
      </c>
      <c r="E212" s="3" t="s">
        <v>45</v>
      </c>
    </row>
    <row r="213">
      <c r="A213" s="3" t="s">
        <v>1182</v>
      </c>
      <c r="B213" s="3" t="s">
        <v>19</v>
      </c>
      <c r="C213" s="3" t="s">
        <v>484</v>
      </c>
      <c r="D213" s="3" t="s">
        <v>44</v>
      </c>
      <c r="E213" s="3" t="s">
        <v>45</v>
      </c>
    </row>
    <row r="214">
      <c r="A214" s="3" t="s">
        <v>1185</v>
      </c>
      <c r="B214" s="3" t="s">
        <v>19</v>
      </c>
      <c r="C214" s="3" t="s">
        <v>471</v>
      </c>
      <c r="D214" s="3" t="s">
        <v>44</v>
      </c>
      <c r="E214" s="3" t="s">
        <v>45</v>
      </c>
    </row>
    <row r="215">
      <c r="A215" s="3" t="s">
        <v>1187</v>
      </c>
      <c r="B215" s="3" t="s">
        <v>19</v>
      </c>
      <c r="C215" s="3" t="s">
        <v>478</v>
      </c>
      <c r="D215" s="3" t="s">
        <v>44</v>
      </c>
      <c r="E215" s="3" t="s">
        <v>45</v>
      </c>
    </row>
    <row r="216">
      <c r="A216" s="3" t="s">
        <v>1190</v>
      </c>
      <c r="B216" s="3" t="s">
        <v>19</v>
      </c>
      <c r="C216" s="3" t="s">
        <v>484</v>
      </c>
      <c r="D216" s="3" t="s">
        <v>33</v>
      </c>
      <c r="E216" s="3" t="s">
        <v>336</v>
      </c>
    </row>
    <row r="217">
      <c r="A217" s="3" t="s">
        <v>1193</v>
      </c>
      <c r="B217" s="3" t="s">
        <v>19</v>
      </c>
      <c r="C217" s="3" t="s">
        <v>471</v>
      </c>
      <c r="D217" s="3" t="s">
        <v>44</v>
      </c>
      <c r="E217" s="3" t="s">
        <v>45</v>
      </c>
    </row>
    <row r="218">
      <c r="A218" s="3" t="s">
        <v>1196</v>
      </c>
      <c r="B218" s="3" t="s">
        <v>19</v>
      </c>
      <c r="C218" s="3" t="s">
        <v>478</v>
      </c>
      <c r="D218" s="3" t="s">
        <v>44</v>
      </c>
      <c r="E218" s="3" t="s">
        <v>45</v>
      </c>
    </row>
    <row r="219">
      <c r="A219" s="3" t="s">
        <v>1198</v>
      </c>
      <c r="B219" s="3" t="s">
        <v>19</v>
      </c>
      <c r="C219" s="3" t="s">
        <v>484</v>
      </c>
      <c r="D219" s="3" t="s">
        <v>44</v>
      </c>
      <c r="E219" s="3" t="s">
        <v>45</v>
      </c>
    </row>
    <row r="220">
      <c r="A220" s="3" t="s">
        <v>1201</v>
      </c>
      <c r="B220" s="3" t="s">
        <v>19</v>
      </c>
      <c r="C220" s="3" t="s">
        <v>471</v>
      </c>
      <c r="D220" s="3" t="s">
        <v>33</v>
      </c>
      <c r="E220" s="3" t="s">
        <v>414</v>
      </c>
    </row>
    <row r="221">
      <c r="A221" s="3" t="s">
        <v>1204</v>
      </c>
      <c r="B221" s="3" t="s">
        <v>19</v>
      </c>
      <c r="C221" s="3" t="s">
        <v>478</v>
      </c>
      <c r="D221" s="3" t="s">
        <v>44</v>
      </c>
      <c r="E221" s="3" t="s">
        <v>45</v>
      </c>
    </row>
    <row r="222">
      <c r="A222" s="3" t="s">
        <v>1206</v>
      </c>
      <c r="B222" s="3" t="s">
        <v>19</v>
      </c>
      <c r="C222" s="3" t="s">
        <v>484</v>
      </c>
      <c r="D222" s="3" t="s">
        <v>44</v>
      </c>
      <c r="E222" s="3" t="s">
        <v>45</v>
      </c>
    </row>
    <row r="223">
      <c r="A223" s="3" t="s">
        <v>1208</v>
      </c>
      <c r="B223" s="3" t="s">
        <v>19</v>
      </c>
      <c r="C223" s="3" t="s">
        <v>471</v>
      </c>
      <c r="D223" s="3" t="s">
        <v>44</v>
      </c>
      <c r="E223" s="3" t="s">
        <v>45</v>
      </c>
    </row>
    <row r="224">
      <c r="A224" s="3" t="s">
        <v>1211</v>
      </c>
      <c r="B224" s="3" t="s">
        <v>19</v>
      </c>
      <c r="C224" s="3" t="s">
        <v>478</v>
      </c>
      <c r="D224" s="3" t="s">
        <v>44</v>
      </c>
      <c r="E224" s="3" t="s">
        <v>45</v>
      </c>
    </row>
    <row r="225">
      <c r="A225" s="3" t="s">
        <v>1214</v>
      </c>
      <c r="B225" s="3" t="s">
        <v>19</v>
      </c>
      <c r="C225" s="3" t="s">
        <v>484</v>
      </c>
      <c r="D225" s="3" t="s">
        <v>33</v>
      </c>
      <c r="E225" s="3" t="s">
        <v>226</v>
      </c>
    </row>
    <row r="226">
      <c r="A226" s="3" t="s">
        <v>1218</v>
      </c>
      <c r="B226" s="3" t="s">
        <v>19</v>
      </c>
      <c r="C226" s="3" t="s">
        <v>471</v>
      </c>
      <c r="D226" s="3" t="s">
        <v>44</v>
      </c>
      <c r="E226" s="3" t="s">
        <v>45</v>
      </c>
    </row>
    <row r="227">
      <c r="A227" s="3" t="s">
        <v>1226</v>
      </c>
      <c r="B227" s="3" t="s">
        <v>19</v>
      </c>
      <c r="C227" s="3" t="s">
        <v>478</v>
      </c>
      <c r="D227" s="3" t="s">
        <v>44</v>
      </c>
      <c r="E227" s="3" t="s">
        <v>45</v>
      </c>
    </row>
    <row r="228">
      <c r="A228" s="3" t="s">
        <v>1228</v>
      </c>
      <c r="B228" s="3" t="s">
        <v>19</v>
      </c>
      <c r="C228" s="3" t="s">
        <v>484</v>
      </c>
      <c r="D228" s="3" t="s">
        <v>44</v>
      </c>
      <c r="E228" s="3" t="s">
        <v>45</v>
      </c>
    </row>
    <row r="229">
      <c r="A229" s="3" t="s">
        <v>1232</v>
      </c>
      <c r="B229" s="3" t="s">
        <v>19</v>
      </c>
      <c r="C229" s="3" t="s">
        <v>471</v>
      </c>
      <c r="D229" s="3" t="s">
        <v>33</v>
      </c>
      <c r="E229" s="3" t="s">
        <v>388</v>
      </c>
    </row>
    <row r="230">
      <c r="A230" s="3" t="s">
        <v>1234</v>
      </c>
      <c r="B230" s="3" t="s">
        <v>19</v>
      </c>
      <c r="C230" s="3" t="s">
        <v>478</v>
      </c>
      <c r="D230" s="3" t="s">
        <v>44</v>
      </c>
      <c r="E230" s="3" t="s">
        <v>45</v>
      </c>
    </row>
    <row r="231">
      <c r="A231" s="3" t="s">
        <v>1237</v>
      </c>
      <c r="B231" s="3" t="s">
        <v>19</v>
      </c>
      <c r="C231" s="3" t="s">
        <v>484</v>
      </c>
      <c r="D231" s="3" t="s">
        <v>44</v>
      </c>
      <c r="E231" s="3" t="s">
        <v>45</v>
      </c>
    </row>
    <row r="232">
      <c r="A232" s="3" t="s">
        <v>1240</v>
      </c>
      <c r="B232" s="3" t="s">
        <v>19</v>
      </c>
      <c r="C232" s="3" t="s">
        <v>471</v>
      </c>
      <c r="D232" s="3" t="s">
        <v>44</v>
      </c>
      <c r="E232" s="3" t="s">
        <v>45</v>
      </c>
    </row>
    <row r="233">
      <c r="A233" s="3" t="s">
        <v>1242</v>
      </c>
      <c r="B233" s="3" t="s">
        <v>19</v>
      </c>
      <c r="C233" s="3" t="s">
        <v>478</v>
      </c>
      <c r="D233" s="3" t="s">
        <v>33</v>
      </c>
      <c r="E233" s="3" t="s">
        <v>619</v>
      </c>
    </row>
    <row r="234">
      <c r="A234" s="3" t="s">
        <v>1245</v>
      </c>
      <c r="B234" s="3" t="s">
        <v>19</v>
      </c>
      <c r="C234" s="3" t="s">
        <v>484</v>
      </c>
      <c r="D234" s="3" t="s">
        <v>44</v>
      </c>
      <c r="E234" s="3" t="s">
        <v>45</v>
      </c>
    </row>
    <row r="235">
      <c r="A235" s="3" t="s">
        <v>1248</v>
      </c>
      <c r="B235" s="3" t="s">
        <v>19</v>
      </c>
      <c r="C235" s="3" t="s">
        <v>471</v>
      </c>
      <c r="D235" s="3" t="s">
        <v>44</v>
      </c>
      <c r="E235" s="3" t="s">
        <v>45</v>
      </c>
    </row>
    <row r="236">
      <c r="A236" s="3" t="s">
        <v>1251</v>
      </c>
      <c r="B236" s="3" t="s">
        <v>19</v>
      </c>
      <c r="C236" s="3" t="s">
        <v>478</v>
      </c>
      <c r="D236" s="3" t="s">
        <v>44</v>
      </c>
      <c r="E236" s="3" t="s">
        <v>45</v>
      </c>
    </row>
    <row r="237">
      <c r="A237" s="3" t="s">
        <v>1254</v>
      </c>
      <c r="B237" s="3" t="s">
        <v>19</v>
      </c>
      <c r="C237" s="3" t="s">
        <v>484</v>
      </c>
      <c r="D237" s="3" t="s">
        <v>33</v>
      </c>
      <c r="E237" s="3" t="s">
        <v>247</v>
      </c>
    </row>
    <row r="238">
      <c r="A238" s="3" t="s">
        <v>1256</v>
      </c>
      <c r="B238" s="3" t="s">
        <v>19</v>
      </c>
      <c r="C238" s="3" t="s">
        <v>471</v>
      </c>
      <c r="D238" s="3" t="s">
        <v>44</v>
      </c>
      <c r="E238" s="3" t="s">
        <v>45</v>
      </c>
    </row>
    <row r="239">
      <c r="A239" s="3" t="s">
        <v>1259</v>
      </c>
      <c r="B239" s="3" t="s">
        <v>19</v>
      </c>
      <c r="C239" s="3" t="s">
        <v>478</v>
      </c>
      <c r="D239" s="3" t="s">
        <v>44</v>
      </c>
      <c r="E239" s="3" t="s">
        <v>45</v>
      </c>
    </row>
    <row r="240">
      <c r="A240" s="3" t="s">
        <v>1261</v>
      </c>
      <c r="B240" s="3" t="s">
        <v>19</v>
      </c>
      <c r="C240" s="3" t="s">
        <v>484</v>
      </c>
      <c r="D240" s="3" t="s">
        <v>44</v>
      </c>
      <c r="E240" s="3" t="s">
        <v>45</v>
      </c>
    </row>
    <row r="241">
      <c r="A241" s="3" t="s">
        <v>1264</v>
      </c>
      <c r="B241" s="3" t="s">
        <v>19</v>
      </c>
      <c r="C241" s="3" t="s">
        <v>471</v>
      </c>
      <c r="D241" s="3" t="s">
        <v>44</v>
      </c>
      <c r="E241" s="3" t="s">
        <v>45</v>
      </c>
    </row>
    <row r="242">
      <c r="A242" s="3" t="s">
        <v>1268</v>
      </c>
      <c r="B242" s="3" t="s">
        <v>19</v>
      </c>
      <c r="C242" s="3" t="s">
        <v>478</v>
      </c>
      <c r="D242" s="3" t="s">
        <v>44</v>
      </c>
      <c r="E242" s="3" t="s">
        <v>45</v>
      </c>
    </row>
    <row r="243">
      <c r="A243" s="3" t="s">
        <v>1270</v>
      </c>
      <c r="B243" s="3" t="s">
        <v>19</v>
      </c>
      <c r="C243" s="3" t="s">
        <v>484</v>
      </c>
      <c r="D243" s="3" t="s">
        <v>44</v>
      </c>
      <c r="E243" s="3" t="s">
        <v>45</v>
      </c>
    </row>
    <row r="244">
      <c r="A244" s="3" t="s">
        <v>1272</v>
      </c>
      <c r="B244" s="3" t="s">
        <v>19</v>
      </c>
      <c r="C244" s="3" t="s">
        <v>471</v>
      </c>
      <c r="D244" s="3" t="s">
        <v>44</v>
      </c>
      <c r="E244" s="3" t="s">
        <v>45</v>
      </c>
    </row>
    <row r="245">
      <c r="A245" s="3" t="s">
        <v>1274</v>
      </c>
      <c r="B245" s="3" t="s">
        <v>19</v>
      </c>
      <c r="C245" s="3" t="s">
        <v>478</v>
      </c>
      <c r="D245" s="3" t="s">
        <v>33</v>
      </c>
      <c r="E245" s="3" t="s">
        <v>496</v>
      </c>
    </row>
    <row r="246">
      <c r="A246" s="3" t="s">
        <v>1276</v>
      </c>
      <c r="B246" s="3" t="s">
        <v>19</v>
      </c>
      <c r="C246" s="3" t="s">
        <v>484</v>
      </c>
      <c r="D246" s="3" t="s">
        <v>44</v>
      </c>
      <c r="E246" s="3" t="s">
        <v>45</v>
      </c>
    </row>
    <row r="247">
      <c r="A247" s="3" t="s">
        <v>1278</v>
      </c>
      <c r="B247" s="3" t="s">
        <v>19</v>
      </c>
      <c r="C247" s="3" t="s">
        <v>471</v>
      </c>
      <c r="D247" s="3" t="s">
        <v>44</v>
      </c>
      <c r="E247" s="3" t="s">
        <v>45</v>
      </c>
    </row>
    <row r="248">
      <c r="A248" s="3" t="s">
        <v>1279</v>
      </c>
      <c r="B248" s="3" t="s">
        <v>19</v>
      </c>
      <c r="C248" s="3" t="s">
        <v>478</v>
      </c>
      <c r="D248" s="3" t="s">
        <v>44</v>
      </c>
      <c r="E248" s="3" t="s">
        <v>45</v>
      </c>
    </row>
    <row r="249">
      <c r="A249" s="3" t="s">
        <v>1281</v>
      </c>
      <c r="B249" s="3" t="s">
        <v>19</v>
      </c>
      <c r="C249" s="3" t="s">
        <v>484</v>
      </c>
      <c r="D249" s="3" t="s">
        <v>44</v>
      </c>
      <c r="E249" s="3" t="s">
        <v>45</v>
      </c>
    </row>
    <row r="250">
      <c r="A250" s="3" t="s">
        <v>1284</v>
      </c>
      <c r="B250" s="3" t="s">
        <v>19</v>
      </c>
      <c r="C250" s="3" t="s">
        <v>471</v>
      </c>
      <c r="D250" s="3" t="s">
        <v>44</v>
      </c>
      <c r="E250" s="3" t="s">
        <v>45</v>
      </c>
    </row>
    <row r="251">
      <c r="A251" s="3" t="s">
        <v>1286</v>
      </c>
      <c r="B251" s="3" t="s">
        <v>19</v>
      </c>
      <c r="C251" s="3" t="s">
        <v>478</v>
      </c>
      <c r="D251" s="3" t="s">
        <v>44</v>
      </c>
      <c r="E251" s="3" t="s">
        <v>45</v>
      </c>
    </row>
    <row r="252">
      <c r="A252" s="3" t="s">
        <v>1289</v>
      </c>
      <c r="B252" s="3" t="s">
        <v>19</v>
      </c>
      <c r="C252" s="3" t="s">
        <v>484</v>
      </c>
      <c r="D252" s="3" t="s">
        <v>44</v>
      </c>
      <c r="E252" s="3" t="s">
        <v>45</v>
      </c>
    </row>
    <row r="253">
      <c r="A253" s="3" t="s">
        <v>1291</v>
      </c>
      <c r="B253" s="3" t="s">
        <v>19</v>
      </c>
      <c r="C253" s="3" t="s">
        <v>471</v>
      </c>
      <c r="D253" s="3" t="s">
        <v>44</v>
      </c>
      <c r="E253" s="3" t="s">
        <v>45</v>
      </c>
    </row>
    <row r="254">
      <c r="A254" s="3" t="s">
        <v>1292</v>
      </c>
      <c r="B254" s="3" t="s">
        <v>19</v>
      </c>
      <c r="C254" s="3" t="s">
        <v>478</v>
      </c>
      <c r="D254" s="3" t="s">
        <v>44</v>
      </c>
      <c r="E254" s="3" t="s">
        <v>45</v>
      </c>
    </row>
    <row r="255">
      <c r="A255" s="3" t="s">
        <v>1295</v>
      </c>
      <c r="B255" s="3" t="s">
        <v>19</v>
      </c>
      <c r="C255" s="3" t="s">
        <v>484</v>
      </c>
      <c r="D255" s="3" t="s">
        <v>44</v>
      </c>
      <c r="E255" s="3" t="s">
        <v>45</v>
      </c>
    </row>
    <row r="256">
      <c r="A256" s="3" t="s">
        <v>1297</v>
      </c>
      <c r="B256" s="3" t="s">
        <v>19</v>
      </c>
      <c r="C256" s="3" t="s">
        <v>471</v>
      </c>
      <c r="D256" s="3" t="s">
        <v>33</v>
      </c>
      <c r="E256" s="3" t="s">
        <v>400</v>
      </c>
    </row>
    <row r="257">
      <c r="A257" s="3" t="s">
        <v>1300</v>
      </c>
      <c r="B257" s="3" t="s">
        <v>19</v>
      </c>
      <c r="C257" s="3" t="s">
        <v>478</v>
      </c>
      <c r="D257" s="3" t="s">
        <v>33</v>
      </c>
      <c r="E257" s="3" t="s">
        <v>682</v>
      </c>
    </row>
    <row r="258">
      <c r="A258" s="3" t="s">
        <v>1302</v>
      </c>
      <c r="B258" s="3" t="s">
        <v>19</v>
      </c>
      <c r="C258" s="3" t="s">
        <v>484</v>
      </c>
      <c r="D258" s="3" t="s">
        <v>44</v>
      </c>
      <c r="E258" s="3" t="s">
        <v>45</v>
      </c>
    </row>
    <row r="259">
      <c r="A259" s="3" t="s">
        <v>1305</v>
      </c>
      <c r="B259" s="3" t="s">
        <v>19</v>
      </c>
      <c r="C259" s="3" t="s">
        <v>471</v>
      </c>
      <c r="D259" s="3" t="s">
        <v>44</v>
      </c>
      <c r="E259" s="3" t="s">
        <v>45</v>
      </c>
    </row>
    <row r="260">
      <c r="A260" s="3" t="s">
        <v>1307</v>
      </c>
      <c r="B260" s="3" t="s">
        <v>19</v>
      </c>
      <c r="C260" s="3" t="s">
        <v>478</v>
      </c>
      <c r="D260" s="3" t="s">
        <v>44</v>
      </c>
      <c r="E260" s="3" t="s">
        <v>45</v>
      </c>
    </row>
    <row r="261">
      <c r="A261" s="3" t="s">
        <v>1310</v>
      </c>
      <c r="B261" s="3" t="s">
        <v>19</v>
      </c>
      <c r="C261" s="3" t="s">
        <v>484</v>
      </c>
      <c r="D261" s="3" t="s">
        <v>44</v>
      </c>
      <c r="E261" s="3" t="s">
        <v>45</v>
      </c>
    </row>
    <row r="262">
      <c r="A262" s="3" t="s">
        <v>1313</v>
      </c>
      <c r="B262" s="3" t="s">
        <v>19</v>
      </c>
      <c r="C262" s="3" t="s">
        <v>471</v>
      </c>
      <c r="D262" s="3" t="s">
        <v>44</v>
      </c>
      <c r="E262" s="3" t="s">
        <v>45</v>
      </c>
    </row>
    <row r="263">
      <c r="A263" s="3" t="s">
        <v>1315</v>
      </c>
      <c r="B263" s="3" t="s">
        <v>19</v>
      </c>
      <c r="C263" s="3" t="s">
        <v>478</v>
      </c>
      <c r="D263" s="3" t="s">
        <v>44</v>
      </c>
      <c r="E263" s="3" t="s">
        <v>45</v>
      </c>
    </row>
    <row r="264">
      <c r="A264" s="3" t="s">
        <v>1318</v>
      </c>
      <c r="B264" s="3" t="s">
        <v>19</v>
      </c>
      <c r="C264" s="3" t="s">
        <v>484</v>
      </c>
      <c r="D264" s="3" t="s">
        <v>44</v>
      </c>
      <c r="E264" s="3" t="s">
        <v>45</v>
      </c>
    </row>
    <row r="265">
      <c r="A265" s="3" t="s">
        <v>1319</v>
      </c>
      <c r="B265" s="3" t="s">
        <v>19</v>
      </c>
      <c r="C265" s="3" t="s">
        <v>471</v>
      </c>
      <c r="D265" s="3" t="s">
        <v>44</v>
      </c>
      <c r="E265" s="3" t="s">
        <v>45</v>
      </c>
    </row>
    <row r="266">
      <c r="A266" s="3" t="s">
        <v>1322</v>
      </c>
      <c r="B266" s="3" t="s">
        <v>19</v>
      </c>
      <c r="C266" s="3" t="s">
        <v>478</v>
      </c>
      <c r="D266" s="3" t="s">
        <v>44</v>
      </c>
      <c r="E266" s="3" t="s">
        <v>45</v>
      </c>
    </row>
    <row r="267">
      <c r="A267" s="3" t="s">
        <v>1324</v>
      </c>
      <c r="B267" s="3" t="s">
        <v>19</v>
      </c>
      <c r="C267" s="3" t="s">
        <v>484</v>
      </c>
      <c r="D267" s="3" t="s">
        <v>44</v>
      </c>
      <c r="E267" s="3" t="s">
        <v>45</v>
      </c>
    </row>
    <row r="268">
      <c r="A268" s="3" t="s">
        <v>1327</v>
      </c>
      <c r="B268" s="3" t="s">
        <v>19</v>
      </c>
      <c r="C268" s="3" t="s">
        <v>471</v>
      </c>
      <c r="D268" s="3" t="s">
        <v>33</v>
      </c>
      <c r="E268" s="3" t="s">
        <v>841</v>
      </c>
    </row>
    <row r="269">
      <c r="A269" s="3" t="s">
        <v>1329</v>
      </c>
      <c r="B269" s="3" t="s">
        <v>19</v>
      </c>
      <c r="C269" s="3" t="s">
        <v>478</v>
      </c>
      <c r="D269" s="3" t="s">
        <v>44</v>
      </c>
      <c r="E269" s="3" t="s">
        <v>45</v>
      </c>
    </row>
    <row r="270">
      <c r="A270" s="3" t="s">
        <v>1333</v>
      </c>
      <c r="B270" s="3" t="s">
        <v>19</v>
      </c>
      <c r="C270" s="3" t="s">
        <v>484</v>
      </c>
      <c r="D270" s="3" t="s">
        <v>44</v>
      </c>
      <c r="E270" s="3" t="s">
        <v>45</v>
      </c>
    </row>
    <row r="271">
      <c r="A271" s="3" t="s">
        <v>1335</v>
      </c>
      <c r="B271" s="3" t="s">
        <v>19</v>
      </c>
      <c r="C271" s="3" t="s">
        <v>471</v>
      </c>
      <c r="D271" s="3" t="s">
        <v>44</v>
      </c>
      <c r="E271" s="3" t="s">
        <v>45</v>
      </c>
    </row>
    <row r="272">
      <c r="A272" s="3" t="s">
        <v>1338</v>
      </c>
      <c r="B272" s="3" t="s">
        <v>19</v>
      </c>
      <c r="C272" s="3" t="s">
        <v>478</v>
      </c>
      <c r="D272" s="3" t="s">
        <v>44</v>
      </c>
      <c r="E272" s="3" t="s">
        <v>45</v>
      </c>
    </row>
    <row r="273">
      <c r="A273" s="3" t="s">
        <v>1341</v>
      </c>
      <c r="B273" s="3" t="s">
        <v>19</v>
      </c>
      <c r="C273" s="3" t="s">
        <v>484</v>
      </c>
      <c r="D273" s="3" t="s">
        <v>44</v>
      </c>
      <c r="E273" s="3" t="s">
        <v>45</v>
      </c>
    </row>
    <row r="274">
      <c r="A274" s="3" t="s">
        <v>1343</v>
      </c>
      <c r="B274" s="3" t="s">
        <v>19</v>
      </c>
      <c r="C274" s="3" t="s">
        <v>471</v>
      </c>
      <c r="D274" s="3" t="s">
        <v>44</v>
      </c>
      <c r="E274" s="3" t="s">
        <v>45</v>
      </c>
    </row>
    <row r="275">
      <c r="A275" s="3" t="s">
        <v>1346</v>
      </c>
      <c r="B275" s="3" t="s">
        <v>19</v>
      </c>
      <c r="C275" s="3" t="s">
        <v>478</v>
      </c>
      <c r="D275" s="3" t="s">
        <v>33</v>
      </c>
      <c r="E275" s="3" t="s">
        <v>539</v>
      </c>
    </row>
    <row r="276">
      <c r="A276" s="3" t="s">
        <v>1348</v>
      </c>
      <c r="B276" s="3" t="s">
        <v>19</v>
      </c>
      <c r="C276" s="3" t="s">
        <v>484</v>
      </c>
      <c r="D276" s="3" t="s">
        <v>44</v>
      </c>
      <c r="E276" s="3" t="s">
        <v>45</v>
      </c>
    </row>
    <row r="277">
      <c r="A277" s="3" t="s">
        <v>1351</v>
      </c>
      <c r="B277" s="3" t="s">
        <v>19</v>
      </c>
      <c r="C277" s="3" t="s">
        <v>471</v>
      </c>
      <c r="D277" s="3" t="s">
        <v>44</v>
      </c>
      <c r="E277" s="3" t="s">
        <v>45</v>
      </c>
    </row>
    <row r="278">
      <c r="A278" s="3" t="s">
        <v>1354</v>
      </c>
      <c r="B278" s="3" t="s">
        <v>19</v>
      </c>
      <c r="C278" s="3" t="s">
        <v>478</v>
      </c>
      <c r="D278" s="3" t="s">
        <v>44</v>
      </c>
      <c r="E278" s="3" t="s">
        <v>45</v>
      </c>
    </row>
    <row r="279">
      <c r="A279" s="3" t="s">
        <v>1356</v>
      </c>
      <c r="B279" s="3" t="s">
        <v>19</v>
      </c>
      <c r="C279" s="3" t="s">
        <v>484</v>
      </c>
      <c r="D279" s="3" t="s">
        <v>44</v>
      </c>
      <c r="E279" s="3" t="s">
        <v>45</v>
      </c>
    </row>
    <row r="280">
      <c r="A280" s="3" t="s">
        <v>1358</v>
      </c>
      <c r="B280" s="3" t="s">
        <v>19</v>
      </c>
      <c r="C280" s="3" t="s">
        <v>471</v>
      </c>
      <c r="D280" s="3" t="s">
        <v>33</v>
      </c>
      <c r="E280" s="3" t="s">
        <v>822</v>
      </c>
    </row>
    <row r="281">
      <c r="A281" s="3" t="s">
        <v>1361</v>
      </c>
      <c r="B281" s="3" t="s">
        <v>19</v>
      </c>
      <c r="C281" s="3" t="s">
        <v>478</v>
      </c>
      <c r="D281" s="3" t="s">
        <v>33</v>
      </c>
      <c r="E281" s="3" t="s">
        <v>1043</v>
      </c>
    </row>
    <row r="282">
      <c r="A282" s="3" t="s">
        <v>1363</v>
      </c>
      <c r="B282" s="3" t="s">
        <v>19</v>
      </c>
      <c r="C282" s="3" t="s">
        <v>484</v>
      </c>
      <c r="D282" s="3" t="s">
        <v>44</v>
      </c>
      <c r="E282" s="3" t="s">
        <v>45</v>
      </c>
    </row>
    <row r="283">
      <c r="A283" s="3" t="s">
        <v>1366</v>
      </c>
      <c r="B283" s="3" t="s">
        <v>19</v>
      </c>
      <c r="C283" s="3" t="s">
        <v>471</v>
      </c>
      <c r="D283" s="3" t="s">
        <v>44</v>
      </c>
      <c r="E283" s="3" t="s">
        <v>45</v>
      </c>
    </row>
    <row r="284">
      <c r="A284" s="3" t="s">
        <v>1369</v>
      </c>
      <c r="B284" s="3" t="s">
        <v>19</v>
      </c>
      <c r="C284" s="3" t="s">
        <v>478</v>
      </c>
      <c r="D284" s="3" t="s">
        <v>44</v>
      </c>
      <c r="E284" s="3" t="s">
        <v>45</v>
      </c>
    </row>
    <row r="285">
      <c r="A285" s="3" t="s">
        <v>1371</v>
      </c>
      <c r="B285" s="3" t="s">
        <v>19</v>
      </c>
      <c r="C285" s="3" t="s">
        <v>484</v>
      </c>
      <c r="D285" s="3" t="s">
        <v>44</v>
      </c>
      <c r="E285" s="3" t="s">
        <v>45</v>
      </c>
    </row>
    <row r="286">
      <c r="A286" s="3" t="s">
        <v>1373</v>
      </c>
      <c r="B286" s="3" t="s">
        <v>19</v>
      </c>
      <c r="C286" s="3" t="s">
        <v>471</v>
      </c>
      <c r="D286" s="3" t="s">
        <v>44</v>
      </c>
      <c r="E286" s="3" t="s">
        <v>45</v>
      </c>
    </row>
    <row r="287">
      <c r="A287" s="3" t="s">
        <v>1376</v>
      </c>
      <c r="B287" s="3" t="s">
        <v>19</v>
      </c>
      <c r="C287" s="3" t="s">
        <v>478</v>
      </c>
      <c r="D287" s="3" t="s">
        <v>44</v>
      </c>
      <c r="E287" s="3" t="s">
        <v>45</v>
      </c>
    </row>
    <row r="288">
      <c r="A288" s="3" t="s">
        <v>1378</v>
      </c>
      <c r="B288" s="3" t="s">
        <v>19</v>
      </c>
      <c r="C288" s="3" t="s">
        <v>484</v>
      </c>
      <c r="D288" s="3" t="s">
        <v>33</v>
      </c>
      <c r="E288" s="3" t="s">
        <v>544</v>
      </c>
    </row>
    <row r="289">
      <c r="A289" s="3" t="s">
        <v>1380</v>
      </c>
      <c r="B289" s="3" t="s">
        <v>19</v>
      </c>
      <c r="C289" s="3" t="s">
        <v>471</v>
      </c>
      <c r="D289" s="3" t="s">
        <v>44</v>
      </c>
      <c r="E289" s="3" t="s">
        <v>45</v>
      </c>
    </row>
    <row r="290">
      <c r="A290" s="3" t="s">
        <v>1383</v>
      </c>
      <c r="B290" s="3" t="s">
        <v>19</v>
      </c>
      <c r="C290" s="3" t="s">
        <v>478</v>
      </c>
      <c r="D290" s="3" t="s">
        <v>44</v>
      </c>
      <c r="E290" s="3" t="s">
        <v>45</v>
      </c>
    </row>
    <row r="291">
      <c r="A291" s="3" t="s">
        <v>1385</v>
      </c>
      <c r="B291" s="3" t="s">
        <v>19</v>
      </c>
      <c r="C291" s="3" t="s">
        <v>484</v>
      </c>
      <c r="D291" s="3" t="s">
        <v>44</v>
      </c>
      <c r="E291" s="3" t="s">
        <v>45</v>
      </c>
    </row>
    <row r="292">
      <c r="A292" s="3" t="s">
        <v>1389</v>
      </c>
      <c r="B292" s="3" t="s">
        <v>19</v>
      </c>
      <c r="C292" s="3" t="s">
        <v>471</v>
      </c>
      <c r="D292" s="3" t="s">
        <v>33</v>
      </c>
      <c r="E292" s="3" t="s">
        <v>263</v>
      </c>
    </row>
    <row r="293">
      <c r="A293" s="3" t="s">
        <v>1390</v>
      </c>
      <c r="B293" s="3" t="s">
        <v>19</v>
      </c>
      <c r="C293" s="3" t="s">
        <v>478</v>
      </c>
      <c r="D293" s="3" t="s">
        <v>44</v>
      </c>
      <c r="E293" s="3" t="s">
        <v>45</v>
      </c>
    </row>
    <row r="294">
      <c r="A294" s="3" t="s">
        <v>1393</v>
      </c>
      <c r="B294" s="3" t="s">
        <v>19</v>
      </c>
      <c r="C294" s="3" t="s">
        <v>484</v>
      </c>
      <c r="D294" s="3" t="s">
        <v>44</v>
      </c>
      <c r="E294" s="3" t="s">
        <v>45</v>
      </c>
    </row>
    <row r="295">
      <c r="A295" s="3" t="s">
        <v>1395</v>
      </c>
      <c r="B295" s="3" t="s">
        <v>19</v>
      </c>
      <c r="C295" s="3" t="s">
        <v>471</v>
      </c>
      <c r="D295" s="3" t="s">
        <v>44</v>
      </c>
      <c r="E295" s="3" t="s">
        <v>45</v>
      </c>
    </row>
    <row r="296">
      <c r="A296" s="3" t="s">
        <v>1398</v>
      </c>
      <c r="B296" s="3" t="s">
        <v>19</v>
      </c>
      <c r="C296" s="3" t="s">
        <v>478</v>
      </c>
      <c r="D296" s="3" t="s">
        <v>44</v>
      </c>
      <c r="E296" s="3" t="s">
        <v>45</v>
      </c>
    </row>
    <row r="297">
      <c r="A297" s="3" t="s">
        <v>1400</v>
      </c>
      <c r="B297" s="3" t="s">
        <v>19</v>
      </c>
      <c r="C297" s="3" t="s">
        <v>484</v>
      </c>
      <c r="D297" s="3" t="s">
        <v>44</v>
      </c>
      <c r="E297" s="3" t="s">
        <v>45</v>
      </c>
    </row>
    <row r="298">
      <c r="A298" s="3" t="s">
        <v>1403</v>
      </c>
      <c r="B298" s="3" t="s">
        <v>19</v>
      </c>
      <c r="C298" s="3" t="s">
        <v>471</v>
      </c>
      <c r="D298" s="3" t="s">
        <v>33</v>
      </c>
      <c r="E298" s="3" t="s">
        <v>652</v>
      </c>
    </row>
    <row r="299">
      <c r="A299" s="3" t="s">
        <v>1407</v>
      </c>
      <c r="B299" s="3" t="s">
        <v>19</v>
      </c>
      <c r="C299" s="3" t="s">
        <v>478</v>
      </c>
      <c r="D299" s="3" t="s">
        <v>44</v>
      </c>
      <c r="E299" s="3" t="s">
        <v>45</v>
      </c>
    </row>
    <row r="300">
      <c r="A300" s="3" t="s">
        <v>1408</v>
      </c>
      <c r="B300" s="3" t="s">
        <v>19</v>
      </c>
      <c r="C300" s="3" t="s">
        <v>484</v>
      </c>
      <c r="D300" s="3" t="s">
        <v>44</v>
      </c>
      <c r="E300" s="3" t="s">
        <v>45</v>
      </c>
    </row>
    <row r="301">
      <c r="A301" s="3" t="s">
        <v>1411</v>
      </c>
      <c r="B301" s="3" t="s">
        <v>19</v>
      </c>
      <c r="C301" s="3" t="s">
        <v>471</v>
      </c>
      <c r="D301" s="3" t="s">
        <v>44</v>
      </c>
      <c r="E301" s="3" t="s">
        <v>45</v>
      </c>
    </row>
    <row r="302">
      <c r="A302" s="3" t="s">
        <v>1413</v>
      </c>
      <c r="B302" s="3" t="s">
        <v>19</v>
      </c>
      <c r="C302" s="3" t="s">
        <v>478</v>
      </c>
      <c r="D302" s="3" t="s">
        <v>44</v>
      </c>
      <c r="E302" s="3" t="s">
        <v>45</v>
      </c>
    </row>
    <row r="303">
      <c r="A303" s="3" t="s">
        <v>1416</v>
      </c>
      <c r="B303" s="3" t="s">
        <v>19</v>
      </c>
      <c r="C303" s="3" t="s">
        <v>484</v>
      </c>
      <c r="D303" s="3" t="s">
        <v>44</v>
      </c>
      <c r="E303" s="3" t="s">
        <v>45</v>
      </c>
    </row>
    <row r="304">
      <c r="A304" s="3" t="s">
        <v>1418</v>
      </c>
      <c r="B304" s="3" t="s">
        <v>19</v>
      </c>
      <c r="C304" s="3" t="s">
        <v>471</v>
      </c>
      <c r="D304" s="3" t="s">
        <v>44</v>
      </c>
      <c r="E304" s="3" t="s">
        <v>45</v>
      </c>
    </row>
    <row r="305">
      <c r="A305" s="3" t="s">
        <v>1420</v>
      </c>
      <c r="B305" s="3" t="s">
        <v>19</v>
      </c>
      <c r="C305" s="3" t="s">
        <v>478</v>
      </c>
      <c r="D305" s="3" t="s">
        <v>44</v>
      </c>
      <c r="E305" s="3" t="s">
        <v>45</v>
      </c>
    </row>
    <row r="306">
      <c r="A306" s="3" t="s">
        <v>1424</v>
      </c>
      <c r="B306" s="3" t="s">
        <v>19</v>
      </c>
      <c r="C306" s="3" t="s">
        <v>484</v>
      </c>
      <c r="D306" s="3" t="s">
        <v>44</v>
      </c>
      <c r="E306" s="3" t="s">
        <v>45</v>
      </c>
    </row>
    <row r="307">
      <c r="A307" s="3" t="s">
        <v>1426</v>
      </c>
      <c r="B307" s="3" t="s">
        <v>19</v>
      </c>
      <c r="C307" s="3" t="s">
        <v>471</v>
      </c>
      <c r="D307" s="3" t="s">
        <v>44</v>
      </c>
      <c r="E307" s="3" t="s">
        <v>45</v>
      </c>
    </row>
    <row r="308">
      <c r="A308" s="3" t="s">
        <v>1429</v>
      </c>
      <c r="B308" s="3" t="s">
        <v>19</v>
      </c>
      <c r="C308" s="3" t="s">
        <v>478</v>
      </c>
      <c r="D308" s="3" t="s">
        <v>44</v>
      </c>
      <c r="E308" s="3" t="s">
        <v>45</v>
      </c>
    </row>
    <row r="309">
      <c r="A309" s="3" t="s">
        <v>1431</v>
      </c>
      <c r="B309" s="3" t="s">
        <v>19</v>
      </c>
      <c r="C309" s="3" t="s">
        <v>484</v>
      </c>
      <c r="D309" s="3" t="s">
        <v>44</v>
      </c>
      <c r="E309" s="3" t="s">
        <v>45</v>
      </c>
    </row>
    <row r="310">
      <c r="A310" s="3" t="s">
        <v>1434</v>
      </c>
      <c r="B310" s="3" t="s">
        <v>19</v>
      </c>
      <c r="C310" s="3" t="s">
        <v>471</v>
      </c>
      <c r="D310" s="3" t="s">
        <v>44</v>
      </c>
      <c r="E310" s="3" t="s">
        <v>45</v>
      </c>
    </row>
    <row r="311">
      <c r="A311" s="3" t="s">
        <v>1435</v>
      </c>
      <c r="B311" s="3" t="s">
        <v>19</v>
      </c>
      <c r="C311" s="3" t="s">
        <v>478</v>
      </c>
      <c r="D311" s="3" t="s">
        <v>44</v>
      </c>
      <c r="E311" s="3" t="s">
        <v>45</v>
      </c>
    </row>
    <row r="312">
      <c r="A312" s="3" t="s">
        <v>1438</v>
      </c>
      <c r="B312" s="3" t="s">
        <v>19</v>
      </c>
      <c r="C312" s="3" t="s">
        <v>484</v>
      </c>
      <c r="D312" s="3" t="s">
        <v>44</v>
      </c>
      <c r="E312" s="3" t="s">
        <v>45</v>
      </c>
    </row>
    <row r="313">
      <c r="A313" s="3" t="s">
        <v>1441</v>
      </c>
      <c r="B313" s="3" t="s">
        <v>19</v>
      </c>
      <c r="C313" s="3" t="s">
        <v>471</v>
      </c>
      <c r="D313" s="3" t="s">
        <v>44</v>
      </c>
      <c r="E313" s="3" t="s">
        <v>45</v>
      </c>
    </row>
    <row r="314">
      <c r="A314" s="3" t="s">
        <v>1443</v>
      </c>
      <c r="B314" s="3" t="s">
        <v>19</v>
      </c>
      <c r="C314" s="3" t="s">
        <v>478</v>
      </c>
      <c r="D314" s="3" t="s">
        <v>33</v>
      </c>
      <c r="E314" s="3" t="s">
        <v>742</v>
      </c>
    </row>
    <row r="315">
      <c r="A315" s="3" t="s">
        <v>1446</v>
      </c>
      <c r="B315" s="3" t="s">
        <v>19</v>
      </c>
      <c r="C315" s="3" t="s">
        <v>484</v>
      </c>
      <c r="D315" s="3" t="s">
        <v>44</v>
      </c>
      <c r="E315" s="3" t="s">
        <v>45</v>
      </c>
    </row>
    <row r="316">
      <c r="A316" s="3" t="s">
        <v>1448</v>
      </c>
      <c r="B316" s="3" t="s">
        <v>19</v>
      </c>
      <c r="C316" s="3" t="s">
        <v>471</v>
      </c>
      <c r="D316" s="3" t="s">
        <v>44</v>
      </c>
      <c r="E316" s="3" t="s">
        <v>45</v>
      </c>
    </row>
    <row r="317">
      <c r="A317" s="3" t="s">
        <v>1451</v>
      </c>
      <c r="B317" s="3" t="s">
        <v>19</v>
      </c>
      <c r="C317" s="3" t="s">
        <v>478</v>
      </c>
      <c r="D317" s="3" t="s">
        <v>44</v>
      </c>
      <c r="E317" s="3" t="s">
        <v>45</v>
      </c>
    </row>
    <row r="318">
      <c r="A318" s="3" t="s">
        <v>1455</v>
      </c>
      <c r="B318" s="3" t="s">
        <v>19</v>
      </c>
      <c r="C318" s="3" t="s">
        <v>484</v>
      </c>
      <c r="D318" s="3" t="s">
        <v>44</v>
      </c>
      <c r="E318" s="3" t="s">
        <v>45</v>
      </c>
    </row>
    <row r="319">
      <c r="A319" s="3" t="s">
        <v>1458</v>
      </c>
      <c r="B319" s="3" t="s">
        <v>19</v>
      </c>
      <c r="C319" s="3" t="s">
        <v>471</v>
      </c>
      <c r="D319" s="3" t="s">
        <v>44</v>
      </c>
      <c r="E319" s="3" t="s">
        <v>45</v>
      </c>
    </row>
    <row r="320">
      <c r="A320" s="3" t="s">
        <v>1460</v>
      </c>
      <c r="B320" s="3" t="s">
        <v>19</v>
      </c>
      <c r="C320" s="3" t="s">
        <v>478</v>
      </c>
      <c r="D320" s="3" t="s">
        <v>33</v>
      </c>
      <c r="E320" s="3" t="s">
        <v>584</v>
      </c>
    </row>
    <row r="321">
      <c r="A321" s="3" t="s">
        <v>1462</v>
      </c>
      <c r="B321" s="3" t="s">
        <v>19</v>
      </c>
      <c r="C321" s="3" t="s">
        <v>484</v>
      </c>
      <c r="D321" s="3" t="s">
        <v>33</v>
      </c>
      <c r="E321" s="3" t="s">
        <v>727</v>
      </c>
    </row>
    <row r="322">
      <c r="A322" s="3" t="s">
        <v>1465</v>
      </c>
      <c r="B322" s="3" t="s">
        <v>19</v>
      </c>
      <c r="C322" s="3" t="s">
        <v>471</v>
      </c>
      <c r="D322" s="3" t="s">
        <v>44</v>
      </c>
      <c r="E322" s="3" t="s">
        <v>45</v>
      </c>
    </row>
    <row r="323">
      <c r="A323" s="3" t="s">
        <v>1467</v>
      </c>
      <c r="B323" s="3" t="s">
        <v>19</v>
      </c>
      <c r="C323" s="3" t="s">
        <v>478</v>
      </c>
      <c r="D323" s="3" t="s">
        <v>44</v>
      </c>
      <c r="E323" s="3" t="s">
        <v>45</v>
      </c>
    </row>
    <row r="324">
      <c r="A324" s="3" t="s">
        <v>1469</v>
      </c>
      <c r="B324" s="3" t="s">
        <v>19</v>
      </c>
      <c r="C324" s="3" t="s">
        <v>484</v>
      </c>
      <c r="D324" s="3" t="s">
        <v>44</v>
      </c>
      <c r="E324" s="3" t="s">
        <v>45</v>
      </c>
    </row>
    <row r="325">
      <c r="A325" s="3" t="s">
        <v>1472</v>
      </c>
      <c r="B325" s="3" t="s">
        <v>19</v>
      </c>
      <c r="C325" s="3" t="s">
        <v>471</v>
      </c>
      <c r="D325" s="3" t="s">
        <v>33</v>
      </c>
      <c r="E325" s="3" t="s">
        <v>1037</v>
      </c>
    </row>
    <row r="326">
      <c r="A326" s="3" t="s">
        <v>1475</v>
      </c>
      <c r="B326" s="3" t="s">
        <v>19</v>
      </c>
      <c r="C326" s="3" t="s">
        <v>478</v>
      </c>
      <c r="D326" s="3" t="s">
        <v>33</v>
      </c>
      <c r="E326" s="3" t="s">
        <v>811</v>
      </c>
    </row>
    <row r="327">
      <c r="A327" s="3" t="s">
        <v>1478</v>
      </c>
      <c r="B327" s="3" t="s">
        <v>19</v>
      </c>
      <c r="C327" s="3" t="s">
        <v>484</v>
      </c>
      <c r="D327" s="3" t="s">
        <v>44</v>
      </c>
      <c r="E327" s="3" t="s">
        <v>45</v>
      </c>
    </row>
    <row r="328">
      <c r="A328" s="3" t="s">
        <v>1480</v>
      </c>
      <c r="B328" s="3" t="s">
        <v>19</v>
      </c>
      <c r="C328" s="3" t="s">
        <v>471</v>
      </c>
      <c r="D328" s="3" t="s">
        <v>44</v>
      </c>
      <c r="E328" s="3" t="s">
        <v>45</v>
      </c>
    </row>
    <row r="329">
      <c r="A329" s="3" t="s">
        <v>1483</v>
      </c>
      <c r="B329" s="3" t="s">
        <v>19</v>
      </c>
      <c r="C329" s="3" t="s">
        <v>478</v>
      </c>
      <c r="D329" s="3" t="s">
        <v>44</v>
      </c>
      <c r="E329" s="3" t="s">
        <v>45</v>
      </c>
    </row>
    <row r="330">
      <c r="A330" s="3" t="s">
        <v>1485</v>
      </c>
      <c r="B330" s="3" t="s">
        <v>19</v>
      </c>
      <c r="C330" s="3" t="s">
        <v>484</v>
      </c>
      <c r="D330" s="3" t="s">
        <v>44</v>
      </c>
      <c r="E330" s="3" t="s">
        <v>45</v>
      </c>
    </row>
    <row r="331">
      <c r="A331" s="3" t="s">
        <v>1488</v>
      </c>
      <c r="B331" s="3" t="s">
        <v>19</v>
      </c>
      <c r="C331" s="3" t="s">
        <v>471</v>
      </c>
      <c r="D331" s="3" t="s">
        <v>44</v>
      </c>
      <c r="E331" s="3" t="s">
        <v>45</v>
      </c>
    </row>
    <row r="332">
      <c r="A332" s="3" t="s">
        <v>1491</v>
      </c>
      <c r="B332" s="3" t="s">
        <v>19</v>
      </c>
      <c r="C332" s="3" t="s">
        <v>478</v>
      </c>
      <c r="D332" s="3" t="s">
        <v>44</v>
      </c>
      <c r="E332" s="3" t="s">
        <v>45</v>
      </c>
    </row>
    <row r="333">
      <c r="A333" s="3" t="s">
        <v>1493</v>
      </c>
      <c r="B333" s="3" t="s">
        <v>19</v>
      </c>
      <c r="C333" s="3" t="s">
        <v>484</v>
      </c>
      <c r="D333" s="3" t="s">
        <v>44</v>
      </c>
      <c r="E333" s="3" t="s">
        <v>45</v>
      </c>
    </row>
    <row r="334">
      <c r="A334" s="3" t="s">
        <v>1495</v>
      </c>
      <c r="B334" s="3" t="s">
        <v>19</v>
      </c>
      <c r="C334" s="3" t="s">
        <v>471</v>
      </c>
      <c r="D334" s="3" t="s">
        <v>33</v>
      </c>
      <c r="E334" s="3" t="s">
        <v>591</v>
      </c>
    </row>
    <row r="335">
      <c r="A335" s="3" t="s">
        <v>1498</v>
      </c>
      <c r="B335" s="3" t="s">
        <v>19</v>
      </c>
      <c r="C335" s="3" t="s">
        <v>478</v>
      </c>
      <c r="D335" s="3" t="s">
        <v>44</v>
      </c>
      <c r="E335" s="3" t="s">
        <v>45</v>
      </c>
    </row>
    <row r="336">
      <c r="A336" s="3" t="s">
        <v>1501</v>
      </c>
      <c r="B336" s="3" t="s">
        <v>19</v>
      </c>
      <c r="C336" s="3" t="s">
        <v>484</v>
      </c>
      <c r="D336" s="3" t="s">
        <v>44</v>
      </c>
      <c r="E336" s="3" t="s">
        <v>45</v>
      </c>
    </row>
    <row r="337">
      <c r="A337" s="3" t="s">
        <v>1503</v>
      </c>
      <c r="B337" s="3" t="s">
        <v>19</v>
      </c>
      <c r="C337" s="3" t="s">
        <v>471</v>
      </c>
      <c r="D337" s="3" t="s">
        <v>33</v>
      </c>
      <c r="E337" s="3" t="s">
        <v>510</v>
      </c>
    </row>
    <row r="338">
      <c r="A338" s="3" t="s">
        <v>1506</v>
      </c>
      <c r="B338" s="3" t="s">
        <v>19</v>
      </c>
      <c r="C338" s="3" t="s">
        <v>478</v>
      </c>
      <c r="D338" s="3" t="s">
        <v>33</v>
      </c>
      <c r="E338" s="3" t="s">
        <v>256</v>
      </c>
    </row>
    <row r="339">
      <c r="A339" s="3" t="s">
        <v>1509</v>
      </c>
      <c r="B339" s="3" t="s">
        <v>19</v>
      </c>
      <c r="C339" s="3" t="s">
        <v>484</v>
      </c>
      <c r="D339" s="3" t="s">
        <v>44</v>
      </c>
      <c r="E339" s="3" t="s">
        <v>45</v>
      </c>
    </row>
    <row r="340">
      <c r="A340" s="3" t="s">
        <v>1512</v>
      </c>
      <c r="B340" s="3" t="s">
        <v>19</v>
      </c>
      <c r="C340" s="3" t="s">
        <v>471</v>
      </c>
      <c r="D340" s="3" t="s">
        <v>44</v>
      </c>
      <c r="E340" s="3" t="s">
        <v>45</v>
      </c>
    </row>
    <row r="341">
      <c r="A341" s="3" t="s">
        <v>1514</v>
      </c>
      <c r="B341" s="3" t="s">
        <v>19</v>
      </c>
      <c r="C341" s="3" t="s">
        <v>478</v>
      </c>
      <c r="D341" s="3" t="s">
        <v>33</v>
      </c>
      <c r="E341" s="3" t="s">
        <v>756</v>
      </c>
    </row>
    <row r="342">
      <c r="A342" s="3" t="s">
        <v>1517</v>
      </c>
      <c r="B342" s="3" t="s">
        <v>19</v>
      </c>
      <c r="C342" s="3" t="s">
        <v>484</v>
      </c>
      <c r="D342" s="3" t="s">
        <v>33</v>
      </c>
      <c r="E342" s="3" t="s">
        <v>877</v>
      </c>
    </row>
    <row r="343">
      <c r="A343" s="3" t="s">
        <v>1520</v>
      </c>
      <c r="B343" s="3" t="s">
        <v>19</v>
      </c>
      <c r="C343" s="3" t="s">
        <v>471</v>
      </c>
      <c r="D343" s="3" t="s">
        <v>44</v>
      </c>
      <c r="E343" s="3" t="s">
        <v>45</v>
      </c>
    </row>
    <row r="344">
      <c r="A344" s="3" t="s">
        <v>1521</v>
      </c>
      <c r="B344" s="3" t="s">
        <v>19</v>
      </c>
      <c r="C344" s="3" t="s">
        <v>478</v>
      </c>
      <c r="D344" s="3" t="s">
        <v>33</v>
      </c>
      <c r="E344" s="3" t="s">
        <v>826</v>
      </c>
    </row>
    <row r="345">
      <c r="A345" s="3" t="s">
        <v>1524</v>
      </c>
      <c r="B345" s="3" t="s">
        <v>19</v>
      </c>
      <c r="C345" s="3" t="s">
        <v>484</v>
      </c>
      <c r="D345" s="3" t="s">
        <v>44</v>
      </c>
      <c r="E345" s="3" t="s">
        <v>45</v>
      </c>
    </row>
    <row r="346">
      <c r="A346" s="3" t="s">
        <v>1526</v>
      </c>
      <c r="B346" s="3" t="s">
        <v>19</v>
      </c>
      <c r="C346" s="3" t="s">
        <v>471</v>
      </c>
      <c r="D346" s="3" t="s">
        <v>44</v>
      </c>
      <c r="E346" s="3" t="s">
        <v>45</v>
      </c>
    </row>
    <row r="347">
      <c r="A347" s="3" t="s">
        <v>1530</v>
      </c>
      <c r="B347" s="3" t="s">
        <v>19</v>
      </c>
      <c r="C347" s="3" t="s">
        <v>478</v>
      </c>
      <c r="D347" s="3" t="s">
        <v>44</v>
      </c>
      <c r="E347" s="3" t="s">
        <v>45</v>
      </c>
    </row>
    <row r="348">
      <c r="A348" s="3" t="s">
        <v>1533</v>
      </c>
      <c r="B348" s="3" t="s">
        <v>19</v>
      </c>
      <c r="C348" s="3" t="s">
        <v>484</v>
      </c>
      <c r="D348" s="3" t="s">
        <v>44</v>
      </c>
      <c r="E348" s="3" t="s">
        <v>45</v>
      </c>
    </row>
    <row r="349">
      <c r="A349" s="3" t="s">
        <v>1535</v>
      </c>
      <c r="B349" s="3" t="s">
        <v>19</v>
      </c>
      <c r="C349" s="3" t="s">
        <v>471</v>
      </c>
      <c r="D349" s="3" t="s">
        <v>44</v>
      </c>
      <c r="E349" s="3" t="s">
        <v>45</v>
      </c>
    </row>
    <row r="350">
      <c r="A350" s="3" t="s">
        <v>1538</v>
      </c>
      <c r="B350" s="3" t="s">
        <v>19</v>
      </c>
      <c r="C350" s="3" t="s">
        <v>478</v>
      </c>
      <c r="D350" s="3" t="s">
        <v>44</v>
      </c>
      <c r="E350" s="3" t="s">
        <v>45</v>
      </c>
    </row>
    <row r="351">
      <c r="A351" s="3" t="s">
        <v>1539</v>
      </c>
      <c r="B351" s="3" t="s">
        <v>19</v>
      </c>
      <c r="C351" s="3" t="s">
        <v>484</v>
      </c>
      <c r="D351" s="3" t="s">
        <v>44</v>
      </c>
      <c r="E351" s="3" t="s">
        <v>45</v>
      </c>
    </row>
    <row r="352">
      <c r="A352" s="3" t="s">
        <v>1542</v>
      </c>
      <c r="B352" s="3" t="s">
        <v>19</v>
      </c>
      <c r="C352" s="3" t="s">
        <v>471</v>
      </c>
      <c r="D352" s="3" t="s">
        <v>44</v>
      </c>
      <c r="E352" s="3" t="s">
        <v>45</v>
      </c>
    </row>
    <row r="353">
      <c r="A353" s="3" t="s">
        <v>1543</v>
      </c>
      <c r="B353" s="3" t="s">
        <v>19</v>
      </c>
      <c r="C353" s="3" t="s">
        <v>478</v>
      </c>
      <c r="D353" s="3" t="s">
        <v>44</v>
      </c>
      <c r="E353" s="3" t="s">
        <v>45</v>
      </c>
    </row>
    <row r="354">
      <c r="A354" s="3" t="s">
        <v>1545</v>
      </c>
      <c r="B354" s="3" t="s">
        <v>19</v>
      </c>
      <c r="C354" s="3" t="s">
        <v>484</v>
      </c>
      <c r="D354" s="3" t="s">
        <v>44</v>
      </c>
      <c r="E354" s="3" t="s">
        <v>45</v>
      </c>
    </row>
    <row r="355">
      <c r="A355" s="3" t="s">
        <v>1546</v>
      </c>
      <c r="B355" s="3" t="s">
        <v>19</v>
      </c>
      <c r="C355" s="3" t="s">
        <v>471</v>
      </c>
      <c r="D355" s="3" t="s">
        <v>44</v>
      </c>
      <c r="E355" s="3" t="s">
        <v>45</v>
      </c>
    </row>
    <row r="356">
      <c r="A356" s="3" t="s">
        <v>1548</v>
      </c>
      <c r="B356" s="3" t="s">
        <v>19</v>
      </c>
      <c r="C356" s="3" t="s">
        <v>478</v>
      </c>
      <c r="D356" s="3" t="s">
        <v>33</v>
      </c>
      <c r="E356" s="3" t="s">
        <v>819</v>
      </c>
    </row>
    <row r="357">
      <c r="A357" s="3" t="s">
        <v>1549</v>
      </c>
      <c r="B357" s="3" t="s">
        <v>19</v>
      </c>
      <c r="C357" s="3" t="s">
        <v>484</v>
      </c>
      <c r="D357" s="3" t="s">
        <v>44</v>
      </c>
      <c r="E357" s="3" t="s">
        <v>45</v>
      </c>
    </row>
    <row r="358">
      <c r="A358" s="3" t="s">
        <v>1552</v>
      </c>
      <c r="B358" s="3" t="s">
        <v>19</v>
      </c>
      <c r="C358" s="3" t="s">
        <v>471</v>
      </c>
      <c r="D358" s="3" t="s">
        <v>44</v>
      </c>
      <c r="E358" s="3" t="s">
        <v>45</v>
      </c>
    </row>
    <row r="359">
      <c r="A359" s="3" t="s">
        <v>1553</v>
      </c>
      <c r="B359" s="3" t="s">
        <v>19</v>
      </c>
      <c r="C359" s="3" t="s">
        <v>478</v>
      </c>
      <c r="D359" s="3" t="s">
        <v>33</v>
      </c>
      <c r="E359" s="3" t="s">
        <v>943</v>
      </c>
    </row>
    <row r="360">
      <c r="A360" s="3" t="s">
        <v>1557</v>
      </c>
      <c r="B360" s="3" t="s">
        <v>19</v>
      </c>
      <c r="C360" s="3" t="s">
        <v>484</v>
      </c>
      <c r="D360" s="3" t="s">
        <v>33</v>
      </c>
      <c r="E360" s="3" t="s">
        <v>627</v>
      </c>
    </row>
    <row r="361">
      <c r="A361" s="3" t="s">
        <v>1558</v>
      </c>
      <c r="B361" s="3" t="s">
        <v>19</v>
      </c>
      <c r="C361" s="3" t="s">
        <v>471</v>
      </c>
      <c r="D361" s="3" t="s">
        <v>44</v>
      </c>
      <c r="E361" s="3" t="s">
        <v>45</v>
      </c>
    </row>
    <row r="362">
      <c r="A362" s="3" t="s">
        <v>1560</v>
      </c>
      <c r="B362" s="3" t="s">
        <v>19</v>
      </c>
      <c r="C362" s="3" t="s">
        <v>478</v>
      </c>
      <c r="D362" s="3" t="s">
        <v>44</v>
      </c>
      <c r="E362" s="3" t="s">
        <v>45</v>
      </c>
    </row>
    <row r="363">
      <c r="A363" s="3" t="s">
        <v>1563</v>
      </c>
      <c r="B363" s="3" t="s">
        <v>19</v>
      </c>
      <c r="C363" s="3" t="s">
        <v>484</v>
      </c>
      <c r="D363" s="3" t="s">
        <v>44</v>
      </c>
      <c r="E363" s="3" t="s">
        <v>45</v>
      </c>
    </row>
    <row r="364">
      <c r="A364" s="3" t="s">
        <v>1564</v>
      </c>
      <c r="B364" s="3" t="s">
        <v>19</v>
      </c>
      <c r="C364" s="3" t="s">
        <v>471</v>
      </c>
      <c r="D364" s="3" t="s">
        <v>33</v>
      </c>
      <c r="E364" s="3" t="s">
        <v>581</v>
      </c>
    </row>
    <row r="365">
      <c r="A365" s="3" t="s">
        <v>1566</v>
      </c>
      <c r="B365" s="3" t="s">
        <v>19</v>
      </c>
      <c r="C365" s="3" t="s">
        <v>478</v>
      </c>
      <c r="D365" s="3" t="s">
        <v>44</v>
      </c>
      <c r="E365" s="3" t="s">
        <v>45</v>
      </c>
    </row>
    <row r="366">
      <c r="A366" s="3" t="s">
        <v>1569</v>
      </c>
      <c r="B366" s="3" t="s">
        <v>19</v>
      </c>
      <c r="C366" s="3" t="s">
        <v>484</v>
      </c>
      <c r="D366" s="3" t="s">
        <v>44</v>
      </c>
      <c r="E366" s="3" t="s">
        <v>45</v>
      </c>
    </row>
    <row r="367">
      <c r="A367" s="3" t="s">
        <v>1570</v>
      </c>
      <c r="B367" s="3" t="s">
        <v>19</v>
      </c>
      <c r="C367" s="3" t="s">
        <v>471</v>
      </c>
      <c r="D367" s="3" t="s">
        <v>33</v>
      </c>
      <c r="E367" s="3" t="s">
        <v>609</v>
      </c>
    </row>
    <row r="368">
      <c r="A368" s="3" t="s">
        <v>1572</v>
      </c>
      <c r="B368" s="3" t="s">
        <v>19</v>
      </c>
      <c r="C368" s="3" t="s">
        <v>478</v>
      </c>
      <c r="D368" s="3" t="s">
        <v>44</v>
      </c>
      <c r="E368" s="3" t="s">
        <v>45</v>
      </c>
    </row>
    <row r="369">
      <c r="A369" s="3" t="s">
        <v>1575</v>
      </c>
      <c r="B369" s="3" t="s">
        <v>19</v>
      </c>
      <c r="C369" s="3" t="s">
        <v>484</v>
      </c>
      <c r="D369" s="3" t="s">
        <v>44</v>
      </c>
      <c r="E369" s="3" t="s">
        <v>45</v>
      </c>
    </row>
    <row r="370">
      <c r="A370" s="3" t="s">
        <v>1576</v>
      </c>
      <c r="B370" s="3" t="s">
        <v>19</v>
      </c>
      <c r="C370" s="3" t="s">
        <v>471</v>
      </c>
      <c r="D370" s="3" t="s">
        <v>44</v>
      </c>
      <c r="E370" s="3" t="s">
        <v>45</v>
      </c>
    </row>
    <row r="371">
      <c r="A371" s="3" t="s">
        <v>1579</v>
      </c>
      <c r="B371" s="3" t="s">
        <v>19</v>
      </c>
      <c r="C371" s="3" t="s">
        <v>478</v>
      </c>
      <c r="D371" s="3" t="s">
        <v>44</v>
      </c>
      <c r="E371" s="3" t="s">
        <v>45</v>
      </c>
    </row>
    <row r="372">
      <c r="A372" s="3" t="s">
        <v>1581</v>
      </c>
      <c r="B372" s="3" t="s">
        <v>19</v>
      </c>
      <c r="C372" s="3" t="s">
        <v>484</v>
      </c>
      <c r="D372" s="3" t="s">
        <v>33</v>
      </c>
      <c r="E372" s="3" t="s">
        <v>767</v>
      </c>
    </row>
    <row r="373">
      <c r="A373" s="3" t="s">
        <v>1583</v>
      </c>
      <c r="B373" s="3" t="s">
        <v>19</v>
      </c>
      <c r="C373" s="3" t="s">
        <v>471</v>
      </c>
      <c r="D373" s="3" t="s">
        <v>44</v>
      </c>
      <c r="E373" s="3" t="s">
        <v>45</v>
      </c>
    </row>
    <row r="374">
      <c r="A374" s="3" t="s">
        <v>1586</v>
      </c>
      <c r="B374" s="3" t="s">
        <v>19</v>
      </c>
      <c r="C374" s="3" t="s">
        <v>478</v>
      </c>
      <c r="D374" s="3" t="s">
        <v>44</v>
      </c>
      <c r="E374" s="3" t="s">
        <v>45</v>
      </c>
    </row>
    <row r="375">
      <c r="A375" s="3" t="s">
        <v>1587</v>
      </c>
      <c r="B375" s="3" t="s">
        <v>19</v>
      </c>
      <c r="C375" s="3" t="s">
        <v>484</v>
      </c>
      <c r="D375" s="3" t="s">
        <v>44</v>
      </c>
      <c r="E375" s="3" t="s">
        <v>45</v>
      </c>
    </row>
    <row r="376">
      <c r="A376" s="3" t="s">
        <v>1589</v>
      </c>
      <c r="B376" s="3" t="s">
        <v>19</v>
      </c>
      <c r="C376" s="3" t="s">
        <v>471</v>
      </c>
      <c r="D376" s="3" t="s">
        <v>44</v>
      </c>
      <c r="E376" s="3" t="s">
        <v>45</v>
      </c>
    </row>
    <row r="377">
      <c r="A377" s="3" t="s">
        <v>1591</v>
      </c>
      <c r="B377" s="3" t="s">
        <v>19</v>
      </c>
      <c r="C377" s="3" t="s">
        <v>478</v>
      </c>
      <c r="D377" s="3" t="s">
        <v>44</v>
      </c>
      <c r="E377" s="3" t="s">
        <v>45</v>
      </c>
    </row>
    <row r="378">
      <c r="A378" s="3" t="s">
        <v>1593</v>
      </c>
      <c r="B378" s="3" t="s">
        <v>19</v>
      </c>
      <c r="C378" s="3" t="s">
        <v>484</v>
      </c>
      <c r="D378" s="3" t="s">
        <v>44</v>
      </c>
      <c r="E378" s="3" t="s">
        <v>45</v>
      </c>
    </row>
    <row r="379">
      <c r="A379" s="3" t="s">
        <v>1595</v>
      </c>
      <c r="B379" s="3" t="s">
        <v>19</v>
      </c>
      <c r="C379" s="3" t="s">
        <v>471</v>
      </c>
      <c r="D379" s="3" t="s">
        <v>44</v>
      </c>
      <c r="E379" s="3" t="s">
        <v>45</v>
      </c>
    </row>
    <row r="380">
      <c r="A380" s="3" t="s">
        <v>1597</v>
      </c>
      <c r="B380" s="3" t="s">
        <v>19</v>
      </c>
      <c r="C380" s="3" t="s">
        <v>478</v>
      </c>
      <c r="D380" s="3" t="s">
        <v>44</v>
      </c>
      <c r="E380" s="3" t="s">
        <v>45</v>
      </c>
    </row>
    <row r="381">
      <c r="A381" s="3" t="s">
        <v>1598</v>
      </c>
      <c r="B381" s="3" t="s">
        <v>19</v>
      </c>
      <c r="C381" s="3" t="s">
        <v>484</v>
      </c>
      <c r="D381" s="3" t="s">
        <v>44</v>
      </c>
      <c r="E381" s="3" t="s">
        <v>45</v>
      </c>
    </row>
    <row r="382">
      <c r="A382" s="3" t="s">
        <v>1601</v>
      </c>
      <c r="B382" s="3" t="s">
        <v>19</v>
      </c>
      <c r="C382" s="3" t="s">
        <v>471</v>
      </c>
      <c r="D382" s="3" t="s">
        <v>44</v>
      </c>
      <c r="E382" s="3" t="s">
        <v>45</v>
      </c>
    </row>
    <row r="383">
      <c r="A383" s="3" t="s">
        <v>1602</v>
      </c>
      <c r="B383" s="3" t="s">
        <v>19</v>
      </c>
      <c r="C383" s="3" t="s">
        <v>478</v>
      </c>
      <c r="D383" s="3" t="s">
        <v>33</v>
      </c>
      <c r="E383" s="3" t="s">
        <v>462</v>
      </c>
    </row>
    <row r="384">
      <c r="A384" s="3" t="s">
        <v>1605</v>
      </c>
      <c r="B384" s="3" t="s">
        <v>19</v>
      </c>
      <c r="C384" s="3" t="s">
        <v>484</v>
      </c>
      <c r="D384" s="3" t="s">
        <v>44</v>
      </c>
      <c r="E384" s="3" t="s">
        <v>45</v>
      </c>
    </row>
    <row r="385">
      <c r="A385" s="3" t="s">
        <v>1606</v>
      </c>
      <c r="B385" s="3" t="s">
        <v>19</v>
      </c>
      <c r="C385" s="3" t="s">
        <v>471</v>
      </c>
      <c r="D385" s="3" t="s">
        <v>44</v>
      </c>
      <c r="E385" s="3" t="s">
        <v>45</v>
      </c>
    </row>
    <row r="386">
      <c r="A386" s="3" t="s">
        <v>1609</v>
      </c>
      <c r="B386" s="3" t="s">
        <v>19</v>
      </c>
      <c r="C386" s="3" t="s">
        <v>478</v>
      </c>
      <c r="D386" s="3" t="s">
        <v>33</v>
      </c>
      <c r="E386" s="3" t="s">
        <v>922</v>
      </c>
    </row>
    <row r="387">
      <c r="A387" s="3" t="s">
        <v>1611</v>
      </c>
      <c r="B387" s="3" t="s">
        <v>19</v>
      </c>
      <c r="C387" s="3" t="s">
        <v>484</v>
      </c>
      <c r="D387" s="3" t="s">
        <v>44</v>
      </c>
      <c r="E387" s="3" t="s">
        <v>45</v>
      </c>
    </row>
    <row r="388">
      <c r="A388" s="3" t="s">
        <v>1614</v>
      </c>
      <c r="B388" s="3" t="s">
        <v>19</v>
      </c>
      <c r="C388" s="3" t="s">
        <v>471</v>
      </c>
      <c r="D388" s="3" t="s">
        <v>33</v>
      </c>
      <c r="E388" s="3" t="s">
        <v>290</v>
      </c>
    </row>
    <row r="389">
      <c r="A389" s="3" t="s">
        <v>1617</v>
      </c>
      <c r="B389" s="3" t="s">
        <v>19</v>
      </c>
      <c r="C389" s="3" t="s">
        <v>478</v>
      </c>
      <c r="D389" s="3" t="s">
        <v>44</v>
      </c>
      <c r="E389" s="3" t="s">
        <v>45</v>
      </c>
    </row>
    <row r="390">
      <c r="A390" s="3" t="s">
        <v>1619</v>
      </c>
      <c r="B390" s="3" t="s">
        <v>19</v>
      </c>
      <c r="C390" s="3" t="s">
        <v>484</v>
      </c>
      <c r="D390" s="3" t="s">
        <v>33</v>
      </c>
      <c r="E390" s="3" t="s">
        <v>987</v>
      </c>
    </row>
    <row r="391">
      <c r="A391" s="3" t="s">
        <v>1621</v>
      </c>
      <c r="B391" s="3" t="s">
        <v>19</v>
      </c>
      <c r="C391" s="3" t="s">
        <v>471</v>
      </c>
      <c r="D391" s="3" t="s">
        <v>44</v>
      </c>
      <c r="E391" s="3" t="s">
        <v>45</v>
      </c>
    </row>
    <row r="392">
      <c r="A392" s="3" t="s">
        <v>1623</v>
      </c>
      <c r="B392" s="3" t="s">
        <v>19</v>
      </c>
      <c r="C392" s="3" t="s">
        <v>478</v>
      </c>
      <c r="D392" s="3" t="s">
        <v>33</v>
      </c>
      <c r="E392" s="3" t="s">
        <v>493</v>
      </c>
    </row>
    <row r="393">
      <c r="A393" s="3" t="s">
        <v>1625</v>
      </c>
      <c r="B393" s="3" t="s">
        <v>19</v>
      </c>
      <c r="C393" s="3" t="s">
        <v>484</v>
      </c>
      <c r="D393" s="3" t="s">
        <v>33</v>
      </c>
      <c r="E393" s="3" t="s">
        <v>145</v>
      </c>
    </row>
    <row r="394">
      <c r="A394" s="3" t="s">
        <v>1627</v>
      </c>
      <c r="B394" s="3" t="s">
        <v>19</v>
      </c>
      <c r="C394" s="3" t="s">
        <v>471</v>
      </c>
      <c r="D394" s="3" t="s">
        <v>44</v>
      </c>
      <c r="E394" s="3" t="s">
        <v>45</v>
      </c>
    </row>
    <row r="395">
      <c r="A395" s="3" t="s">
        <v>1629</v>
      </c>
      <c r="B395" s="3" t="s">
        <v>19</v>
      </c>
      <c r="C395" s="3" t="s">
        <v>478</v>
      </c>
      <c r="D395" s="3" t="s">
        <v>44</v>
      </c>
      <c r="E395" s="3" t="s">
        <v>45</v>
      </c>
    </row>
    <row r="396">
      <c r="A396" s="3" t="s">
        <v>1631</v>
      </c>
      <c r="B396" s="3" t="s">
        <v>19</v>
      </c>
      <c r="C396" s="3" t="s">
        <v>484</v>
      </c>
      <c r="D396" s="3" t="s">
        <v>44</v>
      </c>
      <c r="E396" s="3" t="s">
        <v>45</v>
      </c>
    </row>
    <row r="397">
      <c r="A397" s="3" t="s">
        <v>1634</v>
      </c>
      <c r="B397" s="3" t="s">
        <v>19</v>
      </c>
      <c r="C397" s="3" t="s">
        <v>471</v>
      </c>
      <c r="D397" s="3" t="s">
        <v>44</v>
      </c>
      <c r="E397" s="3" t="s">
        <v>45</v>
      </c>
    </row>
    <row r="398">
      <c r="A398" s="3" t="s">
        <v>1636</v>
      </c>
      <c r="B398" s="3" t="s">
        <v>19</v>
      </c>
      <c r="C398" s="3" t="s">
        <v>478</v>
      </c>
      <c r="D398" s="3" t="s">
        <v>44</v>
      </c>
      <c r="E398" s="3" t="s">
        <v>45</v>
      </c>
    </row>
    <row r="399">
      <c r="A399" s="3" t="s">
        <v>1640</v>
      </c>
      <c r="B399" s="3" t="s">
        <v>19</v>
      </c>
      <c r="C399" s="3" t="s">
        <v>484</v>
      </c>
      <c r="D399" s="3" t="s">
        <v>44</v>
      </c>
      <c r="E399" s="3" t="s">
        <v>45</v>
      </c>
    </row>
    <row r="400">
      <c r="A400" s="3" t="s">
        <v>1641</v>
      </c>
      <c r="B400" s="3" t="s">
        <v>19</v>
      </c>
      <c r="C400" s="3" t="s">
        <v>471</v>
      </c>
      <c r="D400" s="3" t="s">
        <v>44</v>
      </c>
      <c r="E400" s="3" t="s">
        <v>45</v>
      </c>
    </row>
    <row r="401">
      <c r="A401" s="3" t="s">
        <v>1643</v>
      </c>
      <c r="B401" s="3" t="s">
        <v>19</v>
      </c>
      <c r="C401" s="3" t="s">
        <v>478</v>
      </c>
      <c r="D401" s="3" t="s">
        <v>33</v>
      </c>
      <c r="E401" s="3" t="s">
        <v>864</v>
      </c>
    </row>
    <row r="402">
      <c r="A402" s="3" t="s">
        <v>1645</v>
      </c>
      <c r="B402" s="3" t="s">
        <v>19</v>
      </c>
      <c r="C402" s="3" t="s">
        <v>484</v>
      </c>
      <c r="D402" s="3" t="s">
        <v>44</v>
      </c>
      <c r="E402" s="3" t="s">
        <v>45</v>
      </c>
    </row>
    <row r="403">
      <c r="A403" s="3" t="s">
        <v>1647</v>
      </c>
      <c r="B403" s="3" t="s">
        <v>19</v>
      </c>
      <c r="C403" s="3" t="s">
        <v>471</v>
      </c>
      <c r="D403" s="3" t="s">
        <v>44</v>
      </c>
      <c r="E403" s="3" t="s">
        <v>45</v>
      </c>
    </row>
    <row r="404">
      <c r="A404" s="3" t="s">
        <v>1650</v>
      </c>
      <c r="B404" s="3" t="s">
        <v>19</v>
      </c>
      <c r="C404" s="3" t="s">
        <v>478</v>
      </c>
      <c r="D404" s="3" t="s">
        <v>44</v>
      </c>
      <c r="E404" s="3" t="s">
        <v>45</v>
      </c>
    </row>
    <row r="405">
      <c r="A405" s="3" t="s">
        <v>1651</v>
      </c>
      <c r="B405" s="3" t="s">
        <v>19</v>
      </c>
      <c r="C405" s="3" t="s">
        <v>484</v>
      </c>
      <c r="D405" s="3" t="s">
        <v>33</v>
      </c>
      <c r="E405" s="3" t="s">
        <v>521</v>
      </c>
    </row>
    <row r="406">
      <c r="A406" s="3" t="s">
        <v>1654</v>
      </c>
      <c r="B406" s="3" t="s">
        <v>19</v>
      </c>
      <c r="C406" s="3" t="s">
        <v>471</v>
      </c>
      <c r="D406" s="3" t="s">
        <v>44</v>
      </c>
      <c r="E406" s="3" t="s">
        <v>45</v>
      </c>
    </row>
    <row r="407">
      <c r="A407" s="3" t="s">
        <v>1656</v>
      </c>
      <c r="B407" s="3" t="s">
        <v>19</v>
      </c>
      <c r="C407" s="3" t="s">
        <v>478</v>
      </c>
      <c r="D407" s="3" t="s">
        <v>33</v>
      </c>
      <c r="E407" s="3" t="s">
        <v>515</v>
      </c>
    </row>
    <row r="408">
      <c r="A408" s="3" t="s">
        <v>1658</v>
      </c>
      <c r="B408" s="3" t="s">
        <v>19</v>
      </c>
      <c r="C408" s="3" t="s">
        <v>484</v>
      </c>
      <c r="D408" s="3" t="s">
        <v>33</v>
      </c>
      <c r="E408" s="3" t="s">
        <v>183</v>
      </c>
    </row>
    <row r="409">
      <c r="A409" s="3" t="s">
        <v>1661</v>
      </c>
      <c r="B409" s="3" t="s">
        <v>19</v>
      </c>
      <c r="C409" s="3" t="s">
        <v>471</v>
      </c>
      <c r="D409" s="3" t="s">
        <v>33</v>
      </c>
      <c r="E409" s="3" t="s">
        <v>689</v>
      </c>
    </row>
    <row r="410">
      <c r="A410" s="3" t="s">
        <v>1663</v>
      </c>
      <c r="B410" s="3" t="s">
        <v>19</v>
      </c>
      <c r="C410" s="3" t="s">
        <v>478</v>
      </c>
      <c r="D410" s="3" t="s">
        <v>44</v>
      </c>
      <c r="E410" s="3" t="s">
        <v>45</v>
      </c>
    </row>
    <row r="411">
      <c r="A411" s="3" t="s">
        <v>1666</v>
      </c>
      <c r="B411" s="3" t="s">
        <v>19</v>
      </c>
      <c r="C411" s="3" t="s">
        <v>484</v>
      </c>
      <c r="D411" s="3" t="s">
        <v>44</v>
      </c>
      <c r="E411" s="3" t="s">
        <v>45</v>
      </c>
    </row>
    <row r="412">
      <c r="A412" s="3" t="s">
        <v>1667</v>
      </c>
      <c r="B412" s="3" t="s">
        <v>19</v>
      </c>
      <c r="C412" s="3" t="s">
        <v>471</v>
      </c>
      <c r="D412" s="3" t="s">
        <v>33</v>
      </c>
      <c r="E412" s="3" t="s">
        <v>197</v>
      </c>
    </row>
    <row r="413">
      <c r="A413" s="3" t="s">
        <v>1670</v>
      </c>
      <c r="B413" s="3" t="s">
        <v>19</v>
      </c>
      <c r="C413" s="3" t="s">
        <v>478</v>
      </c>
      <c r="D413" s="3" t="s">
        <v>33</v>
      </c>
      <c r="E413" s="3" t="s">
        <v>333</v>
      </c>
    </row>
    <row r="414">
      <c r="A414" s="3" t="s">
        <v>1671</v>
      </c>
      <c r="B414" s="3" t="s">
        <v>19</v>
      </c>
      <c r="C414" s="3" t="s">
        <v>484</v>
      </c>
      <c r="D414" s="3" t="s">
        <v>33</v>
      </c>
      <c r="E414" s="3" t="s">
        <v>643</v>
      </c>
    </row>
    <row r="415">
      <c r="A415" s="3" t="s">
        <v>1674</v>
      </c>
      <c r="B415" s="3" t="s">
        <v>19</v>
      </c>
      <c r="C415" s="3" t="s">
        <v>471</v>
      </c>
      <c r="D415" s="3" t="s">
        <v>44</v>
      </c>
      <c r="E415" s="3" t="s">
        <v>45</v>
      </c>
    </row>
    <row r="416">
      <c r="A416" s="3" t="s">
        <v>1676</v>
      </c>
      <c r="B416" s="3" t="s">
        <v>19</v>
      </c>
      <c r="C416" s="3" t="s">
        <v>478</v>
      </c>
      <c r="D416" s="3" t="s">
        <v>44</v>
      </c>
      <c r="E416" s="3" t="s">
        <v>45</v>
      </c>
    </row>
    <row r="417">
      <c r="A417" s="3" t="s">
        <v>1679</v>
      </c>
      <c r="B417" s="3" t="s">
        <v>19</v>
      </c>
      <c r="C417" s="3" t="s">
        <v>484</v>
      </c>
      <c r="D417" s="3" t="s">
        <v>44</v>
      </c>
      <c r="E417" s="3" t="s">
        <v>45</v>
      </c>
    </row>
    <row r="418">
      <c r="A418" s="3" t="s">
        <v>1681</v>
      </c>
      <c r="B418" s="3" t="s">
        <v>19</v>
      </c>
      <c r="C418" s="3" t="s">
        <v>471</v>
      </c>
      <c r="D418" s="3" t="s">
        <v>44</v>
      </c>
      <c r="E418" s="3" t="s">
        <v>45</v>
      </c>
    </row>
    <row r="419">
      <c r="A419" s="3" t="s">
        <v>1684</v>
      </c>
      <c r="B419" s="3" t="s">
        <v>19</v>
      </c>
      <c r="C419" s="3" t="s">
        <v>478</v>
      </c>
      <c r="D419" s="3" t="s">
        <v>44</v>
      </c>
      <c r="E419" s="3" t="s">
        <v>45</v>
      </c>
    </row>
    <row r="420">
      <c r="A420" s="3" t="s">
        <v>1685</v>
      </c>
      <c r="B420" s="3" t="s">
        <v>19</v>
      </c>
      <c r="C420" s="3" t="s">
        <v>484</v>
      </c>
      <c r="D420" s="3" t="s">
        <v>44</v>
      </c>
      <c r="E420" s="3" t="s">
        <v>45</v>
      </c>
    </row>
    <row r="421">
      <c r="A421" s="3" t="s">
        <v>1687</v>
      </c>
      <c r="B421" s="3" t="s">
        <v>19</v>
      </c>
      <c r="C421" s="3" t="s">
        <v>471</v>
      </c>
      <c r="D421" s="3" t="s">
        <v>44</v>
      </c>
      <c r="E421" s="3" t="s">
        <v>45</v>
      </c>
    </row>
    <row r="422">
      <c r="A422" s="3" t="s">
        <v>1690</v>
      </c>
      <c r="B422" s="3" t="s">
        <v>19</v>
      </c>
      <c r="C422" s="3" t="s">
        <v>478</v>
      </c>
      <c r="D422" s="3" t="s">
        <v>44</v>
      </c>
      <c r="E422" s="3" t="s">
        <v>45</v>
      </c>
    </row>
    <row r="423">
      <c r="A423" s="3" t="s">
        <v>1691</v>
      </c>
      <c r="B423" s="3" t="s">
        <v>19</v>
      </c>
      <c r="C423" s="3" t="s">
        <v>484</v>
      </c>
      <c r="D423" s="3" t="s">
        <v>44</v>
      </c>
      <c r="E423" s="3" t="s">
        <v>45</v>
      </c>
    </row>
    <row r="424">
      <c r="A424" s="3" t="s">
        <v>1694</v>
      </c>
      <c r="B424" s="3" t="s">
        <v>19</v>
      </c>
      <c r="C424" s="3" t="s">
        <v>471</v>
      </c>
      <c r="D424" s="3" t="s">
        <v>44</v>
      </c>
      <c r="E424" s="3" t="s">
        <v>45</v>
      </c>
    </row>
    <row r="425">
      <c r="A425" s="3" t="s">
        <v>1697</v>
      </c>
      <c r="B425" s="3" t="s">
        <v>19</v>
      </c>
      <c r="C425" s="3" t="s">
        <v>478</v>
      </c>
      <c r="D425" s="3" t="s">
        <v>44</v>
      </c>
      <c r="E425" s="3" t="s">
        <v>45</v>
      </c>
    </row>
    <row r="426">
      <c r="A426" s="3" t="s">
        <v>1699</v>
      </c>
      <c r="B426" s="3" t="s">
        <v>19</v>
      </c>
      <c r="C426" s="3" t="s">
        <v>484</v>
      </c>
      <c r="D426" s="3" t="s">
        <v>44</v>
      </c>
      <c r="E426" s="3" t="s">
        <v>45</v>
      </c>
    </row>
    <row r="427">
      <c r="A427" s="3" t="s">
        <v>1701</v>
      </c>
      <c r="B427" s="3" t="s">
        <v>19</v>
      </c>
      <c r="C427" s="3" t="s">
        <v>471</v>
      </c>
      <c r="D427" s="3" t="s">
        <v>44</v>
      </c>
      <c r="E427" s="3" t="s">
        <v>45</v>
      </c>
    </row>
    <row r="428">
      <c r="A428" s="3" t="s">
        <v>1704</v>
      </c>
      <c r="B428" s="3" t="s">
        <v>19</v>
      </c>
      <c r="C428" s="3" t="s">
        <v>478</v>
      </c>
      <c r="D428" s="3" t="s">
        <v>33</v>
      </c>
      <c r="E428" s="3" t="s">
        <v>725</v>
      </c>
    </row>
    <row r="429">
      <c r="A429" s="3" t="s">
        <v>1706</v>
      </c>
      <c r="B429" s="3" t="s">
        <v>19</v>
      </c>
      <c r="C429" s="3" t="s">
        <v>484</v>
      </c>
      <c r="D429" s="3" t="s">
        <v>44</v>
      </c>
      <c r="E429" s="3" t="s">
        <v>45</v>
      </c>
    </row>
    <row r="430">
      <c r="A430" s="3" t="s">
        <v>1709</v>
      </c>
      <c r="B430" s="3" t="s">
        <v>19</v>
      </c>
      <c r="C430" s="3" t="s">
        <v>471</v>
      </c>
      <c r="D430" s="3" t="s">
        <v>44</v>
      </c>
      <c r="E430" s="3" t="s">
        <v>45</v>
      </c>
    </row>
    <row r="431">
      <c r="A431" s="3" t="s">
        <v>1712</v>
      </c>
      <c r="B431" s="3" t="s">
        <v>19</v>
      </c>
      <c r="C431" s="3" t="s">
        <v>478</v>
      </c>
      <c r="D431" s="3" t="s">
        <v>33</v>
      </c>
      <c r="E431" s="3" t="s">
        <v>694</v>
      </c>
    </row>
    <row r="432">
      <c r="A432" s="3" t="s">
        <v>1713</v>
      </c>
      <c r="B432" s="3" t="s">
        <v>19</v>
      </c>
      <c r="C432" s="3" t="s">
        <v>484</v>
      </c>
      <c r="D432" s="3" t="s">
        <v>44</v>
      </c>
      <c r="E432" s="3" t="s">
        <v>45</v>
      </c>
    </row>
    <row r="433">
      <c r="A433" s="3" t="s">
        <v>1715</v>
      </c>
      <c r="B433" s="3" t="s">
        <v>19</v>
      </c>
      <c r="C433" s="3" t="s">
        <v>471</v>
      </c>
      <c r="D433" s="3" t="s">
        <v>44</v>
      </c>
      <c r="E433" s="3" t="s">
        <v>45</v>
      </c>
    </row>
    <row r="434">
      <c r="A434" s="3" t="s">
        <v>1718</v>
      </c>
      <c r="B434" s="3" t="s">
        <v>19</v>
      </c>
      <c r="C434" s="3" t="s">
        <v>478</v>
      </c>
      <c r="D434" s="3" t="s">
        <v>44</v>
      </c>
      <c r="E434" s="3" t="s">
        <v>45</v>
      </c>
    </row>
    <row r="435">
      <c r="A435" s="3" t="s">
        <v>1720</v>
      </c>
      <c r="B435" s="3" t="s">
        <v>19</v>
      </c>
      <c r="C435" s="3" t="s">
        <v>484</v>
      </c>
      <c r="D435" s="3" t="s">
        <v>44</v>
      </c>
      <c r="E435" s="3" t="s">
        <v>45</v>
      </c>
    </row>
    <row r="436">
      <c r="A436" s="3" t="s">
        <v>1722</v>
      </c>
      <c r="B436" s="3" t="s">
        <v>19</v>
      </c>
      <c r="C436" s="3" t="s">
        <v>471</v>
      </c>
      <c r="D436" s="3" t="s">
        <v>44</v>
      </c>
      <c r="E436" s="3" t="s">
        <v>45</v>
      </c>
    </row>
    <row r="437">
      <c r="A437" s="3" t="s">
        <v>1724</v>
      </c>
      <c r="B437" s="3" t="s">
        <v>19</v>
      </c>
      <c r="C437" s="3" t="s">
        <v>478</v>
      </c>
      <c r="D437" s="3" t="s">
        <v>44</v>
      </c>
      <c r="E437" s="3" t="s">
        <v>45</v>
      </c>
    </row>
    <row r="438">
      <c r="A438" s="3" t="s">
        <v>1726</v>
      </c>
      <c r="B438" s="3" t="s">
        <v>19</v>
      </c>
      <c r="C438" s="3" t="s">
        <v>484</v>
      </c>
      <c r="D438" s="3" t="s">
        <v>33</v>
      </c>
      <c r="E438" s="3" t="s">
        <v>886</v>
      </c>
    </row>
    <row r="439">
      <c r="A439" s="3" t="s">
        <v>1728</v>
      </c>
      <c r="B439" s="3" t="s">
        <v>19</v>
      </c>
      <c r="C439" s="3" t="s">
        <v>471</v>
      </c>
      <c r="D439" s="3" t="s">
        <v>44</v>
      </c>
      <c r="E439" s="3" t="s">
        <v>45</v>
      </c>
    </row>
    <row r="440">
      <c r="A440" s="3" t="s">
        <v>1730</v>
      </c>
      <c r="B440" s="3" t="s">
        <v>19</v>
      </c>
      <c r="C440" s="3" t="s">
        <v>478</v>
      </c>
      <c r="D440" s="3" t="s">
        <v>44</v>
      </c>
      <c r="E440" s="3" t="s">
        <v>45</v>
      </c>
    </row>
    <row r="441">
      <c r="A441" s="3" t="s">
        <v>1733</v>
      </c>
      <c r="B441" s="3" t="s">
        <v>19</v>
      </c>
      <c r="C441" s="3" t="s">
        <v>484</v>
      </c>
      <c r="D441" s="3" t="s">
        <v>44</v>
      </c>
      <c r="E441" s="3" t="s">
        <v>45</v>
      </c>
    </row>
    <row r="442">
      <c r="A442" s="3" t="s">
        <v>1735</v>
      </c>
      <c r="B442" s="3" t="s">
        <v>19</v>
      </c>
      <c r="C442" s="3" t="s">
        <v>471</v>
      </c>
      <c r="D442" s="3" t="s">
        <v>33</v>
      </c>
      <c r="E442" s="3" t="s">
        <v>253</v>
      </c>
    </row>
    <row r="443">
      <c r="A443" s="3" t="s">
        <v>1738</v>
      </c>
      <c r="B443" s="3" t="s">
        <v>19</v>
      </c>
      <c r="C443" s="3" t="s">
        <v>478</v>
      </c>
      <c r="D443" s="3" t="s">
        <v>33</v>
      </c>
      <c r="E443" s="3" t="s">
        <v>939</v>
      </c>
    </row>
    <row r="444">
      <c r="A444" s="3" t="s">
        <v>1740</v>
      </c>
      <c r="B444" s="3" t="s">
        <v>19</v>
      </c>
      <c r="C444" s="3" t="s">
        <v>484</v>
      </c>
      <c r="D444" s="3" t="s">
        <v>33</v>
      </c>
      <c r="E444" s="3" t="s">
        <v>519</v>
      </c>
    </row>
    <row r="445">
      <c r="A445" s="3" t="s">
        <v>1743</v>
      </c>
      <c r="B445" s="3" t="s">
        <v>19</v>
      </c>
      <c r="C445" s="3" t="s">
        <v>471</v>
      </c>
      <c r="D445" s="3" t="s">
        <v>33</v>
      </c>
      <c r="E445" s="3" t="s">
        <v>352</v>
      </c>
    </row>
    <row r="446">
      <c r="A446" s="3" t="s">
        <v>1745</v>
      </c>
      <c r="B446" s="3" t="s">
        <v>19</v>
      </c>
      <c r="C446" s="3" t="s">
        <v>478</v>
      </c>
      <c r="D446" s="3" t="s">
        <v>44</v>
      </c>
      <c r="E446" s="3" t="s">
        <v>45</v>
      </c>
    </row>
    <row r="447">
      <c r="A447" s="3" t="s">
        <v>1747</v>
      </c>
      <c r="B447" s="3" t="s">
        <v>19</v>
      </c>
      <c r="C447" s="3" t="s">
        <v>484</v>
      </c>
      <c r="D447" s="3" t="s">
        <v>33</v>
      </c>
      <c r="E447" s="3" t="s">
        <v>296</v>
      </c>
    </row>
    <row r="448">
      <c r="A448" s="3" t="s">
        <v>1750</v>
      </c>
      <c r="B448" s="3" t="s">
        <v>19</v>
      </c>
      <c r="C448" s="3" t="s">
        <v>471</v>
      </c>
      <c r="D448" s="3" t="s">
        <v>44</v>
      </c>
      <c r="E448" s="3" t="s">
        <v>45</v>
      </c>
    </row>
    <row r="449">
      <c r="A449" s="3" t="s">
        <v>1751</v>
      </c>
      <c r="B449" s="3" t="s">
        <v>19</v>
      </c>
      <c r="C449" s="3" t="s">
        <v>478</v>
      </c>
      <c r="D449" s="3" t="s">
        <v>33</v>
      </c>
      <c r="E449" s="3" t="s">
        <v>224</v>
      </c>
    </row>
    <row r="450">
      <c r="A450" s="3" t="s">
        <v>1753</v>
      </c>
      <c r="B450" s="3" t="s">
        <v>19</v>
      </c>
      <c r="C450" s="3" t="s">
        <v>484</v>
      </c>
      <c r="D450" s="3" t="s">
        <v>44</v>
      </c>
      <c r="E450" s="3" t="s">
        <v>45</v>
      </c>
    </row>
    <row r="451">
      <c r="A451" s="3" t="s">
        <v>1755</v>
      </c>
      <c r="B451" s="3" t="s">
        <v>19</v>
      </c>
      <c r="C451" s="3" t="s">
        <v>471</v>
      </c>
      <c r="D451" s="3" t="s">
        <v>33</v>
      </c>
      <c r="E451" s="3" t="s">
        <v>406</v>
      </c>
    </row>
    <row r="452">
      <c r="A452" s="3" t="s">
        <v>1757</v>
      </c>
      <c r="B452" s="3" t="s">
        <v>19</v>
      </c>
      <c r="C452" s="3" t="s">
        <v>478</v>
      </c>
      <c r="D452" s="3" t="s">
        <v>44</v>
      </c>
      <c r="E452" s="3" t="s">
        <v>45</v>
      </c>
    </row>
    <row r="453">
      <c r="A453" s="3" t="s">
        <v>1759</v>
      </c>
      <c r="B453" s="3" t="s">
        <v>19</v>
      </c>
      <c r="C453" s="3" t="s">
        <v>484</v>
      </c>
      <c r="D453" s="3" t="s">
        <v>33</v>
      </c>
      <c r="E453" s="3" t="s">
        <v>436</v>
      </c>
    </row>
    <row r="454">
      <c r="A454" s="3" t="s">
        <v>1762</v>
      </c>
      <c r="B454" s="3" t="s">
        <v>19</v>
      </c>
      <c r="C454" s="3" t="s">
        <v>471</v>
      </c>
      <c r="D454" s="3" t="s">
        <v>33</v>
      </c>
      <c r="E454" s="3" t="s">
        <v>596</v>
      </c>
    </row>
    <row r="455">
      <c r="A455" s="3" t="s">
        <v>1763</v>
      </c>
      <c r="B455" s="3" t="s">
        <v>19</v>
      </c>
      <c r="C455" s="3" t="s">
        <v>478</v>
      </c>
      <c r="D455" s="3" t="s">
        <v>44</v>
      </c>
      <c r="E455" s="3" t="s">
        <v>45</v>
      </c>
    </row>
    <row r="456">
      <c r="A456" s="3" t="s">
        <v>1766</v>
      </c>
      <c r="B456" s="3" t="s">
        <v>19</v>
      </c>
      <c r="C456" s="3" t="s">
        <v>484</v>
      </c>
      <c r="D456" s="3" t="s">
        <v>33</v>
      </c>
      <c r="E456" s="3" t="s">
        <v>998</v>
      </c>
    </row>
    <row r="457">
      <c r="A457" s="3" t="s">
        <v>1768</v>
      </c>
      <c r="B457" s="3" t="s">
        <v>19</v>
      </c>
      <c r="C457" s="3" t="s">
        <v>471</v>
      </c>
      <c r="D457" s="3" t="s">
        <v>44</v>
      </c>
      <c r="E457" s="3" t="s">
        <v>45</v>
      </c>
    </row>
    <row r="458">
      <c r="A458" s="3" t="s">
        <v>1770</v>
      </c>
      <c r="B458" s="3" t="s">
        <v>19</v>
      </c>
      <c r="C458" s="3" t="s">
        <v>478</v>
      </c>
      <c r="D458" s="3" t="s">
        <v>33</v>
      </c>
      <c r="E458" s="3" t="s">
        <v>710</v>
      </c>
    </row>
    <row r="459">
      <c r="A459" s="3" t="s">
        <v>1772</v>
      </c>
      <c r="B459" s="3" t="s">
        <v>19</v>
      </c>
      <c r="C459" s="3" t="s">
        <v>484</v>
      </c>
      <c r="D459" s="3" t="s">
        <v>33</v>
      </c>
      <c r="E459" s="3" t="s">
        <v>322</v>
      </c>
    </row>
    <row r="460">
      <c r="A460" s="3" t="s">
        <v>1775</v>
      </c>
      <c r="B460" s="3" t="s">
        <v>19</v>
      </c>
      <c r="C460" s="3" t="s">
        <v>471</v>
      </c>
      <c r="D460" s="3" t="s">
        <v>44</v>
      </c>
      <c r="E460" s="3" t="s">
        <v>45</v>
      </c>
    </row>
    <row r="461">
      <c r="A461" s="3" t="s">
        <v>1776</v>
      </c>
      <c r="B461" s="3" t="s">
        <v>19</v>
      </c>
      <c r="C461" s="3" t="s">
        <v>478</v>
      </c>
      <c r="D461" s="3" t="s">
        <v>33</v>
      </c>
      <c r="E461" s="3" t="s">
        <v>383</v>
      </c>
    </row>
    <row r="462">
      <c r="A462" s="3" t="s">
        <v>1779</v>
      </c>
      <c r="B462" s="3" t="s">
        <v>19</v>
      </c>
      <c r="C462" s="3" t="s">
        <v>484</v>
      </c>
      <c r="D462" s="3" t="s">
        <v>33</v>
      </c>
      <c r="E462" s="3" t="s">
        <v>796</v>
      </c>
    </row>
    <row r="463">
      <c r="A463" s="3" t="s">
        <v>1780</v>
      </c>
      <c r="B463" s="3" t="s">
        <v>19</v>
      </c>
      <c r="C463" s="3" t="s">
        <v>471</v>
      </c>
      <c r="D463" s="3" t="s">
        <v>33</v>
      </c>
      <c r="E463" s="3" t="s">
        <v>760</v>
      </c>
    </row>
    <row r="464">
      <c r="A464" s="3" t="s">
        <v>1782</v>
      </c>
      <c r="B464" s="3" t="s">
        <v>19</v>
      </c>
      <c r="C464" s="3" t="s">
        <v>478</v>
      </c>
      <c r="D464" s="3" t="s">
        <v>44</v>
      </c>
      <c r="E464" s="3" t="s">
        <v>45</v>
      </c>
    </row>
    <row r="465">
      <c r="A465" s="3" t="s">
        <v>1785</v>
      </c>
      <c r="B465" s="3" t="s">
        <v>19</v>
      </c>
      <c r="C465" s="3" t="s">
        <v>484</v>
      </c>
      <c r="D465" s="3" t="s">
        <v>44</v>
      </c>
      <c r="E465" s="3" t="s">
        <v>45</v>
      </c>
    </row>
    <row r="466">
      <c r="A466" s="3" t="s">
        <v>1786</v>
      </c>
      <c r="B466" s="3" t="s">
        <v>19</v>
      </c>
      <c r="C466" s="3" t="s">
        <v>471</v>
      </c>
      <c r="D466" s="3" t="s">
        <v>44</v>
      </c>
      <c r="E466" s="3" t="s">
        <v>45</v>
      </c>
    </row>
    <row r="467">
      <c r="A467" s="3" t="s">
        <v>1789</v>
      </c>
      <c r="B467" s="3" t="s">
        <v>19</v>
      </c>
      <c r="C467" s="3" t="s">
        <v>478</v>
      </c>
      <c r="D467" s="3" t="s">
        <v>33</v>
      </c>
      <c r="E467" s="3" t="s">
        <v>453</v>
      </c>
    </row>
    <row r="468">
      <c r="A468" s="3" t="s">
        <v>1790</v>
      </c>
      <c r="B468" s="3" t="s">
        <v>19</v>
      </c>
      <c r="C468" s="3" t="s">
        <v>484</v>
      </c>
      <c r="D468" s="3" t="s">
        <v>33</v>
      </c>
      <c r="E468" s="3" t="s">
        <v>316</v>
      </c>
    </row>
    <row r="469">
      <c r="A469" s="3" t="s">
        <v>1793</v>
      </c>
      <c r="B469" s="3" t="s">
        <v>19</v>
      </c>
      <c r="C469" s="3" t="s">
        <v>471</v>
      </c>
      <c r="D469" s="3" t="s">
        <v>44</v>
      </c>
      <c r="E469" s="3" t="s">
        <v>45</v>
      </c>
    </row>
    <row r="470">
      <c r="A470" s="3" t="s">
        <v>1795</v>
      </c>
      <c r="B470" s="3" t="s">
        <v>19</v>
      </c>
      <c r="C470" s="3" t="s">
        <v>478</v>
      </c>
      <c r="D470" s="3" t="s">
        <v>44</v>
      </c>
      <c r="E470" s="3" t="s">
        <v>45</v>
      </c>
    </row>
    <row r="471">
      <c r="A471" s="3" t="s">
        <v>1797</v>
      </c>
      <c r="B471" s="3" t="s">
        <v>19</v>
      </c>
      <c r="C471" s="3" t="s">
        <v>484</v>
      </c>
      <c r="D471" s="3" t="s">
        <v>44</v>
      </c>
      <c r="E471" s="3" t="s">
        <v>45</v>
      </c>
    </row>
    <row r="472">
      <c r="A472" s="3" t="s">
        <v>1800</v>
      </c>
      <c r="B472" s="3" t="s">
        <v>19</v>
      </c>
      <c r="C472" s="3" t="s">
        <v>471</v>
      </c>
      <c r="D472" s="3" t="s">
        <v>33</v>
      </c>
      <c r="E472" s="3" t="s">
        <v>655</v>
      </c>
    </row>
    <row r="473">
      <c r="A473" s="3" t="s">
        <v>1801</v>
      </c>
      <c r="B473" s="3" t="s">
        <v>19</v>
      </c>
      <c r="C473" s="3" t="s">
        <v>478</v>
      </c>
      <c r="D473" s="3" t="s">
        <v>44</v>
      </c>
      <c r="E473" s="3" t="s">
        <v>45</v>
      </c>
    </row>
    <row r="474">
      <c r="A474" s="3" t="s">
        <v>1804</v>
      </c>
      <c r="B474" s="3" t="s">
        <v>19</v>
      </c>
      <c r="C474" s="3" t="s">
        <v>484</v>
      </c>
      <c r="D474" s="3" t="s">
        <v>33</v>
      </c>
      <c r="E474" s="3" t="s">
        <v>299</v>
      </c>
    </row>
    <row r="475">
      <c r="A475" s="3" t="s">
        <v>1806</v>
      </c>
      <c r="B475" s="3" t="s">
        <v>19</v>
      </c>
      <c r="C475" s="3" t="s">
        <v>471</v>
      </c>
      <c r="D475" s="3" t="s">
        <v>44</v>
      </c>
      <c r="E475" s="3" t="s">
        <v>45</v>
      </c>
    </row>
    <row r="476">
      <c r="A476" s="3" t="s">
        <v>1808</v>
      </c>
      <c r="B476" s="3" t="s">
        <v>19</v>
      </c>
      <c r="C476" s="3" t="s">
        <v>478</v>
      </c>
      <c r="D476" s="3" t="s">
        <v>33</v>
      </c>
      <c r="E476" s="3" t="s">
        <v>250</v>
      </c>
    </row>
    <row r="477">
      <c r="A477" s="3" t="s">
        <v>1812</v>
      </c>
      <c r="B477" s="3" t="s">
        <v>19</v>
      </c>
      <c r="C477" s="3" t="s">
        <v>484</v>
      </c>
      <c r="D477" s="3" t="s">
        <v>33</v>
      </c>
      <c r="E477" s="3" t="s">
        <v>219</v>
      </c>
    </row>
    <row r="478">
      <c r="A478" s="3" t="s">
        <v>1815</v>
      </c>
      <c r="B478" s="3" t="s">
        <v>19</v>
      </c>
      <c r="C478" s="3" t="s">
        <v>471</v>
      </c>
      <c r="D478" s="3" t="s">
        <v>44</v>
      </c>
      <c r="E478" s="3" t="s">
        <v>45</v>
      </c>
    </row>
    <row r="479">
      <c r="A479" s="3" t="s">
        <v>1820</v>
      </c>
      <c r="B479" s="3" t="s">
        <v>19</v>
      </c>
      <c r="C479" s="3" t="s">
        <v>478</v>
      </c>
      <c r="D479" s="3" t="s">
        <v>33</v>
      </c>
      <c r="E479" s="3" t="s">
        <v>236</v>
      </c>
    </row>
    <row r="480">
      <c r="A480" s="3" t="s">
        <v>1824</v>
      </c>
      <c r="B480" s="3" t="s">
        <v>19</v>
      </c>
      <c r="C480" s="3" t="s">
        <v>484</v>
      </c>
      <c r="D480" s="3" t="s">
        <v>44</v>
      </c>
      <c r="E480" s="3" t="s">
        <v>45</v>
      </c>
    </row>
    <row r="481">
      <c r="A481" s="3" t="s">
        <v>1828</v>
      </c>
      <c r="B481" s="3" t="s">
        <v>19</v>
      </c>
      <c r="C481" s="3" t="s">
        <v>471</v>
      </c>
      <c r="D481" s="3" t="s">
        <v>44</v>
      </c>
      <c r="E481" s="3" t="s">
        <v>45</v>
      </c>
    </row>
    <row r="482">
      <c r="A482" s="3" t="s">
        <v>1833</v>
      </c>
      <c r="B482" s="3" t="s">
        <v>19</v>
      </c>
      <c r="C482" s="3" t="s">
        <v>478</v>
      </c>
      <c r="D482" s="3" t="s">
        <v>44</v>
      </c>
      <c r="E482" s="3" t="s">
        <v>45</v>
      </c>
    </row>
    <row r="483">
      <c r="A483" s="3" t="s">
        <v>1835</v>
      </c>
      <c r="B483" s="3" t="s">
        <v>19</v>
      </c>
      <c r="C483" s="3" t="s">
        <v>484</v>
      </c>
      <c r="D483" s="3" t="s">
        <v>44</v>
      </c>
      <c r="E483" s="3" t="s">
        <v>45</v>
      </c>
    </row>
    <row r="484">
      <c r="A484" s="3" t="s">
        <v>1837</v>
      </c>
      <c r="B484" s="3" t="s">
        <v>19</v>
      </c>
      <c r="C484" s="3" t="s">
        <v>471</v>
      </c>
      <c r="D484" s="3" t="s">
        <v>44</v>
      </c>
      <c r="E484" s="3" t="s">
        <v>45</v>
      </c>
    </row>
    <row r="485">
      <c r="A485" s="3" t="s">
        <v>1842</v>
      </c>
      <c r="B485" s="3" t="s">
        <v>19</v>
      </c>
      <c r="C485" s="3" t="s">
        <v>478</v>
      </c>
      <c r="D485" s="3" t="s">
        <v>33</v>
      </c>
      <c r="E485" s="3" t="s">
        <v>266</v>
      </c>
    </row>
    <row r="486">
      <c r="A486" s="3" t="s">
        <v>1846</v>
      </c>
      <c r="B486" s="3" t="s">
        <v>19</v>
      </c>
      <c r="C486" s="3" t="s">
        <v>484</v>
      </c>
      <c r="D486" s="3" t="s">
        <v>33</v>
      </c>
      <c r="E486" s="3" t="s">
        <v>424</v>
      </c>
    </row>
    <row r="487">
      <c r="A487" s="3" t="s">
        <v>1848</v>
      </c>
      <c r="B487" s="3" t="s">
        <v>19</v>
      </c>
      <c r="C487" s="3" t="s">
        <v>471</v>
      </c>
      <c r="D487" s="3" t="s">
        <v>44</v>
      </c>
      <c r="E487" s="3" t="s">
        <v>45</v>
      </c>
    </row>
    <row r="488">
      <c r="A488" s="3" t="s">
        <v>1850</v>
      </c>
      <c r="B488" s="3" t="s">
        <v>19</v>
      </c>
      <c r="C488" s="3" t="s">
        <v>478</v>
      </c>
      <c r="D488" s="3" t="s">
        <v>33</v>
      </c>
      <c r="E488" s="3" t="s">
        <v>629</v>
      </c>
    </row>
    <row r="489">
      <c r="A489" s="3" t="s">
        <v>1852</v>
      </c>
      <c r="B489" s="3" t="s">
        <v>19</v>
      </c>
      <c r="C489" s="3" t="s">
        <v>484</v>
      </c>
      <c r="D489" s="3" t="s">
        <v>44</v>
      </c>
      <c r="E489" s="3" t="s">
        <v>45</v>
      </c>
    </row>
    <row r="490">
      <c r="A490" s="3" t="s">
        <v>1855</v>
      </c>
      <c r="B490" s="3" t="s">
        <v>19</v>
      </c>
      <c r="C490" s="3" t="s">
        <v>471</v>
      </c>
      <c r="D490" s="3" t="s">
        <v>44</v>
      </c>
      <c r="E490" s="3" t="s">
        <v>45</v>
      </c>
    </row>
    <row r="491">
      <c r="A491" s="3" t="s">
        <v>1857</v>
      </c>
      <c r="B491" s="3" t="s">
        <v>19</v>
      </c>
      <c r="C491" s="3" t="s">
        <v>478</v>
      </c>
      <c r="D491" s="3" t="s">
        <v>33</v>
      </c>
      <c r="E491" s="3" t="s">
        <v>398</v>
      </c>
    </row>
    <row r="492">
      <c r="A492" s="3" t="s">
        <v>1860</v>
      </c>
      <c r="B492" s="3" t="s">
        <v>19</v>
      </c>
      <c r="C492" s="3" t="s">
        <v>484</v>
      </c>
      <c r="D492" s="3" t="s">
        <v>33</v>
      </c>
      <c r="E492" s="3" t="s">
        <v>449</v>
      </c>
    </row>
    <row r="493">
      <c r="A493" s="3" t="s">
        <v>1863</v>
      </c>
      <c r="B493" s="3" t="s">
        <v>19</v>
      </c>
      <c r="C493" s="3" t="s">
        <v>471</v>
      </c>
      <c r="D493" s="3" t="s">
        <v>44</v>
      </c>
      <c r="E493" s="3" t="s">
        <v>45</v>
      </c>
    </row>
    <row r="494">
      <c r="A494" s="3" t="s">
        <v>1864</v>
      </c>
      <c r="B494" s="3" t="s">
        <v>19</v>
      </c>
      <c r="C494" s="3" t="s">
        <v>478</v>
      </c>
      <c r="D494" s="3" t="s">
        <v>33</v>
      </c>
      <c r="E494" s="3" t="s">
        <v>310</v>
      </c>
    </row>
    <row r="495">
      <c r="A495" s="3" t="s">
        <v>1869</v>
      </c>
      <c r="B495" s="3" t="s">
        <v>19</v>
      </c>
      <c r="C495" s="3" t="s">
        <v>484</v>
      </c>
      <c r="D495" s="3" t="s">
        <v>33</v>
      </c>
      <c r="E495" s="3" t="s">
        <v>512</v>
      </c>
    </row>
    <row r="496">
      <c r="A496" s="3" t="s">
        <v>1873</v>
      </c>
      <c r="B496" s="3" t="s">
        <v>19</v>
      </c>
      <c r="C496" s="3" t="s">
        <v>471</v>
      </c>
      <c r="D496" s="3" t="s">
        <v>44</v>
      </c>
      <c r="E496" s="3" t="s">
        <v>45</v>
      </c>
    </row>
    <row r="497">
      <c r="A497" s="3" t="s">
        <v>1876</v>
      </c>
      <c r="B497" s="3" t="s">
        <v>19</v>
      </c>
      <c r="C497" s="3" t="s">
        <v>478</v>
      </c>
      <c r="D497" s="3" t="s">
        <v>33</v>
      </c>
      <c r="E497" s="3" t="s">
        <v>162</v>
      </c>
    </row>
    <row r="498">
      <c r="A498" s="3" t="s">
        <v>1879</v>
      </c>
      <c r="B498" s="3" t="s">
        <v>19</v>
      </c>
      <c r="C498" s="3" t="s">
        <v>484</v>
      </c>
      <c r="D498" s="3" t="s">
        <v>33</v>
      </c>
      <c r="E498" s="3" t="s">
        <v>419</v>
      </c>
    </row>
    <row r="499">
      <c r="A499" s="3" t="s">
        <v>1882</v>
      </c>
      <c r="B499" s="3" t="s">
        <v>19</v>
      </c>
      <c r="C499" s="3" t="s">
        <v>471</v>
      </c>
      <c r="D499" s="3" t="s">
        <v>44</v>
      </c>
      <c r="E499" s="3" t="s">
        <v>45</v>
      </c>
    </row>
    <row r="500">
      <c r="A500" s="3" t="s">
        <v>1884</v>
      </c>
      <c r="B500" s="3" t="s">
        <v>19</v>
      </c>
      <c r="C500" s="3" t="s">
        <v>478</v>
      </c>
      <c r="D500" s="3" t="s">
        <v>33</v>
      </c>
      <c r="E500" s="3" t="s">
        <v>1026</v>
      </c>
    </row>
    <row r="501">
      <c r="A501" s="3" t="s">
        <v>1887</v>
      </c>
      <c r="B501" s="3" t="s">
        <v>19</v>
      </c>
      <c r="C501" s="3" t="s">
        <v>484</v>
      </c>
      <c r="D501" s="3" t="s">
        <v>44</v>
      </c>
      <c r="E501" s="3" t="s">
        <v>45</v>
      </c>
    </row>
    <row r="502">
      <c r="A502" s="3" t="s">
        <v>1890</v>
      </c>
      <c r="B502" s="3" t="s">
        <v>19</v>
      </c>
      <c r="C502" s="3" t="s">
        <v>471</v>
      </c>
      <c r="D502" s="3" t="s">
        <v>44</v>
      </c>
      <c r="E502" s="3" t="s">
        <v>45</v>
      </c>
    </row>
    <row r="503">
      <c r="A503" s="3" t="s">
        <v>1892</v>
      </c>
      <c r="B503" s="3" t="s">
        <v>19</v>
      </c>
      <c r="C503" s="3" t="s">
        <v>478</v>
      </c>
      <c r="D503" s="3" t="s">
        <v>33</v>
      </c>
      <c r="E503" s="3" t="s">
        <v>870</v>
      </c>
    </row>
    <row r="504">
      <c r="A504" s="3" t="s">
        <v>1894</v>
      </c>
      <c r="B504" s="3" t="s">
        <v>19</v>
      </c>
      <c r="C504" s="3" t="s">
        <v>484</v>
      </c>
      <c r="D504" s="3" t="s">
        <v>44</v>
      </c>
      <c r="E504" s="3" t="s">
        <v>45</v>
      </c>
    </row>
    <row r="505">
      <c r="A505" s="3" t="s">
        <v>1897</v>
      </c>
      <c r="B505" s="3" t="s">
        <v>19</v>
      </c>
      <c r="C505" s="3" t="s">
        <v>471</v>
      </c>
      <c r="D505" s="3" t="s">
        <v>44</v>
      </c>
      <c r="E505" s="3" t="s">
        <v>45</v>
      </c>
    </row>
    <row r="506">
      <c r="A506" s="3" t="s">
        <v>1899</v>
      </c>
      <c r="B506" s="3" t="s">
        <v>19</v>
      </c>
      <c r="C506" s="3" t="s">
        <v>478</v>
      </c>
      <c r="D506" s="3" t="s">
        <v>33</v>
      </c>
      <c r="E506" s="3" t="s">
        <v>781</v>
      </c>
    </row>
    <row r="507">
      <c r="A507" s="3" t="s">
        <v>1901</v>
      </c>
      <c r="B507" s="3" t="s">
        <v>19</v>
      </c>
      <c r="C507" s="3" t="s">
        <v>484</v>
      </c>
      <c r="D507" s="3" t="s">
        <v>44</v>
      </c>
      <c r="E507" s="3" t="s">
        <v>45</v>
      </c>
    </row>
    <row r="508">
      <c r="A508" s="3" t="s">
        <v>1903</v>
      </c>
      <c r="B508" s="3" t="s">
        <v>19</v>
      </c>
      <c r="C508" s="3" t="s">
        <v>471</v>
      </c>
      <c r="D508" s="3" t="s">
        <v>44</v>
      </c>
      <c r="E508" s="3" t="s">
        <v>45</v>
      </c>
    </row>
    <row r="509">
      <c r="A509" s="3" t="s">
        <v>1906</v>
      </c>
      <c r="B509" s="3" t="s">
        <v>19</v>
      </c>
      <c r="C509" s="3" t="s">
        <v>478</v>
      </c>
      <c r="D509" s="3" t="s">
        <v>44</v>
      </c>
      <c r="E509" s="3" t="s">
        <v>45</v>
      </c>
    </row>
    <row r="510">
      <c r="A510" s="3" t="s">
        <v>1907</v>
      </c>
      <c r="B510" s="3" t="s">
        <v>19</v>
      </c>
      <c r="C510" s="3" t="s">
        <v>484</v>
      </c>
      <c r="D510" s="3" t="s">
        <v>44</v>
      </c>
      <c r="E510" s="3" t="s">
        <v>45</v>
      </c>
    </row>
    <row r="511">
      <c r="A511" s="3" t="s">
        <v>1910</v>
      </c>
      <c r="B511" s="3" t="s">
        <v>19</v>
      </c>
      <c r="C511" s="3" t="s">
        <v>471</v>
      </c>
      <c r="D511" s="3" t="s">
        <v>44</v>
      </c>
      <c r="E511" s="3" t="s">
        <v>45</v>
      </c>
    </row>
    <row r="512">
      <c r="A512" s="3" t="s">
        <v>1911</v>
      </c>
      <c r="B512" s="3" t="s">
        <v>19</v>
      </c>
      <c r="C512" s="3" t="s">
        <v>478</v>
      </c>
      <c r="D512" s="3" t="s">
        <v>33</v>
      </c>
      <c r="E512" s="3" t="s">
        <v>789</v>
      </c>
    </row>
    <row r="513">
      <c r="A513" s="3" t="s">
        <v>1914</v>
      </c>
      <c r="B513" s="3" t="s">
        <v>19</v>
      </c>
      <c r="C513" s="3" t="s">
        <v>484</v>
      </c>
      <c r="D513" s="3" t="s">
        <v>33</v>
      </c>
      <c r="E513" s="3" t="s">
        <v>507</v>
      </c>
    </row>
    <row r="514">
      <c r="A514" s="3" t="s">
        <v>1916</v>
      </c>
      <c r="B514" s="3" t="s">
        <v>19</v>
      </c>
      <c r="C514" s="3" t="s">
        <v>471</v>
      </c>
      <c r="D514" s="3" t="s">
        <v>44</v>
      </c>
      <c r="E514" s="3" t="s">
        <v>45</v>
      </c>
    </row>
    <row r="515">
      <c r="A515" s="3" t="s">
        <v>1918</v>
      </c>
      <c r="B515" s="3" t="s">
        <v>19</v>
      </c>
      <c r="C515" s="3" t="s">
        <v>478</v>
      </c>
      <c r="D515" s="3" t="s">
        <v>44</v>
      </c>
      <c r="E515" s="3" t="s">
        <v>45</v>
      </c>
    </row>
    <row r="516">
      <c r="A516" s="3" t="s">
        <v>1921</v>
      </c>
      <c r="B516" s="3" t="s">
        <v>19</v>
      </c>
      <c r="C516" s="3" t="s">
        <v>484</v>
      </c>
      <c r="D516" s="3" t="s">
        <v>33</v>
      </c>
      <c r="E516" s="3" t="s">
        <v>949</v>
      </c>
    </row>
    <row r="517">
      <c r="A517" s="3" t="s">
        <v>1923</v>
      </c>
      <c r="B517" s="3" t="s">
        <v>19</v>
      </c>
      <c r="C517" s="3" t="s">
        <v>471</v>
      </c>
      <c r="D517" s="3" t="s">
        <v>33</v>
      </c>
      <c r="E517" s="3" t="s">
        <v>455</v>
      </c>
    </row>
    <row r="518">
      <c r="A518" s="3" t="s">
        <v>1925</v>
      </c>
      <c r="B518" s="3" t="s">
        <v>19</v>
      </c>
      <c r="C518" s="3" t="s">
        <v>478</v>
      </c>
      <c r="D518" s="3" t="s">
        <v>44</v>
      </c>
      <c r="E518" s="3" t="s">
        <v>45</v>
      </c>
    </row>
    <row r="519">
      <c r="A519" s="3" t="s">
        <v>1927</v>
      </c>
      <c r="B519" s="3" t="s">
        <v>19</v>
      </c>
      <c r="C519" s="3" t="s">
        <v>484</v>
      </c>
      <c r="D519" s="3" t="s">
        <v>44</v>
      </c>
      <c r="E519" s="3" t="s">
        <v>45</v>
      </c>
    </row>
    <row r="520">
      <c r="A520" s="3" t="s">
        <v>1929</v>
      </c>
      <c r="B520" s="3" t="s">
        <v>19</v>
      </c>
      <c r="C520" s="3" t="s">
        <v>471</v>
      </c>
      <c r="D520" s="3" t="s">
        <v>33</v>
      </c>
      <c r="E520" s="3" t="s">
        <v>369</v>
      </c>
    </row>
    <row r="521">
      <c r="A521" s="3" t="s">
        <v>1932</v>
      </c>
      <c r="B521" s="3" t="s">
        <v>19</v>
      </c>
      <c r="C521" s="3" t="s">
        <v>478</v>
      </c>
      <c r="D521" s="3" t="s">
        <v>44</v>
      </c>
      <c r="E521" s="3" t="s">
        <v>45</v>
      </c>
    </row>
    <row r="522">
      <c r="A522" s="3" t="s">
        <v>1935</v>
      </c>
      <c r="B522" s="3" t="s">
        <v>19</v>
      </c>
      <c r="C522" s="3" t="s">
        <v>484</v>
      </c>
      <c r="D522" s="3" t="s">
        <v>44</v>
      </c>
      <c r="E522" s="3" t="s">
        <v>45</v>
      </c>
    </row>
    <row r="523">
      <c r="A523" s="3" t="s">
        <v>1937</v>
      </c>
      <c r="B523" s="3" t="s">
        <v>19</v>
      </c>
      <c r="C523" s="3" t="s">
        <v>471</v>
      </c>
      <c r="D523" s="3" t="s">
        <v>44</v>
      </c>
      <c r="E523" s="3" t="s">
        <v>45</v>
      </c>
    </row>
    <row r="524">
      <c r="A524" s="3" t="s">
        <v>1939</v>
      </c>
      <c r="B524" s="3" t="s">
        <v>19</v>
      </c>
      <c r="C524" s="3" t="s">
        <v>478</v>
      </c>
      <c r="D524" s="3" t="s">
        <v>44</v>
      </c>
      <c r="E524" s="3" t="s">
        <v>45</v>
      </c>
    </row>
    <row r="525">
      <c r="A525" s="3" t="s">
        <v>1941</v>
      </c>
      <c r="B525" s="3" t="s">
        <v>19</v>
      </c>
      <c r="C525" s="3" t="s">
        <v>484</v>
      </c>
      <c r="D525" s="3" t="s">
        <v>33</v>
      </c>
      <c r="E525" s="3" t="s">
        <v>658</v>
      </c>
    </row>
    <row r="526">
      <c r="A526" s="3" t="s">
        <v>1943</v>
      </c>
      <c r="B526" s="3" t="s">
        <v>19</v>
      </c>
      <c r="C526" s="3" t="s">
        <v>471</v>
      </c>
      <c r="D526" s="3" t="s">
        <v>33</v>
      </c>
      <c r="E526" s="3" t="s">
        <v>916</v>
      </c>
    </row>
    <row r="527">
      <c r="A527" s="3" t="s">
        <v>1946</v>
      </c>
      <c r="B527" s="3" t="s">
        <v>19</v>
      </c>
      <c r="C527" s="3" t="s">
        <v>478</v>
      </c>
      <c r="D527" s="3" t="s">
        <v>33</v>
      </c>
      <c r="E527" s="3" t="s">
        <v>293</v>
      </c>
    </row>
    <row r="528">
      <c r="A528" s="3" t="s">
        <v>1950</v>
      </c>
      <c r="B528" s="3" t="s">
        <v>19</v>
      </c>
      <c r="C528" s="3" t="s">
        <v>484</v>
      </c>
      <c r="D528" s="3" t="s">
        <v>33</v>
      </c>
      <c r="E528" s="3" t="s">
        <v>1030</v>
      </c>
    </row>
    <row r="529">
      <c r="A529" s="3" t="s">
        <v>1951</v>
      </c>
      <c r="B529" s="3" t="s">
        <v>19</v>
      </c>
      <c r="C529" s="3" t="s">
        <v>471</v>
      </c>
      <c r="D529" s="3" t="s">
        <v>33</v>
      </c>
      <c r="E529" s="3" t="s">
        <v>1040</v>
      </c>
    </row>
    <row r="530">
      <c r="A530" s="3" t="s">
        <v>1954</v>
      </c>
      <c r="B530" s="3" t="s">
        <v>19</v>
      </c>
      <c r="C530" s="3" t="s">
        <v>478</v>
      </c>
      <c r="D530" s="3" t="s">
        <v>44</v>
      </c>
      <c r="E530" s="3" t="s">
        <v>45</v>
      </c>
    </row>
    <row r="531">
      <c r="A531" s="3" t="s">
        <v>1956</v>
      </c>
      <c r="B531" s="3" t="s">
        <v>19</v>
      </c>
      <c r="C531" s="3" t="s">
        <v>484</v>
      </c>
      <c r="D531" s="3" t="s">
        <v>33</v>
      </c>
      <c r="E531" s="3" t="s">
        <v>926</v>
      </c>
    </row>
    <row r="532">
      <c r="A532" s="3" t="s">
        <v>1958</v>
      </c>
      <c r="B532" s="3" t="s">
        <v>19</v>
      </c>
      <c r="C532" s="3" t="s">
        <v>471</v>
      </c>
      <c r="D532" s="3" t="s">
        <v>33</v>
      </c>
      <c r="E532" s="3" t="s">
        <v>186</v>
      </c>
    </row>
    <row r="533">
      <c r="A533" s="3" t="s">
        <v>1961</v>
      </c>
      <c r="B533" s="3" t="s">
        <v>19</v>
      </c>
      <c r="C533" s="3" t="s">
        <v>478</v>
      </c>
      <c r="D533" s="3" t="s">
        <v>44</v>
      </c>
      <c r="E533" s="3" t="s">
        <v>45</v>
      </c>
    </row>
    <row r="534">
      <c r="A534" s="3" t="s">
        <v>1963</v>
      </c>
      <c r="B534" s="3" t="s">
        <v>19</v>
      </c>
      <c r="C534" s="3" t="s">
        <v>484</v>
      </c>
      <c r="D534" s="3" t="s">
        <v>44</v>
      </c>
      <c r="E534" s="3" t="s">
        <v>45</v>
      </c>
    </row>
    <row r="535">
      <c r="A535" s="3" t="s">
        <v>1966</v>
      </c>
      <c r="B535" s="3" t="s">
        <v>19</v>
      </c>
      <c r="C535" s="3" t="s">
        <v>471</v>
      </c>
      <c r="D535" s="3" t="s">
        <v>33</v>
      </c>
      <c r="E535" s="3" t="s">
        <v>151</v>
      </c>
    </row>
    <row r="536">
      <c r="A536" s="3" t="s">
        <v>1968</v>
      </c>
      <c r="B536" s="3" t="s">
        <v>19</v>
      </c>
      <c r="C536" s="3" t="s">
        <v>478</v>
      </c>
      <c r="D536" s="3" t="s">
        <v>33</v>
      </c>
      <c r="E536" s="3" t="s">
        <v>920</v>
      </c>
    </row>
    <row r="537">
      <c r="A537" s="3" t="s">
        <v>1969</v>
      </c>
      <c r="B537" s="3" t="s">
        <v>19</v>
      </c>
      <c r="C537" s="3" t="s">
        <v>484</v>
      </c>
      <c r="D537" s="3" t="s">
        <v>33</v>
      </c>
      <c r="E537" s="3" t="s">
        <v>1049</v>
      </c>
    </row>
    <row r="538">
      <c r="A538" s="3" t="s">
        <v>1971</v>
      </c>
      <c r="B538" s="3" t="s">
        <v>19</v>
      </c>
      <c r="C538" s="3" t="s">
        <v>471</v>
      </c>
      <c r="D538" s="3" t="s">
        <v>33</v>
      </c>
      <c r="E538" s="3" t="s">
        <v>239</v>
      </c>
    </row>
    <row r="539">
      <c r="A539" s="3" t="s">
        <v>1973</v>
      </c>
      <c r="B539" s="3" t="s">
        <v>19</v>
      </c>
      <c r="C539" s="3" t="s">
        <v>478</v>
      </c>
      <c r="D539" s="3" t="s">
        <v>44</v>
      </c>
      <c r="E539" s="3" t="s">
        <v>45</v>
      </c>
    </row>
    <row r="540">
      <c r="A540" s="3" t="s">
        <v>1975</v>
      </c>
      <c r="B540" s="3" t="s">
        <v>19</v>
      </c>
      <c r="C540" s="3" t="s">
        <v>484</v>
      </c>
      <c r="D540" s="3" t="s">
        <v>33</v>
      </c>
      <c r="E540" s="3" t="s">
        <v>326</v>
      </c>
    </row>
    <row r="541">
      <c r="A541" s="3" t="s">
        <v>1979</v>
      </c>
      <c r="B541" s="3" t="s">
        <v>19</v>
      </c>
      <c r="C541" s="3" t="s">
        <v>471</v>
      </c>
      <c r="D541" s="3" t="s">
        <v>44</v>
      </c>
      <c r="E541" s="3" t="s">
        <v>45</v>
      </c>
    </row>
    <row r="542">
      <c r="A542" s="3" t="s">
        <v>1981</v>
      </c>
      <c r="B542" s="3" t="s">
        <v>19</v>
      </c>
      <c r="C542" s="3" t="s">
        <v>478</v>
      </c>
      <c r="D542" s="3" t="s">
        <v>33</v>
      </c>
      <c r="E542" s="3" t="s">
        <v>906</v>
      </c>
    </row>
    <row r="543">
      <c r="A543" s="3" t="s">
        <v>1983</v>
      </c>
      <c r="B543" s="3" t="s">
        <v>19</v>
      </c>
      <c r="C543" s="3" t="s">
        <v>484</v>
      </c>
      <c r="D543" s="3" t="s">
        <v>33</v>
      </c>
      <c r="E543" s="3" t="s">
        <v>793</v>
      </c>
    </row>
    <row r="544">
      <c r="A544" s="3" t="s">
        <v>1985</v>
      </c>
      <c r="B544" s="3" t="s">
        <v>19</v>
      </c>
      <c r="C544" s="3" t="s">
        <v>471</v>
      </c>
      <c r="D544" s="3" t="s">
        <v>33</v>
      </c>
      <c r="E544" s="3" t="s">
        <v>193</v>
      </c>
    </row>
    <row r="545">
      <c r="A545" s="3" t="s">
        <v>1988</v>
      </c>
      <c r="B545" s="3" t="s">
        <v>19</v>
      </c>
      <c r="C545" s="3" t="s">
        <v>478</v>
      </c>
      <c r="D545" s="3" t="s">
        <v>44</v>
      </c>
      <c r="E545" s="3" t="s">
        <v>45</v>
      </c>
    </row>
    <row r="546">
      <c r="A546" s="3" t="s">
        <v>1989</v>
      </c>
      <c r="B546" s="3" t="s">
        <v>19</v>
      </c>
      <c r="C546" s="3" t="s">
        <v>484</v>
      </c>
      <c r="D546" s="3" t="s">
        <v>44</v>
      </c>
      <c r="E546" s="3" t="s">
        <v>45</v>
      </c>
    </row>
    <row r="547">
      <c r="A547" s="3" t="s">
        <v>1992</v>
      </c>
      <c r="B547" s="3" t="s">
        <v>19</v>
      </c>
      <c r="C547" s="3" t="s">
        <v>471</v>
      </c>
      <c r="D547" s="3" t="s">
        <v>33</v>
      </c>
      <c r="E547" s="3" t="s">
        <v>554</v>
      </c>
    </row>
    <row r="548">
      <c r="A548" s="3" t="s">
        <v>1993</v>
      </c>
      <c r="B548" s="3" t="s">
        <v>19</v>
      </c>
      <c r="C548" s="3" t="s">
        <v>478</v>
      </c>
      <c r="D548" s="3" t="s">
        <v>33</v>
      </c>
      <c r="E548" s="3" t="s">
        <v>947</v>
      </c>
    </row>
    <row r="549">
      <c r="A549" s="3" t="s">
        <v>1997</v>
      </c>
      <c r="B549" s="3" t="s">
        <v>19</v>
      </c>
      <c r="C549" s="3" t="s">
        <v>484</v>
      </c>
      <c r="D549" s="3" t="s">
        <v>33</v>
      </c>
      <c r="E549" s="3" t="s">
        <v>662</v>
      </c>
    </row>
    <row r="550">
      <c r="A550" s="3" t="s">
        <v>1999</v>
      </c>
      <c r="B550" s="3" t="s">
        <v>19</v>
      </c>
      <c r="C550" s="3" t="s">
        <v>471</v>
      </c>
      <c r="D550" s="3" t="s">
        <v>33</v>
      </c>
      <c r="E550" s="3" t="s">
        <v>937</v>
      </c>
    </row>
    <row r="551">
      <c r="A551" s="3" t="s">
        <v>2001</v>
      </c>
      <c r="B551" s="3" t="s">
        <v>19</v>
      </c>
      <c r="C551" s="3" t="s">
        <v>478</v>
      </c>
      <c r="D551" s="3" t="s">
        <v>33</v>
      </c>
      <c r="E551" s="3" t="s">
        <v>1008</v>
      </c>
    </row>
    <row r="552">
      <c r="A552" s="3" t="s">
        <v>2004</v>
      </c>
      <c r="B552" s="3" t="s">
        <v>19</v>
      </c>
      <c r="C552" s="3" t="s">
        <v>484</v>
      </c>
      <c r="D552" s="3" t="s">
        <v>33</v>
      </c>
      <c r="E552" s="3" t="s">
        <v>853</v>
      </c>
    </row>
    <row r="553">
      <c r="A553" s="3" t="s">
        <v>2006</v>
      </c>
      <c r="B553" s="3" t="s">
        <v>19</v>
      </c>
      <c r="C553" s="3" t="s">
        <v>471</v>
      </c>
      <c r="D553" s="3" t="s">
        <v>44</v>
      </c>
      <c r="E553" s="3" t="s">
        <v>45</v>
      </c>
    </row>
    <row r="554">
      <c r="A554" s="3" t="s">
        <v>2009</v>
      </c>
      <c r="B554" s="3" t="s">
        <v>19</v>
      </c>
      <c r="C554" s="3" t="s">
        <v>478</v>
      </c>
      <c r="D554" s="3" t="s">
        <v>44</v>
      </c>
      <c r="E554" s="3" t="s">
        <v>45</v>
      </c>
    </row>
    <row r="555">
      <c r="A555" s="3" t="s">
        <v>2013</v>
      </c>
      <c r="B555" s="3" t="s">
        <v>19</v>
      </c>
      <c r="C555" s="3" t="s">
        <v>484</v>
      </c>
      <c r="D555" s="3" t="s">
        <v>33</v>
      </c>
      <c r="E555" s="3" t="s">
        <v>460</v>
      </c>
    </row>
    <row r="556">
      <c r="A556" s="3" t="s">
        <v>2018</v>
      </c>
      <c r="B556" s="3" t="s">
        <v>19</v>
      </c>
      <c r="C556" s="3" t="s">
        <v>471</v>
      </c>
      <c r="D556" s="3" t="s">
        <v>33</v>
      </c>
      <c r="E556" s="3" t="s">
        <v>860</v>
      </c>
    </row>
    <row r="557">
      <c r="A557" s="3" t="s">
        <v>2020</v>
      </c>
      <c r="B557" s="3" t="s">
        <v>19</v>
      </c>
      <c r="C557" s="3" t="s">
        <v>478</v>
      </c>
      <c r="D557" s="3" t="s">
        <v>44</v>
      </c>
      <c r="E557" s="3" t="s">
        <v>45</v>
      </c>
    </row>
    <row r="558">
      <c r="A558" s="3" t="s">
        <v>2021</v>
      </c>
      <c r="B558" s="3" t="s">
        <v>19</v>
      </c>
      <c r="C558" s="3" t="s">
        <v>484</v>
      </c>
      <c r="D558" s="3" t="s">
        <v>33</v>
      </c>
      <c r="E558" s="3" t="s">
        <v>215</v>
      </c>
    </row>
    <row r="559">
      <c r="A559" s="3" t="s">
        <v>2023</v>
      </c>
      <c r="B559" s="3" t="s">
        <v>19</v>
      </c>
      <c r="C559" s="3" t="s">
        <v>471</v>
      </c>
      <c r="D559" s="3" t="s">
        <v>33</v>
      </c>
      <c r="E559" s="3" t="s">
        <v>380</v>
      </c>
    </row>
    <row r="560">
      <c r="A560" s="3" t="s">
        <v>2024</v>
      </c>
      <c r="B560" s="3" t="s">
        <v>19</v>
      </c>
      <c r="C560" s="3" t="s">
        <v>478</v>
      </c>
      <c r="D560" s="3" t="s">
        <v>33</v>
      </c>
      <c r="E560" s="3" t="s">
        <v>404</v>
      </c>
    </row>
    <row r="561">
      <c r="A561" s="3" t="s">
        <v>2025</v>
      </c>
      <c r="B561" s="3" t="s">
        <v>19</v>
      </c>
      <c r="C561" s="3" t="s">
        <v>484</v>
      </c>
      <c r="D561" s="3" t="s">
        <v>44</v>
      </c>
      <c r="E561" s="3" t="s">
        <v>45</v>
      </c>
    </row>
    <row r="562">
      <c r="A562" s="3" t="s">
        <v>2028</v>
      </c>
      <c r="B562" s="3" t="s">
        <v>19</v>
      </c>
      <c r="C562" s="3" t="s">
        <v>471</v>
      </c>
      <c r="D562" s="3" t="s">
        <v>33</v>
      </c>
      <c r="E562" s="3" t="s">
        <v>366</v>
      </c>
    </row>
    <row r="563">
      <c r="A563" s="3" t="s">
        <v>2030</v>
      </c>
      <c r="B563" s="3" t="s">
        <v>19</v>
      </c>
      <c r="C563" s="3" t="s">
        <v>478</v>
      </c>
      <c r="D563" s="3" t="s">
        <v>44</v>
      </c>
      <c r="E563" s="3" t="s">
        <v>45</v>
      </c>
    </row>
    <row r="564">
      <c r="A564" s="3" t="s">
        <v>2032</v>
      </c>
      <c r="B564" s="3" t="s">
        <v>19</v>
      </c>
      <c r="C564" s="3" t="s">
        <v>484</v>
      </c>
      <c r="D564" s="3" t="s">
        <v>33</v>
      </c>
      <c r="E564" s="3" t="s">
        <v>479</v>
      </c>
    </row>
    <row r="565">
      <c r="A565" s="3" t="s">
        <v>2034</v>
      </c>
      <c r="B565" s="3" t="s">
        <v>19</v>
      </c>
      <c r="C565" s="3" t="s">
        <v>471</v>
      </c>
      <c r="D565" s="3" t="s">
        <v>33</v>
      </c>
      <c r="E565" s="3" t="s">
        <v>541</v>
      </c>
    </row>
    <row r="566">
      <c r="A566" s="3" t="s">
        <v>2037</v>
      </c>
      <c r="B566" s="3" t="s">
        <v>19</v>
      </c>
      <c r="C566" s="3" t="s">
        <v>478</v>
      </c>
      <c r="D566" s="3" t="s">
        <v>33</v>
      </c>
      <c r="E566" s="3" t="s">
        <v>1021</v>
      </c>
    </row>
    <row r="567">
      <c r="A567" s="3" t="s">
        <v>2039</v>
      </c>
      <c r="B567" s="3" t="s">
        <v>19</v>
      </c>
      <c r="C567" s="3" t="s">
        <v>484</v>
      </c>
      <c r="D567" s="3" t="s">
        <v>44</v>
      </c>
      <c r="E567" s="3" t="s">
        <v>45</v>
      </c>
    </row>
    <row r="568">
      <c r="A568" s="3" t="s">
        <v>2041</v>
      </c>
      <c r="B568" s="3" t="s">
        <v>19</v>
      </c>
      <c r="C568" s="3" t="s">
        <v>471</v>
      </c>
      <c r="D568" s="3" t="s">
        <v>33</v>
      </c>
      <c r="E568" s="3" t="s">
        <v>230</v>
      </c>
    </row>
    <row r="569">
      <c r="A569" s="3" t="s">
        <v>2044</v>
      </c>
      <c r="B569" s="3" t="s">
        <v>19</v>
      </c>
      <c r="C569" s="3" t="s">
        <v>478</v>
      </c>
      <c r="D569" s="3" t="s">
        <v>33</v>
      </c>
      <c r="E569" s="3" t="s">
        <v>913</v>
      </c>
    </row>
    <row r="570">
      <c r="A570" s="3" t="s">
        <v>2047</v>
      </c>
      <c r="B570" s="3" t="s">
        <v>19</v>
      </c>
      <c r="C570" s="3" t="s">
        <v>484</v>
      </c>
      <c r="D570" s="3" t="s">
        <v>44</v>
      </c>
      <c r="E570" s="3" t="s">
        <v>45</v>
      </c>
    </row>
    <row r="571">
      <c r="A571" s="3" t="s">
        <v>2050</v>
      </c>
      <c r="B571" s="3" t="s">
        <v>19</v>
      </c>
      <c r="C571" s="3" t="s">
        <v>471</v>
      </c>
      <c r="D571" s="3" t="s">
        <v>44</v>
      </c>
      <c r="E571" s="3" t="s">
        <v>45</v>
      </c>
    </row>
    <row r="572">
      <c r="A572" s="3" t="s">
        <v>2052</v>
      </c>
      <c r="B572" s="3" t="s">
        <v>19</v>
      </c>
      <c r="C572" s="3" t="s">
        <v>478</v>
      </c>
      <c r="D572" s="3" t="s">
        <v>33</v>
      </c>
      <c r="E572" s="3" t="s">
        <v>359</v>
      </c>
    </row>
    <row r="573">
      <c r="A573" s="3" t="s">
        <v>2056</v>
      </c>
      <c r="B573" s="3" t="s">
        <v>19</v>
      </c>
      <c r="C573" s="3" t="s">
        <v>484</v>
      </c>
      <c r="D573" s="3" t="s">
        <v>44</v>
      </c>
      <c r="E573" s="3" t="s">
        <v>45</v>
      </c>
    </row>
    <row r="574">
      <c r="A574" s="3" t="s">
        <v>2059</v>
      </c>
      <c r="B574" s="3" t="s">
        <v>19</v>
      </c>
      <c r="C574" s="3" t="s">
        <v>471</v>
      </c>
      <c r="D574" s="3" t="s">
        <v>33</v>
      </c>
      <c r="E574" s="3" t="s">
        <v>752</v>
      </c>
    </row>
    <row r="575">
      <c r="A575" s="3" t="s">
        <v>2062</v>
      </c>
      <c r="B575" s="3" t="s">
        <v>19</v>
      </c>
      <c r="C575" s="3" t="s">
        <v>478</v>
      </c>
      <c r="D575" s="3" t="s">
        <v>33</v>
      </c>
      <c r="E575" s="3" t="s">
        <v>307</v>
      </c>
    </row>
    <row r="576">
      <c r="A576" s="3" t="s">
        <v>2064</v>
      </c>
      <c r="B576" s="3" t="s">
        <v>19</v>
      </c>
      <c r="C576" s="3" t="s">
        <v>484</v>
      </c>
      <c r="D576" s="3" t="s">
        <v>33</v>
      </c>
      <c r="E576" s="3" t="s">
        <v>557</v>
      </c>
    </row>
    <row r="577">
      <c r="A577" s="3" t="s">
        <v>2067</v>
      </c>
      <c r="B577" s="3" t="s">
        <v>19</v>
      </c>
      <c r="C577" s="3" t="s">
        <v>471</v>
      </c>
      <c r="D577" s="3" t="s">
        <v>33</v>
      </c>
      <c r="E577" s="3" t="s">
        <v>785</v>
      </c>
    </row>
    <row r="578">
      <c r="A578" s="3" t="s">
        <v>2069</v>
      </c>
      <c r="B578" s="3" t="s">
        <v>19</v>
      </c>
      <c r="C578" s="3" t="s">
        <v>478</v>
      </c>
      <c r="D578" s="3" t="s">
        <v>44</v>
      </c>
      <c r="E578" s="3" t="s">
        <v>45</v>
      </c>
    </row>
    <row r="579">
      <c r="A579" s="3" t="s">
        <v>2072</v>
      </c>
      <c r="B579" s="3" t="s">
        <v>19</v>
      </c>
      <c r="C579" s="3" t="s">
        <v>484</v>
      </c>
      <c r="D579" s="3" t="s">
        <v>33</v>
      </c>
      <c r="E579" s="3" t="s">
        <v>565</v>
      </c>
    </row>
    <row r="580">
      <c r="A580" s="3" t="s">
        <v>2074</v>
      </c>
      <c r="B580" s="3" t="s">
        <v>19</v>
      </c>
      <c r="C580" s="3" t="s">
        <v>471</v>
      </c>
      <c r="D580" s="3" t="s">
        <v>44</v>
      </c>
      <c r="E580" s="3" t="s">
        <v>45</v>
      </c>
    </row>
    <row r="581">
      <c r="A581" s="3" t="s">
        <v>2077</v>
      </c>
      <c r="B581" s="3" t="s">
        <v>19</v>
      </c>
      <c r="C581" s="3" t="s">
        <v>478</v>
      </c>
      <c r="D581" s="3" t="s">
        <v>33</v>
      </c>
      <c r="E581" s="3" t="s">
        <v>391</v>
      </c>
    </row>
    <row r="582">
      <c r="A582" s="3" t="s">
        <v>2079</v>
      </c>
      <c r="B582" s="3" t="s">
        <v>19</v>
      </c>
      <c r="C582" s="3" t="s">
        <v>484</v>
      </c>
      <c r="D582" s="3" t="s">
        <v>33</v>
      </c>
      <c r="E582" s="3" t="s">
        <v>524</v>
      </c>
    </row>
    <row r="583">
      <c r="A583" s="3" t="s">
        <v>2081</v>
      </c>
      <c r="B583" s="3" t="s">
        <v>19</v>
      </c>
      <c r="C583" s="3" t="s">
        <v>471</v>
      </c>
      <c r="D583" s="3" t="s">
        <v>44</v>
      </c>
      <c r="E583" s="3" t="s">
        <v>45</v>
      </c>
    </row>
    <row r="584">
      <c r="A584" s="3" t="s">
        <v>2083</v>
      </c>
      <c r="B584" s="3" t="s">
        <v>19</v>
      </c>
      <c r="C584" s="3" t="s">
        <v>478</v>
      </c>
      <c r="D584" s="3" t="s">
        <v>44</v>
      </c>
      <c r="E584" s="3" t="s">
        <v>45</v>
      </c>
    </row>
    <row r="585">
      <c r="A585" s="3" t="s">
        <v>2085</v>
      </c>
      <c r="B585" s="3" t="s">
        <v>19</v>
      </c>
      <c r="C585" s="3" t="s">
        <v>484</v>
      </c>
      <c r="D585" s="3" t="s">
        <v>44</v>
      </c>
      <c r="E585" s="3" t="s">
        <v>45</v>
      </c>
    </row>
    <row r="586">
      <c r="A586" s="3" t="s">
        <v>2088</v>
      </c>
      <c r="B586" s="3" t="s">
        <v>19</v>
      </c>
      <c r="C586" s="3" t="s">
        <v>471</v>
      </c>
      <c r="D586" s="3" t="s">
        <v>33</v>
      </c>
      <c r="E586" s="3" t="s">
        <v>488</v>
      </c>
    </row>
    <row r="587">
      <c r="A587" s="3" t="s">
        <v>2091</v>
      </c>
      <c r="B587" s="3" t="s">
        <v>19</v>
      </c>
      <c r="C587" s="3" t="s">
        <v>478</v>
      </c>
      <c r="D587" s="3" t="s">
        <v>33</v>
      </c>
      <c r="E587" s="3" t="s">
        <v>440</v>
      </c>
    </row>
    <row r="588">
      <c r="A588" s="3" t="s">
        <v>2093</v>
      </c>
      <c r="B588" s="3" t="s">
        <v>19</v>
      </c>
      <c r="C588" s="3" t="s">
        <v>484</v>
      </c>
      <c r="D588" s="3" t="s">
        <v>33</v>
      </c>
      <c r="E588" s="3" t="s">
        <v>302</v>
      </c>
    </row>
    <row r="589">
      <c r="A589" s="3" t="s">
        <v>2096</v>
      </c>
      <c r="B589" s="3" t="s">
        <v>19</v>
      </c>
      <c r="C589" s="3" t="s">
        <v>471</v>
      </c>
      <c r="D589" s="3" t="s">
        <v>44</v>
      </c>
      <c r="E589" s="3" t="s">
        <v>45</v>
      </c>
    </row>
    <row r="590">
      <c r="A590" s="3" t="s">
        <v>2099</v>
      </c>
      <c r="B590" s="3" t="s">
        <v>19</v>
      </c>
      <c r="C590" s="3" t="s">
        <v>478</v>
      </c>
      <c r="D590" s="3" t="s">
        <v>33</v>
      </c>
      <c r="E590" s="3" t="s">
        <v>527</v>
      </c>
    </row>
    <row r="591">
      <c r="A591" s="3" t="s">
        <v>2101</v>
      </c>
      <c r="B591" s="3" t="s">
        <v>19</v>
      </c>
      <c r="C591" s="3" t="s">
        <v>484</v>
      </c>
      <c r="D591" s="3" t="s">
        <v>33</v>
      </c>
      <c r="E591" s="3" t="s">
        <v>976</v>
      </c>
    </row>
    <row r="592">
      <c r="A592" s="3" t="s">
        <v>2103</v>
      </c>
      <c r="B592" s="3" t="s">
        <v>19</v>
      </c>
      <c r="C592" s="3" t="s">
        <v>471</v>
      </c>
      <c r="D592" s="3" t="s">
        <v>33</v>
      </c>
      <c r="E592" s="3" t="s">
        <v>574</v>
      </c>
    </row>
    <row r="593">
      <c r="A593" s="3" t="s">
        <v>2105</v>
      </c>
      <c r="B593" s="3" t="s">
        <v>19</v>
      </c>
      <c r="C593" s="3" t="s">
        <v>478</v>
      </c>
      <c r="D593" s="3" t="s">
        <v>33</v>
      </c>
      <c r="E593" s="3" t="s">
        <v>972</v>
      </c>
    </row>
    <row r="594">
      <c r="A594" s="3" t="s">
        <v>2108</v>
      </c>
      <c r="B594" s="3" t="s">
        <v>19</v>
      </c>
      <c r="C594" s="3" t="s">
        <v>484</v>
      </c>
      <c r="D594" s="3" t="s">
        <v>44</v>
      </c>
      <c r="E594" s="3" t="s">
        <v>45</v>
      </c>
    </row>
    <row r="595">
      <c r="A595" s="3" t="s">
        <v>2111</v>
      </c>
      <c r="B595" s="3" t="s">
        <v>19</v>
      </c>
      <c r="C595" s="3" t="s">
        <v>471</v>
      </c>
      <c r="D595" s="3" t="s">
        <v>33</v>
      </c>
      <c r="E595" s="3" t="s">
        <v>377</v>
      </c>
    </row>
    <row r="596">
      <c r="A596" s="3" t="s">
        <v>2113</v>
      </c>
      <c r="B596" s="3" t="s">
        <v>19</v>
      </c>
      <c r="C596" s="3" t="s">
        <v>478</v>
      </c>
      <c r="D596" s="3" t="s">
        <v>44</v>
      </c>
      <c r="E596" s="3" t="s">
        <v>45</v>
      </c>
    </row>
    <row r="597">
      <c r="A597" s="3" t="s">
        <v>2115</v>
      </c>
      <c r="B597" s="3" t="s">
        <v>19</v>
      </c>
      <c r="C597" s="3" t="s">
        <v>484</v>
      </c>
      <c r="D597" s="3" t="s">
        <v>33</v>
      </c>
      <c r="E597" s="3" t="s">
        <v>123</v>
      </c>
    </row>
    <row r="598">
      <c r="A598" s="3" t="s">
        <v>2118</v>
      </c>
      <c r="B598" s="3" t="s">
        <v>19</v>
      </c>
      <c r="C598" s="3" t="s">
        <v>471</v>
      </c>
      <c r="D598" s="3" t="s">
        <v>33</v>
      </c>
      <c r="E598" s="3" t="s">
        <v>505</v>
      </c>
    </row>
    <row r="599">
      <c r="A599" s="3" t="s">
        <v>2120</v>
      </c>
      <c r="B599" s="3" t="s">
        <v>19</v>
      </c>
      <c r="C599" s="3" t="s">
        <v>478</v>
      </c>
      <c r="D599" s="3" t="s">
        <v>33</v>
      </c>
      <c r="E599" s="3" t="s">
        <v>961</v>
      </c>
    </row>
    <row r="600">
      <c r="A600" s="3" t="s">
        <v>2123</v>
      </c>
      <c r="B600" s="3" t="s">
        <v>19</v>
      </c>
      <c r="C600" s="3" t="s">
        <v>484</v>
      </c>
      <c r="D600" s="3" t="s">
        <v>33</v>
      </c>
      <c r="E600" s="3" t="s">
        <v>934</v>
      </c>
    </row>
    <row r="601">
      <c r="A601" s="3" t="s">
        <v>2126</v>
      </c>
      <c r="B601" s="3" t="s">
        <v>19</v>
      </c>
      <c r="C601" s="3" t="s">
        <v>471</v>
      </c>
      <c r="D601" s="3" t="s">
        <v>33</v>
      </c>
      <c r="E601" s="3" t="s">
        <v>601</v>
      </c>
    </row>
    <row r="602">
      <c r="D602" s="9"/>
    </row>
    <row r="603">
      <c r="D603" s="9"/>
    </row>
    <row r="604">
      <c r="D604" s="9"/>
    </row>
    <row r="605">
      <c r="D605" s="9"/>
    </row>
    <row r="606">
      <c r="D606" s="9"/>
    </row>
    <row r="607">
      <c r="D607" s="9"/>
    </row>
    <row r="608">
      <c r="D608" s="9"/>
    </row>
    <row r="609">
      <c r="D609" s="9"/>
    </row>
    <row r="610">
      <c r="D610" s="9"/>
    </row>
    <row r="611">
      <c r="D611" s="9"/>
    </row>
    <row r="612">
      <c r="D612" s="9"/>
    </row>
    <row r="613">
      <c r="D613" s="9"/>
    </row>
    <row r="614">
      <c r="D614" s="9"/>
    </row>
    <row r="615">
      <c r="D615" s="9"/>
    </row>
    <row r="616">
      <c r="D616" s="9"/>
    </row>
    <row r="617">
      <c r="D617" s="9"/>
    </row>
    <row r="618">
      <c r="D618" s="9"/>
    </row>
    <row r="619">
      <c r="D619" s="9"/>
    </row>
    <row r="620">
      <c r="D620" s="9"/>
    </row>
    <row r="621">
      <c r="D621" s="9"/>
    </row>
    <row r="622">
      <c r="D622" s="9"/>
    </row>
    <row r="623">
      <c r="D623" s="9"/>
    </row>
    <row r="624">
      <c r="D624" s="9"/>
    </row>
    <row r="625">
      <c r="D625" s="9"/>
    </row>
    <row r="626">
      <c r="D626" s="9"/>
    </row>
    <row r="627">
      <c r="D627" s="9"/>
    </row>
    <row r="628">
      <c r="D628" s="9"/>
    </row>
    <row r="629">
      <c r="D629" s="9"/>
    </row>
    <row r="630">
      <c r="D630" s="9"/>
    </row>
    <row r="631">
      <c r="D631" s="9"/>
    </row>
    <row r="632">
      <c r="D632" s="9"/>
    </row>
    <row r="633">
      <c r="D633" s="9"/>
    </row>
    <row r="634">
      <c r="D634" s="9"/>
    </row>
    <row r="635">
      <c r="D635" s="9"/>
    </row>
    <row r="636">
      <c r="D636" s="9"/>
    </row>
    <row r="637">
      <c r="D637" s="9"/>
    </row>
    <row r="638">
      <c r="D638" s="9"/>
    </row>
    <row r="639">
      <c r="D639" s="9"/>
    </row>
    <row r="640">
      <c r="D640" s="9"/>
    </row>
    <row r="641">
      <c r="D641" s="9"/>
    </row>
    <row r="642">
      <c r="D642" s="9"/>
    </row>
    <row r="643">
      <c r="D643" s="9"/>
    </row>
    <row r="644">
      <c r="D644" s="9"/>
    </row>
    <row r="645">
      <c r="D645" s="9"/>
    </row>
    <row r="646">
      <c r="D646" s="9"/>
    </row>
    <row r="647">
      <c r="D647" s="9"/>
    </row>
    <row r="648">
      <c r="D648" s="9"/>
    </row>
    <row r="649">
      <c r="D649" s="9"/>
    </row>
    <row r="650">
      <c r="D650" s="9"/>
    </row>
    <row r="651">
      <c r="D651" s="9"/>
    </row>
    <row r="652">
      <c r="D652" s="9"/>
    </row>
    <row r="653">
      <c r="D653" s="9"/>
    </row>
    <row r="654">
      <c r="D654" s="9"/>
    </row>
    <row r="655">
      <c r="D655" s="9"/>
    </row>
    <row r="656">
      <c r="D656" s="9"/>
    </row>
    <row r="657">
      <c r="D657" s="9"/>
    </row>
    <row r="658">
      <c r="D658" s="9"/>
    </row>
    <row r="659">
      <c r="D659" s="9"/>
    </row>
    <row r="660">
      <c r="D660" s="9"/>
    </row>
    <row r="661">
      <c r="D661" s="9"/>
    </row>
    <row r="662">
      <c r="D662" s="9"/>
    </row>
    <row r="663">
      <c r="D663" s="9"/>
    </row>
    <row r="664">
      <c r="D664" s="9"/>
    </row>
    <row r="665">
      <c r="D665" s="9"/>
    </row>
    <row r="666">
      <c r="D666" s="9"/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  <row r="878">
      <c r="D878" s="9"/>
    </row>
    <row r="879">
      <c r="D879" s="9"/>
    </row>
    <row r="880">
      <c r="D880" s="9"/>
    </row>
    <row r="881">
      <c r="D881" s="9"/>
    </row>
    <row r="882">
      <c r="D882" s="9"/>
    </row>
    <row r="883">
      <c r="D883" s="9"/>
    </row>
    <row r="884">
      <c r="D884" s="9"/>
    </row>
    <row r="885">
      <c r="D885" s="9"/>
    </row>
    <row r="886">
      <c r="D886" s="9"/>
    </row>
    <row r="887">
      <c r="D887" s="9"/>
    </row>
    <row r="888">
      <c r="D888" s="9"/>
    </row>
    <row r="889">
      <c r="D889" s="9"/>
    </row>
    <row r="890">
      <c r="D890" s="9"/>
    </row>
    <row r="891">
      <c r="D891" s="9"/>
    </row>
    <row r="892">
      <c r="D892" s="9"/>
    </row>
    <row r="893">
      <c r="D893" s="9"/>
    </row>
    <row r="894">
      <c r="D894" s="9"/>
    </row>
    <row r="895">
      <c r="D895" s="9"/>
    </row>
    <row r="896">
      <c r="D896" s="9"/>
    </row>
    <row r="897">
      <c r="D897" s="9"/>
    </row>
    <row r="898">
      <c r="D898" s="9"/>
    </row>
    <row r="899">
      <c r="D899" s="9"/>
    </row>
    <row r="900">
      <c r="D900" s="9"/>
    </row>
    <row r="901">
      <c r="D901" s="9"/>
    </row>
    <row r="902">
      <c r="D902" s="9"/>
    </row>
    <row r="903">
      <c r="D903" s="9"/>
    </row>
    <row r="904">
      <c r="D904" s="9"/>
    </row>
    <row r="905">
      <c r="D905" s="9"/>
    </row>
    <row r="906">
      <c r="D906" s="9"/>
    </row>
    <row r="907">
      <c r="D907" s="9"/>
    </row>
    <row r="908">
      <c r="D908" s="9"/>
    </row>
    <row r="909">
      <c r="D909" s="9"/>
    </row>
    <row r="910">
      <c r="D910" s="9"/>
    </row>
    <row r="911">
      <c r="D911" s="9"/>
    </row>
    <row r="912">
      <c r="D912" s="9"/>
    </row>
    <row r="913">
      <c r="D913" s="9"/>
    </row>
    <row r="914">
      <c r="D914" s="9"/>
    </row>
    <row r="915">
      <c r="D915" s="9"/>
    </row>
    <row r="916">
      <c r="D916" s="9"/>
    </row>
    <row r="917">
      <c r="D917" s="9"/>
    </row>
    <row r="918">
      <c r="D918" s="9"/>
    </row>
    <row r="919">
      <c r="D919" s="9"/>
    </row>
    <row r="920">
      <c r="D920" s="9"/>
    </row>
    <row r="921">
      <c r="D921" s="9"/>
    </row>
    <row r="922">
      <c r="D922" s="9"/>
    </row>
    <row r="923">
      <c r="D923" s="9"/>
    </row>
    <row r="924">
      <c r="D924" s="9"/>
    </row>
    <row r="925">
      <c r="D925" s="9"/>
    </row>
    <row r="926">
      <c r="D926" s="9"/>
    </row>
    <row r="927">
      <c r="D927" s="9"/>
    </row>
    <row r="928">
      <c r="D928" s="9"/>
    </row>
    <row r="929">
      <c r="D929" s="9"/>
    </row>
    <row r="930">
      <c r="D930" s="9"/>
    </row>
    <row r="931">
      <c r="D931" s="9"/>
    </row>
    <row r="932">
      <c r="D932" s="9"/>
    </row>
    <row r="933">
      <c r="D933" s="9"/>
    </row>
    <row r="934">
      <c r="D934" s="9"/>
    </row>
    <row r="935">
      <c r="D935" s="9"/>
    </row>
    <row r="936">
      <c r="D936" s="9"/>
    </row>
    <row r="937">
      <c r="D937" s="9"/>
    </row>
    <row r="938">
      <c r="D938" s="9"/>
    </row>
    <row r="939">
      <c r="D939" s="9"/>
    </row>
    <row r="940">
      <c r="D940" s="9"/>
    </row>
    <row r="941">
      <c r="D941" s="9"/>
    </row>
    <row r="942">
      <c r="D942" s="9"/>
    </row>
    <row r="943">
      <c r="D943" s="9"/>
    </row>
    <row r="944">
      <c r="D944" s="9"/>
    </row>
    <row r="945">
      <c r="D945" s="9"/>
    </row>
    <row r="946">
      <c r="D946" s="9"/>
    </row>
    <row r="947">
      <c r="D947" s="9"/>
    </row>
    <row r="948">
      <c r="D948" s="9"/>
    </row>
    <row r="949">
      <c r="D949" s="9"/>
    </row>
    <row r="950">
      <c r="D950" s="9"/>
    </row>
    <row r="951">
      <c r="D951" s="9"/>
    </row>
    <row r="952">
      <c r="D952" s="9"/>
    </row>
    <row r="953">
      <c r="D953" s="9"/>
    </row>
    <row r="954">
      <c r="D954" s="9"/>
    </row>
    <row r="955">
      <c r="D955" s="9"/>
    </row>
    <row r="956">
      <c r="D956" s="9"/>
    </row>
    <row r="957">
      <c r="D957" s="9"/>
    </row>
    <row r="958">
      <c r="D958" s="9"/>
    </row>
    <row r="959">
      <c r="D959" s="9"/>
    </row>
    <row r="960">
      <c r="D960" s="9"/>
    </row>
    <row r="961">
      <c r="D961" s="9"/>
    </row>
    <row r="962">
      <c r="D962" s="9"/>
    </row>
    <row r="963">
      <c r="D963" s="9"/>
    </row>
    <row r="964">
      <c r="D964" s="9"/>
    </row>
    <row r="965">
      <c r="D965" s="9"/>
    </row>
    <row r="966">
      <c r="D966" s="9"/>
    </row>
    <row r="967">
      <c r="D967" s="9"/>
    </row>
    <row r="968">
      <c r="D968" s="9"/>
    </row>
    <row r="969">
      <c r="D969" s="9"/>
    </row>
    <row r="970">
      <c r="D970" s="9"/>
    </row>
    <row r="971">
      <c r="D971" s="9"/>
    </row>
    <row r="972">
      <c r="D972" s="9"/>
    </row>
    <row r="973">
      <c r="D973" s="9"/>
    </row>
    <row r="974">
      <c r="D974" s="9"/>
    </row>
    <row r="975">
      <c r="D975" s="9"/>
    </row>
    <row r="976">
      <c r="D976" s="9"/>
    </row>
    <row r="977">
      <c r="D977" s="9"/>
    </row>
    <row r="978">
      <c r="D978" s="9"/>
    </row>
    <row r="979">
      <c r="D979" s="9"/>
    </row>
    <row r="980">
      <c r="D980" s="9"/>
    </row>
    <row r="981">
      <c r="D981" s="9"/>
    </row>
    <row r="982">
      <c r="D982" s="9"/>
    </row>
    <row r="983">
      <c r="D983" s="9"/>
    </row>
    <row r="984">
      <c r="D984" s="9"/>
    </row>
    <row r="985">
      <c r="D985" s="9"/>
    </row>
    <row r="986">
      <c r="D986" s="9"/>
    </row>
    <row r="987">
      <c r="D987" s="9"/>
    </row>
    <row r="988">
      <c r="D988" s="9"/>
    </row>
    <row r="989">
      <c r="D989" s="9"/>
    </row>
    <row r="990">
      <c r="D990" s="9"/>
    </row>
    <row r="991">
      <c r="D991" s="9"/>
    </row>
    <row r="992">
      <c r="D992" s="9"/>
    </row>
    <row r="993">
      <c r="D993" s="9"/>
    </row>
    <row r="994">
      <c r="D994" s="9"/>
    </row>
    <row r="995">
      <c r="D995" s="9"/>
    </row>
    <row r="996">
      <c r="D996" s="9"/>
    </row>
    <row r="997">
      <c r="D997" s="9"/>
    </row>
    <row r="998">
      <c r="D998" s="9"/>
    </row>
    <row r="999">
      <c r="D999" s="9"/>
    </row>
    <row r="1000">
      <c r="D1000" s="9"/>
    </row>
  </sheetData>
  <autoFilter ref="$A$1:$E$601"/>
  <dataValidations>
    <dataValidation type="list" allowBlank="1" showErrorMessage="1" sqref="D2:D1000">
      <formula1>"Available,Assigned,In repair,Retired"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10.13"/>
    <col customWidth="1" min="3" max="4" width="13.5"/>
    <col customWidth="1" min="5" max="5" width="9.75"/>
    <col customWidth="1" min="6" max="6" width="7.0"/>
    <col customWidth="1" min="7" max="7" width="9.63"/>
  </cols>
  <sheetData>
    <row r="1">
      <c r="A1" s="1" t="s">
        <v>12</v>
      </c>
      <c r="B1" s="1" t="s">
        <v>0</v>
      </c>
      <c r="C1" s="1" t="s">
        <v>23</v>
      </c>
      <c r="D1" s="1" t="s">
        <v>11</v>
      </c>
      <c r="E1" s="1" t="s">
        <v>27</v>
      </c>
      <c r="F1" s="1" t="s">
        <v>1</v>
      </c>
      <c r="G1" s="1" t="s">
        <v>32</v>
      </c>
    </row>
    <row r="2">
      <c r="A2" s="3" t="s">
        <v>36</v>
      </c>
      <c r="B2" s="3" t="s">
        <v>10</v>
      </c>
      <c r="C2" s="3" t="s">
        <v>56</v>
      </c>
      <c r="D2" s="3" t="s">
        <v>68</v>
      </c>
      <c r="E2" s="3" t="s">
        <v>29</v>
      </c>
      <c r="F2" s="3" t="s">
        <v>18</v>
      </c>
      <c r="G2" s="7">
        <v>46309.416666666664</v>
      </c>
    </row>
    <row r="3">
      <c r="A3" s="3" t="s">
        <v>93</v>
      </c>
      <c r="B3" s="3" t="s">
        <v>42</v>
      </c>
      <c r="C3" s="3" t="s">
        <v>56</v>
      </c>
      <c r="D3" s="3" t="s">
        <v>68</v>
      </c>
      <c r="E3" s="3" t="s">
        <v>100</v>
      </c>
      <c r="F3" s="3" t="s">
        <v>49</v>
      </c>
      <c r="G3" s="7">
        <v>45761.291666666664</v>
      </c>
    </row>
    <row r="4">
      <c r="A4" s="3" t="s">
        <v>104</v>
      </c>
      <c r="B4" s="3" t="s">
        <v>46</v>
      </c>
      <c r="C4" s="3" t="s">
        <v>56</v>
      </c>
      <c r="D4" s="3" t="s">
        <v>68</v>
      </c>
      <c r="E4" s="3" t="s">
        <v>100</v>
      </c>
      <c r="F4" s="3" t="s">
        <v>58</v>
      </c>
      <c r="G4" s="7">
        <v>45766.291666666664</v>
      </c>
    </row>
    <row r="5">
      <c r="A5" s="3" t="s">
        <v>113</v>
      </c>
      <c r="B5" s="3" t="s">
        <v>50</v>
      </c>
      <c r="C5" s="3" t="s">
        <v>56</v>
      </c>
      <c r="D5" s="3" t="s">
        <v>68</v>
      </c>
      <c r="E5" s="3" t="s">
        <v>100</v>
      </c>
      <c r="F5" s="3" t="s">
        <v>64</v>
      </c>
      <c r="G5" s="7">
        <v>45771.291666666664</v>
      </c>
    </row>
    <row r="6">
      <c r="A6" s="3" t="s">
        <v>129</v>
      </c>
      <c r="B6" s="3" t="s">
        <v>54</v>
      </c>
      <c r="C6" s="3" t="s">
        <v>56</v>
      </c>
      <c r="D6" s="3" t="s">
        <v>68</v>
      </c>
      <c r="E6" s="3" t="s">
        <v>100</v>
      </c>
      <c r="F6" s="3" t="s">
        <v>71</v>
      </c>
      <c r="G6" s="7">
        <v>45776.291666666664</v>
      </c>
    </row>
    <row r="7">
      <c r="A7" s="3" t="s">
        <v>144</v>
      </c>
      <c r="B7" s="3" t="s">
        <v>59</v>
      </c>
      <c r="C7" s="3" t="s">
        <v>56</v>
      </c>
      <c r="D7" s="3" t="s">
        <v>68</v>
      </c>
      <c r="E7" s="3" t="s">
        <v>100</v>
      </c>
      <c r="F7" s="3" t="s">
        <v>78</v>
      </c>
      <c r="G7" s="7">
        <v>45781.291666666664</v>
      </c>
    </row>
    <row r="8">
      <c r="A8" s="3" t="s">
        <v>158</v>
      </c>
      <c r="B8" s="3" t="s">
        <v>62</v>
      </c>
      <c r="C8" s="3" t="s">
        <v>56</v>
      </c>
      <c r="D8" s="3" t="s">
        <v>68</v>
      </c>
      <c r="E8" s="3" t="s">
        <v>100</v>
      </c>
      <c r="F8" s="3" t="s">
        <v>87</v>
      </c>
      <c r="G8" s="7">
        <v>45786.291666666664</v>
      </c>
    </row>
    <row r="9">
      <c r="A9" s="3" t="s">
        <v>173</v>
      </c>
      <c r="B9" s="3" t="s">
        <v>65</v>
      </c>
      <c r="C9" s="3" t="s">
        <v>56</v>
      </c>
      <c r="D9" s="3" t="s">
        <v>181</v>
      </c>
      <c r="G9" s="7">
        <v>45791.291666666664</v>
      </c>
    </row>
    <row r="10">
      <c r="A10" s="3" t="s">
        <v>188</v>
      </c>
      <c r="B10" s="3" t="s">
        <v>69</v>
      </c>
      <c r="C10" s="3" t="s">
        <v>56</v>
      </c>
      <c r="D10" s="3" t="s">
        <v>195</v>
      </c>
      <c r="G10" s="7">
        <v>45796.291666666664</v>
      </c>
    </row>
    <row r="11">
      <c r="A11" s="3" t="s">
        <v>200</v>
      </c>
      <c r="B11" s="3" t="s">
        <v>72</v>
      </c>
      <c r="C11" s="3" t="s">
        <v>56</v>
      </c>
      <c r="D11" s="3" t="s">
        <v>206</v>
      </c>
      <c r="E11" s="3" t="s">
        <v>100</v>
      </c>
      <c r="G11" s="7">
        <v>46306.291666666664</v>
      </c>
    </row>
    <row r="12">
      <c r="A12" s="3" t="s">
        <v>213</v>
      </c>
      <c r="B12" s="3" t="s">
        <v>75</v>
      </c>
      <c r="C12" s="3" t="s">
        <v>56</v>
      </c>
      <c r="D12" s="3" t="s">
        <v>221</v>
      </c>
      <c r="G12" s="7">
        <v>46305.291666666664</v>
      </c>
    </row>
    <row r="13">
      <c r="A13" s="3" t="s">
        <v>228</v>
      </c>
      <c r="B13" s="3" t="s">
        <v>77</v>
      </c>
      <c r="C13" s="3" t="s">
        <v>56</v>
      </c>
      <c r="D13" s="3" t="s">
        <v>68</v>
      </c>
      <c r="E13" s="3" t="s">
        <v>100</v>
      </c>
      <c r="F13" s="3" t="s">
        <v>94</v>
      </c>
      <c r="G13" s="7">
        <v>45811.291666666664</v>
      </c>
    </row>
    <row r="14">
      <c r="A14" s="3" t="s">
        <v>246</v>
      </c>
      <c r="B14" s="3" t="s">
        <v>82</v>
      </c>
      <c r="C14" s="3" t="s">
        <v>56</v>
      </c>
      <c r="D14" s="3" t="s">
        <v>68</v>
      </c>
      <c r="E14" s="3" t="s">
        <v>100</v>
      </c>
      <c r="F14" s="3" t="s">
        <v>101</v>
      </c>
      <c r="G14" s="7">
        <v>45816.291666666664</v>
      </c>
    </row>
    <row r="15">
      <c r="A15" s="3" t="s">
        <v>258</v>
      </c>
      <c r="B15" s="3" t="s">
        <v>85</v>
      </c>
      <c r="C15" s="3" t="s">
        <v>56</v>
      </c>
      <c r="D15" s="3" t="s">
        <v>68</v>
      </c>
      <c r="E15" s="3" t="s">
        <v>100</v>
      </c>
      <c r="F15" s="3" t="s">
        <v>105</v>
      </c>
      <c r="G15" s="7">
        <v>45821.291666666664</v>
      </c>
    </row>
    <row r="16">
      <c r="A16" s="3" t="s">
        <v>275</v>
      </c>
      <c r="B16" s="3" t="s">
        <v>89</v>
      </c>
      <c r="C16" s="3" t="s">
        <v>56</v>
      </c>
      <c r="D16" s="3" t="s">
        <v>68</v>
      </c>
      <c r="E16" s="3" t="s">
        <v>100</v>
      </c>
      <c r="F16" s="3" t="s">
        <v>107</v>
      </c>
      <c r="G16" s="7">
        <v>45826.291666666664</v>
      </c>
    </row>
    <row r="17">
      <c r="A17" s="3" t="s">
        <v>289</v>
      </c>
      <c r="B17" s="3" t="s">
        <v>91</v>
      </c>
      <c r="C17" s="3" t="s">
        <v>56</v>
      </c>
      <c r="D17" s="3" t="s">
        <v>68</v>
      </c>
      <c r="E17" s="3" t="s">
        <v>100</v>
      </c>
      <c r="F17" s="3" t="s">
        <v>114</v>
      </c>
      <c r="G17" s="7">
        <v>45831.291666666664</v>
      </c>
    </row>
    <row r="18">
      <c r="A18" s="3" t="s">
        <v>306</v>
      </c>
      <c r="B18" s="3" t="s">
        <v>95</v>
      </c>
      <c r="C18" s="3" t="s">
        <v>56</v>
      </c>
      <c r="D18" s="3" t="s">
        <v>68</v>
      </c>
      <c r="E18" s="3" t="s">
        <v>100</v>
      </c>
      <c r="F18" s="3" t="s">
        <v>120</v>
      </c>
      <c r="G18" s="7">
        <v>45836.291666666664</v>
      </c>
    </row>
    <row r="19">
      <c r="A19" s="3" t="s">
        <v>325</v>
      </c>
      <c r="B19" s="3" t="s">
        <v>98</v>
      </c>
      <c r="C19" s="3" t="s">
        <v>56</v>
      </c>
      <c r="D19" s="3" t="s">
        <v>181</v>
      </c>
      <c r="G19" s="7">
        <v>45841.291666666664</v>
      </c>
    </row>
    <row r="20">
      <c r="A20" s="3" t="s">
        <v>340</v>
      </c>
      <c r="B20" s="3" t="s">
        <v>102</v>
      </c>
      <c r="C20" s="3" t="s">
        <v>56</v>
      </c>
      <c r="D20" s="3" t="s">
        <v>195</v>
      </c>
      <c r="G20" s="7">
        <v>45846.291666666664</v>
      </c>
    </row>
    <row r="21">
      <c r="A21" s="3" t="s">
        <v>353</v>
      </c>
      <c r="B21" s="3" t="s">
        <v>110</v>
      </c>
      <c r="C21" s="3" t="s">
        <v>56</v>
      </c>
      <c r="D21" s="3" t="s">
        <v>206</v>
      </c>
      <c r="E21" s="3" t="s">
        <v>100</v>
      </c>
      <c r="G21" s="7">
        <v>46303.291666666664</v>
      </c>
    </row>
    <row r="22">
      <c r="A22" s="3" t="s">
        <v>362</v>
      </c>
      <c r="B22" s="3" t="s">
        <v>115</v>
      </c>
      <c r="C22" s="3" t="s">
        <v>56</v>
      </c>
      <c r="D22" s="3" t="s">
        <v>221</v>
      </c>
      <c r="G22" s="7">
        <v>46302.291666666664</v>
      </c>
    </row>
    <row r="23">
      <c r="A23" s="3" t="s">
        <v>376</v>
      </c>
      <c r="B23" s="3" t="s">
        <v>42</v>
      </c>
      <c r="C23" s="3" t="s">
        <v>56</v>
      </c>
      <c r="D23" s="3" t="s">
        <v>68</v>
      </c>
      <c r="E23" s="3" t="s">
        <v>100</v>
      </c>
      <c r="F23" s="3" t="s">
        <v>125</v>
      </c>
      <c r="G23" s="7">
        <v>45861.291666666664</v>
      </c>
    </row>
    <row r="24">
      <c r="A24" s="3" t="s">
        <v>393</v>
      </c>
      <c r="B24" s="3" t="s">
        <v>46</v>
      </c>
      <c r="C24" s="3" t="s">
        <v>56</v>
      </c>
      <c r="D24" s="3" t="s">
        <v>68</v>
      </c>
      <c r="E24" s="3" t="s">
        <v>100</v>
      </c>
      <c r="F24" s="3" t="s">
        <v>132</v>
      </c>
      <c r="G24" s="7">
        <v>45866.291666666664</v>
      </c>
    </row>
    <row r="25">
      <c r="A25" s="3" t="s">
        <v>409</v>
      </c>
      <c r="B25" s="3" t="s">
        <v>50</v>
      </c>
      <c r="C25" s="3" t="s">
        <v>56</v>
      </c>
      <c r="D25" s="3" t="s">
        <v>68</v>
      </c>
      <c r="E25" s="3" t="s">
        <v>100</v>
      </c>
      <c r="F25" s="3" t="s">
        <v>140</v>
      </c>
      <c r="G25" s="7">
        <v>45871.291666666664</v>
      </c>
    </row>
    <row r="26">
      <c r="A26" s="3" t="s">
        <v>435</v>
      </c>
      <c r="B26" s="3" t="s">
        <v>54</v>
      </c>
      <c r="C26" s="3" t="s">
        <v>56</v>
      </c>
      <c r="D26" s="3" t="s">
        <v>68</v>
      </c>
      <c r="E26" s="3" t="s">
        <v>100</v>
      </c>
      <c r="F26" s="3" t="s">
        <v>147</v>
      </c>
      <c r="G26" s="7">
        <v>45876.291666666664</v>
      </c>
    </row>
    <row r="27">
      <c r="A27" s="3" t="s">
        <v>448</v>
      </c>
      <c r="B27" s="3" t="s">
        <v>59</v>
      </c>
      <c r="C27" s="3" t="s">
        <v>56</v>
      </c>
      <c r="D27" s="3" t="s">
        <v>68</v>
      </c>
      <c r="E27" s="3" t="s">
        <v>100</v>
      </c>
      <c r="F27" s="3" t="s">
        <v>153</v>
      </c>
      <c r="G27" s="7">
        <v>45881.291666666664</v>
      </c>
    </row>
    <row r="28">
      <c r="A28" s="3" t="s">
        <v>458</v>
      </c>
      <c r="B28" s="3" t="s">
        <v>62</v>
      </c>
      <c r="C28" s="3" t="s">
        <v>56</v>
      </c>
      <c r="D28" s="3" t="s">
        <v>68</v>
      </c>
      <c r="E28" s="3" t="s">
        <v>100</v>
      </c>
      <c r="F28" s="3" t="s">
        <v>161</v>
      </c>
      <c r="G28" s="7">
        <v>45886.291666666664</v>
      </c>
    </row>
    <row r="29">
      <c r="A29" s="3" t="s">
        <v>474</v>
      </c>
      <c r="B29" s="3" t="s">
        <v>65</v>
      </c>
      <c r="C29" s="3" t="s">
        <v>56</v>
      </c>
      <c r="D29" s="3" t="s">
        <v>181</v>
      </c>
      <c r="G29" s="7">
        <v>45891.291666666664</v>
      </c>
    </row>
    <row r="30">
      <c r="A30" s="3" t="s">
        <v>487</v>
      </c>
      <c r="B30" s="3" t="s">
        <v>69</v>
      </c>
      <c r="C30" s="3" t="s">
        <v>56</v>
      </c>
      <c r="D30" s="3" t="s">
        <v>195</v>
      </c>
      <c r="G30" s="7">
        <v>45896.291666666664</v>
      </c>
    </row>
    <row r="31">
      <c r="A31" s="3" t="s">
        <v>500</v>
      </c>
      <c r="B31" s="3" t="s">
        <v>72</v>
      </c>
      <c r="C31" s="3" t="s">
        <v>56</v>
      </c>
      <c r="D31" s="3" t="s">
        <v>206</v>
      </c>
      <c r="E31" s="3" t="s">
        <v>100</v>
      </c>
      <c r="G31" s="7">
        <v>46307.291666666664</v>
      </c>
    </row>
    <row r="32">
      <c r="A32" s="3" t="s">
        <v>514</v>
      </c>
      <c r="B32" s="3" t="s">
        <v>75</v>
      </c>
      <c r="C32" s="3" t="s">
        <v>56</v>
      </c>
      <c r="D32" s="3" t="s">
        <v>221</v>
      </c>
      <c r="G32" s="7">
        <v>46306.291666666664</v>
      </c>
    </row>
    <row r="33">
      <c r="A33" s="3" t="s">
        <v>528</v>
      </c>
      <c r="B33" s="3" t="s">
        <v>77</v>
      </c>
      <c r="C33" s="3" t="s">
        <v>56</v>
      </c>
      <c r="D33" s="3" t="s">
        <v>68</v>
      </c>
      <c r="E33" s="3" t="s">
        <v>100</v>
      </c>
      <c r="F33" s="3" t="s">
        <v>167</v>
      </c>
      <c r="G33" s="7">
        <v>45911.291666666664</v>
      </c>
    </row>
    <row r="34">
      <c r="A34" s="3" t="s">
        <v>543</v>
      </c>
      <c r="B34" s="3" t="s">
        <v>82</v>
      </c>
      <c r="C34" s="3" t="s">
        <v>56</v>
      </c>
      <c r="D34" s="3" t="s">
        <v>68</v>
      </c>
      <c r="E34" s="3" t="s">
        <v>100</v>
      </c>
      <c r="F34" s="3" t="s">
        <v>174</v>
      </c>
      <c r="G34" s="7">
        <v>45916.291666666664</v>
      </c>
    </row>
    <row r="35">
      <c r="A35" s="3" t="s">
        <v>551</v>
      </c>
      <c r="B35" s="3" t="s">
        <v>85</v>
      </c>
      <c r="C35" s="3" t="s">
        <v>56</v>
      </c>
      <c r="D35" s="3" t="s">
        <v>68</v>
      </c>
      <c r="E35" s="3" t="s">
        <v>100</v>
      </c>
      <c r="F35" s="3" t="s">
        <v>182</v>
      </c>
      <c r="G35" s="7">
        <v>45921.291666666664</v>
      </c>
    </row>
    <row r="36">
      <c r="A36" s="3" t="s">
        <v>573</v>
      </c>
      <c r="B36" s="3" t="s">
        <v>89</v>
      </c>
      <c r="C36" s="3" t="s">
        <v>56</v>
      </c>
      <c r="D36" s="3" t="s">
        <v>68</v>
      </c>
      <c r="E36" s="3" t="s">
        <v>100</v>
      </c>
      <c r="F36" s="3" t="s">
        <v>190</v>
      </c>
      <c r="G36" s="7">
        <v>45926.291666666664</v>
      </c>
    </row>
    <row r="37">
      <c r="A37" s="3" t="s">
        <v>590</v>
      </c>
      <c r="B37" s="3" t="s">
        <v>91</v>
      </c>
      <c r="C37" s="3" t="s">
        <v>56</v>
      </c>
      <c r="D37" s="3" t="s">
        <v>68</v>
      </c>
      <c r="E37" s="3" t="s">
        <v>100</v>
      </c>
      <c r="F37" s="3" t="s">
        <v>199</v>
      </c>
      <c r="G37" s="7">
        <v>45931.291666666664</v>
      </c>
    </row>
    <row r="38">
      <c r="A38" s="3" t="s">
        <v>607</v>
      </c>
      <c r="B38" s="3" t="s">
        <v>95</v>
      </c>
      <c r="C38" s="3" t="s">
        <v>56</v>
      </c>
      <c r="D38" s="3" t="s">
        <v>68</v>
      </c>
      <c r="E38" s="3" t="s">
        <v>100</v>
      </c>
      <c r="F38" s="3" t="s">
        <v>207</v>
      </c>
      <c r="G38" s="7">
        <v>45936.291666666664</v>
      </c>
    </row>
    <row r="39">
      <c r="A39" s="3" t="s">
        <v>623</v>
      </c>
      <c r="B39" s="3" t="s">
        <v>98</v>
      </c>
      <c r="C39" s="3" t="s">
        <v>56</v>
      </c>
      <c r="D39" s="3" t="s">
        <v>181</v>
      </c>
      <c r="G39" s="7">
        <v>45941.291666666664</v>
      </c>
    </row>
    <row r="40">
      <c r="A40" s="3" t="s">
        <v>635</v>
      </c>
      <c r="B40" s="3" t="s">
        <v>102</v>
      </c>
      <c r="C40" s="3" t="s">
        <v>56</v>
      </c>
      <c r="D40" s="3" t="s">
        <v>195</v>
      </c>
      <c r="G40" s="7">
        <v>45946.291666666664</v>
      </c>
    </row>
    <row r="41">
      <c r="A41" s="3" t="s">
        <v>648</v>
      </c>
      <c r="B41" s="3" t="s">
        <v>110</v>
      </c>
      <c r="C41" s="3" t="s">
        <v>56</v>
      </c>
      <c r="D41" s="3" t="s">
        <v>206</v>
      </c>
      <c r="E41" s="3" t="s">
        <v>100</v>
      </c>
      <c r="G41" s="7">
        <v>46304.291666666664</v>
      </c>
    </row>
    <row r="42">
      <c r="A42" s="3" t="s">
        <v>666</v>
      </c>
      <c r="B42" s="3" t="s">
        <v>115</v>
      </c>
      <c r="C42" s="3" t="s">
        <v>56</v>
      </c>
      <c r="D42" s="3" t="s">
        <v>221</v>
      </c>
      <c r="G42" s="7">
        <v>46303.291666666664</v>
      </c>
    </row>
    <row r="43">
      <c r="A43" s="3" t="s">
        <v>680</v>
      </c>
      <c r="B43" s="3" t="s">
        <v>42</v>
      </c>
      <c r="C43" s="3" t="s">
        <v>56</v>
      </c>
      <c r="D43" s="3" t="s">
        <v>68</v>
      </c>
      <c r="E43" s="3" t="s">
        <v>100</v>
      </c>
      <c r="F43" s="3" t="s">
        <v>214</v>
      </c>
      <c r="G43" s="7">
        <v>45961.291666666664</v>
      </c>
    </row>
    <row r="44">
      <c r="A44" s="3" t="s">
        <v>697</v>
      </c>
      <c r="B44" s="3" t="s">
        <v>46</v>
      </c>
      <c r="C44" s="3" t="s">
        <v>56</v>
      </c>
      <c r="D44" s="3" t="s">
        <v>68</v>
      </c>
      <c r="E44" s="3" t="s">
        <v>100</v>
      </c>
      <c r="F44" s="3" t="s">
        <v>222</v>
      </c>
      <c r="G44" s="7">
        <v>45966.291666666664</v>
      </c>
    </row>
    <row r="45">
      <c r="A45" s="3" t="s">
        <v>709</v>
      </c>
      <c r="B45" s="3" t="s">
        <v>50</v>
      </c>
      <c r="C45" s="3" t="s">
        <v>56</v>
      </c>
      <c r="D45" s="3" t="s">
        <v>68</v>
      </c>
      <c r="E45" s="3" t="s">
        <v>100</v>
      </c>
      <c r="F45" s="3" t="s">
        <v>229</v>
      </c>
      <c r="G45" s="7">
        <v>45971.291666666664</v>
      </c>
    </row>
    <row r="46">
      <c r="A46" s="3" t="s">
        <v>719</v>
      </c>
      <c r="B46" s="3" t="s">
        <v>54</v>
      </c>
      <c r="C46" s="3" t="s">
        <v>56</v>
      </c>
      <c r="D46" s="3" t="s">
        <v>68</v>
      </c>
      <c r="E46" s="3" t="s">
        <v>100</v>
      </c>
      <c r="F46" s="3" t="s">
        <v>235</v>
      </c>
      <c r="G46" s="7">
        <v>45976.291666666664</v>
      </c>
    </row>
    <row r="47">
      <c r="A47" s="3" t="s">
        <v>730</v>
      </c>
      <c r="B47" s="3" t="s">
        <v>59</v>
      </c>
      <c r="C47" s="3" t="s">
        <v>56</v>
      </c>
      <c r="D47" s="3" t="s">
        <v>68</v>
      </c>
      <c r="E47" s="3" t="s">
        <v>100</v>
      </c>
      <c r="F47" s="3" t="s">
        <v>242</v>
      </c>
      <c r="G47" s="7">
        <v>45981.291666666664</v>
      </c>
    </row>
    <row r="48">
      <c r="A48" s="3" t="s">
        <v>744</v>
      </c>
      <c r="B48" s="3" t="s">
        <v>62</v>
      </c>
      <c r="C48" s="3" t="s">
        <v>56</v>
      </c>
      <c r="D48" s="3" t="s">
        <v>68</v>
      </c>
      <c r="E48" s="3" t="s">
        <v>100</v>
      </c>
      <c r="F48" s="3" t="s">
        <v>249</v>
      </c>
      <c r="G48" s="7">
        <v>45986.291666666664</v>
      </c>
    </row>
    <row r="49">
      <c r="A49" s="3" t="s">
        <v>759</v>
      </c>
      <c r="B49" s="3" t="s">
        <v>65</v>
      </c>
      <c r="C49" s="3" t="s">
        <v>56</v>
      </c>
      <c r="D49" s="3" t="s">
        <v>181</v>
      </c>
      <c r="G49" s="7">
        <v>45991.291666666664</v>
      </c>
    </row>
    <row r="50">
      <c r="A50" s="3" t="s">
        <v>777</v>
      </c>
      <c r="B50" s="3" t="s">
        <v>69</v>
      </c>
      <c r="C50" s="3" t="s">
        <v>56</v>
      </c>
      <c r="D50" s="3" t="s">
        <v>195</v>
      </c>
      <c r="G50" s="7">
        <v>45996.291666666664</v>
      </c>
    </row>
    <row r="51">
      <c r="A51" s="3" t="s">
        <v>786</v>
      </c>
      <c r="B51" s="3" t="s">
        <v>72</v>
      </c>
      <c r="C51" s="3" t="s">
        <v>56</v>
      </c>
      <c r="D51" s="3" t="s">
        <v>206</v>
      </c>
      <c r="E51" s="3" t="s">
        <v>100</v>
      </c>
      <c r="G51" s="7">
        <v>46308.291666666664</v>
      </c>
    </row>
    <row r="52">
      <c r="A52" s="3" t="s">
        <v>795</v>
      </c>
      <c r="B52" s="3" t="s">
        <v>75</v>
      </c>
      <c r="C52" s="3" t="s">
        <v>56</v>
      </c>
      <c r="D52" s="3" t="s">
        <v>221</v>
      </c>
      <c r="G52" s="7">
        <v>46307.291666666664</v>
      </c>
    </row>
    <row r="53">
      <c r="A53" s="3" t="s">
        <v>803</v>
      </c>
      <c r="B53" s="3" t="s">
        <v>77</v>
      </c>
      <c r="C53" s="3" t="s">
        <v>56</v>
      </c>
      <c r="D53" s="3" t="s">
        <v>68</v>
      </c>
      <c r="E53" s="3" t="s">
        <v>100</v>
      </c>
      <c r="F53" s="3" t="s">
        <v>255</v>
      </c>
      <c r="G53" s="7">
        <v>46011.291666666664</v>
      </c>
    </row>
    <row r="54">
      <c r="A54" s="3" t="s">
        <v>814</v>
      </c>
      <c r="B54" s="3" t="s">
        <v>82</v>
      </c>
      <c r="C54" s="3" t="s">
        <v>56</v>
      </c>
      <c r="D54" s="3" t="s">
        <v>68</v>
      </c>
      <c r="E54" s="3" t="s">
        <v>100</v>
      </c>
      <c r="F54" s="3" t="s">
        <v>265</v>
      </c>
      <c r="G54" s="7">
        <v>46016.291666666664</v>
      </c>
    </row>
    <row r="55">
      <c r="A55" s="3" t="s">
        <v>825</v>
      </c>
      <c r="B55" s="3" t="s">
        <v>85</v>
      </c>
      <c r="C55" s="3" t="s">
        <v>56</v>
      </c>
      <c r="D55" s="3" t="s">
        <v>68</v>
      </c>
      <c r="E55" s="3" t="s">
        <v>100</v>
      </c>
      <c r="F55" s="3" t="s">
        <v>271</v>
      </c>
      <c r="G55" s="7">
        <v>46021.291666666664</v>
      </c>
    </row>
    <row r="56">
      <c r="A56" s="3" t="s">
        <v>834</v>
      </c>
      <c r="B56" s="3" t="s">
        <v>89</v>
      </c>
      <c r="C56" s="3" t="s">
        <v>56</v>
      </c>
      <c r="D56" s="3" t="s">
        <v>68</v>
      </c>
      <c r="E56" s="3" t="s">
        <v>100</v>
      </c>
      <c r="F56" s="3" t="s">
        <v>278</v>
      </c>
      <c r="G56" s="7">
        <v>46026.291666666664</v>
      </c>
    </row>
    <row r="57">
      <c r="A57" s="3" t="s">
        <v>844</v>
      </c>
      <c r="B57" s="3" t="s">
        <v>91</v>
      </c>
      <c r="C57" s="3" t="s">
        <v>56</v>
      </c>
      <c r="D57" s="3" t="s">
        <v>68</v>
      </c>
      <c r="E57" s="3" t="s">
        <v>100</v>
      </c>
      <c r="F57" s="3" t="s">
        <v>283</v>
      </c>
      <c r="G57" s="7">
        <v>46031.291666666664</v>
      </c>
    </row>
    <row r="58">
      <c r="A58" s="3" t="s">
        <v>851</v>
      </c>
      <c r="B58" s="3" t="s">
        <v>95</v>
      </c>
      <c r="C58" s="3" t="s">
        <v>56</v>
      </c>
      <c r="D58" s="3" t="s">
        <v>68</v>
      </c>
      <c r="E58" s="3" t="s">
        <v>100</v>
      </c>
      <c r="F58" s="3" t="s">
        <v>292</v>
      </c>
      <c r="G58" s="7">
        <v>46036.291666666664</v>
      </c>
    </row>
    <row r="59">
      <c r="A59" s="3" t="s">
        <v>856</v>
      </c>
      <c r="B59" s="3" t="s">
        <v>98</v>
      </c>
      <c r="C59" s="3" t="s">
        <v>56</v>
      </c>
      <c r="D59" s="3" t="s">
        <v>181</v>
      </c>
      <c r="G59" s="7">
        <v>46041.291666666664</v>
      </c>
    </row>
    <row r="60">
      <c r="A60" s="3" t="s">
        <v>863</v>
      </c>
      <c r="B60" s="3" t="s">
        <v>102</v>
      </c>
      <c r="C60" s="3" t="s">
        <v>56</v>
      </c>
      <c r="D60" s="3" t="s">
        <v>195</v>
      </c>
      <c r="G60" s="7">
        <v>46046.291666666664</v>
      </c>
    </row>
    <row r="61">
      <c r="A61" s="3" t="s">
        <v>869</v>
      </c>
      <c r="B61" s="3" t="s">
        <v>110</v>
      </c>
      <c r="C61" s="3" t="s">
        <v>56</v>
      </c>
      <c r="D61" s="3" t="s">
        <v>206</v>
      </c>
      <c r="E61" s="3" t="s">
        <v>100</v>
      </c>
      <c r="G61" s="7">
        <v>46305.291666666664</v>
      </c>
    </row>
    <row r="62">
      <c r="A62" s="3" t="s">
        <v>872</v>
      </c>
      <c r="B62" s="3" t="s">
        <v>115</v>
      </c>
      <c r="C62" s="3" t="s">
        <v>56</v>
      </c>
      <c r="D62" s="3" t="s">
        <v>221</v>
      </c>
      <c r="G62" s="7">
        <v>46304.291666666664</v>
      </c>
    </row>
    <row r="63">
      <c r="A63" s="3" t="s">
        <v>876</v>
      </c>
      <c r="B63" s="3" t="s">
        <v>42</v>
      </c>
      <c r="C63" s="3" t="s">
        <v>56</v>
      </c>
      <c r="D63" s="3" t="s">
        <v>68</v>
      </c>
      <c r="E63" s="3" t="s">
        <v>100</v>
      </c>
      <c r="F63" s="3" t="s">
        <v>298</v>
      </c>
      <c r="G63" s="7">
        <v>46061.291666666664</v>
      </c>
    </row>
    <row r="64">
      <c r="A64" s="3" t="s">
        <v>881</v>
      </c>
      <c r="B64" s="3" t="s">
        <v>46</v>
      </c>
      <c r="C64" s="3" t="s">
        <v>56</v>
      </c>
      <c r="D64" s="3" t="s">
        <v>68</v>
      </c>
      <c r="E64" s="3" t="s">
        <v>100</v>
      </c>
      <c r="F64" s="3" t="s">
        <v>304</v>
      </c>
      <c r="G64" s="7">
        <v>46066.291666666664</v>
      </c>
    </row>
    <row r="65">
      <c r="A65" s="3" t="s">
        <v>887</v>
      </c>
      <c r="B65" s="3" t="s">
        <v>50</v>
      </c>
      <c r="C65" s="3" t="s">
        <v>56</v>
      </c>
      <c r="D65" s="3" t="s">
        <v>68</v>
      </c>
      <c r="E65" s="3" t="s">
        <v>100</v>
      </c>
      <c r="F65" s="3" t="s">
        <v>312</v>
      </c>
      <c r="G65" s="7">
        <v>46071.291666666664</v>
      </c>
    </row>
    <row r="66">
      <c r="A66" s="3" t="s">
        <v>891</v>
      </c>
      <c r="B66" s="3" t="s">
        <v>54</v>
      </c>
      <c r="C66" s="3" t="s">
        <v>56</v>
      </c>
      <c r="D66" s="3" t="s">
        <v>68</v>
      </c>
      <c r="E66" s="3" t="s">
        <v>100</v>
      </c>
      <c r="F66" s="3" t="s">
        <v>318</v>
      </c>
      <c r="G66" s="7">
        <v>46076.291666666664</v>
      </c>
    </row>
    <row r="67">
      <c r="A67" s="3" t="s">
        <v>893</v>
      </c>
      <c r="B67" s="3" t="s">
        <v>59</v>
      </c>
      <c r="C67" s="3" t="s">
        <v>56</v>
      </c>
      <c r="D67" s="3" t="s">
        <v>68</v>
      </c>
      <c r="E67" s="3" t="s">
        <v>100</v>
      </c>
      <c r="F67" s="3" t="s">
        <v>324</v>
      </c>
      <c r="G67" s="7">
        <v>46081.291666666664</v>
      </c>
    </row>
    <row r="68">
      <c r="A68" s="3" t="s">
        <v>898</v>
      </c>
      <c r="B68" s="3" t="s">
        <v>62</v>
      </c>
      <c r="C68" s="3" t="s">
        <v>56</v>
      </c>
      <c r="D68" s="3" t="s">
        <v>68</v>
      </c>
      <c r="E68" s="3" t="s">
        <v>100</v>
      </c>
      <c r="F68" s="3" t="s">
        <v>332</v>
      </c>
      <c r="G68" s="7">
        <v>46086.291666666664</v>
      </c>
    </row>
    <row r="69">
      <c r="A69" s="3" t="s">
        <v>902</v>
      </c>
      <c r="B69" s="3" t="s">
        <v>65</v>
      </c>
      <c r="C69" s="3" t="s">
        <v>56</v>
      </c>
      <c r="D69" s="3" t="s">
        <v>181</v>
      </c>
      <c r="G69" s="7">
        <v>46091.291666666664</v>
      </c>
    </row>
    <row r="70">
      <c r="A70" s="3" t="s">
        <v>905</v>
      </c>
      <c r="B70" s="3" t="s">
        <v>69</v>
      </c>
      <c r="C70" s="3" t="s">
        <v>56</v>
      </c>
      <c r="D70" s="3" t="s">
        <v>195</v>
      </c>
      <c r="G70" s="7">
        <v>46096.291666666664</v>
      </c>
    </row>
    <row r="71">
      <c r="A71" s="3" t="s">
        <v>910</v>
      </c>
      <c r="B71" s="3" t="s">
        <v>72</v>
      </c>
      <c r="C71" s="3" t="s">
        <v>56</v>
      </c>
      <c r="D71" s="3" t="s">
        <v>206</v>
      </c>
      <c r="E71" s="3" t="s">
        <v>100</v>
      </c>
      <c r="G71" s="7">
        <v>46302.291666666664</v>
      </c>
    </row>
    <row r="72">
      <c r="A72" s="3" t="s">
        <v>915</v>
      </c>
      <c r="B72" s="3" t="s">
        <v>75</v>
      </c>
      <c r="C72" s="3" t="s">
        <v>56</v>
      </c>
      <c r="D72" s="3" t="s">
        <v>221</v>
      </c>
      <c r="G72" s="7">
        <v>46308.291666666664</v>
      </c>
    </row>
    <row r="73">
      <c r="A73" s="3" t="s">
        <v>918</v>
      </c>
      <c r="B73" s="3" t="s">
        <v>77</v>
      </c>
      <c r="C73" s="3" t="s">
        <v>56</v>
      </c>
      <c r="D73" s="3" t="s">
        <v>68</v>
      </c>
      <c r="E73" s="3" t="s">
        <v>100</v>
      </c>
      <c r="F73" s="3" t="s">
        <v>338</v>
      </c>
      <c r="G73" s="7">
        <v>46111.291666666664</v>
      </c>
    </row>
    <row r="74">
      <c r="A74" s="3" t="s">
        <v>925</v>
      </c>
      <c r="B74" s="3" t="s">
        <v>82</v>
      </c>
      <c r="C74" s="3" t="s">
        <v>56</v>
      </c>
      <c r="D74" s="3" t="s">
        <v>68</v>
      </c>
      <c r="E74" s="3" t="s">
        <v>100</v>
      </c>
      <c r="F74" s="3" t="s">
        <v>343</v>
      </c>
      <c r="G74" s="7">
        <v>46116.291666666664</v>
      </c>
    </row>
    <row r="75">
      <c r="A75" s="3" t="s">
        <v>930</v>
      </c>
      <c r="B75" s="3" t="s">
        <v>85</v>
      </c>
      <c r="C75" s="3" t="s">
        <v>56</v>
      </c>
      <c r="D75" s="3" t="s">
        <v>68</v>
      </c>
      <c r="E75" s="3" t="s">
        <v>100</v>
      </c>
      <c r="F75" s="3" t="s">
        <v>351</v>
      </c>
      <c r="G75" s="7">
        <v>46121.291666666664</v>
      </c>
    </row>
    <row r="76">
      <c r="A76" s="3" t="s">
        <v>935</v>
      </c>
      <c r="B76" s="3" t="s">
        <v>89</v>
      </c>
      <c r="C76" s="3" t="s">
        <v>56</v>
      </c>
      <c r="D76" s="3" t="s">
        <v>68</v>
      </c>
      <c r="E76" s="3" t="s">
        <v>100</v>
      </c>
      <c r="F76" s="3" t="s">
        <v>358</v>
      </c>
      <c r="G76" s="7">
        <v>46126.291666666664</v>
      </c>
    </row>
    <row r="77">
      <c r="A77" s="3" t="s">
        <v>940</v>
      </c>
      <c r="B77" s="3" t="s">
        <v>91</v>
      </c>
      <c r="C77" s="3" t="s">
        <v>56</v>
      </c>
      <c r="D77" s="3" t="s">
        <v>68</v>
      </c>
      <c r="E77" s="3" t="s">
        <v>100</v>
      </c>
      <c r="F77" s="3" t="s">
        <v>365</v>
      </c>
      <c r="G77" s="7">
        <v>46131.291666666664</v>
      </c>
    </row>
    <row r="78">
      <c r="A78" s="3" t="s">
        <v>945</v>
      </c>
      <c r="B78" s="3" t="s">
        <v>95</v>
      </c>
      <c r="C78" s="3" t="s">
        <v>56</v>
      </c>
      <c r="D78" s="3" t="s">
        <v>68</v>
      </c>
      <c r="E78" s="3" t="s">
        <v>100</v>
      </c>
      <c r="F78" s="3" t="s">
        <v>372</v>
      </c>
      <c r="G78" s="7">
        <v>46136.291666666664</v>
      </c>
    </row>
    <row r="79">
      <c r="A79" s="3" t="s">
        <v>952</v>
      </c>
      <c r="B79" s="3" t="s">
        <v>98</v>
      </c>
      <c r="C79" s="3" t="s">
        <v>56</v>
      </c>
      <c r="D79" s="3" t="s">
        <v>181</v>
      </c>
      <c r="G79" s="7">
        <v>46141.291666666664</v>
      </c>
    </row>
    <row r="80">
      <c r="A80" s="3" t="s">
        <v>956</v>
      </c>
      <c r="B80" s="3" t="s">
        <v>102</v>
      </c>
      <c r="C80" s="3" t="s">
        <v>56</v>
      </c>
      <c r="D80" s="3" t="s">
        <v>195</v>
      </c>
      <c r="G80" s="7">
        <v>46146.291666666664</v>
      </c>
    </row>
    <row r="81">
      <c r="A81" s="3" t="s">
        <v>960</v>
      </c>
      <c r="B81" s="3" t="s">
        <v>110</v>
      </c>
      <c r="C81" s="3" t="s">
        <v>56</v>
      </c>
      <c r="D81" s="3" t="s">
        <v>206</v>
      </c>
      <c r="E81" s="3" t="s">
        <v>100</v>
      </c>
      <c r="G81" s="7">
        <v>46306.291666666664</v>
      </c>
    </row>
    <row r="82">
      <c r="A82" s="3" t="s">
        <v>967</v>
      </c>
      <c r="B82" s="3" t="s">
        <v>115</v>
      </c>
      <c r="C82" s="3" t="s">
        <v>56</v>
      </c>
      <c r="D82" s="3" t="s">
        <v>221</v>
      </c>
      <c r="G82" s="7">
        <v>46305.291666666664</v>
      </c>
    </row>
    <row r="83">
      <c r="A83" s="3" t="s">
        <v>974</v>
      </c>
      <c r="B83" s="3" t="s">
        <v>42</v>
      </c>
      <c r="C83" s="3" t="s">
        <v>56</v>
      </c>
      <c r="D83" s="3" t="s">
        <v>68</v>
      </c>
      <c r="E83" s="3" t="s">
        <v>100</v>
      </c>
      <c r="F83" s="3" t="s">
        <v>379</v>
      </c>
      <c r="G83" s="7">
        <v>46161.291666666664</v>
      </c>
    </row>
    <row r="84">
      <c r="A84" s="3" t="s">
        <v>979</v>
      </c>
      <c r="B84" s="3" t="s">
        <v>46</v>
      </c>
      <c r="C84" s="3" t="s">
        <v>56</v>
      </c>
      <c r="D84" s="3" t="s">
        <v>68</v>
      </c>
      <c r="E84" s="3" t="s">
        <v>100</v>
      </c>
      <c r="F84" s="3" t="s">
        <v>387</v>
      </c>
      <c r="G84" s="7">
        <v>46166.291666666664</v>
      </c>
    </row>
    <row r="85">
      <c r="A85" s="3" t="s">
        <v>986</v>
      </c>
      <c r="B85" s="3" t="s">
        <v>50</v>
      </c>
      <c r="C85" s="3" t="s">
        <v>56</v>
      </c>
      <c r="D85" s="3" t="s">
        <v>68</v>
      </c>
      <c r="E85" s="3" t="s">
        <v>100</v>
      </c>
      <c r="F85" s="3" t="s">
        <v>394</v>
      </c>
      <c r="G85" s="7">
        <v>46171.291666666664</v>
      </c>
    </row>
    <row r="86">
      <c r="A86" s="3" t="s">
        <v>995</v>
      </c>
      <c r="B86" s="3" t="s">
        <v>54</v>
      </c>
      <c r="C86" s="3" t="s">
        <v>56</v>
      </c>
      <c r="D86" s="3" t="s">
        <v>68</v>
      </c>
      <c r="E86" s="3" t="s">
        <v>100</v>
      </c>
      <c r="F86" s="3" t="s">
        <v>401</v>
      </c>
      <c r="G86" s="7">
        <v>46176.291666666664</v>
      </c>
    </row>
    <row r="87">
      <c r="A87" s="3" t="s">
        <v>1002</v>
      </c>
      <c r="B87" s="3" t="s">
        <v>59</v>
      </c>
      <c r="C87" s="3" t="s">
        <v>56</v>
      </c>
      <c r="D87" s="3" t="s">
        <v>68</v>
      </c>
      <c r="E87" s="3" t="s">
        <v>100</v>
      </c>
      <c r="F87" s="3" t="s">
        <v>407</v>
      </c>
      <c r="G87" s="7">
        <v>46181.291666666664</v>
      </c>
    </row>
    <row r="88">
      <c r="A88" s="3" t="s">
        <v>1006</v>
      </c>
      <c r="B88" s="3" t="s">
        <v>62</v>
      </c>
      <c r="C88" s="3" t="s">
        <v>56</v>
      </c>
      <c r="D88" s="3" t="s">
        <v>68</v>
      </c>
      <c r="E88" s="3" t="s">
        <v>100</v>
      </c>
      <c r="F88" s="3" t="s">
        <v>415</v>
      </c>
      <c r="G88" s="7">
        <v>46186.291666666664</v>
      </c>
    </row>
    <row r="89">
      <c r="A89" s="3" t="s">
        <v>1014</v>
      </c>
      <c r="B89" s="3" t="s">
        <v>65</v>
      </c>
      <c r="C89" s="3" t="s">
        <v>56</v>
      </c>
      <c r="D89" s="3" t="s">
        <v>181</v>
      </c>
      <c r="G89" s="7">
        <v>46191.291666666664</v>
      </c>
    </row>
    <row r="90">
      <c r="A90" s="3" t="s">
        <v>1017</v>
      </c>
      <c r="B90" s="3" t="s">
        <v>69</v>
      </c>
      <c r="C90" s="3" t="s">
        <v>56</v>
      </c>
      <c r="D90" s="3" t="s">
        <v>195</v>
      </c>
      <c r="G90" s="7">
        <v>46196.291666666664</v>
      </c>
    </row>
    <row r="91">
      <c r="A91" s="3" t="s">
        <v>1022</v>
      </c>
      <c r="B91" s="3" t="s">
        <v>72</v>
      </c>
      <c r="C91" s="3" t="s">
        <v>56</v>
      </c>
      <c r="D91" s="3" t="s">
        <v>206</v>
      </c>
      <c r="E91" s="3" t="s">
        <v>100</v>
      </c>
      <c r="G91" s="7">
        <v>46303.291666666664</v>
      </c>
    </row>
    <row r="92">
      <c r="A92" s="3" t="s">
        <v>1031</v>
      </c>
      <c r="B92" s="3" t="s">
        <v>75</v>
      </c>
      <c r="C92" s="3" t="s">
        <v>56</v>
      </c>
      <c r="D92" s="3" t="s">
        <v>221</v>
      </c>
      <c r="G92" s="7">
        <v>46302.291666666664</v>
      </c>
    </row>
    <row r="93">
      <c r="A93" s="3" t="s">
        <v>1041</v>
      </c>
      <c r="B93" s="3" t="s">
        <v>77</v>
      </c>
      <c r="C93" s="3" t="s">
        <v>56</v>
      </c>
      <c r="D93" s="3" t="s">
        <v>68</v>
      </c>
      <c r="E93" s="3" t="s">
        <v>100</v>
      </c>
      <c r="F93" s="3" t="s">
        <v>425</v>
      </c>
      <c r="G93" s="7">
        <v>46211.291666666664</v>
      </c>
    </row>
    <row r="94">
      <c r="A94" s="3" t="s">
        <v>1052</v>
      </c>
      <c r="B94" s="3" t="s">
        <v>82</v>
      </c>
      <c r="C94" s="3" t="s">
        <v>56</v>
      </c>
      <c r="D94" s="3" t="s">
        <v>68</v>
      </c>
      <c r="E94" s="3" t="s">
        <v>100</v>
      </c>
      <c r="F94" s="3" t="s">
        <v>438</v>
      </c>
      <c r="G94" s="7">
        <v>46216.291666666664</v>
      </c>
    </row>
    <row r="95">
      <c r="A95" s="3" t="s">
        <v>1056</v>
      </c>
      <c r="B95" s="3" t="s">
        <v>85</v>
      </c>
      <c r="C95" s="3" t="s">
        <v>56</v>
      </c>
      <c r="D95" s="3" t="s">
        <v>68</v>
      </c>
      <c r="E95" s="3" t="s">
        <v>100</v>
      </c>
      <c r="F95" s="3" t="s">
        <v>443</v>
      </c>
      <c r="G95" s="7">
        <v>46221.291666666664</v>
      </c>
    </row>
    <row r="96">
      <c r="A96" s="3" t="s">
        <v>1062</v>
      </c>
      <c r="B96" s="3" t="s">
        <v>89</v>
      </c>
      <c r="C96" s="3" t="s">
        <v>56</v>
      </c>
      <c r="D96" s="3" t="s">
        <v>68</v>
      </c>
      <c r="E96" s="3" t="s">
        <v>100</v>
      </c>
      <c r="F96" s="3" t="s">
        <v>451</v>
      </c>
      <c r="G96" s="7">
        <v>46226.291666666664</v>
      </c>
    </row>
    <row r="97">
      <c r="A97" s="3" t="s">
        <v>1067</v>
      </c>
      <c r="B97" s="3" t="s">
        <v>91</v>
      </c>
      <c r="C97" s="3" t="s">
        <v>56</v>
      </c>
      <c r="D97" s="3" t="s">
        <v>68</v>
      </c>
      <c r="E97" s="3" t="s">
        <v>100</v>
      </c>
      <c r="F97" s="3" t="s">
        <v>456</v>
      </c>
      <c r="G97" s="7">
        <v>46231.291666666664</v>
      </c>
    </row>
    <row r="98">
      <c r="A98" s="3" t="s">
        <v>1073</v>
      </c>
      <c r="B98" s="3" t="s">
        <v>95</v>
      </c>
      <c r="C98" s="3" t="s">
        <v>56</v>
      </c>
      <c r="D98" s="3" t="s">
        <v>68</v>
      </c>
      <c r="E98" s="3" t="s">
        <v>100</v>
      </c>
      <c r="F98" s="3" t="s">
        <v>464</v>
      </c>
      <c r="G98" s="7">
        <v>46236.291666666664</v>
      </c>
    </row>
    <row r="99">
      <c r="A99" s="3" t="s">
        <v>1078</v>
      </c>
      <c r="B99" s="3" t="s">
        <v>98</v>
      </c>
      <c r="C99" s="3" t="s">
        <v>56</v>
      </c>
      <c r="D99" s="3" t="s">
        <v>181</v>
      </c>
      <c r="G99" s="7">
        <v>46241.291666666664</v>
      </c>
    </row>
    <row r="100">
      <c r="A100" s="3" t="s">
        <v>1082</v>
      </c>
      <c r="B100" s="3" t="s">
        <v>102</v>
      </c>
      <c r="C100" s="3" t="s">
        <v>56</v>
      </c>
      <c r="D100" s="3" t="s">
        <v>195</v>
      </c>
      <c r="G100" s="7">
        <v>46246.291666666664</v>
      </c>
    </row>
    <row r="101">
      <c r="A101" s="3" t="s">
        <v>1085</v>
      </c>
      <c r="B101" s="3" t="s">
        <v>110</v>
      </c>
      <c r="C101" s="3" t="s">
        <v>56</v>
      </c>
      <c r="D101" s="3" t="s">
        <v>206</v>
      </c>
      <c r="E101" s="3" t="s">
        <v>100</v>
      </c>
      <c r="G101" s="7">
        <v>46307.291666666664</v>
      </c>
    </row>
    <row r="102">
      <c r="A102" s="3" t="s">
        <v>1089</v>
      </c>
      <c r="B102" s="3" t="s">
        <v>115</v>
      </c>
      <c r="C102" s="3" t="s">
        <v>56</v>
      </c>
      <c r="D102" s="3" t="s">
        <v>221</v>
      </c>
      <c r="G102" s="7">
        <v>46306.291666666664</v>
      </c>
    </row>
    <row r="103">
      <c r="A103" s="3" t="s">
        <v>1093</v>
      </c>
      <c r="B103" s="3" t="s">
        <v>42</v>
      </c>
      <c r="C103" s="3" t="s">
        <v>1095</v>
      </c>
      <c r="D103" s="3" t="s">
        <v>68</v>
      </c>
      <c r="E103" s="3" t="s">
        <v>100</v>
      </c>
      <c r="F103" s="3" t="s">
        <v>49</v>
      </c>
      <c r="G103" s="7">
        <v>45860.291666666664</v>
      </c>
    </row>
    <row r="104">
      <c r="A104" s="3" t="s">
        <v>1097</v>
      </c>
      <c r="B104" s="3" t="s">
        <v>42</v>
      </c>
      <c r="C104" s="3" t="s">
        <v>1095</v>
      </c>
      <c r="D104" s="3" t="s">
        <v>68</v>
      </c>
      <c r="E104" s="3" t="s">
        <v>100</v>
      </c>
      <c r="F104" s="3" t="s">
        <v>125</v>
      </c>
      <c r="G104" s="7">
        <v>45960.291666666664</v>
      </c>
    </row>
    <row r="105">
      <c r="A105" s="3" t="s">
        <v>1101</v>
      </c>
      <c r="B105" s="3" t="s">
        <v>42</v>
      </c>
      <c r="C105" s="3" t="s">
        <v>1095</v>
      </c>
      <c r="D105" s="3" t="s">
        <v>68</v>
      </c>
      <c r="E105" s="3" t="s">
        <v>100</v>
      </c>
      <c r="F105" s="3" t="s">
        <v>214</v>
      </c>
      <c r="G105" s="7">
        <v>46060.291666666664</v>
      </c>
    </row>
    <row r="106">
      <c r="A106" s="3" t="s">
        <v>1105</v>
      </c>
      <c r="B106" s="3" t="s">
        <v>42</v>
      </c>
      <c r="C106" s="3" t="s">
        <v>1095</v>
      </c>
      <c r="D106" s="3" t="s">
        <v>68</v>
      </c>
      <c r="E106" s="3" t="s">
        <v>100</v>
      </c>
      <c r="F106" s="3" t="s">
        <v>298</v>
      </c>
      <c r="G106" s="7">
        <v>46160.291666666664</v>
      </c>
    </row>
    <row r="107">
      <c r="A107" s="3" t="s">
        <v>1109</v>
      </c>
      <c r="B107" s="3" t="s">
        <v>46</v>
      </c>
      <c r="C107" s="3" t="s">
        <v>1095</v>
      </c>
      <c r="D107" s="3" t="s">
        <v>68</v>
      </c>
      <c r="E107" s="3" t="s">
        <v>100</v>
      </c>
      <c r="F107" s="3" t="s">
        <v>58</v>
      </c>
      <c r="G107" s="7">
        <v>45865.291666666664</v>
      </c>
    </row>
    <row r="108">
      <c r="A108" s="3" t="s">
        <v>1112</v>
      </c>
      <c r="B108" s="3" t="s">
        <v>46</v>
      </c>
      <c r="C108" s="3" t="s">
        <v>1095</v>
      </c>
      <c r="D108" s="3" t="s">
        <v>68</v>
      </c>
      <c r="E108" s="3" t="s">
        <v>100</v>
      </c>
      <c r="F108" s="3" t="s">
        <v>132</v>
      </c>
      <c r="G108" s="7">
        <v>45965.291666666664</v>
      </c>
    </row>
    <row r="109">
      <c r="A109" s="3" t="s">
        <v>1116</v>
      </c>
      <c r="B109" s="3" t="s">
        <v>46</v>
      </c>
      <c r="C109" s="3" t="s">
        <v>1095</v>
      </c>
      <c r="D109" s="3" t="s">
        <v>68</v>
      </c>
      <c r="E109" s="3" t="s">
        <v>100</v>
      </c>
      <c r="F109" s="3" t="s">
        <v>222</v>
      </c>
      <c r="G109" s="7">
        <v>46065.291666666664</v>
      </c>
    </row>
    <row r="110">
      <c r="A110" s="3" t="s">
        <v>1120</v>
      </c>
      <c r="B110" s="3" t="s">
        <v>46</v>
      </c>
      <c r="C110" s="3" t="s">
        <v>1095</v>
      </c>
      <c r="D110" s="3" t="s">
        <v>68</v>
      </c>
      <c r="E110" s="3" t="s">
        <v>100</v>
      </c>
      <c r="F110" s="3" t="s">
        <v>304</v>
      </c>
      <c r="G110" s="7">
        <v>46165.291666666664</v>
      </c>
    </row>
    <row r="111">
      <c r="A111" s="3" t="s">
        <v>1123</v>
      </c>
      <c r="B111" s="3" t="s">
        <v>50</v>
      </c>
      <c r="C111" s="3" t="s">
        <v>1095</v>
      </c>
      <c r="D111" s="3" t="s">
        <v>68</v>
      </c>
      <c r="E111" s="3" t="s">
        <v>100</v>
      </c>
      <c r="F111" s="3" t="s">
        <v>64</v>
      </c>
      <c r="G111" s="7">
        <v>45870.291666666664</v>
      </c>
    </row>
    <row r="112">
      <c r="A112" s="3" t="s">
        <v>1126</v>
      </c>
      <c r="B112" s="3" t="s">
        <v>50</v>
      </c>
      <c r="C112" s="3" t="s">
        <v>1095</v>
      </c>
      <c r="D112" s="3" t="s">
        <v>68</v>
      </c>
      <c r="E112" s="3" t="s">
        <v>100</v>
      </c>
      <c r="F112" s="3" t="s">
        <v>140</v>
      </c>
      <c r="G112" s="7">
        <v>45970.291666666664</v>
      </c>
    </row>
    <row r="113">
      <c r="A113" s="3" t="s">
        <v>1130</v>
      </c>
      <c r="B113" s="3" t="s">
        <v>50</v>
      </c>
      <c r="C113" s="3" t="s">
        <v>1095</v>
      </c>
      <c r="D113" s="3" t="s">
        <v>68</v>
      </c>
      <c r="E113" s="3" t="s">
        <v>100</v>
      </c>
      <c r="F113" s="3" t="s">
        <v>229</v>
      </c>
      <c r="G113" s="7">
        <v>46070.291666666664</v>
      </c>
    </row>
    <row r="114">
      <c r="A114" s="3" t="s">
        <v>1134</v>
      </c>
      <c r="B114" s="3" t="s">
        <v>50</v>
      </c>
      <c r="C114" s="3" t="s">
        <v>1095</v>
      </c>
      <c r="D114" s="3" t="s">
        <v>68</v>
      </c>
      <c r="E114" s="3" t="s">
        <v>100</v>
      </c>
      <c r="F114" s="3" t="s">
        <v>312</v>
      </c>
      <c r="G114" s="7">
        <v>46170.291666666664</v>
      </c>
    </row>
    <row r="115">
      <c r="A115" s="3" t="s">
        <v>1137</v>
      </c>
      <c r="B115" s="3" t="s">
        <v>54</v>
      </c>
      <c r="C115" s="3" t="s">
        <v>1095</v>
      </c>
      <c r="D115" s="3" t="s">
        <v>68</v>
      </c>
      <c r="E115" s="3" t="s">
        <v>100</v>
      </c>
      <c r="F115" s="3" t="s">
        <v>71</v>
      </c>
      <c r="G115" s="7">
        <v>45875.291666666664</v>
      </c>
    </row>
    <row r="116">
      <c r="A116" s="3" t="s">
        <v>1139</v>
      </c>
      <c r="B116" s="3" t="s">
        <v>54</v>
      </c>
      <c r="C116" s="3" t="s">
        <v>1095</v>
      </c>
      <c r="D116" s="3" t="s">
        <v>68</v>
      </c>
      <c r="E116" s="3" t="s">
        <v>100</v>
      </c>
      <c r="F116" s="3" t="s">
        <v>147</v>
      </c>
      <c r="G116" s="7">
        <v>45975.291666666664</v>
      </c>
    </row>
    <row r="117">
      <c r="A117" s="3" t="s">
        <v>1142</v>
      </c>
      <c r="B117" s="3" t="s">
        <v>54</v>
      </c>
      <c r="C117" s="3" t="s">
        <v>1095</v>
      </c>
      <c r="D117" s="3" t="s">
        <v>68</v>
      </c>
      <c r="E117" s="3" t="s">
        <v>100</v>
      </c>
      <c r="F117" s="3" t="s">
        <v>235</v>
      </c>
      <c r="G117" s="7">
        <v>46075.291666666664</v>
      </c>
    </row>
    <row r="118">
      <c r="A118" s="3" t="s">
        <v>1144</v>
      </c>
      <c r="B118" s="3" t="s">
        <v>54</v>
      </c>
      <c r="C118" s="3" t="s">
        <v>1095</v>
      </c>
      <c r="D118" s="3" t="s">
        <v>68</v>
      </c>
      <c r="E118" s="3" t="s">
        <v>100</v>
      </c>
      <c r="F118" s="3" t="s">
        <v>318</v>
      </c>
      <c r="G118" s="7">
        <v>46175.291666666664</v>
      </c>
    </row>
    <row r="119">
      <c r="A119" s="3" t="s">
        <v>1147</v>
      </c>
      <c r="B119" s="3" t="s">
        <v>59</v>
      </c>
      <c r="C119" s="3" t="s">
        <v>1095</v>
      </c>
      <c r="D119" s="3" t="s">
        <v>68</v>
      </c>
      <c r="E119" s="3" t="s">
        <v>100</v>
      </c>
      <c r="F119" s="3" t="s">
        <v>78</v>
      </c>
      <c r="G119" s="7">
        <v>45880.291666666664</v>
      </c>
    </row>
    <row r="120">
      <c r="A120" s="3" t="s">
        <v>1150</v>
      </c>
      <c r="B120" s="3" t="s">
        <v>59</v>
      </c>
      <c r="C120" s="3" t="s">
        <v>1095</v>
      </c>
      <c r="D120" s="3" t="s">
        <v>68</v>
      </c>
      <c r="E120" s="3" t="s">
        <v>100</v>
      </c>
      <c r="F120" s="3" t="s">
        <v>153</v>
      </c>
      <c r="G120" s="7">
        <v>45980.291666666664</v>
      </c>
    </row>
    <row r="121">
      <c r="A121" s="3" t="s">
        <v>1152</v>
      </c>
      <c r="B121" s="3" t="s">
        <v>59</v>
      </c>
      <c r="C121" s="3" t="s">
        <v>1095</v>
      </c>
      <c r="D121" s="3" t="s">
        <v>68</v>
      </c>
      <c r="E121" s="3" t="s">
        <v>100</v>
      </c>
      <c r="F121" s="3" t="s">
        <v>242</v>
      </c>
      <c r="G121" s="7">
        <v>46080.291666666664</v>
      </c>
    </row>
    <row r="122">
      <c r="A122" s="3" t="s">
        <v>1155</v>
      </c>
      <c r="B122" s="3" t="s">
        <v>59</v>
      </c>
      <c r="C122" s="3" t="s">
        <v>1095</v>
      </c>
      <c r="D122" s="3" t="s">
        <v>68</v>
      </c>
      <c r="E122" s="3" t="s">
        <v>100</v>
      </c>
      <c r="F122" s="3" t="s">
        <v>324</v>
      </c>
      <c r="G122" s="7">
        <v>46180.291666666664</v>
      </c>
    </row>
    <row r="123">
      <c r="A123" s="3" t="s">
        <v>1157</v>
      </c>
      <c r="B123" s="3" t="s">
        <v>62</v>
      </c>
      <c r="C123" s="3" t="s">
        <v>1095</v>
      </c>
      <c r="D123" s="3" t="s">
        <v>68</v>
      </c>
      <c r="E123" s="3" t="s">
        <v>100</v>
      </c>
      <c r="F123" s="3" t="s">
        <v>87</v>
      </c>
      <c r="G123" s="7">
        <v>45885.291666666664</v>
      </c>
    </row>
    <row r="124">
      <c r="A124" s="3" t="s">
        <v>1160</v>
      </c>
      <c r="B124" s="3" t="s">
        <v>62</v>
      </c>
      <c r="C124" s="3" t="s">
        <v>1095</v>
      </c>
      <c r="D124" s="3" t="s">
        <v>68</v>
      </c>
      <c r="E124" s="3" t="s">
        <v>100</v>
      </c>
      <c r="F124" s="3" t="s">
        <v>161</v>
      </c>
      <c r="G124" s="7">
        <v>45985.291666666664</v>
      </c>
    </row>
    <row r="125">
      <c r="A125" s="3" t="s">
        <v>1163</v>
      </c>
      <c r="B125" s="3" t="s">
        <v>62</v>
      </c>
      <c r="C125" s="3" t="s">
        <v>1095</v>
      </c>
      <c r="D125" s="3" t="s">
        <v>68</v>
      </c>
      <c r="E125" s="3" t="s">
        <v>100</v>
      </c>
      <c r="F125" s="3" t="s">
        <v>249</v>
      </c>
      <c r="G125" s="7">
        <v>46085.291666666664</v>
      </c>
    </row>
    <row r="126">
      <c r="A126" s="3" t="s">
        <v>1165</v>
      </c>
      <c r="B126" s="3" t="s">
        <v>62</v>
      </c>
      <c r="C126" s="3" t="s">
        <v>1095</v>
      </c>
      <c r="D126" s="3" t="s">
        <v>68</v>
      </c>
      <c r="E126" s="3" t="s">
        <v>100</v>
      </c>
      <c r="F126" s="3" t="s">
        <v>332</v>
      </c>
      <c r="G126" s="7">
        <v>46185.291666666664</v>
      </c>
    </row>
    <row r="127">
      <c r="A127" s="3" t="s">
        <v>1167</v>
      </c>
      <c r="B127" s="3" t="s">
        <v>77</v>
      </c>
      <c r="C127" s="3" t="s">
        <v>1095</v>
      </c>
      <c r="D127" s="3" t="s">
        <v>68</v>
      </c>
      <c r="E127" s="3" t="s">
        <v>100</v>
      </c>
      <c r="F127" s="3" t="s">
        <v>94</v>
      </c>
      <c r="G127" s="7">
        <v>45910.291666666664</v>
      </c>
    </row>
    <row r="128">
      <c r="A128" s="3" t="s">
        <v>1169</v>
      </c>
      <c r="B128" s="3" t="s">
        <v>77</v>
      </c>
      <c r="C128" s="3" t="s">
        <v>1095</v>
      </c>
      <c r="D128" s="3" t="s">
        <v>68</v>
      </c>
      <c r="E128" s="3" t="s">
        <v>100</v>
      </c>
      <c r="F128" s="3" t="s">
        <v>167</v>
      </c>
      <c r="G128" s="7">
        <v>46010.291666666664</v>
      </c>
    </row>
    <row r="129">
      <c r="A129" s="3" t="s">
        <v>1172</v>
      </c>
      <c r="B129" s="3" t="s">
        <v>77</v>
      </c>
      <c r="C129" s="3" t="s">
        <v>1095</v>
      </c>
      <c r="D129" s="3" t="s">
        <v>68</v>
      </c>
      <c r="E129" s="3" t="s">
        <v>100</v>
      </c>
      <c r="F129" s="3" t="s">
        <v>255</v>
      </c>
      <c r="G129" s="7">
        <v>46110.291666666664</v>
      </c>
    </row>
    <row r="130">
      <c r="A130" s="3" t="s">
        <v>1174</v>
      </c>
      <c r="B130" s="3" t="s">
        <v>77</v>
      </c>
      <c r="C130" s="3" t="s">
        <v>1095</v>
      </c>
      <c r="D130" s="3" t="s">
        <v>68</v>
      </c>
      <c r="E130" s="3" t="s">
        <v>100</v>
      </c>
      <c r="F130" s="3" t="s">
        <v>338</v>
      </c>
      <c r="G130" s="7">
        <v>46210.291666666664</v>
      </c>
    </row>
    <row r="131">
      <c r="A131" s="3" t="s">
        <v>1178</v>
      </c>
      <c r="B131" s="3" t="s">
        <v>82</v>
      </c>
      <c r="C131" s="3" t="s">
        <v>1095</v>
      </c>
      <c r="D131" s="3" t="s">
        <v>68</v>
      </c>
      <c r="E131" s="3" t="s">
        <v>100</v>
      </c>
      <c r="F131" s="3" t="s">
        <v>101</v>
      </c>
      <c r="G131" s="7">
        <v>45915.291666666664</v>
      </c>
    </row>
    <row r="132">
      <c r="A132" s="3" t="s">
        <v>1180</v>
      </c>
      <c r="B132" s="3" t="s">
        <v>82</v>
      </c>
      <c r="C132" s="3" t="s">
        <v>1095</v>
      </c>
      <c r="D132" s="3" t="s">
        <v>68</v>
      </c>
      <c r="E132" s="3" t="s">
        <v>100</v>
      </c>
      <c r="F132" s="3" t="s">
        <v>174</v>
      </c>
      <c r="G132" s="7">
        <v>46015.291666666664</v>
      </c>
    </row>
    <row r="133">
      <c r="A133" s="3" t="s">
        <v>1183</v>
      </c>
      <c r="B133" s="3" t="s">
        <v>82</v>
      </c>
      <c r="C133" s="3" t="s">
        <v>1095</v>
      </c>
      <c r="D133" s="3" t="s">
        <v>68</v>
      </c>
      <c r="E133" s="3" t="s">
        <v>100</v>
      </c>
      <c r="F133" s="3" t="s">
        <v>265</v>
      </c>
      <c r="G133" s="7">
        <v>46115.291666666664</v>
      </c>
    </row>
    <row r="134">
      <c r="A134" s="3" t="s">
        <v>1186</v>
      </c>
      <c r="B134" s="3" t="s">
        <v>82</v>
      </c>
      <c r="C134" s="3" t="s">
        <v>1095</v>
      </c>
      <c r="D134" s="3" t="s">
        <v>68</v>
      </c>
      <c r="E134" s="3" t="s">
        <v>100</v>
      </c>
      <c r="F134" s="3" t="s">
        <v>343</v>
      </c>
      <c r="G134" s="7">
        <v>46215.291666666664</v>
      </c>
    </row>
    <row r="135">
      <c r="A135" s="3" t="s">
        <v>1188</v>
      </c>
      <c r="B135" s="3" t="s">
        <v>85</v>
      </c>
      <c r="C135" s="3" t="s">
        <v>1095</v>
      </c>
      <c r="D135" s="3" t="s">
        <v>68</v>
      </c>
      <c r="E135" s="3" t="s">
        <v>100</v>
      </c>
      <c r="F135" s="3" t="s">
        <v>105</v>
      </c>
      <c r="G135" s="7">
        <v>45920.291666666664</v>
      </c>
    </row>
    <row r="136">
      <c r="A136" s="3" t="s">
        <v>1191</v>
      </c>
      <c r="B136" s="3" t="s">
        <v>85</v>
      </c>
      <c r="C136" s="3" t="s">
        <v>1095</v>
      </c>
      <c r="D136" s="3" t="s">
        <v>68</v>
      </c>
      <c r="E136" s="3" t="s">
        <v>100</v>
      </c>
      <c r="F136" s="3" t="s">
        <v>182</v>
      </c>
      <c r="G136" s="7">
        <v>46020.291666666664</v>
      </c>
    </row>
    <row r="137">
      <c r="A137" s="3" t="s">
        <v>1194</v>
      </c>
      <c r="B137" s="3" t="s">
        <v>85</v>
      </c>
      <c r="C137" s="3" t="s">
        <v>1095</v>
      </c>
      <c r="D137" s="3" t="s">
        <v>68</v>
      </c>
      <c r="E137" s="3" t="s">
        <v>100</v>
      </c>
      <c r="F137" s="3" t="s">
        <v>271</v>
      </c>
      <c r="G137" s="7">
        <v>46120.291666666664</v>
      </c>
    </row>
    <row r="138">
      <c r="A138" s="3" t="s">
        <v>1197</v>
      </c>
      <c r="B138" s="3" t="s">
        <v>85</v>
      </c>
      <c r="C138" s="3" t="s">
        <v>1095</v>
      </c>
      <c r="D138" s="3" t="s">
        <v>68</v>
      </c>
      <c r="E138" s="3" t="s">
        <v>100</v>
      </c>
      <c r="F138" s="3" t="s">
        <v>351</v>
      </c>
      <c r="G138" s="7">
        <v>46220.291666666664</v>
      </c>
    </row>
    <row r="139">
      <c r="A139" s="3" t="s">
        <v>1199</v>
      </c>
      <c r="B139" s="3" t="s">
        <v>89</v>
      </c>
      <c r="C139" s="3" t="s">
        <v>1095</v>
      </c>
      <c r="D139" s="3" t="s">
        <v>68</v>
      </c>
      <c r="E139" s="3" t="s">
        <v>100</v>
      </c>
      <c r="F139" s="3" t="s">
        <v>107</v>
      </c>
      <c r="G139" s="7">
        <v>45925.291666666664</v>
      </c>
    </row>
    <row r="140">
      <c r="A140" s="3" t="s">
        <v>1202</v>
      </c>
      <c r="B140" s="3" t="s">
        <v>89</v>
      </c>
      <c r="C140" s="3" t="s">
        <v>1095</v>
      </c>
      <c r="D140" s="3" t="s">
        <v>68</v>
      </c>
      <c r="E140" s="3" t="s">
        <v>100</v>
      </c>
      <c r="F140" s="3" t="s">
        <v>190</v>
      </c>
      <c r="G140" s="7">
        <v>46025.291666666664</v>
      </c>
    </row>
    <row r="141">
      <c r="A141" s="3" t="s">
        <v>1205</v>
      </c>
      <c r="B141" s="3" t="s">
        <v>89</v>
      </c>
      <c r="C141" s="3" t="s">
        <v>1095</v>
      </c>
      <c r="D141" s="3" t="s">
        <v>68</v>
      </c>
      <c r="E141" s="3" t="s">
        <v>100</v>
      </c>
      <c r="F141" s="3" t="s">
        <v>278</v>
      </c>
      <c r="G141" s="7">
        <v>46125.291666666664</v>
      </c>
    </row>
    <row r="142">
      <c r="A142" s="3" t="s">
        <v>1207</v>
      </c>
      <c r="B142" s="3" t="s">
        <v>89</v>
      </c>
      <c r="C142" s="3" t="s">
        <v>1095</v>
      </c>
      <c r="D142" s="3" t="s">
        <v>68</v>
      </c>
      <c r="E142" s="3" t="s">
        <v>100</v>
      </c>
      <c r="F142" s="3" t="s">
        <v>358</v>
      </c>
      <c r="G142" s="7">
        <v>46225.291666666664</v>
      </c>
    </row>
    <row r="143">
      <c r="A143" s="3" t="s">
        <v>1209</v>
      </c>
      <c r="B143" s="3" t="s">
        <v>91</v>
      </c>
      <c r="C143" s="3" t="s">
        <v>1095</v>
      </c>
      <c r="D143" s="3" t="s">
        <v>68</v>
      </c>
      <c r="E143" s="3" t="s">
        <v>100</v>
      </c>
      <c r="F143" s="3" t="s">
        <v>114</v>
      </c>
      <c r="G143" s="7">
        <v>45930.291666666664</v>
      </c>
    </row>
    <row r="144">
      <c r="A144" s="3" t="s">
        <v>1212</v>
      </c>
      <c r="B144" s="3" t="s">
        <v>91</v>
      </c>
      <c r="C144" s="3" t="s">
        <v>1095</v>
      </c>
      <c r="D144" s="3" t="s">
        <v>68</v>
      </c>
      <c r="E144" s="3" t="s">
        <v>100</v>
      </c>
      <c r="F144" s="3" t="s">
        <v>199</v>
      </c>
      <c r="G144" s="7">
        <v>46030.291666666664</v>
      </c>
    </row>
    <row r="145">
      <c r="A145" s="3" t="s">
        <v>1213</v>
      </c>
      <c r="B145" s="3" t="s">
        <v>91</v>
      </c>
      <c r="C145" s="3" t="s">
        <v>1095</v>
      </c>
      <c r="D145" s="3" t="s">
        <v>68</v>
      </c>
      <c r="E145" s="3" t="s">
        <v>100</v>
      </c>
      <c r="F145" s="3" t="s">
        <v>283</v>
      </c>
      <c r="G145" s="7">
        <v>46130.291666666664</v>
      </c>
    </row>
    <row r="146">
      <c r="A146" s="3" t="s">
        <v>1217</v>
      </c>
      <c r="B146" s="3" t="s">
        <v>91</v>
      </c>
      <c r="C146" s="3" t="s">
        <v>1095</v>
      </c>
      <c r="D146" s="3" t="s">
        <v>68</v>
      </c>
      <c r="E146" s="3" t="s">
        <v>100</v>
      </c>
      <c r="F146" s="3" t="s">
        <v>365</v>
      </c>
      <c r="G146" s="7">
        <v>46230.291666666664</v>
      </c>
    </row>
    <row r="147">
      <c r="A147" s="3" t="s">
        <v>1219</v>
      </c>
      <c r="B147" s="3" t="s">
        <v>95</v>
      </c>
      <c r="C147" s="3" t="s">
        <v>1095</v>
      </c>
      <c r="D147" s="3" t="s">
        <v>68</v>
      </c>
      <c r="E147" s="3" t="s">
        <v>100</v>
      </c>
      <c r="F147" s="3" t="s">
        <v>120</v>
      </c>
      <c r="G147" s="7">
        <v>45935.291666666664</v>
      </c>
    </row>
    <row r="148">
      <c r="A148" s="3" t="s">
        <v>1221</v>
      </c>
      <c r="B148" s="3" t="s">
        <v>95</v>
      </c>
      <c r="C148" s="3" t="s">
        <v>1095</v>
      </c>
      <c r="D148" s="3" t="s">
        <v>68</v>
      </c>
      <c r="E148" s="3" t="s">
        <v>100</v>
      </c>
      <c r="F148" s="3" t="s">
        <v>207</v>
      </c>
      <c r="G148" s="7">
        <v>46035.291666666664</v>
      </c>
    </row>
    <row r="149">
      <c r="A149" s="3" t="s">
        <v>1223</v>
      </c>
      <c r="B149" s="3" t="s">
        <v>95</v>
      </c>
      <c r="C149" s="3" t="s">
        <v>1095</v>
      </c>
      <c r="D149" s="3" t="s">
        <v>68</v>
      </c>
      <c r="E149" s="3" t="s">
        <v>100</v>
      </c>
      <c r="F149" s="3" t="s">
        <v>292</v>
      </c>
      <c r="G149" s="7">
        <v>46135.291666666664</v>
      </c>
    </row>
    <row r="150">
      <c r="A150" s="3" t="s">
        <v>1224</v>
      </c>
      <c r="B150" s="3" t="s">
        <v>95</v>
      </c>
      <c r="C150" s="3" t="s">
        <v>1095</v>
      </c>
      <c r="D150" s="3" t="s">
        <v>68</v>
      </c>
      <c r="E150" s="3" t="s">
        <v>100</v>
      </c>
      <c r="F150" s="3" t="s">
        <v>372</v>
      </c>
      <c r="G150" s="7">
        <v>46235.291666666664</v>
      </c>
    </row>
    <row r="151">
      <c r="A151" s="3" t="s">
        <v>1227</v>
      </c>
      <c r="B151" s="3" t="s">
        <v>535</v>
      </c>
      <c r="C151" s="3" t="s">
        <v>56</v>
      </c>
      <c r="D151" s="3" t="s">
        <v>68</v>
      </c>
      <c r="E151" s="3" t="s">
        <v>100</v>
      </c>
      <c r="F151" s="3" t="s">
        <v>470</v>
      </c>
      <c r="G151" s="7">
        <v>45761.37499999999</v>
      </c>
    </row>
    <row r="152">
      <c r="A152" s="3" t="s">
        <v>1230</v>
      </c>
      <c r="B152" s="3" t="s">
        <v>575</v>
      </c>
      <c r="C152" s="3" t="s">
        <v>56</v>
      </c>
      <c r="D152" s="3" t="s">
        <v>68</v>
      </c>
      <c r="E152" s="3" t="s">
        <v>100</v>
      </c>
      <c r="F152" s="3" t="s">
        <v>477</v>
      </c>
      <c r="G152" s="7">
        <v>45761.44617484541</v>
      </c>
    </row>
    <row r="153">
      <c r="A153" s="3" t="s">
        <v>1233</v>
      </c>
      <c r="B153" s="3" t="s">
        <v>516</v>
      </c>
      <c r="C153" s="3" t="s">
        <v>56</v>
      </c>
      <c r="D153" s="3" t="s">
        <v>68</v>
      </c>
      <c r="E153" s="3" t="s">
        <v>100</v>
      </c>
      <c r="F153" s="3" t="s">
        <v>483</v>
      </c>
      <c r="G153" s="7">
        <v>45761.51734969083</v>
      </c>
    </row>
    <row r="154">
      <c r="A154" s="3" t="s">
        <v>1236</v>
      </c>
      <c r="B154" s="3" t="s">
        <v>546</v>
      </c>
      <c r="C154" s="3" t="s">
        <v>56</v>
      </c>
      <c r="D154" s="3" t="s">
        <v>181</v>
      </c>
      <c r="E154" s="3" t="s">
        <v>45</v>
      </c>
      <c r="F154" s="3" t="s">
        <v>45</v>
      </c>
      <c r="G154" s="7">
        <v>45761.588524536244</v>
      </c>
    </row>
    <row r="155">
      <c r="A155" s="3" t="s">
        <v>1238</v>
      </c>
      <c r="B155" s="3" t="s">
        <v>488</v>
      </c>
      <c r="C155" s="3" t="s">
        <v>56</v>
      </c>
      <c r="D155" s="3" t="s">
        <v>181</v>
      </c>
      <c r="E155" s="3" t="s">
        <v>45</v>
      </c>
      <c r="F155" s="3" t="s">
        <v>45</v>
      </c>
      <c r="G155" s="7">
        <v>45761.65969938166</v>
      </c>
    </row>
    <row r="156">
      <c r="A156" s="3" t="s">
        <v>1241</v>
      </c>
      <c r="B156" s="3" t="s">
        <v>406</v>
      </c>
      <c r="C156" s="3" t="s">
        <v>56</v>
      </c>
      <c r="D156" s="3" t="s">
        <v>68</v>
      </c>
      <c r="E156" s="3" t="s">
        <v>100</v>
      </c>
      <c r="F156" s="3" t="s">
        <v>490</v>
      </c>
      <c r="G156" s="7">
        <v>45761.730874227076</v>
      </c>
    </row>
    <row r="157">
      <c r="A157" s="3" t="s">
        <v>1244</v>
      </c>
      <c r="B157" s="3" t="s">
        <v>468</v>
      </c>
      <c r="C157" s="3" t="s">
        <v>56</v>
      </c>
      <c r="D157" s="3" t="s">
        <v>68</v>
      </c>
      <c r="E157" s="3" t="s">
        <v>100</v>
      </c>
      <c r="F157" s="3" t="s">
        <v>495</v>
      </c>
      <c r="G157" s="7">
        <v>45761.80204907249</v>
      </c>
    </row>
    <row r="158">
      <c r="A158" s="3" t="s">
        <v>1246</v>
      </c>
      <c r="B158" s="3" t="s">
        <v>710</v>
      </c>
      <c r="C158" s="3" t="s">
        <v>56</v>
      </c>
      <c r="D158" s="3" t="s">
        <v>181</v>
      </c>
      <c r="E158" s="3" t="s">
        <v>45</v>
      </c>
      <c r="F158" s="3" t="s">
        <v>45</v>
      </c>
      <c r="G158" s="7">
        <v>45761.8732239179</v>
      </c>
    </row>
    <row r="159">
      <c r="A159" s="3" t="s">
        <v>1250</v>
      </c>
      <c r="B159" s="3" t="s">
        <v>344</v>
      </c>
      <c r="C159" s="3" t="s">
        <v>56</v>
      </c>
      <c r="D159" s="3" t="s">
        <v>68</v>
      </c>
      <c r="E159" s="3" t="s">
        <v>100</v>
      </c>
      <c r="F159" s="3" t="s">
        <v>504</v>
      </c>
      <c r="G159" s="7">
        <v>45761.94439876332</v>
      </c>
    </row>
    <row r="160">
      <c r="A160" s="3" t="s">
        <v>1252</v>
      </c>
      <c r="B160" s="3" t="s">
        <v>462</v>
      </c>
      <c r="C160" s="3" t="s">
        <v>56</v>
      </c>
      <c r="D160" s="3" t="s">
        <v>68</v>
      </c>
      <c r="E160" s="3" t="s">
        <v>100</v>
      </c>
      <c r="F160" s="3" t="s">
        <v>509</v>
      </c>
      <c r="G160" s="7">
        <v>45762.01557360873</v>
      </c>
    </row>
    <row r="161">
      <c r="A161" s="3" t="s">
        <v>1255</v>
      </c>
      <c r="B161" s="3" t="s">
        <v>377</v>
      </c>
      <c r="C161" s="3" t="s">
        <v>56</v>
      </c>
      <c r="D161" s="3" t="s">
        <v>68</v>
      </c>
      <c r="E161" s="3" t="s">
        <v>100</v>
      </c>
      <c r="F161" s="3" t="s">
        <v>518</v>
      </c>
      <c r="G161" s="7">
        <v>45762.086748454145</v>
      </c>
    </row>
    <row r="162">
      <c r="A162" s="3" t="s">
        <v>1258</v>
      </c>
      <c r="B162" s="3" t="s">
        <v>767</v>
      </c>
      <c r="C162" s="3" t="s">
        <v>56</v>
      </c>
      <c r="D162" s="3" t="s">
        <v>68</v>
      </c>
      <c r="E162" s="3" t="s">
        <v>100</v>
      </c>
      <c r="F162" s="3" t="s">
        <v>526</v>
      </c>
      <c r="G162" s="7">
        <v>45762.157923299565</v>
      </c>
    </row>
    <row r="163">
      <c r="A163" s="3" t="s">
        <v>1260</v>
      </c>
      <c r="B163" s="3" t="s">
        <v>485</v>
      </c>
      <c r="C163" s="3" t="s">
        <v>56</v>
      </c>
      <c r="D163" s="3" t="s">
        <v>68</v>
      </c>
      <c r="E163" s="3" t="s">
        <v>100</v>
      </c>
      <c r="F163" s="3" t="s">
        <v>532</v>
      </c>
      <c r="G163" s="7">
        <v>45762.22909814498</v>
      </c>
    </row>
    <row r="164">
      <c r="A164" s="3" t="s">
        <v>1263</v>
      </c>
      <c r="B164" s="3" t="s">
        <v>698</v>
      </c>
      <c r="C164" s="3" t="s">
        <v>56</v>
      </c>
      <c r="D164" s="3" t="s">
        <v>68</v>
      </c>
      <c r="E164" s="3" t="s">
        <v>100</v>
      </c>
      <c r="F164" s="3" t="s">
        <v>538</v>
      </c>
      <c r="G164" s="7">
        <v>45762.30027299039</v>
      </c>
    </row>
    <row r="165">
      <c r="A165" s="3" t="s">
        <v>1266</v>
      </c>
      <c r="B165" s="3" t="s">
        <v>424</v>
      </c>
      <c r="C165" s="3" t="s">
        <v>56</v>
      </c>
      <c r="D165" s="3" t="s">
        <v>68</v>
      </c>
      <c r="E165" s="3" t="s">
        <v>100</v>
      </c>
      <c r="F165" s="3" t="s">
        <v>549</v>
      </c>
      <c r="G165" s="7">
        <v>45762.37144783581</v>
      </c>
    </row>
    <row r="166">
      <c r="A166" s="3" t="s">
        <v>1269</v>
      </c>
      <c r="B166" s="3" t="s">
        <v>466</v>
      </c>
      <c r="C166" s="3" t="s">
        <v>56</v>
      </c>
      <c r="D166" s="3" t="s">
        <v>181</v>
      </c>
      <c r="E166" s="3" t="s">
        <v>45</v>
      </c>
      <c r="F166" s="3" t="s">
        <v>45</v>
      </c>
      <c r="G166" s="7">
        <v>45762.44262268123</v>
      </c>
    </row>
    <row r="167">
      <c r="A167" s="3" t="s">
        <v>1273</v>
      </c>
      <c r="B167" s="3" t="s">
        <v>266</v>
      </c>
      <c r="C167" s="3" t="s">
        <v>56</v>
      </c>
      <c r="D167" s="3" t="s">
        <v>68</v>
      </c>
      <c r="E167" s="3" t="s">
        <v>100</v>
      </c>
      <c r="F167" s="3" t="s">
        <v>553</v>
      </c>
      <c r="G167" s="7">
        <v>45762.51379752663</v>
      </c>
    </row>
    <row r="168">
      <c r="A168" s="3" t="s">
        <v>1275</v>
      </c>
      <c r="B168" s="3" t="s">
        <v>498</v>
      </c>
      <c r="C168" s="3" t="s">
        <v>56</v>
      </c>
      <c r="D168" s="3" t="s">
        <v>68</v>
      </c>
      <c r="E168" s="3" t="s">
        <v>100</v>
      </c>
      <c r="F168" s="3" t="s">
        <v>560</v>
      </c>
      <c r="G168" s="7">
        <v>45762.58497237205</v>
      </c>
    </row>
    <row r="169">
      <c r="A169" s="3" t="s">
        <v>1277</v>
      </c>
      <c r="B169" s="3" t="s">
        <v>993</v>
      </c>
      <c r="C169" s="3" t="s">
        <v>56</v>
      </c>
      <c r="D169" s="3" t="s">
        <v>68</v>
      </c>
      <c r="E169" s="3" t="s">
        <v>100</v>
      </c>
      <c r="F169" s="3" t="s">
        <v>568</v>
      </c>
      <c r="G169" s="7">
        <v>45762.65614721747</v>
      </c>
    </row>
    <row r="170">
      <c r="A170" s="3" t="s">
        <v>1280</v>
      </c>
      <c r="B170" s="3" t="s">
        <v>316</v>
      </c>
      <c r="C170" s="3" t="s">
        <v>56</v>
      </c>
      <c r="D170" s="3" t="s">
        <v>68</v>
      </c>
      <c r="E170" s="3" t="s">
        <v>100</v>
      </c>
      <c r="F170" s="3" t="s">
        <v>578</v>
      </c>
      <c r="G170" s="7">
        <v>45762.727322062885</v>
      </c>
    </row>
    <row r="171">
      <c r="A171" s="3" t="s">
        <v>1282</v>
      </c>
      <c r="B171" s="3" t="s">
        <v>391</v>
      </c>
      <c r="C171" s="3" t="s">
        <v>56</v>
      </c>
      <c r="D171" s="3" t="s">
        <v>181</v>
      </c>
      <c r="E171" s="3" t="s">
        <v>45</v>
      </c>
      <c r="F171" s="3" t="s">
        <v>45</v>
      </c>
      <c r="G171" s="7">
        <v>45762.7984969083</v>
      </c>
    </row>
    <row r="172">
      <c r="A172" s="3" t="s">
        <v>1285</v>
      </c>
      <c r="B172" s="3" t="s">
        <v>539</v>
      </c>
      <c r="C172" s="3" t="s">
        <v>56</v>
      </c>
      <c r="D172" s="3" t="s">
        <v>68</v>
      </c>
      <c r="E172" s="3" t="s">
        <v>100</v>
      </c>
      <c r="F172" s="3" t="s">
        <v>583</v>
      </c>
      <c r="G172" s="7">
        <v>45762.86967175372</v>
      </c>
    </row>
    <row r="173">
      <c r="A173" s="3" t="s">
        <v>1287</v>
      </c>
      <c r="B173" s="3" t="s">
        <v>903</v>
      </c>
      <c r="C173" s="3" t="s">
        <v>56</v>
      </c>
      <c r="D173" s="3" t="s">
        <v>68</v>
      </c>
      <c r="E173" s="3" t="s">
        <v>100</v>
      </c>
      <c r="F173" s="3" t="s">
        <v>589</v>
      </c>
      <c r="G173" s="7">
        <v>45762.94084659913</v>
      </c>
    </row>
    <row r="174">
      <c r="A174" s="3" t="s">
        <v>1290</v>
      </c>
      <c r="B174" s="3" t="s">
        <v>414</v>
      </c>
      <c r="C174" s="3" t="s">
        <v>56</v>
      </c>
      <c r="D174" s="3" t="s">
        <v>68</v>
      </c>
      <c r="E174" s="3" t="s">
        <v>100</v>
      </c>
      <c r="F174" s="3" t="s">
        <v>595</v>
      </c>
      <c r="G174" s="7">
        <v>45763.01202144454</v>
      </c>
    </row>
    <row r="175">
      <c r="A175" s="3" t="s">
        <v>1293</v>
      </c>
      <c r="B175" s="3" t="s">
        <v>672</v>
      </c>
      <c r="C175" s="3" t="s">
        <v>56</v>
      </c>
      <c r="D175" s="3" t="s">
        <v>68</v>
      </c>
      <c r="E175" s="3" t="s">
        <v>100</v>
      </c>
      <c r="F175" s="3" t="s">
        <v>603</v>
      </c>
      <c r="G175" s="7">
        <v>45763.08319628996</v>
      </c>
    </row>
    <row r="176">
      <c r="A176" s="3" t="s">
        <v>1296</v>
      </c>
      <c r="B176" s="3" t="s">
        <v>348</v>
      </c>
      <c r="C176" s="3" t="s">
        <v>56</v>
      </c>
      <c r="D176" s="3" t="s">
        <v>68</v>
      </c>
      <c r="E176" s="3" t="s">
        <v>100</v>
      </c>
      <c r="F176" s="3" t="s">
        <v>611</v>
      </c>
      <c r="G176" s="7">
        <v>45763.15437113538</v>
      </c>
    </row>
    <row r="177">
      <c r="A177" s="3" t="s">
        <v>1298</v>
      </c>
      <c r="B177" s="3" t="s">
        <v>263</v>
      </c>
      <c r="C177" s="3" t="s">
        <v>56</v>
      </c>
      <c r="D177" s="3" t="s">
        <v>181</v>
      </c>
      <c r="E177" s="3" t="s">
        <v>45</v>
      </c>
      <c r="F177" s="3" t="s">
        <v>45</v>
      </c>
      <c r="G177" s="7">
        <v>45763.225545980786</v>
      </c>
    </row>
    <row r="178">
      <c r="A178" s="3" t="s">
        <v>1301</v>
      </c>
      <c r="B178" s="3" t="s">
        <v>541</v>
      </c>
      <c r="C178" s="3" t="s">
        <v>56</v>
      </c>
      <c r="D178" s="3" t="s">
        <v>68</v>
      </c>
      <c r="E178" s="3" t="s">
        <v>100</v>
      </c>
      <c r="F178" s="3" t="s">
        <v>618</v>
      </c>
      <c r="G178" s="7">
        <v>45763.296720826205</v>
      </c>
    </row>
    <row r="179">
      <c r="A179" s="3" t="s">
        <v>1303</v>
      </c>
      <c r="B179" s="3" t="s">
        <v>811</v>
      </c>
      <c r="C179" s="3" t="s">
        <v>56</v>
      </c>
      <c r="D179" s="3" t="s">
        <v>68</v>
      </c>
      <c r="E179" s="3" t="s">
        <v>100</v>
      </c>
      <c r="F179" s="3" t="s">
        <v>626</v>
      </c>
      <c r="G179" s="7">
        <v>45763.36789567162</v>
      </c>
    </row>
    <row r="180">
      <c r="A180" s="3" t="s">
        <v>1306</v>
      </c>
      <c r="B180" s="3" t="s">
        <v>383</v>
      </c>
      <c r="C180" s="3" t="s">
        <v>56</v>
      </c>
      <c r="D180" s="3" t="s">
        <v>68</v>
      </c>
      <c r="E180" s="3" t="s">
        <v>100</v>
      </c>
      <c r="F180" s="3" t="s">
        <v>633</v>
      </c>
      <c r="G180" s="7">
        <v>45763.43907051704</v>
      </c>
    </row>
    <row r="181">
      <c r="A181" s="3" t="s">
        <v>1309</v>
      </c>
      <c r="B181" s="3" t="s">
        <v>900</v>
      </c>
      <c r="C181" s="3" t="s">
        <v>56</v>
      </c>
      <c r="D181" s="3" t="s">
        <v>68</v>
      </c>
      <c r="E181" s="3" t="s">
        <v>100</v>
      </c>
      <c r="F181" s="3" t="s">
        <v>641</v>
      </c>
      <c r="G181" s="7">
        <v>45763.51024536245</v>
      </c>
    </row>
    <row r="182">
      <c r="A182" s="3" t="s">
        <v>1311</v>
      </c>
      <c r="B182" s="3" t="s">
        <v>922</v>
      </c>
      <c r="C182" s="3" t="s">
        <v>56</v>
      </c>
      <c r="D182" s="3" t="s">
        <v>195</v>
      </c>
      <c r="E182" s="3" t="s">
        <v>45</v>
      </c>
      <c r="F182" s="3" t="s">
        <v>45</v>
      </c>
      <c r="G182" s="7">
        <v>45763.58142020787</v>
      </c>
    </row>
    <row r="183">
      <c r="A183" s="3" t="s">
        <v>1314</v>
      </c>
      <c r="B183" s="3" t="s">
        <v>226</v>
      </c>
      <c r="C183" s="3" t="s">
        <v>56</v>
      </c>
      <c r="D183" s="3" t="s">
        <v>68</v>
      </c>
      <c r="E183" s="3" t="s">
        <v>100</v>
      </c>
      <c r="F183" s="3" t="s">
        <v>646</v>
      </c>
      <c r="G183" s="7">
        <v>45763.652595053274</v>
      </c>
    </row>
    <row r="184">
      <c r="A184" s="3" t="s">
        <v>1317</v>
      </c>
      <c r="B184" s="3" t="s">
        <v>179</v>
      </c>
      <c r="C184" s="3" t="s">
        <v>56</v>
      </c>
      <c r="D184" s="3" t="s">
        <v>195</v>
      </c>
      <c r="E184" s="3" t="s">
        <v>45</v>
      </c>
      <c r="F184" s="3" t="s">
        <v>45</v>
      </c>
      <c r="G184" s="7">
        <v>45763.723769898694</v>
      </c>
    </row>
    <row r="185">
      <c r="A185" s="3" t="s">
        <v>1320</v>
      </c>
      <c r="B185" s="3" t="s">
        <v>993</v>
      </c>
      <c r="C185" s="3" t="s">
        <v>1095</v>
      </c>
      <c r="D185" s="3" t="s">
        <v>68</v>
      </c>
      <c r="E185" s="3" t="s">
        <v>100</v>
      </c>
      <c r="F185" s="3" t="s">
        <v>568</v>
      </c>
      <c r="G185" s="7">
        <v>45763.79494474411</v>
      </c>
    </row>
    <row r="186">
      <c r="A186" s="3" t="s">
        <v>1323</v>
      </c>
      <c r="B186" s="3" t="s">
        <v>141</v>
      </c>
      <c r="C186" s="3" t="s">
        <v>56</v>
      </c>
      <c r="D186" s="3" t="s">
        <v>68</v>
      </c>
      <c r="E186" s="3" t="s">
        <v>100</v>
      </c>
      <c r="F186" s="3" t="s">
        <v>653</v>
      </c>
      <c r="G186" s="7">
        <v>45763.866119589526</v>
      </c>
    </row>
    <row r="187">
      <c r="A187" s="3" t="s">
        <v>1325</v>
      </c>
      <c r="B187" s="3" t="s">
        <v>652</v>
      </c>
      <c r="C187" s="3" t="s">
        <v>56</v>
      </c>
      <c r="D187" s="3" t="s">
        <v>195</v>
      </c>
      <c r="E187" s="3" t="s">
        <v>45</v>
      </c>
      <c r="F187" s="3" t="s">
        <v>45</v>
      </c>
      <c r="G187" s="7">
        <v>45763.93729443494</v>
      </c>
    </row>
    <row r="188">
      <c r="A188" s="3" t="s">
        <v>1328</v>
      </c>
      <c r="B188" s="3" t="s">
        <v>694</v>
      </c>
      <c r="C188" s="3" t="s">
        <v>56</v>
      </c>
      <c r="D188" s="3" t="s">
        <v>68</v>
      </c>
      <c r="E188" s="3" t="s">
        <v>100</v>
      </c>
      <c r="F188" s="3" t="s">
        <v>659</v>
      </c>
      <c r="G188" s="7">
        <v>45764.00846928036</v>
      </c>
    </row>
    <row r="189">
      <c r="A189" s="3" t="s">
        <v>1332</v>
      </c>
      <c r="B189" s="3" t="s">
        <v>460</v>
      </c>
      <c r="C189" s="3" t="s">
        <v>56</v>
      </c>
      <c r="D189" s="3" t="s">
        <v>68</v>
      </c>
      <c r="E189" s="3" t="s">
        <v>100</v>
      </c>
      <c r="F189" s="3" t="s">
        <v>668</v>
      </c>
      <c r="G189" s="7">
        <v>45764.07964412577</v>
      </c>
    </row>
    <row r="190">
      <c r="A190" s="3" t="s">
        <v>1334</v>
      </c>
      <c r="B190" s="3" t="s">
        <v>1011</v>
      </c>
      <c r="C190" s="3" t="s">
        <v>56</v>
      </c>
      <c r="D190" s="3" t="s">
        <v>181</v>
      </c>
      <c r="E190" s="3" t="s">
        <v>45</v>
      </c>
      <c r="F190" s="3" t="s">
        <v>45</v>
      </c>
      <c r="G190" s="7">
        <v>45764.15081897118</v>
      </c>
    </row>
    <row r="191">
      <c r="A191" s="3" t="s">
        <v>1337</v>
      </c>
      <c r="B191" s="3" t="s">
        <v>230</v>
      </c>
      <c r="C191" s="3" t="s">
        <v>56</v>
      </c>
      <c r="D191" s="3" t="s">
        <v>68</v>
      </c>
      <c r="E191" s="3" t="s">
        <v>100</v>
      </c>
      <c r="F191" s="3" t="s">
        <v>673</v>
      </c>
      <c r="G191" s="7">
        <v>45764.2219938166</v>
      </c>
    </row>
    <row r="192">
      <c r="A192" s="3" t="s">
        <v>1340</v>
      </c>
      <c r="B192" s="3" t="s">
        <v>383</v>
      </c>
      <c r="C192" s="3" t="s">
        <v>1342</v>
      </c>
      <c r="D192" s="3" t="s">
        <v>68</v>
      </c>
      <c r="E192" s="3" t="s">
        <v>100</v>
      </c>
      <c r="F192" s="3" t="s">
        <v>633</v>
      </c>
      <c r="G192" s="7">
        <v>45764.29316866202</v>
      </c>
    </row>
    <row r="193">
      <c r="A193" s="3" t="s">
        <v>1344</v>
      </c>
      <c r="B193" s="3" t="s">
        <v>972</v>
      </c>
      <c r="C193" s="3" t="s">
        <v>56</v>
      </c>
      <c r="D193" s="3" t="s">
        <v>68</v>
      </c>
      <c r="E193" s="3" t="s">
        <v>100</v>
      </c>
      <c r="F193" s="3" t="s">
        <v>681</v>
      </c>
      <c r="G193" s="7">
        <v>45764.36434350743</v>
      </c>
    </row>
    <row r="194">
      <c r="A194" s="3" t="s">
        <v>1347</v>
      </c>
      <c r="B194" s="3" t="s">
        <v>886</v>
      </c>
      <c r="C194" s="3" t="s">
        <v>56</v>
      </c>
      <c r="D194" s="3" t="s">
        <v>68</v>
      </c>
      <c r="E194" s="3" t="s">
        <v>100</v>
      </c>
      <c r="F194" s="3" t="s">
        <v>688</v>
      </c>
      <c r="G194" s="7">
        <v>45764.435518352846</v>
      </c>
    </row>
    <row r="195">
      <c r="A195" s="3" t="s">
        <v>1350</v>
      </c>
      <c r="B195" s="3" t="s">
        <v>193</v>
      </c>
      <c r="C195" s="3" t="s">
        <v>56</v>
      </c>
      <c r="D195" s="3" t="s">
        <v>68</v>
      </c>
      <c r="E195" s="3" t="s">
        <v>100</v>
      </c>
      <c r="F195" s="3" t="s">
        <v>693</v>
      </c>
      <c r="G195" s="7">
        <v>45764.506693198266</v>
      </c>
    </row>
    <row r="196">
      <c r="A196" s="3" t="s">
        <v>1353</v>
      </c>
      <c r="B196" s="3" t="s">
        <v>491</v>
      </c>
      <c r="C196" s="3" t="s">
        <v>56</v>
      </c>
      <c r="D196" s="3" t="s">
        <v>68</v>
      </c>
      <c r="E196" s="3" t="s">
        <v>100</v>
      </c>
      <c r="F196" s="3" t="s">
        <v>701</v>
      </c>
      <c r="G196" s="7">
        <v>45764.57786804368</v>
      </c>
    </row>
    <row r="197">
      <c r="A197" s="3" t="s">
        <v>1357</v>
      </c>
      <c r="B197" s="3" t="s">
        <v>965</v>
      </c>
      <c r="C197" s="3" t="s">
        <v>56</v>
      </c>
      <c r="D197" s="3" t="s">
        <v>68</v>
      </c>
      <c r="E197" s="3" t="s">
        <v>100</v>
      </c>
      <c r="F197" s="3" t="s">
        <v>705</v>
      </c>
      <c r="G197" s="7">
        <v>45764.64904288909</v>
      </c>
    </row>
    <row r="198">
      <c r="A198" s="3" t="s">
        <v>1359</v>
      </c>
      <c r="B198" s="3" t="s">
        <v>395</v>
      </c>
      <c r="C198" s="3" t="s">
        <v>56</v>
      </c>
      <c r="D198" s="3" t="s">
        <v>68</v>
      </c>
      <c r="E198" s="3" t="s">
        <v>100</v>
      </c>
      <c r="F198" s="3" t="s">
        <v>712</v>
      </c>
      <c r="G198" s="7">
        <v>45764.72021773451</v>
      </c>
    </row>
    <row r="199">
      <c r="A199" s="3" t="s">
        <v>1362</v>
      </c>
      <c r="B199" s="3" t="s">
        <v>496</v>
      </c>
      <c r="C199" s="3" t="s">
        <v>56</v>
      </c>
      <c r="D199" s="3" t="s">
        <v>68</v>
      </c>
      <c r="E199" s="3" t="s">
        <v>100</v>
      </c>
      <c r="F199" s="3" t="s">
        <v>716</v>
      </c>
      <c r="G199" s="7">
        <v>45764.79139257992</v>
      </c>
    </row>
    <row r="200">
      <c r="A200" s="3" t="s">
        <v>1365</v>
      </c>
      <c r="B200" s="3" t="s">
        <v>926</v>
      </c>
      <c r="C200" s="3" t="s">
        <v>56</v>
      </c>
      <c r="D200" s="3" t="s">
        <v>181</v>
      </c>
      <c r="E200" s="3" t="s">
        <v>45</v>
      </c>
      <c r="F200" s="3" t="s">
        <v>45</v>
      </c>
      <c r="G200" s="7">
        <v>45764.862567425334</v>
      </c>
    </row>
    <row r="201">
      <c r="A201" s="3" t="s">
        <v>1368</v>
      </c>
      <c r="B201" s="3" t="s">
        <v>926</v>
      </c>
      <c r="C201" s="3" t="s">
        <v>56</v>
      </c>
      <c r="D201" s="3" t="s">
        <v>68</v>
      </c>
      <c r="E201" s="3" t="s">
        <v>100</v>
      </c>
      <c r="F201" s="3" t="s">
        <v>721</v>
      </c>
      <c r="G201" s="7">
        <v>45764.933742270754</v>
      </c>
    </row>
    <row r="202">
      <c r="A202" s="3" t="s">
        <v>1372</v>
      </c>
      <c r="B202" s="3" t="s">
        <v>752</v>
      </c>
      <c r="C202" s="3" t="s">
        <v>56</v>
      </c>
      <c r="D202" s="3" t="s">
        <v>68</v>
      </c>
      <c r="E202" s="3" t="s">
        <v>100</v>
      </c>
      <c r="F202" s="3" t="s">
        <v>728</v>
      </c>
      <c r="G202" s="7">
        <v>45765.004917116166</v>
      </c>
    </row>
    <row r="203">
      <c r="A203" s="3" t="s">
        <v>1375</v>
      </c>
      <c r="B203" s="3" t="s">
        <v>137</v>
      </c>
      <c r="C203" s="3" t="s">
        <v>56</v>
      </c>
      <c r="D203" s="3" t="s">
        <v>68</v>
      </c>
      <c r="E203" s="3" t="s">
        <v>100</v>
      </c>
      <c r="F203" s="3" t="s">
        <v>738</v>
      </c>
      <c r="G203" s="7">
        <v>45765.07609196158</v>
      </c>
    </row>
    <row r="204">
      <c r="A204" s="3" t="s">
        <v>1377</v>
      </c>
      <c r="B204" s="3" t="s">
        <v>734</v>
      </c>
      <c r="C204" s="3" t="s">
        <v>56</v>
      </c>
      <c r="D204" s="3" t="s">
        <v>68</v>
      </c>
      <c r="E204" s="3" t="s">
        <v>100</v>
      </c>
      <c r="F204" s="3" t="s">
        <v>741</v>
      </c>
      <c r="G204" s="7">
        <v>45765.147266807</v>
      </c>
    </row>
    <row r="205">
      <c r="A205" s="3" t="s">
        <v>1381</v>
      </c>
      <c r="B205" s="3" t="s">
        <v>678</v>
      </c>
      <c r="C205" s="3" t="s">
        <v>56</v>
      </c>
      <c r="D205" s="3" t="s">
        <v>68</v>
      </c>
      <c r="E205" s="3" t="s">
        <v>100</v>
      </c>
      <c r="F205" s="3" t="s">
        <v>749</v>
      </c>
      <c r="G205" s="7">
        <v>45765.21844165241</v>
      </c>
    </row>
    <row r="206">
      <c r="A206" s="3" t="s">
        <v>1384</v>
      </c>
      <c r="B206" s="3" t="s">
        <v>702</v>
      </c>
      <c r="C206" s="3" t="s">
        <v>56</v>
      </c>
      <c r="D206" s="3" t="s">
        <v>68</v>
      </c>
      <c r="E206" s="3" t="s">
        <v>100</v>
      </c>
      <c r="F206" s="3" t="s">
        <v>754</v>
      </c>
      <c r="G206" s="7">
        <v>45765.28961649782</v>
      </c>
    </row>
    <row r="207">
      <c r="A207" s="3" t="s">
        <v>1388</v>
      </c>
      <c r="B207" s="3" t="s">
        <v>561</v>
      </c>
      <c r="C207" s="3" t="s">
        <v>56</v>
      </c>
      <c r="D207" s="3" t="s">
        <v>68</v>
      </c>
      <c r="E207" s="3" t="s">
        <v>100</v>
      </c>
      <c r="F207" s="3" t="s">
        <v>762</v>
      </c>
      <c r="G207" s="7">
        <v>45765.36079134324</v>
      </c>
    </row>
    <row r="208">
      <c r="A208" s="3" t="s">
        <v>1391</v>
      </c>
      <c r="B208" s="3" t="s">
        <v>535</v>
      </c>
      <c r="C208" s="3" t="s">
        <v>1095</v>
      </c>
      <c r="D208" s="3" t="s">
        <v>68</v>
      </c>
      <c r="E208" s="3" t="s">
        <v>100</v>
      </c>
      <c r="F208" s="3" t="s">
        <v>470</v>
      </c>
      <c r="G208" s="7">
        <v>45765.43196618866</v>
      </c>
    </row>
    <row r="209">
      <c r="A209" s="3" t="s">
        <v>1394</v>
      </c>
      <c r="B209" s="3" t="s">
        <v>662</v>
      </c>
      <c r="C209" s="3" t="s">
        <v>56</v>
      </c>
      <c r="D209" s="3" t="s">
        <v>181</v>
      </c>
      <c r="E209" s="3" t="s">
        <v>45</v>
      </c>
      <c r="F209" s="3" t="s">
        <v>45</v>
      </c>
      <c r="G209" s="7">
        <v>45765.50314103407</v>
      </c>
    </row>
    <row r="210">
      <c r="A210" s="3" t="s">
        <v>1397</v>
      </c>
      <c r="B210" s="3" t="s">
        <v>488</v>
      </c>
      <c r="C210" s="3" t="s">
        <v>56</v>
      </c>
      <c r="D210" s="3" t="s">
        <v>181</v>
      </c>
      <c r="E210" s="3" t="s">
        <v>45</v>
      </c>
      <c r="F210" s="3" t="s">
        <v>45</v>
      </c>
      <c r="G210" s="7">
        <v>45765.57431587949</v>
      </c>
    </row>
    <row r="211">
      <c r="A211" s="3" t="s">
        <v>1399</v>
      </c>
      <c r="B211" s="3" t="s">
        <v>735</v>
      </c>
      <c r="C211" s="3" t="s">
        <v>56</v>
      </c>
      <c r="D211" s="3" t="s">
        <v>68</v>
      </c>
      <c r="E211" s="3" t="s">
        <v>100</v>
      </c>
      <c r="F211" s="3" t="s">
        <v>769</v>
      </c>
      <c r="G211" s="7">
        <v>45765.645490724906</v>
      </c>
    </row>
    <row r="212">
      <c r="A212" s="3" t="s">
        <v>1402</v>
      </c>
      <c r="B212" s="3" t="s">
        <v>631</v>
      </c>
      <c r="C212" s="3" t="s">
        <v>56</v>
      </c>
      <c r="D212" s="3" t="s">
        <v>68</v>
      </c>
      <c r="E212" s="3" t="s">
        <v>100</v>
      </c>
      <c r="F212" s="3" t="s">
        <v>774</v>
      </c>
      <c r="G212" s="7">
        <v>45765.71666557032</v>
      </c>
    </row>
    <row r="213">
      <c r="A213" s="3" t="s">
        <v>1406</v>
      </c>
      <c r="B213" s="3" t="s">
        <v>669</v>
      </c>
      <c r="C213" s="3" t="s">
        <v>56</v>
      </c>
      <c r="D213" s="3" t="s">
        <v>68</v>
      </c>
      <c r="E213" s="3" t="s">
        <v>100</v>
      </c>
      <c r="F213" s="3" t="s">
        <v>780</v>
      </c>
      <c r="G213" s="7">
        <v>45765.78784041573</v>
      </c>
    </row>
    <row r="214">
      <c r="A214" s="3" t="s">
        <v>1409</v>
      </c>
      <c r="B214" s="3" t="s">
        <v>446</v>
      </c>
      <c r="C214" s="3" t="s">
        <v>56</v>
      </c>
      <c r="D214" s="3" t="s">
        <v>68</v>
      </c>
      <c r="E214" s="3" t="s">
        <v>100</v>
      </c>
      <c r="F214" s="3" t="s">
        <v>784</v>
      </c>
      <c r="G214" s="7">
        <v>45765.85901526115</v>
      </c>
    </row>
    <row r="215">
      <c r="A215" s="3" t="s">
        <v>1412</v>
      </c>
      <c r="B215" s="3" t="s">
        <v>219</v>
      </c>
      <c r="C215" s="3" t="s">
        <v>56</v>
      </c>
      <c r="D215" s="3" t="s">
        <v>68</v>
      </c>
      <c r="E215" s="3" t="s">
        <v>100</v>
      </c>
      <c r="F215" s="3" t="s">
        <v>788</v>
      </c>
      <c r="G215" s="7">
        <v>45765.93019010656</v>
      </c>
    </row>
    <row r="216">
      <c r="A216" s="3" t="s">
        <v>1415</v>
      </c>
      <c r="B216" s="3" t="s">
        <v>348</v>
      </c>
      <c r="C216" s="3" t="s">
        <v>1342</v>
      </c>
      <c r="D216" s="3" t="s">
        <v>68</v>
      </c>
      <c r="E216" s="3" t="s">
        <v>100</v>
      </c>
      <c r="F216" s="3" t="s">
        <v>611</v>
      </c>
      <c r="G216" s="7">
        <v>45766.001364951975</v>
      </c>
    </row>
    <row r="217">
      <c r="A217" s="3" t="s">
        <v>1417</v>
      </c>
      <c r="B217" s="3" t="s">
        <v>598</v>
      </c>
      <c r="C217" s="3" t="s">
        <v>56</v>
      </c>
      <c r="D217" s="3" t="s">
        <v>68</v>
      </c>
      <c r="E217" s="3" t="s">
        <v>100</v>
      </c>
      <c r="F217" s="3" t="s">
        <v>792</v>
      </c>
      <c r="G217" s="7">
        <v>45766.072539797395</v>
      </c>
    </row>
    <row r="218">
      <c r="A218" s="3" t="s">
        <v>1421</v>
      </c>
      <c r="B218" s="3" t="s">
        <v>453</v>
      </c>
      <c r="C218" s="3" t="s">
        <v>56</v>
      </c>
      <c r="D218" s="3" t="s">
        <v>68</v>
      </c>
      <c r="E218" s="3" t="s">
        <v>100</v>
      </c>
      <c r="F218" s="3" t="s">
        <v>797</v>
      </c>
      <c r="G218" s="7">
        <v>45766.143714642814</v>
      </c>
    </row>
    <row r="219">
      <c r="A219" s="3" t="s">
        <v>1425</v>
      </c>
      <c r="B219" s="3" t="s">
        <v>1001</v>
      </c>
      <c r="C219" s="3" t="s">
        <v>56</v>
      </c>
      <c r="D219" s="3" t="s">
        <v>68</v>
      </c>
      <c r="E219" s="3" t="s">
        <v>100</v>
      </c>
      <c r="F219" s="3" t="s">
        <v>802</v>
      </c>
      <c r="G219" s="7">
        <v>45766.21488948822</v>
      </c>
    </row>
    <row r="220">
      <c r="A220" s="3" t="s">
        <v>1427</v>
      </c>
      <c r="B220" s="3" t="s">
        <v>598</v>
      </c>
      <c r="C220" s="3" t="s">
        <v>1342</v>
      </c>
      <c r="D220" s="3" t="s">
        <v>68</v>
      </c>
      <c r="E220" s="3" t="s">
        <v>100</v>
      </c>
      <c r="F220" s="3" t="s">
        <v>792</v>
      </c>
      <c r="G220" s="7">
        <v>45766.28606433364</v>
      </c>
    </row>
    <row r="221">
      <c r="A221" s="3" t="s">
        <v>1430</v>
      </c>
      <c r="B221" s="3" t="s">
        <v>657</v>
      </c>
      <c r="C221" s="3" t="s">
        <v>56</v>
      </c>
      <c r="D221" s="3" t="s">
        <v>68</v>
      </c>
      <c r="E221" s="3" t="s">
        <v>100</v>
      </c>
      <c r="F221" s="3" t="s">
        <v>808</v>
      </c>
      <c r="G221" s="7">
        <v>45766.35723917905</v>
      </c>
    </row>
    <row r="222">
      <c r="A222" s="3" t="s">
        <v>1433</v>
      </c>
      <c r="B222" s="3" t="s">
        <v>841</v>
      </c>
      <c r="C222" s="3" t="s">
        <v>56</v>
      </c>
      <c r="D222" s="3" t="s">
        <v>68</v>
      </c>
      <c r="E222" s="3" t="s">
        <v>100</v>
      </c>
      <c r="F222" s="3" t="s">
        <v>810</v>
      </c>
      <c r="G222" s="7">
        <v>45766.42841402447</v>
      </c>
    </row>
    <row r="223">
      <c r="A223" s="3" t="s">
        <v>1436</v>
      </c>
      <c r="B223" s="3" t="s">
        <v>336</v>
      </c>
      <c r="C223" s="3" t="s">
        <v>56</v>
      </c>
      <c r="D223" s="3" t="s">
        <v>68</v>
      </c>
      <c r="E223" s="3" t="s">
        <v>100</v>
      </c>
      <c r="F223" s="3" t="s">
        <v>815</v>
      </c>
      <c r="G223" s="7">
        <v>45766.49958886988</v>
      </c>
    </row>
    <row r="224">
      <c r="A224" s="3" t="s">
        <v>1439</v>
      </c>
      <c r="B224" s="3" t="s">
        <v>612</v>
      </c>
      <c r="C224" s="3" t="s">
        <v>56</v>
      </c>
      <c r="D224" s="3" t="s">
        <v>68</v>
      </c>
      <c r="E224" s="3" t="s">
        <v>100</v>
      </c>
      <c r="F224" s="3" t="s">
        <v>818</v>
      </c>
      <c r="G224" s="7">
        <v>45766.5707637153</v>
      </c>
    </row>
    <row r="225">
      <c r="A225" s="3" t="s">
        <v>1442</v>
      </c>
      <c r="B225" s="3" t="s">
        <v>751</v>
      </c>
      <c r="C225" s="3" t="s">
        <v>56</v>
      </c>
      <c r="D225" s="3" t="s">
        <v>68</v>
      </c>
      <c r="E225" s="3" t="s">
        <v>100</v>
      </c>
      <c r="F225" s="3" t="s">
        <v>823</v>
      </c>
      <c r="G225" s="7">
        <v>45766.64193856071</v>
      </c>
    </row>
    <row r="226">
      <c r="A226" s="3" t="s">
        <v>1444</v>
      </c>
      <c r="B226" s="3" t="s">
        <v>1037</v>
      </c>
      <c r="C226" s="3" t="s">
        <v>56</v>
      </c>
      <c r="D226" s="3" t="s">
        <v>68</v>
      </c>
      <c r="E226" s="3" t="s">
        <v>100</v>
      </c>
      <c r="F226" s="3" t="s">
        <v>829</v>
      </c>
      <c r="G226" s="7">
        <v>45766.71311340613</v>
      </c>
    </row>
    <row r="227">
      <c r="A227" s="3" t="s">
        <v>1447</v>
      </c>
      <c r="B227" s="3" t="s">
        <v>848</v>
      </c>
      <c r="C227" s="3" t="s">
        <v>56</v>
      </c>
      <c r="D227" s="3" t="s">
        <v>68</v>
      </c>
      <c r="E227" s="3" t="s">
        <v>100</v>
      </c>
      <c r="F227" s="3" t="s">
        <v>831</v>
      </c>
      <c r="G227" s="7">
        <v>45766.78428825155</v>
      </c>
    </row>
    <row r="228">
      <c r="A228" s="3" t="s">
        <v>1450</v>
      </c>
      <c r="B228" s="3" t="s">
        <v>584</v>
      </c>
      <c r="C228" s="3" t="s">
        <v>56</v>
      </c>
      <c r="D228" s="3" t="s">
        <v>68</v>
      </c>
      <c r="E228" s="3" t="s">
        <v>100</v>
      </c>
      <c r="F228" s="3" t="s">
        <v>837</v>
      </c>
      <c r="G228" s="7">
        <v>45766.85546309696</v>
      </c>
    </row>
    <row r="229">
      <c r="A229" s="3" t="s">
        <v>1452</v>
      </c>
      <c r="B229" s="3" t="s">
        <v>535</v>
      </c>
      <c r="C229" s="3" t="s">
        <v>56</v>
      </c>
      <c r="D229" s="3" t="s">
        <v>68</v>
      </c>
      <c r="E229" s="3" t="s">
        <v>100</v>
      </c>
      <c r="F229" s="3" t="s">
        <v>840</v>
      </c>
      <c r="G229" s="7">
        <v>45766.92663794237</v>
      </c>
    </row>
    <row r="230">
      <c r="A230" s="3" t="s">
        <v>1454</v>
      </c>
      <c r="B230" s="3" t="s">
        <v>179</v>
      </c>
      <c r="C230" s="3" t="s">
        <v>56</v>
      </c>
      <c r="D230" s="3" t="s">
        <v>68</v>
      </c>
      <c r="E230" s="3" t="s">
        <v>100</v>
      </c>
      <c r="F230" s="3" t="s">
        <v>846</v>
      </c>
      <c r="G230" s="7">
        <v>45766.99781278779</v>
      </c>
    </row>
    <row r="231">
      <c r="A231" s="3" t="s">
        <v>1457</v>
      </c>
      <c r="B231" s="3" t="s">
        <v>356</v>
      </c>
      <c r="C231" s="3" t="s">
        <v>56</v>
      </c>
      <c r="D231" s="3" t="s">
        <v>68</v>
      </c>
      <c r="E231" s="3" t="s">
        <v>100</v>
      </c>
      <c r="F231" s="3" t="s">
        <v>849</v>
      </c>
      <c r="G231" s="7">
        <v>45767.0689876332</v>
      </c>
    </row>
    <row r="232">
      <c r="A232" s="3" t="s">
        <v>1461</v>
      </c>
      <c r="B232" s="3" t="s">
        <v>926</v>
      </c>
      <c r="C232" s="3" t="s">
        <v>1095</v>
      </c>
      <c r="D232" s="3" t="s">
        <v>68</v>
      </c>
      <c r="E232" s="3" t="s">
        <v>100</v>
      </c>
      <c r="F232" s="3" t="s">
        <v>721</v>
      </c>
      <c r="G232" s="7">
        <v>45767.140162478616</v>
      </c>
    </row>
    <row r="233">
      <c r="A233" s="3" t="s">
        <v>1464</v>
      </c>
      <c r="B233" s="3" t="s">
        <v>957</v>
      </c>
      <c r="C233" s="3" t="s">
        <v>56</v>
      </c>
      <c r="D233" s="3" t="s">
        <v>68</v>
      </c>
      <c r="E233" s="3" t="s">
        <v>100</v>
      </c>
      <c r="F233" s="3" t="s">
        <v>855</v>
      </c>
      <c r="G233" s="7">
        <v>45767.211337324035</v>
      </c>
    </row>
    <row r="234">
      <c r="A234" s="3" t="s">
        <v>1466</v>
      </c>
      <c r="B234" s="3" t="s">
        <v>911</v>
      </c>
      <c r="C234" s="3" t="s">
        <v>56</v>
      </c>
      <c r="D234" s="3" t="s">
        <v>68</v>
      </c>
      <c r="E234" s="3" t="s">
        <v>100</v>
      </c>
      <c r="F234" s="3" t="s">
        <v>857</v>
      </c>
      <c r="G234" s="7">
        <v>45767.282512169455</v>
      </c>
    </row>
    <row r="235">
      <c r="A235" s="3" t="s">
        <v>1470</v>
      </c>
      <c r="B235" s="3" t="s">
        <v>326</v>
      </c>
      <c r="C235" s="3" t="s">
        <v>56</v>
      </c>
      <c r="D235" s="3" t="s">
        <v>195</v>
      </c>
      <c r="E235" s="3" t="s">
        <v>45</v>
      </c>
      <c r="F235" s="3" t="s">
        <v>45</v>
      </c>
      <c r="G235" s="7">
        <v>45767.35368701486</v>
      </c>
    </row>
    <row r="236">
      <c r="A236" s="3" t="s">
        <v>1474</v>
      </c>
      <c r="B236" s="3" t="s">
        <v>491</v>
      </c>
      <c r="C236" s="3" t="s">
        <v>1095</v>
      </c>
      <c r="D236" s="3" t="s">
        <v>68</v>
      </c>
      <c r="E236" s="3" t="s">
        <v>100</v>
      </c>
      <c r="F236" s="3" t="s">
        <v>701</v>
      </c>
      <c r="G236" s="7">
        <v>45767.42486186028</v>
      </c>
    </row>
    <row r="237">
      <c r="A237" s="3" t="s">
        <v>1476</v>
      </c>
      <c r="B237" s="3" t="s">
        <v>159</v>
      </c>
      <c r="C237" s="3" t="s">
        <v>56</v>
      </c>
      <c r="D237" s="3" t="s">
        <v>68</v>
      </c>
      <c r="E237" s="3" t="s">
        <v>100</v>
      </c>
      <c r="F237" s="3" t="s">
        <v>862</v>
      </c>
      <c r="G237" s="7">
        <v>45767.49603670569</v>
      </c>
    </row>
    <row r="238">
      <c r="A238" s="3" t="s">
        <v>1479</v>
      </c>
      <c r="B238" s="3" t="s">
        <v>126</v>
      </c>
      <c r="C238" s="3" t="s">
        <v>56</v>
      </c>
      <c r="D238" s="3" t="s">
        <v>68</v>
      </c>
      <c r="E238" s="3" t="s">
        <v>100</v>
      </c>
      <c r="F238" s="3" t="s">
        <v>867</v>
      </c>
      <c r="G238" s="7">
        <v>45767.56721155111</v>
      </c>
    </row>
    <row r="239">
      <c r="A239" s="3" t="s">
        <v>1481</v>
      </c>
      <c r="B239" s="3" t="s">
        <v>344</v>
      </c>
      <c r="C239" s="3" t="s">
        <v>1095</v>
      </c>
      <c r="D239" s="3" t="s">
        <v>68</v>
      </c>
      <c r="E239" s="3" t="s">
        <v>100</v>
      </c>
      <c r="F239" s="3" t="s">
        <v>504</v>
      </c>
      <c r="G239" s="7">
        <v>45767.638386396524</v>
      </c>
    </row>
    <row r="240">
      <c r="A240" s="3" t="s">
        <v>1484</v>
      </c>
      <c r="B240" s="3" t="s">
        <v>276</v>
      </c>
      <c r="C240" s="3" t="s">
        <v>56</v>
      </c>
      <c r="D240" s="3" t="s">
        <v>68</v>
      </c>
      <c r="E240" s="3" t="s">
        <v>100</v>
      </c>
      <c r="F240" s="3" t="s">
        <v>919</v>
      </c>
      <c r="G240" s="7">
        <v>45767.70956124194</v>
      </c>
    </row>
    <row r="241">
      <c r="A241" s="3" t="s">
        <v>1487</v>
      </c>
      <c r="B241" s="3" t="s">
        <v>678</v>
      </c>
      <c r="C241" s="3" t="s">
        <v>1342</v>
      </c>
      <c r="D241" s="3" t="s">
        <v>68</v>
      </c>
      <c r="E241" s="3" t="s">
        <v>100</v>
      </c>
      <c r="F241" s="3" t="s">
        <v>749</v>
      </c>
      <c r="G241" s="7">
        <v>45767.780736087356</v>
      </c>
    </row>
    <row r="242">
      <c r="A242" s="3" t="s">
        <v>1489</v>
      </c>
      <c r="B242" s="3" t="s">
        <v>219</v>
      </c>
      <c r="C242" s="3" t="s">
        <v>1095</v>
      </c>
      <c r="D242" s="3" t="s">
        <v>181</v>
      </c>
      <c r="E242" s="3" t="s">
        <v>45</v>
      </c>
      <c r="F242" s="3" t="s">
        <v>788</v>
      </c>
      <c r="G242" s="7">
        <v>45767.85191093277</v>
      </c>
    </row>
    <row r="243">
      <c r="A243" s="3" t="s">
        <v>1494</v>
      </c>
      <c r="B243" s="3" t="s">
        <v>778</v>
      </c>
      <c r="C243" s="3" t="s">
        <v>56</v>
      </c>
      <c r="D243" s="3" t="s">
        <v>68</v>
      </c>
      <c r="E243" s="3" t="s">
        <v>100</v>
      </c>
      <c r="F243" s="3" t="s">
        <v>923</v>
      </c>
      <c r="G243" s="7">
        <v>45767.92308577819</v>
      </c>
    </row>
    <row r="244">
      <c r="A244" s="3" t="s">
        <v>1497</v>
      </c>
      <c r="B244" s="3" t="s">
        <v>547</v>
      </c>
      <c r="C244" s="3" t="s">
        <v>56</v>
      </c>
      <c r="D244" s="3" t="s">
        <v>68</v>
      </c>
      <c r="E244" s="3" t="s">
        <v>100</v>
      </c>
      <c r="F244" s="3" t="s">
        <v>928</v>
      </c>
      <c r="G244" s="7">
        <v>45767.9942606236</v>
      </c>
    </row>
    <row r="245">
      <c r="A245" s="3" t="s">
        <v>1499</v>
      </c>
      <c r="B245" s="3" t="s">
        <v>276</v>
      </c>
      <c r="C245" s="3" t="s">
        <v>1095</v>
      </c>
      <c r="D245" s="3" t="s">
        <v>68</v>
      </c>
      <c r="E245" s="3" t="s">
        <v>100</v>
      </c>
      <c r="F245" s="3" t="s">
        <v>919</v>
      </c>
      <c r="G245" s="7">
        <v>45768.06543546901</v>
      </c>
    </row>
    <row r="246">
      <c r="A246" s="3" t="s">
        <v>1502</v>
      </c>
      <c r="B246" s="3" t="s">
        <v>903</v>
      </c>
      <c r="C246" s="3" t="s">
        <v>1342</v>
      </c>
      <c r="D246" s="3" t="s">
        <v>181</v>
      </c>
      <c r="E246" s="3" t="s">
        <v>45</v>
      </c>
      <c r="F246" s="3" t="s">
        <v>589</v>
      </c>
      <c r="G246" s="7">
        <v>45768.13661031443</v>
      </c>
    </row>
    <row r="247">
      <c r="A247" s="3" t="s">
        <v>1504</v>
      </c>
      <c r="B247" s="3" t="s">
        <v>691</v>
      </c>
      <c r="C247" s="3" t="s">
        <v>56</v>
      </c>
      <c r="D247" s="3" t="s">
        <v>68</v>
      </c>
      <c r="E247" s="3" t="s">
        <v>100</v>
      </c>
      <c r="F247" s="3" t="s">
        <v>932</v>
      </c>
      <c r="G247" s="7">
        <v>45768.207785159844</v>
      </c>
    </row>
    <row r="248">
      <c r="A248" s="3" t="s">
        <v>1507</v>
      </c>
      <c r="B248" s="3" t="s">
        <v>658</v>
      </c>
      <c r="C248" s="3" t="s">
        <v>56</v>
      </c>
      <c r="D248" s="3" t="s">
        <v>68</v>
      </c>
      <c r="E248" s="3" t="s">
        <v>100</v>
      </c>
      <c r="F248" s="3" t="s">
        <v>942</v>
      </c>
      <c r="G248" s="7">
        <v>45768.27896000526</v>
      </c>
    </row>
    <row r="249">
      <c r="A249" s="3" t="s">
        <v>1511</v>
      </c>
      <c r="B249" s="3" t="s">
        <v>171</v>
      </c>
      <c r="C249" s="3" t="s">
        <v>56</v>
      </c>
      <c r="D249" s="3" t="s">
        <v>68</v>
      </c>
      <c r="E249" s="3" t="s">
        <v>100</v>
      </c>
      <c r="F249" s="3" t="s">
        <v>946</v>
      </c>
      <c r="G249" s="7">
        <v>45768.350134850676</v>
      </c>
    </row>
    <row r="250">
      <c r="A250" s="3" t="s">
        <v>1513</v>
      </c>
      <c r="B250" s="3" t="s">
        <v>530</v>
      </c>
      <c r="C250" s="3" t="s">
        <v>56</v>
      </c>
      <c r="D250" s="3" t="s">
        <v>68</v>
      </c>
      <c r="E250" s="3" t="s">
        <v>100</v>
      </c>
      <c r="F250" s="3" t="s">
        <v>950</v>
      </c>
      <c r="G250" s="7">
        <v>45768.421309696096</v>
      </c>
    </row>
    <row r="251">
      <c r="A251" s="3" t="s">
        <v>1516</v>
      </c>
      <c r="B251" s="3" t="s">
        <v>816</v>
      </c>
      <c r="C251" s="3" t="s">
        <v>56</v>
      </c>
      <c r="D251" s="3" t="s">
        <v>68</v>
      </c>
      <c r="E251" s="3" t="s">
        <v>100</v>
      </c>
      <c r="F251" s="3" t="s">
        <v>954</v>
      </c>
      <c r="G251" s="7">
        <v>45768.4924845415</v>
      </c>
    </row>
    <row r="252">
      <c r="A252" s="3" t="s">
        <v>1519</v>
      </c>
      <c r="B252" s="3" t="s">
        <v>253</v>
      </c>
      <c r="C252" s="3" t="s">
        <v>56</v>
      </c>
      <c r="D252" s="3" t="s">
        <v>68</v>
      </c>
      <c r="E252" s="3" t="s">
        <v>100</v>
      </c>
      <c r="F252" s="3" t="s">
        <v>959</v>
      </c>
      <c r="G252" s="7">
        <v>45768.56365938692</v>
      </c>
    </row>
    <row r="253">
      <c r="A253" s="3" t="s">
        <v>1522</v>
      </c>
      <c r="B253" s="3" t="s">
        <v>496</v>
      </c>
      <c r="C253" s="3" t="s">
        <v>1342</v>
      </c>
      <c r="D253" s="3" t="s">
        <v>68</v>
      </c>
      <c r="E253" s="3" t="s">
        <v>100</v>
      </c>
      <c r="F253" s="3" t="s">
        <v>716</v>
      </c>
      <c r="G253" s="7">
        <v>45768.63483423234</v>
      </c>
    </row>
    <row r="254">
      <c r="A254" s="3" t="s">
        <v>1525</v>
      </c>
      <c r="B254" s="3" t="s">
        <v>352</v>
      </c>
      <c r="C254" s="3" t="s">
        <v>56</v>
      </c>
      <c r="D254" s="3" t="s">
        <v>68</v>
      </c>
      <c r="E254" s="3" t="s">
        <v>100</v>
      </c>
      <c r="F254" s="3" t="s">
        <v>963</v>
      </c>
      <c r="G254" s="7">
        <v>45768.70600907775</v>
      </c>
    </row>
    <row r="255">
      <c r="A255" s="3" t="s">
        <v>1528</v>
      </c>
      <c r="B255" s="3" t="s">
        <v>189</v>
      </c>
      <c r="C255" s="3" t="s">
        <v>56</v>
      </c>
      <c r="D255" s="3" t="s">
        <v>181</v>
      </c>
      <c r="E255" s="3" t="s">
        <v>45</v>
      </c>
      <c r="F255" s="3" t="s">
        <v>45</v>
      </c>
      <c r="G255" s="7">
        <v>45768.777183923165</v>
      </c>
    </row>
    <row r="256">
      <c r="A256" s="3" t="s">
        <v>1531</v>
      </c>
      <c r="B256" s="3" t="s">
        <v>398</v>
      </c>
      <c r="C256" s="3" t="s">
        <v>56</v>
      </c>
      <c r="D256" s="3" t="s">
        <v>68</v>
      </c>
      <c r="E256" s="3" t="s">
        <v>100</v>
      </c>
      <c r="F256" s="3" t="s">
        <v>968</v>
      </c>
      <c r="G256" s="7">
        <v>45768.848358768584</v>
      </c>
    </row>
    <row r="257">
      <c r="A257" s="3" t="s">
        <v>1534</v>
      </c>
      <c r="B257" s="3" t="s">
        <v>276</v>
      </c>
      <c r="C257" s="3" t="s">
        <v>56</v>
      </c>
      <c r="D257" s="3" t="s">
        <v>68</v>
      </c>
      <c r="E257" s="3" t="s">
        <v>100</v>
      </c>
      <c r="F257" s="3" t="s">
        <v>971</v>
      </c>
      <c r="G257" s="7">
        <v>45768.919533614</v>
      </c>
    </row>
    <row r="258">
      <c r="A258" s="3" t="s">
        <v>1536</v>
      </c>
      <c r="B258" s="3" t="s">
        <v>442</v>
      </c>
      <c r="C258" s="3" t="s">
        <v>56</v>
      </c>
      <c r="D258" s="3" t="s">
        <v>68</v>
      </c>
      <c r="E258" s="3" t="s">
        <v>100</v>
      </c>
      <c r="F258" s="3" t="s">
        <v>977</v>
      </c>
      <c r="G258" s="7">
        <v>45768.99070845941</v>
      </c>
    </row>
    <row r="259">
      <c r="A259" s="3" t="s">
        <v>1537</v>
      </c>
      <c r="B259" s="3" t="s">
        <v>758</v>
      </c>
      <c r="C259" s="3" t="s">
        <v>56</v>
      </c>
      <c r="D259" s="3" t="s">
        <v>68</v>
      </c>
      <c r="E259" s="3" t="s">
        <v>100</v>
      </c>
      <c r="F259" s="3" t="s">
        <v>983</v>
      </c>
      <c r="G259" s="7">
        <v>45769.06188330483</v>
      </c>
    </row>
    <row r="260">
      <c r="A260" s="3" t="s">
        <v>1540</v>
      </c>
      <c r="B260" s="3" t="s">
        <v>436</v>
      </c>
      <c r="C260" s="3" t="s">
        <v>56</v>
      </c>
      <c r="D260" s="3" t="s">
        <v>181</v>
      </c>
      <c r="E260" s="3" t="s">
        <v>45</v>
      </c>
      <c r="F260" s="3" t="s">
        <v>45</v>
      </c>
      <c r="G260" s="7">
        <v>45769.13305815024</v>
      </c>
    </row>
    <row r="261">
      <c r="A261" s="3" t="s">
        <v>1544</v>
      </c>
      <c r="B261" s="3" t="s">
        <v>546</v>
      </c>
      <c r="C261" s="3" t="s">
        <v>56</v>
      </c>
      <c r="D261" s="3" t="s">
        <v>181</v>
      </c>
      <c r="E261" s="3" t="s">
        <v>45</v>
      </c>
      <c r="F261" s="3" t="s">
        <v>45</v>
      </c>
      <c r="G261" s="7">
        <v>45769.20423299565</v>
      </c>
    </row>
    <row r="262">
      <c r="A262" s="3" t="s">
        <v>1547</v>
      </c>
      <c r="B262" s="3" t="s">
        <v>785</v>
      </c>
      <c r="C262" s="3" t="s">
        <v>56</v>
      </c>
      <c r="D262" s="3" t="s">
        <v>68</v>
      </c>
      <c r="E262" s="3" t="s">
        <v>100</v>
      </c>
      <c r="F262" s="3" t="s">
        <v>985</v>
      </c>
      <c r="G262" s="7">
        <v>45769.27540784107</v>
      </c>
    </row>
    <row r="263">
      <c r="A263" s="3" t="s">
        <v>1551</v>
      </c>
      <c r="B263" s="3" t="s">
        <v>848</v>
      </c>
      <c r="C263" s="3" t="s">
        <v>1342</v>
      </c>
      <c r="D263" s="3" t="s">
        <v>68</v>
      </c>
      <c r="E263" s="3" t="s">
        <v>100</v>
      </c>
      <c r="F263" s="3" t="s">
        <v>831</v>
      </c>
      <c r="G263" s="7">
        <v>45769.346582686485</v>
      </c>
    </row>
    <row r="264">
      <c r="A264" s="3" t="s">
        <v>1554</v>
      </c>
      <c r="B264" s="3" t="s">
        <v>796</v>
      </c>
      <c r="C264" s="3" t="s">
        <v>56</v>
      </c>
      <c r="D264" s="3" t="s">
        <v>68</v>
      </c>
      <c r="E264" s="3" t="s">
        <v>100</v>
      </c>
      <c r="F264" s="3" t="s">
        <v>991</v>
      </c>
      <c r="G264" s="7">
        <v>45769.4177575319</v>
      </c>
    </row>
    <row r="265">
      <c r="A265" s="3" t="s">
        <v>1559</v>
      </c>
      <c r="B265" s="3" t="s">
        <v>926</v>
      </c>
      <c r="C265" s="3" t="s">
        <v>56</v>
      </c>
      <c r="D265" s="3" t="s">
        <v>68</v>
      </c>
      <c r="E265" s="3" t="s">
        <v>100</v>
      </c>
      <c r="F265" s="3" t="s">
        <v>996</v>
      </c>
      <c r="G265" s="7">
        <v>45769.48893237732</v>
      </c>
    </row>
    <row r="266">
      <c r="A266" s="3" t="s">
        <v>1561</v>
      </c>
      <c r="B266" s="3" t="s">
        <v>662</v>
      </c>
      <c r="C266" s="3" t="s">
        <v>56</v>
      </c>
      <c r="D266" s="3" t="s">
        <v>68</v>
      </c>
      <c r="E266" s="3" t="s">
        <v>100</v>
      </c>
      <c r="F266" s="3" t="s">
        <v>1000</v>
      </c>
      <c r="G266" s="7">
        <v>45769.56010722274</v>
      </c>
    </row>
    <row r="267">
      <c r="A267" s="3" t="s">
        <v>1565</v>
      </c>
      <c r="B267" s="3" t="s">
        <v>682</v>
      </c>
      <c r="C267" s="3" t="s">
        <v>56</v>
      </c>
      <c r="D267" s="3" t="s">
        <v>68</v>
      </c>
      <c r="E267" s="3" t="s">
        <v>100</v>
      </c>
      <c r="F267" s="3" t="s">
        <v>1004</v>
      </c>
      <c r="G267" s="7">
        <v>45769.63128206814</v>
      </c>
    </row>
    <row r="268">
      <c r="A268" s="3" t="s">
        <v>1568</v>
      </c>
      <c r="B268" s="3" t="s">
        <v>742</v>
      </c>
      <c r="C268" s="3" t="s">
        <v>56</v>
      </c>
      <c r="D268" s="3" t="s">
        <v>181</v>
      </c>
      <c r="E268" s="3" t="s">
        <v>45</v>
      </c>
      <c r="F268" s="3" t="s">
        <v>45</v>
      </c>
      <c r="G268" s="7">
        <v>45769.70245691356</v>
      </c>
    </row>
    <row r="269">
      <c r="A269" s="3" t="s">
        <v>1571</v>
      </c>
      <c r="B269" s="3" t="s">
        <v>579</v>
      </c>
      <c r="C269" s="3" t="s">
        <v>56</v>
      </c>
      <c r="D269" s="3" t="s">
        <v>68</v>
      </c>
      <c r="E269" s="3" t="s">
        <v>100</v>
      </c>
      <c r="F269" s="3" t="s">
        <v>1007</v>
      </c>
      <c r="G269" s="7">
        <v>45769.77363175898</v>
      </c>
    </row>
    <row r="270">
      <c r="A270" s="3" t="s">
        <v>1574</v>
      </c>
      <c r="B270" s="3" t="s">
        <v>380</v>
      </c>
      <c r="C270" s="3" t="s">
        <v>56</v>
      </c>
      <c r="D270" s="3" t="s">
        <v>68</v>
      </c>
      <c r="E270" s="3" t="s">
        <v>100</v>
      </c>
      <c r="F270" s="3" t="s">
        <v>1012</v>
      </c>
      <c r="G270" s="7">
        <v>45769.84480660439</v>
      </c>
    </row>
    <row r="271">
      <c r="A271" s="3" t="s">
        <v>1578</v>
      </c>
      <c r="B271" s="3" t="s">
        <v>130</v>
      </c>
      <c r="C271" s="3" t="s">
        <v>56</v>
      </c>
      <c r="D271" s="3" t="s">
        <v>68</v>
      </c>
      <c r="E271" s="3" t="s">
        <v>100</v>
      </c>
      <c r="F271" s="3" t="s">
        <v>1015</v>
      </c>
      <c r="G271" s="7">
        <v>45769.915981449805</v>
      </c>
    </row>
    <row r="272">
      <c r="A272" s="3" t="s">
        <v>1582</v>
      </c>
      <c r="B272" s="3" t="s">
        <v>493</v>
      </c>
      <c r="C272" s="3" t="s">
        <v>56</v>
      </c>
      <c r="D272" s="3" t="s">
        <v>68</v>
      </c>
      <c r="E272" s="3" t="s">
        <v>100</v>
      </c>
      <c r="F272" s="3" t="s">
        <v>1019</v>
      </c>
      <c r="G272" s="7">
        <v>45769.987156295225</v>
      </c>
    </row>
    <row r="273">
      <c r="A273" s="3" t="s">
        <v>1585</v>
      </c>
      <c r="B273" s="3" t="s">
        <v>980</v>
      </c>
      <c r="C273" s="3" t="s">
        <v>56</v>
      </c>
      <c r="D273" s="3" t="s">
        <v>68</v>
      </c>
      <c r="E273" s="3" t="s">
        <v>100</v>
      </c>
      <c r="F273" s="3" t="s">
        <v>1025</v>
      </c>
      <c r="G273" s="7">
        <v>45770.05833114064</v>
      </c>
    </row>
    <row r="274">
      <c r="A274" s="3" t="s">
        <v>1588</v>
      </c>
      <c r="B274" s="3" t="s">
        <v>250</v>
      </c>
      <c r="C274" s="3" t="s">
        <v>56</v>
      </c>
      <c r="D274" s="3" t="s">
        <v>68</v>
      </c>
      <c r="E274" s="3" t="s">
        <v>100</v>
      </c>
      <c r="F274" s="3" t="s">
        <v>1029</v>
      </c>
      <c r="G274" s="7">
        <v>45770.12950598605</v>
      </c>
    </row>
    <row r="275">
      <c r="A275" s="3" t="s">
        <v>1592</v>
      </c>
      <c r="B275" s="3" t="s">
        <v>535</v>
      </c>
      <c r="C275" s="3" t="s">
        <v>1095</v>
      </c>
      <c r="D275" s="3" t="s">
        <v>68</v>
      </c>
      <c r="E275" s="3" t="s">
        <v>100</v>
      </c>
      <c r="F275" s="3" t="s">
        <v>840</v>
      </c>
      <c r="G275" s="7">
        <v>45770.20068083147</v>
      </c>
    </row>
    <row r="276">
      <c r="A276" s="3" t="s">
        <v>1596</v>
      </c>
      <c r="B276" s="3" t="s">
        <v>272</v>
      </c>
      <c r="C276" s="3" t="s">
        <v>56</v>
      </c>
      <c r="D276" s="3" t="s">
        <v>68</v>
      </c>
      <c r="E276" s="3" t="s">
        <v>100</v>
      </c>
      <c r="F276" s="3" t="s">
        <v>1033</v>
      </c>
      <c r="G276" s="7">
        <v>45770.27185567688</v>
      </c>
    </row>
    <row r="277">
      <c r="A277" s="3" t="s">
        <v>1600</v>
      </c>
      <c r="B277" s="3" t="s">
        <v>1037</v>
      </c>
      <c r="C277" s="3" t="s">
        <v>1342</v>
      </c>
      <c r="D277" s="3" t="s">
        <v>68</v>
      </c>
      <c r="E277" s="3" t="s">
        <v>100</v>
      </c>
      <c r="F277" s="3" t="s">
        <v>829</v>
      </c>
      <c r="G277" s="7">
        <v>45770.343030522294</v>
      </c>
    </row>
    <row r="278">
      <c r="A278" s="3" t="s">
        <v>1604</v>
      </c>
      <c r="B278" s="3" t="s">
        <v>920</v>
      </c>
      <c r="C278" s="3" t="s">
        <v>56</v>
      </c>
      <c r="D278" s="3" t="s">
        <v>68</v>
      </c>
      <c r="E278" s="3" t="s">
        <v>100</v>
      </c>
      <c r="F278" s="3" t="s">
        <v>1039</v>
      </c>
      <c r="G278" s="7">
        <v>45770.41420536771</v>
      </c>
    </row>
    <row r="279">
      <c r="A279" s="3" t="s">
        <v>1607</v>
      </c>
      <c r="B279" s="3" t="s">
        <v>266</v>
      </c>
      <c r="C279" s="3" t="s">
        <v>1095</v>
      </c>
      <c r="D279" s="3" t="s">
        <v>68</v>
      </c>
      <c r="E279" s="3" t="s">
        <v>100</v>
      </c>
      <c r="F279" s="3" t="s">
        <v>553</v>
      </c>
      <c r="G279" s="7">
        <v>45770.485380213126</v>
      </c>
    </row>
    <row r="280">
      <c r="A280" s="3" t="s">
        <v>1612</v>
      </c>
      <c r="B280" s="3" t="s">
        <v>524</v>
      </c>
      <c r="C280" s="3" t="s">
        <v>56</v>
      </c>
      <c r="D280" s="3" t="s">
        <v>68</v>
      </c>
      <c r="E280" s="3" t="s">
        <v>100</v>
      </c>
      <c r="F280" s="3" t="s">
        <v>1045</v>
      </c>
      <c r="G280" s="7">
        <v>45770.55655505854</v>
      </c>
    </row>
    <row r="281">
      <c r="A281" s="3" t="s">
        <v>1616</v>
      </c>
      <c r="B281" s="3" t="s">
        <v>462</v>
      </c>
      <c r="C281" s="3" t="s">
        <v>1095</v>
      </c>
      <c r="D281" s="3" t="s">
        <v>68</v>
      </c>
      <c r="E281" s="3" t="s">
        <v>100</v>
      </c>
      <c r="F281" s="3" t="s">
        <v>509</v>
      </c>
      <c r="G281" s="7">
        <v>45770.62772990396</v>
      </c>
    </row>
    <row r="282">
      <c r="A282" s="3" t="s">
        <v>1620</v>
      </c>
      <c r="B282" s="3" t="s">
        <v>565</v>
      </c>
      <c r="C282" s="3" t="s">
        <v>56</v>
      </c>
      <c r="D282" s="3" t="s">
        <v>68</v>
      </c>
      <c r="E282" s="3" t="s">
        <v>100</v>
      </c>
      <c r="F282" s="3" t="s">
        <v>1048</v>
      </c>
      <c r="G282" s="7">
        <v>45770.69890474938</v>
      </c>
    </row>
    <row r="283">
      <c r="A283" s="3" t="s">
        <v>1624</v>
      </c>
      <c r="B283" s="3" t="s">
        <v>972</v>
      </c>
      <c r="C283" s="3" t="s">
        <v>1342</v>
      </c>
      <c r="D283" s="3" t="s">
        <v>68</v>
      </c>
      <c r="E283" s="3" t="s">
        <v>100</v>
      </c>
      <c r="F283" s="3" t="s">
        <v>681</v>
      </c>
      <c r="G283" s="7">
        <v>45770.77007959479</v>
      </c>
    </row>
    <row r="284">
      <c r="A284" s="3" t="s">
        <v>1626</v>
      </c>
      <c r="B284" s="3" t="s">
        <v>310</v>
      </c>
      <c r="C284" s="3" t="s">
        <v>56</v>
      </c>
      <c r="D284" s="3" t="s">
        <v>68</v>
      </c>
      <c r="E284" s="3" t="s">
        <v>100</v>
      </c>
      <c r="F284" s="3" t="s">
        <v>1053</v>
      </c>
      <c r="G284" s="7">
        <v>45770.8412544402</v>
      </c>
    </row>
    <row r="285">
      <c r="A285" s="3" t="s">
        <v>1630</v>
      </c>
      <c r="B285" s="3" t="s">
        <v>586</v>
      </c>
      <c r="C285" s="3" t="s">
        <v>56</v>
      </c>
      <c r="D285" s="3" t="s">
        <v>195</v>
      </c>
      <c r="E285" s="3" t="s">
        <v>45</v>
      </c>
      <c r="F285" s="3" t="s">
        <v>45</v>
      </c>
      <c r="G285" s="7">
        <v>45770.91242928562</v>
      </c>
    </row>
    <row r="286">
      <c r="A286" s="3" t="s">
        <v>1632</v>
      </c>
      <c r="B286" s="3" t="s">
        <v>224</v>
      </c>
      <c r="C286" s="3" t="s">
        <v>56</v>
      </c>
      <c r="D286" s="3" t="s">
        <v>68</v>
      </c>
      <c r="E286" s="3" t="s">
        <v>100</v>
      </c>
      <c r="F286" s="3" t="s">
        <v>1054</v>
      </c>
      <c r="G286" s="7">
        <v>45770.983604131034</v>
      </c>
    </row>
    <row r="287">
      <c r="A287" s="3" t="s">
        <v>1635</v>
      </c>
      <c r="B287" s="3" t="s">
        <v>926</v>
      </c>
      <c r="C287" s="3" t="s">
        <v>1342</v>
      </c>
      <c r="D287" s="3" t="s">
        <v>68</v>
      </c>
      <c r="E287" s="3" t="s">
        <v>100</v>
      </c>
      <c r="F287" s="3" t="s">
        <v>996</v>
      </c>
      <c r="G287" s="7">
        <v>45771.054778976446</v>
      </c>
    </row>
    <row r="288">
      <c r="A288" s="3" t="s">
        <v>1639</v>
      </c>
      <c r="B288" s="3" t="s">
        <v>449</v>
      </c>
      <c r="C288" s="3" t="s">
        <v>56</v>
      </c>
      <c r="D288" s="3" t="s">
        <v>68</v>
      </c>
      <c r="E288" s="3" t="s">
        <v>100</v>
      </c>
      <c r="F288" s="3" t="s">
        <v>1055</v>
      </c>
      <c r="G288" s="7">
        <v>45771.125953821866</v>
      </c>
    </row>
    <row r="289">
      <c r="A289" s="3" t="s">
        <v>1642</v>
      </c>
      <c r="B289" s="3" t="s">
        <v>785</v>
      </c>
      <c r="C289" s="3" t="s">
        <v>1342</v>
      </c>
      <c r="D289" s="3" t="s">
        <v>195</v>
      </c>
      <c r="E289" s="3" t="s">
        <v>45</v>
      </c>
      <c r="F289" s="3" t="s">
        <v>985</v>
      </c>
      <c r="G289" s="7">
        <v>45771.19712866728</v>
      </c>
    </row>
    <row r="290">
      <c r="A290" s="3" t="s">
        <v>1646</v>
      </c>
      <c r="B290" s="3" t="s">
        <v>598</v>
      </c>
      <c r="C290" s="3" t="s">
        <v>1095</v>
      </c>
      <c r="D290" s="3" t="s">
        <v>68</v>
      </c>
      <c r="E290" s="3" t="s">
        <v>100</v>
      </c>
      <c r="F290" s="3" t="s">
        <v>792</v>
      </c>
      <c r="G290" s="7">
        <v>45771.26830351269</v>
      </c>
    </row>
    <row r="291">
      <c r="A291" s="3" t="s">
        <v>1649</v>
      </c>
      <c r="B291" s="3" t="s">
        <v>168</v>
      </c>
      <c r="C291" s="3" t="s">
        <v>56</v>
      </c>
      <c r="D291" s="3" t="s">
        <v>68</v>
      </c>
      <c r="E291" s="3" t="s">
        <v>100</v>
      </c>
      <c r="F291" s="3" t="s">
        <v>1058</v>
      </c>
      <c r="G291" s="7">
        <v>45771.33947835811</v>
      </c>
    </row>
    <row r="292">
      <c r="A292" s="3" t="s">
        <v>1652</v>
      </c>
      <c r="B292" s="3" t="s">
        <v>266</v>
      </c>
      <c r="C292" s="3" t="s">
        <v>56</v>
      </c>
      <c r="D292" s="3" t="s">
        <v>68</v>
      </c>
      <c r="E292" s="3" t="s">
        <v>100</v>
      </c>
      <c r="F292" s="3" t="s">
        <v>1060</v>
      </c>
      <c r="G292" s="7">
        <v>45771.41065320352</v>
      </c>
    </row>
    <row r="293">
      <c r="A293" s="3" t="s">
        <v>1655</v>
      </c>
      <c r="B293" s="3" t="s">
        <v>756</v>
      </c>
      <c r="C293" s="3" t="s">
        <v>56</v>
      </c>
      <c r="D293" s="3" t="s">
        <v>68</v>
      </c>
      <c r="E293" s="3" t="s">
        <v>100</v>
      </c>
      <c r="F293" s="3" t="s">
        <v>1063</v>
      </c>
      <c r="G293" s="7">
        <v>45771.481828048934</v>
      </c>
    </row>
    <row r="294">
      <c r="A294" s="3" t="s">
        <v>1660</v>
      </c>
      <c r="B294" s="3" t="s">
        <v>708</v>
      </c>
      <c r="C294" s="3" t="s">
        <v>56</v>
      </c>
      <c r="D294" s="3" t="s">
        <v>68</v>
      </c>
      <c r="E294" s="3" t="s">
        <v>100</v>
      </c>
      <c r="F294" s="3" t="s">
        <v>1064</v>
      </c>
      <c r="G294" s="7">
        <v>45771.553002894354</v>
      </c>
    </row>
    <row r="295">
      <c r="A295" s="3" t="s">
        <v>1662</v>
      </c>
      <c r="B295" s="3" t="s">
        <v>1049</v>
      </c>
      <c r="C295" s="3" t="s">
        <v>56</v>
      </c>
      <c r="D295" s="3" t="s">
        <v>68</v>
      </c>
      <c r="E295" s="3" t="s">
        <v>100</v>
      </c>
      <c r="F295" s="3" t="s">
        <v>1066</v>
      </c>
      <c r="G295" s="7">
        <v>45771.62417773977</v>
      </c>
    </row>
    <row r="296">
      <c r="A296" s="3" t="s">
        <v>1665</v>
      </c>
      <c r="B296" s="3" t="s">
        <v>993</v>
      </c>
      <c r="C296" s="3" t="s">
        <v>56</v>
      </c>
      <c r="D296" s="3" t="s">
        <v>68</v>
      </c>
      <c r="E296" s="3" t="s">
        <v>100</v>
      </c>
      <c r="F296" s="3" t="s">
        <v>1069</v>
      </c>
      <c r="G296" s="7">
        <v>45771.69535258518</v>
      </c>
    </row>
    <row r="297">
      <c r="A297" s="3" t="s">
        <v>1668</v>
      </c>
      <c r="B297" s="3" t="s">
        <v>186</v>
      </c>
      <c r="C297" s="3" t="s">
        <v>56</v>
      </c>
      <c r="D297" s="3" t="s">
        <v>68</v>
      </c>
      <c r="E297" s="3" t="s">
        <v>100</v>
      </c>
      <c r="F297" s="3" t="s">
        <v>1070</v>
      </c>
      <c r="G297" s="7">
        <v>45771.7665274306</v>
      </c>
    </row>
    <row r="298">
      <c r="A298" s="3" t="s">
        <v>1672</v>
      </c>
      <c r="B298" s="3" t="s">
        <v>460</v>
      </c>
      <c r="C298" s="3" t="s">
        <v>1342</v>
      </c>
      <c r="D298" s="3" t="s">
        <v>68</v>
      </c>
      <c r="E298" s="3" t="s">
        <v>100</v>
      </c>
      <c r="F298" s="3" t="s">
        <v>668</v>
      </c>
      <c r="G298" s="7">
        <v>45771.83770227602</v>
      </c>
    </row>
    <row r="299">
      <c r="A299" s="3" t="s">
        <v>1675</v>
      </c>
      <c r="B299" s="3" t="s">
        <v>383</v>
      </c>
      <c r="C299" s="3" t="s">
        <v>1342</v>
      </c>
      <c r="D299" s="3" t="s">
        <v>68</v>
      </c>
      <c r="E299" s="3" t="s">
        <v>100</v>
      </c>
      <c r="F299" s="3" t="s">
        <v>633</v>
      </c>
      <c r="G299" s="7">
        <v>45771.90887712143</v>
      </c>
    </row>
    <row r="300">
      <c r="A300" s="3" t="s">
        <v>1680</v>
      </c>
      <c r="B300" s="3" t="s">
        <v>627</v>
      </c>
      <c r="C300" s="3" t="s">
        <v>56</v>
      </c>
      <c r="D300" s="3" t="s">
        <v>68</v>
      </c>
      <c r="E300" s="3" t="s">
        <v>100</v>
      </c>
      <c r="F300" s="3" t="s">
        <v>1072</v>
      </c>
      <c r="G300" s="7">
        <v>45771.98005196684</v>
      </c>
    </row>
    <row r="301">
      <c r="A301" s="3" t="s">
        <v>1682</v>
      </c>
      <c r="B301" s="3" t="s">
        <v>622</v>
      </c>
      <c r="C301" s="3" t="s">
        <v>56</v>
      </c>
      <c r="D301" s="3" t="s">
        <v>68</v>
      </c>
      <c r="E301" s="3" t="s">
        <v>100</v>
      </c>
      <c r="F301" s="3" t="s">
        <v>1074</v>
      </c>
      <c r="G301" s="7">
        <v>45772.05122681226</v>
      </c>
    </row>
    <row r="302">
      <c r="A302" s="3" t="s">
        <v>1686</v>
      </c>
      <c r="B302" s="3" t="s">
        <v>698</v>
      </c>
      <c r="C302" s="3" t="s">
        <v>1342</v>
      </c>
      <c r="D302" s="3" t="s">
        <v>68</v>
      </c>
      <c r="E302" s="3" t="s">
        <v>100</v>
      </c>
      <c r="F302" s="3" t="s">
        <v>538</v>
      </c>
      <c r="G302" s="7">
        <v>45772.122401657674</v>
      </c>
    </row>
    <row r="303">
      <c r="A303" s="3" t="s">
        <v>1689</v>
      </c>
      <c r="B303" s="3" t="s">
        <v>168</v>
      </c>
      <c r="C303" s="3" t="s">
        <v>1342</v>
      </c>
      <c r="D303" s="3" t="s">
        <v>68</v>
      </c>
      <c r="E303" s="3" t="s">
        <v>100</v>
      </c>
      <c r="F303" s="3" t="s">
        <v>1058</v>
      </c>
      <c r="G303" s="7">
        <v>45772.19357650309</v>
      </c>
    </row>
    <row r="304">
      <c r="A304" s="3" t="s">
        <v>1692</v>
      </c>
      <c r="B304" s="3" t="s">
        <v>993</v>
      </c>
      <c r="C304" s="3" t="s">
        <v>1342</v>
      </c>
      <c r="D304" s="3" t="s">
        <v>68</v>
      </c>
      <c r="E304" s="3" t="s">
        <v>100</v>
      </c>
      <c r="F304" s="3" t="s">
        <v>1069</v>
      </c>
      <c r="G304" s="7">
        <v>45772.264751348506</v>
      </c>
    </row>
    <row r="305">
      <c r="A305" s="3" t="s">
        <v>1695</v>
      </c>
      <c r="B305" s="3" t="s">
        <v>722</v>
      </c>
      <c r="C305" s="3" t="s">
        <v>56</v>
      </c>
      <c r="D305" s="3" t="s">
        <v>68</v>
      </c>
      <c r="E305" s="3" t="s">
        <v>100</v>
      </c>
      <c r="F305" s="3" t="s">
        <v>1076</v>
      </c>
      <c r="G305" s="7">
        <v>45772.33592619392</v>
      </c>
    </row>
    <row r="306">
      <c r="A306" s="3" t="s">
        <v>1700</v>
      </c>
      <c r="B306" s="3" t="s">
        <v>565</v>
      </c>
      <c r="C306" s="3" t="s">
        <v>1095</v>
      </c>
      <c r="D306" s="3" t="s">
        <v>68</v>
      </c>
      <c r="E306" s="3" t="s">
        <v>100</v>
      </c>
      <c r="F306" s="3" t="s">
        <v>1048</v>
      </c>
      <c r="G306" s="7">
        <v>45772.40710103933</v>
      </c>
    </row>
    <row r="307">
      <c r="A307" s="3" t="s">
        <v>1702</v>
      </c>
      <c r="B307" s="3" t="s">
        <v>727</v>
      </c>
      <c r="C307" s="3" t="s">
        <v>56</v>
      </c>
      <c r="D307" s="3" t="s">
        <v>181</v>
      </c>
      <c r="E307" s="3" t="s">
        <v>45</v>
      </c>
      <c r="F307" s="3" t="s">
        <v>45</v>
      </c>
      <c r="G307" s="7">
        <v>45772.47827588475</v>
      </c>
    </row>
    <row r="308">
      <c r="A308" s="3" t="s">
        <v>1705</v>
      </c>
      <c r="B308" s="3" t="s">
        <v>943</v>
      </c>
      <c r="C308" s="3" t="s">
        <v>56</v>
      </c>
      <c r="D308" s="3" t="s">
        <v>68</v>
      </c>
      <c r="E308" s="3" t="s">
        <v>100</v>
      </c>
      <c r="F308" s="3" t="s">
        <v>1079</v>
      </c>
      <c r="G308" s="7">
        <v>45772.54945073016</v>
      </c>
    </row>
    <row r="309">
      <c r="A309" s="3" t="s">
        <v>1708</v>
      </c>
      <c r="B309" s="3" t="s">
        <v>175</v>
      </c>
      <c r="C309" s="3" t="s">
        <v>56</v>
      </c>
      <c r="D309" s="3" t="s">
        <v>68</v>
      </c>
      <c r="E309" s="3" t="s">
        <v>100</v>
      </c>
      <c r="F309" s="3" t="s">
        <v>1081</v>
      </c>
      <c r="G309" s="7">
        <v>45772.620625575575</v>
      </c>
    </row>
    <row r="310">
      <c r="A310" s="3" t="s">
        <v>1711</v>
      </c>
      <c r="B310" s="3" t="s">
        <v>391</v>
      </c>
      <c r="C310" s="3" t="s">
        <v>56</v>
      </c>
      <c r="D310" s="3" t="s">
        <v>68</v>
      </c>
      <c r="E310" s="3" t="s">
        <v>100</v>
      </c>
      <c r="F310" s="3" t="s">
        <v>1083</v>
      </c>
      <c r="G310" s="7">
        <v>45772.691800420995</v>
      </c>
    </row>
    <row r="311">
      <c r="A311" s="3" t="s">
        <v>1714</v>
      </c>
      <c r="B311" s="3" t="s">
        <v>1034</v>
      </c>
      <c r="C311" s="3" t="s">
        <v>56</v>
      </c>
      <c r="D311" s="3" t="s">
        <v>68</v>
      </c>
      <c r="E311" s="3" t="s">
        <v>100</v>
      </c>
      <c r="F311" s="3" t="s">
        <v>1086</v>
      </c>
      <c r="G311" s="7">
        <v>45772.762975266414</v>
      </c>
    </row>
    <row r="312">
      <c r="A312" s="3" t="s">
        <v>1719</v>
      </c>
      <c r="B312" s="3" t="s">
        <v>496</v>
      </c>
      <c r="C312" s="3" t="s">
        <v>1342</v>
      </c>
      <c r="D312" s="3" t="s">
        <v>68</v>
      </c>
      <c r="E312" s="3" t="s">
        <v>100</v>
      </c>
      <c r="F312" s="3" t="s">
        <v>716</v>
      </c>
      <c r="G312" s="7">
        <v>45772.83415011182</v>
      </c>
    </row>
    <row r="313">
      <c r="A313" s="3" t="s">
        <v>1721</v>
      </c>
      <c r="B313" s="3" t="s">
        <v>453</v>
      </c>
      <c r="C313" s="3" t="s">
        <v>1342</v>
      </c>
      <c r="D313" s="3" t="s">
        <v>68</v>
      </c>
      <c r="E313" s="3" t="s">
        <v>100</v>
      </c>
      <c r="F313" s="3" t="s">
        <v>797</v>
      </c>
      <c r="G313" s="7">
        <v>45772.90532495724</v>
      </c>
    </row>
    <row r="314">
      <c r="A314" s="3" t="s">
        <v>1725</v>
      </c>
      <c r="B314" s="3" t="s">
        <v>627</v>
      </c>
      <c r="C314" s="3" t="s">
        <v>1342</v>
      </c>
      <c r="D314" s="3" t="s">
        <v>68</v>
      </c>
      <c r="E314" s="3" t="s">
        <v>100</v>
      </c>
      <c r="F314" s="3" t="s">
        <v>1072</v>
      </c>
      <c r="G314" s="7">
        <v>45772.97649980266</v>
      </c>
    </row>
    <row r="315">
      <c r="A315" s="3" t="s">
        <v>1727</v>
      </c>
      <c r="B315" s="3" t="s">
        <v>710</v>
      </c>
      <c r="C315" s="3" t="s">
        <v>56</v>
      </c>
      <c r="D315" s="3" t="s">
        <v>181</v>
      </c>
      <c r="E315" s="3" t="s">
        <v>45</v>
      </c>
      <c r="F315" s="3" t="s">
        <v>45</v>
      </c>
      <c r="G315" s="7">
        <v>45773.04767464807</v>
      </c>
    </row>
    <row r="316">
      <c r="A316" s="3" t="s">
        <v>1731</v>
      </c>
      <c r="B316" s="3" t="s">
        <v>310</v>
      </c>
      <c r="C316" s="3" t="s">
        <v>1095</v>
      </c>
      <c r="D316" s="3" t="s">
        <v>68</v>
      </c>
      <c r="E316" s="3" t="s">
        <v>100</v>
      </c>
      <c r="F316" s="3" t="s">
        <v>1053</v>
      </c>
      <c r="G316" s="7">
        <v>45773.11884949348</v>
      </c>
    </row>
    <row r="317">
      <c r="A317" s="3" t="s">
        <v>1734</v>
      </c>
      <c r="B317" s="3" t="s">
        <v>233</v>
      </c>
      <c r="C317" s="3" t="s">
        <v>56</v>
      </c>
      <c r="D317" s="3" t="s">
        <v>68</v>
      </c>
      <c r="E317" s="3" t="s">
        <v>100</v>
      </c>
      <c r="F317" s="3" t="s">
        <v>1088</v>
      </c>
      <c r="G317" s="7">
        <v>45773.1900243389</v>
      </c>
    </row>
    <row r="318">
      <c r="A318" s="3" t="s">
        <v>1739</v>
      </c>
      <c r="B318" s="3" t="s">
        <v>841</v>
      </c>
      <c r="C318" s="3" t="s">
        <v>1342</v>
      </c>
      <c r="D318" s="3" t="s">
        <v>68</v>
      </c>
      <c r="E318" s="3" t="s">
        <v>100</v>
      </c>
      <c r="F318" s="3" t="s">
        <v>810</v>
      </c>
      <c r="G318" s="7">
        <v>45773.261199184315</v>
      </c>
    </row>
    <row r="319">
      <c r="A319" s="3" t="s">
        <v>1742</v>
      </c>
      <c r="B319" s="3" t="s">
        <v>527</v>
      </c>
      <c r="C319" s="3" t="s">
        <v>56</v>
      </c>
      <c r="D319" s="3" t="s">
        <v>181</v>
      </c>
      <c r="E319" s="3" t="s">
        <v>45</v>
      </c>
      <c r="F319" s="3" t="s">
        <v>45</v>
      </c>
      <c r="G319" s="7">
        <v>45773.33237402973</v>
      </c>
    </row>
    <row r="320">
      <c r="A320" s="3" t="s">
        <v>1746</v>
      </c>
      <c r="B320" s="3" t="s">
        <v>1030</v>
      </c>
      <c r="C320" s="3" t="s">
        <v>56</v>
      </c>
      <c r="D320" s="3" t="s">
        <v>68</v>
      </c>
      <c r="E320" s="3" t="s">
        <v>100</v>
      </c>
      <c r="F320" s="3" t="s">
        <v>1092</v>
      </c>
      <c r="G320" s="7">
        <v>45773.40354887515</v>
      </c>
    </row>
    <row r="321">
      <c r="A321" s="3" t="s">
        <v>1749</v>
      </c>
      <c r="B321" s="3" t="s">
        <v>609</v>
      </c>
      <c r="C321" s="3" t="s">
        <v>56</v>
      </c>
      <c r="D321" s="3" t="s">
        <v>68</v>
      </c>
      <c r="E321" s="3" t="s">
        <v>100</v>
      </c>
      <c r="F321" s="3" t="s">
        <v>1094</v>
      </c>
      <c r="G321" s="7">
        <v>45773.47472372056</v>
      </c>
    </row>
    <row r="322">
      <c r="A322" s="3" t="s">
        <v>1752</v>
      </c>
      <c r="B322" s="3" t="s">
        <v>900</v>
      </c>
      <c r="C322" s="3" t="s">
        <v>1342</v>
      </c>
      <c r="D322" s="3" t="s">
        <v>68</v>
      </c>
      <c r="E322" s="3" t="s">
        <v>100</v>
      </c>
      <c r="F322" s="3" t="s">
        <v>641</v>
      </c>
      <c r="G322" s="7">
        <v>45773.54589856597</v>
      </c>
    </row>
    <row r="323">
      <c r="A323" s="3" t="s">
        <v>1754</v>
      </c>
      <c r="B323" s="3" t="s">
        <v>197</v>
      </c>
      <c r="C323" s="3" t="s">
        <v>56</v>
      </c>
      <c r="D323" s="3" t="s">
        <v>68</v>
      </c>
      <c r="E323" s="3" t="s">
        <v>100</v>
      </c>
      <c r="F323" s="3" t="s">
        <v>1096</v>
      </c>
      <c r="G323" s="7">
        <v>45773.61707341139</v>
      </c>
    </row>
    <row r="324">
      <c r="A324" s="3" t="s">
        <v>1758</v>
      </c>
      <c r="B324" s="3" t="s">
        <v>895</v>
      </c>
      <c r="C324" s="3" t="s">
        <v>56</v>
      </c>
      <c r="D324" s="3" t="s">
        <v>68</v>
      </c>
      <c r="E324" s="3" t="s">
        <v>100</v>
      </c>
      <c r="F324" s="3" t="s">
        <v>1099</v>
      </c>
      <c r="G324" s="7">
        <v>45773.6882482568</v>
      </c>
    </row>
    <row r="325">
      <c r="A325" s="3" t="s">
        <v>1761</v>
      </c>
      <c r="B325" s="3" t="s">
        <v>1049</v>
      </c>
      <c r="C325" s="3" t="s">
        <v>1342</v>
      </c>
      <c r="D325" s="3" t="s">
        <v>68</v>
      </c>
      <c r="E325" s="3" t="s">
        <v>100</v>
      </c>
      <c r="F325" s="3" t="s">
        <v>1066</v>
      </c>
      <c r="G325" s="7">
        <v>45773.759423102216</v>
      </c>
    </row>
    <row r="326">
      <c r="A326" s="3" t="s">
        <v>1764</v>
      </c>
      <c r="B326" s="3" t="s">
        <v>505</v>
      </c>
      <c r="C326" s="3" t="s">
        <v>56</v>
      </c>
      <c r="D326" s="3" t="s">
        <v>181</v>
      </c>
      <c r="E326" s="3" t="s">
        <v>45</v>
      </c>
      <c r="F326" s="3" t="s">
        <v>45</v>
      </c>
      <c r="G326" s="7">
        <v>45773.830597947635</v>
      </c>
    </row>
    <row r="327">
      <c r="A327" s="3" t="s">
        <v>1767</v>
      </c>
      <c r="B327" s="3" t="s">
        <v>186</v>
      </c>
      <c r="C327" s="3" t="s">
        <v>1342</v>
      </c>
      <c r="D327" s="3" t="s">
        <v>68</v>
      </c>
      <c r="E327" s="3" t="s">
        <v>100</v>
      </c>
      <c r="F327" s="3" t="s">
        <v>1070</v>
      </c>
      <c r="G327" s="7">
        <v>45773.901772793055</v>
      </c>
    </row>
    <row r="328">
      <c r="A328" s="3" t="s">
        <v>1771</v>
      </c>
      <c r="B328" s="3" t="s">
        <v>313</v>
      </c>
      <c r="C328" s="3" t="s">
        <v>56</v>
      </c>
      <c r="D328" s="3" t="s">
        <v>68</v>
      </c>
      <c r="E328" s="3" t="s">
        <v>100</v>
      </c>
      <c r="F328" s="3" t="s">
        <v>1100</v>
      </c>
      <c r="G328" s="7">
        <v>45773.97294763846</v>
      </c>
    </row>
    <row r="329">
      <c r="A329" s="3" t="s">
        <v>1774</v>
      </c>
      <c r="B329" s="3" t="s">
        <v>895</v>
      </c>
      <c r="C329" s="3" t="s">
        <v>1095</v>
      </c>
      <c r="D329" s="3" t="s">
        <v>68</v>
      </c>
      <c r="E329" s="3" t="s">
        <v>100</v>
      </c>
      <c r="F329" s="3" t="s">
        <v>1099</v>
      </c>
      <c r="G329" s="7">
        <v>45774.04412248388</v>
      </c>
    </row>
    <row r="330">
      <c r="A330" s="3" t="s">
        <v>1777</v>
      </c>
      <c r="B330" s="3" t="s">
        <v>953</v>
      </c>
      <c r="C330" s="3" t="s">
        <v>56</v>
      </c>
      <c r="D330" s="3" t="s">
        <v>68</v>
      </c>
      <c r="E330" s="3" t="s">
        <v>100</v>
      </c>
      <c r="F330" s="3" t="s">
        <v>1103</v>
      </c>
      <c r="G330" s="7">
        <v>45774.1152973293</v>
      </c>
    </row>
    <row r="331">
      <c r="A331" s="3" t="s">
        <v>1781</v>
      </c>
      <c r="B331" s="3" t="s">
        <v>569</v>
      </c>
      <c r="C331" s="3" t="s">
        <v>56</v>
      </c>
      <c r="D331" s="3" t="s">
        <v>68</v>
      </c>
      <c r="E331" s="3" t="s">
        <v>100</v>
      </c>
      <c r="F331" s="3" t="s">
        <v>1104</v>
      </c>
      <c r="G331" s="7">
        <v>45774.18647217471</v>
      </c>
    </row>
    <row r="332">
      <c r="A332" s="3" t="s">
        <v>1784</v>
      </c>
      <c r="B332" s="3" t="s">
        <v>957</v>
      </c>
      <c r="C332" s="3" t="s">
        <v>1342</v>
      </c>
      <c r="D332" s="3" t="s">
        <v>68</v>
      </c>
      <c r="E332" s="3" t="s">
        <v>100</v>
      </c>
      <c r="F332" s="3" t="s">
        <v>855</v>
      </c>
      <c r="G332" s="7">
        <v>45774.257647020124</v>
      </c>
    </row>
    <row r="333">
      <c r="A333" s="3" t="s">
        <v>1787</v>
      </c>
      <c r="B333" s="3" t="s">
        <v>993</v>
      </c>
      <c r="C333" s="3" t="s">
        <v>1095</v>
      </c>
      <c r="D333" s="3" t="s">
        <v>68</v>
      </c>
      <c r="E333" s="3" t="s">
        <v>100</v>
      </c>
      <c r="F333" s="3" t="s">
        <v>1069</v>
      </c>
      <c r="G333" s="7">
        <v>45774.32882186554</v>
      </c>
    </row>
    <row r="334">
      <c r="A334" s="3" t="s">
        <v>1791</v>
      </c>
      <c r="B334" s="3" t="s">
        <v>496</v>
      </c>
      <c r="C334" s="3" t="s">
        <v>1342</v>
      </c>
      <c r="D334" s="3" t="s">
        <v>68</v>
      </c>
      <c r="E334" s="3" t="s">
        <v>100</v>
      </c>
      <c r="F334" s="3" t="s">
        <v>716</v>
      </c>
      <c r="G334" s="7">
        <v>45774.399996710956</v>
      </c>
    </row>
    <row r="335">
      <c r="A335" s="3" t="s">
        <v>1796</v>
      </c>
      <c r="B335" s="3" t="s">
        <v>906</v>
      </c>
      <c r="C335" s="3" t="s">
        <v>56</v>
      </c>
      <c r="D335" s="3" t="s">
        <v>68</v>
      </c>
      <c r="E335" s="3" t="s">
        <v>100</v>
      </c>
      <c r="F335" s="3" t="s">
        <v>1110</v>
      </c>
      <c r="G335" s="7">
        <v>45774.47117155637</v>
      </c>
    </row>
    <row r="336">
      <c r="A336" s="3" t="s">
        <v>1799</v>
      </c>
      <c r="B336" s="3" t="s">
        <v>713</v>
      </c>
      <c r="C336" s="3" t="s">
        <v>56</v>
      </c>
      <c r="D336" s="3" t="s">
        <v>68</v>
      </c>
      <c r="E336" s="3" t="s">
        <v>100</v>
      </c>
      <c r="F336" s="3" t="s">
        <v>1113</v>
      </c>
      <c r="G336" s="7">
        <v>45774.54234640179</v>
      </c>
    </row>
    <row r="337">
      <c r="A337" s="3" t="s">
        <v>1803</v>
      </c>
      <c r="B337" s="3" t="s">
        <v>466</v>
      </c>
      <c r="C337" s="3" t="s">
        <v>56</v>
      </c>
      <c r="D337" s="3" t="s">
        <v>68</v>
      </c>
      <c r="E337" s="3" t="s">
        <v>100</v>
      </c>
      <c r="F337" s="3" t="s">
        <v>1114</v>
      </c>
      <c r="G337" s="7">
        <v>45774.61352124721</v>
      </c>
    </row>
    <row r="338">
      <c r="A338" s="3" t="s">
        <v>1807</v>
      </c>
      <c r="B338" s="3" t="s">
        <v>391</v>
      </c>
      <c r="C338" s="3" t="s">
        <v>1342</v>
      </c>
      <c r="D338" s="3" t="s">
        <v>68</v>
      </c>
      <c r="E338" s="3" t="s">
        <v>100</v>
      </c>
      <c r="F338" s="3" t="s">
        <v>1083</v>
      </c>
      <c r="G338" s="7">
        <v>45774.68469609261</v>
      </c>
    </row>
    <row r="339">
      <c r="A339" s="3" t="s">
        <v>1811</v>
      </c>
      <c r="B339" s="3" t="s">
        <v>665</v>
      </c>
      <c r="C339" s="3" t="s">
        <v>56</v>
      </c>
      <c r="D339" s="3" t="s">
        <v>68</v>
      </c>
      <c r="E339" s="3" t="s">
        <v>100</v>
      </c>
      <c r="F339" s="3" t="s">
        <v>1117</v>
      </c>
      <c r="G339" s="7">
        <v>45774.75587093803</v>
      </c>
    </row>
    <row r="340">
      <c r="A340" s="3" t="s">
        <v>1818</v>
      </c>
      <c r="B340" s="3" t="s">
        <v>406</v>
      </c>
      <c r="C340" s="3" t="s">
        <v>1095</v>
      </c>
      <c r="D340" s="3" t="s">
        <v>68</v>
      </c>
      <c r="E340" s="3" t="s">
        <v>100</v>
      </c>
      <c r="F340" s="3" t="s">
        <v>490</v>
      </c>
      <c r="G340" s="7">
        <v>45774.827045783444</v>
      </c>
    </row>
    <row r="341">
      <c r="A341" s="3" t="s">
        <v>1823</v>
      </c>
      <c r="B341" s="3" t="s">
        <v>515</v>
      </c>
      <c r="C341" s="3" t="s">
        <v>56</v>
      </c>
      <c r="D341" s="3" t="s">
        <v>68</v>
      </c>
      <c r="E341" s="3" t="s">
        <v>100</v>
      </c>
      <c r="F341" s="3" t="s">
        <v>1119</v>
      </c>
      <c r="G341" s="7">
        <v>45774.898220628864</v>
      </c>
    </row>
    <row r="342">
      <c r="A342" s="3" t="s">
        <v>1830</v>
      </c>
      <c r="B342" s="3" t="s">
        <v>498</v>
      </c>
      <c r="C342" s="3" t="s">
        <v>1095</v>
      </c>
      <c r="D342" s="3" t="s">
        <v>68</v>
      </c>
      <c r="E342" s="3" t="s">
        <v>100</v>
      </c>
      <c r="F342" s="3" t="s">
        <v>560</v>
      </c>
      <c r="G342" s="7">
        <v>45774.969395474276</v>
      </c>
    </row>
    <row r="343">
      <c r="A343" s="3" t="s">
        <v>1834</v>
      </c>
      <c r="B343" s="3" t="s">
        <v>219</v>
      </c>
      <c r="C343" s="3" t="s">
        <v>1342</v>
      </c>
      <c r="D343" s="3" t="s">
        <v>68</v>
      </c>
      <c r="E343" s="3" t="s">
        <v>100</v>
      </c>
      <c r="F343" s="3" t="s">
        <v>788</v>
      </c>
      <c r="G343" s="7">
        <v>45775.040570319696</v>
      </c>
    </row>
    <row r="344">
      <c r="A344" s="3" t="s">
        <v>1841</v>
      </c>
      <c r="B344" s="3" t="s">
        <v>159</v>
      </c>
      <c r="C344" s="3" t="s">
        <v>1095</v>
      </c>
      <c r="D344" s="3" t="s">
        <v>181</v>
      </c>
      <c r="E344" s="3" t="s">
        <v>45</v>
      </c>
      <c r="F344" s="3" t="s">
        <v>862</v>
      </c>
      <c r="G344" s="7">
        <v>45775.1117451651</v>
      </c>
    </row>
    <row r="345">
      <c r="A345" s="3" t="s">
        <v>1847</v>
      </c>
      <c r="B345" s="3" t="s">
        <v>436</v>
      </c>
      <c r="C345" s="3" t="s">
        <v>56</v>
      </c>
      <c r="D345" s="3" t="s">
        <v>68</v>
      </c>
      <c r="E345" s="3" t="s">
        <v>100</v>
      </c>
      <c r="F345" s="3" t="s">
        <v>1121</v>
      </c>
      <c r="G345" s="7">
        <v>45775.18292001052</v>
      </c>
    </row>
    <row r="346">
      <c r="A346" s="3" t="s">
        <v>1851</v>
      </c>
      <c r="B346" s="3" t="s">
        <v>877</v>
      </c>
      <c r="C346" s="3" t="s">
        <v>56</v>
      </c>
      <c r="D346" s="3" t="s">
        <v>68</v>
      </c>
      <c r="E346" s="3" t="s">
        <v>100</v>
      </c>
      <c r="F346" s="3" t="s">
        <v>1125</v>
      </c>
      <c r="G346" s="7">
        <v>45775.25409485594</v>
      </c>
    </row>
    <row r="347">
      <c r="A347" s="3" t="s">
        <v>1854</v>
      </c>
      <c r="B347" s="3" t="s">
        <v>145</v>
      </c>
      <c r="C347" s="3" t="s">
        <v>56</v>
      </c>
      <c r="D347" s="3" t="s">
        <v>68</v>
      </c>
      <c r="E347" s="3" t="s">
        <v>100</v>
      </c>
      <c r="F347" s="3" t="s">
        <v>1127</v>
      </c>
      <c r="G347" s="7">
        <v>45775.32526970135</v>
      </c>
    </row>
    <row r="348">
      <c r="A348" s="3" t="s">
        <v>1859</v>
      </c>
      <c r="B348" s="3" t="s">
        <v>193</v>
      </c>
      <c r="C348" s="3" t="s">
        <v>1342</v>
      </c>
      <c r="D348" s="3" t="s">
        <v>68</v>
      </c>
      <c r="E348" s="3" t="s">
        <v>100</v>
      </c>
      <c r="F348" s="3" t="s">
        <v>693</v>
      </c>
      <c r="G348" s="7">
        <v>45775.396444546765</v>
      </c>
    </row>
    <row r="349">
      <c r="A349" s="3" t="s">
        <v>1861</v>
      </c>
      <c r="B349" s="3" t="s">
        <v>319</v>
      </c>
      <c r="C349" s="3" t="s">
        <v>56</v>
      </c>
      <c r="D349" s="3" t="s">
        <v>68</v>
      </c>
      <c r="E349" s="3" t="s">
        <v>100</v>
      </c>
      <c r="F349" s="3" t="s">
        <v>1129</v>
      </c>
      <c r="G349" s="7">
        <v>45775.467619392184</v>
      </c>
    </row>
    <row r="350">
      <c r="A350" s="3" t="s">
        <v>1865</v>
      </c>
      <c r="B350" s="3" t="s">
        <v>710</v>
      </c>
      <c r="C350" s="3" t="s">
        <v>56</v>
      </c>
      <c r="D350" s="3" t="s">
        <v>68</v>
      </c>
      <c r="E350" s="3" t="s">
        <v>100</v>
      </c>
      <c r="F350" s="3" t="s">
        <v>1131</v>
      </c>
      <c r="G350" s="7">
        <v>45775.5387942376</v>
      </c>
    </row>
    <row r="351">
      <c r="A351" s="3" t="s">
        <v>1867</v>
      </c>
      <c r="B351" s="3" t="s">
        <v>272</v>
      </c>
      <c r="C351" s="3" t="s">
        <v>1095</v>
      </c>
      <c r="D351" s="3" t="s">
        <v>68</v>
      </c>
      <c r="E351" s="3" t="s">
        <v>100</v>
      </c>
      <c r="F351" s="3" t="s">
        <v>1033</v>
      </c>
      <c r="G351" s="7">
        <v>45775.60996908301</v>
      </c>
    </row>
    <row r="352">
      <c r="A352" s="3" t="s">
        <v>1870</v>
      </c>
      <c r="B352" s="3" t="s">
        <v>1030</v>
      </c>
      <c r="C352" s="3" t="s">
        <v>1342</v>
      </c>
      <c r="D352" s="3" t="s">
        <v>68</v>
      </c>
      <c r="E352" s="3" t="s">
        <v>100</v>
      </c>
      <c r="F352" s="3" t="s">
        <v>1092</v>
      </c>
      <c r="G352" s="7">
        <v>45775.68114392843</v>
      </c>
    </row>
    <row r="353">
      <c r="A353" s="3" t="s">
        <v>1874</v>
      </c>
      <c r="B353" s="3" t="s">
        <v>685</v>
      </c>
      <c r="C353" s="3" t="s">
        <v>56</v>
      </c>
      <c r="D353" s="3" t="s">
        <v>68</v>
      </c>
      <c r="E353" s="3" t="s">
        <v>100</v>
      </c>
      <c r="F353" s="3" t="s">
        <v>1133</v>
      </c>
      <c r="G353" s="7">
        <v>45775.75231877385</v>
      </c>
    </row>
    <row r="354">
      <c r="A354" s="3" t="s">
        <v>1877</v>
      </c>
      <c r="B354" s="3" t="s">
        <v>903</v>
      </c>
      <c r="C354" s="3" t="s">
        <v>1095</v>
      </c>
      <c r="D354" s="3" t="s">
        <v>68</v>
      </c>
      <c r="E354" s="3" t="s">
        <v>100</v>
      </c>
      <c r="F354" s="3" t="s">
        <v>589</v>
      </c>
      <c r="G354" s="7">
        <v>45775.82349361925</v>
      </c>
    </row>
    <row r="355">
      <c r="A355" s="3" t="s">
        <v>1880</v>
      </c>
      <c r="B355" s="3" t="s">
        <v>512</v>
      </c>
      <c r="C355" s="3" t="s">
        <v>56</v>
      </c>
      <c r="D355" s="3" t="s">
        <v>68</v>
      </c>
      <c r="E355" s="3" t="s">
        <v>100</v>
      </c>
      <c r="F355" s="3" t="s">
        <v>1135</v>
      </c>
      <c r="G355" s="7">
        <v>45775.89466846467</v>
      </c>
    </row>
    <row r="356">
      <c r="A356" s="3" t="s">
        <v>1883</v>
      </c>
      <c r="B356" s="3" t="s">
        <v>554</v>
      </c>
      <c r="C356" s="3" t="s">
        <v>56</v>
      </c>
      <c r="D356" s="3" t="s">
        <v>195</v>
      </c>
      <c r="E356" s="3" t="s">
        <v>45</v>
      </c>
      <c r="F356" s="3" t="s">
        <v>45</v>
      </c>
      <c r="G356" s="7">
        <v>45775.96584331009</v>
      </c>
    </row>
    <row r="357">
      <c r="A357" s="3" t="s">
        <v>1888</v>
      </c>
      <c r="B357" s="3" t="s">
        <v>226</v>
      </c>
      <c r="C357" s="3" t="s">
        <v>1342</v>
      </c>
      <c r="D357" s="3" t="s">
        <v>68</v>
      </c>
      <c r="E357" s="3" t="s">
        <v>100</v>
      </c>
      <c r="F357" s="3" t="s">
        <v>646</v>
      </c>
      <c r="G357" s="7">
        <v>45776.037018155504</v>
      </c>
    </row>
    <row r="358">
      <c r="A358" s="3" t="s">
        <v>1891</v>
      </c>
      <c r="B358" s="3" t="s">
        <v>870</v>
      </c>
      <c r="C358" s="3" t="s">
        <v>56</v>
      </c>
      <c r="D358" s="3" t="s">
        <v>68</v>
      </c>
      <c r="E358" s="3" t="s">
        <v>100</v>
      </c>
      <c r="F358" s="3" t="s">
        <v>1138</v>
      </c>
      <c r="G358" s="7">
        <v>45776.10819300092</v>
      </c>
    </row>
    <row r="359">
      <c r="A359" s="3" t="s">
        <v>1895</v>
      </c>
      <c r="B359" s="3" t="s">
        <v>250</v>
      </c>
      <c r="C359" s="3" t="s">
        <v>1095</v>
      </c>
      <c r="D359" s="3" t="s">
        <v>68</v>
      </c>
      <c r="E359" s="3" t="s">
        <v>100</v>
      </c>
      <c r="F359" s="3" t="s">
        <v>1029</v>
      </c>
      <c r="G359" s="7">
        <v>45776.17936784634</v>
      </c>
    </row>
    <row r="360">
      <c r="A360" s="3" t="s">
        <v>1898</v>
      </c>
      <c r="B360" s="3" t="s">
        <v>512</v>
      </c>
      <c r="C360" s="3" t="s">
        <v>1342</v>
      </c>
      <c r="D360" s="3" t="s">
        <v>68</v>
      </c>
      <c r="E360" s="3" t="s">
        <v>100</v>
      </c>
      <c r="F360" s="3" t="s">
        <v>1135</v>
      </c>
      <c r="G360" s="7">
        <v>45776.25054269175</v>
      </c>
    </row>
    <row r="361">
      <c r="A361" s="3" t="s">
        <v>1902</v>
      </c>
      <c r="B361" s="3" t="s">
        <v>123</v>
      </c>
      <c r="C361" s="3" t="s">
        <v>56</v>
      </c>
      <c r="D361" s="3" t="s">
        <v>195</v>
      </c>
      <c r="E361" s="3" t="s">
        <v>45</v>
      </c>
      <c r="F361" s="3" t="s">
        <v>45</v>
      </c>
      <c r="G361" s="7">
        <v>45776.32171753716</v>
      </c>
    </row>
    <row r="362">
      <c r="A362" s="3" t="s">
        <v>1905</v>
      </c>
      <c r="B362" s="3" t="s">
        <v>449</v>
      </c>
      <c r="C362" s="3" t="s">
        <v>1095</v>
      </c>
      <c r="D362" s="3" t="s">
        <v>68</v>
      </c>
      <c r="E362" s="3" t="s">
        <v>100</v>
      </c>
      <c r="F362" s="3" t="s">
        <v>1055</v>
      </c>
      <c r="G362" s="7">
        <v>45776.39289238258</v>
      </c>
    </row>
    <row r="363">
      <c r="A363" s="3" t="s">
        <v>1909</v>
      </c>
      <c r="B363" s="3" t="s">
        <v>330</v>
      </c>
      <c r="C363" s="3" t="s">
        <v>56</v>
      </c>
      <c r="D363" s="3" t="s">
        <v>68</v>
      </c>
      <c r="E363" s="3" t="s">
        <v>100</v>
      </c>
      <c r="F363" s="3" t="s">
        <v>1140</v>
      </c>
      <c r="G363" s="7">
        <v>45776.46406722799</v>
      </c>
    </row>
    <row r="364">
      <c r="A364" s="3" t="s">
        <v>1912</v>
      </c>
      <c r="B364" s="3" t="s">
        <v>672</v>
      </c>
      <c r="C364" s="3" t="s">
        <v>1095</v>
      </c>
      <c r="D364" s="3" t="s">
        <v>68</v>
      </c>
      <c r="E364" s="3" t="s">
        <v>100</v>
      </c>
      <c r="F364" s="3" t="s">
        <v>603</v>
      </c>
      <c r="G364" s="7">
        <v>45776.535242073405</v>
      </c>
    </row>
    <row r="365">
      <c r="A365" s="3" t="s">
        <v>1915</v>
      </c>
      <c r="B365" s="3" t="s">
        <v>141</v>
      </c>
      <c r="C365" s="3" t="s">
        <v>1095</v>
      </c>
      <c r="D365" s="3" t="s">
        <v>68</v>
      </c>
      <c r="E365" s="3" t="s">
        <v>100</v>
      </c>
      <c r="F365" s="3" t="s">
        <v>653</v>
      </c>
      <c r="G365" s="7">
        <v>45776.606416918825</v>
      </c>
    </row>
    <row r="366">
      <c r="A366" s="3" t="s">
        <v>1919</v>
      </c>
      <c r="B366" s="3" t="s">
        <v>685</v>
      </c>
      <c r="C366" s="3" t="s">
        <v>1342</v>
      </c>
      <c r="D366" s="3" t="s">
        <v>68</v>
      </c>
      <c r="E366" s="3" t="s">
        <v>100</v>
      </c>
      <c r="F366" s="3" t="s">
        <v>1133</v>
      </c>
      <c r="G366" s="7">
        <v>45776.67759176424</v>
      </c>
    </row>
    <row r="367">
      <c r="A367" s="3" t="s">
        <v>1922</v>
      </c>
      <c r="B367" s="3" t="s">
        <v>998</v>
      </c>
      <c r="C367" s="3" t="s">
        <v>56</v>
      </c>
      <c r="D367" s="3" t="s">
        <v>68</v>
      </c>
      <c r="E367" s="3" t="s">
        <v>100</v>
      </c>
      <c r="F367" s="3" t="s">
        <v>1143</v>
      </c>
      <c r="G367" s="7">
        <v>45776.74876660965</v>
      </c>
    </row>
    <row r="368">
      <c r="A368" s="3" t="s">
        <v>1926</v>
      </c>
      <c r="B368" s="3" t="s">
        <v>539</v>
      </c>
      <c r="C368" s="3" t="s">
        <v>1342</v>
      </c>
      <c r="D368" s="3" t="s">
        <v>68</v>
      </c>
      <c r="E368" s="3" t="s">
        <v>100</v>
      </c>
      <c r="F368" s="3" t="s">
        <v>583</v>
      </c>
      <c r="G368" s="7">
        <v>45776.81994145507</v>
      </c>
    </row>
    <row r="369">
      <c r="A369" s="3" t="s">
        <v>1930</v>
      </c>
      <c r="B369" s="3" t="s">
        <v>290</v>
      </c>
      <c r="C369" s="3" t="s">
        <v>56</v>
      </c>
      <c r="D369" s="3" t="s">
        <v>68</v>
      </c>
      <c r="E369" s="3" t="s">
        <v>100</v>
      </c>
      <c r="F369" s="3" t="s">
        <v>1146</v>
      </c>
      <c r="G369" s="7">
        <v>45776.89111630049</v>
      </c>
    </row>
    <row r="370">
      <c r="A370" s="3" t="s">
        <v>1934</v>
      </c>
      <c r="B370" s="3" t="s">
        <v>903</v>
      </c>
      <c r="C370" s="3" t="s">
        <v>56</v>
      </c>
      <c r="D370" s="3" t="s">
        <v>68</v>
      </c>
      <c r="E370" s="3" t="s">
        <v>100</v>
      </c>
      <c r="F370" s="3" t="s">
        <v>1148</v>
      </c>
      <c r="G370" s="7">
        <v>45776.962291145894</v>
      </c>
    </row>
    <row r="371">
      <c r="A371" s="3" t="s">
        <v>1938</v>
      </c>
      <c r="B371" s="3" t="s">
        <v>838</v>
      </c>
      <c r="C371" s="3" t="s">
        <v>56</v>
      </c>
      <c r="D371" s="3" t="s">
        <v>68</v>
      </c>
      <c r="E371" s="3" t="s">
        <v>100</v>
      </c>
      <c r="F371" s="3" t="s">
        <v>1151</v>
      </c>
      <c r="G371" s="7">
        <v>45777.03346599131</v>
      </c>
    </row>
    <row r="372">
      <c r="A372" s="3" t="s">
        <v>1942</v>
      </c>
      <c r="B372" s="3" t="s">
        <v>1026</v>
      </c>
      <c r="C372" s="3" t="s">
        <v>56</v>
      </c>
      <c r="D372" s="3" t="s">
        <v>181</v>
      </c>
      <c r="E372" s="3" t="s">
        <v>45</v>
      </c>
      <c r="F372" s="3" t="s">
        <v>45</v>
      </c>
      <c r="G372" s="7">
        <v>45777.10464083673</v>
      </c>
    </row>
    <row r="373">
      <c r="A373" s="3" t="s">
        <v>1945</v>
      </c>
      <c r="B373" s="3" t="s">
        <v>168</v>
      </c>
      <c r="C373" s="3" t="s">
        <v>1342</v>
      </c>
      <c r="D373" s="3" t="s">
        <v>68</v>
      </c>
      <c r="E373" s="3" t="s">
        <v>100</v>
      </c>
      <c r="F373" s="3" t="s">
        <v>1058</v>
      </c>
      <c r="G373" s="7">
        <v>45777.175815682145</v>
      </c>
    </row>
    <row r="374">
      <c r="A374" s="3" t="s">
        <v>1949</v>
      </c>
      <c r="B374" s="3" t="s">
        <v>550</v>
      </c>
      <c r="C374" s="3" t="s">
        <v>56</v>
      </c>
      <c r="D374" s="3" t="s">
        <v>68</v>
      </c>
      <c r="E374" s="3" t="s">
        <v>100</v>
      </c>
      <c r="F374" s="3" t="s">
        <v>1153</v>
      </c>
      <c r="G374" s="7">
        <v>45777.24699052756</v>
      </c>
    </row>
    <row r="375">
      <c r="A375" s="3" t="s">
        <v>1953</v>
      </c>
      <c r="B375" s="3" t="s">
        <v>717</v>
      </c>
      <c r="C375" s="3" t="s">
        <v>56</v>
      </c>
      <c r="D375" s="3" t="s">
        <v>68</v>
      </c>
      <c r="E375" s="3" t="s">
        <v>100</v>
      </c>
      <c r="F375" s="3" t="s">
        <v>1156</v>
      </c>
      <c r="G375" s="7">
        <v>45777.31816537298</v>
      </c>
    </row>
    <row r="376">
      <c r="A376" s="3" t="s">
        <v>1955</v>
      </c>
      <c r="B376" s="3" t="s">
        <v>296</v>
      </c>
      <c r="C376" s="3" t="s">
        <v>56</v>
      </c>
      <c r="D376" s="3" t="s">
        <v>68</v>
      </c>
      <c r="E376" s="3" t="s">
        <v>100</v>
      </c>
      <c r="F376" s="3" t="s">
        <v>1158</v>
      </c>
      <c r="G376" s="7">
        <v>45777.38934021839</v>
      </c>
    </row>
    <row r="377">
      <c r="A377" s="3" t="s">
        <v>1959</v>
      </c>
      <c r="B377" s="3" t="s">
        <v>276</v>
      </c>
      <c r="C377" s="3" t="s">
        <v>1095</v>
      </c>
      <c r="D377" s="3" t="s">
        <v>68</v>
      </c>
      <c r="E377" s="3" t="s">
        <v>100</v>
      </c>
      <c r="F377" s="3" t="s">
        <v>971</v>
      </c>
      <c r="G377" s="7">
        <v>45777.4605150638</v>
      </c>
    </row>
    <row r="378">
      <c r="A378" s="3" t="s">
        <v>1962</v>
      </c>
      <c r="B378" s="3" t="s">
        <v>929</v>
      </c>
      <c r="C378" s="3" t="s">
        <v>56</v>
      </c>
      <c r="D378" s="3" t="s">
        <v>68</v>
      </c>
      <c r="E378" s="3" t="s">
        <v>100</v>
      </c>
      <c r="F378" s="3" t="s">
        <v>1161</v>
      </c>
      <c r="G378" s="7">
        <v>45777.53168990922</v>
      </c>
    </row>
    <row r="379">
      <c r="A379" s="3" t="s">
        <v>1972</v>
      </c>
      <c r="B379" s="3" t="s">
        <v>272</v>
      </c>
      <c r="C379" s="3" t="s">
        <v>56</v>
      </c>
      <c r="D379" s="3" t="s">
        <v>68</v>
      </c>
      <c r="E379" s="3" t="s">
        <v>100</v>
      </c>
      <c r="F379" s="3" t="s">
        <v>1162</v>
      </c>
      <c r="G379" s="7">
        <v>45777.60286475464</v>
      </c>
    </row>
    <row r="380">
      <c r="A380" s="3" t="s">
        <v>1976</v>
      </c>
      <c r="B380" s="3" t="s">
        <v>669</v>
      </c>
      <c r="C380" s="3" t="s">
        <v>1095</v>
      </c>
      <c r="D380" s="3" t="s">
        <v>181</v>
      </c>
      <c r="E380" s="3" t="s">
        <v>45</v>
      </c>
      <c r="F380" s="3" t="s">
        <v>780</v>
      </c>
      <c r="G380" s="7">
        <v>45777.674039600046</v>
      </c>
    </row>
    <row r="381">
      <c r="A381" s="3" t="s">
        <v>1980</v>
      </c>
      <c r="B381" s="3" t="s">
        <v>895</v>
      </c>
      <c r="C381" s="3" t="s">
        <v>56</v>
      </c>
      <c r="D381" s="3" t="s">
        <v>68</v>
      </c>
      <c r="E381" s="3" t="s">
        <v>100</v>
      </c>
      <c r="F381" s="3" t="s">
        <v>1168</v>
      </c>
      <c r="G381" s="7">
        <v>45777.745214445466</v>
      </c>
    </row>
    <row r="382">
      <c r="A382" s="3" t="s">
        <v>1984</v>
      </c>
      <c r="B382" s="3" t="s">
        <v>316</v>
      </c>
      <c r="C382" s="3" t="s">
        <v>1342</v>
      </c>
      <c r="D382" s="3" t="s">
        <v>68</v>
      </c>
      <c r="E382" s="3" t="s">
        <v>100</v>
      </c>
      <c r="F382" s="3" t="s">
        <v>578</v>
      </c>
      <c r="G382" s="7">
        <v>45777.81638929088</v>
      </c>
    </row>
    <row r="383">
      <c r="A383" s="3" t="s">
        <v>1987</v>
      </c>
      <c r="B383" s="3" t="s">
        <v>895</v>
      </c>
      <c r="C383" s="3" t="s">
        <v>1095</v>
      </c>
      <c r="D383" s="3" t="s">
        <v>68</v>
      </c>
      <c r="E383" s="3" t="s">
        <v>100</v>
      </c>
      <c r="F383" s="3" t="s">
        <v>1168</v>
      </c>
      <c r="G383" s="7">
        <v>45777.8875641363</v>
      </c>
    </row>
    <row r="384">
      <c r="A384" s="3" t="s">
        <v>1991</v>
      </c>
      <c r="B384" s="3" t="s">
        <v>186</v>
      </c>
      <c r="C384" s="3" t="s">
        <v>1095</v>
      </c>
      <c r="D384" s="3" t="s">
        <v>68</v>
      </c>
      <c r="E384" s="3" t="s">
        <v>100</v>
      </c>
      <c r="F384" s="3" t="s">
        <v>1070</v>
      </c>
      <c r="G384" s="7">
        <v>45777.95873898171</v>
      </c>
    </row>
    <row r="385">
      <c r="A385" s="3" t="s">
        <v>1995</v>
      </c>
      <c r="B385" s="3" t="s">
        <v>643</v>
      </c>
      <c r="C385" s="3" t="s">
        <v>56</v>
      </c>
      <c r="D385" s="3" t="s">
        <v>68</v>
      </c>
      <c r="E385" s="3" t="s">
        <v>100</v>
      </c>
      <c r="F385" s="3" t="s">
        <v>1171</v>
      </c>
      <c r="G385" s="7">
        <v>45778.02991382713</v>
      </c>
    </row>
    <row r="386">
      <c r="A386" s="3" t="s">
        <v>1998</v>
      </c>
      <c r="B386" s="3" t="s">
        <v>652</v>
      </c>
      <c r="C386" s="3" t="s">
        <v>56</v>
      </c>
      <c r="D386" s="3" t="s">
        <v>68</v>
      </c>
      <c r="E386" s="3" t="s">
        <v>100</v>
      </c>
      <c r="F386" s="3" t="s">
        <v>1173</v>
      </c>
      <c r="G386" s="7">
        <v>45778.101088672534</v>
      </c>
    </row>
    <row r="387">
      <c r="A387" s="3" t="s">
        <v>2002</v>
      </c>
      <c r="B387" s="3" t="s">
        <v>704</v>
      </c>
      <c r="C387" s="3" t="s">
        <v>56</v>
      </c>
      <c r="D387" s="3" t="s">
        <v>68</v>
      </c>
      <c r="E387" s="3" t="s">
        <v>100</v>
      </c>
      <c r="F387" s="3" t="s">
        <v>1177</v>
      </c>
      <c r="G387" s="7">
        <v>45778.172263517954</v>
      </c>
    </row>
    <row r="388">
      <c r="A388" s="3" t="s">
        <v>2005</v>
      </c>
      <c r="B388" s="3" t="s">
        <v>366</v>
      </c>
      <c r="C388" s="3" t="s">
        <v>56</v>
      </c>
      <c r="D388" s="3" t="s">
        <v>68</v>
      </c>
      <c r="E388" s="3" t="s">
        <v>100</v>
      </c>
      <c r="F388" s="3" t="s">
        <v>1179</v>
      </c>
      <c r="G388" s="7">
        <v>45778.24343836337</v>
      </c>
    </row>
    <row r="389">
      <c r="A389" s="3" t="s">
        <v>2012</v>
      </c>
      <c r="B389" s="3" t="s">
        <v>141</v>
      </c>
      <c r="C389" s="3" t="s">
        <v>56</v>
      </c>
      <c r="D389" s="3" t="s">
        <v>68</v>
      </c>
      <c r="E389" s="3" t="s">
        <v>100</v>
      </c>
      <c r="F389" s="3" t="s">
        <v>1182</v>
      </c>
      <c r="G389" s="7">
        <v>45778.314613208786</v>
      </c>
    </row>
    <row r="390">
      <c r="A390" s="3" t="s">
        <v>2019</v>
      </c>
      <c r="B390" s="3" t="s">
        <v>400</v>
      </c>
      <c r="C390" s="3" t="s">
        <v>56</v>
      </c>
      <c r="D390" s="3" t="s">
        <v>68</v>
      </c>
      <c r="E390" s="3" t="s">
        <v>100</v>
      </c>
      <c r="F390" s="3" t="s">
        <v>1185</v>
      </c>
      <c r="G390" s="7">
        <v>45778.3857880542</v>
      </c>
    </row>
    <row r="391">
      <c r="A391" s="3" t="s">
        <v>2022</v>
      </c>
      <c r="B391" s="3" t="s">
        <v>672</v>
      </c>
      <c r="C391" s="3" t="s">
        <v>56</v>
      </c>
      <c r="D391" s="3" t="s">
        <v>68</v>
      </c>
      <c r="E391" s="3" t="s">
        <v>100</v>
      </c>
      <c r="F391" s="3" t="s">
        <v>1187</v>
      </c>
      <c r="G391" s="7">
        <v>45778.45696289962</v>
      </c>
    </row>
    <row r="392">
      <c r="A392" s="3" t="s">
        <v>2026</v>
      </c>
      <c r="B392" s="3" t="s">
        <v>344</v>
      </c>
      <c r="C392" s="3" t="s">
        <v>56</v>
      </c>
      <c r="D392" s="3" t="s">
        <v>68</v>
      </c>
      <c r="E392" s="3" t="s">
        <v>100</v>
      </c>
      <c r="F392" s="3" t="s">
        <v>1190</v>
      </c>
      <c r="G392" s="7">
        <v>45778.52813774503</v>
      </c>
    </row>
    <row r="393">
      <c r="A393" s="3" t="s">
        <v>2029</v>
      </c>
      <c r="B393" s="3" t="s">
        <v>751</v>
      </c>
      <c r="C393" s="3" t="s">
        <v>1342</v>
      </c>
      <c r="D393" s="3" t="s">
        <v>68</v>
      </c>
      <c r="E393" s="3" t="s">
        <v>100</v>
      </c>
      <c r="F393" s="3" t="s">
        <v>823</v>
      </c>
      <c r="G393" s="7">
        <v>45778.59931259044</v>
      </c>
    </row>
    <row r="394">
      <c r="A394" s="3" t="s">
        <v>2033</v>
      </c>
      <c r="B394" s="3" t="s">
        <v>296</v>
      </c>
      <c r="C394" s="3" t="s">
        <v>1342</v>
      </c>
      <c r="D394" s="3" t="s">
        <v>68</v>
      </c>
      <c r="E394" s="3" t="s">
        <v>100</v>
      </c>
      <c r="F394" s="3" t="s">
        <v>1158</v>
      </c>
      <c r="G394" s="7">
        <v>45778.67048743586</v>
      </c>
    </row>
    <row r="395">
      <c r="A395" s="3" t="s">
        <v>2036</v>
      </c>
      <c r="B395" s="3" t="s">
        <v>561</v>
      </c>
      <c r="C395" s="3" t="s">
        <v>1342</v>
      </c>
      <c r="D395" s="3" t="s">
        <v>68</v>
      </c>
      <c r="E395" s="3" t="s">
        <v>100</v>
      </c>
      <c r="F395" s="3" t="s">
        <v>762</v>
      </c>
      <c r="G395" s="7">
        <v>45778.74166228128</v>
      </c>
    </row>
    <row r="396">
      <c r="A396" s="3" t="s">
        <v>2040</v>
      </c>
      <c r="B396" s="3" t="s">
        <v>348</v>
      </c>
      <c r="C396" s="3" t="s">
        <v>1095</v>
      </c>
      <c r="D396" s="3" t="s">
        <v>68</v>
      </c>
      <c r="E396" s="3" t="s">
        <v>100</v>
      </c>
      <c r="F396" s="3" t="s">
        <v>611</v>
      </c>
      <c r="G396" s="7">
        <v>45778.81283712669</v>
      </c>
    </row>
    <row r="397">
      <c r="A397" s="3" t="s">
        <v>2045</v>
      </c>
      <c r="B397" s="3" t="s">
        <v>841</v>
      </c>
      <c r="C397" s="3" t="s">
        <v>1342</v>
      </c>
      <c r="D397" s="3" t="s">
        <v>181</v>
      </c>
      <c r="E397" s="3" t="s">
        <v>45</v>
      </c>
      <c r="F397" s="3" t="s">
        <v>810</v>
      </c>
      <c r="G397" s="7">
        <v>45778.884011972106</v>
      </c>
    </row>
    <row r="398">
      <c r="A398" s="3" t="s">
        <v>2049</v>
      </c>
      <c r="B398" s="3" t="s">
        <v>895</v>
      </c>
      <c r="C398" s="3" t="s">
        <v>56</v>
      </c>
      <c r="D398" s="3" t="s">
        <v>68</v>
      </c>
      <c r="E398" s="3" t="s">
        <v>100</v>
      </c>
      <c r="F398" s="3" t="s">
        <v>1193</v>
      </c>
      <c r="G398" s="7">
        <v>45778.955186817526</v>
      </c>
    </row>
    <row r="399">
      <c r="A399" s="3" t="s">
        <v>2053</v>
      </c>
      <c r="B399" s="3" t="s">
        <v>400</v>
      </c>
      <c r="C399" s="3" t="s">
        <v>1095</v>
      </c>
      <c r="D399" s="3" t="s">
        <v>68</v>
      </c>
      <c r="E399" s="3" t="s">
        <v>100</v>
      </c>
      <c r="F399" s="3" t="s">
        <v>1185</v>
      </c>
      <c r="G399" s="7">
        <v>45779.02636166294</v>
      </c>
    </row>
    <row r="400">
      <c r="A400" s="3" t="s">
        <v>2058</v>
      </c>
      <c r="B400" s="3" t="s">
        <v>296</v>
      </c>
      <c r="C400" s="3" t="s">
        <v>1342</v>
      </c>
      <c r="D400" s="3" t="s">
        <v>195</v>
      </c>
      <c r="E400" s="3" t="s">
        <v>45</v>
      </c>
      <c r="F400" s="3" t="s">
        <v>1158</v>
      </c>
      <c r="G400" s="7">
        <v>45779.09753650835</v>
      </c>
    </row>
    <row r="401">
      <c r="A401" s="3" t="s">
        <v>2061</v>
      </c>
      <c r="B401" s="3" t="s">
        <v>316</v>
      </c>
      <c r="C401" s="3" t="s">
        <v>1095</v>
      </c>
      <c r="D401" s="3" t="s">
        <v>68</v>
      </c>
      <c r="E401" s="3" t="s">
        <v>100</v>
      </c>
      <c r="F401" s="3" t="s">
        <v>578</v>
      </c>
      <c r="G401" s="7">
        <v>45779.16871135377</v>
      </c>
    </row>
    <row r="402">
      <c r="A402" s="3" t="s">
        <v>2065</v>
      </c>
      <c r="B402" s="3" t="s">
        <v>211</v>
      </c>
      <c r="C402" s="3" t="s">
        <v>56</v>
      </c>
      <c r="D402" s="3" t="s">
        <v>181</v>
      </c>
      <c r="E402" s="3" t="s">
        <v>45</v>
      </c>
      <c r="F402" s="3" t="s">
        <v>45</v>
      </c>
      <c r="G402" s="7">
        <v>45779.23988619918</v>
      </c>
    </row>
    <row r="403">
      <c r="A403" s="3" t="s">
        <v>2068</v>
      </c>
      <c r="B403" s="3" t="s">
        <v>159</v>
      </c>
      <c r="C403" s="3" t="s">
        <v>1095</v>
      </c>
      <c r="D403" s="3" t="s">
        <v>68</v>
      </c>
      <c r="E403" s="3" t="s">
        <v>100</v>
      </c>
      <c r="F403" s="3" t="s">
        <v>862</v>
      </c>
      <c r="G403" s="7">
        <v>45779.311061044595</v>
      </c>
    </row>
    <row r="404">
      <c r="A404" s="3" t="s">
        <v>2073</v>
      </c>
      <c r="B404" s="3" t="s">
        <v>215</v>
      </c>
      <c r="C404" s="3" t="s">
        <v>56</v>
      </c>
      <c r="D404" s="3" t="s">
        <v>68</v>
      </c>
      <c r="E404" s="3" t="s">
        <v>100</v>
      </c>
      <c r="F404" s="3" t="s">
        <v>1196</v>
      </c>
      <c r="G404" s="7">
        <v>45779.382235890014</v>
      </c>
    </row>
    <row r="405">
      <c r="A405" s="3" t="s">
        <v>2078</v>
      </c>
      <c r="B405" s="3" t="s">
        <v>632</v>
      </c>
      <c r="C405" s="3" t="s">
        <v>56</v>
      </c>
      <c r="D405" s="3" t="s">
        <v>68</v>
      </c>
      <c r="E405" s="3" t="s">
        <v>100</v>
      </c>
      <c r="F405" s="3" t="s">
        <v>1198</v>
      </c>
      <c r="G405" s="7">
        <v>45779.45341073543</v>
      </c>
    </row>
    <row r="406">
      <c r="A406" s="3" t="s">
        <v>2082</v>
      </c>
      <c r="B406" s="3" t="s">
        <v>565</v>
      </c>
      <c r="C406" s="3" t="s">
        <v>56</v>
      </c>
      <c r="D406" s="3" t="s">
        <v>181</v>
      </c>
      <c r="E406" s="3" t="s">
        <v>45</v>
      </c>
      <c r="F406" s="3" t="s">
        <v>45</v>
      </c>
      <c r="G406" s="7">
        <v>45779.52458558084</v>
      </c>
    </row>
    <row r="407">
      <c r="A407" s="3" t="s">
        <v>2084</v>
      </c>
      <c r="B407" s="3" t="s">
        <v>544</v>
      </c>
      <c r="C407" s="3" t="s">
        <v>56</v>
      </c>
      <c r="D407" s="3" t="s">
        <v>181</v>
      </c>
      <c r="E407" s="3" t="s">
        <v>45</v>
      </c>
      <c r="F407" s="3" t="s">
        <v>45</v>
      </c>
      <c r="G407" s="7">
        <v>45779.59576042626</v>
      </c>
    </row>
    <row r="408">
      <c r="A408" s="3" t="s">
        <v>2087</v>
      </c>
      <c r="B408" s="3" t="s">
        <v>838</v>
      </c>
      <c r="C408" s="3" t="s">
        <v>1095</v>
      </c>
      <c r="D408" s="3" t="s">
        <v>181</v>
      </c>
      <c r="E408" s="3" t="s">
        <v>45</v>
      </c>
      <c r="F408" s="3" t="s">
        <v>1151</v>
      </c>
      <c r="G408" s="7">
        <v>45779.66693527167</v>
      </c>
    </row>
    <row r="409">
      <c r="A409" s="3" t="s">
        <v>2090</v>
      </c>
      <c r="B409" s="3" t="s">
        <v>535</v>
      </c>
      <c r="C409" s="3" t="s">
        <v>56</v>
      </c>
      <c r="D409" s="3" t="s">
        <v>68</v>
      </c>
      <c r="E409" s="3" t="s">
        <v>100</v>
      </c>
      <c r="F409" s="3" t="s">
        <v>1201</v>
      </c>
      <c r="G409" s="7">
        <v>45779.73811011708</v>
      </c>
    </row>
    <row r="410">
      <c r="A410" s="3" t="s">
        <v>2095</v>
      </c>
      <c r="B410" s="3" t="s">
        <v>442</v>
      </c>
      <c r="C410" s="3" t="s">
        <v>1342</v>
      </c>
      <c r="D410" s="3" t="s">
        <v>68</v>
      </c>
      <c r="E410" s="3" t="s">
        <v>100</v>
      </c>
      <c r="F410" s="3" t="s">
        <v>977</v>
      </c>
      <c r="G410" s="7">
        <v>45779.8092849625</v>
      </c>
    </row>
    <row r="411">
      <c r="A411" s="3" t="s">
        <v>2097</v>
      </c>
      <c r="B411" s="3" t="s">
        <v>449</v>
      </c>
      <c r="C411" s="3" t="s">
        <v>56</v>
      </c>
      <c r="D411" s="3" t="s">
        <v>68</v>
      </c>
      <c r="E411" s="3" t="s">
        <v>100</v>
      </c>
      <c r="F411" s="3" t="s">
        <v>1204</v>
      </c>
      <c r="G411" s="7">
        <v>45779.88045980792</v>
      </c>
    </row>
    <row r="412">
      <c r="A412" s="3" t="s">
        <v>2100</v>
      </c>
      <c r="B412" s="3" t="s">
        <v>990</v>
      </c>
      <c r="C412" s="3" t="s">
        <v>56</v>
      </c>
      <c r="D412" s="3" t="s">
        <v>68</v>
      </c>
      <c r="E412" s="3" t="s">
        <v>100</v>
      </c>
      <c r="F412" s="3" t="s">
        <v>1206</v>
      </c>
      <c r="G412" s="7">
        <v>45779.95163465333</v>
      </c>
    </row>
    <row r="413">
      <c r="A413" s="3" t="s">
        <v>2104</v>
      </c>
      <c r="B413" s="3" t="s">
        <v>406</v>
      </c>
      <c r="C413" s="3" t="s">
        <v>56</v>
      </c>
      <c r="D413" s="3" t="s">
        <v>68</v>
      </c>
      <c r="E413" s="3" t="s">
        <v>100</v>
      </c>
      <c r="F413" s="3" t="s">
        <v>1208</v>
      </c>
      <c r="G413" s="7">
        <v>45780.02280949875</v>
      </c>
    </row>
    <row r="414">
      <c r="A414" s="3" t="s">
        <v>2106</v>
      </c>
      <c r="B414" s="3" t="s">
        <v>239</v>
      </c>
      <c r="C414" s="3" t="s">
        <v>56</v>
      </c>
      <c r="D414" s="3" t="s">
        <v>68</v>
      </c>
      <c r="E414" s="3" t="s">
        <v>100</v>
      </c>
      <c r="F414" s="3" t="s">
        <v>1211</v>
      </c>
      <c r="G414" s="7">
        <v>45780.09398434417</v>
      </c>
    </row>
    <row r="415">
      <c r="A415" s="3" t="s">
        <v>2109</v>
      </c>
      <c r="B415" s="3" t="s">
        <v>655</v>
      </c>
      <c r="C415" s="3" t="s">
        <v>56</v>
      </c>
      <c r="D415" s="3" t="s">
        <v>68</v>
      </c>
      <c r="E415" s="3" t="s">
        <v>100</v>
      </c>
      <c r="F415" s="3" t="s">
        <v>1214</v>
      </c>
      <c r="G415" s="7">
        <v>45780.16515918958</v>
      </c>
    </row>
    <row r="416">
      <c r="A416" s="3" t="s">
        <v>2114</v>
      </c>
      <c r="B416" s="3" t="s">
        <v>1008</v>
      </c>
      <c r="C416" s="3" t="s">
        <v>56</v>
      </c>
      <c r="D416" s="3" t="s">
        <v>68</v>
      </c>
      <c r="E416" s="3" t="s">
        <v>100</v>
      </c>
      <c r="F416" s="3" t="s">
        <v>1218</v>
      </c>
      <c r="G416" s="7">
        <v>45780.23633403499</v>
      </c>
    </row>
    <row r="417">
      <c r="A417" s="3" t="s">
        <v>2117</v>
      </c>
      <c r="B417" s="3" t="s">
        <v>600</v>
      </c>
      <c r="C417" s="3" t="s">
        <v>56</v>
      </c>
      <c r="D417" s="3" t="s">
        <v>68</v>
      </c>
      <c r="E417" s="3" t="s">
        <v>100</v>
      </c>
      <c r="F417" s="3" t="s">
        <v>1226</v>
      </c>
      <c r="G417" s="7">
        <v>45780.30750888041</v>
      </c>
    </row>
    <row r="418">
      <c r="A418" s="3" t="s">
        <v>2119</v>
      </c>
      <c r="B418" s="3" t="s">
        <v>596</v>
      </c>
      <c r="C418" s="3" t="s">
        <v>56</v>
      </c>
      <c r="D418" s="3" t="s">
        <v>68</v>
      </c>
      <c r="E418" s="3" t="s">
        <v>100</v>
      </c>
      <c r="F418" s="3" t="s">
        <v>1228</v>
      </c>
      <c r="G418" s="7">
        <v>45780.37868372582</v>
      </c>
    </row>
    <row r="419">
      <c r="A419" s="3" t="s">
        <v>2122</v>
      </c>
      <c r="B419" s="3" t="s">
        <v>554</v>
      </c>
      <c r="C419" s="3" t="s">
        <v>56</v>
      </c>
      <c r="D419" s="3" t="s">
        <v>68</v>
      </c>
      <c r="E419" s="3" t="s">
        <v>100</v>
      </c>
      <c r="F419" s="3" t="s">
        <v>1232</v>
      </c>
      <c r="G419" s="7">
        <v>45780.449858571235</v>
      </c>
    </row>
    <row r="420">
      <c r="A420" s="3" t="s">
        <v>2125</v>
      </c>
      <c r="B420" s="3" t="s">
        <v>751</v>
      </c>
      <c r="C420" s="3" t="s">
        <v>1095</v>
      </c>
      <c r="D420" s="3" t="s">
        <v>68</v>
      </c>
      <c r="E420" s="3" t="s">
        <v>100</v>
      </c>
      <c r="F420" s="3" t="s">
        <v>823</v>
      </c>
      <c r="G420" s="7">
        <v>45780.521033416655</v>
      </c>
    </row>
    <row r="421">
      <c r="A421" s="3" t="s">
        <v>2129</v>
      </c>
      <c r="B421" s="3" t="s">
        <v>622</v>
      </c>
      <c r="C421" s="3" t="s">
        <v>1342</v>
      </c>
      <c r="D421" s="3" t="s">
        <v>68</v>
      </c>
      <c r="E421" s="3" t="s">
        <v>100</v>
      </c>
      <c r="F421" s="3" t="s">
        <v>1074</v>
      </c>
      <c r="G421" s="7">
        <v>45780.592208262075</v>
      </c>
    </row>
    <row r="422">
      <c r="A422" s="3" t="s">
        <v>2131</v>
      </c>
      <c r="B422" s="3" t="s">
        <v>600</v>
      </c>
      <c r="C422" s="3" t="s">
        <v>1095</v>
      </c>
      <c r="D422" s="3" t="s">
        <v>68</v>
      </c>
      <c r="E422" s="3" t="s">
        <v>100</v>
      </c>
      <c r="F422" s="3" t="s">
        <v>1226</v>
      </c>
      <c r="G422" s="7">
        <v>45780.66338310748</v>
      </c>
    </row>
    <row r="423">
      <c r="A423" s="3" t="s">
        <v>2133</v>
      </c>
      <c r="B423" s="3" t="s">
        <v>215</v>
      </c>
      <c r="C423" s="3" t="s">
        <v>1342</v>
      </c>
      <c r="D423" s="3" t="s">
        <v>181</v>
      </c>
      <c r="E423" s="3" t="s">
        <v>45</v>
      </c>
      <c r="F423" s="3" t="s">
        <v>1196</v>
      </c>
      <c r="G423" s="7">
        <v>45780.7345579529</v>
      </c>
    </row>
    <row r="424">
      <c r="A424" s="3" t="s">
        <v>2135</v>
      </c>
      <c r="B424" s="3" t="s">
        <v>175</v>
      </c>
      <c r="C424" s="3" t="s">
        <v>1095</v>
      </c>
      <c r="D424" s="3" t="s">
        <v>181</v>
      </c>
      <c r="E424" s="3" t="s">
        <v>45</v>
      </c>
      <c r="F424" s="3" t="s">
        <v>1081</v>
      </c>
      <c r="G424" s="7">
        <v>45780.80573279831</v>
      </c>
    </row>
    <row r="425">
      <c r="A425" s="3" t="s">
        <v>2138</v>
      </c>
      <c r="B425" s="3" t="s">
        <v>845</v>
      </c>
      <c r="C425" s="3" t="s">
        <v>56</v>
      </c>
      <c r="D425" s="3" t="s">
        <v>195</v>
      </c>
      <c r="E425" s="3" t="s">
        <v>45</v>
      </c>
      <c r="F425" s="3" t="s">
        <v>45</v>
      </c>
      <c r="G425" s="7">
        <v>45780.87690764373</v>
      </c>
    </row>
    <row r="426">
      <c r="A426" s="3" t="s">
        <v>2140</v>
      </c>
      <c r="B426" s="3" t="s">
        <v>586</v>
      </c>
      <c r="C426" s="3" t="s">
        <v>56</v>
      </c>
      <c r="D426" s="3" t="s">
        <v>68</v>
      </c>
      <c r="E426" s="3" t="s">
        <v>100</v>
      </c>
      <c r="F426" s="3" t="s">
        <v>1234</v>
      </c>
      <c r="G426" s="7">
        <v>45780.94808248914</v>
      </c>
    </row>
    <row r="427">
      <c r="A427" s="3" t="s">
        <v>2142</v>
      </c>
      <c r="B427" s="3" t="s">
        <v>998</v>
      </c>
      <c r="C427" s="3" t="s">
        <v>1095</v>
      </c>
      <c r="D427" s="3" t="s">
        <v>68</v>
      </c>
      <c r="E427" s="3" t="s">
        <v>100</v>
      </c>
      <c r="F427" s="3" t="s">
        <v>1143</v>
      </c>
      <c r="G427" s="7">
        <v>45781.01925733456</v>
      </c>
    </row>
    <row r="428">
      <c r="A428" s="3" t="s">
        <v>2143</v>
      </c>
      <c r="B428" s="3" t="s">
        <v>1049</v>
      </c>
      <c r="C428" s="3" t="s">
        <v>1342</v>
      </c>
      <c r="D428" s="3" t="s">
        <v>68</v>
      </c>
      <c r="E428" s="3" t="s">
        <v>100</v>
      </c>
      <c r="F428" s="3" t="s">
        <v>1066</v>
      </c>
      <c r="G428" s="7">
        <v>45781.09043217997</v>
      </c>
    </row>
    <row r="429">
      <c r="A429" s="3" t="s">
        <v>2147</v>
      </c>
      <c r="B429" s="3" t="s">
        <v>141</v>
      </c>
      <c r="C429" s="3" t="s">
        <v>1095</v>
      </c>
      <c r="D429" s="3" t="s">
        <v>68</v>
      </c>
      <c r="E429" s="3" t="s">
        <v>100</v>
      </c>
      <c r="F429" s="3" t="s">
        <v>1182</v>
      </c>
      <c r="G429" s="7">
        <v>45781.16160702539</v>
      </c>
    </row>
    <row r="430">
      <c r="A430" s="3" t="s">
        <v>2149</v>
      </c>
      <c r="B430" s="3" t="s">
        <v>230</v>
      </c>
      <c r="C430" s="3" t="s">
        <v>1095</v>
      </c>
      <c r="D430" s="3" t="s">
        <v>68</v>
      </c>
      <c r="E430" s="3" t="s">
        <v>100</v>
      </c>
      <c r="F430" s="3" t="s">
        <v>673</v>
      </c>
      <c r="G430" s="7">
        <v>45781.23278187081</v>
      </c>
    </row>
    <row r="431">
      <c r="A431" s="3" t="s">
        <v>2151</v>
      </c>
      <c r="B431" s="3" t="s">
        <v>609</v>
      </c>
      <c r="C431" s="3" t="s">
        <v>1342</v>
      </c>
      <c r="D431" s="3" t="s">
        <v>68</v>
      </c>
      <c r="E431" s="3" t="s">
        <v>100</v>
      </c>
      <c r="F431" s="3" t="s">
        <v>1094</v>
      </c>
      <c r="G431" s="7">
        <v>45781.30395671622</v>
      </c>
    </row>
    <row r="432">
      <c r="A432" s="3" t="s">
        <v>2153</v>
      </c>
      <c r="B432" s="3" t="s">
        <v>920</v>
      </c>
      <c r="C432" s="3" t="s">
        <v>1342</v>
      </c>
      <c r="D432" s="3" t="s">
        <v>68</v>
      </c>
      <c r="E432" s="3" t="s">
        <v>100</v>
      </c>
      <c r="F432" s="3" t="s">
        <v>1039</v>
      </c>
      <c r="G432" s="7">
        <v>45781.37513156163</v>
      </c>
    </row>
    <row r="433">
      <c r="A433" s="3" t="s">
        <v>2154</v>
      </c>
      <c r="B433" s="3" t="s">
        <v>662</v>
      </c>
      <c r="C433" s="3" t="s">
        <v>1095</v>
      </c>
      <c r="D433" s="3" t="s">
        <v>68</v>
      </c>
      <c r="E433" s="3" t="s">
        <v>100</v>
      </c>
      <c r="F433" s="3" t="s">
        <v>1000</v>
      </c>
      <c r="G433" s="7">
        <v>45781.44630640705</v>
      </c>
    </row>
    <row r="434">
      <c r="A434" s="3" t="s">
        <v>2156</v>
      </c>
      <c r="B434" s="3" t="s">
        <v>290</v>
      </c>
      <c r="C434" s="3" t="s">
        <v>1095</v>
      </c>
      <c r="D434" s="3" t="s">
        <v>68</v>
      </c>
      <c r="E434" s="3" t="s">
        <v>100</v>
      </c>
      <c r="F434" s="3" t="s">
        <v>1146</v>
      </c>
      <c r="G434" s="7">
        <v>45781.517481252464</v>
      </c>
    </row>
    <row r="435">
      <c r="A435" s="3" t="s">
        <v>2158</v>
      </c>
      <c r="B435" s="3" t="s">
        <v>735</v>
      </c>
      <c r="C435" s="3" t="s">
        <v>1095</v>
      </c>
      <c r="D435" s="3" t="s">
        <v>68</v>
      </c>
      <c r="E435" s="3" t="s">
        <v>100</v>
      </c>
      <c r="F435" s="3" t="s">
        <v>769</v>
      </c>
      <c r="G435" s="7">
        <v>45781.588656097876</v>
      </c>
    </row>
    <row r="436">
      <c r="A436" s="3" t="s">
        <v>2160</v>
      </c>
      <c r="B436" s="3" t="s">
        <v>341</v>
      </c>
      <c r="C436" s="3" t="s">
        <v>56</v>
      </c>
      <c r="D436" s="3" t="s">
        <v>68</v>
      </c>
      <c r="E436" s="3" t="s">
        <v>100</v>
      </c>
      <c r="F436" s="3" t="s">
        <v>1237</v>
      </c>
      <c r="G436" s="7">
        <v>45781.659830943296</v>
      </c>
    </row>
    <row r="437">
      <c r="A437" s="3" t="s">
        <v>2162</v>
      </c>
      <c r="B437" s="3" t="s">
        <v>462</v>
      </c>
      <c r="C437" s="3" t="s">
        <v>56</v>
      </c>
      <c r="D437" s="3" t="s">
        <v>68</v>
      </c>
      <c r="E437" s="3" t="s">
        <v>100</v>
      </c>
      <c r="F437" s="3" t="s">
        <v>1240</v>
      </c>
      <c r="G437" s="7">
        <v>45781.731005788715</v>
      </c>
    </row>
    <row r="438">
      <c r="A438" s="3" t="s">
        <v>2163</v>
      </c>
      <c r="B438" s="3" t="s">
        <v>561</v>
      </c>
      <c r="C438" s="3" t="s">
        <v>1342</v>
      </c>
      <c r="D438" s="3" t="s">
        <v>68</v>
      </c>
      <c r="E438" s="3" t="s">
        <v>100</v>
      </c>
      <c r="F438" s="3" t="s">
        <v>762</v>
      </c>
      <c r="G438" s="7">
        <v>45781.80218063412</v>
      </c>
    </row>
    <row r="439">
      <c r="A439" s="3" t="s">
        <v>2165</v>
      </c>
      <c r="B439" s="3" t="s">
        <v>319</v>
      </c>
      <c r="C439" s="3" t="s">
        <v>1095</v>
      </c>
      <c r="D439" s="3" t="s">
        <v>68</v>
      </c>
      <c r="E439" s="3" t="s">
        <v>100</v>
      </c>
      <c r="F439" s="3" t="s">
        <v>1129</v>
      </c>
      <c r="G439" s="7">
        <v>45781.87335547954</v>
      </c>
    </row>
    <row r="440">
      <c r="A440" s="3" t="s">
        <v>2167</v>
      </c>
      <c r="B440" s="3" t="s">
        <v>822</v>
      </c>
      <c r="C440" s="3" t="s">
        <v>56</v>
      </c>
      <c r="D440" s="3" t="s">
        <v>68</v>
      </c>
      <c r="E440" s="3" t="s">
        <v>100</v>
      </c>
      <c r="F440" s="3" t="s">
        <v>1242</v>
      </c>
      <c r="G440" s="7">
        <v>45781.94453032496</v>
      </c>
    </row>
    <row r="441">
      <c r="A441" s="3" t="s">
        <v>2169</v>
      </c>
      <c r="B441" s="3" t="s">
        <v>536</v>
      </c>
      <c r="C441" s="3" t="s">
        <v>56</v>
      </c>
      <c r="D441" s="3" t="s">
        <v>68</v>
      </c>
      <c r="E441" s="3" t="s">
        <v>100</v>
      </c>
      <c r="F441" s="3" t="s">
        <v>1245</v>
      </c>
      <c r="G441" s="7">
        <v>45782.01570517037</v>
      </c>
    </row>
    <row r="442">
      <c r="A442" s="3" t="s">
        <v>2171</v>
      </c>
      <c r="B442" s="3" t="s">
        <v>612</v>
      </c>
      <c r="C442" s="3" t="s">
        <v>1342</v>
      </c>
      <c r="D442" s="3" t="s">
        <v>68</v>
      </c>
      <c r="E442" s="3" t="s">
        <v>100</v>
      </c>
      <c r="F442" s="3" t="s">
        <v>818</v>
      </c>
      <c r="G442" s="7">
        <v>45782.086880015784</v>
      </c>
    </row>
    <row r="443">
      <c r="A443" s="3" t="s">
        <v>2173</v>
      </c>
      <c r="B443" s="3" t="s">
        <v>1040</v>
      </c>
      <c r="C443" s="3" t="s">
        <v>56</v>
      </c>
      <c r="D443" s="3" t="s">
        <v>68</v>
      </c>
      <c r="E443" s="3" t="s">
        <v>100</v>
      </c>
      <c r="F443" s="3" t="s">
        <v>1248</v>
      </c>
      <c r="G443" s="7">
        <v>45782.158054861204</v>
      </c>
    </row>
    <row r="444">
      <c r="A444" s="3" t="s">
        <v>2175</v>
      </c>
      <c r="B444" s="3" t="s">
        <v>239</v>
      </c>
      <c r="C444" s="3" t="s">
        <v>1342</v>
      </c>
      <c r="D444" s="3" t="s">
        <v>68</v>
      </c>
      <c r="E444" s="3" t="s">
        <v>100</v>
      </c>
      <c r="F444" s="3" t="s">
        <v>1211</v>
      </c>
      <c r="G444" s="7">
        <v>45782.229229706616</v>
      </c>
    </row>
    <row r="445">
      <c r="A445" s="3" t="s">
        <v>2178</v>
      </c>
      <c r="B445" s="3" t="s">
        <v>440</v>
      </c>
      <c r="C445" s="3" t="s">
        <v>56</v>
      </c>
      <c r="D445" s="3" t="s">
        <v>195</v>
      </c>
      <c r="E445" s="3" t="s">
        <v>45</v>
      </c>
      <c r="F445" s="3" t="s">
        <v>45</v>
      </c>
      <c r="G445" s="7">
        <v>45782.30040455203</v>
      </c>
    </row>
    <row r="446">
      <c r="A446" s="3" t="s">
        <v>2181</v>
      </c>
      <c r="B446" s="3" t="s">
        <v>130</v>
      </c>
      <c r="C446" s="3" t="s">
        <v>1095</v>
      </c>
      <c r="D446" s="3" t="s">
        <v>68</v>
      </c>
      <c r="E446" s="3" t="s">
        <v>100</v>
      </c>
      <c r="F446" s="3" t="s">
        <v>1015</v>
      </c>
      <c r="G446" s="7">
        <v>45782.37157939745</v>
      </c>
    </row>
    <row r="447">
      <c r="A447" s="3" t="s">
        <v>2183</v>
      </c>
      <c r="B447" s="3" t="s">
        <v>600</v>
      </c>
      <c r="C447" s="3" t="s">
        <v>56</v>
      </c>
      <c r="D447" s="3" t="s">
        <v>68</v>
      </c>
      <c r="E447" s="3" t="s">
        <v>100</v>
      </c>
      <c r="F447" s="3" t="s">
        <v>1251</v>
      </c>
      <c r="G447" s="7">
        <v>45782.44275424286</v>
      </c>
    </row>
    <row r="448">
      <c r="A448" s="3" t="s">
        <v>2185</v>
      </c>
      <c r="B448" s="3" t="s">
        <v>333</v>
      </c>
      <c r="C448" s="3" t="s">
        <v>56</v>
      </c>
      <c r="D448" s="3" t="s">
        <v>68</v>
      </c>
      <c r="E448" s="3" t="s">
        <v>100</v>
      </c>
      <c r="F448" s="3" t="s">
        <v>1254</v>
      </c>
      <c r="G448" s="7">
        <v>45782.51392908827</v>
      </c>
    </row>
    <row r="449">
      <c r="A449" s="3" t="s">
        <v>2187</v>
      </c>
      <c r="B449" s="3" t="s">
        <v>781</v>
      </c>
      <c r="C449" s="3" t="s">
        <v>56</v>
      </c>
      <c r="D449" s="3" t="s">
        <v>68</v>
      </c>
      <c r="E449" s="3" t="s">
        <v>100</v>
      </c>
      <c r="F449" s="3" t="s">
        <v>1256</v>
      </c>
      <c r="G449" s="7">
        <v>45782.58510393369</v>
      </c>
    </row>
    <row r="450">
      <c r="A450" s="3" t="s">
        <v>2190</v>
      </c>
      <c r="B450" s="3" t="s">
        <v>848</v>
      </c>
      <c r="C450" s="3" t="s">
        <v>1342</v>
      </c>
      <c r="D450" s="3" t="s">
        <v>68</v>
      </c>
      <c r="E450" s="3" t="s">
        <v>100</v>
      </c>
      <c r="F450" s="3" t="s">
        <v>831</v>
      </c>
      <c r="G450" s="7">
        <v>45782.656278779104</v>
      </c>
    </row>
    <row r="451">
      <c r="A451" s="3" t="s">
        <v>2192</v>
      </c>
      <c r="B451" s="3" t="s">
        <v>691</v>
      </c>
      <c r="C451" s="3" t="s">
        <v>1095</v>
      </c>
      <c r="D451" s="3" t="s">
        <v>68</v>
      </c>
      <c r="E451" s="3" t="s">
        <v>100</v>
      </c>
      <c r="F451" s="3" t="s">
        <v>932</v>
      </c>
      <c r="G451" s="7">
        <v>45782.72745362452</v>
      </c>
    </row>
    <row r="452">
      <c r="A452" s="3" t="s">
        <v>2194</v>
      </c>
      <c r="B452" s="3" t="s">
        <v>269</v>
      </c>
      <c r="C452" s="3" t="s">
        <v>56</v>
      </c>
      <c r="D452" s="3" t="s">
        <v>68</v>
      </c>
      <c r="E452" s="3" t="s">
        <v>100</v>
      </c>
      <c r="F452" s="3" t="s">
        <v>1259</v>
      </c>
      <c r="G452" s="7">
        <v>45782.79862846994</v>
      </c>
    </row>
    <row r="453">
      <c r="A453" s="3" t="s">
        <v>2195</v>
      </c>
      <c r="B453" s="3" t="s">
        <v>848</v>
      </c>
      <c r="C453" s="3" t="s">
        <v>1095</v>
      </c>
      <c r="D453" s="3" t="s">
        <v>68</v>
      </c>
      <c r="E453" s="3" t="s">
        <v>100</v>
      </c>
      <c r="F453" s="3" t="s">
        <v>831</v>
      </c>
      <c r="G453" s="7">
        <v>45782.869803315356</v>
      </c>
    </row>
    <row r="454">
      <c r="A454" s="3" t="s">
        <v>2197</v>
      </c>
      <c r="B454" s="3" t="s">
        <v>972</v>
      </c>
      <c r="C454" s="3" t="s">
        <v>1095</v>
      </c>
      <c r="D454" s="3" t="s">
        <v>68</v>
      </c>
      <c r="E454" s="3" t="s">
        <v>100</v>
      </c>
      <c r="F454" s="3" t="s">
        <v>681</v>
      </c>
      <c r="G454" s="7">
        <v>45782.94097816076</v>
      </c>
    </row>
    <row r="455">
      <c r="A455" s="3" t="s">
        <v>2198</v>
      </c>
      <c r="B455" s="3" t="s">
        <v>515</v>
      </c>
      <c r="C455" s="3" t="s">
        <v>1095</v>
      </c>
      <c r="D455" s="3" t="s">
        <v>68</v>
      </c>
      <c r="E455" s="3" t="s">
        <v>100</v>
      </c>
      <c r="F455" s="3" t="s">
        <v>1119</v>
      </c>
      <c r="G455" s="7">
        <v>45783.01215300618</v>
      </c>
    </row>
    <row r="456">
      <c r="A456" s="3" t="s">
        <v>2201</v>
      </c>
      <c r="B456" s="3" t="s">
        <v>395</v>
      </c>
      <c r="C456" s="3" t="s">
        <v>1342</v>
      </c>
      <c r="D456" s="3" t="s">
        <v>68</v>
      </c>
      <c r="E456" s="3" t="s">
        <v>100</v>
      </c>
      <c r="F456" s="3" t="s">
        <v>712</v>
      </c>
      <c r="G456" s="7">
        <v>45783.0833278516</v>
      </c>
    </row>
    <row r="457">
      <c r="A457" s="3" t="s">
        <v>2205</v>
      </c>
      <c r="B457" s="3" t="s">
        <v>280</v>
      </c>
      <c r="C457" s="3" t="s">
        <v>56</v>
      </c>
      <c r="D457" s="3" t="s">
        <v>68</v>
      </c>
      <c r="E457" s="3" t="s">
        <v>100</v>
      </c>
      <c r="F457" s="3" t="s">
        <v>1261</v>
      </c>
      <c r="G457" s="7">
        <v>45783.15450269701</v>
      </c>
    </row>
    <row r="458">
      <c r="A458" s="3" t="s">
        <v>2207</v>
      </c>
      <c r="B458" s="3" t="s">
        <v>920</v>
      </c>
      <c r="C458" s="3" t="s">
        <v>1342</v>
      </c>
      <c r="D458" s="3" t="s">
        <v>68</v>
      </c>
      <c r="E458" s="3" t="s">
        <v>100</v>
      </c>
      <c r="F458" s="3" t="s">
        <v>1039</v>
      </c>
      <c r="G458" s="7">
        <v>45783.225677542425</v>
      </c>
    </row>
    <row r="459">
      <c r="A459" s="3" t="s">
        <v>2209</v>
      </c>
      <c r="B459" s="3" t="s">
        <v>584</v>
      </c>
      <c r="C459" s="3" t="s">
        <v>1095</v>
      </c>
      <c r="D459" s="3" t="s">
        <v>181</v>
      </c>
      <c r="E459" s="3" t="s">
        <v>45</v>
      </c>
      <c r="F459" s="3" t="s">
        <v>837</v>
      </c>
      <c r="G459" s="7">
        <v>45783.296852387844</v>
      </c>
    </row>
    <row r="460">
      <c r="A460" s="3" t="s">
        <v>2212</v>
      </c>
      <c r="B460" s="3" t="s">
        <v>900</v>
      </c>
      <c r="C460" s="3" t="s">
        <v>1095</v>
      </c>
      <c r="D460" s="3" t="s">
        <v>68</v>
      </c>
      <c r="E460" s="3" t="s">
        <v>100</v>
      </c>
      <c r="F460" s="3" t="s">
        <v>641</v>
      </c>
      <c r="G460" s="7">
        <v>45783.36802723326</v>
      </c>
    </row>
    <row r="461">
      <c r="A461" s="3" t="s">
        <v>2214</v>
      </c>
      <c r="B461" s="3" t="s">
        <v>344</v>
      </c>
      <c r="C461" s="3" t="s">
        <v>1095</v>
      </c>
      <c r="D461" s="3" t="s">
        <v>68</v>
      </c>
      <c r="E461" s="3" t="s">
        <v>100</v>
      </c>
      <c r="F461" s="3" t="s">
        <v>1190</v>
      </c>
      <c r="G461" s="7">
        <v>45783.43920207867</v>
      </c>
    </row>
    <row r="462">
      <c r="A462" s="3" t="s">
        <v>2216</v>
      </c>
      <c r="B462" s="3" t="s">
        <v>886</v>
      </c>
      <c r="C462" s="3" t="s">
        <v>1095</v>
      </c>
      <c r="D462" s="3" t="s">
        <v>68</v>
      </c>
      <c r="E462" s="3" t="s">
        <v>100</v>
      </c>
      <c r="F462" s="3" t="s">
        <v>688</v>
      </c>
      <c r="G462" s="7">
        <v>45783.51037692409</v>
      </c>
    </row>
    <row r="463">
      <c r="A463" s="3" t="s">
        <v>2218</v>
      </c>
      <c r="B463" s="3" t="s">
        <v>587</v>
      </c>
      <c r="C463" s="3" t="s">
        <v>56</v>
      </c>
      <c r="D463" s="3" t="s">
        <v>68</v>
      </c>
      <c r="E463" s="3" t="s">
        <v>100</v>
      </c>
      <c r="F463" s="3" t="s">
        <v>1264</v>
      </c>
      <c r="G463" s="7">
        <v>45783.58155176951</v>
      </c>
    </row>
    <row r="464">
      <c r="A464" s="3" t="s">
        <v>2220</v>
      </c>
      <c r="B464" s="3" t="s">
        <v>204</v>
      </c>
      <c r="C464" s="3" t="s">
        <v>56</v>
      </c>
      <c r="D464" s="3" t="s">
        <v>68</v>
      </c>
      <c r="E464" s="3" t="s">
        <v>100</v>
      </c>
      <c r="F464" s="3" t="s">
        <v>1268</v>
      </c>
      <c r="G464" s="7">
        <v>45783.65272661491</v>
      </c>
    </row>
    <row r="465">
      <c r="A465" s="3" t="s">
        <v>2222</v>
      </c>
      <c r="B465" s="3" t="s">
        <v>557</v>
      </c>
      <c r="C465" s="3" t="s">
        <v>56</v>
      </c>
      <c r="D465" s="3" t="s">
        <v>68</v>
      </c>
      <c r="E465" s="3" t="s">
        <v>100</v>
      </c>
      <c r="F465" s="3" t="s">
        <v>1270</v>
      </c>
      <c r="G465" s="7">
        <v>45783.72390146033</v>
      </c>
    </row>
    <row r="466">
      <c r="A466" s="3" t="s">
        <v>2224</v>
      </c>
      <c r="B466" s="3" t="s">
        <v>920</v>
      </c>
      <c r="C466" s="3" t="s">
        <v>1342</v>
      </c>
      <c r="D466" s="3" t="s">
        <v>68</v>
      </c>
      <c r="E466" s="3" t="s">
        <v>100</v>
      </c>
      <c r="F466" s="3" t="s">
        <v>1039</v>
      </c>
      <c r="G466" s="7">
        <v>45783.795076305745</v>
      </c>
    </row>
    <row r="467">
      <c r="A467" s="3" t="s">
        <v>2226</v>
      </c>
      <c r="B467" s="3" t="s">
        <v>404</v>
      </c>
      <c r="C467" s="3" t="s">
        <v>56</v>
      </c>
      <c r="D467" s="3" t="s">
        <v>181</v>
      </c>
      <c r="E467" s="3" t="s">
        <v>45</v>
      </c>
      <c r="F467" s="3" t="s">
        <v>45</v>
      </c>
      <c r="G467" s="7">
        <v>45783.866251151165</v>
      </c>
    </row>
    <row r="468">
      <c r="A468" s="3" t="s">
        <v>2228</v>
      </c>
      <c r="B468" s="3" t="s">
        <v>272</v>
      </c>
      <c r="C468" s="3" t="s">
        <v>1342</v>
      </c>
      <c r="D468" s="3" t="s">
        <v>68</v>
      </c>
      <c r="E468" s="3" t="s">
        <v>100</v>
      </c>
      <c r="F468" s="3" t="s">
        <v>1162</v>
      </c>
      <c r="G468" s="7">
        <v>45783.93742599658</v>
      </c>
    </row>
    <row r="469">
      <c r="A469" s="3" t="s">
        <v>2231</v>
      </c>
      <c r="B469" s="3" t="s">
        <v>1034</v>
      </c>
      <c r="C469" s="3" t="s">
        <v>1095</v>
      </c>
      <c r="D469" s="3" t="s">
        <v>68</v>
      </c>
      <c r="E469" s="3" t="s">
        <v>100</v>
      </c>
      <c r="F469" s="3" t="s">
        <v>1086</v>
      </c>
      <c r="G469" s="7">
        <v>45784.008600842</v>
      </c>
    </row>
    <row r="470">
      <c r="A470" s="3" t="s">
        <v>2234</v>
      </c>
      <c r="B470" s="3" t="s">
        <v>1037</v>
      </c>
      <c r="C470" s="3" t="s">
        <v>1095</v>
      </c>
      <c r="D470" s="3" t="s">
        <v>68</v>
      </c>
      <c r="E470" s="3" t="s">
        <v>100</v>
      </c>
      <c r="F470" s="3" t="s">
        <v>829</v>
      </c>
      <c r="G470" s="7">
        <v>45784.0797756874</v>
      </c>
    </row>
    <row r="471">
      <c r="A471" s="3" t="s">
        <v>2237</v>
      </c>
      <c r="B471" s="3" t="s">
        <v>341</v>
      </c>
      <c r="C471" s="3" t="s">
        <v>1342</v>
      </c>
      <c r="D471" s="3" t="s">
        <v>68</v>
      </c>
      <c r="E471" s="3" t="s">
        <v>100</v>
      </c>
      <c r="F471" s="3" t="s">
        <v>1237</v>
      </c>
      <c r="G471" s="7">
        <v>45784.15095053282</v>
      </c>
    </row>
    <row r="472">
      <c r="A472" s="3" t="s">
        <v>2239</v>
      </c>
      <c r="B472" s="3" t="s">
        <v>678</v>
      </c>
      <c r="C472" s="3" t="s">
        <v>1342</v>
      </c>
      <c r="D472" s="3" t="s">
        <v>68</v>
      </c>
      <c r="E472" s="3" t="s">
        <v>100</v>
      </c>
      <c r="F472" s="3" t="s">
        <v>749</v>
      </c>
      <c r="G472" s="7">
        <v>45784.22212537824</v>
      </c>
    </row>
    <row r="473">
      <c r="A473" s="3" t="s">
        <v>2241</v>
      </c>
      <c r="B473" s="3" t="s">
        <v>475</v>
      </c>
      <c r="C473" s="3" t="s">
        <v>56</v>
      </c>
      <c r="D473" s="3" t="s">
        <v>68</v>
      </c>
      <c r="E473" s="3" t="s">
        <v>100</v>
      </c>
      <c r="F473" s="3" t="s">
        <v>1272</v>
      </c>
      <c r="G473" s="7">
        <v>45784.29330022365</v>
      </c>
    </row>
    <row r="474">
      <c r="A474" s="3" t="s">
        <v>2243</v>
      </c>
      <c r="B474" s="3" t="s">
        <v>541</v>
      </c>
      <c r="C474" s="3" t="s">
        <v>1095</v>
      </c>
      <c r="D474" s="3" t="s">
        <v>68</v>
      </c>
      <c r="E474" s="3" t="s">
        <v>100</v>
      </c>
      <c r="F474" s="3" t="s">
        <v>618</v>
      </c>
      <c r="G474" s="7">
        <v>45784.364475069066</v>
      </c>
    </row>
    <row r="475">
      <c r="A475" s="3" t="s">
        <v>2244</v>
      </c>
      <c r="B475" s="3" t="s">
        <v>662</v>
      </c>
      <c r="C475" s="3" t="s">
        <v>56</v>
      </c>
      <c r="D475" s="3" t="s">
        <v>68</v>
      </c>
      <c r="E475" s="3" t="s">
        <v>100</v>
      </c>
      <c r="F475" s="3" t="s">
        <v>1274</v>
      </c>
      <c r="G475" s="7">
        <v>45784.435649914485</v>
      </c>
    </row>
    <row r="476">
      <c r="A476" s="3" t="s">
        <v>2246</v>
      </c>
      <c r="B476" s="3" t="s">
        <v>468</v>
      </c>
      <c r="C476" s="3" t="s">
        <v>1095</v>
      </c>
      <c r="D476" s="3" t="s">
        <v>68</v>
      </c>
      <c r="E476" s="3" t="s">
        <v>100</v>
      </c>
      <c r="F476" s="3" t="s">
        <v>495</v>
      </c>
      <c r="G476" s="7">
        <v>45784.5068247599</v>
      </c>
    </row>
    <row r="477">
      <c r="A477" s="3" t="s">
        <v>2248</v>
      </c>
      <c r="B477" s="3" t="s">
        <v>622</v>
      </c>
      <c r="C477" s="3" t="s">
        <v>1095</v>
      </c>
      <c r="D477" s="3" t="s">
        <v>195</v>
      </c>
      <c r="E477" s="3" t="s">
        <v>45</v>
      </c>
      <c r="F477" s="3" t="s">
        <v>1074</v>
      </c>
      <c r="G477" s="7">
        <v>45784.57799960531</v>
      </c>
    </row>
    <row r="478">
      <c r="A478" s="3" t="s">
        <v>2250</v>
      </c>
      <c r="B478" s="3" t="s">
        <v>1037</v>
      </c>
      <c r="C478" s="3" t="s">
        <v>56</v>
      </c>
      <c r="D478" s="3" t="s">
        <v>68</v>
      </c>
      <c r="E478" s="3" t="s">
        <v>100</v>
      </c>
      <c r="F478" s="3" t="s">
        <v>1276</v>
      </c>
      <c r="G478" s="7">
        <v>45784.64917445073</v>
      </c>
    </row>
    <row r="479">
      <c r="A479" s="3" t="s">
        <v>2253</v>
      </c>
      <c r="B479" s="3" t="s">
        <v>622</v>
      </c>
      <c r="C479" s="3" t="s">
        <v>1342</v>
      </c>
      <c r="D479" s="3" t="s">
        <v>68</v>
      </c>
      <c r="E479" s="3" t="s">
        <v>100</v>
      </c>
      <c r="F479" s="3" t="s">
        <v>1074</v>
      </c>
      <c r="G479" s="7">
        <v>45784.72034929615</v>
      </c>
    </row>
    <row r="480">
      <c r="A480" s="3" t="s">
        <v>2255</v>
      </c>
      <c r="B480" s="3" t="s">
        <v>186</v>
      </c>
      <c r="C480" s="3" t="s">
        <v>56</v>
      </c>
      <c r="D480" s="3" t="s">
        <v>68</v>
      </c>
      <c r="E480" s="3" t="s">
        <v>100</v>
      </c>
      <c r="F480" s="3" t="s">
        <v>1278</v>
      </c>
      <c r="G480" s="7">
        <v>45784.791524141554</v>
      </c>
    </row>
    <row r="481">
      <c r="A481" s="3" t="s">
        <v>2257</v>
      </c>
      <c r="B481" s="3" t="s">
        <v>290</v>
      </c>
      <c r="C481" s="3" t="s">
        <v>56</v>
      </c>
      <c r="D481" s="3" t="s">
        <v>181</v>
      </c>
      <c r="E481" s="3" t="s">
        <v>45</v>
      </c>
      <c r="F481" s="3" t="s">
        <v>45</v>
      </c>
      <c r="G481" s="7">
        <v>45784.86269898697</v>
      </c>
    </row>
    <row r="482">
      <c r="A482" s="3" t="s">
        <v>2260</v>
      </c>
      <c r="B482" s="3" t="s">
        <v>539</v>
      </c>
      <c r="C482" s="3" t="s">
        <v>1095</v>
      </c>
      <c r="D482" s="3" t="s">
        <v>68</v>
      </c>
      <c r="E482" s="3" t="s">
        <v>100</v>
      </c>
      <c r="F482" s="3" t="s">
        <v>583</v>
      </c>
      <c r="G482" s="7">
        <v>45784.93387383239</v>
      </c>
    </row>
    <row r="483">
      <c r="A483" s="3" t="s">
        <v>2263</v>
      </c>
      <c r="B483" s="3" t="s">
        <v>922</v>
      </c>
      <c r="C483" s="3" t="s">
        <v>56</v>
      </c>
      <c r="D483" s="3" t="s">
        <v>68</v>
      </c>
      <c r="E483" s="3" t="s">
        <v>100</v>
      </c>
      <c r="F483" s="3" t="s">
        <v>1279</v>
      </c>
      <c r="G483" s="7">
        <v>45785.005048677805</v>
      </c>
    </row>
    <row r="484">
      <c r="A484" s="3" t="s">
        <v>2265</v>
      </c>
      <c r="B484" s="3" t="s">
        <v>830</v>
      </c>
      <c r="C484" s="3" t="s">
        <v>56</v>
      </c>
      <c r="D484" s="3" t="s">
        <v>68</v>
      </c>
      <c r="E484" s="3" t="s">
        <v>100</v>
      </c>
      <c r="F484" s="3" t="s">
        <v>1281</v>
      </c>
      <c r="G484" s="7">
        <v>45785.07622352322</v>
      </c>
    </row>
    <row r="485">
      <c r="A485" s="3" t="s">
        <v>2269</v>
      </c>
      <c r="B485" s="3" t="s">
        <v>472</v>
      </c>
      <c r="C485" s="3" t="s">
        <v>56</v>
      </c>
      <c r="D485" s="3" t="s">
        <v>68</v>
      </c>
      <c r="E485" s="3" t="s">
        <v>100</v>
      </c>
      <c r="F485" s="3" t="s">
        <v>1284</v>
      </c>
      <c r="G485" s="7">
        <v>45785.14739836864</v>
      </c>
    </row>
    <row r="486">
      <c r="A486" s="3" t="s">
        <v>2273</v>
      </c>
      <c r="B486" s="3" t="s">
        <v>541</v>
      </c>
      <c r="C486" s="3" t="s">
        <v>56</v>
      </c>
      <c r="D486" s="3" t="s">
        <v>68</v>
      </c>
      <c r="E486" s="3" t="s">
        <v>100</v>
      </c>
      <c r="F486" s="3" t="s">
        <v>1286</v>
      </c>
      <c r="G486" s="7">
        <v>45785.21857321405</v>
      </c>
    </row>
    <row r="487">
      <c r="A487" s="3" t="s">
        <v>2276</v>
      </c>
      <c r="B487" s="3" t="s">
        <v>507</v>
      </c>
      <c r="C487" s="3" t="s">
        <v>56</v>
      </c>
      <c r="D487" s="3" t="s">
        <v>68</v>
      </c>
      <c r="E487" s="3" t="s">
        <v>100</v>
      </c>
      <c r="F487" s="3" t="s">
        <v>1289</v>
      </c>
      <c r="G487" s="7">
        <v>45785.28974805946</v>
      </c>
    </row>
    <row r="488">
      <c r="A488" s="3" t="s">
        <v>2278</v>
      </c>
      <c r="B488" s="3" t="s">
        <v>554</v>
      </c>
      <c r="C488" s="3" t="s">
        <v>1342</v>
      </c>
      <c r="D488" s="3" t="s">
        <v>68</v>
      </c>
      <c r="E488" s="3" t="s">
        <v>100</v>
      </c>
      <c r="F488" s="3" t="s">
        <v>1232</v>
      </c>
      <c r="G488" s="7">
        <v>45785.36092290488</v>
      </c>
    </row>
    <row r="489">
      <c r="A489" s="3" t="s">
        <v>2281</v>
      </c>
      <c r="B489" s="3" t="s">
        <v>536</v>
      </c>
      <c r="C489" s="3" t="s">
        <v>1095</v>
      </c>
      <c r="D489" s="3" t="s">
        <v>181</v>
      </c>
      <c r="E489" s="3" t="s">
        <v>45</v>
      </c>
      <c r="F489" s="3" t="s">
        <v>1245</v>
      </c>
      <c r="G489" s="7">
        <v>45785.432097750294</v>
      </c>
    </row>
    <row r="490">
      <c r="A490" s="3" t="s">
        <v>2284</v>
      </c>
      <c r="B490" s="3" t="s">
        <v>137</v>
      </c>
      <c r="C490" s="3" t="s">
        <v>1095</v>
      </c>
      <c r="D490" s="3" t="s">
        <v>68</v>
      </c>
      <c r="E490" s="3" t="s">
        <v>100</v>
      </c>
      <c r="F490" s="3" t="s">
        <v>738</v>
      </c>
      <c r="G490" s="7">
        <v>45785.503272595706</v>
      </c>
    </row>
    <row r="491">
      <c r="A491" s="3" t="s">
        <v>2287</v>
      </c>
      <c r="B491" s="3" t="s">
        <v>939</v>
      </c>
      <c r="C491" s="3" t="s">
        <v>56</v>
      </c>
      <c r="D491" s="3" t="s">
        <v>68</v>
      </c>
      <c r="E491" s="3" t="s">
        <v>100</v>
      </c>
      <c r="F491" s="3" t="s">
        <v>1291</v>
      </c>
      <c r="G491" s="7">
        <v>45785.574447441126</v>
      </c>
    </row>
    <row r="492">
      <c r="A492" s="3" t="s">
        <v>2289</v>
      </c>
      <c r="B492" s="3" t="s">
        <v>159</v>
      </c>
      <c r="C492" s="3" t="s">
        <v>56</v>
      </c>
      <c r="D492" s="3" t="s">
        <v>68</v>
      </c>
      <c r="E492" s="3" t="s">
        <v>100</v>
      </c>
      <c r="F492" s="3" t="s">
        <v>1292</v>
      </c>
      <c r="G492" s="7">
        <v>45785.64562228654</v>
      </c>
    </row>
    <row r="493">
      <c r="A493" s="3" t="s">
        <v>2293</v>
      </c>
      <c r="B493" s="3" t="s">
        <v>838</v>
      </c>
      <c r="C493" s="3" t="s">
        <v>1342</v>
      </c>
      <c r="D493" s="3" t="s">
        <v>68</v>
      </c>
      <c r="E493" s="3" t="s">
        <v>100</v>
      </c>
      <c r="F493" s="3" t="s">
        <v>1151</v>
      </c>
      <c r="G493" s="7">
        <v>45785.71679713195</v>
      </c>
    </row>
    <row r="494">
      <c r="A494" s="3" t="s">
        <v>2295</v>
      </c>
      <c r="B494" s="3" t="s">
        <v>430</v>
      </c>
      <c r="C494" s="3" t="s">
        <v>56</v>
      </c>
      <c r="D494" s="3" t="s">
        <v>68</v>
      </c>
      <c r="E494" s="3" t="s">
        <v>100</v>
      </c>
      <c r="F494" s="3" t="s">
        <v>1295</v>
      </c>
      <c r="G494" s="7">
        <v>45785.78797197737</v>
      </c>
    </row>
    <row r="495">
      <c r="A495" s="3" t="s">
        <v>2297</v>
      </c>
      <c r="B495" s="3" t="s">
        <v>472</v>
      </c>
      <c r="C495" s="3" t="s">
        <v>1095</v>
      </c>
      <c r="D495" s="3" t="s">
        <v>195</v>
      </c>
      <c r="E495" s="3" t="s">
        <v>45</v>
      </c>
      <c r="F495" s="3" t="s">
        <v>1284</v>
      </c>
      <c r="G495" s="7">
        <v>45785.85914682279</v>
      </c>
    </row>
    <row r="496">
      <c r="A496" s="3" t="s">
        <v>2300</v>
      </c>
      <c r="B496" s="3" t="s">
        <v>575</v>
      </c>
      <c r="C496" s="3" t="s">
        <v>1342</v>
      </c>
      <c r="D496" s="3" t="s">
        <v>68</v>
      </c>
      <c r="E496" s="3" t="s">
        <v>100</v>
      </c>
      <c r="F496" s="3" t="s">
        <v>477</v>
      </c>
      <c r="G496" s="7">
        <v>45785.930321668195</v>
      </c>
    </row>
    <row r="497">
      <c r="A497" s="3" t="s">
        <v>2303</v>
      </c>
      <c r="B497" s="3" t="s">
        <v>488</v>
      </c>
      <c r="C497" s="3" t="s">
        <v>56</v>
      </c>
      <c r="D497" s="3" t="s">
        <v>181</v>
      </c>
      <c r="E497" s="3" t="s">
        <v>45</v>
      </c>
      <c r="F497" s="3" t="s">
        <v>45</v>
      </c>
      <c r="G497" s="7">
        <v>45786.001496513614</v>
      </c>
    </row>
    <row r="498">
      <c r="A498" s="3" t="s">
        <v>2305</v>
      </c>
      <c r="B498" s="3" t="s">
        <v>414</v>
      </c>
      <c r="C498" s="3" t="s">
        <v>1095</v>
      </c>
      <c r="D498" s="3" t="s">
        <v>68</v>
      </c>
      <c r="E498" s="3" t="s">
        <v>100</v>
      </c>
      <c r="F498" s="3" t="s">
        <v>595</v>
      </c>
      <c r="G498" s="7">
        <v>45786.072671359034</v>
      </c>
    </row>
    <row r="499">
      <c r="A499" s="3" t="s">
        <v>2307</v>
      </c>
      <c r="B499" s="3" t="s">
        <v>472</v>
      </c>
      <c r="C499" s="3" t="s">
        <v>1342</v>
      </c>
      <c r="D499" s="3" t="s">
        <v>68</v>
      </c>
      <c r="E499" s="3" t="s">
        <v>100</v>
      </c>
      <c r="F499" s="3" t="s">
        <v>1284</v>
      </c>
      <c r="G499" s="7">
        <v>45786.143846204446</v>
      </c>
    </row>
    <row r="500">
      <c r="A500" s="3" t="s">
        <v>2310</v>
      </c>
      <c r="B500" s="3" t="s">
        <v>993</v>
      </c>
      <c r="C500" s="3" t="s">
        <v>56</v>
      </c>
      <c r="D500" s="3" t="s">
        <v>68</v>
      </c>
      <c r="E500" s="3" t="s">
        <v>100</v>
      </c>
      <c r="F500" s="3" t="s">
        <v>1297</v>
      </c>
      <c r="G500" s="7">
        <v>45786.21502104986</v>
      </c>
    </row>
    <row r="501">
      <c r="A501" s="3" t="s">
        <v>2313</v>
      </c>
      <c r="B501" s="3" t="s">
        <v>691</v>
      </c>
      <c r="C501" s="3" t="s">
        <v>56</v>
      </c>
      <c r="D501" s="3" t="s">
        <v>68</v>
      </c>
      <c r="E501" s="3" t="s">
        <v>100</v>
      </c>
      <c r="F501" s="3" t="s">
        <v>1300</v>
      </c>
      <c r="G501" s="7">
        <v>45786.28619589528</v>
      </c>
    </row>
    <row r="502">
      <c r="A502" s="3" t="s">
        <v>2315</v>
      </c>
      <c r="B502" s="3" t="s">
        <v>260</v>
      </c>
      <c r="C502" s="3" t="s">
        <v>56</v>
      </c>
      <c r="D502" s="3" t="s">
        <v>68</v>
      </c>
      <c r="E502" s="3" t="s">
        <v>100</v>
      </c>
      <c r="F502" s="3" t="s">
        <v>1302</v>
      </c>
      <c r="G502" s="7">
        <v>45786.35737074069</v>
      </c>
    </row>
    <row r="503">
      <c r="A503" s="3" t="s">
        <v>2318</v>
      </c>
      <c r="B503" s="3" t="s">
        <v>472</v>
      </c>
      <c r="C503" s="3" t="s">
        <v>1095</v>
      </c>
      <c r="D503" s="3" t="s">
        <v>68</v>
      </c>
      <c r="E503" s="3" t="s">
        <v>100</v>
      </c>
      <c r="F503" s="3" t="s">
        <v>1284</v>
      </c>
      <c r="G503" s="7">
        <v>45786.4285455861</v>
      </c>
    </row>
    <row r="504">
      <c r="A504" s="3" t="s">
        <v>2320</v>
      </c>
      <c r="B504" s="3" t="s">
        <v>243</v>
      </c>
      <c r="C504" s="3" t="s">
        <v>56</v>
      </c>
      <c r="D504" s="3" t="s">
        <v>68</v>
      </c>
      <c r="E504" s="3" t="s">
        <v>100</v>
      </c>
      <c r="F504" s="3" t="s">
        <v>1305</v>
      </c>
      <c r="G504" s="7">
        <v>45786.49972043152</v>
      </c>
    </row>
    <row r="505">
      <c r="A505" s="3" t="s">
        <v>2323</v>
      </c>
      <c r="B505" s="3" t="s">
        <v>586</v>
      </c>
      <c r="C505" s="3" t="s">
        <v>1342</v>
      </c>
      <c r="D505" s="3" t="s">
        <v>68</v>
      </c>
      <c r="E505" s="3" t="s">
        <v>100</v>
      </c>
      <c r="F505" s="3" t="s">
        <v>1234</v>
      </c>
      <c r="G505" s="7">
        <v>45786.570895276935</v>
      </c>
    </row>
    <row r="506">
      <c r="A506" s="3" t="s">
        <v>2327</v>
      </c>
      <c r="B506" s="3" t="s">
        <v>1021</v>
      </c>
      <c r="C506" s="3" t="s">
        <v>56</v>
      </c>
      <c r="D506" s="3" t="s">
        <v>68</v>
      </c>
      <c r="E506" s="3" t="s">
        <v>100</v>
      </c>
      <c r="F506" s="3" t="s">
        <v>1307</v>
      </c>
      <c r="G506" s="7">
        <v>45786.64207012235</v>
      </c>
    </row>
    <row r="507">
      <c r="A507" s="3" t="s">
        <v>2331</v>
      </c>
      <c r="B507" s="3" t="s">
        <v>406</v>
      </c>
      <c r="C507" s="3" t="s">
        <v>1342</v>
      </c>
      <c r="D507" s="3" t="s">
        <v>68</v>
      </c>
      <c r="E507" s="3" t="s">
        <v>100</v>
      </c>
      <c r="F507" s="3" t="s">
        <v>1208</v>
      </c>
      <c r="G507" s="7">
        <v>45786.71324496777</v>
      </c>
    </row>
    <row r="508">
      <c r="A508" s="3" t="s">
        <v>2334</v>
      </c>
      <c r="B508" s="3" t="s">
        <v>911</v>
      </c>
      <c r="C508" s="3" t="s">
        <v>1095</v>
      </c>
      <c r="D508" s="3" t="s">
        <v>68</v>
      </c>
      <c r="E508" s="3" t="s">
        <v>100</v>
      </c>
      <c r="F508" s="3" t="s">
        <v>857</v>
      </c>
      <c r="G508" s="7">
        <v>45786.78441981318</v>
      </c>
    </row>
    <row r="509">
      <c r="A509" s="3" t="s">
        <v>2336</v>
      </c>
      <c r="B509" s="3" t="s">
        <v>208</v>
      </c>
      <c r="C509" s="3" t="s">
        <v>56</v>
      </c>
      <c r="D509" s="3" t="s">
        <v>68</v>
      </c>
      <c r="E509" s="3" t="s">
        <v>100</v>
      </c>
      <c r="F509" s="3" t="s">
        <v>1310</v>
      </c>
      <c r="G509" s="7">
        <v>45786.85559465859</v>
      </c>
    </row>
    <row r="510">
      <c r="A510" s="3" t="s">
        <v>2340</v>
      </c>
      <c r="B510" s="3" t="s">
        <v>689</v>
      </c>
      <c r="C510" s="3" t="s">
        <v>56</v>
      </c>
      <c r="D510" s="3" t="s">
        <v>68</v>
      </c>
      <c r="E510" s="3" t="s">
        <v>100</v>
      </c>
      <c r="F510" s="3" t="s">
        <v>1313</v>
      </c>
      <c r="G510" s="7">
        <v>45786.92676950401</v>
      </c>
    </row>
    <row r="511">
      <c r="A511" s="3" t="s">
        <v>2343</v>
      </c>
      <c r="B511" s="3" t="s">
        <v>290</v>
      </c>
      <c r="C511" s="3" t="s">
        <v>56</v>
      </c>
      <c r="D511" s="3" t="s">
        <v>68</v>
      </c>
      <c r="E511" s="3" t="s">
        <v>100</v>
      </c>
      <c r="F511" s="3" t="s">
        <v>1315</v>
      </c>
      <c r="G511" s="7">
        <v>45786.99794434943</v>
      </c>
    </row>
    <row r="512">
      <c r="A512" s="3" t="s">
        <v>2345</v>
      </c>
      <c r="B512" s="3" t="s">
        <v>682</v>
      </c>
      <c r="C512" s="3" t="s">
        <v>1342</v>
      </c>
      <c r="D512" s="3" t="s">
        <v>68</v>
      </c>
      <c r="E512" s="3" t="s">
        <v>100</v>
      </c>
      <c r="F512" s="3" t="s">
        <v>1004</v>
      </c>
      <c r="G512" s="7">
        <v>45787.069119194835</v>
      </c>
    </row>
    <row r="513">
      <c r="A513" s="3" t="s">
        <v>2349</v>
      </c>
      <c r="B513" s="3" t="s">
        <v>713</v>
      </c>
      <c r="C513" s="3" t="s">
        <v>1095</v>
      </c>
      <c r="D513" s="3" t="s">
        <v>68</v>
      </c>
      <c r="E513" s="3" t="s">
        <v>100</v>
      </c>
      <c r="F513" s="3" t="s">
        <v>1113</v>
      </c>
      <c r="G513" s="7">
        <v>45787.140294040255</v>
      </c>
    </row>
    <row r="514">
      <c r="A514" s="3" t="s">
        <v>2352</v>
      </c>
      <c r="B514" s="3" t="s">
        <v>900</v>
      </c>
      <c r="C514" s="3" t="s">
        <v>56</v>
      </c>
      <c r="D514" s="3" t="s">
        <v>68</v>
      </c>
      <c r="E514" s="3" t="s">
        <v>100</v>
      </c>
      <c r="F514" s="3" t="s">
        <v>1318</v>
      </c>
      <c r="G514" s="7">
        <v>45787.211468885675</v>
      </c>
    </row>
    <row r="515">
      <c r="A515" s="3" t="s">
        <v>2355</v>
      </c>
      <c r="B515" s="3" t="s">
        <v>250</v>
      </c>
      <c r="C515" s="3" t="s">
        <v>56</v>
      </c>
      <c r="D515" s="3" t="s">
        <v>68</v>
      </c>
      <c r="E515" s="3" t="s">
        <v>100</v>
      </c>
      <c r="F515" s="3" t="s">
        <v>1319</v>
      </c>
      <c r="G515" s="7">
        <v>45787.28264373109</v>
      </c>
    </row>
    <row r="516">
      <c r="A516" s="3" t="s">
        <v>2357</v>
      </c>
      <c r="B516" s="3" t="s">
        <v>565</v>
      </c>
      <c r="C516" s="3" t="s">
        <v>56</v>
      </c>
      <c r="D516" s="3" t="s">
        <v>68</v>
      </c>
      <c r="E516" s="3" t="s">
        <v>100</v>
      </c>
      <c r="F516" s="3" t="s">
        <v>1322</v>
      </c>
      <c r="G516" s="7">
        <v>45787.3538185765</v>
      </c>
    </row>
    <row r="517">
      <c r="A517" s="3" t="s">
        <v>2361</v>
      </c>
      <c r="B517" s="3" t="s">
        <v>929</v>
      </c>
      <c r="C517" s="3" t="s">
        <v>1342</v>
      </c>
      <c r="D517" s="3" t="s">
        <v>68</v>
      </c>
      <c r="E517" s="3" t="s">
        <v>100</v>
      </c>
      <c r="F517" s="3" t="s">
        <v>1161</v>
      </c>
      <c r="G517" s="7">
        <v>45787.42499342192</v>
      </c>
    </row>
    <row r="518">
      <c r="A518" s="3" t="s">
        <v>2366</v>
      </c>
      <c r="B518" s="3" t="s">
        <v>717</v>
      </c>
      <c r="C518" s="3" t="s">
        <v>1095</v>
      </c>
      <c r="D518" s="3" t="s">
        <v>68</v>
      </c>
      <c r="E518" s="3" t="s">
        <v>100</v>
      </c>
      <c r="F518" s="3" t="s">
        <v>1156</v>
      </c>
      <c r="G518" s="7">
        <v>45787.49616826733</v>
      </c>
    </row>
    <row r="519">
      <c r="A519" s="3" t="s">
        <v>2368</v>
      </c>
      <c r="B519" s="3" t="s">
        <v>811</v>
      </c>
      <c r="C519" s="3" t="s">
        <v>1095</v>
      </c>
      <c r="D519" s="3" t="s">
        <v>68</v>
      </c>
      <c r="E519" s="3" t="s">
        <v>100</v>
      </c>
      <c r="F519" s="3" t="s">
        <v>626</v>
      </c>
      <c r="G519" s="7">
        <v>45787.56734311274</v>
      </c>
    </row>
    <row r="520">
      <c r="A520" s="3" t="s">
        <v>2370</v>
      </c>
      <c r="B520" s="3" t="s">
        <v>554</v>
      </c>
      <c r="C520" s="3" t="s">
        <v>1342</v>
      </c>
      <c r="D520" s="3" t="s">
        <v>68</v>
      </c>
      <c r="E520" s="3" t="s">
        <v>100</v>
      </c>
      <c r="F520" s="3" t="s">
        <v>1232</v>
      </c>
      <c r="G520" s="7">
        <v>45787.63851795816</v>
      </c>
    </row>
    <row r="521">
      <c r="A521" s="3" t="s">
        <v>2372</v>
      </c>
      <c r="B521" s="3" t="s">
        <v>908</v>
      </c>
      <c r="C521" s="3" t="s">
        <v>56</v>
      </c>
      <c r="D521" s="3" t="s">
        <v>68</v>
      </c>
      <c r="E521" s="3" t="s">
        <v>100</v>
      </c>
      <c r="F521" s="3" t="s">
        <v>1324</v>
      </c>
      <c r="G521" s="7">
        <v>45787.709692803575</v>
      </c>
    </row>
    <row r="522">
      <c r="A522" s="3" t="s">
        <v>2374</v>
      </c>
      <c r="B522" s="3" t="s">
        <v>655</v>
      </c>
      <c r="C522" s="3" t="s">
        <v>1342</v>
      </c>
      <c r="D522" s="3" t="s">
        <v>68</v>
      </c>
      <c r="E522" s="3" t="s">
        <v>100</v>
      </c>
      <c r="F522" s="3" t="s">
        <v>1214</v>
      </c>
      <c r="G522" s="7">
        <v>45787.78086764899</v>
      </c>
    </row>
    <row r="523">
      <c r="A523" s="3" t="s">
        <v>2378</v>
      </c>
      <c r="B523" s="3" t="s">
        <v>440</v>
      </c>
      <c r="C523" s="3" t="s">
        <v>56</v>
      </c>
      <c r="D523" s="3" t="s">
        <v>68</v>
      </c>
      <c r="E523" s="3" t="s">
        <v>100</v>
      </c>
      <c r="F523" s="3" t="s">
        <v>1327</v>
      </c>
      <c r="G523" s="7">
        <v>45787.85204249441</v>
      </c>
    </row>
    <row r="524">
      <c r="A524" s="3" t="s">
        <v>2379</v>
      </c>
      <c r="B524" s="3" t="s">
        <v>830</v>
      </c>
      <c r="C524" s="3" t="s">
        <v>1095</v>
      </c>
      <c r="D524" s="3" t="s">
        <v>68</v>
      </c>
      <c r="E524" s="3" t="s">
        <v>100</v>
      </c>
      <c r="F524" s="3" t="s">
        <v>1281</v>
      </c>
      <c r="G524" s="7">
        <v>45787.92321733983</v>
      </c>
    </row>
    <row r="525">
      <c r="A525" s="3" t="s">
        <v>2381</v>
      </c>
      <c r="B525" s="3" t="s">
        <v>593</v>
      </c>
      <c r="C525" s="3" t="s">
        <v>56</v>
      </c>
      <c r="D525" s="3" t="s">
        <v>195</v>
      </c>
      <c r="E525" s="3" t="s">
        <v>45</v>
      </c>
      <c r="F525" s="3" t="s">
        <v>45</v>
      </c>
      <c r="G525" s="7">
        <v>45787.99439218523</v>
      </c>
    </row>
    <row r="526">
      <c r="A526" s="3" t="s">
        <v>2384</v>
      </c>
      <c r="B526" s="3" t="s">
        <v>171</v>
      </c>
      <c r="C526" s="3" t="s">
        <v>1095</v>
      </c>
      <c r="D526" s="3" t="s">
        <v>68</v>
      </c>
      <c r="E526" s="3" t="s">
        <v>100</v>
      </c>
      <c r="F526" s="3" t="s">
        <v>946</v>
      </c>
      <c r="G526" s="7">
        <v>45788.06556703065</v>
      </c>
    </row>
    <row r="527">
      <c r="A527" s="3" t="s">
        <v>2387</v>
      </c>
      <c r="B527" s="3" t="s">
        <v>406</v>
      </c>
      <c r="C527" s="3" t="s">
        <v>1095</v>
      </c>
      <c r="D527" s="3" t="s">
        <v>68</v>
      </c>
      <c r="E527" s="3" t="s">
        <v>100</v>
      </c>
      <c r="F527" s="3" t="s">
        <v>1208</v>
      </c>
      <c r="G527" s="7">
        <v>45788.13674187607</v>
      </c>
    </row>
    <row r="528">
      <c r="A528" s="3" t="s">
        <v>2390</v>
      </c>
      <c r="B528" s="3" t="s">
        <v>189</v>
      </c>
      <c r="C528" s="3" t="s">
        <v>56</v>
      </c>
      <c r="D528" s="3" t="s">
        <v>68</v>
      </c>
      <c r="E528" s="3" t="s">
        <v>100</v>
      </c>
      <c r="F528" s="3" t="s">
        <v>1329</v>
      </c>
      <c r="G528" s="7">
        <v>45788.20791672148</v>
      </c>
    </row>
    <row r="529">
      <c r="A529" s="3" t="s">
        <v>2393</v>
      </c>
      <c r="B529" s="3" t="s">
        <v>148</v>
      </c>
      <c r="C529" s="3" t="s">
        <v>56</v>
      </c>
      <c r="D529" s="3" t="s">
        <v>68</v>
      </c>
      <c r="E529" s="3" t="s">
        <v>100</v>
      </c>
      <c r="F529" s="3" t="s">
        <v>1333</v>
      </c>
      <c r="G529" s="7">
        <v>45788.279091566896</v>
      </c>
    </row>
    <row r="530">
      <c r="A530" s="3" t="s">
        <v>2396</v>
      </c>
      <c r="B530" s="3" t="s">
        <v>708</v>
      </c>
      <c r="C530" s="3" t="s">
        <v>1342</v>
      </c>
      <c r="D530" s="3" t="s">
        <v>68</v>
      </c>
      <c r="E530" s="3" t="s">
        <v>100</v>
      </c>
      <c r="F530" s="3" t="s">
        <v>1064</v>
      </c>
      <c r="G530" s="7">
        <v>45788.350266412315</v>
      </c>
    </row>
    <row r="531">
      <c r="A531" s="3" t="s">
        <v>2398</v>
      </c>
      <c r="B531" s="3" t="s">
        <v>533</v>
      </c>
      <c r="C531" s="3" t="s">
        <v>56</v>
      </c>
      <c r="D531" s="3" t="s">
        <v>68</v>
      </c>
      <c r="E531" s="3" t="s">
        <v>100</v>
      </c>
      <c r="F531" s="3" t="s">
        <v>1335</v>
      </c>
      <c r="G531" s="7">
        <v>45788.42144125773</v>
      </c>
    </row>
    <row r="532">
      <c r="A532" s="3" t="s">
        <v>2401</v>
      </c>
      <c r="B532" s="3" t="s">
        <v>1011</v>
      </c>
      <c r="C532" s="3" t="s">
        <v>56</v>
      </c>
      <c r="D532" s="3" t="s">
        <v>68</v>
      </c>
      <c r="E532" s="3" t="s">
        <v>100</v>
      </c>
      <c r="F532" s="3" t="s">
        <v>1338</v>
      </c>
      <c r="G532" s="7">
        <v>45788.49261610314</v>
      </c>
    </row>
    <row r="533">
      <c r="A533" s="3" t="s">
        <v>2404</v>
      </c>
      <c r="B533" s="3" t="s">
        <v>243</v>
      </c>
      <c r="C533" s="3" t="s">
        <v>1095</v>
      </c>
      <c r="D533" s="3" t="s">
        <v>68</v>
      </c>
      <c r="E533" s="3" t="s">
        <v>100</v>
      </c>
      <c r="F533" s="3" t="s">
        <v>1305</v>
      </c>
      <c r="G533" s="7">
        <v>45788.56379094856</v>
      </c>
    </row>
    <row r="534">
      <c r="A534" s="3" t="s">
        <v>2406</v>
      </c>
      <c r="B534" s="3" t="s">
        <v>609</v>
      </c>
      <c r="C534" s="3" t="s">
        <v>1342</v>
      </c>
      <c r="D534" s="3" t="s">
        <v>181</v>
      </c>
      <c r="E534" s="3" t="s">
        <v>45</v>
      </c>
      <c r="F534" s="3" t="s">
        <v>1094</v>
      </c>
      <c r="G534" s="7">
        <v>45788.63496579397</v>
      </c>
    </row>
    <row r="535">
      <c r="A535" s="3" t="s">
        <v>2409</v>
      </c>
      <c r="B535" s="3" t="s">
        <v>179</v>
      </c>
      <c r="C535" s="3" t="s">
        <v>1095</v>
      </c>
      <c r="D535" s="3" t="s">
        <v>68</v>
      </c>
      <c r="E535" s="3" t="s">
        <v>100</v>
      </c>
      <c r="F535" s="3" t="s">
        <v>846</v>
      </c>
      <c r="G535" s="7">
        <v>45788.706140639384</v>
      </c>
    </row>
    <row r="536">
      <c r="A536" s="3" t="s">
        <v>2412</v>
      </c>
      <c r="B536" s="3" t="s">
        <v>527</v>
      </c>
      <c r="C536" s="3" t="s">
        <v>56</v>
      </c>
      <c r="D536" s="3" t="s">
        <v>195</v>
      </c>
      <c r="E536" s="3" t="s">
        <v>45</v>
      </c>
      <c r="F536" s="3" t="s">
        <v>45</v>
      </c>
      <c r="G536" s="7">
        <v>45788.777315484804</v>
      </c>
    </row>
    <row r="537">
      <c r="A537" s="3" t="s">
        <v>2414</v>
      </c>
      <c r="B537" s="3" t="s">
        <v>130</v>
      </c>
      <c r="C537" s="3" t="s">
        <v>56</v>
      </c>
      <c r="D537" s="3" t="s">
        <v>68</v>
      </c>
      <c r="E537" s="3" t="s">
        <v>100</v>
      </c>
      <c r="F537" s="3" t="s">
        <v>1341</v>
      </c>
      <c r="G537" s="7">
        <v>45788.848490330216</v>
      </c>
    </row>
    <row r="538">
      <c r="A538" s="3" t="s">
        <v>2417</v>
      </c>
      <c r="B538" s="3" t="s">
        <v>168</v>
      </c>
      <c r="C538" s="3" t="s">
        <v>1342</v>
      </c>
      <c r="D538" s="3" t="s">
        <v>68</v>
      </c>
      <c r="E538" s="3" t="s">
        <v>100</v>
      </c>
      <c r="F538" s="3" t="s">
        <v>1058</v>
      </c>
      <c r="G538" s="7">
        <v>45788.91966517563</v>
      </c>
    </row>
    <row r="539">
      <c r="A539" s="3" t="s">
        <v>2420</v>
      </c>
      <c r="B539" s="3" t="s">
        <v>756</v>
      </c>
      <c r="C539" s="3" t="s">
        <v>1095</v>
      </c>
      <c r="D539" s="3" t="s">
        <v>68</v>
      </c>
      <c r="E539" s="3" t="s">
        <v>100</v>
      </c>
      <c r="F539" s="3" t="s">
        <v>1063</v>
      </c>
      <c r="G539" s="7">
        <v>45788.99084002105</v>
      </c>
    </row>
    <row r="540">
      <c r="A540" s="3" t="s">
        <v>2423</v>
      </c>
      <c r="B540" s="3" t="s">
        <v>462</v>
      </c>
      <c r="C540" s="3" t="s">
        <v>1342</v>
      </c>
      <c r="D540" s="3" t="s">
        <v>68</v>
      </c>
      <c r="E540" s="3" t="s">
        <v>100</v>
      </c>
      <c r="F540" s="3" t="s">
        <v>1240</v>
      </c>
      <c r="G540" s="7">
        <v>45789.06201486647</v>
      </c>
    </row>
    <row r="541">
      <c r="A541" s="3" t="s">
        <v>2425</v>
      </c>
      <c r="B541" s="3" t="s">
        <v>908</v>
      </c>
      <c r="C541" s="3" t="s">
        <v>1342</v>
      </c>
      <c r="D541" s="3" t="s">
        <v>68</v>
      </c>
      <c r="E541" s="3" t="s">
        <v>100</v>
      </c>
      <c r="F541" s="3" t="s">
        <v>1324</v>
      </c>
      <c r="G541" s="7">
        <v>45789.13318971187</v>
      </c>
    </row>
    <row r="542">
      <c r="A542" s="3" t="s">
        <v>2426</v>
      </c>
      <c r="B542" s="3" t="s">
        <v>527</v>
      </c>
      <c r="C542" s="3" t="s">
        <v>56</v>
      </c>
      <c r="D542" s="3" t="s">
        <v>68</v>
      </c>
      <c r="E542" s="3" t="s">
        <v>100</v>
      </c>
      <c r="F542" s="3" t="s">
        <v>1343</v>
      </c>
      <c r="G542" s="7">
        <v>45789.20436455729</v>
      </c>
    </row>
    <row r="543">
      <c r="A543" s="3" t="s">
        <v>2430</v>
      </c>
      <c r="B543" s="3" t="s">
        <v>980</v>
      </c>
      <c r="C543" s="3" t="s">
        <v>1342</v>
      </c>
      <c r="D543" s="3" t="s">
        <v>68</v>
      </c>
      <c r="E543" s="3" t="s">
        <v>100</v>
      </c>
      <c r="F543" s="3" t="s">
        <v>1025</v>
      </c>
      <c r="G543" s="7">
        <v>45789.27553940271</v>
      </c>
    </row>
    <row r="544">
      <c r="A544" s="3" t="s">
        <v>2433</v>
      </c>
      <c r="B544" s="3" t="s">
        <v>655</v>
      </c>
      <c r="C544" s="3" t="s">
        <v>1342</v>
      </c>
      <c r="D544" s="3" t="s">
        <v>68</v>
      </c>
      <c r="E544" s="3" t="s">
        <v>100</v>
      </c>
      <c r="F544" s="3" t="s">
        <v>1214</v>
      </c>
      <c r="G544" s="7">
        <v>45789.346714248124</v>
      </c>
    </row>
    <row r="545">
      <c r="A545" s="3" t="s">
        <v>2435</v>
      </c>
      <c r="B545" s="3" t="s">
        <v>296</v>
      </c>
      <c r="C545" s="3" t="s">
        <v>1342</v>
      </c>
      <c r="D545" s="3" t="s">
        <v>68</v>
      </c>
      <c r="E545" s="3" t="s">
        <v>100</v>
      </c>
      <c r="F545" s="3" t="s">
        <v>1158</v>
      </c>
      <c r="G545" s="7">
        <v>45789.417889093536</v>
      </c>
    </row>
    <row r="546">
      <c r="A546" s="3" t="s">
        <v>2437</v>
      </c>
      <c r="B546" s="3" t="s">
        <v>972</v>
      </c>
      <c r="C546" s="3" t="s">
        <v>56</v>
      </c>
      <c r="D546" s="3" t="s">
        <v>68</v>
      </c>
      <c r="E546" s="3" t="s">
        <v>100</v>
      </c>
      <c r="F546" s="3" t="s">
        <v>1346</v>
      </c>
      <c r="G546" s="7">
        <v>45789.489063938956</v>
      </c>
    </row>
    <row r="547">
      <c r="A547" s="3" t="s">
        <v>2440</v>
      </c>
      <c r="B547" s="3" t="s">
        <v>554</v>
      </c>
      <c r="C547" s="3" t="s">
        <v>1342</v>
      </c>
      <c r="D547" s="3" t="s">
        <v>68</v>
      </c>
      <c r="E547" s="3" t="s">
        <v>100</v>
      </c>
      <c r="F547" s="3" t="s">
        <v>1232</v>
      </c>
      <c r="G547" s="7">
        <v>45789.56023878437</v>
      </c>
    </row>
    <row r="548">
      <c r="A548" s="3" t="s">
        <v>2443</v>
      </c>
      <c r="B548" s="3" t="s">
        <v>678</v>
      </c>
      <c r="C548" s="3" t="s">
        <v>1342</v>
      </c>
      <c r="D548" s="3" t="s">
        <v>68</v>
      </c>
      <c r="E548" s="3" t="s">
        <v>100</v>
      </c>
      <c r="F548" s="3" t="s">
        <v>749</v>
      </c>
      <c r="G548" s="7">
        <v>45789.63141362978</v>
      </c>
    </row>
    <row r="549">
      <c r="A549" s="3" t="s">
        <v>2445</v>
      </c>
      <c r="B549" s="3" t="s">
        <v>557</v>
      </c>
      <c r="C549" s="3" t="s">
        <v>1342</v>
      </c>
      <c r="D549" s="3" t="s">
        <v>68</v>
      </c>
      <c r="E549" s="3" t="s">
        <v>100</v>
      </c>
      <c r="F549" s="3" t="s">
        <v>1270</v>
      </c>
      <c r="G549" s="7">
        <v>45789.7025884752</v>
      </c>
    </row>
    <row r="550">
      <c r="A550" s="3" t="s">
        <v>2447</v>
      </c>
      <c r="B550" s="3" t="s">
        <v>544</v>
      </c>
      <c r="C550" s="3" t="s">
        <v>56</v>
      </c>
      <c r="D550" s="3" t="s">
        <v>68</v>
      </c>
      <c r="E550" s="3" t="s">
        <v>100</v>
      </c>
      <c r="F550" s="3" t="s">
        <v>1348</v>
      </c>
      <c r="G550" s="7">
        <v>45789.77376332061</v>
      </c>
    </row>
    <row r="551">
      <c r="A551" s="3" t="s">
        <v>2450</v>
      </c>
      <c r="B551" s="3" t="s">
        <v>559</v>
      </c>
      <c r="C551" s="3" t="s">
        <v>56</v>
      </c>
      <c r="D551" s="3" t="s">
        <v>68</v>
      </c>
      <c r="E551" s="3" t="s">
        <v>100</v>
      </c>
      <c r="F551" s="3" t="s">
        <v>1351</v>
      </c>
      <c r="G551" s="7">
        <v>45789.844938166025</v>
      </c>
    </row>
    <row r="552">
      <c r="A552" s="3" t="s">
        <v>2453</v>
      </c>
      <c r="B552" s="3" t="s">
        <v>682</v>
      </c>
      <c r="C552" s="3" t="s">
        <v>1342</v>
      </c>
      <c r="D552" s="3" t="s">
        <v>68</v>
      </c>
      <c r="E552" s="3" t="s">
        <v>100</v>
      </c>
      <c r="F552" s="3" t="s">
        <v>1004</v>
      </c>
      <c r="G552" s="7">
        <v>45789.916113011444</v>
      </c>
    </row>
    <row r="553">
      <c r="A553" s="3" t="s">
        <v>2456</v>
      </c>
      <c r="B553" s="3" t="s">
        <v>575</v>
      </c>
      <c r="C553" s="3" t="s">
        <v>1095</v>
      </c>
      <c r="D553" s="3" t="s">
        <v>68</v>
      </c>
      <c r="E553" s="3" t="s">
        <v>100</v>
      </c>
      <c r="F553" s="3" t="s">
        <v>477</v>
      </c>
      <c r="G553" s="7">
        <v>45789.98728785686</v>
      </c>
    </row>
    <row r="554">
      <c r="A554" s="3" t="s">
        <v>2459</v>
      </c>
      <c r="B554" s="3" t="s">
        <v>313</v>
      </c>
      <c r="C554" s="3" t="s">
        <v>1342</v>
      </c>
      <c r="D554" s="3" t="s">
        <v>68</v>
      </c>
      <c r="E554" s="3" t="s">
        <v>100</v>
      </c>
      <c r="F554" s="3" t="s">
        <v>1100</v>
      </c>
      <c r="G554" s="7">
        <v>45790.05846270227</v>
      </c>
    </row>
    <row r="555">
      <c r="A555" s="3" t="s">
        <v>2463</v>
      </c>
      <c r="B555" s="3" t="s">
        <v>1037</v>
      </c>
      <c r="C555" s="3" t="s">
        <v>1342</v>
      </c>
      <c r="D555" s="3" t="s">
        <v>68</v>
      </c>
      <c r="E555" s="3" t="s">
        <v>100</v>
      </c>
      <c r="F555" s="3" t="s">
        <v>1276</v>
      </c>
      <c r="G555" s="7">
        <v>45790.12963754769</v>
      </c>
    </row>
    <row r="556">
      <c r="A556" s="3" t="s">
        <v>2465</v>
      </c>
      <c r="B556" s="3" t="s">
        <v>224</v>
      </c>
      <c r="C556" s="3" t="s">
        <v>1342</v>
      </c>
      <c r="D556" s="3" t="s">
        <v>68</v>
      </c>
      <c r="E556" s="3" t="s">
        <v>100</v>
      </c>
      <c r="F556" s="3" t="s">
        <v>1054</v>
      </c>
      <c r="G556" s="7">
        <v>45790.20081239311</v>
      </c>
    </row>
    <row r="557">
      <c r="A557" s="3" t="s">
        <v>2467</v>
      </c>
      <c r="B557" s="3" t="s">
        <v>436</v>
      </c>
      <c r="C557" s="3" t="s">
        <v>1342</v>
      </c>
      <c r="D557" s="3" t="s">
        <v>68</v>
      </c>
      <c r="E557" s="3" t="s">
        <v>100</v>
      </c>
      <c r="F557" s="3" t="s">
        <v>1121</v>
      </c>
      <c r="G557" s="7">
        <v>45790.27198723851</v>
      </c>
    </row>
    <row r="558">
      <c r="A558" s="3" t="s">
        <v>2470</v>
      </c>
      <c r="B558" s="3" t="s">
        <v>189</v>
      </c>
      <c r="C558" s="3" t="s">
        <v>1095</v>
      </c>
      <c r="D558" s="3" t="s">
        <v>68</v>
      </c>
      <c r="E558" s="3" t="s">
        <v>100</v>
      </c>
      <c r="F558" s="3" t="s">
        <v>1329</v>
      </c>
      <c r="G558" s="7">
        <v>45790.34316208393</v>
      </c>
    </row>
    <row r="559">
      <c r="A559" s="3" t="s">
        <v>2472</v>
      </c>
      <c r="B559" s="3" t="s">
        <v>883</v>
      </c>
      <c r="C559" s="3" t="s">
        <v>56</v>
      </c>
      <c r="D559" s="3" t="s">
        <v>68</v>
      </c>
      <c r="E559" s="3" t="s">
        <v>100</v>
      </c>
      <c r="F559" s="3" t="s">
        <v>1354</v>
      </c>
      <c r="G559" s="7">
        <v>45790.41433692935</v>
      </c>
    </row>
    <row r="560">
      <c r="A560" s="3" t="s">
        <v>2474</v>
      </c>
      <c r="B560" s="3" t="s">
        <v>530</v>
      </c>
      <c r="C560" s="3" t="s">
        <v>1095</v>
      </c>
      <c r="D560" s="3" t="s">
        <v>68</v>
      </c>
      <c r="E560" s="3" t="s">
        <v>100</v>
      </c>
      <c r="F560" s="3" t="s">
        <v>950</v>
      </c>
      <c r="G560" s="7">
        <v>45790.485511774765</v>
      </c>
    </row>
    <row r="561">
      <c r="A561" s="3" t="s">
        <v>2476</v>
      </c>
      <c r="B561" s="3" t="s">
        <v>272</v>
      </c>
      <c r="C561" s="3" t="s">
        <v>1342</v>
      </c>
      <c r="D561" s="3" t="s">
        <v>68</v>
      </c>
      <c r="E561" s="3" t="s">
        <v>100</v>
      </c>
      <c r="F561" s="3" t="s">
        <v>1162</v>
      </c>
      <c r="G561" s="7">
        <v>45790.55668662018</v>
      </c>
    </row>
    <row r="562">
      <c r="A562" s="3" t="s">
        <v>2478</v>
      </c>
      <c r="B562" s="3" t="s">
        <v>406</v>
      </c>
      <c r="C562" s="3" t="s">
        <v>56</v>
      </c>
      <c r="D562" s="3" t="s">
        <v>68</v>
      </c>
      <c r="E562" s="3" t="s">
        <v>100</v>
      </c>
      <c r="F562" s="3" t="s">
        <v>1356</v>
      </c>
      <c r="G562" s="7">
        <v>45790.6278614656</v>
      </c>
    </row>
    <row r="563">
      <c r="A563" s="3" t="s">
        <v>2481</v>
      </c>
      <c r="B563" s="3" t="s">
        <v>678</v>
      </c>
      <c r="C563" s="3" t="s">
        <v>1342</v>
      </c>
      <c r="D563" s="3" t="s">
        <v>68</v>
      </c>
      <c r="E563" s="3" t="s">
        <v>100</v>
      </c>
      <c r="F563" s="3" t="s">
        <v>749</v>
      </c>
      <c r="G563" s="7">
        <v>45790.69903631101</v>
      </c>
    </row>
    <row r="564">
      <c r="A564" s="3" t="s">
        <v>2484</v>
      </c>
      <c r="B564" s="3" t="s">
        <v>430</v>
      </c>
      <c r="C564" s="3" t="s">
        <v>1342</v>
      </c>
      <c r="D564" s="3" t="s">
        <v>68</v>
      </c>
      <c r="E564" s="3" t="s">
        <v>100</v>
      </c>
      <c r="F564" s="3" t="s">
        <v>1295</v>
      </c>
      <c r="G564" s="7">
        <v>45790.77021115642</v>
      </c>
    </row>
    <row r="565">
      <c r="A565" s="3" t="s">
        <v>2486</v>
      </c>
      <c r="B565" s="3" t="s">
        <v>691</v>
      </c>
      <c r="C565" s="3" t="s">
        <v>1095</v>
      </c>
      <c r="D565" s="3" t="s">
        <v>68</v>
      </c>
      <c r="E565" s="3" t="s">
        <v>100</v>
      </c>
      <c r="F565" s="3" t="s">
        <v>1300</v>
      </c>
      <c r="G565" s="7">
        <v>45790.84138600184</v>
      </c>
    </row>
    <row r="566">
      <c r="A566" s="3" t="s">
        <v>2488</v>
      </c>
      <c r="B566" s="3" t="s">
        <v>126</v>
      </c>
      <c r="C566" s="3" t="s">
        <v>1342</v>
      </c>
      <c r="D566" s="3" t="s">
        <v>68</v>
      </c>
      <c r="E566" s="3" t="s">
        <v>100</v>
      </c>
      <c r="F566" s="3" t="s">
        <v>867</v>
      </c>
      <c r="G566" s="7">
        <v>45790.91256084725</v>
      </c>
    </row>
    <row r="567">
      <c r="A567" s="3" t="s">
        <v>2491</v>
      </c>
      <c r="B567" s="3" t="s">
        <v>535</v>
      </c>
      <c r="C567" s="3" t="s">
        <v>1342</v>
      </c>
      <c r="D567" s="3" t="s">
        <v>68</v>
      </c>
      <c r="E567" s="3" t="s">
        <v>100</v>
      </c>
      <c r="F567" s="3" t="s">
        <v>1201</v>
      </c>
      <c r="G567" s="7">
        <v>45790.983735692666</v>
      </c>
    </row>
    <row r="568">
      <c r="A568" s="3" t="s">
        <v>2494</v>
      </c>
      <c r="B568" s="3" t="s">
        <v>725</v>
      </c>
      <c r="C568" s="3" t="s">
        <v>56</v>
      </c>
      <c r="D568" s="3" t="s">
        <v>68</v>
      </c>
      <c r="E568" s="3" t="s">
        <v>100</v>
      </c>
      <c r="F568" s="3" t="s">
        <v>1358</v>
      </c>
      <c r="G568" s="7">
        <v>45791.054910538085</v>
      </c>
    </row>
    <row r="569">
      <c r="A569" s="3" t="s">
        <v>2496</v>
      </c>
      <c r="B569" s="3" t="s">
        <v>939</v>
      </c>
      <c r="C569" s="3" t="s">
        <v>1342</v>
      </c>
      <c r="D569" s="3" t="s">
        <v>68</v>
      </c>
      <c r="E569" s="3" t="s">
        <v>100</v>
      </c>
      <c r="F569" s="3" t="s">
        <v>1291</v>
      </c>
      <c r="G569" s="7">
        <v>45791.1260853835</v>
      </c>
    </row>
    <row r="570">
      <c r="A570" s="3" t="s">
        <v>2500</v>
      </c>
      <c r="B570" s="3" t="s">
        <v>822</v>
      </c>
      <c r="C570" s="3" t="s">
        <v>1342</v>
      </c>
      <c r="D570" s="3" t="s">
        <v>68</v>
      </c>
      <c r="E570" s="3" t="s">
        <v>100</v>
      </c>
      <c r="F570" s="3" t="s">
        <v>1242</v>
      </c>
      <c r="G570" s="7">
        <v>45791.19726022892</v>
      </c>
    </row>
    <row r="571">
      <c r="A571" s="3" t="s">
        <v>2503</v>
      </c>
      <c r="B571" s="3" t="s">
        <v>523</v>
      </c>
      <c r="C571" s="3" t="s">
        <v>56</v>
      </c>
      <c r="D571" s="3" t="s">
        <v>68</v>
      </c>
      <c r="E571" s="3" t="s">
        <v>100</v>
      </c>
      <c r="F571" s="3" t="s">
        <v>1361</v>
      </c>
      <c r="G571" s="7">
        <v>45791.26843507433</v>
      </c>
    </row>
    <row r="572">
      <c r="A572" s="3" t="s">
        <v>2505</v>
      </c>
      <c r="B572" s="3" t="s">
        <v>165</v>
      </c>
      <c r="C572" s="3" t="s">
        <v>56</v>
      </c>
      <c r="D572" s="3" t="s">
        <v>181</v>
      </c>
      <c r="E572" s="3" t="s">
        <v>45</v>
      </c>
      <c r="F572" s="3" t="s">
        <v>45</v>
      </c>
      <c r="G572" s="7">
        <v>45791.33960991975</v>
      </c>
    </row>
    <row r="573">
      <c r="A573" s="3" t="s">
        <v>2509</v>
      </c>
      <c r="B573" s="3" t="s">
        <v>609</v>
      </c>
      <c r="C573" s="3" t="s">
        <v>1342</v>
      </c>
      <c r="D573" s="3" t="s">
        <v>68</v>
      </c>
      <c r="E573" s="3" t="s">
        <v>100</v>
      </c>
      <c r="F573" s="3" t="s">
        <v>1094</v>
      </c>
      <c r="G573" s="7">
        <v>45791.410784765154</v>
      </c>
    </row>
    <row r="574">
      <c r="A574" s="3" t="s">
        <v>2512</v>
      </c>
      <c r="B574" s="3" t="s">
        <v>175</v>
      </c>
      <c r="C574" s="3" t="s">
        <v>1095</v>
      </c>
      <c r="D574" s="3" t="s">
        <v>68</v>
      </c>
      <c r="E574" s="3" t="s">
        <v>100</v>
      </c>
      <c r="F574" s="3" t="s">
        <v>1081</v>
      </c>
      <c r="G574" s="7">
        <v>45791.48195961057</v>
      </c>
    </row>
    <row r="575">
      <c r="A575" s="3" t="s">
        <v>2513</v>
      </c>
      <c r="B575" s="3" t="s">
        <v>708</v>
      </c>
      <c r="C575" s="3" t="s">
        <v>1342</v>
      </c>
      <c r="D575" s="3" t="s">
        <v>68</v>
      </c>
      <c r="E575" s="3" t="s">
        <v>100</v>
      </c>
      <c r="F575" s="3" t="s">
        <v>1064</v>
      </c>
      <c r="G575" s="7">
        <v>45791.55313445599</v>
      </c>
    </row>
    <row r="576">
      <c r="A576" s="3" t="s">
        <v>2515</v>
      </c>
      <c r="B576" s="3" t="s">
        <v>502</v>
      </c>
      <c r="C576" s="3" t="s">
        <v>56</v>
      </c>
      <c r="D576" s="3" t="s">
        <v>68</v>
      </c>
      <c r="E576" s="3" t="s">
        <v>100</v>
      </c>
      <c r="F576" s="3" t="s">
        <v>1363</v>
      </c>
      <c r="G576" s="7">
        <v>45791.624309301405</v>
      </c>
    </row>
    <row r="577">
      <c r="A577" s="3" t="s">
        <v>2517</v>
      </c>
      <c r="B577" s="3" t="s">
        <v>976</v>
      </c>
      <c r="C577" s="3" t="s">
        <v>56</v>
      </c>
      <c r="D577" s="3" t="s">
        <v>68</v>
      </c>
      <c r="E577" s="3" t="s">
        <v>100</v>
      </c>
      <c r="F577" s="3" t="s">
        <v>1366</v>
      </c>
      <c r="G577" s="7">
        <v>45791.69548414682</v>
      </c>
    </row>
    <row r="578">
      <c r="A578" s="3" t="s">
        <v>2520</v>
      </c>
      <c r="B578" s="3" t="s">
        <v>535</v>
      </c>
      <c r="C578" s="3" t="s">
        <v>1095</v>
      </c>
      <c r="D578" s="3" t="s">
        <v>68</v>
      </c>
      <c r="E578" s="3" t="s">
        <v>100</v>
      </c>
      <c r="F578" s="3" t="s">
        <v>1201</v>
      </c>
      <c r="G578" s="7">
        <v>45791.76665899224</v>
      </c>
    </row>
    <row r="579">
      <c r="A579" s="3" t="s">
        <v>2523</v>
      </c>
      <c r="B579" s="3" t="s">
        <v>1049</v>
      </c>
      <c r="C579" s="3" t="s">
        <v>1095</v>
      </c>
      <c r="D579" s="3" t="s">
        <v>68</v>
      </c>
      <c r="E579" s="3" t="s">
        <v>100</v>
      </c>
      <c r="F579" s="3" t="s">
        <v>1066</v>
      </c>
      <c r="G579" s="7">
        <v>45791.83783383765</v>
      </c>
    </row>
    <row r="580">
      <c r="A580" s="3" t="s">
        <v>2525</v>
      </c>
      <c r="B580" s="3" t="s">
        <v>326</v>
      </c>
      <c r="C580" s="3" t="s">
        <v>56</v>
      </c>
      <c r="D580" s="3" t="s">
        <v>68</v>
      </c>
      <c r="E580" s="3" t="s">
        <v>100</v>
      </c>
      <c r="F580" s="3" t="s">
        <v>1369</v>
      </c>
      <c r="G580" s="7">
        <v>45791.90900868306</v>
      </c>
    </row>
    <row r="581">
      <c r="A581" s="3" t="s">
        <v>2528</v>
      </c>
      <c r="B581" s="3" t="s">
        <v>1008</v>
      </c>
      <c r="C581" s="3" t="s">
        <v>1342</v>
      </c>
      <c r="D581" s="3" t="s">
        <v>68</v>
      </c>
      <c r="E581" s="3" t="s">
        <v>100</v>
      </c>
      <c r="F581" s="3" t="s">
        <v>1218</v>
      </c>
      <c r="G581" s="7">
        <v>45791.98018352848</v>
      </c>
    </row>
    <row r="582">
      <c r="A582" s="3" t="s">
        <v>2531</v>
      </c>
      <c r="B582" s="3" t="s">
        <v>398</v>
      </c>
      <c r="C582" s="3" t="s">
        <v>1095</v>
      </c>
      <c r="D582" s="3" t="s">
        <v>68</v>
      </c>
      <c r="E582" s="3" t="s">
        <v>100</v>
      </c>
      <c r="F582" s="3" t="s">
        <v>968</v>
      </c>
      <c r="G582" s="7">
        <v>45792.0513583739</v>
      </c>
    </row>
    <row r="583">
      <c r="A583" s="3" t="s">
        <v>2534</v>
      </c>
      <c r="B583" s="3" t="s">
        <v>523</v>
      </c>
      <c r="C583" s="3" t="s">
        <v>1095</v>
      </c>
      <c r="D583" s="3" t="s">
        <v>68</v>
      </c>
      <c r="E583" s="3" t="s">
        <v>100</v>
      </c>
      <c r="F583" s="3" t="s">
        <v>1361</v>
      </c>
      <c r="G583" s="7">
        <v>45792.122533219306</v>
      </c>
    </row>
    <row r="584">
      <c r="A584" s="3" t="s">
        <v>2536</v>
      </c>
      <c r="B584" s="3" t="s">
        <v>233</v>
      </c>
      <c r="C584" s="3" t="s">
        <v>1342</v>
      </c>
      <c r="D584" s="3" t="s">
        <v>68</v>
      </c>
      <c r="E584" s="3" t="s">
        <v>100</v>
      </c>
      <c r="F584" s="3" t="s">
        <v>1088</v>
      </c>
      <c r="G584" s="7">
        <v>45792.193708064726</v>
      </c>
    </row>
    <row r="585">
      <c r="A585" s="3" t="s">
        <v>2539</v>
      </c>
      <c r="B585" s="3" t="s">
        <v>186</v>
      </c>
      <c r="C585" s="3" t="s">
        <v>1342</v>
      </c>
      <c r="D585" s="3" t="s">
        <v>68</v>
      </c>
      <c r="E585" s="3" t="s">
        <v>100</v>
      </c>
      <c r="F585" s="3" t="s">
        <v>1278</v>
      </c>
      <c r="G585" s="7">
        <v>45792.26488291014</v>
      </c>
    </row>
    <row r="586">
      <c r="A586" s="3" t="s">
        <v>2542</v>
      </c>
      <c r="B586" s="3" t="s">
        <v>282</v>
      </c>
      <c r="C586" s="3" t="s">
        <v>56</v>
      </c>
      <c r="D586" s="3" t="s">
        <v>68</v>
      </c>
      <c r="E586" s="3" t="s">
        <v>100</v>
      </c>
      <c r="F586" s="3" t="s">
        <v>1371</v>
      </c>
      <c r="G586" s="7">
        <v>45792.33605775556</v>
      </c>
    </row>
    <row r="587">
      <c r="A587" s="3" t="s">
        <v>2544</v>
      </c>
      <c r="B587" s="3" t="s">
        <v>148</v>
      </c>
      <c r="C587" s="3" t="s">
        <v>1095</v>
      </c>
      <c r="D587" s="3" t="s">
        <v>68</v>
      </c>
      <c r="E587" s="3" t="s">
        <v>100</v>
      </c>
      <c r="F587" s="3" t="s">
        <v>1333</v>
      </c>
      <c r="G587" s="7">
        <v>45792.40723260097</v>
      </c>
    </row>
    <row r="588">
      <c r="A588" s="3" t="s">
        <v>2546</v>
      </c>
      <c r="B588" s="3" t="s">
        <v>987</v>
      </c>
      <c r="C588" s="3" t="s">
        <v>56</v>
      </c>
      <c r="D588" s="3" t="s">
        <v>68</v>
      </c>
      <c r="E588" s="3" t="s">
        <v>100</v>
      </c>
      <c r="F588" s="3" t="s">
        <v>1373</v>
      </c>
      <c r="G588" s="7">
        <v>45792.47840744639</v>
      </c>
    </row>
    <row r="589">
      <c r="A589" s="3" t="s">
        <v>2550</v>
      </c>
      <c r="B589" s="3" t="s">
        <v>934</v>
      </c>
      <c r="C589" s="3" t="s">
        <v>56</v>
      </c>
      <c r="D589" s="3" t="s">
        <v>68</v>
      </c>
      <c r="E589" s="3" t="s">
        <v>100</v>
      </c>
      <c r="F589" s="3" t="s">
        <v>1376</v>
      </c>
      <c r="G589" s="7">
        <v>45792.549582291795</v>
      </c>
    </row>
    <row r="590">
      <c r="A590" s="3" t="s">
        <v>2553</v>
      </c>
      <c r="B590" s="3" t="s">
        <v>717</v>
      </c>
      <c r="C590" s="3" t="s">
        <v>56</v>
      </c>
      <c r="D590" s="3" t="s">
        <v>68</v>
      </c>
      <c r="E590" s="3" t="s">
        <v>100</v>
      </c>
      <c r="F590" s="3" t="s">
        <v>1378</v>
      </c>
      <c r="G590" s="7">
        <v>45792.620757137214</v>
      </c>
    </row>
    <row r="591">
      <c r="A591" s="3" t="s">
        <v>2555</v>
      </c>
      <c r="B591" s="3" t="s">
        <v>725</v>
      </c>
      <c r="C591" s="3" t="s">
        <v>1342</v>
      </c>
      <c r="D591" s="3" t="s">
        <v>181</v>
      </c>
      <c r="E591" s="3" t="s">
        <v>45</v>
      </c>
      <c r="F591" s="3" t="s">
        <v>1358</v>
      </c>
      <c r="G591" s="7">
        <v>45792.691931982634</v>
      </c>
    </row>
    <row r="592">
      <c r="A592" s="3" t="s">
        <v>2558</v>
      </c>
      <c r="B592" s="3" t="s">
        <v>934</v>
      </c>
      <c r="C592" s="3" t="s">
        <v>1342</v>
      </c>
      <c r="D592" s="3" t="s">
        <v>68</v>
      </c>
      <c r="E592" s="3" t="s">
        <v>100</v>
      </c>
      <c r="F592" s="3" t="s">
        <v>1376</v>
      </c>
      <c r="G592" s="7">
        <v>45792.763106828046</v>
      </c>
    </row>
    <row r="593">
      <c r="A593" s="3" t="s">
        <v>2561</v>
      </c>
      <c r="B593" s="3" t="s">
        <v>1030</v>
      </c>
      <c r="C593" s="3" t="s">
        <v>1342</v>
      </c>
      <c r="D593" s="3" t="s">
        <v>68</v>
      </c>
      <c r="E593" s="3" t="s">
        <v>100</v>
      </c>
      <c r="F593" s="3" t="s">
        <v>1092</v>
      </c>
      <c r="G593" s="7">
        <v>45792.83428167346</v>
      </c>
    </row>
    <row r="594">
      <c r="A594" s="3" t="s">
        <v>2563</v>
      </c>
      <c r="B594" s="3" t="s">
        <v>226</v>
      </c>
      <c r="C594" s="3" t="s">
        <v>1095</v>
      </c>
      <c r="D594" s="3" t="s">
        <v>68</v>
      </c>
      <c r="E594" s="3" t="s">
        <v>100</v>
      </c>
      <c r="F594" s="3" t="s">
        <v>646</v>
      </c>
      <c r="G594" s="7">
        <v>45792.90545651888</v>
      </c>
    </row>
    <row r="595">
      <c r="A595" s="3" t="s">
        <v>2567</v>
      </c>
      <c r="B595" s="3" t="s">
        <v>247</v>
      </c>
      <c r="C595" s="3" t="s">
        <v>56</v>
      </c>
      <c r="D595" s="3" t="s">
        <v>68</v>
      </c>
      <c r="E595" s="3" t="s">
        <v>100</v>
      </c>
      <c r="F595" s="3" t="s">
        <v>1380</v>
      </c>
      <c r="G595" s="7">
        <v>45792.97663136429</v>
      </c>
    </row>
    <row r="596">
      <c r="A596" s="3" t="s">
        <v>2570</v>
      </c>
      <c r="B596" s="3" t="s">
        <v>436</v>
      </c>
      <c r="C596" s="3" t="s">
        <v>1095</v>
      </c>
      <c r="D596" s="3" t="s">
        <v>68</v>
      </c>
      <c r="E596" s="3" t="s">
        <v>100</v>
      </c>
      <c r="F596" s="3" t="s">
        <v>1121</v>
      </c>
      <c r="G596" s="7">
        <v>45793.0478062097</v>
      </c>
    </row>
    <row r="597">
      <c r="A597" s="3" t="s">
        <v>2572</v>
      </c>
      <c r="B597" s="3" t="s">
        <v>424</v>
      </c>
      <c r="C597" s="3" t="s">
        <v>1342</v>
      </c>
      <c r="D597" s="3" t="s">
        <v>68</v>
      </c>
      <c r="E597" s="3" t="s">
        <v>100</v>
      </c>
      <c r="F597" s="3" t="s">
        <v>549</v>
      </c>
      <c r="G597" s="7">
        <v>45793.11898105512</v>
      </c>
    </row>
    <row r="598">
      <c r="A598" s="3" t="s">
        <v>2574</v>
      </c>
      <c r="B598" s="3" t="s">
        <v>631</v>
      </c>
      <c r="C598" s="3" t="s">
        <v>1095</v>
      </c>
      <c r="D598" s="3" t="s">
        <v>181</v>
      </c>
      <c r="E598" s="3" t="s">
        <v>45</v>
      </c>
      <c r="F598" s="3" t="s">
        <v>774</v>
      </c>
      <c r="G598" s="7">
        <v>45793.19015590054</v>
      </c>
    </row>
    <row r="599">
      <c r="A599" s="3" t="s">
        <v>2579</v>
      </c>
      <c r="B599" s="3" t="s">
        <v>236</v>
      </c>
      <c r="C599" s="3" t="s">
        <v>56</v>
      </c>
      <c r="D599" s="3" t="s">
        <v>68</v>
      </c>
      <c r="E599" s="3" t="s">
        <v>100</v>
      </c>
      <c r="F599" s="3" t="s">
        <v>1383</v>
      </c>
      <c r="G599" s="7">
        <v>45793.26133074595</v>
      </c>
    </row>
    <row r="600">
      <c r="A600" s="3" t="s">
        <v>2581</v>
      </c>
      <c r="B600" s="3" t="s">
        <v>336</v>
      </c>
      <c r="C600" s="3" t="s">
        <v>1095</v>
      </c>
      <c r="D600" s="3" t="s">
        <v>68</v>
      </c>
      <c r="E600" s="3" t="s">
        <v>100</v>
      </c>
      <c r="F600" s="3" t="s">
        <v>815</v>
      </c>
      <c r="G600" s="7">
        <v>45793.33250559137</v>
      </c>
    </row>
    <row r="601">
      <c r="A601" s="3" t="s">
        <v>2582</v>
      </c>
      <c r="B601" s="3" t="s">
        <v>734</v>
      </c>
      <c r="C601" s="3" t="s">
        <v>1095</v>
      </c>
      <c r="D601" s="3" t="s">
        <v>68</v>
      </c>
      <c r="E601" s="3" t="s">
        <v>100</v>
      </c>
      <c r="F601" s="3" t="s">
        <v>741</v>
      </c>
      <c r="G601" s="7">
        <v>45793.403680436786</v>
      </c>
    </row>
    <row r="602">
      <c r="A602" s="3" t="s">
        <v>2585</v>
      </c>
      <c r="B602" s="3" t="s">
        <v>488</v>
      </c>
      <c r="C602" s="3" t="s">
        <v>56</v>
      </c>
      <c r="D602" s="3" t="s">
        <v>68</v>
      </c>
      <c r="E602" s="3" t="s">
        <v>100</v>
      </c>
      <c r="F602" s="3" t="s">
        <v>1385</v>
      </c>
      <c r="G602" s="7">
        <v>45793.4748552822</v>
      </c>
    </row>
    <row r="603">
      <c r="A603" s="3" t="s">
        <v>2587</v>
      </c>
      <c r="B603" s="3" t="s">
        <v>479</v>
      </c>
      <c r="C603" s="3" t="s">
        <v>56</v>
      </c>
      <c r="D603" s="3" t="s">
        <v>68</v>
      </c>
      <c r="E603" s="3" t="s">
        <v>100</v>
      </c>
      <c r="F603" s="3" t="s">
        <v>1389</v>
      </c>
      <c r="G603" s="7">
        <v>45793.54603012761</v>
      </c>
    </row>
    <row r="604">
      <c r="A604" s="3" t="s">
        <v>2590</v>
      </c>
      <c r="B604" s="3" t="s">
        <v>961</v>
      </c>
      <c r="C604" s="3" t="s">
        <v>56</v>
      </c>
      <c r="D604" s="3" t="s">
        <v>68</v>
      </c>
      <c r="E604" s="3" t="s">
        <v>100</v>
      </c>
      <c r="F604" s="3" t="s">
        <v>1390</v>
      </c>
      <c r="G604" s="7">
        <v>45793.61720497303</v>
      </c>
    </row>
    <row r="605">
      <c r="A605" s="3" t="s">
        <v>2592</v>
      </c>
      <c r="B605" s="3" t="s">
        <v>760</v>
      </c>
      <c r="C605" s="3" t="s">
        <v>56</v>
      </c>
      <c r="D605" s="3" t="s">
        <v>181</v>
      </c>
      <c r="E605" s="3" t="s">
        <v>45</v>
      </c>
      <c r="F605" s="3" t="s">
        <v>45</v>
      </c>
      <c r="G605" s="7">
        <v>45793.68837981844</v>
      </c>
    </row>
    <row r="606">
      <c r="A606" s="3" t="s">
        <v>2595</v>
      </c>
      <c r="B606" s="3" t="s">
        <v>462</v>
      </c>
      <c r="C606" s="3" t="s">
        <v>1342</v>
      </c>
      <c r="D606" s="3" t="s">
        <v>68</v>
      </c>
      <c r="E606" s="3" t="s">
        <v>100</v>
      </c>
      <c r="F606" s="3" t="s">
        <v>1240</v>
      </c>
      <c r="G606" s="7">
        <v>45793.759554663855</v>
      </c>
    </row>
    <row r="607">
      <c r="A607" s="3" t="s">
        <v>2598</v>
      </c>
      <c r="B607" s="3" t="s">
        <v>293</v>
      </c>
      <c r="C607" s="3" t="s">
        <v>56</v>
      </c>
      <c r="D607" s="3" t="s">
        <v>68</v>
      </c>
      <c r="E607" s="3" t="s">
        <v>100</v>
      </c>
      <c r="F607" s="3" t="s">
        <v>1393</v>
      </c>
      <c r="G607" s="7">
        <v>45793.830729509275</v>
      </c>
    </row>
    <row r="608">
      <c r="A608" s="3" t="s">
        <v>2601</v>
      </c>
      <c r="B608" s="3" t="s">
        <v>760</v>
      </c>
      <c r="C608" s="3" t="s">
        <v>56</v>
      </c>
      <c r="D608" s="3" t="s">
        <v>68</v>
      </c>
      <c r="E608" s="3" t="s">
        <v>100</v>
      </c>
      <c r="F608" s="3" t="s">
        <v>1395</v>
      </c>
      <c r="G608" s="7">
        <v>45793.90190435469</v>
      </c>
    </row>
    <row r="609">
      <c r="A609" s="3" t="s">
        <v>2604</v>
      </c>
      <c r="B609" s="3" t="s">
        <v>864</v>
      </c>
      <c r="C609" s="3" t="s">
        <v>56</v>
      </c>
      <c r="D609" s="3" t="s">
        <v>68</v>
      </c>
      <c r="E609" s="3" t="s">
        <v>100</v>
      </c>
      <c r="F609" s="3" t="s">
        <v>1398</v>
      </c>
      <c r="G609" s="7">
        <v>45793.9730792001</v>
      </c>
    </row>
    <row r="610">
      <c r="A610" s="3" t="s">
        <v>2607</v>
      </c>
      <c r="B610" s="3" t="s">
        <v>581</v>
      </c>
      <c r="C610" s="3" t="s">
        <v>56</v>
      </c>
      <c r="D610" s="3" t="s">
        <v>68</v>
      </c>
      <c r="E610" s="3" t="s">
        <v>100</v>
      </c>
      <c r="F610" s="3" t="s">
        <v>1400</v>
      </c>
      <c r="G610" s="7">
        <v>45794.04425404552</v>
      </c>
    </row>
    <row r="611">
      <c r="A611" s="3" t="s">
        <v>2609</v>
      </c>
      <c r="B611" s="3" t="s">
        <v>805</v>
      </c>
      <c r="C611" s="3" t="s">
        <v>56</v>
      </c>
      <c r="D611" s="3" t="s">
        <v>68</v>
      </c>
      <c r="E611" s="3" t="s">
        <v>100</v>
      </c>
      <c r="F611" s="3" t="s">
        <v>1403</v>
      </c>
      <c r="G611" s="7">
        <v>45794.11542889093</v>
      </c>
    </row>
    <row r="612">
      <c r="A612" s="3" t="s">
        <v>2612</v>
      </c>
      <c r="B612" s="3" t="s">
        <v>747</v>
      </c>
      <c r="C612" s="3" t="s">
        <v>56</v>
      </c>
      <c r="D612" s="3" t="s">
        <v>68</v>
      </c>
      <c r="E612" s="3" t="s">
        <v>100</v>
      </c>
      <c r="F612" s="3" t="s">
        <v>1407</v>
      </c>
      <c r="G612" s="7">
        <v>45794.18660373635</v>
      </c>
    </row>
    <row r="613">
      <c r="A613" s="3" t="s">
        <v>2615</v>
      </c>
      <c r="B613" s="3" t="s">
        <v>527</v>
      </c>
      <c r="C613" s="3" t="s">
        <v>1342</v>
      </c>
      <c r="D613" s="3" t="s">
        <v>68</v>
      </c>
      <c r="E613" s="3" t="s">
        <v>100</v>
      </c>
      <c r="F613" s="3" t="s">
        <v>1343</v>
      </c>
      <c r="G613" s="7">
        <v>45794.25777858176</v>
      </c>
    </row>
    <row r="614">
      <c r="A614" s="3" t="s">
        <v>2618</v>
      </c>
      <c r="B614" s="3" t="s">
        <v>669</v>
      </c>
      <c r="C614" s="3" t="s">
        <v>1342</v>
      </c>
      <c r="D614" s="3" t="s">
        <v>195</v>
      </c>
      <c r="E614" s="3" t="s">
        <v>45</v>
      </c>
      <c r="F614" s="3" t="s">
        <v>780</v>
      </c>
      <c r="G614" s="7">
        <v>45794.32895342718</v>
      </c>
    </row>
    <row r="615">
      <c r="A615" s="3" t="s">
        <v>2620</v>
      </c>
      <c r="B615" s="3" t="s">
        <v>920</v>
      </c>
      <c r="C615" s="3" t="s">
        <v>1342</v>
      </c>
      <c r="D615" s="3" t="s">
        <v>68</v>
      </c>
      <c r="E615" s="3" t="s">
        <v>100</v>
      </c>
      <c r="F615" s="3" t="s">
        <v>1039</v>
      </c>
      <c r="G615" s="7">
        <v>45794.40012827259</v>
      </c>
    </row>
    <row r="616">
      <c r="A616" s="3" t="s">
        <v>2622</v>
      </c>
      <c r="B616" s="3" t="s">
        <v>758</v>
      </c>
      <c r="C616" s="3" t="s">
        <v>1342</v>
      </c>
      <c r="D616" s="3" t="s">
        <v>68</v>
      </c>
      <c r="E616" s="3" t="s">
        <v>100</v>
      </c>
      <c r="F616" s="3" t="s">
        <v>983</v>
      </c>
      <c r="G616" s="7">
        <v>45794.47130311801</v>
      </c>
    </row>
    <row r="617">
      <c r="A617" s="3" t="s">
        <v>2625</v>
      </c>
      <c r="B617" s="3" t="s">
        <v>957</v>
      </c>
      <c r="C617" s="3" t="s">
        <v>1342</v>
      </c>
      <c r="D617" s="3" t="s">
        <v>68</v>
      </c>
      <c r="E617" s="3" t="s">
        <v>100</v>
      </c>
      <c r="F617" s="3" t="s">
        <v>855</v>
      </c>
      <c r="G617" s="7">
        <v>45794.54247796343</v>
      </c>
    </row>
    <row r="618">
      <c r="A618" s="3" t="s">
        <v>2628</v>
      </c>
      <c r="B618" s="3" t="s">
        <v>953</v>
      </c>
      <c r="C618" s="3" t="s">
        <v>1095</v>
      </c>
      <c r="D618" s="3" t="s">
        <v>68</v>
      </c>
      <c r="E618" s="3" t="s">
        <v>100</v>
      </c>
      <c r="F618" s="3" t="s">
        <v>1103</v>
      </c>
      <c r="G618" s="7">
        <v>45794.61365280884</v>
      </c>
    </row>
    <row r="619">
      <c r="A619" s="3" t="s">
        <v>2630</v>
      </c>
      <c r="B619" s="3" t="s">
        <v>466</v>
      </c>
      <c r="C619" s="3" t="s">
        <v>1342</v>
      </c>
      <c r="D619" s="3" t="s">
        <v>68</v>
      </c>
      <c r="E619" s="3" t="s">
        <v>100</v>
      </c>
      <c r="F619" s="3" t="s">
        <v>1114</v>
      </c>
      <c r="G619" s="7">
        <v>45794.68482765425</v>
      </c>
    </row>
    <row r="620">
      <c r="A620" s="3" t="s">
        <v>2633</v>
      </c>
      <c r="B620" s="3" t="s">
        <v>800</v>
      </c>
      <c r="C620" s="3" t="s">
        <v>56</v>
      </c>
      <c r="D620" s="3" t="s">
        <v>68</v>
      </c>
      <c r="E620" s="3" t="s">
        <v>100</v>
      </c>
      <c r="F620" s="3" t="s">
        <v>1408</v>
      </c>
      <c r="G620" s="7">
        <v>45794.75600249967</v>
      </c>
    </row>
    <row r="621">
      <c r="A621" s="3" t="s">
        <v>2636</v>
      </c>
      <c r="B621" s="3" t="s">
        <v>519</v>
      </c>
      <c r="C621" s="3" t="s">
        <v>56</v>
      </c>
      <c r="D621" s="3" t="s">
        <v>195</v>
      </c>
      <c r="E621" s="3" t="s">
        <v>45</v>
      </c>
      <c r="F621" s="3" t="s">
        <v>45</v>
      </c>
      <c r="G621" s="7">
        <v>45794.82717734508</v>
      </c>
    </row>
    <row r="622">
      <c r="A622" s="3" t="s">
        <v>2638</v>
      </c>
      <c r="B622" s="3" t="s">
        <v>708</v>
      </c>
      <c r="C622" s="3" t="s">
        <v>1095</v>
      </c>
      <c r="D622" s="3" t="s">
        <v>68</v>
      </c>
      <c r="E622" s="3" t="s">
        <v>100</v>
      </c>
      <c r="F622" s="3" t="s">
        <v>1064</v>
      </c>
      <c r="G622" s="7">
        <v>45794.898352190496</v>
      </c>
    </row>
    <row r="623">
      <c r="A623" s="3" t="s">
        <v>2640</v>
      </c>
      <c r="B623" s="3" t="s">
        <v>678</v>
      </c>
      <c r="C623" s="3" t="s">
        <v>1342</v>
      </c>
      <c r="D623" s="3" t="s">
        <v>68</v>
      </c>
      <c r="E623" s="3" t="s">
        <v>100</v>
      </c>
      <c r="F623" s="3" t="s">
        <v>749</v>
      </c>
      <c r="G623" s="7">
        <v>45794.969527035915</v>
      </c>
    </row>
    <row r="624">
      <c r="A624" s="3" t="s">
        <v>2642</v>
      </c>
      <c r="B624" s="3" t="s">
        <v>527</v>
      </c>
      <c r="C624" s="3" t="s">
        <v>1342</v>
      </c>
      <c r="D624" s="3" t="s">
        <v>181</v>
      </c>
      <c r="E624" s="3" t="s">
        <v>45</v>
      </c>
      <c r="F624" s="3" t="s">
        <v>1343</v>
      </c>
      <c r="G624" s="7">
        <v>45795.040701881335</v>
      </c>
    </row>
    <row r="625">
      <c r="A625" s="3" t="s">
        <v>2645</v>
      </c>
      <c r="B625" s="3" t="s">
        <v>770</v>
      </c>
      <c r="C625" s="3" t="s">
        <v>56</v>
      </c>
      <c r="D625" s="3" t="s">
        <v>68</v>
      </c>
      <c r="E625" s="3" t="s">
        <v>100</v>
      </c>
      <c r="F625" s="3" t="s">
        <v>1411</v>
      </c>
      <c r="G625" s="7">
        <v>45795.11187672674</v>
      </c>
    </row>
    <row r="626">
      <c r="A626" s="3" t="s">
        <v>2648</v>
      </c>
      <c r="B626" s="3" t="s">
        <v>870</v>
      </c>
      <c r="C626" s="3" t="s">
        <v>1342</v>
      </c>
      <c r="D626" s="3" t="s">
        <v>68</v>
      </c>
      <c r="E626" s="3" t="s">
        <v>100</v>
      </c>
      <c r="F626" s="3" t="s">
        <v>1138</v>
      </c>
      <c r="G626" s="7">
        <v>45795.18305157216</v>
      </c>
    </row>
    <row r="627">
      <c r="A627" s="3" t="s">
        <v>2650</v>
      </c>
      <c r="B627" s="3" t="s">
        <v>845</v>
      </c>
      <c r="C627" s="3" t="s">
        <v>56</v>
      </c>
      <c r="D627" s="3" t="s">
        <v>68</v>
      </c>
      <c r="E627" s="3" t="s">
        <v>100</v>
      </c>
      <c r="F627" s="3" t="s">
        <v>1413</v>
      </c>
      <c r="G627" s="7">
        <v>45795.25422641757</v>
      </c>
    </row>
    <row r="628">
      <c r="A628" s="3" t="s">
        <v>2653</v>
      </c>
      <c r="B628" s="3" t="s">
        <v>356</v>
      </c>
      <c r="C628" s="3" t="s">
        <v>1342</v>
      </c>
      <c r="D628" s="3" t="s">
        <v>68</v>
      </c>
      <c r="E628" s="3" t="s">
        <v>100</v>
      </c>
      <c r="F628" s="3" t="s">
        <v>849</v>
      </c>
      <c r="G628" s="7">
        <v>45795.32540126299</v>
      </c>
    </row>
    <row r="629">
      <c r="A629" s="3" t="s">
        <v>2656</v>
      </c>
      <c r="B629" s="3" t="s">
        <v>197</v>
      </c>
      <c r="C629" s="3" t="s">
        <v>1095</v>
      </c>
      <c r="D629" s="3" t="s">
        <v>68</v>
      </c>
      <c r="E629" s="3" t="s">
        <v>100</v>
      </c>
      <c r="F629" s="3" t="s">
        <v>1096</v>
      </c>
      <c r="G629" s="7">
        <v>45795.396576108404</v>
      </c>
    </row>
    <row r="630">
      <c r="A630" s="3" t="s">
        <v>2659</v>
      </c>
      <c r="B630" s="3" t="s">
        <v>587</v>
      </c>
      <c r="C630" s="3" t="s">
        <v>1342</v>
      </c>
      <c r="D630" s="3" t="s">
        <v>68</v>
      </c>
      <c r="E630" s="3" t="s">
        <v>100</v>
      </c>
      <c r="F630" s="3" t="s">
        <v>1264</v>
      </c>
      <c r="G630" s="7">
        <v>45795.46775095382</v>
      </c>
    </row>
    <row r="631">
      <c r="A631" s="3" t="s">
        <v>2661</v>
      </c>
      <c r="B631" s="3" t="s">
        <v>424</v>
      </c>
      <c r="C631" s="3" t="s">
        <v>1342</v>
      </c>
      <c r="D631" s="3" t="s">
        <v>68</v>
      </c>
      <c r="E631" s="3" t="s">
        <v>100</v>
      </c>
      <c r="F631" s="3" t="s">
        <v>549</v>
      </c>
      <c r="G631" s="7">
        <v>45795.53892579923</v>
      </c>
    </row>
    <row r="632">
      <c r="A632" s="3" t="s">
        <v>2664</v>
      </c>
      <c r="B632" s="3" t="s">
        <v>299</v>
      </c>
      <c r="C632" s="3" t="s">
        <v>56</v>
      </c>
      <c r="D632" s="3" t="s">
        <v>68</v>
      </c>
      <c r="E632" s="3" t="s">
        <v>100</v>
      </c>
      <c r="F632" s="3" t="s">
        <v>1416</v>
      </c>
      <c r="G632" s="7">
        <v>45795.61010064465</v>
      </c>
    </row>
    <row r="633">
      <c r="A633" s="3" t="s">
        <v>2667</v>
      </c>
      <c r="B633" s="3" t="s">
        <v>961</v>
      </c>
      <c r="C633" s="3" t="s">
        <v>1342</v>
      </c>
      <c r="D633" s="3" t="s">
        <v>68</v>
      </c>
      <c r="E633" s="3" t="s">
        <v>100</v>
      </c>
      <c r="F633" s="3" t="s">
        <v>1390</v>
      </c>
      <c r="G633" s="7">
        <v>45795.68127549007</v>
      </c>
    </row>
    <row r="634">
      <c r="A634" s="3" t="s">
        <v>2669</v>
      </c>
      <c r="B634" s="3" t="s">
        <v>168</v>
      </c>
      <c r="C634" s="3" t="s">
        <v>1342</v>
      </c>
      <c r="D634" s="3" t="s">
        <v>68</v>
      </c>
      <c r="E634" s="3" t="s">
        <v>100</v>
      </c>
      <c r="F634" s="3" t="s">
        <v>1058</v>
      </c>
      <c r="G634" s="7">
        <v>45795.75245033548</v>
      </c>
    </row>
    <row r="635">
      <c r="A635" s="3" t="s">
        <v>2671</v>
      </c>
      <c r="B635" s="3" t="s">
        <v>742</v>
      </c>
      <c r="C635" s="3" t="s">
        <v>56</v>
      </c>
      <c r="D635" s="3" t="s">
        <v>68</v>
      </c>
      <c r="E635" s="3" t="s">
        <v>100</v>
      </c>
      <c r="F635" s="3" t="s">
        <v>1418</v>
      </c>
      <c r="G635" s="7">
        <v>45795.82362518089</v>
      </c>
    </row>
    <row r="636">
      <c r="A636" s="3" t="s">
        <v>2674</v>
      </c>
      <c r="B636" s="3" t="s">
        <v>770</v>
      </c>
      <c r="C636" s="3" t="s">
        <v>1095</v>
      </c>
      <c r="D636" s="3" t="s">
        <v>68</v>
      </c>
      <c r="E636" s="3" t="s">
        <v>100</v>
      </c>
      <c r="F636" s="3" t="s">
        <v>1411</v>
      </c>
      <c r="G636" s="7">
        <v>45795.89480002631</v>
      </c>
    </row>
    <row r="637">
      <c r="A637" s="3" t="s">
        <v>2677</v>
      </c>
      <c r="B637" s="3" t="s">
        <v>388</v>
      </c>
      <c r="C637" s="3" t="s">
        <v>56</v>
      </c>
      <c r="D637" s="3" t="s">
        <v>68</v>
      </c>
      <c r="E637" s="3" t="s">
        <v>100</v>
      </c>
      <c r="F637" s="3" t="s">
        <v>1420</v>
      </c>
      <c r="G637" s="7">
        <v>45795.965974871724</v>
      </c>
    </row>
    <row r="638">
      <c r="A638" s="3" t="s">
        <v>2679</v>
      </c>
      <c r="B638" s="3" t="s">
        <v>380</v>
      </c>
      <c r="C638" s="3" t="s">
        <v>1342</v>
      </c>
      <c r="D638" s="3" t="s">
        <v>68</v>
      </c>
      <c r="E638" s="3" t="s">
        <v>100</v>
      </c>
      <c r="F638" s="3" t="s">
        <v>1012</v>
      </c>
      <c r="G638" s="7">
        <v>45796.037149717136</v>
      </c>
    </row>
    <row r="639">
      <c r="A639" s="3" t="s">
        <v>2682</v>
      </c>
      <c r="B639" s="3" t="s">
        <v>622</v>
      </c>
      <c r="C639" s="3" t="s">
        <v>1342</v>
      </c>
      <c r="D639" s="3" t="s">
        <v>68</v>
      </c>
      <c r="E639" s="3" t="s">
        <v>100</v>
      </c>
      <c r="F639" s="3" t="s">
        <v>1074</v>
      </c>
      <c r="G639" s="7">
        <v>45796.108324562556</v>
      </c>
    </row>
    <row r="640">
      <c r="A640" s="3" t="s">
        <v>2685</v>
      </c>
      <c r="B640" s="3" t="s">
        <v>911</v>
      </c>
      <c r="C640" s="3" t="s">
        <v>56</v>
      </c>
      <c r="D640" s="3" t="s">
        <v>68</v>
      </c>
      <c r="E640" s="3" t="s">
        <v>100</v>
      </c>
      <c r="F640" s="3" t="s">
        <v>1424</v>
      </c>
      <c r="G640" s="7">
        <v>45796.179499407976</v>
      </c>
    </row>
    <row r="641">
      <c r="A641" s="3" t="s">
        <v>2687</v>
      </c>
      <c r="B641" s="3" t="s">
        <v>544</v>
      </c>
      <c r="C641" s="3" t="s">
        <v>1095</v>
      </c>
      <c r="D641" s="3" t="s">
        <v>68</v>
      </c>
      <c r="E641" s="3" t="s">
        <v>100</v>
      </c>
      <c r="F641" s="3" t="s">
        <v>1348</v>
      </c>
      <c r="G641" s="7">
        <v>45796.25067425338</v>
      </c>
    </row>
    <row r="642">
      <c r="A642" s="3" t="s">
        <v>2689</v>
      </c>
      <c r="B642" s="3" t="s">
        <v>770</v>
      </c>
      <c r="C642" s="3" t="s">
        <v>56</v>
      </c>
      <c r="D642" s="3" t="s">
        <v>68</v>
      </c>
      <c r="E642" s="3" t="s">
        <v>100</v>
      </c>
      <c r="F642" s="3" t="s">
        <v>1426</v>
      </c>
      <c r="G642" s="7">
        <v>45796.3218490988</v>
      </c>
    </row>
    <row r="643">
      <c r="A643" s="3" t="s">
        <v>2691</v>
      </c>
      <c r="B643" s="3" t="s">
        <v>280</v>
      </c>
      <c r="C643" s="3" t="s">
        <v>1095</v>
      </c>
      <c r="D643" s="3" t="s">
        <v>68</v>
      </c>
      <c r="E643" s="3" t="s">
        <v>100</v>
      </c>
      <c r="F643" s="3" t="s">
        <v>1261</v>
      </c>
      <c r="G643" s="7">
        <v>45796.39302394422</v>
      </c>
    </row>
    <row r="644">
      <c r="A644" s="3" t="s">
        <v>2693</v>
      </c>
      <c r="B644" s="3" t="s">
        <v>446</v>
      </c>
      <c r="C644" s="3" t="s">
        <v>1095</v>
      </c>
      <c r="D644" s="3" t="s">
        <v>68</v>
      </c>
      <c r="E644" s="3" t="s">
        <v>100</v>
      </c>
      <c r="F644" s="3" t="s">
        <v>784</v>
      </c>
      <c r="G644" s="7">
        <v>45796.46419878963</v>
      </c>
    </row>
    <row r="645">
      <c r="A645" s="3" t="s">
        <v>2695</v>
      </c>
      <c r="B645" s="3" t="s">
        <v>713</v>
      </c>
      <c r="C645" s="3" t="s">
        <v>56</v>
      </c>
      <c r="D645" s="3" t="s">
        <v>68</v>
      </c>
      <c r="E645" s="3" t="s">
        <v>100</v>
      </c>
      <c r="F645" s="3" t="s">
        <v>1429</v>
      </c>
      <c r="G645" s="7">
        <v>45796.535373635044</v>
      </c>
    </row>
    <row r="646">
      <c r="A646" s="3" t="s">
        <v>2698</v>
      </c>
      <c r="B646" s="3" t="s">
        <v>496</v>
      </c>
      <c r="C646" s="3" t="s">
        <v>1342</v>
      </c>
      <c r="D646" s="3" t="s">
        <v>68</v>
      </c>
      <c r="E646" s="3" t="s">
        <v>100</v>
      </c>
      <c r="F646" s="3" t="s">
        <v>716</v>
      </c>
      <c r="G646" s="7">
        <v>45796.606548480464</v>
      </c>
    </row>
    <row r="647">
      <c r="A647" s="3" t="s">
        <v>2700</v>
      </c>
      <c r="B647" s="3" t="s">
        <v>280</v>
      </c>
      <c r="C647" s="3" t="s">
        <v>56</v>
      </c>
      <c r="D647" s="3" t="s">
        <v>68</v>
      </c>
      <c r="E647" s="3" t="s">
        <v>100</v>
      </c>
      <c r="F647" s="3" t="s">
        <v>1431</v>
      </c>
      <c r="G647" s="7">
        <v>45796.677723325876</v>
      </c>
    </row>
    <row r="648">
      <c r="A648" s="3" t="s">
        <v>2702</v>
      </c>
      <c r="B648" s="3" t="s">
        <v>400</v>
      </c>
      <c r="C648" s="3" t="s">
        <v>56</v>
      </c>
      <c r="D648" s="3" t="s">
        <v>68</v>
      </c>
      <c r="E648" s="3" t="s">
        <v>100</v>
      </c>
      <c r="F648" s="3" t="s">
        <v>1434</v>
      </c>
      <c r="G648" s="7">
        <v>45796.74889817129</v>
      </c>
    </row>
    <row r="649">
      <c r="A649" s="3" t="s">
        <v>2706</v>
      </c>
      <c r="B649" s="3" t="s">
        <v>848</v>
      </c>
      <c r="C649" s="3" t="s">
        <v>56</v>
      </c>
      <c r="D649" s="3" t="s">
        <v>68</v>
      </c>
      <c r="E649" s="3" t="s">
        <v>100</v>
      </c>
      <c r="F649" s="3" t="s">
        <v>1435</v>
      </c>
      <c r="G649" s="7">
        <v>45796.82007301671</v>
      </c>
    </row>
    <row r="650">
      <c r="A650" s="3" t="s">
        <v>2709</v>
      </c>
      <c r="B650" s="3" t="s">
        <v>838</v>
      </c>
      <c r="C650" s="3" t="s">
        <v>1342</v>
      </c>
      <c r="D650" s="3" t="s">
        <v>68</v>
      </c>
      <c r="E650" s="3" t="s">
        <v>100</v>
      </c>
      <c r="F650" s="3" t="s">
        <v>1151</v>
      </c>
      <c r="G650" s="7">
        <v>45796.89124786212</v>
      </c>
    </row>
    <row r="651">
      <c r="A651" s="3" t="s">
        <v>2711</v>
      </c>
      <c r="B651" s="3" t="s">
        <v>411</v>
      </c>
      <c r="C651" s="3" t="s">
        <v>56</v>
      </c>
      <c r="D651" s="3" t="s">
        <v>68</v>
      </c>
      <c r="E651" s="3" t="s">
        <v>100</v>
      </c>
      <c r="F651" s="3" t="s">
        <v>1438</v>
      </c>
      <c r="G651" s="7">
        <v>45796.96242270753</v>
      </c>
    </row>
    <row r="652">
      <c r="A652" s="3" t="s">
        <v>2714</v>
      </c>
      <c r="B652" s="3" t="s">
        <v>226</v>
      </c>
      <c r="C652" s="3" t="s">
        <v>56</v>
      </c>
      <c r="D652" s="3" t="s">
        <v>68</v>
      </c>
      <c r="E652" s="3" t="s">
        <v>100</v>
      </c>
      <c r="F652" s="3" t="s">
        <v>1441</v>
      </c>
      <c r="G652" s="7">
        <v>45797.03359755295</v>
      </c>
    </row>
    <row r="653">
      <c r="A653" s="3" t="s">
        <v>2717</v>
      </c>
      <c r="B653" s="3" t="s">
        <v>515</v>
      </c>
      <c r="C653" s="3" t="s">
        <v>56</v>
      </c>
      <c r="D653" s="3" t="s">
        <v>68</v>
      </c>
      <c r="E653" s="3" t="s">
        <v>100</v>
      </c>
      <c r="F653" s="3" t="s">
        <v>1443</v>
      </c>
      <c r="G653" s="7">
        <v>45797.104772398365</v>
      </c>
    </row>
    <row r="654">
      <c r="A654" s="3" t="s">
        <v>2719</v>
      </c>
      <c r="B654" s="3" t="s">
        <v>475</v>
      </c>
      <c r="C654" s="3" t="s">
        <v>1342</v>
      </c>
      <c r="D654" s="3" t="s">
        <v>195</v>
      </c>
      <c r="E654" s="3" t="s">
        <v>45</v>
      </c>
      <c r="F654" s="3" t="s">
        <v>1272</v>
      </c>
      <c r="G654" s="7">
        <v>45797.17594724378</v>
      </c>
    </row>
    <row r="655">
      <c r="A655" s="3" t="s">
        <v>2721</v>
      </c>
      <c r="B655" s="3" t="s">
        <v>453</v>
      </c>
      <c r="C655" s="3" t="s">
        <v>1342</v>
      </c>
      <c r="D655" s="3" t="s">
        <v>68</v>
      </c>
      <c r="E655" s="3" t="s">
        <v>100</v>
      </c>
      <c r="F655" s="3" t="s">
        <v>797</v>
      </c>
      <c r="G655" s="7">
        <v>45797.2471220892</v>
      </c>
    </row>
    <row r="656">
      <c r="A656" s="3" t="s">
        <v>2724</v>
      </c>
      <c r="B656" s="3" t="s">
        <v>322</v>
      </c>
      <c r="C656" s="3" t="s">
        <v>56</v>
      </c>
      <c r="D656" s="3" t="s">
        <v>68</v>
      </c>
      <c r="E656" s="3" t="s">
        <v>100</v>
      </c>
      <c r="F656" s="3" t="s">
        <v>1446</v>
      </c>
      <c r="G656" s="7">
        <v>45797.318296934616</v>
      </c>
    </row>
    <row r="657">
      <c r="A657" s="3" t="s">
        <v>2727</v>
      </c>
      <c r="B657" s="3" t="s">
        <v>579</v>
      </c>
      <c r="C657" s="3" t="s">
        <v>1342</v>
      </c>
      <c r="D657" s="3" t="s">
        <v>181</v>
      </c>
      <c r="E657" s="3" t="s">
        <v>45</v>
      </c>
      <c r="F657" s="3" t="s">
        <v>1007</v>
      </c>
      <c r="G657" s="7">
        <v>45797.38947178002</v>
      </c>
    </row>
    <row r="658">
      <c r="A658" s="3" t="s">
        <v>2729</v>
      </c>
      <c r="B658" s="3" t="s">
        <v>269</v>
      </c>
      <c r="C658" s="3" t="s">
        <v>1342</v>
      </c>
      <c r="D658" s="3" t="s">
        <v>68</v>
      </c>
      <c r="E658" s="3" t="s">
        <v>100</v>
      </c>
      <c r="F658" s="3" t="s">
        <v>1259</v>
      </c>
      <c r="G658" s="7">
        <v>45797.46064662544</v>
      </c>
    </row>
    <row r="659">
      <c r="A659" s="3" t="s">
        <v>2731</v>
      </c>
      <c r="B659" s="3" t="s">
        <v>760</v>
      </c>
      <c r="C659" s="3" t="s">
        <v>1342</v>
      </c>
      <c r="D659" s="3" t="s">
        <v>68</v>
      </c>
      <c r="E659" s="3" t="s">
        <v>100</v>
      </c>
      <c r="F659" s="3" t="s">
        <v>1395</v>
      </c>
      <c r="G659" s="7">
        <v>45797.53182147086</v>
      </c>
    </row>
    <row r="660">
      <c r="A660" s="3" t="s">
        <v>2734</v>
      </c>
      <c r="B660" s="3" t="s">
        <v>547</v>
      </c>
      <c r="C660" s="3" t="s">
        <v>1342</v>
      </c>
      <c r="D660" s="3" t="s">
        <v>68</v>
      </c>
      <c r="E660" s="3" t="s">
        <v>100</v>
      </c>
      <c r="F660" s="3" t="s">
        <v>928</v>
      </c>
      <c r="G660" s="7">
        <v>45797.60299631627</v>
      </c>
    </row>
    <row r="661">
      <c r="A661" s="3" t="s">
        <v>2738</v>
      </c>
      <c r="B661" s="3" t="s">
        <v>523</v>
      </c>
      <c r="C661" s="3" t="s">
        <v>56</v>
      </c>
      <c r="D661" s="3" t="s">
        <v>68</v>
      </c>
      <c r="E661" s="3" t="s">
        <v>100</v>
      </c>
      <c r="F661" s="3" t="s">
        <v>1448</v>
      </c>
      <c r="G661" s="7">
        <v>45797.674171161685</v>
      </c>
    </row>
    <row r="662">
      <c r="A662" s="3" t="s">
        <v>2741</v>
      </c>
      <c r="B662" s="3" t="s">
        <v>632</v>
      </c>
      <c r="C662" s="3" t="s">
        <v>1095</v>
      </c>
      <c r="D662" s="3" t="s">
        <v>68</v>
      </c>
      <c r="E662" s="3" t="s">
        <v>100</v>
      </c>
      <c r="F662" s="3" t="s">
        <v>1198</v>
      </c>
      <c r="G662" s="7">
        <v>45797.745346007105</v>
      </c>
    </row>
    <row r="663">
      <c r="A663" s="3" t="s">
        <v>2744</v>
      </c>
      <c r="B663" s="3" t="s">
        <v>239</v>
      </c>
      <c r="C663" s="3" t="s">
        <v>1342</v>
      </c>
      <c r="D663" s="3" t="s">
        <v>68</v>
      </c>
      <c r="E663" s="3" t="s">
        <v>100</v>
      </c>
      <c r="F663" s="3" t="s">
        <v>1211</v>
      </c>
      <c r="G663" s="7">
        <v>45797.81652085252</v>
      </c>
    </row>
    <row r="664">
      <c r="A664" s="3" t="s">
        <v>2747</v>
      </c>
      <c r="B664" s="3" t="s">
        <v>672</v>
      </c>
      <c r="C664" s="3" t="s">
        <v>1095</v>
      </c>
      <c r="D664" s="3" t="s">
        <v>68</v>
      </c>
      <c r="E664" s="3" t="s">
        <v>100</v>
      </c>
      <c r="F664" s="3" t="s">
        <v>1187</v>
      </c>
      <c r="G664" s="7">
        <v>45797.88769569793</v>
      </c>
    </row>
    <row r="665">
      <c r="A665" s="3" t="s">
        <v>2751</v>
      </c>
      <c r="B665" s="3" t="s">
        <v>943</v>
      </c>
      <c r="C665" s="3" t="s">
        <v>1342</v>
      </c>
      <c r="D665" s="3" t="s">
        <v>68</v>
      </c>
      <c r="E665" s="3" t="s">
        <v>100</v>
      </c>
      <c r="F665" s="3" t="s">
        <v>1079</v>
      </c>
      <c r="G665" s="7">
        <v>45797.95887054335</v>
      </c>
    </row>
    <row r="666">
      <c r="A666" s="3" t="s">
        <v>2754</v>
      </c>
      <c r="B666" s="3" t="s">
        <v>980</v>
      </c>
      <c r="C666" s="3" t="s">
        <v>1342</v>
      </c>
      <c r="D666" s="3" t="s">
        <v>68</v>
      </c>
      <c r="E666" s="3" t="s">
        <v>100</v>
      </c>
      <c r="F666" s="3" t="s">
        <v>1025</v>
      </c>
      <c r="G666" s="7">
        <v>45798.03004538877</v>
      </c>
    </row>
    <row r="667">
      <c r="A667" s="3" t="s">
        <v>2757</v>
      </c>
      <c r="B667" s="3" t="s">
        <v>569</v>
      </c>
      <c r="C667" s="3" t="s">
        <v>1095</v>
      </c>
      <c r="D667" s="3" t="s">
        <v>68</v>
      </c>
      <c r="E667" s="3" t="s">
        <v>100</v>
      </c>
      <c r="F667" s="3" t="s">
        <v>1104</v>
      </c>
      <c r="G667" s="7">
        <v>45798.10122023417</v>
      </c>
    </row>
    <row r="668">
      <c r="A668" s="3" t="s">
        <v>2759</v>
      </c>
      <c r="B668" s="3" t="s">
        <v>1040</v>
      </c>
      <c r="C668" s="3" t="s">
        <v>1342</v>
      </c>
      <c r="D668" s="3" t="s">
        <v>181</v>
      </c>
      <c r="E668" s="3" t="s">
        <v>45</v>
      </c>
      <c r="F668" s="3" t="s">
        <v>1248</v>
      </c>
      <c r="G668" s="7">
        <v>45798.17239507959</v>
      </c>
    </row>
    <row r="669">
      <c r="A669" s="3" t="s">
        <v>2761</v>
      </c>
      <c r="B669" s="3" t="s">
        <v>243</v>
      </c>
      <c r="C669" s="3" t="s">
        <v>56</v>
      </c>
      <c r="D669" s="3" t="s">
        <v>68</v>
      </c>
      <c r="E669" s="3" t="s">
        <v>100</v>
      </c>
      <c r="F669" s="3" t="s">
        <v>1451</v>
      </c>
      <c r="G669" s="7">
        <v>45798.243569925005</v>
      </c>
    </row>
    <row r="670">
      <c r="A670" s="3" t="s">
        <v>2764</v>
      </c>
      <c r="B670" s="3" t="s">
        <v>581</v>
      </c>
      <c r="C670" s="3" t="s">
        <v>1095</v>
      </c>
      <c r="D670" s="3" t="s">
        <v>68</v>
      </c>
      <c r="E670" s="3" t="s">
        <v>100</v>
      </c>
      <c r="F670" s="3" t="s">
        <v>1400</v>
      </c>
      <c r="G670" s="7">
        <v>45798.314744770425</v>
      </c>
    </row>
    <row r="671">
      <c r="A671" s="3" t="s">
        <v>2768</v>
      </c>
      <c r="B671" s="3" t="s">
        <v>961</v>
      </c>
      <c r="C671" s="3" t="s">
        <v>1342</v>
      </c>
      <c r="D671" s="3" t="s">
        <v>68</v>
      </c>
      <c r="E671" s="3" t="s">
        <v>100</v>
      </c>
      <c r="F671" s="3" t="s">
        <v>1390</v>
      </c>
      <c r="G671" s="7">
        <v>45798.38591961584</v>
      </c>
    </row>
    <row r="672">
      <c r="A672" s="3" t="s">
        <v>2771</v>
      </c>
      <c r="B672" s="3" t="s">
        <v>763</v>
      </c>
      <c r="C672" s="3" t="s">
        <v>56</v>
      </c>
      <c r="D672" s="3" t="s">
        <v>68</v>
      </c>
      <c r="E672" s="3" t="s">
        <v>100</v>
      </c>
      <c r="F672" s="3" t="s">
        <v>1455</v>
      </c>
      <c r="G672" s="7">
        <v>45798.45709446126</v>
      </c>
    </row>
    <row r="673">
      <c r="A673" s="3" t="s">
        <v>2773</v>
      </c>
      <c r="B673" s="3" t="s">
        <v>763</v>
      </c>
      <c r="C673" s="3" t="s">
        <v>1342</v>
      </c>
      <c r="D673" s="3" t="s">
        <v>68</v>
      </c>
      <c r="E673" s="3" t="s">
        <v>100</v>
      </c>
      <c r="F673" s="3" t="s">
        <v>1455</v>
      </c>
      <c r="G673" s="7">
        <v>45798.52826930666</v>
      </c>
    </row>
    <row r="674">
      <c r="A674" s="3" t="s">
        <v>2776</v>
      </c>
      <c r="B674" s="3" t="s">
        <v>250</v>
      </c>
      <c r="C674" s="3" t="s">
        <v>1095</v>
      </c>
      <c r="D674" s="3" t="s">
        <v>68</v>
      </c>
      <c r="E674" s="3" t="s">
        <v>100</v>
      </c>
      <c r="F674" s="3" t="s">
        <v>1319</v>
      </c>
      <c r="G674" s="7">
        <v>45798.59944415208</v>
      </c>
    </row>
    <row r="675">
      <c r="A675" s="3" t="s">
        <v>2778</v>
      </c>
      <c r="B675" s="3" t="s">
        <v>230</v>
      </c>
      <c r="C675" s="3" t="s">
        <v>56</v>
      </c>
      <c r="D675" s="3" t="s">
        <v>68</v>
      </c>
      <c r="E675" s="3" t="s">
        <v>100</v>
      </c>
      <c r="F675" s="3" t="s">
        <v>1458</v>
      </c>
      <c r="G675" s="7">
        <v>45798.6706189975</v>
      </c>
    </row>
    <row r="676">
      <c r="A676" s="3" t="s">
        <v>2780</v>
      </c>
      <c r="B676" s="3" t="s">
        <v>521</v>
      </c>
      <c r="C676" s="3" t="s">
        <v>56</v>
      </c>
      <c r="D676" s="3" t="s">
        <v>68</v>
      </c>
      <c r="E676" s="3" t="s">
        <v>100</v>
      </c>
      <c r="F676" s="3" t="s">
        <v>1460</v>
      </c>
      <c r="G676" s="7">
        <v>45798.74179384291</v>
      </c>
    </row>
    <row r="677">
      <c r="A677" s="3" t="s">
        <v>2783</v>
      </c>
      <c r="B677" s="3" t="s">
        <v>785</v>
      </c>
      <c r="C677" s="3" t="s">
        <v>1342</v>
      </c>
      <c r="D677" s="3" t="s">
        <v>68</v>
      </c>
      <c r="E677" s="3" t="s">
        <v>100</v>
      </c>
      <c r="F677" s="3" t="s">
        <v>985</v>
      </c>
      <c r="G677" s="7">
        <v>45798.812968688326</v>
      </c>
    </row>
    <row r="678">
      <c r="A678" s="3" t="s">
        <v>2786</v>
      </c>
      <c r="B678" s="3" t="s">
        <v>219</v>
      </c>
      <c r="C678" s="3" t="s">
        <v>1342</v>
      </c>
      <c r="D678" s="3" t="s">
        <v>68</v>
      </c>
      <c r="E678" s="3" t="s">
        <v>100</v>
      </c>
      <c r="F678" s="3" t="s">
        <v>788</v>
      </c>
      <c r="G678" s="7">
        <v>45798.884143533745</v>
      </c>
    </row>
    <row r="679">
      <c r="A679" s="3" t="s">
        <v>2789</v>
      </c>
      <c r="B679" s="3" t="s">
        <v>886</v>
      </c>
      <c r="C679" s="3" t="s">
        <v>56</v>
      </c>
      <c r="D679" s="3" t="s">
        <v>68</v>
      </c>
      <c r="E679" s="3" t="s">
        <v>100</v>
      </c>
      <c r="F679" s="3" t="s">
        <v>1462</v>
      </c>
      <c r="G679" s="7">
        <v>45798.95531837916</v>
      </c>
    </row>
    <row r="680">
      <c r="A680" s="3" t="s">
        <v>2792</v>
      </c>
      <c r="B680" s="3" t="s">
        <v>515</v>
      </c>
      <c r="C680" s="3" t="s">
        <v>1342</v>
      </c>
      <c r="D680" s="3" t="s">
        <v>68</v>
      </c>
      <c r="E680" s="3" t="s">
        <v>100</v>
      </c>
      <c r="F680" s="3" t="s">
        <v>1443</v>
      </c>
      <c r="G680" s="7">
        <v>45799.02649322457</v>
      </c>
    </row>
    <row r="681">
      <c r="A681" s="3" t="s">
        <v>2795</v>
      </c>
      <c r="B681" s="3" t="s">
        <v>796</v>
      </c>
      <c r="C681" s="3" t="s">
        <v>1342</v>
      </c>
      <c r="D681" s="3" t="s">
        <v>68</v>
      </c>
      <c r="E681" s="3" t="s">
        <v>100</v>
      </c>
      <c r="F681" s="3" t="s">
        <v>991</v>
      </c>
      <c r="G681" s="7">
        <v>45799.09766806999</v>
      </c>
    </row>
    <row r="682">
      <c r="A682" s="3" t="s">
        <v>2798</v>
      </c>
      <c r="B682" s="3" t="s">
        <v>547</v>
      </c>
      <c r="C682" s="3" t="s">
        <v>1095</v>
      </c>
      <c r="D682" s="3" t="s">
        <v>195</v>
      </c>
      <c r="E682" s="3" t="s">
        <v>45</v>
      </c>
      <c r="F682" s="3" t="s">
        <v>928</v>
      </c>
      <c r="G682" s="7">
        <v>45799.16884291541</v>
      </c>
    </row>
    <row r="683">
      <c r="A683" s="3" t="s">
        <v>2802</v>
      </c>
      <c r="B683" s="3" t="s">
        <v>352</v>
      </c>
      <c r="C683" s="3" t="s">
        <v>1342</v>
      </c>
      <c r="D683" s="3" t="s">
        <v>68</v>
      </c>
      <c r="E683" s="3" t="s">
        <v>100</v>
      </c>
      <c r="F683" s="3" t="s">
        <v>963</v>
      </c>
      <c r="G683" s="7">
        <v>45799.240017760814</v>
      </c>
    </row>
    <row r="684">
      <c r="A684" s="3" t="s">
        <v>2805</v>
      </c>
      <c r="B684" s="3" t="s">
        <v>622</v>
      </c>
      <c r="C684" s="3" t="s">
        <v>1095</v>
      </c>
      <c r="D684" s="3" t="s">
        <v>181</v>
      </c>
      <c r="E684" s="3" t="s">
        <v>45</v>
      </c>
      <c r="F684" s="3" t="s">
        <v>1074</v>
      </c>
      <c r="G684" s="7">
        <v>45799.311192606234</v>
      </c>
    </row>
    <row r="685">
      <c r="A685" s="3" t="s">
        <v>2807</v>
      </c>
      <c r="B685" s="3" t="s">
        <v>550</v>
      </c>
      <c r="C685" s="3" t="s">
        <v>1342</v>
      </c>
      <c r="D685" s="3" t="s">
        <v>68</v>
      </c>
      <c r="E685" s="3" t="s">
        <v>100</v>
      </c>
      <c r="F685" s="3" t="s">
        <v>1153</v>
      </c>
      <c r="G685" s="7">
        <v>45799.38236745165</v>
      </c>
    </row>
    <row r="686">
      <c r="A686" s="3" t="s">
        <v>2810</v>
      </c>
      <c r="B686" s="3" t="s">
        <v>380</v>
      </c>
      <c r="C686" s="3" t="s">
        <v>1342</v>
      </c>
      <c r="D686" s="3" t="s">
        <v>68</v>
      </c>
      <c r="E686" s="3" t="s">
        <v>100</v>
      </c>
      <c r="F686" s="3" t="s">
        <v>1012</v>
      </c>
      <c r="G686" s="7">
        <v>45799.453542297066</v>
      </c>
    </row>
    <row r="687">
      <c r="A687" s="3" t="s">
        <v>2813</v>
      </c>
      <c r="B687" s="3" t="s">
        <v>830</v>
      </c>
      <c r="C687" s="3" t="s">
        <v>56</v>
      </c>
      <c r="D687" s="3" t="s">
        <v>68</v>
      </c>
      <c r="E687" s="3" t="s">
        <v>100</v>
      </c>
      <c r="F687" s="3" t="s">
        <v>1465</v>
      </c>
      <c r="G687" s="7">
        <v>45799.52471714248</v>
      </c>
    </row>
    <row r="688">
      <c r="A688" s="3" t="s">
        <v>2816</v>
      </c>
      <c r="B688" s="3" t="s">
        <v>400</v>
      </c>
      <c r="C688" s="3" t="s">
        <v>1095</v>
      </c>
      <c r="D688" s="3" t="s">
        <v>68</v>
      </c>
      <c r="E688" s="3" t="s">
        <v>100</v>
      </c>
      <c r="F688" s="3" t="s">
        <v>1434</v>
      </c>
      <c r="G688" s="7">
        <v>45799.5958919879</v>
      </c>
    </row>
    <row r="689">
      <c r="A689" s="3" t="s">
        <v>2819</v>
      </c>
      <c r="B689" s="3" t="s">
        <v>197</v>
      </c>
      <c r="C689" s="3" t="s">
        <v>56</v>
      </c>
      <c r="D689" s="3" t="s">
        <v>68</v>
      </c>
      <c r="E689" s="3" t="s">
        <v>100</v>
      </c>
      <c r="F689" s="3" t="s">
        <v>1467</v>
      </c>
      <c r="G689" s="7">
        <v>45799.66706683331</v>
      </c>
    </row>
    <row r="690">
      <c r="A690" s="3" t="s">
        <v>2822</v>
      </c>
      <c r="B690" s="3" t="s">
        <v>789</v>
      </c>
      <c r="C690" s="3" t="s">
        <v>56</v>
      </c>
      <c r="D690" s="3" t="s">
        <v>68</v>
      </c>
      <c r="E690" s="3" t="s">
        <v>100</v>
      </c>
      <c r="F690" s="3" t="s">
        <v>1469</v>
      </c>
      <c r="G690" s="7">
        <v>45799.73824167872</v>
      </c>
    </row>
    <row r="691">
      <c r="A691" s="3" t="s">
        <v>2825</v>
      </c>
      <c r="B691" s="3" t="s">
        <v>287</v>
      </c>
      <c r="C691" s="3" t="s">
        <v>56</v>
      </c>
      <c r="D691" s="3" t="s">
        <v>68</v>
      </c>
      <c r="E691" s="3" t="s">
        <v>100</v>
      </c>
      <c r="F691" s="3" t="s">
        <v>1472</v>
      </c>
      <c r="G691" s="7">
        <v>45799.80941652414</v>
      </c>
    </row>
    <row r="692">
      <c r="A692" s="3" t="s">
        <v>2828</v>
      </c>
      <c r="B692" s="3" t="s">
        <v>811</v>
      </c>
      <c r="C692" s="3" t="s">
        <v>56</v>
      </c>
      <c r="D692" s="3" t="s">
        <v>68</v>
      </c>
      <c r="E692" s="3" t="s">
        <v>100</v>
      </c>
      <c r="F692" s="3" t="s">
        <v>1475</v>
      </c>
      <c r="G692" s="7">
        <v>45799.880591369554</v>
      </c>
    </row>
    <row r="693">
      <c r="A693" s="3" t="s">
        <v>2833</v>
      </c>
      <c r="B693" s="3" t="s">
        <v>691</v>
      </c>
      <c r="C693" s="3" t="s">
        <v>56</v>
      </c>
      <c r="D693" s="3" t="s">
        <v>68</v>
      </c>
      <c r="E693" s="3" t="s">
        <v>100</v>
      </c>
      <c r="F693" s="3" t="s">
        <v>1478</v>
      </c>
      <c r="G693" s="7">
        <v>45799.95176621497</v>
      </c>
    </row>
    <row r="694">
      <c r="A694" s="3" t="s">
        <v>2836</v>
      </c>
      <c r="B694" s="3" t="s">
        <v>344</v>
      </c>
      <c r="C694" s="3" t="s">
        <v>56</v>
      </c>
      <c r="D694" s="3" t="s">
        <v>68</v>
      </c>
      <c r="E694" s="3" t="s">
        <v>100</v>
      </c>
      <c r="F694" s="3" t="s">
        <v>1480</v>
      </c>
      <c r="G694" s="7">
        <v>45800.022941060386</v>
      </c>
    </row>
    <row r="695">
      <c r="A695" s="3" t="s">
        <v>2839</v>
      </c>
      <c r="B695" s="3" t="s">
        <v>691</v>
      </c>
      <c r="C695" s="3" t="s">
        <v>1095</v>
      </c>
      <c r="D695" s="3" t="s">
        <v>68</v>
      </c>
      <c r="E695" s="3" t="s">
        <v>100</v>
      </c>
      <c r="F695" s="3" t="s">
        <v>1478</v>
      </c>
      <c r="G695" s="7">
        <v>45800.0941159058</v>
      </c>
    </row>
    <row r="696">
      <c r="A696" s="3" t="s">
        <v>2842</v>
      </c>
      <c r="B696" s="3" t="s">
        <v>193</v>
      </c>
      <c r="C696" s="3" t="s">
        <v>1342</v>
      </c>
      <c r="D696" s="3" t="s">
        <v>68</v>
      </c>
      <c r="E696" s="3" t="s">
        <v>100</v>
      </c>
      <c r="F696" s="3" t="s">
        <v>693</v>
      </c>
      <c r="G696" s="7">
        <v>45800.16529075121</v>
      </c>
    </row>
    <row r="697">
      <c r="A697" s="3" t="s">
        <v>2845</v>
      </c>
      <c r="B697" s="3" t="s">
        <v>491</v>
      </c>
      <c r="C697" s="3" t="s">
        <v>56</v>
      </c>
      <c r="D697" s="3" t="s">
        <v>68</v>
      </c>
      <c r="E697" s="3" t="s">
        <v>100</v>
      </c>
      <c r="F697" s="3" t="s">
        <v>1483</v>
      </c>
      <c r="G697" s="7">
        <v>45800.23646559663</v>
      </c>
    </row>
    <row r="698">
      <c r="A698" s="3" t="s">
        <v>2848</v>
      </c>
      <c r="B698" s="3" t="s">
        <v>135</v>
      </c>
      <c r="C698" s="3" t="s">
        <v>56</v>
      </c>
      <c r="D698" s="3" t="s">
        <v>68</v>
      </c>
      <c r="E698" s="3" t="s">
        <v>100</v>
      </c>
      <c r="F698" s="3" t="s">
        <v>1485</v>
      </c>
      <c r="G698" s="7">
        <v>45800.30764044205</v>
      </c>
    </row>
    <row r="699">
      <c r="A699" s="3" t="s">
        <v>2851</v>
      </c>
      <c r="B699" s="3" t="s">
        <v>183</v>
      </c>
      <c r="C699" s="3" t="s">
        <v>56</v>
      </c>
      <c r="D699" s="3" t="s">
        <v>68</v>
      </c>
      <c r="E699" s="3" t="s">
        <v>100</v>
      </c>
      <c r="F699" s="3" t="s">
        <v>1488</v>
      </c>
      <c r="G699" s="7">
        <v>45800.378815287455</v>
      </c>
    </row>
    <row r="700">
      <c r="A700" s="3" t="s">
        <v>2855</v>
      </c>
      <c r="B700" s="3" t="s">
        <v>269</v>
      </c>
      <c r="C700" s="3" t="s">
        <v>1095</v>
      </c>
      <c r="D700" s="3" t="s">
        <v>68</v>
      </c>
      <c r="E700" s="3" t="s">
        <v>100</v>
      </c>
      <c r="F700" s="3" t="s">
        <v>1259</v>
      </c>
      <c r="G700" s="7">
        <v>45800.449990132875</v>
      </c>
    </row>
    <row r="701">
      <c r="A701" s="3" t="s">
        <v>2858</v>
      </c>
      <c r="B701" s="3" t="s">
        <v>302</v>
      </c>
      <c r="C701" s="3" t="s">
        <v>56</v>
      </c>
      <c r="D701" s="3" t="s">
        <v>68</v>
      </c>
      <c r="E701" s="3" t="s">
        <v>100</v>
      </c>
      <c r="F701" s="3" t="s">
        <v>1491</v>
      </c>
      <c r="G701" s="7">
        <v>45800.521164978294</v>
      </c>
    </row>
    <row r="702">
      <c r="A702" s="3" t="s">
        <v>2862</v>
      </c>
      <c r="B702" s="3" t="s">
        <v>1011</v>
      </c>
      <c r="C702" s="3" t="s">
        <v>1095</v>
      </c>
      <c r="D702" s="3" t="s">
        <v>68</v>
      </c>
      <c r="E702" s="3" t="s">
        <v>100</v>
      </c>
      <c r="F702" s="3" t="s">
        <v>1338</v>
      </c>
      <c r="G702" s="7">
        <v>45800.59233982371</v>
      </c>
    </row>
    <row r="703">
      <c r="A703" s="3" t="s">
        <v>2865</v>
      </c>
      <c r="B703" s="3" t="s">
        <v>845</v>
      </c>
      <c r="C703" s="3" t="s">
        <v>1342</v>
      </c>
      <c r="D703" s="3" t="s">
        <v>68</v>
      </c>
      <c r="E703" s="3" t="s">
        <v>100</v>
      </c>
      <c r="F703" s="3" t="s">
        <v>1413</v>
      </c>
      <c r="G703" s="7">
        <v>45800.66351466912</v>
      </c>
    </row>
    <row r="704">
      <c r="A704" s="3" t="s">
        <v>2868</v>
      </c>
      <c r="B704" s="3" t="s">
        <v>615</v>
      </c>
      <c r="C704" s="3" t="s">
        <v>56</v>
      </c>
      <c r="D704" s="3" t="s">
        <v>68</v>
      </c>
      <c r="E704" s="3" t="s">
        <v>100</v>
      </c>
      <c r="F704" s="3" t="s">
        <v>1493</v>
      </c>
      <c r="G704" s="7">
        <v>45800.73468951454</v>
      </c>
    </row>
    <row r="705">
      <c r="A705" s="3" t="s">
        <v>2871</v>
      </c>
      <c r="B705" s="3" t="s">
        <v>922</v>
      </c>
      <c r="C705" s="3" t="s">
        <v>1095</v>
      </c>
      <c r="D705" s="3" t="s">
        <v>68</v>
      </c>
      <c r="E705" s="3" t="s">
        <v>100</v>
      </c>
      <c r="F705" s="3" t="s">
        <v>1279</v>
      </c>
      <c r="G705" s="7">
        <v>45800.80586435995</v>
      </c>
    </row>
    <row r="706">
      <c r="A706" s="3" t="s">
        <v>2874</v>
      </c>
      <c r="B706" s="3" t="s">
        <v>363</v>
      </c>
      <c r="C706" s="3" t="s">
        <v>56</v>
      </c>
      <c r="D706" s="3" t="s">
        <v>68</v>
      </c>
      <c r="E706" s="3" t="s">
        <v>100</v>
      </c>
      <c r="F706" s="3" t="s">
        <v>1495</v>
      </c>
      <c r="G706" s="7">
        <v>45800.87703920536</v>
      </c>
    </row>
    <row r="707">
      <c r="A707" s="3" t="s">
        <v>2877</v>
      </c>
      <c r="B707" s="3" t="s">
        <v>845</v>
      </c>
      <c r="C707" s="3" t="s">
        <v>1342</v>
      </c>
      <c r="D707" s="3" t="s">
        <v>68</v>
      </c>
      <c r="E707" s="3" t="s">
        <v>100</v>
      </c>
      <c r="F707" s="3" t="s">
        <v>1413</v>
      </c>
      <c r="G707" s="7">
        <v>45800.94821405078</v>
      </c>
    </row>
    <row r="708">
      <c r="A708" s="3" t="s">
        <v>2880</v>
      </c>
      <c r="B708" s="3" t="s">
        <v>601</v>
      </c>
      <c r="C708" s="3" t="s">
        <v>56</v>
      </c>
      <c r="D708" s="3" t="s">
        <v>68</v>
      </c>
      <c r="E708" s="3" t="s">
        <v>100</v>
      </c>
      <c r="F708" s="3" t="s">
        <v>1498</v>
      </c>
      <c r="G708" s="7">
        <v>45801.019388896195</v>
      </c>
    </row>
    <row r="709">
      <c r="A709" s="3" t="s">
        <v>2883</v>
      </c>
      <c r="B709" s="3" t="s">
        <v>864</v>
      </c>
      <c r="C709" s="3" t="s">
        <v>1342</v>
      </c>
      <c r="D709" s="3" t="s">
        <v>181</v>
      </c>
      <c r="E709" s="3" t="s">
        <v>45</v>
      </c>
      <c r="F709" s="3" t="s">
        <v>1398</v>
      </c>
      <c r="G709" s="7">
        <v>45801.09056374161</v>
      </c>
    </row>
    <row r="710">
      <c r="A710" s="3" t="s">
        <v>2886</v>
      </c>
      <c r="B710" s="3" t="s">
        <v>965</v>
      </c>
      <c r="C710" s="3" t="s">
        <v>1342</v>
      </c>
      <c r="D710" s="3" t="s">
        <v>68</v>
      </c>
      <c r="E710" s="3" t="s">
        <v>100</v>
      </c>
      <c r="F710" s="3" t="s">
        <v>705</v>
      </c>
      <c r="G710" s="7">
        <v>45801.16173858703</v>
      </c>
    </row>
    <row r="711">
      <c r="A711" s="3" t="s">
        <v>2889</v>
      </c>
      <c r="B711" s="3" t="s">
        <v>767</v>
      </c>
      <c r="C711" s="3" t="s">
        <v>1342</v>
      </c>
      <c r="D711" s="3" t="s">
        <v>68</v>
      </c>
      <c r="E711" s="3" t="s">
        <v>100</v>
      </c>
      <c r="F711" s="3" t="s">
        <v>526</v>
      </c>
      <c r="G711" s="7">
        <v>45801.23291343244</v>
      </c>
    </row>
    <row r="712">
      <c r="A712" s="3" t="s">
        <v>2891</v>
      </c>
      <c r="B712" s="3" t="s">
        <v>472</v>
      </c>
      <c r="C712" s="3" t="s">
        <v>56</v>
      </c>
      <c r="D712" s="3" t="s">
        <v>68</v>
      </c>
      <c r="E712" s="3" t="s">
        <v>100</v>
      </c>
      <c r="F712" s="3" t="s">
        <v>1501</v>
      </c>
      <c r="G712" s="7">
        <v>45801.30408827785</v>
      </c>
    </row>
    <row r="713">
      <c r="A713" s="3" t="s">
        <v>2894</v>
      </c>
      <c r="B713" s="3" t="s">
        <v>373</v>
      </c>
      <c r="C713" s="3" t="s">
        <v>56</v>
      </c>
      <c r="D713" s="3" t="s">
        <v>195</v>
      </c>
      <c r="E713" s="3" t="s">
        <v>45</v>
      </c>
      <c r="F713" s="3" t="s">
        <v>45</v>
      </c>
      <c r="G713" s="7">
        <v>45801.37526312327</v>
      </c>
    </row>
    <row r="714">
      <c r="A714" s="3" t="s">
        <v>2897</v>
      </c>
      <c r="B714" s="3" t="s">
        <v>148</v>
      </c>
      <c r="C714" s="3" t="s">
        <v>56</v>
      </c>
      <c r="D714" s="3" t="s">
        <v>68</v>
      </c>
      <c r="E714" s="3" t="s">
        <v>100</v>
      </c>
      <c r="F714" s="3" t="s">
        <v>1503</v>
      </c>
      <c r="G714" s="7">
        <v>45801.44643796869</v>
      </c>
    </row>
    <row r="715">
      <c r="A715" s="3" t="s">
        <v>2901</v>
      </c>
      <c r="B715" s="3" t="s">
        <v>479</v>
      </c>
      <c r="C715" s="3" t="s">
        <v>1095</v>
      </c>
      <c r="D715" s="3" t="s">
        <v>68</v>
      </c>
      <c r="E715" s="3" t="s">
        <v>100</v>
      </c>
      <c r="F715" s="3" t="s">
        <v>1389</v>
      </c>
      <c r="G715" s="7">
        <v>45801.517612814096</v>
      </c>
    </row>
    <row r="716">
      <c r="A716" s="3" t="s">
        <v>2904</v>
      </c>
      <c r="B716" s="3" t="s">
        <v>243</v>
      </c>
      <c r="C716" s="3" t="s">
        <v>1342</v>
      </c>
      <c r="D716" s="3" t="s">
        <v>68</v>
      </c>
      <c r="E716" s="3" t="s">
        <v>100</v>
      </c>
      <c r="F716" s="3" t="s">
        <v>1451</v>
      </c>
      <c r="G716" s="7">
        <v>45801.588787659515</v>
      </c>
    </row>
    <row r="717">
      <c r="A717" s="3" t="s">
        <v>2907</v>
      </c>
      <c r="B717" s="3" t="s">
        <v>455</v>
      </c>
      <c r="C717" s="3" t="s">
        <v>56</v>
      </c>
      <c r="D717" s="3" t="s">
        <v>181</v>
      </c>
      <c r="E717" s="3" t="s">
        <v>45</v>
      </c>
      <c r="F717" s="3" t="s">
        <v>45</v>
      </c>
      <c r="G717" s="7">
        <v>45801.659962504935</v>
      </c>
    </row>
    <row r="718">
      <c r="A718" s="3" t="s">
        <v>2910</v>
      </c>
      <c r="B718" s="3" t="s">
        <v>550</v>
      </c>
      <c r="C718" s="3" t="s">
        <v>1342</v>
      </c>
      <c r="D718" s="3" t="s">
        <v>68</v>
      </c>
      <c r="E718" s="3" t="s">
        <v>100</v>
      </c>
      <c r="F718" s="3" t="s">
        <v>1153</v>
      </c>
      <c r="G718" s="7">
        <v>45801.73113735035</v>
      </c>
    </row>
    <row r="719">
      <c r="A719" s="3" t="s">
        <v>2913</v>
      </c>
      <c r="B719" s="3" t="s">
        <v>462</v>
      </c>
      <c r="C719" s="3" t="s">
        <v>1095</v>
      </c>
      <c r="D719" s="3" t="s">
        <v>68</v>
      </c>
      <c r="E719" s="3" t="s">
        <v>100</v>
      </c>
      <c r="F719" s="3" t="s">
        <v>1240</v>
      </c>
      <c r="G719" s="7">
        <v>45801.80231219576</v>
      </c>
    </row>
    <row r="720">
      <c r="A720" s="3" t="s">
        <v>2917</v>
      </c>
      <c r="B720" s="3" t="s">
        <v>282</v>
      </c>
      <c r="C720" s="3" t="s">
        <v>1095</v>
      </c>
      <c r="D720" s="3" t="s">
        <v>68</v>
      </c>
      <c r="E720" s="3" t="s">
        <v>100</v>
      </c>
      <c r="F720" s="3" t="s">
        <v>1371</v>
      </c>
      <c r="G720" s="7">
        <v>45801.87348704118</v>
      </c>
    </row>
    <row r="721">
      <c r="A721" s="3" t="s">
        <v>2920</v>
      </c>
      <c r="B721" s="3" t="s">
        <v>767</v>
      </c>
      <c r="C721" s="3" t="s">
        <v>1342</v>
      </c>
      <c r="D721" s="3" t="s">
        <v>68</v>
      </c>
      <c r="E721" s="3" t="s">
        <v>100</v>
      </c>
      <c r="F721" s="3" t="s">
        <v>526</v>
      </c>
      <c r="G721" s="7">
        <v>45801.94466188659</v>
      </c>
    </row>
    <row r="722">
      <c r="A722" s="3" t="s">
        <v>2922</v>
      </c>
      <c r="B722" s="3" t="s">
        <v>299</v>
      </c>
      <c r="C722" s="3" t="s">
        <v>1342</v>
      </c>
      <c r="D722" s="3" t="s">
        <v>195</v>
      </c>
      <c r="E722" s="3" t="s">
        <v>45</v>
      </c>
      <c r="F722" s="3" t="s">
        <v>1416</v>
      </c>
      <c r="G722" s="7">
        <v>45802.015836732004</v>
      </c>
    </row>
    <row r="723">
      <c r="A723" s="3" t="s">
        <v>2925</v>
      </c>
      <c r="B723" s="3" t="s">
        <v>126</v>
      </c>
      <c r="C723" s="3" t="s">
        <v>1095</v>
      </c>
      <c r="D723" s="3" t="s">
        <v>68</v>
      </c>
      <c r="E723" s="3" t="s">
        <v>100</v>
      </c>
      <c r="F723" s="3" t="s">
        <v>867</v>
      </c>
      <c r="G723" s="7">
        <v>45802.08701157742</v>
      </c>
    </row>
    <row r="724">
      <c r="A724" s="3" t="s">
        <v>2928</v>
      </c>
      <c r="B724" s="3" t="s">
        <v>913</v>
      </c>
      <c r="C724" s="3" t="s">
        <v>56</v>
      </c>
      <c r="D724" s="3" t="s">
        <v>68</v>
      </c>
      <c r="E724" s="3" t="s">
        <v>100</v>
      </c>
      <c r="F724" s="3" t="s">
        <v>1506</v>
      </c>
      <c r="G724" s="7">
        <v>45802.158186422836</v>
      </c>
    </row>
    <row r="725">
      <c r="A725" s="3" t="s">
        <v>2932</v>
      </c>
      <c r="B725" s="3" t="s">
        <v>657</v>
      </c>
      <c r="C725" s="3" t="s">
        <v>1342</v>
      </c>
      <c r="D725" s="3" t="s">
        <v>195</v>
      </c>
      <c r="E725" s="3" t="s">
        <v>45</v>
      </c>
      <c r="F725" s="3" t="s">
        <v>808</v>
      </c>
      <c r="G725" s="7">
        <v>45802.22936126825</v>
      </c>
    </row>
    <row r="726">
      <c r="A726" s="3" t="s">
        <v>2935</v>
      </c>
      <c r="B726" s="3" t="s">
        <v>587</v>
      </c>
      <c r="C726" s="3" t="s">
        <v>1095</v>
      </c>
      <c r="D726" s="3" t="s">
        <v>181</v>
      </c>
      <c r="E726" s="3" t="s">
        <v>45</v>
      </c>
      <c r="F726" s="3" t="s">
        <v>1264</v>
      </c>
      <c r="G726" s="7">
        <v>45802.30053611367</v>
      </c>
    </row>
    <row r="727">
      <c r="A727" s="3" t="s">
        <v>2938</v>
      </c>
      <c r="B727" s="3" t="s">
        <v>369</v>
      </c>
      <c r="C727" s="3" t="s">
        <v>56</v>
      </c>
      <c r="D727" s="3" t="s">
        <v>68</v>
      </c>
      <c r="E727" s="3" t="s">
        <v>100</v>
      </c>
      <c r="F727" s="3" t="s">
        <v>1509</v>
      </c>
      <c r="G727" s="7">
        <v>45802.37171095909</v>
      </c>
    </row>
    <row r="728">
      <c r="A728" s="3" t="s">
        <v>2940</v>
      </c>
      <c r="B728" s="3" t="s">
        <v>631</v>
      </c>
      <c r="C728" s="3" t="s">
        <v>1342</v>
      </c>
      <c r="D728" s="3" t="s">
        <v>195</v>
      </c>
      <c r="E728" s="3" t="s">
        <v>45</v>
      </c>
      <c r="F728" s="3" t="s">
        <v>774</v>
      </c>
      <c r="G728" s="7">
        <v>45802.44288580449</v>
      </c>
    </row>
    <row r="729">
      <c r="A729" s="3" t="s">
        <v>2942</v>
      </c>
      <c r="B729" s="3" t="s">
        <v>870</v>
      </c>
      <c r="C729" s="3" t="s">
        <v>1342</v>
      </c>
      <c r="D729" s="3" t="s">
        <v>68</v>
      </c>
      <c r="E729" s="3" t="s">
        <v>100</v>
      </c>
      <c r="F729" s="3" t="s">
        <v>1138</v>
      </c>
      <c r="G729" s="7">
        <v>45802.51406064991</v>
      </c>
    </row>
    <row r="730">
      <c r="A730" s="3" t="s">
        <v>2945</v>
      </c>
      <c r="B730" s="3" t="s">
        <v>296</v>
      </c>
      <c r="C730" s="3" t="s">
        <v>1095</v>
      </c>
      <c r="D730" s="3" t="s">
        <v>68</v>
      </c>
      <c r="E730" s="3" t="s">
        <v>100</v>
      </c>
      <c r="F730" s="3" t="s">
        <v>1158</v>
      </c>
      <c r="G730" s="7">
        <v>45802.58523549533</v>
      </c>
    </row>
    <row r="731">
      <c r="A731" s="3" t="s">
        <v>2947</v>
      </c>
      <c r="B731" s="3" t="s">
        <v>287</v>
      </c>
      <c r="C731" s="3" t="s">
        <v>1095</v>
      </c>
      <c r="D731" s="3" t="s">
        <v>68</v>
      </c>
      <c r="E731" s="3" t="s">
        <v>100</v>
      </c>
      <c r="F731" s="3" t="s">
        <v>1472</v>
      </c>
      <c r="G731" s="7">
        <v>45802.65641034074</v>
      </c>
    </row>
    <row r="732">
      <c r="A732" s="3" t="s">
        <v>2951</v>
      </c>
      <c r="B732" s="3" t="s">
        <v>763</v>
      </c>
      <c r="C732" s="3" t="s">
        <v>1095</v>
      </c>
      <c r="D732" s="3" t="s">
        <v>68</v>
      </c>
      <c r="E732" s="3" t="s">
        <v>100</v>
      </c>
      <c r="F732" s="3" t="s">
        <v>1455</v>
      </c>
      <c r="G732" s="7">
        <v>45802.727585186156</v>
      </c>
    </row>
    <row r="733">
      <c r="A733" s="3" t="s">
        <v>2954</v>
      </c>
      <c r="B733" s="3" t="s">
        <v>546</v>
      </c>
      <c r="C733" s="3" t="s">
        <v>56</v>
      </c>
      <c r="D733" s="3" t="s">
        <v>68</v>
      </c>
      <c r="E733" s="3" t="s">
        <v>100</v>
      </c>
      <c r="F733" s="3" t="s">
        <v>1512</v>
      </c>
      <c r="G733" s="7">
        <v>45802.798760031576</v>
      </c>
    </row>
    <row r="734">
      <c r="A734" s="3" t="s">
        <v>2957</v>
      </c>
      <c r="B734" s="3" t="s">
        <v>189</v>
      </c>
      <c r="C734" s="3" t="s">
        <v>56</v>
      </c>
      <c r="D734" s="3" t="s">
        <v>68</v>
      </c>
      <c r="E734" s="3" t="s">
        <v>100</v>
      </c>
      <c r="F734" s="3" t="s">
        <v>1514</v>
      </c>
      <c r="G734" s="7">
        <v>45802.86993487699</v>
      </c>
    </row>
    <row r="735">
      <c r="A735" s="3" t="s">
        <v>2961</v>
      </c>
      <c r="B735" s="3" t="s">
        <v>493</v>
      </c>
      <c r="C735" s="3" t="s">
        <v>1342</v>
      </c>
      <c r="D735" s="3" t="s">
        <v>68</v>
      </c>
      <c r="E735" s="3" t="s">
        <v>100</v>
      </c>
      <c r="F735" s="3" t="s">
        <v>1019</v>
      </c>
      <c r="G735" s="7">
        <v>45802.9411097224</v>
      </c>
    </row>
    <row r="736">
      <c r="A736" s="3" t="s">
        <v>2964</v>
      </c>
      <c r="B736" s="3" t="s">
        <v>747</v>
      </c>
      <c r="C736" s="3" t="s">
        <v>1342</v>
      </c>
      <c r="D736" s="3" t="s">
        <v>68</v>
      </c>
      <c r="E736" s="3" t="s">
        <v>100</v>
      </c>
      <c r="F736" s="3" t="s">
        <v>1407</v>
      </c>
      <c r="G736" s="7">
        <v>45803.01228456782</v>
      </c>
    </row>
    <row r="737">
      <c r="A737" s="3" t="s">
        <v>2967</v>
      </c>
      <c r="B737" s="3" t="s">
        <v>330</v>
      </c>
      <c r="C737" s="3" t="s">
        <v>1095</v>
      </c>
      <c r="D737" s="3" t="s">
        <v>68</v>
      </c>
      <c r="E737" s="3" t="s">
        <v>100</v>
      </c>
      <c r="F737" s="3" t="s">
        <v>1140</v>
      </c>
      <c r="G737" s="7">
        <v>45803.08345941323</v>
      </c>
    </row>
    <row r="738">
      <c r="A738" s="3" t="s">
        <v>2970</v>
      </c>
      <c r="B738" s="3" t="s">
        <v>316</v>
      </c>
      <c r="C738" s="3" t="s">
        <v>56</v>
      </c>
      <c r="D738" s="3" t="s">
        <v>195</v>
      </c>
      <c r="E738" s="3" t="s">
        <v>45</v>
      </c>
      <c r="F738" s="3" t="s">
        <v>45</v>
      </c>
      <c r="G738" s="7">
        <v>45803.154634258644</v>
      </c>
    </row>
    <row r="739">
      <c r="A739" s="3" t="s">
        <v>2973</v>
      </c>
      <c r="B739" s="3" t="s">
        <v>414</v>
      </c>
      <c r="C739" s="3" t="s">
        <v>56</v>
      </c>
      <c r="D739" s="3" t="s">
        <v>68</v>
      </c>
      <c r="E739" s="3" t="s">
        <v>100</v>
      </c>
      <c r="F739" s="3" t="s">
        <v>1517</v>
      </c>
      <c r="G739" s="7">
        <v>45803.225809104064</v>
      </c>
    </row>
    <row r="740">
      <c r="A740" s="3" t="s">
        <v>2978</v>
      </c>
      <c r="B740" s="3" t="s">
        <v>159</v>
      </c>
      <c r="C740" s="3" t="s">
        <v>1342</v>
      </c>
      <c r="D740" s="3" t="s">
        <v>68</v>
      </c>
      <c r="E740" s="3" t="s">
        <v>100</v>
      </c>
      <c r="F740" s="3" t="s">
        <v>1292</v>
      </c>
      <c r="G740" s="7">
        <v>45803.296983949476</v>
      </c>
    </row>
    <row r="741">
      <c r="A741" s="3" t="s">
        <v>2981</v>
      </c>
      <c r="B741" s="3" t="s">
        <v>488</v>
      </c>
      <c r="C741" s="3" t="s">
        <v>1095</v>
      </c>
      <c r="D741" s="3" t="s">
        <v>68</v>
      </c>
      <c r="E741" s="3" t="s">
        <v>100</v>
      </c>
      <c r="F741" s="3" t="s">
        <v>1385</v>
      </c>
      <c r="G741" s="7">
        <v>45803.36815879489</v>
      </c>
    </row>
    <row r="742">
      <c r="A742" s="3" t="s">
        <v>2984</v>
      </c>
      <c r="B742" s="3" t="s">
        <v>819</v>
      </c>
      <c r="C742" s="3" t="s">
        <v>56</v>
      </c>
      <c r="D742" s="3" t="s">
        <v>181</v>
      </c>
      <c r="E742" s="3" t="s">
        <v>45</v>
      </c>
      <c r="F742" s="3" t="s">
        <v>45</v>
      </c>
      <c r="G742" s="7">
        <v>45803.43933364031</v>
      </c>
    </row>
    <row r="743">
      <c r="A743" s="3" t="s">
        <v>2987</v>
      </c>
      <c r="B743" s="3" t="s">
        <v>669</v>
      </c>
      <c r="C743" s="3" t="s">
        <v>1342</v>
      </c>
      <c r="D743" s="3" t="s">
        <v>68</v>
      </c>
      <c r="E743" s="3" t="s">
        <v>100</v>
      </c>
      <c r="F743" s="3" t="s">
        <v>780</v>
      </c>
      <c r="G743" s="7">
        <v>45803.51050848573</v>
      </c>
    </row>
    <row r="744">
      <c r="A744" s="3" t="s">
        <v>2990</v>
      </c>
      <c r="B744" s="3" t="s">
        <v>913</v>
      </c>
      <c r="C744" s="3" t="s">
        <v>1095</v>
      </c>
      <c r="D744" s="3" t="s">
        <v>68</v>
      </c>
      <c r="E744" s="3" t="s">
        <v>100</v>
      </c>
      <c r="F744" s="3" t="s">
        <v>1506</v>
      </c>
      <c r="G744" s="7">
        <v>45803.58168333113</v>
      </c>
    </row>
    <row r="745">
      <c r="A745" s="3" t="s">
        <v>2993</v>
      </c>
      <c r="B745" s="3" t="s">
        <v>575</v>
      </c>
      <c r="C745" s="3" t="s">
        <v>56</v>
      </c>
      <c r="D745" s="3" t="s">
        <v>68</v>
      </c>
      <c r="E745" s="3" t="s">
        <v>100</v>
      </c>
      <c r="F745" s="3" t="s">
        <v>1520</v>
      </c>
      <c r="G745" s="7">
        <v>45803.65285817655</v>
      </c>
    </row>
    <row r="746">
      <c r="A746" s="3" t="s">
        <v>2998</v>
      </c>
      <c r="B746" s="3" t="s">
        <v>612</v>
      </c>
      <c r="C746" s="3" t="s">
        <v>1342</v>
      </c>
      <c r="D746" s="3" t="s">
        <v>68</v>
      </c>
      <c r="E746" s="3" t="s">
        <v>100</v>
      </c>
      <c r="F746" s="3" t="s">
        <v>818</v>
      </c>
      <c r="G746" s="7">
        <v>45803.72403302197</v>
      </c>
    </row>
    <row r="747">
      <c r="A747" s="3" t="s">
        <v>3001</v>
      </c>
      <c r="B747" s="3" t="s">
        <v>263</v>
      </c>
      <c r="C747" s="3" t="s">
        <v>56</v>
      </c>
      <c r="D747" s="3" t="s">
        <v>68</v>
      </c>
      <c r="E747" s="3" t="s">
        <v>100</v>
      </c>
      <c r="F747" s="3" t="s">
        <v>1521</v>
      </c>
      <c r="G747" s="7">
        <v>45803.795207867384</v>
      </c>
    </row>
    <row r="748">
      <c r="A748" s="3" t="s">
        <v>3003</v>
      </c>
      <c r="B748" s="3" t="s">
        <v>669</v>
      </c>
      <c r="C748" s="3" t="s">
        <v>1342</v>
      </c>
      <c r="D748" s="3" t="s">
        <v>68</v>
      </c>
      <c r="E748" s="3" t="s">
        <v>100</v>
      </c>
      <c r="F748" s="3" t="s">
        <v>780</v>
      </c>
      <c r="G748" s="7">
        <v>45803.8663827128</v>
      </c>
    </row>
    <row r="749">
      <c r="A749" s="3" t="s">
        <v>3005</v>
      </c>
      <c r="B749" s="3" t="s">
        <v>800</v>
      </c>
      <c r="C749" s="3" t="s">
        <v>1342</v>
      </c>
      <c r="D749" s="3" t="s">
        <v>68</v>
      </c>
      <c r="E749" s="3" t="s">
        <v>100</v>
      </c>
      <c r="F749" s="3" t="s">
        <v>1408</v>
      </c>
      <c r="G749" s="7">
        <v>45803.937557558216</v>
      </c>
    </row>
    <row r="750">
      <c r="A750" s="3" t="s">
        <v>3008</v>
      </c>
      <c r="B750" s="3" t="s">
        <v>822</v>
      </c>
      <c r="C750" s="3" t="s">
        <v>1342</v>
      </c>
      <c r="D750" s="3" t="s">
        <v>181</v>
      </c>
      <c r="E750" s="3" t="s">
        <v>45</v>
      </c>
      <c r="F750" s="3" t="s">
        <v>1242</v>
      </c>
      <c r="G750" s="7">
        <v>45804.00873240363</v>
      </c>
    </row>
    <row r="751">
      <c r="A751" s="3" t="s">
        <v>3011</v>
      </c>
      <c r="B751" s="3" t="s">
        <v>643</v>
      </c>
      <c r="C751" s="3" t="s">
        <v>1095</v>
      </c>
      <c r="D751" s="3" t="s">
        <v>68</v>
      </c>
      <c r="E751" s="3" t="s">
        <v>100</v>
      </c>
      <c r="F751" s="3" t="s">
        <v>1171</v>
      </c>
      <c r="G751" s="7">
        <v>45804.07990724904</v>
      </c>
    </row>
    <row r="752">
      <c r="A752" s="3" t="s">
        <v>3014</v>
      </c>
      <c r="B752" s="3" t="s">
        <v>247</v>
      </c>
      <c r="C752" s="3" t="s">
        <v>1095</v>
      </c>
      <c r="D752" s="3" t="s">
        <v>195</v>
      </c>
      <c r="E752" s="3" t="s">
        <v>45</v>
      </c>
      <c r="F752" s="3" t="s">
        <v>1380</v>
      </c>
      <c r="G752" s="7">
        <v>45804.15108209446</v>
      </c>
    </row>
    <row r="753">
      <c r="A753" s="3" t="s">
        <v>3017</v>
      </c>
      <c r="B753" s="3" t="s">
        <v>148</v>
      </c>
      <c r="C753" s="3" t="s">
        <v>1095</v>
      </c>
      <c r="D753" s="3" t="s">
        <v>68</v>
      </c>
      <c r="E753" s="3" t="s">
        <v>100</v>
      </c>
      <c r="F753" s="3" t="s">
        <v>1503</v>
      </c>
      <c r="G753" s="7">
        <v>45804.22225693987</v>
      </c>
    </row>
    <row r="754">
      <c r="A754" s="3" t="s">
        <v>3020</v>
      </c>
      <c r="B754" s="3" t="s">
        <v>219</v>
      </c>
      <c r="C754" s="3" t="s">
        <v>1095</v>
      </c>
      <c r="D754" s="3" t="s">
        <v>68</v>
      </c>
      <c r="E754" s="3" t="s">
        <v>100</v>
      </c>
      <c r="F754" s="3" t="s">
        <v>788</v>
      </c>
      <c r="G754" s="7">
        <v>45804.293431785285</v>
      </c>
    </row>
    <row r="755">
      <c r="A755" s="3" t="s">
        <v>3023</v>
      </c>
      <c r="B755" s="3" t="s">
        <v>123</v>
      </c>
      <c r="C755" s="3" t="s">
        <v>56</v>
      </c>
      <c r="D755" s="3" t="s">
        <v>68</v>
      </c>
      <c r="E755" s="3" t="s">
        <v>100</v>
      </c>
      <c r="F755" s="3" t="s">
        <v>1524</v>
      </c>
      <c r="G755" s="7">
        <v>45804.364606630705</v>
      </c>
    </row>
    <row r="756">
      <c r="A756" s="3" t="s">
        <v>3026</v>
      </c>
      <c r="B756" s="3" t="s">
        <v>669</v>
      </c>
      <c r="C756" s="3" t="s">
        <v>1095</v>
      </c>
      <c r="D756" s="3" t="s">
        <v>181</v>
      </c>
      <c r="E756" s="3" t="s">
        <v>45</v>
      </c>
      <c r="F756" s="3" t="s">
        <v>780</v>
      </c>
      <c r="G756" s="7">
        <v>45804.43578147612</v>
      </c>
    </row>
    <row r="757">
      <c r="A757" s="3" t="s">
        <v>3029</v>
      </c>
      <c r="B757" s="3" t="s">
        <v>466</v>
      </c>
      <c r="C757" s="3" t="s">
        <v>1342</v>
      </c>
      <c r="D757" s="3" t="s">
        <v>181</v>
      </c>
      <c r="E757" s="3" t="s">
        <v>45</v>
      </c>
      <c r="F757" s="3" t="s">
        <v>1114</v>
      </c>
      <c r="G757" s="7">
        <v>45804.50695632153</v>
      </c>
    </row>
    <row r="758">
      <c r="A758" s="3" t="s">
        <v>3032</v>
      </c>
      <c r="B758" s="3" t="s">
        <v>383</v>
      </c>
      <c r="C758" s="3" t="s">
        <v>1342</v>
      </c>
      <c r="D758" s="3" t="s">
        <v>68</v>
      </c>
      <c r="E758" s="3" t="s">
        <v>100</v>
      </c>
      <c r="F758" s="3" t="s">
        <v>633</v>
      </c>
      <c r="G758" s="7">
        <v>45804.57813116695</v>
      </c>
    </row>
    <row r="759">
      <c r="A759" s="3" t="s">
        <v>3035</v>
      </c>
      <c r="B759" s="3" t="s">
        <v>747</v>
      </c>
      <c r="C759" s="3" t="s">
        <v>1095</v>
      </c>
      <c r="D759" s="3" t="s">
        <v>68</v>
      </c>
      <c r="E759" s="3" t="s">
        <v>100</v>
      </c>
      <c r="F759" s="3" t="s">
        <v>1407</v>
      </c>
      <c r="G759" s="7">
        <v>45804.64930601237</v>
      </c>
    </row>
    <row r="760">
      <c r="A760" s="3" t="s">
        <v>3038</v>
      </c>
      <c r="B760" s="3" t="s">
        <v>159</v>
      </c>
      <c r="C760" s="3" t="s">
        <v>1342</v>
      </c>
      <c r="D760" s="3" t="s">
        <v>68</v>
      </c>
      <c r="E760" s="3" t="s">
        <v>100</v>
      </c>
      <c r="F760" s="3" t="s">
        <v>1292</v>
      </c>
      <c r="G760" s="7">
        <v>45804.72048085777</v>
      </c>
    </row>
    <row r="761">
      <c r="A761" s="3" t="s">
        <v>3041</v>
      </c>
      <c r="B761" s="3" t="s">
        <v>302</v>
      </c>
      <c r="C761" s="3" t="s">
        <v>1095</v>
      </c>
      <c r="D761" s="3" t="s">
        <v>181</v>
      </c>
      <c r="E761" s="3" t="s">
        <v>45</v>
      </c>
      <c r="F761" s="3" t="s">
        <v>1491</v>
      </c>
      <c r="G761" s="7">
        <v>45804.79165570319</v>
      </c>
    </row>
    <row r="762">
      <c r="A762" s="3" t="s">
        <v>3044</v>
      </c>
      <c r="B762" s="3" t="s">
        <v>524</v>
      </c>
      <c r="C762" s="3" t="s">
        <v>1095</v>
      </c>
      <c r="D762" s="3" t="s">
        <v>68</v>
      </c>
      <c r="E762" s="3" t="s">
        <v>100</v>
      </c>
      <c r="F762" s="3" t="s">
        <v>1045</v>
      </c>
      <c r="G762" s="7">
        <v>45804.86283054861</v>
      </c>
    </row>
    <row r="763">
      <c r="A763" s="3" t="s">
        <v>3047</v>
      </c>
      <c r="B763" s="3" t="s">
        <v>760</v>
      </c>
      <c r="C763" s="3" t="s">
        <v>1342</v>
      </c>
      <c r="D763" s="3" t="s">
        <v>68</v>
      </c>
      <c r="E763" s="3" t="s">
        <v>100</v>
      </c>
      <c r="F763" s="3" t="s">
        <v>1395</v>
      </c>
      <c r="G763" s="7">
        <v>45804.934005394025</v>
      </c>
    </row>
    <row r="764">
      <c r="A764" s="3" t="s">
        <v>3050</v>
      </c>
      <c r="B764" s="3" t="s">
        <v>717</v>
      </c>
      <c r="C764" s="3" t="s">
        <v>1095</v>
      </c>
      <c r="D764" s="3" t="s">
        <v>68</v>
      </c>
      <c r="E764" s="3" t="s">
        <v>100</v>
      </c>
      <c r="F764" s="3" t="s">
        <v>1378</v>
      </c>
      <c r="G764" s="7">
        <v>45805.00518023944</v>
      </c>
    </row>
    <row r="765">
      <c r="A765" s="3" t="s">
        <v>3053</v>
      </c>
      <c r="B765" s="3" t="s">
        <v>731</v>
      </c>
      <c r="C765" s="3" t="s">
        <v>56</v>
      </c>
      <c r="D765" s="3" t="s">
        <v>68</v>
      </c>
      <c r="E765" s="3" t="s">
        <v>100</v>
      </c>
      <c r="F765" s="3" t="s">
        <v>1526</v>
      </c>
      <c r="G765" s="7">
        <v>45805.07635508486</v>
      </c>
    </row>
    <row r="766">
      <c r="A766" s="3" t="s">
        <v>3057</v>
      </c>
      <c r="B766" s="3" t="s">
        <v>830</v>
      </c>
      <c r="C766" s="3" t="s">
        <v>1342</v>
      </c>
      <c r="D766" s="3" t="s">
        <v>181</v>
      </c>
      <c r="E766" s="3" t="s">
        <v>45</v>
      </c>
      <c r="F766" s="3" t="s">
        <v>1465</v>
      </c>
      <c r="G766" s="7">
        <v>45805.14752993027</v>
      </c>
    </row>
    <row r="767">
      <c r="A767" s="3" t="s">
        <v>3060</v>
      </c>
      <c r="B767" s="3" t="s">
        <v>550</v>
      </c>
      <c r="C767" s="3" t="s">
        <v>1095</v>
      </c>
      <c r="D767" s="3" t="s">
        <v>68</v>
      </c>
      <c r="E767" s="3" t="s">
        <v>100</v>
      </c>
      <c r="F767" s="3" t="s">
        <v>1153</v>
      </c>
      <c r="G767" s="7">
        <v>45805.21870477568</v>
      </c>
    </row>
    <row r="768">
      <c r="A768" s="3" t="s">
        <v>3063</v>
      </c>
      <c r="B768" s="3" t="s">
        <v>344</v>
      </c>
      <c r="C768" s="3" t="s">
        <v>1095</v>
      </c>
      <c r="D768" s="3" t="s">
        <v>68</v>
      </c>
      <c r="E768" s="3" t="s">
        <v>100</v>
      </c>
      <c r="F768" s="3" t="s">
        <v>1480</v>
      </c>
      <c r="G768" s="7">
        <v>45805.2898796211</v>
      </c>
    </row>
    <row r="769">
      <c r="A769" s="3" t="s">
        <v>3066</v>
      </c>
      <c r="B769" s="3" t="s">
        <v>233</v>
      </c>
      <c r="C769" s="3" t="s">
        <v>1095</v>
      </c>
      <c r="D769" s="3" t="s">
        <v>68</v>
      </c>
      <c r="E769" s="3" t="s">
        <v>100</v>
      </c>
      <c r="F769" s="3" t="s">
        <v>1088</v>
      </c>
      <c r="G769" s="7">
        <v>45805.36105446652</v>
      </c>
    </row>
    <row r="770">
      <c r="A770" s="3" t="s">
        <v>3069</v>
      </c>
      <c r="B770" s="3" t="s">
        <v>453</v>
      </c>
      <c r="C770" s="3" t="s">
        <v>1342</v>
      </c>
      <c r="D770" s="3" t="s">
        <v>68</v>
      </c>
      <c r="E770" s="3" t="s">
        <v>100</v>
      </c>
      <c r="F770" s="3" t="s">
        <v>797</v>
      </c>
      <c r="G770" s="7">
        <v>45805.432229311926</v>
      </c>
    </row>
    <row r="771">
      <c r="A771" s="3" t="s">
        <v>3071</v>
      </c>
      <c r="B771" s="3" t="s">
        <v>725</v>
      </c>
      <c r="C771" s="3" t="s">
        <v>1095</v>
      </c>
      <c r="D771" s="3" t="s">
        <v>68</v>
      </c>
      <c r="E771" s="3" t="s">
        <v>100</v>
      </c>
      <c r="F771" s="3" t="s">
        <v>1358</v>
      </c>
      <c r="G771" s="7">
        <v>45805.503404157345</v>
      </c>
    </row>
    <row r="772">
      <c r="A772" s="3" t="s">
        <v>3075</v>
      </c>
      <c r="B772" s="3" t="s">
        <v>581</v>
      </c>
      <c r="C772" s="3" t="s">
        <v>56</v>
      </c>
      <c r="D772" s="3" t="s">
        <v>68</v>
      </c>
      <c r="E772" s="3" t="s">
        <v>100</v>
      </c>
      <c r="F772" s="3" t="s">
        <v>1530</v>
      </c>
      <c r="G772" s="7">
        <v>45805.57457900276</v>
      </c>
    </row>
    <row r="773">
      <c r="A773" s="3" t="s">
        <v>3079</v>
      </c>
      <c r="B773" s="3" t="s">
        <v>359</v>
      </c>
      <c r="C773" s="3" t="s">
        <v>56</v>
      </c>
      <c r="D773" s="3" t="s">
        <v>68</v>
      </c>
      <c r="E773" s="3" t="s">
        <v>100</v>
      </c>
      <c r="F773" s="3" t="s">
        <v>1533</v>
      </c>
      <c r="G773" s="7">
        <v>45805.64575384818</v>
      </c>
    </row>
    <row r="774">
      <c r="A774" s="3" t="s">
        <v>3082</v>
      </c>
      <c r="B774" s="3" t="s">
        <v>168</v>
      </c>
      <c r="C774" s="3" t="s">
        <v>1342</v>
      </c>
      <c r="D774" s="3" t="s">
        <v>68</v>
      </c>
      <c r="E774" s="3" t="s">
        <v>100</v>
      </c>
      <c r="F774" s="3" t="s">
        <v>1058</v>
      </c>
      <c r="G774" s="7">
        <v>45805.71692869359</v>
      </c>
    </row>
    <row r="775">
      <c r="A775" s="3" t="s">
        <v>3085</v>
      </c>
      <c r="B775" s="3" t="s">
        <v>1043</v>
      </c>
      <c r="C775" s="3" t="s">
        <v>56</v>
      </c>
      <c r="D775" s="3" t="s">
        <v>181</v>
      </c>
      <c r="E775" s="3" t="s">
        <v>45</v>
      </c>
      <c r="F775" s="3" t="s">
        <v>45</v>
      </c>
      <c r="G775" s="7">
        <v>45805.78810353901</v>
      </c>
    </row>
    <row r="776">
      <c r="A776" s="3" t="s">
        <v>3089</v>
      </c>
      <c r="B776" s="3" t="s">
        <v>1008</v>
      </c>
      <c r="C776" s="3" t="s">
        <v>1342</v>
      </c>
      <c r="D776" s="3" t="s">
        <v>181</v>
      </c>
      <c r="E776" s="3" t="s">
        <v>45</v>
      </c>
      <c r="F776" s="3" t="s">
        <v>1218</v>
      </c>
      <c r="G776" s="7">
        <v>45805.859278384414</v>
      </c>
    </row>
    <row r="777">
      <c r="A777" s="3" t="s">
        <v>3092</v>
      </c>
      <c r="B777" s="3" t="s">
        <v>135</v>
      </c>
      <c r="C777" s="3" t="s">
        <v>1095</v>
      </c>
      <c r="D777" s="3" t="s">
        <v>195</v>
      </c>
      <c r="E777" s="3" t="s">
        <v>45</v>
      </c>
      <c r="F777" s="3" t="s">
        <v>1485</v>
      </c>
      <c r="G777" s="7">
        <v>45805.930453229834</v>
      </c>
    </row>
    <row r="778">
      <c r="A778" s="3" t="s">
        <v>3095</v>
      </c>
      <c r="B778" s="3" t="s">
        <v>208</v>
      </c>
      <c r="C778" s="3" t="s">
        <v>1095</v>
      </c>
      <c r="D778" s="3" t="s">
        <v>68</v>
      </c>
      <c r="E778" s="3" t="s">
        <v>100</v>
      </c>
      <c r="F778" s="3" t="s">
        <v>1310</v>
      </c>
      <c r="G778" s="7">
        <v>45806.00162807525</v>
      </c>
    </row>
    <row r="779">
      <c r="A779" s="3" t="s">
        <v>3097</v>
      </c>
      <c r="B779" s="3" t="s">
        <v>226</v>
      </c>
      <c r="C779" s="3" t="s">
        <v>1095</v>
      </c>
      <c r="D779" s="3" t="s">
        <v>68</v>
      </c>
      <c r="E779" s="3" t="s">
        <v>100</v>
      </c>
      <c r="F779" s="3" t="s">
        <v>1441</v>
      </c>
      <c r="G779" s="7">
        <v>45806.072802920666</v>
      </c>
    </row>
    <row r="780">
      <c r="A780" s="3" t="s">
        <v>3100</v>
      </c>
      <c r="B780" s="3" t="s">
        <v>734</v>
      </c>
      <c r="C780" s="3" t="s">
        <v>56</v>
      </c>
      <c r="D780" s="3" t="s">
        <v>68</v>
      </c>
      <c r="E780" s="3" t="s">
        <v>100</v>
      </c>
      <c r="F780" s="3" t="s">
        <v>1535</v>
      </c>
      <c r="G780" s="7">
        <v>45806.14397776608</v>
      </c>
    </row>
    <row r="781">
      <c r="A781" s="3" t="s">
        <v>3103</v>
      </c>
      <c r="B781" s="3" t="s">
        <v>400</v>
      </c>
      <c r="C781" s="3" t="s">
        <v>56</v>
      </c>
      <c r="D781" s="3" t="s">
        <v>68</v>
      </c>
      <c r="E781" s="3" t="s">
        <v>100</v>
      </c>
      <c r="F781" s="3" t="s">
        <v>1538</v>
      </c>
      <c r="G781" s="7">
        <v>45806.2151526115</v>
      </c>
    </row>
    <row r="782">
      <c r="A782" s="3" t="s">
        <v>3107</v>
      </c>
      <c r="B782" s="3" t="s">
        <v>622</v>
      </c>
      <c r="C782" s="3" t="s">
        <v>1342</v>
      </c>
      <c r="D782" s="3" t="s">
        <v>68</v>
      </c>
      <c r="E782" s="3" t="s">
        <v>100</v>
      </c>
      <c r="F782" s="3" t="s">
        <v>1074</v>
      </c>
      <c r="G782" s="7">
        <v>45806.28632745691</v>
      </c>
    </row>
    <row r="783">
      <c r="A783" s="3" t="s">
        <v>3110</v>
      </c>
      <c r="B783" s="3" t="s">
        <v>796</v>
      </c>
      <c r="C783" s="3" t="s">
        <v>1342</v>
      </c>
      <c r="D783" s="3" t="s">
        <v>68</v>
      </c>
      <c r="E783" s="3" t="s">
        <v>100</v>
      </c>
      <c r="F783" s="3" t="s">
        <v>991</v>
      </c>
      <c r="G783" s="7">
        <v>45806.35750230232</v>
      </c>
    </row>
    <row r="784">
      <c r="A784" s="3" t="s">
        <v>3113</v>
      </c>
      <c r="B784" s="3" t="s">
        <v>341</v>
      </c>
      <c r="C784" s="3" t="s">
        <v>1095</v>
      </c>
      <c r="D784" s="3" t="s">
        <v>68</v>
      </c>
      <c r="E784" s="3" t="s">
        <v>100</v>
      </c>
      <c r="F784" s="3" t="s">
        <v>1237</v>
      </c>
      <c r="G784" s="7">
        <v>45806.42867714774</v>
      </c>
    </row>
    <row r="785">
      <c r="A785" s="3" t="s">
        <v>3116</v>
      </c>
      <c r="B785" s="3" t="s">
        <v>1037</v>
      </c>
      <c r="C785" s="3" t="s">
        <v>1342</v>
      </c>
      <c r="D785" s="3" t="s">
        <v>68</v>
      </c>
      <c r="E785" s="3" t="s">
        <v>100</v>
      </c>
      <c r="F785" s="3" t="s">
        <v>1276</v>
      </c>
      <c r="G785" s="7">
        <v>45806.49985199316</v>
      </c>
    </row>
    <row r="786">
      <c r="A786" s="3" t="s">
        <v>3119</v>
      </c>
      <c r="B786" s="3" t="s">
        <v>800</v>
      </c>
      <c r="C786" s="3" t="s">
        <v>1342</v>
      </c>
      <c r="D786" s="3" t="s">
        <v>68</v>
      </c>
      <c r="E786" s="3" t="s">
        <v>100</v>
      </c>
      <c r="F786" s="3" t="s">
        <v>1408</v>
      </c>
      <c r="G786" s="7">
        <v>45806.57102683857</v>
      </c>
    </row>
    <row r="787">
      <c r="A787" s="3" t="s">
        <v>3122</v>
      </c>
      <c r="B787" s="3" t="s">
        <v>256</v>
      </c>
      <c r="C787" s="3" t="s">
        <v>56</v>
      </c>
      <c r="D787" s="3" t="s">
        <v>68</v>
      </c>
      <c r="E787" s="3" t="s">
        <v>100</v>
      </c>
      <c r="F787" s="3" t="s">
        <v>1539</v>
      </c>
      <c r="G787" s="7">
        <v>45806.642201683986</v>
      </c>
    </row>
    <row r="788">
      <c r="A788" s="3" t="s">
        <v>3124</v>
      </c>
      <c r="B788" s="3" t="s">
        <v>704</v>
      </c>
      <c r="C788" s="3" t="s">
        <v>1342</v>
      </c>
      <c r="D788" s="3" t="s">
        <v>68</v>
      </c>
      <c r="E788" s="3" t="s">
        <v>100</v>
      </c>
      <c r="F788" s="3" t="s">
        <v>1177</v>
      </c>
      <c r="G788" s="7">
        <v>45806.713376529406</v>
      </c>
    </row>
    <row r="789">
      <c r="A789" s="3" t="s">
        <v>3126</v>
      </c>
      <c r="B789" s="3" t="s">
        <v>219</v>
      </c>
      <c r="C789" s="3" t="s">
        <v>56</v>
      </c>
      <c r="D789" s="3" t="s">
        <v>68</v>
      </c>
      <c r="E789" s="3" t="s">
        <v>100</v>
      </c>
      <c r="F789" s="3" t="s">
        <v>1542</v>
      </c>
      <c r="G789" s="7">
        <v>45806.78455137482</v>
      </c>
    </row>
    <row r="790">
      <c r="A790" s="3" t="s">
        <v>3129</v>
      </c>
      <c r="B790" s="3" t="s">
        <v>260</v>
      </c>
      <c r="C790" s="3" t="s">
        <v>1342</v>
      </c>
      <c r="D790" s="3" t="s">
        <v>68</v>
      </c>
      <c r="E790" s="3" t="s">
        <v>100</v>
      </c>
      <c r="F790" s="3" t="s">
        <v>1302</v>
      </c>
      <c r="G790" s="7">
        <v>45806.85572622023</v>
      </c>
    </row>
    <row r="791">
      <c r="A791" s="3" t="s">
        <v>3132</v>
      </c>
      <c r="B791" s="3" t="s">
        <v>373</v>
      </c>
      <c r="C791" s="3" t="s">
        <v>56</v>
      </c>
      <c r="D791" s="3" t="s">
        <v>68</v>
      </c>
      <c r="E791" s="3" t="s">
        <v>100</v>
      </c>
      <c r="F791" s="3" t="s">
        <v>1543</v>
      </c>
      <c r="G791" s="7">
        <v>45806.92690106565</v>
      </c>
    </row>
    <row r="792">
      <c r="A792" s="3" t="s">
        <v>3135</v>
      </c>
      <c r="B792" s="3" t="s">
        <v>313</v>
      </c>
      <c r="C792" s="3" t="s">
        <v>1342</v>
      </c>
      <c r="D792" s="3" t="s">
        <v>68</v>
      </c>
      <c r="E792" s="3" t="s">
        <v>100</v>
      </c>
      <c r="F792" s="3" t="s">
        <v>1100</v>
      </c>
      <c r="G792" s="7">
        <v>45806.99807591106</v>
      </c>
    </row>
    <row r="793">
      <c r="A793" s="3" t="s">
        <v>3138</v>
      </c>
      <c r="B793" s="3" t="s">
        <v>596</v>
      </c>
      <c r="C793" s="3" t="s">
        <v>1095</v>
      </c>
      <c r="D793" s="3" t="s">
        <v>68</v>
      </c>
      <c r="E793" s="3" t="s">
        <v>100</v>
      </c>
      <c r="F793" s="3" t="s">
        <v>1228</v>
      </c>
      <c r="G793" s="7">
        <v>45807.069250756475</v>
      </c>
    </row>
    <row r="794">
      <c r="A794" s="3" t="s">
        <v>3141</v>
      </c>
      <c r="B794" s="3" t="s">
        <v>883</v>
      </c>
      <c r="C794" s="3" t="s">
        <v>1342</v>
      </c>
      <c r="D794" s="3" t="s">
        <v>68</v>
      </c>
      <c r="E794" s="3" t="s">
        <v>100</v>
      </c>
      <c r="F794" s="3" t="s">
        <v>1354</v>
      </c>
      <c r="G794" s="7">
        <v>45807.140425601894</v>
      </c>
    </row>
    <row r="795">
      <c r="A795" s="3" t="s">
        <v>3146</v>
      </c>
      <c r="B795" s="3" t="s">
        <v>581</v>
      </c>
      <c r="C795" s="3" t="s">
        <v>1342</v>
      </c>
      <c r="D795" s="3" t="s">
        <v>195</v>
      </c>
      <c r="E795" s="3" t="s">
        <v>45</v>
      </c>
      <c r="F795" s="3" t="s">
        <v>1530</v>
      </c>
      <c r="G795" s="7">
        <v>45807.21160044731</v>
      </c>
    </row>
    <row r="796">
      <c r="A796" s="3" t="s">
        <v>3147</v>
      </c>
      <c r="B796" s="3" t="s">
        <v>822</v>
      </c>
      <c r="C796" s="3" t="s">
        <v>1095</v>
      </c>
      <c r="D796" s="3" t="s">
        <v>68</v>
      </c>
      <c r="E796" s="3" t="s">
        <v>100</v>
      </c>
      <c r="F796" s="3" t="s">
        <v>1242</v>
      </c>
      <c r="G796" s="7">
        <v>45807.28277529272</v>
      </c>
    </row>
    <row r="797">
      <c r="A797" s="3" t="s">
        <v>3148</v>
      </c>
      <c r="B797" s="3" t="s">
        <v>326</v>
      </c>
      <c r="C797" s="3" t="s">
        <v>1095</v>
      </c>
      <c r="D797" s="3" t="s">
        <v>68</v>
      </c>
      <c r="E797" s="3" t="s">
        <v>100</v>
      </c>
      <c r="F797" s="3" t="s">
        <v>1369</v>
      </c>
      <c r="G797" s="7">
        <v>45807.35395013814</v>
      </c>
    </row>
    <row r="798">
      <c r="A798" s="3" t="s">
        <v>3151</v>
      </c>
      <c r="B798" s="3" t="s">
        <v>682</v>
      </c>
      <c r="C798" s="3" t="s">
        <v>1342</v>
      </c>
      <c r="D798" s="3" t="s">
        <v>68</v>
      </c>
      <c r="E798" s="3" t="s">
        <v>100</v>
      </c>
      <c r="F798" s="3" t="s">
        <v>1004</v>
      </c>
      <c r="G798" s="7">
        <v>45807.42512498355</v>
      </c>
    </row>
    <row r="799">
      <c r="A799" s="3" t="s">
        <v>3154</v>
      </c>
      <c r="B799" s="3" t="s">
        <v>130</v>
      </c>
      <c r="C799" s="3" t="s">
        <v>1095</v>
      </c>
      <c r="D799" s="3" t="s">
        <v>68</v>
      </c>
      <c r="E799" s="3" t="s">
        <v>100</v>
      </c>
      <c r="F799" s="3" t="s">
        <v>1341</v>
      </c>
      <c r="G799" s="7">
        <v>45807.49629982896</v>
      </c>
    </row>
    <row r="800">
      <c r="A800" s="3" t="s">
        <v>3157</v>
      </c>
      <c r="B800" s="3" t="s">
        <v>168</v>
      </c>
      <c r="C800" s="3" t="s">
        <v>1095</v>
      </c>
      <c r="D800" s="3" t="s">
        <v>68</v>
      </c>
      <c r="E800" s="3" t="s">
        <v>100</v>
      </c>
      <c r="F800" s="3" t="s">
        <v>1058</v>
      </c>
      <c r="G800" s="7">
        <v>45807.56747467438</v>
      </c>
    </row>
    <row r="801">
      <c r="A801" s="3" t="s">
        <v>3160</v>
      </c>
      <c r="B801" s="3" t="s">
        <v>763</v>
      </c>
      <c r="C801" s="3" t="s">
        <v>56</v>
      </c>
      <c r="D801" s="3" t="s">
        <v>181</v>
      </c>
      <c r="E801" s="3" t="s">
        <v>45</v>
      </c>
      <c r="F801" s="3" t="s">
        <v>45</v>
      </c>
      <c r="G801" s="7">
        <v>45807.6386495198</v>
      </c>
    </row>
    <row r="802">
      <c r="A802" s="3" t="s">
        <v>3163</v>
      </c>
      <c r="B802" s="3" t="s">
        <v>735</v>
      </c>
      <c r="C802" s="3" t="s">
        <v>56</v>
      </c>
      <c r="D802" s="3" t="s">
        <v>68</v>
      </c>
      <c r="E802" s="3" t="s">
        <v>100</v>
      </c>
      <c r="F802" s="3" t="s">
        <v>1545</v>
      </c>
      <c r="G802" s="7">
        <v>45807.70982436521</v>
      </c>
    </row>
    <row r="803">
      <c r="A803" s="3" t="s">
        <v>3166</v>
      </c>
      <c r="B803" s="3" t="s">
        <v>290</v>
      </c>
      <c r="C803" s="3" t="s">
        <v>1095</v>
      </c>
      <c r="D803" s="3" t="s">
        <v>68</v>
      </c>
      <c r="E803" s="3" t="s">
        <v>100</v>
      </c>
      <c r="F803" s="3" t="s">
        <v>1315</v>
      </c>
      <c r="G803" s="7">
        <v>45807.78099921063</v>
      </c>
    </row>
    <row r="804">
      <c r="A804" s="3" t="s">
        <v>3169</v>
      </c>
      <c r="B804" s="3" t="s">
        <v>632</v>
      </c>
      <c r="C804" s="3" t="s">
        <v>56</v>
      </c>
      <c r="D804" s="3" t="s">
        <v>68</v>
      </c>
      <c r="E804" s="3" t="s">
        <v>100</v>
      </c>
      <c r="F804" s="3" t="s">
        <v>1546</v>
      </c>
      <c r="G804" s="7">
        <v>45807.852174056046</v>
      </c>
    </row>
    <row r="805">
      <c r="A805" s="3" t="s">
        <v>3173</v>
      </c>
      <c r="B805" s="3" t="s">
        <v>282</v>
      </c>
      <c r="C805" s="3" t="s">
        <v>56</v>
      </c>
      <c r="D805" s="3" t="s">
        <v>181</v>
      </c>
      <c r="E805" s="3" t="s">
        <v>45</v>
      </c>
      <c r="F805" s="3" t="s">
        <v>45</v>
      </c>
      <c r="G805" s="7">
        <v>45807.92334890146</v>
      </c>
    </row>
    <row r="806">
      <c r="A806" s="3" t="s">
        <v>3177</v>
      </c>
      <c r="B806" s="3" t="s">
        <v>760</v>
      </c>
      <c r="C806" s="3" t="s">
        <v>1095</v>
      </c>
      <c r="D806" s="3" t="s">
        <v>68</v>
      </c>
      <c r="E806" s="3" t="s">
        <v>100</v>
      </c>
      <c r="F806" s="3" t="s">
        <v>1395</v>
      </c>
      <c r="G806" s="7">
        <v>45807.99452374687</v>
      </c>
    </row>
    <row r="807">
      <c r="A807" s="3" t="s">
        <v>3179</v>
      </c>
      <c r="B807" s="3" t="s">
        <v>462</v>
      </c>
      <c r="C807" s="3" t="s">
        <v>56</v>
      </c>
      <c r="D807" s="3" t="s">
        <v>68</v>
      </c>
      <c r="E807" s="3" t="s">
        <v>100</v>
      </c>
      <c r="F807" s="3" t="s">
        <v>1548</v>
      </c>
      <c r="G807" s="7">
        <v>45808.06569859229</v>
      </c>
    </row>
    <row r="808">
      <c r="A808" s="3" t="s">
        <v>3183</v>
      </c>
      <c r="B808" s="3" t="s">
        <v>615</v>
      </c>
      <c r="C808" s="3" t="s">
        <v>1342</v>
      </c>
      <c r="D808" s="3" t="s">
        <v>68</v>
      </c>
      <c r="E808" s="3" t="s">
        <v>100</v>
      </c>
      <c r="F808" s="3" t="s">
        <v>1493</v>
      </c>
      <c r="G808" s="7">
        <v>45808.1368734377</v>
      </c>
    </row>
    <row r="809">
      <c r="A809" s="3" t="s">
        <v>3186</v>
      </c>
      <c r="B809" s="3" t="s">
        <v>601</v>
      </c>
      <c r="C809" s="3" t="s">
        <v>1095</v>
      </c>
      <c r="D809" s="3" t="s">
        <v>68</v>
      </c>
      <c r="E809" s="3" t="s">
        <v>100</v>
      </c>
      <c r="F809" s="3" t="s">
        <v>1498</v>
      </c>
      <c r="G809" s="7">
        <v>45808.208048283115</v>
      </c>
    </row>
    <row r="810">
      <c r="A810" s="3" t="s">
        <v>3189</v>
      </c>
      <c r="B810" s="3" t="s">
        <v>976</v>
      </c>
      <c r="C810" s="3" t="s">
        <v>1095</v>
      </c>
      <c r="D810" s="3" t="s">
        <v>68</v>
      </c>
      <c r="E810" s="3" t="s">
        <v>100</v>
      </c>
      <c r="F810" s="3" t="s">
        <v>1366</v>
      </c>
      <c r="G810" s="7">
        <v>45808.279223128535</v>
      </c>
    </row>
    <row r="811">
      <c r="A811" s="3" t="s">
        <v>3192</v>
      </c>
      <c r="B811" s="3" t="s">
        <v>796</v>
      </c>
      <c r="C811" s="3" t="s">
        <v>1342</v>
      </c>
      <c r="D811" s="3" t="s">
        <v>68</v>
      </c>
      <c r="E811" s="3" t="s">
        <v>100</v>
      </c>
      <c r="F811" s="3" t="s">
        <v>991</v>
      </c>
      <c r="G811" s="7">
        <v>45808.350397973954</v>
      </c>
    </row>
    <row r="812">
      <c r="A812" s="3" t="s">
        <v>3195</v>
      </c>
      <c r="B812" s="3" t="s">
        <v>731</v>
      </c>
      <c r="C812" s="3" t="s">
        <v>1095</v>
      </c>
      <c r="D812" s="3" t="s">
        <v>181</v>
      </c>
      <c r="E812" s="3" t="s">
        <v>45</v>
      </c>
      <c r="F812" s="3" t="s">
        <v>1526</v>
      </c>
      <c r="G812" s="7">
        <v>45808.42157281936</v>
      </c>
    </row>
    <row r="813">
      <c r="A813" s="3" t="s">
        <v>3198</v>
      </c>
      <c r="B813" s="3" t="s">
        <v>596</v>
      </c>
      <c r="C813" s="3" t="s">
        <v>56</v>
      </c>
      <c r="D813" s="3" t="s">
        <v>68</v>
      </c>
      <c r="E813" s="3" t="s">
        <v>100</v>
      </c>
      <c r="F813" s="3" t="s">
        <v>1549</v>
      </c>
      <c r="G813" s="7">
        <v>45808.49274766478</v>
      </c>
    </row>
    <row r="814">
      <c r="A814" s="3" t="s">
        <v>3201</v>
      </c>
      <c r="B814" s="3" t="s">
        <v>322</v>
      </c>
      <c r="C814" s="3" t="s">
        <v>1095</v>
      </c>
      <c r="D814" s="3" t="s">
        <v>181</v>
      </c>
      <c r="E814" s="3" t="s">
        <v>45</v>
      </c>
      <c r="F814" s="3" t="s">
        <v>1446</v>
      </c>
      <c r="G814" s="7">
        <v>45808.56392251019</v>
      </c>
    </row>
    <row r="815">
      <c r="A815" s="3" t="s">
        <v>3206</v>
      </c>
      <c r="B815" s="3" t="s">
        <v>713</v>
      </c>
      <c r="C815" s="3" t="s">
        <v>1342</v>
      </c>
      <c r="D815" s="3" t="s">
        <v>68</v>
      </c>
      <c r="E815" s="3" t="s">
        <v>100</v>
      </c>
      <c r="F815" s="3" t="s">
        <v>1429</v>
      </c>
      <c r="G815" s="7">
        <v>45808.63509735561</v>
      </c>
    </row>
    <row r="816">
      <c r="A816" s="3" t="s">
        <v>3209</v>
      </c>
      <c r="B816" s="3" t="s">
        <v>637</v>
      </c>
      <c r="C816" s="3" t="s">
        <v>56</v>
      </c>
      <c r="D816" s="3" t="s">
        <v>68</v>
      </c>
      <c r="E816" s="3" t="s">
        <v>100</v>
      </c>
      <c r="F816" s="3" t="s">
        <v>1552</v>
      </c>
      <c r="G816" s="7">
        <v>45808.70627220102</v>
      </c>
    </row>
    <row r="817">
      <c r="A817" s="3" t="s">
        <v>3212</v>
      </c>
      <c r="B817" s="3" t="s">
        <v>373</v>
      </c>
      <c r="C817" s="3" t="s">
        <v>1342</v>
      </c>
      <c r="D817" s="3" t="s">
        <v>68</v>
      </c>
      <c r="E817" s="3" t="s">
        <v>100</v>
      </c>
      <c r="F817" s="3" t="s">
        <v>1543</v>
      </c>
      <c r="G817" s="7">
        <v>45808.77744704644</v>
      </c>
    </row>
    <row r="818">
      <c r="A818" s="3" t="s">
        <v>3216</v>
      </c>
      <c r="B818" s="3" t="s">
        <v>126</v>
      </c>
      <c r="C818" s="3" t="s">
        <v>56</v>
      </c>
      <c r="D818" s="3" t="s">
        <v>68</v>
      </c>
      <c r="E818" s="3" t="s">
        <v>100</v>
      </c>
      <c r="F818" s="3" t="s">
        <v>1553</v>
      </c>
      <c r="G818" s="7">
        <v>45808.84862189185</v>
      </c>
    </row>
    <row r="819">
      <c r="A819" s="3" t="s">
        <v>3220</v>
      </c>
      <c r="B819" s="3" t="s">
        <v>770</v>
      </c>
      <c r="C819" s="3" t="s">
        <v>1342</v>
      </c>
      <c r="D819" s="3" t="s">
        <v>68</v>
      </c>
      <c r="E819" s="3" t="s">
        <v>100</v>
      </c>
      <c r="F819" s="3" t="s">
        <v>1426</v>
      </c>
      <c r="G819" s="7">
        <v>45808.91979673727</v>
      </c>
    </row>
    <row r="820">
      <c r="A820" s="3" t="s">
        <v>3223</v>
      </c>
      <c r="B820" s="3" t="s">
        <v>530</v>
      </c>
      <c r="C820" s="3" t="s">
        <v>56</v>
      </c>
      <c r="D820" s="3" t="s">
        <v>68</v>
      </c>
      <c r="E820" s="3" t="s">
        <v>100</v>
      </c>
      <c r="F820" s="3" t="s">
        <v>1557</v>
      </c>
      <c r="G820" s="7">
        <v>45808.99097158269</v>
      </c>
    </row>
    <row r="821">
      <c r="A821" s="3" t="s">
        <v>3226</v>
      </c>
      <c r="B821" s="3" t="s">
        <v>336</v>
      </c>
      <c r="C821" s="3" t="s">
        <v>56</v>
      </c>
      <c r="D821" s="3" t="s">
        <v>68</v>
      </c>
      <c r="E821" s="3" t="s">
        <v>100</v>
      </c>
      <c r="F821" s="3" t="s">
        <v>1558</v>
      </c>
      <c r="G821" s="7">
        <v>45809.0621464281</v>
      </c>
    </row>
    <row r="822">
      <c r="A822" s="3" t="s">
        <v>3229</v>
      </c>
      <c r="B822" s="3" t="s">
        <v>266</v>
      </c>
      <c r="C822" s="3" t="s">
        <v>1342</v>
      </c>
      <c r="D822" s="3" t="s">
        <v>181</v>
      </c>
      <c r="E822" s="3" t="s">
        <v>45</v>
      </c>
      <c r="F822" s="3" t="s">
        <v>1060</v>
      </c>
      <c r="G822" s="7">
        <v>45809.13332127351</v>
      </c>
    </row>
    <row r="823">
      <c r="A823" s="3" t="s">
        <v>3232</v>
      </c>
      <c r="B823" s="3" t="s">
        <v>1043</v>
      </c>
      <c r="C823" s="3" t="s">
        <v>56</v>
      </c>
      <c r="D823" s="3" t="s">
        <v>68</v>
      </c>
      <c r="E823" s="3" t="s">
        <v>100</v>
      </c>
      <c r="F823" s="3" t="s">
        <v>1560</v>
      </c>
      <c r="G823" s="7">
        <v>45809.20449611893</v>
      </c>
    </row>
    <row r="824">
      <c r="A824" s="3" t="s">
        <v>3234</v>
      </c>
      <c r="B824" s="3" t="s">
        <v>629</v>
      </c>
      <c r="C824" s="3" t="s">
        <v>56</v>
      </c>
      <c r="D824" s="3" t="s">
        <v>68</v>
      </c>
      <c r="E824" s="3" t="s">
        <v>100</v>
      </c>
      <c r="F824" s="3" t="s">
        <v>1563</v>
      </c>
      <c r="G824" s="7">
        <v>45809.27567096434</v>
      </c>
    </row>
    <row r="825">
      <c r="A825" s="3" t="s">
        <v>3238</v>
      </c>
      <c r="B825" s="3" t="s">
        <v>993</v>
      </c>
      <c r="C825" s="3" t="s">
        <v>1095</v>
      </c>
      <c r="D825" s="3" t="s">
        <v>68</v>
      </c>
      <c r="E825" s="3" t="s">
        <v>100</v>
      </c>
      <c r="F825" s="3" t="s">
        <v>1297</v>
      </c>
      <c r="G825" s="7">
        <v>45809.346845809756</v>
      </c>
    </row>
    <row r="826">
      <c r="A826" s="3" t="s">
        <v>3241</v>
      </c>
      <c r="B826" s="3" t="s">
        <v>455</v>
      </c>
      <c r="C826" s="3" t="s">
        <v>56</v>
      </c>
      <c r="D826" s="3" t="s">
        <v>68</v>
      </c>
      <c r="E826" s="3" t="s">
        <v>100</v>
      </c>
      <c r="F826" s="3" t="s">
        <v>1564</v>
      </c>
      <c r="G826" s="7">
        <v>45809.418020655175</v>
      </c>
    </row>
    <row r="827">
      <c r="A827" s="3" t="s">
        <v>3244</v>
      </c>
      <c r="B827" s="3" t="s">
        <v>175</v>
      </c>
      <c r="C827" s="3" t="s">
        <v>56</v>
      </c>
      <c r="D827" s="3" t="s">
        <v>68</v>
      </c>
      <c r="E827" s="3" t="s">
        <v>100</v>
      </c>
      <c r="F827" s="3" t="s">
        <v>1566</v>
      </c>
      <c r="G827" s="7">
        <v>45809.489195500595</v>
      </c>
    </row>
    <row r="828">
      <c r="A828" s="3" t="s">
        <v>3247</v>
      </c>
      <c r="B828" s="3" t="s">
        <v>507</v>
      </c>
      <c r="C828" s="3" t="s">
        <v>1095</v>
      </c>
      <c r="D828" s="3" t="s">
        <v>68</v>
      </c>
      <c r="E828" s="3" t="s">
        <v>100</v>
      </c>
      <c r="F828" s="3" t="s">
        <v>1289</v>
      </c>
      <c r="G828" s="7">
        <v>45809.560370346</v>
      </c>
    </row>
    <row r="829">
      <c r="A829" s="3" t="s">
        <v>3250</v>
      </c>
      <c r="B829" s="3" t="s">
        <v>746</v>
      </c>
      <c r="C829" s="3" t="s">
        <v>56</v>
      </c>
      <c r="D829" s="3" t="s">
        <v>68</v>
      </c>
      <c r="E829" s="3" t="s">
        <v>100</v>
      </c>
      <c r="F829" s="3" t="s">
        <v>1569</v>
      </c>
      <c r="G829" s="7">
        <v>45809.63154519142</v>
      </c>
    </row>
    <row r="830">
      <c r="A830" s="3" t="s">
        <v>3253</v>
      </c>
      <c r="B830" s="3" t="s">
        <v>746</v>
      </c>
      <c r="C830" s="3" t="s">
        <v>1342</v>
      </c>
      <c r="D830" s="3" t="s">
        <v>68</v>
      </c>
      <c r="E830" s="3" t="s">
        <v>100</v>
      </c>
      <c r="F830" s="3" t="s">
        <v>1569</v>
      </c>
      <c r="G830" s="7">
        <v>45809.70272003683</v>
      </c>
    </row>
    <row r="831">
      <c r="A831" s="3" t="s">
        <v>3256</v>
      </c>
      <c r="B831" s="3" t="s">
        <v>442</v>
      </c>
      <c r="C831" s="3" t="s">
        <v>1342</v>
      </c>
      <c r="D831" s="3" t="s">
        <v>68</v>
      </c>
      <c r="E831" s="3" t="s">
        <v>100</v>
      </c>
      <c r="F831" s="3" t="s">
        <v>977</v>
      </c>
      <c r="G831" s="7">
        <v>45809.77389488225</v>
      </c>
    </row>
    <row r="832">
      <c r="A832" s="3" t="s">
        <v>3259</v>
      </c>
      <c r="B832" s="3" t="s">
        <v>785</v>
      </c>
      <c r="C832" s="3" t="s">
        <v>1342</v>
      </c>
      <c r="D832" s="3" t="s">
        <v>68</v>
      </c>
      <c r="E832" s="3" t="s">
        <v>100</v>
      </c>
      <c r="F832" s="3" t="s">
        <v>985</v>
      </c>
      <c r="G832" s="7">
        <v>45809.845069727664</v>
      </c>
    </row>
    <row r="833">
      <c r="A833" s="3" t="s">
        <v>3262</v>
      </c>
      <c r="B833" s="3" t="s">
        <v>468</v>
      </c>
      <c r="C833" s="3" t="s">
        <v>56</v>
      </c>
      <c r="D833" s="3" t="s">
        <v>68</v>
      </c>
      <c r="E833" s="3" t="s">
        <v>100</v>
      </c>
      <c r="F833" s="3" t="s">
        <v>1570</v>
      </c>
      <c r="G833" s="7">
        <v>45809.91624457308</v>
      </c>
    </row>
    <row r="834">
      <c r="A834" s="3" t="s">
        <v>3265</v>
      </c>
      <c r="B834" s="3" t="s">
        <v>903</v>
      </c>
      <c r="C834" s="3" t="s">
        <v>1095</v>
      </c>
      <c r="D834" s="3" t="s">
        <v>68</v>
      </c>
      <c r="E834" s="3" t="s">
        <v>100</v>
      </c>
      <c r="F834" s="3" t="s">
        <v>1148</v>
      </c>
      <c r="G834" s="7">
        <v>45809.987419418496</v>
      </c>
    </row>
    <row r="835">
      <c r="A835" s="3" t="s">
        <v>3270</v>
      </c>
      <c r="B835" s="3" t="s">
        <v>546</v>
      </c>
      <c r="C835" s="3" t="s">
        <v>1342</v>
      </c>
      <c r="D835" s="3" t="s">
        <v>68</v>
      </c>
      <c r="E835" s="3" t="s">
        <v>100</v>
      </c>
      <c r="F835" s="3" t="s">
        <v>1512</v>
      </c>
      <c r="G835" s="7">
        <v>45810.05859426391</v>
      </c>
    </row>
    <row r="836">
      <c r="A836" s="3" t="s">
        <v>3273</v>
      </c>
      <c r="B836" s="3" t="s">
        <v>672</v>
      </c>
      <c r="C836" s="3" t="s">
        <v>56</v>
      </c>
      <c r="D836" s="3" t="s">
        <v>68</v>
      </c>
      <c r="E836" s="3" t="s">
        <v>100</v>
      </c>
      <c r="F836" s="3" t="s">
        <v>1572</v>
      </c>
      <c r="G836" s="7">
        <v>45810.12976910933</v>
      </c>
    </row>
    <row r="837">
      <c r="A837" s="3" t="s">
        <v>3276</v>
      </c>
      <c r="B837" s="3" t="s">
        <v>796</v>
      </c>
      <c r="C837" s="3" t="s">
        <v>1342</v>
      </c>
      <c r="D837" s="3" t="s">
        <v>68</v>
      </c>
      <c r="E837" s="3" t="s">
        <v>100</v>
      </c>
      <c r="F837" s="3" t="s">
        <v>991</v>
      </c>
      <c r="G837" s="7">
        <v>45810.20094395474</v>
      </c>
    </row>
    <row r="838">
      <c r="A838" s="3" t="s">
        <v>3280</v>
      </c>
      <c r="B838" s="3" t="s">
        <v>527</v>
      </c>
      <c r="C838" s="3" t="s">
        <v>1342</v>
      </c>
      <c r="D838" s="3" t="s">
        <v>68</v>
      </c>
      <c r="E838" s="3" t="s">
        <v>100</v>
      </c>
      <c r="F838" s="3" t="s">
        <v>1343</v>
      </c>
      <c r="G838" s="7">
        <v>45810.27211880015</v>
      </c>
    </row>
    <row r="839">
      <c r="A839" s="3" t="s">
        <v>3283</v>
      </c>
      <c r="B839" s="3" t="s">
        <v>488</v>
      </c>
      <c r="C839" s="3" t="s">
        <v>56</v>
      </c>
      <c r="D839" s="3" t="s">
        <v>68</v>
      </c>
      <c r="E839" s="3" t="s">
        <v>100</v>
      </c>
      <c r="F839" s="3" t="s">
        <v>1575</v>
      </c>
      <c r="G839" s="7">
        <v>45810.34329364557</v>
      </c>
    </row>
    <row r="840">
      <c r="A840" s="3" t="s">
        <v>3286</v>
      </c>
      <c r="B840" s="3" t="s">
        <v>822</v>
      </c>
      <c r="C840" s="3" t="s">
        <v>56</v>
      </c>
      <c r="D840" s="3" t="s">
        <v>68</v>
      </c>
      <c r="E840" s="3" t="s">
        <v>100</v>
      </c>
      <c r="F840" s="3" t="s">
        <v>1576</v>
      </c>
      <c r="G840" s="7">
        <v>45810.414468490984</v>
      </c>
    </row>
    <row r="841">
      <c r="A841" s="3" t="s">
        <v>3290</v>
      </c>
      <c r="B841" s="3" t="s">
        <v>356</v>
      </c>
      <c r="C841" s="3" t="s">
        <v>1095</v>
      </c>
      <c r="D841" s="3" t="s">
        <v>68</v>
      </c>
      <c r="E841" s="3" t="s">
        <v>100</v>
      </c>
      <c r="F841" s="3" t="s">
        <v>849</v>
      </c>
      <c r="G841" s="7">
        <v>45810.4856433364</v>
      </c>
    </row>
    <row r="842">
      <c r="A842" s="3" t="s">
        <v>3293</v>
      </c>
      <c r="B842" s="3" t="s">
        <v>204</v>
      </c>
      <c r="C842" s="3" t="s">
        <v>1342</v>
      </c>
      <c r="D842" s="3" t="s">
        <v>68</v>
      </c>
      <c r="E842" s="3" t="s">
        <v>100</v>
      </c>
      <c r="F842" s="3" t="s">
        <v>1268</v>
      </c>
      <c r="G842" s="7">
        <v>45810.556818181816</v>
      </c>
    </row>
    <row r="843">
      <c r="A843" s="3" t="s">
        <v>3296</v>
      </c>
      <c r="B843" s="3" t="s">
        <v>282</v>
      </c>
      <c r="C843" s="3" t="s">
        <v>56</v>
      </c>
      <c r="D843" s="3" t="s">
        <v>68</v>
      </c>
      <c r="E843" s="3" t="s">
        <v>100</v>
      </c>
      <c r="F843" s="3" t="s">
        <v>1579</v>
      </c>
      <c r="G843" s="7">
        <v>45810.627993027236</v>
      </c>
    </row>
    <row r="844">
      <c r="A844" s="3" t="s">
        <v>3299</v>
      </c>
      <c r="B844" s="3" t="s">
        <v>148</v>
      </c>
      <c r="C844" s="3" t="s">
        <v>56</v>
      </c>
      <c r="D844" s="3" t="s">
        <v>68</v>
      </c>
      <c r="E844" s="3" t="s">
        <v>100</v>
      </c>
      <c r="F844" s="3" t="s">
        <v>1581</v>
      </c>
      <c r="G844" s="7">
        <v>45810.69916787264</v>
      </c>
    </row>
    <row r="845">
      <c r="A845" s="3" t="s">
        <v>3302</v>
      </c>
      <c r="B845" s="3" t="s">
        <v>373</v>
      </c>
      <c r="C845" s="3" t="s">
        <v>1095</v>
      </c>
      <c r="D845" s="3" t="s">
        <v>181</v>
      </c>
      <c r="E845" s="3" t="s">
        <v>45</v>
      </c>
      <c r="F845" s="3" t="s">
        <v>1543</v>
      </c>
      <c r="G845" s="7">
        <v>45810.77034271806</v>
      </c>
    </row>
    <row r="846">
      <c r="A846" s="3" t="s">
        <v>3305</v>
      </c>
      <c r="B846" s="3" t="s">
        <v>662</v>
      </c>
      <c r="C846" s="3" t="s">
        <v>1342</v>
      </c>
      <c r="D846" s="3" t="s">
        <v>68</v>
      </c>
      <c r="E846" s="3" t="s">
        <v>100</v>
      </c>
      <c r="F846" s="3" t="s">
        <v>1274</v>
      </c>
      <c r="G846" s="7">
        <v>45810.84151756348</v>
      </c>
    </row>
    <row r="847">
      <c r="A847" s="3" t="s">
        <v>3308</v>
      </c>
      <c r="B847" s="3" t="s">
        <v>658</v>
      </c>
      <c r="C847" s="3" t="s">
        <v>1095</v>
      </c>
      <c r="D847" s="3" t="s">
        <v>68</v>
      </c>
      <c r="E847" s="3" t="s">
        <v>100</v>
      </c>
      <c r="F847" s="3" t="s">
        <v>942</v>
      </c>
      <c r="G847" s="7">
        <v>45810.91269240889</v>
      </c>
    </row>
    <row r="848">
      <c r="A848" s="3" t="s">
        <v>3311</v>
      </c>
      <c r="B848" s="3" t="s">
        <v>186</v>
      </c>
      <c r="C848" s="3" t="s">
        <v>1342</v>
      </c>
      <c r="D848" s="3" t="s">
        <v>68</v>
      </c>
      <c r="E848" s="3" t="s">
        <v>100</v>
      </c>
      <c r="F848" s="3" t="s">
        <v>1278</v>
      </c>
      <c r="G848" s="7">
        <v>45810.983867254305</v>
      </c>
    </row>
    <row r="849">
      <c r="A849" s="3" t="s">
        <v>3314</v>
      </c>
      <c r="B849" s="3" t="s">
        <v>632</v>
      </c>
      <c r="C849" s="3" t="s">
        <v>1342</v>
      </c>
      <c r="D849" s="3" t="s">
        <v>68</v>
      </c>
      <c r="E849" s="3" t="s">
        <v>100</v>
      </c>
      <c r="F849" s="3" t="s">
        <v>1546</v>
      </c>
      <c r="G849" s="7">
        <v>45811.055042099724</v>
      </c>
    </row>
    <row r="850">
      <c r="A850" s="3" t="s">
        <v>3317</v>
      </c>
      <c r="B850" s="3" t="s">
        <v>717</v>
      </c>
      <c r="C850" s="3" t="s">
        <v>56</v>
      </c>
      <c r="D850" s="3" t="s">
        <v>68</v>
      </c>
      <c r="E850" s="3" t="s">
        <v>100</v>
      </c>
      <c r="F850" s="3" t="s">
        <v>1583</v>
      </c>
      <c r="G850" s="7">
        <v>45811.12621694514</v>
      </c>
    </row>
    <row r="851">
      <c r="A851" s="3" t="s">
        <v>3320</v>
      </c>
      <c r="B851" s="3" t="s">
        <v>475</v>
      </c>
      <c r="C851" s="3" t="s">
        <v>1342</v>
      </c>
      <c r="D851" s="3" t="s">
        <v>68</v>
      </c>
      <c r="E851" s="3" t="s">
        <v>100</v>
      </c>
      <c r="F851" s="3" t="s">
        <v>1272</v>
      </c>
      <c r="G851" s="7">
        <v>45811.19739179055</v>
      </c>
    </row>
    <row r="852">
      <c r="A852" s="3" t="s">
        <v>3323</v>
      </c>
      <c r="B852" s="3" t="s">
        <v>591</v>
      </c>
      <c r="C852" s="3" t="s">
        <v>56</v>
      </c>
      <c r="D852" s="3" t="s">
        <v>68</v>
      </c>
      <c r="E852" s="3" t="s">
        <v>100</v>
      </c>
      <c r="F852" s="3" t="s">
        <v>1586</v>
      </c>
      <c r="G852" s="7">
        <v>45811.26856663597</v>
      </c>
    </row>
    <row r="853">
      <c r="A853" s="3" t="s">
        <v>3327</v>
      </c>
      <c r="B853" s="3" t="s">
        <v>742</v>
      </c>
      <c r="C853" s="3" t="s">
        <v>1095</v>
      </c>
      <c r="D853" s="3" t="s">
        <v>68</v>
      </c>
      <c r="E853" s="3" t="s">
        <v>100</v>
      </c>
      <c r="F853" s="3" t="s">
        <v>1418</v>
      </c>
      <c r="G853" s="7">
        <v>45811.33974148139</v>
      </c>
    </row>
    <row r="854">
      <c r="A854" s="3" t="s">
        <v>3329</v>
      </c>
      <c r="B854" s="3" t="s">
        <v>579</v>
      </c>
      <c r="C854" s="3" t="s">
        <v>1095</v>
      </c>
      <c r="D854" s="3" t="s">
        <v>68</v>
      </c>
      <c r="E854" s="3" t="s">
        <v>100</v>
      </c>
      <c r="F854" s="3" t="s">
        <v>1007</v>
      </c>
      <c r="G854" s="7">
        <v>45811.41091632679</v>
      </c>
    </row>
    <row r="855">
      <c r="A855" s="3" t="s">
        <v>3331</v>
      </c>
      <c r="B855" s="3" t="s">
        <v>961</v>
      </c>
      <c r="C855" s="3" t="s">
        <v>1095</v>
      </c>
      <c r="D855" s="3" t="s">
        <v>68</v>
      </c>
      <c r="E855" s="3" t="s">
        <v>100</v>
      </c>
      <c r="F855" s="3" t="s">
        <v>1390</v>
      </c>
      <c r="G855" s="7">
        <v>45811.48209117221</v>
      </c>
    </row>
    <row r="856">
      <c r="A856" s="3" t="s">
        <v>3333</v>
      </c>
      <c r="B856" s="3" t="s">
        <v>519</v>
      </c>
      <c r="C856" s="3" t="s">
        <v>56</v>
      </c>
      <c r="D856" s="3" t="s">
        <v>68</v>
      </c>
      <c r="E856" s="3" t="s">
        <v>100</v>
      </c>
      <c r="F856" s="3" t="s">
        <v>1587</v>
      </c>
      <c r="G856" s="7">
        <v>45811.553266017625</v>
      </c>
    </row>
    <row r="857">
      <c r="A857" s="3" t="s">
        <v>3336</v>
      </c>
      <c r="B857" s="3" t="s">
        <v>990</v>
      </c>
      <c r="C857" s="3" t="s">
        <v>1342</v>
      </c>
      <c r="D857" s="3" t="s">
        <v>68</v>
      </c>
      <c r="E857" s="3" t="s">
        <v>100</v>
      </c>
      <c r="F857" s="3" t="s">
        <v>1206</v>
      </c>
      <c r="G857" s="7">
        <v>45811.624440863045</v>
      </c>
    </row>
    <row r="858">
      <c r="A858" s="3" t="s">
        <v>3339</v>
      </c>
      <c r="B858" s="3" t="s">
        <v>472</v>
      </c>
      <c r="C858" s="3" t="s">
        <v>1095</v>
      </c>
      <c r="D858" s="3" t="s">
        <v>195</v>
      </c>
      <c r="E858" s="3" t="s">
        <v>45</v>
      </c>
      <c r="F858" s="3" t="s">
        <v>1501</v>
      </c>
      <c r="G858" s="7">
        <v>45811.69561570846</v>
      </c>
    </row>
    <row r="859">
      <c r="A859" s="3" t="s">
        <v>3342</v>
      </c>
      <c r="B859" s="3" t="s">
        <v>462</v>
      </c>
      <c r="C859" s="3" t="s">
        <v>1342</v>
      </c>
      <c r="D859" s="3" t="s">
        <v>68</v>
      </c>
      <c r="E859" s="3" t="s">
        <v>100</v>
      </c>
      <c r="F859" s="3" t="s">
        <v>1548</v>
      </c>
      <c r="G859" s="7">
        <v>45811.76679055388</v>
      </c>
    </row>
    <row r="860">
      <c r="A860" s="3" t="s">
        <v>3347</v>
      </c>
      <c r="B860" s="3" t="s">
        <v>682</v>
      </c>
      <c r="C860" s="3" t="s">
        <v>1095</v>
      </c>
      <c r="D860" s="3" t="s">
        <v>195</v>
      </c>
      <c r="E860" s="3" t="s">
        <v>45</v>
      </c>
      <c r="F860" s="3" t="s">
        <v>1004</v>
      </c>
      <c r="G860" s="7">
        <v>45811.83796539928</v>
      </c>
    </row>
    <row r="861">
      <c r="A861" s="3" t="s">
        <v>3350</v>
      </c>
      <c r="B861" s="3" t="s">
        <v>773</v>
      </c>
      <c r="C861" s="3" t="s">
        <v>56</v>
      </c>
      <c r="D861" s="3" t="s">
        <v>68</v>
      </c>
      <c r="E861" s="3" t="s">
        <v>100</v>
      </c>
      <c r="F861" s="3" t="s">
        <v>1589</v>
      </c>
      <c r="G861" s="7">
        <v>45811.9091402447</v>
      </c>
    </row>
    <row r="862">
      <c r="A862" s="3" t="s">
        <v>3354</v>
      </c>
      <c r="B862" s="3" t="s">
        <v>601</v>
      </c>
      <c r="C862" s="3" t="s">
        <v>56</v>
      </c>
      <c r="D862" s="3" t="s">
        <v>68</v>
      </c>
      <c r="E862" s="3" t="s">
        <v>100</v>
      </c>
      <c r="F862" s="3" t="s">
        <v>1591</v>
      </c>
      <c r="G862" s="7">
        <v>45811.98031509012</v>
      </c>
    </row>
    <row r="863">
      <c r="A863" s="3" t="s">
        <v>3357</v>
      </c>
      <c r="B863" s="3" t="s">
        <v>547</v>
      </c>
      <c r="C863" s="3" t="s">
        <v>1095</v>
      </c>
      <c r="D863" s="3" t="s">
        <v>68</v>
      </c>
      <c r="E863" s="3" t="s">
        <v>100</v>
      </c>
      <c r="F863" s="3" t="s">
        <v>928</v>
      </c>
      <c r="G863" s="7">
        <v>45812.05148993553</v>
      </c>
    </row>
    <row r="864">
      <c r="A864" s="3" t="s">
        <v>3360</v>
      </c>
      <c r="B864" s="3" t="s">
        <v>330</v>
      </c>
      <c r="C864" s="3" t="s">
        <v>56</v>
      </c>
      <c r="D864" s="3" t="s">
        <v>68</v>
      </c>
      <c r="E864" s="3" t="s">
        <v>100</v>
      </c>
      <c r="F864" s="3" t="s">
        <v>1593</v>
      </c>
      <c r="G864" s="7">
        <v>45812.122664780945</v>
      </c>
    </row>
    <row r="865">
      <c r="A865" s="3" t="s">
        <v>3364</v>
      </c>
      <c r="B865" s="3" t="s">
        <v>615</v>
      </c>
      <c r="C865" s="3" t="s">
        <v>1342</v>
      </c>
      <c r="D865" s="3" t="s">
        <v>68</v>
      </c>
      <c r="E865" s="3" t="s">
        <v>100</v>
      </c>
      <c r="F865" s="3" t="s">
        <v>1493</v>
      </c>
      <c r="G865" s="7">
        <v>45812.193839626365</v>
      </c>
    </row>
    <row r="866">
      <c r="A866" s="3" t="s">
        <v>3367</v>
      </c>
      <c r="B866" s="3" t="s">
        <v>137</v>
      </c>
      <c r="C866" s="3" t="s">
        <v>56</v>
      </c>
      <c r="D866" s="3" t="s">
        <v>68</v>
      </c>
      <c r="E866" s="3" t="s">
        <v>100</v>
      </c>
      <c r="F866" s="3" t="s">
        <v>1595</v>
      </c>
      <c r="G866" s="7">
        <v>45812.26501447178</v>
      </c>
    </row>
    <row r="867">
      <c r="A867" s="3" t="s">
        <v>3370</v>
      </c>
      <c r="B867" s="3" t="s">
        <v>485</v>
      </c>
      <c r="C867" s="3" t="s">
        <v>1342</v>
      </c>
      <c r="D867" s="3" t="s">
        <v>68</v>
      </c>
      <c r="E867" s="3" t="s">
        <v>100</v>
      </c>
      <c r="F867" s="3" t="s">
        <v>532</v>
      </c>
      <c r="G867" s="7">
        <v>45812.33618931719</v>
      </c>
    </row>
    <row r="868">
      <c r="A868" s="3" t="s">
        <v>3373</v>
      </c>
      <c r="B868" s="3" t="s">
        <v>767</v>
      </c>
      <c r="C868" s="3" t="s">
        <v>1342</v>
      </c>
      <c r="D868" s="3" t="s">
        <v>68</v>
      </c>
      <c r="E868" s="3" t="s">
        <v>100</v>
      </c>
      <c r="F868" s="3" t="s">
        <v>526</v>
      </c>
      <c r="G868" s="7">
        <v>45812.40736416261</v>
      </c>
    </row>
    <row r="869">
      <c r="A869" s="3" t="s">
        <v>3376</v>
      </c>
      <c r="B869" s="3" t="s">
        <v>557</v>
      </c>
      <c r="C869" s="3" t="s">
        <v>1095</v>
      </c>
      <c r="D869" s="3" t="s">
        <v>181</v>
      </c>
      <c r="E869" s="3" t="s">
        <v>45</v>
      </c>
      <c r="F869" s="3" t="s">
        <v>1270</v>
      </c>
      <c r="G869" s="7">
        <v>45812.47853900803</v>
      </c>
    </row>
    <row r="870">
      <c r="A870" s="3" t="s">
        <v>3379</v>
      </c>
      <c r="B870" s="3" t="s">
        <v>619</v>
      </c>
      <c r="C870" s="3" t="s">
        <v>56</v>
      </c>
      <c r="D870" s="3" t="s">
        <v>68</v>
      </c>
      <c r="E870" s="3" t="s">
        <v>100</v>
      </c>
      <c r="F870" s="3" t="s">
        <v>1597</v>
      </c>
      <c r="G870" s="7">
        <v>45812.549713853434</v>
      </c>
    </row>
    <row r="871">
      <c r="A871" s="3" t="s">
        <v>3382</v>
      </c>
      <c r="B871" s="3" t="s">
        <v>972</v>
      </c>
      <c r="C871" s="3" t="s">
        <v>1342</v>
      </c>
      <c r="D871" s="3" t="s">
        <v>68</v>
      </c>
      <c r="E871" s="3" t="s">
        <v>100</v>
      </c>
      <c r="F871" s="3" t="s">
        <v>1346</v>
      </c>
      <c r="G871" s="7">
        <v>45812.62088869885</v>
      </c>
    </row>
    <row r="872">
      <c r="A872" s="3" t="s">
        <v>3385</v>
      </c>
      <c r="B872" s="3" t="s">
        <v>922</v>
      </c>
      <c r="C872" s="3" t="s">
        <v>56</v>
      </c>
      <c r="D872" s="3" t="s">
        <v>181</v>
      </c>
      <c r="E872" s="3" t="s">
        <v>45</v>
      </c>
      <c r="F872" s="3" t="s">
        <v>45</v>
      </c>
      <c r="G872" s="7">
        <v>45812.692063544266</v>
      </c>
    </row>
    <row r="873">
      <c r="A873" s="3" t="s">
        <v>3388</v>
      </c>
      <c r="B873" s="3" t="s">
        <v>533</v>
      </c>
      <c r="C873" s="3" t="s">
        <v>1095</v>
      </c>
      <c r="D873" s="3" t="s">
        <v>68</v>
      </c>
      <c r="E873" s="3" t="s">
        <v>100</v>
      </c>
      <c r="F873" s="3" t="s">
        <v>1335</v>
      </c>
      <c r="G873" s="7">
        <v>45812.763238389685</v>
      </c>
    </row>
    <row r="874">
      <c r="A874" s="3" t="s">
        <v>3391</v>
      </c>
      <c r="B874" s="3" t="s">
        <v>789</v>
      </c>
      <c r="C874" s="3" t="s">
        <v>1342</v>
      </c>
      <c r="D874" s="3" t="s">
        <v>68</v>
      </c>
      <c r="E874" s="3" t="s">
        <v>100</v>
      </c>
      <c r="F874" s="3" t="s">
        <v>1469</v>
      </c>
      <c r="G874" s="7">
        <v>45812.8344132351</v>
      </c>
    </row>
    <row r="875">
      <c r="A875" s="3" t="s">
        <v>3394</v>
      </c>
      <c r="B875" s="3" t="s">
        <v>746</v>
      </c>
      <c r="C875" s="3" t="s">
        <v>1095</v>
      </c>
      <c r="D875" s="3" t="s">
        <v>68</v>
      </c>
      <c r="E875" s="3" t="s">
        <v>100</v>
      </c>
      <c r="F875" s="3" t="s">
        <v>1569</v>
      </c>
      <c r="G875" s="7">
        <v>45812.90558808052</v>
      </c>
    </row>
    <row r="876">
      <c r="A876" s="3" t="s">
        <v>3397</v>
      </c>
      <c r="B876" s="3" t="s">
        <v>369</v>
      </c>
      <c r="C876" s="3" t="s">
        <v>1342</v>
      </c>
      <c r="D876" s="3" t="s">
        <v>68</v>
      </c>
      <c r="E876" s="3" t="s">
        <v>100</v>
      </c>
      <c r="F876" s="3" t="s">
        <v>1509</v>
      </c>
      <c r="G876" s="7">
        <v>45812.97676292593</v>
      </c>
    </row>
    <row r="877">
      <c r="A877" s="3" t="s">
        <v>3400</v>
      </c>
      <c r="B877" s="3" t="s">
        <v>219</v>
      </c>
      <c r="C877" s="3" t="s">
        <v>1342</v>
      </c>
      <c r="D877" s="3" t="s">
        <v>68</v>
      </c>
      <c r="E877" s="3" t="s">
        <v>100</v>
      </c>
      <c r="F877" s="3" t="s">
        <v>1542</v>
      </c>
      <c r="G877" s="7">
        <v>45813.04793777134</v>
      </c>
    </row>
    <row r="878">
      <c r="A878" s="3" t="s">
        <v>3403</v>
      </c>
      <c r="B878" s="3" t="s">
        <v>778</v>
      </c>
      <c r="C878" s="3" t="s">
        <v>1095</v>
      </c>
      <c r="D878" s="3" t="s">
        <v>68</v>
      </c>
      <c r="E878" s="3" t="s">
        <v>100</v>
      </c>
      <c r="F878" s="3" t="s">
        <v>923</v>
      </c>
      <c r="G878" s="7">
        <v>45813.11911261676</v>
      </c>
    </row>
    <row r="879">
      <c r="A879" s="3" t="s">
        <v>3406</v>
      </c>
      <c r="B879" s="3" t="s">
        <v>269</v>
      </c>
      <c r="C879" s="3" t="s">
        <v>56</v>
      </c>
      <c r="D879" s="3" t="s">
        <v>195</v>
      </c>
      <c r="E879" s="3" t="s">
        <v>45</v>
      </c>
      <c r="F879" s="3" t="s">
        <v>45</v>
      </c>
      <c r="G879" s="7">
        <v>45813.190287462174</v>
      </c>
    </row>
    <row r="880">
      <c r="A880" s="3" t="s">
        <v>3409</v>
      </c>
      <c r="B880" s="3" t="s">
        <v>870</v>
      </c>
      <c r="C880" s="3" t="s">
        <v>1095</v>
      </c>
      <c r="D880" s="3" t="s">
        <v>68</v>
      </c>
      <c r="E880" s="3" t="s">
        <v>100</v>
      </c>
      <c r="F880" s="3" t="s">
        <v>1138</v>
      </c>
      <c r="G880" s="7">
        <v>45813.261462307586</v>
      </c>
    </row>
    <row r="881">
      <c r="A881" s="3" t="s">
        <v>3412</v>
      </c>
      <c r="B881" s="3" t="s">
        <v>682</v>
      </c>
      <c r="C881" s="3" t="s">
        <v>1342</v>
      </c>
      <c r="D881" s="3" t="s">
        <v>68</v>
      </c>
      <c r="E881" s="3" t="s">
        <v>100</v>
      </c>
      <c r="F881" s="3" t="s">
        <v>1004</v>
      </c>
      <c r="G881" s="7">
        <v>45813.332637153006</v>
      </c>
    </row>
    <row r="882">
      <c r="A882" s="3" t="s">
        <v>3415</v>
      </c>
      <c r="B882" s="3" t="s">
        <v>593</v>
      </c>
      <c r="C882" s="3" t="s">
        <v>56</v>
      </c>
      <c r="D882" s="3" t="s">
        <v>68</v>
      </c>
      <c r="E882" s="3" t="s">
        <v>100</v>
      </c>
      <c r="F882" s="3" t="s">
        <v>1598</v>
      </c>
      <c r="G882" s="7">
        <v>45813.40381199842</v>
      </c>
    </row>
    <row r="883">
      <c r="A883" s="3" t="s">
        <v>3419</v>
      </c>
      <c r="B883" s="3" t="s">
        <v>600</v>
      </c>
      <c r="C883" s="3" t="s">
        <v>1342</v>
      </c>
      <c r="D883" s="3" t="s">
        <v>68</v>
      </c>
      <c r="E883" s="3" t="s">
        <v>100</v>
      </c>
      <c r="F883" s="3" t="s">
        <v>1251</v>
      </c>
      <c r="G883" s="7">
        <v>45813.47498684383</v>
      </c>
    </row>
    <row r="884">
      <c r="A884" s="3" t="s">
        <v>3423</v>
      </c>
      <c r="B884" s="3" t="s">
        <v>344</v>
      </c>
      <c r="C884" s="3" t="s">
        <v>56</v>
      </c>
      <c r="D884" s="3" t="s">
        <v>181</v>
      </c>
      <c r="E884" s="3" t="s">
        <v>45</v>
      </c>
      <c r="F884" s="3" t="s">
        <v>45</v>
      </c>
      <c r="G884" s="7">
        <v>45813.54616168925</v>
      </c>
    </row>
    <row r="885">
      <c r="A885" s="3" t="s">
        <v>3426</v>
      </c>
      <c r="B885" s="3" t="s">
        <v>411</v>
      </c>
      <c r="C885" s="3" t="s">
        <v>1095</v>
      </c>
      <c r="D885" s="3" t="s">
        <v>68</v>
      </c>
      <c r="E885" s="3" t="s">
        <v>100</v>
      </c>
      <c r="F885" s="3" t="s">
        <v>1438</v>
      </c>
      <c r="G885" s="7">
        <v>45813.61733653467</v>
      </c>
    </row>
    <row r="886">
      <c r="A886" s="3" t="s">
        <v>3429</v>
      </c>
      <c r="B886" s="3" t="s">
        <v>883</v>
      </c>
      <c r="C886" s="3" t="s">
        <v>1095</v>
      </c>
      <c r="D886" s="3" t="s">
        <v>68</v>
      </c>
      <c r="E886" s="3" t="s">
        <v>100</v>
      </c>
      <c r="F886" s="3" t="s">
        <v>1354</v>
      </c>
      <c r="G886" s="7">
        <v>45813.688511380074</v>
      </c>
    </row>
    <row r="887">
      <c r="A887" s="3" t="s">
        <v>3432</v>
      </c>
      <c r="B887" s="3" t="s">
        <v>622</v>
      </c>
      <c r="C887" s="3" t="s">
        <v>1095</v>
      </c>
      <c r="D887" s="3" t="s">
        <v>68</v>
      </c>
      <c r="E887" s="3" t="s">
        <v>100</v>
      </c>
      <c r="F887" s="3" t="s">
        <v>1074</v>
      </c>
      <c r="G887" s="7">
        <v>45813.759686225494</v>
      </c>
    </row>
    <row r="888">
      <c r="A888" s="3" t="s">
        <v>3435</v>
      </c>
      <c r="B888" s="3" t="s">
        <v>569</v>
      </c>
      <c r="C888" s="3" t="s">
        <v>56</v>
      </c>
      <c r="D888" s="3" t="s">
        <v>195</v>
      </c>
      <c r="E888" s="3" t="s">
        <v>45</v>
      </c>
      <c r="F888" s="3" t="s">
        <v>45</v>
      </c>
      <c r="G888" s="7">
        <v>45813.830861070914</v>
      </c>
    </row>
    <row r="889">
      <c r="A889" s="3" t="s">
        <v>3438</v>
      </c>
      <c r="B889" s="3" t="s">
        <v>816</v>
      </c>
      <c r="C889" s="3" t="s">
        <v>1342</v>
      </c>
      <c r="D889" s="3" t="s">
        <v>68</v>
      </c>
      <c r="E889" s="3" t="s">
        <v>100</v>
      </c>
      <c r="F889" s="3" t="s">
        <v>954</v>
      </c>
      <c r="G889" s="7">
        <v>45813.902035916326</v>
      </c>
    </row>
    <row r="890">
      <c r="A890" s="3" t="s">
        <v>3441</v>
      </c>
      <c r="B890" s="3" t="s">
        <v>430</v>
      </c>
      <c r="C890" s="3" t="s">
        <v>1342</v>
      </c>
      <c r="D890" s="3" t="s">
        <v>68</v>
      </c>
      <c r="E890" s="3" t="s">
        <v>100</v>
      </c>
      <c r="F890" s="3" t="s">
        <v>1295</v>
      </c>
      <c r="G890" s="7">
        <v>45813.97321076174</v>
      </c>
    </row>
    <row r="891">
      <c r="A891" s="3" t="s">
        <v>3444</v>
      </c>
      <c r="B891" s="3" t="s">
        <v>704</v>
      </c>
      <c r="C891" s="3" t="s">
        <v>1342</v>
      </c>
      <c r="D891" s="3" t="s">
        <v>68</v>
      </c>
      <c r="E891" s="3" t="s">
        <v>100</v>
      </c>
      <c r="F891" s="3" t="s">
        <v>1177</v>
      </c>
      <c r="G891" s="7">
        <v>45814.04438560716</v>
      </c>
    </row>
    <row r="892">
      <c r="A892" s="3" t="s">
        <v>3448</v>
      </c>
      <c r="B892" s="3" t="s">
        <v>1034</v>
      </c>
      <c r="C892" s="3" t="s">
        <v>56</v>
      </c>
      <c r="D892" s="3" t="s">
        <v>68</v>
      </c>
      <c r="E892" s="3" t="s">
        <v>100</v>
      </c>
      <c r="F892" s="3" t="s">
        <v>1601</v>
      </c>
      <c r="G892" s="7">
        <v>45814.11556045257</v>
      </c>
    </row>
    <row r="893">
      <c r="A893" s="3" t="s">
        <v>3452</v>
      </c>
      <c r="B893" s="3" t="s">
        <v>662</v>
      </c>
      <c r="C893" s="3" t="s">
        <v>1342</v>
      </c>
      <c r="D893" s="3" t="s">
        <v>68</v>
      </c>
      <c r="E893" s="3" t="s">
        <v>100</v>
      </c>
      <c r="F893" s="3" t="s">
        <v>1274</v>
      </c>
      <c r="G893" s="7">
        <v>45814.18673529798</v>
      </c>
    </row>
    <row r="894">
      <c r="A894" s="3" t="s">
        <v>3455</v>
      </c>
      <c r="B894" s="3" t="s">
        <v>848</v>
      </c>
      <c r="C894" s="3" t="s">
        <v>1095</v>
      </c>
      <c r="D894" s="3" t="s">
        <v>68</v>
      </c>
      <c r="E894" s="3" t="s">
        <v>100</v>
      </c>
      <c r="F894" s="3" t="s">
        <v>1435</v>
      </c>
      <c r="G894" s="7">
        <v>45814.2579101434</v>
      </c>
    </row>
    <row r="895">
      <c r="A895" s="3" t="s">
        <v>3458</v>
      </c>
      <c r="B895" s="3" t="s">
        <v>575</v>
      </c>
      <c r="C895" s="3" t="s">
        <v>1095</v>
      </c>
      <c r="D895" s="3" t="s">
        <v>68</v>
      </c>
      <c r="E895" s="3" t="s">
        <v>100</v>
      </c>
      <c r="F895" s="3" t="s">
        <v>1520</v>
      </c>
      <c r="G895" s="7">
        <v>45814.329084988814</v>
      </c>
    </row>
    <row r="896">
      <c r="A896" s="3" t="s">
        <v>3461</v>
      </c>
      <c r="B896" s="3" t="s">
        <v>727</v>
      </c>
      <c r="C896" s="3" t="s">
        <v>56</v>
      </c>
      <c r="D896" s="3" t="s">
        <v>68</v>
      </c>
      <c r="E896" s="3" t="s">
        <v>100</v>
      </c>
      <c r="F896" s="3" t="s">
        <v>1602</v>
      </c>
      <c r="G896" s="7">
        <v>45814.40025983423</v>
      </c>
    </row>
    <row r="897">
      <c r="A897" s="3" t="s">
        <v>3465</v>
      </c>
      <c r="B897" s="3" t="s">
        <v>662</v>
      </c>
      <c r="C897" s="3" t="s">
        <v>1095</v>
      </c>
      <c r="D897" s="3" t="s">
        <v>68</v>
      </c>
      <c r="E897" s="3" t="s">
        <v>100</v>
      </c>
      <c r="F897" s="3" t="s">
        <v>1274</v>
      </c>
      <c r="G897" s="7">
        <v>45814.471434679646</v>
      </c>
    </row>
    <row r="898">
      <c r="A898" s="3" t="s">
        <v>3468</v>
      </c>
      <c r="B898" s="3" t="s">
        <v>559</v>
      </c>
      <c r="C898" s="3" t="s">
        <v>1342</v>
      </c>
      <c r="D898" s="3" t="s">
        <v>68</v>
      </c>
      <c r="E898" s="3" t="s">
        <v>100</v>
      </c>
      <c r="F898" s="3" t="s">
        <v>1351</v>
      </c>
      <c r="G898" s="7">
        <v>45814.54260952506</v>
      </c>
    </row>
    <row r="899">
      <c r="A899" s="3" t="s">
        <v>3471</v>
      </c>
      <c r="B899" s="3" t="s">
        <v>742</v>
      </c>
      <c r="C899" s="3" t="s">
        <v>56</v>
      </c>
      <c r="D899" s="3" t="s">
        <v>68</v>
      </c>
      <c r="E899" s="3" t="s">
        <v>100</v>
      </c>
      <c r="F899" s="3" t="s">
        <v>1605</v>
      </c>
      <c r="G899" s="7">
        <v>45814.61378437048</v>
      </c>
    </row>
    <row r="900">
      <c r="A900" s="3" t="s">
        <v>3475</v>
      </c>
      <c r="B900" s="3" t="s">
        <v>969</v>
      </c>
      <c r="C900" s="3" t="s">
        <v>56</v>
      </c>
      <c r="D900" s="3" t="s">
        <v>195</v>
      </c>
      <c r="E900" s="3" t="s">
        <v>45</v>
      </c>
      <c r="F900" s="3" t="s">
        <v>45</v>
      </c>
      <c r="G900" s="7">
        <v>45814.68495921589</v>
      </c>
    </row>
    <row r="901">
      <c r="A901" s="3" t="s">
        <v>3478</v>
      </c>
      <c r="B901" s="3" t="s">
        <v>601</v>
      </c>
      <c r="C901" s="3" t="s">
        <v>1342</v>
      </c>
      <c r="D901" s="3" t="s">
        <v>181</v>
      </c>
      <c r="E901" s="3" t="s">
        <v>45</v>
      </c>
      <c r="F901" s="3" t="s">
        <v>1591</v>
      </c>
      <c r="G901" s="7">
        <v>45814.75613406131</v>
      </c>
    </row>
    <row r="902">
      <c r="A902" s="3" t="s">
        <v>3481</v>
      </c>
      <c r="B902" s="3" t="s">
        <v>557</v>
      </c>
      <c r="C902" s="3" t="s">
        <v>1095</v>
      </c>
      <c r="D902" s="3" t="s">
        <v>68</v>
      </c>
      <c r="E902" s="3" t="s">
        <v>100</v>
      </c>
      <c r="F902" s="3" t="s">
        <v>1270</v>
      </c>
      <c r="G902" s="7">
        <v>45814.827308906715</v>
      </c>
    </row>
    <row r="903">
      <c r="A903" s="3" t="s">
        <v>3484</v>
      </c>
      <c r="B903" s="3" t="s">
        <v>591</v>
      </c>
      <c r="C903" s="3" t="s">
        <v>1342</v>
      </c>
      <c r="D903" s="3" t="s">
        <v>68</v>
      </c>
      <c r="E903" s="3" t="s">
        <v>100</v>
      </c>
      <c r="F903" s="3" t="s">
        <v>1586</v>
      </c>
      <c r="G903" s="7">
        <v>45814.898483752135</v>
      </c>
    </row>
    <row r="904">
      <c r="A904" s="3" t="s">
        <v>3487</v>
      </c>
      <c r="B904" s="3" t="s">
        <v>637</v>
      </c>
      <c r="C904" s="3" t="s">
        <v>1342</v>
      </c>
      <c r="D904" s="3" t="s">
        <v>68</v>
      </c>
      <c r="E904" s="3" t="s">
        <v>100</v>
      </c>
      <c r="F904" s="3" t="s">
        <v>1552</v>
      </c>
      <c r="G904" s="7">
        <v>45814.969658597554</v>
      </c>
    </row>
    <row r="905">
      <c r="A905" s="3" t="s">
        <v>3490</v>
      </c>
      <c r="B905" s="3" t="s">
        <v>377</v>
      </c>
      <c r="C905" s="3" t="s">
        <v>1342</v>
      </c>
      <c r="D905" s="3" t="s">
        <v>68</v>
      </c>
      <c r="E905" s="3" t="s">
        <v>100</v>
      </c>
      <c r="F905" s="3" t="s">
        <v>518</v>
      </c>
      <c r="G905" s="7">
        <v>45815.04083344297</v>
      </c>
    </row>
    <row r="906">
      <c r="A906" s="3" t="s">
        <v>3493</v>
      </c>
      <c r="B906" s="3" t="s">
        <v>479</v>
      </c>
      <c r="C906" s="3" t="s">
        <v>56</v>
      </c>
      <c r="D906" s="3" t="s">
        <v>68</v>
      </c>
      <c r="E906" s="3" t="s">
        <v>100</v>
      </c>
      <c r="F906" s="3" t="s">
        <v>1606</v>
      </c>
      <c r="G906" s="7">
        <v>45815.11200828838</v>
      </c>
    </row>
    <row r="907">
      <c r="A907" s="3" t="s">
        <v>3497</v>
      </c>
      <c r="B907" s="3" t="s">
        <v>123</v>
      </c>
      <c r="C907" s="3" t="s">
        <v>1342</v>
      </c>
      <c r="D907" s="3" t="s">
        <v>68</v>
      </c>
      <c r="E907" s="3" t="s">
        <v>100</v>
      </c>
      <c r="F907" s="3" t="s">
        <v>1524</v>
      </c>
      <c r="G907" s="7">
        <v>45815.1831831338</v>
      </c>
    </row>
    <row r="908">
      <c r="A908" s="3" t="s">
        <v>3500</v>
      </c>
      <c r="B908" s="3" t="s">
        <v>965</v>
      </c>
      <c r="C908" s="3" t="s">
        <v>1342</v>
      </c>
      <c r="D908" s="3" t="s">
        <v>181</v>
      </c>
      <c r="E908" s="3" t="s">
        <v>45</v>
      </c>
      <c r="F908" s="3" t="s">
        <v>705</v>
      </c>
      <c r="G908" s="7">
        <v>45815.25435797921</v>
      </c>
    </row>
    <row r="909">
      <c r="A909" s="3" t="s">
        <v>3503</v>
      </c>
      <c r="B909" s="3" t="s">
        <v>175</v>
      </c>
      <c r="C909" s="3" t="s">
        <v>1095</v>
      </c>
      <c r="D909" s="3" t="s">
        <v>68</v>
      </c>
      <c r="E909" s="3" t="s">
        <v>100</v>
      </c>
      <c r="F909" s="3" t="s">
        <v>1566</v>
      </c>
      <c r="G909" s="7">
        <v>45815.32553282462</v>
      </c>
    </row>
    <row r="910">
      <c r="A910" s="3" t="s">
        <v>3506</v>
      </c>
      <c r="B910" s="3" t="s">
        <v>356</v>
      </c>
      <c r="C910" s="3" t="s">
        <v>56</v>
      </c>
      <c r="D910" s="3" t="s">
        <v>68</v>
      </c>
      <c r="E910" s="3" t="s">
        <v>100</v>
      </c>
      <c r="F910" s="3" t="s">
        <v>1609</v>
      </c>
      <c r="G910" s="7">
        <v>45815.39670767004</v>
      </c>
    </row>
    <row r="911">
      <c r="A911" s="3" t="s">
        <v>3510</v>
      </c>
      <c r="B911" s="3" t="s">
        <v>903</v>
      </c>
      <c r="C911" s="3" t="s">
        <v>56</v>
      </c>
      <c r="D911" s="3" t="s">
        <v>181</v>
      </c>
      <c r="E911" s="3" t="s">
        <v>45</v>
      </c>
      <c r="F911" s="3" t="s">
        <v>45</v>
      </c>
      <c r="G911" s="7">
        <v>45815.46788251546</v>
      </c>
    </row>
    <row r="912">
      <c r="A912" s="3" t="s">
        <v>3513</v>
      </c>
      <c r="B912" s="3" t="s">
        <v>756</v>
      </c>
      <c r="C912" s="3" t="s">
        <v>56</v>
      </c>
      <c r="D912" s="3" t="s">
        <v>68</v>
      </c>
      <c r="E912" s="3" t="s">
        <v>100</v>
      </c>
      <c r="F912" s="3" t="s">
        <v>1611</v>
      </c>
      <c r="G912" s="7">
        <v>45815.53905736087</v>
      </c>
    </row>
    <row r="913">
      <c r="A913" s="3" t="s">
        <v>3516</v>
      </c>
      <c r="B913" s="3" t="s">
        <v>760</v>
      </c>
      <c r="C913" s="3" t="s">
        <v>56</v>
      </c>
      <c r="D913" s="3" t="s">
        <v>68</v>
      </c>
      <c r="E913" s="3" t="s">
        <v>100</v>
      </c>
      <c r="F913" s="3" t="s">
        <v>1614</v>
      </c>
      <c r="G913" s="7">
        <v>45815.61023220629</v>
      </c>
    </row>
    <row r="914">
      <c r="A914" s="3" t="s">
        <v>3519</v>
      </c>
      <c r="B914" s="3" t="s">
        <v>949</v>
      </c>
      <c r="C914" s="3" t="s">
        <v>56</v>
      </c>
      <c r="D914" s="3" t="s">
        <v>68</v>
      </c>
      <c r="E914" s="3" t="s">
        <v>100</v>
      </c>
      <c r="F914" s="3" t="s">
        <v>1617</v>
      </c>
      <c r="G914" s="7">
        <v>45815.6814070517</v>
      </c>
    </row>
    <row r="915">
      <c r="A915" s="3" t="s">
        <v>3522</v>
      </c>
      <c r="B915" s="3" t="s">
        <v>159</v>
      </c>
      <c r="C915" s="3" t="s">
        <v>1342</v>
      </c>
      <c r="D915" s="3" t="s">
        <v>68</v>
      </c>
      <c r="E915" s="3" t="s">
        <v>100</v>
      </c>
      <c r="F915" s="3" t="s">
        <v>1292</v>
      </c>
      <c r="G915" s="7">
        <v>45815.75258189712</v>
      </c>
    </row>
    <row r="916">
      <c r="A916" s="3" t="s">
        <v>3525</v>
      </c>
      <c r="B916" s="3" t="s">
        <v>293</v>
      </c>
      <c r="C916" s="3" t="s">
        <v>1095</v>
      </c>
      <c r="D916" s="3" t="s">
        <v>195</v>
      </c>
      <c r="E916" s="3" t="s">
        <v>45</v>
      </c>
      <c r="F916" s="3" t="s">
        <v>1393</v>
      </c>
      <c r="G916" s="7">
        <v>45815.82375674253</v>
      </c>
    </row>
    <row r="917">
      <c r="A917" s="3" t="s">
        <v>3529</v>
      </c>
      <c r="B917" s="3" t="s">
        <v>713</v>
      </c>
      <c r="C917" s="3" t="s">
        <v>1095</v>
      </c>
      <c r="D917" s="3" t="s">
        <v>195</v>
      </c>
      <c r="E917" s="3" t="s">
        <v>45</v>
      </c>
      <c r="F917" s="3" t="s">
        <v>1429</v>
      </c>
      <c r="G917" s="7">
        <v>45815.89493158795</v>
      </c>
    </row>
    <row r="918">
      <c r="A918" s="3" t="s">
        <v>3533</v>
      </c>
      <c r="B918" s="3" t="s">
        <v>722</v>
      </c>
      <c r="C918" s="3" t="s">
        <v>1095</v>
      </c>
      <c r="D918" s="3" t="s">
        <v>68</v>
      </c>
      <c r="E918" s="3" t="s">
        <v>100</v>
      </c>
      <c r="F918" s="3" t="s">
        <v>1076</v>
      </c>
      <c r="G918" s="7">
        <v>45815.96610643336</v>
      </c>
    </row>
    <row r="919">
      <c r="A919" s="3" t="s">
        <v>3536</v>
      </c>
      <c r="B919" s="3" t="s">
        <v>943</v>
      </c>
      <c r="C919" s="3" t="s">
        <v>1342</v>
      </c>
      <c r="D919" s="3" t="s">
        <v>195</v>
      </c>
      <c r="E919" s="3" t="s">
        <v>45</v>
      </c>
      <c r="F919" s="3" t="s">
        <v>1079</v>
      </c>
      <c r="G919" s="7">
        <v>45816.037281278775</v>
      </c>
    </row>
    <row r="920">
      <c r="A920" s="3" t="s">
        <v>3539</v>
      </c>
      <c r="B920" s="3" t="s">
        <v>895</v>
      </c>
      <c r="C920" s="3" t="s">
        <v>1095</v>
      </c>
      <c r="D920" s="3" t="s">
        <v>68</v>
      </c>
      <c r="E920" s="3" t="s">
        <v>100</v>
      </c>
      <c r="F920" s="3" t="s">
        <v>1193</v>
      </c>
      <c r="G920" s="7">
        <v>45816.108456124195</v>
      </c>
    </row>
    <row r="921">
      <c r="A921" s="3" t="s">
        <v>3542</v>
      </c>
      <c r="B921" s="3" t="s">
        <v>574</v>
      </c>
      <c r="C921" s="3" t="s">
        <v>56</v>
      </c>
      <c r="D921" s="3" t="s">
        <v>68</v>
      </c>
      <c r="E921" s="3" t="s">
        <v>100</v>
      </c>
      <c r="F921" s="3" t="s">
        <v>1619</v>
      </c>
      <c r="G921" s="7">
        <v>45816.17963096961</v>
      </c>
    </row>
    <row r="922">
      <c r="A922" s="3" t="s">
        <v>3546</v>
      </c>
      <c r="B922" s="3" t="s">
        <v>491</v>
      </c>
      <c r="C922" s="3" t="s">
        <v>1342</v>
      </c>
      <c r="D922" s="3" t="s">
        <v>68</v>
      </c>
      <c r="E922" s="3" t="s">
        <v>100</v>
      </c>
      <c r="F922" s="3" t="s">
        <v>1483</v>
      </c>
      <c r="G922" s="7">
        <v>45816.25080581502</v>
      </c>
    </row>
    <row r="923">
      <c r="A923" s="3" t="s">
        <v>3549</v>
      </c>
      <c r="B923" s="3" t="s">
        <v>524</v>
      </c>
      <c r="C923" s="3" t="s">
        <v>56</v>
      </c>
      <c r="D923" s="3" t="s">
        <v>68</v>
      </c>
      <c r="E923" s="3" t="s">
        <v>100</v>
      </c>
      <c r="F923" s="3" t="s">
        <v>1621</v>
      </c>
      <c r="G923" s="7">
        <v>45816.32198066044</v>
      </c>
    </row>
    <row r="924">
      <c r="A924" s="3" t="s">
        <v>3552</v>
      </c>
      <c r="B924" s="3" t="s">
        <v>230</v>
      </c>
      <c r="C924" s="3" t="s">
        <v>1095</v>
      </c>
      <c r="D924" s="3" t="s">
        <v>181</v>
      </c>
      <c r="E924" s="3" t="s">
        <v>45</v>
      </c>
      <c r="F924" s="3" t="s">
        <v>1458</v>
      </c>
      <c r="G924" s="7">
        <v>45816.39315550585</v>
      </c>
    </row>
    <row r="925">
      <c r="A925" s="3" t="s">
        <v>3555</v>
      </c>
      <c r="B925" s="3" t="s">
        <v>226</v>
      </c>
      <c r="C925" s="3" t="s">
        <v>56</v>
      </c>
      <c r="D925" s="3" t="s">
        <v>68</v>
      </c>
      <c r="E925" s="3" t="s">
        <v>100</v>
      </c>
      <c r="F925" s="3" t="s">
        <v>1623</v>
      </c>
      <c r="G925" s="7">
        <v>45816.464330351264</v>
      </c>
    </row>
    <row r="926">
      <c r="A926" s="3" t="s">
        <v>3558</v>
      </c>
      <c r="B926" s="3" t="s">
        <v>330</v>
      </c>
      <c r="C926" s="3" t="s">
        <v>1095</v>
      </c>
      <c r="D926" s="3" t="s">
        <v>68</v>
      </c>
      <c r="E926" s="3" t="s">
        <v>100</v>
      </c>
      <c r="F926" s="3" t="s">
        <v>1593</v>
      </c>
      <c r="G926" s="7">
        <v>45816.53550519668</v>
      </c>
    </row>
    <row r="927">
      <c r="A927" s="3" t="s">
        <v>3559</v>
      </c>
      <c r="B927" s="3" t="s">
        <v>411</v>
      </c>
      <c r="C927" s="3" t="s">
        <v>56</v>
      </c>
      <c r="D927" s="3" t="s">
        <v>68</v>
      </c>
      <c r="E927" s="3" t="s">
        <v>100</v>
      </c>
      <c r="F927" s="3" t="s">
        <v>1625</v>
      </c>
      <c r="G927" s="7">
        <v>45816.6066800421</v>
      </c>
    </row>
    <row r="928">
      <c r="A928" s="3" t="s">
        <v>3561</v>
      </c>
      <c r="B928" s="3" t="s">
        <v>440</v>
      </c>
      <c r="C928" s="3" t="s">
        <v>1342</v>
      </c>
      <c r="D928" s="3" t="s">
        <v>68</v>
      </c>
      <c r="E928" s="3" t="s">
        <v>100</v>
      </c>
      <c r="F928" s="3" t="s">
        <v>1327</v>
      </c>
      <c r="G928" s="7">
        <v>45816.67785488751</v>
      </c>
    </row>
    <row r="929">
      <c r="A929" s="3" t="s">
        <v>3565</v>
      </c>
      <c r="B929" s="3" t="s">
        <v>569</v>
      </c>
      <c r="C929" s="3" t="s">
        <v>56</v>
      </c>
      <c r="D929" s="3" t="s">
        <v>68</v>
      </c>
      <c r="E929" s="3" t="s">
        <v>100</v>
      </c>
      <c r="F929" s="3" t="s">
        <v>1627</v>
      </c>
      <c r="G929" s="7">
        <v>45816.74902973293</v>
      </c>
    </row>
    <row r="930">
      <c r="A930" s="3" t="s">
        <v>3568</v>
      </c>
      <c r="B930" s="3" t="s">
        <v>453</v>
      </c>
      <c r="C930" s="3" t="s">
        <v>1342</v>
      </c>
      <c r="D930" s="3" t="s">
        <v>68</v>
      </c>
      <c r="E930" s="3" t="s">
        <v>100</v>
      </c>
      <c r="F930" s="3" t="s">
        <v>797</v>
      </c>
      <c r="G930" s="7">
        <v>45816.82020457835</v>
      </c>
    </row>
    <row r="931">
      <c r="A931" s="3" t="s">
        <v>3571</v>
      </c>
      <c r="B931" s="3" t="s">
        <v>436</v>
      </c>
      <c r="C931" s="3" t="s">
        <v>56</v>
      </c>
      <c r="D931" s="3" t="s">
        <v>68</v>
      </c>
      <c r="E931" s="3" t="s">
        <v>100</v>
      </c>
      <c r="F931" s="3" t="s">
        <v>1629</v>
      </c>
      <c r="G931" s="7">
        <v>45816.89137942376</v>
      </c>
    </row>
    <row r="932">
      <c r="A932" s="3" t="s">
        <v>3574</v>
      </c>
      <c r="B932" s="3" t="s">
        <v>584</v>
      </c>
      <c r="C932" s="3" t="s">
        <v>1342</v>
      </c>
      <c r="D932" s="3" t="s">
        <v>68</v>
      </c>
      <c r="E932" s="3" t="s">
        <v>100</v>
      </c>
      <c r="F932" s="3" t="s">
        <v>837</v>
      </c>
      <c r="G932" s="7">
        <v>45816.96255426917</v>
      </c>
    </row>
    <row r="933">
      <c r="A933" s="3" t="s">
        <v>3578</v>
      </c>
      <c r="B933" s="3" t="s">
        <v>746</v>
      </c>
      <c r="C933" s="3" t="s">
        <v>56</v>
      </c>
      <c r="D933" s="3" t="s">
        <v>68</v>
      </c>
      <c r="E933" s="3" t="s">
        <v>100</v>
      </c>
      <c r="F933" s="3" t="s">
        <v>1631</v>
      </c>
      <c r="G933" s="7">
        <v>45817.03372911459</v>
      </c>
    </row>
    <row r="934">
      <c r="A934" s="3" t="s">
        <v>3581</v>
      </c>
      <c r="B934" s="3" t="s">
        <v>521</v>
      </c>
      <c r="C934" s="3" t="s">
        <v>1095</v>
      </c>
      <c r="D934" s="3" t="s">
        <v>195</v>
      </c>
      <c r="E934" s="3" t="s">
        <v>45</v>
      </c>
      <c r="F934" s="3" t="s">
        <v>1460</v>
      </c>
      <c r="G934" s="7">
        <v>45817.104903960004</v>
      </c>
    </row>
    <row r="935">
      <c r="A935" s="3" t="s">
        <v>3584</v>
      </c>
      <c r="B935" s="3" t="s">
        <v>640</v>
      </c>
      <c r="C935" s="3" t="s">
        <v>56</v>
      </c>
      <c r="D935" s="3" t="s">
        <v>68</v>
      </c>
      <c r="E935" s="3" t="s">
        <v>100</v>
      </c>
      <c r="F935" s="3" t="s">
        <v>1634</v>
      </c>
      <c r="G935" s="7">
        <v>45817.176078805416</v>
      </c>
    </row>
    <row r="936">
      <c r="A936" s="3" t="s">
        <v>3587</v>
      </c>
      <c r="B936" s="3" t="s">
        <v>440</v>
      </c>
      <c r="C936" s="3" t="s">
        <v>1095</v>
      </c>
      <c r="D936" s="3" t="s">
        <v>68</v>
      </c>
      <c r="E936" s="3" t="s">
        <v>100</v>
      </c>
      <c r="F936" s="3" t="s">
        <v>1327</v>
      </c>
      <c r="G936" s="7">
        <v>45817.247253650836</v>
      </c>
    </row>
    <row r="937">
      <c r="A937" s="3" t="s">
        <v>3590</v>
      </c>
      <c r="B937" s="3" t="s">
        <v>561</v>
      </c>
      <c r="C937" s="3" t="s">
        <v>1095</v>
      </c>
      <c r="D937" s="3" t="s">
        <v>68</v>
      </c>
      <c r="E937" s="3" t="s">
        <v>100</v>
      </c>
      <c r="F937" s="3" t="s">
        <v>762</v>
      </c>
      <c r="G937" s="7">
        <v>45817.31842849625</v>
      </c>
    </row>
    <row r="938">
      <c r="A938" s="3" t="s">
        <v>3593</v>
      </c>
      <c r="B938" s="3" t="s">
        <v>725</v>
      </c>
      <c r="C938" s="3" t="s">
        <v>56</v>
      </c>
      <c r="D938" s="3" t="s">
        <v>68</v>
      </c>
      <c r="E938" s="3" t="s">
        <v>100</v>
      </c>
      <c r="F938" s="3" t="s">
        <v>1636</v>
      </c>
      <c r="G938" s="7">
        <v>45817.38960334166</v>
      </c>
    </row>
    <row r="939">
      <c r="A939" s="3" t="s">
        <v>3596</v>
      </c>
      <c r="B939" s="3" t="s">
        <v>145</v>
      </c>
      <c r="C939" s="3" t="s">
        <v>1095</v>
      </c>
      <c r="D939" s="3" t="s">
        <v>68</v>
      </c>
      <c r="E939" s="3" t="s">
        <v>100</v>
      </c>
      <c r="F939" s="3" t="s">
        <v>1127</v>
      </c>
      <c r="G939" s="7">
        <v>45817.46077818708</v>
      </c>
    </row>
    <row r="940">
      <c r="A940" s="3" t="s">
        <v>3599</v>
      </c>
      <c r="B940" s="3" t="s">
        <v>468</v>
      </c>
      <c r="C940" s="3" t="s">
        <v>1342</v>
      </c>
      <c r="D940" s="3" t="s">
        <v>68</v>
      </c>
      <c r="E940" s="3" t="s">
        <v>100</v>
      </c>
      <c r="F940" s="3" t="s">
        <v>1570</v>
      </c>
      <c r="G940" s="7">
        <v>45817.53195303249</v>
      </c>
    </row>
    <row r="941">
      <c r="A941" s="3" t="s">
        <v>3602</v>
      </c>
      <c r="B941" s="3" t="s">
        <v>853</v>
      </c>
      <c r="C941" s="3" t="s">
        <v>56</v>
      </c>
      <c r="D941" s="3" t="s">
        <v>68</v>
      </c>
      <c r="E941" s="3" t="s">
        <v>100</v>
      </c>
      <c r="F941" s="3" t="s">
        <v>1640</v>
      </c>
      <c r="G941" s="7">
        <v>45817.603127877905</v>
      </c>
    </row>
    <row r="942">
      <c r="A942" s="3" t="s">
        <v>3606</v>
      </c>
      <c r="B942" s="3" t="s">
        <v>586</v>
      </c>
      <c r="C942" s="3" t="s">
        <v>1095</v>
      </c>
      <c r="D942" s="3" t="s">
        <v>68</v>
      </c>
      <c r="E942" s="3" t="s">
        <v>100</v>
      </c>
      <c r="F942" s="3" t="s">
        <v>1234</v>
      </c>
      <c r="G942" s="7">
        <v>45817.674302723324</v>
      </c>
    </row>
    <row r="943">
      <c r="A943" s="3" t="s">
        <v>3609</v>
      </c>
      <c r="B943" s="3" t="s">
        <v>502</v>
      </c>
      <c r="C943" s="3" t="s">
        <v>1095</v>
      </c>
      <c r="D943" s="3" t="s">
        <v>68</v>
      </c>
      <c r="E943" s="3" t="s">
        <v>100</v>
      </c>
      <c r="F943" s="3" t="s">
        <v>1363</v>
      </c>
      <c r="G943" s="7">
        <v>45817.745477568744</v>
      </c>
    </row>
    <row r="944">
      <c r="A944" s="3" t="s">
        <v>3613</v>
      </c>
      <c r="B944" s="3" t="s">
        <v>168</v>
      </c>
      <c r="C944" s="3" t="s">
        <v>56</v>
      </c>
      <c r="D944" s="3" t="s">
        <v>68</v>
      </c>
      <c r="E944" s="3" t="s">
        <v>100</v>
      </c>
      <c r="F944" s="3" t="s">
        <v>1641</v>
      </c>
      <c r="G944" s="7">
        <v>45817.81665241415</v>
      </c>
    </row>
    <row r="945">
      <c r="A945" s="3" t="s">
        <v>3616</v>
      </c>
      <c r="B945" s="3" t="s">
        <v>208</v>
      </c>
      <c r="C945" s="3" t="s">
        <v>56</v>
      </c>
      <c r="D945" s="3" t="s">
        <v>68</v>
      </c>
      <c r="E945" s="3" t="s">
        <v>100</v>
      </c>
      <c r="F945" s="3" t="s">
        <v>1643</v>
      </c>
      <c r="G945" s="7">
        <v>45817.88782725957</v>
      </c>
    </row>
    <row r="946">
      <c r="A946" s="3" t="s">
        <v>3618</v>
      </c>
      <c r="B946" s="3" t="s">
        <v>947</v>
      </c>
      <c r="C946" s="3" t="s">
        <v>56</v>
      </c>
      <c r="D946" s="3" t="s">
        <v>181</v>
      </c>
      <c r="E946" s="3" t="s">
        <v>45</v>
      </c>
      <c r="F946" s="3" t="s">
        <v>45</v>
      </c>
      <c r="G946" s="7">
        <v>45817.95900210499</v>
      </c>
    </row>
    <row r="947">
      <c r="A947" s="3" t="s">
        <v>3620</v>
      </c>
      <c r="B947" s="3" t="s">
        <v>151</v>
      </c>
      <c r="C947" s="3" t="s">
        <v>56</v>
      </c>
      <c r="D947" s="3" t="s">
        <v>68</v>
      </c>
      <c r="E947" s="3" t="s">
        <v>100</v>
      </c>
      <c r="F947" s="3" t="s">
        <v>1645</v>
      </c>
      <c r="G947" s="7">
        <v>45818.0301769504</v>
      </c>
    </row>
    <row r="948">
      <c r="A948" s="3" t="s">
        <v>3624</v>
      </c>
      <c r="B948" s="3" t="s">
        <v>838</v>
      </c>
      <c r="C948" s="3" t="s">
        <v>1095</v>
      </c>
      <c r="D948" s="3" t="s">
        <v>68</v>
      </c>
      <c r="E948" s="3" t="s">
        <v>100</v>
      </c>
      <c r="F948" s="3" t="s">
        <v>1151</v>
      </c>
      <c r="G948" s="7">
        <v>45818.10135179581</v>
      </c>
    </row>
    <row r="949">
      <c r="A949" s="3" t="s">
        <v>3628</v>
      </c>
      <c r="B949" s="3" t="s">
        <v>193</v>
      </c>
      <c r="C949" s="3" t="s">
        <v>1342</v>
      </c>
      <c r="D949" s="3" t="s">
        <v>68</v>
      </c>
      <c r="E949" s="3" t="s">
        <v>100</v>
      </c>
      <c r="F949" s="3" t="s">
        <v>693</v>
      </c>
      <c r="G949" s="7">
        <v>45818.17252664123</v>
      </c>
    </row>
    <row r="950">
      <c r="A950" s="3" t="s">
        <v>3631</v>
      </c>
      <c r="B950" s="3" t="s">
        <v>704</v>
      </c>
      <c r="C950" s="3" t="s">
        <v>1342</v>
      </c>
      <c r="D950" s="3" t="s">
        <v>68</v>
      </c>
      <c r="E950" s="3" t="s">
        <v>100</v>
      </c>
      <c r="F950" s="3" t="s">
        <v>1177</v>
      </c>
      <c r="G950" s="7">
        <v>45818.243701486645</v>
      </c>
    </row>
    <row r="951">
      <c r="A951" s="3" t="s">
        <v>3634</v>
      </c>
      <c r="B951" s="3" t="s">
        <v>735</v>
      </c>
      <c r="C951" s="3" t="s">
        <v>1095</v>
      </c>
      <c r="D951" s="3" t="s">
        <v>68</v>
      </c>
      <c r="E951" s="3" t="s">
        <v>100</v>
      </c>
      <c r="F951" s="3" t="s">
        <v>1545</v>
      </c>
      <c r="G951" s="7">
        <v>45818.31487633206</v>
      </c>
    </row>
    <row r="952">
      <c r="A952" s="3" t="s">
        <v>3637</v>
      </c>
      <c r="B952" s="3" t="s">
        <v>640</v>
      </c>
      <c r="C952" s="3" t="s">
        <v>1095</v>
      </c>
      <c r="D952" s="3" t="s">
        <v>68</v>
      </c>
      <c r="E952" s="3" t="s">
        <v>100</v>
      </c>
      <c r="F952" s="3" t="s">
        <v>1634</v>
      </c>
      <c r="G952" s="7">
        <v>45818.38605117748</v>
      </c>
    </row>
    <row r="953">
      <c r="A953" s="3" t="s">
        <v>3640</v>
      </c>
      <c r="B953" s="3" t="s">
        <v>296</v>
      </c>
      <c r="C953" s="3" t="s">
        <v>56</v>
      </c>
      <c r="D953" s="3" t="s">
        <v>68</v>
      </c>
      <c r="E953" s="3" t="s">
        <v>100</v>
      </c>
      <c r="F953" s="3" t="s">
        <v>1647</v>
      </c>
      <c r="G953" s="7">
        <v>45818.45722602289</v>
      </c>
    </row>
    <row r="954">
      <c r="A954" s="3" t="s">
        <v>3643</v>
      </c>
      <c r="B954" s="3" t="s">
        <v>640</v>
      </c>
      <c r="C954" s="3" t="s">
        <v>56</v>
      </c>
      <c r="D954" s="3" t="s">
        <v>68</v>
      </c>
      <c r="E954" s="3" t="s">
        <v>100</v>
      </c>
      <c r="F954" s="3" t="s">
        <v>1650</v>
      </c>
      <c r="G954" s="7">
        <v>45818.5284008683</v>
      </c>
    </row>
    <row r="955">
      <c r="A955" s="3" t="s">
        <v>3646</v>
      </c>
      <c r="B955" s="3" t="s">
        <v>742</v>
      </c>
      <c r="C955" s="3" t="s">
        <v>1095</v>
      </c>
      <c r="D955" s="3" t="s">
        <v>195</v>
      </c>
      <c r="E955" s="3" t="s">
        <v>45</v>
      </c>
      <c r="F955" s="3" t="s">
        <v>1605</v>
      </c>
      <c r="G955" s="7">
        <v>45818.59957571372</v>
      </c>
    </row>
    <row r="956">
      <c r="A956" s="3" t="s">
        <v>3649</v>
      </c>
      <c r="B956" s="3" t="s">
        <v>665</v>
      </c>
      <c r="C956" s="3" t="s">
        <v>1095</v>
      </c>
      <c r="D956" s="3" t="s">
        <v>68</v>
      </c>
      <c r="E956" s="3" t="s">
        <v>100</v>
      </c>
      <c r="F956" s="3" t="s">
        <v>1117</v>
      </c>
      <c r="G956" s="7">
        <v>45818.67075055913</v>
      </c>
    </row>
    <row r="957">
      <c r="A957" s="3" t="s">
        <v>3652</v>
      </c>
      <c r="B957" s="3" t="s">
        <v>211</v>
      </c>
      <c r="C957" s="3" t="s">
        <v>56</v>
      </c>
      <c r="D957" s="3" t="s">
        <v>68</v>
      </c>
      <c r="E957" s="3" t="s">
        <v>100</v>
      </c>
      <c r="F957" s="3" t="s">
        <v>1651</v>
      </c>
      <c r="G957" s="7">
        <v>45818.741925404545</v>
      </c>
    </row>
    <row r="958">
      <c r="A958" s="3" t="s">
        <v>3657</v>
      </c>
      <c r="B958" s="3" t="s">
        <v>627</v>
      </c>
      <c r="C958" s="3" t="s">
        <v>1342</v>
      </c>
      <c r="D958" s="3" t="s">
        <v>195</v>
      </c>
      <c r="E958" s="3" t="s">
        <v>45</v>
      </c>
      <c r="F958" s="3" t="s">
        <v>1072</v>
      </c>
      <c r="G958" s="7">
        <v>45818.813100249965</v>
      </c>
    </row>
    <row r="959">
      <c r="A959" s="3" t="s">
        <v>3660</v>
      </c>
      <c r="B959" s="3" t="s">
        <v>682</v>
      </c>
      <c r="C959" s="3" t="s">
        <v>1342</v>
      </c>
      <c r="D959" s="3" t="s">
        <v>68</v>
      </c>
      <c r="E959" s="3" t="s">
        <v>100</v>
      </c>
      <c r="F959" s="3" t="s">
        <v>1004</v>
      </c>
      <c r="G959" s="7">
        <v>45818.884275095385</v>
      </c>
    </row>
    <row r="960">
      <c r="A960" s="3" t="s">
        <v>3663</v>
      </c>
      <c r="B960" s="3" t="s">
        <v>260</v>
      </c>
      <c r="C960" s="3" t="s">
        <v>1342</v>
      </c>
      <c r="D960" s="3" t="s">
        <v>68</v>
      </c>
      <c r="E960" s="3" t="s">
        <v>100</v>
      </c>
      <c r="F960" s="3" t="s">
        <v>1302</v>
      </c>
      <c r="G960" s="7">
        <v>45818.95544994079</v>
      </c>
    </row>
    <row r="961">
      <c r="A961" s="3" t="s">
        <v>3666</v>
      </c>
      <c r="B961" s="3" t="s">
        <v>574</v>
      </c>
      <c r="C961" s="3" t="s">
        <v>1095</v>
      </c>
      <c r="D961" s="3" t="s">
        <v>68</v>
      </c>
      <c r="E961" s="3" t="s">
        <v>100</v>
      </c>
      <c r="F961" s="3" t="s">
        <v>1619</v>
      </c>
      <c r="G961" s="7">
        <v>45819.02662478621</v>
      </c>
    </row>
    <row r="962">
      <c r="A962" s="3" t="s">
        <v>3669</v>
      </c>
      <c r="B962" s="3" t="s">
        <v>575</v>
      </c>
      <c r="C962" s="3" t="s">
        <v>56</v>
      </c>
      <c r="D962" s="3" t="s">
        <v>68</v>
      </c>
      <c r="E962" s="3" t="s">
        <v>100</v>
      </c>
      <c r="F962" s="3" t="s">
        <v>1654</v>
      </c>
      <c r="G962" s="7">
        <v>45819.09779963163</v>
      </c>
    </row>
    <row r="963">
      <c r="A963" s="3" t="s">
        <v>3672</v>
      </c>
      <c r="B963" s="3" t="s">
        <v>1040</v>
      </c>
      <c r="C963" s="3" t="s">
        <v>1342</v>
      </c>
      <c r="D963" s="3" t="s">
        <v>68</v>
      </c>
      <c r="E963" s="3" t="s">
        <v>100</v>
      </c>
      <c r="F963" s="3" t="s">
        <v>1248</v>
      </c>
      <c r="G963" s="7">
        <v>45819.16897447704</v>
      </c>
    </row>
    <row r="964">
      <c r="A964" s="3" t="s">
        <v>3675</v>
      </c>
      <c r="B964" s="3" t="s">
        <v>758</v>
      </c>
      <c r="C964" s="3" t="s">
        <v>1095</v>
      </c>
      <c r="D964" s="3" t="s">
        <v>68</v>
      </c>
      <c r="E964" s="3" t="s">
        <v>100</v>
      </c>
      <c r="F964" s="3" t="s">
        <v>983</v>
      </c>
      <c r="G964" s="7">
        <v>45819.24014932245</v>
      </c>
    </row>
    <row r="965">
      <c r="A965" s="3" t="s">
        <v>3678</v>
      </c>
      <c r="B965" s="3" t="s">
        <v>993</v>
      </c>
      <c r="C965" s="3" t="s">
        <v>56</v>
      </c>
      <c r="D965" s="3" t="s">
        <v>68</v>
      </c>
      <c r="E965" s="3" t="s">
        <v>100</v>
      </c>
      <c r="F965" s="3" t="s">
        <v>1656</v>
      </c>
      <c r="G965" s="7">
        <v>45819.31132416787</v>
      </c>
    </row>
    <row r="966">
      <c r="A966" s="3" t="s">
        <v>3681</v>
      </c>
      <c r="B966" s="3" t="s">
        <v>455</v>
      </c>
      <c r="C966" s="3" t="s">
        <v>1342</v>
      </c>
      <c r="D966" s="3" t="s">
        <v>68</v>
      </c>
      <c r="E966" s="3" t="s">
        <v>100</v>
      </c>
      <c r="F966" s="3" t="s">
        <v>1564</v>
      </c>
      <c r="G966" s="7">
        <v>45819.382499013285</v>
      </c>
    </row>
    <row r="967">
      <c r="A967" s="3" t="s">
        <v>3684</v>
      </c>
      <c r="B967" s="3" t="s">
        <v>282</v>
      </c>
      <c r="C967" s="3" t="s">
        <v>1095</v>
      </c>
      <c r="D967" s="3" t="s">
        <v>195</v>
      </c>
      <c r="E967" s="3" t="s">
        <v>45</v>
      </c>
      <c r="F967" s="3" t="s">
        <v>1579</v>
      </c>
      <c r="G967" s="7">
        <v>45819.4536738587</v>
      </c>
    </row>
    <row r="968">
      <c r="A968" s="3" t="s">
        <v>3687</v>
      </c>
      <c r="B968" s="3" t="s">
        <v>616</v>
      </c>
      <c r="C968" s="3" t="s">
        <v>56</v>
      </c>
      <c r="D968" s="3" t="s">
        <v>68</v>
      </c>
      <c r="E968" s="3" t="s">
        <v>100</v>
      </c>
      <c r="F968" s="3" t="s">
        <v>1658</v>
      </c>
      <c r="G968" s="7">
        <v>45819.52484870412</v>
      </c>
    </row>
    <row r="969">
      <c r="A969" s="3" t="s">
        <v>3691</v>
      </c>
      <c r="B969" s="3" t="s">
        <v>838</v>
      </c>
      <c r="C969" s="3" t="s">
        <v>56</v>
      </c>
      <c r="D969" s="3" t="s">
        <v>68</v>
      </c>
      <c r="E969" s="3" t="s">
        <v>100</v>
      </c>
      <c r="F969" s="3" t="s">
        <v>1661</v>
      </c>
      <c r="G969" s="7">
        <v>45819.59602354953</v>
      </c>
    </row>
    <row r="970">
      <c r="A970" s="3" t="s">
        <v>3694</v>
      </c>
      <c r="B970" s="3" t="s">
        <v>269</v>
      </c>
      <c r="C970" s="3" t="s">
        <v>56</v>
      </c>
      <c r="D970" s="3" t="s">
        <v>68</v>
      </c>
      <c r="E970" s="3" t="s">
        <v>100</v>
      </c>
      <c r="F970" s="3" t="s">
        <v>1663</v>
      </c>
      <c r="G970" s="7">
        <v>45819.66719839494</v>
      </c>
    </row>
    <row r="971">
      <c r="A971" s="3" t="s">
        <v>3697</v>
      </c>
      <c r="B971" s="3" t="s">
        <v>233</v>
      </c>
      <c r="C971" s="3" t="s">
        <v>56</v>
      </c>
      <c r="D971" s="3" t="s">
        <v>68</v>
      </c>
      <c r="E971" s="3" t="s">
        <v>100</v>
      </c>
      <c r="F971" s="3" t="s">
        <v>1666</v>
      </c>
      <c r="G971" s="7">
        <v>45819.73837324036</v>
      </c>
    </row>
    <row r="972">
      <c r="A972" s="3" t="s">
        <v>3701</v>
      </c>
      <c r="B972" s="3" t="s">
        <v>903</v>
      </c>
      <c r="C972" s="3" t="s">
        <v>56</v>
      </c>
      <c r="D972" s="3" t="s">
        <v>68</v>
      </c>
      <c r="E972" s="3" t="s">
        <v>100</v>
      </c>
      <c r="F972" s="3" t="s">
        <v>1667</v>
      </c>
      <c r="G972" s="7">
        <v>45819.80954808578</v>
      </c>
    </row>
    <row r="973">
      <c r="A973" s="3" t="s">
        <v>3704</v>
      </c>
      <c r="B973" s="3" t="s">
        <v>864</v>
      </c>
      <c r="C973" s="3" t="s">
        <v>1095</v>
      </c>
      <c r="D973" s="3" t="s">
        <v>181</v>
      </c>
      <c r="E973" s="3" t="s">
        <v>45</v>
      </c>
      <c r="F973" s="3" t="s">
        <v>1398</v>
      </c>
      <c r="G973" s="7">
        <v>45819.880722931186</v>
      </c>
    </row>
    <row r="974">
      <c r="A974" s="3" t="s">
        <v>3708</v>
      </c>
      <c r="B974" s="3" t="s">
        <v>987</v>
      </c>
      <c r="C974" s="3" t="s">
        <v>1342</v>
      </c>
      <c r="D974" s="3" t="s">
        <v>68</v>
      </c>
      <c r="E974" s="3" t="s">
        <v>100</v>
      </c>
      <c r="F974" s="3" t="s">
        <v>1373</v>
      </c>
      <c r="G974" s="7">
        <v>45819.951897776606</v>
      </c>
    </row>
    <row r="975">
      <c r="A975" s="3" t="s">
        <v>3712</v>
      </c>
      <c r="B975" s="3" t="s">
        <v>430</v>
      </c>
      <c r="C975" s="3" t="s">
        <v>1095</v>
      </c>
      <c r="D975" s="3" t="s">
        <v>68</v>
      </c>
      <c r="E975" s="3" t="s">
        <v>100</v>
      </c>
      <c r="F975" s="3" t="s">
        <v>1295</v>
      </c>
      <c r="G975" s="7">
        <v>45820.023072622025</v>
      </c>
    </row>
    <row r="976">
      <c r="A976" s="3" t="s">
        <v>3715</v>
      </c>
      <c r="B976" s="3" t="s">
        <v>400</v>
      </c>
      <c r="C976" s="3" t="s">
        <v>1095</v>
      </c>
      <c r="D976" s="3" t="s">
        <v>68</v>
      </c>
      <c r="E976" s="3" t="s">
        <v>100</v>
      </c>
      <c r="F976" s="3" t="s">
        <v>1538</v>
      </c>
      <c r="G976" s="7">
        <v>45820.09424746744</v>
      </c>
    </row>
    <row r="977">
      <c r="A977" s="3" t="s">
        <v>3718</v>
      </c>
      <c r="B977" s="3" t="s">
        <v>864</v>
      </c>
      <c r="C977" s="3" t="s">
        <v>1095</v>
      </c>
      <c r="D977" s="3" t="s">
        <v>68</v>
      </c>
      <c r="E977" s="3" t="s">
        <v>100</v>
      </c>
      <c r="F977" s="3" t="s">
        <v>1398</v>
      </c>
      <c r="G977" s="7">
        <v>45820.16542231285</v>
      </c>
    </row>
    <row r="978">
      <c r="A978" s="3" t="s">
        <v>3721</v>
      </c>
      <c r="B978" s="3" t="s">
        <v>547</v>
      </c>
      <c r="C978" s="3" t="s">
        <v>56</v>
      </c>
      <c r="D978" s="3" t="s">
        <v>68</v>
      </c>
      <c r="E978" s="3" t="s">
        <v>100</v>
      </c>
      <c r="F978" s="3" t="s">
        <v>1670</v>
      </c>
      <c r="G978" s="7">
        <v>45820.23659715827</v>
      </c>
    </row>
    <row r="979">
      <c r="A979" s="3" t="s">
        <v>3724</v>
      </c>
      <c r="B979" s="3" t="s">
        <v>702</v>
      </c>
      <c r="C979" s="3" t="s">
        <v>1095</v>
      </c>
      <c r="D979" s="3" t="s">
        <v>68</v>
      </c>
      <c r="E979" s="3" t="s">
        <v>100</v>
      </c>
      <c r="F979" s="3" t="s">
        <v>754</v>
      </c>
      <c r="G979" s="7">
        <v>45820.30777200368</v>
      </c>
    </row>
    <row r="980">
      <c r="A980" s="3" t="s">
        <v>3727</v>
      </c>
      <c r="B980" s="3" t="s">
        <v>391</v>
      </c>
      <c r="C980" s="3" t="s">
        <v>1342</v>
      </c>
      <c r="D980" s="3" t="s">
        <v>68</v>
      </c>
      <c r="E980" s="3" t="s">
        <v>100</v>
      </c>
      <c r="F980" s="3" t="s">
        <v>1083</v>
      </c>
      <c r="G980" s="7">
        <v>45820.378946849094</v>
      </c>
    </row>
    <row r="981">
      <c r="A981" s="3" t="s">
        <v>3730</v>
      </c>
      <c r="B981" s="3" t="s">
        <v>600</v>
      </c>
      <c r="C981" s="3" t="s">
        <v>1095</v>
      </c>
      <c r="D981" s="3" t="s">
        <v>68</v>
      </c>
      <c r="E981" s="3" t="s">
        <v>100</v>
      </c>
      <c r="F981" s="3" t="s">
        <v>1251</v>
      </c>
      <c r="G981" s="7">
        <v>45820.450121694514</v>
      </c>
    </row>
    <row r="982">
      <c r="A982" s="3" t="s">
        <v>3733</v>
      </c>
      <c r="B982" s="3" t="s">
        <v>363</v>
      </c>
      <c r="C982" s="3" t="s">
        <v>1342</v>
      </c>
      <c r="D982" s="3" t="s">
        <v>68</v>
      </c>
      <c r="E982" s="3" t="s">
        <v>100</v>
      </c>
      <c r="F982" s="3" t="s">
        <v>1495</v>
      </c>
      <c r="G982" s="7">
        <v>45820.521296539926</v>
      </c>
    </row>
    <row r="983">
      <c r="A983" s="3" t="s">
        <v>3736</v>
      </c>
      <c r="B983" s="3" t="s">
        <v>369</v>
      </c>
      <c r="C983" s="3" t="s">
        <v>1342</v>
      </c>
      <c r="D983" s="3" t="s">
        <v>68</v>
      </c>
      <c r="E983" s="3" t="s">
        <v>100</v>
      </c>
      <c r="F983" s="3" t="s">
        <v>1509</v>
      </c>
      <c r="G983" s="7">
        <v>45820.59247138534</v>
      </c>
    </row>
    <row r="984">
      <c r="A984" s="3" t="s">
        <v>3739</v>
      </c>
      <c r="B984" s="3" t="s">
        <v>380</v>
      </c>
      <c r="C984" s="3" t="s">
        <v>1095</v>
      </c>
      <c r="D984" s="3" t="s">
        <v>68</v>
      </c>
      <c r="E984" s="3" t="s">
        <v>100</v>
      </c>
      <c r="F984" s="3" t="s">
        <v>1012</v>
      </c>
      <c r="G984" s="7">
        <v>45820.66364623076</v>
      </c>
    </row>
    <row r="985">
      <c r="A985" s="3" t="s">
        <v>3742</v>
      </c>
      <c r="B985" s="3" t="s">
        <v>440</v>
      </c>
      <c r="C985" s="3" t="s">
        <v>56</v>
      </c>
      <c r="D985" s="3" t="s">
        <v>68</v>
      </c>
      <c r="E985" s="3" t="s">
        <v>100</v>
      </c>
      <c r="F985" s="3" t="s">
        <v>1671</v>
      </c>
      <c r="G985" s="7">
        <v>45820.73482107617</v>
      </c>
    </row>
    <row r="986">
      <c r="A986" s="3" t="s">
        <v>3746</v>
      </c>
      <c r="B986" s="3" t="s">
        <v>655</v>
      </c>
      <c r="C986" s="3" t="s">
        <v>1342</v>
      </c>
      <c r="D986" s="3" t="s">
        <v>68</v>
      </c>
      <c r="E986" s="3" t="s">
        <v>100</v>
      </c>
      <c r="F986" s="3" t="s">
        <v>1214</v>
      </c>
      <c r="G986" s="7">
        <v>45820.80599592158</v>
      </c>
    </row>
    <row r="987">
      <c r="A987" s="3" t="s">
        <v>3749</v>
      </c>
      <c r="B987" s="3" t="s">
        <v>622</v>
      </c>
      <c r="C987" s="3" t="s">
        <v>56</v>
      </c>
      <c r="D987" s="3" t="s">
        <v>68</v>
      </c>
      <c r="E987" s="3" t="s">
        <v>100</v>
      </c>
      <c r="F987" s="3" t="s">
        <v>1674</v>
      </c>
      <c r="G987" s="7">
        <v>45820.877170767</v>
      </c>
    </row>
    <row r="988">
      <c r="A988" s="3" t="s">
        <v>3753</v>
      </c>
      <c r="B988" s="3" t="s">
        <v>694</v>
      </c>
      <c r="C988" s="3" t="s">
        <v>1342</v>
      </c>
      <c r="D988" s="3" t="s">
        <v>68</v>
      </c>
      <c r="E988" s="3" t="s">
        <v>100</v>
      </c>
      <c r="F988" s="3" t="s">
        <v>659</v>
      </c>
      <c r="G988" s="7">
        <v>45820.94834561242</v>
      </c>
    </row>
    <row r="989">
      <c r="A989" s="3" t="s">
        <v>3756</v>
      </c>
      <c r="B989" s="3" t="s">
        <v>395</v>
      </c>
      <c r="C989" s="3" t="s">
        <v>1342</v>
      </c>
      <c r="D989" s="3" t="s">
        <v>181</v>
      </c>
      <c r="E989" s="3" t="s">
        <v>45</v>
      </c>
      <c r="F989" s="3" t="s">
        <v>712</v>
      </c>
      <c r="G989" s="7">
        <v>45821.01952045783</v>
      </c>
    </row>
    <row r="990">
      <c r="A990" s="3" t="s">
        <v>3759</v>
      </c>
      <c r="B990" s="3" t="s">
        <v>609</v>
      </c>
      <c r="C990" s="3" t="s">
        <v>1095</v>
      </c>
      <c r="D990" s="3" t="s">
        <v>68</v>
      </c>
      <c r="E990" s="3" t="s">
        <v>100</v>
      </c>
      <c r="F990" s="3" t="s">
        <v>1094</v>
      </c>
      <c r="G990" s="7">
        <v>45821.090695303246</v>
      </c>
    </row>
    <row r="991">
      <c r="A991" s="3" t="s">
        <v>3762</v>
      </c>
      <c r="B991" s="3" t="s">
        <v>848</v>
      </c>
      <c r="C991" s="3" t="s">
        <v>56</v>
      </c>
      <c r="D991" s="3" t="s">
        <v>68</v>
      </c>
      <c r="E991" s="3" t="s">
        <v>100</v>
      </c>
      <c r="F991" s="3" t="s">
        <v>1676</v>
      </c>
      <c r="G991" s="7">
        <v>45821.161870148666</v>
      </c>
    </row>
    <row r="992">
      <c r="A992" s="3" t="s">
        <v>3765</v>
      </c>
      <c r="B992" s="3" t="s">
        <v>605</v>
      </c>
      <c r="C992" s="3" t="s">
        <v>56</v>
      </c>
      <c r="D992" s="3" t="s">
        <v>195</v>
      </c>
      <c r="E992" s="3" t="s">
        <v>45</v>
      </c>
      <c r="F992" s="3" t="s">
        <v>45</v>
      </c>
      <c r="G992" s="7">
        <v>45821.23304499408</v>
      </c>
    </row>
    <row r="993">
      <c r="A993" s="3" t="s">
        <v>3768</v>
      </c>
      <c r="B993" s="3" t="s">
        <v>657</v>
      </c>
      <c r="C993" s="3" t="s">
        <v>1095</v>
      </c>
      <c r="D993" s="3" t="s">
        <v>68</v>
      </c>
      <c r="E993" s="3" t="s">
        <v>100</v>
      </c>
      <c r="F993" s="3" t="s">
        <v>808</v>
      </c>
      <c r="G993" s="7">
        <v>45821.30421983949</v>
      </c>
    </row>
    <row r="994">
      <c r="A994" s="3" t="s">
        <v>3772</v>
      </c>
      <c r="B994" s="3" t="s">
        <v>208</v>
      </c>
      <c r="C994" s="3" t="s">
        <v>1095</v>
      </c>
      <c r="D994" s="3" t="s">
        <v>195</v>
      </c>
      <c r="E994" s="3" t="s">
        <v>45</v>
      </c>
      <c r="F994" s="3" t="s">
        <v>1643</v>
      </c>
      <c r="G994" s="7">
        <v>45821.37539468491</v>
      </c>
    </row>
    <row r="995">
      <c r="A995" s="3" t="s">
        <v>3775</v>
      </c>
      <c r="B995" s="3" t="s">
        <v>236</v>
      </c>
      <c r="C995" s="3" t="s">
        <v>1342</v>
      </c>
      <c r="D995" s="3" t="s">
        <v>68</v>
      </c>
      <c r="E995" s="3" t="s">
        <v>100</v>
      </c>
      <c r="F995" s="3" t="s">
        <v>1383</v>
      </c>
      <c r="G995" s="7">
        <v>45821.44656953032</v>
      </c>
    </row>
    <row r="996">
      <c r="A996" s="3" t="s">
        <v>3778</v>
      </c>
      <c r="B996" s="3" t="s">
        <v>414</v>
      </c>
      <c r="C996" s="3" t="s">
        <v>1095</v>
      </c>
      <c r="D996" s="3" t="s">
        <v>68</v>
      </c>
      <c r="E996" s="3" t="s">
        <v>100</v>
      </c>
      <c r="F996" s="3" t="s">
        <v>1517</v>
      </c>
      <c r="G996" s="7">
        <v>45821.517744375735</v>
      </c>
    </row>
    <row r="997">
      <c r="A997" s="3" t="s">
        <v>3781</v>
      </c>
      <c r="B997" s="3" t="s">
        <v>269</v>
      </c>
      <c r="C997" s="3" t="s">
        <v>1342</v>
      </c>
      <c r="D997" s="3" t="s">
        <v>68</v>
      </c>
      <c r="E997" s="3" t="s">
        <v>100</v>
      </c>
      <c r="F997" s="3" t="s">
        <v>1663</v>
      </c>
      <c r="G997" s="7">
        <v>45821.588919221154</v>
      </c>
    </row>
    <row r="998">
      <c r="A998" s="3" t="s">
        <v>3784</v>
      </c>
      <c r="B998" s="3" t="s">
        <v>976</v>
      </c>
      <c r="C998" s="3" t="s">
        <v>56</v>
      </c>
      <c r="D998" s="3" t="s">
        <v>68</v>
      </c>
      <c r="E998" s="3" t="s">
        <v>100</v>
      </c>
      <c r="F998" s="3" t="s">
        <v>1679</v>
      </c>
      <c r="G998" s="7">
        <v>45821.66009406657</v>
      </c>
    </row>
    <row r="999">
      <c r="A999" s="3" t="s">
        <v>3787</v>
      </c>
      <c r="B999" s="3" t="s">
        <v>440</v>
      </c>
      <c r="C999" s="3" t="s">
        <v>1342</v>
      </c>
      <c r="D999" s="3" t="s">
        <v>181</v>
      </c>
      <c r="E999" s="3" t="s">
        <v>45</v>
      </c>
      <c r="F999" s="3" t="s">
        <v>1671</v>
      </c>
      <c r="G999" s="7">
        <v>45821.73126891198</v>
      </c>
    </row>
    <row r="1000">
      <c r="A1000" s="3" t="s">
        <v>3790</v>
      </c>
      <c r="B1000" s="3" t="s">
        <v>193</v>
      </c>
      <c r="C1000" s="3" t="s">
        <v>1095</v>
      </c>
      <c r="D1000" s="3" t="s">
        <v>68</v>
      </c>
      <c r="E1000" s="3" t="s">
        <v>100</v>
      </c>
      <c r="F1000" s="3" t="s">
        <v>693</v>
      </c>
      <c r="G1000" s="7">
        <v>45821.8024437574</v>
      </c>
    </row>
    <row r="1001">
      <c r="A1001" s="3" t="s">
        <v>3794</v>
      </c>
      <c r="B1001" s="3" t="s">
        <v>550</v>
      </c>
      <c r="C1001" s="3" t="s">
        <v>56</v>
      </c>
      <c r="D1001" s="3" t="s">
        <v>68</v>
      </c>
      <c r="E1001" s="3" t="s">
        <v>100</v>
      </c>
      <c r="F1001" s="3" t="s">
        <v>1681</v>
      </c>
      <c r="G1001" s="7">
        <v>45821.87361860281</v>
      </c>
    </row>
    <row r="1002">
      <c r="A1002" s="3" t="s">
        <v>3797</v>
      </c>
      <c r="B1002" s="3" t="s">
        <v>770</v>
      </c>
      <c r="C1002" s="3" t="s">
        <v>1342</v>
      </c>
      <c r="D1002" s="3" t="s">
        <v>68</v>
      </c>
      <c r="E1002" s="3" t="s">
        <v>100</v>
      </c>
      <c r="F1002" s="3" t="s">
        <v>1426</v>
      </c>
      <c r="G1002" s="7">
        <v>45821.94479344822</v>
      </c>
    </row>
    <row r="1003">
      <c r="A1003" s="3" t="s">
        <v>3800</v>
      </c>
      <c r="B1003" s="3" t="s">
        <v>751</v>
      </c>
      <c r="C1003" s="3" t="s">
        <v>56</v>
      </c>
      <c r="D1003" s="3" t="s">
        <v>68</v>
      </c>
      <c r="E1003" s="3" t="s">
        <v>100</v>
      </c>
      <c r="F1003" s="3" t="s">
        <v>1684</v>
      </c>
      <c r="G1003" s="7">
        <v>45822.01596829364</v>
      </c>
    </row>
    <row r="1004">
      <c r="A1004" s="3" t="s">
        <v>3803</v>
      </c>
      <c r="B1004" s="3" t="s">
        <v>767</v>
      </c>
      <c r="C1004" s="3" t="s">
        <v>1342</v>
      </c>
      <c r="D1004" s="3" t="s">
        <v>68</v>
      </c>
      <c r="E1004" s="3" t="s">
        <v>100</v>
      </c>
      <c r="F1004" s="3" t="s">
        <v>526</v>
      </c>
      <c r="G1004" s="7">
        <v>45822.08714313906</v>
      </c>
    </row>
    <row r="1005">
      <c r="A1005" s="3" t="s">
        <v>3806</v>
      </c>
      <c r="B1005" s="3" t="s">
        <v>135</v>
      </c>
      <c r="C1005" s="3" t="s">
        <v>1342</v>
      </c>
      <c r="D1005" s="3" t="s">
        <v>68</v>
      </c>
      <c r="E1005" s="3" t="s">
        <v>100</v>
      </c>
      <c r="F1005" s="3" t="s">
        <v>1485</v>
      </c>
      <c r="G1005" s="7">
        <v>45822.15831798447</v>
      </c>
    </row>
    <row r="1006">
      <c r="A1006" s="3" t="s">
        <v>3809</v>
      </c>
      <c r="B1006" s="3" t="s">
        <v>383</v>
      </c>
      <c r="C1006" s="3" t="s">
        <v>1095</v>
      </c>
      <c r="D1006" s="3" t="s">
        <v>68</v>
      </c>
      <c r="E1006" s="3" t="s">
        <v>100</v>
      </c>
      <c r="F1006" s="3" t="s">
        <v>633</v>
      </c>
      <c r="G1006" s="7">
        <v>45822.22949282989</v>
      </c>
    </row>
    <row r="1007">
      <c r="A1007" s="3" t="s">
        <v>3813</v>
      </c>
      <c r="B1007" s="3" t="s">
        <v>419</v>
      </c>
      <c r="C1007" s="3" t="s">
        <v>56</v>
      </c>
      <c r="D1007" s="3" t="s">
        <v>68</v>
      </c>
      <c r="E1007" s="3" t="s">
        <v>100</v>
      </c>
      <c r="F1007" s="3" t="s">
        <v>1685</v>
      </c>
      <c r="G1007" s="7">
        <v>45822.30066767531</v>
      </c>
    </row>
    <row r="1008">
      <c r="A1008" s="3" t="s">
        <v>3817</v>
      </c>
      <c r="B1008" s="3" t="s">
        <v>419</v>
      </c>
      <c r="C1008" s="3" t="s">
        <v>1342</v>
      </c>
      <c r="D1008" s="3" t="s">
        <v>68</v>
      </c>
      <c r="E1008" s="3" t="s">
        <v>100</v>
      </c>
      <c r="F1008" s="3" t="s">
        <v>1685</v>
      </c>
      <c r="G1008" s="7">
        <v>45822.37184252072</v>
      </c>
    </row>
    <row r="1009">
      <c r="A1009" s="3" t="s">
        <v>3820</v>
      </c>
      <c r="B1009" s="3" t="s">
        <v>998</v>
      </c>
      <c r="C1009" s="3" t="s">
        <v>56</v>
      </c>
      <c r="D1009" s="3" t="s">
        <v>68</v>
      </c>
      <c r="E1009" s="3" t="s">
        <v>100</v>
      </c>
      <c r="F1009" s="3" t="s">
        <v>1687</v>
      </c>
      <c r="G1009" s="7">
        <v>45822.44301736613</v>
      </c>
    </row>
    <row r="1010">
      <c r="A1010" s="3" t="s">
        <v>3823</v>
      </c>
      <c r="B1010" s="3" t="s">
        <v>845</v>
      </c>
      <c r="C1010" s="3" t="s">
        <v>1342</v>
      </c>
      <c r="D1010" s="3" t="s">
        <v>68</v>
      </c>
      <c r="E1010" s="3" t="s">
        <v>100</v>
      </c>
      <c r="F1010" s="3" t="s">
        <v>1413</v>
      </c>
      <c r="G1010" s="7">
        <v>45822.51419221155</v>
      </c>
    </row>
    <row r="1011">
      <c r="A1011" s="3" t="s">
        <v>3826</v>
      </c>
      <c r="B1011" s="3" t="s">
        <v>579</v>
      </c>
      <c r="C1011" s="3" t="s">
        <v>56</v>
      </c>
      <c r="D1011" s="3" t="s">
        <v>195</v>
      </c>
      <c r="E1011" s="3" t="s">
        <v>45</v>
      </c>
      <c r="F1011" s="3" t="s">
        <v>45</v>
      </c>
      <c r="G1011" s="7">
        <v>45822.58536705696</v>
      </c>
    </row>
    <row r="1012">
      <c r="A1012" s="3" t="s">
        <v>3829</v>
      </c>
      <c r="B1012" s="3" t="s">
        <v>773</v>
      </c>
      <c r="C1012" s="3" t="s">
        <v>1095</v>
      </c>
      <c r="D1012" s="3" t="s">
        <v>68</v>
      </c>
      <c r="E1012" s="3" t="s">
        <v>100</v>
      </c>
      <c r="F1012" s="3" t="s">
        <v>1589</v>
      </c>
      <c r="G1012" s="7">
        <v>45822.656541902375</v>
      </c>
    </row>
    <row r="1013">
      <c r="A1013" s="3" t="s">
        <v>3831</v>
      </c>
      <c r="B1013" s="3" t="s">
        <v>424</v>
      </c>
      <c r="C1013" s="3" t="s">
        <v>1342</v>
      </c>
      <c r="D1013" s="3" t="s">
        <v>195</v>
      </c>
      <c r="E1013" s="3" t="s">
        <v>45</v>
      </c>
      <c r="F1013" s="3" t="s">
        <v>549</v>
      </c>
      <c r="G1013" s="7">
        <v>45822.727716747795</v>
      </c>
    </row>
    <row r="1014">
      <c r="A1014" s="3" t="s">
        <v>3833</v>
      </c>
      <c r="B1014" s="3" t="s">
        <v>853</v>
      </c>
      <c r="C1014" s="3" t="s">
        <v>1095</v>
      </c>
      <c r="D1014" s="3" t="s">
        <v>181</v>
      </c>
      <c r="E1014" s="3" t="s">
        <v>45</v>
      </c>
      <c r="F1014" s="3" t="s">
        <v>1640</v>
      </c>
      <c r="G1014" s="7">
        <v>45822.798891593215</v>
      </c>
    </row>
    <row r="1015">
      <c r="A1015" s="3" t="s">
        <v>3836</v>
      </c>
      <c r="B1015" s="3" t="s">
        <v>727</v>
      </c>
      <c r="C1015" s="3" t="s">
        <v>1342</v>
      </c>
      <c r="D1015" s="3" t="s">
        <v>68</v>
      </c>
      <c r="E1015" s="3" t="s">
        <v>100</v>
      </c>
      <c r="F1015" s="3" t="s">
        <v>1602</v>
      </c>
      <c r="G1015" s="7">
        <v>45822.87006643862</v>
      </c>
    </row>
    <row r="1016">
      <c r="A1016" s="3" t="s">
        <v>3839</v>
      </c>
      <c r="B1016" s="3" t="s">
        <v>348</v>
      </c>
      <c r="C1016" s="3" t="s">
        <v>56</v>
      </c>
      <c r="D1016" s="3" t="s">
        <v>68</v>
      </c>
      <c r="E1016" s="3" t="s">
        <v>100</v>
      </c>
      <c r="F1016" s="3" t="s">
        <v>1690</v>
      </c>
      <c r="G1016" s="7">
        <v>45822.94124128404</v>
      </c>
    </row>
    <row r="1017">
      <c r="A1017" s="3" t="s">
        <v>3842</v>
      </c>
      <c r="B1017" s="3" t="s">
        <v>694</v>
      </c>
      <c r="C1017" s="3" t="s">
        <v>1095</v>
      </c>
      <c r="D1017" s="3" t="s">
        <v>68</v>
      </c>
      <c r="E1017" s="3" t="s">
        <v>100</v>
      </c>
      <c r="F1017" s="3" t="s">
        <v>659</v>
      </c>
      <c r="G1017" s="7">
        <v>45823.01241612945</v>
      </c>
    </row>
    <row r="1018">
      <c r="A1018" s="3" t="s">
        <v>3846</v>
      </c>
      <c r="B1018" s="3" t="s">
        <v>565</v>
      </c>
      <c r="C1018" s="3" t="s">
        <v>1342</v>
      </c>
      <c r="D1018" s="3" t="s">
        <v>68</v>
      </c>
      <c r="E1018" s="3" t="s">
        <v>100</v>
      </c>
      <c r="F1018" s="3" t="s">
        <v>1322</v>
      </c>
      <c r="G1018" s="7">
        <v>45823.08359097487</v>
      </c>
    </row>
    <row r="1019">
      <c r="A1019" s="3" t="s">
        <v>3849</v>
      </c>
      <c r="B1019" s="3" t="s">
        <v>512</v>
      </c>
      <c r="C1019" s="3" t="s">
        <v>1342</v>
      </c>
      <c r="D1019" s="3" t="s">
        <v>68</v>
      </c>
      <c r="E1019" s="3" t="s">
        <v>100</v>
      </c>
      <c r="F1019" s="3" t="s">
        <v>1135</v>
      </c>
      <c r="G1019" s="7">
        <v>45823.15476582028</v>
      </c>
    </row>
    <row r="1020">
      <c r="A1020" s="3" t="s">
        <v>3853</v>
      </c>
      <c r="B1020" s="3" t="s">
        <v>168</v>
      </c>
      <c r="C1020" s="3" t="s">
        <v>1095</v>
      </c>
      <c r="D1020" s="3" t="s">
        <v>68</v>
      </c>
      <c r="E1020" s="3" t="s">
        <v>100</v>
      </c>
      <c r="F1020" s="3" t="s">
        <v>1641</v>
      </c>
      <c r="G1020" s="7">
        <v>45823.2259406657</v>
      </c>
    </row>
    <row r="1021">
      <c r="A1021" s="3" t="s">
        <v>3856</v>
      </c>
      <c r="B1021" s="3" t="s">
        <v>530</v>
      </c>
      <c r="C1021" s="3" t="s">
        <v>1342</v>
      </c>
      <c r="D1021" s="3" t="s">
        <v>68</v>
      </c>
      <c r="E1021" s="3" t="s">
        <v>100</v>
      </c>
      <c r="F1021" s="3" t="s">
        <v>1557</v>
      </c>
      <c r="G1021" s="7">
        <v>45823.29711551111</v>
      </c>
    </row>
    <row r="1022">
      <c r="A1022" s="3" t="s">
        <v>3859</v>
      </c>
      <c r="B1022" s="3" t="s">
        <v>148</v>
      </c>
      <c r="C1022" s="3" t="s">
        <v>1095</v>
      </c>
      <c r="D1022" s="3" t="s">
        <v>68</v>
      </c>
      <c r="E1022" s="3" t="s">
        <v>100</v>
      </c>
      <c r="F1022" s="3" t="s">
        <v>1581</v>
      </c>
      <c r="G1022" s="7">
        <v>45823.36829035653</v>
      </c>
    </row>
    <row r="1023">
      <c r="A1023" s="3" t="s">
        <v>3862</v>
      </c>
      <c r="B1023" s="3" t="s">
        <v>615</v>
      </c>
      <c r="C1023" s="3" t="s">
        <v>1342</v>
      </c>
      <c r="D1023" s="3" t="s">
        <v>68</v>
      </c>
      <c r="E1023" s="3" t="s">
        <v>100</v>
      </c>
      <c r="F1023" s="3" t="s">
        <v>1493</v>
      </c>
      <c r="G1023" s="7">
        <v>45823.43946520195</v>
      </c>
    </row>
    <row r="1024">
      <c r="A1024" s="3" t="s">
        <v>3866</v>
      </c>
      <c r="B1024" s="3" t="s">
        <v>547</v>
      </c>
      <c r="C1024" s="3" t="s">
        <v>1095</v>
      </c>
      <c r="D1024" s="3" t="s">
        <v>68</v>
      </c>
      <c r="E1024" s="3" t="s">
        <v>100</v>
      </c>
      <c r="F1024" s="3" t="s">
        <v>1670</v>
      </c>
      <c r="G1024" s="7">
        <v>45823.51064004736</v>
      </c>
    </row>
    <row r="1025">
      <c r="A1025" s="3" t="s">
        <v>3870</v>
      </c>
      <c r="B1025" s="3" t="s">
        <v>468</v>
      </c>
      <c r="C1025" s="3" t="s">
        <v>1342</v>
      </c>
      <c r="D1025" s="3" t="s">
        <v>181</v>
      </c>
      <c r="E1025" s="3" t="s">
        <v>45</v>
      </c>
      <c r="F1025" s="3" t="s">
        <v>1570</v>
      </c>
      <c r="G1025" s="7">
        <v>45823.58181489277</v>
      </c>
    </row>
    <row r="1026">
      <c r="A1026" s="3" t="s">
        <v>3873</v>
      </c>
      <c r="B1026" s="3" t="s">
        <v>512</v>
      </c>
      <c r="C1026" s="3" t="s">
        <v>1095</v>
      </c>
      <c r="D1026" s="3" t="s">
        <v>68</v>
      </c>
      <c r="E1026" s="3" t="s">
        <v>100</v>
      </c>
      <c r="F1026" s="3" t="s">
        <v>1135</v>
      </c>
      <c r="G1026" s="7">
        <v>45823.65298973819</v>
      </c>
    </row>
    <row r="1027">
      <c r="A1027" s="3" t="s">
        <v>3876</v>
      </c>
      <c r="B1027" s="3" t="s">
        <v>512</v>
      </c>
      <c r="C1027" s="3" t="s">
        <v>56</v>
      </c>
      <c r="D1027" s="3" t="s">
        <v>68</v>
      </c>
      <c r="E1027" s="3" t="s">
        <v>100</v>
      </c>
      <c r="F1027" s="3" t="s">
        <v>1691</v>
      </c>
      <c r="G1027" s="7">
        <v>45823.724164583604</v>
      </c>
    </row>
    <row r="1028">
      <c r="A1028" s="3" t="s">
        <v>3879</v>
      </c>
      <c r="B1028" s="3" t="s">
        <v>584</v>
      </c>
      <c r="C1028" s="3" t="s">
        <v>1342</v>
      </c>
      <c r="D1028" s="3" t="s">
        <v>68</v>
      </c>
      <c r="E1028" s="3" t="s">
        <v>100</v>
      </c>
      <c r="F1028" s="3" t="s">
        <v>837</v>
      </c>
      <c r="G1028" s="7">
        <v>45823.795339429016</v>
      </c>
    </row>
    <row r="1029">
      <c r="A1029" s="3" t="s">
        <v>3881</v>
      </c>
      <c r="B1029" s="3" t="s">
        <v>260</v>
      </c>
      <c r="C1029" s="3" t="s">
        <v>1342</v>
      </c>
      <c r="D1029" s="3" t="s">
        <v>68</v>
      </c>
      <c r="E1029" s="3" t="s">
        <v>100</v>
      </c>
      <c r="F1029" s="3" t="s">
        <v>1302</v>
      </c>
      <c r="G1029" s="7">
        <v>45823.866514274436</v>
      </c>
    </row>
    <row r="1030">
      <c r="A1030" s="3" t="s">
        <v>3883</v>
      </c>
      <c r="B1030" s="3" t="s">
        <v>669</v>
      </c>
      <c r="C1030" s="3" t="s">
        <v>1342</v>
      </c>
      <c r="D1030" s="3" t="s">
        <v>68</v>
      </c>
      <c r="E1030" s="3" t="s">
        <v>100</v>
      </c>
      <c r="F1030" s="3" t="s">
        <v>780</v>
      </c>
      <c r="G1030" s="7">
        <v>45823.937689119855</v>
      </c>
    </row>
    <row r="1031">
      <c r="A1031" s="3" t="s">
        <v>3885</v>
      </c>
      <c r="B1031" s="3" t="s">
        <v>316</v>
      </c>
      <c r="C1031" s="3" t="s">
        <v>56</v>
      </c>
      <c r="D1031" s="3" t="s">
        <v>68</v>
      </c>
      <c r="E1031" s="3" t="s">
        <v>100</v>
      </c>
      <c r="F1031" s="3" t="s">
        <v>1694</v>
      </c>
      <c r="G1031" s="7">
        <v>45824.00886396526</v>
      </c>
    </row>
    <row r="1032">
      <c r="A1032" s="3" t="s">
        <v>3887</v>
      </c>
      <c r="B1032" s="3" t="s">
        <v>579</v>
      </c>
      <c r="C1032" s="3" t="s">
        <v>56</v>
      </c>
      <c r="D1032" s="3" t="s">
        <v>68</v>
      </c>
      <c r="E1032" s="3" t="s">
        <v>100</v>
      </c>
      <c r="F1032" s="3" t="s">
        <v>1697</v>
      </c>
      <c r="G1032" s="7">
        <v>45824.08003881068</v>
      </c>
    </row>
    <row r="1033">
      <c r="A1033" s="3" t="s">
        <v>3891</v>
      </c>
      <c r="B1033" s="3" t="s">
        <v>838</v>
      </c>
      <c r="C1033" s="3" t="s">
        <v>1342</v>
      </c>
      <c r="D1033" s="3" t="s">
        <v>68</v>
      </c>
      <c r="E1033" s="3" t="s">
        <v>100</v>
      </c>
      <c r="F1033" s="3" t="s">
        <v>1661</v>
      </c>
      <c r="G1033" s="7">
        <v>45824.1512136561</v>
      </c>
    </row>
    <row r="1034">
      <c r="A1034" s="3" t="s">
        <v>3894</v>
      </c>
      <c r="B1034" s="3" t="s">
        <v>612</v>
      </c>
      <c r="C1034" s="3" t="s">
        <v>1095</v>
      </c>
      <c r="D1034" s="3" t="s">
        <v>68</v>
      </c>
      <c r="E1034" s="3" t="s">
        <v>100</v>
      </c>
      <c r="F1034" s="3" t="s">
        <v>818</v>
      </c>
      <c r="G1034" s="7">
        <v>45824.22238850151</v>
      </c>
    </row>
    <row r="1035">
      <c r="A1035" s="3" t="s">
        <v>3897</v>
      </c>
      <c r="B1035" s="3" t="s">
        <v>193</v>
      </c>
      <c r="C1035" s="3" t="s">
        <v>56</v>
      </c>
      <c r="D1035" s="3" t="s">
        <v>68</v>
      </c>
      <c r="E1035" s="3" t="s">
        <v>100</v>
      </c>
      <c r="F1035" s="3" t="s">
        <v>1699</v>
      </c>
      <c r="G1035" s="7">
        <v>45824.293563346924</v>
      </c>
    </row>
    <row r="1036">
      <c r="A1036" s="3" t="s">
        <v>3901</v>
      </c>
      <c r="B1036" s="3" t="s">
        <v>805</v>
      </c>
      <c r="C1036" s="3" t="s">
        <v>1342</v>
      </c>
      <c r="D1036" s="3" t="s">
        <v>68</v>
      </c>
      <c r="E1036" s="3" t="s">
        <v>100</v>
      </c>
      <c r="F1036" s="3" t="s">
        <v>1403</v>
      </c>
      <c r="G1036" s="7">
        <v>45824.364738192344</v>
      </c>
    </row>
    <row r="1037">
      <c r="A1037" s="3" t="s">
        <v>3904</v>
      </c>
      <c r="B1037" s="3" t="s">
        <v>1008</v>
      </c>
      <c r="C1037" s="3" t="s">
        <v>1342</v>
      </c>
      <c r="D1037" s="3" t="s">
        <v>68</v>
      </c>
      <c r="E1037" s="3" t="s">
        <v>100</v>
      </c>
      <c r="F1037" s="3" t="s">
        <v>1218</v>
      </c>
      <c r="G1037" s="7">
        <v>45824.435913037756</v>
      </c>
    </row>
    <row r="1038">
      <c r="A1038" s="3" t="s">
        <v>3907</v>
      </c>
      <c r="B1038" s="3" t="s">
        <v>156</v>
      </c>
      <c r="C1038" s="3" t="s">
        <v>56</v>
      </c>
      <c r="D1038" s="3" t="s">
        <v>68</v>
      </c>
      <c r="E1038" s="3" t="s">
        <v>100</v>
      </c>
      <c r="F1038" s="3" t="s">
        <v>1701</v>
      </c>
      <c r="G1038" s="7">
        <v>45824.50708788317</v>
      </c>
    </row>
    <row r="1039">
      <c r="A1039" s="3" t="s">
        <v>3910</v>
      </c>
      <c r="B1039" s="3" t="s">
        <v>359</v>
      </c>
      <c r="C1039" s="3" t="s">
        <v>1342</v>
      </c>
      <c r="D1039" s="3" t="s">
        <v>68</v>
      </c>
      <c r="E1039" s="3" t="s">
        <v>100</v>
      </c>
      <c r="F1039" s="3" t="s">
        <v>1533</v>
      </c>
      <c r="G1039" s="7">
        <v>45824.57826272859</v>
      </c>
    </row>
    <row r="1040">
      <c r="A1040" s="3" t="s">
        <v>3913</v>
      </c>
      <c r="B1040" s="3" t="s">
        <v>665</v>
      </c>
      <c r="C1040" s="3" t="s">
        <v>56</v>
      </c>
      <c r="D1040" s="3" t="s">
        <v>68</v>
      </c>
      <c r="E1040" s="3" t="s">
        <v>100</v>
      </c>
      <c r="F1040" s="3" t="s">
        <v>1704</v>
      </c>
      <c r="G1040" s="7">
        <v>45824.649437574</v>
      </c>
    </row>
    <row r="1041">
      <c r="A1041" s="3" t="s">
        <v>3916</v>
      </c>
      <c r="B1041" s="3" t="s">
        <v>539</v>
      </c>
      <c r="C1041" s="3" t="s">
        <v>56</v>
      </c>
      <c r="D1041" s="3" t="s">
        <v>68</v>
      </c>
      <c r="E1041" s="3" t="s">
        <v>100</v>
      </c>
      <c r="F1041" s="3" t="s">
        <v>1706</v>
      </c>
      <c r="G1041" s="7">
        <v>45824.72061241941</v>
      </c>
    </row>
    <row r="1042">
      <c r="A1042" s="3" t="s">
        <v>3919</v>
      </c>
      <c r="B1042" s="3" t="s">
        <v>168</v>
      </c>
      <c r="C1042" s="3" t="s">
        <v>56</v>
      </c>
      <c r="D1042" s="3" t="s">
        <v>68</v>
      </c>
      <c r="E1042" s="3" t="s">
        <v>100</v>
      </c>
      <c r="F1042" s="3" t="s">
        <v>1709</v>
      </c>
      <c r="G1042" s="7">
        <v>45824.79178726483</v>
      </c>
    </row>
    <row r="1043">
      <c r="A1043" s="3" t="s">
        <v>3923</v>
      </c>
      <c r="B1043" s="3" t="s">
        <v>359</v>
      </c>
      <c r="C1043" s="3" t="s">
        <v>1342</v>
      </c>
      <c r="D1043" s="3" t="s">
        <v>68</v>
      </c>
      <c r="E1043" s="3" t="s">
        <v>100</v>
      </c>
      <c r="F1043" s="3" t="s">
        <v>1533</v>
      </c>
      <c r="G1043" s="7">
        <v>45824.862962110245</v>
      </c>
    </row>
    <row r="1044">
      <c r="A1044" s="3" t="s">
        <v>3926</v>
      </c>
      <c r="B1044" s="3" t="s">
        <v>193</v>
      </c>
      <c r="C1044" s="3" t="s">
        <v>1095</v>
      </c>
      <c r="D1044" s="3" t="s">
        <v>68</v>
      </c>
      <c r="E1044" s="3" t="s">
        <v>100</v>
      </c>
      <c r="F1044" s="3" t="s">
        <v>1699</v>
      </c>
      <c r="G1044" s="7">
        <v>45824.93413695566</v>
      </c>
    </row>
    <row r="1045">
      <c r="A1045" s="3" t="s">
        <v>3929</v>
      </c>
      <c r="B1045" s="3" t="s">
        <v>411</v>
      </c>
      <c r="C1045" s="3" t="s">
        <v>1095</v>
      </c>
      <c r="D1045" s="3" t="s">
        <v>68</v>
      </c>
      <c r="E1045" s="3" t="s">
        <v>100</v>
      </c>
      <c r="F1045" s="3" t="s">
        <v>1625</v>
      </c>
      <c r="G1045" s="7">
        <v>45825.00531180108</v>
      </c>
    </row>
    <row r="1046">
      <c r="A1046" s="3" t="s">
        <v>3932</v>
      </c>
      <c r="B1046" s="3" t="s">
        <v>793</v>
      </c>
      <c r="C1046" s="3" t="s">
        <v>56</v>
      </c>
      <c r="D1046" s="3" t="s">
        <v>68</v>
      </c>
      <c r="E1046" s="3" t="s">
        <v>100</v>
      </c>
      <c r="F1046" s="3" t="s">
        <v>1712</v>
      </c>
      <c r="G1046" s="7">
        <v>45825.076486646496</v>
      </c>
    </row>
    <row r="1047">
      <c r="A1047" s="3" t="s">
        <v>3936</v>
      </c>
      <c r="B1047" s="3" t="s">
        <v>993</v>
      </c>
      <c r="C1047" s="3" t="s">
        <v>1095</v>
      </c>
      <c r="D1047" s="3" t="s">
        <v>68</v>
      </c>
      <c r="E1047" s="3" t="s">
        <v>100</v>
      </c>
      <c r="F1047" s="3" t="s">
        <v>1656</v>
      </c>
      <c r="G1047" s="7">
        <v>45825.1476614919</v>
      </c>
    </row>
    <row r="1048">
      <c r="A1048" s="3" t="s">
        <v>3939</v>
      </c>
      <c r="B1048" s="3" t="s">
        <v>1043</v>
      </c>
      <c r="C1048" s="3" t="s">
        <v>1342</v>
      </c>
      <c r="D1048" s="3" t="s">
        <v>68</v>
      </c>
      <c r="E1048" s="3" t="s">
        <v>100</v>
      </c>
      <c r="F1048" s="3" t="s">
        <v>1560</v>
      </c>
      <c r="G1048" s="7">
        <v>45825.21883633732</v>
      </c>
    </row>
    <row r="1049">
      <c r="A1049" s="3" t="s">
        <v>3943</v>
      </c>
      <c r="B1049" s="3" t="s">
        <v>746</v>
      </c>
      <c r="C1049" s="3" t="s">
        <v>1342</v>
      </c>
      <c r="D1049" s="3" t="s">
        <v>181</v>
      </c>
      <c r="E1049" s="3" t="s">
        <v>45</v>
      </c>
      <c r="F1049" s="3" t="s">
        <v>1631</v>
      </c>
      <c r="G1049" s="7">
        <v>45825.29001118274</v>
      </c>
    </row>
    <row r="1050">
      <c r="A1050" s="3" t="s">
        <v>3947</v>
      </c>
      <c r="B1050" s="3" t="s">
        <v>752</v>
      </c>
      <c r="C1050" s="3" t="s">
        <v>1342</v>
      </c>
      <c r="D1050" s="3" t="s">
        <v>195</v>
      </c>
      <c r="E1050" s="3" t="s">
        <v>45</v>
      </c>
      <c r="F1050" s="3" t="s">
        <v>728</v>
      </c>
      <c r="G1050" s="7">
        <v>45825.36118602815</v>
      </c>
    </row>
    <row r="1051">
      <c r="A1051" s="3" t="s">
        <v>3950</v>
      </c>
      <c r="B1051" s="3" t="s">
        <v>135</v>
      </c>
      <c r="C1051" s="3" t="s">
        <v>1342</v>
      </c>
      <c r="D1051" s="3" t="s">
        <v>195</v>
      </c>
      <c r="E1051" s="3" t="s">
        <v>45</v>
      </c>
      <c r="F1051" s="3" t="s">
        <v>1485</v>
      </c>
      <c r="G1051" s="7">
        <v>45825.432360873565</v>
      </c>
    </row>
    <row r="1052">
      <c r="A1052" s="3" t="s">
        <v>3954</v>
      </c>
      <c r="B1052" s="3" t="s">
        <v>175</v>
      </c>
      <c r="C1052" s="3" t="s">
        <v>56</v>
      </c>
      <c r="D1052" s="3" t="s">
        <v>68</v>
      </c>
      <c r="E1052" s="3" t="s">
        <v>100</v>
      </c>
      <c r="F1052" s="3" t="s">
        <v>1713</v>
      </c>
      <c r="G1052" s="7">
        <v>45825.503535718984</v>
      </c>
    </row>
    <row r="1053">
      <c r="A1053" s="3" t="s">
        <v>3956</v>
      </c>
      <c r="B1053" s="3" t="s">
        <v>937</v>
      </c>
      <c r="C1053" s="3" t="s">
        <v>56</v>
      </c>
      <c r="D1053" s="3" t="s">
        <v>68</v>
      </c>
      <c r="E1053" s="3" t="s">
        <v>100</v>
      </c>
      <c r="F1053" s="3" t="s">
        <v>1715</v>
      </c>
      <c r="G1053" s="7">
        <v>45825.5747105644</v>
      </c>
    </row>
    <row r="1054">
      <c r="A1054" s="3" t="s">
        <v>3959</v>
      </c>
      <c r="B1054" s="3" t="s">
        <v>734</v>
      </c>
      <c r="C1054" s="3" t="s">
        <v>1342</v>
      </c>
      <c r="D1054" s="3" t="s">
        <v>68</v>
      </c>
      <c r="E1054" s="3" t="s">
        <v>100</v>
      </c>
      <c r="F1054" s="3" t="s">
        <v>1535</v>
      </c>
      <c r="G1054" s="7">
        <v>45825.64588540981</v>
      </c>
    </row>
    <row r="1055">
      <c r="A1055" s="3" t="s">
        <v>3962</v>
      </c>
      <c r="B1055" s="3" t="s">
        <v>643</v>
      </c>
      <c r="C1055" s="3" t="s">
        <v>56</v>
      </c>
      <c r="D1055" s="3" t="s">
        <v>68</v>
      </c>
      <c r="E1055" s="3" t="s">
        <v>100</v>
      </c>
      <c r="F1055" s="3" t="s">
        <v>1718</v>
      </c>
      <c r="G1055" s="7">
        <v>45825.71706025523</v>
      </c>
    </row>
    <row r="1056">
      <c r="A1056" s="3" t="s">
        <v>3965</v>
      </c>
      <c r="B1056" s="3" t="s">
        <v>1034</v>
      </c>
      <c r="C1056" s="3" t="s">
        <v>1095</v>
      </c>
      <c r="D1056" s="3" t="s">
        <v>68</v>
      </c>
      <c r="E1056" s="3" t="s">
        <v>100</v>
      </c>
      <c r="F1056" s="3" t="s">
        <v>1601</v>
      </c>
      <c r="G1056" s="7">
        <v>45825.78823510065</v>
      </c>
    </row>
    <row r="1057">
      <c r="A1057" s="3" t="s">
        <v>3968</v>
      </c>
      <c r="B1057" s="3" t="s">
        <v>598</v>
      </c>
      <c r="C1057" s="3" t="s">
        <v>56</v>
      </c>
      <c r="D1057" s="3" t="s">
        <v>68</v>
      </c>
      <c r="E1057" s="3" t="s">
        <v>100</v>
      </c>
      <c r="F1057" s="3" t="s">
        <v>1720</v>
      </c>
      <c r="G1057" s="7">
        <v>45825.85940994605</v>
      </c>
    </row>
    <row r="1058">
      <c r="A1058" s="3" t="s">
        <v>3971</v>
      </c>
      <c r="B1058" s="3" t="s">
        <v>598</v>
      </c>
      <c r="C1058" s="3" t="s">
        <v>1342</v>
      </c>
      <c r="D1058" s="3" t="s">
        <v>68</v>
      </c>
      <c r="E1058" s="3" t="s">
        <v>100</v>
      </c>
      <c r="F1058" s="3" t="s">
        <v>1720</v>
      </c>
      <c r="G1058" s="7">
        <v>45825.93058479147</v>
      </c>
    </row>
    <row r="1059">
      <c r="A1059" s="3" t="s">
        <v>3974</v>
      </c>
      <c r="B1059" s="3" t="s">
        <v>330</v>
      </c>
      <c r="C1059" s="3" t="s">
        <v>56</v>
      </c>
      <c r="D1059" s="3" t="s">
        <v>68</v>
      </c>
      <c r="E1059" s="3" t="s">
        <v>100</v>
      </c>
      <c r="F1059" s="3" t="s">
        <v>1722</v>
      </c>
      <c r="G1059" s="7">
        <v>45826.001759636885</v>
      </c>
    </row>
    <row r="1060">
      <c r="A1060" s="3" t="s">
        <v>3976</v>
      </c>
      <c r="B1060" s="3" t="s">
        <v>491</v>
      </c>
      <c r="C1060" s="3" t="s">
        <v>1095</v>
      </c>
      <c r="D1060" s="3" t="s">
        <v>68</v>
      </c>
      <c r="E1060" s="3" t="s">
        <v>100</v>
      </c>
      <c r="F1060" s="3" t="s">
        <v>1483</v>
      </c>
      <c r="G1060" s="7">
        <v>45826.072934482305</v>
      </c>
    </row>
    <row r="1061">
      <c r="A1061" s="3" t="s">
        <v>3979</v>
      </c>
      <c r="B1061" s="3" t="s">
        <v>629</v>
      </c>
      <c r="C1061" s="3" t="s">
        <v>1342</v>
      </c>
      <c r="D1061" s="3" t="s">
        <v>68</v>
      </c>
      <c r="E1061" s="3" t="s">
        <v>100</v>
      </c>
      <c r="F1061" s="3" t="s">
        <v>1563</v>
      </c>
      <c r="G1061" s="7">
        <v>45826.14410932772</v>
      </c>
    </row>
    <row r="1062">
      <c r="A1062" s="3" t="s">
        <v>3982</v>
      </c>
      <c r="B1062" s="3" t="s">
        <v>316</v>
      </c>
      <c r="C1062" s="3" t="s">
        <v>1342</v>
      </c>
      <c r="D1062" s="3" t="s">
        <v>68</v>
      </c>
      <c r="E1062" s="3" t="s">
        <v>100</v>
      </c>
      <c r="F1062" s="3" t="s">
        <v>1694</v>
      </c>
      <c r="G1062" s="7">
        <v>45826.21528417314</v>
      </c>
    </row>
    <row r="1063">
      <c r="A1063" s="3" t="s">
        <v>3985</v>
      </c>
      <c r="B1063" s="3" t="s">
        <v>449</v>
      </c>
      <c r="C1063" s="3" t="s">
        <v>1095</v>
      </c>
      <c r="D1063" s="3" t="s">
        <v>68</v>
      </c>
      <c r="E1063" s="3" t="s">
        <v>100</v>
      </c>
      <c r="F1063" s="3" t="s">
        <v>1204</v>
      </c>
      <c r="G1063" s="7">
        <v>45826.28645901854</v>
      </c>
    </row>
    <row r="1064">
      <c r="A1064" s="3" t="s">
        <v>3989</v>
      </c>
      <c r="B1064" s="3" t="s">
        <v>961</v>
      </c>
      <c r="C1064" s="3" t="s">
        <v>56</v>
      </c>
      <c r="D1064" s="3" t="s">
        <v>68</v>
      </c>
      <c r="E1064" s="3" t="s">
        <v>100</v>
      </c>
      <c r="F1064" s="3" t="s">
        <v>1724</v>
      </c>
      <c r="G1064" s="7">
        <v>45826.35763386396</v>
      </c>
    </row>
    <row r="1065">
      <c r="A1065" s="3" t="s">
        <v>3992</v>
      </c>
      <c r="B1065" s="3" t="s">
        <v>502</v>
      </c>
      <c r="C1065" s="3" t="s">
        <v>56</v>
      </c>
      <c r="D1065" s="3" t="s">
        <v>68</v>
      </c>
      <c r="E1065" s="3" t="s">
        <v>100</v>
      </c>
      <c r="F1065" s="3" t="s">
        <v>1726</v>
      </c>
      <c r="G1065" s="7">
        <v>45826.42880870938</v>
      </c>
    </row>
    <row r="1066">
      <c r="A1066" s="3" t="s">
        <v>3995</v>
      </c>
      <c r="B1066" s="3" t="s">
        <v>643</v>
      </c>
      <c r="C1066" s="3" t="s">
        <v>1095</v>
      </c>
      <c r="D1066" s="3" t="s">
        <v>195</v>
      </c>
      <c r="E1066" s="3" t="s">
        <v>45</v>
      </c>
      <c r="F1066" s="3" t="s">
        <v>1718</v>
      </c>
      <c r="G1066" s="7">
        <v>45826.49998355479</v>
      </c>
    </row>
    <row r="1067">
      <c r="A1067" s="3" t="s">
        <v>3998</v>
      </c>
      <c r="B1067" s="3" t="s">
        <v>751</v>
      </c>
      <c r="C1067" s="3" t="s">
        <v>1342</v>
      </c>
      <c r="D1067" s="3" t="s">
        <v>68</v>
      </c>
      <c r="E1067" s="3" t="s">
        <v>100</v>
      </c>
      <c r="F1067" s="3" t="s">
        <v>1684</v>
      </c>
      <c r="G1067" s="7">
        <v>45826.571158400206</v>
      </c>
    </row>
    <row r="1068">
      <c r="A1068" s="3" t="s">
        <v>4001</v>
      </c>
      <c r="B1068" s="3" t="s">
        <v>669</v>
      </c>
      <c r="C1068" s="3" t="s">
        <v>1095</v>
      </c>
      <c r="D1068" s="3" t="s">
        <v>68</v>
      </c>
      <c r="E1068" s="3" t="s">
        <v>100</v>
      </c>
      <c r="F1068" s="3" t="s">
        <v>780</v>
      </c>
      <c r="G1068" s="7">
        <v>45826.642333245625</v>
      </c>
    </row>
    <row r="1069">
      <c r="A1069" s="3" t="s">
        <v>4004</v>
      </c>
      <c r="B1069" s="3" t="s">
        <v>239</v>
      </c>
      <c r="C1069" s="3" t="s">
        <v>1342</v>
      </c>
      <c r="D1069" s="3" t="s">
        <v>68</v>
      </c>
      <c r="E1069" s="3" t="s">
        <v>100</v>
      </c>
      <c r="F1069" s="3" t="s">
        <v>1211</v>
      </c>
      <c r="G1069" s="7">
        <v>45826.71350809104</v>
      </c>
    </row>
    <row r="1070">
      <c r="A1070" s="3" t="s">
        <v>4008</v>
      </c>
      <c r="B1070" s="3" t="s">
        <v>310</v>
      </c>
      <c r="C1070" s="3" t="s">
        <v>56</v>
      </c>
      <c r="D1070" s="3" t="s">
        <v>68</v>
      </c>
      <c r="E1070" s="3" t="s">
        <v>100</v>
      </c>
      <c r="F1070" s="3" t="s">
        <v>1728</v>
      </c>
      <c r="G1070" s="7">
        <v>45826.78468293645</v>
      </c>
    </row>
    <row r="1071">
      <c r="A1071" s="3" t="s">
        <v>4011</v>
      </c>
      <c r="B1071" s="3" t="s">
        <v>135</v>
      </c>
      <c r="C1071" s="3" t="s">
        <v>1342</v>
      </c>
      <c r="D1071" s="3" t="s">
        <v>68</v>
      </c>
      <c r="E1071" s="3" t="s">
        <v>100</v>
      </c>
      <c r="F1071" s="3" t="s">
        <v>1485</v>
      </c>
      <c r="G1071" s="7">
        <v>45826.85585778187</v>
      </c>
    </row>
    <row r="1072">
      <c r="A1072" s="3" t="s">
        <v>4015</v>
      </c>
      <c r="B1072" s="3" t="s">
        <v>326</v>
      </c>
      <c r="C1072" s="3" t="s">
        <v>56</v>
      </c>
      <c r="D1072" s="3" t="s">
        <v>68</v>
      </c>
      <c r="E1072" s="3" t="s">
        <v>100</v>
      </c>
      <c r="F1072" s="3" t="s">
        <v>1730</v>
      </c>
      <c r="G1072" s="7">
        <v>45826.92703262729</v>
      </c>
    </row>
    <row r="1073">
      <c r="A1073" s="3" t="s">
        <v>4018</v>
      </c>
      <c r="B1073" s="3" t="s">
        <v>778</v>
      </c>
      <c r="C1073" s="3" t="s">
        <v>56</v>
      </c>
      <c r="D1073" s="3" t="s">
        <v>68</v>
      </c>
      <c r="E1073" s="3" t="s">
        <v>100</v>
      </c>
      <c r="F1073" s="3" t="s">
        <v>1733</v>
      </c>
      <c r="G1073" s="7">
        <v>45826.998207472694</v>
      </c>
    </row>
    <row r="1074">
      <c r="A1074" s="3" t="s">
        <v>4021</v>
      </c>
      <c r="B1074" s="3" t="s">
        <v>269</v>
      </c>
      <c r="C1074" s="3" t="s">
        <v>1342</v>
      </c>
      <c r="D1074" s="3" t="s">
        <v>68</v>
      </c>
      <c r="E1074" s="3" t="s">
        <v>100</v>
      </c>
      <c r="F1074" s="3" t="s">
        <v>1663</v>
      </c>
      <c r="G1074" s="7">
        <v>45827.069382318114</v>
      </c>
    </row>
    <row r="1075">
      <c r="A1075" s="3" t="s">
        <v>4024</v>
      </c>
      <c r="B1075" s="3" t="s">
        <v>937</v>
      </c>
      <c r="C1075" s="3" t="s">
        <v>1342</v>
      </c>
      <c r="D1075" s="3" t="s">
        <v>68</v>
      </c>
      <c r="E1075" s="3" t="s">
        <v>100</v>
      </c>
      <c r="F1075" s="3" t="s">
        <v>1715</v>
      </c>
      <c r="G1075" s="7">
        <v>45827.14055716353</v>
      </c>
    </row>
    <row r="1076">
      <c r="A1076" s="3" t="s">
        <v>4027</v>
      </c>
      <c r="B1076" s="3" t="s">
        <v>722</v>
      </c>
      <c r="C1076" s="3" t="s">
        <v>56</v>
      </c>
      <c r="D1076" s="3" t="s">
        <v>68</v>
      </c>
      <c r="E1076" s="3" t="s">
        <v>100</v>
      </c>
      <c r="F1076" s="3" t="s">
        <v>1735</v>
      </c>
      <c r="G1076" s="7">
        <v>45827.211732008946</v>
      </c>
    </row>
    <row r="1077">
      <c r="A1077" s="3" t="s">
        <v>4030</v>
      </c>
      <c r="B1077" s="3" t="s">
        <v>498</v>
      </c>
      <c r="C1077" s="3" t="s">
        <v>56</v>
      </c>
      <c r="D1077" s="3" t="s">
        <v>68</v>
      </c>
      <c r="E1077" s="3" t="s">
        <v>100</v>
      </c>
      <c r="F1077" s="3" t="s">
        <v>1738</v>
      </c>
      <c r="G1077" s="7">
        <v>45827.28290685436</v>
      </c>
    </row>
    <row r="1078">
      <c r="A1078" s="3" t="s">
        <v>4033</v>
      </c>
      <c r="B1078" s="3" t="s">
        <v>269</v>
      </c>
      <c r="C1078" s="3" t="s">
        <v>1342</v>
      </c>
      <c r="D1078" s="3" t="s">
        <v>195</v>
      </c>
      <c r="E1078" s="3" t="s">
        <v>45</v>
      </c>
      <c r="F1078" s="3" t="s">
        <v>1663</v>
      </c>
      <c r="G1078" s="7">
        <v>45827.35408169978</v>
      </c>
    </row>
    <row r="1079">
      <c r="A1079" s="3" t="s">
        <v>4036</v>
      </c>
      <c r="B1079" s="3" t="s">
        <v>541</v>
      </c>
      <c r="C1079" s="3" t="s">
        <v>1342</v>
      </c>
      <c r="D1079" s="3" t="s">
        <v>68</v>
      </c>
      <c r="E1079" s="3" t="s">
        <v>100</v>
      </c>
      <c r="F1079" s="3" t="s">
        <v>1286</v>
      </c>
      <c r="G1079" s="7">
        <v>45827.42525654519</v>
      </c>
    </row>
    <row r="1080">
      <c r="A1080" s="3" t="s">
        <v>4039</v>
      </c>
      <c r="B1080" s="3" t="s">
        <v>179</v>
      </c>
      <c r="C1080" s="3" t="s">
        <v>56</v>
      </c>
      <c r="D1080" s="3" t="s">
        <v>195</v>
      </c>
      <c r="E1080" s="3" t="s">
        <v>45</v>
      </c>
      <c r="F1080" s="3" t="s">
        <v>45</v>
      </c>
      <c r="G1080" s="7">
        <v>45827.4964313906</v>
      </c>
    </row>
    <row r="1081">
      <c r="A1081" s="3" t="s">
        <v>4042</v>
      </c>
      <c r="B1081" s="3" t="s">
        <v>126</v>
      </c>
      <c r="C1081" s="3" t="s">
        <v>1095</v>
      </c>
      <c r="D1081" s="3" t="s">
        <v>68</v>
      </c>
      <c r="E1081" s="3" t="s">
        <v>100</v>
      </c>
      <c r="F1081" s="3" t="s">
        <v>1553</v>
      </c>
      <c r="G1081" s="7">
        <v>45827.56760623602</v>
      </c>
    </row>
    <row r="1082">
      <c r="A1082" s="3" t="s">
        <v>4045</v>
      </c>
      <c r="B1082" s="3" t="s">
        <v>1011</v>
      </c>
      <c r="C1082" s="3" t="s">
        <v>56</v>
      </c>
      <c r="D1082" s="3" t="s">
        <v>181</v>
      </c>
      <c r="E1082" s="3" t="s">
        <v>45</v>
      </c>
      <c r="F1082" s="3" t="s">
        <v>45</v>
      </c>
      <c r="G1082" s="7">
        <v>45827.638781081434</v>
      </c>
    </row>
    <row r="1083">
      <c r="A1083" s="3" t="s">
        <v>4048</v>
      </c>
      <c r="B1083" s="3" t="s">
        <v>151</v>
      </c>
      <c r="C1083" s="3" t="s">
        <v>1342</v>
      </c>
      <c r="D1083" s="3" t="s">
        <v>68</v>
      </c>
      <c r="E1083" s="3" t="s">
        <v>100</v>
      </c>
      <c r="F1083" s="3" t="s">
        <v>1645</v>
      </c>
      <c r="G1083" s="7">
        <v>45827.709955926846</v>
      </c>
    </row>
    <row r="1084">
      <c r="A1084" s="3" t="s">
        <v>4052</v>
      </c>
      <c r="B1084" s="3" t="s">
        <v>373</v>
      </c>
      <c r="C1084" s="3" t="s">
        <v>1095</v>
      </c>
      <c r="D1084" s="3" t="s">
        <v>68</v>
      </c>
      <c r="E1084" s="3" t="s">
        <v>100</v>
      </c>
      <c r="F1084" s="3" t="s">
        <v>1543</v>
      </c>
      <c r="G1084" s="7">
        <v>45827.781130772266</v>
      </c>
    </row>
    <row r="1085">
      <c r="A1085" s="3" t="s">
        <v>4056</v>
      </c>
      <c r="B1085" s="3" t="s">
        <v>208</v>
      </c>
      <c r="C1085" s="3" t="s">
        <v>1095</v>
      </c>
      <c r="D1085" s="3" t="s">
        <v>68</v>
      </c>
      <c r="E1085" s="3" t="s">
        <v>100</v>
      </c>
      <c r="F1085" s="3" t="s">
        <v>1643</v>
      </c>
      <c r="G1085" s="7">
        <v>45827.85230561768</v>
      </c>
    </row>
    <row r="1086">
      <c r="A1086" s="3" t="s">
        <v>4059</v>
      </c>
      <c r="B1086" s="3" t="s">
        <v>247</v>
      </c>
      <c r="C1086" s="3" t="s">
        <v>1342</v>
      </c>
      <c r="D1086" s="3" t="s">
        <v>68</v>
      </c>
      <c r="E1086" s="3" t="s">
        <v>100</v>
      </c>
      <c r="F1086" s="3" t="s">
        <v>1380</v>
      </c>
      <c r="G1086" s="7">
        <v>45827.92348046309</v>
      </c>
    </row>
    <row r="1087">
      <c r="A1087" s="3" t="s">
        <v>4062</v>
      </c>
      <c r="B1087" s="3" t="s">
        <v>383</v>
      </c>
      <c r="C1087" s="3" t="s">
        <v>56</v>
      </c>
      <c r="D1087" s="3" t="s">
        <v>68</v>
      </c>
      <c r="E1087" s="3" t="s">
        <v>100</v>
      </c>
      <c r="F1087" s="3" t="s">
        <v>1740</v>
      </c>
      <c r="G1087" s="7">
        <v>45827.99465530851</v>
      </c>
    </row>
    <row r="1088">
      <c r="A1088" s="3" t="s">
        <v>4065</v>
      </c>
      <c r="B1088" s="3" t="s">
        <v>913</v>
      </c>
      <c r="C1088" s="3" t="s">
        <v>56</v>
      </c>
      <c r="D1088" s="3" t="s">
        <v>68</v>
      </c>
      <c r="E1088" s="3" t="s">
        <v>100</v>
      </c>
      <c r="F1088" s="3" t="s">
        <v>1743</v>
      </c>
      <c r="G1088" s="7">
        <v>45828.06583015393</v>
      </c>
    </row>
    <row r="1089">
      <c r="A1089" s="3" t="s">
        <v>4068</v>
      </c>
      <c r="B1089" s="3" t="s">
        <v>159</v>
      </c>
      <c r="C1089" s="3" t="s">
        <v>1342</v>
      </c>
      <c r="D1089" s="3" t="s">
        <v>68</v>
      </c>
      <c r="E1089" s="3" t="s">
        <v>100</v>
      </c>
      <c r="F1089" s="3" t="s">
        <v>1292</v>
      </c>
      <c r="G1089" s="7">
        <v>45828.137004999335</v>
      </c>
    </row>
    <row r="1090">
      <c r="A1090" s="3" t="s">
        <v>4071</v>
      </c>
      <c r="B1090" s="3" t="s">
        <v>685</v>
      </c>
      <c r="C1090" s="3" t="s">
        <v>1342</v>
      </c>
      <c r="D1090" s="3" t="s">
        <v>68</v>
      </c>
      <c r="E1090" s="3" t="s">
        <v>100</v>
      </c>
      <c r="F1090" s="3" t="s">
        <v>1133</v>
      </c>
      <c r="G1090" s="7">
        <v>45828.208179844754</v>
      </c>
    </row>
    <row r="1091">
      <c r="A1091" s="3" t="s">
        <v>4074</v>
      </c>
      <c r="B1091" s="3" t="s">
        <v>233</v>
      </c>
      <c r="C1091" s="3" t="s">
        <v>1095</v>
      </c>
      <c r="D1091" s="3" t="s">
        <v>68</v>
      </c>
      <c r="E1091" s="3" t="s">
        <v>100</v>
      </c>
      <c r="F1091" s="3" t="s">
        <v>1666</v>
      </c>
      <c r="G1091" s="7">
        <v>45828.279354690174</v>
      </c>
    </row>
    <row r="1092">
      <c r="A1092" s="3" t="s">
        <v>4077</v>
      </c>
      <c r="B1092" s="3" t="s">
        <v>383</v>
      </c>
      <c r="C1092" s="3" t="s">
        <v>1095</v>
      </c>
      <c r="D1092" s="3" t="s">
        <v>68</v>
      </c>
      <c r="E1092" s="3" t="s">
        <v>100</v>
      </c>
      <c r="F1092" s="3" t="s">
        <v>1740</v>
      </c>
      <c r="G1092" s="7">
        <v>45828.350529535586</v>
      </c>
    </row>
    <row r="1093">
      <c r="A1093" s="3" t="s">
        <v>4081</v>
      </c>
      <c r="B1093" s="3" t="s">
        <v>145</v>
      </c>
      <c r="C1093" s="3" t="s">
        <v>56</v>
      </c>
      <c r="D1093" s="3" t="s">
        <v>68</v>
      </c>
      <c r="E1093" s="3" t="s">
        <v>100</v>
      </c>
      <c r="F1093" s="3" t="s">
        <v>1745</v>
      </c>
      <c r="G1093" s="7">
        <v>45828.421704381</v>
      </c>
    </row>
    <row r="1094">
      <c r="A1094" s="3" t="s">
        <v>4085</v>
      </c>
      <c r="B1094" s="3" t="s">
        <v>593</v>
      </c>
      <c r="C1094" s="3" t="s">
        <v>1342</v>
      </c>
      <c r="D1094" s="3" t="s">
        <v>68</v>
      </c>
      <c r="E1094" s="3" t="s">
        <v>100</v>
      </c>
      <c r="F1094" s="3" t="s">
        <v>1598</v>
      </c>
      <c r="G1094" s="7">
        <v>45828.49287922642</v>
      </c>
    </row>
    <row r="1095">
      <c r="A1095" s="3" t="s">
        <v>4088</v>
      </c>
      <c r="B1095" s="3" t="s">
        <v>239</v>
      </c>
      <c r="C1095" s="3" t="s">
        <v>1342</v>
      </c>
      <c r="D1095" s="3" t="s">
        <v>195</v>
      </c>
      <c r="E1095" s="3" t="s">
        <v>45</v>
      </c>
      <c r="F1095" s="3" t="s">
        <v>1211</v>
      </c>
      <c r="G1095" s="7">
        <v>45828.56405407183</v>
      </c>
    </row>
    <row r="1096">
      <c r="A1096" s="3" t="s">
        <v>4091</v>
      </c>
      <c r="B1096" s="3" t="s">
        <v>344</v>
      </c>
      <c r="C1096" s="3" t="s">
        <v>56</v>
      </c>
      <c r="D1096" s="3" t="s">
        <v>68</v>
      </c>
      <c r="E1096" s="3" t="s">
        <v>100</v>
      </c>
      <c r="F1096" s="3" t="s">
        <v>1747</v>
      </c>
      <c r="G1096" s="7">
        <v>45828.63522891724</v>
      </c>
    </row>
    <row r="1097">
      <c r="A1097" s="3" t="s">
        <v>4094</v>
      </c>
      <c r="B1097" s="3" t="s">
        <v>319</v>
      </c>
      <c r="C1097" s="3" t="s">
        <v>56</v>
      </c>
      <c r="D1097" s="3" t="s">
        <v>68</v>
      </c>
      <c r="E1097" s="3" t="s">
        <v>100</v>
      </c>
      <c r="F1097" s="3" t="s">
        <v>1750</v>
      </c>
      <c r="G1097" s="7">
        <v>45828.70640376266</v>
      </c>
    </row>
    <row r="1098">
      <c r="A1098" s="3" t="s">
        <v>4097</v>
      </c>
      <c r="B1098" s="3" t="s">
        <v>937</v>
      </c>
      <c r="C1098" s="3" t="s">
        <v>1342</v>
      </c>
      <c r="D1098" s="3" t="s">
        <v>68</v>
      </c>
      <c r="E1098" s="3" t="s">
        <v>100</v>
      </c>
      <c r="F1098" s="3" t="s">
        <v>1715</v>
      </c>
      <c r="G1098" s="7">
        <v>45828.77757860808</v>
      </c>
    </row>
    <row r="1099">
      <c r="A1099" s="3" t="s">
        <v>4100</v>
      </c>
      <c r="B1099" s="3" t="s">
        <v>767</v>
      </c>
      <c r="C1099" s="3" t="s">
        <v>1095</v>
      </c>
      <c r="D1099" s="3" t="s">
        <v>68</v>
      </c>
      <c r="E1099" s="3" t="s">
        <v>100</v>
      </c>
      <c r="F1099" s="3" t="s">
        <v>526</v>
      </c>
      <c r="G1099" s="7">
        <v>45828.84875345349</v>
      </c>
    </row>
    <row r="1100">
      <c r="A1100" s="3" t="s">
        <v>4103</v>
      </c>
      <c r="B1100" s="3" t="s">
        <v>123</v>
      </c>
      <c r="C1100" s="3" t="s">
        <v>1095</v>
      </c>
      <c r="D1100" s="3" t="s">
        <v>68</v>
      </c>
      <c r="E1100" s="3" t="s">
        <v>100</v>
      </c>
      <c r="F1100" s="3" t="s">
        <v>1524</v>
      </c>
      <c r="G1100" s="7">
        <v>45828.91992829891</v>
      </c>
    </row>
    <row r="1101">
      <c r="A1101" s="3" t="s">
        <v>4106</v>
      </c>
      <c r="B1101" s="3" t="s">
        <v>453</v>
      </c>
      <c r="C1101" s="3" t="s">
        <v>1095</v>
      </c>
      <c r="D1101" s="3" t="s">
        <v>68</v>
      </c>
      <c r="E1101" s="3" t="s">
        <v>100</v>
      </c>
      <c r="F1101" s="3" t="s">
        <v>797</v>
      </c>
      <c r="G1101" s="7">
        <v>45828.99110314432</v>
      </c>
    </row>
    <row r="1102">
      <c r="A1102" s="3" t="s">
        <v>4109</v>
      </c>
      <c r="B1102" s="3" t="s">
        <v>698</v>
      </c>
      <c r="C1102" s="3" t="s">
        <v>1095</v>
      </c>
      <c r="D1102" s="3" t="s">
        <v>68</v>
      </c>
      <c r="E1102" s="3" t="s">
        <v>100</v>
      </c>
      <c r="F1102" s="3" t="s">
        <v>538</v>
      </c>
      <c r="G1102" s="7">
        <v>45829.06227798974</v>
      </c>
    </row>
    <row r="1103">
      <c r="A1103" s="3" t="s">
        <v>4112</v>
      </c>
      <c r="B1103" s="3" t="s">
        <v>658</v>
      </c>
      <c r="C1103" s="3" t="s">
        <v>56</v>
      </c>
      <c r="D1103" s="3" t="s">
        <v>181</v>
      </c>
      <c r="E1103" s="3" t="s">
        <v>45</v>
      </c>
      <c r="F1103" s="3" t="s">
        <v>45</v>
      </c>
      <c r="G1103" s="7">
        <v>45829.13345283515</v>
      </c>
    </row>
    <row r="1104">
      <c r="A1104" s="3" t="s">
        <v>4115</v>
      </c>
      <c r="B1104" s="3" t="s">
        <v>860</v>
      </c>
      <c r="C1104" s="3" t="s">
        <v>56</v>
      </c>
      <c r="D1104" s="3" t="s">
        <v>68</v>
      </c>
      <c r="E1104" s="3" t="s">
        <v>100</v>
      </c>
      <c r="F1104" s="3" t="s">
        <v>1751</v>
      </c>
      <c r="G1104" s="7">
        <v>45829.20462768057</v>
      </c>
    </row>
    <row r="1105">
      <c r="A1105" s="3" t="s">
        <v>4118</v>
      </c>
      <c r="B1105" s="3" t="s">
        <v>789</v>
      </c>
      <c r="C1105" s="3" t="s">
        <v>1095</v>
      </c>
      <c r="D1105" s="3" t="s">
        <v>68</v>
      </c>
      <c r="E1105" s="3" t="s">
        <v>100</v>
      </c>
      <c r="F1105" s="3" t="s">
        <v>1469</v>
      </c>
      <c r="G1105" s="7">
        <v>45829.275802525975</v>
      </c>
    </row>
    <row r="1106">
      <c r="A1106" s="3" t="s">
        <v>4122</v>
      </c>
      <c r="B1106" s="3" t="s">
        <v>672</v>
      </c>
      <c r="C1106" s="3" t="s">
        <v>1095</v>
      </c>
      <c r="D1106" s="3" t="s">
        <v>68</v>
      </c>
      <c r="E1106" s="3" t="s">
        <v>100</v>
      </c>
      <c r="F1106" s="3" t="s">
        <v>1572</v>
      </c>
      <c r="G1106" s="7">
        <v>45829.346977371395</v>
      </c>
    </row>
    <row r="1107">
      <c r="A1107" s="3" t="s">
        <v>4125</v>
      </c>
      <c r="B1107" s="3" t="s">
        <v>773</v>
      </c>
      <c r="C1107" s="3" t="s">
        <v>56</v>
      </c>
      <c r="D1107" s="3" t="s">
        <v>68</v>
      </c>
      <c r="E1107" s="3" t="s">
        <v>100</v>
      </c>
      <c r="F1107" s="3" t="s">
        <v>1753</v>
      </c>
      <c r="G1107" s="7">
        <v>45829.418152216815</v>
      </c>
    </row>
    <row r="1108">
      <c r="A1108" s="3" t="s">
        <v>4129</v>
      </c>
      <c r="B1108" s="3" t="s">
        <v>972</v>
      </c>
      <c r="C1108" s="3" t="s">
        <v>1095</v>
      </c>
      <c r="D1108" s="3" t="s">
        <v>68</v>
      </c>
      <c r="E1108" s="3" t="s">
        <v>100</v>
      </c>
      <c r="F1108" s="3" t="s">
        <v>1346</v>
      </c>
      <c r="G1108" s="7">
        <v>45829.48932706223</v>
      </c>
    </row>
    <row r="1109">
      <c r="A1109" s="3" t="s">
        <v>4132</v>
      </c>
      <c r="B1109" s="3" t="s">
        <v>650</v>
      </c>
      <c r="C1109" s="3" t="s">
        <v>56</v>
      </c>
      <c r="D1109" s="3" t="s">
        <v>68</v>
      </c>
      <c r="E1109" s="3" t="s">
        <v>100</v>
      </c>
      <c r="F1109" s="3" t="s">
        <v>1755</v>
      </c>
      <c r="G1109" s="7">
        <v>45829.56050190764</v>
      </c>
    </row>
    <row r="1110">
      <c r="A1110" s="3" t="s">
        <v>4135</v>
      </c>
      <c r="B1110" s="3" t="s">
        <v>770</v>
      </c>
      <c r="C1110" s="3" t="s">
        <v>1095</v>
      </c>
      <c r="D1110" s="3" t="s">
        <v>181</v>
      </c>
      <c r="E1110" s="3" t="s">
        <v>45</v>
      </c>
      <c r="F1110" s="3" t="s">
        <v>1426</v>
      </c>
      <c r="G1110" s="7">
        <v>45829.63167675306</v>
      </c>
    </row>
    <row r="1111">
      <c r="A1111" s="3" t="s">
        <v>4139</v>
      </c>
      <c r="B1111" s="3" t="s">
        <v>269</v>
      </c>
      <c r="C1111" s="3" t="s">
        <v>1095</v>
      </c>
      <c r="D1111" s="3" t="s">
        <v>68</v>
      </c>
      <c r="E1111" s="3" t="s">
        <v>100</v>
      </c>
      <c r="F1111" s="3" t="s">
        <v>1663</v>
      </c>
      <c r="G1111" s="7">
        <v>45829.70285159847</v>
      </c>
    </row>
    <row r="1112">
      <c r="A1112" s="3" t="s">
        <v>4142</v>
      </c>
      <c r="B1112" s="3" t="s">
        <v>598</v>
      </c>
      <c r="C1112" s="3" t="s">
        <v>1095</v>
      </c>
      <c r="D1112" s="3" t="s">
        <v>68</v>
      </c>
      <c r="E1112" s="3" t="s">
        <v>100</v>
      </c>
      <c r="F1112" s="3" t="s">
        <v>1720</v>
      </c>
      <c r="G1112" s="7">
        <v>45829.77402644388</v>
      </c>
    </row>
    <row r="1113">
      <c r="A1113" s="3" t="s">
        <v>4145</v>
      </c>
      <c r="B1113" s="3" t="s">
        <v>561</v>
      </c>
      <c r="C1113" s="3" t="s">
        <v>56</v>
      </c>
      <c r="D1113" s="3" t="s">
        <v>68</v>
      </c>
      <c r="E1113" s="3" t="s">
        <v>100</v>
      </c>
      <c r="F1113" s="3" t="s">
        <v>1757</v>
      </c>
      <c r="G1113" s="7">
        <v>45829.8452012893</v>
      </c>
    </row>
    <row r="1114">
      <c r="A1114" s="3" t="s">
        <v>4148</v>
      </c>
      <c r="B1114" s="3" t="s">
        <v>165</v>
      </c>
      <c r="C1114" s="3" t="s">
        <v>56</v>
      </c>
      <c r="D1114" s="3" t="s">
        <v>68</v>
      </c>
      <c r="E1114" s="3" t="s">
        <v>100</v>
      </c>
      <c r="F1114" s="3" t="s">
        <v>1759</v>
      </c>
      <c r="G1114" s="7">
        <v>45829.91637613472</v>
      </c>
    </row>
    <row r="1115">
      <c r="A1115" s="3" t="s">
        <v>4149</v>
      </c>
      <c r="B1115" s="3" t="s">
        <v>694</v>
      </c>
      <c r="C1115" s="3" t="s">
        <v>56</v>
      </c>
      <c r="D1115" s="3" t="s">
        <v>195</v>
      </c>
      <c r="E1115" s="3" t="s">
        <v>45</v>
      </c>
      <c r="F1115" s="3" t="s">
        <v>45</v>
      </c>
      <c r="G1115" s="7">
        <v>45829.98755098013</v>
      </c>
    </row>
    <row r="1116">
      <c r="A1116" s="3" t="s">
        <v>4151</v>
      </c>
      <c r="B1116" s="3" t="s">
        <v>629</v>
      </c>
      <c r="C1116" s="3" t="s">
        <v>1095</v>
      </c>
      <c r="D1116" s="3" t="s">
        <v>181</v>
      </c>
      <c r="E1116" s="3" t="s">
        <v>45</v>
      </c>
      <c r="F1116" s="3" t="s">
        <v>1563</v>
      </c>
      <c r="G1116" s="7">
        <v>45830.05872582555</v>
      </c>
    </row>
    <row r="1117">
      <c r="A1117" s="3" t="s">
        <v>4154</v>
      </c>
      <c r="B1117" s="3" t="s">
        <v>939</v>
      </c>
      <c r="C1117" s="3" t="s">
        <v>1342</v>
      </c>
      <c r="D1117" s="3" t="s">
        <v>68</v>
      </c>
      <c r="E1117" s="3" t="s">
        <v>100</v>
      </c>
      <c r="F1117" s="3" t="s">
        <v>1291</v>
      </c>
      <c r="G1117" s="7">
        <v>45830.12990067097</v>
      </c>
    </row>
    <row r="1118">
      <c r="A1118" s="3" t="s">
        <v>4157</v>
      </c>
      <c r="B1118" s="3" t="s">
        <v>215</v>
      </c>
      <c r="C1118" s="3" t="s">
        <v>1342</v>
      </c>
      <c r="D1118" s="3" t="s">
        <v>68</v>
      </c>
      <c r="E1118" s="3" t="s">
        <v>100</v>
      </c>
      <c r="F1118" s="3" t="s">
        <v>1196</v>
      </c>
      <c r="G1118" s="7">
        <v>45830.20107551638</v>
      </c>
    </row>
    <row r="1119">
      <c r="A1119" s="3" t="s">
        <v>4160</v>
      </c>
      <c r="B1119" s="3" t="s">
        <v>516</v>
      </c>
      <c r="C1119" s="3" t="s">
        <v>1342</v>
      </c>
      <c r="D1119" s="3" t="s">
        <v>68</v>
      </c>
      <c r="E1119" s="3" t="s">
        <v>100</v>
      </c>
      <c r="F1119" s="3" t="s">
        <v>483</v>
      </c>
      <c r="G1119" s="7">
        <v>45830.27225036179</v>
      </c>
    </row>
    <row r="1120">
      <c r="A1120" s="3" t="s">
        <v>4163</v>
      </c>
      <c r="B1120" s="3" t="s">
        <v>916</v>
      </c>
      <c r="C1120" s="3" t="s">
        <v>56</v>
      </c>
      <c r="D1120" s="3" t="s">
        <v>68</v>
      </c>
      <c r="E1120" s="3" t="s">
        <v>100</v>
      </c>
      <c r="F1120" s="3" t="s">
        <v>1762</v>
      </c>
      <c r="G1120" s="7">
        <v>45830.34342520721</v>
      </c>
    </row>
    <row r="1121">
      <c r="A1121" s="3" t="s">
        <v>4166</v>
      </c>
      <c r="B1121" s="3" t="s">
        <v>204</v>
      </c>
      <c r="C1121" s="3" t="s">
        <v>1095</v>
      </c>
      <c r="D1121" s="3" t="s">
        <v>68</v>
      </c>
      <c r="E1121" s="3" t="s">
        <v>100</v>
      </c>
      <c r="F1121" s="3" t="s">
        <v>1268</v>
      </c>
      <c r="G1121" s="7">
        <v>45830.41460005262</v>
      </c>
    </row>
    <row r="1122">
      <c r="A1122" s="3" t="s">
        <v>4170</v>
      </c>
      <c r="B1122" s="3" t="s">
        <v>949</v>
      </c>
      <c r="C1122" s="3" t="s">
        <v>1095</v>
      </c>
      <c r="D1122" s="3" t="s">
        <v>68</v>
      </c>
      <c r="E1122" s="3" t="s">
        <v>100</v>
      </c>
      <c r="F1122" s="3" t="s">
        <v>1617</v>
      </c>
      <c r="G1122" s="7">
        <v>45830.485774898036</v>
      </c>
    </row>
    <row r="1123">
      <c r="A1123" s="3" t="s">
        <v>4174</v>
      </c>
      <c r="B1123" s="3" t="s">
        <v>287</v>
      </c>
      <c r="C1123" s="3" t="s">
        <v>56</v>
      </c>
      <c r="D1123" s="3" t="s">
        <v>68</v>
      </c>
      <c r="E1123" s="3" t="s">
        <v>100</v>
      </c>
      <c r="F1123" s="3" t="s">
        <v>1763</v>
      </c>
      <c r="G1123" s="7">
        <v>45830.556949743455</v>
      </c>
    </row>
    <row r="1124">
      <c r="A1124" s="3" t="s">
        <v>4177</v>
      </c>
      <c r="B1124" s="3" t="s">
        <v>296</v>
      </c>
      <c r="C1124" s="3" t="s">
        <v>1095</v>
      </c>
      <c r="D1124" s="3" t="s">
        <v>68</v>
      </c>
      <c r="E1124" s="3" t="s">
        <v>100</v>
      </c>
      <c r="F1124" s="3" t="s">
        <v>1647</v>
      </c>
      <c r="G1124" s="7">
        <v>45830.62812458887</v>
      </c>
    </row>
    <row r="1125">
      <c r="A1125" s="3" t="s">
        <v>4180</v>
      </c>
      <c r="B1125" s="3" t="s">
        <v>1008</v>
      </c>
      <c r="C1125" s="3" t="s">
        <v>1095</v>
      </c>
      <c r="D1125" s="3" t="s">
        <v>68</v>
      </c>
      <c r="E1125" s="3" t="s">
        <v>100</v>
      </c>
      <c r="F1125" s="3" t="s">
        <v>1218</v>
      </c>
      <c r="G1125" s="7">
        <v>45830.69929943428</v>
      </c>
    </row>
    <row r="1126">
      <c r="A1126" s="3" t="s">
        <v>4183</v>
      </c>
      <c r="B1126" s="3" t="s">
        <v>485</v>
      </c>
      <c r="C1126" s="3" t="s">
        <v>1095</v>
      </c>
      <c r="D1126" s="3" t="s">
        <v>68</v>
      </c>
      <c r="E1126" s="3" t="s">
        <v>100</v>
      </c>
      <c r="F1126" s="3" t="s">
        <v>532</v>
      </c>
      <c r="G1126" s="7">
        <v>45830.7704742797</v>
      </c>
    </row>
    <row r="1127">
      <c r="A1127" s="3" t="s">
        <v>4186</v>
      </c>
      <c r="B1127" s="3" t="s">
        <v>333</v>
      </c>
      <c r="C1127" s="3" t="s">
        <v>1342</v>
      </c>
      <c r="D1127" s="3" t="s">
        <v>68</v>
      </c>
      <c r="E1127" s="3" t="s">
        <v>100</v>
      </c>
      <c r="F1127" s="3" t="s">
        <v>1254</v>
      </c>
      <c r="G1127" s="7">
        <v>45830.84164912511</v>
      </c>
    </row>
    <row r="1128">
      <c r="A1128" s="3" t="s">
        <v>4189</v>
      </c>
      <c r="B1128" s="3" t="s">
        <v>521</v>
      </c>
      <c r="C1128" s="3" t="s">
        <v>1342</v>
      </c>
      <c r="D1128" s="3" t="s">
        <v>68</v>
      </c>
      <c r="E1128" s="3" t="s">
        <v>100</v>
      </c>
      <c r="F1128" s="3" t="s">
        <v>1460</v>
      </c>
      <c r="G1128" s="7">
        <v>45830.912823970524</v>
      </c>
    </row>
    <row r="1129">
      <c r="A1129" s="3" t="s">
        <v>4191</v>
      </c>
      <c r="B1129" s="3" t="s">
        <v>527</v>
      </c>
      <c r="C1129" s="3" t="s">
        <v>1095</v>
      </c>
      <c r="D1129" s="3" t="s">
        <v>181</v>
      </c>
      <c r="E1129" s="3" t="s">
        <v>45</v>
      </c>
      <c r="F1129" s="3" t="s">
        <v>1343</v>
      </c>
      <c r="G1129" s="7">
        <v>45830.983998815944</v>
      </c>
    </row>
    <row r="1130">
      <c r="A1130" s="3" t="s">
        <v>4194</v>
      </c>
      <c r="B1130" s="3" t="s">
        <v>746</v>
      </c>
      <c r="C1130" s="3" t="s">
        <v>1342</v>
      </c>
      <c r="D1130" s="3" t="s">
        <v>68</v>
      </c>
      <c r="E1130" s="3" t="s">
        <v>100</v>
      </c>
      <c r="F1130" s="3" t="s">
        <v>1631</v>
      </c>
      <c r="G1130" s="7">
        <v>45831.05517366136</v>
      </c>
    </row>
    <row r="1131">
      <c r="A1131" s="3" t="s">
        <v>4198</v>
      </c>
      <c r="B1131" s="3" t="s">
        <v>735</v>
      </c>
      <c r="C1131" s="3" t="s">
        <v>56</v>
      </c>
      <c r="D1131" s="3" t="s">
        <v>68</v>
      </c>
      <c r="E1131" s="3" t="s">
        <v>100</v>
      </c>
      <c r="F1131" s="3" t="s">
        <v>1766</v>
      </c>
      <c r="G1131" s="7">
        <v>45831.12634850677</v>
      </c>
    </row>
    <row r="1132">
      <c r="A1132" s="3" t="s">
        <v>4201</v>
      </c>
      <c r="B1132" s="3" t="s">
        <v>197</v>
      </c>
      <c r="C1132" s="3" t="s">
        <v>1342</v>
      </c>
      <c r="D1132" s="3" t="s">
        <v>68</v>
      </c>
      <c r="E1132" s="3" t="s">
        <v>100</v>
      </c>
      <c r="F1132" s="3" t="s">
        <v>1467</v>
      </c>
      <c r="G1132" s="7">
        <v>45831.19752335219</v>
      </c>
    </row>
    <row r="1133">
      <c r="A1133" s="3" t="s">
        <v>4204</v>
      </c>
      <c r="B1133" s="3" t="s">
        <v>601</v>
      </c>
      <c r="C1133" s="3" t="s">
        <v>1342</v>
      </c>
      <c r="D1133" s="3" t="s">
        <v>181</v>
      </c>
      <c r="E1133" s="3" t="s">
        <v>45</v>
      </c>
      <c r="F1133" s="3" t="s">
        <v>1591</v>
      </c>
      <c r="G1133" s="7">
        <v>45831.26869819761</v>
      </c>
    </row>
    <row r="1134">
      <c r="A1134" s="3" t="s">
        <v>4207</v>
      </c>
      <c r="B1134" s="3" t="s">
        <v>498</v>
      </c>
      <c r="C1134" s="3" t="s">
        <v>1342</v>
      </c>
      <c r="D1134" s="3" t="s">
        <v>181</v>
      </c>
      <c r="E1134" s="3" t="s">
        <v>45</v>
      </c>
      <c r="F1134" s="3" t="s">
        <v>1738</v>
      </c>
      <c r="G1134" s="7">
        <v>45831.33987304302</v>
      </c>
    </row>
    <row r="1135">
      <c r="A1135" s="3" t="s">
        <v>4210</v>
      </c>
      <c r="B1135" s="3" t="s">
        <v>579</v>
      </c>
      <c r="C1135" s="3" t="s">
        <v>1342</v>
      </c>
      <c r="D1135" s="3" t="s">
        <v>68</v>
      </c>
      <c r="E1135" s="3" t="s">
        <v>100</v>
      </c>
      <c r="F1135" s="3" t="s">
        <v>1697</v>
      </c>
      <c r="G1135" s="7">
        <v>45831.41104788843</v>
      </c>
    </row>
    <row r="1136">
      <c r="A1136" s="3" t="s">
        <v>4213</v>
      </c>
      <c r="B1136" s="3" t="s">
        <v>239</v>
      </c>
      <c r="C1136" s="3" t="s">
        <v>1342</v>
      </c>
      <c r="D1136" s="3" t="s">
        <v>195</v>
      </c>
      <c r="E1136" s="3" t="s">
        <v>45</v>
      </c>
      <c r="F1136" s="3" t="s">
        <v>1211</v>
      </c>
      <c r="G1136" s="7">
        <v>45831.48222273385</v>
      </c>
    </row>
    <row r="1137">
      <c r="A1137" s="3" t="s">
        <v>4216</v>
      </c>
      <c r="B1137" s="3" t="s">
        <v>559</v>
      </c>
      <c r="C1137" s="3" t="s">
        <v>1095</v>
      </c>
      <c r="D1137" s="3" t="s">
        <v>68</v>
      </c>
      <c r="E1137" s="3" t="s">
        <v>100</v>
      </c>
      <c r="F1137" s="3" t="s">
        <v>1351</v>
      </c>
      <c r="G1137" s="7">
        <v>45831.553397579264</v>
      </c>
    </row>
    <row r="1138">
      <c r="A1138" s="3" t="s">
        <v>4219</v>
      </c>
      <c r="B1138" s="3" t="s">
        <v>903</v>
      </c>
      <c r="C1138" s="3" t="s">
        <v>1342</v>
      </c>
      <c r="D1138" s="3" t="s">
        <v>68</v>
      </c>
      <c r="E1138" s="3" t="s">
        <v>100</v>
      </c>
      <c r="F1138" s="3" t="s">
        <v>1667</v>
      </c>
      <c r="G1138" s="7">
        <v>45831.62457242468</v>
      </c>
    </row>
    <row r="1139">
      <c r="A1139" s="3" t="s">
        <v>4223</v>
      </c>
      <c r="B1139" s="3" t="s">
        <v>756</v>
      </c>
      <c r="C1139" s="3" t="s">
        <v>1095</v>
      </c>
      <c r="D1139" s="3" t="s">
        <v>68</v>
      </c>
      <c r="E1139" s="3" t="s">
        <v>100</v>
      </c>
      <c r="F1139" s="3" t="s">
        <v>1611</v>
      </c>
      <c r="G1139" s="7">
        <v>45831.695747270096</v>
      </c>
    </row>
    <row r="1140">
      <c r="A1140" s="3" t="s">
        <v>4226</v>
      </c>
      <c r="B1140" s="3" t="s">
        <v>587</v>
      </c>
      <c r="C1140" s="3" t="s">
        <v>1095</v>
      </c>
      <c r="D1140" s="3" t="s">
        <v>68</v>
      </c>
      <c r="E1140" s="3" t="s">
        <v>100</v>
      </c>
      <c r="F1140" s="3" t="s">
        <v>1264</v>
      </c>
      <c r="G1140" s="7">
        <v>45831.76692211551</v>
      </c>
    </row>
    <row r="1141">
      <c r="A1141" s="3" t="s">
        <v>4229</v>
      </c>
      <c r="B1141" s="3" t="s">
        <v>276</v>
      </c>
      <c r="C1141" s="3" t="s">
        <v>56</v>
      </c>
      <c r="D1141" s="3" t="s">
        <v>68</v>
      </c>
      <c r="E1141" s="3" t="s">
        <v>100</v>
      </c>
      <c r="F1141" s="3" t="s">
        <v>1768</v>
      </c>
      <c r="G1141" s="7">
        <v>45831.83809696092</v>
      </c>
    </row>
    <row r="1142">
      <c r="A1142" s="3" t="s">
        <v>4233</v>
      </c>
      <c r="B1142" s="3" t="s">
        <v>581</v>
      </c>
      <c r="C1142" s="3" t="s">
        <v>1342</v>
      </c>
      <c r="D1142" s="3" t="s">
        <v>68</v>
      </c>
      <c r="E1142" s="3" t="s">
        <v>100</v>
      </c>
      <c r="F1142" s="3" t="s">
        <v>1530</v>
      </c>
      <c r="G1142" s="7">
        <v>45831.90927180634</v>
      </c>
    </row>
    <row r="1143">
      <c r="A1143" s="3" t="s">
        <v>4236</v>
      </c>
      <c r="B1143" s="3" t="s">
        <v>256</v>
      </c>
      <c r="C1143" s="3" t="s">
        <v>1342</v>
      </c>
      <c r="D1143" s="3" t="s">
        <v>68</v>
      </c>
      <c r="E1143" s="3" t="s">
        <v>100</v>
      </c>
      <c r="F1143" s="3" t="s">
        <v>1539</v>
      </c>
      <c r="G1143" s="7">
        <v>45831.98044665175</v>
      </c>
    </row>
    <row r="1144">
      <c r="A1144" s="3" t="s">
        <v>4239</v>
      </c>
      <c r="B1144" s="3" t="s">
        <v>796</v>
      </c>
      <c r="C1144" s="3" t="s">
        <v>1342</v>
      </c>
      <c r="D1144" s="3" t="s">
        <v>68</v>
      </c>
      <c r="E1144" s="3" t="s">
        <v>100</v>
      </c>
      <c r="F1144" s="3" t="s">
        <v>991</v>
      </c>
      <c r="G1144" s="7">
        <v>45832.051621497165</v>
      </c>
    </row>
    <row r="1145">
      <c r="A1145" s="3" t="s">
        <v>4242</v>
      </c>
      <c r="B1145" s="3" t="s">
        <v>1021</v>
      </c>
      <c r="C1145" s="3" t="s">
        <v>1095</v>
      </c>
      <c r="D1145" s="3" t="s">
        <v>68</v>
      </c>
      <c r="E1145" s="3" t="s">
        <v>100</v>
      </c>
      <c r="F1145" s="3" t="s">
        <v>1307</v>
      </c>
      <c r="G1145" s="7">
        <v>45832.122796342584</v>
      </c>
    </row>
    <row r="1146">
      <c r="A1146" s="3" t="s">
        <v>4245</v>
      </c>
      <c r="B1146" s="3" t="s">
        <v>260</v>
      </c>
      <c r="C1146" s="3" t="s">
        <v>1342</v>
      </c>
      <c r="D1146" s="3" t="s">
        <v>68</v>
      </c>
      <c r="E1146" s="3" t="s">
        <v>100</v>
      </c>
      <c r="F1146" s="3" t="s">
        <v>1302</v>
      </c>
      <c r="G1146" s="7">
        <v>45832.193971188004</v>
      </c>
    </row>
    <row r="1147">
      <c r="A1147" s="3" t="s">
        <v>4248</v>
      </c>
      <c r="B1147" s="3" t="s">
        <v>186</v>
      </c>
      <c r="C1147" s="3" t="s">
        <v>1342</v>
      </c>
      <c r="D1147" s="3" t="s">
        <v>181</v>
      </c>
      <c r="E1147" s="3" t="s">
        <v>45</v>
      </c>
      <c r="F1147" s="3" t="s">
        <v>1278</v>
      </c>
      <c r="G1147" s="7">
        <v>45832.26514603341</v>
      </c>
    </row>
    <row r="1148">
      <c r="A1148" s="3" t="s">
        <v>4251</v>
      </c>
      <c r="B1148" s="3" t="s">
        <v>515</v>
      </c>
      <c r="C1148" s="3" t="s">
        <v>1095</v>
      </c>
      <c r="D1148" s="3" t="s">
        <v>68</v>
      </c>
      <c r="E1148" s="3" t="s">
        <v>100</v>
      </c>
      <c r="F1148" s="3" t="s">
        <v>1443</v>
      </c>
      <c r="G1148" s="7">
        <v>45832.33632087883</v>
      </c>
    </row>
    <row r="1149">
      <c r="A1149" s="3" t="s">
        <v>4254</v>
      </c>
      <c r="B1149" s="3" t="s">
        <v>830</v>
      </c>
      <c r="C1149" s="3" t="s">
        <v>1342</v>
      </c>
      <c r="D1149" s="3" t="s">
        <v>68</v>
      </c>
      <c r="E1149" s="3" t="s">
        <v>100</v>
      </c>
      <c r="F1149" s="3" t="s">
        <v>1465</v>
      </c>
      <c r="G1149" s="7">
        <v>45832.40749572425</v>
      </c>
    </row>
    <row r="1150">
      <c r="A1150" s="3" t="s">
        <v>4257</v>
      </c>
      <c r="B1150" s="3" t="s">
        <v>752</v>
      </c>
      <c r="C1150" s="3" t="s">
        <v>1095</v>
      </c>
      <c r="D1150" s="3" t="s">
        <v>68</v>
      </c>
      <c r="E1150" s="3" t="s">
        <v>100</v>
      </c>
      <c r="F1150" s="3" t="s">
        <v>728</v>
      </c>
      <c r="G1150" s="7">
        <v>45832.47867056966</v>
      </c>
    </row>
    <row r="1151">
      <c r="A1151" s="3" t="s">
        <v>4260</v>
      </c>
      <c r="B1151" s="3" t="s">
        <v>266</v>
      </c>
      <c r="C1151" s="3" t="s">
        <v>1342</v>
      </c>
      <c r="D1151" s="3" t="s">
        <v>68</v>
      </c>
      <c r="E1151" s="3" t="s">
        <v>100</v>
      </c>
      <c r="F1151" s="3" t="s">
        <v>1060</v>
      </c>
      <c r="G1151" s="7">
        <v>45832.54984541507</v>
      </c>
    </row>
    <row r="1152">
      <c r="A1152" s="3" t="s">
        <v>4263</v>
      </c>
      <c r="B1152" s="3" t="s">
        <v>239</v>
      </c>
      <c r="C1152" s="3" t="s">
        <v>1342</v>
      </c>
      <c r="D1152" s="3" t="s">
        <v>68</v>
      </c>
      <c r="E1152" s="3" t="s">
        <v>100</v>
      </c>
      <c r="F1152" s="3" t="s">
        <v>1211</v>
      </c>
      <c r="G1152" s="7">
        <v>45832.62102026049</v>
      </c>
    </row>
    <row r="1153">
      <c r="A1153" s="3" t="s">
        <v>4266</v>
      </c>
      <c r="B1153" s="3" t="s">
        <v>830</v>
      </c>
      <c r="C1153" s="3" t="s">
        <v>1342</v>
      </c>
      <c r="D1153" s="3" t="s">
        <v>68</v>
      </c>
      <c r="E1153" s="3" t="s">
        <v>100</v>
      </c>
      <c r="F1153" s="3" t="s">
        <v>1465</v>
      </c>
      <c r="G1153" s="7">
        <v>45832.692195105905</v>
      </c>
    </row>
    <row r="1154">
      <c r="A1154" s="3" t="s">
        <v>4269</v>
      </c>
      <c r="B1154" s="3" t="s">
        <v>662</v>
      </c>
      <c r="C1154" s="3" t="s">
        <v>56</v>
      </c>
      <c r="D1154" s="3" t="s">
        <v>68</v>
      </c>
      <c r="E1154" s="3" t="s">
        <v>100</v>
      </c>
      <c r="F1154" s="3" t="s">
        <v>1770</v>
      </c>
      <c r="G1154" s="7">
        <v>45832.76336995132</v>
      </c>
    </row>
    <row r="1155">
      <c r="A1155" s="3" t="s">
        <v>4272</v>
      </c>
      <c r="B1155" s="3" t="s">
        <v>601</v>
      </c>
      <c r="C1155" s="3" t="s">
        <v>1342</v>
      </c>
      <c r="D1155" s="3" t="s">
        <v>68</v>
      </c>
      <c r="E1155" s="3" t="s">
        <v>100</v>
      </c>
      <c r="F1155" s="3" t="s">
        <v>1591</v>
      </c>
      <c r="G1155" s="7">
        <v>45832.83454479674</v>
      </c>
    </row>
    <row r="1156">
      <c r="A1156" s="3" t="s">
        <v>4275</v>
      </c>
      <c r="B1156" s="3" t="s">
        <v>645</v>
      </c>
      <c r="C1156" s="3" t="s">
        <v>56</v>
      </c>
      <c r="D1156" s="3" t="s">
        <v>68</v>
      </c>
      <c r="E1156" s="3" t="s">
        <v>100</v>
      </c>
      <c r="F1156" s="3" t="s">
        <v>1772</v>
      </c>
      <c r="G1156" s="7">
        <v>45832.90571964215</v>
      </c>
    </row>
    <row r="1157">
      <c r="A1157" s="3" t="s">
        <v>4279</v>
      </c>
      <c r="B1157" s="3" t="s">
        <v>496</v>
      </c>
      <c r="C1157" s="3" t="s">
        <v>1342</v>
      </c>
      <c r="D1157" s="3" t="s">
        <v>68</v>
      </c>
      <c r="E1157" s="3" t="s">
        <v>100</v>
      </c>
      <c r="F1157" s="3" t="s">
        <v>716</v>
      </c>
      <c r="G1157" s="7">
        <v>45832.97689448756</v>
      </c>
    </row>
    <row r="1158">
      <c r="A1158" s="3" t="s">
        <v>4283</v>
      </c>
      <c r="B1158" s="3" t="s">
        <v>307</v>
      </c>
      <c r="C1158" s="3" t="s">
        <v>56</v>
      </c>
      <c r="D1158" s="3" t="s">
        <v>68</v>
      </c>
      <c r="E1158" s="3" t="s">
        <v>100</v>
      </c>
      <c r="F1158" s="3" t="s">
        <v>1775</v>
      </c>
      <c r="G1158" s="7">
        <v>45833.04806933298</v>
      </c>
    </row>
    <row r="1159">
      <c r="A1159" s="3" t="s">
        <v>4286</v>
      </c>
      <c r="B1159" s="3" t="s">
        <v>708</v>
      </c>
      <c r="C1159" s="3" t="s">
        <v>56</v>
      </c>
      <c r="D1159" s="3" t="s">
        <v>68</v>
      </c>
      <c r="E1159" s="3" t="s">
        <v>100</v>
      </c>
      <c r="F1159" s="3" t="s">
        <v>1776</v>
      </c>
      <c r="G1159" s="7">
        <v>45833.1192441784</v>
      </c>
    </row>
    <row r="1160">
      <c r="A1160" s="3" t="s">
        <v>4289</v>
      </c>
      <c r="B1160" s="3" t="s">
        <v>539</v>
      </c>
      <c r="C1160" s="3" t="s">
        <v>1095</v>
      </c>
      <c r="D1160" s="3" t="s">
        <v>68</v>
      </c>
      <c r="E1160" s="3" t="s">
        <v>100</v>
      </c>
      <c r="F1160" s="3" t="s">
        <v>1706</v>
      </c>
      <c r="G1160" s="7">
        <v>45833.190419023806</v>
      </c>
    </row>
    <row r="1161">
      <c r="A1161" s="3" t="s">
        <v>4292</v>
      </c>
      <c r="B1161" s="3" t="s">
        <v>713</v>
      </c>
      <c r="C1161" s="3" t="s">
        <v>1342</v>
      </c>
      <c r="D1161" s="3" t="s">
        <v>181</v>
      </c>
      <c r="E1161" s="3" t="s">
        <v>45</v>
      </c>
      <c r="F1161" s="3" t="s">
        <v>1429</v>
      </c>
      <c r="G1161" s="7">
        <v>45833.261593869225</v>
      </c>
    </row>
    <row r="1162">
      <c r="A1162" s="3" t="s">
        <v>4295</v>
      </c>
      <c r="B1162" s="3" t="s">
        <v>442</v>
      </c>
      <c r="C1162" s="3" t="s">
        <v>1342</v>
      </c>
      <c r="D1162" s="3" t="s">
        <v>68</v>
      </c>
      <c r="E1162" s="3" t="s">
        <v>100</v>
      </c>
      <c r="F1162" s="3" t="s">
        <v>977</v>
      </c>
      <c r="G1162" s="7">
        <v>45833.332768714645</v>
      </c>
    </row>
    <row r="1163">
      <c r="A1163" s="3" t="s">
        <v>4298</v>
      </c>
      <c r="B1163" s="3" t="s">
        <v>993</v>
      </c>
      <c r="C1163" s="3" t="s">
        <v>56</v>
      </c>
      <c r="D1163" s="3" t="s">
        <v>68</v>
      </c>
      <c r="E1163" s="3" t="s">
        <v>100</v>
      </c>
      <c r="F1163" s="3" t="s">
        <v>1779</v>
      </c>
      <c r="G1163" s="7">
        <v>45833.40394356006</v>
      </c>
    </row>
    <row r="1164">
      <c r="A1164" s="3" t="s">
        <v>4300</v>
      </c>
      <c r="B1164" s="3" t="s">
        <v>587</v>
      </c>
      <c r="C1164" s="3" t="s">
        <v>56</v>
      </c>
      <c r="D1164" s="3" t="s">
        <v>68</v>
      </c>
      <c r="E1164" s="3" t="s">
        <v>100</v>
      </c>
      <c r="F1164" s="3" t="s">
        <v>1780</v>
      </c>
      <c r="G1164" s="7">
        <v>45833.47511840547</v>
      </c>
    </row>
    <row r="1165">
      <c r="A1165" s="3" t="s">
        <v>4302</v>
      </c>
      <c r="B1165" s="3" t="s">
        <v>678</v>
      </c>
      <c r="C1165" s="3" t="s">
        <v>1095</v>
      </c>
      <c r="D1165" s="3" t="s">
        <v>68</v>
      </c>
      <c r="E1165" s="3" t="s">
        <v>100</v>
      </c>
      <c r="F1165" s="3" t="s">
        <v>749</v>
      </c>
      <c r="G1165" s="7">
        <v>45833.54629325089</v>
      </c>
    </row>
    <row r="1166">
      <c r="A1166" s="3" t="s">
        <v>4304</v>
      </c>
      <c r="B1166" s="3" t="s">
        <v>175</v>
      </c>
      <c r="C1166" s="3" t="s">
        <v>1342</v>
      </c>
      <c r="D1166" s="3" t="s">
        <v>68</v>
      </c>
      <c r="E1166" s="3" t="s">
        <v>100</v>
      </c>
      <c r="F1166" s="3" t="s">
        <v>1713</v>
      </c>
      <c r="G1166" s="7">
        <v>45833.6174680963</v>
      </c>
    </row>
    <row r="1167">
      <c r="A1167" s="3" t="s">
        <v>4306</v>
      </c>
      <c r="B1167" s="3" t="s">
        <v>530</v>
      </c>
      <c r="C1167" s="3" t="s">
        <v>1342</v>
      </c>
      <c r="D1167" s="3" t="s">
        <v>68</v>
      </c>
      <c r="E1167" s="3" t="s">
        <v>100</v>
      </c>
      <c r="F1167" s="3" t="s">
        <v>1557</v>
      </c>
      <c r="G1167" s="7">
        <v>45833.68864294171</v>
      </c>
    </row>
    <row r="1168">
      <c r="A1168" s="3" t="s">
        <v>4309</v>
      </c>
      <c r="B1168" s="3" t="s">
        <v>243</v>
      </c>
      <c r="C1168" s="3" t="s">
        <v>1095</v>
      </c>
      <c r="D1168" s="3" t="s">
        <v>68</v>
      </c>
      <c r="E1168" s="3" t="s">
        <v>100</v>
      </c>
      <c r="F1168" s="3" t="s">
        <v>1451</v>
      </c>
      <c r="G1168" s="7">
        <v>45833.75981778713</v>
      </c>
    </row>
    <row r="1169">
      <c r="A1169" s="3" t="s">
        <v>4312</v>
      </c>
      <c r="B1169" s="3" t="s">
        <v>645</v>
      </c>
      <c r="C1169" s="3" t="s">
        <v>1342</v>
      </c>
      <c r="D1169" s="3" t="s">
        <v>68</v>
      </c>
      <c r="E1169" s="3" t="s">
        <v>100</v>
      </c>
      <c r="F1169" s="3" t="s">
        <v>1772</v>
      </c>
      <c r="G1169" s="7">
        <v>45833.830992632546</v>
      </c>
    </row>
    <row r="1170">
      <c r="A1170" s="3" t="s">
        <v>4316</v>
      </c>
      <c r="B1170" s="3" t="s">
        <v>559</v>
      </c>
      <c r="C1170" s="3" t="s">
        <v>56</v>
      </c>
      <c r="D1170" s="3" t="s">
        <v>68</v>
      </c>
      <c r="E1170" s="3" t="s">
        <v>100</v>
      </c>
      <c r="F1170" s="3" t="s">
        <v>1782</v>
      </c>
      <c r="G1170" s="7">
        <v>45833.90216747796</v>
      </c>
    </row>
    <row r="1171">
      <c r="A1171" s="3" t="s">
        <v>4319</v>
      </c>
      <c r="B1171" s="3" t="s">
        <v>584</v>
      </c>
      <c r="C1171" s="3" t="s">
        <v>1342</v>
      </c>
      <c r="D1171" s="3" t="s">
        <v>68</v>
      </c>
      <c r="E1171" s="3" t="s">
        <v>100</v>
      </c>
      <c r="F1171" s="3" t="s">
        <v>837</v>
      </c>
      <c r="G1171" s="7">
        <v>45833.97334232338</v>
      </c>
    </row>
    <row r="1172">
      <c r="A1172" s="3" t="s">
        <v>4322</v>
      </c>
      <c r="B1172" s="3" t="s">
        <v>765</v>
      </c>
      <c r="C1172" s="3" t="s">
        <v>56</v>
      </c>
      <c r="D1172" s="3" t="s">
        <v>68</v>
      </c>
      <c r="E1172" s="3" t="s">
        <v>100</v>
      </c>
      <c r="F1172" s="3" t="s">
        <v>1785</v>
      </c>
      <c r="G1172" s="7">
        <v>45834.04451716879</v>
      </c>
    </row>
    <row r="1173">
      <c r="A1173" s="3" t="s">
        <v>4326</v>
      </c>
      <c r="B1173" s="3" t="s">
        <v>747</v>
      </c>
      <c r="C1173" s="3" t="s">
        <v>56</v>
      </c>
      <c r="D1173" s="3" t="s">
        <v>68</v>
      </c>
      <c r="E1173" s="3" t="s">
        <v>100</v>
      </c>
      <c r="F1173" s="3" t="s">
        <v>1786</v>
      </c>
      <c r="G1173" s="7">
        <v>45834.1156920142</v>
      </c>
    </row>
    <row r="1174">
      <c r="A1174" s="3" t="s">
        <v>4329</v>
      </c>
      <c r="B1174" s="3" t="s">
        <v>600</v>
      </c>
      <c r="C1174" s="3" t="s">
        <v>56</v>
      </c>
      <c r="D1174" s="3" t="s">
        <v>68</v>
      </c>
      <c r="E1174" s="3" t="s">
        <v>100</v>
      </c>
      <c r="F1174" s="3" t="s">
        <v>1789</v>
      </c>
      <c r="G1174" s="7">
        <v>45834.18686685962</v>
      </c>
    </row>
    <row r="1175">
      <c r="A1175" s="3" t="s">
        <v>4332</v>
      </c>
      <c r="B1175" s="3" t="s">
        <v>694</v>
      </c>
      <c r="C1175" s="3" t="s">
        <v>56</v>
      </c>
      <c r="D1175" s="3" t="s">
        <v>68</v>
      </c>
      <c r="E1175" s="3" t="s">
        <v>100</v>
      </c>
      <c r="F1175" s="3" t="s">
        <v>1790</v>
      </c>
      <c r="G1175" s="7">
        <v>45834.25804170504</v>
      </c>
    </row>
    <row r="1176">
      <c r="A1176" s="3" t="s">
        <v>4335</v>
      </c>
      <c r="B1176" s="3" t="s">
        <v>900</v>
      </c>
      <c r="C1176" s="3" t="s">
        <v>1095</v>
      </c>
      <c r="D1176" s="3" t="s">
        <v>68</v>
      </c>
      <c r="E1176" s="3" t="s">
        <v>100</v>
      </c>
      <c r="F1176" s="3" t="s">
        <v>1318</v>
      </c>
      <c r="G1176" s="7">
        <v>45834.329216550446</v>
      </c>
    </row>
    <row r="1177">
      <c r="A1177" s="3" t="s">
        <v>4338</v>
      </c>
      <c r="B1177" s="3" t="s">
        <v>574</v>
      </c>
      <c r="C1177" s="3" t="s">
        <v>56</v>
      </c>
      <c r="D1177" s="3" t="s">
        <v>181</v>
      </c>
      <c r="E1177" s="3" t="s">
        <v>45</v>
      </c>
      <c r="F1177" s="3" t="s">
        <v>45</v>
      </c>
      <c r="G1177" s="7">
        <v>45834.400391395866</v>
      </c>
    </row>
    <row r="1178">
      <c r="A1178" s="3" t="s">
        <v>4341</v>
      </c>
      <c r="B1178" s="3" t="s">
        <v>1021</v>
      </c>
      <c r="C1178" s="3" t="s">
        <v>56</v>
      </c>
      <c r="D1178" s="3" t="s">
        <v>181</v>
      </c>
      <c r="E1178" s="3" t="s">
        <v>45</v>
      </c>
      <c r="F1178" s="3" t="s">
        <v>45</v>
      </c>
      <c r="G1178" s="7">
        <v>45834.471566241285</v>
      </c>
    </row>
    <row r="1179">
      <c r="A1179" s="3" t="s">
        <v>4344</v>
      </c>
      <c r="B1179" s="3" t="s">
        <v>853</v>
      </c>
      <c r="C1179" s="3" t="s">
        <v>1095</v>
      </c>
      <c r="D1179" s="3" t="s">
        <v>68</v>
      </c>
      <c r="E1179" s="3" t="s">
        <v>100</v>
      </c>
      <c r="F1179" s="3" t="s">
        <v>1640</v>
      </c>
      <c r="G1179" s="7">
        <v>45834.5427410867</v>
      </c>
    </row>
    <row r="1180">
      <c r="A1180" s="3" t="s">
        <v>4347</v>
      </c>
      <c r="B1180" s="3" t="s">
        <v>669</v>
      </c>
      <c r="C1180" s="3" t="s">
        <v>56</v>
      </c>
      <c r="D1180" s="3" t="s">
        <v>68</v>
      </c>
      <c r="E1180" s="3" t="s">
        <v>100</v>
      </c>
      <c r="F1180" s="3" t="s">
        <v>1793</v>
      </c>
      <c r="G1180" s="7">
        <v>45834.61391593211</v>
      </c>
    </row>
    <row r="1181">
      <c r="A1181" s="3" t="s">
        <v>4351</v>
      </c>
      <c r="B1181" s="3" t="s">
        <v>939</v>
      </c>
      <c r="C1181" s="3" t="s">
        <v>1342</v>
      </c>
      <c r="D1181" s="3" t="s">
        <v>181</v>
      </c>
      <c r="E1181" s="3" t="s">
        <v>45</v>
      </c>
      <c r="F1181" s="3" t="s">
        <v>1291</v>
      </c>
      <c r="G1181" s="7">
        <v>45834.68509077753</v>
      </c>
    </row>
    <row r="1182">
      <c r="A1182" s="3" t="s">
        <v>4355</v>
      </c>
      <c r="B1182" s="3" t="s">
        <v>341</v>
      </c>
      <c r="C1182" s="3" t="s">
        <v>56</v>
      </c>
      <c r="D1182" s="3" t="s">
        <v>68</v>
      </c>
      <c r="E1182" s="3" t="s">
        <v>100</v>
      </c>
      <c r="F1182" s="3" t="s">
        <v>1795</v>
      </c>
      <c r="G1182" s="7">
        <v>45834.75626562294</v>
      </c>
    </row>
    <row r="1183">
      <c r="A1183" s="3" t="s">
        <v>4358</v>
      </c>
      <c r="B1183" s="3" t="s">
        <v>678</v>
      </c>
      <c r="C1183" s="3" t="s">
        <v>56</v>
      </c>
      <c r="D1183" s="3" t="s">
        <v>68</v>
      </c>
      <c r="E1183" s="3" t="s">
        <v>100</v>
      </c>
      <c r="F1183" s="3" t="s">
        <v>1797</v>
      </c>
      <c r="G1183" s="7">
        <v>45834.827440468354</v>
      </c>
    </row>
    <row r="1184">
      <c r="A1184" s="3" t="s">
        <v>4361</v>
      </c>
      <c r="B1184" s="3" t="s">
        <v>175</v>
      </c>
      <c r="C1184" s="3" t="s">
        <v>1342</v>
      </c>
      <c r="D1184" s="3" t="s">
        <v>68</v>
      </c>
      <c r="E1184" s="3" t="s">
        <v>100</v>
      </c>
      <c r="F1184" s="3" t="s">
        <v>1713</v>
      </c>
      <c r="G1184" s="7">
        <v>45834.898615313774</v>
      </c>
    </row>
    <row r="1185">
      <c r="A1185" s="3" t="s">
        <v>4365</v>
      </c>
      <c r="B1185" s="3" t="s">
        <v>550</v>
      </c>
      <c r="C1185" s="3" t="s">
        <v>1342</v>
      </c>
      <c r="D1185" s="3" t="s">
        <v>68</v>
      </c>
      <c r="E1185" s="3" t="s">
        <v>100</v>
      </c>
      <c r="F1185" s="3" t="s">
        <v>1681</v>
      </c>
      <c r="G1185" s="7">
        <v>45834.969790159186</v>
      </c>
    </row>
    <row r="1186">
      <c r="A1186" s="3" t="s">
        <v>4369</v>
      </c>
      <c r="B1186" s="3" t="s">
        <v>785</v>
      </c>
      <c r="C1186" s="3" t="s">
        <v>1095</v>
      </c>
      <c r="D1186" s="3" t="s">
        <v>68</v>
      </c>
      <c r="E1186" s="3" t="s">
        <v>100</v>
      </c>
      <c r="F1186" s="3" t="s">
        <v>985</v>
      </c>
      <c r="G1186" s="7">
        <v>45835.0409650046</v>
      </c>
    </row>
    <row r="1187">
      <c r="A1187" s="3" t="s">
        <v>4371</v>
      </c>
      <c r="B1187" s="3" t="s">
        <v>512</v>
      </c>
      <c r="C1187" s="3" t="s">
        <v>1095</v>
      </c>
      <c r="D1187" s="3" t="s">
        <v>68</v>
      </c>
      <c r="E1187" s="3" t="s">
        <v>100</v>
      </c>
      <c r="F1187" s="3" t="s">
        <v>1691</v>
      </c>
      <c r="G1187" s="7">
        <v>45835.11213985002</v>
      </c>
    </row>
    <row r="1188">
      <c r="A1188" s="3" t="s">
        <v>4375</v>
      </c>
      <c r="B1188" s="3" t="s">
        <v>1034</v>
      </c>
      <c r="C1188" s="3" t="s">
        <v>56</v>
      </c>
      <c r="D1188" s="3" t="s">
        <v>68</v>
      </c>
      <c r="E1188" s="3" t="s">
        <v>100</v>
      </c>
      <c r="F1188" s="3" t="s">
        <v>1800</v>
      </c>
      <c r="G1188" s="7">
        <v>45835.18331469543</v>
      </c>
    </row>
    <row r="1189">
      <c r="A1189" s="3" t="s">
        <v>4378</v>
      </c>
      <c r="B1189" s="3" t="s">
        <v>219</v>
      </c>
      <c r="C1189" s="3" t="s">
        <v>1342</v>
      </c>
      <c r="D1189" s="3" t="s">
        <v>68</v>
      </c>
      <c r="E1189" s="3" t="s">
        <v>100</v>
      </c>
      <c r="F1189" s="3" t="s">
        <v>1542</v>
      </c>
      <c r="G1189" s="7">
        <v>45835.25448954084</v>
      </c>
    </row>
    <row r="1190">
      <c r="A1190" s="3" t="s">
        <v>4381</v>
      </c>
      <c r="B1190" s="3" t="s">
        <v>404</v>
      </c>
      <c r="C1190" s="3" t="s">
        <v>56</v>
      </c>
      <c r="D1190" s="3" t="s">
        <v>68</v>
      </c>
      <c r="E1190" s="3" t="s">
        <v>100</v>
      </c>
      <c r="F1190" s="3" t="s">
        <v>1801</v>
      </c>
      <c r="G1190" s="7">
        <v>45835.32566438626</v>
      </c>
    </row>
    <row r="1191">
      <c r="A1191" s="3" t="s">
        <v>4384</v>
      </c>
      <c r="B1191" s="3" t="s">
        <v>250</v>
      </c>
      <c r="C1191" s="3" t="s">
        <v>56</v>
      </c>
      <c r="D1191" s="3" t="s">
        <v>68</v>
      </c>
      <c r="E1191" s="3" t="s">
        <v>100</v>
      </c>
      <c r="F1191" s="3" t="s">
        <v>1804</v>
      </c>
      <c r="G1191" s="7">
        <v>45835.39683923168</v>
      </c>
    </row>
    <row r="1192">
      <c r="A1192" s="3" t="s">
        <v>4387</v>
      </c>
      <c r="B1192" s="3" t="s">
        <v>236</v>
      </c>
      <c r="C1192" s="3" t="s">
        <v>1342</v>
      </c>
      <c r="D1192" s="3" t="s">
        <v>68</v>
      </c>
      <c r="E1192" s="3" t="s">
        <v>100</v>
      </c>
      <c r="F1192" s="3" t="s">
        <v>1383</v>
      </c>
      <c r="G1192" s="7">
        <v>45835.46801407709</v>
      </c>
    </row>
    <row r="1193">
      <c r="A1193" s="3" t="s">
        <v>4388</v>
      </c>
      <c r="B1193" s="3" t="s">
        <v>609</v>
      </c>
      <c r="C1193" s="3" t="s">
        <v>56</v>
      </c>
      <c r="D1193" s="3" t="s">
        <v>68</v>
      </c>
      <c r="E1193" s="3" t="s">
        <v>100</v>
      </c>
      <c r="F1193" s="3" t="s">
        <v>1806</v>
      </c>
      <c r="G1193" s="7">
        <v>45835.53918892251</v>
      </c>
    </row>
    <row r="1194">
      <c r="A1194" s="3" t="s">
        <v>4389</v>
      </c>
      <c r="B1194" s="3" t="s">
        <v>584</v>
      </c>
      <c r="C1194" s="3" t="s">
        <v>1342</v>
      </c>
      <c r="D1194" s="3" t="s">
        <v>68</v>
      </c>
      <c r="E1194" s="3" t="s">
        <v>100</v>
      </c>
      <c r="F1194" s="3" t="s">
        <v>837</v>
      </c>
      <c r="G1194" s="7">
        <v>45835.610363767926</v>
      </c>
    </row>
    <row r="1195">
      <c r="A1195" s="3" t="s">
        <v>4391</v>
      </c>
      <c r="B1195" s="3" t="s">
        <v>326</v>
      </c>
      <c r="C1195" s="3" t="s">
        <v>1342</v>
      </c>
      <c r="D1195" s="3" t="s">
        <v>68</v>
      </c>
      <c r="E1195" s="3" t="s">
        <v>100</v>
      </c>
      <c r="F1195" s="3" t="s">
        <v>1730</v>
      </c>
      <c r="G1195" s="7">
        <v>45835.68153861334</v>
      </c>
    </row>
    <row r="1196">
      <c r="A1196" s="3" t="s">
        <v>4392</v>
      </c>
      <c r="B1196" s="3" t="s">
        <v>179</v>
      </c>
      <c r="C1196" s="3" t="s">
        <v>56</v>
      </c>
      <c r="D1196" s="3" t="s">
        <v>68</v>
      </c>
      <c r="E1196" s="3" t="s">
        <v>100</v>
      </c>
      <c r="F1196" s="3" t="s">
        <v>1808</v>
      </c>
      <c r="G1196" s="7">
        <v>45835.75271345875</v>
      </c>
    </row>
    <row r="1197">
      <c r="A1197" s="3" t="s">
        <v>4395</v>
      </c>
      <c r="B1197" s="3" t="s">
        <v>993</v>
      </c>
      <c r="C1197" s="3" t="s">
        <v>1095</v>
      </c>
      <c r="D1197" s="3" t="s">
        <v>68</v>
      </c>
      <c r="E1197" s="3" t="s">
        <v>100</v>
      </c>
      <c r="F1197" s="3" t="s">
        <v>1779</v>
      </c>
      <c r="G1197" s="7">
        <v>45835.82388830417</v>
      </c>
    </row>
    <row r="1198">
      <c r="A1198" s="3" t="s">
        <v>4398</v>
      </c>
      <c r="B1198" s="3" t="s">
        <v>383</v>
      </c>
      <c r="C1198" s="3" t="s">
        <v>56</v>
      </c>
      <c r="D1198" s="3" t="s">
        <v>68</v>
      </c>
      <c r="E1198" s="3" t="s">
        <v>100</v>
      </c>
      <c r="F1198" s="3" t="s">
        <v>1812</v>
      </c>
      <c r="G1198" s="7">
        <v>45835.89506314958</v>
      </c>
    </row>
    <row r="1199">
      <c r="A1199" s="3" t="s">
        <v>4401</v>
      </c>
      <c r="B1199" s="3" t="s">
        <v>479</v>
      </c>
      <c r="C1199" s="3" t="s">
        <v>1342</v>
      </c>
      <c r="D1199" s="3" t="s">
        <v>68</v>
      </c>
      <c r="E1199" s="3" t="s">
        <v>100</v>
      </c>
      <c r="F1199" s="3" t="s">
        <v>1606</v>
      </c>
      <c r="G1199" s="7">
        <v>45835.966237994995</v>
      </c>
    </row>
    <row r="1200">
      <c r="A1200" s="3" t="s">
        <v>4405</v>
      </c>
      <c r="B1200" s="3" t="s">
        <v>126</v>
      </c>
      <c r="C1200" s="3" t="s">
        <v>56</v>
      </c>
      <c r="D1200" s="3" t="s">
        <v>195</v>
      </c>
      <c r="E1200" s="3" t="s">
        <v>45</v>
      </c>
      <c r="F1200" s="3" t="s">
        <v>45</v>
      </c>
      <c r="G1200" s="7">
        <v>45836.037412840415</v>
      </c>
    </row>
    <row r="1201">
      <c r="A1201" s="3" t="s">
        <v>4407</v>
      </c>
      <c r="B1201" s="3" t="s">
        <v>704</v>
      </c>
      <c r="C1201" s="3" t="s">
        <v>1342</v>
      </c>
      <c r="D1201" s="3" t="s">
        <v>68</v>
      </c>
      <c r="E1201" s="3" t="s">
        <v>100</v>
      </c>
      <c r="F1201" s="3" t="s">
        <v>1177</v>
      </c>
      <c r="G1201" s="7">
        <v>45836.10858768583</v>
      </c>
    </row>
    <row r="1202">
      <c r="A1202" s="3" t="s">
        <v>4410</v>
      </c>
      <c r="B1202" s="3" t="s">
        <v>505</v>
      </c>
      <c r="C1202" s="3" t="s">
        <v>56</v>
      </c>
      <c r="D1202" s="3" t="s">
        <v>181</v>
      </c>
      <c r="E1202" s="3" t="s">
        <v>45</v>
      </c>
      <c r="F1202" s="3" t="s">
        <v>45</v>
      </c>
      <c r="G1202" s="7">
        <v>45836.17976253124</v>
      </c>
    </row>
    <row r="1203">
      <c r="A1203" s="3" t="s">
        <v>4413</v>
      </c>
      <c r="B1203" s="3" t="s">
        <v>137</v>
      </c>
      <c r="C1203" s="3" t="s">
        <v>1095</v>
      </c>
      <c r="D1203" s="3" t="s">
        <v>68</v>
      </c>
      <c r="E1203" s="3" t="s">
        <v>100</v>
      </c>
      <c r="F1203" s="3" t="s">
        <v>1595</v>
      </c>
      <c r="G1203" s="7">
        <v>45836.25093737666</v>
      </c>
    </row>
    <row r="1204">
      <c r="A1204" s="3" t="s">
        <v>4416</v>
      </c>
      <c r="B1204" s="3" t="s">
        <v>864</v>
      </c>
      <c r="C1204" s="3" t="s">
        <v>56</v>
      </c>
      <c r="D1204" s="3" t="s">
        <v>68</v>
      </c>
      <c r="E1204" s="3" t="s">
        <v>100</v>
      </c>
      <c r="F1204" s="3" t="s">
        <v>1815</v>
      </c>
      <c r="G1204" s="7">
        <v>45836.32211222207</v>
      </c>
    </row>
    <row r="1205">
      <c r="A1205" s="3" t="s">
        <v>4420</v>
      </c>
      <c r="B1205" s="3" t="s">
        <v>380</v>
      </c>
      <c r="C1205" s="3" t="s">
        <v>56</v>
      </c>
      <c r="D1205" s="3" t="s">
        <v>68</v>
      </c>
      <c r="E1205" s="3" t="s">
        <v>100</v>
      </c>
      <c r="F1205" s="3" t="s">
        <v>1820</v>
      </c>
      <c r="G1205" s="7">
        <v>45836.39328706749</v>
      </c>
    </row>
    <row r="1206">
      <c r="A1206" s="3" t="s">
        <v>4423</v>
      </c>
      <c r="B1206" s="3" t="s">
        <v>326</v>
      </c>
      <c r="C1206" s="3" t="s">
        <v>1342</v>
      </c>
      <c r="D1206" s="3" t="s">
        <v>68</v>
      </c>
      <c r="E1206" s="3" t="s">
        <v>100</v>
      </c>
      <c r="F1206" s="3" t="s">
        <v>1730</v>
      </c>
      <c r="G1206" s="7">
        <v>45836.4644619129</v>
      </c>
    </row>
    <row r="1207">
      <c r="A1207" s="3" t="s">
        <v>4426</v>
      </c>
      <c r="B1207" s="3" t="s">
        <v>864</v>
      </c>
      <c r="C1207" s="3" t="s">
        <v>1342</v>
      </c>
      <c r="D1207" s="3" t="s">
        <v>68</v>
      </c>
      <c r="E1207" s="3" t="s">
        <v>100</v>
      </c>
      <c r="F1207" s="3" t="s">
        <v>1815</v>
      </c>
      <c r="G1207" s="7">
        <v>45836.53563675832</v>
      </c>
    </row>
    <row r="1208">
      <c r="A1208" s="3" t="s">
        <v>4429</v>
      </c>
      <c r="B1208" s="3" t="s">
        <v>629</v>
      </c>
      <c r="C1208" s="3" t="s">
        <v>1342</v>
      </c>
      <c r="D1208" s="3" t="s">
        <v>68</v>
      </c>
      <c r="E1208" s="3" t="s">
        <v>100</v>
      </c>
      <c r="F1208" s="3" t="s">
        <v>1563</v>
      </c>
      <c r="G1208" s="7">
        <v>45836.60681160373</v>
      </c>
    </row>
    <row r="1209">
      <c r="A1209" s="3" t="s">
        <v>4433</v>
      </c>
      <c r="B1209" s="3" t="s">
        <v>137</v>
      </c>
      <c r="C1209" s="3" t="s">
        <v>56</v>
      </c>
      <c r="D1209" s="3" t="s">
        <v>68</v>
      </c>
      <c r="E1209" s="3" t="s">
        <v>100</v>
      </c>
      <c r="F1209" s="3" t="s">
        <v>1824</v>
      </c>
      <c r="G1209" s="7">
        <v>45836.67798644915</v>
      </c>
    </row>
    <row r="1210">
      <c r="A1210" s="3" t="s">
        <v>4437</v>
      </c>
      <c r="B1210" s="3" t="s">
        <v>239</v>
      </c>
      <c r="C1210" s="3" t="s">
        <v>1342</v>
      </c>
      <c r="D1210" s="3" t="s">
        <v>68</v>
      </c>
      <c r="E1210" s="3" t="s">
        <v>100</v>
      </c>
      <c r="F1210" s="3" t="s">
        <v>1211</v>
      </c>
      <c r="G1210" s="7">
        <v>45836.74916129457</v>
      </c>
    </row>
    <row r="1211">
      <c r="A1211" s="3" t="s">
        <v>4440</v>
      </c>
      <c r="B1211" s="3" t="s">
        <v>746</v>
      </c>
      <c r="C1211" s="3" t="s">
        <v>1095</v>
      </c>
      <c r="D1211" s="3" t="s">
        <v>68</v>
      </c>
      <c r="E1211" s="3" t="s">
        <v>100</v>
      </c>
      <c r="F1211" s="3" t="s">
        <v>1631</v>
      </c>
      <c r="G1211" s="7">
        <v>45836.82033613998</v>
      </c>
    </row>
    <row r="1212">
      <c r="A1212" s="3" t="s">
        <v>4442</v>
      </c>
      <c r="B1212" s="3" t="s">
        <v>751</v>
      </c>
      <c r="C1212" s="3" t="s">
        <v>1342</v>
      </c>
      <c r="D1212" s="3" t="s">
        <v>68</v>
      </c>
      <c r="E1212" s="3" t="s">
        <v>100</v>
      </c>
      <c r="F1212" s="3" t="s">
        <v>1684</v>
      </c>
      <c r="G1212" s="7">
        <v>45836.89151098539</v>
      </c>
    </row>
    <row r="1213">
      <c r="A1213" s="3" t="s">
        <v>4444</v>
      </c>
      <c r="B1213" s="3" t="s">
        <v>600</v>
      </c>
      <c r="C1213" s="3" t="s">
        <v>1095</v>
      </c>
      <c r="D1213" s="3" t="s">
        <v>195</v>
      </c>
      <c r="E1213" s="3" t="s">
        <v>45</v>
      </c>
      <c r="F1213" s="3" t="s">
        <v>1789</v>
      </c>
      <c r="G1213" s="7">
        <v>45836.96268583081</v>
      </c>
    </row>
    <row r="1214">
      <c r="A1214" s="3" t="s">
        <v>4446</v>
      </c>
      <c r="B1214" s="3" t="s">
        <v>366</v>
      </c>
      <c r="C1214" s="3" t="s">
        <v>1342</v>
      </c>
      <c r="D1214" s="3" t="s">
        <v>195</v>
      </c>
      <c r="E1214" s="3" t="s">
        <v>45</v>
      </c>
      <c r="F1214" s="3" t="s">
        <v>1179</v>
      </c>
      <c r="G1214" s="7">
        <v>45837.03386067622</v>
      </c>
    </row>
    <row r="1215">
      <c r="A1215" s="3" t="s">
        <v>4449</v>
      </c>
      <c r="B1215" s="3" t="s">
        <v>290</v>
      </c>
      <c r="C1215" s="3" t="s">
        <v>56</v>
      </c>
      <c r="D1215" s="3" t="s">
        <v>68</v>
      </c>
      <c r="E1215" s="3" t="s">
        <v>100</v>
      </c>
      <c r="F1215" s="3" t="s">
        <v>1828</v>
      </c>
      <c r="G1215" s="7">
        <v>45837.105035521636</v>
      </c>
    </row>
    <row r="1216">
      <c r="A1216" s="3" t="s">
        <v>4453</v>
      </c>
      <c r="B1216" s="3" t="s">
        <v>969</v>
      </c>
      <c r="C1216" s="3" t="s">
        <v>56</v>
      </c>
      <c r="D1216" s="3" t="s">
        <v>68</v>
      </c>
      <c r="E1216" s="3" t="s">
        <v>100</v>
      </c>
      <c r="F1216" s="3" t="s">
        <v>1833</v>
      </c>
      <c r="G1216" s="7">
        <v>45837.176210367055</v>
      </c>
    </row>
    <row r="1217">
      <c r="A1217" s="3" t="s">
        <v>4456</v>
      </c>
      <c r="B1217" s="3" t="s">
        <v>523</v>
      </c>
      <c r="C1217" s="3" t="s">
        <v>1095</v>
      </c>
      <c r="D1217" s="3" t="s">
        <v>68</v>
      </c>
      <c r="E1217" s="3" t="s">
        <v>100</v>
      </c>
      <c r="F1217" s="3" t="s">
        <v>1448</v>
      </c>
      <c r="G1217" s="7">
        <v>45837.247385212475</v>
      </c>
    </row>
    <row r="1218">
      <c r="A1218" s="3" t="s">
        <v>4459</v>
      </c>
      <c r="B1218" s="3" t="s">
        <v>171</v>
      </c>
      <c r="C1218" s="3" t="s">
        <v>56</v>
      </c>
      <c r="D1218" s="3" t="s">
        <v>68</v>
      </c>
      <c r="E1218" s="3" t="s">
        <v>100</v>
      </c>
      <c r="F1218" s="3" t="s">
        <v>1835</v>
      </c>
      <c r="G1218" s="7">
        <v>45837.31856005788</v>
      </c>
    </row>
    <row r="1219">
      <c r="A1219" s="3" t="s">
        <v>4462</v>
      </c>
      <c r="B1219" s="3" t="s">
        <v>746</v>
      </c>
      <c r="C1219" s="3" t="s">
        <v>56</v>
      </c>
      <c r="D1219" s="3" t="s">
        <v>68</v>
      </c>
      <c r="E1219" s="3" t="s">
        <v>100</v>
      </c>
      <c r="F1219" s="3" t="s">
        <v>1837</v>
      </c>
      <c r="G1219" s="7">
        <v>45837.3897349033</v>
      </c>
    </row>
    <row r="1220">
      <c r="A1220" s="3" t="s">
        <v>4465</v>
      </c>
      <c r="B1220" s="3" t="s">
        <v>622</v>
      </c>
      <c r="C1220" s="3" t="s">
        <v>1342</v>
      </c>
      <c r="D1220" s="3" t="s">
        <v>68</v>
      </c>
      <c r="E1220" s="3" t="s">
        <v>100</v>
      </c>
      <c r="F1220" s="3" t="s">
        <v>1674</v>
      </c>
      <c r="G1220" s="7">
        <v>45837.46090974871</v>
      </c>
    </row>
    <row r="1221">
      <c r="A1221" s="3" t="s">
        <v>4468</v>
      </c>
      <c r="B1221" s="3" t="s">
        <v>398</v>
      </c>
      <c r="C1221" s="3" t="s">
        <v>56</v>
      </c>
      <c r="D1221" s="3" t="s">
        <v>181</v>
      </c>
      <c r="E1221" s="3" t="s">
        <v>45</v>
      </c>
      <c r="F1221" s="3" t="s">
        <v>45</v>
      </c>
      <c r="G1221" s="7">
        <v>45837.53208459413</v>
      </c>
    </row>
    <row r="1222">
      <c r="A1222" s="3" t="s">
        <v>4471</v>
      </c>
      <c r="B1222" s="3" t="s">
        <v>747</v>
      </c>
      <c r="C1222" s="3" t="s">
        <v>1342</v>
      </c>
      <c r="D1222" s="3" t="s">
        <v>68</v>
      </c>
      <c r="E1222" s="3" t="s">
        <v>100</v>
      </c>
      <c r="F1222" s="3" t="s">
        <v>1786</v>
      </c>
      <c r="G1222" s="7">
        <v>45837.603259439544</v>
      </c>
    </row>
    <row r="1223">
      <c r="A1223" s="3" t="s">
        <v>4473</v>
      </c>
      <c r="B1223" s="3" t="s">
        <v>581</v>
      </c>
      <c r="C1223" s="3" t="s">
        <v>1095</v>
      </c>
      <c r="D1223" s="3" t="s">
        <v>68</v>
      </c>
      <c r="E1223" s="3" t="s">
        <v>100</v>
      </c>
      <c r="F1223" s="3" t="s">
        <v>1530</v>
      </c>
      <c r="G1223" s="7">
        <v>45837.67443428496</v>
      </c>
    </row>
    <row r="1224">
      <c r="A1224" s="3" t="s">
        <v>4475</v>
      </c>
      <c r="B1224" s="3" t="s">
        <v>171</v>
      </c>
      <c r="C1224" s="3" t="s">
        <v>1342</v>
      </c>
      <c r="D1224" s="3" t="s">
        <v>68</v>
      </c>
      <c r="E1224" s="3" t="s">
        <v>100</v>
      </c>
      <c r="F1224" s="3" t="s">
        <v>1835</v>
      </c>
      <c r="G1224" s="7">
        <v>45837.74560913037</v>
      </c>
    </row>
    <row r="1225">
      <c r="A1225" s="3" t="s">
        <v>4478</v>
      </c>
      <c r="B1225" s="3" t="s">
        <v>652</v>
      </c>
      <c r="C1225" s="3" t="s">
        <v>1095</v>
      </c>
      <c r="D1225" s="3" t="s">
        <v>68</v>
      </c>
      <c r="E1225" s="3" t="s">
        <v>100</v>
      </c>
      <c r="F1225" s="3" t="s">
        <v>1173</v>
      </c>
      <c r="G1225" s="7">
        <v>45837.81678397579</v>
      </c>
    </row>
    <row r="1226">
      <c r="A1226" s="3" t="s">
        <v>4481</v>
      </c>
      <c r="B1226" s="3" t="s">
        <v>616</v>
      </c>
      <c r="C1226" s="3" t="s">
        <v>1095</v>
      </c>
      <c r="D1226" s="3" t="s">
        <v>68</v>
      </c>
      <c r="E1226" s="3" t="s">
        <v>100</v>
      </c>
      <c r="F1226" s="3" t="s">
        <v>1658</v>
      </c>
      <c r="G1226" s="7">
        <v>45837.88795882121</v>
      </c>
    </row>
    <row r="1227">
      <c r="A1227" s="3" t="s">
        <v>4484</v>
      </c>
      <c r="B1227" s="3" t="s">
        <v>911</v>
      </c>
      <c r="C1227" s="3" t="s">
        <v>1095</v>
      </c>
      <c r="D1227" s="3" t="s">
        <v>68</v>
      </c>
      <c r="E1227" s="3" t="s">
        <v>100</v>
      </c>
      <c r="F1227" s="3" t="s">
        <v>1424</v>
      </c>
      <c r="G1227" s="7">
        <v>45837.95913366662</v>
      </c>
    </row>
    <row r="1228">
      <c r="A1228" s="3" t="s">
        <v>4486</v>
      </c>
      <c r="B1228" s="3" t="s">
        <v>616</v>
      </c>
      <c r="C1228" s="3" t="s">
        <v>56</v>
      </c>
      <c r="D1228" s="3" t="s">
        <v>68</v>
      </c>
      <c r="E1228" s="3" t="s">
        <v>100</v>
      </c>
      <c r="F1228" s="3" t="s">
        <v>1842</v>
      </c>
      <c r="G1228" s="7">
        <v>45838.03030851203</v>
      </c>
    </row>
    <row r="1229">
      <c r="A1229" s="3" t="s">
        <v>4488</v>
      </c>
      <c r="B1229" s="3" t="s">
        <v>219</v>
      </c>
      <c r="C1229" s="3" t="s">
        <v>1095</v>
      </c>
      <c r="D1229" s="3" t="s">
        <v>68</v>
      </c>
      <c r="E1229" s="3" t="s">
        <v>100</v>
      </c>
      <c r="F1229" s="3" t="s">
        <v>1542</v>
      </c>
      <c r="G1229" s="7">
        <v>45838.10148335745</v>
      </c>
    </row>
    <row r="1230">
      <c r="A1230" s="3" t="s">
        <v>4492</v>
      </c>
      <c r="B1230" s="3" t="s">
        <v>501</v>
      </c>
      <c r="C1230" s="3" t="s">
        <v>56</v>
      </c>
      <c r="D1230" s="3" t="s">
        <v>68</v>
      </c>
      <c r="E1230" s="3" t="s">
        <v>100</v>
      </c>
      <c r="F1230" s="3" t="s">
        <v>1846</v>
      </c>
      <c r="G1230" s="7">
        <v>45838.172658202864</v>
      </c>
    </row>
    <row r="1231">
      <c r="A1231" s="3" t="s">
        <v>4496</v>
      </c>
      <c r="B1231" s="3" t="s">
        <v>622</v>
      </c>
      <c r="C1231" s="3" t="s">
        <v>1095</v>
      </c>
      <c r="D1231" s="3" t="s">
        <v>68</v>
      </c>
      <c r="E1231" s="3" t="s">
        <v>100</v>
      </c>
      <c r="F1231" s="3" t="s">
        <v>1674</v>
      </c>
      <c r="G1231" s="7">
        <v>45838.24383304828</v>
      </c>
    </row>
    <row r="1232">
      <c r="A1232" s="3" t="s">
        <v>4499</v>
      </c>
      <c r="B1232" s="3" t="s">
        <v>505</v>
      </c>
      <c r="C1232" s="3" t="s">
        <v>56</v>
      </c>
      <c r="D1232" s="3" t="s">
        <v>68</v>
      </c>
      <c r="E1232" s="3" t="s">
        <v>100</v>
      </c>
      <c r="F1232" s="3" t="s">
        <v>1848</v>
      </c>
      <c r="G1232" s="7">
        <v>45838.315007893696</v>
      </c>
    </row>
    <row r="1233">
      <c r="A1233" s="3" t="s">
        <v>4502</v>
      </c>
      <c r="B1233" s="3" t="s">
        <v>587</v>
      </c>
      <c r="C1233" s="3" t="s">
        <v>1095</v>
      </c>
      <c r="D1233" s="3" t="s">
        <v>68</v>
      </c>
      <c r="E1233" s="3" t="s">
        <v>100</v>
      </c>
      <c r="F1233" s="3" t="s">
        <v>1780</v>
      </c>
      <c r="G1233" s="7">
        <v>45838.386182739116</v>
      </c>
    </row>
    <row r="1234">
      <c r="A1234" s="3" t="s">
        <v>4505</v>
      </c>
      <c r="B1234" s="3" t="s">
        <v>767</v>
      </c>
      <c r="C1234" s="3" t="s">
        <v>56</v>
      </c>
      <c r="D1234" s="3" t="s">
        <v>68</v>
      </c>
      <c r="E1234" s="3" t="s">
        <v>100</v>
      </c>
      <c r="F1234" s="3" t="s">
        <v>1850</v>
      </c>
      <c r="G1234" s="7">
        <v>45838.45735758452</v>
      </c>
    </row>
    <row r="1235">
      <c r="A1235" s="3" t="s">
        <v>4508</v>
      </c>
      <c r="B1235" s="3" t="s">
        <v>1028</v>
      </c>
      <c r="C1235" s="3" t="s">
        <v>56</v>
      </c>
      <c r="D1235" s="3" t="s">
        <v>68</v>
      </c>
      <c r="E1235" s="3" t="s">
        <v>100</v>
      </c>
      <c r="F1235" s="3" t="s">
        <v>1852</v>
      </c>
      <c r="G1235" s="7">
        <v>45838.52853242994</v>
      </c>
    </row>
    <row r="1236">
      <c r="A1236" s="3" t="s">
        <v>4511</v>
      </c>
      <c r="B1236" s="3" t="s">
        <v>947</v>
      </c>
      <c r="C1236" s="3" t="s">
        <v>56</v>
      </c>
      <c r="D1236" s="3" t="s">
        <v>68</v>
      </c>
      <c r="E1236" s="3" t="s">
        <v>100</v>
      </c>
      <c r="F1236" s="3" t="s">
        <v>1855</v>
      </c>
      <c r="G1236" s="7">
        <v>45838.59970727536</v>
      </c>
    </row>
    <row r="1237">
      <c r="A1237" s="3" t="s">
        <v>4514</v>
      </c>
      <c r="B1237" s="3" t="s">
        <v>165</v>
      </c>
      <c r="C1237" s="3" t="s">
        <v>1342</v>
      </c>
      <c r="D1237" s="3" t="s">
        <v>68</v>
      </c>
      <c r="E1237" s="3" t="s">
        <v>100</v>
      </c>
      <c r="F1237" s="3" t="s">
        <v>1759</v>
      </c>
      <c r="G1237" s="7">
        <v>45838.67088212077</v>
      </c>
    </row>
    <row r="1238">
      <c r="A1238" s="3" t="s">
        <v>4517</v>
      </c>
      <c r="B1238" s="3" t="s">
        <v>704</v>
      </c>
      <c r="C1238" s="3" t="s">
        <v>1342</v>
      </c>
      <c r="D1238" s="3" t="s">
        <v>68</v>
      </c>
      <c r="E1238" s="3" t="s">
        <v>100</v>
      </c>
      <c r="F1238" s="3" t="s">
        <v>1177</v>
      </c>
      <c r="G1238" s="7">
        <v>45838.742056966184</v>
      </c>
    </row>
    <row r="1239">
      <c r="A1239" s="3" t="s">
        <v>4519</v>
      </c>
      <c r="B1239" s="3" t="s">
        <v>895</v>
      </c>
      <c r="C1239" s="3" t="s">
        <v>56</v>
      </c>
      <c r="D1239" s="3" t="s">
        <v>68</v>
      </c>
      <c r="E1239" s="3" t="s">
        <v>100</v>
      </c>
      <c r="F1239" s="3" t="s">
        <v>1857</v>
      </c>
      <c r="G1239" s="7">
        <v>45838.813231811604</v>
      </c>
    </row>
    <row r="1240">
      <c r="A1240" s="3" t="s">
        <v>4523</v>
      </c>
      <c r="B1240" s="3" t="s">
        <v>535</v>
      </c>
      <c r="C1240" s="3" t="s">
        <v>56</v>
      </c>
      <c r="D1240" s="3" t="s">
        <v>68</v>
      </c>
      <c r="E1240" s="3" t="s">
        <v>100</v>
      </c>
      <c r="F1240" s="3" t="s">
        <v>1860</v>
      </c>
      <c r="G1240" s="7">
        <v>45838.88440665702</v>
      </c>
    </row>
    <row r="1241">
      <c r="A1241" s="3" t="s">
        <v>4526</v>
      </c>
      <c r="B1241" s="3" t="s">
        <v>694</v>
      </c>
      <c r="C1241" s="3" t="s">
        <v>1095</v>
      </c>
      <c r="D1241" s="3" t="s">
        <v>68</v>
      </c>
      <c r="E1241" s="3" t="s">
        <v>100</v>
      </c>
      <c r="F1241" s="3" t="s">
        <v>1790</v>
      </c>
      <c r="G1241" s="7">
        <v>45838.95558150243</v>
      </c>
    </row>
    <row r="1242">
      <c r="A1242" s="3" t="s">
        <v>4529</v>
      </c>
      <c r="B1242" s="3" t="s">
        <v>976</v>
      </c>
      <c r="C1242" s="3" t="s">
        <v>1342</v>
      </c>
      <c r="D1242" s="3" t="s">
        <v>68</v>
      </c>
      <c r="E1242" s="3" t="s">
        <v>100</v>
      </c>
      <c r="F1242" s="3" t="s">
        <v>1679</v>
      </c>
      <c r="G1242" s="7">
        <v>45839.02675634785</v>
      </c>
    </row>
    <row r="1243">
      <c r="A1243" s="3" t="s">
        <v>4532</v>
      </c>
      <c r="B1243" s="3" t="s">
        <v>682</v>
      </c>
      <c r="C1243" s="3" t="s">
        <v>1095</v>
      </c>
      <c r="D1243" s="3" t="s">
        <v>68</v>
      </c>
      <c r="E1243" s="3" t="s">
        <v>100</v>
      </c>
      <c r="F1243" s="3" t="s">
        <v>1004</v>
      </c>
      <c r="G1243" s="7">
        <v>45839.09793119326</v>
      </c>
    </row>
    <row r="1244">
      <c r="A1244" s="3" t="s">
        <v>4535</v>
      </c>
      <c r="B1244" s="3" t="s">
        <v>669</v>
      </c>
      <c r="C1244" s="3" t="s">
        <v>1095</v>
      </c>
      <c r="D1244" s="3" t="s">
        <v>68</v>
      </c>
      <c r="E1244" s="3" t="s">
        <v>100</v>
      </c>
      <c r="F1244" s="3" t="s">
        <v>1793</v>
      </c>
      <c r="G1244" s="7">
        <v>45839.16910603867</v>
      </c>
    </row>
    <row r="1245">
      <c r="A1245" s="3" t="s">
        <v>4538</v>
      </c>
      <c r="B1245" s="3" t="s">
        <v>544</v>
      </c>
      <c r="C1245" s="3" t="s">
        <v>56</v>
      </c>
      <c r="D1245" s="3" t="s">
        <v>68</v>
      </c>
      <c r="E1245" s="3" t="s">
        <v>100</v>
      </c>
      <c r="F1245" s="3" t="s">
        <v>1863</v>
      </c>
      <c r="G1245" s="7">
        <v>45839.24028088409</v>
      </c>
    </row>
    <row r="1246">
      <c r="A1246" s="3" t="s">
        <v>4541</v>
      </c>
      <c r="B1246" s="3" t="s">
        <v>752</v>
      </c>
      <c r="C1246" s="3" t="s">
        <v>56</v>
      </c>
      <c r="D1246" s="3" t="s">
        <v>181</v>
      </c>
      <c r="E1246" s="3" t="s">
        <v>45</v>
      </c>
      <c r="F1246" s="3" t="s">
        <v>45</v>
      </c>
      <c r="G1246" s="7">
        <v>45839.311455729505</v>
      </c>
    </row>
    <row r="1247">
      <c r="A1247" s="3" t="s">
        <v>4544</v>
      </c>
      <c r="B1247" s="3" t="s">
        <v>685</v>
      </c>
      <c r="C1247" s="3" t="s">
        <v>1342</v>
      </c>
      <c r="D1247" s="3" t="s">
        <v>68</v>
      </c>
      <c r="E1247" s="3" t="s">
        <v>100</v>
      </c>
      <c r="F1247" s="3" t="s">
        <v>1133</v>
      </c>
      <c r="G1247" s="7">
        <v>45839.382630574924</v>
      </c>
    </row>
    <row r="1248">
      <c r="A1248" s="3" t="s">
        <v>4547</v>
      </c>
      <c r="B1248" s="3" t="s">
        <v>574</v>
      </c>
      <c r="C1248" s="3" t="s">
        <v>56</v>
      </c>
      <c r="D1248" s="3" t="s">
        <v>68</v>
      </c>
      <c r="E1248" s="3" t="s">
        <v>100</v>
      </c>
      <c r="F1248" s="3" t="s">
        <v>1864</v>
      </c>
      <c r="G1248" s="7">
        <v>45839.45380542034</v>
      </c>
    </row>
    <row r="1249">
      <c r="A1249" s="3" t="s">
        <v>4550</v>
      </c>
      <c r="B1249" s="3" t="s">
        <v>189</v>
      </c>
      <c r="C1249" s="3" t="s">
        <v>1095</v>
      </c>
      <c r="D1249" s="3" t="s">
        <v>68</v>
      </c>
      <c r="E1249" s="3" t="s">
        <v>100</v>
      </c>
      <c r="F1249" s="3" t="s">
        <v>1514</v>
      </c>
      <c r="G1249" s="7">
        <v>45839.524980265756</v>
      </c>
    </row>
    <row r="1250">
      <c r="A1250" s="3" t="s">
        <v>4553</v>
      </c>
      <c r="B1250" s="3" t="s">
        <v>224</v>
      </c>
      <c r="C1250" s="3" t="s">
        <v>1342</v>
      </c>
      <c r="D1250" s="3" t="s">
        <v>68</v>
      </c>
      <c r="E1250" s="3" t="s">
        <v>100</v>
      </c>
      <c r="F1250" s="3" t="s">
        <v>1054</v>
      </c>
      <c r="G1250" s="7">
        <v>45839.59615511116</v>
      </c>
    </row>
    <row r="1251">
      <c r="A1251" s="3" t="s">
        <v>4558</v>
      </c>
      <c r="B1251" s="3" t="s">
        <v>272</v>
      </c>
      <c r="C1251" s="3" t="s">
        <v>1095</v>
      </c>
      <c r="D1251" s="3" t="s">
        <v>68</v>
      </c>
      <c r="E1251" s="3" t="s">
        <v>100</v>
      </c>
      <c r="F1251" s="3" t="s">
        <v>1162</v>
      </c>
      <c r="G1251" s="7">
        <v>45839.66732995658</v>
      </c>
    </row>
    <row r="1252">
      <c r="A1252" s="3" t="s">
        <v>4561</v>
      </c>
      <c r="B1252" s="3" t="s">
        <v>751</v>
      </c>
      <c r="C1252" s="3" t="s">
        <v>1342</v>
      </c>
      <c r="D1252" s="3" t="s">
        <v>68</v>
      </c>
      <c r="E1252" s="3" t="s">
        <v>100</v>
      </c>
      <c r="F1252" s="3" t="s">
        <v>1684</v>
      </c>
      <c r="G1252" s="7">
        <v>45839.738504802</v>
      </c>
    </row>
    <row r="1253">
      <c r="A1253" s="3" t="s">
        <v>4564</v>
      </c>
      <c r="B1253" s="3" t="s">
        <v>627</v>
      </c>
      <c r="C1253" s="3" t="s">
        <v>1342</v>
      </c>
      <c r="D1253" s="3" t="s">
        <v>68</v>
      </c>
      <c r="E1253" s="3" t="s">
        <v>100</v>
      </c>
      <c r="F1253" s="3" t="s">
        <v>1072</v>
      </c>
      <c r="G1253" s="7">
        <v>45839.80967964741</v>
      </c>
    </row>
    <row r="1254">
      <c r="A1254" s="3" t="s">
        <v>4567</v>
      </c>
      <c r="B1254" s="3" t="s">
        <v>708</v>
      </c>
      <c r="C1254" s="3" t="s">
        <v>1342</v>
      </c>
      <c r="D1254" s="3" t="s">
        <v>68</v>
      </c>
      <c r="E1254" s="3" t="s">
        <v>100</v>
      </c>
      <c r="F1254" s="3" t="s">
        <v>1776</v>
      </c>
      <c r="G1254" s="7">
        <v>45839.880854492825</v>
      </c>
    </row>
    <row r="1255">
      <c r="A1255" s="3" t="s">
        <v>4570</v>
      </c>
      <c r="B1255" s="3" t="s">
        <v>662</v>
      </c>
      <c r="C1255" s="3" t="s">
        <v>1095</v>
      </c>
      <c r="D1255" s="3" t="s">
        <v>68</v>
      </c>
      <c r="E1255" s="3" t="s">
        <v>100</v>
      </c>
      <c r="F1255" s="3" t="s">
        <v>1770</v>
      </c>
      <c r="G1255" s="7">
        <v>45839.952029338245</v>
      </c>
    </row>
    <row r="1256">
      <c r="A1256" s="3" t="s">
        <v>4573</v>
      </c>
      <c r="B1256" s="3" t="s">
        <v>934</v>
      </c>
      <c r="C1256" s="3" t="s">
        <v>1342</v>
      </c>
      <c r="D1256" s="3" t="s">
        <v>181</v>
      </c>
      <c r="E1256" s="3" t="s">
        <v>45</v>
      </c>
      <c r="F1256" s="3" t="s">
        <v>1376</v>
      </c>
      <c r="G1256" s="7">
        <v>45840.02320418366</v>
      </c>
    </row>
    <row r="1257">
      <c r="A1257" s="3" t="s">
        <v>4578</v>
      </c>
      <c r="B1257" s="3" t="s">
        <v>197</v>
      </c>
      <c r="C1257" s="3" t="s">
        <v>1342</v>
      </c>
      <c r="D1257" s="3" t="s">
        <v>181</v>
      </c>
      <c r="E1257" s="3" t="s">
        <v>45</v>
      </c>
      <c r="F1257" s="3" t="s">
        <v>1467</v>
      </c>
      <c r="G1257" s="7">
        <v>45840.09437902907</v>
      </c>
    </row>
    <row r="1258">
      <c r="A1258" s="3" t="s">
        <v>4581</v>
      </c>
      <c r="B1258" s="3" t="s">
        <v>424</v>
      </c>
      <c r="C1258" s="3" t="s">
        <v>1095</v>
      </c>
      <c r="D1258" s="3" t="s">
        <v>68</v>
      </c>
      <c r="E1258" s="3" t="s">
        <v>100</v>
      </c>
      <c r="F1258" s="3" t="s">
        <v>549</v>
      </c>
      <c r="G1258" s="7">
        <v>45840.16555387449</v>
      </c>
    </row>
    <row r="1259">
      <c r="A1259" s="3" t="s">
        <v>4584</v>
      </c>
      <c r="B1259" s="3" t="s">
        <v>658</v>
      </c>
      <c r="C1259" s="3" t="s">
        <v>56</v>
      </c>
      <c r="D1259" s="3" t="s">
        <v>68</v>
      </c>
      <c r="E1259" s="3" t="s">
        <v>100</v>
      </c>
      <c r="F1259" s="3" t="s">
        <v>1869</v>
      </c>
      <c r="G1259" s="7">
        <v>45840.23672871991</v>
      </c>
    </row>
    <row r="1260">
      <c r="A1260" s="3" t="s">
        <v>4586</v>
      </c>
      <c r="B1260" s="3" t="s">
        <v>498</v>
      </c>
      <c r="C1260" s="3" t="s">
        <v>1342</v>
      </c>
      <c r="D1260" s="3" t="s">
        <v>181</v>
      </c>
      <c r="E1260" s="3" t="s">
        <v>45</v>
      </c>
      <c r="F1260" s="3" t="s">
        <v>1738</v>
      </c>
      <c r="G1260" s="7">
        <v>45840.30790356531</v>
      </c>
    </row>
    <row r="1261">
      <c r="A1261" s="3" t="s">
        <v>4590</v>
      </c>
      <c r="B1261" s="3" t="s">
        <v>1034</v>
      </c>
      <c r="C1261" s="3" t="s">
        <v>1095</v>
      </c>
      <c r="D1261" s="3" t="s">
        <v>68</v>
      </c>
      <c r="E1261" s="3" t="s">
        <v>100</v>
      </c>
      <c r="F1261" s="3" t="s">
        <v>1800</v>
      </c>
      <c r="G1261" s="7">
        <v>45840.37907841073</v>
      </c>
    </row>
    <row r="1262">
      <c r="A1262" s="3" t="s">
        <v>4593</v>
      </c>
      <c r="B1262" s="3" t="s">
        <v>760</v>
      </c>
      <c r="C1262" s="3" t="s">
        <v>1342</v>
      </c>
      <c r="D1262" s="3" t="s">
        <v>68</v>
      </c>
      <c r="E1262" s="3" t="s">
        <v>100</v>
      </c>
      <c r="F1262" s="3" t="s">
        <v>1614</v>
      </c>
      <c r="G1262" s="7">
        <v>45840.450253256146</v>
      </c>
    </row>
    <row r="1263">
      <c r="A1263" s="3" t="s">
        <v>4596</v>
      </c>
      <c r="B1263" s="3" t="s">
        <v>822</v>
      </c>
      <c r="C1263" s="3" t="s">
        <v>1342</v>
      </c>
      <c r="D1263" s="3" t="s">
        <v>68</v>
      </c>
      <c r="E1263" s="3" t="s">
        <v>100</v>
      </c>
      <c r="F1263" s="3" t="s">
        <v>1576</v>
      </c>
      <c r="G1263" s="7">
        <v>45840.521428101565</v>
      </c>
    </row>
    <row r="1264">
      <c r="A1264" s="3" t="s">
        <v>4599</v>
      </c>
      <c r="B1264" s="3" t="s">
        <v>398</v>
      </c>
      <c r="C1264" s="3" t="s">
        <v>56</v>
      </c>
      <c r="D1264" s="3" t="s">
        <v>68</v>
      </c>
      <c r="E1264" s="3" t="s">
        <v>100</v>
      </c>
      <c r="F1264" s="3" t="s">
        <v>1873</v>
      </c>
      <c r="G1264" s="7">
        <v>45840.59260294698</v>
      </c>
    </row>
    <row r="1265">
      <c r="A1265" s="3" t="s">
        <v>4602</v>
      </c>
      <c r="B1265" s="3" t="s">
        <v>864</v>
      </c>
      <c r="C1265" s="3" t="s">
        <v>1342</v>
      </c>
      <c r="D1265" s="3" t="s">
        <v>68</v>
      </c>
      <c r="E1265" s="3" t="s">
        <v>100</v>
      </c>
      <c r="F1265" s="3" t="s">
        <v>1815</v>
      </c>
      <c r="G1265" s="7">
        <v>45840.6637777924</v>
      </c>
    </row>
    <row r="1266">
      <c r="A1266" s="3" t="s">
        <v>4605</v>
      </c>
      <c r="B1266" s="3" t="s">
        <v>256</v>
      </c>
      <c r="C1266" s="3" t="s">
        <v>1342</v>
      </c>
      <c r="D1266" s="3" t="s">
        <v>68</v>
      </c>
      <c r="E1266" s="3" t="s">
        <v>100</v>
      </c>
      <c r="F1266" s="3" t="s">
        <v>1539</v>
      </c>
      <c r="G1266" s="7">
        <v>45840.7349526378</v>
      </c>
    </row>
    <row r="1267">
      <c r="A1267" s="3" t="s">
        <v>4608</v>
      </c>
      <c r="B1267" s="3" t="s">
        <v>179</v>
      </c>
      <c r="C1267" s="3" t="s">
        <v>1095</v>
      </c>
      <c r="D1267" s="3" t="s">
        <v>68</v>
      </c>
      <c r="E1267" s="3" t="s">
        <v>100</v>
      </c>
      <c r="F1267" s="3" t="s">
        <v>1808</v>
      </c>
      <c r="G1267" s="7">
        <v>45840.80612748322</v>
      </c>
    </row>
    <row r="1268">
      <c r="A1268" s="3" t="s">
        <v>4611</v>
      </c>
      <c r="B1268" s="3" t="s">
        <v>485</v>
      </c>
      <c r="C1268" s="3" t="s">
        <v>56</v>
      </c>
      <c r="D1268" s="3" t="s">
        <v>68</v>
      </c>
      <c r="E1268" s="3" t="s">
        <v>100</v>
      </c>
      <c r="F1268" s="3" t="s">
        <v>1876</v>
      </c>
      <c r="G1268" s="7">
        <v>45840.87730232864</v>
      </c>
    </row>
    <row r="1269">
      <c r="A1269" s="3" t="s">
        <v>4614</v>
      </c>
      <c r="B1269" s="3" t="s">
        <v>168</v>
      </c>
      <c r="C1269" s="3" t="s">
        <v>1095</v>
      </c>
      <c r="D1269" s="3" t="s">
        <v>68</v>
      </c>
      <c r="E1269" s="3" t="s">
        <v>100</v>
      </c>
      <c r="F1269" s="3" t="s">
        <v>1709</v>
      </c>
      <c r="G1269" s="7">
        <v>45840.94847717405</v>
      </c>
    </row>
    <row r="1270">
      <c r="A1270" s="3" t="s">
        <v>4618</v>
      </c>
      <c r="B1270" s="3" t="s">
        <v>156</v>
      </c>
      <c r="C1270" s="3" t="s">
        <v>1342</v>
      </c>
      <c r="D1270" s="3" t="s">
        <v>68</v>
      </c>
      <c r="E1270" s="3" t="s">
        <v>100</v>
      </c>
      <c r="F1270" s="3" t="s">
        <v>1701</v>
      </c>
      <c r="G1270" s="7">
        <v>45841.019652019466</v>
      </c>
    </row>
    <row r="1271">
      <c r="A1271" s="3" t="s">
        <v>4621</v>
      </c>
      <c r="B1271" s="3" t="s">
        <v>352</v>
      </c>
      <c r="C1271" s="3" t="s">
        <v>1095</v>
      </c>
      <c r="D1271" s="3" t="s">
        <v>68</v>
      </c>
      <c r="E1271" s="3" t="s">
        <v>100</v>
      </c>
      <c r="F1271" s="3" t="s">
        <v>963</v>
      </c>
      <c r="G1271" s="7">
        <v>45841.090826864885</v>
      </c>
    </row>
    <row r="1272">
      <c r="A1272" s="3" t="s">
        <v>4625</v>
      </c>
      <c r="B1272" s="3" t="s">
        <v>336</v>
      </c>
      <c r="C1272" s="3" t="s">
        <v>1342</v>
      </c>
      <c r="D1272" s="3" t="s">
        <v>68</v>
      </c>
      <c r="E1272" s="3" t="s">
        <v>100</v>
      </c>
      <c r="F1272" s="3" t="s">
        <v>1558</v>
      </c>
      <c r="G1272" s="7">
        <v>45841.1620017103</v>
      </c>
    </row>
    <row r="1273">
      <c r="A1273" s="3" t="s">
        <v>4628</v>
      </c>
      <c r="B1273" s="3" t="s">
        <v>539</v>
      </c>
      <c r="C1273" s="3" t="s">
        <v>56</v>
      </c>
      <c r="D1273" s="3" t="s">
        <v>68</v>
      </c>
      <c r="E1273" s="3" t="s">
        <v>100</v>
      </c>
      <c r="F1273" s="3" t="s">
        <v>1879</v>
      </c>
      <c r="G1273" s="7">
        <v>45841.23317655571</v>
      </c>
    </row>
    <row r="1274">
      <c r="A1274" s="3" t="s">
        <v>4631</v>
      </c>
      <c r="B1274" s="3" t="s">
        <v>204</v>
      </c>
      <c r="C1274" s="3" t="s">
        <v>56</v>
      </c>
      <c r="D1274" s="3" t="s">
        <v>68</v>
      </c>
      <c r="E1274" s="3" t="s">
        <v>100</v>
      </c>
      <c r="F1274" s="3" t="s">
        <v>1882</v>
      </c>
      <c r="G1274" s="7">
        <v>45841.30435140113</v>
      </c>
    </row>
    <row r="1275">
      <c r="A1275" s="3" t="s">
        <v>4634</v>
      </c>
      <c r="B1275" s="3" t="s">
        <v>957</v>
      </c>
      <c r="C1275" s="3" t="s">
        <v>1095</v>
      </c>
      <c r="D1275" s="3" t="s">
        <v>68</v>
      </c>
      <c r="E1275" s="3" t="s">
        <v>100</v>
      </c>
      <c r="F1275" s="3" t="s">
        <v>855</v>
      </c>
      <c r="G1275" s="7">
        <v>45841.37552624655</v>
      </c>
    </row>
    <row r="1276">
      <c r="A1276" s="3" t="s">
        <v>4637</v>
      </c>
      <c r="B1276" s="3" t="s">
        <v>619</v>
      </c>
      <c r="C1276" s="3" t="s">
        <v>1095</v>
      </c>
      <c r="D1276" s="3" t="s">
        <v>68</v>
      </c>
      <c r="E1276" s="3" t="s">
        <v>100</v>
      </c>
      <c r="F1276" s="3" t="s">
        <v>1597</v>
      </c>
      <c r="G1276" s="7">
        <v>45841.446701091954</v>
      </c>
    </row>
    <row r="1277">
      <c r="A1277" s="3" t="s">
        <v>4640</v>
      </c>
      <c r="B1277" s="3" t="s">
        <v>326</v>
      </c>
      <c r="C1277" s="3" t="s">
        <v>1342</v>
      </c>
      <c r="D1277" s="3" t="s">
        <v>68</v>
      </c>
      <c r="E1277" s="3" t="s">
        <v>100</v>
      </c>
      <c r="F1277" s="3" t="s">
        <v>1730</v>
      </c>
      <c r="G1277" s="7">
        <v>45841.517875937374</v>
      </c>
    </row>
    <row r="1278">
      <c r="A1278" s="3" t="s">
        <v>4644</v>
      </c>
      <c r="B1278" s="3" t="s">
        <v>949</v>
      </c>
      <c r="C1278" s="3" t="s">
        <v>56</v>
      </c>
      <c r="D1278" s="3" t="s">
        <v>181</v>
      </c>
      <c r="E1278" s="3" t="s">
        <v>45</v>
      </c>
      <c r="F1278" s="3" t="s">
        <v>45</v>
      </c>
      <c r="G1278" s="7">
        <v>45841.58905078279</v>
      </c>
    </row>
    <row r="1279">
      <c r="A1279" s="3" t="s">
        <v>4647</v>
      </c>
      <c r="B1279" s="3" t="s">
        <v>819</v>
      </c>
      <c r="C1279" s="3" t="s">
        <v>56</v>
      </c>
      <c r="D1279" s="3" t="s">
        <v>181</v>
      </c>
      <c r="E1279" s="3" t="s">
        <v>45</v>
      </c>
      <c r="F1279" s="3" t="s">
        <v>45</v>
      </c>
      <c r="G1279" s="7">
        <v>45841.660225628206</v>
      </c>
    </row>
    <row r="1280">
      <c r="A1280" s="3" t="s">
        <v>4650</v>
      </c>
      <c r="B1280" s="3" t="s">
        <v>250</v>
      </c>
      <c r="C1280" s="3" t="s">
        <v>1342</v>
      </c>
      <c r="D1280" s="3" t="s">
        <v>68</v>
      </c>
      <c r="E1280" s="3" t="s">
        <v>100</v>
      </c>
      <c r="F1280" s="3" t="s">
        <v>1804</v>
      </c>
      <c r="G1280" s="7">
        <v>45841.73140047362</v>
      </c>
    </row>
    <row r="1281">
      <c r="A1281" s="3" t="s">
        <v>4653</v>
      </c>
      <c r="B1281" s="3" t="s">
        <v>446</v>
      </c>
      <c r="C1281" s="3" t="s">
        <v>56</v>
      </c>
      <c r="D1281" s="3" t="s">
        <v>68</v>
      </c>
      <c r="E1281" s="3" t="s">
        <v>100</v>
      </c>
      <c r="F1281" s="3" t="s">
        <v>1884</v>
      </c>
      <c r="G1281" s="7">
        <v>45841.80257531904</v>
      </c>
    </row>
    <row r="1282">
      <c r="A1282" s="3" t="s">
        <v>4657</v>
      </c>
      <c r="B1282" s="3" t="s">
        <v>605</v>
      </c>
      <c r="C1282" s="3" t="s">
        <v>56</v>
      </c>
      <c r="D1282" s="3" t="s">
        <v>68</v>
      </c>
      <c r="E1282" s="3" t="s">
        <v>100</v>
      </c>
      <c r="F1282" s="3" t="s">
        <v>1887</v>
      </c>
      <c r="G1282" s="7">
        <v>45841.87375016445</v>
      </c>
    </row>
    <row r="1283">
      <c r="A1283" s="3" t="s">
        <v>4660</v>
      </c>
      <c r="B1283" s="3" t="s">
        <v>446</v>
      </c>
      <c r="C1283" s="3" t="s">
        <v>1342</v>
      </c>
      <c r="D1283" s="3" t="s">
        <v>68</v>
      </c>
      <c r="E1283" s="3" t="s">
        <v>100</v>
      </c>
      <c r="F1283" s="3" t="s">
        <v>1884</v>
      </c>
      <c r="G1283" s="7">
        <v>45841.94492500986</v>
      </c>
    </row>
    <row r="1284">
      <c r="A1284" s="3" t="s">
        <v>4662</v>
      </c>
      <c r="B1284" s="3" t="s">
        <v>175</v>
      </c>
      <c r="C1284" s="3" t="s">
        <v>1342</v>
      </c>
      <c r="D1284" s="3" t="s">
        <v>68</v>
      </c>
      <c r="E1284" s="3" t="s">
        <v>100</v>
      </c>
      <c r="F1284" s="3" t="s">
        <v>1713</v>
      </c>
      <c r="G1284" s="7">
        <v>45842.01609985528</v>
      </c>
    </row>
    <row r="1285">
      <c r="A1285" s="3" t="s">
        <v>4665</v>
      </c>
      <c r="B1285" s="3" t="s">
        <v>488</v>
      </c>
      <c r="C1285" s="3" t="s">
        <v>1342</v>
      </c>
      <c r="D1285" s="3" t="s">
        <v>68</v>
      </c>
      <c r="E1285" s="3" t="s">
        <v>100</v>
      </c>
      <c r="F1285" s="3" t="s">
        <v>1575</v>
      </c>
      <c r="G1285" s="7">
        <v>45842.087274700694</v>
      </c>
    </row>
    <row r="1286">
      <c r="A1286" s="3" t="s">
        <v>4669</v>
      </c>
      <c r="B1286" s="3" t="s">
        <v>159</v>
      </c>
      <c r="C1286" s="3" t="s">
        <v>1342</v>
      </c>
      <c r="D1286" s="3" t="s">
        <v>68</v>
      </c>
      <c r="E1286" s="3" t="s">
        <v>100</v>
      </c>
      <c r="F1286" s="3" t="s">
        <v>1292</v>
      </c>
      <c r="G1286" s="7">
        <v>45842.15844954611</v>
      </c>
    </row>
    <row r="1287">
      <c r="A1287" s="3" t="s">
        <v>4671</v>
      </c>
      <c r="B1287" s="3" t="s">
        <v>619</v>
      </c>
      <c r="C1287" s="3" t="s">
        <v>56</v>
      </c>
      <c r="D1287" s="3" t="s">
        <v>68</v>
      </c>
      <c r="E1287" s="3" t="s">
        <v>100</v>
      </c>
      <c r="F1287" s="3" t="s">
        <v>1890</v>
      </c>
      <c r="G1287" s="7">
        <v>45842.229624391526</v>
      </c>
    </row>
    <row r="1288">
      <c r="A1288" s="3" t="s">
        <v>4673</v>
      </c>
      <c r="B1288" s="3" t="s">
        <v>479</v>
      </c>
      <c r="C1288" s="3" t="s">
        <v>1095</v>
      </c>
      <c r="D1288" s="3" t="s">
        <v>68</v>
      </c>
      <c r="E1288" s="3" t="s">
        <v>100</v>
      </c>
      <c r="F1288" s="3" t="s">
        <v>1606</v>
      </c>
      <c r="G1288" s="7">
        <v>45842.30079923694</v>
      </c>
    </row>
    <row r="1289">
      <c r="A1289" s="3" t="s">
        <v>4676</v>
      </c>
      <c r="B1289" s="3" t="s">
        <v>581</v>
      </c>
      <c r="C1289" s="3" t="s">
        <v>56</v>
      </c>
      <c r="D1289" s="3" t="s">
        <v>68</v>
      </c>
      <c r="E1289" s="3" t="s">
        <v>100</v>
      </c>
      <c r="F1289" s="3" t="s">
        <v>1892</v>
      </c>
      <c r="G1289" s="7">
        <v>45842.37197408235</v>
      </c>
    </row>
    <row r="1290">
      <c r="A1290" s="3" t="s">
        <v>4679</v>
      </c>
      <c r="B1290" s="3" t="s">
        <v>987</v>
      </c>
      <c r="C1290" s="3" t="s">
        <v>1342</v>
      </c>
      <c r="D1290" s="3" t="s">
        <v>68</v>
      </c>
      <c r="E1290" s="3" t="s">
        <v>100</v>
      </c>
      <c r="F1290" s="3" t="s">
        <v>1373</v>
      </c>
      <c r="G1290" s="7">
        <v>45842.44314892777</v>
      </c>
    </row>
    <row r="1291">
      <c r="A1291" s="3" t="s">
        <v>4682</v>
      </c>
      <c r="B1291" s="3" t="s">
        <v>523</v>
      </c>
      <c r="C1291" s="3" t="s">
        <v>56</v>
      </c>
      <c r="D1291" s="3" t="s">
        <v>68</v>
      </c>
      <c r="E1291" s="3" t="s">
        <v>100</v>
      </c>
      <c r="F1291" s="3" t="s">
        <v>1894</v>
      </c>
      <c r="G1291" s="7">
        <v>45842.51432377319</v>
      </c>
    </row>
    <row r="1292">
      <c r="A1292" s="3" t="s">
        <v>4685</v>
      </c>
      <c r="B1292" s="3" t="s">
        <v>296</v>
      </c>
      <c r="C1292" s="3" t="s">
        <v>56</v>
      </c>
      <c r="D1292" s="3" t="s">
        <v>68</v>
      </c>
      <c r="E1292" s="3" t="s">
        <v>100</v>
      </c>
      <c r="F1292" s="3" t="s">
        <v>1897</v>
      </c>
      <c r="G1292" s="7">
        <v>45842.585498618595</v>
      </c>
    </row>
    <row r="1293">
      <c r="A1293" s="3" t="s">
        <v>4688</v>
      </c>
      <c r="B1293" s="3" t="s">
        <v>533</v>
      </c>
      <c r="C1293" s="3" t="s">
        <v>56</v>
      </c>
      <c r="D1293" s="3" t="s">
        <v>181</v>
      </c>
      <c r="E1293" s="3" t="s">
        <v>45</v>
      </c>
      <c r="F1293" s="3" t="s">
        <v>45</v>
      </c>
      <c r="G1293" s="7">
        <v>45842.656673464015</v>
      </c>
    </row>
    <row r="1294">
      <c r="A1294" s="3" t="s">
        <v>4691</v>
      </c>
      <c r="B1294" s="3" t="s">
        <v>547</v>
      </c>
      <c r="C1294" s="3" t="s">
        <v>56</v>
      </c>
      <c r="D1294" s="3" t="s">
        <v>68</v>
      </c>
      <c r="E1294" s="3" t="s">
        <v>100</v>
      </c>
      <c r="F1294" s="3" t="s">
        <v>1899</v>
      </c>
      <c r="G1294" s="7">
        <v>45842.727848309434</v>
      </c>
    </row>
    <row r="1295">
      <c r="A1295" s="3" t="s">
        <v>4694</v>
      </c>
      <c r="B1295" s="3" t="s">
        <v>488</v>
      </c>
      <c r="C1295" s="3" t="s">
        <v>1342</v>
      </c>
      <c r="D1295" s="3" t="s">
        <v>68</v>
      </c>
      <c r="E1295" s="3" t="s">
        <v>100</v>
      </c>
      <c r="F1295" s="3" t="s">
        <v>1575</v>
      </c>
      <c r="G1295" s="7">
        <v>45842.79902315485</v>
      </c>
    </row>
    <row r="1296">
      <c r="A1296" s="3" t="s">
        <v>4697</v>
      </c>
      <c r="B1296" s="3" t="s">
        <v>224</v>
      </c>
      <c r="C1296" s="3" t="s">
        <v>1342</v>
      </c>
      <c r="D1296" s="3" t="s">
        <v>68</v>
      </c>
      <c r="E1296" s="3" t="s">
        <v>100</v>
      </c>
      <c r="F1296" s="3" t="s">
        <v>1054</v>
      </c>
      <c r="G1296" s="7">
        <v>45842.87019800026</v>
      </c>
    </row>
    <row r="1297">
      <c r="A1297" s="3" t="s">
        <v>4700</v>
      </c>
      <c r="B1297" s="3" t="s">
        <v>579</v>
      </c>
      <c r="C1297" s="3" t="s">
        <v>1342</v>
      </c>
      <c r="D1297" s="3" t="s">
        <v>68</v>
      </c>
      <c r="E1297" s="3" t="s">
        <v>100</v>
      </c>
      <c r="F1297" s="3" t="s">
        <v>1697</v>
      </c>
      <c r="G1297" s="7">
        <v>45842.94137284568</v>
      </c>
    </row>
    <row r="1298">
      <c r="A1298" s="3" t="s">
        <v>4703</v>
      </c>
      <c r="B1298" s="3" t="s">
        <v>627</v>
      </c>
      <c r="C1298" s="3" t="s">
        <v>1342</v>
      </c>
      <c r="D1298" s="3" t="s">
        <v>181</v>
      </c>
      <c r="E1298" s="3" t="s">
        <v>45</v>
      </c>
      <c r="F1298" s="3" t="s">
        <v>1072</v>
      </c>
      <c r="G1298" s="7">
        <v>45843.01254769109</v>
      </c>
    </row>
    <row r="1299">
      <c r="A1299" s="3" t="s">
        <v>4707</v>
      </c>
      <c r="B1299" s="3" t="s">
        <v>175</v>
      </c>
      <c r="C1299" s="3" t="s">
        <v>1342</v>
      </c>
      <c r="D1299" s="3" t="s">
        <v>68</v>
      </c>
      <c r="E1299" s="3" t="s">
        <v>100</v>
      </c>
      <c r="F1299" s="3" t="s">
        <v>1713</v>
      </c>
      <c r="G1299" s="7">
        <v>45843.0837225365</v>
      </c>
    </row>
    <row r="1300">
      <c r="A1300" s="3" t="s">
        <v>4710</v>
      </c>
      <c r="B1300" s="3" t="s">
        <v>440</v>
      </c>
      <c r="C1300" s="3" t="s">
        <v>1095</v>
      </c>
      <c r="D1300" s="3" t="s">
        <v>68</v>
      </c>
      <c r="E1300" s="3" t="s">
        <v>100</v>
      </c>
      <c r="F1300" s="3" t="s">
        <v>1671</v>
      </c>
      <c r="G1300" s="7">
        <v>45843.15489738192</v>
      </c>
    </row>
    <row r="1301">
      <c r="A1301" s="3" t="s">
        <v>4714</v>
      </c>
      <c r="B1301" s="3" t="s">
        <v>722</v>
      </c>
      <c r="C1301" s="3" t="s">
        <v>1342</v>
      </c>
      <c r="D1301" s="3" t="s">
        <v>68</v>
      </c>
      <c r="E1301" s="3" t="s">
        <v>100</v>
      </c>
      <c r="F1301" s="3" t="s">
        <v>1735</v>
      </c>
      <c r="G1301" s="7">
        <v>45843.22607222734</v>
      </c>
    </row>
    <row r="1302">
      <c r="A1302" s="3" t="s">
        <v>4717</v>
      </c>
      <c r="B1302" s="3" t="s">
        <v>838</v>
      </c>
      <c r="C1302" s="3" t="s">
        <v>1095</v>
      </c>
      <c r="D1302" s="3" t="s">
        <v>68</v>
      </c>
      <c r="E1302" s="3" t="s">
        <v>100</v>
      </c>
      <c r="F1302" s="3" t="s">
        <v>1661</v>
      </c>
      <c r="G1302" s="7">
        <v>45843.29724707275</v>
      </c>
    </row>
    <row r="1303">
      <c r="A1303" s="3" t="s">
        <v>4720</v>
      </c>
      <c r="B1303" s="3" t="s">
        <v>341</v>
      </c>
      <c r="C1303" s="3" t="s">
        <v>1342</v>
      </c>
      <c r="D1303" s="3" t="s">
        <v>68</v>
      </c>
      <c r="E1303" s="3" t="s">
        <v>100</v>
      </c>
      <c r="F1303" s="3" t="s">
        <v>1795</v>
      </c>
      <c r="G1303" s="7">
        <v>45843.36842191817</v>
      </c>
    </row>
    <row r="1304">
      <c r="A1304" s="3" t="s">
        <v>4723</v>
      </c>
      <c r="B1304" s="3" t="s">
        <v>137</v>
      </c>
      <c r="C1304" s="3" t="s">
        <v>1342</v>
      </c>
      <c r="D1304" s="3" t="s">
        <v>68</v>
      </c>
      <c r="E1304" s="3" t="s">
        <v>100</v>
      </c>
      <c r="F1304" s="3" t="s">
        <v>1824</v>
      </c>
      <c r="G1304" s="7">
        <v>45843.43959676358</v>
      </c>
    </row>
    <row r="1305">
      <c r="A1305" s="3" t="s">
        <v>4726</v>
      </c>
      <c r="B1305" s="3" t="s">
        <v>472</v>
      </c>
      <c r="C1305" s="3" t="s">
        <v>1342</v>
      </c>
      <c r="D1305" s="3" t="s">
        <v>68</v>
      </c>
      <c r="E1305" s="3" t="s">
        <v>100</v>
      </c>
      <c r="F1305" s="3" t="s">
        <v>1501</v>
      </c>
      <c r="G1305" s="7">
        <v>45843.510771609</v>
      </c>
    </row>
    <row r="1306">
      <c r="A1306" s="3" t="s">
        <v>4729</v>
      </c>
      <c r="B1306" s="3" t="s">
        <v>631</v>
      </c>
      <c r="C1306" s="3" t="s">
        <v>1095</v>
      </c>
      <c r="D1306" s="3" t="s">
        <v>68</v>
      </c>
      <c r="E1306" s="3" t="s">
        <v>100</v>
      </c>
      <c r="F1306" s="3" t="s">
        <v>774</v>
      </c>
      <c r="G1306" s="7">
        <v>45843.58194645441</v>
      </c>
    </row>
    <row r="1307">
      <c r="A1307" s="3" t="s">
        <v>4732</v>
      </c>
      <c r="B1307" s="3" t="s">
        <v>596</v>
      </c>
      <c r="C1307" s="3" t="s">
        <v>1342</v>
      </c>
      <c r="D1307" s="3" t="s">
        <v>68</v>
      </c>
      <c r="E1307" s="3" t="s">
        <v>100</v>
      </c>
      <c r="F1307" s="3" t="s">
        <v>1549</v>
      </c>
      <c r="G1307" s="7">
        <v>45843.65312129983</v>
      </c>
    </row>
    <row r="1308">
      <c r="A1308" s="3" t="s">
        <v>4735</v>
      </c>
      <c r="B1308" s="3" t="s">
        <v>233</v>
      </c>
      <c r="C1308" s="3" t="s">
        <v>56</v>
      </c>
      <c r="D1308" s="3" t="s">
        <v>68</v>
      </c>
      <c r="E1308" s="3" t="s">
        <v>100</v>
      </c>
      <c r="F1308" s="3" t="s">
        <v>1901</v>
      </c>
      <c r="G1308" s="7">
        <v>45843.724296145236</v>
      </c>
    </row>
    <row r="1309">
      <c r="A1309" s="3" t="s">
        <v>4739</v>
      </c>
      <c r="B1309" s="3" t="s">
        <v>911</v>
      </c>
      <c r="C1309" s="3" t="s">
        <v>56</v>
      </c>
      <c r="D1309" s="3" t="s">
        <v>68</v>
      </c>
      <c r="E1309" s="3" t="s">
        <v>100</v>
      </c>
      <c r="F1309" s="3" t="s">
        <v>1903</v>
      </c>
      <c r="G1309" s="7">
        <v>45843.795470990655</v>
      </c>
    </row>
    <row r="1310">
      <c r="A1310" s="3" t="s">
        <v>4743</v>
      </c>
      <c r="B1310" s="3" t="s">
        <v>637</v>
      </c>
      <c r="C1310" s="3" t="s">
        <v>1342</v>
      </c>
      <c r="D1310" s="3" t="s">
        <v>181</v>
      </c>
      <c r="E1310" s="3" t="s">
        <v>45</v>
      </c>
      <c r="F1310" s="3" t="s">
        <v>1552</v>
      </c>
      <c r="G1310" s="7">
        <v>45843.866645836075</v>
      </c>
    </row>
    <row r="1311">
      <c r="A1311" s="3" t="s">
        <v>4746</v>
      </c>
      <c r="B1311" s="3" t="s">
        <v>383</v>
      </c>
      <c r="C1311" s="3" t="s">
        <v>1342</v>
      </c>
      <c r="D1311" s="3" t="s">
        <v>68</v>
      </c>
      <c r="E1311" s="3" t="s">
        <v>100</v>
      </c>
      <c r="F1311" s="3" t="s">
        <v>1812</v>
      </c>
      <c r="G1311" s="7">
        <v>45843.93782068149</v>
      </c>
    </row>
    <row r="1312">
      <c r="A1312" s="3" t="s">
        <v>4749</v>
      </c>
      <c r="B1312" s="3" t="s">
        <v>1043</v>
      </c>
      <c r="C1312" s="3" t="s">
        <v>1342</v>
      </c>
      <c r="D1312" s="3" t="s">
        <v>68</v>
      </c>
      <c r="E1312" s="3" t="s">
        <v>100</v>
      </c>
      <c r="F1312" s="3" t="s">
        <v>1560</v>
      </c>
      <c r="G1312" s="7">
        <v>45844.0089955269</v>
      </c>
    </row>
    <row r="1313">
      <c r="A1313" s="3" t="s">
        <v>4752</v>
      </c>
      <c r="B1313" s="3" t="s">
        <v>886</v>
      </c>
      <c r="C1313" s="3" t="s">
        <v>1342</v>
      </c>
      <c r="D1313" s="3" t="s">
        <v>68</v>
      </c>
      <c r="E1313" s="3" t="s">
        <v>100</v>
      </c>
      <c r="F1313" s="3" t="s">
        <v>1462</v>
      </c>
      <c r="G1313" s="7">
        <v>45844.08017037232</v>
      </c>
    </row>
    <row r="1314">
      <c r="A1314" s="3" t="s">
        <v>4756</v>
      </c>
      <c r="B1314" s="3" t="s">
        <v>826</v>
      </c>
      <c r="C1314" s="3" t="s">
        <v>56</v>
      </c>
      <c r="D1314" s="3" t="s">
        <v>181</v>
      </c>
      <c r="E1314" s="3" t="s">
        <v>45</v>
      </c>
      <c r="F1314" s="3" t="s">
        <v>45</v>
      </c>
      <c r="G1314" s="7">
        <v>45844.15134521773</v>
      </c>
    </row>
    <row r="1315">
      <c r="A1315" s="3" t="s">
        <v>4760</v>
      </c>
      <c r="B1315" s="3" t="s">
        <v>554</v>
      </c>
      <c r="C1315" s="3" t="s">
        <v>1342</v>
      </c>
      <c r="D1315" s="3" t="s">
        <v>68</v>
      </c>
      <c r="E1315" s="3" t="s">
        <v>100</v>
      </c>
      <c r="F1315" s="3" t="s">
        <v>1232</v>
      </c>
      <c r="G1315" s="7">
        <v>45844.222520063144</v>
      </c>
    </row>
    <row r="1316">
      <c r="A1316" s="3" t="s">
        <v>4763</v>
      </c>
      <c r="B1316" s="3" t="s">
        <v>319</v>
      </c>
      <c r="C1316" s="3" t="s">
        <v>1095</v>
      </c>
      <c r="D1316" s="3" t="s">
        <v>68</v>
      </c>
      <c r="E1316" s="3" t="s">
        <v>100</v>
      </c>
      <c r="F1316" s="3" t="s">
        <v>1750</v>
      </c>
      <c r="G1316" s="7">
        <v>45844.29369490856</v>
      </c>
    </row>
    <row r="1317">
      <c r="A1317" s="3" t="s">
        <v>4766</v>
      </c>
      <c r="B1317" s="3" t="s">
        <v>488</v>
      </c>
      <c r="C1317" s="3" t="s">
        <v>1095</v>
      </c>
      <c r="D1317" s="3" t="s">
        <v>181</v>
      </c>
      <c r="E1317" s="3" t="s">
        <v>45</v>
      </c>
      <c r="F1317" s="3" t="s">
        <v>1575</v>
      </c>
      <c r="G1317" s="7">
        <v>45844.36486975398</v>
      </c>
    </row>
    <row r="1318">
      <c r="A1318" s="3" t="s">
        <v>4769</v>
      </c>
      <c r="B1318" s="3" t="s">
        <v>330</v>
      </c>
      <c r="C1318" s="3" t="s">
        <v>1342</v>
      </c>
      <c r="D1318" s="3" t="s">
        <v>68</v>
      </c>
      <c r="E1318" s="3" t="s">
        <v>100</v>
      </c>
      <c r="F1318" s="3" t="s">
        <v>1722</v>
      </c>
      <c r="G1318" s="7">
        <v>45844.43604459939</v>
      </c>
    </row>
    <row r="1319">
      <c r="A1319" s="3" t="s">
        <v>4772</v>
      </c>
      <c r="B1319" s="3" t="s">
        <v>287</v>
      </c>
      <c r="C1319" s="3" t="s">
        <v>1342</v>
      </c>
      <c r="D1319" s="3" t="s">
        <v>68</v>
      </c>
      <c r="E1319" s="3" t="s">
        <v>100</v>
      </c>
      <c r="F1319" s="3" t="s">
        <v>1763</v>
      </c>
      <c r="G1319" s="7">
        <v>45844.50721944481</v>
      </c>
    </row>
    <row r="1320">
      <c r="A1320" s="3" t="s">
        <v>4775</v>
      </c>
      <c r="B1320" s="3" t="s">
        <v>430</v>
      </c>
      <c r="C1320" s="3" t="s">
        <v>56</v>
      </c>
      <c r="D1320" s="3" t="s">
        <v>68</v>
      </c>
      <c r="E1320" s="3" t="s">
        <v>100</v>
      </c>
      <c r="F1320" s="3" t="s">
        <v>1906</v>
      </c>
      <c r="G1320" s="7">
        <v>45844.57839429023</v>
      </c>
    </row>
    <row r="1321">
      <c r="A1321" s="3" t="s">
        <v>4778</v>
      </c>
      <c r="B1321" s="3" t="s">
        <v>665</v>
      </c>
      <c r="C1321" s="3" t="s">
        <v>1095</v>
      </c>
      <c r="D1321" s="3" t="s">
        <v>68</v>
      </c>
      <c r="E1321" s="3" t="s">
        <v>100</v>
      </c>
      <c r="F1321" s="3" t="s">
        <v>1704</v>
      </c>
      <c r="G1321" s="7">
        <v>45844.64956913564</v>
      </c>
    </row>
    <row r="1322">
      <c r="A1322" s="3" t="s">
        <v>4781</v>
      </c>
      <c r="B1322" s="3" t="s">
        <v>922</v>
      </c>
      <c r="C1322" s="3" t="s">
        <v>56</v>
      </c>
      <c r="D1322" s="3" t="s">
        <v>68</v>
      </c>
      <c r="E1322" s="3" t="s">
        <v>100</v>
      </c>
      <c r="F1322" s="3" t="s">
        <v>1907</v>
      </c>
      <c r="G1322" s="7">
        <v>45844.72074398105</v>
      </c>
    </row>
    <row r="1323">
      <c r="A1323" s="3" t="s">
        <v>4784</v>
      </c>
      <c r="B1323" s="3" t="s">
        <v>920</v>
      </c>
      <c r="C1323" s="3" t="s">
        <v>1342</v>
      </c>
      <c r="D1323" s="3" t="s">
        <v>68</v>
      </c>
      <c r="E1323" s="3" t="s">
        <v>100</v>
      </c>
      <c r="F1323" s="3" t="s">
        <v>1039</v>
      </c>
      <c r="G1323" s="7">
        <v>45844.79191882647</v>
      </c>
    </row>
    <row r="1324">
      <c r="A1324" s="3" t="s">
        <v>4787</v>
      </c>
      <c r="B1324" s="3" t="s">
        <v>359</v>
      </c>
      <c r="C1324" s="3" t="s">
        <v>1095</v>
      </c>
      <c r="D1324" s="3" t="s">
        <v>68</v>
      </c>
      <c r="E1324" s="3" t="s">
        <v>100</v>
      </c>
      <c r="F1324" s="3" t="s">
        <v>1533</v>
      </c>
      <c r="G1324" s="7">
        <v>45844.863093671884</v>
      </c>
    </row>
    <row r="1325">
      <c r="A1325" s="3" t="s">
        <v>4790</v>
      </c>
      <c r="B1325" s="3" t="s">
        <v>574</v>
      </c>
      <c r="C1325" s="3" t="s">
        <v>1342</v>
      </c>
      <c r="D1325" s="3" t="s">
        <v>195</v>
      </c>
      <c r="E1325" s="3" t="s">
        <v>45</v>
      </c>
      <c r="F1325" s="3" t="s">
        <v>1864</v>
      </c>
      <c r="G1325" s="7">
        <v>45844.934268517296</v>
      </c>
    </row>
    <row r="1326">
      <c r="A1326" s="3" t="s">
        <v>4793</v>
      </c>
      <c r="B1326" s="3" t="s">
        <v>631</v>
      </c>
      <c r="C1326" s="3" t="s">
        <v>56</v>
      </c>
      <c r="D1326" s="3" t="s">
        <v>68</v>
      </c>
      <c r="E1326" s="3" t="s">
        <v>100</v>
      </c>
      <c r="F1326" s="3" t="s">
        <v>1910</v>
      </c>
      <c r="G1326" s="7">
        <v>45845.005443362716</v>
      </c>
    </row>
    <row r="1327">
      <c r="A1327" s="3" t="s">
        <v>4796</v>
      </c>
      <c r="B1327" s="3" t="s">
        <v>455</v>
      </c>
      <c r="C1327" s="3" t="s">
        <v>1342</v>
      </c>
      <c r="D1327" s="3" t="s">
        <v>195</v>
      </c>
      <c r="E1327" s="3" t="s">
        <v>45</v>
      </c>
      <c r="F1327" s="3" t="s">
        <v>1564</v>
      </c>
      <c r="G1327" s="7">
        <v>45845.07661820813</v>
      </c>
    </row>
    <row r="1328">
      <c r="A1328" s="3" t="s">
        <v>4799</v>
      </c>
      <c r="B1328" s="3" t="s">
        <v>319</v>
      </c>
      <c r="C1328" s="3" t="s">
        <v>56</v>
      </c>
      <c r="D1328" s="3" t="s">
        <v>181</v>
      </c>
      <c r="E1328" s="3" t="s">
        <v>45</v>
      </c>
      <c r="F1328" s="3" t="s">
        <v>45</v>
      </c>
      <c r="G1328" s="7">
        <v>45845.14779305354</v>
      </c>
    </row>
    <row r="1329">
      <c r="A1329" s="3" t="s">
        <v>4802</v>
      </c>
      <c r="B1329" s="3" t="s">
        <v>1008</v>
      </c>
      <c r="C1329" s="3" t="s">
        <v>56</v>
      </c>
      <c r="D1329" s="3" t="s">
        <v>68</v>
      </c>
      <c r="E1329" s="3" t="s">
        <v>100</v>
      </c>
      <c r="F1329" s="3" t="s">
        <v>1911</v>
      </c>
      <c r="G1329" s="7">
        <v>45845.21896789896</v>
      </c>
    </row>
    <row r="1330">
      <c r="A1330" s="3" t="s">
        <v>4805</v>
      </c>
      <c r="B1330" s="3" t="s">
        <v>455</v>
      </c>
      <c r="C1330" s="3" t="s">
        <v>1342</v>
      </c>
      <c r="D1330" s="3" t="s">
        <v>181</v>
      </c>
      <c r="E1330" s="3" t="s">
        <v>45</v>
      </c>
      <c r="F1330" s="3" t="s">
        <v>1564</v>
      </c>
      <c r="G1330" s="7">
        <v>45845.29014274437</v>
      </c>
    </row>
    <row r="1331">
      <c r="A1331" s="3" t="s">
        <v>4808</v>
      </c>
      <c r="B1331" s="3" t="s">
        <v>1001</v>
      </c>
      <c r="C1331" s="3" t="s">
        <v>1095</v>
      </c>
      <c r="D1331" s="3" t="s">
        <v>181</v>
      </c>
      <c r="E1331" s="3" t="s">
        <v>45</v>
      </c>
      <c r="F1331" s="3" t="s">
        <v>802</v>
      </c>
      <c r="G1331" s="7">
        <v>45845.361317589784</v>
      </c>
    </row>
    <row r="1332">
      <c r="A1332" s="3" t="s">
        <v>4811</v>
      </c>
      <c r="B1332" s="3" t="s">
        <v>527</v>
      </c>
      <c r="C1332" s="3" t="s">
        <v>1095</v>
      </c>
      <c r="D1332" s="3" t="s">
        <v>68</v>
      </c>
      <c r="E1332" s="3" t="s">
        <v>100</v>
      </c>
      <c r="F1332" s="3" t="s">
        <v>1343</v>
      </c>
      <c r="G1332" s="7">
        <v>45845.432492435204</v>
      </c>
    </row>
    <row r="1333">
      <c r="A1333" s="3" t="s">
        <v>4815</v>
      </c>
      <c r="B1333" s="3" t="s">
        <v>662</v>
      </c>
      <c r="C1333" s="3" t="s">
        <v>56</v>
      </c>
      <c r="D1333" s="3" t="s">
        <v>195</v>
      </c>
      <c r="E1333" s="3" t="s">
        <v>45</v>
      </c>
      <c r="F1333" s="3" t="s">
        <v>45</v>
      </c>
      <c r="G1333" s="7">
        <v>45845.50366728062</v>
      </c>
    </row>
    <row r="1334">
      <c r="A1334" s="3" t="s">
        <v>4818</v>
      </c>
      <c r="B1334" s="3" t="s">
        <v>704</v>
      </c>
      <c r="C1334" s="3" t="s">
        <v>1342</v>
      </c>
      <c r="D1334" s="3" t="s">
        <v>68</v>
      </c>
      <c r="E1334" s="3" t="s">
        <v>100</v>
      </c>
      <c r="F1334" s="3" t="s">
        <v>1177</v>
      </c>
      <c r="G1334" s="7">
        <v>45845.57484212603</v>
      </c>
    </row>
    <row r="1335">
      <c r="A1335" s="3" t="s">
        <v>4821</v>
      </c>
      <c r="B1335" s="3" t="s">
        <v>404</v>
      </c>
      <c r="C1335" s="3" t="s">
        <v>1342</v>
      </c>
      <c r="D1335" s="3" t="s">
        <v>68</v>
      </c>
      <c r="E1335" s="3" t="s">
        <v>100</v>
      </c>
      <c r="F1335" s="3" t="s">
        <v>1801</v>
      </c>
      <c r="G1335" s="7">
        <v>45845.64601697145</v>
      </c>
    </row>
    <row r="1336">
      <c r="A1336" s="3" t="s">
        <v>4824</v>
      </c>
      <c r="B1336" s="3" t="s">
        <v>758</v>
      </c>
      <c r="C1336" s="3" t="s">
        <v>56</v>
      </c>
      <c r="D1336" s="3" t="s">
        <v>68</v>
      </c>
      <c r="E1336" s="3" t="s">
        <v>100</v>
      </c>
      <c r="F1336" s="3" t="s">
        <v>1914</v>
      </c>
      <c r="G1336" s="7">
        <v>45845.71719181687</v>
      </c>
    </row>
    <row r="1337">
      <c r="A1337" s="3" t="s">
        <v>4828</v>
      </c>
      <c r="B1337" s="3" t="s">
        <v>1043</v>
      </c>
      <c r="C1337" s="3" t="s">
        <v>1342</v>
      </c>
      <c r="D1337" s="3" t="s">
        <v>68</v>
      </c>
      <c r="E1337" s="3" t="s">
        <v>100</v>
      </c>
      <c r="F1337" s="3" t="s">
        <v>1560</v>
      </c>
      <c r="G1337" s="7">
        <v>45845.78836666228</v>
      </c>
    </row>
    <row r="1338">
      <c r="A1338" s="3" t="s">
        <v>4831</v>
      </c>
      <c r="B1338" s="3" t="s">
        <v>830</v>
      </c>
      <c r="C1338" s="3" t="s">
        <v>1095</v>
      </c>
      <c r="D1338" s="3" t="s">
        <v>68</v>
      </c>
      <c r="E1338" s="3" t="s">
        <v>100</v>
      </c>
      <c r="F1338" s="3" t="s">
        <v>1465</v>
      </c>
      <c r="G1338" s="7">
        <v>45845.85954150769</v>
      </c>
    </row>
    <row r="1339">
      <c r="A1339" s="3" t="s">
        <v>4834</v>
      </c>
      <c r="B1339" s="3" t="s">
        <v>886</v>
      </c>
      <c r="C1339" s="3" t="s">
        <v>1095</v>
      </c>
      <c r="D1339" s="3" t="s">
        <v>68</v>
      </c>
      <c r="E1339" s="3" t="s">
        <v>100</v>
      </c>
      <c r="F1339" s="3" t="s">
        <v>1462</v>
      </c>
      <c r="G1339" s="7">
        <v>45845.93071635311</v>
      </c>
    </row>
    <row r="1340">
      <c r="A1340" s="3" t="s">
        <v>4837</v>
      </c>
      <c r="B1340" s="3" t="s">
        <v>419</v>
      </c>
      <c r="C1340" s="3" t="s">
        <v>1342</v>
      </c>
      <c r="D1340" s="3" t="s">
        <v>68</v>
      </c>
      <c r="E1340" s="3" t="s">
        <v>100</v>
      </c>
      <c r="F1340" s="3" t="s">
        <v>1685</v>
      </c>
      <c r="G1340" s="7">
        <v>45846.001891198524</v>
      </c>
    </row>
    <row r="1341">
      <c r="A1341" s="3" t="s">
        <v>4840</v>
      </c>
      <c r="B1341" s="3" t="s">
        <v>162</v>
      </c>
      <c r="C1341" s="3" t="s">
        <v>56</v>
      </c>
      <c r="D1341" s="3" t="s">
        <v>68</v>
      </c>
      <c r="E1341" s="3" t="s">
        <v>100</v>
      </c>
      <c r="F1341" s="3" t="s">
        <v>1916</v>
      </c>
      <c r="G1341" s="7">
        <v>45846.07306604394</v>
      </c>
    </row>
    <row r="1342">
      <c r="A1342" s="3" t="s">
        <v>4844</v>
      </c>
      <c r="B1342" s="3" t="s">
        <v>260</v>
      </c>
      <c r="C1342" s="3" t="s">
        <v>1342</v>
      </c>
      <c r="D1342" s="3" t="s">
        <v>181</v>
      </c>
      <c r="E1342" s="3" t="s">
        <v>45</v>
      </c>
      <c r="F1342" s="3" t="s">
        <v>1302</v>
      </c>
      <c r="G1342" s="7">
        <v>45846.144240889356</v>
      </c>
    </row>
    <row r="1343">
      <c r="A1343" s="3" t="s">
        <v>4847</v>
      </c>
      <c r="B1343" s="3" t="s">
        <v>662</v>
      </c>
      <c r="C1343" s="3" t="s">
        <v>56</v>
      </c>
      <c r="D1343" s="3" t="s">
        <v>68</v>
      </c>
      <c r="E1343" s="3" t="s">
        <v>100</v>
      </c>
      <c r="F1343" s="3" t="s">
        <v>1918</v>
      </c>
      <c r="G1343" s="7">
        <v>45846.215415734776</v>
      </c>
    </row>
    <row r="1344">
      <c r="A1344" s="3" t="s">
        <v>4850</v>
      </c>
      <c r="B1344" s="3" t="s">
        <v>870</v>
      </c>
      <c r="C1344" s="3" t="s">
        <v>56</v>
      </c>
      <c r="D1344" s="3" t="s">
        <v>195</v>
      </c>
      <c r="E1344" s="3" t="s">
        <v>45</v>
      </c>
      <c r="F1344" s="3" t="s">
        <v>45</v>
      </c>
      <c r="G1344" s="7">
        <v>45846.28659058018</v>
      </c>
    </row>
    <row r="1345">
      <c r="A1345" s="3" t="s">
        <v>4853</v>
      </c>
      <c r="B1345" s="3" t="s">
        <v>208</v>
      </c>
      <c r="C1345" s="3" t="s">
        <v>56</v>
      </c>
      <c r="D1345" s="3" t="s">
        <v>68</v>
      </c>
      <c r="E1345" s="3" t="s">
        <v>100</v>
      </c>
      <c r="F1345" s="3" t="s">
        <v>1921</v>
      </c>
      <c r="G1345" s="7">
        <v>45846.3577654256</v>
      </c>
    </row>
    <row r="1346">
      <c r="A1346" s="3" t="s">
        <v>4857</v>
      </c>
      <c r="B1346" s="3" t="s">
        <v>395</v>
      </c>
      <c r="C1346" s="3" t="s">
        <v>1342</v>
      </c>
      <c r="D1346" s="3" t="s">
        <v>68</v>
      </c>
      <c r="E1346" s="3" t="s">
        <v>100</v>
      </c>
      <c r="F1346" s="3" t="s">
        <v>712</v>
      </c>
      <c r="G1346" s="7">
        <v>45846.42894027101</v>
      </c>
    </row>
    <row r="1347">
      <c r="A1347" s="3" t="s">
        <v>4860</v>
      </c>
      <c r="B1347" s="3" t="s">
        <v>550</v>
      </c>
      <c r="C1347" s="3" t="s">
        <v>1095</v>
      </c>
      <c r="D1347" s="3" t="s">
        <v>68</v>
      </c>
      <c r="E1347" s="3" t="s">
        <v>100</v>
      </c>
      <c r="F1347" s="3" t="s">
        <v>1681</v>
      </c>
      <c r="G1347" s="7">
        <v>45846.50011511643</v>
      </c>
    </row>
    <row r="1348">
      <c r="A1348" s="3" t="s">
        <v>4862</v>
      </c>
      <c r="B1348" s="3" t="s">
        <v>341</v>
      </c>
      <c r="C1348" s="3" t="s">
        <v>1342</v>
      </c>
      <c r="D1348" s="3" t="s">
        <v>68</v>
      </c>
      <c r="E1348" s="3" t="s">
        <v>100</v>
      </c>
      <c r="F1348" s="3" t="s">
        <v>1795</v>
      </c>
      <c r="G1348" s="7">
        <v>45846.571289961845</v>
      </c>
    </row>
    <row r="1349">
      <c r="A1349" s="3" t="s">
        <v>4864</v>
      </c>
      <c r="B1349" s="3" t="s">
        <v>708</v>
      </c>
      <c r="C1349" s="3" t="s">
        <v>1342</v>
      </c>
      <c r="D1349" s="3" t="s">
        <v>68</v>
      </c>
      <c r="E1349" s="3" t="s">
        <v>100</v>
      </c>
      <c r="F1349" s="3" t="s">
        <v>1776</v>
      </c>
      <c r="G1349" s="7">
        <v>45846.642464807264</v>
      </c>
    </row>
    <row r="1350">
      <c r="A1350" s="3" t="s">
        <v>4867</v>
      </c>
      <c r="B1350" s="3" t="s">
        <v>380</v>
      </c>
      <c r="C1350" s="3" t="s">
        <v>1095</v>
      </c>
      <c r="D1350" s="3" t="s">
        <v>68</v>
      </c>
      <c r="E1350" s="3" t="s">
        <v>100</v>
      </c>
      <c r="F1350" s="3" t="s">
        <v>1820</v>
      </c>
      <c r="G1350" s="7">
        <v>45846.71363965267</v>
      </c>
    </row>
    <row r="1351">
      <c r="A1351" s="3" t="s">
        <v>4869</v>
      </c>
      <c r="B1351" s="3" t="s">
        <v>446</v>
      </c>
      <c r="C1351" s="3" t="s">
        <v>1342</v>
      </c>
      <c r="D1351" s="3" t="s">
        <v>68</v>
      </c>
      <c r="E1351" s="3" t="s">
        <v>100</v>
      </c>
      <c r="F1351" s="3" t="s">
        <v>1884</v>
      </c>
      <c r="G1351" s="7">
        <v>45846.78481449809</v>
      </c>
    </row>
    <row r="1352">
      <c r="A1352" s="3" t="s">
        <v>4872</v>
      </c>
      <c r="B1352" s="3" t="s">
        <v>747</v>
      </c>
      <c r="C1352" s="3" t="s">
        <v>1342</v>
      </c>
      <c r="D1352" s="3" t="s">
        <v>68</v>
      </c>
      <c r="E1352" s="3" t="s">
        <v>100</v>
      </c>
      <c r="F1352" s="3" t="s">
        <v>1786</v>
      </c>
      <c r="G1352" s="7">
        <v>45846.85598934351</v>
      </c>
    </row>
    <row r="1353">
      <c r="A1353" s="3" t="s">
        <v>4876</v>
      </c>
      <c r="B1353" s="3" t="s">
        <v>643</v>
      </c>
      <c r="C1353" s="3" t="s">
        <v>1342</v>
      </c>
      <c r="D1353" s="3" t="s">
        <v>68</v>
      </c>
      <c r="E1353" s="3" t="s">
        <v>100</v>
      </c>
      <c r="F1353" s="3" t="s">
        <v>1718</v>
      </c>
      <c r="G1353" s="7">
        <v>45846.92716418892</v>
      </c>
    </row>
    <row r="1354">
      <c r="A1354" s="3" t="s">
        <v>4879</v>
      </c>
      <c r="B1354" s="3" t="s">
        <v>344</v>
      </c>
      <c r="C1354" s="3" t="s">
        <v>1342</v>
      </c>
      <c r="D1354" s="3" t="s">
        <v>68</v>
      </c>
      <c r="E1354" s="3" t="s">
        <v>100</v>
      </c>
      <c r="F1354" s="3" t="s">
        <v>1747</v>
      </c>
      <c r="G1354" s="7">
        <v>45846.99833903433</v>
      </c>
    </row>
    <row r="1355">
      <c r="A1355" s="3" t="s">
        <v>4882</v>
      </c>
      <c r="B1355" s="3" t="s">
        <v>535</v>
      </c>
      <c r="C1355" s="3" t="s">
        <v>1342</v>
      </c>
      <c r="D1355" s="3" t="s">
        <v>68</v>
      </c>
      <c r="E1355" s="3" t="s">
        <v>100</v>
      </c>
      <c r="F1355" s="3" t="s">
        <v>1860</v>
      </c>
      <c r="G1355" s="7">
        <v>45847.06951387975</v>
      </c>
    </row>
    <row r="1356">
      <c r="A1356" s="3" t="s">
        <v>4885</v>
      </c>
      <c r="B1356" s="3" t="s">
        <v>883</v>
      </c>
      <c r="C1356" s="3" t="s">
        <v>56</v>
      </c>
      <c r="D1356" s="3" t="s">
        <v>68</v>
      </c>
      <c r="E1356" s="3" t="s">
        <v>100</v>
      </c>
      <c r="F1356" s="3" t="s">
        <v>1923</v>
      </c>
      <c r="G1356" s="7">
        <v>45847.140688725165</v>
      </c>
    </row>
    <row r="1357">
      <c r="A1357" s="3" t="s">
        <v>4888</v>
      </c>
      <c r="B1357" s="3" t="s">
        <v>179</v>
      </c>
      <c r="C1357" s="3" t="s">
        <v>56</v>
      </c>
      <c r="D1357" s="3" t="s">
        <v>195</v>
      </c>
      <c r="E1357" s="3" t="s">
        <v>45</v>
      </c>
      <c r="F1357" s="3" t="s">
        <v>45</v>
      </c>
      <c r="G1357" s="7">
        <v>45847.21186357058</v>
      </c>
    </row>
    <row r="1358">
      <c r="A1358" s="3" t="s">
        <v>4891</v>
      </c>
      <c r="B1358" s="3" t="s">
        <v>430</v>
      </c>
      <c r="C1358" s="3" t="s">
        <v>1342</v>
      </c>
      <c r="D1358" s="3" t="s">
        <v>68</v>
      </c>
      <c r="E1358" s="3" t="s">
        <v>100</v>
      </c>
      <c r="F1358" s="3" t="s">
        <v>1906</v>
      </c>
      <c r="G1358" s="7">
        <v>45847.283038416</v>
      </c>
    </row>
    <row r="1359">
      <c r="A1359" s="3" t="s">
        <v>4894</v>
      </c>
      <c r="B1359" s="3" t="s">
        <v>168</v>
      </c>
      <c r="C1359" s="3" t="s">
        <v>56</v>
      </c>
      <c r="D1359" s="3" t="s">
        <v>68</v>
      </c>
      <c r="E1359" s="3" t="s">
        <v>100</v>
      </c>
      <c r="F1359" s="3" t="s">
        <v>1925</v>
      </c>
      <c r="G1359" s="7">
        <v>45847.35421326142</v>
      </c>
    </row>
    <row r="1360">
      <c r="A1360" s="3" t="s">
        <v>4897</v>
      </c>
      <c r="B1360" s="3" t="s">
        <v>485</v>
      </c>
      <c r="C1360" s="3" t="s">
        <v>1095</v>
      </c>
      <c r="D1360" s="3" t="s">
        <v>68</v>
      </c>
      <c r="E1360" s="3" t="s">
        <v>100</v>
      </c>
      <c r="F1360" s="3" t="s">
        <v>1876</v>
      </c>
      <c r="G1360" s="7">
        <v>45847.42538810682</v>
      </c>
    </row>
    <row r="1361">
      <c r="A1361" s="3" t="s">
        <v>4901</v>
      </c>
      <c r="B1361" s="3" t="s">
        <v>848</v>
      </c>
      <c r="C1361" s="3" t="s">
        <v>1342</v>
      </c>
      <c r="D1361" s="3" t="s">
        <v>68</v>
      </c>
      <c r="E1361" s="3" t="s">
        <v>100</v>
      </c>
      <c r="F1361" s="3" t="s">
        <v>1676</v>
      </c>
      <c r="G1361" s="7">
        <v>45847.49656295224</v>
      </c>
    </row>
    <row r="1362">
      <c r="A1362" s="3" t="s">
        <v>4904</v>
      </c>
      <c r="B1362" s="3" t="s">
        <v>557</v>
      </c>
      <c r="C1362" s="3" t="s">
        <v>56</v>
      </c>
      <c r="D1362" s="3" t="s">
        <v>68</v>
      </c>
      <c r="E1362" s="3" t="s">
        <v>100</v>
      </c>
      <c r="F1362" s="3" t="s">
        <v>1927</v>
      </c>
      <c r="G1362" s="7">
        <v>45847.56773779766</v>
      </c>
    </row>
    <row r="1363">
      <c r="A1363" s="3" t="s">
        <v>4907</v>
      </c>
      <c r="B1363" s="3" t="s">
        <v>1043</v>
      </c>
      <c r="C1363" s="3" t="s">
        <v>1342</v>
      </c>
      <c r="D1363" s="3" t="s">
        <v>68</v>
      </c>
      <c r="E1363" s="3" t="s">
        <v>100</v>
      </c>
      <c r="F1363" s="3" t="s">
        <v>1560</v>
      </c>
      <c r="G1363" s="7">
        <v>45847.63891264307</v>
      </c>
    </row>
    <row r="1364">
      <c r="A1364" s="3" t="s">
        <v>4909</v>
      </c>
      <c r="B1364" s="3" t="s">
        <v>752</v>
      </c>
      <c r="C1364" s="3" t="s">
        <v>56</v>
      </c>
      <c r="D1364" s="3" t="s">
        <v>68</v>
      </c>
      <c r="E1364" s="3" t="s">
        <v>100</v>
      </c>
      <c r="F1364" s="3" t="s">
        <v>1929</v>
      </c>
      <c r="G1364" s="7">
        <v>45847.710087488485</v>
      </c>
    </row>
    <row r="1365">
      <c r="A1365" s="3" t="s">
        <v>4913</v>
      </c>
      <c r="B1365" s="3" t="s">
        <v>266</v>
      </c>
      <c r="C1365" s="3" t="s">
        <v>1342</v>
      </c>
      <c r="D1365" s="3" t="s">
        <v>68</v>
      </c>
      <c r="E1365" s="3" t="s">
        <v>100</v>
      </c>
      <c r="F1365" s="3" t="s">
        <v>1060</v>
      </c>
      <c r="G1365" s="7">
        <v>45847.781262333905</v>
      </c>
    </row>
    <row r="1366">
      <c r="A1366" s="3" t="s">
        <v>4916</v>
      </c>
      <c r="B1366" s="3" t="s">
        <v>123</v>
      </c>
      <c r="C1366" s="3" t="s">
        <v>56</v>
      </c>
      <c r="D1366" s="3" t="s">
        <v>68</v>
      </c>
      <c r="E1366" s="3" t="s">
        <v>100</v>
      </c>
      <c r="F1366" s="3" t="s">
        <v>1932</v>
      </c>
      <c r="G1366" s="7">
        <v>45847.85243717932</v>
      </c>
    </row>
    <row r="1367">
      <c r="A1367" s="3" t="s">
        <v>4919</v>
      </c>
      <c r="B1367" s="3" t="s">
        <v>333</v>
      </c>
      <c r="C1367" s="3" t="s">
        <v>1095</v>
      </c>
      <c r="D1367" s="3" t="s">
        <v>68</v>
      </c>
      <c r="E1367" s="3" t="s">
        <v>100</v>
      </c>
      <c r="F1367" s="3" t="s">
        <v>1254</v>
      </c>
      <c r="G1367" s="7">
        <v>45847.92361202473</v>
      </c>
    </row>
    <row r="1368">
      <c r="A1368" s="3" t="s">
        <v>4921</v>
      </c>
      <c r="B1368" s="3" t="s">
        <v>296</v>
      </c>
      <c r="C1368" s="3" t="s">
        <v>1095</v>
      </c>
      <c r="D1368" s="3" t="s">
        <v>68</v>
      </c>
      <c r="E1368" s="3" t="s">
        <v>100</v>
      </c>
      <c r="F1368" s="3" t="s">
        <v>1897</v>
      </c>
      <c r="G1368" s="7">
        <v>45847.99478687015</v>
      </c>
    </row>
    <row r="1369">
      <c r="A1369" s="3" t="s">
        <v>4924</v>
      </c>
      <c r="B1369" s="3" t="s">
        <v>189</v>
      </c>
      <c r="C1369" s="3" t="s">
        <v>56</v>
      </c>
      <c r="D1369" s="3" t="s">
        <v>68</v>
      </c>
      <c r="E1369" s="3" t="s">
        <v>100</v>
      </c>
      <c r="F1369" s="3" t="s">
        <v>1935</v>
      </c>
      <c r="G1369" s="7">
        <v>45848.06596171556</v>
      </c>
    </row>
    <row r="1370">
      <c r="A1370" s="3" t="s">
        <v>4927</v>
      </c>
      <c r="B1370" s="3" t="s">
        <v>280</v>
      </c>
      <c r="C1370" s="3" t="s">
        <v>1342</v>
      </c>
      <c r="D1370" s="3" t="s">
        <v>68</v>
      </c>
      <c r="E1370" s="3" t="s">
        <v>100</v>
      </c>
      <c r="F1370" s="3" t="s">
        <v>1431</v>
      </c>
      <c r="G1370" s="7">
        <v>45848.137136560974</v>
      </c>
    </row>
    <row r="1371">
      <c r="A1371" s="3" t="s">
        <v>4930</v>
      </c>
      <c r="B1371" s="3" t="s">
        <v>515</v>
      </c>
      <c r="C1371" s="3" t="s">
        <v>56</v>
      </c>
      <c r="D1371" s="3" t="s">
        <v>68</v>
      </c>
      <c r="E1371" s="3" t="s">
        <v>100</v>
      </c>
      <c r="F1371" s="3" t="s">
        <v>1937</v>
      </c>
      <c r="G1371" s="7">
        <v>45848.20831140639</v>
      </c>
    </row>
    <row r="1372">
      <c r="A1372" s="3" t="s">
        <v>4933</v>
      </c>
      <c r="B1372" s="3" t="s">
        <v>179</v>
      </c>
      <c r="C1372" s="3" t="s">
        <v>56</v>
      </c>
      <c r="D1372" s="3" t="s">
        <v>68</v>
      </c>
      <c r="E1372" s="3" t="s">
        <v>100</v>
      </c>
      <c r="F1372" s="3" t="s">
        <v>1939</v>
      </c>
      <c r="G1372" s="7">
        <v>45848.279486251806</v>
      </c>
    </row>
    <row r="1373">
      <c r="A1373" s="3" t="s">
        <v>4936</v>
      </c>
      <c r="B1373" s="3" t="s">
        <v>479</v>
      </c>
      <c r="C1373" s="3" t="s">
        <v>56</v>
      </c>
      <c r="D1373" s="3" t="s">
        <v>68</v>
      </c>
      <c r="E1373" s="3" t="s">
        <v>100</v>
      </c>
      <c r="F1373" s="3" t="s">
        <v>1941</v>
      </c>
      <c r="G1373" s="7">
        <v>45848.35066109722</v>
      </c>
    </row>
    <row r="1374">
      <c r="A1374" s="3" t="s">
        <v>4939</v>
      </c>
      <c r="B1374" s="3" t="s">
        <v>778</v>
      </c>
      <c r="C1374" s="3" t="s">
        <v>1342</v>
      </c>
      <c r="D1374" s="3" t="s">
        <v>68</v>
      </c>
      <c r="E1374" s="3" t="s">
        <v>100</v>
      </c>
      <c r="F1374" s="3" t="s">
        <v>1733</v>
      </c>
      <c r="G1374" s="7">
        <v>45848.42183594264</v>
      </c>
    </row>
    <row r="1375">
      <c r="A1375" s="3" t="s">
        <v>4942</v>
      </c>
      <c r="B1375" s="3" t="s">
        <v>581</v>
      </c>
      <c r="C1375" s="3" t="s">
        <v>1342</v>
      </c>
      <c r="D1375" s="3" t="s">
        <v>68</v>
      </c>
      <c r="E1375" s="3" t="s">
        <v>100</v>
      </c>
      <c r="F1375" s="3" t="s">
        <v>1892</v>
      </c>
      <c r="G1375" s="7">
        <v>45848.49301078806</v>
      </c>
    </row>
    <row r="1376">
      <c r="A1376" s="3" t="s">
        <v>4945</v>
      </c>
      <c r="B1376" s="3" t="s">
        <v>838</v>
      </c>
      <c r="C1376" s="3" t="s">
        <v>56</v>
      </c>
      <c r="D1376" s="3" t="s">
        <v>68</v>
      </c>
      <c r="E1376" s="3" t="s">
        <v>100</v>
      </c>
      <c r="F1376" s="3" t="s">
        <v>1943</v>
      </c>
      <c r="G1376" s="7">
        <v>45848.56418563346</v>
      </c>
    </row>
    <row r="1377">
      <c r="A1377" s="3" t="s">
        <v>4948</v>
      </c>
      <c r="B1377" s="3" t="s">
        <v>530</v>
      </c>
      <c r="C1377" s="3" t="s">
        <v>1342</v>
      </c>
      <c r="D1377" s="3" t="s">
        <v>68</v>
      </c>
      <c r="E1377" s="3" t="s">
        <v>100</v>
      </c>
      <c r="F1377" s="3" t="s">
        <v>1557</v>
      </c>
      <c r="G1377" s="7">
        <v>45848.63536047888</v>
      </c>
    </row>
    <row r="1378">
      <c r="A1378" s="3" t="s">
        <v>4951</v>
      </c>
      <c r="B1378" s="3" t="s">
        <v>512</v>
      </c>
      <c r="C1378" s="3" t="s">
        <v>56</v>
      </c>
      <c r="D1378" s="3" t="s">
        <v>68</v>
      </c>
      <c r="E1378" s="3" t="s">
        <v>100</v>
      </c>
      <c r="F1378" s="3" t="s">
        <v>1946</v>
      </c>
      <c r="G1378" s="7">
        <v>45848.7065353243</v>
      </c>
    </row>
    <row r="1379">
      <c r="A1379" s="3" t="s">
        <v>4954</v>
      </c>
      <c r="B1379" s="3" t="s">
        <v>293</v>
      </c>
      <c r="C1379" s="3" t="s">
        <v>1095</v>
      </c>
      <c r="D1379" s="3" t="s">
        <v>68</v>
      </c>
      <c r="E1379" s="3" t="s">
        <v>100</v>
      </c>
      <c r="F1379" s="3" t="s">
        <v>1393</v>
      </c>
      <c r="G1379" s="7">
        <v>45848.777710169714</v>
      </c>
    </row>
    <row r="1380">
      <c r="A1380" s="3" t="s">
        <v>4958</v>
      </c>
      <c r="B1380" s="3" t="s">
        <v>658</v>
      </c>
      <c r="C1380" s="3" t="s">
        <v>1342</v>
      </c>
      <c r="D1380" s="3" t="s">
        <v>68</v>
      </c>
      <c r="E1380" s="3" t="s">
        <v>100</v>
      </c>
      <c r="F1380" s="3" t="s">
        <v>1869</v>
      </c>
      <c r="G1380" s="7">
        <v>45848.848885015126</v>
      </c>
    </row>
    <row r="1381">
      <c r="A1381" s="3" t="s">
        <v>4961</v>
      </c>
      <c r="B1381" s="3" t="s">
        <v>765</v>
      </c>
      <c r="C1381" s="3" t="s">
        <v>1095</v>
      </c>
      <c r="D1381" s="3" t="s">
        <v>68</v>
      </c>
      <c r="E1381" s="3" t="s">
        <v>100</v>
      </c>
      <c r="F1381" s="3" t="s">
        <v>1785</v>
      </c>
      <c r="G1381" s="7">
        <v>45848.920059860546</v>
      </c>
    </row>
    <row r="1382">
      <c r="A1382" s="3" t="s">
        <v>4964</v>
      </c>
      <c r="B1382" s="3" t="s">
        <v>778</v>
      </c>
      <c r="C1382" s="3" t="s">
        <v>1342</v>
      </c>
      <c r="D1382" s="3" t="s">
        <v>68</v>
      </c>
      <c r="E1382" s="3" t="s">
        <v>100</v>
      </c>
      <c r="F1382" s="3" t="s">
        <v>1733</v>
      </c>
      <c r="G1382" s="7">
        <v>45848.99123470596</v>
      </c>
    </row>
    <row r="1383">
      <c r="A1383" s="3" t="s">
        <v>4967</v>
      </c>
      <c r="B1383" s="3" t="s">
        <v>702</v>
      </c>
      <c r="C1383" s="3" t="s">
        <v>56</v>
      </c>
      <c r="D1383" s="3" t="s">
        <v>68</v>
      </c>
      <c r="E1383" s="3" t="s">
        <v>100</v>
      </c>
      <c r="F1383" s="3" t="s">
        <v>1950</v>
      </c>
      <c r="G1383" s="7">
        <v>45849.06240955137</v>
      </c>
    </row>
    <row r="1384">
      <c r="A1384" s="3" t="s">
        <v>4970</v>
      </c>
      <c r="B1384" s="3" t="s">
        <v>290</v>
      </c>
      <c r="C1384" s="3" t="s">
        <v>1342</v>
      </c>
      <c r="D1384" s="3" t="s">
        <v>68</v>
      </c>
      <c r="E1384" s="3" t="s">
        <v>100</v>
      </c>
      <c r="F1384" s="3" t="s">
        <v>1828</v>
      </c>
      <c r="G1384" s="7">
        <v>45849.13358439679</v>
      </c>
    </row>
    <row r="1385">
      <c r="A1385" s="3" t="s">
        <v>4972</v>
      </c>
      <c r="B1385" s="3" t="s">
        <v>587</v>
      </c>
      <c r="C1385" s="3" t="s">
        <v>56</v>
      </c>
      <c r="D1385" s="3" t="s">
        <v>68</v>
      </c>
      <c r="E1385" s="3" t="s">
        <v>100</v>
      </c>
      <c r="F1385" s="3" t="s">
        <v>1951</v>
      </c>
      <c r="G1385" s="7">
        <v>45849.2047592422</v>
      </c>
    </row>
    <row r="1386">
      <c r="A1386" s="3" t="s">
        <v>4975</v>
      </c>
      <c r="B1386" s="3" t="s">
        <v>290</v>
      </c>
      <c r="C1386" s="3" t="s">
        <v>1342</v>
      </c>
      <c r="D1386" s="3" t="s">
        <v>68</v>
      </c>
      <c r="E1386" s="3" t="s">
        <v>100</v>
      </c>
      <c r="F1386" s="3" t="s">
        <v>1828</v>
      </c>
      <c r="G1386" s="7">
        <v>45849.275934087615</v>
      </c>
    </row>
    <row r="1387">
      <c r="A1387" s="3" t="s">
        <v>4978</v>
      </c>
      <c r="B1387" s="3" t="s">
        <v>937</v>
      </c>
      <c r="C1387" s="3" t="s">
        <v>1342</v>
      </c>
      <c r="D1387" s="3" t="s">
        <v>68</v>
      </c>
      <c r="E1387" s="3" t="s">
        <v>100</v>
      </c>
      <c r="F1387" s="3" t="s">
        <v>1715</v>
      </c>
      <c r="G1387" s="7">
        <v>45849.347108933034</v>
      </c>
    </row>
    <row r="1388">
      <c r="A1388" s="3" t="s">
        <v>4981</v>
      </c>
      <c r="B1388" s="3" t="s">
        <v>326</v>
      </c>
      <c r="C1388" s="3" t="s">
        <v>1342</v>
      </c>
      <c r="D1388" s="3" t="s">
        <v>68</v>
      </c>
      <c r="E1388" s="3" t="s">
        <v>100</v>
      </c>
      <c r="F1388" s="3" t="s">
        <v>1730</v>
      </c>
      <c r="G1388" s="7">
        <v>45849.41828377845</v>
      </c>
    </row>
    <row r="1389">
      <c r="A1389" s="3" t="s">
        <v>4984</v>
      </c>
      <c r="B1389" s="3" t="s">
        <v>145</v>
      </c>
      <c r="C1389" s="3" t="s">
        <v>1095</v>
      </c>
      <c r="D1389" s="3" t="s">
        <v>68</v>
      </c>
      <c r="E1389" s="3" t="s">
        <v>100</v>
      </c>
      <c r="F1389" s="3" t="s">
        <v>1745</v>
      </c>
      <c r="G1389" s="7">
        <v>45849.48945862386</v>
      </c>
    </row>
    <row r="1390">
      <c r="A1390" s="3" t="s">
        <v>4987</v>
      </c>
      <c r="B1390" s="3" t="s">
        <v>280</v>
      </c>
      <c r="C1390" s="3" t="s">
        <v>1342</v>
      </c>
      <c r="D1390" s="3" t="s">
        <v>68</v>
      </c>
      <c r="E1390" s="3" t="s">
        <v>100</v>
      </c>
      <c r="F1390" s="3" t="s">
        <v>1431</v>
      </c>
      <c r="G1390" s="7">
        <v>45849.56063346928</v>
      </c>
    </row>
    <row r="1391">
      <c r="A1391" s="3" t="s">
        <v>4991</v>
      </c>
      <c r="B1391" s="3" t="s">
        <v>622</v>
      </c>
      <c r="C1391" s="3" t="s">
        <v>56</v>
      </c>
      <c r="D1391" s="3" t="s">
        <v>68</v>
      </c>
      <c r="E1391" s="3" t="s">
        <v>100</v>
      </c>
      <c r="F1391" s="3" t="s">
        <v>1954</v>
      </c>
      <c r="G1391" s="7">
        <v>45849.6318083147</v>
      </c>
    </row>
    <row r="1392">
      <c r="A1392" s="3" t="s">
        <v>4995</v>
      </c>
      <c r="B1392" s="3" t="s">
        <v>758</v>
      </c>
      <c r="C1392" s="3" t="s">
        <v>1342</v>
      </c>
      <c r="D1392" s="3" t="s">
        <v>68</v>
      </c>
      <c r="E1392" s="3" t="s">
        <v>100</v>
      </c>
      <c r="F1392" s="3" t="s">
        <v>1914</v>
      </c>
      <c r="G1392" s="7">
        <v>45849.7029831601</v>
      </c>
    </row>
    <row r="1393">
      <c r="A1393" s="3" t="s">
        <v>4998</v>
      </c>
      <c r="B1393" s="3" t="s">
        <v>598</v>
      </c>
      <c r="C1393" s="3" t="s">
        <v>56</v>
      </c>
      <c r="D1393" s="3" t="s">
        <v>68</v>
      </c>
      <c r="E1393" s="3" t="s">
        <v>100</v>
      </c>
      <c r="F1393" s="3" t="s">
        <v>1956</v>
      </c>
      <c r="G1393" s="7">
        <v>45849.77415800552</v>
      </c>
    </row>
    <row r="1394">
      <c r="A1394" s="3" t="s">
        <v>5001</v>
      </c>
      <c r="B1394" s="3" t="s">
        <v>430</v>
      </c>
      <c r="C1394" s="3" t="s">
        <v>1095</v>
      </c>
      <c r="D1394" s="3" t="s">
        <v>68</v>
      </c>
      <c r="E1394" s="3" t="s">
        <v>100</v>
      </c>
      <c r="F1394" s="3" t="s">
        <v>1906</v>
      </c>
      <c r="G1394" s="7">
        <v>45849.84533285094</v>
      </c>
    </row>
    <row r="1395">
      <c r="A1395" s="3" t="s">
        <v>5005</v>
      </c>
      <c r="B1395" s="3" t="s">
        <v>356</v>
      </c>
      <c r="C1395" s="3" t="s">
        <v>1342</v>
      </c>
      <c r="D1395" s="3" t="s">
        <v>68</v>
      </c>
      <c r="E1395" s="3" t="s">
        <v>100</v>
      </c>
      <c r="F1395" s="3" t="s">
        <v>1609</v>
      </c>
      <c r="G1395" s="7">
        <v>45849.916507696355</v>
      </c>
    </row>
    <row r="1396">
      <c r="A1396" s="3" t="s">
        <v>5007</v>
      </c>
      <c r="B1396" s="3" t="s">
        <v>496</v>
      </c>
      <c r="C1396" s="3" t="s">
        <v>1342</v>
      </c>
      <c r="D1396" s="3" t="s">
        <v>181</v>
      </c>
      <c r="E1396" s="3" t="s">
        <v>45</v>
      </c>
      <c r="F1396" s="3" t="s">
        <v>716</v>
      </c>
      <c r="G1396" s="7">
        <v>45849.98768254177</v>
      </c>
    </row>
    <row r="1397">
      <c r="A1397" s="3" t="s">
        <v>5010</v>
      </c>
      <c r="B1397" s="3" t="s">
        <v>756</v>
      </c>
      <c r="C1397" s="3" t="s">
        <v>56</v>
      </c>
      <c r="D1397" s="3" t="s">
        <v>195</v>
      </c>
      <c r="E1397" s="3" t="s">
        <v>45</v>
      </c>
      <c r="F1397" s="3" t="s">
        <v>45</v>
      </c>
      <c r="G1397" s="7">
        <v>45850.05885738719</v>
      </c>
    </row>
    <row r="1398">
      <c r="A1398" s="3" t="s">
        <v>5013</v>
      </c>
      <c r="B1398" s="3" t="s">
        <v>130</v>
      </c>
      <c r="C1398" s="3" t="s">
        <v>56</v>
      </c>
      <c r="D1398" s="3" t="s">
        <v>181</v>
      </c>
      <c r="E1398" s="3" t="s">
        <v>45</v>
      </c>
      <c r="F1398" s="3" t="s">
        <v>45</v>
      </c>
      <c r="G1398" s="7">
        <v>45850.1300322326</v>
      </c>
    </row>
    <row r="1399">
      <c r="A1399" s="3" t="s">
        <v>5016</v>
      </c>
      <c r="B1399" s="3" t="s">
        <v>313</v>
      </c>
      <c r="C1399" s="3" t="s">
        <v>1342</v>
      </c>
      <c r="D1399" s="3" t="s">
        <v>68</v>
      </c>
      <c r="E1399" s="3" t="s">
        <v>100</v>
      </c>
      <c r="F1399" s="3" t="s">
        <v>1100</v>
      </c>
      <c r="G1399" s="7">
        <v>45850.20120707801</v>
      </c>
    </row>
    <row r="1400">
      <c r="A1400" s="3" t="s">
        <v>5020</v>
      </c>
      <c r="B1400" s="3" t="s">
        <v>637</v>
      </c>
      <c r="C1400" s="3" t="s">
        <v>1095</v>
      </c>
      <c r="D1400" s="3" t="s">
        <v>68</v>
      </c>
      <c r="E1400" s="3" t="s">
        <v>100</v>
      </c>
      <c r="F1400" s="3" t="s">
        <v>1552</v>
      </c>
      <c r="G1400" s="7">
        <v>45850.27238192343</v>
      </c>
    </row>
    <row r="1401">
      <c r="A1401" s="3" t="s">
        <v>5023</v>
      </c>
      <c r="B1401" s="3" t="s">
        <v>691</v>
      </c>
      <c r="C1401" s="3" t="s">
        <v>56</v>
      </c>
      <c r="D1401" s="3" t="s">
        <v>68</v>
      </c>
      <c r="E1401" s="3" t="s">
        <v>100</v>
      </c>
      <c r="F1401" s="3" t="s">
        <v>1958</v>
      </c>
      <c r="G1401" s="7">
        <v>45850.34355676884</v>
      </c>
    </row>
    <row r="1402">
      <c r="A1402" s="3" t="s">
        <v>5027</v>
      </c>
      <c r="B1402" s="3" t="s">
        <v>826</v>
      </c>
      <c r="C1402" s="3" t="s">
        <v>56</v>
      </c>
      <c r="D1402" s="3" t="s">
        <v>68</v>
      </c>
      <c r="E1402" s="3" t="s">
        <v>100</v>
      </c>
      <c r="F1402" s="3" t="s">
        <v>1961</v>
      </c>
      <c r="G1402" s="7">
        <v>45850.414731614255</v>
      </c>
    </row>
    <row r="1403">
      <c r="A1403" s="3" t="s">
        <v>5030</v>
      </c>
      <c r="B1403" s="3" t="s">
        <v>752</v>
      </c>
      <c r="C1403" s="3" t="s">
        <v>1342</v>
      </c>
      <c r="D1403" s="3" t="s">
        <v>68</v>
      </c>
      <c r="E1403" s="3" t="s">
        <v>100</v>
      </c>
      <c r="F1403" s="3" t="s">
        <v>1929</v>
      </c>
      <c r="G1403" s="7">
        <v>45850.485906459675</v>
      </c>
    </row>
    <row r="1404">
      <c r="A1404" s="3" t="s">
        <v>5033</v>
      </c>
      <c r="B1404" s="3" t="s">
        <v>162</v>
      </c>
      <c r="C1404" s="3" t="s">
        <v>1342</v>
      </c>
      <c r="D1404" s="3" t="s">
        <v>68</v>
      </c>
      <c r="E1404" s="3" t="s">
        <v>100</v>
      </c>
      <c r="F1404" s="3" t="s">
        <v>1916</v>
      </c>
      <c r="G1404" s="7">
        <v>45850.557081305094</v>
      </c>
    </row>
    <row r="1405">
      <c r="A1405" s="3" t="s">
        <v>5036</v>
      </c>
      <c r="B1405" s="3" t="s">
        <v>685</v>
      </c>
      <c r="C1405" s="3" t="s">
        <v>1342</v>
      </c>
      <c r="D1405" s="3" t="s">
        <v>68</v>
      </c>
      <c r="E1405" s="3" t="s">
        <v>100</v>
      </c>
      <c r="F1405" s="3" t="s">
        <v>1133</v>
      </c>
      <c r="G1405" s="7">
        <v>45850.6282561505</v>
      </c>
    </row>
    <row r="1406">
      <c r="A1406" s="3" t="s">
        <v>5039</v>
      </c>
      <c r="B1406" s="3" t="s">
        <v>672</v>
      </c>
      <c r="C1406" s="3" t="s">
        <v>56</v>
      </c>
      <c r="D1406" s="3" t="s">
        <v>68</v>
      </c>
      <c r="E1406" s="3" t="s">
        <v>100</v>
      </c>
      <c r="F1406" s="3" t="s">
        <v>1963</v>
      </c>
      <c r="G1406" s="7">
        <v>45850.69943099592</v>
      </c>
    </row>
    <row r="1407">
      <c r="A1407" s="3" t="s">
        <v>5042</v>
      </c>
      <c r="B1407" s="3" t="s">
        <v>230</v>
      </c>
      <c r="C1407" s="3" t="s">
        <v>1342</v>
      </c>
      <c r="D1407" s="3" t="s">
        <v>68</v>
      </c>
      <c r="E1407" s="3" t="s">
        <v>100</v>
      </c>
      <c r="F1407" s="3" t="s">
        <v>1458</v>
      </c>
      <c r="G1407" s="7">
        <v>45850.77060584134</v>
      </c>
    </row>
    <row r="1408">
      <c r="A1408" s="3" t="s">
        <v>5045</v>
      </c>
      <c r="B1408" s="3" t="s">
        <v>911</v>
      </c>
      <c r="C1408" s="3" t="s">
        <v>1342</v>
      </c>
      <c r="D1408" s="3" t="s">
        <v>68</v>
      </c>
      <c r="E1408" s="3" t="s">
        <v>100</v>
      </c>
      <c r="F1408" s="3" t="s">
        <v>1903</v>
      </c>
      <c r="G1408" s="7">
        <v>45850.84178068675</v>
      </c>
    </row>
    <row r="1409">
      <c r="A1409" s="3" t="s">
        <v>5048</v>
      </c>
      <c r="B1409" s="3" t="s">
        <v>377</v>
      </c>
      <c r="C1409" s="3" t="s">
        <v>1095</v>
      </c>
      <c r="D1409" s="3" t="s">
        <v>68</v>
      </c>
      <c r="E1409" s="3" t="s">
        <v>100</v>
      </c>
      <c r="F1409" s="3" t="s">
        <v>518</v>
      </c>
      <c r="G1409" s="7">
        <v>45850.91295553216</v>
      </c>
    </row>
    <row r="1410">
      <c r="A1410" s="3" t="s">
        <v>5051</v>
      </c>
      <c r="B1410" s="3" t="s">
        <v>290</v>
      </c>
      <c r="C1410" s="3" t="s">
        <v>1342</v>
      </c>
      <c r="D1410" s="3" t="s">
        <v>68</v>
      </c>
      <c r="E1410" s="3" t="s">
        <v>100</v>
      </c>
      <c r="F1410" s="3" t="s">
        <v>1828</v>
      </c>
      <c r="G1410" s="7">
        <v>45850.98413037758</v>
      </c>
    </row>
    <row r="1411">
      <c r="A1411" s="3" t="s">
        <v>5054</v>
      </c>
      <c r="B1411" s="3" t="s">
        <v>466</v>
      </c>
      <c r="C1411" s="3" t="s">
        <v>1342</v>
      </c>
      <c r="D1411" s="3" t="s">
        <v>68</v>
      </c>
      <c r="E1411" s="3" t="s">
        <v>100</v>
      </c>
      <c r="F1411" s="3" t="s">
        <v>1114</v>
      </c>
      <c r="G1411" s="7">
        <v>45851.055305222995</v>
      </c>
    </row>
    <row r="1412">
      <c r="A1412" s="3" t="s">
        <v>5057</v>
      </c>
      <c r="B1412" s="3" t="s">
        <v>584</v>
      </c>
      <c r="C1412" s="3" t="s">
        <v>1095</v>
      </c>
      <c r="D1412" s="3" t="s">
        <v>68</v>
      </c>
      <c r="E1412" s="3" t="s">
        <v>100</v>
      </c>
      <c r="F1412" s="3" t="s">
        <v>837</v>
      </c>
      <c r="G1412" s="7">
        <v>45851.12648006841</v>
      </c>
    </row>
    <row r="1413">
      <c r="A1413" s="3" t="s">
        <v>5061</v>
      </c>
      <c r="B1413" s="3" t="s">
        <v>883</v>
      </c>
      <c r="C1413" s="3" t="s">
        <v>1342</v>
      </c>
      <c r="D1413" s="3" t="s">
        <v>68</v>
      </c>
      <c r="E1413" s="3" t="s">
        <v>100</v>
      </c>
      <c r="F1413" s="3" t="s">
        <v>1923</v>
      </c>
      <c r="G1413" s="7">
        <v>45851.19765491383</v>
      </c>
    </row>
    <row r="1414">
      <c r="A1414" s="3" t="s">
        <v>5065</v>
      </c>
      <c r="B1414" s="3" t="s">
        <v>1034</v>
      </c>
      <c r="C1414" s="3" t="s">
        <v>56</v>
      </c>
      <c r="D1414" s="3" t="s">
        <v>68</v>
      </c>
      <c r="E1414" s="3" t="s">
        <v>100</v>
      </c>
      <c r="F1414" s="3" t="s">
        <v>1966</v>
      </c>
      <c r="G1414" s="7">
        <v>45851.26882975924</v>
      </c>
    </row>
    <row r="1415">
      <c r="A1415" s="3" t="s">
        <v>5068</v>
      </c>
      <c r="B1415" s="3" t="s">
        <v>341</v>
      </c>
      <c r="C1415" s="3" t="s">
        <v>1095</v>
      </c>
      <c r="D1415" s="3" t="s">
        <v>68</v>
      </c>
      <c r="E1415" s="3" t="s">
        <v>100</v>
      </c>
      <c r="F1415" s="3" t="s">
        <v>1795</v>
      </c>
      <c r="G1415" s="7">
        <v>45851.34000460465</v>
      </c>
    </row>
    <row r="1416">
      <c r="A1416" s="3" t="s">
        <v>5071</v>
      </c>
      <c r="B1416" s="3" t="s">
        <v>758</v>
      </c>
      <c r="C1416" s="3" t="s">
        <v>1095</v>
      </c>
      <c r="D1416" s="3" t="s">
        <v>181</v>
      </c>
      <c r="E1416" s="3" t="s">
        <v>45</v>
      </c>
      <c r="F1416" s="3" t="s">
        <v>1914</v>
      </c>
      <c r="G1416" s="7">
        <v>45851.41117945007</v>
      </c>
    </row>
    <row r="1417">
      <c r="A1417" s="3" t="s">
        <v>5075</v>
      </c>
      <c r="B1417" s="3" t="s">
        <v>581</v>
      </c>
      <c r="C1417" s="3" t="s">
        <v>1342</v>
      </c>
      <c r="D1417" s="3" t="s">
        <v>68</v>
      </c>
      <c r="E1417" s="3" t="s">
        <v>100</v>
      </c>
      <c r="F1417" s="3" t="s">
        <v>1892</v>
      </c>
      <c r="G1417" s="7">
        <v>45851.482354295484</v>
      </c>
    </row>
    <row r="1418">
      <c r="A1418" s="3" t="s">
        <v>5078</v>
      </c>
      <c r="B1418" s="3" t="s">
        <v>388</v>
      </c>
      <c r="C1418" s="3" t="s">
        <v>1095</v>
      </c>
      <c r="D1418" s="3" t="s">
        <v>68</v>
      </c>
      <c r="E1418" s="3" t="s">
        <v>100</v>
      </c>
      <c r="F1418" s="3" t="s">
        <v>1420</v>
      </c>
      <c r="G1418" s="7">
        <v>45851.553529140896</v>
      </c>
    </row>
    <row r="1419">
      <c r="A1419" s="3" t="s">
        <v>5081</v>
      </c>
      <c r="B1419" s="3" t="s">
        <v>186</v>
      </c>
      <c r="C1419" s="3" t="s">
        <v>1342</v>
      </c>
      <c r="D1419" s="3" t="s">
        <v>68</v>
      </c>
      <c r="E1419" s="3" t="s">
        <v>100</v>
      </c>
      <c r="F1419" s="3" t="s">
        <v>1278</v>
      </c>
      <c r="G1419" s="7">
        <v>45851.624703986316</v>
      </c>
    </row>
    <row r="1420">
      <c r="A1420" s="3" t="s">
        <v>5084</v>
      </c>
      <c r="B1420" s="3" t="s">
        <v>479</v>
      </c>
      <c r="C1420" s="3" t="s">
        <v>1095</v>
      </c>
      <c r="D1420" s="3" t="s">
        <v>181</v>
      </c>
      <c r="E1420" s="3" t="s">
        <v>45</v>
      </c>
      <c r="F1420" s="3" t="s">
        <v>1941</v>
      </c>
      <c r="G1420" s="7">
        <v>45851.695878831735</v>
      </c>
    </row>
    <row r="1421">
      <c r="A1421" s="3" t="s">
        <v>5087</v>
      </c>
      <c r="B1421" s="3" t="s">
        <v>957</v>
      </c>
      <c r="C1421" s="3" t="s">
        <v>56</v>
      </c>
      <c r="D1421" s="3" t="s">
        <v>68</v>
      </c>
      <c r="E1421" s="3" t="s">
        <v>100</v>
      </c>
      <c r="F1421" s="3" t="s">
        <v>1968</v>
      </c>
      <c r="G1421" s="7">
        <v>45851.76705367714</v>
      </c>
    </row>
    <row r="1422">
      <c r="A1422" s="3" t="s">
        <v>5089</v>
      </c>
      <c r="B1422" s="3" t="s">
        <v>204</v>
      </c>
      <c r="C1422" s="3" t="s">
        <v>1095</v>
      </c>
      <c r="D1422" s="3" t="s">
        <v>68</v>
      </c>
      <c r="E1422" s="3" t="s">
        <v>100</v>
      </c>
      <c r="F1422" s="3" t="s">
        <v>1882</v>
      </c>
      <c r="G1422" s="7">
        <v>45851.83822852256</v>
      </c>
    </row>
    <row r="1423">
      <c r="A1423" s="3" t="s">
        <v>5091</v>
      </c>
      <c r="B1423" s="3" t="s">
        <v>219</v>
      </c>
      <c r="C1423" s="3" t="s">
        <v>56</v>
      </c>
      <c r="D1423" s="3" t="s">
        <v>68</v>
      </c>
      <c r="E1423" s="3" t="s">
        <v>100</v>
      </c>
      <c r="F1423" s="3" t="s">
        <v>1969</v>
      </c>
      <c r="G1423" s="7">
        <v>45851.90940336798</v>
      </c>
    </row>
    <row r="1424">
      <c r="A1424" s="3" t="s">
        <v>5094</v>
      </c>
      <c r="B1424" s="3" t="s">
        <v>419</v>
      </c>
      <c r="C1424" s="3" t="s">
        <v>1095</v>
      </c>
      <c r="D1424" s="3" t="s">
        <v>68</v>
      </c>
      <c r="E1424" s="3" t="s">
        <v>100</v>
      </c>
      <c r="F1424" s="3" t="s">
        <v>1685</v>
      </c>
      <c r="G1424" s="7">
        <v>45851.98057821339</v>
      </c>
    </row>
    <row r="1425">
      <c r="A1425" s="3" t="s">
        <v>5096</v>
      </c>
      <c r="B1425" s="3" t="s">
        <v>263</v>
      </c>
      <c r="C1425" s="3" t="s">
        <v>1342</v>
      </c>
      <c r="D1425" s="3" t="s">
        <v>68</v>
      </c>
      <c r="E1425" s="3" t="s">
        <v>100</v>
      </c>
      <c r="F1425" s="3" t="s">
        <v>1521</v>
      </c>
      <c r="G1425" s="7">
        <v>45852.051753058804</v>
      </c>
    </row>
    <row r="1426">
      <c r="A1426" s="3" t="s">
        <v>5098</v>
      </c>
      <c r="B1426" s="3" t="s">
        <v>937</v>
      </c>
      <c r="C1426" s="3" t="s">
        <v>1095</v>
      </c>
      <c r="D1426" s="3" t="s">
        <v>68</v>
      </c>
      <c r="E1426" s="3" t="s">
        <v>100</v>
      </c>
      <c r="F1426" s="3" t="s">
        <v>1715</v>
      </c>
      <c r="G1426" s="7">
        <v>45852.12292790422</v>
      </c>
    </row>
    <row r="1427">
      <c r="A1427" s="3" t="s">
        <v>5100</v>
      </c>
      <c r="B1427" s="3" t="s">
        <v>165</v>
      </c>
      <c r="C1427" s="3" t="s">
        <v>1095</v>
      </c>
      <c r="D1427" s="3" t="s">
        <v>68</v>
      </c>
      <c r="E1427" s="3" t="s">
        <v>100</v>
      </c>
      <c r="F1427" s="3" t="s">
        <v>1759</v>
      </c>
      <c r="G1427" s="7">
        <v>45852.194102749636</v>
      </c>
    </row>
    <row r="1428">
      <c r="A1428" s="3" t="s">
        <v>5103</v>
      </c>
      <c r="B1428" s="3" t="s">
        <v>219</v>
      </c>
      <c r="C1428" s="3" t="s">
        <v>1342</v>
      </c>
      <c r="D1428" s="3" t="s">
        <v>181</v>
      </c>
      <c r="E1428" s="3" t="s">
        <v>45</v>
      </c>
      <c r="F1428" s="3" t="s">
        <v>1969</v>
      </c>
      <c r="G1428" s="7">
        <v>45852.26527759505</v>
      </c>
    </row>
    <row r="1429">
      <c r="A1429" s="3" t="s">
        <v>5106</v>
      </c>
      <c r="B1429" s="3" t="s">
        <v>266</v>
      </c>
      <c r="C1429" s="3" t="s">
        <v>1342</v>
      </c>
      <c r="D1429" s="3" t="s">
        <v>68</v>
      </c>
      <c r="E1429" s="3" t="s">
        <v>100</v>
      </c>
      <c r="F1429" s="3" t="s">
        <v>1060</v>
      </c>
      <c r="G1429" s="7">
        <v>45852.33645244047</v>
      </c>
    </row>
    <row r="1430">
      <c r="A1430" s="3" t="s">
        <v>5109</v>
      </c>
      <c r="B1430" s="3" t="s">
        <v>998</v>
      </c>
      <c r="C1430" s="3" t="s">
        <v>1342</v>
      </c>
      <c r="D1430" s="3" t="s">
        <v>68</v>
      </c>
      <c r="E1430" s="3" t="s">
        <v>100</v>
      </c>
      <c r="F1430" s="3" t="s">
        <v>1687</v>
      </c>
      <c r="G1430" s="7">
        <v>45852.40762728588</v>
      </c>
    </row>
    <row r="1431">
      <c r="A1431" s="3" t="s">
        <v>5112</v>
      </c>
      <c r="B1431" s="3" t="s">
        <v>479</v>
      </c>
      <c r="C1431" s="3" t="s">
        <v>1342</v>
      </c>
      <c r="D1431" s="3" t="s">
        <v>195</v>
      </c>
      <c r="E1431" s="3" t="s">
        <v>45</v>
      </c>
      <c r="F1431" s="3" t="s">
        <v>1941</v>
      </c>
      <c r="G1431" s="7">
        <v>45852.47880213129</v>
      </c>
    </row>
    <row r="1432">
      <c r="A1432" s="3" t="s">
        <v>5115</v>
      </c>
      <c r="B1432" s="3" t="s">
        <v>208</v>
      </c>
      <c r="C1432" s="3" t="s">
        <v>1342</v>
      </c>
      <c r="D1432" s="3" t="s">
        <v>68</v>
      </c>
      <c r="E1432" s="3" t="s">
        <v>100</v>
      </c>
      <c r="F1432" s="3" t="s">
        <v>1921</v>
      </c>
      <c r="G1432" s="7">
        <v>45852.54997697671</v>
      </c>
    </row>
    <row r="1433">
      <c r="A1433" s="3" t="s">
        <v>5118</v>
      </c>
      <c r="B1433" s="3" t="s">
        <v>256</v>
      </c>
      <c r="C1433" s="3" t="s">
        <v>1342</v>
      </c>
      <c r="D1433" s="3" t="s">
        <v>68</v>
      </c>
      <c r="E1433" s="3" t="s">
        <v>100</v>
      </c>
      <c r="F1433" s="3" t="s">
        <v>1539</v>
      </c>
      <c r="G1433" s="7">
        <v>45852.621151822124</v>
      </c>
    </row>
    <row r="1434">
      <c r="A1434" s="3" t="s">
        <v>5121</v>
      </c>
      <c r="B1434" s="3" t="s">
        <v>665</v>
      </c>
      <c r="C1434" s="3" t="s">
        <v>56</v>
      </c>
      <c r="D1434" s="3" t="s">
        <v>181</v>
      </c>
      <c r="E1434" s="3" t="s">
        <v>45</v>
      </c>
      <c r="F1434" s="3" t="s">
        <v>45</v>
      </c>
      <c r="G1434" s="7">
        <v>45852.69232666754</v>
      </c>
    </row>
    <row r="1435">
      <c r="A1435" s="3" t="s">
        <v>5124</v>
      </c>
      <c r="B1435" s="3" t="s">
        <v>860</v>
      </c>
      <c r="C1435" s="3" t="s">
        <v>1342</v>
      </c>
      <c r="D1435" s="3" t="s">
        <v>68</v>
      </c>
      <c r="E1435" s="3" t="s">
        <v>100</v>
      </c>
      <c r="F1435" s="3" t="s">
        <v>1751</v>
      </c>
      <c r="G1435" s="7">
        <v>45852.763501512956</v>
      </c>
    </row>
    <row r="1436">
      <c r="A1436" s="3" t="s">
        <v>5127</v>
      </c>
      <c r="B1436" s="3" t="s">
        <v>830</v>
      </c>
      <c r="C1436" s="3" t="s">
        <v>56</v>
      </c>
      <c r="D1436" s="3" t="s">
        <v>68</v>
      </c>
      <c r="E1436" s="3" t="s">
        <v>100</v>
      </c>
      <c r="F1436" s="3" t="s">
        <v>1971</v>
      </c>
      <c r="G1436" s="7">
        <v>45852.834676358376</v>
      </c>
    </row>
    <row r="1437">
      <c r="A1437" s="3" t="s">
        <v>5130</v>
      </c>
      <c r="B1437" s="3" t="s">
        <v>1026</v>
      </c>
      <c r="C1437" s="3" t="s">
        <v>56</v>
      </c>
      <c r="D1437" s="3" t="s">
        <v>68</v>
      </c>
      <c r="E1437" s="3" t="s">
        <v>100</v>
      </c>
      <c r="F1437" s="3" t="s">
        <v>1973</v>
      </c>
      <c r="G1437" s="7">
        <v>45852.90585120378</v>
      </c>
    </row>
    <row r="1438">
      <c r="A1438" s="3" t="s">
        <v>5133</v>
      </c>
      <c r="B1438" s="3" t="s">
        <v>215</v>
      </c>
      <c r="C1438" s="3" t="s">
        <v>1095</v>
      </c>
      <c r="D1438" s="3" t="s">
        <v>68</v>
      </c>
      <c r="E1438" s="3" t="s">
        <v>100</v>
      </c>
      <c r="F1438" s="3" t="s">
        <v>1196</v>
      </c>
      <c r="G1438" s="7">
        <v>45852.9770260492</v>
      </c>
    </row>
    <row r="1439">
      <c r="A1439" s="3" t="s">
        <v>5137</v>
      </c>
      <c r="B1439" s="3" t="s">
        <v>689</v>
      </c>
      <c r="C1439" s="3" t="s">
        <v>1095</v>
      </c>
      <c r="D1439" s="3" t="s">
        <v>68</v>
      </c>
      <c r="E1439" s="3" t="s">
        <v>100</v>
      </c>
      <c r="F1439" s="3" t="s">
        <v>1313</v>
      </c>
      <c r="G1439" s="7">
        <v>45853.04820089462</v>
      </c>
    </row>
    <row r="1440">
      <c r="A1440" s="3" t="s">
        <v>5141</v>
      </c>
      <c r="B1440" s="3" t="s">
        <v>993</v>
      </c>
      <c r="C1440" s="3" t="s">
        <v>56</v>
      </c>
      <c r="D1440" s="3" t="s">
        <v>68</v>
      </c>
      <c r="E1440" s="3" t="s">
        <v>100</v>
      </c>
      <c r="F1440" s="3" t="s">
        <v>1975</v>
      </c>
      <c r="G1440" s="7">
        <v>45853.11937574003</v>
      </c>
    </row>
    <row r="1441">
      <c r="A1441" s="3" t="s">
        <v>5144</v>
      </c>
      <c r="B1441" s="3" t="s">
        <v>557</v>
      </c>
      <c r="C1441" s="3" t="s">
        <v>1342</v>
      </c>
      <c r="D1441" s="3" t="s">
        <v>68</v>
      </c>
      <c r="E1441" s="3" t="s">
        <v>100</v>
      </c>
      <c r="F1441" s="3" t="s">
        <v>1927</v>
      </c>
      <c r="G1441" s="7">
        <v>45853.190550585445</v>
      </c>
    </row>
    <row r="1442">
      <c r="A1442" s="3" t="s">
        <v>5147</v>
      </c>
      <c r="B1442" s="3" t="s">
        <v>627</v>
      </c>
      <c r="C1442" s="3" t="s">
        <v>1095</v>
      </c>
      <c r="D1442" s="3" t="s">
        <v>68</v>
      </c>
      <c r="E1442" s="3" t="s">
        <v>100</v>
      </c>
      <c r="F1442" s="3" t="s">
        <v>1072</v>
      </c>
      <c r="G1442" s="7">
        <v>45853.261725430864</v>
      </c>
    </row>
    <row r="1443">
      <c r="A1443" s="3" t="s">
        <v>5151</v>
      </c>
      <c r="B1443" s="3" t="s">
        <v>366</v>
      </c>
      <c r="C1443" s="3" t="s">
        <v>1095</v>
      </c>
      <c r="D1443" s="3" t="s">
        <v>68</v>
      </c>
      <c r="E1443" s="3" t="s">
        <v>100</v>
      </c>
      <c r="F1443" s="3" t="s">
        <v>1179</v>
      </c>
      <c r="G1443" s="7">
        <v>45853.33290027628</v>
      </c>
    </row>
    <row r="1444">
      <c r="A1444" s="3" t="s">
        <v>5155</v>
      </c>
      <c r="B1444" s="3" t="s">
        <v>734</v>
      </c>
      <c r="C1444" s="3" t="s">
        <v>1095</v>
      </c>
      <c r="D1444" s="3" t="s">
        <v>68</v>
      </c>
      <c r="E1444" s="3" t="s">
        <v>100</v>
      </c>
      <c r="F1444" s="3" t="s">
        <v>1535</v>
      </c>
      <c r="G1444" s="7">
        <v>45853.40407512169</v>
      </c>
    </row>
    <row r="1445">
      <c r="A1445" s="3" t="s">
        <v>5158</v>
      </c>
      <c r="B1445" s="3" t="s">
        <v>369</v>
      </c>
      <c r="C1445" s="3" t="s">
        <v>1095</v>
      </c>
      <c r="D1445" s="3" t="s">
        <v>68</v>
      </c>
      <c r="E1445" s="3" t="s">
        <v>100</v>
      </c>
      <c r="F1445" s="3" t="s">
        <v>1509</v>
      </c>
      <c r="G1445" s="7">
        <v>45853.47524996711</v>
      </c>
    </row>
    <row r="1446">
      <c r="A1446" s="3" t="s">
        <v>5161</v>
      </c>
      <c r="B1446" s="3" t="s">
        <v>586</v>
      </c>
      <c r="C1446" s="3" t="s">
        <v>56</v>
      </c>
      <c r="D1446" s="3" t="s">
        <v>68</v>
      </c>
      <c r="E1446" s="3" t="s">
        <v>100</v>
      </c>
      <c r="F1446" s="3" t="s">
        <v>1979</v>
      </c>
      <c r="G1446" s="7">
        <v>45853.54642481253</v>
      </c>
    </row>
    <row r="1447">
      <c r="A1447" s="3" t="s">
        <v>5164</v>
      </c>
      <c r="B1447" s="3" t="s">
        <v>193</v>
      </c>
      <c r="C1447" s="3" t="s">
        <v>56</v>
      </c>
      <c r="D1447" s="3" t="s">
        <v>68</v>
      </c>
      <c r="E1447" s="3" t="s">
        <v>100</v>
      </c>
      <c r="F1447" s="3" t="s">
        <v>1981</v>
      </c>
      <c r="G1447" s="7">
        <v>45853.61759965793</v>
      </c>
    </row>
    <row r="1448">
      <c r="A1448" s="3" t="s">
        <v>5167</v>
      </c>
      <c r="B1448" s="3" t="s">
        <v>640</v>
      </c>
      <c r="C1448" s="3" t="s">
        <v>1342</v>
      </c>
      <c r="D1448" s="3" t="s">
        <v>68</v>
      </c>
      <c r="E1448" s="3" t="s">
        <v>100</v>
      </c>
      <c r="F1448" s="3" t="s">
        <v>1650</v>
      </c>
      <c r="G1448" s="7">
        <v>45853.68877450335</v>
      </c>
    </row>
    <row r="1449">
      <c r="A1449" s="3" t="s">
        <v>5170</v>
      </c>
      <c r="B1449" s="3" t="s">
        <v>485</v>
      </c>
      <c r="C1449" s="3" t="s">
        <v>56</v>
      </c>
      <c r="D1449" s="3" t="s">
        <v>68</v>
      </c>
      <c r="E1449" s="3" t="s">
        <v>100</v>
      </c>
      <c r="F1449" s="3" t="s">
        <v>1983</v>
      </c>
      <c r="G1449" s="7">
        <v>45853.759949348765</v>
      </c>
    </row>
    <row r="1450">
      <c r="A1450" s="3" t="s">
        <v>5173</v>
      </c>
      <c r="B1450" s="3" t="s">
        <v>453</v>
      </c>
      <c r="C1450" s="3" t="s">
        <v>56</v>
      </c>
      <c r="D1450" s="3" t="s">
        <v>68</v>
      </c>
      <c r="E1450" s="3" t="s">
        <v>100</v>
      </c>
      <c r="F1450" s="3" t="s">
        <v>1985</v>
      </c>
      <c r="G1450" s="7">
        <v>45853.831124194185</v>
      </c>
    </row>
    <row r="1451">
      <c r="A1451" s="3" t="s">
        <v>5176</v>
      </c>
      <c r="B1451" s="3" t="s">
        <v>678</v>
      </c>
      <c r="C1451" s="3" t="s">
        <v>1342</v>
      </c>
      <c r="D1451" s="3" t="s">
        <v>68</v>
      </c>
      <c r="E1451" s="3" t="s">
        <v>100</v>
      </c>
      <c r="F1451" s="3" t="s">
        <v>1797</v>
      </c>
      <c r="G1451" s="7">
        <v>45853.9022990396</v>
      </c>
    </row>
    <row r="1452">
      <c r="A1452" s="3" t="s">
        <v>5179</v>
      </c>
      <c r="B1452" s="3" t="s">
        <v>299</v>
      </c>
      <c r="C1452" s="3" t="s">
        <v>1095</v>
      </c>
      <c r="D1452" s="3" t="s">
        <v>68</v>
      </c>
      <c r="E1452" s="3" t="s">
        <v>100</v>
      </c>
      <c r="F1452" s="3" t="s">
        <v>1416</v>
      </c>
      <c r="G1452" s="7">
        <v>45853.97347388502</v>
      </c>
    </row>
    <row r="1453">
      <c r="A1453" s="3" t="s">
        <v>5182</v>
      </c>
      <c r="B1453" s="3" t="s">
        <v>826</v>
      </c>
      <c r="C1453" s="3" t="s">
        <v>1095</v>
      </c>
      <c r="D1453" s="3" t="s">
        <v>68</v>
      </c>
      <c r="E1453" s="3" t="s">
        <v>100</v>
      </c>
      <c r="F1453" s="3" t="s">
        <v>1961</v>
      </c>
      <c r="G1453" s="7">
        <v>45854.04464873042</v>
      </c>
    </row>
    <row r="1454">
      <c r="A1454" s="3" t="s">
        <v>5185</v>
      </c>
      <c r="B1454" s="3" t="s">
        <v>307</v>
      </c>
      <c r="C1454" s="3" t="s">
        <v>1095</v>
      </c>
      <c r="D1454" s="3" t="s">
        <v>68</v>
      </c>
      <c r="E1454" s="3" t="s">
        <v>100</v>
      </c>
      <c r="F1454" s="3" t="s">
        <v>1775</v>
      </c>
      <c r="G1454" s="7">
        <v>45854.11582357584</v>
      </c>
    </row>
    <row r="1455">
      <c r="A1455" s="3" t="s">
        <v>5188</v>
      </c>
      <c r="B1455" s="3" t="s">
        <v>643</v>
      </c>
      <c r="C1455" s="3" t="s">
        <v>1342</v>
      </c>
      <c r="D1455" s="3" t="s">
        <v>68</v>
      </c>
      <c r="E1455" s="3" t="s">
        <v>100</v>
      </c>
      <c r="F1455" s="3" t="s">
        <v>1718</v>
      </c>
      <c r="G1455" s="7">
        <v>45854.18699842126</v>
      </c>
    </row>
    <row r="1456">
      <c r="A1456" s="3" t="s">
        <v>5192</v>
      </c>
      <c r="B1456" s="3" t="s">
        <v>864</v>
      </c>
      <c r="C1456" s="3" t="s">
        <v>1342</v>
      </c>
      <c r="D1456" s="3" t="s">
        <v>68</v>
      </c>
      <c r="E1456" s="3" t="s">
        <v>100</v>
      </c>
      <c r="F1456" s="3" t="s">
        <v>1815</v>
      </c>
      <c r="G1456" s="7">
        <v>45854.25817326667</v>
      </c>
    </row>
    <row r="1457">
      <c r="A1457" s="3" t="s">
        <v>5195</v>
      </c>
      <c r="B1457" s="3" t="s">
        <v>436</v>
      </c>
      <c r="C1457" s="3" t="s">
        <v>1342</v>
      </c>
      <c r="D1457" s="3" t="s">
        <v>195</v>
      </c>
      <c r="E1457" s="3" t="s">
        <v>45</v>
      </c>
      <c r="F1457" s="3" t="s">
        <v>1629</v>
      </c>
      <c r="G1457" s="7">
        <v>45854.329348112085</v>
      </c>
    </row>
    <row r="1458">
      <c r="A1458" s="3" t="s">
        <v>5199</v>
      </c>
      <c r="B1458" s="3" t="s">
        <v>141</v>
      </c>
      <c r="C1458" s="3" t="s">
        <v>56</v>
      </c>
      <c r="D1458" s="3" t="s">
        <v>68</v>
      </c>
      <c r="E1458" s="3" t="s">
        <v>100</v>
      </c>
      <c r="F1458" s="3" t="s">
        <v>1988</v>
      </c>
      <c r="G1458" s="7">
        <v>45854.400522957505</v>
      </c>
    </row>
    <row r="1459">
      <c r="A1459" s="3" t="s">
        <v>5207</v>
      </c>
      <c r="B1459" s="3" t="s">
        <v>219</v>
      </c>
      <c r="C1459" s="3" t="s">
        <v>1342</v>
      </c>
      <c r="D1459" s="3" t="s">
        <v>68</v>
      </c>
      <c r="E1459" s="3" t="s">
        <v>100</v>
      </c>
      <c r="F1459" s="3" t="s">
        <v>1969</v>
      </c>
      <c r="G1459" s="7">
        <v>45854.47169780292</v>
      </c>
    </row>
    <row r="1460">
      <c r="A1460" s="3" t="s">
        <v>5210</v>
      </c>
      <c r="B1460" s="3" t="s">
        <v>1021</v>
      </c>
      <c r="C1460" s="3" t="s">
        <v>56</v>
      </c>
      <c r="D1460" s="3" t="s">
        <v>195</v>
      </c>
      <c r="E1460" s="3" t="s">
        <v>45</v>
      </c>
      <c r="F1460" s="3" t="s">
        <v>45</v>
      </c>
      <c r="G1460" s="7">
        <v>45854.54287264833</v>
      </c>
    </row>
    <row r="1461">
      <c r="A1461" s="3" t="s">
        <v>5212</v>
      </c>
      <c r="B1461" s="3" t="s">
        <v>179</v>
      </c>
      <c r="C1461" s="3" t="s">
        <v>1342</v>
      </c>
      <c r="D1461" s="3" t="s">
        <v>68</v>
      </c>
      <c r="E1461" s="3" t="s">
        <v>100</v>
      </c>
      <c r="F1461" s="3" t="s">
        <v>1939</v>
      </c>
      <c r="G1461" s="7">
        <v>45854.61404749375</v>
      </c>
    </row>
    <row r="1462">
      <c r="A1462" s="3" t="s">
        <v>5216</v>
      </c>
      <c r="B1462" s="3" t="s">
        <v>269</v>
      </c>
      <c r="C1462" s="3" t="s">
        <v>56</v>
      </c>
      <c r="D1462" s="3" t="s">
        <v>68</v>
      </c>
      <c r="E1462" s="3" t="s">
        <v>100</v>
      </c>
      <c r="F1462" s="3" t="s">
        <v>1989</v>
      </c>
      <c r="G1462" s="7">
        <v>45854.68522233917</v>
      </c>
    </row>
    <row r="1463">
      <c r="A1463" s="3" t="s">
        <v>5220</v>
      </c>
      <c r="B1463" s="3" t="s">
        <v>760</v>
      </c>
      <c r="C1463" s="3" t="s">
        <v>1342</v>
      </c>
      <c r="D1463" s="3" t="s">
        <v>68</v>
      </c>
      <c r="E1463" s="3" t="s">
        <v>100</v>
      </c>
      <c r="F1463" s="3" t="s">
        <v>1614</v>
      </c>
      <c r="G1463" s="7">
        <v>45854.756397184574</v>
      </c>
    </row>
    <row r="1464">
      <c r="A1464" s="3" t="s">
        <v>5223</v>
      </c>
      <c r="B1464" s="3" t="s">
        <v>183</v>
      </c>
      <c r="C1464" s="3" t="s">
        <v>1342</v>
      </c>
      <c r="D1464" s="3" t="s">
        <v>181</v>
      </c>
      <c r="E1464" s="3" t="s">
        <v>45</v>
      </c>
      <c r="F1464" s="3" t="s">
        <v>1488</v>
      </c>
      <c r="G1464" s="7">
        <v>45854.82757202999</v>
      </c>
    </row>
    <row r="1465">
      <c r="A1465" s="3" t="s">
        <v>5227</v>
      </c>
      <c r="B1465" s="3" t="s">
        <v>591</v>
      </c>
      <c r="C1465" s="3" t="s">
        <v>1095</v>
      </c>
      <c r="D1465" s="3" t="s">
        <v>68</v>
      </c>
      <c r="E1465" s="3" t="s">
        <v>100</v>
      </c>
      <c r="F1465" s="3" t="s">
        <v>1586</v>
      </c>
      <c r="G1465" s="7">
        <v>45854.898746875406</v>
      </c>
    </row>
    <row r="1466">
      <c r="A1466" s="3" t="s">
        <v>5231</v>
      </c>
      <c r="B1466" s="3" t="s">
        <v>593</v>
      </c>
      <c r="C1466" s="3" t="s">
        <v>1342</v>
      </c>
      <c r="D1466" s="3" t="s">
        <v>68</v>
      </c>
      <c r="E1466" s="3" t="s">
        <v>100</v>
      </c>
      <c r="F1466" s="3" t="s">
        <v>1598</v>
      </c>
      <c r="G1466" s="7">
        <v>45854.969921720825</v>
      </c>
    </row>
    <row r="1467">
      <c r="A1467" s="3" t="s">
        <v>5234</v>
      </c>
      <c r="B1467" s="3" t="s">
        <v>886</v>
      </c>
      <c r="C1467" s="3" t="s">
        <v>56</v>
      </c>
      <c r="D1467" s="3" t="s">
        <v>68</v>
      </c>
      <c r="E1467" s="3" t="s">
        <v>100</v>
      </c>
      <c r="F1467" s="3" t="s">
        <v>1992</v>
      </c>
      <c r="G1467" s="7">
        <v>45855.04109656624</v>
      </c>
    </row>
    <row r="1468">
      <c r="A1468" s="3" t="s">
        <v>5237</v>
      </c>
      <c r="B1468" s="3" t="s">
        <v>527</v>
      </c>
      <c r="C1468" s="3" t="s">
        <v>56</v>
      </c>
      <c r="D1468" s="3" t="s">
        <v>195</v>
      </c>
      <c r="E1468" s="3" t="s">
        <v>45</v>
      </c>
      <c r="F1468" s="3" t="s">
        <v>45</v>
      </c>
      <c r="G1468" s="7">
        <v>45855.11227141166</v>
      </c>
    </row>
    <row r="1469">
      <c r="A1469" s="3" t="s">
        <v>5241</v>
      </c>
      <c r="B1469" s="3" t="s">
        <v>527</v>
      </c>
      <c r="C1469" s="3" t="s">
        <v>56</v>
      </c>
      <c r="D1469" s="3" t="s">
        <v>68</v>
      </c>
      <c r="E1469" s="3" t="s">
        <v>100</v>
      </c>
      <c r="F1469" s="3" t="s">
        <v>1993</v>
      </c>
      <c r="G1469" s="7">
        <v>45855.18344625707</v>
      </c>
    </row>
    <row r="1470">
      <c r="A1470" s="3" t="s">
        <v>5243</v>
      </c>
      <c r="B1470" s="3" t="s">
        <v>652</v>
      </c>
      <c r="C1470" s="3" t="s">
        <v>56</v>
      </c>
      <c r="D1470" s="3" t="s">
        <v>68</v>
      </c>
      <c r="E1470" s="3" t="s">
        <v>100</v>
      </c>
      <c r="F1470" s="3" t="s">
        <v>1997</v>
      </c>
      <c r="G1470" s="7">
        <v>45855.25462110248</v>
      </c>
    </row>
    <row r="1471">
      <c r="A1471" s="3" t="s">
        <v>5246</v>
      </c>
      <c r="B1471" s="3" t="s">
        <v>135</v>
      </c>
      <c r="C1471" s="3" t="s">
        <v>1095</v>
      </c>
      <c r="D1471" s="3" t="s">
        <v>68</v>
      </c>
      <c r="E1471" s="3" t="s">
        <v>100</v>
      </c>
      <c r="F1471" s="3" t="s">
        <v>1485</v>
      </c>
      <c r="G1471" s="7">
        <v>45855.3257959479</v>
      </c>
    </row>
    <row r="1472">
      <c r="A1472" s="3" t="s">
        <v>5249</v>
      </c>
      <c r="B1472" s="3" t="s">
        <v>793</v>
      </c>
      <c r="C1472" s="3" t="s">
        <v>1095</v>
      </c>
      <c r="D1472" s="3" t="s">
        <v>68</v>
      </c>
      <c r="E1472" s="3" t="s">
        <v>100</v>
      </c>
      <c r="F1472" s="3" t="s">
        <v>1712</v>
      </c>
      <c r="G1472" s="7">
        <v>45855.396970793314</v>
      </c>
    </row>
    <row r="1473">
      <c r="A1473" s="3" t="s">
        <v>5252</v>
      </c>
      <c r="B1473" s="3" t="s">
        <v>1043</v>
      </c>
      <c r="C1473" s="3" t="s">
        <v>1095</v>
      </c>
      <c r="D1473" s="3" t="s">
        <v>68</v>
      </c>
      <c r="E1473" s="3" t="s">
        <v>100</v>
      </c>
      <c r="F1473" s="3" t="s">
        <v>1560</v>
      </c>
      <c r="G1473" s="7">
        <v>45855.468145638726</v>
      </c>
    </row>
    <row r="1474">
      <c r="A1474" s="3" t="s">
        <v>5255</v>
      </c>
      <c r="B1474" s="3" t="s">
        <v>466</v>
      </c>
      <c r="C1474" s="3" t="s">
        <v>1342</v>
      </c>
      <c r="D1474" s="3" t="s">
        <v>68</v>
      </c>
      <c r="E1474" s="3" t="s">
        <v>100</v>
      </c>
      <c r="F1474" s="3" t="s">
        <v>1114</v>
      </c>
      <c r="G1474" s="7">
        <v>45855.539320484146</v>
      </c>
    </row>
    <row r="1475">
      <c r="A1475" s="3" t="s">
        <v>5258</v>
      </c>
      <c r="B1475" s="3" t="s">
        <v>939</v>
      </c>
      <c r="C1475" s="3" t="s">
        <v>1342</v>
      </c>
      <c r="D1475" s="3" t="s">
        <v>68</v>
      </c>
      <c r="E1475" s="3" t="s">
        <v>100</v>
      </c>
      <c r="F1475" s="3" t="s">
        <v>1291</v>
      </c>
      <c r="G1475" s="7">
        <v>45855.61049532956</v>
      </c>
    </row>
    <row r="1476">
      <c r="A1476" s="3" t="s">
        <v>5261</v>
      </c>
      <c r="B1476" s="3" t="s">
        <v>460</v>
      </c>
      <c r="C1476" s="3" t="s">
        <v>1095</v>
      </c>
      <c r="D1476" s="3" t="s">
        <v>68</v>
      </c>
      <c r="E1476" s="3" t="s">
        <v>100</v>
      </c>
      <c r="F1476" s="3" t="s">
        <v>668</v>
      </c>
      <c r="G1476" s="7">
        <v>45855.68167017497</v>
      </c>
    </row>
    <row r="1477">
      <c r="A1477" s="3" t="s">
        <v>5264</v>
      </c>
      <c r="B1477" s="3" t="s">
        <v>141</v>
      </c>
      <c r="C1477" s="3" t="s">
        <v>1342</v>
      </c>
      <c r="D1477" s="3" t="s">
        <v>68</v>
      </c>
      <c r="E1477" s="3" t="s">
        <v>100</v>
      </c>
      <c r="F1477" s="3" t="s">
        <v>1988</v>
      </c>
      <c r="G1477" s="7">
        <v>45855.75284502039</v>
      </c>
    </row>
    <row r="1478">
      <c r="A1478" s="3" t="s">
        <v>5267</v>
      </c>
      <c r="B1478" s="3" t="s">
        <v>162</v>
      </c>
      <c r="C1478" s="3" t="s">
        <v>1095</v>
      </c>
      <c r="D1478" s="3" t="s">
        <v>68</v>
      </c>
      <c r="E1478" s="3" t="s">
        <v>100</v>
      </c>
      <c r="F1478" s="3" t="s">
        <v>1916</v>
      </c>
      <c r="G1478" s="7">
        <v>45855.82401986581</v>
      </c>
    </row>
    <row r="1479">
      <c r="A1479" s="3" t="s">
        <v>5270</v>
      </c>
      <c r="B1479" s="3" t="s">
        <v>565</v>
      </c>
      <c r="C1479" s="3" t="s">
        <v>1342</v>
      </c>
      <c r="D1479" s="3" t="s">
        <v>181</v>
      </c>
      <c r="E1479" s="3" t="s">
        <v>45</v>
      </c>
      <c r="F1479" s="3" t="s">
        <v>1322</v>
      </c>
      <c r="G1479" s="7">
        <v>45855.895194711215</v>
      </c>
    </row>
    <row r="1480">
      <c r="A1480" s="3" t="s">
        <v>5273</v>
      </c>
      <c r="B1480" s="3" t="s">
        <v>530</v>
      </c>
      <c r="C1480" s="3" t="s">
        <v>1342</v>
      </c>
      <c r="D1480" s="3" t="s">
        <v>181</v>
      </c>
      <c r="E1480" s="3" t="s">
        <v>45</v>
      </c>
      <c r="F1480" s="3" t="s">
        <v>1557</v>
      </c>
      <c r="G1480" s="7">
        <v>45855.966369556634</v>
      </c>
    </row>
    <row r="1481">
      <c r="A1481" s="3" t="s">
        <v>5276</v>
      </c>
      <c r="B1481" s="3" t="s">
        <v>250</v>
      </c>
      <c r="C1481" s="3" t="s">
        <v>1342</v>
      </c>
      <c r="D1481" s="3" t="s">
        <v>68</v>
      </c>
      <c r="E1481" s="3" t="s">
        <v>100</v>
      </c>
      <c r="F1481" s="3" t="s">
        <v>1804</v>
      </c>
      <c r="G1481" s="7">
        <v>45856.037544402054</v>
      </c>
    </row>
    <row r="1482">
      <c r="A1482" s="3" t="s">
        <v>5279</v>
      </c>
      <c r="B1482" s="3" t="s">
        <v>377</v>
      </c>
      <c r="C1482" s="3" t="s">
        <v>56</v>
      </c>
      <c r="D1482" s="3" t="s">
        <v>68</v>
      </c>
      <c r="E1482" s="3" t="s">
        <v>100</v>
      </c>
      <c r="F1482" s="3" t="s">
        <v>1999</v>
      </c>
      <c r="G1482" s="7">
        <v>45856.108719247466</v>
      </c>
    </row>
    <row r="1483">
      <c r="A1483" s="3" t="s">
        <v>5282</v>
      </c>
      <c r="B1483" s="3" t="s">
        <v>939</v>
      </c>
      <c r="C1483" s="3" t="s">
        <v>1342</v>
      </c>
      <c r="D1483" s="3" t="s">
        <v>68</v>
      </c>
      <c r="E1483" s="3" t="s">
        <v>100</v>
      </c>
      <c r="F1483" s="3" t="s">
        <v>1291</v>
      </c>
      <c r="G1483" s="7">
        <v>45856.17989409288</v>
      </c>
    </row>
    <row r="1484">
      <c r="A1484" s="3" t="s">
        <v>5285</v>
      </c>
      <c r="B1484" s="3" t="s">
        <v>341</v>
      </c>
      <c r="C1484" s="3" t="s">
        <v>56</v>
      </c>
      <c r="D1484" s="3" t="s">
        <v>68</v>
      </c>
      <c r="E1484" s="3" t="s">
        <v>100</v>
      </c>
      <c r="F1484" s="3" t="s">
        <v>2001</v>
      </c>
      <c r="G1484" s="7">
        <v>45856.2510689383</v>
      </c>
    </row>
    <row r="1485">
      <c r="A1485" s="3" t="s">
        <v>5288</v>
      </c>
      <c r="B1485" s="3" t="s">
        <v>236</v>
      </c>
      <c r="C1485" s="3" t="s">
        <v>1095</v>
      </c>
      <c r="D1485" s="3" t="s">
        <v>68</v>
      </c>
      <c r="E1485" s="3" t="s">
        <v>100</v>
      </c>
      <c r="F1485" s="3" t="s">
        <v>1383</v>
      </c>
      <c r="G1485" s="7">
        <v>45856.32224378371</v>
      </c>
    </row>
    <row r="1486">
      <c r="A1486" s="3" t="s">
        <v>5292</v>
      </c>
      <c r="B1486" s="3" t="s">
        <v>505</v>
      </c>
      <c r="C1486" s="3" t="s">
        <v>1095</v>
      </c>
      <c r="D1486" s="3" t="s">
        <v>181</v>
      </c>
      <c r="E1486" s="3" t="s">
        <v>45</v>
      </c>
      <c r="F1486" s="3" t="s">
        <v>1848</v>
      </c>
      <c r="G1486" s="7">
        <v>45856.39341862912</v>
      </c>
    </row>
    <row r="1487">
      <c r="A1487" s="3" t="s">
        <v>5296</v>
      </c>
      <c r="B1487" s="3" t="s">
        <v>348</v>
      </c>
      <c r="C1487" s="3" t="s">
        <v>1095</v>
      </c>
      <c r="D1487" s="3" t="s">
        <v>68</v>
      </c>
      <c r="E1487" s="3" t="s">
        <v>100</v>
      </c>
      <c r="F1487" s="3" t="s">
        <v>1690</v>
      </c>
      <c r="G1487" s="7">
        <v>45856.46459347454</v>
      </c>
    </row>
    <row r="1488">
      <c r="A1488" s="3" t="s">
        <v>5299</v>
      </c>
      <c r="B1488" s="3" t="s">
        <v>313</v>
      </c>
      <c r="C1488" s="3" t="s">
        <v>1095</v>
      </c>
      <c r="D1488" s="3" t="s">
        <v>68</v>
      </c>
      <c r="E1488" s="3" t="s">
        <v>100</v>
      </c>
      <c r="F1488" s="3" t="s">
        <v>1100</v>
      </c>
      <c r="G1488" s="7">
        <v>45856.53576831996</v>
      </c>
    </row>
    <row r="1489">
      <c r="A1489" s="3" t="s">
        <v>5302</v>
      </c>
      <c r="B1489" s="3" t="s">
        <v>280</v>
      </c>
      <c r="C1489" s="3" t="s">
        <v>1342</v>
      </c>
      <c r="D1489" s="3" t="s">
        <v>68</v>
      </c>
      <c r="E1489" s="3" t="s">
        <v>100</v>
      </c>
      <c r="F1489" s="3" t="s">
        <v>1431</v>
      </c>
      <c r="G1489" s="7">
        <v>45856.60694316537</v>
      </c>
    </row>
    <row r="1490">
      <c r="A1490" s="3" t="s">
        <v>5306</v>
      </c>
      <c r="B1490" s="3" t="s">
        <v>236</v>
      </c>
      <c r="C1490" s="3" t="s">
        <v>56</v>
      </c>
      <c r="D1490" s="3" t="s">
        <v>68</v>
      </c>
      <c r="E1490" s="3" t="s">
        <v>100</v>
      </c>
      <c r="F1490" s="3" t="s">
        <v>2004</v>
      </c>
      <c r="G1490" s="7">
        <v>45856.67811801079</v>
      </c>
    </row>
    <row r="1491">
      <c r="A1491" s="3" t="s">
        <v>5310</v>
      </c>
      <c r="B1491" s="3" t="s">
        <v>247</v>
      </c>
      <c r="C1491" s="3" t="s">
        <v>1342</v>
      </c>
      <c r="D1491" s="3" t="s">
        <v>68</v>
      </c>
      <c r="E1491" s="3" t="s">
        <v>100</v>
      </c>
      <c r="F1491" s="3" t="s">
        <v>1380</v>
      </c>
      <c r="G1491" s="7">
        <v>45856.7492928562</v>
      </c>
    </row>
    <row r="1492">
      <c r="A1492" s="3" t="s">
        <v>5313</v>
      </c>
      <c r="B1492" s="3" t="s">
        <v>643</v>
      </c>
      <c r="C1492" s="3" t="s">
        <v>1095</v>
      </c>
      <c r="D1492" s="3" t="s">
        <v>68</v>
      </c>
      <c r="E1492" s="3" t="s">
        <v>100</v>
      </c>
      <c r="F1492" s="3" t="s">
        <v>1718</v>
      </c>
      <c r="G1492" s="7">
        <v>45856.82046770162</v>
      </c>
    </row>
    <row r="1493">
      <c r="A1493" s="3" t="s">
        <v>5316</v>
      </c>
      <c r="B1493" s="3" t="s">
        <v>752</v>
      </c>
      <c r="C1493" s="3" t="s">
        <v>1095</v>
      </c>
      <c r="D1493" s="3" t="s">
        <v>68</v>
      </c>
      <c r="E1493" s="3" t="s">
        <v>100</v>
      </c>
      <c r="F1493" s="3" t="s">
        <v>1929</v>
      </c>
      <c r="G1493" s="7">
        <v>45856.89164254703</v>
      </c>
    </row>
    <row r="1494">
      <c r="A1494" s="3" t="s">
        <v>5319</v>
      </c>
      <c r="B1494" s="3" t="s">
        <v>523</v>
      </c>
      <c r="C1494" s="3" t="s">
        <v>1342</v>
      </c>
      <c r="D1494" s="3" t="s">
        <v>68</v>
      </c>
      <c r="E1494" s="3" t="s">
        <v>100</v>
      </c>
      <c r="F1494" s="3" t="s">
        <v>1894</v>
      </c>
      <c r="G1494" s="7">
        <v>45856.96281739245</v>
      </c>
    </row>
    <row r="1495">
      <c r="A1495" s="3" t="s">
        <v>5322</v>
      </c>
      <c r="B1495" s="3" t="s">
        <v>472</v>
      </c>
      <c r="C1495" s="3" t="s">
        <v>1342</v>
      </c>
      <c r="D1495" s="3" t="s">
        <v>68</v>
      </c>
      <c r="E1495" s="3" t="s">
        <v>100</v>
      </c>
      <c r="F1495" s="3" t="s">
        <v>1501</v>
      </c>
      <c r="G1495" s="7">
        <v>45857.033992237855</v>
      </c>
    </row>
    <row r="1496">
      <c r="A1496" s="3" t="s">
        <v>5325</v>
      </c>
      <c r="B1496" s="3" t="s">
        <v>596</v>
      </c>
      <c r="C1496" s="3" t="s">
        <v>1095</v>
      </c>
      <c r="D1496" s="3" t="s">
        <v>68</v>
      </c>
      <c r="E1496" s="3" t="s">
        <v>100</v>
      </c>
      <c r="F1496" s="3" t="s">
        <v>1549</v>
      </c>
      <c r="G1496" s="7">
        <v>45857.105167083275</v>
      </c>
    </row>
    <row r="1497">
      <c r="A1497" s="3" t="s">
        <v>5328</v>
      </c>
      <c r="B1497" s="3" t="s">
        <v>319</v>
      </c>
      <c r="C1497" s="3" t="s">
        <v>56</v>
      </c>
      <c r="D1497" s="3" t="s">
        <v>181</v>
      </c>
      <c r="E1497" s="3" t="s">
        <v>45</v>
      </c>
      <c r="F1497" s="3" t="s">
        <v>45</v>
      </c>
      <c r="G1497" s="7">
        <v>45857.176341928694</v>
      </c>
    </row>
    <row r="1498">
      <c r="A1498" s="3" t="s">
        <v>5331</v>
      </c>
      <c r="B1498" s="3" t="s">
        <v>929</v>
      </c>
      <c r="C1498" s="3" t="s">
        <v>1342</v>
      </c>
      <c r="D1498" s="3" t="s">
        <v>68</v>
      </c>
      <c r="E1498" s="3" t="s">
        <v>100</v>
      </c>
      <c r="F1498" s="3" t="s">
        <v>1161</v>
      </c>
      <c r="G1498" s="7">
        <v>45857.24751677411</v>
      </c>
    </row>
    <row r="1499">
      <c r="A1499" s="3" t="s">
        <v>5334</v>
      </c>
      <c r="B1499" s="3" t="s">
        <v>587</v>
      </c>
      <c r="C1499" s="3" t="s">
        <v>1095</v>
      </c>
      <c r="D1499" s="3" t="s">
        <v>68</v>
      </c>
      <c r="E1499" s="3" t="s">
        <v>100</v>
      </c>
      <c r="F1499" s="3" t="s">
        <v>1951</v>
      </c>
      <c r="G1499" s="7">
        <v>45857.31869161952</v>
      </c>
    </row>
    <row r="1500">
      <c r="A1500" s="3" t="s">
        <v>5337</v>
      </c>
      <c r="B1500" s="3" t="s">
        <v>980</v>
      </c>
      <c r="C1500" s="3" t="s">
        <v>1095</v>
      </c>
      <c r="D1500" s="3" t="s">
        <v>68</v>
      </c>
      <c r="E1500" s="3" t="s">
        <v>100</v>
      </c>
      <c r="F1500" s="3" t="s">
        <v>1025</v>
      </c>
      <c r="G1500" s="7">
        <v>45857.38986646494</v>
      </c>
    </row>
    <row r="1501">
      <c r="A1501" s="3" t="s">
        <v>5340</v>
      </c>
      <c r="B1501" s="3" t="s">
        <v>505</v>
      </c>
      <c r="C1501" s="3" t="s">
        <v>1095</v>
      </c>
      <c r="D1501" s="3" t="s">
        <v>68</v>
      </c>
      <c r="E1501" s="3" t="s">
        <v>100</v>
      </c>
      <c r="F1501" s="3" t="s">
        <v>1848</v>
      </c>
      <c r="G1501" s="7">
        <v>45857.46104131035</v>
      </c>
    </row>
    <row r="1502">
      <c r="A1502" s="3" t="s">
        <v>5344</v>
      </c>
      <c r="B1502" s="3" t="s">
        <v>953</v>
      </c>
      <c r="C1502" s="3" t="s">
        <v>56</v>
      </c>
      <c r="D1502" s="3" t="s">
        <v>68</v>
      </c>
      <c r="E1502" s="3" t="s">
        <v>100</v>
      </c>
      <c r="F1502" s="3" t="s">
        <v>2006</v>
      </c>
      <c r="G1502" s="7">
        <v>45857.53221615576</v>
      </c>
    </row>
    <row r="1503">
      <c r="A1503" s="3" t="s">
        <v>5348</v>
      </c>
      <c r="B1503" s="3" t="s">
        <v>676</v>
      </c>
      <c r="C1503" s="3" t="s">
        <v>56</v>
      </c>
      <c r="D1503" s="3" t="s">
        <v>68</v>
      </c>
      <c r="E1503" s="3" t="s">
        <v>100</v>
      </c>
      <c r="F1503" s="3" t="s">
        <v>2009</v>
      </c>
      <c r="G1503" s="7">
        <v>45857.60339100118</v>
      </c>
    </row>
    <row r="1504">
      <c r="A1504" s="3" t="s">
        <v>5351</v>
      </c>
      <c r="B1504" s="3" t="s">
        <v>168</v>
      </c>
      <c r="C1504" s="3" t="s">
        <v>1342</v>
      </c>
      <c r="D1504" s="3" t="s">
        <v>68</v>
      </c>
      <c r="E1504" s="3" t="s">
        <v>100</v>
      </c>
      <c r="F1504" s="3" t="s">
        <v>1925</v>
      </c>
      <c r="G1504" s="7">
        <v>45857.6745658466</v>
      </c>
    </row>
    <row r="1505">
      <c r="A1505" s="3" t="s">
        <v>5354</v>
      </c>
      <c r="B1505" s="3" t="s">
        <v>530</v>
      </c>
      <c r="C1505" s="3" t="s">
        <v>1095</v>
      </c>
      <c r="D1505" s="3" t="s">
        <v>195</v>
      </c>
      <c r="E1505" s="3" t="s">
        <v>45</v>
      </c>
      <c r="F1505" s="3" t="s">
        <v>1557</v>
      </c>
      <c r="G1505" s="7">
        <v>45857.74574069201</v>
      </c>
    </row>
    <row r="1506">
      <c r="A1506" s="3" t="s">
        <v>5357</v>
      </c>
      <c r="B1506" s="3" t="s">
        <v>640</v>
      </c>
      <c r="C1506" s="3" t="s">
        <v>1342</v>
      </c>
      <c r="D1506" s="3" t="s">
        <v>68</v>
      </c>
      <c r="E1506" s="3" t="s">
        <v>100</v>
      </c>
      <c r="F1506" s="3" t="s">
        <v>1650</v>
      </c>
      <c r="G1506" s="7">
        <v>45857.81691553743</v>
      </c>
    </row>
    <row r="1507">
      <c r="A1507" s="3" t="s">
        <v>5360</v>
      </c>
      <c r="B1507" s="3" t="s">
        <v>682</v>
      </c>
      <c r="C1507" s="3" t="s">
        <v>56</v>
      </c>
      <c r="D1507" s="3" t="s">
        <v>68</v>
      </c>
      <c r="E1507" s="3" t="s">
        <v>100</v>
      </c>
      <c r="F1507" s="3" t="s">
        <v>2013</v>
      </c>
      <c r="G1507" s="7">
        <v>45857.88809038284</v>
      </c>
    </row>
    <row r="1508">
      <c r="A1508" s="3" t="s">
        <v>5362</v>
      </c>
      <c r="B1508" s="3" t="s">
        <v>922</v>
      </c>
      <c r="C1508" s="3" t="s">
        <v>1342</v>
      </c>
      <c r="D1508" s="3" t="s">
        <v>68</v>
      </c>
      <c r="E1508" s="3" t="s">
        <v>100</v>
      </c>
      <c r="F1508" s="3" t="s">
        <v>1907</v>
      </c>
      <c r="G1508" s="7">
        <v>45857.95926522826</v>
      </c>
    </row>
    <row r="1509">
      <c r="A1509" s="3" t="s">
        <v>5365</v>
      </c>
      <c r="B1509" s="3" t="s">
        <v>895</v>
      </c>
      <c r="C1509" s="3" t="s">
        <v>1342</v>
      </c>
      <c r="D1509" s="3" t="s">
        <v>68</v>
      </c>
      <c r="E1509" s="3" t="s">
        <v>100</v>
      </c>
      <c r="F1509" s="3" t="s">
        <v>1857</v>
      </c>
      <c r="G1509" s="7">
        <v>45858.03044007367</v>
      </c>
    </row>
    <row r="1510">
      <c r="A1510" s="3" t="s">
        <v>5368</v>
      </c>
      <c r="B1510" s="3" t="s">
        <v>466</v>
      </c>
      <c r="C1510" s="3" t="s">
        <v>1342</v>
      </c>
      <c r="D1510" s="3" t="s">
        <v>68</v>
      </c>
      <c r="E1510" s="3" t="s">
        <v>100</v>
      </c>
      <c r="F1510" s="3" t="s">
        <v>1114</v>
      </c>
      <c r="G1510" s="7">
        <v>45858.10161491909</v>
      </c>
    </row>
    <row r="1511">
      <c r="A1511" s="3" t="s">
        <v>5371</v>
      </c>
      <c r="B1511" s="3" t="s">
        <v>1030</v>
      </c>
      <c r="C1511" s="3" t="s">
        <v>1342</v>
      </c>
      <c r="D1511" s="3" t="s">
        <v>68</v>
      </c>
      <c r="E1511" s="3" t="s">
        <v>100</v>
      </c>
      <c r="F1511" s="3" t="s">
        <v>1092</v>
      </c>
      <c r="G1511" s="7">
        <v>45858.1727897645</v>
      </c>
    </row>
    <row r="1512">
      <c r="A1512" s="3" t="s">
        <v>5375</v>
      </c>
      <c r="B1512" s="3" t="s">
        <v>446</v>
      </c>
      <c r="C1512" s="3" t="s">
        <v>1342</v>
      </c>
      <c r="D1512" s="3" t="s">
        <v>68</v>
      </c>
      <c r="E1512" s="3" t="s">
        <v>100</v>
      </c>
      <c r="F1512" s="3" t="s">
        <v>1884</v>
      </c>
      <c r="G1512" s="7">
        <v>45858.243964609916</v>
      </c>
    </row>
    <row r="1513">
      <c r="A1513" s="3" t="s">
        <v>5378</v>
      </c>
      <c r="B1513" s="3" t="s">
        <v>539</v>
      </c>
      <c r="C1513" s="3" t="s">
        <v>1342</v>
      </c>
      <c r="D1513" s="3" t="s">
        <v>68</v>
      </c>
      <c r="E1513" s="3" t="s">
        <v>100</v>
      </c>
      <c r="F1513" s="3" t="s">
        <v>1879</v>
      </c>
      <c r="G1513" s="7">
        <v>45858.315139455335</v>
      </c>
    </row>
    <row r="1514">
      <c r="A1514" s="3" t="s">
        <v>5382</v>
      </c>
      <c r="B1514" s="3" t="s">
        <v>406</v>
      </c>
      <c r="C1514" s="3" t="s">
        <v>1095</v>
      </c>
      <c r="D1514" s="3" t="s">
        <v>68</v>
      </c>
      <c r="E1514" s="3" t="s">
        <v>100</v>
      </c>
      <c r="F1514" s="3" t="s">
        <v>1356</v>
      </c>
      <c r="G1514" s="7">
        <v>45858.38631430075</v>
      </c>
    </row>
    <row r="1515">
      <c r="A1515" s="3" t="s">
        <v>5385</v>
      </c>
      <c r="B1515" s="3" t="s">
        <v>916</v>
      </c>
      <c r="C1515" s="3" t="s">
        <v>1095</v>
      </c>
      <c r="D1515" s="3" t="s">
        <v>68</v>
      </c>
      <c r="E1515" s="3" t="s">
        <v>100</v>
      </c>
      <c r="F1515" s="3" t="s">
        <v>1762</v>
      </c>
      <c r="G1515" s="7">
        <v>45858.45748914616</v>
      </c>
    </row>
    <row r="1516">
      <c r="A1516" s="3" t="s">
        <v>5388</v>
      </c>
      <c r="B1516" s="3" t="s">
        <v>658</v>
      </c>
      <c r="C1516" s="3" t="s">
        <v>1095</v>
      </c>
      <c r="D1516" s="3" t="s">
        <v>68</v>
      </c>
      <c r="E1516" s="3" t="s">
        <v>100</v>
      </c>
      <c r="F1516" s="3" t="s">
        <v>1869</v>
      </c>
      <c r="G1516" s="7">
        <v>45858.52866399158</v>
      </c>
    </row>
    <row r="1517">
      <c r="A1517" s="3" t="s">
        <v>5392</v>
      </c>
      <c r="B1517" s="3" t="s">
        <v>156</v>
      </c>
      <c r="C1517" s="3" t="s">
        <v>1095</v>
      </c>
      <c r="D1517" s="3" t="s">
        <v>68</v>
      </c>
      <c r="E1517" s="3" t="s">
        <v>100</v>
      </c>
      <c r="F1517" s="3" t="s">
        <v>1701</v>
      </c>
      <c r="G1517" s="7">
        <v>45858.59983883699</v>
      </c>
    </row>
    <row r="1518">
      <c r="A1518" s="3" t="s">
        <v>5395</v>
      </c>
      <c r="B1518" s="3" t="s">
        <v>310</v>
      </c>
      <c r="C1518" s="3" t="s">
        <v>1342</v>
      </c>
      <c r="D1518" s="3" t="s">
        <v>68</v>
      </c>
      <c r="E1518" s="3" t="s">
        <v>100</v>
      </c>
      <c r="F1518" s="3" t="s">
        <v>1728</v>
      </c>
      <c r="G1518" s="7">
        <v>45858.671013682404</v>
      </c>
    </row>
    <row r="1519">
      <c r="A1519" s="3" t="s">
        <v>5398</v>
      </c>
      <c r="B1519" s="3" t="s">
        <v>493</v>
      </c>
      <c r="C1519" s="3" t="s">
        <v>1095</v>
      </c>
      <c r="D1519" s="3" t="s">
        <v>68</v>
      </c>
      <c r="E1519" s="3" t="s">
        <v>100</v>
      </c>
      <c r="F1519" s="3" t="s">
        <v>1019</v>
      </c>
      <c r="G1519" s="7">
        <v>45858.74218852782</v>
      </c>
    </row>
    <row r="1520">
      <c r="A1520" s="3" t="s">
        <v>5401</v>
      </c>
      <c r="B1520" s="3" t="s">
        <v>276</v>
      </c>
      <c r="C1520" s="3" t="s">
        <v>1095</v>
      </c>
      <c r="D1520" s="3" t="s">
        <v>68</v>
      </c>
      <c r="E1520" s="3" t="s">
        <v>100</v>
      </c>
      <c r="F1520" s="3" t="s">
        <v>1768</v>
      </c>
      <c r="G1520" s="7">
        <v>45858.81336337324</v>
      </c>
    </row>
    <row r="1521">
      <c r="A1521" s="3" t="s">
        <v>5404</v>
      </c>
      <c r="B1521" s="3" t="s">
        <v>581</v>
      </c>
      <c r="C1521" s="3" t="s">
        <v>1342</v>
      </c>
      <c r="D1521" s="3" t="s">
        <v>68</v>
      </c>
      <c r="E1521" s="3" t="s">
        <v>100</v>
      </c>
      <c r="F1521" s="3" t="s">
        <v>1892</v>
      </c>
      <c r="G1521" s="7">
        <v>45858.88453821865</v>
      </c>
    </row>
    <row r="1522">
      <c r="A1522" s="3" t="s">
        <v>5406</v>
      </c>
      <c r="B1522" s="3" t="s">
        <v>1021</v>
      </c>
      <c r="C1522" s="3" t="s">
        <v>56</v>
      </c>
      <c r="D1522" s="3" t="s">
        <v>68</v>
      </c>
      <c r="E1522" s="3" t="s">
        <v>100</v>
      </c>
      <c r="F1522" s="3" t="s">
        <v>2018</v>
      </c>
      <c r="G1522" s="7">
        <v>45858.95571306407</v>
      </c>
    </row>
    <row r="1523">
      <c r="A1523" s="3" t="s">
        <v>5408</v>
      </c>
      <c r="B1523" s="3" t="s">
        <v>165</v>
      </c>
      <c r="C1523" s="3" t="s">
        <v>56</v>
      </c>
      <c r="D1523" s="3" t="s">
        <v>68</v>
      </c>
      <c r="E1523" s="3" t="s">
        <v>100</v>
      </c>
      <c r="F1523" s="3" t="s">
        <v>2020</v>
      </c>
      <c r="G1523" s="7">
        <v>45859.02688790949</v>
      </c>
    </row>
    <row r="1524">
      <c r="A1524" s="3" t="s">
        <v>5410</v>
      </c>
      <c r="B1524" s="3" t="s">
        <v>535</v>
      </c>
      <c r="C1524" s="3" t="s">
        <v>1342</v>
      </c>
      <c r="D1524" s="3" t="s">
        <v>68</v>
      </c>
      <c r="E1524" s="3" t="s">
        <v>100</v>
      </c>
      <c r="F1524" s="3" t="s">
        <v>1860</v>
      </c>
      <c r="G1524" s="7">
        <v>45859.0980627549</v>
      </c>
    </row>
    <row r="1525">
      <c r="A1525" s="3" t="s">
        <v>5414</v>
      </c>
      <c r="B1525" s="3" t="s">
        <v>282</v>
      </c>
      <c r="C1525" s="3" t="s">
        <v>1095</v>
      </c>
      <c r="D1525" s="3" t="s">
        <v>68</v>
      </c>
      <c r="E1525" s="3" t="s">
        <v>100</v>
      </c>
      <c r="F1525" s="3" t="s">
        <v>1579</v>
      </c>
      <c r="G1525" s="7">
        <v>45859.16923760031</v>
      </c>
    </row>
    <row r="1526">
      <c r="A1526" s="3" t="s">
        <v>5416</v>
      </c>
      <c r="B1526" s="3" t="s">
        <v>1008</v>
      </c>
      <c r="C1526" s="3" t="s">
        <v>1342</v>
      </c>
      <c r="D1526" s="3" t="s">
        <v>68</v>
      </c>
      <c r="E1526" s="3" t="s">
        <v>100</v>
      </c>
      <c r="F1526" s="3" t="s">
        <v>1911</v>
      </c>
      <c r="G1526" s="7">
        <v>45859.24041244573</v>
      </c>
    </row>
    <row r="1527">
      <c r="A1527" s="3" t="s">
        <v>5419</v>
      </c>
      <c r="B1527" s="3" t="s">
        <v>980</v>
      </c>
      <c r="C1527" s="3" t="s">
        <v>56</v>
      </c>
      <c r="D1527" s="3" t="s">
        <v>181</v>
      </c>
      <c r="E1527" s="3" t="s">
        <v>45</v>
      </c>
      <c r="F1527" s="3" t="s">
        <v>45</v>
      </c>
      <c r="G1527" s="7">
        <v>45859.311587291144</v>
      </c>
    </row>
    <row r="1528">
      <c r="A1528" s="3" t="s">
        <v>5424</v>
      </c>
      <c r="B1528" s="3" t="s">
        <v>505</v>
      </c>
      <c r="C1528" s="3" t="s">
        <v>56</v>
      </c>
      <c r="D1528" s="3" t="s">
        <v>181</v>
      </c>
      <c r="E1528" s="3" t="s">
        <v>45</v>
      </c>
      <c r="F1528" s="3" t="s">
        <v>45</v>
      </c>
      <c r="G1528" s="7">
        <v>45859.382762136556</v>
      </c>
    </row>
    <row r="1529">
      <c r="A1529" s="3" t="s">
        <v>5427</v>
      </c>
      <c r="B1529" s="3" t="s">
        <v>860</v>
      </c>
      <c r="C1529" s="3" t="s">
        <v>1342</v>
      </c>
      <c r="D1529" s="3" t="s">
        <v>68</v>
      </c>
      <c r="E1529" s="3" t="s">
        <v>100</v>
      </c>
      <c r="F1529" s="3" t="s">
        <v>1751</v>
      </c>
      <c r="G1529" s="7">
        <v>45859.453936981976</v>
      </c>
    </row>
    <row r="1530">
      <c r="A1530" s="3" t="s">
        <v>5430</v>
      </c>
      <c r="B1530" s="3" t="s">
        <v>436</v>
      </c>
      <c r="C1530" s="3" t="s">
        <v>1095</v>
      </c>
      <c r="D1530" s="3" t="s">
        <v>68</v>
      </c>
      <c r="E1530" s="3" t="s">
        <v>100</v>
      </c>
      <c r="F1530" s="3" t="s">
        <v>1629</v>
      </c>
      <c r="G1530" s="7">
        <v>45859.52511182739</v>
      </c>
    </row>
    <row r="1531">
      <c r="A1531" s="3" t="s">
        <v>5433</v>
      </c>
      <c r="B1531" s="3" t="s">
        <v>756</v>
      </c>
      <c r="C1531" s="3" t="s">
        <v>56</v>
      </c>
      <c r="D1531" s="3" t="s">
        <v>181</v>
      </c>
      <c r="E1531" s="3" t="s">
        <v>45</v>
      </c>
      <c r="F1531" s="3" t="s">
        <v>45</v>
      </c>
      <c r="G1531" s="7">
        <v>45859.5962866728</v>
      </c>
    </row>
    <row r="1532">
      <c r="A1532" s="3" t="s">
        <v>5436</v>
      </c>
      <c r="B1532" s="3" t="s">
        <v>539</v>
      </c>
      <c r="C1532" s="3" t="s">
        <v>1095</v>
      </c>
      <c r="D1532" s="3" t="s">
        <v>68</v>
      </c>
      <c r="E1532" s="3" t="s">
        <v>100</v>
      </c>
      <c r="F1532" s="3" t="s">
        <v>1879</v>
      </c>
      <c r="G1532" s="7">
        <v>45859.66746151822</v>
      </c>
    </row>
    <row r="1533">
      <c r="A1533" s="3" t="s">
        <v>5439</v>
      </c>
      <c r="B1533" s="3" t="s">
        <v>498</v>
      </c>
      <c r="C1533" s="3" t="s">
        <v>1095</v>
      </c>
      <c r="D1533" s="3" t="s">
        <v>68</v>
      </c>
      <c r="E1533" s="3" t="s">
        <v>100</v>
      </c>
      <c r="F1533" s="3" t="s">
        <v>1738</v>
      </c>
      <c r="G1533" s="7">
        <v>45859.73863636363</v>
      </c>
    </row>
    <row r="1534">
      <c r="A1534" s="3" t="s">
        <v>5442</v>
      </c>
      <c r="B1534" s="3" t="s">
        <v>767</v>
      </c>
      <c r="C1534" s="3" t="s">
        <v>1342</v>
      </c>
      <c r="D1534" s="3" t="s">
        <v>181</v>
      </c>
      <c r="E1534" s="3" t="s">
        <v>45</v>
      </c>
      <c r="F1534" s="3" t="s">
        <v>1850</v>
      </c>
      <c r="G1534" s="7">
        <v>45859.80981120905</v>
      </c>
    </row>
    <row r="1535">
      <c r="A1535" s="3" t="s">
        <v>5444</v>
      </c>
      <c r="B1535" s="3" t="s">
        <v>1021</v>
      </c>
      <c r="C1535" s="3" t="s">
        <v>1342</v>
      </c>
      <c r="D1535" s="3" t="s">
        <v>68</v>
      </c>
      <c r="E1535" s="3" t="s">
        <v>100</v>
      </c>
      <c r="F1535" s="3" t="s">
        <v>2018</v>
      </c>
      <c r="G1535" s="7">
        <v>45859.880986054464</v>
      </c>
    </row>
    <row r="1536">
      <c r="A1536" s="3" t="s">
        <v>5447</v>
      </c>
      <c r="B1536" s="3" t="s">
        <v>751</v>
      </c>
      <c r="C1536" s="3" t="s">
        <v>1342</v>
      </c>
      <c r="D1536" s="3" t="s">
        <v>68</v>
      </c>
      <c r="E1536" s="3" t="s">
        <v>100</v>
      </c>
      <c r="F1536" s="3" t="s">
        <v>1684</v>
      </c>
      <c r="G1536" s="7">
        <v>45859.952160899884</v>
      </c>
    </row>
    <row r="1537">
      <c r="A1537" s="3" t="s">
        <v>5449</v>
      </c>
      <c r="B1537" s="3" t="s">
        <v>1034</v>
      </c>
      <c r="C1537" s="3" t="s">
        <v>1095</v>
      </c>
      <c r="D1537" s="3" t="s">
        <v>195</v>
      </c>
      <c r="E1537" s="3" t="s">
        <v>45</v>
      </c>
      <c r="F1537" s="3" t="s">
        <v>1966</v>
      </c>
      <c r="G1537" s="7">
        <v>45860.02333574529</v>
      </c>
    </row>
    <row r="1538">
      <c r="A1538" s="3" t="s">
        <v>5452</v>
      </c>
      <c r="B1538" s="3" t="s">
        <v>965</v>
      </c>
      <c r="C1538" s="3" t="s">
        <v>1095</v>
      </c>
      <c r="D1538" s="3" t="s">
        <v>68</v>
      </c>
      <c r="E1538" s="3" t="s">
        <v>100</v>
      </c>
      <c r="F1538" s="3" t="s">
        <v>705</v>
      </c>
      <c r="G1538" s="7">
        <v>45860.09451059071</v>
      </c>
    </row>
    <row r="1539">
      <c r="A1539" s="3" t="s">
        <v>5455</v>
      </c>
      <c r="B1539" s="3" t="s">
        <v>717</v>
      </c>
      <c r="C1539" s="3" t="s">
        <v>1342</v>
      </c>
      <c r="D1539" s="3" t="s">
        <v>181</v>
      </c>
      <c r="E1539" s="3" t="s">
        <v>45</v>
      </c>
      <c r="F1539" s="3" t="s">
        <v>1583</v>
      </c>
      <c r="G1539" s="7">
        <v>45860.16568543613</v>
      </c>
    </row>
    <row r="1540">
      <c r="A1540" s="3" t="s">
        <v>5458</v>
      </c>
      <c r="B1540" s="3" t="s">
        <v>949</v>
      </c>
      <c r="C1540" s="3" t="s">
        <v>56</v>
      </c>
      <c r="D1540" s="3" t="s">
        <v>181</v>
      </c>
      <c r="E1540" s="3" t="s">
        <v>45</v>
      </c>
      <c r="F1540" s="3" t="s">
        <v>45</v>
      </c>
      <c r="G1540" s="7">
        <v>45860.23686028154</v>
      </c>
    </row>
    <row r="1541">
      <c r="A1541" s="3" t="s">
        <v>5462</v>
      </c>
      <c r="B1541" s="3" t="s">
        <v>911</v>
      </c>
      <c r="C1541" s="3" t="s">
        <v>1342</v>
      </c>
      <c r="D1541" s="3" t="s">
        <v>68</v>
      </c>
      <c r="E1541" s="3" t="s">
        <v>100</v>
      </c>
      <c r="F1541" s="3" t="s">
        <v>1903</v>
      </c>
      <c r="G1541" s="7">
        <v>45860.30803512695</v>
      </c>
    </row>
    <row r="1542">
      <c r="A1542" s="3" t="s">
        <v>5466</v>
      </c>
      <c r="B1542" s="3" t="s">
        <v>593</v>
      </c>
      <c r="C1542" s="3" t="s">
        <v>1342</v>
      </c>
      <c r="D1542" s="3" t="s">
        <v>68</v>
      </c>
      <c r="E1542" s="3" t="s">
        <v>100</v>
      </c>
      <c r="F1542" s="3" t="s">
        <v>1598</v>
      </c>
      <c r="G1542" s="7">
        <v>45860.37920997237</v>
      </c>
    </row>
    <row r="1543">
      <c r="A1543" s="3" t="s">
        <v>5469</v>
      </c>
      <c r="B1543" s="3" t="s">
        <v>313</v>
      </c>
      <c r="C1543" s="3" t="s">
        <v>56</v>
      </c>
      <c r="D1543" s="3" t="s">
        <v>68</v>
      </c>
      <c r="E1543" s="3" t="s">
        <v>100</v>
      </c>
      <c r="F1543" s="3" t="s">
        <v>2021</v>
      </c>
      <c r="G1543" s="7">
        <v>45860.450384817785</v>
      </c>
    </row>
    <row r="1544">
      <c r="A1544" s="3" t="s">
        <v>5472</v>
      </c>
      <c r="B1544" s="3" t="s">
        <v>658</v>
      </c>
      <c r="C1544" s="3" t="s">
        <v>56</v>
      </c>
      <c r="D1544" s="3" t="s">
        <v>181</v>
      </c>
      <c r="E1544" s="3" t="s">
        <v>45</v>
      </c>
      <c r="F1544" s="3" t="s">
        <v>45</v>
      </c>
      <c r="G1544" s="7">
        <v>45860.5215596632</v>
      </c>
    </row>
    <row r="1545">
      <c r="A1545" s="3" t="s">
        <v>5475</v>
      </c>
      <c r="B1545" s="3" t="s">
        <v>341</v>
      </c>
      <c r="C1545" s="3" t="s">
        <v>1342</v>
      </c>
      <c r="D1545" s="3" t="s">
        <v>68</v>
      </c>
      <c r="E1545" s="3" t="s">
        <v>100</v>
      </c>
      <c r="F1545" s="3" t="s">
        <v>2001</v>
      </c>
      <c r="G1545" s="7">
        <v>45860.59273450862</v>
      </c>
    </row>
    <row r="1546">
      <c r="A1546" s="3" t="s">
        <v>5478</v>
      </c>
      <c r="B1546" s="3" t="s">
        <v>735</v>
      </c>
      <c r="C1546" s="3" t="s">
        <v>1095</v>
      </c>
      <c r="D1546" s="3" t="s">
        <v>68</v>
      </c>
      <c r="E1546" s="3" t="s">
        <v>100</v>
      </c>
      <c r="F1546" s="3" t="s">
        <v>1766</v>
      </c>
      <c r="G1546" s="7">
        <v>45860.663909354036</v>
      </c>
    </row>
    <row r="1547">
      <c r="A1547" s="3" t="s">
        <v>5481</v>
      </c>
      <c r="B1547" s="3" t="s">
        <v>141</v>
      </c>
      <c r="C1547" s="3" t="s">
        <v>1095</v>
      </c>
      <c r="D1547" s="3" t="s">
        <v>68</v>
      </c>
      <c r="E1547" s="3" t="s">
        <v>100</v>
      </c>
      <c r="F1547" s="3" t="s">
        <v>1988</v>
      </c>
      <c r="G1547" s="7">
        <v>45860.73508419944</v>
      </c>
    </row>
    <row r="1548">
      <c r="A1548" s="3" t="s">
        <v>5485</v>
      </c>
      <c r="B1548" s="3" t="s">
        <v>488</v>
      </c>
      <c r="C1548" s="3" t="s">
        <v>1095</v>
      </c>
      <c r="D1548" s="3" t="s">
        <v>181</v>
      </c>
      <c r="E1548" s="3" t="s">
        <v>45</v>
      </c>
      <c r="F1548" s="3" t="s">
        <v>1575</v>
      </c>
      <c r="G1548" s="7">
        <v>45860.80625904486</v>
      </c>
    </row>
    <row r="1549">
      <c r="A1549" s="3" t="s">
        <v>5488</v>
      </c>
      <c r="B1549" s="3" t="s">
        <v>485</v>
      </c>
      <c r="C1549" s="3" t="s">
        <v>1342</v>
      </c>
      <c r="D1549" s="3" t="s">
        <v>68</v>
      </c>
      <c r="E1549" s="3" t="s">
        <v>100</v>
      </c>
      <c r="F1549" s="3" t="s">
        <v>1983</v>
      </c>
      <c r="G1549" s="7">
        <v>45860.87743389027</v>
      </c>
    </row>
    <row r="1550">
      <c r="A1550" s="3" t="s">
        <v>5491</v>
      </c>
      <c r="B1550" s="3" t="s">
        <v>763</v>
      </c>
      <c r="C1550" s="3" t="s">
        <v>56</v>
      </c>
      <c r="D1550" s="3" t="s">
        <v>68</v>
      </c>
      <c r="E1550" s="3" t="s">
        <v>100</v>
      </c>
      <c r="F1550" s="3" t="s">
        <v>2023</v>
      </c>
      <c r="G1550" s="7">
        <v>45860.94860873569</v>
      </c>
    </row>
    <row r="1551">
      <c r="A1551" s="3" t="s">
        <v>5495</v>
      </c>
      <c r="B1551" s="3" t="s">
        <v>1040</v>
      </c>
      <c r="C1551" s="3" t="s">
        <v>1342</v>
      </c>
      <c r="D1551" s="3" t="s">
        <v>68</v>
      </c>
      <c r="E1551" s="3" t="s">
        <v>100</v>
      </c>
      <c r="F1551" s="3" t="s">
        <v>1248</v>
      </c>
      <c r="G1551" s="7">
        <v>45861.019783581105</v>
      </c>
    </row>
    <row r="1552">
      <c r="A1552" s="3" t="s">
        <v>5498</v>
      </c>
      <c r="B1552" s="3" t="s">
        <v>446</v>
      </c>
      <c r="C1552" s="3" t="s">
        <v>1342</v>
      </c>
      <c r="D1552" s="3" t="s">
        <v>68</v>
      </c>
      <c r="E1552" s="3" t="s">
        <v>100</v>
      </c>
      <c r="F1552" s="3" t="s">
        <v>1884</v>
      </c>
      <c r="G1552" s="7">
        <v>45861.090958426525</v>
      </c>
    </row>
    <row r="1553">
      <c r="A1553" s="3" t="s">
        <v>5501</v>
      </c>
      <c r="B1553" s="3" t="s">
        <v>319</v>
      </c>
      <c r="C1553" s="3" t="s">
        <v>56</v>
      </c>
      <c r="D1553" s="3" t="s">
        <v>181</v>
      </c>
      <c r="E1553" s="3" t="s">
        <v>45</v>
      </c>
      <c r="F1553" s="3" t="s">
        <v>45</v>
      </c>
      <c r="G1553" s="7">
        <v>45861.16213327193</v>
      </c>
    </row>
    <row r="1554">
      <c r="A1554" s="3" t="s">
        <v>5504</v>
      </c>
      <c r="B1554" s="3" t="s">
        <v>352</v>
      </c>
      <c r="C1554" s="3" t="s">
        <v>56</v>
      </c>
      <c r="D1554" s="3" t="s">
        <v>68</v>
      </c>
      <c r="E1554" s="3" t="s">
        <v>100</v>
      </c>
      <c r="F1554" s="3" t="s">
        <v>2024</v>
      </c>
      <c r="G1554" s="7">
        <v>45861.23330811735</v>
      </c>
    </row>
    <row r="1555">
      <c r="A1555" s="3" t="s">
        <v>5507</v>
      </c>
      <c r="B1555" s="3" t="s">
        <v>204</v>
      </c>
      <c r="C1555" s="3" t="s">
        <v>56</v>
      </c>
      <c r="D1555" s="3" t="s">
        <v>68</v>
      </c>
      <c r="E1555" s="3" t="s">
        <v>100</v>
      </c>
      <c r="F1555" s="3" t="s">
        <v>2025</v>
      </c>
      <c r="G1555" s="7">
        <v>45861.30448296277</v>
      </c>
    </row>
    <row r="1556">
      <c r="A1556" s="3" t="s">
        <v>5510</v>
      </c>
      <c r="B1556" s="3" t="s">
        <v>348</v>
      </c>
      <c r="C1556" s="3" t="s">
        <v>56</v>
      </c>
      <c r="D1556" s="3" t="s">
        <v>68</v>
      </c>
      <c r="E1556" s="3" t="s">
        <v>100</v>
      </c>
      <c r="F1556" s="3" t="s">
        <v>2028</v>
      </c>
      <c r="G1556" s="7">
        <v>45861.37565780818</v>
      </c>
    </row>
    <row r="1557">
      <c r="A1557" s="3" t="s">
        <v>5513</v>
      </c>
      <c r="B1557" s="3" t="s">
        <v>598</v>
      </c>
      <c r="C1557" s="3" t="s">
        <v>1342</v>
      </c>
      <c r="D1557" s="3" t="s">
        <v>68</v>
      </c>
      <c r="E1557" s="3" t="s">
        <v>100</v>
      </c>
      <c r="F1557" s="3" t="s">
        <v>1956</v>
      </c>
      <c r="G1557" s="7">
        <v>45861.44683265359</v>
      </c>
    </row>
    <row r="1558">
      <c r="A1558" s="3" t="s">
        <v>5516</v>
      </c>
      <c r="B1558" s="3" t="s">
        <v>579</v>
      </c>
      <c r="C1558" s="3" t="s">
        <v>1342</v>
      </c>
      <c r="D1558" s="3" t="s">
        <v>68</v>
      </c>
      <c r="E1558" s="3" t="s">
        <v>100</v>
      </c>
      <c r="F1558" s="3" t="s">
        <v>1697</v>
      </c>
      <c r="G1558" s="7">
        <v>45861.51800749901</v>
      </c>
    </row>
    <row r="1559">
      <c r="A1559" s="3" t="s">
        <v>5519</v>
      </c>
      <c r="B1559" s="3" t="s">
        <v>219</v>
      </c>
      <c r="C1559" s="3" t="s">
        <v>1342</v>
      </c>
      <c r="D1559" s="3" t="s">
        <v>68</v>
      </c>
      <c r="E1559" s="3" t="s">
        <v>100</v>
      </c>
      <c r="F1559" s="3" t="s">
        <v>1969</v>
      </c>
      <c r="G1559" s="7">
        <v>45861.589182344425</v>
      </c>
    </row>
    <row r="1560">
      <c r="A1560" s="3" t="s">
        <v>5522</v>
      </c>
      <c r="B1560" s="3" t="s">
        <v>498</v>
      </c>
      <c r="C1560" s="3" t="s">
        <v>56</v>
      </c>
      <c r="D1560" s="3" t="s">
        <v>68</v>
      </c>
      <c r="E1560" s="3" t="s">
        <v>100</v>
      </c>
      <c r="F1560" s="3" t="s">
        <v>2030</v>
      </c>
      <c r="G1560" s="7">
        <v>45861.66035718984</v>
      </c>
    </row>
    <row r="1561">
      <c r="A1561" s="3" t="s">
        <v>5526</v>
      </c>
      <c r="B1561" s="3" t="s">
        <v>299</v>
      </c>
      <c r="C1561" s="3" t="s">
        <v>56</v>
      </c>
      <c r="D1561" s="3" t="s">
        <v>68</v>
      </c>
      <c r="E1561" s="3" t="s">
        <v>100</v>
      </c>
      <c r="F1561" s="3" t="s">
        <v>2032</v>
      </c>
      <c r="G1561" s="7">
        <v>45861.73153203526</v>
      </c>
    </row>
    <row r="1562">
      <c r="A1562" s="3" t="s">
        <v>5530</v>
      </c>
      <c r="B1562" s="3" t="s">
        <v>822</v>
      </c>
      <c r="C1562" s="3" t="s">
        <v>1095</v>
      </c>
      <c r="D1562" s="3" t="s">
        <v>68</v>
      </c>
      <c r="E1562" s="3" t="s">
        <v>100</v>
      </c>
      <c r="F1562" s="3" t="s">
        <v>1576</v>
      </c>
      <c r="G1562" s="7">
        <v>45861.80270688068</v>
      </c>
    </row>
    <row r="1563">
      <c r="A1563" s="3" t="s">
        <v>5533</v>
      </c>
      <c r="B1563" s="3" t="s">
        <v>756</v>
      </c>
      <c r="C1563" s="3" t="s">
        <v>56</v>
      </c>
      <c r="D1563" s="3" t="s">
        <v>68</v>
      </c>
      <c r="E1563" s="3" t="s">
        <v>100</v>
      </c>
      <c r="F1563" s="3" t="s">
        <v>2034</v>
      </c>
      <c r="G1563" s="7">
        <v>45861.87388172608</v>
      </c>
    </row>
    <row r="1564">
      <c r="A1564" s="3" t="s">
        <v>5536</v>
      </c>
      <c r="B1564" s="3" t="s">
        <v>619</v>
      </c>
      <c r="C1564" s="3" t="s">
        <v>1095</v>
      </c>
      <c r="D1564" s="3" t="s">
        <v>68</v>
      </c>
      <c r="E1564" s="3" t="s">
        <v>100</v>
      </c>
      <c r="F1564" s="3" t="s">
        <v>1890</v>
      </c>
      <c r="G1564" s="7">
        <v>45861.9450565715</v>
      </c>
    </row>
    <row r="1565">
      <c r="A1565" s="3" t="s">
        <v>5541</v>
      </c>
      <c r="B1565" s="3" t="s">
        <v>1008</v>
      </c>
      <c r="C1565" s="3" t="s">
        <v>1095</v>
      </c>
      <c r="D1565" s="3" t="s">
        <v>68</v>
      </c>
      <c r="E1565" s="3" t="s">
        <v>100</v>
      </c>
      <c r="F1565" s="3" t="s">
        <v>1911</v>
      </c>
      <c r="G1565" s="7">
        <v>45862.01623141692</v>
      </c>
    </row>
    <row r="1566">
      <c r="A1566" s="3" t="s">
        <v>5544</v>
      </c>
      <c r="B1566" s="3" t="s">
        <v>440</v>
      </c>
      <c r="C1566" s="3" t="s">
        <v>56</v>
      </c>
      <c r="D1566" s="3" t="s">
        <v>68</v>
      </c>
      <c r="E1566" s="3" t="s">
        <v>100</v>
      </c>
      <c r="F1566" s="3" t="s">
        <v>2037</v>
      </c>
      <c r="G1566" s="7">
        <v>45862.08740626233</v>
      </c>
    </row>
    <row r="1567">
      <c r="A1567" s="3" t="s">
        <v>5547</v>
      </c>
      <c r="B1567" s="3" t="s">
        <v>352</v>
      </c>
      <c r="C1567" s="3" t="s">
        <v>1095</v>
      </c>
      <c r="D1567" s="3" t="s">
        <v>68</v>
      </c>
      <c r="E1567" s="3" t="s">
        <v>100</v>
      </c>
      <c r="F1567" s="3" t="s">
        <v>2024</v>
      </c>
      <c r="G1567" s="7">
        <v>45862.158581107746</v>
      </c>
    </row>
    <row r="1568">
      <c r="A1568" s="3" t="s">
        <v>5550</v>
      </c>
      <c r="B1568" s="3" t="s">
        <v>356</v>
      </c>
      <c r="C1568" s="3" t="s">
        <v>1342</v>
      </c>
      <c r="D1568" s="3" t="s">
        <v>68</v>
      </c>
      <c r="E1568" s="3" t="s">
        <v>100</v>
      </c>
      <c r="F1568" s="3" t="s">
        <v>1609</v>
      </c>
      <c r="G1568" s="7">
        <v>45862.229755953165</v>
      </c>
    </row>
    <row r="1569">
      <c r="A1569" s="3" t="s">
        <v>5553</v>
      </c>
      <c r="B1569" s="3" t="s">
        <v>731</v>
      </c>
      <c r="C1569" s="3" t="s">
        <v>1342</v>
      </c>
      <c r="D1569" s="3" t="s">
        <v>68</v>
      </c>
      <c r="E1569" s="3" t="s">
        <v>100</v>
      </c>
      <c r="F1569" s="3" t="s">
        <v>1526</v>
      </c>
      <c r="G1569" s="7">
        <v>45862.30093079858</v>
      </c>
    </row>
    <row r="1570">
      <c r="A1570" s="3" t="s">
        <v>5557</v>
      </c>
      <c r="B1570" s="3" t="s">
        <v>574</v>
      </c>
      <c r="C1570" s="3" t="s">
        <v>1095</v>
      </c>
      <c r="D1570" s="3" t="s">
        <v>68</v>
      </c>
      <c r="E1570" s="3" t="s">
        <v>100</v>
      </c>
      <c r="F1570" s="3" t="s">
        <v>1864</v>
      </c>
      <c r="G1570" s="7">
        <v>45862.37210564399</v>
      </c>
    </row>
    <row r="1571">
      <c r="A1571" s="3" t="s">
        <v>5560</v>
      </c>
      <c r="B1571" s="3" t="s">
        <v>773</v>
      </c>
      <c r="C1571" s="3" t="s">
        <v>1095</v>
      </c>
      <c r="D1571" s="3" t="s">
        <v>68</v>
      </c>
      <c r="E1571" s="3" t="s">
        <v>100</v>
      </c>
      <c r="F1571" s="3" t="s">
        <v>1753</v>
      </c>
      <c r="G1571" s="7">
        <v>45862.44328048941</v>
      </c>
    </row>
    <row r="1572">
      <c r="A1572" s="3" t="s">
        <v>5564</v>
      </c>
      <c r="B1572" s="3" t="s">
        <v>479</v>
      </c>
      <c r="C1572" s="3" t="s">
        <v>1342</v>
      </c>
      <c r="D1572" s="3" t="s">
        <v>68</v>
      </c>
      <c r="E1572" s="3" t="s">
        <v>100</v>
      </c>
      <c r="F1572" s="3" t="s">
        <v>1941</v>
      </c>
      <c r="G1572" s="7">
        <v>45862.51445533482</v>
      </c>
    </row>
    <row r="1573">
      <c r="A1573" s="3" t="s">
        <v>5567</v>
      </c>
      <c r="B1573" s="3" t="s">
        <v>512</v>
      </c>
      <c r="C1573" s="3" t="s">
        <v>1095</v>
      </c>
      <c r="D1573" s="3" t="s">
        <v>195</v>
      </c>
      <c r="E1573" s="3" t="s">
        <v>45</v>
      </c>
      <c r="F1573" s="3" t="s">
        <v>1946</v>
      </c>
      <c r="G1573" s="7">
        <v>45862.585630180234</v>
      </c>
    </row>
    <row r="1574">
      <c r="A1574" s="3" t="s">
        <v>5570</v>
      </c>
      <c r="B1574" s="3" t="s">
        <v>148</v>
      </c>
      <c r="C1574" s="3" t="s">
        <v>56</v>
      </c>
      <c r="D1574" s="3" t="s">
        <v>68</v>
      </c>
      <c r="E1574" s="3" t="s">
        <v>100</v>
      </c>
      <c r="F1574" s="3" t="s">
        <v>2039</v>
      </c>
      <c r="G1574" s="7">
        <v>45862.656805025654</v>
      </c>
    </row>
    <row r="1575">
      <c r="A1575" s="3" t="s">
        <v>5573</v>
      </c>
      <c r="B1575" s="3" t="s">
        <v>141</v>
      </c>
      <c r="C1575" s="3" t="s">
        <v>56</v>
      </c>
      <c r="D1575" s="3" t="s">
        <v>68</v>
      </c>
      <c r="E1575" s="3" t="s">
        <v>100</v>
      </c>
      <c r="F1575" s="3" t="s">
        <v>2041</v>
      </c>
      <c r="G1575" s="7">
        <v>45862.727979871066</v>
      </c>
    </row>
    <row r="1576">
      <c r="A1576" s="3" t="s">
        <v>5576</v>
      </c>
      <c r="B1576" s="3" t="s">
        <v>655</v>
      </c>
      <c r="C1576" s="3" t="s">
        <v>1095</v>
      </c>
      <c r="D1576" s="3" t="s">
        <v>68</v>
      </c>
      <c r="E1576" s="3" t="s">
        <v>100</v>
      </c>
      <c r="F1576" s="3" t="s">
        <v>1214</v>
      </c>
      <c r="G1576" s="7">
        <v>45862.79915471648</v>
      </c>
    </row>
    <row r="1577">
      <c r="A1577" s="3" t="s">
        <v>5579</v>
      </c>
      <c r="B1577" s="3" t="s">
        <v>296</v>
      </c>
      <c r="C1577" s="3" t="s">
        <v>56</v>
      </c>
      <c r="D1577" s="3" t="s">
        <v>68</v>
      </c>
      <c r="E1577" s="3" t="s">
        <v>100</v>
      </c>
      <c r="F1577" s="3" t="s">
        <v>2044</v>
      </c>
      <c r="G1577" s="7">
        <v>45862.8703295619</v>
      </c>
    </row>
    <row r="1578">
      <c r="A1578" s="3" t="s">
        <v>5583</v>
      </c>
      <c r="B1578" s="3" t="s">
        <v>758</v>
      </c>
      <c r="C1578" s="3" t="s">
        <v>1095</v>
      </c>
      <c r="D1578" s="3" t="s">
        <v>68</v>
      </c>
      <c r="E1578" s="3" t="s">
        <v>100</v>
      </c>
      <c r="F1578" s="3" t="s">
        <v>1914</v>
      </c>
      <c r="G1578" s="7">
        <v>45862.94150440732</v>
      </c>
    </row>
    <row r="1579">
      <c r="A1579" s="3" t="s">
        <v>5586</v>
      </c>
      <c r="B1579" s="3" t="s">
        <v>870</v>
      </c>
      <c r="C1579" s="3" t="s">
        <v>56</v>
      </c>
      <c r="D1579" s="3" t="s">
        <v>68</v>
      </c>
      <c r="E1579" s="3" t="s">
        <v>100</v>
      </c>
      <c r="F1579" s="3" t="s">
        <v>2047</v>
      </c>
      <c r="G1579" s="7">
        <v>45863.01267925272</v>
      </c>
    </row>
    <row r="1580">
      <c r="A1580" s="3" t="s">
        <v>5590</v>
      </c>
      <c r="B1580" s="3" t="s">
        <v>949</v>
      </c>
      <c r="C1580" s="3" t="s">
        <v>56</v>
      </c>
      <c r="D1580" s="3" t="s">
        <v>68</v>
      </c>
      <c r="E1580" s="3" t="s">
        <v>100</v>
      </c>
      <c r="F1580" s="3" t="s">
        <v>2050</v>
      </c>
      <c r="G1580" s="7">
        <v>45863.08385409814</v>
      </c>
    </row>
    <row r="1581">
      <c r="A1581" s="3" t="s">
        <v>5593</v>
      </c>
      <c r="B1581" s="3" t="s">
        <v>440</v>
      </c>
      <c r="C1581" s="3" t="s">
        <v>1342</v>
      </c>
      <c r="D1581" s="3" t="s">
        <v>68</v>
      </c>
      <c r="E1581" s="3" t="s">
        <v>100</v>
      </c>
      <c r="F1581" s="3" t="s">
        <v>2037</v>
      </c>
      <c r="G1581" s="7">
        <v>45863.15502894356</v>
      </c>
    </row>
    <row r="1582">
      <c r="A1582" s="3" t="s">
        <v>5596</v>
      </c>
      <c r="B1582" s="3" t="s">
        <v>672</v>
      </c>
      <c r="C1582" s="3" t="s">
        <v>1342</v>
      </c>
      <c r="D1582" s="3" t="s">
        <v>68</v>
      </c>
      <c r="E1582" s="3" t="s">
        <v>100</v>
      </c>
      <c r="F1582" s="3" t="s">
        <v>1963</v>
      </c>
      <c r="G1582" s="7">
        <v>45863.226203788974</v>
      </c>
    </row>
    <row r="1583">
      <c r="A1583" s="3" t="s">
        <v>5599</v>
      </c>
      <c r="B1583" s="3" t="s">
        <v>678</v>
      </c>
      <c r="C1583" s="3" t="s">
        <v>1342</v>
      </c>
      <c r="D1583" s="3" t="s">
        <v>68</v>
      </c>
      <c r="E1583" s="3" t="s">
        <v>100</v>
      </c>
      <c r="F1583" s="3" t="s">
        <v>1797</v>
      </c>
      <c r="G1583" s="7">
        <v>45863.29737863439</v>
      </c>
    </row>
    <row r="1584">
      <c r="A1584" s="3" t="s">
        <v>5602</v>
      </c>
      <c r="B1584" s="3" t="s">
        <v>449</v>
      </c>
      <c r="C1584" s="3" t="s">
        <v>56</v>
      </c>
      <c r="D1584" s="3" t="s">
        <v>68</v>
      </c>
      <c r="E1584" s="3" t="s">
        <v>100</v>
      </c>
      <c r="F1584" s="3" t="s">
        <v>2052</v>
      </c>
      <c r="G1584" s="7">
        <v>45863.368553479806</v>
      </c>
    </row>
    <row r="1585">
      <c r="A1585" s="3" t="s">
        <v>5605</v>
      </c>
      <c r="B1585" s="3" t="s">
        <v>269</v>
      </c>
      <c r="C1585" s="3" t="s">
        <v>1095</v>
      </c>
      <c r="D1585" s="3" t="s">
        <v>68</v>
      </c>
      <c r="E1585" s="3" t="s">
        <v>100</v>
      </c>
      <c r="F1585" s="3" t="s">
        <v>1989</v>
      </c>
      <c r="G1585" s="7">
        <v>45863.43972832522</v>
      </c>
    </row>
    <row r="1586">
      <c r="A1586" s="3" t="s">
        <v>5608</v>
      </c>
      <c r="B1586" s="3" t="s">
        <v>1040</v>
      </c>
      <c r="C1586" s="3" t="s">
        <v>1342</v>
      </c>
      <c r="D1586" s="3" t="s">
        <v>68</v>
      </c>
      <c r="E1586" s="3" t="s">
        <v>100</v>
      </c>
      <c r="F1586" s="3" t="s">
        <v>1248</v>
      </c>
      <c r="G1586" s="7">
        <v>45863.51090317063</v>
      </c>
    </row>
    <row r="1587">
      <c r="A1587" s="3" t="s">
        <v>5611</v>
      </c>
      <c r="B1587" s="3" t="s">
        <v>584</v>
      </c>
      <c r="C1587" s="3" t="s">
        <v>56</v>
      </c>
      <c r="D1587" s="3" t="s">
        <v>68</v>
      </c>
      <c r="E1587" s="3" t="s">
        <v>100</v>
      </c>
      <c r="F1587" s="3" t="s">
        <v>2056</v>
      </c>
      <c r="G1587" s="7">
        <v>45863.58207801605</v>
      </c>
    </row>
    <row r="1588">
      <c r="A1588" s="3" t="s">
        <v>5616</v>
      </c>
      <c r="B1588" s="3" t="s">
        <v>505</v>
      </c>
      <c r="C1588" s="3" t="s">
        <v>56</v>
      </c>
      <c r="D1588" s="3" t="s">
        <v>68</v>
      </c>
      <c r="E1588" s="3" t="s">
        <v>100</v>
      </c>
      <c r="F1588" s="3" t="s">
        <v>2059</v>
      </c>
      <c r="G1588" s="7">
        <v>45863.65325286146</v>
      </c>
    </row>
    <row r="1589">
      <c r="A1589" s="3" t="s">
        <v>5619</v>
      </c>
      <c r="B1589" s="3" t="s">
        <v>601</v>
      </c>
      <c r="C1589" s="3" t="s">
        <v>1095</v>
      </c>
      <c r="D1589" s="3" t="s">
        <v>68</v>
      </c>
      <c r="E1589" s="3" t="s">
        <v>100</v>
      </c>
      <c r="F1589" s="3" t="s">
        <v>1591</v>
      </c>
      <c r="G1589" s="7">
        <v>45863.724427706875</v>
      </c>
    </row>
    <row r="1590">
      <c r="A1590" s="3" t="s">
        <v>5622</v>
      </c>
      <c r="B1590" s="3" t="s">
        <v>727</v>
      </c>
      <c r="C1590" s="3" t="s">
        <v>1342</v>
      </c>
      <c r="D1590" s="3" t="s">
        <v>68</v>
      </c>
      <c r="E1590" s="3" t="s">
        <v>100</v>
      </c>
      <c r="F1590" s="3" t="s">
        <v>1602</v>
      </c>
      <c r="G1590" s="7">
        <v>45863.795602552294</v>
      </c>
    </row>
    <row r="1591">
      <c r="A1591" s="3" t="s">
        <v>5628</v>
      </c>
      <c r="B1591" s="3" t="s">
        <v>830</v>
      </c>
      <c r="C1591" s="3" t="s">
        <v>1342</v>
      </c>
      <c r="D1591" s="3" t="s">
        <v>68</v>
      </c>
      <c r="E1591" s="3" t="s">
        <v>100</v>
      </c>
      <c r="F1591" s="3" t="s">
        <v>1971</v>
      </c>
      <c r="G1591" s="7">
        <v>45863.86677739771</v>
      </c>
    </row>
    <row r="1592">
      <c r="A1592" s="3" t="s">
        <v>5630</v>
      </c>
      <c r="B1592" s="3" t="s">
        <v>631</v>
      </c>
      <c r="C1592" s="3" t="s">
        <v>1342</v>
      </c>
      <c r="D1592" s="3" t="s">
        <v>68</v>
      </c>
      <c r="E1592" s="3" t="s">
        <v>100</v>
      </c>
      <c r="F1592" s="3" t="s">
        <v>1910</v>
      </c>
      <c r="G1592" s="7">
        <v>45863.93795224312</v>
      </c>
    </row>
    <row r="1593">
      <c r="A1593" s="3" t="s">
        <v>5633</v>
      </c>
      <c r="B1593" s="3" t="s">
        <v>446</v>
      </c>
      <c r="C1593" s="3" t="s">
        <v>1342</v>
      </c>
      <c r="D1593" s="3" t="s">
        <v>68</v>
      </c>
      <c r="E1593" s="3" t="s">
        <v>100</v>
      </c>
      <c r="F1593" s="3" t="s">
        <v>1884</v>
      </c>
      <c r="G1593" s="7">
        <v>45864.00912708854</v>
      </c>
    </row>
    <row r="1594">
      <c r="A1594" s="3" t="s">
        <v>5637</v>
      </c>
      <c r="B1594" s="3" t="s">
        <v>619</v>
      </c>
      <c r="C1594" s="3" t="s">
        <v>56</v>
      </c>
      <c r="D1594" s="3" t="s">
        <v>181</v>
      </c>
      <c r="E1594" s="3" t="s">
        <v>45</v>
      </c>
      <c r="F1594" s="3" t="s">
        <v>45</v>
      </c>
      <c r="G1594" s="7">
        <v>45864.08030193396</v>
      </c>
    </row>
    <row r="1595">
      <c r="A1595" s="3" t="s">
        <v>5640</v>
      </c>
      <c r="B1595" s="3" t="s">
        <v>598</v>
      </c>
      <c r="C1595" s="3" t="s">
        <v>1095</v>
      </c>
      <c r="D1595" s="3" t="s">
        <v>68</v>
      </c>
      <c r="E1595" s="3" t="s">
        <v>100</v>
      </c>
      <c r="F1595" s="3" t="s">
        <v>1956</v>
      </c>
      <c r="G1595" s="7">
        <v>45864.15147677936</v>
      </c>
    </row>
    <row r="1596">
      <c r="A1596" s="3" t="s">
        <v>5643</v>
      </c>
      <c r="B1596" s="3" t="s">
        <v>591</v>
      </c>
      <c r="C1596" s="3" t="s">
        <v>56</v>
      </c>
      <c r="D1596" s="3" t="s">
        <v>68</v>
      </c>
      <c r="E1596" s="3" t="s">
        <v>100</v>
      </c>
      <c r="F1596" s="3" t="s">
        <v>2062</v>
      </c>
      <c r="G1596" s="7">
        <v>45864.22265162478</v>
      </c>
    </row>
    <row r="1597">
      <c r="A1597" s="3" t="s">
        <v>5647</v>
      </c>
      <c r="B1597" s="3" t="s">
        <v>760</v>
      </c>
      <c r="C1597" s="3" t="s">
        <v>1095</v>
      </c>
      <c r="D1597" s="3" t="s">
        <v>68</v>
      </c>
      <c r="E1597" s="3" t="s">
        <v>100</v>
      </c>
      <c r="F1597" s="3" t="s">
        <v>1614</v>
      </c>
      <c r="G1597" s="7">
        <v>45864.2938264702</v>
      </c>
    </row>
    <row r="1598">
      <c r="A1598" s="3" t="s">
        <v>5650</v>
      </c>
      <c r="B1598" s="3" t="s">
        <v>159</v>
      </c>
      <c r="C1598" s="3" t="s">
        <v>1342</v>
      </c>
      <c r="D1598" s="3" t="s">
        <v>68</v>
      </c>
      <c r="E1598" s="3" t="s">
        <v>100</v>
      </c>
      <c r="F1598" s="3" t="s">
        <v>1292</v>
      </c>
      <c r="G1598" s="7">
        <v>45864.365001315615</v>
      </c>
    </row>
    <row r="1599">
      <c r="A1599" s="3" t="s">
        <v>5653</v>
      </c>
      <c r="B1599" s="3" t="s">
        <v>247</v>
      </c>
      <c r="C1599" s="3" t="s">
        <v>1095</v>
      </c>
      <c r="D1599" s="3" t="s">
        <v>68</v>
      </c>
      <c r="E1599" s="3" t="s">
        <v>100</v>
      </c>
      <c r="F1599" s="3" t="s">
        <v>1380</v>
      </c>
      <c r="G1599" s="7">
        <v>45864.43617616103</v>
      </c>
    </row>
    <row r="1600">
      <c r="A1600" s="3" t="s">
        <v>5655</v>
      </c>
      <c r="B1600" s="3" t="s">
        <v>468</v>
      </c>
      <c r="C1600" s="3" t="s">
        <v>1342</v>
      </c>
      <c r="D1600" s="3" t="s">
        <v>181</v>
      </c>
      <c r="E1600" s="3" t="s">
        <v>45</v>
      </c>
      <c r="F1600" s="3" t="s">
        <v>1570</v>
      </c>
      <c r="G1600" s="7">
        <v>45864.50735100645</v>
      </c>
    </row>
    <row r="1601">
      <c r="A1601" s="3" t="s">
        <v>5657</v>
      </c>
      <c r="B1601" s="3" t="s">
        <v>204</v>
      </c>
      <c r="C1601" s="3" t="s">
        <v>1342</v>
      </c>
      <c r="D1601" s="3" t="s">
        <v>195</v>
      </c>
      <c r="E1601" s="3" t="s">
        <v>45</v>
      </c>
      <c r="F1601" s="3" t="s">
        <v>2025</v>
      </c>
      <c r="G1601" s="7">
        <v>45864.57852585186</v>
      </c>
    </row>
    <row r="1602">
      <c r="A1602" s="3" t="s">
        <v>5659</v>
      </c>
      <c r="B1602" s="3" t="s">
        <v>662</v>
      </c>
      <c r="C1602" s="3" t="s">
        <v>1342</v>
      </c>
      <c r="D1602" s="3" t="s">
        <v>68</v>
      </c>
      <c r="E1602" s="3" t="s">
        <v>100</v>
      </c>
      <c r="F1602" s="3" t="s">
        <v>1918</v>
      </c>
      <c r="G1602" s="7">
        <v>45864.64970069727</v>
      </c>
    </row>
    <row r="1603">
      <c r="A1603" s="3" t="s">
        <v>5662</v>
      </c>
      <c r="B1603" s="3" t="s">
        <v>853</v>
      </c>
      <c r="C1603" s="3" t="s">
        <v>56</v>
      </c>
      <c r="D1603" s="3" t="s">
        <v>68</v>
      </c>
      <c r="E1603" s="3" t="s">
        <v>100</v>
      </c>
      <c r="F1603" s="3" t="s">
        <v>2064</v>
      </c>
      <c r="G1603" s="7">
        <v>45864.72087554269</v>
      </c>
    </row>
    <row r="1604">
      <c r="A1604" s="3" t="s">
        <v>5666</v>
      </c>
      <c r="B1604" s="3" t="s">
        <v>322</v>
      </c>
      <c r="C1604" s="3" t="s">
        <v>1095</v>
      </c>
      <c r="D1604" s="3" t="s">
        <v>68</v>
      </c>
      <c r="E1604" s="3" t="s">
        <v>100</v>
      </c>
      <c r="F1604" s="3" t="s">
        <v>1446</v>
      </c>
      <c r="G1604" s="7">
        <v>45864.7920503881</v>
      </c>
    </row>
    <row r="1605">
      <c r="A1605" s="3" t="s">
        <v>5669</v>
      </c>
      <c r="B1605" s="3" t="s">
        <v>341</v>
      </c>
      <c r="C1605" s="3" t="s">
        <v>1342</v>
      </c>
      <c r="D1605" s="3" t="s">
        <v>68</v>
      </c>
      <c r="E1605" s="3" t="s">
        <v>100</v>
      </c>
      <c r="F1605" s="3" t="s">
        <v>2001</v>
      </c>
      <c r="G1605" s="7">
        <v>45864.863225233516</v>
      </c>
    </row>
    <row r="1606">
      <c r="A1606" s="3" t="s">
        <v>5672</v>
      </c>
      <c r="B1606" s="3" t="s">
        <v>987</v>
      </c>
      <c r="C1606" s="3" t="s">
        <v>1095</v>
      </c>
      <c r="D1606" s="3" t="s">
        <v>181</v>
      </c>
      <c r="E1606" s="3" t="s">
        <v>45</v>
      </c>
      <c r="F1606" s="3" t="s">
        <v>1373</v>
      </c>
      <c r="G1606" s="7">
        <v>45864.934400078935</v>
      </c>
    </row>
    <row r="1607">
      <c r="A1607" s="3" t="s">
        <v>5675</v>
      </c>
      <c r="B1607" s="3" t="s">
        <v>793</v>
      </c>
      <c r="C1607" s="3" t="s">
        <v>56</v>
      </c>
      <c r="D1607" s="3" t="s">
        <v>68</v>
      </c>
      <c r="E1607" s="3" t="s">
        <v>100</v>
      </c>
      <c r="F1607" s="3" t="s">
        <v>2067</v>
      </c>
      <c r="G1607" s="7">
        <v>45865.005574924355</v>
      </c>
    </row>
    <row r="1608">
      <c r="A1608" s="3" t="s">
        <v>5678</v>
      </c>
      <c r="B1608" s="3" t="s">
        <v>655</v>
      </c>
      <c r="C1608" s="3" t="s">
        <v>56</v>
      </c>
      <c r="D1608" s="3" t="s">
        <v>68</v>
      </c>
      <c r="E1608" s="3" t="s">
        <v>100</v>
      </c>
      <c r="F1608" s="3" t="s">
        <v>2069</v>
      </c>
      <c r="G1608" s="7">
        <v>45865.07674976976</v>
      </c>
    </row>
    <row r="1609">
      <c r="A1609" s="3" t="s">
        <v>5681</v>
      </c>
      <c r="B1609" s="3" t="s">
        <v>990</v>
      </c>
      <c r="C1609" s="3" t="s">
        <v>1342</v>
      </c>
      <c r="D1609" s="3" t="s">
        <v>68</v>
      </c>
      <c r="E1609" s="3" t="s">
        <v>100</v>
      </c>
      <c r="F1609" s="3" t="s">
        <v>1206</v>
      </c>
      <c r="G1609" s="7">
        <v>45865.14792461518</v>
      </c>
    </row>
    <row r="1610">
      <c r="A1610" s="3" t="s">
        <v>5684</v>
      </c>
      <c r="B1610" s="3" t="s">
        <v>462</v>
      </c>
      <c r="C1610" s="3" t="s">
        <v>1342</v>
      </c>
      <c r="D1610" s="3" t="s">
        <v>68</v>
      </c>
      <c r="E1610" s="3" t="s">
        <v>100</v>
      </c>
      <c r="F1610" s="3" t="s">
        <v>1548</v>
      </c>
      <c r="G1610" s="7">
        <v>45865.2190994606</v>
      </c>
    </row>
    <row r="1611">
      <c r="A1611" s="3" t="s">
        <v>5688</v>
      </c>
      <c r="B1611" s="3" t="s">
        <v>224</v>
      </c>
      <c r="C1611" s="3" t="s">
        <v>1342</v>
      </c>
      <c r="D1611" s="3" t="s">
        <v>195</v>
      </c>
      <c r="E1611" s="3" t="s">
        <v>45</v>
      </c>
      <c r="F1611" s="3" t="s">
        <v>1054</v>
      </c>
      <c r="G1611" s="7">
        <v>45865.29027430601</v>
      </c>
    </row>
    <row r="1612">
      <c r="A1612" s="3" t="s">
        <v>5692</v>
      </c>
      <c r="B1612" s="3" t="s">
        <v>247</v>
      </c>
      <c r="C1612" s="3" t="s">
        <v>56</v>
      </c>
      <c r="D1612" s="3" t="s">
        <v>68</v>
      </c>
      <c r="E1612" s="3" t="s">
        <v>100</v>
      </c>
      <c r="F1612" s="3" t="s">
        <v>2072</v>
      </c>
      <c r="G1612" s="7">
        <v>45865.36144915142</v>
      </c>
    </row>
    <row r="1613">
      <c r="A1613" s="3" t="s">
        <v>5695</v>
      </c>
      <c r="B1613" s="3" t="s">
        <v>934</v>
      </c>
      <c r="C1613" s="3" t="s">
        <v>1342</v>
      </c>
      <c r="D1613" s="3" t="s">
        <v>68</v>
      </c>
      <c r="E1613" s="3" t="s">
        <v>100</v>
      </c>
      <c r="F1613" s="3" t="s">
        <v>1376</v>
      </c>
      <c r="G1613" s="7">
        <v>45865.43262399684</v>
      </c>
    </row>
    <row r="1614">
      <c r="A1614" s="3" t="s">
        <v>5698</v>
      </c>
      <c r="B1614" s="3" t="s">
        <v>130</v>
      </c>
      <c r="C1614" s="3" t="s">
        <v>56</v>
      </c>
      <c r="D1614" s="3" t="s">
        <v>68</v>
      </c>
      <c r="E1614" s="3" t="s">
        <v>100</v>
      </c>
      <c r="F1614" s="3" t="s">
        <v>2074</v>
      </c>
      <c r="G1614" s="7">
        <v>45865.503798842255</v>
      </c>
    </row>
    <row r="1615">
      <c r="A1615" s="3" t="s">
        <v>5702</v>
      </c>
      <c r="B1615" s="3" t="s">
        <v>290</v>
      </c>
      <c r="C1615" s="3" t="s">
        <v>1342</v>
      </c>
      <c r="D1615" s="3" t="s">
        <v>68</v>
      </c>
      <c r="E1615" s="3" t="s">
        <v>100</v>
      </c>
      <c r="F1615" s="3" t="s">
        <v>1828</v>
      </c>
      <c r="G1615" s="7">
        <v>45865.57497368767</v>
      </c>
    </row>
    <row r="1616">
      <c r="A1616" s="3" t="s">
        <v>5705</v>
      </c>
      <c r="B1616" s="3" t="s">
        <v>414</v>
      </c>
      <c r="C1616" s="3" t="s">
        <v>56</v>
      </c>
      <c r="D1616" s="3" t="s">
        <v>68</v>
      </c>
      <c r="E1616" s="3" t="s">
        <v>100</v>
      </c>
      <c r="F1616" s="3" t="s">
        <v>2077</v>
      </c>
      <c r="G1616" s="7">
        <v>45865.64614853309</v>
      </c>
    </row>
    <row r="1617">
      <c r="A1617" s="3" t="s">
        <v>5708</v>
      </c>
      <c r="B1617" s="3" t="s">
        <v>243</v>
      </c>
      <c r="C1617" s="3" t="s">
        <v>56</v>
      </c>
      <c r="D1617" s="3" t="s">
        <v>68</v>
      </c>
      <c r="E1617" s="3" t="s">
        <v>100</v>
      </c>
      <c r="F1617" s="3" t="s">
        <v>2079</v>
      </c>
      <c r="G1617" s="7">
        <v>45865.7173233785</v>
      </c>
    </row>
    <row r="1618">
      <c r="A1618" s="3" t="s">
        <v>5711</v>
      </c>
      <c r="B1618" s="3" t="s">
        <v>913</v>
      </c>
      <c r="C1618" s="3" t="s">
        <v>1342</v>
      </c>
      <c r="D1618" s="3" t="s">
        <v>68</v>
      </c>
      <c r="E1618" s="3" t="s">
        <v>100</v>
      </c>
      <c r="F1618" s="3" t="s">
        <v>1743</v>
      </c>
      <c r="G1618" s="7">
        <v>45865.78849822391</v>
      </c>
    </row>
    <row r="1619">
      <c r="A1619" s="3" t="s">
        <v>5715</v>
      </c>
      <c r="B1619" s="3" t="s">
        <v>369</v>
      </c>
      <c r="C1619" s="3" t="s">
        <v>56</v>
      </c>
      <c r="D1619" s="3" t="s">
        <v>68</v>
      </c>
      <c r="E1619" s="3" t="s">
        <v>100</v>
      </c>
      <c r="F1619" s="3" t="s">
        <v>2081</v>
      </c>
      <c r="G1619" s="7">
        <v>45865.85967306933</v>
      </c>
    </row>
    <row r="1620">
      <c r="A1620" s="3" t="s">
        <v>5718</v>
      </c>
      <c r="B1620" s="3" t="s">
        <v>698</v>
      </c>
      <c r="C1620" s="3" t="s">
        <v>56</v>
      </c>
      <c r="D1620" s="3" t="s">
        <v>181</v>
      </c>
      <c r="E1620" s="3" t="s">
        <v>45</v>
      </c>
      <c r="F1620" s="3" t="s">
        <v>45</v>
      </c>
      <c r="G1620" s="7">
        <v>45865.930847914744</v>
      </c>
    </row>
    <row r="1621">
      <c r="A1621" s="3" t="s">
        <v>5720</v>
      </c>
      <c r="B1621" s="3" t="s">
        <v>151</v>
      </c>
      <c r="C1621" s="3" t="s">
        <v>1095</v>
      </c>
      <c r="D1621" s="3" t="s">
        <v>68</v>
      </c>
      <c r="E1621" s="3" t="s">
        <v>100</v>
      </c>
      <c r="F1621" s="3" t="s">
        <v>1645</v>
      </c>
      <c r="G1621" s="7">
        <v>45866.002022760156</v>
      </c>
    </row>
    <row r="1622">
      <c r="A1622" s="3" t="s">
        <v>5722</v>
      </c>
      <c r="B1622" s="3" t="s">
        <v>333</v>
      </c>
      <c r="C1622" s="3" t="s">
        <v>56</v>
      </c>
      <c r="D1622" s="3" t="s">
        <v>68</v>
      </c>
      <c r="E1622" s="3" t="s">
        <v>100</v>
      </c>
      <c r="F1622" s="3" t="s">
        <v>2083</v>
      </c>
      <c r="G1622" s="7">
        <v>45866.073197605576</v>
      </c>
    </row>
    <row r="1623">
      <c r="A1623" s="3" t="s">
        <v>5725</v>
      </c>
      <c r="B1623" s="3" t="s">
        <v>230</v>
      </c>
      <c r="C1623" s="3" t="s">
        <v>1342</v>
      </c>
      <c r="D1623" s="3" t="s">
        <v>68</v>
      </c>
      <c r="E1623" s="3" t="s">
        <v>100</v>
      </c>
      <c r="F1623" s="3" t="s">
        <v>1458</v>
      </c>
      <c r="G1623" s="7">
        <v>45866.144372450995</v>
      </c>
    </row>
    <row r="1624">
      <c r="A1624" s="3" t="s">
        <v>5728</v>
      </c>
      <c r="B1624" s="3" t="s">
        <v>778</v>
      </c>
      <c r="C1624" s="3" t="s">
        <v>1342</v>
      </c>
      <c r="D1624" s="3" t="s">
        <v>68</v>
      </c>
      <c r="E1624" s="3" t="s">
        <v>100</v>
      </c>
      <c r="F1624" s="3" t="s">
        <v>1733</v>
      </c>
      <c r="G1624" s="7">
        <v>45866.2155472964</v>
      </c>
    </row>
    <row r="1625">
      <c r="A1625" s="3" t="s">
        <v>5731</v>
      </c>
      <c r="B1625" s="3" t="s">
        <v>778</v>
      </c>
      <c r="C1625" s="3" t="s">
        <v>1095</v>
      </c>
      <c r="D1625" s="3" t="s">
        <v>68</v>
      </c>
      <c r="E1625" s="3" t="s">
        <v>100</v>
      </c>
      <c r="F1625" s="3" t="s">
        <v>1733</v>
      </c>
      <c r="G1625" s="7">
        <v>45866.28672214182</v>
      </c>
    </row>
    <row r="1626">
      <c r="A1626" s="3" t="s">
        <v>5734</v>
      </c>
      <c r="B1626" s="3" t="s">
        <v>369</v>
      </c>
      <c r="C1626" s="3" t="s">
        <v>1342</v>
      </c>
      <c r="D1626" s="3" t="s">
        <v>68</v>
      </c>
      <c r="E1626" s="3" t="s">
        <v>100</v>
      </c>
      <c r="F1626" s="3" t="s">
        <v>2081</v>
      </c>
      <c r="G1626" s="7">
        <v>45866.35789698724</v>
      </c>
    </row>
    <row r="1627">
      <c r="A1627" s="3" t="s">
        <v>5737</v>
      </c>
      <c r="B1627" s="3" t="s">
        <v>773</v>
      </c>
      <c r="C1627" s="3" t="s">
        <v>56</v>
      </c>
      <c r="D1627" s="3" t="s">
        <v>68</v>
      </c>
      <c r="E1627" s="3" t="s">
        <v>100</v>
      </c>
      <c r="F1627" s="3" t="s">
        <v>2085</v>
      </c>
      <c r="G1627" s="7">
        <v>45866.42907183265</v>
      </c>
    </row>
    <row r="1628">
      <c r="A1628" s="3" t="s">
        <v>5740</v>
      </c>
      <c r="B1628" s="3" t="s">
        <v>544</v>
      </c>
      <c r="C1628" s="3" t="s">
        <v>1342</v>
      </c>
      <c r="D1628" s="3" t="s">
        <v>68</v>
      </c>
      <c r="E1628" s="3" t="s">
        <v>100</v>
      </c>
      <c r="F1628" s="3" t="s">
        <v>1863</v>
      </c>
      <c r="G1628" s="7">
        <v>45866.500246678064</v>
      </c>
    </row>
    <row r="1629">
      <c r="A1629" s="3" t="s">
        <v>5743</v>
      </c>
      <c r="B1629" s="3" t="s">
        <v>765</v>
      </c>
      <c r="C1629" s="3" t="s">
        <v>56</v>
      </c>
      <c r="D1629" s="3" t="s">
        <v>68</v>
      </c>
      <c r="E1629" s="3" t="s">
        <v>100</v>
      </c>
      <c r="F1629" s="3" t="s">
        <v>2088</v>
      </c>
      <c r="G1629" s="7">
        <v>45866.571421523484</v>
      </c>
    </row>
    <row r="1630">
      <c r="A1630" s="3" t="s">
        <v>5746</v>
      </c>
      <c r="B1630" s="3" t="s">
        <v>913</v>
      </c>
      <c r="C1630" s="3" t="s">
        <v>1342</v>
      </c>
      <c r="D1630" s="3" t="s">
        <v>68</v>
      </c>
      <c r="E1630" s="3" t="s">
        <v>100</v>
      </c>
      <c r="F1630" s="3" t="s">
        <v>1743</v>
      </c>
      <c r="G1630" s="7">
        <v>45866.642596368896</v>
      </c>
    </row>
    <row r="1631">
      <c r="A1631" s="3" t="s">
        <v>5749</v>
      </c>
      <c r="B1631" s="3" t="s">
        <v>763</v>
      </c>
      <c r="C1631" s="3" t="s">
        <v>1342</v>
      </c>
      <c r="D1631" s="3" t="s">
        <v>68</v>
      </c>
      <c r="E1631" s="3" t="s">
        <v>100</v>
      </c>
      <c r="F1631" s="3" t="s">
        <v>2023</v>
      </c>
      <c r="G1631" s="7">
        <v>45866.71377121431</v>
      </c>
    </row>
    <row r="1632">
      <c r="A1632" s="3" t="s">
        <v>5752</v>
      </c>
      <c r="B1632" s="3" t="s">
        <v>557</v>
      </c>
      <c r="C1632" s="3" t="s">
        <v>1342</v>
      </c>
      <c r="D1632" s="3" t="s">
        <v>68</v>
      </c>
      <c r="E1632" s="3" t="s">
        <v>100</v>
      </c>
      <c r="F1632" s="3" t="s">
        <v>1927</v>
      </c>
      <c r="G1632" s="7">
        <v>45866.78494605973</v>
      </c>
    </row>
    <row r="1633">
      <c r="A1633" s="3" t="s">
        <v>5756</v>
      </c>
      <c r="B1633" s="3" t="s">
        <v>519</v>
      </c>
      <c r="C1633" s="3" t="s">
        <v>1095</v>
      </c>
      <c r="D1633" s="3" t="s">
        <v>68</v>
      </c>
      <c r="E1633" s="3" t="s">
        <v>100</v>
      </c>
      <c r="F1633" s="3" t="s">
        <v>1587</v>
      </c>
      <c r="G1633" s="7">
        <v>45866.85612090514</v>
      </c>
    </row>
    <row r="1634">
      <c r="A1634" s="3" t="s">
        <v>5759</v>
      </c>
      <c r="B1634" s="3" t="s">
        <v>805</v>
      </c>
      <c r="C1634" s="3" t="s">
        <v>1342</v>
      </c>
      <c r="D1634" s="3" t="s">
        <v>68</v>
      </c>
      <c r="E1634" s="3" t="s">
        <v>100</v>
      </c>
      <c r="F1634" s="3" t="s">
        <v>1403</v>
      </c>
      <c r="G1634" s="7">
        <v>45866.92729575055</v>
      </c>
    </row>
    <row r="1635">
      <c r="A1635" s="3" t="s">
        <v>5763</v>
      </c>
      <c r="B1635" s="3" t="s">
        <v>587</v>
      </c>
      <c r="C1635" s="3" t="s">
        <v>56</v>
      </c>
      <c r="D1635" s="3" t="s">
        <v>68</v>
      </c>
      <c r="E1635" s="3" t="s">
        <v>100</v>
      </c>
      <c r="F1635" s="3" t="s">
        <v>2091</v>
      </c>
      <c r="G1635" s="7">
        <v>45866.99847059597</v>
      </c>
    </row>
    <row r="1636">
      <c r="A1636" s="3" t="s">
        <v>5766</v>
      </c>
      <c r="B1636" s="3" t="s">
        <v>168</v>
      </c>
      <c r="C1636" s="3" t="s">
        <v>1095</v>
      </c>
      <c r="D1636" s="3" t="s">
        <v>68</v>
      </c>
      <c r="E1636" s="3" t="s">
        <v>100</v>
      </c>
      <c r="F1636" s="3" t="s">
        <v>1925</v>
      </c>
      <c r="G1636" s="7">
        <v>45867.069645441385</v>
      </c>
    </row>
    <row r="1637">
      <c r="A1637" s="3" t="s">
        <v>5768</v>
      </c>
      <c r="B1637" s="3" t="s">
        <v>287</v>
      </c>
      <c r="C1637" s="3" t="s">
        <v>1095</v>
      </c>
      <c r="D1637" s="3" t="s">
        <v>68</v>
      </c>
      <c r="E1637" s="3" t="s">
        <v>100</v>
      </c>
      <c r="F1637" s="3" t="s">
        <v>1763</v>
      </c>
      <c r="G1637" s="7">
        <v>45867.1408202868</v>
      </c>
    </row>
    <row r="1638">
      <c r="A1638" s="3" t="s">
        <v>5770</v>
      </c>
      <c r="B1638" s="3" t="s">
        <v>969</v>
      </c>
      <c r="C1638" s="3" t="s">
        <v>1342</v>
      </c>
      <c r="D1638" s="3" t="s">
        <v>68</v>
      </c>
      <c r="E1638" s="3" t="s">
        <v>100</v>
      </c>
      <c r="F1638" s="3" t="s">
        <v>1833</v>
      </c>
      <c r="G1638" s="7">
        <v>45867.21199513222</v>
      </c>
    </row>
    <row r="1639">
      <c r="A1639" s="3" t="s">
        <v>5772</v>
      </c>
      <c r="B1639" s="3" t="s">
        <v>179</v>
      </c>
      <c r="C1639" s="3" t="s">
        <v>1095</v>
      </c>
      <c r="D1639" s="3" t="s">
        <v>68</v>
      </c>
      <c r="E1639" s="3" t="s">
        <v>100</v>
      </c>
      <c r="F1639" s="3" t="s">
        <v>1939</v>
      </c>
      <c r="G1639" s="7">
        <v>45867.283169977636</v>
      </c>
    </row>
    <row r="1640">
      <c r="A1640" s="3" t="s">
        <v>5775</v>
      </c>
      <c r="B1640" s="3" t="s">
        <v>575</v>
      </c>
      <c r="C1640" s="3" t="s">
        <v>1342</v>
      </c>
      <c r="D1640" s="3" t="s">
        <v>195</v>
      </c>
      <c r="E1640" s="3" t="s">
        <v>45</v>
      </c>
      <c r="F1640" s="3" t="s">
        <v>1654</v>
      </c>
      <c r="G1640" s="7">
        <v>45867.35434482304</v>
      </c>
    </row>
    <row r="1641">
      <c r="A1641" s="3" t="s">
        <v>5779</v>
      </c>
      <c r="B1641" s="3" t="s">
        <v>436</v>
      </c>
      <c r="C1641" s="3" t="s">
        <v>56</v>
      </c>
      <c r="D1641" s="3" t="s">
        <v>68</v>
      </c>
      <c r="E1641" s="3" t="s">
        <v>100</v>
      </c>
      <c r="F1641" s="3" t="s">
        <v>2093</v>
      </c>
      <c r="G1641" s="7">
        <v>45867.42551966846</v>
      </c>
    </row>
    <row r="1642">
      <c r="A1642" s="3" t="s">
        <v>5782</v>
      </c>
      <c r="B1642" s="3" t="s">
        <v>348</v>
      </c>
      <c r="C1642" s="3" t="s">
        <v>1342</v>
      </c>
      <c r="D1642" s="3" t="s">
        <v>68</v>
      </c>
      <c r="E1642" s="3" t="s">
        <v>100</v>
      </c>
      <c r="F1642" s="3" t="s">
        <v>2028</v>
      </c>
      <c r="G1642" s="7">
        <v>45867.49669451388</v>
      </c>
    </row>
    <row r="1643">
      <c r="A1643" s="3" t="s">
        <v>5785</v>
      </c>
      <c r="B1643" s="3" t="s">
        <v>533</v>
      </c>
      <c r="C1643" s="3" t="s">
        <v>56</v>
      </c>
      <c r="D1643" s="3" t="s">
        <v>68</v>
      </c>
      <c r="E1643" s="3" t="s">
        <v>100</v>
      </c>
      <c r="F1643" s="3" t="s">
        <v>2096</v>
      </c>
      <c r="G1643" s="7">
        <v>45867.56786935929</v>
      </c>
    </row>
    <row r="1644">
      <c r="A1644" s="3" t="s">
        <v>5788</v>
      </c>
      <c r="B1644" s="3" t="s">
        <v>1037</v>
      </c>
      <c r="C1644" s="3" t="s">
        <v>1342</v>
      </c>
      <c r="D1644" s="3" t="s">
        <v>68</v>
      </c>
      <c r="E1644" s="3" t="s">
        <v>100</v>
      </c>
      <c r="F1644" s="3" t="s">
        <v>1276</v>
      </c>
      <c r="G1644" s="7">
        <v>45867.639044204705</v>
      </c>
    </row>
    <row r="1645">
      <c r="A1645" s="3" t="s">
        <v>5791</v>
      </c>
      <c r="B1645" s="3" t="s">
        <v>640</v>
      </c>
      <c r="C1645" s="3" t="s">
        <v>1095</v>
      </c>
      <c r="D1645" s="3" t="s">
        <v>68</v>
      </c>
      <c r="E1645" s="3" t="s">
        <v>100</v>
      </c>
      <c r="F1645" s="3" t="s">
        <v>1650</v>
      </c>
      <c r="G1645" s="7">
        <v>45867.710219050125</v>
      </c>
    </row>
    <row r="1646">
      <c r="A1646" s="3" t="s">
        <v>5794</v>
      </c>
      <c r="B1646" s="3" t="s">
        <v>746</v>
      </c>
      <c r="C1646" s="3" t="s">
        <v>1342</v>
      </c>
      <c r="D1646" s="3" t="s">
        <v>68</v>
      </c>
      <c r="E1646" s="3" t="s">
        <v>100</v>
      </c>
      <c r="F1646" s="3" t="s">
        <v>1837</v>
      </c>
      <c r="G1646" s="7">
        <v>45867.78139389554</v>
      </c>
    </row>
    <row r="1647">
      <c r="A1647" s="3" t="s">
        <v>5797</v>
      </c>
      <c r="B1647" s="3" t="s">
        <v>460</v>
      </c>
      <c r="C1647" s="3" t="s">
        <v>56</v>
      </c>
      <c r="D1647" s="3" t="s">
        <v>68</v>
      </c>
      <c r="E1647" s="3" t="s">
        <v>100</v>
      </c>
      <c r="F1647" s="3" t="s">
        <v>2099</v>
      </c>
      <c r="G1647" s="7">
        <v>45867.85256874095</v>
      </c>
    </row>
    <row r="1648">
      <c r="A1648" s="3" t="s">
        <v>5800</v>
      </c>
      <c r="B1648" s="3" t="s">
        <v>550</v>
      </c>
      <c r="C1648" s="3" t="s">
        <v>56</v>
      </c>
      <c r="D1648" s="3" t="s">
        <v>68</v>
      </c>
      <c r="E1648" s="3" t="s">
        <v>100</v>
      </c>
      <c r="F1648" s="3" t="s">
        <v>2101</v>
      </c>
      <c r="G1648" s="7">
        <v>45867.92374358637</v>
      </c>
    </row>
    <row r="1649">
      <c r="A1649" s="3" t="s">
        <v>5804</v>
      </c>
      <c r="B1649" s="3" t="s">
        <v>593</v>
      </c>
      <c r="C1649" s="3" t="s">
        <v>1342</v>
      </c>
      <c r="D1649" s="3" t="s">
        <v>68</v>
      </c>
      <c r="E1649" s="3" t="s">
        <v>100</v>
      </c>
      <c r="F1649" s="3" t="s">
        <v>1598</v>
      </c>
      <c r="G1649" s="7">
        <v>45867.99491843179</v>
      </c>
    </row>
    <row r="1650">
      <c r="A1650" s="3" t="s">
        <v>5806</v>
      </c>
      <c r="B1650" s="3" t="s">
        <v>400</v>
      </c>
      <c r="C1650" s="3" t="s">
        <v>56</v>
      </c>
      <c r="D1650" s="3" t="s">
        <v>68</v>
      </c>
      <c r="E1650" s="3" t="s">
        <v>100</v>
      </c>
      <c r="F1650" s="3" t="s">
        <v>2103</v>
      </c>
      <c r="G1650" s="7">
        <v>45868.06609327719</v>
      </c>
    </row>
    <row r="1651">
      <c r="A1651" s="3" t="s">
        <v>5809</v>
      </c>
      <c r="B1651" s="3" t="s">
        <v>800</v>
      </c>
      <c r="C1651" s="3" t="s">
        <v>1342</v>
      </c>
      <c r="D1651" s="3" t="s">
        <v>181</v>
      </c>
      <c r="E1651" s="3" t="s">
        <v>45</v>
      </c>
      <c r="F1651" s="3" t="s">
        <v>1408</v>
      </c>
      <c r="G1651" s="7">
        <v>45868.13726812261</v>
      </c>
    </row>
    <row r="1652">
      <c r="A1652" s="3" t="s">
        <v>5812</v>
      </c>
      <c r="B1652" s="3" t="s">
        <v>676</v>
      </c>
      <c r="C1652" s="3" t="s">
        <v>1342</v>
      </c>
      <c r="D1652" s="3" t="s">
        <v>68</v>
      </c>
      <c r="E1652" s="3" t="s">
        <v>100</v>
      </c>
      <c r="F1652" s="3" t="s">
        <v>2009</v>
      </c>
      <c r="G1652" s="7">
        <v>45868.208442968025</v>
      </c>
    </row>
    <row r="1653">
      <c r="A1653" s="3" t="s">
        <v>5816</v>
      </c>
      <c r="B1653" s="3" t="s">
        <v>239</v>
      </c>
      <c r="C1653" s="3" t="s">
        <v>1095</v>
      </c>
      <c r="D1653" s="3" t="s">
        <v>68</v>
      </c>
      <c r="E1653" s="3" t="s">
        <v>100</v>
      </c>
      <c r="F1653" s="3" t="s">
        <v>1211</v>
      </c>
      <c r="G1653" s="7">
        <v>45868.279617813445</v>
      </c>
    </row>
    <row r="1654">
      <c r="A1654" s="3" t="s">
        <v>5819</v>
      </c>
      <c r="B1654" s="3" t="s">
        <v>183</v>
      </c>
      <c r="C1654" s="3" t="s">
        <v>1342</v>
      </c>
      <c r="D1654" s="3" t="s">
        <v>68</v>
      </c>
      <c r="E1654" s="3" t="s">
        <v>100</v>
      </c>
      <c r="F1654" s="3" t="s">
        <v>1488</v>
      </c>
      <c r="G1654" s="7">
        <v>45868.35079265886</v>
      </c>
    </row>
    <row r="1655">
      <c r="A1655" s="3" t="s">
        <v>5822</v>
      </c>
      <c r="B1655" s="3" t="s">
        <v>1040</v>
      </c>
      <c r="C1655" s="3" t="s">
        <v>1095</v>
      </c>
      <c r="D1655" s="3" t="s">
        <v>68</v>
      </c>
      <c r="E1655" s="3" t="s">
        <v>100</v>
      </c>
      <c r="F1655" s="3" t="s">
        <v>1248</v>
      </c>
      <c r="G1655" s="7">
        <v>45868.42196750428</v>
      </c>
    </row>
    <row r="1656">
      <c r="A1656" s="3" t="s">
        <v>5825</v>
      </c>
      <c r="B1656" s="3" t="s">
        <v>247</v>
      </c>
      <c r="C1656" s="3" t="s">
        <v>1342</v>
      </c>
      <c r="D1656" s="3" t="s">
        <v>68</v>
      </c>
      <c r="E1656" s="3" t="s">
        <v>100</v>
      </c>
      <c r="F1656" s="3" t="s">
        <v>2072</v>
      </c>
      <c r="G1656" s="7">
        <v>45868.49314234968</v>
      </c>
    </row>
    <row r="1657">
      <c r="A1657" s="3" t="s">
        <v>5828</v>
      </c>
      <c r="B1657" s="3" t="s">
        <v>544</v>
      </c>
      <c r="C1657" s="3" t="s">
        <v>1095</v>
      </c>
      <c r="D1657" s="3" t="s">
        <v>68</v>
      </c>
      <c r="E1657" s="3" t="s">
        <v>100</v>
      </c>
      <c r="F1657" s="3" t="s">
        <v>1863</v>
      </c>
      <c r="G1657" s="7">
        <v>45868.5643171951</v>
      </c>
    </row>
    <row r="1658">
      <c r="A1658" s="3" t="s">
        <v>5830</v>
      </c>
      <c r="B1658" s="3" t="s">
        <v>658</v>
      </c>
      <c r="C1658" s="3" t="s">
        <v>56</v>
      </c>
      <c r="D1658" s="3" t="s">
        <v>68</v>
      </c>
      <c r="E1658" s="3" t="s">
        <v>100</v>
      </c>
      <c r="F1658" s="3" t="s">
        <v>2105</v>
      </c>
      <c r="G1658" s="7">
        <v>45868.63549204052</v>
      </c>
    </row>
    <row r="1659">
      <c r="A1659" s="3" t="s">
        <v>5835</v>
      </c>
      <c r="B1659" s="3" t="s">
        <v>763</v>
      </c>
      <c r="C1659" s="3" t="s">
        <v>1095</v>
      </c>
      <c r="D1659" s="3" t="s">
        <v>68</v>
      </c>
      <c r="E1659" s="3" t="s">
        <v>100</v>
      </c>
      <c r="F1659" s="3" t="s">
        <v>2023</v>
      </c>
      <c r="G1659" s="7">
        <v>45868.70666688593</v>
      </c>
    </row>
    <row r="1660">
      <c r="A1660" s="3" t="s">
        <v>5838</v>
      </c>
      <c r="B1660" s="3" t="s">
        <v>943</v>
      </c>
      <c r="C1660" s="3" t="s">
        <v>1095</v>
      </c>
      <c r="D1660" s="3" t="s">
        <v>68</v>
      </c>
      <c r="E1660" s="3" t="s">
        <v>100</v>
      </c>
      <c r="F1660" s="3" t="s">
        <v>1079</v>
      </c>
      <c r="G1660" s="7">
        <v>45868.777841731346</v>
      </c>
    </row>
    <row r="1661">
      <c r="A1661" s="3" t="s">
        <v>5841</v>
      </c>
      <c r="B1661" s="3" t="s">
        <v>391</v>
      </c>
      <c r="C1661" s="3" t="s">
        <v>1095</v>
      </c>
      <c r="D1661" s="3" t="s">
        <v>68</v>
      </c>
      <c r="E1661" s="3" t="s">
        <v>100</v>
      </c>
      <c r="F1661" s="3" t="s">
        <v>1083</v>
      </c>
      <c r="G1661" s="7">
        <v>45868.849016576765</v>
      </c>
    </row>
    <row r="1662">
      <c r="A1662" s="3" t="s">
        <v>5844</v>
      </c>
      <c r="B1662" s="3" t="s">
        <v>1008</v>
      </c>
      <c r="C1662" s="3" t="s">
        <v>56</v>
      </c>
      <c r="D1662" s="3" t="s">
        <v>68</v>
      </c>
      <c r="E1662" s="3" t="s">
        <v>100</v>
      </c>
      <c r="F1662" s="3" t="s">
        <v>2108</v>
      </c>
      <c r="G1662" s="7">
        <v>45868.92019142218</v>
      </c>
    </row>
    <row r="1663">
      <c r="A1663" s="3" t="s">
        <v>5846</v>
      </c>
      <c r="B1663" s="3" t="s">
        <v>704</v>
      </c>
      <c r="C1663" s="3" t="s">
        <v>1095</v>
      </c>
      <c r="D1663" s="3" t="s">
        <v>68</v>
      </c>
      <c r="E1663" s="3" t="s">
        <v>100</v>
      </c>
      <c r="F1663" s="3" t="s">
        <v>1177</v>
      </c>
      <c r="G1663" s="7">
        <v>45868.99136626759</v>
      </c>
    </row>
    <row r="1664">
      <c r="A1664" s="3" t="s">
        <v>5849</v>
      </c>
      <c r="B1664" s="3" t="s">
        <v>629</v>
      </c>
      <c r="C1664" s="3" t="s">
        <v>1342</v>
      </c>
      <c r="D1664" s="3" t="s">
        <v>68</v>
      </c>
      <c r="E1664" s="3" t="s">
        <v>100</v>
      </c>
      <c r="F1664" s="3" t="s">
        <v>1563</v>
      </c>
      <c r="G1664" s="7">
        <v>45869.06254111301</v>
      </c>
    </row>
    <row r="1665">
      <c r="A1665" s="3" t="s">
        <v>5852</v>
      </c>
      <c r="B1665" s="3" t="s">
        <v>151</v>
      </c>
      <c r="C1665" s="3" t="s">
        <v>56</v>
      </c>
      <c r="D1665" s="3" t="s">
        <v>181</v>
      </c>
      <c r="E1665" s="3" t="s">
        <v>45</v>
      </c>
      <c r="F1665" s="3" t="s">
        <v>45</v>
      </c>
      <c r="G1665" s="7">
        <v>45869.13371595843</v>
      </c>
    </row>
    <row r="1666">
      <c r="A1666" s="3" t="s">
        <v>5855</v>
      </c>
      <c r="B1666" s="3" t="s">
        <v>287</v>
      </c>
      <c r="C1666" s="3" t="s">
        <v>56</v>
      </c>
      <c r="D1666" s="3" t="s">
        <v>181</v>
      </c>
      <c r="E1666" s="3" t="s">
        <v>45</v>
      </c>
      <c r="F1666" s="3" t="s">
        <v>45</v>
      </c>
      <c r="G1666" s="7">
        <v>45869.204890803834</v>
      </c>
    </row>
    <row r="1667">
      <c r="A1667" s="3" t="s">
        <v>5858</v>
      </c>
      <c r="B1667" s="3" t="s">
        <v>793</v>
      </c>
      <c r="C1667" s="3" t="s">
        <v>1342</v>
      </c>
      <c r="D1667" s="3" t="s">
        <v>68</v>
      </c>
      <c r="E1667" s="3" t="s">
        <v>100</v>
      </c>
      <c r="F1667" s="3" t="s">
        <v>2067</v>
      </c>
      <c r="G1667" s="7">
        <v>45869.276065649254</v>
      </c>
    </row>
    <row r="1668">
      <c r="A1668" s="3" t="s">
        <v>5862</v>
      </c>
      <c r="B1668" s="3" t="s">
        <v>512</v>
      </c>
      <c r="C1668" s="3" t="s">
        <v>1342</v>
      </c>
      <c r="D1668" s="3" t="s">
        <v>68</v>
      </c>
      <c r="E1668" s="3" t="s">
        <v>100</v>
      </c>
      <c r="F1668" s="3" t="s">
        <v>1946</v>
      </c>
      <c r="G1668" s="7">
        <v>45869.34724049467</v>
      </c>
    </row>
    <row r="1669">
      <c r="A1669" s="3" t="s">
        <v>5865</v>
      </c>
      <c r="B1669" s="3" t="s">
        <v>727</v>
      </c>
      <c r="C1669" s="3" t="s">
        <v>1095</v>
      </c>
      <c r="D1669" s="3" t="s">
        <v>68</v>
      </c>
      <c r="E1669" s="3" t="s">
        <v>100</v>
      </c>
      <c r="F1669" s="3" t="s">
        <v>1602</v>
      </c>
      <c r="G1669" s="7">
        <v>45869.418415340086</v>
      </c>
    </row>
    <row r="1670">
      <c r="A1670" s="3" t="s">
        <v>5868</v>
      </c>
      <c r="B1670" s="3" t="s">
        <v>937</v>
      </c>
      <c r="C1670" s="3" t="s">
        <v>56</v>
      </c>
      <c r="D1670" s="3" t="s">
        <v>68</v>
      </c>
      <c r="E1670" s="3" t="s">
        <v>100</v>
      </c>
      <c r="F1670" s="3" t="s">
        <v>2111</v>
      </c>
      <c r="G1670" s="7">
        <v>45869.4895901855</v>
      </c>
    </row>
    <row r="1671">
      <c r="A1671" s="3" t="s">
        <v>5871</v>
      </c>
      <c r="B1671" s="3" t="s">
        <v>845</v>
      </c>
      <c r="C1671" s="3" t="s">
        <v>1095</v>
      </c>
      <c r="D1671" s="3" t="s">
        <v>68</v>
      </c>
      <c r="E1671" s="3" t="s">
        <v>100</v>
      </c>
      <c r="F1671" s="3" t="s">
        <v>1413</v>
      </c>
      <c r="G1671" s="7">
        <v>45869.56076503092</v>
      </c>
    </row>
    <row r="1672">
      <c r="A1672" s="3" t="s">
        <v>5874</v>
      </c>
      <c r="B1672" s="3" t="s">
        <v>1011</v>
      </c>
      <c r="C1672" s="3" t="s">
        <v>56</v>
      </c>
      <c r="D1672" s="3" t="s">
        <v>195</v>
      </c>
      <c r="E1672" s="3" t="s">
        <v>45</v>
      </c>
      <c r="F1672" s="3" t="s">
        <v>45</v>
      </c>
      <c r="G1672" s="7">
        <v>45869.63193987633</v>
      </c>
    </row>
    <row r="1673">
      <c r="A1673" s="3" t="s">
        <v>5877</v>
      </c>
      <c r="B1673" s="3" t="s">
        <v>722</v>
      </c>
      <c r="C1673" s="3" t="s">
        <v>1342</v>
      </c>
      <c r="D1673" s="3" t="s">
        <v>68</v>
      </c>
      <c r="E1673" s="3" t="s">
        <v>100</v>
      </c>
      <c r="F1673" s="3" t="s">
        <v>1735</v>
      </c>
      <c r="G1673" s="7">
        <v>45869.70311472174</v>
      </c>
    </row>
    <row r="1674">
      <c r="A1674" s="3" t="s">
        <v>5880</v>
      </c>
      <c r="B1674" s="3" t="s">
        <v>922</v>
      </c>
      <c r="C1674" s="3" t="s">
        <v>1342</v>
      </c>
      <c r="D1674" s="3" t="s">
        <v>68</v>
      </c>
      <c r="E1674" s="3" t="s">
        <v>100</v>
      </c>
      <c r="F1674" s="3" t="s">
        <v>1907</v>
      </c>
      <c r="G1674" s="7">
        <v>45869.77428956716</v>
      </c>
    </row>
    <row r="1675">
      <c r="A1675" s="3" t="s">
        <v>5883</v>
      </c>
      <c r="B1675" s="3" t="s">
        <v>341</v>
      </c>
      <c r="C1675" s="3" t="s">
        <v>1342</v>
      </c>
      <c r="D1675" s="3" t="s">
        <v>68</v>
      </c>
      <c r="E1675" s="3" t="s">
        <v>100</v>
      </c>
      <c r="F1675" s="3" t="s">
        <v>2001</v>
      </c>
      <c r="G1675" s="7">
        <v>45869.845464412574</v>
      </c>
    </row>
    <row r="1676">
      <c r="A1676" s="3" t="s">
        <v>5886</v>
      </c>
      <c r="B1676" s="3" t="s">
        <v>598</v>
      </c>
      <c r="C1676" s="3" t="s">
        <v>56</v>
      </c>
      <c r="D1676" s="3" t="s">
        <v>68</v>
      </c>
      <c r="E1676" s="3" t="s">
        <v>100</v>
      </c>
      <c r="F1676" s="3" t="s">
        <v>2113</v>
      </c>
      <c r="G1676" s="7">
        <v>45869.91663925799</v>
      </c>
    </row>
    <row r="1677">
      <c r="A1677" s="3" t="s">
        <v>5890</v>
      </c>
      <c r="B1677" s="3" t="s">
        <v>436</v>
      </c>
      <c r="C1677" s="3" t="s">
        <v>1342</v>
      </c>
      <c r="D1677" s="3" t="s">
        <v>68</v>
      </c>
      <c r="E1677" s="3" t="s">
        <v>100</v>
      </c>
      <c r="F1677" s="3" t="s">
        <v>2093</v>
      </c>
      <c r="G1677" s="7">
        <v>45869.987814103406</v>
      </c>
    </row>
    <row r="1678">
      <c r="A1678" s="3" t="s">
        <v>5893</v>
      </c>
      <c r="B1678" s="3" t="s">
        <v>600</v>
      </c>
      <c r="C1678" s="3" t="s">
        <v>1342</v>
      </c>
      <c r="D1678" s="3" t="s">
        <v>68</v>
      </c>
      <c r="E1678" s="3" t="s">
        <v>100</v>
      </c>
      <c r="F1678" s="3" t="s">
        <v>1789</v>
      </c>
      <c r="G1678" s="7">
        <v>45870.05898894882</v>
      </c>
    </row>
    <row r="1679">
      <c r="A1679" s="3" t="s">
        <v>5896</v>
      </c>
      <c r="B1679" s="3" t="s">
        <v>302</v>
      </c>
      <c r="C1679" s="3" t="s">
        <v>1342</v>
      </c>
      <c r="D1679" s="3" t="s">
        <v>68</v>
      </c>
      <c r="E1679" s="3" t="s">
        <v>100</v>
      </c>
      <c r="F1679" s="3" t="s">
        <v>1491</v>
      </c>
      <c r="G1679" s="7">
        <v>45870.13016379423</v>
      </c>
    </row>
    <row r="1680">
      <c r="A1680" s="3" t="s">
        <v>5898</v>
      </c>
      <c r="B1680" s="3" t="s">
        <v>380</v>
      </c>
      <c r="C1680" s="3" t="s">
        <v>56</v>
      </c>
      <c r="D1680" s="3" t="s">
        <v>68</v>
      </c>
      <c r="E1680" s="3" t="s">
        <v>100</v>
      </c>
      <c r="F1680" s="3" t="s">
        <v>2115</v>
      </c>
      <c r="G1680" s="7">
        <v>45870.20133863965</v>
      </c>
    </row>
    <row r="1681">
      <c r="A1681" s="3" t="s">
        <v>5900</v>
      </c>
      <c r="B1681" s="3" t="s">
        <v>704</v>
      </c>
      <c r="C1681" s="3" t="s">
        <v>56</v>
      </c>
      <c r="D1681" s="3" t="s">
        <v>68</v>
      </c>
      <c r="E1681" s="3" t="s">
        <v>100</v>
      </c>
      <c r="F1681" s="3" t="s">
        <v>2118</v>
      </c>
      <c r="G1681" s="7">
        <v>45870.27251348507</v>
      </c>
    </row>
    <row r="1682">
      <c r="A1682" s="3" t="s">
        <v>5903</v>
      </c>
      <c r="B1682" s="3" t="s">
        <v>937</v>
      </c>
      <c r="C1682" s="3" t="s">
        <v>1342</v>
      </c>
      <c r="D1682" s="3" t="s">
        <v>68</v>
      </c>
      <c r="E1682" s="3" t="s">
        <v>100</v>
      </c>
      <c r="F1682" s="3" t="s">
        <v>2111</v>
      </c>
      <c r="G1682" s="7">
        <v>45870.343688330475</v>
      </c>
    </row>
    <row r="1683">
      <c r="A1683" s="3" t="s">
        <v>5905</v>
      </c>
      <c r="B1683" s="3" t="s">
        <v>348</v>
      </c>
      <c r="C1683" s="3" t="s">
        <v>1342</v>
      </c>
      <c r="D1683" s="3" t="s">
        <v>68</v>
      </c>
      <c r="E1683" s="3" t="s">
        <v>100</v>
      </c>
      <c r="F1683" s="3" t="s">
        <v>2028</v>
      </c>
      <c r="G1683" s="7">
        <v>45870.414863175894</v>
      </c>
    </row>
    <row r="1684">
      <c r="A1684" s="3" t="s">
        <v>5908</v>
      </c>
      <c r="B1684" s="3" t="s">
        <v>485</v>
      </c>
      <c r="C1684" s="3" t="s">
        <v>1095</v>
      </c>
      <c r="D1684" s="3" t="s">
        <v>195</v>
      </c>
      <c r="E1684" s="3" t="s">
        <v>45</v>
      </c>
      <c r="F1684" s="3" t="s">
        <v>1983</v>
      </c>
      <c r="G1684" s="7">
        <v>45870.486038021314</v>
      </c>
    </row>
    <row r="1685">
      <c r="A1685" s="3" t="s">
        <v>5911</v>
      </c>
      <c r="B1685" s="3" t="s">
        <v>247</v>
      </c>
      <c r="C1685" s="3" t="s">
        <v>1095</v>
      </c>
      <c r="D1685" s="3" t="s">
        <v>68</v>
      </c>
      <c r="E1685" s="3" t="s">
        <v>100</v>
      </c>
      <c r="F1685" s="3" t="s">
        <v>2072</v>
      </c>
      <c r="G1685" s="7">
        <v>45870.557212866726</v>
      </c>
    </row>
    <row r="1686">
      <c r="A1686" s="3" t="s">
        <v>5914</v>
      </c>
      <c r="B1686" s="3" t="s">
        <v>678</v>
      </c>
      <c r="C1686" s="3" t="s">
        <v>1095</v>
      </c>
      <c r="D1686" s="3" t="s">
        <v>195</v>
      </c>
      <c r="E1686" s="3" t="s">
        <v>45</v>
      </c>
      <c r="F1686" s="3" t="s">
        <v>1797</v>
      </c>
      <c r="G1686" s="7">
        <v>45870.62838771214</v>
      </c>
    </row>
    <row r="1687">
      <c r="A1687" s="3" t="s">
        <v>5917</v>
      </c>
      <c r="B1687" s="3" t="s">
        <v>870</v>
      </c>
      <c r="C1687" s="3" t="s">
        <v>1342</v>
      </c>
      <c r="D1687" s="3" t="s">
        <v>68</v>
      </c>
      <c r="E1687" s="3" t="s">
        <v>100</v>
      </c>
      <c r="F1687" s="3" t="s">
        <v>2047</v>
      </c>
      <c r="G1687" s="7">
        <v>45870.69956255756</v>
      </c>
    </row>
    <row r="1688">
      <c r="A1688" s="3" t="s">
        <v>5920</v>
      </c>
      <c r="B1688" s="3" t="s">
        <v>348</v>
      </c>
      <c r="C1688" s="3" t="s">
        <v>1342</v>
      </c>
      <c r="D1688" s="3" t="s">
        <v>68</v>
      </c>
      <c r="E1688" s="3" t="s">
        <v>100</v>
      </c>
      <c r="F1688" s="3" t="s">
        <v>2028</v>
      </c>
      <c r="G1688" s="7">
        <v>45870.77073740297</v>
      </c>
    </row>
    <row r="1689">
      <c r="A1689" s="3" t="s">
        <v>5923</v>
      </c>
      <c r="B1689" s="3" t="s">
        <v>505</v>
      </c>
      <c r="C1689" s="3" t="s">
        <v>1095</v>
      </c>
      <c r="D1689" s="3" t="s">
        <v>68</v>
      </c>
      <c r="E1689" s="3" t="s">
        <v>100</v>
      </c>
      <c r="F1689" s="3" t="s">
        <v>2059</v>
      </c>
      <c r="G1689" s="7">
        <v>45870.84191224838</v>
      </c>
    </row>
    <row r="1690">
      <c r="A1690" s="3" t="s">
        <v>5926</v>
      </c>
      <c r="B1690" s="3" t="s">
        <v>307</v>
      </c>
      <c r="C1690" s="3" t="s">
        <v>56</v>
      </c>
      <c r="D1690" s="3" t="s">
        <v>68</v>
      </c>
      <c r="E1690" s="3" t="s">
        <v>100</v>
      </c>
      <c r="F1690" s="3" t="s">
        <v>2120</v>
      </c>
      <c r="G1690" s="7">
        <v>45870.9130870938</v>
      </c>
    </row>
    <row r="1691">
      <c r="A1691" s="3" t="s">
        <v>5929</v>
      </c>
      <c r="B1691" s="3" t="s">
        <v>491</v>
      </c>
      <c r="C1691" s="3" t="s">
        <v>56</v>
      </c>
      <c r="D1691" s="3" t="s">
        <v>68</v>
      </c>
      <c r="E1691" s="3" t="s">
        <v>100</v>
      </c>
      <c r="F1691" s="3" t="s">
        <v>2123</v>
      </c>
      <c r="G1691" s="7">
        <v>45870.98426193922</v>
      </c>
    </row>
    <row r="1692">
      <c r="A1692" s="3" t="s">
        <v>5934</v>
      </c>
      <c r="B1692" s="3" t="s">
        <v>922</v>
      </c>
      <c r="C1692" s="3" t="s">
        <v>1095</v>
      </c>
      <c r="D1692" s="3" t="s">
        <v>68</v>
      </c>
      <c r="E1692" s="3" t="s">
        <v>100</v>
      </c>
      <c r="F1692" s="3" t="s">
        <v>1907</v>
      </c>
      <c r="G1692" s="7">
        <v>45871.05543678463</v>
      </c>
    </row>
    <row r="1693">
      <c r="A1693" s="3" t="s">
        <v>5937</v>
      </c>
      <c r="B1693" s="3" t="s">
        <v>400</v>
      </c>
      <c r="C1693" s="3" t="s">
        <v>1342</v>
      </c>
      <c r="D1693" s="3" t="s">
        <v>68</v>
      </c>
      <c r="E1693" s="3" t="s">
        <v>100</v>
      </c>
      <c r="F1693" s="3" t="s">
        <v>2103</v>
      </c>
      <c r="G1693" s="7">
        <v>45871.12661163005</v>
      </c>
    </row>
    <row r="1694">
      <c r="A1694" s="3" t="s">
        <v>5940</v>
      </c>
      <c r="B1694" s="3" t="s">
        <v>141</v>
      </c>
      <c r="C1694" s="3" t="s">
        <v>1095</v>
      </c>
      <c r="D1694" s="3" t="s">
        <v>68</v>
      </c>
      <c r="E1694" s="3" t="s">
        <v>100</v>
      </c>
      <c r="F1694" s="3" t="s">
        <v>2041</v>
      </c>
      <c r="G1694" s="7">
        <v>45871.19778647546</v>
      </c>
    </row>
    <row r="1695">
      <c r="A1695" s="3" t="s">
        <v>5943</v>
      </c>
      <c r="B1695" s="3" t="s">
        <v>126</v>
      </c>
      <c r="C1695" s="3" t="s">
        <v>56</v>
      </c>
      <c r="D1695" s="3" t="s">
        <v>68</v>
      </c>
      <c r="E1695" s="3" t="s">
        <v>100</v>
      </c>
      <c r="F1695" s="3" t="s">
        <v>2126</v>
      </c>
      <c r="G1695" s="7">
        <v>45871.26896132088</v>
      </c>
    </row>
    <row r="1696">
      <c r="A1696" s="3" t="s">
        <v>5946</v>
      </c>
      <c r="B1696" s="3" t="s">
        <v>247</v>
      </c>
      <c r="C1696" s="3" t="s">
        <v>56</v>
      </c>
      <c r="D1696" s="3" t="s">
        <v>68</v>
      </c>
      <c r="E1696" s="3" t="s">
        <v>100</v>
      </c>
      <c r="F1696" s="3" t="s">
        <v>470</v>
      </c>
      <c r="G1696" s="7">
        <v>45871.34013616629</v>
      </c>
    </row>
    <row r="1697">
      <c r="A1697" s="3" t="s">
        <v>5949</v>
      </c>
      <c r="B1697" s="3" t="s">
        <v>356</v>
      </c>
      <c r="C1697" s="3" t="s">
        <v>1342</v>
      </c>
      <c r="D1697" s="3" t="s">
        <v>181</v>
      </c>
      <c r="E1697" s="3" t="s">
        <v>45</v>
      </c>
      <c r="F1697" s="3" t="s">
        <v>1609</v>
      </c>
      <c r="G1697" s="7">
        <v>45871.41131101171</v>
      </c>
    </row>
    <row r="1698">
      <c r="A1698" s="3" t="s">
        <v>5952</v>
      </c>
      <c r="B1698" s="3" t="s">
        <v>725</v>
      </c>
      <c r="C1698" s="3" t="s">
        <v>1342</v>
      </c>
      <c r="D1698" s="3" t="s">
        <v>68</v>
      </c>
      <c r="E1698" s="3" t="s">
        <v>100</v>
      </c>
      <c r="F1698" s="3" t="s">
        <v>1636</v>
      </c>
      <c r="G1698" s="7">
        <v>45871.482485857116</v>
      </c>
    </row>
    <row r="1699">
      <c r="A1699" s="3" t="s">
        <v>5955</v>
      </c>
      <c r="B1699" s="3" t="s">
        <v>605</v>
      </c>
      <c r="C1699" s="3" t="s">
        <v>1095</v>
      </c>
      <c r="D1699" s="3" t="s">
        <v>68</v>
      </c>
      <c r="E1699" s="3" t="s">
        <v>100</v>
      </c>
      <c r="F1699" s="3" t="s">
        <v>1887</v>
      </c>
      <c r="G1699" s="7">
        <v>45871.553660702535</v>
      </c>
    </row>
    <row r="1700">
      <c r="A1700" s="3" t="s">
        <v>5959</v>
      </c>
      <c r="B1700" s="3" t="s">
        <v>377</v>
      </c>
      <c r="C1700" s="3" t="s">
        <v>1095</v>
      </c>
      <c r="D1700" s="3" t="s">
        <v>68</v>
      </c>
      <c r="E1700" s="3" t="s">
        <v>100</v>
      </c>
      <c r="F1700" s="3" t="s">
        <v>1999</v>
      </c>
      <c r="G1700" s="7">
        <v>45871.624835547955</v>
      </c>
    </row>
    <row r="1701">
      <c r="A1701" s="3" t="s">
        <v>5962</v>
      </c>
      <c r="B1701" s="3" t="s">
        <v>911</v>
      </c>
      <c r="C1701" s="3" t="s">
        <v>1342</v>
      </c>
      <c r="D1701" s="3" t="s">
        <v>68</v>
      </c>
      <c r="E1701" s="3" t="s">
        <v>100</v>
      </c>
      <c r="F1701" s="3" t="s">
        <v>1903</v>
      </c>
      <c r="G1701" s="7">
        <v>45871.69601039337</v>
      </c>
    </row>
    <row r="1702">
      <c r="A1702" s="3" t="s">
        <v>5965</v>
      </c>
      <c r="B1702" s="3" t="s">
        <v>123</v>
      </c>
      <c r="C1702" s="3" t="s">
        <v>1342</v>
      </c>
      <c r="D1702" s="3" t="s">
        <v>68</v>
      </c>
      <c r="E1702" s="3" t="s">
        <v>100</v>
      </c>
      <c r="F1702" s="3" t="s">
        <v>1932</v>
      </c>
      <c r="G1702" s="7">
        <v>45871.76718523878</v>
      </c>
    </row>
    <row r="1703">
      <c r="A1703" s="3" t="s">
        <v>5969</v>
      </c>
      <c r="B1703" s="3" t="s">
        <v>269</v>
      </c>
      <c r="C1703" s="3" t="s">
        <v>56</v>
      </c>
      <c r="D1703" s="3" t="s">
        <v>68</v>
      </c>
      <c r="E1703" s="3" t="s">
        <v>100</v>
      </c>
      <c r="F1703" s="3" t="s">
        <v>477</v>
      </c>
      <c r="G1703" s="7">
        <v>45871.8383600842</v>
      </c>
    </row>
    <row r="1704">
      <c r="A1704" s="3" t="s">
        <v>5972</v>
      </c>
      <c r="B1704" s="3" t="s">
        <v>1008</v>
      </c>
      <c r="C1704" s="3" t="s">
        <v>1342</v>
      </c>
      <c r="D1704" s="3" t="s">
        <v>68</v>
      </c>
      <c r="E1704" s="3" t="s">
        <v>100</v>
      </c>
      <c r="F1704" s="3" t="s">
        <v>2108</v>
      </c>
      <c r="G1704" s="7">
        <v>45871.90953492961</v>
      </c>
    </row>
    <row r="1705">
      <c r="A1705" s="3" t="s">
        <v>5975</v>
      </c>
      <c r="B1705" s="3" t="s">
        <v>785</v>
      </c>
      <c r="C1705" s="3" t="s">
        <v>56</v>
      </c>
      <c r="D1705" s="3" t="s">
        <v>68</v>
      </c>
      <c r="E1705" s="3" t="s">
        <v>100</v>
      </c>
      <c r="F1705" s="3" t="s">
        <v>490</v>
      </c>
      <c r="G1705" s="7">
        <v>45871.98070977502</v>
      </c>
    </row>
    <row r="1706">
      <c r="A1706" s="3" t="s">
        <v>5978</v>
      </c>
      <c r="B1706" s="3" t="s">
        <v>436</v>
      </c>
      <c r="C1706" s="3" t="s">
        <v>1095</v>
      </c>
      <c r="D1706" s="3" t="s">
        <v>68</v>
      </c>
      <c r="E1706" s="3" t="s">
        <v>100</v>
      </c>
      <c r="F1706" s="3" t="s">
        <v>2093</v>
      </c>
      <c r="G1706" s="7">
        <v>45872.05188462044</v>
      </c>
    </row>
    <row r="1707">
      <c r="A1707" s="3" t="s">
        <v>5981</v>
      </c>
      <c r="B1707" s="3" t="s">
        <v>440</v>
      </c>
      <c r="C1707" s="3" t="s">
        <v>1095</v>
      </c>
      <c r="D1707" s="3" t="s">
        <v>68</v>
      </c>
      <c r="E1707" s="3" t="s">
        <v>100</v>
      </c>
      <c r="F1707" s="3" t="s">
        <v>2037</v>
      </c>
      <c r="G1707" s="7">
        <v>45872.12305946586</v>
      </c>
    </row>
    <row r="1708">
      <c r="A1708" s="3" t="s">
        <v>5984</v>
      </c>
      <c r="B1708" s="3" t="s">
        <v>322</v>
      </c>
      <c r="C1708" s="3" t="s">
        <v>56</v>
      </c>
      <c r="D1708" s="3" t="s">
        <v>181</v>
      </c>
      <c r="E1708" s="3" t="s">
        <v>45</v>
      </c>
      <c r="F1708" s="3" t="s">
        <v>45</v>
      </c>
      <c r="G1708" s="7">
        <v>45872.19423431127</v>
      </c>
    </row>
    <row r="1709">
      <c r="A1709" s="3" t="s">
        <v>5986</v>
      </c>
      <c r="B1709" s="3" t="s">
        <v>993</v>
      </c>
      <c r="C1709" s="3" t="s">
        <v>1095</v>
      </c>
      <c r="D1709" s="3" t="s">
        <v>68</v>
      </c>
      <c r="E1709" s="3" t="s">
        <v>100</v>
      </c>
      <c r="F1709" s="3" t="s">
        <v>1975</v>
      </c>
      <c r="G1709" s="7">
        <v>45872.26540915669</v>
      </c>
    </row>
    <row r="1710">
      <c r="A1710" s="3" t="s">
        <v>5988</v>
      </c>
      <c r="B1710" s="3" t="s">
        <v>388</v>
      </c>
      <c r="C1710" s="3" t="s">
        <v>56</v>
      </c>
      <c r="D1710" s="3" t="s">
        <v>68</v>
      </c>
      <c r="E1710" s="3" t="s">
        <v>100</v>
      </c>
      <c r="F1710" s="3" t="s">
        <v>495</v>
      </c>
      <c r="G1710" s="7">
        <v>45872.33658400211</v>
      </c>
    </row>
    <row r="1711">
      <c r="A1711" s="3" t="s">
        <v>5990</v>
      </c>
      <c r="B1711" s="3" t="s">
        <v>561</v>
      </c>
      <c r="C1711" s="3" t="s">
        <v>1095</v>
      </c>
      <c r="D1711" s="3" t="s">
        <v>68</v>
      </c>
      <c r="E1711" s="3" t="s">
        <v>100</v>
      </c>
      <c r="F1711" s="3" t="s">
        <v>1757</v>
      </c>
      <c r="G1711" s="7">
        <v>45872.40775884752</v>
      </c>
    </row>
    <row r="1712">
      <c r="A1712" s="3" t="s">
        <v>5993</v>
      </c>
      <c r="B1712" s="3" t="s">
        <v>943</v>
      </c>
      <c r="C1712" s="3" t="s">
        <v>56</v>
      </c>
      <c r="D1712" s="3" t="s">
        <v>68</v>
      </c>
      <c r="E1712" s="3" t="s">
        <v>100</v>
      </c>
      <c r="F1712" s="3" t="s">
        <v>504</v>
      </c>
      <c r="G1712" s="7">
        <v>45872.47893369293</v>
      </c>
    </row>
    <row r="1713">
      <c r="A1713" s="3" t="s">
        <v>5996</v>
      </c>
      <c r="B1713" s="3" t="s">
        <v>557</v>
      </c>
      <c r="C1713" s="3" t="s">
        <v>1342</v>
      </c>
      <c r="D1713" s="3" t="s">
        <v>181</v>
      </c>
      <c r="E1713" s="3" t="s">
        <v>45</v>
      </c>
      <c r="F1713" s="3" t="s">
        <v>1927</v>
      </c>
      <c r="G1713" s="7">
        <v>45872.55010853835</v>
      </c>
    </row>
    <row r="1714">
      <c r="A1714" s="3" t="s">
        <v>5998</v>
      </c>
      <c r="B1714" s="3" t="s">
        <v>1026</v>
      </c>
      <c r="C1714" s="3" t="s">
        <v>1342</v>
      </c>
      <c r="D1714" s="3" t="s">
        <v>68</v>
      </c>
      <c r="E1714" s="3" t="s">
        <v>100</v>
      </c>
      <c r="F1714" s="3" t="s">
        <v>1973</v>
      </c>
      <c r="G1714" s="7">
        <v>45872.62128338376</v>
      </c>
    </row>
    <row r="1715">
      <c r="A1715" s="3" t="s">
        <v>6003</v>
      </c>
      <c r="B1715" s="3" t="s">
        <v>1049</v>
      </c>
      <c r="C1715" s="3" t="s">
        <v>56</v>
      </c>
      <c r="D1715" s="3" t="s">
        <v>68</v>
      </c>
      <c r="E1715" s="3" t="s">
        <v>100</v>
      </c>
      <c r="F1715" s="3" t="s">
        <v>509</v>
      </c>
      <c r="G1715" s="7">
        <v>45872.692458229176</v>
      </c>
    </row>
    <row r="1716">
      <c r="A1716" s="3" t="s">
        <v>6006</v>
      </c>
      <c r="B1716" s="3" t="s">
        <v>446</v>
      </c>
      <c r="C1716" s="3" t="s">
        <v>1342</v>
      </c>
      <c r="D1716" s="3" t="s">
        <v>68</v>
      </c>
      <c r="E1716" s="3" t="s">
        <v>100</v>
      </c>
      <c r="F1716" s="3" t="s">
        <v>1884</v>
      </c>
      <c r="G1716" s="7">
        <v>45872.763633074595</v>
      </c>
    </row>
    <row r="1717">
      <c r="A1717" s="3" t="s">
        <v>6009</v>
      </c>
      <c r="B1717" s="3" t="s">
        <v>481</v>
      </c>
      <c r="C1717" s="3" t="s">
        <v>56</v>
      </c>
      <c r="D1717" s="3" t="s">
        <v>68</v>
      </c>
      <c r="E1717" s="3" t="s">
        <v>100</v>
      </c>
      <c r="F1717" s="3" t="s">
        <v>518</v>
      </c>
      <c r="G1717" s="7">
        <v>45872.83480792001</v>
      </c>
    </row>
    <row r="1718">
      <c r="A1718" s="3" t="s">
        <v>6012</v>
      </c>
      <c r="B1718" s="3" t="s">
        <v>316</v>
      </c>
      <c r="C1718" s="3" t="s">
        <v>1342</v>
      </c>
      <c r="D1718" s="3" t="s">
        <v>68</v>
      </c>
      <c r="E1718" s="3" t="s">
        <v>100</v>
      </c>
      <c r="F1718" s="3" t="s">
        <v>1694</v>
      </c>
      <c r="G1718" s="7">
        <v>45872.90598276542</v>
      </c>
    </row>
    <row r="1719">
      <c r="A1719" s="3" t="s">
        <v>6015</v>
      </c>
      <c r="B1719" s="3" t="s">
        <v>515</v>
      </c>
      <c r="C1719" s="3" t="s">
        <v>1342</v>
      </c>
      <c r="D1719" s="3" t="s">
        <v>68</v>
      </c>
      <c r="E1719" s="3" t="s">
        <v>100</v>
      </c>
      <c r="F1719" s="3" t="s">
        <v>1937</v>
      </c>
      <c r="G1719" s="7">
        <v>45872.97715761084</v>
      </c>
    </row>
    <row r="1720">
      <c r="A1720" s="3" t="s">
        <v>6018</v>
      </c>
      <c r="B1720" s="3" t="s">
        <v>391</v>
      </c>
      <c r="C1720" s="3" t="s">
        <v>56</v>
      </c>
      <c r="D1720" s="3" t="s">
        <v>68</v>
      </c>
      <c r="E1720" s="3" t="s">
        <v>100</v>
      </c>
      <c r="F1720" s="3" t="s">
        <v>526</v>
      </c>
      <c r="G1720" s="7">
        <v>45873.04833245625</v>
      </c>
    </row>
    <row r="1721">
      <c r="A1721" s="3" t="s">
        <v>6021</v>
      </c>
      <c r="B1721" s="3" t="s">
        <v>516</v>
      </c>
      <c r="C1721" s="3" t="s">
        <v>1095</v>
      </c>
      <c r="D1721" s="3" t="s">
        <v>181</v>
      </c>
      <c r="E1721" s="3" t="s">
        <v>45</v>
      </c>
      <c r="F1721" s="3" t="s">
        <v>483</v>
      </c>
      <c r="G1721" s="7">
        <v>45873.119507301664</v>
      </c>
    </row>
    <row r="1722">
      <c r="A1722" s="3" t="s">
        <v>6024</v>
      </c>
      <c r="B1722" s="3" t="s">
        <v>547</v>
      </c>
      <c r="C1722" s="3" t="s">
        <v>1342</v>
      </c>
      <c r="D1722" s="3" t="s">
        <v>68</v>
      </c>
      <c r="E1722" s="3" t="s">
        <v>100</v>
      </c>
      <c r="F1722" s="3" t="s">
        <v>1899</v>
      </c>
      <c r="G1722" s="7">
        <v>45873.190682147084</v>
      </c>
    </row>
    <row r="1723">
      <c r="A1723" s="3" t="s">
        <v>6028</v>
      </c>
      <c r="B1723" s="3" t="s">
        <v>260</v>
      </c>
      <c r="C1723" s="3" t="s">
        <v>1095</v>
      </c>
      <c r="D1723" s="3" t="s">
        <v>68</v>
      </c>
      <c r="E1723" s="3" t="s">
        <v>100</v>
      </c>
      <c r="F1723" s="3" t="s">
        <v>1302</v>
      </c>
      <c r="G1723" s="7">
        <v>45873.2618569925</v>
      </c>
    </row>
    <row r="1724">
      <c r="A1724" s="3" t="s">
        <v>6031</v>
      </c>
      <c r="B1724" s="3" t="s">
        <v>1001</v>
      </c>
      <c r="C1724" s="3" t="s">
        <v>1342</v>
      </c>
      <c r="D1724" s="3" t="s">
        <v>68</v>
      </c>
      <c r="E1724" s="3" t="s">
        <v>100</v>
      </c>
      <c r="F1724" s="3" t="s">
        <v>802</v>
      </c>
      <c r="G1724" s="7">
        <v>45873.33303183791</v>
      </c>
    </row>
    <row r="1725">
      <c r="A1725" s="3" t="s">
        <v>6034</v>
      </c>
      <c r="B1725" s="3" t="s">
        <v>685</v>
      </c>
      <c r="C1725" s="3" t="s">
        <v>1342</v>
      </c>
      <c r="D1725" s="3" t="s">
        <v>68</v>
      </c>
      <c r="E1725" s="3" t="s">
        <v>100</v>
      </c>
      <c r="F1725" s="3" t="s">
        <v>1133</v>
      </c>
      <c r="G1725" s="7">
        <v>45873.40420668333</v>
      </c>
    </row>
    <row r="1726">
      <c r="A1726" s="3" t="s">
        <v>6038</v>
      </c>
      <c r="B1726" s="3" t="s">
        <v>373</v>
      </c>
      <c r="C1726" s="3" t="s">
        <v>56</v>
      </c>
      <c r="D1726" s="3" t="s">
        <v>68</v>
      </c>
      <c r="E1726" s="3" t="s">
        <v>100</v>
      </c>
      <c r="F1726" s="3" t="s">
        <v>532</v>
      </c>
      <c r="G1726" s="7">
        <v>45873.47538152875</v>
      </c>
    </row>
    <row r="1727">
      <c r="A1727" s="3" t="s">
        <v>6041</v>
      </c>
      <c r="B1727" s="3" t="s">
        <v>811</v>
      </c>
      <c r="C1727" s="3" t="s">
        <v>1095</v>
      </c>
      <c r="D1727" s="3" t="s">
        <v>68</v>
      </c>
      <c r="E1727" s="3" t="s">
        <v>100</v>
      </c>
      <c r="F1727" s="3" t="s">
        <v>1475</v>
      </c>
      <c r="G1727" s="7">
        <v>45873.54655637416</v>
      </c>
    </row>
    <row r="1728">
      <c r="A1728" s="3" t="s">
        <v>6043</v>
      </c>
      <c r="B1728" s="3" t="s">
        <v>488</v>
      </c>
      <c r="C1728" s="3" t="s">
        <v>1095</v>
      </c>
      <c r="D1728" s="3" t="s">
        <v>68</v>
      </c>
      <c r="E1728" s="3" t="s">
        <v>100</v>
      </c>
      <c r="F1728" s="3" t="s">
        <v>1575</v>
      </c>
      <c r="G1728" s="7">
        <v>45873.61773121957</v>
      </c>
    </row>
    <row r="1729">
      <c r="A1729" s="3" t="s">
        <v>6045</v>
      </c>
      <c r="B1729" s="3" t="s">
        <v>860</v>
      </c>
      <c r="C1729" s="3" t="s">
        <v>1342</v>
      </c>
      <c r="D1729" s="3" t="s">
        <v>68</v>
      </c>
      <c r="E1729" s="3" t="s">
        <v>100</v>
      </c>
      <c r="F1729" s="3" t="s">
        <v>1751</v>
      </c>
      <c r="G1729" s="7">
        <v>45873.68890606499</v>
      </c>
    </row>
    <row r="1730">
      <c r="A1730" s="3" t="s">
        <v>6048</v>
      </c>
      <c r="B1730" s="3" t="s">
        <v>830</v>
      </c>
      <c r="C1730" s="3" t="s">
        <v>1342</v>
      </c>
      <c r="D1730" s="3" t="s">
        <v>68</v>
      </c>
      <c r="E1730" s="3" t="s">
        <v>100</v>
      </c>
      <c r="F1730" s="3" t="s">
        <v>1971</v>
      </c>
      <c r="G1730" s="7">
        <v>45873.760080910404</v>
      </c>
    </row>
    <row r="1731">
      <c r="A1731" s="3" t="s">
        <v>6049</v>
      </c>
      <c r="B1731" s="3" t="s">
        <v>336</v>
      </c>
      <c r="C1731" s="3" t="s">
        <v>1095</v>
      </c>
      <c r="D1731" s="3" t="s">
        <v>68</v>
      </c>
      <c r="E1731" s="3" t="s">
        <v>100</v>
      </c>
      <c r="F1731" s="3" t="s">
        <v>1558</v>
      </c>
      <c r="G1731" s="7">
        <v>45873.83125575582</v>
      </c>
    </row>
    <row r="1732">
      <c r="A1732" s="3" t="s">
        <v>6052</v>
      </c>
      <c r="B1732" s="3" t="s">
        <v>272</v>
      </c>
      <c r="C1732" s="3" t="s">
        <v>56</v>
      </c>
      <c r="D1732" s="3" t="s">
        <v>68</v>
      </c>
      <c r="E1732" s="3" t="s">
        <v>100</v>
      </c>
      <c r="F1732" s="3" t="s">
        <v>538</v>
      </c>
      <c r="G1732" s="7">
        <v>45873.902430601236</v>
      </c>
    </row>
    <row r="1733">
      <c r="A1733" s="3" t="s">
        <v>6055</v>
      </c>
      <c r="B1733" s="3" t="s">
        <v>598</v>
      </c>
      <c r="C1733" s="3" t="s">
        <v>1342</v>
      </c>
      <c r="D1733" s="3" t="s">
        <v>68</v>
      </c>
      <c r="E1733" s="3" t="s">
        <v>100</v>
      </c>
      <c r="F1733" s="3" t="s">
        <v>2113</v>
      </c>
      <c r="G1733" s="7">
        <v>45873.973605446656</v>
      </c>
    </row>
    <row r="1734">
      <c r="A1734" s="3" t="s">
        <v>6056</v>
      </c>
      <c r="B1734" s="3" t="s">
        <v>546</v>
      </c>
      <c r="C1734" s="3" t="s">
        <v>1342</v>
      </c>
      <c r="D1734" s="3" t="s">
        <v>68</v>
      </c>
      <c r="E1734" s="3" t="s">
        <v>100</v>
      </c>
      <c r="F1734" s="3" t="s">
        <v>1512</v>
      </c>
      <c r="G1734" s="7">
        <v>45874.04478029206</v>
      </c>
    </row>
    <row r="1735">
      <c r="A1735" s="3" t="s">
        <v>6059</v>
      </c>
      <c r="B1735" s="3" t="s">
        <v>219</v>
      </c>
      <c r="C1735" s="3" t="s">
        <v>1342</v>
      </c>
      <c r="D1735" s="3" t="s">
        <v>68</v>
      </c>
      <c r="E1735" s="3" t="s">
        <v>100</v>
      </c>
      <c r="F1735" s="3" t="s">
        <v>1969</v>
      </c>
      <c r="G1735" s="7">
        <v>45874.11595513748</v>
      </c>
    </row>
    <row r="1736">
      <c r="A1736" s="3" t="s">
        <v>6062</v>
      </c>
      <c r="B1736" s="3" t="s">
        <v>937</v>
      </c>
      <c r="C1736" s="3" t="s">
        <v>1095</v>
      </c>
      <c r="D1736" s="3" t="s">
        <v>68</v>
      </c>
      <c r="E1736" s="3" t="s">
        <v>100</v>
      </c>
      <c r="F1736" s="3" t="s">
        <v>2111</v>
      </c>
      <c r="G1736" s="7">
        <v>45874.18712998289</v>
      </c>
    </row>
    <row r="1737">
      <c r="A1737" s="3" t="s">
        <v>6064</v>
      </c>
      <c r="B1737" s="3" t="s">
        <v>600</v>
      </c>
      <c r="C1737" s="3" t="s">
        <v>1342</v>
      </c>
      <c r="D1737" s="3" t="s">
        <v>68</v>
      </c>
      <c r="E1737" s="3" t="s">
        <v>100</v>
      </c>
      <c r="F1737" s="3" t="s">
        <v>1789</v>
      </c>
      <c r="G1737" s="7">
        <v>45874.25830482831</v>
      </c>
    </row>
    <row r="1738">
      <c r="A1738" s="3" t="s">
        <v>6066</v>
      </c>
      <c r="B1738" s="3" t="s">
        <v>224</v>
      </c>
      <c r="C1738" s="3" t="s">
        <v>1342</v>
      </c>
      <c r="D1738" s="3" t="s">
        <v>68</v>
      </c>
      <c r="E1738" s="3" t="s">
        <v>100</v>
      </c>
      <c r="F1738" s="3" t="s">
        <v>1054</v>
      </c>
      <c r="G1738" s="7">
        <v>45874.329479673725</v>
      </c>
    </row>
    <row r="1739">
      <c r="A1739" s="3" t="s">
        <v>6069</v>
      </c>
      <c r="B1739" s="3" t="s">
        <v>605</v>
      </c>
      <c r="C1739" s="3" t="s">
        <v>56</v>
      </c>
      <c r="D1739" s="3" t="s">
        <v>181</v>
      </c>
      <c r="E1739" s="3" t="s">
        <v>45</v>
      </c>
      <c r="F1739" s="3" t="s">
        <v>45</v>
      </c>
      <c r="G1739" s="7">
        <v>45874.400654519144</v>
      </c>
    </row>
    <row r="1740">
      <c r="A1740" s="3" t="s">
        <v>6072</v>
      </c>
      <c r="B1740" s="3" t="s">
        <v>296</v>
      </c>
      <c r="C1740" s="3" t="s">
        <v>1095</v>
      </c>
      <c r="D1740" s="3" t="s">
        <v>195</v>
      </c>
      <c r="E1740" s="3" t="s">
        <v>45</v>
      </c>
      <c r="F1740" s="3" t="s">
        <v>2044</v>
      </c>
      <c r="G1740" s="7">
        <v>45874.47182936455</v>
      </c>
    </row>
    <row r="1741">
      <c r="A1741" s="3" t="s">
        <v>6074</v>
      </c>
      <c r="B1741" s="3" t="s">
        <v>512</v>
      </c>
      <c r="C1741" s="3" t="s">
        <v>1095</v>
      </c>
      <c r="D1741" s="3" t="s">
        <v>68</v>
      </c>
      <c r="E1741" s="3" t="s">
        <v>100</v>
      </c>
      <c r="F1741" s="3" t="s">
        <v>1946</v>
      </c>
      <c r="G1741" s="7">
        <v>45874.54300420997</v>
      </c>
    </row>
    <row r="1742">
      <c r="A1742" s="3" t="s">
        <v>6075</v>
      </c>
      <c r="B1742" s="3" t="s">
        <v>650</v>
      </c>
      <c r="C1742" s="3" t="s">
        <v>1095</v>
      </c>
      <c r="D1742" s="3" t="s">
        <v>68</v>
      </c>
      <c r="E1742" s="3" t="s">
        <v>100</v>
      </c>
      <c r="F1742" s="3" t="s">
        <v>1755</v>
      </c>
      <c r="G1742" s="7">
        <v>45874.61417905539</v>
      </c>
    </row>
    <row r="1743">
      <c r="A1743" s="3" t="s">
        <v>6077</v>
      </c>
      <c r="B1743" s="3" t="s">
        <v>130</v>
      </c>
      <c r="C1743" s="3" t="s">
        <v>1342</v>
      </c>
      <c r="D1743" s="3" t="s">
        <v>68</v>
      </c>
      <c r="E1743" s="3" t="s">
        <v>100</v>
      </c>
      <c r="F1743" s="3" t="s">
        <v>2074</v>
      </c>
      <c r="G1743" s="7">
        <v>45874.6853539008</v>
      </c>
    </row>
    <row r="1744">
      <c r="A1744" s="3" t="s">
        <v>6079</v>
      </c>
      <c r="B1744" s="3" t="s">
        <v>969</v>
      </c>
      <c r="C1744" s="3" t="s">
        <v>1095</v>
      </c>
      <c r="D1744" s="3" t="s">
        <v>68</v>
      </c>
      <c r="E1744" s="3" t="s">
        <v>100</v>
      </c>
      <c r="F1744" s="3" t="s">
        <v>1833</v>
      </c>
      <c r="G1744" s="7">
        <v>45874.75652874621</v>
      </c>
    </row>
    <row r="1745">
      <c r="A1745" s="3" t="s">
        <v>6081</v>
      </c>
      <c r="B1745" s="3" t="s">
        <v>913</v>
      </c>
      <c r="C1745" s="3" t="s">
        <v>1095</v>
      </c>
      <c r="D1745" s="3" t="s">
        <v>68</v>
      </c>
      <c r="E1745" s="3" t="s">
        <v>100</v>
      </c>
      <c r="F1745" s="3" t="s">
        <v>1743</v>
      </c>
      <c r="G1745" s="7">
        <v>45874.82770359163</v>
      </c>
    </row>
    <row r="1746">
      <c r="A1746" s="3" t="s">
        <v>6083</v>
      </c>
      <c r="B1746" s="3" t="s">
        <v>637</v>
      </c>
      <c r="C1746" s="3" t="s">
        <v>56</v>
      </c>
      <c r="D1746" s="3" t="s">
        <v>68</v>
      </c>
      <c r="E1746" s="3" t="s">
        <v>100</v>
      </c>
      <c r="F1746" s="3" t="s">
        <v>549</v>
      </c>
      <c r="G1746" s="7">
        <v>45874.898878437045</v>
      </c>
    </row>
    <row r="1747">
      <c r="A1747" s="3" t="s">
        <v>6085</v>
      </c>
      <c r="B1747" s="3" t="s">
        <v>615</v>
      </c>
      <c r="C1747" s="3" t="s">
        <v>1342</v>
      </c>
      <c r="D1747" s="3" t="s">
        <v>195</v>
      </c>
      <c r="E1747" s="3" t="s">
        <v>45</v>
      </c>
      <c r="F1747" s="3" t="s">
        <v>1493</v>
      </c>
      <c r="G1747" s="7">
        <v>45874.97005328246</v>
      </c>
    </row>
    <row r="1748">
      <c r="A1748" s="3" t="s">
        <v>6089</v>
      </c>
      <c r="B1748" s="3" t="s">
        <v>449</v>
      </c>
      <c r="C1748" s="3" t="s">
        <v>1342</v>
      </c>
      <c r="D1748" s="3" t="s">
        <v>68</v>
      </c>
      <c r="E1748" s="3" t="s">
        <v>100</v>
      </c>
      <c r="F1748" s="3" t="s">
        <v>2052</v>
      </c>
      <c r="G1748" s="7">
        <v>45875.04122812788</v>
      </c>
    </row>
    <row r="1749">
      <c r="A1749" s="3" t="s">
        <v>6092</v>
      </c>
      <c r="B1749" s="3" t="s">
        <v>287</v>
      </c>
      <c r="C1749" s="3" t="s">
        <v>56</v>
      </c>
      <c r="D1749" s="3" t="s">
        <v>68</v>
      </c>
      <c r="E1749" s="3" t="s">
        <v>100</v>
      </c>
      <c r="F1749" s="3" t="s">
        <v>553</v>
      </c>
      <c r="G1749" s="7">
        <v>45875.1124029733</v>
      </c>
    </row>
    <row r="1750">
      <c r="A1750" s="3" t="s">
        <v>6096</v>
      </c>
      <c r="B1750" s="3" t="s">
        <v>629</v>
      </c>
      <c r="C1750" s="3" t="s">
        <v>1342</v>
      </c>
      <c r="D1750" s="3" t="s">
        <v>68</v>
      </c>
      <c r="E1750" s="3" t="s">
        <v>100</v>
      </c>
      <c r="F1750" s="3" t="s">
        <v>1563</v>
      </c>
      <c r="G1750" s="7">
        <v>45875.1835778187</v>
      </c>
    </row>
    <row r="1751">
      <c r="A1751" s="3" t="s">
        <v>6099</v>
      </c>
      <c r="B1751" s="3" t="s">
        <v>202</v>
      </c>
      <c r="C1751" s="3" t="s">
        <v>56</v>
      </c>
      <c r="D1751" s="3" t="s">
        <v>68</v>
      </c>
      <c r="E1751" s="3" t="s">
        <v>100</v>
      </c>
      <c r="F1751" s="3" t="s">
        <v>560</v>
      </c>
      <c r="G1751" s="7">
        <v>45875.25475266412</v>
      </c>
    </row>
    <row r="1752">
      <c r="A1752" s="3" t="s">
        <v>6102</v>
      </c>
      <c r="B1752" s="3" t="s">
        <v>612</v>
      </c>
      <c r="C1752" s="3" t="s">
        <v>56</v>
      </c>
      <c r="D1752" s="3" t="s">
        <v>68</v>
      </c>
      <c r="E1752" s="3" t="s">
        <v>100</v>
      </c>
      <c r="F1752" s="3" t="s">
        <v>568</v>
      </c>
      <c r="G1752" s="7">
        <v>45875.32592750954</v>
      </c>
    </row>
    <row r="1753">
      <c r="A1753" s="3" t="s">
        <v>6105</v>
      </c>
      <c r="B1753" s="3" t="s">
        <v>615</v>
      </c>
      <c r="C1753" s="3" t="s">
        <v>1342</v>
      </c>
      <c r="D1753" s="3" t="s">
        <v>68</v>
      </c>
      <c r="E1753" s="3" t="s">
        <v>100</v>
      </c>
      <c r="F1753" s="3" t="s">
        <v>1493</v>
      </c>
      <c r="G1753" s="7">
        <v>45875.39710235495</v>
      </c>
    </row>
    <row r="1754">
      <c r="A1754" s="3" t="s">
        <v>6108</v>
      </c>
      <c r="B1754" s="3" t="s">
        <v>758</v>
      </c>
      <c r="C1754" s="3" t="s">
        <v>56</v>
      </c>
      <c r="D1754" s="3" t="s">
        <v>68</v>
      </c>
      <c r="E1754" s="3" t="s">
        <v>100</v>
      </c>
      <c r="F1754" s="3" t="s">
        <v>578</v>
      </c>
      <c r="G1754" s="7">
        <v>45875.468277200365</v>
      </c>
    </row>
    <row r="1755">
      <c r="A1755" s="3" t="s">
        <v>6110</v>
      </c>
      <c r="B1755" s="3" t="s">
        <v>547</v>
      </c>
      <c r="C1755" s="3" t="s">
        <v>1095</v>
      </c>
      <c r="D1755" s="3" t="s">
        <v>68</v>
      </c>
      <c r="E1755" s="3" t="s">
        <v>100</v>
      </c>
      <c r="F1755" s="3" t="s">
        <v>1899</v>
      </c>
      <c r="G1755" s="7">
        <v>45875.539452045785</v>
      </c>
    </row>
    <row r="1756">
      <c r="A1756" s="3" t="s">
        <v>6112</v>
      </c>
      <c r="B1756" s="3" t="s">
        <v>260</v>
      </c>
      <c r="C1756" s="3" t="s">
        <v>56</v>
      </c>
      <c r="D1756" s="3" t="s">
        <v>195</v>
      </c>
      <c r="E1756" s="3" t="s">
        <v>45</v>
      </c>
      <c r="F1756" s="3" t="s">
        <v>45</v>
      </c>
      <c r="G1756" s="7">
        <v>45875.6106268912</v>
      </c>
    </row>
    <row r="1757">
      <c r="A1757" s="3" t="s">
        <v>6115</v>
      </c>
      <c r="B1757" s="3" t="s">
        <v>219</v>
      </c>
      <c r="C1757" s="3" t="s">
        <v>1095</v>
      </c>
      <c r="D1757" s="3" t="s">
        <v>68</v>
      </c>
      <c r="E1757" s="3" t="s">
        <v>100</v>
      </c>
      <c r="F1757" s="3" t="s">
        <v>1969</v>
      </c>
      <c r="G1757" s="7">
        <v>45875.68180173661</v>
      </c>
    </row>
    <row r="1758">
      <c r="A1758" s="3" t="s">
        <v>6117</v>
      </c>
      <c r="B1758" s="3" t="s">
        <v>299</v>
      </c>
      <c r="C1758" s="3" t="s">
        <v>1095</v>
      </c>
      <c r="D1758" s="3" t="s">
        <v>181</v>
      </c>
      <c r="E1758" s="3" t="s">
        <v>45</v>
      </c>
      <c r="F1758" s="3" t="s">
        <v>2032</v>
      </c>
      <c r="G1758" s="7">
        <v>45875.75297658203</v>
      </c>
    </row>
    <row r="1759">
      <c r="A1759" s="3" t="s">
        <v>6119</v>
      </c>
      <c r="B1759" s="3" t="s">
        <v>290</v>
      </c>
      <c r="C1759" s="3" t="s">
        <v>1342</v>
      </c>
      <c r="D1759" s="3" t="s">
        <v>68</v>
      </c>
      <c r="E1759" s="3" t="s">
        <v>100</v>
      </c>
      <c r="F1759" s="3" t="s">
        <v>1828</v>
      </c>
      <c r="G1759" s="7">
        <v>45875.82415142744</v>
      </c>
    </row>
    <row r="1760">
      <c r="A1760" s="3" t="s">
        <v>6122</v>
      </c>
      <c r="B1760" s="3" t="s">
        <v>485</v>
      </c>
      <c r="C1760" s="3" t="s">
        <v>1342</v>
      </c>
      <c r="D1760" s="3" t="s">
        <v>195</v>
      </c>
      <c r="E1760" s="3" t="s">
        <v>45</v>
      </c>
      <c r="F1760" s="3" t="s">
        <v>1983</v>
      </c>
      <c r="G1760" s="7">
        <v>45875.895326272854</v>
      </c>
    </row>
    <row r="1761">
      <c r="A1761" s="3" t="s">
        <v>6125</v>
      </c>
      <c r="B1761" s="3" t="s">
        <v>344</v>
      </c>
      <c r="C1761" s="3" t="s">
        <v>1342</v>
      </c>
      <c r="D1761" s="3" t="s">
        <v>68</v>
      </c>
      <c r="E1761" s="3" t="s">
        <v>100</v>
      </c>
      <c r="F1761" s="3" t="s">
        <v>1747</v>
      </c>
      <c r="G1761" s="7">
        <v>45875.96650111827</v>
      </c>
    </row>
    <row r="1762">
      <c r="A1762" s="3" t="s">
        <v>6126</v>
      </c>
      <c r="B1762" s="3" t="s">
        <v>475</v>
      </c>
      <c r="C1762" s="3" t="s">
        <v>1095</v>
      </c>
      <c r="D1762" s="3" t="s">
        <v>68</v>
      </c>
      <c r="E1762" s="3" t="s">
        <v>100</v>
      </c>
      <c r="F1762" s="3" t="s">
        <v>1272</v>
      </c>
      <c r="G1762" s="7">
        <v>45876.037675963686</v>
      </c>
    </row>
    <row r="1763">
      <c r="A1763" s="3" t="s">
        <v>6129</v>
      </c>
      <c r="B1763" s="3" t="s">
        <v>430</v>
      </c>
      <c r="C1763" s="3" t="s">
        <v>56</v>
      </c>
      <c r="D1763" s="3" t="s">
        <v>68</v>
      </c>
      <c r="E1763" s="3" t="s">
        <v>100</v>
      </c>
      <c r="F1763" s="3" t="s">
        <v>583</v>
      </c>
      <c r="G1763" s="7">
        <v>45876.1088508091</v>
      </c>
    </row>
    <row r="1764">
      <c r="A1764" s="3" t="s">
        <v>6132</v>
      </c>
      <c r="B1764" s="3" t="s">
        <v>731</v>
      </c>
      <c r="C1764" s="3" t="s">
        <v>1342</v>
      </c>
      <c r="D1764" s="3" t="s">
        <v>68</v>
      </c>
      <c r="E1764" s="3" t="s">
        <v>100</v>
      </c>
      <c r="F1764" s="3" t="s">
        <v>1526</v>
      </c>
      <c r="G1764" s="7">
        <v>45876.18002565452</v>
      </c>
    </row>
    <row r="1765">
      <c r="A1765" s="3" t="s">
        <v>6135</v>
      </c>
      <c r="B1765" s="3" t="s">
        <v>276</v>
      </c>
      <c r="C1765" s="3" t="s">
        <v>56</v>
      </c>
      <c r="D1765" s="3" t="s">
        <v>68</v>
      </c>
      <c r="E1765" s="3" t="s">
        <v>100</v>
      </c>
      <c r="F1765" s="3" t="s">
        <v>589</v>
      </c>
      <c r="G1765" s="7">
        <v>45876.25120049994</v>
      </c>
    </row>
    <row r="1766">
      <c r="A1766" s="3" t="s">
        <v>6136</v>
      </c>
      <c r="B1766" s="3" t="s">
        <v>596</v>
      </c>
      <c r="C1766" s="3" t="s">
        <v>56</v>
      </c>
      <c r="D1766" s="3" t="s">
        <v>195</v>
      </c>
      <c r="E1766" s="3" t="s">
        <v>45</v>
      </c>
      <c r="F1766" s="3" t="s">
        <v>45</v>
      </c>
      <c r="G1766" s="7">
        <v>45876.32237534534</v>
      </c>
    </row>
    <row r="1767">
      <c r="A1767" s="3" t="s">
        <v>6138</v>
      </c>
      <c r="B1767" s="3" t="s">
        <v>961</v>
      </c>
      <c r="C1767" s="3" t="s">
        <v>1342</v>
      </c>
      <c r="D1767" s="3" t="s">
        <v>68</v>
      </c>
      <c r="E1767" s="3" t="s">
        <v>100</v>
      </c>
      <c r="F1767" s="3" t="s">
        <v>1724</v>
      </c>
      <c r="G1767" s="7">
        <v>45876.39355019076</v>
      </c>
    </row>
    <row r="1768">
      <c r="A1768" s="3" t="s">
        <v>6140</v>
      </c>
      <c r="B1768" s="3" t="s">
        <v>742</v>
      </c>
      <c r="C1768" s="3" t="s">
        <v>1342</v>
      </c>
      <c r="D1768" s="3" t="s">
        <v>68</v>
      </c>
      <c r="E1768" s="3" t="s">
        <v>100</v>
      </c>
      <c r="F1768" s="3" t="s">
        <v>1605</v>
      </c>
      <c r="G1768" s="7">
        <v>45876.46472503618</v>
      </c>
    </row>
    <row r="1769">
      <c r="A1769" s="3" t="s">
        <v>6142</v>
      </c>
      <c r="B1769" s="3" t="s">
        <v>631</v>
      </c>
      <c r="C1769" s="3" t="s">
        <v>1095</v>
      </c>
      <c r="D1769" s="3" t="s">
        <v>68</v>
      </c>
      <c r="E1769" s="3" t="s">
        <v>100</v>
      </c>
      <c r="F1769" s="3" t="s">
        <v>1910</v>
      </c>
      <c r="G1769" s="7">
        <v>45876.535899881594</v>
      </c>
    </row>
    <row r="1770">
      <c r="A1770" s="3" t="s">
        <v>6143</v>
      </c>
      <c r="B1770" s="3" t="s">
        <v>193</v>
      </c>
      <c r="C1770" s="3" t="s">
        <v>1095</v>
      </c>
      <c r="D1770" s="3" t="s">
        <v>68</v>
      </c>
      <c r="E1770" s="3" t="s">
        <v>100</v>
      </c>
      <c r="F1770" s="3" t="s">
        <v>1981</v>
      </c>
      <c r="G1770" s="7">
        <v>45876.607074727006</v>
      </c>
    </row>
    <row r="1771">
      <c r="A1771" s="3" t="s">
        <v>6151</v>
      </c>
      <c r="B1771" s="3" t="s">
        <v>1001</v>
      </c>
      <c r="C1771" s="3" t="s">
        <v>1095</v>
      </c>
      <c r="D1771" s="3" t="s">
        <v>68</v>
      </c>
      <c r="E1771" s="3" t="s">
        <v>100</v>
      </c>
      <c r="F1771" s="3" t="s">
        <v>802</v>
      </c>
      <c r="G1771" s="7">
        <v>45876.678249572426</v>
      </c>
    </row>
    <row r="1772">
      <c r="A1772" s="3" t="s">
        <v>6154</v>
      </c>
      <c r="B1772" s="3" t="s">
        <v>530</v>
      </c>
      <c r="C1772" s="3" t="s">
        <v>1095</v>
      </c>
      <c r="D1772" s="3" t="s">
        <v>195</v>
      </c>
      <c r="E1772" s="3" t="s">
        <v>45</v>
      </c>
      <c r="F1772" s="3" t="s">
        <v>1557</v>
      </c>
      <c r="G1772" s="7">
        <v>45876.74942441784</v>
      </c>
    </row>
    <row r="1773">
      <c r="A1773" s="3" t="s">
        <v>6157</v>
      </c>
      <c r="B1773" s="3" t="s">
        <v>546</v>
      </c>
      <c r="C1773" s="3" t="s">
        <v>1342</v>
      </c>
      <c r="D1773" s="3" t="s">
        <v>68</v>
      </c>
      <c r="E1773" s="3" t="s">
        <v>100</v>
      </c>
      <c r="F1773" s="3" t="s">
        <v>1512</v>
      </c>
      <c r="G1773" s="7">
        <v>45876.82059926325</v>
      </c>
    </row>
    <row r="1774">
      <c r="A1774" s="3" t="s">
        <v>6161</v>
      </c>
      <c r="B1774" s="3" t="s">
        <v>665</v>
      </c>
      <c r="C1774" s="3" t="s">
        <v>56</v>
      </c>
      <c r="D1774" s="3" t="s">
        <v>68</v>
      </c>
      <c r="E1774" s="3" t="s">
        <v>100</v>
      </c>
      <c r="F1774" s="3" t="s">
        <v>595</v>
      </c>
      <c r="G1774" s="7">
        <v>45876.89177410867</v>
      </c>
    </row>
    <row r="1775">
      <c r="A1775" s="3" t="s">
        <v>6165</v>
      </c>
      <c r="B1775" s="3" t="s">
        <v>159</v>
      </c>
      <c r="C1775" s="3" t="s">
        <v>1342</v>
      </c>
      <c r="D1775" s="3" t="s">
        <v>68</v>
      </c>
      <c r="E1775" s="3" t="s">
        <v>100</v>
      </c>
      <c r="F1775" s="3" t="s">
        <v>1292</v>
      </c>
      <c r="G1775" s="7">
        <v>45876.96294895408</v>
      </c>
    </row>
    <row r="1776">
      <c r="A1776" s="3" t="s">
        <v>6168</v>
      </c>
      <c r="B1776" s="3" t="s">
        <v>735</v>
      </c>
      <c r="C1776" s="3" t="s">
        <v>56</v>
      </c>
      <c r="D1776" s="3" t="s">
        <v>68</v>
      </c>
      <c r="E1776" s="3" t="s">
        <v>100</v>
      </c>
      <c r="F1776" s="3" t="s">
        <v>603</v>
      </c>
      <c r="G1776" s="7">
        <v>45877.034123799494</v>
      </c>
    </row>
    <row r="1777">
      <c r="A1777" s="3" t="s">
        <v>6173</v>
      </c>
      <c r="B1777" s="3" t="s">
        <v>816</v>
      </c>
      <c r="C1777" s="3" t="s">
        <v>1342</v>
      </c>
      <c r="D1777" s="3" t="s">
        <v>68</v>
      </c>
      <c r="E1777" s="3" t="s">
        <v>100</v>
      </c>
      <c r="F1777" s="3" t="s">
        <v>954</v>
      </c>
      <c r="G1777" s="7">
        <v>45877.105298644914</v>
      </c>
    </row>
    <row r="1778">
      <c r="A1778" s="3" t="s">
        <v>6176</v>
      </c>
      <c r="B1778" s="3" t="s">
        <v>233</v>
      </c>
      <c r="C1778" s="3" t="s">
        <v>1095</v>
      </c>
      <c r="D1778" s="3" t="s">
        <v>68</v>
      </c>
      <c r="E1778" s="3" t="s">
        <v>100</v>
      </c>
      <c r="F1778" s="3" t="s">
        <v>1901</v>
      </c>
      <c r="G1778" s="7">
        <v>45877.176473490326</v>
      </c>
    </row>
    <row r="1779">
      <c r="A1779" s="3" t="s">
        <v>6179</v>
      </c>
      <c r="B1779" s="3" t="s">
        <v>330</v>
      </c>
      <c r="C1779" s="3" t="s">
        <v>1342</v>
      </c>
      <c r="D1779" s="3" t="s">
        <v>68</v>
      </c>
      <c r="E1779" s="3" t="s">
        <v>100</v>
      </c>
      <c r="F1779" s="3" t="s">
        <v>1722</v>
      </c>
      <c r="G1779" s="7">
        <v>45877.24764833574</v>
      </c>
    </row>
    <row r="1780">
      <c r="A1780" s="3" t="s">
        <v>6182</v>
      </c>
      <c r="B1780" s="3" t="s">
        <v>612</v>
      </c>
      <c r="C1780" s="3" t="s">
        <v>1095</v>
      </c>
      <c r="D1780" s="3" t="s">
        <v>68</v>
      </c>
      <c r="E1780" s="3" t="s">
        <v>100</v>
      </c>
      <c r="F1780" s="3" t="s">
        <v>568</v>
      </c>
      <c r="G1780" s="7">
        <v>45877.31882318116</v>
      </c>
    </row>
    <row r="1781">
      <c r="A1781" s="3" t="s">
        <v>6185</v>
      </c>
      <c r="B1781" s="3" t="s">
        <v>436</v>
      </c>
      <c r="C1781" s="3" t="s">
        <v>56</v>
      </c>
      <c r="D1781" s="3" t="s">
        <v>68</v>
      </c>
      <c r="E1781" s="3" t="s">
        <v>100</v>
      </c>
      <c r="F1781" s="3" t="s">
        <v>611</v>
      </c>
      <c r="G1781" s="7">
        <v>45877.38999802658</v>
      </c>
    </row>
    <row r="1782">
      <c r="A1782" s="3" t="s">
        <v>6188</v>
      </c>
      <c r="B1782" s="3" t="s">
        <v>296</v>
      </c>
      <c r="C1782" s="3" t="s">
        <v>1095</v>
      </c>
      <c r="D1782" s="3" t="s">
        <v>68</v>
      </c>
      <c r="E1782" s="3" t="s">
        <v>100</v>
      </c>
      <c r="F1782" s="3" t="s">
        <v>2044</v>
      </c>
      <c r="G1782" s="7">
        <v>45877.46117287198</v>
      </c>
    </row>
    <row r="1783">
      <c r="A1783" s="3" t="s">
        <v>6191</v>
      </c>
      <c r="B1783" s="3" t="s">
        <v>822</v>
      </c>
      <c r="C1783" s="3" t="s">
        <v>56</v>
      </c>
      <c r="D1783" s="3" t="s">
        <v>68</v>
      </c>
      <c r="E1783" s="3" t="s">
        <v>100</v>
      </c>
      <c r="F1783" s="3" t="s">
        <v>618</v>
      </c>
      <c r="G1783" s="7">
        <v>45877.5323477174</v>
      </c>
    </row>
    <row r="1784">
      <c r="A1784" s="3" t="s">
        <v>6194</v>
      </c>
      <c r="B1784" s="3" t="s">
        <v>640</v>
      </c>
      <c r="C1784" s="3" t="s">
        <v>56</v>
      </c>
      <c r="D1784" s="3" t="s">
        <v>68</v>
      </c>
      <c r="E1784" s="3" t="s">
        <v>100</v>
      </c>
      <c r="F1784" s="3" t="s">
        <v>626</v>
      </c>
      <c r="G1784" s="7">
        <v>45877.60352256282</v>
      </c>
    </row>
    <row r="1785">
      <c r="A1785" s="3" t="s">
        <v>6197</v>
      </c>
      <c r="B1785" s="3" t="s">
        <v>243</v>
      </c>
      <c r="C1785" s="3" t="s">
        <v>1342</v>
      </c>
      <c r="D1785" s="3" t="s">
        <v>68</v>
      </c>
      <c r="E1785" s="3" t="s">
        <v>100</v>
      </c>
      <c r="F1785" s="3" t="s">
        <v>2079</v>
      </c>
      <c r="G1785" s="7">
        <v>45877.674697408234</v>
      </c>
    </row>
    <row r="1786">
      <c r="A1786" s="3" t="s">
        <v>6200</v>
      </c>
      <c r="B1786" s="3" t="s">
        <v>593</v>
      </c>
      <c r="C1786" s="3" t="s">
        <v>1342</v>
      </c>
      <c r="D1786" s="3" t="s">
        <v>68</v>
      </c>
      <c r="E1786" s="3" t="s">
        <v>100</v>
      </c>
      <c r="F1786" s="3" t="s">
        <v>1598</v>
      </c>
      <c r="G1786" s="7">
        <v>45877.74587225365</v>
      </c>
    </row>
    <row r="1787">
      <c r="A1787" s="3" t="s">
        <v>6204</v>
      </c>
      <c r="B1787" s="3" t="s">
        <v>980</v>
      </c>
      <c r="C1787" s="3" t="s">
        <v>56</v>
      </c>
      <c r="D1787" s="3" t="s">
        <v>181</v>
      </c>
      <c r="E1787" s="3" t="s">
        <v>45</v>
      </c>
      <c r="F1787" s="3" t="s">
        <v>45</v>
      </c>
      <c r="G1787" s="7">
        <v>45877.817047099066</v>
      </c>
    </row>
    <row r="1788">
      <c r="A1788" s="3" t="s">
        <v>6206</v>
      </c>
      <c r="B1788" s="3" t="s">
        <v>652</v>
      </c>
      <c r="C1788" s="3" t="s">
        <v>1095</v>
      </c>
      <c r="D1788" s="3" t="s">
        <v>68</v>
      </c>
      <c r="E1788" s="3" t="s">
        <v>100</v>
      </c>
      <c r="F1788" s="3" t="s">
        <v>1997</v>
      </c>
      <c r="G1788" s="7">
        <v>45877.88822194448</v>
      </c>
    </row>
    <row r="1789">
      <c r="A1789" s="3" t="s">
        <v>6209</v>
      </c>
      <c r="B1789" s="3" t="s">
        <v>533</v>
      </c>
      <c r="C1789" s="3" t="s">
        <v>1095</v>
      </c>
      <c r="D1789" s="3" t="s">
        <v>68</v>
      </c>
      <c r="E1789" s="3" t="s">
        <v>100</v>
      </c>
      <c r="F1789" s="3" t="s">
        <v>2096</v>
      </c>
      <c r="G1789" s="7">
        <v>45877.95939678989</v>
      </c>
    </row>
    <row r="1790">
      <c r="A1790" s="3" t="s">
        <v>6211</v>
      </c>
      <c r="B1790" s="3" t="s">
        <v>512</v>
      </c>
      <c r="C1790" s="3" t="s">
        <v>56</v>
      </c>
      <c r="D1790" s="3" t="s">
        <v>68</v>
      </c>
      <c r="E1790" s="3" t="s">
        <v>100</v>
      </c>
      <c r="F1790" s="3" t="s">
        <v>633</v>
      </c>
      <c r="G1790" s="7">
        <v>45878.03057163531</v>
      </c>
    </row>
    <row r="1791">
      <c r="A1791" s="3" t="s">
        <v>6213</v>
      </c>
      <c r="B1791" s="3" t="s">
        <v>908</v>
      </c>
      <c r="C1791" s="3" t="s">
        <v>1342</v>
      </c>
      <c r="D1791" s="3" t="s">
        <v>195</v>
      </c>
      <c r="E1791" s="3" t="s">
        <v>45</v>
      </c>
      <c r="F1791" s="3" t="s">
        <v>1324</v>
      </c>
      <c r="G1791" s="7">
        <v>45878.10174648072</v>
      </c>
    </row>
    <row r="1792">
      <c r="A1792" s="3" t="s">
        <v>6215</v>
      </c>
      <c r="B1792" s="3" t="s">
        <v>793</v>
      </c>
      <c r="C1792" s="3" t="s">
        <v>1342</v>
      </c>
      <c r="D1792" s="3" t="s">
        <v>68</v>
      </c>
      <c r="E1792" s="3" t="s">
        <v>100</v>
      </c>
      <c r="F1792" s="3" t="s">
        <v>2067</v>
      </c>
      <c r="G1792" s="7">
        <v>45878.172921326135</v>
      </c>
    </row>
    <row r="1793">
      <c r="A1793" s="3" t="s">
        <v>6216</v>
      </c>
      <c r="B1793" s="3" t="s">
        <v>468</v>
      </c>
      <c r="C1793" s="3" t="s">
        <v>1342</v>
      </c>
      <c r="D1793" s="3" t="s">
        <v>68</v>
      </c>
      <c r="E1793" s="3" t="s">
        <v>100</v>
      </c>
      <c r="F1793" s="3" t="s">
        <v>1570</v>
      </c>
      <c r="G1793" s="7">
        <v>45878.244096171555</v>
      </c>
    </row>
    <row r="1794">
      <c r="A1794" s="3" t="s">
        <v>6218</v>
      </c>
      <c r="B1794" s="3" t="s">
        <v>333</v>
      </c>
      <c r="C1794" s="3" t="s">
        <v>1342</v>
      </c>
      <c r="D1794" s="3" t="s">
        <v>68</v>
      </c>
      <c r="E1794" s="3" t="s">
        <v>100</v>
      </c>
      <c r="F1794" s="3" t="s">
        <v>2083</v>
      </c>
      <c r="G1794" s="7">
        <v>45878.31527101697</v>
      </c>
    </row>
    <row r="1795">
      <c r="A1795" s="3" t="s">
        <v>6221</v>
      </c>
      <c r="B1795" s="3" t="s">
        <v>819</v>
      </c>
      <c r="C1795" s="3" t="s">
        <v>56</v>
      </c>
      <c r="D1795" s="3" t="s">
        <v>68</v>
      </c>
      <c r="E1795" s="3" t="s">
        <v>100</v>
      </c>
      <c r="F1795" s="3" t="s">
        <v>641</v>
      </c>
      <c r="G1795" s="7">
        <v>45878.38644586238</v>
      </c>
    </row>
    <row r="1796">
      <c r="A1796" s="3" t="s">
        <v>6225</v>
      </c>
      <c r="B1796" s="3" t="s">
        <v>442</v>
      </c>
      <c r="C1796" s="3" t="s">
        <v>1095</v>
      </c>
      <c r="D1796" s="3" t="s">
        <v>68</v>
      </c>
      <c r="E1796" s="3" t="s">
        <v>100</v>
      </c>
      <c r="F1796" s="3" t="s">
        <v>977</v>
      </c>
      <c r="G1796" s="7">
        <v>45878.4576207078</v>
      </c>
    </row>
    <row r="1797">
      <c r="A1797" s="3" t="s">
        <v>6228</v>
      </c>
      <c r="B1797" s="3" t="s">
        <v>953</v>
      </c>
      <c r="C1797" s="3" t="s">
        <v>1095</v>
      </c>
      <c r="D1797" s="3" t="s">
        <v>68</v>
      </c>
      <c r="E1797" s="3" t="s">
        <v>100</v>
      </c>
      <c r="F1797" s="3" t="s">
        <v>2006</v>
      </c>
      <c r="G1797" s="7">
        <v>45878.52879555322</v>
      </c>
    </row>
    <row r="1798">
      <c r="A1798" s="3" t="s">
        <v>6230</v>
      </c>
      <c r="B1798" s="3" t="s">
        <v>676</v>
      </c>
      <c r="C1798" s="3" t="s">
        <v>1095</v>
      </c>
      <c r="D1798" s="3" t="s">
        <v>68</v>
      </c>
      <c r="E1798" s="3" t="s">
        <v>100</v>
      </c>
      <c r="F1798" s="3" t="s">
        <v>2009</v>
      </c>
      <c r="G1798" s="7">
        <v>45878.59997039863</v>
      </c>
    </row>
    <row r="1799">
      <c r="A1799" s="3" t="s">
        <v>6233</v>
      </c>
      <c r="B1799" s="3" t="s">
        <v>694</v>
      </c>
      <c r="C1799" s="3" t="s">
        <v>56</v>
      </c>
      <c r="D1799" s="3" t="s">
        <v>68</v>
      </c>
      <c r="E1799" s="3" t="s">
        <v>100</v>
      </c>
      <c r="F1799" s="3" t="s">
        <v>646</v>
      </c>
      <c r="G1799" s="7">
        <v>45878.67114524404</v>
      </c>
    </row>
    <row r="1800">
      <c r="A1800" s="3" t="s">
        <v>6236</v>
      </c>
      <c r="B1800" s="3" t="s">
        <v>336</v>
      </c>
      <c r="C1800" s="3" t="s">
        <v>56</v>
      </c>
      <c r="D1800" s="3" t="s">
        <v>68</v>
      </c>
      <c r="E1800" s="3" t="s">
        <v>100</v>
      </c>
      <c r="F1800" s="3" t="s">
        <v>653</v>
      </c>
      <c r="G1800" s="7">
        <v>45878.74232008946</v>
      </c>
    </row>
    <row r="1801">
      <c r="A1801" s="3" t="s">
        <v>6239</v>
      </c>
      <c r="B1801" s="3" t="s">
        <v>510</v>
      </c>
      <c r="C1801" s="3" t="s">
        <v>56</v>
      </c>
      <c r="D1801" s="3" t="s">
        <v>181</v>
      </c>
      <c r="E1801" s="3" t="s">
        <v>45</v>
      </c>
      <c r="F1801" s="3" t="s">
        <v>45</v>
      </c>
      <c r="G1801" s="7">
        <v>45878.813494934875</v>
      </c>
    </row>
    <row r="1802">
      <c r="A1802" s="3" t="s">
        <v>6242</v>
      </c>
      <c r="B1802" s="3" t="s">
        <v>702</v>
      </c>
      <c r="C1802" s="3" t="s">
        <v>1342</v>
      </c>
      <c r="D1802" s="3" t="s">
        <v>68</v>
      </c>
      <c r="E1802" s="3" t="s">
        <v>100</v>
      </c>
      <c r="F1802" s="3" t="s">
        <v>1950</v>
      </c>
      <c r="G1802" s="7">
        <v>45878.88466978029</v>
      </c>
    </row>
    <row r="1803">
      <c r="A1803" s="3" t="s">
        <v>6245</v>
      </c>
      <c r="B1803" s="3" t="s">
        <v>380</v>
      </c>
      <c r="C1803" s="3" t="s">
        <v>1095</v>
      </c>
      <c r="D1803" s="3" t="s">
        <v>68</v>
      </c>
      <c r="E1803" s="3" t="s">
        <v>100</v>
      </c>
      <c r="F1803" s="3" t="s">
        <v>2115</v>
      </c>
      <c r="G1803" s="7">
        <v>45878.95584462571</v>
      </c>
    </row>
    <row r="1804">
      <c r="A1804" s="3" t="s">
        <v>6249</v>
      </c>
      <c r="B1804" s="3" t="s">
        <v>330</v>
      </c>
      <c r="C1804" s="3" t="s">
        <v>1342</v>
      </c>
      <c r="D1804" s="3" t="s">
        <v>68</v>
      </c>
      <c r="E1804" s="3" t="s">
        <v>100</v>
      </c>
      <c r="F1804" s="3" t="s">
        <v>1722</v>
      </c>
      <c r="G1804" s="7">
        <v>45879.02701947112</v>
      </c>
    </row>
    <row r="1805">
      <c r="A1805" s="3" t="s">
        <v>6252</v>
      </c>
      <c r="B1805" s="3" t="s">
        <v>130</v>
      </c>
      <c r="C1805" s="3" t="s">
        <v>1095</v>
      </c>
      <c r="D1805" s="3" t="s">
        <v>68</v>
      </c>
      <c r="E1805" s="3" t="s">
        <v>100</v>
      </c>
      <c r="F1805" s="3" t="s">
        <v>2074</v>
      </c>
      <c r="G1805" s="7">
        <v>45879.09819431653</v>
      </c>
    </row>
    <row r="1806">
      <c r="A1806" s="3" t="s">
        <v>6255</v>
      </c>
      <c r="B1806" s="3" t="s">
        <v>204</v>
      </c>
      <c r="C1806" s="3" t="s">
        <v>1342</v>
      </c>
      <c r="D1806" s="3" t="s">
        <v>68</v>
      </c>
      <c r="E1806" s="3" t="s">
        <v>100</v>
      </c>
      <c r="F1806" s="3" t="s">
        <v>2025</v>
      </c>
      <c r="G1806" s="7">
        <v>45879.16936916195</v>
      </c>
    </row>
    <row r="1807">
      <c r="A1807" s="3" t="s">
        <v>6258</v>
      </c>
      <c r="B1807" s="3" t="s">
        <v>307</v>
      </c>
      <c r="C1807" s="3" t="s">
        <v>1095</v>
      </c>
      <c r="D1807" s="3" t="s">
        <v>68</v>
      </c>
      <c r="E1807" s="3" t="s">
        <v>100</v>
      </c>
      <c r="F1807" s="3" t="s">
        <v>2120</v>
      </c>
      <c r="G1807" s="7">
        <v>45879.24054400736</v>
      </c>
    </row>
    <row r="1808">
      <c r="A1808" s="3" t="s">
        <v>6262</v>
      </c>
      <c r="B1808" s="3" t="s">
        <v>559</v>
      </c>
      <c r="C1808" s="3" t="s">
        <v>1342</v>
      </c>
      <c r="D1808" s="3" t="s">
        <v>68</v>
      </c>
      <c r="E1808" s="3" t="s">
        <v>100</v>
      </c>
      <c r="F1808" s="3" t="s">
        <v>1782</v>
      </c>
      <c r="G1808" s="7">
        <v>45879.311718852776</v>
      </c>
    </row>
    <row r="1809">
      <c r="A1809" s="3" t="s">
        <v>6265</v>
      </c>
      <c r="B1809" s="3" t="s">
        <v>533</v>
      </c>
      <c r="C1809" s="3" t="s">
        <v>56</v>
      </c>
      <c r="D1809" s="3" t="s">
        <v>68</v>
      </c>
      <c r="E1809" s="3" t="s">
        <v>100</v>
      </c>
      <c r="F1809" s="3" t="s">
        <v>659</v>
      </c>
      <c r="G1809" s="7">
        <v>45879.382893698195</v>
      </c>
    </row>
    <row r="1810">
      <c r="A1810" s="3" t="s">
        <v>6268</v>
      </c>
      <c r="B1810" s="3" t="s">
        <v>609</v>
      </c>
      <c r="C1810" s="3" t="s">
        <v>1095</v>
      </c>
      <c r="D1810" s="3" t="s">
        <v>68</v>
      </c>
      <c r="E1810" s="3" t="s">
        <v>100</v>
      </c>
      <c r="F1810" s="3" t="s">
        <v>1806</v>
      </c>
      <c r="G1810" s="7">
        <v>45879.454068543615</v>
      </c>
    </row>
    <row r="1811">
      <c r="A1811" s="3" t="s">
        <v>6271</v>
      </c>
      <c r="B1811" s="3" t="s">
        <v>574</v>
      </c>
      <c r="C1811" s="3" t="s">
        <v>56</v>
      </c>
      <c r="D1811" s="3" t="s">
        <v>68</v>
      </c>
      <c r="E1811" s="3" t="s">
        <v>100</v>
      </c>
      <c r="F1811" s="3" t="s">
        <v>668</v>
      </c>
      <c r="G1811" s="7">
        <v>45879.52524338902</v>
      </c>
    </row>
    <row r="1812">
      <c r="A1812" s="3" t="s">
        <v>6274</v>
      </c>
      <c r="B1812" s="3" t="s">
        <v>596</v>
      </c>
      <c r="C1812" s="3" t="s">
        <v>56</v>
      </c>
      <c r="D1812" s="3" t="s">
        <v>181</v>
      </c>
      <c r="E1812" s="3" t="s">
        <v>45</v>
      </c>
      <c r="F1812" s="3" t="s">
        <v>45</v>
      </c>
      <c r="G1812" s="7">
        <v>45879.59641823444</v>
      </c>
    </row>
    <row r="1813">
      <c r="A1813" s="3" t="s">
        <v>6278</v>
      </c>
      <c r="B1813" s="3" t="s">
        <v>272</v>
      </c>
      <c r="C1813" s="3" t="s">
        <v>1342</v>
      </c>
      <c r="D1813" s="3" t="s">
        <v>68</v>
      </c>
      <c r="E1813" s="3" t="s">
        <v>100</v>
      </c>
      <c r="F1813" s="3" t="s">
        <v>538</v>
      </c>
      <c r="G1813" s="7">
        <v>45879.66759307986</v>
      </c>
    </row>
    <row r="1814">
      <c r="A1814" s="3" t="s">
        <v>6281</v>
      </c>
      <c r="B1814" s="3" t="s">
        <v>793</v>
      </c>
      <c r="C1814" s="3" t="s">
        <v>1342</v>
      </c>
      <c r="D1814" s="3" t="s">
        <v>68</v>
      </c>
      <c r="E1814" s="3" t="s">
        <v>100</v>
      </c>
      <c r="F1814" s="3" t="s">
        <v>2067</v>
      </c>
      <c r="G1814" s="7">
        <v>45879.73876792527</v>
      </c>
    </row>
    <row r="1815">
      <c r="A1815" s="3" t="s">
        <v>6285</v>
      </c>
      <c r="B1815" s="3" t="s">
        <v>569</v>
      </c>
      <c r="C1815" s="3" t="s">
        <v>1342</v>
      </c>
      <c r="D1815" s="3" t="s">
        <v>68</v>
      </c>
      <c r="E1815" s="3" t="s">
        <v>100</v>
      </c>
      <c r="F1815" s="3" t="s">
        <v>1627</v>
      </c>
      <c r="G1815" s="7">
        <v>45879.809942770684</v>
      </c>
    </row>
    <row r="1816">
      <c r="A1816" s="3" t="s">
        <v>6288</v>
      </c>
      <c r="B1816" s="3" t="s">
        <v>557</v>
      </c>
      <c r="C1816" s="3" t="s">
        <v>1095</v>
      </c>
      <c r="D1816" s="3" t="s">
        <v>68</v>
      </c>
      <c r="E1816" s="3" t="s">
        <v>100</v>
      </c>
      <c r="F1816" s="3" t="s">
        <v>1927</v>
      </c>
      <c r="G1816" s="7">
        <v>45879.8811176161</v>
      </c>
    </row>
    <row r="1817">
      <c r="A1817" s="3" t="s">
        <v>6291</v>
      </c>
      <c r="B1817" s="3" t="s">
        <v>352</v>
      </c>
      <c r="C1817" s="3" t="s">
        <v>56</v>
      </c>
      <c r="D1817" s="3" t="s">
        <v>195</v>
      </c>
      <c r="E1817" s="3" t="s">
        <v>45</v>
      </c>
      <c r="F1817" s="3" t="s">
        <v>45</v>
      </c>
      <c r="G1817" s="7">
        <v>45879.952292461516</v>
      </c>
    </row>
    <row r="1818">
      <c r="A1818" s="3" t="s">
        <v>6294</v>
      </c>
      <c r="B1818" s="3" t="s">
        <v>156</v>
      </c>
      <c r="C1818" s="3" t="s">
        <v>56</v>
      </c>
      <c r="D1818" s="3" t="s">
        <v>68</v>
      </c>
      <c r="E1818" s="3" t="s">
        <v>100</v>
      </c>
      <c r="F1818" s="3" t="s">
        <v>673</v>
      </c>
      <c r="G1818" s="7">
        <v>45880.02346730693</v>
      </c>
    </row>
    <row r="1819">
      <c r="A1819" s="3" t="s">
        <v>6297</v>
      </c>
      <c r="B1819" s="3" t="s">
        <v>643</v>
      </c>
      <c r="C1819" s="3" t="s">
        <v>56</v>
      </c>
      <c r="D1819" s="3" t="s">
        <v>68</v>
      </c>
      <c r="E1819" s="3" t="s">
        <v>100</v>
      </c>
      <c r="F1819" s="3" t="s">
        <v>681</v>
      </c>
      <c r="G1819" s="7">
        <v>45880.09464215235</v>
      </c>
    </row>
    <row r="1820">
      <c r="A1820" s="3" t="s">
        <v>6302</v>
      </c>
      <c r="B1820" s="3" t="s">
        <v>148</v>
      </c>
      <c r="C1820" s="3" t="s">
        <v>1095</v>
      </c>
      <c r="D1820" s="3" t="s">
        <v>68</v>
      </c>
      <c r="E1820" s="3" t="s">
        <v>100</v>
      </c>
      <c r="F1820" s="3" t="s">
        <v>2039</v>
      </c>
      <c r="G1820" s="7">
        <v>45880.16581699776</v>
      </c>
    </row>
    <row r="1821">
      <c r="A1821" s="3" t="s">
        <v>6306</v>
      </c>
      <c r="B1821" s="3" t="s">
        <v>193</v>
      </c>
      <c r="C1821" s="3" t="s">
        <v>56</v>
      </c>
      <c r="D1821" s="3" t="s">
        <v>68</v>
      </c>
      <c r="E1821" s="3" t="s">
        <v>100</v>
      </c>
      <c r="F1821" s="3" t="s">
        <v>688</v>
      </c>
      <c r="G1821" s="7">
        <v>45880.23699184317</v>
      </c>
    </row>
    <row r="1822">
      <c r="A1822" s="3" t="s">
        <v>6310</v>
      </c>
      <c r="B1822" s="3" t="s">
        <v>708</v>
      </c>
      <c r="C1822" s="3" t="s">
        <v>1095</v>
      </c>
      <c r="D1822" s="3" t="s">
        <v>68</v>
      </c>
      <c r="E1822" s="3" t="s">
        <v>100</v>
      </c>
      <c r="F1822" s="3" t="s">
        <v>1776</v>
      </c>
      <c r="G1822" s="7">
        <v>45880.30816668859</v>
      </c>
    </row>
    <row r="1823">
      <c r="A1823" s="3" t="s">
        <v>6313</v>
      </c>
      <c r="B1823" s="3" t="s">
        <v>383</v>
      </c>
      <c r="C1823" s="3" t="s">
        <v>1095</v>
      </c>
      <c r="D1823" s="3" t="s">
        <v>68</v>
      </c>
      <c r="E1823" s="3" t="s">
        <v>100</v>
      </c>
      <c r="F1823" s="3" t="s">
        <v>1812</v>
      </c>
      <c r="G1823" s="7">
        <v>45880.37934153401</v>
      </c>
    </row>
    <row r="1824">
      <c r="A1824" s="3" t="s">
        <v>6316</v>
      </c>
      <c r="B1824" s="3" t="s">
        <v>536</v>
      </c>
      <c r="C1824" s="3" t="s">
        <v>1342</v>
      </c>
      <c r="D1824" s="3" t="s">
        <v>68</v>
      </c>
      <c r="E1824" s="3" t="s">
        <v>100</v>
      </c>
      <c r="F1824" s="3" t="s">
        <v>1245</v>
      </c>
      <c r="G1824" s="7">
        <v>45880.45051637942</v>
      </c>
    </row>
    <row r="1825">
      <c r="A1825" s="3" t="s">
        <v>6319</v>
      </c>
      <c r="B1825" s="3" t="s">
        <v>460</v>
      </c>
      <c r="C1825" s="3" t="s">
        <v>1095</v>
      </c>
      <c r="D1825" s="3" t="s">
        <v>68</v>
      </c>
      <c r="E1825" s="3" t="s">
        <v>100</v>
      </c>
      <c r="F1825" s="3" t="s">
        <v>2099</v>
      </c>
      <c r="G1825" s="7">
        <v>45880.521691224836</v>
      </c>
    </row>
    <row r="1826">
      <c r="A1826" s="3" t="s">
        <v>6323</v>
      </c>
      <c r="B1826" s="3" t="s">
        <v>591</v>
      </c>
      <c r="C1826" s="3" t="s">
        <v>1342</v>
      </c>
      <c r="D1826" s="3" t="s">
        <v>68</v>
      </c>
      <c r="E1826" s="3" t="s">
        <v>100</v>
      </c>
      <c r="F1826" s="3" t="s">
        <v>2062</v>
      </c>
      <c r="G1826" s="7">
        <v>45880.592866070256</v>
      </c>
    </row>
    <row r="1827">
      <c r="A1827" s="3" t="s">
        <v>6327</v>
      </c>
      <c r="B1827" s="3" t="s">
        <v>691</v>
      </c>
      <c r="C1827" s="3" t="s">
        <v>1342</v>
      </c>
      <c r="D1827" s="3" t="s">
        <v>68</v>
      </c>
      <c r="E1827" s="3" t="s">
        <v>100</v>
      </c>
      <c r="F1827" s="3" t="s">
        <v>1958</v>
      </c>
      <c r="G1827" s="7">
        <v>45880.66404091567</v>
      </c>
    </row>
    <row r="1828">
      <c r="A1828" s="3" t="s">
        <v>6330</v>
      </c>
      <c r="B1828" s="3" t="s">
        <v>598</v>
      </c>
      <c r="C1828" s="3" t="s">
        <v>1095</v>
      </c>
      <c r="D1828" s="3" t="s">
        <v>181</v>
      </c>
      <c r="E1828" s="3" t="s">
        <v>45</v>
      </c>
      <c r="F1828" s="3" t="s">
        <v>2113</v>
      </c>
      <c r="G1828" s="7">
        <v>45880.73521576108</v>
      </c>
    </row>
    <row r="1829">
      <c r="A1829" s="3" t="s">
        <v>6333</v>
      </c>
      <c r="B1829" s="3" t="s">
        <v>947</v>
      </c>
      <c r="C1829" s="3" t="s">
        <v>1342</v>
      </c>
      <c r="D1829" s="3" t="s">
        <v>68</v>
      </c>
      <c r="E1829" s="3" t="s">
        <v>100</v>
      </c>
      <c r="F1829" s="3" t="s">
        <v>1855</v>
      </c>
      <c r="G1829" s="7">
        <v>45880.8063906065</v>
      </c>
    </row>
    <row r="1830">
      <c r="A1830" s="3" t="s">
        <v>6336</v>
      </c>
      <c r="B1830" s="3" t="s">
        <v>579</v>
      </c>
      <c r="C1830" s="3" t="s">
        <v>1095</v>
      </c>
      <c r="D1830" s="3" t="s">
        <v>68</v>
      </c>
      <c r="E1830" s="3" t="s">
        <v>100</v>
      </c>
      <c r="F1830" s="3" t="s">
        <v>1697</v>
      </c>
      <c r="G1830" s="7">
        <v>45880.87756545191</v>
      </c>
    </row>
    <row r="1831">
      <c r="A1831" s="3" t="s">
        <v>6339</v>
      </c>
      <c r="B1831" s="3" t="s">
        <v>282</v>
      </c>
      <c r="C1831" s="3" t="s">
        <v>56</v>
      </c>
      <c r="D1831" s="3" t="s">
        <v>181</v>
      </c>
      <c r="E1831" s="3" t="s">
        <v>45</v>
      </c>
      <c r="F1831" s="3" t="s">
        <v>45</v>
      </c>
      <c r="G1831" s="7">
        <v>45880.948740297325</v>
      </c>
    </row>
    <row r="1832">
      <c r="A1832" s="3" t="s">
        <v>6344</v>
      </c>
      <c r="B1832" s="3" t="s">
        <v>591</v>
      </c>
      <c r="C1832" s="3" t="s">
        <v>1095</v>
      </c>
      <c r="D1832" s="3" t="s">
        <v>68</v>
      </c>
      <c r="E1832" s="3" t="s">
        <v>100</v>
      </c>
      <c r="F1832" s="3" t="s">
        <v>2062</v>
      </c>
      <c r="G1832" s="7">
        <v>45881.019915142744</v>
      </c>
    </row>
    <row r="1833">
      <c r="A1833" s="3" t="s">
        <v>6347</v>
      </c>
      <c r="B1833" s="3" t="s">
        <v>841</v>
      </c>
      <c r="C1833" s="3" t="s">
        <v>1095</v>
      </c>
      <c r="D1833" s="3" t="s">
        <v>68</v>
      </c>
      <c r="E1833" s="3" t="s">
        <v>100</v>
      </c>
      <c r="F1833" s="3" t="s">
        <v>810</v>
      </c>
      <c r="G1833" s="7">
        <v>45881.09108998816</v>
      </c>
    </row>
    <row r="1834">
      <c r="A1834" s="3" t="s">
        <v>6350</v>
      </c>
      <c r="B1834" s="3" t="s">
        <v>826</v>
      </c>
      <c r="C1834" s="3" t="s">
        <v>56</v>
      </c>
      <c r="D1834" s="3" t="s">
        <v>68</v>
      </c>
      <c r="E1834" s="3" t="s">
        <v>100</v>
      </c>
      <c r="F1834" s="3" t="s">
        <v>693</v>
      </c>
      <c r="G1834" s="7">
        <v>45881.16226483357</v>
      </c>
    </row>
    <row r="1835">
      <c r="A1835" s="3" t="s">
        <v>6353</v>
      </c>
      <c r="B1835" s="3" t="s">
        <v>197</v>
      </c>
      <c r="C1835" s="3" t="s">
        <v>1342</v>
      </c>
      <c r="D1835" s="3" t="s">
        <v>181</v>
      </c>
      <c r="E1835" s="3" t="s">
        <v>45</v>
      </c>
      <c r="F1835" s="3" t="s">
        <v>1467</v>
      </c>
      <c r="G1835" s="7">
        <v>45881.23343967899</v>
      </c>
    </row>
    <row r="1836">
      <c r="A1836" s="3" t="s">
        <v>6356</v>
      </c>
      <c r="B1836" s="3" t="s">
        <v>269</v>
      </c>
      <c r="C1836" s="3" t="s">
        <v>1095</v>
      </c>
      <c r="D1836" s="3" t="s">
        <v>68</v>
      </c>
      <c r="E1836" s="3" t="s">
        <v>100</v>
      </c>
      <c r="F1836" s="3" t="s">
        <v>477</v>
      </c>
      <c r="G1836" s="7">
        <v>45881.3046145244</v>
      </c>
    </row>
    <row r="1837">
      <c r="A1837" s="3" t="s">
        <v>6359</v>
      </c>
      <c r="B1837" s="3" t="s">
        <v>763</v>
      </c>
      <c r="C1837" s="3" t="s">
        <v>56</v>
      </c>
      <c r="D1837" s="3" t="s">
        <v>68</v>
      </c>
      <c r="E1837" s="3" t="s">
        <v>100</v>
      </c>
      <c r="F1837" s="3" t="s">
        <v>701</v>
      </c>
      <c r="G1837" s="7">
        <v>45881.37578936981</v>
      </c>
    </row>
    <row r="1838">
      <c r="A1838" s="3" t="s">
        <v>6362</v>
      </c>
      <c r="B1838" s="3" t="s">
        <v>481</v>
      </c>
      <c r="C1838" s="3" t="s">
        <v>1342</v>
      </c>
      <c r="D1838" s="3" t="s">
        <v>68</v>
      </c>
      <c r="E1838" s="3" t="s">
        <v>100</v>
      </c>
      <c r="F1838" s="3" t="s">
        <v>518</v>
      </c>
      <c r="G1838" s="7">
        <v>45881.44696421523</v>
      </c>
    </row>
    <row r="1839">
      <c r="A1839" s="3" t="s">
        <v>6366</v>
      </c>
      <c r="B1839" s="3" t="s">
        <v>475</v>
      </c>
      <c r="C1839" s="3" t="s">
        <v>56</v>
      </c>
      <c r="D1839" s="3" t="s">
        <v>68</v>
      </c>
      <c r="E1839" s="3" t="s">
        <v>100</v>
      </c>
      <c r="F1839" s="3" t="s">
        <v>705</v>
      </c>
      <c r="G1839" s="7">
        <v>45881.51813906065</v>
      </c>
    </row>
    <row r="1840">
      <c r="A1840" s="3" t="s">
        <v>6370</v>
      </c>
      <c r="B1840" s="3" t="s">
        <v>330</v>
      </c>
      <c r="C1840" s="3" t="s">
        <v>1342</v>
      </c>
      <c r="D1840" s="3" t="s">
        <v>68</v>
      </c>
      <c r="E1840" s="3" t="s">
        <v>100</v>
      </c>
      <c r="F1840" s="3" t="s">
        <v>1722</v>
      </c>
      <c r="G1840" s="7">
        <v>45881.589313906064</v>
      </c>
    </row>
    <row r="1841">
      <c r="A1841" s="3" t="s">
        <v>6373</v>
      </c>
      <c r="B1841" s="3" t="s">
        <v>575</v>
      </c>
      <c r="C1841" s="3" t="s">
        <v>1342</v>
      </c>
      <c r="D1841" s="3" t="s">
        <v>68</v>
      </c>
      <c r="E1841" s="3" t="s">
        <v>100</v>
      </c>
      <c r="F1841" s="3" t="s">
        <v>1654</v>
      </c>
      <c r="G1841" s="7">
        <v>45881.66048875148</v>
      </c>
    </row>
    <row r="1842">
      <c r="A1842" s="3" t="s">
        <v>6376</v>
      </c>
      <c r="B1842" s="3" t="s">
        <v>256</v>
      </c>
      <c r="C1842" s="3" t="s">
        <v>1342</v>
      </c>
      <c r="D1842" s="3" t="s">
        <v>68</v>
      </c>
      <c r="E1842" s="3" t="s">
        <v>100</v>
      </c>
      <c r="F1842" s="3" t="s">
        <v>1539</v>
      </c>
      <c r="G1842" s="7">
        <v>45881.7316635969</v>
      </c>
    </row>
    <row r="1843">
      <c r="A1843" s="3" t="s">
        <v>6379</v>
      </c>
      <c r="B1843" s="3" t="s">
        <v>541</v>
      </c>
      <c r="C1843" s="3" t="s">
        <v>1095</v>
      </c>
      <c r="D1843" s="3" t="s">
        <v>68</v>
      </c>
      <c r="E1843" s="3" t="s">
        <v>100</v>
      </c>
      <c r="F1843" s="3" t="s">
        <v>1286</v>
      </c>
      <c r="G1843" s="7">
        <v>45881.80283844231</v>
      </c>
    </row>
    <row r="1844">
      <c r="A1844" s="3" t="s">
        <v>6382</v>
      </c>
      <c r="B1844" s="3" t="s">
        <v>475</v>
      </c>
      <c r="C1844" s="3" t="s">
        <v>1342</v>
      </c>
      <c r="D1844" s="3" t="s">
        <v>68</v>
      </c>
      <c r="E1844" s="3" t="s">
        <v>100</v>
      </c>
      <c r="F1844" s="3" t="s">
        <v>705</v>
      </c>
      <c r="G1844" s="7">
        <v>45881.87401328772</v>
      </c>
    </row>
    <row r="1845">
      <c r="A1845" s="3" t="s">
        <v>6385</v>
      </c>
      <c r="B1845" s="3" t="s">
        <v>591</v>
      </c>
      <c r="C1845" s="3" t="s">
        <v>56</v>
      </c>
      <c r="D1845" s="3" t="s">
        <v>68</v>
      </c>
      <c r="E1845" s="3" t="s">
        <v>100</v>
      </c>
      <c r="F1845" s="3" t="s">
        <v>721</v>
      </c>
      <c r="G1845" s="7">
        <v>45881.94518813314</v>
      </c>
    </row>
    <row r="1846">
      <c r="A1846" s="3" t="s">
        <v>6388</v>
      </c>
      <c r="B1846" s="3" t="s">
        <v>356</v>
      </c>
      <c r="C1846" s="3" t="s">
        <v>1342</v>
      </c>
      <c r="D1846" s="3" t="s">
        <v>181</v>
      </c>
      <c r="E1846" s="3" t="s">
        <v>45</v>
      </c>
      <c r="F1846" s="3" t="s">
        <v>1609</v>
      </c>
      <c r="G1846" s="7">
        <v>45882.01636297855</v>
      </c>
    </row>
    <row r="1847">
      <c r="A1847" s="3" t="s">
        <v>6391</v>
      </c>
      <c r="B1847" s="3" t="s">
        <v>219</v>
      </c>
      <c r="C1847" s="3" t="s">
        <v>56</v>
      </c>
      <c r="D1847" s="3" t="s">
        <v>68</v>
      </c>
      <c r="E1847" s="3" t="s">
        <v>100</v>
      </c>
      <c r="F1847" s="3" t="s">
        <v>728</v>
      </c>
      <c r="G1847" s="7">
        <v>45882.087537823965</v>
      </c>
    </row>
    <row r="1848">
      <c r="A1848" s="3" t="s">
        <v>6393</v>
      </c>
      <c r="B1848" s="3" t="s">
        <v>965</v>
      </c>
      <c r="C1848" s="3" t="s">
        <v>56</v>
      </c>
      <c r="D1848" s="3" t="s">
        <v>68</v>
      </c>
      <c r="E1848" s="3" t="s">
        <v>100</v>
      </c>
      <c r="F1848" s="3" t="s">
        <v>738</v>
      </c>
      <c r="G1848" s="7">
        <v>45882.158712669385</v>
      </c>
    </row>
    <row r="1849">
      <c r="A1849" s="3" t="s">
        <v>6395</v>
      </c>
      <c r="B1849" s="3" t="s">
        <v>883</v>
      </c>
      <c r="C1849" s="3" t="s">
        <v>1095</v>
      </c>
      <c r="D1849" s="3" t="s">
        <v>68</v>
      </c>
      <c r="E1849" s="3" t="s">
        <v>100</v>
      </c>
      <c r="F1849" s="3" t="s">
        <v>1923</v>
      </c>
      <c r="G1849" s="7">
        <v>45882.2298875148</v>
      </c>
    </row>
    <row r="1850">
      <c r="A1850" s="3" t="s">
        <v>6398</v>
      </c>
      <c r="B1850" s="3" t="s">
        <v>926</v>
      </c>
      <c r="C1850" s="3" t="s">
        <v>1095</v>
      </c>
      <c r="D1850" s="3" t="s">
        <v>68</v>
      </c>
      <c r="E1850" s="3" t="s">
        <v>100</v>
      </c>
      <c r="F1850" s="3" t="s">
        <v>996</v>
      </c>
      <c r="G1850" s="7">
        <v>45882.30106236021</v>
      </c>
    </row>
    <row r="1851">
      <c r="A1851" s="3" t="s">
        <v>6401</v>
      </c>
      <c r="B1851" s="3" t="s">
        <v>156</v>
      </c>
      <c r="C1851" s="3" t="s">
        <v>1342</v>
      </c>
      <c r="D1851" s="3" t="s">
        <v>68</v>
      </c>
      <c r="E1851" s="3" t="s">
        <v>100</v>
      </c>
      <c r="F1851" s="3" t="s">
        <v>673</v>
      </c>
      <c r="G1851" s="7">
        <v>45882.37223720563</v>
      </c>
    </row>
    <row r="1852">
      <c r="A1852" s="3" t="s">
        <v>6404</v>
      </c>
      <c r="B1852" s="3" t="s">
        <v>637</v>
      </c>
      <c r="C1852" s="3" t="s">
        <v>1342</v>
      </c>
      <c r="D1852" s="3" t="s">
        <v>68</v>
      </c>
      <c r="E1852" s="3" t="s">
        <v>100</v>
      </c>
      <c r="F1852" s="3" t="s">
        <v>549</v>
      </c>
      <c r="G1852" s="7">
        <v>45882.44341205105</v>
      </c>
    </row>
    <row r="1853">
      <c r="A1853" s="3" t="s">
        <v>6407</v>
      </c>
      <c r="B1853" s="3" t="s">
        <v>976</v>
      </c>
      <c r="C1853" s="3" t="s">
        <v>1095</v>
      </c>
      <c r="D1853" s="3" t="s">
        <v>68</v>
      </c>
      <c r="E1853" s="3" t="s">
        <v>100</v>
      </c>
      <c r="F1853" s="3" t="s">
        <v>1679</v>
      </c>
      <c r="G1853" s="7">
        <v>45882.514586896454</v>
      </c>
    </row>
    <row r="1854">
      <c r="A1854" s="3" t="s">
        <v>6411</v>
      </c>
      <c r="B1854" s="3" t="s">
        <v>510</v>
      </c>
      <c r="C1854" s="3" t="s">
        <v>56</v>
      </c>
      <c r="D1854" s="3" t="s">
        <v>68</v>
      </c>
      <c r="E1854" s="3" t="s">
        <v>100</v>
      </c>
      <c r="F1854" s="3" t="s">
        <v>741</v>
      </c>
      <c r="G1854" s="7">
        <v>45882.58576174187</v>
      </c>
    </row>
    <row r="1855">
      <c r="A1855" s="3" t="s">
        <v>6415</v>
      </c>
      <c r="B1855" s="3" t="s">
        <v>501</v>
      </c>
      <c r="C1855" s="3" t="s">
        <v>1342</v>
      </c>
      <c r="D1855" s="3" t="s">
        <v>68</v>
      </c>
      <c r="E1855" s="3" t="s">
        <v>100</v>
      </c>
      <c r="F1855" s="3" t="s">
        <v>1846</v>
      </c>
      <c r="G1855" s="7">
        <v>45882.65693658729</v>
      </c>
    </row>
    <row r="1856">
      <c r="A1856" s="3" t="s">
        <v>6418</v>
      </c>
      <c r="B1856" s="3" t="s">
        <v>1028</v>
      </c>
      <c r="C1856" s="3" t="s">
        <v>1342</v>
      </c>
      <c r="D1856" s="3" t="s">
        <v>68</v>
      </c>
      <c r="E1856" s="3" t="s">
        <v>100</v>
      </c>
      <c r="F1856" s="3" t="s">
        <v>1852</v>
      </c>
      <c r="G1856" s="7">
        <v>45882.728111432705</v>
      </c>
    </row>
    <row r="1857">
      <c r="A1857" s="3" t="s">
        <v>6421</v>
      </c>
      <c r="B1857" s="3" t="s">
        <v>141</v>
      </c>
      <c r="C1857" s="3" t="s">
        <v>56</v>
      </c>
      <c r="D1857" s="3" t="s">
        <v>68</v>
      </c>
      <c r="E1857" s="3" t="s">
        <v>100</v>
      </c>
      <c r="F1857" s="3" t="s">
        <v>749</v>
      </c>
      <c r="G1857" s="7">
        <v>45882.79928627812</v>
      </c>
    </row>
    <row r="1858">
      <c r="A1858" s="3" t="s">
        <v>6424</v>
      </c>
      <c r="B1858" s="3" t="s">
        <v>913</v>
      </c>
      <c r="C1858" s="3" t="s">
        <v>56</v>
      </c>
      <c r="D1858" s="3" t="s">
        <v>68</v>
      </c>
      <c r="E1858" s="3" t="s">
        <v>100</v>
      </c>
      <c r="F1858" s="3" t="s">
        <v>754</v>
      </c>
      <c r="G1858" s="7">
        <v>45882.87046112354</v>
      </c>
    </row>
    <row r="1859">
      <c r="A1859" s="3" t="s">
        <v>6428</v>
      </c>
      <c r="B1859" s="3" t="s">
        <v>498</v>
      </c>
      <c r="C1859" s="3" t="s">
        <v>1342</v>
      </c>
      <c r="D1859" s="3" t="s">
        <v>68</v>
      </c>
      <c r="E1859" s="3" t="s">
        <v>100</v>
      </c>
      <c r="F1859" s="3" t="s">
        <v>2030</v>
      </c>
      <c r="G1859" s="7">
        <v>45882.94163596895</v>
      </c>
    </row>
    <row r="1860">
      <c r="A1860" s="3" t="s">
        <v>6431</v>
      </c>
      <c r="B1860" s="3" t="s">
        <v>976</v>
      </c>
      <c r="C1860" s="3" t="s">
        <v>56</v>
      </c>
      <c r="D1860" s="3" t="s">
        <v>68</v>
      </c>
      <c r="E1860" s="3" t="s">
        <v>100</v>
      </c>
      <c r="F1860" s="3" t="s">
        <v>762</v>
      </c>
      <c r="G1860" s="7">
        <v>45883.01281081436</v>
      </c>
    </row>
    <row r="1861">
      <c r="A1861" s="3" t="s">
        <v>6435</v>
      </c>
      <c r="B1861" s="3" t="s">
        <v>197</v>
      </c>
      <c r="C1861" s="3" t="s">
        <v>1095</v>
      </c>
      <c r="D1861" s="3" t="s">
        <v>68</v>
      </c>
      <c r="E1861" s="3" t="s">
        <v>100</v>
      </c>
      <c r="F1861" s="3" t="s">
        <v>1467</v>
      </c>
      <c r="G1861" s="7">
        <v>45883.08398565978</v>
      </c>
    </row>
    <row r="1862">
      <c r="A1862" s="3" t="s">
        <v>6438</v>
      </c>
      <c r="B1862" s="3" t="s">
        <v>622</v>
      </c>
      <c r="C1862" s="3" t="s">
        <v>1342</v>
      </c>
      <c r="D1862" s="3" t="s">
        <v>68</v>
      </c>
      <c r="E1862" s="3" t="s">
        <v>100</v>
      </c>
      <c r="F1862" s="3" t="s">
        <v>1954</v>
      </c>
      <c r="G1862" s="7">
        <v>45883.15516050519</v>
      </c>
    </row>
    <row r="1863">
      <c r="A1863" s="3" t="s">
        <v>6441</v>
      </c>
      <c r="B1863" s="3" t="s">
        <v>256</v>
      </c>
      <c r="C1863" s="3" t="s">
        <v>1095</v>
      </c>
      <c r="D1863" s="3" t="s">
        <v>68</v>
      </c>
      <c r="E1863" s="3" t="s">
        <v>100</v>
      </c>
      <c r="F1863" s="3" t="s">
        <v>1539</v>
      </c>
      <c r="G1863" s="7">
        <v>45883.226335350606</v>
      </c>
    </row>
    <row r="1864">
      <c r="A1864" s="3" t="s">
        <v>6444</v>
      </c>
      <c r="B1864" s="3" t="s">
        <v>1043</v>
      </c>
      <c r="C1864" s="3" t="s">
        <v>56</v>
      </c>
      <c r="D1864" s="3" t="s">
        <v>68</v>
      </c>
      <c r="E1864" s="3" t="s">
        <v>100</v>
      </c>
      <c r="F1864" s="3" t="s">
        <v>769</v>
      </c>
      <c r="G1864" s="7">
        <v>45883.297510196026</v>
      </c>
    </row>
    <row r="1865">
      <c r="A1865" s="3" t="s">
        <v>6447</v>
      </c>
      <c r="B1865" s="3" t="s">
        <v>895</v>
      </c>
      <c r="C1865" s="3" t="s">
        <v>1095</v>
      </c>
      <c r="D1865" s="3" t="s">
        <v>68</v>
      </c>
      <c r="E1865" s="3" t="s">
        <v>100</v>
      </c>
      <c r="F1865" s="3" t="s">
        <v>1857</v>
      </c>
      <c r="G1865" s="7">
        <v>45883.36868504144</v>
      </c>
    </row>
    <row r="1866">
      <c r="A1866" s="3" t="s">
        <v>6450</v>
      </c>
      <c r="B1866" s="3" t="s">
        <v>682</v>
      </c>
      <c r="C1866" s="3" t="s">
        <v>1342</v>
      </c>
      <c r="D1866" s="3" t="s">
        <v>68</v>
      </c>
      <c r="E1866" s="3" t="s">
        <v>100</v>
      </c>
      <c r="F1866" s="3" t="s">
        <v>2013</v>
      </c>
      <c r="G1866" s="7">
        <v>45883.43985988685</v>
      </c>
    </row>
    <row r="1867">
      <c r="A1867" s="3" t="s">
        <v>6453</v>
      </c>
      <c r="B1867" s="3" t="s">
        <v>290</v>
      </c>
      <c r="C1867" s="3" t="s">
        <v>1342</v>
      </c>
      <c r="D1867" s="3" t="s">
        <v>68</v>
      </c>
      <c r="E1867" s="3" t="s">
        <v>100</v>
      </c>
      <c r="F1867" s="3" t="s">
        <v>1828</v>
      </c>
      <c r="G1867" s="7">
        <v>45883.51103473227</v>
      </c>
    </row>
    <row r="1868">
      <c r="A1868" s="3" t="s">
        <v>6455</v>
      </c>
      <c r="B1868" s="3" t="s">
        <v>524</v>
      </c>
      <c r="C1868" s="3" t="s">
        <v>1342</v>
      </c>
      <c r="D1868" s="3" t="s">
        <v>68</v>
      </c>
      <c r="E1868" s="3" t="s">
        <v>100</v>
      </c>
      <c r="F1868" s="3" t="s">
        <v>1621</v>
      </c>
      <c r="G1868" s="7">
        <v>45883.58220957769</v>
      </c>
    </row>
    <row r="1869">
      <c r="A1869" s="3" t="s">
        <v>6459</v>
      </c>
      <c r="B1869" s="3" t="s">
        <v>398</v>
      </c>
      <c r="C1869" s="3" t="s">
        <v>1095</v>
      </c>
      <c r="D1869" s="3" t="s">
        <v>195</v>
      </c>
      <c r="E1869" s="3" t="s">
        <v>45</v>
      </c>
      <c r="F1869" s="3" t="s">
        <v>1873</v>
      </c>
      <c r="G1869" s="7">
        <v>45883.653384423094</v>
      </c>
    </row>
    <row r="1870">
      <c r="A1870" s="3" t="s">
        <v>6463</v>
      </c>
      <c r="B1870" s="3" t="s">
        <v>587</v>
      </c>
      <c r="C1870" s="3" t="s">
        <v>1342</v>
      </c>
      <c r="D1870" s="3" t="s">
        <v>68</v>
      </c>
      <c r="E1870" s="3" t="s">
        <v>100</v>
      </c>
      <c r="F1870" s="3" t="s">
        <v>2091</v>
      </c>
      <c r="G1870" s="7">
        <v>45883.724559268514</v>
      </c>
    </row>
    <row r="1871">
      <c r="A1871" s="3" t="s">
        <v>6466</v>
      </c>
      <c r="B1871" s="3" t="s">
        <v>159</v>
      </c>
      <c r="C1871" s="3" t="s">
        <v>1342</v>
      </c>
      <c r="D1871" s="3" t="s">
        <v>68</v>
      </c>
      <c r="E1871" s="3" t="s">
        <v>100</v>
      </c>
      <c r="F1871" s="3" t="s">
        <v>1292</v>
      </c>
      <c r="G1871" s="7">
        <v>45883.79573411393</v>
      </c>
    </row>
    <row r="1872">
      <c r="A1872" s="3" t="s">
        <v>6468</v>
      </c>
      <c r="B1872" s="3" t="s">
        <v>672</v>
      </c>
      <c r="C1872" s="3" t="s">
        <v>1342</v>
      </c>
      <c r="D1872" s="3" t="s">
        <v>68</v>
      </c>
      <c r="E1872" s="3" t="s">
        <v>100</v>
      </c>
      <c r="F1872" s="3" t="s">
        <v>1963</v>
      </c>
      <c r="G1872" s="7">
        <v>45883.866908959346</v>
      </c>
    </row>
    <row r="1873">
      <c r="A1873" s="3" t="s">
        <v>6472</v>
      </c>
      <c r="B1873" s="3" t="s">
        <v>519</v>
      </c>
      <c r="C1873" s="3" t="s">
        <v>56</v>
      </c>
      <c r="D1873" s="3" t="s">
        <v>68</v>
      </c>
      <c r="E1873" s="3" t="s">
        <v>100</v>
      </c>
      <c r="F1873" s="3" t="s">
        <v>774</v>
      </c>
      <c r="G1873" s="7">
        <v>45883.93808380476</v>
      </c>
    </row>
    <row r="1874">
      <c r="A1874" s="3" t="s">
        <v>6475</v>
      </c>
      <c r="B1874" s="3" t="s">
        <v>685</v>
      </c>
      <c r="C1874" s="3" t="s">
        <v>1095</v>
      </c>
      <c r="D1874" s="3" t="s">
        <v>68</v>
      </c>
      <c r="E1874" s="3" t="s">
        <v>100</v>
      </c>
      <c r="F1874" s="3" t="s">
        <v>1133</v>
      </c>
      <c r="G1874" s="7">
        <v>45884.00925865018</v>
      </c>
    </row>
    <row r="1875">
      <c r="A1875" s="3" t="s">
        <v>6478</v>
      </c>
      <c r="B1875" s="3" t="s">
        <v>535</v>
      </c>
      <c r="C1875" s="3" t="s">
        <v>1095</v>
      </c>
      <c r="D1875" s="3" t="s">
        <v>195</v>
      </c>
      <c r="E1875" s="3" t="s">
        <v>45</v>
      </c>
      <c r="F1875" s="3" t="s">
        <v>1860</v>
      </c>
      <c r="G1875" s="7">
        <v>45884.08043349559</v>
      </c>
    </row>
    <row r="1876">
      <c r="A1876" s="3" t="s">
        <v>6481</v>
      </c>
      <c r="B1876" s="3" t="s">
        <v>581</v>
      </c>
      <c r="C1876" s="3" t="s">
        <v>1342</v>
      </c>
      <c r="D1876" s="3" t="s">
        <v>68</v>
      </c>
      <c r="E1876" s="3" t="s">
        <v>100</v>
      </c>
      <c r="F1876" s="3" t="s">
        <v>1892</v>
      </c>
      <c r="G1876" s="7">
        <v>45884.151608341</v>
      </c>
    </row>
    <row r="1877">
      <c r="A1877" s="3" t="s">
        <v>6484</v>
      </c>
      <c r="B1877" s="3" t="s">
        <v>672</v>
      </c>
      <c r="C1877" s="3" t="s">
        <v>1095</v>
      </c>
      <c r="D1877" s="3" t="s">
        <v>68</v>
      </c>
      <c r="E1877" s="3" t="s">
        <v>100</v>
      </c>
      <c r="F1877" s="3" t="s">
        <v>1963</v>
      </c>
      <c r="G1877" s="7">
        <v>45884.22278318642</v>
      </c>
    </row>
    <row r="1878">
      <c r="A1878" s="3" t="s">
        <v>6487</v>
      </c>
      <c r="B1878" s="3" t="s">
        <v>811</v>
      </c>
      <c r="C1878" s="3" t="s">
        <v>56</v>
      </c>
      <c r="D1878" s="3" t="s">
        <v>68</v>
      </c>
      <c r="E1878" s="3" t="s">
        <v>100</v>
      </c>
      <c r="F1878" s="3" t="s">
        <v>780</v>
      </c>
      <c r="G1878" s="7">
        <v>45884.293958031834</v>
      </c>
    </row>
    <row r="1879">
      <c r="A1879" s="3" t="s">
        <v>6492</v>
      </c>
      <c r="B1879" s="3" t="s">
        <v>895</v>
      </c>
      <c r="C1879" s="3" t="s">
        <v>56</v>
      </c>
      <c r="D1879" s="3" t="s">
        <v>68</v>
      </c>
      <c r="E1879" s="3" t="s">
        <v>100</v>
      </c>
      <c r="F1879" s="3" t="s">
        <v>784</v>
      </c>
      <c r="G1879" s="7">
        <v>45884.36513287725</v>
      </c>
    </row>
    <row r="1880">
      <c r="A1880" s="3" t="s">
        <v>6495</v>
      </c>
      <c r="B1880" s="3" t="s">
        <v>505</v>
      </c>
      <c r="C1880" s="3" t="s">
        <v>56</v>
      </c>
      <c r="D1880" s="3" t="s">
        <v>68</v>
      </c>
      <c r="E1880" s="3" t="s">
        <v>100</v>
      </c>
      <c r="F1880" s="3" t="s">
        <v>788</v>
      </c>
      <c r="G1880" s="7">
        <v>45884.436307722666</v>
      </c>
    </row>
    <row r="1881">
      <c r="A1881" s="3" t="s">
        <v>6499</v>
      </c>
      <c r="B1881" s="3" t="s">
        <v>290</v>
      </c>
      <c r="C1881" s="3" t="s">
        <v>1342</v>
      </c>
      <c r="D1881" s="3" t="s">
        <v>68</v>
      </c>
      <c r="E1881" s="3" t="s">
        <v>100</v>
      </c>
      <c r="F1881" s="3" t="s">
        <v>1828</v>
      </c>
      <c r="G1881" s="7">
        <v>45884.50748256808</v>
      </c>
    </row>
    <row r="1882">
      <c r="A1882" s="3" t="s">
        <v>6502</v>
      </c>
      <c r="B1882" s="3" t="s">
        <v>826</v>
      </c>
      <c r="C1882" s="3" t="s">
        <v>1342</v>
      </c>
      <c r="D1882" s="3" t="s">
        <v>195</v>
      </c>
      <c r="E1882" s="3" t="s">
        <v>45</v>
      </c>
      <c r="F1882" s="3" t="s">
        <v>693</v>
      </c>
      <c r="G1882" s="7">
        <v>45884.5786574135</v>
      </c>
    </row>
    <row r="1883">
      <c r="A1883" s="3" t="s">
        <v>6506</v>
      </c>
      <c r="B1883" s="3" t="s">
        <v>953</v>
      </c>
      <c r="C1883" s="3" t="s">
        <v>56</v>
      </c>
      <c r="D1883" s="3" t="s">
        <v>68</v>
      </c>
      <c r="E1883" s="3" t="s">
        <v>100</v>
      </c>
      <c r="F1883" s="3" t="s">
        <v>792</v>
      </c>
      <c r="G1883" s="7">
        <v>45884.64983225891</v>
      </c>
    </row>
    <row r="1884">
      <c r="A1884" s="3" t="s">
        <v>6509</v>
      </c>
      <c r="B1884" s="3" t="s">
        <v>505</v>
      </c>
      <c r="C1884" s="3" t="s">
        <v>1342</v>
      </c>
      <c r="D1884" s="3" t="s">
        <v>68</v>
      </c>
      <c r="E1884" s="3" t="s">
        <v>100</v>
      </c>
      <c r="F1884" s="3" t="s">
        <v>788</v>
      </c>
      <c r="G1884" s="7">
        <v>45884.72100710433</v>
      </c>
    </row>
    <row r="1885">
      <c r="A1885" s="3" t="s">
        <v>6512</v>
      </c>
      <c r="B1885" s="3" t="s">
        <v>260</v>
      </c>
      <c r="C1885" s="3" t="s">
        <v>56</v>
      </c>
      <c r="D1885" s="3" t="s">
        <v>68</v>
      </c>
      <c r="E1885" s="3" t="s">
        <v>100</v>
      </c>
      <c r="F1885" s="3" t="s">
        <v>797</v>
      </c>
      <c r="G1885" s="7">
        <v>45884.792181949735</v>
      </c>
    </row>
    <row r="1886">
      <c r="A1886" s="3" t="s">
        <v>6515</v>
      </c>
      <c r="B1886" s="3" t="s">
        <v>204</v>
      </c>
      <c r="C1886" s="3" t="s">
        <v>1342</v>
      </c>
      <c r="D1886" s="3" t="s">
        <v>68</v>
      </c>
      <c r="E1886" s="3" t="s">
        <v>100</v>
      </c>
      <c r="F1886" s="3" t="s">
        <v>2025</v>
      </c>
      <c r="G1886" s="7">
        <v>45884.863356795155</v>
      </c>
    </row>
    <row r="1887">
      <c r="A1887" s="3" t="s">
        <v>6518</v>
      </c>
      <c r="B1887" s="3" t="s">
        <v>363</v>
      </c>
      <c r="C1887" s="3" t="s">
        <v>1342</v>
      </c>
      <c r="D1887" s="3" t="s">
        <v>68</v>
      </c>
      <c r="E1887" s="3" t="s">
        <v>100</v>
      </c>
      <c r="F1887" s="3" t="s">
        <v>1495</v>
      </c>
      <c r="G1887" s="7">
        <v>45884.934531640574</v>
      </c>
    </row>
    <row r="1888">
      <c r="A1888" s="3" t="s">
        <v>6521</v>
      </c>
      <c r="B1888" s="3" t="s">
        <v>987</v>
      </c>
      <c r="C1888" s="3" t="s">
        <v>1095</v>
      </c>
      <c r="D1888" s="3" t="s">
        <v>68</v>
      </c>
      <c r="E1888" s="3" t="s">
        <v>100</v>
      </c>
      <c r="F1888" s="3" t="s">
        <v>1373</v>
      </c>
      <c r="G1888" s="7">
        <v>45885.00570648599</v>
      </c>
    </row>
    <row r="1889">
      <c r="A1889" s="3" t="s">
        <v>6525</v>
      </c>
      <c r="B1889" s="3" t="s">
        <v>665</v>
      </c>
      <c r="C1889" s="3" t="s">
        <v>1342</v>
      </c>
      <c r="D1889" s="3" t="s">
        <v>68</v>
      </c>
      <c r="E1889" s="3" t="s">
        <v>100</v>
      </c>
      <c r="F1889" s="3" t="s">
        <v>595</v>
      </c>
      <c r="G1889" s="7">
        <v>45885.0768813314</v>
      </c>
    </row>
    <row r="1890">
      <c r="A1890" s="3" t="s">
        <v>6528</v>
      </c>
      <c r="B1890" s="3" t="s">
        <v>440</v>
      </c>
      <c r="C1890" s="3" t="s">
        <v>56</v>
      </c>
      <c r="D1890" s="3" t="s">
        <v>68</v>
      </c>
      <c r="E1890" s="3" t="s">
        <v>100</v>
      </c>
      <c r="F1890" s="3" t="s">
        <v>802</v>
      </c>
      <c r="G1890" s="7">
        <v>45885.14805617682</v>
      </c>
    </row>
    <row r="1891">
      <c r="A1891" s="3" t="s">
        <v>6532</v>
      </c>
      <c r="B1891" s="3" t="s">
        <v>939</v>
      </c>
      <c r="C1891" s="3" t="s">
        <v>1342</v>
      </c>
      <c r="D1891" s="3" t="s">
        <v>68</v>
      </c>
      <c r="E1891" s="3" t="s">
        <v>100</v>
      </c>
      <c r="F1891" s="3" t="s">
        <v>1291</v>
      </c>
      <c r="G1891" s="7">
        <v>45885.21923102223</v>
      </c>
    </row>
    <row r="1892">
      <c r="A1892" s="3" t="s">
        <v>6535</v>
      </c>
      <c r="B1892" s="3" t="s">
        <v>466</v>
      </c>
      <c r="C1892" s="3" t="s">
        <v>1095</v>
      </c>
      <c r="D1892" s="3" t="s">
        <v>181</v>
      </c>
      <c r="E1892" s="3" t="s">
        <v>45</v>
      </c>
      <c r="F1892" s="3" t="s">
        <v>1114</v>
      </c>
      <c r="G1892" s="7">
        <v>45885.29040586764</v>
      </c>
    </row>
    <row r="1893">
      <c r="A1893" s="3" t="s">
        <v>6538</v>
      </c>
      <c r="B1893" s="3" t="s">
        <v>272</v>
      </c>
      <c r="C1893" s="3" t="s">
        <v>1095</v>
      </c>
      <c r="D1893" s="3" t="s">
        <v>68</v>
      </c>
      <c r="E1893" s="3" t="s">
        <v>100</v>
      </c>
      <c r="F1893" s="3" t="s">
        <v>538</v>
      </c>
      <c r="G1893" s="7">
        <v>45885.36158071306</v>
      </c>
    </row>
    <row r="1894">
      <c r="A1894" s="3" t="s">
        <v>6541</v>
      </c>
      <c r="B1894" s="3" t="s">
        <v>969</v>
      </c>
      <c r="C1894" s="3" t="s">
        <v>56</v>
      </c>
      <c r="D1894" s="3" t="s">
        <v>68</v>
      </c>
      <c r="E1894" s="3" t="s">
        <v>100</v>
      </c>
      <c r="F1894" s="3" t="s">
        <v>808</v>
      </c>
      <c r="G1894" s="7">
        <v>45885.43275555848</v>
      </c>
    </row>
    <row r="1895">
      <c r="A1895" s="3" t="s">
        <v>6544</v>
      </c>
      <c r="B1895" s="3" t="s">
        <v>141</v>
      </c>
      <c r="C1895" s="3" t="s">
        <v>1342</v>
      </c>
      <c r="D1895" s="3" t="s">
        <v>68</v>
      </c>
      <c r="E1895" s="3" t="s">
        <v>100</v>
      </c>
      <c r="F1895" s="3" t="s">
        <v>749</v>
      </c>
      <c r="G1895" s="7">
        <v>45885.50393040389</v>
      </c>
    </row>
    <row r="1896">
      <c r="A1896" s="3" t="s">
        <v>6547</v>
      </c>
      <c r="B1896" s="3" t="s">
        <v>708</v>
      </c>
      <c r="C1896" s="3" t="s">
        <v>56</v>
      </c>
      <c r="D1896" s="3" t="s">
        <v>68</v>
      </c>
      <c r="E1896" s="3" t="s">
        <v>100</v>
      </c>
      <c r="F1896" s="3" t="s">
        <v>810</v>
      </c>
      <c r="G1896" s="7">
        <v>45885.57510524931</v>
      </c>
    </row>
    <row r="1897">
      <c r="A1897" s="3" t="s">
        <v>6551</v>
      </c>
      <c r="B1897" s="3" t="s">
        <v>669</v>
      </c>
      <c r="C1897" s="3" t="s">
        <v>56</v>
      </c>
      <c r="D1897" s="3" t="s">
        <v>68</v>
      </c>
      <c r="E1897" s="3" t="s">
        <v>100</v>
      </c>
      <c r="F1897" s="3" t="s">
        <v>815</v>
      </c>
      <c r="G1897" s="7">
        <v>45885.64628009472</v>
      </c>
    </row>
    <row r="1898">
      <c r="A1898" s="3" t="s">
        <v>6555</v>
      </c>
      <c r="B1898" s="3" t="s">
        <v>266</v>
      </c>
      <c r="C1898" s="3" t="s">
        <v>1342</v>
      </c>
      <c r="D1898" s="3" t="s">
        <v>68</v>
      </c>
      <c r="E1898" s="3" t="s">
        <v>100</v>
      </c>
      <c r="F1898" s="3" t="s">
        <v>1060</v>
      </c>
      <c r="G1898" s="7">
        <v>45885.71745494014</v>
      </c>
    </row>
    <row r="1899">
      <c r="A1899" s="3" t="s">
        <v>6558</v>
      </c>
      <c r="B1899" s="3" t="s">
        <v>662</v>
      </c>
      <c r="C1899" s="3" t="s">
        <v>1095</v>
      </c>
      <c r="D1899" s="3" t="s">
        <v>68</v>
      </c>
      <c r="E1899" s="3" t="s">
        <v>100</v>
      </c>
      <c r="F1899" s="3" t="s">
        <v>1918</v>
      </c>
      <c r="G1899" s="7">
        <v>45885.78862978555</v>
      </c>
    </row>
    <row r="1900">
      <c r="A1900" s="3" t="s">
        <v>6561</v>
      </c>
      <c r="B1900" s="3" t="s">
        <v>313</v>
      </c>
      <c r="C1900" s="3" t="s">
        <v>1342</v>
      </c>
      <c r="D1900" s="3" t="s">
        <v>68</v>
      </c>
      <c r="E1900" s="3" t="s">
        <v>100</v>
      </c>
      <c r="F1900" s="3" t="s">
        <v>2021</v>
      </c>
      <c r="G1900" s="7">
        <v>45885.85980463097</v>
      </c>
    </row>
    <row r="1901">
      <c r="A1901" s="3" t="s">
        <v>6564</v>
      </c>
      <c r="B1901" s="3" t="s">
        <v>751</v>
      </c>
      <c r="C1901" s="3" t="s">
        <v>1342</v>
      </c>
      <c r="D1901" s="3" t="s">
        <v>181</v>
      </c>
      <c r="E1901" s="3" t="s">
        <v>45</v>
      </c>
      <c r="F1901" s="3" t="s">
        <v>1684</v>
      </c>
      <c r="G1901" s="7">
        <v>45885.930979476376</v>
      </c>
    </row>
    <row r="1902">
      <c r="A1902" s="3" t="s">
        <v>6567</v>
      </c>
      <c r="B1902" s="3" t="s">
        <v>472</v>
      </c>
      <c r="C1902" s="3" t="s">
        <v>1095</v>
      </c>
      <c r="D1902" s="3" t="s">
        <v>68</v>
      </c>
      <c r="E1902" s="3" t="s">
        <v>100</v>
      </c>
      <c r="F1902" s="3" t="s">
        <v>1501</v>
      </c>
      <c r="G1902" s="7">
        <v>45886.002154321795</v>
      </c>
    </row>
    <row r="1903">
      <c r="A1903" s="3" t="s">
        <v>6571</v>
      </c>
      <c r="B1903" s="3" t="s">
        <v>1034</v>
      </c>
      <c r="C1903" s="3" t="s">
        <v>1095</v>
      </c>
      <c r="D1903" s="3" t="s">
        <v>68</v>
      </c>
      <c r="E1903" s="3" t="s">
        <v>100</v>
      </c>
      <c r="F1903" s="3" t="s">
        <v>1966</v>
      </c>
      <c r="G1903" s="7">
        <v>45886.073329167215</v>
      </c>
    </row>
    <row r="1904">
      <c r="A1904" s="3" t="s">
        <v>6574</v>
      </c>
      <c r="B1904" s="3" t="s">
        <v>348</v>
      </c>
      <c r="C1904" s="3" t="s">
        <v>1342</v>
      </c>
      <c r="D1904" s="3" t="s">
        <v>68</v>
      </c>
      <c r="E1904" s="3" t="s">
        <v>100</v>
      </c>
      <c r="F1904" s="3" t="s">
        <v>2028</v>
      </c>
      <c r="G1904" s="7">
        <v>45886.14450401263</v>
      </c>
    </row>
    <row r="1905">
      <c r="A1905" s="3" t="s">
        <v>6578</v>
      </c>
      <c r="B1905" s="3" t="s">
        <v>830</v>
      </c>
      <c r="C1905" s="3" t="s">
        <v>1342</v>
      </c>
      <c r="D1905" s="3" t="s">
        <v>181</v>
      </c>
      <c r="E1905" s="3" t="s">
        <v>45</v>
      </c>
      <c r="F1905" s="3" t="s">
        <v>1971</v>
      </c>
      <c r="G1905" s="7">
        <v>45886.21567885804</v>
      </c>
    </row>
    <row r="1906">
      <c r="A1906" s="3" t="s">
        <v>6580</v>
      </c>
      <c r="B1906" s="3" t="s">
        <v>993</v>
      </c>
      <c r="C1906" s="3" t="s">
        <v>56</v>
      </c>
      <c r="D1906" s="3" t="s">
        <v>68</v>
      </c>
      <c r="E1906" s="3" t="s">
        <v>100</v>
      </c>
      <c r="F1906" s="3" t="s">
        <v>818</v>
      </c>
      <c r="G1906" s="7">
        <v>45886.28685370346</v>
      </c>
    </row>
    <row r="1907">
      <c r="A1907" s="3" t="s">
        <v>6584</v>
      </c>
      <c r="B1907" s="3" t="s">
        <v>652</v>
      </c>
      <c r="C1907" s="3" t="s">
        <v>56</v>
      </c>
      <c r="D1907" s="3" t="s">
        <v>195</v>
      </c>
      <c r="E1907" s="3" t="s">
        <v>45</v>
      </c>
      <c r="F1907" s="3" t="s">
        <v>45</v>
      </c>
      <c r="G1907" s="7">
        <v>45886.35802854887</v>
      </c>
    </row>
    <row r="1908">
      <c r="A1908" s="3" t="s">
        <v>6587</v>
      </c>
      <c r="B1908" s="3" t="s">
        <v>758</v>
      </c>
      <c r="C1908" s="3" t="s">
        <v>1095</v>
      </c>
      <c r="D1908" s="3" t="s">
        <v>68</v>
      </c>
      <c r="E1908" s="3" t="s">
        <v>100</v>
      </c>
      <c r="F1908" s="3" t="s">
        <v>578</v>
      </c>
      <c r="G1908" s="7">
        <v>45886.429203394284</v>
      </c>
    </row>
    <row r="1909">
      <c r="A1909" s="3" t="s">
        <v>6590</v>
      </c>
      <c r="B1909" s="3" t="s">
        <v>816</v>
      </c>
      <c r="C1909" s="3" t="s">
        <v>1342</v>
      </c>
      <c r="D1909" s="3" t="s">
        <v>68</v>
      </c>
      <c r="E1909" s="3" t="s">
        <v>100</v>
      </c>
      <c r="F1909" s="3" t="s">
        <v>954</v>
      </c>
      <c r="G1909" s="7">
        <v>45886.5003782397</v>
      </c>
    </row>
    <row r="1910">
      <c r="A1910" s="3" t="s">
        <v>6593</v>
      </c>
      <c r="B1910" s="3" t="s">
        <v>186</v>
      </c>
      <c r="C1910" s="3" t="s">
        <v>1342</v>
      </c>
      <c r="D1910" s="3" t="s">
        <v>68</v>
      </c>
      <c r="E1910" s="3" t="s">
        <v>100</v>
      </c>
      <c r="F1910" s="3" t="s">
        <v>1278</v>
      </c>
      <c r="G1910" s="7">
        <v>45886.57155308512</v>
      </c>
    </row>
    <row r="1911">
      <c r="A1911" s="3" t="s">
        <v>6596</v>
      </c>
      <c r="B1911" s="3" t="s">
        <v>689</v>
      </c>
      <c r="C1911" s="3" t="s">
        <v>56</v>
      </c>
      <c r="D1911" s="3" t="s">
        <v>68</v>
      </c>
      <c r="E1911" s="3" t="s">
        <v>100</v>
      </c>
      <c r="F1911" s="3" t="s">
        <v>823</v>
      </c>
      <c r="G1911" s="7">
        <v>45886.64272793053</v>
      </c>
    </row>
    <row r="1912">
      <c r="A1912" s="3" t="s">
        <v>6600</v>
      </c>
      <c r="B1912" s="3" t="s">
        <v>778</v>
      </c>
      <c r="C1912" s="3" t="s">
        <v>56</v>
      </c>
      <c r="D1912" s="3" t="s">
        <v>195</v>
      </c>
      <c r="E1912" s="3" t="s">
        <v>45</v>
      </c>
      <c r="F1912" s="3" t="s">
        <v>45</v>
      </c>
      <c r="G1912" s="7">
        <v>45886.71390277595</v>
      </c>
    </row>
    <row r="1913">
      <c r="A1913" s="3" t="s">
        <v>6603</v>
      </c>
      <c r="B1913" s="3" t="s">
        <v>468</v>
      </c>
      <c r="C1913" s="3" t="s">
        <v>1342</v>
      </c>
      <c r="D1913" s="3" t="s">
        <v>68</v>
      </c>
      <c r="E1913" s="3" t="s">
        <v>100</v>
      </c>
      <c r="F1913" s="3" t="s">
        <v>1570</v>
      </c>
      <c r="G1913" s="7">
        <v>45886.78507762137</v>
      </c>
    </row>
    <row r="1914">
      <c r="A1914" s="3" t="s">
        <v>6606</v>
      </c>
      <c r="B1914" s="3" t="s">
        <v>442</v>
      </c>
      <c r="C1914" s="3" t="s">
        <v>56</v>
      </c>
      <c r="D1914" s="3" t="s">
        <v>68</v>
      </c>
      <c r="E1914" s="3" t="s">
        <v>100</v>
      </c>
      <c r="F1914" s="3" t="s">
        <v>829</v>
      </c>
      <c r="G1914" s="7">
        <v>45886.85625246678</v>
      </c>
    </row>
    <row r="1915">
      <c r="A1915" s="3" t="s">
        <v>6610</v>
      </c>
      <c r="B1915" s="3" t="s">
        <v>316</v>
      </c>
      <c r="C1915" s="3" t="s">
        <v>1342</v>
      </c>
      <c r="D1915" s="3" t="s">
        <v>68</v>
      </c>
      <c r="E1915" s="3" t="s">
        <v>100</v>
      </c>
      <c r="F1915" s="3" t="s">
        <v>1694</v>
      </c>
      <c r="G1915" s="7">
        <v>45886.92742731219</v>
      </c>
    </row>
    <row r="1916">
      <c r="A1916" s="3" t="s">
        <v>6613</v>
      </c>
      <c r="B1916" s="3" t="s">
        <v>789</v>
      </c>
      <c r="C1916" s="3" t="s">
        <v>56</v>
      </c>
      <c r="D1916" s="3" t="s">
        <v>181</v>
      </c>
      <c r="E1916" s="3" t="s">
        <v>45</v>
      </c>
      <c r="F1916" s="3" t="s">
        <v>45</v>
      </c>
      <c r="G1916" s="7">
        <v>45886.99860215761</v>
      </c>
    </row>
    <row r="1917">
      <c r="A1917" s="3" t="s">
        <v>6616</v>
      </c>
      <c r="B1917" s="3" t="s">
        <v>756</v>
      </c>
      <c r="C1917" s="3" t="s">
        <v>1342</v>
      </c>
      <c r="D1917" s="3" t="s">
        <v>68</v>
      </c>
      <c r="E1917" s="3" t="s">
        <v>100</v>
      </c>
      <c r="F1917" s="3" t="s">
        <v>2034</v>
      </c>
      <c r="G1917" s="7">
        <v>45887.069777003024</v>
      </c>
    </row>
    <row r="1918">
      <c r="A1918" s="3" t="s">
        <v>6621</v>
      </c>
      <c r="B1918" s="3" t="s">
        <v>498</v>
      </c>
      <c r="C1918" s="3" t="s">
        <v>1095</v>
      </c>
      <c r="D1918" s="3" t="s">
        <v>68</v>
      </c>
      <c r="E1918" s="3" t="s">
        <v>100</v>
      </c>
      <c r="F1918" s="3" t="s">
        <v>2030</v>
      </c>
      <c r="G1918" s="7">
        <v>45887.140951848436</v>
      </c>
    </row>
    <row r="1919">
      <c r="A1919" s="3" t="s">
        <v>6624</v>
      </c>
      <c r="B1919" s="3" t="s">
        <v>976</v>
      </c>
      <c r="C1919" s="3" t="s">
        <v>1342</v>
      </c>
      <c r="D1919" s="3" t="s">
        <v>68</v>
      </c>
      <c r="E1919" s="3" t="s">
        <v>100</v>
      </c>
      <c r="F1919" s="3" t="s">
        <v>762</v>
      </c>
      <c r="G1919" s="7">
        <v>45887.212126693856</v>
      </c>
    </row>
    <row r="1920">
      <c r="A1920" s="3" t="s">
        <v>6627</v>
      </c>
      <c r="B1920" s="3" t="s">
        <v>507</v>
      </c>
      <c r="C1920" s="3" t="s">
        <v>56</v>
      </c>
      <c r="D1920" s="3" t="s">
        <v>68</v>
      </c>
      <c r="E1920" s="3" t="s">
        <v>100</v>
      </c>
      <c r="F1920" s="3" t="s">
        <v>831</v>
      </c>
      <c r="G1920" s="7">
        <v>45887.28330153927</v>
      </c>
    </row>
    <row r="1921">
      <c r="A1921" s="3" t="s">
        <v>6630</v>
      </c>
      <c r="B1921" s="3" t="s">
        <v>256</v>
      </c>
      <c r="C1921" s="3" t="s">
        <v>56</v>
      </c>
      <c r="D1921" s="3" t="s">
        <v>68</v>
      </c>
      <c r="E1921" s="3" t="s">
        <v>100</v>
      </c>
      <c r="F1921" s="3" t="s">
        <v>837</v>
      </c>
      <c r="G1921" s="7">
        <v>45887.35447638468</v>
      </c>
    </row>
    <row r="1922">
      <c r="A1922" s="3" t="s">
        <v>6633</v>
      </c>
      <c r="B1922" s="3" t="s">
        <v>622</v>
      </c>
      <c r="C1922" s="3" t="s">
        <v>1095</v>
      </c>
      <c r="D1922" s="3" t="s">
        <v>68</v>
      </c>
      <c r="E1922" s="3" t="s">
        <v>100</v>
      </c>
      <c r="F1922" s="3" t="s">
        <v>1954</v>
      </c>
      <c r="G1922" s="7">
        <v>45887.4256512301</v>
      </c>
    </row>
    <row r="1923">
      <c r="A1923" s="3" t="s">
        <v>6636</v>
      </c>
      <c r="B1923" s="3" t="s">
        <v>211</v>
      </c>
      <c r="C1923" s="3" t="s">
        <v>1095</v>
      </c>
      <c r="D1923" s="3" t="s">
        <v>68</v>
      </c>
      <c r="E1923" s="3" t="s">
        <v>100</v>
      </c>
      <c r="F1923" s="3" t="s">
        <v>1651</v>
      </c>
      <c r="G1923" s="7">
        <v>45887.49682607551</v>
      </c>
    </row>
    <row r="1924">
      <c r="A1924" s="3" t="s">
        <v>6639</v>
      </c>
      <c r="B1924" s="3" t="s">
        <v>512</v>
      </c>
      <c r="C1924" s="3" t="s">
        <v>1095</v>
      </c>
      <c r="D1924" s="3" t="s">
        <v>68</v>
      </c>
      <c r="E1924" s="3" t="s">
        <v>100</v>
      </c>
      <c r="F1924" s="3" t="s">
        <v>633</v>
      </c>
      <c r="G1924" s="7">
        <v>45887.568000920925</v>
      </c>
    </row>
    <row r="1925">
      <c r="A1925" s="3" t="s">
        <v>6643</v>
      </c>
      <c r="B1925" s="3" t="s">
        <v>579</v>
      </c>
      <c r="C1925" s="3" t="s">
        <v>56</v>
      </c>
      <c r="D1925" s="3" t="s">
        <v>68</v>
      </c>
      <c r="E1925" s="3" t="s">
        <v>100</v>
      </c>
      <c r="F1925" s="3" t="s">
        <v>840</v>
      </c>
      <c r="G1925" s="7">
        <v>45887.639175766344</v>
      </c>
    </row>
    <row r="1926">
      <c r="A1926" s="3" t="s">
        <v>6647</v>
      </c>
      <c r="B1926" s="3" t="s">
        <v>586</v>
      </c>
      <c r="C1926" s="3" t="s">
        <v>1095</v>
      </c>
      <c r="D1926" s="3" t="s">
        <v>68</v>
      </c>
      <c r="E1926" s="3" t="s">
        <v>100</v>
      </c>
      <c r="F1926" s="3" t="s">
        <v>1979</v>
      </c>
      <c r="G1926" s="7">
        <v>45887.710350611764</v>
      </c>
    </row>
    <row r="1927">
      <c r="A1927" s="3" t="s">
        <v>6649</v>
      </c>
      <c r="B1927" s="3" t="s">
        <v>501</v>
      </c>
      <c r="C1927" s="3" t="s">
        <v>1095</v>
      </c>
      <c r="D1927" s="3" t="s">
        <v>68</v>
      </c>
      <c r="E1927" s="3" t="s">
        <v>100</v>
      </c>
      <c r="F1927" s="3" t="s">
        <v>1846</v>
      </c>
      <c r="G1927" s="7">
        <v>45887.78152545717</v>
      </c>
    </row>
    <row r="1928">
      <c r="A1928" s="3" t="s">
        <v>6651</v>
      </c>
      <c r="B1928" s="3" t="s">
        <v>239</v>
      </c>
      <c r="C1928" s="3" t="s">
        <v>56</v>
      </c>
      <c r="D1928" s="3" t="s">
        <v>68</v>
      </c>
      <c r="E1928" s="3" t="s">
        <v>100</v>
      </c>
      <c r="F1928" s="3" t="s">
        <v>846</v>
      </c>
      <c r="G1928" s="7">
        <v>45887.85270030259</v>
      </c>
    </row>
    <row r="1929">
      <c r="A1929" s="3" t="s">
        <v>6653</v>
      </c>
      <c r="B1929" s="3" t="s">
        <v>853</v>
      </c>
      <c r="C1929" s="3" t="s">
        <v>1095</v>
      </c>
      <c r="D1929" s="3" t="s">
        <v>68</v>
      </c>
      <c r="E1929" s="3" t="s">
        <v>100</v>
      </c>
      <c r="F1929" s="3" t="s">
        <v>2064</v>
      </c>
      <c r="G1929" s="7">
        <v>45887.92387514801</v>
      </c>
    </row>
    <row r="1930">
      <c r="A1930" s="3" t="s">
        <v>6655</v>
      </c>
      <c r="B1930" s="3" t="s">
        <v>629</v>
      </c>
      <c r="C1930" s="3" t="s">
        <v>1342</v>
      </c>
      <c r="D1930" s="3" t="s">
        <v>68</v>
      </c>
      <c r="E1930" s="3" t="s">
        <v>100</v>
      </c>
      <c r="F1930" s="3" t="s">
        <v>1563</v>
      </c>
      <c r="G1930" s="7">
        <v>45887.99504999342</v>
      </c>
    </row>
    <row r="1931">
      <c r="A1931" s="3" t="s">
        <v>6658</v>
      </c>
      <c r="B1931" s="3" t="s">
        <v>713</v>
      </c>
      <c r="C1931" s="3" t="s">
        <v>1342</v>
      </c>
      <c r="D1931" s="3" t="s">
        <v>181</v>
      </c>
      <c r="E1931" s="3" t="s">
        <v>45</v>
      </c>
      <c r="F1931" s="3" t="s">
        <v>1429</v>
      </c>
      <c r="G1931" s="7">
        <v>45888.06622483883</v>
      </c>
    </row>
    <row r="1932">
      <c r="A1932" s="3" t="s">
        <v>6661</v>
      </c>
      <c r="B1932" s="3" t="s">
        <v>383</v>
      </c>
      <c r="C1932" s="3" t="s">
        <v>56</v>
      </c>
      <c r="D1932" s="3" t="s">
        <v>68</v>
      </c>
      <c r="E1932" s="3" t="s">
        <v>100</v>
      </c>
      <c r="F1932" s="3" t="s">
        <v>849</v>
      </c>
      <c r="G1932" s="7">
        <v>45888.13739968425</v>
      </c>
    </row>
    <row r="1933">
      <c r="A1933" s="3" t="s">
        <v>6665</v>
      </c>
      <c r="B1933" s="3" t="s">
        <v>922</v>
      </c>
      <c r="C1933" s="3" t="s">
        <v>56</v>
      </c>
      <c r="D1933" s="3" t="s">
        <v>68</v>
      </c>
      <c r="E1933" s="3" t="s">
        <v>100</v>
      </c>
      <c r="F1933" s="3" t="s">
        <v>855</v>
      </c>
      <c r="G1933" s="7">
        <v>45888.208574529664</v>
      </c>
    </row>
    <row r="1934">
      <c r="A1934" s="3" t="s">
        <v>6669</v>
      </c>
      <c r="B1934" s="3" t="s">
        <v>816</v>
      </c>
      <c r="C1934" s="3" t="s">
        <v>1342</v>
      </c>
      <c r="D1934" s="3" t="s">
        <v>181</v>
      </c>
      <c r="E1934" s="3" t="s">
        <v>45</v>
      </c>
      <c r="F1934" s="3" t="s">
        <v>954</v>
      </c>
      <c r="G1934" s="7">
        <v>45888.27974937508</v>
      </c>
    </row>
    <row r="1935">
      <c r="A1935" s="3" t="s">
        <v>6672</v>
      </c>
      <c r="B1935" s="3" t="s">
        <v>179</v>
      </c>
      <c r="C1935" s="3" t="s">
        <v>56</v>
      </c>
      <c r="D1935" s="3" t="s">
        <v>68</v>
      </c>
      <c r="E1935" s="3" t="s">
        <v>100</v>
      </c>
      <c r="F1935" s="3" t="s">
        <v>857</v>
      </c>
      <c r="G1935" s="7">
        <v>45888.3509242205</v>
      </c>
    </row>
    <row r="1936">
      <c r="A1936" s="3" t="s">
        <v>6675</v>
      </c>
      <c r="B1936" s="3" t="s">
        <v>830</v>
      </c>
      <c r="C1936" s="3" t="s">
        <v>1342</v>
      </c>
      <c r="D1936" s="3" t="s">
        <v>68</v>
      </c>
      <c r="E1936" s="3" t="s">
        <v>100</v>
      </c>
      <c r="F1936" s="3" t="s">
        <v>1971</v>
      </c>
      <c r="G1936" s="7">
        <v>45888.422099065916</v>
      </c>
    </row>
    <row r="1937">
      <c r="A1937" s="3" t="s">
        <v>6678</v>
      </c>
      <c r="B1937" s="3" t="s">
        <v>168</v>
      </c>
      <c r="C1937" s="3" t="s">
        <v>56</v>
      </c>
      <c r="D1937" s="3" t="s">
        <v>68</v>
      </c>
      <c r="E1937" s="3" t="s">
        <v>100</v>
      </c>
      <c r="F1937" s="3" t="s">
        <v>862</v>
      </c>
      <c r="G1937" s="7">
        <v>45888.49327391132</v>
      </c>
    </row>
    <row r="1938">
      <c r="A1938" s="3" t="s">
        <v>6682</v>
      </c>
      <c r="B1938" s="3" t="s">
        <v>313</v>
      </c>
      <c r="C1938" s="3" t="s">
        <v>1095</v>
      </c>
      <c r="D1938" s="3" t="s">
        <v>68</v>
      </c>
      <c r="E1938" s="3" t="s">
        <v>100</v>
      </c>
      <c r="F1938" s="3" t="s">
        <v>2021</v>
      </c>
      <c r="G1938" s="7">
        <v>45888.56444875674</v>
      </c>
    </row>
    <row r="1939">
      <c r="A1939" s="3" t="s">
        <v>6685</v>
      </c>
      <c r="B1939" s="3" t="s">
        <v>643</v>
      </c>
      <c r="C1939" s="3" t="s">
        <v>1095</v>
      </c>
      <c r="D1939" s="3" t="s">
        <v>68</v>
      </c>
      <c r="E1939" s="3" t="s">
        <v>100</v>
      </c>
      <c r="F1939" s="3" t="s">
        <v>681</v>
      </c>
      <c r="G1939" s="7">
        <v>45888.63562360215</v>
      </c>
    </row>
    <row r="1940">
      <c r="A1940" s="3" t="s">
        <v>6688</v>
      </c>
      <c r="B1940" s="3" t="s">
        <v>352</v>
      </c>
      <c r="C1940" s="3" t="s">
        <v>56</v>
      </c>
      <c r="D1940" s="3" t="s">
        <v>68</v>
      </c>
      <c r="E1940" s="3" t="s">
        <v>100</v>
      </c>
      <c r="F1940" s="3" t="s">
        <v>867</v>
      </c>
      <c r="G1940" s="7">
        <v>45888.70679844757</v>
      </c>
    </row>
    <row r="1941">
      <c r="A1941" s="3" t="s">
        <v>6692</v>
      </c>
      <c r="B1941" s="3" t="s">
        <v>359</v>
      </c>
      <c r="C1941" s="3" t="s">
        <v>56</v>
      </c>
      <c r="D1941" s="3" t="s">
        <v>68</v>
      </c>
      <c r="E1941" s="3" t="s">
        <v>100</v>
      </c>
      <c r="F1941" s="3" t="s">
        <v>919</v>
      </c>
      <c r="G1941" s="7">
        <v>45888.777973292985</v>
      </c>
    </row>
    <row r="1942">
      <c r="A1942" s="3" t="s">
        <v>6695</v>
      </c>
      <c r="B1942" s="3" t="s">
        <v>877</v>
      </c>
      <c r="C1942" s="3" t="s">
        <v>1342</v>
      </c>
      <c r="D1942" s="3" t="s">
        <v>68</v>
      </c>
      <c r="E1942" s="3" t="s">
        <v>100</v>
      </c>
      <c r="F1942" s="3" t="s">
        <v>1125</v>
      </c>
      <c r="G1942" s="7">
        <v>45888.849148138404</v>
      </c>
    </row>
    <row r="1943">
      <c r="A1943" s="3" t="s">
        <v>6698</v>
      </c>
      <c r="B1943" s="3" t="s">
        <v>219</v>
      </c>
      <c r="C1943" s="3" t="s">
        <v>1342</v>
      </c>
      <c r="D1943" s="3" t="s">
        <v>68</v>
      </c>
      <c r="E1943" s="3" t="s">
        <v>100</v>
      </c>
      <c r="F1943" s="3" t="s">
        <v>728</v>
      </c>
      <c r="G1943" s="7">
        <v>45888.92032298381</v>
      </c>
    </row>
    <row r="1944">
      <c r="A1944" s="3" t="s">
        <v>6701</v>
      </c>
      <c r="B1944" s="3" t="s">
        <v>929</v>
      </c>
      <c r="C1944" s="3" t="s">
        <v>1095</v>
      </c>
      <c r="D1944" s="3" t="s">
        <v>181</v>
      </c>
      <c r="E1944" s="3" t="s">
        <v>45</v>
      </c>
      <c r="F1944" s="3" t="s">
        <v>1161</v>
      </c>
      <c r="G1944" s="7">
        <v>45888.99149782923</v>
      </c>
    </row>
    <row r="1945">
      <c r="A1945" s="3" t="s">
        <v>6703</v>
      </c>
      <c r="B1945" s="3" t="s">
        <v>440</v>
      </c>
      <c r="C1945" s="3" t="s">
        <v>1095</v>
      </c>
      <c r="D1945" s="3" t="s">
        <v>68</v>
      </c>
      <c r="E1945" s="3" t="s">
        <v>100</v>
      </c>
      <c r="F1945" s="3" t="s">
        <v>802</v>
      </c>
      <c r="G1945" s="7">
        <v>45889.06267267465</v>
      </c>
    </row>
    <row r="1946">
      <c r="A1946" s="3" t="s">
        <v>6705</v>
      </c>
      <c r="B1946" s="3" t="s">
        <v>742</v>
      </c>
      <c r="C1946" s="3" t="s">
        <v>1342</v>
      </c>
      <c r="D1946" s="3" t="s">
        <v>68</v>
      </c>
      <c r="E1946" s="3" t="s">
        <v>100</v>
      </c>
      <c r="F1946" s="3" t="s">
        <v>1605</v>
      </c>
      <c r="G1946" s="7">
        <v>45889.13384752006</v>
      </c>
    </row>
    <row r="1947">
      <c r="A1947" s="3" t="s">
        <v>6709</v>
      </c>
      <c r="B1947" s="3" t="s">
        <v>600</v>
      </c>
      <c r="C1947" s="3" t="s">
        <v>1342</v>
      </c>
      <c r="D1947" s="3" t="s">
        <v>68</v>
      </c>
      <c r="E1947" s="3" t="s">
        <v>100</v>
      </c>
      <c r="F1947" s="3" t="s">
        <v>1789</v>
      </c>
      <c r="G1947" s="7">
        <v>45889.20502236547</v>
      </c>
    </row>
    <row r="1948">
      <c r="A1948" s="3" t="s">
        <v>6714</v>
      </c>
      <c r="B1948" s="3" t="s">
        <v>587</v>
      </c>
      <c r="C1948" s="3" t="s">
        <v>1095</v>
      </c>
      <c r="D1948" s="3" t="s">
        <v>68</v>
      </c>
      <c r="E1948" s="3" t="s">
        <v>100</v>
      </c>
      <c r="F1948" s="3" t="s">
        <v>2091</v>
      </c>
      <c r="G1948" s="7">
        <v>45889.27619721089</v>
      </c>
    </row>
    <row r="1949">
      <c r="A1949" s="3" t="s">
        <v>6716</v>
      </c>
      <c r="B1949" s="3" t="s">
        <v>710</v>
      </c>
      <c r="C1949" s="3" t="s">
        <v>1342</v>
      </c>
      <c r="D1949" s="3" t="s">
        <v>68</v>
      </c>
      <c r="E1949" s="3" t="s">
        <v>100</v>
      </c>
      <c r="F1949" s="3" t="s">
        <v>1131</v>
      </c>
      <c r="G1949" s="7">
        <v>45889.347372056305</v>
      </c>
    </row>
    <row r="1950">
      <c r="A1950" s="3" t="s">
        <v>6720</v>
      </c>
      <c r="B1950" s="3" t="s">
        <v>272</v>
      </c>
      <c r="C1950" s="3" t="s">
        <v>56</v>
      </c>
      <c r="D1950" s="3" t="s">
        <v>68</v>
      </c>
      <c r="E1950" s="3" t="s">
        <v>100</v>
      </c>
      <c r="F1950" s="3" t="s">
        <v>923</v>
      </c>
      <c r="G1950" s="7">
        <v>45889.41854690172</v>
      </c>
    </row>
    <row r="1951">
      <c r="A1951" s="3" t="s">
        <v>6728</v>
      </c>
      <c r="B1951" s="3" t="s">
        <v>816</v>
      </c>
      <c r="C1951" s="3" t="s">
        <v>1342</v>
      </c>
      <c r="D1951" s="3" t="s">
        <v>68</v>
      </c>
      <c r="E1951" s="3" t="s">
        <v>100</v>
      </c>
      <c r="F1951" s="3" t="s">
        <v>954</v>
      </c>
      <c r="G1951" s="7">
        <v>45889.48972174714</v>
      </c>
    </row>
    <row r="1952">
      <c r="A1952" s="3" t="s">
        <v>6731</v>
      </c>
      <c r="B1952" s="3" t="s">
        <v>341</v>
      </c>
      <c r="C1952" s="3" t="s">
        <v>1342</v>
      </c>
      <c r="D1952" s="3" t="s">
        <v>68</v>
      </c>
      <c r="E1952" s="3" t="s">
        <v>100</v>
      </c>
      <c r="F1952" s="3" t="s">
        <v>2001</v>
      </c>
      <c r="G1952" s="7">
        <v>45889.56089659256</v>
      </c>
    </row>
    <row r="1953">
      <c r="A1953" s="3" t="s">
        <v>6734</v>
      </c>
      <c r="B1953" s="3" t="s">
        <v>276</v>
      </c>
      <c r="C1953" s="3" t="s">
        <v>1095</v>
      </c>
      <c r="D1953" s="3" t="s">
        <v>181</v>
      </c>
      <c r="E1953" s="3" t="s">
        <v>45</v>
      </c>
      <c r="F1953" s="3" t="s">
        <v>589</v>
      </c>
      <c r="G1953" s="7">
        <v>45889.63207143796</v>
      </c>
    </row>
    <row r="1954">
      <c r="A1954" s="3" t="s">
        <v>6739</v>
      </c>
      <c r="B1954" s="3" t="s">
        <v>781</v>
      </c>
      <c r="C1954" s="3" t="s">
        <v>1342</v>
      </c>
      <c r="D1954" s="3" t="s">
        <v>68</v>
      </c>
      <c r="E1954" s="3" t="s">
        <v>100</v>
      </c>
      <c r="F1954" s="3" t="s">
        <v>1256</v>
      </c>
      <c r="G1954" s="7">
        <v>45889.70324628338</v>
      </c>
    </row>
    <row r="1955">
      <c r="A1955" s="3" t="s">
        <v>6742</v>
      </c>
      <c r="B1955" s="3" t="s">
        <v>202</v>
      </c>
      <c r="C1955" s="3" t="s">
        <v>1342</v>
      </c>
      <c r="D1955" s="3" t="s">
        <v>181</v>
      </c>
      <c r="E1955" s="3" t="s">
        <v>45</v>
      </c>
      <c r="F1955" s="3" t="s">
        <v>560</v>
      </c>
      <c r="G1955" s="7">
        <v>45889.7744211288</v>
      </c>
    </row>
    <row r="1956">
      <c r="A1956" s="3" t="s">
        <v>6745</v>
      </c>
      <c r="B1956" s="3" t="s">
        <v>1008</v>
      </c>
      <c r="C1956" s="3" t="s">
        <v>1342</v>
      </c>
      <c r="D1956" s="3" t="s">
        <v>181</v>
      </c>
      <c r="E1956" s="3" t="s">
        <v>45</v>
      </c>
      <c r="F1956" s="3" t="s">
        <v>2108</v>
      </c>
      <c r="G1956" s="7">
        <v>45889.84559597421</v>
      </c>
    </row>
    <row r="1957">
      <c r="A1957" s="3" t="s">
        <v>6748</v>
      </c>
      <c r="B1957" s="3" t="s">
        <v>600</v>
      </c>
      <c r="C1957" s="3" t="s">
        <v>1342</v>
      </c>
      <c r="D1957" s="3" t="s">
        <v>68</v>
      </c>
      <c r="E1957" s="3" t="s">
        <v>100</v>
      </c>
      <c r="F1957" s="3" t="s">
        <v>1789</v>
      </c>
      <c r="G1957" s="7">
        <v>45889.916770819626</v>
      </c>
    </row>
    <row r="1958">
      <c r="A1958" s="3" t="s">
        <v>6751</v>
      </c>
      <c r="B1958" s="3" t="s">
        <v>130</v>
      </c>
      <c r="C1958" s="3" t="s">
        <v>56</v>
      </c>
      <c r="D1958" s="3" t="s">
        <v>195</v>
      </c>
      <c r="E1958" s="3" t="s">
        <v>45</v>
      </c>
      <c r="F1958" s="3" t="s">
        <v>45</v>
      </c>
      <c r="G1958" s="7">
        <v>45889.987945665045</v>
      </c>
    </row>
    <row r="1959">
      <c r="A1959" s="3" t="s">
        <v>6754</v>
      </c>
      <c r="B1959" s="3" t="s">
        <v>676</v>
      </c>
      <c r="C1959" s="3" t="s">
        <v>56</v>
      </c>
      <c r="D1959" s="3" t="s">
        <v>68</v>
      </c>
      <c r="E1959" s="3" t="s">
        <v>100</v>
      </c>
      <c r="F1959" s="3" t="s">
        <v>928</v>
      </c>
      <c r="G1959" s="7">
        <v>45890.05912051046</v>
      </c>
    </row>
    <row r="1960">
      <c r="A1960" s="3" t="s">
        <v>6757</v>
      </c>
      <c r="B1960" s="3" t="s">
        <v>841</v>
      </c>
      <c r="C1960" s="3" t="s">
        <v>56</v>
      </c>
      <c r="D1960" s="3" t="s">
        <v>181</v>
      </c>
      <c r="E1960" s="3" t="s">
        <v>45</v>
      </c>
      <c r="F1960" s="3" t="s">
        <v>45</v>
      </c>
      <c r="G1960" s="7">
        <v>45890.13029535587</v>
      </c>
    </row>
    <row r="1961">
      <c r="A1961" s="3" t="s">
        <v>6760</v>
      </c>
      <c r="B1961" s="3" t="s">
        <v>197</v>
      </c>
      <c r="C1961" s="3" t="s">
        <v>56</v>
      </c>
      <c r="D1961" s="3" t="s">
        <v>68</v>
      </c>
      <c r="E1961" s="3" t="s">
        <v>100</v>
      </c>
      <c r="F1961" s="3" t="s">
        <v>932</v>
      </c>
      <c r="G1961" s="7">
        <v>45890.20147020129</v>
      </c>
    </row>
    <row r="1962">
      <c r="A1962" s="3" t="s">
        <v>6764</v>
      </c>
      <c r="B1962" s="3" t="s">
        <v>516</v>
      </c>
      <c r="C1962" s="3" t="s">
        <v>1095</v>
      </c>
      <c r="D1962" s="3" t="s">
        <v>68</v>
      </c>
      <c r="E1962" s="3" t="s">
        <v>100</v>
      </c>
      <c r="F1962" s="3" t="s">
        <v>483</v>
      </c>
      <c r="G1962" s="7">
        <v>45890.2726450467</v>
      </c>
    </row>
    <row r="1963">
      <c r="A1963" s="3" t="s">
        <v>6768</v>
      </c>
      <c r="B1963" s="3" t="s">
        <v>900</v>
      </c>
      <c r="C1963" s="3" t="s">
        <v>56</v>
      </c>
      <c r="D1963" s="3" t="s">
        <v>68</v>
      </c>
      <c r="E1963" s="3" t="s">
        <v>100</v>
      </c>
      <c r="F1963" s="3" t="s">
        <v>942</v>
      </c>
      <c r="G1963" s="7">
        <v>45890.343819892114</v>
      </c>
    </row>
    <row r="1964">
      <c r="A1964" s="3" t="s">
        <v>6771</v>
      </c>
      <c r="B1964" s="3" t="s">
        <v>805</v>
      </c>
      <c r="C1964" s="3" t="s">
        <v>1095</v>
      </c>
      <c r="D1964" s="3" t="s">
        <v>68</v>
      </c>
      <c r="E1964" s="3" t="s">
        <v>100</v>
      </c>
      <c r="F1964" s="3" t="s">
        <v>1403</v>
      </c>
      <c r="G1964" s="7">
        <v>45890.41499473753</v>
      </c>
    </row>
    <row r="1965">
      <c r="A1965" s="3" t="s">
        <v>6774</v>
      </c>
      <c r="B1965" s="3" t="s">
        <v>472</v>
      </c>
      <c r="C1965" s="3" t="s">
        <v>56</v>
      </c>
      <c r="D1965" s="3" t="s">
        <v>181</v>
      </c>
      <c r="E1965" s="3" t="s">
        <v>45</v>
      </c>
      <c r="F1965" s="3" t="s">
        <v>45</v>
      </c>
      <c r="G1965" s="7">
        <v>45890.486169582946</v>
      </c>
    </row>
    <row r="1966">
      <c r="A1966" s="3" t="s">
        <v>6777</v>
      </c>
      <c r="B1966" s="3" t="s">
        <v>436</v>
      </c>
      <c r="C1966" s="3" t="s">
        <v>1342</v>
      </c>
      <c r="D1966" s="3" t="s">
        <v>181</v>
      </c>
      <c r="E1966" s="3" t="s">
        <v>45</v>
      </c>
      <c r="F1966" s="3" t="s">
        <v>611</v>
      </c>
      <c r="G1966" s="7">
        <v>45890.55734442836</v>
      </c>
    </row>
    <row r="1967">
      <c r="A1967" s="3" t="s">
        <v>6781</v>
      </c>
      <c r="B1967" s="3" t="s">
        <v>742</v>
      </c>
      <c r="C1967" s="3" t="s">
        <v>1342</v>
      </c>
      <c r="D1967" s="3" t="s">
        <v>181</v>
      </c>
      <c r="E1967" s="3" t="s">
        <v>45</v>
      </c>
      <c r="F1967" s="3" t="s">
        <v>1605</v>
      </c>
      <c r="G1967" s="7">
        <v>45890.62851927378</v>
      </c>
    </row>
    <row r="1968">
      <c r="A1968" s="3" t="s">
        <v>6785</v>
      </c>
      <c r="B1968" s="3" t="s">
        <v>727</v>
      </c>
      <c r="C1968" s="3" t="s">
        <v>56</v>
      </c>
      <c r="D1968" s="3" t="s">
        <v>181</v>
      </c>
      <c r="E1968" s="3" t="s">
        <v>45</v>
      </c>
      <c r="F1968" s="3" t="s">
        <v>45</v>
      </c>
      <c r="G1968" s="7">
        <v>45890.6996941192</v>
      </c>
    </row>
    <row r="1969">
      <c r="A1969" s="3" t="s">
        <v>6788</v>
      </c>
      <c r="B1969" s="3" t="s">
        <v>333</v>
      </c>
      <c r="C1969" s="3" t="s">
        <v>1342</v>
      </c>
      <c r="D1969" s="3" t="s">
        <v>181</v>
      </c>
      <c r="E1969" s="3" t="s">
        <v>45</v>
      </c>
      <c r="F1969" s="3" t="s">
        <v>2083</v>
      </c>
      <c r="G1969" s="7">
        <v>45890.7708689646</v>
      </c>
    </row>
    <row r="1970">
      <c r="A1970" s="3" t="s">
        <v>6791</v>
      </c>
      <c r="B1970" s="3" t="s">
        <v>344</v>
      </c>
      <c r="C1970" s="3" t="s">
        <v>1095</v>
      </c>
      <c r="D1970" s="3" t="s">
        <v>68</v>
      </c>
      <c r="E1970" s="3" t="s">
        <v>100</v>
      </c>
      <c r="F1970" s="3" t="s">
        <v>1747</v>
      </c>
      <c r="G1970" s="7">
        <v>45890.84204381002</v>
      </c>
    </row>
    <row r="1971">
      <c r="A1971" s="3" t="s">
        <v>6794</v>
      </c>
      <c r="B1971" s="3" t="s">
        <v>676</v>
      </c>
      <c r="C1971" s="3" t="s">
        <v>1342</v>
      </c>
      <c r="D1971" s="3" t="s">
        <v>195</v>
      </c>
      <c r="E1971" s="3" t="s">
        <v>45</v>
      </c>
      <c r="F1971" s="3" t="s">
        <v>928</v>
      </c>
      <c r="G1971" s="7">
        <v>45890.91321865544</v>
      </c>
    </row>
    <row r="1972">
      <c r="A1972" s="3" t="s">
        <v>6796</v>
      </c>
      <c r="B1972" s="3" t="s">
        <v>521</v>
      </c>
      <c r="C1972" s="3" t="s">
        <v>1342</v>
      </c>
      <c r="D1972" s="3" t="s">
        <v>181</v>
      </c>
      <c r="E1972" s="3" t="s">
        <v>45</v>
      </c>
      <c r="F1972" s="3" t="s">
        <v>1460</v>
      </c>
      <c r="G1972" s="7">
        <v>45890.984393500854</v>
      </c>
    </row>
    <row r="1973">
      <c r="A1973" s="3" t="s">
        <v>6799</v>
      </c>
      <c r="B1973" s="3" t="s">
        <v>208</v>
      </c>
      <c r="C1973" s="3" t="s">
        <v>1342</v>
      </c>
      <c r="D1973" s="3" t="s">
        <v>68</v>
      </c>
      <c r="E1973" s="3" t="s">
        <v>100</v>
      </c>
      <c r="F1973" s="3" t="s">
        <v>1921</v>
      </c>
      <c r="G1973" s="7">
        <v>45891.055568346266</v>
      </c>
    </row>
    <row r="1974">
      <c r="A1974" s="3" t="s">
        <v>6802</v>
      </c>
      <c r="B1974" s="3" t="s">
        <v>535</v>
      </c>
      <c r="C1974" s="3" t="s">
        <v>1342</v>
      </c>
      <c r="D1974" s="3" t="s">
        <v>68</v>
      </c>
      <c r="E1974" s="3" t="s">
        <v>100</v>
      </c>
      <c r="F1974" s="3" t="s">
        <v>1860</v>
      </c>
      <c r="G1974" s="7">
        <v>45891.126743191686</v>
      </c>
    </row>
    <row r="1975">
      <c r="A1975" s="3" t="s">
        <v>6805</v>
      </c>
      <c r="B1975" s="3" t="s">
        <v>751</v>
      </c>
      <c r="C1975" s="3" t="s">
        <v>1095</v>
      </c>
      <c r="D1975" s="3" t="s">
        <v>68</v>
      </c>
      <c r="E1975" s="3" t="s">
        <v>100</v>
      </c>
      <c r="F1975" s="3" t="s">
        <v>1684</v>
      </c>
      <c r="G1975" s="7">
        <v>45891.1979180371</v>
      </c>
    </row>
    <row r="1976">
      <c r="A1976" s="3" t="s">
        <v>6809</v>
      </c>
      <c r="B1976" s="3" t="s">
        <v>939</v>
      </c>
      <c r="C1976" s="3" t="s">
        <v>1095</v>
      </c>
      <c r="D1976" s="3" t="s">
        <v>181</v>
      </c>
      <c r="E1976" s="3" t="s">
        <v>45</v>
      </c>
      <c r="F1976" s="3" t="s">
        <v>1291</v>
      </c>
      <c r="G1976" s="7">
        <v>45891.26909288251</v>
      </c>
    </row>
    <row r="1977">
      <c r="A1977" s="3" t="s">
        <v>6811</v>
      </c>
      <c r="B1977" s="3" t="s">
        <v>299</v>
      </c>
      <c r="C1977" s="3" t="s">
        <v>1095</v>
      </c>
      <c r="D1977" s="3" t="s">
        <v>68</v>
      </c>
      <c r="E1977" s="3" t="s">
        <v>100</v>
      </c>
      <c r="F1977" s="3" t="s">
        <v>2032</v>
      </c>
      <c r="G1977" s="7">
        <v>45891.34026772793</v>
      </c>
    </row>
    <row r="1978">
      <c r="A1978" s="3" t="s">
        <v>6813</v>
      </c>
      <c r="B1978" s="3" t="s">
        <v>662</v>
      </c>
      <c r="C1978" s="3" t="s">
        <v>56</v>
      </c>
      <c r="D1978" s="3" t="s">
        <v>68</v>
      </c>
      <c r="E1978" s="3" t="s">
        <v>100</v>
      </c>
      <c r="F1978" s="3" t="s">
        <v>946</v>
      </c>
      <c r="G1978" s="7">
        <v>45891.41144257335</v>
      </c>
    </row>
    <row r="1979">
      <c r="A1979" s="3" t="s">
        <v>6817</v>
      </c>
      <c r="B1979" s="3" t="s">
        <v>998</v>
      </c>
      <c r="C1979" s="3" t="s">
        <v>1095</v>
      </c>
      <c r="D1979" s="3" t="s">
        <v>68</v>
      </c>
      <c r="E1979" s="3" t="s">
        <v>100</v>
      </c>
      <c r="F1979" s="3" t="s">
        <v>1687</v>
      </c>
      <c r="G1979" s="7">
        <v>45891.482617418755</v>
      </c>
    </row>
    <row r="1980">
      <c r="A1980" s="3" t="s">
        <v>6820</v>
      </c>
      <c r="B1980" s="3" t="s">
        <v>171</v>
      </c>
      <c r="C1980" s="3" t="s">
        <v>1342</v>
      </c>
      <c r="D1980" s="3" t="s">
        <v>181</v>
      </c>
      <c r="E1980" s="3" t="s">
        <v>45</v>
      </c>
      <c r="F1980" s="3" t="s">
        <v>1835</v>
      </c>
      <c r="G1980" s="7">
        <v>45891.553792264174</v>
      </c>
    </row>
    <row r="1981">
      <c r="A1981" s="3" t="s">
        <v>6823</v>
      </c>
      <c r="B1981" s="3" t="s">
        <v>658</v>
      </c>
      <c r="C1981" s="3" t="s">
        <v>1095</v>
      </c>
      <c r="D1981" s="3" t="s">
        <v>68</v>
      </c>
      <c r="E1981" s="3" t="s">
        <v>100</v>
      </c>
      <c r="F1981" s="3" t="s">
        <v>2105</v>
      </c>
      <c r="G1981" s="7">
        <v>45891.62496710959</v>
      </c>
    </row>
    <row r="1982">
      <c r="A1982" s="3" t="s">
        <v>6826</v>
      </c>
      <c r="B1982" s="3" t="s">
        <v>682</v>
      </c>
      <c r="C1982" s="3" t="s">
        <v>1342</v>
      </c>
      <c r="D1982" s="3" t="s">
        <v>181</v>
      </c>
      <c r="E1982" s="3" t="s">
        <v>45</v>
      </c>
      <c r="F1982" s="3" t="s">
        <v>2013</v>
      </c>
      <c r="G1982" s="7">
        <v>45891.696141955006</v>
      </c>
    </row>
    <row r="1983">
      <c r="A1983" s="3" t="s">
        <v>6829</v>
      </c>
      <c r="B1983" s="3" t="s">
        <v>341</v>
      </c>
      <c r="C1983" s="3" t="s">
        <v>1342</v>
      </c>
      <c r="D1983" s="3" t="s">
        <v>181</v>
      </c>
      <c r="E1983" s="3" t="s">
        <v>45</v>
      </c>
      <c r="F1983" s="3" t="s">
        <v>2001</v>
      </c>
      <c r="G1983" s="7">
        <v>45891.76731680042</v>
      </c>
    </row>
    <row r="1984">
      <c r="A1984" s="3" t="s">
        <v>6831</v>
      </c>
      <c r="B1984" s="3" t="s">
        <v>619</v>
      </c>
      <c r="C1984" s="3" t="s">
        <v>56</v>
      </c>
      <c r="D1984" s="3" t="s">
        <v>68</v>
      </c>
      <c r="E1984" s="3" t="s">
        <v>100</v>
      </c>
      <c r="F1984" s="3" t="s">
        <v>950</v>
      </c>
      <c r="G1984" s="7">
        <v>45891.83849164584</v>
      </c>
    </row>
    <row r="1985">
      <c r="A1985" s="3" t="s">
        <v>6833</v>
      </c>
      <c r="B1985" s="3" t="s">
        <v>778</v>
      </c>
      <c r="C1985" s="3" t="s">
        <v>56</v>
      </c>
      <c r="D1985" s="3" t="s">
        <v>68</v>
      </c>
      <c r="E1985" s="3" t="s">
        <v>100</v>
      </c>
      <c r="F1985" s="3" t="s">
        <v>963</v>
      </c>
      <c r="G1985" s="7">
        <v>45891.90966649124</v>
      </c>
    </row>
    <row r="1986">
      <c r="A1986" s="3" t="s">
        <v>6837</v>
      </c>
      <c r="B1986" s="3" t="s">
        <v>224</v>
      </c>
      <c r="C1986" s="3" t="s">
        <v>1342</v>
      </c>
      <c r="D1986" s="3" t="s">
        <v>68</v>
      </c>
      <c r="E1986" s="3" t="s">
        <v>100</v>
      </c>
      <c r="F1986" s="3" t="s">
        <v>1054</v>
      </c>
      <c r="G1986" s="7">
        <v>45891.98084133666</v>
      </c>
    </row>
    <row r="1987">
      <c r="A1987" s="3" t="s">
        <v>6841</v>
      </c>
      <c r="B1987" s="3" t="s">
        <v>269</v>
      </c>
      <c r="C1987" s="3" t="s">
        <v>56</v>
      </c>
      <c r="D1987" s="3" t="s">
        <v>68</v>
      </c>
      <c r="E1987" s="3" t="s">
        <v>100</v>
      </c>
      <c r="F1987" s="3" t="s">
        <v>968</v>
      </c>
      <c r="G1987" s="7">
        <v>45892.05201618208</v>
      </c>
    </row>
    <row r="1988">
      <c r="A1988" s="3" t="s">
        <v>6844</v>
      </c>
      <c r="B1988" s="3" t="s">
        <v>781</v>
      </c>
      <c r="C1988" s="3" t="s">
        <v>1095</v>
      </c>
      <c r="D1988" s="3" t="s">
        <v>68</v>
      </c>
      <c r="E1988" s="3" t="s">
        <v>100</v>
      </c>
      <c r="F1988" s="3" t="s">
        <v>1256</v>
      </c>
      <c r="G1988" s="7">
        <v>45892.123191027495</v>
      </c>
    </row>
    <row r="1989">
      <c r="A1989" s="3" t="s">
        <v>6847</v>
      </c>
      <c r="B1989" s="3" t="s">
        <v>916</v>
      </c>
      <c r="C1989" s="3" t="s">
        <v>56</v>
      </c>
      <c r="D1989" s="3" t="s">
        <v>68</v>
      </c>
      <c r="E1989" s="3" t="s">
        <v>100</v>
      </c>
      <c r="F1989" s="3" t="s">
        <v>971</v>
      </c>
      <c r="G1989" s="7">
        <v>45892.19436587291</v>
      </c>
    </row>
    <row r="1990">
      <c r="A1990" s="3" t="s">
        <v>6850</v>
      </c>
      <c r="B1990" s="3" t="s">
        <v>742</v>
      </c>
      <c r="C1990" s="3" t="s">
        <v>1095</v>
      </c>
      <c r="D1990" s="3" t="s">
        <v>68</v>
      </c>
      <c r="E1990" s="3" t="s">
        <v>100</v>
      </c>
      <c r="F1990" s="3" t="s">
        <v>1605</v>
      </c>
      <c r="G1990" s="7">
        <v>45892.26554071833</v>
      </c>
    </row>
    <row r="1991">
      <c r="A1991" s="3" t="s">
        <v>6853</v>
      </c>
      <c r="B1991" s="3" t="s">
        <v>756</v>
      </c>
      <c r="C1991" s="3" t="s">
        <v>1342</v>
      </c>
      <c r="D1991" s="3" t="s">
        <v>68</v>
      </c>
      <c r="E1991" s="3" t="s">
        <v>100</v>
      </c>
      <c r="F1991" s="3" t="s">
        <v>2034</v>
      </c>
      <c r="G1991" s="7">
        <v>45892.33671556374</v>
      </c>
    </row>
    <row r="1992">
      <c r="A1992" s="3" t="s">
        <v>6856</v>
      </c>
      <c r="B1992" s="3" t="s">
        <v>263</v>
      </c>
      <c r="C1992" s="3" t="s">
        <v>1095</v>
      </c>
      <c r="D1992" s="3" t="s">
        <v>68</v>
      </c>
      <c r="E1992" s="3" t="s">
        <v>100</v>
      </c>
      <c r="F1992" s="3" t="s">
        <v>1521</v>
      </c>
      <c r="G1992" s="7">
        <v>45892.40789040915</v>
      </c>
    </row>
    <row r="1993">
      <c r="A1993" s="3" t="s">
        <v>6860</v>
      </c>
      <c r="B1993" s="3" t="s">
        <v>561</v>
      </c>
      <c r="C1993" s="3" t="s">
        <v>56</v>
      </c>
      <c r="D1993" s="3" t="s">
        <v>68</v>
      </c>
      <c r="E1993" s="3" t="s">
        <v>100</v>
      </c>
      <c r="F1993" s="3" t="s">
        <v>977</v>
      </c>
      <c r="G1993" s="7">
        <v>45892.47906525457</v>
      </c>
    </row>
    <row r="1994">
      <c r="A1994" s="3" t="s">
        <v>6864</v>
      </c>
      <c r="B1994" s="3" t="s">
        <v>430</v>
      </c>
      <c r="C1994" s="3" t="s">
        <v>1342</v>
      </c>
      <c r="D1994" s="3" t="s">
        <v>68</v>
      </c>
      <c r="E1994" s="3" t="s">
        <v>100</v>
      </c>
      <c r="F1994" s="3" t="s">
        <v>583</v>
      </c>
      <c r="G1994" s="7">
        <v>45892.55024009999</v>
      </c>
    </row>
    <row r="1995">
      <c r="A1995" s="3" t="s">
        <v>6867</v>
      </c>
      <c r="B1995" s="3" t="s">
        <v>419</v>
      </c>
      <c r="C1995" s="3" t="s">
        <v>56</v>
      </c>
      <c r="D1995" s="3" t="s">
        <v>68</v>
      </c>
      <c r="E1995" s="3" t="s">
        <v>100</v>
      </c>
      <c r="F1995" s="3" t="s">
        <v>983</v>
      </c>
      <c r="G1995" s="7">
        <v>45892.621414945395</v>
      </c>
    </row>
    <row r="1996">
      <c r="A1996" s="3" t="s">
        <v>6870</v>
      </c>
      <c r="B1996" s="3" t="s">
        <v>414</v>
      </c>
      <c r="C1996" s="3" t="s">
        <v>1342</v>
      </c>
      <c r="D1996" s="3" t="s">
        <v>68</v>
      </c>
      <c r="E1996" s="3" t="s">
        <v>100</v>
      </c>
      <c r="F1996" s="3" t="s">
        <v>2077</v>
      </c>
      <c r="G1996" s="7">
        <v>45892.692589790815</v>
      </c>
    </row>
    <row r="1997">
      <c r="A1997" s="3" t="s">
        <v>6873</v>
      </c>
      <c r="B1997" s="3" t="s">
        <v>735</v>
      </c>
      <c r="C1997" s="3" t="s">
        <v>1342</v>
      </c>
      <c r="D1997" s="3" t="s">
        <v>68</v>
      </c>
      <c r="E1997" s="3" t="s">
        <v>100</v>
      </c>
      <c r="F1997" s="3" t="s">
        <v>603</v>
      </c>
      <c r="G1997" s="7">
        <v>45892.763764636235</v>
      </c>
    </row>
    <row r="1998">
      <c r="A1998" s="3" t="s">
        <v>6876</v>
      </c>
      <c r="B1998" s="3" t="s">
        <v>1034</v>
      </c>
      <c r="C1998" s="3" t="s">
        <v>56</v>
      </c>
      <c r="D1998" s="3" t="s">
        <v>68</v>
      </c>
      <c r="E1998" s="3" t="s">
        <v>100</v>
      </c>
      <c r="F1998" s="3" t="s">
        <v>985</v>
      </c>
      <c r="G1998" s="7">
        <v>45892.83493948165</v>
      </c>
    </row>
    <row r="1999">
      <c r="A1999" s="3" t="s">
        <v>6880</v>
      </c>
      <c r="B1999" s="3" t="s">
        <v>383</v>
      </c>
      <c r="C1999" s="3" t="s">
        <v>1342</v>
      </c>
      <c r="D1999" s="3" t="s">
        <v>68</v>
      </c>
      <c r="E1999" s="3" t="s">
        <v>100</v>
      </c>
      <c r="F1999" s="3" t="s">
        <v>849</v>
      </c>
      <c r="G1999" s="7">
        <v>45892.90611432706</v>
      </c>
    </row>
    <row r="2000">
      <c r="A2000" s="3" t="s">
        <v>6884</v>
      </c>
      <c r="B2000" s="3" t="s">
        <v>609</v>
      </c>
      <c r="C2000" s="3" t="s">
        <v>56</v>
      </c>
      <c r="D2000" s="3" t="s">
        <v>68</v>
      </c>
      <c r="E2000" s="3" t="s">
        <v>100</v>
      </c>
      <c r="F2000" s="3" t="s">
        <v>996</v>
      </c>
      <c r="G2000" s="7">
        <v>45892.97728917248</v>
      </c>
    </row>
    <row r="2001">
      <c r="A2001" s="3" t="s">
        <v>6887</v>
      </c>
      <c r="B2001" s="3" t="s">
        <v>1034</v>
      </c>
      <c r="C2001" s="3" t="s">
        <v>1342</v>
      </c>
      <c r="D2001" s="3" t="s">
        <v>68</v>
      </c>
      <c r="E2001" s="3" t="s">
        <v>100</v>
      </c>
      <c r="F2001" s="3" t="s">
        <v>985</v>
      </c>
      <c r="G2001" s="7">
        <v>45893.04846401789</v>
      </c>
    </row>
    <row r="2002">
      <c r="A2002" s="3" t="s">
        <v>6890</v>
      </c>
      <c r="B2002" s="3" t="s">
        <v>920</v>
      </c>
      <c r="C2002" s="3" t="s">
        <v>1342</v>
      </c>
      <c r="D2002" s="3" t="s">
        <v>68</v>
      </c>
      <c r="E2002" s="3" t="s">
        <v>100</v>
      </c>
      <c r="F2002" s="3" t="s">
        <v>1039</v>
      </c>
      <c r="G2002" s="7">
        <v>45893.1196388633</v>
      </c>
    </row>
    <row r="2003">
      <c r="A2003" s="3" t="s">
        <v>6893</v>
      </c>
      <c r="B2003" s="3" t="s">
        <v>290</v>
      </c>
      <c r="C2003" s="3" t="s">
        <v>1342</v>
      </c>
      <c r="D2003" s="3" t="s">
        <v>68</v>
      </c>
      <c r="E2003" s="3" t="s">
        <v>100</v>
      </c>
      <c r="F2003" s="3" t="s">
        <v>1828</v>
      </c>
      <c r="G2003" s="7">
        <v>45893.19081370872</v>
      </c>
    </row>
    <row r="2004">
      <c r="A2004" s="3" t="s">
        <v>6895</v>
      </c>
      <c r="B2004" s="3" t="s">
        <v>903</v>
      </c>
      <c r="C2004" s="3" t="s">
        <v>1095</v>
      </c>
      <c r="D2004" s="3" t="s">
        <v>181</v>
      </c>
      <c r="E2004" s="3" t="s">
        <v>45</v>
      </c>
      <c r="F2004" s="3" t="s">
        <v>1667</v>
      </c>
      <c r="G2004" s="7">
        <v>45893.261988554135</v>
      </c>
    </row>
    <row r="2005">
      <c r="A2005" s="3" t="s">
        <v>6897</v>
      </c>
      <c r="B2005" s="3" t="s">
        <v>269</v>
      </c>
      <c r="C2005" s="3" t="s">
        <v>1095</v>
      </c>
      <c r="D2005" s="3" t="s">
        <v>68</v>
      </c>
      <c r="E2005" s="3" t="s">
        <v>100</v>
      </c>
      <c r="F2005" s="3" t="s">
        <v>968</v>
      </c>
      <c r="G2005" s="7">
        <v>45893.33316339955</v>
      </c>
    </row>
    <row r="2006">
      <c r="A2006" s="3" t="s">
        <v>6899</v>
      </c>
      <c r="B2006" s="3" t="s">
        <v>307</v>
      </c>
      <c r="C2006" s="3" t="s">
        <v>56</v>
      </c>
      <c r="D2006" s="3" t="s">
        <v>68</v>
      </c>
      <c r="E2006" s="3" t="s">
        <v>100</v>
      </c>
      <c r="F2006" s="3" t="s">
        <v>1000</v>
      </c>
      <c r="G2006" s="7">
        <v>45893.40433824497</v>
      </c>
    </row>
    <row r="2007">
      <c r="A2007" s="3" t="s">
        <v>6901</v>
      </c>
      <c r="B2007" s="3" t="s">
        <v>691</v>
      </c>
      <c r="C2007" s="3" t="s">
        <v>1342</v>
      </c>
      <c r="D2007" s="3" t="s">
        <v>68</v>
      </c>
      <c r="E2007" s="3" t="s">
        <v>100</v>
      </c>
      <c r="F2007" s="3" t="s">
        <v>1958</v>
      </c>
      <c r="G2007" s="7">
        <v>45893.47551309038</v>
      </c>
    </row>
    <row r="2008">
      <c r="A2008" s="3" t="s">
        <v>6903</v>
      </c>
      <c r="B2008" s="3" t="s">
        <v>650</v>
      </c>
      <c r="C2008" s="3" t="s">
        <v>56</v>
      </c>
      <c r="D2008" s="3" t="s">
        <v>68</v>
      </c>
      <c r="E2008" s="3" t="s">
        <v>100</v>
      </c>
      <c r="F2008" s="3" t="s">
        <v>1004</v>
      </c>
      <c r="G2008" s="7">
        <v>45893.54668793579</v>
      </c>
    </row>
    <row r="2009">
      <c r="A2009" s="3" t="s">
        <v>6907</v>
      </c>
      <c r="B2009" s="3" t="s">
        <v>689</v>
      </c>
      <c r="C2009" s="3" t="s">
        <v>1342</v>
      </c>
      <c r="D2009" s="3" t="s">
        <v>181</v>
      </c>
      <c r="E2009" s="3" t="s">
        <v>45</v>
      </c>
      <c r="F2009" s="3" t="s">
        <v>823</v>
      </c>
      <c r="G2009" s="7">
        <v>45893.61786278121</v>
      </c>
    </row>
    <row r="2010">
      <c r="A2010" s="3" t="s">
        <v>6909</v>
      </c>
      <c r="B2010" s="3" t="s">
        <v>145</v>
      </c>
      <c r="C2010" s="3" t="s">
        <v>56</v>
      </c>
      <c r="D2010" s="3" t="s">
        <v>68</v>
      </c>
      <c r="E2010" s="3" t="s">
        <v>100</v>
      </c>
      <c r="F2010" s="3" t="s">
        <v>1007</v>
      </c>
      <c r="G2010" s="7">
        <v>45893.68903762663</v>
      </c>
    </row>
    <row r="2011">
      <c r="A2011" s="3" t="s">
        <v>6913</v>
      </c>
      <c r="B2011" s="3" t="s">
        <v>516</v>
      </c>
      <c r="C2011" s="3" t="s">
        <v>56</v>
      </c>
      <c r="D2011" s="3" t="s">
        <v>68</v>
      </c>
      <c r="E2011" s="3" t="s">
        <v>100</v>
      </c>
      <c r="F2011" s="3" t="s">
        <v>1012</v>
      </c>
      <c r="G2011" s="7">
        <v>45893.760212472036</v>
      </c>
    </row>
    <row r="2012">
      <c r="A2012" s="3" t="s">
        <v>6916</v>
      </c>
      <c r="B2012" s="3" t="s">
        <v>515</v>
      </c>
      <c r="C2012" s="3" t="s">
        <v>1095</v>
      </c>
      <c r="D2012" s="3" t="s">
        <v>68</v>
      </c>
      <c r="E2012" s="3" t="s">
        <v>100</v>
      </c>
      <c r="F2012" s="3" t="s">
        <v>1937</v>
      </c>
      <c r="G2012" s="7">
        <v>45893.831387317456</v>
      </c>
    </row>
    <row r="2013">
      <c r="A2013" s="3" t="s">
        <v>6918</v>
      </c>
      <c r="B2013" s="3" t="s">
        <v>359</v>
      </c>
      <c r="C2013" s="3" t="s">
        <v>1342</v>
      </c>
      <c r="D2013" s="3" t="s">
        <v>68</v>
      </c>
      <c r="E2013" s="3" t="s">
        <v>100</v>
      </c>
      <c r="F2013" s="3" t="s">
        <v>919</v>
      </c>
      <c r="G2013" s="7">
        <v>45893.902562162875</v>
      </c>
    </row>
    <row r="2014">
      <c r="A2014" s="3" t="s">
        <v>6920</v>
      </c>
      <c r="B2014" s="3" t="s">
        <v>1043</v>
      </c>
      <c r="C2014" s="3" t="s">
        <v>1342</v>
      </c>
      <c r="D2014" s="3" t="s">
        <v>68</v>
      </c>
      <c r="E2014" s="3" t="s">
        <v>100</v>
      </c>
      <c r="F2014" s="3" t="s">
        <v>769</v>
      </c>
      <c r="G2014" s="7">
        <v>45893.97373700829</v>
      </c>
    </row>
    <row r="2015">
      <c r="A2015" s="3" t="s">
        <v>6924</v>
      </c>
      <c r="B2015" s="3" t="s">
        <v>319</v>
      </c>
      <c r="C2015" s="3" t="s">
        <v>56</v>
      </c>
      <c r="D2015" s="3" t="s">
        <v>68</v>
      </c>
      <c r="E2015" s="3" t="s">
        <v>100</v>
      </c>
      <c r="F2015" s="3" t="s">
        <v>1015</v>
      </c>
      <c r="G2015" s="7">
        <v>45894.0449118537</v>
      </c>
    </row>
    <row r="2016">
      <c r="A2016" s="3" t="s">
        <v>6926</v>
      </c>
      <c r="B2016" s="3" t="s">
        <v>436</v>
      </c>
      <c r="C2016" s="3" t="s">
        <v>1095</v>
      </c>
      <c r="D2016" s="3" t="s">
        <v>68</v>
      </c>
      <c r="E2016" s="3" t="s">
        <v>100</v>
      </c>
      <c r="F2016" s="3" t="s">
        <v>611</v>
      </c>
      <c r="G2016" s="7">
        <v>45894.11608669912</v>
      </c>
    </row>
    <row r="2017">
      <c r="A2017" s="3" t="s">
        <v>6928</v>
      </c>
      <c r="B2017" s="3" t="s">
        <v>204</v>
      </c>
      <c r="C2017" s="3" t="s">
        <v>1342</v>
      </c>
      <c r="D2017" s="3" t="s">
        <v>68</v>
      </c>
      <c r="E2017" s="3" t="s">
        <v>100</v>
      </c>
      <c r="F2017" s="3" t="s">
        <v>2025</v>
      </c>
      <c r="G2017" s="7">
        <v>45894.18726154453</v>
      </c>
    </row>
    <row r="2018">
      <c r="A2018" s="3" t="s">
        <v>6930</v>
      </c>
      <c r="B2018" s="3" t="s">
        <v>348</v>
      </c>
      <c r="C2018" s="3" t="s">
        <v>1342</v>
      </c>
      <c r="D2018" s="3" t="s">
        <v>68</v>
      </c>
      <c r="E2018" s="3" t="s">
        <v>100</v>
      </c>
      <c r="F2018" s="3" t="s">
        <v>2028</v>
      </c>
      <c r="G2018" s="7">
        <v>45894.258436389944</v>
      </c>
    </row>
    <row r="2019">
      <c r="A2019" s="3" t="s">
        <v>6933</v>
      </c>
      <c r="B2019" s="3" t="s">
        <v>1049</v>
      </c>
      <c r="C2019" s="3" t="s">
        <v>1342</v>
      </c>
      <c r="D2019" s="3" t="s">
        <v>68</v>
      </c>
      <c r="E2019" s="3" t="s">
        <v>100</v>
      </c>
      <c r="F2019" s="3" t="s">
        <v>509</v>
      </c>
      <c r="G2019" s="7">
        <v>45894.329611235364</v>
      </c>
    </row>
    <row r="2020">
      <c r="A2020" s="3" t="s">
        <v>6936</v>
      </c>
      <c r="B2020" s="3" t="s">
        <v>468</v>
      </c>
      <c r="C2020" s="3" t="s">
        <v>1342</v>
      </c>
      <c r="D2020" s="3" t="s">
        <v>68</v>
      </c>
      <c r="E2020" s="3" t="s">
        <v>100</v>
      </c>
      <c r="F2020" s="3" t="s">
        <v>1570</v>
      </c>
      <c r="G2020" s="7">
        <v>45894.400786080776</v>
      </c>
    </row>
    <row r="2021">
      <c r="A2021" s="3" t="s">
        <v>6939</v>
      </c>
      <c r="B2021" s="3" t="s">
        <v>498</v>
      </c>
      <c r="C2021" s="3" t="s">
        <v>56</v>
      </c>
      <c r="D2021" s="3" t="s">
        <v>68</v>
      </c>
      <c r="E2021" s="3" t="s">
        <v>100</v>
      </c>
      <c r="F2021" s="3" t="s">
        <v>1019</v>
      </c>
      <c r="G2021" s="7">
        <v>45894.47196092619</v>
      </c>
    </row>
    <row r="2022">
      <c r="A2022" s="3" t="s">
        <v>6943</v>
      </c>
      <c r="B2022" s="3" t="s">
        <v>130</v>
      </c>
      <c r="C2022" s="3" t="s">
        <v>56</v>
      </c>
      <c r="D2022" s="3" t="s">
        <v>68</v>
      </c>
      <c r="E2022" s="3" t="s">
        <v>100</v>
      </c>
      <c r="F2022" s="3" t="s">
        <v>1025</v>
      </c>
      <c r="G2022" s="7">
        <v>45894.54313577161</v>
      </c>
    </row>
    <row r="2023">
      <c r="A2023" s="3" t="s">
        <v>6947</v>
      </c>
      <c r="B2023" s="3" t="s">
        <v>926</v>
      </c>
      <c r="C2023" s="3" t="s">
        <v>56</v>
      </c>
      <c r="D2023" s="3" t="s">
        <v>68</v>
      </c>
      <c r="E2023" s="3" t="s">
        <v>100</v>
      </c>
      <c r="F2023" s="3" t="s">
        <v>1029</v>
      </c>
      <c r="G2023" s="7">
        <v>45894.61431061702</v>
      </c>
    </row>
    <row r="2024">
      <c r="A2024" s="3" t="s">
        <v>6950</v>
      </c>
      <c r="B2024" s="3" t="s">
        <v>505</v>
      </c>
      <c r="C2024" s="3" t="s">
        <v>1342</v>
      </c>
      <c r="D2024" s="3" t="s">
        <v>68</v>
      </c>
      <c r="E2024" s="3" t="s">
        <v>100</v>
      </c>
      <c r="F2024" s="3" t="s">
        <v>788</v>
      </c>
      <c r="G2024" s="7">
        <v>45894.68548546243</v>
      </c>
    </row>
    <row r="2025">
      <c r="A2025" s="3" t="s">
        <v>6953</v>
      </c>
      <c r="B2025" s="3" t="s">
        <v>322</v>
      </c>
      <c r="C2025" s="3" t="s">
        <v>56</v>
      </c>
      <c r="D2025" s="3" t="s">
        <v>68</v>
      </c>
      <c r="E2025" s="3" t="s">
        <v>100</v>
      </c>
      <c r="F2025" s="3" t="s">
        <v>1033</v>
      </c>
      <c r="G2025" s="7">
        <v>45894.75666030785</v>
      </c>
    </row>
    <row r="2026">
      <c r="A2026" s="3" t="s">
        <v>6956</v>
      </c>
      <c r="B2026" s="3" t="s">
        <v>263</v>
      </c>
      <c r="C2026" s="3" t="s">
        <v>56</v>
      </c>
      <c r="D2026" s="3" t="s">
        <v>68</v>
      </c>
      <c r="E2026" s="3" t="s">
        <v>100</v>
      </c>
      <c r="F2026" s="3" t="s">
        <v>1045</v>
      </c>
      <c r="G2026" s="7">
        <v>45894.82783515327</v>
      </c>
    </row>
    <row r="2027">
      <c r="A2027" s="3" t="s">
        <v>6960</v>
      </c>
      <c r="B2027" s="3" t="s">
        <v>965</v>
      </c>
      <c r="C2027" s="3" t="s">
        <v>1342</v>
      </c>
      <c r="D2027" s="3" t="s">
        <v>68</v>
      </c>
      <c r="E2027" s="3" t="s">
        <v>100</v>
      </c>
      <c r="F2027" s="3" t="s">
        <v>738</v>
      </c>
      <c r="G2027" s="7">
        <v>45894.89900999868</v>
      </c>
    </row>
    <row r="2028">
      <c r="A2028" s="3" t="s">
        <v>6963</v>
      </c>
      <c r="B2028" s="3" t="s">
        <v>197</v>
      </c>
      <c r="C2028" s="3" t="s">
        <v>1342</v>
      </c>
      <c r="D2028" s="3" t="s">
        <v>68</v>
      </c>
      <c r="E2028" s="3" t="s">
        <v>100</v>
      </c>
      <c r="F2028" s="3" t="s">
        <v>932</v>
      </c>
      <c r="G2028" s="7">
        <v>45894.9701848441</v>
      </c>
    </row>
    <row r="2029">
      <c r="A2029" s="3" t="s">
        <v>6965</v>
      </c>
      <c r="B2029" s="3" t="s">
        <v>678</v>
      </c>
      <c r="C2029" s="3" t="s">
        <v>1342</v>
      </c>
      <c r="D2029" s="3" t="s">
        <v>68</v>
      </c>
      <c r="E2029" s="3" t="s">
        <v>100</v>
      </c>
      <c r="F2029" s="3" t="s">
        <v>1797</v>
      </c>
      <c r="G2029" s="7">
        <v>45895.041359689516</v>
      </c>
    </row>
    <row r="2030">
      <c r="A2030" s="3" t="s">
        <v>6968</v>
      </c>
      <c r="B2030" s="3" t="s">
        <v>496</v>
      </c>
      <c r="C2030" s="3" t="s">
        <v>1095</v>
      </c>
      <c r="D2030" s="3" t="s">
        <v>68</v>
      </c>
      <c r="E2030" s="3" t="s">
        <v>100</v>
      </c>
      <c r="F2030" s="3" t="s">
        <v>716</v>
      </c>
      <c r="G2030" s="7">
        <v>45895.11253453493</v>
      </c>
    </row>
    <row r="2031">
      <c r="A2031" s="3" t="s">
        <v>6970</v>
      </c>
      <c r="B2031" s="3" t="s">
        <v>204</v>
      </c>
      <c r="C2031" s="3" t="s">
        <v>1342</v>
      </c>
      <c r="D2031" s="3" t="s">
        <v>68</v>
      </c>
      <c r="E2031" s="3" t="s">
        <v>100</v>
      </c>
      <c r="F2031" s="3" t="s">
        <v>2025</v>
      </c>
      <c r="G2031" s="7">
        <v>45895.18370938034</v>
      </c>
    </row>
    <row r="2032">
      <c r="A2032" s="3" t="s">
        <v>6972</v>
      </c>
      <c r="B2032" s="3" t="s">
        <v>204</v>
      </c>
      <c r="C2032" s="3" t="s">
        <v>1342</v>
      </c>
      <c r="D2032" s="3" t="s">
        <v>68</v>
      </c>
      <c r="E2032" s="3" t="s">
        <v>100</v>
      </c>
      <c r="F2032" s="3" t="s">
        <v>2025</v>
      </c>
      <c r="G2032" s="7">
        <v>45895.25488422576</v>
      </c>
    </row>
    <row r="2033">
      <c r="A2033" s="3" t="s">
        <v>6975</v>
      </c>
      <c r="B2033" s="3" t="s">
        <v>916</v>
      </c>
      <c r="C2033" s="3" t="s">
        <v>1095</v>
      </c>
      <c r="D2033" s="3" t="s">
        <v>68</v>
      </c>
      <c r="E2033" s="3" t="s">
        <v>100</v>
      </c>
      <c r="F2033" s="3" t="s">
        <v>971</v>
      </c>
      <c r="G2033" s="7">
        <v>45895.32605907117</v>
      </c>
    </row>
    <row r="2034">
      <c r="A2034" s="3" t="s">
        <v>6978</v>
      </c>
      <c r="B2034" s="3" t="s">
        <v>793</v>
      </c>
      <c r="C2034" s="3" t="s">
        <v>1342</v>
      </c>
      <c r="D2034" s="3" t="s">
        <v>68</v>
      </c>
      <c r="E2034" s="3" t="s">
        <v>100</v>
      </c>
      <c r="F2034" s="3" t="s">
        <v>2067</v>
      </c>
      <c r="G2034" s="7">
        <v>45895.397233916585</v>
      </c>
    </row>
    <row r="2035">
      <c r="A2035" s="3" t="s">
        <v>6981</v>
      </c>
      <c r="B2035" s="3" t="s">
        <v>629</v>
      </c>
      <c r="C2035" s="3" t="s">
        <v>1342</v>
      </c>
      <c r="D2035" s="3" t="s">
        <v>68</v>
      </c>
      <c r="E2035" s="3" t="s">
        <v>100</v>
      </c>
      <c r="F2035" s="3" t="s">
        <v>1563</v>
      </c>
      <c r="G2035" s="7">
        <v>45895.468408762004</v>
      </c>
    </row>
    <row r="2036">
      <c r="A2036" s="3" t="s">
        <v>6984</v>
      </c>
      <c r="B2036" s="3" t="s">
        <v>587</v>
      </c>
      <c r="C2036" s="3" t="s">
        <v>56</v>
      </c>
      <c r="D2036" s="3" t="s">
        <v>68</v>
      </c>
      <c r="E2036" s="3" t="s">
        <v>100</v>
      </c>
      <c r="F2036" s="3" t="s">
        <v>1048</v>
      </c>
      <c r="G2036" s="7">
        <v>45895.53958360742</v>
      </c>
    </row>
    <row r="2037">
      <c r="A2037" s="3" t="s">
        <v>6988</v>
      </c>
      <c r="B2037" s="3" t="s">
        <v>156</v>
      </c>
      <c r="C2037" s="3" t="s">
        <v>1342</v>
      </c>
      <c r="D2037" s="3" t="s">
        <v>181</v>
      </c>
      <c r="E2037" s="3" t="s">
        <v>45</v>
      </c>
      <c r="F2037" s="3" t="s">
        <v>673</v>
      </c>
      <c r="G2037" s="7">
        <v>45895.61075845283</v>
      </c>
    </row>
    <row r="2038">
      <c r="A2038" s="3" t="s">
        <v>6992</v>
      </c>
      <c r="B2038" s="3" t="s">
        <v>269</v>
      </c>
      <c r="C2038" s="3" t="s">
        <v>56</v>
      </c>
      <c r="D2038" s="3" t="s">
        <v>68</v>
      </c>
      <c r="E2038" s="3" t="s">
        <v>100</v>
      </c>
      <c r="F2038" s="3" t="s">
        <v>1053</v>
      </c>
      <c r="G2038" s="7">
        <v>45895.68193329825</v>
      </c>
    </row>
    <row r="2039">
      <c r="A2039" s="3" t="s">
        <v>6995</v>
      </c>
      <c r="B2039" s="3" t="s">
        <v>455</v>
      </c>
      <c r="C2039" s="3" t="s">
        <v>1342</v>
      </c>
      <c r="D2039" s="3" t="s">
        <v>68</v>
      </c>
      <c r="E2039" s="3" t="s">
        <v>100</v>
      </c>
      <c r="F2039" s="3" t="s">
        <v>1564</v>
      </c>
      <c r="G2039" s="7">
        <v>45895.75310814367</v>
      </c>
    </row>
    <row r="2040">
      <c r="A2040" s="3" t="s">
        <v>6998</v>
      </c>
      <c r="B2040" s="3" t="s">
        <v>485</v>
      </c>
      <c r="C2040" s="3" t="s">
        <v>1095</v>
      </c>
      <c r="D2040" s="3" t="s">
        <v>68</v>
      </c>
      <c r="E2040" s="3" t="s">
        <v>100</v>
      </c>
      <c r="F2040" s="3" t="s">
        <v>1983</v>
      </c>
      <c r="G2040" s="7">
        <v>45895.82428298907</v>
      </c>
    </row>
    <row r="2041">
      <c r="A2041" s="3" t="s">
        <v>7001</v>
      </c>
      <c r="B2041" s="3" t="s">
        <v>515</v>
      </c>
      <c r="C2041" s="3" t="s">
        <v>56</v>
      </c>
      <c r="D2041" s="3" t="s">
        <v>68</v>
      </c>
      <c r="E2041" s="3" t="s">
        <v>100</v>
      </c>
      <c r="F2041" s="3" t="s">
        <v>1055</v>
      </c>
      <c r="G2041" s="7">
        <v>45895.89545783449</v>
      </c>
    </row>
    <row r="2042">
      <c r="A2042" s="3" t="s">
        <v>7004</v>
      </c>
      <c r="B2042" s="3" t="s">
        <v>544</v>
      </c>
      <c r="C2042" s="3" t="s">
        <v>56</v>
      </c>
      <c r="D2042" s="3" t="s">
        <v>68</v>
      </c>
      <c r="E2042" s="3" t="s">
        <v>100</v>
      </c>
      <c r="F2042" s="3" t="s">
        <v>1058</v>
      </c>
      <c r="G2042" s="7">
        <v>45895.96663267991</v>
      </c>
    </row>
    <row r="2043">
      <c r="A2043" s="3" t="s">
        <v>7006</v>
      </c>
      <c r="B2043" s="3" t="s">
        <v>598</v>
      </c>
      <c r="C2043" s="3" t="s">
        <v>1342</v>
      </c>
      <c r="D2043" s="3" t="s">
        <v>68</v>
      </c>
      <c r="E2043" s="3" t="s">
        <v>100</v>
      </c>
      <c r="F2043" s="3" t="s">
        <v>2113</v>
      </c>
      <c r="G2043" s="7">
        <v>45896.037807525325</v>
      </c>
    </row>
    <row r="2044">
      <c r="A2044" s="3" t="s">
        <v>7008</v>
      </c>
      <c r="B2044" s="3" t="s">
        <v>299</v>
      </c>
      <c r="C2044" s="3" t="s">
        <v>56</v>
      </c>
      <c r="D2044" s="3" t="s">
        <v>68</v>
      </c>
      <c r="E2044" s="3" t="s">
        <v>100</v>
      </c>
      <c r="F2044" s="3" t="s">
        <v>1063</v>
      </c>
      <c r="G2044" s="7">
        <v>45896.10898237074</v>
      </c>
    </row>
    <row r="2045">
      <c r="A2045" s="3" t="s">
        <v>7011</v>
      </c>
      <c r="B2045" s="3" t="s">
        <v>593</v>
      </c>
      <c r="C2045" s="3" t="s">
        <v>1095</v>
      </c>
      <c r="D2045" s="3" t="s">
        <v>68</v>
      </c>
      <c r="E2045" s="3" t="s">
        <v>100</v>
      </c>
      <c r="F2045" s="3" t="s">
        <v>1598</v>
      </c>
      <c r="G2045" s="7">
        <v>45896.18015721616</v>
      </c>
    </row>
    <row r="2046">
      <c r="A2046" s="3" t="s">
        <v>7013</v>
      </c>
      <c r="B2046" s="3" t="s">
        <v>491</v>
      </c>
      <c r="C2046" s="3" t="s">
        <v>1342</v>
      </c>
      <c r="D2046" s="3" t="s">
        <v>68</v>
      </c>
      <c r="E2046" s="3" t="s">
        <v>100</v>
      </c>
      <c r="F2046" s="3" t="s">
        <v>2123</v>
      </c>
      <c r="G2046" s="7">
        <v>45896.25133206157</v>
      </c>
    </row>
    <row r="2047">
      <c r="A2047" s="3" t="s">
        <v>7016</v>
      </c>
      <c r="B2047" s="3" t="s">
        <v>344</v>
      </c>
      <c r="C2047" s="3" t="s">
        <v>56</v>
      </c>
      <c r="D2047" s="3" t="s">
        <v>68</v>
      </c>
      <c r="E2047" s="3" t="s">
        <v>100</v>
      </c>
      <c r="F2047" s="3" t="s">
        <v>1064</v>
      </c>
      <c r="G2047" s="7">
        <v>45896.32250690698</v>
      </c>
    </row>
    <row r="2048">
      <c r="A2048" s="3" t="s">
        <v>7020</v>
      </c>
      <c r="B2048" s="3" t="s">
        <v>527</v>
      </c>
      <c r="C2048" s="3" t="s">
        <v>1095</v>
      </c>
      <c r="D2048" s="3" t="s">
        <v>68</v>
      </c>
      <c r="E2048" s="3" t="s">
        <v>100</v>
      </c>
      <c r="F2048" s="3" t="s">
        <v>1993</v>
      </c>
      <c r="G2048" s="7">
        <v>45896.3936817524</v>
      </c>
    </row>
    <row r="2049">
      <c r="A2049" s="3" t="s">
        <v>7023</v>
      </c>
      <c r="B2049" s="3" t="s">
        <v>631</v>
      </c>
      <c r="C2049" s="3" t="s">
        <v>56</v>
      </c>
      <c r="D2049" s="3" t="s">
        <v>68</v>
      </c>
      <c r="E2049" s="3" t="s">
        <v>100</v>
      </c>
      <c r="F2049" s="3" t="s">
        <v>1066</v>
      </c>
      <c r="G2049" s="7">
        <v>45896.46485659781</v>
      </c>
    </row>
    <row r="2050">
      <c r="A2050" s="3" t="s">
        <v>7026</v>
      </c>
      <c r="B2050" s="3" t="s">
        <v>591</v>
      </c>
      <c r="C2050" s="3" t="s">
        <v>1342</v>
      </c>
      <c r="D2050" s="3" t="s">
        <v>68</v>
      </c>
      <c r="E2050" s="3" t="s">
        <v>100</v>
      </c>
      <c r="F2050" s="3" t="s">
        <v>721</v>
      </c>
      <c r="G2050" s="7">
        <v>45896.536031443226</v>
      </c>
    </row>
    <row r="2051">
      <c r="A2051" s="3" t="s">
        <v>7029</v>
      </c>
      <c r="B2051" s="3" t="s">
        <v>658</v>
      </c>
      <c r="C2051" s="3" t="s">
        <v>56</v>
      </c>
      <c r="D2051" s="3" t="s">
        <v>68</v>
      </c>
      <c r="E2051" s="3" t="s">
        <v>100</v>
      </c>
      <c r="F2051" s="3" t="s">
        <v>1069</v>
      </c>
      <c r="G2051" s="7">
        <v>45896.607206288645</v>
      </c>
    </row>
    <row r="2052">
      <c r="A2052" s="3" t="s">
        <v>7032</v>
      </c>
      <c r="B2052" s="3" t="s">
        <v>377</v>
      </c>
      <c r="C2052" s="3" t="s">
        <v>56</v>
      </c>
      <c r="D2052" s="3" t="s">
        <v>68</v>
      </c>
      <c r="E2052" s="3" t="s">
        <v>100</v>
      </c>
      <c r="F2052" s="3" t="s">
        <v>1070</v>
      </c>
      <c r="G2052" s="7">
        <v>45896.67838113406</v>
      </c>
    </row>
    <row r="2053">
      <c r="A2053" s="3" t="s">
        <v>7035</v>
      </c>
      <c r="B2053" s="3" t="s">
        <v>546</v>
      </c>
      <c r="C2053" s="3" t="s">
        <v>1095</v>
      </c>
      <c r="D2053" s="3" t="s">
        <v>68</v>
      </c>
      <c r="E2053" s="3" t="s">
        <v>100</v>
      </c>
      <c r="F2053" s="3" t="s">
        <v>1512</v>
      </c>
      <c r="G2053" s="7">
        <v>45896.74955597947</v>
      </c>
    </row>
    <row r="2054">
      <c r="A2054" s="3" t="s">
        <v>7038</v>
      </c>
      <c r="B2054" s="3" t="s">
        <v>326</v>
      </c>
      <c r="C2054" s="3" t="s">
        <v>1342</v>
      </c>
      <c r="D2054" s="3" t="s">
        <v>68</v>
      </c>
      <c r="E2054" s="3" t="s">
        <v>100</v>
      </c>
      <c r="F2054" s="3" t="s">
        <v>1730</v>
      </c>
      <c r="G2054" s="7">
        <v>45896.82073082489</v>
      </c>
    </row>
    <row r="2055">
      <c r="A2055" s="3" t="s">
        <v>7041</v>
      </c>
      <c r="B2055" s="3" t="s">
        <v>326</v>
      </c>
      <c r="C2055" s="3" t="s">
        <v>1342</v>
      </c>
      <c r="D2055" s="3" t="s">
        <v>68</v>
      </c>
      <c r="E2055" s="3" t="s">
        <v>100</v>
      </c>
      <c r="F2055" s="3" t="s">
        <v>1730</v>
      </c>
      <c r="G2055" s="7">
        <v>45896.89190567031</v>
      </c>
    </row>
    <row r="2056">
      <c r="A2056" s="3" t="s">
        <v>7046</v>
      </c>
      <c r="B2056" s="3" t="s">
        <v>598</v>
      </c>
      <c r="C2056" s="3" t="s">
        <v>1095</v>
      </c>
      <c r="D2056" s="3" t="s">
        <v>68</v>
      </c>
      <c r="E2056" s="3" t="s">
        <v>100</v>
      </c>
      <c r="F2056" s="3" t="s">
        <v>2113</v>
      </c>
      <c r="G2056" s="7">
        <v>45896.963080515714</v>
      </c>
    </row>
    <row r="2057">
      <c r="A2057" s="3" t="s">
        <v>7049</v>
      </c>
      <c r="B2057" s="3" t="s">
        <v>903</v>
      </c>
      <c r="C2057" s="3" t="s">
        <v>1095</v>
      </c>
      <c r="D2057" s="3" t="s">
        <v>68</v>
      </c>
      <c r="E2057" s="3" t="s">
        <v>100</v>
      </c>
      <c r="F2057" s="3" t="s">
        <v>1667</v>
      </c>
      <c r="G2057" s="7">
        <v>45897.03425536113</v>
      </c>
    </row>
    <row r="2058">
      <c r="A2058" s="3" t="s">
        <v>7052</v>
      </c>
      <c r="B2058" s="3" t="s">
        <v>493</v>
      </c>
      <c r="C2058" s="3" t="s">
        <v>56</v>
      </c>
      <c r="D2058" s="3" t="s">
        <v>68</v>
      </c>
      <c r="E2058" s="3" t="s">
        <v>100</v>
      </c>
      <c r="F2058" s="3" t="s">
        <v>1072</v>
      </c>
      <c r="G2058" s="7">
        <v>45897.10543020655</v>
      </c>
    </row>
    <row r="2059">
      <c r="A2059" s="3" t="s">
        <v>7055</v>
      </c>
      <c r="B2059" s="3" t="s">
        <v>171</v>
      </c>
      <c r="C2059" s="3" t="s">
        <v>1342</v>
      </c>
      <c r="D2059" s="3" t="s">
        <v>68</v>
      </c>
      <c r="E2059" s="3" t="s">
        <v>100</v>
      </c>
      <c r="F2059" s="3" t="s">
        <v>1835</v>
      </c>
      <c r="G2059" s="7">
        <v>45897.176605051965</v>
      </c>
    </row>
    <row r="2060">
      <c r="A2060" s="3" t="s">
        <v>7058</v>
      </c>
      <c r="B2060" s="3" t="s">
        <v>296</v>
      </c>
      <c r="C2060" s="3" t="s">
        <v>56</v>
      </c>
      <c r="D2060" s="3" t="s">
        <v>68</v>
      </c>
      <c r="E2060" s="3" t="s">
        <v>100</v>
      </c>
      <c r="F2060" s="3" t="s">
        <v>1074</v>
      </c>
      <c r="G2060" s="7">
        <v>45897.24777989738</v>
      </c>
    </row>
    <row r="2061">
      <c r="A2061" s="3" t="s">
        <v>7061</v>
      </c>
      <c r="B2061" s="3" t="s">
        <v>135</v>
      </c>
      <c r="C2061" s="3" t="s">
        <v>56</v>
      </c>
      <c r="D2061" s="3" t="s">
        <v>68</v>
      </c>
      <c r="E2061" s="3" t="s">
        <v>100</v>
      </c>
      <c r="F2061" s="3" t="s">
        <v>1076</v>
      </c>
      <c r="G2061" s="7">
        <v>45897.3189547428</v>
      </c>
    </row>
    <row r="2062">
      <c r="A2062" s="3" t="s">
        <v>7065</v>
      </c>
      <c r="B2062" s="3" t="s">
        <v>916</v>
      </c>
      <c r="C2062" s="3" t="s">
        <v>56</v>
      </c>
      <c r="D2062" s="3" t="s">
        <v>68</v>
      </c>
      <c r="E2062" s="3" t="s">
        <v>100</v>
      </c>
      <c r="F2062" s="3" t="s">
        <v>1079</v>
      </c>
      <c r="G2062" s="7">
        <v>45897.39012958821</v>
      </c>
    </row>
    <row r="2063">
      <c r="A2063" s="3" t="s">
        <v>7067</v>
      </c>
      <c r="B2063" s="3" t="s">
        <v>805</v>
      </c>
      <c r="C2063" s="3" t="s">
        <v>56</v>
      </c>
      <c r="D2063" s="3" t="s">
        <v>68</v>
      </c>
      <c r="E2063" s="3" t="s">
        <v>100</v>
      </c>
      <c r="F2063" s="3" t="s">
        <v>1081</v>
      </c>
      <c r="G2063" s="7">
        <v>45897.46130443362</v>
      </c>
    </row>
    <row r="2064">
      <c r="A2064" s="3" t="s">
        <v>7070</v>
      </c>
      <c r="B2064" s="3" t="s">
        <v>211</v>
      </c>
      <c r="C2064" s="3" t="s">
        <v>56</v>
      </c>
      <c r="D2064" s="3" t="s">
        <v>68</v>
      </c>
      <c r="E2064" s="3" t="s">
        <v>100</v>
      </c>
      <c r="F2064" s="3" t="s">
        <v>1083</v>
      </c>
      <c r="G2064" s="7">
        <v>45897.53247927904</v>
      </c>
    </row>
    <row r="2065">
      <c r="A2065" s="3" t="s">
        <v>7072</v>
      </c>
      <c r="B2065" s="3" t="s">
        <v>796</v>
      </c>
      <c r="C2065" s="3" t="s">
        <v>1342</v>
      </c>
      <c r="D2065" s="3" t="s">
        <v>68</v>
      </c>
      <c r="E2065" s="3" t="s">
        <v>100</v>
      </c>
      <c r="F2065" s="3" t="s">
        <v>991</v>
      </c>
      <c r="G2065" s="7">
        <v>45897.603654124454</v>
      </c>
    </row>
    <row r="2066">
      <c r="A2066" s="3" t="s">
        <v>7074</v>
      </c>
      <c r="B2066" s="3" t="s">
        <v>135</v>
      </c>
      <c r="C2066" s="3" t="s">
        <v>1095</v>
      </c>
      <c r="D2066" s="3" t="s">
        <v>68</v>
      </c>
      <c r="E2066" s="3" t="s">
        <v>100</v>
      </c>
      <c r="F2066" s="3" t="s">
        <v>1076</v>
      </c>
      <c r="G2066" s="7">
        <v>45897.674828969866</v>
      </c>
    </row>
    <row r="2067">
      <c r="A2067" s="3" t="s">
        <v>7077</v>
      </c>
      <c r="B2067" s="3" t="s">
        <v>326</v>
      </c>
      <c r="C2067" s="3" t="s">
        <v>1342</v>
      </c>
      <c r="D2067" s="3" t="s">
        <v>68</v>
      </c>
      <c r="E2067" s="3" t="s">
        <v>100</v>
      </c>
      <c r="F2067" s="3" t="s">
        <v>1730</v>
      </c>
      <c r="G2067" s="7">
        <v>45897.746003815286</v>
      </c>
    </row>
    <row r="2068">
      <c r="A2068" s="3" t="s">
        <v>7080</v>
      </c>
      <c r="B2068" s="3" t="s">
        <v>481</v>
      </c>
      <c r="C2068" s="3" t="s">
        <v>1095</v>
      </c>
      <c r="D2068" s="3" t="s">
        <v>181</v>
      </c>
      <c r="E2068" s="3" t="s">
        <v>45</v>
      </c>
      <c r="F2068" s="3" t="s">
        <v>518</v>
      </c>
      <c r="G2068" s="7">
        <v>45897.8171786607</v>
      </c>
    </row>
    <row r="2069">
      <c r="A2069" s="3" t="s">
        <v>7083</v>
      </c>
      <c r="B2069" s="3" t="s">
        <v>747</v>
      </c>
      <c r="C2069" s="3" t="s">
        <v>1342</v>
      </c>
      <c r="D2069" s="3" t="s">
        <v>181</v>
      </c>
      <c r="E2069" s="3" t="s">
        <v>45</v>
      </c>
      <c r="F2069" s="3" t="s">
        <v>1786</v>
      </c>
      <c r="G2069" s="7">
        <v>45897.88835350611</v>
      </c>
    </row>
    <row r="2070">
      <c r="A2070" s="3" t="s">
        <v>7086</v>
      </c>
      <c r="B2070" s="3" t="s">
        <v>1021</v>
      </c>
      <c r="C2070" s="3" t="s">
        <v>1095</v>
      </c>
      <c r="D2070" s="3" t="s">
        <v>68</v>
      </c>
      <c r="E2070" s="3" t="s">
        <v>100</v>
      </c>
      <c r="F2070" s="3" t="s">
        <v>2018</v>
      </c>
      <c r="G2070" s="7">
        <v>45897.95952835153</v>
      </c>
    </row>
    <row r="2071">
      <c r="A2071" s="3" t="s">
        <v>7088</v>
      </c>
      <c r="B2071" s="3" t="s">
        <v>929</v>
      </c>
      <c r="C2071" s="3" t="s">
        <v>1342</v>
      </c>
      <c r="D2071" s="3" t="s">
        <v>68</v>
      </c>
      <c r="E2071" s="3" t="s">
        <v>100</v>
      </c>
      <c r="F2071" s="3" t="s">
        <v>1161</v>
      </c>
      <c r="G2071" s="7">
        <v>45898.03070319695</v>
      </c>
    </row>
    <row r="2072">
      <c r="A2072" s="3" t="s">
        <v>7090</v>
      </c>
      <c r="B2072" s="3" t="s">
        <v>900</v>
      </c>
      <c r="C2072" s="3" t="s">
        <v>1342</v>
      </c>
      <c r="D2072" s="3" t="s">
        <v>181</v>
      </c>
      <c r="E2072" s="3" t="s">
        <v>45</v>
      </c>
      <c r="F2072" s="3" t="s">
        <v>942</v>
      </c>
      <c r="G2072" s="7">
        <v>45898.101878042355</v>
      </c>
    </row>
    <row r="2073">
      <c r="A2073" s="3" t="s">
        <v>7093</v>
      </c>
      <c r="B2073" s="3" t="s">
        <v>333</v>
      </c>
      <c r="C2073" s="3" t="s">
        <v>1095</v>
      </c>
      <c r="D2073" s="3" t="s">
        <v>68</v>
      </c>
      <c r="E2073" s="3" t="s">
        <v>100</v>
      </c>
      <c r="F2073" s="3" t="s">
        <v>2083</v>
      </c>
      <c r="G2073" s="7">
        <v>45898.173052887774</v>
      </c>
    </row>
    <row r="2074">
      <c r="A2074" s="3" t="s">
        <v>7097</v>
      </c>
      <c r="B2074" s="3" t="s">
        <v>151</v>
      </c>
      <c r="C2074" s="3" t="s">
        <v>56</v>
      </c>
      <c r="D2074" s="3" t="s">
        <v>68</v>
      </c>
      <c r="E2074" s="3" t="s">
        <v>100</v>
      </c>
      <c r="F2074" s="3" t="s">
        <v>1086</v>
      </c>
      <c r="G2074" s="7">
        <v>45898.244227733194</v>
      </c>
    </row>
    <row r="2075">
      <c r="A2075" s="3" t="s">
        <v>7100</v>
      </c>
      <c r="B2075" s="3" t="s">
        <v>920</v>
      </c>
      <c r="C2075" s="3" t="s">
        <v>1342</v>
      </c>
      <c r="D2075" s="3" t="s">
        <v>68</v>
      </c>
      <c r="E2075" s="3" t="s">
        <v>100</v>
      </c>
      <c r="F2075" s="3" t="s">
        <v>1039</v>
      </c>
      <c r="G2075" s="7">
        <v>45898.315402578606</v>
      </c>
    </row>
    <row r="2076">
      <c r="A2076" s="3" t="s">
        <v>7102</v>
      </c>
      <c r="B2076" s="3" t="s">
        <v>135</v>
      </c>
      <c r="C2076" s="3" t="s">
        <v>56</v>
      </c>
      <c r="D2076" s="3" t="s">
        <v>68</v>
      </c>
      <c r="E2076" s="3" t="s">
        <v>100</v>
      </c>
      <c r="F2076" s="3" t="s">
        <v>1088</v>
      </c>
      <c r="G2076" s="7">
        <v>45898.38657742402</v>
      </c>
    </row>
    <row r="2077">
      <c r="A2077" s="3" t="s">
        <v>7105</v>
      </c>
      <c r="B2077" s="3" t="s">
        <v>939</v>
      </c>
      <c r="C2077" s="3" t="s">
        <v>1095</v>
      </c>
      <c r="D2077" s="3" t="s">
        <v>68</v>
      </c>
      <c r="E2077" s="3" t="s">
        <v>100</v>
      </c>
      <c r="F2077" s="3" t="s">
        <v>1291</v>
      </c>
      <c r="G2077" s="7">
        <v>45898.45775226944</v>
      </c>
    </row>
    <row r="2078">
      <c r="A2078" s="3" t="s">
        <v>7108</v>
      </c>
      <c r="B2078" s="3" t="s">
        <v>747</v>
      </c>
      <c r="C2078" s="3" t="s">
        <v>1342</v>
      </c>
      <c r="D2078" s="3" t="s">
        <v>68</v>
      </c>
      <c r="E2078" s="3" t="s">
        <v>100</v>
      </c>
      <c r="F2078" s="3" t="s">
        <v>1786</v>
      </c>
      <c r="G2078" s="7">
        <v>45898.52892711485</v>
      </c>
    </row>
    <row r="2079">
      <c r="A2079" s="3" t="s">
        <v>7111</v>
      </c>
      <c r="B2079" s="3" t="s">
        <v>130</v>
      </c>
      <c r="C2079" s="3" t="s">
        <v>1342</v>
      </c>
      <c r="D2079" s="3" t="s">
        <v>68</v>
      </c>
      <c r="E2079" s="3" t="s">
        <v>100</v>
      </c>
      <c r="F2079" s="3" t="s">
        <v>1025</v>
      </c>
      <c r="G2079" s="7">
        <v>45898.60010196026</v>
      </c>
    </row>
    <row r="2080">
      <c r="A2080" s="3" t="s">
        <v>7115</v>
      </c>
      <c r="B2080" s="3" t="s">
        <v>197</v>
      </c>
      <c r="C2080" s="3" t="s">
        <v>1342</v>
      </c>
      <c r="D2080" s="3" t="s">
        <v>68</v>
      </c>
      <c r="E2080" s="3" t="s">
        <v>100</v>
      </c>
      <c r="F2080" s="3" t="s">
        <v>932</v>
      </c>
      <c r="G2080" s="7">
        <v>45898.67127680568</v>
      </c>
    </row>
    <row r="2081">
      <c r="A2081" s="3" t="s">
        <v>7118</v>
      </c>
      <c r="B2081" s="3" t="s">
        <v>341</v>
      </c>
      <c r="C2081" s="3" t="s">
        <v>1342</v>
      </c>
      <c r="D2081" s="3" t="s">
        <v>195</v>
      </c>
      <c r="E2081" s="3" t="s">
        <v>45</v>
      </c>
      <c r="F2081" s="3" t="s">
        <v>2001</v>
      </c>
      <c r="G2081" s="7">
        <v>45898.7424516511</v>
      </c>
    </row>
    <row r="2082">
      <c r="A2082" s="3" t="s">
        <v>7121</v>
      </c>
      <c r="B2082" s="3" t="s">
        <v>419</v>
      </c>
      <c r="C2082" s="3" t="s">
        <v>1342</v>
      </c>
      <c r="D2082" s="3" t="s">
        <v>68</v>
      </c>
      <c r="E2082" s="3" t="s">
        <v>100</v>
      </c>
      <c r="F2082" s="3" t="s">
        <v>983</v>
      </c>
      <c r="G2082" s="7">
        <v>45898.81362649651</v>
      </c>
    </row>
    <row r="2083">
      <c r="A2083" s="3" t="s">
        <v>7125</v>
      </c>
      <c r="B2083" s="3" t="s">
        <v>219</v>
      </c>
      <c r="C2083" s="3" t="s">
        <v>1342</v>
      </c>
      <c r="D2083" s="3" t="s">
        <v>68</v>
      </c>
      <c r="E2083" s="3" t="s">
        <v>100</v>
      </c>
      <c r="F2083" s="3" t="s">
        <v>728</v>
      </c>
      <c r="G2083" s="7">
        <v>45898.88480134193</v>
      </c>
    </row>
    <row r="2084">
      <c r="A2084" s="3" t="s">
        <v>7128</v>
      </c>
      <c r="B2084" s="3" t="s">
        <v>704</v>
      </c>
      <c r="C2084" s="3" t="s">
        <v>1342</v>
      </c>
      <c r="D2084" s="3" t="s">
        <v>68</v>
      </c>
      <c r="E2084" s="3" t="s">
        <v>100</v>
      </c>
      <c r="F2084" s="3" t="s">
        <v>2118</v>
      </c>
      <c r="G2084" s="7">
        <v>45898.95597618734</v>
      </c>
    </row>
    <row r="2085">
      <c r="A2085" s="3" t="s">
        <v>7131</v>
      </c>
      <c r="B2085" s="3" t="s">
        <v>388</v>
      </c>
      <c r="C2085" s="3" t="s">
        <v>1342</v>
      </c>
      <c r="D2085" s="3" t="s">
        <v>68</v>
      </c>
      <c r="E2085" s="3" t="s">
        <v>100</v>
      </c>
      <c r="F2085" s="3" t="s">
        <v>495</v>
      </c>
      <c r="G2085" s="7">
        <v>45899.02715103276</v>
      </c>
    </row>
    <row r="2086">
      <c r="A2086" s="3" t="s">
        <v>7134</v>
      </c>
      <c r="B2086" s="3" t="s">
        <v>976</v>
      </c>
      <c r="C2086" s="3" t="s">
        <v>1342</v>
      </c>
      <c r="D2086" s="3" t="s">
        <v>68</v>
      </c>
      <c r="E2086" s="3" t="s">
        <v>100</v>
      </c>
      <c r="F2086" s="3" t="s">
        <v>762</v>
      </c>
      <c r="G2086" s="7">
        <v>45899.09832587817</v>
      </c>
    </row>
    <row r="2087">
      <c r="A2087" s="3" t="s">
        <v>7137</v>
      </c>
      <c r="B2087" s="3" t="s">
        <v>539</v>
      </c>
      <c r="C2087" s="3" t="s">
        <v>56</v>
      </c>
      <c r="D2087" s="3" t="s">
        <v>68</v>
      </c>
      <c r="E2087" s="3" t="s">
        <v>100</v>
      </c>
      <c r="F2087" s="3" t="s">
        <v>1094</v>
      </c>
      <c r="G2087" s="7">
        <v>45899.16950072359</v>
      </c>
    </row>
    <row r="2088">
      <c r="A2088" s="3" t="s">
        <v>7140</v>
      </c>
      <c r="B2088" s="3" t="s">
        <v>619</v>
      </c>
      <c r="C2088" s="3" t="s">
        <v>1095</v>
      </c>
      <c r="D2088" s="3" t="s">
        <v>68</v>
      </c>
      <c r="E2088" s="3" t="s">
        <v>100</v>
      </c>
      <c r="F2088" s="3" t="s">
        <v>950</v>
      </c>
      <c r="G2088" s="7">
        <v>45899.240675568995</v>
      </c>
    </row>
    <row r="2089">
      <c r="A2089" s="3" t="s">
        <v>7143</v>
      </c>
      <c r="B2089" s="3" t="s">
        <v>569</v>
      </c>
      <c r="C2089" s="3" t="s">
        <v>1342</v>
      </c>
      <c r="D2089" s="3" t="s">
        <v>68</v>
      </c>
      <c r="E2089" s="3" t="s">
        <v>100</v>
      </c>
      <c r="F2089" s="3" t="s">
        <v>1627</v>
      </c>
      <c r="G2089" s="7">
        <v>45899.311850414415</v>
      </c>
    </row>
    <row r="2090">
      <c r="A2090" s="3" t="s">
        <v>7146</v>
      </c>
      <c r="B2090" s="3" t="s">
        <v>466</v>
      </c>
      <c r="C2090" s="3" t="s">
        <v>1095</v>
      </c>
      <c r="D2090" s="3" t="s">
        <v>68</v>
      </c>
      <c r="E2090" s="3" t="s">
        <v>100</v>
      </c>
      <c r="F2090" s="3" t="s">
        <v>1114</v>
      </c>
      <c r="G2090" s="7">
        <v>45899.383025259835</v>
      </c>
    </row>
    <row r="2091">
      <c r="A2091" s="3" t="s">
        <v>7150</v>
      </c>
      <c r="B2091" s="3" t="s">
        <v>746</v>
      </c>
      <c r="C2091" s="3" t="s">
        <v>1342</v>
      </c>
      <c r="D2091" s="3" t="s">
        <v>68</v>
      </c>
      <c r="E2091" s="3" t="s">
        <v>100</v>
      </c>
      <c r="F2091" s="3" t="s">
        <v>1837</v>
      </c>
      <c r="G2091" s="7">
        <v>45899.45420010525</v>
      </c>
    </row>
    <row r="2092">
      <c r="A2092" s="3" t="s">
        <v>7153</v>
      </c>
      <c r="B2092" s="3" t="s">
        <v>336</v>
      </c>
      <c r="C2092" s="3" t="s">
        <v>1342</v>
      </c>
      <c r="D2092" s="3" t="s">
        <v>68</v>
      </c>
      <c r="E2092" s="3" t="s">
        <v>100</v>
      </c>
      <c r="F2092" s="3" t="s">
        <v>653</v>
      </c>
      <c r="G2092" s="7">
        <v>45899.52537495066</v>
      </c>
    </row>
    <row r="2093">
      <c r="A2093" s="3" t="s">
        <v>7157</v>
      </c>
      <c r="B2093" s="3" t="s">
        <v>151</v>
      </c>
      <c r="C2093" s="3" t="s">
        <v>1342</v>
      </c>
      <c r="D2093" s="3" t="s">
        <v>181</v>
      </c>
      <c r="E2093" s="3" t="s">
        <v>45</v>
      </c>
      <c r="F2093" s="3" t="s">
        <v>1086</v>
      </c>
      <c r="G2093" s="7">
        <v>45899.59654979608</v>
      </c>
    </row>
    <row r="2094">
      <c r="A2094" s="3" t="s">
        <v>7160</v>
      </c>
      <c r="B2094" s="3" t="s">
        <v>430</v>
      </c>
      <c r="C2094" s="3" t="s">
        <v>1342</v>
      </c>
      <c r="D2094" s="3" t="s">
        <v>68</v>
      </c>
      <c r="E2094" s="3" t="s">
        <v>100</v>
      </c>
      <c r="F2094" s="3" t="s">
        <v>583</v>
      </c>
      <c r="G2094" s="7">
        <v>45899.66772464149</v>
      </c>
    </row>
    <row r="2095">
      <c r="A2095" s="3" t="s">
        <v>7163</v>
      </c>
      <c r="B2095" s="3" t="s">
        <v>598</v>
      </c>
      <c r="C2095" s="3" t="s">
        <v>56</v>
      </c>
      <c r="D2095" s="3" t="s">
        <v>68</v>
      </c>
      <c r="E2095" s="3" t="s">
        <v>100</v>
      </c>
      <c r="F2095" s="3" t="s">
        <v>1096</v>
      </c>
      <c r="G2095" s="7">
        <v>45899.7388994869</v>
      </c>
    </row>
    <row r="2096">
      <c r="A2096" s="3" t="s">
        <v>7168</v>
      </c>
      <c r="B2096" s="3" t="s">
        <v>148</v>
      </c>
      <c r="C2096" s="3" t="s">
        <v>56</v>
      </c>
      <c r="D2096" s="3" t="s">
        <v>68</v>
      </c>
      <c r="E2096" s="3" t="s">
        <v>100</v>
      </c>
      <c r="F2096" s="3" t="s">
        <v>1099</v>
      </c>
      <c r="G2096" s="7">
        <v>45899.81007433232</v>
      </c>
    </row>
    <row r="2097">
      <c r="A2097" s="3" t="s">
        <v>7171</v>
      </c>
      <c r="B2097" s="3" t="s">
        <v>860</v>
      </c>
      <c r="C2097" s="3" t="s">
        <v>1095</v>
      </c>
      <c r="D2097" s="3" t="s">
        <v>68</v>
      </c>
      <c r="E2097" s="3" t="s">
        <v>100</v>
      </c>
      <c r="F2097" s="3" t="s">
        <v>1751</v>
      </c>
      <c r="G2097" s="7">
        <v>45899.88124917774</v>
      </c>
    </row>
    <row r="2098">
      <c r="A2098" s="3" t="s">
        <v>7176</v>
      </c>
      <c r="B2098" s="3" t="s">
        <v>845</v>
      </c>
      <c r="C2098" s="3" t="s">
        <v>56</v>
      </c>
      <c r="D2098" s="3" t="s">
        <v>68</v>
      </c>
      <c r="E2098" s="3" t="s">
        <v>100</v>
      </c>
      <c r="F2098" s="3" t="s">
        <v>1100</v>
      </c>
      <c r="G2098" s="7">
        <v>45899.95242402315</v>
      </c>
    </row>
    <row r="2099">
      <c r="A2099" s="3" t="s">
        <v>7179</v>
      </c>
      <c r="B2099" s="3" t="s">
        <v>911</v>
      </c>
      <c r="C2099" s="3" t="s">
        <v>1095</v>
      </c>
      <c r="D2099" s="3" t="s">
        <v>68</v>
      </c>
      <c r="E2099" s="3" t="s">
        <v>100</v>
      </c>
      <c r="F2099" s="3" t="s">
        <v>1903</v>
      </c>
      <c r="G2099" s="7">
        <v>45900.02359886857</v>
      </c>
    </row>
    <row r="2100">
      <c r="A2100" s="3" t="s">
        <v>7184</v>
      </c>
      <c r="B2100" s="3" t="s">
        <v>165</v>
      </c>
      <c r="C2100" s="3" t="s">
        <v>1095</v>
      </c>
      <c r="D2100" s="3" t="s">
        <v>68</v>
      </c>
      <c r="E2100" s="3" t="s">
        <v>100</v>
      </c>
      <c r="F2100" s="3" t="s">
        <v>2020</v>
      </c>
      <c r="G2100" s="7">
        <v>45900.09477371398</v>
      </c>
    </row>
    <row r="2101">
      <c r="A2101" s="3" t="s">
        <v>7186</v>
      </c>
      <c r="B2101" s="3" t="s">
        <v>1049</v>
      </c>
      <c r="C2101" s="3" t="s">
        <v>1342</v>
      </c>
      <c r="D2101" s="3" t="s">
        <v>181</v>
      </c>
      <c r="E2101" s="3" t="s">
        <v>45</v>
      </c>
      <c r="F2101" s="3" t="s">
        <v>509</v>
      </c>
      <c r="G2101" s="7">
        <v>45900.1659485594</v>
      </c>
    </row>
    <row r="2102">
      <c r="A2102" s="3" t="s">
        <v>7188</v>
      </c>
      <c r="B2102" s="3" t="s">
        <v>544</v>
      </c>
      <c r="C2102" s="3" t="s">
        <v>1342</v>
      </c>
      <c r="D2102" s="3" t="s">
        <v>68</v>
      </c>
      <c r="E2102" s="3" t="s">
        <v>100</v>
      </c>
      <c r="F2102" s="3" t="s">
        <v>1058</v>
      </c>
      <c r="G2102" s="7">
        <v>45900.23712340481</v>
      </c>
    </row>
    <row r="2103">
      <c r="A2103" s="3" t="s">
        <v>7190</v>
      </c>
      <c r="B2103" s="3" t="s">
        <v>800</v>
      </c>
      <c r="C2103" s="3" t="s">
        <v>1095</v>
      </c>
      <c r="D2103" s="3" t="s">
        <v>68</v>
      </c>
      <c r="E2103" s="3" t="s">
        <v>100</v>
      </c>
      <c r="F2103" s="3" t="s">
        <v>1408</v>
      </c>
      <c r="G2103" s="7">
        <v>45900.30829825023</v>
      </c>
    </row>
    <row r="2104">
      <c r="A2104" s="3" t="s">
        <v>7192</v>
      </c>
      <c r="B2104" s="3" t="s">
        <v>496</v>
      </c>
      <c r="C2104" s="3" t="s">
        <v>56</v>
      </c>
      <c r="D2104" s="3" t="s">
        <v>195</v>
      </c>
      <c r="E2104" s="3" t="s">
        <v>45</v>
      </c>
      <c r="F2104" s="3" t="s">
        <v>45</v>
      </c>
      <c r="G2104" s="7">
        <v>45900.37947309564</v>
      </c>
    </row>
    <row r="2105">
      <c r="A2105" s="3" t="s">
        <v>7194</v>
      </c>
      <c r="B2105" s="3" t="s">
        <v>400</v>
      </c>
      <c r="C2105" s="3" t="s">
        <v>1342</v>
      </c>
      <c r="D2105" s="3" t="s">
        <v>68</v>
      </c>
      <c r="E2105" s="3" t="s">
        <v>100</v>
      </c>
      <c r="F2105" s="3" t="s">
        <v>2103</v>
      </c>
      <c r="G2105" s="7">
        <v>45900.450647941056</v>
      </c>
    </row>
    <row r="2106">
      <c r="A2106" s="3" t="s">
        <v>7196</v>
      </c>
      <c r="B2106" s="3" t="s">
        <v>316</v>
      </c>
      <c r="C2106" s="3" t="s">
        <v>1342</v>
      </c>
      <c r="D2106" s="3" t="s">
        <v>68</v>
      </c>
      <c r="E2106" s="3" t="s">
        <v>100</v>
      </c>
      <c r="F2106" s="3" t="s">
        <v>1694</v>
      </c>
      <c r="G2106" s="7">
        <v>45900.521822786475</v>
      </c>
    </row>
    <row r="2107">
      <c r="A2107" s="3" t="s">
        <v>7198</v>
      </c>
      <c r="B2107" s="3" t="s">
        <v>162</v>
      </c>
      <c r="C2107" s="3" t="s">
        <v>56</v>
      </c>
      <c r="D2107" s="3" t="s">
        <v>68</v>
      </c>
      <c r="E2107" s="3" t="s">
        <v>100</v>
      </c>
      <c r="F2107" s="3" t="s">
        <v>1103</v>
      </c>
      <c r="G2107" s="7">
        <v>45900.59299763189</v>
      </c>
    </row>
    <row r="2108">
      <c r="A2108" s="3" t="s">
        <v>7202</v>
      </c>
      <c r="B2108" s="3" t="s">
        <v>616</v>
      </c>
      <c r="C2108" s="3" t="s">
        <v>1342</v>
      </c>
      <c r="D2108" s="3" t="s">
        <v>68</v>
      </c>
      <c r="E2108" s="3" t="s">
        <v>100</v>
      </c>
      <c r="F2108" s="3" t="s">
        <v>1842</v>
      </c>
      <c r="G2108" s="7">
        <v>45900.6641724773</v>
      </c>
    </row>
    <row r="2109">
      <c r="A2109" s="3" t="s">
        <v>7206</v>
      </c>
      <c r="B2109" s="3" t="s">
        <v>287</v>
      </c>
      <c r="C2109" s="3" t="s">
        <v>1342</v>
      </c>
      <c r="D2109" s="3" t="s">
        <v>68</v>
      </c>
      <c r="E2109" s="3" t="s">
        <v>100</v>
      </c>
      <c r="F2109" s="3" t="s">
        <v>553</v>
      </c>
      <c r="G2109" s="7">
        <v>45900.73534732272</v>
      </c>
    </row>
    <row r="2110">
      <c r="A2110" s="3" t="s">
        <v>7208</v>
      </c>
      <c r="B2110" s="3" t="s">
        <v>698</v>
      </c>
      <c r="C2110" s="3" t="s">
        <v>56</v>
      </c>
      <c r="D2110" s="3" t="s">
        <v>68</v>
      </c>
      <c r="E2110" s="3" t="s">
        <v>100</v>
      </c>
      <c r="F2110" s="3" t="s">
        <v>1104</v>
      </c>
      <c r="G2110" s="7">
        <v>45900.80652216813</v>
      </c>
    </row>
    <row r="2111">
      <c r="A2111" s="3" t="s">
        <v>7210</v>
      </c>
      <c r="B2111" s="3" t="s">
        <v>742</v>
      </c>
      <c r="C2111" s="3" t="s">
        <v>56</v>
      </c>
      <c r="D2111" s="3" t="s">
        <v>195</v>
      </c>
      <c r="E2111" s="3" t="s">
        <v>45</v>
      </c>
      <c r="F2111" s="3" t="s">
        <v>45</v>
      </c>
      <c r="G2111" s="7">
        <v>45900.877697013544</v>
      </c>
    </row>
    <row r="2112">
      <c r="A2112" s="3" t="s">
        <v>7212</v>
      </c>
      <c r="B2112" s="3" t="s">
        <v>717</v>
      </c>
      <c r="C2112" s="3" t="s">
        <v>1342</v>
      </c>
      <c r="D2112" s="3" t="s">
        <v>68</v>
      </c>
      <c r="E2112" s="3" t="s">
        <v>100</v>
      </c>
      <c r="F2112" s="3" t="s">
        <v>1583</v>
      </c>
      <c r="G2112" s="7">
        <v>45900.948871858964</v>
      </c>
    </row>
    <row r="2113">
      <c r="A2113" s="3" t="s">
        <v>7215</v>
      </c>
      <c r="B2113" s="3" t="s">
        <v>816</v>
      </c>
      <c r="C2113" s="3" t="s">
        <v>1095</v>
      </c>
      <c r="D2113" s="3" t="s">
        <v>68</v>
      </c>
      <c r="E2113" s="3" t="s">
        <v>100</v>
      </c>
      <c r="F2113" s="3" t="s">
        <v>954</v>
      </c>
      <c r="G2113" s="7">
        <v>45901.02004670438</v>
      </c>
    </row>
    <row r="2114">
      <c r="A2114" s="3" t="s">
        <v>7219</v>
      </c>
      <c r="B2114" s="3" t="s">
        <v>822</v>
      </c>
      <c r="C2114" s="3" t="s">
        <v>1095</v>
      </c>
      <c r="D2114" s="3" t="s">
        <v>68</v>
      </c>
      <c r="E2114" s="3" t="s">
        <v>100</v>
      </c>
      <c r="F2114" s="3" t="s">
        <v>618</v>
      </c>
      <c r="G2114" s="7">
        <v>45901.09122154979</v>
      </c>
    </row>
    <row r="2115">
      <c r="A2115" s="3" t="s">
        <v>7222</v>
      </c>
      <c r="B2115" s="3" t="s">
        <v>197</v>
      </c>
      <c r="C2115" s="3" t="s">
        <v>1095</v>
      </c>
      <c r="D2115" s="3" t="s">
        <v>195</v>
      </c>
      <c r="E2115" s="3" t="s">
        <v>45</v>
      </c>
      <c r="F2115" s="3" t="s">
        <v>932</v>
      </c>
      <c r="G2115" s="7">
        <v>45901.16239639521</v>
      </c>
    </row>
    <row r="2116">
      <c r="A2116" s="3" t="s">
        <v>7225</v>
      </c>
      <c r="B2116" s="3" t="s">
        <v>145</v>
      </c>
      <c r="C2116" s="3" t="s">
        <v>1095</v>
      </c>
      <c r="D2116" s="3" t="s">
        <v>181</v>
      </c>
      <c r="E2116" s="3" t="s">
        <v>45</v>
      </c>
      <c r="F2116" s="3" t="s">
        <v>1007</v>
      </c>
      <c r="G2116" s="7">
        <v>45901.23357124063</v>
      </c>
    </row>
    <row r="2117">
      <c r="A2117" s="3" t="s">
        <v>7228</v>
      </c>
      <c r="B2117" s="3" t="s">
        <v>455</v>
      </c>
      <c r="C2117" s="3" t="s">
        <v>1342</v>
      </c>
      <c r="D2117" s="3" t="s">
        <v>68</v>
      </c>
      <c r="E2117" s="3" t="s">
        <v>100</v>
      </c>
      <c r="F2117" s="3" t="s">
        <v>1564</v>
      </c>
      <c r="G2117" s="7">
        <v>45901.30474608604</v>
      </c>
    </row>
    <row r="2118">
      <c r="A2118" s="3" t="s">
        <v>7231</v>
      </c>
      <c r="B2118" s="3" t="s">
        <v>269</v>
      </c>
      <c r="C2118" s="3" t="s">
        <v>1095</v>
      </c>
      <c r="D2118" s="3" t="s">
        <v>68</v>
      </c>
      <c r="E2118" s="3" t="s">
        <v>100</v>
      </c>
      <c r="F2118" s="3" t="s">
        <v>1053</v>
      </c>
      <c r="G2118" s="7">
        <v>45901.37592093145</v>
      </c>
    </row>
    <row r="2119">
      <c r="A2119" s="3" t="s">
        <v>7234</v>
      </c>
      <c r="B2119" s="3" t="s">
        <v>233</v>
      </c>
      <c r="C2119" s="3" t="s">
        <v>56</v>
      </c>
      <c r="D2119" s="3" t="s">
        <v>68</v>
      </c>
      <c r="E2119" s="3" t="s">
        <v>100</v>
      </c>
      <c r="F2119" s="3" t="s">
        <v>1113</v>
      </c>
      <c r="G2119" s="7">
        <v>45901.44709577687</v>
      </c>
    </row>
    <row r="2120">
      <c r="A2120" s="3" t="s">
        <v>7237</v>
      </c>
      <c r="B2120" s="3" t="s">
        <v>860</v>
      </c>
      <c r="C2120" s="3" t="s">
        <v>56</v>
      </c>
      <c r="D2120" s="3" t="s">
        <v>68</v>
      </c>
      <c r="E2120" s="3" t="s">
        <v>100</v>
      </c>
      <c r="F2120" s="3" t="s">
        <v>1114</v>
      </c>
      <c r="G2120" s="7">
        <v>45901.518270622284</v>
      </c>
    </row>
    <row r="2121">
      <c r="A2121" s="3" t="s">
        <v>7240</v>
      </c>
      <c r="B2121" s="3" t="s">
        <v>702</v>
      </c>
      <c r="C2121" s="3" t="s">
        <v>1342</v>
      </c>
      <c r="D2121" s="3" t="s">
        <v>68</v>
      </c>
      <c r="E2121" s="3" t="s">
        <v>100</v>
      </c>
      <c r="F2121" s="3" t="s">
        <v>1950</v>
      </c>
      <c r="G2121" s="7">
        <v>45901.589445467696</v>
      </c>
    </row>
    <row r="2122">
      <c r="A2122" s="3" t="s">
        <v>7243</v>
      </c>
      <c r="B2122" s="3" t="s">
        <v>581</v>
      </c>
      <c r="C2122" s="3" t="s">
        <v>1342</v>
      </c>
      <c r="D2122" s="3" t="s">
        <v>195</v>
      </c>
      <c r="E2122" s="3" t="s">
        <v>45</v>
      </c>
      <c r="F2122" s="3" t="s">
        <v>1892</v>
      </c>
      <c r="G2122" s="7">
        <v>45901.660620313116</v>
      </c>
    </row>
    <row r="2123">
      <c r="A2123" s="3" t="s">
        <v>7247</v>
      </c>
      <c r="B2123" s="3" t="s">
        <v>400</v>
      </c>
      <c r="C2123" s="3" t="s">
        <v>1095</v>
      </c>
      <c r="D2123" s="3" t="s">
        <v>68</v>
      </c>
      <c r="E2123" s="3" t="s">
        <v>100</v>
      </c>
      <c r="F2123" s="3" t="s">
        <v>2103</v>
      </c>
      <c r="G2123" s="7">
        <v>45901.731795158536</v>
      </c>
    </row>
    <row r="2124">
      <c r="A2124" s="3" t="s">
        <v>7250</v>
      </c>
      <c r="B2124" s="3" t="s">
        <v>702</v>
      </c>
      <c r="C2124" s="3" t="s">
        <v>1095</v>
      </c>
      <c r="D2124" s="3" t="s">
        <v>68</v>
      </c>
      <c r="E2124" s="3" t="s">
        <v>100</v>
      </c>
      <c r="F2124" s="3" t="s">
        <v>1950</v>
      </c>
      <c r="G2124" s="7">
        <v>45901.80297000394</v>
      </c>
    </row>
    <row r="2125">
      <c r="A2125" s="3" t="s">
        <v>7254</v>
      </c>
      <c r="B2125" s="3" t="s">
        <v>632</v>
      </c>
      <c r="C2125" s="3" t="s">
        <v>1095</v>
      </c>
      <c r="D2125" s="3" t="s">
        <v>181</v>
      </c>
      <c r="E2125" s="3" t="s">
        <v>45</v>
      </c>
      <c r="F2125" s="3" t="s">
        <v>1546</v>
      </c>
      <c r="G2125" s="7">
        <v>45901.87414484936</v>
      </c>
    </row>
    <row r="2126">
      <c r="A2126" s="3" t="s">
        <v>7257</v>
      </c>
      <c r="B2126" s="3" t="s">
        <v>853</v>
      </c>
      <c r="C2126" s="3" t="s">
        <v>56</v>
      </c>
      <c r="D2126" s="3" t="s">
        <v>195</v>
      </c>
      <c r="E2126" s="3" t="s">
        <v>45</v>
      </c>
      <c r="F2126" s="3" t="s">
        <v>45</v>
      </c>
      <c r="G2126" s="7">
        <v>45901.94531969477</v>
      </c>
    </row>
    <row r="2127">
      <c r="A2127" s="3" t="s">
        <v>7260</v>
      </c>
      <c r="B2127" s="3" t="s">
        <v>260</v>
      </c>
      <c r="C2127" s="3" t="s">
        <v>1095</v>
      </c>
      <c r="D2127" s="3" t="s">
        <v>68</v>
      </c>
      <c r="E2127" s="3" t="s">
        <v>100</v>
      </c>
      <c r="F2127" s="3" t="s">
        <v>797</v>
      </c>
      <c r="G2127" s="7">
        <v>45902.01649454019</v>
      </c>
    </row>
    <row r="2128">
      <c r="A2128" s="3" t="s">
        <v>7263</v>
      </c>
      <c r="B2128" s="3" t="s">
        <v>939</v>
      </c>
      <c r="C2128" s="3" t="s">
        <v>56</v>
      </c>
      <c r="D2128" s="3" t="s">
        <v>68</v>
      </c>
      <c r="E2128" s="3" t="s">
        <v>100</v>
      </c>
      <c r="F2128" s="3" t="s">
        <v>1117</v>
      </c>
      <c r="G2128" s="7">
        <v>45902.087669385604</v>
      </c>
    </row>
    <row r="2129">
      <c r="A2129" s="3" t="s">
        <v>7267</v>
      </c>
      <c r="B2129" s="3" t="s">
        <v>598</v>
      </c>
      <c r="C2129" s="3" t="s">
        <v>1095</v>
      </c>
      <c r="D2129" s="3" t="s">
        <v>68</v>
      </c>
      <c r="E2129" s="3" t="s">
        <v>100</v>
      </c>
      <c r="F2129" s="3" t="s">
        <v>1096</v>
      </c>
      <c r="G2129" s="7">
        <v>45902.158844231024</v>
      </c>
    </row>
    <row r="2130">
      <c r="A2130" s="3" t="s">
        <v>7270</v>
      </c>
      <c r="B2130" s="3" t="s">
        <v>219</v>
      </c>
      <c r="C2130" s="3" t="s">
        <v>1342</v>
      </c>
      <c r="D2130" s="3" t="s">
        <v>68</v>
      </c>
      <c r="E2130" s="3" t="s">
        <v>100</v>
      </c>
      <c r="F2130" s="3" t="s">
        <v>728</v>
      </c>
      <c r="G2130" s="7">
        <v>45902.23001907643</v>
      </c>
    </row>
    <row r="2131">
      <c r="A2131" s="3" t="s">
        <v>7273</v>
      </c>
      <c r="B2131" s="3" t="s">
        <v>763</v>
      </c>
      <c r="C2131" s="3" t="s">
        <v>1095</v>
      </c>
      <c r="D2131" s="3" t="s">
        <v>68</v>
      </c>
      <c r="E2131" s="3" t="s">
        <v>100</v>
      </c>
      <c r="F2131" s="3" t="s">
        <v>701</v>
      </c>
      <c r="G2131" s="7">
        <v>45902.30119392185</v>
      </c>
    </row>
    <row r="2132">
      <c r="A2132" s="3" t="s">
        <v>7276</v>
      </c>
      <c r="B2132" s="3" t="s">
        <v>650</v>
      </c>
      <c r="C2132" s="3" t="s">
        <v>1342</v>
      </c>
      <c r="D2132" s="3" t="s">
        <v>68</v>
      </c>
      <c r="E2132" s="3" t="s">
        <v>100</v>
      </c>
      <c r="F2132" s="3" t="s">
        <v>1004</v>
      </c>
      <c r="G2132" s="7">
        <v>45902.37236876727</v>
      </c>
    </row>
    <row r="2133">
      <c r="A2133" s="3" t="s">
        <v>7280</v>
      </c>
      <c r="B2133" s="3" t="s">
        <v>453</v>
      </c>
      <c r="C2133" s="3" t="s">
        <v>1095</v>
      </c>
      <c r="D2133" s="3" t="s">
        <v>68</v>
      </c>
      <c r="E2133" s="3" t="s">
        <v>100</v>
      </c>
      <c r="F2133" s="3" t="s">
        <v>1985</v>
      </c>
      <c r="G2133" s="7">
        <v>45902.44354361268</v>
      </c>
    </row>
    <row r="2134">
      <c r="A2134" s="3" t="s">
        <v>7283</v>
      </c>
      <c r="B2134" s="3" t="s">
        <v>239</v>
      </c>
      <c r="C2134" s="3" t="s">
        <v>1095</v>
      </c>
      <c r="D2134" s="3" t="s">
        <v>68</v>
      </c>
      <c r="E2134" s="3" t="s">
        <v>100</v>
      </c>
      <c r="F2134" s="3" t="s">
        <v>846</v>
      </c>
      <c r="G2134" s="7">
        <v>45902.51471845809</v>
      </c>
    </row>
    <row r="2135">
      <c r="A2135" s="3" t="s">
        <v>7286</v>
      </c>
      <c r="B2135" s="3" t="s">
        <v>137</v>
      </c>
      <c r="C2135" s="3" t="s">
        <v>1342</v>
      </c>
      <c r="D2135" s="3" t="s">
        <v>68</v>
      </c>
      <c r="E2135" s="3" t="s">
        <v>100</v>
      </c>
      <c r="F2135" s="3" t="s">
        <v>1824</v>
      </c>
      <c r="G2135" s="7">
        <v>45902.58589330351</v>
      </c>
    </row>
    <row r="2136">
      <c r="A2136" s="3" t="s">
        <v>7289</v>
      </c>
      <c r="B2136" s="3" t="s">
        <v>527</v>
      </c>
      <c r="C2136" s="3" t="s">
        <v>56</v>
      </c>
      <c r="D2136" s="3" t="s">
        <v>195</v>
      </c>
      <c r="E2136" s="3" t="s">
        <v>45</v>
      </c>
      <c r="F2136" s="3" t="s">
        <v>45</v>
      </c>
      <c r="G2136" s="7">
        <v>45902.657068148925</v>
      </c>
    </row>
    <row r="2137">
      <c r="A2137" s="3" t="s">
        <v>7292</v>
      </c>
      <c r="B2137" s="3" t="s">
        <v>533</v>
      </c>
      <c r="C2137" s="3" t="s">
        <v>1095</v>
      </c>
      <c r="D2137" s="3" t="s">
        <v>68</v>
      </c>
      <c r="E2137" s="3" t="s">
        <v>100</v>
      </c>
      <c r="F2137" s="3" t="s">
        <v>659</v>
      </c>
      <c r="G2137" s="7">
        <v>45902.72824299434</v>
      </c>
    </row>
    <row r="2138">
      <c r="A2138" s="3" t="s">
        <v>7295</v>
      </c>
      <c r="B2138" s="3" t="s">
        <v>1026</v>
      </c>
      <c r="C2138" s="3" t="s">
        <v>1342</v>
      </c>
      <c r="D2138" s="3" t="s">
        <v>68</v>
      </c>
      <c r="E2138" s="3" t="s">
        <v>100</v>
      </c>
      <c r="F2138" s="3" t="s">
        <v>1973</v>
      </c>
      <c r="G2138" s="7">
        <v>45902.79941783976</v>
      </c>
    </row>
    <row r="2139">
      <c r="A2139" s="3" t="s">
        <v>7298</v>
      </c>
      <c r="B2139" s="3" t="s">
        <v>226</v>
      </c>
      <c r="C2139" s="3" t="s">
        <v>1342</v>
      </c>
      <c r="D2139" s="3" t="s">
        <v>181</v>
      </c>
      <c r="E2139" s="3" t="s">
        <v>45</v>
      </c>
      <c r="F2139" s="3" t="s">
        <v>1623</v>
      </c>
      <c r="G2139" s="7">
        <v>45902.870592685176</v>
      </c>
    </row>
    <row r="2140">
      <c r="A2140" s="3" t="s">
        <v>7302</v>
      </c>
      <c r="B2140" s="3" t="s">
        <v>704</v>
      </c>
      <c r="C2140" s="3" t="s">
        <v>1342</v>
      </c>
      <c r="D2140" s="3" t="s">
        <v>68</v>
      </c>
      <c r="E2140" s="3" t="s">
        <v>100</v>
      </c>
      <c r="F2140" s="3" t="s">
        <v>2118</v>
      </c>
      <c r="G2140" s="7">
        <v>45902.94176753058</v>
      </c>
    </row>
    <row r="2141">
      <c r="A2141" s="3" t="s">
        <v>7305</v>
      </c>
      <c r="B2141" s="3" t="s">
        <v>575</v>
      </c>
      <c r="C2141" s="3" t="s">
        <v>1095</v>
      </c>
      <c r="D2141" s="3" t="s">
        <v>68</v>
      </c>
      <c r="E2141" s="3" t="s">
        <v>100</v>
      </c>
      <c r="F2141" s="3" t="s">
        <v>1654</v>
      </c>
      <c r="G2141" s="7">
        <v>45903.012942376</v>
      </c>
    </row>
    <row r="2142">
      <c r="A2142" s="3" t="s">
        <v>7309</v>
      </c>
      <c r="B2142" s="3" t="s">
        <v>934</v>
      </c>
      <c r="C2142" s="3" t="s">
        <v>1095</v>
      </c>
      <c r="D2142" s="3" t="s">
        <v>68</v>
      </c>
      <c r="E2142" s="3" t="s">
        <v>100</v>
      </c>
      <c r="F2142" s="3" t="s">
        <v>1376</v>
      </c>
      <c r="G2142" s="7">
        <v>45903.08411722141</v>
      </c>
    </row>
    <row r="2143">
      <c r="A2143" s="3" t="s">
        <v>7312</v>
      </c>
      <c r="B2143" s="3" t="s">
        <v>145</v>
      </c>
      <c r="C2143" s="3" t="s">
        <v>1342</v>
      </c>
      <c r="D2143" s="3" t="s">
        <v>68</v>
      </c>
      <c r="E2143" s="3" t="s">
        <v>100</v>
      </c>
      <c r="F2143" s="3" t="s">
        <v>1007</v>
      </c>
      <c r="G2143" s="7">
        <v>45903.15529206683</v>
      </c>
    </row>
    <row r="2144">
      <c r="A2144" s="3" t="s">
        <v>7315</v>
      </c>
      <c r="B2144" s="3" t="s">
        <v>404</v>
      </c>
      <c r="C2144" s="3" t="s">
        <v>1095</v>
      </c>
      <c r="D2144" s="3" t="s">
        <v>68</v>
      </c>
      <c r="E2144" s="3" t="s">
        <v>100</v>
      </c>
      <c r="F2144" s="3" t="s">
        <v>1801</v>
      </c>
      <c r="G2144" s="7">
        <v>45903.226466912245</v>
      </c>
    </row>
    <row r="2145">
      <c r="A2145" s="3" t="s">
        <v>7318</v>
      </c>
      <c r="B2145" s="3" t="s">
        <v>579</v>
      </c>
      <c r="C2145" s="3" t="s">
        <v>1342</v>
      </c>
      <c r="D2145" s="3" t="s">
        <v>68</v>
      </c>
      <c r="E2145" s="3" t="s">
        <v>100</v>
      </c>
      <c r="F2145" s="3" t="s">
        <v>840</v>
      </c>
      <c r="G2145" s="7">
        <v>45903.297641757665</v>
      </c>
    </row>
    <row r="2146">
      <c r="A2146" s="3" t="s">
        <v>7321</v>
      </c>
      <c r="B2146" s="3" t="s">
        <v>645</v>
      </c>
      <c r="C2146" s="3" t="s">
        <v>1342</v>
      </c>
      <c r="D2146" s="3" t="s">
        <v>68</v>
      </c>
      <c r="E2146" s="3" t="s">
        <v>100</v>
      </c>
      <c r="F2146" s="3" t="s">
        <v>1772</v>
      </c>
      <c r="G2146" s="7">
        <v>45903.36881660308</v>
      </c>
    </row>
    <row r="2147">
      <c r="A2147" s="3" t="s">
        <v>7325</v>
      </c>
      <c r="B2147" s="3" t="s">
        <v>247</v>
      </c>
      <c r="C2147" s="3" t="s">
        <v>1342</v>
      </c>
      <c r="D2147" s="3" t="s">
        <v>68</v>
      </c>
      <c r="E2147" s="3" t="s">
        <v>100</v>
      </c>
      <c r="F2147" s="3" t="s">
        <v>470</v>
      </c>
      <c r="G2147" s="7">
        <v>45903.43999144849</v>
      </c>
    </row>
    <row r="2148">
      <c r="A2148" s="3" t="s">
        <v>7329</v>
      </c>
      <c r="B2148" s="3" t="s">
        <v>575</v>
      </c>
      <c r="C2148" s="3" t="s">
        <v>56</v>
      </c>
      <c r="D2148" s="3" t="s">
        <v>68</v>
      </c>
      <c r="E2148" s="3" t="s">
        <v>100</v>
      </c>
      <c r="F2148" s="3" t="s">
        <v>1119</v>
      </c>
      <c r="G2148" s="7">
        <v>45903.51116629391</v>
      </c>
    </row>
    <row r="2149">
      <c r="A2149" s="3" t="s">
        <v>7332</v>
      </c>
      <c r="B2149" s="3" t="s">
        <v>419</v>
      </c>
      <c r="C2149" s="3" t="s">
        <v>1342</v>
      </c>
      <c r="D2149" s="3" t="s">
        <v>68</v>
      </c>
      <c r="E2149" s="3" t="s">
        <v>100</v>
      </c>
      <c r="F2149" s="3" t="s">
        <v>983</v>
      </c>
      <c r="G2149" s="7">
        <v>45903.58234113932</v>
      </c>
    </row>
    <row r="2150">
      <c r="A2150" s="3" t="s">
        <v>7335</v>
      </c>
      <c r="B2150" s="3" t="s">
        <v>266</v>
      </c>
      <c r="C2150" s="3" t="s">
        <v>1095</v>
      </c>
      <c r="D2150" s="3" t="s">
        <v>68</v>
      </c>
      <c r="E2150" s="3" t="s">
        <v>100</v>
      </c>
      <c r="F2150" s="3" t="s">
        <v>1060</v>
      </c>
      <c r="G2150" s="7">
        <v>45903.65351598473</v>
      </c>
    </row>
    <row r="2151">
      <c r="A2151" s="3" t="s">
        <v>7338</v>
      </c>
      <c r="B2151" s="3" t="s">
        <v>600</v>
      </c>
      <c r="C2151" s="3" t="s">
        <v>1095</v>
      </c>
      <c r="D2151" s="3" t="s">
        <v>68</v>
      </c>
      <c r="E2151" s="3" t="s">
        <v>100</v>
      </c>
      <c r="F2151" s="3" t="s">
        <v>1789</v>
      </c>
      <c r="G2151" s="7">
        <v>45903.72469083015</v>
      </c>
    </row>
    <row r="2152">
      <c r="A2152" s="3" t="s">
        <v>7341</v>
      </c>
      <c r="B2152" s="3" t="s">
        <v>524</v>
      </c>
      <c r="C2152" s="3" t="s">
        <v>1095</v>
      </c>
      <c r="D2152" s="3" t="s">
        <v>68</v>
      </c>
      <c r="E2152" s="3" t="s">
        <v>100</v>
      </c>
      <c r="F2152" s="3" t="s">
        <v>1621</v>
      </c>
      <c r="G2152" s="7">
        <v>45903.795865675565</v>
      </c>
    </row>
    <row r="2153">
      <c r="A2153" s="3" t="s">
        <v>7344</v>
      </c>
      <c r="B2153" s="3" t="s">
        <v>767</v>
      </c>
      <c r="C2153" s="3" t="s">
        <v>1095</v>
      </c>
      <c r="D2153" s="3" t="s">
        <v>68</v>
      </c>
      <c r="E2153" s="3" t="s">
        <v>100</v>
      </c>
      <c r="F2153" s="3" t="s">
        <v>1850</v>
      </c>
      <c r="G2153" s="7">
        <v>45903.86704052098</v>
      </c>
    </row>
    <row r="2154">
      <c r="A2154" s="3" t="s">
        <v>7347</v>
      </c>
      <c r="B2154" s="3" t="s">
        <v>685</v>
      </c>
      <c r="C2154" s="3" t="s">
        <v>56</v>
      </c>
      <c r="D2154" s="3" t="s">
        <v>68</v>
      </c>
      <c r="E2154" s="3" t="s">
        <v>100</v>
      </c>
      <c r="F2154" s="3" t="s">
        <v>1121</v>
      </c>
      <c r="G2154" s="7">
        <v>45903.9382153664</v>
      </c>
    </row>
    <row r="2155">
      <c r="A2155" s="3" t="s">
        <v>7350</v>
      </c>
      <c r="B2155" s="3" t="s">
        <v>725</v>
      </c>
      <c r="C2155" s="3" t="s">
        <v>1342</v>
      </c>
      <c r="D2155" s="3" t="s">
        <v>181</v>
      </c>
      <c r="E2155" s="3" t="s">
        <v>45</v>
      </c>
      <c r="F2155" s="3" t="s">
        <v>1636</v>
      </c>
      <c r="G2155" s="7">
        <v>45904.00939021182</v>
      </c>
    </row>
    <row r="2156">
      <c r="A2156" s="3" t="s">
        <v>7353</v>
      </c>
      <c r="B2156" s="3" t="s">
        <v>530</v>
      </c>
      <c r="C2156" s="3" t="s">
        <v>1342</v>
      </c>
      <c r="D2156" s="3" t="s">
        <v>68</v>
      </c>
      <c r="E2156" s="3" t="s">
        <v>100</v>
      </c>
      <c r="F2156" s="3" t="s">
        <v>1557</v>
      </c>
      <c r="G2156" s="7">
        <v>45904.08056505722</v>
      </c>
    </row>
    <row r="2157">
      <c r="A2157" s="3" t="s">
        <v>7356</v>
      </c>
      <c r="B2157" s="3" t="s">
        <v>883</v>
      </c>
      <c r="C2157" s="3" t="s">
        <v>56</v>
      </c>
      <c r="D2157" s="3" t="s">
        <v>68</v>
      </c>
      <c r="E2157" s="3" t="s">
        <v>100</v>
      </c>
      <c r="F2157" s="3" t="s">
        <v>1127</v>
      </c>
      <c r="G2157" s="7">
        <v>45904.15173990264</v>
      </c>
    </row>
    <row r="2158">
      <c r="A2158" s="3" t="s">
        <v>7360</v>
      </c>
      <c r="B2158" s="3" t="s">
        <v>189</v>
      </c>
      <c r="C2158" s="3" t="s">
        <v>1095</v>
      </c>
      <c r="D2158" s="3" t="s">
        <v>68</v>
      </c>
      <c r="E2158" s="3" t="s">
        <v>100</v>
      </c>
      <c r="F2158" s="3" t="s">
        <v>1935</v>
      </c>
      <c r="G2158" s="7">
        <v>45904.22291474806</v>
      </c>
    </row>
    <row r="2159">
      <c r="A2159" s="3" t="s">
        <v>7363</v>
      </c>
      <c r="B2159" s="3" t="s">
        <v>598</v>
      </c>
      <c r="C2159" s="3" t="s">
        <v>56</v>
      </c>
      <c r="D2159" s="3" t="s">
        <v>68</v>
      </c>
      <c r="E2159" s="3" t="s">
        <v>100</v>
      </c>
      <c r="F2159" s="3" t="s">
        <v>1129</v>
      </c>
      <c r="G2159" s="7">
        <v>45904.29408959347</v>
      </c>
    </row>
    <row r="2160">
      <c r="A2160" s="3" t="s">
        <v>7367</v>
      </c>
      <c r="B2160" s="3" t="s">
        <v>453</v>
      </c>
      <c r="C2160" s="3" t="s">
        <v>56</v>
      </c>
      <c r="D2160" s="3" t="s">
        <v>68</v>
      </c>
      <c r="E2160" s="3" t="s">
        <v>100</v>
      </c>
      <c r="F2160" s="3" t="s">
        <v>1133</v>
      </c>
      <c r="G2160" s="7">
        <v>45904.365264438886</v>
      </c>
    </row>
    <row r="2161">
      <c r="A2161" s="3" t="s">
        <v>7370</v>
      </c>
      <c r="B2161" s="3" t="s">
        <v>369</v>
      </c>
      <c r="C2161" s="3" t="s">
        <v>1342</v>
      </c>
      <c r="D2161" s="3" t="s">
        <v>68</v>
      </c>
      <c r="E2161" s="3" t="s">
        <v>100</v>
      </c>
      <c r="F2161" s="3" t="s">
        <v>2081</v>
      </c>
      <c r="G2161" s="7">
        <v>45904.436439284305</v>
      </c>
    </row>
    <row r="2162">
      <c r="A2162" s="3" t="s">
        <v>7373</v>
      </c>
      <c r="B2162" s="3" t="s">
        <v>934</v>
      </c>
      <c r="C2162" s="3" t="s">
        <v>56</v>
      </c>
      <c r="D2162" s="3" t="s">
        <v>181</v>
      </c>
      <c r="E2162" s="3" t="s">
        <v>45</v>
      </c>
      <c r="F2162" s="3" t="s">
        <v>45</v>
      </c>
      <c r="G2162" s="7">
        <v>45904.50761412972</v>
      </c>
    </row>
    <row r="2163">
      <c r="A2163" s="3" t="s">
        <v>7376</v>
      </c>
      <c r="B2163" s="3" t="s">
        <v>853</v>
      </c>
      <c r="C2163" s="3" t="s">
        <v>56</v>
      </c>
      <c r="D2163" s="3" t="s">
        <v>68</v>
      </c>
      <c r="E2163" s="3" t="s">
        <v>100</v>
      </c>
      <c r="F2163" s="3" t="s">
        <v>1135</v>
      </c>
      <c r="G2163" s="7">
        <v>45904.57878897513</v>
      </c>
    </row>
    <row r="2164">
      <c r="A2164" s="3" t="s">
        <v>7379</v>
      </c>
      <c r="B2164" s="3" t="s">
        <v>1030</v>
      </c>
      <c r="C2164" s="3" t="s">
        <v>1095</v>
      </c>
      <c r="D2164" s="3" t="s">
        <v>68</v>
      </c>
      <c r="E2164" s="3" t="s">
        <v>100</v>
      </c>
      <c r="F2164" s="3" t="s">
        <v>1092</v>
      </c>
      <c r="G2164" s="7">
        <v>45904.64996382055</v>
      </c>
    </row>
    <row r="2165">
      <c r="A2165" s="3" t="s">
        <v>7384</v>
      </c>
      <c r="B2165" s="3" t="s">
        <v>296</v>
      </c>
      <c r="C2165" s="3" t="s">
        <v>1095</v>
      </c>
      <c r="D2165" s="3" t="s">
        <v>68</v>
      </c>
      <c r="E2165" s="3" t="s">
        <v>100</v>
      </c>
      <c r="F2165" s="3" t="s">
        <v>1074</v>
      </c>
      <c r="G2165" s="7">
        <v>45904.72113866596</v>
      </c>
    </row>
    <row r="2166">
      <c r="A2166" s="3" t="s">
        <v>7387</v>
      </c>
      <c r="B2166" s="3" t="s">
        <v>141</v>
      </c>
      <c r="C2166" s="3" t="s">
        <v>1095</v>
      </c>
      <c r="D2166" s="3" t="s">
        <v>181</v>
      </c>
      <c r="E2166" s="3" t="s">
        <v>45</v>
      </c>
      <c r="F2166" s="3" t="s">
        <v>749</v>
      </c>
      <c r="G2166" s="7">
        <v>45904.792313511374</v>
      </c>
    </row>
    <row r="2167">
      <c r="A2167" s="3" t="s">
        <v>7391</v>
      </c>
      <c r="B2167" s="3" t="s">
        <v>436</v>
      </c>
      <c r="C2167" s="3" t="s">
        <v>56</v>
      </c>
      <c r="D2167" s="3" t="s">
        <v>68</v>
      </c>
      <c r="E2167" s="3" t="s">
        <v>100</v>
      </c>
      <c r="F2167" s="3" t="s">
        <v>1138</v>
      </c>
      <c r="G2167" s="7">
        <v>45904.863488356794</v>
      </c>
    </row>
    <row r="2168">
      <c r="A2168" s="3" t="s">
        <v>7394</v>
      </c>
      <c r="B2168" s="3" t="s">
        <v>704</v>
      </c>
      <c r="C2168" s="3" t="s">
        <v>1342</v>
      </c>
      <c r="D2168" s="3" t="s">
        <v>68</v>
      </c>
      <c r="E2168" s="3" t="s">
        <v>100</v>
      </c>
      <c r="F2168" s="3" t="s">
        <v>2118</v>
      </c>
      <c r="G2168" s="7">
        <v>45904.934663202206</v>
      </c>
    </row>
    <row r="2169">
      <c r="A2169" s="3" t="s">
        <v>7397</v>
      </c>
      <c r="B2169" s="3" t="s">
        <v>219</v>
      </c>
      <c r="C2169" s="3" t="s">
        <v>1095</v>
      </c>
      <c r="D2169" s="3" t="s">
        <v>195</v>
      </c>
      <c r="E2169" s="3" t="s">
        <v>45</v>
      </c>
      <c r="F2169" s="3" t="s">
        <v>728</v>
      </c>
      <c r="G2169" s="7">
        <v>45905.005838047626</v>
      </c>
    </row>
    <row r="2170">
      <c r="A2170" s="3" t="s">
        <v>7400</v>
      </c>
      <c r="B2170" s="3" t="s">
        <v>369</v>
      </c>
      <c r="C2170" s="3" t="s">
        <v>1342</v>
      </c>
      <c r="D2170" s="3" t="s">
        <v>68</v>
      </c>
      <c r="E2170" s="3" t="s">
        <v>100</v>
      </c>
      <c r="F2170" s="3" t="s">
        <v>2081</v>
      </c>
      <c r="G2170" s="7">
        <v>45905.07701289304</v>
      </c>
    </row>
    <row r="2171">
      <c r="A2171" s="3" t="s">
        <v>7404</v>
      </c>
      <c r="B2171" s="3" t="s">
        <v>961</v>
      </c>
      <c r="C2171" s="3" t="s">
        <v>1342</v>
      </c>
      <c r="D2171" s="3" t="s">
        <v>68</v>
      </c>
      <c r="E2171" s="3" t="s">
        <v>100</v>
      </c>
      <c r="F2171" s="3" t="s">
        <v>1724</v>
      </c>
      <c r="G2171" s="7">
        <v>45905.14818773846</v>
      </c>
    </row>
    <row r="2172">
      <c r="A2172" s="3" t="s">
        <v>7406</v>
      </c>
      <c r="B2172" s="3" t="s">
        <v>870</v>
      </c>
      <c r="C2172" s="3" t="s">
        <v>1342</v>
      </c>
      <c r="D2172" s="3" t="s">
        <v>68</v>
      </c>
      <c r="E2172" s="3" t="s">
        <v>100</v>
      </c>
      <c r="F2172" s="3" t="s">
        <v>2047</v>
      </c>
      <c r="G2172" s="7">
        <v>45905.21936258386</v>
      </c>
    </row>
    <row r="2173">
      <c r="A2173" s="3" t="s">
        <v>7408</v>
      </c>
      <c r="B2173" s="3" t="s">
        <v>466</v>
      </c>
      <c r="C2173" s="3" t="s">
        <v>56</v>
      </c>
      <c r="D2173" s="3" t="s">
        <v>181</v>
      </c>
      <c r="E2173" s="3" t="s">
        <v>45</v>
      </c>
      <c r="F2173" s="3" t="s">
        <v>45</v>
      </c>
      <c r="G2173" s="7">
        <v>45905.29053742928</v>
      </c>
    </row>
    <row r="2174">
      <c r="A2174" s="3" t="s">
        <v>7410</v>
      </c>
      <c r="B2174" s="3" t="s">
        <v>186</v>
      </c>
      <c r="C2174" s="3" t="s">
        <v>1095</v>
      </c>
      <c r="D2174" s="3" t="s">
        <v>68</v>
      </c>
      <c r="E2174" s="3" t="s">
        <v>100</v>
      </c>
      <c r="F2174" s="3" t="s">
        <v>1278</v>
      </c>
      <c r="G2174" s="7">
        <v>45905.3617122747</v>
      </c>
    </row>
    <row r="2175">
      <c r="A2175" s="3" t="s">
        <v>7412</v>
      </c>
      <c r="B2175" s="3" t="s">
        <v>404</v>
      </c>
      <c r="C2175" s="3" t="s">
        <v>56</v>
      </c>
      <c r="D2175" s="3" t="s">
        <v>68</v>
      </c>
      <c r="E2175" s="3" t="s">
        <v>100</v>
      </c>
      <c r="F2175" s="3" t="s">
        <v>1140</v>
      </c>
      <c r="G2175" s="7">
        <v>45905.432887120114</v>
      </c>
    </row>
    <row r="2176">
      <c r="A2176" s="3" t="s">
        <v>7415</v>
      </c>
      <c r="B2176" s="3" t="s">
        <v>398</v>
      </c>
      <c r="C2176" s="3" t="s">
        <v>1095</v>
      </c>
      <c r="D2176" s="3" t="s">
        <v>68</v>
      </c>
      <c r="E2176" s="3" t="s">
        <v>100</v>
      </c>
      <c r="F2176" s="3" t="s">
        <v>1873</v>
      </c>
      <c r="G2176" s="7">
        <v>45905.50406196553</v>
      </c>
    </row>
    <row r="2177">
      <c r="A2177" s="3" t="s">
        <v>7420</v>
      </c>
      <c r="B2177" s="3" t="s">
        <v>662</v>
      </c>
      <c r="C2177" s="3" t="s">
        <v>1342</v>
      </c>
      <c r="D2177" s="3" t="s">
        <v>68</v>
      </c>
      <c r="E2177" s="3" t="s">
        <v>100</v>
      </c>
      <c r="F2177" s="3" t="s">
        <v>946</v>
      </c>
      <c r="G2177" s="7">
        <v>45905.575236810946</v>
      </c>
    </row>
    <row r="2178">
      <c r="A2178" s="3" t="s">
        <v>7423</v>
      </c>
      <c r="B2178" s="3" t="s">
        <v>934</v>
      </c>
      <c r="C2178" s="3" t="s">
        <v>56</v>
      </c>
      <c r="D2178" s="3" t="s">
        <v>68</v>
      </c>
      <c r="E2178" s="3" t="s">
        <v>100</v>
      </c>
      <c r="F2178" s="3" t="s">
        <v>1143</v>
      </c>
      <c r="G2178" s="7">
        <v>45905.64641165636</v>
      </c>
    </row>
    <row r="2179">
      <c r="A2179" s="3" t="s">
        <v>7426</v>
      </c>
      <c r="B2179" s="3" t="s">
        <v>752</v>
      </c>
      <c r="C2179" s="3" t="s">
        <v>56</v>
      </c>
      <c r="D2179" s="3" t="s">
        <v>68</v>
      </c>
      <c r="E2179" s="3" t="s">
        <v>100</v>
      </c>
      <c r="F2179" s="3" t="s">
        <v>1146</v>
      </c>
      <c r="G2179" s="7">
        <v>45905.71758650177</v>
      </c>
    </row>
    <row r="2180">
      <c r="A2180" s="3" t="s">
        <v>7429</v>
      </c>
      <c r="B2180" s="3" t="s">
        <v>830</v>
      </c>
      <c r="C2180" s="3" t="s">
        <v>1095</v>
      </c>
      <c r="D2180" s="3" t="s">
        <v>68</v>
      </c>
      <c r="E2180" s="3" t="s">
        <v>100</v>
      </c>
      <c r="F2180" s="3" t="s">
        <v>1971</v>
      </c>
      <c r="G2180" s="7">
        <v>45905.78876134719</v>
      </c>
    </row>
    <row r="2181">
      <c r="A2181" s="3" t="s">
        <v>7432</v>
      </c>
      <c r="B2181" s="3" t="s">
        <v>523</v>
      </c>
      <c r="C2181" s="3" t="s">
        <v>1095</v>
      </c>
      <c r="D2181" s="3" t="s">
        <v>68</v>
      </c>
      <c r="E2181" s="3" t="s">
        <v>100</v>
      </c>
      <c r="F2181" s="3" t="s">
        <v>1894</v>
      </c>
      <c r="G2181" s="7">
        <v>45905.85993619261</v>
      </c>
    </row>
    <row r="2182">
      <c r="A2182" s="3" t="s">
        <v>7436</v>
      </c>
      <c r="B2182" s="3" t="s">
        <v>883</v>
      </c>
      <c r="C2182" s="3" t="s">
        <v>1095</v>
      </c>
      <c r="D2182" s="3" t="s">
        <v>68</v>
      </c>
      <c r="E2182" s="3" t="s">
        <v>100</v>
      </c>
      <c r="F2182" s="3" t="s">
        <v>1127</v>
      </c>
      <c r="G2182" s="7">
        <v>45905.931111038015</v>
      </c>
    </row>
    <row r="2183">
      <c r="A2183" s="3" t="s">
        <v>7439</v>
      </c>
      <c r="B2183" s="3" t="s">
        <v>586</v>
      </c>
      <c r="C2183" s="3" t="s">
        <v>56</v>
      </c>
      <c r="D2183" s="3" t="s">
        <v>68</v>
      </c>
      <c r="E2183" s="3" t="s">
        <v>100</v>
      </c>
      <c r="F2183" s="3" t="s">
        <v>1148</v>
      </c>
      <c r="G2183" s="7">
        <v>45906.002285883435</v>
      </c>
    </row>
    <row r="2184">
      <c r="A2184" s="3" t="s">
        <v>7443</v>
      </c>
      <c r="B2184" s="3" t="s">
        <v>243</v>
      </c>
      <c r="C2184" s="3" t="s">
        <v>1095</v>
      </c>
      <c r="D2184" s="3" t="s">
        <v>68</v>
      </c>
      <c r="E2184" s="3" t="s">
        <v>100</v>
      </c>
      <c r="F2184" s="3" t="s">
        <v>2079</v>
      </c>
      <c r="G2184" s="7">
        <v>45906.07346072885</v>
      </c>
    </row>
    <row r="2185">
      <c r="A2185" s="3" t="s">
        <v>7446</v>
      </c>
      <c r="B2185" s="3" t="s">
        <v>524</v>
      </c>
      <c r="C2185" s="3" t="s">
        <v>56</v>
      </c>
      <c r="D2185" s="3" t="s">
        <v>68</v>
      </c>
      <c r="E2185" s="3" t="s">
        <v>100</v>
      </c>
      <c r="F2185" s="3" t="s">
        <v>1151</v>
      </c>
      <c r="G2185" s="7">
        <v>45906.14463557427</v>
      </c>
    </row>
    <row r="2186">
      <c r="A2186" s="3" t="s">
        <v>7449</v>
      </c>
      <c r="B2186" s="3" t="s">
        <v>908</v>
      </c>
      <c r="C2186" s="3" t="s">
        <v>1342</v>
      </c>
      <c r="D2186" s="3" t="s">
        <v>68</v>
      </c>
      <c r="E2186" s="3" t="s">
        <v>100</v>
      </c>
      <c r="F2186" s="3" t="s">
        <v>1324</v>
      </c>
      <c r="G2186" s="7">
        <v>45906.21581041968</v>
      </c>
    </row>
    <row r="2187">
      <c r="A2187" s="3" t="s">
        <v>7452</v>
      </c>
      <c r="B2187" s="3" t="s">
        <v>363</v>
      </c>
      <c r="C2187" s="3" t="s">
        <v>1342</v>
      </c>
      <c r="D2187" s="3" t="s">
        <v>68</v>
      </c>
      <c r="E2187" s="3" t="s">
        <v>100</v>
      </c>
      <c r="F2187" s="3" t="s">
        <v>1495</v>
      </c>
      <c r="G2187" s="7">
        <v>45906.2869852651</v>
      </c>
    </row>
    <row r="2188">
      <c r="A2188" s="3" t="s">
        <v>7455</v>
      </c>
      <c r="B2188" s="3" t="s">
        <v>616</v>
      </c>
      <c r="C2188" s="3" t="s">
        <v>1342</v>
      </c>
      <c r="D2188" s="3" t="s">
        <v>68</v>
      </c>
      <c r="E2188" s="3" t="s">
        <v>100</v>
      </c>
      <c r="F2188" s="3" t="s">
        <v>1842</v>
      </c>
      <c r="G2188" s="7">
        <v>45906.35816011051</v>
      </c>
    </row>
    <row r="2189">
      <c r="A2189" s="3" t="s">
        <v>7458</v>
      </c>
      <c r="B2189" s="3" t="s">
        <v>183</v>
      </c>
      <c r="C2189" s="3" t="s">
        <v>1095</v>
      </c>
      <c r="D2189" s="3" t="s">
        <v>68</v>
      </c>
      <c r="E2189" s="3" t="s">
        <v>100</v>
      </c>
      <c r="F2189" s="3" t="s">
        <v>1488</v>
      </c>
      <c r="G2189" s="7">
        <v>45906.42933495592</v>
      </c>
    </row>
    <row r="2190">
      <c r="A2190" s="3" t="s">
        <v>7462</v>
      </c>
      <c r="B2190" s="3" t="s">
        <v>260</v>
      </c>
      <c r="C2190" s="3" t="s">
        <v>56</v>
      </c>
      <c r="D2190" s="3" t="s">
        <v>68</v>
      </c>
      <c r="E2190" s="3" t="s">
        <v>100</v>
      </c>
      <c r="F2190" s="3" t="s">
        <v>1153</v>
      </c>
      <c r="G2190" s="7">
        <v>45906.50050980134</v>
      </c>
    </row>
    <row r="2191">
      <c r="A2191" s="3" t="s">
        <v>7465</v>
      </c>
      <c r="B2191" s="3" t="s">
        <v>913</v>
      </c>
      <c r="C2191" s="3" t="s">
        <v>1095</v>
      </c>
      <c r="D2191" s="3" t="s">
        <v>68</v>
      </c>
      <c r="E2191" s="3" t="s">
        <v>100</v>
      </c>
      <c r="F2191" s="3" t="s">
        <v>754</v>
      </c>
      <c r="G2191" s="7">
        <v>45906.571684646755</v>
      </c>
    </row>
    <row r="2192">
      <c r="A2192" s="3" t="s">
        <v>7468</v>
      </c>
      <c r="B2192" s="3" t="s">
        <v>575</v>
      </c>
      <c r="C2192" s="3" t="s">
        <v>1342</v>
      </c>
      <c r="D2192" s="3" t="s">
        <v>68</v>
      </c>
      <c r="E2192" s="3" t="s">
        <v>100</v>
      </c>
      <c r="F2192" s="3" t="s">
        <v>1119</v>
      </c>
      <c r="G2192" s="7">
        <v>45906.64285949217</v>
      </c>
    </row>
    <row r="2193">
      <c r="A2193" s="3" t="s">
        <v>7472</v>
      </c>
      <c r="B2193" s="3" t="s">
        <v>455</v>
      </c>
      <c r="C2193" s="3" t="s">
        <v>1342</v>
      </c>
      <c r="D2193" s="3" t="s">
        <v>181</v>
      </c>
      <c r="E2193" s="3" t="s">
        <v>45</v>
      </c>
      <c r="F2193" s="3" t="s">
        <v>1564</v>
      </c>
      <c r="G2193" s="7">
        <v>45906.71403433759</v>
      </c>
    </row>
    <row r="2194">
      <c r="A2194" s="3" t="s">
        <v>7475</v>
      </c>
      <c r="B2194" s="3" t="s">
        <v>1008</v>
      </c>
      <c r="C2194" s="3" t="s">
        <v>1342</v>
      </c>
      <c r="D2194" s="3" t="s">
        <v>68</v>
      </c>
      <c r="E2194" s="3" t="s">
        <v>100</v>
      </c>
      <c r="F2194" s="3" t="s">
        <v>2108</v>
      </c>
      <c r="G2194" s="7">
        <v>45906.785209183</v>
      </c>
    </row>
    <row r="2195">
      <c r="A2195" s="3" t="s">
        <v>7478</v>
      </c>
      <c r="B2195" s="3" t="s">
        <v>601</v>
      </c>
      <c r="C2195" s="3" t="s">
        <v>56</v>
      </c>
      <c r="D2195" s="3" t="s">
        <v>68</v>
      </c>
      <c r="E2195" s="3" t="s">
        <v>100</v>
      </c>
      <c r="F2195" s="3" t="s">
        <v>1156</v>
      </c>
      <c r="G2195" s="7">
        <v>45906.85638402841</v>
      </c>
    </row>
    <row r="2196">
      <c r="A2196" s="3" t="s">
        <v>7481</v>
      </c>
      <c r="B2196" s="3" t="s">
        <v>498</v>
      </c>
      <c r="C2196" s="3" t="s">
        <v>1342</v>
      </c>
      <c r="D2196" s="3" t="s">
        <v>68</v>
      </c>
      <c r="E2196" s="3" t="s">
        <v>100</v>
      </c>
      <c r="F2196" s="3" t="s">
        <v>1019</v>
      </c>
      <c r="G2196" s="7">
        <v>45906.92755887383</v>
      </c>
    </row>
    <row r="2197">
      <c r="A2197" s="3" t="s">
        <v>7484</v>
      </c>
      <c r="B2197" s="3" t="s">
        <v>230</v>
      </c>
      <c r="C2197" s="3" t="s">
        <v>1342</v>
      </c>
      <c r="D2197" s="3" t="s">
        <v>68</v>
      </c>
      <c r="E2197" s="3" t="s">
        <v>100</v>
      </c>
      <c r="F2197" s="3" t="s">
        <v>1458</v>
      </c>
      <c r="G2197" s="7">
        <v>45906.99873371925</v>
      </c>
    </row>
    <row r="2198">
      <c r="A2198" s="3" t="s">
        <v>7487</v>
      </c>
      <c r="B2198" s="3" t="s">
        <v>468</v>
      </c>
      <c r="C2198" s="3" t="s">
        <v>1342</v>
      </c>
      <c r="D2198" s="3" t="s">
        <v>68</v>
      </c>
      <c r="E2198" s="3" t="s">
        <v>100</v>
      </c>
      <c r="F2198" s="3" t="s">
        <v>1570</v>
      </c>
      <c r="G2198" s="7">
        <v>45907.069908564656</v>
      </c>
    </row>
    <row r="2199">
      <c r="A2199" s="3" t="s">
        <v>7490</v>
      </c>
      <c r="B2199" s="3" t="s">
        <v>678</v>
      </c>
      <c r="C2199" s="3" t="s">
        <v>1095</v>
      </c>
      <c r="D2199" s="3" t="s">
        <v>68</v>
      </c>
      <c r="E2199" s="3" t="s">
        <v>100</v>
      </c>
      <c r="F2199" s="3" t="s">
        <v>1797</v>
      </c>
      <c r="G2199" s="7">
        <v>45907.141083410075</v>
      </c>
    </row>
    <row r="2200">
      <c r="A2200" s="3" t="s">
        <v>7493</v>
      </c>
      <c r="B2200" s="3" t="s">
        <v>501</v>
      </c>
      <c r="C2200" s="3" t="s">
        <v>56</v>
      </c>
      <c r="D2200" s="3" t="s">
        <v>68</v>
      </c>
      <c r="E2200" s="3" t="s">
        <v>100</v>
      </c>
      <c r="F2200" s="3" t="s">
        <v>1158</v>
      </c>
      <c r="G2200" s="7">
        <v>45907.212258255495</v>
      </c>
    </row>
    <row r="2201">
      <c r="A2201" s="3" t="s">
        <v>7498</v>
      </c>
      <c r="B2201" s="3" t="s">
        <v>290</v>
      </c>
      <c r="C2201" s="3" t="s">
        <v>1342</v>
      </c>
      <c r="D2201" s="3" t="s">
        <v>68</v>
      </c>
      <c r="E2201" s="3" t="s">
        <v>100</v>
      </c>
      <c r="F2201" s="3" t="s">
        <v>1828</v>
      </c>
      <c r="G2201" s="7">
        <v>45907.28343310091</v>
      </c>
    </row>
    <row r="2202">
      <c r="A2202" s="3" t="s">
        <v>7501</v>
      </c>
      <c r="B2202" s="3" t="s">
        <v>906</v>
      </c>
      <c r="C2202" s="3" t="s">
        <v>1095</v>
      </c>
      <c r="D2202" s="3" t="s">
        <v>68</v>
      </c>
      <c r="E2202" s="3" t="s">
        <v>100</v>
      </c>
      <c r="F2202" s="3" t="s">
        <v>1110</v>
      </c>
      <c r="G2202" s="7">
        <v>45907.35460794632</v>
      </c>
    </row>
    <row r="2203">
      <c r="A2203" s="3" t="s">
        <v>7504</v>
      </c>
      <c r="B2203" s="3" t="s">
        <v>629</v>
      </c>
      <c r="C2203" s="3" t="s">
        <v>1342</v>
      </c>
      <c r="D2203" s="3" t="s">
        <v>68</v>
      </c>
      <c r="E2203" s="3" t="s">
        <v>100</v>
      </c>
      <c r="F2203" s="3" t="s">
        <v>1563</v>
      </c>
      <c r="G2203" s="7">
        <v>45907.42578279174</v>
      </c>
    </row>
    <row r="2204">
      <c r="A2204" s="3" t="s">
        <v>7507</v>
      </c>
      <c r="B2204" s="3" t="s">
        <v>767</v>
      </c>
      <c r="C2204" s="3" t="s">
        <v>56</v>
      </c>
      <c r="D2204" s="3" t="s">
        <v>68</v>
      </c>
      <c r="E2204" s="3" t="s">
        <v>100</v>
      </c>
      <c r="F2204" s="3" t="s">
        <v>1162</v>
      </c>
      <c r="G2204" s="7">
        <v>45907.49695763715</v>
      </c>
    </row>
    <row r="2205">
      <c r="A2205" s="3" t="s">
        <v>7510</v>
      </c>
      <c r="B2205" s="3" t="s">
        <v>800</v>
      </c>
      <c r="C2205" s="3" t="s">
        <v>56</v>
      </c>
      <c r="D2205" s="3" t="s">
        <v>68</v>
      </c>
      <c r="E2205" s="3" t="s">
        <v>100</v>
      </c>
      <c r="F2205" s="3" t="s">
        <v>1168</v>
      </c>
      <c r="G2205" s="7">
        <v>45907.568132482564</v>
      </c>
    </row>
    <row r="2206">
      <c r="A2206" s="3" t="s">
        <v>7513</v>
      </c>
      <c r="B2206" s="3" t="s">
        <v>344</v>
      </c>
      <c r="C2206" s="3" t="s">
        <v>1342</v>
      </c>
      <c r="D2206" s="3" t="s">
        <v>68</v>
      </c>
      <c r="E2206" s="3" t="s">
        <v>100</v>
      </c>
      <c r="F2206" s="3" t="s">
        <v>1064</v>
      </c>
      <c r="G2206" s="7">
        <v>45907.63930732798</v>
      </c>
    </row>
    <row r="2207">
      <c r="A2207" s="3" t="s">
        <v>7518</v>
      </c>
      <c r="B2207" s="3" t="s">
        <v>516</v>
      </c>
      <c r="C2207" s="3" t="s">
        <v>1342</v>
      </c>
      <c r="D2207" s="3" t="s">
        <v>195</v>
      </c>
      <c r="E2207" s="3" t="s">
        <v>45</v>
      </c>
      <c r="F2207" s="3" t="s">
        <v>1012</v>
      </c>
      <c r="G2207" s="7">
        <v>45907.710482173396</v>
      </c>
    </row>
    <row r="2208">
      <c r="A2208" s="3" t="s">
        <v>7521</v>
      </c>
      <c r="B2208" s="3" t="s">
        <v>584</v>
      </c>
      <c r="C2208" s="3" t="s">
        <v>1095</v>
      </c>
      <c r="D2208" s="3" t="s">
        <v>68</v>
      </c>
      <c r="E2208" s="3" t="s">
        <v>100</v>
      </c>
      <c r="F2208" s="3" t="s">
        <v>2056</v>
      </c>
      <c r="G2208" s="7">
        <v>45907.78165701881</v>
      </c>
    </row>
    <row r="2209">
      <c r="A2209" s="3" t="s">
        <v>7524</v>
      </c>
      <c r="B2209" s="3" t="s">
        <v>547</v>
      </c>
      <c r="C2209" s="3" t="s">
        <v>56</v>
      </c>
      <c r="D2209" s="3" t="s">
        <v>68</v>
      </c>
      <c r="E2209" s="3" t="s">
        <v>100</v>
      </c>
      <c r="F2209" s="3" t="s">
        <v>1171</v>
      </c>
      <c r="G2209" s="7">
        <v>45907.85283186423</v>
      </c>
    </row>
    <row r="2210">
      <c r="A2210" s="3" t="s">
        <v>7527</v>
      </c>
      <c r="B2210" s="3" t="s">
        <v>247</v>
      </c>
      <c r="C2210" s="3" t="s">
        <v>1095</v>
      </c>
      <c r="D2210" s="3" t="s">
        <v>68</v>
      </c>
      <c r="E2210" s="3" t="s">
        <v>100</v>
      </c>
      <c r="F2210" s="3" t="s">
        <v>470</v>
      </c>
      <c r="G2210" s="7">
        <v>45907.92400670964</v>
      </c>
    </row>
    <row r="2211">
      <c r="A2211" s="3" t="s">
        <v>7530</v>
      </c>
      <c r="B2211" s="3" t="s">
        <v>998</v>
      </c>
      <c r="C2211" s="3" t="s">
        <v>56</v>
      </c>
      <c r="D2211" s="3" t="s">
        <v>68</v>
      </c>
      <c r="E2211" s="3" t="s">
        <v>100</v>
      </c>
      <c r="F2211" s="3" t="s">
        <v>1173</v>
      </c>
      <c r="G2211" s="7">
        <v>45907.99518155505</v>
      </c>
    </row>
    <row r="2212">
      <c r="A2212" s="3" t="s">
        <v>7533</v>
      </c>
      <c r="B2212" s="3" t="s">
        <v>601</v>
      </c>
      <c r="C2212" s="3" t="s">
        <v>1342</v>
      </c>
      <c r="D2212" s="3" t="s">
        <v>68</v>
      </c>
      <c r="E2212" s="3" t="s">
        <v>100</v>
      </c>
      <c r="F2212" s="3" t="s">
        <v>1156</v>
      </c>
      <c r="G2212" s="7">
        <v>45908.06635640047</v>
      </c>
    </row>
    <row r="2213">
      <c r="A2213" s="3" t="s">
        <v>7536</v>
      </c>
      <c r="B2213" s="3" t="s">
        <v>678</v>
      </c>
      <c r="C2213" s="3" t="s">
        <v>56</v>
      </c>
      <c r="D2213" s="3" t="s">
        <v>68</v>
      </c>
      <c r="E2213" s="3" t="s">
        <v>100</v>
      </c>
      <c r="F2213" s="3" t="s">
        <v>1177</v>
      </c>
      <c r="G2213" s="7">
        <v>45908.13753124589</v>
      </c>
    </row>
    <row r="2214">
      <c r="A2214" s="3" t="s">
        <v>7537</v>
      </c>
      <c r="B2214" s="3" t="s">
        <v>722</v>
      </c>
      <c r="C2214" s="3" t="s">
        <v>1342</v>
      </c>
      <c r="D2214" s="3" t="s">
        <v>68</v>
      </c>
      <c r="E2214" s="3" t="s">
        <v>100</v>
      </c>
      <c r="F2214" s="3" t="s">
        <v>1735</v>
      </c>
      <c r="G2214" s="7">
        <v>45908.208706091296</v>
      </c>
    </row>
    <row r="2215">
      <c r="A2215" s="3" t="s">
        <v>7539</v>
      </c>
      <c r="B2215" s="3" t="s">
        <v>219</v>
      </c>
      <c r="C2215" s="3" t="s">
        <v>1342</v>
      </c>
      <c r="D2215" s="3" t="s">
        <v>68</v>
      </c>
      <c r="E2215" s="3" t="s">
        <v>100</v>
      </c>
      <c r="F2215" s="3" t="s">
        <v>728</v>
      </c>
      <c r="G2215" s="7">
        <v>45908.279880936716</v>
      </c>
    </row>
    <row r="2216">
      <c r="A2216" s="3" t="s">
        <v>7541</v>
      </c>
      <c r="B2216" s="3" t="s">
        <v>900</v>
      </c>
      <c r="C2216" s="3" t="s">
        <v>1342</v>
      </c>
      <c r="D2216" s="3" t="s">
        <v>181</v>
      </c>
      <c r="E2216" s="3" t="s">
        <v>45</v>
      </c>
      <c r="F2216" s="3" t="s">
        <v>942</v>
      </c>
      <c r="G2216" s="7">
        <v>45908.351055782136</v>
      </c>
    </row>
    <row r="2217">
      <c r="A2217" s="3" t="s">
        <v>7543</v>
      </c>
      <c r="B2217" s="3" t="s">
        <v>652</v>
      </c>
      <c r="C2217" s="3" t="s">
        <v>56</v>
      </c>
      <c r="D2217" s="3" t="s">
        <v>68</v>
      </c>
      <c r="E2217" s="3" t="s">
        <v>100</v>
      </c>
      <c r="F2217" s="3" t="s">
        <v>1179</v>
      </c>
      <c r="G2217" s="7">
        <v>45908.42223062755</v>
      </c>
    </row>
    <row r="2218">
      <c r="A2218" s="3" t="s">
        <v>7545</v>
      </c>
      <c r="B2218" s="3" t="s">
        <v>515</v>
      </c>
      <c r="C2218" s="3" t="s">
        <v>1095</v>
      </c>
      <c r="D2218" s="3" t="s">
        <v>68</v>
      </c>
      <c r="E2218" s="3" t="s">
        <v>100</v>
      </c>
      <c r="F2218" s="3" t="s">
        <v>1055</v>
      </c>
      <c r="G2218" s="7">
        <v>45908.49340547296</v>
      </c>
    </row>
    <row r="2219">
      <c r="A2219" s="3" t="s">
        <v>7548</v>
      </c>
      <c r="B2219" s="3" t="s">
        <v>838</v>
      </c>
      <c r="C2219" s="3" t="s">
        <v>1342</v>
      </c>
      <c r="D2219" s="3" t="s">
        <v>181</v>
      </c>
      <c r="E2219" s="3" t="s">
        <v>45</v>
      </c>
      <c r="F2219" s="3" t="s">
        <v>1943</v>
      </c>
      <c r="G2219" s="7">
        <v>45908.56458031838</v>
      </c>
    </row>
    <row r="2220">
      <c r="A2220" s="3" t="s">
        <v>7551</v>
      </c>
      <c r="B2220" s="3" t="s">
        <v>239</v>
      </c>
      <c r="C2220" s="3" t="s">
        <v>56</v>
      </c>
      <c r="D2220" s="3" t="s">
        <v>68</v>
      </c>
      <c r="E2220" s="3" t="s">
        <v>100</v>
      </c>
      <c r="F2220" s="3" t="s">
        <v>1182</v>
      </c>
      <c r="G2220" s="7">
        <v>45908.63575516379</v>
      </c>
    </row>
    <row r="2221">
      <c r="A2221" s="3" t="s">
        <v>7554</v>
      </c>
      <c r="B2221" s="3" t="s">
        <v>179</v>
      </c>
      <c r="C2221" s="3" t="s">
        <v>1342</v>
      </c>
      <c r="D2221" s="3" t="s">
        <v>68</v>
      </c>
      <c r="E2221" s="3" t="s">
        <v>100</v>
      </c>
      <c r="F2221" s="3" t="s">
        <v>857</v>
      </c>
      <c r="G2221" s="7">
        <v>45908.706930009204</v>
      </c>
    </row>
    <row r="2222">
      <c r="A2222" s="3" t="s">
        <v>7558</v>
      </c>
      <c r="B2222" s="3" t="s">
        <v>990</v>
      </c>
      <c r="C2222" s="3" t="s">
        <v>1342</v>
      </c>
      <c r="D2222" s="3" t="s">
        <v>68</v>
      </c>
      <c r="E2222" s="3" t="s">
        <v>100</v>
      </c>
      <c r="F2222" s="3" t="s">
        <v>1206</v>
      </c>
      <c r="G2222" s="7">
        <v>45908.778104854624</v>
      </c>
    </row>
    <row r="2223">
      <c r="A2223" s="3" t="s">
        <v>7562</v>
      </c>
      <c r="B2223" s="3" t="s">
        <v>920</v>
      </c>
      <c r="C2223" s="3" t="s">
        <v>1342</v>
      </c>
      <c r="D2223" s="3" t="s">
        <v>68</v>
      </c>
      <c r="E2223" s="3" t="s">
        <v>100</v>
      </c>
      <c r="F2223" s="3" t="s">
        <v>1039</v>
      </c>
      <c r="G2223" s="7">
        <v>45908.849279700036</v>
      </c>
    </row>
    <row r="2224">
      <c r="A2224" s="3" t="s">
        <v>7565</v>
      </c>
      <c r="B2224" s="3" t="s">
        <v>175</v>
      </c>
      <c r="C2224" s="3" t="s">
        <v>1095</v>
      </c>
      <c r="D2224" s="3" t="s">
        <v>68</v>
      </c>
      <c r="E2224" s="3" t="s">
        <v>100</v>
      </c>
      <c r="F2224" s="3" t="s">
        <v>1713</v>
      </c>
      <c r="G2224" s="7">
        <v>45908.92045454545</v>
      </c>
    </row>
    <row r="2225">
      <c r="A2225" s="3" t="s">
        <v>7568</v>
      </c>
      <c r="B2225" s="3" t="s">
        <v>1043</v>
      </c>
      <c r="C2225" s="3" t="s">
        <v>1342</v>
      </c>
      <c r="D2225" s="3" t="s">
        <v>68</v>
      </c>
      <c r="E2225" s="3" t="s">
        <v>100</v>
      </c>
      <c r="F2225" s="3" t="s">
        <v>769</v>
      </c>
      <c r="G2225" s="7">
        <v>45908.99162939087</v>
      </c>
    </row>
    <row r="2226">
      <c r="A2226" s="3" t="s">
        <v>7571</v>
      </c>
      <c r="B2226" s="3" t="s">
        <v>581</v>
      </c>
      <c r="C2226" s="3" t="s">
        <v>1095</v>
      </c>
      <c r="D2226" s="3" t="s">
        <v>68</v>
      </c>
      <c r="E2226" s="3" t="s">
        <v>100</v>
      </c>
      <c r="F2226" s="3" t="s">
        <v>1892</v>
      </c>
      <c r="G2226" s="7">
        <v>45909.06280423628</v>
      </c>
    </row>
    <row r="2227">
      <c r="A2227" s="3" t="s">
        <v>7574</v>
      </c>
      <c r="B2227" s="3" t="s">
        <v>816</v>
      </c>
      <c r="C2227" s="3" t="s">
        <v>56</v>
      </c>
      <c r="D2227" s="3" t="s">
        <v>68</v>
      </c>
      <c r="E2227" s="3" t="s">
        <v>100</v>
      </c>
      <c r="F2227" s="3" t="s">
        <v>1185</v>
      </c>
      <c r="G2227" s="7">
        <v>45909.13397908169</v>
      </c>
    </row>
    <row r="2228">
      <c r="A2228" s="3" t="s">
        <v>7577</v>
      </c>
      <c r="B2228" s="3" t="s">
        <v>1034</v>
      </c>
      <c r="C2228" s="3" t="s">
        <v>1095</v>
      </c>
      <c r="D2228" s="3" t="s">
        <v>68</v>
      </c>
      <c r="E2228" s="3" t="s">
        <v>100</v>
      </c>
      <c r="F2228" s="3" t="s">
        <v>985</v>
      </c>
      <c r="G2228" s="7">
        <v>45909.20515392711</v>
      </c>
    </row>
    <row r="2229">
      <c r="A2229" s="3" t="s">
        <v>7580</v>
      </c>
      <c r="B2229" s="3" t="s">
        <v>226</v>
      </c>
      <c r="C2229" s="3" t="s">
        <v>1095</v>
      </c>
      <c r="D2229" s="3" t="s">
        <v>68</v>
      </c>
      <c r="E2229" s="3" t="s">
        <v>100</v>
      </c>
      <c r="F2229" s="3" t="s">
        <v>1623</v>
      </c>
      <c r="G2229" s="7">
        <v>45909.27632877253</v>
      </c>
    </row>
    <row r="2230">
      <c r="A2230" s="3" t="s">
        <v>7583</v>
      </c>
      <c r="B2230" s="3" t="s">
        <v>848</v>
      </c>
      <c r="C2230" s="3" t="s">
        <v>1342</v>
      </c>
      <c r="D2230" s="3" t="s">
        <v>68</v>
      </c>
      <c r="E2230" s="3" t="s">
        <v>100</v>
      </c>
      <c r="F2230" s="3" t="s">
        <v>1676</v>
      </c>
      <c r="G2230" s="7">
        <v>45909.34750361794</v>
      </c>
    </row>
    <row r="2231">
      <c r="A2231" s="3" t="s">
        <v>7588</v>
      </c>
      <c r="B2231" s="3" t="s">
        <v>547</v>
      </c>
      <c r="C2231" s="3" t="s">
        <v>1342</v>
      </c>
      <c r="D2231" s="3" t="s">
        <v>68</v>
      </c>
      <c r="E2231" s="3" t="s">
        <v>100</v>
      </c>
      <c r="F2231" s="3" t="s">
        <v>1171</v>
      </c>
      <c r="G2231" s="7">
        <v>45909.41867846336</v>
      </c>
    </row>
    <row r="2232">
      <c r="A2232" s="3" t="s">
        <v>7591</v>
      </c>
      <c r="B2232" s="3" t="s">
        <v>767</v>
      </c>
      <c r="C2232" s="3" t="s">
        <v>1342</v>
      </c>
      <c r="D2232" s="3" t="s">
        <v>68</v>
      </c>
      <c r="E2232" s="3" t="s">
        <v>100</v>
      </c>
      <c r="F2232" s="3" t="s">
        <v>1162</v>
      </c>
      <c r="G2232" s="7">
        <v>45909.489853308776</v>
      </c>
    </row>
    <row r="2233">
      <c r="A2233" s="3" t="s">
        <v>7594</v>
      </c>
      <c r="B2233" s="3" t="s">
        <v>591</v>
      </c>
      <c r="C2233" s="3" t="s">
        <v>1095</v>
      </c>
      <c r="D2233" s="3" t="s">
        <v>68</v>
      </c>
      <c r="E2233" s="3" t="s">
        <v>100</v>
      </c>
      <c r="F2233" s="3" t="s">
        <v>721</v>
      </c>
      <c r="G2233" s="7">
        <v>45909.56102815419</v>
      </c>
    </row>
    <row r="2234">
      <c r="A2234" s="3" t="s">
        <v>7597</v>
      </c>
      <c r="B2234" s="3" t="s">
        <v>612</v>
      </c>
      <c r="C2234" s="3" t="s">
        <v>56</v>
      </c>
      <c r="D2234" s="3" t="s">
        <v>68</v>
      </c>
      <c r="E2234" s="3" t="s">
        <v>100</v>
      </c>
      <c r="F2234" s="3" t="s">
        <v>1187</v>
      </c>
      <c r="G2234" s="7">
        <v>45909.6322029996</v>
      </c>
    </row>
    <row r="2235">
      <c r="A2235" s="3" t="s">
        <v>7601</v>
      </c>
      <c r="B2235" s="3" t="s">
        <v>691</v>
      </c>
      <c r="C2235" s="3" t="s">
        <v>1342</v>
      </c>
      <c r="D2235" s="3" t="s">
        <v>68</v>
      </c>
      <c r="E2235" s="3" t="s">
        <v>100</v>
      </c>
      <c r="F2235" s="3" t="s">
        <v>1958</v>
      </c>
      <c r="G2235" s="7">
        <v>45909.70337784502</v>
      </c>
    </row>
    <row r="2236">
      <c r="A2236" s="3" t="s">
        <v>7603</v>
      </c>
      <c r="B2236" s="3" t="s">
        <v>785</v>
      </c>
      <c r="C2236" s="3" t="s">
        <v>1342</v>
      </c>
      <c r="D2236" s="3" t="s">
        <v>68</v>
      </c>
      <c r="E2236" s="3" t="s">
        <v>100</v>
      </c>
      <c r="F2236" s="3" t="s">
        <v>490</v>
      </c>
      <c r="G2236" s="7">
        <v>45909.77455269043</v>
      </c>
    </row>
    <row r="2237">
      <c r="A2237" s="3" t="s">
        <v>7607</v>
      </c>
      <c r="B2237" s="3" t="s">
        <v>496</v>
      </c>
      <c r="C2237" s="3" t="s">
        <v>56</v>
      </c>
      <c r="D2237" s="3" t="s">
        <v>68</v>
      </c>
      <c r="E2237" s="3" t="s">
        <v>100</v>
      </c>
      <c r="F2237" s="3" t="s">
        <v>1190</v>
      </c>
      <c r="G2237" s="7">
        <v>45909.845727535845</v>
      </c>
    </row>
    <row r="2238">
      <c r="A2238" s="3" t="s">
        <v>7610</v>
      </c>
      <c r="B2238" s="3" t="s">
        <v>460</v>
      </c>
      <c r="C2238" s="3" t="s">
        <v>56</v>
      </c>
      <c r="D2238" s="3" t="s">
        <v>68</v>
      </c>
      <c r="E2238" s="3" t="s">
        <v>100</v>
      </c>
      <c r="F2238" s="3" t="s">
        <v>1193</v>
      </c>
      <c r="G2238" s="7">
        <v>45909.916902381265</v>
      </c>
    </row>
    <row r="2239">
      <c r="A2239" s="3" t="s">
        <v>7614</v>
      </c>
      <c r="B2239" s="3" t="s">
        <v>702</v>
      </c>
      <c r="C2239" s="3" t="s">
        <v>56</v>
      </c>
      <c r="D2239" s="3" t="s">
        <v>68</v>
      </c>
      <c r="E2239" s="3" t="s">
        <v>100</v>
      </c>
      <c r="F2239" s="3" t="s">
        <v>1196</v>
      </c>
      <c r="G2239" s="7">
        <v>45909.98807722668</v>
      </c>
    </row>
    <row r="2240">
      <c r="A2240" s="3" t="s">
        <v>7617</v>
      </c>
      <c r="B2240" s="3" t="s">
        <v>619</v>
      </c>
      <c r="C2240" s="3" t="s">
        <v>56</v>
      </c>
      <c r="D2240" s="3" t="s">
        <v>68</v>
      </c>
      <c r="E2240" s="3" t="s">
        <v>100</v>
      </c>
      <c r="F2240" s="3" t="s">
        <v>1198</v>
      </c>
      <c r="G2240" s="7">
        <v>45910.05925207209</v>
      </c>
    </row>
    <row r="2241">
      <c r="A2241" s="3" t="s">
        <v>7620</v>
      </c>
      <c r="B2241" s="3" t="s">
        <v>554</v>
      </c>
      <c r="C2241" s="3" t="s">
        <v>1342</v>
      </c>
      <c r="D2241" s="3" t="s">
        <v>68</v>
      </c>
      <c r="E2241" s="3" t="s">
        <v>100</v>
      </c>
      <c r="F2241" s="3" t="s">
        <v>1232</v>
      </c>
      <c r="G2241" s="7">
        <v>45910.13042691751</v>
      </c>
    </row>
    <row r="2242">
      <c r="A2242" s="3" t="s">
        <v>7623</v>
      </c>
      <c r="B2242" s="3" t="s">
        <v>1040</v>
      </c>
      <c r="C2242" s="3" t="s">
        <v>56</v>
      </c>
      <c r="D2242" s="3" t="s">
        <v>68</v>
      </c>
      <c r="E2242" s="3" t="s">
        <v>100</v>
      </c>
      <c r="F2242" s="3" t="s">
        <v>1201</v>
      </c>
      <c r="G2242" s="7">
        <v>45910.20160176293</v>
      </c>
    </row>
    <row r="2243">
      <c r="A2243" s="3" t="s">
        <v>7626</v>
      </c>
      <c r="B2243" s="3" t="s">
        <v>137</v>
      </c>
      <c r="C2243" s="3" t="s">
        <v>1342</v>
      </c>
      <c r="D2243" s="3" t="s">
        <v>181</v>
      </c>
      <c r="E2243" s="3" t="s">
        <v>45</v>
      </c>
      <c r="F2243" s="3" t="s">
        <v>1824</v>
      </c>
      <c r="G2243" s="7">
        <v>45910.27277660833</v>
      </c>
    </row>
    <row r="2244">
      <c r="A2244" s="3" t="s">
        <v>7630</v>
      </c>
      <c r="B2244" s="3" t="s">
        <v>913</v>
      </c>
      <c r="C2244" s="3" t="s">
        <v>56</v>
      </c>
      <c r="D2244" s="3" t="s">
        <v>68</v>
      </c>
      <c r="E2244" s="3" t="s">
        <v>100</v>
      </c>
      <c r="F2244" s="3" t="s">
        <v>1204</v>
      </c>
      <c r="G2244" s="7">
        <v>45910.34395145375</v>
      </c>
    </row>
    <row r="2245">
      <c r="A2245" s="3" t="s">
        <v>7632</v>
      </c>
      <c r="B2245" s="3" t="s">
        <v>496</v>
      </c>
      <c r="C2245" s="3" t="s">
        <v>1095</v>
      </c>
      <c r="D2245" s="3" t="s">
        <v>68</v>
      </c>
      <c r="E2245" s="3" t="s">
        <v>100</v>
      </c>
      <c r="F2245" s="3" t="s">
        <v>1190</v>
      </c>
      <c r="G2245" s="7">
        <v>45910.41512629917</v>
      </c>
    </row>
    <row r="2246">
      <c r="A2246" s="3" t="s">
        <v>7635</v>
      </c>
      <c r="B2246" s="3" t="s">
        <v>637</v>
      </c>
      <c r="C2246" s="3" t="s">
        <v>1342</v>
      </c>
      <c r="D2246" s="3" t="s">
        <v>68</v>
      </c>
      <c r="E2246" s="3" t="s">
        <v>100</v>
      </c>
      <c r="F2246" s="3" t="s">
        <v>549</v>
      </c>
      <c r="G2246" s="7">
        <v>45910.486301144585</v>
      </c>
    </row>
    <row r="2247">
      <c r="A2247" s="3" t="s">
        <v>7637</v>
      </c>
      <c r="B2247" s="3" t="s">
        <v>466</v>
      </c>
      <c r="C2247" s="3" t="s">
        <v>56</v>
      </c>
      <c r="D2247" s="3" t="s">
        <v>68</v>
      </c>
      <c r="E2247" s="3" t="s">
        <v>100</v>
      </c>
      <c r="F2247" s="3" t="s">
        <v>1208</v>
      </c>
      <c r="G2247" s="7">
        <v>45910.55747599</v>
      </c>
    </row>
    <row r="2248">
      <c r="A2248" s="3" t="s">
        <v>7640</v>
      </c>
      <c r="B2248" s="3" t="s">
        <v>627</v>
      </c>
      <c r="C2248" s="3" t="s">
        <v>56</v>
      </c>
      <c r="D2248" s="3" t="s">
        <v>68</v>
      </c>
      <c r="E2248" s="3" t="s">
        <v>100</v>
      </c>
      <c r="F2248" s="3" t="s">
        <v>1211</v>
      </c>
      <c r="G2248" s="7">
        <v>45910.62865083542</v>
      </c>
    </row>
    <row r="2249">
      <c r="A2249" s="3" t="s">
        <v>7643</v>
      </c>
      <c r="B2249" s="3" t="s">
        <v>943</v>
      </c>
      <c r="C2249" s="3" t="s">
        <v>1095</v>
      </c>
      <c r="D2249" s="3" t="s">
        <v>68</v>
      </c>
      <c r="E2249" s="3" t="s">
        <v>100</v>
      </c>
      <c r="F2249" s="3" t="s">
        <v>504</v>
      </c>
      <c r="G2249" s="7">
        <v>45910.69982568083</v>
      </c>
    </row>
    <row r="2250">
      <c r="A2250" s="3" t="s">
        <v>7646</v>
      </c>
      <c r="B2250" s="3" t="s">
        <v>344</v>
      </c>
      <c r="C2250" s="3" t="s">
        <v>1095</v>
      </c>
      <c r="D2250" s="3" t="s">
        <v>68</v>
      </c>
      <c r="E2250" s="3" t="s">
        <v>100</v>
      </c>
      <c r="F2250" s="3" t="s">
        <v>1064</v>
      </c>
      <c r="G2250" s="7">
        <v>45910.77100052624</v>
      </c>
    </row>
    <row r="2251">
      <c r="A2251" s="3" t="s">
        <v>7649</v>
      </c>
      <c r="B2251" s="3" t="s">
        <v>870</v>
      </c>
      <c r="C2251" s="3" t="s">
        <v>1342</v>
      </c>
      <c r="D2251" s="3" t="s">
        <v>68</v>
      </c>
      <c r="E2251" s="3" t="s">
        <v>100</v>
      </c>
      <c r="F2251" s="3" t="s">
        <v>2047</v>
      </c>
      <c r="G2251" s="7">
        <v>45910.84217537166</v>
      </c>
    </row>
    <row r="2252">
      <c r="A2252" s="3" t="s">
        <v>7651</v>
      </c>
      <c r="B2252" s="3" t="s">
        <v>507</v>
      </c>
      <c r="C2252" s="3" t="s">
        <v>1342</v>
      </c>
      <c r="D2252" s="3" t="s">
        <v>68</v>
      </c>
      <c r="E2252" s="3" t="s">
        <v>100</v>
      </c>
      <c r="F2252" s="3" t="s">
        <v>831</v>
      </c>
      <c r="G2252" s="7">
        <v>45910.91335021707</v>
      </c>
    </row>
    <row r="2253">
      <c r="A2253" s="3" t="s">
        <v>7654</v>
      </c>
      <c r="B2253" s="3" t="s">
        <v>937</v>
      </c>
      <c r="C2253" s="3" t="s">
        <v>56</v>
      </c>
      <c r="D2253" s="3" t="s">
        <v>68</v>
      </c>
      <c r="E2253" s="3" t="s">
        <v>100</v>
      </c>
      <c r="F2253" s="3" t="s">
        <v>1214</v>
      </c>
      <c r="G2253" s="7">
        <v>45910.984525062486</v>
      </c>
    </row>
    <row r="2254">
      <c r="A2254" s="3" t="s">
        <v>7656</v>
      </c>
      <c r="B2254" s="3" t="s">
        <v>682</v>
      </c>
      <c r="C2254" s="3" t="s">
        <v>1095</v>
      </c>
      <c r="D2254" s="3" t="s">
        <v>68</v>
      </c>
      <c r="E2254" s="3" t="s">
        <v>100</v>
      </c>
      <c r="F2254" s="3" t="s">
        <v>2013</v>
      </c>
      <c r="G2254" s="7">
        <v>45911.055699907905</v>
      </c>
    </row>
    <row r="2255">
      <c r="A2255" s="3" t="s">
        <v>7658</v>
      </c>
      <c r="B2255" s="3" t="s">
        <v>969</v>
      </c>
      <c r="C2255" s="3" t="s">
        <v>1095</v>
      </c>
      <c r="D2255" s="3" t="s">
        <v>68</v>
      </c>
      <c r="E2255" s="3" t="s">
        <v>100</v>
      </c>
      <c r="F2255" s="3" t="s">
        <v>808</v>
      </c>
      <c r="G2255" s="7">
        <v>45911.12687475332</v>
      </c>
    </row>
    <row r="2256">
      <c r="A2256" s="3" t="s">
        <v>7661</v>
      </c>
      <c r="B2256" s="3" t="s">
        <v>253</v>
      </c>
      <c r="C2256" s="3" t="s">
        <v>1342</v>
      </c>
      <c r="D2256" s="3" t="s">
        <v>68</v>
      </c>
      <c r="E2256" s="3" t="s">
        <v>100</v>
      </c>
      <c r="F2256" s="3" t="s">
        <v>959</v>
      </c>
      <c r="G2256" s="7">
        <v>45911.19804959873</v>
      </c>
    </row>
    <row r="2257">
      <c r="A2257" s="3" t="s">
        <v>7665</v>
      </c>
      <c r="B2257" s="3" t="s">
        <v>233</v>
      </c>
      <c r="C2257" s="3" t="s">
        <v>1342</v>
      </c>
      <c r="D2257" s="3" t="s">
        <v>181</v>
      </c>
      <c r="E2257" s="3" t="s">
        <v>45</v>
      </c>
      <c r="F2257" s="3" t="s">
        <v>1113</v>
      </c>
      <c r="G2257" s="7">
        <v>45911.26922444415</v>
      </c>
    </row>
    <row r="2258">
      <c r="A2258" s="3" t="s">
        <v>7668</v>
      </c>
      <c r="B2258" s="3" t="s">
        <v>722</v>
      </c>
      <c r="C2258" s="3" t="s">
        <v>1342</v>
      </c>
      <c r="D2258" s="3" t="s">
        <v>68</v>
      </c>
      <c r="E2258" s="3" t="s">
        <v>100</v>
      </c>
      <c r="F2258" s="3" t="s">
        <v>1735</v>
      </c>
      <c r="G2258" s="7">
        <v>45911.34039928957</v>
      </c>
    </row>
    <row r="2259">
      <c r="A2259" s="3" t="s">
        <v>7672</v>
      </c>
      <c r="B2259" s="3" t="s">
        <v>1030</v>
      </c>
      <c r="C2259" s="3" t="s">
        <v>56</v>
      </c>
      <c r="D2259" s="3" t="s">
        <v>68</v>
      </c>
      <c r="E2259" s="3" t="s">
        <v>100</v>
      </c>
      <c r="F2259" s="3" t="s">
        <v>1218</v>
      </c>
      <c r="G2259" s="7">
        <v>45911.411574134974</v>
      </c>
    </row>
    <row r="2260">
      <c r="A2260" s="3" t="s">
        <v>7675</v>
      </c>
      <c r="B2260" s="3" t="s">
        <v>619</v>
      </c>
      <c r="C2260" s="3" t="s">
        <v>1095</v>
      </c>
      <c r="D2260" s="3" t="s">
        <v>68</v>
      </c>
      <c r="E2260" s="3" t="s">
        <v>100</v>
      </c>
      <c r="F2260" s="3" t="s">
        <v>1198</v>
      </c>
      <c r="G2260" s="7">
        <v>45911.482748980394</v>
      </c>
    </row>
    <row r="2261">
      <c r="A2261" s="3" t="s">
        <v>7678</v>
      </c>
      <c r="B2261" s="3" t="s">
        <v>533</v>
      </c>
      <c r="C2261" s="3" t="s">
        <v>56</v>
      </c>
      <c r="D2261" s="3" t="s">
        <v>68</v>
      </c>
      <c r="E2261" s="3" t="s">
        <v>100</v>
      </c>
      <c r="F2261" s="3" t="s">
        <v>1226</v>
      </c>
      <c r="G2261" s="7">
        <v>45911.55392382581</v>
      </c>
    </row>
    <row r="2262">
      <c r="A2262" s="3" t="s">
        <v>7681</v>
      </c>
      <c r="B2262" s="3" t="s">
        <v>657</v>
      </c>
      <c r="C2262" s="3" t="s">
        <v>56</v>
      </c>
      <c r="D2262" s="3" t="s">
        <v>68</v>
      </c>
      <c r="E2262" s="3" t="s">
        <v>100</v>
      </c>
      <c r="F2262" s="3" t="s">
        <v>1228</v>
      </c>
      <c r="G2262" s="7">
        <v>45911.625098671226</v>
      </c>
    </row>
    <row r="2263">
      <c r="A2263" s="3" t="s">
        <v>7685</v>
      </c>
      <c r="B2263" s="3" t="s">
        <v>702</v>
      </c>
      <c r="C2263" s="3" t="s">
        <v>1342</v>
      </c>
      <c r="D2263" s="3" t="s">
        <v>195</v>
      </c>
      <c r="E2263" s="3" t="s">
        <v>45</v>
      </c>
      <c r="F2263" s="3" t="s">
        <v>1196</v>
      </c>
      <c r="G2263" s="7">
        <v>45911.69627351664</v>
      </c>
    </row>
    <row r="2264">
      <c r="A2264" s="3" t="s">
        <v>7689</v>
      </c>
      <c r="B2264" s="3" t="s">
        <v>998</v>
      </c>
      <c r="C2264" s="3" t="s">
        <v>1342</v>
      </c>
      <c r="D2264" s="3" t="s">
        <v>68</v>
      </c>
      <c r="E2264" s="3" t="s">
        <v>100</v>
      </c>
      <c r="F2264" s="3" t="s">
        <v>1173</v>
      </c>
      <c r="G2264" s="7">
        <v>45911.76744836206</v>
      </c>
    </row>
    <row r="2265">
      <c r="A2265" s="3" t="s">
        <v>7692</v>
      </c>
      <c r="B2265" s="3" t="s">
        <v>224</v>
      </c>
      <c r="C2265" s="3" t="s">
        <v>1095</v>
      </c>
      <c r="D2265" s="3" t="s">
        <v>68</v>
      </c>
      <c r="E2265" s="3" t="s">
        <v>100</v>
      </c>
      <c r="F2265" s="3" t="s">
        <v>1054</v>
      </c>
      <c r="G2265" s="7">
        <v>45911.83862320747</v>
      </c>
    </row>
    <row r="2266">
      <c r="A2266" s="3" t="s">
        <v>7694</v>
      </c>
      <c r="B2266" s="3" t="s">
        <v>789</v>
      </c>
      <c r="C2266" s="3" t="s">
        <v>56</v>
      </c>
      <c r="D2266" s="3" t="s">
        <v>68</v>
      </c>
      <c r="E2266" s="3" t="s">
        <v>100</v>
      </c>
      <c r="F2266" s="3" t="s">
        <v>1234</v>
      </c>
      <c r="G2266" s="7">
        <v>45911.90979805288</v>
      </c>
    </row>
    <row r="2267">
      <c r="A2267" s="3" t="s">
        <v>7696</v>
      </c>
      <c r="B2267" s="3" t="s">
        <v>752</v>
      </c>
      <c r="C2267" s="3" t="s">
        <v>1095</v>
      </c>
      <c r="D2267" s="3" t="s">
        <v>68</v>
      </c>
      <c r="E2267" s="3" t="s">
        <v>100</v>
      </c>
      <c r="F2267" s="3" t="s">
        <v>1146</v>
      </c>
      <c r="G2267" s="7">
        <v>45911.9809728983</v>
      </c>
    </row>
    <row r="2268">
      <c r="A2268" s="3" t="s">
        <v>7699</v>
      </c>
      <c r="B2268" s="3" t="s">
        <v>377</v>
      </c>
      <c r="C2268" s="3" t="s">
        <v>1342</v>
      </c>
      <c r="D2268" s="3" t="s">
        <v>68</v>
      </c>
      <c r="E2268" s="3" t="s">
        <v>100</v>
      </c>
      <c r="F2268" s="3" t="s">
        <v>1070</v>
      </c>
      <c r="G2268" s="7">
        <v>45912.052147743714</v>
      </c>
    </row>
    <row r="2269">
      <c r="A2269" s="3" t="s">
        <v>7702</v>
      </c>
      <c r="B2269" s="3" t="s">
        <v>310</v>
      </c>
      <c r="C2269" s="3" t="s">
        <v>1342</v>
      </c>
      <c r="D2269" s="3" t="s">
        <v>68</v>
      </c>
      <c r="E2269" s="3" t="s">
        <v>100</v>
      </c>
      <c r="F2269" s="3" t="s">
        <v>1728</v>
      </c>
      <c r="G2269" s="7">
        <v>45912.12332258913</v>
      </c>
    </row>
    <row r="2270">
      <c r="A2270" s="3" t="s">
        <v>7705</v>
      </c>
      <c r="B2270" s="3" t="s">
        <v>263</v>
      </c>
      <c r="C2270" s="3" t="s">
        <v>1342</v>
      </c>
      <c r="D2270" s="3" t="s">
        <v>68</v>
      </c>
      <c r="E2270" s="3" t="s">
        <v>100</v>
      </c>
      <c r="F2270" s="3" t="s">
        <v>1045</v>
      </c>
      <c r="G2270" s="7">
        <v>45912.194497434546</v>
      </c>
    </row>
    <row r="2271">
      <c r="A2271" s="3" t="s">
        <v>7708</v>
      </c>
      <c r="B2271" s="3" t="s">
        <v>313</v>
      </c>
      <c r="C2271" s="3" t="s">
        <v>56</v>
      </c>
      <c r="D2271" s="3" t="s">
        <v>68</v>
      </c>
      <c r="E2271" s="3" t="s">
        <v>100</v>
      </c>
      <c r="F2271" s="3" t="s">
        <v>1237</v>
      </c>
      <c r="G2271" s="7">
        <v>45912.26567227996</v>
      </c>
    </row>
    <row r="2272">
      <c r="A2272" s="3" t="s">
        <v>7710</v>
      </c>
      <c r="B2272" s="3" t="s">
        <v>230</v>
      </c>
      <c r="C2272" s="3" t="s">
        <v>1342</v>
      </c>
      <c r="D2272" s="3" t="s">
        <v>68</v>
      </c>
      <c r="E2272" s="3" t="s">
        <v>100</v>
      </c>
      <c r="F2272" s="3" t="s">
        <v>1458</v>
      </c>
      <c r="G2272" s="7">
        <v>45912.33684712537</v>
      </c>
    </row>
    <row r="2273">
      <c r="A2273" s="3" t="s">
        <v>7712</v>
      </c>
      <c r="B2273" s="3" t="s">
        <v>510</v>
      </c>
      <c r="C2273" s="3" t="s">
        <v>1342</v>
      </c>
      <c r="D2273" s="3" t="s">
        <v>181</v>
      </c>
      <c r="E2273" s="3" t="s">
        <v>45</v>
      </c>
      <c r="F2273" s="3" t="s">
        <v>741</v>
      </c>
      <c r="G2273" s="7">
        <v>45912.40802197079</v>
      </c>
    </row>
    <row r="2274">
      <c r="A2274" s="3" t="s">
        <v>7714</v>
      </c>
      <c r="B2274" s="3" t="s">
        <v>266</v>
      </c>
      <c r="C2274" s="3" t="s">
        <v>56</v>
      </c>
      <c r="D2274" s="3" t="s">
        <v>68</v>
      </c>
      <c r="E2274" s="3" t="s">
        <v>100</v>
      </c>
      <c r="F2274" s="3" t="s">
        <v>1240</v>
      </c>
      <c r="G2274" s="7">
        <v>45912.47919681621</v>
      </c>
    </row>
    <row r="2275">
      <c r="A2275" s="3" t="s">
        <v>7716</v>
      </c>
      <c r="B2275" s="3" t="s">
        <v>746</v>
      </c>
      <c r="C2275" s="3" t="s">
        <v>1342</v>
      </c>
      <c r="D2275" s="3" t="s">
        <v>68</v>
      </c>
      <c r="E2275" s="3" t="s">
        <v>100</v>
      </c>
      <c r="F2275" s="3" t="s">
        <v>1837</v>
      </c>
      <c r="G2275" s="7">
        <v>45912.550371661615</v>
      </c>
    </row>
    <row r="2276">
      <c r="A2276" s="3" t="s">
        <v>7718</v>
      </c>
      <c r="B2276" s="3" t="s">
        <v>546</v>
      </c>
      <c r="C2276" s="3" t="s">
        <v>56</v>
      </c>
      <c r="D2276" s="3" t="s">
        <v>68</v>
      </c>
      <c r="E2276" s="3" t="s">
        <v>100</v>
      </c>
      <c r="F2276" s="3" t="s">
        <v>1242</v>
      </c>
      <c r="G2276" s="7">
        <v>45912.621546507035</v>
      </c>
    </row>
    <row r="2277">
      <c r="A2277" s="3" t="s">
        <v>7723</v>
      </c>
      <c r="B2277" s="3" t="s">
        <v>640</v>
      </c>
      <c r="C2277" s="3" t="s">
        <v>1342</v>
      </c>
      <c r="D2277" s="3" t="s">
        <v>68</v>
      </c>
      <c r="E2277" s="3" t="s">
        <v>100</v>
      </c>
      <c r="F2277" s="3" t="s">
        <v>626</v>
      </c>
      <c r="G2277" s="7">
        <v>45912.692721352454</v>
      </c>
    </row>
    <row r="2278">
      <c r="A2278" s="3" t="s">
        <v>7726</v>
      </c>
      <c r="B2278" s="3" t="s">
        <v>523</v>
      </c>
      <c r="C2278" s="3" t="s">
        <v>56</v>
      </c>
      <c r="D2278" s="3" t="s">
        <v>68</v>
      </c>
      <c r="E2278" s="3" t="s">
        <v>100</v>
      </c>
      <c r="F2278" s="3" t="s">
        <v>1248</v>
      </c>
      <c r="G2278" s="7">
        <v>45912.76389619787</v>
      </c>
    </row>
    <row r="2279">
      <c r="A2279" s="3" t="s">
        <v>7729</v>
      </c>
      <c r="B2279" s="3" t="s">
        <v>533</v>
      </c>
      <c r="C2279" s="3" t="s">
        <v>1095</v>
      </c>
      <c r="D2279" s="3" t="s">
        <v>68</v>
      </c>
      <c r="E2279" s="3" t="s">
        <v>100</v>
      </c>
      <c r="F2279" s="3" t="s">
        <v>1226</v>
      </c>
      <c r="G2279" s="7">
        <v>45912.83507104328</v>
      </c>
    </row>
    <row r="2280">
      <c r="A2280" s="3" t="s">
        <v>7733</v>
      </c>
      <c r="B2280" s="3" t="s">
        <v>505</v>
      </c>
      <c r="C2280" s="3" t="s">
        <v>1342</v>
      </c>
      <c r="D2280" s="3" t="s">
        <v>68</v>
      </c>
      <c r="E2280" s="3" t="s">
        <v>100</v>
      </c>
      <c r="F2280" s="3" t="s">
        <v>788</v>
      </c>
      <c r="G2280" s="7">
        <v>45912.9062458887</v>
      </c>
    </row>
    <row r="2281">
      <c r="A2281" s="3" t="s">
        <v>7737</v>
      </c>
      <c r="B2281" s="3" t="s">
        <v>637</v>
      </c>
      <c r="C2281" s="3" t="s">
        <v>1342</v>
      </c>
      <c r="D2281" s="3" t="s">
        <v>68</v>
      </c>
      <c r="E2281" s="3" t="s">
        <v>100</v>
      </c>
      <c r="F2281" s="3" t="s">
        <v>549</v>
      </c>
      <c r="G2281" s="7">
        <v>45912.97742073411</v>
      </c>
    </row>
    <row r="2282">
      <c r="A2282" s="3" t="s">
        <v>7740</v>
      </c>
      <c r="B2282" s="3" t="s">
        <v>145</v>
      </c>
      <c r="C2282" s="3" t="s">
        <v>1095</v>
      </c>
      <c r="D2282" s="3" t="s">
        <v>68</v>
      </c>
      <c r="E2282" s="3" t="s">
        <v>100</v>
      </c>
      <c r="F2282" s="3" t="s">
        <v>1007</v>
      </c>
      <c r="G2282" s="7">
        <v>45913.04859557952</v>
      </c>
    </row>
    <row r="2283">
      <c r="A2283" s="3" t="s">
        <v>7743</v>
      </c>
      <c r="B2283" s="3" t="s">
        <v>193</v>
      </c>
      <c r="C2283" s="3" t="s">
        <v>1342</v>
      </c>
      <c r="D2283" s="3" t="s">
        <v>68</v>
      </c>
      <c r="E2283" s="3" t="s">
        <v>100</v>
      </c>
      <c r="F2283" s="3" t="s">
        <v>688</v>
      </c>
      <c r="G2283" s="7">
        <v>45913.11977042494</v>
      </c>
    </row>
    <row r="2284">
      <c r="A2284" s="3" t="s">
        <v>7746</v>
      </c>
      <c r="B2284" s="3" t="s">
        <v>569</v>
      </c>
      <c r="C2284" s="3" t="s">
        <v>1342</v>
      </c>
      <c r="D2284" s="3" t="s">
        <v>68</v>
      </c>
      <c r="E2284" s="3" t="s">
        <v>100</v>
      </c>
      <c r="F2284" s="3" t="s">
        <v>1627</v>
      </c>
      <c r="G2284" s="7">
        <v>45913.19094527036</v>
      </c>
    </row>
    <row r="2285">
      <c r="A2285" s="3" t="s">
        <v>7749</v>
      </c>
      <c r="B2285" s="3" t="s">
        <v>1037</v>
      </c>
      <c r="C2285" s="3" t="s">
        <v>1342</v>
      </c>
      <c r="D2285" s="3" t="s">
        <v>68</v>
      </c>
      <c r="E2285" s="3" t="s">
        <v>100</v>
      </c>
      <c r="F2285" s="3" t="s">
        <v>1276</v>
      </c>
      <c r="G2285" s="7">
        <v>45913.26212011577</v>
      </c>
    </row>
    <row r="2286">
      <c r="A2286" s="3" t="s">
        <v>7752</v>
      </c>
      <c r="B2286" s="3" t="s">
        <v>404</v>
      </c>
      <c r="C2286" s="3" t="s">
        <v>1342</v>
      </c>
      <c r="D2286" s="3" t="s">
        <v>181</v>
      </c>
      <c r="E2286" s="3" t="s">
        <v>45</v>
      </c>
      <c r="F2286" s="3" t="s">
        <v>1140</v>
      </c>
      <c r="G2286" s="7">
        <v>45913.33329496119</v>
      </c>
    </row>
    <row r="2287">
      <c r="A2287" s="3" t="s">
        <v>7755</v>
      </c>
      <c r="B2287" s="3" t="s">
        <v>789</v>
      </c>
      <c r="C2287" s="3" t="s">
        <v>1342</v>
      </c>
      <c r="D2287" s="3" t="s">
        <v>68</v>
      </c>
      <c r="E2287" s="3" t="s">
        <v>100</v>
      </c>
      <c r="F2287" s="3" t="s">
        <v>1234</v>
      </c>
      <c r="G2287" s="7">
        <v>45913.4044698066</v>
      </c>
    </row>
    <row r="2288">
      <c r="A2288" s="3" t="s">
        <v>7758</v>
      </c>
      <c r="B2288" s="3" t="s">
        <v>860</v>
      </c>
      <c r="C2288" s="3" t="s">
        <v>1095</v>
      </c>
      <c r="D2288" s="3" t="s">
        <v>68</v>
      </c>
      <c r="E2288" s="3" t="s">
        <v>100</v>
      </c>
      <c r="F2288" s="3" t="s">
        <v>1114</v>
      </c>
      <c r="G2288" s="7">
        <v>45913.47564465202</v>
      </c>
    </row>
    <row r="2289">
      <c r="A2289" s="3" t="s">
        <v>7761</v>
      </c>
      <c r="B2289" s="3" t="s">
        <v>826</v>
      </c>
      <c r="C2289" s="3" t="s">
        <v>1342</v>
      </c>
      <c r="D2289" s="3" t="s">
        <v>68</v>
      </c>
      <c r="E2289" s="3" t="s">
        <v>100</v>
      </c>
      <c r="F2289" s="3" t="s">
        <v>693</v>
      </c>
      <c r="G2289" s="7">
        <v>45913.54681949743</v>
      </c>
    </row>
    <row r="2290">
      <c r="A2290" s="3" t="s">
        <v>7764</v>
      </c>
      <c r="B2290" s="3" t="s">
        <v>123</v>
      </c>
      <c r="C2290" s="3" t="s">
        <v>1095</v>
      </c>
      <c r="D2290" s="3" t="s">
        <v>68</v>
      </c>
      <c r="E2290" s="3" t="s">
        <v>100</v>
      </c>
      <c r="F2290" s="3" t="s">
        <v>1932</v>
      </c>
      <c r="G2290" s="7">
        <v>45913.61799434285</v>
      </c>
    </row>
    <row r="2291">
      <c r="A2291" s="3" t="s">
        <v>7767</v>
      </c>
      <c r="B2291" s="3" t="s">
        <v>156</v>
      </c>
      <c r="C2291" s="3" t="s">
        <v>1342</v>
      </c>
      <c r="D2291" s="3" t="s">
        <v>68</v>
      </c>
      <c r="E2291" s="3" t="s">
        <v>100</v>
      </c>
      <c r="F2291" s="3" t="s">
        <v>673</v>
      </c>
      <c r="G2291" s="7">
        <v>45913.68916918826</v>
      </c>
    </row>
    <row r="2292">
      <c r="A2292" s="3" t="s">
        <v>7770</v>
      </c>
      <c r="B2292" s="3" t="s">
        <v>307</v>
      </c>
      <c r="C2292" s="3" t="s">
        <v>1095</v>
      </c>
      <c r="D2292" s="3" t="s">
        <v>68</v>
      </c>
      <c r="E2292" s="3" t="s">
        <v>100</v>
      </c>
      <c r="F2292" s="3" t="s">
        <v>1000</v>
      </c>
      <c r="G2292" s="7">
        <v>45913.760344033675</v>
      </c>
    </row>
    <row r="2293">
      <c r="A2293" s="3" t="s">
        <v>7774</v>
      </c>
      <c r="B2293" s="3" t="s">
        <v>333</v>
      </c>
      <c r="C2293" s="3" t="s">
        <v>56</v>
      </c>
      <c r="D2293" s="3" t="s">
        <v>68</v>
      </c>
      <c r="E2293" s="3" t="s">
        <v>100</v>
      </c>
      <c r="F2293" s="3" t="s">
        <v>1251</v>
      </c>
      <c r="G2293" s="7">
        <v>45913.831518879095</v>
      </c>
    </row>
    <row r="2294">
      <c r="A2294" s="3" t="s">
        <v>7778</v>
      </c>
      <c r="B2294" s="3" t="s">
        <v>752</v>
      </c>
      <c r="C2294" s="3" t="s">
        <v>56</v>
      </c>
      <c r="D2294" s="3" t="s">
        <v>68</v>
      </c>
      <c r="E2294" s="3" t="s">
        <v>100</v>
      </c>
      <c r="F2294" s="3" t="s">
        <v>1254</v>
      </c>
      <c r="G2294" s="7">
        <v>45913.90269372451</v>
      </c>
    </row>
    <row r="2295">
      <c r="A2295" s="3" t="s">
        <v>7781</v>
      </c>
      <c r="B2295" s="3" t="s">
        <v>586</v>
      </c>
      <c r="C2295" s="3" t="s">
        <v>1342</v>
      </c>
      <c r="D2295" s="3" t="s">
        <v>68</v>
      </c>
      <c r="E2295" s="3" t="s">
        <v>100</v>
      </c>
      <c r="F2295" s="3" t="s">
        <v>1148</v>
      </c>
      <c r="G2295" s="7">
        <v>45913.97386856992</v>
      </c>
    </row>
    <row r="2296">
      <c r="A2296" s="3" t="s">
        <v>7784</v>
      </c>
      <c r="B2296" s="3" t="s">
        <v>544</v>
      </c>
      <c r="C2296" s="3" t="s">
        <v>1095</v>
      </c>
      <c r="D2296" s="3" t="s">
        <v>68</v>
      </c>
      <c r="E2296" s="3" t="s">
        <v>100</v>
      </c>
      <c r="F2296" s="3" t="s">
        <v>1058</v>
      </c>
      <c r="G2296" s="7">
        <v>45914.04504341534</v>
      </c>
    </row>
    <row r="2297">
      <c r="A2297" s="3" t="s">
        <v>7788</v>
      </c>
      <c r="B2297" s="3" t="s">
        <v>243</v>
      </c>
      <c r="C2297" s="3" t="s">
        <v>56</v>
      </c>
      <c r="D2297" s="3" t="s">
        <v>68</v>
      </c>
      <c r="E2297" s="3" t="s">
        <v>100</v>
      </c>
      <c r="F2297" s="3" t="s">
        <v>1256</v>
      </c>
      <c r="G2297" s="7">
        <v>45914.11621826075</v>
      </c>
    </row>
    <row r="2298">
      <c r="A2298" s="3" t="s">
        <v>7790</v>
      </c>
      <c r="B2298" s="3" t="s">
        <v>296</v>
      </c>
      <c r="C2298" s="3" t="s">
        <v>56</v>
      </c>
      <c r="D2298" s="3" t="s">
        <v>68</v>
      </c>
      <c r="E2298" s="3" t="s">
        <v>100</v>
      </c>
      <c r="F2298" s="3" t="s">
        <v>1259</v>
      </c>
      <c r="G2298" s="7">
        <v>45914.187393106164</v>
      </c>
    </row>
    <row r="2299">
      <c r="A2299" s="3" t="s">
        <v>7793</v>
      </c>
      <c r="B2299" s="3" t="s">
        <v>900</v>
      </c>
      <c r="C2299" s="3" t="s">
        <v>1095</v>
      </c>
      <c r="D2299" s="3" t="s">
        <v>68</v>
      </c>
      <c r="E2299" s="3" t="s">
        <v>100</v>
      </c>
      <c r="F2299" s="3" t="s">
        <v>942</v>
      </c>
      <c r="G2299" s="7">
        <v>45914.25856795158</v>
      </c>
    </row>
    <row r="2300">
      <c r="A2300" s="3" t="s">
        <v>7795</v>
      </c>
      <c r="B2300" s="3" t="s">
        <v>584</v>
      </c>
      <c r="C2300" s="3" t="s">
        <v>56</v>
      </c>
      <c r="D2300" s="3" t="s">
        <v>68</v>
      </c>
      <c r="E2300" s="3" t="s">
        <v>100</v>
      </c>
      <c r="F2300" s="3" t="s">
        <v>1261</v>
      </c>
      <c r="G2300" s="7">
        <v>45914.329742797</v>
      </c>
    </row>
    <row r="2301">
      <c r="A2301" s="3" t="s">
        <v>7797</v>
      </c>
      <c r="B2301" s="3" t="s">
        <v>616</v>
      </c>
      <c r="C2301" s="3" t="s">
        <v>1095</v>
      </c>
      <c r="D2301" s="3" t="s">
        <v>68</v>
      </c>
      <c r="E2301" s="3" t="s">
        <v>100</v>
      </c>
      <c r="F2301" s="3" t="s">
        <v>1842</v>
      </c>
      <c r="G2301" s="7">
        <v>45914.40091764241</v>
      </c>
    </row>
    <row r="2302">
      <c r="A2302" s="3" t="s">
        <v>7800</v>
      </c>
      <c r="B2302" s="3" t="s">
        <v>652</v>
      </c>
      <c r="C2302" s="3" t="s">
        <v>1095</v>
      </c>
      <c r="D2302" s="3" t="s">
        <v>181</v>
      </c>
      <c r="E2302" s="3" t="s">
        <v>45</v>
      </c>
      <c r="F2302" s="3" t="s">
        <v>1179</v>
      </c>
      <c r="G2302" s="7">
        <v>45914.47209248783</v>
      </c>
    </row>
    <row r="2303">
      <c r="A2303" s="3" t="s">
        <v>7803</v>
      </c>
      <c r="B2303" s="3" t="s">
        <v>440</v>
      </c>
      <c r="C2303" s="3" t="s">
        <v>56</v>
      </c>
      <c r="D2303" s="3" t="s">
        <v>68</v>
      </c>
      <c r="E2303" s="3" t="s">
        <v>100</v>
      </c>
      <c r="F2303" s="3" t="s">
        <v>1264</v>
      </c>
      <c r="G2303" s="7">
        <v>45914.54326733325</v>
      </c>
    </row>
    <row r="2304">
      <c r="A2304" s="3" t="s">
        <v>7807</v>
      </c>
      <c r="B2304" s="3" t="s">
        <v>498</v>
      </c>
      <c r="C2304" s="3" t="s">
        <v>1095</v>
      </c>
      <c r="D2304" s="3" t="s">
        <v>68</v>
      </c>
      <c r="E2304" s="3" t="s">
        <v>100</v>
      </c>
      <c r="F2304" s="3" t="s">
        <v>1019</v>
      </c>
      <c r="G2304" s="7">
        <v>45914.61444217866</v>
      </c>
    </row>
    <row r="2305">
      <c r="A2305" s="3" t="s">
        <v>7810</v>
      </c>
      <c r="B2305" s="3" t="s">
        <v>883</v>
      </c>
      <c r="C2305" s="3" t="s">
        <v>56</v>
      </c>
      <c r="D2305" s="3" t="s">
        <v>195</v>
      </c>
      <c r="E2305" s="3" t="s">
        <v>45</v>
      </c>
      <c r="F2305" s="3" t="s">
        <v>45</v>
      </c>
      <c r="G2305" s="7">
        <v>45914.68561702407</v>
      </c>
    </row>
    <row r="2306">
      <c r="A2306" s="3" t="s">
        <v>7813</v>
      </c>
      <c r="B2306" s="3" t="s">
        <v>742</v>
      </c>
      <c r="C2306" s="3" t="s">
        <v>56</v>
      </c>
      <c r="D2306" s="3" t="s">
        <v>68</v>
      </c>
      <c r="E2306" s="3" t="s">
        <v>100</v>
      </c>
      <c r="F2306" s="3" t="s">
        <v>1268</v>
      </c>
      <c r="G2306" s="7">
        <v>45914.75679186949</v>
      </c>
    </row>
    <row r="2307">
      <c r="A2307" s="3" t="s">
        <v>7816</v>
      </c>
      <c r="B2307" s="3" t="s">
        <v>236</v>
      </c>
      <c r="C2307" s="3" t="s">
        <v>1342</v>
      </c>
      <c r="D2307" s="3" t="s">
        <v>68</v>
      </c>
      <c r="E2307" s="3" t="s">
        <v>100</v>
      </c>
      <c r="F2307" s="3" t="s">
        <v>2004</v>
      </c>
      <c r="G2307" s="7">
        <v>45914.8279667149</v>
      </c>
    </row>
    <row r="2308">
      <c r="A2308" s="3" t="s">
        <v>7820</v>
      </c>
      <c r="B2308" s="3" t="s">
        <v>293</v>
      </c>
      <c r="C2308" s="3" t="s">
        <v>56</v>
      </c>
      <c r="D2308" s="3" t="s">
        <v>68</v>
      </c>
      <c r="E2308" s="3" t="s">
        <v>100</v>
      </c>
      <c r="F2308" s="3" t="s">
        <v>1270</v>
      </c>
      <c r="G2308" s="7">
        <v>45914.899141560316</v>
      </c>
    </row>
    <row r="2309">
      <c r="A2309" s="3" t="s">
        <v>7822</v>
      </c>
      <c r="B2309" s="3" t="s">
        <v>561</v>
      </c>
      <c r="C2309" s="3" t="s">
        <v>1342</v>
      </c>
      <c r="D2309" s="3" t="s">
        <v>68</v>
      </c>
      <c r="E2309" s="3" t="s">
        <v>100</v>
      </c>
      <c r="F2309" s="3" t="s">
        <v>977</v>
      </c>
      <c r="G2309" s="7">
        <v>45914.970316405736</v>
      </c>
    </row>
    <row r="2310">
      <c r="A2310" s="3" t="s">
        <v>7824</v>
      </c>
      <c r="B2310" s="3" t="s">
        <v>900</v>
      </c>
      <c r="C2310" s="3" t="s">
        <v>56</v>
      </c>
      <c r="D2310" s="3" t="s">
        <v>68</v>
      </c>
      <c r="E2310" s="3" t="s">
        <v>100</v>
      </c>
      <c r="F2310" s="3" t="s">
        <v>1272</v>
      </c>
      <c r="G2310" s="7">
        <v>45915.04149125115</v>
      </c>
    </row>
    <row r="2311">
      <c r="A2311" s="3" t="s">
        <v>7826</v>
      </c>
      <c r="B2311" s="3" t="s">
        <v>224</v>
      </c>
      <c r="C2311" s="3" t="s">
        <v>56</v>
      </c>
      <c r="D2311" s="3" t="s">
        <v>68</v>
      </c>
      <c r="E2311" s="3" t="s">
        <v>100</v>
      </c>
      <c r="F2311" s="3" t="s">
        <v>1274</v>
      </c>
      <c r="G2311" s="7">
        <v>45915.11266609656</v>
      </c>
    </row>
    <row r="2312">
      <c r="A2312" s="3" t="s">
        <v>7830</v>
      </c>
      <c r="B2312" s="3" t="s">
        <v>685</v>
      </c>
      <c r="C2312" s="3" t="s">
        <v>1342</v>
      </c>
      <c r="D2312" s="3" t="s">
        <v>68</v>
      </c>
      <c r="E2312" s="3" t="s">
        <v>100</v>
      </c>
      <c r="F2312" s="3" t="s">
        <v>1121</v>
      </c>
      <c r="G2312" s="7">
        <v>45915.18384094198</v>
      </c>
    </row>
    <row r="2313">
      <c r="A2313" s="3" t="s">
        <v>7833</v>
      </c>
      <c r="B2313" s="3" t="s">
        <v>137</v>
      </c>
      <c r="C2313" s="3" t="s">
        <v>1342</v>
      </c>
      <c r="D2313" s="3" t="s">
        <v>181</v>
      </c>
      <c r="E2313" s="3" t="s">
        <v>45</v>
      </c>
      <c r="F2313" s="3" t="s">
        <v>1824</v>
      </c>
      <c r="G2313" s="7">
        <v>45915.25501578739</v>
      </c>
    </row>
    <row r="2314">
      <c r="A2314" s="3" t="s">
        <v>7836</v>
      </c>
      <c r="B2314" s="3" t="s">
        <v>208</v>
      </c>
      <c r="C2314" s="3" t="s">
        <v>1342</v>
      </c>
      <c r="D2314" s="3" t="s">
        <v>68</v>
      </c>
      <c r="E2314" s="3" t="s">
        <v>100</v>
      </c>
      <c r="F2314" s="3" t="s">
        <v>1921</v>
      </c>
      <c r="G2314" s="7">
        <v>45915.326190632804</v>
      </c>
    </row>
    <row r="2315">
      <c r="A2315" s="3" t="s">
        <v>7839</v>
      </c>
      <c r="B2315" s="3" t="s">
        <v>523</v>
      </c>
      <c r="C2315" s="3" t="s">
        <v>1095</v>
      </c>
      <c r="D2315" s="3" t="s">
        <v>68</v>
      </c>
      <c r="E2315" s="3" t="s">
        <v>100</v>
      </c>
      <c r="F2315" s="3" t="s">
        <v>1248</v>
      </c>
      <c r="G2315" s="7">
        <v>45915.397365478224</v>
      </c>
    </row>
    <row r="2316">
      <c r="A2316" s="3" t="s">
        <v>7842</v>
      </c>
      <c r="B2316" s="3" t="s">
        <v>1040</v>
      </c>
      <c r="C2316" s="3" t="s">
        <v>1342</v>
      </c>
      <c r="D2316" s="3" t="s">
        <v>68</v>
      </c>
      <c r="E2316" s="3" t="s">
        <v>100</v>
      </c>
      <c r="F2316" s="3" t="s">
        <v>1201</v>
      </c>
      <c r="G2316" s="7">
        <v>45915.46854032364</v>
      </c>
    </row>
    <row r="2317">
      <c r="A2317" s="3" t="s">
        <v>7845</v>
      </c>
      <c r="B2317" s="3" t="s">
        <v>758</v>
      </c>
      <c r="C2317" s="3" t="s">
        <v>56</v>
      </c>
      <c r="D2317" s="3" t="s">
        <v>68</v>
      </c>
      <c r="E2317" s="3" t="s">
        <v>100</v>
      </c>
      <c r="F2317" s="3" t="s">
        <v>1278</v>
      </c>
      <c r="G2317" s="7">
        <v>45915.53971516905</v>
      </c>
    </row>
    <row r="2318">
      <c r="A2318" s="3" t="s">
        <v>7848</v>
      </c>
      <c r="B2318" s="3" t="s">
        <v>584</v>
      </c>
      <c r="C2318" s="3" t="s">
        <v>1342</v>
      </c>
      <c r="D2318" s="3" t="s">
        <v>195</v>
      </c>
      <c r="E2318" s="3" t="s">
        <v>45</v>
      </c>
      <c r="F2318" s="3" t="s">
        <v>1261</v>
      </c>
      <c r="G2318" s="7">
        <v>45915.61089001447</v>
      </c>
    </row>
    <row r="2319">
      <c r="A2319" s="3" t="s">
        <v>7851</v>
      </c>
      <c r="B2319" s="3" t="s">
        <v>731</v>
      </c>
      <c r="C2319" s="3" t="s">
        <v>1095</v>
      </c>
      <c r="D2319" s="3" t="s">
        <v>68</v>
      </c>
      <c r="E2319" s="3" t="s">
        <v>100</v>
      </c>
      <c r="F2319" s="3" t="s">
        <v>1526</v>
      </c>
      <c r="G2319" s="7">
        <v>45915.68206485989</v>
      </c>
    </row>
    <row r="2320">
      <c r="A2320" s="3" t="s">
        <v>7854</v>
      </c>
      <c r="B2320" s="3" t="s">
        <v>704</v>
      </c>
      <c r="C2320" s="3" t="s">
        <v>1342</v>
      </c>
      <c r="D2320" s="3" t="s">
        <v>181</v>
      </c>
      <c r="E2320" s="3" t="s">
        <v>45</v>
      </c>
      <c r="F2320" s="3" t="s">
        <v>2118</v>
      </c>
      <c r="G2320" s="7">
        <v>45915.7532397053</v>
      </c>
    </row>
    <row r="2321">
      <c r="A2321" s="3" t="s">
        <v>7857</v>
      </c>
      <c r="B2321" s="3" t="s">
        <v>969</v>
      </c>
      <c r="C2321" s="3" t="s">
        <v>56</v>
      </c>
      <c r="D2321" s="3" t="s">
        <v>68</v>
      </c>
      <c r="E2321" s="3" t="s">
        <v>100</v>
      </c>
      <c r="F2321" s="3" t="s">
        <v>1279</v>
      </c>
      <c r="G2321" s="7">
        <v>45915.82441455071</v>
      </c>
    </row>
    <row r="2322">
      <c r="A2322" s="3" t="s">
        <v>7858</v>
      </c>
      <c r="B2322" s="3" t="s">
        <v>256</v>
      </c>
      <c r="C2322" s="3" t="s">
        <v>1095</v>
      </c>
      <c r="D2322" s="3" t="s">
        <v>68</v>
      </c>
      <c r="E2322" s="3" t="s">
        <v>100</v>
      </c>
      <c r="F2322" s="3" t="s">
        <v>837</v>
      </c>
      <c r="G2322" s="7">
        <v>45915.89558939613</v>
      </c>
    </row>
    <row r="2323">
      <c r="A2323" s="3" t="s">
        <v>7859</v>
      </c>
      <c r="B2323" s="3" t="s">
        <v>1040</v>
      </c>
      <c r="C2323" s="3" t="s">
        <v>1342</v>
      </c>
      <c r="D2323" s="3" t="s">
        <v>68</v>
      </c>
      <c r="E2323" s="3" t="s">
        <v>100</v>
      </c>
      <c r="F2323" s="3" t="s">
        <v>1201</v>
      </c>
      <c r="G2323" s="7">
        <v>45915.966764241544</v>
      </c>
    </row>
    <row r="2324">
      <c r="A2324" s="3" t="s">
        <v>7862</v>
      </c>
      <c r="B2324" s="3" t="s">
        <v>510</v>
      </c>
      <c r="C2324" s="3" t="s">
        <v>1342</v>
      </c>
      <c r="D2324" s="3" t="s">
        <v>68</v>
      </c>
      <c r="E2324" s="3" t="s">
        <v>100</v>
      </c>
      <c r="F2324" s="3" t="s">
        <v>741</v>
      </c>
      <c r="G2324" s="7">
        <v>45916.03793908696</v>
      </c>
    </row>
    <row r="2325">
      <c r="A2325" s="3" t="s">
        <v>7865</v>
      </c>
      <c r="B2325" s="3" t="s">
        <v>574</v>
      </c>
      <c r="C2325" s="3" t="s">
        <v>1342</v>
      </c>
      <c r="D2325" s="3" t="s">
        <v>68</v>
      </c>
      <c r="E2325" s="3" t="s">
        <v>100</v>
      </c>
      <c r="F2325" s="3" t="s">
        <v>668</v>
      </c>
      <c r="G2325" s="7">
        <v>45916.109113932376</v>
      </c>
    </row>
    <row r="2326">
      <c r="A2326" s="3" t="s">
        <v>7868</v>
      </c>
      <c r="B2326" s="3" t="s">
        <v>593</v>
      </c>
      <c r="C2326" s="3" t="s">
        <v>56</v>
      </c>
      <c r="D2326" s="3" t="s">
        <v>68</v>
      </c>
      <c r="E2326" s="3" t="s">
        <v>100</v>
      </c>
      <c r="F2326" s="3" t="s">
        <v>1281</v>
      </c>
      <c r="G2326" s="7">
        <v>45916.180288777796</v>
      </c>
    </row>
    <row r="2327">
      <c r="A2327" s="3" t="s">
        <v>7872</v>
      </c>
      <c r="B2327" s="3" t="s">
        <v>512</v>
      </c>
      <c r="C2327" s="3" t="s">
        <v>56</v>
      </c>
      <c r="D2327" s="3" t="s">
        <v>68</v>
      </c>
      <c r="E2327" s="3" t="s">
        <v>100</v>
      </c>
      <c r="F2327" s="3" t="s">
        <v>1284</v>
      </c>
      <c r="G2327" s="7">
        <v>45916.2514636232</v>
      </c>
    </row>
    <row r="2328">
      <c r="A2328" s="3" t="s">
        <v>7876</v>
      </c>
      <c r="B2328" s="3" t="s">
        <v>400</v>
      </c>
      <c r="C2328" s="3" t="s">
        <v>56</v>
      </c>
      <c r="D2328" s="3" t="s">
        <v>68</v>
      </c>
      <c r="E2328" s="3" t="s">
        <v>100</v>
      </c>
      <c r="F2328" s="3" t="s">
        <v>1286</v>
      </c>
      <c r="G2328" s="7">
        <v>45916.32263846862</v>
      </c>
    </row>
    <row r="2329">
      <c r="A2329" s="3" t="s">
        <v>7878</v>
      </c>
      <c r="B2329" s="3" t="s">
        <v>322</v>
      </c>
      <c r="C2329" s="3" t="s">
        <v>1095</v>
      </c>
      <c r="D2329" s="3" t="s">
        <v>68</v>
      </c>
      <c r="E2329" s="3" t="s">
        <v>100</v>
      </c>
      <c r="F2329" s="3" t="s">
        <v>1033</v>
      </c>
      <c r="G2329" s="7">
        <v>45916.39381331403</v>
      </c>
    </row>
    <row r="2330">
      <c r="A2330" s="3" t="s">
        <v>7881</v>
      </c>
      <c r="B2330" s="3" t="s">
        <v>756</v>
      </c>
      <c r="C2330" s="3" t="s">
        <v>1342</v>
      </c>
      <c r="D2330" s="3" t="s">
        <v>68</v>
      </c>
      <c r="E2330" s="3" t="s">
        <v>100</v>
      </c>
      <c r="F2330" s="3" t="s">
        <v>2034</v>
      </c>
      <c r="G2330" s="7">
        <v>45916.46498815945</v>
      </c>
    </row>
    <row r="2331">
      <c r="A2331" s="3" t="s">
        <v>7883</v>
      </c>
      <c r="B2331" s="3" t="s">
        <v>561</v>
      </c>
      <c r="C2331" s="3" t="s">
        <v>1342</v>
      </c>
      <c r="D2331" s="3" t="s">
        <v>68</v>
      </c>
      <c r="E2331" s="3" t="s">
        <v>100</v>
      </c>
      <c r="F2331" s="3" t="s">
        <v>977</v>
      </c>
      <c r="G2331" s="7">
        <v>45916.536163004865</v>
      </c>
    </row>
    <row r="2332">
      <c r="A2332" s="3" t="s">
        <v>7886</v>
      </c>
      <c r="B2332" s="3" t="s">
        <v>689</v>
      </c>
      <c r="C2332" s="3" t="s">
        <v>1095</v>
      </c>
      <c r="D2332" s="3" t="s">
        <v>68</v>
      </c>
      <c r="E2332" s="3" t="s">
        <v>100</v>
      </c>
      <c r="F2332" s="3" t="s">
        <v>823</v>
      </c>
      <c r="G2332" s="7">
        <v>45916.607337850284</v>
      </c>
    </row>
    <row r="2333">
      <c r="A2333" s="3" t="s">
        <v>7890</v>
      </c>
      <c r="B2333" s="3" t="s">
        <v>781</v>
      </c>
      <c r="C2333" s="3" t="s">
        <v>56</v>
      </c>
      <c r="D2333" s="3" t="s">
        <v>68</v>
      </c>
      <c r="E2333" s="3" t="s">
        <v>100</v>
      </c>
      <c r="F2333" s="3" t="s">
        <v>1289</v>
      </c>
      <c r="G2333" s="7">
        <v>45916.67851269569</v>
      </c>
    </row>
    <row r="2334">
      <c r="A2334" s="3" t="s">
        <v>7893</v>
      </c>
      <c r="B2334" s="3" t="s">
        <v>215</v>
      </c>
      <c r="C2334" s="3" t="s">
        <v>56</v>
      </c>
      <c r="D2334" s="3" t="s">
        <v>68</v>
      </c>
      <c r="E2334" s="3" t="s">
        <v>100</v>
      </c>
      <c r="F2334" s="3" t="s">
        <v>1291</v>
      </c>
      <c r="G2334" s="7">
        <v>45916.74968754111</v>
      </c>
    </row>
    <row r="2335">
      <c r="A2335" s="3" t="s">
        <v>7897</v>
      </c>
      <c r="B2335" s="3" t="s">
        <v>333</v>
      </c>
      <c r="C2335" s="3" t="s">
        <v>1095</v>
      </c>
      <c r="D2335" s="3" t="s">
        <v>68</v>
      </c>
      <c r="E2335" s="3" t="s">
        <v>100</v>
      </c>
      <c r="F2335" s="3" t="s">
        <v>1251</v>
      </c>
      <c r="G2335" s="7">
        <v>45916.82086238653</v>
      </c>
    </row>
    <row r="2336">
      <c r="A2336" s="3" t="s">
        <v>7900</v>
      </c>
      <c r="B2336" s="3" t="s">
        <v>515</v>
      </c>
      <c r="C2336" s="3" t="s">
        <v>56</v>
      </c>
      <c r="D2336" s="3" t="s">
        <v>181</v>
      </c>
      <c r="E2336" s="3" t="s">
        <v>45</v>
      </c>
      <c r="F2336" s="3" t="s">
        <v>45</v>
      </c>
      <c r="G2336" s="7">
        <v>45916.89203723194</v>
      </c>
    </row>
    <row r="2337">
      <c r="A2337" s="3" t="s">
        <v>7903</v>
      </c>
      <c r="B2337" s="3" t="s">
        <v>916</v>
      </c>
      <c r="C2337" s="3" t="s">
        <v>1095</v>
      </c>
      <c r="D2337" s="3" t="s">
        <v>68</v>
      </c>
      <c r="E2337" s="3" t="s">
        <v>100</v>
      </c>
      <c r="F2337" s="3" t="s">
        <v>1079</v>
      </c>
      <c r="G2337" s="7">
        <v>45916.96321207735</v>
      </c>
    </row>
    <row r="2338">
      <c r="A2338" s="3" t="s">
        <v>7906</v>
      </c>
      <c r="B2338" s="3" t="s">
        <v>380</v>
      </c>
      <c r="C2338" s="3" t="s">
        <v>56</v>
      </c>
      <c r="D2338" s="3" t="s">
        <v>68</v>
      </c>
      <c r="E2338" s="3" t="s">
        <v>100</v>
      </c>
      <c r="F2338" s="3" t="s">
        <v>1295</v>
      </c>
      <c r="G2338" s="7">
        <v>45917.03438692277</v>
      </c>
    </row>
    <row r="2339">
      <c r="A2339" s="3" t="s">
        <v>7909</v>
      </c>
      <c r="B2339" s="3" t="s">
        <v>689</v>
      </c>
      <c r="C2339" s="3" t="s">
        <v>56</v>
      </c>
      <c r="D2339" s="3" t="s">
        <v>68</v>
      </c>
      <c r="E2339" s="3" t="s">
        <v>100</v>
      </c>
      <c r="F2339" s="3" t="s">
        <v>1297</v>
      </c>
      <c r="G2339" s="7">
        <v>45917.105561768185</v>
      </c>
    </row>
    <row r="2340">
      <c r="A2340" s="3" t="s">
        <v>7912</v>
      </c>
      <c r="B2340" s="3" t="s">
        <v>446</v>
      </c>
      <c r="C2340" s="3" t="s">
        <v>1342</v>
      </c>
      <c r="D2340" s="3" t="s">
        <v>68</v>
      </c>
      <c r="E2340" s="3" t="s">
        <v>100</v>
      </c>
      <c r="F2340" s="3" t="s">
        <v>1884</v>
      </c>
      <c r="G2340" s="7">
        <v>45917.1767366136</v>
      </c>
    </row>
    <row r="2341">
      <c r="A2341" s="3" t="s">
        <v>7915</v>
      </c>
      <c r="B2341" s="3" t="s">
        <v>665</v>
      </c>
      <c r="C2341" s="3" t="s">
        <v>1342</v>
      </c>
      <c r="D2341" s="3" t="s">
        <v>181</v>
      </c>
      <c r="E2341" s="3" t="s">
        <v>45</v>
      </c>
      <c r="F2341" s="3" t="s">
        <v>595</v>
      </c>
      <c r="G2341" s="7">
        <v>45917.24791145902</v>
      </c>
    </row>
    <row r="2342">
      <c r="A2342" s="3" t="s">
        <v>7918</v>
      </c>
      <c r="B2342" s="3" t="s">
        <v>826</v>
      </c>
      <c r="C2342" s="3" t="s">
        <v>1342</v>
      </c>
      <c r="D2342" s="3" t="s">
        <v>68</v>
      </c>
      <c r="E2342" s="3" t="s">
        <v>100</v>
      </c>
      <c r="F2342" s="3" t="s">
        <v>693</v>
      </c>
      <c r="G2342" s="7">
        <v>45917.31908630444</v>
      </c>
    </row>
    <row r="2343">
      <c r="A2343" s="3" t="s">
        <v>7921</v>
      </c>
      <c r="B2343" s="3" t="s">
        <v>561</v>
      </c>
      <c r="C2343" s="3" t="s">
        <v>1095</v>
      </c>
      <c r="D2343" s="3" t="s">
        <v>68</v>
      </c>
      <c r="E2343" s="3" t="s">
        <v>100</v>
      </c>
      <c r="F2343" s="3" t="s">
        <v>977</v>
      </c>
      <c r="G2343" s="7">
        <v>45917.39026114984</v>
      </c>
    </row>
    <row r="2344">
      <c r="A2344" s="3" t="s">
        <v>7924</v>
      </c>
      <c r="B2344" s="3" t="s">
        <v>922</v>
      </c>
      <c r="C2344" s="3" t="s">
        <v>1342</v>
      </c>
      <c r="D2344" s="3" t="s">
        <v>68</v>
      </c>
      <c r="E2344" s="3" t="s">
        <v>100</v>
      </c>
      <c r="F2344" s="3" t="s">
        <v>855</v>
      </c>
      <c r="G2344" s="7">
        <v>45917.46143599526</v>
      </c>
    </row>
    <row r="2345">
      <c r="A2345" s="3" t="s">
        <v>7927</v>
      </c>
      <c r="B2345" s="3" t="s">
        <v>569</v>
      </c>
      <c r="C2345" s="3" t="s">
        <v>1095</v>
      </c>
      <c r="D2345" s="3" t="s">
        <v>68</v>
      </c>
      <c r="E2345" s="3" t="s">
        <v>100</v>
      </c>
      <c r="F2345" s="3" t="s">
        <v>1627</v>
      </c>
      <c r="G2345" s="7">
        <v>45917.53261084068</v>
      </c>
    </row>
    <row r="2346">
      <c r="A2346" s="3" t="s">
        <v>7930</v>
      </c>
      <c r="B2346" s="3" t="s">
        <v>665</v>
      </c>
      <c r="C2346" s="3" t="s">
        <v>1095</v>
      </c>
      <c r="D2346" s="3" t="s">
        <v>68</v>
      </c>
      <c r="E2346" s="3" t="s">
        <v>100</v>
      </c>
      <c r="F2346" s="3" t="s">
        <v>595</v>
      </c>
      <c r="G2346" s="7">
        <v>45917.60378568609</v>
      </c>
    </row>
    <row r="2347">
      <c r="A2347" s="3" t="s">
        <v>7933</v>
      </c>
      <c r="B2347" s="3" t="s">
        <v>643</v>
      </c>
      <c r="C2347" s="3" t="s">
        <v>56</v>
      </c>
      <c r="D2347" s="3" t="s">
        <v>68</v>
      </c>
      <c r="E2347" s="3" t="s">
        <v>100</v>
      </c>
      <c r="F2347" s="3" t="s">
        <v>1300</v>
      </c>
      <c r="G2347" s="7">
        <v>45917.674960531505</v>
      </c>
    </row>
    <row r="2348">
      <c r="A2348" s="3" t="s">
        <v>7938</v>
      </c>
      <c r="B2348" s="3" t="s">
        <v>627</v>
      </c>
      <c r="C2348" s="3" t="s">
        <v>1342</v>
      </c>
      <c r="D2348" s="3" t="s">
        <v>68</v>
      </c>
      <c r="E2348" s="3" t="s">
        <v>100</v>
      </c>
      <c r="F2348" s="3" t="s">
        <v>1211</v>
      </c>
      <c r="G2348" s="7">
        <v>45917.746135376925</v>
      </c>
    </row>
    <row r="2349">
      <c r="A2349" s="3" t="s">
        <v>7943</v>
      </c>
      <c r="B2349" s="3" t="s">
        <v>860</v>
      </c>
      <c r="C2349" s="3" t="s">
        <v>56</v>
      </c>
      <c r="D2349" s="3" t="s">
        <v>68</v>
      </c>
      <c r="E2349" s="3" t="s">
        <v>100</v>
      </c>
      <c r="F2349" s="3" t="s">
        <v>1302</v>
      </c>
      <c r="G2349" s="7">
        <v>45917.81731022234</v>
      </c>
    </row>
    <row r="2350">
      <c r="A2350" s="3" t="s">
        <v>7946</v>
      </c>
      <c r="B2350" s="3" t="s">
        <v>643</v>
      </c>
      <c r="C2350" s="3" t="s">
        <v>1342</v>
      </c>
      <c r="D2350" s="3" t="s">
        <v>68</v>
      </c>
      <c r="E2350" s="3" t="s">
        <v>100</v>
      </c>
      <c r="F2350" s="3" t="s">
        <v>1300</v>
      </c>
      <c r="G2350" s="7">
        <v>45917.88848506775</v>
      </c>
    </row>
    <row r="2351">
      <c r="A2351" s="3" t="s">
        <v>7949</v>
      </c>
      <c r="B2351" s="3" t="s">
        <v>575</v>
      </c>
      <c r="C2351" s="3" t="s">
        <v>1342</v>
      </c>
      <c r="D2351" s="3" t="s">
        <v>68</v>
      </c>
      <c r="E2351" s="3" t="s">
        <v>100</v>
      </c>
      <c r="F2351" s="3" t="s">
        <v>1119</v>
      </c>
      <c r="G2351" s="7">
        <v>45917.95965991317</v>
      </c>
    </row>
    <row r="2352">
      <c r="A2352" s="3" t="s">
        <v>7952</v>
      </c>
      <c r="B2352" s="3" t="s">
        <v>219</v>
      </c>
      <c r="C2352" s="3" t="s">
        <v>1342</v>
      </c>
      <c r="D2352" s="3" t="s">
        <v>68</v>
      </c>
      <c r="E2352" s="3" t="s">
        <v>100</v>
      </c>
      <c r="F2352" s="3" t="s">
        <v>728</v>
      </c>
      <c r="G2352" s="7">
        <v>45918.03083475858</v>
      </c>
    </row>
    <row r="2353">
      <c r="A2353" s="3" t="s">
        <v>7954</v>
      </c>
      <c r="B2353" s="3" t="s">
        <v>689</v>
      </c>
      <c r="C2353" s="3" t="s">
        <v>1342</v>
      </c>
      <c r="D2353" s="3" t="s">
        <v>181</v>
      </c>
      <c r="E2353" s="3" t="s">
        <v>45</v>
      </c>
      <c r="F2353" s="3" t="s">
        <v>1297</v>
      </c>
      <c r="G2353" s="7">
        <v>45918.102009603994</v>
      </c>
    </row>
    <row r="2354">
      <c r="A2354" s="3" t="s">
        <v>7956</v>
      </c>
      <c r="B2354" s="3" t="s">
        <v>336</v>
      </c>
      <c r="C2354" s="3" t="s">
        <v>1095</v>
      </c>
      <c r="D2354" s="3" t="s">
        <v>68</v>
      </c>
      <c r="E2354" s="3" t="s">
        <v>100</v>
      </c>
      <c r="F2354" s="3" t="s">
        <v>653</v>
      </c>
      <c r="G2354" s="7">
        <v>45918.17318444941</v>
      </c>
    </row>
    <row r="2355">
      <c r="A2355" s="3" t="s">
        <v>7958</v>
      </c>
      <c r="B2355" s="3" t="s">
        <v>947</v>
      </c>
      <c r="C2355" s="3" t="s">
        <v>1342</v>
      </c>
      <c r="D2355" s="3" t="s">
        <v>68</v>
      </c>
      <c r="E2355" s="3" t="s">
        <v>100</v>
      </c>
      <c r="F2355" s="3" t="s">
        <v>1855</v>
      </c>
      <c r="G2355" s="7">
        <v>45918.244359294826</v>
      </c>
    </row>
    <row r="2356">
      <c r="A2356" s="3" t="s">
        <v>7961</v>
      </c>
      <c r="B2356" s="3" t="s">
        <v>1021</v>
      </c>
      <c r="C2356" s="3" t="s">
        <v>56</v>
      </c>
      <c r="D2356" s="3" t="s">
        <v>68</v>
      </c>
      <c r="E2356" s="3" t="s">
        <v>100</v>
      </c>
      <c r="F2356" s="3" t="s">
        <v>1305</v>
      </c>
      <c r="G2356" s="7">
        <v>45918.31553414024</v>
      </c>
    </row>
    <row r="2357">
      <c r="A2357" s="3" t="s">
        <v>7965</v>
      </c>
      <c r="B2357" s="3" t="s">
        <v>845</v>
      </c>
      <c r="C2357" s="3" t="s">
        <v>1342</v>
      </c>
      <c r="D2357" s="3" t="s">
        <v>68</v>
      </c>
      <c r="E2357" s="3" t="s">
        <v>100</v>
      </c>
      <c r="F2357" s="3" t="s">
        <v>1100</v>
      </c>
      <c r="G2357" s="7">
        <v>45918.38670898566</v>
      </c>
    </row>
    <row r="2358">
      <c r="A2358" s="3" t="s">
        <v>7968</v>
      </c>
      <c r="B2358" s="3" t="s">
        <v>980</v>
      </c>
      <c r="C2358" s="3" t="s">
        <v>56</v>
      </c>
      <c r="D2358" s="3" t="s">
        <v>68</v>
      </c>
      <c r="E2358" s="3" t="s">
        <v>100</v>
      </c>
      <c r="F2358" s="3" t="s">
        <v>1307</v>
      </c>
      <c r="G2358" s="7">
        <v>45918.45788383108</v>
      </c>
    </row>
    <row r="2359">
      <c r="A2359" s="3" t="s">
        <v>7971</v>
      </c>
      <c r="B2359" s="3" t="s">
        <v>702</v>
      </c>
      <c r="C2359" s="3" t="s">
        <v>1342</v>
      </c>
      <c r="D2359" s="3" t="s">
        <v>68</v>
      </c>
      <c r="E2359" s="3" t="s">
        <v>100</v>
      </c>
      <c r="F2359" s="3" t="s">
        <v>1196</v>
      </c>
      <c r="G2359" s="7">
        <v>45918.52905867648</v>
      </c>
    </row>
    <row r="2360">
      <c r="A2360" s="3" t="s">
        <v>7975</v>
      </c>
      <c r="B2360" s="3" t="s">
        <v>313</v>
      </c>
      <c r="C2360" s="3" t="s">
        <v>1095</v>
      </c>
      <c r="D2360" s="3" t="s">
        <v>68</v>
      </c>
      <c r="E2360" s="3" t="s">
        <v>100</v>
      </c>
      <c r="F2360" s="3" t="s">
        <v>1237</v>
      </c>
      <c r="G2360" s="7">
        <v>45918.6002335219</v>
      </c>
    </row>
    <row r="2361">
      <c r="A2361" s="3" t="s">
        <v>7979</v>
      </c>
      <c r="B2361" s="3" t="s">
        <v>601</v>
      </c>
      <c r="C2361" s="3" t="s">
        <v>1342</v>
      </c>
      <c r="D2361" s="3" t="s">
        <v>68</v>
      </c>
      <c r="E2361" s="3" t="s">
        <v>100</v>
      </c>
      <c r="F2361" s="3" t="s">
        <v>1156</v>
      </c>
      <c r="G2361" s="7">
        <v>45918.67140836732</v>
      </c>
    </row>
    <row r="2362">
      <c r="A2362" s="3" t="s">
        <v>7982</v>
      </c>
      <c r="B2362" s="3" t="s">
        <v>501</v>
      </c>
      <c r="C2362" s="3" t="s">
        <v>1342</v>
      </c>
      <c r="D2362" s="3" t="s">
        <v>68</v>
      </c>
      <c r="E2362" s="3" t="s">
        <v>100</v>
      </c>
      <c r="F2362" s="3" t="s">
        <v>1158</v>
      </c>
      <c r="G2362" s="7">
        <v>45918.742583212734</v>
      </c>
    </row>
    <row r="2363">
      <c r="A2363" s="3" t="s">
        <v>7985</v>
      </c>
      <c r="B2363" s="3" t="s">
        <v>527</v>
      </c>
      <c r="C2363" s="3" t="s">
        <v>56</v>
      </c>
      <c r="D2363" s="3" t="s">
        <v>68</v>
      </c>
      <c r="E2363" s="3" t="s">
        <v>100</v>
      </c>
      <c r="F2363" s="3" t="s">
        <v>1310</v>
      </c>
      <c r="G2363" s="7">
        <v>45918.813758058146</v>
      </c>
    </row>
    <row r="2364">
      <c r="A2364" s="3" t="s">
        <v>7989</v>
      </c>
      <c r="B2364" s="3" t="s">
        <v>969</v>
      </c>
      <c r="C2364" s="3" t="s">
        <v>1342</v>
      </c>
      <c r="D2364" s="3" t="s">
        <v>68</v>
      </c>
      <c r="E2364" s="3" t="s">
        <v>100</v>
      </c>
      <c r="F2364" s="3" t="s">
        <v>1279</v>
      </c>
      <c r="G2364" s="7">
        <v>45918.884932903566</v>
      </c>
    </row>
    <row r="2365">
      <c r="A2365" s="3" t="s">
        <v>7992</v>
      </c>
      <c r="B2365" s="3" t="s">
        <v>391</v>
      </c>
      <c r="C2365" s="3" t="s">
        <v>1095</v>
      </c>
      <c r="D2365" s="3" t="s">
        <v>68</v>
      </c>
      <c r="E2365" s="3" t="s">
        <v>100</v>
      </c>
      <c r="F2365" s="3" t="s">
        <v>526</v>
      </c>
      <c r="G2365" s="7">
        <v>45918.95610774898</v>
      </c>
    </row>
    <row r="2366">
      <c r="A2366" s="3" t="s">
        <v>7994</v>
      </c>
      <c r="B2366" s="3" t="s">
        <v>322</v>
      </c>
      <c r="C2366" s="3" t="s">
        <v>56</v>
      </c>
      <c r="D2366" s="3" t="s">
        <v>195</v>
      </c>
      <c r="E2366" s="3" t="s">
        <v>45</v>
      </c>
      <c r="F2366" s="3" t="s">
        <v>45</v>
      </c>
      <c r="G2366" s="7">
        <v>45919.02728259439</v>
      </c>
    </row>
    <row r="2367">
      <c r="A2367" s="3" t="s">
        <v>7996</v>
      </c>
      <c r="B2367" s="3" t="s">
        <v>822</v>
      </c>
      <c r="C2367" s="3" t="s">
        <v>56</v>
      </c>
      <c r="D2367" s="3" t="s">
        <v>68</v>
      </c>
      <c r="E2367" s="3" t="s">
        <v>100</v>
      </c>
      <c r="F2367" s="3" t="s">
        <v>1313</v>
      </c>
      <c r="G2367" s="7">
        <v>45919.09845743981</v>
      </c>
    </row>
    <row r="2368">
      <c r="A2368" s="3" t="s">
        <v>7998</v>
      </c>
      <c r="B2368" s="3" t="s">
        <v>841</v>
      </c>
      <c r="C2368" s="3" t="s">
        <v>56</v>
      </c>
      <c r="D2368" s="3" t="s">
        <v>181</v>
      </c>
      <c r="E2368" s="3" t="s">
        <v>45</v>
      </c>
      <c r="F2368" s="3" t="s">
        <v>45</v>
      </c>
      <c r="G2368" s="7">
        <v>45919.16963228523</v>
      </c>
    </row>
    <row r="2369">
      <c r="A2369" s="3" t="s">
        <v>8000</v>
      </c>
      <c r="B2369" s="3" t="s">
        <v>322</v>
      </c>
      <c r="C2369" s="3" t="s">
        <v>56</v>
      </c>
      <c r="D2369" s="3" t="s">
        <v>68</v>
      </c>
      <c r="E2369" s="3" t="s">
        <v>100</v>
      </c>
      <c r="F2369" s="3" t="s">
        <v>1315</v>
      </c>
      <c r="G2369" s="7">
        <v>45919.240807130634</v>
      </c>
    </row>
    <row r="2370">
      <c r="A2370" s="3" t="s">
        <v>8003</v>
      </c>
      <c r="B2370" s="3" t="s">
        <v>883</v>
      </c>
      <c r="C2370" s="3" t="s">
        <v>56</v>
      </c>
      <c r="D2370" s="3" t="s">
        <v>68</v>
      </c>
      <c r="E2370" s="3" t="s">
        <v>100</v>
      </c>
      <c r="F2370" s="3" t="s">
        <v>1318</v>
      </c>
      <c r="G2370" s="7">
        <v>45919.311981976054</v>
      </c>
    </row>
    <row r="2371">
      <c r="A2371" s="3" t="s">
        <v>8007</v>
      </c>
      <c r="B2371" s="3" t="s">
        <v>920</v>
      </c>
      <c r="C2371" s="3" t="s">
        <v>1342</v>
      </c>
      <c r="D2371" s="3" t="s">
        <v>68</v>
      </c>
      <c r="E2371" s="3" t="s">
        <v>100</v>
      </c>
      <c r="F2371" s="3" t="s">
        <v>1039</v>
      </c>
      <c r="G2371" s="7">
        <v>45919.38315682147</v>
      </c>
    </row>
    <row r="2372">
      <c r="A2372" s="3" t="s">
        <v>8010</v>
      </c>
      <c r="B2372" s="3" t="s">
        <v>293</v>
      </c>
      <c r="C2372" s="3" t="s">
        <v>1342</v>
      </c>
      <c r="D2372" s="3" t="s">
        <v>68</v>
      </c>
      <c r="E2372" s="3" t="s">
        <v>100</v>
      </c>
      <c r="F2372" s="3" t="s">
        <v>1270</v>
      </c>
      <c r="G2372" s="7">
        <v>45919.454331666886</v>
      </c>
    </row>
    <row r="2373">
      <c r="A2373" s="3" t="s">
        <v>8013</v>
      </c>
      <c r="B2373" s="3" t="s">
        <v>310</v>
      </c>
      <c r="C2373" s="3" t="s">
        <v>1342</v>
      </c>
      <c r="D2373" s="3" t="s">
        <v>68</v>
      </c>
      <c r="E2373" s="3" t="s">
        <v>100</v>
      </c>
      <c r="F2373" s="3" t="s">
        <v>1728</v>
      </c>
      <c r="G2373" s="7">
        <v>45919.5255065123</v>
      </c>
    </row>
    <row r="2374">
      <c r="A2374" s="3" t="s">
        <v>8016</v>
      </c>
      <c r="B2374" s="3" t="s">
        <v>481</v>
      </c>
      <c r="C2374" s="3" t="s">
        <v>1342</v>
      </c>
      <c r="D2374" s="3" t="s">
        <v>68</v>
      </c>
      <c r="E2374" s="3" t="s">
        <v>100</v>
      </c>
      <c r="F2374" s="3" t="s">
        <v>518</v>
      </c>
      <c r="G2374" s="7">
        <v>45919.59668135772</v>
      </c>
    </row>
    <row r="2375">
      <c r="A2375" s="3" t="s">
        <v>8019</v>
      </c>
      <c r="B2375" s="3" t="s">
        <v>137</v>
      </c>
      <c r="C2375" s="3" t="s">
        <v>1342</v>
      </c>
      <c r="D2375" s="3" t="s">
        <v>68</v>
      </c>
      <c r="E2375" s="3" t="s">
        <v>100</v>
      </c>
      <c r="F2375" s="3" t="s">
        <v>1824</v>
      </c>
      <c r="G2375" s="7">
        <v>45919.66785620312</v>
      </c>
    </row>
    <row r="2376">
      <c r="A2376" s="3" t="s">
        <v>8022</v>
      </c>
      <c r="B2376" s="3" t="s">
        <v>219</v>
      </c>
      <c r="C2376" s="3" t="s">
        <v>1342</v>
      </c>
      <c r="D2376" s="3" t="s">
        <v>181</v>
      </c>
      <c r="E2376" s="3" t="s">
        <v>45</v>
      </c>
      <c r="F2376" s="3" t="s">
        <v>728</v>
      </c>
      <c r="G2376" s="7">
        <v>45919.73903104854</v>
      </c>
    </row>
    <row r="2377">
      <c r="A2377" s="3" t="s">
        <v>8023</v>
      </c>
      <c r="B2377" s="3" t="s">
        <v>789</v>
      </c>
      <c r="C2377" s="3" t="s">
        <v>1342</v>
      </c>
      <c r="D2377" s="3" t="s">
        <v>68</v>
      </c>
      <c r="E2377" s="3" t="s">
        <v>100</v>
      </c>
      <c r="F2377" s="3" t="s">
        <v>1234</v>
      </c>
      <c r="G2377" s="7">
        <v>45919.81020589396</v>
      </c>
    </row>
    <row r="2378">
      <c r="A2378" s="3" t="s">
        <v>8026</v>
      </c>
      <c r="B2378" s="3" t="s">
        <v>419</v>
      </c>
      <c r="C2378" s="3" t="s">
        <v>1095</v>
      </c>
      <c r="D2378" s="3" t="s">
        <v>68</v>
      </c>
      <c r="E2378" s="3" t="s">
        <v>100</v>
      </c>
      <c r="F2378" s="3" t="s">
        <v>983</v>
      </c>
      <c r="G2378" s="7">
        <v>45919.881380739374</v>
      </c>
    </row>
    <row r="2379">
      <c r="A2379" s="3" t="s">
        <v>8029</v>
      </c>
      <c r="B2379" s="3" t="s">
        <v>380</v>
      </c>
      <c r="C2379" s="3" t="s">
        <v>1095</v>
      </c>
      <c r="D2379" s="3" t="s">
        <v>68</v>
      </c>
      <c r="E2379" s="3" t="s">
        <v>100</v>
      </c>
      <c r="F2379" s="3" t="s">
        <v>1295</v>
      </c>
      <c r="G2379" s="7">
        <v>45919.95255558479</v>
      </c>
    </row>
    <row r="2380">
      <c r="A2380" s="3" t="s">
        <v>8033</v>
      </c>
      <c r="B2380" s="3" t="s">
        <v>326</v>
      </c>
      <c r="C2380" s="3" t="s">
        <v>1095</v>
      </c>
      <c r="D2380" s="3" t="s">
        <v>68</v>
      </c>
      <c r="E2380" s="3" t="s">
        <v>100</v>
      </c>
      <c r="F2380" s="3" t="s">
        <v>1730</v>
      </c>
      <c r="G2380" s="7">
        <v>45920.023730430206</v>
      </c>
    </row>
    <row r="2381">
      <c r="A2381" s="3" t="s">
        <v>8037</v>
      </c>
      <c r="B2381" s="3" t="s">
        <v>356</v>
      </c>
      <c r="C2381" s="3" t="s">
        <v>1095</v>
      </c>
      <c r="D2381" s="3" t="s">
        <v>181</v>
      </c>
      <c r="E2381" s="3" t="s">
        <v>45</v>
      </c>
      <c r="F2381" s="3" t="s">
        <v>1609</v>
      </c>
      <c r="G2381" s="7">
        <v>45920.09490527562</v>
      </c>
    </row>
    <row r="2382">
      <c r="A2382" s="3" t="s">
        <v>8040</v>
      </c>
      <c r="B2382" s="3" t="s">
        <v>853</v>
      </c>
      <c r="C2382" s="3" t="s">
        <v>1095</v>
      </c>
      <c r="D2382" s="3" t="s">
        <v>68</v>
      </c>
      <c r="E2382" s="3" t="s">
        <v>100</v>
      </c>
      <c r="F2382" s="3" t="s">
        <v>1135</v>
      </c>
      <c r="G2382" s="7">
        <v>45920.16608012103</v>
      </c>
    </row>
    <row r="2383">
      <c r="A2383" s="3" t="s">
        <v>8043</v>
      </c>
      <c r="B2383" s="3" t="s">
        <v>193</v>
      </c>
      <c r="C2383" s="3" t="s">
        <v>1095</v>
      </c>
      <c r="D2383" s="3" t="s">
        <v>68</v>
      </c>
      <c r="E2383" s="3" t="s">
        <v>100</v>
      </c>
      <c r="F2383" s="3" t="s">
        <v>688</v>
      </c>
      <c r="G2383" s="7">
        <v>45920.23725496645</v>
      </c>
    </row>
    <row r="2384">
      <c r="A2384" s="3" t="s">
        <v>8045</v>
      </c>
      <c r="B2384" s="3" t="s">
        <v>512</v>
      </c>
      <c r="C2384" s="3" t="s">
        <v>1342</v>
      </c>
      <c r="D2384" s="3" t="s">
        <v>68</v>
      </c>
      <c r="E2384" s="3" t="s">
        <v>100</v>
      </c>
      <c r="F2384" s="3" t="s">
        <v>1284</v>
      </c>
      <c r="G2384" s="7">
        <v>45920.30842981187</v>
      </c>
    </row>
    <row r="2385">
      <c r="A2385" s="3" t="s">
        <v>8047</v>
      </c>
      <c r="B2385" s="3" t="s">
        <v>929</v>
      </c>
      <c r="C2385" s="3" t="s">
        <v>1342</v>
      </c>
      <c r="D2385" s="3" t="s">
        <v>68</v>
      </c>
      <c r="E2385" s="3" t="s">
        <v>100</v>
      </c>
      <c r="F2385" s="3" t="s">
        <v>1161</v>
      </c>
      <c r="G2385" s="7">
        <v>45920.379604657275</v>
      </c>
    </row>
    <row r="2386">
      <c r="A2386" s="3" t="s">
        <v>8049</v>
      </c>
      <c r="B2386" s="3" t="s">
        <v>770</v>
      </c>
      <c r="C2386" s="3" t="s">
        <v>1095</v>
      </c>
      <c r="D2386" s="3" t="s">
        <v>68</v>
      </c>
      <c r="E2386" s="3" t="s">
        <v>100</v>
      </c>
      <c r="F2386" s="3" t="s">
        <v>1426</v>
      </c>
      <c r="G2386" s="7">
        <v>45920.450779502695</v>
      </c>
    </row>
    <row r="2387">
      <c r="A2387" s="3" t="s">
        <v>8051</v>
      </c>
      <c r="B2387" s="3" t="s">
        <v>530</v>
      </c>
      <c r="C2387" s="3" t="s">
        <v>1342</v>
      </c>
      <c r="D2387" s="3" t="s">
        <v>68</v>
      </c>
      <c r="E2387" s="3" t="s">
        <v>100</v>
      </c>
      <c r="F2387" s="3" t="s">
        <v>1557</v>
      </c>
      <c r="G2387" s="7">
        <v>45920.521954348114</v>
      </c>
    </row>
    <row r="2388">
      <c r="A2388" s="3" t="s">
        <v>8054</v>
      </c>
      <c r="B2388" s="3" t="s">
        <v>676</v>
      </c>
      <c r="C2388" s="3" t="s">
        <v>1342</v>
      </c>
      <c r="D2388" s="3" t="s">
        <v>68</v>
      </c>
      <c r="E2388" s="3" t="s">
        <v>100</v>
      </c>
      <c r="F2388" s="3" t="s">
        <v>928</v>
      </c>
      <c r="G2388" s="7">
        <v>45920.59312919353</v>
      </c>
    </row>
    <row r="2389">
      <c r="A2389" s="3" t="s">
        <v>8056</v>
      </c>
      <c r="B2389" s="3" t="s">
        <v>310</v>
      </c>
      <c r="C2389" s="3" t="s">
        <v>1095</v>
      </c>
      <c r="D2389" s="3" t="s">
        <v>68</v>
      </c>
      <c r="E2389" s="3" t="s">
        <v>100</v>
      </c>
      <c r="F2389" s="3" t="s">
        <v>1728</v>
      </c>
      <c r="G2389" s="7">
        <v>45920.66430403894</v>
      </c>
    </row>
    <row r="2390">
      <c r="A2390" s="3" t="s">
        <v>8058</v>
      </c>
      <c r="B2390" s="3" t="s">
        <v>800</v>
      </c>
      <c r="C2390" s="3" t="s">
        <v>1095</v>
      </c>
      <c r="D2390" s="3" t="s">
        <v>68</v>
      </c>
      <c r="E2390" s="3" t="s">
        <v>100</v>
      </c>
      <c r="F2390" s="3" t="s">
        <v>1168</v>
      </c>
      <c r="G2390" s="7">
        <v>45920.73547888436</v>
      </c>
    </row>
    <row r="2391">
      <c r="A2391" s="3" t="s">
        <v>8061</v>
      </c>
      <c r="B2391" s="3" t="s">
        <v>243</v>
      </c>
      <c r="C2391" s="3" t="s">
        <v>1095</v>
      </c>
      <c r="D2391" s="3" t="s">
        <v>195</v>
      </c>
      <c r="E2391" s="3" t="s">
        <v>45</v>
      </c>
      <c r="F2391" s="3" t="s">
        <v>1256</v>
      </c>
      <c r="G2391" s="7">
        <v>45920.80665372977</v>
      </c>
    </row>
    <row r="2392">
      <c r="A2392" s="3" t="s">
        <v>8064</v>
      </c>
      <c r="B2392" s="3" t="s">
        <v>165</v>
      </c>
      <c r="C2392" s="3" t="s">
        <v>56</v>
      </c>
      <c r="D2392" s="3" t="s">
        <v>68</v>
      </c>
      <c r="E2392" s="3" t="s">
        <v>100</v>
      </c>
      <c r="F2392" s="3" t="s">
        <v>1319</v>
      </c>
      <c r="G2392" s="7">
        <v>45920.87782857518</v>
      </c>
    </row>
    <row r="2393">
      <c r="A2393" s="3" t="s">
        <v>8067</v>
      </c>
      <c r="B2393" s="3" t="s">
        <v>519</v>
      </c>
      <c r="C2393" s="3" t="s">
        <v>1342</v>
      </c>
      <c r="D2393" s="3" t="s">
        <v>181</v>
      </c>
      <c r="E2393" s="3" t="s">
        <v>45</v>
      </c>
      <c r="F2393" s="3" t="s">
        <v>774</v>
      </c>
      <c r="G2393" s="7">
        <v>45920.9490034206</v>
      </c>
    </row>
    <row r="2394">
      <c r="A2394" s="3" t="s">
        <v>8069</v>
      </c>
      <c r="B2394" s="3" t="s">
        <v>735</v>
      </c>
      <c r="C2394" s="3" t="s">
        <v>1095</v>
      </c>
      <c r="D2394" s="3" t="s">
        <v>68</v>
      </c>
      <c r="E2394" s="3" t="s">
        <v>100</v>
      </c>
      <c r="F2394" s="3" t="s">
        <v>603</v>
      </c>
      <c r="G2394" s="7">
        <v>45921.020178266015</v>
      </c>
    </row>
    <row r="2395">
      <c r="A2395" s="3" t="s">
        <v>8071</v>
      </c>
      <c r="B2395" s="3" t="s">
        <v>652</v>
      </c>
      <c r="C2395" s="3" t="s">
        <v>1342</v>
      </c>
      <c r="D2395" s="3" t="s">
        <v>68</v>
      </c>
      <c r="E2395" s="3" t="s">
        <v>100</v>
      </c>
      <c r="F2395" s="3" t="s">
        <v>1179</v>
      </c>
      <c r="G2395" s="7">
        <v>45921.09135311143</v>
      </c>
    </row>
    <row r="2396">
      <c r="A2396" s="3" t="s">
        <v>8074</v>
      </c>
      <c r="B2396" s="3" t="s">
        <v>400</v>
      </c>
      <c r="C2396" s="3" t="s">
        <v>1342</v>
      </c>
      <c r="D2396" s="3" t="s">
        <v>68</v>
      </c>
      <c r="E2396" s="3" t="s">
        <v>100</v>
      </c>
      <c r="F2396" s="3" t="s">
        <v>1286</v>
      </c>
      <c r="G2396" s="7">
        <v>45921.16252795685</v>
      </c>
    </row>
    <row r="2397">
      <c r="A2397" s="3" t="s">
        <v>8075</v>
      </c>
      <c r="B2397" s="3" t="s">
        <v>141</v>
      </c>
      <c r="C2397" s="3" t="s">
        <v>1095</v>
      </c>
      <c r="D2397" s="3" t="s">
        <v>68</v>
      </c>
      <c r="E2397" s="3" t="s">
        <v>100</v>
      </c>
      <c r="F2397" s="3" t="s">
        <v>749</v>
      </c>
      <c r="G2397" s="7">
        <v>45921.23370280226</v>
      </c>
    </row>
    <row r="2398">
      <c r="A2398" s="3" t="s">
        <v>8078</v>
      </c>
      <c r="B2398" s="3" t="s">
        <v>322</v>
      </c>
      <c r="C2398" s="3" t="s">
        <v>1342</v>
      </c>
      <c r="D2398" s="3" t="s">
        <v>68</v>
      </c>
      <c r="E2398" s="3" t="s">
        <v>100</v>
      </c>
      <c r="F2398" s="3" t="s">
        <v>1315</v>
      </c>
      <c r="G2398" s="7">
        <v>45921.30487764767</v>
      </c>
    </row>
    <row r="2399">
      <c r="A2399" s="3" t="s">
        <v>8081</v>
      </c>
      <c r="B2399" s="3" t="s">
        <v>406</v>
      </c>
      <c r="C2399" s="3" t="s">
        <v>56</v>
      </c>
      <c r="D2399" s="3" t="s">
        <v>68</v>
      </c>
      <c r="E2399" s="3" t="s">
        <v>100</v>
      </c>
      <c r="F2399" s="3" t="s">
        <v>1327</v>
      </c>
      <c r="G2399" s="7">
        <v>45921.37605249309</v>
      </c>
    </row>
    <row r="2400">
      <c r="A2400" s="3" t="s">
        <v>8084</v>
      </c>
      <c r="B2400" s="3" t="s">
        <v>488</v>
      </c>
      <c r="C2400" s="3" t="s">
        <v>56</v>
      </c>
      <c r="D2400" s="3" t="s">
        <v>68</v>
      </c>
      <c r="E2400" s="3" t="s">
        <v>100</v>
      </c>
      <c r="F2400" s="3" t="s">
        <v>1329</v>
      </c>
      <c r="G2400" s="7">
        <v>45921.44722733851</v>
      </c>
    </row>
    <row r="2401">
      <c r="A2401" s="3" t="s">
        <v>8087</v>
      </c>
      <c r="B2401" s="3" t="s">
        <v>485</v>
      </c>
      <c r="C2401" s="3" t="s">
        <v>56</v>
      </c>
      <c r="D2401" s="3" t="s">
        <v>68</v>
      </c>
      <c r="E2401" s="3" t="s">
        <v>100</v>
      </c>
      <c r="F2401" s="3" t="s">
        <v>1333</v>
      </c>
      <c r="G2401" s="7">
        <v>45921.518402183916</v>
      </c>
    </row>
    <row r="2402">
      <c r="A2402" s="3" t="s">
        <v>8090</v>
      </c>
      <c r="B2402" s="3" t="s">
        <v>197</v>
      </c>
      <c r="C2402" s="3" t="s">
        <v>1095</v>
      </c>
      <c r="D2402" s="3" t="s">
        <v>68</v>
      </c>
      <c r="E2402" s="3" t="s">
        <v>100</v>
      </c>
      <c r="F2402" s="3" t="s">
        <v>932</v>
      </c>
      <c r="G2402" s="7">
        <v>45921.589577029335</v>
      </c>
    </row>
    <row r="2403">
      <c r="A2403" s="3" t="s">
        <v>8093</v>
      </c>
      <c r="B2403" s="3" t="s">
        <v>175</v>
      </c>
      <c r="C2403" s="3" t="s">
        <v>56</v>
      </c>
      <c r="D2403" s="3" t="s">
        <v>68</v>
      </c>
      <c r="E2403" s="3" t="s">
        <v>100</v>
      </c>
      <c r="F2403" s="3" t="s">
        <v>1335</v>
      </c>
      <c r="G2403" s="7">
        <v>45921.660751874755</v>
      </c>
    </row>
    <row r="2404">
      <c r="A2404" s="3" t="s">
        <v>8096</v>
      </c>
      <c r="B2404" s="3" t="s">
        <v>491</v>
      </c>
      <c r="C2404" s="3" t="s">
        <v>1095</v>
      </c>
      <c r="D2404" s="3" t="s">
        <v>68</v>
      </c>
      <c r="E2404" s="3" t="s">
        <v>100</v>
      </c>
      <c r="F2404" s="3" t="s">
        <v>2123</v>
      </c>
      <c r="G2404" s="7">
        <v>45921.73192672017</v>
      </c>
    </row>
    <row r="2405">
      <c r="A2405" s="3" t="s">
        <v>8100</v>
      </c>
      <c r="B2405" s="3" t="s">
        <v>685</v>
      </c>
      <c r="C2405" s="3" t="s">
        <v>1095</v>
      </c>
      <c r="D2405" s="3" t="s">
        <v>68</v>
      </c>
      <c r="E2405" s="3" t="s">
        <v>100</v>
      </c>
      <c r="F2405" s="3" t="s">
        <v>1121</v>
      </c>
      <c r="G2405" s="7">
        <v>45921.80310156558</v>
      </c>
    </row>
    <row r="2406">
      <c r="A2406" s="3" t="s">
        <v>8103</v>
      </c>
      <c r="B2406" s="3" t="s">
        <v>533</v>
      </c>
      <c r="C2406" s="3" t="s">
        <v>56</v>
      </c>
      <c r="D2406" s="3" t="s">
        <v>68</v>
      </c>
      <c r="E2406" s="3" t="s">
        <v>100</v>
      </c>
      <c r="F2406" s="3" t="s">
        <v>1338</v>
      </c>
      <c r="G2406" s="7">
        <v>45921.874276411</v>
      </c>
    </row>
    <row r="2407">
      <c r="A2407" s="3" t="s">
        <v>8107</v>
      </c>
      <c r="B2407" s="3" t="s">
        <v>266</v>
      </c>
      <c r="C2407" s="3" t="s">
        <v>1342</v>
      </c>
      <c r="D2407" s="3" t="s">
        <v>68</v>
      </c>
      <c r="E2407" s="3" t="s">
        <v>100</v>
      </c>
      <c r="F2407" s="3" t="s">
        <v>1240</v>
      </c>
      <c r="G2407" s="7">
        <v>45921.94545125641</v>
      </c>
    </row>
    <row r="2408">
      <c r="A2408" s="3" t="s">
        <v>8110</v>
      </c>
      <c r="B2408" s="3" t="s">
        <v>622</v>
      </c>
      <c r="C2408" s="3" t="s">
        <v>56</v>
      </c>
      <c r="D2408" s="3" t="s">
        <v>68</v>
      </c>
      <c r="E2408" s="3" t="s">
        <v>100</v>
      </c>
      <c r="F2408" s="3" t="s">
        <v>1341</v>
      </c>
      <c r="G2408" s="7">
        <v>45922.016626101824</v>
      </c>
    </row>
    <row r="2409">
      <c r="A2409" s="3" t="s">
        <v>8113</v>
      </c>
      <c r="B2409" s="3" t="s">
        <v>1026</v>
      </c>
      <c r="C2409" s="3" t="s">
        <v>1095</v>
      </c>
      <c r="D2409" s="3" t="s">
        <v>181</v>
      </c>
      <c r="E2409" s="3" t="s">
        <v>45</v>
      </c>
      <c r="F2409" s="3" t="s">
        <v>1973</v>
      </c>
      <c r="G2409" s="7">
        <v>45922.08780094724</v>
      </c>
    </row>
    <row r="2410">
      <c r="A2410" s="3" t="s">
        <v>8116</v>
      </c>
      <c r="B2410" s="3" t="s">
        <v>864</v>
      </c>
      <c r="C2410" s="3" t="s">
        <v>1095</v>
      </c>
      <c r="D2410" s="3" t="s">
        <v>68</v>
      </c>
      <c r="E2410" s="3" t="s">
        <v>100</v>
      </c>
      <c r="F2410" s="3" t="s">
        <v>1815</v>
      </c>
      <c r="G2410" s="7">
        <v>45922.15897579266</v>
      </c>
    </row>
    <row r="2411">
      <c r="A2411" s="3" t="s">
        <v>8119</v>
      </c>
      <c r="B2411" s="3" t="s">
        <v>515</v>
      </c>
      <c r="C2411" s="3" t="s">
        <v>56</v>
      </c>
      <c r="D2411" s="3" t="s">
        <v>68</v>
      </c>
      <c r="E2411" s="3" t="s">
        <v>100</v>
      </c>
      <c r="F2411" s="3" t="s">
        <v>1343</v>
      </c>
      <c r="G2411" s="7">
        <v>45922.23015063807</v>
      </c>
    </row>
    <row r="2412">
      <c r="A2412" s="3" t="s">
        <v>8122</v>
      </c>
      <c r="B2412" s="3" t="s">
        <v>822</v>
      </c>
      <c r="C2412" s="3" t="s">
        <v>1095</v>
      </c>
      <c r="D2412" s="3" t="s">
        <v>68</v>
      </c>
      <c r="E2412" s="3" t="s">
        <v>100</v>
      </c>
      <c r="F2412" s="3" t="s">
        <v>1313</v>
      </c>
      <c r="G2412" s="7">
        <v>45922.30132548349</v>
      </c>
    </row>
    <row r="2413">
      <c r="A2413" s="3" t="s">
        <v>8126</v>
      </c>
      <c r="B2413" s="3" t="s">
        <v>512</v>
      </c>
      <c r="C2413" s="3" t="s">
        <v>1095</v>
      </c>
      <c r="D2413" s="3" t="s">
        <v>68</v>
      </c>
      <c r="E2413" s="3" t="s">
        <v>100</v>
      </c>
      <c r="F2413" s="3" t="s">
        <v>1284</v>
      </c>
      <c r="G2413" s="7">
        <v>45922.3725003289</v>
      </c>
    </row>
    <row r="2414">
      <c r="A2414" s="3" t="s">
        <v>8129</v>
      </c>
      <c r="B2414" s="3" t="s">
        <v>622</v>
      </c>
      <c r="C2414" s="3" t="s">
        <v>1342</v>
      </c>
      <c r="D2414" s="3" t="s">
        <v>68</v>
      </c>
      <c r="E2414" s="3" t="s">
        <v>100</v>
      </c>
      <c r="F2414" s="3" t="s">
        <v>1341</v>
      </c>
      <c r="G2414" s="7">
        <v>45922.44367517432</v>
      </c>
    </row>
    <row r="2415">
      <c r="A2415" s="3" t="s">
        <v>8131</v>
      </c>
      <c r="B2415" s="3" t="s">
        <v>400</v>
      </c>
      <c r="C2415" s="3" t="s">
        <v>1342</v>
      </c>
      <c r="D2415" s="3" t="s">
        <v>195</v>
      </c>
      <c r="E2415" s="3" t="s">
        <v>45</v>
      </c>
      <c r="F2415" s="3" t="s">
        <v>1286</v>
      </c>
      <c r="G2415" s="7">
        <v>45922.51485001973</v>
      </c>
    </row>
    <row r="2416">
      <c r="A2416" s="3" t="s">
        <v>8133</v>
      </c>
      <c r="B2416" s="3" t="s">
        <v>535</v>
      </c>
      <c r="C2416" s="3" t="s">
        <v>1342</v>
      </c>
      <c r="D2416" s="3" t="s">
        <v>68</v>
      </c>
      <c r="E2416" s="3" t="s">
        <v>100</v>
      </c>
      <c r="F2416" s="3" t="s">
        <v>1860</v>
      </c>
      <c r="G2416" s="7">
        <v>45922.58602486515</v>
      </c>
    </row>
    <row r="2417">
      <c r="A2417" s="3" t="s">
        <v>8135</v>
      </c>
      <c r="B2417" s="3" t="s">
        <v>565</v>
      </c>
      <c r="C2417" s="3" t="s">
        <v>1342</v>
      </c>
      <c r="D2417" s="3" t="s">
        <v>68</v>
      </c>
      <c r="E2417" s="3" t="s">
        <v>100</v>
      </c>
      <c r="F2417" s="3" t="s">
        <v>1322</v>
      </c>
      <c r="G2417" s="7">
        <v>45922.65719971056</v>
      </c>
    </row>
    <row r="2418">
      <c r="A2418" s="3" t="s">
        <v>8137</v>
      </c>
      <c r="B2418" s="3" t="s">
        <v>424</v>
      </c>
      <c r="C2418" s="3" t="s">
        <v>56</v>
      </c>
      <c r="D2418" s="3" t="s">
        <v>68</v>
      </c>
      <c r="E2418" s="3" t="s">
        <v>100</v>
      </c>
      <c r="F2418" s="3" t="s">
        <v>1346</v>
      </c>
      <c r="G2418" s="7">
        <v>45922.728374555976</v>
      </c>
    </row>
    <row r="2419">
      <c r="A2419" s="3" t="s">
        <v>8141</v>
      </c>
      <c r="B2419" s="3" t="s">
        <v>713</v>
      </c>
      <c r="C2419" s="3" t="s">
        <v>1342</v>
      </c>
      <c r="D2419" s="3" t="s">
        <v>68</v>
      </c>
      <c r="E2419" s="3" t="s">
        <v>100</v>
      </c>
      <c r="F2419" s="3" t="s">
        <v>1429</v>
      </c>
      <c r="G2419" s="7">
        <v>45922.799549401396</v>
      </c>
    </row>
    <row r="2420">
      <c r="A2420" s="3" t="s">
        <v>8144</v>
      </c>
      <c r="B2420" s="3" t="s">
        <v>352</v>
      </c>
      <c r="C2420" s="3" t="s">
        <v>1095</v>
      </c>
      <c r="D2420" s="3" t="s">
        <v>68</v>
      </c>
      <c r="E2420" s="3" t="s">
        <v>100</v>
      </c>
      <c r="F2420" s="3" t="s">
        <v>867</v>
      </c>
      <c r="G2420" s="7">
        <v>45922.87072424681</v>
      </c>
    </row>
    <row r="2421">
      <c r="A2421" s="3" t="s">
        <v>8147</v>
      </c>
      <c r="B2421" s="3" t="s">
        <v>287</v>
      </c>
      <c r="C2421" s="3" t="s">
        <v>1342</v>
      </c>
      <c r="D2421" s="3" t="s">
        <v>68</v>
      </c>
      <c r="E2421" s="3" t="s">
        <v>100</v>
      </c>
      <c r="F2421" s="3" t="s">
        <v>553</v>
      </c>
      <c r="G2421" s="7">
        <v>45922.94189909222</v>
      </c>
    </row>
    <row r="2422">
      <c r="A2422" s="3" t="s">
        <v>8150</v>
      </c>
      <c r="B2422" s="3" t="s">
        <v>419</v>
      </c>
      <c r="C2422" s="3" t="s">
        <v>56</v>
      </c>
      <c r="D2422" s="3" t="s">
        <v>68</v>
      </c>
      <c r="E2422" s="3" t="s">
        <v>100</v>
      </c>
      <c r="F2422" s="3" t="s">
        <v>1348</v>
      </c>
      <c r="G2422" s="7">
        <v>45923.01307393764</v>
      </c>
    </row>
    <row r="2423">
      <c r="A2423" s="3" t="s">
        <v>8153</v>
      </c>
      <c r="B2423" s="3" t="s">
        <v>678</v>
      </c>
      <c r="C2423" s="3" t="s">
        <v>1342</v>
      </c>
      <c r="D2423" s="3" t="s">
        <v>195</v>
      </c>
      <c r="E2423" s="3" t="s">
        <v>45</v>
      </c>
      <c r="F2423" s="3" t="s">
        <v>1177</v>
      </c>
      <c r="G2423" s="7">
        <v>45923.08424878305</v>
      </c>
    </row>
    <row r="2424">
      <c r="A2424" s="3" t="s">
        <v>8156</v>
      </c>
      <c r="B2424" s="3" t="s">
        <v>512</v>
      </c>
      <c r="C2424" s="3" t="s">
        <v>56</v>
      </c>
      <c r="D2424" s="3" t="s">
        <v>68</v>
      </c>
      <c r="E2424" s="3" t="s">
        <v>100</v>
      </c>
      <c r="F2424" s="3" t="s">
        <v>1351</v>
      </c>
      <c r="G2424" s="7">
        <v>45923.155423628465</v>
      </c>
    </row>
    <row r="2425">
      <c r="A2425" s="3" t="s">
        <v>8159</v>
      </c>
      <c r="B2425" s="3" t="s">
        <v>1028</v>
      </c>
      <c r="C2425" s="3" t="s">
        <v>1342</v>
      </c>
      <c r="D2425" s="3" t="s">
        <v>68</v>
      </c>
      <c r="E2425" s="3" t="s">
        <v>100</v>
      </c>
      <c r="F2425" s="3" t="s">
        <v>1852</v>
      </c>
      <c r="G2425" s="7">
        <v>45923.226598473884</v>
      </c>
    </row>
    <row r="2426">
      <c r="A2426" s="3" t="s">
        <v>8163</v>
      </c>
      <c r="B2426" s="3" t="s">
        <v>243</v>
      </c>
      <c r="C2426" s="3" t="s">
        <v>1342</v>
      </c>
      <c r="D2426" s="3" t="s">
        <v>68</v>
      </c>
      <c r="E2426" s="3" t="s">
        <v>100</v>
      </c>
      <c r="F2426" s="3" t="s">
        <v>1256</v>
      </c>
      <c r="G2426" s="7">
        <v>45923.297773319304</v>
      </c>
    </row>
    <row r="2427">
      <c r="A2427" s="3" t="s">
        <v>8165</v>
      </c>
      <c r="B2427" s="3" t="s">
        <v>943</v>
      </c>
      <c r="C2427" s="3" t="s">
        <v>56</v>
      </c>
      <c r="D2427" s="3" t="s">
        <v>68</v>
      </c>
      <c r="E2427" s="3" t="s">
        <v>100</v>
      </c>
      <c r="F2427" s="3" t="s">
        <v>1354</v>
      </c>
      <c r="G2427" s="7">
        <v>45923.36894816471</v>
      </c>
    </row>
    <row r="2428">
      <c r="A2428" s="3" t="s">
        <v>8167</v>
      </c>
      <c r="B2428" s="3" t="s">
        <v>731</v>
      </c>
      <c r="C2428" s="3" t="s">
        <v>56</v>
      </c>
      <c r="D2428" s="3" t="s">
        <v>181</v>
      </c>
      <c r="E2428" s="3" t="s">
        <v>45</v>
      </c>
      <c r="F2428" s="3" t="s">
        <v>45</v>
      </c>
      <c r="G2428" s="7">
        <v>45923.44012301013</v>
      </c>
    </row>
    <row r="2429">
      <c r="A2429" s="3" t="s">
        <v>8170</v>
      </c>
      <c r="B2429" s="3" t="s">
        <v>316</v>
      </c>
      <c r="C2429" s="3" t="s">
        <v>1342</v>
      </c>
      <c r="D2429" s="3" t="s">
        <v>68</v>
      </c>
      <c r="E2429" s="3" t="s">
        <v>100</v>
      </c>
      <c r="F2429" s="3" t="s">
        <v>1694</v>
      </c>
      <c r="G2429" s="7">
        <v>45923.51129785555</v>
      </c>
    </row>
    <row r="2430">
      <c r="A2430" s="3" t="s">
        <v>8174</v>
      </c>
      <c r="B2430" s="3" t="s">
        <v>446</v>
      </c>
      <c r="C2430" s="3" t="s">
        <v>1342</v>
      </c>
      <c r="D2430" s="3" t="s">
        <v>68</v>
      </c>
      <c r="E2430" s="3" t="s">
        <v>100</v>
      </c>
      <c r="F2430" s="3" t="s">
        <v>1884</v>
      </c>
      <c r="G2430" s="7">
        <v>45923.58247270096</v>
      </c>
    </row>
    <row r="2431">
      <c r="A2431" s="3" t="s">
        <v>8177</v>
      </c>
      <c r="B2431" s="3" t="s">
        <v>224</v>
      </c>
      <c r="C2431" s="3" t="s">
        <v>1342</v>
      </c>
      <c r="D2431" s="3" t="s">
        <v>68</v>
      </c>
      <c r="E2431" s="3" t="s">
        <v>100</v>
      </c>
      <c r="F2431" s="3" t="s">
        <v>1274</v>
      </c>
      <c r="G2431" s="7">
        <v>45923.65364754637</v>
      </c>
    </row>
    <row r="2432">
      <c r="A2432" s="3" t="s">
        <v>8180</v>
      </c>
      <c r="B2432" s="3" t="s">
        <v>554</v>
      </c>
      <c r="C2432" s="3" t="s">
        <v>1095</v>
      </c>
      <c r="D2432" s="3" t="s">
        <v>68</v>
      </c>
      <c r="E2432" s="3" t="s">
        <v>100</v>
      </c>
      <c r="F2432" s="3" t="s">
        <v>1232</v>
      </c>
      <c r="G2432" s="7">
        <v>45923.72482239179</v>
      </c>
    </row>
    <row r="2433">
      <c r="A2433" s="3" t="s">
        <v>8183</v>
      </c>
      <c r="B2433" s="3" t="s">
        <v>943</v>
      </c>
      <c r="C2433" s="3" t="s">
        <v>1342</v>
      </c>
      <c r="D2433" s="3" t="s">
        <v>68</v>
      </c>
      <c r="E2433" s="3" t="s">
        <v>100</v>
      </c>
      <c r="F2433" s="3" t="s">
        <v>1354</v>
      </c>
      <c r="G2433" s="7">
        <v>45923.795997237205</v>
      </c>
    </row>
    <row r="2434">
      <c r="A2434" s="3" t="s">
        <v>8186</v>
      </c>
      <c r="B2434" s="3" t="s">
        <v>455</v>
      </c>
      <c r="C2434" s="3" t="s">
        <v>1342</v>
      </c>
      <c r="D2434" s="3" t="s">
        <v>195</v>
      </c>
      <c r="E2434" s="3" t="s">
        <v>45</v>
      </c>
      <c r="F2434" s="3" t="s">
        <v>1564</v>
      </c>
      <c r="G2434" s="7">
        <v>45923.86717208262</v>
      </c>
    </row>
    <row r="2435">
      <c r="A2435" s="3" t="s">
        <v>8189</v>
      </c>
      <c r="B2435" s="3" t="s">
        <v>1034</v>
      </c>
      <c r="C2435" s="3" t="s">
        <v>56</v>
      </c>
      <c r="D2435" s="3" t="s">
        <v>68</v>
      </c>
      <c r="E2435" s="3" t="s">
        <v>100</v>
      </c>
      <c r="F2435" s="3" t="s">
        <v>1356</v>
      </c>
      <c r="G2435" s="7">
        <v>45923.93834692804</v>
      </c>
    </row>
    <row r="2436">
      <c r="A2436" s="3" t="s">
        <v>8192</v>
      </c>
      <c r="B2436" s="3" t="s">
        <v>533</v>
      </c>
      <c r="C2436" s="3" t="s">
        <v>1342</v>
      </c>
      <c r="D2436" s="3" t="s">
        <v>68</v>
      </c>
      <c r="E2436" s="3" t="s">
        <v>100</v>
      </c>
      <c r="F2436" s="3" t="s">
        <v>1338</v>
      </c>
      <c r="G2436" s="7">
        <v>45924.00952177345</v>
      </c>
    </row>
    <row r="2437">
      <c r="A2437" s="3" t="s">
        <v>8195</v>
      </c>
      <c r="B2437" s="3" t="s">
        <v>250</v>
      </c>
      <c r="C2437" s="3" t="s">
        <v>1095</v>
      </c>
      <c r="D2437" s="3" t="s">
        <v>68</v>
      </c>
      <c r="E2437" s="3" t="s">
        <v>100</v>
      </c>
      <c r="F2437" s="3" t="s">
        <v>1804</v>
      </c>
      <c r="G2437" s="7">
        <v>45924.08069661886</v>
      </c>
    </row>
    <row r="2438">
      <c r="A2438" s="3" t="s">
        <v>8199</v>
      </c>
      <c r="B2438" s="3" t="s">
        <v>853</v>
      </c>
      <c r="C2438" s="3" t="s">
        <v>56</v>
      </c>
      <c r="D2438" s="3" t="s">
        <v>68</v>
      </c>
      <c r="E2438" s="3" t="s">
        <v>100</v>
      </c>
      <c r="F2438" s="3" t="s">
        <v>1358</v>
      </c>
      <c r="G2438" s="7">
        <v>45924.15187146428</v>
      </c>
    </row>
    <row r="2439">
      <c r="A2439" s="3" t="s">
        <v>8203</v>
      </c>
      <c r="B2439" s="3" t="s">
        <v>1043</v>
      </c>
      <c r="C2439" s="3" t="s">
        <v>1342</v>
      </c>
      <c r="D2439" s="3" t="s">
        <v>68</v>
      </c>
      <c r="E2439" s="3" t="s">
        <v>100</v>
      </c>
      <c r="F2439" s="3" t="s">
        <v>769</v>
      </c>
      <c r="G2439" s="7">
        <v>45924.22304630969</v>
      </c>
    </row>
    <row r="2440">
      <c r="A2440" s="3" t="s">
        <v>8206</v>
      </c>
      <c r="B2440" s="3" t="s">
        <v>947</v>
      </c>
      <c r="C2440" s="3" t="s">
        <v>1342</v>
      </c>
      <c r="D2440" s="3" t="s">
        <v>68</v>
      </c>
      <c r="E2440" s="3" t="s">
        <v>100</v>
      </c>
      <c r="F2440" s="3" t="s">
        <v>1855</v>
      </c>
      <c r="G2440" s="7">
        <v>45924.294221155105</v>
      </c>
    </row>
    <row r="2441">
      <c r="A2441" s="3" t="s">
        <v>8209</v>
      </c>
      <c r="B2441" s="3" t="s">
        <v>943</v>
      </c>
      <c r="C2441" s="3" t="s">
        <v>1095</v>
      </c>
      <c r="D2441" s="3" t="s">
        <v>68</v>
      </c>
      <c r="E2441" s="3" t="s">
        <v>100</v>
      </c>
      <c r="F2441" s="3" t="s">
        <v>1354</v>
      </c>
      <c r="G2441" s="7">
        <v>45924.365396000525</v>
      </c>
    </row>
    <row r="2442">
      <c r="A2442" s="3" t="s">
        <v>8211</v>
      </c>
      <c r="B2442" s="3" t="s">
        <v>204</v>
      </c>
      <c r="C2442" s="3" t="s">
        <v>1095</v>
      </c>
      <c r="D2442" s="3" t="s">
        <v>68</v>
      </c>
      <c r="E2442" s="3" t="s">
        <v>100</v>
      </c>
      <c r="F2442" s="3" t="s">
        <v>2025</v>
      </c>
      <c r="G2442" s="7">
        <v>45924.436570845945</v>
      </c>
    </row>
    <row r="2443">
      <c r="A2443" s="3" t="s">
        <v>8213</v>
      </c>
      <c r="B2443" s="3" t="s">
        <v>193</v>
      </c>
      <c r="C2443" s="3" t="s">
        <v>56</v>
      </c>
      <c r="D2443" s="3" t="s">
        <v>68</v>
      </c>
      <c r="E2443" s="3" t="s">
        <v>100</v>
      </c>
      <c r="F2443" s="3" t="s">
        <v>1361</v>
      </c>
      <c r="G2443" s="7">
        <v>45924.50774569135</v>
      </c>
    </row>
    <row r="2444">
      <c r="A2444" s="3" t="s">
        <v>8216</v>
      </c>
      <c r="B2444" s="3" t="s">
        <v>126</v>
      </c>
      <c r="C2444" s="3" t="s">
        <v>1095</v>
      </c>
      <c r="D2444" s="3" t="s">
        <v>68</v>
      </c>
      <c r="E2444" s="3" t="s">
        <v>100</v>
      </c>
      <c r="F2444" s="3" t="s">
        <v>2126</v>
      </c>
      <c r="G2444" s="7">
        <v>45924.57892053677</v>
      </c>
    </row>
    <row r="2445">
      <c r="A2445" s="3" t="s">
        <v>8219</v>
      </c>
      <c r="B2445" s="3" t="s">
        <v>276</v>
      </c>
      <c r="C2445" s="3" t="s">
        <v>1342</v>
      </c>
      <c r="D2445" s="3" t="s">
        <v>68</v>
      </c>
      <c r="E2445" s="3" t="s">
        <v>100</v>
      </c>
      <c r="F2445" s="3" t="s">
        <v>589</v>
      </c>
      <c r="G2445" s="7">
        <v>45924.65009538219</v>
      </c>
    </row>
    <row r="2446">
      <c r="A2446" s="3" t="s">
        <v>8222</v>
      </c>
      <c r="B2446" s="3" t="s">
        <v>605</v>
      </c>
      <c r="C2446" s="3" t="s">
        <v>56</v>
      </c>
      <c r="D2446" s="3" t="s">
        <v>68</v>
      </c>
      <c r="E2446" s="3" t="s">
        <v>100</v>
      </c>
      <c r="F2446" s="3" t="s">
        <v>1363</v>
      </c>
      <c r="G2446" s="7">
        <v>45924.7212702276</v>
      </c>
    </row>
    <row r="2447">
      <c r="A2447" s="3" t="s">
        <v>8225</v>
      </c>
      <c r="B2447" s="3" t="s">
        <v>976</v>
      </c>
      <c r="C2447" s="3" t="s">
        <v>1342</v>
      </c>
      <c r="D2447" s="3" t="s">
        <v>68</v>
      </c>
      <c r="E2447" s="3" t="s">
        <v>100</v>
      </c>
      <c r="F2447" s="3" t="s">
        <v>762</v>
      </c>
      <c r="G2447" s="7">
        <v>45924.79244507301</v>
      </c>
    </row>
    <row r="2448">
      <c r="A2448" s="3" t="s">
        <v>8228</v>
      </c>
      <c r="B2448" s="3" t="s">
        <v>972</v>
      </c>
      <c r="C2448" s="3" t="s">
        <v>56</v>
      </c>
      <c r="D2448" s="3" t="s">
        <v>68</v>
      </c>
      <c r="E2448" s="3" t="s">
        <v>100</v>
      </c>
      <c r="F2448" s="3" t="s">
        <v>1366</v>
      </c>
      <c r="G2448" s="7">
        <v>45924.86361991843</v>
      </c>
    </row>
    <row r="2449">
      <c r="A2449" s="3" t="s">
        <v>8232</v>
      </c>
      <c r="B2449" s="3" t="s">
        <v>488</v>
      </c>
      <c r="C2449" s="3" t="s">
        <v>1095</v>
      </c>
      <c r="D2449" s="3" t="s">
        <v>68</v>
      </c>
      <c r="E2449" s="3" t="s">
        <v>100</v>
      </c>
      <c r="F2449" s="3" t="s">
        <v>1329</v>
      </c>
      <c r="G2449" s="7">
        <v>45924.934794763845</v>
      </c>
    </row>
    <row r="2450">
      <c r="A2450" s="3" t="s">
        <v>8236</v>
      </c>
      <c r="B2450" s="3" t="s">
        <v>519</v>
      </c>
      <c r="C2450" s="3" t="s">
        <v>1342</v>
      </c>
      <c r="D2450" s="3" t="s">
        <v>68</v>
      </c>
      <c r="E2450" s="3" t="s">
        <v>100</v>
      </c>
      <c r="F2450" s="3" t="s">
        <v>774</v>
      </c>
      <c r="G2450" s="7">
        <v>45925.00596960926</v>
      </c>
    </row>
    <row r="2451">
      <c r="A2451" s="3" t="s">
        <v>8239</v>
      </c>
      <c r="B2451" s="3" t="s">
        <v>363</v>
      </c>
      <c r="C2451" s="3" t="s">
        <v>1095</v>
      </c>
      <c r="D2451" s="3" t="s">
        <v>68</v>
      </c>
      <c r="E2451" s="3" t="s">
        <v>100</v>
      </c>
      <c r="F2451" s="3" t="s">
        <v>1495</v>
      </c>
      <c r="G2451" s="7">
        <v>45925.07714445468</v>
      </c>
    </row>
    <row r="2452">
      <c r="A2452" s="3" t="s">
        <v>8242</v>
      </c>
      <c r="B2452" s="3" t="s">
        <v>130</v>
      </c>
      <c r="C2452" s="3" t="s">
        <v>1342</v>
      </c>
      <c r="D2452" s="3" t="s">
        <v>68</v>
      </c>
      <c r="E2452" s="3" t="s">
        <v>100</v>
      </c>
      <c r="F2452" s="3" t="s">
        <v>1025</v>
      </c>
      <c r="G2452" s="7">
        <v>45925.14831930009</v>
      </c>
    </row>
    <row r="2453">
      <c r="A2453" s="3" t="s">
        <v>8245</v>
      </c>
      <c r="B2453" s="3" t="s">
        <v>536</v>
      </c>
      <c r="C2453" s="3" t="s">
        <v>1095</v>
      </c>
      <c r="D2453" s="3" t="s">
        <v>68</v>
      </c>
      <c r="E2453" s="3" t="s">
        <v>100</v>
      </c>
      <c r="F2453" s="3" t="s">
        <v>1245</v>
      </c>
      <c r="G2453" s="7">
        <v>45925.2194941455</v>
      </c>
    </row>
    <row r="2454">
      <c r="A2454" s="3" t="s">
        <v>8248</v>
      </c>
      <c r="B2454" s="3" t="s">
        <v>632</v>
      </c>
      <c r="C2454" s="3" t="s">
        <v>1095</v>
      </c>
      <c r="D2454" s="3" t="s">
        <v>68</v>
      </c>
      <c r="E2454" s="3" t="s">
        <v>100</v>
      </c>
      <c r="F2454" s="3" t="s">
        <v>1546</v>
      </c>
      <c r="G2454" s="7">
        <v>45925.29066899092</v>
      </c>
    </row>
    <row r="2455">
      <c r="A2455" s="3" t="s">
        <v>8251</v>
      </c>
      <c r="B2455" s="3" t="s">
        <v>282</v>
      </c>
      <c r="C2455" s="3" t="s">
        <v>56</v>
      </c>
      <c r="D2455" s="3" t="s">
        <v>68</v>
      </c>
      <c r="E2455" s="3" t="s">
        <v>100</v>
      </c>
      <c r="F2455" s="3" t="s">
        <v>1369</v>
      </c>
      <c r="G2455" s="7">
        <v>45925.361843836334</v>
      </c>
    </row>
    <row r="2456">
      <c r="A2456" s="3" t="s">
        <v>8254</v>
      </c>
      <c r="B2456" s="3" t="s">
        <v>348</v>
      </c>
      <c r="C2456" s="3" t="s">
        <v>1342</v>
      </c>
      <c r="D2456" s="3" t="s">
        <v>68</v>
      </c>
      <c r="E2456" s="3" t="s">
        <v>100</v>
      </c>
      <c r="F2456" s="3" t="s">
        <v>2028</v>
      </c>
      <c r="G2456" s="7">
        <v>45925.433018681746</v>
      </c>
    </row>
    <row r="2457">
      <c r="A2457" s="3" t="s">
        <v>8258</v>
      </c>
      <c r="B2457" s="3" t="s">
        <v>266</v>
      </c>
      <c r="C2457" s="3" t="s">
        <v>1095</v>
      </c>
      <c r="D2457" s="3" t="s">
        <v>68</v>
      </c>
      <c r="E2457" s="3" t="s">
        <v>100</v>
      </c>
      <c r="F2457" s="3" t="s">
        <v>1240</v>
      </c>
      <c r="G2457" s="7">
        <v>45925.504193527166</v>
      </c>
    </row>
    <row r="2458">
      <c r="A2458" s="3" t="s">
        <v>8264</v>
      </c>
      <c r="B2458" s="3" t="s">
        <v>485</v>
      </c>
      <c r="C2458" s="3" t="s">
        <v>1342</v>
      </c>
      <c r="D2458" s="3" t="s">
        <v>181</v>
      </c>
      <c r="E2458" s="3" t="s">
        <v>45</v>
      </c>
      <c r="F2458" s="3" t="s">
        <v>1333</v>
      </c>
      <c r="G2458" s="7">
        <v>45925.575368372585</v>
      </c>
    </row>
    <row r="2459">
      <c r="A2459" s="3" t="s">
        <v>8267</v>
      </c>
      <c r="B2459" s="3" t="s">
        <v>302</v>
      </c>
      <c r="C2459" s="3" t="s">
        <v>1342</v>
      </c>
      <c r="D2459" s="3" t="s">
        <v>68</v>
      </c>
      <c r="E2459" s="3" t="s">
        <v>100</v>
      </c>
      <c r="F2459" s="3" t="s">
        <v>1491</v>
      </c>
      <c r="G2459" s="7">
        <v>45925.64654321799</v>
      </c>
    </row>
    <row r="2460">
      <c r="A2460" s="3" t="s">
        <v>8270</v>
      </c>
      <c r="B2460" s="3" t="s">
        <v>920</v>
      </c>
      <c r="C2460" s="3" t="s">
        <v>1342</v>
      </c>
      <c r="D2460" s="3" t="s">
        <v>181</v>
      </c>
      <c r="E2460" s="3" t="s">
        <v>45</v>
      </c>
      <c r="F2460" s="3" t="s">
        <v>1039</v>
      </c>
      <c r="G2460" s="7">
        <v>45925.71771806341</v>
      </c>
    </row>
    <row r="2461">
      <c r="A2461" s="3" t="s">
        <v>8273</v>
      </c>
      <c r="B2461" s="3" t="s">
        <v>1028</v>
      </c>
      <c r="C2461" s="3" t="s">
        <v>1342</v>
      </c>
      <c r="D2461" s="3" t="s">
        <v>68</v>
      </c>
      <c r="E2461" s="3" t="s">
        <v>100</v>
      </c>
      <c r="F2461" s="3" t="s">
        <v>1852</v>
      </c>
      <c r="G2461" s="7">
        <v>45925.78889290883</v>
      </c>
    </row>
    <row r="2462">
      <c r="A2462" s="3" t="s">
        <v>8276</v>
      </c>
      <c r="B2462" s="3" t="s">
        <v>512</v>
      </c>
      <c r="C2462" s="3" t="s">
        <v>1095</v>
      </c>
      <c r="D2462" s="3" t="s">
        <v>68</v>
      </c>
      <c r="E2462" s="3" t="s">
        <v>100</v>
      </c>
      <c r="F2462" s="3" t="s">
        <v>1351</v>
      </c>
      <c r="G2462" s="7">
        <v>45925.86006775424</v>
      </c>
    </row>
    <row r="2463">
      <c r="A2463" s="3" t="s">
        <v>8280</v>
      </c>
      <c r="B2463" s="3" t="s">
        <v>619</v>
      </c>
      <c r="C2463" s="3" t="s">
        <v>56</v>
      </c>
      <c r="D2463" s="3" t="s">
        <v>68</v>
      </c>
      <c r="E2463" s="3" t="s">
        <v>100</v>
      </c>
      <c r="F2463" s="3" t="s">
        <v>1371</v>
      </c>
      <c r="G2463" s="7">
        <v>45925.931242599654</v>
      </c>
    </row>
    <row r="2464">
      <c r="A2464" s="3" t="s">
        <v>8283</v>
      </c>
      <c r="B2464" s="3" t="s">
        <v>344</v>
      </c>
      <c r="C2464" s="3" t="s">
        <v>56</v>
      </c>
      <c r="D2464" s="3" t="s">
        <v>68</v>
      </c>
      <c r="E2464" s="3" t="s">
        <v>100</v>
      </c>
      <c r="F2464" s="3" t="s">
        <v>1373</v>
      </c>
      <c r="G2464" s="7">
        <v>45926.002417445074</v>
      </c>
    </row>
    <row r="2465">
      <c r="A2465" s="3" t="s">
        <v>8285</v>
      </c>
      <c r="B2465" s="3" t="s">
        <v>763</v>
      </c>
      <c r="C2465" s="3" t="s">
        <v>56</v>
      </c>
      <c r="D2465" s="3" t="s">
        <v>68</v>
      </c>
      <c r="E2465" s="3" t="s">
        <v>100</v>
      </c>
      <c r="F2465" s="3" t="s">
        <v>1376</v>
      </c>
      <c r="G2465" s="7">
        <v>45926.073592290486</v>
      </c>
    </row>
    <row r="2466">
      <c r="A2466" s="3" t="s">
        <v>8287</v>
      </c>
      <c r="B2466" s="3" t="s">
        <v>523</v>
      </c>
      <c r="C2466" s="3" t="s">
        <v>56</v>
      </c>
      <c r="D2466" s="3" t="s">
        <v>68</v>
      </c>
      <c r="E2466" s="3" t="s">
        <v>100</v>
      </c>
      <c r="F2466" s="3" t="s">
        <v>1378</v>
      </c>
      <c r="G2466" s="7">
        <v>45926.1447671359</v>
      </c>
    </row>
    <row r="2467">
      <c r="A2467" s="3" t="s">
        <v>8289</v>
      </c>
      <c r="B2467" s="3" t="s">
        <v>694</v>
      </c>
      <c r="C2467" s="3" t="s">
        <v>1342</v>
      </c>
      <c r="D2467" s="3" t="s">
        <v>68</v>
      </c>
      <c r="E2467" s="3" t="s">
        <v>100</v>
      </c>
      <c r="F2467" s="3" t="s">
        <v>646</v>
      </c>
      <c r="G2467" s="7">
        <v>45926.21594198132</v>
      </c>
    </row>
    <row r="2468">
      <c r="A2468" s="3" t="s">
        <v>8291</v>
      </c>
      <c r="B2468" s="3" t="s">
        <v>550</v>
      </c>
      <c r="C2468" s="3" t="s">
        <v>1342</v>
      </c>
      <c r="D2468" s="3" t="s">
        <v>68</v>
      </c>
      <c r="E2468" s="3" t="s">
        <v>100</v>
      </c>
      <c r="F2468" s="3" t="s">
        <v>2101</v>
      </c>
      <c r="G2468" s="7">
        <v>45926.28711682673</v>
      </c>
    </row>
    <row r="2469">
      <c r="A2469" s="3" t="s">
        <v>8295</v>
      </c>
      <c r="B2469" s="3" t="s">
        <v>189</v>
      </c>
      <c r="C2469" s="3" t="s">
        <v>56</v>
      </c>
      <c r="D2469" s="3" t="s">
        <v>68</v>
      </c>
      <c r="E2469" s="3" t="s">
        <v>100</v>
      </c>
      <c r="F2469" s="3" t="s">
        <v>1380</v>
      </c>
      <c r="G2469" s="7">
        <v>45926.35829167214</v>
      </c>
    </row>
    <row r="2470">
      <c r="A2470" s="3" t="s">
        <v>8299</v>
      </c>
      <c r="B2470" s="3" t="s">
        <v>586</v>
      </c>
      <c r="C2470" s="3" t="s">
        <v>1095</v>
      </c>
      <c r="D2470" s="3" t="s">
        <v>68</v>
      </c>
      <c r="E2470" s="3" t="s">
        <v>100</v>
      </c>
      <c r="F2470" s="3" t="s">
        <v>1148</v>
      </c>
      <c r="G2470" s="7">
        <v>45926.42946651756</v>
      </c>
    </row>
    <row r="2471">
      <c r="A2471" s="3" t="s">
        <v>8302</v>
      </c>
      <c r="B2471" s="3" t="s">
        <v>763</v>
      </c>
      <c r="C2471" s="3" t="s">
        <v>1342</v>
      </c>
      <c r="D2471" s="3" t="s">
        <v>68</v>
      </c>
      <c r="E2471" s="3" t="s">
        <v>100</v>
      </c>
      <c r="F2471" s="3" t="s">
        <v>1376</v>
      </c>
      <c r="G2471" s="7">
        <v>45926.500641362974</v>
      </c>
    </row>
    <row r="2472">
      <c r="A2472" s="3" t="s">
        <v>8305</v>
      </c>
      <c r="B2472" s="3" t="s">
        <v>226</v>
      </c>
      <c r="C2472" s="3" t="s">
        <v>56</v>
      </c>
      <c r="D2472" s="3" t="s">
        <v>68</v>
      </c>
      <c r="E2472" s="3" t="s">
        <v>100</v>
      </c>
      <c r="F2472" s="3" t="s">
        <v>1383</v>
      </c>
      <c r="G2472" s="7">
        <v>45926.57181620839</v>
      </c>
    </row>
    <row r="2473">
      <c r="A2473" s="3" t="s">
        <v>8308</v>
      </c>
      <c r="B2473" s="3" t="s">
        <v>193</v>
      </c>
      <c r="C2473" s="3" t="s">
        <v>1342</v>
      </c>
      <c r="D2473" s="3" t="s">
        <v>68</v>
      </c>
      <c r="E2473" s="3" t="s">
        <v>100</v>
      </c>
      <c r="F2473" s="3" t="s">
        <v>1361</v>
      </c>
      <c r="G2473" s="7">
        <v>45926.642991053806</v>
      </c>
    </row>
    <row r="2474">
      <c r="A2474" s="3" t="s">
        <v>8311</v>
      </c>
      <c r="B2474" s="3" t="s">
        <v>698</v>
      </c>
      <c r="C2474" s="3" t="s">
        <v>1342</v>
      </c>
      <c r="D2474" s="3" t="s">
        <v>68</v>
      </c>
      <c r="E2474" s="3" t="s">
        <v>100</v>
      </c>
      <c r="F2474" s="3" t="s">
        <v>1104</v>
      </c>
      <c r="G2474" s="7">
        <v>45926.714165899226</v>
      </c>
    </row>
    <row r="2475">
      <c r="A2475" s="3" t="s">
        <v>8314</v>
      </c>
      <c r="B2475" s="3" t="s">
        <v>767</v>
      </c>
      <c r="C2475" s="3" t="s">
        <v>1342</v>
      </c>
      <c r="D2475" s="3" t="s">
        <v>68</v>
      </c>
      <c r="E2475" s="3" t="s">
        <v>100</v>
      </c>
      <c r="F2475" s="3" t="s">
        <v>1162</v>
      </c>
      <c r="G2475" s="7">
        <v>45926.78534074464</v>
      </c>
    </row>
    <row r="2476">
      <c r="A2476" s="3" t="s">
        <v>8317</v>
      </c>
      <c r="B2476" s="3" t="s">
        <v>640</v>
      </c>
      <c r="C2476" s="3" t="s">
        <v>1342</v>
      </c>
      <c r="D2476" s="3" t="s">
        <v>68</v>
      </c>
      <c r="E2476" s="3" t="s">
        <v>100</v>
      </c>
      <c r="F2476" s="3" t="s">
        <v>626</v>
      </c>
      <c r="G2476" s="7">
        <v>45926.85651559005</v>
      </c>
    </row>
    <row r="2477">
      <c r="A2477" s="3" t="s">
        <v>8320</v>
      </c>
      <c r="B2477" s="3" t="s">
        <v>676</v>
      </c>
      <c r="C2477" s="3" t="s">
        <v>1095</v>
      </c>
      <c r="D2477" s="3" t="s">
        <v>68</v>
      </c>
      <c r="E2477" s="3" t="s">
        <v>100</v>
      </c>
      <c r="F2477" s="3" t="s">
        <v>928</v>
      </c>
      <c r="G2477" s="7">
        <v>45926.92769043547</v>
      </c>
    </row>
    <row r="2478">
      <c r="A2478" s="3" t="s">
        <v>8323</v>
      </c>
      <c r="B2478" s="3" t="s">
        <v>135</v>
      </c>
      <c r="C2478" s="3" t="s">
        <v>1342</v>
      </c>
      <c r="D2478" s="3" t="s">
        <v>68</v>
      </c>
      <c r="E2478" s="3" t="s">
        <v>100</v>
      </c>
      <c r="F2478" s="3" t="s">
        <v>1088</v>
      </c>
      <c r="G2478" s="7">
        <v>45926.99886528088</v>
      </c>
    </row>
    <row r="2479">
      <c r="A2479" s="3" t="s">
        <v>8326</v>
      </c>
      <c r="B2479" s="3" t="s">
        <v>980</v>
      </c>
      <c r="C2479" s="3" t="s">
        <v>1342</v>
      </c>
      <c r="D2479" s="3" t="s">
        <v>68</v>
      </c>
      <c r="E2479" s="3" t="s">
        <v>100</v>
      </c>
      <c r="F2479" s="3" t="s">
        <v>1307</v>
      </c>
      <c r="G2479" s="7">
        <v>45927.070040126295</v>
      </c>
    </row>
    <row r="2480">
      <c r="A2480" s="3" t="s">
        <v>8329</v>
      </c>
      <c r="B2480" s="3" t="s">
        <v>710</v>
      </c>
      <c r="C2480" s="3" t="s">
        <v>1342</v>
      </c>
      <c r="D2480" s="3" t="s">
        <v>68</v>
      </c>
      <c r="E2480" s="3" t="s">
        <v>100</v>
      </c>
      <c r="F2480" s="3" t="s">
        <v>1131</v>
      </c>
      <c r="G2480" s="7">
        <v>45927.141214971714</v>
      </c>
    </row>
    <row r="2481">
      <c r="A2481" s="3" t="s">
        <v>8333</v>
      </c>
      <c r="B2481" s="3" t="s">
        <v>380</v>
      </c>
      <c r="C2481" s="3" t="s">
        <v>56</v>
      </c>
      <c r="D2481" s="3" t="s">
        <v>68</v>
      </c>
      <c r="E2481" s="3" t="s">
        <v>100</v>
      </c>
      <c r="F2481" s="3" t="s">
        <v>1385</v>
      </c>
      <c r="G2481" s="7">
        <v>45927.21238981713</v>
      </c>
    </row>
    <row r="2482">
      <c r="A2482" s="3" t="s">
        <v>8336</v>
      </c>
      <c r="B2482" s="3" t="s">
        <v>197</v>
      </c>
      <c r="C2482" s="3" t="s">
        <v>56</v>
      </c>
      <c r="D2482" s="3" t="s">
        <v>68</v>
      </c>
      <c r="E2482" s="3" t="s">
        <v>100</v>
      </c>
      <c r="F2482" s="3" t="s">
        <v>1389</v>
      </c>
      <c r="G2482" s="7">
        <v>45927.28356466254</v>
      </c>
    </row>
    <row r="2483">
      <c r="A2483" s="3" t="s">
        <v>8340</v>
      </c>
      <c r="B2483" s="3" t="s">
        <v>900</v>
      </c>
      <c r="C2483" s="3" t="s">
        <v>1095</v>
      </c>
      <c r="D2483" s="3" t="s">
        <v>68</v>
      </c>
      <c r="E2483" s="3" t="s">
        <v>100</v>
      </c>
      <c r="F2483" s="3" t="s">
        <v>1272</v>
      </c>
      <c r="G2483" s="7">
        <v>45927.35473950796</v>
      </c>
    </row>
    <row r="2484">
      <c r="A2484" s="3" t="s">
        <v>8343</v>
      </c>
      <c r="B2484" s="3" t="s">
        <v>496</v>
      </c>
      <c r="C2484" s="3" t="s">
        <v>56</v>
      </c>
      <c r="D2484" s="3" t="s">
        <v>68</v>
      </c>
      <c r="E2484" s="3" t="s">
        <v>100</v>
      </c>
      <c r="F2484" s="3" t="s">
        <v>1390</v>
      </c>
      <c r="G2484" s="7">
        <v>45927.42591435337</v>
      </c>
    </row>
    <row r="2485">
      <c r="A2485" s="3" t="s">
        <v>8345</v>
      </c>
      <c r="B2485" s="3" t="s">
        <v>453</v>
      </c>
      <c r="C2485" s="3" t="s">
        <v>1342</v>
      </c>
      <c r="D2485" s="3" t="s">
        <v>68</v>
      </c>
      <c r="E2485" s="3" t="s">
        <v>100</v>
      </c>
      <c r="F2485" s="3" t="s">
        <v>1133</v>
      </c>
      <c r="G2485" s="7">
        <v>45927.49708919878</v>
      </c>
    </row>
    <row r="2486">
      <c r="A2486" s="3" t="s">
        <v>8348</v>
      </c>
      <c r="B2486" s="3" t="s">
        <v>179</v>
      </c>
      <c r="C2486" s="3" t="s">
        <v>1095</v>
      </c>
      <c r="D2486" s="3" t="s">
        <v>195</v>
      </c>
      <c r="E2486" s="3" t="s">
        <v>45</v>
      </c>
      <c r="F2486" s="3" t="s">
        <v>857</v>
      </c>
      <c r="G2486" s="7">
        <v>45927.5682640442</v>
      </c>
    </row>
    <row r="2487">
      <c r="A2487" s="3" t="s">
        <v>8352</v>
      </c>
      <c r="B2487" s="3" t="s">
        <v>929</v>
      </c>
      <c r="C2487" s="3" t="s">
        <v>1342</v>
      </c>
      <c r="D2487" s="3" t="s">
        <v>68</v>
      </c>
      <c r="E2487" s="3" t="s">
        <v>100</v>
      </c>
      <c r="F2487" s="3" t="s">
        <v>1161</v>
      </c>
      <c r="G2487" s="7">
        <v>45927.63943888962</v>
      </c>
    </row>
    <row r="2488">
      <c r="A2488" s="3" t="s">
        <v>8356</v>
      </c>
      <c r="B2488" s="3" t="s">
        <v>1034</v>
      </c>
      <c r="C2488" s="3" t="s">
        <v>1095</v>
      </c>
      <c r="D2488" s="3" t="s">
        <v>68</v>
      </c>
      <c r="E2488" s="3" t="s">
        <v>100</v>
      </c>
      <c r="F2488" s="3" t="s">
        <v>1356</v>
      </c>
      <c r="G2488" s="7">
        <v>45927.71061373503</v>
      </c>
    </row>
    <row r="2489">
      <c r="A2489" s="3" t="s">
        <v>8359</v>
      </c>
      <c r="B2489" s="3" t="s">
        <v>510</v>
      </c>
      <c r="C2489" s="3" t="s">
        <v>1095</v>
      </c>
      <c r="D2489" s="3" t="s">
        <v>68</v>
      </c>
      <c r="E2489" s="3" t="s">
        <v>100</v>
      </c>
      <c r="F2489" s="3" t="s">
        <v>741</v>
      </c>
      <c r="G2489" s="7">
        <v>45927.78178858045</v>
      </c>
    </row>
    <row r="2490">
      <c r="A2490" s="3" t="s">
        <v>8361</v>
      </c>
      <c r="B2490" s="3" t="s">
        <v>282</v>
      </c>
      <c r="C2490" s="3" t="s">
        <v>1342</v>
      </c>
      <c r="D2490" s="3" t="s">
        <v>68</v>
      </c>
      <c r="E2490" s="3" t="s">
        <v>100</v>
      </c>
      <c r="F2490" s="3" t="s">
        <v>1369</v>
      </c>
      <c r="G2490" s="7">
        <v>45927.85296342587</v>
      </c>
    </row>
    <row r="2491">
      <c r="A2491" s="3" t="s">
        <v>8363</v>
      </c>
      <c r="B2491" s="3" t="s">
        <v>377</v>
      </c>
      <c r="C2491" s="3" t="s">
        <v>1342</v>
      </c>
      <c r="D2491" s="3" t="s">
        <v>68</v>
      </c>
      <c r="E2491" s="3" t="s">
        <v>100</v>
      </c>
      <c r="F2491" s="3" t="s">
        <v>1070</v>
      </c>
      <c r="G2491" s="7">
        <v>45927.92413827128</v>
      </c>
    </row>
    <row r="2492">
      <c r="A2492" s="3" t="s">
        <v>8365</v>
      </c>
      <c r="B2492" s="3" t="s">
        <v>488</v>
      </c>
      <c r="C2492" s="3" t="s">
        <v>56</v>
      </c>
      <c r="D2492" s="3" t="s">
        <v>68</v>
      </c>
      <c r="E2492" s="3" t="s">
        <v>100</v>
      </c>
      <c r="F2492" s="3" t="s">
        <v>1393</v>
      </c>
      <c r="G2492" s="7">
        <v>45927.99531311669</v>
      </c>
    </row>
    <row r="2493">
      <c r="A2493" s="3" t="s">
        <v>8367</v>
      </c>
      <c r="B2493" s="3" t="s">
        <v>398</v>
      </c>
      <c r="C2493" s="3" t="s">
        <v>56</v>
      </c>
      <c r="D2493" s="3" t="s">
        <v>68</v>
      </c>
      <c r="E2493" s="3" t="s">
        <v>100</v>
      </c>
      <c r="F2493" s="3" t="s">
        <v>1395</v>
      </c>
      <c r="G2493" s="7">
        <v>45928.06648796211</v>
      </c>
    </row>
    <row r="2494">
      <c r="A2494" s="3" t="s">
        <v>8370</v>
      </c>
      <c r="B2494" s="3" t="s">
        <v>505</v>
      </c>
      <c r="C2494" s="3" t="s">
        <v>1342</v>
      </c>
      <c r="D2494" s="3" t="s">
        <v>68</v>
      </c>
      <c r="E2494" s="3" t="s">
        <v>100</v>
      </c>
      <c r="F2494" s="3" t="s">
        <v>788</v>
      </c>
      <c r="G2494" s="7">
        <v>45928.13766280752</v>
      </c>
    </row>
    <row r="2495">
      <c r="A2495" s="3" t="s">
        <v>8373</v>
      </c>
      <c r="B2495" s="3" t="s">
        <v>934</v>
      </c>
      <c r="C2495" s="3" t="s">
        <v>1342</v>
      </c>
      <c r="D2495" s="3" t="s">
        <v>68</v>
      </c>
      <c r="E2495" s="3" t="s">
        <v>100</v>
      </c>
      <c r="F2495" s="3" t="s">
        <v>1143</v>
      </c>
      <c r="G2495" s="7">
        <v>45928.208837652935</v>
      </c>
    </row>
    <row r="2496">
      <c r="A2496" s="3" t="s">
        <v>8376</v>
      </c>
      <c r="B2496" s="3" t="s">
        <v>395</v>
      </c>
      <c r="C2496" s="3" t="s">
        <v>1342</v>
      </c>
      <c r="D2496" s="3" t="s">
        <v>68</v>
      </c>
      <c r="E2496" s="3" t="s">
        <v>100</v>
      </c>
      <c r="F2496" s="3" t="s">
        <v>712</v>
      </c>
      <c r="G2496" s="7">
        <v>45928.280012498355</v>
      </c>
    </row>
    <row r="2497">
      <c r="A2497" s="3" t="s">
        <v>8380</v>
      </c>
      <c r="B2497" s="3" t="s">
        <v>886</v>
      </c>
      <c r="C2497" s="3" t="s">
        <v>1342</v>
      </c>
      <c r="D2497" s="3" t="s">
        <v>68</v>
      </c>
      <c r="E2497" s="3" t="s">
        <v>100</v>
      </c>
      <c r="F2497" s="3" t="s">
        <v>1992</v>
      </c>
      <c r="G2497" s="7">
        <v>45928.35118734377</v>
      </c>
    </row>
    <row r="2498">
      <c r="A2498" s="3" t="s">
        <v>8384</v>
      </c>
      <c r="B2498" s="3" t="s">
        <v>442</v>
      </c>
      <c r="C2498" s="3" t="s">
        <v>1342</v>
      </c>
      <c r="D2498" s="3" t="s">
        <v>181</v>
      </c>
      <c r="E2498" s="3" t="s">
        <v>45</v>
      </c>
      <c r="F2498" s="3" t="s">
        <v>829</v>
      </c>
      <c r="G2498" s="7">
        <v>45928.42236218918</v>
      </c>
    </row>
    <row r="2499">
      <c r="A2499" s="3" t="s">
        <v>8387</v>
      </c>
      <c r="B2499" s="3" t="s">
        <v>998</v>
      </c>
      <c r="C2499" s="3" t="s">
        <v>1342</v>
      </c>
      <c r="D2499" s="3" t="s">
        <v>68</v>
      </c>
      <c r="E2499" s="3" t="s">
        <v>100</v>
      </c>
      <c r="F2499" s="3" t="s">
        <v>1173</v>
      </c>
      <c r="G2499" s="7">
        <v>45928.4935370346</v>
      </c>
    </row>
    <row r="2500">
      <c r="A2500" s="3" t="s">
        <v>8390</v>
      </c>
      <c r="B2500" s="3" t="s">
        <v>793</v>
      </c>
      <c r="C2500" s="3" t="s">
        <v>1342</v>
      </c>
      <c r="D2500" s="3" t="s">
        <v>68</v>
      </c>
      <c r="E2500" s="3" t="s">
        <v>100</v>
      </c>
      <c r="F2500" s="3" t="s">
        <v>2067</v>
      </c>
      <c r="G2500" s="7">
        <v>45928.56471188001</v>
      </c>
    </row>
    <row r="2501">
      <c r="A2501" s="3" t="s">
        <v>8393</v>
      </c>
      <c r="B2501" s="3" t="s">
        <v>575</v>
      </c>
      <c r="C2501" s="3" t="s">
        <v>1342</v>
      </c>
      <c r="D2501" s="3" t="s">
        <v>68</v>
      </c>
      <c r="E2501" s="3" t="s">
        <v>100</v>
      </c>
      <c r="F2501" s="3" t="s">
        <v>1119</v>
      </c>
      <c r="G2501" s="7">
        <v>45928.635886725424</v>
      </c>
    </row>
    <row r="2502">
      <c r="A2502" s="3" t="s">
        <v>8397</v>
      </c>
      <c r="B2502" s="3" t="s">
        <v>1043</v>
      </c>
      <c r="C2502" s="3" t="s">
        <v>1342</v>
      </c>
      <c r="D2502" s="3" t="s">
        <v>68</v>
      </c>
      <c r="E2502" s="3" t="s">
        <v>100</v>
      </c>
      <c r="F2502" s="3" t="s">
        <v>769</v>
      </c>
      <c r="G2502" s="7">
        <v>45928.70706157084</v>
      </c>
    </row>
    <row r="2503">
      <c r="A2503" s="3" t="s">
        <v>8400</v>
      </c>
      <c r="B2503" s="3" t="s">
        <v>565</v>
      </c>
      <c r="C2503" s="3" t="s">
        <v>1342</v>
      </c>
      <c r="D2503" s="3" t="s">
        <v>68</v>
      </c>
      <c r="E2503" s="3" t="s">
        <v>100</v>
      </c>
      <c r="F2503" s="3" t="s">
        <v>1322</v>
      </c>
      <c r="G2503" s="7">
        <v>45928.77823641626</v>
      </c>
    </row>
    <row r="2504">
      <c r="A2504" s="3" t="s">
        <v>8404</v>
      </c>
      <c r="B2504" s="3" t="s">
        <v>179</v>
      </c>
      <c r="C2504" s="3" t="s">
        <v>1342</v>
      </c>
      <c r="D2504" s="3" t="s">
        <v>68</v>
      </c>
      <c r="E2504" s="3" t="s">
        <v>100</v>
      </c>
      <c r="F2504" s="3" t="s">
        <v>857</v>
      </c>
      <c r="G2504" s="7">
        <v>45928.84941126167</v>
      </c>
    </row>
    <row r="2505">
      <c r="A2505" s="3" t="s">
        <v>8407</v>
      </c>
      <c r="B2505" s="3" t="s">
        <v>369</v>
      </c>
      <c r="C2505" s="3" t="s">
        <v>1095</v>
      </c>
      <c r="D2505" s="3" t="s">
        <v>68</v>
      </c>
      <c r="E2505" s="3" t="s">
        <v>100</v>
      </c>
      <c r="F2505" s="3" t="s">
        <v>2081</v>
      </c>
      <c r="G2505" s="7">
        <v>45928.92058610709</v>
      </c>
    </row>
    <row r="2506">
      <c r="A2506" s="3" t="s">
        <v>8410</v>
      </c>
      <c r="B2506" s="3" t="s">
        <v>145</v>
      </c>
      <c r="C2506" s="3" t="s">
        <v>56</v>
      </c>
      <c r="D2506" s="3" t="s">
        <v>68</v>
      </c>
      <c r="E2506" s="3" t="s">
        <v>100</v>
      </c>
      <c r="F2506" s="3" t="s">
        <v>1398</v>
      </c>
      <c r="G2506" s="7">
        <v>45928.99176095251</v>
      </c>
    </row>
    <row r="2507">
      <c r="A2507" s="3" t="s">
        <v>8413</v>
      </c>
      <c r="B2507" s="3" t="s">
        <v>616</v>
      </c>
      <c r="C2507" s="3" t="s">
        <v>56</v>
      </c>
      <c r="D2507" s="3" t="s">
        <v>68</v>
      </c>
      <c r="E2507" s="3" t="s">
        <v>100</v>
      </c>
      <c r="F2507" s="3" t="s">
        <v>1400</v>
      </c>
      <c r="G2507" s="7">
        <v>45929.06293579792</v>
      </c>
    </row>
    <row r="2508">
      <c r="A2508" s="3" t="s">
        <v>8418</v>
      </c>
      <c r="B2508" s="3" t="s">
        <v>193</v>
      </c>
      <c r="C2508" s="3" t="s">
        <v>1095</v>
      </c>
      <c r="D2508" s="3" t="s">
        <v>68</v>
      </c>
      <c r="E2508" s="3" t="s">
        <v>100</v>
      </c>
      <c r="F2508" s="3" t="s">
        <v>1361</v>
      </c>
      <c r="G2508" s="7">
        <v>45929.13411064333</v>
      </c>
    </row>
    <row r="2509">
      <c r="A2509" s="3" t="s">
        <v>8421</v>
      </c>
      <c r="B2509" s="3" t="s">
        <v>449</v>
      </c>
      <c r="C2509" s="3" t="s">
        <v>1342</v>
      </c>
      <c r="D2509" s="3" t="s">
        <v>68</v>
      </c>
      <c r="E2509" s="3" t="s">
        <v>100</v>
      </c>
      <c r="F2509" s="3" t="s">
        <v>2052</v>
      </c>
      <c r="G2509" s="7">
        <v>45929.20528548875</v>
      </c>
    </row>
    <row r="2510">
      <c r="A2510" s="3" t="s">
        <v>8426</v>
      </c>
      <c r="B2510" s="3" t="s">
        <v>805</v>
      </c>
      <c r="C2510" s="3" t="s">
        <v>1095</v>
      </c>
      <c r="D2510" s="3" t="s">
        <v>68</v>
      </c>
      <c r="E2510" s="3" t="s">
        <v>100</v>
      </c>
      <c r="F2510" s="3" t="s">
        <v>1081</v>
      </c>
      <c r="G2510" s="7">
        <v>45929.276460334164</v>
      </c>
    </row>
    <row r="2511">
      <c r="A2511" s="3" t="s">
        <v>8429</v>
      </c>
      <c r="B2511" s="3" t="s">
        <v>770</v>
      </c>
      <c r="C2511" s="3" t="s">
        <v>56</v>
      </c>
      <c r="D2511" s="3" t="s">
        <v>68</v>
      </c>
      <c r="E2511" s="3" t="s">
        <v>100</v>
      </c>
      <c r="F2511" s="3" t="s">
        <v>1403</v>
      </c>
      <c r="G2511" s="7">
        <v>45929.347635179576</v>
      </c>
    </row>
    <row r="2512">
      <c r="A2512" s="3" t="s">
        <v>8432</v>
      </c>
      <c r="B2512" s="3" t="s">
        <v>226</v>
      </c>
      <c r="C2512" s="3" t="s">
        <v>1095</v>
      </c>
      <c r="D2512" s="3" t="s">
        <v>68</v>
      </c>
      <c r="E2512" s="3" t="s">
        <v>100</v>
      </c>
      <c r="F2512" s="3" t="s">
        <v>1383</v>
      </c>
      <c r="G2512" s="7">
        <v>45929.418810024996</v>
      </c>
    </row>
    <row r="2513">
      <c r="A2513" s="3" t="s">
        <v>8435</v>
      </c>
      <c r="B2513" s="3" t="s">
        <v>253</v>
      </c>
      <c r="C2513" s="3" t="s">
        <v>1342</v>
      </c>
      <c r="D2513" s="3" t="s">
        <v>68</v>
      </c>
      <c r="E2513" s="3" t="s">
        <v>100</v>
      </c>
      <c r="F2513" s="3" t="s">
        <v>959</v>
      </c>
      <c r="G2513" s="7">
        <v>45929.48998487041</v>
      </c>
    </row>
    <row r="2514">
      <c r="A2514" s="3" t="s">
        <v>8438</v>
      </c>
      <c r="B2514" s="3" t="s">
        <v>383</v>
      </c>
      <c r="C2514" s="3" t="s">
        <v>1342</v>
      </c>
      <c r="D2514" s="3" t="s">
        <v>68</v>
      </c>
      <c r="E2514" s="3" t="s">
        <v>100</v>
      </c>
      <c r="F2514" s="3" t="s">
        <v>849</v>
      </c>
      <c r="G2514" s="7">
        <v>45929.56115971582</v>
      </c>
    </row>
    <row r="2515">
      <c r="A2515" s="3" t="s">
        <v>8441</v>
      </c>
      <c r="B2515" s="3" t="s">
        <v>453</v>
      </c>
      <c r="C2515" s="3" t="s">
        <v>1095</v>
      </c>
      <c r="D2515" s="3" t="s">
        <v>68</v>
      </c>
      <c r="E2515" s="3" t="s">
        <v>100</v>
      </c>
      <c r="F2515" s="3" t="s">
        <v>1133</v>
      </c>
      <c r="G2515" s="7">
        <v>45929.63233456124</v>
      </c>
    </row>
    <row r="2516">
      <c r="A2516" s="3" t="s">
        <v>8445</v>
      </c>
      <c r="B2516" s="3" t="s">
        <v>536</v>
      </c>
      <c r="C2516" s="3" t="s">
        <v>56</v>
      </c>
      <c r="D2516" s="3" t="s">
        <v>68</v>
      </c>
      <c r="E2516" s="3" t="s">
        <v>100</v>
      </c>
      <c r="F2516" s="3" t="s">
        <v>1407</v>
      </c>
      <c r="G2516" s="7">
        <v>45929.70350940665</v>
      </c>
    </row>
    <row r="2517">
      <c r="A2517" s="3" t="s">
        <v>8449</v>
      </c>
      <c r="B2517" s="3" t="s">
        <v>600</v>
      </c>
      <c r="C2517" s="3" t="s">
        <v>56</v>
      </c>
      <c r="D2517" s="3" t="s">
        <v>68</v>
      </c>
      <c r="E2517" s="3" t="s">
        <v>100</v>
      </c>
      <c r="F2517" s="3" t="s">
        <v>1408</v>
      </c>
      <c r="G2517" s="7">
        <v>45929.774684252065</v>
      </c>
    </row>
    <row r="2518">
      <c r="A2518" s="3" t="s">
        <v>8452</v>
      </c>
      <c r="B2518" s="3" t="s">
        <v>612</v>
      </c>
      <c r="C2518" s="3" t="s">
        <v>1342</v>
      </c>
      <c r="D2518" s="3" t="s">
        <v>68</v>
      </c>
      <c r="E2518" s="3" t="s">
        <v>100</v>
      </c>
      <c r="F2518" s="3" t="s">
        <v>1187</v>
      </c>
      <c r="G2518" s="7">
        <v>45929.845859097484</v>
      </c>
    </row>
    <row r="2519">
      <c r="A2519" s="3" t="s">
        <v>8455</v>
      </c>
      <c r="B2519" s="3" t="s">
        <v>747</v>
      </c>
      <c r="C2519" s="3" t="s">
        <v>1095</v>
      </c>
      <c r="D2519" s="3" t="s">
        <v>68</v>
      </c>
      <c r="E2519" s="3" t="s">
        <v>100</v>
      </c>
      <c r="F2519" s="3" t="s">
        <v>1786</v>
      </c>
      <c r="G2519" s="7">
        <v>45929.917033942904</v>
      </c>
    </row>
    <row r="2520">
      <c r="A2520" s="3" t="s">
        <v>8458</v>
      </c>
      <c r="B2520" s="3" t="s">
        <v>581</v>
      </c>
      <c r="C2520" s="3" t="s">
        <v>56</v>
      </c>
      <c r="D2520" s="3" t="s">
        <v>195</v>
      </c>
      <c r="E2520" s="3" t="s">
        <v>45</v>
      </c>
      <c r="F2520" s="3" t="s">
        <v>45</v>
      </c>
      <c r="G2520" s="7">
        <v>45929.98820878831</v>
      </c>
    </row>
    <row r="2521">
      <c r="A2521" s="3" t="s">
        <v>8461</v>
      </c>
      <c r="B2521" s="3" t="s">
        <v>510</v>
      </c>
      <c r="C2521" s="3" t="s">
        <v>56</v>
      </c>
      <c r="D2521" s="3" t="s">
        <v>181</v>
      </c>
      <c r="E2521" s="3" t="s">
        <v>45</v>
      </c>
      <c r="F2521" s="3" t="s">
        <v>45</v>
      </c>
      <c r="G2521" s="7">
        <v>45930.05938363373</v>
      </c>
    </row>
    <row r="2522">
      <c r="A2522" s="3" t="s">
        <v>8464</v>
      </c>
      <c r="B2522" s="3" t="s">
        <v>734</v>
      </c>
      <c r="C2522" s="3" t="s">
        <v>56</v>
      </c>
      <c r="D2522" s="3" t="s">
        <v>68</v>
      </c>
      <c r="E2522" s="3" t="s">
        <v>100</v>
      </c>
      <c r="F2522" s="3" t="s">
        <v>1411</v>
      </c>
      <c r="G2522" s="7">
        <v>45930.13055847915</v>
      </c>
    </row>
    <row r="2523">
      <c r="A2523" s="3" t="s">
        <v>8467</v>
      </c>
      <c r="B2523" s="3" t="s">
        <v>965</v>
      </c>
      <c r="C2523" s="3" t="s">
        <v>1342</v>
      </c>
      <c r="D2523" s="3" t="s">
        <v>68</v>
      </c>
      <c r="E2523" s="3" t="s">
        <v>100</v>
      </c>
      <c r="F2523" s="3" t="s">
        <v>738</v>
      </c>
      <c r="G2523" s="7">
        <v>45930.20173332456</v>
      </c>
    </row>
    <row r="2524">
      <c r="A2524" s="3" t="s">
        <v>8470</v>
      </c>
      <c r="B2524" s="3" t="s">
        <v>366</v>
      </c>
      <c r="C2524" s="3" t="s">
        <v>56</v>
      </c>
      <c r="D2524" s="3" t="s">
        <v>195</v>
      </c>
      <c r="E2524" s="3" t="s">
        <v>45</v>
      </c>
      <c r="F2524" s="3" t="s">
        <v>45</v>
      </c>
      <c r="G2524" s="7">
        <v>45930.27290816997</v>
      </c>
    </row>
    <row r="2525">
      <c r="A2525" s="3" t="s">
        <v>8472</v>
      </c>
      <c r="B2525" s="3" t="s">
        <v>505</v>
      </c>
      <c r="C2525" s="3" t="s">
        <v>1342</v>
      </c>
      <c r="D2525" s="3" t="s">
        <v>68</v>
      </c>
      <c r="E2525" s="3" t="s">
        <v>100</v>
      </c>
      <c r="F2525" s="3" t="s">
        <v>788</v>
      </c>
      <c r="G2525" s="7">
        <v>45930.34408301539</v>
      </c>
    </row>
    <row r="2526">
      <c r="A2526" s="3" t="s">
        <v>8474</v>
      </c>
      <c r="B2526" s="3" t="s">
        <v>151</v>
      </c>
      <c r="C2526" s="3" t="s">
        <v>1342</v>
      </c>
      <c r="D2526" s="3" t="s">
        <v>68</v>
      </c>
      <c r="E2526" s="3" t="s">
        <v>100</v>
      </c>
      <c r="F2526" s="3" t="s">
        <v>1086</v>
      </c>
      <c r="G2526" s="7">
        <v>45930.415257860805</v>
      </c>
    </row>
    <row r="2527">
      <c r="A2527" s="3" t="s">
        <v>8476</v>
      </c>
      <c r="B2527" s="3" t="s">
        <v>502</v>
      </c>
      <c r="C2527" s="3" t="s">
        <v>1342</v>
      </c>
      <c r="D2527" s="3" t="s">
        <v>68</v>
      </c>
      <c r="E2527" s="3" t="s">
        <v>100</v>
      </c>
      <c r="F2527" s="3" t="s">
        <v>1726</v>
      </c>
      <c r="G2527" s="7">
        <v>45930.48643270622</v>
      </c>
    </row>
    <row r="2528">
      <c r="A2528" s="3" t="s">
        <v>8480</v>
      </c>
      <c r="B2528" s="3" t="s">
        <v>622</v>
      </c>
      <c r="C2528" s="3" t="s">
        <v>1342</v>
      </c>
      <c r="D2528" s="3" t="s">
        <v>68</v>
      </c>
      <c r="E2528" s="3" t="s">
        <v>100</v>
      </c>
      <c r="F2528" s="3" t="s">
        <v>1341</v>
      </c>
      <c r="G2528" s="7">
        <v>45930.55760755164</v>
      </c>
    </row>
    <row r="2529">
      <c r="A2529" s="3" t="s">
        <v>8483</v>
      </c>
      <c r="B2529" s="3" t="s">
        <v>449</v>
      </c>
      <c r="C2529" s="3" t="s">
        <v>1095</v>
      </c>
      <c r="D2529" s="3" t="s">
        <v>68</v>
      </c>
      <c r="E2529" s="3" t="s">
        <v>100</v>
      </c>
      <c r="F2529" s="3" t="s">
        <v>2052</v>
      </c>
      <c r="G2529" s="7">
        <v>45930.628782397056</v>
      </c>
    </row>
    <row r="2530">
      <c r="A2530" s="3" t="s">
        <v>8486</v>
      </c>
      <c r="B2530" s="3" t="s">
        <v>781</v>
      </c>
      <c r="C2530" s="3" t="s">
        <v>1095</v>
      </c>
      <c r="D2530" s="3" t="s">
        <v>68</v>
      </c>
      <c r="E2530" s="3" t="s">
        <v>100</v>
      </c>
      <c r="F2530" s="3" t="s">
        <v>1289</v>
      </c>
      <c r="G2530" s="7">
        <v>45930.69995724246</v>
      </c>
    </row>
    <row r="2531">
      <c r="A2531" s="3" t="s">
        <v>8490</v>
      </c>
      <c r="B2531" s="3" t="s">
        <v>333</v>
      </c>
      <c r="C2531" s="3" t="s">
        <v>56</v>
      </c>
      <c r="D2531" s="3" t="s">
        <v>68</v>
      </c>
      <c r="E2531" s="3" t="s">
        <v>100</v>
      </c>
      <c r="F2531" s="3" t="s">
        <v>1413</v>
      </c>
      <c r="G2531" s="7">
        <v>45930.77113208788</v>
      </c>
    </row>
    <row r="2532">
      <c r="A2532" s="3" t="s">
        <v>8493</v>
      </c>
      <c r="B2532" s="3" t="s">
        <v>165</v>
      </c>
      <c r="C2532" s="3" t="s">
        <v>1342</v>
      </c>
      <c r="D2532" s="3" t="s">
        <v>68</v>
      </c>
      <c r="E2532" s="3" t="s">
        <v>100</v>
      </c>
      <c r="F2532" s="3" t="s">
        <v>1319</v>
      </c>
      <c r="G2532" s="7">
        <v>45930.84230693329</v>
      </c>
    </row>
    <row r="2533">
      <c r="A2533" s="3" t="s">
        <v>8497</v>
      </c>
      <c r="B2533" s="3" t="s">
        <v>746</v>
      </c>
      <c r="C2533" s="3" t="s">
        <v>1342</v>
      </c>
      <c r="D2533" s="3" t="s">
        <v>68</v>
      </c>
      <c r="E2533" s="3" t="s">
        <v>100</v>
      </c>
      <c r="F2533" s="3" t="s">
        <v>1837</v>
      </c>
      <c r="G2533" s="7">
        <v>45930.91348177871</v>
      </c>
    </row>
    <row r="2534">
      <c r="A2534" s="3" t="s">
        <v>8500</v>
      </c>
      <c r="B2534" s="3" t="s">
        <v>922</v>
      </c>
      <c r="C2534" s="3" t="s">
        <v>1095</v>
      </c>
      <c r="D2534" s="3" t="s">
        <v>68</v>
      </c>
      <c r="E2534" s="3" t="s">
        <v>100</v>
      </c>
      <c r="F2534" s="3" t="s">
        <v>855</v>
      </c>
      <c r="G2534" s="7">
        <v>45930.984656624125</v>
      </c>
    </row>
    <row r="2535">
      <c r="A2535" s="3" t="s">
        <v>8505</v>
      </c>
      <c r="B2535" s="3" t="s">
        <v>1043</v>
      </c>
      <c r="C2535" s="3" t="s">
        <v>1095</v>
      </c>
      <c r="D2535" s="3" t="s">
        <v>181</v>
      </c>
      <c r="E2535" s="3" t="s">
        <v>45</v>
      </c>
      <c r="F2535" s="3" t="s">
        <v>769</v>
      </c>
      <c r="G2535" s="7">
        <v>45931.055831469545</v>
      </c>
    </row>
    <row r="2536">
      <c r="A2536" s="3" t="s">
        <v>8508</v>
      </c>
      <c r="B2536" s="3" t="s">
        <v>765</v>
      </c>
      <c r="C2536" s="3" t="s">
        <v>1342</v>
      </c>
      <c r="D2536" s="3" t="s">
        <v>68</v>
      </c>
      <c r="E2536" s="3" t="s">
        <v>100</v>
      </c>
      <c r="F2536" s="3" t="s">
        <v>2088</v>
      </c>
      <c r="G2536" s="7">
        <v>45931.12700631495</v>
      </c>
    </row>
    <row r="2537">
      <c r="A2537" s="3" t="s">
        <v>8511</v>
      </c>
      <c r="B2537" s="3" t="s">
        <v>287</v>
      </c>
      <c r="C2537" s="3" t="s">
        <v>1095</v>
      </c>
      <c r="D2537" s="3" t="s">
        <v>68</v>
      </c>
      <c r="E2537" s="3" t="s">
        <v>100</v>
      </c>
      <c r="F2537" s="3" t="s">
        <v>553</v>
      </c>
      <c r="G2537" s="7">
        <v>45931.19818116037</v>
      </c>
    </row>
    <row r="2538">
      <c r="A2538" s="3" t="s">
        <v>8514</v>
      </c>
      <c r="B2538" s="3" t="s">
        <v>299</v>
      </c>
      <c r="C2538" s="3" t="s">
        <v>1342</v>
      </c>
      <c r="D2538" s="3" t="s">
        <v>181</v>
      </c>
      <c r="E2538" s="3" t="s">
        <v>45</v>
      </c>
      <c r="F2538" s="3" t="s">
        <v>1063</v>
      </c>
      <c r="G2538" s="7">
        <v>45931.26935600579</v>
      </c>
    </row>
    <row r="2539">
      <c r="A2539" s="3" t="s">
        <v>8518</v>
      </c>
      <c r="B2539" s="3" t="s">
        <v>193</v>
      </c>
      <c r="C2539" s="3" t="s">
        <v>56</v>
      </c>
      <c r="D2539" s="3" t="s">
        <v>68</v>
      </c>
      <c r="E2539" s="3" t="s">
        <v>100</v>
      </c>
      <c r="F2539" s="3" t="s">
        <v>1416</v>
      </c>
      <c r="G2539" s="7">
        <v>45931.3405308512</v>
      </c>
    </row>
    <row r="2540">
      <c r="A2540" s="3" t="s">
        <v>8522</v>
      </c>
      <c r="B2540" s="3" t="s">
        <v>430</v>
      </c>
      <c r="C2540" s="3" t="s">
        <v>1095</v>
      </c>
      <c r="D2540" s="3" t="s">
        <v>68</v>
      </c>
      <c r="E2540" s="3" t="s">
        <v>100</v>
      </c>
      <c r="F2540" s="3" t="s">
        <v>583</v>
      </c>
      <c r="G2540" s="7">
        <v>45931.41170569661</v>
      </c>
    </row>
    <row r="2541">
      <c r="A2541" s="3" t="s">
        <v>8525</v>
      </c>
      <c r="B2541" s="3" t="s">
        <v>507</v>
      </c>
      <c r="C2541" s="3" t="s">
        <v>1095</v>
      </c>
      <c r="D2541" s="3" t="s">
        <v>68</v>
      </c>
      <c r="E2541" s="3" t="s">
        <v>100</v>
      </c>
      <c r="F2541" s="3" t="s">
        <v>831</v>
      </c>
      <c r="G2541" s="7">
        <v>45931.48288054203</v>
      </c>
    </row>
    <row r="2542">
      <c r="A2542" s="3" t="s">
        <v>8528</v>
      </c>
      <c r="B2542" s="3" t="s">
        <v>848</v>
      </c>
      <c r="C2542" s="3" t="s">
        <v>1342</v>
      </c>
      <c r="D2542" s="3" t="s">
        <v>68</v>
      </c>
      <c r="E2542" s="3" t="s">
        <v>100</v>
      </c>
      <c r="F2542" s="3" t="s">
        <v>1676</v>
      </c>
      <c r="G2542" s="7">
        <v>45931.554055387445</v>
      </c>
    </row>
    <row r="2543">
      <c r="A2543" s="3" t="s">
        <v>8531</v>
      </c>
      <c r="B2543" s="3" t="s">
        <v>468</v>
      </c>
      <c r="C2543" s="3" t="s">
        <v>1095</v>
      </c>
      <c r="D2543" s="3" t="s">
        <v>68</v>
      </c>
      <c r="E2543" s="3" t="s">
        <v>100</v>
      </c>
      <c r="F2543" s="3" t="s">
        <v>1570</v>
      </c>
      <c r="G2543" s="7">
        <v>45931.62523023286</v>
      </c>
    </row>
    <row r="2544">
      <c r="A2544" s="3" t="s">
        <v>8534</v>
      </c>
      <c r="B2544" s="3" t="s">
        <v>1040</v>
      </c>
      <c r="C2544" s="3" t="s">
        <v>1342</v>
      </c>
      <c r="D2544" s="3" t="s">
        <v>68</v>
      </c>
      <c r="E2544" s="3" t="s">
        <v>100</v>
      </c>
      <c r="F2544" s="3" t="s">
        <v>1201</v>
      </c>
      <c r="G2544" s="7">
        <v>45931.69640507828</v>
      </c>
    </row>
    <row r="2545">
      <c r="A2545" s="3" t="s">
        <v>8539</v>
      </c>
      <c r="B2545" s="3" t="s">
        <v>1034</v>
      </c>
      <c r="C2545" s="3" t="s">
        <v>56</v>
      </c>
      <c r="D2545" s="3" t="s">
        <v>68</v>
      </c>
      <c r="E2545" s="3" t="s">
        <v>100</v>
      </c>
      <c r="F2545" s="3" t="s">
        <v>1418</v>
      </c>
      <c r="G2545" s="7">
        <v>45931.7675799237</v>
      </c>
    </row>
    <row r="2546">
      <c r="A2546" s="3" t="s">
        <v>8542</v>
      </c>
      <c r="B2546" s="3" t="s">
        <v>224</v>
      </c>
      <c r="C2546" s="3" t="s">
        <v>1095</v>
      </c>
      <c r="D2546" s="3" t="s">
        <v>195</v>
      </c>
      <c r="E2546" s="3" t="s">
        <v>45</v>
      </c>
      <c r="F2546" s="3" t="s">
        <v>1274</v>
      </c>
      <c r="G2546" s="7">
        <v>45931.8387547691</v>
      </c>
    </row>
    <row r="2547">
      <c r="A2547" s="3" t="s">
        <v>8545</v>
      </c>
      <c r="B2547" s="3" t="s">
        <v>263</v>
      </c>
      <c r="C2547" s="3" t="s">
        <v>1342</v>
      </c>
      <c r="D2547" s="3" t="s">
        <v>68</v>
      </c>
      <c r="E2547" s="3" t="s">
        <v>100</v>
      </c>
      <c r="F2547" s="3" t="s">
        <v>1045</v>
      </c>
      <c r="G2547" s="7">
        <v>45931.90992961452</v>
      </c>
    </row>
    <row r="2548">
      <c r="A2548" s="3" t="s">
        <v>8548</v>
      </c>
      <c r="B2548" s="3" t="s">
        <v>763</v>
      </c>
      <c r="C2548" s="3" t="s">
        <v>1095</v>
      </c>
      <c r="D2548" s="3" t="s">
        <v>68</v>
      </c>
      <c r="E2548" s="3" t="s">
        <v>100</v>
      </c>
      <c r="F2548" s="3" t="s">
        <v>1376</v>
      </c>
      <c r="G2548" s="7">
        <v>45931.98110445994</v>
      </c>
    </row>
    <row r="2549">
      <c r="A2549" s="3" t="s">
        <v>8552</v>
      </c>
      <c r="B2549" s="3" t="s">
        <v>987</v>
      </c>
      <c r="C2549" s="3" t="s">
        <v>56</v>
      </c>
      <c r="D2549" s="3" t="s">
        <v>68</v>
      </c>
      <c r="E2549" s="3" t="s">
        <v>100</v>
      </c>
      <c r="F2549" s="3" t="s">
        <v>1420</v>
      </c>
      <c r="G2549" s="7">
        <v>45932.05227930535</v>
      </c>
    </row>
    <row r="2550">
      <c r="A2550" s="3" t="s">
        <v>8556</v>
      </c>
      <c r="B2550" s="3" t="s">
        <v>536</v>
      </c>
      <c r="C2550" s="3" t="s">
        <v>1095</v>
      </c>
      <c r="D2550" s="3" t="s">
        <v>68</v>
      </c>
      <c r="E2550" s="3" t="s">
        <v>100</v>
      </c>
      <c r="F2550" s="3" t="s">
        <v>1407</v>
      </c>
      <c r="G2550" s="7">
        <v>45932.123454150766</v>
      </c>
    </row>
    <row r="2551">
      <c r="A2551" s="3" t="s">
        <v>8559</v>
      </c>
      <c r="B2551" s="3" t="s">
        <v>727</v>
      </c>
      <c r="C2551" s="3" t="s">
        <v>56</v>
      </c>
      <c r="D2551" s="3" t="s">
        <v>195</v>
      </c>
      <c r="E2551" s="3" t="s">
        <v>45</v>
      </c>
      <c r="F2551" s="3" t="s">
        <v>45</v>
      </c>
      <c r="G2551" s="7">
        <v>45932.194628996185</v>
      </c>
    </row>
    <row r="2552">
      <c r="A2552" s="3" t="s">
        <v>8562</v>
      </c>
      <c r="B2552" s="3" t="s">
        <v>202</v>
      </c>
      <c r="C2552" s="3" t="s">
        <v>1095</v>
      </c>
      <c r="D2552" s="3" t="s">
        <v>68</v>
      </c>
      <c r="E2552" s="3" t="s">
        <v>100</v>
      </c>
      <c r="F2552" s="3" t="s">
        <v>560</v>
      </c>
      <c r="G2552" s="7">
        <v>45932.2658038416</v>
      </c>
    </row>
    <row r="2553">
      <c r="A2553" s="3" t="s">
        <v>8565</v>
      </c>
      <c r="B2553" s="3" t="s">
        <v>911</v>
      </c>
      <c r="C2553" s="3" t="s">
        <v>56</v>
      </c>
      <c r="D2553" s="3" t="s">
        <v>68</v>
      </c>
      <c r="E2553" s="3" t="s">
        <v>100</v>
      </c>
      <c r="F2553" s="3" t="s">
        <v>1424</v>
      </c>
      <c r="G2553" s="7">
        <v>45932.33697868701</v>
      </c>
    </row>
    <row r="2554">
      <c r="A2554" s="3" t="s">
        <v>8569</v>
      </c>
      <c r="B2554" s="3" t="s">
        <v>830</v>
      </c>
      <c r="C2554" s="3" t="s">
        <v>56</v>
      </c>
      <c r="D2554" s="3" t="s">
        <v>181</v>
      </c>
      <c r="E2554" s="3" t="s">
        <v>45</v>
      </c>
      <c r="F2554" s="3" t="s">
        <v>45</v>
      </c>
      <c r="G2554" s="7">
        <v>45932.40815353243</v>
      </c>
    </row>
    <row r="2555">
      <c r="A2555" s="3" t="s">
        <v>8572</v>
      </c>
      <c r="B2555" s="3" t="s">
        <v>491</v>
      </c>
      <c r="C2555" s="3" t="s">
        <v>56</v>
      </c>
      <c r="D2555" s="3" t="s">
        <v>68</v>
      </c>
      <c r="E2555" s="3" t="s">
        <v>100</v>
      </c>
      <c r="F2555" s="3" t="s">
        <v>1426</v>
      </c>
      <c r="G2555" s="7">
        <v>45932.47932837784</v>
      </c>
    </row>
    <row r="2556">
      <c r="A2556" s="3" t="s">
        <v>8576</v>
      </c>
      <c r="B2556" s="3" t="s">
        <v>554</v>
      </c>
      <c r="C2556" s="3" t="s">
        <v>56</v>
      </c>
      <c r="D2556" s="3" t="s">
        <v>68</v>
      </c>
      <c r="E2556" s="3" t="s">
        <v>100</v>
      </c>
      <c r="F2556" s="3" t="s">
        <v>1434</v>
      </c>
      <c r="G2556" s="7">
        <v>45932.550503223254</v>
      </c>
    </row>
    <row r="2557">
      <c r="A2557" s="3" t="s">
        <v>8579</v>
      </c>
      <c r="B2557" s="3" t="s">
        <v>377</v>
      </c>
      <c r="C2557" s="3" t="s">
        <v>1095</v>
      </c>
      <c r="D2557" s="3" t="s">
        <v>68</v>
      </c>
      <c r="E2557" s="3" t="s">
        <v>100</v>
      </c>
      <c r="F2557" s="3" t="s">
        <v>1070</v>
      </c>
      <c r="G2557" s="7">
        <v>45932.621678068674</v>
      </c>
    </row>
    <row r="2558">
      <c r="A2558" s="3" t="s">
        <v>8582</v>
      </c>
      <c r="B2558" s="3" t="s">
        <v>622</v>
      </c>
      <c r="C2558" s="3" t="s">
        <v>1342</v>
      </c>
      <c r="D2558" s="3" t="s">
        <v>68</v>
      </c>
      <c r="E2558" s="3" t="s">
        <v>100</v>
      </c>
      <c r="F2558" s="3" t="s">
        <v>1341</v>
      </c>
      <c r="G2558" s="7">
        <v>45932.692852914086</v>
      </c>
    </row>
    <row r="2559">
      <c r="A2559" s="3" t="s">
        <v>8585</v>
      </c>
      <c r="B2559" s="3" t="s">
        <v>330</v>
      </c>
      <c r="C2559" s="3" t="s">
        <v>1095</v>
      </c>
      <c r="D2559" s="3" t="s">
        <v>68</v>
      </c>
      <c r="E2559" s="3" t="s">
        <v>100</v>
      </c>
      <c r="F2559" s="3" t="s">
        <v>1722</v>
      </c>
      <c r="G2559" s="7">
        <v>45932.7640277595</v>
      </c>
    </row>
    <row r="2560">
      <c r="A2560" s="3" t="s">
        <v>8588</v>
      </c>
      <c r="B2560" s="3" t="s">
        <v>516</v>
      </c>
      <c r="C2560" s="3" t="s">
        <v>1095</v>
      </c>
      <c r="D2560" s="3" t="s">
        <v>68</v>
      </c>
      <c r="E2560" s="3" t="s">
        <v>100</v>
      </c>
      <c r="F2560" s="3" t="s">
        <v>1012</v>
      </c>
      <c r="G2560" s="7">
        <v>45932.83520260492</v>
      </c>
    </row>
    <row r="2561">
      <c r="A2561" s="3" t="s">
        <v>8591</v>
      </c>
      <c r="B2561" s="3" t="s">
        <v>449</v>
      </c>
      <c r="C2561" s="3" t="s">
        <v>56</v>
      </c>
      <c r="D2561" s="3" t="s">
        <v>68</v>
      </c>
      <c r="E2561" s="3" t="s">
        <v>100</v>
      </c>
      <c r="F2561" s="3" t="s">
        <v>1435</v>
      </c>
      <c r="G2561" s="7">
        <v>45932.90637745034</v>
      </c>
    </row>
    <row r="2562">
      <c r="A2562" s="3" t="s">
        <v>8593</v>
      </c>
      <c r="B2562" s="3" t="s">
        <v>627</v>
      </c>
      <c r="C2562" s="3" t="s">
        <v>1342</v>
      </c>
      <c r="D2562" s="3" t="s">
        <v>181</v>
      </c>
      <c r="E2562" s="3" t="s">
        <v>45</v>
      </c>
      <c r="F2562" s="3" t="s">
        <v>1211</v>
      </c>
      <c r="G2562" s="7">
        <v>45932.97755229574</v>
      </c>
    </row>
    <row r="2563">
      <c r="A2563" s="3" t="s">
        <v>8596</v>
      </c>
      <c r="B2563" s="3" t="s">
        <v>363</v>
      </c>
      <c r="C2563" s="3" t="s">
        <v>56</v>
      </c>
      <c r="D2563" s="3" t="s">
        <v>195</v>
      </c>
      <c r="E2563" s="3" t="s">
        <v>45</v>
      </c>
      <c r="F2563" s="3" t="s">
        <v>45</v>
      </c>
      <c r="G2563" s="7">
        <v>45933.04872714116</v>
      </c>
    </row>
    <row r="2564">
      <c r="A2564" s="3" t="s">
        <v>8598</v>
      </c>
      <c r="B2564" s="3" t="s">
        <v>574</v>
      </c>
      <c r="C2564" s="3" t="s">
        <v>1095</v>
      </c>
      <c r="D2564" s="3" t="s">
        <v>68</v>
      </c>
      <c r="E2564" s="3" t="s">
        <v>100</v>
      </c>
      <c r="F2564" s="3" t="s">
        <v>668</v>
      </c>
      <c r="G2564" s="7">
        <v>45933.11990198658</v>
      </c>
    </row>
    <row r="2565">
      <c r="A2565" s="3" t="s">
        <v>8601</v>
      </c>
      <c r="B2565" s="3" t="s">
        <v>462</v>
      </c>
      <c r="C2565" s="3" t="s">
        <v>1095</v>
      </c>
      <c r="D2565" s="3" t="s">
        <v>195</v>
      </c>
      <c r="E2565" s="3" t="s">
        <v>45</v>
      </c>
      <c r="F2565" s="3" t="s">
        <v>1548</v>
      </c>
      <c r="G2565" s="7">
        <v>45933.191076831994</v>
      </c>
    </row>
    <row r="2566">
      <c r="A2566" s="3" t="s">
        <v>8604</v>
      </c>
      <c r="B2566" s="3" t="s">
        <v>1040</v>
      </c>
      <c r="C2566" s="3" t="s">
        <v>1342</v>
      </c>
      <c r="D2566" s="3" t="s">
        <v>68</v>
      </c>
      <c r="E2566" s="3" t="s">
        <v>100</v>
      </c>
      <c r="F2566" s="3" t="s">
        <v>1201</v>
      </c>
      <c r="G2566" s="7">
        <v>45933.262251677406</v>
      </c>
    </row>
    <row r="2567">
      <c r="A2567" s="3" t="s">
        <v>8608</v>
      </c>
      <c r="B2567" s="3" t="s">
        <v>168</v>
      </c>
      <c r="C2567" s="3" t="s">
        <v>1095</v>
      </c>
      <c r="D2567" s="3" t="s">
        <v>68</v>
      </c>
      <c r="E2567" s="3" t="s">
        <v>100</v>
      </c>
      <c r="F2567" s="3" t="s">
        <v>862</v>
      </c>
      <c r="G2567" s="7">
        <v>45933.333426522826</v>
      </c>
    </row>
    <row r="2568">
      <c r="A2568" s="3" t="s">
        <v>8612</v>
      </c>
      <c r="B2568" s="3" t="s">
        <v>993</v>
      </c>
      <c r="C2568" s="3" t="s">
        <v>1095</v>
      </c>
      <c r="D2568" s="3" t="s">
        <v>68</v>
      </c>
      <c r="E2568" s="3" t="s">
        <v>100</v>
      </c>
      <c r="F2568" s="3" t="s">
        <v>818</v>
      </c>
      <c r="G2568" s="7">
        <v>45933.40460136824</v>
      </c>
    </row>
    <row r="2569">
      <c r="A2569" s="3" t="s">
        <v>8615</v>
      </c>
      <c r="B2569" s="3" t="s">
        <v>501</v>
      </c>
      <c r="C2569" s="3" t="s">
        <v>1342</v>
      </c>
      <c r="D2569" s="3" t="s">
        <v>68</v>
      </c>
      <c r="E2569" s="3" t="s">
        <v>100</v>
      </c>
      <c r="F2569" s="3" t="s">
        <v>1158</v>
      </c>
      <c r="G2569" s="7">
        <v>45933.47577621365</v>
      </c>
    </row>
    <row r="2570">
      <c r="A2570" s="3" t="s">
        <v>8618</v>
      </c>
      <c r="B2570" s="3" t="s">
        <v>789</v>
      </c>
      <c r="C2570" s="3" t="s">
        <v>1342</v>
      </c>
      <c r="D2570" s="3" t="s">
        <v>68</v>
      </c>
      <c r="E2570" s="3" t="s">
        <v>100</v>
      </c>
      <c r="F2570" s="3" t="s">
        <v>1234</v>
      </c>
      <c r="G2570" s="7">
        <v>45933.54695105907</v>
      </c>
    </row>
    <row r="2571">
      <c r="A2571" s="3" t="s">
        <v>8621</v>
      </c>
      <c r="B2571" s="3" t="s">
        <v>293</v>
      </c>
      <c r="C2571" s="3" t="s">
        <v>1342</v>
      </c>
      <c r="D2571" s="3" t="s">
        <v>68</v>
      </c>
      <c r="E2571" s="3" t="s">
        <v>100</v>
      </c>
      <c r="F2571" s="3" t="s">
        <v>1270</v>
      </c>
      <c r="G2571" s="7">
        <v>45933.61812590449</v>
      </c>
    </row>
    <row r="2572">
      <c r="A2572" s="3" t="s">
        <v>8625</v>
      </c>
      <c r="B2572" s="3" t="s">
        <v>197</v>
      </c>
      <c r="C2572" s="3" t="s">
        <v>1342</v>
      </c>
      <c r="D2572" s="3" t="s">
        <v>181</v>
      </c>
      <c r="E2572" s="3" t="s">
        <v>45</v>
      </c>
      <c r="F2572" s="3" t="s">
        <v>1389</v>
      </c>
      <c r="G2572" s="7">
        <v>45933.689300749895</v>
      </c>
    </row>
    <row r="2573">
      <c r="A2573" s="3" t="s">
        <v>8628</v>
      </c>
      <c r="B2573" s="3" t="s">
        <v>922</v>
      </c>
      <c r="C2573" s="3" t="s">
        <v>56</v>
      </c>
      <c r="D2573" s="3" t="s">
        <v>68</v>
      </c>
      <c r="E2573" s="3" t="s">
        <v>100</v>
      </c>
      <c r="F2573" s="3" t="s">
        <v>1438</v>
      </c>
      <c r="G2573" s="7">
        <v>45933.760475595314</v>
      </c>
    </row>
    <row r="2574">
      <c r="A2574" s="3" t="s">
        <v>8632</v>
      </c>
      <c r="B2574" s="3" t="s">
        <v>598</v>
      </c>
      <c r="C2574" s="3" t="s">
        <v>1342</v>
      </c>
      <c r="D2574" s="3" t="s">
        <v>68</v>
      </c>
      <c r="E2574" s="3" t="s">
        <v>100</v>
      </c>
      <c r="F2574" s="3" t="s">
        <v>1129</v>
      </c>
      <c r="G2574" s="7">
        <v>45933.83165044073</v>
      </c>
    </row>
    <row r="2575">
      <c r="A2575" s="3" t="s">
        <v>8635</v>
      </c>
      <c r="B2575" s="3" t="s">
        <v>395</v>
      </c>
      <c r="C2575" s="3" t="s">
        <v>1095</v>
      </c>
      <c r="D2575" s="3" t="s">
        <v>68</v>
      </c>
      <c r="E2575" s="3" t="s">
        <v>100</v>
      </c>
      <c r="F2575" s="3" t="s">
        <v>712</v>
      </c>
      <c r="G2575" s="7">
        <v>45933.902825286146</v>
      </c>
    </row>
    <row r="2576">
      <c r="A2576" s="3" t="s">
        <v>8638</v>
      </c>
      <c r="B2576" s="3" t="s">
        <v>903</v>
      </c>
      <c r="C2576" s="3" t="s">
        <v>56</v>
      </c>
      <c r="D2576" s="3" t="s">
        <v>68</v>
      </c>
      <c r="E2576" s="3" t="s">
        <v>100</v>
      </c>
      <c r="F2576" s="3" t="s">
        <v>1441</v>
      </c>
      <c r="G2576" s="7">
        <v>45933.97400013156</v>
      </c>
    </row>
    <row r="2577">
      <c r="A2577" s="3" t="s">
        <v>8641</v>
      </c>
      <c r="B2577" s="3" t="s">
        <v>510</v>
      </c>
      <c r="C2577" s="3" t="s">
        <v>56</v>
      </c>
      <c r="D2577" s="3" t="s">
        <v>68</v>
      </c>
      <c r="E2577" s="3" t="s">
        <v>100</v>
      </c>
      <c r="F2577" s="3" t="s">
        <v>1443</v>
      </c>
      <c r="G2577" s="7">
        <v>45934.04517497698</v>
      </c>
    </row>
    <row r="2578">
      <c r="A2578" s="3" t="s">
        <v>8644</v>
      </c>
      <c r="B2578" s="3" t="s">
        <v>535</v>
      </c>
      <c r="C2578" s="3" t="s">
        <v>1095</v>
      </c>
      <c r="D2578" s="3" t="s">
        <v>181</v>
      </c>
      <c r="E2578" s="3" t="s">
        <v>45</v>
      </c>
      <c r="F2578" s="3" t="s">
        <v>1860</v>
      </c>
      <c r="G2578" s="7">
        <v>45934.11634982238</v>
      </c>
    </row>
    <row r="2579">
      <c r="A2579" s="3" t="s">
        <v>8647</v>
      </c>
      <c r="B2579" s="3" t="s">
        <v>1021</v>
      </c>
      <c r="C2579" s="3" t="s">
        <v>1095</v>
      </c>
      <c r="D2579" s="3" t="s">
        <v>68</v>
      </c>
      <c r="E2579" s="3" t="s">
        <v>100</v>
      </c>
      <c r="F2579" s="3" t="s">
        <v>1305</v>
      </c>
      <c r="G2579" s="7">
        <v>45934.1875246678</v>
      </c>
    </row>
    <row r="2580">
      <c r="A2580" s="3" t="s">
        <v>8651</v>
      </c>
      <c r="B2580" s="3" t="s">
        <v>419</v>
      </c>
      <c r="C2580" s="3" t="s">
        <v>1342</v>
      </c>
      <c r="D2580" s="3" t="s">
        <v>195</v>
      </c>
      <c r="E2580" s="3" t="s">
        <v>45</v>
      </c>
      <c r="F2580" s="3" t="s">
        <v>1348</v>
      </c>
      <c r="G2580" s="7">
        <v>45934.25869951322</v>
      </c>
    </row>
    <row r="2581">
      <c r="A2581" s="3" t="s">
        <v>8653</v>
      </c>
      <c r="B2581" s="3" t="s">
        <v>911</v>
      </c>
      <c r="C2581" s="3" t="s">
        <v>1342</v>
      </c>
      <c r="D2581" s="3" t="s">
        <v>68</v>
      </c>
      <c r="E2581" s="3" t="s">
        <v>100</v>
      </c>
      <c r="F2581" s="3" t="s">
        <v>1424</v>
      </c>
      <c r="G2581" s="7">
        <v>45934.329874358635</v>
      </c>
    </row>
    <row r="2582">
      <c r="A2582" s="3" t="s">
        <v>8656</v>
      </c>
      <c r="B2582" s="3" t="s">
        <v>976</v>
      </c>
      <c r="C2582" s="3" t="s">
        <v>1342</v>
      </c>
      <c r="D2582" s="3" t="s">
        <v>68</v>
      </c>
      <c r="E2582" s="3" t="s">
        <v>100</v>
      </c>
      <c r="F2582" s="3" t="s">
        <v>762</v>
      </c>
      <c r="G2582" s="7">
        <v>45934.40104920405</v>
      </c>
    </row>
    <row r="2583">
      <c r="A2583" s="3" t="s">
        <v>8661</v>
      </c>
      <c r="B2583" s="3" t="s">
        <v>943</v>
      </c>
      <c r="C2583" s="3" t="s">
        <v>56</v>
      </c>
      <c r="D2583" s="3" t="s">
        <v>68</v>
      </c>
      <c r="E2583" s="3" t="s">
        <v>100</v>
      </c>
      <c r="F2583" s="3" t="s">
        <v>1446</v>
      </c>
      <c r="G2583" s="7">
        <v>45934.47222404947</v>
      </c>
    </row>
    <row r="2584">
      <c r="A2584" s="3" t="s">
        <v>8664</v>
      </c>
      <c r="B2584" s="3" t="s">
        <v>296</v>
      </c>
      <c r="C2584" s="3" t="s">
        <v>1095</v>
      </c>
      <c r="D2584" s="3" t="s">
        <v>68</v>
      </c>
      <c r="E2584" s="3" t="s">
        <v>100</v>
      </c>
      <c r="F2584" s="3" t="s">
        <v>1259</v>
      </c>
      <c r="G2584" s="7">
        <v>45934.54339889488</v>
      </c>
    </row>
    <row r="2585">
      <c r="A2585" s="3" t="s">
        <v>8667</v>
      </c>
      <c r="B2585" s="3" t="s">
        <v>957</v>
      </c>
      <c r="C2585" s="3" t="s">
        <v>1342</v>
      </c>
      <c r="D2585" s="3" t="s">
        <v>68</v>
      </c>
      <c r="E2585" s="3" t="s">
        <v>100</v>
      </c>
      <c r="F2585" s="3" t="s">
        <v>1968</v>
      </c>
      <c r="G2585" s="7">
        <v>45934.61457374029</v>
      </c>
    </row>
    <row r="2586">
      <c r="A2586" s="3" t="s">
        <v>8671</v>
      </c>
      <c r="B2586" s="3" t="s">
        <v>800</v>
      </c>
      <c r="C2586" s="3" t="s">
        <v>56</v>
      </c>
      <c r="D2586" s="3" t="s">
        <v>68</v>
      </c>
      <c r="E2586" s="3" t="s">
        <v>100</v>
      </c>
      <c r="F2586" s="3" t="s">
        <v>1448</v>
      </c>
      <c r="G2586" s="7">
        <v>45934.68574858571</v>
      </c>
    </row>
    <row r="2587">
      <c r="A2587" s="3" t="s">
        <v>8675</v>
      </c>
      <c r="B2587" s="3" t="s">
        <v>446</v>
      </c>
      <c r="C2587" s="3" t="s">
        <v>1342</v>
      </c>
      <c r="D2587" s="3" t="s">
        <v>68</v>
      </c>
      <c r="E2587" s="3" t="s">
        <v>100</v>
      </c>
      <c r="F2587" s="3" t="s">
        <v>1884</v>
      </c>
      <c r="G2587" s="7">
        <v>45934.75692343113</v>
      </c>
    </row>
    <row r="2588">
      <c r="A2588" s="3" t="s">
        <v>8678</v>
      </c>
      <c r="B2588" s="3" t="s">
        <v>605</v>
      </c>
      <c r="C2588" s="3" t="s">
        <v>1095</v>
      </c>
      <c r="D2588" s="3" t="s">
        <v>68</v>
      </c>
      <c r="E2588" s="3" t="s">
        <v>100</v>
      </c>
      <c r="F2588" s="3" t="s">
        <v>1363</v>
      </c>
      <c r="G2588" s="7">
        <v>45934.828098276535</v>
      </c>
    </row>
    <row r="2589">
      <c r="A2589" s="3" t="s">
        <v>8681</v>
      </c>
      <c r="B2589" s="3" t="s">
        <v>756</v>
      </c>
      <c r="C2589" s="3" t="s">
        <v>1342</v>
      </c>
      <c r="D2589" s="3" t="s">
        <v>68</v>
      </c>
      <c r="E2589" s="3" t="s">
        <v>100</v>
      </c>
      <c r="F2589" s="3" t="s">
        <v>2034</v>
      </c>
      <c r="G2589" s="7">
        <v>45934.899273121955</v>
      </c>
    </row>
    <row r="2590">
      <c r="A2590" s="3" t="s">
        <v>8684</v>
      </c>
      <c r="B2590" s="3" t="s">
        <v>554</v>
      </c>
      <c r="C2590" s="3" t="s">
        <v>1342</v>
      </c>
      <c r="D2590" s="3" t="s">
        <v>68</v>
      </c>
      <c r="E2590" s="3" t="s">
        <v>100</v>
      </c>
      <c r="F2590" s="3" t="s">
        <v>1434</v>
      </c>
      <c r="G2590" s="7">
        <v>45934.970447967375</v>
      </c>
    </row>
    <row r="2591">
      <c r="A2591" s="3" t="s">
        <v>8687</v>
      </c>
      <c r="B2591" s="3" t="s">
        <v>752</v>
      </c>
      <c r="C2591" s="3" t="s">
        <v>1342</v>
      </c>
      <c r="D2591" s="3" t="s">
        <v>68</v>
      </c>
      <c r="E2591" s="3" t="s">
        <v>100</v>
      </c>
      <c r="F2591" s="3" t="s">
        <v>1254</v>
      </c>
      <c r="G2591" s="7">
        <v>45935.04162281279</v>
      </c>
    </row>
    <row r="2592">
      <c r="A2592" s="3" t="s">
        <v>8689</v>
      </c>
      <c r="B2592" s="3" t="s">
        <v>819</v>
      </c>
      <c r="C2592" s="3" t="s">
        <v>1342</v>
      </c>
      <c r="D2592" s="3" t="s">
        <v>68</v>
      </c>
      <c r="E2592" s="3" t="s">
        <v>100</v>
      </c>
      <c r="F2592" s="3" t="s">
        <v>641</v>
      </c>
      <c r="G2592" s="7">
        <v>45935.1127976582</v>
      </c>
    </row>
    <row r="2593">
      <c r="A2593" s="3" t="s">
        <v>8691</v>
      </c>
      <c r="B2593" s="3" t="s">
        <v>453</v>
      </c>
      <c r="C2593" s="3" t="s">
        <v>56</v>
      </c>
      <c r="D2593" s="3" t="s">
        <v>68</v>
      </c>
      <c r="E2593" s="3" t="s">
        <v>100</v>
      </c>
      <c r="F2593" s="3" t="s">
        <v>1451</v>
      </c>
      <c r="G2593" s="7">
        <v>45935.18397250362</v>
      </c>
    </row>
    <row r="2594">
      <c r="A2594" s="3" t="s">
        <v>8694</v>
      </c>
      <c r="B2594" s="3" t="s">
        <v>123</v>
      </c>
      <c r="C2594" s="3" t="s">
        <v>56</v>
      </c>
      <c r="D2594" s="3" t="s">
        <v>68</v>
      </c>
      <c r="E2594" s="3" t="s">
        <v>100</v>
      </c>
      <c r="F2594" s="3" t="s">
        <v>1455</v>
      </c>
      <c r="G2594" s="7">
        <v>45935.25514734903</v>
      </c>
    </row>
    <row r="2595">
      <c r="A2595" s="3" t="s">
        <v>8696</v>
      </c>
      <c r="B2595" s="3" t="s">
        <v>657</v>
      </c>
      <c r="C2595" s="3" t="s">
        <v>1342</v>
      </c>
      <c r="D2595" s="3" t="s">
        <v>181</v>
      </c>
      <c r="E2595" s="3" t="s">
        <v>45</v>
      </c>
      <c r="F2595" s="3" t="s">
        <v>1228</v>
      </c>
      <c r="G2595" s="7">
        <v>45935.32632219444</v>
      </c>
    </row>
    <row r="2596">
      <c r="A2596" s="3" t="s">
        <v>8699</v>
      </c>
      <c r="B2596" s="3" t="s">
        <v>202</v>
      </c>
      <c r="C2596" s="3" t="s">
        <v>56</v>
      </c>
      <c r="D2596" s="3" t="s">
        <v>68</v>
      </c>
      <c r="E2596" s="3" t="s">
        <v>100</v>
      </c>
      <c r="F2596" s="3" t="s">
        <v>1462</v>
      </c>
      <c r="G2596" s="7">
        <v>45935.39749703986</v>
      </c>
    </row>
    <row r="2597">
      <c r="A2597" s="3" t="s">
        <v>8703</v>
      </c>
      <c r="B2597" s="3" t="s">
        <v>903</v>
      </c>
      <c r="C2597" s="3" t="s">
        <v>1342</v>
      </c>
      <c r="D2597" s="3" t="s">
        <v>195</v>
      </c>
      <c r="E2597" s="3" t="s">
        <v>45</v>
      </c>
      <c r="F2597" s="3" t="s">
        <v>1441</v>
      </c>
      <c r="G2597" s="7">
        <v>45935.468671885275</v>
      </c>
    </row>
    <row r="2598">
      <c r="A2598" s="3" t="s">
        <v>8706</v>
      </c>
      <c r="B2598" s="3" t="s">
        <v>498</v>
      </c>
      <c r="C2598" s="3" t="s">
        <v>56</v>
      </c>
      <c r="D2598" s="3" t="s">
        <v>68</v>
      </c>
      <c r="E2598" s="3" t="s">
        <v>100</v>
      </c>
      <c r="F2598" s="3" t="s">
        <v>1465</v>
      </c>
      <c r="G2598" s="7">
        <v>45935.53984673069</v>
      </c>
    </row>
    <row r="2599">
      <c r="A2599" s="3" t="s">
        <v>8709</v>
      </c>
      <c r="B2599" s="3" t="s">
        <v>479</v>
      </c>
      <c r="C2599" s="3" t="s">
        <v>1342</v>
      </c>
      <c r="D2599" s="3" t="s">
        <v>68</v>
      </c>
      <c r="E2599" s="3" t="s">
        <v>100</v>
      </c>
      <c r="F2599" s="3" t="s">
        <v>1941</v>
      </c>
      <c r="G2599" s="7">
        <v>45935.61102157611</v>
      </c>
    </row>
    <row r="2600">
      <c r="A2600" s="3" t="s">
        <v>8712</v>
      </c>
      <c r="B2600" s="3" t="s">
        <v>302</v>
      </c>
      <c r="C2600" s="3" t="s">
        <v>1342</v>
      </c>
      <c r="D2600" s="3" t="s">
        <v>181</v>
      </c>
      <c r="E2600" s="3" t="s">
        <v>45</v>
      </c>
      <c r="F2600" s="3" t="s">
        <v>1491</v>
      </c>
      <c r="G2600" s="7">
        <v>45935.68219642152</v>
      </c>
    </row>
    <row r="2601">
      <c r="A2601" s="3" t="s">
        <v>8716</v>
      </c>
      <c r="B2601" s="3" t="s">
        <v>916</v>
      </c>
      <c r="C2601" s="3" t="s">
        <v>56</v>
      </c>
      <c r="D2601" s="3" t="s">
        <v>68</v>
      </c>
      <c r="E2601" s="3" t="s">
        <v>100</v>
      </c>
      <c r="F2601" s="3" t="s">
        <v>1467</v>
      </c>
      <c r="G2601" s="7">
        <v>45935.75337126693</v>
      </c>
    </row>
    <row r="2602">
      <c r="A2602" s="3" t="s">
        <v>8720</v>
      </c>
      <c r="B2602" s="3" t="s">
        <v>805</v>
      </c>
      <c r="C2602" s="3" t="s">
        <v>56</v>
      </c>
      <c r="D2602" s="3" t="s">
        <v>68</v>
      </c>
      <c r="E2602" s="3" t="s">
        <v>100</v>
      </c>
      <c r="F2602" s="3" t="s">
        <v>1469</v>
      </c>
      <c r="G2602" s="7">
        <v>45935.82454611235</v>
      </c>
    </row>
    <row r="2603">
      <c r="A2603" s="3" t="s">
        <v>8722</v>
      </c>
      <c r="B2603" s="3" t="s">
        <v>159</v>
      </c>
      <c r="C2603" s="3" t="s">
        <v>1342</v>
      </c>
      <c r="D2603" s="3" t="s">
        <v>68</v>
      </c>
      <c r="E2603" s="3" t="s">
        <v>100</v>
      </c>
      <c r="F2603" s="3" t="s">
        <v>1292</v>
      </c>
      <c r="G2603" s="7">
        <v>45935.89572095777</v>
      </c>
    </row>
    <row r="2604">
      <c r="A2604" s="3" t="s">
        <v>8724</v>
      </c>
      <c r="B2604" s="3" t="s">
        <v>404</v>
      </c>
      <c r="C2604" s="3" t="s">
        <v>1342</v>
      </c>
      <c r="D2604" s="3" t="s">
        <v>68</v>
      </c>
      <c r="E2604" s="3" t="s">
        <v>100</v>
      </c>
      <c r="F2604" s="3" t="s">
        <v>1140</v>
      </c>
      <c r="G2604" s="7">
        <v>45935.966895803176</v>
      </c>
    </row>
    <row r="2605">
      <c r="A2605" s="3" t="s">
        <v>8726</v>
      </c>
      <c r="B2605" s="3" t="s">
        <v>710</v>
      </c>
      <c r="C2605" s="3" t="s">
        <v>1095</v>
      </c>
      <c r="D2605" s="3" t="s">
        <v>68</v>
      </c>
      <c r="E2605" s="3" t="s">
        <v>100</v>
      </c>
      <c r="F2605" s="3" t="s">
        <v>1131</v>
      </c>
      <c r="G2605" s="7">
        <v>45936.038070648596</v>
      </c>
    </row>
    <row r="2606">
      <c r="A2606" s="3" t="s">
        <v>8728</v>
      </c>
      <c r="B2606" s="3" t="s">
        <v>640</v>
      </c>
      <c r="C2606" s="3" t="s">
        <v>1095</v>
      </c>
      <c r="D2606" s="3" t="s">
        <v>68</v>
      </c>
      <c r="E2606" s="3" t="s">
        <v>100</v>
      </c>
      <c r="F2606" s="3" t="s">
        <v>626</v>
      </c>
      <c r="G2606" s="7">
        <v>45936.109245494015</v>
      </c>
    </row>
    <row r="2607">
      <c r="A2607" s="3" t="s">
        <v>8732</v>
      </c>
      <c r="B2607" s="3" t="s">
        <v>698</v>
      </c>
      <c r="C2607" s="3" t="s">
        <v>1342</v>
      </c>
      <c r="D2607" s="3" t="s">
        <v>68</v>
      </c>
      <c r="E2607" s="3" t="s">
        <v>100</v>
      </c>
      <c r="F2607" s="3" t="s">
        <v>1104</v>
      </c>
      <c r="G2607" s="7">
        <v>45936.18042033943</v>
      </c>
    </row>
    <row r="2608">
      <c r="A2608" s="3" t="s">
        <v>8735</v>
      </c>
      <c r="B2608" s="3" t="s">
        <v>1037</v>
      </c>
      <c r="C2608" s="3" t="s">
        <v>1342</v>
      </c>
      <c r="D2608" s="3" t="s">
        <v>68</v>
      </c>
      <c r="E2608" s="3" t="s">
        <v>100</v>
      </c>
      <c r="F2608" s="3" t="s">
        <v>1276</v>
      </c>
      <c r="G2608" s="7">
        <v>45936.25159518484</v>
      </c>
    </row>
    <row r="2609">
      <c r="A2609" s="3" t="s">
        <v>8738</v>
      </c>
      <c r="B2609" s="3" t="s">
        <v>598</v>
      </c>
      <c r="C2609" s="3" t="s">
        <v>1095</v>
      </c>
      <c r="D2609" s="3" t="s">
        <v>68</v>
      </c>
      <c r="E2609" s="3" t="s">
        <v>100</v>
      </c>
      <c r="F2609" s="3" t="s">
        <v>1129</v>
      </c>
      <c r="G2609" s="7">
        <v>45936.32277003026</v>
      </c>
    </row>
    <row r="2610">
      <c r="A2610" s="3" t="s">
        <v>8742</v>
      </c>
      <c r="B2610" s="3" t="s">
        <v>1049</v>
      </c>
      <c r="C2610" s="3" t="s">
        <v>1342</v>
      </c>
      <c r="D2610" s="3" t="s">
        <v>68</v>
      </c>
      <c r="E2610" s="3" t="s">
        <v>100</v>
      </c>
      <c r="F2610" s="3" t="s">
        <v>509</v>
      </c>
      <c r="G2610" s="7">
        <v>45936.39394487567</v>
      </c>
    </row>
    <row r="2611">
      <c r="A2611" s="3" t="s">
        <v>8745</v>
      </c>
      <c r="B2611" s="3" t="s">
        <v>598</v>
      </c>
      <c r="C2611" s="3" t="s">
        <v>56</v>
      </c>
      <c r="D2611" s="3" t="s">
        <v>68</v>
      </c>
      <c r="E2611" s="3" t="s">
        <v>100</v>
      </c>
      <c r="F2611" s="3" t="s">
        <v>1472</v>
      </c>
      <c r="G2611" s="7">
        <v>45936.465119721084</v>
      </c>
    </row>
    <row r="2612">
      <c r="A2612" s="3" t="s">
        <v>8748</v>
      </c>
      <c r="B2612" s="3" t="s">
        <v>186</v>
      </c>
      <c r="C2612" s="3" t="s">
        <v>56</v>
      </c>
      <c r="D2612" s="3" t="s">
        <v>68</v>
      </c>
      <c r="E2612" s="3" t="s">
        <v>100</v>
      </c>
      <c r="F2612" s="3" t="s">
        <v>1475</v>
      </c>
      <c r="G2612" s="7">
        <v>45936.536294566504</v>
      </c>
    </row>
    <row r="2613">
      <c r="A2613" s="3" t="s">
        <v>8751</v>
      </c>
      <c r="B2613" s="3" t="s">
        <v>162</v>
      </c>
      <c r="C2613" s="3" t="s">
        <v>1095</v>
      </c>
      <c r="D2613" s="3" t="s">
        <v>68</v>
      </c>
      <c r="E2613" s="3" t="s">
        <v>100</v>
      </c>
      <c r="F2613" s="3" t="s">
        <v>1103</v>
      </c>
      <c r="G2613" s="7">
        <v>45936.60746941192</v>
      </c>
    </row>
    <row r="2614">
      <c r="A2614" s="3" t="s">
        <v>8755</v>
      </c>
      <c r="B2614" s="3" t="s">
        <v>230</v>
      </c>
      <c r="C2614" s="3" t="s">
        <v>1342</v>
      </c>
      <c r="D2614" s="3" t="s">
        <v>68</v>
      </c>
      <c r="E2614" s="3" t="s">
        <v>100</v>
      </c>
      <c r="F2614" s="3" t="s">
        <v>1458</v>
      </c>
      <c r="G2614" s="7">
        <v>45936.67864425733</v>
      </c>
    </row>
    <row r="2615">
      <c r="A2615" s="3" t="s">
        <v>8759</v>
      </c>
      <c r="B2615" s="3" t="s">
        <v>640</v>
      </c>
      <c r="C2615" s="3" t="s">
        <v>56</v>
      </c>
      <c r="D2615" s="3" t="s">
        <v>68</v>
      </c>
      <c r="E2615" s="3" t="s">
        <v>100</v>
      </c>
      <c r="F2615" s="3" t="s">
        <v>1478</v>
      </c>
      <c r="G2615" s="7">
        <v>45936.74981910275</v>
      </c>
    </row>
    <row r="2616">
      <c r="A2616" s="3" t="s">
        <v>8762</v>
      </c>
      <c r="B2616" s="3" t="s">
        <v>356</v>
      </c>
      <c r="C2616" s="3" t="s">
        <v>1342</v>
      </c>
      <c r="D2616" s="3" t="s">
        <v>181</v>
      </c>
      <c r="E2616" s="3" t="s">
        <v>45</v>
      </c>
      <c r="F2616" s="3" t="s">
        <v>1609</v>
      </c>
      <c r="G2616" s="7">
        <v>45936.82099394816</v>
      </c>
    </row>
    <row r="2617">
      <c r="A2617" s="3" t="s">
        <v>8765</v>
      </c>
      <c r="B2617" s="3" t="s">
        <v>980</v>
      </c>
      <c r="C2617" s="3" t="s">
        <v>1342</v>
      </c>
      <c r="D2617" s="3" t="s">
        <v>68</v>
      </c>
      <c r="E2617" s="3" t="s">
        <v>100</v>
      </c>
      <c r="F2617" s="3" t="s">
        <v>1307</v>
      </c>
      <c r="G2617" s="7">
        <v>45936.89216879358</v>
      </c>
    </row>
    <row r="2618">
      <c r="A2618" s="3" t="s">
        <v>8768</v>
      </c>
      <c r="B2618" s="3" t="s">
        <v>455</v>
      </c>
      <c r="C2618" s="3" t="s">
        <v>1342</v>
      </c>
      <c r="D2618" s="3" t="s">
        <v>68</v>
      </c>
      <c r="E2618" s="3" t="s">
        <v>100</v>
      </c>
      <c r="F2618" s="3" t="s">
        <v>1564</v>
      </c>
      <c r="G2618" s="7">
        <v>45936.96334363899</v>
      </c>
    </row>
    <row r="2619">
      <c r="A2619" s="3" t="s">
        <v>8771</v>
      </c>
      <c r="B2619" s="3" t="s">
        <v>937</v>
      </c>
      <c r="C2619" s="3" t="s">
        <v>1342</v>
      </c>
      <c r="D2619" s="3" t="s">
        <v>181</v>
      </c>
      <c r="E2619" s="3" t="s">
        <v>45</v>
      </c>
      <c r="F2619" s="3" t="s">
        <v>1214</v>
      </c>
      <c r="G2619" s="7">
        <v>45937.03451848441</v>
      </c>
    </row>
    <row r="2620">
      <c r="A2620" s="3" t="s">
        <v>8774</v>
      </c>
      <c r="B2620" s="3" t="s">
        <v>579</v>
      </c>
      <c r="C2620" s="3" t="s">
        <v>1095</v>
      </c>
      <c r="D2620" s="3" t="s">
        <v>68</v>
      </c>
      <c r="E2620" s="3" t="s">
        <v>100</v>
      </c>
      <c r="F2620" s="3" t="s">
        <v>840</v>
      </c>
      <c r="G2620" s="7">
        <v>45937.10569332982</v>
      </c>
    </row>
    <row r="2621">
      <c r="A2621" s="3" t="s">
        <v>8777</v>
      </c>
      <c r="B2621" s="3" t="s">
        <v>313</v>
      </c>
      <c r="C2621" s="3" t="s">
        <v>56</v>
      </c>
      <c r="D2621" s="3" t="s">
        <v>68</v>
      </c>
      <c r="E2621" s="3" t="s">
        <v>100</v>
      </c>
      <c r="F2621" s="3" t="s">
        <v>1480</v>
      </c>
      <c r="G2621" s="7">
        <v>45937.17686817524</v>
      </c>
    </row>
    <row r="2622">
      <c r="A2622" s="3" t="s">
        <v>8781</v>
      </c>
      <c r="B2622" s="3" t="s">
        <v>631</v>
      </c>
      <c r="C2622" s="3" t="s">
        <v>1342</v>
      </c>
      <c r="D2622" s="3" t="s">
        <v>68</v>
      </c>
      <c r="E2622" s="3" t="s">
        <v>100</v>
      </c>
      <c r="F2622" s="3" t="s">
        <v>1066</v>
      </c>
      <c r="G2622" s="7">
        <v>45937.248043020656</v>
      </c>
    </row>
    <row r="2623">
      <c r="A2623" s="3" t="s">
        <v>8785</v>
      </c>
      <c r="B2623" s="3" t="s">
        <v>523</v>
      </c>
      <c r="C2623" s="3" t="s">
        <v>1342</v>
      </c>
      <c r="D2623" s="3" t="s">
        <v>181</v>
      </c>
      <c r="E2623" s="3" t="s">
        <v>45</v>
      </c>
      <c r="F2623" s="3" t="s">
        <v>1378</v>
      </c>
      <c r="G2623" s="7">
        <v>45937.31921786607</v>
      </c>
    </row>
    <row r="2624">
      <c r="A2624" s="3" t="s">
        <v>8787</v>
      </c>
      <c r="B2624" s="3" t="s">
        <v>569</v>
      </c>
      <c r="C2624" s="3" t="s">
        <v>56</v>
      </c>
      <c r="D2624" s="3" t="s">
        <v>68</v>
      </c>
      <c r="E2624" s="3" t="s">
        <v>100</v>
      </c>
      <c r="F2624" s="3" t="s">
        <v>1483</v>
      </c>
      <c r="G2624" s="7">
        <v>45937.39039271148</v>
      </c>
    </row>
    <row r="2625">
      <c r="A2625" s="3" t="s">
        <v>8789</v>
      </c>
      <c r="B2625" s="3" t="s">
        <v>380</v>
      </c>
      <c r="C2625" s="3" t="s">
        <v>1095</v>
      </c>
      <c r="D2625" s="3" t="s">
        <v>68</v>
      </c>
      <c r="E2625" s="3" t="s">
        <v>100</v>
      </c>
      <c r="F2625" s="3" t="s">
        <v>1385</v>
      </c>
      <c r="G2625" s="7">
        <v>45937.4615675569</v>
      </c>
    </row>
    <row r="2626">
      <c r="A2626" s="3" t="s">
        <v>8791</v>
      </c>
      <c r="B2626" s="3" t="s">
        <v>632</v>
      </c>
      <c r="C2626" s="3" t="s">
        <v>56</v>
      </c>
      <c r="D2626" s="3" t="s">
        <v>68</v>
      </c>
      <c r="E2626" s="3" t="s">
        <v>100</v>
      </c>
      <c r="F2626" s="3" t="s">
        <v>1485</v>
      </c>
      <c r="G2626" s="7">
        <v>45937.53274240231</v>
      </c>
    </row>
    <row r="2627">
      <c r="A2627" s="3" t="s">
        <v>8793</v>
      </c>
      <c r="B2627" s="3" t="s">
        <v>637</v>
      </c>
      <c r="C2627" s="3" t="s">
        <v>1095</v>
      </c>
      <c r="D2627" s="3" t="s">
        <v>68</v>
      </c>
      <c r="E2627" s="3" t="s">
        <v>100</v>
      </c>
      <c r="F2627" s="3" t="s">
        <v>549</v>
      </c>
      <c r="G2627" s="7">
        <v>45937.603917247725</v>
      </c>
    </row>
    <row r="2628">
      <c r="A2628" s="3" t="s">
        <v>8797</v>
      </c>
      <c r="B2628" s="3" t="s">
        <v>953</v>
      </c>
      <c r="C2628" s="3" t="s">
        <v>1095</v>
      </c>
      <c r="D2628" s="3" t="s">
        <v>68</v>
      </c>
      <c r="E2628" s="3" t="s">
        <v>100</v>
      </c>
      <c r="F2628" s="3" t="s">
        <v>792</v>
      </c>
      <c r="G2628" s="7">
        <v>45937.675092093144</v>
      </c>
    </row>
    <row r="2629">
      <c r="A2629" s="3" t="s">
        <v>8801</v>
      </c>
      <c r="B2629" s="3" t="s">
        <v>619</v>
      </c>
      <c r="C2629" s="3" t="s">
        <v>1095</v>
      </c>
      <c r="D2629" s="3" t="s">
        <v>68</v>
      </c>
      <c r="E2629" s="3" t="s">
        <v>100</v>
      </c>
      <c r="F2629" s="3" t="s">
        <v>1371</v>
      </c>
      <c r="G2629" s="7">
        <v>45937.746266938564</v>
      </c>
    </row>
    <row r="2630">
      <c r="A2630" s="3" t="s">
        <v>8804</v>
      </c>
      <c r="B2630" s="3" t="s">
        <v>612</v>
      </c>
      <c r="C2630" s="3" t="s">
        <v>1342</v>
      </c>
      <c r="D2630" s="3" t="s">
        <v>68</v>
      </c>
      <c r="E2630" s="3" t="s">
        <v>100</v>
      </c>
      <c r="F2630" s="3" t="s">
        <v>1187</v>
      </c>
      <c r="G2630" s="7">
        <v>45937.81744178397</v>
      </c>
    </row>
    <row r="2631">
      <c r="A2631" s="3" t="s">
        <v>8807</v>
      </c>
      <c r="B2631" s="3" t="s">
        <v>781</v>
      </c>
      <c r="C2631" s="3" t="s">
        <v>56</v>
      </c>
      <c r="D2631" s="3" t="s">
        <v>68</v>
      </c>
      <c r="E2631" s="3" t="s">
        <v>100</v>
      </c>
      <c r="F2631" s="3" t="s">
        <v>1488</v>
      </c>
      <c r="G2631" s="7">
        <v>45937.88861662939</v>
      </c>
    </row>
    <row r="2632">
      <c r="A2632" s="3" t="s">
        <v>8810</v>
      </c>
      <c r="B2632" s="3" t="s">
        <v>559</v>
      </c>
      <c r="C2632" s="3" t="s">
        <v>1342</v>
      </c>
      <c r="D2632" s="3" t="s">
        <v>68</v>
      </c>
      <c r="E2632" s="3" t="s">
        <v>100</v>
      </c>
      <c r="F2632" s="3" t="s">
        <v>1782</v>
      </c>
      <c r="G2632" s="7">
        <v>45937.95979147481</v>
      </c>
    </row>
    <row r="2633">
      <c r="A2633" s="3" t="s">
        <v>8815</v>
      </c>
      <c r="B2633" s="3" t="s">
        <v>596</v>
      </c>
      <c r="C2633" s="3" t="s">
        <v>56</v>
      </c>
      <c r="D2633" s="3" t="s">
        <v>68</v>
      </c>
      <c r="E2633" s="3" t="s">
        <v>100</v>
      </c>
      <c r="F2633" s="3" t="s">
        <v>1495</v>
      </c>
      <c r="G2633" s="7">
        <v>45938.03096632022</v>
      </c>
    </row>
    <row r="2634">
      <c r="A2634" s="3" t="s">
        <v>8818</v>
      </c>
      <c r="B2634" s="3" t="s">
        <v>934</v>
      </c>
      <c r="C2634" s="3" t="s">
        <v>1342</v>
      </c>
      <c r="D2634" s="3" t="s">
        <v>181</v>
      </c>
      <c r="E2634" s="3" t="s">
        <v>45</v>
      </c>
      <c r="F2634" s="3" t="s">
        <v>1143</v>
      </c>
      <c r="G2634" s="7">
        <v>45938.10214116563</v>
      </c>
    </row>
    <row r="2635">
      <c r="A2635" s="3" t="s">
        <v>8821</v>
      </c>
      <c r="B2635" s="3" t="s">
        <v>627</v>
      </c>
      <c r="C2635" s="3" t="s">
        <v>1095</v>
      </c>
      <c r="D2635" s="3" t="s">
        <v>68</v>
      </c>
      <c r="E2635" s="3" t="s">
        <v>100</v>
      </c>
      <c r="F2635" s="3" t="s">
        <v>1211</v>
      </c>
      <c r="G2635" s="7">
        <v>45938.17331601105</v>
      </c>
    </row>
    <row r="2636">
      <c r="A2636" s="3" t="s">
        <v>8824</v>
      </c>
      <c r="B2636" s="3" t="s">
        <v>446</v>
      </c>
      <c r="C2636" s="3" t="s">
        <v>1342</v>
      </c>
      <c r="D2636" s="3" t="s">
        <v>68</v>
      </c>
      <c r="E2636" s="3" t="s">
        <v>100</v>
      </c>
      <c r="F2636" s="3" t="s">
        <v>1884</v>
      </c>
      <c r="G2636" s="7">
        <v>45938.244490856465</v>
      </c>
    </row>
    <row r="2637">
      <c r="A2637" s="3" t="s">
        <v>8828</v>
      </c>
      <c r="B2637" s="3" t="s">
        <v>883</v>
      </c>
      <c r="C2637" s="3" t="s">
        <v>1342</v>
      </c>
      <c r="D2637" s="3" t="s">
        <v>68</v>
      </c>
      <c r="E2637" s="3" t="s">
        <v>100</v>
      </c>
      <c r="F2637" s="3" t="s">
        <v>1318</v>
      </c>
      <c r="G2637" s="7">
        <v>45938.31566570188</v>
      </c>
    </row>
    <row r="2638">
      <c r="A2638" s="3" t="s">
        <v>8831</v>
      </c>
      <c r="B2638" s="3" t="s">
        <v>440</v>
      </c>
      <c r="C2638" s="3" t="s">
        <v>1342</v>
      </c>
      <c r="D2638" s="3" t="s">
        <v>68</v>
      </c>
      <c r="E2638" s="3" t="s">
        <v>100</v>
      </c>
      <c r="F2638" s="3" t="s">
        <v>1264</v>
      </c>
      <c r="G2638" s="7">
        <v>45938.3868405473</v>
      </c>
    </row>
    <row r="2639">
      <c r="A2639" s="3" t="s">
        <v>8835</v>
      </c>
      <c r="B2639" s="3" t="s">
        <v>151</v>
      </c>
      <c r="C2639" s="3" t="s">
        <v>1095</v>
      </c>
      <c r="D2639" s="3" t="s">
        <v>68</v>
      </c>
      <c r="E2639" s="3" t="s">
        <v>100</v>
      </c>
      <c r="F2639" s="3" t="s">
        <v>1086</v>
      </c>
      <c r="G2639" s="7">
        <v>45938.45801539271</v>
      </c>
    </row>
    <row r="2640">
      <c r="A2640" s="3" t="s">
        <v>8838</v>
      </c>
      <c r="B2640" s="3" t="s">
        <v>493</v>
      </c>
      <c r="C2640" s="3" t="s">
        <v>1342</v>
      </c>
      <c r="D2640" s="3" t="s">
        <v>68</v>
      </c>
      <c r="E2640" s="3" t="s">
        <v>100</v>
      </c>
      <c r="F2640" s="3" t="s">
        <v>1072</v>
      </c>
      <c r="G2640" s="7">
        <v>45938.52919023812</v>
      </c>
    </row>
    <row r="2641">
      <c r="A2641" s="3" t="s">
        <v>8841</v>
      </c>
      <c r="B2641" s="3" t="s">
        <v>280</v>
      </c>
      <c r="C2641" s="3" t="s">
        <v>1095</v>
      </c>
      <c r="D2641" s="3" t="s">
        <v>68</v>
      </c>
      <c r="E2641" s="3" t="s">
        <v>100</v>
      </c>
      <c r="F2641" s="3" t="s">
        <v>1431</v>
      </c>
      <c r="G2641" s="7">
        <v>45938.60036508354</v>
      </c>
    </row>
    <row r="2642">
      <c r="A2642" s="3" t="s">
        <v>8844</v>
      </c>
      <c r="B2642" s="3" t="s">
        <v>539</v>
      </c>
      <c r="C2642" s="3" t="s">
        <v>1342</v>
      </c>
      <c r="D2642" s="3" t="s">
        <v>68</v>
      </c>
      <c r="E2642" s="3" t="s">
        <v>100</v>
      </c>
      <c r="F2642" s="3" t="s">
        <v>1094</v>
      </c>
      <c r="G2642" s="7">
        <v>45938.67153992895</v>
      </c>
    </row>
    <row r="2643">
      <c r="A2643" s="3" t="s">
        <v>8847</v>
      </c>
      <c r="B2643" s="3" t="s">
        <v>363</v>
      </c>
      <c r="C2643" s="3" t="s">
        <v>56</v>
      </c>
      <c r="D2643" s="3" t="s">
        <v>68</v>
      </c>
      <c r="E2643" s="3" t="s">
        <v>100</v>
      </c>
      <c r="F2643" s="3" t="s">
        <v>1498</v>
      </c>
      <c r="G2643" s="7">
        <v>45938.742714774366</v>
      </c>
    </row>
    <row r="2644">
      <c r="A2644" s="3" t="s">
        <v>8851</v>
      </c>
      <c r="B2644" s="3" t="s">
        <v>657</v>
      </c>
      <c r="C2644" s="3" t="s">
        <v>1342</v>
      </c>
      <c r="D2644" s="3" t="s">
        <v>68</v>
      </c>
      <c r="E2644" s="3" t="s">
        <v>100</v>
      </c>
      <c r="F2644" s="3" t="s">
        <v>1228</v>
      </c>
      <c r="G2644" s="7">
        <v>45938.813889619785</v>
      </c>
    </row>
    <row r="2645">
      <c r="A2645" s="3" t="s">
        <v>8854</v>
      </c>
      <c r="B2645" s="3" t="s">
        <v>637</v>
      </c>
      <c r="C2645" s="3" t="s">
        <v>56</v>
      </c>
      <c r="D2645" s="3" t="s">
        <v>68</v>
      </c>
      <c r="E2645" s="3" t="s">
        <v>100</v>
      </c>
      <c r="F2645" s="3" t="s">
        <v>1501</v>
      </c>
      <c r="G2645" s="7">
        <v>45938.885064465205</v>
      </c>
    </row>
    <row r="2646">
      <c r="A2646" s="3" t="s">
        <v>8858</v>
      </c>
      <c r="B2646" s="3" t="s">
        <v>676</v>
      </c>
      <c r="C2646" s="3" t="s">
        <v>56</v>
      </c>
      <c r="D2646" s="3" t="s">
        <v>195</v>
      </c>
      <c r="E2646" s="3" t="s">
        <v>45</v>
      </c>
      <c r="F2646" s="3" t="s">
        <v>45</v>
      </c>
      <c r="G2646" s="7">
        <v>45938.95623931061</v>
      </c>
    </row>
    <row r="2647">
      <c r="A2647" s="3" t="s">
        <v>8861</v>
      </c>
      <c r="B2647" s="3" t="s">
        <v>976</v>
      </c>
      <c r="C2647" s="3" t="s">
        <v>1095</v>
      </c>
      <c r="D2647" s="3" t="s">
        <v>68</v>
      </c>
      <c r="E2647" s="3" t="s">
        <v>100</v>
      </c>
      <c r="F2647" s="3" t="s">
        <v>762</v>
      </c>
      <c r="G2647" s="7">
        <v>45939.02741415603</v>
      </c>
    </row>
    <row r="2648">
      <c r="A2648" s="3" t="s">
        <v>8863</v>
      </c>
      <c r="B2648" s="3" t="s">
        <v>760</v>
      </c>
      <c r="C2648" s="3" t="s">
        <v>56</v>
      </c>
      <c r="D2648" s="3" t="s">
        <v>68</v>
      </c>
      <c r="E2648" s="3" t="s">
        <v>100</v>
      </c>
      <c r="F2648" s="3" t="s">
        <v>1503</v>
      </c>
      <c r="G2648" s="7">
        <v>45939.09858900145</v>
      </c>
    </row>
    <row r="2649">
      <c r="A2649" s="3" t="s">
        <v>8867</v>
      </c>
      <c r="B2649" s="3" t="s">
        <v>658</v>
      </c>
      <c r="C2649" s="3" t="s">
        <v>1095</v>
      </c>
      <c r="D2649" s="3" t="s">
        <v>68</v>
      </c>
      <c r="E2649" s="3" t="s">
        <v>100</v>
      </c>
      <c r="F2649" s="3" t="s">
        <v>1069</v>
      </c>
      <c r="G2649" s="7">
        <v>45939.16976384686</v>
      </c>
    </row>
    <row r="2650">
      <c r="A2650" s="3" t="s">
        <v>8870</v>
      </c>
      <c r="B2650" s="3" t="s">
        <v>826</v>
      </c>
      <c r="C2650" s="3" t="s">
        <v>1095</v>
      </c>
      <c r="D2650" s="3" t="s">
        <v>195</v>
      </c>
      <c r="E2650" s="3" t="s">
        <v>45</v>
      </c>
      <c r="F2650" s="3" t="s">
        <v>693</v>
      </c>
      <c r="G2650" s="7">
        <v>45939.24093869227</v>
      </c>
    </row>
    <row r="2651">
      <c r="A2651" s="3" t="s">
        <v>8873</v>
      </c>
      <c r="B2651" s="3" t="s">
        <v>230</v>
      </c>
      <c r="C2651" s="3" t="s">
        <v>1342</v>
      </c>
      <c r="D2651" s="3" t="s">
        <v>195</v>
      </c>
      <c r="E2651" s="3" t="s">
        <v>45</v>
      </c>
      <c r="F2651" s="3" t="s">
        <v>1458</v>
      </c>
      <c r="G2651" s="7">
        <v>45939.31211353769</v>
      </c>
    </row>
    <row r="2652">
      <c r="A2652" s="3" t="s">
        <v>8876</v>
      </c>
      <c r="B2652" s="3" t="s">
        <v>819</v>
      </c>
      <c r="C2652" s="3" t="s">
        <v>1095</v>
      </c>
      <c r="D2652" s="3" t="s">
        <v>68</v>
      </c>
      <c r="E2652" s="3" t="s">
        <v>100</v>
      </c>
      <c r="F2652" s="3" t="s">
        <v>641</v>
      </c>
      <c r="G2652" s="7">
        <v>45939.383288383106</v>
      </c>
    </row>
    <row r="2653">
      <c r="A2653" s="3" t="s">
        <v>8879</v>
      </c>
      <c r="B2653" s="3" t="s">
        <v>926</v>
      </c>
      <c r="C2653" s="3" t="s">
        <v>1095</v>
      </c>
      <c r="D2653" s="3" t="s">
        <v>68</v>
      </c>
      <c r="E2653" s="3" t="s">
        <v>100</v>
      </c>
      <c r="F2653" s="3" t="s">
        <v>1029</v>
      </c>
      <c r="G2653" s="7">
        <v>45939.45446322852</v>
      </c>
    </row>
    <row r="2654">
      <c r="A2654" s="3" t="s">
        <v>8882</v>
      </c>
      <c r="B2654" s="3" t="s">
        <v>559</v>
      </c>
      <c r="C2654" s="3" t="s">
        <v>1095</v>
      </c>
      <c r="D2654" s="3" t="s">
        <v>68</v>
      </c>
      <c r="E2654" s="3" t="s">
        <v>100</v>
      </c>
      <c r="F2654" s="3" t="s">
        <v>1782</v>
      </c>
      <c r="G2654" s="7">
        <v>45939.52563807394</v>
      </c>
    </row>
    <row r="2655">
      <c r="A2655" s="3" t="s">
        <v>8885</v>
      </c>
      <c r="B2655" s="3" t="s">
        <v>669</v>
      </c>
      <c r="C2655" s="3" t="s">
        <v>1342</v>
      </c>
      <c r="D2655" s="3" t="s">
        <v>68</v>
      </c>
      <c r="E2655" s="3" t="s">
        <v>100</v>
      </c>
      <c r="F2655" s="3" t="s">
        <v>815</v>
      </c>
      <c r="G2655" s="7">
        <v>45939.59681291935</v>
      </c>
    </row>
    <row r="2656">
      <c r="A2656" s="3" t="s">
        <v>8887</v>
      </c>
      <c r="B2656" s="3" t="s">
        <v>619</v>
      </c>
      <c r="C2656" s="3" t="s">
        <v>56</v>
      </c>
      <c r="D2656" s="3" t="s">
        <v>68</v>
      </c>
      <c r="E2656" s="3" t="s">
        <v>100</v>
      </c>
      <c r="F2656" s="3" t="s">
        <v>1506</v>
      </c>
      <c r="G2656" s="7">
        <v>45939.66798776476</v>
      </c>
    </row>
    <row r="2657">
      <c r="A2657" s="3" t="s">
        <v>8890</v>
      </c>
      <c r="B2657" s="3" t="s">
        <v>493</v>
      </c>
      <c r="C2657" s="3" t="s">
        <v>1095</v>
      </c>
      <c r="D2657" s="3" t="s">
        <v>68</v>
      </c>
      <c r="E2657" s="3" t="s">
        <v>100</v>
      </c>
      <c r="F2657" s="3" t="s">
        <v>1072</v>
      </c>
      <c r="G2657" s="7">
        <v>45939.73916261018</v>
      </c>
    </row>
    <row r="2658">
      <c r="A2658" s="3" t="s">
        <v>8893</v>
      </c>
      <c r="B2658" s="3" t="s">
        <v>126</v>
      </c>
      <c r="C2658" s="3" t="s">
        <v>56</v>
      </c>
      <c r="D2658" s="3" t="s">
        <v>68</v>
      </c>
      <c r="E2658" s="3" t="s">
        <v>100</v>
      </c>
      <c r="F2658" s="3" t="s">
        <v>1509</v>
      </c>
      <c r="G2658" s="7">
        <v>45939.810337455594</v>
      </c>
    </row>
    <row r="2659">
      <c r="A2659" s="3" t="s">
        <v>8897</v>
      </c>
      <c r="B2659" s="3" t="s">
        <v>202</v>
      </c>
      <c r="C2659" s="3" t="s">
        <v>1342</v>
      </c>
      <c r="D2659" s="3" t="s">
        <v>68</v>
      </c>
      <c r="E2659" s="3" t="s">
        <v>100</v>
      </c>
      <c r="F2659" s="3" t="s">
        <v>1462</v>
      </c>
      <c r="G2659" s="7">
        <v>45939.881512301006</v>
      </c>
    </row>
    <row r="2660">
      <c r="A2660" s="3" t="s">
        <v>8900</v>
      </c>
      <c r="B2660" s="3" t="s">
        <v>615</v>
      </c>
      <c r="C2660" s="3" t="s">
        <v>1095</v>
      </c>
      <c r="D2660" s="3" t="s">
        <v>68</v>
      </c>
      <c r="E2660" s="3" t="s">
        <v>100</v>
      </c>
      <c r="F2660" s="3" t="s">
        <v>1493</v>
      </c>
      <c r="G2660" s="7">
        <v>45939.952687146426</v>
      </c>
    </row>
    <row r="2661">
      <c r="A2661" s="3" t="s">
        <v>8903</v>
      </c>
      <c r="B2661" s="3" t="s">
        <v>819</v>
      </c>
      <c r="C2661" s="3" t="s">
        <v>56</v>
      </c>
      <c r="D2661" s="3" t="s">
        <v>68</v>
      </c>
      <c r="E2661" s="3" t="s">
        <v>100</v>
      </c>
      <c r="F2661" s="3" t="s">
        <v>1512</v>
      </c>
      <c r="G2661" s="7">
        <v>45940.023861991845</v>
      </c>
    </row>
    <row r="2662">
      <c r="A2662" s="3" t="s">
        <v>8906</v>
      </c>
      <c r="B2662" s="3" t="s">
        <v>1008</v>
      </c>
      <c r="C2662" s="3" t="s">
        <v>1342</v>
      </c>
      <c r="D2662" s="3" t="s">
        <v>68</v>
      </c>
      <c r="E2662" s="3" t="s">
        <v>100</v>
      </c>
      <c r="F2662" s="3" t="s">
        <v>2108</v>
      </c>
      <c r="G2662" s="7">
        <v>45940.09503683725</v>
      </c>
    </row>
    <row r="2663">
      <c r="A2663" s="3" t="s">
        <v>8909</v>
      </c>
      <c r="B2663" s="3" t="s">
        <v>731</v>
      </c>
      <c r="C2663" s="3" t="s">
        <v>56</v>
      </c>
      <c r="D2663" s="3" t="s">
        <v>68</v>
      </c>
      <c r="E2663" s="3" t="s">
        <v>100</v>
      </c>
      <c r="F2663" s="3" t="s">
        <v>1514</v>
      </c>
      <c r="G2663" s="7">
        <v>45940.16621168267</v>
      </c>
    </row>
    <row r="2664">
      <c r="A2664" s="3" t="s">
        <v>8914</v>
      </c>
      <c r="B2664" s="3" t="s">
        <v>934</v>
      </c>
      <c r="C2664" s="3" t="s">
        <v>1342</v>
      </c>
      <c r="D2664" s="3" t="s">
        <v>68</v>
      </c>
      <c r="E2664" s="3" t="s">
        <v>100</v>
      </c>
      <c r="F2664" s="3" t="s">
        <v>1143</v>
      </c>
      <c r="G2664" s="7">
        <v>45940.23738652809</v>
      </c>
    </row>
    <row r="2665">
      <c r="A2665" s="3" t="s">
        <v>8917</v>
      </c>
      <c r="B2665" s="3" t="s">
        <v>593</v>
      </c>
      <c r="C2665" s="3" t="s">
        <v>1342</v>
      </c>
      <c r="D2665" s="3" t="s">
        <v>68</v>
      </c>
      <c r="E2665" s="3" t="s">
        <v>100</v>
      </c>
      <c r="F2665" s="3" t="s">
        <v>1281</v>
      </c>
      <c r="G2665" s="7">
        <v>45940.3085613735</v>
      </c>
    </row>
    <row r="2666">
      <c r="A2666" s="3" t="s">
        <v>8920</v>
      </c>
      <c r="B2666" s="3" t="s">
        <v>341</v>
      </c>
      <c r="C2666" s="3" t="s">
        <v>1342</v>
      </c>
      <c r="D2666" s="3" t="s">
        <v>68</v>
      </c>
      <c r="E2666" s="3" t="s">
        <v>100</v>
      </c>
      <c r="F2666" s="3" t="s">
        <v>2001</v>
      </c>
      <c r="G2666" s="7">
        <v>45940.379736218914</v>
      </c>
    </row>
    <row r="2667">
      <c r="A2667" s="3" t="s">
        <v>8923</v>
      </c>
      <c r="B2667" s="3" t="s">
        <v>746</v>
      </c>
      <c r="C2667" s="3" t="s">
        <v>1342</v>
      </c>
      <c r="D2667" s="3" t="s">
        <v>181</v>
      </c>
      <c r="E2667" s="3" t="s">
        <v>45</v>
      </c>
      <c r="F2667" s="3" t="s">
        <v>1837</v>
      </c>
      <c r="G2667" s="7">
        <v>45940.450911064334</v>
      </c>
    </row>
    <row r="2668">
      <c r="A2668" s="3" t="s">
        <v>8925</v>
      </c>
      <c r="B2668" s="3" t="s">
        <v>519</v>
      </c>
      <c r="C2668" s="3" t="s">
        <v>1342</v>
      </c>
      <c r="D2668" s="3" t="s">
        <v>68</v>
      </c>
      <c r="E2668" s="3" t="s">
        <v>100</v>
      </c>
      <c r="F2668" s="3" t="s">
        <v>774</v>
      </c>
      <c r="G2668" s="7">
        <v>45940.522085909746</v>
      </c>
    </row>
    <row r="2669">
      <c r="A2669" s="3" t="s">
        <v>8927</v>
      </c>
      <c r="B2669" s="3" t="s">
        <v>990</v>
      </c>
      <c r="C2669" s="3" t="s">
        <v>1342</v>
      </c>
      <c r="D2669" s="3" t="s">
        <v>68</v>
      </c>
      <c r="E2669" s="3" t="s">
        <v>100</v>
      </c>
      <c r="F2669" s="3" t="s">
        <v>1206</v>
      </c>
      <c r="G2669" s="7">
        <v>45940.59326075516</v>
      </c>
    </row>
    <row r="2670">
      <c r="A2670" s="3" t="s">
        <v>8931</v>
      </c>
      <c r="B2670" s="3" t="s">
        <v>380</v>
      </c>
      <c r="C2670" s="3" t="s">
        <v>56</v>
      </c>
      <c r="D2670" s="3" t="s">
        <v>181</v>
      </c>
      <c r="E2670" s="3" t="s">
        <v>45</v>
      </c>
      <c r="F2670" s="3" t="s">
        <v>45</v>
      </c>
      <c r="G2670" s="7">
        <v>45940.66443560058</v>
      </c>
    </row>
    <row r="2671">
      <c r="A2671" s="3" t="s">
        <v>8934</v>
      </c>
      <c r="B2671" s="3" t="s">
        <v>770</v>
      </c>
      <c r="C2671" s="3" t="s">
        <v>1342</v>
      </c>
      <c r="D2671" s="3" t="s">
        <v>68</v>
      </c>
      <c r="E2671" s="3" t="s">
        <v>100</v>
      </c>
      <c r="F2671" s="3" t="s">
        <v>1403</v>
      </c>
      <c r="G2671" s="7">
        <v>45940.73561044599</v>
      </c>
    </row>
    <row r="2672">
      <c r="A2672" s="3" t="s">
        <v>8937</v>
      </c>
      <c r="B2672" s="3" t="s">
        <v>848</v>
      </c>
      <c r="C2672" s="3" t="s">
        <v>1095</v>
      </c>
      <c r="D2672" s="3" t="s">
        <v>68</v>
      </c>
      <c r="E2672" s="3" t="s">
        <v>100</v>
      </c>
      <c r="F2672" s="3" t="s">
        <v>1676</v>
      </c>
      <c r="G2672" s="7">
        <v>45940.8067852914</v>
      </c>
    </row>
    <row r="2673">
      <c r="A2673" s="3" t="s">
        <v>8941</v>
      </c>
      <c r="B2673" s="3" t="s">
        <v>316</v>
      </c>
      <c r="C2673" s="3" t="s">
        <v>1342</v>
      </c>
      <c r="D2673" s="3" t="s">
        <v>68</v>
      </c>
      <c r="E2673" s="3" t="s">
        <v>100</v>
      </c>
      <c r="F2673" s="3" t="s">
        <v>1694</v>
      </c>
      <c r="G2673" s="7">
        <v>45940.87796013682</v>
      </c>
    </row>
    <row r="2674">
      <c r="A2674" s="3" t="s">
        <v>8945</v>
      </c>
      <c r="B2674" s="3" t="s">
        <v>253</v>
      </c>
      <c r="C2674" s="3" t="s">
        <v>1342</v>
      </c>
      <c r="D2674" s="3" t="s">
        <v>181</v>
      </c>
      <c r="E2674" s="3" t="s">
        <v>45</v>
      </c>
      <c r="F2674" s="3" t="s">
        <v>959</v>
      </c>
      <c r="G2674" s="7">
        <v>45940.94913498224</v>
      </c>
    </row>
    <row r="2675">
      <c r="A2675" s="3" t="s">
        <v>8948</v>
      </c>
      <c r="B2675" s="3" t="s">
        <v>523</v>
      </c>
      <c r="C2675" s="3" t="s">
        <v>1342</v>
      </c>
      <c r="D2675" s="3" t="s">
        <v>68</v>
      </c>
      <c r="E2675" s="3" t="s">
        <v>100</v>
      </c>
      <c r="F2675" s="3" t="s">
        <v>1378</v>
      </c>
      <c r="G2675" s="7">
        <v>45941.02030982765</v>
      </c>
    </row>
    <row r="2676">
      <c r="A2676" s="3" t="s">
        <v>8951</v>
      </c>
      <c r="B2676" s="3" t="s">
        <v>296</v>
      </c>
      <c r="C2676" s="3" t="s">
        <v>56</v>
      </c>
      <c r="D2676" s="3" t="s">
        <v>68</v>
      </c>
      <c r="E2676" s="3" t="s">
        <v>100</v>
      </c>
      <c r="F2676" s="3" t="s">
        <v>1517</v>
      </c>
      <c r="G2676" s="7">
        <v>45941.09148467307</v>
      </c>
    </row>
    <row r="2677">
      <c r="A2677" s="3" t="s">
        <v>8955</v>
      </c>
      <c r="B2677" s="3" t="s">
        <v>805</v>
      </c>
      <c r="C2677" s="3" t="s">
        <v>1095</v>
      </c>
      <c r="D2677" s="3" t="s">
        <v>68</v>
      </c>
      <c r="E2677" s="3" t="s">
        <v>100</v>
      </c>
      <c r="F2677" s="3" t="s">
        <v>1469</v>
      </c>
      <c r="G2677" s="7">
        <v>45941.162659518486</v>
      </c>
    </row>
    <row r="2678">
      <c r="A2678" s="3" t="s">
        <v>8959</v>
      </c>
      <c r="B2678" s="3" t="s">
        <v>587</v>
      </c>
      <c r="C2678" s="3" t="s">
        <v>1342</v>
      </c>
      <c r="D2678" s="3" t="s">
        <v>68</v>
      </c>
      <c r="E2678" s="3" t="s">
        <v>100</v>
      </c>
      <c r="F2678" s="3" t="s">
        <v>1048</v>
      </c>
      <c r="G2678" s="7">
        <v>45941.2338343639</v>
      </c>
    </row>
    <row r="2679">
      <c r="A2679" s="3" t="s">
        <v>8961</v>
      </c>
      <c r="B2679" s="3" t="s">
        <v>793</v>
      </c>
      <c r="C2679" s="3" t="s">
        <v>1342</v>
      </c>
      <c r="D2679" s="3" t="s">
        <v>68</v>
      </c>
      <c r="E2679" s="3" t="s">
        <v>100</v>
      </c>
      <c r="F2679" s="3" t="s">
        <v>2067</v>
      </c>
      <c r="G2679" s="7">
        <v>45941.30500920931</v>
      </c>
    </row>
    <row r="2680">
      <c r="A2680" s="3" t="s">
        <v>8963</v>
      </c>
      <c r="B2680" s="3" t="s">
        <v>512</v>
      </c>
      <c r="C2680" s="3" t="s">
        <v>56</v>
      </c>
      <c r="D2680" s="3" t="s">
        <v>68</v>
      </c>
      <c r="E2680" s="3" t="s">
        <v>100</v>
      </c>
      <c r="F2680" s="3" t="s">
        <v>1520</v>
      </c>
      <c r="G2680" s="7">
        <v>45941.37618405473</v>
      </c>
    </row>
    <row r="2681">
      <c r="A2681" s="3" t="s">
        <v>8965</v>
      </c>
      <c r="B2681" s="3" t="s">
        <v>1028</v>
      </c>
      <c r="C2681" s="3" t="s">
        <v>1342</v>
      </c>
      <c r="D2681" s="3" t="s">
        <v>68</v>
      </c>
      <c r="E2681" s="3" t="s">
        <v>100</v>
      </c>
      <c r="F2681" s="3" t="s">
        <v>1852</v>
      </c>
      <c r="G2681" s="7">
        <v>45941.44735890014</v>
      </c>
    </row>
    <row r="2682">
      <c r="A2682" s="3" t="s">
        <v>8967</v>
      </c>
      <c r="B2682" s="3" t="s">
        <v>691</v>
      </c>
      <c r="C2682" s="3" t="s">
        <v>1342</v>
      </c>
      <c r="D2682" s="3" t="s">
        <v>68</v>
      </c>
      <c r="E2682" s="3" t="s">
        <v>100</v>
      </c>
      <c r="F2682" s="3" t="s">
        <v>1958</v>
      </c>
      <c r="G2682" s="7">
        <v>45941.518533745555</v>
      </c>
    </row>
    <row r="2683">
      <c r="A2683" s="3" t="s">
        <v>8970</v>
      </c>
      <c r="B2683" s="3" t="s">
        <v>145</v>
      </c>
      <c r="C2683" s="3" t="s">
        <v>1342</v>
      </c>
      <c r="D2683" s="3" t="s">
        <v>181</v>
      </c>
      <c r="E2683" s="3" t="s">
        <v>45</v>
      </c>
      <c r="F2683" s="3" t="s">
        <v>1398</v>
      </c>
      <c r="G2683" s="7">
        <v>45941.589708590975</v>
      </c>
    </row>
    <row r="2684">
      <c r="A2684" s="3" t="s">
        <v>8973</v>
      </c>
      <c r="B2684" s="3" t="s">
        <v>870</v>
      </c>
      <c r="C2684" s="3" t="s">
        <v>1095</v>
      </c>
      <c r="D2684" s="3" t="s">
        <v>68</v>
      </c>
      <c r="E2684" s="3" t="s">
        <v>100</v>
      </c>
      <c r="F2684" s="3" t="s">
        <v>2047</v>
      </c>
      <c r="G2684" s="7">
        <v>45941.66088343639</v>
      </c>
    </row>
    <row r="2685">
      <c r="A2685" s="3" t="s">
        <v>8976</v>
      </c>
      <c r="B2685" s="3" t="s">
        <v>643</v>
      </c>
      <c r="C2685" s="3" t="s">
        <v>1095</v>
      </c>
      <c r="D2685" s="3" t="s">
        <v>68</v>
      </c>
      <c r="E2685" s="3" t="s">
        <v>100</v>
      </c>
      <c r="F2685" s="3" t="s">
        <v>1300</v>
      </c>
      <c r="G2685" s="7">
        <v>45941.7320582818</v>
      </c>
    </row>
    <row r="2686">
      <c r="A2686" s="3" t="s">
        <v>8979</v>
      </c>
      <c r="B2686" s="3" t="s">
        <v>662</v>
      </c>
      <c r="C2686" s="3" t="s">
        <v>1342</v>
      </c>
      <c r="D2686" s="3" t="s">
        <v>68</v>
      </c>
      <c r="E2686" s="3" t="s">
        <v>100</v>
      </c>
      <c r="F2686" s="3" t="s">
        <v>946</v>
      </c>
      <c r="G2686" s="7">
        <v>45941.80323312722</v>
      </c>
    </row>
    <row r="2687">
      <c r="A2687" s="3" t="s">
        <v>8981</v>
      </c>
      <c r="B2687" s="3" t="s">
        <v>746</v>
      </c>
      <c r="C2687" s="3" t="s">
        <v>1095</v>
      </c>
      <c r="D2687" s="3" t="s">
        <v>68</v>
      </c>
      <c r="E2687" s="3" t="s">
        <v>100</v>
      </c>
      <c r="F2687" s="3" t="s">
        <v>1837</v>
      </c>
      <c r="G2687" s="7">
        <v>45941.87440797263</v>
      </c>
    </row>
    <row r="2688">
      <c r="A2688" s="3" t="s">
        <v>8984</v>
      </c>
      <c r="B2688" s="3" t="s">
        <v>197</v>
      </c>
      <c r="C2688" s="3" t="s">
        <v>1342</v>
      </c>
      <c r="D2688" s="3" t="s">
        <v>181</v>
      </c>
      <c r="E2688" s="3" t="s">
        <v>45</v>
      </c>
      <c r="F2688" s="3" t="s">
        <v>1389</v>
      </c>
      <c r="G2688" s="7">
        <v>45941.94558281804</v>
      </c>
    </row>
    <row r="2689">
      <c r="A2689" s="3" t="s">
        <v>8986</v>
      </c>
      <c r="B2689" s="3" t="s">
        <v>906</v>
      </c>
      <c r="C2689" s="3" t="s">
        <v>56</v>
      </c>
      <c r="D2689" s="3" t="s">
        <v>68</v>
      </c>
      <c r="E2689" s="3" t="s">
        <v>100</v>
      </c>
      <c r="F2689" s="3" t="s">
        <v>1521</v>
      </c>
      <c r="G2689" s="7">
        <v>45942.01675766346</v>
      </c>
    </row>
    <row r="2690">
      <c r="A2690" s="3" t="s">
        <v>8989</v>
      </c>
      <c r="B2690" s="3" t="s">
        <v>819</v>
      </c>
      <c r="C2690" s="3" t="s">
        <v>1342</v>
      </c>
      <c r="D2690" s="3" t="s">
        <v>195</v>
      </c>
      <c r="E2690" s="3" t="s">
        <v>45</v>
      </c>
      <c r="F2690" s="3" t="s">
        <v>1512</v>
      </c>
      <c r="G2690" s="7">
        <v>45942.08793250888</v>
      </c>
    </row>
    <row r="2691">
      <c r="A2691" s="3" t="s">
        <v>8992</v>
      </c>
      <c r="B2691" s="3" t="s">
        <v>600</v>
      </c>
      <c r="C2691" s="3" t="s">
        <v>1342</v>
      </c>
      <c r="D2691" s="3" t="s">
        <v>68</v>
      </c>
      <c r="E2691" s="3" t="s">
        <v>100</v>
      </c>
      <c r="F2691" s="3" t="s">
        <v>1408</v>
      </c>
      <c r="G2691" s="7">
        <v>45942.15910735429</v>
      </c>
    </row>
    <row r="2692">
      <c r="A2692" s="3" t="s">
        <v>8995</v>
      </c>
      <c r="B2692" s="3" t="s">
        <v>767</v>
      </c>
      <c r="C2692" s="3" t="s">
        <v>1342</v>
      </c>
      <c r="D2692" s="3" t="s">
        <v>68</v>
      </c>
      <c r="E2692" s="3" t="s">
        <v>100</v>
      </c>
      <c r="F2692" s="3" t="s">
        <v>1162</v>
      </c>
      <c r="G2692" s="7">
        <v>45942.23028219971</v>
      </c>
    </row>
    <row r="2693">
      <c r="A2693" s="3" t="s">
        <v>8998</v>
      </c>
      <c r="B2693" s="3" t="s">
        <v>708</v>
      </c>
      <c r="C2693" s="3" t="s">
        <v>1095</v>
      </c>
      <c r="D2693" s="3" t="s">
        <v>68</v>
      </c>
      <c r="E2693" s="3" t="s">
        <v>100</v>
      </c>
      <c r="F2693" s="3" t="s">
        <v>810</v>
      </c>
      <c r="G2693" s="7">
        <v>45942.30145704513</v>
      </c>
    </row>
    <row r="2694">
      <c r="A2694" s="3" t="s">
        <v>9000</v>
      </c>
      <c r="B2694" s="3" t="s">
        <v>1021</v>
      </c>
      <c r="C2694" s="3" t="s">
        <v>56</v>
      </c>
      <c r="D2694" s="3" t="s">
        <v>68</v>
      </c>
      <c r="E2694" s="3" t="s">
        <v>100</v>
      </c>
      <c r="F2694" s="3" t="s">
        <v>1524</v>
      </c>
      <c r="G2694" s="7">
        <v>45942.37263189054</v>
      </c>
    </row>
    <row r="2695">
      <c r="A2695" s="3" t="s">
        <v>9003</v>
      </c>
      <c r="B2695" s="3" t="s">
        <v>1011</v>
      </c>
      <c r="C2695" s="3" t="s">
        <v>56</v>
      </c>
      <c r="D2695" s="3" t="s">
        <v>68</v>
      </c>
      <c r="E2695" s="3" t="s">
        <v>100</v>
      </c>
      <c r="F2695" s="3" t="s">
        <v>1526</v>
      </c>
      <c r="G2695" s="7">
        <v>45942.44380673595</v>
      </c>
    </row>
    <row r="2696">
      <c r="A2696" s="3" t="s">
        <v>9007</v>
      </c>
      <c r="B2696" s="3" t="s">
        <v>159</v>
      </c>
      <c r="C2696" s="3" t="s">
        <v>1342</v>
      </c>
      <c r="D2696" s="3" t="s">
        <v>181</v>
      </c>
      <c r="E2696" s="3" t="s">
        <v>45</v>
      </c>
      <c r="F2696" s="3" t="s">
        <v>1292</v>
      </c>
      <c r="G2696" s="7">
        <v>45942.51498158137</v>
      </c>
    </row>
    <row r="2697">
      <c r="A2697" s="3" t="s">
        <v>9011</v>
      </c>
      <c r="B2697" s="3" t="s">
        <v>373</v>
      </c>
      <c r="C2697" s="3" t="s">
        <v>1342</v>
      </c>
      <c r="D2697" s="3" t="s">
        <v>68</v>
      </c>
      <c r="E2697" s="3" t="s">
        <v>100</v>
      </c>
      <c r="F2697" s="3" t="s">
        <v>532</v>
      </c>
      <c r="G2697" s="7">
        <v>45942.58615642678</v>
      </c>
    </row>
    <row r="2698">
      <c r="A2698" s="3" t="s">
        <v>9014</v>
      </c>
      <c r="B2698" s="3" t="s">
        <v>411</v>
      </c>
      <c r="C2698" s="3" t="s">
        <v>56</v>
      </c>
      <c r="D2698" s="3" t="s">
        <v>68</v>
      </c>
      <c r="E2698" s="3" t="s">
        <v>100</v>
      </c>
      <c r="F2698" s="3" t="s">
        <v>1530</v>
      </c>
      <c r="G2698" s="7">
        <v>45942.657331272196</v>
      </c>
    </row>
    <row r="2699">
      <c r="A2699" s="3" t="s">
        <v>9018</v>
      </c>
      <c r="B2699" s="3" t="s">
        <v>247</v>
      </c>
      <c r="C2699" s="3" t="s">
        <v>56</v>
      </c>
      <c r="D2699" s="3" t="s">
        <v>68</v>
      </c>
      <c r="E2699" s="3" t="s">
        <v>100</v>
      </c>
      <c r="F2699" s="3" t="s">
        <v>1533</v>
      </c>
      <c r="G2699" s="7">
        <v>45942.728506117615</v>
      </c>
    </row>
    <row r="2700">
      <c r="A2700" s="3" t="s">
        <v>9021</v>
      </c>
      <c r="B2700" s="3" t="s">
        <v>316</v>
      </c>
      <c r="C2700" s="3" t="s">
        <v>1095</v>
      </c>
      <c r="D2700" s="3" t="s">
        <v>68</v>
      </c>
      <c r="E2700" s="3" t="s">
        <v>100</v>
      </c>
      <c r="F2700" s="3" t="s">
        <v>1694</v>
      </c>
      <c r="G2700" s="7">
        <v>45942.79968096303</v>
      </c>
    </row>
    <row r="2701">
      <c r="A2701" s="3" t="s">
        <v>9025</v>
      </c>
      <c r="B2701" s="3" t="s">
        <v>247</v>
      </c>
      <c r="C2701" s="3" t="s">
        <v>1095</v>
      </c>
      <c r="D2701" s="3" t="s">
        <v>68</v>
      </c>
      <c r="E2701" s="3" t="s">
        <v>100</v>
      </c>
      <c r="F2701" s="3" t="s">
        <v>1533</v>
      </c>
      <c r="G2701" s="7">
        <v>45942.87085580844</v>
      </c>
    </row>
    <row r="2702">
      <c r="A2702" s="3" t="s">
        <v>9028</v>
      </c>
      <c r="B2702" s="3" t="s">
        <v>168</v>
      </c>
      <c r="C2702" s="3" t="s">
        <v>56</v>
      </c>
      <c r="D2702" s="3" t="s">
        <v>68</v>
      </c>
      <c r="E2702" s="3" t="s">
        <v>100</v>
      </c>
      <c r="F2702" s="3" t="s">
        <v>1535</v>
      </c>
      <c r="G2702" s="7">
        <v>45942.94203065386</v>
      </c>
    </row>
    <row r="2703">
      <c r="A2703" s="3" t="s">
        <v>9031</v>
      </c>
      <c r="B2703" s="3" t="s">
        <v>691</v>
      </c>
      <c r="C2703" s="3" t="s">
        <v>1342</v>
      </c>
      <c r="D2703" s="3" t="s">
        <v>68</v>
      </c>
      <c r="E2703" s="3" t="s">
        <v>100</v>
      </c>
      <c r="F2703" s="3" t="s">
        <v>1958</v>
      </c>
      <c r="G2703" s="7">
        <v>45943.01320549927</v>
      </c>
    </row>
    <row r="2704">
      <c r="A2704" s="3" t="s">
        <v>9033</v>
      </c>
      <c r="B2704" s="3" t="s">
        <v>1026</v>
      </c>
      <c r="C2704" s="3" t="s">
        <v>1095</v>
      </c>
      <c r="D2704" s="3" t="s">
        <v>68</v>
      </c>
      <c r="E2704" s="3" t="s">
        <v>100</v>
      </c>
      <c r="F2704" s="3" t="s">
        <v>1973</v>
      </c>
      <c r="G2704" s="7">
        <v>45943.084380344684</v>
      </c>
    </row>
    <row r="2705">
      <c r="A2705" s="3" t="s">
        <v>9036</v>
      </c>
      <c r="B2705" s="3" t="s">
        <v>838</v>
      </c>
      <c r="C2705" s="3" t="s">
        <v>1342</v>
      </c>
      <c r="D2705" s="3" t="s">
        <v>68</v>
      </c>
      <c r="E2705" s="3" t="s">
        <v>100</v>
      </c>
      <c r="F2705" s="3" t="s">
        <v>1943</v>
      </c>
      <c r="G2705" s="7">
        <v>45943.155555190104</v>
      </c>
    </row>
    <row r="2706">
      <c r="A2706" s="3" t="s">
        <v>9039</v>
      </c>
      <c r="B2706" s="3" t="s">
        <v>145</v>
      </c>
      <c r="C2706" s="3" t="s">
        <v>1095</v>
      </c>
      <c r="D2706" s="3" t="s">
        <v>68</v>
      </c>
      <c r="E2706" s="3" t="s">
        <v>100</v>
      </c>
      <c r="F2706" s="3" t="s">
        <v>1398</v>
      </c>
      <c r="G2706" s="7">
        <v>45943.22673003552</v>
      </c>
    </row>
    <row r="2707">
      <c r="A2707" s="3" t="s">
        <v>9042</v>
      </c>
      <c r="B2707" s="3" t="s">
        <v>579</v>
      </c>
      <c r="C2707" s="3" t="s">
        <v>56</v>
      </c>
      <c r="D2707" s="3" t="s">
        <v>68</v>
      </c>
      <c r="E2707" s="3" t="s">
        <v>100</v>
      </c>
      <c r="F2707" s="3" t="s">
        <v>1538</v>
      </c>
      <c r="G2707" s="7">
        <v>45943.29790488093</v>
      </c>
    </row>
    <row r="2708">
      <c r="A2708" s="3" t="s">
        <v>9045</v>
      </c>
      <c r="B2708" s="3" t="s">
        <v>793</v>
      </c>
      <c r="C2708" s="3" t="s">
        <v>1342</v>
      </c>
      <c r="D2708" s="3" t="s">
        <v>68</v>
      </c>
      <c r="E2708" s="3" t="s">
        <v>100</v>
      </c>
      <c r="F2708" s="3" t="s">
        <v>2067</v>
      </c>
      <c r="G2708" s="7">
        <v>45943.36907972635</v>
      </c>
    </row>
    <row r="2709">
      <c r="A2709" s="3" t="s">
        <v>9048</v>
      </c>
      <c r="B2709" s="3" t="s">
        <v>186</v>
      </c>
      <c r="C2709" s="3" t="s">
        <v>1342</v>
      </c>
      <c r="D2709" s="3" t="s">
        <v>68</v>
      </c>
      <c r="E2709" s="3" t="s">
        <v>100</v>
      </c>
      <c r="F2709" s="3" t="s">
        <v>1475</v>
      </c>
      <c r="G2709" s="7">
        <v>45943.44025457177</v>
      </c>
    </row>
    <row r="2710">
      <c r="A2710" s="3" t="s">
        <v>9052</v>
      </c>
      <c r="B2710" s="3" t="s">
        <v>455</v>
      </c>
      <c r="C2710" s="3" t="s">
        <v>1342</v>
      </c>
      <c r="D2710" s="3" t="s">
        <v>68</v>
      </c>
      <c r="E2710" s="3" t="s">
        <v>100</v>
      </c>
      <c r="F2710" s="3" t="s">
        <v>1564</v>
      </c>
      <c r="G2710" s="7">
        <v>45943.51142941718</v>
      </c>
    </row>
    <row r="2711">
      <c r="A2711" s="3" t="s">
        <v>9055</v>
      </c>
      <c r="B2711" s="3" t="s">
        <v>760</v>
      </c>
      <c r="C2711" s="3" t="s">
        <v>1342</v>
      </c>
      <c r="D2711" s="3" t="s">
        <v>68</v>
      </c>
      <c r="E2711" s="3" t="s">
        <v>100</v>
      </c>
      <c r="F2711" s="3" t="s">
        <v>1503</v>
      </c>
      <c r="G2711" s="7">
        <v>45943.58260426259</v>
      </c>
    </row>
    <row r="2712">
      <c r="A2712" s="3" t="s">
        <v>9056</v>
      </c>
      <c r="B2712" s="3" t="s">
        <v>247</v>
      </c>
      <c r="C2712" s="3" t="s">
        <v>56</v>
      </c>
      <c r="D2712" s="3" t="s">
        <v>68</v>
      </c>
      <c r="E2712" s="3" t="s">
        <v>100</v>
      </c>
      <c r="F2712" s="3" t="s">
        <v>1539</v>
      </c>
      <c r="G2712" s="7">
        <v>45943.65377910801</v>
      </c>
    </row>
    <row r="2713">
      <c r="A2713" s="3" t="s">
        <v>9058</v>
      </c>
      <c r="B2713" s="3" t="s">
        <v>778</v>
      </c>
      <c r="C2713" s="3" t="s">
        <v>1095</v>
      </c>
      <c r="D2713" s="3" t="s">
        <v>68</v>
      </c>
      <c r="E2713" s="3" t="s">
        <v>100</v>
      </c>
      <c r="F2713" s="3" t="s">
        <v>963</v>
      </c>
      <c r="G2713" s="7">
        <v>45943.724953953424</v>
      </c>
    </row>
    <row r="2714">
      <c r="A2714" s="3" t="s">
        <v>9060</v>
      </c>
      <c r="B2714" s="3" t="s">
        <v>307</v>
      </c>
      <c r="C2714" s="3" t="s">
        <v>56</v>
      </c>
      <c r="D2714" s="3" t="s">
        <v>68</v>
      </c>
      <c r="E2714" s="3" t="s">
        <v>100</v>
      </c>
      <c r="F2714" s="3" t="s">
        <v>1542</v>
      </c>
      <c r="G2714" s="7">
        <v>45943.79612879884</v>
      </c>
    </row>
    <row r="2715">
      <c r="A2715" s="3" t="s">
        <v>9063</v>
      </c>
      <c r="B2715" s="3" t="s">
        <v>586</v>
      </c>
      <c r="C2715" s="3" t="s">
        <v>56</v>
      </c>
      <c r="D2715" s="3" t="s">
        <v>181</v>
      </c>
      <c r="E2715" s="3" t="s">
        <v>45</v>
      </c>
      <c r="F2715" s="3" t="s">
        <v>45</v>
      </c>
      <c r="G2715" s="7">
        <v>45943.867303644256</v>
      </c>
    </row>
    <row r="2716">
      <c r="A2716" s="3" t="s">
        <v>9065</v>
      </c>
      <c r="B2716" s="3" t="s">
        <v>224</v>
      </c>
      <c r="C2716" s="3" t="s">
        <v>1095</v>
      </c>
      <c r="D2716" s="3" t="s">
        <v>68</v>
      </c>
      <c r="E2716" s="3" t="s">
        <v>100</v>
      </c>
      <c r="F2716" s="3" t="s">
        <v>1274</v>
      </c>
      <c r="G2716" s="7">
        <v>45943.938478489676</v>
      </c>
    </row>
    <row r="2717">
      <c r="A2717" s="3" t="s">
        <v>9067</v>
      </c>
      <c r="B2717" s="3" t="s">
        <v>1037</v>
      </c>
      <c r="C2717" s="3" t="s">
        <v>1342</v>
      </c>
      <c r="D2717" s="3" t="s">
        <v>68</v>
      </c>
      <c r="E2717" s="3" t="s">
        <v>100</v>
      </c>
      <c r="F2717" s="3" t="s">
        <v>1276</v>
      </c>
      <c r="G2717" s="7">
        <v>45944.00965333508</v>
      </c>
    </row>
    <row r="2718">
      <c r="A2718" s="3" t="s">
        <v>9069</v>
      </c>
      <c r="B2718" s="3" t="s">
        <v>123</v>
      </c>
      <c r="C2718" s="3" t="s">
        <v>1342</v>
      </c>
      <c r="D2718" s="3" t="s">
        <v>68</v>
      </c>
      <c r="E2718" s="3" t="s">
        <v>100</v>
      </c>
      <c r="F2718" s="3" t="s">
        <v>1455</v>
      </c>
      <c r="G2718" s="7">
        <v>45944.0808281805</v>
      </c>
    </row>
    <row r="2719">
      <c r="A2719" s="3" t="s">
        <v>9072</v>
      </c>
      <c r="B2719" s="3" t="s">
        <v>934</v>
      </c>
      <c r="C2719" s="3" t="s">
        <v>1342</v>
      </c>
      <c r="D2719" s="3" t="s">
        <v>68</v>
      </c>
      <c r="E2719" s="3" t="s">
        <v>100</v>
      </c>
      <c r="F2719" s="3" t="s">
        <v>1143</v>
      </c>
      <c r="G2719" s="7">
        <v>45944.15200302591</v>
      </c>
    </row>
    <row r="2720">
      <c r="A2720" s="3" t="s">
        <v>9076</v>
      </c>
      <c r="B2720" s="3" t="s">
        <v>224</v>
      </c>
      <c r="C2720" s="3" t="s">
        <v>56</v>
      </c>
      <c r="D2720" s="3" t="s">
        <v>68</v>
      </c>
      <c r="E2720" s="3" t="s">
        <v>100</v>
      </c>
      <c r="F2720" s="3" t="s">
        <v>1543</v>
      </c>
      <c r="G2720" s="7">
        <v>45944.22317787133</v>
      </c>
    </row>
    <row r="2721">
      <c r="A2721" s="3" t="s">
        <v>9079</v>
      </c>
      <c r="B2721" s="3" t="s">
        <v>310</v>
      </c>
      <c r="C2721" s="3" t="s">
        <v>56</v>
      </c>
      <c r="D2721" s="3" t="s">
        <v>68</v>
      </c>
      <c r="E2721" s="3" t="s">
        <v>100</v>
      </c>
      <c r="F2721" s="3" t="s">
        <v>1545</v>
      </c>
      <c r="G2721" s="7">
        <v>45944.294352716744</v>
      </c>
    </row>
    <row r="2722">
      <c r="A2722" s="3" t="s">
        <v>9082</v>
      </c>
      <c r="B2722" s="3" t="s">
        <v>596</v>
      </c>
      <c r="C2722" s="3" t="s">
        <v>1342</v>
      </c>
      <c r="D2722" s="3" t="s">
        <v>68</v>
      </c>
      <c r="E2722" s="3" t="s">
        <v>100</v>
      </c>
      <c r="F2722" s="3" t="s">
        <v>1495</v>
      </c>
      <c r="G2722" s="7">
        <v>45944.365527562164</v>
      </c>
    </row>
    <row r="2723">
      <c r="A2723" s="3" t="s">
        <v>9084</v>
      </c>
      <c r="B2723" s="3" t="s">
        <v>521</v>
      </c>
      <c r="C2723" s="3" t="s">
        <v>1095</v>
      </c>
      <c r="D2723" s="3" t="s">
        <v>68</v>
      </c>
      <c r="E2723" s="3" t="s">
        <v>100</v>
      </c>
      <c r="F2723" s="3" t="s">
        <v>1460</v>
      </c>
      <c r="G2723" s="7">
        <v>45944.43670240757</v>
      </c>
    </row>
    <row r="2724">
      <c r="A2724" s="3" t="s">
        <v>9086</v>
      </c>
      <c r="B2724" s="3" t="s">
        <v>805</v>
      </c>
      <c r="C2724" s="3" t="s">
        <v>56</v>
      </c>
      <c r="D2724" s="3" t="s">
        <v>68</v>
      </c>
      <c r="E2724" s="3" t="s">
        <v>100</v>
      </c>
      <c r="F2724" s="3" t="s">
        <v>1546</v>
      </c>
      <c r="G2724" s="7">
        <v>45944.50787725299</v>
      </c>
    </row>
    <row r="2725">
      <c r="A2725" s="3" t="s">
        <v>9088</v>
      </c>
      <c r="B2725" s="3" t="s">
        <v>449</v>
      </c>
      <c r="C2725" s="3" t="s">
        <v>1095</v>
      </c>
      <c r="D2725" s="3" t="s">
        <v>68</v>
      </c>
      <c r="E2725" s="3" t="s">
        <v>100</v>
      </c>
      <c r="F2725" s="3" t="s">
        <v>1435</v>
      </c>
      <c r="G2725" s="7">
        <v>45944.57905209841</v>
      </c>
    </row>
    <row r="2726">
      <c r="A2726" s="3" t="s">
        <v>9091</v>
      </c>
      <c r="B2726" s="3" t="s">
        <v>819</v>
      </c>
      <c r="C2726" s="3" t="s">
        <v>1342</v>
      </c>
      <c r="D2726" s="3" t="s">
        <v>195</v>
      </c>
      <c r="E2726" s="3" t="s">
        <v>45</v>
      </c>
      <c r="F2726" s="3" t="s">
        <v>1512</v>
      </c>
      <c r="G2726" s="7">
        <v>45944.65022694382</v>
      </c>
    </row>
    <row r="2727">
      <c r="A2727" s="3" t="s">
        <v>9094</v>
      </c>
      <c r="B2727" s="3" t="s">
        <v>758</v>
      </c>
      <c r="C2727" s="3" t="s">
        <v>1095</v>
      </c>
      <c r="D2727" s="3" t="s">
        <v>68</v>
      </c>
      <c r="E2727" s="3" t="s">
        <v>100</v>
      </c>
      <c r="F2727" s="3" t="s">
        <v>1278</v>
      </c>
      <c r="G2727" s="7">
        <v>45944.72140178923</v>
      </c>
    </row>
    <row r="2728">
      <c r="A2728" s="3" t="s">
        <v>9097</v>
      </c>
      <c r="B2728" s="3" t="s">
        <v>260</v>
      </c>
      <c r="C2728" s="3" t="s">
        <v>1342</v>
      </c>
      <c r="D2728" s="3" t="s">
        <v>68</v>
      </c>
      <c r="E2728" s="3" t="s">
        <v>100</v>
      </c>
      <c r="F2728" s="3" t="s">
        <v>1153</v>
      </c>
      <c r="G2728" s="7">
        <v>45944.79257663465</v>
      </c>
    </row>
    <row r="2729">
      <c r="A2729" s="3" t="s">
        <v>9101</v>
      </c>
      <c r="B2729" s="3" t="s">
        <v>145</v>
      </c>
      <c r="C2729" s="3" t="s">
        <v>56</v>
      </c>
      <c r="D2729" s="3" t="s">
        <v>68</v>
      </c>
      <c r="E2729" s="3" t="s">
        <v>100</v>
      </c>
      <c r="F2729" s="3" t="s">
        <v>1549</v>
      </c>
      <c r="G2729" s="7">
        <v>45944.863751480065</v>
      </c>
    </row>
    <row r="2730">
      <c r="A2730" s="3" t="s">
        <v>9104</v>
      </c>
      <c r="B2730" s="3" t="s">
        <v>404</v>
      </c>
      <c r="C2730" s="3" t="s">
        <v>1342</v>
      </c>
      <c r="D2730" s="3" t="s">
        <v>68</v>
      </c>
      <c r="E2730" s="3" t="s">
        <v>100</v>
      </c>
      <c r="F2730" s="3" t="s">
        <v>1140</v>
      </c>
      <c r="G2730" s="7">
        <v>45944.93492632548</v>
      </c>
    </row>
    <row r="2731">
      <c r="A2731" s="3" t="s">
        <v>9106</v>
      </c>
      <c r="B2731" s="3" t="s">
        <v>546</v>
      </c>
      <c r="C2731" s="3" t="s">
        <v>1095</v>
      </c>
      <c r="D2731" s="3" t="s">
        <v>68</v>
      </c>
      <c r="E2731" s="3" t="s">
        <v>100</v>
      </c>
      <c r="F2731" s="3" t="s">
        <v>1242</v>
      </c>
      <c r="G2731" s="7">
        <v>45945.0061011709</v>
      </c>
    </row>
    <row r="2732">
      <c r="A2732" s="3" t="s">
        <v>9108</v>
      </c>
      <c r="B2732" s="3" t="s">
        <v>702</v>
      </c>
      <c r="C2732" s="3" t="s">
        <v>1342</v>
      </c>
      <c r="D2732" s="3" t="s">
        <v>68</v>
      </c>
      <c r="E2732" s="3" t="s">
        <v>100</v>
      </c>
      <c r="F2732" s="3" t="s">
        <v>1196</v>
      </c>
      <c r="G2732" s="7">
        <v>45945.077276016316</v>
      </c>
    </row>
    <row r="2733">
      <c r="A2733" s="3" t="s">
        <v>9110</v>
      </c>
      <c r="B2733" s="3" t="s">
        <v>481</v>
      </c>
      <c r="C2733" s="3" t="s">
        <v>1095</v>
      </c>
      <c r="D2733" s="3" t="s">
        <v>68</v>
      </c>
      <c r="E2733" s="3" t="s">
        <v>100</v>
      </c>
      <c r="F2733" s="3" t="s">
        <v>518</v>
      </c>
      <c r="G2733" s="7">
        <v>45945.14845086172</v>
      </c>
    </row>
    <row r="2734">
      <c r="A2734" s="3" t="s">
        <v>9111</v>
      </c>
      <c r="B2734" s="3" t="s">
        <v>934</v>
      </c>
      <c r="C2734" s="3" t="s">
        <v>1342</v>
      </c>
      <c r="D2734" s="3" t="s">
        <v>68</v>
      </c>
      <c r="E2734" s="3" t="s">
        <v>100</v>
      </c>
      <c r="F2734" s="3" t="s">
        <v>1143</v>
      </c>
      <c r="G2734" s="7">
        <v>45945.21962570714</v>
      </c>
    </row>
    <row r="2735">
      <c r="A2735" s="3" t="s">
        <v>9114</v>
      </c>
      <c r="B2735" s="3" t="s">
        <v>972</v>
      </c>
      <c r="C2735" s="3" t="s">
        <v>1342</v>
      </c>
      <c r="D2735" s="3" t="s">
        <v>68</v>
      </c>
      <c r="E2735" s="3" t="s">
        <v>100</v>
      </c>
      <c r="F2735" s="3" t="s">
        <v>1366</v>
      </c>
      <c r="G2735" s="7">
        <v>45945.29080055255</v>
      </c>
    </row>
    <row r="2736">
      <c r="A2736" s="3" t="s">
        <v>9116</v>
      </c>
      <c r="B2736" s="3" t="s">
        <v>655</v>
      </c>
      <c r="C2736" s="3" t="s">
        <v>1095</v>
      </c>
      <c r="D2736" s="3" t="s">
        <v>68</v>
      </c>
      <c r="E2736" s="3" t="s">
        <v>100</v>
      </c>
      <c r="F2736" s="3" t="s">
        <v>2069</v>
      </c>
      <c r="G2736" s="7">
        <v>45945.36197539797</v>
      </c>
    </row>
    <row r="2737">
      <c r="A2737" s="3" t="s">
        <v>9119</v>
      </c>
      <c r="B2737" s="3" t="s">
        <v>156</v>
      </c>
      <c r="C2737" s="3" t="s">
        <v>1342</v>
      </c>
      <c r="D2737" s="3" t="s">
        <v>68</v>
      </c>
      <c r="E2737" s="3" t="s">
        <v>100</v>
      </c>
      <c r="F2737" s="3" t="s">
        <v>673</v>
      </c>
      <c r="G2737" s="7">
        <v>45945.433150243385</v>
      </c>
    </row>
    <row r="2738">
      <c r="A2738" s="3" t="s">
        <v>9123</v>
      </c>
      <c r="B2738" s="3" t="s">
        <v>485</v>
      </c>
      <c r="C2738" s="3" t="s">
        <v>1095</v>
      </c>
      <c r="D2738" s="3" t="s">
        <v>68</v>
      </c>
      <c r="E2738" s="3" t="s">
        <v>100</v>
      </c>
      <c r="F2738" s="3" t="s">
        <v>1333</v>
      </c>
      <c r="G2738" s="7">
        <v>45945.504325088805</v>
      </c>
    </row>
    <row r="2739">
      <c r="A2739" s="3" t="s">
        <v>9126</v>
      </c>
      <c r="B2739" s="3" t="s">
        <v>911</v>
      </c>
      <c r="C2739" s="3" t="s">
        <v>1095</v>
      </c>
      <c r="D2739" s="3" t="s">
        <v>68</v>
      </c>
      <c r="E2739" s="3" t="s">
        <v>100</v>
      </c>
      <c r="F2739" s="3" t="s">
        <v>1424</v>
      </c>
      <c r="G2739" s="7">
        <v>45945.57549993422</v>
      </c>
    </row>
    <row r="2740">
      <c r="A2740" s="3" t="s">
        <v>9129</v>
      </c>
      <c r="B2740" s="3" t="s">
        <v>722</v>
      </c>
      <c r="C2740" s="3" t="s">
        <v>1342</v>
      </c>
      <c r="D2740" s="3" t="s">
        <v>68</v>
      </c>
      <c r="E2740" s="3" t="s">
        <v>100</v>
      </c>
      <c r="F2740" s="3" t="s">
        <v>1735</v>
      </c>
      <c r="G2740" s="7">
        <v>45945.64667477963</v>
      </c>
    </row>
    <row r="2741">
      <c r="A2741" s="3" t="s">
        <v>9132</v>
      </c>
      <c r="B2741" s="3" t="s">
        <v>395</v>
      </c>
      <c r="C2741" s="3" t="s">
        <v>56</v>
      </c>
      <c r="D2741" s="3" t="s">
        <v>68</v>
      </c>
      <c r="E2741" s="3" t="s">
        <v>100</v>
      </c>
      <c r="F2741" s="3" t="s">
        <v>1552</v>
      </c>
      <c r="G2741" s="7">
        <v>45945.71784962505</v>
      </c>
    </row>
    <row r="2742">
      <c r="A2742" s="3" t="s">
        <v>9136</v>
      </c>
      <c r="B2742" s="3" t="s">
        <v>1008</v>
      </c>
      <c r="C2742" s="3" t="s">
        <v>1342</v>
      </c>
      <c r="D2742" s="3" t="s">
        <v>68</v>
      </c>
      <c r="E2742" s="3" t="s">
        <v>100</v>
      </c>
      <c r="F2742" s="3" t="s">
        <v>2108</v>
      </c>
      <c r="G2742" s="7">
        <v>45945.78902447046</v>
      </c>
    </row>
    <row r="2743">
      <c r="A2743" s="3" t="s">
        <v>9139</v>
      </c>
      <c r="B2743" s="3" t="s">
        <v>550</v>
      </c>
      <c r="C2743" s="3" t="s">
        <v>1342</v>
      </c>
      <c r="D2743" s="3" t="s">
        <v>68</v>
      </c>
      <c r="E2743" s="3" t="s">
        <v>100</v>
      </c>
      <c r="F2743" s="3" t="s">
        <v>2101</v>
      </c>
      <c r="G2743" s="7">
        <v>45945.86019931587</v>
      </c>
    </row>
    <row r="2744">
      <c r="A2744" s="3" t="s">
        <v>9142</v>
      </c>
      <c r="B2744" s="3" t="s">
        <v>830</v>
      </c>
      <c r="C2744" s="3" t="s">
        <v>56</v>
      </c>
      <c r="D2744" s="3" t="s">
        <v>68</v>
      </c>
      <c r="E2744" s="3" t="s">
        <v>100</v>
      </c>
      <c r="F2744" s="3" t="s">
        <v>1553</v>
      </c>
      <c r="G2744" s="7">
        <v>45945.93137416129</v>
      </c>
    </row>
    <row r="2745">
      <c r="A2745" s="3" t="s">
        <v>9145</v>
      </c>
      <c r="B2745" s="3" t="s">
        <v>179</v>
      </c>
      <c r="C2745" s="3" t="s">
        <v>1095</v>
      </c>
      <c r="D2745" s="3" t="s">
        <v>68</v>
      </c>
      <c r="E2745" s="3" t="s">
        <v>100</v>
      </c>
      <c r="F2745" s="3" t="s">
        <v>857</v>
      </c>
      <c r="G2745" s="7">
        <v>45946.002549006706</v>
      </c>
    </row>
    <row r="2746">
      <c r="A2746" s="3" t="s">
        <v>9148</v>
      </c>
      <c r="B2746" s="3" t="s">
        <v>179</v>
      </c>
      <c r="C2746" s="3" t="s">
        <v>56</v>
      </c>
      <c r="D2746" s="3" t="s">
        <v>68</v>
      </c>
      <c r="E2746" s="3" t="s">
        <v>100</v>
      </c>
      <c r="F2746" s="3" t="s">
        <v>1558</v>
      </c>
      <c r="G2746" s="7">
        <v>45946.07372385212</v>
      </c>
    </row>
    <row r="2747">
      <c r="A2747" s="3" t="s">
        <v>9152</v>
      </c>
      <c r="B2747" s="3" t="s">
        <v>886</v>
      </c>
      <c r="C2747" s="3" t="s">
        <v>1095</v>
      </c>
      <c r="D2747" s="3" t="s">
        <v>68</v>
      </c>
      <c r="E2747" s="3" t="s">
        <v>100</v>
      </c>
      <c r="F2747" s="3" t="s">
        <v>1992</v>
      </c>
      <c r="G2747" s="7">
        <v>45946.14489869754</v>
      </c>
    </row>
    <row r="2748">
      <c r="A2748" s="3" t="s">
        <v>9155</v>
      </c>
      <c r="B2748" s="3" t="s">
        <v>293</v>
      </c>
      <c r="C2748" s="3" t="s">
        <v>1095</v>
      </c>
      <c r="D2748" s="3" t="s">
        <v>68</v>
      </c>
      <c r="E2748" s="3" t="s">
        <v>100</v>
      </c>
      <c r="F2748" s="3" t="s">
        <v>1270</v>
      </c>
      <c r="G2748" s="7">
        <v>45946.21607354296</v>
      </c>
    </row>
    <row r="2749">
      <c r="A2749" s="3" t="s">
        <v>9158</v>
      </c>
      <c r="B2749" s="3" t="s">
        <v>156</v>
      </c>
      <c r="C2749" s="3" t="s">
        <v>1342</v>
      </c>
      <c r="D2749" s="3" t="s">
        <v>195</v>
      </c>
      <c r="E2749" s="3" t="s">
        <v>45</v>
      </c>
      <c r="F2749" s="3" t="s">
        <v>673</v>
      </c>
      <c r="G2749" s="7">
        <v>45946.28724838836</v>
      </c>
    </row>
    <row r="2750">
      <c r="A2750" s="3" t="s">
        <v>9162</v>
      </c>
      <c r="B2750" s="3" t="s">
        <v>629</v>
      </c>
      <c r="C2750" s="3" t="s">
        <v>1095</v>
      </c>
      <c r="D2750" s="3" t="s">
        <v>68</v>
      </c>
      <c r="E2750" s="3" t="s">
        <v>100</v>
      </c>
      <c r="F2750" s="3" t="s">
        <v>1563</v>
      </c>
      <c r="G2750" s="7">
        <v>45946.35842323378</v>
      </c>
    </row>
    <row r="2751">
      <c r="A2751" s="3" t="s">
        <v>9165</v>
      </c>
      <c r="B2751" s="3" t="s">
        <v>326</v>
      </c>
      <c r="C2751" s="3" t="s">
        <v>56</v>
      </c>
      <c r="D2751" s="3" t="s">
        <v>68</v>
      </c>
      <c r="E2751" s="3" t="s">
        <v>100</v>
      </c>
      <c r="F2751" s="3" t="s">
        <v>1560</v>
      </c>
      <c r="G2751" s="7">
        <v>45946.4295980792</v>
      </c>
    </row>
    <row r="2752">
      <c r="A2752" s="3" t="s">
        <v>9169</v>
      </c>
      <c r="B2752" s="3" t="s">
        <v>672</v>
      </c>
      <c r="C2752" s="3" t="s">
        <v>56</v>
      </c>
      <c r="D2752" s="3" t="s">
        <v>68</v>
      </c>
      <c r="E2752" s="3" t="s">
        <v>100</v>
      </c>
      <c r="F2752" s="3" t="s">
        <v>1563</v>
      </c>
      <c r="G2752" s="7">
        <v>45946.50077292461</v>
      </c>
    </row>
    <row r="2753">
      <c r="A2753" s="3" t="s">
        <v>9172</v>
      </c>
      <c r="B2753" s="3" t="s">
        <v>760</v>
      </c>
      <c r="C2753" s="3" t="s">
        <v>1342</v>
      </c>
      <c r="D2753" s="3" t="s">
        <v>68</v>
      </c>
      <c r="E2753" s="3" t="s">
        <v>100</v>
      </c>
      <c r="F2753" s="3" t="s">
        <v>1503</v>
      </c>
      <c r="G2753" s="7">
        <v>45946.571947770026</v>
      </c>
    </row>
    <row r="2754">
      <c r="A2754" s="3" t="s">
        <v>9176</v>
      </c>
      <c r="B2754" s="3" t="s">
        <v>752</v>
      </c>
      <c r="C2754" s="3" t="s">
        <v>1095</v>
      </c>
      <c r="D2754" s="3" t="s">
        <v>68</v>
      </c>
      <c r="E2754" s="3" t="s">
        <v>100</v>
      </c>
      <c r="F2754" s="3" t="s">
        <v>1254</v>
      </c>
      <c r="G2754" s="7">
        <v>45946.643122615445</v>
      </c>
    </row>
    <row r="2755">
      <c r="A2755" s="3" t="s">
        <v>9179</v>
      </c>
      <c r="B2755" s="3" t="s">
        <v>440</v>
      </c>
      <c r="C2755" s="3" t="s">
        <v>1342</v>
      </c>
      <c r="D2755" s="3" t="s">
        <v>68</v>
      </c>
      <c r="E2755" s="3" t="s">
        <v>100</v>
      </c>
      <c r="F2755" s="3" t="s">
        <v>1264</v>
      </c>
      <c r="G2755" s="7">
        <v>45946.71429746086</v>
      </c>
    </row>
    <row r="2756">
      <c r="A2756" s="3" t="s">
        <v>9181</v>
      </c>
      <c r="B2756" s="3" t="s">
        <v>247</v>
      </c>
      <c r="C2756" s="3" t="s">
        <v>1342</v>
      </c>
      <c r="D2756" s="3" t="s">
        <v>68</v>
      </c>
      <c r="E2756" s="3" t="s">
        <v>100</v>
      </c>
      <c r="F2756" s="3" t="s">
        <v>1539</v>
      </c>
      <c r="G2756" s="7">
        <v>45946.78547230627</v>
      </c>
    </row>
    <row r="2757">
      <c r="A2757" s="3" t="s">
        <v>9183</v>
      </c>
      <c r="B2757" s="3" t="s">
        <v>462</v>
      </c>
      <c r="C2757" s="3" t="s">
        <v>1095</v>
      </c>
      <c r="D2757" s="3" t="s">
        <v>68</v>
      </c>
      <c r="E2757" s="3" t="s">
        <v>100</v>
      </c>
      <c r="F2757" s="3" t="s">
        <v>1548</v>
      </c>
      <c r="G2757" s="7">
        <v>45946.85664715169</v>
      </c>
    </row>
    <row r="2758">
      <c r="A2758" s="3" t="s">
        <v>9185</v>
      </c>
      <c r="B2758" s="3" t="s">
        <v>356</v>
      </c>
      <c r="C2758" s="3" t="s">
        <v>1095</v>
      </c>
      <c r="D2758" s="3" t="s">
        <v>68</v>
      </c>
      <c r="E2758" s="3" t="s">
        <v>100</v>
      </c>
      <c r="F2758" s="3" t="s">
        <v>1609</v>
      </c>
      <c r="G2758" s="7">
        <v>45946.9278219971</v>
      </c>
    </row>
    <row r="2759">
      <c r="A2759" s="3" t="s">
        <v>9187</v>
      </c>
      <c r="B2759" s="3" t="s">
        <v>282</v>
      </c>
      <c r="C2759" s="3" t="s">
        <v>1095</v>
      </c>
      <c r="D2759" s="3" t="s">
        <v>68</v>
      </c>
      <c r="E2759" s="3" t="s">
        <v>100</v>
      </c>
      <c r="F2759" s="3" t="s">
        <v>1369</v>
      </c>
      <c r="G2759" s="7">
        <v>45946.998996842514</v>
      </c>
    </row>
    <row r="2760">
      <c r="A2760" s="3" t="s">
        <v>9190</v>
      </c>
      <c r="B2760" s="3" t="s">
        <v>565</v>
      </c>
      <c r="C2760" s="3" t="s">
        <v>1095</v>
      </c>
      <c r="D2760" s="3" t="s">
        <v>68</v>
      </c>
      <c r="E2760" s="3" t="s">
        <v>100</v>
      </c>
      <c r="F2760" s="3" t="s">
        <v>1322</v>
      </c>
      <c r="G2760" s="7">
        <v>45947.070171687934</v>
      </c>
    </row>
    <row r="2761">
      <c r="A2761" s="3" t="s">
        <v>9193</v>
      </c>
      <c r="B2761" s="3" t="s">
        <v>391</v>
      </c>
      <c r="C2761" s="3" t="s">
        <v>56</v>
      </c>
      <c r="D2761" s="3" t="s">
        <v>68</v>
      </c>
      <c r="E2761" s="3" t="s">
        <v>100</v>
      </c>
      <c r="F2761" s="3" t="s">
        <v>1566</v>
      </c>
      <c r="G2761" s="7">
        <v>45947.141346533346</v>
      </c>
    </row>
    <row r="2762">
      <c r="A2762" s="3" t="s">
        <v>9198</v>
      </c>
      <c r="B2762" s="3" t="s">
        <v>665</v>
      </c>
      <c r="C2762" s="3" t="s">
        <v>56</v>
      </c>
      <c r="D2762" s="3" t="s">
        <v>68</v>
      </c>
      <c r="E2762" s="3" t="s">
        <v>100</v>
      </c>
      <c r="F2762" s="3" t="s">
        <v>1569</v>
      </c>
      <c r="G2762" s="7">
        <v>45947.212521378766</v>
      </c>
    </row>
    <row r="2763">
      <c r="A2763" s="3" t="s">
        <v>9201</v>
      </c>
      <c r="B2763" s="3" t="s">
        <v>356</v>
      </c>
      <c r="C2763" s="3" t="s">
        <v>56</v>
      </c>
      <c r="D2763" s="3" t="s">
        <v>68</v>
      </c>
      <c r="E2763" s="3" t="s">
        <v>100</v>
      </c>
      <c r="F2763" s="3" t="s">
        <v>1570</v>
      </c>
      <c r="G2763" s="7">
        <v>45947.28369622418</v>
      </c>
    </row>
    <row r="2764">
      <c r="A2764" s="3" t="s">
        <v>9204</v>
      </c>
      <c r="B2764" s="3" t="s">
        <v>953</v>
      </c>
      <c r="C2764" s="3" t="s">
        <v>56</v>
      </c>
      <c r="D2764" s="3" t="s">
        <v>68</v>
      </c>
      <c r="E2764" s="3" t="s">
        <v>100</v>
      </c>
      <c r="F2764" s="3" t="s">
        <v>1572</v>
      </c>
      <c r="G2764" s="7">
        <v>45947.3548710696</v>
      </c>
    </row>
    <row r="2765">
      <c r="A2765" s="3" t="s">
        <v>9207</v>
      </c>
      <c r="B2765" s="3" t="s">
        <v>796</v>
      </c>
      <c r="C2765" s="3" t="s">
        <v>1342</v>
      </c>
      <c r="D2765" s="3" t="s">
        <v>68</v>
      </c>
      <c r="E2765" s="3" t="s">
        <v>100</v>
      </c>
      <c r="F2765" s="3" t="s">
        <v>991</v>
      </c>
      <c r="G2765" s="7">
        <v>45947.426045915</v>
      </c>
    </row>
    <row r="2766">
      <c r="A2766" s="3" t="s">
        <v>9210</v>
      </c>
      <c r="B2766" s="3" t="s">
        <v>731</v>
      </c>
      <c r="C2766" s="3" t="s">
        <v>1342</v>
      </c>
      <c r="D2766" s="3" t="s">
        <v>68</v>
      </c>
      <c r="E2766" s="3" t="s">
        <v>100</v>
      </c>
      <c r="F2766" s="3" t="s">
        <v>1514</v>
      </c>
      <c r="G2766" s="7">
        <v>45947.49722076042</v>
      </c>
    </row>
    <row r="2767">
      <c r="A2767" s="3" t="s">
        <v>9215</v>
      </c>
      <c r="B2767" s="3" t="s">
        <v>575</v>
      </c>
      <c r="C2767" s="3" t="s">
        <v>1342</v>
      </c>
      <c r="D2767" s="3" t="s">
        <v>68</v>
      </c>
      <c r="E2767" s="3" t="s">
        <v>100</v>
      </c>
      <c r="F2767" s="3" t="s">
        <v>1119</v>
      </c>
      <c r="G2767" s="7">
        <v>45947.56839560584</v>
      </c>
    </row>
    <row r="2768">
      <c r="A2768" s="3" t="s">
        <v>9218</v>
      </c>
      <c r="B2768" s="3" t="s">
        <v>442</v>
      </c>
      <c r="C2768" s="3" t="s">
        <v>1342</v>
      </c>
      <c r="D2768" s="3" t="s">
        <v>68</v>
      </c>
      <c r="E2768" s="3" t="s">
        <v>100</v>
      </c>
      <c r="F2768" s="3" t="s">
        <v>829</v>
      </c>
      <c r="G2768" s="7">
        <v>45947.639570451254</v>
      </c>
    </row>
    <row r="2769">
      <c r="A2769" s="3" t="s">
        <v>9221</v>
      </c>
      <c r="B2769" s="3" t="s">
        <v>1021</v>
      </c>
      <c r="C2769" s="3" t="s">
        <v>1342</v>
      </c>
      <c r="D2769" s="3" t="s">
        <v>68</v>
      </c>
      <c r="E2769" s="3" t="s">
        <v>100</v>
      </c>
      <c r="F2769" s="3" t="s">
        <v>1524</v>
      </c>
      <c r="G2769" s="7">
        <v>45947.71074529667</v>
      </c>
    </row>
    <row r="2770">
      <c r="A2770" s="3" t="s">
        <v>9223</v>
      </c>
      <c r="B2770" s="3" t="s">
        <v>239</v>
      </c>
      <c r="C2770" s="3" t="s">
        <v>1342</v>
      </c>
      <c r="D2770" s="3" t="s">
        <v>68</v>
      </c>
      <c r="E2770" s="3" t="s">
        <v>100</v>
      </c>
      <c r="F2770" s="3" t="s">
        <v>1182</v>
      </c>
      <c r="G2770" s="7">
        <v>45947.781920142086</v>
      </c>
    </row>
    <row r="2771">
      <c r="A2771" s="3" t="s">
        <v>9226</v>
      </c>
      <c r="B2771" s="3" t="s">
        <v>778</v>
      </c>
      <c r="C2771" s="3" t="s">
        <v>56</v>
      </c>
      <c r="D2771" s="3" t="s">
        <v>68</v>
      </c>
      <c r="E2771" s="3" t="s">
        <v>100</v>
      </c>
      <c r="F2771" s="3" t="s">
        <v>1575</v>
      </c>
      <c r="G2771" s="7">
        <v>45947.8530949875</v>
      </c>
    </row>
    <row r="2772">
      <c r="A2772" s="3" t="s">
        <v>9228</v>
      </c>
      <c r="B2772" s="3" t="s">
        <v>519</v>
      </c>
      <c r="C2772" s="3" t="s">
        <v>1095</v>
      </c>
      <c r="D2772" s="3" t="s">
        <v>68</v>
      </c>
      <c r="E2772" s="3" t="s">
        <v>100</v>
      </c>
      <c r="F2772" s="3" t="s">
        <v>774</v>
      </c>
      <c r="G2772" s="7">
        <v>45947.92426983291</v>
      </c>
    </row>
    <row r="2773">
      <c r="A2773" s="3" t="s">
        <v>9230</v>
      </c>
      <c r="B2773" s="3" t="s">
        <v>510</v>
      </c>
      <c r="C2773" s="3" t="s">
        <v>1095</v>
      </c>
      <c r="D2773" s="3" t="s">
        <v>68</v>
      </c>
      <c r="E2773" s="3" t="s">
        <v>100</v>
      </c>
      <c r="F2773" s="3" t="s">
        <v>1443</v>
      </c>
      <c r="G2773" s="7">
        <v>45947.99544467833</v>
      </c>
    </row>
    <row r="2774">
      <c r="A2774" s="3" t="s">
        <v>9232</v>
      </c>
      <c r="B2774" s="3" t="s">
        <v>496</v>
      </c>
      <c r="C2774" s="3" t="s">
        <v>1095</v>
      </c>
      <c r="D2774" s="3" t="s">
        <v>68</v>
      </c>
      <c r="E2774" s="3" t="s">
        <v>100</v>
      </c>
      <c r="F2774" s="3" t="s">
        <v>1390</v>
      </c>
      <c r="G2774" s="7">
        <v>45948.06661952375</v>
      </c>
    </row>
    <row r="2775">
      <c r="A2775" s="3" t="s">
        <v>9234</v>
      </c>
      <c r="B2775" s="3" t="s">
        <v>961</v>
      </c>
      <c r="C2775" s="3" t="s">
        <v>1095</v>
      </c>
      <c r="D2775" s="3" t="s">
        <v>68</v>
      </c>
      <c r="E2775" s="3" t="s">
        <v>100</v>
      </c>
      <c r="F2775" s="3" t="s">
        <v>1724</v>
      </c>
      <c r="G2775" s="7">
        <v>45948.137794369155</v>
      </c>
    </row>
    <row r="2776">
      <c r="A2776" s="3" t="s">
        <v>9237</v>
      </c>
      <c r="B2776" s="3" t="s">
        <v>650</v>
      </c>
      <c r="C2776" s="3" t="s">
        <v>1342</v>
      </c>
      <c r="D2776" s="3" t="s">
        <v>68</v>
      </c>
      <c r="E2776" s="3" t="s">
        <v>100</v>
      </c>
      <c r="F2776" s="3" t="s">
        <v>1004</v>
      </c>
      <c r="G2776" s="7">
        <v>45948.208969214575</v>
      </c>
    </row>
    <row r="2777">
      <c r="A2777" s="3" t="s">
        <v>9240</v>
      </c>
      <c r="B2777" s="3" t="s">
        <v>713</v>
      </c>
      <c r="C2777" s="3" t="s">
        <v>1342</v>
      </c>
      <c r="D2777" s="3" t="s">
        <v>68</v>
      </c>
      <c r="E2777" s="3" t="s">
        <v>100</v>
      </c>
      <c r="F2777" s="3" t="s">
        <v>1429</v>
      </c>
      <c r="G2777" s="7">
        <v>45948.28014405999</v>
      </c>
    </row>
    <row r="2778">
      <c r="A2778" s="3" t="s">
        <v>9243</v>
      </c>
      <c r="B2778" s="3" t="s">
        <v>756</v>
      </c>
      <c r="C2778" s="3" t="s">
        <v>1342</v>
      </c>
      <c r="D2778" s="3" t="s">
        <v>68</v>
      </c>
      <c r="E2778" s="3" t="s">
        <v>100</v>
      </c>
      <c r="F2778" s="3" t="s">
        <v>2034</v>
      </c>
      <c r="G2778" s="7">
        <v>45948.35131890541</v>
      </c>
    </row>
    <row r="2779">
      <c r="A2779" s="3" t="s">
        <v>9246</v>
      </c>
      <c r="B2779" s="3" t="s">
        <v>215</v>
      </c>
      <c r="C2779" s="3" t="s">
        <v>1095</v>
      </c>
      <c r="D2779" s="3" t="s">
        <v>68</v>
      </c>
      <c r="E2779" s="3" t="s">
        <v>100</v>
      </c>
      <c r="F2779" s="3" t="s">
        <v>1291</v>
      </c>
      <c r="G2779" s="7">
        <v>45948.42249375082</v>
      </c>
    </row>
    <row r="2780">
      <c r="A2780" s="3" t="s">
        <v>9249</v>
      </c>
      <c r="B2780" s="3" t="s">
        <v>250</v>
      </c>
      <c r="C2780" s="3" t="s">
        <v>56</v>
      </c>
      <c r="D2780" s="3" t="s">
        <v>68</v>
      </c>
      <c r="E2780" s="3" t="s">
        <v>100</v>
      </c>
      <c r="F2780" s="3" t="s">
        <v>1576</v>
      </c>
      <c r="G2780" s="7">
        <v>45948.49366859624</v>
      </c>
    </row>
    <row r="2781">
      <c r="A2781" s="3" t="s">
        <v>9252</v>
      </c>
      <c r="B2781" s="3" t="s">
        <v>530</v>
      </c>
      <c r="C2781" s="3" t="s">
        <v>1342</v>
      </c>
      <c r="D2781" s="3" t="s">
        <v>181</v>
      </c>
      <c r="E2781" s="3" t="s">
        <v>45</v>
      </c>
      <c r="F2781" s="3" t="s">
        <v>1557</v>
      </c>
      <c r="G2781" s="7">
        <v>45948.56484344165</v>
      </c>
    </row>
    <row r="2782">
      <c r="A2782" s="3" t="s">
        <v>9255</v>
      </c>
      <c r="B2782" s="3" t="s">
        <v>1021</v>
      </c>
      <c r="C2782" s="3" t="s">
        <v>1095</v>
      </c>
      <c r="D2782" s="3" t="s">
        <v>68</v>
      </c>
      <c r="E2782" s="3" t="s">
        <v>100</v>
      </c>
      <c r="F2782" s="3" t="s">
        <v>1524</v>
      </c>
      <c r="G2782" s="7">
        <v>45948.63601828706</v>
      </c>
    </row>
    <row r="2783">
      <c r="A2783" s="3" t="s">
        <v>9258</v>
      </c>
      <c r="B2783" s="3" t="s">
        <v>186</v>
      </c>
      <c r="C2783" s="3" t="s">
        <v>1342</v>
      </c>
      <c r="D2783" s="3" t="s">
        <v>68</v>
      </c>
      <c r="E2783" s="3" t="s">
        <v>100</v>
      </c>
      <c r="F2783" s="3" t="s">
        <v>1475</v>
      </c>
      <c r="G2783" s="7">
        <v>45948.70719313248</v>
      </c>
    </row>
    <row r="2784">
      <c r="A2784" s="3" t="s">
        <v>9262</v>
      </c>
      <c r="B2784" s="3" t="s">
        <v>760</v>
      </c>
      <c r="C2784" s="3" t="s">
        <v>1095</v>
      </c>
      <c r="D2784" s="3" t="s">
        <v>68</v>
      </c>
      <c r="E2784" s="3" t="s">
        <v>100</v>
      </c>
      <c r="F2784" s="3" t="s">
        <v>1503</v>
      </c>
      <c r="G2784" s="7">
        <v>45948.778367977895</v>
      </c>
    </row>
    <row r="2785">
      <c r="A2785" s="3" t="s">
        <v>9266</v>
      </c>
      <c r="B2785" s="3" t="s">
        <v>669</v>
      </c>
      <c r="C2785" s="3" t="s">
        <v>1342</v>
      </c>
      <c r="D2785" s="3" t="s">
        <v>68</v>
      </c>
      <c r="E2785" s="3" t="s">
        <v>100</v>
      </c>
      <c r="F2785" s="3" t="s">
        <v>815</v>
      </c>
      <c r="G2785" s="7">
        <v>45948.84954282331</v>
      </c>
    </row>
    <row r="2786">
      <c r="A2786" s="3" t="s">
        <v>9269</v>
      </c>
      <c r="B2786" s="3" t="s">
        <v>141</v>
      </c>
      <c r="C2786" s="3" t="s">
        <v>56</v>
      </c>
      <c r="D2786" s="3" t="s">
        <v>68</v>
      </c>
      <c r="E2786" s="3" t="s">
        <v>100</v>
      </c>
      <c r="F2786" s="3" t="s">
        <v>1579</v>
      </c>
      <c r="G2786" s="7">
        <v>45948.92071766873</v>
      </c>
    </row>
    <row r="2787">
      <c r="A2787" s="3" t="s">
        <v>9273</v>
      </c>
      <c r="B2787" s="3" t="s">
        <v>202</v>
      </c>
      <c r="C2787" s="3" t="s">
        <v>1095</v>
      </c>
      <c r="D2787" s="3" t="s">
        <v>68</v>
      </c>
      <c r="E2787" s="3" t="s">
        <v>100</v>
      </c>
      <c r="F2787" s="3" t="s">
        <v>1462</v>
      </c>
      <c r="G2787" s="7">
        <v>45948.99189251414</v>
      </c>
    </row>
    <row r="2788">
      <c r="A2788" s="3" t="s">
        <v>9277</v>
      </c>
      <c r="B2788" s="3" t="s">
        <v>363</v>
      </c>
      <c r="C2788" s="3" t="s">
        <v>1095</v>
      </c>
      <c r="D2788" s="3" t="s">
        <v>68</v>
      </c>
      <c r="E2788" s="3" t="s">
        <v>100</v>
      </c>
      <c r="F2788" s="3" t="s">
        <v>1498</v>
      </c>
      <c r="G2788" s="7">
        <v>45949.06306735955</v>
      </c>
    </row>
    <row r="2789">
      <c r="A2789" s="3" t="s">
        <v>9280</v>
      </c>
      <c r="B2789" s="3" t="s">
        <v>937</v>
      </c>
      <c r="C2789" s="3" t="s">
        <v>1342</v>
      </c>
      <c r="D2789" s="3" t="s">
        <v>68</v>
      </c>
      <c r="E2789" s="3" t="s">
        <v>100</v>
      </c>
      <c r="F2789" s="3" t="s">
        <v>1214</v>
      </c>
      <c r="G2789" s="7">
        <v>45949.13424220497</v>
      </c>
    </row>
    <row r="2790">
      <c r="A2790" s="3" t="s">
        <v>9283</v>
      </c>
      <c r="B2790" s="3" t="s">
        <v>581</v>
      </c>
      <c r="C2790" s="3" t="s">
        <v>56</v>
      </c>
      <c r="D2790" s="3" t="s">
        <v>68</v>
      </c>
      <c r="E2790" s="3" t="s">
        <v>100</v>
      </c>
      <c r="F2790" s="3" t="s">
        <v>1581</v>
      </c>
      <c r="G2790" s="7">
        <v>45949.20541705039</v>
      </c>
    </row>
    <row r="2791">
      <c r="A2791" s="3" t="s">
        <v>9285</v>
      </c>
      <c r="B2791" s="3" t="s">
        <v>313</v>
      </c>
      <c r="C2791" s="3" t="s">
        <v>1342</v>
      </c>
      <c r="D2791" s="3" t="s">
        <v>68</v>
      </c>
      <c r="E2791" s="3" t="s">
        <v>100</v>
      </c>
      <c r="F2791" s="3" t="s">
        <v>1480</v>
      </c>
      <c r="G2791" s="7">
        <v>45949.276591895796</v>
      </c>
    </row>
    <row r="2792">
      <c r="A2792" s="3" t="s">
        <v>9287</v>
      </c>
      <c r="B2792" s="3" t="s">
        <v>725</v>
      </c>
      <c r="C2792" s="3" t="s">
        <v>1342</v>
      </c>
      <c r="D2792" s="3" t="s">
        <v>68</v>
      </c>
      <c r="E2792" s="3" t="s">
        <v>100</v>
      </c>
      <c r="F2792" s="3" t="s">
        <v>1636</v>
      </c>
      <c r="G2792" s="7">
        <v>45949.347766741215</v>
      </c>
    </row>
    <row r="2793">
      <c r="A2793" s="3" t="s">
        <v>9290</v>
      </c>
      <c r="B2793" s="3" t="s">
        <v>211</v>
      </c>
      <c r="C2793" s="3" t="s">
        <v>1095</v>
      </c>
      <c r="D2793" s="3" t="s">
        <v>68</v>
      </c>
      <c r="E2793" s="3" t="s">
        <v>100</v>
      </c>
      <c r="F2793" s="3" t="s">
        <v>1083</v>
      </c>
      <c r="G2793" s="7">
        <v>45949.418941586635</v>
      </c>
    </row>
    <row r="2794">
      <c r="A2794" s="3" t="s">
        <v>9292</v>
      </c>
      <c r="B2794" s="3" t="s">
        <v>870</v>
      </c>
      <c r="C2794" s="3" t="s">
        <v>56</v>
      </c>
      <c r="D2794" s="3" t="s">
        <v>68</v>
      </c>
      <c r="E2794" s="3" t="s">
        <v>100</v>
      </c>
      <c r="F2794" s="3" t="s">
        <v>1586</v>
      </c>
      <c r="G2794" s="7">
        <v>45949.49011643205</v>
      </c>
    </row>
    <row r="2795">
      <c r="A2795" s="3" t="s">
        <v>9295</v>
      </c>
      <c r="B2795" s="3" t="s">
        <v>727</v>
      </c>
      <c r="C2795" s="3" t="s">
        <v>56</v>
      </c>
      <c r="D2795" s="3" t="s">
        <v>68</v>
      </c>
      <c r="E2795" s="3" t="s">
        <v>100</v>
      </c>
      <c r="F2795" s="3" t="s">
        <v>1587</v>
      </c>
      <c r="G2795" s="7">
        <v>45949.56129127746</v>
      </c>
    </row>
    <row r="2796">
      <c r="A2796" s="3" t="s">
        <v>9297</v>
      </c>
      <c r="B2796" s="3" t="s">
        <v>853</v>
      </c>
      <c r="C2796" s="3" t="s">
        <v>1342</v>
      </c>
      <c r="D2796" s="3" t="s">
        <v>68</v>
      </c>
      <c r="E2796" s="3" t="s">
        <v>100</v>
      </c>
      <c r="F2796" s="3" t="s">
        <v>1358</v>
      </c>
      <c r="G2796" s="7">
        <v>45949.63246612288</v>
      </c>
    </row>
    <row r="2797">
      <c r="A2797" s="3" t="s">
        <v>9299</v>
      </c>
      <c r="B2797" s="3" t="s">
        <v>632</v>
      </c>
      <c r="C2797" s="3" t="s">
        <v>1342</v>
      </c>
      <c r="D2797" s="3" t="s">
        <v>68</v>
      </c>
      <c r="E2797" s="3" t="s">
        <v>100</v>
      </c>
      <c r="F2797" s="3" t="s">
        <v>1485</v>
      </c>
      <c r="G2797" s="7">
        <v>45949.70364096829</v>
      </c>
    </row>
    <row r="2798">
      <c r="A2798" s="3" t="s">
        <v>9301</v>
      </c>
      <c r="B2798" s="3" t="s">
        <v>282</v>
      </c>
      <c r="C2798" s="3" t="s">
        <v>56</v>
      </c>
      <c r="D2798" s="3" t="s">
        <v>68</v>
      </c>
      <c r="E2798" s="3" t="s">
        <v>100</v>
      </c>
      <c r="F2798" s="3" t="s">
        <v>1589</v>
      </c>
      <c r="G2798" s="7">
        <v>45949.774815813704</v>
      </c>
    </row>
    <row r="2799">
      <c r="A2799" s="3" t="s">
        <v>9303</v>
      </c>
      <c r="B2799" s="3" t="s">
        <v>972</v>
      </c>
      <c r="C2799" s="3" t="s">
        <v>1342</v>
      </c>
      <c r="D2799" s="3" t="s">
        <v>68</v>
      </c>
      <c r="E2799" s="3" t="s">
        <v>100</v>
      </c>
      <c r="F2799" s="3" t="s">
        <v>1366</v>
      </c>
      <c r="G2799" s="7">
        <v>45949.84599065912</v>
      </c>
    </row>
    <row r="2800">
      <c r="A2800" s="3" t="s">
        <v>9306</v>
      </c>
      <c r="B2800" s="3" t="s">
        <v>619</v>
      </c>
      <c r="C2800" s="3" t="s">
        <v>1342</v>
      </c>
      <c r="D2800" s="3" t="s">
        <v>195</v>
      </c>
      <c r="E2800" s="3" t="s">
        <v>45</v>
      </c>
      <c r="F2800" s="3" t="s">
        <v>1506</v>
      </c>
      <c r="G2800" s="7">
        <v>45949.917165504536</v>
      </c>
    </row>
    <row r="2801">
      <c r="A2801" s="3" t="s">
        <v>9309</v>
      </c>
      <c r="B2801" s="3" t="s">
        <v>579</v>
      </c>
      <c r="C2801" s="3" t="s">
        <v>1342</v>
      </c>
      <c r="D2801" s="3" t="s">
        <v>68</v>
      </c>
      <c r="E2801" s="3" t="s">
        <v>100</v>
      </c>
      <c r="F2801" s="3" t="s">
        <v>1538</v>
      </c>
      <c r="G2801" s="7">
        <v>45949.98834034995</v>
      </c>
    </row>
    <row r="2802">
      <c r="A2802" s="3" t="s">
        <v>9313</v>
      </c>
      <c r="B2802" s="3" t="s">
        <v>1043</v>
      </c>
      <c r="C2802" s="3" t="s">
        <v>1342</v>
      </c>
      <c r="D2802" s="3" t="s">
        <v>68</v>
      </c>
      <c r="E2802" s="3" t="s">
        <v>100</v>
      </c>
      <c r="F2802" s="3" t="s">
        <v>769</v>
      </c>
      <c r="G2802" s="7">
        <v>45950.05951519537</v>
      </c>
    </row>
    <row r="2803">
      <c r="A2803" s="3" t="s">
        <v>9316</v>
      </c>
      <c r="B2803" s="3" t="s">
        <v>193</v>
      </c>
      <c r="C2803" s="3" t="s">
        <v>1342</v>
      </c>
      <c r="D2803" s="3" t="s">
        <v>68</v>
      </c>
      <c r="E2803" s="3" t="s">
        <v>100</v>
      </c>
      <c r="F2803" s="3" t="s">
        <v>1416</v>
      </c>
      <c r="G2803" s="7">
        <v>45950.13069004078</v>
      </c>
    </row>
    <row r="2804">
      <c r="A2804" s="3" t="s">
        <v>9318</v>
      </c>
      <c r="B2804" s="3" t="s">
        <v>215</v>
      </c>
      <c r="C2804" s="3" t="s">
        <v>56</v>
      </c>
      <c r="D2804" s="3" t="s">
        <v>68</v>
      </c>
      <c r="E2804" s="3" t="s">
        <v>100</v>
      </c>
      <c r="F2804" s="3" t="s">
        <v>1591</v>
      </c>
      <c r="G2804" s="7">
        <v>45950.2018648862</v>
      </c>
    </row>
    <row r="2805">
      <c r="A2805" s="3" t="s">
        <v>9320</v>
      </c>
      <c r="B2805" s="3" t="s">
        <v>493</v>
      </c>
      <c r="C2805" s="3" t="s">
        <v>56</v>
      </c>
      <c r="D2805" s="3" t="s">
        <v>68</v>
      </c>
      <c r="E2805" s="3" t="s">
        <v>100</v>
      </c>
      <c r="F2805" s="3" t="s">
        <v>1593</v>
      </c>
      <c r="G2805" s="7">
        <v>45950.27303973161</v>
      </c>
    </row>
    <row r="2806">
      <c r="A2806" s="3" t="s">
        <v>9322</v>
      </c>
      <c r="B2806" s="3" t="s">
        <v>179</v>
      </c>
      <c r="C2806" s="3" t="s">
        <v>1342</v>
      </c>
      <c r="D2806" s="3" t="s">
        <v>68</v>
      </c>
      <c r="E2806" s="3" t="s">
        <v>100</v>
      </c>
      <c r="F2806" s="3" t="s">
        <v>1558</v>
      </c>
      <c r="G2806" s="7">
        <v>45950.34421457703</v>
      </c>
    </row>
    <row r="2807">
      <c r="A2807" s="3" t="s">
        <v>9324</v>
      </c>
      <c r="B2807" s="3" t="s">
        <v>219</v>
      </c>
      <c r="C2807" s="3" t="s">
        <v>1095</v>
      </c>
      <c r="D2807" s="3" t="s">
        <v>68</v>
      </c>
      <c r="E2807" s="3" t="s">
        <v>100</v>
      </c>
      <c r="F2807" s="3" t="s">
        <v>728</v>
      </c>
      <c r="G2807" s="7">
        <v>45950.41538942244</v>
      </c>
    </row>
    <row r="2808">
      <c r="A2808" s="3" t="s">
        <v>9327</v>
      </c>
      <c r="B2808" s="3" t="s">
        <v>348</v>
      </c>
      <c r="C2808" s="3" t="s">
        <v>1342</v>
      </c>
      <c r="D2808" s="3" t="s">
        <v>68</v>
      </c>
      <c r="E2808" s="3" t="s">
        <v>100</v>
      </c>
      <c r="F2808" s="3" t="s">
        <v>2028</v>
      </c>
      <c r="G2808" s="7">
        <v>45950.486564267856</v>
      </c>
    </row>
    <row r="2809">
      <c r="A2809" s="3" t="s">
        <v>9329</v>
      </c>
      <c r="B2809" s="3" t="s">
        <v>400</v>
      </c>
      <c r="C2809" s="3" t="s">
        <v>1342</v>
      </c>
      <c r="D2809" s="3" t="s">
        <v>68</v>
      </c>
      <c r="E2809" s="3" t="s">
        <v>100</v>
      </c>
      <c r="F2809" s="3" t="s">
        <v>1286</v>
      </c>
      <c r="G2809" s="7">
        <v>45950.557739113276</v>
      </c>
    </row>
    <row r="2810">
      <c r="A2810" s="3" t="s">
        <v>9331</v>
      </c>
      <c r="B2810" s="3" t="s">
        <v>1011</v>
      </c>
      <c r="C2810" s="3" t="s">
        <v>1095</v>
      </c>
      <c r="D2810" s="3" t="s">
        <v>68</v>
      </c>
      <c r="E2810" s="3" t="s">
        <v>100</v>
      </c>
      <c r="F2810" s="3" t="s">
        <v>1526</v>
      </c>
      <c r="G2810" s="7">
        <v>45950.62891395869</v>
      </c>
    </row>
    <row r="2811">
      <c r="A2811" s="3" t="s">
        <v>9334</v>
      </c>
      <c r="B2811" s="3" t="s">
        <v>282</v>
      </c>
      <c r="C2811" s="3" t="s">
        <v>1095</v>
      </c>
      <c r="D2811" s="3" t="s">
        <v>68</v>
      </c>
      <c r="E2811" s="3" t="s">
        <v>100</v>
      </c>
      <c r="F2811" s="3" t="s">
        <v>1589</v>
      </c>
      <c r="G2811" s="7">
        <v>45950.7000888041</v>
      </c>
    </row>
    <row r="2812">
      <c r="A2812" s="3" t="s">
        <v>9338</v>
      </c>
      <c r="B2812" s="3" t="s">
        <v>725</v>
      </c>
      <c r="C2812" s="3" t="s">
        <v>1342</v>
      </c>
      <c r="D2812" s="3" t="s">
        <v>68</v>
      </c>
      <c r="E2812" s="3" t="s">
        <v>100</v>
      </c>
      <c r="F2812" s="3" t="s">
        <v>1636</v>
      </c>
      <c r="G2812" s="7">
        <v>45950.77126364952</v>
      </c>
    </row>
    <row r="2813">
      <c r="A2813" s="3" t="s">
        <v>9341</v>
      </c>
      <c r="B2813" s="3" t="s">
        <v>224</v>
      </c>
      <c r="C2813" s="3" t="s">
        <v>1095</v>
      </c>
      <c r="D2813" s="3" t="s">
        <v>68</v>
      </c>
      <c r="E2813" s="3" t="s">
        <v>100</v>
      </c>
      <c r="F2813" s="3" t="s">
        <v>1543</v>
      </c>
      <c r="G2813" s="7">
        <v>45950.84243849493</v>
      </c>
    </row>
    <row r="2814">
      <c r="A2814" s="3" t="s">
        <v>9345</v>
      </c>
      <c r="B2814" s="3" t="s">
        <v>406</v>
      </c>
      <c r="C2814" s="3" t="s">
        <v>1342</v>
      </c>
      <c r="D2814" s="3" t="s">
        <v>68</v>
      </c>
      <c r="E2814" s="3" t="s">
        <v>100</v>
      </c>
      <c r="F2814" s="3" t="s">
        <v>1327</v>
      </c>
      <c r="G2814" s="7">
        <v>45950.913613340344</v>
      </c>
    </row>
    <row r="2815">
      <c r="A2815" s="3" t="s">
        <v>9348</v>
      </c>
      <c r="B2815" s="3" t="s">
        <v>1040</v>
      </c>
      <c r="C2815" s="3" t="s">
        <v>1095</v>
      </c>
      <c r="D2815" s="3" t="s">
        <v>68</v>
      </c>
      <c r="E2815" s="3" t="s">
        <v>100</v>
      </c>
      <c r="F2815" s="3" t="s">
        <v>1201</v>
      </c>
      <c r="G2815" s="7">
        <v>45950.984788185764</v>
      </c>
    </row>
    <row r="2816">
      <c r="A2816" s="3" t="s">
        <v>9351</v>
      </c>
      <c r="B2816" s="3" t="s">
        <v>336</v>
      </c>
      <c r="C2816" s="3" t="s">
        <v>56</v>
      </c>
      <c r="D2816" s="3" t="s">
        <v>68</v>
      </c>
      <c r="E2816" s="3" t="s">
        <v>100</v>
      </c>
      <c r="F2816" s="3" t="s">
        <v>1595</v>
      </c>
      <c r="G2816" s="7">
        <v>45951.05596303118</v>
      </c>
    </row>
    <row r="2817">
      <c r="A2817" s="3" t="s">
        <v>9354</v>
      </c>
      <c r="B2817" s="3" t="s">
        <v>947</v>
      </c>
      <c r="C2817" s="3" t="s">
        <v>1342</v>
      </c>
      <c r="D2817" s="3" t="s">
        <v>68</v>
      </c>
      <c r="E2817" s="3" t="s">
        <v>100</v>
      </c>
      <c r="F2817" s="3" t="s">
        <v>1855</v>
      </c>
      <c r="G2817" s="7">
        <v>45951.12713787659</v>
      </c>
    </row>
    <row r="2818">
      <c r="A2818" s="3" t="s">
        <v>9357</v>
      </c>
      <c r="B2818" s="3" t="s">
        <v>233</v>
      </c>
      <c r="C2818" s="3" t="s">
        <v>1095</v>
      </c>
      <c r="D2818" s="3" t="s">
        <v>68</v>
      </c>
      <c r="E2818" s="3" t="s">
        <v>100</v>
      </c>
      <c r="F2818" s="3" t="s">
        <v>1113</v>
      </c>
      <c r="G2818" s="7">
        <v>45951.19831272201</v>
      </c>
    </row>
    <row r="2819">
      <c r="A2819" s="3" t="s">
        <v>9360</v>
      </c>
      <c r="B2819" s="3" t="s">
        <v>189</v>
      </c>
      <c r="C2819" s="3" t="s">
        <v>1342</v>
      </c>
      <c r="D2819" s="3" t="s">
        <v>68</v>
      </c>
      <c r="E2819" s="3" t="s">
        <v>100</v>
      </c>
      <c r="F2819" s="3" t="s">
        <v>1380</v>
      </c>
      <c r="G2819" s="7">
        <v>45951.26948756742</v>
      </c>
    </row>
    <row r="2820">
      <c r="A2820" s="3" t="s">
        <v>9364</v>
      </c>
      <c r="B2820" s="3" t="s">
        <v>524</v>
      </c>
      <c r="C2820" s="3" t="s">
        <v>1095</v>
      </c>
      <c r="D2820" s="3" t="s">
        <v>68</v>
      </c>
      <c r="E2820" s="3" t="s">
        <v>100</v>
      </c>
      <c r="F2820" s="3" t="s">
        <v>1151</v>
      </c>
      <c r="G2820" s="7">
        <v>45951.34066241284</v>
      </c>
    </row>
    <row r="2821">
      <c r="A2821" s="3" t="s">
        <v>9367</v>
      </c>
      <c r="B2821" s="3" t="s">
        <v>333</v>
      </c>
      <c r="C2821" s="3" t="s">
        <v>1095</v>
      </c>
      <c r="D2821" s="3" t="s">
        <v>68</v>
      </c>
      <c r="E2821" s="3" t="s">
        <v>100</v>
      </c>
      <c r="F2821" s="3" t="s">
        <v>1413</v>
      </c>
      <c r="G2821" s="7">
        <v>45951.41183725825</v>
      </c>
    </row>
    <row r="2822">
      <c r="A2822" s="3" t="s">
        <v>9371</v>
      </c>
      <c r="B2822" s="3" t="s">
        <v>219</v>
      </c>
      <c r="C2822" s="3" t="s">
        <v>56</v>
      </c>
      <c r="D2822" s="3" t="s">
        <v>68</v>
      </c>
      <c r="E2822" s="3" t="s">
        <v>100</v>
      </c>
      <c r="F2822" s="3" t="s">
        <v>1597</v>
      </c>
      <c r="G2822" s="7">
        <v>45951.48301210367</v>
      </c>
    </row>
    <row r="2823">
      <c r="A2823" s="3" t="s">
        <v>9374</v>
      </c>
      <c r="B2823" s="3" t="s">
        <v>230</v>
      </c>
      <c r="C2823" s="3" t="s">
        <v>1095</v>
      </c>
      <c r="D2823" s="3" t="s">
        <v>68</v>
      </c>
      <c r="E2823" s="3" t="s">
        <v>100</v>
      </c>
      <c r="F2823" s="3" t="s">
        <v>1458</v>
      </c>
      <c r="G2823" s="7">
        <v>45951.55418694908</v>
      </c>
    </row>
    <row r="2824">
      <c r="A2824" s="3" t="s">
        <v>9377</v>
      </c>
      <c r="B2824" s="3" t="s">
        <v>629</v>
      </c>
      <c r="C2824" s="3" t="s">
        <v>56</v>
      </c>
      <c r="D2824" s="3" t="s">
        <v>68</v>
      </c>
      <c r="E2824" s="3" t="s">
        <v>100</v>
      </c>
      <c r="F2824" s="3" t="s">
        <v>1598</v>
      </c>
      <c r="G2824" s="7">
        <v>45951.6253617945</v>
      </c>
    </row>
    <row r="2825">
      <c r="A2825" s="3" t="s">
        <v>9382</v>
      </c>
      <c r="B2825" s="3" t="s">
        <v>561</v>
      </c>
      <c r="C2825" s="3" t="s">
        <v>56</v>
      </c>
      <c r="D2825" s="3" t="s">
        <v>68</v>
      </c>
      <c r="E2825" s="3" t="s">
        <v>100</v>
      </c>
      <c r="F2825" s="3" t="s">
        <v>1601</v>
      </c>
      <c r="G2825" s="7">
        <v>45951.696536639916</v>
      </c>
    </row>
    <row r="2826">
      <c r="A2826" s="3" t="s">
        <v>9385</v>
      </c>
      <c r="B2826" s="3" t="s">
        <v>1030</v>
      </c>
      <c r="C2826" s="3" t="s">
        <v>1342</v>
      </c>
      <c r="D2826" s="3" t="s">
        <v>68</v>
      </c>
      <c r="E2826" s="3" t="s">
        <v>100</v>
      </c>
      <c r="F2826" s="3" t="s">
        <v>1218</v>
      </c>
      <c r="G2826" s="7">
        <v>45951.76771148533</v>
      </c>
    </row>
    <row r="2827">
      <c r="A2827" s="3" t="s">
        <v>9388</v>
      </c>
      <c r="B2827" s="3" t="s">
        <v>352</v>
      </c>
      <c r="C2827" s="3" t="s">
        <v>56</v>
      </c>
      <c r="D2827" s="3" t="s">
        <v>68</v>
      </c>
      <c r="E2827" s="3" t="s">
        <v>100</v>
      </c>
      <c r="F2827" s="3" t="s">
        <v>1602</v>
      </c>
      <c r="G2827" s="7">
        <v>45951.83888633074</v>
      </c>
    </row>
    <row r="2828">
      <c r="A2828" s="3" t="s">
        <v>9390</v>
      </c>
      <c r="B2828" s="3" t="s">
        <v>151</v>
      </c>
      <c r="C2828" s="3" t="s">
        <v>56</v>
      </c>
      <c r="D2828" s="3" t="s">
        <v>68</v>
      </c>
      <c r="E2828" s="3" t="s">
        <v>100</v>
      </c>
      <c r="F2828" s="3" t="s">
        <v>1605</v>
      </c>
      <c r="G2828" s="7">
        <v>45951.91006117616</v>
      </c>
    </row>
    <row r="2829">
      <c r="A2829" s="3" t="s">
        <v>9392</v>
      </c>
      <c r="B2829" s="3" t="s">
        <v>233</v>
      </c>
      <c r="C2829" s="3" t="s">
        <v>56</v>
      </c>
      <c r="D2829" s="3" t="s">
        <v>68</v>
      </c>
      <c r="E2829" s="3" t="s">
        <v>100</v>
      </c>
      <c r="F2829" s="3" t="s">
        <v>1606</v>
      </c>
      <c r="G2829" s="7">
        <v>45951.98123602157</v>
      </c>
    </row>
    <row r="2830">
      <c r="A2830" s="3" t="s">
        <v>9394</v>
      </c>
      <c r="B2830" s="3" t="s">
        <v>830</v>
      </c>
      <c r="C2830" s="3" t="s">
        <v>1095</v>
      </c>
      <c r="D2830" s="3" t="s">
        <v>181</v>
      </c>
      <c r="E2830" s="3" t="s">
        <v>45</v>
      </c>
      <c r="F2830" s="3" t="s">
        <v>1553</v>
      </c>
      <c r="G2830" s="7">
        <v>45952.052410866985</v>
      </c>
    </row>
    <row r="2831">
      <c r="A2831" s="3" t="s">
        <v>9396</v>
      </c>
      <c r="B2831" s="3" t="s">
        <v>126</v>
      </c>
      <c r="C2831" s="3" t="s">
        <v>1095</v>
      </c>
      <c r="D2831" s="3" t="s">
        <v>68</v>
      </c>
      <c r="E2831" s="3" t="s">
        <v>100</v>
      </c>
      <c r="F2831" s="3" t="s">
        <v>1509</v>
      </c>
      <c r="G2831" s="7">
        <v>45952.123585712405</v>
      </c>
    </row>
    <row r="2832">
      <c r="A2832" s="3" t="s">
        <v>9400</v>
      </c>
      <c r="B2832" s="3" t="s">
        <v>313</v>
      </c>
      <c r="C2832" s="3" t="s">
        <v>1342</v>
      </c>
      <c r="D2832" s="3" t="s">
        <v>68</v>
      </c>
      <c r="E2832" s="3" t="s">
        <v>100</v>
      </c>
      <c r="F2832" s="3" t="s">
        <v>1480</v>
      </c>
      <c r="G2832" s="7">
        <v>45952.194760557824</v>
      </c>
    </row>
    <row r="2833">
      <c r="A2833" s="3" t="s">
        <v>9404</v>
      </c>
      <c r="B2833" s="3" t="s">
        <v>455</v>
      </c>
      <c r="C2833" s="3" t="s">
        <v>1095</v>
      </c>
      <c r="D2833" s="3" t="s">
        <v>68</v>
      </c>
      <c r="E2833" s="3" t="s">
        <v>100</v>
      </c>
      <c r="F2833" s="3" t="s">
        <v>1564</v>
      </c>
      <c r="G2833" s="7">
        <v>45952.26593540323</v>
      </c>
    </row>
    <row r="2834">
      <c r="A2834" s="3" t="s">
        <v>9407</v>
      </c>
      <c r="B2834" s="3" t="s">
        <v>822</v>
      </c>
      <c r="C2834" s="3" t="s">
        <v>56</v>
      </c>
      <c r="D2834" s="3" t="s">
        <v>68</v>
      </c>
      <c r="E2834" s="3" t="s">
        <v>100</v>
      </c>
      <c r="F2834" s="3" t="s">
        <v>1609</v>
      </c>
      <c r="G2834" s="7">
        <v>45952.33711024865</v>
      </c>
    </row>
    <row r="2835">
      <c r="A2835" s="3" t="s">
        <v>9410</v>
      </c>
      <c r="B2835" s="3" t="s">
        <v>388</v>
      </c>
      <c r="C2835" s="3" t="s">
        <v>1342</v>
      </c>
      <c r="D2835" s="3" t="s">
        <v>195</v>
      </c>
      <c r="E2835" s="3" t="s">
        <v>45</v>
      </c>
      <c r="F2835" s="3" t="s">
        <v>495</v>
      </c>
      <c r="G2835" s="7">
        <v>45952.40828509407</v>
      </c>
    </row>
    <row r="2836">
      <c r="A2836" s="3" t="s">
        <v>9413</v>
      </c>
      <c r="B2836" s="3" t="s">
        <v>990</v>
      </c>
      <c r="C2836" s="3" t="s">
        <v>1342</v>
      </c>
      <c r="D2836" s="3" t="s">
        <v>68</v>
      </c>
      <c r="E2836" s="3" t="s">
        <v>100</v>
      </c>
      <c r="F2836" s="3" t="s">
        <v>1206</v>
      </c>
      <c r="G2836" s="7">
        <v>45952.47945993948</v>
      </c>
    </row>
    <row r="2837">
      <c r="A2837" s="3" t="s">
        <v>9416</v>
      </c>
      <c r="B2837" s="3" t="s">
        <v>763</v>
      </c>
      <c r="C2837" s="3" t="s">
        <v>56</v>
      </c>
      <c r="D2837" s="3" t="s">
        <v>68</v>
      </c>
      <c r="E2837" s="3" t="s">
        <v>100</v>
      </c>
      <c r="F2837" s="3" t="s">
        <v>1611</v>
      </c>
      <c r="G2837" s="7">
        <v>45952.55063478489</v>
      </c>
    </row>
    <row r="2838">
      <c r="A2838" s="3" t="s">
        <v>9421</v>
      </c>
      <c r="B2838" s="3" t="s">
        <v>479</v>
      </c>
      <c r="C2838" s="3" t="s">
        <v>1342</v>
      </c>
      <c r="D2838" s="3" t="s">
        <v>68</v>
      </c>
      <c r="E2838" s="3" t="s">
        <v>100</v>
      </c>
      <c r="F2838" s="3" t="s">
        <v>1941</v>
      </c>
      <c r="G2838" s="7">
        <v>45952.62180963031</v>
      </c>
    </row>
    <row r="2839">
      <c r="A2839" s="3" t="s">
        <v>9424</v>
      </c>
      <c r="B2839" s="3" t="s">
        <v>593</v>
      </c>
      <c r="C2839" s="3" t="s">
        <v>1342</v>
      </c>
      <c r="D2839" s="3" t="s">
        <v>181</v>
      </c>
      <c r="E2839" s="3" t="s">
        <v>45</v>
      </c>
      <c r="F2839" s="3" t="s">
        <v>1281</v>
      </c>
      <c r="G2839" s="7">
        <v>45952.692984475725</v>
      </c>
    </row>
    <row r="2840">
      <c r="A2840" s="3" t="s">
        <v>9426</v>
      </c>
      <c r="B2840" s="3" t="s">
        <v>211</v>
      </c>
      <c r="C2840" s="3" t="s">
        <v>56</v>
      </c>
      <c r="D2840" s="3" t="s">
        <v>68</v>
      </c>
      <c r="E2840" s="3" t="s">
        <v>100</v>
      </c>
      <c r="F2840" s="3" t="s">
        <v>1614</v>
      </c>
      <c r="G2840" s="7">
        <v>45952.76415932114</v>
      </c>
    </row>
    <row r="2841">
      <c r="A2841" s="3" t="s">
        <v>9429</v>
      </c>
      <c r="B2841" s="3" t="s">
        <v>609</v>
      </c>
      <c r="C2841" s="3" t="s">
        <v>1342</v>
      </c>
      <c r="D2841" s="3" t="s">
        <v>68</v>
      </c>
      <c r="E2841" s="3" t="s">
        <v>100</v>
      </c>
      <c r="F2841" s="3" t="s">
        <v>996</v>
      </c>
      <c r="G2841" s="7">
        <v>45952.83533416656</v>
      </c>
    </row>
    <row r="2842">
      <c r="A2842" s="3" t="s">
        <v>9433</v>
      </c>
      <c r="B2842" s="3" t="s">
        <v>587</v>
      </c>
      <c r="C2842" s="3" t="s">
        <v>1342</v>
      </c>
      <c r="D2842" s="3" t="s">
        <v>68</v>
      </c>
      <c r="E2842" s="3" t="s">
        <v>100</v>
      </c>
      <c r="F2842" s="3" t="s">
        <v>1048</v>
      </c>
      <c r="G2842" s="7">
        <v>45952.90650901197</v>
      </c>
    </row>
    <row r="2843">
      <c r="A2843" s="3" t="s">
        <v>9436</v>
      </c>
      <c r="B2843" s="3" t="s">
        <v>326</v>
      </c>
      <c r="C2843" s="3" t="s">
        <v>1342</v>
      </c>
      <c r="D2843" s="3" t="s">
        <v>68</v>
      </c>
      <c r="E2843" s="3" t="s">
        <v>100</v>
      </c>
      <c r="F2843" s="3" t="s">
        <v>1560</v>
      </c>
      <c r="G2843" s="7">
        <v>45952.97768385738</v>
      </c>
    </row>
    <row r="2844">
      <c r="A2844" s="3" t="s">
        <v>9439</v>
      </c>
      <c r="B2844" s="3" t="s">
        <v>725</v>
      </c>
      <c r="C2844" s="3" t="s">
        <v>1342</v>
      </c>
      <c r="D2844" s="3" t="s">
        <v>68</v>
      </c>
      <c r="E2844" s="3" t="s">
        <v>100</v>
      </c>
      <c r="F2844" s="3" t="s">
        <v>1636</v>
      </c>
      <c r="G2844" s="7">
        <v>45953.0488587028</v>
      </c>
    </row>
    <row r="2845">
      <c r="A2845" s="3" t="s">
        <v>9443</v>
      </c>
      <c r="B2845" s="3" t="s">
        <v>468</v>
      </c>
      <c r="C2845" s="3" t="s">
        <v>56</v>
      </c>
      <c r="D2845" s="3" t="s">
        <v>68</v>
      </c>
      <c r="E2845" s="3" t="s">
        <v>100</v>
      </c>
      <c r="F2845" s="3" t="s">
        <v>1617</v>
      </c>
      <c r="G2845" s="7">
        <v>45953.12003354821</v>
      </c>
    </row>
    <row r="2846">
      <c r="A2846" s="3" t="s">
        <v>9447</v>
      </c>
      <c r="B2846" s="3" t="s">
        <v>822</v>
      </c>
      <c r="C2846" s="3" t="s">
        <v>1095</v>
      </c>
      <c r="D2846" s="3" t="s">
        <v>68</v>
      </c>
      <c r="E2846" s="3" t="s">
        <v>100</v>
      </c>
      <c r="F2846" s="3" t="s">
        <v>1609</v>
      </c>
      <c r="G2846" s="7">
        <v>45953.19120839363</v>
      </c>
    </row>
    <row r="2847">
      <c r="A2847" s="3" t="s">
        <v>9449</v>
      </c>
      <c r="B2847" s="3" t="s">
        <v>710</v>
      </c>
      <c r="C2847" s="3" t="s">
        <v>56</v>
      </c>
      <c r="D2847" s="3" t="s">
        <v>68</v>
      </c>
      <c r="E2847" s="3" t="s">
        <v>100</v>
      </c>
      <c r="F2847" s="3" t="s">
        <v>1619</v>
      </c>
      <c r="G2847" s="7">
        <v>45953.262383239045</v>
      </c>
    </row>
    <row r="2848">
      <c r="A2848" s="3" t="s">
        <v>9451</v>
      </c>
      <c r="B2848" s="3" t="s">
        <v>722</v>
      </c>
      <c r="C2848" s="3" t="s">
        <v>1342</v>
      </c>
      <c r="D2848" s="3" t="s">
        <v>68</v>
      </c>
      <c r="E2848" s="3" t="s">
        <v>100</v>
      </c>
      <c r="F2848" s="3" t="s">
        <v>1735</v>
      </c>
      <c r="G2848" s="7">
        <v>45953.333558084465</v>
      </c>
    </row>
    <row r="2849">
      <c r="A2849" s="3" t="s">
        <v>9453</v>
      </c>
      <c r="B2849" s="3" t="s">
        <v>1043</v>
      </c>
      <c r="C2849" s="3" t="s">
        <v>1095</v>
      </c>
      <c r="D2849" s="3" t="s">
        <v>68</v>
      </c>
      <c r="E2849" s="3" t="s">
        <v>100</v>
      </c>
      <c r="F2849" s="3" t="s">
        <v>769</v>
      </c>
      <c r="G2849" s="7">
        <v>45953.40473292987</v>
      </c>
    </row>
    <row r="2850">
      <c r="A2850" s="3" t="s">
        <v>9455</v>
      </c>
      <c r="B2850" s="3" t="s">
        <v>436</v>
      </c>
      <c r="C2850" s="3" t="s">
        <v>1342</v>
      </c>
      <c r="D2850" s="3" t="s">
        <v>68</v>
      </c>
      <c r="E2850" s="3" t="s">
        <v>100</v>
      </c>
      <c r="F2850" s="3" t="s">
        <v>1138</v>
      </c>
      <c r="G2850" s="7">
        <v>45953.47590777529</v>
      </c>
    </row>
    <row r="2851">
      <c r="A2851" s="3" t="s">
        <v>9458</v>
      </c>
      <c r="B2851" s="3" t="s">
        <v>961</v>
      </c>
      <c r="C2851" s="3" t="s">
        <v>56</v>
      </c>
      <c r="D2851" s="3" t="s">
        <v>68</v>
      </c>
      <c r="E2851" s="3" t="s">
        <v>100</v>
      </c>
      <c r="F2851" s="3" t="s">
        <v>1621</v>
      </c>
      <c r="G2851" s="7">
        <v>45953.54708262071</v>
      </c>
    </row>
    <row r="2852">
      <c r="A2852" s="3" t="s">
        <v>9459</v>
      </c>
      <c r="B2852" s="3" t="s">
        <v>430</v>
      </c>
      <c r="C2852" s="3" t="s">
        <v>56</v>
      </c>
      <c r="D2852" s="3" t="s">
        <v>68</v>
      </c>
      <c r="E2852" s="3" t="s">
        <v>100</v>
      </c>
      <c r="F2852" s="3" t="s">
        <v>1623</v>
      </c>
      <c r="G2852" s="7">
        <v>45953.61825746612</v>
      </c>
    </row>
    <row r="2853">
      <c r="A2853" s="3" t="s">
        <v>9464</v>
      </c>
      <c r="B2853" s="3" t="s">
        <v>475</v>
      </c>
      <c r="C2853" s="3" t="s">
        <v>1095</v>
      </c>
      <c r="D2853" s="3" t="s">
        <v>68</v>
      </c>
      <c r="E2853" s="3" t="s">
        <v>100</v>
      </c>
      <c r="F2853" s="3" t="s">
        <v>705</v>
      </c>
      <c r="G2853" s="7">
        <v>45953.689432311534</v>
      </c>
    </row>
    <row r="2854">
      <c r="A2854" s="3" t="s">
        <v>9467</v>
      </c>
      <c r="B2854" s="3" t="s">
        <v>947</v>
      </c>
      <c r="C2854" s="3" t="s">
        <v>1342</v>
      </c>
      <c r="D2854" s="3" t="s">
        <v>68</v>
      </c>
      <c r="E2854" s="3" t="s">
        <v>100</v>
      </c>
      <c r="F2854" s="3" t="s">
        <v>1855</v>
      </c>
      <c r="G2854" s="7">
        <v>45953.76060715695</v>
      </c>
    </row>
    <row r="2855">
      <c r="A2855" s="3" t="s">
        <v>9470</v>
      </c>
      <c r="B2855" s="3" t="s">
        <v>805</v>
      </c>
      <c r="C2855" s="3" t="s">
        <v>1095</v>
      </c>
      <c r="D2855" s="3" t="s">
        <v>68</v>
      </c>
      <c r="E2855" s="3" t="s">
        <v>100</v>
      </c>
      <c r="F2855" s="3" t="s">
        <v>1546</v>
      </c>
      <c r="G2855" s="7">
        <v>45953.831782002366</v>
      </c>
    </row>
    <row r="2856">
      <c r="A2856" s="3" t="s">
        <v>9471</v>
      </c>
      <c r="B2856" s="3" t="s">
        <v>123</v>
      </c>
      <c r="C2856" s="3" t="s">
        <v>1342</v>
      </c>
      <c r="D2856" s="3" t="s">
        <v>68</v>
      </c>
      <c r="E2856" s="3" t="s">
        <v>100</v>
      </c>
      <c r="F2856" s="3" t="s">
        <v>1455</v>
      </c>
      <c r="G2856" s="7">
        <v>45953.90295684778</v>
      </c>
    </row>
    <row r="2857">
      <c r="A2857" s="3" t="s">
        <v>9474</v>
      </c>
      <c r="B2857" s="3" t="s">
        <v>479</v>
      </c>
      <c r="C2857" s="3" t="s">
        <v>1342</v>
      </c>
      <c r="D2857" s="3" t="s">
        <v>68</v>
      </c>
      <c r="E2857" s="3" t="s">
        <v>100</v>
      </c>
      <c r="F2857" s="3" t="s">
        <v>1941</v>
      </c>
      <c r="G2857" s="7">
        <v>45953.9741316932</v>
      </c>
    </row>
    <row r="2858">
      <c r="A2858" s="3" t="s">
        <v>9477</v>
      </c>
      <c r="B2858" s="3" t="s">
        <v>250</v>
      </c>
      <c r="C2858" s="3" t="s">
        <v>1342</v>
      </c>
      <c r="D2858" s="3" t="s">
        <v>68</v>
      </c>
      <c r="E2858" s="3" t="s">
        <v>100</v>
      </c>
      <c r="F2858" s="3" t="s">
        <v>1576</v>
      </c>
      <c r="G2858" s="7">
        <v>45954.04530653862</v>
      </c>
    </row>
    <row r="2859">
      <c r="A2859" s="3" t="s">
        <v>9481</v>
      </c>
      <c r="B2859" s="3" t="s">
        <v>250</v>
      </c>
      <c r="C2859" s="3" t="s">
        <v>1342</v>
      </c>
      <c r="D2859" s="3" t="s">
        <v>68</v>
      </c>
      <c r="E2859" s="3" t="s">
        <v>100</v>
      </c>
      <c r="F2859" s="3" t="s">
        <v>1576</v>
      </c>
      <c r="G2859" s="7">
        <v>45954.11648138402</v>
      </c>
    </row>
    <row r="2860">
      <c r="A2860" s="3" t="s">
        <v>9483</v>
      </c>
      <c r="B2860" s="3" t="s">
        <v>969</v>
      </c>
      <c r="C2860" s="3" t="s">
        <v>1095</v>
      </c>
      <c r="D2860" s="3" t="s">
        <v>68</v>
      </c>
      <c r="E2860" s="3" t="s">
        <v>100</v>
      </c>
      <c r="F2860" s="3" t="s">
        <v>1279</v>
      </c>
      <c r="G2860" s="7">
        <v>45954.18765622944</v>
      </c>
    </row>
    <row r="2861">
      <c r="A2861" s="3" t="s">
        <v>9486</v>
      </c>
      <c r="B2861" s="3" t="s">
        <v>698</v>
      </c>
      <c r="C2861" s="3" t="s">
        <v>1095</v>
      </c>
      <c r="D2861" s="3" t="s">
        <v>68</v>
      </c>
      <c r="E2861" s="3" t="s">
        <v>100</v>
      </c>
      <c r="F2861" s="3" t="s">
        <v>1104</v>
      </c>
      <c r="G2861" s="7">
        <v>45954.258831074854</v>
      </c>
    </row>
    <row r="2862">
      <c r="A2862" s="3" t="s">
        <v>9490</v>
      </c>
      <c r="B2862" s="3" t="s">
        <v>616</v>
      </c>
      <c r="C2862" s="3" t="s">
        <v>1342</v>
      </c>
      <c r="D2862" s="3" t="s">
        <v>68</v>
      </c>
      <c r="E2862" s="3" t="s">
        <v>100</v>
      </c>
      <c r="F2862" s="3" t="s">
        <v>1400</v>
      </c>
      <c r="G2862" s="7">
        <v>45954.330005920274</v>
      </c>
    </row>
    <row r="2863">
      <c r="A2863" s="3" t="s">
        <v>9494</v>
      </c>
      <c r="B2863" s="3" t="s">
        <v>373</v>
      </c>
      <c r="C2863" s="3" t="s">
        <v>1342</v>
      </c>
      <c r="D2863" s="3" t="s">
        <v>68</v>
      </c>
      <c r="E2863" s="3" t="s">
        <v>100</v>
      </c>
      <c r="F2863" s="3" t="s">
        <v>532</v>
      </c>
      <c r="G2863" s="7">
        <v>45954.401180765686</v>
      </c>
    </row>
    <row r="2864">
      <c r="A2864" s="3" t="s">
        <v>9497</v>
      </c>
      <c r="B2864" s="3" t="s">
        <v>501</v>
      </c>
      <c r="C2864" s="3" t="s">
        <v>1095</v>
      </c>
      <c r="D2864" s="3" t="s">
        <v>68</v>
      </c>
      <c r="E2864" s="3" t="s">
        <v>100</v>
      </c>
      <c r="F2864" s="3" t="s">
        <v>1158</v>
      </c>
      <c r="G2864" s="7">
        <v>45954.472355611106</v>
      </c>
    </row>
    <row r="2865">
      <c r="A2865" s="3" t="s">
        <v>9500</v>
      </c>
      <c r="B2865" s="3" t="s">
        <v>366</v>
      </c>
      <c r="C2865" s="3" t="s">
        <v>56</v>
      </c>
      <c r="D2865" s="3" t="s">
        <v>68</v>
      </c>
      <c r="E2865" s="3" t="s">
        <v>100</v>
      </c>
      <c r="F2865" s="3" t="s">
        <v>1625</v>
      </c>
      <c r="G2865" s="7">
        <v>45954.54353045651</v>
      </c>
    </row>
    <row r="2866">
      <c r="A2866" s="3" t="s">
        <v>9504</v>
      </c>
      <c r="B2866" s="3" t="s">
        <v>296</v>
      </c>
      <c r="C2866" s="3" t="s">
        <v>1095</v>
      </c>
      <c r="D2866" s="3" t="s">
        <v>68</v>
      </c>
      <c r="E2866" s="3" t="s">
        <v>100</v>
      </c>
      <c r="F2866" s="3" t="s">
        <v>1517</v>
      </c>
      <c r="G2866" s="7">
        <v>45954.61470530193</v>
      </c>
    </row>
    <row r="2867">
      <c r="A2867" s="3" t="s">
        <v>9507</v>
      </c>
      <c r="B2867" s="3" t="s">
        <v>336</v>
      </c>
      <c r="C2867" s="3" t="s">
        <v>1342</v>
      </c>
      <c r="D2867" s="3" t="s">
        <v>68</v>
      </c>
      <c r="E2867" s="3" t="s">
        <v>100</v>
      </c>
      <c r="F2867" s="3" t="s">
        <v>1595</v>
      </c>
      <c r="G2867" s="7">
        <v>45954.68588014735</v>
      </c>
    </row>
    <row r="2868">
      <c r="A2868" s="3" t="s">
        <v>9511</v>
      </c>
      <c r="B2868" s="3" t="s">
        <v>793</v>
      </c>
      <c r="C2868" s="3" t="s">
        <v>1342</v>
      </c>
      <c r="D2868" s="3" t="s">
        <v>68</v>
      </c>
      <c r="E2868" s="3" t="s">
        <v>100</v>
      </c>
      <c r="F2868" s="3" t="s">
        <v>2067</v>
      </c>
      <c r="G2868" s="7">
        <v>45954.75705499276</v>
      </c>
    </row>
    <row r="2869">
      <c r="A2869" s="3" t="s">
        <v>9514</v>
      </c>
      <c r="B2869" s="3" t="s">
        <v>586</v>
      </c>
      <c r="C2869" s="3" t="s">
        <v>56</v>
      </c>
      <c r="D2869" s="3" t="s">
        <v>68</v>
      </c>
      <c r="E2869" s="3" t="s">
        <v>100</v>
      </c>
      <c r="F2869" s="3" t="s">
        <v>1627</v>
      </c>
      <c r="G2869" s="7">
        <v>45954.828229838175</v>
      </c>
    </row>
    <row r="2870">
      <c r="A2870" s="3" t="s">
        <v>9517</v>
      </c>
      <c r="B2870" s="3" t="s">
        <v>559</v>
      </c>
      <c r="C2870" s="3" t="s">
        <v>56</v>
      </c>
      <c r="D2870" s="3" t="s">
        <v>68</v>
      </c>
      <c r="E2870" s="3" t="s">
        <v>100</v>
      </c>
      <c r="F2870" s="3" t="s">
        <v>1629</v>
      </c>
      <c r="G2870" s="7">
        <v>45954.899404683594</v>
      </c>
    </row>
    <row r="2871">
      <c r="A2871" s="3" t="s">
        <v>9519</v>
      </c>
      <c r="B2871" s="3" t="s">
        <v>957</v>
      </c>
      <c r="C2871" s="3" t="s">
        <v>1342</v>
      </c>
      <c r="D2871" s="3" t="s">
        <v>68</v>
      </c>
      <c r="E2871" s="3" t="s">
        <v>100</v>
      </c>
      <c r="F2871" s="3" t="s">
        <v>1968</v>
      </c>
      <c r="G2871" s="7">
        <v>45954.97057952901</v>
      </c>
    </row>
    <row r="2872">
      <c r="A2872" s="3" t="s">
        <v>9520</v>
      </c>
      <c r="B2872" s="3" t="s">
        <v>953</v>
      </c>
      <c r="C2872" s="3" t="s">
        <v>1342</v>
      </c>
      <c r="D2872" s="3" t="s">
        <v>68</v>
      </c>
      <c r="E2872" s="3" t="s">
        <v>100</v>
      </c>
      <c r="F2872" s="3" t="s">
        <v>1572</v>
      </c>
      <c r="G2872" s="7">
        <v>45955.04175437442</v>
      </c>
    </row>
    <row r="2873">
      <c r="A2873" s="3" t="s">
        <v>9522</v>
      </c>
      <c r="B2873" s="3" t="s">
        <v>987</v>
      </c>
      <c r="C2873" s="3" t="s">
        <v>1095</v>
      </c>
      <c r="D2873" s="3" t="s">
        <v>68</v>
      </c>
      <c r="E2873" s="3" t="s">
        <v>100</v>
      </c>
      <c r="F2873" s="3" t="s">
        <v>1420</v>
      </c>
      <c r="G2873" s="7">
        <v>45955.11292921984</v>
      </c>
    </row>
    <row r="2874">
      <c r="A2874" s="3" t="s">
        <v>9525</v>
      </c>
      <c r="B2874" s="3" t="s">
        <v>752</v>
      </c>
      <c r="C2874" s="3" t="s">
        <v>56</v>
      </c>
      <c r="D2874" s="3" t="s">
        <v>68</v>
      </c>
      <c r="E2874" s="3" t="s">
        <v>100</v>
      </c>
      <c r="F2874" s="3" t="s">
        <v>1631</v>
      </c>
      <c r="G2874" s="7">
        <v>45955.18410406526</v>
      </c>
    </row>
    <row r="2875">
      <c r="A2875" s="3" t="s">
        <v>9528</v>
      </c>
      <c r="B2875" s="3" t="s">
        <v>793</v>
      </c>
      <c r="C2875" s="3" t="s">
        <v>1095</v>
      </c>
      <c r="D2875" s="3" t="s">
        <v>68</v>
      </c>
      <c r="E2875" s="3" t="s">
        <v>100</v>
      </c>
      <c r="F2875" s="3" t="s">
        <v>2067</v>
      </c>
      <c r="G2875" s="7">
        <v>45955.25527891066</v>
      </c>
    </row>
    <row r="2876">
      <c r="A2876" s="3" t="s">
        <v>9531</v>
      </c>
      <c r="B2876" s="3" t="s">
        <v>587</v>
      </c>
      <c r="C2876" s="3" t="s">
        <v>1342</v>
      </c>
      <c r="D2876" s="3" t="s">
        <v>68</v>
      </c>
      <c r="E2876" s="3" t="s">
        <v>100</v>
      </c>
      <c r="F2876" s="3" t="s">
        <v>1048</v>
      </c>
      <c r="G2876" s="7">
        <v>45955.32645375608</v>
      </c>
    </row>
    <row r="2877">
      <c r="A2877" s="3" t="s">
        <v>9533</v>
      </c>
      <c r="B2877" s="3" t="s">
        <v>414</v>
      </c>
      <c r="C2877" s="3" t="s">
        <v>1342</v>
      </c>
      <c r="D2877" s="3" t="s">
        <v>181</v>
      </c>
      <c r="E2877" s="3" t="s">
        <v>45</v>
      </c>
      <c r="F2877" s="3" t="s">
        <v>2077</v>
      </c>
      <c r="G2877" s="7">
        <v>45955.3976286015</v>
      </c>
    </row>
    <row r="2878">
      <c r="A2878" s="3" t="s">
        <v>9535</v>
      </c>
      <c r="B2878" s="3" t="s">
        <v>864</v>
      </c>
      <c r="C2878" s="3" t="s">
        <v>56</v>
      </c>
      <c r="D2878" s="3" t="s">
        <v>68</v>
      </c>
      <c r="E2878" s="3" t="s">
        <v>100</v>
      </c>
      <c r="F2878" s="3" t="s">
        <v>1634</v>
      </c>
      <c r="G2878" s="7">
        <v>45955.468803446915</v>
      </c>
    </row>
    <row r="2879">
      <c r="A2879" s="3" t="s">
        <v>9538</v>
      </c>
      <c r="B2879" s="3" t="s">
        <v>204</v>
      </c>
      <c r="C2879" s="3" t="s">
        <v>56</v>
      </c>
      <c r="D2879" s="3" t="s">
        <v>68</v>
      </c>
      <c r="E2879" s="3" t="s">
        <v>100</v>
      </c>
      <c r="F2879" s="3" t="s">
        <v>1640</v>
      </c>
      <c r="G2879" s="7">
        <v>45955.53997829233</v>
      </c>
    </row>
    <row r="2880">
      <c r="A2880" s="3" t="s">
        <v>9541</v>
      </c>
      <c r="B2880" s="3" t="s">
        <v>453</v>
      </c>
      <c r="C2880" s="3" t="s">
        <v>1342</v>
      </c>
      <c r="D2880" s="3" t="s">
        <v>68</v>
      </c>
      <c r="E2880" s="3" t="s">
        <v>100</v>
      </c>
      <c r="F2880" s="3" t="s">
        <v>1451</v>
      </c>
      <c r="G2880" s="7">
        <v>45955.61115313775</v>
      </c>
    </row>
    <row r="2881">
      <c r="A2881" s="3" t="s">
        <v>9543</v>
      </c>
      <c r="B2881" s="3" t="s">
        <v>886</v>
      </c>
      <c r="C2881" s="3" t="s">
        <v>56</v>
      </c>
      <c r="D2881" s="3" t="s">
        <v>68</v>
      </c>
      <c r="E2881" s="3" t="s">
        <v>100</v>
      </c>
      <c r="F2881" s="3" t="s">
        <v>1641</v>
      </c>
      <c r="G2881" s="7">
        <v>45955.68232798316</v>
      </c>
    </row>
    <row r="2882">
      <c r="A2882" s="3" t="s">
        <v>9546</v>
      </c>
      <c r="B2882" s="3" t="s">
        <v>369</v>
      </c>
      <c r="C2882" s="3" t="s">
        <v>56</v>
      </c>
      <c r="D2882" s="3" t="s">
        <v>68</v>
      </c>
      <c r="E2882" s="3" t="s">
        <v>100</v>
      </c>
      <c r="F2882" s="3" t="s">
        <v>1643</v>
      </c>
      <c r="G2882" s="7">
        <v>45955.75350282857</v>
      </c>
    </row>
    <row r="2883">
      <c r="A2883" s="3" t="s">
        <v>9549</v>
      </c>
      <c r="B2883" s="3" t="s">
        <v>793</v>
      </c>
      <c r="C2883" s="3" t="s">
        <v>56</v>
      </c>
      <c r="D2883" s="3" t="s">
        <v>195</v>
      </c>
      <c r="E2883" s="3" t="s">
        <v>45</v>
      </c>
      <c r="F2883" s="3" t="s">
        <v>45</v>
      </c>
      <c r="G2883" s="7">
        <v>45955.82467767399</v>
      </c>
    </row>
    <row r="2884">
      <c r="A2884" s="3" t="s">
        <v>9556</v>
      </c>
      <c r="B2884" s="3" t="s">
        <v>179</v>
      </c>
      <c r="C2884" s="3" t="s">
        <v>1342</v>
      </c>
      <c r="D2884" s="3" t="s">
        <v>181</v>
      </c>
      <c r="E2884" s="3" t="s">
        <v>45</v>
      </c>
      <c r="F2884" s="3" t="s">
        <v>1558</v>
      </c>
      <c r="G2884" s="7">
        <v>45955.8958525194</v>
      </c>
    </row>
    <row r="2885">
      <c r="A2885" s="3" t="s">
        <v>9559</v>
      </c>
      <c r="B2885" s="3" t="s">
        <v>785</v>
      </c>
      <c r="C2885" s="3" t="s">
        <v>1095</v>
      </c>
      <c r="D2885" s="3" t="s">
        <v>68</v>
      </c>
      <c r="E2885" s="3" t="s">
        <v>100</v>
      </c>
      <c r="F2885" s="3" t="s">
        <v>490</v>
      </c>
      <c r="G2885" s="7">
        <v>45955.967027364815</v>
      </c>
    </row>
    <row r="2886">
      <c r="A2886" s="3" t="s">
        <v>9563</v>
      </c>
      <c r="B2886" s="3" t="s">
        <v>746</v>
      </c>
      <c r="C2886" s="3" t="s">
        <v>56</v>
      </c>
      <c r="D2886" s="3" t="s">
        <v>68</v>
      </c>
      <c r="E2886" s="3" t="s">
        <v>100</v>
      </c>
      <c r="F2886" s="3" t="s">
        <v>1645</v>
      </c>
      <c r="G2886" s="7">
        <v>45956.038202210235</v>
      </c>
    </row>
    <row r="2887">
      <c r="A2887" s="3" t="s">
        <v>9566</v>
      </c>
      <c r="B2887" s="3" t="s">
        <v>230</v>
      </c>
      <c r="C2887" s="3" t="s">
        <v>56</v>
      </c>
      <c r="D2887" s="3" t="s">
        <v>68</v>
      </c>
      <c r="E2887" s="3" t="s">
        <v>100</v>
      </c>
      <c r="F2887" s="3" t="s">
        <v>1647</v>
      </c>
      <c r="G2887" s="7">
        <v>45956.10937705565</v>
      </c>
    </row>
    <row r="2888">
      <c r="A2888" s="3" t="s">
        <v>9569</v>
      </c>
      <c r="B2888" s="3" t="s">
        <v>598</v>
      </c>
      <c r="C2888" s="3" t="s">
        <v>1342</v>
      </c>
      <c r="D2888" s="3" t="s">
        <v>68</v>
      </c>
      <c r="E2888" s="3" t="s">
        <v>100</v>
      </c>
      <c r="F2888" s="3" t="s">
        <v>1472</v>
      </c>
      <c r="G2888" s="7">
        <v>45956.18055190106</v>
      </c>
    </row>
    <row r="2889">
      <c r="A2889" s="3" t="s">
        <v>9573</v>
      </c>
      <c r="B2889" s="3" t="s">
        <v>322</v>
      </c>
      <c r="C2889" s="3" t="s">
        <v>1095</v>
      </c>
      <c r="D2889" s="3" t="s">
        <v>68</v>
      </c>
      <c r="E2889" s="3" t="s">
        <v>100</v>
      </c>
      <c r="F2889" s="3" t="s">
        <v>1315</v>
      </c>
      <c r="G2889" s="7">
        <v>45956.25172674648</v>
      </c>
    </row>
    <row r="2890">
      <c r="A2890" s="3" t="s">
        <v>9577</v>
      </c>
      <c r="B2890" s="3" t="s">
        <v>430</v>
      </c>
      <c r="C2890" s="3" t="s">
        <v>1342</v>
      </c>
      <c r="D2890" s="3" t="s">
        <v>68</v>
      </c>
      <c r="E2890" s="3" t="s">
        <v>100</v>
      </c>
      <c r="F2890" s="3" t="s">
        <v>1623</v>
      </c>
      <c r="G2890" s="7">
        <v>45956.3229015919</v>
      </c>
    </row>
    <row r="2891">
      <c r="A2891" s="3" t="s">
        <v>9580</v>
      </c>
      <c r="B2891" s="3" t="s">
        <v>145</v>
      </c>
      <c r="C2891" s="3" t="s">
        <v>1342</v>
      </c>
      <c r="D2891" s="3" t="s">
        <v>181</v>
      </c>
      <c r="E2891" s="3" t="s">
        <v>45</v>
      </c>
      <c r="F2891" s="3" t="s">
        <v>1549</v>
      </c>
      <c r="G2891" s="7">
        <v>45956.394076437304</v>
      </c>
    </row>
    <row r="2892">
      <c r="A2892" s="3" t="s">
        <v>9582</v>
      </c>
      <c r="B2892" s="3" t="s">
        <v>510</v>
      </c>
      <c r="C2892" s="3" t="s">
        <v>56</v>
      </c>
      <c r="D2892" s="3" t="s">
        <v>68</v>
      </c>
      <c r="E2892" s="3" t="s">
        <v>100</v>
      </c>
      <c r="F2892" s="3" t="s">
        <v>1650</v>
      </c>
      <c r="G2892" s="7">
        <v>45956.46525128272</v>
      </c>
    </row>
    <row r="2893">
      <c r="A2893" s="3" t="s">
        <v>9584</v>
      </c>
      <c r="B2893" s="3" t="s">
        <v>632</v>
      </c>
      <c r="C2893" s="3" t="s">
        <v>1095</v>
      </c>
      <c r="D2893" s="3" t="s">
        <v>181</v>
      </c>
      <c r="E2893" s="3" t="s">
        <v>45</v>
      </c>
      <c r="F2893" s="3" t="s">
        <v>1485</v>
      </c>
      <c r="G2893" s="7">
        <v>45956.53642612814</v>
      </c>
    </row>
    <row r="2894">
      <c r="A2894" s="3" t="s">
        <v>9586</v>
      </c>
      <c r="B2894" s="3" t="s">
        <v>479</v>
      </c>
      <c r="C2894" s="3" t="s">
        <v>1095</v>
      </c>
      <c r="D2894" s="3" t="s">
        <v>68</v>
      </c>
      <c r="E2894" s="3" t="s">
        <v>100</v>
      </c>
      <c r="F2894" s="3" t="s">
        <v>1941</v>
      </c>
      <c r="G2894" s="7">
        <v>45956.607600973555</v>
      </c>
    </row>
    <row r="2895">
      <c r="A2895" s="3" t="s">
        <v>9588</v>
      </c>
      <c r="B2895" s="3" t="s">
        <v>939</v>
      </c>
      <c r="C2895" s="3" t="s">
        <v>1095</v>
      </c>
      <c r="D2895" s="3" t="s">
        <v>68</v>
      </c>
      <c r="E2895" s="3" t="s">
        <v>100</v>
      </c>
      <c r="F2895" s="3" t="s">
        <v>1117</v>
      </c>
      <c r="G2895" s="7">
        <v>45956.67877581897</v>
      </c>
    </row>
    <row r="2896">
      <c r="A2896" s="3" t="s">
        <v>9591</v>
      </c>
      <c r="B2896" s="3" t="s">
        <v>356</v>
      </c>
      <c r="C2896" s="3" t="s">
        <v>1095</v>
      </c>
      <c r="D2896" s="3" t="s">
        <v>68</v>
      </c>
      <c r="E2896" s="3" t="s">
        <v>100</v>
      </c>
      <c r="F2896" s="3" t="s">
        <v>1570</v>
      </c>
      <c r="G2896" s="7">
        <v>45956.74995066439</v>
      </c>
    </row>
    <row r="2897">
      <c r="A2897" s="3" t="s">
        <v>9593</v>
      </c>
      <c r="B2897" s="3" t="s">
        <v>752</v>
      </c>
      <c r="C2897" s="3" t="s">
        <v>1095</v>
      </c>
      <c r="D2897" s="3" t="s">
        <v>68</v>
      </c>
      <c r="E2897" s="3" t="s">
        <v>100</v>
      </c>
      <c r="F2897" s="3" t="s">
        <v>1631</v>
      </c>
      <c r="G2897" s="7">
        <v>45956.8211255098</v>
      </c>
    </row>
    <row r="2898">
      <c r="A2898" s="3" t="s">
        <v>9595</v>
      </c>
      <c r="B2898" s="3" t="s">
        <v>247</v>
      </c>
      <c r="C2898" s="3" t="s">
        <v>1095</v>
      </c>
      <c r="D2898" s="3" t="s">
        <v>68</v>
      </c>
      <c r="E2898" s="3" t="s">
        <v>100</v>
      </c>
      <c r="F2898" s="3" t="s">
        <v>1539</v>
      </c>
      <c r="G2898" s="7">
        <v>45956.89230035521</v>
      </c>
    </row>
    <row r="2899">
      <c r="A2899" s="3" t="s">
        <v>9598</v>
      </c>
      <c r="B2899" s="3" t="s">
        <v>287</v>
      </c>
      <c r="C2899" s="3" t="s">
        <v>56</v>
      </c>
      <c r="D2899" s="3" t="s">
        <v>68</v>
      </c>
      <c r="E2899" s="3" t="s">
        <v>100</v>
      </c>
      <c r="F2899" s="3" t="s">
        <v>1651</v>
      </c>
      <c r="G2899" s="7">
        <v>45956.96347520063</v>
      </c>
    </row>
    <row r="2900">
      <c r="A2900" s="3" t="s">
        <v>9601</v>
      </c>
      <c r="B2900" s="3" t="s">
        <v>934</v>
      </c>
      <c r="C2900" s="3" t="s">
        <v>1342</v>
      </c>
      <c r="D2900" s="3" t="s">
        <v>68</v>
      </c>
      <c r="E2900" s="3" t="s">
        <v>100</v>
      </c>
      <c r="F2900" s="3" t="s">
        <v>1143</v>
      </c>
      <c r="G2900" s="7">
        <v>45957.034650046044</v>
      </c>
    </row>
    <row r="2901">
      <c r="A2901" s="3" t="s">
        <v>9603</v>
      </c>
      <c r="B2901" s="3" t="s">
        <v>145</v>
      </c>
      <c r="C2901" s="3" t="s">
        <v>1095</v>
      </c>
      <c r="D2901" s="3" t="s">
        <v>68</v>
      </c>
      <c r="E2901" s="3" t="s">
        <v>100</v>
      </c>
      <c r="F2901" s="3" t="s">
        <v>1549</v>
      </c>
      <c r="G2901" s="7">
        <v>45957.105824891456</v>
      </c>
    </row>
    <row r="2902">
      <c r="A2902" s="3" t="s">
        <v>9605</v>
      </c>
      <c r="B2902" s="3" t="s">
        <v>330</v>
      </c>
      <c r="C2902" s="3" t="s">
        <v>56</v>
      </c>
      <c r="D2902" s="3" t="s">
        <v>68</v>
      </c>
      <c r="E2902" s="3" t="s">
        <v>100</v>
      </c>
      <c r="F2902" s="3" t="s">
        <v>1654</v>
      </c>
      <c r="G2902" s="7">
        <v>45957.176999736876</v>
      </c>
    </row>
    <row r="2903">
      <c r="A2903" s="3" t="s">
        <v>9608</v>
      </c>
      <c r="B2903" s="3" t="s">
        <v>800</v>
      </c>
      <c r="C2903" s="3" t="s">
        <v>1342</v>
      </c>
      <c r="D2903" s="3" t="s">
        <v>68</v>
      </c>
      <c r="E2903" s="3" t="s">
        <v>100</v>
      </c>
      <c r="F2903" s="3" t="s">
        <v>1448</v>
      </c>
      <c r="G2903" s="7">
        <v>45957.24817458229</v>
      </c>
    </row>
    <row r="2904">
      <c r="A2904" s="3" t="s">
        <v>9611</v>
      </c>
      <c r="B2904" s="3" t="s">
        <v>239</v>
      </c>
      <c r="C2904" s="3" t="s">
        <v>1342</v>
      </c>
      <c r="D2904" s="3" t="s">
        <v>68</v>
      </c>
      <c r="E2904" s="3" t="s">
        <v>100</v>
      </c>
      <c r="F2904" s="3" t="s">
        <v>1182</v>
      </c>
      <c r="G2904" s="7">
        <v>45957.3193494277</v>
      </c>
    </row>
    <row r="2905">
      <c r="A2905" s="3" t="s">
        <v>9613</v>
      </c>
      <c r="B2905" s="3" t="s">
        <v>208</v>
      </c>
      <c r="C2905" s="3" t="s">
        <v>1095</v>
      </c>
      <c r="D2905" s="3" t="s">
        <v>68</v>
      </c>
      <c r="E2905" s="3" t="s">
        <v>100</v>
      </c>
      <c r="F2905" s="3" t="s">
        <v>1921</v>
      </c>
      <c r="G2905" s="7">
        <v>45957.39052427312</v>
      </c>
    </row>
    <row r="2906">
      <c r="A2906" s="3" t="s">
        <v>9615</v>
      </c>
      <c r="B2906" s="3" t="s">
        <v>972</v>
      </c>
      <c r="C2906" s="3" t="s">
        <v>1342</v>
      </c>
      <c r="D2906" s="3" t="s">
        <v>68</v>
      </c>
      <c r="E2906" s="3" t="s">
        <v>100</v>
      </c>
      <c r="F2906" s="3" t="s">
        <v>1366</v>
      </c>
      <c r="G2906" s="7">
        <v>45957.46169911854</v>
      </c>
    </row>
    <row r="2907">
      <c r="A2907" s="3" t="s">
        <v>9618</v>
      </c>
      <c r="B2907" s="3" t="s">
        <v>640</v>
      </c>
      <c r="C2907" s="3" t="s">
        <v>1342</v>
      </c>
      <c r="D2907" s="3" t="s">
        <v>68</v>
      </c>
      <c r="E2907" s="3" t="s">
        <v>100</v>
      </c>
      <c r="F2907" s="3" t="s">
        <v>1478</v>
      </c>
      <c r="G2907" s="7">
        <v>45957.532873963944</v>
      </c>
    </row>
    <row r="2908">
      <c r="A2908" s="3" t="s">
        <v>9621</v>
      </c>
      <c r="B2908" s="3" t="s">
        <v>383</v>
      </c>
      <c r="C2908" s="3" t="s">
        <v>1342</v>
      </c>
      <c r="D2908" s="3" t="s">
        <v>68</v>
      </c>
      <c r="E2908" s="3" t="s">
        <v>100</v>
      </c>
      <c r="F2908" s="3" t="s">
        <v>849</v>
      </c>
      <c r="G2908" s="7">
        <v>45957.604048809364</v>
      </c>
    </row>
    <row r="2909">
      <c r="A2909" s="3" t="s">
        <v>9624</v>
      </c>
      <c r="B2909" s="3" t="s">
        <v>419</v>
      </c>
      <c r="C2909" s="3" t="s">
        <v>1095</v>
      </c>
      <c r="D2909" s="3" t="s">
        <v>68</v>
      </c>
      <c r="E2909" s="3" t="s">
        <v>100</v>
      </c>
      <c r="F2909" s="3" t="s">
        <v>1348</v>
      </c>
      <c r="G2909" s="7">
        <v>45957.67522365478</v>
      </c>
    </row>
    <row r="2910">
      <c r="A2910" s="3" t="s">
        <v>9626</v>
      </c>
      <c r="B2910" s="3" t="s">
        <v>1040</v>
      </c>
      <c r="C2910" s="3" t="s">
        <v>56</v>
      </c>
      <c r="D2910" s="3" t="s">
        <v>68</v>
      </c>
      <c r="E2910" s="3" t="s">
        <v>100</v>
      </c>
      <c r="F2910" s="3" t="s">
        <v>1656</v>
      </c>
      <c r="G2910" s="7">
        <v>45957.746398500196</v>
      </c>
    </row>
    <row r="2911">
      <c r="A2911" s="3" t="s">
        <v>9628</v>
      </c>
      <c r="B2911" s="3" t="s">
        <v>341</v>
      </c>
      <c r="C2911" s="3" t="s">
        <v>1095</v>
      </c>
      <c r="D2911" s="3" t="s">
        <v>68</v>
      </c>
      <c r="E2911" s="3" t="s">
        <v>100</v>
      </c>
      <c r="F2911" s="3" t="s">
        <v>2001</v>
      </c>
      <c r="G2911" s="7">
        <v>45957.81757334561</v>
      </c>
    </row>
    <row r="2912">
      <c r="A2912" s="3" t="s">
        <v>9631</v>
      </c>
      <c r="B2912" s="3" t="s">
        <v>612</v>
      </c>
      <c r="C2912" s="3" t="s">
        <v>1342</v>
      </c>
      <c r="D2912" s="3" t="s">
        <v>181</v>
      </c>
      <c r="E2912" s="3" t="s">
        <v>45</v>
      </c>
      <c r="F2912" s="3" t="s">
        <v>1187</v>
      </c>
      <c r="G2912" s="7">
        <v>45957.88874819103</v>
      </c>
    </row>
    <row r="2913">
      <c r="A2913" s="3" t="s">
        <v>9633</v>
      </c>
      <c r="B2913" s="3" t="s">
        <v>455</v>
      </c>
      <c r="C2913" s="3" t="s">
        <v>56</v>
      </c>
      <c r="D2913" s="3" t="s">
        <v>68</v>
      </c>
      <c r="E2913" s="3" t="s">
        <v>100</v>
      </c>
      <c r="F2913" s="3" t="s">
        <v>1658</v>
      </c>
      <c r="G2913" s="7">
        <v>45957.95992303644</v>
      </c>
    </row>
    <row r="2914">
      <c r="A2914" s="3" t="s">
        <v>9635</v>
      </c>
      <c r="B2914" s="3" t="s">
        <v>916</v>
      </c>
      <c r="C2914" s="3" t="s">
        <v>1342</v>
      </c>
      <c r="D2914" s="3" t="s">
        <v>68</v>
      </c>
      <c r="E2914" s="3" t="s">
        <v>100</v>
      </c>
      <c r="F2914" s="3" t="s">
        <v>1467</v>
      </c>
      <c r="G2914" s="7">
        <v>45958.03109788185</v>
      </c>
    </row>
    <row r="2915">
      <c r="A2915" s="3" t="s">
        <v>9638</v>
      </c>
      <c r="B2915" s="3" t="s">
        <v>650</v>
      </c>
      <c r="C2915" s="3" t="s">
        <v>1342</v>
      </c>
      <c r="D2915" s="3" t="s">
        <v>68</v>
      </c>
      <c r="E2915" s="3" t="s">
        <v>100</v>
      </c>
      <c r="F2915" s="3" t="s">
        <v>1004</v>
      </c>
      <c r="G2915" s="7">
        <v>45958.10227272727</v>
      </c>
    </row>
    <row r="2916">
      <c r="A2916" s="3" t="s">
        <v>9641</v>
      </c>
      <c r="B2916" s="3" t="s">
        <v>336</v>
      </c>
      <c r="C2916" s="3" t="s">
        <v>1342</v>
      </c>
      <c r="D2916" s="3" t="s">
        <v>68</v>
      </c>
      <c r="E2916" s="3" t="s">
        <v>100</v>
      </c>
      <c r="F2916" s="3" t="s">
        <v>1595</v>
      </c>
      <c r="G2916" s="7">
        <v>45958.173447572684</v>
      </c>
    </row>
    <row r="2917">
      <c r="A2917" s="3" t="s">
        <v>9642</v>
      </c>
      <c r="B2917" s="3" t="s">
        <v>600</v>
      </c>
      <c r="C2917" s="3" t="s">
        <v>1095</v>
      </c>
      <c r="D2917" s="3" t="s">
        <v>68</v>
      </c>
      <c r="E2917" s="3" t="s">
        <v>100</v>
      </c>
      <c r="F2917" s="3" t="s">
        <v>1408</v>
      </c>
      <c r="G2917" s="7">
        <v>45958.2446224181</v>
      </c>
    </row>
    <row r="2918">
      <c r="A2918" s="3" t="s">
        <v>9645</v>
      </c>
      <c r="B2918" s="3" t="s">
        <v>961</v>
      </c>
      <c r="C2918" s="3" t="s">
        <v>1342</v>
      </c>
      <c r="D2918" s="3" t="s">
        <v>181</v>
      </c>
      <c r="E2918" s="3" t="s">
        <v>45</v>
      </c>
      <c r="F2918" s="3" t="s">
        <v>1621</v>
      </c>
      <c r="G2918" s="7">
        <v>45958.315797263516</v>
      </c>
    </row>
    <row r="2919">
      <c r="A2919" s="3" t="s">
        <v>9648</v>
      </c>
      <c r="B2919" s="3" t="s">
        <v>530</v>
      </c>
      <c r="C2919" s="3" t="s">
        <v>1342</v>
      </c>
      <c r="D2919" s="3" t="s">
        <v>68</v>
      </c>
      <c r="E2919" s="3" t="s">
        <v>100</v>
      </c>
      <c r="F2919" s="3" t="s">
        <v>1557</v>
      </c>
      <c r="G2919" s="7">
        <v>45958.386972108936</v>
      </c>
    </row>
    <row r="2920">
      <c r="A2920" s="3" t="s">
        <v>9650</v>
      </c>
      <c r="B2920" s="3" t="s">
        <v>903</v>
      </c>
      <c r="C2920" s="3" t="s">
        <v>1095</v>
      </c>
      <c r="D2920" s="3" t="s">
        <v>68</v>
      </c>
      <c r="E2920" s="3" t="s">
        <v>100</v>
      </c>
      <c r="F2920" s="3" t="s">
        <v>1441</v>
      </c>
      <c r="G2920" s="7">
        <v>45958.45814695434</v>
      </c>
    </row>
    <row r="2921">
      <c r="A2921" s="3" t="s">
        <v>9652</v>
      </c>
      <c r="B2921" s="3" t="s">
        <v>665</v>
      </c>
      <c r="C2921" s="3" t="s">
        <v>1095</v>
      </c>
      <c r="D2921" s="3" t="s">
        <v>195</v>
      </c>
      <c r="E2921" s="3" t="s">
        <v>45</v>
      </c>
      <c r="F2921" s="3" t="s">
        <v>1569</v>
      </c>
      <c r="G2921" s="7">
        <v>45958.52932179976</v>
      </c>
    </row>
    <row r="2922">
      <c r="A2922" s="3" t="s">
        <v>9655</v>
      </c>
      <c r="B2922" s="3" t="s">
        <v>883</v>
      </c>
      <c r="C2922" s="3" t="s">
        <v>1342</v>
      </c>
      <c r="D2922" s="3" t="s">
        <v>68</v>
      </c>
      <c r="E2922" s="3" t="s">
        <v>100</v>
      </c>
      <c r="F2922" s="3" t="s">
        <v>1318</v>
      </c>
      <c r="G2922" s="7">
        <v>45958.60049664518</v>
      </c>
    </row>
    <row r="2923">
      <c r="A2923" s="3" t="s">
        <v>9658</v>
      </c>
      <c r="B2923" s="3" t="s">
        <v>929</v>
      </c>
      <c r="C2923" s="3" t="s">
        <v>1095</v>
      </c>
      <c r="D2923" s="3" t="s">
        <v>195</v>
      </c>
      <c r="E2923" s="3" t="s">
        <v>45</v>
      </c>
      <c r="F2923" s="3" t="s">
        <v>1161</v>
      </c>
      <c r="G2923" s="7">
        <v>45958.67167149059</v>
      </c>
    </row>
    <row r="2924">
      <c r="A2924" s="3" t="s">
        <v>9659</v>
      </c>
      <c r="B2924" s="3" t="s">
        <v>330</v>
      </c>
      <c r="C2924" s="3" t="s">
        <v>1342</v>
      </c>
      <c r="D2924" s="3" t="s">
        <v>181</v>
      </c>
      <c r="E2924" s="3" t="s">
        <v>45</v>
      </c>
      <c r="F2924" s="3" t="s">
        <v>1654</v>
      </c>
      <c r="G2924" s="7">
        <v>45958.742846336005</v>
      </c>
    </row>
    <row r="2925">
      <c r="A2925" s="3" t="s">
        <v>9662</v>
      </c>
      <c r="B2925" s="3" t="s">
        <v>1001</v>
      </c>
      <c r="C2925" s="3" t="s">
        <v>56</v>
      </c>
      <c r="D2925" s="3" t="s">
        <v>195</v>
      </c>
      <c r="E2925" s="3" t="s">
        <v>45</v>
      </c>
      <c r="F2925" s="3" t="s">
        <v>45</v>
      </c>
      <c r="G2925" s="7">
        <v>45958.814021181424</v>
      </c>
    </row>
    <row r="2926">
      <c r="A2926" s="3" t="s">
        <v>9665</v>
      </c>
      <c r="B2926" s="3" t="s">
        <v>479</v>
      </c>
      <c r="C2926" s="3" t="s">
        <v>56</v>
      </c>
      <c r="D2926" s="3" t="s">
        <v>68</v>
      </c>
      <c r="E2926" s="3" t="s">
        <v>100</v>
      </c>
      <c r="F2926" s="3" t="s">
        <v>1661</v>
      </c>
      <c r="G2926" s="7">
        <v>45958.88519602684</v>
      </c>
    </row>
    <row r="2927">
      <c r="A2927" s="3" t="s">
        <v>9666</v>
      </c>
      <c r="B2927" s="3" t="s">
        <v>505</v>
      </c>
      <c r="C2927" s="3" t="s">
        <v>1095</v>
      </c>
      <c r="D2927" s="3" t="s">
        <v>68</v>
      </c>
      <c r="E2927" s="3" t="s">
        <v>100</v>
      </c>
      <c r="F2927" s="3" t="s">
        <v>788</v>
      </c>
      <c r="G2927" s="7">
        <v>45958.95637087225</v>
      </c>
    </row>
    <row r="2928">
      <c r="A2928" s="3" t="s">
        <v>9669</v>
      </c>
      <c r="B2928" s="3" t="s">
        <v>747</v>
      </c>
      <c r="C2928" s="3" t="s">
        <v>56</v>
      </c>
      <c r="D2928" s="3" t="s">
        <v>68</v>
      </c>
      <c r="E2928" s="3" t="s">
        <v>100</v>
      </c>
      <c r="F2928" s="3" t="s">
        <v>1663</v>
      </c>
      <c r="G2928" s="7">
        <v>45959.02754571767</v>
      </c>
    </row>
    <row r="2929">
      <c r="A2929" s="3" t="s">
        <v>9671</v>
      </c>
      <c r="B2929" s="3" t="s">
        <v>593</v>
      </c>
      <c r="C2929" s="3" t="s">
        <v>1095</v>
      </c>
      <c r="D2929" s="3" t="s">
        <v>68</v>
      </c>
      <c r="E2929" s="3" t="s">
        <v>100</v>
      </c>
      <c r="F2929" s="3" t="s">
        <v>1281</v>
      </c>
      <c r="G2929" s="7">
        <v>45959.09872056308</v>
      </c>
    </row>
    <row r="2930">
      <c r="A2930" s="3" t="s">
        <v>9673</v>
      </c>
      <c r="B2930" s="3" t="s">
        <v>600</v>
      </c>
      <c r="C2930" s="3" t="s">
        <v>56</v>
      </c>
      <c r="D2930" s="3" t="s">
        <v>68</v>
      </c>
      <c r="E2930" s="3" t="s">
        <v>100</v>
      </c>
      <c r="F2930" s="3" t="s">
        <v>1666</v>
      </c>
      <c r="G2930" s="7">
        <v>45959.16989540849</v>
      </c>
    </row>
    <row r="2931">
      <c r="A2931" s="3" t="s">
        <v>9676</v>
      </c>
      <c r="B2931" s="3" t="s">
        <v>293</v>
      </c>
      <c r="C2931" s="3" t="s">
        <v>56</v>
      </c>
      <c r="D2931" s="3" t="s">
        <v>68</v>
      </c>
      <c r="E2931" s="3" t="s">
        <v>100</v>
      </c>
      <c r="F2931" s="3" t="s">
        <v>1667</v>
      </c>
      <c r="G2931" s="7">
        <v>45959.24107025391</v>
      </c>
    </row>
    <row r="2932">
      <c r="A2932" s="3" t="s">
        <v>9679</v>
      </c>
      <c r="B2932" s="3" t="s">
        <v>886</v>
      </c>
      <c r="C2932" s="3" t="s">
        <v>1342</v>
      </c>
      <c r="D2932" s="3" t="s">
        <v>68</v>
      </c>
      <c r="E2932" s="3" t="s">
        <v>100</v>
      </c>
      <c r="F2932" s="3" t="s">
        <v>1641</v>
      </c>
      <c r="G2932" s="7">
        <v>45959.312245099325</v>
      </c>
    </row>
    <row r="2933">
      <c r="A2933" s="3" t="s">
        <v>9681</v>
      </c>
      <c r="B2933" s="3" t="s">
        <v>575</v>
      </c>
      <c r="C2933" s="3" t="s">
        <v>1095</v>
      </c>
      <c r="D2933" s="3" t="s">
        <v>68</v>
      </c>
      <c r="E2933" s="3" t="s">
        <v>100</v>
      </c>
      <c r="F2933" s="3" t="s">
        <v>1119</v>
      </c>
      <c r="G2933" s="7">
        <v>45959.38341994474</v>
      </c>
    </row>
    <row r="2934">
      <c r="A2934" s="3" t="s">
        <v>9683</v>
      </c>
      <c r="B2934" s="3" t="s">
        <v>193</v>
      </c>
      <c r="C2934" s="3" t="s">
        <v>1342</v>
      </c>
      <c r="D2934" s="3" t="s">
        <v>68</v>
      </c>
      <c r="E2934" s="3" t="s">
        <v>100</v>
      </c>
      <c r="F2934" s="3" t="s">
        <v>1416</v>
      </c>
      <c r="G2934" s="7">
        <v>45959.45459479016</v>
      </c>
    </row>
    <row r="2935">
      <c r="A2935" s="3" t="s">
        <v>9686</v>
      </c>
      <c r="B2935" s="3" t="s">
        <v>853</v>
      </c>
      <c r="C2935" s="3" t="s">
        <v>1342</v>
      </c>
      <c r="D2935" s="3" t="s">
        <v>68</v>
      </c>
      <c r="E2935" s="3" t="s">
        <v>100</v>
      </c>
      <c r="F2935" s="3" t="s">
        <v>1358</v>
      </c>
      <c r="G2935" s="7">
        <v>45959.52576963558</v>
      </c>
    </row>
    <row r="2936">
      <c r="A2936" s="3" t="s">
        <v>9688</v>
      </c>
      <c r="B2936" s="3" t="s">
        <v>383</v>
      </c>
      <c r="C2936" s="3" t="s">
        <v>1342</v>
      </c>
      <c r="D2936" s="3" t="s">
        <v>68</v>
      </c>
      <c r="E2936" s="3" t="s">
        <v>100</v>
      </c>
      <c r="F2936" s="3" t="s">
        <v>849</v>
      </c>
      <c r="G2936" s="7">
        <v>45959.59694448098</v>
      </c>
    </row>
    <row r="2937">
      <c r="A2937" s="3" t="s">
        <v>9690</v>
      </c>
      <c r="B2937" s="3" t="s">
        <v>472</v>
      </c>
      <c r="C2937" s="3" t="s">
        <v>56</v>
      </c>
      <c r="D2937" s="3" t="s">
        <v>181</v>
      </c>
      <c r="E2937" s="3" t="s">
        <v>45</v>
      </c>
      <c r="F2937" s="3" t="s">
        <v>45</v>
      </c>
      <c r="G2937" s="7">
        <v>45959.6681193264</v>
      </c>
    </row>
    <row r="2938">
      <c r="A2938" s="3" t="s">
        <v>9693</v>
      </c>
      <c r="B2938" s="3" t="s">
        <v>135</v>
      </c>
      <c r="C2938" s="3" t="s">
        <v>1342</v>
      </c>
      <c r="D2938" s="3" t="s">
        <v>181</v>
      </c>
      <c r="E2938" s="3" t="s">
        <v>45</v>
      </c>
      <c r="F2938" s="3" t="s">
        <v>1088</v>
      </c>
      <c r="G2938" s="7">
        <v>45959.73929417182</v>
      </c>
    </row>
    <row r="2939">
      <c r="A2939" s="3" t="s">
        <v>9696</v>
      </c>
      <c r="B2939" s="3" t="s">
        <v>419</v>
      </c>
      <c r="C2939" s="3" t="s">
        <v>56</v>
      </c>
      <c r="D2939" s="3" t="s">
        <v>68</v>
      </c>
      <c r="E2939" s="3" t="s">
        <v>100</v>
      </c>
      <c r="F2939" s="3" t="s">
        <v>1670</v>
      </c>
      <c r="G2939" s="7">
        <v>45959.81046901723</v>
      </c>
    </row>
    <row r="2940">
      <c r="A2940" s="3" t="s">
        <v>9698</v>
      </c>
      <c r="B2940" s="3" t="s">
        <v>383</v>
      </c>
      <c r="C2940" s="3" t="s">
        <v>1342</v>
      </c>
      <c r="D2940" s="3" t="s">
        <v>68</v>
      </c>
      <c r="E2940" s="3" t="s">
        <v>100</v>
      </c>
      <c r="F2940" s="3" t="s">
        <v>849</v>
      </c>
      <c r="G2940" s="7">
        <v>45959.881643862645</v>
      </c>
    </row>
    <row r="2941">
      <c r="A2941" s="3" t="s">
        <v>9701</v>
      </c>
      <c r="B2941" s="3" t="s">
        <v>1021</v>
      </c>
      <c r="C2941" s="3" t="s">
        <v>56</v>
      </c>
      <c r="D2941" s="3" t="s">
        <v>68</v>
      </c>
      <c r="E2941" s="3" t="s">
        <v>100</v>
      </c>
      <c r="F2941" s="3" t="s">
        <v>1671</v>
      </c>
      <c r="G2941" s="7">
        <v>45959.952818708065</v>
      </c>
    </row>
    <row r="2942">
      <c r="A2942" s="3" t="s">
        <v>9703</v>
      </c>
      <c r="B2942" s="3" t="s">
        <v>731</v>
      </c>
      <c r="C2942" s="3" t="s">
        <v>1342</v>
      </c>
      <c r="D2942" s="3" t="s">
        <v>181</v>
      </c>
      <c r="E2942" s="3" t="s">
        <v>45</v>
      </c>
      <c r="F2942" s="3" t="s">
        <v>1514</v>
      </c>
      <c r="G2942" s="7">
        <v>45960.02399355348</v>
      </c>
    </row>
    <row r="2943">
      <c r="A2943" s="3" t="s">
        <v>9706</v>
      </c>
      <c r="B2943" s="3" t="s">
        <v>615</v>
      </c>
      <c r="C2943" s="3" t="s">
        <v>56</v>
      </c>
      <c r="D2943" s="3" t="s">
        <v>68</v>
      </c>
      <c r="E2943" s="3" t="s">
        <v>100</v>
      </c>
      <c r="F2943" s="3" t="s">
        <v>1674</v>
      </c>
      <c r="G2943" s="7">
        <v>45960.09516839889</v>
      </c>
    </row>
    <row r="2944">
      <c r="A2944" s="3" t="s">
        <v>9709</v>
      </c>
      <c r="B2944" s="3" t="s">
        <v>559</v>
      </c>
      <c r="C2944" s="3" t="s">
        <v>1342</v>
      </c>
      <c r="D2944" s="3" t="s">
        <v>68</v>
      </c>
      <c r="E2944" s="3" t="s">
        <v>100</v>
      </c>
      <c r="F2944" s="3" t="s">
        <v>1629</v>
      </c>
      <c r="G2944" s="7">
        <v>45960.16634324431</v>
      </c>
    </row>
    <row r="2945">
      <c r="A2945" s="3" t="s">
        <v>9711</v>
      </c>
      <c r="B2945" s="3" t="s">
        <v>767</v>
      </c>
      <c r="C2945" s="3" t="s">
        <v>1342</v>
      </c>
      <c r="D2945" s="3" t="s">
        <v>68</v>
      </c>
      <c r="E2945" s="3" t="s">
        <v>100</v>
      </c>
      <c r="F2945" s="3" t="s">
        <v>1162</v>
      </c>
      <c r="G2945" s="7">
        <v>45960.23751808972</v>
      </c>
    </row>
    <row r="2946">
      <c r="A2946" s="3" t="s">
        <v>9713</v>
      </c>
      <c r="B2946" s="3" t="s">
        <v>678</v>
      </c>
      <c r="C2946" s="3" t="s">
        <v>1095</v>
      </c>
      <c r="D2946" s="3" t="s">
        <v>68</v>
      </c>
      <c r="E2946" s="3" t="s">
        <v>100</v>
      </c>
      <c r="F2946" s="3" t="s">
        <v>1177</v>
      </c>
      <c r="G2946" s="7">
        <v>45960.308692935134</v>
      </c>
    </row>
    <row r="2947">
      <c r="A2947" s="3" t="s">
        <v>9716</v>
      </c>
      <c r="B2947" s="3" t="s">
        <v>987</v>
      </c>
      <c r="C2947" s="3" t="s">
        <v>56</v>
      </c>
      <c r="D2947" s="3" t="s">
        <v>68</v>
      </c>
      <c r="E2947" s="3" t="s">
        <v>100</v>
      </c>
      <c r="F2947" s="3" t="s">
        <v>1676</v>
      </c>
      <c r="G2947" s="7">
        <v>45960.37986778055</v>
      </c>
    </row>
    <row r="2948">
      <c r="A2948" s="3" t="s">
        <v>9719</v>
      </c>
      <c r="B2948" s="3" t="s">
        <v>593</v>
      </c>
      <c r="C2948" s="3" t="s">
        <v>56</v>
      </c>
      <c r="D2948" s="3" t="s">
        <v>68</v>
      </c>
      <c r="E2948" s="3" t="s">
        <v>100</v>
      </c>
      <c r="F2948" s="3" t="s">
        <v>1679</v>
      </c>
      <c r="G2948" s="7">
        <v>45960.451042625966</v>
      </c>
    </row>
    <row r="2949">
      <c r="A2949" s="3" t="s">
        <v>9721</v>
      </c>
      <c r="B2949" s="3" t="s">
        <v>414</v>
      </c>
      <c r="C2949" s="3" t="s">
        <v>1342</v>
      </c>
      <c r="D2949" s="3" t="s">
        <v>68</v>
      </c>
      <c r="E2949" s="3" t="s">
        <v>100</v>
      </c>
      <c r="F2949" s="3" t="s">
        <v>2077</v>
      </c>
      <c r="G2949" s="7">
        <v>45960.52221747138</v>
      </c>
    </row>
    <row r="2950">
      <c r="A2950" s="3" t="s">
        <v>9723</v>
      </c>
      <c r="B2950" s="3" t="s">
        <v>645</v>
      </c>
      <c r="C2950" s="3" t="s">
        <v>1095</v>
      </c>
      <c r="D2950" s="3" t="s">
        <v>68</v>
      </c>
      <c r="E2950" s="3" t="s">
        <v>100</v>
      </c>
      <c r="F2950" s="3" t="s">
        <v>1772</v>
      </c>
      <c r="G2950" s="7">
        <v>45960.5933923168</v>
      </c>
    </row>
    <row r="2951">
      <c r="A2951" s="3" t="s">
        <v>9726</v>
      </c>
      <c r="B2951" s="3" t="s">
        <v>1028</v>
      </c>
      <c r="C2951" s="3" t="s">
        <v>1095</v>
      </c>
      <c r="D2951" s="3" t="s">
        <v>68</v>
      </c>
      <c r="E2951" s="3" t="s">
        <v>100</v>
      </c>
      <c r="F2951" s="3" t="s">
        <v>1852</v>
      </c>
      <c r="G2951" s="7">
        <v>45960.66456716222</v>
      </c>
    </row>
    <row r="2952">
      <c r="A2952" s="3" t="s">
        <v>9729</v>
      </c>
      <c r="B2952" s="3" t="s">
        <v>468</v>
      </c>
      <c r="C2952" s="3" t="s">
        <v>1095</v>
      </c>
      <c r="D2952" s="3" t="s">
        <v>68</v>
      </c>
      <c r="E2952" s="3" t="s">
        <v>100</v>
      </c>
      <c r="F2952" s="3" t="s">
        <v>1617</v>
      </c>
      <c r="G2952" s="7">
        <v>45960.73574200762</v>
      </c>
    </row>
    <row r="2953">
      <c r="A2953" s="3" t="s">
        <v>9731</v>
      </c>
      <c r="B2953" s="3" t="s">
        <v>369</v>
      </c>
      <c r="C2953" s="3" t="s">
        <v>1342</v>
      </c>
      <c r="D2953" s="3" t="s">
        <v>68</v>
      </c>
      <c r="E2953" s="3" t="s">
        <v>100</v>
      </c>
      <c r="F2953" s="3" t="s">
        <v>1643</v>
      </c>
      <c r="G2953" s="7">
        <v>45960.80691685304</v>
      </c>
    </row>
    <row r="2954">
      <c r="A2954" s="3" t="s">
        <v>9733</v>
      </c>
      <c r="B2954" s="3" t="s">
        <v>691</v>
      </c>
      <c r="C2954" s="3" t="s">
        <v>1342</v>
      </c>
      <c r="D2954" s="3" t="s">
        <v>68</v>
      </c>
      <c r="E2954" s="3" t="s">
        <v>100</v>
      </c>
      <c r="F2954" s="3" t="s">
        <v>1958</v>
      </c>
      <c r="G2954" s="7">
        <v>45960.87809169846</v>
      </c>
    </row>
    <row r="2955">
      <c r="A2955" s="3" t="s">
        <v>9736</v>
      </c>
      <c r="B2955" s="3" t="s">
        <v>557</v>
      </c>
      <c r="C2955" s="3" t="s">
        <v>56</v>
      </c>
      <c r="D2955" s="3" t="s">
        <v>68</v>
      </c>
      <c r="E2955" s="3" t="s">
        <v>100</v>
      </c>
      <c r="F2955" s="3" t="s">
        <v>1681</v>
      </c>
      <c r="G2955" s="7">
        <v>45960.949266543874</v>
      </c>
    </row>
    <row r="2956">
      <c r="A2956" s="3" t="s">
        <v>9739</v>
      </c>
      <c r="B2956" s="3" t="s">
        <v>330</v>
      </c>
      <c r="C2956" s="3" t="s">
        <v>1342</v>
      </c>
      <c r="D2956" s="3" t="s">
        <v>68</v>
      </c>
      <c r="E2956" s="3" t="s">
        <v>100</v>
      </c>
      <c r="F2956" s="3" t="s">
        <v>1654</v>
      </c>
      <c r="G2956" s="7">
        <v>45961.020441389286</v>
      </c>
    </row>
    <row r="2957">
      <c r="A2957" s="3" t="s">
        <v>9742</v>
      </c>
      <c r="B2957" s="3" t="s">
        <v>515</v>
      </c>
      <c r="C2957" s="3" t="s">
        <v>1342</v>
      </c>
      <c r="D2957" s="3" t="s">
        <v>195</v>
      </c>
      <c r="E2957" s="3" t="s">
        <v>45</v>
      </c>
      <c r="F2957" s="3" t="s">
        <v>1343</v>
      </c>
      <c r="G2957" s="7">
        <v>45961.091616234706</v>
      </c>
    </row>
    <row r="2958">
      <c r="A2958" s="3" t="s">
        <v>9743</v>
      </c>
      <c r="B2958" s="3" t="s">
        <v>609</v>
      </c>
      <c r="C2958" s="3" t="s">
        <v>1342</v>
      </c>
      <c r="D2958" s="3" t="s">
        <v>68</v>
      </c>
      <c r="E2958" s="3" t="s">
        <v>100</v>
      </c>
      <c r="F2958" s="3" t="s">
        <v>996</v>
      </c>
      <c r="G2958" s="7">
        <v>45961.16279108012</v>
      </c>
    </row>
    <row r="2959">
      <c r="A2959" s="3" t="s">
        <v>9746</v>
      </c>
      <c r="B2959" s="3" t="s">
        <v>746</v>
      </c>
      <c r="C2959" s="3" t="s">
        <v>1095</v>
      </c>
      <c r="D2959" s="3" t="s">
        <v>68</v>
      </c>
      <c r="E2959" s="3" t="s">
        <v>100</v>
      </c>
      <c r="F2959" s="3" t="s">
        <v>1645</v>
      </c>
      <c r="G2959" s="7">
        <v>45961.23396592553</v>
      </c>
    </row>
    <row r="2960">
      <c r="A2960" s="3" t="s">
        <v>9749</v>
      </c>
      <c r="B2960" s="3" t="s">
        <v>336</v>
      </c>
      <c r="C2960" s="3" t="s">
        <v>1342</v>
      </c>
      <c r="D2960" s="3" t="s">
        <v>68</v>
      </c>
      <c r="E2960" s="3" t="s">
        <v>100</v>
      </c>
      <c r="F2960" s="3" t="s">
        <v>1595</v>
      </c>
      <c r="G2960" s="7">
        <v>45961.30514077095</v>
      </c>
    </row>
    <row r="2961">
      <c r="A2961" s="3" t="s">
        <v>9752</v>
      </c>
      <c r="B2961" s="3" t="s">
        <v>1026</v>
      </c>
      <c r="C2961" s="3" t="s">
        <v>56</v>
      </c>
      <c r="D2961" s="3" t="s">
        <v>68</v>
      </c>
      <c r="E2961" s="3" t="s">
        <v>100</v>
      </c>
      <c r="F2961" s="3" t="s">
        <v>1684</v>
      </c>
      <c r="G2961" s="7">
        <v>45961.37631561637</v>
      </c>
    </row>
    <row r="2962">
      <c r="A2962" s="3" t="s">
        <v>9754</v>
      </c>
      <c r="B2962" s="3" t="s">
        <v>373</v>
      </c>
      <c r="C2962" s="3" t="s">
        <v>1342</v>
      </c>
      <c r="D2962" s="3" t="s">
        <v>68</v>
      </c>
      <c r="E2962" s="3" t="s">
        <v>100</v>
      </c>
      <c r="F2962" s="3" t="s">
        <v>532</v>
      </c>
      <c r="G2962" s="7">
        <v>45961.447490461775</v>
      </c>
    </row>
    <row r="2963">
      <c r="A2963" s="3" t="s">
        <v>9756</v>
      </c>
      <c r="B2963" s="3" t="s">
        <v>652</v>
      </c>
      <c r="C2963" s="3" t="s">
        <v>1342</v>
      </c>
      <c r="D2963" s="3" t="s">
        <v>68</v>
      </c>
      <c r="E2963" s="3" t="s">
        <v>100</v>
      </c>
      <c r="F2963" s="3" t="s">
        <v>1179</v>
      </c>
      <c r="G2963" s="7">
        <v>45961.518665307194</v>
      </c>
    </row>
    <row r="2964">
      <c r="A2964" s="3" t="s">
        <v>9759</v>
      </c>
      <c r="B2964" s="3" t="s">
        <v>1008</v>
      </c>
      <c r="C2964" s="3" t="s">
        <v>1342</v>
      </c>
      <c r="D2964" s="3" t="s">
        <v>181</v>
      </c>
      <c r="E2964" s="3" t="s">
        <v>45</v>
      </c>
      <c r="F2964" s="3" t="s">
        <v>2108</v>
      </c>
      <c r="G2964" s="7">
        <v>45961.58984015261</v>
      </c>
    </row>
    <row r="2965">
      <c r="A2965" s="3" t="s">
        <v>9762</v>
      </c>
      <c r="B2965" s="3" t="s">
        <v>953</v>
      </c>
      <c r="C2965" s="3" t="s">
        <v>1342</v>
      </c>
      <c r="D2965" s="3" t="s">
        <v>68</v>
      </c>
      <c r="E2965" s="3" t="s">
        <v>100</v>
      </c>
      <c r="F2965" s="3" t="s">
        <v>1572</v>
      </c>
      <c r="G2965" s="7">
        <v>45961.661014998026</v>
      </c>
    </row>
    <row r="2966">
      <c r="A2966" s="3" t="s">
        <v>9764</v>
      </c>
      <c r="B2966" s="3" t="s">
        <v>453</v>
      </c>
      <c r="C2966" s="3" t="s">
        <v>1342</v>
      </c>
      <c r="D2966" s="3" t="s">
        <v>68</v>
      </c>
      <c r="E2966" s="3" t="s">
        <v>100</v>
      </c>
      <c r="F2966" s="3" t="s">
        <v>1451</v>
      </c>
      <c r="G2966" s="7">
        <v>45961.73218984344</v>
      </c>
    </row>
    <row r="2967">
      <c r="A2967" s="3" t="s">
        <v>9766</v>
      </c>
      <c r="B2967" s="3" t="s">
        <v>524</v>
      </c>
      <c r="C2967" s="3" t="s">
        <v>56</v>
      </c>
      <c r="D2967" s="3" t="s">
        <v>68</v>
      </c>
      <c r="E2967" s="3" t="s">
        <v>100</v>
      </c>
      <c r="F2967" s="3" t="s">
        <v>1685</v>
      </c>
      <c r="G2967" s="7">
        <v>45961.80336468886</v>
      </c>
    </row>
    <row r="2968">
      <c r="A2968" s="3" t="s">
        <v>9769</v>
      </c>
      <c r="B2968" s="3" t="s">
        <v>591</v>
      </c>
      <c r="C2968" s="3" t="s">
        <v>56</v>
      </c>
      <c r="D2968" s="3" t="s">
        <v>68</v>
      </c>
      <c r="E2968" s="3" t="s">
        <v>100</v>
      </c>
      <c r="F2968" s="3" t="s">
        <v>1687</v>
      </c>
      <c r="G2968" s="7">
        <v>45961.87453953426</v>
      </c>
    </row>
    <row r="2969">
      <c r="A2969" s="3" t="s">
        <v>9772</v>
      </c>
      <c r="B2969" s="3" t="s">
        <v>655</v>
      </c>
      <c r="C2969" s="3" t="s">
        <v>56</v>
      </c>
      <c r="D2969" s="3" t="s">
        <v>68</v>
      </c>
      <c r="E2969" s="3" t="s">
        <v>100</v>
      </c>
      <c r="F2969" s="3" t="s">
        <v>1690</v>
      </c>
      <c r="G2969" s="7">
        <v>45961.94571437968</v>
      </c>
    </row>
    <row r="2970">
      <c r="A2970" s="3" t="s">
        <v>9775</v>
      </c>
      <c r="B2970" s="3" t="s">
        <v>411</v>
      </c>
      <c r="C2970" s="3" t="s">
        <v>1095</v>
      </c>
      <c r="D2970" s="3" t="s">
        <v>195</v>
      </c>
      <c r="E2970" s="3" t="s">
        <v>45</v>
      </c>
      <c r="F2970" s="3" t="s">
        <v>1530</v>
      </c>
      <c r="G2970" s="7">
        <v>45962.0168892251</v>
      </c>
    </row>
    <row r="2971">
      <c r="A2971" s="3" t="s">
        <v>9778</v>
      </c>
      <c r="B2971" s="3" t="s">
        <v>436</v>
      </c>
      <c r="C2971" s="3" t="s">
        <v>1342</v>
      </c>
      <c r="D2971" s="3" t="s">
        <v>68</v>
      </c>
      <c r="E2971" s="3" t="s">
        <v>100</v>
      </c>
      <c r="F2971" s="3" t="s">
        <v>1138</v>
      </c>
      <c r="G2971" s="7">
        <v>45962.088064070515</v>
      </c>
    </row>
    <row r="2972">
      <c r="A2972" s="3" t="s">
        <v>9780</v>
      </c>
      <c r="B2972" s="3" t="s">
        <v>404</v>
      </c>
      <c r="C2972" s="3" t="s">
        <v>1342</v>
      </c>
      <c r="D2972" s="3" t="s">
        <v>68</v>
      </c>
      <c r="E2972" s="3" t="s">
        <v>100</v>
      </c>
      <c r="F2972" s="3" t="s">
        <v>1140</v>
      </c>
      <c r="G2972" s="7">
        <v>45962.15923891593</v>
      </c>
    </row>
    <row r="2973">
      <c r="A2973" s="3" t="s">
        <v>9782</v>
      </c>
      <c r="B2973" s="3" t="s">
        <v>713</v>
      </c>
      <c r="C2973" s="3" t="s">
        <v>1095</v>
      </c>
      <c r="D2973" s="3" t="s">
        <v>68</v>
      </c>
      <c r="E2973" s="3" t="s">
        <v>100</v>
      </c>
      <c r="F2973" s="3" t="s">
        <v>1429</v>
      </c>
      <c r="G2973" s="7">
        <v>45962.23041376135</v>
      </c>
    </row>
    <row r="2974">
      <c r="A2974" s="3" t="s">
        <v>9785</v>
      </c>
      <c r="B2974" s="3" t="s">
        <v>767</v>
      </c>
      <c r="C2974" s="3" t="s">
        <v>1095</v>
      </c>
      <c r="D2974" s="3" t="s">
        <v>68</v>
      </c>
      <c r="E2974" s="3" t="s">
        <v>100</v>
      </c>
      <c r="F2974" s="3" t="s">
        <v>1162</v>
      </c>
      <c r="G2974" s="7">
        <v>45962.30158860676</v>
      </c>
    </row>
    <row r="2975">
      <c r="A2975" s="3" t="s">
        <v>9787</v>
      </c>
      <c r="B2975" s="3" t="s">
        <v>516</v>
      </c>
      <c r="C2975" s="3" t="s">
        <v>56</v>
      </c>
      <c r="D2975" s="3" t="s">
        <v>68</v>
      </c>
      <c r="E2975" s="3" t="s">
        <v>100</v>
      </c>
      <c r="F2975" s="3" t="s">
        <v>1691</v>
      </c>
      <c r="G2975" s="7">
        <v>45962.37276345217</v>
      </c>
    </row>
    <row r="2976">
      <c r="A2976" s="3" t="s">
        <v>9789</v>
      </c>
      <c r="B2976" s="3" t="s">
        <v>524</v>
      </c>
      <c r="C2976" s="3" t="s">
        <v>1095</v>
      </c>
      <c r="D2976" s="3" t="s">
        <v>68</v>
      </c>
      <c r="E2976" s="3" t="s">
        <v>100</v>
      </c>
      <c r="F2976" s="3" t="s">
        <v>1685</v>
      </c>
      <c r="G2976" s="7">
        <v>45962.44393829759</v>
      </c>
    </row>
    <row r="2977">
      <c r="A2977" s="3" t="s">
        <v>9792</v>
      </c>
      <c r="B2977" s="3" t="s">
        <v>455</v>
      </c>
      <c r="C2977" s="3" t="s">
        <v>1095</v>
      </c>
      <c r="D2977" s="3" t="s">
        <v>68</v>
      </c>
      <c r="E2977" s="3" t="s">
        <v>100</v>
      </c>
      <c r="F2977" s="3" t="s">
        <v>1658</v>
      </c>
      <c r="G2977" s="7">
        <v>45962.51511314301</v>
      </c>
    </row>
    <row r="2978">
      <c r="A2978" s="3" t="s">
        <v>9795</v>
      </c>
      <c r="B2978" s="3" t="s">
        <v>906</v>
      </c>
      <c r="C2978" s="3" t="s">
        <v>1095</v>
      </c>
      <c r="D2978" s="3" t="s">
        <v>68</v>
      </c>
      <c r="E2978" s="3" t="s">
        <v>100</v>
      </c>
      <c r="F2978" s="3" t="s">
        <v>1521</v>
      </c>
      <c r="G2978" s="7">
        <v>45962.586287988415</v>
      </c>
    </row>
    <row r="2979">
      <c r="A2979" s="3" t="s">
        <v>9797</v>
      </c>
      <c r="B2979" s="3" t="s">
        <v>287</v>
      </c>
      <c r="C2979" s="3" t="s">
        <v>1342</v>
      </c>
      <c r="D2979" s="3" t="s">
        <v>68</v>
      </c>
      <c r="E2979" s="3" t="s">
        <v>100</v>
      </c>
      <c r="F2979" s="3" t="s">
        <v>1651</v>
      </c>
      <c r="G2979" s="7">
        <v>45962.657462833835</v>
      </c>
    </row>
    <row r="2980">
      <c r="A2980" s="3" t="s">
        <v>9799</v>
      </c>
      <c r="B2980" s="3" t="s">
        <v>900</v>
      </c>
      <c r="C2980" s="3" t="s">
        <v>56</v>
      </c>
      <c r="D2980" s="3" t="s">
        <v>68</v>
      </c>
      <c r="E2980" s="3" t="s">
        <v>100</v>
      </c>
      <c r="F2980" s="3" t="s">
        <v>1694</v>
      </c>
      <c r="G2980" s="7">
        <v>45962.728637679254</v>
      </c>
    </row>
    <row r="2981">
      <c r="A2981" s="3" t="s">
        <v>9802</v>
      </c>
      <c r="B2981" s="3" t="s">
        <v>424</v>
      </c>
      <c r="C2981" s="3" t="s">
        <v>1342</v>
      </c>
      <c r="D2981" s="3" t="s">
        <v>68</v>
      </c>
      <c r="E2981" s="3" t="s">
        <v>100</v>
      </c>
      <c r="F2981" s="3" t="s">
        <v>1346</v>
      </c>
      <c r="G2981" s="7">
        <v>45962.79981252467</v>
      </c>
    </row>
    <row r="2982">
      <c r="A2982" s="3" t="s">
        <v>9805</v>
      </c>
      <c r="B2982" s="3" t="s">
        <v>708</v>
      </c>
      <c r="C2982" s="3" t="s">
        <v>56</v>
      </c>
      <c r="D2982" s="3" t="s">
        <v>181</v>
      </c>
      <c r="E2982" s="3" t="s">
        <v>45</v>
      </c>
      <c r="F2982" s="3" t="s">
        <v>45</v>
      </c>
      <c r="G2982" s="7">
        <v>45962.87098737008</v>
      </c>
    </row>
    <row r="2983">
      <c r="A2983" s="3" t="s">
        <v>9808</v>
      </c>
      <c r="B2983" s="3" t="s">
        <v>655</v>
      </c>
      <c r="C2983" s="3" t="s">
        <v>1342</v>
      </c>
      <c r="D2983" s="3" t="s">
        <v>68</v>
      </c>
      <c r="E2983" s="3" t="s">
        <v>100</v>
      </c>
      <c r="F2983" s="3" t="s">
        <v>1690</v>
      </c>
      <c r="G2983" s="7">
        <v>45962.9421622155</v>
      </c>
    </row>
    <row r="2984">
      <c r="A2984" s="3" t="s">
        <v>9810</v>
      </c>
      <c r="B2984" s="3" t="s">
        <v>672</v>
      </c>
      <c r="C2984" s="3" t="s">
        <v>1095</v>
      </c>
      <c r="D2984" s="3" t="s">
        <v>68</v>
      </c>
      <c r="E2984" s="3" t="s">
        <v>100</v>
      </c>
      <c r="F2984" s="3" t="s">
        <v>1563</v>
      </c>
      <c r="G2984" s="7">
        <v>45963.01333706091</v>
      </c>
    </row>
    <row r="2985">
      <c r="A2985" s="3" t="s">
        <v>9812</v>
      </c>
      <c r="B2985" s="3" t="s">
        <v>130</v>
      </c>
      <c r="C2985" s="3" t="s">
        <v>1095</v>
      </c>
      <c r="D2985" s="3" t="s">
        <v>68</v>
      </c>
      <c r="E2985" s="3" t="s">
        <v>100</v>
      </c>
      <c r="F2985" s="3" t="s">
        <v>1025</v>
      </c>
      <c r="G2985" s="7">
        <v>45963.08451190632</v>
      </c>
    </row>
    <row r="2986">
      <c r="A2986" s="3" t="s">
        <v>9815</v>
      </c>
      <c r="B2986" s="3" t="s">
        <v>643</v>
      </c>
      <c r="C2986" s="3" t="s">
        <v>56</v>
      </c>
      <c r="D2986" s="3" t="s">
        <v>68</v>
      </c>
      <c r="E2986" s="3" t="s">
        <v>100</v>
      </c>
      <c r="F2986" s="3" t="s">
        <v>1697</v>
      </c>
      <c r="G2986" s="7">
        <v>45963.15568675174</v>
      </c>
    </row>
    <row r="2987">
      <c r="A2987" s="3" t="s">
        <v>9818</v>
      </c>
      <c r="B2987" s="3" t="s">
        <v>204</v>
      </c>
      <c r="C2987" s="3" t="s">
        <v>1095</v>
      </c>
      <c r="D2987" s="3" t="s">
        <v>68</v>
      </c>
      <c r="E2987" s="3" t="s">
        <v>100</v>
      </c>
      <c r="F2987" s="3" t="s">
        <v>1640</v>
      </c>
      <c r="G2987" s="7">
        <v>45963.226861597155</v>
      </c>
    </row>
    <row r="2988">
      <c r="A2988" s="3" t="s">
        <v>9821</v>
      </c>
      <c r="B2988" s="3" t="s">
        <v>561</v>
      </c>
      <c r="C2988" s="3" t="s">
        <v>1095</v>
      </c>
      <c r="D2988" s="3" t="s">
        <v>68</v>
      </c>
      <c r="E2988" s="3" t="s">
        <v>100</v>
      </c>
      <c r="F2988" s="3" t="s">
        <v>1601</v>
      </c>
      <c r="G2988" s="7">
        <v>45963.29803644257</v>
      </c>
    </row>
    <row r="2989">
      <c r="A2989" s="3" t="s">
        <v>9822</v>
      </c>
      <c r="B2989" s="3" t="s">
        <v>442</v>
      </c>
      <c r="C2989" s="3" t="s">
        <v>1342</v>
      </c>
      <c r="D2989" s="3" t="s">
        <v>68</v>
      </c>
      <c r="E2989" s="3" t="s">
        <v>100</v>
      </c>
      <c r="F2989" s="3" t="s">
        <v>829</v>
      </c>
      <c r="G2989" s="7">
        <v>45963.36921128799</v>
      </c>
    </row>
    <row r="2990">
      <c r="A2990" s="3" t="s">
        <v>9824</v>
      </c>
      <c r="B2990" s="3" t="s">
        <v>627</v>
      </c>
      <c r="C2990" s="3" t="s">
        <v>56</v>
      </c>
      <c r="D2990" s="3" t="s">
        <v>181</v>
      </c>
      <c r="E2990" s="3" t="s">
        <v>45</v>
      </c>
      <c r="F2990" s="3" t="s">
        <v>45</v>
      </c>
      <c r="G2990" s="7">
        <v>45963.4403861334</v>
      </c>
    </row>
    <row r="2991">
      <c r="A2991" s="3" t="s">
        <v>9826</v>
      </c>
      <c r="B2991" s="3" t="s">
        <v>479</v>
      </c>
      <c r="C2991" s="3" t="s">
        <v>1095</v>
      </c>
      <c r="D2991" s="3" t="s">
        <v>68</v>
      </c>
      <c r="E2991" s="3" t="s">
        <v>100</v>
      </c>
      <c r="F2991" s="3" t="s">
        <v>1661</v>
      </c>
      <c r="G2991" s="7">
        <v>45963.51156097881</v>
      </c>
    </row>
    <row r="2992">
      <c r="A2992" s="3" t="s">
        <v>9827</v>
      </c>
      <c r="B2992" s="3" t="s">
        <v>373</v>
      </c>
      <c r="C2992" s="3" t="s">
        <v>1095</v>
      </c>
      <c r="D2992" s="3" t="s">
        <v>68</v>
      </c>
      <c r="E2992" s="3" t="s">
        <v>100</v>
      </c>
      <c r="F2992" s="3" t="s">
        <v>532</v>
      </c>
      <c r="G2992" s="7">
        <v>45963.58273582423</v>
      </c>
    </row>
    <row r="2993">
      <c r="A2993" s="3" t="s">
        <v>9829</v>
      </c>
      <c r="B2993" s="3" t="s">
        <v>510</v>
      </c>
      <c r="C2993" s="3" t="s">
        <v>1342</v>
      </c>
      <c r="D2993" s="3" t="s">
        <v>68</v>
      </c>
      <c r="E2993" s="3" t="s">
        <v>100</v>
      </c>
      <c r="F2993" s="3" t="s">
        <v>1650</v>
      </c>
      <c r="G2993" s="7">
        <v>45963.65391066965</v>
      </c>
    </row>
    <row r="2994">
      <c r="A2994" s="3" t="s">
        <v>9830</v>
      </c>
      <c r="B2994" s="3" t="s">
        <v>601</v>
      </c>
      <c r="C2994" s="3" t="s">
        <v>1342</v>
      </c>
      <c r="D2994" s="3" t="s">
        <v>68</v>
      </c>
      <c r="E2994" s="3" t="s">
        <v>100</v>
      </c>
      <c r="F2994" s="3" t="s">
        <v>1156</v>
      </c>
      <c r="G2994" s="7">
        <v>45963.725085515056</v>
      </c>
    </row>
    <row r="2995">
      <c r="A2995" s="3" t="s">
        <v>9832</v>
      </c>
      <c r="B2995" s="3" t="s">
        <v>657</v>
      </c>
      <c r="C2995" s="3" t="s">
        <v>1095</v>
      </c>
      <c r="D2995" s="3" t="s">
        <v>68</v>
      </c>
      <c r="E2995" s="3" t="s">
        <v>100</v>
      </c>
      <c r="F2995" s="3" t="s">
        <v>1228</v>
      </c>
      <c r="G2995" s="7">
        <v>45963.796260360476</v>
      </c>
    </row>
    <row r="2996">
      <c r="A2996" s="3" t="s">
        <v>9834</v>
      </c>
      <c r="B2996" s="3" t="s">
        <v>605</v>
      </c>
      <c r="C2996" s="3" t="s">
        <v>56</v>
      </c>
      <c r="D2996" s="3" t="s">
        <v>68</v>
      </c>
      <c r="E2996" s="3" t="s">
        <v>100</v>
      </c>
      <c r="F2996" s="3" t="s">
        <v>1699</v>
      </c>
      <c r="G2996" s="7">
        <v>45963.867435205895</v>
      </c>
    </row>
    <row r="2997">
      <c r="A2997" s="3" t="s">
        <v>9835</v>
      </c>
      <c r="B2997" s="3" t="s">
        <v>224</v>
      </c>
      <c r="C2997" s="3" t="s">
        <v>56</v>
      </c>
      <c r="D2997" s="3" t="s">
        <v>68</v>
      </c>
      <c r="E2997" s="3" t="s">
        <v>100</v>
      </c>
      <c r="F2997" s="3" t="s">
        <v>1701</v>
      </c>
      <c r="G2997" s="7">
        <v>45963.93861005131</v>
      </c>
    </row>
    <row r="2998">
      <c r="A2998" s="3" t="s">
        <v>9837</v>
      </c>
      <c r="B2998" s="3" t="s">
        <v>204</v>
      </c>
      <c r="C2998" s="3" t="s">
        <v>56</v>
      </c>
      <c r="D2998" s="3" t="s">
        <v>68</v>
      </c>
      <c r="E2998" s="3" t="s">
        <v>100</v>
      </c>
      <c r="F2998" s="3" t="s">
        <v>1704</v>
      </c>
      <c r="G2998" s="7">
        <v>45964.00978489672</v>
      </c>
    </row>
    <row r="2999">
      <c r="A2999" s="3" t="s">
        <v>9839</v>
      </c>
      <c r="B2999" s="3" t="s">
        <v>789</v>
      </c>
      <c r="C2999" s="3" t="s">
        <v>1095</v>
      </c>
      <c r="D2999" s="3" t="s">
        <v>68</v>
      </c>
      <c r="E2999" s="3" t="s">
        <v>100</v>
      </c>
      <c r="F2999" s="3" t="s">
        <v>1234</v>
      </c>
      <c r="G2999" s="7">
        <v>45964.08095974214</v>
      </c>
    </row>
    <row r="3000">
      <c r="A3000" s="3" t="s">
        <v>9840</v>
      </c>
      <c r="B3000" s="3" t="s">
        <v>1001</v>
      </c>
      <c r="C3000" s="3" t="s">
        <v>56</v>
      </c>
      <c r="D3000" s="3" t="s">
        <v>181</v>
      </c>
      <c r="E3000" s="3" t="s">
        <v>45</v>
      </c>
      <c r="F3000" s="3" t="s">
        <v>45</v>
      </c>
      <c r="G3000" s="7">
        <v>45964.15213458755</v>
      </c>
    </row>
    <row r="3001">
      <c r="A3001" s="3" t="s">
        <v>9842</v>
      </c>
      <c r="B3001" s="3" t="s">
        <v>293</v>
      </c>
      <c r="C3001" s="3" t="s">
        <v>1095</v>
      </c>
      <c r="D3001" s="3" t="s">
        <v>68</v>
      </c>
      <c r="E3001" s="3" t="s">
        <v>100</v>
      </c>
      <c r="F3001" s="3" t="s">
        <v>1667</v>
      </c>
      <c r="G3001" s="7">
        <v>45964.223309432964</v>
      </c>
    </row>
    <row r="3002">
      <c r="A3002" s="3" t="s">
        <v>9845</v>
      </c>
      <c r="B3002" s="3" t="s">
        <v>211</v>
      </c>
      <c r="C3002" s="3" t="s">
        <v>1095</v>
      </c>
      <c r="D3002" s="3" t="s">
        <v>68</v>
      </c>
      <c r="E3002" s="3" t="s">
        <v>100</v>
      </c>
      <c r="F3002" s="3" t="s">
        <v>1614</v>
      </c>
      <c r="G3002" s="7">
        <v>45964.29448427838</v>
      </c>
    </row>
    <row r="3003">
      <c r="A3003" s="3" t="s">
        <v>9848</v>
      </c>
      <c r="B3003" s="3" t="s">
        <v>507</v>
      </c>
      <c r="C3003" s="3" t="s">
        <v>56</v>
      </c>
      <c r="D3003" s="3" t="s">
        <v>68</v>
      </c>
      <c r="E3003" s="3" t="s">
        <v>100</v>
      </c>
      <c r="F3003" s="3" t="s">
        <v>1706</v>
      </c>
      <c r="G3003" s="7">
        <v>45964.3656591238</v>
      </c>
    </row>
    <row r="3004">
      <c r="A3004" s="3" t="s">
        <v>9850</v>
      </c>
      <c r="B3004" s="3" t="s">
        <v>535</v>
      </c>
      <c r="C3004" s="3" t="s">
        <v>1342</v>
      </c>
      <c r="D3004" s="3" t="s">
        <v>68</v>
      </c>
      <c r="E3004" s="3" t="s">
        <v>100</v>
      </c>
      <c r="F3004" s="3" t="s">
        <v>1860</v>
      </c>
      <c r="G3004" s="7">
        <v>45964.43683396921</v>
      </c>
    </row>
    <row r="3005">
      <c r="A3005" s="3" t="s">
        <v>9852</v>
      </c>
      <c r="B3005" s="3" t="s">
        <v>524</v>
      </c>
      <c r="C3005" s="3" t="s">
        <v>56</v>
      </c>
      <c r="D3005" s="3" t="s">
        <v>68</v>
      </c>
      <c r="E3005" s="3" t="s">
        <v>100</v>
      </c>
      <c r="F3005" s="3" t="s">
        <v>1709</v>
      </c>
      <c r="G3005" s="7">
        <v>45964.50800881463</v>
      </c>
    </row>
    <row r="3006">
      <c r="A3006" s="3" t="s">
        <v>9855</v>
      </c>
      <c r="B3006" s="3" t="s">
        <v>773</v>
      </c>
      <c r="C3006" s="3" t="s">
        <v>1342</v>
      </c>
      <c r="D3006" s="3" t="s">
        <v>68</v>
      </c>
      <c r="E3006" s="3" t="s">
        <v>100</v>
      </c>
      <c r="F3006" s="3" t="s">
        <v>2085</v>
      </c>
      <c r="G3006" s="7">
        <v>45964.57918366004</v>
      </c>
    </row>
    <row r="3007">
      <c r="A3007" s="3" t="s">
        <v>9858</v>
      </c>
      <c r="B3007" s="3" t="s">
        <v>627</v>
      </c>
      <c r="C3007" s="3" t="s">
        <v>56</v>
      </c>
      <c r="D3007" s="3" t="s">
        <v>181</v>
      </c>
      <c r="E3007" s="3" t="s">
        <v>45</v>
      </c>
      <c r="F3007" s="3" t="s">
        <v>45</v>
      </c>
      <c r="G3007" s="7">
        <v>45964.65035850546</v>
      </c>
    </row>
    <row r="3008">
      <c r="A3008" s="3" t="s">
        <v>9861</v>
      </c>
      <c r="B3008" s="3" t="s">
        <v>934</v>
      </c>
      <c r="C3008" s="3" t="s">
        <v>1095</v>
      </c>
      <c r="D3008" s="3" t="s">
        <v>68</v>
      </c>
      <c r="E3008" s="3" t="s">
        <v>100</v>
      </c>
      <c r="F3008" s="3" t="s">
        <v>1143</v>
      </c>
      <c r="G3008" s="7">
        <v>45964.72153335087</v>
      </c>
    </row>
    <row r="3009">
      <c r="A3009" s="3" t="s">
        <v>9863</v>
      </c>
      <c r="B3009" s="3" t="s">
        <v>404</v>
      </c>
      <c r="C3009" s="3" t="s">
        <v>1095</v>
      </c>
      <c r="D3009" s="3" t="s">
        <v>68</v>
      </c>
      <c r="E3009" s="3" t="s">
        <v>100</v>
      </c>
      <c r="F3009" s="3" t="s">
        <v>1140</v>
      </c>
      <c r="G3009" s="7">
        <v>45964.79270819629</v>
      </c>
    </row>
    <row r="3010">
      <c r="A3010" s="3" t="s">
        <v>9865</v>
      </c>
      <c r="B3010" s="3" t="s">
        <v>949</v>
      </c>
      <c r="C3010" s="3" t="s">
        <v>1095</v>
      </c>
      <c r="D3010" s="3" t="s">
        <v>68</v>
      </c>
      <c r="E3010" s="3" t="s">
        <v>100</v>
      </c>
      <c r="F3010" s="3" t="s">
        <v>2050</v>
      </c>
      <c r="G3010" s="7">
        <v>45964.8638830417</v>
      </c>
    </row>
    <row r="3011">
      <c r="A3011" s="3" t="s">
        <v>9868</v>
      </c>
      <c r="B3011" s="3" t="s">
        <v>841</v>
      </c>
      <c r="C3011" s="3" t="s">
        <v>56</v>
      </c>
      <c r="D3011" s="3" t="s">
        <v>68</v>
      </c>
      <c r="E3011" s="3" t="s">
        <v>100</v>
      </c>
      <c r="F3011" s="3" t="s">
        <v>1712</v>
      </c>
      <c r="G3011" s="7">
        <v>45964.935057887116</v>
      </c>
    </row>
    <row r="3012">
      <c r="A3012" s="3" t="s">
        <v>9871</v>
      </c>
      <c r="B3012" s="3" t="s">
        <v>498</v>
      </c>
      <c r="C3012" s="3" t="s">
        <v>1342</v>
      </c>
      <c r="D3012" s="3" t="s">
        <v>68</v>
      </c>
      <c r="E3012" s="3" t="s">
        <v>100</v>
      </c>
      <c r="F3012" s="3" t="s">
        <v>1465</v>
      </c>
      <c r="G3012" s="7">
        <v>45965.006232732536</v>
      </c>
    </row>
    <row r="3013">
      <c r="A3013" s="3" t="s">
        <v>9872</v>
      </c>
      <c r="B3013" s="3" t="s">
        <v>864</v>
      </c>
      <c r="C3013" s="3" t="s">
        <v>1095</v>
      </c>
      <c r="D3013" s="3" t="s">
        <v>68</v>
      </c>
      <c r="E3013" s="3" t="s">
        <v>100</v>
      </c>
      <c r="F3013" s="3" t="s">
        <v>1634</v>
      </c>
      <c r="G3013" s="7">
        <v>45965.07740757795</v>
      </c>
    </row>
    <row r="3014">
      <c r="A3014" s="3" t="s">
        <v>9875</v>
      </c>
      <c r="B3014" s="3" t="s">
        <v>877</v>
      </c>
      <c r="C3014" s="3" t="s">
        <v>1342</v>
      </c>
      <c r="D3014" s="3" t="s">
        <v>68</v>
      </c>
      <c r="E3014" s="3" t="s">
        <v>100</v>
      </c>
      <c r="F3014" s="3" t="s">
        <v>1125</v>
      </c>
      <c r="G3014" s="7">
        <v>45965.14858242336</v>
      </c>
    </row>
    <row r="3015">
      <c r="A3015" s="3" t="s">
        <v>9878</v>
      </c>
      <c r="B3015" s="3" t="s">
        <v>763</v>
      </c>
      <c r="C3015" s="3" t="s">
        <v>1095</v>
      </c>
      <c r="D3015" s="3" t="s">
        <v>195</v>
      </c>
      <c r="E3015" s="3" t="s">
        <v>45</v>
      </c>
      <c r="F3015" s="3" t="s">
        <v>1611</v>
      </c>
      <c r="G3015" s="7">
        <v>45965.21975726878</v>
      </c>
    </row>
    <row r="3016">
      <c r="A3016" s="3" t="s">
        <v>9880</v>
      </c>
      <c r="B3016" s="3" t="s">
        <v>253</v>
      </c>
      <c r="C3016" s="3" t="s">
        <v>1342</v>
      </c>
      <c r="D3016" s="3" t="s">
        <v>68</v>
      </c>
      <c r="E3016" s="3" t="s">
        <v>100</v>
      </c>
      <c r="F3016" s="3" t="s">
        <v>959</v>
      </c>
      <c r="G3016" s="7">
        <v>45965.29093211419</v>
      </c>
    </row>
    <row r="3017">
      <c r="A3017" s="3" t="s">
        <v>9882</v>
      </c>
      <c r="B3017" s="3" t="s">
        <v>366</v>
      </c>
      <c r="C3017" s="3" t="s">
        <v>1342</v>
      </c>
      <c r="D3017" s="3" t="s">
        <v>68</v>
      </c>
      <c r="E3017" s="3" t="s">
        <v>100</v>
      </c>
      <c r="F3017" s="3" t="s">
        <v>1625</v>
      </c>
      <c r="G3017" s="7">
        <v>45965.362106959605</v>
      </c>
    </row>
    <row r="3018">
      <c r="A3018" s="3" t="s">
        <v>9885</v>
      </c>
      <c r="B3018" s="3" t="s">
        <v>496</v>
      </c>
      <c r="C3018" s="3" t="s">
        <v>56</v>
      </c>
      <c r="D3018" s="3" t="s">
        <v>68</v>
      </c>
      <c r="E3018" s="3" t="s">
        <v>100</v>
      </c>
      <c r="F3018" s="3" t="s">
        <v>1713</v>
      </c>
      <c r="G3018" s="7">
        <v>45965.433281805024</v>
      </c>
    </row>
    <row r="3019">
      <c r="A3019" s="3" t="s">
        <v>9887</v>
      </c>
      <c r="B3019" s="3" t="s">
        <v>559</v>
      </c>
      <c r="C3019" s="3" t="s">
        <v>1342</v>
      </c>
      <c r="D3019" s="3" t="s">
        <v>181</v>
      </c>
      <c r="E3019" s="3" t="s">
        <v>45</v>
      </c>
      <c r="F3019" s="3" t="s">
        <v>1629</v>
      </c>
      <c r="G3019" s="7">
        <v>45965.504456650444</v>
      </c>
    </row>
    <row r="3020">
      <c r="A3020" s="3" t="s">
        <v>9889</v>
      </c>
      <c r="B3020" s="3" t="s">
        <v>373</v>
      </c>
      <c r="C3020" s="3" t="s">
        <v>56</v>
      </c>
      <c r="D3020" s="3" t="s">
        <v>68</v>
      </c>
      <c r="E3020" s="3" t="s">
        <v>100</v>
      </c>
      <c r="F3020" s="3" t="s">
        <v>1715</v>
      </c>
      <c r="G3020" s="7">
        <v>45965.57563149585</v>
      </c>
    </row>
    <row r="3021">
      <c r="A3021" s="3" t="s">
        <v>9892</v>
      </c>
      <c r="B3021" s="3" t="s">
        <v>629</v>
      </c>
      <c r="C3021" s="3" t="s">
        <v>1342</v>
      </c>
      <c r="D3021" s="3" t="s">
        <v>68</v>
      </c>
      <c r="E3021" s="3" t="s">
        <v>100</v>
      </c>
      <c r="F3021" s="3" t="s">
        <v>1598</v>
      </c>
      <c r="G3021" s="7">
        <v>45965.64680634127</v>
      </c>
    </row>
    <row r="3022">
      <c r="A3022" s="3" t="s">
        <v>9895</v>
      </c>
      <c r="B3022" s="3" t="s">
        <v>485</v>
      </c>
      <c r="C3022" s="3" t="s">
        <v>56</v>
      </c>
      <c r="D3022" s="3" t="s">
        <v>68</v>
      </c>
      <c r="E3022" s="3" t="s">
        <v>100</v>
      </c>
      <c r="F3022" s="3" t="s">
        <v>1718</v>
      </c>
      <c r="G3022" s="7">
        <v>45965.71798118669</v>
      </c>
    </row>
    <row r="3023">
      <c r="A3023" s="3" t="s">
        <v>9896</v>
      </c>
      <c r="B3023" s="3" t="s">
        <v>533</v>
      </c>
      <c r="C3023" s="3" t="s">
        <v>1342</v>
      </c>
      <c r="D3023" s="3" t="s">
        <v>68</v>
      </c>
      <c r="E3023" s="3" t="s">
        <v>100</v>
      </c>
      <c r="F3023" s="3" t="s">
        <v>1338</v>
      </c>
      <c r="G3023" s="7">
        <v>45965.7891560321</v>
      </c>
    </row>
    <row r="3024">
      <c r="A3024" s="3" t="s">
        <v>9898</v>
      </c>
      <c r="B3024" s="3" t="s">
        <v>165</v>
      </c>
      <c r="C3024" s="3" t="s">
        <v>1342</v>
      </c>
      <c r="D3024" s="3" t="s">
        <v>68</v>
      </c>
      <c r="E3024" s="3" t="s">
        <v>100</v>
      </c>
      <c r="F3024" s="3" t="s">
        <v>1319</v>
      </c>
      <c r="G3024" s="7">
        <v>45965.86033087751</v>
      </c>
    </row>
    <row r="3025">
      <c r="A3025" s="3" t="s">
        <v>9900</v>
      </c>
      <c r="B3025" s="3" t="s">
        <v>903</v>
      </c>
      <c r="C3025" s="3" t="s">
        <v>56</v>
      </c>
      <c r="D3025" s="3" t="s">
        <v>68</v>
      </c>
      <c r="E3025" s="3" t="s">
        <v>100</v>
      </c>
      <c r="F3025" s="3" t="s">
        <v>1720</v>
      </c>
      <c r="G3025" s="7">
        <v>45965.93150572293</v>
      </c>
    </row>
    <row r="3026">
      <c r="A3026" s="3" t="s">
        <v>9902</v>
      </c>
      <c r="B3026" s="3" t="s">
        <v>672</v>
      </c>
      <c r="C3026" s="3" t="s">
        <v>56</v>
      </c>
      <c r="D3026" s="3" t="s">
        <v>68</v>
      </c>
      <c r="E3026" s="3" t="s">
        <v>100</v>
      </c>
      <c r="F3026" s="3" t="s">
        <v>1722</v>
      </c>
      <c r="G3026" s="7">
        <v>45966.002680568345</v>
      </c>
    </row>
    <row r="3027">
      <c r="A3027" s="3" t="s">
        <v>9903</v>
      </c>
      <c r="B3027" s="3" t="s">
        <v>307</v>
      </c>
      <c r="C3027" s="3" t="s">
        <v>1342</v>
      </c>
      <c r="D3027" s="3" t="s">
        <v>181</v>
      </c>
      <c r="E3027" s="3" t="s">
        <v>45</v>
      </c>
      <c r="F3027" s="3" t="s">
        <v>1542</v>
      </c>
      <c r="G3027" s="7">
        <v>45966.07385541376</v>
      </c>
    </row>
    <row r="3028">
      <c r="A3028" s="3" t="s">
        <v>9905</v>
      </c>
      <c r="B3028" s="3" t="s">
        <v>145</v>
      </c>
      <c r="C3028" s="3" t="s">
        <v>56</v>
      </c>
      <c r="D3028" s="3" t="s">
        <v>68</v>
      </c>
      <c r="E3028" s="3" t="s">
        <v>100</v>
      </c>
      <c r="F3028" s="3" t="s">
        <v>1724</v>
      </c>
      <c r="G3028" s="7">
        <v>45966.14503025918</v>
      </c>
    </row>
    <row r="3029">
      <c r="A3029" s="3" t="s">
        <v>9907</v>
      </c>
      <c r="B3029" s="3" t="s">
        <v>767</v>
      </c>
      <c r="C3029" s="3" t="s">
        <v>56</v>
      </c>
      <c r="D3029" s="3" t="s">
        <v>68</v>
      </c>
      <c r="E3029" s="3" t="s">
        <v>100</v>
      </c>
      <c r="F3029" s="3" t="s">
        <v>1728</v>
      </c>
      <c r="G3029" s="7">
        <v>45966.21620510459</v>
      </c>
    </row>
    <row r="3030">
      <c r="A3030" s="3" t="s">
        <v>9908</v>
      </c>
      <c r="B3030" s="3" t="s">
        <v>414</v>
      </c>
      <c r="C3030" s="3" t="s">
        <v>1342</v>
      </c>
      <c r="D3030" s="3" t="s">
        <v>68</v>
      </c>
      <c r="E3030" s="3" t="s">
        <v>100</v>
      </c>
      <c r="F3030" s="3" t="s">
        <v>2077</v>
      </c>
      <c r="G3030" s="7">
        <v>45966.28737995</v>
      </c>
    </row>
    <row r="3031">
      <c r="A3031" s="3" t="s">
        <v>9910</v>
      </c>
      <c r="B3031" s="3" t="s">
        <v>591</v>
      </c>
      <c r="C3031" s="3" t="s">
        <v>1342</v>
      </c>
      <c r="D3031" s="3" t="s">
        <v>68</v>
      </c>
      <c r="E3031" s="3" t="s">
        <v>100</v>
      </c>
      <c r="F3031" s="3" t="s">
        <v>1687</v>
      </c>
      <c r="G3031" s="7">
        <v>45966.35855479542</v>
      </c>
    </row>
    <row r="3032">
      <c r="A3032" s="3" t="s">
        <v>9912</v>
      </c>
      <c r="B3032" s="3" t="s">
        <v>631</v>
      </c>
      <c r="C3032" s="3" t="s">
        <v>1342</v>
      </c>
      <c r="D3032" s="3" t="s">
        <v>181</v>
      </c>
      <c r="E3032" s="3" t="s">
        <v>45</v>
      </c>
      <c r="F3032" s="3" t="s">
        <v>1066</v>
      </c>
      <c r="G3032" s="7">
        <v>45966.42972964083</v>
      </c>
    </row>
    <row r="3033">
      <c r="A3033" s="3" t="s">
        <v>9914</v>
      </c>
      <c r="B3033" s="3" t="s">
        <v>557</v>
      </c>
      <c r="C3033" s="3" t="s">
        <v>1342</v>
      </c>
      <c r="D3033" s="3" t="s">
        <v>68</v>
      </c>
      <c r="E3033" s="3" t="s">
        <v>100</v>
      </c>
      <c r="F3033" s="3" t="s">
        <v>1681</v>
      </c>
      <c r="G3033" s="7">
        <v>45966.500904486245</v>
      </c>
    </row>
    <row r="3034">
      <c r="A3034" s="3" t="s">
        <v>9916</v>
      </c>
      <c r="B3034" s="3" t="s">
        <v>561</v>
      </c>
      <c r="C3034" s="3" t="s">
        <v>56</v>
      </c>
      <c r="D3034" s="3" t="s">
        <v>68</v>
      </c>
      <c r="E3034" s="3" t="s">
        <v>100</v>
      </c>
      <c r="F3034" s="3" t="s">
        <v>1730</v>
      </c>
      <c r="G3034" s="7">
        <v>45966.572079331665</v>
      </c>
    </row>
    <row r="3035">
      <c r="A3035" s="3" t="s">
        <v>9918</v>
      </c>
      <c r="B3035" s="3" t="s">
        <v>920</v>
      </c>
      <c r="C3035" s="3" t="s">
        <v>1095</v>
      </c>
      <c r="D3035" s="3" t="s">
        <v>68</v>
      </c>
      <c r="E3035" s="3" t="s">
        <v>100</v>
      </c>
      <c r="F3035" s="3" t="s">
        <v>1039</v>
      </c>
      <c r="G3035" s="7">
        <v>45966.643254177085</v>
      </c>
    </row>
    <row r="3036">
      <c r="A3036" s="3" t="s">
        <v>9921</v>
      </c>
      <c r="B3036" s="3" t="s">
        <v>168</v>
      </c>
      <c r="C3036" s="3" t="s">
        <v>1342</v>
      </c>
      <c r="D3036" s="3" t="s">
        <v>68</v>
      </c>
      <c r="E3036" s="3" t="s">
        <v>100</v>
      </c>
      <c r="F3036" s="3" t="s">
        <v>1535</v>
      </c>
      <c r="G3036" s="7">
        <v>45966.71442902249</v>
      </c>
    </row>
    <row r="3037">
      <c r="A3037" s="3" t="s">
        <v>9924</v>
      </c>
      <c r="B3037" s="3" t="s">
        <v>886</v>
      </c>
      <c r="C3037" s="3" t="s">
        <v>1342</v>
      </c>
      <c r="D3037" s="3" t="s">
        <v>68</v>
      </c>
      <c r="E3037" s="3" t="s">
        <v>100</v>
      </c>
      <c r="F3037" s="3" t="s">
        <v>1641</v>
      </c>
      <c r="G3037" s="7">
        <v>45966.78560386791</v>
      </c>
    </row>
    <row r="3038">
      <c r="A3038" s="3" t="s">
        <v>9926</v>
      </c>
      <c r="B3038" s="3" t="s">
        <v>547</v>
      </c>
      <c r="C3038" s="3" t="s">
        <v>1095</v>
      </c>
      <c r="D3038" s="3" t="s">
        <v>181</v>
      </c>
      <c r="E3038" s="3" t="s">
        <v>45</v>
      </c>
      <c r="F3038" s="3" t="s">
        <v>1171</v>
      </c>
      <c r="G3038" s="7">
        <v>45966.85677871333</v>
      </c>
    </row>
    <row r="3039">
      <c r="A3039" s="3" t="s">
        <v>9928</v>
      </c>
      <c r="B3039" s="3" t="s">
        <v>767</v>
      </c>
      <c r="C3039" s="3" t="s">
        <v>1342</v>
      </c>
      <c r="D3039" s="3" t="s">
        <v>68</v>
      </c>
      <c r="E3039" s="3" t="s">
        <v>100</v>
      </c>
      <c r="F3039" s="3" t="s">
        <v>1728</v>
      </c>
      <c r="G3039" s="7">
        <v>45966.92795355874</v>
      </c>
    </row>
    <row r="3040">
      <c r="A3040" s="3" t="s">
        <v>9931</v>
      </c>
      <c r="B3040" s="3" t="s">
        <v>650</v>
      </c>
      <c r="C3040" s="3" t="s">
        <v>1095</v>
      </c>
      <c r="D3040" s="3" t="s">
        <v>68</v>
      </c>
      <c r="E3040" s="3" t="s">
        <v>100</v>
      </c>
      <c r="F3040" s="3" t="s">
        <v>1004</v>
      </c>
      <c r="G3040" s="7">
        <v>45966.99912840415</v>
      </c>
    </row>
    <row r="3041">
      <c r="A3041" s="3" t="s">
        <v>9934</v>
      </c>
      <c r="B3041" s="3" t="s">
        <v>929</v>
      </c>
      <c r="C3041" s="3" t="s">
        <v>1342</v>
      </c>
      <c r="D3041" s="3" t="s">
        <v>68</v>
      </c>
      <c r="E3041" s="3" t="s">
        <v>100</v>
      </c>
      <c r="F3041" s="3" t="s">
        <v>1161</v>
      </c>
      <c r="G3041" s="7">
        <v>45967.07030324957</v>
      </c>
    </row>
    <row r="3042">
      <c r="A3042" s="3" t="s">
        <v>9936</v>
      </c>
      <c r="B3042" s="3" t="s">
        <v>710</v>
      </c>
      <c r="C3042" s="3" t="s">
        <v>1342</v>
      </c>
      <c r="D3042" s="3" t="s">
        <v>181</v>
      </c>
      <c r="E3042" s="3" t="s">
        <v>45</v>
      </c>
      <c r="F3042" s="3" t="s">
        <v>1619</v>
      </c>
      <c r="G3042" s="7">
        <v>45967.141478094985</v>
      </c>
    </row>
    <row r="3043">
      <c r="A3043" s="3" t="s">
        <v>9938</v>
      </c>
      <c r="B3043" s="3" t="s">
        <v>462</v>
      </c>
      <c r="C3043" s="3" t="s">
        <v>56</v>
      </c>
      <c r="D3043" s="3" t="s">
        <v>68</v>
      </c>
      <c r="E3043" s="3" t="s">
        <v>100</v>
      </c>
      <c r="F3043" s="3" t="s">
        <v>1733</v>
      </c>
      <c r="G3043" s="7">
        <v>45967.2126529404</v>
      </c>
    </row>
    <row r="3044">
      <c r="A3044" s="3" t="s">
        <v>9941</v>
      </c>
      <c r="B3044" s="3" t="s">
        <v>307</v>
      </c>
      <c r="C3044" s="3" t="s">
        <v>1342</v>
      </c>
      <c r="D3044" s="3" t="s">
        <v>195</v>
      </c>
      <c r="E3044" s="3" t="s">
        <v>45</v>
      </c>
      <c r="F3044" s="3" t="s">
        <v>1542</v>
      </c>
      <c r="G3044" s="7">
        <v>45967.28382778582</v>
      </c>
    </row>
    <row r="3045">
      <c r="A3045" s="3" t="s">
        <v>9942</v>
      </c>
      <c r="B3045" s="3" t="s">
        <v>800</v>
      </c>
      <c r="C3045" s="3" t="s">
        <v>1095</v>
      </c>
      <c r="D3045" s="3" t="s">
        <v>68</v>
      </c>
      <c r="E3045" s="3" t="s">
        <v>100</v>
      </c>
      <c r="F3045" s="3" t="s">
        <v>1448</v>
      </c>
      <c r="G3045" s="7">
        <v>45967.35500263124</v>
      </c>
    </row>
    <row r="3046">
      <c r="A3046" s="3" t="s">
        <v>9945</v>
      </c>
      <c r="B3046" s="3" t="s">
        <v>472</v>
      </c>
      <c r="C3046" s="3" t="s">
        <v>56</v>
      </c>
      <c r="D3046" s="3" t="s">
        <v>68</v>
      </c>
      <c r="E3046" s="3" t="s">
        <v>100</v>
      </c>
      <c r="F3046" s="3" t="s">
        <v>1738</v>
      </c>
      <c r="G3046" s="7">
        <v>45967.42617747664</v>
      </c>
    </row>
    <row r="3047">
      <c r="A3047" s="3" t="s">
        <v>9948</v>
      </c>
      <c r="B3047" s="3" t="s">
        <v>256</v>
      </c>
      <c r="C3047" s="3" t="s">
        <v>56</v>
      </c>
      <c r="D3047" s="3" t="s">
        <v>181</v>
      </c>
      <c r="E3047" s="3" t="s">
        <v>45</v>
      </c>
      <c r="F3047" s="3" t="s">
        <v>45</v>
      </c>
      <c r="G3047" s="7">
        <v>45967.49735232206</v>
      </c>
    </row>
    <row r="3048">
      <c r="A3048" s="3" t="s">
        <v>9950</v>
      </c>
      <c r="B3048" s="3" t="s">
        <v>373</v>
      </c>
      <c r="C3048" s="3" t="s">
        <v>1342</v>
      </c>
      <c r="D3048" s="3" t="s">
        <v>68</v>
      </c>
      <c r="E3048" s="3" t="s">
        <v>100</v>
      </c>
      <c r="F3048" s="3" t="s">
        <v>1715</v>
      </c>
      <c r="G3048" s="7">
        <v>45967.568527167474</v>
      </c>
    </row>
    <row r="3049">
      <c r="A3049" s="3" t="s">
        <v>9952</v>
      </c>
      <c r="B3049" s="3" t="s">
        <v>922</v>
      </c>
      <c r="C3049" s="3" t="s">
        <v>1095</v>
      </c>
      <c r="D3049" s="3" t="s">
        <v>68</v>
      </c>
      <c r="E3049" s="3" t="s">
        <v>100</v>
      </c>
      <c r="F3049" s="3" t="s">
        <v>1438</v>
      </c>
      <c r="G3049" s="7">
        <v>45967.63970201289</v>
      </c>
    </row>
    <row r="3050">
      <c r="A3050" s="3" t="s">
        <v>9955</v>
      </c>
      <c r="B3050" s="3" t="s">
        <v>145</v>
      </c>
      <c r="C3050" s="3" t="s">
        <v>1095</v>
      </c>
      <c r="D3050" s="3" t="s">
        <v>68</v>
      </c>
      <c r="E3050" s="3" t="s">
        <v>100</v>
      </c>
      <c r="F3050" s="3" t="s">
        <v>1724</v>
      </c>
      <c r="G3050" s="7">
        <v>45967.710876858306</v>
      </c>
    </row>
    <row r="3051">
      <c r="A3051" s="3" t="s">
        <v>9958</v>
      </c>
      <c r="B3051" s="3" t="s">
        <v>539</v>
      </c>
      <c r="C3051" s="3" t="s">
        <v>1342</v>
      </c>
      <c r="D3051" s="3" t="s">
        <v>181</v>
      </c>
      <c r="E3051" s="3" t="s">
        <v>45</v>
      </c>
      <c r="F3051" s="3" t="s">
        <v>1094</v>
      </c>
      <c r="G3051" s="7">
        <v>45967.782051703725</v>
      </c>
    </row>
    <row r="3052">
      <c r="A3052" s="3" t="s">
        <v>9959</v>
      </c>
      <c r="B3052" s="3" t="s">
        <v>472</v>
      </c>
      <c r="C3052" s="3" t="s">
        <v>1342</v>
      </c>
      <c r="D3052" s="3" t="s">
        <v>68</v>
      </c>
      <c r="E3052" s="3" t="s">
        <v>100</v>
      </c>
      <c r="F3052" s="3" t="s">
        <v>1738</v>
      </c>
      <c r="G3052" s="7">
        <v>45967.85322654913</v>
      </c>
    </row>
    <row r="3053">
      <c r="A3053" s="3" t="s">
        <v>9962</v>
      </c>
      <c r="B3053" s="3" t="s">
        <v>481</v>
      </c>
      <c r="C3053" s="3" t="s">
        <v>56</v>
      </c>
      <c r="D3053" s="3" t="s">
        <v>68</v>
      </c>
      <c r="E3053" s="3" t="s">
        <v>100</v>
      </c>
      <c r="F3053" s="3" t="s">
        <v>1740</v>
      </c>
      <c r="G3053" s="7">
        <v>45967.92440139455</v>
      </c>
    </row>
    <row r="3054">
      <c r="A3054" s="3" t="s">
        <v>9965</v>
      </c>
      <c r="B3054" s="3" t="s">
        <v>516</v>
      </c>
      <c r="C3054" s="3" t="s">
        <v>1095</v>
      </c>
      <c r="D3054" s="3" t="s">
        <v>68</v>
      </c>
      <c r="E3054" s="3" t="s">
        <v>100</v>
      </c>
      <c r="F3054" s="3" t="s">
        <v>1691</v>
      </c>
      <c r="G3054" s="7">
        <v>45967.99557623997</v>
      </c>
    </row>
    <row r="3055">
      <c r="A3055" s="3" t="s">
        <v>9967</v>
      </c>
      <c r="B3055" s="3" t="s">
        <v>565</v>
      </c>
      <c r="C3055" s="3" t="s">
        <v>56</v>
      </c>
      <c r="D3055" s="3" t="s">
        <v>68</v>
      </c>
      <c r="E3055" s="3" t="s">
        <v>100</v>
      </c>
      <c r="F3055" s="3" t="s">
        <v>1743</v>
      </c>
      <c r="G3055" s="7">
        <v>45968.06675108538</v>
      </c>
    </row>
    <row r="3056">
      <c r="A3056" s="3" t="s">
        <v>9969</v>
      </c>
      <c r="B3056" s="3" t="s">
        <v>735</v>
      </c>
      <c r="C3056" s="3" t="s">
        <v>56</v>
      </c>
      <c r="D3056" s="3" t="s">
        <v>68</v>
      </c>
      <c r="E3056" s="3" t="s">
        <v>100</v>
      </c>
      <c r="F3056" s="3" t="s">
        <v>1745</v>
      </c>
      <c r="G3056" s="7">
        <v>45968.137925930794</v>
      </c>
    </row>
    <row r="3057">
      <c r="A3057" s="3" t="s">
        <v>9972</v>
      </c>
      <c r="B3057" s="3" t="s">
        <v>524</v>
      </c>
      <c r="C3057" s="3" t="s">
        <v>1095</v>
      </c>
      <c r="D3057" s="3" t="s">
        <v>68</v>
      </c>
      <c r="E3057" s="3" t="s">
        <v>100</v>
      </c>
      <c r="F3057" s="3" t="s">
        <v>1709</v>
      </c>
      <c r="G3057" s="7">
        <v>45968.209100776214</v>
      </c>
    </row>
    <row r="3058">
      <c r="A3058" s="3" t="s">
        <v>9975</v>
      </c>
      <c r="B3058" s="3" t="s">
        <v>830</v>
      </c>
      <c r="C3058" s="3" t="s">
        <v>1342</v>
      </c>
      <c r="D3058" s="3" t="s">
        <v>68</v>
      </c>
      <c r="E3058" s="3" t="s">
        <v>100</v>
      </c>
      <c r="F3058" s="3" t="s">
        <v>1553</v>
      </c>
      <c r="G3058" s="7">
        <v>45968.280275621626</v>
      </c>
    </row>
    <row r="3059">
      <c r="A3059" s="3" t="s">
        <v>9977</v>
      </c>
      <c r="B3059" s="3" t="s">
        <v>1008</v>
      </c>
      <c r="C3059" s="3" t="s">
        <v>1342</v>
      </c>
      <c r="D3059" s="3" t="s">
        <v>68</v>
      </c>
      <c r="E3059" s="3" t="s">
        <v>100</v>
      </c>
      <c r="F3059" s="3" t="s">
        <v>2108</v>
      </c>
      <c r="G3059" s="7">
        <v>45968.35145046704</v>
      </c>
    </row>
    <row r="3060">
      <c r="A3060" s="3" t="s">
        <v>9979</v>
      </c>
      <c r="B3060" s="3" t="s">
        <v>574</v>
      </c>
      <c r="C3060" s="3" t="s">
        <v>56</v>
      </c>
      <c r="D3060" s="3" t="s">
        <v>68</v>
      </c>
      <c r="E3060" s="3" t="s">
        <v>100</v>
      </c>
      <c r="F3060" s="3" t="s">
        <v>1747</v>
      </c>
      <c r="G3060" s="7">
        <v>45968.42262531246</v>
      </c>
    </row>
    <row r="3061">
      <c r="A3061" s="3" t="s">
        <v>9982</v>
      </c>
      <c r="B3061" s="3" t="s">
        <v>550</v>
      </c>
      <c r="C3061" s="3" t="s">
        <v>1342</v>
      </c>
      <c r="D3061" s="3" t="s">
        <v>68</v>
      </c>
      <c r="E3061" s="3" t="s">
        <v>100</v>
      </c>
      <c r="F3061" s="3" t="s">
        <v>2101</v>
      </c>
      <c r="G3061" s="7">
        <v>45968.49380015788</v>
      </c>
    </row>
    <row r="3062">
      <c r="A3062" s="3" t="s">
        <v>9985</v>
      </c>
      <c r="B3062" s="3" t="s">
        <v>414</v>
      </c>
      <c r="C3062" s="3" t="s">
        <v>1342</v>
      </c>
      <c r="D3062" s="3" t="s">
        <v>68</v>
      </c>
      <c r="E3062" s="3" t="s">
        <v>100</v>
      </c>
      <c r="F3062" s="3" t="s">
        <v>2077</v>
      </c>
      <c r="G3062" s="7">
        <v>45968.56497500328</v>
      </c>
    </row>
    <row r="3063">
      <c r="A3063" s="3" t="s">
        <v>9987</v>
      </c>
      <c r="B3063" s="3" t="s">
        <v>336</v>
      </c>
      <c r="C3063" s="3" t="s">
        <v>1342</v>
      </c>
      <c r="D3063" s="3" t="s">
        <v>68</v>
      </c>
      <c r="E3063" s="3" t="s">
        <v>100</v>
      </c>
      <c r="F3063" s="3" t="s">
        <v>1595</v>
      </c>
      <c r="G3063" s="7">
        <v>45968.6361498487</v>
      </c>
    </row>
    <row r="3064">
      <c r="A3064" s="3" t="s">
        <v>9989</v>
      </c>
      <c r="B3064" s="3" t="s">
        <v>605</v>
      </c>
      <c r="C3064" s="3" t="s">
        <v>1342</v>
      </c>
      <c r="D3064" s="3" t="s">
        <v>68</v>
      </c>
      <c r="E3064" s="3" t="s">
        <v>100</v>
      </c>
      <c r="F3064" s="3" t="s">
        <v>1699</v>
      </c>
      <c r="G3064" s="7">
        <v>45968.707324694115</v>
      </c>
    </row>
    <row r="3065">
      <c r="A3065" s="3" t="s">
        <v>9992</v>
      </c>
      <c r="B3065" s="3" t="s">
        <v>926</v>
      </c>
      <c r="C3065" s="3" t="s">
        <v>56</v>
      </c>
      <c r="D3065" s="3" t="s">
        <v>68</v>
      </c>
      <c r="E3065" s="3" t="s">
        <v>100</v>
      </c>
      <c r="F3065" s="3" t="s">
        <v>1750</v>
      </c>
      <c r="G3065" s="7">
        <v>45968.778499539534</v>
      </c>
    </row>
    <row r="3066">
      <c r="A3066" s="3" t="s">
        <v>9995</v>
      </c>
      <c r="B3066" s="3" t="s">
        <v>211</v>
      </c>
      <c r="C3066" s="3" t="s">
        <v>56</v>
      </c>
      <c r="D3066" s="3" t="s">
        <v>68</v>
      </c>
      <c r="E3066" s="3" t="s">
        <v>100</v>
      </c>
      <c r="F3066" s="3" t="s">
        <v>1751</v>
      </c>
      <c r="G3066" s="7">
        <v>45968.84967438495</v>
      </c>
    </row>
    <row r="3067">
      <c r="A3067" s="3" t="s">
        <v>9997</v>
      </c>
      <c r="B3067" s="3" t="s">
        <v>224</v>
      </c>
      <c r="C3067" s="3" t="s">
        <v>1095</v>
      </c>
      <c r="D3067" s="3" t="s">
        <v>68</v>
      </c>
      <c r="E3067" s="3" t="s">
        <v>100</v>
      </c>
      <c r="F3067" s="3" t="s">
        <v>1701</v>
      </c>
      <c r="G3067" s="7">
        <v>45968.920849230366</v>
      </c>
    </row>
    <row r="3068">
      <c r="A3068" s="3" t="s">
        <v>9999</v>
      </c>
      <c r="B3068" s="3" t="s">
        <v>949</v>
      </c>
      <c r="C3068" s="3" t="s">
        <v>56</v>
      </c>
      <c r="D3068" s="3" t="s">
        <v>68</v>
      </c>
      <c r="E3068" s="3" t="s">
        <v>100</v>
      </c>
      <c r="F3068" s="3" t="s">
        <v>1753</v>
      </c>
      <c r="G3068" s="7">
        <v>45968.99202407578</v>
      </c>
    </row>
    <row r="3069">
      <c r="A3069" s="3" t="s">
        <v>10002</v>
      </c>
      <c r="B3069" s="3" t="s">
        <v>976</v>
      </c>
      <c r="C3069" s="3" t="s">
        <v>56</v>
      </c>
      <c r="D3069" s="3" t="s">
        <v>68</v>
      </c>
      <c r="E3069" s="3" t="s">
        <v>100</v>
      </c>
      <c r="F3069" s="3" t="s">
        <v>1755</v>
      </c>
      <c r="G3069" s="7">
        <v>45969.06319892119</v>
      </c>
    </row>
    <row r="3070">
      <c r="A3070" s="3" t="s">
        <v>10004</v>
      </c>
      <c r="B3070" s="3" t="s">
        <v>307</v>
      </c>
      <c r="C3070" s="3" t="s">
        <v>1342</v>
      </c>
      <c r="D3070" s="3" t="s">
        <v>68</v>
      </c>
      <c r="E3070" s="3" t="s">
        <v>100</v>
      </c>
      <c r="F3070" s="3" t="s">
        <v>1542</v>
      </c>
      <c r="G3070" s="7">
        <v>45969.13437376661</v>
      </c>
    </row>
    <row r="3071">
      <c r="A3071" s="3" t="s">
        <v>10006</v>
      </c>
      <c r="B3071" s="3" t="s">
        <v>980</v>
      </c>
      <c r="C3071" s="3" t="s">
        <v>1342</v>
      </c>
      <c r="D3071" s="3" t="s">
        <v>68</v>
      </c>
      <c r="E3071" s="3" t="s">
        <v>100</v>
      </c>
      <c r="F3071" s="3" t="s">
        <v>1307</v>
      </c>
      <c r="G3071" s="7">
        <v>45969.20554861202</v>
      </c>
    </row>
    <row r="3072">
      <c r="A3072" s="3" t="s">
        <v>10009</v>
      </c>
      <c r="B3072" s="3" t="s">
        <v>579</v>
      </c>
      <c r="C3072" s="3" t="s">
        <v>1342</v>
      </c>
      <c r="D3072" s="3" t="s">
        <v>68</v>
      </c>
      <c r="E3072" s="3" t="s">
        <v>100</v>
      </c>
      <c r="F3072" s="3" t="s">
        <v>1538</v>
      </c>
      <c r="G3072" s="7">
        <v>45969.276723457435</v>
      </c>
    </row>
    <row r="3073">
      <c r="A3073" s="3" t="s">
        <v>10012</v>
      </c>
      <c r="B3073" s="3" t="s">
        <v>230</v>
      </c>
      <c r="C3073" s="3" t="s">
        <v>1342</v>
      </c>
      <c r="D3073" s="3" t="s">
        <v>68</v>
      </c>
      <c r="E3073" s="3" t="s">
        <v>100</v>
      </c>
      <c r="F3073" s="3" t="s">
        <v>1647</v>
      </c>
      <c r="G3073" s="7">
        <v>45969.347898302854</v>
      </c>
    </row>
    <row r="3074">
      <c r="A3074" s="3" t="s">
        <v>10014</v>
      </c>
      <c r="B3074" s="3" t="s">
        <v>694</v>
      </c>
      <c r="C3074" s="3" t="s">
        <v>1342</v>
      </c>
      <c r="D3074" s="3" t="s">
        <v>181</v>
      </c>
      <c r="E3074" s="3" t="s">
        <v>45</v>
      </c>
      <c r="F3074" s="3" t="s">
        <v>646</v>
      </c>
      <c r="G3074" s="7">
        <v>45969.41907314827</v>
      </c>
    </row>
    <row r="3075">
      <c r="A3075" s="3" t="s">
        <v>10016</v>
      </c>
      <c r="B3075" s="3" t="s">
        <v>691</v>
      </c>
      <c r="C3075" s="3" t="s">
        <v>1342</v>
      </c>
      <c r="D3075" s="3" t="s">
        <v>68</v>
      </c>
      <c r="E3075" s="3" t="s">
        <v>100</v>
      </c>
      <c r="F3075" s="3" t="s">
        <v>1958</v>
      </c>
      <c r="G3075" s="7">
        <v>45969.49024799368</v>
      </c>
    </row>
    <row r="3076">
      <c r="A3076" s="3" t="s">
        <v>10019</v>
      </c>
      <c r="B3076" s="3" t="s">
        <v>811</v>
      </c>
      <c r="C3076" s="3" t="s">
        <v>1095</v>
      </c>
      <c r="D3076" s="3" t="s">
        <v>68</v>
      </c>
      <c r="E3076" s="3" t="s">
        <v>100</v>
      </c>
      <c r="F3076" s="3" t="s">
        <v>780</v>
      </c>
      <c r="G3076" s="7">
        <v>45969.5614228391</v>
      </c>
    </row>
    <row r="3077">
      <c r="A3077" s="3" t="s">
        <v>10022</v>
      </c>
      <c r="B3077" s="3" t="s">
        <v>655</v>
      </c>
      <c r="C3077" s="3" t="s">
        <v>1342</v>
      </c>
      <c r="D3077" s="3" t="s">
        <v>68</v>
      </c>
      <c r="E3077" s="3" t="s">
        <v>100</v>
      </c>
      <c r="F3077" s="3" t="s">
        <v>1690</v>
      </c>
      <c r="G3077" s="7">
        <v>45969.63259768452</v>
      </c>
    </row>
    <row r="3078">
      <c r="A3078" s="3" t="s">
        <v>10024</v>
      </c>
      <c r="B3078" s="3" t="s">
        <v>336</v>
      </c>
      <c r="C3078" s="3" t="s">
        <v>1342</v>
      </c>
      <c r="D3078" s="3" t="s">
        <v>68</v>
      </c>
      <c r="E3078" s="3" t="s">
        <v>100</v>
      </c>
      <c r="F3078" s="3" t="s">
        <v>1595</v>
      </c>
      <c r="G3078" s="7">
        <v>45969.70377252992</v>
      </c>
    </row>
    <row r="3079">
      <c r="A3079" s="3" t="s">
        <v>10026</v>
      </c>
      <c r="B3079" s="3" t="s">
        <v>516</v>
      </c>
      <c r="C3079" s="3" t="s">
        <v>56</v>
      </c>
      <c r="D3079" s="3" t="s">
        <v>68</v>
      </c>
      <c r="E3079" s="3" t="s">
        <v>100</v>
      </c>
      <c r="F3079" s="3" t="s">
        <v>1757</v>
      </c>
      <c r="G3079" s="7">
        <v>45969.77494737534</v>
      </c>
    </row>
    <row r="3080">
      <c r="A3080" s="3" t="s">
        <v>10029</v>
      </c>
      <c r="B3080" s="3" t="s">
        <v>565</v>
      </c>
      <c r="C3080" s="3" t="s">
        <v>1342</v>
      </c>
      <c r="D3080" s="3" t="s">
        <v>68</v>
      </c>
      <c r="E3080" s="3" t="s">
        <v>100</v>
      </c>
      <c r="F3080" s="3" t="s">
        <v>1743</v>
      </c>
      <c r="G3080" s="7">
        <v>45969.84612222076</v>
      </c>
    </row>
    <row r="3081">
      <c r="A3081" s="3" t="s">
        <v>10030</v>
      </c>
      <c r="B3081" s="3" t="s">
        <v>752</v>
      </c>
      <c r="C3081" s="3" t="s">
        <v>56</v>
      </c>
      <c r="D3081" s="3" t="s">
        <v>68</v>
      </c>
      <c r="E3081" s="3" t="s">
        <v>100</v>
      </c>
      <c r="F3081" s="3" t="s">
        <v>1759</v>
      </c>
      <c r="G3081" s="7">
        <v>45969.917297066175</v>
      </c>
    </row>
    <row r="3082">
      <c r="A3082" s="3" t="s">
        <v>10032</v>
      </c>
      <c r="B3082" s="3" t="s">
        <v>559</v>
      </c>
      <c r="C3082" s="3" t="s">
        <v>1342</v>
      </c>
      <c r="D3082" s="3" t="s">
        <v>68</v>
      </c>
      <c r="E3082" s="3" t="s">
        <v>100</v>
      </c>
      <c r="F3082" s="3" t="s">
        <v>1629</v>
      </c>
      <c r="G3082" s="7">
        <v>45969.98847191159</v>
      </c>
    </row>
    <row r="3083">
      <c r="A3083" s="3" t="s">
        <v>10034</v>
      </c>
      <c r="B3083" s="3" t="s">
        <v>796</v>
      </c>
      <c r="C3083" s="3" t="s">
        <v>1095</v>
      </c>
      <c r="D3083" s="3" t="s">
        <v>181</v>
      </c>
      <c r="E3083" s="3" t="s">
        <v>45</v>
      </c>
      <c r="F3083" s="3" t="s">
        <v>991</v>
      </c>
      <c r="G3083" s="7">
        <v>45970.05964675701</v>
      </c>
    </row>
    <row r="3084">
      <c r="A3084" s="3" t="s">
        <v>10036</v>
      </c>
      <c r="B3084" s="3" t="s">
        <v>596</v>
      </c>
      <c r="C3084" s="3" t="s">
        <v>1095</v>
      </c>
      <c r="D3084" s="3" t="s">
        <v>68</v>
      </c>
      <c r="E3084" s="3" t="s">
        <v>100</v>
      </c>
      <c r="F3084" s="3" t="s">
        <v>1495</v>
      </c>
      <c r="G3084" s="7">
        <v>45970.13082160242</v>
      </c>
    </row>
    <row r="3085">
      <c r="A3085" s="3" t="s">
        <v>10037</v>
      </c>
      <c r="B3085" s="3" t="s">
        <v>629</v>
      </c>
      <c r="C3085" s="3" t="s">
        <v>1342</v>
      </c>
      <c r="D3085" s="3" t="s">
        <v>68</v>
      </c>
      <c r="E3085" s="3" t="s">
        <v>100</v>
      </c>
      <c r="F3085" s="3" t="s">
        <v>1598</v>
      </c>
      <c r="G3085" s="7">
        <v>45970.20199644783</v>
      </c>
    </row>
    <row r="3086">
      <c r="A3086" s="3" t="s">
        <v>10039</v>
      </c>
      <c r="B3086" s="3" t="s">
        <v>937</v>
      </c>
      <c r="C3086" s="3" t="s">
        <v>1342</v>
      </c>
      <c r="D3086" s="3" t="s">
        <v>68</v>
      </c>
      <c r="E3086" s="3" t="s">
        <v>100</v>
      </c>
      <c r="F3086" s="3" t="s">
        <v>1214</v>
      </c>
      <c r="G3086" s="7">
        <v>45970.27317129325</v>
      </c>
    </row>
    <row r="3087">
      <c r="A3087" s="3" t="s">
        <v>10042</v>
      </c>
      <c r="B3087" s="3" t="s">
        <v>669</v>
      </c>
      <c r="C3087" s="3" t="s">
        <v>1342</v>
      </c>
      <c r="D3087" s="3" t="s">
        <v>68</v>
      </c>
      <c r="E3087" s="3" t="s">
        <v>100</v>
      </c>
      <c r="F3087" s="3" t="s">
        <v>815</v>
      </c>
      <c r="G3087" s="7">
        <v>45970.34434613866</v>
      </c>
    </row>
    <row r="3088">
      <c r="A3088" s="3" t="s">
        <v>10044</v>
      </c>
      <c r="B3088" s="3" t="s">
        <v>860</v>
      </c>
      <c r="C3088" s="3" t="s">
        <v>1095</v>
      </c>
      <c r="D3088" s="3" t="s">
        <v>195</v>
      </c>
      <c r="E3088" s="3" t="s">
        <v>45</v>
      </c>
      <c r="F3088" s="3" t="s">
        <v>1302</v>
      </c>
      <c r="G3088" s="7">
        <v>45970.415520984076</v>
      </c>
    </row>
    <row r="3089">
      <c r="A3089" s="3" t="s">
        <v>10046</v>
      </c>
      <c r="B3089" s="3" t="s">
        <v>752</v>
      </c>
      <c r="C3089" s="3" t="s">
        <v>1342</v>
      </c>
      <c r="D3089" s="3" t="s">
        <v>68</v>
      </c>
      <c r="E3089" s="3" t="s">
        <v>100</v>
      </c>
      <c r="F3089" s="3" t="s">
        <v>1759</v>
      </c>
      <c r="G3089" s="7">
        <v>45970.486695829495</v>
      </c>
    </row>
    <row r="3090">
      <c r="A3090" s="3" t="s">
        <v>10049</v>
      </c>
      <c r="B3090" s="3" t="s">
        <v>391</v>
      </c>
      <c r="C3090" s="3" t="s">
        <v>1342</v>
      </c>
      <c r="D3090" s="3" t="s">
        <v>68</v>
      </c>
      <c r="E3090" s="3" t="s">
        <v>100</v>
      </c>
      <c r="F3090" s="3" t="s">
        <v>1566</v>
      </c>
      <c r="G3090" s="7">
        <v>45970.55787067491</v>
      </c>
    </row>
    <row r="3091">
      <c r="A3091" s="3" t="s">
        <v>10052</v>
      </c>
      <c r="B3091" s="3" t="s">
        <v>512</v>
      </c>
      <c r="C3091" s="3" t="s">
        <v>1095</v>
      </c>
      <c r="D3091" s="3" t="s">
        <v>68</v>
      </c>
      <c r="E3091" s="3" t="s">
        <v>100</v>
      </c>
      <c r="F3091" s="3" t="s">
        <v>1520</v>
      </c>
      <c r="G3091" s="7">
        <v>45970.62904552032</v>
      </c>
    </row>
    <row r="3092">
      <c r="A3092" s="3" t="s">
        <v>10053</v>
      </c>
      <c r="B3092" s="3" t="s">
        <v>908</v>
      </c>
      <c r="C3092" s="3" t="s">
        <v>1342</v>
      </c>
      <c r="D3092" s="3" t="s">
        <v>68</v>
      </c>
      <c r="E3092" s="3" t="s">
        <v>100</v>
      </c>
      <c r="F3092" s="3" t="s">
        <v>1324</v>
      </c>
      <c r="G3092" s="7">
        <v>45970.70022036574</v>
      </c>
    </row>
    <row r="3093">
      <c r="A3093" s="3" t="s">
        <v>10056</v>
      </c>
      <c r="B3093" s="3" t="s">
        <v>637</v>
      </c>
      <c r="C3093" s="3" t="s">
        <v>1095</v>
      </c>
      <c r="D3093" s="3" t="s">
        <v>68</v>
      </c>
      <c r="E3093" s="3" t="s">
        <v>100</v>
      </c>
      <c r="F3093" s="3" t="s">
        <v>1501</v>
      </c>
      <c r="G3093" s="7">
        <v>45970.77139521116</v>
      </c>
    </row>
    <row r="3094">
      <c r="A3094" s="3" t="s">
        <v>10059</v>
      </c>
      <c r="B3094" s="3" t="s">
        <v>676</v>
      </c>
      <c r="C3094" s="3" t="s">
        <v>56</v>
      </c>
      <c r="D3094" s="3" t="s">
        <v>68</v>
      </c>
      <c r="E3094" s="3" t="s">
        <v>100</v>
      </c>
      <c r="F3094" s="3" t="s">
        <v>1762</v>
      </c>
      <c r="G3094" s="7">
        <v>45970.842570056564</v>
      </c>
    </row>
    <row r="3095">
      <c r="A3095" s="3" t="s">
        <v>10062</v>
      </c>
      <c r="B3095" s="3" t="s">
        <v>1001</v>
      </c>
      <c r="C3095" s="3" t="s">
        <v>56</v>
      </c>
      <c r="D3095" s="3" t="s">
        <v>68</v>
      </c>
      <c r="E3095" s="3" t="s">
        <v>100</v>
      </c>
      <c r="F3095" s="3" t="s">
        <v>1763</v>
      </c>
      <c r="G3095" s="7">
        <v>45970.91374490198</v>
      </c>
    </row>
    <row r="3096">
      <c r="A3096" s="3" t="s">
        <v>10065</v>
      </c>
      <c r="B3096" s="3" t="s">
        <v>481</v>
      </c>
      <c r="C3096" s="3" t="s">
        <v>1342</v>
      </c>
      <c r="D3096" s="3" t="s">
        <v>68</v>
      </c>
      <c r="E3096" s="3" t="s">
        <v>100</v>
      </c>
      <c r="F3096" s="3" t="s">
        <v>1740</v>
      </c>
      <c r="G3096" s="7">
        <v>45970.9849197474</v>
      </c>
    </row>
    <row r="3097">
      <c r="A3097" s="3" t="s">
        <v>10067</v>
      </c>
      <c r="B3097" s="3" t="s">
        <v>341</v>
      </c>
      <c r="C3097" s="3" t="s">
        <v>56</v>
      </c>
      <c r="D3097" s="3" t="s">
        <v>68</v>
      </c>
      <c r="E3097" s="3" t="s">
        <v>100</v>
      </c>
      <c r="F3097" s="3" t="s">
        <v>1766</v>
      </c>
      <c r="G3097" s="7">
        <v>45971.056094592815</v>
      </c>
    </row>
    <row r="3098">
      <c r="A3098" s="3" t="s">
        <v>10070</v>
      </c>
      <c r="B3098" s="3" t="s">
        <v>694</v>
      </c>
      <c r="C3098" s="3" t="s">
        <v>1342</v>
      </c>
      <c r="D3098" s="3" t="s">
        <v>68</v>
      </c>
      <c r="E3098" s="3" t="s">
        <v>100</v>
      </c>
      <c r="F3098" s="3" t="s">
        <v>646</v>
      </c>
      <c r="G3098" s="7">
        <v>45971.12726943823</v>
      </c>
    </row>
    <row r="3099">
      <c r="A3099" s="3" t="s">
        <v>10072</v>
      </c>
      <c r="B3099" s="3" t="s">
        <v>493</v>
      </c>
      <c r="C3099" s="3" t="s">
        <v>1342</v>
      </c>
      <c r="D3099" s="3" t="s">
        <v>68</v>
      </c>
      <c r="E3099" s="3" t="s">
        <v>100</v>
      </c>
      <c r="F3099" s="3" t="s">
        <v>1593</v>
      </c>
      <c r="G3099" s="7">
        <v>45971.19844428365</v>
      </c>
    </row>
    <row r="3100">
      <c r="A3100" s="3" t="s">
        <v>10074</v>
      </c>
      <c r="B3100" s="3" t="s">
        <v>123</v>
      </c>
      <c r="C3100" s="3" t="s">
        <v>1342</v>
      </c>
      <c r="D3100" s="3" t="s">
        <v>68</v>
      </c>
      <c r="E3100" s="3" t="s">
        <v>100</v>
      </c>
      <c r="F3100" s="3" t="s">
        <v>1455</v>
      </c>
      <c r="G3100" s="7">
        <v>45971.26961912906</v>
      </c>
    </row>
    <row r="3101">
      <c r="A3101" s="3" t="s">
        <v>10077</v>
      </c>
      <c r="B3101" s="3" t="s">
        <v>165</v>
      </c>
      <c r="C3101" s="3" t="s">
        <v>1342</v>
      </c>
      <c r="D3101" s="3" t="s">
        <v>68</v>
      </c>
      <c r="E3101" s="3" t="s">
        <v>100</v>
      </c>
      <c r="F3101" s="3" t="s">
        <v>1319</v>
      </c>
      <c r="G3101" s="7">
        <v>45971.34079397447</v>
      </c>
    </row>
    <row r="3102">
      <c r="A3102" s="3" t="s">
        <v>10079</v>
      </c>
      <c r="B3102" s="3" t="s">
        <v>1028</v>
      </c>
      <c r="C3102" s="3" t="s">
        <v>56</v>
      </c>
      <c r="D3102" s="3" t="s">
        <v>68</v>
      </c>
      <c r="E3102" s="3" t="s">
        <v>100</v>
      </c>
      <c r="F3102" s="3" t="s">
        <v>1768</v>
      </c>
      <c r="G3102" s="7">
        <v>45971.41196881989</v>
      </c>
    </row>
    <row r="3103">
      <c r="A3103" s="3" t="s">
        <v>10081</v>
      </c>
      <c r="B3103" s="3" t="s">
        <v>725</v>
      </c>
      <c r="C3103" s="3" t="s">
        <v>1095</v>
      </c>
      <c r="D3103" s="3" t="s">
        <v>68</v>
      </c>
      <c r="E3103" s="3" t="s">
        <v>100</v>
      </c>
      <c r="F3103" s="3" t="s">
        <v>1636</v>
      </c>
      <c r="G3103" s="7">
        <v>45971.483143665304</v>
      </c>
    </row>
    <row r="3104">
      <c r="A3104" s="3" t="s">
        <v>10084</v>
      </c>
      <c r="B3104" s="3" t="s">
        <v>226</v>
      </c>
      <c r="C3104" s="3" t="s">
        <v>56</v>
      </c>
      <c r="D3104" s="3" t="s">
        <v>181</v>
      </c>
      <c r="E3104" s="3" t="s">
        <v>45</v>
      </c>
      <c r="F3104" s="3" t="s">
        <v>45</v>
      </c>
      <c r="G3104" s="7">
        <v>45971.554318510716</v>
      </c>
    </row>
    <row r="3105">
      <c r="A3105" s="3" t="s">
        <v>10087</v>
      </c>
      <c r="B3105" s="3" t="s">
        <v>957</v>
      </c>
      <c r="C3105" s="3" t="s">
        <v>1095</v>
      </c>
      <c r="D3105" s="3" t="s">
        <v>68</v>
      </c>
      <c r="E3105" s="3" t="s">
        <v>100</v>
      </c>
      <c r="F3105" s="3" t="s">
        <v>1968</v>
      </c>
      <c r="G3105" s="7">
        <v>45971.625493356136</v>
      </c>
    </row>
    <row r="3106">
      <c r="A3106" s="3" t="s">
        <v>10089</v>
      </c>
      <c r="B3106" s="3" t="s">
        <v>957</v>
      </c>
      <c r="C3106" s="3" t="s">
        <v>56</v>
      </c>
      <c r="D3106" s="3" t="s">
        <v>68</v>
      </c>
      <c r="E3106" s="3" t="s">
        <v>100</v>
      </c>
      <c r="F3106" s="3" t="s">
        <v>1770</v>
      </c>
      <c r="G3106" s="7">
        <v>45971.69666820155</v>
      </c>
    </row>
    <row r="3107">
      <c r="A3107" s="3" t="s">
        <v>10091</v>
      </c>
      <c r="B3107" s="3" t="s">
        <v>348</v>
      </c>
      <c r="C3107" s="3" t="s">
        <v>1095</v>
      </c>
      <c r="D3107" s="3" t="s">
        <v>68</v>
      </c>
      <c r="E3107" s="3" t="s">
        <v>100</v>
      </c>
      <c r="F3107" s="3" t="s">
        <v>2028</v>
      </c>
      <c r="G3107" s="7">
        <v>45971.76784304696</v>
      </c>
    </row>
    <row r="3108">
      <c r="A3108" s="3" t="s">
        <v>10094</v>
      </c>
      <c r="B3108" s="3" t="s">
        <v>290</v>
      </c>
      <c r="C3108" s="3" t="s">
        <v>1342</v>
      </c>
      <c r="D3108" s="3" t="s">
        <v>68</v>
      </c>
      <c r="E3108" s="3" t="s">
        <v>100</v>
      </c>
      <c r="F3108" s="3" t="s">
        <v>1828</v>
      </c>
      <c r="G3108" s="7">
        <v>45971.83901789238</v>
      </c>
    </row>
    <row r="3109">
      <c r="A3109" s="3" t="s">
        <v>10096</v>
      </c>
      <c r="B3109" s="3" t="s">
        <v>135</v>
      </c>
      <c r="C3109" s="3" t="s">
        <v>1342</v>
      </c>
      <c r="D3109" s="3" t="s">
        <v>68</v>
      </c>
      <c r="E3109" s="3" t="s">
        <v>100</v>
      </c>
      <c r="F3109" s="3" t="s">
        <v>1088</v>
      </c>
      <c r="G3109" s="7">
        <v>45971.9101927378</v>
      </c>
    </row>
    <row r="3110">
      <c r="A3110" s="3" t="s">
        <v>10098</v>
      </c>
      <c r="B3110" s="3" t="s">
        <v>336</v>
      </c>
      <c r="C3110" s="3" t="s">
        <v>1342</v>
      </c>
      <c r="D3110" s="3" t="s">
        <v>68</v>
      </c>
      <c r="E3110" s="3" t="s">
        <v>100</v>
      </c>
      <c r="F3110" s="3" t="s">
        <v>1595</v>
      </c>
      <c r="G3110" s="7">
        <v>45971.98136758321</v>
      </c>
    </row>
    <row r="3111">
      <c r="A3111" s="3" t="s">
        <v>10101</v>
      </c>
      <c r="B3111" s="3" t="s">
        <v>819</v>
      </c>
      <c r="C3111" s="3" t="s">
        <v>1095</v>
      </c>
      <c r="D3111" s="3" t="s">
        <v>68</v>
      </c>
      <c r="E3111" s="3" t="s">
        <v>100</v>
      </c>
      <c r="F3111" s="3" t="s">
        <v>1512</v>
      </c>
      <c r="G3111" s="7">
        <v>45972.052542428624</v>
      </c>
    </row>
    <row r="3112">
      <c r="A3112" s="3" t="s">
        <v>10104</v>
      </c>
      <c r="B3112" s="3" t="s">
        <v>601</v>
      </c>
      <c r="C3112" s="3" t="s">
        <v>1342</v>
      </c>
      <c r="D3112" s="3" t="s">
        <v>68</v>
      </c>
      <c r="E3112" s="3" t="s">
        <v>100</v>
      </c>
      <c r="F3112" s="3" t="s">
        <v>1156</v>
      </c>
      <c r="G3112" s="7">
        <v>45972.123717274044</v>
      </c>
    </row>
    <row r="3113">
      <c r="A3113" s="3" t="s">
        <v>10106</v>
      </c>
      <c r="B3113" s="3" t="s">
        <v>811</v>
      </c>
      <c r="C3113" s="3" t="s">
        <v>56</v>
      </c>
      <c r="D3113" s="3" t="s">
        <v>68</v>
      </c>
      <c r="E3113" s="3" t="s">
        <v>100</v>
      </c>
      <c r="F3113" s="3" t="s">
        <v>1772</v>
      </c>
      <c r="G3113" s="7">
        <v>45972.194892119456</v>
      </c>
    </row>
    <row r="3114">
      <c r="A3114" s="3" t="s">
        <v>10108</v>
      </c>
      <c r="B3114" s="3" t="s">
        <v>507</v>
      </c>
      <c r="C3114" s="3" t="s">
        <v>1342</v>
      </c>
      <c r="D3114" s="3" t="s">
        <v>68</v>
      </c>
      <c r="E3114" s="3" t="s">
        <v>100</v>
      </c>
      <c r="F3114" s="3" t="s">
        <v>1706</v>
      </c>
      <c r="G3114" s="7">
        <v>45972.26606696487</v>
      </c>
    </row>
    <row r="3115">
      <c r="A3115" s="3" t="s">
        <v>10111</v>
      </c>
      <c r="B3115" s="3" t="s">
        <v>189</v>
      </c>
      <c r="C3115" s="3" t="s">
        <v>1095</v>
      </c>
      <c r="D3115" s="3" t="s">
        <v>68</v>
      </c>
      <c r="E3115" s="3" t="s">
        <v>100</v>
      </c>
      <c r="F3115" s="3" t="s">
        <v>1380</v>
      </c>
      <c r="G3115" s="7">
        <v>45972.33724181029</v>
      </c>
    </row>
    <row r="3116">
      <c r="A3116" s="3" t="s">
        <v>10113</v>
      </c>
      <c r="B3116" s="3" t="s">
        <v>993</v>
      </c>
      <c r="C3116" s="3" t="s">
        <v>56</v>
      </c>
      <c r="D3116" s="3" t="s">
        <v>68</v>
      </c>
      <c r="E3116" s="3" t="s">
        <v>100</v>
      </c>
      <c r="F3116" s="3" t="s">
        <v>1775</v>
      </c>
      <c r="G3116" s="7">
        <v>45972.4084166557</v>
      </c>
    </row>
    <row r="3117">
      <c r="A3117" s="3" t="s">
        <v>10115</v>
      </c>
      <c r="B3117" s="3" t="s">
        <v>760</v>
      </c>
      <c r="C3117" s="3" t="s">
        <v>56</v>
      </c>
      <c r="D3117" s="3" t="s">
        <v>68</v>
      </c>
      <c r="E3117" s="3" t="s">
        <v>100</v>
      </c>
      <c r="F3117" s="3" t="s">
        <v>1776</v>
      </c>
      <c r="G3117" s="7">
        <v>45972.47959150111</v>
      </c>
    </row>
    <row r="3118">
      <c r="A3118" s="3" t="s">
        <v>10118</v>
      </c>
      <c r="B3118" s="3" t="s">
        <v>760</v>
      </c>
      <c r="C3118" s="3" t="s">
        <v>1095</v>
      </c>
      <c r="D3118" s="3" t="s">
        <v>68</v>
      </c>
      <c r="E3118" s="3" t="s">
        <v>100</v>
      </c>
      <c r="F3118" s="3" t="s">
        <v>1776</v>
      </c>
      <c r="G3118" s="7">
        <v>45972.55076634653</v>
      </c>
    </row>
    <row r="3119">
      <c r="A3119" s="3" t="s">
        <v>10121</v>
      </c>
      <c r="B3119" s="3" t="s">
        <v>574</v>
      </c>
      <c r="C3119" s="3" t="s">
        <v>1342</v>
      </c>
      <c r="D3119" s="3" t="s">
        <v>68</v>
      </c>
      <c r="E3119" s="3" t="s">
        <v>100</v>
      </c>
      <c r="F3119" s="3" t="s">
        <v>1747</v>
      </c>
      <c r="G3119" s="7">
        <v>45972.621941191945</v>
      </c>
    </row>
    <row r="3120">
      <c r="A3120" s="3" t="s">
        <v>10124</v>
      </c>
      <c r="B3120" s="3" t="s">
        <v>536</v>
      </c>
      <c r="C3120" s="3" t="s">
        <v>56</v>
      </c>
      <c r="D3120" s="3" t="s">
        <v>68</v>
      </c>
      <c r="E3120" s="3" t="s">
        <v>100</v>
      </c>
      <c r="F3120" s="3" t="s">
        <v>1779</v>
      </c>
      <c r="G3120" s="7">
        <v>45972.69311603736</v>
      </c>
    </row>
    <row r="3121">
      <c r="A3121" s="3" t="s">
        <v>10127</v>
      </c>
      <c r="B3121" s="3" t="s">
        <v>622</v>
      </c>
      <c r="C3121" s="3" t="s">
        <v>1342</v>
      </c>
      <c r="D3121" s="3" t="s">
        <v>68</v>
      </c>
      <c r="E3121" s="3" t="s">
        <v>100</v>
      </c>
      <c r="F3121" s="3" t="s">
        <v>1341</v>
      </c>
      <c r="G3121" s="7">
        <v>45972.76429088278</v>
      </c>
    </row>
    <row r="3122">
      <c r="A3122" s="3" t="s">
        <v>10130</v>
      </c>
      <c r="B3122" s="3" t="s">
        <v>383</v>
      </c>
      <c r="C3122" s="3" t="s">
        <v>1095</v>
      </c>
      <c r="D3122" s="3" t="s">
        <v>68</v>
      </c>
      <c r="E3122" s="3" t="s">
        <v>100</v>
      </c>
      <c r="F3122" s="3" t="s">
        <v>849</v>
      </c>
      <c r="G3122" s="7">
        <v>45972.835465728196</v>
      </c>
    </row>
    <row r="3123">
      <c r="A3123" s="3" t="s">
        <v>10133</v>
      </c>
      <c r="B3123" s="3" t="s">
        <v>449</v>
      </c>
      <c r="C3123" s="3" t="s">
        <v>56</v>
      </c>
      <c r="D3123" s="3" t="s">
        <v>68</v>
      </c>
      <c r="E3123" s="3" t="s">
        <v>100</v>
      </c>
      <c r="F3123" s="3" t="s">
        <v>1780</v>
      </c>
      <c r="G3123" s="7">
        <v>45972.9066405736</v>
      </c>
    </row>
    <row r="3124">
      <c r="A3124" s="3" t="s">
        <v>10138</v>
      </c>
      <c r="B3124" s="3" t="s">
        <v>493</v>
      </c>
      <c r="C3124" s="3" t="s">
        <v>1342</v>
      </c>
      <c r="D3124" s="3" t="s">
        <v>68</v>
      </c>
      <c r="E3124" s="3" t="s">
        <v>100</v>
      </c>
      <c r="F3124" s="3" t="s">
        <v>1593</v>
      </c>
      <c r="G3124" s="7">
        <v>45972.97781541902</v>
      </c>
    </row>
    <row r="3125">
      <c r="A3125" s="3" t="s">
        <v>10141</v>
      </c>
      <c r="B3125" s="3" t="s">
        <v>215</v>
      </c>
      <c r="C3125" s="3" t="s">
        <v>1095</v>
      </c>
      <c r="D3125" s="3" t="s">
        <v>68</v>
      </c>
      <c r="E3125" s="3" t="s">
        <v>100</v>
      </c>
      <c r="F3125" s="3" t="s">
        <v>1591</v>
      </c>
      <c r="G3125" s="7">
        <v>45973.04899026444</v>
      </c>
    </row>
    <row r="3126">
      <c r="A3126" s="3" t="s">
        <v>10144</v>
      </c>
      <c r="B3126" s="3" t="s">
        <v>496</v>
      </c>
      <c r="C3126" s="3" t="s">
        <v>1342</v>
      </c>
      <c r="D3126" s="3" t="s">
        <v>68</v>
      </c>
      <c r="E3126" s="3" t="s">
        <v>100</v>
      </c>
      <c r="F3126" s="3" t="s">
        <v>1713</v>
      </c>
      <c r="G3126" s="7">
        <v>45973.12016510985</v>
      </c>
    </row>
    <row r="3127">
      <c r="A3127" s="3" t="s">
        <v>10147</v>
      </c>
      <c r="B3127" s="3" t="s">
        <v>260</v>
      </c>
      <c r="C3127" s="3" t="s">
        <v>1095</v>
      </c>
      <c r="D3127" s="3" t="s">
        <v>68</v>
      </c>
      <c r="E3127" s="3" t="s">
        <v>100</v>
      </c>
      <c r="F3127" s="3" t="s">
        <v>1153</v>
      </c>
      <c r="G3127" s="7">
        <v>45973.191339955265</v>
      </c>
    </row>
    <row r="3128">
      <c r="A3128" s="3" t="s">
        <v>10150</v>
      </c>
      <c r="B3128" s="3" t="s">
        <v>479</v>
      </c>
      <c r="C3128" s="3" t="s">
        <v>56</v>
      </c>
      <c r="D3128" s="3" t="s">
        <v>68</v>
      </c>
      <c r="E3128" s="3" t="s">
        <v>100</v>
      </c>
      <c r="F3128" s="3" t="s">
        <v>1782</v>
      </c>
      <c r="G3128" s="7">
        <v>45973.262514800685</v>
      </c>
    </row>
    <row r="3129">
      <c r="A3129" s="3" t="s">
        <v>10152</v>
      </c>
      <c r="B3129" s="3" t="s">
        <v>462</v>
      </c>
      <c r="C3129" s="3" t="s">
        <v>1342</v>
      </c>
      <c r="D3129" s="3" t="s">
        <v>68</v>
      </c>
      <c r="E3129" s="3" t="s">
        <v>100</v>
      </c>
      <c r="F3129" s="3" t="s">
        <v>1733</v>
      </c>
      <c r="G3129" s="7">
        <v>45973.3336896461</v>
      </c>
    </row>
    <row r="3130">
      <c r="A3130" s="3" t="s">
        <v>10154</v>
      </c>
      <c r="B3130" s="3" t="s">
        <v>442</v>
      </c>
      <c r="C3130" s="3" t="s">
        <v>1095</v>
      </c>
      <c r="D3130" s="3" t="s">
        <v>68</v>
      </c>
      <c r="E3130" s="3" t="s">
        <v>100</v>
      </c>
      <c r="F3130" s="3" t="s">
        <v>829</v>
      </c>
      <c r="G3130" s="7">
        <v>45973.40486449151</v>
      </c>
    </row>
    <row r="3131">
      <c r="A3131" s="3" t="s">
        <v>10157</v>
      </c>
      <c r="B3131" s="3" t="s">
        <v>722</v>
      </c>
      <c r="C3131" s="3" t="s">
        <v>1342</v>
      </c>
      <c r="D3131" s="3" t="s">
        <v>68</v>
      </c>
      <c r="E3131" s="3" t="s">
        <v>100</v>
      </c>
      <c r="F3131" s="3" t="s">
        <v>1735</v>
      </c>
      <c r="G3131" s="7">
        <v>45973.47603933693</v>
      </c>
    </row>
    <row r="3132">
      <c r="A3132" s="3" t="s">
        <v>10160</v>
      </c>
      <c r="B3132" s="3" t="s">
        <v>561</v>
      </c>
      <c r="C3132" s="3" t="s">
        <v>1342</v>
      </c>
      <c r="D3132" s="3" t="s">
        <v>68</v>
      </c>
      <c r="E3132" s="3" t="s">
        <v>100</v>
      </c>
      <c r="F3132" s="3" t="s">
        <v>1730</v>
      </c>
      <c r="G3132" s="7">
        <v>45973.54721418234</v>
      </c>
    </row>
    <row r="3133">
      <c r="A3133" s="3" t="s">
        <v>10163</v>
      </c>
      <c r="B3133" s="3" t="s">
        <v>637</v>
      </c>
      <c r="C3133" s="3" t="s">
        <v>56</v>
      </c>
      <c r="D3133" s="3" t="s">
        <v>68</v>
      </c>
      <c r="E3133" s="3" t="s">
        <v>100</v>
      </c>
      <c r="F3133" s="3" t="s">
        <v>1785</v>
      </c>
      <c r="G3133" s="7">
        <v>45973.61838902775</v>
      </c>
    </row>
    <row r="3134">
      <c r="A3134" s="3" t="s">
        <v>10166</v>
      </c>
      <c r="B3134" s="3" t="s">
        <v>622</v>
      </c>
      <c r="C3134" s="3" t="s">
        <v>1342</v>
      </c>
      <c r="D3134" s="3" t="s">
        <v>68</v>
      </c>
      <c r="E3134" s="3" t="s">
        <v>100</v>
      </c>
      <c r="F3134" s="3" t="s">
        <v>1341</v>
      </c>
      <c r="G3134" s="7">
        <v>45973.68956387317</v>
      </c>
    </row>
    <row r="3135">
      <c r="A3135" s="3" t="s">
        <v>10169</v>
      </c>
      <c r="B3135" s="3" t="s">
        <v>913</v>
      </c>
      <c r="C3135" s="3" t="s">
        <v>1095</v>
      </c>
      <c r="D3135" s="3" t="s">
        <v>68</v>
      </c>
      <c r="E3135" s="3" t="s">
        <v>100</v>
      </c>
      <c r="F3135" s="3" t="s">
        <v>1204</v>
      </c>
      <c r="G3135" s="7">
        <v>45973.760738718585</v>
      </c>
    </row>
    <row r="3136">
      <c r="A3136" s="3" t="s">
        <v>10172</v>
      </c>
      <c r="B3136" s="3" t="s">
        <v>330</v>
      </c>
      <c r="C3136" s="3" t="s">
        <v>1342</v>
      </c>
      <c r="D3136" s="3" t="s">
        <v>68</v>
      </c>
      <c r="E3136" s="3" t="s">
        <v>100</v>
      </c>
      <c r="F3136" s="3" t="s">
        <v>1654</v>
      </c>
      <c r="G3136" s="7">
        <v>45973.831913564</v>
      </c>
    </row>
    <row r="3137">
      <c r="A3137" s="3" t="s">
        <v>10176</v>
      </c>
      <c r="B3137" s="3" t="s">
        <v>356</v>
      </c>
      <c r="C3137" s="3" t="s">
        <v>56</v>
      </c>
      <c r="D3137" s="3" t="s">
        <v>68</v>
      </c>
      <c r="E3137" s="3" t="s">
        <v>100</v>
      </c>
      <c r="F3137" s="3" t="s">
        <v>1786</v>
      </c>
      <c r="G3137" s="7">
        <v>45973.90308840942</v>
      </c>
    </row>
    <row r="3138">
      <c r="A3138" s="3" t="s">
        <v>10178</v>
      </c>
      <c r="B3138" s="3" t="s">
        <v>727</v>
      </c>
      <c r="C3138" s="3" t="s">
        <v>1095</v>
      </c>
      <c r="D3138" s="3" t="s">
        <v>68</v>
      </c>
      <c r="E3138" s="3" t="s">
        <v>100</v>
      </c>
      <c r="F3138" s="3" t="s">
        <v>1587</v>
      </c>
      <c r="G3138" s="7">
        <v>45973.97426325484</v>
      </c>
    </row>
    <row r="3139">
      <c r="A3139" s="3" t="s">
        <v>10181</v>
      </c>
      <c r="B3139" s="3" t="s">
        <v>243</v>
      </c>
      <c r="C3139" s="3" t="s">
        <v>1095</v>
      </c>
      <c r="D3139" s="3" t="s">
        <v>68</v>
      </c>
      <c r="E3139" s="3" t="s">
        <v>100</v>
      </c>
      <c r="F3139" s="3" t="s">
        <v>1256</v>
      </c>
      <c r="G3139" s="7">
        <v>45974.04543810024</v>
      </c>
    </row>
    <row r="3140">
      <c r="A3140" s="3" t="s">
        <v>10184</v>
      </c>
      <c r="B3140" s="3" t="s">
        <v>953</v>
      </c>
      <c r="C3140" s="3" t="s">
        <v>1095</v>
      </c>
      <c r="D3140" s="3" t="s">
        <v>68</v>
      </c>
      <c r="E3140" s="3" t="s">
        <v>100</v>
      </c>
      <c r="F3140" s="3" t="s">
        <v>1572</v>
      </c>
      <c r="G3140" s="7">
        <v>45974.11661294566</v>
      </c>
    </row>
    <row r="3141">
      <c r="A3141" s="3" t="s">
        <v>10186</v>
      </c>
      <c r="B3141" s="3" t="s">
        <v>481</v>
      </c>
      <c r="C3141" s="3" t="s">
        <v>1342</v>
      </c>
      <c r="D3141" s="3" t="s">
        <v>68</v>
      </c>
      <c r="E3141" s="3" t="s">
        <v>100</v>
      </c>
      <c r="F3141" s="3" t="s">
        <v>1740</v>
      </c>
      <c r="G3141" s="7">
        <v>45974.18778779108</v>
      </c>
    </row>
    <row r="3142">
      <c r="A3142" s="3" t="s">
        <v>10188</v>
      </c>
      <c r="B3142" s="3" t="s">
        <v>672</v>
      </c>
      <c r="C3142" s="3" t="s">
        <v>1342</v>
      </c>
      <c r="D3142" s="3" t="s">
        <v>181</v>
      </c>
      <c r="E3142" s="3" t="s">
        <v>45</v>
      </c>
      <c r="F3142" s="3" t="s">
        <v>1722</v>
      </c>
      <c r="G3142" s="7">
        <v>45974.25896263649</v>
      </c>
    </row>
    <row r="3143">
      <c r="A3143" s="3" t="s">
        <v>10191</v>
      </c>
      <c r="B3143" s="3" t="s">
        <v>266</v>
      </c>
      <c r="C3143" s="3" t="s">
        <v>56</v>
      </c>
      <c r="D3143" s="3" t="s">
        <v>68</v>
      </c>
      <c r="E3143" s="3" t="s">
        <v>100</v>
      </c>
      <c r="F3143" s="3" t="s">
        <v>1789</v>
      </c>
      <c r="G3143" s="7">
        <v>45974.330137481906</v>
      </c>
    </row>
    <row r="3144">
      <c r="A3144" s="3" t="s">
        <v>10193</v>
      </c>
      <c r="B3144" s="3" t="s">
        <v>957</v>
      </c>
      <c r="C3144" s="3" t="s">
        <v>1342</v>
      </c>
      <c r="D3144" s="3" t="s">
        <v>68</v>
      </c>
      <c r="E3144" s="3" t="s">
        <v>100</v>
      </c>
      <c r="F3144" s="3" t="s">
        <v>1770</v>
      </c>
      <c r="G3144" s="7">
        <v>45974.401312327325</v>
      </c>
    </row>
    <row r="3145">
      <c r="A3145" s="3" t="s">
        <v>10195</v>
      </c>
      <c r="B3145" s="3" t="s">
        <v>204</v>
      </c>
      <c r="C3145" s="3" t="s">
        <v>1095</v>
      </c>
      <c r="D3145" s="3" t="s">
        <v>68</v>
      </c>
      <c r="E3145" s="3" t="s">
        <v>100</v>
      </c>
      <c r="F3145" s="3" t="s">
        <v>1704</v>
      </c>
      <c r="G3145" s="7">
        <v>45974.47248717274</v>
      </c>
    </row>
    <row r="3146">
      <c r="A3146" s="3" t="s">
        <v>10198</v>
      </c>
      <c r="B3146" s="3" t="s">
        <v>488</v>
      </c>
      <c r="C3146" s="3" t="s">
        <v>1342</v>
      </c>
      <c r="D3146" s="3" t="s">
        <v>68</v>
      </c>
      <c r="E3146" s="3" t="s">
        <v>100</v>
      </c>
      <c r="F3146" s="3" t="s">
        <v>1393</v>
      </c>
      <c r="G3146" s="7">
        <v>45974.54366201815</v>
      </c>
    </row>
    <row r="3147">
      <c r="A3147" s="3" t="s">
        <v>10201</v>
      </c>
      <c r="B3147" s="3" t="s">
        <v>123</v>
      </c>
      <c r="C3147" s="3" t="s">
        <v>1342</v>
      </c>
      <c r="D3147" s="3" t="s">
        <v>68</v>
      </c>
      <c r="E3147" s="3" t="s">
        <v>100</v>
      </c>
      <c r="F3147" s="3" t="s">
        <v>1455</v>
      </c>
      <c r="G3147" s="7">
        <v>45974.61483686357</v>
      </c>
    </row>
    <row r="3148">
      <c r="A3148" s="3" t="s">
        <v>10202</v>
      </c>
      <c r="B3148" s="3" t="s">
        <v>694</v>
      </c>
      <c r="C3148" s="3" t="s">
        <v>1095</v>
      </c>
      <c r="D3148" s="3" t="s">
        <v>68</v>
      </c>
      <c r="E3148" s="3" t="s">
        <v>100</v>
      </c>
      <c r="F3148" s="3" t="s">
        <v>646</v>
      </c>
      <c r="G3148" s="7">
        <v>45974.68601170898</v>
      </c>
    </row>
    <row r="3149">
      <c r="A3149" s="3" t="s">
        <v>10205</v>
      </c>
      <c r="B3149" s="3" t="s">
        <v>631</v>
      </c>
      <c r="C3149" s="3" t="s">
        <v>1342</v>
      </c>
      <c r="D3149" s="3" t="s">
        <v>68</v>
      </c>
      <c r="E3149" s="3" t="s">
        <v>100</v>
      </c>
      <c r="F3149" s="3" t="s">
        <v>1066</v>
      </c>
      <c r="G3149" s="7">
        <v>45974.757186554394</v>
      </c>
    </row>
    <row r="3150">
      <c r="A3150" s="3" t="s">
        <v>10207</v>
      </c>
      <c r="B3150" s="3" t="s">
        <v>330</v>
      </c>
      <c r="C3150" s="3" t="s">
        <v>1095</v>
      </c>
      <c r="D3150" s="3" t="s">
        <v>68</v>
      </c>
      <c r="E3150" s="3" t="s">
        <v>100</v>
      </c>
      <c r="F3150" s="3" t="s">
        <v>1654</v>
      </c>
      <c r="G3150" s="7">
        <v>45974.828361399814</v>
      </c>
    </row>
    <row r="3151">
      <c r="A3151" s="3" t="s">
        <v>10210</v>
      </c>
      <c r="B3151" s="3" t="s">
        <v>934</v>
      </c>
      <c r="C3151" s="3" t="s">
        <v>56</v>
      </c>
      <c r="D3151" s="3" t="s">
        <v>68</v>
      </c>
      <c r="E3151" s="3" t="s">
        <v>100</v>
      </c>
      <c r="F3151" s="3" t="s">
        <v>1790</v>
      </c>
      <c r="G3151" s="7">
        <v>45974.899536245226</v>
      </c>
    </row>
    <row r="3152">
      <c r="A3152" s="3" t="s">
        <v>10214</v>
      </c>
      <c r="B3152" s="3" t="s">
        <v>466</v>
      </c>
      <c r="C3152" s="3" t="s">
        <v>1342</v>
      </c>
      <c r="D3152" s="3" t="s">
        <v>68</v>
      </c>
      <c r="E3152" s="3" t="s">
        <v>100</v>
      </c>
      <c r="F3152" s="3" t="s">
        <v>1208</v>
      </c>
      <c r="G3152" s="7">
        <v>45974.970711090646</v>
      </c>
    </row>
    <row r="3153">
      <c r="A3153" s="3" t="s">
        <v>10218</v>
      </c>
      <c r="B3153" s="3" t="s">
        <v>523</v>
      </c>
      <c r="C3153" s="3" t="s">
        <v>1342</v>
      </c>
      <c r="D3153" s="3" t="s">
        <v>181</v>
      </c>
      <c r="E3153" s="3" t="s">
        <v>45</v>
      </c>
      <c r="F3153" s="3" t="s">
        <v>1378</v>
      </c>
      <c r="G3153" s="7">
        <v>45975.04188593606</v>
      </c>
    </row>
    <row r="3154">
      <c r="A3154" s="3" t="s">
        <v>10221</v>
      </c>
      <c r="B3154" s="3" t="s">
        <v>541</v>
      </c>
      <c r="C3154" s="3" t="s">
        <v>56</v>
      </c>
      <c r="D3154" s="3" t="s">
        <v>68</v>
      </c>
      <c r="E3154" s="3" t="s">
        <v>100</v>
      </c>
      <c r="F3154" s="3" t="s">
        <v>1793</v>
      </c>
      <c r="G3154" s="7">
        <v>45975.11306078148</v>
      </c>
    </row>
    <row r="3155">
      <c r="A3155" s="3" t="s">
        <v>10224</v>
      </c>
      <c r="B3155" s="3" t="s">
        <v>1011</v>
      </c>
      <c r="C3155" s="3" t="s">
        <v>56</v>
      </c>
      <c r="D3155" s="3" t="s">
        <v>68</v>
      </c>
      <c r="E3155" s="3" t="s">
        <v>100</v>
      </c>
      <c r="F3155" s="3" t="s">
        <v>1795</v>
      </c>
      <c r="G3155" s="7">
        <v>45975.18423562688</v>
      </c>
    </row>
    <row r="3156">
      <c r="A3156" s="3" t="s">
        <v>10227</v>
      </c>
      <c r="B3156" s="3" t="s">
        <v>883</v>
      </c>
      <c r="C3156" s="3" t="s">
        <v>1095</v>
      </c>
      <c r="D3156" s="3" t="s">
        <v>68</v>
      </c>
      <c r="E3156" s="3" t="s">
        <v>100</v>
      </c>
      <c r="F3156" s="3" t="s">
        <v>1318</v>
      </c>
      <c r="G3156" s="7">
        <v>45975.2554104723</v>
      </c>
    </row>
    <row r="3157">
      <c r="A3157" s="3" t="s">
        <v>10230</v>
      </c>
      <c r="B3157" s="3" t="s">
        <v>430</v>
      </c>
      <c r="C3157" s="3" t="s">
        <v>1342</v>
      </c>
      <c r="D3157" s="3" t="s">
        <v>68</v>
      </c>
      <c r="E3157" s="3" t="s">
        <v>100</v>
      </c>
      <c r="F3157" s="3" t="s">
        <v>1623</v>
      </c>
      <c r="G3157" s="7">
        <v>45975.32658531772</v>
      </c>
    </row>
    <row r="3158">
      <c r="A3158" s="3" t="s">
        <v>10232</v>
      </c>
      <c r="B3158" s="3" t="s">
        <v>276</v>
      </c>
      <c r="C3158" s="3" t="s">
        <v>1342</v>
      </c>
      <c r="D3158" s="3" t="s">
        <v>68</v>
      </c>
      <c r="E3158" s="3" t="s">
        <v>100</v>
      </c>
      <c r="F3158" s="3" t="s">
        <v>589</v>
      </c>
      <c r="G3158" s="7">
        <v>45975.397760163134</v>
      </c>
    </row>
    <row r="3159">
      <c r="A3159" s="3" t="s">
        <v>10233</v>
      </c>
      <c r="B3159" s="3" t="s">
        <v>1021</v>
      </c>
      <c r="C3159" s="3" t="s">
        <v>1342</v>
      </c>
      <c r="D3159" s="3" t="s">
        <v>68</v>
      </c>
      <c r="E3159" s="3" t="s">
        <v>100</v>
      </c>
      <c r="F3159" s="3" t="s">
        <v>1671</v>
      </c>
      <c r="G3159" s="7">
        <v>45975.46893500855</v>
      </c>
    </row>
    <row r="3160">
      <c r="A3160" s="3" t="s">
        <v>10235</v>
      </c>
      <c r="B3160" s="3" t="s">
        <v>694</v>
      </c>
      <c r="C3160" s="3" t="s">
        <v>56</v>
      </c>
      <c r="D3160" s="3" t="s">
        <v>68</v>
      </c>
      <c r="E3160" s="3" t="s">
        <v>100</v>
      </c>
      <c r="F3160" s="3" t="s">
        <v>1797</v>
      </c>
      <c r="G3160" s="7">
        <v>45975.540109853966</v>
      </c>
    </row>
    <row r="3161">
      <c r="A3161" s="3" t="s">
        <v>10238</v>
      </c>
      <c r="B3161" s="3" t="s">
        <v>990</v>
      </c>
      <c r="C3161" s="3" t="s">
        <v>1095</v>
      </c>
      <c r="D3161" s="3" t="s">
        <v>68</v>
      </c>
      <c r="E3161" s="3" t="s">
        <v>100</v>
      </c>
      <c r="F3161" s="3" t="s">
        <v>1206</v>
      </c>
      <c r="G3161" s="7">
        <v>45975.61128469938</v>
      </c>
    </row>
    <row r="3162">
      <c r="A3162" s="3" t="s">
        <v>10239</v>
      </c>
      <c r="B3162" s="3" t="s">
        <v>980</v>
      </c>
      <c r="C3162" s="3" t="s">
        <v>1095</v>
      </c>
      <c r="D3162" s="3" t="s">
        <v>181</v>
      </c>
      <c r="E3162" s="3" t="s">
        <v>45</v>
      </c>
      <c r="F3162" s="3" t="s">
        <v>1307</v>
      </c>
      <c r="G3162" s="7">
        <v>45975.68245954479</v>
      </c>
    </row>
    <row r="3163">
      <c r="A3163" s="3" t="s">
        <v>10242</v>
      </c>
      <c r="B3163" s="3" t="s">
        <v>175</v>
      </c>
      <c r="C3163" s="3" t="s">
        <v>1342</v>
      </c>
      <c r="D3163" s="3" t="s">
        <v>68</v>
      </c>
      <c r="E3163" s="3" t="s">
        <v>100</v>
      </c>
      <c r="F3163" s="3" t="s">
        <v>1335</v>
      </c>
      <c r="G3163" s="7">
        <v>45975.75363439021</v>
      </c>
    </row>
    <row r="3164">
      <c r="A3164" s="3" t="s">
        <v>10245</v>
      </c>
      <c r="B3164" s="3" t="s">
        <v>383</v>
      </c>
      <c r="C3164" s="3" t="s">
        <v>56</v>
      </c>
      <c r="D3164" s="3" t="s">
        <v>68</v>
      </c>
      <c r="E3164" s="3" t="s">
        <v>100</v>
      </c>
      <c r="F3164" s="3" t="s">
        <v>1800</v>
      </c>
      <c r="G3164" s="7">
        <v>45975.82480923563</v>
      </c>
    </row>
    <row r="3165">
      <c r="A3165" s="3" t="s">
        <v>10246</v>
      </c>
      <c r="B3165" s="3" t="s">
        <v>665</v>
      </c>
      <c r="C3165" s="3" t="s">
        <v>1342</v>
      </c>
      <c r="D3165" s="3" t="s">
        <v>68</v>
      </c>
      <c r="E3165" s="3" t="s">
        <v>100</v>
      </c>
      <c r="F3165" s="3" t="s">
        <v>1569</v>
      </c>
      <c r="G3165" s="7">
        <v>45975.895984081035</v>
      </c>
    </row>
    <row r="3166">
      <c r="A3166" s="3" t="s">
        <v>10249</v>
      </c>
      <c r="B3166" s="3" t="s">
        <v>186</v>
      </c>
      <c r="C3166" s="3" t="s">
        <v>1342</v>
      </c>
      <c r="D3166" s="3" t="s">
        <v>68</v>
      </c>
      <c r="E3166" s="3" t="s">
        <v>100</v>
      </c>
      <c r="F3166" s="3" t="s">
        <v>1475</v>
      </c>
      <c r="G3166" s="7">
        <v>45975.967158926454</v>
      </c>
    </row>
    <row r="3167">
      <c r="A3167" s="3" t="s">
        <v>10252</v>
      </c>
      <c r="B3167" s="3" t="s">
        <v>725</v>
      </c>
      <c r="C3167" s="3" t="s">
        <v>56</v>
      </c>
      <c r="D3167" s="3" t="s">
        <v>68</v>
      </c>
      <c r="E3167" s="3" t="s">
        <v>100</v>
      </c>
      <c r="F3167" s="3" t="s">
        <v>1801</v>
      </c>
      <c r="G3167" s="7">
        <v>45976.03833377187</v>
      </c>
    </row>
    <row r="3168">
      <c r="A3168" s="3" t="s">
        <v>10253</v>
      </c>
      <c r="B3168" s="3" t="s">
        <v>853</v>
      </c>
      <c r="C3168" s="3" t="s">
        <v>1342</v>
      </c>
      <c r="D3168" s="3" t="s">
        <v>68</v>
      </c>
      <c r="E3168" s="3" t="s">
        <v>100</v>
      </c>
      <c r="F3168" s="3" t="s">
        <v>1358</v>
      </c>
      <c r="G3168" s="7">
        <v>45976.109508617286</v>
      </c>
    </row>
    <row r="3169">
      <c r="A3169" s="3" t="s">
        <v>10256</v>
      </c>
      <c r="B3169" s="3" t="s">
        <v>657</v>
      </c>
      <c r="C3169" s="3" t="s">
        <v>56</v>
      </c>
      <c r="D3169" s="3" t="s">
        <v>68</v>
      </c>
      <c r="E3169" s="3" t="s">
        <v>100</v>
      </c>
      <c r="F3169" s="3" t="s">
        <v>1804</v>
      </c>
      <c r="G3169" s="7">
        <v>45976.1806834627</v>
      </c>
    </row>
    <row r="3170">
      <c r="A3170" s="3" t="s">
        <v>10259</v>
      </c>
      <c r="B3170" s="3" t="s">
        <v>877</v>
      </c>
      <c r="C3170" s="3" t="s">
        <v>1095</v>
      </c>
      <c r="D3170" s="3" t="s">
        <v>68</v>
      </c>
      <c r="E3170" s="3" t="s">
        <v>100</v>
      </c>
      <c r="F3170" s="3" t="s">
        <v>1125</v>
      </c>
      <c r="G3170" s="7">
        <v>45976.25185830812</v>
      </c>
    </row>
    <row r="3171">
      <c r="A3171" s="3" t="s">
        <v>10261</v>
      </c>
      <c r="B3171" s="3" t="s">
        <v>652</v>
      </c>
      <c r="C3171" s="3" t="s">
        <v>1342</v>
      </c>
      <c r="D3171" s="3" t="s">
        <v>68</v>
      </c>
      <c r="E3171" s="3" t="s">
        <v>100</v>
      </c>
      <c r="F3171" s="3" t="s">
        <v>1179</v>
      </c>
      <c r="G3171" s="7">
        <v>45976.32303315352</v>
      </c>
    </row>
    <row r="3172">
      <c r="A3172" s="3" t="s">
        <v>10263</v>
      </c>
      <c r="B3172" s="3" t="s">
        <v>957</v>
      </c>
      <c r="C3172" s="3" t="s">
        <v>1342</v>
      </c>
      <c r="D3172" s="3" t="s">
        <v>68</v>
      </c>
      <c r="E3172" s="3" t="s">
        <v>100</v>
      </c>
      <c r="F3172" s="3" t="s">
        <v>1770</v>
      </c>
      <c r="G3172" s="7">
        <v>45976.39420799894</v>
      </c>
    </row>
    <row r="3173">
      <c r="A3173" s="3" t="s">
        <v>10265</v>
      </c>
      <c r="B3173" s="3" t="s">
        <v>527</v>
      </c>
      <c r="C3173" s="3" t="s">
        <v>1095</v>
      </c>
      <c r="D3173" s="3" t="s">
        <v>68</v>
      </c>
      <c r="E3173" s="3" t="s">
        <v>100</v>
      </c>
      <c r="F3173" s="3" t="s">
        <v>1310</v>
      </c>
      <c r="G3173" s="7">
        <v>45976.46538284436</v>
      </c>
    </row>
    <row r="3174">
      <c r="A3174" s="3" t="s">
        <v>10266</v>
      </c>
      <c r="B3174" s="3" t="s">
        <v>678</v>
      </c>
      <c r="C3174" s="3" t="s">
        <v>56</v>
      </c>
      <c r="D3174" s="3" t="s">
        <v>68</v>
      </c>
      <c r="E3174" s="3" t="s">
        <v>100</v>
      </c>
      <c r="F3174" s="3" t="s">
        <v>1806</v>
      </c>
      <c r="G3174" s="7">
        <v>45976.536557689775</v>
      </c>
    </row>
    <row r="3175">
      <c r="A3175" s="3" t="s">
        <v>10268</v>
      </c>
      <c r="B3175" s="3" t="s">
        <v>619</v>
      </c>
      <c r="C3175" s="3" t="s">
        <v>1342</v>
      </c>
      <c r="D3175" s="3" t="s">
        <v>68</v>
      </c>
      <c r="E3175" s="3" t="s">
        <v>100</v>
      </c>
      <c r="F3175" s="3" t="s">
        <v>1506</v>
      </c>
      <c r="G3175" s="7">
        <v>45976.60773253519</v>
      </c>
    </row>
    <row r="3176">
      <c r="A3176" s="3" t="s">
        <v>10270</v>
      </c>
      <c r="B3176" s="3" t="s">
        <v>596</v>
      </c>
      <c r="C3176" s="3" t="s">
        <v>56</v>
      </c>
      <c r="D3176" s="3" t="s">
        <v>68</v>
      </c>
      <c r="E3176" s="3" t="s">
        <v>100</v>
      </c>
      <c r="F3176" s="3" t="s">
        <v>1808</v>
      </c>
      <c r="G3176" s="7">
        <v>45976.67890738061</v>
      </c>
    </row>
    <row r="3177">
      <c r="A3177" s="3" t="s">
        <v>10271</v>
      </c>
      <c r="B3177" s="3" t="s">
        <v>356</v>
      </c>
      <c r="C3177" s="3" t="s">
        <v>1095</v>
      </c>
      <c r="D3177" s="3" t="s">
        <v>68</v>
      </c>
      <c r="E3177" s="3" t="s">
        <v>100</v>
      </c>
      <c r="F3177" s="3" t="s">
        <v>1786</v>
      </c>
      <c r="G3177" s="7">
        <v>45976.75008222602</v>
      </c>
    </row>
    <row r="3178">
      <c r="A3178" s="3" t="s">
        <v>10274</v>
      </c>
      <c r="B3178" s="3" t="s">
        <v>778</v>
      </c>
      <c r="C3178" s="3" t="s">
        <v>1342</v>
      </c>
      <c r="D3178" s="3" t="s">
        <v>68</v>
      </c>
      <c r="E3178" s="3" t="s">
        <v>100</v>
      </c>
      <c r="F3178" s="3" t="s">
        <v>1575</v>
      </c>
      <c r="G3178" s="7">
        <v>45976.82125707143</v>
      </c>
    </row>
    <row r="3179">
      <c r="A3179" s="3" t="s">
        <v>10278</v>
      </c>
      <c r="B3179" s="3" t="s">
        <v>632</v>
      </c>
      <c r="C3179" s="3" t="s">
        <v>1342</v>
      </c>
      <c r="D3179" s="3" t="s">
        <v>68</v>
      </c>
      <c r="E3179" s="3" t="s">
        <v>100</v>
      </c>
      <c r="F3179" s="3" t="s">
        <v>1485</v>
      </c>
      <c r="G3179" s="7">
        <v>45976.89243191685</v>
      </c>
    </row>
    <row r="3180">
      <c r="A3180" s="3" t="s">
        <v>10281</v>
      </c>
      <c r="B3180" s="3" t="s">
        <v>669</v>
      </c>
      <c r="C3180" s="3" t="s">
        <v>1342</v>
      </c>
      <c r="D3180" s="3" t="s">
        <v>68</v>
      </c>
      <c r="E3180" s="3" t="s">
        <v>100</v>
      </c>
      <c r="F3180" s="3" t="s">
        <v>815</v>
      </c>
      <c r="G3180" s="7">
        <v>45976.96360676227</v>
      </c>
    </row>
    <row r="3181">
      <c r="A3181" s="3" t="s">
        <v>10284</v>
      </c>
      <c r="B3181" s="3" t="s">
        <v>299</v>
      </c>
      <c r="C3181" s="3" t="s">
        <v>1342</v>
      </c>
      <c r="D3181" s="3" t="s">
        <v>68</v>
      </c>
      <c r="E3181" s="3" t="s">
        <v>100</v>
      </c>
      <c r="F3181" s="3" t="s">
        <v>1063</v>
      </c>
      <c r="G3181" s="7">
        <v>45977.034781607676</v>
      </c>
    </row>
    <row r="3182">
      <c r="A3182" s="3" t="s">
        <v>10287</v>
      </c>
      <c r="B3182" s="3" t="s">
        <v>678</v>
      </c>
      <c r="C3182" s="3" t="s">
        <v>1095</v>
      </c>
      <c r="D3182" s="3" t="s">
        <v>68</v>
      </c>
      <c r="E3182" s="3" t="s">
        <v>100</v>
      </c>
      <c r="F3182" s="3" t="s">
        <v>1806</v>
      </c>
      <c r="G3182" s="7">
        <v>45977.105956453095</v>
      </c>
    </row>
    <row r="3183">
      <c r="A3183" s="3" t="s">
        <v>10290</v>
      </c>
      <c r="B3183" s="3" t="s">
        <v>770</v>
      </c>
      <c r="C3183" s="3" t="s">
        <v>1342</v>
      </c>
      <c r="D3183" s="3" t="s">
        <v>68</v>
      </c>
      <c r="E3183" s="3" t="s">
        <v>100</v>
      </c>
      <c r="F3183" s="3" t="s">
        <v>1403</v>
      </c>
      <c r="G3183" s="7">
        <v>45977.177131298515</v>
      </c>
    </row>
    <row r="3184">
      <c r="A3184" s="3" t="s">
        <v>10293</v>
      </c>
      <c r="B3184" s="3" t="s">
        <v>137</v>
      </c>
      <c r="C3184" s="3" t="s">
        <v>1342</v>
      </c>
      <c r="D3184" s="3" t="s">
        <v>68</v>
      </c>
      <c r="E3184" s="3" t="s">
        <v>100</v>
      </c>
      <c r="F3184" s="3" t="s">
        <v>1824</v>
      </c>
      <c r="G3184" s="7">
        <v>45977.24830614393</v>
      </c>
    </row>
    <row r="3185">
      <c r="A3185" s="3" t="s">
        <v>10298</v>
      </c>
      <c r="B3185" s="3" t="s">
        <v>302</v>
      </c>
      <c r="C3185" s="3" t="s">
        <v>1342</v>
      </c>
      <c r="D3185" s="3" t="s">
        <v>68</v>
      </c>
      <c r="E3185" s="3" t="s">
        <v>100</v>
      </c>
      <c r="F3185" s="3" t="s">
        <v>1491</v>
      </c>
      <c r="G3185" s="7">
        <v>45977.31948098934</v>
      </c>
    </row>
    <row r="3186">
      <c r="A3186" s="3" t="s">
        <v>10301</v>
      </c>
      <c r="B3186" s="3" t="s">
        <v>629</v>
      </c>
      <c r="C3186" s="3" t="s">
        <v>1342</v>
      </c>
      <c r="D3186" s="3" t="s">
        <v>181</v>
      </c>
      <c r="E3186" s="3" t="s">
        <v>45</v>
      </c>
      <c r="F3186" s="3" t="s">
        <v>1598</v>
      </c>
      <c r="G3186" s="7">
        <v>45977.39065583476</v>
      </c>
    </row>
    <row r="3187">
      <c r="A3187" s="3" t="s">
        <v>10303</v>
      </c>
      <c r="B3187" s="3" t="s">
        <v>341</v>
      </c>
      <c r="C3187" s="3" t="s">
        <v>1342</v>
      </c>
      <c r="D3187" s="3" t="s">
        <v>68</v>
      </c>
      <c r="E3187" s="3" t="s">
        <v>100</v>
      </c>
      <c r="F3187" s="3" t="s">
        <v>1766</v>
      </c>
      <c r="G3187" s="7">
        <v>45977.46183068017</v>
      </c>
    </row>
    <row r="3188">
      <c r="A3188" s="3" t="s">
        <v>10305</v>
      </c>
      <c r="B3188" s="3" t="s">
        <v>148</v>
      </c>
      <c r="C3188" s="3" t="s">
        <v>1342</v>
      </c>
      <c r="D3188" s="3" t="s">
        <v>68</v>
      </c>
      <c r="E3188" s="3" t="s">
        <v>100</v>
      </c>
      <c r="F3188" s="3" t="s">
        <v>1099</v>
      </c>
      <c r="G3188" s="7">
        <v>45977.53300552558</v>
      </c>
    </row>
    <row r="3189">
      <c r="A3189" s="3" t="s">
        <v>10307</v>
      </c>
      <c r="B3189" s="3" t="s">
        <v>645</v>
      </c>
      <c r="C3189" s="3" t="s">
        <v>56</v>
      </c>
      <c r="D3189" s="3" t="s">
        <v>68</v>
      </c>
      <c r="E3189" s="3" t="s">
        <v>100</v>
      </c>
      <c r="F3189" s="3" t="s">
        <v>1812</v>
      </c>
      <c r="G3189" s="7">
        <v>45977.604180371</v>
      </c>
    </row>
    <row r="3190">
      <c r="A3190" s="3" t="s">
        <v>10311</v>
      </c>
      <c r="B3190" s="3" t="s">
        <v>165</v>
      </c>
      <c r="C3190" s="3" t="s">
        <v>1342</v>
      </c>
      <c r="D3190" s="3" t="s">
        <v>68</v>
      </c>
      <c r="E3190" s="3" t="s">
        <v>100</v>
      </c>
      <c r="F3190" s="3" t="s">
        <v>1319</v>
      </c>
      <c r="G3190" s="7">
        <v>45977.675355216415</v>
      </c>
    </row>
    <row r="3191">
      <c r="A3191" s="3" t="s">
        <v>10314</v>
      </c>
      <c r="B3191" s="3" t="s">
        <v>539</v>
      </c>
      <c r="C3191" s="3" t="s">
        <v>1095</v>
      </c>
      <c r="D3191" s="3" t="s">
        <v>68</v>
      </c>
      <c r="E3191" s="3" t="s">
        <v>100</v>
      </c>
      <c r="F3191" s="3" t="s">
        <v>1094</v>
      </c>
      <c r="G3191" s="7">
        <v>45977.74653006183</v>
      </c>
    </row>
    <row r="3192">
      <c r="A3192" s="3" t="s">
        <v>10317</v>
      </c>
      <c r="B3192" s="3" t="s">
        <v>785</v>
      </c>
      <c r="C3192" s="3" t="s">
        <v>56</v>
      </c>
      <c r="D3192" s="3" t="s">
        <v>68</v>
      </c>
      <c r="E3192" s="3" t="s">
        <v>100</v>
      </c>
      <c r="F3192" s="3" t="s">
        <v>1815</v>
      </c>
      <c r="G3192" s="7">
        <v>45977.81770490725</v>
      </c>
    </row>
    <row r="3193">
      <c r="A3193" s="3" t="s">
        <v>10320</v>
      </c>
      <c r="B3193" s="3" t="s">
        <v>616</v>
      </c>
      <c r="C3193" s="3" t="s">
        <v>1342</v>
      </c>
      <c r="D3193" s="3" t="s">
        <v>68</v>
      </c>
      <c r="E3193" s="3" t="s">
        <v>100</v>
      </c>
      <c r="F3193" s="3" t="s">
        <v>1400</v>
      </c>
      <c r="G3193" s="7">
        <v>45977.88887975266</v>
      </c>
    </row>
    <row r="3194">
      <c r="A3194" s="3" t="s">
        <v>10323</v>
      </c>
      <c r="B3194" s="3" t="s">
        <v>527</v>
      </c>
      <c r="C3194" s="3" t="s">
        <v>56</v>
      </c>
      <c r="D3194" s="3" t="s">
        <v>68</v>
      </c>
      <c r="E3194" s="3" t="s">
        <v>100</v>
      </c>
      <c r="F3194" s="3" t="s">
        <v>1820</v>
      </c>
      <c r="G3194" s="7">
        <v>45977.96005459807</v>
      </c>
    </row>
    <row r="3195">
      <c r="A3195" s="3" t="s">
        <v>10326</v>
      </c>
      <c r="B3195" s="3" t="s">
        <v>148</v>
      </c>
      <c r="C3195" s="3" t="s">
        <v>1095</v>
      </c>
      <c r="D3195" s="3" t="s">
        <v>195</v>
      </c>
      <c r="E3195" s="3" t="s">
        <v>45</v>
      </c>
      <c r="F3195" s="3" t="s">
        <v>1099</v>
      </c>
      <c r="G3195" s="7">
        <v>45978.03122944349</v>
      </c>
    </row>
    <row r="3196">
      <c r="A3196" s="3" t="s">
        <v>10329</v>
      </c>
      <c r="B3196" s="3" t="s">
        <v>796</v>
      </c>
      <c r="C3196" s="3" t="s">
        <v>1095</v>
      </c>
      <c r="D3196" s="3" t="s">
        <v>181</v>
      </c>
      <c r="E3196" s="3" t="s">
        <v>45</v>
      </c>
      <c r="F3196" s="3" t="s">
        <v>991</v>
      </c>
      <c r="G3196" s="7">
        <v>45978.10240428891</v>
      </c>
    </row>
    <row r="3197">
      <c r="A3197" s="3" t="s">
        <v>10332</v>
      </c>
      <c r="B3197" s="3" t="s">
        <v>886</v>
      </c>
      <c r="C3197" s="3" t="s">
        <v>1095</v>
      </c>
      <c r="D3197" s="3" t="s">
        <v>68</v>
      </c>
      <c r="E3197" s="3" t="s">
        <v>100</v>
      </c>
      <c r="F3197" s="3" t="s">
        <v>1641</v>
      </c>
      <c r="G3197" s="7">
        <v>45978.173579134316</v>
      </c>
    </row>
    <row r="3198">
      <c r="A3198" s="3" t="s">
        <v>10336</v>
      </c>
      <c r="B3198" s="3" t="s">
        <v>168</v>
      </c>
      <c r="C3198" s="3" t="s">
        <v>1342</v>
      </c>
      <c r="D3198" s="3" t="s">
        <v>68</v>
      </c>
      <c r="E3198" s="3" t="s">
        <v>100</v>
      </c>
      <c r="F3198" s="3" t="s">
        <v>1535</v>
      </c>
      <c r="G3198" s="7">
        <v>45978.244753979736</v>
      </c>
    </row>
    <row r="3199">
      <c r="A3199" s="3" t="s">
        <v>10340</v>
      </c>
      <c r="B3199" s="3" t="s">
        <v>521</v>
      </c>
      <c r="C3199" s="3" t="s">
        <v>56</v>
      </c>
      <c r="D3199" s="3" t="s">
        <v>68</v>
      </c>
      <c r="E3199" s="3" t="s">
        <v>100</v>
      </c>
      <c r="F3199" s="3" t="s">
        <v>1833</v>
      </c>
      <c r="G3199" s="7">
        <v>45978.315928825155</v>
      </c>
    </row>
    <row r="3200">
      <c r="A3200" s="3" t="s">
        <v>10343</v>
      </c>
      <c r="B3200" s="3" t="s">
        <v>215</v>
      </c>
      <c r="C3200" s="3" t="s">
        <v>56</v>
      </c>
      <c r="D3200" s="3" t="s">
        <v>68</v>
      </c>
      <c r="E3200" s="3" t="s">
        <v>100</v>
      </c>
      <c r="F3200" s="3" t="s">
        <v>1837</v>
      </c>
      <c r="G3200" s="7">
        <v>45978.38710367057</v>
      </c>
    </row>
    <row r="3201">
      <c r="A3201" s="3" t="s">
        <v>10348</v>
      </c>
      <c r="B3201" s="3" t="s">
        <v>1011</v>
      </c>
      <c r="C3201" s="3" t="s">
        <v>1095</v>
      </c>
      <c r="D3201" s="3" t="s">
        <v>181</v>
      </c>
      <c r="E3201" s="3" t="s">
        <v>45</v>
      </c>
      <c r="F3201" s="3" t="s">
        <v>1795</v>
      </c>
      <c r="G3201" s="7">
        <v>45978.45827851598</v>
      </c>
    </row>
    <row r="3202">
      <c r="A3202" s="3" t="s">
        <v>10350</v>
      </c>
      <c r="B3202" s="3" t="s">
        <v>569</v>
      </c>
      <c r="C3202" s="3" t="s">
        <v>1095</v>
      </c>
      <c r="D3202" s="3" t="s">
        <v>195</v>
      </c>
      <c r="E3202" s="3" t="s">
        <v>45</v>
      </c>
      <c r="F3202" s="3" t="s">
        <v>1483</v>
      </c>
      <c r="G3202" s="7">
        <v>45978.5294533614</v>
      </c>
    </row>
    <row r="3203">
      <c r="A3203" s="3" t="s">
        <v>10354</v>
      </c>
      <c r="B3203" s="3" t="s">
        <v>183</v>
      </c>
      <c r="C3203" s="3" t="s">
        <v>56</v>
      </c>
      <c r="D3203" s="3" t="s">
        <v>68</v>
      </c>
      <c r="E3203" s="3" t="s">
        <v>100</v>
      </c>
      <c r="F3203" s="3" t="s">
        <v>1842</v>
      </c>
      <c r="G3203" s="7">
        <v>45978.60062820681</v>
      </c>
    </row>
    <row r="3204">
      <c r="A3204" s="3" t="s">
        <v>10357</v>
      </c>
      <c r="B3204" s="3" t="s">
        <v>366</v>
      </c>
      <c r="C3204" s="3" t="s">
        <v>1342</v>
      </c>
      <c r="D3204" s="3" t="s">
        <v>68</v>
      </c>
      <c r="E3204" s="3" t="s">
        <v>100</v>
      </c>
      <c r="F3204" s="3" t="s">
        <v>1625</v>
      </c>
      <c r="G3204" s="7">
        <v>45978.671803052224</v>
      </c>
    </row>
    <row r="3205">
      <c r="A3205" s="3" t="s">
        <v>10360</v>
      </c>
      <c r="B3205" s="3" t="s">
        <v>1049</v>
      </c>
      <c r="C3205" s="3" t="s">
        <v>1095</v>
      </c>
      <c r="D3205" s="3" t="s">
        <v>68</v>
      </c>
      <c r="E3205" s="3" t="s">
        <v>100</v>
      </c>
      <c r="F3205" s="3" t="s">
        <v>509</v>
      </c>
      <c r="G3205" s="7">
        <v>45978.742977897644</v>
      </c>
    </row>
    <row r="3206">
      <c r="A3206" s="3" t="s">
        <v>10363</v>
      </c>
      <c r="B3206" s="3" t="s">
        <v>455</v>
      </c>
      <c r="C3206" s="3" t="s">
        <v>56</v>
      </c>
      <c r="D3206" s="3" t="s">
        <v>181</v>
      </c>
      <c r="E3206" s="3" t="s">
        <v>45</v>
      </c>
      <c r="F3206" s="3" t="s">
        <v>45</v>
      </c>
      <c r="G3206" s="7">
        <v>45978.81415274306</v>
      </c>
    </row>
    <row r="3207">
      <c r="A3207" s="3" t="s">
        <v>10367</v>
      </c>
      <c r="B3207" s="3" t="s">
        <v>581</v>
      </c>
      <c r="C3207" s="3" t="s">
        <v>1342</v>
      </c>
      <c r="D3207" s="3" t="s">
        <v>68</v>
      </c>
      <c r="E3207" s="3" t="s">
        <v>100</v>
      </c>
      <c r="F3207" s="3" t="s">
        <v>1581</v>
      </c>
      <c r="G3207" s="7">
        <v>45978.88532758847</v>
      </c>
    </row>
    <row r="3208">
      <c r="A3208" s="3" t="s">
        <v>10371</v>
      </c>
      <c r="B3208" s="3" t="s">
        <v>717</v>
      </c>
      <c r="C3208" s="3" t="s">
        <v>1095</v>
      </c>
      <c r="D3208" s="3" t="s">
        <v>68</v>
      </c>
      <c r="E3208" s="3" t="s">
        <v>100</v>
      </c>
      <c r="F3208" s="3" t="s">
        <v>1583</v>
      </c>
      <c r="G3208" s="7">
        <v>45978.95650243389</v>
      </c>
    </row>
    <row r="3209">
      <c r="A3209" s="3" t="s">
        <v>10374</v>
      </c>
      <c r="B3209" s="3" t="s">
        <v>895</v>
      </c>
      <c r="C3209" s="3" t="s">
        <v>1342</v>
      </c>
      <c r="D3209" s="3" t="s">
        <v>68</v>
      </c>
      <c r="E3209" s="3" t="s">
        <v>100</v>
      </c>
      <c r="F3209" s="3" t="s">
        <v>784</v>
      </c>
      <c r="G3209" s="7">
        <v>45979.0276772793</v>
      </c>
    </row>
    <row r="3210">
      <c r="A3210" s="3" t="s">
        <v>10376</v>
      </c>
      <c r="B3210" s="3" t="s">
        <v>574</v>
      </c>
      <c r="C3210" s="3" t="s">
        <v>1342</v>
      </c>
      <c r="D3210" s="3" t="s">
        <v>68</v>
      </c>
      <c r="E3210" s="3" t="s">
        <v>100</v>
      </c>
      <c r="F3210" s="3" t="s">
        <v>1747</v>
      </c>
      <c r="G3210" s="7">
        <v>45979.09885212472</v>
      </c>
    </row>
    <row r="3211">
      <c r="A3211" s="3" t="s">
        <v>10378</v>
      </c>
      <c r="B3211" s="3" t="s">
        <v>287</v>
      </c>
      <c r="C3211" s="3" t="s">
        <v>1342</v>
      </c>
      <c r="D3211" s="3" t="s">
        <v>68</v>
      </c>
      <c r="E3211" s="3" t="s">
        <v>100</v>
      </c>
      <c r="F3211" s="3" t="s">
        <v>1651</v>
      </c>
      <c r="G3211" s="7">
        <v>45979.17002697013</v>
      </c>
    </row>
    <row r="3212">
      <c r="A3212" s="3" t="s">
        <v>10380</v>
      </c>
      <c r="B3212" s="3" t="s">
        <v>579</v>
      </c>
      <c r="C3212" s="3" t="s">
        <v>1095</v>
      </c>
      <c r="D3212" s="3" t="s">
        <v>68</v>
      </c>
      <c r="E3212" s="3" t="s">
        <v>100</v>
      </c>
      <c r="F3212" s="3" t="s">
        <v>1538</v>
      </c>
      <c r="G3212" s="7">
        <v>45979.24120181555</v>
      </c>
    </row>
    <row r="3213">
      <c r="A3213" s="3" t="s">
        <v>10382</v>
      </c>
      <c r="B3213" s="3" t="s">
        <v>722</v>
      </c>
      <c r="C3213" s="3" t="s">
        <v>1342</v>
      </c>
      <c r="D3213" s="3" t="s">
        <v>68</v>
      </c>
      <c r="E3213" s="3" t="s">
        <v>100</v>
      </c>
      <c r="F3213" s="3" t="s">
        <v>1735</v>
      </c>
      <c r="G3213" s="7">
        <v>45979.31237666096</v>
      </c>
    </row>
    <row r="3214">
      <c r="A3214" s="3" t="s">
        <v>10385</v>
      </c>
      <c r="B3214" s="3" t="s">
        <v>650</v>
      </c>
      <c r="C3214" s="3" t="s">
        <v>56</v>
      </c>
      <c r="D3214" s="3" t="s">
        <v>68</v>
      </c>
      <c r="E3214" s="3" t="s">
        <v>100</v>
      </c>
      <c r="F3214" s="3" t="s">
        <v>1846</v>
      </c>
      <c r="G3214" s="7">
        <v>45979.38355150638</v>
      </c>
    </row>
    <row r="3215">
      <c r="A3215" s="3" t="s">
        <v>10387</v>
      </c>
      <c r="B3215" s="3" t="s">
        <v>722</v>
      </c>
      <c r="C3215" s="3" t="s">
        <v>1342</v>
      </c>
      <c r="D3215" s="3" t="s">
        <v>68</v>
      </c>
      <c r="E3215" s="3" t="s">
        <v>100</v>
      </c>
      <c r="F3215" s="3" t="s">
        <v>1735</v>
      </c>
      <c r="G3215" s="7">
        <v>45979.454726351796</v>
      </c>
    </row>
    <row r="3216">
      <c r="A3216" s="3" t="s">
        <v>10389</v>
      </c>
      <c r="B3216" s="3" t="s">
        <v>1008</v>
      </c>
      <c r="C3216" s="3" t="s">
        <v>1342</v>
      </c>
      <c r="D3216" s="3" t="s">
        <v>68</v>
      </c>
      <c r="E3216" s="3" t="s">
        <v>100</v>
      </c>
      <c r="F3216" s="3" t="s">
        <v>2108</v>
      </c>
      <c r="G3216" s="7">
        <v>45979.52590119721</v>
      </c>
    </row>
    <row r="3217">
      <c r="A3217" s="3" t="s">
        <v>10392</v>
      </c>
      <c r="B3217" s="3" t="s">
        <v>655</v>
      </c>
      <c r="C3217" s="3" t="s">
        <v>1095</v>
      </c>
      <c r="D3217" s="3" t="s">
        <v>68</v>
      </c>
      <c r="E3217" s="3" t="s">
        <v>100</v>
      </c>
      <c r="F3217" s="3" t="s">
        <v>1690</v>
      </c>
      <c r="G3217" s="7">
        <v>45979.59707604262</v>
      </c>
    </row>
    <row r="3218">
      <c r="A3218" s="3" t="s">
        <v>10393</v>
      </c>
      <c r="B3218" s="3" t="s">
        <v>752</v>
      </c>
      <c r="C3218" s="3" t="s">
        <v>1342</v>
      </c>
      <c r="D3218" s="3" t="s">
        <v>68</v>
      </c>
      <c r="E3218" s="3" t="s">
        <v>100</v>
      </c>
      <c r="F3218" s="3" t="s">
        <v>1759</v>
      </c>
      <c r="G3218" s="7">
        <v>45979.66825088804</v>
      </c>
    </row>
    <row r="3219">
      <c r="A3219" s="3" t="s">
        <v>10395</v>
      </c>
      <c r="B3219" s="3" t="s">
        <v>383</v>
      </c>
      <c r="C3219" s="3" t="s">
        <v>1095</v>
      </c>
      <c r="D3219" s="3" t="s">
        <v>68</v>
      </c>
      <c r="E3219" s="3" t="s">
        <v>100</v>
      </c>
      <c r="F3219" s="3" t="s">
        <v>1800</v>
      </c>
      <c r="G3219" s="7">
        <v>45979.73942573345</v>
      </c>
    </row>
    <row r="3220">
      <c r="A3220" s="3" t="s">
        <v>10397</v>
      </c>
      <c r="B3220" s="3" t="s">
        <v>596</v>
      </c>
      <c r="C3220" s="3" t="s">
        <v>1342</v>
      </c>
      <c r="D3220" s="3" t="s">
        <v>68</v>
      </c>
      <c r="E3220" s="3" t="s">
        <v>100</v>
      </c>
      <c r="F3220" s="3" t="s">
        <v>1808</v>
      </c>
      <c r="G3220" s="7">
        <v>45979.810600578865</v>
      </c>
    </row>
    <row r="3221">
      <c r="A3221" s="3" t="s">
        <v>10399</v>
      </c>
      <c r="B3221" s="3" t="s">
        <v>436</v>
      </c>
      <c r="C3221" s="3" t="s">
        <v>1342</v>
      </c>
      <c r="D3221" s="3" t="s">
        <v>181</v>
      </c>
      <c r="E3221" s="3" t="s">
        <v>45</v>
      </c>
      <c r="F3221" s="3" t="s">
        <v>1138</v>
      </c>
      <c r="G3221" s="7">
        <v>45979.881775424285</v>
      </c>
    </row>
    <row r="3222">
      <c r="A3222" s="3" t="s">
        <v>10400</v>
      </c>
      <c r="B3222" s="3" t="s">
        <v>976</v>
      </c>
      <c r="C3222" s="3" t="s">
        <v>1095</v>
      </c>
      <c r="D3222" s="3" t="s">
        <v>68</v>
      </c>
      <c r="E3222" s="3" t="s">
        <v>100</v>
      </c>
      <c r="F3222" s="3" t="s">
        <v>1755</v>
      </c>
      <c r="G3222" s="7">
        <v>45979.952950269704</v>
      </c>
    </row>
    <row r="3223">
      <c r="A3223" s="3" t="s">
        <v>10402</v>
      </c>
      <c r="B3223" s="3" t="s">
        <v>957</v>
      </c>
      <c r="C3223" s="3" t="s">
        <v>1095</v>
      </c>
      <c r="D3223" s="3" t="s">
        <v>68</v>
      </c>
      <c r="E3223" s="3" t="s">
        <v>100</v>
      </c>
      <c r="F3223" s="3" t="s">
        <v>1770</v>
      </c>
      <c r="G3223" s="7">
        <v>45980.02412511511</v>
      </c>
    </row>
    <row r="3224">
      <c r="A3224" s="3" t="s">
        <v>10405</v>
      </c>
      <c r="B3224" s="3" t="s">
        <v>302</v>
      </c>
      <c r="C3224" s="3" t="s">
        <v>1342</v>
      </c>
      <c r="D3224" s="3" t="s">
        <v>68</v>
      </c>
      <c r="E3224" s="3" t="s">
        <v>100</v>
      </c>
      <c r="F3224" s="3" t="s">
        <v>1491</v>
      </c>
      <c r="G3224" s="7">
        <v>45980.09529996053</v>
      </c>
    </row>
    <row r="3225">
      <c r="A3225" s="3" t="s">
        <v>10408</v>
      </c>
      <c r="B3225" s="3" t="s">
        <v>145</v>
      </c>
      <c r="C3225" s="3" t="s">
        <v>56</v>
      </c>
      <c r="D3225" s="3" t="s">
        <v>68</v>
      </c>
      <c r="E3225" s="3" t="s">
        <v>100</v>
      </c>
      <c r="F3225" s="3" t="s">
        <v>1848</v>
      </c>
      <c r="G3225" s="7">
        <v>45980.16647480595</v>
      </c>
    </row>
    <row r="3226">
      <c r="A3226" s="3" t="s">
        <v>10411</v>
      </c>
      <c r="B3226" s="3" t="s">
        <v>845</v>
      </c>
      <c r="C3226" s="3" t="s">
        <v>1342</v>
      </c>
      <c r="D3226" s="3" t="s">
        <v>68</v>
      </c>
      <c r="E3226" s="3" t="s">
        <v>100</v>
      </c>
      <c r="F3226" s="3" t="s">
        <v>1100</v>
      </c>
      <c r="G3226" s="7">
        <v>45980.23764965136</v>
      </c>
    </row>
    <row r="3227">
      <c r="A3227" s="3" t="s">
        <v>10414</v>
      </c>
      <c r="B3227" s="3" t="s">
        <v>519</v>
      </c>
      <c r="C3227" s="3" t="s">
        <v>56</v>
      </c>
      <c r="D3227" s="3" t="s">
        <v>68</v>
      </c>
      <c r="E3227" s="3" t="s">
        <v>100</v>
      </c>
      <c r="F3227" s="3" t="s">
        <v>1850</v>
      </c>
      <c r="G3227" s="7">
        <v>45980.30882449677</v>
      </c>
    </row>
    <row r="3228">
      <c r="A3228" s="3" t="s">
        <v>10418</v>
      </c>
      <c r="B3228" s="3" t="s">
        <v>243</v>
      </c>
      <c r="C3228" s="3" t="s">
        <v>56</v>
      </c>
      <c r="D3228" s="3" t="s">
        <v>68</v>
      </c>
      <c r="E3228" s="3" t="s">
        <v>100</v>
      </c>
      <c r="F3228" s="3" t="s">
        <v>1852</v>
      </c>
      <c r="G3228" s="7">
        <v>45980.37999934219</v>
      </c>
    </row>
    <row r="3229">
      <c r="A3229" s="3" t="s">
        <v>10421</v>
      </c>
      <c r="B3229" s="3" t="s">
        <v>536</v>
      </c>
      <c r="C3229" s="3" t="s">
        <v>1095</v>
      </c>
      <c r="D3229" s="3" t="s">
        <v>68</v>
      </c>
      <c r="E3229" s="3" t="s">
        <v>100</v>
      </c>
      <c r="F3229" s="3" t="s">
        <v>1779</v>
      </c>
      <c r="G3229" s="7">
        <v>45980.451174187605</v>
      </c>
    </row>
    <row r="3230">
      <c r="A3230" s="3" t="s">
        <v>10424</v>
      </c>
      <c r="B3230" s="3" t="s">
        <v>148</v>
      </c>
      <c r="C3230" s="3" t="s">
        <v>1342</v>
      </c>
      <c r="D3230" s="3" t="s">
        <v>68</v>
      </c>
      <c r="E3230" s="3" t="s">
        <v>100</v>
      </c>
      <c r="F3230" s="3" t="s">
        <v>1099</v>
      </c>
      <c r="G3230" s="7">
        <v>45980.52234903302</v>
      </c>
    </row>
    <row r="3231">
      <c r="A3231" s="3" t="s">
        <v>10426</v>
      </c>
      <c r="B3231" s="3" t="s">
        <v>596</v>
      </c>
      <c r="C3231" s="3" t="s">
        <v>1342</v>
      </c>
      <c r="D3231" s="3" t="s">
        <v>68</v>
      </c>
      <c r="E3231" s="3" t="s">
        <v>100</v>
      </c>
      <c r="F3231" s="3" t="s">
        <v>1808</v>
      </c>
      <c r="G3231" s="7">
        <v>45980.59352387844</v>
      </c>
    </row>
    <row r="3232">
      <c r="A3232" s="3" t="s">
        <v>10429</v>
      </c>
      <c r="B3232" s="3" t="s">
        <v>934</v>
      </c>
      <c r="C3232" s="3" t="s">
        <v>1342</v>
      </c>
      <c r="D3232" s="3" t="s">
        <v>68</v>
      </c>
      <c r="E3232" s="3" t="s">
        <v>100</v>
      </c>
      <c r="F3232" s="3" t="s">
        <v>1790</v>
      </c>
      <c r="G3232" s="7">
        <v>45980.66469872385</v>
      </c>
    </row>
    <row r="3233">
      <c r="A3233" s="3" t="s">
        <v>10432</v>
      </c>
      <c r="B3233" s="3" t="s">
        <v>662</v>
      </c>
      <c r="C3233" s="3" t="s">
        <v>1095</v>
      </c>
      <c r="D3233" s="3" t="s">
        <v>181</v>
      </c>
      <c r="E3233" s="3" t="s">
        <v>45</v>
      </c>
      <c r="F3233" s="3" t="s">
        <v>946</v>
      </c>
      <c r="G3233" s="7">
        <v>45980.73587356926</v>
      </c>
    </row>
    <row r="3234">
      <c r="A3234" s="3" t="s">
        <v>10435</v>
      </c>
      <c r="B3234" s="3" t="s">
        <v>313</v>
      </c>
      <c r="C3234" s="3" t="s">
        <v>1095</v>
      </c>
      <c r="D3234" s="3" t="s">
        <v>68</v>
      </c>
      <c r="E3234" s="3" t="s">
        <v>100</v>
      </c>
      <c r="F3234" s="3" t="s">
        <v>1480</v>
      </c>
      <c r="G3234" s="7">
        <v>45980.80704841468</v>
      </c>
    </row>
    <row r="3235">
      <c r="A3235" s="3" t="s">
        <v>10438</v>
      </c>
      <c r="B3235" s="3" t="s">
        <v>481</v>
      </c>
      <c r="C3235" s="3" t="s">
        <v>1342</v>
      </c>
      <c r="D3235" s="3" t="s">
        <v>68</v>
      </c>
      <c r="E3235" s="3" t="s">
        <v>100</v>
      </c>
      <c r="F3235" s="3" t="s">
        <v>1740</v>
      </c>
      <c r="G3235" s="7">
        <v>45980.87822326009</v>
      </c>
    </row>
    <row r="3236">
      <c r="A3236" s="3" t="s">
        <v>10441</v>
      </c>
      <c r="B3236" s="3" t="s">
        <v>575</v>
      </c>
      <c r="C3236" s="3" t="s">
        <v>56</v>
      </c>
      <c r="D3236" s="3" t="s">
        <v>68</v>
      </c>
      <c r="E3236" s="3" t="s">
        <v>100</v>
      </c>
      <c r="F3236" s="3" t="s">
        <v>1857</v>
      </c>
      <c r="G3236" s="7">
        <v>45980.949398105506</v>
      </c>
    </row>
    <row r="3237">
      <c r="A3237" s="3" t="s">
        <v>10445</v>
      </c>
      <c r="B3237" s="3" t="s">
        <v>734</v>
      </c>
      <c r="C3237" s="3" t="s">
        <v>1095</v>
      </c>
      <c r="D3237" s="3" t="s">
        <v>68</v>
      </c>
      <c r="E3237" s="3" t="s">
        <v>100</v>
      </c>
      <c r="F3237" s="3" t="s">
        <v>1411</v>
      </c>
      <c r="G3237" s="7">
        <v>45981.020572950925</v>
      </c>
    </row>
    <row r="3238">
      <c r="A3238" s="3" t="s">
        <v>10449</v>
      </c>
      <c r="B3238" s="3" t="s">
        <v>141</v>
      </c>
      <c r="C3238" s="3" t="s">
        <v>1342</v>
      </c>
      <c r="D3238" s="3" t="s">
        <v>68</v>
      </c>
      <c r="E3238" s="3" t="s">
        <v>100</v>
      </c>
      <c r="F3238" s="3" t="s">
        <v>1579</v>
      </c>
      <c r="G3238" s="7">
        <v>45981.091747796345</v>
      </c>
    </row>
    <row r="3239">
      <c r="A3239" s="3" t="s">
        <v>10452</v>
      </c>
      <c r="B3239" s="3" t="s">
        <v>676</v>
      </c>
      <c r="C3239" s="3" t="s">
        <v>1342</v>
      </c>
      <c r="D3239" s="3" t="s">
        <v>68</v>
      </c>
      <c r="E3239" s="3" t="s">
        <v>100</v>
      </c>
      <c r="F3239" s="3" t="s">
        <v>1762</v>
      </c>
      <c r="G3239" s="7">
        <v>45981.16292264175</v>
      </c>
    </row>
    <row r="3240">
      <c r="A3240" s="3" t="s">
        <v>10454</v>
      </c>
      <c r="B3240" s="3" t="s">
        <v>886</v>
      </c>
      <c r="C3240" s="3" t="s">
        <v>56</v>
      </c>
      <c r="D3240" s="3" t="s">
        <v>68</v>
      </c>
      <c r="E3240" s="3" t="s">
        <v>100</v>
      </c>
      <c r="F3240" s="3" t="s">
        <v>1863</v>
      </c>
      <c r="G3240" s="7">
        <v>45981.23409748717</v>
      </c>
    </row>
    <row r="3241">
      <c r="A3241" s="3" t="s">
        <v>10459</v>
      </c>
      <c r="B3241" s="3" t="s">
        <v>510</v>
      </c>
      <c r="C3241" s="3" t="s">
        <v>1342</v>
      </c>
      <c r="D3241" s="3" t="s">
        <v>68</v>
      </c>
      <c r="E3241" s="3" t="s">
        <v>100</v>
      </c>
      <c r="F3241" s="3" t="s">
        <v>1650</v>
      </c>
      <c r="G3241" s="7">
        <v>45981.30527233259</v>
      </c>
    </row>
    <row r="3242">
      <c r="A3242" s="3" t="s">
        <v>10462</v>
      </c>
      <c r="B3242" s="3" t="s">
        <v>498</v>
      </c>
      <c r="C3242" s="3" t="s">
        <v>1342</v>
      </c>
      <c r="D3242" s="3" t="s">
        <v>195</v>
      </c>
      <c r="E3242" s="3" t="s">
        <v>45</v>
      </c>
      <c r="F3242" s="3" t="s">
        <v>1465</v>
      </c>
      <c r="G3242" s="7">
        <v>45981.376447178</v>
      </c>
    </row>
    <row r="3243">
      <c r="A3243" s="3" t="s">
        <v>10464</v>
      </c>
      <c r="B3243" s="3" t="s">
        <v>453</v>
      </c>
      <c r="C3243" s="3" t="s">
        <v>1342</v>
      </c>
      <c r="D3243" s="3" t="s">
        <v>68</v>
      </c>
      <c r="E3243" s="3" t="s">
        <v>100</v>
      </c>
      <c r="F3243" s="3" t="s">
        <v>1451</v>
      </c>
      <c r="G3243" s="7">
        <v>45981.447622023414</v>
      </c>
    </row>
    <row r="3244">
      <c r="A3244" s="3" t="s">
        <v>10466</v>
      </c>
      <c r="B3244" s="3" t="s">
        <v>519</v>
      </c>
      <c r="C3244" s="3" t="s">
        <v>1342</v>
      </c>
      <c r="D3244" s="3" t="s">
        <v>68</v>
      </c>
      <c r="E3244" s="3" t="s">
        <v>100</v>
      </c>
      <c r="F3244" s="3" t="s">
        <v>1850</v>
      </c>
      <c r="G3244" s="7">
        <v>45981.51879686883</v>
      </c>
    </row>
    <row r="3245">
      <c r="A3245" s="3" t="s">
        <v>10469</v>
      </c>
      <c r="B3245" s="3" t="s">
        <v>725</v>
      </c>
      <c r="C3245" s="3" t="s">
        <v>1342</v>
      </c>
      <c r="D3245" s="3" t="s">
        <v>68</v>
      </c>
      <c r="E3245" s="3" t="s">
        <v>100</v>
      </c>
      <c r="F3245" s="3" t="s">
        <v>1801</v>
      </c>
      <c r="G3245" s="7">
        <v>45981.589971714246</v>
      </c>
    </row>
    <row r="3246">
      <c r="A3246" s="3" t="s">
        <v>10472</v>
      </c>
      <c r="B3246" s="3" t="s">
        <v>148</v>
      </c>
      <c r="C3246" s="3" t="s">
        <v>1342</v>
      </c>
      <c r="D3246" s="3" t="s">
        <v>68</v>
      </c>
      <c r="E3246" s="3" t="s">
        <v>100</v>
      </c>
      <c r="F3246" s="3" t="s">
        <v>1099</v>
      </c>
      <c r="G3246" s="7">
        <v>45981.66114655966</v>
      </c>
    </row>
    <row r="3247">
      <c r="A3247" s="3" t="s">
        <v>10476</v>
      </c>
      <c r="B3247" s="3" t="s">
        <v>672</v>
      </c>
      <c r="C3247" s="3" t="s">
        <v>1342</v>
      </c>
      <c r="D3247" s="3" t="s">
        <v>68</v>
      </c>
      <c r="E3247" s="3" t="s">
        <v>100</v>
      </c>
      <c r="F3247" s="3" t="s">
        <v>1722</v>
      </c>
      <c r="G3247" s="7">
        <v>45981.73232140508</v>
      </c>
    </row>
    <row r="3248">
      <c r="A3248" s="3" t="s">
        <v>10478</v>
      </c>
      <c r="B3248" s="3" t="s">
        <v>539</v>
      </c>
      <c r="C3248" s="3" t="s">
        <v>56</v>
      </c>
      <c r="D3248" s="3" t="s">
        <v>68</v>
      </c>
      <c r="E3248" s="3" t="s">
        <v>100</v>
      </c>
      <c r="F3248" s="3" t="s">
        <v>1864</v>
      </c>
      <c r="G3248" s="7">
        <v>45981.8034962505</v>
      </c>
    </row>
    <row r="3249">
      <c r="A3249" s="3" t="s">
        <v>10481</v>
      </c>
      <c r="B3249" s="3" t="s">
        <v>530</v>
      </c>
      <c r="C3249" s="3" t="s">
        <v>1342</v>
      </c>
      <c r="D3249" s="3" t="s">
        <v>68</v>
      </c>
      <c r="E3249" s="3" t="s">
        <v>100</v>
      </c>
      <c r="F3249" s="3" t="s">
        <v>1557</v>
      </c>
      <c r="G3249" s="7">
        <v>45981.8746710959</v>
      </c>
    </row>
    <row r="3250">
      <c r="A3250" s="3" t="s">
        <v>10483</v>
      </c>
      <c r="B3250" s="3" t="s">
        <v>976</v>
      </c>
      <c r="C3250" s="3" t="s">
        <v>56</v>
      </c>
      <c r="D3250" s="3" t="s">
        <v>195</v>
      </c>
      <c r="E3250" s="3" t="s">
        <v>45</v>
      </c>
      <c r="F3250" s="3" t="s">
        <v>45</v>
      </c>
      <c r="G3250" s="7">
        <v>45981.94584594132</v>
      </c>
    </row>
    <row r="3251">
      <c r="A3251" s="3" t="s">
        <v>10484</v>
      </c>
      <c r="B3251" s="3" t="s">
        <v>586</v>
      </c>
      <c r="C3251" s="3" t="s">
        <v>1342</v>
      </c>
      <c r="D3251" s="3" t="s">
        <v>68</v>
      </c>
      <c r="E3251" s="3" t="s">
        <v>100</v>
      </c>
      <c r="F3251" s="3" t="s">
        <v>1627</v>
      </c>
      <c r="G3251" s="7">
        <v>45982.017020786734</v>
      </c>
    </row>
    <row r="3252">
      <c r="A3252" s="3" t="s">
        <v>10486</v>
      </c>
      <c r="B3252" s="3" t="s">
        <v>969</v>
      </c>
      <c r="C3252" s="3" t="s">
        <v>56</v>
      </c>
      <c r="D3252" s="3" t="s">
        <v>68</v>
      </c>
      <c r="E3252" s="3" t="s">
        <v>100</v>
      </c>
      <c r="F3252" s="3" t="s">
        <v>1869</v>
      </c>
      <c r="G3252" s="7">
        <v>45982.088195632154</v>
      </c>
    </row>
    <row r="3253">
      <c r="A3253" s="3" t="s">
        <v>10488</v>
      </c>
      <c r="B3253" s="3" t="s">
        <v>352</v>
      </c>
      <c r="C3253" s="3" t="s">
        <v>1342</v>
      </c>
      <c r="D3253" s="3" t="s">
        <v>68</v>
      </c>
      <c r="E3253" s="3" t="s">
        <v>100</v>
      </c>
      <c r="F3253" s="3" t="s">
        <v>1602</v>
      </c>
      <c r="G3253" s="7">
        <v>45982.159370477566</v>
      </c>
    </row>
    <row r="3254">
      <c r="A3254" s="3" t="s">
        <v>10489</v>
      </c>
      <c r="B3254" s="3" t="s">
        <v>752</v>
      </c>
      <c r="C3254" s="3" t="s">
        <v>1095</v>
      </c>
      <c r="D3254" s="3" t="s">
        <v>68</v>
      </c>
      <c r="E3254" s="3" t="s">
        <v>100</v>
      </c>
      <c r="F3254" s="3" t="s">
        <v>1759</v>
      </c>
      <c r="G3254" s="7">
        <v>45982.230545322986</v>
      </c>
    </row>
    <row r="3255">
      <c r="A3255" s="3" t="s">
        <v>10491</v>
      </c>
      <c r="B3255" s="3" t="s">
        <v>366</v>
      </c>
      <c r="C3255" s="3" t="s">
        <v>1095</v>
      </c>
      <c r="D3255" s="3" t="s">
        <v>195</v>
      </c>
      <c r="E3255" s="3" t="s">
        <v>45</v>
      </c>
      <c r="F3255" s="3" t="s">
        <v>1625</v>
      </c>
      <c r="G3255" s="7">
        <v>45982.30172016839</v>
      </c>
    </row>
    <row r="3256">
      <c r="A3256" s="3" t="s">
        <v>10493</v>
      </c>
      <c r="B3256" s="3" t="s">
        <v>219</v>
      </c>
      <c r="C3256" s="3" t="s">
        <v>1095</v>
      </c>
      <c r="D3256" s="3" t="s">
        <v>68</v>
      </c>
      <c r="E3256" s="3" t="s">
        <v>100</v>
      </c>
      <c r="F3256" s="3" t="s">
        <v>1597</v>
      </c>
      <c r="G3256" s="7">
        <v>45982.37289501381</v>
      </c>
    </row>
    <row r="3257">
      <c r="A3257" s="3" t="s">
        <v>10497</v>
      </c>
      <c r="B3257" s="3" t="s">
        <v>593</v>
      </c>
      <c r="C3257" s="3" t="s">
        <v>1342</v>
      </c>
      <c r="D3257" s="3" t="s">
        <v>68</v>
      </c>
      <c r="E3257" s="3" t="s">
        <v>100</v>
      </c>
      <c r="F3257" s="3" t="s">
        <v>1679</v>
      </c>
      <c r="G3257" s="7">
        <v>45982.44406985923</v>
      </c>
    </row>
    <row r="3258">
      <c r="A3258" s="3" t="s">
        <v>10501</v>
      </c>
      <c r="B3258" s="3" t="s">
        <v>916</v>
      </c>
      <c r="C3258" s="3" t="s">
        <v>1095</v>
      </c>
      <c r="D3258" s="3" t="s">
        <v>68</v>
      </c>
      <c r="E3258" s="3" t="s">
        <v>100</v>
      </c>
      <c r="F3258" s="3" t="s">
        <v>1467</v>
      </c>
      <c r="G3258" s="7">
        <v>45982.51524470464</v>
      </c>
    </row>
    <row r="3259">
      <c r="A3259" s="3" t="s">
        <v>10505</v>
      </c>
      <c r="B3259" s="3" t="s">
        <v>491</v>
      </c>
      <c r="C3259" s="3" t="s">
        <v>1342</v>
      </c>
      <c r="D3259" s="3" t="s">
        <v>68</v>
      </c>
      <c r="E3259" s="3" t="s">
        <v>100</v>
      </c>
      <c r="F3259" s="3" t="s">
        <v>1426</v>
      </c>
      <c r="G3259" s="7">
        <v>45982.586419550054</v>
      </c>
    </row>
    <row r="3260">
      <c r="A3260" s="3" t="s">
        <v>10507</v>
      </c>
      <c r="B3260" s="3" t="s">
        <v>947</v>
      </c>
      <c r="C3260" s="3" t="s">
        <v>1095</v>
      </c>
      <c r="D3260" s="3" t="s">
        <v>68</v>
      </c>
      <c r="E3260" s="3" t="s">
        <v>100</v>
      </c>
      <c r="F3260" s="3" t="s">
        <v>1855</v>
      </c>
      <c r="G3260" s="7">
        <v>45982.657594395474</v>
      </c>
    </row>
    <row r="3261">
      <c r="A3261" s="3" t="s">
        <v>10509</v>
      </c>
      <c r="B3261" s="3" t="s">
        <v>993</v>
      </c>
      <c r="C3261" s="3" t="s">
        <v>1095</v>
      </c>
      <c r="D3261" s="3" t="s">
        <v>68</v>
      </c>
      <c r="E3261" s="3" t="s">
        <v>100</v>
      </c>
      <c r="F3261" s="3" t="s">
        <v>1775</v>
      </c>
      <c r="G3261" s="7">
        <v>45982.728769240886</v>
      </c>
    </row>
    <row r="3262">
      <c r="A3262" s="3" t="s">
        <v>10511</v>
      </c>
      <c r="B3262" s="3" t="s">
        <v>333</v>
      </c>
      <c r="C3262" s="3" t="s">
        <v>56</v>
      </c>
      <c r="D3262" s="3" t="s">
        <v>68</v>
      </c>
      <c r="E3262" s="3" t="s">
        <v>100</v>
      </c>
      <c r="F3262" s="3" t="s">
        <v>1873</v>
      </c>
      <c r="G3262" s="7">
        <v>45982.7999440863</v>
      </c>
    </row>
    <row r="3263">
      <c r="A3263" s="3" t="s">
        <v>10515</v>
      </c>
      <c r="B3263" s="3" t="s">
        <v>156</v>
      </c>
      <c r="C3263" s="3" t="s">
        <v>1342</v>
      </c>
      <c r="D3263" s="3" t="s">
        <v>68</v>
      </c>
      <c r="E3263" s="3" t="s">
        <v>100</v>
      </c>
      <c r="F3263" s="3" t="s">
        <v>673</v>
      </c>
      <c r="G3263" s="7">
        <v>45982.87111893172</v>
      </c>
    </row>
    <row r="3264">
      <c r="A3264" s="3" t="s">
        <v>10518</v>
      </c>
      <c r="B3264" s="3" t="s">
        <v>162</v>
      </c>
      <c r="C3264" s="3" t="s">
        <v>56</v>
      </c>
      <c r="D3264" s="3" t="s">
        <v>68</v>
      </c>
      <c r="E3264" s="3" t="s">
        <v>100</v>
      </c>
      <c r="F3264" s="3" t="s">
        <v>1876</v>
      </c>
      <c r="G3264" s="7">
        <v>45982.94229377714</v>
      </c>
    </row>
    <row r="3265">
      <c r="A3265" s="3" t="s">
        <v>10521</v>
      </c>
      <c r="B3265" s="3" t="s">
        <v>758</v>
      </c>
      <c r="C3265" s="3" t="s">
        <v>56</v>
      </c>
      <c r="D3265" s="3" t="s">
        <v>68</v>
      </c>
      <c r="E3265" s="3" t="s">
        <v>100</v>
      </c>
      <c r="F3265" s="3" t="s">
        <v>1879</v>
      </c>
      <c r="G3265" s="7">
        <v>45983.01346862254</v>
      </c>
    </row>
    <row r="3266">
      <c r="A3266" s="3" t="s">
        <v>10524</v>
      </c>
      <c r="B3266" s="3" t="s">
        <v>236</v>
      </c>
      <c r="C3266" s="3" t="s">
        <v>1342</v>
      </c>
      <c r="D3266" s="3" t="s">
        <v>68</v>
      </c>
      <c r="E3266" s="3" t="s">
        <v>100</v>
      </c>
      <c r="F3266" s="3" t="s">
        <v>2004</v>
      </c>
      <c r="G3266" s="7">
        <v>45983.08464346796</v>
      </c>
    </row>
    <row r="3267">
      <c r="A3267" s="3" t="s">
        <v>10528</v>
      </c>
      <c r="B3267" s="3" t="s">
        <v>895</v>
      </c>
      <c r="C3267" s="3" t="s">
        <v>1342</v>
      </c>
      <c r="D3267" s="3" t="s">
        <v>68</v>
      </c>
      <c r="E3267" s="3" t="s">
        <v>100</v>
      </c>
      <c r="F3267" s="3" t="s">
        <v>784</v>
      </c>
      <c r="G3267" s="7">
        <v>45983.15581831338</v>
      </c>
    </row>
    <row r="3268">
      <c r="A3268" s="3" t="s">
        <v>10532</v>
      </c>
      <c r="B3268" s="3" t="s">
        <v>627</v>
      </c>
      <c r="C3268" s="3" t="s">
        <v>56</v>
      </c>
      <c r="D3268" s="3" t="s">
        <v>68</v>
      </c>
      <c r="E3268" s="3" t="s">
        <v>100</v>
      </c>
      <c r="F3268" s="3" t="s">
        <v>1882</v>
      </c>
      <c r="G3268" s="7">
        <v>45983.226993158794</v>
      </c>
    </row>
    <row r="3269">
      <c r="A3269" s="3" t="s">
        <v>10535</v>
      </c>
      <c r="B3269" s="3" t="s">
        <v>622</v>
      </c>
      <c r="C3269" s="3" t="s">
        <v>1095</v>
      </c>
      <c r="D3269" s="3" t="s">
        <v>68</v>
      </c>
      <c r="E3269" s="3" t="s">
        <v>100</v>
      </c>
      <c r="F3269" s="3" t="s">
        <v>1341</v>
      </c>
      <c r="G3269" s="7">
        <v>45983.29816800421</v>
      </c>
    </row>
    <row r="3270">
      <c r="A3270" s="3" t="s">
        <v>10538</v>
      </c>
      <c r="B3270" s="3" t="s">
        <v>816</v>
      </c>
      <c r="C3270" s="3" t="s">
        <v>1095</v>
      </c>
      <c r="D3270" s="3" t="s">
        <v>68</v>
      </c>
      <c r="E3270" s="3" t="s">
        <v>100</v>
      </c>
      <c r="F3270" s="3" t="s">
        <v>1185</v>
      </c>
      <c r="G3270" s="7">
        <v>45983.369342849626</v>
      </c>
    </row>
    <row r="3271">
      <c r="A3271" s="3" t="s">
        <v>10542</v>
      </c>
      <c r="B3271" s="3" t="s">
        <v>521</v>
      </c>
      <c r="C3271" s="3" t="s">
        <v>1095</v>
      </c>
      <c r="D3271" s="3" t="s">
        <v>68</v>
      </c>
      <c r="E3271" s="3" t="s">
        <v>100</v>
      </c>
      <c r="F3271" s="3" t="s">
        <v>1833</v>
      </c>
      <c r="G3271" s="7">
        <v>45983.44051769504</v>
      </c>
    </row>
    <row r="3272">
      <c r="A3272" s="3" t="s">
        <v>10546</v>
      </c>
      <c r="B3272" s="3" t="s">
        <v>758</v>
      </c>
      <c r="C3272" s="3" t="s">
        <v>1342</v>
      </c>
      <c r="D3272" s="3" t="s">
        <v>68</v>
      </c>
      <c r="E3272" s="3" t="s">
        <v>100</v>
      </c>
      <c r="F3272" s="3" t="s">
        <v>1879</v>
      </c>
      <c r="G3272" s="7">
        <v>45983.51169254045</v>
      </c>
    </row>
    <row r="3273">
      <c r="A3273" s="3" t="s">
        <v>10549</v>
      </c>
      <c r="B3273" s="3" t="s">
        <v>496</v>
      </c>
      <c r="C3273" s="3" t="s">
        <v>1342</v>
      </c>
      <c r="D3273" s="3" t="s">
        <v>68</v>
      </c>
      <c r="E3273" s="3" t="s">
        <v>100</v>
      </c>
      <c r="F3273" s="3" t="s">
        <v>1713</v>
      </c>
      <c r="G3273" s="7">
        <v>45983.58286738587</v>
      </c>
    </row>
    <row r="3274">
      <c r="A3274" s="3" t="s">
        <v>10552</v>
      </c>
      <c r="B3274" s="3" t="s">
        <v>547</v>
      </c>
      <c r="C3274" s="3" t="s">
        <v>1095</v>
      </c>
      <c r="D3274" s="3" t="s">
        <v>181</v>
      </c>
      <c r="E3274" s="3" t="s">
        <v>45</v>
      </c>
      <c r="F3274" s="3" t="s">
        <v>1171</v>
      </c>
      <c r="G3274" s="7">
        <v>45983.65404223128</v>
      </c>
    </row>
    <row r="3275">
      <c r="A3275" s="3" t="s">
        <v>10556</v>
      </c>
      <c r="B3275" s="3" t="s">
        <v>290</v>
      </c>
      <c r="C3275" s="3" t="s">
        <v>1342</v>
      </c>
      <c r="D3275" s="3" t="s">
        <v>68</v>
      </c>
      <c r="E3275" s="3" t="s">
        <v>100</v>
      </c>
      <c r="F3275" s="3" t="s">
        <v>1828</v>
      </c>
      <c r="G3275" s="7">
        <v>45983.725217076695</v>
      </c>
    </row>
    <row r="3276">
      <c r="A3276" s="3" t="s">
        <v>10560</v>
      </c>
      <c r="B3276" s="3" t="s">
        <v>472</v>
      </c>
      <c r="C3276" s="3" t="s">
        <v>1095</v>
      </c>
      <c r="D3276" s="3" t="s">
        <v>68</v>
      </c>
      <c r="E3276" s="3" t="s">
        <v>100</v>
      </c>
      <c r="F3276" s="3" t="s">
        <v>1738</v>
      </c>
      <c r="G3276" s="7">
        <v>45983.796391922115</v>
      </c>
    </row>
    <row r="3277">
      <c r="A3277" s="3" t="s">
        <v>10563</v>
      </c>
      <c r="B3277" s="3" t="s">
        <v>822</v>
      </c>
      <c r="C3277" s="3" t="s">
        <v>56</v>
      </c>
      <c r="D3277" s="3" t="s">
        <v>68</v>
      </c>
      <c r="E3277" s="3" t="s">
        <v>100</v>
      </c>
      <c r="F3277" s="3" t="s">
        <v>1887</v>
      </c>
      <c r="G3277" s="7">
        <v>45983.86756676753</v>
      </c>
    </row>
    <row r="3278">
      <c r="A3278" s="3" t="s">
        <v>10566</v>
      </c>
      <c r="B3278" s="3" t="s">
        <v>998</v>
      </c>
      <c r="C3278" s="3" t="s">
        <v>1095</v>
      </c>
      <c r="D3278" s="3" t="s">
        <v>68</v>
      </c>
      <c r="E3278" s="3" t="s">
        <v>100</v>
      </c>
      <c r="F3278" s="3" t="s">
        <v>1173</v>
      </c>
      <c r="G3278" s="7">
        <v>45983.93874161294</v>
      </c>
    </row>
    <row r="3279">
      <c r="A3279" s="3" t="s">
        <v>10569</v>
      </c>
      <c r="B3279" s="3" t="s">
        <v>505</v>
      </c>
      <c r="C3279" s="3" t="s">
        <v>56</v>
      </c>
      <c r="D3279" s="3" t="s">
        <v>68</v>
      </c>
      <c r="E3279" s="3" t="s">
        <v>100</v>
      </c>
      <c r="F3279" s="3" t="s">
        <v>1890</v>
      </c>
      <c r="G3279" s="7">
        <v>45984.00991645836</v>
      </c>
    </row>
    <row r="3280">
      <c r="A3280" s="3" t="s">
        <v>10574</v>
      </c>
      <c r="B3280" s="3" t="s">
        <v>356</v>
      </c>
      <c r="C3280" s="3" t="s">
        <v>56</v>
      </c>
      <c r="D3280" s="3" t="s">
        <v>195</v>
      </c>
      <c r="E3280" s="3" t="s">
        <v>45</v>
      </c>
      <c r="F3280" s="3" t="s">
        <v>45</v>
      </c>
      <c r="G3280" s="7">
        <v>45984.08109130378</v>
      </c>
    </row>
    <row r="3281">
      <c r="A3281" s="3" t="s">
        <v>10577</v>
      </c>
      <c r="B3281" s="3" t="s">
        <v>208</v>
      </c>
      <c r="C3281" s="3" t="s">
        <v>56</v>
      </c>
      <c r="D3281" s="3" t="s">
        <v>68</v>
      </c>
      <c r="E3281" s="3" t="s">
        <v>100</v>
      </c>
      <c r="F3281" s="3" t="s">
        <v>1892</v>
      </c>
      <c r="G3281" s="7">
        <v>45984.15226614918</v>
      </c>
    </row>
    <row r="3282">
      <c r="A3282" s="3" t="s">
        <v>10580</v>
      </c>
      <c r="B3282" s="3" t="s">
        <v>530</v>
      </c>
      <c r="C3282" s="3" t="s">
        <v>1342</v>
      </c>
      <c r="D3282" s="3" t="s">
        <v>68</v>
      </c>
      <c r="E3282" s="3" t="s">
        <v>100</v>
      </c>
      <c r="F3282" s="3" t="s">
        <v>1557</v>
      </c>
      <c r="G3282" s="7">
        <v>45984.2234409946</v>
      </c>
    </row>
    <row r="3283">
      <c r="A3283" s="3" t="s">
        <v>10583</v>
      </c>
      <c r="B3283" s="3" t="s">
        <v>496</v>
      </c>
      <c r="C3283" s="3" t="s">
        <v>1342</v>
      </c>
      <c r="D3283" s="3" t="s">
        <v>181</v>
      </c>
      <c r="E3283" s="3" t="s">
        <v>45</v>
      </c>
      <c r="F3283" s="3" t="s">
        <v>1713</v>
      </c>
      <c r="G3283" s="7">
        <v>45984.29461584002</v>
      </c>
    </row>
    <row r="3284">
      <c r="A3284" s="3" t="s">
        <v>10586</v>
      </c>
      <c r="B3284" s="3" t="s">
        <v>363</v>
      </c>
      <c r="C3284" s="3" t="s">
        <v>56</v>
      </c>
      <c r="D3284" s="3" t="s">
        <v>68</v>
      </c>
      <c r="E3284" s="3" t="s">
        <v>100</v>
      </c>
      <c r="F3284" s="3" t="s">
        <v>1894</v>
      </c>
      <c r="G3284" s="7">
        <v>45984.365790685435</v>
      </c>
    </row>
    <row r="3285">
      <c r="A3285" s="3" t="s">
        <v>10589</v>
      </c>
      <c r="B3285" s="3" t="s">
        <v>239</v>
      </c>
      <c r="C3285" s="3" t="s">
        <v>1342</v>
      </c>
      <c r="D3285" s="3" t="s">
        <v>68</v>
      </c>
      <c r="E3285" s="3" t="s">
        <v>100</v>
      </c>
      <c r="F3285" s="3" t="s">
        <v>1182</v>
      </c>
      <c r="G3285" s="7">
        <v>45984.43696553085</v>
      </c>
    </row>
    <row r="3286">
      <c r="A3286" s="3" t="s">
        <v>10591</v>
      </c>
      <c r="B3286" s="3" t="s">
        <v>388</v>
      </c>
      <c r="C3286" s="3" t="s">
        <v>1095</v>
      </c>
      <c r="D3286" s="3" t="s">
        <v>68</v>
      </c>
      <c r="E3286" s="3" t="s">
        <v>100</v>
      </c>
      <c r="F3286" s="3" t="s">
        <v>495</v>
      </c>
      <c r="G3286" s="7">
        <v>45984.50814037627</v>
      </c>
    </row>
    <row r="3287">
      <c r="A3287" s="3" t="s">
        <v>10594</v>
      </c>
      <c r="B3287" s="3" t="s">
        <v>1001</v>
      </c>
      <c r="C3287" s="3" t="s">
        <v>1095</v>
      </c>
      <c r="D3287" s="3" t="s">
        <v>195</v>
      </c>
      <c r="E3287" s="3" t="s">
        <v>45</v>
      </c>
      <c r="F3287" s="3" t="s">
        <v>1763</v>
      </c>
      <c r="G3287" s="7">
        <v>45984.57931522168</v>
      </c>
    </row>
    <row r="3288">
      <c r="A3288" s="3" t="s">
        <v>10599</v>
      </c>
      <c r="B3288" s="3" t="s">
        <v>965</v>
      </c>
      <c r="C3288" s="3" t="s">
        <v>1095</v>
      </c>
      <c r="D3288" s="3" t="s">
        <v>68</v>
      </c>
      <c r="E3288" s="3" t="s">
        <v>100</v>
      </c>
      <c r="F3288" s="3" t="s">
        <v>738</v>
      </c>
      <c r="G3288" s="7">
        <v>45984.65049006709</v>
      </c>
    </row>
    <row r="3289">
      <c r="A3289" s="3" t="s">
        <v>10602</v>
      </c>
      <c r="B3289" s="3" t="s">
        <v>391</v>
      </c>
      <c r="C3289" s="3" t="s">
        <v>1095</v>
      </c>
      <c r="D3289" s="3" t="s">
        <v>68</v>
      </c>
      <c r="E3289" s="3" t="s">
        <v>100</v>
      </c>
      <c r="F3289" s="3" t="s">
        <v>1566</v>
      </c>
      <c r="G3289" s="7">
        <v>45984.72166491251</v>
      </c>
    </row>
    <row r="3290">
      <c r="A3290" s="3" t="s">
        <v>10605</v>
      </c>
      <c r="B3290" s="3" t="s">
        <v>455</v>
      </c>
      <c r="C3290" s="3" t="s">
        <v>56</v>
      </c>
      <c r="D3290" s="3" t="s">
        <v>68</v>
      </c>
      <c r="E3290" s="3" t="s">
        <v>100</v>
      </c>
      <c r="F3290" s="3" t="s">
        <v>1897</v>
      </c>
      <c r="G3290" s="7">
        <v>45984.79283975793</v>
      </c>
    </row>
    <row r="3291">
      <c r="A3291" s="3" t="s">
        <v>10609</v>
      </c>
      <c r="B3291" s="3" t="s">
        <v>406</v>
      </c>
      <c r="C3291" s="3" t="s">
        <v>1342</v>
      </c>
      <c r="D3291" s="3" t="s">
        <v>68</v>
      </c>
      <c r="E3291" s="3" t="s">
        <v>100</v>
      </c>
      <c r="F3291" s="3" t="s">
        <v>1327</v>
      </c>
      <c r="G3291" s="7">
        <v>45984.864014603336</v>
      </c>
    </row>
    <row r="3292">
      <c r="A3292" s="3" t="s">
        <v>10613</v>
      </c>
      <c r="B3292" s="3" t="s">
        <v>151</v>
      </c>
      <c r="C3292" s="3" t="s">
        <v>1342</v>
      </c>
      <c r="D3292" s="3" t="s">
        <v>68</v>
      </c>
      <c r="E3292" s="3" t="s">
        <v>100</v>
      </c>
      <c r="F3292" s="3" t="s">
        <v>1605</v>
      </c>
      <c r="G3292" s="7">
        <v>45984.935189448755</v>
      </c>
    </row>
    <row r="3293">
      <c r="A3293" s="3" t="s">
        <v>10616</v>
      </c>
      <c r="B3293" s="3" t="s">
        <v>299</v>
      </c>
      <c r="C3293" s="3" t="s">
        <v>1342</v>
      </c>
      <c r="D3293" s="3" t="s">
        <v>68</v>
      </c>
      <c r="E3293" s="3" t="s">
        <v>100</v>
      </c>
      <c r="F3293" s="3" t="s">
        <v>1063</v>
      </c>
      <c r="G3293" s="7">
        <v>45985.00636429417</v>
      </c>
    </row>
    <row r="3294">
      <c r="A3294" s="3" t="s">
        <v>10619</v>
      </c>
      <c r="B3294" s="3" t="s">
        <v>282</v>
      </c>
      <c r="C3294" s="3" t="s">
        <v>56</v>
      </c>
      <c r="D3294" s="3" t="s">
        <v>68</v>
      </c>
      <c r="E3294" s="3" t="s">
        <v>100</v>
      </c>
      <c r="F3294" s="3" t="s">
        <v>1899</v>
      </c>
      <c r="G3294" s="7">
        <v>45985.07753913959</v>
      </c>
    </row>
    <row r="3295">
      <c r="A3295" s="3" t="s">
        <v>10622</v>
      </c>
      <c r="B3295" s="3" t="s">
        <v>906</v>
      </c>
      <c r="C3295" s="3" t="s">
        <v>56</v>
      </c>
      <c r="D3295" s="3" t="s">
        <v>68</v>
      </c>
      <c r="E3295" s="3" t="s">
        <v>100</v>
      </c>
      <c r="F3295" s="3" t="s">
        <v>1901</v>
      </c>
      <c r="G3295" s="7">
        <v>45985.148713985</v>
      </c>
    </row>
    <row r="3296">
      <c r="A3296" s="3" t="s">
        <v>10626</v>
      </c>
      <c r="B3296" s="3" t="s">
        <v>179</v>
      </c>
      <c r="C3296" s="3" t="s">
        <v>1342</v>
      </c>
      <c r="D3296" s="3" t="s">
        <v>68</v>
      </c>
      <c r="E3296" s="3" t="s">
        <v>100</v>
      </c>
      <c r="F3296" s="3" t="s">
        <v>1558</v>
      </c>
      <c r="G3296" s="7">
        <v>45985.21988883042</v>
      </c>
    </row>
    <row r="3297">
      <c r="A3297" s="3" t="s">
        <v>10630</v>
      </c>
      <c r="B3297" s="3" t="s">
        <v>455</v>
      </c>
      <c r="C3297" s="3" t="s">
        <v>1095</v>
      </c>
      <c r="D3297" s="3" t="s">
        <v>68</v>
      </c>
      <c r="E3297" s="3" t="s">
        <v>100</v>
      </c>
      <c r="F3297" s="3" t="s">
        <v>1897</v>
      </c>
      <c r="G3297" s="7">
        <v>45985.291063675824</v>
      </c>
    </row>
    <row r="3298">
      <c r="A3298" s="3" t="s">
        <v>10633</v>
      </c>
      <c r="B3298" s="3" t="s">
        <v>363</v>
      </c>
      <c r="C3298" s="3" t="s">
        <v>1342</v>
      </c>
      <c r="D3298" s="3" t="s">
        <v>68</v>
      </c>
      <c r="E3298" s="3" t="s">
        <v>100</v>
      </c>
      <c r="F3298" s="3" t="s">
        <v>1894</v>
      </c>
      <c r="G3298" s="7">
        <v>45985.362238521244</v>
      </c>
    </row>
    <row r="3299">
      <c r="A3299" s="3" t="s">
        <v>10636</v>
      </c>
      <c r="B3299" s="3" t="s">
        <v>406</v>
      </c>
      <c r="C3299" s="3" t="s">
        <v>1342</v>
      </c>
      <c r="D3299" s="3" t="s">
        <v>68</v>
      </c>
      <c r="E3299" s="3" t="s">
        <v>100</v>
      </c>
      <c r="F3299" s="3" t="s">
        <v>1327</v>
      </c>
      <c r="G3299" s="7">
        <v>45985.43341336666</v>
      </c>
    </row>
    <row r="3300">
      <c r="A3300" s="3" t="s">
        <v>10640</v>
      </c>
      <c r="B3300" s="3" t="s">
        <v>598</v>
      </c>
      <c r="C3300" s="3" t="s">
        <v>1095</v>
      </c>
      <c r="D3300" s="3" t="s">
        <v>181</v>
      </c>
      <c r="E3300" s="3" t="s">
        <v>45</v>
      </c>
      <c r="F3300" s="3" t="s">
        <v>1472</v>
      </c>
      <c r="G3300" s="7">
        <v>45985.504588212076</v>
      </c>
    </row>
    <row r="3301">
      <c r="A3301" s="3" t="s">
        <v>10644</v>
      </c>
      <c r="B3301" s="3" t="s">
        <v>652</v>
      </c>
      <c r="C3301" s="3" t="s">
        <v>1342</v>
      </c>
      <c r="D3301" s="3" t="s">
        <v>68</v>
      </c>
      <c r="E3301" s="3" t="s">
        <v>100</v>
      </c>
      <c r="F3301" s="3" t="s">
        <v>1179</v>
      </c>
      <c r="G3301" s="7">
        <v>45985.57576305749</v>
      </c>
    </row>
    <row r="3302">
      <c r="A3302" s="3" t="s">
        <v>10647</v>
      </c>
      <c r="B3302" s="3" t="s">
        <v>424</v>
      </c>
      <c r="C3302" s="3" t="s">
        <v>1342</v>
      </c>
      <c r="D3302" s="3" t="s">
        <v>68</v>
      </c>
      <c r="E3302" s="3" t="s">
        <v>100</v>
      </c>
      <c r="F3302" s="3" t="s">
        <v>1346</v>
      </c>
      <c r="G3302" s="7">
        <v>45985.64693790291</v>
      </c>
    </row>
    <row r="3303">
      <c r="A3303" s="3" t="s">
        <v>10650</v>
      </c>
      <c r="B3303" s="3" t="s">
        <v>359</v>
      </c>
      <c r="C3303" s="3" t="s">
        <v>1342</v>
      </c>
      <c r="D3303" s="3" t="s">
        <v>68</v>
      </c>
      <c r="E3303" s="3" t="s">
        <v>100</v>
      </c>
      <c r="F3303" s="3" t="s">
        <v>919</v>
      </c>
      <c r="G3303" s="7">
        <v>45985.71811274832</v>
      </c>
    </row>
    <row r="3304">
      <c r="A3304" s="3" t="s">
        <v>10655</v>
      </c>
      <c r="B3304" s="3" t="s">
        <v>877</v>
      </c>
      <c r="C3304" s="3" t="s">
        <v>56</v>
      </c>
      <c r="D3304" s="3" t="s">
        <v>68</v>
      </c>
      <c r="E3304" s="3" t="s">
        <v>100</v>
      </c>
      <c r="F3304" s="3" t="s">
        <v>1903</v>
      </c>
      <c r="G3304" s="7">
        <v>45985.78928759373</v>
      </c>
    </row>
    <row r="3305">
      <c r="A3305" s="3" t="s">
        <v>10657</v>
      </c>
      <c r="B3305" s="3" t="s">
        <v>316</v>
      </c>
      <c r="C3305" s="3" t="s">
        <v>56</v>
      </c>
      <c r="D3305" s="3" t="s">
        <v>181</v>
      </c>
      <c r="E3305" s="3" t="s">
        <v>45</v>
      </c>
      <c r="F3305" s="3" t="s">
        <v>45</v>
      </c>
      <c r="G3305" s="7">
        <v>45985.86046243915</v>
      </c>
    </row>
    <row r="3306">
      <c r="A3306" s="3" t="s">
        <v>10660</v>
      </c>
      <c r="B3306" s="3" t="s">
        <v>126</v>
      </c>
      <c r="C3306" s="3" t="s">
        <v>56</v>
      </c>
      <c r="D3306" s="3" t="s">
        <v>195</v>
      </c>
      <c r="E3306" s="3" t="s">
        <v>45</v>
      </c>
      <c r="F3306" s="3" t="s">
        <v>45</v>
      </c>
      <c r="G3306" s="7">
        <v>45985.93163728457</v>
      </c>
    </row>
    <row r="3307">
      <c r="A3307" s="3" t="s">
        <v>10663</v>
      </c>
      <c r="B3307" s="3" t="s">
        <v>475</v>
      </c>
      <c r="C3307" s="3" t="s">
        <v>56</v>
      </c>
      <c r="D3307" s="3" t="s">
        <v>68</v>
      </c>
      <c r="E3307" s="3" t="s">
        <v>100</v>
      </c>
      <c r="F3307" s="3" t="s">
        <v>1906</v>
      </c>
      <c r="G3307" s="7">
        <v>45986.00281212998</v>
      </c>
    </row>
    <row r="3308">
      <c r="A3308" s="3" t="s">
        <v>10666</v>
      </c>
      <c r="B3308" s="3" t="s">
        <v>581</v>
      </c>
      <c r="C3308" s="3" t="s">
        <v>1342</v>
      </c>
      <c r="D3308" s="3" t="s">
        <v>68</v>
      </c>
      <c r="E3308" s="3" t="s">
        <v>100</v>
      </c>
      <c r="F3308" s="3" t="s">
        <v>1581</v>
      </c>
      <c r="G3308" s="7">
        <v>45986.073986975396</v>
      </c>
    </row>
    <row r="3309">
      <c r="A3309" s="3" t="s">
        <v>10669</v>
      </c>
      <c r="B3309" s="3" t="s">
        <v>383</v>
      </c>
      <c r="C3309" s="3" t="s">
        <v>56</v>
      </c>
      <c r="D3309" s="3" t="s">
        <v>68</v>
      </c>
      <c r="E3309" s="3" t="s">
        <v>100</v>
      </c>
      <c r="F3309" s="3" t="s">
        <v>1907</v>
      </c>
      <c r="G3309" s="7">
        <v>45986.145161820816</v>
      </c>
    </row>
    <row r="3310">
      <c r="A3310" s="3" t="s">
        <v>10672</v>
      </c>
      <c r="B3310" s="3" t="s">
        <v>631</v>
      </c>
      <c r="C3310" s="3" t="s">
        <v>1342</v>
      </c>
      <c r="D3310" s="3" t="s">
        <v>68</v>
      </c>
      <c r="E3310" s="3" t="s">
        <v>100</v>
      </c>
      <c r="F3310" s="3" t="s">
        <v>1066</v>
      </c>
      <c r="G3310" s="7">
        <v>45986.21633666623</v>
      </c>
    </row>
    <row r="3311">
      <c r="A3311" s="3" t="s">
        <v>10675</v>
      </c>
      <c r="B3311" s="3" t="s">
        <v>704</v>
      </c>
      <c r="C3311" s="3" t="s">
        <v>1095</v>
      </c>
      <c r="D3311" s="3" t="s">
        <v>68</v>
      </c>
      <c r="E3311" s="3" t="s">
        <v>100</v>
      </c>
      <c r="F3311" s="3" t="s">
        <v>2118</v>
      </c>
      <c r="G3311" s="7">
        <v>45986.28751151164</v>
      </c>
    </row>
    <row r="3312">
      <c r="A3312" s="3" t="s">
        <v>10678</v>
      </c>
      <c r="B3312" s="3" t="s">
        <v>746</v>
      </c>
      <c r="C3312" s="3" t="s">
        <v>56</v>
      </c>
      <c r="D3312" s="3" t="s">
        <v>68</v>
      </c>
      <c r="E3312" s="3" t="s">
        <v>100</v>
      </c>
      <c r="F3312" s="3" t="s">
        <v>1910</v>
      </c>
      <c r="G3312" s="7">
        <v>45986.35868635706</v>
      </c>
    </row>
    <row r="3313">
      <c r="A3313" s="3" t="s">
        <v>10681</v>
      </c>
      <c r="B3313" s="3" t="s">
        <v>333</v>
      </c>
      <c r="C3313" s="3" t="s">
        <v>1095</v>
      </c>
      <c r="D3313" s="3" t="s">
        <v>68</v>
      </c>
      <c r="E3313" s="3" t="s">
        <v>100</v>
      </c>
      <c r="F3313" s="3" t="s">
        <v>1873</v>
      </c>
      <c r="G3313" s="7">
        <v>45986.42986120247</v>
      </c>
    </row>
    <row r="3314">
      <c r="A3314" s="3" t="s">
        <v>10684</v>
      </c>
      <c r="B3314" s="3" t="s">
        <v>243</v>
      </c>
      <c r="C3314" s="3" t="s">
        <v>1342</v>
      </c>
      <c r="D3314" s="3" t="s">
        <v>68</v>
      </c>
      <c r="E3314" s="3" t="s">
        <v>100</v>
      </c>
      <c r="F3314" s="3" t="s">
        <v>1852</v>
      </c>
      <c r="G3314" s="7">
        <v>45986.501036047885</v>
      </c>
    </row>
    <row r="3315">
      <c r="A3315" s="3" t="s">
        <v>10686</v>
      </c>
      <c r="B3315" s="3" t="s">
        <v>302</v>
      </c>
      <c r="C3315" s="3" t="s">
        <v>1342</v>
      </c>
      <c r="D3315" s="3" t="s">
        <v>68</v>
      </c>
      <c r="E3315" s="3" t="s">
        <v>100</v>
      </c>
      <c r="F3315" s="3" t="s">
        <v>1491</v>
      </c>
      <c r="G3315" s="7">
        <v>45986.572210893304</v>
      </c>
    </row>
    <row r="3316">
      <c r="A3316" s="3" t="s">
        <v>10688</v>
      </c>
      <c r="B3316" s="3" t="s">
        <v>643</v>
      </c>
      <c r="C3316" s="3" t="s">
        <v>1095</v>
      </c>
      <c r="D3316" s="3" t="s">
        <v>195</v>
      </c>
      <c r="E3316" s="3" t="s">
        <v>45</v>
      </c>
      <c r="F3316" s="3" t="s">
        <v>1697</v>
      </c>
      <c r="G3316" s="7">
        <v>45986.64338573872</v>
      </c>
    </row>
    <row r="3317">
      <c r="A3317" s="3" t="s">
        <v>10691</v>
      </c>
      <c r="B3317" s="3" t="s">
        <v>307</v>
      </c>
      <c r="C3317" s="3" t="s">
        <v>1342</v>
      </c>
      <c r="D3317" s="3" t="s">
        <v>68</v>
      </c>
      <c r="E3317" s="3" t="s">
        <v>100</v>
      </c>
      <c r="F3317" s="3" t="s">
        <v>1542</v>
      </c>
      <c r="G3317" s="7">
        <v>45986.71456058413</v>
      </c>
    </row>
    <row r="3318">
      <c r="A3318" s="3" t="s">
        <v>10694</v>
      </c>
      <c r="B3318" s="3" t="s">
        <v>987</v>
      </c>
      <c r="C3318" s="3" t="s">
        <v>1095</v>
      </c>
      <c r="D3318" s="3" t="s">
        <v>68</v>
      </c>
      <c r="E3318" s="3" t="s">
        <v>100</v>
      </c>
      <c r="F3318" s="3" t="s">
        <v>1676</v>
      </c>
      <c r="G3318" s="7">
        <v>45986.78573542955</v>
      </c>
    </row>
    <row r="3319">
      <c r="A3319" s="3" t="s">
        <v>10697</v>
      </c>
      <c r="B3319" s="3" t="s">
        <v>123</v>
      </c>
      <c r="C3319" s="3" t="s">
        <v>1342</v>
      </c>
      <c r="D3319" s="3" t="s">
        <v>68</v>
      </c>
      <c r="E3319" s="3" t="s">
        <v>100</v>
      </c>
      <c r="F3319" s="3" t="s">
        <v>1455</v>
      </c>
      <c r="G3319" s="7">
        <v>45986.85691027496</v>
      </c>
    </row>
    <row r="3320">
      <c r="A3320" s="3" t="s">
        <v>10700</v>
      </c>
      <c r="B3320" s="3" t="s">
        <v>260</v>
      </c>
      <c r="C3320" s="3" t="s">
        <v>56</v>
      </c>
      <c r="D3320" s="3" t="s">
        <v>68</v>
      </c>
      <c r="E3320" s="3" t="s">
        <v>100</v>
      </c>
      <c r="F3320" s="3" t="s">
        <v>1911</v>
      </c>
      <c r="G3320" s="7">
        <v>45986.92808512037</v>
      </c>
    </row>
    <row r="3321">
      <c r="A3321" s="3" t="s">
        <v>10705</v>
      </c>
      <c r="B3321" s="3" t="s">
        <v>419</v>
      </c>
      <c r="C3321" s="3" t="s">
        <v>1095</v>
      </c>
      <c r="D3321" s="3" t="s">
        <v>68</v>
      </c>
      <c r="E3321" s="3" t="s">
        <v>100</v>
      </c>
      <c r="F3321" s="3" t="s">
        <v>1670</v>
      </c>
      <c r="G3321" s="7">
        <v>45986.99925996579</v>
      </c>
    </row>
    <row r="3322">
      <c r="A3322" s="3" t="s">
        <v>10708</v>
      </c>
      <c r="B3322" s="3" t="s">
        <v>672</v>
      </c>
      <c r="C3322" s="3" t="s">
        <v>1342</v>
      </c>
      <c r="D3322" s="3" t="s">
        <v>68</v>
      </c>
      <c r="E3322" s="3" t="s">
        <v>100</v>
      </c>
      <c r="F3322" s="3" t="s">
        <v>1722</v>
      </c>
      <c r="G3322" s="7">
        <v>45987.07043481121</v>
      </c>
    </row>
    <row r="3323">
      <c r="A3323" s="3" t="s">
        <v>10711</v>
      </c>
      <c r="B3323" s="3" t="s">
        <v>990</v>
      </c>
      <c r="C3323" s="3" t="s">
        <v>56</v>
      </c>
      <c r="D3323" s="3" t="s">
        <v>68</v>
      </c>
      <c r="E3323" s="3" t="s">
        <v>100</v>
      </c>
      <c r="F3323" s="3" t="s">
        <v>1914</v>
      </c>
      <c r="G3323" s="7">
        <v>45987.14160965662</v>
      </c>
    </row>
    <row r="3324">
      <c r="A3324" s="3" t="s">
        <v>10715</v>
      </c>
      <c r="B3324" s="3" t="s">
        <v>785</v>
      </c>
      <c r="C3324" s="3" t="s">
        <v>1342</v>
      </c>
      <c r="D3324" s="3" t="s">
        <v>68</v>
      </c>
      <c r="E3324" s="3" t="s">
        <v>100</v>
      </c>
      <c r="F3324" s="3" t="s">
        <v>1815</v>
      </c>
      <c r="G3324" s="7">
        <v>45987.21278450204</v>
      </c>
    </row>
    <row r="3325">
      <c r="A3325" s="3" t="s">
        <v>10719</v>
      </c>
      <c r="B3325" s="3" t="s">
        <v>377</v>
      </c>
      <c r="C3325" s="3" t="s">
        <v>56</v>
      </c>
      <c r="D3325" s="3" t="s">
        <v>181</v>
      </c>
      <c r="E3325" s="3" t="s">
        <v>45</v>
      </c>
      <c r="F3325" s="3" t="s">
        <v>45</v>
      </c>
      <c r="G3325" s="7">
        <v>45987.28395934746</v>
      </c>
    </row>
    <row r="3326">
      <c r="A3326" s="3" t="s">
        <v>10720</v>
      </c>
      <c r="B3326" s="3" t="s">
        <v>574</v>
      </c>
      <c r="C3326" s="3" t="s">
        <v>1342</v>
      </c>
      <c r="D3326" s="3" t="s">
        <v>195</v>
      </c>
      <c r="E3326" s="3" t="s">
        <v>45</v>
      </c>
      <c r="F3326" s="3" t="s">
        <v>1747</v>
      </c>
      <c r="G3326" s="7">
        <v>45987.35513419287</v>
      </c>
    </row>
    <row r="3327">
      <c r="A3327" s="3" t="s">
        <v>10723</v>
      </c>
      <c r="B3327" s="3" t="s">
        <v>976</v>
      </c>
      <c r="C3327" s="3" t="s">
        <v>56</v>
      </c>
      <c r="D3327" s="3" t="s">
        <v>195</v>
      </c>
      <c r="E3327" s="3" t="s">
        <v>45</v>
      </c>
      <c r="F3327" s="3" t="s">
        <v>45</v>
      </c>
      <c r="G3327" s="7">
        <v>45987.42630903828</v>
      </c>
    </row>
    <row r="3328">
      <c r="A3328" s="3" t="s">
        <v>10724</v>
      </c>
      <c r="B3328" s="3" t="s">
        <v>442</v>
      </c>
      <c r="C3328" s="3" t="s">
        <v>56</v>
      </c>
      <c r="D3328" s="3" t="s">
        <v>68</v>
      </c>
      <c r="E3328" s="3" t="s">
        <v>100</v>
      </c>
      <c r="F3328" s="3" t="s">
        <v>1916</v>
      </c>
      <c r="G3328" s="7">
        <v>45987.4974838837</v>
      </c>
    </row>
    <row r="3329">
      <c r="A3329" s="3" t="s">
        <v>10727</v>
      </c>
      <c r="B3329" s="3" t="s">
        <v>266</v>
      </c>
      <c r="C3329" s="3" t="s">
        <v>1342</v>
      </c>
      <c r="D3329" s="3" t="s">
        <v>68</v>
      </c>
      <c r="E3329" s="3" t="s">
        <v>100</v>
      </c>
      <c r="F3329" s="3" t="s">
        <v>1789</v>
      </c>
      <c r="G3329" s="7">
        <v>45987.56865872911</v>
      </c>
    </row>
    <row r="3330">
      <c r="A3330" s="3" t="s">
        <v>10729</v>
      </c>
      <c r="B3330" s="3" t="s">
        <v>1030</v>
      </c>
      <c r="C3330" s="3" t="s">
        <v>1095</v>
      </c>
      <c r="D3330" s="3" t="s">
        <v>181</v>
      </c>
      <c r="E3330" s="3" t="s">
        <v>45</v>
      </c>
      <c r="F3330" s="3" t="s">
        <v>1218</v>
      </c>
      <c r="G3330" s="7">
        <v>45987.639833574525</v>
      </c>
    </row>
    <row r="3331">
      <c r="A3331" s="3" t="s">
        <v>10731</v>
      </c>
      <c r="B3331" s="3" t="s">
        <v>694</v>
      </c>
      <c r="C3331" s="3" t="s">
        <v>1342</v>
      </c>
      <c r="D3331" s="3" t="s">
        <v>68</v>
      </c>
      <c r="E3331" s="3" t="s">
        <v>100</v>
      </c>
      <c r="F3331" s="3" t="s">
        <v>1797</v>
      </c>
      <c r="G3331" s="7">
        <v>45987.711008419945</v>
      </c>
    </row>
    <row r="3332">
      <c r="A3332" s="3" t="s">
        <v>10734</v>
      </c>
      <c r="B3332" s="3" t="s">
        <v>746</v>
      </c>
      <c r="C3332" s="3" t="s">
        <v>1342</v>
      </c>
      <c r="D3332" s="3" t="s">
        <v>68</v>
      </c>
      <c r="E3332" s="3" t="s">
        <v>100</v>
      </c>
      <c r="F3332" s="3" t="s">
        <v>1910</v>
      </c>
      <c r="G3332" s="7">
        <v>45987.78218326536</v>
      </c>
    </row>
    <row r="3333">
      <c r="A3333" s="3" t="s">
        <v>10737</v>
      </c>
      <c r="B3333" s="3" t="s">
        <v>475</v>
      </c>
      <c r="C3333" s="3" t="s">
        <v>1095</v>
      </c>
      <c r="D3333" s="3" t="s">
        <v>68</v>
      </c>
      <c r="E3333" s="3" t="s">
        <v>100</v>
      </c>
      <c r="F3333" s="3" t="s">
        <v>1906</v>
      </c>
      <c r="G3333" s="7">
        <v>45987.85335811077</v>
      </c>
    </row>
    <row r="3334">
      <c r="A3334" s="3" t="s">
        <v>10741</v>
      </c>
      <c r="B3334" s="3" t="s">
        <v>778</v>
      </c>
      <c r="C3334" s="3" t="s">
        <v>1095</v>
      </c>
      <c r="D3334" s="3" t="s">
        <v>181</v>
      </c>
      <c r="E3334" s="3" t="s">
        <v>45</v>
      </c>
      <c r="F3334" s="3" t="s">
        <v>1575</v>
      </c>
      <c r="G3334" s="7">
        <v>45987.92453295619</v>
      </c>
    </row>
    <row r="3335">
      <c r="A3335" s="3" t="s">
        <v>10745</v>
      </c>
      <c r="B3335" s="3" t="s">
        <v>391</v>
      </c>
      <c r="C3335" s="3" t="s">
        <v>56</v>
      </c>
      <c r="D3335" s="3" t="s">
        <v>68</v>
      </c>
      <c r="E3335" s="3" t="s">
        <v>100</v>
      </c>
      <c r="F3335" s="3" t="s">
        <v>1918</v>
      </c>
      <c r="G3335" s="7">
        <v>45987.9957078016</v>
      </c>
    </row>
    <row r="3336">
      <c r="A3336" s="3" t="s">
        <v>10748</v>
      </c>
      <c r="B3336" s="3" t="s">
        <v>800</v>
      </c>
      <c r="C3336" s="3" t="s">
        <v>56</v>
      </c>
      <c r="D3336" s="3" t="s">
        <v>68</v>
      </c>
      <c r="E3336" s="3" t="s">
        <v>100</v>
      </c>
      <c r="F3336" s="3" t="s">
        <v>1921</v>
      </c>
      <c r="G3336" s="7">
        <v>45988.066882647014</v>
      </c>
    </row>
    <row r="3337">
      <c r="A3337" s="3" t="s">
        <v>10754</v>
      </c>
      <c r="B3337" s="3" t="s">
        <v>819</v>
      </c>
      <c r="C3337" s="3" t="s">
        <v>56</v>
      </c>
      <c r="D3337" s="3" t="s">
        <v>68</v>
      </c>
      <c r="E3337" s="3" t="s">
        <v>100</v>
      </c>
      <c r="F3337" s="3" t="s">
        <v>1923</v>
      </c>
      <c r="G3337" s="7">
        <v>45988.13805749243</v>
      </c>
    </row>
    <row r="3338">
      <c r="A3338" s="3" t="s">
        <v>10757</v>
      </c>
      <c r="B3338" s="3" t="s">
        <v>587</v>
      </c>
      <c r="C3338" s="3" t="s">
        <v>1095</v>
      </c>
      <c r="D3338" s="3" t="s">
        <v>181</v>
      </c>
      <c r="E3338" s="3" t="s">
        <v>45</v>
      </c>
      <c r="F3338" s="3" t="s">
        <v>1048</v>
      </c>
      <c r="G3338" s="7">
        <v>45988.20923233785</v>
      </c>
    </row>
    <row r="3339">
      <c r="A3339" s="3" t="s">
        <v>10760</v>
      </c>
      <c r="B3339" s="3" t="s">
        <v>747</v>
      </c>
      <c r="C3339" s="3" t="s">
        <v>1095</v>
      </c>
      <c r="D3339" s="3" t="s">
        <v>68</v>
      </c>
      <c r="E3339" s="3" t="s">
        <v>100</v>
      </c>
      <c r="F3339" s="3" t="s">
        <v>1663</v>
      </c>
      <c r="G3339" s="7">
        <v>45988.28040718326</v>
      </c>
    </row>
    <row r="3340">
      <c r="A3340" s="3" t="s">
        <v>10764</v>
      </c>
      <c r="B3340" s="3" t="s">
        <v>276</v>
      </c>
      <c r="C3340" s="3" t="s">
        <v>1095</v>
      </c>
      <c r="D3340" s="3" t="s">
        <v>68</v>
      </c>
      <c r="E3340" s="3" t="s">
        <v>100</v>
      </c>
      <c r="F3340" s="3" t="s">
        <v>589</v>
      </c>
      <c r="G3340" s="7">
        <v>45988.35158202868</v>
      </c>
    </row>
    <row r="3341">
      <c r="A3341" s="3" t="s">
        <v>10768</v>
      </c>
      <c r="B3341" s="3" t="s">
        <v>826</v>
      </c>
      <c r="C3341" s="3" t="s">
        <v>1095</v>
      </c>
      <c r="D3341" s="3" t="s">
        <v>195</v>
      </c>
      <c r="E3341" s="3" t="s">
        <v>45</v>
      </c>
      <c r="F3341" s="3" t="s">
        <v>693</v>
      </c>
      <c r="G3341" s="7">
        <v>45988.4227568741</v>
      </c>
    </row>
    <row r="3342">
      <c r="A3342" s="3" t="s">
        <v>10771</v>
      </c>
      <c r="B3342" s="3" t="s">
        <v>515</v>
      </c>
      <c r="C3342" s="3" t="s">
        <v>1095</v>
      </c>
      <c r="D3342" s="3" t="s">
        <v>68</v>
      </c>
      <c r="E3342" s="3" t="s">
        <v>100</v>
      </c>
      <c r="F3342" s="3" t="s">
        <v>1343</v>
      </c>
      <c r="G3342" s="7">
        <v>45988.49393171951</v>
      </c>
    </row>
    <row r="3343">
      <c r="A3343" s="3" t="s">
        <v>10774</v>
      </c>
      <c r="B3343" s="3" t="s">
        <v>400</v>
      </c>
      <c r="C3343" s="3" t="s">
        <v>1342</v>
      </c>
      <c r="D3343" s="3" t="s">
        <v>181</v>
      </c>
      <c r="E3343" s="3" t="s">
        <v>45</v>
      </c>
      <c r="F3343" s="3" t="s">
        <v>1286</v>
      </c>
      <c r="G3343" s="7">
        <v>45988.56510656492</v>
      </c>
    </row>
    <row r="3344">
      <c r="A3344" s="3" t="s">
        <v>10777</v>
      </c>
      <c r="B3344" s="3" t="s">
        <v>280</v>
      </c>
      <c r="C3344" s="3" t="s">
        <v>56</v>
      </c>
      <c r="D3344" s="3" t="s">
        <v>68</v>
      </c>
      <c r="E3344" s="3" t="s">
        <v>100</v>
      </c>
      <c r="F3344" s="3" t="s">
        <v>1925</v>
      </c>
      <c r="G3344" s="7">
        <v>45988.63628141034</v>
      </c>
    </row>
    <row r="3345">
      <c r="A3345" s="3" t="s">
        <v>10780</v>
      </c>
      <c r="B3345" s="3" t="s">
        <v>655</v>
      </c>
      <c r="C3345" s="3" t="s">
        <v>56</v>
      </c>
      <c r="D3345" s="3" t="s">
        <v>68</v>
      </c>
      <c r="E3345" s="3" t="s">
        <v>100</v>
      </c>
      <c r="F3345" s="3" t="s">
        <v>1927</v>
      </c>
      <c r="G3345" s="7">
        <v>45988.707456255754</v>
      </c>
    </row>
    <row r="3346">
      <c r="A3346" s="3" t="s">
        <v>10783</v>
      </c>
      <c r="B3346" s="3" t="s">
        <v>731</v>
      </c>
      <c r="C3346" s="3" t="s">
        <v>1095</v>
      </c>
      <c r="D3346" s="3" t="s">
        <v>68</v>
      </c>
      <c r="E3346" s="3" t="s">
        <v>100</v>
      </c>
      <c r="F3346" s="3" t="s">
        <v>1514</v>
      </c>
      <c r="G3346" s="7">
        <v>45988.778631101166</v>
      </c>
    </row>
    <row r="3347">
      <c r="A3347" s="3" t="s">
        <v>10787</v>
      </c>
      <c r="B3347" s="3" t="s">
        <v>302</v>
      </c>
      <c r="C3347" s="3" t="s">
        <v>1342</v>
      </c>
      <c r="D3347" s="3" t="s">
        <v>68</v>
      </c>
      <c r="E3347" s="3" t="s">
        <v>100</v>
      </c>
      <c r="F3347" s="3" t="s">
        <v>1491</v>
      </c>
      <c r="G3347" s="7">
        <v>45988.849805946586</v>
      </c>
    </row>
    <row r="3348">
      <c r="A3348" s="3" t="s">
        <v>10790</v>
      </c>
      <c r="B3348" s="3" t="s">
        <v>1011</v>
      </c>
      <c r="C3348" s="3" t="s">
        <v>1095</v>
      </c>
      <c r="D3348" s="3" t="s">
        <v>68</v>
      </c>
      <c r="E3348" s="3" t="s">
        <v>100</v>
      </c>
      <c r="F3348" s="3" t="s">
        <v>1795</v>
      </c>
      <c r="G3348" s="7">
        <v>45988.920980792</v>
      </c>
    </row>
    <row r="3349">
      <c r="A3349" s="3" t="s">
        <v>10792</v>
      </c>
      <c r="B3349" s="3" t="s">
        <v>561</v>
      </c>
      <c r="C3349" s="3" t="s">
        <v>1342</v>
      </c>
      <c r="D3349" s="3" t="s">
        <v>68</v>
      </c>
      <c r="E3349" s="3" t="s">
        <v>100</v>
      </c>
      <c r="F3349" s="3" t="s">
        <v>1730</v>
      </c>
      <c r="G3349" s="7">
        <v>45988.99215563741</v>
      </c>
    </row>
    <row r="3350">
      <c r="A3350" s="3" t="s">
        <v>10795</v>
      </c>
      <c r="B3350" s="3" t="s">
        <v>280</v>
      </c>
      <c r="C3350" s="3" t="s">
        <v>1095</v>
      </c>
      <c r="D3350" s="3" t="s">
        <v>68</v>
      </c>
      <c r="E3350" s="3" t="s">
        <v>100</v>
      </c>
      <c r="F3350" s="3" t="s">
        <v>1925</v>
      </c>
      <c r="G3350" s="7">
        <v>45989.06333048283</v>
      </c>
    </row>
    <row r="3351">
      <c r="A3351" s="3" t="s">
        <v>10798</v>
      </c>
      <c r="B3351" s="3" t="s">
        <v>175</v>
      </c>
      <c r="C3351" s="3" t="s">
        <v>1095</v>
      </c>
      <c r="D3351" s="3" t="s">
        <v>68</v>
      </c>
      <c r="E3351" s="3" t="s">
        <v>100</v>
      </c>
      <c r="F3351" s="3" t="s">
        <v>1335</v>
      </c>
      <c r="G3351" s="7">
        <v>45989.13450532825</v>
      </c>
    </row>
    <row r="3352">
      <c r="A3352" s="3" t="s">
        <v>10801</v>
      </c>
      <c r="B3352" s="3" t="s">
        <v>689</v>
      </c>
      <c r="C3352" s="3" t="s">
        <v>1342</v>
      </c>
      <c r="D3352" s="3" t="s">
        <v>68</v>
      </c>
      <c r="E3352" s="3" t="s">
        <v>100</v>
      </c>
      <c r="F3352" s="3" t="s">
        <v>1297</v>
      </c>
      <c r="G3352" s="7">
        <v>45989.205680173654</v>
      </c>
    </row>
    <row r="3353">
      <c r="A3353" s="3" t="s">
        <v>10804</v>
      </c>
      <c r="B3353" s="3" t="s">
        <v>535</v>
      </c>
      <c r="C3353" s="3" t="s">
        <v>1095</v>
      </c>
      <c r="D3353" s="3" t="s">
        <v>68</v>
      </c>
      <c r="E3353" s="3" t="s">
        <v>100</v>
      </c>
      <c r="F3353" s="3" t="s">
        <v>1860</v>
      </c>
      <c r="G3353" s="7">
        <v>45989.276855019074</v>
      </c>
    </row>
    <row r="3354">
      <c r="A3354" s="3" t="s">
        <v>10808</v>
      </c>
      <c r="B3354" s="3" t="s">
        <v>746</v>
      </c>
      <c r="C3354" s="3" t="s">
        <v>1095</v>
      </c>
      <c r="D3354" s="3" t="s">
        <v>68</v>
      </c>
      <c r="E3354" s="3" t="s">
        <v>100</v>
      </c>
      <c r="F3354" s="3" t="s">
        <v>1910</v>
      </c>
      <c r="G3354" s="7">
        <v>45989.34802986449</v>
      </c>
    </row>
    <row r="3355">
      <c r="A3355" s="3" t="s">
        <v>10811</v>
      </c>
      <c r="B3355" s="3" t="s">
        <v>263</v>
      </c>
      <c r="C3355" s="3" t="s">
        <v>1095</v>
      </c>
      <c r="D3355" s="3" t="s">
        <v>181</v>
      </c>
      <c r="E3355" s="3" t="s">
        <v>45</v>
      </c>
      <c r="F3355" s="3" t="s">
        <v>1045</v>
      </c>
      <c r="G3355" s="7">
        <v>45989.419204709906</v>
      </c>
    </row>
    <row r="3356">
      <c r="A3356" s="3" t="s">
        <v>10815</v>
      </c>
      <c r="B3356" s="3" t="s">
        <v>704</v>
      </c>
      <c r="C3356" s="3" t="s">
        <v>56</v>
      </c>
      <c r="D3356" s="3" t="s">
        <v>68</v>
      </c>
      <c r="E3356" s="3" t="s">
        <v>100</v>
      </c>
      <c r="F3356" s="3" t="s">
        <v>1929</v>
      </c>
      <c r="G3356" s="7">
        <v>45989.49037955532</v>
      </c>
    </row>
    <row r="3357">
      <c r="A3357" s="3" t="s">
        <v>10818</v>
      </c>
      <c r="B3357" s="3" t="s">
        <v>860</v>
      </c>
      <c r="C3357" s="3" t="s">
        <v>1342</v>
      </c>
      <c r="D3357" s="3" t="s">
        <v>68</v>
      </c>
      <c r="E3357" s="3" t="s">
        <v>100</v>
      </c>
      <c r="F3357" s="3" t="s">
        <v>1302</v>
      </c>
      <c r="G3357" s="7">
        <v>45989.56155440074</v>
      </c>
    </row>
    <row r="3358">
      <c r="A3358" s="3" t="s">
        <v>10821</v>
      </c>
      <c r="B3358" s="3" t="s">
        <v>816</v>
      </c>
      <c r="C3358" s="3" t="s">
        <v>56</v>
      </c>
      <c r="D3358" s="3" t="s">
        <v>68</v>
      </c>
      <c r="E3358" s="3" t="s">
        <v>100</v>
      </c>
      <c r="F3358" s="3" t="s">
        <v>1932</v>
      </c>
      <c r="G3358" s="7">
        <v>45989.63272924615</v>
      </c>
    </row>
    <row r="3359">
      <c r="A3359" s="3" t="s">
        <v>10826</v>
      </c>
      <c r="B3359" s="3" t="s">
        <v>591</v>
      </c>
      <c r="C3359" s="3" t="s">
        <v>1342</v>
      </c>
      <c r="D3359" s="3" t="s">
        <v>68</v>
      </c>
      <c r="E3359" s="3" t="s">
        <v>100</v>
      </c>
      <c r="F3359" s="3" t="s">
        <v>1687</v>
      </c>
      <c r="G3359" s="7">
        <v>45989.70390409156</v>
      </c>
    </row>
    <row r="3360">
      <c r="A3360" s="3" t="s">
        <v>10829</v>
      </c>
      <c r="B3360" s="3" t="s">
        <v>586</v>
      </c>
      <c r="C3360" s="3" t="s">
        <v>1342</v>
      </c>
      <c r="D3360" s="3" t="s">
        <v>181</v>
      </c>
      <c r="E3360" s="3" t="s">
        <v>45</v>
      </c>
      <c r="F3360" s="3" t="s">
        <v>1627</v>
      </c>
      <c r="G3360" s="7">
        <v>45989.77507893698</v>
      </c>
    </row>
    <row r="3361">
      <c r="A3361" s="3" t="s">
        <v>10832</v>
      </c>
      <c r="B3361" s="3" t="s">
        <v>598</v>
      </c>
      <c r="C3361" s="3" t="s">
        <v>1095</v>
      </c>
      <c r="D3361" s="3" t="s">
        <v>68</v>
      </c>
      <c r="E3361" s="3" t="s">
        <v>100</v>
      </c>
      <c r="F3361" s="3" t="s">
        <v>1472</v>
      </c>
      <c r="G3361" s="7">
        <v>45989.846253782394</v>
      </c>
    </row>
    <row r="3362">
      <c r="A3362" s="3" t="s">
        <v>10835</v>
      </c>
      <c r="B3362" s="3" t="s">
        <v>725</v>
      </c>
      <c r="C3362" s="3" t="s">
        <v>1342</v>
      </c>
      <c r="D3362" s="3" t="s">
        <v>68</v>
      </c>
      <c r="E3362" s="3" t="s">
        <v>100</v>
      </c>
      <c r="F3362" s="3" t="s">
        <v>1801</v>
      </c>
      <c r="G3362" s="7">
        <v>45989.91742862781</v>
      </c>
    </row>
    <row r="3363">
      <c r="A3363" s="3" t="s">
        <v>10839</v>
      </c>
      <c r="B3363" s="3" t="s">
        <v>299</v>
      </c>
      <c r="C3363" s="3" t="s">
        <v>1095</v>
      </c>
      <c r="D3363" s="3" t="s">
        <v>68</v>
      </c>
      <c r="E3363" s="3" t="s">
        <v>100</v>
      </c>
      <c r="F3363" s="3" t="s">
        <v>1063</v>
      </c>
      <c r="G3363" s="7">
        <v>45989.988603473226</v>
      </c>
    </row>
    <row r="3364">
      <c r="A3364" s="3" t="s">
        <v>10843</v>
      </c>
      <c r="B3364" s="3" t="s">
        <v>593</v>
      </c>
      <c r="C3364" s="3" t="s">
        <v>1095</v>
      </c>
      <c r="D3364" s="3" t="s">
        <v>68</v>
      </c>
      <c r="E3364" s="3" t="s">
        <v>100</v>
      </c>
      <c r="F3364" s="3" t="s">
        <v>1679</v>
      </c>
      <c r="G3364" s="7">
        <v>45990.05977831864</v>
      </c>
    </row>
    <row r="3365">
      <c r="A3365" s="3" t="s">
        <v>10846</v>
      </c>
      <c r="B3365" s="3" t="s">
        <v>137</v>
      </c>
      <c r="C3365" s="3" t="s">
        <v>1342</v>
      </c>
      <c r="D3365" s="3" t="s">
        <v>68</v>
      </c>
      <c r="E3365" s="3" t="s">
        <v>100</v>
      </c>
      <c r="F3365" s="3" t="s">
        <v>1824</v>
      </c>
      <c r="G3365" s="7">
        <v>45990.13095316405</v>
      </c>
    </row>
    <row r="3366">
      <c r="A3366" s="3" t="s">
        <v>10849</v>
      </c>
      <c r="B3366" s="3" t="s">
        <v>369</v>
      </c>
      <c r="C3366" s="3" t="s">
        <v>1342</v>
      </c>
      <c r="D3366" s="3" t="s">
        <v>68</v>
      </c>
      <c r="E3366" s="3" t="s">
        <v>100</v>
      </c>
      <c r="F3366" s="3" t="s">
        <v>1643</v>
      </c>
      <c r="G3366" s="7">
        <v>45990.20212800947</v>
      </c>
    </row>
    <row r="3367">
      <c r="A3367" s="3" t="s">
        <v>10852</v>
      </c>
      <c r="B3367" s="3" t="s">
        <v>211</v>
      </c>
      <c r="C3367" s="3" t="s">
        <v>1095</v>
      </c>
      <c r="D3367" s="3" t="s">
        <v>68</v>
      </c>
      <c r="E3367" s="3" t="s">
        <v>100</v>
      </c>
      <c r="F3367" s="3" t="s">
        <v>1751</v>
      </c>
      <c r="G3367" s="7">
        <v>45990.27330285489</v>
      </c>
    </row>
    <row r="3368">
      <c r="A3368" s="3" t="s">
        <v>10857</v>
      </c>
      <c r="B3368" s="3" t="s">
        <v>137</v>
      </c>
      <c r="C3368" s="3" t="s">
        <v>1095</v>
      </c>
      <c r="D3368" s="3" t="s">
        <v>68</v>
      </c>
      <c r="E3368" s="3" t="s">
        <v>100</v>
      </c>
      <c r="F3368" s="3" t="s">
        <v>1824</v>
      </c>
      <c r="G3368" s="7">
        <v>45990.344477700295</v>
      </c>
    </row>
    <row r="3369">
      <c r="A3369" s="3" t="s">
        <v>10860</v>
      </c>
      <c r="B3369" s="3" t="s">
        <v>763</v>
      </c>
      <c r="C3369" s="3" t="s">
        <v>1095</v>
      </c>
      <c r="D3369" s="3" t="s">
        <v>68</v>
      </c>
      <c r="E3369" s="3" t="s">
        <v>100</v>
      </c>
      <c r="F3369" s="3" t="s">
        <v>1611</v>
      </c>
      <c r="G3369" s="7">
        <v>45990.415652545715</v>
      </c>
    </row>
    <row r="3370">
      <c r="A3370" s="3" t="s">
        <v>10863</v>
      </c>
      <c r="B3370" s="3" t="s">
        <v>197</v>
      </c>
      <c r="C3370" s="3" t="s">
        <v>1095</v>
      </c>
      <c r="D3370" s="3" t="s">
        <v>68</v>
      </c>
      <c r="E3370" s="3" t="s">
        <v>100</v>
      </c>
      <c r="F3370" s="3" t="s">
        <v>1389</v>
      </c>
      <c r="G3370" s="7">
        <v>45990.486827391134</v>
      </c>
    </row>
    <row r="3371">
      <c r="A3371" s="3" t="s">
        <v>10866</v>
      </c>
      <c r="B3371" s="3" t="s">
        <v>908</v>
      </c>
      <c r="C3371" s="3" t="s">
        <v>1095</v>
      </c>
      <c r="D3371" s="3" t="s">
        <v>68</v>
      </c>
      <c r="E3371" s="3" t="s">
        <v>100</v>
      </c>
      <c r="F3371" s="3" t="s">
        <v>1324</v>
      </c>
      <c r="G3371" s="7">
        <v>45990.55800223655</v>
      </c>
    </row>
    <row r="3372">
      <c r="A3372" s="3" t="s">
        <v>10868</v>
      </c>
      <c r="B3372" s="3" t="s">
        <v>920</v>
      </c>
      <c r="C3372" s="3" t="s">
        <v>56</v>
      </c>
      <c r="D3372" s="3" t="s">
        <v>68</v>
      </c>
      <c r="E3372" s="3" t="s">
        <v>100</v>
      </c>
      <c r="F3372" s="3" t="s">
        <v>1935</v>
      </c>
      <c r="G3372" s="7">
        <v>45990.62917708196</v>
      </c>
    </row>
    <row r="3373">
      <c r="A3373" s="3" t="s">
        <v>10871</v>
      </c>
      <c r="B3373" s="3" t="s">
        <v>145</v>
      </c>
      <c r="C3373" s="3" t="s">
        <v>1342</v>
      </c>
      <c r="D3373" s="3" t="s">
        <v>181</v>
      </c>
      <c r="E3373" s="3" t="s">
        <v>45</v>
      </c>
      <c r="F3373" s="3" t="s">
        <v>1848</v>
      </c>
      <c r="G3373" s="7">
        <v>45990.70035192738</v>
      </c>
    </row>
    <row r="3374">
      <c r="A3374" s="3" t="s">
        <v>10873</v>
      </c>
      <c r="B3374" s="3" t="s">
        <v>462</v>
      </c>
      <c r="C3374" s="3" t="s">
        <v>1342</v>
      </c>
      <c r="D3374" s="3" t="s">
        <v>68</v>
      </c>
      <c r="E3374" s="3" t="s">
        <v>100</v>
      </c>
      <c r="F3374" s="3" t="s">
        <v>1733</v>
      </c>
      <c r="G3374" s="7">
        <v>45990.77152677279</v>
      </c>
    </row>
    <row r="3375">
      <c r="A3375" s="3" t="s">
        <v>10876</v>
      </c>
      <c r="B3375" s="3" t="s">
        <v>208</v>
      </c>
      <c r="C3375" s="3" t="s">
        <v>1342</v>
      </c>
      <c r="D3375" s="3" t="s">
        <v>68</v>
      </c>
      <c r="E3375" s="3" t="s">
        <v>100</v>
      </c>
      <c r="F3375" s="3" t="s">
        <v>1892</v>
      </c>
      <c r="G3375" s="7">
        <v>45990.8427016182</v>
      </c>
    </row>
    <row r="3376">
      <c r="A3376" s="3" t="s">
        <v>10878</v>
      </c>
      <c r="B3376" s="3" t="s">
        <v>330</v>
      </c>
      <c r="C3376" s="3" t="s">
        <v>56</v>
      </c>
      <c r="D3376" s="3" t="s">
        <v>181</v>
      </c>
      <c r="E3376" s="3" t="s">
        <v>45</v>
      </c>
      <c r="F3376" s="3" t="s">
        <v>45</v>
      </c>
      <c r="G3376" s="7">
        <v>45990.91387646362</v>
      </c>
    </row>
    <row r="3377">
      <c r="A3377" s="3" t="s">
        <v>10880</v>
      </c>
      <c r="B3377" s="3" t="s">
        <v>419</v>
      </c>
      <c r="C3377" s="3" t="s">
        <v>56</v>
      </c>
      <c r="D3377" s="3" t="s">
        <v>68</v>
      </c>
      <c r="E3377" s="3" t="s">
        <v>100</v>
      </c>
      <c r="F3377" s="3" t="s">
        <v>1937</v>
      </c>
      <c r="G3377" s="7">
        <v>45990.985051309035</v>
      </c>
    </row>
    <row r="3378">
      <c r="A3378" s="3" t="s">
        <v>10883</v>
      </c>
      <c r="B3378" s="3" t="s">
        <v>424</v>
      </c>
      <c r="C3378" s="3" t="s">
        <v>1095</v>
      </c>
      <c r="D3378" s="3" t="s">
        <v>181</v>
      </c>
      <c r="E3378" s="3" t="s">
        <v>45</v>
      </c>
      <c r="F3378" s="3" t="s">
        <v>1346</v>
      </c>
      <c r="G3378" s="7">
        <v>45991.05622615445</v>
      </c>
    </row>
    <row r="3379">
      <c r="A3379" s="3" t="s">
        <v>10886</v>
      </c>
      <c r="B3379" s="3" t="s">
        <v>574</v>
      </c>
      <c r="C3379" s="3" t="s">
        <v>1342</v>
      </c>
      <c r="D3379" s="3" t="s">
        <v>68</v>
      </c>
      <c r="E3379" s="3" t="s">
        <v>100</v>
      </c>
      <c r="F3379" s="3" t="s">
        <v>1747</v>
      </c>
      <c r="G3379" s="7">
        <v>45991.12740099987</v>
      </c>
    </row>
    <row r="3380">
      <c r="A3380" s="3" t="s">
        <v>10889</v>
      </c>
      <c r="B3380" s="3" t="s">
        <v>498</v>
      </c>
      <c r="C3380" s="3" t="s">
        <v>1095</v>
      </c>
      <c r="D3380" s="3" t="s">
        <v>68</v>
      </c>
      <c r="E3380" s="3" t="s">
        <v>100</v>
      </c>
      <c r="F3380" s="3" t="s">
        <v>1465</v>
      </c>
      <c r="G3380" s="7">
        <v>45991.19857584528</v>
      </c>
    </row>
    <row r="3381">
      <c r="A3381" s="3" t="s">
        <v>10893</v>
      </c>
      <c r="B3381" s="3" t="s">
        <v>442</v>
      </c>
      <c r="C3381" s="3" t="s">
        <v>1095</v>
      </c>
      <c r="D3381" s="3" t="s">
        <v>68</v>
      </c>
      <c r="E3381" s="3" t="s">
        <v>100</v>
      </c>
      <c r="F3381" s="3" t="s">
        <v>1916</v>
      </c>
      <c r="G3381" s="7">
        <v>45991.26975069069</v>
      </c>
    </row>
    <row r="3382">
      <c r="A3382" s="3" t="s">
        <v>10896</v>
      </c>
      <c r="B3382" s="3" t="s">
        <v>903</v>
      </c>
      <c r="C3382" s="3" t="s">
        <v>1342</v>
      </c>
      <c r="D3382" s="3" t="s">
        <v>68</v>
      </c>
      <c r="E3382" s="3" t="s">
        <v>100</v>
      </c>
      <c r="F3382" s="3" t="s">
        <v>1720</v>
      </c>
      <c r="G3382" s="7">
        <v>45991.34092553611</v>
      </c>
    </row>
    <row r="3383">
      <c r="A3383" s="3" t="s">
        <v>10899</v>
      </c>
      <c r="B3383" s="3" t="s">
        <v>980</v>
      </c>
      <c r="C3383" s="3" t="s">
        <v>1095</v>
      </c>
      <c r="D3383" s="3" t="s">
        <v>68</v>
      </c>
      <c r="E3383" s="3" t="s">
        <v>100</v>
      </c>
      <c r="F3383" s="3" t="s">
        <v>1307</v>
      </c>
      <c r="G3383" s="7">
        <v>45991.41210038153</v>
      </c>
    </row>
    <row r="3384">
      <c r="A3384" s="3" t="s">
        <v>10901</v>
      </c>
      <c r="B3384" s="3" t="s">
        <v>778</v>
      </c>
      <c r="C3384" s="3" t="s">
        <v>1342</v>
      </c>
      <c r="D3384" s="3" t="s">
        <v>68</v>
      </c>
      <c r="E3384" s="3" t="s">
        <v>100</v>
      </c>
      <c r="F3384" s="3" t="s">
        <v>1575</v>
      </c>
      <c r="G3384" s="7">
        <v>45991.483275226936</v>
      </c>
    </row>
    <row r="3385">
      <c r="A3385" s="3" t="s">
        <v>10905</v>
      </c>
      <c r="B3385" s="3" t="s">
        <v>886</v>
      </c>
      <c r="C3385" s="3" t="s">
        <v>1095</v>
      </c>
      <c r="D3385" s="3" t="s">
        <v>181</v>
      </c>
      <c r="E3385" s="3" t="s">
        <v>45</v>
      </c>
      <c r="F3385" s="3" t="s">
        <v>1863</v>
      </c>
      <c r="G3385" s="7">
        <v>45991.554450072355</v>
      </c>
    </row>
    <row r="3386">
      <c r="A3386" s="3" t="s">
        <v>10909</v>
      </c>
      <c r="B3386" s="3" t="s">
        <v>838</v>
      </c>
      <c r="C3386" s="3" t="s">
        <v>1095</v>
      </c>
      <c r="D3386" s="3" t="s">
        <v>68</v>
      </c>
      <c r="E3386" s="3" t="s">
        <v>100</v>
      </c>
      <c r="F3386" s="3" t="s">
        <v>1943</v>
      </c>
      <c r="G3386" s="7">
        <v>45991.625624917775</v>
      </c>
    </row>
    <row r="3387">
      <c r="A3387" s="3" t="s">
        <v>10912</v>
      </c>
      <c r="B3387" s="3" t="s">
        <v>391</v>
      </c>
      <c r="C3387" s="3" t="s">
        <v>1342</v>
      </c>
      <c r="D3387" s="3" t="s">
        <v>68</v>
      </c>
      <c r="E3387" s="3" t="s">
        <v>100</v>
      </c>
      <c r="F3387" s="3" t="s">
        <v>1918</v>
      </c>
      <c r="G3387" s="7">
        <v>45991.69679976319</v>
      </c>
    </row>
    <row r="3388">
      <c r="A3388" s="3" t="s">
        <v>10914</v>
      </c>
      <c r="B3388" s="3" t="s">
        <v>505</v>
      </c>
      <c r="C3388" s="3" t="s">
        <v>1342</v>
      </c>
      <c r="D3388" s="3" t="s">
        <v>181</v>
      </c>
      <c r="E3388" s="3" t="s">
        <v>45</v>
      </c>
      <c r="F3388" s="3" t="s">
        <v>1890</v>
      </c>
      <c r="G3388" s="7">
        <v>45991.7679746086</v>
      </c>
    </row>
    <row r="3389">
      <c r="A3389" s="3" t="s">
        <v>10916</v>
      </c>
      <c r="B3389" s="3" t="s">
        <v>781</v>
      </c>
      <c r="C3389" s="3" t="s">
        <v>1095</v>
      </c>
      <c r="D3389" s="3" t="s">
        <v>68</v>
      </c>
      <c r="E3389" s="3" t="s">
        <v>100</v>
      </c>
      <c r="F3389" s="3" t="s">
        <v>1488</v>
      </c>
      <c r="G3389" s="7">
        <v>45991.83914945402</v>
      </c>
    </row>
    <row r="3390">
      <c r="A3390" s="3" t="s">
        <v>10919</v>
      </c>
      <c r="B3390" s="3" t="s">
        <v>713</v>
      </c>
      <c r="C3390" s="3" t="s">
        <v>56</v>
      </c>
      <c r="D3390" s="3" t="s">
        <v>68</v>
      </c>
      <c r="E3390" s="3" t="s">
        <v>100</v>
      </c>
      <c r="F3390" s="3" t="s">
        <v>1939</v>
      </c>
      <c r="G3390" s="7">
        <v>45991.91032429943</v>
      </c>
    </row>
    <row r="3391">
      <c r="A3391" s="3" t="s">
        <v>10922</v>
      </c>
      <c r="B3391" s="3" t="s">
        <v>202</v>
      </c>
      <c r="C3391" s="3" t="s">
        <v>56</v>
      </c>
      <c r="D3391" s="3" t="s">
        <v>68</v>
      </c>
      <c r="E3391" s="3" t="s">
        <v>100</v>
      </c>
      <c r="F3391" s="3" t="s">
        <v>1941</v>
      </c>
      <c r="G3391" s="7">
        <v>45991.981499144844</v>
      </c>
    </row>
    <row r="3392">
      <c r="A3392" s="3" t="s">
        <v>10925</v>
      </c>
      <c r="B3392" s="3" t="s">
        <v>293</v>
      </c>
      <c r="C3392" s="3" t="s">
        <v>56</v>
      </c>
      <c r="D3392" s="3" t="s">
        <v>68</v>
      </c>
      <c r="E3392" s="3" t="s">
        <v>100</v>
      </c>
      <c r="F3392" s="3" t="s">
        <v>1943</v>
      </c>
      <c r="G3392" s="7">
        <v>45992.05267399026</v>
      </c>
    </row>
    <row r="3393">
      <c r="A3393" s="3" t="s">
        <v>10928</v>
      </c>
      <c r="B3393" s="3" t="s">
        <v>348</v>
      </c>
      <c r="C3393" s="3" t="s">
        <v>56</v>
      </c>
      <c r="D3393" s="3" t="s">
        <v>68</v>
      </c>
      <c r="E3393" s="3" t="s">
        <v>100</v>
      </c>
      <c r="F3393" s="3" t="s">
        <v>1946</v>
      </c>
      <c r="G3393" s="7">
        <v>45992.12384883568</v>
      </c>
    </row>
    <row r="3394">
      <c r="A3394" s="3" t="s">
        <v>10932</v>
      </c>
      <c r="B3394" s="3" t="s">
        <v>796</v>
      </c>
      <c r="C3394" s="3" t="s">
        <v>1342</v>
      </c>
      <c r="D3394" s="3" t="s">
        <v>68</v>
      </c>
      <c r="E3394" s="3" t="s">
        <v>100</v>
      </c>
      <c r="F3394" s="3" t="s">
        <v>991</v>
      </c>
      <c r="G3394" s="7">
        <v>45992.19502368109</v>
      </c>
    </row>
    <row r="3395">
      <c r="A3395" s="3" t="s">
        <v>10935</v>
      </c>
      <c r="B3395" s="3" t="s">
        <v>479</v>
      </c>
      <c r="C3395" s="3" t="s">
        <v>1342</v>
      </c>
      <c r="D3395" s="3" t="s">
        <v>68</v>
      </c>
      <c r="E3395" s="3" t="s">
        <v>100</v>
      </c>
      <c r="F3395" s="3" t="s">
        <v>1782</v>
      </c>
      <c r="G3395" s="7">
        <v>45992.26619852651</v>
      </c>
    </row>
    <row r="3396">
      <c r="A3396" s="3" t="s">
        <v>10939</v>
      </c>
      <c r="B3396" s="3" t="s">
        <v>669</v>
      </c>
      <c r="C3396" s="3" t="s">
        <v>1342</v>
      </c>
      <c r="D3396" s="3" t="s">
        <v>68</v>
      </c>
      <c r="E3396" s="3" t="s">
        <v>100</v>
      </c>
      <c r="F3396" s="3" t="s">
        <v>815</v>
      </c>
      <c r="G3396" s="7">
        <v>45992.33737337192</v>
      </c>
    </row>
    <row r="3397">
      <c r="A3397" s="3" t="s">
        <v>10942</v>
      </c>
      <c r="B3397" s="3" t="s">
        <v>717</v>
      </c>
      <c r="C3397" s="3" t="s">
        <v>56</v>
      </c>
      <c r="D3397" s="3" t="s">
        <v>181</v>
      </c>
      <c r="E3397" s="3" t="s">
        <v>45</v>
      </c>
      <c r="F3397" s="3" t="s">
        <v>45</v>
      </c>
      <c r="G3397" s="7">
        <v>45992.40854821734</v>
      </c>
    </row>
    <row r="3398">
      <c r="A3398" s="3" t="s">
        <v>10945</v>
      </c>
      <c r="B3398" s="3" t="s">
        <v>145</v>
      </c>
      <c r="C3398" s="3" t="s">
        <v>1095</v>
      </c>
      <c r="D3398" s="3" t="s">
        <v>68</v>
      </c>
      <c r="E3398" s="3" t="s">
        <v>100</v>
      </c>
      <c r="F3398" s="3" t="s">
        <v>1848</v>
      </c>
      <c r="G3398" s="7">
        <v>45992.47972306275</v>
      </c>
    </row>
    <row r="3399">
      <c r="A3399" s="3" t="s">
        <v>10948</v>
      </c>
      <c r="B3399" s="3" t="s">
        <v>243</v>
      </c>
      <c r="C3399" s="3" t="s">
        <v>1342</v>
      </c>
      <c r="D3399" s="3" t="s">
        <v>68</v>
      </c>
      <c r="E3399" s="3" t="s">
        <v>100</v>
      </c>
      <c r="F3399" s="3" t="s">
        <v>1852</v>
      </c>
      <c r="G3399" s="7">
        <v>45992.55089790817</v>
      </c>
    </row>
    <row r="3400">
      <c r="A3400" s="3" t="s">
        <v>10950</v>
      </c>
      <c r="B3400" s="3" t="s">
        <v>363</v>
      </c>
      <c r="C3400" s="3" t="s">
        <v>1095</v>
      </c>
      <c r="D3400" s="3" t="s">
        <v>68</v>
      </c>
      <c r="E3400" s="3" t="s">
        <v>100</v>
      </c>
      <c r="F3400" s="3" t="s">
        <v>1894</v>
      </c>
      <c r="G3400" s="7">
        <v>45992.62207275358</v>
      </c>
    </row>
    <row r="3401">
      <c r="A3401" s="3" t="s">
        <v>10952</v>
      </c>
      <c r="B3401" s="3" t="s">
        <v>276</v>
      </c>
      <c r="C3401" s="3" t="s">
        <v>56</v>
      </c>
      <c r="D3401" s="3" t="s">
        <v>68</v>
      </c>
      <c r="E3401" s="3" t="s">
        <v>100</v>
      </c>
      <c r="F3401" s="3" t="s">
        <v>1950</v>
      </c>
      <c r="G3401" s="7">
        <v>45992.693247598996</v>
      </c>
    </row>
    <row r="3402">
      <c r="A3402" s="3" t="s">
        <v>10955</v>
      </c>
      <c r="B3402" s="3" t="s">
        <v>530</v>
      </c>
      <c r="C3402" s="3" t="s">
        <v>1095</v>
      </c>
      <c r="D3402" s="3" t="s">
        <v>68</v>
      </c>
      <c r="E3402" s="3" t="s">
        <v>100</v>
      </c>
      <c r="F3402" s="3" t="s">
        <v>1557</v>
      </c>
      <c r="G3402" s="7">
        <v>45992.764422444416</v>
      </c>
    </row>
    <row r="3403">
      <c r="A3403" s="3" t="s">
        <v>10959</v>
      </c>
      <c r="B3403" s="3" t="s">
        <v>123</v>
      </c>
      <c r="C3403" s="3" t="s">
        <v>1342</v>
      </c>
      <c r="D3403" s="3" t="s">
        <v>68</v>
      </c>
      <c r="E3403" s="3" t="s">
        <v>100</v>
      </c>
      <c r="F3403" s="3" t="s">
        <v>1455</v>
      </c>
      <c r="G3403" s="7">
        <v>45992.83559728983</v>
      </c>
    </row>
    <row r="3404">
      <c r="A3404" s="3" t="s">
        <v>10963</v>
      </c>
      <c r="B3404" s="3" t="s">
        <v>411</v>
      </c>
      <c r="C3404" s="3" t="s">
        <v>1342</v>
      </c>
      <c r="D3404" s="3" t="s">
        <v>68</v>
      </c>
      <c r="E3404" s="3" t="s">
        <v>100</v>
      </c>
      <c r="F3404" s="3" t="s">
        <v>1530</v>
      </c>
      <c r="G3404" s="7">
        <v>45992.90677213524</v>
      </c>
    </row>
    <row r="3405">
      <c r="A3405" s="3" t="s">
        <v>10966</v>
      </c>
      <c r="B3405" s="3" t="s">
        <v>481</v>
      </c>
      <c r="C3405" s="3" t="s">
        <v>1342</v>
      </c>
      <c r="D3405" s="3" t="s">
        <v>68</v>
      </c>
      <c r="E3405" s="3" t="s">
        <v>100</v>
      </c>
      <c r="F3405" s="3" t="s">
        <v>1740</v>
      </c>
      <c r="G3405" s="7">
        <v>45992.97794698066</v>
      </c>
    </row>
    <row r="3406">
      <c r="A3406" s="3" t="s">
        <v>10969</v>
      </c>
      <c r="B3406" s="3" t="s">
        <v>455</v>
      </c>
      <c r="C3406" s="3" t="s">
        <v>56</v>
      </c>
      <c r="D3406" s="3" t="s">
        <v>181</v>
      </c>
      <c r="E3406" s="3" t="s">
        <v>45</v>
      </c>
      <c r="F3406" s="3" t="s">
        <v>45</v>
      </c>
      <c r="G3406" s="7">
        <v>45993.04912182607</v>
      </c>
    </row>
    <row r="3407">
      <c r="A3407" s="3" t="s">
        <v>10972</v>
      </c>
      <c r="B3407" s="3" t="s">
        <v>287</v>
      </c>
      <c r="C3407" s="3" t="s">
        <v>1095</v>
      </c>
      <c r="D3407" s="3" t="s">
        <v>68</v>
      </c>
      <c r="E3407" s="3" t="s">
        <v>100</v>
      </c>
      <c r="F3407" s="3" t="s">
        <v>1651</v>
      </c>
      <c r="G3407" s="7">
        <v>45993.120296671485</v>
      </c>
    </row>
    <row r="3408">
      <c r="A3408" s="3" t="s">
        <v>10976</v>
      </c>
      <c r="B3408" s="3" t="s">
        <v>280</v>
      </c>
      <c r="C3408" s="3" t="s">
        <v>56</v>
      </c>
      <c r="D3408" s="3" t="s">
        <v>68</v>
      </c>
      <c r="E3408" s="3" t="s">
        <v>100</v>
      </c>
      <c r="F3408" s="3" t="s">
        <v>1951</v>
      </c>
      <c r="G3408" s="7">
        <v>45993.191471516904</v>
      </c>
    </row>
    <row r="3409">
      <c r="A3409" s="3" t="s">
        <v>10980</v>
      </c>
      <c r="B3409" s="3" t="s">
        <v>356</v>
      </c>
      <c r="C3409" s="3" t="s">
        <v>56</v>
      </c>
      <c r="D3409" s="3" t="s">
        <v>68</v>
      </c>
      <c r="E3409" s="3" t="s">
        <v>100</v>
      </c>
      <c r="F3409" s="3" t="s">
        <v>1954</v>
      </c>
      <c r="G3409" s="7">
        <v>45993.262646362324</v>
      </c>
    </row>
    <row r="3410">
      <c r="A3410" s="3" t="s">
        <v>10983</v>
      </c>
      <c r="B3410" s="3" t="s">
        <v>805</v>
      </c>
      <c r="C3410" s="3" t="s">
        <v>56</v>
      </c>
      <c r="D3410" s="3" t="s">
        <v>68</v>
      </c>
      <c r="E3410" s="3" t="s">
        <v>100</v>
      </c>
      <c r="F3410" s="3" t="s">
        <v>1956</v>
      </c>
      <c r="G3410" s="7">
        <v>45993.33382120773</v>
      </c>
    </row>
    <row r="3411">
      <c r="A3411" s="3" t="s">
        <v>10986</v>
      </c>
      <c r="B3411" s="3" t="s">
        <v>640</v>
      </c>
      <c r="C3411" s="3" t="s">
        <v>1342</v>
      </c>
      <c r="D3411" s="3" t="s">
        <v>195</v>
      </c>
      <c r="E3411" s="3" t="s">
        <v>45</v>
      </c>
      <c r="F3411" s="3" t="s">
        <v>1478</v>
      </c>
      <c r="G3411" s="7">
        <v>45993.40499605315</v>
      </c>
    </row>
    <row r="3412">
      <c r="A3412" s="3" t="s">
        <v>10990</v>
      </c>
      <c r="B3412" s="3" t="s">
        <v>911</v>
      </c>
      <c r="C3412" s="3" t="s">
        <v>56</v>
      </c>
      <c r="D3412" s="3" t="s">
        <v>68</v>
      </c>
      <c r="E3412" s="3" t="s">
        <v>100</v>
      </c>
      <c r="F3412" s="3" t="s">
        <v>1961</v>
      </c>
      <c r="G3412" s="7">
        <v>45993.47617089856</v>
      </c>
    </row>
    <row r="3413">
      <c r="A3413" s="3" t="s">
        <v>10994</v>
      </c>
      <c r="B3413" s="3" t="s">
        <v>488</v>
      </c>
      <c r="C3413" s="3" t="s">
        <v>1342</v>
      </c>
      <c r="D3413" s="3" t="s">
        <v>68</v>
      </c>
      <c r="E3413" s="3" t="s">
        <v>100</v>
      </c>
      <c r="F3413" s="3" t="s">
        <v>1393</v>
      </c>
      <c r="G3413" s="7">
        <v>45993.54734574398</v>
      </c>
    </row>
    <row r="3414">
      <c r="A3414" s="3" t="s">
        <v>10998</v>
      </c>
      <c r="B3414" s="3" t="s">
        <v>605</v>
      </c>
      <c r="C3414" s="3" t="s">
        <v>1342</v>
      </c>
      <c r="D3414" s="3" t="s">
        <v>68</v>
      </c>
      <c r="E3414" s="3" t="s">
        <v>100</v>
      </c>
      <c r="F3414" s="3" t="s">
        <v>1699</v>
      </c>
      <c r="G3414" s="7">
        <v>45993.61852058939</v>
      </c>
    </row>
    <row r="3415">
      <c r="A3415" s="3" t="s">
        <v>11002</v>
      </c>
      <c r="B3415" s="3" t="s">
        <v>515</v>
      </c>
      <c r="C3415" s="3" t="s">
        <v>56</v>
      </c>
      <c r="D3415" s="3" t="s">
        <v>68</v>
      </c>
      <c r="E3415" s="3" t="s">
        <v>100</v>
      </c>
      <c r="F3415" s="3" t="s">
        <v>1963</v>
      </c>
      <c r="G3415" s="7">
        <v>45993.68969543481</v>
      </c>
    </row>
    <row r="3416">
      <c r="A3416" s="3" t="s">
        <v>11005</v>
      </c>
      <c r="B3416" s="3" t="s">
        <v>559</v>
      </c>
      <c r="C3416" s="3" t="s">
        <v>1342</v>
      </c>
      <c r="D3416" s="3" t="s">
        <v>68</v>
      </c>
      <c r="E3416" s="3" t="s">
        <v>100</v>
      </c>
      <c r="F3416" s="3" t="s">
        <v>1629</v>
      </c>
      <c r="G3416" s="7">
        <v>45993.760870280224</v>
      </c>
    </row>
    <row r="3417">
      <c r="A3417" s="3" t="s">
        <v>11008</v>
      </c>
      <c r="B3417" s="3" t="s">
        <v>515</v>
      </c>
      <c r="C3417" s="3" t="s">
        <v>1342</v>
      </c>
      <c r="D3417" s="3" t="s">
        <v>68</v>
      </c>
      <c r="E3417" s="3" t="s">
        <v>100</v>
      </c>
      <c r="F3417" s="3" t="s">
        <v>1963</v>
      </c>
      <c r="G3417" s="7">
        <v>45993.83204512564</v>
      </c>
    </row>
    <row r="3418">
      <c r="A3418" s="3" t="s">
        <v>11011</v>
      </c>
      <c r="B3418" s="3" t="s">
        <v>366</v>
      </c>
      <c r="C3418" s="3" t="s">
        <v>1095</v>
      </c>
      <c r="D3418" s="3" t="s">
        <v>68</v>
      </c>
      <c r="E3418" s="3" t="s">
        <v>100</v>
      </c>
      <c r="F3418" s="3" t="s">
        <v>1625</v>
      </c>
      <c r="G3418" s="7">
        <v>45993.90321997106</v>
      </c>
    </row>
    <row r="3419">
      <c r="A3419" s="3" t="s">
        <v>11016</v>
      </c>
      <c r="B3419" s="3" t="s">
        <v>650</v>
      </c>
      <c r="C3419" s="3" t="s">
        <v>1342</v>
      </c>
      <c r="D3419" s="3" t="s">
        <v>68</v>
      </c>
      <c r="E3419" s="3" t="s">
        <v>100</v>
      </c>
      <c r="F3419" s="3" t="s">
        <v>1846</v>
      </c>
      <c r="G3419" s="7">
        <v>45993.97439481647</v>
      </c>
    </row>
    <row r="3420">
      <c r="A3420" s="3" t="s">
        <v>11019</v>
      </c>
      <c r="B3420" s="3" t="s">
        <v>747</v>
      </c>
      <c r="C3420" s="3" t="s">
        <v>56</v>
      </c>
      <c r="D3420" s="3" t="s">
        <v>68</v>
      </c>
      <c r="E3420" s="3" t="s">
        <v>100</v>
      </c>
      <c r="F3420" s="3" t="s">
        <v>1966</v>
      </c>
      <c r="G3420" s="7">
        <v>45994.04556966188</v>
      </c>
    </row>
    <row r="3421">
      <c r="A3421" s="3" t="s">
        <v>11024</v>
      </c>
      <c r="B3421" s="3" t="s">
        <v>953</v>
      </c>
      <c r="C3421" s="3" t="s">
        <v>56</v>
      </c>
      <c r="D3421" s="3" t="s">
        <v>68</v>
      </c>
      <c r="E3421" s="3" t="s">
        <v>100</v>
      </c>
      <c r="F3421" s="3" t="s">
        <v>1968</v>
      </c>
      <c r="G3421" s="7">
        <v>45994.1167445073</v>
      </c>
    </row>
    <row r="3422">
      <c r="A3422" s="3" t="s">
        <v>11026</v>
      </c>
      <c r="B3422" s="3" t="s">
        <v>440</v>
      </c>
      <c r="C3422" s="3" t="s">
        <v>1095</v>
      </c>
      <c r="D3422" s="3" t="s">
        <v>68</v>
      </c>
      <c r="E3422" s="3" t="s">
        <v>100</v>
      </c>
      <c r="F3422" s="3" t="s">
        <v>1264</v>
      </c>
      <c r="G3422" s="7">
        <v>45994.18791935271</v>
      </c>
    </row>
    <row r="3423">
      <c r="A3423" s="3" t="s">
        <v>11028</v>
      </c>
      <c r="B3423" s="3" t="s">
        <v>162</v>
      </c>
      <c r="C3423" s="3" t="s">
        <v>1342</v>
      </c>
      <c r="D3423" s="3" t="s">
        <v>68</v>
      </c>
      <c r="E3423" s="3" t="s">
        <v>100</v>
      </c>
      <c r="F3423" s="3" t="s">
        <v>1876</v>
      </c>
      <c r="G3423" s="7">
        <v>45994.259094198125</v>
      </c>
    </row>
    <row r="3424">
      <c r="A3424" s="3" t="s">
        <v>11031</v>
      </c>
      <c r="B3424" s="3" t="s">
        <v>616</v>
      </c>
      <c r="C3424" s="3" t="s">
        <v>1342</v>
      </c>
      <c r="D3424" s="3" t="s">
        <v>68</v>
      </c>
      <c r="E3424" s="3" t="s">
        <v>100</v>
      </c>
      <c r="F3424" s="3" t="s">
        <v>1400</v>
      </c>
      <c r="G3424" s="7">
        <v>45994.330269043545</v>
      </c>
    </row>
    <row r="3425">
      <c r="A3425" s="3" t="s">
        <v>11034</v>
      </c>
      <c r="B3425" s="3" t="s">
        <v>498</v>
      </c>
      <c r="C3425" s="3" t="s">
        <v>56</v>
      </c>
      <c r="D3425" s="3" t="s">
        <v>68</v>
      </c>
      <c r="E3425" s="3" t="s">
        <v>100</v>
      </c>
      <c r="F3425" s="3" t="s">
        <v>1969</v>
      </c>
      <c r="G3425" s="7">
        <v>45994.401443888964</v>
      </c>
    </row>
    <row r="3426">
      <c r="A3426" s="3" t="s">
        <v>11037</v>
      </c>
      <c r="B3426" s="3" t="s">
        <v>1026</v>
      </c>
      <c r="C3426" s="3" t="s">
        <v>1342</v>
      </c>
      <c r="D3426" s="3" t="s">
        <v>68</v>
      </c>
      <c r="E3426" s="3" t="s">
        <v>100</v>
      </c>
      <c r="F3426" s="3" t="s">
        <v>1684</v>
      </c>
      <c r="G3426" s="7">
        <v>45994.47261873437</v>
      </c>
    </row>
    <row r="3427">
      <c r="A3427" s="3" t="s">
        <v>11042</v>
      </c>
      <c r="B3427" s="3" t="s">
        <v>731</v>
      </c>
      <c r="C3427" s="3" t="s">
        <v>56</v>
      </c>
      <c r="D3427" s="3" t="s">
        <v>68</v>
      </c>
      <c r="E3427" s="3" t="s">
        <v>100</v>
      </c>
      <c r="F3427" s="3" t="s">
        <v>1971</v>
      </c>
      <c r="G3427" s="7">
        <v>45994.54379357979</v>
      </c>
    </row>
    <row r="3428">
      <c r="A3428" s="3" t="s">
        <v>11044</v>
      </c>
      <c r="B3428" s="3" t="s">
        <v>179</v>
      </c>
      <c r="C3428" s="3" t="s">
        <v>1095</v>
      </c>
      <c r="D3428" s="3" t="s">
        <v>181</v>
      </c>
      <c r="E3428" s="3" t="s">
        <v>45</v>
      </c>
      <c r="F3428" s="3" t="s">
        <v>1558</v>
      </c>
      <c r="G3428" s="7">
        <v>45994.61496842521</v>
      </c>
    </row>
    <row r="3429">
      <c r="A3429" s="3" t="s">
        <v>11046</v>
      </c>
      <c r="B3429" s="3" t="s">
        <v>655</v>
      </c>
      <c r="C3429" s="3" t="s">
        <v>1095</v>
      </c>
      <c r="D3429" s="3" t="s">
        <v>68</v>
      </c>
      <c r="E3429" s="3" t="s">
        <v>100</v>
      </c>
      <c r="F3429" s="3" t="s">
        <v>1927</v>
      </c>
      <c r="G3429" s="7">
        <v>45994.68614327062</v>
      </c>
    </row>
    <row r="3430">
      <c r="A3430" s="3" t="s">
        <v>11047</v>
      </c>
      <c r="B3430" s="3" t="s">
        <v>704</v>
      </c>
      <c r="C3430" s="3" t="s">
        <v>1095</v>
      </c>
      <c r="D3430" s="3" t="s">
        <v>68</v>
      </c>
      <c r="E3430" s="3" t="s">
        <v>100</v>
      </c>
      <c r="F3430" s="3" t="s">
        <v>1929</v>
      </c>
      <c r="G3430" s="7">
        <v>45994.75731811603</v>
      </c>
    </row>
    <row r="3431">
      <c r="A3431" s="3" t="s">
        <v>11048</v>
      </c>
      <c r="B3431" s="3" t="s">
        <v>446</v>
      </c>
      <c r="C3431" s="3" t="s">
        <v>1095</v>
      </c>
      <c r="D3431" s="3" t="s">
        <v>68</v>
      </c>
      <c r="E3431" s="3" t="s">
        <v>100</v>
      </c>
      <c r="F3431" s="3" t="s">
        <v>1884</v>
      </c>
      <c r="G3431" s="7">
        <v>45994.82849296145</v>
      </c>
    </row>
    <row r="3432">
      <c r="A3432" s="3" t="s">
        <v>11053</v>
      </c>
      <c r="B3432" s="3" t="s">
        <v>236</v>
      </c>
      <c r="C3432" s="3" t="s">
        <v>1095</v>
      </c>
      <c r="D3432" s="3" t="s">
        <v>68</v>
      </c>
      <c r="E3432" s="3" t="s">
        <v>100</v>
      </c>
      <c r="F3432" s="3" t="s">
        <v>2004</v>
      </c>
      <c r="G3432" s="7">
        <v>45994.899667806865</v>
      </c>
    </row>
    <row r="3433">
      <c r="A3433" s="3" t="s">
        <v>11056</v>
      </c>
      <c r="B3433" s="3" t="s">
        <v>488</v>
      </c>
      <c r="C3433" s="3" t="s">
        <v>1342</v>
      </c>
      <c r="D3433" s="3" t="s">
        <v>68</v>
      </c>
      <c r="E3433" s="3" t="s">
        <v>100</v>
      </c>
      <c r="F3433" s="3" t="s">
        <v>1393</v>
      </c>
      <c r="G3433" s="7">
        <v>45994.97084265228</v>
      </c>
    </row>
    <row r="3434">
      <c r="A3434" s="3" t="s">
        <v>11059</v>
      </c>
      <c r="B3434" s="3" t="s">
        <v>442</v>
      </c>
      <c r="C3434" s="3" t="s">
        <v>56</v>
      </c>
      <c r="D3434" s="3" t="s">
        <v>68</v>
      </c>
      <c r="E3434" s="3" t="s">
        <v>100</v>
      </c>
      <c r="F3434" s="3" t="s">
        <v>1973</v>
      </c>
      <c r="G3434" s="7">
        <v>45995.0420174977</v>
      </c>
    </row>
    <row r="3435">
      <c r="A3435" s="3" t="s">
        <v>11061</v>
      </c>
      <c r="B3435" s="3" t="s">
        <v>226</v>
      </c>
      <c r="C3435" s="3" t="s">
        <v>56</v>
      </c>
      <c r="D3435" s="3" t="s">
        <v>68</v>
      </c>
      <c r="E3435" s="3" t="s">
        <v>100</v>
      </c>
      <c r="F3435" s="3" t="s">
        <v>1975</v>
      </c>
      <c r="G3435" s="7">
        <v>45995.11319234311</v>
      </c>
    </row>
    <row r="3436">
      <c r="A3436" s="3" t="s">
        <v>11066</v>
      </c>
      <c r="B3436" s="3" t="s">
        <v>557</v>
      </c>
      <c r="C3436" s="3" t="s">
        <v>1342</v>
      </c>
      <c r="D3436" s="3" t="s">
        <v>68</v>
      </c>
      <c r="E3436" s="3" t="s">
        <v>100</v>
      </c>
      <c r="F3436" s="3" t="s">
        <v>1681</v>
      </c>
      <c r="G3436" s="7">
        <v>45995.18436718852</v>
      </c>
    </row>
    <row r="3437">
      <c r="A3437" s="3" t="s">
        <v>11069</v>
      </c>
      <c r="B3437" s="3" t="s">
        <v>819</v>
      </c>
      <c r="C3437" s="3" t="s">
        <v>1095</v>
      </c>
      <c r="D3437" s="3" t="s">
        <v>68</v>
      </c>
      <c r="E3437" s="3" t="s">
        <v>100</v>
      </c>
      <c r="F3437" s="3" t="s">
        <v>1923</v>
      </c>
      <c r="G3437" s="7">
        <v>45995.25554203394</v>
      </c>
    </row>
    <row r="3438">
      <c r="A3438" s="3" t="s">
        <v>11071</v>
      </c>
      <c r="B3438" s="3" t="s">
        <v>972</v>
      </c>
      <c r="C3438" s="3" t="s">
        <v>1342</v>
      </c>
      <c r="D3438" s="3" t="s">
        <v>68</v>
      </c>
      <c r="E3438" s="3" t="s">
        <v>100</v>
      </c>
      <c r="F3438" s="3" t="s">
        <v>1366</v>
      </c>
      <c r="G3438" s="7">
        <v>45995.32671687935</v>
      </c>
    </row>
    <row r="3439">
      <c r="A3439" s="3" t="s">
        <v>11073</v>
      </c>
      <c r="B3439" s="3" t="s">
        <v>135</v>
      </c>
      <c r="C3439" s="3" t="s">
        <v>1342</v>
      </c>
      <c r="D3439" s="3" t="s">
        <v>68</v>
      </c>
      <c r="E3439" s="3" t="s">
        <v>100</v>
      </c>
      <c r="F3439" s="3" t="s">
        <v>1088</v>
      </c>
      <c r="G3439" s="7">
        <v>45995.39789172477</v>
      </c>
    </row>
    <row r="3440">
      <c r="A3440" s="3" t="s">
        <v>11076</v>
      </c>
      <c r="B3440" s="3" t="s">
        <v>253</v>
      </c>
      <c r="C3440" s="3" t="s">
        <v>1095</v>
      </c>
      <c r="D3440" s="3" t="s">
        <v>68</v>
      </c>
      <c r="E3440" s="3" t="s">
        <v>100</v>
      </c>
      <c r="F3440" s="3" t="s">
        <v>959</v>
      </c>
      <c r="G3440" s="7">
        <v>45995.469066570186</v>
      </c>
    </row>
    <row r="3441">
      <c r="A3441" s="3" t="s">
        <v>11078</v>
      </c>
      <c r="B3441" s="3" t="s">
        <v>911</v>
      </c>
      <c r="C3441" s="3" t="s">
        <v>1342</v>
      </c>
      <c r="D3441" s="3" t="s">
        <v>68</v>
      </c>
      <c r="E3441" s="3" t="s">
        <v>100</v>
      </c>
      <c r="F3441" s="3" t="s">
        <v>1961</v>
      </c>
      <c r="G3441" s="7">
        <v>45995.540241415605</v>
      </c>
    </row>
    <row r="3442">
      <c r="A3442" s="3" t="s">
        <v>11080</v>
      </c>
      <c r="B3442" s="3" t="s">
        <v>770</v>
      </c>
      <c r="C3442" s="3" t="s">
        <v>1342</v>
      </c>
      <c r="D3442" s="3" t="s">
        <v>68</v>
      </c>
      <c r="E3442" s="3" t="s">
        <v>100</v>
      </c>
      <c r="F3442" s="3" t="s">
        <v>1403</v>
      </c>
      <c r="G3442" s="7">
        <v>45995.61141626101</v>
      </c>
    </row>
    <row r="3443">
      <c r="A3443" s="3" t="s">
        <v>11082</v>
      </c>
      <c r="B3443" s="3" t="s">
        <v>287</v>
      </c>
      <c r="C3443" s="3" t="s">
        <v>56</v>
      </c>
      <c r="D3443" s="3" t="s">
        <v>195</v>
      </c>
      <c r="E3443" s="3" t="s">
        <v>45</v>
      </c>
      <c r="F3443" s="3" t="s">
        <v>45</v>
      </c>
      <c r="G3443" s="7">
        <v>45995.68259110643</v>
      </c>
    </row>
    <row r="3444">
      <c r="A3444" s="3" t="s">
        <v>11085</v>
      </c>
      <c r="B3444" s="3" t="s">
        <v>430</v>
      </c>
      <c r="C3444" s="3" t="s">
        <v>1342</v>
      </c>
      <c r="D3444" s="3" t="s">
        <v>68</v>
      </c>
      <c r="E3444" s="3" t="s">
        <v>100</v>
      </c>
      <c r="F3444" s="3" t="s">
        <v>1623</v>
      </c>
      <c r="G3444" s="7">
        <v>45995.75376595185</v>
      </c>
    </row>
    <row r="3445">
      <c r="A3445" s="3" t="s">
        <v>11089</v>
      </c>
      <c r="B3445" s="3" t="s">
        <v>841</v>
      </c>
      <c r="C3445" s="3" t="s">
        <v>1342</v>
      </c>
      <c r="D3445" s="3" t="s">
        <v>68</v>
      </c>
      <c r="E3445" s="3" t="s">
        <v>100</v>
      </c>
      <c r="F3445" s="3" t="s">
        <v>1712</v>
      </c>
      <c r="G3445" s="7">
        <v>45995.82494079726</v>
      </c>
    </row>
    <row r="3446">
      <c r="A3446" s="3" t="s">
        <v>11092</v>
      </c>
      <c r="B3446" s="3" t="s">
        <v>135</v>
      </c>
      <c r="C3446" s="3" t="s">
        <v>1095</v>
      </c>
      <c r="D3446" s="3" t="s">
        <v>68</v>
      </c>
      <c r="E3446" s="3" t="s">
        <v>100</v>
      </c>
      <c r="F3446" s="3" t="s">
        <v>1088</v>
      </c>
      <c r="G3446" s="7">
        <v>45995.896115642674</v>
      </c>
    </row>
    <row r="3447">
      <c r="A3447" s="3" t="s">
        <v>11095</v>
      </c>
      <c r="B3447" s="3" t="s">
        <v>253</v>
      </c>
      <c r="C3447" s="3" t="s">
        <v>56</v>
      </c>
      <c r="D3447" s="3" t="s">
        <v>195</v>
      </c>
      <c r="E3447" s="3" t="s">
        <v>45</v>
      </c>
      <c r="F3447" s="3" t="s">
        <v>45</v>
      </c>
      <c r="G3447" s="7">
        <v>45995.96729048809</v>
      </c>
    </row>
    <row r="3448">
      <c r="A3448" s="3" t="s">
        <v>11098</v>
      </c>
      <c r="B3448" s="3" t="s">
        <v>377</v>
      </c>
      <c r="C3448" s="3" t="s">
        <v>56</v>
      </c>
      <c r="D3448" s="3" t="s">
        <v>68</v>
      </c>
      <c r="E3448" s="3" t="s">
        <v>100</v>
      </c>
      <c r="F3448" s="3" t="s">
        <v>1979</v>
      </c>
      <c r="G3448" s="7">
        <v>45996.038465333506</v>
      </c>
    </row>
    <row r="3449">
      <c r="A3449" s="3" t="s">
        <v>11103</v>
      </c>
      <c r="B3449" s="3" t="s">
        <v>616</v>
      </c>
      <c r="C3449" s="3" t="s">
        <v>1095</v>
      </c>
      <c r="D3449" s="3" t="s">
        <v>68</v>
      </c>
      <c r="E3449" s="3" t="s">
        <v>100</v>
      </c>
      <c r="F3449" s="3" t="s">
        <v>1400</v>
      </c>
      <c r="G3449" s="7">
        <v>45996.10964017892</v>
      </c>
    </row>
    <row r="3450">
      <c r="A3450" s="3" t="s">
        <v>11104</v>
      </c>
      <c r="B3450" s="3" t="s">
        <v>404</v>
      </c>
      <c r="C3450" s="3" t="s">
        <v>56</v>
      </c>
      <c r="D3450" s="3" t="s">
        <v>68</v>
      </c>
      <c r="E3450" s="3" t="s">
        <v>100</v>
      </c>
      <c r="F3450" s="3" t="s">
        <v>1981</v>
      </c>
      <c r="G3450" s="7">
        <v>45996.18081502434</v>
      </c>
    </row>
    <row r="3451">
      <c r="A3451" s="3" t="s">
        <v>11107</v>
      </c>
      <c r="B3451" s="3" t="s">
        <v>990</v>
      </c>
      <c r="C3451" s="3" t="s">
        <v>1095</v>
      </c>
      <c r="D3451" s="3" t="s">
        <v>68</v>
      </c>
      <c r="E3451" s="3" t="s">
        <v>100</v>
      </c>
      <c r="F3451" s="3" t="s">
        <v>1914</v>
      </c>
      <c r="G3451" s="7">
        <v>45996.25198986976</v>
      </c>
    </row>
    <row r="3452">
      <c r="A3452" s="3" t="s">
        <v>11110</v>
      </c>
      <c r="B3452" s="3" t="s">
        <v>475</v>
      </c>
      <c r="C3452" s="3" t="s">
        <v>56</v>
      </c>
      <c r="D3452" s="3" t="s">
        <v>68</v>
      </c>
      <c r="E3452" s="3" t="s">
        <v>100</v>
      </c>
      <c r="F3452" s="3" t="s">
        <v>1983</v>
      </c>
      <c r="G3452" s="7">
        <v>45996.32316471516</v>
      </c>
    </row>
    <row r="3453">
      <c r="A3453" s="3" t="s">
        <v>11113</v>
      </c>
      <c r="B3453" s="3" t="s">
        <v>299</v>
      </c>
      <c r="C3453" s="3" t="s">
        <v>56</v>
      </c>
      <c r="D3453" s="3" t="s">
        <v>68</v>
      </c>
      <c r="E3453" s="3" t="s">
        <v>100</v>
      </c>
      <c r="F3453" s="3" t="s">
        <v>1985</v>
      </c>
      <c r="G3453" s="7">
        <v>45996.39433956058</v>
      </c>
    </row>
    <row r="3454">
      <c r="A3454" s="3" t="s">
        <v>11116</v>
      </c>
      <c r="B3454" s="3" t="s">
        <v>263</v>
      </c>
      <c r="C3454" s="3" t="s">
        <v>1342</v>
      </c>
      <c r="D3454" s="3" t="s">
        <v>181</v>
      </c>
      <c r="E3454" s="3" t="s">
        <v>45</v>
      </c>
      <c r="F3454" s="3" t="s">
        <v>1045</v>
      </c>
      <c r="G3454" s="7">
        <v>45996.465514405994</v>
      </c>
    </row>
    <row r="3455">
      <c r="A3455" s="3" t="s">
        <v>11119</v>
      </c>
      <c r="B3455" s="3" t="s">
        <v>377</v>
      </c>
      <c r="C3455" s="3" t="s">
        <v>1095</v>
      </c>
      <c r="D3455" s="3" t="s">
        <v>68</v>
      </c>
      <c r="E3455" s="3" t="s">
        <v>100</v>
      </c>
      <c r="F3455" s="3" t="s">
        <v>1979</v>
      </c>
      <c r="G3455" s="7">
        <v>45996.536689251414</v>
      </c>
    </row>
    <row r="3456">
      <c r="A3456" s="3" t="s">
        <v>11123</v>
      </c>
      <c r="B3456" s="3" t="s">
        <v>523</v>
      </c>
      <c r="C3456" s="3" t="s">
        <v>1095</v>
      </c>
      <c r="D3456" s="3" t="s">
        <v>68</v>
      </c>
      <c r="E3456" s="3" t="s">
        <v>100</v>
      </c>
      <c r="F3456" s="3" t="s">
        <v>1378</v>
      </c>
      <c r="G3456" s="7">
        <v>45996.607864096826</v>
      </c>
    </row>
    <row r="3457">
      <c r="A3457" s="3" t="s">
        <v>11127</v>
      </c>
      <c r="B3457" s="3" t="s">
        <v>516</v>
      </c>
      <c r="C3457" s="3" t="s">
        <v>1342</v>
      </c>
      <c r="D3457" s="3" t="s">
        <v>68</v>
      </c>
      <c r="E3457" s="3" t="s">
        <v>100</v>
      </c>
      <c r="F3457" s="3" t="s">
        <v>1757</v>
      </c>
      <c r="G3457" s="7">
        <v>45996.679038942246</v>
      </c>
    </row>
    <row r="3458">
      <c r="A3458" s="3" t="s">
        <v>11130</v>
      </c>
      <c r="B3458" s="3" t="s">
        <v>356</v>
      </c>
      <c r="C3458" s="3" t="s">
        <v>1095</v>
      </c>
      <c r="D3458" s="3" t="s">
        <v>68</v>
      </c>
      <c r="E3458" s="3" t="s">
        <v>100</v>
      </c>
      <c r="F3458" s="3" t="s">
        <v>1954</v>
      </c>
      <c r="G3458" s="7">
        <v>45996.75021378766</v>
      </c>
    </row>
    <row r="3459">
      <c r="A3459" s="3" t="s">
        <v>11133</v>
      </c>
      <c r="B3459" s="3" t="s">
        <v>530</v>
      </c>
      <c r="C3459" s="3" t="s">
        <v>56</v>
      </c>
      <c r="D3459" s="3" t="s">
        <v>68</v>
      </c>
      <c r="E3459" s="3" t="s">
        <v>100</v>
      </c>
      <c r="F3459" s="3" t="s">
        <v>1988</v>
      </c>
      <c r="G3459" s="7">
        <v>45996.82138863307</v>
      </c>
    </row>
    <row r="3460">
      <c r="A3460" s="3" t="s">
        <v>11136</v>
      </c>
      <c r="B3460" s="3" t="s">
        <v>455</v>
      </c>
      <c r="C3460" s="3" t="s">
        <v>56</v>
      </c>
      <c r="D3460" s="3" t="s">
        <v>195</v>
      </c>
      <c r="E3460" s="3" t="s">
        <v>45</v>
      </c>
      <c r="F3460" s="3" t="s">
        <v>45</v>
      </c>
      <c r="G3460" s="7">
        <v>45996.89256347849</v>
      </c>
    </row>
    <row r="3461">
      <c r="A3461" s="3" t="s">
        <v>11139</v>
      </c>
      <c r="B3461" s="3" t="s">
        <v>247</v>
      </c>
      <c r="C3461" s="3" t="s">
        <v>56</v>
      </c>
      <c r="D3461" s="3" t="s">
        <v>195</v>
      </c>
      <c r="E3461" s="3" t="s">
        <v>45</v>
      </c>
      <c r="F3461" s="3" t="s">
        <v>45</v>
      </c>
      <c r="G3461" s="7">
        <v>45996.9637383239</v>
      </c>
    </row>
    <row r="3462">
      <c r="A3462" s="3" t="s">
        <v>11142</v>
      </c>
      <c r="B3462" s="3" t="s">
        <v>359</v>
      </c>
      <c r="C3462" s="3" t="s">
        <v>1095</v>
      </c>
      <c r="D3462" s="3" t="s">
        <v>68</v>
      </c>
      <c r="E3462" s="3" t="s">
        <v>100</v>
      </c>
      <c r="F3462" s="3" t="s">
        <v>919</v>
      </c>
      <c r="G3462" s="7">
        <v>45997.034913169315</v>
      </c>
    </row>
    <row r="3463">
      <c r="A3463" s="3" t="s">
        <v>11147</v>
      </c>
      <c r="B3463" s="3" t="s">
        <v>645</v>
      </c>
      <c r="C3463" s="3" t="s">
        <v>1095</v>
      </c>
      <c r="D3463" s="3" t="s">
        <v>68</v>
      </c>
      <c r="E3463" s="3" t="s">
        <v>100</v>
      </c>
      <c r="F3463" s="3" t="s">
        <v>1812</v>
      </c>
      <c r="G3463" s="7">
        <v>45997.106088014734</v>
      </c>
    </row>
    <row r="3464">
      <c r="A3464" s="3" t="s">
        <v>11150</v>
      </c>
      <c r="B3464" s="3" t="s">
        <v>302</v>
      </c>
      <c r="C3464" s="3" t="s">
        <v>1342</v>
      </c>
      <c r="D3464" s="3" t="s">
        <v>68</v>
      </c>
      <c r="E3464" s="3" t="s">
        <v>100</v>
      </c>
      <c r="F3464" s="3" t="s">
        <v>1491</v>
      </c>
      <c r="G3464" s="7">
        <v>45997.17726286015</v>
      </c>
    </row>
    <row r="3465">
      <c r="A3465" s="3" t="s">
        <v>11153</v>
      </c>
      <c r="B3465" s="3" t="s">
        <v>219</v>
      </c>
      <c r="C3465" s="3" t="s">
        <v>56</v>
      </c>
      <c r="D3465" s="3" t="s">
        <v>68</v>
      </c>
      <c r="E3465" s="3" t="s">
        <v>100</v>
      </c>
      <c r="F3465" s="3" t="s">
        <v>1989</v>
      </c>
      <c r="G3465" s="7">
        <v>45997.24843770556</v>
      </c>
    </row>
    <row r="3466">
      <c r="A3466" s="3" t="s">
        <v>11156</v>
      </c>
      <c r="B3466" s="3" t="s">
        <v>725</v>
      </c>
      <c r="C3466" s="3" t="s">
        <v>1342</v>
      </c>
      <c r="D3466" s="3" t="s">
        <v>68</v>
      </c>
      <c r="E3466" s="3" t="s">
        <v>100</v>
      </c>
      <c r="F3466" s="3" t="s">
        <v>1801</v>
      </c>
      <c r="G3466" s="7">
        <v>45997.31961255098</v>
      </c>
    </row>
    <row r="3467">
      <c r="A3467" s="3" t="s">
        <v>11159</v>
      </c>
      <c r="B3467" s="3" t="s">
        <v>145</v>
      </c>
      <c r="C3467" s="3" t="s">
        <v>56</v>
      </c>
      <c r="D3467" s="3" t="s">
        <v>195</v>
      </c>
      <c r="E3467" s="3" t="s">
        <v>45</v>
      </c>
      <c r="F3467" s="3" t="s">
        <v>45</v>
      </c>
      <c r="G3467" s="7">
        <v>45997.3907873964</v>
      </c>
    </row>
    <row r="3468">
      <c r="A3468" s="3" t="s">
        <v>11163</v>
      </c>
      <c r="B3468" s="3" t="s">
        <v>838</v>
      </c>
      <c r="C3468" s="3" t="s">
        <v>56</v>
      </c>
      <c r="D3468" s="3" t="s">
        <v>68</v>
      </c>
      <c r="E3468" s="3" t="s">
        <v>100</v>
      </c>
      <c r="F3468" s="3" t="s">
        <v>1992</v>
      </c>
      <c r="G3468" s="7">
        <v>45997.4619622418</v>
      </c>
    </row>
    <row r="3469">
      <c r="A3469" s="3" t="s">
        <v>11165</v>
      </c>
      <c r="B3469" s="3" t="s">
        <v>908</v>
      </c>
      <c r="C3469" s="3" t="s">
        <v>56</v>
      </c>
      <c r="D3469" s="3" t="s">
        <v>181</v>
      </c>
      <c r="E3469" s="3" t="s">
        <v>45</v>
      </c>
      <c r="F3469" s="3" t="s">
        <v>45</v>
      </c>
      <c r="G3469" s="7">
        <v>45997.53313708722</v>
      </c>
    </row>
    <row r="3470">
      <c r="A3470" s="3" t="s">
        <v>11167</v>
      </c>
      <c r="B3470" s="3" t="s">
        <v>619</v>
      </c>
      <c r="C3470" s="3" t="s">
        <v>1095</v>
      </c>
      <c r="D3470" s="3" t="s">
        <v>181</v>
      </c>
      <c r="E3470" s="3" t="s">
        <v>45</v>
      </c>
      <c r="F3470" s="3" t="s">
        <v>1506</v>
      </c>
      <c r="G3470" s="7">
        <v>45997.60431193264</v>
      </c>
    </row>
    <row r="3471">
      <c r="A3471" s="3" t="s">
        <v>11169</v>
      </c>
      <c r="B3471" s="3" t="s">
        <v>746</v>
      </c>
      <c r="C3471" s="3" t="s">
        <v>56</v>
      </c>
      <c r="D3471" s="3" t="s">
        <v>68</v>
      </c>
      <c r="E3471" s="3" t="s">
        <v>100</v>
      </c>
      <c r="F3471" s="3" t="s">
        <v>1993</v>
      </c>
      <c r="G3471" s="7">
        <v>45997.675486778055</v>
      </c>
    </row>
    <row r="3472">
      <c r="A3472" s="3" t="s">
        <v>11171</v>
      </c>
      <c r="B3472" s="3" t="s">
        <v>519</v>
      </c>
      <c r="C3472" s="3" t="s">
        <v>1342</v>
      </c>
      <c r="D3472" s="3" t="s">
        <v>68</v>
      </c>
      <c r="E3472" s="3" t="s">
        <v>100</v>
      </c>
      <c r="F3472" s="3" t="s">
        <v>1850</v>
      </c>
      <c r="G3472" s="7">
        <v>45997.74666162347</v>
      </c>
    </row>
    <row r="3473">
      <c r="A3473" s="3" t="s">
        <v>11173</v>
      </c>
      <c r="B3473" s="3" t="s">
        <v>1008</v>
      </c>
      <c r="C3473" s="3" t="s">
        <v>1342</v>
      </c>
      <c r="D3473" s="3" t="s">
        <v>68</v>
      </c>
      <c r="E3473" s="3" t="s">
        <v>100</v>
      </c>
      <c r="F3473" s="3" t="s">
        <v>2108</v>
      </c>
      <c r="G3473" s="7">
        <v>45997.81783646889</v>
      </c>
    </row>
    <row r="3474">
      <c r="A3474" s="3" t="s">
        <v>11175</v>
      </c>
      <c r="B3474" s="3" t="s">
        <v>586</v>
      </c>
      <c r="C3474" s="3" t="s">
        <v>1342</v>
      </c>
      <c r="D3474" s="3" t="s">
        <v>68</v>
      </c>
      <c r="E3474" s="3" t="s">
        <v>100</v>
      </c>
      <c r="F3474" s="3" t="s">
        <v>1627</v>
      </c>
      <c r="G3474" s="7">
        <v>45997.8890113143</v>
      </c>
    </row>
    <row r="3475">
      <c r="A3475" s="3" t="s">
        <v>11177</v>
      </c>
      <c r="B3475" s="3" t="s">
        <v>883</v>
      </c>
      <c r="C3475" s="3" t="s">
        <v>56</v>
      </c>
      <c r="D3475" s="3" t="s">
        <v>68</v>
      </c>
      <c r="E3475" s="3" t="s">
        <v>100</v>
      </c>
      <c r="F3475" s="3" t="s">
        <v>1997</v>
      </c>
      <c r="G3475" s="7">
        <v>45997.96018615971</v>
      </c>
    </row>
    <row r="3476">
      <c r="A3476" s="3" t="s">
        <v>11179</v>
      </c>
      <c r="B3476" s="3" t="s">
        <v>822</v>
      </c>
      <c r="C3476" s="3" t="s">
        <v>1095</v>
      </c>
      <c r="D3476" s="3" t="s">
        <v>68</v>
      </c>
      <c r="E3476" s="3" t="s">
        <v>100</v>
      </c>
      <c r="F3476" s="3" t="s">
        <v>1887</v>
      </c>
      <c r="G3476" s="7">
        <v>45998.03136100513</v>
      </c>
    </row>
    <row r="3477">
      <c r="A3477" s="3" t="s">
        <v>11181</v>
      </c>
      <c r="B3477" s="3" t="s">
        <v>293</v>
      </c>
      <c r="C3477" s="3" t="s">
        <v>1095</v>
      </c>
      <c r="D3477" s="3" t="s">
        <v>181</v>
      </c>
      <c r="E3477" s="3" t="s">
        <v>45</v>
      </c>
      <c r="F3477" s="3" t="s">
        <v>1943</v>
      </c>
      <c r="G3477" s="7">
        <v>45998.10253585054</v>
      </c>
    </row>
    <row r="3478">
      <c r="A3478" s="3" t="s">
        <v>11185</v>
      </c>
      <c r="B3478" s="3" t="s">
        <v>544</v>
      </c>
      <c r="C3478" s="3" t="s">
        <v>56</v>
      </c>
      <c r="D3478" s="3" t="s">
        <v>68</v>
      </c>
      <c r="E3478" s="3" t="s">
        <v>100</v>
      </c>
      <c r="F3478" s="3" t="s">
        <v>1999</v>
      </c>
      <c r="G3478" s="7">
        <v>45998.173710695955</v>
      </c>
    </row>
    <row r="3479">
      <c r="A3479" s="3" t="s">
        <v>11188</v>
      </c>
      <c r="B3479" s="3" t="s">
        <v>546</v>
      </c>
      <c r="C3479" s="3" t="s">
        <v>56</v>
      </c>
      <c r="D3479" s="3" t="s">
        <v>68</v>
      </c>
      <c r="E3479" s="3" t="s">
        <v>100</v>
      </c>
      <c r="F3479" s="3" t="s">
        <v>2001</v>
      </c>
      <c r="G3479" s="7">
        <v>45998.244885541375</v>
      </c>
    </row>
    <row r="3480">
      <c r="A3480" s="3" t="s">
        <v>11191</v>
      </c>
      <c r="B3480" s="3" t="s">
        <v>419</v>
      </c>
      <c r="C3480" s="3" t="s">
        <v>1342</v>
      </c>
      <c r="D3480" s="3" t="s">
        <v>68</v>
      </c>
      <c r="E3480" s="3" t="s">
        <v>100</v>
      </c>
      <c r="F3480" s="3" t="s">
        <v>1937</v>
      </c>
      <c r="G3480" s="7">
        <v>45998.31606038679</v>
      </c>
    </row>
    <row r="3481">
      <c r="A3481" s="3" t="s">
        <v>11195</v>
      </c>
      <c r="B3481" s="3" t="s">
        <v>691</v>
      </c>
      <c r="C3481" s="3" t="s">
        <v>1342</v>
      </c>
      <c r="D3481" s="3" t="s">
        <v>68</v>
      </c>
      <c r="E3481" s="3" t="s">
        <v>100</v>
      </c>
      <c r="F3481" s="3" t="s">
        <v>1958</v>
      </c>
      <c r="G3481" s="7">
        <v>45998.3872352322</v>
      </c>
    </row>
    <row r="3482">
      <c r="A3482" s="3" t="s">
        <v>11199</v>
      </c>
      <c r="B3482" s="3" t="s">
        <v>344</v>
      </c>
      <c r="C3482" s="3" t="s">
        <v>1342</v>
      </c>
      <c r="D3482" s="3" t="s">
        <v>68</v>
      </c>
      <c r="E3482" s="3" t="s">
        <v>100</v>
      </c>
      <c r="F3482" s="3" t="s">
        <v>1373</v>
      </c>
      <c r="G3482" s="7">
        <v>45998.45841007762</v>
      </c>
    </row>
    <row r="3483">
      <c r="A3483" s="3" t="s">
        <v>11202</v>
      </c>
      <c r="B3483" s="3" t="s">
        <v>640</v>
      </c>
      <c r="C3483" s="3" t="s">
        <v>1342</v>
      </c>
      <c r="D3483" s="3" t="s">
        <v>68</v>
      </c>
      <c r="E3483" s="3" t="s">
        <v>100</v>
      </c>
      <c r="F3483" s="3" t="s">
        <v>1478</v>
      </c>
      <c r="G3483" s="7">
        <v>45998.52958492304</v>
      </c>
    </row>
    <row r="3484">
      <c r="A3484" s="3" t="s">
        <v>11204</v>
      </c>
      <c r="B3484" s="3" t="s">
        <v>860</v>
      </c>
      <c r="C3484" s="3" t="s">
        <v>1095</v>
      </c>
      <c r="D3484" s="3" t="s">
        <v>68</v>
      </c>
      <c r="E3484" s="3" t="s">
        <v>100</v>
      </c>
      <c r="F3484" s="3" t="s">
        <v>1302</v>
      </c>
      <c r="G3484" s="7">
        <v>45998.600759768444</v>
      </c>
    </row>
    <row r="3485">
      <c r="A3485" s="3" t="s">
        <v>11207</v>
      </c>
      <c r="B3485" s="3" t="s">
        <v>488</v>
      </c>
      <c r="C3485" s="3" t="s">
        <v>1095</v>
      </c>
      <c r="D3485" s="3" t="s">
        <v>68</v>
      </c>
      <c r="E3485" s="3" t="s">
        <v>100</v>
      </c>
      <c r="F3485" s="3" t="s">
        <v>1393</v>
      </c>
      <c r="G3485" s="7">
        <v>45998.67193461386</v>
      </c>
    </row>
    <row r="3486">
      <c r="A3486" s="3" t="s">
        <v>11210</v>
      </c>
      <c r="B3486" s="3" t="s">
        <v>496</v>
      </c>
      <c r="C3486" s="3" t="s">
        <v>1342</v>
      </c>
      <c r="D3486" s="3" t="s">
        <v>68</v>
      </c>
      <c r="E3486" s="3" t="s">
        <v>100</v>
      </c>
      <c r="F3486" s="3" t="s">
        <v>1713</v>
      </c>
      <c r="G3486" s="7">
        <v>45998.74310945928</v>
      </c>
    </row>
    <row r="3487">
      <c r="A3487" s="3" t="s">
        <v>11213</v>
      </c>
      <c r="B3487" s="3" t="s">
        <v>822</v>
      </c>
      <c r="C3487" s="3" t="s">
        <v>56</v>
      </c>
      <c r="D3487" s="3" t="s">
        <v>68</v>
      </c>
      <c r="E3487" s="3" t="s">
        <v>100</v>
      </c>
      <c r="F3487" s="3" t="s">
        <v>2004</v>
      </c>
      <c r="G3487" s="7">
        <v>45998.814284304695</v>
      </c>
    </row>
    <row r="3488">
      <c r="A3488" s="3" t="s">
        <v>11220</v>
      </c>
      <c r="B3488" s="3" t="s">
        <v>619</v>
      </c>
      <c r="C3488" s="3" t="s">
        <v>1342</v>
      </c>
      <c r="D3488" s="3" t="s">
        <v>68</v>
      </c>
      <c r="E3488" s="3" t="s">
        <v>100</v>
      </c>
      <c r="F3488" s="3" t="s">
        <v>1506</v>
      </c>
      <c r="G3488" s="7">
        <v>45998.88545915011</v>
      </c>
    </row>
    <row r="3489">
      <c r="A3489" s="3" t="s">
        <v>11223</v>
      </c>
      <c r="B3489" s="3" t="s">
        <v>789</v>
      </c>
      <c r="C3489" s="3" t="s">
        <v>56</v>
      </c>
      <c r="D3489" s="3" t="s">
        <v>68</v>
      </c>
      <c r="E3489" s="3" t="s">
        <v>100</v>
      </c>
      <c r="F3489" s="3" t="s">
        <v>2006</v>
      </c>
      <c r="G3489" s="7">
        <v>45998.95663399553</v>
      </c>
    </row>
    <row r="3490">
      <c r="A3490" s="3" t="s">
        <v>11227</v>
      </c>
      <c r="B3490" s="3" t="s">
        <v>990</v>
      </c>
      <c r="C3490" s="3" t="s">
        <v>56</v>
      </c>
      <c r="D3490" s="3" t="s">
        <v>195</v>
      </c>
      <c r="E3490" s="3" t="s">
        <v>45</v>
      </c>
      <c r="F3490" s="3" t="s">
        <v>45</v>
      </c>
      <c r="G3490" s="7">
        <v>45999.02780884094</v>
      </c>
    </row>
    <row r="3491">
      <c r="A3491" s="3" t="s">
        <v>11230</v>
      </c>
      <c r="B3491" s="3" t="s">
        <v>341</v>
      </c>
      <c r="C3491" s="3" t="s">
        <v>1342</v>
      </c>
      <c r="D3491" s="3" t="s">
        <v>68</v>
      </c>
      <c r="E3491" s="3" t="s">
        <v>100</v>
      </c>
      <c r="F3491" s="3" t="s">
        <v>1766</v>
      </c>
      <c r="G3491" s="7">
        <v>45999.09898368635</v>
      </c>
    </row>
    <row r="3492">
      <c r="A3492" s="3" t="s">
        <v>11234</v>
      </c>
      <c r="B3492" s="3" t="s">
        <v>934</v>
      </c>
      <c r="C3492" s="3" t="s">
        <v>1095</v>
      </c>
      <c r="D3492" s="3" t="s">
        <v>68</v>
      </c>
      <c r="E3492" s="3" t="s">
        <v>100</v>
      </c>
      <c r="F3492" s="3" t="s">
        <v>1790</v>
      </c>
      <c r="G3492" s="7">
        <v>45999.17015853177</v>
      </c>
    </row>
    <row r="3493">
      <c r="A3493" s="3" t="s">
        <v>11237</v>
      </c>
      <c r="B3493" s="3" t="s">
        <v>770</v>
      </c>
      <c r="C3493" s="3" t="s">
        <v>1095</v>
      </c>
      <c r="D3493" s="3" t="s">
        <v>68</v>
      </c>
      <c r="E3493" s="3" t="s">
        <v>100</v>
      </c>
      <c r="F3493" s="3" t="s">
        <v>1403</v>
      </c>
      <c r="G3493" s="7">
        <v>45999.24133337719</v>
      </c>
    </row>
    <row r="3494">
      <c r="A3494" s="3" t="s">
        <v>11240</v>
      </c>
      <c r="B3494" s="3" t="s">
        <v>598</v>
      </c>
      <c r="C3494" s="3" t="s">
        <v>56</v>
      </c>
      <c r="D3494" s="3" t="s">
        <v>68</v>
      </c>
      <c r="E3494" s="3" t="s">
        <v>100</v>
      </c>
      <c r="F3494" s="3" t="s">
        <v>2009</v>
      </c>
      <c r="G3494" s="7">
        <v>45999.312508222596</v>
      </c>
    </row>
    <row r="3495">
      <c r="A3495" s="3" t="s">
        <v>11243</v>
      </c>
      <c r="B3495" s="3" t="s">
        <v>685</v>
      </c>
      <c r="C3495" s="3" t="s">
        <v>56</v>
      </c>
      <c r="D3495" s="3" t="s">
        <v>68</v>
      </c>
      <c r="E3495" s="3" t="s">
        <v>100</v>
      </c>
      <c r="F3495" s="3" t="s">
        <v>2013</v>
      </c>
      <c r="G3495" s="7">
        <v>45999.383683068016</v>
      </c>
    </row>
    <row r="3496">
      <c r="A3496" s="3" t="s">
        <v>11247</v>
      </c>
      <c r="B3496" s="3" t="s">
        <v>414</v>
      </c>
      <c r="C3496" s="3" t="s">
        <v>1095</v>
      </c>
      <c r="D3496" s="3" t="s">
        <v>68</v>
      </c>
      <c r="E3496" s="3" t="s">
        <v>100</v>
      </c>
      <c r="F3496" s="3" t="s">
        <v>2077</v>
      </c>
      <c r="G3496" s="7">
        <v>45999.45485791343</v>
      </c>
    </row>
    <row r="3497">
      <c r="A3497" s="3" t="s">
        <v>11251</v>
      </c>
      <c r="B3497" s="3" t="s">
        <v>322</v>
      </c>
      <c r="C3497" s="3" t="s">
        <v>56</v>
      </c>
      <c r="D3497" s="3" t="s">
        <v>68</v>
      </c>
      <c r="E3497" s="3" t="s">
        <v>100</v>
      </c>
      <c r="F3497" s="3" t="s">
        <v>2018</v>
      </c>
      <c r="G3497" s="7">
        <v>45999.52603275885</v>
      </c>
    </row>
    <row r="3498">
      <c r="A3498" s="3" t="s">
        <v>11254</v>
      </c>
      <c r="B3498" s="3" t="s">
        <v>574</v>
      </c>
      <c r="C3498" s="3" t="s">
        <v>1342</v>
      </c>
      <c r="D3498" s="3" t="s">
        <v>68</v>
      </c>
      <c r="E3498" s="3" t="s">
        <v>100</v>
      </c>
      <c r="F3498" s="3" t="s">
        <v>1747</v>
      </c>
      <c r="G3498" s="7">
        <v>45999.59720760426</v>
      </c>
    </row>
    <row r="3499">
      <c r="A3499" s="3" t="s">
        <v>11256</v>
      </c>
      <c r="B3499" s="3" t="s">
        <v>419</v>
      </c>
      <c r="C3499" s="3" t="s">
        <v>1095</v>
      </c>
      <c r="D3499" s="3" t="s">
        <v>68</v>
      </c>
      <c r="E3499" s="3" t="s">
        <v>100</v>
      </c>
      <c r="F3499" s="3" t="s">
        <v>1937</v>
      </c>
      <c r="G3499" s="7">
        <v>45999.66838244968</v>
      </c>
    </row>
    <row r="3500">
      <c r="A3500" s="3" t="s">
        <v>11258</v>
      </c>
      <c r="B3500" s="3" t="s">
        <v>575</v>
      </c>
      <c r="C3500" s="3" t="s">
        <v>1095</v>
      </c>
      <c r="D3500" s="3" t="s">
        <v>68</v>
      </c>
      <c r="E3500" s="3" t="s">
        <v>100</v>
      </c>
      <c r="F3500" s="3" t="s">
        <v>1857</v>
      </c>
      <c r="G3500" s="7">
        <v>45999.739557295085</v>
      </c>
    </row>
    <row r="3501">
      <c r="A3501" s="3" t="s">
        <v>11261</v>
      </c>
      <c r="B3501" s="3" t="s">
        <v>151</v>
      </c>
      <c r="C3501" s="3" t="s">
        <v>1095</v>
      </c>
      <c r="D3501" s="3" t="s">
        <v>68</v>
      </c>
      <c r="E3501" s="3" t="s">
        <v>100</v>
      </c>
      <c r="F3501" s="3" t="s">
        <v>1605</v>
      </c>
      <c r="G3501" s="7">
        <v>45999.810732140504</v>
      </c>
    </row>
    <row r="3502">
      <c r="A3502" s="3" t="s">
        <v>11264</v>
      </c>
      <c r="B3502" s="3" t="s">
        <v>1021</v>
      </c>
      <c r="C3502" s="3" t="s">
        <v>1342</v>
      </c>
      <c r="D3502" s="3" t="s">
        <v>68</v>
      </c>
      <c r="E3502" s="3" t="s">
        <v>100</v>
      </c>
      <c r="F3502" s="3" t="s">
        <v>1671</v>
      </c>
      <c r="G3502" s="7">
        <v>45999.881906985924</v>
      </c>
    </row>
    <row r="3503">
      <c r="A3503" s="3" t="s">
        <v>11267</v>
      </c>
      <c r="B3503" s="3" t="s">
        <v>789</v>
      </c>
      <c r="C3503" s="3" t="s">
        <v>1342</v>
      </c>
      <c r="D3503" s="3" t="s">
        <v>68</v>
      </c>
      <c r="E3503" s="3" t="s">
        <v>100</v>
      </c>
      <c r="F3503" s="3" t="s">
        <v>2006</v>
      </c>
      <c r="G3503" s="7">
        <v>45999.953081831336</v>
      </c>
    </row>
    <row r="3504">
      <c r="A3504" s="3" t="s">
        <v>11270</v>
      </c>
      <c r="B3504" s="3" t="s">
        <v>742</v>
      </c>
      <c r="C3504" s="3" t="s">
        <v>1342</v>
      </c>
      <c r="D3504" s="3" t="s">
        <v>68</v>
      </c>
      <c r="E3504" s="3" t="s">
        <v>100</v>
      </c>
      <c r="F3504" s="3" t="s">
        <v>1268</v>
      </c>
      <c r="G3504" s="7">
        <v>46000.02425667675</v>
      </c>
    </row>
    <row r="3505">
      <c r="A3505" s="3" t="s">
        <v>11274</v>
      </c>
      <c r="B3505" s="3" t="s">
        <v>926</v>
      </c>
      <c r="C3505" s="3" t="s">
        <v>1342</v>
      </c>
      <c r="D3505" s="3" t="s">
        <v>68</v>
      </c>
      <c r="E3505" s="3" t="s">
        <v>100</v>
      </c>
      <c r="F3505" s="3" t="s">
        <v>1750</v>
      </c>
      <c r="G3505" s="7">
        <v>46000.09543152217</v>
      </c>
    </row>
    <row r="3506">
      <c r="A3506" s="3" t="s">
        <v>11278</v>
      </c>
      <c r="B3506" s="3" t="s">
        <v>972</v>
      </c>
      <c r="C3506" s="3" t="s">
        <v>1342</v>
      </c>
      <c r="D3506" s="3" t="s">
        <v>68</v>
      </c>
      <c r="E3506" s="3" t="s">
        <v>100</v>
      </c>
      <c r="F3506" s="3" t="s">
        <v>1366</v>
      </c>
      <c r="G3506" s="7">
        <v>46000.16660636758</v>
      </c>
    </row>
    <row r="3507">
      <c r="A3507" s="3" t="s">
        <v>11281</v>
      </c>
      <c r="B3507" s="3" t="s">
        <v>253</v>
      </c>
      <c r="C3507" s="3" t="s">
        <v>56</v>
      </c>
      <c r="D3507" s="3" t="s">
        <v>68</v>
      </c>
      <c r="E3507" s="3" t="s">
        <v>100</v>
      </c>
      <c r="F3507" s="3" t="s">
        <v>2020</v>
      </c>
      <c r="G3507" s="7">
        <v>46000.23778121299</v>
      </c>
    </row>
    <row r="3508">
      <c r="A3508" s="3" t="s">
        <v>11285</v>
      </c>
      <c r="B3508" s="3" t="s">
        <v>135</v>
      </c>
      <c r="C3508" s="3" t="s">
        <v>56</v>
      </c>
      <c r="D3508" s="3" t="s">
        <v>68</v>
      </c>
      <c r="E3508" s="3" t="s">
        <v>100</v>
      </c>
      <c r="F3508" s="3" t="s">
        <v>2021</v>
      </c>
      <c r="G3508" s="7">
        <v>46000.30895605841</v>
      </c>
    </row>
    <row r="3509">
      <c r="A3509" s="3" t="s">
        <v>11288</v>
      </c>
      <c r="B3509" s="3" t="s">
        <v>515</v>
      </c>
      <c r="C3509" s="3" t="s">
        <v>1342</v>
      </c>
      <c r="D3509" s="3" t="s">
        <v>68</v>
      </c>
      <c r="E3509" s="3" t="s">
        <v>100</v>
      </c>
      <c r="F3509" s="3" t="s">
        <v>1963</v>
      </c>
      <c r="G3509" s="7">
        <v>46000.38013090383</v>
      </c>
    </row>
    <row r="3510">
      <c r="A3510" s="3" t="s">
        <v>11292</v>
      </c>
      <c r="B3510" s="3" t="s">
        <v>287</v>
      </c>
      <c r="C3510" s="3" t="s">
        <v>56</v>
      </c>
      <c r="D3510" s="3" t="s">
        <v>68</v>
      </c>
      <c r="E3510" s="3" t="s">
        <v>100</v>
      </c>
      <c r="F3510" s="3" t="s">
        <v>2023</v>
      </c>
      <c r="G3510" s="7">
        <v>46000.45130574924</v>
      </c>
    </row>
    <row r="3511">
      <c r="A3511" s="3" t="s">
        <v>11295</v>
      </c>
      <c r="B3511" s="3" t="s">
        <v>990</v>
      </c>
      <c r="C3511" s="3" t="s">
        <v>56</v>
      </c>
      <c r="D3511" s="3" t="s">
        <v>68</v>
      </c>
      <c r="E3511" s="3" t="s">
        <v>100</v>
      </c>
      <c r="F3511" s="3" t="s">
        <v>2024</v>
      </c>
      <c r="G3511" s="7">
        <v>46000.52248059466</v>
      </c>
    </row>
    <row r="3512">
      <c r="A3512" s="3" t="s">
        <v>11298</v>
      </c>
      <c r="B3512" s="3" t="s">
        <v>512</v>
      </c>
      <c r="C3512" s="3" t="s">
        <v>56</v>
      </c>
      <c r="D3512" s="3" t="s">
        <v>68</v>
      </c>
      <c r="E3512" s="3" t="s">
        <v>100</v>
      </c>
      <c r="F3512" s="3" t="s">
        <v>2025</v>
      </c>
      <c r="G3512" s="7">
        <v>46000.593655440076</v>
      </c>
    </row>
    <row r="3513">
      <c r="A3513" s="3" t="s">
        <v>11301</v>
      </c>
      <c r="B3513" s="3" t="s">
        <v>547</v>
      </c>
      <c r="C3513" s="3" t="s">
        <v>1342</v>
      </c>
      <c r="D3513" s="3" t="s">
        <v>68</v>
      </c>
      <c r="E3513" s="3" t="s">
        <v>100</v>
      </c>
      <c r="F3513" s="3" t="s">
        <v>1171</v>
      </c>
      <c r="G3513" s="7">
        <v>46000.66483028549</v>
      </c>
    </row>
    <row r="3514">
      <c r="A3514" s="3" t="s">
        <v>11305</v>
      </c>
      <c r="B3514" s="3" t="s">
        <v>619</v>
      </c>
      <c r="C3514" s="3" t="s">
        <v>1095</v>
      </c>
      <c r="D3514" s="3" t="s">
        <v>68</v>
      </c>
      <c r="E3514" s="3" t="s">
        <v>100</v>
      </c>
      <c r="F3514" s="3" t="s">
        <v>1506</v>
      </c>
      <c r="G3514" s="7">
        <v>46000.7360051309</v>
      </c>
    </row>
    <row r="3515">
      <c r="A3515" s="3" t="s">
        <v>11309</v>
      </c>
      <c r="B3515" s="3" t="s">
        <v>640</v>
      </c>
      <c r="C3515" s="3" t="s">
        <v>1095</v>
      </c>
      <c r="D3515" s="3" t="s">
        <v>68</v>
      </c>
      <c r="E3515" s="3" t="s">
        <v>100</v>
      </c>
      <c r="F3515" s="3" t="s">
        <v>1478</v>
      </c>
      <c r="G3515" s="7">
        <v>46000.80717997632</v>
      </c>
    </row>
    <row r="3516">
      <c r="A3516" s="3" t="s">
        <v>11312</v>
      </c>
      <c r="B3516" s="3" t="s">
        <v>272</v>
      </c>
      <c r="C3516" s="3" t="s">
        <v>1342</v>
      </c>
      <c r="D3516" s="3" t="s">
        <v>68</v>
      </c>
      <c r="E3516" s="3" t="s">
        <v>100</v>
      </c>
      <c r="F3516" s="3" t="s">
        <v>923</v>
      </c>
      <c r="G3516" s="7">
        <v>46000.87835482173</v>
      </c>
    </row>
    <row r="3517">
      <c r="A3517" s="3" t="s">
        <v>11315</v>
      </c>
      <c r="B3517" s="3" t="s">
        <v>943</v>
      </c>
      <c r="C3517" s="3" t="s">
        <v>1342</v>
      </c>
      <c r="D3517" s="3" t="s">
        <v>68</v>
      </c>
      <c r="E3517" s="3" t="s">
        <v>100</v>
      </c>
      <c r="F3517" s="3" t="s">
        <v>1446</v>
      </c>
      <c r="G3517" s="7">
        <v>46000.949529667145</v>
      </c>
    </row>
    <row r="3518">
      <c r="A3518" s="3" t="s">
        <v>11318</v>
      </c>
      <c r="B3518" s="3" t="s">
        <v>886</v>
      </c>
      <c r="C3518" s="3" t="s">
        <v>1342</v>
      </c>
      <c r="D3518" s="3" t="s">
        <v>68</v>
      </c>
      <c r="E3518" s="3" t="s">
        <v>100</v>
      </c>
      <c r="F3518" s="3" t="s">
        <v>1863</v>
      </c>
      <c r="G3518" s="7">
        <v>46001.020704512564</v>
      </c>
    </row>
    <row r="3519">
      <c r="A3519" s="3" t="s">
        <v>11322</v>
      </c>
      <c r="B3519" s="3" t="s">
        <v>691</v>
      </c>
      <c r="C3519" s="3" t="s">
        <v>1095</v>
      </c>
      <c r="D3519" s="3" t="s">
        <v>68</v>
      </c>
      <c r="E3519" s="3" t="s">
        <v>100</v>
      </c>
      <c r="F3519" s="3" t="s">
        <v>1958</v>
      </c>
      <c r="G3519" s="7">
        <v>46001.09187935798</v>
      </c>
    </row>
    <row r="3520">
      <c r="A3520" s="3" t="s">
        <v>11326</v>
      </c>
      <c r="B3520" s="3" t="s">
        <v>219</v>
      </c>
      <c r="C3520" s="3" t="s">
        <v>1095</v>
      </c>
      <c r="D3520" s="3" t="s">
        <v>68</v>
      </c>
      <c r="E3520" s="3" t="s">
        <v>100</v>
      </c>
      <c r="F3520" s="3" t="s">
        <v>1989</v>
      </c>
      <c r="G3520" s="7">
        <v>46001.16305420339</v>
      </c>
    </row>
    <row r="3521">
      <c r="A3521" s="3" t="s">
        <v>11329</v>
      </c>
      <c r="B3521" s="3" t="s">
        <v>870</v>
      </c>
      <c r="C3521" s="3" t="s">
        <v>1342</v>
      </c>
      <c r="D3521" s="3" t="s">
        <v>68</v>
      </c>
      <c r="E3521" s="3" t="s">
        <v>100</v>
      </c>
      <c r="F3521" s="3" t="s">
        <v>1586</v>
      </c>
      <c r="G3521" s="7">
        <v>46001.23422904881</v>
      </c>
    </row>
    <row r="3522">
      <c r="A3522" s="3" t="s">
        <v>11332</v>
      </c>
      <c r="B3522" s="3" t="s">
        <v>965</v>
      </c>
      <c r="C3522" s="3" t="s">
        <v>56</v>
      </c>
      <c r="D3522" s="3" t="s">
        <v>68</v>
      </c>
      <c r="E3522" s="3" t="s">
        <v>100</v>
      </c>
      <c r="F3522" s="3" t="s">
        <v>2028</v>
      </c>
      <c r="G3522" s="7">
        <v>46001.30540389422</v>
      </c>
    </row>
    <row r="3523">
      <c r="A3523" s="3" t="s">
        <v>11335</v>
      </c>
      <c r="B3523" s="3" t="s">
        <v>734</v>
      </c>
      <c r="C3523" s="3" t="s">
        <v>56</v>
      </c>
      <c r="D3523" s="3" t="s">
        <v>68</v>
      </c>
      <c r="E3523" s="3" t="s">
        <v>100</v>
      </c>
      <c r="F3523" s="3" t="s">
        <v>2030</v>
      </c>
      <c r="G3523" s="7">
        <v>46001.37657873963</v>
      </c>
    </row>
    <row r="3524">
      <c r="A3524" s="3" t="s">
        <v>11338</v>
      </c>
      <c r="B3524" s="3" t="s">
        <v>767</v>
      </c>
      <c r="C3524" s="3" t="s">
        <v>1342</v>
      </c>
      <c r="D3524" s="3" t="s">
        <v>68</v>
      </c>
      <c r="E3524" s="3" t="s">
        <v>100</v>
      </c>
      <c r="F3524" s="3" t="s">
        <v>1728</v>
      </c>
      <c r="G3524" s="7">
        <v>46001.44775358505</v>
      </c>
    </row>
    <row r="3525">
      <c r="A3525" s="3" t="s">
        <v>11341</v>
      </c>
      <c r="B3525" s="3" t="s">
        <v>593</v>
      </c>
      <c r="C3525" s="3" t="s">
        <v>56</v>
      </c>
      <c r="D3525" s="3" t="s">
        <v>68</v>
      </c>
      <c r="E3525" s="3" t="s">
        <v>100</v>
      </c>
      <c r="F3525" s="3" t="s">
        <v>2032</v>
      </c>
      <c r="G3525" s="7">
        <v>46001.51892843047</v>
      </c>
    </row>
    <row r="3526">
      <c r="A3526" s="3" t="s">
        <v>11343</v>
      </c>
      <c r="B3526" s="3" t="s">
        <v>908</v>
      </c>
      <c r="C3526" s="3" t="s">
        <v>56</v>
      </c>
      <c r="D3526" s="3" t="s">
        <v>68</v>
      </c>
      <c r="E3526" s="3" t="s">
        <v>100</v>
      </c>
      <c r="F3526" s="3" t="s">
        <v>2037</v>
      </c>
      <c r="G3526" s="7">
        <v>46001.59010327588</v>
      </c>
    </row>
    <row r="3527">
      <c r="A3527" s="3" t="s">
        <v>11347</v>
      </c>
      <c r="B3527" s="3" t="s">
        <v>698</v>
      </c>
      <c r="C3527" s="3" t="s">
        <v>56</v>
      </c>
      <c r="D3527" s="3" t="s">
        <v>68</v>
      </c>
      <c r="E3527" s="3" t="s">
        <v>100</v>
      </c>
      <c r="F3527" s="3" t="s">
        <v>2039</v>
      </c>
      <c r="G3527" s="7">
        <v>46001.6612781213</v>
      </c>
    </row>
    <row r="3528">
      <c r="A3528" s="3" t="s">
        <v>11350</v>
      </c>
      <c r="B3528" s="3" t="s">
        <v>183</v>
      </c>
      <c r="C3528" s="3" t="s">
        <v>1342</v>
      </c>
      <c r="D3528" s="3" t="s">
        <v>68</v>
      </c>
      <c r="E3528" s="3" t="s">
        <v>100</v>
      </c>
      <c r="F3528" s="3" t="s">
        <v>1842</v>
      </c>
      <c r="G3528" s="7">
        <v>46001.73245296672</v>
      </c>
    </row>
    <row r="3529">
      <c r="A3529" s="3" t="s">
        <v>11352</v>
      </c>
      <c r="B3529" s="3" t="s">
        <v>708</v>
      </c>
      <c r="C3529" s="3" t="s">
        <v>56</v>
      </c>
      <c r="D3529" s="3" t="s">
        <v>68</v>
      </c>
      <c r="E3529" s="3" t="s">
        <v>100</v>
      </c>
      <c r="F3529" s="3" t="s">
        <v>2041</v>
      </c>
      <c r="G3529" s="7">
        <v>46001.80362781213</v>
      </c>
    </row>
    <row r="3530">
      <c r="A3530" s="3" t="s">
        <v>11356</v>
      </c>
      <c r="B3530" s="3" t="s">
        <v>922</v>
      </c>
      <c r="C3530" s="3" t="s">
        <v>56</v>
      </c>
      <c r="D3530" s="3" t="s">
        <v>68</v>
      </c>
      <c r="E3530" s="3" t="s">
        <v>100</v>
      </c>
      <c r="F3530" s="3" t="s">
        <v>2044</v>
      </c>
      <c r="G3530" s="7">
        <v>46001.87480265754</v>
      </c>
    </row>
    <row r="3531">
      <c r="A3531" s="3" t="s">
        <v>11360</v>
      </c>
      <c r="B3531" s="3" t="s">
        <v>253</v>
      </c>
      <c r="C3531" s="3" t="s">
        <v>1342</v>
      </c>
      <c r="D3531" s="3" t="s">
        <v>68</v>
      </c>
      <c r="E3531" s="3" t="s">
        <v>100</v>
      </c>
      <c r="F3531" s="3" t="s">
        <v>2020</v>
      </c>
      <c r="G3531" s="7">
        <v>46001.94597750296</v>
      </c>
    </row>
    <row r="3532">
      <c r="A3532" s="3" t="s">
        <v>11363</v>
      </c>
      <c r="B3532" s="3" t="s">
        <v>193</v>
      </c>
      <c r="C3532" s="3" t="s">
        <v>1342</v>
      </c>
      <c r="D3532" s="3" t="s">
        <v>195</v>
      </c>
      <c r="E3532" s="3" t="s">
        <v>45</v>
      </c>
      <c r="F3532" s="3" t="s">
        <v>1416</v>
      </c>
      <c r="G3532" s="7">
        <v>46002.01715234837</v>
      </c>
    </row>
    <row r="3533">
      <c r="A3533" s="3" t="s">
        <v>11366</v>
      </c>
      <c r="B3533" s="3" t="s">
        <v>449</v>
      </c>
      <c r="C3533" s="3" t="s">
        <v>1095</v>
      </c>
      <c r="D3533" s="3" t="s">
        <v>68</v>
      </c>
      <c r="E3533" s="3" t="s">
        <v>100</v>
      </c>
      <c r="F3533" s="3" t="s">
        <v>1780</v>
      </c>
      <c r="G3533" s="7">
        <v>46002.088327193786</v>
      </c>
    </row>
    <row r="3534">
      <c r="A3534" s="3" t="s">
        <v>11369</v>
      </c>
      <c r="B3534" s="3" t="s">
        <v>557</v>
      </c>
      <c r="C3534" s="3" t="s">
        <v>1095</v>
      </c>
      <c r="D3534" s="3" t="s">
        <v>181</v>
      </c>
      <c r="E3534" s="3" t="s">
        <v>45</v>
      </c>
      <c r="F3534" s="3" t="s">
        <v>1681</v>
      </c>
      <c r="G3534" s="7">
        <v>46002.159502039205</v>
      </c>
    </row>
    <row r="3535">
      <c r="A3535" s="3" t="s">
        <v>11372</v>
      </c>
      <c r="B3535" s="3" t="s">
        <v>990</v>
      </c>
      <c r="C3535" s="3" t="s">
        <v>1095</v>
      </c>
      <c r="D3535" s="3" t="s">
        <v>195</v>
      </c>
      <c r="E3535" s="3" t="s">
        <v>45</v>
      </c>
      <c r="F3535" s="3" t="s">
        <v>2024</v>
      </c>
      <c r="G3535" s="7">
        <v>46002.23067688462</v>
      </c>
    </row>
    <row r="3536">
      <c r="A3536" s="3" t="s">
        <v>11375</v>
      </c>
      <c r="B3536" s="3" t="s">
        <v>805</v>
      </c>
      <c r="C3536" s="3" t="s">
        <v>1095</v>
      </c>
      <c r="D3536" s="3" t="s">
        <v>195</v>
      </c>
      <c r="E3536" s="3" t="s">
        <v>45</v>
      </c>
      <c r="F3536" s="3" t="s">
        <v>1956</v>
      </c>
      <c r="G3536" s="7">
        <v>46002.30185173003</v>
      </c>
    </row>
    <row r="3537">
      <c r="A3537" s="3" t="s">
        <v>11379</v>
      </c>
      <c r="B3537" s="3" t="s">
        <v>816</v>
      </c>
      <c r="C3537" s="3" t="s">
        <v>1342</v>
      </c>
      <c r="D3537" s="3" t="s">
        <v>68</v>
      </c>
      <c r="E3537" s="3" t="s">
        <v>100</v>
      </c>
      <c r="F3537" s="3" t="s">
        <v>1932</v>
      </c>
      <c r="G3537" s="7">
        <v>46002.37302657545</v>
      </c>
    </row>
    <row r="3538">
      <c r="A3538" s="3" t="s">
        <v>11383</v>
      </c>
      <c r="B3538" s="3" t="s">
        <v>591</v>
      </c>
      <c r="C3538" s="3" t="s">
        <v>1342</v>
      </c>
      <c r="D3538" s="3" t="s">
        <v>68</v>
      </c>
      <c r="E3538" s="3" t="s">
        <v>100</v>
      </c>
      <c r="F3538" s="3" t="s">
        <v>1687</v>
      </c>
      <c r="G3538" s="7">
        <v>46002.44420142086</v>
      </c>
    </row>
    <row r="3539">
      <c r="A3539" s="3" t="s">
        <v>11385</v>
      </c>
      <c r="B3539" s="3" t="s">
        <v>424</v>
      </c>
      <c r="C3539" s="3" t="s">
        <v>1342</v>
      </c>
      <c r="D3539" s="3" t="s">
        <v>68</v>
      </c>
      <c r="E3539" s="3" t="s">
        <v>100</v>
      </c>
      <c r="F3539" s="3" t="s">
        <v>1346</v>
      </c>
      <c r="G3539" s="7">
        <v>46002.515376266274</v>
      </c>
    </row>
    <row r="3540">
      <c r="A3540" s="3" t="s">
        <v>11387</v>
      </c>
      <c r="B3540" s="3" t="s">
        <v>186</v>
      </c>
      <c r="C3540" s="3" t="s">
        <v>1342</v>
      </c>
      <c r="D3540" s="3" t="s">
        <v>68</v>
      </c>
      <c r="E3540" s="3" t="s">
        <v>100</v>
      </c>
      <c r="F3540" s="3" t="s">
        <v>1475</v>
      </c>
      <c r="G3540" s="7">
        <v>46002.58655111169</v>
      </c>
    </row>
    <row r="3541">
      <c r="A3541" s="3" t="s">
        <v>11389</v>
      </c>
      <c r="B3541" s="3" t="s">
        <v>510</v>
      </c>
      <c r="C3541" s="3" t="s">
        <v>1342</v>
      </c>
      <c r="D3541" s="3" t="s">
        <v>68</v>
      </c>
      <c r="E3541" s="3" t="s">
        <v>100</v>
      </c>
      <c r="F3541" s="3" t="s">
        <v>1650</v>
      </c>
      <c r="G3541" s="7">
        <v>46002.65772595711</v>
      </c>
    </row>
    <row r="3542">
      <c r="A3542" s="3" t="s">
        <v>11391</v>
      </c>
      <c r="B3542" s="3" t="s">
        <v>579</v>
      </c>
      <c r="C3542" s="3" t="s">
        <v>56</v>
      </c>
      <c r="D3542" s="3" t="s">
        <v>68</v>
      </c>
      <c r="E3542" s="3" t="s">
        <v>100</v>
      </c>
      <c r="F3542" s="3" t="s">
        <v>2047</v>
      </c>
      <c r="G3542" s="7">
        <v>46002.72890080252</v>
      </c>
    </row>
    <row r="3543">
      <c r="A3543" s="3" t="s">
        <v>11395</v>
      </c>
      <c r="B3543" s="3" t="s">
        <v>778</v>
      </c>
      <c r="C3543" s="3" t="s">
        <v>1342</v>
      </c>
      <c r="D3543" s="3" t="s">
        <v>68</v>
      </c>
      <c r="E3543" s="3" t="s">
        <v>100</v>
      </c>
      <c r="F3543" s="3" t="s">
        <v>1575</v>
      </c>
      <c r="G3543" s="7">
        <v>46002.80007564794</v>
      </c>
    </row>
    <row r="3544">
      <c r="A3544" s="3" t="s">
        <v>11399</v>
      </c>
      <c r="B3544" s="3" t="s">
        <v>333</v>
      </c>
      <c r="C3544" s="3" t="s">
        <v>56</v>
      </c>
      <c r="D3544" s="3" t="s">
        <v>68</v>
      </c>
      <c r="E3544" s="3" t="s">
        <v>100</v>
      </c>
      <c r="F3544" s="3" t="s">
        <v>2050</v>
      </c>
      <c r="G3544" s="7">
        <v>46002.87125049336</v>
      </c>
    </row>
    <row r="3545">
      <c r="A3545" s="3" t="s">
        <v>11401</v>
      </c>
      <c r="B3545" s="3" t="s">
        <v>233</v>
      </c>
      <c r="C3545" s="3" t="s">
        <v>1342</v>
      </c>
      <c r="D3545" s="3" t="s">
        <v>68</v>
      </c>
      <c r="E3545" s="3" t="s">
        <v>100</v>
      </c>
      <c r="F3545" s="3" t="s">
        <v>1606</v>
      </c>
      <c r="G3545" s="7">
        <v>46002.94242533877</v>
      </c>
    </row>
    <row r="3546">
      <c r="A3546" s="3" t="s">
        <v>11403</v>
      </c>
      <c r="B3546" s="3" t="s">
        <v>498</v>
      </c>
      <c r="C3546" s="3" t="s">
        <v>1095</v>
      </c>
      <c r="D3546" s="3" t="s">
        <v>68</v>
      </c>
      <c r="E3546" s="3" t="s">
        <v>100</v>
      </c>
      <c r="F3546" s="3" t="s">
        <v>1969</v>
      </c>
      <c r="G3546" s="7">
        <v>46003.01360018418</v>
      </c>
    </row>
    <row r="3547">
      <c r="A3547" s="3" t="s">
        <v>11406</v>
      </c>
      <c r="B3547" s="3" t="s">
        <v>519</v>
      </c>
      <c r="C3547" s="3" t="s">
        <v>1095</v>
      </c>
      <c r="D3547" s="3" t="s">
        <v>68</v>
      </c>
      <c r="E3547" s="3" t="s">
        <v>100</v>
      </c>
      <c r="F3547" s="3" t="s">
        <v>1850</v>
      </c>
      <c r="G3547" s="7">
        <v>46003.0847750296</v>
      </c>
    </row>
    <row r="3548">
      <c r="A3548" s="3" t="s">
        <v>11409</v>
      </c>
      <c r="B3548" s="3" t="s">
        <v>398</v>
      </c>
      <c r="C3548" s="3" t="s">
        <v>1095</v>
      </c>
      <c r="D3548" s="3" t="s">
        <v>68</v>
      </c>
      <c r="E3548" s="3" t="s">
        <v>100</v>
      </c>
      <c r="F3548" s="3" t="s">
        <v>1395</v>
      </c>
      <c r="G3548" s="7">
        <v>46003.155949875014</v>
      </c>
    </row>
    <row r="3549">
      <c r="A3549" s="3" t="s">
        <v>11412</v>
      </c>
      <c r="B3549" s="3" t="s">
        <v>348</v>
      </c>
      <c r="C3549" s="3" t="s">
        <v>1095</v>
      </c>
      <c r="D3549" s="3" t="s">
        <v>181</v>
      </c>
      <c r="E3549" s="3" t="s">
        <v>45</v>
      </c>
      <c r="F3549" s="3" t="s">
        <v>1946</v>
      </c>
      <c r="G3549" s="7">
        <v>46003.227124720426</v>
      </c>
    </row>
    <row r="3550">
      <c r="A3550" s="3" t="s">
        <v>11415</v>
      </c>
      <c r="B3550" s="3" t="s">
        <v>230</v>
      </c>
      <c r="C3550" s="3" t="s">
        <v>1095</v>
      </c>
      <c r="D3550" s="3" t="s">
        <v>68</v>
      </c>
      <c r="E3550" s="3" t="s">
        <v>100</v>
      </c>
      <c r="F3550" s="3" t="s">
        <v>1647</v>
      </c>
      <c r="G3550" s="7">
        <v>46003.298299565846</v>
      </c>
    </row>
    <row r="3551">
      <c r="A3551" s="3" t="s">
        <v>11417</v>
      </c>
      <c r="B3551" s="3" t="s">
        <v>756</v>
      </c>
      <c r="C3551" s="3" t="s">
        <v>1095</v>
      </c>
      <c r="D3551" s="3" t="s">
        <v>68</v>
      </c>
      <c r="E3551" s="3" t="s">
        <v>100</v>
      </c>
      <c r="F3551" s="3" t="s">
        <v>2034</v>
      </c>
      <c r="G3551" s="7">
        <v>46003.36947441126</v>
      </c>
    </row>
    <row r="3552">
      <c r="A3552" s="3" t="s">
        <v>11420</v>
      </c>
      <c r="B3552" s="3" t="s">
        <v>830</v>
      </c>
      <c r="C3552" s="3" t="s">
        <v>1342</v>
      </c>
      <c r="D3552" s="3" t="s">
        <v>68</v>
      </c>
      <c r="E3552" s="3" t="s">
        <v>100</v>
      </c>
      <c r="F3552" s="3" t="s">
        <v>1553</v>
      </c>
      <c r="G3552" s="7">
        <v>46003.44064925667</v>
      </c>
    </row>
    <row r="3553">
      <c r="A3553" s="3" t="s">
        <v>11422</v>
      </c>
      <c r="B3553" s="3" t="s">
        <v>559</v>
      </c>
      <c r="C3553" s="3" t="s">
        <v>1342</v>
      </c>
      <c r="D3553" s="3" t="s">
        <v>181</v>
      </c>
      <c r="E3553" s="3" t="s">
        <v>45</v>
      </c>
      <c r="F3553" s="3" t="s">
        <v>1629</v>
      </c>
      <c r="G3553" s="7">
        <v>46003.51182410209</v>
      </c>
    </row>
    <row r="3554">
      <c r="A3554" s="3" t="s">
        <v>11425</v>
      </c>
      <c r="B3554" s="3" t="s">
        <v>672</v>
      </c>
      <c r="C3554" s="3" t="s">
        <v>1095</v>
      </c>
      <c r="D3554" s="3" t="s">
        <v>68</v>
      </c>
      <c r="E3554" s="3" t="s">
        <v>100</v>
      </c>
      <c r="F3554" s="3" t="s">
        <v>1722</v>
      </c>
      <c r="G3554" s="7">
        <v>46003.58299894751</v>
      </c>
    </row>
    <row r="3555">
      <c r="A3555" s="3" t="s">
        <v>11428</v>
      </c>
      <c r="B3555" s="3" t="s">
        <v>296</v>
      </c>
      <c r="C3555" s="3" t="s">
        <v>56</v>
      </c>
      <c r="D3555" s="3" t="s">
        <v>68</v>
      </c>
      <c r="E3555" s="3" t="s">
        <v>100</v>
      </c>
      <c r="F3555" s="3" t="s">
        <v>2052</v>
      </c>
      <c r="G3555" s="7">
        <v>46003.654173792915</v>
      </c>
    </row>
    <row r="3556">
      <c r="A3556" s="3" t="s">
        <v>11431</v>
      </c>
      <c r="B3556" s="3" t="s">
        <v>293</v>
      </c>
      <c r="C3556" s="3" t="s">
        <v>1342</v>
      </c>
      <c r="D3556" s="3" t="s">
        <v>68</v>
      </c>
      <c r="E3556" s="3" t="s">
        <v>100</v>
      </c>
      <c r="F3556" s="3" t="s">
        <v>1943</v>
      </c>
      <c r="G3556" s="7">
        <v>46003.725348638334</v>
      </c>
    </row>
    <row r="3557">
      <c r="A3557" s="3" t="s">
        <v>11434</v>
      </c>
      <c r="B3557" s="3" t="s">
        <v>605</v>
      </c>
      <c r="C3557" s="3" t="s">
        <v>1095</v>
      </c>
      <c r="D3557" s="3" t="s">
        <v>68</v>
      </c>
      <c r="E3557" s="3" t="s">
        <v>100</v>
      </c>
      <c r="F3557" s="3" t="s">
        <v>1699</v>
      </c>
      <c r="G3557" s="7">
        <v>46003.796523483754</v>
      </c>
    </row>
    <row r="3558">
      <c r="A3558" s="3" t="s">
        <v>11438</v>
      </c>
      <c r="B3558" s="3" t="s">
        <v>658</v>
      </c>
      <c r="C3558" s="3" t="s">
        <v>56</v>
      </c>
      <c r="D3558" s="3" t="s">
        <v>68</v>
      </c>
      <c r="E3558" s="3" t="s">
        <v>100</v>
      </c>
      <c r="F3558" s="3" t="s">
        <v>2056</v>
      </c>
      <c r="G3558" s="7">
        <v>46003.867698329166</v>
      </c>
    </row>
    <row r="3559">
      <c r="A3559" s="3" t="s">
        <v>11442</v>
      </c>
      <c r="B3559" s="3" t="s">
        <v>204</v>
      </c>
      <c r="C3559" s="3" t="s">
        <v>56</v>
      </c>
      <c r="D3559" s="3" t="s">
        <v>68</v>
      </c>
      <c r="E3559" s="3" t="s">
        <v>100</v>
      </c>
      <c r="F3559" s="3" t="s">
        <v>2059</v>
      </c>
      <c r="G3559" s="7">
        <v>46003.93887317458</v>
      </c>
    </row>
    <row r="3560">
      <c r="A3560" s="3" t="s">
        <v>11445</v>
      </c>
      <c r="B3560" s="3" t="s">
        <v>870</v>
      </c>
      <c r="C3560" s="3" t="s">
        <v>1342</v>
      </c>
      <c r="D3560" s="3" t="s">
        <v>195</v>
      </c>
      <c r="E3560" s="3" t="s">
        <v>45</v>
      </c>
      <c r="F3560" s="3" t="s">
        <v>1586</v>
      </c>
      <c r="G3560" s="7">
        <v>46004.01004802</v>
      </c>
    </row>
    <row r="3561">
      <c r="A3561" s="3" t="s">
        <v>11447</v>
      </c>
      <c r="B3561" s="3" t="s">
        <v>669</v>
      </c>
      <c r="C3561" s="3" t="s">
        <v>1095</v>
      </c>
      <c r="D3561" s="3" t="s">
        <v>68</v>
      </c>
      <c r="E3561" s="3" t="s">
        <v>100</v>
      </c>
      <c r="F3561" s="3" t="s">
        <v>815</v>
      </c>
      <c r="G3561" s="7">
        <v>46004.08122286541</v>
      </c>
    </row>
    <row r="3562">
      <c r="A3562" s="3" t="s">
        <v>11450</v>
      </c>
      <c r="B3562" s="3" t="s">
        <v>436</v>
      </c>
      <c r="C3562" s="3" t="s">
        <v>1342</v>
      </c>
      <c r="D3562" s="3" t="s">
        <v>68</v>
      </c>
      <c r="E3562" s="3" t="s">
        <v>100</v>
      </c>
      <c r="F3562" s="3" t="s">
        <v>1138</v>
      </c>
      <c r="G3562" s="7">
        <v>46004.15239771082</v>
      </c>
    </row>
    <row r="3563">
      <c r="A3563" s="3" t="s">
        <v>11452</v>
      </c>
      <c r="B3563" s="3" t="s">
        <v>658</v>
      </c>
      <c r="C3563" s="3" t="s">
        <v>1342</v>
      </c>
      <c r="D3563" s="3" t="s">
        <v>195</v>
      </c>
      <c r="E3563" s="3" t="s">
        <v>45</v>
      </c>
      <c r="F3563" s="3" t="s">
        <v>2056</v>
      </c>
      <c r="G3563" s="7">
        <v>46004.22357255624</v>
      </c>
    </row>
    <row r="3564">
      <c r="A3564" s="3" t="s">
        <v>11455</v>
      </c>
      <c r="B3564" s="3" t="s">
        <v>947</v>
      </c>
      <c r="C3564" s="3" t="s">
        <v>56</v>
      </c>
      <c r="D3564" s="3" t="s">
        <v>68</v>
      </c>
      <c r="E3564" s="3" t="s">
        <v>100</v>
      </c>
      <c r="F3564" s="3" t="s">
        <v>2062</v>
      </c>
      <c r="G3564" s="7">
        <v>46004.294747401655</v>
      </c>
    </row>
    <row r="3565">
      <c r="A3565" s="3" t="s">
        <v>11458</v>
      </c>
      <c r="B3565" s="3" t="s">
        <v>527</v>
      </c>
      <c r="C3565" s="3" t="s">
        <v>1342</v>
      </c>
      <c r="D3565" s="3" t="s">
        <v>68</v>
      </c>
      <c r="E3565" s="3" t="s">
        <v>100</v>
      </c>
      <c r="F3565" s="3" t="s">
        <v>1820</v>
      </c>
      <c r="G3565" s="7">
        <v>46004.36592224707</v>
      </c>
    </row>
    <row r="3566">
      <c r="A3566" s="3" t="s">
        <v>11462</v>
      </c>
      <c r="B3566" s="3" t="s">
        <v>165</v>
      </c>
      <c r="C3566" s="3" t="s">
        <v>1342</v>
      </c>
      <c r="D3566" s="3" t="s">
        <v>68</v>
      </c>
      <c r="E3566" s="3" t="s">
        <v>100</v>
      </c>
      <c r="F3566" s="3" t="s">
        <v>1319</v>
      </c>
      <c r="G3566" s="7">
        <v>46004.43709709249</v>
      </c>
    </row>
    <row r="3567">
      <c r="A3567" s="3" t="s">
        <v>11465</v>
      </c>
      <c r="B3567" s="3" t="s">
        <v>197</v>
      </c>
      <c r="C3567" s="3" t="s">
        <v>56</v>
      </c>
      <c r="D3567" s="3" t="s">
        <v>68</v>
      </c>
      <c r="E3567" s="3" t="s">
        <v>100</v>
      </c>
      <c r="F3567" s="3" t="s">
        <v>2064</v>
      </c>
      <c r="G3567" s="7">
        <v>46004.5082719379</v>
      </c>
    </row>
    <row r="3568">
      <c r="A3568" s="3" t="s">
        <v>11469</v>
      </c>
      <c r="B3568" s="3" t="s">
        <v>652</v>
      </c>
      <c r="C3568" s="3" t="s">
        <v>1095</v>
      </c>
      <c r="D3568" s="3" t="s">
        <v>68</v>
      </c>
      <c r="E3568" s="3" t="s">
        <v>100</v>
      </c>
      <c r="F3568" s="3" t="s">
        <v>1179</v>
      </c>
      <c r="G3568" s="7">
        <v>46004.57944678331</v>
      </c>
    </row>
    <row r="3569">
      <c r="A3569" s="3" t="s">
        <v>11472</v>
      </c>
      <c r="B3569" s="3" t="s">
        <v>629</v>
      </c>
      <c r="C3569" s="3" t="s">
        <v>1342</v>
      </c>
      <c r="D3569" s="3" t="s">
        <v>195</v>
      </c>
      <c r="E3569" s="3" t="s">
        <v>45</v>
      </c>
      <c r="F3569" s="3" t="s">
        <v>1598</v>
      </c>
      <c r="G3569" s="7">
        <v>46004.65062162873</v>
      </c>
    </row>
    <row r="3570">
      <c r="A3570" s="3" t="s">
        <v>11475</v>
      </c>
      <c r="B3570" s="3" t="s">
        <v>536</v>
      </c>
      <c r="C3570" s="3" t="s">
        <v>56</v>
      </c>
      <c r="D3570" s="3" t="s">
        <v>68</v>
      </c>
      <c r="E3570" s="3" t="s">
        <v>100</v>
      </c>
      <c r="F3570" s="3" t="s">
        <v>2067</v>
      </c>
      <c r="G3570" s="7">
        <v>46004.72179647415</v>
      </c>
    </row>
    <row r="3571">
      <c r="A3571" s="3" t="s">
        <v>11476</v>
      </c>
      <c r="B3571" s="3" t="s">
        <v>440</v>
      </c>
      <c r="C3571" s="3" t="s">
        <v>56</v>
      </c>
      <c r="D3571" s="3" t="s">
        <v>68</v>
      </c>
      <c r="E3571" s="3" t="s">
        <v>100</v>
      </c>
      <c r="F3571" s="3" t="s">
        <v>2069</v>
      </c>
      <c r="G3571" s="7">
        <v>46004.792971319555</v>
      </c>
    </row>
    <row r="3572">
      <c r="A3572" s="3" t="s">
        <v>11478</v>
      </c>
      <c r="B3572" s="3" t="s">
        <v>135</v>
      </c>
      <c r="C3572" s="3" t="s">
        <v>1342</v>
      </c>
      <c r="D3572" s="3" t="s">
        <v>181</v>
      </c>
      <c r="E3572" s="3" t="s">
        <v>45</v>
      </c>
      <c r="F3572" s="3" t="s">
        <v>2021</v>
      </c>
      <c r="G3572" s="7">
        <v>46004.864146164975</v>
      </c>
    </row>
    <row r="3573">
      <c r="A3573" s="3" t="s">
        <v>11482</v>
      </c>
      <c r="B3573" s="3" t="s">
        <v>554</v>
      </c>
      <c r="C3573" s="3" t="s">
        <v>1342</v>
      </c>
      <c r="D3573" s="3" t="s">
        <v>68</v>
      </c>
      <c r="E3573" s="3" t="s">
        <v>100</v>
      </c>
      <c r="F3573" s="3" t="s">
        <v>1434</v>
      </c>
      <c r="G3573" s="7">
        <v>46004.935321010395</v>
      </c>
    </row>
    <row r="3574">
      <c r="A3574" s="3" t="s">
        <v>11484</v>
      </c>
      <c r="B3574" s="3" t="s">
        <v>488</v>
      </c>
      <c r="C3574" s="3" t="s">
        <v>56</v>
      </c>
      <c r="D3574" s="3" t="s">
        <v>68</v>
      </c>
      <c r="E3574" s="3" t="s">
        <v>100</v>
      </c>
      <c r="F3574" s="3" t="s">
        <v>2072</v>
      </c>
      <c r="G3574" s="7">
        <v>46005.00649585581</v>
      </c>
    </row>
    <row r="3575">
      <c r="A3575" s="3" t="s">
        <v>11488</v>
      </c>
      <c r="B3575" s="3" t="s">
        <v>800</v>
      </c>
      <c r="C3575" s="3" t="s">
        <v>1095</v>
      </c>
      <c r="D3575" s="3" t="s">
        <v>68</v>
      </c>
      <c r="E3575" s="3" t="s">
        <v>100</v>
      </c>
      <c r="F3575" s="3" t="s">
        <v>1921</v>
      </c>
      <c r="G3575" s="7">
        <v>46005.07767070122</v>
      </c>
    </row>
    <row r="3576">
      <c r="A3576" s="3" t="s">
        <v>11492</v>
      </c>
      <c r="B3576" s="3" t="s">
        <v>622</v>
      </c>
      <c r="C3576" s="3" t="s">
        <v>56</v>
      </c>
      <c r="D3576" s="3" t="s">
        <v>68</v>
      </c>
      <c r="E3576" s="3" t="s">
        <v>100</v>
      </c>
      <c r="F3576" s="3" t="s">
        <v>2074</v>
      </c>
      <c r="G3576" s="7">
        <v>46005.14884554664</v>
      </c>
    </row>
    <row r="3577">
      <c r="A3577" s="3" t="s">
        <v>11495</v>
      </c>
      <c r="B3577" s="3" t="s">
        <v>524</v>
      </c>
      <c r="C3577" s="3" t="s">
        <v>56</v>
      </c>
      <c r="D3577" s="3" t="s">
        <v>68</v>
      </c>
      <c r="E3577" s="3" t="s">
        <v>100</v>
      </c>
      <c r="F3577" s="3" t="s">
        <v>2077</v>
      </c>
      <c r="G3577" s="7">
        <v>46005.22002039205</v>
      </c>
    </row>
    <row r="3578">
      <c r="A3578" s="3" t="s">
        <v>11498</v>
      </c>
      <c r="B3578" s="3" t="s">
        <v>319</v>
      </c>
      <c r="C3578" s="3" t="s">
        <v>1342</v>
      </c>
      <c r="D3578" s="3" t="s">
        <v>181</v>
      </c>
      <c r="E3578" s="3" t="s">
        <v>45</v>
      </c>
      <c r="F3578" s="3" t="s">
        <v>1015</v>
      </c>
      <c r="G3578" s="7">
        <v>46005.29119523746</v>
      </c>
    </row>
    <row r="3579">
      <c r="A3579" s="3" t="s">
        <v>11502</v>
      </c>
      <c r="B3579" s="3" t="s">
        <v>1011</v>
      </c>
      <c r="C3579" s="3" t="s">
        <v>56</v>
      </c>
      <c r="D3579" s="3" t="s">
        <v>195</v>
      </c>
      <c r="E3579" s="3" t="s">
        <v>45</v>
      </c>
      <c r="F3579" s="3" t="s">
        <v>45</v>
      </c>
      <c r="G3579" s="7">
        <v>46005.36237008288</v>
      </c>
    </row>
    <row r="3580">
      <c r="A3580" s="3" t="s">
        <v>11504</v>
      </c>
      <c r="B3580" s="3" t="s">
        <v>400</v>
      </c>
      <c r="C3580" s="3" t="s">
        <v>1095</v>
      </c>
      <c r="D3580" s="3" t="s">
        <v>68</v>
      </c>
      <c r="E3580" s="3" t="s">
        <v>100</v>
      </c>
      <c r="F3580" s="3" t="s">
        <v>1286</v>
      </c>
      <c r="G3580" s="7">
        <v>46005.433544928295</v>
      </c>
    </row>
    <row r="3581">
      <c r="A3581" s="3" t="s">
        <v>11507</v>
      </c>
      <c r="B3581" s="3" t="s">
        <v>770</v>
      </c>
      <c r="C3581" s="3" t="s">
        <v>56</v>
      </c>
      <c r="D3581" s="3" t="s">
        <v>68</v>
      </c>
      <c r="E3581" s="3" t="s">
        <v>100</v>
      </c>
      <c r="F3581" s="3" t="s">
        <v>2079</v>
      </c>
      <c r="G3581" s="7">
        <v>46005.50471977371</v>
      </c>
    </row>
    <row r="3582">
      <c r="A3582" s="3" t="s">
        <v>11510</v>
      </c>
      <c r="B3582" s="3" t="s">
        <v>266</v>
      </c>
      <c r="C3582" s="3" t="s">
        <v>1342</v>
      </c>
      <c r="D3582" s="3" t="s">
        <v>68</v>
      </c>
      <c r="E3582" s="3" t="s">
        <v>100</v>
      </c>
      <c r="F3582" s="3" t="s">
        <v>1789</v>
      </c>
      <c r="G3582" s="7">
        <v>46005.57589461913</v>
      </c>
    </row>
    <row r="3583">
      <c r="A3583" s="3" t="s">
        <v>11515</v>
      </c>
      <c r="B3583" s="3" t="s">
        <v>550</v>
      </c>
      <c r="C3583" s="3" t="s">
        <v>1095</v>
      </c>
      <c r="D3583" s="3" t="s">
        <v>68</v>
      </c>
      <c r="E3583" s="3" t="s">
        <v>100</v>
      </c>
      <c r="F3583" s="3" t="s">
        <v>2101</v>
      </c>
      <c r="G3583" s="7">
        <v>46005.64706946454</v>
      </c>
    </row>
    <row r="3584">
      <c r="A3584" s="3" t="s">
        <v>11518</v>
      </c>
      <c r="B3584" s="3" t="s">
        <v>481</v>
      </c>
      <c r="C3584" s="3" t="s">
        <v>1342</v>
      </c>
      <c r="D3584" s="3" t="s">
        <v>68</v>
      </c>
      <c r="E3584" s="3" t="s">
        <v>100</v>
      </c>
      <c r="F3584" s="3" t="s">
        <v>1740</v>
      </c>
      <c r="G3584" s="7">
        <v>46005.71824430995</v>
      </c>
    </row>
    <row r="3585">
      <c r="A3585" s="3" t="s">
        <v>11522</v>
      </c>
      <c r="B3585" s="3" t="s">
        <v>650</v>
      </c>
      <c r="C3585" s="3" t="s">
        <v>1342</v>
      </c>
      <c r="D3585" s="3" t="s">
        <v>68</v>
      </c>
      <c r="E3585" s="3" t="s">
        <v>100</v>
      </c>
      <c r="F3585" s="3" t="s">
        <v>1846</v>
      </c>
      <c r="G3585" s="7">
        <v>46005.78941915537</v>
      </c>
    </row>
    <row r="3586">
      <c r="A3586" s="3" t="s">
        <v>11525</v>
      </c>
      <c r="B3586" s="3" t="s">
        <v>652</v>
      </c>
      <c r="C3586" s="3" t="s">
        <v>56</v>
      </c>
      <c r="D3586" s="3" t="s">
        <v>68</v>
      </c>
      <c r="E3586" s="3" t="s">
        <v>100</v>
      </c>
      <c r="F3586" s="3" t="s">
        <v>2081</v>
      </c>
      <c r="G3586" s="7">
        <v>46005.86059400079</v>
      </c>
    </row>
    <row r="3587">
      <c r="A3587" s="3" t="s">
        <v>11529</v>
      </c>
      <c r="B3587" s="3" t="s">
        <v>391</v>
      </c>
      <c r="C3587" s="3" t="s">
        <v>1342</v>
      </c>
      <c r="D3587" s="3" t="s">
        <v>68</v>
      </c>
      <c r="E3587" s="3" t="s">
        <v>100</v>
      </c>
      <c r="F3587" s="3" t="s">
        <v>1918</v>
      </c>
      <c r="G3587" s="7">
        <v>46005.931768846196</v>
      </c>
    </row>
    <row r="3588">
      <c r="A3588" s="3" t="s">
        <v>11532</v>
      </c>
      <c r="B3588" s="3" t="s">
        <v>622</v>
      </c>
      <c r="C3588" s="3" t="s">
        <v>1095</v>
      </c>
      <c r="D3588" s="3" t="s">
        <v>68</v>
      </c>
      <c r="E3588" s="3" t="s">
        <v>100</v>
      </c>
      <c r="F3588" s="3" t="s">
        <v>2074</v>
      </c>
      <c r="G3588" s="7">
        <v>46006.002943691616</v>
      </c>
    </row>
    <row r="3589">
      <c r="A3589" s="3" t="s">
        <v>11535</v>
      </c>
      <c r="B3589" s="3" t="s">
        <v>455</v>
      </c>
      <c r="C3589" s="3" t="s">
        <v>56</v>
      </c>
      <c r="D3589" s="3" t="s">
        <v>68</v>
      </c>
      <c r="E3589" s="3" t="s">
        <v>100</v>
      </c>
      <c r="F3589" s="3" t="s">
        <v>2083</v>
      </c>
      <c r="G3589" s="7">
        <v>46006.074118537035</v>
      </c>
    </row>
    <row r="3590">
      <c r="A3590" s="3" t="s">
        <v>11538</v>
      </c>
      <c r="B3590" s="3" t="s">
        <v>574</v>
      </c>
      <c r="C3590" s="3" t="s">
        <v>1342</v>
      </c>
      <c r="D3590" s="3" t="s">
        <v>68</v>
      </c>
      <c r="E3590" s="3" t="s">
        <v>100</v>
      </c>
      <c r="F3590" s="3" t="s">
        <v>1747</v>
      </c>
      <c r="G3590" s="7">
        <v>46006.14529338245</v>
      </c>
    </row>
    <row r="3591">
      <c r="A3591" s="3" t="s">
        <v>11541</v>
      </c>
      <c r="B3591" s="3" t="s">
        <v>442</v>
      </c>
      <c r="C3591" s="3" t="s">
        <v>1342</v>
      </c>
      <c r="D3591" s="3" t="s">
        <v>68</v>
      </c>
      <c r="E3591" s="3" t="s">
        <v>100</v>
      </c>
      <c r="F3591" s="3" t="s">
        <v>1973</v>
      </c>
      <c r="G3591" s="7">
        <v>46006.21646822786</v>
      </c>
    </row>
    <row r="3592">
      <c r="A3592" s="3" t="s">
        <v>11546</v>
      </c>
      <c r="B3592" s="3" t="s">
        <v>587</v>
      </c>
      <c r="C3592" s="3" t="s">
        <v>1342</v>
      </c>
      <c r="D3592" s="3" t="s">
        <v>68</v>
      </c>
      <c r="E3592" s="3" t="s">
        <v>100</v>
      </c>
      <c r="F3592" s="3" t="s">
        <v>1048</v>
      </c>
      <c r="G3592" s="7">
        <v>46006.28764307328</v>
      </c>
    </row>
    <row r="3593">
      <c r="A3593" s="3" t="s">
        <v>11549</v>
      </c>
      <c r="B3593" s="3" t="s">
        <v>987</v>
      </c>
      <c r="C3593" s="3" t="s">
        <v>56</v>
      </c>
      <c r="D3593" s="3" t="s">
        <v>181</v>
      </c>
      <c r="E3593" s="3" t="s">
        <v>45</v>
      </c>
      <c r="F3593" s="3" t="s">
        <v>45</v>
      </c>
      <c r="G3593" s="7">
        <v>46006.35881791869</v>
      </c>
    </row>
    <row r="3594">
      <c r="A3594" s="3" t="s">
        <v>11552</v>
      </c>
      <c r="B3594" s="3" t="s">
        <v>922</v>
      </c>
      <c r="C3594" s="3" t="s">
        <v>1095</v>
      </c>
      <c r="D3594" s="3" t="s">
        <v>68</v>
      </c>
      <c r="E3594" s="3" t="s">
        <v>100</v>
      </c>
      <c r="F3594" s="3" t="s">
        <v>2044</v>
      </c>
      <c r="G3594" s="7">
        <v>46006.429992764104</v>
      </c>
    </row>
    <row r="3595">
      <c r="A3595" s="3" t="s">
        <v>11554</v>
      </c>
      <c r="B3595" s="3" t="s">
        <v>645</v>
      </c>
      <c r="C3595" s="3" t="s">
        <v>56</v>
      </c>
      <c r="D3595" s="3" t="s">
        <v>181</v>
      </c>
      <c r="E3595" s="3" t="s">
        <v>45</v>
      </c>
      <c r="F3595" s="3" t="s">
        <v>45</v>
      </c>
      <c r="G3595" s="7">
        <v>46006.501167609524</v>
      </c>
    </row>
    <row r="3596">
      <c r="A3596" s="3" t="s">
        <v>11556</v>
      </c>
      <c r="B3596" s="3" t="s">
        <v>366</v>
      </c>
      <c r="C3596" s="3" t="s">
        <v>56</v>
      </c>
      <c r="D3596" s="3" t="s">
        <v>68</v>
      </c>
      <c r="E3596" s="3" t="s">
        <v>100</v>
      </c>
      <c r="F3596" s="3" t="s">
        <v>2091</v>
      </c>
      <c r="G3596" s="7">
        <v>46006.57234245494</v>
      </c>
    </row>
    <row r="3597">
      <c r="A3597" s="3" t="s">
        <v>11559</v>
      </c>
      <c r="B3597" s="3" t="s">
        <v>1049</v>
      </c>
      <c r="C3597" s="3" t="s">
        <v>56</v>
      </c>
      <c r="D3597" s="3" t="s">
        <v>68</v>
      </c>
      <c r="E3597" s="3" t="s">
        <v>100</v>
      </c>
      <c r="F3597" s="3" t="s">
        <v>2093</v>
      </c>
      <c r="G3597" s="7">
        <v>46006.64351730035</v>
      </c>
    </row>
    <row r="3598">
      <c r="A3598" s="3" t="s">
        <v>11562</v>
      </c>
      <c r="B3598" s="3" t="s">
        <v>307</v>
      </c>
      <c r="C3598" s="3" t="s">
        <v>1095</v>
      </c>
      <c r="D3598" s="3" t="s">
        <v>68</v>
      </c>
      <c r="E3598" s="3" t="s">
        <v>100</v>
      </c>
      <c r="F3598" s="3" t="s">
        <v>1542</v>
      </c>
      <c r="G3598" s="7">
        <v>46006.71469214577</v>
      </c>
    </row>
    <row r="3599">
      <c r="A3599" s="3" t="s">
        <v>11565</v>
      </c>
      <c r="B3599" s="3" t="s">
        <v>348</v>
      </c>
      <c r="C3599" s="3" t="s">
        <v>1342</v>
      </c>
      <c r="D3599" s="3" t="s">
        <v>181</v>
      </c>
      <c r="E3599" s="3" t="s">
        <v>45</v>
      </c>
      <c r="F3599" s="3" t="s">
        <v>1946</v>
      </c>
      <c r="G3599" s="7">
        <v>46006.78586699118</v>
      </c>
    </row>
    <row r="3600">
      <c r="A3600" s="3" t="s">
        <v>11568</v>
      </c>
      <c r="B3600" s="3" t="s">
        <v>629</v>
      </c>
      <c r="C3600" s="3" t="s">
        <v>1342</v>
      </c>
      <c r="D3600" s="3" t="s">
        <v>68</v>
      </c>
      <c r="E3600" s="3" t="s">
        <v>100</v>
      </c>
      <c r="F3600" s="3" t="s">
        <v>1598</v>
      </c>
      <c r="G3600" s="7">
        <v>46006.8570418366</v>
      </c>
    </row>
    <row r="3601">
      <c r="A3601" s="3" t="s">
        <v>11572</v>
      </c>
      <c r="B3601" s="3" t="s">
        <v>1049</v>
      </c>
      <c r="C3601" s="3" t="s">
        <v>1342</v>
      </c>
      <c r="D3601" s="3" t="s">
        <v>68</v>
      </c>
      <c r="E3601" s="3" t="s">
        <v>100</v>
      </c>
      <c r="F3601" s="3" t="s">
        <v>2093</v>
      </c>
      <c r="G3601" s="7">
        <v>46006.92821668201</v>
      </c>
    </row>
    <row r="3602">
      <c r="A3602" s="3" t="s">
        <v>11576</v>
      </c>
      <c r="B3602" s="3" t="s">
        <v>282</v>
      </c>
      <c r="C3602" s="3" t="s">
        <v>1095</v>
      </c>
      <c r="D3602" s="3" t="s">
        <v>68</v>
      </c>
      <c r="E3602" s="3" t="s">
        <v>100</v>
      </c>
      <c r="F3602" s="3" t="s">
        <v>1899</v>
      </c>
      <c r="G3602" s="7">
        <v>46006.99939152743</v>
      </c>
    </row>
    <row r="3603">
      <c r="A3603" s="3" t="s">
        <v>11579</v>
      </c>
      <c r="B3603" s="3" t="s">
        <v>785</v>
      </c>
      <c r="C3603" s="3" t="s">
        <v>1095</v>
      </c>
      <c r="D3603" s="3" t="s">
        <v>68</v>
      </c>
      <c r="E3603" s="3" t="s">
        <v>100</v>
      </c>
      <c r="F3603" s="3" t="s">
        <v>1815</v>
      </c>
      <c r="G3603" s="7">
        <v>46007.07056637284</v>
      </c>
    </row>
    <row r="3604">
      <c r="A3604" s="3" t="s">
        <v>11582</v>
      </c>
      <c r="B3604" s="3" t="s">
        <v>637</v>
      </c>
      <c r="C3604" s="3" t="s">
        <v>1095</v>
      </c>
      <c r="D3604" s="3" t="s">
        <v>181</v>
      </c>
      <c r="E3604" s="3" t="s">
        <v>45</v>
      </c>
      <c r="F3604" s="3" t="s">
        <v>1785</v>
      </c>
      <c r="G3604" s="7">
        <v>46007.141741218256</v>
      </c>
    </row>
    <row r="3605">
      <c r="A3605" s="3" t="s">
        <v>11586</v>
      </c>
      <c r="B3605" s="3" t="s">
        <v>546</v>
      </c>
      <c r="C3605" s="3" t="s">
        <v>1095</v>
      </c>
      <c r="D3605" s="3" t="s">
        <v>68</v>
      </c>
      <c r="E3605" s="3" t="s">
        <v>100</v>
      </c>
      <c r="F3605" s="3" t="s">
        <v>2001</v>
      </c>
      <c r="G3605" s="7">
        <v>46007.212916063676</v>
      </c>
    </row>
    <row r="3606">
      <c r="A3606" s="3" t="s">
        <v>11589</v>
      </c>
      <c r="B3606" s="3" t="s">
        <v>333</v>
      </c>
      <c r="C3606" s="3" t="s">
        <v>1342</v>
      </c>
      <c r="D3606" s="3" t="s">
        <v>68</v>
      </c>
      <c r="E3606" s="3" t="s">
        <v>100</v>
      </c>
      <c r="F3606" s="3" t="s">
        <v>2050</v>
      </c>
      <c r="G3606" s="7">
        <v>46007.28409090909</v>
      </c>
    </row>
    <row r="3607">
      <c r="A3607" s="3" t="s">
        <v>11593</v>
      </c>
      <c r="B3607" s="3" t="s">
        <v>253</v>
      </c>
      <c r="C3607" s="3" t="s">
        <v>1095</v>
      </c>
      <c r="D3607" s="3" t="s">
        <v>68</v>
      </c>
      <c r="E3607" s="3" t="s">
        <v>100</v>
      </c>
      <c r="F3607" s="3" t="s">
        <v>2020</v>
      </c>
      <c r="G3607" s="7">
        <v>46007.3552657545</v>
      </c>
    </row>
    <row r="3608">
      <c r="A3608" s="3" t="s">
        <v>11596</v>
      </c>
      <c r="B3608" s="3" t="s">
        <v>830</v>
      </c>
      <c r="C3608" s="3" t="s">
        <v>1095</v>
      </c>
      <c r="D3608" s="3" t="s">
        <v>68</v>
      </c>
      <c r="E3608" s="3" t="s">
        <v>100</v>
      </c>
      <c r="F3608" s="3" t="s">
        <v>1553</v>
      </c>
      <c r="G3608" s="7">
        <v>46007.42644059992</v>
      </c>
    </row>
    <row r="3609">
      <c r="A3609" s="3" t="s">
        <v>11599</v>
      </c>
      <c r="B3609" s="3" t="s">
        <v>130</v>
      </c>
      <c r="C3609" s="3" t="s">
        <v>56</v>
      </c>
      <c r="D3609" s="3" t="s">
        <v>68</v>
      </c>
      <c r="E3609" s="3" t="s">
        <v>100</v>
      </c>
      <c r="F3609" s="3" t="s">
        <v>2096</v>
      </c>
      <c r="G3609" s="7">
        <v>46007.49761544533</v>
      </c>
    </row>
    <row r="3610">
      <c r="A3610" s="3" t="s">
        <v>11601</v>
      </c>
      <c r="B3610" s="3" t="s">
        <v>900</v>
      </c>
      <c r="C3610" s="3" t="s">
        <v>1095</v>
      </c>
      <c r="D3610" s="3" t="s">
        <v>68</v>
      </c>
      <c r="E3610" s="3" t="s">
        <v>100</v>
      </c>
      <c r="F3610" s="3" t="s">
        <v>1694</v>
      </c>
      <c r="G3610" s="7">
        <v>46007.568790290745</v>
      </c>
    </row>
    <row r="3611">
      <c r="A3611" s="3" t="s">
        <v>11604</v>
      </c>
      <c r="B3611" s="3" t="s">
        <v>269</v>
      </c>
      <c r="C3611" s="3" t="s">
        <v>56</v>
      </c>
      <c r="D3611" s="3" t="s">
        <v>68</v>
      </c>
      <c r="E3611" s="3" t="s">
        <v>100</v>
      </c>
      <c r="F3611" s="3" t="s">
        <v>2099</v>
      </c>
      <c r="G3611" s="7">
        <v>46007.639965136164</v>
      </c>
    </row>
    <row r="3612">
      <c r="A3612" s="3" t="s">
        <v>11606</v>
      </c>
      <c r="B3612" s="3" t="s">
        <v>838</v>
      </c>
      <c r="C3612" s="3" t="s">
        <v>1342</v>
      </c>
      <c r="D3612" s="3" t="s">
        <v>68</v>
      </c>
      <c r="E3612" s="3" t="s">
        <v>100</v>
      </c>
      <c r="F3612" s="3" t="s">
        <v>1992</v>
      </c>
      <c r="G3612" s="7">
        <v>46007.711139981584</v>
      </c>
    </row>
    <row r="3613">
      <c r="A3613" s="3" t="s">
        <v>11609</v>
      </c>
      <c r="B3613" s="3" t="s">
        <v>557</v>
      </c>
      <c r="C3613" s="3" t="s">
        <v>1342</v>
      </c>
      <c r="D3613" s="3" t="s">
        <v>68</v>
      </c>
      <c r="E3613" s="3" t="s">
        <v>100</v>
      </c>
      <c r="F3613" s="3" t="s">
        <v>1681</v>
      </c>
      <c r="G3613" s="7">
        <v>46007.78231482699</v>
      </c>
    </row>
    <row r="3614">
      <c r="A3614" s="3" t="s">
        <v>11612</v>
      </c>
      <c r="B3614" s="3" t="s">
        <v>460</v>
      </c>
      <c r="C3614" s="3" t="s">
        <v>1342</v>
      </c>
      <c r="D3614" s="3" t="s">
        <v>68</v>
      </c>
      <c r="E3614" s="3" t="s">
        <v>100</v>
      </c>
      <c r="F3614" s="3" t="s">
        <v>1193</v>
      </c>
      <c r="G3614" s="7">
        <v>46007.85348967241</v>
      </c>
    </row>
    <row r="3615">
      <c r="A3615" s="3" t="s">
        <v>11617</v>
      </c>
      <c r="B3615" s="3" t="s">
        <v>1021</v>
      </c>
      <c r="C3615" s="3" t="s">
        <v>1342</v>
      </c>
      <c r="D3615" s="3" t="s">
        <v>68</v>
      </c>
      <c r="E3615" s="3" t="s">
        <v>100</v>
      </c>
      <c r="F3615" s="3" t="s">
        <v>1671</v>
      </c>
      <c r="G3615" s="7">
        <v>46007.92466451783</v>
      </c>
    </row>
    <row r="3616">
      <c r="A3616" s="3" t="s">
        <v>11619</v>
      </c>
      <c r="B3616" s="3" t="s">
        <v>822</v>
      </c>
      <c r="C3616" s="3" t="s">
        <v>1342</v>
      </c>
      <c r="D3616" s="3" t="s">
        <v>68</v>
      </c>
      <c r="E3616" s="3" t="s">
        <v>100</v>
      </c>
      <c r="F3616" s="3" t="s">
        <v>2004</v>
      </c>
      <c r="G3616" s="7">
        <v>46007.99583936324</v>
      </c>
    </row>
    <row r="3617">
      <c r="A3617" s="3" t="s">
        <v>11621</v>
      </c>
      <c r="B3617" s="3" t="s">
        <v>183</v>
      </c>
      <c r="C3617" s="3" t="s">
        <v>1342</v>
      </c>
      <c r="D3617" s="3" t="s">
        <v>68</v>
      </c>
      <c r="E3617" s="3" t="s">
        <v>100</v>
      </c>
      <c r="F3617" s="3" t="s">
        <v>1842</v>
      </c>
      <c r="G3617" s="7">
        <v>46008.06701420865</v>
      </c>
    </row>
    <row r="3618">
      <c r="A3618" s="3" t="s">
        <v>11623</v>
      </c>
      <c r="B3618" s="3" t="s">
        <v>702</v>
      </c>
      <c r="C3618" s="3" t="s">
        <v>1342</v>
      </c>
      <c r="D3618" s="3" t="s">
        <v>68</v>
      </c>
      <c r="E3618" s="3" t="s">
        <v>100</v>
      </c>
      <c r="F3618" s="3" t="s">
        <v>1196</v>
      </c>
      <c r="G3618" s="7">
        <v>46008.13818905407</v>
      </c>
    </row>
    <row r="3619">
      <c r="A3619" s="3" t="s">
        <v>11625</v>
      </c>
      <c r="B3619" s="3" t="s">
        <v>266</v>
      </c>
      <c r="C3619" s="3" t="s">
        <v>1342</v>
      </c>
      <c r="D3619" s="3" t="s">
        <v>68</v>
      </c>
      <c r="E3619" s="3" t="s">
        <v>100</v>
      </c>
      <c r="F3619" s="3" t="s">
        <v>1789</v>
      </c>
      <c r="G3619" s="7">
        <v>46008.209363899485</v>
      </c>
    </row>
    <row r="3620">
      <c r="A3620" s="3" t="s">
        <v>11628</v>
      </c>
      <c r="B3620" s="3" t="s">
        <v>559</v>
      </c>
      <c r="C3620" s="3" t="s">
        <v>1342</v>
      </c>
      <c r="D3620" s="3" t="s">
        <v>68</v>
      </c>
      <c r="E3620" s="3" t="s">
        <v>100</v>
      </c>
      <c r="F3620" s="3" t="s">
        <v>1629</v>
      </c>
      <c r="G3620" s="7">
        <v>46008.2805387449</v>
      </c>
    </row>
    <row r="3621">
      <c r="A3621" s="3" t="s">
        <v>11631</v>
      </c>
      <c r="B3621" s="3" t="s">
        <v>550</v>
      </c>
      <c r="C3621" s="3" t="s">
        <v>56</v>
      </c>
      <c r="D3621" s="3" t="s">
        <v>68</v>
      </c>
      <c r="E3621" s="3" t="s">
        <v>100</v>
      </c>
      <c r="F3621" s="3" t="s">
        <v>2101</v>
      </c>
      <c r="G3621" s="7">
        <v>46008.35171359032</v>
      </c>
    </row>
    <row r="3622">
      <c r="A3622" s="3" t="s">
        <v>11632</v>
      </c>
      <c r="B3622" s="3" t="s">
        <v>344</v>
      </c>
      <c r="C3622" s="3" t="s">
        <v>1342</v>
      </c>
      <c r="D3622" s="3" t="s">
        <v>68</v>
      </c>
      <c r="E3622" s="3" t="s">
        <v>100</v>
      </c>
      <c r="F3622" s="3" t="s">
        <v>1373</v>
      </c>
      <c r="G3622" s="7">
        <v>46008.42288843573</v>
      </c>
    </row>
    <row r="3623">
      <c r="A3623" s="3" t="s">
        <v>11635</v>
      </c>
      <c r="B3623" s="3" t="s">
        <v>369</v>
      </c>
      <c r="C3623" s="3" t="s">
        <v>1095</v>
      </c>
      <c r="D3623" s="3" t="s">
        <v>68</v>
      </c>
      <c r="E3623" s="3" t="s">
        <v>100</v>
      </c>
      <c r="F3623" s="3" t="s">
        <v>1643</v>
      </c>
      <c r="G3623" s="7">
        <v>46008.49406328114</v>
      </c>
    </row>
    <row r="3624">
      <c r="A3624" s="3" t="s">
        <v>11638</v>
      </c>
      <c r="B3624" s="3" t="s">
        <v>830</v>
      </c>
      <c r="C3624" s="3" t="s">
        <v>56</v>
      </c>
      <c r="D3624" s="3" t="s">
        <v>68</v>
      </c>
      <c r="E3624" s="3" t="s">
        <v>100</v>
      </c>
      <c r="F3624" s="3" t="s">
        <v>2103</v>
      </c>
      <c r="G3624" s="7">
        <v>46008.56523812656</v>
      </c>
    </row>
    <row r="3625">
      <c r="A3625" s="3" t="s">
        <v>11639</v>
      </c>
      <c r="B3625" s="3" t="s">
        <v>502</v>
      </c>
      <c r="C3625" s="3" t="s">
        <v>1095</v>
      </c>
      <c r="D3625" s="3" t="s">
        <v>68</v>
      </c>
      <c r="E3625" s="3" t="s">
        <v>100</v>
      </c>
      <c r="F3625" s="3" t="s">
        <v>1726</v>
      </c>
      <c r="G3625" s="7">
        <v>46008.63641297197</v>
      </c>
    </row>
    <row r="3626">
      <c r="A3626" s="3" t="s">
        <v>11642</v>
      </c>
      <c r="B3626" s="3" t="s">
        <v>900</v>
      </c>
      <c r="C3626" s="3" t="s">
        <v>56</v>
      </c>
      <c r="D3626" s="3" t="s">
        <v>68</v>
      </c>
      <c r="E3626" s="3" t="s">
        <v>100</v>
      </c>
      <c r="F3626" s="3" t="s">
        <v>2105</v>
      </c>
      <c r="G3626" s="7">
        <v>46008.707587817386</v>
      </c>
    </row>
    <row r="3627">
      <c r="A3627" s="3" t="s">
        <v>11645</v>
      </c>
      <c r="B3627" s="3" t="s">
        <v>202</v>
      </c>
      <c r="C3627" s="3" t="s">
        <v>1095</v>
      </c>
      <c r="D3627" s="3" t="s">
        <v>68</v>
      </c>
      <c r="E3627" s="3" t="s">
        <v>100</v>
      </c>
      <c r="F3627" s="3" t="s">
        <v>1941</v>
      </c>
      <c r="G3627" s="7">
        <v>46008.778762662805</v>
      </c>
    </row>
    <row r="3628">
      <c r="A3628" s="3" t="s">
        <v>11646</v>
      </c>
      <c r="B3628" s="3" t="s">
        <v>250</v>
      </c>
      <c r="C3628" s="3" t="s">
        <v>1095</v>
      </c>
      <c r="D3628" s="3" t="s">
        <v>68</v>
      </c>
      <c r="E3628" s="3" t="s">
        <v>100</v>
      </c>
      <c r="F3628" s="3" t="s">
        <v>1576</v>
      </c>
      <c r="G3628" s="7">
        <v>46008.849937508225</v>
      </c>
    </row>
    <row r="3629">
      <c r="A3629" s="3" t="s">
        <v>11648</v>
      </c>
      <c r="B3629" s="3" t="s">
        <v>165</v>
      </c>
      <c r="C3629" s="3" t="s">
        <v>1342</v>
      </c>
      <c r="D3629" s="3" t="s">
        <v>68</v>
      </c>
      <c r="E3629" s="3" t="s">
        <v>100</v>
      </c>
      <c r="F3629" s="3" t="s">
        <v>1319</v>
      </c>
      <c r="G3629" s="7">
        <v>46008.92111235363</v>
      </c>
    </row>
    <row r="3630">
      <c r="A3630" s="3" t="s">
        <v>11652</v>
      </c>
      <c r="B3630" s="3" t="s">
        <v>507</v>
      </c>
      <c r="C3630" s="3" t="s">
        <v>1342</v>
      </c>
      <c r="D3630" s="3" t="s">
        <v>195</v>
      </c>
      <c r="E3630" s="3" t="s">
        <v>45</v>
      </c>
      <c r="F3630" s="3" t="s">
        <v>1706</v>
      </c>
      <c r="G3630" s="7">
        <v>46008.99228719905</v>
      </c>
    </row>
    <row r="3631">
      <c r="A3631" s="3" t="s">
        <v>11655</v>
      </c>
      <c r="B3631" s="3" t="s">
        <v>1034</v>
      </c>
      <c r="C3631" s="3" t="s">
        <v>1342</v>
      </c>
      <c r="D3631" s="3" t="s">
        <v>68</v>
      </c>
      <c r="E3631" s="3" t="s">
        <v>100</v>
      </c>
      <c r="F3631" s="3" t="s">
        <v>1418</v>
      </c>
      <c r="G3631" s="7">
        <v>46009.06346204447</v>
      </c>
    </row>
    <row r="3632">
      <c r="A3632" s="3" t="s">
        <v>11658</v>
      </c>
      <c r="B3632" s="3" t="s">
        <v>600</v>
      </c>
      <c r="C3632" s="3" t="s">
        <v>1342</v>
      </c>
      <c r="D3632" s="3" t="s">
        <v>68</v>
      </c>
      <c r="E3632" s="3" t="s">
        <v>100</v>
      </c>
      <c r="F3632" s="3" t="s">
        <v>1666</v>
      </c>
      <c r="G3632" s="7">
        <v>46009.13463688988</v>
      </c>
    </row>
    <row r="3633">
      <c r="A3633" s="3" t="s">
        <v>11663</v>
      </c>
      <c r="B3633" s="3" t="s">
        <v>395</v>
      </c>
      <c r="C3633" s="3" t="s">
        <v>1342</v>
      </c>
      <c r="D3633" s="3" t="s">
        <v>68</v>
      </c>
      <c r="E3633" s="3" t="s">
        <v>100</v>
      </c>
      <c r="F3633" s="3" t="s">
        <v>1552</v>
      </c>
      <c r="G3633" s="7">
        <v>46009.20581173529</v>
      </c>
    </row>
    <row r="3634">
      <c r="A3634" s="3" t="s">
        <v>11666</v>
      </c>
      <c r="B3634" s="3" t="s">
        <v>559</v>
      </c>
      <c r="C3634" s="3" t="s">
        <v>1095</v>
      </c>
      <c r="D3634" s="3" t="s">
        <v>68</v>
      </c>
      <c r="E3634" s="3" t="s">
        <v>100</v>
      </c>
      <c r="F3634" s="3" t="s">
        <v>1629</v>
      </c>
      <c r="G3634" s="7">
        <v>46009.27698658071</v>
      </c>
    </row>
    <row r="3635">
      <c r="A3635" s="3" t="s">
        <v>11669</v>
      </c>
      <c r="B3635" s="3" t="s">
        <v>293</v>
      </c>
      <c r="C3635" s="3" t="s">
        <v>1342</v>
      </c>
      <c r="D3635" s="3" t="s">
        <v>68</v>
      </c>
      <c r="E3635" s="3" t="s">
        <v>100</v>
      </c>
      <c r="F3635" s="3" t="s">
        <v>1943</v>
      </c>
      <c r="G3635" s="7">
        <v>46009.348161426125</v>
      </c>
    </row>
    <row r="3636">
      <c r="A3636" s="3" t="s">
        <v>11672</v>
      </c>
      <c r="B3636" s="3" t="s">
        <v>310</v>
      </c>
      <c r="C3636" s="3" t="s">
        <v>1342</v>
      </c>
      <c r="D3636" s="3" t="s">
        <v>68</v>
      </c>
      <c r="E3636" s="3" t="s">
        <v>100</v>
      </c>
      <c r="F3636" s="3" t="s">
        <v>1545</v>
      </c>
      <c r="G3636" s="7">
        <v>46009.41933627154</v>
      </c>
    </row>
    <row r="3637">
      <c r="A3637" s="3" t="s">
        <v>11675</v>
      </c>
      <c r="B3637" s="3" t="s">
        <v>162</v>
      </c>
      <c r="C3637" s="3" t="s">
        <v>1342</v>
      </c>
      <c r="D3637" s="3" t="s">
        <v>195</v>
      </c>
      <c r="E3637" s="3" t="s">
        <v>45</v>
      </c>
      <c r="F3637" s="3" t="s">
        <v>1876</v>
      </c>
      <c r="G3637" s="7">
        <v>46009.49051111696</v>
      </c>
    </row>
    <row r="3638">
      <c r="A3638" s="3" t="s">
        <v>11679</v>
      </c>
      <c r="B3638" s="3" t="s">
        <v>307</v>
      </c>
      <c r="C3638" s="3" t="s">
        <v>56</v>
      </c>
      <c r="D3638" s="3" t="s">
        <v>68</v>
      </c>
      <c r="E3638" s="3" t="s">
        <v>100</v>
      </c>
      <c r="F3638" s="3" t="s">
        <v>2111</v>
      </c>
      <c r="G3638" s="7">
        <v>46009.56168596238</v>
      </c>
    </row>
    <row r="3639">
      <c r="A3639" s="3" t="s">
        <v>11683</v>
      </c>
      <c r="B3639" s="3" t="s">
        <v>250</v>
      </c>
      <c r="C3639" s="3" t="s">
        <v>56</v>
      </c>
      <c r="D3639" s="3" t="s">
        <v>68</v>
      </c>
      <c r="E3639" s="3" t="s">
        <v>100</v>
      </c>
      <c r="F3639" s="3" t="s">
        <v>2113</v>
      </c>
      <c r="G3639" s="7">
        <v>46009.63286080778</v>
      </c>
    </row>
    <row r="3640">
      <c r="A3640" s="3" t="s">
        <v>11686</v>
      </c>
      <c r="B3640" s="3" t="s">
        <v>404</v>
      </c>
      <c r="C3640" s="3" t="s">
        <v>1342</v>
      </c>
      <c r="D3640" s="3" t="s">
        <v>68</v>
      </c>
      <c r="E3640" s="3" t="s">
        <v>100</v>
      </c>
      <c r="F3640" s="3" t="s">
        <v>1981</v>
      </c>
      <c r="G3640" s="7">
        <v>46009.7040356532</v>
      </c>
    </row>
    <row r="3641">
      <c r="A3641" s="3" t="s">
        <v>11688</v>
      </c>
      <c r="B3641" s="3" t="s">
        <v>672</v>
      </c>
      <c r="C3641" s="3" t="s">
        <v>56</v>
      </c>
      <c r="D3641" s="3" t="s">
        <v>68</v>
      </c>
      <c r="E3641" s="3" t="s">
        <v>100</v>
      </c>
      <c r="F3641" s="3" t="s">
        <v>2115</v>
      </c>
      <c r="G3641" s="7">
        <v>46009.775210498614</v>
      </c>
    </row>
    <row r="3642">
      <c r="A3642" s="3" t="s">
        <v>11690</v>
      </c>
      <c r="B3642" s="3" t="s">
        <v>168</v>
      </c>
      <c r="C3642" s="3" t="s">
        <v>1095</v>
      </c>
      <c r="D3642" s="3" t="s">
        <v>195</v>
      </c>
      <c r="E3642" s="3" t="s">
        <v>45</v>
      </c>
      <c r="F3642" s="3" t="s">
        <v>1535</v>
      </c>
      <c r="G3642" s="7">
        <v>46009.84638534403</v>
      </c>
    </row>
    <row r="3643">
      <c r="A3643" s="3" t="s">
        <v>11692</v>
      </c>
      <c r="B3643" s="3" t="s">
        <v>841</v>
      </c>
      <c r="C3643" s="3" t="s">
        <v>1342</v>
      </c>
      <c r="D3643" s="3" t="s">
        <v>68</v>
      </c>
      <c r="E3643" s="3" t="s">
        <v>100</v>
      </c>
      <c r="F3643" s="3" t="s">
        <v>1712</v>
      </c>
      <c r="G3643" s="7">
        <v>46009.917560189446</v>
      </c>
    </row>
    <row r="3644">
      <c r="A3644" s="3" t="s">
        <v>11694</v>
      </c>
      <c r="B3644" s="3" t="s">
        <v>230</v>
      </c>
      <c r="C3644" s="3" t="s">
        <v>56</v>
      </c>
      <c r="D3644" s="3" t="s">
        <v>68</v>
      </c>
      <c r="E3644" s="3" t="s">
        <v>100</v>
      </c>
      <c r="F3644" s="3" t="s">
        <v>2118</v>
      </c>
      <c r="G3644" s="7">
        <v>46009.988735034865</v>
      </c>
    </row>
    <row r="3645">
      <c r="A3645" s="3" t="s">
        <v>11696</v>
      </c>
      <c r="B3645" s="3" t="s">
        <v>916</v>
      </c>
      <c r="C3645" s="3" t="s">
        <v>56</v>
      </c>
      <c r="D3645" s="3" t="s">
        <v>68</v>
      </c>
      <c r="E3645" s="3" t="s">
        <v>100</v>
      </c>
      <c r="F3645" s="3" t="s">
        <v>2120</v>
      </c>
      <c r="G3645" s="7">
        <v>46010.05990988027</v>
      </c>
    </row>
    <row r="3646">
      <c r="A3646" s="3" t="s">
        <v>11697</v>
      </c>
      <c r="B3646" s="3" t="s">
        <v>860</v>
      </c>
      <c r="C3646" s="3" t="s">
        <v>56</v>
      </c>
      <c r="D3646" s="3" t="s">
        <v>68</v>
      </c>
      <c r="E3646" s="3" t="s">
        <v>100</v>
      </c>
      <c r="F3646" s="3" t="s">
        <v>2123</v>
      </c>
      <c r="G3646" s="7">
        <v>46010.13108472569</v>
      </c>
    </row>
    <row r="3647">
      <c r="A3647" s="3" t="s">
        <v>11699</v>
      </c>
      <c r="B3647" s="3" t="s">
        <v>903</v>
      </c>
      <c r="C3647" s="3" t="s">
        <v>1342</v>
      </c>
      <c r="D3647" s="3" t="s">
        <v>68</v>
      </c>
      <c r="E3647" s="3" t="s">
        <v>100</v>
      </c>
      <c r="F3647" s="3" t="s">
        <v>1720</v>
      </c>
      <c r="G3647" s="7">
        <v>46010.20225957111</v>
      </c>
    </row>
    <row r="3648">
      <c r="A3648" s="3" t="s">
        <v>11702</v>
      </c>
      <c r="B3648" s="3" t="s">
        <v>947</v>
      </c>
      <c r="C3648" s="3" t="s">
        <v>1342</v>
      </c>
      <c r="D3648" s="3" t="s">
        <v>68</v>
      </c>
      <c r="E3648" s="3" t="s">
        <v>100</v>
      </c>
      <c r="F3648" s="3" t="s">
        <v>2062</v>
      </c>
      <c r="G3648" s="7">
        <v>46010.27343441652</v>
      </c>
    </row>
    <row r="3649">
      <c r="A3649" s="3" t="s">
        <v>11705</v>
      </c>
      <c r="B3649" s="3" t="s">
        <v>816</v>
      </c>
      <c r="C3649" s="3" t="s">
        <v>1095</v>
      </c>
      <c r="D3649" s="3" t="s">
        <v>68</v>
      </c>
      <c r="E3649" s="3" t="s">
        <v>100</v>
      </c>
      <c r="F3649" s="3" t="s">
        <v>1932</v>
      </c>
      <c r="G3649" s="7">
        <v>46010.344609261934</v>
      </c>
    </row>
    <row r="3650">
      <c r="A3650" s="3" t="s">
        <v>11707</v>
      </c>
      <c r="B3650" s="3" t="s">
        <v>965</v>
      </c>
      <c r="C3650" s="3" t="s">
        <v>1095</v>
      </c>
      <c r="D3650" s="3" t="s">
        <v>68</v>
      </c>
      <c r="E3650" s="3" t="s">
        <v>100</v>
      </c>
      <c r="F3650" s="3" t="s">
        <v>2028</v>
      </c>
      <c r="G3650" s="7">
        <v>46010.415784107354</v>
      </c>
    </row>
    <row r="3651">
      <c r="A3651" s="3" t="s">
        <v>11711</v>
      </c>
      <c r="B3651" s="3" t="s">
        <v>336</v>
      </c>
      <c r="C3651" s="3" t="s">
        <v>1095</v>
      </c>
      <c r="D3651" s="3" t="s">
        <v>68</v>
      </c>
      <c r="E3651" s="3" t="s">
        <v>100</v>
      </c>
      <c r="F3651" s="3" t="s">
        <v>1595</v>
      </c>
      <c r="G3651" s="7">
        <v>46010.486958952766</v>
      </c>
    </row>
    <row r="3652">
      <c r="A3652" s="3" t="s">
        <v>11713</v>
      </c>
      <c r="B3652" s="3" t="s">
        <v>569</v>
      </c>
      <c r="C3652" s="3" t="s">
        <v>1095</v>
      </c>
      <c r="D3652" s="3" t="s">
        <v>68</v>
      </c>
      <c r="E3652" s="3" t="s">
        <v>100</v>
      </c>
      <c r="F3652" s="3" t="s">
        <v>1483</v>
      </c>
      <c r="G3652" s="7">
        <v>46010.55813379818</v>
      </c>
    </row>
    <row r="3653">
      <c r="A3653" s="3" t="s">
        <v>11716</v>
      </c>
      <c r="B3653" s="3" t="s">
        <v>541</v>
      </c>
      <c r="C3653" s="3" t="s">
        <v>1342</v>
      </c>
      <c r="D3653" s="3" t="s">
        <v>68</v>
      </c>
      <c r="E3653" s="3" t="s">
        <v>100</v>
      </c>
      <c r="F3653" s="3" t="s">
        <v>1793</v>
      </c>
      <c r="G3653" s="7">
        <v>46010.6293086436</v>
      </c>
    </row>
    <row r="3654">
      <c r="A3654" s="3" t="s">
        <v>11719</v>
      </c>
      <c r="B3654" s="3" t="s">
        <v>282</v>
      </c>
      <c r="C3654" s="3" t="s">
        <v>56</v>
      </c>
      <c r="D3654" s="3" t="s">
        <v>68</v>
      </c>
      <c r="E3654" s="3" t="s">
        <v>100</v>
      </c>
      <c r="F3654" s="3" t="s">
        <v>2126</v>
      </c>
      <c r="G3654" s="7">
        <v>46010.70048348902</v>
      </c>
    </row>
    <row r="3655">
      <c r="A3655" s="3" t="s">
        <v>11722</v>
      </c>
      <c r="B3655" s="3" t="s">
        <v>377</v>
      </c>
      <c r="C3655" s="3" t="s">
        <v>56</v>
      </c>
      <c r="D3655" s="3" t="s">
        <v>68</v>
      </c>
      <c r="E3655" s="3" t="s">
        <v>100</v>
      </c>
      <c r="F3655" s="3" t="s">
        <v>470</v>
      </c>
      <c r="G3655" s="7">
        <v>46010.77165833442</v>
      </c>
    </row>
    <row r="3656">
      <c r="A3656" s="3" t="s">
        <v>11727</v>
      </c>
      <c r="B3656" s="3" t="s">
        <v>691</v>
      </c>
      <c r="C3656" s="3" t="s">
        <v>56</v>
      </c>
      <c r="D3656" s="3" t="s">
        <v>68</v>
      </c>
      <c r="E3656" s="3" t="s">
        <v>100</v>
      </c>
      <c r="F3656" s="3" t="s">
        <v>477</v>
      </c>
      <c r="G3656" s="7">
        <v>46010.84283317984</v>
      </c>
    </row>
    <row r="3657">
      <c r="A3657" s="3" t="s">
        <v>11730</v>
      </c>
      <c r="B3657" s="3" t="s">
        <v>765</v>
      </c>
      <c r="C3657" s="3" t="s">
        <v>1095</v>
      </c>
      <c r="D3657" s="3" t="s">
        <v>181</v>
      </c>
      <c r="E3657" s="3" t="s">
        <v>45</v>
      </c>
      <c r="F3657" s="3" t="s">
        <v>2088</v>
      </c>
      <c r="G3657" s="7">
        <v>46010.91400802526</v>
      </c>
    </row>
    <row r="3658">
      <c r="A3658" s="3" t="s">
        <v>11733</v>
      </c>
      <c r="B3658" s="3" t="s">
        <v>366</v>
      </c>
      <c r="C3658" s="3" t="s">
        <v>1342</v>
      </c>
      <c r="D3658" s="3" t="s">
        <v>181</v>
      </c>
      <c r="E3658" s="3" t="s">
        <v>45</v>
      </c>
      <c r="F3658" s="3" t="s">
        <v>2091</v>
      </c>
      <c r="G3658" s="7">
        <v>46010.985182870674</v>
      </c>
    </row>
    <row r="3659">
      <c r="A3659" s="3" t="s">
        <v>11736</v>
      </c>
      <c r="B3659" s="3" t="s">
        <v>424</v>
      </c>
      <c r="C3659" s="3" t="s">
        <v>1342</v>
      </c>
      <c r="D3659" s="3" t="s">
        <v>181</v>
      </c>
      <c r="E3659" s="3" t="s">
        <v>45</v>
      </c>
      <c r="F3659" s="3" t="s">
        <v>1346</v>
      </c>
      <c r="G3659" s="7">
        <v>46011.05635771609</v>
      </c>
    </row>
    <row r="3660">
      <c r="A3660" s="3" t="s">
        <v>11739</v>
      </c>
      <c r="B3660" s="3" t="s">
        <v>524</v>
      </c>
      <c r="C3660" s="3" t="s">
        <v>1342</v>
      </c>
      <c r="D3660" s="3" t="s">
        <v>181</v>
      </c>
      <c r="E3660" s="3" t="s">
        <v>45</v>
      </c>
      <c r="F3660" s="3" t="s">
        <v>2077</v>
      </c>
      <c r="G3660" s="7">
        <v>46011.127532561506</v>
      </c>
    </row>
    <row r="3661">
      <c r="A3661" s="3" t="s">
        <v>11743</v>
      </c>
      <c r="B3661" s="3" t="s">
        <v>341</v>
      </c>
      <c r="C3661" s="3" t="s">
        <v>1095</v>
      </c>
      <c r="D3661" s="3" t="s">
        <v>68</v>
      </c>
      <c r="E3661" s="3" t="s">
        <v>100</v>
      </c>
      <c r="F3661" s="3" t="s">
        <v>1766</v>
      </c>
      <c r="G3661" s="7">
        <v>46011.19870740692</v>
      </c>
    </row>
    <row r="3662">
      <c r="A3662" s="3" t="s">
        <v>11747</v>
      </c>
      <c r="B3662" s="3" t="s">
        <v>488</v>
      </c>
      <c r="C3662" s="3" t="s">
        <v>1342</v>
      </c>
      <c r="D3662" s="3" t="s">
        <v>68</v>
      </c>
      <c r="E3662" s="3" t="s">
        <v>100</v>
      </c>
      <c r="F3662" s="3" t="s">
        <v>2072</v>
      </c>
      <c r="G3662" s="7">
        <v>46011.26988225233</v>
      </c>
    </row>
    <row r="3663">
      <c r="A3663" s="3" t="s">
        <v>11750</v>
      </c>
      <c r="B3663" s="3" t="s">
        <v>296</v>
      </c>
      <c r="C3663" s="3" t="s">
        <v>1342</v>
      </c>
      <c r="D3663" s="3" t="s">
        <v>68</v>
      </c>
      <c r="E3663" s="3" t="s">
        <v>100</v>
      </c>
      <c r="F3663" s="3" t="s">
        <v>2052</v>
      </c>
      <c r="G3663" s="7">
        <v>46011.34105709775</v>
      </c>
    </row>
    <row r="3664">
      <c r="A3664" s="3" t="s">
        <v>11753</v>
      </c>
      <c r="B3664" s="3" t="s">
        <v>763</v>
      </c>
      <c r="C3664" s="3" t="s">
        <v>56</v>
      </c>
      <c r="D3664" s="3" t="s">
        <v>68</v>
      </c>
      <c r="E3664" s="3" t="s">
        <v>100</v>
      </c>
      <c r="F3664" s="3" t="s">
        <v>483</v>
      </c>
      <c r="G3664" s="7">
        <v>46011.41223194316</v>
      </c>
    </row>
    <row r="3665">
      <c r="A3665" s="3" t="s">
        <v>11757</v>
      </c>
      <c r="B3665" s="3" t="s">
        <v>883</v>
      </c>
      <c r="C3665" s="3" t="s">
        <v>1095</v>
      </c>
      <c r="D3665" s="3" t="s">
        <v>68</v>
      </c>
      <c r="E3665" s="3" t="s">
        <v>100</v>
      </c>
      <c r="F3665" s="3" t="s">
        <v>1997</v>
      </c>
      <c r="G3665" s="7">
        <v>46011.483406788575</v>
      </c>
    </row>
    <row r="3666">
      <c r="A3666" s="3" t="s">
        <v>11760</v>
      </c>
      <c r="B3666" s="3" t="s">
        <v>344</v>
      </c>
      <c r="C3666" s="3" t="s">
        <v>1095</v>
      </c>
      <c r="D3666" s="3" t="s">
        <v>181</v>
      </c>
      <c r="E3666" s="3" t="s">
        <v>45</v>
      </c>
      <c r="F3666" s="3" t="s">
        <v>1373</v>
      </c>
      <c r="G3666" s="7">
        <v>46011.554581633995</v>
      </c>
    </row>
    <row r="3667">
      <c r="A3667" s="3" t="s">
        <v>11764</v>
      </c>
      <c r="B3667" s="3" t="s">
        <v>993</v>
      </c>
      <c r="C3667" s="3" t="s">
        <v>56</v>
      </c>
      <c r="D3667" s="3" t="s">
        <v>68</v>
      </c>
      <c r="E3667" s="3" t="s">
        <v>100</v>
      </c>
      <c r="F3667" s="3" t="s">
        <v>490</v>
      </c>
      <c r="G3667" s="7">
        <v>46011.62575647941</v>
      </c>
    </row>
    <row r="3668">
      <c r="A3668" s="3" t="s">
        <v>11767</v>
      </c>
      <c r="B3668" s="3" t="s">
        <v>395</v>
      </c>
      <c r="C3668" s="3" t="s">
        <v>1342</v>
      </c>
      <c r="D3668" s="3" t="s">
        <v>68</v>
      </c>
      <c r="E3668" s="3" t="s">
        <v>100</v>
      </c>
      <c r="F3668" s="3" t="s">
        <v>1552</v>
      </c>
      <c r="G3668" s="7">
        <v>46011.69693132482</v>
      </c>
    </row>
    <row r="3669">
      <c r="A3669" s="3" t="s">
        <v>11768</v>
      </c>
      <c r="B3669" s="3" t="s">
        <v>224</v>
      </c>
      <c r="C3669" s="3" t="s">
        <v>56</v>
      </c>
      <c r="D3669" s="3" t="s">
        <v>68</v>
      </c>
      <c r="E3669" s="3" t="s">
        <v>100</v>
      </c>
      <c r="F3669" s="3" t="s">
        <v>495</v>
      </c>
      <c r="G3669" s="7">
        <v>46011.76810617024</v>
      </c>
    </row>
    <row r="3670">
      <c r="A3670" s="3" t="s">
        <v>11770</v>
      </c>
      <c r="B3670" s="3" t="s">
        <v>414</v>
      </c>
      <c r="C3670" s="3" t="s">
        <v>56</v>
      </c>
      <c r="D3670" s="3" t="s">
        <v>68</v>
      </c>
      <c r="E3670" s="3" t="s">
        <v>100</v>
      </c>
      <c r="F3670" s="3" t="s">
        <v>504</v>
      </c>
      <c r="G3670" s="7">
        <v>46011.83928101566</v>
      </c>
    </row>
    <row r="3671">
      <c r="A3671" s="3" t="s">
        <v>11772</v>
      </c>
      <c r="B3671" s="3" t="s">
        <v>751</v>
      </c>
      <c r="C3671" s="3" t="s">
        <v>56</v>
      </c>
      <c r="D3671" s="3" t="s">
        <v>68</v>
      </c>
      <c r="E3671" s="3" t="s">
        <v>100</v>
      </c>
      <c r="F3671" s="3" t="s">
        <v>509</v>
      </c>
      <c r="G3671" s="7">
        <v>46011.91045586106</v>
      </c>
    </row>
    <row r="3672">
      <c r="A3672" s="3" t="s">
        <v>11774</v>
      </c>
      <c r="B3672" s="3" t="s">
        <v>609</v>
      </c>
      <c r="C3672" s="3" t="s">
        <v>1342</v>
      </c>
      <c r="D3672" s="3" t="s">
        <v>68</v>
      </c>
      <c r="E3672" s="3" t="s">
        <v>100</v>
      </c>
      <c r="F3672" s="3" t="s">
        <v>996</v>
      </c>
      <c r="G3672" s="7">
        <v>46011.98163070648</v>
      </c>
    </row>
    <row r="3673">
      <c r="A3673" s="3" t="s">
        <v>11778</v>
      </c>
      <c r="B3673" s="3" t="s">
        <v>440</v>
      </c>
      <c r="C3673" s="3" t="s">
        <v>1095</v>
      </c>
      <c r="D3673" s="3" t="s">
        <v>68</v>
      </c>
      <c r="E3673" s="3" t="s">
        <v>100</v>
      </c>
      <c r="F3673" s="3" t="s">
        <v>2069</v>
      </c>
      <c r="G3673" s="7">
        <v>46012.0528055519</v>
      </c>
    </row>
    <row r="3674">
      <c r="A3674" s="3" t="s">
        <v>11781</v>
      </c>
      <c r="B3674" s="3" t="s">
        <v>581</v>
      </c>
      <c r="C3674" s="3" t="s">
        <v>1095</v>
      </c>
      <c r="D3674" s="3" t="s">
        <v>68</v>
      </c>
      <c r="E3674" s="3" t="s">
        <v>100</v>
      </c>
      <c r="F3674" s="3" t="s">
        <v>1581</v>
      </c>
      <c r="G3674" s="7">
        <v>46012.123980397315</v>
      </c>
    </row>
    <row r="3675">
      <c r="A3675" s="3" t="s">
        <v>11784</v>
      </c>
      <c r="B3675" s="3" t="s">
        <v>906</v>
      </c>
      <c r="C3675" s="3" t="s">
        <v>1342</v>
      </c>
      <c r="D3675" s="3" t="s">
        <v>195</v>
      </c>
      <c r="E3675" s="3" t="s">
        <v>45</v>
      </c>
      <c r="F3675" s="3" t="s">
        <v>1901</v>
      </c>
      <c r="G3675" s="7">
        <v>46012.19515524273</v>
      </c>
    </row>
    <row r="3676">
      <c r="A3676" s="3" t="s">
        <v>11788</v>
      </c>
      <c r="B3676" s="3" t="s">
        <v>845</v>
      </c>
      <c r="C3676" s="3" t="s">
        <v>1342</v>
      </c>
      <c r="D3676" s="3" t="s">
        <v>68</v>
      </c>
      <c r="E3676" s="3" t="s">
        <v>100</v>
      </c>
      <c r="F3676" s="3" t="s">
        <v>1100</v>
      </c>
      <c r="G3676" s="7">
        <v>46012.26633008815</v>
      </c>
    </row>
    <row r="3677">
      <c r="A3677" s="3" t="s">
        <v>11791</v>
      </c>
      <c r="B3677" s="3" t="s">
        <v>747</v>
      </c>
      <c r="C3677" s="3" t="s">
        <v>1095</v>
      </c>
      <c r="D3677" s="3" t="s">
        <v>195</v>
      </c>
      <c r="E3677" s="3" t="s">
        <v>45</v>
      </c>
      <c r="F3677" s="3" t="s">
        <v>1966</v>
      </c>
      <c r="G3677" s="7">
        <v>46012.33750493356</v>
      </c>
    </row>
    <row r="3678">
      <c r="A3678" s="3" t="s">
        <v>11793</v>
      </c>
      <c r="B3678" s="3" t="s">
        <v>1030</v>
      </c>
      <c r="C3678" s="3" t="s">
        <v>1095</v>
      </c>
      <c r="D3678" s="3" t="s">
        <v>68</v>
      </c>
      <c r="E3678" s="3" t="s">
        <v>100</v>
      </c>
      <c r="F3678" s="3" t="s">
        <v>1218</v>
      </c>
      <c r="G3678" s="7">
        <v>46012.40867977897</v>
      </c>
    </row>
    <row r="3679">
      <c r="A3679" s="3" t="s">
        <v>11794</v>
      </c>
      <c r="B3679" s="3" t="s">
        <v>373</v>
      </c>
      <c r="C3679" s="3" t="s">
        <v>1342</v>
      </c>
      <c r="D3679" s="3" t="s">
        <v>68</v>
      </c>
      <c r="E3679" s="3" t="s">
        <v>100</v>
      </c>
      <c r="F3679" s="3" t="s">
        <v>1715</v>
      </c>
      <c r="G3679" s="7">
        <v>46012.47985462439</v>
      </c>
    </row>
    <row r="3680">
      <c r="A3680" s="3" t="s">
        <v>11796</v>
      </c>
      <c r="B3680" s="3" t="s">
        <v>475</v>
      </c>
      <c r="C3680" s="3" t="s">
        <v>1342</v>
      </c>
      <c r="D3680" s="3" t="s">
        <v>68</v>
      </c>
      <c r="E3680" s="3" t="s">
        <v>100</v>
      </c>
      <c r="F3680" s="3" t="s">
        <v>1983</v>
      </c>
      <c r="G3680" s="7">
        <v>46012.55102946981</v>
      </c>
    </row>
    <row r="3681">
      <c r="A3681" s="3" t="s">
        <v>11800</v>
      </c>
      <c r="B3681" s="3" t="s">
        <v>344</v>
      </c>
      <c r="C3681" s="3" t="s">
        <v>1342</v>
      </c>
      <c r="D3681" s="3" t="s">
        <v>68</v>
      </c>
      <c r="E3681" s="3" t="s">
        <v>100</v>
      </c>
      <c r="F3681" s="3" t="s">
        <v>1373</v>
      </c>
      <c r="G3681" s="7">
        <v>46012.622204315216</v>
      </c>
    </row>
    <row r="3682">
      <c r="A3682" s="3" t="s">
        <v>11803</v>
      </c>
      <c r="B3682" s="3" t="s">
        <v>186</v>
      </c>
      <c r="C3682" s="3" t="s">
        <v>1342</v>
      </c>
      <c r="D3682" s="3" t="s">
        <v>68</v>
      </c>
      <c r="E3682" s="3" t="s">
        <v>100</v>
      </c>
      <c r="F3682" s="3" t="s">
        <v>1475</v>
      </c>
      <c r="G3682" s="7">
        <v>46012.693379160635</v>
      </c>
    </row>
    <row r="3683">
      <c r="A3683" s="3" t="s">
        <v>11806</v>
      </c>
      <c r="B3683" s="3" t="s">
        <v>202</v>
      </c>
      <c r="C3683" s="3" t="s">
        <v>56</v>
      </c>
      <c r="D3683" s="3" t="s">
        <v>68</v>
      </c>
      <c r="E3683" s="3" t="s">
        <v>100</v>
      </c>
      <c r="F3683" s="3" t="s">
        <v>518</v>
      </c>
      <c r="G3683" s="7">
        <v>46012.76455400605</v>
      </c>
    </row>
    <row r="3684">
      <c r="A3684" s="3" t="s">
        <v>11809</v>
      </c>
      <c r="B3684" s="3" t="s">
        <v>822</v>
      </c>
      <c r="C3684" s="3" t="s">
        <v>1342</v>
      </c>
      <c r="D3684" s="3" t="s">
        <v>68</v>
      </c>
      <c r="E3684" s="3" t="s">
        <v>100</v>
      </c>
      <c r="F3684" s="3" t="s">
        <v>2004</v>
      </c>
      <c r="G3684" s="7">
        <v>46012.83572885147</v>
      </c>
    </row>
    <row r="3685">
      <c r="A3685" s="3" t="s">
        <v>11812</v>
      </c>
      <c r="B3685" s="3" t="s">
        <v>547</v>
      </c>
      <c r="C3685" s="3" t="s">
        <v>1095</v>
      </c>
      <c r="D3685" s="3" t="s">
        <v>195</v>
      </c>
      <c r="E3685" s="3" t="s">
        <v>45</v>
      </c>
      <c r="F3685" s="3" t="s">
        <v>1171</v>
      </c>
      <c r="G3685" s="7">
        <v>46012.90690369688</v>
      </c>
    </row>
    <row r="3686">
      <c r="A3686" s="3" t="s">
        <v>11814</v>
      </c>
      <c r="B3686" s="3" t="s">
        <v>645</v>
      </c>
      <c r="C3686" s="3" t="s">
        <v>56</v>
      </c>
      <c r="D3686" s="3" t="s">
        <v>68</v>
      </c>
      <c r="E3686" s="3" t="s">
        <v>100</v>
      </c>
      <c r="F3686" s="3" t="s">
        <v>526</v>
      </c>
      <c r="G3686" s="7">
        <v>46012.9780785423</v>
      </c>
    </row>
    <row r="3687">
      <c r="A3687" s="3" t="s">
        <v>11816</v>
      </c>
      <c r="B3687" s="3" t="s">
        <v>1028</v>
      </c>
      <c r="C3687" s="3" t="s">
        <v>1342</v>
      </c>
      <c r="D3687" s="3" t="s">
        <v>68</v>
      </c>
      <c r="E3687" s="3" t="s">
        <v>100</v>
      </c>
      <c r="F3687" s="3" t="s">
        <v>1768</v>
      </c>
      <c r="G3687" s="7">
        <v>46013.049253387704</v>
      </c>
    </row>
    <row r="3688">
      <c r="A3688" s="3" t="s">
        <v>11818</v>
      </c>
      <c r="B3688" s="3" t="s">
        <v>1043</v>
      </c>
      <c r="C3688" s="3" t="s">
        <v>56</v>
      </c>
      <c r="D3688" s="3" t="s">
        <v>68</v>
      </c>
      <c r="E3688" s="3" t="s">
        <v>100</v>
      </c>
      <c r="F3688" s="3" t="s">
        <v>532</v>
      </c>
      <c r="G3688" s="7">
        <v>46013.120428233124</v>
      </c>
    </row>
    <row r="3689">
      <c r="A3689" s="3" t="s">
        <v>11820</v>
      </c>
      <c r="B3689" s="3" t="s">
        <v>778</v>
      </c>
      <c r="C3689" s="3" t="s">
        <v>1342</v>
      </c>
      <c r="D3689" s="3" t="s">
        <v>68</v>
      </c>
      <c r="E3689" s="3" t="s">
        <v>100</v>
      </c>
      <c r="F3689" s="3" t="s">
        <v>1575</v>
      </c>
      <c r="G3689" s="7">
        <v>46013.19160307854</v>
      </c>
    </row>
    <row r="3690">
      <c r="A3690" s="3" t="s">
        <v>11823</v>
      </c>
      <c r="B3690" s="3" t="s">
        <v>373</v>
      </c>
      <c r="C3690" s="3" t="s">
        <v>1342</v>
      </c>
      <c r="D3690" s="3" t="s">
        <v>68</v>
      </c>
      <c r="E3690" s="3" t="s">
        <v>100</v>
      </c>
      <c r="F3690" s="3" t="s">
        <v>1715</v>
      </c>
      <c r="G3690" s="7">
        <v>46013.262777923956</v>
      </c>
    </row>
    <row r="3691">
      <c r="A3691" s="3" t="s">
        <v>11824</v>
      </c>
      <c r="B3691" s="3" t="s">
        <v>972</v>
      </c>
      <c r="C3691" s="3" t="s">
        <v>1095</v>
      </c>
      <c r="D3691" s="3" t="s">
        <v>68</v>
      </c>
      <c r="E3691" s="3" t="s">
        <v>100</v>
      </c>
      <c r="F3691" s="3" t="s">
        <v>1366</v>
      </c>
      <c r="G3691" s="7">
        <v>46013.33395276937</v>
      </c>
    </row>
    <row r="3692">
      <c r="A3692" s="3" t="s">
        <v>11827</v>
      </c>
      <c r="B3692" s="3" t="s">
        <v>485</v>
      </c>
      <c r="C3692" s="3" t="s">
        <v>1342</v>
      </c>
      <c r="D3692" s="3" t="s">
        <v>68</v>
      </c>
      <c r="E3692" s="3" t="s">
        <v>100</v>
      </c>
      <c r="F3692" s="3" t="s">
        <v>1718</v>
      </c>
      <c r="G3692" s="7">
        <v>46013.40512761479</v>
      </c>
    </row>
    <row r="3693">
      <c r="A3693" s="3" t="s">
        <v>11830</v>
      </c>
      <c r="B3693" s="3" t="s">
        <v>883</v>
      </c>
      <c r="C3693" s="3" t="s">
        <v>56</v>
      </c>
      <c r="D3693" s="3" t="s">
        <v>68</v>
      </c>
      <c r="E3693" s="3" t="s">
        <v>100</v>
      </c>
      <c r="F3693" s="3" t="s">
        <v>538</v>
      </c>
      <c r="G3693" s="7">
        <v>46013.4763024602</v>
      </c>
    </row>
    <row r="3694">
      <c r="A3694" s="3" t="s">
        <v>11832</v>
      </c>
      <c r="B3694" s="3" t="s">
        <v>676</v>
      </c>
      <c r="C3694" s="3" t="s">
        <v>1342</v>
      </c>
      <c r="D3694" s="3" t="s">
        <v>68</v>
      </c>
      <c r="E3694" s="3" t="s">
        <v>100</v>
      </c>
      <c r="F3694" s="3" t="s">
        <v>1762</v>
      </c>
      <c r="G3694" s="7">
        <v>46013.54747730561</v>
      </c>
    </row>
    <row r="3695">
      <c r="A3695" s="3" t="s">
        <v>11834</v>
      </c>
      <c r="B3695" s="3" t="s">
        <v>587</v>
      </c>
      <c r="C3695" s="3" t="s">
        <v>1095</v>
      </c>
      <c r="D3695" s="3" t="s">
        <v>68</v>
      </c>
      <c r="E3695" s="3" t="s">
        <v>100</v>
      </c>
      <c r="F3695" s="3" t="s">
        <v>1048</v>
      </c>
      <c r="G3695" s="7">
        <v>46013.61865215103</v>
      </c>
    </row>
    <row r="3696">
      <c r="A3696" s="3" t="s">
        <v>11836</v>
      </c>
      <c r="B3696" s="3" t="s">
        <v>1040</v>
      </c>
      <c r="C3696" s="3" t="s">
        <v>1095</v>
      </c>
      <c r="D3696" s="3" t="s">
        <v>68</v>
      </c>
      <c r="E3696" s="3" t="s">
        <v>100</v>
      </c>
      <c r="F3696" s="3" t="s">
        <v>1656</v>
      </c>
      <c r="G3696" s="7">
        <v>46013.68982699645</v>
      </c>
    </row>
    <row r="3697">
      <c r="A3697" s="3" t="s">
        <v>11840</v>
      </c>
      <c r="B3697" s="3" t="s">
        <v>735</v>
      </c>
      <c r="C3697" s="3" t="s">
        <v>1342</v>
      </c>
      <c r="D3697" s="3" t="s">
        <v>68</v>
      </c>
      <c r="E3697" s="3" t="s">
        <v>100</v>
      </c>
      <c r="F3697" s="3" t="s">
        <v>1745</v>
      </c>
      <c r="G3697" s="7">
        <v>46013.761001841856</v>
      </c>
    </row>
    <row r="3698">
      <c r="A3698" s="3" t="s">
        <v>11842</v>
      </c>
      <c r="B3698" s="3" t="s">
        <v>224</v>
      </c>
      <c r="C3698" s="3" t="s">
        <v>1342</v>
      </c>
      <c r="D3698" s="3" t="s">
        <v>68</v>
      </c>
      <c r="E3698" s="3" t="s">
        <v>100</v>
      </c>
      <c r="F3698" s="3" t="s">
        <v>495</v>
      </c>
      <c r="G3698" s="7">
        <v>46013.832176687276</v>
      </c>
    </row>
    <row r="3699">
      <c r="A3699" s="3" t="s">
        <v>11843</v>
      </c>
      <c r="B3699" s="3" t="s">
        <v>751</v>
      </c>
      <c r="C3699" s="3" t="s">
        <v>1342</v>
      </c>
      <c r="D3699" s="3" t="s">
        <v>68</v>
      </c>
      <c r="E3699" s="3" t="s">
        <v>100</v>
      </c>
      <c r="F3699" s="3" t="s">
        <v>509</v>
      </c>
      <c r="G3699" s="7">
        <v>46013.903351532696</v>
      </c>
    </row>
    <row r="3700">
      <c r="A3700" s="3" t="s">
        <v>11845</v>
      </c>
      <c r="B3700" s="3" t="s">
        <v>322</v>
      </c>
      <c r="C3700" s="3" t="s">
        <v>1095</v>
      </c>
      <c r="D3700" s="3" t="s">
        <v>68</v>
      </c>
      <c r="E3700" s="3" t="s">
        <v>100</v>
      </c>
      <c r="F3700" s="3" t="s">
        <v>2018</v>
      </c>
      <c r="G3700" s="7">
        <v>46013.97452637811</v>
      </c>
    </row>
    <row r="3701">
      <c r="A3701" s="3" t="s">
        <v>11847</v>
      </c>
      <c r="B3701" s="3" t="s">
        <v>793</v>
      </c>
      <c r="C3701" s="3" t="s">
        <v>56</v>
      </c>
      <c r="D3701" s="3" t="s">
        <v>195</v>
      </c>
      <c r="E3701" s="3" t="s">
        <v>45</v>
      </c>
      <c r="F3701" s="3" t="s">
        <v>45</v>
      </c>
      <c r="G3701" s="7">
        <v>46014.04570122352</v>
      </c>
    </row>
    <row r="3702">
      <c r="A3702" s="3" t="s">
        <v>11850</v>
      </c>
      <c r="B3702" s="3" t="s">
        <v>204</v>
      </c>
      <c r="C3702" s="3" t="s">
        <v>1342</v>
      </c>
      <c r="D3702" s="3" t="s">
        <v>68</v>
      </c>
      <c r="E3702" s="3" t="s">
        <v>100</v>
      </c>
      <c r="F3702" s="3" t="s">
        <v>2059</v>
      </c>
      <c r="G3702" s="7">
        <v>46014.11687606894</v>
      </c>
    </row>
    <row r="3703">
      <c r="A3703" s="3" t="s">
        <v>11852</v>
      </c>
      <c r="B3703" s="3" t="s">
        <v>574</v>
      </c>
      <c r="C3703" s="3" t="s">
        <v>1342</v>
      </c>
      <c r="D3703" s="3" t="s">
        <v>68</v>
      </c>
      <c r="E3703" s="3" t="s">
        <v>100</v>
      </c>
      <c r="F3703" s="3" t="s">
        <v>1747</v>
      </c>
      <c r="G3703" s="7">
        <v>46014.18805091435</v>
      </c>
    </row>
    <row r="3704">
      <c r="A3704" s="3" t="s">
        <v>11854</v>
      </c>
      <c r="B3704" s="3" t="s">
        <v>472</v>
      </c>
      <c r="C3704" s="3" t="s">
        <v>56</v>
      </c>
      <c r="D3704" s="3" t="s">
        <v>68</v>
      </c>
      <c r="E3704" s="3" t="s">
        <v>100</v>
      </c>
      <c r="F3704" s="3" t="s">
        <v>549</v>
      </c>
      <c r="G3704" s="7">
        <v>46014.259225759764</v>
      </c>
    </row>
    <row r="3705">
      <c r="A3705" s="3" t="s">
        <v>11857</v>
      </c>
      <c r="B3705" s="3" t="s">
        <v>727</v>
      </c>
      <c r="C3705" s="3" t="s">
        <v>56</v>
      </c>
      <c r="D3705" s="3" t="s">
        <v>68</v>
      </c>
      <c r="E3705" s="3" t="s">
        <v>100</v>
      </c>
      <c r="F3705" s="3" t="s">
        <v>553</v>
      </c>
      <c r="G3705" s="7">
        <v>46014.330400605184</v>
      </c>
    </row>
    <row r="3706">
      <c r="A3706" s="3" t="s">
        <v>11860</v>
      </c>
      <c r="B3706" s="3" t="s">
        <v>584</v>
      </c>
      <c r="C3706" s="3" t="s">
        <v>1342</v>
      </c>
      <c r="D3706" s="3" t="s">
        <v>181</v>
      </c>
      <c r="E3706" s="3" t="s">
        <v>45</v>
      </c>
      <c r="F3706" s="3" t="s">
        <v>1261</v>
      </c>
      <c r="G3706" s="7">
        <v>46014.401575450596</v>
      </c>
    </row>
    <row r="3707">
      <c r="A3707" s="3" t="s">
        <v>11863</v>
      </c>
      <c r="B3707" s="3" t="s">
        <v>565</v>
      </c>
      <c r="C3707" s="3" t="s">
        <v>1095</v>
      </c>
      <c r="D3707" s="3" t="s">
        <v>68</v>
      </c>
      <c r="E3707" s="3" t="s">
        <v>100</v>
      </c>
      <c r="F3707" s="3" t="s">
        <v>1743</v>
      </c>
      <c r="G3707" s="7">
        <v>46014.47275029601</v>
      </c>
    </row>
    <row r="3708">
      <c r="A3708" s="3" t="s">
        <v>11864</v>
      </c>
      <c r="B3708" s="3" t="s">
        <v>449</v>
      </c>
      <c r="C3708" s="3" t="s">
        <v>56</v>
      </c>
      <c r="D3708" s="3" t="s">
        <v>68</v>
      </c>
      <c r="E3708" s="3" t="s">
        <v>100</v>
      </c>
      <c r="F3708" s="3" t="s">
        <v>560</v>
      </c>
      <c r="G3708" s="7">
        <v>46014.54392514143</v>
      </c>
    </row>
    <row r="3709">
      <c r="A3709" s="3" t="s">
        <v>11867</v>
      </c>
      <c r="B3709" s="3" t="s">
        <v>913</v>
      </c>
      <c r="C3709" s="3" t="s">
        <v>56</v>
      </c>
      <c r="D3709" s="3" t="s">
        <v>68</v>
      </c>
      <c r="E3709" s="3" t="s">
        <v>100</v>
      </c>
      <c r="F3709" s="3" t="s">
        <v>568</v>
      </c>
      <c r="G3709" s="7">
        <v>46014.61509998684</v>
      </c>
    </row>
    <row r="3710">
      <c r="A3710" s="3" t="s">
        <v>11869</v>
      </c>
      <c r="B3710" s="3" t="s">
        <v>574</v>
      </c>
      <c r="C3710" s="3" t="s">
        <v>1342</v>
      </c>
      <c r="D3710" s="3" t="s">
        <v>68</v>
      </c>
      <c r="E3710" s="3" t="s">
        <v>100</v>
      </c>
      <c r="F3710" s="3" t="s">
        <v>1747</v>
      </c>
      <c r="G3710" s="7">
        <v>46014.68627483225</v>
      </c>
    </row>
    <row r="3711">
      <c r="A3711" s="3" t="s">
        <v>11871</v>
      </c>
      <c r="B3711" s="3" t="s">
        <v>631</v>
      </c>
      <c r="C3711" s="3" t="s">
        <v>1342</v>
      </c>
      <c r="D3711" s="3" t="s">
        <v>68</v>
      </c>
      <c r="E3711" s="3" t="s">
        <v>100</v>
      </c>
      <c r="F3711" s="3" t="s">
        <v>1066</v>
      </c>
      <c r="G3711" s="7">
        <v>46014.75744967767</v>
      </c>
    </row>
    <row r="3712">
      <c r="A3712" s="3" t="s">
        <v>11873</v>
      </c>
      <c r="B3712" s="3" t="s">
        <v>468</v>
      </c>
      <c r="C3712" s="3" t="s">
        <v>56</v>
      </c>
      <c r="D3712" s="3" t="s">
        <v>68</v>
      </c>
      <c r="E3712" s="3" t="s">
        <v>100</v>
      </c>
      <c r="F3712" s="3" t="s">
        <v>578</v>
      </c>
      <c r="G3712" s="7">
        <v>46014.82862452309</v>
      </c>
    </row>
    <row r="3713">
      <c r="A3713" s="3" t="s">
        <v>11874</v>
      </c>
      <c r="B3713" s="3" t="s">
        <v>460</v>
      </c>
      <c r="C3713" s="3" t="s">
        <v>1342</v>
      </c>
      <c r="D3713" s="3" t="s">
        <v>68</v>
      </c>
      <c r="E3713" s="3" t="s">
        <v>100</v>
      </c>
      <c r="F3713" s="3" t="s">
        <v>1193</v>
      </c>
      <c r="G3713" s="7">
        <v>46014.8997993685</v>
      </c>
    </row>
    <row r="3714">
      <c r="A3714" s="3" t="s">
        <v>11876</v>
      </c>
      <c r="B3714" s="3" t="s">
        <v>584</v>
      </c>
      <c r="C3714" s="3" t="s">
        <v>1095</v>
      </c>
      <c r="D3714" s="3" t="s">
        <v>68</v>
      </c>
      <c r="E3714" s="3" t="s">
        <v>100</v>
      </c>
      <c r="F3714" s="3" t="s">
        <v>1261</v>
      </c>
      <c r="G3714" s="7">
        <v>46014.97097421392</v>
      </c>
    </row>
    <row r="3715">
      <c r="A3715" s="3" t="s">
        <v>11878</v>
      </c>
      <c r="B3715" s="3" t="s">
        <v>710</v>
      </c>
      <c r="C3715" s="3" t="s">
        <v>1342</v>
      </c>
      <c r="D3715" s="3" t="s">
        <v>68</v>
      </c>
      <c r="E3715" s="3" t="s">
        <v>100</v>
      </c>
      <c r="F3715" s="3" t="s">
        <v>1619</v>
      </c>
      <c r="G3715" s="7">
        <v>46015.042149059336</v>
      </c>
    </row>
    <row r="3716">
      <c r="A3716" s="3" t="s">
        <v>11880</v>
      </c>
      <c r="B3716" s="3" t="s">
        <v>906</v>
      </c>
      <c r="C3716" s="3" t="s">
        <v>1342</v>
      </c>
      <c r="D3716" s="3" t="s">
        <v>195</v>
      </c>
      <c r="E3716" s="3" t="s">
        <v>45</v>
      </c>
      <c r="F3716" s="3" t="s">
        <v>1901</v>
      </c>
      <c r="G3716" s="7">
        <v>46015.11332390475</v>
      </c>
    </row>
    <row r="3717">
      <c r="A3717" s="3" t="s">
        <v>11882</v>
      </c>
      <c r="B3717" s="3" t="s">
        <v>363</v>
      </c>
      <c r="C3717" s="3" t="s">
        <v>56</v>
      </c>
      <c r="D3717" s="3" t="s">
        <v>68</v>
      </c>
      <c r="E3717" s="3" t="s">
        <v>100</v>
      </c>
      <c r="F3717" s="3" t="s">
        <v>583</v>
      </c>
      <c r="G3717" s="7">
        <v>46015.18449875016</v>
      </c>
    </row>
    <row r="3718">
      <c r="A3718" s="3" t="s">
        <v>11884</v>
      </c>
      <c r="B3718" s="3" t="s">
        <v>536</v>
      </c>
      <c r="C3718" s="3" t="s">
        <v>1342</v>
      </c>
      <c r="D3718" s="3" t="s">
        <v>68</v>
      </c>
      <c r="E3718" s="3" t="s">
        <v>100</v>
      </c>
      <c r="F3718" s="3" t="s">
        <v>2067</v>
      </c>
      <c r="G3718" s="7">
        <v>46015.25567359558</v>
      </c>
    </row>
    <row r="3719">
      <c r="A3719" s="3" t="s">
        <v>11886</v>
      </c>
      <c r="B3719" s="3" t="s">
        <v>605</v>
      </c>
      <c r="C3719" s="3" t="s">
        <v>56</v>
      </c>
      <c r="D3719" s="3" t="s">
        <v>68</v>
      </c>
      <c r="E3719" s="3" t="s">
        <v>100</v>
      </c>
      <c r="F3719" s="3" t="s">
        <v>589</v>
      </c>
      <c r="G3719" s="7">
        <v>46015.32684844099</v>
      </c>
    </row>
    <row r="3720">
      <c r="A3720" s="3" t="s">
        <v>11888</v>
      </c>
      <c r="B3720" s="3" t="s">
        <v>316</v>
      </c>
      <c r="C3720" s="3" t="s">
        <v>56</v>
      </c>
      <c r="D3720" s="3" t="s">
        <v>68</v>
      </c>
      <c r="E3720" s="3" t="s">
        <v>100</v>
      </c>
      <c r="F3720" s="3" t="s">
        <v>595</v>
      </c>
      <c r="G3720" s="7">
        <v>46015.398023286405</v>
      </c>
    </row>
    <row r="3721">
      <c r="A3721" s="3" t="s">
        <v>11891</v>
      </c>
      <c r="B3721" s="3" t="s">
        <v>669</v>
      </c>
      <c r="C3721" s="3" t="s">
        <v>56</v>
      </c>
      <c r="D3721" s="3" t="s">
        <v>68</v>
      </c>
      <c r="E3721" s="3" t="s">
        <v>100</v>
      </c>
      <c r="F3721" s="3" t="s">
        <v>603</v>
      </c>
      <c r="G3721" s="7">
        <v>46015.469198131825</v>
      </c>
    </row>
    <row r="3722">
      <c r="A3722" s="3" t="s">
        <v>11894</v>
      </c>
      <c r="B3722" s="3" t="s">
        <v>307</v>
      </c>
      <c r="C3722" s="3" t="s">
        <v>1342</v>
      </c>
      <c r="D3722" s="3" t="s">
        <v>68</v>
      </c>
      <c r="E3722" s="3" t="s">
        <v>100</v>
      </c>
      <c r="F3722" s="3" t="s">
        <v>2111</v>
      </c>
      <c r="G3722" s="7">
        <v>46015.54037297724</v>
      </c>
    </row>
    <row r="3723">
      <c r="A3723" s="3" t="s">
        <v>11897</v>
      </c>
      <c r="B3723" s="3" t="s">
        <v>735</v>
      </c>
      <c r="C3723" s="3" t="s">
        <v>1095</v>
      </c>
      <c r="D3723" s="3" t="s">
        <v>68</v>
      </c>
      <c r="E3723" s="3" t="s">
        <v>100</v>
      </c>
      <c r="F3723" s="3" t="s">
        <v>1745</v>
      </c>
      <c r="G3723" s="7">
        <v>46015.61154782265</v>
      </c>
    </row>
    <row r="3724">
      <c r="A3724" s="3" t="s">
        <v>11900</v>
      </c>
      <c r="B3724" s="3" t="s">
        <v>253</v>
      </c>
      <c r="C3724" s="3" t="s">
        <v>56</v>
      </c>
      <c r="D3724" s="3" t="s">
        <v>68</v>
      </c>
      <c r="E3724" s="3" t="s">
        <v>100</v>
      </c>
      <c r="F3724" s="3" t="s">
        <v>611</v>
      </c>
      <c r="G3724" s="7">
        <v>46015.68272266807</v>
      </c>
    </row>
    <row r="3725">
      <c r="A3725" s="3" t="s">
        <v>11904</v>
      </c>
      <c r="B3725" s="3" t="s">
        <v>980</v>
      </c>
      <c r="C3725" s="3" t="s">
        <v>56</v>
      </c>
      <c r="D3725" s="3" t="s">
        <v>68</v>
      </c>
      <c r="E3725" s="3" t="s">
        <v>100</v>
      </c>
      <c r="F3725" s="3" t="s">
        <v>618</v>
      </c>
      <c r="G3725" s="7">
        <v>46015.75389751348</v>
      </c>
    </row>
    <row r="3726">
      <c r="A3726" s="3" t="s">
        <v>11908</v>
      </c>
      <c r="B3726" s="3" t="s">
        <v>539</v>
      </c>
      <c r="C3726" s="3" t="s">
        <v>1095</v>
      </c>
      <c r="D3726" s="3" t="s">
        <v>68</v>
      </c>
      <c r="E3726" s="3" t="s">
        <v>100</v>
      </c>
      <c r="F3726" s="3" t="s">
        <v>1864</v>
      </c>
      <c r="G3726" s="7">
        <v>46015.8250723589</v>
      </c>
    </row>
    <row r="3727">
      <c r="A3727" s="3" t="s">
        <v>11911</v>
      </c>
      <c r="B3727" s="3" t="s">
        <v>455</v>
      </c>
      <c r="C3727" s="3" t="s">
        <v>1342</v>
      </c>
      <c r="D3727" s="3" t="s">
        <v>68</v>
      </c>
      <c r="E3727" s="3" t="s">
        <v>100</v>
      </c>
      <c r="F3727" s="3" t="s">
        <v>2083</v>
      </c>
      <c r="G3727" s="7">
        <v>46015.89624720431</v>
      </c>
    </row>
    <row r="3728">
      <c r="A3728" s="3" t="s">
        <v>11914</v>
      </c>
      <c r="B3728" s="3" t="s">
        <v>479</v>
      </c>
      <c r="C3728" s="3" t="s">
        <v>1342</v>
      </c>
      <c r="D3728" s="3" t="s">
        <v>68</v>
      </c>
      <c r="E3728" s="3" t="s">
        <v>100</v>
      </c>
      <c r="F3728" s="3" t="s">
        <v>1782</v>
      </c>
      <c r="G3728" s="7">
        <v>46015.96742204973</v>
      </c>
    </row>
    <row r="3729">
      <c r="A3729" s="3" t="s">
        <v>11917</v>
      </c>
      <c r="B3729" s="3" t="s">
        <v>348</v>
      </c>
      <c r="C3729" s="3" t="s">
        <v>1095</v>
      </c>
      <c r="D3729" s="3" t="s">
        <v>68</v>
      </c>
      <c r="E3729" s="3" t="s">
        <v>100</v>
      </c>
      <c r="F3729" s="3" t="s">
        <v>1946</v>
      </c>
      <c r="G3729" s="7">
        <v>46016.03859689514</v>
      </c>
    </row>
    <row r="3730">
      <c r="A3730" s="3" t="s">
        <v>11920</v>
      </c>
      <c r="B3730" s="3" t="s">
        <v>811</v>
      </c>
      <c r="C3730" s="3" t="s">
        <v>1095</v>
      </c>
      <c r="D3730" s="3" t="s">
        <v>68</v>
      </c>
      <c r="E3730" s="3" t="s">
        <v>100</v>
      </c>
      <c r="F3730" s="3" t="s">
        <v>1772</v>
      </c>
      <c r="G3730" s="7">
        <v>46016.10977174056</v>
      </c>
    </row>
    <row r="3731">
      <c r="A3731" s="3" t="s">
        <v>11925</v>
      </c>
      <c r="B3731" s="3" t="s">
        <v>752</v>
      </c>
      <c r="C3731" s="3" t="s">
        <v>56</v>
      </c>
      <c r="D3731" s="3" t="s">
        <v>181</v>
      </c>
      <c r="E3731" s="3" t="s">
        <v>45</v>
      </c>
      <c r="F3731" s="3" t="s">
        <v>45</v>
      </c>
      <c r="G3731" s="7">
        <v>46016.18094658598</v>
      </c>
    </row>
    <row r="3732">
      <c r="A3732" s="3" t="s">
        <v>11928</v>
      </c>
      <c r="B3732" s="3" t="s">
        <v>369</v>
      </c>
      <c r="C3732" s="3" t="s">
        <v>56</v>
      </c>
      <c r="D3732" s="3" t="s">
        <v>68</v>
      </c>
      <c r="E3732" s="3" t="s">
        <v>100</v>
      </c>
      <c r="F3732" s="3" t="s">
        <v>626</v>
      </c>
      <c r="G3732" s="7">
        <v>46016.25212143139</v>
      </c>
    </row>
    <row r="3733">
      <c r="A3733" s="3" t="s">
        <v>11931</v>
      </c>
      <c r="B3733" s="3" t="s">
        <v>481</v>
      </c>
      <c r="C3733" s="3" t="s">
        <v>1342</v>
      </c>
      <c r="D3733" s="3" t="s">
        <v>68</v>
      </c>
      <c r="E3733" s="3" t="s">
        <v>100</v>
      </c>
      <c r="F3733" s="3" t="s">
        <v>1740</v>
      </c>
      <c r="G3733" s="7">
        <v>46016.3232962768</v>
      </c>
    </row>
    <row r="3734">
      <c r="A3734" s="3" t="s">
        <v>11934</v>
      </c>
      <c r="B3734" s="3" t="s">
        <v>519</v>
      </c>
      <c r="C3734" s="3" t="s">
        <v>56</v>
      </c>
      <c r="D3734" s="3" t="s">
        <v>181</v>
      </c>
      <c r="E3734" s="3" t="s">
        <v>45</v>
      </c>
      <c r="F3734" s="3" t="s">
        <v>45</v>
      </c>
      <c r="G3734" s="7">
        <v>46016.39447112222</v>
      </c>
    </row>
    <row r="3735">
      <c r="A3735" s="3" t="s">
        <v>11937</v>
      </c>
      <c r="B3735" s="3" t="s">
        <v>587</v>
      </c>
      <c r="C3735" s="3" t="s">
        <v>56</v>
      </c>
      <c r="D3735" s="3" t="s">
        <v>68</v>
      </c>
      <c r="E3735" s="3" t="s">
        <v>100</v>
      </c>
      <c r="F3735" s="3" t="s">
        <v>633</v>
      </c>
      <c r="G3735" s="7">
        <v>46016.46564596763</v>
      </c>
    </row>
    <row r="3736">
      <c r="A3736" s="3" t="s">
        <v>11940</v>
      </c>
      <c r="B3736" s="3" t="s">
        <v>256</v>
      </c>
      <c r="C3736" s="3" t="s">
        <v>56</v>
      </c>
      <c r="D3736" s="3" t="s">
        <v>68</v>
      </c>
      <c r="E3736" s="3" t="s">
        <v>100</v>
      </c>
      <c r="F3736" s="3" t="s">
        <v>641</v>
      </c>
      <c r="G3736" s="7">
        <v>46016.536820813046</v>
      </c>
    </row>
    <row r="3737">
      <c r="A3737" s="3" t="s">
        <v>11943</v>
      </c>
      <c r="B3737" s="3" t="s">
        <v>710</v>
      </c>
      <c r="C3737" s="3" t="s">
        <v>1095</v>
      </c>
      <c r="D3737" s="3" t="s">
        <v>68</v>
      </c>
      <c r="E3737" s="3" t="s">
        <v>100</v>
      </c>
      <c r="F3737" s="3" t="s">
        <v>1619</v>
      </c>
      <c r="G3737" s="7">
        <v>46016.607995658465</v>
      </c>
    </row>
    <row r="3738">
      <c r="A3738" s="3" t="s">
        <v>11946</v>
      </c>
      <c r="B3738" s="3" t="s">
        <v>137</v>
      </c>
      <c r="C3738" s="3" t="s">
        <v>56</v>
      </c>
      <c r="D3738" s="3" t="s">
        <v>68</v>
      </c>
      <c r="E3738" s="3" t="s">
        <v>100</v>
      </c>
      <c r="F3738" s="3" t="s">
        <v>646</v>
      </c>
      <c r="G3738" s="7">
        <v>46016.679170503885</v>
      </c>
    </row>
    <row r="3739">
      <c r="A3739" s="3" t="s">
        <v>11949</v>
      </c>
      <c r="B3739" s="3" t="s">
        <v>123</v>
      </c>
      <c r="C3739" s="3" t="s">
        <v>1342</v>
      </c>
      <c r="D3739" s="3" t="s">
        <v>68</v>
      </c>
      <c r="E3739" s="3" t="s">
        <v>100</v>
      </c>
      <c r="F3739" s="3" t="s">
        <v>1455</v>
      </c>
      <c r="G3739" s="7">
        <v>46016.75034534929</v>
      </c>
    </row>
    <row r="3740">
      <c r="A3740" s="3" t="s">
        <v>11952</v>
      </c>
      <c r="B3740" s="3" t="s">
        <v>900</v>
      </c>
      <c r="C3740" s="3" t="s">
        <v>1342</v>
      </c>
      <c r="D3740" s="3" t="s">
        <v>68</v>
      </c>
      <c r="E3740" s="3" t="s">
        <v>100</v>
      </c>
      <c r="F3740" s="3" t="s">
        <v>2105</v>
      </c>
      <c r="G3740" s="7">
        <v>46016.82152019471</v>
      </c>
    </row>
    <row r="3741">
      <c r="A3741" s="3" t="s">
        <v>11955</v>
      </c>
      <c r="B3741" s="3" t="s">
        <v>965</v>
      </c>
      <c r="C3741" s="3" t="s">
        <v>56</v>
      </c>
      <c r="D3741" s="3" t="s">
        <v>68</v>
      </c>
      <c r="E3741" s="3" t="s">
        <v>100</v>
      </c>
      <c r="F3741" s="3" t="s">
        <v>653</v>
      </c>
      <c r="G3741" s="7">
        <v>46016.89269504012</v>
      </c>
    </row>
    <row r="3742">
      <c r="A3742" s="3" t="s">
        <v>11958</v>
      </c>
      <c r="B3742" s="3" t="s">
        <v>383</v>
      </c>
      <c r="C3742" s="3" t="s">
        <v>1342</v>
      </c>
      <c r="D3742" s="3" t="s">
        <v>68</v>
      </c>
      <c r="E3742" s="3" t="s">
        <v>100</v>
      </c>
      <c r="F3742" s="3" t="s">
        <v>1907</v>
      </c>
      <c r="G3742" s="7">
        <v>46016.96386988554</v>
      </c>
    </row>
    <row r="3743">
      <c r="A3743" s="3" t="s">
        <v>11961</v>
      </c>
      <c r="B3743" s="3" t="s">
        <v>530</v>
      </c>
      <c r="C3743" s="3" t="s">
        <v>1342</v>
      </c>
      <c r="D3743" s="3" t="s">
        <v>68</v>
      </c>
      <c r="E3743" s="3" t="s">
        <v>100</v>
      </c>
      <c r="F3743" s="3" t="s">
        <v>1988</v>
      </c>
      <c r="G3743" s="7">
        <v>46017.035044730954</v>
      </c>
    </row>
    <row r="3744">
      <c r="A3744" s="3" t="s">
        <v>11962</v>
      </c>
      <c r="B3744" s="3" t="s">
        <v>296</v>
      </c>
      <c r="C3744" s="3" t="s">
        <v>1095</v>
      </c>
      <c r="D3744" s="3" t="s">
        <v>68</v>
      </c>
      <c r="E3744" s="3" t="s">
        <v>100</v>
      </c>
      <c r="F3744" s="3" t="s">
        <v>2052</v>
      </c>
      <c r="G3744" s="7">
        <v>46017.10621957637</v>
      </c>
    </row>
    <row r="3745">
      <c r="A3745" s="3" t="s">
        <v>11965</v>
      </c>
      <c r="B3745" s="3" t="s">
        <v>541</v>
      </c>
      <c r="C3745" s="3" t="s">
        <v>1095</v>
      </c>
      <c r="D3745" s="3" t="s">
        <v>68</v>
      </c>
      <c r="E3745" s="3" t="s">
        <v>100</v>
      </c>
      <c r="F3745" s="3" t="s">
        <v>1793</v>
      </c>
      <c r="G3745" s="7">
        <v>46017.177394421786</v>
      </c>
    </row>
    <row r="3746">
      <c r="A3746" s="3" t="s">
        <v>11966</v>
      </c>
      <c r="B3746" s="3" t="s">
        <v>455</v>
      </c>
      <c r="C3746" s="3" t="s">
        <v>1342</v>
      </c>
      <c r="D3746" s="3" t="s">
        <v>181</v>
      </c>
      <c r="E3746" s="3" t="s">
        <v>45</v>
      </c>
      <c r="F3746" s="3" t="s">
        <v>2083</v>
      </c>
      <c r="G3746" s="7">
        <v>46017.2485692672</v>
      </c>
    </row>
    <row r="3747">
      <c r="A3747" s="3" t="s">
        <v>11968</v>
      </c>
      <c r="B3747" s="3" t="s">
        <v>830</v>
      </c>
      <c r="C3747" s="3" t="s">
        <v>1342</v>
      </c>
      <c r="D3747" s="3" t="s">
        <v>181</v>
      </c>
      <c r="E3747" s="3" t="s">
        <v>45</v>
      </c>
      <c r="F3747" s="3" t="s">
        <v>2103</v>
      </c>
      <c r="G3747" s="7">
        <v>46017.31974411262</v>
      </c>
    </row>
    <row r="3748">
      <c r="A3748" s="3" t="s">
        <v>11970</v>
      </c>
      <c r="B3748" s="3" t="s">
        <v>763</v>
      </c>
      <c r="C3748" s="3" t="s">
        <v>1095</v>
      </c>
      <c r="D3748" s="3" t="s">
        <v>68</v>
      </c>
      <c r="E3748" s="3" t="s">
        <v>100</v>
      </c>
      <c r="F3748" s="3" t="s">
        <v>483</v>
      </c>
      <c r="G3748" s="7">
        <v>46017.39091895803</v>
      </c>
    </row>
    <row r="3749">
      <c r="A3749" s="3" t="s">
        <v>11973</v>
      </c>
      <c r="B3749" s="3" t="s">
        <v>507</v>
      </c>
      <c r="C3749" s="3" t="s">
        <v>1342</v>
      </c>
      <c r="D3749" s="3" t="s">
        <v>181</v>
      </c>
      <c r="E3749" s="3" t="s">
        <v>45</v>
      </c>
      <c r="F3749" s="3" t="s">
        <v>1706</v>
      </c>
      <c r="G3749" s="7">
        <v>46017.46209380344</v>
      </c>
    </row>
    <row r="3750">
      <c r="A3750" s="3" t="s">
        <v>11976</v>
      </c>
      <c r="B3750" s="3" t="s">
        <v>685</v>
      </c>
      <c r="C3750" s="3" t="s">
        <v>1095</v>
      </c>
      <c r="D3750" s="3" t="s">
        <v>68</v>
      </c>
      <c r="E3750" s="3" t="s">
        <v>100</v>
      </c>
      <c r="F3750" s="3" t="s">
        <v>2013</v>
      </c>
      <c r="G3750" s="7">
        <v>46017.53326864886</v>
      </c>
    </row>
    <row r="3751">
      <c r="A3751" s="3" t="s">
        <v>11979</v>
      </c>
      <c r="B3751" s="3" t="s">
        <v>805</v>
      </c>
      <c r="C3751" s="3" t="s">
        <v>1095</v>
      </c>
      <c r="D3751" s="3" t="s">
        <v>68</v>
      </c>
      <c r="E3751" s="3" t="s">
        <v>100</v>
      </c>
      <c r="F3751" s="3" t="s">
        <v>1956</v>
      </c>
      <c r="G3751" s="7">
        <v>46017.604443494274</v>
      </c>
    </row>
    <row r="3752">
      <c r="A3752" s="3" t="s">
        <v>11981</v>
      </c>
      <c r="B3752" s="3" t="s">
        <v>521</v>
      </c>
      <c r="C3752" s="3" t="s">
        <v>56</v>
      </c>
      <c r="D3752" s="3" t="s">
        <v>68</v>
      </c>
      <c r="E3752" s="3" t="s">
        <v>100</v>
      </c>
      <c r="F3752" s="3" t="s">
        <v>659</v>
      </c>
      <c r="G3752" s="7">
        <v>46017.67561833969</v>
      </c>
    </row>
    <row r="3753">
      <c r="A3753" s="3" t="s">
        <v>11983</v>
      </c>
      <c r="B3753" s="3" t="s">
        <v>348</v>
      </c>
      <c r="C3753" s="3" t="s">
        <v>56</v>
      </c>
      <c r="D3753" s="3" t="s">
        <v>68</v>
      </c>
      <c r="E3753" s="3" t="s">
        <v>100</v>
      </c>
      <c r="F3753" s="3" t="s">
        <v>668</v>
      </c>
      <c r="G3753" s="7">
        <v>46017.746793185106</v>
      </c>
    </row>
    <row r="3754">
      <c r="A3754" s="3" t="s">
        <v>11986</v>
      </c>
      <c r="B3754" s="3" t="s">
        <v>622</v>
      </c>
      <c r="C3754" s="3" t="s">
        <v>56</v>
      </c>
      <c r="D3754" s="3" t="s">
        <v>68</v>
      </c>
      <c r="E3754" s="3" t="s">
        <v>100</v>
      </c>
      <c r="F3754" s="3" t="s">
        <v>681</v>
      </c>
      <c r="G3754" s="7">
        <v>46017.817968030526</v>
      </c>
    </row>
    <row r="3755">
      <c r="A3755" s="3" t="s">
        <v>11989</v>
      </c>
      <c r="B3755" s="3" t="s">
        <v>310</v>
      </c>
      <c r="C3755" s="3" t="s">
        <v>1342</v>
      </c>
      <c r="D3755" s="3" t="s">
        <v>68</v>
      </c>
      <c r="E3755" s="3" t="s">
        <v>100</v>
      </c>
      <c r="F3755" s="3" t="s">
        <v>1545</v>
      </c>
      <c r="G3755" s="7">
        <v>46017.88914287593</v>
      </c>
    </row>
    <row r="3756">
      <c r="A3756" s="3" t="s">
        <v>11992</v>
      </c>
      <c r="B3756" s="3" t="s">
        <v>424</v>
      </c>
      <c r="C3756" s="3" t="s">
        <v>1342</v>
      </c>
      <c r="D3756" s="3" t="s">
        <v>68</v>
      </c>
      <c r="E3756" s="3" t="s">
        <v>100</v>
      </c>
      <c r="F3756" s="3" t="s">
        <v>1346</v>
      </c>
      <c r="G3756" s="7">
        <v>46017.96031772135</v>
      </c>
    </row>
    <row r="3757">
      <c r="A3757" s="3" t="s">
        <v>11994</v>
      </c>
      <c r="B3757" s="3" t="s">
        <v>189</v>
      </c>
      <c r="C3757" s="3" t="s">
        <v>56</v>
      </c>
      <c r="D3757" s="3" t="s">
        <v>68</v>
      </c>
      <c r="E3757" s="3" t="s">
        <v>100</v>
      </c>
      <c r="F3757" s="3" t="s">
        <v>688</v>
      </c>
      <c r="G3757" s="7">
        <v>46018.03149256677</v>
      </c>
    </row>
    <row r="3758">
      <c r="A3758" s="3" t="s">
        <v>11996</v>
      </c>
      <c r="B3758" s="3" t="s">
        <v>266</v>
      </c>
      <c r="C3758" s="3" t="s">
        <v>1095</v>
      </c>
      <c r="D3758" s="3" t="s">
        <v>68</v>
      </c>
      <c r="E3758" s="3" t="s">
        <v>100</v>
      </c>
      <c r="F3758" s="3" t="s">
        <v>1789</v>
      </c>
      <c r="G3758" s="7">
        <v>46018.10266741218</v>
      </c>
    </row>
    <row r="3759">
      <c r="A3759" s="3" t="s">
        <v>11999</v>
      </c>
      <c r="B3759" s="3" t="s">
        <v>453</v>
      </c>
      <c r="C3759" s="3" t="s">
        <v>1095</v>
      </c>
      <c r="D3759" s="3" t="s">
        <v>68</v>
      </c>
      <c r="E3759" s="3" t="s">
        <v>100</v>
      </c>
      <c r="F3759" s="3" t="s">
        <v>1451</v>
      </c>
      <c r="G3759" s="7">
        <v>46018.173842257595</v>
      </c>
    </row>
    <row r="3760">
      <c r="A3760" s="3" t="s">
        <v>12002</v>
      </c>
      <c r="B3760" s="3" t="s">
        <v>326</v>
      </c>
      <c r="C3760" s="3" t="s">
        <v>1095</v>
      </c>
      <c r="D3760" s="3" t="s">
        <v>68</v>
      </c>
      <c r="E3760" s="3" t="s">
        <v>100</v>
      </c>
      <c r="F3760" s="3" t="s">
        <v>1560</v>
      </c>
      <c r="G3760" s="7">
        <v>46018.245017103014</v>
      </c>
    </row>
    <row r="3761">
      <c r="A3761" s="3" t="s">
        <v>12005</v>
      </c>
      <c r="B3761" s="3" t="s">
        <v>159</v>
      </c>
      <c r="C3761" s="3" t="s">
        <v>1342</v>
      </c>
      <c r="D3761" s="3" t="s">
        <v>68</v>
      </c>
      <c r="E3761" s="3" t="s">
        <v>100</v>
      </c>
      <c r="F3761" s="3" t="s">
        <v>1292</v>
      </c>
      <c r="G3761" s="7">
        <v>46018.31619194843</v>
      </c>
    </row>
    <row r="3762">
      <c r="A3762" s="3" t="s">
        <v>12007</v>
      </c>
      <c r="B3762" s="3" t="s">
        <v>380</v>
      </c>
      <c r="C3762" s="3" t="s">
        <v>56</v>
      </c>
      <c r="D3762" s="3" t="s">
        <v>68</v>
      </c>
      <c r="E3762" s="3" t="s">
        <v>100</v>
      </c>
      <c r="F3762" s="3" t="s">
        <v>701</v>
      </c>
      <c r="G3762" s="7">
        <v>46018.38736679384</v>
      </c>
    </row>
    <row r="3763">
      <c r="A3763" s="3" t="s">
        <v>12009</v>
      </c>
      <c r="B3763" s="3" t="s">
        <v>455</v>
      </c>
      <c r="C3763" s="3" t="s">
        <v>1095</v>
      </c>
      <c r="D3763" s="3" t="s">
        <v>68</v>
      </c>
      <c r="E3763" s="3" t="s">
        <v>100</v>
      </c>
      <c r="F3763" s="3" t="s">
        <v>2083</v>
      </c>
      <c r="G3763" s="7">
        <v>46018.45854163926</v>
      </c>
    </row>
    <row r="3764">
      <c r="A3764" s="3" t="s">
        <v>12012</v>
      </c>
      <c r="B3764" s="3" t="s">
        <v>632</v>
      </c>
      <c r="C3764" s="3" t="s">
        <v>1342</v>
      </c>
      <c r="D3764" s="3" t="s">
        <v>68</v>
      </c>
      <c r="E3764" s="3" t="s">
        <v>100</v>
      </c>
      <c r="F3764" s="3" t="s">
        <v>1485</v>
      </c>
      <c r="G3764" s="7">
        <v>46018.52971648467</v>
      </c>
    </row>
    <row r="3765">
      <c r="A3765" s="3" t="s">
        <v>12015</v>
      </c>
      <c r="B3765" s="3" t="s">
        <v>344</v>
      </c>
      <c r="C3765" s="3" t="s">
        <v>1342</v>
      </c>
      <c r="D3765" s="3" t="s">
        <v>68</v>
      </c>
      <c r="E3765" s="3" t="s">
        <v>100</v>
      </c>
      <c r="F3765" s="3" t="s">
        <v>1373</v>
      </c>
      <c r="G3765" s="7">
        <v>46018.60089133008</v>
      </c>
    </row>
    <row r="3766">
      <c r="A3766" s="3" t="s">
        <v>12017</v>
      </c>
      <c r="B3766" s="3" t="s">
        <v>747</v>
      </c>
      <c r="C3766" s="3" t="s">
        <v>1095</v>
      </c>
      <c r="D3766" s="3" t="s">
        <v>68</v>
      </c>
      <c r="E3766" s="3" t="s">
        <v>100</v>
      </c>
      <c r="F3766" s="3" t="s">
        <v>1966</v>
      </c>
      <c r="G3766" s="7">
        <v>46018.6720661755</v>
      </c>
    </row>
    <row r="3767">
      <c r="A3767" s="3" t="s">
        <v>12019</v>
      </c>
      <c r="B3767" s="3" t="s">
        <v>326</v>
      </c>
      <c r="C3767" s="3" t="s">
        <v>56</v>
      </c>
      <c r="D3767" s="3" t="s">
        <v>68</v>
      </c>
      <c r="E3767" s="3" t="s">
        <v>100</v>
      </c>
      <c r="F3767" s="3" t="s">
        <v>705</v>
      </c>
      <c r="G3767" s="7">
        <v>46018.743241020915</v>
      </c>
    </row>
    <row r="3768">
      <c r="A3768" s="3" t="s">
        <v>12022</v>
      </c>
      <c r="B3768" s="3" t="s">
        <v>767</v>
      </c>
      <c r="C3768" s="3" t="s">
        <v>1095</v>
      </c>
      <c r="D3768" s="3" t="s">
        <v>68</v>
      </c>
      <c r="E3768" s="3" t="s">
        <v>100</v>
      </c>
      <c r="F3768" s="3" t="s">
        <v>1728</v>
      </c>
      <c r="G3768" s="7">
        <v>46018.81441586633</v>
      </c>
    </row>
    <row r="3769">
      <c r="A3769" s="3" t="s">
        <v>12025</v>
      </c>
      <c r="B3769" s="3" t="s">
        <v>226</v>
      </c>
      <c r="C3769" s="3" t="s">
        <v>1342</v>
      </c>
      <c r="D3769" s="3" t="s">
        <v>68</v>
      </c>
      <c r="E3769" s="3" t="s">
        <v>100</v>
      </c>
      <c r="F3769" s="3" t="s">
        <v>1975</v>
      </c>
      <c r="G3769" s="7">
        <v>46018.88559071175</v>
      </c>
    </row>
    <row r="3770">
      <c r="A3770" s="3" t="s">
        <v>12026</v>
      </c>
      <c r="B3770" s="3" t="s">
        <v>236</v>
      </c>
      <c r="C3770" s="3" t="s">
        <v>56</v>
      </c>
      <c r="D3770" s="3" t="s">
        <v>181</v>
      </c>
      <c r="E3770" s="3" t="s">
        <v>45</v>
      </c>
      <c r="F3770" s="3" t="s">
        <v>45</v>
      </c>
      <c r="G3770" s="7">
        <v>46018.95676555717</v>
      </c>
    </row>
    <row r="3771">
      <c r="A3771" s="3" t="s">
        <v>12029</v>
      </c>
      <c r="B3771" s="3" t="s">
        <v>672</v>
      </c>
      <c r="C3771" s="3" t="s">
        <v>1342</v>
      </c>
      <c r="D3771" s="3" t="s">
        <v>68</v>
      </c>
      <c r="E3771" s="3" t="s">
        <v>100</v>
      </c>
      <c r="F3771" s="3" t="s">
        <v>2115</v>
      </c>
      <c r="G3771" s="7">
        <v>46019.02794040257</v>
      </c>
    </row>
    <row r="3772">
      <c r="A3772" s="3" t="s">
        <v>12034</v>
      </c>
      <c r="B3772" s="3" t="s">
        <v>822</v>
      </c>
      <c r="C3772" s="3" t="s">
        <v>1095</v>
      </c>
      <c r="D3772" s="3" t="s">
        <v>181</v>
      </c>
      <c r="E3772" s="3" t="s">
        <v>45</v>
      </c>
      <c r="F3772" s="3" t="s">
        <v>2004</v>
      </c>
      <c r="G3772" s="7">
        <v>46019.09911524799</v>
      </c>
    </row>
    <row r="3773">
      <c r="A3773" s="3" t="s">
        <v>12036</v>
      </c>
      <c r="B3773" s="3" t="s">
        <v>1021</v>
      </c>
      <c r="C3773" s="3" t="s">
        <v>1342</v>
      </c>
      <c r="D3773" s="3" t="s">
        <v>68</v>
      </c>
      <c r="E3773" s="3" t="s">
        <v>100</v>
      </c>
      <c r="F3773" s="3" t="s">
        <v>1671</v>
      </c>
      <c r="G3773" s="7">
        <v>46019.17029009341</v>
      </c>
    </row>
    <row r="3774">
      <c r="A3774" s="3" t="s">
        <v>12038</v>
      </c>
      <c r="B3774" s="3" t="s">
        <v>527</v>
      </c>
      <c r="C3774" s="3" t="s">
        <v>1342</v>
      </c>
      <c r="D3774" s="3" t="s">
        <v>68</v>
      </c>
      <c r="E3774" s="3" t="s">
        <v>100</v>
      </c>
      <c r="F3774" s="3" t="s">
        <v>1820</v>
      </c>
      <c r="G3774" s="7">
        <v>46019.24146493882</v>
      </c>
    </row>
    <row r="3775">
      <c r="A3775" s="3" t="s">
        <v>12040</v>
      </c>
      <c r="B3775" s="3" t="s">
        <v>785</v>
      </c>
      <c r="C3775" s="3" t="s">
        <v>56</v>
      </c>
      <c r="D3775" s="3" t="s">
        <v>68</v>
      </c>
      <c r="E3775" s="3" t="s">
        <v>100</v>
      </c>
      <c r="F3775" s="3" t="s">
        <v>712</v>
      </c>
      <c r="G3775" s="7">
        <v>46019.312639784235</v>
      </c>
    </row>
    <row r="3776">
      <c r="A3776" s="3" t="s">
        <v>12043</v>
      </c>
      <c r="B3776" s="3" t="s">
        <v>1026</v>
      </c>
      <c r="C3776" s="3" t="s">
        <v>1342</v>
      </c>
      <c r="D3776" s="3" t="s">
        <v>68</v>
      </c>
      <c r="E3776" s="3" t="s">
        <v>100</v>
      </c>
      <c r="F3776" s="3" t="s">
        <v>1684</v>
      </c>
      <c r="G3776" s="7">
        <v>46019.383814629655</v>
      </c>
    </row>
    <row r="3777">
      <c r="A3777" s="3" t="s">
        <v>12047</v>
      </c>
      <c r="B3777" s="3" t="s">
        <v>652</v>
      </c>
      <c r="C3777" s="3" t="s">
        <v>1095</v>
      </c>
      <c r="D3777" s="3" t="s">
        <v>68</v>
      </c>
      <c r="E3777" s="3" t="s">
        <v>100</v>
      </c>
      <c r="F3777" s="3" t="s">
        <v>2081</v>
      </c>
      <c r="G3777" s="7">
        <v>46019.45498947507</v>
      </c>
    </row>
    <row r="3778">
      <c r="A3778" s="3" t="s">
        <v>12050</v>
      </c>
      <c r="B3778" s="3" t="s">
        <v>760</v>
      </c>
      <c r="C3778" s="3" t="s">
        <v>56</v>
      </c>
      <c r="D3778" s="3" t="s">
        <v>68</v>
      </c>
      <c r="E3778" s="3" t="s">
        <v>100</v>
      </c>
      <c r="F3778" s="3" t="s">
        <v>716</v>
      </c>
      <c r="G3778" s="7">
        <v>46019.52616432048</v>
      </c>
    </row>
    <row r="3779">
      <c r="A3779" s="3" t="s">
        <v>12053</v>
      </c>
      <c r="B3779" s="3" t="s">
        <v>485</v>
      </c>
      <c r="C3779" s="3" t="s">
        <v>1342</v>
      </c>
      <c r="D3779" s="3" t="s">
        <v>68</v>
      </c>
      <c r="E3779" s="3" t="s">
        <v>100</v>
      </c>
      <c r="F3779" s="3" t="s">
        <v>1718</v>
      </c>
      <c r="G3779" s="7">
        <v>46019.5973391659</v>
      </c>
    </row>
    <row r="3780">
      <c r="A3780" s="3" t="s">
        <v>12056</v>
      </c>
      <c r="B3780" s="3" t="s">
        <v>330</v>
      </c>
      <c r="C3780" s="3" t="s">
        <v>56</v>
      </c>
      <c r="D3780" s="3" t="s">
        <v>68</v>
      </c>
      <c r="E3780" s="3" t="s">
        <v>100</v>
      </c>
      <c r="F3780" s="3" t="s">
        <v>721</v>
      </c>
      <c r="G3780" s="7">
        <v>46019.66851401131</v>
      </c>
    </row>
    <row r="3781">
      <c r="A3781" s="3" t="s">
        <v>12060</v>
      </c>
      <c r="B3781" s="3" t="s">
        <v>330</v>
      </c>
      <c r="C3781" s="3" t="s">
        <v>1095</v>
      </c>
      <c r="D3781" s="3" t="s">
        <v>181</v>
      </c>
      <c r="E3781" s="3" t="s">
        <v>45</v>
      </c>
      <c r="F3781" s="3" t="s">
        <v>721</v>
      </c>
      <c r="G3781" s="7">
        <v>46019.739688856724</v>
      </c>
    </row>
    <row r="3782">
      <c r="A3782" s="3" t="s">
        <v>12064</v>
      </c>
      <c r="B3782" s="3" t="s">
        <v>491</v>
      </c>
      <c r="C3782" s="3" t="s">
        <v>1342</v>
      </c>
      <c r="D3782" s="3" t="s">
        <v>68</v>
      </c>
      <c r="E3782" s="3" t="s">
        <v>100</v>
      </c>
      <c r="F3782" s="3" t="s">
        <v>1426</v>
      </c>
      <c r="G3782" s="7">
        <v>46019.81086370214</v>
      </c>
    </row>
    <row r="3783">
      <c r="A3783" s="3" t="s">
        <v>12067</v>
      </c>
      <c r="B3783" s="3" t="s">
        <v>475</v>
      </c>
      <c r="C3783" s="3" t="s">
        <v>1342</v>
      </c>
      <c r="D3783" s="3" t="s">
        <v>68</v>
      </c>
      <c r="E3783" s="3" t="s">
        <v>100</v>
      </c>
      <c r="F3783" s="3" t="s">
        <v>1983</v>
      </c>
      <c r="G3783" s="7">
        <v>46019.882038547556</v>
      </c>
    </row>
    <row r="3784">
      <c r="A3784" s="3" t="s">
        <v>12070</v>
      </c>
      <c r="B3784" s="3" t="s">
        <v>151</v>
      </c>
      <c r="C3784" s="3" t="s">
        <v>56</v>
      </c>
      <c r="D3784" s="3" t="s">
        <v>68</v>
      </c>
      <c r="E3784" s="3" t="s">
        <v>100</v>
      </c>
      <c r="F3784" s="3" t="s">
        <v>728</v>
      </c>
      <c r="G3784" s="7">
        <v>46019.95321339297</v>
      </c>
    </row>
    <row r="3785">
      <c r="A3785" s="3" t="s">
        <v>12073</v>
      </c>
      <c r="B3785" s="3" t="s">
        <v>414</v>
      </c>
      <c r="C3785" s="3" t="s">
        <v>1342</v>
      </c>
      <c r="D3785" s="3" t="s">
        <v>68</v>
      </c>
      <c r="E3785" s="3" t="s">
        <v>100</v>
      </c>
      <c r="F3785" s="3" t="s">
        <v>504</v>
      </c>
      <c r="G3785" s="7">
        <v>46020.02438823839</v>
      </c>
    </row>
    <row r="3786">
      <c r="A3786" s="3" t="s">
        <v>12077</v>
      </c>
      <c r="B3786" s="3" t="s">
        <v>453</v>
      </c>
      <c r="C3786" s="3" t="s">
        <v>56</v>
      </c>
      <c r="D3786" s="3" t="s">
        <v>68</v>
      </c>
      <c r="E3786" s="3" t="s">
        <v>100</v>
      </c>
      <c r="F3786" s="3" t="s">
        <v>738</v>
      </c>
      <c r="G3786" s="7">
        <v>46020.09556308381</v>
      </c>
    </row>
    <row r="3787">
      <c r="A3787" s="3" t="s">
        <v>12081</v>
      </c>
      <c r="B3787" s="3" t="s">
        <v>485</v>
      </c>
      <c r="C3787" s="3" t="s">
        <v>1342</v>
      </c>
      <c r="D3787" s="3" t="s">
        <v>68</v>
      </c>
      <c r="E3787" s="3" t="s">
        <v>100</v>
      </c>
      <c r="F3787" s="3" t="s">
        <v>1718</v>
      </c>
      <c r="G3787" s="7">
        <v>46020.16673792921</v>
      </c>
    </row>
    <row r="3788">
      <c r="A3788" s="3" t="s">
        <v>12084</v>
      </c>
      <c r="B3788" s="3" t="s">
        <v>363</v>
      </c>
      <c r="C3788" s="3" t="s">
        <v>1342</v>
      </c>
      <c r="D3788" s="3" t="s">
        <v>68</v>
      </c>
      <c r="E3788" s="3" t="s">
        <v>100</v>
      </c>
      <c r="F3788" s="3" t="s">
        <v>583</v>
      </c>
      <c r="G3788" s="7">
        <v>46020.23791277463</v>
      </c>
    </row>
    <row r="3789">
      <c r="A3789" s="3" t="s">
        <v>12087</v>
      </c>
      <c r="B3789" s="3" t="s">
        <v>256</v>
      </c>
      <c r="C3789" s="3" t="s">
        <v>1095</v>
      </c>
      <c r="D3789" s="3" t="s">
        <v>68</v>
      </c>
      <c r="E3789" s="3" t="s">
        <v>100</v>
      </c>
      <c r="F3789" s="3" t="s">
        <v>641</v>
      </c>
      <c r="G3789" s="7">
        <v>46020.30908762005</v>
      </c>
    </row>
    <row r="3790">
      <c r="A3790" s="3" t="s">
        <v>12090</v>
      </c>
      <c r="B3790" s="3" t="s">
        <v>406</v>
      </c>
      <c r="C3790" s="3" t="s">
        <v>1342</v>
      </c>
      <c r="D3790" s="3" t="s">
        <v>68</v>
      </c>
      <c r="E3790" s="3" t="s">
        <v>100</v>
      </c>
      <c r="F3790" s="3" t="s">
        <v>1327</v>
      </c>
      <c r="G3790" s="7">
        <v>46020.38026246546</v>
      </c>
    </row>
    <row r="3791">
      <c r="A3791" s="3" t="s">
        <v>12093</v>
      </c>
      <c r="B3791" s="3" t="s">
        <v>1034</v>
      </c>
      <c r="C3791" s="3" t="s">
        <v>1095</v>
      </c>
      <c r="D3791" s="3" t="s">
        <v>68</v>
      </c>
      <c r="E3791" s="3" t="s">
        <v>100</v>
      </c>
      <c r="F3791" s="3" t="s">
        <v>1418</v>
      </c>
      <c r="G3791" s="7">
        <v>46020.451437310876</v>
      </c>
    </row>
    <row r="3792">
      <c r="A3792" s="3" t="s">
        <v>12096</v>
      </c>
      <c r="B3792" s="3" t="s">
        <v>811</v>
      </c>
      <c r="C3792" s="3" t="s">
        <v>56</v>
      </c>
      <c r="D3792" s="3" t="s">
        <v>68</v>
      </c>
      <c r="E3792" s="3" t="s">
        <v>100</v>
      </c>
      <c r="F3792" s="3" t="s">
        <v>741</v>
      </c>
      <c r="G3792" s="7">
        <v>46020.522612156296</v>
      </c>
    </row>
    <row r="3793">
      <c r="A3793" s="3" t="s">
        <v>12099</v>
      </c>
      <c r="B3793" s="3" t="s">
        <v>906</v>
      </c>
      <c r="C3793" s="3" t="s">
        <v>1095</v>
      </c>
      <c r="D3793" s="3" t="s">
        <v>195</v>
      </c>
      <c r="E3793" s="3" t="s">
        <v>45</v>
      </c>
      <c r="F3793" s="3" t="s">
        <v>1901</v>
      </c>
      <c r="G3793" s="7">
        <v>46020.59378700171</v>
      </c>
    </row>
    <row r="3794">
      <c r="A3794" s="3" t="s">
        <v>12102</v>
      </c>
      <c r="B3794" s="3" t="s">
        <v>550</v>
      </c>
      <c r="C3794" s="3" t="s">
        <v>1342</v>
      </c>
      <c r="D3794" s="3" t="s">
        <v>68</v>
      </c>
      <c r="E3794" s="3" t="s">
        <v>100</v>
      </c>
      <c r="F3794" s="3" t="s">
        <v>2101</v>
      </c>
      <c r="G3794" s="7">
        <v>46020.66496184712</v>
      </c>
    </row>
    <row r="3795">
      <c r="A3795" s="3" t="s">
        <v>12105</v>
      </c>
      <c r="B3795" s="3" t="s">
        <v>913</v>
      </c>
      <c r="C3795" s="3" t="s">
        <v>1095</v>
      </c>
      <c r="D3795" s="3" t="s">
        <v>181</v>
      </c>
      <c r="E3795" s="3" t="s">
        <v>45</v>
      </c>
      <c r="F3795" s="3" t="s">
        <v>568</v>
      </c>
      <c r="G3795" s="7">
        <v>46020.73613669254</v>
      </c>
    </row>
    <row r="3796">
      <c r="A3796" s="3" t="s">
        <v>12108</v>
      </c>
      <c r="B3796" s="3" t="s">
        <v>957</v>
      </c>
      <c r="C3796" s="3" t="s">
        <v>56</v>
      </c>
      <c r="D3796" s="3" t="s">
        <v>68</v>
      </c>
      <c r="E3796" s="3" t="s">
        <v>100</v>
      </c>
      <c r="F3796" s="3" t="s">
        <v>749</v>
      </c>
      <c r="G3796" s="7">
        <v>46020.80731153795</v>
      </c>
    </row>
    <row r="3797">
      <c r="A3797" s="3" t="s">
        <v>12111</v>
      </c>
      <c r="B3797" s="3" t="s">
        <v>575</v>
      </c>
      <c r="C3797" s="3" t="s">
        <v>56</v>
      </c>
      <c r="D3797" s="3" t="s">
        <v>68</v>
      </c>
      <c r="E3797" s="3" t="s">
        <v>100</v>
      </c>
      <c r="F3797" s="3" t="s">
        <v>754</v>
      </c>
      <c r="G3797" s="7">
        <v>46020.878486383364</v>
      </c>
    </row>
    <row r="3798">
      <c r="A3798" s="3" t="s">
        <v>12113</v>
      </c>
      <c r="B3798" s="3" t="s">
        <v>773</v>
      </c>
      <c r="C3798" s="3" t="s">
        <v>1342</v>
      </c>
      <c r="D3798" s="3" t="s">
        <v>68</v>
      </c>
      <c r="E3798" s="3" t="s">
        <v>100</v>
      </c>
      <c r="F3798" s="3" t="s">
        <v>2085</v>
      </c>
      <c r="G3798" s="7">
        <v>46020.949661228784</v>
      </c>
    </row>
    <row r="3799">
      <c r="A3799" s="3" t="s">
        <v>12116</v>
      </c>
      <c r="B3799" s="3" t="s">
        <v>496</v>
      </c>
      <c r="C3799" s="3" t="s">
        <v>1342</v>
      </c>
      <c r="D3799" s="3" t="s">
        <v>68</v>
      </c>
      <c r="E3799" s="3" t="s">
        <v>100</v>
      </c>
      <c r="F3799" s="3" t="s">
        <v>1713</v>
      </c>
      <c r="G3799" s="7">
        <v>46021.0208360742</v>
      </c>
    </row>
    <row r="3800">
      <c r="A3800" s="3" t="s">
        <v>12118</v>
      </c>
      <c r="B3800" s="3" t="s">
        <v>472</v>
      </c>
      <c r="C3800" s="3" t="s">
        <v>1095</v>
      </c>
      <c r="D3800" s="3" t="s">
        <v>68</v>
      </c>
      <c r="E3800" s="3" t="s">
        <v>100</v>
      </c>
      <c r="F3800" s="3" t="s">
        <v>549</v>
      </c>
      <c r="G3800" s="7">
        <v>46021.09201091961</v>
      </c>
    </row>
    <row r="3801">
      <c r="A3801" s="3" t="s">
        <v>12120</v>
      </c>
      <c r="B3801" s="3" t="s">
        <v>269</v>
      </c>
      <c r="C3801" s="3" t="s">
        <v>1342</v>
      </c>
      <c r="D3801" s="3" t="s">
        <v>68</v>
      </c>
      <c r="E3801" s="3" t="s">
        <v>100</v>
      </c>
      <c r="F3801" s="3" t="s">
        <v>2099</v>
      </c>
      <c r="G3801" s="7">
        <v>46021.16318576503</v>
      </c>
    </row>
    <row r="3802">
      <c r="A3802" s="3" t="s">
        <v>12123</v>
      </c>
      <c r="B3802" s="3" t="s">
        <v>247</v>
      </c>
      <c r="C3802" s="3" t="s">
        <v>56</v>
      </c>
      <c r="D3802" s="3" t="s">
        <v>195</v>
      </c>
      <c r="E3802" s="3" t="s">
        <v>45</v>
      </c>
      <c r="F3802" s="3" t="s">
        <v>45</v>
      </c>
      <c r="G3802" s="7">
        <v>46021.23436061045</v>
      </c>
    </row>
    <row r="3803">
      <c r="A3803" s="3" t="s">
        <v>12125</v>
      </c>
      <c r="B3803" s="3" t="s">
        <v>770</v>
      </c>
      <c r="C3803" s="3" t="s">
        <v>1342</v>
      </c>
      <c r="D3803" s="3" t="s">
        <v>68</v>
      </c>
      <c r="E3803" s="3" t="s">
        <v>100</v>
      </c>
      <c r="F3803" s="3" t="s">
        <v>2079</v>
      </c>
      <c r="G3803" s="7">
        <v>46021.30553545586</v>
      </c>
    </row>
    <row r="3804">
      <c r="A3804" s="3" t="s">
        <v>12127</v>
      </c>
      <c r="B3804" s="3" t="s">
        <v>535</v>
      </c>
      <c r="C3804" s="3" t="s">
        <v>56</v>
      </c>
      <c r="D3804" s="3" t="s">
        <v>68</v>
      </c>
      <c r="E3804" s="3" t="s">
        <v>100</v>
      </c>
      <c r="F3804" s="3" t="s">
        <v>762</v>
      </c>
      <c r="G3804" s="7">
        <v>46021.37671030127</v>
      </c>
    </row>
    <row r="3805">
      <c r="A3805" s="3" t="s">
        <v>12130</v>
      </c>
      <c r="B3805" s="3" t="s">
        <v>1028</v>
      </c>
      <c r="C3805" s="3" t="s">
        <v>1342</v>
      </c>
      <c r="D3805" s="3" t="s">
        <v>181</v>
      </c>
      <c r="E3805" s="3" t="s">
        <v>45</v>
      </c>
      <c r="F3805" s="3" t="s">
        <v>1768</v>
      </c>
      <c r="G3805" s="7">
        <v>46021.44788514669</v>
      </c>
    </row>
    <row r="3806">
      <c r="A3806" s="3" t="s">
        <v>12134</v>
      </c>
      <c r="B3806" s="3" t="s">
        <v>911</v>
      </c>
      <c r="C3806" s="3" t="s">
        <v>1342</v>
      </c>
      <c r="D3806" s="3" t="s">
        <v>68</v>
      </c>
      <c r="E3806" s="3" t="s">
        <v>100</v>
      </c>
      <c r="F3806" s="3" t="s">
        <v>1961</v>
      </c>
      <c r="G3806" s="7">
        <v>46021.519059992104</v>
      </c>
    </row>
    <row r="3807">
      <c r="A3807" s="3" t="s">
        <v>12137</v>
      </c>
      <c r="B3807" s="3" t="s">
        <v>348</v>
      </c>
      <c r="C3807" s="3" t="s">
        <v>1095</v>
      </c>
      <c r="D3807" s="3" t="s">
        <v>68</v>
      </c>
      <c r="E3807" s="3" t="s">
        <v>100</v>
      </c>
      <c r="F3807" s="3" t="s">
        <v>668</v>
      </c>
      <c r="G3807" s="7">
        <v>46021.59023483752</v>
      </c>
    </row>
    <row r="3808">
      <c r="A3808" s="3" t="s">
        <v>12141</v>
      </c>
      <c r="B3808" s="3" t="s">
        <v>168</v>
      </c>
      <c r="C3808" s="3" t="s">
        <v>1342</v>
      </c>
      <c r="D3808" s="3" t="s">
        <v>68</v>
      </c>
      <c r="E3808" s="3" t="s">
        <v>100</v>
      </c>
      <c r="F3808" s="3" t="s">
        <v>1535</v>
      </c>
      <c r="G3808" s="7">
        <v>46021.661409682936</v>
      </c>
    </row>
    <row r="3809">
      <c r="A3809" s="3" t="s">
        <v>12144</v>
      </c>
      <c r="B3809" s="3" t="s">
        <v>1043</v>
      </c>
      <c r="C3809" s="3" t="s">
        <v>1342</v>
      </c>
      <c r="D3809" s="3" t="s">
        <v>68</v>
      </c>
      <c r="E3809" s="3" t="s">
        <v>100</v>
      </c>
      <c r="F3809" s="3" t="s">
        <v>532</v>
      </c>
      <c r="G3809" s="7">
        <v>46021.73258452835</v>
      </c>
    </row>
    <row r="3810">
      <c r="A3810" s="3" t="s">
        <v>12147</v>
      </c>
      <c r="B3810" s="3" t="s">
        <v>665</v>
      </c>
      <c r="C3810" s="3" t="s">
        <v>1095</v>
      </c>
      <c r="D3810" s="3" t="s">
        <v>68</v>
      </c>
      <c r="E3810" s="3" t="s">
        <v>100</v>
      </c>
      <c r="F3810" s="3" t="s">
        <v>1569</v>
      </c>
      <c r="G3810" s="7">
        <v>46021.80375937376</v>
      </c>
    </row>
    <row r="3811">
      <c r="A3811" s="3" t="s">
        <v>12150</v>
      </c>
      <c r="B3811" s="3" t="s">
        <v>903</v>
      </c>
      <c r="C3811" s="3" t="s">
        <v>1342</v>
      </c>
      <c r="D3811" s="3" t="s">
        <v>68</v>
      </c>
      <c r="E3811" s="3" t="s">
        <v>100</v>
      </c>
      <c r="F3811" s="3" t="s">
        <v>1720</v>
      </c>
      <c r="G3811" s="7">
        <v>46021.87493421918</v>
      </c>
    </row>
    <row r="3812">
      <c r="A3812" s="3" t="s">
        <v>12153</v>
      </c>
      <c r="B3812" s="3" t="s">
        <v>179</v>
      </c>
      <c r="C3812" s="3" t="s">
        <v>1342</v>
      </c>
      <c r="D3812" s="3" t="s">
        <v>68</v>
      </c>
      <c r="E3812" s="3" t="s">
        <v>100</v>
      </c>
      <c r="F3812" s="3" t="s">
        <v>1558</v>
      </c>
      <c r="G3812" s="7">
        <v>46021.94610906459</v>
      </c>
    </row>
    <row r="3813">
      <c r="A3813" s="3" t="s">
        <v>12156</v>
      </c>
      <c r="B3813" s="3" t="s">
        <v>491</v>
      </c>
      <c r="C3813" s="3" t="s">
        <v>1095</v>
      </c>
      <c r="D3813" s="3" t="s">
        <v>181</v>
      </c>
      <c r="E3813" s="3" t="s">
        <v>45</v>
      </c>
      <c r="F3813" s="3" t="s">
        <v>1426</v>
      </c>
      <c r="G3813" s="7">
        <v>46022.017283910005</v>
      </c>
    </row>
    <row r="3814">
      <c r="A3814" s="3" t="s">
        <v>12159</v>
      </c>
      <c r="B3814" s="3" t="s">
        <v>789</v>
      </c>
      <c r="C3814" s="3" t="s">
        <v>1342</v>
      </c>
      <c r="D3814" s="3" t="s">
        <v>181</v>
      </c>
      <c r="E3814" s="3" t="s">
        <v>45</v>
      </c>
      <c r="F3814" s="3" t="s">
        <v>2006</v>
      </c>
      <c r="G3814" s="7">
        <v>46022.088458755425</v>
      </c>
    </row>
    <row r="3815">
      <c r="A3815" s="3" t="s">
        <v>12161</v>
      </c>
      <c r="B3815" s="3" t="s">
        <v>488</v>
      </c>
      <c r="C3815" s="3" t="s">
        <v>1095</v>
      </c>
      <c r="D3815" s="3" t="s">
        <v>68</v>
      </c>
      <c r="E3815" s="3" t="s">
        <v>100</v>
      </c>
      <c r="F3815" s="3" t="s">
        <v>2072</v>
      </c>
      <c r="G3815" s="7">
        <v>46022.159633600844</v>
      </c>
    </row>
    <row r="3816">
      <c r="A3816" s="3" t="s">
        <v>12163</v>
      </c>
      <c r="B3816" s="3" t="s">
        <v>488</v>
      </c>
      <c r="C3816" s="3" t="s">
        <v>56</v>
      </c>
      <c r="D3816" s="3" t="s">
        <v>68</v>
      </c>
      <c r="E3816" s="3" t="s">
        <v>100</v>
      </c>
      <c r="F3816" s="3" t="s">
        <v>769</v>
      </c>
      <c r="G3816" s="7">
        <v>46022.23080844625</v>
      </c>
    </row>
    <row r="3817">
      <c r="A3817" s="3" t="s">
        <v>12166</v>
      </c>
      <c r="B3817" s="3" t="s">
        <v>579</v>
      </c>
      <c r="C3817" s="3" t="s">
        <v>1342</v>
      </c>
      <c r="D3817" s="3" t="s">
        <v>68</v>
      </c>
      <c r="E3817" s="3" t="s">
        <v>100</v>
      </c>
      <c r="F3817" s="3" t="s">
        <v>2047</v>
      </c>
      <c r="G3817" s="7">
        <v>46022.30198329167</v>
      </c>
    </row>
    <row r="3818">
      <c r="A3818" s="3" t="s">
        <v>12169</v>
      </c>
      <c r="B3818" s="3" t="s">
        <v>900</v>
      </c>
      <c r="C3818" s="3" t="s">
        <v>1342</v>
      </c>
      <c r="D3818" s="3" t="s">
        <v>68</v>
      </c>
      <c r="E3818" s="3" t="s">
        <v>100</v>
      </c>
      <c r="F3818" s="3" t="s">
        <v>2105</v>
      </c>
      <c r="G3818" s="7">
        <v>46022.37315813709</v>
      </c>
    </row>
    <row r="3819">
      <c r="A3819" s="3" t="s">
        <v>12171</v>
      </c>
      <c r="B3819" s="3" t="s">
        <v>512</v>
      </c>
      <c r="C3819" s="3" t="s">
        <v>1342</v>
      </c>
      <c r="D3819" s="3" t="s">
        <v>68</v>
      </c>
      <c r="E3819" s="3" t="s">
        <v>100</v>
      </c>
      <c r="F3819" s="3" t="s">
        <v>2025</v>
      </c>
      <c r="G3819" s="7">
        <v>46022.4443329825</v>
      </c>
    </row>
    <row r="3820">
      <c r="A3820" s="3" t="s">
        <v>12175</v>
      </c>
      <c r="B3820" s="3" t="s">
        <v>250</v>
      </c>
      <c r="C3820" s="3" t="s">
        <v>1342</v>
      </c>
      <c r="D3820" s="3" t="s">
        <v>68</v>
      </c>
      <c r="E3820" s="3" t="s">
        <v>100</v>
      </c>
      <c r="F3820" s="3" t="s">
        <v>2113</v>
      </c>
      <c r="G3820" s="7">
        <v>46022.51550782791</v>
      </c>
    </row>
    <row r="3821">
      <c r="A3821" s="3" t="s">
        <v>12178</v>
      </c>
      <c r="B3821" s="3" t="s">
        <v>1008</v>
      </c>
      <c r="C3821" s="3" t="s">
        <v>1095</v>
      </c>
      <c r="D3821" s="3" t="s">
        <v>181</v>
      </c>
      <c r="E3821" s="3" t="s">
        <v>45</v>
      </c>
      <c r="F3821" s="3" t="s">
        <v>2108</v>
      </c>
      <c r="G3821" s="7">
        <v>46022.58668267333</v>
      </c>
    </row>
    <row r="3822">
      <c r="A3822" s="3" t="s">
        <v>12181</v>
      </c>
      <c r="B3822" s="3" t="s">
        <v>596</v>
      </c>
      <c r="C3822" s="3" t="s">
        <v>1342</v>
      </c>
      <c r="D3822" s="3" t="s">
        <v>68</v>
      </c>
      <c r="E3822" s="3" t="s">
        <v>100</v>
      </c>
      <c r="F3822" s="3" t="s">
        <v>1808</v>
      </c>
      <c r="G3822" s="7">
        <v>46022.657857518745</v>
      </c>
    </row>
    <row r="3823">
      <c r="A3823" s="3" t="s">
        <v>12184</v>
      </c>
      <c r="B3823" s="3" t="s">
        <v>398</v>
      </c>
      <c r="C3823" s="3" t="s">
        <v>56</v>
      </c>
      <c r="D3823" s="3" t="s">
        <v>181</v>
      </c>
      <c r="E3823" s="3" t="s">
        <v>45</v>
      </c>
      <c r="F3823" s="3" t="s">
        <v>45</v>
      </c>
      <c r="G3823" s="7">
        <v>46022.72903236416</v>
      </c>
    </row>
    <row r="3824">
      <c r="A3824" s="3" t="s">
        <v>12187</v>
      </c>
      <c r="B3824" s="3" t="s">
        <v>333</v>
      </c>
      <c r="C3824" s="3" t="s">
        <v>1095</v>
      </c>
      <c r="D3824" s="3" t="s">
        <v>68</v>
      </c>
      <c r="E3824" s="3" t="s">
        <v>100</v>
      </c>
      <c r="F3824" s="3" t="s">
        <v>2050</v>
      </c>
      <c r="G3824" s="7">
        <v>46022.80020720958</v>
      </c>
    </row>
    <row r="3825">
      <c r="A3825" s="3" t="s">
        <v>12190</v>
      </c>
      <c r="B3825" s="3" t="s">
        <v>224</v>
      </c>
      <c r="C3825" s="3" t="s">
        <v>1342</v>
      </c>
      <c r="D3825" s="3" t="s">
        <v>68</v>
      </c>
      <c r="E3825" s="3" t="s">
        <v>100</v>
      </c>
      <c r="F3825" s="3" t="s">
        <v>495</v>
      </c>
      <c r="G3825" s="7">
        <v>46022.87138205499</v>
      </c>
    </row>
    <row r="3826">
      <c r="A3826" s="3" t="s">
        <v>12193</v>
      </c>
      <c r="B3826" s="3" t="s">
        <v>702</v>
      </c>
      <c r="C3826" s="3" t="s">
        <v>1342</v>
      </c>
      <c r="D3826" s="3" t="s">
        <v>68</v>
      </c>
      <c r="E3826" s="3" t="s">
        <v>100</v>
      </c>
      <c r="F3826" s="3" t="s">
        <v>1196</v>
      </c>
      <c r="G3826" s="7">
        <v>46022.9425569004</v>
      </c>
    </row>
    <row r="3827">
      <c r="A3827" s="3" t="s">
        <v>12196</v>
      </c>
      <c r="B3827" s="3" t="s">
        <v>352</v>
      </c>
      <c r="C3827" s="3" t="s">
        <v>1342</v>
      </c>
      <c r="D3827" s="3" t="s">
        <v>68</v>
      </c>
      <c r="E3827" s="3" t="s">
        <v>100</v>
      </c>
      <c r="F3827" s="3" t="s">
        <v>1602</v>
      </c>
      <c r="G3827" s="7">
        <v>46023.01373174582</v>
      </c>
    </row>
    <row r="3828">
      <c r="A3828" s="3" t="s">
        <v>12199</v>
      </c>
      <c r="B3828" s="3" t="s">
        <v>710</v>
      </c>
      <c r="C3828" s="3" t="s">
        <v>56</v>
      </c>
      <c r="D3828" s="3" t="s">
        <v>68</v>
      </c>
      <c r="E3828" s="3" t="s">
        <v>100</v>
      </c>
      <c r="F3828" s="3" t="s">
        <v>774</v>
      </c>
      <c r="G3828" s="7">
        <v>46023.08490659123</v>
      </c>
    </row>
    <row r="3829">
      <c r="A3829" s="3" t="s">
        <v>12202</v>
      </c>
      <c r="B3829" s="3" t="s">
        <v>260</v>
      </c>
      <c r="C3829" s="3" t="s">
        <v>1095</v>
      </c>
      <c r="D3829" s="3" t="s">
        <v>68</v>
      </c>
      <c r="E3829" s="3" t="s">
        <v>100</v>
      </c>
      <c r="F3829" s="3" t="s">
        <v>1911</v>
      </c>
      <c r="G3829" s="7">
        <v>46023.156081436646</v>
      </c>
    </row>
    <row r="3830">
      <c r="A3830" s="3" t="s">
        <v>12205</v>
      </c>
      <c r="B3830" s="3" t="s">
        <v>455</v>
      </c>
      <c r="C3830" s="3" t="s">
        <v>56</v>
      </c>
      <c r="D3830" s="3" t="s">
        <v>195</v>
      </c>
      <c r="E3830" s="3" t="s">
        <v>45</v>
      </c>
      <c r="F3830" s="3" t="s">
        <v>45</v>
      </c>
      <c r="G3830" s="7">
        <v>46023.227256282065</v>
      </c>
    </row>
    <row r="3831">
      <c r="A3831" s="3" t="s">
        <v>12208</v>
      </c>
      <c r="B3831" s="3" t="s">
        <v>1037</v>
      </c>
      <c r="C3831" s="3" t="s">
        <v>1095</v>
      </c>
      <c r="D3831" s="3" t="s">
        <v>195</v>
      </c>
      <c r="E3831" s="3" t="s">
        <v>45</v>
      </c>
      <c r="F3831" s="3" t="s">
        <v>1276</v>
      </c>
      <c r="G3831" s="7">
        <v>46023.298431127485</v>
      </c>
    </row>
    <row r="3832">
      <c r="A3832" s="3" t="s">
        <v>12213</v>
      </c>
      <c r="B3832" s="3" t="s">
        <v>689</v>
      </c>
      <c r="C3832" s="3" t="s">
        <v>1095</v>
      </c>
      <c r="D3832" s="3" t="s">
        <v>68</v>
      </c>
      <c r="E3832" s="3" t="s">
        <v>100</v>
      </c>
      <c r="F3832" s="3" t="s">
        <v>1297</v>
      </c>
      <c r="G3832" s="7">
        <v>46023.36960597289</v>
      </c>
    </row>
    <row r="3833">
      <c r="A3833" s="3" t="s">
        <v>12216</v>
      </c>
      <c r="B3833" s="3" t="s">
        <v>980</v>
      </c>
      <c r="C3833" s="3" t="s">
        <v>1342</v>
      </c>
      <c r="D3833" s="3" t="s">
        <v>68</v>
      </c>
      <c r="E3833" s="3" t="s">
        <v>100</v>
      </c>
      <c r="F3833" s="3" t="s">
        <v>618</v>
      </c>
      <c r="G3833" s="7">
        <v>46023.44078081831</v>
      </c>
    </row>
    <row r="3834">
      <c r="A3834" s="3" t="s">
        <v>12219</v>
      </c>
      <c r="B3834" s="3" t="s">
        <v>460</v>
      </c>
      <c r="C3834" s="3" t="s">
        <v>1095</v>
      </c>
      <c r="D3834" s="3" t="s">
        <v>68</v>
      </c>
      <c r="E3834" s="3" t="s">
        <v>100</v>
      </c>
      <c r="F3834" s="3" t="s">
        <v>1193</v>
      </c>
      <c r="G3834" s="7">
        <v>46023.51195566373</v>
      </c>
    </row>
    <row r="3835">
      <c r="A3835" s="3" t="s">
        <v>12222</v>
      </c>
      <c r="B3835" s="3" t="s">
        <v>544</v>
      </c>
      <c r="C3835" s="3" t="s">
        <v>1342</v>
      </c>
      <c r="D3835" s="3" t="s">
        <v>68</v>
      </c>
      <c r="E3835" s="3" t="s">
        <v>100</v>
      </c>
      <c r="F3835" s="3" t="s">
        <v>1999</v>
      </c>
      <c r="G3835" s="7">
        <v>46023.58313050914</v>
      </c>
    </row>
    <row r="3836">
      <c r="A3836" s="3" t="s">
        <v>12225</v>
      </c>
      <c r="B3836" s="3" t="s">
        <v>440</v>
      </c>
      <c r="C3836" s="3" t="s">
        <v>56</v>
      </c>
      <c r="D3836" s="3" t="s">
        <v>68</v>
      </c>
      <c r="E3836" s="3" t="s">
        <v>100</v>
      </c>
      <c r="F3836" s="3" t="s">
        <v>780</v>
      </c>
      <c r="G3836" s="7">
        <v>46023.654305354554</v>
      </c>
    </row>
    <row r="3837">
      <c r="A3837" s="3" t="s">
        <v>12228</v>
      </c>
      <c r="B3837" s="3" t="s">
        <v>1008</v>
      </c>
      <c r="C3837" s="3" t="s">
        <v>1342</v>
      </c>
      <c r="D3837" s="3" t="s">
        <v>181</v>
      </c>
      <c r="E3837" s="3" t="s">
        <v>45</v>
      </c>
      <c r="F3837" s="3" t="s">
        <v>2108</v>
      </c>
      <c r="G3837" s="7">
        <v>46023.72548019997</v>
      </c>
    </row>
    <row r="3838">
      <c r="A3838" s="3" t="s">
        <v>12231</v>
      </c>
      <c r="B3838" s="3" t="s">
        <v>770</v>
      </c>
      <c r="C3838" s="3" t="s">
        <v>1095</v>
      </c>
      <c r="D3838" s="3" t="s">
        <v>181</v>
      </c>
      <c r="E3838" s="3" t="s">
        <v>45</v>
      </c>
      <c r="F3838" s="3" t="s">
        <v>2079</v>
      </c>
      <c r="G3838" s="7">
        <v>46023.796655045386</v>
      </c>
    </row>
    <row r="3839">
      <c r="A3839" s="3" t="s">
        <v>12234</v>
      </c>
      <c r="B3839" s="3" t="s">
        <v>388</v>
      </c>
      <c r="C3839" s="3" t="s">
        <v>56</v>
      </c>
      <c r="D3839" s="3" t="s">
        <v>68</v>
      </c>
      <c r="E3839" s="3" t="s">
        <v>100</v>
      </c>
      <c r="F3839" s="3" t="s">
        <v>788</v>
      </c>
      <c r="G3839" s="7">
        <v>46023.8678298908</v>
      </c>
    </row>
    <row r="3840">
      <c r="A3840" s="3" t="s">
        <v>12237</v>
      </c>
      <c r="B3840" s="3" t="s">
        <v>168</v>
      </c>
      <c r="C3840" s="3" t="s">
        <v>1095</v>
      </c>
      <c r="D3840" s="3" t="s">
        <v>68</v>
      </c>
      <c r="E3840" s="3" t="s">
        <v>100</v>
      </c>
      <c r="F3840" s="3" t="s">
        <v>1535</v>
      </c>
      <c r="G3840" s="7">
        <v>46023.93900473622</v>
      </c>
    </row>
    <row r="3841">
      <c r="A3841" s="3" t="s">
        <v>12239</v>
      </c>
      <c r="B3841" s="3" t="s">
        <v>475</v>
      </c>
      <c r="C3841" s="3" t="s">
        <v>1095</v>
      </c>
      <c r="D3841" s="3" t="s">
        <v>68</v>
      </c>
      <c r="E3841" s="3" t="s">
        <v>100</v>
      </c>
      <c r="F3841" s="3" t="s">
        <v>1983</v>
      </c>
      <c r="G3841" s="7">
        <v>46024.01017958164</v>
      </c>
    </row>
    <row r="3842">
      <c r="A3842" s="3" t="s">
        <v>12241</v>
      </c>
      <c r="B3842" s="3" t="s">
        <v>682</v>
      </c>
      <c r="C3842" s="3" t="s">
        <v>56</v>
      </c>
      <c r="D3842" s="3" t="s">
        <v>68</v>
      </c>
      <c r="E3842" s="3" t="s">
        <v>100</v>
      </c>
      <c r="F3842" s="3" t="s">
        <v>792</v>
      </c>
      <c r="G3842" s="7">
        <v>46024.08135442704</v>
      </c>
    </row>
    <row r="3843">
      <c r="A3843" s="3" t="s">
        <v>12244</v>
      </c>
      <c r="B3843" s="3" t="s">
        <v>162</v>
      </c>
      <c r="C3843" s="3" t="s">
        <v>1342</v>
      </c>
      <c r="D3843" s="3" t="s">
        <v>181</v>
      </c>
      <c r="E3843" s="3" t="s">
        <v>45</v>
      </c>
      <c r="F3843" s="3" t="s">
        <v>1876</v>
      </c>
      <c r="G3843" s="7">
        <v>46024.15252927246</v>
      </c>
    </row>
    <row r="3844">
      <c r="A3844" s="3" t="s">
        <v>12247</v>
      </c>
      <c r="B3844" s="3" t="s">
        <v>424</v>
      </c>
      <c r="C3844" s="3" t="s">
        <v>1095</v>
      </c>
      <c r="D3844" s="3" t="s">
        <v>68</v>
      </c>
      <c r="E3844" s="3" t="s">
        <v>100</v>
      </c>
      <c r="F3844" s="3" t="s">
        <v>1346</v>
      </c>
      <c r="G3844" s="7">
        <v>46024.223704117874</v>
      </c>
    </row>
    <row r="3845">
      <c r="A3845" s="3" t="s">
        <v>12249</v>
      </c>
      <c r="B3845" s="3" t="s">
        <v>388</v>
      </c>
      <c r="C3845" s="3" t="s">
        <v>1095</v>
      </c>
      <c r="D3845" s="3" t="s">
        <v>68</v>
      </c>
      <c r="E3845" s="3" t="s">
        <v>100</v>
      </c>
      <c r="F3845" s="3" t="s">
        <v>788</v>
      </c>
      <c r="G3845" s="7">
        <v>46024.294878963294</v>
      </c>
    </row>
    <row r="3846">
      <c r="A3846" s="3" t="s">
        <v>12251</v>
      </c>
      <c r="B3846" s="3" t="s">
        <v>793</v>
      </c>
      <c r="C3846" s="3" t="s">
        <v>56</v>
      </c>
      <c r="D3846" s="3" t="s">
        <v>68</v>
      </c>
      <c r="E3846" s="3" t="s">
        <v>100</v>
      </c>
      <c r="F3846" s="3" t="s">
        <v>797</v>
      </c>
      <c r="G3846" s="7">
        <v>46024.366053808706</v>
      </c>
    </row>
    <row r="3847">
      <c r="A3847" s="3" t="s">
        <v>12254</v>
      </c>
      <c r="B3847" s="3" t="s">
        <v>742</v>
      </c>
      <c r="C3847" s="3" t="s">
        <v>1095</v>
      </c>
      <c r="D3847" s="3" t="s">
        <v>68</v>
      </c>
      <c r="E3847" s="3" t="s">
        <v>100</v>
      </c>
      <c r="F3847" s="3" t="s">
        <v>1268</v>
      </c>
      <c r="G3847" s="7">
        <v>46024.437228654126</v>
      </c>
    </row>
    <row r="3848">
      <c r="A3848" s="3" t="s">
        <v>12256</v>
      </c>
      <c r="B3848" s="3" t="s">
        <v>462</v>
      </c>
      <c r="C3848" s="3" t="s">
        <v>1342</v>
      </c>
      <c r="D3848" s="3" t="s">
        <v>68</v>
      </c>
      <c r="E3848" s="3" t="s">
        <v>100</v>
      </c>
      <c r="F3848" s="3" t="s">
        <v>1733</v>
      </c>
      <c r="G3848" s="7">
        <v>46024.50840349953</v>
      </c>
    </row>
    <row r="3849">
      <c r="A3849" s="3" t="s">
        <v>12258</v>
      </c>
      <c r="B3849" s="3" t="s">
        <v>579</v>
      </c>
      <c r="C3849" s="3" t="s">
        <v>1095</v>
      </c>
      <c r="D3849" s="3" t="s">
        <v>68</v>
      </c>
      <c r="E3849" s="3" t="s">
        <v>100</v>
      </c>
      <c r="F3849" s="3" t="s">
        <v>2047</v>
      </c>
      <c r="G3849" s="7">
        <v>46024.57957834495</v>
      </c>
    </row>
    <row r="3850">
      <c r="A3850" s="3" t="s">
        <v>12261</v>
      </c>
      <c r="B3850" s="3" t="s">
        <v>282</v>
      </c>
      <c r="C3850" s="3" t="s">
        <v>1095</v>
      </c>
      <c r="D3850" s="3" t="s">
        <v>68</v>
      </c>
      <c r="E3850" s="3" t="s">
        <v>100</v>
      </c>
      <c r="F3850" s="3" t="s">
        <v>2126</v>
      </c>
      <c r="G3850" s="7">
        <v>46024.65075319037</v>
      </c>
    </row>
    <row r="3851">
      <c r="A3851" s="3" t="s">
        <v>12263</v>
      </c>
      <c r="B3851" s="3" t="s">
        <v>313</v>
      </c>
      <c r="C3851" s="3" t="s">
        <v>56</v>
      </c>
      <c r="D3851" s="3" t="s">
        <v>68</v>
      </c>
      <c r="E3851" s="3" t="s">
        <v>100</v>
      </c>
      <c r="F3851" s="3" t="s">
        <v>802</v>
      </c>
      <c r="G3851" s="7">
        <v>46024.72192803578</v>
      </c>
    </row>
    <row r="3852">
      <c r="A3852" s="3" t="s">
        <v>12265</v>
      </c>
      <c r="B3852" s="3" t="s">
        <v>141</v>
      </c>
      <c r="C3852" s="3" t="s">
        <v>1342</v>
      </c>
      <c r="D3852" s="3" t="s">
        <v>68</v>
      </c>
      <c r="E3852" s="3" t="s">
        <v>100</v>
      </c>
      <c r="F3852" s="3" t="s">
        <v>1579</v>
      </c>
      <c r="G3852" s="7">
        <v>46024.793102881194</v>
      </c>
    </row>
    <row r="3853">
      <c r="A3853" s="3" t="s">
        <v>12268</v>
      </c>
      <c r="B3853" s="3" t="s">
        <v>682</v>
      </c>
      <c r="C3853" s="3" t="s">
        <v>1342</v>
      </c>
      <c r="D3853" s="3" t="s">
        <v>68</v>
      </c>
      <c r="E3853" s="3" t="s">
        <v>100</v>
      </c>
      <c r="F3853" s="3" t="s">
        <v>792</v>
      </c>
      <c r="G3853" s="7">
        <v>46024.864277726614</v>
      </c>
    </row>
    <row r="3854">
      <c r="A3854" s="3" t="s">
        <v>12271</v>
      </c>
      <c r="B3854" s="3" t="s">
        <v>1043</v>
      </c>
      <c r="C3854" s="3" t="s">
        <v>1095</v>
      </c>
      <c r="D3854" s="3" t="s">
        <v>68</v>
      </c>
      <c r="E3854" s="3" t="s">
        <v>100</v>
      </c>
      <c r="F3854" s="3" t="s">
        <v>532</v>
      </c>
      <c r="G3854" s="7">
        <v>46024.93545257203</v>
      </c>
    </row>
    <row r="3855">
      <c r="A3855" s="3" t="s">
        <v>12273</v>
      </c>
      <c r="B3855" s="3" t="s">
        <v>481</v>
      </c>
      <c r="C3855" s="3" t="s">
        <v>1095</v>
      </c>
      <c r="D3855" s="3" t="s">
        <v>68</v>
      </c>
      <c r="E3855" s="3" t="s">
        <v>100</v>
      </c>
      <c r="F3855" s="3" t="s">
        <v>1740</v>
      </c>
      <c r="G3855" s="7">
        <v>46025.00662741744</v>
      </c>
    </row>
    <row r="3856">
      <c r="A3856" s="3" t="s">
        <v>12275</v>
      </c>
      <c r="B3856" s="3" t="s">
        <v>860</v>
      </c>
      <c r="C3856" s="3" t="s">
        <v>1342</v>
      </c>
      <c r="D3856" s="3" t="s">
        <v>68</v>
      </c>
      <c r="E3856" s="3" t="s">
        <v>100</v>
      </c>
      <c r="F3856" s="3" t="s">
        <v>2123</v>
      </c>
      <c r="G3856" s="7">
        <v>46025.07780226286</v>
      </c>
    </row>
    <row r="3857">
      <c r="A3857" s="3" t="s">
        <v>12278</v>
      </c>
      <c r="B3857" s="3" t="s">
        <v>913</v>
      </c>
      <c r="C3857" s="3" t="s">
        <v>1342</v>
      </c>
      <c r="D3857" s="3" t="s">
        <v>68</v>
      </c>
      <c r="E3857" s="3" t="s">
        <v>100</v>
      </c>
      <c r="F3857" s="3" t="s">
        <v>568</v>
      </c>
      <c r="G3857" s="7">
        <v>46025.14897710828</v>
      </c>
    </row>
    <row r="3858">
      <c r="A3858" s="3" t="s">
        <v>12281</v>
      </c>
      <c r="B3858" s="3" t="s">
        <v>352</v>
      </c>
      <c r="C3858" s="3" t="s">
        <v>1095</v>
      </c>
      <c r="D3858" s="3" t="s">
        <v>68</v>
      </c>
      <c r="E3858" s="3" t="s">
        <v>100</v>
      </c>
      <c r="F3858" s="3" t="s">
        <v>1602</v>
      </c>
      <c r="G3858" s="7">
        <v>46025.22015195368</v>
      </c>
    </row>
    <row r="3859">
      <c r="A3859" s="3" t="s">
        <v>12282</v>
      </c>
      <c r="B3859" s="3" t="s">
        <v>789</v>
      </c>
      <c r="C3859" s="3" t="s">
        <v>1342</v>
      </c>
      <c r="D3859" s="3" t="s">
        <v>68</v>
      </c>
      <c r="E3859" s="3" t="s">
        <v>100</v>
      </c>
      <c r="F3859" s="3" t="s">
        <v>2006</v>
      </c>
      <c r="G3859" s="7">
        <v>46025.2913267991</v>
      </c>
    </row>
    <row r="3860">
      <c r="A3860" s="3" t="s">
        <v>12285</v>
      </c>
      <c r="B3860" s="3" t="s">
        <v>900</v>
      </c>
      <c r="C3860" s="3" t="s">
        <v>1342</v>
      </c>
      <c r="D3860" s="3" t="s">
        <v>68</v>
      </c>
      <c r="E3860" s="3" t="s">
        <v>100</v>
      </c>
      <c r="F3860" s="3" t="s">
        <v>2105</v>
      </c>
      <c r="G3860" s="7">
        <v>46025.36250164452</v>
      </c>
    </row>
    <row r="3861">
      <c r="A3861" s="3" t="s">
        <v>12288</v>
      </c>
      <c r="B3861" s="3" t="s">
        <v>908</v>
      </c>
      <c r="C3861" s="3" t="s">
        <v>1095</v>
      </c>
      <c r="D3861" s="3" t="s">
        <v>68</v>
      </c>
      <c r="E3861" s="3" t="s">
        <v>100</v>
      </c>
      <c r="F3861" s="3" t="s">
        <v>2037</v>
      </c>
      <c r="G3861" s="7">
        <v>46025.433676489934</v>
      </c>
    </row>
    <row r="3862">
      <c r="A3862" s="3" t="s">
        <v>12289</v>
      </c>
      <c r="B3862" s="3" t="s">
        <v>377</v>
      </c>
      <c r="C3862" s="3" t="s">
        <v>1342</v>
      </c>
      <c r="D3862" s="3" t="s">
        <v>68</v>
      </c>
      <c r="E3862" s="3" t="s">
        <v>100</v>
      </c>
      <c r="F3862" s="3" t="s">
        <v>470</v>
      </c>
      <c r="G3862" s="7">
        <v>46025.50485133535</v>
      </c>
    </row>
    <row r="3863">
      <c r="A3863" s="3" t="s">
        <v>12291</v>
      </c>
      <c r="B3863" s="3" t="s">
        <v>280</v>
      </c>
      <c r="C3863" s="3" t="s">
        <v>1342</v>
      </c>
      <c r="D3863" s="3" t="s">
        <v>68</v>
      </c>
      <c r="E3863" s="3" t="s">
        <v>100</v>
      </c>
      <c r="F3863" s="3" t="s">
        <v>1951</v>
      </c>
      <c r="G3863" s="7">
        <v>46025.576026180766</v>
      </c>
    </row>
    <row r="3864">
      <c r="A3864" s="3" t="s">
        <v>12293</v>
      </c>
      <c r="B3864" s="3" t="s">
        <v>269</v>
      </c>
      <c r="C3864" s="3" t="s">
        <v>1342</v>
      </c>
      <c r="D3864" s="3" t="s">
        <v>181</v>
      </c>
      <c r="E3864" s="3" t="s">
        <v>45</v>
      </c>
      <c r="F3864" s="3" t="s">
        <v>2099</v>
      </c>
      <c r="G3864" s="7">
        <v>46025.64720102618</v>
      </c>
    </row>
    <row r="3865">
      <c r="A3865" s="3" t="s">
        <v>12295</v>
      </c>
      <c r="B3865" s="3" t="s">
        <v>148</v>
      </c>
      <c r="C3865" s="3" t="s">
        <v>1342</v>
      </c>
      <c r="D3865" s="3" t="s">
        <v>68</v>
      </c>
      <c r="E3865" s="3" t="s">
        <v>100</v>
      </c>
      <c r="F3865" s="3" t="s">
        <v>1099</v>
      </c>
      <c r="G3865" s="7">
        <v>46025.71837587159</v>
      </c>
    </row>
    <row r="3866">
      <c r="A3866" s="3" t="s">
        <v>12297</v>
      </c>
      <c r="B3866" s="3" t="s">
        <v>330</v>
      </c>
      <c r="C3866" s="3" t="s">
        <v>1342</v>
      </c>
      <c r="D3866" s="3" t="s">
        <v>68</v>
      </c>
      <c r="E3866" s="3" t="s">
        <v>100</v>
      </c>
      <c r="F3866" s="3" t="s">
        <v>721</v>
      </c>
      <c r="G3866" s="7">
        <v>46025.78955071701</v>
      </c>
    </row>
    <row r="3867">
      <c r="A3867" s="3" t="s">
        <v>12300</v>
      </c>
      <c r="B3867" s="3" t="s">
        <v>524</v>
      </c>
      <c r="C3867" s="3" t="s">
        <v>1095</v>
      </c>
      <c r="D3867" s="3" t="s">
        <v>68</v>
      </c>
      <c r="E3867" s="3" t="s">
        <v>100</v>
      </c>
      <c r="F3867" s="3" t="s">
        <v>2077</v>
      </c>
      <c r="G3867" s="7">
        <v>46025.86072556242</v>
      </c>
    </row>
    <row r="3868">
      <c r="A3868" s="3" t="s">
        <v>12303</v>
      </c>
      <c r="B3868" s="3" t="s">
        <v>990</v>
      </c>
      <c r="C3868" s="3" t="s">
        <v>1342</v>
      </c>
      <c r="D3868" s="3" t="s">
        <v>195</v>
      </c>
      <c r="E3868" s="3" t="s">
        <v>45</v>
      </c>
      <c r="F3868" s="3" t="s">
        <v>2024</v>
      </c>
      <c r="G3868" s="7">
        <v>46025.931900407835</v>
      </c>
    </row>
    <row r="3869">
      <c r="A3869" s="3" t="s">
        <v>12306</v>
      </c>
      <c r="B3869" s="3" t="s">
        <v>734</v>
      </c>
      <c r="C3869" s="3" t="s">
        <v>1342</v>
      </c>
      <c r="D3869" s="3" t="s">
        <v>68</v>
      </c>
      <c r="E3869" s="3" t="s">
        <v>100</v>
      </c>
      <c r="F3869" s="3" t="s">
        <v>2030</v>
      </c>
      <c r="G3869" s="7">
        <v>46026.003075253255</v>
      </c>
    </row>
    <row r="3870">
      <c r="A3870" s="3" t="s">
        <v>12309</v>
      </c>
      <c r="B3870" s="3" t="s">
        <v>440</v>
      </c>
      <c r="C3870" s="3" t="s">
        <v>1342</v>
      </c>
      <c r="D3870" s="3" t="s">
        <v>68</v>
      </c>
      <c r="E3870" s="3" t="s">
        <v>100</v>
      </c>
      <c r="F3870" s="3" t="s">
        <v>780</v>
      </c>
      <c r="G3870" s="7">
        <v>46026.07425009867</v>
      </c>
    </row>
    <row r="3871">
      <c r="A3871" s="3" t="s">
        <v>12312</v>
      </c>
      <c r="B3871" s="3" t="s">
        <v>676</v>
      </c>
      <c r="C3871" s="3" t="s">
        <v>1342</v>
      </c>
      <c r="D3871" s="3" t="s">
        <v>181</v>
      </c>
      <c r="E3871" s="3" t="s">
        <v>45</v>
      </c>
      <c r="F3871" s="3" t="s">
        <v>1762</v>
      </c>
      <c r="G3871" s="7">
        <v>46026.14542494408</v>
      </c>
    </row>
    <row r="3872">
      <c r="A3872" s="3" t="s">
        <v>12313</v>
      </c>
      <c r="B3872" s="3" t="s">
        <v>913</v>
      </c>
      <c r="C3872" s="3" t="s">
        <v>1095</v>
      </c>
      <c r="D3872" s="3" t="s">
        <v>68</v>
      </c>
      <c r="E3872" s="3" t="s">
        <v>100</v>
      </c>
      <c r="F3872" s="3" t="s">
        <v>568</v>
      </c>
      <c r="G3872" s="7">
        <v>46026.2165997895</v>
      </c>
    </row>
    <row r="3873">
      <c r="A3873" s="3" t="s">
        <v>12315</v>
      </c>
      <c r="B3873" s="3" t="s">
        <v>598</v>
      </c>
      <c r="C3873" s="3" t="s">
        <v>1095</v>
      </c>
      <c r="D3873" s="3" t="s">
        <v>68</v>
      </c>
      <c r="E3873" s="3" t="s">
        <v>100</v>
      </c>
      <c r="F3873" s="3" t="s">
        <v>2009</v>
      </c>
      <c r="G3873" s="7">
        <v>46026.28777463492</v>
      </c>
    </row>
    <row r="3874">
      <c r="A3874" s="3" t="s">
        <v>12318</v>
      </c>
      <c r="B3874" s="3" t="s">
        <v>789</v>
      </c>
      <c r="C3874" s="3" t="s">
        <v>1342</v>
      </c>
      <c r="D3874" s="3" t="s">
        <v>68</v>
      </c>
      <c r="E3874" s="3" t="s">
        <v>100</v>
      </c>
      <c r="F3874" s="3" t="s">
        <v>2006</v>
      </c>
      <c r="G3874" s="7">
        <v>46026.358949480324</v>
      </c>
    </row>
    <row r="3875">
      <c r="A3875" s="3" t="s">
        <v>12321</v>
      </c>
      <c r="B3875" s="3" t="s">
        <v>980</v>
      </c>
      <c r="C3875" s="3" t="s">
        <v>1095</v>
      </c>
      <c r="D3875" s="3" t="s">
        <v>181</v>
      </c>
      <c r="E3875" s="3" t="s">
        <v>45</v>
      </c>
      <c r="F3875" s="3" t="s">
        <v>618</v>
      </c>
      <c r="G3875" s="7">
        <v>46026.43012432574</v>
      </c>
    </row>
    <row r="3876">
      <c r="A3876" s="3" t="s">
        <v>12324</v>
      </c>
      <c r="B3876" s="3" t="s">
        <v>280</v>
      </c>
      <c r="C3876" s="3" t="s">
        <v>1342</v>
      </c>
      <c r="D3876" s="3" t="s">
        <v>181</v>
      </c>
      <c r="E3876" s="3" t="s">
        <v>45</v>
      </c>
      <c r="F3876" s="3" t="s">
        <v>1951</v>
      </c>
      <c r="G3876" s="7">
        <v>46026.50129917116</v>
      </c>
    </row>
    <row r="3877">
      <c r="A3877" s="3" t="s">
        <v>12325</v>
      </c>
      <c r="B3877" s="3" t="s">
        <v>1001</v>
      </c>
      <c r="C3877" s="3" t="s">
        <v>1342</v>
      </c>
      <c r="D3877" s="3" t="s">
        <v>68</v>
      </c>
      <c r="E3877" s="3" t="s">
        <v>100</v>
      </c>
      <c r="F3877" s="3" t="s">
        <v>1763</v>
      </c>
      <c r="G3877" s="7">
        <v>46026.572474016575</v>
      </c>
    </row>
    <row r="3878">
      <c r="A3878" s="3" t="s">
        <v>12327</v>
      </c>
      <c r="B3878" s="3" t="s">
        <v>1030</v>
      </c>
      <c r="C3878" s="3" t="s">
        <v>56</v>
      </c>
      <c r="D3878" s="3" t="s">
        <v>68</v>
      </c>
      <c r="E3878" s="3" t="s">
        <v>100</v>
      </c>
      <c r="F3878" s="3" t="s">
        <v>808</v>
      </c>
      <c r="G3878" s="7">
        <v>46026.64364886199</v>
      </c>
    </row>
    <row r="3879">
      <c r="A3879" s="3" t="s">
        <v>12329</v>
      </c>
      <c r="B3879" s="3" t="s">
        <v>632</v>
      </c>
      <c r="C3879" s="3" t="s">
        <v>1095</v>
      </c>
      <c r="D3879" s="3" t="s">
        <v>68</v>
      </c>
      <c r="E3879" s="3" t="s">
        <v>100</v>
      </c>
      <c r="F3879" s="3" t="s">
        <v>1485</v>
      </c>
      <c r="G3879" s="7">
        <v>46026.71482370741</v>
      </c>
    </row>
    <row r="3880">
      <c r="A3880" s="3" t="s">
        <v>12331</v>
      </c>
      <c r="B3880" s="3" t="s">
        <v>722</v>
      </c>
      <c r="C3880" s="3" t="s">
        <v>1342</v>
      </c>
      <c r="D3880" s="3" t="s">
        <v>68</v>
      </c>
      <c r="E3880" s="3" t="s">
        <v>100</v>
      </c>
      <c r="F3880" s="3" t="s">
        <v>1735</v>
      </c>
      <c r="G3880" s="7">
        <v>46026.78599855282</v>
      </c>
    </row>
    <row r="3881">
      <c r="A3881" s="3" t="s">
        <v>12333</v>
      </c>
      <c r="B3881" s="3" t="s">
        <v>505</v>
      </c>
      <c r="C3881" s="3" t="s">
        <v>1342</v>
      </c>
      <c r="D3881" s="3" t="s">
        <v>68</v>
      </c>
      <c r="E3881" s="3" t="s">
        <v>100</v>
      </c>
      <c r="F3881" s="3" t="s">
        <v>1890</v>
      </c>
      <c r="G3881" s="7">
        <v>46026.85717339823</v>
      </c>
    </row>
    <row r="3882">
      <c r="A3882" s="3" t="s">
        <v>12336</v>
      </c>
      <c r="B3882" s="3" t="s">
        <v>380</v>
      </c>
      <c r="C3882" s="3" t="s">
        <v>1342</v>
      </c>
      <c r="D3882" s="3" t="s">
        <v>68</v>
      </c>
      <c r="E3882" s="3" t="s">
        <v>100</v>
      </c>
      <c r="F3882" s="3" t="s">
        <v>701</v>
      </c>
      <c r="G3882" s="7">
        <v>46026.92834824365</v>
      </c>
    </row>
    <row r="3883">
      <c r="A3883" s="3" t="s">
        <v>12339</v>
      </c>
      <c r="B3883" s="3" t="s">
        <v>239</v>
      </c>
      <c r="C3883" s="3" t="s">
        <v>1095</v>
      </c>
      <c r="D3883" s="3" t="s">
        <v>195</v>
      </c>
      <c r="E3883" s="3" t="s">
        <v>45</v>
      </c>
      <c r="F3883" s="3" t="s">
        <v>1182</v>
      </c>
      <c r="G3883" s="7">
        <v>46026.99952308907</v>
      </c>
    </row>
    <row r="3884">
      <c r="A3884" s="3" t="s">
        <v>12343</v>
      </c>
      <c r="B3884" s="3" t="s">
        <v>491</v>
      </c>
      <c r="C3884" s="3" t="s">
        <v>1342</v>
      </c>
      <c r="D3884" s="3" t="s">
        <v>68</v>
      </c>
      <c r="E3884" s="3" t="s">
        <v>100</v>
      </c>
      <c r="F3884" s="3" t="s">
        <v>1426</v>
      </c>
      <c r="G3884" s="7">
        <v>46027.070697934476</v>
      </c>
    </row>
    <row r="3885">
      <c r="A3885" s="3" t="s">
        <v>12345</v>
      </c>
      <c r="B3885" s="3" t="s">
        <v>352</v>
      </c>
      <c r="C3885" s="3" t="s">
        <v>56</v>
      </c>
      <c r="D3885" s="3" t="s">
        <v>68</v>
      </c>
      <c r="E3885" s="3" t="s">
        <v>100</v>
      </c>
      <c r="F3885" s="3" t="s">
        <v>810</v>
      </c>
      <c r="G3885" s="7">
        <v>46027.141872779895</v>
      </c>
    </row>
    <row r="3886">
      <c r="A3886" s="3" t="s">
        <v>12348</v>
      </c>
      <c r="B3886" s="3" t="s">
        <v>446</v>
      </c>
      <c r="C3886" s="3" t="s">
        <v>56</v>
      </c>
      <c r="D3886" s="3" t="s">
        <v>68</v>
      </c>
      <c r="E3886" s="3" t="s">
        <v>100</v>
      </c>
      <c r="F3886" s="3" t="s">
        <v>815</v>
      </c>
      <c r="G3886" s="7">
        <v>46027.21304762531</v>
      </c>
    </row>
    <row r="3887">
      <c r="A3887" s="3" t="s">
        <v>12350</v>
      </c>
      <c r="B3887" s="3" t="s">
        <v>643</v>
      </c>
      <c r="C3887" s="3" t="s">
        <v>1342</v>
      </c>
      <c r="D3887" s="3" t="s">
        <v>195</v>
      </c>
      <c r="E3887" s="3" t="s">
        <v>45</v>
      </c>
      <c r="F3887" s="3" t="s">
        <v>1697</v>
      </c>
      <c r="G3887" s="7">
        <v>46027.28422247073</v>
      </c>
    </row>
    <row r="3888">
      <c r="A3888" s="3" t="s">
        <v>12352</v>
      </c>
      <c r="B3888" s="3" t="s">
        <v>987</v>
      </c>
      <c r="C3888" s="3" t="s">
        <v>56</v>
      </c>
      <c r="D3888" s="3" t="s">
        <v>68</v>
      </c>
      <c r="E3888" s="3" t="s">
        <v>100</v>
      </c>
      <c r="F3888" s="3" t="s">
        <v>818</v>
      </c>
      <c r="G3888" s="7">
        <v>46027.35539731614</v>
      </c>
    </row>
    <row r="3889">
      <c r="A3889" s="3" t="s">
        <v>12355</v>
      </c>
      <c r="B3889" s="3" t="s">
        <v>632</v>
      </c>
      <c r="C3889" s="3" t="s">
        <v>56</v>
      </c>
      <c r="D3889" s="3" t="s">
        <v>68</v>
      </c>
      <c r="E3889" s="3" t="s">
        <v>100</v>
      </c>
      <c r="F3889" s="3" t="s">
        <v>823</v>
      </c>
      <c r="G3889" s="7">
        <v>46027.42657216156</v>
      </c>
    </row>
    <row r="3890">
      <c r="A3890" s="3" t="s">
        <v>12360</v>
      </c>
      <c r="B3890" s="3" t="s">
        <v>256</v>
      </c>
      <c r="C3890" s="3" t="s">
        <v>56</v>
      </c>
      <c r="D3890" s="3" t="s">
        <v>68</v>
      </c>
      <c r="E3890" s="3" t="s">
        <v>100</v>
      </c>
      <c r="F3890" s="3" t="s">
        <v>829</v>
      </c>
      <c r="G3890" s="7">
        <v>46027.497747006964</v>
      </c>
    </row>
    <row r="3891">
      <c r="A3891" s="3" t="s">
        <v>12363</v>
      </c>
      <c r="B3891" s="3" t="s">
        <v>886</v>
      </c>
      <c r="C3891" s="3" t="s">
        <v>1342</v>
      </c>
      <c r="D3891" s="3" t="s">
        <v>68</v>
      </c>
      <c r="E3891" s="3" t="s">
        <v>100</v>
      </c>
      <c r="F3891" s="3" t="s">
        <v>1863</v>
      </c>
      <c r="G3891" s="7">
        <v>46027.568921852384</v>
      </c>
    </row>
    <row r="3892">
      <c r="A3892" s="3" t="s">
        <v>12367</v>
      </c>
      <c r="B3892" s="3" t="s">
        <v>615</v>
      </c>
      <c r="C3892" s="3" t="s">
        <v>1342</v>
      </c>
      <c r="D3892" s="3" t="s">
        <v>68</v>
      </c>
      <c r="E3892" s="3" t="s">
        <v>100</v>
      </c>
      <c r="F3892" s="3" t="s">
        <v>1674</v>
      </c>
      <c r="G3892" s="7">
        <v>46027.6400966978</v>
      </c>
    </row>
    <row r="3893">
      <c r="A3893" s="3" t="s">
        <v>12371</v>
      </c>
      <c r="B3893" s="3" t="s">
        <v>722</v>
      </c>
      <c r="C3893" s="3" t="s">
        <v>1095</v>
      </c>
      <c r="D3893" s="3" t="s">
        <v>68</v>
      </c>
      <c r="E3893" s="3" t="s">
        <v>100</v>
      </c>
      <c r="F3893" s="3" t="s">
        <v>1735</v>
      </c>
      <c r="G3893" s="7">
        <v>46027.711271543216</v>
      </c>
    </row>
    <row r="3894">
      <c r="A3894" s="3" t="s">
        <v>12374</v>
      </c>
      <c r="B3894" s="3" t="s">
        <v>575</v>
      </c>
      <c r="C3894" s="3" t="s">
        <v>1342</v>
      </c>
      <c r="D3894" s="3" t="s">
        <v>68</v>
      </c>
      <c r="E3894" s="3" t="s">
        <v>100</v>
      </c>
      <c r="F3894" s="3" t="s">
        <v>754</v>
      </c>
      <c r="G3894" s="7">
        <v>46027.78244638863</v>
      </c>
    </row>
    <row r="3895">
      <c r="A3895" s="3" t="s">
        <v>12376</v>
      </c>
      <c r="B3895" s="3" t="s">
        <v>650</v>
      </c>
      <c r="C3895" s="3" t="s">
        <v>1342</v>
      </c>
      <c r="D3895" s="3" t="s">
        <v>195</v>
      </c>
      <c r="E3895" s="3" t="s">
        <v>45</v>
      </c>
      <c r="F3895" s="3" t="s">
        <v>1846</v>
      </c>
      <c r="G3895" s="7">
        <v>46027.85362123405</v>
      </c>
    </row>
    <row r="3896">
      <c r="A3896" s="3" t="s">
        <v>12378</v>
      </c>
      <c r="B3896" s="3" t="s">
        <v>605</v>
      </c>
      <c r="C3896" s="3" t="s">
        <v>1342</v>
      </c>
      <c r="D3896" s="3" t="s">
        <v>68</v>
      </c>
      <c r="E3896" s="3" t="s">
        <v>100</v>
      </c>
      <c r="F3896" s="3" t="s">
        <v>589</v>
      </c>
      <c r="G3896" s="7">
        <v>46027.92479607946</v>
      </c>
    </row>
    <row r="3897">
      <c r="A3897" s="3" t="s">
        <v>12380</v>
      </c>
      <c r="B3897" s="3" t="s">
        <v>269</v>
      </c>
      <c r="C3897" s="3" t="s">
        <v>1095</v>
      </c>
      <c r="D3897" s="3" t="s">
        <v>68</v>
      </c>
      <c r="E3897" s="3" t="s">
        <v>100</v>
      </c>
      <c r="F3897" s="3" t="s">
        <v>2099</v>
      </c>
      <c r="G3897" s="7">
        <v>46027.99597092487</v>
      </c>
    </row>
    <row r="3898">
      <c r="A3898" s="3" t="s">
        <v>12382</v>
      </c>
      <c r="B3898" s="3" t="s">
        <v>498</v>
      </c>
      <c r="C3898" s="3" t="s">
        <v>56</v>
      </c>
      <c r="D3898" s="3" t="s">
        <v>68</v>
      </c>
      <c r="E3898" s="3" t="s">
        <v>100</v>
      </c>
      <c r="F3898" s="3" t="s">
        <v>831</v>
      </c>
      <c r="G3898" s="7">
        <v>46028.06714577029</v>
      </c>
    </row>
    <row r="3899">
      <c r="A3899" s="3" t="s">
        <v>12386</v>
      </c>
      <c r="B3899" s="3" t="s">
        <v>547</v>
      </c>
      <c r="C3899" s="3" t="s">
        <v>1095</v>
      </c>
      <c r="D3899" s="3" t="s">
        <v>181</v>
      </c>
      <c r="E3899" s="3" t="s">
        <v>45</v>
      </c>
      <c r="F3899" s="3" t="s">
        <v>1171</v>
      </c>
      <c r="G3899" s="7">
        <v>46028.13832061571</v>
      </c>
    </row>
    <row r="3900">
      <c r="A3900" s="3" t="s">
        <v>12390</v>
      </c>
      <c r="B3900" s="3" t="s">
        <v>530</v>
      </c>
      <c r="C3900" s="3" t="s">
        <v>1342</v>
      </c>
      <c r="D3900" s="3" t="s">
        <v>68</v>
      </c>
      <c r="E3900" s="3" t="s">
        <v>100</v>
      </c>
      <c r="F3900" s="3" t="s">
        <v>1988</v>
      </c>
      <c r="G3900" s="7">
        <v>46028.20949546112</v>
      </c>
    </row>
    <row r="3901">
      <c r="A3901" s="3" t="s">
        <v>12393</v>
      </c>
      <c r="B3901" s="3" t="s">
        <v>591</v>
      </c>
      <c r="C3901" s="3" t="s">
        <v>1095</v>
      </c>
      <c r="D3901" s="3" t="s">
        <v>68</v>
      </c>
      <c r="E3901" s="3" t="s">
        <v>100</v>
      </c>
      <c r="F3901" s="3" t="s">
        <v>1687</v>
      </c>
      <c r="G3901" s="7">
        <v>46028.280670306536</v>
      </c>
    </row>
    <row r="3902">
      <c r="A3902" s="3" t="s">
        <v>12396</v>
      </c>
      <c r="B3902" s="3" t="s">
        <v>1040</v>
      </c>
      <c r="C3902" s="3" t="s">
        <v>56</v>
      </c>
      <c r="D3902" s="3" t="s">
        <v>195</v>
      </c>
      <c r="E3902" s="3" t="s">
        <v>45</v>
      </c>
      <c r="F3902" s="3" t="s">
        <v>45</v>
      </c>
      <c r="G3902" s="7">
        <v>46028.351845151956</v>
      </c>
    </row>
    <row r="3903">
      <c r="A3903" s="3" t="s">
        <v>12399</v>
      </c>
      <c r="B3903" s="3" t="s">
        <v>629</v>
      </c>
      <c r="C3903" s="3" t="s">
        <v>1342</v>
      </c>
      <c r="D3903" s="3" t="s">
        <v>68</v>
      </c>
      <c r="E3903" s="3" t="s">
        <v>100</v>
      </c>
      <c r="F3903" s="3" t="s">
        <v>1598</v>
      </c>
      <c r="G3903" s="7">
        <v>46028.42301999737</v>
      </c>
    </row>
    <row r="3904">
      <c r="A3904" s="3" t="s">
        <v>12404</v>
      </c>
      <c r="B3904" s="3" t="s">
        <v>239</v>
      </c>
      <c r="C3904" s="3" t="s">
        <v>1342</v>
      </c>
      <c r="D3904" s="3" t="s">
        <v>68</v>
      </c>
      <c r="E3904" s="3" t="s">
        <v>100</v>
      </c>
      <c r="F3904" s="3" t="s">
        <v>1182</v>
      </c>
      <c r="G3904" s="7">
        <v>46028.49419484278</v>
      </c>
    </row>
    <row r="3905">
      <c r="A3905" s="3" t="s">
        <v>12407</v>
      </c>
      <c r="B3905" s="3" t="s">
        <v>947</v>
      </c>
      <c r="C3905" s="3" t="s">
        <v>1342</v>
      </c>
      <c r="D3905" s="3" t="s">
        <v>68</v>
      </c>
      <c r="E3905" s="3" t="s">
        <v>100</v>
      </c>
      <c r="F3905" s="3" t="s">
        <v>2062</v>
      </c>
      <c r="G3905" s="7">
        <v>46028.5653696882</v>
      </c>
    </row>
    <row r="3906">
      <c r="A3906" s="3" t="s">
        <v>12410</v>
      </c>
      <c r="B3906" s="3" t="s">
        <v>481</v>
      </c>
      <c r="C3906" s="3" t="s">
        <v>56</v>
      </c>
      <c r="D3906" s="3" t="s">
        <v>68</v>
      </c>
      <c r="E3906" s="3" t="s">
        <v>100</v>
      </c>
      <c r="F3906" s="3" t="s">
        <v>837</v>
      </c>
      <c r="G3906" s="7">
        <v>46028.63654453361</v>
      </c>
    </row>
    <row r="3907">
      <c r="A3907" s="3" t="s">
        <v>12413</v>
      </c>
      <c r="B3907" s="3" t="s">
        <v>1037</v>
      </c>
      <c r="C3907" s="3" t="s">
        <v>1095</v>
      </c>
      <c r="D3907" s="3" t="s">
        <v>68</v>
      </c>
      <c r="E3907" s="3" t="s">
        <v>100</v>
      </c>
      <c r="F3907" s="3" t="s">
        <v>1276</v>
      </c>
      <c r="G3907" s="7">
        <v>46028.707719379025</v>
      </c>
    </row>
    <row r="3908">
      <c r="A3908" s="3" t="s">
        <v>12416</v>
      </c>
      <c r="B3908" s="3" t="s">
        <v>446</v>
      </c>
      <c r="C3908" s="3" t="s">
        <v>1342</v>
      </c>
      <c r="D3908" s="3" t="s">
        <v>181</v>
      </c>
      <c r="E3908" s="3" t="s">
        <v>45</v>
      </c>
      <c r="F3908" s="3" t="s">
        <v>815</v>
      </c>
      <c r="G3908" s="7">
        <v>46028.778894224444</v>
      </c>
    </row>
    <row r="3909">
      <c r="A3909" s="3" t="s">
        <v>12418</v>
      </c>
      <c r="B3909" s="3" t="s">
        <v>344</v>
      </c>
      <c r="C3909" s="3" t="s">
        <v>1095</v>
      </c>
      <c r="D3909" s="3" t="s">
        <v>68</v>
      </c>
      <c r="E3909" s="3" t="s">
        <v>100</v>
      </c>
      <c r="F3909" s="3" t="s">
        <v>1373</v>
      </c>
      <c r="G3909" s="7">
        <v>46028.85006906986</v>
      </c>
    </row>
    <row r="3910">
      <c r="A3910" s="3" t="s">
        <v>12421</v>
      </c>
      <c r="B3910" s="3" t="s">
        <v>694</v>
      </c>
      <c r="C3910" s="3" t="s">
        <v>1342</v>
      </c>
      <c r="D3910" s="3" t="s">
        <v>68</v>
      </c>
      <c r="E3910" s="3" t="s">
        <v>100</v>
      </c>
      <c r="F3910" s="3" t="s">
        <v>1797</v>
      </c>
      <c r="G3910" s="7">
        <v>46028.92124391527</v>
      </c>
    </row>
    <row r="3911">
      <c r="A3911" s="3" t="s">
        <v>12426</v>
      </c>
      <c r="B3911" s="3" t="s">
        <v>584</v>
      </c>
      <c r="C3911" s="3" t="s">
        <v>56</v>
      </c>
      <c r="D3911" s="3" t="s">
        <v>68</v>
      </c>
      <c r="E3911" s="3" t="s">
        <v>100</v>
      </c>
      <c r="F3911" s="3" t="s">
        <v>840</v>
      </c>
      <c r="G3911" s="7">
        <v>46028.99241876069</v>
      </c>
    </row>
    <row r="3912">
      <c r="A3912" s="3" t="s">
        <v>12428</v>
      </c>
      <c r="B3912" s="3" t="s">
        <v>916</v>
      </c>
      <c r="C3912" s="3" t="s">
        <v>1095</v>
      </c>
      <c r="D3912" s="3" t="s">
        <v>68</v>
      </c>
      <c r="E3912" s="3" t="s">
        <v>100</v>
      </c>
      <c r="F3912" s="3" t="s">
        <v>2120</v>
      </c>
      <c r="G3912" s="7">
        <v>46029.0635936061</v>
      </c>
    </row>
    <row r="3913">
      <c r="A3913" s="3" t="s">
        <v>12430</v>
      </c>
      <c r="B3913" s="3" t="s">
        <v>398</v>
      </c>
      <c r="C3913" s="3" t="s">
        <v>56</v>
      </c>
      <c r="D3913" s="3" t="s">
        <v>68</v>
      </c>
      <c r="E3913" s="3" t="s">
        <v>100</v>
      </c>
      <c r="F3913" s="3" t="s">
        <v>846</v>
      </c>
      <c r="G3913" s="7">
        <v>46029.13476845151</v>
      </c>
    </row>
    <row r="3914">
      <c r="A3914" s="3" t="s">
        <v>12433</v>
      </c>
      <c r="B3914" s="3" t="s">
        <v>998</v>
      </c>
      <c r="C3914" s="3" t="s">
        <v>56</v>
      </c>
      <c r="D3914" s="3" t="s">
        <v>68</v>
      </c>
      <c r="E3914" s="3" t="s">
        <v>100</v>
      </c>
      <c r="F3914" s="3" t="s">
        <v>849</v>
      </c>
      <c r="G3914" s="7">
        <v>46029.20594329693</v>
      </c>
    </row>
    <row r="3915">
      <c r="A3915" s="3" t="s">
        <v>12435</v>
      </c>
      <c r="B3915" s="3" t="s">
        <v>512</v>
      </c>
      <c r="C3915" s="3" t="s">
        <v>1095</v>
      </c>
      <c r="D3915" s="3" t="s">
        <v>181</v>
      </c>
      <c r="E3915" s="3" t="s">
        <v>45</v>
      </c>
      <c r="F3915" s="3" t="s">
        <v>2025</v>
      </c>
      <c r="G3915" s="7">
        <v>46029.27711814235</v>
      </c>
    </row>
    <row r="3916">
      <c r="A3916" s="3" t="s">
        <v>12437</v>
      </c>
      <c r="B3916" s="3" t="s">
        <v>282</v>
      </c>
      <c r="C3916" s="3" t="s">
        <v>56</v>
      </c>
      <c r="D3916" s="3" t="s">
        <v>68</v>
      </c>
      <c r="E3916" s="3" t="s">
        <v>100</v>
      </c>
      <c r="F3916" s="3" t="s">
        <v>855</v>
      </c>
      <c r="G3916" s="7">
        <v>46029.34829298776</v>
      </c>
    </row>
    <row r="3917">
      <c r="A3917" s="3" t="s">
        <v>12442</v>
      </c>
      <c r="B3917" s="3" t="s">
        <v>536</v>
      </c>
      <c r="C3917" s="3" t="s">
        <v>1095</v>
      </c>
      <c r="D3917" s="3" t="s">
        <v>68</v>
      </c>
      <c r="E3917" s="3" t="s">
        <v>100</v>
      </c>
      <c r="F3917" s="3" t="s">
        <v>2067</v>
      </c>
      <c r="G3917" s="7">
        <v>46029.41946783318</v>
      </c>
    </row>
    <row r="3918">
      <c r="A3918" s="3" t="s">
        <v>12445</v>
      </c>
      <c r="B3918" s="3" t="s">
        <v>758</v>
      </c>
      <c r="C3918" s="3" t="s">
        <v>1342</v>
      </c>
      <c r="D3918" s="3" t="s">
        <v>68</v>
      </c>
      <c r="E3918" s="3" t="s">
        <v>100</v>
      </c>
      <c r="F3918" s="3" t="s">
        <v>1879</v>
      </c>
      <c r="G3918" s="7">
        <v>46029.4906426786</v>
      </c>
    </row>
    <row r="3919">
      <c r="A3919" s="3" t="s">
        <v>12448</v>
      </c>
      <c r="B3919" s="3" t="s">
        <v>643</v>
      </c>
      <c r="C3919" s="3" t="s">
        <v>1342</v>
      </c>
      <c r="D3919" s="3" t="s">
        <v>68</v>
      </c>
      <c r="E3919" s="3" t="s">
        <v>100</v>
      </c>
      <c r="F3919" s="3" t="s">
        <v>1697</v>
      </c>
      <c r="G3919" s="7">
        <v>46029.56181752401</v>
      </c>
    </row>
    <row r="3920">
      <c r="A3920" s="3" t="s">
        <v>12449</v>
      </c>
      <c r="B3920" s="3" t="s">
        <v>734</v>
      </c>
      <c r="C3920" s="3" t="s">
        <v>1342</v>
      </c>
      <c r="D3920" s="3" t="s">
        <v>181</v>
      </c>
      <c r="E3920" s="3" t="s">
        <v>45</v>
      </c>
      <c r="F3920" s="3" t="s">
        <v>2030</v>
      </c>
      <c r="G3920" s="7">
        <v>46029.63299236942</v>
      </c>
    </row>
    <row r="3921">
      <c r="A3921" s="3" t="s">
        <v>12451</v>
      </c>
      <c r="B3921" s="3" t="s">
        <v>643</v>
      </c>
      <c r="C3921" s="3" t="s">
        <v>1342</v>
      </c>
      <c r="D3921" s="3" t="s">
        <v>195</v>
      </c>
      <c r="E3921" s="3" t="s">
        <v>45</v>
      </c>
      <c r="F3921" s="3" t="s">
        <v>1697</v>
      </c>
      <c r="G3921" s="7">
        <v>46029.70416721484</v>
      </c>
    </row>
    <row r="3922">
      <c r="A3922" s="3" t="s">
        <v>12453</v>
      </c>
      <c r="B3922" s="3" t="s">
        <v>202</v>
      </c>
      <c r="C3922" s="3" t="s">
        <v>1342</v>
      </c>
      <c r="D3922" s="3" t="s">
        <v>68</v>
      </c>
      <c r="E3922" s="3" t="s">
        <v>100</v>
      </c>
      <c r="F3922" s="3" t="s">
        <v>518</v>
      </c>
      <c r="G3922" s="7">
        <v>46029.77534206025</v>
      </c>
    </row>
    <row r="3923">
      <c r="A3923" s="3" t="s">
        <v>12456</v>
      </c>
      <c r="B3923" s="3" t="s">
        <v>913</v>
      </c>
      <c r="C3923" s="3" t="s">
        <v>56</v>
      </c>
      <c r="D3923" s="3" t="s">
        <v>68</v>
      </c>
      <c r="E3923" s="3" t="s">
        <v>100</v>
      </c>
      <c r="F3923" s="3" t="s">
        <v>857</v>
      </c>
      <c r="G3923" s="7">
        <v>46029.846516905665</v>
      </c>
    </row>
    <row r="3924">
      <c r="A3924" s="3" t="s">
        <v>12459</v>
      </c>
      <c r="B3924" s="3" t="s">
        <v>516</v>
      </c>
      <c r="C3924" s="3" t="s">
        <v>1342</v>
      </c>
      <c r="D3924" s="3" t="s">
        <v>181</v>
      </c>
      <c r="E3924" s="3" t="s">
        <v>45</v>
      </c>
      <c r="F3924" s="3" t="s">
        <v>1757</v>
      </c>
      <c r="G3924" s="7">
        <v>46029.917691751085</v>
      </c>
    </row>
    <row r="3925">
      <c r="A3925" s="3" t="s">
        <v>12462</v>
      </c>
      <c r="B3925" s="3" t="s">
        <v>969</v>
      </c>
      <c r="C3925" s="3" t="s">
        <v>1342</v>
      </c>
      <c r="D3925" s="3" t="s">
        <v>68</v>
      </c>
      <c r="E3925" s="3" t="s">
        <v>100</v>
      </c>
      <c r="F3925" s="3" t="s">
        <v>1869</v>
      </c>
      <c r="G3925" s="7">
        <v>46029.988866596505</v>
      </c>
    </row>
    <row r="3926">
      <c r="A3926" s="3" t="s">
        <v>12464</v>
      </c>
      <c r="B3926" s="3" t="s">
        <v>137</v>
      </c>
      <c r="C3926" s="3" t="s">
        <v>1095</v>
      </c>
      <c r="D3926" s="3" t="s">
        <v>68</v>
      </c>
      <c r="E3926" s="3" t="s">
        <v>100</v>
      </c>
      <c r="F3926" s="3" t="s">
        <v>646</v>
      </c>
      <c r="G3926" s="7">
        <v>46030.06004144191</v>
      </c>
    </row>
    <row r="3927">
      <c r="A3927" s="3" t="s">
        <v>12466</v>
      </c>
      <c r="B3927" s="3" t="s">
        <v>307</v>
      </c>
      <c r="C3927" s="3" t="s">
        <v>1342</v>
      </c>
      <c r="D3927" s="3" t="s">
        <v>68</v>
      </c>
      <c r="E3927" s="3" t="s">
        <v>100</v>
      </c>
      <c r="F3927" s="3" t="s">
        <v>2111</v>
      </c>
      <c r="G3927" s="7">
        <v>46030.13121628733</v>
      </c>
    </row>
    <row r="3928">
      <c r="A3928" s="3" t="s">
        <v>12470</v>
      </c>
      <c r="B3928" s="3" t="s">
        <v>547</v>
      </c>
      <c r="C3928" s="3" t="s">
        <v>1095</v>
      </c>
      <c r="D3928" s="3" t="s">
        <v>68</v>
      </c>
      <c r="E3928" s="3" t="s">
        <v>100</v>
      </c>
      <c r="F3928" s="3" t="s">
        <v>1171</v>
      </c>
      <c r="G3928" s="7">
        <v>46030.20239113274</v>
      </c>
    </row>
    <row r="3929">
      <c r="A3929" s="3" t="s">
        <v>12473</v>
      </c>
      <c r="B3929" s="3" t="s">
        <v>510</v>
      </c>
      <c r="C3929" s="3" t="s">
        <v>1095</v>
      </c>
      <c r="D3929" s="3" t="s">
        <v>181</v>
      </c>
      <c r="E3929" s="3" t="s">
        <v>45</v>
      </c>
      <c r="F3929" s="3" t="s">
        <v>1650</v>
      </c>
      <c r="G3929" s="7">
        <v>46030.27356597816</v>
      </c>
    </row>
    <row r="3930">
      <c r="A3930" s="3" t="s">
        <v>12476</v>
      </c>
      <c r="B3930" s="3" t="s">
        <v>596</v>
      </c>
      <c r="C3930" s="3" t="s">
        <v>1342</v>
      </c>
      <c r="D3930" s="3" t="s">
        <v>68</v>
      </c>
      <c r="E3930" s="3" t="s">
        <v>100</v>
      </c>
      <c r="F3930" s="3" t="s">
        <v>1808</v>
      </c>
      <c r="G3930" s="7">
        <v>46030.34474082357</v>
      </c>
    </row>
    <row r="3931">
      <c r="A3931" s="3" t="s">
        <v>12478</v>
      </c>
      <c r="B3931" s="3" t="s">
        <v>949</v>
      </c>
      <c r="C3931" s="3" t="s">
        <v>1342</v>
      </c>
      <c r="D3931" s="3" t="s">
        <v>68</v>
      </c>
      <c r="E3931" s="3" t="s">
        <v>100</v>
      </c>
      <c r="F3931" s="3" t="s">
        <v>1753</v>
      </c>
      <c r="G3931" s="7">
        <v>46030.41591566899</v>
      </c>
    </row>
    <row r="3932">
      <c r="A3932" s="3" t="s">
        <v>12482</v>
      </c>
      <c r="B3932" s="3" t="s">
        <v>980</v>
      </c>
      <c r="C3932" s="3" t="s">
        <v>1342</v>
      </c>
      <c r="D3932" s="3" t="s">
        <v>68</v>
      </c>
      <c r="E3932" s="3" t="s">
        <v>100</v>
      </c>
      <c r="F3932" s="3" t="s">
        <v>618</v>
      </c>
      <c r="G3932" s="7">
        <v>46030.4870905144</v>
      </c>
    </row>
    <row r="3933">
      <c r="A3933" s="3" t="s">
        <v>12484</v>
      </c>
      <c r="B3933" s="3" t="s">
        <v>691</v>
      </c>
      <c r="C3933" s="3" t="s">
        <v>1095</v>
      </c>
      <c r="D3933" s="3" t="s">
        <v>68</v>
      </c>
      <c r="E3933" s="3" t="s">
        <v>100</v>
      </c>
      <c r="F3933" s="3" t="s">
        <v>477</v>
      </c>
      <c r="G3933" s="7">
        <v>46030.55826535982</v>
      </c>
    </row>
    <row r="3934">
      <c r="A3934" s="3" t="s">
        <v>12487</v>
      </c>
      <c r="B3934" s="3" t="s">
        <v>377</v>
      </c>
      <c r="C3934" s="3" t="s">
        <v>1342</v>
      </c>
      <c r="D3934" s="3" t="s">
        <v>181</v>
      </c>
      <c r="E3934" s="3" t="s">
        <v>45</v>
      </c>
      <c r="F3934" s="3" t="s">
        <v>470</v>
      </c>
      <c r="G3934" s="7">
        <v>46030.62944020524</v>
      </c>
    </row>
    <row r="3935">
      <c r="A3935" s="3" t="s">
        <v>12490</v>
      </c>
      <c r="B3935" s="3" t="s">
        <v>141</v>
      </c>
      <c r="C3935" s="3" t="s">
        <v>1095</v>
      </c>
      <c r="D3935" s="3" t="s">
        <v>68</v>
      </c>
      <c r="E3935" s="3" t="s">
        <v>100</v>
      </c>
      <c r="F3935" s="3" t="s">
        <v>1579</v>
      </c>
      <c r="G3935" s="7">
        <v>46030.70061505065</v>
      </c>
    </row>
    <row r="3936">
      <c r="A3936" s="3" t="s">
        <v>12493</v>
      </c>
      <c r="B3936" s="3" t="s">
        <v>536</v>
      </c>
      <c r="C3936" s="3" t="s">
        <v>56</v>
      </c>
      <c r="D3936" s="3" t="s">
        <v>68</v>
      </c>
      <c r="E3936" s="3" t="s">
        <v>100</v>
      </c>
      <c r="F3936" s="3" t="s">
        <v>862</v>
      </c>
      <c r="G3936" s="7">
        <v>46030.77178989606</v>
      </c>
    </row>
    <row r="3937">
      <c r="A3937" s="3" t="s">
        <v>12496</v>
      </c>
      <c r="B3937" s="3" t="s">
        <v>519</v>
      </c>
      <c r="C3937" s="3" t="s">
        <v>56</v>
      </c>
      <c r="D3937" s="3" t="s">
        <v>68</v>
      </c>
      <c r="E3937" s="3" t="s">
        <v>100</v>
      </c>
      <c r="F3937" s="3" t="s">
        <v>867</v>
      </c>
      <c r="G3937" s="7">
        <v>46030.84296474148</v>
      </c>
    </row>
    <row r="3938">
      <c r="A3938" s="3" t="s">
        <v>12499</v>
      </c>
      <c r="B3938" s="3" t="s">
        <v>601</v>
      </c>
      <c r="C3938" s="3" t="s">
        <v>1095</v>
      </c>
      <c r="D3938" s="3" t="s">
        <v>68</v>
      </c>
      <c r="E3938" s="3" t="s">
        <v>100</v>
      </c>
      <c r="F3938" s="3" t="s">
        <v>1156</v>
      </c>
      <c r="G3938" s="7">
        <v>46030.914139586894</v>
      </c>
    </row>
    <row r="3939">
      <c r="A3939" s="3" t="s">
        <v>12502</v>
      </c>
      <c r="B3939" s="3" t="s">
        <v>475</v>
      </c>
      <c r="C3939" s="3" t="s">
        <v>56</v>
      </c>
      <c r="D3939" s="3" t="s">
        <v>68</v>
      </c>
      <c r="E3939" s="3" t="s">
        <v>100</v>
      </c>
      <c r="F3939" s="3" t="s">
        <v>919</v>
      </c>
      <c r="G3939" s="7">
        <v>46030.985314432306</v>
      </c>
    </row>
    <row r="3940">
      <c r="A3940" s="3" t="s">
        <v>12504</v>
      </c>
      <c r="B3940" s="3" t="s">
        <v>763</v>
      </c>
      <c r="C3940" s="3" t="s">
        <v>56</v>
      </c>
      <c r="D3940" s="3" t="s">
        <v>68</v>
      </c>
      <c r="E3940" s="3" t="s">
        <v>100</v>
      </c>
      <c r="F3940" s="3" t="s">
        <v>928</v>
      </c>
      <c r="G3940" s="7">
        <v>46031.056489277726</v>
      </c>
    </row>
    <row r="3941">
      <c r="A3941" s="3" t="s">
        <v>12506</v>
      </c>
      <c r="B3941" s="3" t="s">
        <v>414</v>
      </c>
      <c r="C3941" s="3" t="s">
        <v>1342</v>
      </c>
      <c r="D3941" s="3" t="s">
        <v>68</v>
      </c>
      <c r="E3941" s="3" t="s">
        <v>100</v>
      </c>
      <c r="F3941" s="3" t="s">
        <v>504</v>
      </c>
      <c r="G3941" s="7">
        <v>46031.127664123145</v>
      </c>
    </row>
    <row r="3942">
      <c r="A3942" s="3" t="s">
        <v>12509</v>
      </c>
      <c r="B3942" s="3" t="s">
        <v>307</v>
      </c>
      <c r="C3942" s="3" t="s">
        <v>1342</v>
      </c>
      <c r="D3942" s="3" t="s">
        <v>68</v>
      </c>
      <c r="E3942" s="3" t="s">
        <v>100</v>
      </c>
      <c r="F3942" s="3" t="s">
        <v>2111</v>
      </c>
      <c r="G3942" s="7">
        <v>46031.19883896855</v>
      </c>
    </row>
    <row r="3943">
      <c r="A3943" s="3" t="s">
        <v>12512</v>
      </c>
      <c r="B3943" s="3" t="s">
        <v>747</v>
      </c>
      <c r="C3943" s="3" t="s">
        <v>56</v>
      </c>
      <c r="D3943" s="3" t="s">
        <v>68</v>
      </c>
      <c r="E3943" s="3" t="s">
        <v>100</v>
      </c>
      <c r="F3943" s="3" t="s">
        <v>932</v>
      </c>
      <c r="G3943" s="7">
        <v>46031.27001381397</v>
      </c>
    </row>
    <row r="3944">
      <c r="A3944" s="3" t="s">
        <v>12515</v>
      </c>
      <c r="B3944" s="3" t="s">
        <v>848</v>
      </c>
      <c r="C3944" s="3" t="s">
        <v>56</v>
      </c>
      <c r="D3944" s="3" t="s">
        <v>68</v>
      </c>
      <c r="E3944" s="3" t="s">
        <v>100</v>
      </c>
      <c r="F3944" s="3" t="s">
        <v>942</v>
      </c>
      <c r="G3944" s="7">
        <v>46031.34118865939</v>
      </c>
    </row>
    <row r="3945">
      <c r="A3945" s="3" t="s">
        <v>12518</v>
      </c>
      <c r="B3945" s="3" t="s">
        <v>224</v>
      </c>
      <c r="C3945" s="3" t="s">
        <v>1342</v>
      </c>
      <c r="D3945" s="3" t="s">
        <v>68</v>
      </c>
      <c r="E3945" s="3" t="s">
        <v>100</v>
      </c>
      <c r="F3945" s="3" t="s">
        <v>495</v>
      </c>
      <c r="G3945" s="7">
        <v>46031.4123635048</v>
      </c>
    </row>
    <row r="3946">
      <c r="A3946" s="3" t="s">
        <v>12521</v>
      </c>
      <c r="B3946" s="3" t="s">
        <v>615</v>
      </c>
      <c r="C3946" s="3" t="s">
        <v>1095</v>
      </c>
      <c r="D3946" s="3" t="s">
        <v>68</v>
      </c>
      <c r="E3946" s="3" t="s">
        <v>100</v>
      </c>
      <c r="F3946" s="3" t="s">
        <v>1674</v>
      </c>
      <c r="G3946" s="7">
        <v>46031.483538350214</v>
      </c>
    </row>
    <row r="3947">
      <c r="A3947" s="3" t="s">
        <v>12524</v>
      </c>
      <c r="B3947" s="3" t="s">
        <v>612</v>
      </c>
      <c r="C3947" s="3" t="s">
        <v>1342</v>
      </c>
      <c r="D3947" s="3" t="s">
        <v>68</v>
      </c>
      <c r="E3947" s="3" t="s">
        <v>100</v>
      </c>
      <c r="F3947" s="3" t="s">
        <v>1187</v>
      </c>
      <c r="G3947" s="7">
        <v>46031.554713195634</v>
      </c>
    </row>
    <row r="3948">
      <c r="A3948" s="3" t="s">
        <v>12526</v>
      </c>
      <c r="B3948" s="3" t="s">
        <v>230</v>
      </c>
      <c r="C3948" s="3" t="s">
        <v>1342</v>
      </c>
      <c r="D3948" s="3" t="s">
        <v>68</v>
      </c>
      <c r="E3948" s="3" t="s">
        <v>100</v>
      </c>
      <c r="F3948" s="3" t="s">
        <v>2118</v>
      </c>
      <c r="G3948" s="7">
        <v>46031.625888041046</v>
      </c>
    </row>
    <row r="3949">
      <c r="A3949" s="3" t="s">
        <v>12528</v>
      </c>
      <c r="B3949" s="3" t="s">
        <v>126</v>
      </c>
      <c r="C3949" s="3" t="s">
        <v>56</v>
      </c>
      <c r="D3949" s="3" t="s">
        <v>68</v>
      </c>
      <c r="E3949" s="3" t="s">
        <v>100</v>
      </c>
      <c r="F3949" s="3" t="s">
        <v>950</v>
      </c>
      <c r="G3949" s="7">
        <v>46031.69706288646</v>
      </c>
    </row>
    <row r="3950">
      <c r="A3950" s="3" t="s">
        <v>12530</v>
      </c>
      <c r="B3950" s="3" t="s">
        <v>380</v>
      </c>
      <c r="C3950" s="3" t="s">
        <v>1095</v>
      </c>
      <c r="D3950" s="3" t="s">
        <v>68</v>
      </c>
      <c r="E3950" s="3" t="s">
        <v>100</v>
      </c>
      <c r="F3950" s="3" t="s">
        <v>701</v>
      </c>
      <c r="G3950" s="7">
        <v>46031.76823773188</v>
      </c>
    </row>
    <row r="3951">
      <c r="A3951" s="3" t="s">
        <v>12532</v>
      </c>
      <c r="B3951" s="3" t="s">
        <v>535</v>
      </c>
      <c r="C3951" s="3" t="s">
        <v>1095</v>
      </c>
      <c r="D3951" s="3" t="s">
        <v>68</v>
      </c>
      <c r="E3951" s="3" t="s">
        <v>100</v>
      </c>
      <c r="F3951" s="3" t="s">
        <v>762</v>
      </c>
      <c r="G3951" s="7">
        <v>46031.83941257729</v>
      </c>
    </row>
    <row r="3952">
      <c r="A3952" s="3" t="s">
        <v>12533</v>
      </c>
      <c r="B3952" s="3" t="s">
        <v>290</v>
      </c>
      <c r="C3952" s="3" t="s">
        <v>1095</v>
      </c>
      <c r="D3952" s="3" t="s">
        <v>68</v>
      </c>
      <c r="E3952" s="3" t="s">
        <v>100</v>
      </c>
      <c r="F3952" s="3" t="s">
        <v>1828</v>
      </c>
      <c r="G3952" s="7">
        <v>46031.9105874227</v>
      </c>
    </row>
    <row r="3953">
      <c r="A3953" s="3" t="s">
        <v>12535</v>
      </c>
      <c r="B3953" s="3" t="s">
        <v>171</v>
      </c>
      <c r="C3953" s="3" t="s">
        <v>1342</v>
      </c>
      <c r="D3953" s="3" t="s">
        <v>68</v>
      </c>
      <c r="E3953" s="3" t="s">
        <v>100</v>
      </c>
      <c r="F3953" s="3" t="s">
        <v>1835</v>
      </c>
      <c r="G3953" s="7">
        <v>46031.98176226812</v>
      </c>
    </row>
    <row r="3954">
      <c r="A3954" s="3" t="s">
        <v>12537</v>
      </c>
      <c r="B3954" s="3" t="s">
        <v>183</v>
      </c>
      <c r="C3954" s="3" t="s">
        <v>1095</v>
      </c>
      <c r="D3954" s="3" t="s">
        <v>68</v>
      </c>
      <c r="E3954" s="3" t="s">
        <v>100</v>
      </c>
      <c r="F3954" s="3" t="s">
        <v>1842</v>
      </c>
      <c r="G3954" s="7">
        <v>46032.052937113534</v>
      </c>
    </row>
    <row r="3955">
      <c r="A3955" s="3" t="s">
        <v>12539</v>
      </c>
      <c r="B3955" s="3" t="s">
        <v>760</v>
      </c>
      <c r="C3955" s="3" t="s">
        <v>1342</v>
      </c>
      <c r="D3955" s="3" t="s">
        <v>68</v>
      </c>
      <c r="E3955" s="3" t="s">
        <v>100</v>
      </c>
      <c r="F3955" s="3" t="s">
        <v>716</v>
      </c>
      <c r="G3955" s="7">
        <v>46032.12411195895</v>
      </c>
    </row>
    <row r="3956">
      <c r="A3956" s="3" t="s">
        <v>12541</v>
      </c>
      <c r="B3956" s="3" t="s">
        <v>601</v>
      </c>
      <c r="C3956" s="3" t="s">
        <v>56</v>
      </c>
      <c r="D3956" s="3" t="s">
        <v>68</v>
      </c>
      <c r="E3956" s="3" t="s">
        <v>100</v>
      </c>
      <c r="F3956" s="3" t="s">
        <v>954</v>
      </c>
      <c r="G3956" s="7">
        <v>46032.195286804366</v>
      </c>
    </row>
    <row r="3957">
      <c r="A3957" s="3" t="s">
        <v>12544</v>
      </c>
      <c r="B3957" s="3" t="s">
        <v>990</v>
      </c>
      <c r="C3957" s="3" t="s">
        <v>1095</v>
      </c>
      <c r="D3957" s="3" t="s">
        <v>68</v>
      </c>
      <c r="E3957" s="3" t="s">
        <v>100</v>
      </c>
      <c r="F3957" s="3" t="s">
        <v>2024</v>
      </c>
      <c r="G3957" s="7">
        <v>46032.266461649786</v>
      </c>
    </row>
    <row r="3958">
      <c r="A3958" s="3" t="s">
        <v>12547</v>
      </c>
      <c r="B3958" s="3" t="s">
        <v>330</v>
      </c>
      <c r="C3958" s="3" t="s">
        <v>1095</v>
      </c>
      <c r="D3958" s="3" t="s">
        <v>181</v>
      </c>
      <c r="E3958" s="3" t="s">
        <v>45</v>
      </c>
      <c r="F3958" s="3" t="s">
        <v>721</v>
      </c>
      <c r="G3958" s="7">
        <v>46032.33763649519</v>
      </c>
    </row>
    <row r="3959">
      <c r="A3959" s="3" t="s">
        <v>12548</v>
      </c>
      <c r="B3959" s="3" t="s">
        <v>247</v>
      </c>
      <c r="C3959" s="3" t="s">
        <v>56</v>
      </c>
      <c r="D3959" s="3" t="s">
        <v>181</v>
      </c>
      <c r="E3959" s="3" t="s">
        <v>45</v>
      </c>
      <c r="F3959" s="3" t="s">
        <v>45</v>
      </c>
      <c r="G3959" s="7">
        <v>46032.40881134061</v>
      </c>
    </row>
    <row r="3960">
      <c r="A3960" s="3" t="s">
        <v>12551</v>
      </c>
      <c r="B3960" s="3" t="s">
        <v>189</v>
      </c>
      <c r="C3960" s="3" t="s">
        <v>1095</v>
      </c>
      <c r="D3960" s="3" t="s">
        <v>68</v>
      </c>
      <c r="E3960" s="3" t="s">
        <v>100</v>
      </c>
      <c r="F3960" s="3" t="s">
        <v>688</v>
      </c>
      <c r="G3960" s="7">
        <v>46032.47998618603</v>
      </c>
    </row>
    <row r="3961">
      <c r="A3961" s="3" t="s">
        <v>12554</v>
      </c>
      <c r="B3961" s="3" t="s">
        <v>322</v>
      </c>
      <c r="C3961" s="3" t="s">
        <v>56</v>
      </c>
      <c r="D3961" s="3" t="s">
        <v>68</v>
      </c>
      <c r="E3961" s="3" t="s">
        <v>100</v>
      </c>
      <c r="F3961" s="3" t="s">
        <v>959</v>
      </c>
      <c r="G3961" s="7">
        <v>46032.55116103144</v>
      </c>
    </row>
    <row r="3962">
      <c r="A3962" s="3" t="s">
        <v>12556</v>
      </c>
      <c r="B3962" s="3" t="s">
        <v>789</v>
      </c>
      <c r="C3962" s="3" t="s">
        <v>1095</v>
      </c>
      <c r="D3962" s="3" t="s">
        <v>181</v>
      </c>
      <c r="E3962" s="3" t="s">
        <v>45</v>
      </c>
      <c r="F3962" s="3" t="s">
        <v>2006</v>
      </c>
      <c r="G3962" s="7">
        <v>46032.622335876855</v>
      </c>
    </row>
    <row r="3963">
      <c r="A3963" s="3" t="s">
        <v>12558</v>
      </c>
      <c r="B3963" s="3" t="s">
        <v>778</v>
      </c>
      <c r="C3963" s="3" t="s">
        <v>1342</v>
      </c>
      <c r="D3963" s="3" t="s">
        <v>68</v>
      </c>
      <c r="E3963" s="3" t="s">
        <v>100</v>
      </c>
      <c r="F3963" s="3" t="s">
        <v>1575</v>
      </c>
      <c r="G3963" s="7">
        <v>46032.693510722274</v>
      </c>
    </row>
    <row r="3964">
      <c r="A3964" s="3" t="s">
        <v>12561</v>
      </c>
      <c r="B3964" s="3" t="s">
        <v>398</v>
      </c>
      <c r="C3964" s="3" t="s">
        <v>1342</v>
      </c>
      <c r="D3964" s="3" t="s">
        <v>68</v>
      </c>
      <c r="E3964" s="3" t="s">
        <v>100</v>
      </c>
      <c r="F3964" s="3" t="s">
        <v>846</v>
      </c>
      <c r="G3964" s="7">
        <v>46032.76468556769</v>
      </c>
    </row>
    <row r="3965">
      <c r="A3965" s="3" t="s">
        <v>12563</v>
      </c>
      <c r="B3965" s="3" t="s">
        <v>916</v>
      </c>
      <c r="C3965" s="3" t="s">
        <v>56</v>
      </c>
      <c r="D3965" s="3" t="s">
        <v>68</v>
      </c>
      <c r="E3965" s="3" t="s">
        <v>100</v>
      </c>
      <c r="F3965" s="3" t="s">
        <v>963</v>
      </c>
      <c r="G3965" s="7">
        <v>46032.8358604131</v>
      </c>
    </row>
    <row r="3966">
      <c r="A3966" s="3" t="s">
        <v>12565</v>
      </c>
      <c r="B3966" s="3" t="s">
        <v>615</v>
      </c>
      <c r="C3966" s="3" t="s">
        <v>56</v>
      </c>
      <c r="D3966" s="3" t="s">
        <v>68</v>
      </c>
      <c r="E3966" s="3" t="s">
        <v>100</v>
      </c>
      <c r="F3966" s="3" t="s">
        <v>968</v>
      </c>
      <c r="G3966" s="7">
        <v>46032.90703525852</v>
      </c>
    </row>
    <row r="3967">
      <c r="A3967" s="3" t="s">
        <v>12568</v>
      </c>
      <c r="B3967" s="3" t="s">
        <v>475</v>
      </c>
      <c r="C3967" s="3" t="s">
        <v>1095</v>
      </c>
      <c r="D3967" s="3" t="s">
        <v>68</v>
      </c>
      <c r="E3967" s="3" t="s">
        <v>100</v>
      </c>
      <c r="F3967" s="3" t="s">
        <v>919</v>
      </c>
      <c r="G3967" s="7">
        <v>46032.97821010393</v>
      </c>
    </row>
    <row r="3968">
      <c r="A3968" s="3" t="s">
        <v>12569</v>
      </c>
      <c r="B3968" s="3" t="s">
        <v>637</v>
      </c>
      <c r="C3968" s="3" t="s">
        <v>1095</v>
      </c>
      <c r="D3968" s="3" t="s">
        <v>68</v>
      </c>
      <c r="E3968" s="3" t="s">
        <v>100</v>
      </c>
      <c r="F3968" s="3" t="s">
        <v>1785</v>
      </c>
      <c r="G3968" s="7">
        <v>46033.04938494934</v>
      </c>
    </row>
    <row r="3969">
      <c r="A3969" s="3" t="s">
        <v>12572</v>
      </c>
      <c r="B3969" s="3" t="s">
        <v>615</v>
      </c>
      <c r="C3969" s="3" t="s">
        <v>1342</v>
      </c>
      <c r="D3969" s="3" t="s">
        <v>68</v>
      </c>
      <c r="E3969" s="3" t="s">
        <v>100</v>
      </c>
      <c r="F3969" s="3" t="s">
        <v>968</v>
      </c>
      <c r="G3969" s="7">
        <v>46033.12055979476</v>
      </c>
    </row>
    <row r="3970">
      <c r="A3970" s="3" t="s">
        <v>12575</v>
      </c>
      <c r="B3970" s="3" t="s">
        <v>1040</v>
      </c>
      <c r="C3970" s="3" t="s">
        <v>56</v>
      </c>
      <c r="D3970" s="3" t="s">
        <v>181</v>
      </c>
      <c r="E3970" s="3" t="s">
        <v>45</v>
      </c>
      <c r="F3970" s="3" t="s">
        <v>45</v>
      </c>
      <c r="G3970" s="7">
        <v>46033.191734640175</v>
      </c>
    </row>
    <row r="3971">
      <c r="A3971" s="3" t="s">
        <v>12578</v>
      </c>
      <c r="B3971" s="3" t="s">
        <v>366</v>
      </c>
      <c r="C3971" s="3" t="s">
        <v>1095</v>
      </c>
      <c r="D3971" s="3" t="s">
        <v>181</v>
      </c>
      <c r="E3971" s="3" t="s">
        <v>45</v>
      </c>
      <c r="F3971" s="3" t="s">
        <v>2091</v>
      </c>
      <c r="G3971" s="7">
        <v>46033.26290948559</v>
      </c>
    </row>
    <row r="3972">
      <c r="A3972" s="3" t="s">
        <v>12581</v>
      </c>
      <c r="B3972" s="3" t="s">
        <v>629</v>
      </c>
      <c r="C3972" s="3" t="s">
        <v>1342</v>
      </c>
      <c r="D3972" s="3" t="s">
        <v>68</v>
      </c>
      <c r="E3972" s="3" t="s">
        <v>100</v>
      </c>
      <c r="F3972" s="3" t="s">
        <v>1598</v>
      </c>
      <c r="G3972" s="7">
        <v>46033.33408433101</v>
      </c>
    </row>
    <row r="3973">
      <c r="A3973" s="3" t="s">
        <v>12584</v>
      </c>
      <c r="B3973" s="3" t="s">
        <v>1043</v>
      </c>
      <c r="C3973" s="3" t="s">
        <v>56</v>
      </c>
      <c r="D3973" s="3" t="s">
        <v>68</v>
      </c>
      <c r="E3973" s="3" t="s">
        <v>100</v>
      </c>
      <c r="F3973" s="3" t="s">
        <v>971</v>
      </c>
      <c r="G3973" s="7">
        <v>46033.40525917643</v>
      </c>
    </row>
    <row r="3974">
      <c r="A3974" s="3" t="s">
        <v>12587</v>
      </c>
      <c r="B3974" s="3" t="s">
        <v>316</v>
      </c>
      <c r="C3974" s="3" t="s">
        <v>1095</v>
      </c>
      <c r="D3974" s="3" t="s">
        <v>68</v>
      </c>
      <c r="E3974" s="3" t="s">
        <v>100</v>
      </c>
      <c r="F3974" s="3" t="s">
        <v>595</v>
      </c>
      <c r="G3974" s="7">
        <v>46033.47643402183</v>
      </c>
    </row>
    <row r="3975">
      <c r="A3975" s="3" t="s">
        <v>12590</v>
      </c>
      <c r="B3975" s="3" t="s">
        <v>908</v>
      </c>
      <c r="C3975" s="3" t="s">
        <v>56</v>
      </c>
      <c r="D3975" s="3" t="s">
        <v>68</v>
      </c>
      <c r="E3975" s="3" t="s">
        <v>100</v>
      </c>
      <c r="F3975" s="3" t="s">
        <v>977</v>
      </c>
      <c r="G3975" s="7">
        <v>46033.54760886725</v>
      </c>
    </row>
    <row r="3976">
      <c r="A3976" s="3" t="s">
        <v>12593</v>
      </c>
      <c r="B3976" s="3" t="s">
        <v>640</v>
      </c>
      <c r="C3976" s="3" t="s">
        <v>56</v>
      </c>
      <c r="D3976" s="3" t="s">
        <v>68</v>
      </c>
      <c r="E3976" s="3" t="s">
        <v>100</v>
      </c>
      <c r="F3976" s="3" t="s">
        <v>983</v>
      </c>
      <c r="G3976" s="7">
        <v>46033.61878371267</v>
      </c>
    </row>
    <row r="3977">
      <c r="A3977" s="3" t="s">
        <v>12597</v>
      </c>
      <c r="B3977" s="3" t="s">
        <v>219</v>
      </c>
      <c r="C3977" s="3" t="s">
        <v>56</v>
      </c>
      <c r="D3977" s="3" t="s">
        <v>195</v>
      </c>
      <c r="E3977" s="3" t="s">
        <v>45</v>
      </c>
      <c r="F3977" s="3" t="s">
        <v>45</v>
      </c>
      <c r="G3977" s="7">
        <v>46033.68995855808</v>
      </c>
    </row>
    <row r="3978">
      <c r="A3978" s="3" t="s">
        <v>12600</v>
      </c>
      <c r="B3978" s="3" t="s">
        <v>998</v>
      </c>
      <c r="C3978" s="3" t="s">
        <v>1095</v>
      </c>
      <c r="D3978" s="3" t="s">
        <v>68</v>
      </c>
      <c r="E3978" s="3" t="s">
        <v>100</v>
      </c>
      <c r="F3978" s="3" t="s">
        <v>849</v>
      </c>
      <c r="G3978" s="7">
        <v>46033.761133403495</v>
      </c>
    </row>
    <row r="3979">
      <c r="A3979" s="3" t="s">
        <v>12603</v>
      </c>
      <c r="B3979" s="3" t="s">
        <v>316</v>
      </c>
      <c r="C3979" s="3" t="s">
        <v>56</v>
      </c>
      <c r="D3979" s="3" t="s">
        <v>68</v>
      </c>
      <c r="E3979" s="3" t="s">
        <v>100</v>
      </c>
      <c r="F3979" s="3" t="s">
        <v>985</v>
      </c>
      <c r="G3979" s="7">
        <v>46033.832308248915</v>
      </c>
    </row>
    <row r="3980">
      <c r="A3980" s="3" t="s">
        <v>12606</v>
      </c>
      <c r="B3980" s="3" t="s">
        <v>336</v>
      </c>
      <c r="C3980" s="3" t="s">
        <v>56</v>
      </c>
      <c r="D3980" s="3" t="s">
        <v>68</v>
      </c>
      <c r="E3980" s="3" t="s">
        <v>100</v>
      </c>
      <c r="F3980" s="3" t="s">
        <v>1000</v>
      </c>
      <c r="G3980" s="7">
        <v>46033.90348309433</v>
      </c>
    </row>
    <row r="3981">
      <c r="A3981" s="3" t="s">
        <v>12611</v>
      </c>
      <c r="B3981" s="3" t="s">
        <v>1021</v>
      </c>
      <c r="C3981" s="3" t="s">
        <v>1095</v>
      </c>
      <c r="D3981" s="3" t="s">
        <v>181</v>
      </c>
      <c r="E3981" s="3" t="s">
        <v>45</v>
      </c>
      <c r="F3981" s="3" t="s">
        <v>1671</v>
      </c>
      <c r="G3981" s="7">
        <v>46033.97465793974</v>
      </c>
    </row>
    <row r="3982">
      <c r="A3982" s="3" t="s">
        <v>12614</v>
      </c>
      <c r="B3982" s="3" t="s">
        <v>319</v>
      </c>
      <c r="C3982" s="3" t="s">
        <v>1095</v>
      </c>
      <c r="D3982" s="3" t="s">
        <v>68</v>
      </c>
      <c r="E3982" s="3" t="s">
        <v>100</v>
      </c>
      <c r="F3982" s="3" t="s">
        <v>1015</v>
      </c>
      <c r="G3982" s="7">
        <v>46034.04583278516</v>
      </c>
    </row>
    <row r="3983">
      <c r="A3983" s="3" t="s">
        <v>12615</v>
      </c>
      <c r="B3983" s="3" t="s">
        <v>256</v>
      </c>
      <c r="C3983" s="3" t="s">
        <v>1095</v>
      </c>
      <c r="D3983" s="3" t="s">
        <v>68</v>
      </c>
      <c r="E3983" s="3" t="s">
        <v>100</v>
      </c>
      <c r="F3983" s="3" t="s">
        <v>829</v>
      </c>
      <c r="G3983" s="7">
        <v>46034.11700763057</v>
      </c>
    </row>
    <row r="3984">
      <c r="A3984" s="3" t="s">
        <v>12620</v>
      </c>
      <c r="B3984" s="3" t="s">
        <v>581</v>
      </c>
      <c r="C3984" s="3" t="s">
        <v>56</v>
      </c>
      <c r="D3984" s="3" t="s">
        <v>68</v>
      </c>
      <c r="E3984" s="3" t="s">
        <v>100</v>
      </c>
      <c r="F3984" s="3" t="s">
        <v>1004</v>
      </c>
      <c r="G3984" s="7">
        <v>46034.188182475984</v>
      </c>
    </row>
    <row r="3985">
      <c r="A3985" s="3" t="s">
        <v>12622</v>
      </c>
      <c r="B3985" s="3" t="s">
        <v>916</v>
      </c>
      <c r="C3985" s="3" t="s">
        <v>1342</v>
      </c>
      <c r="D3985" s="3" t="s">
        <v>68</v>
      </c>
      <c r="E3985" s="3" t="s">
        <v>100</v>
      </c>
      <c r="F3985" s="3" t="s">
        <v>963</v>
      </c>
      <c r="G3985" s="7">
        <v>46034.2593573214</v>
      </c>
    </row>
    <row r="3986">
      <c r="A3986" s="3" t="s">
        <v>12623</v>
      </c>
      <c r="B3986" s="3" t="s">
        <v>436</v>
      </c>
      <c r="C3986" s="3" t="s">
        <v>1342</v>
      </c>
      <c r="D3986" s="3" t="s">
        <v>68</v>
      </c>
      <c r="E3986" s="3" t="s">
        <v>100</v>
      </c>
      <c r="F3986" s="3" t="s">
        <v>1138</v>
      </c>
      <c r="G3986" s="7">
        <v>46034.33053216682</v>
      </c>
    </row>
    <row r="3987">
      <c r="A3987" s="3" t="s">
        <v>12625</v>
      </c>
      <c r="B3987" s="3" t="s">
        <v>998</v>
      </c>
      <c r="C3987" s="3" t="s">
        <v>56</v>
      </c>
      <c r="D3987" s="3" t="s">
        <v>68</v>
      </c>
      <c r="E3987" s="3" t="s">
        <v>100</v>
      </c>
      <c r="F3987" s="3" t="s">
        <v>1007</v>
      </c>
      <c r="G3987" s="7">
        <v>46034.40170701223</v>
      </c>
    </row>
    <row r="3988">
      <c r="A3988" s="3" t="s">
        <v>12627</v>
      </c>
      <c r="B3988" s="3" t="s">
        <v>785</v>
      </c>
      <c r="C3988" s="3" t="s">
        <v>1342</v>
      </c>
      <c r="D3988" s="3" t="s">
        <v>68</v>
      </c>
      <c r="E3988" s="3" t="s">
        <v>100</v>
      </c>
      <c r="F3988" s="3" t="s">
        <v>712</v>
      </c>
      <c r="G3988" s="7">
        <v>46034.47288185765</v>
      </c>
    </row>
    <row r="3989">
      <c r="A3989" s="3" t="s">
        <v>12629</v>
      </c>
      <c r="B3989" s="3" t="s">
        <v>1026</v>
      </c>
      <c r="C3989" s="3" t="s">
        <v>1095</v>
      </c>
      <c r="D3989" s="3" t="s">
        <v>68</v>
      </c>
      <c r="E3989" s="3" t="s">
        <v>100</v>
      </c>
      <c r="F3989" s="3" t="s">
        <v>1684</v>
      </c>
      <c r="G3989" s="7">
        <v>46034.54405670307</v>
      </c>
    </row>
    <row r="3990">
      <c r="A3990" s="3" t="s">
        <v>12631</v>
      </c>
      <c r="B3990" s="3" t="s">
        <v>519</v>
      </c>
      <c r="C3990" s="3" t="s">
        <v>1342</v>
      </c>
      <c r="D3990" s="3" t="s">
        <v>68</v>
      </c>
      <c r="E3990" s="3" t="s">
        <v>100</v>
      </c>
      <c r="F3990" s="3" t="s">
        <v>867</v>
      </c>
      <c r="G3990" s="7">
        <v>46034.61523154848</v>
      </c>
    </row>
    <row r="3991">
      <c r="A3991" s="3" t="s">
        <v>12633</v>
      </c>
      <c r="B3991" s="3" t="s">
        <v>348</v>
      </c>
      <c r="C3991" s="3" t="s">
        <v>56</v>
      </c>
      <c r="D3991" s="3" t="s">
        <v>195</v>
      </c>
      <c r="E3991" s="3" t="s">
        <v>45</v>
      </c>
      <c r="F3991" s="3" t="s">
        <v>45</v>
      </c>
      <c r="G3991" s="7">
        <v>46034.68640639389</v>
      </c>
    </row>
    <row r="3992">
      <c r="A3992" s="3" t="s">
        <v>12636</v>
      </c>
      <c r="B3992" s="3" t="s">
        <v>1043</v>
      </c>
      <c r="C3992" s="3" t="s">
        <v>1342</v>
      </c>
      <c r="D3992" s="3" t="s">
        <v>68</v>
      </c>
      <c r="E3992" s="3" t="s">
        <v>100</v>
      </c>
      <c r="F3992" s="3" t="s">
        <v>971</v>
      </c>
      <c r="G3992" s="7">
        <v>46034.75758123931</v>
      </c>
    </row>
    <row r="3993">
      <c r="A3993" s="3" t="s">
        <v>12639</v>
      </c>
      <c r="B3993" s="3" t="s">
        <v>336</v>
      </c>
      <c r="C3993" s="3" t="s">
        <v>1095</v>
      </c>
      <c r="D3993" s="3" t="s">
        <v>195</v>
      </c>
      <c r="E3993" s="3" t="s">
        <v>45</v>
      </c>
      <c r="F3993" s="3" t="s">
        <v>1000</v>
      </c>
      <c r="G3993" s="7">
        <v>46034.828756084724</v>
      </c>
    </row>
    <row r="3994">
      <c r="A3994" s="3" t="s">
        <v>12641</v>
      </c>
      <c r="B3994" s="3" t="s">
        <v>230</v>
      </c>
      <c r="C3994" s="3" t="s">
        <v>1095</v>
      </c>
      <c r="D3994" s="3" t="s">
        <v>68</v>
      </c>
      <c r="E3994" s="3" t="s">
        <v>100</v>
      </c>
      <c r="F3994" s="3" t="s">
        <v>2118</v>
      </c>
      <c r="G3994" s="7">
        <v>46034.899930930136</v>
      </c>
    </row>
    <row r="3995">
      <c r="A3995" s="3" t="s">
        <v>12643</v>
      </c>
      <c r="B3995" s="3" t="s">
        <v>462</v>
      </c>
      <c r="C3995" s="3" t="s">
        <v>1095</v>
      </c>
      <c r="D3995" s="3" t="s">
        <v>68</v>
      </c>
      <c r="E3995" s="3" t="s">
        <v>100</v>
      </c>
      <c r="F3995" s="3" t="s">
        <v>1733</v>
      </c>
      <c r="G3995" s="7">
        <v>46034.971105775556</v>
      </c>
    </row>
    <row r="3996">
      <c r="A3996" s="3" t="s">
        <v>12646</v>
      </c>
      <c r="B3996" s="3" t="s">
        <v>404</v>
      </c>
      <c r="C3996" s="3" t="s">
        <v>1095</v>
      </c>
      <c r="D3996" s="3" t="s">
        <v>68</v>
      </c>
      <c r="E3996" s="3" t="s">
        <v>100</v>
      </c>
      <c r="F3996" s="3" t="s">
        <v>1981</v>
      </c>
      <c r="G3996" s="7">
        <v>46035.04228062097</v>
      </c>
    </row>
    <row r="3997">
      <c r="A3997" s="3" t="s">
        <v>12649</v>
      </c>
      <c r="B3997" s="3" t="s">
        <v>162</v>
      </c>
      <c r="C3997" s="3" t="s">
        <v>1342</v>
      </c>
      <c r="D3997" s="3" t="s">
        <v>68</v>
      </c>
      <c r="E3997" s="3" t="s">
        <v>100</v>
      </c>
      <c r="F3997" s="3" t="s">
        <v>1876</v>
      </c>
      <c r="G3997" s="7">
        <v>46035.11345546638</v>
      </c>
    </row>
    <row r="3998">
      <c r="A3998" s="3" t="s">
        <v>12651</v>
      </c>
      <c r="B3998" s="3" t="s">
        <v>903</v>
      </c>
      <c r="C3998" s="3" t="s">
        <v>1342</v>
      </c>
      <c r="D3998" s="3" t="s">
        <v>68</v>
      </c>
      <c r="E3998" s="3" t="s">
        <v>100</v>
      </c>
      <c r="F3998" s="3" t="s">
        <v>1720</v>
      </c>
      <c r="G3998" s="7">
        <v>46035.1846303118</v>
      </c>
    </row>
    <row r="3999">
      <c r="A3999" s="3" t="s">
        <v>12653</v>
      </c>
      <c r="B3999" s="3" t="s">
        <v>247</v>
      </c>
      <c r="C3999" s="3" t="s">
        <v>56</v>
      </c>
      <c r="D3999" s="3" t="s">
        <v>68</v>
      </c>
      <c r="E3999" s="3" t="s">
        <v>100</v>
      </c>
      <c r="F3999" s="3" t="s">
        <v>1012</v>
      </c>
      <c r="G3999" s="7">
        <v>46035.25580515721</v>
      </c>
    </row>
    <row r="4000">
      <c r="A4000" s="3" t="s">
        <v>12656</v>
      </c>
      <c r="B4000" s="3" t="s">
        <v>226</v>
      </c>
      <c r="C4000" s="3" t="s">
        <v>1342</v>
      </c>
      <c r="D4000" s="3" t="s">
        <v>68</v>
      </c>
      <c r="E4000" s="3" t="s">
        <v>100</v>
      </c>
      <c r="F4000" s="3" t="s">
        <v>1975</v>
      </c>
      <c r="G4000" s="7">
        <v>46035.326980002625</v>
      </c>
    </row>
    <row r="4001">
      <c r="A4001" s="3" t="s">
        <v>12658</v>
      </c>
      <c r="B4001" s="3" t="s">
        <v>619</v>
      </c>
      <c r="C4001" s="3" t="s">
        <v>56</v>
      </c>
      <c r="D4001" s="3" t="s">
        <v>68</v>
      </c>
      <c r="E4001" s="3" t="s">
        <v>100</v>
      </c>
      <c r="F4001" s="3" t="s">
        <v>1015</v>
      </c>
      <c r="G4001" s="7">
        <v>46035.398154848044</v>
      </c>
    </row>
    <row r="4002">
      <c r="A4002" s="3" t="s">
        <v>12660</v>
      </c>
      <c r="B4002" s="3" t="s">
        <v>290</v>
      </c>
      <c r="C4002" s="3" t="s">
        <v>56</v>
      </c>
      <c r="D4002" s="3" t="s">
        <v>68</v>
      </c>
      <c r="E4002" s="3" t="s">
        <v>100</v>
      </c>
      <c r="F4002" s="3" t="s">
        <v>1019</v>
      </c>
      <c r="G4002" s="7">
        <v>46035.469329693464</v>
      </c>
    </row>
    <row r="4003">
      <c r="A4003" s="3" t="s">
        <v>12663</v>
      </c>
      <c r="B4003" s="3" t="s">
        <v>383</v>
      </c>
      <c r="C4003" s="3" t="s">
        <v>1095</v>
      </c>
      <c r="D4003" s="3" t="s">
        <v>68</v>
      </c>
      <c r="E4003" s="3" t="s">
        <v>100</v>
      </c>
      <c r="F4003" s="3" t="s">
        <v>1907</v>
      </c>
      <c r="G4003" s="7">
        <v>46035.54050453887</v>
      </c>
    </row>
    <row r="4004">
      <c r="A4004" s="3" t="s">
        <v>12666</v>
      </c>
      <c r="B4004" s="3" t="s">
        <v>773</v>
      </c>
      <c r="C4004" s="3" t="s">
        <v>1342</v>
      </c>
      <c r="D4004" s="3" t="s">
        <v>68</v>
      </c>
      <c r="E4004" s="3" t="s">
        <v>100</v>
      </c>
      <c r="F4004" s="3" t="s">
        <v>2085</v>
      </c>
      <c r="G4004" s="7">
        <v>46035.61167938429</v>
      </c>
    </row>
    <row r="4005">
      <c r="A4005" s="3" t="s">
        <v>12668</v>
      </c>
      <c r="B4005" s="3" t="s">
        <v>883</v>
      </c>
      <c r="C4005" s="3" t="s">
        <v>1095</v>
      </c>
      <c r="D4005" s="3" t="s">
        <v>68</v>
      </c>
      <c r="E4005" s="3" t="s">
        <v>100</v>
      </c>
      <c r="F4005" s="3" t="s">
        <v>538</v>
      </c>
      <c r="G4005" s="7">
        <v>46035.68285422971</v>
      </c>
    </row>
    <row r="4006">
      <c r="A4006" s="3" t="s">
        <v>12670</v>
      </c>
      <c r="B4006" s="3" t="s">
        <v>287</v>
      </c>
      <c r="C4006" s="3" t="s">
        <v>1095</v>
      </c>
      <c r="D4006" s="3" t="s">
        <v>68</v>
      </c>
      <c r="E4006" s="3" t="s">
        <v>100</v>
      </c>
      <c r="F4006" s="3" t="s">
        <v>2023</v>
      </c>
      <c r="G4006" s="7">
        <v>46035.75402907512</v>
      </c>
    </row>
    <row r="4007">
      <c r="A4007" s="3" t="s">
        <v>12673</v>
      </c>
      <c r="B4007" s="3" t="s">
        <v>725</v>
      </c>
      <c r="C4007" s="3" t="s">
        <v>1342</v>
      </c>
      <c r="D4007" s="3" t="s">
        <v>68</v>
      </c>
      <c r="E4007" s="3" t="s">
        <v>100</v>
      </c>
      <c r="F4007" s="3" t="s">
        <v>1801</v>
      </c>
      <c r="G4007" s="7">
        <v>46035.82520392053</v>
      </c>
    </row>
    <row r="4008">
      <c r="A4008" s="3" t="s">
        <v>12676</v>
      </c>
      <c r="B4008" s="3" t="s">
        <v>547</v>
      </c>
      <c r="C4008" s="3" t="s">
        <v>56</v>
      </c>
      <c r="D4008" s="3" t="s">
        <v>68</v>
      </c>
      <c r="E4008" s="3" t="s">
        <v>100</v>
      </c>
      <c r="F4008" s="3" t="s">
        <v>1025</v>
      </c>
      <c r="G4008" s="7">
        <v>46035.89637876595</v>
      </c>
    </row>
    <row r="4009">
      <c r="A4009" s="3" t="s">
        <v>12679</v>
      </c>
      <c r="B4009" s="3" t="s">
        <v>414</v>
      </c>
      <c r="C4009" s="3" t="s">
        <v>1342</v>
      </c>
      <c r="D4009" s="3" t="s">
        <v>68</v>
      </c>
      <c r="E4009" s="3" t="s">
        <v>100</v>
      </c>
      <c r="F4009" s="3" t="s">
        <v>504</v>
      </c>
      <c r="G4009" s="7">
        <v>46035.967553611365</v>
      </c>
    </row>
    <row r="4010">
      <c r="A4010" s="3" t="s">
        <v>12681</v>
      </c>
      <c r="B4010" s="3" t="s">
        <v>722</v>
      </c>
      <c r="C4010" s="3" t="s">
        <v>56</v>
      </c>
      <c r="D4010" s="3" t="s">
        <v>68</v>
      </c>
      <c r="E4010" s="3" t="s">
        <v>100</v>
      </c>
      <c r="F4010" s="3" t="s">
        <v>1029</v>
      </c>
      <c r="G4010" s="7">
        <v>46036.03872845678</v>
      </c>
    </row>
    <row r="4011">
      <c r="A4011" s="3" t="s">
        <v>12683</v>
      </c>
      <c r="B4011" s="3" t="s">
        <v>665</v>
      </c>
      <c r="C4011" s="3" t="s">
        <v>56</v>
      </c>
      <c r="D4011" s="3" t="s">
        <v>68</v>
      </c>
      <c r="E4011" s="3" t="s">
        <v>100</v>
      </c>
      <c r="F4011" s="3" t="s">
        <v>1033</v>
      </c>
      <c r="G4011" s="7">
        <v>46036.1099033022</v>
      </c>
    </row>
    <row r="4012">
      <c r="A4012" s="3" t="s">
        <v>12685</v>
      </c>
      <c r="B4012" s="3" t="s">
        <v>310</v>
      </c>
      <c r="C4012" s="3" t="s">
        <v>1095</v>
      </c>
      <c r="D4012" s="3" t="s">
        <v>68</v>
      </c>
      <c r="E4012" s="3" t="s">
        <v>100</v>
      </c>
      <c r="F4012" s="3" t="s">
        <v>1545</v>
      </c>
      <c r="G4012" s="7">
        <v>46036.18107814761</v>
      </c>
    </row>
    <row r="4013">
      <c r="A4013" s="3" t="s">
        <v>12686</v>
      </c>
      <c r="B4013" s="3" t="s">
        <v>211</v>
      </c>
      <c r="C4013" s="3" t="s">
        <v>56</v>
      </c>
      <c r="D4013" s="3" t="s">
        <v>68</v>
      </c>
      <c r="E4013" s="3" t="s">
        <v>100</v>
      </c>
      <c r="F4013" s="3" t="s">
        <v>1039</v>
      </c>
      <c r="G4013" s="7">
        <v>46036.25225299302</v>
      </c>
    </row>
    <row r="4014">
      <c r="A4014" s="3" t="s">
        <v>12688</v>
      </c>
      <c r="B4014" s="3" t="s">
        <v>565</v>
      </c>
      <c r="C4014" s="3" t="s">
        <v>56</v>
      </c>
      <c r="D4014" s="3" t="s">
        <v>68</v>
      </c>
      <c r="E4014" s="3" t="s">
        <v>100</v>
      </c>
      <c r="F4014" s="3" t="s">
        <v>1048</v>
      </c>
      <c r="G4014" s="7">
        <v>46036.32342783844</v>
      </c>
    </row>
    <row r="4015">
      <c r="A4015" s="3" t="s">
        <v>12691</v>
      </c>
      <c r="B4015" s="3" t="s">
        <v>313</v>
      </c>
      <c r="C4015" s="3" t="s">
        <v>1095</v>
      </c>
      <c r="D4015" s="3" t="s">
        <v>68</v>
      </c>
      <c r="E4015" s="3" t="s">
        <v>100</v>
      </c>
      <c r="F4015" s="3" t="s">
        <v>802</v>
      </c>
      <c r="G4015" s="7">
        <v>46036.39460268385</v>
      </c>
    </row>
    <row r="4016">
      <c r="A4016" s="3" t="s">
        <v>12694</v>
      </c>
      <c r="B4016" s="3" t="s">
        <v>565</v>
      </c>
      <c r="C4016" s="3" t="s">
        <v>1095</v>
      </c>
      <c r="D4016" s="3" t="s">
        <v>68</v>
      </c>
      <c r="E4016" s="3" t="s">
        <v>100</v>
      </c>
      <c r="F4016" s="3" t="s">
        <v>1048</v>
      </c>
      <c r="G4016" s="7">
        <v>46036.465777529265</v>
      </c>
    </row>
    <row r="4017">
      <c r="A4017" s="3" t="s">
        <v>12697</v>
      </c>
      <c r="B4017" s="3" t="s">
        <v>290</v>
      </c>
      <c r="C4017" s="3" t="s">
        <v>1095</v>
      </c>
      <c r="D4017" s="3" t="s">
        <v>68</v>
      </c>
      <c r="E4017" s="3" t="s">
        <v>100</v>
      </c>
      <c r="F4017" s="3" t="s">
        <v>1019</v>
      </c>
      <c r="G4017" s="7">
        <v>46036.536952374685</v>
      </c>
    </row>
    <row r="4018">
      <c r="A4018" s="3" t="s">
        <v>12700</v>
      </c>
      <c r="B4018" s="3" t="s">
        <v>1021</v>
      </c>
      <c r="C4018" s="3" t="s">
        <v>1342</v>
      </c>
      <c r="D4018" s="3" t="s">
        <v>68</v>
      </c>
      <c r="E4018" s="3" t="s">
        <v>100</v>
      </c>
      <c r="F4018" s="3" t="s">
        <v>1671</v>
      </c>
      <c r="G4018" s="7">
        <v>46036.608127220105</v>
      </c>
    </row>
    <row r="4019">
      <c r="A4019" s="3" t="s">
        <v>12703</v>
      </c>
      <c r="B4019" s="3" t="s">
        <v>800</v>
      </c>
      <c r="C4019" s="3" t="s">
        <v>56</v>
      </c>
      <c r="D4019" s="3" t="s">
        <v>68</v>
      </c>
      <c r="E4019" s="3" t="s">
        <v>100</v>
      </c>
      <c r="F4019" s="3" t="s">
        <v>1053</v>
      </c>
      <c r="G4019" s="7">
        <v>46036.67930206551</v>
      </c>
    </row>
    <row r="4020">
      <c r="A4020" s="3" t="s">
        <v>12706</v>
      </c>
      <c r="B4020" s="3" t="s">
        <v>953</v>
      </c>
      <c r="C4020" s="3" t="s">
        <v>1095</v>
      </c>
      <c r="D4020" s="3" t="s">
        <v>68</v>
      </c>
      <c r="E4020" s="3" t="s">
        <v>100</v>
      </c>
      <c r="F4020" s="3" t="s">
        <v>1968</v>
      </c>
      <c r="G4020" s="7">
        <v>46036.75047691093</v>
      </c>
    </row>
    <row r="4021">
      <c r="A4021" s="3" t="s">
        <v>12709</v>
      </c>
      <c r="B4021" s="3" t="s">
        <v>886</v>
      </c>
      <c r="C4021" s="3" t="s">
        <v>1342</v>
      </c>
      <c r="D4021" s="3" t="s">
        <v>181</v>
      </c>
      <c r="E4021" s="3" t="s">
        <v>45</v>
      </c>
      <c r="F4021" s="3" t="s">
        <v>1863</v>
      </c>
      <c r="G4021" s="7">
        <v>46036.82165175635</v>
      </c>
    </row>
    <row r="4022">
      <c r="A4022" s="3" t="s">
        <v>12712</v>
      </c>
      <c r="B4022" s="3" t="s">
        <v>505</v>
      </c>
      <c r="C4022" s="3" t="s">
        <v>1095</v>
      </c>
      <c r="D4022" s="3" t="s">
        <v>68</v>
      </c>
      <c r="E4022" s="3" t="s">
        <v>100</v>
      </c>
      <c r="F4022" s="3" t="s">
        <v>1890</v>
      </c>
      <c r="G4022" s="7">
        <v>46036.89282660176</v>
      </c>
    </row>
    <row r="4023">
      <c r="A4023" s="3" t="s">
        <v>12715</v>
      </c>
      <c r="B4023" s="3" t="s">
        <v>598</v>
      </c>
      <c r="C4023" s="3" t="s">
        <v>56</v>
      </c>
      <c r="D4023" s="3" t="s">
        <v>68</v>
      </c>
      <c r="E4023" s="3" t="s">
        <v>100</v>
      </c>
      <c r="F4023" s="3" t="s">
        <v>1054</v>
      </c>
      <c r="G4023" s="7">
        <v>46036.96400144717</v>
      </c>
    </row>
    <row r="4024">
      <c r="A4024" s="3" t="s">
        <v>12720</v>
      </c>
      <c r="B4024" s="3" t="s">
        <v>1011</v>
      </c>
      <c r="C4024" s="3" t="s">
        <v>56</v>
      </c>
      <c r="D4024" s="3" t="s">
        <v>195</v>
      </c>
      <c r="E4024" s="3" t="s">
        <v>45</v>
      </c>
      <c r="F4024" s="3" t="s">
        <v>45</v>
      </c>
      <c r="G4024" s="7">
        <v>46037.03517629259</v>
      </c>
    </row>
    <row r="4025">
      <c r="A4025" s="3" t="s">
        <v>12722</v>
      </c>
      <c r="B4025" s="3" t="s">
        <v>1001</v>
      </c>
      <c r="C4025" s="3" t="s">
        <v>1342</v>
      </c>
      <c r="D4025" s="3" t="s">
        <v>68</v>
      </c>
      <c r="E4025" s="3" t="s">
        <v>100</v>
      </c>
      <c r="F4025" s="3" t="s">
        <v>1763</v>
      </c>
      <c r="G4025" s="7">
        <v>46037.106351138005</v>
      </c>
    </row>
    <row r="4026">
      <c r="A4026" s="3" t="s">
        <v>12724</v>
      </c>
      <c r="B4026" s="3" t="s">
        <v>310</v>
      </c>
      <c r="C4026" s="3" t="s">
        <v>56</v>
      </c>
      <c r="D4026" s="3" t="s">
        <v>68</v>
      </c>
      <c r="E4026" s="3" t="s">
        <v>100</v>
      </c>
      <c r="F4026" s="3" t="s">
        <v>1055</v>
      </c>
      <c r="G4026" s="7">
        <v>46037.17752598342</v>
      </c>
    </row>
    <row r="4027">
      <c r="A4027" s="3" t="s">
        <v>12727</v>
      </c>
      <c r="B4027" s="3" t="s">
        <v>224</v>
      </c>
      <c r="C4027" s="3" t="s">
        <v>1342</v>
      </c>
      <c r="D4027" s="3" t="s">
        <v>68</v>
      </c>
      <c r="E4027" s="3" t="s">
        <v>100</v>
      </c>
      <c r="F4027" s="3" t="s">
        <v>495</v>
      </c>
      <c r="G4027" s="7">
        <v>46037.24870082884</v>
      </c>
    </row>
    <row r="4028">
      <c r="A4028" s="3" t="s">
        <v>12730</v>
      </c>
      <c r="B4028" s="3" t="s">
        <v>903</v>
      </c>
      <c r="C4028" s="3" t="s">
        <v>1342</v>
      </c>
      <c r="D4028" s="3" t="s">
        <v>68</v>
      </c>
      <c r="E4028" s="3" t="s">
        <v>100</v>
      </c>
      <c r="F4028" s="3" t="s">
        <v>1720</v>
      </c>
      <c r="G4028" s="7">
        <v>46037.31987567425</v>
      </c>
    </row>
    <row r="4029">
      <c r="A4029" s="3" t="s">
        <v>12731</v>
      </c>
      <c r="B4029" s="3" t="s">
        <v>266</v>
      </c>
      <c r="C4029" s="3" t="s">
        <v>56</v>
      </c>
      <c r="D4029" s="3" t="s">
        <v>68</v>
      </c>
      <c r="E4029" s="3" t="s">
        <v>100</v>
      </c>
      <c r="F4029" s="3" t="s">
        <v>1058</v>
      </c>
      <c r="G4029" s="7">
        <v>46037.39105051966</v>
      </c>
    </row>
    <row r="4030">
      <c r="A4030" s="3" t="s">
        <v>12734</v>
      </c>
      <c r="B4030" s="3" t="s">
        <v>969</v>
      </c>
      <c r="C4030" s="3" t="s">
        <v>1342</v>
      </c>
      <c r="D4030" s="3" t="s">
        <v>68</v>
      </c>
      <c r="E4030" s="3" t="s">
        <v>100</v>
      </c>
      <c r="F4030" s="3" t="s">
        <v>1869</v>
      </c>
      <c r="G4030" s="7">
        <v>46037.46222536508</v>
      </c>
    </row>
    <row r="4031">
      <c r="A4031" s="3" t="s">
        <v>12737</v>
      </c>
      <c r="B4031" s="3" t="s">
        <v>655</v>
      </c>
      <c r="C4031" s="3" t="s">
        <v>56</v>
      </c>
      <c r="D4031" s="3" t="s">
        <v>68</v>
      </c>
      <c r="E4031" s="3" t="s">
        <v>100</v>
      </c>
      <c r="F4031" s="3" t="s">
        <v>1060</v>
      </c>
      <c r="G4031" s="7">
        <v>46037.533400210494</v>
      </c>
    </row>
    <row r="4032">
      <c r="A4032" s="3" t="s">
        <v>12740</v>
      </c>
      <c r="B4032" s="3" t="s">
        <v>269</v>
      </c>
      <c r="C4032" s="3" t="s">
        <v>56</v>
      </c>
      <c r="D4032" s="3" t="s">
        <v>68</v>
      </c>
      <c r="E4032" s="3" t="s">
        <v>100</v>
      </c>
      <c r="F4032" s="3" t="s">
        <v>1063</v>
      </c>
      <c r="G4032" s="7">
        <v>46037.60457505591</v>
      </c>
    </row>
    <row r="4033">
      <c r="A4033" s="3" t="s">
        <v>12743</v>
      </c>
      <c r="B4033" s="3" t="s">
        <v>616</v>
      </c>
      <c r="C4033" s="3" t="s">
        <v>56</v>
      </c>
      <c r="D4033" s="3" t="s">
        <v>68</v>
      </c>
      <c r="E4033" s="3" t="s">
        <v>100</v>
      </c>
      <c r="F4033" s="3" t="s">
        <v>1064</v>
      </c>
      <c r="G4033" s="7">
        <v>46037.675749901326</v>
      </c>
    </row>
    <row r="4034">
      <c r="A4034" s="3" t="s">
        <v>12746</v>
      </c>
      <c r="B4034" s="3" t="s">
        <v>943</v>
      </c>
      <c r="C4034" s="3" t="s">
        <v>1342</v>
      </c>
      <c r="D4034" s="3" t="s">
        <v>68</v>
      </c>
      <c r="E4034" s="3" t="s">
        <v>100</v>
      </c>
      <c r="F4034" s="3" t="s">
        <v>1446</v>
      </c>
      <c r="G4034" s="7">
        <v>46037.746924746745</v>
      </c>
    </row>
    <row r="4035">
      <c r="A4035" s="3" t="s">
        <v>12749</v>
      </c>
      <c r="B4035" s="3" t="s">
        <v>600</v>
      </c>
      <c r="C4035" s="3" t="s">
        <v>1095</v>
      </c>
      <c r="D4035" s="3" t="s">
        <v>68</v>
      </c>
      <c r="E4035" s="3" t="s">
        <v>100</v>
      </c>
      <c r="F4035" s="3" t="s">
        <v>1666</v>
      </c>
      <c r="G4035" s="7">
        <v>46037.81809959215</v>
      </c>
    </row>
    <row r="4036">
      <c r="A4036" s="3" t="s">
        <v>12752</v>
      </c>
      <c r="B4036" s="3" t="s">
        <v>530</v>
      </c>
      <c r="C4036" s="3" t="s">
        <v>1342</v>
      </c>
      <c r="D4036" s="3" t="s">
        <v>68</v>
      </c>
      <c r="E4036" s="3" t="s">
        <v>100</v>
      </c>
      <c r="F4036" s="3" t="s">
        <v>1988</v>
      </c>
      <c r="G4036" s="7">
        <v>46037.88927443757</v>
      </c>
    </row>
    <row r="4037">
      <c r="A4037" s="3" t="s">
        <v>12756</v>
      </c>
      <c r="B4037" s="3" t="s">
        <v>406</v>
      </c>
      <c r="C4037" s="3" t="s">
        <v>1342</v>
      </c>
      <c r="D4037" s="3" t="s">
        <v>68</v>
      </c>
      <c r="E4037" s="3" t="s">
        <v>100</v>
      </c>
      <c r="F4037" s="3" t="s">
        <v>1327</v>
      </c>
      <c r="G4037" s="7">
        <v>46037.96044928299</v>
      </c>
    </row>
    <row r="4038">
      <c r="A4038" s="3" t="s">
        <v>12760</v>
      </c>
      <c r="B4038" s="3" t="s">
        <v>310</v>
      </c>
      <c r="C4038" s="3" t="s">
        <v>1342</v>
      </c>
      <c r="D4038" s="3" t="s">
        <v>68</v>
      </c>
      <c r="E4038" s="3" t="s">
        <v>100</v>
      </c>
      <c r="F4038" s="3" t="s">
        <v>1055</v>
      </c>
      <c r="G4038" s="7">
        <v>46038.0316241284</v>
      </c>
    </row>
    <row r="4039">
      <c r="A4039" s="3" t="s">
        <v>12762</v>
      </c>
      <c r="B4039" s="3" t="s">
        <v>126</v>
      </c>
      <c r="C4039" s="3" t="s">
        <v>1342</v>
      </c>
      <c r="D4039" s="3" t="s">
        <v>68</v>
      </c>
      <c r="E4039" s="3" t="s">
        <v>100</v>
      </c>
      <c r="F4039" s="3" t="s">
        <v>950</v>
      </c>
      <c r="G4039" s="7">
        <v>46038.102798973814</v>
      </c>
    </row>
    <row r="4040">
      <c r="A4040" s="3" t="s">
        <v>12764</v>
      </c>
      <c r="B4040" s="3" t="s">
        <v>307</v>
      </c>
      <c r="C4040" s="3" t="s">
        <v>1095</v>
      </c>
      <c r="D4040" s="3" t="s">
        <v>195</v>
      </c>
      <c r="E4040" s="3" t="s">
        <v>45</v>
      </c>
      <c r="F4040" s="3" t="s">
        <v>2111</v>
      </c>
      <c r="G4040" s="7">
        <v>46038.173973819234</v>
      </c>
    </row>
    <row r="4041">
      <c r="A4041" s="3" t="s">
        <v>12767</v>
      </c>
      <c r="B4041" s="3" t="s">
        <v>781</v>
      </c>
      <c r="C4041" s="3" t="s">
        <v>56</v>
      </c>
      <c r="D4041" s="3" t="s">
        <v>68</v>
      </c>
      <c r="E4041" s="3" t="s">
        <v>100</v>
      </c>
      <c r="F4041" s="3" t="s">
        <v>1069</v>
      </c>
      <c r="G4041" s="7">
        <v>46038.245148664646</v>
      </c>
    </row>
    <row r="4042">
      <c r="A4042" s="3" t="s">
        <v>12770</v>
      </c>
      <c r="B4042" s="3" t="s">
        <v>330</v>
      </c>
      <c r="C4042" s="3" t="s">
        <v>1342</v>
      </c>
      <c r="D4042" s="3" t="s">
        <v>68</v>
      </c>
      <c r="E4042" s="3" t="s">
        <v>100</v>
      </c>
      <c r="F4042" s="3" t="s">
        <v>721</v>
      </c>
      <c r="G4042" s="7">
        <v>46038.31632351006</v>
      </c>
    </row>
    <row r="4043">
      <c r="A4043" s="3" t="s">
        <v>12773</v>
      </c>
      <c r="B4043" s="3" t="s">
        <v>224</v>
      </c>
      <c r="C4043" s="3" t="s">
        <v>1095</v>
      </c>
      <c r="D4043" s="3" t="s">
        <v>68</v>
      </c>
      <c r="E4043" s="3" t="s">
        <v>100</v>
      </c>
      <c r="F4043" s="3" t="s">
        <v>495</v>
      </c>
      <c r="G4043" s="7">
        <v>46038.38749835548</v>
      </c>
    </row>
    <row r="4044">
      <c r="A4044" s="3" t="s">
        <v>12776</v>
      </c>
      <c r="B4044" s="3" t="s">
        <v>622</v>
      </c>
      <c r="C4044" s="3" t="s">
        <v>1342</v>
      </c>
      <c r="D4044" s="3" t="s">
        <v>68</v>
      </c>
      <c r="E4044" s="3" t="s">
        <v>100</v>
      </c>
      <c r="F4044" s="3" t="s">
        <v>681</v>
      </c>
      <c r="G4044" s="7">
        <v>46038.4586732009</v>
      </c>
    </row>
    <row r="4045">
      <c r="A4045" s="3" t="s">
        <v>12777</v>
      </c>
      <c r="B4045" s="3" t="s">
        <v>658</v>
      </c>
      <c r="C4045" s="3" t="s">
        <v>1342</v>
      </c>
      <c r="D4045" s="3" t="s">
        <v>68</v>
      </c>
      <c r="E4045" s="3" t="s">
        <v>100</v>
      </c>
      <c r="F4045" s="3" t="s">
        <v>2056</v>
      </c>
      <c r="G4045" s="7">
        <v>46038.5298480463</v>
      </c>
    </row>
    <row r="4046">
      <c r="A4046" s="3" t="s">
        <v>12780</v>
      </c>
      <c r="B4046" s="3" t="s">
        <v>280</v>
      </c>
      <c r="C4046" s="3" t="s">
        <v>1342</v>
      </c>
      <c r="D4046" s="3" t="s">
        <v>181</v>
      </c>
      <c r="E4046" s="3" t="s">
        <v>45</v>
      </c>
      <c r="F4046" s="3" t="s">
        <v>1951</v>
      </c>
      <c r="G4046" s="7">
        <v>46038.60102289172</v>
      </c>
    </row>
    <row r="4047">
      <c r="A4047" s="3" t="s">
        <v>12783</v>
      </c>
      <c r="B4047" s="3" t="s">
        <v>373</v>
      </c>
      <c r="C4047" s="3" t="s">
        <v>1342</v>
      </c>
      <c r="D4047" s="3" t="s">
        <v>68</v>
      </c>
      <c r="E4047" s="3" t="s">
        <v>100</v>
      </c>
      <c r="F4047" s="3" t="s">
        <v>1715</v>
      </c>
      <c r="G4047" s="7">
        <v>46038.672197737134</v>
      </c>
    </row>
    <row r="4048">
      <c r="A4048" s="3" t="s">
        <v>12785</v>
      </c>
      <c r="B4048" s="3" t="s">
        <v>657</v>
      </c>
      <c r="C4048" s="3" t="s">
        <v>1342</v>
      </c>
      <c r="D4048" s="3" t="s">
        <v>68</v>
      </c>
      <c r="E4048" s="3" t="s">
        <v>100</v>
      </c>
      <c r="F4048" s="3" t="s">
        <v>1804</v>
      </c>
      <c r="G4048" s="7">
        <v>46038.743372582554</v>
      </c>
    </row>
    <row r="4049">
      <c r="A4049" s="3" t="s">
        <v>12789</v>
      </c>
      <c r="B4049" s="3" t="s">
        <v>900</v>
      </c>
      <c r="C4049" s="3" t="s">
        <v>1342</v>
      </c>
      <c r="D4049" s="3" t="s">
        <v>68</v>
      </c>
      <c r="E4049" s="3" t="s">
        <v>100</v>
      </c>
      <c r="F4049" s="3" t="s">
        <v>2105</v>
      </c>
      <c r="G4049" s="7">
        <v>46038.814547427966</v>
      </c>
    </row>
    <row r="4050">
      <c r="A4050" s="3" t="s">
        <v>12792</v>
      </c>
      <c r="B4050" s="3" t="s">
        <v>710</v>
      </c>
      <c r="C4050" s="3" t="s">
        <v>1342</v>
      </c>
      <c r="D4050" s="3" t="s">
        <v>68</v>
      </c>
      <c r="E4050" s="3" t="s">
        <v>100</v>
      </c>
      <c r="F4050" s="3" t="s">
        <v>774</v>
      </c>
      <c r="G4050" s="7">
        <v>46038.885722273386</v>
      </c>
    </row>
    <row r="4051">
      <c r="A4051" s="3" t="s">
        <v>12795</v>
      </c>
      <c r="B4051" s="3" t="s">
        <v>830</v>
      </c>
      <c r="C4051" s="3" t="s">
        <v>1095</v>
      </c>
      <c r="D4051" s="3" t="s">
        <v>68</v>
      </c>
      <c r="E4051" s="3" t="s">
        <v>100</v>
      </c>
      <c r="F4051" s="3" t="s">
        <v>2103</v>
      </c>
      <c r="G4051" s="7">
        <v>46038.9568971188</v>
      </c>
    </row>
    <row r="4052">
      <c r="A4052" s="3" t="s">
        <v>12799</v>
      </c>
      <c r="B4052" s="3" t="s">
        <v>171</v>
      </c>
      <c r="C4052" s="3" t="s">
        <v>1342</v>
      </c>
      <c r="D4052" s="3" t="s">
        <v>68</v>
      </c>
      <c r="E4052" s="3" t="s">
        <v>100</v>
      </c>
      <c r="F4052" s="3" t="s">
        <v>1835</v>
      </c>
      <c r="G4052" s="7">
        <v>46039.02807196421</v>
      </c>
    </row>
    <row r="4053">
      <c r="A4053" s="3" t="s">
        <v>12803</v>
      </c>
      <c r="B4053" s="3" t="s">
        <v>742</v>
      </c>
      <c r="C4053" s="3" t="s">
        <v>56</v>
      </c>
      <c r="D4053" s="3" t="s">
        <v>68</v>
      </c>
      <c r="E4053" s="3" t="s">
        <v>100</v>
      </c>
      <c r="F4053" s="3" t="s">
        <v>1070</v>
      </c>
      <c r="G4053" s="7">
        <v>46039.09924680963</v>
      </c>
    </row>
    <row r="4054">
      <c r="A4054" s="3" t="s">
        <v>12806</v>
      </c>
      <c r="B4054" s="3" t="s">
        <v>290</v>
      </c>
      <c r="C4054" s="3" t="s">
        <v>56</v>
      </c>
      <c r="D4054" s="3" t="s">
        <v>68</v>
      </c>
      <c r="E4054" s="3" t="s">
        <v>100</v>
      </c>
      <c r="F4054" s="3" t="s">
        <v>1072</v>
      </c>
      <c r="G4054" s="7">
        <v>46039.17042165504</v>
      </c>
    </row>
    <row r="4055">
      <c r="A4055" s="3" t="s">
        <v>12809</v>
      </c>
      <c r="B4055" s="3" t="s">
        <v>290</v>
      </c>
      <c r="C4055" s="3" t="s">
        <v>1095</v>
      </c>
      <c r="D4055" s="3" t="s">
        <v>68</v>
      </c>
      <c r="E4055" s="3" t="s">
        <v>100</v>
      </c>
      <c r="F4055" s="3" t="s">
        <v>1072</v>
      </c>
      <c r="G4055" s="7">
        <v>46039.241596500455</v>
      </c>
    </row>
    <row r="4056">
      <c r="A4056" s="3" t="s">
        <v>12812</v>
      </c>
      <c r="B4056" s="3" t="s">
        <v>980</v>
      </c>
      <c r="C4056" s="3" t="s">
        <v>1095</v>
      </c>
      <c r="D4056" s="3" t="s">
        <v>68</v>
      </c>
      <c r="E4056" s="3" t="s">
        <v>100</v>
      </c>
      <c r="F4056" s="3" t="s">
        <v>618</v>
      </c>
      <c r="G4056" s="7">
        <v>46039.312771345874</v>
      </c>
    </row>
    <row r="4057">
      <c r="A4057" s="3" t="s">
        <v>12815</v>
      </c>
      <c r="B4057" s="3" t="s">
        <v>853</v>
      </c>
      <c r="C4057" s="3" t="s">
        <v>1342</v>
      </c>
      <c r="D4057" s="3" t="s">
        <v>181</v>
      </c>
      <c r="E4057" s="3" t="s">
        <v>45</v>
      </c>
      <c r="F4057" s="3" t="s">
        <v>1358</v>
      </c>
      <c r="G4057" s="7">
        <v>46039.38394619129</v>
      </c>
    </row>
    <row r="4058">
      <c r="A4058" s="3" t="s">
        <v>12816</v>
      </c>
      <c r="B4058" s="3" t="s">
        <v>689</v>
      </c>
      <c r="C4058" s="3" t="s">
        <v>56</v>
      </c>
      <c r="D4058" s="3" t="s">
        <v>68</v>
      </c>
      <c r="E4058" s="3" t="s">
        <v>100</v>
      </c>
      <c r="F4058" s="3" t="s">
        <v>1074</v>
      </c>
      <c r="G4058" s="7">
        <v>46039.4551210367</v>
      </c>
    </row>
    <row r="4059">
      <c r="A4059" s="3" t="s">
        <v>12819</v>
      </c>
      <c r="B4059" s="3" t="s">
        <v>123</v>
      </c>
      <c r="C4059" s="3" t="s">
        <v>1342</v>
      </c>
      <c r="D4059" s="3" t="s">
        <v>68</v>
      </c>
      <c r="E4059" s="3" t="s">
        <v>100</v>
      </c>
      <c r="F4059" s="3" t="s">
        <v>1455</v>
      </c>
      <c r="G4059" s="7">
        <v>46039.52629588212</v>
      </c>
    </row>
    <row r="4060">
      <c r="A4060" s="3" t="s">
        <v>12822</v>
      </c>
      <c r="B4060" s="3" t="s">
        <v>208</v>
      </c>
      <c r="C4060" s="3" t="s">
        <v>1342</v>
      </c>
      <c r="D4060" s="3" t="s">
        <v>68</v>
      </c>
      <c r="E4060" s="3" t="s">
        <v>100</v>
      </c>
      <c r="F4060" s="3" t="s">
        <v>1892</v>
      </c>
      <c r="G4060" s="7">
        <v>46039.59747072754</v>
      </c>
    </row>
    <row r="4061">
      <c r="A4061" s="3" t="s">
        <v>12825</v>
      </c>
      <c r="B4061" s="3" t="s">
        <v>326</v>
      </c>
      <c r="C4061" s="3" t="s">
        <v>1095</v>
      </c>
      <c r="D4061" s="3" t="s">
        <v>68</v>
      </c>
      <c r="E4061" s="3" t="s">
        <v>100</v>
      </c>
      <c r="F4061" s="3" t="s">
        <v>705</v>
      </c>
      <c r="G4061" s="7">
        <v>46039.66864557294</v>
      </c>
    </row>
    <row r="4062">
      <c r="A4062" s="3" t="s">
        <v>12827</v>
      </c>
      <c r="B4062" s="3" t="s">
        <v>293</v>
      </c>
      <c r="C4062" s="3" t="s">
        <v>1342</v>
      </c>
      <c r="D4062" s="3" t="s">
        <v>68</v>
      </c>
      <c r="E4062" s="3" t="s">
        <v>100</v>
      </c>
      <c r="F4062" s="3" t="s">
        <v>1943</v>
      </c>
      <c r="G4062" s="7">
        <v>46039.73982041836</v>
      </c>
    </row>
    <row r="4063">
      <c r="A4063" s="3" t="s">
        <v>12828</v>
      </c>
      <c r="B4063" s="3" t="s">
        <v>645</v>
      </c>
      <c r="C4063" s="3" t="s">
        <v>1342</v>
      </c>
      <c r="D4063" s="3" t="s">
        <v>68</v>
      </c>
      <c r="E4063" s="3" t="s">
        <v>100</v>
      </c>
      <c r="F4063" s="3" t="s">
        <v>526</v>
      </c>
      <c r="G4063" s="7">
        <v>46039.81099526378</v>
      </c>
    </row>
    <row r="4064">
      <c r="A4064" s="3" t="s">
        <v>12830</v>
      </c>
      <c r="B4064" s="3" t="s">
        <v>219</v>
      </c>
      <c r="C4064" s="3" t="s">
        <v>56</v>
      </c>
      <c r="D4064" s="3" t="s">
        <v>68</v>
      </c>
      <c r="E4064" s="3" t="s">
        <v>100</v>
      </c>
      <c r="F4064" s="3" t="s">
        <v>1076</v>
      </c>
      <c r="G4064" s="7">
        <v>46039.882170109195</v>
      </c>
    </row>
    <row r="4065">
      <c r="A4065" s="3" t="s">
        <v>12832</v>
      </c>
      <c r="B4065" s="3" t="s">
        <v>501</v>
      </c>
      <c r="C4065" s="3" t="s">
        <v>56</v>
      </c>
      <c r="D4065" s="3" t="s">
        <v>68</v>
      </c>
      <c r="E4065" s="3" t="s">
        <v>100</v>
      </c>
      <c r="F4065" s="3" t="s">
        <v>1079</v>
      </c>
      <c r="G4065" s="7">
        <v>46039.95334495461</v>
      </c>
    </row>
    <row r="4066">
      <c r="A4066" s="3" t="s">
        <v>12834</v>
      </c>
      <c r="B4066" s="3" t="s">
        <v>442</v>
      </c>
      <c r="C4066" s="3" t="s">
        <v>1095</v>
      </c>
      <c r="D4066" s="3" t="s">
        <v>181</v>
      </c>
      <c r="E4066" s="3" t="s">
        <v>45</v>
      </c>
      <c r="F4066" s="3" t="s">
        <v>1973</v>
      </c>
      <c r="G4066" s="7">
        <v>46040.02451980003</v>
      </c>
    </row>
    <row r="4067">
      <c r="A4067" s="3" t="s">
        <v>12835</v>
      </c>
      <c r="B4067" s="3" t="s">
        <v>746</v>
      </c>
      <c r="C4067" s="3" t="s">
        <v>1342</v>
      </c>
      <c r="D4067" s="3" t="s">
        <v>195</v>
      </c>
      <c r="E4067" s="3" t="s">
        <v>45</v>
      </c>
      <c r="F4067" s="3" t="s">
        <v>1993</v>
      </c>
      <c r="G4067" s="7">
        <v>46040.09569464544</v>
      </c>
    </row>
    <row r="4068">
      <c r="A4068" s="3" t="s">
        <v>12837</v>
      </c>
      <c r="B4068" s="3" t="s">
        <v>414</v>
      </c>
      <c r="C4068" s="3" t="s">
        <v>1342</v>
      </c>
      <c r="D4068" s="3" t="s">
        <v>68</v>
      </c>
      <c r="E4068" s="3" t="s">
        <v>100</v>
      </c>
      <c r="F4068" s="3" t="s">
        <v>504</v>
      </c>
      <c r="G4068" s="7">
        <v>46040.16686949085</v>
      </c>
    </row>
    <row r="4069">
      <c r="A4069" s="3" t="s">
        <v>12840</v>
      </c>
      <c r="B4069" s="3" t="s">
        <v>404</v>
      </c>
      <c r="C4069" s="3" t="s">
        <v>56</v>
      </c>
      <c r="D4069" s="3" t="s">
        <v>68</v>
      </c>
      <c r="E4069" s="3" t="s">
        <v>100</v>
      </c>
      <c r="F4069" s="3" t="s">
        <v>1081</v>
      </c>
      <c r="G4069" s="7">
        <v>46040.23804433627</v>
      </c>
    </row>
    <row r="4070">
      <c r="A4070" s="3" t="s">
        <v>12843</v>
      </c>
      <c r="B4070" s="3" t="s">
        <v>953</v>
      </c>
      <c r="C4070" s="3" t="s">
        <v>56</v>
      </c>
      <c r="D4070" s="3" t="s">
        <v>68</v>
      </c>
      <c r="E4070" s="3" t="s">
        <v>100</v>
      </c>
      <c r="F4070" s="3" t="s">
        <v>1083</v>
      </c>
      <c r="G4070" s="7">
        <v>46040.30921918168</v>
      </c>
    </row>
    <row r="4071">
      <c r="A4071" s="3" t="s">
        <v>12845</v>
      </c>
      <c r="B4071" s="3" t="s">
        <v>302</v>
      </c>
      <c r="C4071" s="3" t="s">
        <v>1342</v>
      </c>
      <c r="D4071" s="3" t="s">
        <v>68</v>
      </c>
      <c r="E4071" s="3" t="s">
        <v>100</v>
      </c>
      <c r="F4071" s="3" t="s">
        <v>1491</v>
      </c>
      <c r="G4071" s="7">
        <v>46040.380394027095</v>
      </c>
    </row>
    <row r="4072">
      <c r="A4072" s="3" t="s">
        <v>12847</v>
      </c>
      <c r="B4072" s="3" t="s">
        <v>352</v>
      </c>
      <c r="C4072" s="3" t="s">
        <v>1342</v>
      </c>
      <c r="D4072" s="3" t="s">
        <v>68</v>
      </c>
      <c r="E4072" s="3" t="s">
        <v>100</v>
      </c>
      <c r="F4072" s="3" t="s">
        <v>810</v>
      </c>
      <c r="G4072" s="7">
        <v>46040.451568872515</v>
      </c>
    </row>
    <row r="4073">
      <c r="A4073" s="3" t="s">
        <v>12850</v>
      </c>
      <c r="B4073" s="3" t="s">
        <v>137</v>
      </c>
      <c r="C4073" s="3" t="s">
        <v>56</v>
      </c>
      <c r="D4073" s="3" t="s">
        <v>68</v>
      </c>
      <c r="E4073" s="3" t="s">
        <v>100</v>
      </c>
      <c r="F4073" s="3" t="s">
        <v>1086</v>
      </c>
      <c r="G4073" s="7">
        <v>46040.52274371793</v>
      </c>
    </row>
    <row r="4074">
      <c r="A4074" s="3" t="s">
        <v>12853</v>
      </c>
      <c r="B4074" s="3" t="s">
        <v>388</v>
      </c>
      <c r="C4074" s="3" t="s">
        <v>56</v>
      </c>
      <c r="D4074" s="3" t="s">
        <v>195</v>
      </c>
      <c r="E4074" s="3" t="s">
        <v>45</v>
      </c>
      <c r="F4074" s="3" t="s">
        <v>45</v>
      </c>
      <c r="G4074" s="7">
        <v>46040.59391856335</v>
      </c>
    </row>
    <row r="4075">
      <c r="A4075" s="3" t="s">
        <v>12855</v>
      </c>
      <c r="B4075" s="3" t="s">
        <v>760</v>
      </c>
      <c r="C4075" s="3" t="s">
        <v>1095</v>
      </c>
      <c r="D4075" s="3" t="s">
        <v>68</v>
      </c>
      <c r="E4075" s="3" t="s">
        <v>100</v>
      </c>
      <c r="F4075" s="3" t="s">
        <v>716</v>
      </c>
      <c r="G4075" s="7">
        <v>46040.66509340876</v>
      </c>
    </row>
    <row r="4076">
      <c r="A4076" s="3" t="s">
        <v>12857</v>
      </c>
      <c r="B4076" s="3" t="s">
        <v>609</v>
      </c>
      <c r="C4076" s="3" t="s">
        <v>1342</v>
      </c>
      <c r="D4076" s="3" t="s">
        <v>68</v>
      </c>
      <c r="E4076" s="3" t="s">
        <v>100</v>
      </c>
      <c r="F4076" s="3" t="s">
        <v>996</v>
      </c>
      <c r="G4076" s="7">
        <v>46040.73626825418</v>
      </c>
    </row>
    <row r="4077">
      <c r="A4077" s="3" t="s">
        <v>12860</v>
      </c>
      <c r="B4077" s="3" t="s">
        <v>877</v>
      </c>
      <c r="C4077" s="3" t="s">
        <v>1095</v>
      </c>
      <c r="D4077" s="3" t="s">
        <v>181</v>
      </c>
      <c r="E4077" s="3" t="s">
        <v>45</v>
      </c>
      <c r="F4077" s="3" t="s">
        <v>1903</v>
      </c>
      <c r="G4077" s="7">
        <v>46040.807443099584</v>
      </c>
    </row>
    <row r="4078">
      <c r="A4078" s="3" t="s">
        <v>12863</v>
      </c>
      <c r="B4078" s="3" t="s">
        <v>756</v>
      </c>
      <c r="C4078" s="3" t="s">
        <v>56</v>
      </c>
      <c r="D4078" s="3" t="s">
        <v>68</v>
      </c>
      <c r="E4078" s="3" t="s">
        <v>100</v>
      </c>
      <c r="F4078" s="3" t="s">
        <v>1088</v>
      </c>
      <c r="G4078" s="7">
        <v>46040.878617945</v>
      </c>
    </row>
    <row r="4079">
      <c r="A4079" s="3" t="s">
        <v>12864</v>
      </c>
      <c r="B4079" s="3" t="s">
        <v>307</v>
      </c>
      <c r="C4079" s="3" t="s">
        <v>1095</v>
      </c>
      <c r="D4079" s="3" t="s">
        <v>68</v>
      </c>
      <c r="E4079" s="3" t="s">
        <v>100</v>
      </c>
      <c r="F4079" s="3" t="s">
        <v>2111</v>
      </c>
      <c r="G4079" s="7">
        <v>46040.94979279042</v>
      </c>
    </row>
    <row r="4080">
      <c r="A4080" s="3" t="s">
        <v>12867</v>
      </c>
      <c r="B4080" s="3" t="s">
        <v>778</v>
      </c>
      <c r="C4080" s="3" t="s">
        <v>1095</v>
      </c>
      <c r="D4080" s="3" t="s">
        <v>68</v>
      </c>
      <c r="E4080" s="3" t="s">
        <v>100</v>
      </c>
      <c r="F4080" s="3" t="s">
        <v>1575</v>
      </c>
      <c r="G4080" s="7">
        <v>46041.020967635835</v>
      </c>
    </row>
    <row r="4081">
      <c r="A4081" s="3" t="s">
        <v>12870</v>
      </c>
      <c r="B4081" s="3" t="s">
        <v>575</v>
      </c>
      <c r="C4081" s="3" t="s">
        <v>1342</v>
      </c>
      <c r="D4081" s="3" t="s">
        <v>68</v>
      </c>
      <c r="E4081" s="3" t="s">
        <v>100</v>
      </c>
      <c r="F4081" s="3" t="s">
        <v>754</v>
      </c>
      <c r="G4081" s="7">
        <v>46041.09214248125</v>
      </c>
    </row>
    <row r="4082">
      <c r="A4082" s="3" t="s">
        <v>12872</v>
      </c>
      <c r="B4082" s="3" t="s">
        <v>359</v>
      </c>
      <c r="C4082" s="3" t="s">
        <v>56</v>
      </c>
      <c r="D4082" s="3" t="s">
        <v>68</v>
      </c>
      <c r="E4082" s="3" t="s">
        <v>100</v>
      </c>
      <c r="F4082" s="3" t="s">
        <v>1092</v>
      </c>
      <c r="G4082" s="7">
        <v>46041.16331732667</v>
      </c>
    </row>
    <row r="4083">
      <c r="A4083" s="3" t="s">
        <v>12874</v>
      </c>
      <c r="B4083" s="3" t="s">
        <v>533</v>
      </c>
      <c r="C4083" s="3" t="s">
        <v>1342</v>
      </c>
      <c r="D4083" s="3" t="s">
        <v>68</v>
      </c>
      <c r="E4083" s="3" t="s">
        <v>100</v>
      </c>
      <c r="F4083" s="3" t="s">
        <v>1338</v>
      </c>
      <c r="G4083" s="7">
        <v>46041.23449217208</v>
      </c>
    </row>
    <row r="4084">
      <c r="A4084" s="3" t="s">
        <v>12877</v>
      </c>
      <c r="B4084" s="3" t="s">
        <v>468</v>
      </c>
      <c r="C4084" s="3" t="s">
        <v>1095</v>
      </c>
      <c r="D4084" s="3" t="s">
        <v>68</v>
      </c>
      <c r="E4084" s="3" t="s">
        <v>100</v>
      </c>
      <c r="F4084" s="3" t="s">
        <v>578</v>
      </c>
      <c r="G4084" s="7">
        <v>46041.30566701749</v>
      </c>
    </row>
    <row r="4085">
      <c r="A4085" s="3" t="s">
        <v>12880</v>
      </c>
      <c r="B4085" s="3" t="s">
        <v>516</v>
      </c>
      <c r="C4085" s="3" t="s">
        <v>1095</v>
      </c>
      <c r="D4085" s="3" t="s">
        <v>68</v>
      </c>
      <c r="E4085" s="3" t="s">
        <v>100</v>
      </c>
      <c r="F4085" s="3" t="s">
        <v>1757</v>
      </c>
      <c r="G4085" s="7">
        <v>46041.37684186291</v>
      </c>
    </row>
    <row r="4086">
      <c r="A4086" s="3" t="s">
        <v>12882</v>
      </c>
      <c r="B4086" s="3" t="s">
        <v>676</v>
      </c>
      <c r="C4086" s="3" t="s">
        <v>1342</v>
      </c>
      <c r="D4086" s="3" t="s">
        <v>68</v>
      </c>
      <c r="E4086" s="3" t="s">
        <v>100</v>
      </c>
      <c r="F4086" s="3" t="s">
        <v>1762</v>
      </c>
      <c r="G4086" s="7">
        <v>46041.44801670833</v>
      </c>
    </row>
    <row r="4087">
      <c r="A4087" s="3" t="s">
        <v>12884</v>
      </c>
      <c r="B4087" s="3" t="s">
        <v>533</v>
      </c>
      <c r="C4087" s="3" t="s">
        <v>1095</v>
      </c>
      <c r="D4087" s="3" t="s">
        <v>68</v>
      </c>
      <c r="E4087" s="3" t="s">
        <v>100</v>
      </c>
      <c r="F4087" s="3" t="s">
        <v>1338</v>
      </c>
      <c r="G4087" s="7">
        <v>46041.519191553736</v>
      </c>
    </row>
    <row r="4088">
      <c r="A4088" s="3" t="s">
        <v>12887</v>
      </c>
      <c r="B4088" s="3" t="s">
        <v>662</v>
      </c>
      <c r="C4088" s="3" t="s">
        <v>1095</v>
      </c>
      <c r="D4088" s="3" t="s">
        <v>68</v>
      </c>
      <c r="E4088" s="3" t="s">
        <v>100</v>
      </c>
      <c r="F4088" s="3" t="s">
        <v>946</v>
      </c>
      <c r="G4088" s="7">
        <v>46041.590366399156</v>
      </c>
    </row>
    <row r="4089">
      <c r="A4089" s="3" t="s">
        <v>12889</v>
      </c>
      <c r="B4089" s="3" t="s">
        <v>652</v>
      </c>
      <c r="C4089" s="3" t="s">
        <v>56</v>
      </c>
      <c r="D4089" s="3" t="s">
        <v>68</v>
      </c>
      <c r="E4089" s="3" t="s">
        <v>100</v>
      </c>
      <c r="F4089" s="3" t="s">
        <v>1094</v>
      </c>
      <c r="G4089" s="7">
        <v>46041.66154124457</v>
      </c>
    </row>
    <row r="4090">
      <c r="A4090" s="3" t="s">
        <v>12891</v>
      </c>
      <c r="B4090" s="3" t="s">
        <v>236</v>
      </c>
      <c r="C4090" s="3" t="s">
        <v>56</v>
      </c>
      <c r="D4090" s="3" t="s">
        <v>68</v>
      </c>
      <c r="E4090" s="3" t="s">
        <v>100</v>
      </c>
      <c r="F4090" s="3" t="s">
        <v>1096</v>
      </c>
      <c r="G4090" s="7">
        <v>46041.73271608999</v>
      </c>
    </row>
    <row r="4091">
      <c r="A4091" s="3" t="s">
        <v>12894</v>
      </c>
      <c r="B4091" s="3" t="s">
        <v>976</v>
      </c>
      <c r="C4091" s="3" t="s">
        <v>56</v>
      </c>
      <c r="D4091" s="3" t="s">
        <v>68</v>
      </c>
      <c r="E4091" s="3" t="s">
        <v>100</v>
      </c>
      <c r="F4091" s="3" t="s">
        <v>1103</v>
      </c>
      <c r="G4091" s="7">
        <v>46041.8038909354</v>
      </c>
    </row>
    <row r="4092">
      <c r="A4092" s="3" t="s">
        <v>12897</v>
      </c>
      <c r="B4092" s="3" t="s">
        <v>929</v>
      </c>
      <c r="C4092" s="3" t="s">
        <v>1095</v>
      </c>
      <c r="D4092" s="3" t="s">
        <v>68</v>
      </c>
      <c r="E4092" s="3" t="s">
        <v>100</v>
      </c>
      <c r="F4092" s="3" t="s">
        <v>1161</v>
      </c>
      <c r="G4092" s="7">
        <v>46041.87506578082</v>
      </c>
    </row>
    <row r="4093">
      <c r="A4093" s="3" t="s">
        <v>12900</v>
      </c>
      <c r="B4093" s="3" t="s">
        <v>356</v>
      </c>
      <c r="C4093" s="3" t="s">
        <v>56</v>
      </c>
      <c r="D4093" s="3" t="s">
        <v>68</v>
      </c>
      <c r="E4093" s="3" t="s">
        <v>100</v>
      </c>
      <c r="F4093" s="3" t="s">
        <v>1104</v>
      </c>
      <c r="G4093" s="7">
        <v>46041.946240626225</v>
      </c>
    </row>
    <row r="4094">
      <c r="A4094" s="3" t="s">
        <v>12902</v>
      </c>
      <c r="B4094" s="3" t="s">
        <v>658</v>
      </c>
      <c r="C4094" s="3" t="s">
        <v>1095</v>
      </c>
      <c r="D4094" s="3" t="s">
        <v>68</v>
      </c>
      <c r="E4094" s="3" t="s">
        <v>100</v>
      </c>
      <c r="F4094" s="3" t="s">
        <v>2056</v>
      </c>
      <c r="G4094" s="7">
        <v>46042.017415471644</v>
      </c>
    </row>
    <row r="4095">
      <c r="A4095" s="3" t="s">
        <v>12904</v>
      </c>
      <c r="B4095" s="3" t="s">
        <v>313</v>
      </c>
      <c r="C4095" s="3" t="s">
        <v>56</v>
      </c>
      <c r="D4095" s="3" t="s">
        <v>68</v>
      </c>
      <c r="E4095" s="3" t="s">
        <v>100</v>
      </c>
      <c r="F4095" s="3" t="s">
        <v>1110</v>
      </c>
      <c r="G4095" s="7">
        <v>46042.088590317064</v>
      </c>
    </row>
    <row r="4096">
      <c r="A4096" s="3" t="s">
        <v>12907</v>
      </c>
      <c r="B4096" s="3" t="s">
        <v>922</v>
      </c>
      <c r="C4096" s="3" t="s">
        <v>56</v>
      </c>
      <c r="D4096" s="3" t="s">
        <v>68</v>
      </c>
      <c r="E4096" s="3" t="s">
        <v>100</v>
      </c>
      <c r="F4096" s="3" t="s">
        <v>1113</v>
      </c>
      <c r="G4096" s="7">
        <v>46042.159765162476</v>
      </c>
    </row>
    <row r="4097">
      <c r="A4097" s="3" t="s">
        <v>12909</v>
      </c>
      <c r="B4097" s="3" t="s">
        <v>773</v>
      </c>
      <c r="C4097" s="3" t="s">
        <v>1342</v>
      </c>
      <c r="D4097" s="3" t="s">
        <v>68</v>
      </c>
      <c r="E4097" s="3" t="s">
        <v>100</v>
      </c>
      <c r="F4097" s="3" t="s">
        <v>2085</v>
      </c>
      <c r="G4097" s="7">
        <v>46042.23094000789</v>
      </c>
    </row>
    <row r="4098">
      <c r="A4098" s="3" t="s">
        <v>12912</v>
      </c>
      <c r="B4098" s="3" t="s">
        <v>689</v>
      </c>
      <c r="C4098" s="3" t="s">
        <v>1095</v>
      </c>
      <c r="D4098" s="3" t="s">
        <v>68</v>
      </c>
      <c r="E4098" s="3" t="s">
        <v>100</v>
      </c>
      <c r="F4098" s="3" t="s">
        <v>1074</v>
      </c>
      <c r="G4098" s="7">
        <v>46042.30211485331</v>
      </c>
    </row>
    <row r="4099">
      <c r="A4099" s="3" t="s">
        <v>12914</v>
      </c>
      <c r="B4099" s="3" t="s">
        <v>678</v>
      </c>
      <c r="C4099" s="3" t="s">
        <v>56</v>
      </c>
      <c r="D4099" s="3" t="s">
        <v>68</v>
      </c>
      <c r="E4099" s="3" t="s">
        <v>100</v>
      </c>
      <c r="F4099" s="3" t="s">
        <v>1114</v>
      </c>
      <c r="G4099" s="7">
        <v>46042.37328969872</v>
      </c>
    </row>
    <row r="4100">
      <c r="A4100" s="3" t="s">
        <v>12917</v>
      </c>
      <c r="B4100" s="3" t="s">
        <v>920</v>
      </c>
      <c r="C4100" s="3" t="s">
        <v>1342</v>
      </c>
      <c r="D4100" s="3" t="s">
        <v>68</v>
      </c>
      <c r="E4100" s="3" t="s">
        <v>100</v>
      </c>
      <c r="F4100" s="3" t="s">
        <v>1935</v>
      </c>
      <c r="G4100" s="7">
        <v>46042.44446454413</v>
      </c>
    </row>
    <row r="4101">
      <c r="A4101" s="3" t="s">
        <v>12920</v>
      </c>
      <c r="B4101" s="3" t="s">
        <v>202</v>
      </c>
      <c r="C4101" s="3" t="s">
        <v>1095</v>
      </c>
      <c r="D4101" s="3" t="s">
        <v>68</v>
      </c>
      <c r="E4101" s="3" t="s">
        <v>100</v>
      </c>
      <c r="F4101" s="3" t="s">
        <v>518</v>
      </c>
      <c r="G4101" s="7">
        <v>46042.51563938955</v>
      </c>
    </row>
    <row r="4102">
      <c r="A4102" s="3" t="s">
        <v>12921</v>
      </c>
      <c r="B4102" s="3" t="s">
        <v>430</v>
      </c>
      <c r="C4102" s="3" t="s">
        <v>1342</v>
      </c>
      <c r="D4102" s="3" t="s">
        <v>68</v>
      </c>
      <c r="E4102" s="3" t="s">
        <v>100</v>
      </c>
      <c r="F4102" s="3" t="s">
        <v>1623</v>
      </c>
      <c r="G4102" s="7">
        <v>46042.58681423497</v>
      </c>
    </row>
    <row r="4103">
      <c r="A4103" s="3" t="s">
        <v>12924</v>
      </c>
      <c r="B4103" s="3" t="s">
        <v>926</v>
      </c>
      <c r="C4103" s="3" t="s">
        <v>1342</v>
      </c>
      <c r="D4103" s="3" t="s">
        <v>68</v>
      </c>
      <c r="E4103" s="3" t="s">
        <v>100</v>
      </c>
      <c r="F4103" s="3" t="s">
        <v>1750</v>
      </c>
      <c r="G4103" s="7">
        <v>46042.65798908038</v>
      </c>
    </row>
    <row r="4104">
      <c r="A4104" s="3" t="s">
        <v>12926</v>
      </c>
      <c r="B4104" s="3" t="s">
        <v>507</v>
      </c>
      <c r="C4104" s="3" t="s">
        <v>1342</v>
      </c>
      <c r="D4104" s="3" t="s">
        <v>68</v>
      </c>
      <c r="E4104" s="3" t="s">
        <v>100</v>
      </c>
      <c r="F4104" s="3" t="s">
        <v>1706</v>
      </c>
      <c r="G4104" s="7">
        <v>46042.7291639258</v>
      </c>
    </row>
    <row r="4105">
      <c r="A4105" s="3" t="s">
        <v>12928</v>
      </c>
      <c r="B4105" s="3" t="s">
        <v>652</v>
      </c>
      <c r="C4105" s="3" t="s">
        <v>1095</v>
      </c>
      <c r="D4105" s="3" t="s">
        <v>181</v>
      </c>
      <c r="E4105" s="3" t="s">
        <v>45</v>
      </c>
      <c r="F4105" s="3" t="s">
        <v>1094</v>
      </c>
      <c r="G4105" s="7">
        <v>46042.800338771216</v>
      </c>
    </row>
    <row r="4106">
      <c r="A4106" s="3" t="s">
        <v>12931</v>
      </c>
      <c r="B4106" s="3" t="s">
        <v>581</v>
      </c>
      <c r="C4106" s="3" t="s">
        <v>1342</v>
      </c>
      <c r="D4106" s="3" t="s">
        <v>68</v>
      </c>
      <c r="E4106" s="3" t="s">
        <v>100</v>
      </c>
      <c r="F4106" s="3" t="s">
        <v>1004</v>
      </c>
      <c r="G4106" s="7">
        <v>46042.87151361663</v>
      </c>
    </row>
    <row r="4107">
      <c r="A4107" s="3" t="s">
        <v>12933</v>
      </c>
      <c r="B4107" s="3" t="s">
        <v>141</v>
      </c>
      <c r="C4107" s="3" t="s">
        <v>56</v>
      </c>
      <c r="D4107" s="3" t="s">
        <v>68</v>
      </c>
      <c r="E4107" s="3" t="s">
        <v>100</v>
      </c>
      <c r="F4107" s="3" t="s">
        <v>1117</v>
      </c>
      <c r="G4107" s="7">
        <v>46042.94268846204</v>
      </c>
    </row>
    <row r="4108">
      <c r="A4108" s="3" t="s">
        <v>12935</v>
      </c>
      <c r="B4108" s="3" t="s">
        <v>391</v>
      </c>
      <c r="C4108" s="3" t="s">
        <v>1342</v>
      </c>
      <c r="D4108" s="3" t="s">
        <v>68</v>
      </c>
      <c r="E4108" s="3" t="s">
        <v>100</v>
      </c>
      <c r="F4108" s="3" t="s">
        <v>1918</v>
      </c>
      <c r="G4108" s="7">
        <v>46043.01386330746</v>
      </c>
    </row>
    <row r="4109">
      <c r="A4109" s="3" t="s">
        <v>12938</v>
      </c>
      <c r="B4109" s="3" t="s">
        <v>302</v>
      </c>
      <c r="C4109" s="3" t="s">
        <v>1342</v>
      </c>
      <c r="D4109" s="3" t="s">
        <v>68</v>
      </c>
      <c r="E4109" s="3" t="s">
        <v>100</v>
      </c>
      <c r="F4109" s="3" t="s">
        <v>1491</v>
      </c>
      <c r="G4109" s="7">
        <v>46043.08503815287</v>
      </c>
    </row>
    <row r="4110">
      <c r="A4110" s="3" t="s">
        <v>12941</v>
      </c>
      <c r="B4110" s="3" t="s">
        <v>322</v>
      </c>
      <c r="C4110" s="3" t="s">
        <v>1342</v>
      </c>
      <c r="D4110" s="3" t="s">
        <v>68</v>
      </c>
      <c r="E4110" s="3" t="s">
        <v>100</v>
      </c>
      <c r="F4110" s="3" t="s">
        <v>959</v>
      </c>
      <c r="G4110" s="7">
        <v>46043.156212998285</v>
      </c>
    </row>
    <row r="4111">
      <c r="A4111" s="3" t="s">
        <v>12943</v>
      </c>
      <c r="B4111" s="3" t="s">
        <v>159</v>
      </c>
      <c r="C4111" s="3" t="s">
        <v>1342</v>
      </c>
      <c r="D4111" s="3" t="s">
        <v>68</v>
      </c>
      <c r="E4111" s="3" t="s">
        <v>100</v>
      </c>
      <c r="F4111" s="3" t="s">
        <v>1292</v>
      </c>
      <c r="G4111" s="7">
        <v>46043.227387843704</v>
      </c>
    </row>
    <row r="4112">
      <c r="A4112" s="3" t="s">
        <v>12945</v>
      </c>
      <c r="B4112" s="3" t="s">
        <v>189</v>
      </c>
      <c r="C4112" s="3" t="s">
        <v>56</v>
      </c>
      <c r="D4112" s="3" t="s">
        <v>68</v>
      </c>
      <c r="E4112" s="3" t="s">
        <v>100</v>
      </c>
      <c r="F4112" s="3" t="s">
        <v>1119</v>
      </c>
      <c r="G4112" s="7">
        <v>46043.29856268912</v>
      </c>
    </row>
    <row r="4113">
      <c r="A4113" s="3" t="s">
        <v>12948</v>
      </c>
      <c r="B4113" s="3" t="s">
        <v>424</v>
      </c>
      <c r="C4113" s="3" t="s">
        <v>56</v>
      </c>
      <c r="D4113" s="3" t="s">
        <v>195</v>
      </c>
      <c r="E4113" s="3" t="s">
        <v>45</v>
      </c>
      <c r="F4113" s="3" t="s">
        <v>45</v>
      </c>
      <c r="G4113" s="7">
        <v>46043.36973753453</v>
      </c>
    </row>
    <row r="4114">
      <c r="A4114" s="3" t="s">
        <v>12951</v>
      </c>
      <c r="B4114" s="3" t="s">
        <v>593</v>
      </c>
      <c r="C4114" s="3" t="s">
        <v>1095</v>
      </c>
      <c r="D4114" s="3" t="s">
        <v>68</v>
      </c>
      <c r="E4114" s="3" t="s">
        <v>100</v>
      </c>
      <c r="F4114" s="3" t="s">
        <v>2032</v>
      </c>
      <c r="G4114" s="7">
        <v>46043.44091237995</v>
      </c>
    </row>
    <row r="4115">
      <c r="A4115" s="3" t="s">
        <v>12953</v>
      </c>
      <c r="B4115" s="3" t="s">
        <v>612</v>
      </c>
      <c r="C4115" s="3" t="s">
        <v>1095</v>
      </c>
      <c r="D4115" s="3" t="s">
        <v>195</v>
      </c>
      <c r="E4115" s="3" t="s">
        <v>45</v>
      </c>
      <c r="F4115" s="3" t="s">
        <v>1187</v>
      </c>
      <c r="G4115" s="7">
        <v>46043.51208722536</v>
      </c>
    </row>
    <row r="4116">
      <c r="A4116" s="3" t="s">
        <v>12955</v>
      </c>
      <c r="B4116" s="3" t="s">
        <v>596</v>
      </c>
      <c r="C4116" s="3" t="s">
        <v>1095</v>
      </c>
      <c r="D4116" s="3" t="s">
        <v>68</v>
      </c>
      <c r="E4116" s="3" t="s">
        <v>100</v>
      </c>
      <c r="F4116" s="3" t="s">
        <v>1808</v>
      </c>
      <c r="G4116" s="7">
        <v>46043.58326207078</v>
      </c>
    </row>
    <row r="4117">
      <c r="A4117" s="3" t="s">
        <v>12958</v>
      </c>
      <c r="B4117" s="3" t="s">
        <v>204</v>
      </c>
      <c r="C4117" s="3" t="s">
        <v>1095</v>
      </c>
      <c r="D4117" s="3" t="s">
        <v>195</v>
      </c>
      <c r="E4117" s="3" t="s">
        <v>45</v>
      </c>
      <c r="F4117" s="3" t="s">
        <v>2059</v>
      </c>
      <c r="G4117" s="7">
        <v>46043.65443691619</v>
      </c>
    </row>
    <row r="4118">
      <c r="A4118" s="3" t="s">
        <v>12961</v>
      </c>
      <c r="B4118" s="3" t="s">
        <v>826</v>
      </c>
      <c r="C4118" s="3" t="s">
        <v>1342</v>
      </c>
      <c r="D4118" s="3" t="s">
        <v>68</v>
      </c>
      <c r="E4118" s="3" t="s">
        <v>100</v>
      </c>
      <c r="F4118" s="3" t="s">
        <v>693</v>
      </c>
      <c r="G4118" s="7">
        <v>46043.72561176161</v>
      </c>
    </row>
    <row r="4119">
      <c r="A4119" s="3" t="s">
        <v>12964</v>
      </c>
      <c r="B4119" s="3" t="s">
        <v>388</v>
      </c>
      <c r="C4119" s="3" t="s">
        <v>56</v>
      </c>
      <c r="D4119" s="3" t="s">
        <v>195</v>
      </c>
      <c r="E4119" s="3" t="s">
        <v>45</v>
      </c>
      <c r="F4119" s="3" t="s">
        <v>45</v>
      </c>
      <c r="G4119" s="7">
        <v>46043.79678660702</v>
      </c>
    </row>
    <row r="4120">
      <c r="A4120" s="3" t="s">
        <v>12966</v>
      </c>
      <c r="B4120" s="3" t="s">
        <v>742</v>
      </c>
      <c r="C4120" s="3" t="s">
        <v>1095</v>
      </c>
      <c r="D4120" s="3" t="s">
        <v>68</v>
      </c>
      <c r="E4120" s="3" t="s">
        <v>100</v>
      </c>
      <c r="F4120" s="3" t="s">
        <v>1070</v>
      </c>
      <c r="G4120" s="7">
        <v>46043.86796145244</v>
      </c>
    </row>
    <row r="4121">
      <c r="A4121" s="3" t="s">
        <v>12968</v>
      </c>
      <c r="B4121" s="3" t="s">
        <v>151</v>
      </c>
      <c r="C4121" s="3" t="s">
        <v>1342</v>
      </c>
      <c r="D4121" s="3" t="s">
        <v>181</v>
      </c>
      <c r="E4121" s="3" t="s">
        <v>45</v>
      </c>
      <c r="F4121" s="3" t="s">
        <v>728</v>
      </c>
      <c r="G4121" s="7">
        <v>46043.93913629786</v>
      </c>
    </row>
    <row r="4122">
      <c r="A4122" s="3" t="s">
        <v>12971</v>
      </c>
      <c r="B4122" s="3" t="s">
        <v>215</v>
      </c>
      <c r="C4122" s="3" t="s">
        <v>1095</v>
      </c>
      <c r="D4122" s="3" t="s">
        <v>68</v>
      </c>
      <c r="E4122" s="3" t="s">
        <v>100</v>
      </c>
      <c r="F4122" s="3" t="s">
        <v>1837</v>
      </c>
      <c r="G4122" s="7">
        <v>46044.01031114327</v>
      </c>
    </row>
    <row r="4123">
      <c r="A4123" s="3" t="s">
        <v>12973</v>
      </c>
      <c r="B4123" s="3" t="s">
        <v>424</v>
      </c>
      <c r="C4123" s="3" t="s">
        <v>56</v>
      </c>
      <c r="D4123" s="3" t="s">
        <v>68</v>
      </c>
      <c r="E4123" s="3" t="s">
        <v>100</v>
      </c>
      <c r="F4123" s="3" t="s">
        <v>1121</v>
      </c>
      <c r="G4123" s="7">
        <v>46044.08148598868</v>
      </c>
    </row>
    <row r="4124">
      <c r="A4124" s="3" t="s">
        <v>12975</v>
      </c>
      <c r="B4124" s="3" t="s">
        <v>631</v>
      </c>
      <c r="C4124" s="3" t="s">
        <v>1342</v>
      </c>
      <c r="D4124" s="3" t="s">
        <v>68</v>
      </c>
      <c r="E4124" s="3" t="s">
        <v>100</v>
      </c>
      <c r="F4124" s="3" t="s">
        <v>1066</v>
      </c>
      <c r="G4124" s="7">
        <v>46044.1526608341</v>
      </c>
    </row>
    <row r="4125">
      <c r="A4125" s="3" t="s">
        <v>12978</v>
      </c>
      <c r="B4125" s="3" t="s">
        <v>725</v>
      </c>
      <c r="C4125" s="3" t="s">
        <v>1342</v>
      </c>
      <c r="D4125" s="3" t="s">
        <v>68</v>
      </c>
      <c r="E4125" s="3" t="s">
        <v>100</v>
      </c>
      <c r="F4125" s="3" t="s">
        <v>1801</v>
      </c>
      <c r="G4125" s="7">
        <v>46044.22383567951</v>
      </c>
    </row>
    <row r="4126">
      <c r="A4126" s="3" t="s">
        <v>12981</v>
      </c>
      <c r="B4126" s="3" t="s">
        <v>455</v>
      </c>
      <c r="C4126" s="3" t="s">
        <v>56</v>
      </c>
      <c r="D4126" s="3" t="s">
        <v>195</v>
      </c>
      <c r="E4126" s="3" t="s">
        <v>45</v>
      </c>
      <c r="F4126" s="3" t="s">
        <v>45</v>
      </c>
      <c r="G4126" s="7">
        <v>46044.295010524926</v>
      </c>
    </row>
    <row r="4127">
      <c r="A4127" s="3" t="s">
        <v>12982</v>
      </c>
      <c r="B4127" s="3" t="s">
        <v>758</v>
      </c>
      <c r="C4127" s="3" t="s">
        <v>1342</v>
      </c>
      <c r="D4127" s="3" t="s">
        <v>68</v>
      </c>
      <c r="E4127" s="3" t="s">
        <v>100</v>
      </c>
      <c r="F4127" s="3" t="s">
        <v>1879</v>
      </c>
      <c r="G4127" s="7">
        <v>46044.366185370345</v>
      </c>
    </row>
    <row r="4128">
      <c r="A4128" s="3" t="s">
        <v>12985</v>
      </c>
      <c r="B4128" s="3" t="s">
        <v>713</v>
      </c>
      <c r="C4128" s="3" t="s">
        <v>1095</v>
      </c>
      <c r="D4128" s="3" t="s">
        <v>68</v>
      </c>
      <c r="E4128" s="3" t="s">
        <v>100</v>
      </c>
      <c r="F4128" s="3" t="s">
        <v>1939</v>
      </c>
      <c r="G4128" s="7">
        <v>46044.437360215765</v>
      </c>
    </row>
    <row r="4129">
      <c r="A4129" s="3" t="s">
        <v>12988</v>
      </c>
      <c r="B4129" s="3" t="s">
        <v>411</v>
      </c>
      <c r="C4129" s="3" t="s">
        <v>1095</v>
      </c>
      <c r="D4129" s="3" t="s">
        <v>68</v>
      </c>
      <c r="E4129" s="3" t="s">
        <v>100</v>
      </c>
      <c r="F4129" s="3" t="s">
        <v>1530</v>
      </c>
      <c r="G4129" s="7">
        <v>46044.50853506117</v>
      </c>
    </row>
    <row r="4130">
      <c r="A4130" s="3" t="s">
        <v>12989</v>
      </c>
      <c r="B4130" s="3" t="s">
        <v>731</v>
      </c>
      <c r="C4130" s="3" t="s">
        <v>1342</v>
      </c>
      <c r="D4130" s="3" t="s">
        <v>68</v>
      </c>
      <c r="E4130" s="3" t="s">
        <v>100</v>
      </c>
      <c r="F4130" s="3" t="s">
        <v>1971</v>
      </c>
      <c r="G4130" s="7">
        <v>46044.57970990659</v>
      </c>
    </row>
    <row r="4131">
      <c r="A4131" s="3" t="s">
        <v>12991</v>
      </c>
      <c r="B4131" s="3" t="s">
        <v>665</v>
      </c>
      <c r="C4131" s="3" t="s">
        <v>1342</v>
      </c>
      <c r="D4131" s="3" t="s">
        <v>68</v>
      </c>
      <c r="E4131" s="3" t="s">
        <v>100</v>
      </c>
      <c r="F4131" s="3" t="s">
        <v>1033</v>
      </c>
      <c r="G4131" s="7">
        <v>46044.650884752</v>
      </c>
    </row>
    <row r="4132">
      <c r="A4132" s="3" t="s">
        <v>12994</v>
      </c>
      <c r="B4132" s="3" t="s">
        <v>171</v>
      </c>
      <c r="C4132" s="3" t="s">
        <v>1342</v>
      </c>
      <c r="D4132" s="3" t="s">
        <v>68</v>
      </c>
      <c r="E4132" s="3" t="s">
        <v>100</v>
      </c>
      <c r="F4132" s="3" t="s">
        <v>1835</v>
      </c>
      <c r="G4132" s="7">
        <v>46044.72205959742</v>
      </c>
    </row>
    <row r="4133">
      <c r="A4133" s="3" t="s">
        <v>12997</v>
      </c>
      <c r="B4133" s="3" t="s">
        <v>860</v>
      </c>
      <c r="C4133" s="3" t="s">
        <v>1342</v>
      </c>
      <c r="D4133" s="3" t="s">
        <v>68</v>
      </c>
      <c r="E4133" s="3" t="s">
        <v>100</v>
      </c>
      <c r="F4133" s="3" t="s">
        <v>2123</v>
      </c>
      <c r="G4133" s="7">
        <v>46044.79323444283</v>
      </c>
    </row>
    <row r="4134">
      <c r="A4134" s="3" t="s">
        <v>13000</v>
      </c>
      <c r="B4134" s="3" t="s">
        <v>922</v>
      </c>
      <c r="C4134" s="3" t="s">
        <v>1095</v>
      </c>
      <c r="D4134" s="3" t="s">
        <v>68</v>
      </c>
      <c r="E4134" s="3" t="s">
        <v>100</v>
      </c>
      <c r="F4134" s="3" t="s">
        <v>1113</v>
      </c>
      <c r="G4134" s="7">
        <v>46044.86440928825</v>
      </c>
    </row>
    <row r="4135">
      <c r="A4135" s="3" t="s">
        <v>13002</v>
      </c>
      <c r="B4135" s="3" t="s">
        <v>702</v>
      </c>
      <c r="C4135" s="3" t="s">
        <v>1342</v>
      </c>
      <c r="D4135" s="3" t="s">
        <v>68</v>
      </c>
      <c r="E4135" s="3" t="s">
        <v>100</v>
      </c>
      <c r="F4135" s="3" t="s">
        <v>1196</v>
      </c>
      <c r="G4135" s="7">
        <v>46044.93558413366</v>
      </c>
    </row>
    <row r="4136">
      <c r="A4136" s="3" t="s">
        <v>13004</v>
      </c>
      <c r="B4136" s="3" t="s">
        <v>587</v>
      </c>
      <c r="C4136" s="3" t="s">
        <v>1342</v>
      </c>
      <c r="D4136" s="3" t="s">
        <v>68</v>
      </c>
      <c r="E4136" s="3" t="s">
        <v>100</v>
      </c>
      <c r="F4136" s="3" t="s">
        <v>633</v>
      </c>
      <c r="G4136" s="7">
        <v>46045.00675897908</v>
      </c>
    </row>
    <row r="4137">
      <c r="A4137" s="3" t="s">
        <v>13007</v>
      </c>
      <c r="B4137" s="3" t="s">
        <v>763</v>
      </c>
      <c r="C4137" s="3" t="s">
        <v>1342</v>
      </c>
      <c r="D4137" s="3" t="s">
        <v>68</v>
      </c>
      <c r="E4137" s="3" t="s">
        <v>100</v>
      </c>
      <c r="F4137" s="3" t="s">
        <v>928</v>
      </c>
      <c r="G4137" s="7">
        <v>46045.0779338245</v>
      </c>
    </row>
    <row r="4138">
      <c r="A4138" s="3" t="s">
        <v>13010</v>
      </c>
      <c r="B4138" s="3" t="s">
        <v>864</v>
      </c>
      <c r="C4138" s="3" t="s">
        <v>56</v>
      </c>
      <c r="D4138" s="3" t="s">
        <v>68</v>
      </c>
      <c r="E4138" s="3" t="s">
        <v>100</v>
      </c>
      <c r="F4138" s="3" t="s">
        <v>1125</v>
      </c>
      <c r="G4138" s="7">
        <v>46045.14910866991</v>
      </c>
    </row>
    <row r="4139">
      <c r="A4139" s="3" t="s">
        <v>13013</v>
      </c>
      <c r="B4139" s="3" t="s">
        <v>860</v>
      </c>
      <c r="C4139" s="3" t="s">
        <v>1342</v>
      </c>
      <c r="D4139" s="3" t="s">
        <v>68</v>
      </c>
      <c r="E4139" s="3" t="s">
        <v>100</v>
      </c>
      <c r="F4139" s="3" t="s">
        <v>2123</v>
      </c>
      <c r="G4139" s="7">
        <v>46045.22028351532</v>
      </c>
    </row>
    <row r="4140">
      <c r="A4140" s="3" t="s">
        <v>13015</v>
      </c>
      <c r="B4140" s="3" t="s">
        <v>175</v>
      </c>
      <c r="C4140" s="3" t="s">
        <v>56</v>
      </c>
      <c r="D4140" s="3" t="s">
        <v>68</v>
      </c>
      <c r="E4140" s="3" t="s">
        <v>100</v>
      </c>
      <c r="F4140" s="3" t="s">
        <v>1127</v>
      </c>
      <c r="G4140" s="7">
        <v>46045.29145836074</v>
      </c>
    </row>
    <row r="4141">
      <c r="A4141" s="3" t="s">
        <v>13018</v>
      </c>
      <c r="B4141" s="3" t="s">
        <v>383</v>
      </c>
      <c r="C4141" s="3" t="s">
        <v>56</v>
      </c>
      <c r="D4141" s="3" t="s">
        <v>68</v>
      </c>
      <c r="E4141" s="3" t="s">
        <v>100</v>
      </c>
      <c r="F4141" s="3" t="s">
        <v>1129</v>
      </c>
      <c r="G4141" s="7">
        <v>46045.362633206154</v>
      </c>
    </row>
    <row r="4142">
      <c r="A4142" s="3" t="s">
        <v>13021</v>
      </c>
      <c r="B4142" s="3" t="s">
        <v>406</v>
      </c>
      <c r="C4142" s="3" t="s">
        <v>1342</v>
      </c>
      <c r="D4142" s="3" t="s">
        <v>68</v>
      </c>
      <c r="E4142" s="3" t="s">
        <v>100</v>
      </c>
      <c r="F4142" s="3" t="s">
        <v>1327</v>
      </c>
      <c r="G4142" s="7">
        <v>46045.433808051566</v>
      </c>
    </row>
    <row r="4143">
      <c r="A4143" s="3" t="s">
        <v>13023</v>
      </c>
      <c r="B4143" s="3" t="s">
        <v>637</v>
      </c>
      <c r="C4143" s="3" t="s">
        <v>56</v>
      </c>
      <c r="D4143" s="3" t="s">
        <v>68</v>
      </c>
      <c r="E4143" s="3" t="s">
        <v>100</v>
      </c>
      <c r="F4143" s="3" t="s">
        <v>1131</v>
      </c>
      <c r="G4143" s="7">
        <v>46045.504982896986</v>
      </c>
    </row>
    <row r="4144">
      <c r="A4144" s="3" t="s">
        <v>13026</v>
      </c>
      <c r="B4144" s="3" t="s">
        <v>498</v>
      </c>
      <c r="C4144" s="3" t="s">
        <v>1095</v>
      </c>
      <c r="D4144" s="3" t="s">
        <v>68</v>
      </c>
      <c r="E4144" s="3" t="s">
        <v>100</v>
      </c>
      <c r="F4144" s="3" t="s">
        <v>831</v>
      </c>
      <c r="G4144" s="7">
        <v>46045.576157742405</v>
      </c>
    </row>
    <row r="4145">
      <c r="A4145" s="3" t="s">
        <v>13028</v>
      </c>
      <c r="B4145" s="3" t="s">
        <v>605</v>
      </c>
      <c r="C4145" s="3" t="s">
        <v>1342</v>
      </c>
      <c r="D4145" s="3" t="s">
        <v>68</v>
      </c>
      <c r="E4145" s="3" t="s">
        <v>100</v>
      </c>
      <c r="F4145" s="3" t="s">
        <v>589</v>
      </c>
      <c r="G4145" s="7">
        <v>46045.64733258781</v>
      </c>
    </row>
    <row r="4146">
      <c r="A4146" s="3" t="s">
        <v>13029</v>
      </c>
      <c r="B4146" s="3" t="s">
        <v>488</v>
      </c>
      <c r="C4146" s="3" t="s">
        <v>1342</v>
      </c>
      <c r="D4146" s="3" t="s">
        <v>195</v>
      </c>
      <c r="E4146" s="3" t="s">
        <v>45</v>
      </c>
      <c r="F4146" s="3" t="s">
        <v>769</v>
      </c>
      <c r="G4146" s="7">
        <v>46045.71850743323</v>
      </c>
    </row>
    <row r="4147">
      <c r="A4147" s="3" t="s">
        <v>13031</v>
      </c>
      <c r="B4147" s="3" t="s">
        <v>276</v>
      </c>
      <c r="C4147" s="3" t="s">
        <v>1342</v>
      </c>
      <c r="D4147" s="3" t="s">
        <v>181</v>
      </c>
      <c r="E4147" s="3" t="s">
        <v>45</v>
      </c>
      <c r="F4147" s="3" t="s">
        <v>1950</v>
      </c>
      <c r="G4147" s="7">
        <v>46045.78968227865</v>
      </c>
    </row>
    <row r="4148">
      <c r="A4148" s="3" t="s">
        <v>13034</v>
      </c>
      <c r="B4148" s="3" t="s">
        <v>515</v>
      </c>
      <c r="C4148" s="3" t="s">
        <v>1342</v>
      </c>
      <c r="D4148" s="3" t="s">
        <v>68</v>
      </c>
      <c r="E4148" s="3" t="s">
        <v>100</v>
      </c>
      <c r="F4148" s="3" t="s">
        <v>1963</v>
      </c>
      <c r="G4148" s="7">
        <v>46045.86085712406</v>
      </c>
    </row>
    <row r="4149">
      <c r="A4149" s="3" t="s">
        <v>13037</v>
      </c>
      <c r="B4149" s="3" t="s">
        <v>424</v>
      </c>
      <c r="C4149" s="3" t="s">
        <v>1095</v>
      </c>
      <c r="D4149" s="3" t="s">
        <v>68</v>
      </c>
      <c r="E4149" s="3" t="s">
        <v>100</v>
      </c>
      <c r="F4149" s="3" t="s">
        <v>1121</v>
      </c>
      <c r="G4149" s="7">
        <v>46045.932031969474</v>
      </c>
    </row>
    <row r="4150">
      <c r="A4150" s="3" t="s">
        <v>13038</v>
      </c>
      <c r="B4150" s="3" t="s">
        <v>243</v>
      </c>
      <c r="C4150" s="3" t="s">
        <v>1095</v>
      </c>
      <c r="D4150" s="3" t="s">
        <v>68</v>
      </c>
      <c r="E4150" s="3" t="s">
        <v>100</v>
      </c>
      <c r="F4150" s="3" t="s">
        <v>1852</v>
      </c>
      <c r="G4150" s="7">
        <v>46046.003206814894</v>
      </c>
    </row>
    <row r="4151">
      <c r="A4151" s="3" t="s">
        <v>13041</v>
      </c>
      <c r="B4151" s="3" t="s">
        <v>391</v>
      </c>
      <c r="C4151" s="3" t="s">
        <v>1342</v>
      </c>
      <c r="D4151" s="3" t="s">
        <v>68</v>
      </c>
      <c r="E4151" s="3" t="s">
        <v>100</v>
      </c>
      <c r="F4151" s="3" t="s">
        <v>1918</v>
      </c>
      <c r="G4151" s="7">
        <v>46046.074381660306</v>
      </c>
    </row>
    <row r="4152">
      <c r="A4152" s="3" t="s">
        <v>13044</v>
      </c>
      <c r="B4152" s="3" t="s">
        <v>424</v>
      </c>
      <c r="C4152" s="3" t="s">
        <v>56</v>
      </c>
      <c r="D4152" s="3" t="s">
        <v>68</v>
      </c>
      <c r="E4152" s="3" t="s">
        <v>100</v>
      </c>
      <c r="F4152" s="3" t="s">
        <v>1133</v>
      </c>
      <c r="G4152" s="7">
        <v>46046.14555650572</v>
      </c>
    </row>
    <row r="4153">
      <c r="A4153" s="3" t="s">
        <v>13046</v>
      </c>
      <c r="B4153" s="3" t="s">
        <v>593</v>
      </c>
      <c r="C4153" s="3" t="s">
        <v>56</v>
      </c>
      <c r="D4153" s="3" t="s">
        <v>68</v>
      </c>
      <c r="E4153" s="3" t="s">
        <v>100</v>
      </c>
      <c r="F4153" s="3" t="s">
        <v>1135</v>
      </c>
      <c r="G4153" s="7">
        <v>46046.21673135114</v>
      </c>
    </row>
    <row r="4154">
      <c r="A4154" s="3" t="s">
        <v>13048</v>
      </c>
      <c r="B4154" s="3" t="s">
        <v>877</v>
      </c>
      <c r="C4154" s="3" t="s">
        <v>1095</v>
      </c>
      <c r="D4154" s="3" t="s">
        <v>68</v>
      </c>
      <c r="E4154" s="3" t="s">
        <v>100</v>
      </c>
      <c r="F4154" s="3" t="s">
        <v>1903</v>
      </c>
      <c r="G4154" s="7">
        <v>46046.28790619655</v>
      </c>
    </row>
    <row r="4155">
      <c r="A4155" s="3" t="s">
        <v>13051</v>
      </c>
      <c r="B4155" s="3" t="s">
        <v>123</v>
      </c>
      <c r="C4155" s="3" t="s">
        <v>1342</v>
      </c>
      <c r="D4155" s="3" t="s">
        <v>68</v>
      </c>
      <c r="E4155" s="3" t="s">
        <v>100</v>
      </c>
      <c r="F4155" s="3" t="s">
        <v>1455</v>
      </c>
      <c r="G4155" s="7">
        <v>46046.35908104196</v>
      </c>
    </row>
    <row r="4156">
      <c r="A4156" s="3" t="s">
        <v>13052</v>
      </c>
      <c r="B4156" s="3" t="s">
        <v>453</v>
      </c>
      <c r="C4156" s="3" t="s">
        <v>1342</v>
      </c>
      <c r="D4156" s="3" t="s">
        <v>68</v>
      </c>
      <c r="E4156" s="3" t="s">
        <v>100</v>
      </c>
      <c r="F4156" s="3" t="s">
        <v>738</v>
      </c>
      <c r="G4156" s="7">
        <v>46046.43025588738</v>
      </c>
    </row>
    <row r="4157">
      <c r="A4157" s="3" t="s">
        <v>13054</v>
      </c>
      <c r="B4157" s="3" t="s">
        <v>135</v>
      </c>
      <c r="C4157" s="3" t="s">
        <v>1095</v>
      </c>
      <c r="D4157" s="3" t="s">
        <v>68</v>
      </c>
      <c r="E4157" s="3" t="s">
        <v>100</v>
      </c>
      <c r="F4157" s="3" t="s">
        <v>2021</v>
      </c>
      <c r="G4157" s="7">
        <v>46046.501430732795</v>
      </c>
    </row>
    <row r="4158">
      <c r="A4158" s="3" t="s">
        <v>13056</v>
      </c>
      <c r="B4158" s="3" t="s">
        <v>380</v>
      </c>
      <c r="C4158" s="3" t="s">
        <v>56</v>
      </c>
      <c r="D4158" s="3" t="s">
        <v>68</v>
      </c>
      <c r="E4158" s="3" t="s">
        <v>100</v>
      </c>
      <c r="F4158" s="3" t="s">
        <v>1140</v>
      </c>
      <c r="G4158" s="7">
        <v>46046.57260557821</v>
      </c>
    </row>
    <row r="4159">
      <c r="A4159" s="3" t="s">
        <v>13058</v>
      </c>
      <c r="B4159" s="3" t="s">
        <v>193</v>
      </c>
      <c r="C4159" s="3" t="s">
        <v>1342</v>
      </c>
      <c r="D4159" s="3" t="s">
        <v>68</v>
      </c>
      <c r="E4159" s="3" t="s">
        <v>100</v>
      </c>
      <c r="F4159" s="3" t="s">
        <v>1416</v>
      </c>
      <c r="G4159" s="7">
        <v>46046.64378042363</v>
      </c>
    </row>
    <row r="4160">
      <c r="A4160" s="3" t="s">
        <v>13060</v>
      </c>
      <c r="B4160" s="3" t="s">
        <v>596</v>
      </c>
      <c r="C4160" s="3" t="s">
        <v>56</v>
      </c>
      <c r="D4160" s="3" t="s">
        <v>68</v>
      </c>
      <c r="E4160" s="3" t="s">
        <v>100</v>
      </c>
      <c r="F4160" s="3" t="s">
        <v>1143</v>
      </c>
      <c r="G4160" s="7">
        <v>46046.714955269046</v>
      </c>
    </row>
    <row r="4161">
      <c r="A4161" s="3" t="s">
        <v>13063</v>
      </c>
      <c r="B4161" s="3" t="s">
        <v>496</v>
      </c>
      <c r="C4161" s="3" t="s">
        <v>1095</v>
      </c>
      <c r="D4161" s="3" t="s">
        <v>68</v>
      </c>
      <c r="E4161" s="3" t="s">
        <v>100</v>
      </c>
      <c r="F4161" s="3" t="s">
        <v>1713</v>
      </c>
      <c r="G4161" s="7">
        <v>46046.78613011445</v>
      </c>
    </row>
    <row r="4162">
      <c r="A4162" s="3" t="s">
        <v>13066</v>
      </c>
      <c r="B4162" s="3" t="s">
        <v>615</v>
      </c>
      <c r="C4162" s="3" t="s">
        <v>1095</v>
      </c>
      <c r="D4162" s="3" t="s">
        <v>68</v>
      </c>
      <c r="E4162" s="3" t="s">
        <v>100</v>
      </c>
      <c r="F4162" s="3" t="s">
        <v>968</v>
      </c>
      <c r="G4162" s="7">
        <v>46046.85730495987</v>
      </c>
    </row>
    <row r="4163">
      <c r="A4163" s="3" t="s">
        <v>13067</v>
      </c>
      <c r="B4163" s="3" t="s">
        <v>643</v>
      </c>
      <c r="C4163" s="3" t="s">
        <v>1342</v>
      </c>
      <c r="D4163" s="3" t="s">
        <v>68</v>
      </c>
      <c r="E4163" s="3" t="s">
        <v>100</v>
      </c>
      <c r="F4163" s="3" t="s">
        <v>1697</v>
      </c>
      <c r="G4163" s="7">
        <v>46046.92847980529</v>
      </c>
    </row>
    <row r="4164">
      <c r="A4164" s="3" t="s">
        <v>13070</v>
      </c>
      <c r="B4164" s="3" t="s">
        <v>557</v>
      </c>
      <c r="C4164" s="3" t="s">
        <v>1342</v>
      </c>
      <c r="D4164" s="3" t="s">
        <v>68</v>
      </c>
      <c r="E4164" s="3" t="s">
        <v>100</v>
      </c>
      <c r="F4164" s="3" t="s">
        <v>1681</v>
      </c>
      <c r="G4164" s="7">
        <v>46046.9996546507</v>
      </c>
    </row>
    <row r="4165">
      <c r="A4165" s="3" t="s">
        <v>13073</v>
      </c>
      <c r="B4165" s="3" t="s">
        <v>627</v>
      </c>
      <c r="C4165" s="3" t="s">
        <v>1095</v>
      </c>
      <c r="D4165" s="3" t="s">
        <v>181</v>
      </c>
      <c r="E4165" s="3" t="s">
        <v>45</v>
      </c>
      <c r="F4165" s="3" t="s">
        <v>1882</v>
      </c>
      <c r="G4165" s="7">
        <v>46047.070829496115</v>
      </c>
    </row>
    <row r="4166">
      <c r="A4166" s="3" t="s">
        <v>13075</v>
      </c>
      <c r="B4166" s="3" t="s">
        <v>845</v>
      </c>
      <c r="C4166" s="3" t="s">
        <v>1095</v>
      </c>
      <c r="D4166" s="3" t="s">
        <v>68</v>
      </c>
      <c r="E4166" s="3" t="s">
        <v>100</v>
      </c>
      <c r="F4166" s="3" t="s">
        <v>1100</v>
      </c>
      <c r="G4166" s="7">
        <v>46047.142004341535</v>
      </c>
    </row>
    <row r="4167">
      <c r="A4167" s="3" t="s">
        <v>13077</v>
      </c>
      <c r="B4167" s="3" t="s">
        <v>678</v>
      </c>
      <c r="C4167" s="3" t="s">
        <v>1095</v>
      </c>
      <c r="D4167" s="3" t="s">
        <v>68</v>
      </c>
      <c r="E4167" s="3" t="s">
        <v>100</v>
      </c>
      <c r="F4167" s="3" t="s">
        <v>1114</v>
      </c>
      <c r="G4167" s="7">
        <v>46047.21317918695</v>
      </c>
    </row>
    <row r="4168">
      <c r="A4168" s="3" t="s">
        <v>13080</v>
      </c>
      <c r="B4168" s="3" t="s">
        <v>848</v>
      </c>
      <c r="C4168" s="3" t="s">
        <v>1342</v>
      </c>
      <c r="D4168" s="3" t="s">
        <v>68</v>
      </c>
      <c r="E4168" s="3" t="s">
        <v>100</v>
      </c>
      <c r="F4168" s="3" t="s">
        <v>942</v>
      </c>
      <c r="G4168" s="7">
        <v>46047.28435403236</v>
      </c>
    </row>
    <row r="4169">
      <c r="A4169" s="3" t="s">
        <v>13083</v>
      </c>
      <c r="B4169" s="3" t="s">
        <v>581</v>
      </c>
      <c r="C4169" s="3" t="s">
        <v>1095</v>
      </c>
      <c r="D4169" s="3" t="s">
        <v>68</v>
      </c>
      <c r="E4169" s="3" t="s">
        <v>100</v>
      </c>
      <c r="F4169" s="3" t="s">
        <v>1004</v>
      </c>
      <c r="G4169" s="7">
        <v>46047.35552887778</v>
      </c>
    </row>
    <row r="4170">
      <c r="A4170" s="3" t="s">
        <v>13085</v>
      </c>
      <c r="B4170" s="3" t="s">
        <v>516</v>
      </c>
      <c r="C4170" s="3" t="s">
        <v>56</v>
      </c>
      <c r="D4170" s="3" t="s">
        <v>68</v>
      </c>
      <c r="E4170" s="3" t="s">
        <v>100</v>
      </c>
      <c r="F4170" s="3" t="s">
        <v>1146</v>
      </c>
      <c r="G4170" s="7">
        <v>46047.42670372319</v>
      </c>
    </row>
    <row r="4171">
      <c r="A4171" s="3" t="s">
        <v>13087</v>
      </c>
      <c r="B4171" s="3" t="s">
        <v>561</v>
      </c>
      <c r="C4171" s="3" t="s">
        <v>1342</v>
      </c>
      <c r="D4171" s="3" t="s">
        <v>181</v>
      </c>
      <c r="E4171" s="3" t="s">
        <v>45</v>
      </c>
      <c r="F4171" s="3" t="s">
        <v>1730</v>
      </c>
      <c r="G4171" s="7">
        <v>46047.4978785686</v>
      </c>
    </row>
    <row r="4172">
      <c r="A4172" s="3" t="s">
        <v>13090</v>
      </c>
      <c r="B4172" s="3" t="s">
        <v>811</v>
      </c>
      <c r="C4172" s="3" t="s">
        <v>1095</v>
      </c>
      <c r="D4172" s="3" t="s">
        <v>68</v>
      </c>
      <c r="E4172" s="3" t="s">
        <v>100</v>
      </c>
      <c r="F4172" s="3" t="s">
        <v>741</v>
      </c>
      <c r="G4172" s="7">
        <v>46047.56905341402</v>
      </c>
    </row>
    <row r="4173">
      <c r="A4173" s="3" t="s">
        <v>13093</v>
      </c>
      <c r="B4173" s="3" t="s">
        <v>230</v>
      </c>
      <c r="C4173" s="3" t="s">
        <v>56</v>
      </c>
      <c r="D4173" s="3" t="s">
        <v>68</v>
      </c>
      <c r="E4173" s="3" t="s">
        <v>100</v>
      </c>
      <c r="F4173" s="3" t="s">
        <v>1148</v>
      </c>
      <c r="G4173" s="7">
        <v>46047.640228259435</v>
      </c>
    </row>
    <row r="4174">
      <c r="A4174" s="3" t="s">
        <v>13096</v>
      </c>
      <c r="B4174" s="3" t="s">
        <v>546</v>
      </c>
      <c r="C4174" s="3" t="s">
        <v>56</v>
      </c>
      <c r="D4174" s="3" t="s">
        <v>68</v>
      </c>
      <c r="E4174" s="3" t="s">
        <v>100</v>
      </c>
      <c r="F4174" s="3" t="s">
        <v>1151</v>
      </c>
      <c r="G4174" s="7">
        <v>46047.71140310485</v>
      </c>
    </row>
    <row r="4175">
      <c r="A4175" s="3" t="s">
        <v>13097</v>
      </c>
      <c r="B4175" s="3" t="s">
        <v>395</v>
      </c>
      <c r="C4175" s="3" t="s">
        <v>1095</v>
      </c>
      <c r="D4175" s="3" t="s">
        <v>68</v>
      </c>
      <c r="E4175" s="3" t="s">
        <v>100</v>
      </c>
      <c r="F4175" s="3" t="s">
        <v>1552</v>
      </c>
      <c r="G4175" s="7">
        <v>46047.78257795027</v>
      </c>
    </row>
    <row r="4176">
      <c r="A4176" s="3" t="s">
        <v>13099</v>
      </c>
      <c r="B4176" s="3" t="s">
        <v>579</v>
      </c>
      <c r="C4176" s="3" t="s">
        <v>56</v>
      </c>
      <c r="D4176" s="3" t="s">
        <v>68</v>
      </c>
      <c r="E4176" s="3" t="s">
        <v>100</v>
      </c>
      <c r="F4176" s="3" t="s">
        <v>1153</v>
      </c>
      <c r="G4176" s="7">
        <v>46047.85375279569</v>
      </c>
    </row>
    <row r="4177">
      <c r="A4177" s="3" t="s">
        <v>13102</v>
      </c>
      <c r="B4177" s="3" t="s">
        <v>523</v>
      </c>
      <c r="C4177" s="3" t="s">
        <v>56</v>
      </c>
      <c r="D4177" s="3" t="s">
        <v>68</v>
      </c>
      <c r="E4177" s="3" t="s">
        <v>100</v>
      </c>
      <c r="F4177" s="3" t="s">
        <v>1156</v>
      </c>
      <c r="G4177" s="7">
        <v>46047.92492764109</v>
      </c>
    </row>
    <row r="4178">
      <c r="A4178" s="3" t="s">
        <v>13105</v>
      </c>
      <c r="B4178" s="3" t="s">
        <v>326</v>
      </c>
      <c r="C4178" s="3" t="s">
        <v>56</v>
      </c>
      <c r="D4178" s="3" t="s">
        <v>68</v>
      </c>
      <c r="E4178" s="3" t="s">
        <v>100</v>
      </c>
      <c r="F4178" s="3" t="s">
        <v>1158</v>
      </c>
      <c r="G4178" s="7">
        <v>46047.99610248651</v>
      </c>
    </row>
    <row r="4179">
      <c r="A4179" s="3" t="s">
        <v>13106</v>
      </c>
      <c r="B4179" s="3" t="s">
        <v>793</v>
      </c>
      <c r="C4179" s="3" t="s">
        <v>1095</v>
      </c>
      <c r="D4179" s="3" t="s">
        <v>68</v>
      </c>
      <c r="E4179" s="3" t="s">
        <v>100</v>
      </c>
      <c r="F4179" s="3" t="s">
        <v>797</v>
      </c>
      <c r="G4179" s="7">
        <v>46048.06727733193</v>
      </c>
    </row>
    <row r="4180">
      <c r="A4180" s="3" t="s">
        <v>13109</v>
      </c>
      <c r="B4180" s="3" t="s">
        <v>202</v>
      </c>
      <c r="C4180" s="3" t="s">
        <v>56</v>
      </c>
      <c r="D4180" s="3" t="s">
        <v>68</v>
      </c>
      <c r="E4180" s="3" t="s">
        <v>100</v>
      </c>
      <c r="F4180" s="3" t="s">
        <v>1161</v>
      </c>
      <c r="G4180" s="7">
        <v>46048.13845217734</v>
      </c>
    </row>
    <row r="4181">
      <c r="A4181" s="3" t="s">
        <v>13111</v>
      </c>
      <c r="B4181" s="3" t="s">
        <v>348</v>
      </c>
      <c r="C4181" s="3" t="s">
        <v>56</v>
      </c>
      <c r="D4181" s="3" t="s">
        <v>68</v>
      </c>
      <c r="E4181" s="3" t="s">
        <v>100</v>
      </c>
      <c r="F4181" s="3" t="s">
        <v>1162</v>
      </c>
      <c r="G4181" s="7">
        <v>46048.209627022756</v>
      </c>
    </row>
    <row r="4182">
      <c r="A4182" s="3" t="s">
        <v>13113</v>
      </c>
      <c r="B4182" s="3" t="s">
        <v>929</v>
      </c>
      <c r="C4182" s="3" t="s">
        <v>56</v>
      </c>
      <c r="D4182" s="3" t="s">
        <v>68</v>
      </c>
      <c r="E4182" s="3" t="s">
        <v>100</v>
      </c>
      <c r="F4182" s="3" t="s">
        <v>1168</v>
      </c>
      <c r="G4182" s="7">
        <v>46048.280801868175</v>
      </c>
    </row>
    <row r="4183">
      <c r="A4183" s="3" t="s">
        <v>13116</v>
      </c>
      <c r="B4183" s="3" t="s">
        <v>168</v>
      </c>
      <c r="C4183" s="3" t="s">
        <v>56</v>
      </c>
      <c r="D4183" s="3" t="s">
        <v>68</v>
      </c>
      <c r="E4183" s="3" t="s">
        <v>100</v>
      </c>
      <c r="F4183" s="3" t="s">
        <v>1171</v>
      </c>
      <c r="G4183" s="7">
        <v>46048.35197671359</v>
      </c>
    </row>
    <row r="4184">
      <c r="A4184" s="3" t="s">
        <v>13118</v>
      </c>
      <c r="B4184" s="3" t="s">
        <v>151</v>
      </c>
      <c r="C4184" s="3" t="s">
        <v>1095</v>
      </c>
      <c r="D4184" s="3" t="s">
        <v>68</v>
      </c>
      <c r="E4184" s="3" t="s">
        <v>100</v>
      </c>
      <c r="F4184" s="3" t="s">
        <v>728</v>
      </c>
      <c r="G4184" s="7">
        <v>46048.423151559</v>
      </c>
    </row>
    <row r="4185">
      <c r="A4185" s="3" t="s">
        <v>13120</v>
      </c>
      <c r="B4185" s="3" t="s">
        <v>530</v>
      </c>
      <c r="C4185" s="3" t="s">
        <v>1342</v>
      </c>
      <c r="D4185" s="3" t="s">
        <v>68</v>
      </c>
      <c r="E4185" s="3" t="s">
        <v>100</v>
      </c>
      <c r="F4185" s="3" t="s">
        <v>1988</v>
      </c>
      <c r="G4185" s="7">
        <v>46048.49432640442</v>
      </c>
    </row>
    <row r="4186">
      <c r="A4186" s="3" t="s">
        <v>13123</v>
      </c>
      <c r="B4186" s="3" t="s">
        <v>591</v>
      </c>
      <c r="C4186" s="3" t="s">
        <v>56</v>
      </c>
      <c r="D4186" s="3" t="s">
        <v>68</v>
      </c>
      <c r="E4186" s="3" t="s">
        <v>100</v>
      </c>
      <c r="F4186" s="3" t="s">
        <v>1173</v>
      </c>
      <c r="G4186" s="7">
        <v>46048.56550124983</v>
      </c>
    </row>
    <row r="4187">
      <c r="A4187" s="3" t="s">
        <v>13124</v>
      </c>
      <c r="B4187" s="3" t="s">
        <v>302</v>
      </c>
      <c r="C4187" s="3" t="s">
        <v>1342</v>
      </c>
      <c r="D4187" s="3" t="s">
        <v>68</v>
      </c>
      <c r="E4187" s="3" t="s">
        <v>100</v>
      </c>
      <c r="F4187" s="3" t="s">
        <v>1491</v>
      </c>
      <c r="G4187" s="7">
        <v>46048.636676095244</v>
      </c>
    </row>
    <row r="4188">
      <c r="A4188" s="3" t="s">
        <v>13126</v>
      </c>
      <c r="B4188" s="3" t="s">
        <v>336</v>
      </c>
      <c r="C4188" s="3" t="s">
        <v>1342</v>
      </c>
      <c r="D4188" s="3" t="s">
        <v>68</v>
      </c>
      <c r="E4188" s="3" t="s">
        <v>100</v>
      </c>
      <c r="F4188" s="3" t="s">
        <v>1000</v>
      </c>
      <c r="G4188" s="7">
        <v>46048.707850940664</v>
      </c>
    </row>
    <row r="4189">
      <c r="A4189" s="3" t="s">
        <v>13129</v>
      </c>
      <c r="B4189" s="3" t="s">
        <v>493</v>
      </c>
      <c r="C4189" s="3" t="s">
        <v>1342</v>
      </c>
      <c r="D4189" s="3" t="s">
        <v>68</v>
      </c>
      <c r="E4189" s="3" t="s">
        <v>100</v>
      </c>
      <c r="F4189" s="3" t="s">
        <v>1593</v>
      </c>
      <c r="G4189" s="7">
        <v>46048.77902578608</v>
      </c>
    </row>
    <row r="4190">
      <c r="A4190" s="3" t="s">
        <v>13132</v>
      </c>
      <c r="B4190" s="3" t="s">
        <v>713</v>
      </c>
      <c r="C4190" s="3" t="s">
        <v>56</v>
      </c>
      <c r="D4190" s="3" t="s">
        <v>68</v>
      </c>
      <c r="E4190" s="3" t="s">
        <v>100</v>
      </c>
      <c r="F4190" s="3" t="s">
        <v>1177</v>
      </c>
      <c r="G4190" s="7">
        <v>46048.850200631496</v>
      </c>
    </row>
    <row r="4191">
      <c r="A4191" s="3" t="s">
        <v>13134</v>
      </c>
      <c r="B4191" s="3" t="s">
        <v>976</v>
      </c>
      <c r="C4191" s="3" t="s">
        <v>1342</v>
      </c>
      <c r="D4191" s="3" t="s">
        <v>181</v>
      </c>
      <c r="E4191" s="3" t="s">
        <v>45</v>
      </c>
      <c r="F4191" s="3" t="s">
        <v>1103</v>
      </c>
      <c r="G4191" s="7">
        <v>46048.92137547691</v>
      </c>
    </row>
    <row r="4192">
      <c r="A4192" s="3" t="s">
        <v>13136</v>
      </c>
      <c r="B4192" s="3" t="s">
        <v>197</v>
      </c>
      <c r="C4192" s="3" t="s">
        <v>1342</v>
      </c>
      <c r="D4192" s="3" t="s">
        <v>181</v>
      </c>
      <c r="E4192" s="3" t="s">
        <v>45</v>
      </c>
      <c r="F4192" s="3" t="s">
        <v>2064</v>
      </c>
      <c r="G4192" s="7">
        <v>46048.99255032233</v>
      </c>
    </row>
    <row r="4193">
      <c r="A4193" s="3" t="s">
        <v>13139</v>
      </c>
      <c r="B4193" s="3" t="s">
        <v>462</v>
      </c>
      <c r="C4193" s="3" t="s">
        <v>56</v>
      </c>
      <c r="D4193" s="3" t="s">
        <v>68</v>
      </c>
      <c r="E4193" s="3" t="s">
        <v>100</v>
      </c>
      <c r="F4193" s="3" t="s">
        <v>1179</v>
      </c>
      <c r="G4193" s="7">
        <v>46049.06372516774</v>
      </c>
    </row>
    <row r="4194">
      <c r="A4194" s="3" t="s">
        <v>13141</v>
      </c>
      <c r="B4194" s="3" t="s">
        <v>906</v>
      </c>
      <c r="C4194" s="3" t="s">
        <v>1342</v>
      </c>
      <c r="D4194" s="3" t="s">
        <v>68</v>
      </c>
      <c r="E4194" s="3" t="s">
        <v>100</v>
      </c>
      <c r="F4194" s="3" t="s">
        <v>1901</v>
      </c>
      <c r="G4194" s="7">
        <v>46049.13490001315</v>
      </c>
    </row>
    <row r="4195">
      <c r="A4195" s="3" t="s">
        <v>13143</v>
      </c>
      <c r="B4195" s="3" t="s">
        <v>521</v>
      </c>
      <c r="C4195" s="3" t="s">
        <v>1342</v>
      </c>
      <c r="D4195" s="3" t="s">
        <v>68</v>
      </c>
      <c r="E4195" s="3" t="s">
        <v>100</v>
      </c>
      <c r="F4195" s="3" t="s">
        <v>659</v>
      </c>
      <c r="G4195" s="7">
        <v>46049.20607485857</v>
      </c>
    </row>
    <row r="4196">
      <c r="A4196" s="3" t="s">
        <v>13146</v>
      </c>
      <c r="B4196" s="3" t="s">
        <v>226</v>
      </c>
      <c r="C4196" s="3" t="s">
        <v>1342</v>
      </c>
      <c r="D4196" s="3" t="s">
        <v>68</v>
      </c>
      <c r="E4196" s="3" t="s">
        <v>100</v>
      </c>
      <c r="F4196" s="3" t="s">
        <v>1975</v>
      </c>
      <c r="G4196" s="7">
        <v>46049.277249703984</v>
      </c>
    </row>
    <row r="4197">
      <c r="A4197" s="3" t="s">
        <v>13149</v>
      </c>
      <c r="B4197" s="3" t="s">
        <v>886</v>
      </c>
      <c r="C4197" s="3" t="s">
        <v>1095</v>
      </c>
      <c r="D4197" s="3" t="s">
        <v>68</v>
      </c>
      <c r="E4197" s="3" t="s">
        <v>100</v>
      </c>
      <c r="F4197" s="3" t="s">
        <v>1863</v>
      </c>
      <c r="G4197" s="7">
        <v>46049.3484245494</v>
      </c>
    </row>
    <row r="4198">
      <c r="A4198" s="3" t="s">
        <v>13150</v>
      </c>
      <c r="B4198" s="3" t="s">
        <v>436</v>
      </c>
      <c r="C4198" s="3" t="s">
        <v>1342</v>
      </c>
      <c r="D4198" s="3" t="s">
        <v>68</v>
      </c>
      <c r="E4198" s="3" t="s">
        <v>100</v>
      </c>
      <c r="F4198" s="3" t="s">
        <v>1138</v>
      </c>
      <c r="G4198" s="7">
        <v>46049.419599394816</v>
      </c>
    </row>
    <row r="4199">
      <c r="A4199" s="3" t="s">
        <v>13152</v>
      </c>
      <c r="B4199" s="3" t="s">
        <v>903</v>
      </c>
      <c r="C4199" s="3" t="s">
        <v>1095</v>
      </c>
      <c r="D4199" s="3" t="s">
        <v>68</v>
      </c>
      <c r="E4199" s="3" t="s">
        <v>100</v>
      </c>
      <c r="F4199" s="3" t="s">
        <v>1720</v>
      </c>
      <c r="G4199" s="7">
        <v>46049.49077424023</v>
      </c>
    </row>
    <row r="4200">
      <c r="A4200" s="3" t="s">
        <v>13154</v>
      </c>
      <c r="B4200" s="3" t="s">
        <v>411</v>
      </c>
      <c r="C4200" s="3" t="s">
        <v>56</v>
      </c>
      <c r="D4200" s="3" t="s">
        <v>68</v>
      </c>
      <c r="E4200" s="3" t="s">
        <v>100</v>
      </c>
      <c r="F4200" s="3" t="s">
        <v>1185</v>
      </c>
      <c r="G4200" s="7">
        <v>46049.56194908564</v>
      </c>
    </row>
    <row r="4201">
      <c r="A4201" s="3" t="s">
        <v>13156</v>
      </c>
      <c r="B4201" s="3" t="s">
        <v>658</v>
      </c>
      <c r="C4201" s="3" t="s">
        <v>56</v>
      </c>
      <c r="D4201" s="3" t="s">
        <v>68</v>
      </c>
      <c r="E4201" s="3" t="s">
        <v>100</v>
      </c>
      <c r="F4201" s="3" t="s">
        <v>1190</v>
      </c>
      <c r="G4201" s="7">
        <v>46049.63312393106</v>
      </c>
    </row>
    <row r="4202">
      <c r="A4202" s="3" t="s">
        <v>13158</v>
      </c>
      <c r="B4202" s="3" t="s">
        <v>939</v>
      </c>
      <c r="C4202" s="3" t="s">
        <v>56</v>
      </c>
      <c r="D4202" s="3" t="s">
        <v>68</v>
      </c>
      <c r="E4202" s="3" t="s">
        <v>100</v>
      </c>
      <c r="F4202" s="3" t="s">
        <v>1193</v>
      </c>
      <c r="G4202" s="7">
        <v>46049.70429877648</v>
      </c>
    </row>
    <row r="4203">
      <c r="A4203" s="3" t="s">
        <v>13160</v>
      </c>
      <c r="B4203" s="3" t="s">
        <v>515</v>
      </c>
      <c r="C4203" s="3" t="s">
        <v>1095</v>
      </c>
      <c r="D4203" s="3" t="s">
        <v>68</v>
      </c>
      <c r="E4203" s="3" t="s">
        <v>100</v>
      </c>
      <c r="F4203" s="3" t="s">
        <v>1963</v>
      </c>
      <c r="G4203" s="7">
        <v>46049.775473621885</v>
      </c>
    </row>
    <row r="4204">
      <c r="A4204" s="3" t="s">
        <v>13162</v>
      </c>
      <c r="B4204" s="3" t="s">
        <v>895</v>
      </c>
      <c r="C4204" s="3" t="s">
        <v>1342</v>
      </c>
      <c r="D4204" s="3" t="s">
        <v>68</v>
      </c>
      <c r="E4204" s="3" t="s">
        <v>100</v>
      </c>
      <c r="F4204" s="3" t="s">
        <v>784</v>
      </c>
      <c r="G4204" s="7">
        <v>46049.846648467304</v>
      </c>
    </row>
    <row r="4205">
      <c r="A4205" s="3" t="s">
        <v>13165</v>
      </c>
      <c r="B4205" s="3" t="s">
        <v>980</v>
      </c>
      <c r="C4205" s="3" t="s">
        <v>56</v>
      </c>
      <c r="D4205" s="3" t="s">
        <v>195</v>
      </c>
      <c r="E4205" s="3" t="s">
        <v>45</v>
      </c>
      <c r="F4205" s="3" t="s">
        <v>45</v>
      </c>
      <c r="G4205" s="7">
        <v>46049.917823312724</v>
      </c>
    </row>
    <row r="4206">
      <c r="A4206" s="3" t="s">
        <v>13167</v>
      </c>
      <c r="B4206" s="3" t="s">
        <v>211</v>
      </c>
      <c r="C4206" s="3" t="s">
        <v>1342</v>
      </c>
      <c r="D4206" s="3" t="s">
        <v>68</v>
      </c>
      <c r="E4206" s="3" t="s">
        <v>100</v>
      </c>
      <c r="F4206" s="3" t="s">
        <v>1039</v>
      </c>
      <c r="G4206" s="7">
        <v>46049.98899815814</v>
      </c>
    </row>
    <row r="4207">
      <c r="A4207" s="3" t="s">
        <v>13169</v>
      </c>
      <c r="B4207" s="3" t="s">
        <v>1021</v>
      </c>
      <c r="C4207" s="3" t="s">
        <v>1342</v>
      </c>
      <c r="D4207" s="3" t="s">
        <v>68</v>
      </c>
      <c r="E4207" s="3" t="s">
        <v>100</v>
      </c>
      <c r="F4207" s="3" t="s">
        <v>1671</v>
      </c>
      <c r="G4207" s="7">
        <v>46050.06017300355</v>
      </c>
    </row>
    <row r="4208">
      <c r="A4208" s="3" t="s">
        <v>13172</v>
      </c>
      <c r="B4208" s="3" t="s">
        <v>541</v>
      </c>
      <c r="C4208" s="3" t="s">
        <v>56</v>
      </c>
      <c r="D4208" s="3" t="s">
        <v>195</v>
      </c>
      <c r="E4208" s="3" t="s">
        <v>45</v>
      </c>
      <c r="F4208" s="3" t="s">
        <v>45</v>
      </c>
      <c r="G4208" s="7">
        <v>46050.13134784897</v>
      </c>
    </row>
    <row r="4209">
      <c r="A4209" s="3" t="s">
        <v>13173</v>
      </c>
      <c r="B4209" s="3" t="s">
        <v>352</v>
      </c>
      <c r="C4209" s="3" t="s">
        <v>1342</v>
      </c>
      <c r="D4209" s="3" t="s">
        <v>68</v>
      </c>
      <c r="E4209" s="3" t="s">
        <v>100</v>
      </c>
      <c r="F4209" s="3" t="s">
        <v>810</v>
      </c>
      <c r="G4209" s="7">
        <v>46050.20252269438</v>
      </c>
    </row>
    <row r="4210">
      <c r="A4210" s="3" t="s">
        <v>13175</v>
      </c>
      <c r="B4210" s="3" t="s">
        <v>414</v>
      </c>
      <c r="C4210" s="3" t="s">
        <v>1342</v>
      </c>
      <c r="D4210" s="3" t="s">
        <v>68</v>
      </c>
      <c r="E4210" s="3" t="s">
        <v>100</v>
      </c>
      <c r="F4210" s="3" t="s">
        <v>504</v>
      </c>
      <c r="G4210" s="7">
        <v>46050.27369753979</v>
      </c>
    </row>
    <row r="4211">
      <c r="A4211" s="3" t="s">
        <v>13177</v>
      </c>
      <c r="B4211" s="3" t="s">
        <v>148</v>
      </c>
      <c r="C4211" s="3" t="s">
        <v>1095</v>
      </c>
      <c r="D4211" s="3" t="s">
        <v>68</v>
      </c>
      <c r="E4211" s="3" t="s">
        <v>100</v>
      </c>
      <c r="F4211" s="3" t="s">
        <v>1099</v>
      </c>
      <c r="G4211" s="7">
        <v>46050.34487238521</v>
      </c>
    </row>
    <row r="4212">
      <c r="A4212" s="3" t="s">
        <v>13178</v>
      </c>
      <c r="B4212" s="3" t="s">
        <v>993</v>
      </c>
      <c r="C4212" s="3" t="s">
        <v>1095</v>
      </c>
      <c r="D4212" s="3" t="s">
        <v>68</v>
      </c>
      <c r="E4212" s="3" t="s">
        <v>100</v>
      </c>
      <c r="F4212" s="3" t="s">
        <v>490</v>
      </c>
      <c r="G4212" s="7">
        <v>46050.416047230625</v>
      </c>
    </row>
    <row r="4213">
      <c r="A4213" s="3" t="s">
        <v>13180</v>
      </c>
      <c r="B4213" s="3" t="s">
        <v>414</v>
      </c>
      <c r="C4213" s="3" t="s">
        <v>1095</v>
      </c>
      <c r="D4213" s="3" t="s">
        <v>68</v>
      </c>
      <c r="E4213" s="3" t="s">
        <v>100</v>
      </c>
      <c r="F4213" s="3" t="s">
        <v>504</v>
      </c>
      <c r="G4213" s="7">
        <v>46050.48722207604</v>
      </c>
    </row>
    <row r="4214">
      <c r="A4214" s="3" t="s">
        <v>13182</v>
      </c>
      <c r="B4214" s="3" t="s">
        <v>1040</v>
      </c>
      <c r="C4214" s="3" t="s">
        <v>56</v>
      </c>
      <c r="D4214" s="3" t="s">
        <v>68</v>
      </c>
      <c r="E4214" s="3" t="s">
        <v>100</v>
      </c>
      <c r="F4214" s="3" t="s">
        <v>1198</v>
      </c>
      <c r="G4214" s="7">
        <v>46050.55839692146</v>
      </c>
    </row>
    <row r="4215">
      <c r="A4215" s="3" t="s">
        <v>13183</v>
      </c>
      <c r="B4215" s="3" t="s">
        <v>299</v>
      </c>
      <c r="C4215" s="3" t="s">
        <v>1342</v>
      </c>
      <c r="D4215" s="3" t="s">
        <v>181</v>
      </c>
      <c r="E4215" s="3" t="s">
        <v>45</v>
      </c>
      <c r="F4215" s="3" t="s">
        <v>1985</v>
      </c>
      <c r="G4215" s="7">
        <v>46050.62957176687</v>
      </c>
    </row>
    <row r="4216">
      <c r="A4216" s="3" t="s">
        <v>13185</v>
      </c>
      <c r="B4216" s="3" t="s">
        <v>527</v>
      </c>
      <c r="C4216" s="3" t="s">
        <v>1095</v>
      </c>
      <c r="D4216" s="3" t="s">
        <v>68</v>
      </c>
      <c r="E4216" s="3" t="s">
        <v>100</v>
      </c>
      <c r="F4216" s="3" t="s">
        <v>1820</v>
      </c>
      <c r="G4216" s="7">
        <v>46050.70074661228</v>
      </c>
    </row>
    <row r="4217">
      <c r="A4217" s="3" t="s">
        <v>13188</v>
      </c>
      <c r="B4217" s="3" t="s">
        <v>250</v>
      </c>
      <c r="C4217" s="3" t="s">
        <v>1342</v>
      </c>
      <c r="D4217" s="3" t="s">
        <v>68</v>
      </c>
      <c r="E4217" s="3" t="s">
        <v>100</v>
      </c>
      <c r="F4217" s="3" t="s">
        <v>2113</v>
      </c>
      <c r="G4217" s="7">
        <v>46050.7719214577</v>
      </c>
    </row>
    <row r="4218">
      <c r="A4218" s="3" t="s">
        <v>13190</v>
      </c>
      <c r="B4218" s="3" t="s">
        <v>953</v>
      </c>
      <c r="C4218" s="3" t="s">
        <v>1342</v>
      </c>
      <c r="D4218" s="3" t="s">
        <v>68</v>
      </c>
      <c r="E4218" s="3" t="s">
        <v>100</v>
      </c>
      <c r="F4218" s="3" t="s">
        <v>1083</v>
      </c>
      <c r="G4218" s="7">
        <v>46050.84309630312</v>
      </c>
    </row>
    <row r="4219">
      <c r="A4219" s="3" t="s">
        <v>13192</v>
      </c>
      <c r="B4219" s="3" t="s">
        <v>322</v>
      </c>
      <c r="C4219" s="3" t="s">
        <v>1095</v>
      </c>
      <c r="D4219" s="3" t="s">
        <v>68</v>
      </c>
      <c r="E4219" s="3" t="s">
        <v>100</v>
      </c>
      <c r="F4219" s="3" t="s">
        <v>959</v>
      </c>
      <c r="G4219" s="7">
        <v>46050.914271148526</v>
      </c>
    </row>
    <row r="4220">
      <c r="A4220" s="3" t="s">
        <v>13195</v>
      </c>
      <c r="B4220" s="3" t="s">
        <v>629</v>
      </c>
      <c r="C4220" s="3" t="s">
        <v>1095</v>
      </c>
      <c r="D4220" s="3" t="s">
        <v>68</v>
      </c>
      <c r="E4220" s="3" t="s">
        <v>100</v>
      </c>
      <c r="F4220" s="3" t="s">
        <v>1598</v>
      </c>
      <c r="G4220" s="7">
        <v>46050.985445993945</v>
      </c>
    </row>
    <row r="4221">
      <c r="A4221" s="3" t="s">
        <v>13196</v>
      </c>
      <c r="B4221" s="3" t="s">
        <v>380</v>
      </c>
      <c r="C4221" s="3" t="s">
        <v>1342</v>
      </c>
      <c r="D4221" s="3" t="s">
        <v>68</v>
      </c>
      <c r="E4221" s="3" t="s">
        <v>100</v>
      </c>
      <c r="F4221" s="3" t="s">
        <v>1140</v>
      </c>
      <c r="G4221" s="7">
        <v>46051.056620839365</v>
      </c>
    </row>
    <row r="4222">
      <c r="A4222" s="3" t="s">
        <v>13199</v>
      </c>
      <c r="B4222" s="3" t="s">
        <v>183</v>
      </c>
      <c r="C4222" s="3" t="s">
        <v>56</v>
      </c>
      <c r="D4222" s="3" t="s">
        <v>68</v>
      </c>
      <c r="E4222" s="3" t="s">
        <v>100</v>
      </c>
      <c r="F4222" s="3" t="s">
        <v>1201</v>
      </c>
      <c r="G4222" s="7">
        <v>46051.12779568478</v>
      </c>
    </row>
    <row r="4223">
      <c r="A4223" s="3" t="s">
        <v>13202</v>
      </c>
      <c r="B4223" s="3" t="s">
        <v>269</v>
      </c>
      <c r="C4223" s="3" t="s">
        <v>1095</v>
      </c>
      <c r="D4223" s="3" t="s">
        <v>68</v>
      </c>
      <c r="E4223" s="3" t="s">
        <v>100</v>
      </c>
      <c r="F4223" s="3" t="s">
        <v>1063</v>
      </c>
      <c r="G4223" s="7">
        <v>46051.19897053019</v>
      </c>
    </row>
    <row r="4224">
      <c r="A4224" s="3" t="s">
        <v>13203</v>
      </c>
      <c r="B4224" s="3" t="s">
        <v>468</v>
      </c>
      <c r="C4224" s="3" t="s">
        <v>56</v>
      </c>
      <c r="D4224" s="3" t="s">
        <v>68</v>
      </c>
      <c r="E4224" s="3" t="s">
        <v>100</v>
      </c>
      <c r="F4224" s="3" t="s">
        <v>1204</v>
      </c>
      <c r="G4224" s="7">
        <v>46051.27014537561</v>
      </c>
    </row>
    <row r="4225">
      <c r="A4225" s="3" t="s">
        <v>13205</v>
      </c>
      <c r="B4225" s="3" t="s">
        <v>819</v>
      </c>
      <c r="C4225" s="3" t="s">
        <v>56</v>
      </c>
      <c r="D4225" s="3" t="s">
        <v>68</v>
      </c>
      <c r="E4225" s="3" t="s">
        <v>100</v>
      </c>
      <c r="F4225" s="3" t="s">
        <v>1206</v>
      </c>
      <c r="G4225" s="7">
        <v>46051.34132022102</v>
      </c>
    </row>
    <row r="4226">
      <c r="A4226" s="3" t="s">
        <v>13207</v>
      </c>
      <c r="B4226" s="3" t="s">
        <v>453</v>
      </c>
      <c r="C4226" s="3" t="s">
        <v>1095</v>
      </c>
      <c r="D4226" s="3" t="s">
        <v>68</v>
      </c>
      <c r="E4226" s="3" t="s">
        <v>100</v>
      </c>
      <c r="F4226" s="3" t="s">
        <v>738</v>
      </c>
      <c r="G4226" s="7">
        <v>46051.41249506643</v>
      </c>
    </row>
    <row r="4227">
      <c r="A4227" s="3" t="s">
        <v>13209</v>
      </c>
      <c r="B4227" s="3" t="s">
        <v>398</v>
      </c>
      <c r="C4227" s="3" t="s">
        <v>1342</v>
      </c>
      <c r="D4227" s="3" t="s">
        <v>68</v>
      </c>
      <c r="E4227" s="3" t="s">
        <v>100</v>
      </c>
      <c r="F4227" s="3" t="s">
        <v>846</v>
      </c>
      <c r="G4227" s="7">
        <v>46051.48366991185</v>
      </c>
    </row>
    <row r="4228">
      <c r="A4228" s="3" t="s">
        <v>13212</v>
      </c>
      <c r="B4228" s="3" t="s">
        <v>404</v>
      </c>
      <c r="C4228" s="3" t="s">
        <v>1342</v>
      </c>
      <c r="D4228" s="3" t="s">
        <v>68</v>
      </c>
      <c r="E4228" s="3" t="s">
        <v>100</v>
      </c>
      <c r="F4228" s="3" t="s">
        <v>1081</v>
      </c>
      <c r="G4228" s="7">
        <v>46051.554844757266</v>
      </c>
    </row>
    <row r="4229">
      <c r="A4229" s="3" t="s">
        <v>13213</v>
      </c>
      <c r="B4229" s="3" t="s">
        <v>424</v>
      </c>
      <c r="C4229" s="3" t="s">
        <v>1342</v>
      </c>
      <c r="D4229" s="3" t="s">
        <v>68</v>
      </c>
      <c r="E4229" s="3" t="s">
        <v>100</v>
      </c>
      <c r="F4229" s="3" t="s">
        <v>1133</v>
      </c>
      <c r="G4229" s="7">
        <v>46051.62601960268</v>
      </c>
    </row>
    <row r="4230">
      <c r="A4230" s="3" t="s">
        <v>13216</v>
      </c>
      <c r="B4230" s="3" t="s">
        <v>886</v>
      </c>
      <c r="C4230" s="3" t="s">
        <v>56</v>
      </c>
      <c r="D4230" s="3" t="s">
        <v>68</v>
      </c>
      <c r="E4230" s="3" t="s">
        <v>100</v>
      </c>
      <c r="F4230" s="3" t="s">
        <v>1211</v>
      </c>
      <c r="G4230" s="7">
        <v>46051.6971944481</v>
      </c>
    </row>
    <row r="4231">
      <c r="A4231" s="3" t="s">
        <v>13218</v>
      </c>
      <c r="B4231" s="3" t="s">
        <v>175</v>
      </c>
      <c r="C4231" s="3" t="s">
        <v>1342</v>
      </c>
      <c r="D4231" s="3" t="s">
        <v>68</v>
      </c>
      <c r="E4231" s="3" t="s">
        <v>100</v>
      </c>
      <c r="F4231" s="3" t="s">
        <v>1127</v>
      </c>
      <c r="G4231" s="7">
        <v>46051.76836929352</v>
      </c>
    </row>
    <row r="4232">
      <c r="A4232" s="3" t="s">
        <v>13220</v>
      </c>
      <c r="B4232" s="3" t="s">
        <v>363</v>
      </c>
      <c r="C4232" s="3" t="s">
        <v>1342</v>
      </c>
      <c r="D4232" s="3" t="s">
        <v>68</v>
      </c>
      <c r="E4232" s="3" t="s">
        <v>100</v>
      </c>
      <c r="F4232" s="3" t="s">
        <v>583</v>
      </c>
      <c r="G4232" s="7">
        <v>46051.83954413892</v>
      </c>
    </row>
    <row r="4233">
      <c r="A4233" s="3" t="s">
        <v>13223</v>
      </c>
      <c r="B4233" s="3" t="s">
        <v>581</v>
      </c>
      <c r="C4233" s="3" t="s">
        <v>56</v>
      </c>
      <c r="D4233" s="3" t="s">
        <v>68</v>
      </c>
      <c r="E4233" s="3" t="s">
        <v>100</v>
      </c>
      <c r="F4233" s="3" t="s">
        <v>1218</v>
      </c>
      <c r="G4233" s="7">
        <v>46051.91071898434</v>
      </c>
    </row>
    <row r="4234">
      <c r="A4234" s="3" t="s">
        <v>13226</v>
      </c>
      <c r="B4234" s="3" t="s">
        <v>886</v>
      </c>
      <c r="C4234" s="3" t="s">
        <v>1342</v>
      </c>
      <c r="D4234" s="3" t="s">
        <v>68</v>
      </c>
      <c r="E4234" s="3" t="s">
        <v>100</v>
      </c>
      <c r="F4234" s="3" t="s">
        <v>1211</v>
      </c>
      <c r="G4234" s="7">
        <v>46051.98189382976</v>
      </c>
    </row>
    <row r="4235">
      <c r="A4235" s="3" t="s">
        <v>13228</v>
      </c>
      <c r="B4235" s="3" t="s">
        <v>961</v>
      </c>
      <c r="C4235" s="3" t="s">
        <v>1095</v>
      </c>
      <c r="D4235" s="3" t="s">
        <v>68</v>
      </c>
      <c r="E4235" s="3" t="s">
        <v>100</v>
      </c>
      <c r="F4235" s="3" t="s">
        <v>1621</v>
      </c>
      <c r="G4235" s="7">
        <v>46052.05306867517</v>
      </c>
    </row>
    <row r="4236">
      <c r="A4236" s="3" t="s">
        <v>13230</v>
      </c>
      <c r="B4236" s="3" t="s">
        <v>253</v>
      </c>
      <c r="C4236" s="3" t="s">
        <v>1342</v>
      </c>
      <c r="D4236" s="3" t="s">
        <v>68</v>
      </c>
      <c r="E4236" s="3" t="s">
        <v>100</v>
      </c>
      <c r="F4236" s="3" t="s">
        <v>611</v>
      </c>
      <c r="G4236" s="7">
        <v>46052.124243520586</v>
      </c>
    </row>
    <row r="4237">
      <c r="A4237" s="3" t="s">
        <v>13232</v>
      </c>
      <c r="B4237" s="3" t="s">
        <v>168</v>
      </c>
      <c r="C4237" s="3" t="s">
        <v>1095</v>
      </c>
      <c r="D4237" s="3" t="s">
        <v>68</v>
      </c>
      <c r="E4237" s="3" t="s">
        <v>100</v>
      </c>
      <c r="F4237" s="3" t="s">
        <v>1171</v>
      </c>
      <c r="G4237" s="7">
        <v>46052.195418366005</v>
      </c>
    </row>
    <row r="4238">
      <c r="A4238" s="3" t="s">
        <v>13234</v>
      </c>
      <c r="B4238" s="3" t="s">
        <v>569</v>
      </c>
      <c r="C4238" s="3" t="s">
        <v>56</v>
      </c>
      <c r="D4238" s="3" t="s">
        <v>68</v>
      </c>
      <c r="E4238" s="3" t="s">
        <v>100</v>
      </c>
      <c r="F4238" s="3" t="s">
        <v>1226</v>
      </c>
      <c r="G4238" s="7">
        <v>46052.26659321142</v>
      </c>
    </row>
    <row r="4239">
      <c r="A4239" s="3" t="s">
        <v>13236</v>
      </c>
      <c r="B4239" s="3" t="s">
        <v>911</v>
      </c>
      <c r="C4239" s="3" t="s">
        <v>1342</v>
      </c>
      <c r="D4239" s="3" t="s">
        <v>68</v>
      </c>
      <c r="E4239" s="3" t="s">
        <v>100</v>
      </c>
      <c r="F4239" s="3" t="s">
        <v>1961</v>
      </c>
      <c r="G4239" s="7">
        <v>46052.33776805683</v>
      </c>
    </row>
    <row r="4240">
      <c r="A4240" s="3" t="s">
        <v>13239</v>
      </c>
      <c r="B4240" s="3" t="s">
        <v>541</v>
      </c>
      <c r="C4240" s="3" t="s">
        <v>56</v>
      </c>
      <c r="D4240" s="3" t="s">
        <v>181</v>
      </c>
      <c r="E4240" s="3" t="s">
        <v>45</v>
      </c>
      <c r="F4240" s="3" t="s">
        <v>45</v>
      </c>
      <c r="G4240" s="7">
        <v>46052.40894290225</v>
      </c>
    </row>
    <row r="4241">
      <c r="A4241" s="3" t="s">
        <v>13242</v>
      </c>
      <c r="B4241" s="3" t="s">
        <v>742</v>
      </c>
      <c r="C4241" s="3" t="s">
        <v>56</v>
      </c>
      <c r="D4241" s="3" t="s">
        <v>68</v>
      </c>
      <c r="E4241" s="3" t="s">
        <v>100</v>
      </c>
      <c r="F4241" s="3" t="s">
        <v>1228</v>
      </c>
      <c r="G4241" s="7">
        <v>46052.48011774766</v>
      </c>
    </row>
    <row r="4242">
      <c r="A4242" s="3" t="s">
        <v>13243</v>
      </c>
      <c r="B4242" s="3" t="s">
        <v>388</v>
      </c>
      <c r="C4242" s="3" t="s">
        <v>56</v>
      </c>
      <c r="D4242" s="3" t="s">
        <v>68</v>
      </c>
      <c r="E4242" s="3" t="s">
        <v>100</v>
      </c>
      <c r="F4242" s="3" t="s">
        <v>1232</v>
      </c>
      <c r="G4242" s="7">
        <v>46052.551292593074</v>
      </c>
    </row>
    <row r="4243">
      <c r="A4243" s="3" t="s">
        <v>13245</v>
      </c>
      <c r="B4243" s="3" t="s">
        <v>424</v>
      </c>
      <c r="C4243" s="3" t="s">
        <v>1095</v>
      </c>
      <c r="D4243" s="3" t="s">
        <v>68</v>
      </c>
      <c r="E4243" s="3" t="s">
        <v>100</v>
      </c>
      <c r="F4243" s="3" t="s">
        <v>1133</v>
      </c>
      <c r="G4243" s="7">
        <v>46052.622467438494</v>
      </c>
    </row>
    <row r="4244">
      <c r="A4244" s="3" t="s">
        <v>13247</v>
      </c>
      <c r="B4244" s="3" t="s">
        <v>400</v>
      </c>
      <c r="C4244" s="3" t="s">
        <v>56</v>
      </c>
      <c r="D4244" s="3" t="s">
        <v>181</v>
      </c>
      <c r="E4244" s="3" t="s">
        <v>45</v>
      </c>
      <c r="F4244" s="3" t="s">
        <v>45</v>
      </c>
      <c r="G4244" s="7">
        <v>46052.693642283906</v>
      </c>
    </row>
    <row r="4245">
      <c r="A4245" s="3" t="s">
        <v>13248</v>
      </c>
      <c r="B4245" s="3" t="s">
        <v>838</v>
      </c>
      <c r="C4245" s="3" t="s">
        <v>1095</v>
      </c>
      <c r="D4245" s="3" t="s">
        <v>68</v>
      </c>
      <c r="E4245" s="3" t="s">
        <v>100</v>
      </c>
      <c r="F4245" s="3" t="s">
        <v>1992</v>
      </c>
      <c r="G4245" s="7">
        <v>46052.76481712932</v>
      </c>
    </row>
    <row r="4246">
      <c r="A4246" s="3" t="s">
        <v>13250</v>
      </c>
      <c r="B4246" s="3" t="s">
        <v>233</v>
      </c>
      <c r="C4246" s="3" t="s">
        <v>1342</v>
      </c>
      <c r="D4246" s="3" t="s">
        <v>68</v>
      </c>
      <c r="E4246" s="3" t="s">
        <v>100</v>
      </c>
      <c r="F4246" s="3" t="s">
        <v>1606</v>
      </c>
      <c r="G4246" s="7">
        <v>46052.83599197474</v>
      </c>
    </row>
    <row r="4247">
      <c r="A4247" s="3" t="s">
        <v>13252</v>
      </c>
      <c r="B4247" s="3" t="s">
        <v>226</v>
      </c>
      <c r="C4247" s="3" t="s">
        <v>1095</v>
      </c>
      <c r="D4247" s="3" t="s">
        <v>68</v>
      </c>
      <c r="E4247" s="3" t="s">
        <v>100</v>
      </c>
      <c r="F4247" s="3" t="s">
        <v>1975</v>
      </c>
      <c r="G4247" s="7">
        <v>46052.90716682016</v>
      </c>
    </row>
    <row r="4248">
      <c r="A4248" s="3" t="s">
        <v>13254</v>
      </c>
      <c r="B4248" s="3" t="s">
        <v>841</v>
      </c>
      <c r="C4248" s="3" t="s">
        <v>1095</v>
      </c>
      <c r="D4248" s="3" t="s">
        <v>68</v>
      </c>
      <c r="E4248" s="3" t="s">
        <v>100</v>
      </c>
      <c r="F4248" s="3" t="s">
        <v>1712</v>
      </c>
      <c r="G4248" s="7">
        <v>46052.97834166556</v>
      </c>
    </row>
    <row r="4249">
      <c r="A4249" s="3" t="s">
        <v>13255</v>
      </c>
      <c r="B4249" s="3" t="s">
        <v>239</v>
      </c>
      <c r="C4249" s="3" t="s">
        <v>1095</v>
      </c>
      <c r="D4249" s="3" t="s">
        <v>68</v>
      </c>
      <c r="E4249" s="3" t="s">
        <v>100</v>
      </c>
      <c r="F4249" s="3" t="s">
        <v>1182</v>
      </c>
      <c r="G4249" s="7">
        <v>46053.04951651098</v>
      </c>
    </row>
    <row r="4250">
      <c r="A4250" s="3" t="s">
        <v>13257</v>
      </c>
      <c r="B4250" s="3" t="s">
        <v>156</v>
      </c>
      <c r="C4250" s="3" t="s">
        <v>1095</v>
      </c>
      <c r="D4250" s="3" t="s">
        <v>68</v>
      </c>
      <c r="E4250" s="3" t="s">
        <v>100</v>
      </c>
      <c r="F4250" s="3" t="s">
        <v>673</v>
      </c>
      <c r="G4250" s="7">
        <v>46053.1206913564</v>
      </c>
    </row>
    <row r="4251">
      <c r="A4251" s="3" t="s">
        <v>13259</v>
      </c>
      <c r="B4251" s="3" t="s">
        <v>658</v>
      </c>
      <c r="C4251" s="3" t="s">
        <v>1095</v>
      </c>
      <c r="D4251" s="3" t="s">
        <v>68</v>
      </c>
      <c r="E4251" s="3" t="s">
        <v>100</v>
      </c>
      <c r="F4251" s="3" t="s">
        <v>1190</v>
      </c>
      <c r="G4251" s="7">
        <v>46053.191866201814</v>
      </c>
    </row>
    <row r="4252">
      <c r="A4252" s="3" t="s">
        <v>13260</v>
      </c>
      <c r="B4252" s="3" t="s">
        <v>272</v>
      </c>
      <c r="C4252" s="3" t="s">
        <v>1342</v>
      </c>
      <c r="D4252" s="3" t="s">
        <v>68</v>
      </c>
      <c r="E4252" s="3" t="s">
        <v>100</v>
      </c>
      <c r="F4252" s="3" t="s">
        <v>923</v>
      </c>
      <c r="G4252" s="7">
        <v>46053.26304104723</v>
      </c>
    </row>
    <row r="4253">
      <c r="A4253" s="3" t="s">
        <v>13262</v>
      </c>
      <c r="B4253" s="3" t="s">
        <v>678</v>
      </c>
      <c r="C4253" s="3" t="s">
        <v>56</v>
      </c>
      <c r="D4253" s="3" t="s">
        <v>68</v>
      </c>
      <c r="E4253" s="3" t="s">
        <v>100</v>
      </c>
      <c r="F4253" s="3" t="s">
        <v>1234</v>
      </c>
      <c r="G4253" s="7">
        <v>46053.334215892646</v>
      </c>
    </row>
    <row r="4254">
      <c r="A4254" s="3" t="s">
        <v>13265</v>
      </c>
      <c r="B4254" s="3" t="s">
        <v>1043</v>
      </c>
      <c r="C4254" s="3" t="s">
        <v>1342</v>
      </c>
      <c r="D4254" s="3" t="s">
        <v>68</v>
      </c>
      <c r="E4254" s="3" t="s">
        <v>100</v>
      </c>
      <c r="F4254" s="3" t="s">
        <v>971</v>
      </c>
      <c r="G4254" s="7">
        <v>46053.40539073806</v>
      </c>
    </row>
    <row r="4255">
      <c r="A4255" s="3" t="s">
        <v>13267</v>
      </c>
      <c r="B4255" s="3" t="s">
        <v>593</v>
      </c>
      <c r="C4255" s="3" t="s">
        <v>1342</v>
      </c>
      <c r="D4255" s="3" t="s">
        <v>68</v>
      </c>
      <c r="E4255" s="3" t="s">
        <v>100</v>
      </c>
      <c r="F4255" s="3" t="s">
        <v>1135</v>
      </c>
      <c r="G4255" s="7">
        <v>46053.47656558347</v>
      </c>
    </row>
    <row r="4256">
      <c r="A4256" s="3" t="s">
        <v>13269</v>
      </c>
      <c r="B4256" s="3" t="s">
        <v>722</v>
      </c>
      <c r="C4256" s="3" t="s">
        <v>1095</v>
      </c>
      <c r="D4256" s="3" t="s">
        <v>181</v>
      </c>
      <c r="E4256" s="3" t="s">
        <v>45</v>
      </c>
      <c r="F4256" s="3" t="s">
        <v>1029</v>
      </c>
      <c r="G4256" s="7">
        <v>46053.54774042889</v>
      </c>
    </row>
    <row r="4257">
      <c r="A4257" s="3" t="s">
        <v>13272</v>
      </c>
      <c r="B4257" s="3" t="s">
        <v>596</v>
      </c>
      <c r="C4257" s="3" t="s">
        <v>1342</v>
      </c>
      <c r="D4257" s="3" t="s">
        <v>68</v>
      </c>
      <c r="E4257" s="3" t="s">
        <v>100</v>
      </c>
      <c r="F4257" s="3" t="s">
        <v>1143</v>
      </c>
      <c r="G4257" s="7">
        <v>46053.6189152743</v>
      </c>
    </row>
    <row r="4258">
      <c r="A4258" s="3" t="s">
        <v>13275</v>
      </c>
      <c r="B4258" s="3" t="s">
        <v>554</v>
      </c>
      <c r="C4258" s="3" t="s">
        <v>1095</v>
      </c>
      <c r="D4258" s="3" t="s">
        <v>68</v>
      </c>
      <c r="E4258" s="3" t="s">
        <v>100</v>
      </c>
      <c r="F4258" s="3" t="s">
        <v>1434</v>
      </c>
      <c r="G4258" s="7">
        <v>46053.690090119715</v>
      </c>
    </row>
    <row r="4259">
      <c r="A4259" s="3" t="s">
        <v>13276</v>
      </c>
      <c r="B4259" s="3" t="s">
        <v>900</v>
      </c>
      <c r="C4259" s="3" t="s">
        <v>1095</v>
      </c>
      <c r="D4259" s="3" t="s">
        <v>68</v>
      </c>
      <c r="E4259" s="3" t="s">
        <v>100</v>
      </c>
      <c r="F4259" s="3" t="s">
        <v>2105</v>
      </c>
      <c r="G4259" s="7">
        <v>46053.761264965135</v>
      </c>
    </row>
    <row r="4260">
      <c r="A4260" s="3" t="s">
        <v>13278</v>
      </c>
      <c r="B4260" s="3" t="s">
        <v>650</v>
      </c>
      <c r="C4260" s="3" t="s">
        <v>1342</v>
      </c>
      <c r="D4260" s="3" t="s">
        <v>68</v>
      </c>
      <c r="E4260" s="3" t="s">
        <v>100</v>
      </c>
      <c r="F4260" s="3" t="s">
        <v>1846</v>
      </c>
      <c r="G4260" s="7">
        <v>46053.83243981055</v>
      </c>
    </row>
    <row r="4261">
      <c r="A4261" s="3" t="s">
        <v>13281</v>
      </c>
      <c r="B4261" s="3" t="s">
        <v>536</v>
      </c>
      <c r="C4261" s="3" t="s">
        <v>1095</v>
      </c>
      <c r="D4261" s="3" t="s">
        <v>195</v>
      </c>
      <c r="E4261" s="3" t="s">
        <v>45</v>
      </c>
      <c r="F4261" s="3" t="s">
        <v>862</v>
      </c>
      <c r="G4261" s="7">
        <v>46053.90361465596</v>
      </c>
    </row>
    <row r="4262">
      <c r="A4262" s="3" t="s">
        <v>13284</v>
      </c>
      <c r="B4262" s="3" t="s">
        <v>596</v>
      </c>
      <c r="C4262" s="3" t="s">
        <v>1095</v>
      </c>
      <c r="D4262" s="3" t="s">
        <v>68</v>
      </c>
      <c r="E4262" s="3" t="s">
        <v>100</v>
      </c>
      <c r="F4262" s="3" t="s">
        <v>1143</v>
      </c>
      <c r="G4262" s="7">
        <v>46053.97478950138</v>
      </c>
    </row>
    <row r="4263">
      <c r="A4263" s="3" t="s">
        <v>13286</v>
      </c>
      <c r="B4263" s="3" t="s">
        <v>734</v>
      </c>
      <c r="C4263" s="3" t="s">
        <v>1095</v>
      </c>
      <c r="D4263" s="3" t="s">
        <v>68</v>
      </c>
      <c r="E4263" s="3" t="s">
        <v>100</v>
      </c>
      <c r="F4263" s="3" t="s">
        <v>2030</v>
      </c>
      <c r="G4263" s="7">
        <v>46054.0459643468</v>
      </c>
    </row>
    <row r="4264">
      <c r="A4264" s="3" t="s">
        <v>13288</v>
      </c>
      <c r="B4264" s="3" t="s">
        <v>505</v>
      </c>
      <c r="C4264" s="3" t="s">
        <v>56</v>
      </c>
      <c r="D4264" s="3" t="s">
        <v>195</v>
      </c>
      <c r="E4264" s="3" t="s">
        <v>45</v>
      </c>
      <c r="F4264" s="3" t="s">
        <v>45</v>
      </c>
      <c r="G4264" s="7">
        <v>46054.1171391922</v>
      </c>
    </row>
    <row r="4265">
      <c r="A4265" s="3" t="s">
        <v>13291</v>
      </c>
      <c r="B4265" s="3" t="s">
        <v>356</v>
      </c>
      <c r="C4265" s="3" t="s">
        <v>1342</v>
      </c>
      <c r="D4265" s="3" t="s">
        <v>68</v>
      </c>
      <c r="E4265" s="3" t="s">
        <v>100</v>
      </c>
      <c r="F4265" s="3" t="s">
        <v>1104</v>
      </c>
      <c r="G4265" s="7">
        <v>46054.18831403762</v>
      </c>
    </row>
    <row r="4266">
      <c r="A4266" s="3" t="s">
        <v>13294</v>
      </c>
      <c r="B4266" s="3" t="s">
        <v>643</v>
      </c>
      <c r="C4266" s="3" t="s">
        <v>1342</v>
      </c>
      <c r="D4266" s="3" t="s">
        <v>68</v>
      </c>
      <c r="E4266" s="3" t="s">
        <v>100</v>
      </c>
      <c r="F4266" s="3" t="s">
        <v>1697</v>
      </c>
      <c r="G4266" s="7">
        <v>46054.25948888304</v>
      </c>
    </row>
    <row r="4267">
      <c r="A4267" s="3" t="s">
        <v>13296</v>
      </c>
      <c r="B4267" s="3" t="s">
        <v>632</v>
      </c>
      <c r="C4267" s="3" t="s">
        <v>1342</v>
      </c>
      <c r="D4267" s="3" t="s">
        <v>68</v>
      </c>
      <c r="E4267" s="3" t="s">
        <v>100</v>
      </c>
      <c r="F4267" s="3" t="s">
        <v>823</v>
      </c>
      <c r="G4267" s="7">
        <v>46054.330663728455</v>
      </c>
    </row>
    <row r="4268">
      <c r="A4268" s="3" t="s">
        <v>13298</v>
      </c>
      <c r="B4268" s="3" t="s">
        <v>937</v>
      </c>
      <c r="C4268" s="3" t="s">
        <v>1342</v>
      </c>
      <c r="D4268" s="3" t="s">
        <v>68</v>
      </c>
      <c r="E4268" s="3" t="s">
        <v>100</v>
      </c>
      <c r="F4268" s="3" t="s">
        <v>1214</v>
      </c>
      <c r="G4268" s="7">
        <v>46054.40183857387</v>
      </c>
    </row>
    <row r="4269">
      <c r="A4269" s="3" t="s">
        <v>13301</v>
      </c>
      <c r="B4269" s="3" t="s">
        <v>135</v>
      </c>
      <c r="C4269" s="3" t="s">
        <v>56</v>
      </c>
      <c r="D4269" s="3" t="s">
        <v>68</v>
      </c>
      <c r="E4269" s="3" t="s">
        <v>100</v>
      </c>
      <c r="F4269" s="3" t="s">
        <v>1237</v>
      </c>
      <c r="G4269" s="7">
        <v>46054.47301341929</v>
      </c>
    </row>
    <row r="4270">
      <c r="A4270" s="3" t="s">
        <v>13303</v>
      </c>
      <c r="B4270" s="3" t="s">
        <v>816</v>
      </c>
      <c r="C4270" s="3" t="s">
        <v>56</v>
      </c>
      <c r="D4270" s="3" t="s">
        <v>68</v>
      </c>
      <c r="E4270" s="3" t="s">
        <v>100</v>
      </c>
      <c r="F4270" s="3" t="s">
        <v>1240</v>
      </c>
      <c r="G4270" s="7">
        <v>46054.5441882647</v>
      </c>
    </row>
    <row r="4271">
      <c r="A4271" s="3" t="s">
        <v>13304</v>
      </c>
      <c r="B4271" s="3" t="s">
        <v>460</v>
      </c>
      <c r="C4271" s="3" t="s">
        <v>56</v>
      </c>
      <c r="D4271" s="3" t="s">
        <v>68</v>
      </c>
      <c r="E4271" s="3" t="s">
        <v>100</v>
      </c>
      <c r="F4271" s="3" t="s">
        <v>1242</v>
      </c>
      <c r="G4271" s="7">
        <v>46054.61536311011</v>
      </c>
    </row>
    <row r="4272">
      <c r="A4272" s="3" t="s">
        <v>13306</v>
      </c>
      <c r="B4272" s="3" t="s">
        <v>269</v>
      </c>
      <c r="C4272" s="3" t="s">
        <v>56</v>
      </c>
      <c r="D4272" s="3" t="s">
        <v>68</v>
      </c>
      <c r="E4272" s="3" t="s">
        <v>100</v>
      </c>
      <c r="F4272" s="3" t="s">
        <v>1245</v>
      </c>
      <c r="G4272" s="7">
        <v>46054.68653795553</v>
      </c>
    </row>
    <row r="4273">
      <c r="A4273" s="3" t="s">
        <v>13308</v>
      </c>
      <c r="B4273" s="3" t="s">
        <v>453</v>
      </c>
      <c r="C4273" s="3" t="s">
        <v>56</v>
      </c>
      <c r="D4273" s="3" t="s">
        <v>68</v>
      </c>
      <c r="E4273" s="3" t="s">
        <v>100</v>
      </c>
      <c r="F4273" s="3" t="s">
        <v>1248</v>
      </c>
      <c r="G4273" s="7">
        <v>46054.75771280095</v>
      </c>
    </row>
    <row r="4274">
      <c r="A4274" s="3" t="s">
        <v>13309</v>
      </c>
      <c r="B4274" s="3" t="s">
        <v>369</v>
      </c>
      <c r="C4274" s="3" t="s">
        <v>1095</v>
      </c>
      <c r="D4274" s="3" t="s">
        <v>68</v>
      </c>
      <c r="E4274" s="3" t="s">
        <v>100</v>
      </c>
      <c r="F4274" s="3" t="s">
        <v>626</v>
      </c>
      <c r="G4274" s="7">
        <v>46054.828887646356</v>
      </c>
    </row>
    <row r="4275">
      <c r="A4275" s="3" t="s">
        <v>13311</v>
      </c>
      <c r="B4275" s="3" t="s">
        <v>765</v>
      </c>
      <c r="C4275" s="3" t="s">
        <v>1342</v>
      </c>
      <c r="D4275" s="3" t="s">
        <v>181</v>
      </c>
      <c r="E4275" s="3" t="s">
        <v>45</v>
      </c>
      <c r="F4275" s="3" t="s">
        <v>2088</v>
      </c>
      <c r="G4275" s="7">
        <v>46054.900062491775</v>
      </c>
    </row>
    <row r="4276">
      <c r="A4276" s="3" t="s">
        <v>13314</v>
      </c>
      <c r="B4276" s="3" t="s">
        <v>751</v>
      </c>
      <c r="C4276" s="3" t="s">
        <v>1095</v>
      </c>
      <c r="D4276" s="3" t="s">
        <v>68</v>
      </c>
      <c r="E4276" s="3" t="s">
        <v>100</v>
      </c>
      <c r="F4276" s="3" t="s">
        <v>509</v>
      </c>
      <c r="G4276" s="7">
        <v>46054.97123733719</v>
      </c>
    </row>
    <row r="4277">
      <c r="A4277" s="3" t="s">
        <v>13316</v>
      </c>
      <c r="B4277" s="3" t="s">
        <v>629</v>
      </c>
      <c r="C4277" s="3" t="s">
        <v>56</v>
      </c>
      <c r="D4277" s="3" t="s">
        <v>68</v>
      </c>
      <c r="E4277" s="3" t="s">
        <v>100</v>
      </c>
      <c r="F4277" s="3" t="s">
        <v>1251</v>
      </c>
      <c r="G4277" s="7">
        <v>46055.04241218261</v>
      </c>
    </row>
    <row r="4278">
      <c r="A4278" s="3" t="s">
        <v>13318</v>
      </c>
      <c r="B4278" s="3" t="s">
        <v>145</v>
      </c>
      <c r="C4278" s="3" t="s">
        <v>56</v>
      </c>
      <c r="D4278" s="3" t="s">
        <v>68</v>
      </c>
      <c r="E4278" s="3" t="s">
        <v>100</v>
      </c>
      <c r="F4278" s="3" t="s">
        <v>1254</v>
      </c>
      <c r="G4278" s="7">
        <v>46055.11358702802</v>
      </c>
    </row>
    <row r="4279">
      <c r="A4279" s="3" t="s">
        <v>13321</v>
      </c>
      <c r="B4279" s="3" t="s">
        <v>895</v>
      </c>
      <c r="C4279" s="3" t="s">
        <v>1095</v>
      </c>
      <c r="D4279" s="3" t="s">
        <v>68</v>
      </c>
      <c r="E4279" s="3" t="s">
        <v>100</v>
      </c>
      <c r="F4279" s="3" t="s">
        <v>784</v>
      </c>
      <c r="G4279" s="7">
        <v>46055.18476187344</v>
      </c>
    </row>
    <row r="4280">
      <c r="A4280" s="3" t="s">
        <v>13323</v>
      </c>
      <c r="B4280" s="3" t="s">
        <v>689</v>
      </c>
      <c r="C4280" s="3" t="s">
        <v>56</v>
      </c>
      <c r="D4280" s="3" t="s">
        <v>68</v>
      </c>
      <c r="E4280" s="3" t="s">
        <v>100</v>
      </c>
      <c r="F4280" s="3" t="s">
        <v>1256</v>
      </c>
      <c r="G4280" s="7">
        <v>46055.255936718844</v>
      </c>
    </row>
    <row r="4281">
      <c r="A4281" s="3" t="s">
        <v>13325</v>
      </c>
      <c r="B4281" s="3" t="s">
        <v>746</v>
      </c>
      <c r="C4281" s="3" t="s">
        <v>1095</v>
      </c>
      <c r="D4281" s="3" t="s">
        <v>68</v>
      </c>
      <c r="E4281" s="3" t="s">
        <v>100</v>
      </c>
      <c r="F4281" s="3" t="s">
        <v>1993</v>
      </c>
      <c r="G4281" s="7">
        <v>46055.327111564264</v>
      </c>
    </row>
    <row r="4282">
      <c r="A4282" s="3" t="s">
        <v>13327</v>
      </c>
      <c r="B4282" s="3" t="s">
        <v>972</v>
      </c>
      <c r="C4282" s="3" t="s">
        <v>56</v>
      </c>
      <c r="D4282" s="3" t="s">
        <v>68</v>
      </c>
      <c r="E4282" s="3" t="s">
        <v>100</v>
      </c>
      <c r="F4282" s="3" t="s">
        <v>1259</v>
      </c>
      <c r="G4282" s="7">
        <v>46055.39828640968</v>
      </c>
    </row>
    <row r="4283">
      <c r="A4283" s="3" t="s">
        <v>13329</v>
      </c>
      <c r="B4283" s="3" t="s">
        <v>383</v>
      </c>
      <c r="C4283" s="3" t="s">
        <v>1342</v>
      </c>
      <c r="D4283" s="3" t="s">
        <v>68</v>
      </c>
      <c r="E4283" s="3" t="s">
        <v>100</v>
      </c>
      <c r="F4283" s="3" t="s">
        <v>1129</v>
      </c>
      <c r="G4283" s="7">
        <v>46055.469461255096</v>
      </c>
    </row>
    <row r="4284">
      <c r="A4284" s="3" t="s">
        <v>13332</v>
      </c>
      <c r="B4284" s="3" t="s">
        <v>481</v>
      </c>
      <c r="C4284" s="3" t="s">
        <v>1095</v>
      </c>
      <c r="D4284" s="3" t="s">
        <v>68</v>
      </c>
      <c r="E4284" s="3" t="s">
        <v>100</v>
      </c>
      <c r="F4284" s="3" t="s">
        <v>837</v>
      </c>
      <c r="G4284" s="7">
        <v>46055.54063610051</v>
      </c>
    </row>
    <row r="4285">
      <c r="A4285" s="3" t="s">
        <v>13335</v>
      </c>
      <c r="B4285" s="3" t="s">
        <v>980</v>
      </c>
      <c r="C4285" s="3" t="s">
        <v>56</v>
      </c>
      <c r="D4285" s="3" t="s">
        <v>68</v>
      </c>
      <c r="E4285" s="3" t="s">
        <v>100</v>
      </c>
      <c r="F4285" s="3" t="s">
        <v>1261</v>
      </c>
      <c r="G4285" s="7">
        <v>46055.61181094593</v>
      </c>
    </row>
    <row r="4286">
      <c r="A4286" s="3" t="s">
        <v>13336</v>
      </c>
      <c r="B4286" s="3" t="s">
        <v>151</v>
      </c>
      <c r="C4286" s="3" t="s">
        <v>56</v>
      </c>
      <c r="D4286" s="3" t="s">
        <v>195</v>
      </c>
      <c r="E4286" s="3" t="s">
        <v>45</v>
      </c>
      <c r="F4286" s="3" t="s">
        <v>45</v>
      </c>
      <c r="G4286" s="7">
        <v>46055.68298579134</v>
      </c>
    </row>
    <row r="4287">
      <c r="A4287" s="3" t="s">
        <v>13339</v>
      </c>
      <c r="B4287" s="3" t="s">
        <v>698</v>
      </c>
      <c r="C4287" s="3" t="s">
        <v>1095</v>
      </c>
      <c r="D4287" s="3" t="s">
        <v>195</v>
      </c>
      <c r="E4287" s="3" t="s">
        <v>45</v>
      </c>
      <c r="F4287" s="3" t="s">
        <v>2039</v>
      </c>
      <c r="G4287" s="7">
        <v>46055.75416063675</v>
      </c>
    </row>
    <row r="4288">
      <c r="A4288" s="3" t="s">
        <v>13342</v>
      </c>
      <c r="B4288" s="3" t="s">
        <v>678</v>
      </c>
      <c r="C4288" s="3" t="s">
        <v>1095</v>
      </c>
      <c r="D4288" s="3" t="s">
        <v>68</v>
      </c>
      <c r="E4288" s="3" t="s">
        <v>100</v>
      </c>
      <c r="F4288" s="3" t="s">
        <v>1234</v>
      </c>
      <c r="G4288" s="7">
        <v>46055.82533548217</v>
      </c>
    </row>
    <row r="4289">
      <c r="A4289" s="3" t="s">
        <v>13343</v>
      </c>
      <c r="B4289" s="3" t="s">
        <v>908</v>
      </c>
      <c r="C4289" s="3" t="s">
        <v>1095</v>
      </c>
      <c r="D4289" s="3" t="s">
        <v>68</v>
      </c>
      <c r="E4289" s="3" t="s">
        <v>100</v>
      </c>
      <c r="F4289" s="3" t="s">
        <v>977</v>
      </c>
      <c r="G4289" s="7">
        <v>46055.89651032759</v>
      </c>
    </row>
    <row r="4290">
      <c r="A4290" s="3" t="s">
        <v>13346</v>
      </c>
      <c r="B4290" s="3" t="s">
        <v>233</v>
      </c>
      <c r="C4290" s="3" t="s">
        <v>1095</v>
      </c>
      <c r="D4290" s="3" t="s">
        <v>68</v>
      </c>
      <c r="E4290" s="3" t="s">
        <v>100</v>
      </c>
      <c r="F4290" s="3" t="s">
        <v>1606</v>
      </c>
      <c r="G4290" s="7">
        <v>46055.967685173</v>
      </c>
    </row>
    <row r="4291">
      <c r="A4291" s="3" t="s">
        <v>13348</v>
      </c>
      <c r="B4291" s="3" t="s">
        <v>731</v>
      </c>
      <c r="C4291" s="3" t="s">
        <v>1095</v>
      </c>
      <c r="D4291" s="3" t="s">
        <v>68</v>
      </c>
      <c r="E4291" s="3" t="s">
        <v>100</v>
      </c>
      <c r="F4291" s="3" t="s">
        <v>1971</v>
      </c>
      <c r="G4291" s="7">
        <v>46056.038860018416</v>
      </c>
    </row>
    <row r="4292">
      <c r="A4292" s="3" t="s">
        <v>13349</v>
      </c>
      <c r="B4292" s="3" t="s">
        <v>554</v>
      </c>
      <c r="C4292" s="3" t="s">
        <v>56</v>
      </c>
      <c r="D4292" s="3" t="s">
        <v>68</v>
      </c>
      <c r="E4292" s="3" t="s">
        <v>100</v>
      </c>
      <c r="F4292" s="3" t="s">
        <v>1264</v>
      </c>
      <c r="G4292" s="7">
        <v>46056.110034863836</v>
      </c>
    </row>
    <row r="4293">
      <c r="A4293" s="3" t="s">
        <v>13351</v>
      </c>
      <c r="B4293" s="3" t="s">
        <v>159</v>
      </c>
      <c r="C4293" s="3" t="s">
        <v>1342</v>
      </c>
      <c r="D4293" s="3" t="s">
        <v>68</v>
      </c>
      <c r="E4293" s="3" t="s">
        <v>100</v>
      </c>
      <c r="F4293" s="3" t="s">
        <v>1292</v>
      </c>
      <c r="G4293" s="7">
        <v>46056.18120970925</v>
      </c>
    </row>
    <row r="4294">
      <c r="A4294" s="3" t="s">
        <v>13354</v>
      </c>
      <c r="B4294" s="3" t="s">
        <v>202</v>
      </c>
      <c r="C4294" s="3" t="s">
        <v>1342</v>
      </c>
      <c r="D4294" s="3" t="s">
        <v>68</v>
      </c>
      <c r="E4294" s="3" t="s">
        <v>100</v>
      </c>
      <c r="F4294" s="3" t="s">
        <v>1161</v>
      </c>
      <c r="G4294" s="7">
        <v>46056.25238455466</v>
      </c>
    </row>
    <row r="4295">
      <c r="A4295" s="3" t="s">
        <v>13356</v>
      </c>
      <c r="B4295" s="3" t="s">
        <v>916</v>
      </c>
      <c r="C4295" s="3" t="s">
        <v>1342</v>
      </c>
      <c r="D4295" s="3" t="s">
        <v>68</v>
      </c>
      <c r="E4295" s="3" t="s">
        <v>100</v>
      </c>
      <c r="F4295" s="3" t="s">
        <v>963</v>
      </c>
      <c r="G4295" s="7">
        <v>46056.32355940008</v>
      </c>
    </row>
    <row r="4296">
      <c r="A4296" s="3" t="s">
        <v>13359</v>
      </c>
      <c r="B4296" s="3" t="s">
        <v>596</v>
      </c>
      <c r="C4296" s="3" t="s">
        <v>56</v>
      </c>
      <c r="D4296" s="3" t="s">
        <v>68</v>
      </c>
      <c r="E4296" s="3" t="s">
        <v>100</v>
      </c>
      <c r="F4296" s="3" t="s">
        <v>1268</v>
      </c>
      <c r="G4296" s="7">
        <v>46056.39473424549</v>
      </c>
    </row>
    <row r="4297">
      <c r="A4297" s="3" t="s">
        <v>13360</v>
      </c>
      <c r="B4297" s="3" t="s">
        <v>400</v>
      </c>
      <c r="C4297" s="3" t="s">
        <v>56</v>
      </c>
      <c r="D4297" s="3" t="s">
        <v>68</v>
      </c>
      <c r="E4297" s="3" t="s">
        <v>100</v>
      </c>
      <c r="F4297" s="3" t="s">
        <v>1270</v>
      </c>
      <c r="G4297" s="7">
        <v>46056.465909090904</v>
      </c>
    </row>
    <row r="4298">
      <c r="A4298" s="3" t="s">
        <v>13363</v>
      </c>
      <c r="B4298" s="3" t="s">
        <v>655</v>
      </c>
      <c r="C4298" s="3" t="s">
        <v>1095</v>
      </c>
      <c r="D4298" s="3" t="s">
        <v>68</v>
      </c>
      <c r="E4298" s="3" t="s">
        <v>100</v>
      </c>
      <c r="F4298" s="3" t="s">
        <v>1060</v>
      </c>
      <c r="G4298" s="7">
        <v>46056.537083936324</v>
      </c>
    </row>
    <row r="4299">
      <c r="A4299" s="3" t="s">
        <v>13365</v>
      </c>
      <c r="B4299" s="3" t="s">
        <v>1001</v>
      </c>
      <c r="C4299" s="3" t="s">
        <v>1095</v>
      </c>
      <c r="D4299" s="3" t="s">
        <v>68</v>
      </c>
      <c r="E4299" s="3" t="s">
        <v>100</v>
      </c>
      <c r="F4299" s="3" t="s">
        <v>1763</v>
      </c>
      <c r="G4299" s="7">
        <v>46056.60825878174</v>
      </c>
    </row>
    <row r="4300">
      <c r="A4300" s="3" t="s">
        <v>13367</v>
      </c>
      <c r="B4300" s="3" t="s">
        <v>501</v>
      </c>
      <c r="C4300" s="3" t="s">
        <v>1095</v>
      </c>
      <c r="D4300" s="3" t="s">
        <v>68</v>
      </c>
      <c r="E4300" s="3" t="s">
        <v>100</v>
      </c>
      <c r="F4300" s="3" t="s">
        <v>1079</v>
      </c>
      <c r="G4300" s="7">
        <v>46056.67943362715</v>
      </c>
    </row>
    <row r="4301">
      <c r="A4301" s="3" t="s">
        <v>13370</v>
      </c>
      <c r="B4301" s="3" t="s">
        <v>507</v>
      </c>
      <c r="C4301" s="3" t="s">
        <v>1342</v>
      </c>
      <c r="D4301" s="3" t="s">
        <v>68</v>
      </c>
      <c r="E4301" s="3" t="s">
        <v>100</v>
      </c>
      <c r="F4301" s="3" t="s">
        <v>1706</v>
      </c>
      <c r="G4301" s="7">
        <v>46056.75060847257</v>
      </c>
    </row>
    <row r="4302">
      <c r="A4302" s="3" t="s">
        <v>13374</v>
      </c>
      <c r="B4302" s="3" t="s">
        <v>596</v>
      </c>
      <c r="C4302" s="3" t="s">
        <v>1342</v>
      </c>
      <c r="D4302" s="3" t="s">
        <v>68</v>
      </c>
      <c r="E4302" s="3" t="s">
        <v>100</v>
      </c>
      <c r="F4302" s="3" t="s">
        <v>1268</v>
      </c>
      <c r="G4302" s="7">
        <v>46056.82178331798</v>
      </c>
    </row>
    <row r="4303">
      <c r="A4303" s="3" t="s">
        <v>13378</v>
      </c>
      <c r="B4303" s="3" t="s">
        <v>541</v>
      </c>
      <c r="C4303" s="3" t="s">
        <v>56</v>
      </c>
      <c r="D4303" s="3" t="s">
        <v>68</v>
      </c>
      <c r="E4303" s="3" t="s">
        <v>100</v>
      </c>
      <c r="F4303" s="3" t="s">
        <v>1272</v>
      </c>
      <c r="G4303" s="7">
        <v>46056.89295816339</v>
      </c>
    </row>
    <row r="4304">
      <c r="A4304" s="3" t="s">
        <v>13381</v>
      </c>
      <c r="B4304" s="3" t="s">
        <v>669</v>
      </c>
      <c r="C4304" s="3" t="s">
        <v>1342</v>
      </c>
      <c r="D4304" s="3" t="s">
        <v>195</v>
      </c>
      <c r="E4304" s="3" t="s">
        <v>45</v>
      </c>
      <c r="F4304" s="3" t="s">
        <v>603</v>
      </c>
      <c r="G4304" s="7">
        <v>46056.96413300881</v>
      </c>
    </row>
    <row r="4305">
      <c r="A4305" s="3" t="s">
        <v>13383</v>
      </c>
      <c r="B4305" s="3" t="s">
        <v>845</v>
      </c>
      <c r="C4305" s="3" t="s">
        <v>56</v>
      </c>
      <c r="D4305" s="3" t="s">
        <v>181</v>
      </c>
      <c r="E4305" s="3" t="s">
        <v>45</v>
      </c>
      <c r="F4305" s="3" t="s">
        <v>45</v>
      </c>
      <c r="G4305" s="7">
        <v>46057.03530785423</v>
      </c>
    </row>
    <row r="4306">
      <c r="A4306" s="3" t="s">
        <v>13385</v>
      </c>
      <c r="B4306" s="3" t="s">
        <v>498</v>
      </c>
      <c r="C4306" s="3" t="s">
        <v>56</v>
      </c>
      <c r="D4306" s="3" t="s">
        <v>68</v>
      </c>
      <c r="E4306" s="3" t="s">
        <v>100</v>
      </c>
      <c r="F4306" s="3" t="s">
        <v>1274</v>
      </c>
      <c r="G4306" s="7">
        <v>46057.10648269964</v>
      </c>
    </row>
    <row r="4307">
      <c r="A4307" s="3" t="s">
        <v>13388</v>
      </c>
      <c r="B4307" s="3" t="s">
        <v>411</v>
      </c>
      <c r="C4307" s="3" t="s">
        <v>1095</v>
      </c>
      <c r="D4307" s="3" t="s">
        <v>181</v>
      </c>
      <c r="E4307" s="3" t="s">
        <v>45</v>
      </c>
      <c r="F4307" s="3" t="s">
        <v>1185</v>
      </c>
      <c r="G4307" s="7">
        <v>46057.17765754506</v>
      </c>
    </row>
    <row r="4308">
      <c r="A4308" s="3" t="s">
        <v>13391</v>
      </c>
      <c r="B4308" s="3" t="s">
        <v>455</v>
      </c>
      <c r="C4308" s="3" t="s">
        <v>56</v>
      </c>
      <c r="D4308" s="3" t="s">
        <v>181</v>
      </c>
      <c r="E4308" s="3" t="s">
        <v>45</v>
      </c>
      <c r="F4308" s="3" t="s">
        <v>45</v>
      </c>
      <c r="G4308" s="7">
        <v>46057.248832390476</v>
      </c>
    </row>
    <row r="4309">
      <c r="A4309" s="3" t="s">
        <v>13394</v>
      </c>
      <c r="B4309" s="3" t="s">
        <v>224</v>
      </c>
      <c r="C4309" s="3" t="s">
        <v>56</v>
      </c>
      <c r="D4309" s="3" t="s">
        <v>181</v>
      </c>
      <c r="E4309" s="3" t="s">
        <v>45</v>
      </c>
      <c r="F4309" s="3" t="s">
        <v>45</v>
      </c>
      <c r="G4309" s="7">
        <v>46057.32000723589</v>
      </c>
    </row>
    <row r="4310">
      <c r="A4310" s="3" t="s">
        <v>13397</v>
      </c>
      <c r="B4310" s="3" t="s">
        <v>987</v>
      </c>
      <c r="C4310" s="3" t="s">
        <v>1342</v>
      </c>
      <c r="D4310" s="3" t="s">
        <v>68</v>
      </c>
      <c r="E4310" s="3" t="s">
        <v>100</v>
      </c>
      <c r="F4310" s="3" t="s">
        <v>818</v>
      </c>
      <c r="G4310" s="7">
        <v>46057.3911820813</v>
      </c>
    </row>
    <row r="4311">
      <c r="A4311" s="3" t="s">
        <v>13400</v>
      </c>
      <c r="B4311" s="3" t="s">
        <v>383</v>
      </c>
      <c r="C4311" s="3" t="s">
        <v>1342</v>
      </c>
      <c r="D4311" s="3" t="s">
        <v>68</v>
      </c>
      <c r="E4311" s="3" t="s">
        <v>100</v>
      </c>
      <c r="F4311" s="3" t="s">
        <v>1129</v>
      </c>
      <c r="G4311" s="7">
        <v>46057.46235692672</v>
      </c>
    </row>
    <row r="4312">
      <c r="A4312" s="3" t="s">
        <v>13403</v>
      </c>
      <c r="B4312" s="3" t="s">
        <v>333</v>
      </c>
      <c r="C4312" s="3" t="s">
        <v>56</v>
      </c>
      <c r="D4312" s="3" t="s">
        <v>68</v>
      </c>
      <c r="E4312" s="3" t="s">
        <v>100</v>
      </c>
      <c r="F4312" s="3" t="s">
        <v>1276</v>
      </c>
      <c r="G4312" s="7">
        <v>46057.53353177213</v>
      </c>
    </row>
    <row r="4313">
      <c r="A4313" s="3" t="s">
        <v>13406</v>
      </c>
      <c r="B4313" s="3" t="s">
        <v>1008</v>
      </c>
      <c r="C4313" s="3" t="s">
        <v>1342</v>
      </c>
      <c r="D4313" s="3" t="s">
        <v>68</v>
      </c>
      <c r="E4313" s="3" t="s">
        <v>100</v>
      </c>
      <c r="F4313" s="3" t="s">
        <v>2108</v>
      </c>
      <c r="G4313" s="7">
        <v>46057.604706617545</v>
      </c>
    </row>
    <row r="4314">
      <c r="A4314" s="3" t="s">
        <v>13410</v>
      </c>
      <c r="B4314" s="3" t="s">
        <v>247</v>
      </c>
      <c r="C4314" s="3" t="s">
        <v>1095</v>
      </c>
      <c r="D4314" s="3" t="s">
        <v>68</v>
      </c>
      <c r="E4314" s="3" t="s">
        <v>100</v>
      </c>
      <c r="F4314" s="3" t="s">
        <v>1012</v>
      </c>
      <c r="G4314" s="7">
        <v>46057.675881462965</v>
      </c>
    </row>
    <row r="4315">
      <c r="A4315" s="3" t="s">
        <v>13414</v>
      </c>
      <c r="B4315" s="3" t="s">
        <v>561</v>
      </c>
      <c r="C4315" s="3" t="s">
        <v>1342</v>
      </c>
      <c r="D4315" s="3" t="s">
        <v>195</v>
      </c>
      <c r="E4315" s="3" t="s">
        <v>45</v>
      </c>
      <c r="F4315" s="3" t="s">
        <v>1730</v>
      </c>
      <c r="G4315" s="7">
        <v>46057.747056308384</v>
      </c>
    </row>
    <row r="4316">
      <c r="A4316" s="3" t="s">
        <v>13416</v>
      </c>
      <c r="B4316" s="3" t="s">
        <v>559</v>
      </c>
      <c r="C4316" s="3" t="s">
        <v>56</v>
      </c>
      <c r="D4316" s="3" t="s">
        <v>68</v>
      </c>
      <c r="E4316" s="3" t="s">
        <v>100</v>
      </c>
      <c r="F4316" s="3" t="s">
        <v>1278</v>
      </c>
      <c r="G4316" s="7">
        <v>46057.81823115379</v>
      </c>
    </row>
    <row r="4317">
      <c r="A4317" s="3" t="s">
        <v>13418</v>
      </c>
      <c r="B4317" s="3" t="s">
        <v>1026</v>
      </c>
      <c r="C4317" s="3" t="s">
        <v>56</v>
      </c>
      <c r="D4317" s="3" t="s">
        <v>68</v>
      </c>
      <c r="E4317" s="3" t="s">
        <v>100</v>
      </c>
      <c r="F4317" s="3" t="s">
        <v>1279</v>
      </c>
      <c r="G4317" s="7">
        <v>46057.88940599921</v>
      </c>
    </row>
    <row r="4318">
      <c r="A4318" s="3" t="s">
        <v>13420</v>
      </c>
      <c r="B4318" s="3" t="s">
        <v>957</v>
      </c>
      <c r="C4318" s="3" t="s">
        <v>1342</v>
      </c>
      <c r="D4318" s="3" t="s">
        <v>68</v>
      </c>
      <c r="E4318" s="3" t="s">
        <v>100</v>
      </c>
      <c r="F4318" s="3" t="s">
        <v>749</v>
      </c>
      <c r="G4318" s="7">
        <v>46057.96058084462</v>
      </c>
    </row>
    <row r="4319">
      <c r="A4319" s="3" t="s">
        <v>13422</v>
      </c>
      <c r="B4319" s="3" t="s">
        <v>1043</v>
      </c>
      <c r="C4319" s="3" t="s">
        <v>1342</v>
      </c>
      <c r="D4319" s="3" t="s">
        <v>68</v>
      </c>
      <c r="E4319" s="3" t="s">
        <v>100</v>
      </c>
      <c r="F4319" s="3" t="s">
        <v>971</v>
      </c>
      <c r="G4319" s="7">
        <v>46058.03175569004</v>
      </c>
    </row>
    <row r="4320">
      <c r="A4320" s="3" t="s">
        <v>13426</v>
      </c>
      <c r="B4320" s="3" t="s">
        <v>937</v>
      </c>
      <c r="C4320" s="3" t="s">
        <v>1095</v>
      </c>
      <c r="D4320" s="3" t="s">
        <v>68</v>
      </c>
      <c r="E4320" s="3" t="s">
        <v>100</v>
      </c>
      <c r="F4320" s="3" t="s">
        <v>1214</v>
      </c>
      <c r="G4320" s="7">
        <v>46058.10293053545</v>
      </c>
    </row>
    <row r="4321">
      <c r="A4321" s="3" t="s">
        <v>13430</v>
      </c>
      <c r="B4321" s="3" t="s">
        <v>767</v>
      </c>
      <c r="C4321" s="3" t="s">
        <v>56</v>
      </c>
      <c r="D4321" s="3" t="s">
        <v>68</v>
      </c>
      <c r="E4321" s="3" t="s">
        <v>100</v>
      </c>
      <c r="F4321" s="3" t="s">
        <v>1281</v>
      </c>
      <c r="G4321" s="7">
        <v>46058.17410538087</v>
      </c>
    </row>
    <row r="4322">
      <c r="A4322" s="3" t="s">
        <v>13433</v>
      </c>
      <c r="B4322" s="3" t="s">
        <v>685</v>
      </c>
      <c r="C4322" s="3" t="s">
        <v>56</v>
      </c>
      <c r="D4322" s="3" t="s">
        <v>68</v>
      </c>
      <c r="E4322" s="3" t="s">
        <v>100</v>
      </c>
      <c r="F4322" s="3" t="s">
        <v>1284</v>
      </c>
      <c r="G4322" s="7">
        <v>46058.24528022628</v>
      </c>
    </row>
    <row r="4323">
      <c r="A4323" s="3" t="s">
        <v>13438</v>
      </c>
      <c r="B4323" s="3" t="s">
        <v>717</v>
      </c>
      <c r="C4323" s="3" t="s">
        <v>56</v>
      </c>
      <c r="D4323" s="3" t="s">
        <v>68</v>
      </c>
      <c r="E4323" s="3" t="s">
        <v>100</v>
      </c>
      <c r="F4323" s="3" t="s">
        <v>1286</v>
      </c>
      <c r="G4323" s="7">
        <v>46058.3164550717</v>
      </c>
    </row>
    <row r="4324">
      <c r="A4324" s="3" t="s">
        <v>13441</v>
      </c>
      <c r="B4324" s="3" t="s">
        <v>516</v>
      </c>
      <c r="C4324" s="3" t="s">
        <v>1095</v>
      </c>
      <c r="D4324" s="3" t="s">
        <v>68</v>
      </c>
      <c r="E4324" s="3" t="s">
        <v>100</v>
      </c>
      <c r="F4324" s="3" t="s">
        <v>1146</v>
      </c>
      <c r="G4324" s="7">
        <v>46058.38762991712</v>
      </c>
    </row>
    <row r="4325">
      <c r="A4325" s="3" t="s">
        <v>13444</v>
      </c>
      <c r="B4325" s="3" t="s">
        <v>202</v>
      </c>
      <c r="C4325" s="3" t="s">
        <v>1342</v>
      </c>
      <c r="D4325" s="3" t="s">
        <v>68</v>
      </c>
      <c r="E4325" s="3" t="s">
        <v>100</v>
      </c>
      <c r="F4325" s="3" t="s">
        <v>1161</v>
      </c>
      <c r="G4325" s="7">
        <v>46058.45880476253</v>
      </c>
    </row>
    <row r="4326">
      <c r="A4326" s="3" t="s">
        <v>13447</v>
      </c>
      <c r="B4326" s="3" t="s">
        <v>126</v>
      </c>
      <c r="C4326" s="3" t="s">
        <v>1342</v>
      </c>
      <c r="D4326" s="3" t="s">
        <v>68</v>
      </c>
      <c r="E4326" s="3" t="s">
        <v>100</v>
      </c>
      <c r="F4326" s="3" t="s">
        <v>950</v>
      </c>
      <c r="G4326" s="7">
        <v>46058.52997960794</v>
      </c>
    </row>
    <row r="4327">
      <c r="A4327" s="3" t="s">
        <v>13451</v>
      </c>
      <c r="B4327" s="3" t="s">
        <v>957</v>
      </c>
      <c r="C4327" s="3" t="s">
        <v>1342</v>
      </c>
      <c r="D4327" s="3" t="s">
        <v>68</v>
      </c>
      <c r="E4327" s="3" t="s">
        <v>100</v>
      </c>
      <c r="F4327" s="3" t="s">
        <v>749</v>
      </c>
      <c r="G4327" s="7">
        <v>46058.60115445336</v>
      </c>
    </row>
    <row r="4328">
      <c r="A4328" s="3" t="s">
        <v>13454</v>
      </c>
      <c r="B4328" s="3" t="s">
        <v>130</v>
      </c>
      <c r="C4328" s="3" t="s">
        <v>1342</v>
      </c>
      <c r="D4328" s="3" t="s">
        <v>68</v>
      </c>
      <c r="E4328" s="3" t="s">
        <v>100</v>
      </c>
      <c r="F4328" s="3" t="s">
        <v>2096</v>
      </c>
      <c r="G4328" s="7">
        <v>46058.67232929877</v>
      </c>
    </row>
    <row r="4329">
      <c r="A4329" s="3" t="s">
        <v>13457</v>
      </c>
      <c r="B4329" s="3" t="s">
        <v>151</v>
      </c>
      <c r="C4329" s="3" t="s">
        <v>56</v>
      </c>
      <c r="D4329" s="3" t="s">
        <v>68</v>
      </c>
      <c r="E4329" s="3" t="s">
        <v>100</v>
      </c>
      <c r="F4329" s="3" t="s">
        <v>1289</v>
      </c>
      <c r="G4329" s="7">
        <v>46058.743504144186</v>
      </c>
    </row>
    <row r="4330">
      <c r="A4330" s="3" t="s">
        <v>13459</v>
      </c>
      <c r="B4330" s="3" t="s">
        <v>546</v>
      </c>
      <c r="C4330" s="3" t="s">
        <v>1095</v>
      </c>
      <c r="D4330" s="3" t="s">
        <v>68</v>
      </c>
      <c r="E4330" s="3" t="s">
        <v>100</v>
      </c>
      <c r="F4330" s="3" t="s">
        <v>1151</v>
      </c>
      <c r="G4330" s="7">
        <v>46058.814678989605</v>
      </c>
    </row>
    <row r="4331">
      <c r="A4331" s="3" t="s">
        <v>13461</v>
      </c>
      <c r="B4331" s="3" t="s">
        <v>581</v>
      </c>
      <c r="C4331" s="3" t="s">
        <v>1342</v>
      </c>
      <c r="D4331" s="3" t="s">
        <v>68</v>
      </c>
      <c r="E4331" s="3" t="s">
        <v>100</v>
      </c>
      <c r="F4331" s="3" t="s">
        <v>1218</v>
      </c>
      <c r="G4331" s="7">
        <v>46058.885853835025</v>
      </c>
    </row>
    <row r="4332">
      <c r="A4332" s="3" t="s">
        <v>13463</v>
      </c>
      <c r="B4332" s="3" t="s">
        <v>1043</v>
      </c>
      <c r="C4332" s="3" t="s">
        <v>1095</v>
      </c>
      <c r="D4332" s="3" t="s">
        <v>68</v>
      </c>
      <c r="E4332" s="3" t="s">
        <v>100</v>
      </c>
      <c r="F4332" s="3" t="s">
        <v>971</v>
      </c>
      <c r="G4332" s="7">
        <v>46058.95702868043</v>
      </c>
    </row>
    <row r="4333">
      <c r="A4333" s="3" t="s">
        <v>13466</v>
      </c>
      <c r="B4333" s="3" t="s">
        <v>1008</v>
      </c>
      <c r="C4333" s="3" t="s">
        <v>1342</v>
      </c>
      <c r="D4333" s="3" t="s">
        <v>68</v>
      </c>
      <c r="E4333" s="3" t="s">
        <v>100</v>
      </c>
      <c r="F4333" s="3" t="s">
        <v>2108</v>
      </c>
      <c r="G4333" s="7">
        <v>46059.02820352585</v>
      </c>
    </row>
    <row r="4334">
      <c r="A4334" s="3" t="s">
        <v>13469</v>
      </c>
      <c r="B4334" s="3" t="s">
        <v>430</v>
      </c>
      <c r="C4334" s="3" t="s">
        <v>1342</v>
      </c>
      <c r="D4334" s="3" t="s">
        <v>68</v>
      </c>
      <c r="E4334" s="3" t="s">
        <v>100</v>
      </c>
      <c r="F4334" s="3" t="s">
        <v>1623</v>
      </c>
      <c r="G4334" s="7">
        <v>46059.09937837126</v>
      </c>
    </row>
    <row r="4335">
      <c r="A4335" s="3" t="s">
        <v>13472</v>
      </c>
      <c r="B4335" s="3" t="s">
        <v>957</v>
      </c>
      <c r="C4335" s="3" t="s">
        <v>1095</v>
      </c>
      <c r="D4335" s="3" t="s">
        <v>68</v>
      </c>
      <c r="E4335" s="3" t="s">
        <v>100</v>
      </c>
      <c r="F4335" s="3" t="s">
        <v>749</v>
      </c>
      <c r="G4335" s="7">
        <v>46059.17055321668</v>
      </c>
    </row>
    <row r="4336">
      <c r="A4336" s="3" t="s">
        <v>13475</v>
      </c>
      <c r="B4336" s="3" t="s">
        <v>219</v>
      </c>
      <c r="C4336" s="3" t="s">
        <v>1342</v>
      </c>
      <c r="D4336" s="3" t="s">
        <v>68</v>
      </c>
      <c r="E4336" s="3" t="s">
        <v>100</v>
      </c>
      <c r="F4336" s="3" t="s">
        <v>1076</v>
      </c>
      <c r="G4336" s="7">
        <v>46059.241728062094</v>
      </c>
    </row>
    <row r="4337">
      <c r="A4337" s="3" t="s">
        <v>13479</v>
      </c>
      <c r="B4337" s="3" t="s">
        <v>436</v>
      </c>
      <c r="C4337" s="3" t="s">
        <v>1342</v>
      </c>
      <c r="D4337" s="3" t="s">
        <v>68</v>
      </c>
      <c r="E4337" s="3" t="s">
        <v>100</v>
      </c>
      <c r="F4337" s="3" t="s">
        <v>1138</v>
      </c>
      <c r="G4337" s="7">
        <v>46059.31290290751</v>
      </c>
    </row>
    <row r="4338">
      <c r="A4338" s="3" t="s">
        <v>13483</v>
      </c>
      <c r="B4338" s="3" t="s">
        <v>600</v>
      </c>
      <c r="C4338" s="3" t="s">
        <v>56</v>
      </c>
      <c r="D4338" s="3" t="s">
        <v>68</v>
      </c>
      <c r="E4338" s="3" t="s">
        <v>100</v>
      </c>
      <c r="F4338" s="3" t="s">
        <v>1291</v>
      </c>
      <c r="G4338" s="7">
        <v>46059.384077752926</v>
      </c>
    </row>
    <row r="4339">
      <c r="A4339" s="3" t="s">
        <v>13486</v>
      </c>
      <c r="B4339" s="3" t="s">
        <v>1043</v>
      </c>
      <c r="C4339" s="3" t="s">
        <v>56</v>
      </c>
      <c r="D4339" s="3" t="s">
        <v>195</v>
      </c>
      <c r="E4339" s="3" t="s">
        <v>45</v>
      </c>
      <c r="F4339" s="3" t="s">
        <v>45</v>
      </c>
      <c r="G4339" s="7">
        <v>46059.45525259834</v>
      </c>
    </row>
    <row r="4340">
      <c r="A4340" s="3" t="s">
        <v>13489</v>
      </c>
      <c r="B4340" s="3" t="s">
        <v>535</v>
      </c>
      <c r="C4340" s="3" t="s">
        <v>56</v>
      </c>
      <c r="D4340" s="3" t="s">
        <v>195</v>
      </c>
      <c r="E4340" s="3" t="s">
        <v>45</v>
      </c>
      <c r="F4340" s="3" t="s">
        <v>45</v>
      </c>
      <c r="G4340" s="7">
        <v>46059.52642744376</v>
      </c>
    </row>
    <row r="4341">
      <c r="A4341" s="3" t="s">
        <v>13492</v>
      </c>
      <c r="B4341" s="3" t="s">
        <v>373</v>
      </c>
      <c r="C4341" s="3" t="s">
        <v>1342</v>
      </c>
      <c r="D4341" s="3" t="s">
        <v>181</v>
      </c>
      <c r="E4341" s="3" t="s">
        <v>45</v>
      </c>
      <c r="F4341" s="3" t="s">
        <v>1715</v>
      </c>
      <c r="G4341" s="7">
        <v>46059.59760228917</v>
      </c>
    </row>
    <row r="4342">
      <c r="A4342" s="3" t="s">
        <v>13496</v>
      </c>
      <c r="B4342" s="3" t="s">
        <v>913</v>
      </c>
      <c r="C4342" s="3" t="s">
        <v>1095</v>
      </c>
      <c r="D4342" s="3" t="s">
        <v>68</v>
      </c>
      <c r="E4342" s="3" t="s">
        <v>100</v>
      </c>
      <c r="F4342" s="3" t="s">
        <v>857</v>
      </c>
      <c r="G4342" s="7">
        <v>46059.66877713458</v>
      </c>
    </row>
    <row r="4343">
      <c r="A4343" s="3" t="s">
        <v>13499</v>
      </c>
      <c r="B4343" s="3" t="s">
        <v>488</v>
      </c>
      <c r="C4343" s="3" t="s">
        <v>1342</v>
      </c>
      <c r="D4343" s="3" t="s">
        <v>68</v>
      </c>
      <c r="E4343" s="3" t="s">
        <v>100</v>
      </c>
      <c r="F4343" s="3" t="s">
        <v>769</v>
      </c>
      <c r="G4343" s="7">
        <v>46059.73995198</v>
      </c>
    </row>
    <row r="4344">
      <c r="A4344" s="3" t="s">
        <v>13503</v>
      </c>
      <c r="B4344" s="3" t="s">
        <v>162</v>
      </c>
      <c r="C4344" s="3" t="s">
        <v>1342</v>
      </c>
      <c r="D4344" s="3" t="s">
        <v>68</v>
      </c>
      <c r="E4344" s="3" t="s">
        <v>100</v>
      </c>
      <c r="F4344" s="3" t="s">
        <v>1876</v>
      </c>
      <c r="G4344" s="7">
        <v>46059.811126825414</v>
      </c>
    </row>
    <row r="4345">
      <c r="A4345" s="3" t="s">
        <v>13506</v>
      </c>
      <c r="B4345" s="3" t="s">
        <v>224</v>
      </c>
      <c r="C4345" s="3" t="s">
        <v>56</v>
      </c>
      <c r="D4345" s="3" t="s">
        <v>68</v>
      </c>
      <c r="E4345" s="3" t="s">
        <v>100</v>
      </c>
      <c r="F4345" s="3" t="s">
        <v>1295</v>
      </c>
      <c r="G4345" s="7">
        <v>46059.88230167083</v>
      </c>
    </row>
    <row r="4346">
      <c r="A4346" s="3" t="s">
        <v>13509</v>
      </c>
      <c r="B4346" s="3" t="s">
        <v>682</v>
      </c>
      <c r="C4346" s="3" t="s">
        <v>1342</v>
      </c>
      <c r="D4346" s="3" t="s">
        <v>68</v>
      </c>
      <c r="E4346" s="3" t="s">
        <v>100</v>
      </c>
      <c r="F4346" s="3" t="s">
        <v>792</v>
      </c>
      <c r="G4346" s="7">
        <v>46059.953476516246</v>
      </c>
    </row>
    <row r="4347">
      <c r="A4347" s="3" t="s">
        <v>13513</v>
      </c>
      <c r="B4347" s="3" t="s">
        <v>947</v>
      </c>
      <c r="C4347" s="3" t="s">
        <v>1342</v>
      </c>
      <c r="D4347" s="3" t="s">
        <v>68</v>
      </c>
      <c r="E4347" s="3" t="s">
        <v>100</v>
      </c>
      <c r="F4347" s="3" t="s">
        <v>2062</v>
      </c>
      <c r="G4347" s="7">
        <v>46060.024651361666</v>
      </c>
    </row>
    <row r="4348">
      <c r="A4348" s="3" t="s">
        <v>13518</v>
      </c>
      <c r="B4348" s="3" t="s">
        <v>263</v>
      </c>
      <c r="C4348" s="3" t="s">
        <v>1342</v>
      </c>
      <c r="D4348" s="3" t="s">
        <v>68</v>
      </c>
      <c r="E4348" s="3" t="s">
        <v>100</v>
      </c>
      <c r="F4348" s="3" t="s">
        <v>1045</v>
      </c>
      <c r="G4348" s="7">
        <v>46060.09582620707</v>
      </c>
    </row>
    <row r="4349">
      <c r="A4349" s="3" t="s">
        <v>13520</v>
      </c>
      <c r="B4349" s="3" t="s">
        <v>496</v>
      </c>
      <c r="C4349" s="3" t="s">
        <v>56</v>
      </c>
      <c r="D4349" s="3" t="s">
        <v>68</v>
      </c>
      <c r="E4349" s="3" t="s">
        <v>100</v>
      </c>
      <c r="F4349" s="3" t="s">
        <v>1297</v>
      </c>
      <c r="G4349" s="7">
        <v>46060.16700105249</v>
      </c>
    </row>
    <row r="4350">
      <c r="A4350" s="3" t="s">
        <v>13523</v>
      </c>
      <c r="B4350" s="3" t="s">
        <v>922</v>
      </c>
      <c r="C4350" s="3" t="s">
        <v>56</v>
      </c>
      <c r="D4350" s="3" t="s">
        <v>68</v>
      </c>
      <c r="E4350" s="3" t="s">
        <v>100</v>
      </c>
      <c r="F4350" s="3" t="s">
        <v>1300</v>
      </c>
      <c r="G4350" s="7">
        <v>46060.23817589791</v>
      </c>
    </row>
    <row r="4351">
      <c r="A4351" s="3" t="s">
        <v>13525</v>
      </c>
      <c r="B4351" s="3" t="s">
        <v>906</v>
      </c>
      <c r="C4351" s="3" t="s">
        <v>1342</v>
      </c>
      <c r="D4351" s="3" t="s">
        <v>68</v>
      </c>
      <c r="E4351" s="3" t="s">
        <v>100</v>
      </c>
      <c r="F4351" s="3" t="s">
        <v>1901</v>
      </c>
      <c r="G4351" s="7">
        <v>46060.30935074332</v>
      </c>
    </row>
    <row r="4352">
      <c r="A4352" s="3" t="s">
        <v>13527</v>
      </c>
      <c r="B4352" s="3" t="s">
        <v>326</v>
      </c>
      <c r="C4352" s="3" t="s">
        <v>1342</v>
      </c>
      <c r="D4352" s="3" t="s">
        <v>68</v>
      </c>
      <c r="E4352" s="3" t="s">
        <v>100</v>
      </c>
      <c r="F4352" s="3" t="s">
        <v>1158</v>
      </c>
      <c r="G4352" s="7">
        <v>46060.380525588735</v>
      </c>
    </row>
    <row r="4353">
      <c r="A4353" s="3" t="s">
        <v>13529</v>
      </c>
      <c r="B4353" s="3" t="s">
        <v>530</v>
      </c>
      <c r="C4353" s="3" t="s">
        <v>1342</v>
      </c>
      <c r="D4353" s="3" t="s">
        <v>68</v>
      </c>
      <c r="E4353" s="3" t="s">
        <v>100</v>
      </c>
      <c r="F4353" s="3" t="s">
        <v>1988</v>
      </c>
      <c r="G4353" s="7">
        <v>46060.451700434154</v>
      </c>
    </row>
    <row r="4354">
      <c r="A4354" s="3" t="s">
        <v>13533</v>
      </c>
      <c r="B4354" s="3" t="s">
        <v>632</v>
      </c>
      <c r="C4354" s="3" t="s">
        <v>1095</v>
      </c>
      <c r="D4354" s="3" t="s">
        <v>68</v>
      </c>
      <c r="E4354" s="3" t="s">
        <v>100</v>
      </c>
      <c r="F4354" s="3" t="s">
        <v>823</v>
      </c>
      <c r="G4354" s="7">
        <v>46060.52287527957</v>
      </c>
    </row>
    <row r="4355">
      <c r="A4355" s="3" t="s">
        <v>13537</v>
      </c>
      <c r="B4355" s="3" t="s">
        <v>658</v>
      </c>
      <c r="C4355" s="3" t="s">
        <v>56</v>
      </c>
      <c r="D4355" s="3" t="s">
        <v>181</v>
      </c>
      <c r="E4355" s="3" t="s">
        <v>45</v>
      </c>
      <c r="F4355" s="3" t="s">
        <v>45</v>
      </c>
      <c r="G4355" s="7">
        <v>46060.59405012498</v>
      </c>
    </row>
    <row r="4356">
      <c r="A4356" s="3" t="s">
        <v>13540</v>
      </c>
      <c r="B4356" s="3" t="s">
        <v>398</v>
      </c>
      <c r="C4356" s="3" t="s">
        <v>1095</v>
      </c>
      <c r="D4356" s="3" t="s">
        <v>68</v>
      </c>
      <c r="E4356" s="3" t="s">
        <v>100</v>
      </c>
      <c r="F4356" s="3" t="s">
        <v>846</v>
      </c>
      <c r="G4356" s="7">
        <v>46060.6652249704</v>
      </c>
    </row>
    <row r="4357">
      <c r="A4357" s="3" t="s">
        <v>13543</v>
      </c>
      <c r="B4357" s="3" t="s">
        <v>377</v>
      </c>
      <c r="C4357" s="3" t="s">
        <v>1342</v>
      </c>
      <c r="D4357" s="3" t="s">
        <v>68</v>
      </c>
      <c r="E4357" s="3" t="s">
        <v>100</v>
      </c>
      <c r="F4357" s="3" t="s">
        <v>470</v>
      </c>
      <c r="G4357" s="7">
        <v>46060.73639981582</v>
      </c>
    </row>
    <row r="4358">
      <c r="A4358" s="3" t="s">
        <v>13546</v>
      </c>
      <c r="B4358" s="3" t="s">
        <v>352</v>
      </c>
      <c r="C4358" s="3" t="s">
        <v>1342</v>
      </c>
      <c r="D4358" s="3" t="s">
        <v>68</v>
      </c>
      <c r="E4358" s="3" t="s">
        <v>100</v>
      </c>
      <c r="F4358" s="3" t="s">
        <v>810</v>
      </c>
      <c r="G4358" s="7">
        <v>46060.80757466122</v>
      </c>
    </row>
    <row r="4359">
      <c r="A4359" s="3" t="s">
        <v>13549</v>
      </c>
      <c r="B4359" s="3" t="s">
        <v>609</v>
      </c>
      <c r="C4359" s="3" t="s">
        <v>1342</v>
      </c>
      <c r="D4359" s="3" t="s">
        <v>68</v>
      </c>
      <c r="E4359" s="3" t="s">
        <v>100</v>
      </c>
      <c r="F4359" s="3" t="s">
        <v>996</v>
      </c>
      <c r="G4359" s="7">
        <v>46060.87874950664</v>
      </c>
    </row>
    <row r="4360">
      <c r="A4360" s="3" t="s">
        <v>13552</v>
      </c>
      <c r="B4360" s="3" t="s">
        <v>414</v>
      </c>
      <c r="C4360" s="3" t="s">
        <v>56</v>
      </c>
      <c r="D4360" s="3" t="s">
        <v>68</v>
      </c>
      <c r="E4360" s="3" t="s">
        <v>100</v>
      </c>
      <c r="F4360" s="3" t="s">
        <v>1302</v>
      </c>
      <c r="G4360" s="7">
        <v>46060.949924352055</v>
      </c>
    </row>
    <row r="4361">
      <c r="A4361" s="3" t="s">
        <v>13555</v>
      </c>
      <c r="B4361" s="3" t="s">
        <v>913</v>
      </c>
      <c r="C4361" s="3" t="s">
        <v>56</v>
      </c>
      <c r="D4361" s="3" t="s">
        <v>68</v>
      </c>
      <c r="E4361" s="3" t="s">
        <v>100</v>
      </c>
      <c r="F4361" s="3" t="s">
        <v>1305</v>
      </c>
      <c r="G4361" s="7">
        <v>46061.021099197475</v>
      </c>
    </row>
    <row r="4362">
      <c r="A4362" s="3" t="s">
        <v>13559</v>
      </c>
      <c r="B4362" s="3" t="s">
        <v>145</v>
      </c>
      <c r="C4362" s="3" t="s">
        <v>1342</v>
      </c>
      <c r="D4362" s="3" t="s">
        <v>68</v>
      </c>
      <c r="E4362" s="3" t="s">
        <v>100</v>
      </c>
      <c r="F4362" s="3" t="s">
        <v>1254</v>
      </c>
      <c r="G4362" s="7">
        <v>46061.09227404289</v>
      </c>
    </row>
    <row r="4363">
      <c r="A4363" s="3" t="s">
        <v>13562</v>
      </c>
      <c r="B4363" s="3" t="s">
        <v>770</v>
      </c>
      <c r="C4363" s="3" t="s">
        <v>1095</v>
      </c>
      <c r="D4363" s="3" t="s">
        <v>68</v>
      </c>
      <c r="E4363" s="3" t="s">
        <v>100</v>
      </c>
      <c r="F4363" s="3" t="s">
        <v>2079</v>
      </c>
      <c r="G4363" s="7">
        <v>46061.16344888831</v>
      </c>
    </row>
    <row r="4364">
      <c r="A4364" s="3" t="s">
        <v>13565</v>
      </c>
      <c r="B4364" s="3" t="s">
        <v>619</v>
      </c>
      <c r="C4364" s="3" t="s">
        <v>1095</v>
      </c>
      <c r="D4364" s="3" t="s">
        <v>68</v>
      </c>
      <c r="E4364" s="3" t="s">
        <v>100</v>
      </c>
      <c r="F4364" s="3" t="s">
        <v>1015</v>
      </c>
      <c r="G4364" s="7">
        <v>46061.23462373371</v>
      </c>
    </row>
    <row r="4365">
      <c r="A4365" s="3" t="s">
        <v>13569</v>
      </c>
      <c r="B4365" s="3" t="s">
        <v>247</v>
      </c>
      <c r="C4365" s="3" t="s">
        <v>56</v>
      </c>
      <c r="D4365" s="3" t="s">
        <v>68</v>
      </c>
      <c r="E4365" s="3" t="s">
        <v>100</v>
      </c>
      <c r="F4365" s="3" t="s">
        <v>1307</v>
      </c>
      <c r="G4365" s="7">
        <v>46061.30579857913</v>
      </c>
    </row>
    <row r="4366">
      <c r="A4366" s="3" t="s">
        <v>13573</v>
      </c>
      <c r="B4366" s="3" t="s">
        <v>691</v>
      </c>
      <c r="C4366" s="3" t="s">
        <v>56</v>
      </c>
      <c r="D4366" s="3" t="s">
        <v>68</v>
      </c>
      <c r="E4366" s="3" t="s">
        <v>100</v>
      </c>
      <c r="F4366" s="3" t="s">
        <v>1310</v>
      </c>
      <c r="G4366" s="7">
        <v>46061.37697342455</v>
      </c>
    </row>
    <row r="4367">
      <c r="A4367" s="3" t="s">
        <v>13576</v>
      </c>
      <c r="B4367" s="3" t="s">
        <v>230</v>
      </c>
      <c r="C4367" s="3" t="s">
        <v>1342</v>
      </c>
      <c r="D4367" s="3" t="s">
        <v>68</v>
      </c>
      <c r="E4367" s="3" t="s">
        <v>100</v>
      </c>
      <c r="F4367" s="3" t="s">
        <v>1148</v>
      </c>
      <c r="G4367" s="7">
        <v>46061.44814826996</v>
      </c>
    </row>
    <row r="4368">
      <c r="A4368" s="3" t="s">
        <v>13578</v>
      </c>
      <c r="B4368" s="3" t="s">
        <v>816</v>
      </c>
      <c r="C4368" s="3" t="s">
        <v>1342</v>
      </c>
      <c r="D4368" s="3" t="s">
        <v>68</v>
      </c>
      <c r="E4368" s="3" t="s">
        <v>100</v>
      </c>
      <c r="F4368" s="3" t="s">
        <v>1240</v>
      </c>
      <c r="G4368" s="7">
        <v>46061.519323115375</v>
      </c>
    </row>
    <row r="4369">
      <c r="A4369" s="3" t="s">
        <v>13580</v>
      </c>
      <c r="B4369" s="3" t="s">
        <v>976</v>
      </c>
      <c r="C4369" s="3" t="s">
        <v>1342</v>
      </c>
      <c r="D4369" s="3" t="s">
        <v>68</v>
      </c>
      <c r="E4369" s="3" t="s">
        <v>100</v>
      </c>
      <c r="F4369" s="3" t="s">
        <v>1103</v>
      </c>
      <c r="G4369" s="7">
        <v>46061.590497960795</v>
      </c>
    </row>
    <row r="4370">
      <c r="A4370" s="3" t="s">
        <v>13582</v>
      </c>
      <c r="B4370" s="3" t="s">
        <v>406</v>
      </c>
      <c r="C4370" s="3" t="s">
        <v>1095</v>
      </c>
      <c r="D4370" s="3" t="s">
        <v>68</v>
      </c>
      <c r="E4370" s="3" t="s">
        <v>100</v>
      </c>
      <c r="F4370" s="3" t="s">
        <v>1327</v>
      </c>
      <c r="G4370" s="7">
        <v>46061.66167280621</v>
      </c>
    </row>
    <row r="4371">
      <c r="A4371" s="3" t="s">
        <v>13584</v>
      </c>
      <c r="B4371" s="3" t="s">
        <v>640</v>
      </c>
      <c r="C4371" s="3" t="s">
        <v>1342</v>
      </c>
      <c r="D4371" s="3" t="s">
        <v>195</v>
      </c>
      <c r="E4371" s="3" t="s">
        <v>45</v>
      </c>
      <c r="F4371" s="3" t="s">
        <v>983</v>
      </c>
      <c r="G4371" s="7">
        <v>46061.73284765162</v>
      </c>
    </row>
    <row r="4372">
      <c r="A4372" s="3" t="s">
        <v>13589</v>
      </c>
      <c r="B4372" s="3" t="s">
        <v>841</v>
      </c>
      <c r="C4372" s="3" t="s">
        <v>56</v>
      </c>
      <c r="D4372" s="3" t="s">
        <v>68</v>
      </c>
      <c r="E4372" s="3" t="s">
        <v>100</v>
      </c>
      <c r="F4372" s="3" t="s">
        <v>1313</v>
      </c>
      <c r="G4372" s="7">
        <v>46061.80402249704</v>
      </c>
    </row>
    <row r="4373">
      <c r="A4373" s="3" t="s">
        <v>13592</v>
      </c>
      <c r="B4373" s="3" t="s">
        <v>363</v>
      </c>
      <c r="C4373" s="3" t="s">
        <v>1095</v>
      </c>
      <c r="D4373" s="3" t="s">
        <v>68</v>
      </c>
      <c r="E4373" s="3" t="s">
        <v>100</v>
      </c>
      <c r="F4373" s="3" t="s">
        <v>583</v>
      </c>
      <c r="G4373" s="7">
        <v>46061.87519734246</v>
      </c>
    </row>
    <row r="4374">
      <c r="A4374" s="3" t="s">
        <v>13596</v>
      </c>
      <c r="B4374" s="3" t="s">
        <v>123</v>
      </c>
      <c r="C4374" s="3" t="s">
        <v>1342</v>
      </c>
      <c r="D4374" s="3" t="s">
        <v>181</v>
      </c>
      <c r="E4374" s="3" t="s">
        <v>45</v>
      </c>
      <c r="F4374" s="3" t="s">
        <v>1455</v>
      </c>
      <c r="G4374" s="7">
        <v>46061.946372187864</v>
      </c>
    </row>
    <row r="4375">
      <c r="A4375" s="3" t="s">
        <v>13599</v>
      </c>
      <c r="B4375" s="3" t="s">
        <v>742</v>
      </c>
      <c r="C4375" s="3" t="s">
        <v>1095</v>
      </c>
      <c r="D4375" s="3" t="s">
        <v>68</v>
      </c>
      <c r="E4375" s="3" t="s">
        <v>100</v>
      </c>
      <c r="F4375" s="3" t="s">
        <v>1228</v>
      </c>
      <c r="G4375" s="7">
        <v>46062.01754703328</v>
      </c>
    </row>
    <row r="4376">
      <c r="A4376" s="3" t="s">
        <v>13601</v>
      </c>
      <c r="B4376" s="3" t="s">
        <v>953</v>
      </c>
      <c r="C4376" s="3" t="s">
        <v>1342</v>
      </c>
      <c r="D4376" s="3" t="s">
        <v>68</v>
      </c>
      <c r="E4376" s="3" t="s">
        <v>100</v>
      </c>
      <c r="F4376" s="3" t="s">
        <v>1083</v>
      </c>
      <c r="G4376" s="7">
        <v>46062.088721878696</v>
      </c>
    </row>
    <row r="4377">
      <c r="A4377" s="3" t="s">
        <v>13604</v>
      </c>
      <c r="B4377" s="3" t="s">
        <v>734</v>
      </c>
      <c r="C4377" s="3" t="s">
        <v>56</v>
      </c>
      <c r="D4377" s="3" t="s">
        <v>68</v>
      </c>
      <c r="E4377" s="3" t="s">
        <v>100</v>
      </c>
      <c r="F4377" s="3" t="s">
        <v>1315</v>
      </c>
      <c r="G4377" s="7">
        <v>46062.159896724115</v>
      </c>
    </row>
    <row r="4378">
      <c r="A4378" s="3" t="s">
        <v>13607</v>
      </c>
      <c r="B4378" s="3" t="s">
        <v>883</v>
      </c>
      <c r="C4378" s="3" t="s">
        <v>56</v>
      </c>
      <c r="D4378" s="3" t="s">
        <v>68</v>
      </c>
      <c r="E4378" s="3" t="s">
        <v>100</v>
      </c>
      <c r="F4378" s="3" t="s">
        <v>1318</v>
      </c>
      <c r="G4378" s="7">
        <v>46062.23107156953</v>
      </c>
    </row>
    <row r="4379">
      <c r="A4379" s="3" t="s">
        <v>13610</v>
      </c>
      <c r="B4379" s="3" t="s">
        <v>527</v>
      </c>
      <c r="C4379" s="3" t="s">
        <v>56</v>
      </c>
      <c r="D4379" s="3" t="s">
        <v>68</v>
      </c>
      <c r="E4379" s="3" t="s">
        <v>100</v>
      </c>
      <c r="F4379" s="3" t="s">
        <v>1322</v>
      </c>
      <c r="G4379" s="7">
        <v>46062.30224641495</v>
      </c>
    </row>
    <row r="4380">
      <c r="A4380" s="3" t="s">
        <v>13613</v>
      </c>
      <c r="B4380" s="3" t="s">
        <v>512</v>
      </c>
      <c r="C4380" s="3" t="s">
        <v>1342</v>
      </c>
      <c r="D4380" s="3" t="s">
        <v>68</v>
      </c>
      <c r="E4380" s="3" t="s">
        <v>100</v>
      </c>
      <c r="F4380" s="3" t="s">
        <v>2025</v>
      </c>
      <c r="G4380" s="7">
        <v>46062.37342126036</v>
      </c>
    </row>
    <row r="4381">
      <c r="A4381" s="3" t="s">
        <v>13616</v>
      </c>
      <c r="B4381" s="3" t="s">
        <v>215</v>
      </c>
      <c r="C4381" s="3" t="s">
        <v>56</v>
      </c>
      <c r="D4381" s="3" t="s">
        <v>68</v>
      </c>
      <c r="E4381" s="3" t="s">
        <v>100</v>
      </c>
      <c r="F4381" s="3" t="s">
        <v>1324</v>
      </c>
      <c r="G4381" s="7">
        <v>46062.44459610577</v>
      </c>
    </row>
    <row r="4382">
      <c r="A4382" s="3" t="s">
        <v>13619</v>
      </c>
      <c r="B4382" s="3" t="s">
        <v>419</v>
      </c>
      <c r="C4382" s="3" t="s">
        <v>56</v>
      </c>
      <c r="D4382" s="3" t="s">
        <v>195</v>
      </c>
      <c r="E4382" s="3" t="s">
        <v>45</v>
      </c>
      <c r="F4382" s="3" t="s">
        <v>45</v>
      </c>
      <c r="G4382" s="7">
        <v>46062.51577095119</v>
      </c>
    </row>
    <row r="4383">
      <c r="A4383" s="3" t="s">
        <v>13623</v>
      </c>
      <c r="B4383" s="3" t="s">
        <v>953</v>
      </c>
      <c r="C4383" s="3" t="s">
        <v>1095</v>
      </c>
      <c r="D4383" s="3" t="s">
        <v>68</v>
      </c>
      <c r="E4383" s="3" t="s">
        <v>100</v>
      </c>
      <c r="F4383" s="3" t="s">
        <v>1083</v>
      </c>
      <c r="G4383" s="7">
        <v>46062.586945796604</v>
      </c>
    </row>
    <row r="4384">
      <c r="A4384" s="3" t="s">
        <v>13627</v>
      </c>
      <c r="B4384" s="3" t="s">
        <v>253</v>
      </c>
      <c r="C4384" s="3" t="s">
        <v>1342</v>
      </c>
      <c r="D4384" s="3" t="s">
        <v>68</v>
      </c>
      <c r="E4384" s="3" t="s">
        <v>100</v>
      </c>
      <c r="F4384" s="3" t="s">
        <v>611</v>
      </c>
      <c r="G4384" s="7">
        <v>46062.658120642016</v>
      </c>
    </row>
    <row r="4385">
      <c r="A4385" s="3" t="s">
        <v>13630</v>
      </c>
      <c r="B4385" s="3" t="s">
        <v>704</v>
      </c>
      <c r="C4385" s="3" t="s">
        <v>56</v>
      </c>
      <c r="D4385" s="3" t="s">
        <v>68</v>
      </c>
      <c r="E4385" s="3" t="s">
        <v>100</v>
      </c>
      <c r="F4385" s="3" t="s">
        <v>1327</v>
      </c>
      <c r="G4385" s="7">
        <v>46062.729295487436</v>
      </c>
    </row>
    <row r="4386">
      <c r="A4386" s="3" t="s">
        <v>13632</v>
      </c>
      <c r="B4386" s="3" t="s">
        <v>310</v>
      </c>
      <c r="C4386" s="3" t="s">
        <v>1342</v>
      </c>
      <c r="D4386" s="3" t="s">
        <v>68</v>
      </c>
      <c r="E4386" s="3" t="s">
        <v>100</v>
      </c>
      <c r="F4386" s="3" t="s">
        <v>1055</v>
      </c>
      <c r="G4386" s="7">
        <v>46062.80047033285</v>
      </c>
    </row>
    <row r="4387">
      <c r="A4387" s="3" t="s">
        <v>13634</v>
      </c>
      <c r="B4387" s="3" t="s">
        <v>1011</v>
      </c>
      <c r="C4387" s="3" t="s">
        <v>56</v>
      </c>
      <c r="D4387" s="3" t="s">
        <v>68</v>
      </c>
      <c r="E4387" s="3" t="s">
        <v>100</v>
      </c>
      <c r="F4387" s="3" t="s">
        <v>1329</v>
      </c>
      <c r="G4387" s="7">
        <v>46062.87164517826</v>
      </c>
    </row>
    <row r="4388">
      <c r="A4388" s="3" t="s">
        <v>13636</v>
      </c>
      <c r="B4388" s="3" t="s">
        <v>569</v>
      </c>
      <c r="C4388" s="3" t="s">
        <v>1095</v>
      </c>
      <c r="D4388" s="3" t="s">
        <v>68</v>
      </c>
      <c r="E4388" s="3" t="s">
        <v>100</v>
      </c>
      <c r="F4388" s="3" t="s">
        <v>1226</v>
      </c>
      <c r="G4388" s="7">
        <v>46062.94282002368</v>
      </c>
    </row>
    <row r="4389">
      <c r="A4389" s="3" t="s">
        <v>13638</v>
      </c>
      <c r="B4389" s="3" t="s">
        <v>903</v>
      </c>
      <c r="C4389" s="3" t="s">
        <v>56</v>
      </c>
      <c r="D4389" s="3" t="s">
        <v>68</v>
      </c>
      <c r="E4389" s="3" t="s">
        <v>100</v>
      </c>
      <c r="F4389" s="3" t="s">
        <v>1333</v>
      </c>
      <c r="G4389" s="7">
        <v>46063.0139948691</v>
      </c>
    </row>
    <row r="4390">
      <c r="A4390" s="3" t="s">
        <v>13641</v>
      </c>
      <c r="B4390" s="3" t="s">
        <v>969</v>
      </c>
      <c r="C4390" s="3" t="s">
        <v>1342</v>
      </c>
      <c r="D4390" s="3" t="s">
        <v>68</v>
      </c>
      <c r="E4390" s="3" t="s">
        <v>100</v>
      </c>
      <c r="F4390" s="3" t="s">
        <v>1869</v>
      </c>
      <c r="G4390" s="7">
        <v>46063.085169714504</v>
      </c>
    </row>
    <row r="4391">
      <c r="A4391" s="3" t="s">
        <v>13645</v>
      </c>
      <c r="B4391" s="3" t="s">
        <v>293</v>
      </c>
      <c r="C4391" s="3" t="s">
        <v>1342</v>
      </c>
      <c r="D4391" s="3" t="s">
        <v>68</v>
      </c>
      <c r="E4391" s="3" t="s">
        <v>100</v>
      </c>
      <c r="F4391" s="3" t="s">
        <v>1943</v>
      </c>
      <c r="G4391" s="7">
        <v>46063.156344559924</v>
      </c>
    </row>
    <row r="4392">
      <c r="A4392" s="3" t="s">
        <v>13649</v>
      </c>
      <c r="B4392" s="3" t="s">
        <v>501</v>
      </c>
      <c r="C4392" s="3" t="s">
        <v>56</v>
      </c>
      <c r="D4392" s="3" t="s">
        <v>68</v>
      </c>
      <c r="E4392" s="3" t="s">
        <v>100</v>
      </c>
      <c r="F4392" s="3" t="s">
        <v>1335</v>
      </c>
      <c r="G4392" s="7">
        <v>46063.22751940534</v>
      </c>
    </row>
    <row r="4393">
      <c r="A4393" s="3" t="s">
        <v>13650</v>
      </c>
      <c r="B4393" s="3" t="s">
        <v>949</v>
      </c>
      <c r="C4393" s="3" t="s">
        <v>1342</v>
      </c>
      <c r="D4393" s="3" t="s">
        <v>68</v>
      </c>
      <c r="E4393" s="3" t="s">
        <v>100</v>
      </c>
      <c r="F4393" s="3" t="s">
        <v>1753</v>
      </c>
      <c r="G4393" s="7">
        <v>46063.298694250756</v>
      </c>
    </row>
    <row r="4394">
      <c r="A4394" s="3" t="s">
        <v>13654</v>
      </c>
      <c r="B4394" s="3" t="s">
        <v>763</v>
      </c>
      <c r="C4394" s="3" t="s">
        <v>1095</v>
      </c>
      <c r="D4394" s="3" t="s">
        <v>195</v>
      </c>
      <c r="E4394" s="3" t="s">
        <v>45</v>
      </c>
      <c r="F4394" s="3" t="s">
        <v>928</v>
      </c>
      <c r="G4394" s="7">
        <v>46063.36986909617</v>
      </c>
    </row>
    <row r="4395">
      <c r="A4395" s="3" t="s">
        <v>13658</v>
      </c>
      <c r="B4395" s="3" t="s">
        <v>280</v>
      </c>
      <c r="C4395" s="3" t="s">
        <v>1342</v>
      </c>
      <c r="D4395" s="3" t="s">
        <v>68</v>
      </c>
      <c r="E4395" s="3" t="s">
        <v>100</v>
      </c>
      <c r="F4395" s="3" t="s">
        <v>1951</v>
      </c>
      <c r="G4395" s="7">
        <v>46063.44104394159</v>
      </c>
    </row>
    <row r="4396">
      <c r="A4396" s="3" t="s">
        <v>13661</v>
      </c>
      <c r="B4396" s="3" t="s">
        <v>760</v>
      </c>
      <c r="C4396" s="3" t="s">
        <v>56</v>
      </c>
      <c r="D4396" s="3" t="s">
        <v>68</v>
      </c>
      <c r="E4396" s="3" t="s">
        <v>100</v>
      </c>
      <c r="F4396" s="3" t="s">
        <v>1338</v>
      </c>
      <c r="G4396" s="7">
        <v>46063.512218787</v>
      </c>
    </row>
    <row r="4397">
      <c r="A4397" s="3" t="s">
        <v>13663</v>
      </c>
      <c r="B4397" s="3" t="s">
        <v>250</v>
      </c>
      <c r="C4397" s="3" t="s">
        <v>1342</v>
      </c>
      <c r="D4397" s="3" t="s">
        <v>68</v>
      </c>
      <c r="E4397" s="3" t="s">
        <v>100</v>
      </c>
      <c r="F4397" s="3" t="s">
        <v>2113</v>
      </c>
      <c r="G4397" s="7">
        <v>46063.58339363241</v>
      </c>
    </row>
    <row r="4398">
      <c r="A4398" s="3" t="s">
        <v>13665</v>
      </c>
      <c r="B4398" s="3" t="s">
        <v>949</v>
      </c>
      <c r="C4398" s="3" t="s">
        <v>1095</v>
      </c>
      <c r="D4398" s="3" t="s">
        <v>68</v>
      </c>
      <c r="E4398" s="3" t="s">
        <v>100</v>
      </c>
      <c r="F4398" s="3" t="s">
        <v>1753</v>
      </c>
      <c r="G4398" s="7">
        <v>46063.65456847783</v>
      </c>
    </row>
    <row r="4399">
      <c r="A4399" s="3" t="s">
        <v>13667</v>
      </c>
      <c r="B4399" s="3" t="s">
        <v>883</v>
      </c>
      <c r="C4399" s="3" t="s">
        <v>1095</v>
      </c>
      <c r="D4399" s="3" t="s">
        <v>68</v>
      </c>
      <c r="E4399" s="3" t="s">
        <v>100</v>
      </c>
      <c r="F4399" s="3" t="s">
        <v>1318</v>
      </c>
      <c r="G4399" s="7">
        <v>46063.725743323244</v>
      </c>
    </row>
    <row r="4400">
      <c r="A4400" s="3" t="s">
        <v>13670</v>
      </c>
      <c r="B4400" s="3" t="s">
        <v>453</v>
      </c>
      <c r="C4400" s="3" t="s">
        <v>1342</v>
      </c>
      <c r="D4400" s="3" t="s">
        <v>68</v>
      </c>
      <c r="E4400" s="3" t="s">
        <v>100</v>
      </c>
      <c r="F4400" s="3" t="s">
        <v>1248</v>
      </c>
      <c r="G4400" s="7">
        <v>46063.79691816866</v>
      </c>
    </row>
    <row r="4401">
      <c r="A4401" s="3" t="s">
        <v>13674</v>
      </c>
      <c r="B4401" s="3" t="s">
        <v>468</v>
      </c>
      <c r="C4401" s="3" t="s">
        <v>1342</v>
      </c>
      <c r="D4401" s="3" t="s">
        <v>195</v>
      </c>
      <c r="E4401" s="3" t="s">
        <v>45</v>
      </c>
      <c r="F4401" s="3" t="s">
        <v>1204</v>
      </c>
      <c r="G4401" s="7">
        <v>46063.868093014076</v>
      </c>
    </row>
    <row r="4402">
      <c r="A4402" s="3" t="s">
        <v>13677</v>
      </c>
      <c r="B4402" s="3" t="s">
        <v>414</v>
      </c>
      <c r="C4402" s="3" t="s">
        <v>1342</v>
      </c>
      <c r="D4402" s="3" t="s">
        <v>68</v>
      </c>
      <c r="E4402" s="3" t="s">
        <v>100</v>
      </c>
      <c r="F4402" s="3" t="s">
        <v>1302</v>
      </c>
      <c r="G4402" s="7">
        <v>46063.93926785949</v>
      </c>
    </row>
    <row r="4403">
      <c r="A4403" s="3" t="s">
        <v>13680</v>
      </c>
      <c r="B4403" s="3" t="s">
        <v>727</v>
      </c>
      <c r="C4403" s="3" t="s">
        <v>1342</v>
      </c>
      <c r="D4403" s="3" t="s">
        <v>68</v>
      </c>
      <c r="E4403" s="3" t="s">
        <v>100</v>
      </c>
      <c r="F4403" s="3" t="s">
        <v>553</v>
      </c>
      <c r="G4403" s="7">
        <v>46064.0104427049</v>
      </c>
    </row>
    <row r="4404">
      <c r="A4404" s="3" t="s">
        <v>13683</v>
      </c>
      <c r="B4404" s="3" t="s">
        <v>895</v>
      </c>
      <c r="C4404" s="3" t="s">
        <v>56</v>
      </c>
      <c r="D4404" s="3" t="s">
        <v>68</v>
      </c>
      <c r="E4404" s="3" t="s">
        <v>100</v>
      </c>
      <c r="F4404" s="3" t="s">
        <v>1341</v>
      </c>
      <c r="G4404" s="7">
        <v>46064.08161755032</v>
      </c>
    </row>
    <row r="4405">
      <c r="A4405" s="3" t="s">
        <v>13685</v>
      </c>
      <c r="B4405" s="3" t="s">
        <v>269</v>
      </c>
      <c r="C4405" s="3" t="s">
        <v>1095</v>
      </c>
      <c r="D4405" s="3" t="s">
        <v>68</v>
      </c>
      <c r="E4405" s="3" t="s">
        <v>100</v>
      </c>
      <c r="F4405" s="3" t="s">
        <v>1245</v>
      </c>
      <c r="G4405" s="7">
        <v>46064.15279239574</v>
      </c>
    </row>
    <row r="4406">
      <c r="A4406" s="3" t="s">
        <v>13687</v>
      </c>
      <c r="B4406" s="3" t="s">
        <v>541</v>
      </c>
      <c r="C4406" s="3" t="s">
        <v>1095</v>
      </c>
      <c r="D4406" s="3" t="s">
        <v>68</v>
      </c>
      <c r="E4406" s="3" t="s">
        <v>100</v>
      </c>
      <c r="F4406" s="3" t="s">
        <v>1272</v>
      </c>
      <c r="G4406" s="7">
        <v>46064.223967241145</v>
      </c>
    </row>
    <row r="4407">
      <c r="A4407" s="3" t="s">
        <v>13690</v>
      </c>
      <c r="B4407" s="3" t="s">
        <v>269</v>
      </c>
      <c r="C4407" s="3" t="s">
        <v>56</v>
      </c>
      <c r="D4407" s="3" t="s">
        <v>68</v>
      </c>
      <c r="E4407" s="3" t="s">
        <v>100</v>
      </c>
      <c r="F4407" s="3" t="s">
        <v>1343</v>
      </c>
      <c r="G4407" s="7">
        <v>46064.295142086565</v>
      </c>
    </row>
    <row r="4408">
      <c r="A4408" s="3" t="s">
        <v>13693</v>
      </c>
      <c r="B4408" s="3" t="s">
        <v>496</v>
      </c>
      <c r="C4408" s="3" t="s">
        <v>1095</v>
      </c>
      <c r="D4408" s="3" t="s">
        <v>68</v>
      </c>
      <c r="E4408" s="3" t="s">
        <v>100</v>
      </c>
      <c r="F4408" s="3" t="s">
        <v>1297</v>
      </c>
      <c r="G4408" s="7">
        <v>46064.366316931984</v>
      </c>
    </row>
    <row r="4409">
      <c r="A4409" s="3" t="s">
        <v>13696</v>
      </c>
      <c r="B4409" s="3" t="s">
        <v>330</v>
      </c>
      <c r="C4409" s="3" t="s">
        <v>1095</v>
      </c>
      <c r="D4409" s="3" t="s">
        <v>181</v>
      </c>
      <c r="E4409" s="3" t="s">
        <v>45</v>
      </c>
      <c r="F4409" s="3" t="s">
        <v>721</v>
      </c>
      <c r="G4409" s="7">
        <v>46064.4374917774</v>
      </c>
    </row>
    <row r="4410">
      <c r="A4410" s="3" t="s">
        <v>13698</v>
      </c>
      <c r="B4410" s="3" t="s">
        <v>539</v>
      </c>
      <c r="C4410" s="3" t="s">
        <v>56</v>
      </c>
      <c r="D4410" s="3" t="s">
        <v>68</v>
      </c>
      <c r="E4410" s="3" t="s">
        <v>100</v>
      </c>
      <c r="F4410" s="3" t="s">
        <v>1346</v>
      </c>
      <c r="G4410" s="7">
        <v>46064.50866662281</v>
      </c>
    </row>
    <row r="4411">
      <c r="A4411" s="3" t="s">
        <v>13701</v>
      </c>
      <c r="B4411" s="3" t="s">
        <v>183</v>
      </c>
      <c r="C4411" s="3" t="s">
        <v>1095</v>
      </c>
      <c r="D4411" s="3" t="s">
        <v>68</v>
      </c>
      <c r="E4411" s="3" t="s">
        <v>100</v>
      </c>
      <c r="F4411" s="3" t="s">
        <v>1201</v>
      </c>
      <c r="G4411" s="7">
        <v>46064.57984146823</v>
      </c>
    </row>
    <row r="4412">
      <c r="A4412" s="3" t="s">
        <v>13704</v>
      </c>
      <c r="B4412" s="3" t="s">
        <v>272</v>
      </c>
      <c r="C4412" s="3" t="s">
        <v>1095</v>
      </c>
      <c r="D4412" s="3" t="s">
        <v>195</v>
      </c>
      <c r="E4412" s="3" t="s">
        <v>45</v>
      </c>
      <c r="F4412" s="3" t="s">
        <v>923</v>
      </c>
      <c r="G4412" s="7">
        <v>46064.65101631364</v>
      </c>
    </row>
    <row r="4413">
      <c r="A4413" s="3" t="s">
        <v>13708</v>
      </c>
      <c r="B4413" s="3" t="s">
        <v>383</v>
      </c>
      <c r="C4413" s="3" t="s">
        <v>1342</v>
      </c>
      <c r="D4413" s="3" t="s">
        <v>68</v>
      </c>
      <c r="E4413" s="3" t="s">
        <v>100</v>
      </c>
      <c r="F4413" s="3" t="s">
        <v>1129</v>
      </c>
      <c r="G4413" s="7">
        <v>46064.72219115905</v>
      </c>
    </row>
    <row r="4414">
      <c r="A4414" s="3" t="s">
        <v>13711</v>
      </c>
      <c r="B4414" s="3" t="s">
        <v>287</v>
      </c>
      <c r="C4414" s="3" t="s">
        <v>56</v>
      </c>
      <c r="D4414" s="3" t="s">
        <v>68</v>
      </c>
      <c r="E4414" s="3" t="s">
        <v>100</v>
      </c>
      <c r="F4414" s="3" t="s">
        <v>1348</v>
      </c>
      <c r="G4414" s="7">
        <v>46064.79336600447</v>
      </c>
    </row>
    <row r="4415">
      <c r="A4415" s="3" t="s">
        <v>13714</v>
      </c>
      <c r="B4415" s="3" t="s">
        <v>615</v>
      </c>
      <c r="C4415" s="3" t="s">
        <v>56</v>
      </c>
      <c r="D4415" s="3" t="s">
        <v>68</v>
      </c>
      <c r="E4415" s="3" t="s">
        <v>100</v>
      </c>
      <c r="F4415" s="3" t="s">
        <v>1351</v>
      </c>
      <c r="G4415" s="7">
        <v>46064.864540849885</v>
      </c>
    </row>
    <row r="4416">
      <c r="A4416" s="3" t="s">
        <v>13718</v>
      </c>
      <c r="B4416" s="3" t="s">
        <v>605</v>
      </c>
      <c r="C4416" s="3" t="s">
        <v>1342</v>
      </c>
      <c r="D4416" s="3" t="s">
        <v>181</v>
      </c>
      <c r="E4416" s="3" t="s">
        <v>45</v>
      </c>
      <c r="F4416" s="3" t="s">
        <v>589</v>
      </c>
      <c r="G4416" s="7">
        <v>46064.9357156953</v>
      </c>
    </row>
    <row r="4417">
      <c r="A4417" s="3" t="s">
        <v>13722</v>
      </c>
      <c r="B4417" s="3" t="s">
        <v>183</v>
      </c>
      <c r="C4417" s="3" t="s">
        <v>56</v>
      </c>
      <c r="D4417" s="3" t="s">
        <v>68</v>
      </c>
      <c r="E4417" s="3" t="s">
        <v>100</v>
      </c>
      <c r="F4417" s="3" t="s">
        <v>1354</v>
      </c>
      <c r="G4417" s="7">
        <v>46065.00689054072</v>
      </c>
    </row>
    <row r="4418">
      <c r="A4418" s="3" t="s">
        <v>13725</v>
      </c>
      <c r="B4418" s="3" t="s">
        <v>512</v>
      </c>
      <c r="C4418" s="3" t="s">
        <v>1095</v>
      </c>
      <c r="D4418" s="3" t="s">
        <v>68</v>
      </c>
      <c r="E4418" s="3" t="s">
        <v>100</v>
      </c>
      <c r="F4418" s="3" t="s">
        <v>2025</v>
      </c>
      <c r="G4418" s="7">
        <v>46065.07806538613</v>
      </c>
    </row>
    <row r="4419">
      <c r="A4419" s="3" t="s">
        <v>13729</v>
      </c>
      <c r="B4419" s="3" t="s">
        <v>290</v>
      </c>
      <c r="C4419" s="3" t="s">
        <v>56</v>
      </c>
      <c r="D4419" s="3" t="s">
        <v>68</v>
      </c>
      <c r="E4419" s="3" t="s">
        <v>100</v>
      </c>
      <c r="F4419" s="3" t="s">
        <v>1356</v>
      </c>
      <c r="G4419" s="7">
        <v>46065.14924023154</v>
      </c>
    </row>
    <row r="4420">
      <c r="A4420" s="3" t="s">
        <v>13733</v>
      </c>
      <c r="B4420" s="3" t="s">
        <v>475</v>
      </c>
      <c r="C4420" s="3" t="s">
        <v>56</v>
      </c>
      <c r="D4420" s="3" t="s">
        <v>195</v>
      </c>
      <c r="E4420" s="3" t="s">
        <v>45</v>
      </c>
      <c r="F4420" s="3" t="s">
        <v>45</v>
      </c>
      <c r="G4420" s="7">
        <v>46065.22041507696</v>
      </c>
    </row>
    <row r="4421">
      <c r="A4421" s="3" t="s">
        <v>13735</v>
      </c>
      <c r="B4421" s="3" t="s">
        <v>622</v>
      </c>
      <c r="C4421" s="3" t="s">
        <v>1095</v>
      </c>
      <c r="D4421" s="3" t="s">
        <v>195</v>
      </c>
      <c r="E4421" s="3" t="s">
        <v>45</v>
      </c>
      <c r="F4421" s="3" t="s">
        <v>681</v>
      </c>
      <c r="G4421" s="7">
        <v>46065.29158992238</v>
      </c>
    </row>
    <row r="4422">
      <c r="A4422" s="3" t="s">
        <v>13739</v>
      </c>
      <c r="B4422" s="3" t="s">
        <v>276</v>
      </c>
      <c r="C4422" s="3" t="s">
        <v>1095</v>
      </c>
      <c r="D4422" s="3" t="s">
        <v>68</v>
      </c>
      <c r="E4422" s="3" t="s">
        <v>100</v>
      </c>
      <c r="F4422" s="3" t="s">
        <v>1950</v>
      </c>
      <c r="G4422" s="7">
        <v>46065.36276476779</v>
      </c>
    </row>
    <row r="4423">
      <c r="A4423" s="3" t="s">
        <v>13742</v>
      </c>
      <c r="B4423" s="3" t="s">
        <v>123</v>
      </c>
      <c r="C4423" s="3" t="s">
        <v>1095</v>
      </c>
      <c r="D4423" s="3" t="s">
        <v>68</v>
      </c>
      <c r="E4423" s="3" t="s">
        <v>100</v>
      </c>
      <c r="F4423" s="3" t="s">
        <v>1455</v>
      </c>
      <c r="G4423" s="7">
        <v>46065.433939613205</v>
      </c>
    </row>
    <row r="4424">
      <c r="A4424" s="3" t="s">
        <v>13745</v>
      </c>
      <c r="B4424" s="3" t="s">
        <v>598</v>
      </c>
      <c r="C4424" s="3" t="s">
        <v>1342</v>
      </c>
      <c r="D4424" s="3" t="s">
        <v>181</v>
      </c>
      <c r="E4424" s="3" t="s">
        <v>45</v>
      </c>
      <c r="F4424" s="3" t="s">
        <v>1054</v>
      </c>
      <c r="G4424" s="7">
        <v>46065.505114458625</v>
      </c>
    </row>
    <row r="4425">
      <c r="A4425" s="3" t="s">
        <v>13747</v>
      </c>
      <c r="B4425" s="3" t="s">
        <v>512</v>
      </c>
      <c r="C4425" s="3" t="s">
        <v>56</v>
      </c>
      <c r="D4425" s="3" t="s">
        <v>68</v>
      </c>
      <c r="E4425" s="3" t="s">
        <v>100</v>
      </c>
      <c r="F4425" s="3" t="s">
        <v>1361</v>
      </c>
      <c r="G4425" s="7">
        <v>46065.57628930404</v>
      </c>
    </row>
    <row r="4426">
      <c r="A4426" s="3" t="s">
        <v>13749</v>
      </c>
      <c r="B4426" s="3" t="s">
        <v>148</v>
      </c>
      <c r="C4426" s="3" t="s">
        <v>56</v>
      </c>
      <c r="D4426" s="3" t="s">
        <v>68</v>
      </c>
      <c r="E4426" s="3" t="s">
        <v>100</v>
      </c>
      <c r="F4426" s="3" t="s">
        <v>1363</v>
      </c>
      <c r="G4426" s="7">
        <v>46065.64746414945</v>
      </c>
    </row>
    <row r="4427">
      <c r="A4427" s="3" t="s">
        <v>13751</v>
      </c>
      <c r="B4427" s="3" t="s">
        <v>449</v>
      </c>
      <c r="C4427" s="3" t="s">
        <v>1342</v>
      </c>
      <c r="D4427" s="3" t="s">
        <v>68</v>
      </c>
      <c r="E4427" s="3" t="s">
        <v>100</v>
      </c>
      <c r="F4427" s="3" t="s">
        <v>560</v>
      </c>
      <c r="G4427" s="7">
        <v>46065.71863899487</v>
      </c>
    </row>
    <row r="4428">
      <c r="A4428" s="3" t="s">
        <v>13753</v>
      </c>
      <c r="B4428" s="3" t="s">
        <v>521</v>
      </c>
      <c r="C4428" s="3" t="s">
        <v>1342</v>
      </c>
      <c r="D4428" s="3" t="s">
        <v>68</v>
      </c>
      <c r="E4428" s="3" t="s">
        <v>100</v>
      </c>
      <c r="F4428" s="3" t="s">
        <v>659</v>
      </c>
      <c r="G4428" s="7">
        <v>46065.78981384028</v>
      </c>
    </row>
    <row r="4429">
      <c r="A4429" s="3" t="s">
        <v>13754</v>
      </c>
      <c r="B4429" s="3" t="s">
        <v>657</v>
      </c>
      <c r="C4429" s="3" t="s">
        <v>1342</v>
      </c>
      <c r="D4429" s="3" t="s">
        <v>68</v>
      </c>
      <c r="E4429" s="3" t="s">
        <v>100</v>
      </c>
      <c r="F4429" s="3" t="s">
        <v>1804</v>
      </c>
      <c r="G4429" s="7">
        <v>46065.860988685694</v>
      </c>
    </row>
    <row r="4430">
      <c r="A4430" s="3" t="s">
        <v>13756</v>
      </c>
      <c r="B4430" s="3" t="s">
        <v>189</v>
      </c>
      <c r="C4430" s="3" t="s">
        <v>1095</v>
      </c>
      <c r="D4430" s="3" t="s">
        <v>68</v>
      </c>
      <c r="E4430" s="3" t="s">
        <v>100</v>
      </c>
      <c r="F4430" s="3" t="s">
        <v>1119</v>
      </c>
      <c r="G4430" s="7">
        <v>46065.93216353111</v>
      </c>
    </row>
    <row r="4431">
      <c r="A4431" s="3" t="s">
        <v>13758</v>
      </c>
      <c r="B4431" s="3" t="s">
        <v>290</v>
      </c>
      <c r="C4431" s="3" t="s">
        <v>1095</v>
      </c>
      <c r="D4431" s="3" t="s">
        <v>181</v>
      </c>
      <c r="E4431" s="3" t="s">
        <v>45</v>
      </c>
      <c r="F4431" s="3" t="s">
        <v>1356</v>
      </c>
      <c r="G4431" s="7">
        <v>46066.003338376526</v>
      </c>
    </row>
    <row r="4432">
      <c r="A4432" s="3" t="s">
        <v>13760</v>
      </c>
      <c r="B4432" s="3" t="s">
        <v>455</v>
      </c>
      <c r="C4432" s="3" t="s">
        <v>56</v>
      </c>
      <c r="D4432" s="3" t="s">
        <v>68</v>
      </c>
      <c r="E4432" s="3" t="s">
        <v>100</v>
      </c>
      <c r="F4432" s="3" t="s">
        <v>1366</v>
      </c>
      <c r="G4432" s="7">
        <v>46066.07451322194</v>
      </c>
    </row>
    <row r="4433">
      <c r="A4433" s="3" t="s">
        <v>13761</v>
      </c>
      <c r="B4433" s="3" t="s">
        <v>826</v>
      </c>
      <c r="C4433" s="3" t="s">
        <v>1342</v>
      </c>
      <c r="D4433" s="3" t="s">
        <v>68</v>
      </c>
      <c r="E4433" s="3" t="s">
        <v>100</v>
      </c>
      <c r="F4433" s="3" t="s">
        <v>693</v>
      </c>
      <c r="G4433" s="7">
        <v>46066.14568806736</v>
      </c>
    </row>
    <row r="4434">
      <c r="A4434" s="3" t="s">
        <v>13763</v>
      </c>
      <c r="B4434" s="3" t="s">
        <v>937</v>
      </c>
      <c r="C4434" s="3" t="s">
        <v>56</v>
      </c>
      <c r="D4434" s="3" t="s">
        <v>68</v>
      </c>
      <c r="E4434" s="3" t="s">
        <v>100</v>
      </c>
      <c r="F4434" s="3" t="s">
        <v>1369</v>
      </c>
      <c r="G4434" s="7">
        <v>46066.21686291278</v>
      </c>
    </row>
    <row r="4435">
      <c r="A4435" s="3" t="s">
        <v>13766</v>
      </c>
      <c r="B4435" s="3" t="s">
        <v>574</v>
      </c>
      <c r="C4435" s="3" t="s">
        <v>1095</v>
      </c>
      <c r="D4435" s="3" t="s">
        <v>181</v>
      </c>
      <c r="E4435" s="3" t="s">
        <v>45</v>
      </c>
      <c r="F4435" s="3" t="s">
        <v>1747</v>
      </c>
      <c r="G4435" s="7">
        <v>46066.28803775818</v>
      </c>
    </row>
    <row r="4436">
      <c r="A4436" s="3" t="s">
        <v>13770</v>
      </c>
      <c r="B4436" s="3" t="s">
        <v>449</v>
      </c>
      <c r="C4436" s="3" t="s">
        <v>1342</v>
      </c>
      <c r="D4436" s="3" t="s">
        <v>68</v>
      </c>
      <c r="E4436" s="3" t="s">
        <v>100</v>
      </c>
      <c r="F4436" s="3" t="s">
        <v>560</v>
      </c>
      <c r="G4436" s="7">
        <v>46066.3592126036</v>
      </c>
    </row>
    <row r="4437">
      <c r="A4437" s="3" t="s">
        <v>13774</v>
      </c>
      <c r="B4437" s="3" t="s">
        <v>530</v>
      </c>
      <c r="C4437" s="3" t="s">
        <v>1095</v>
      </c>
      <c r="D4437" s="3" t="s">
        <v>68</v>
      </c>
      <c r="E4437" s="3" t="s">
        <v>100</v>
      </c>
      <c r="F4437" s="3" t="s">
        <v>1988</v>
      </c>
      <c r="G4437" s="7">
        <v>46066.43038744902</v>
      </c>
    </row>
    <row r="4438">
      <c r="A4438" s="3" t="s">
        <v>13777</v>
      </c>
      <c r="B4438" s="3" t="s">
        <v>652</v>
      </c>
      <c r="C4438" s="3" t="s">
        <v>1342</v>
      </c>
      <c r="D4438" s="3" t="s">
        <v>68</v>
      </c>
      <c r="E4438" s="3" t="s">
        <v>100</v>
      </c>
      <c r="F4438" s="3" t="s">
        <v>1094</v>
      </c>
      <c r="G4438" s="7">
        <v>46066.501562294434</v>
      </c>
    </row>
    <row r="4439">
      <c r="A4439" s="3" t="s">
        <v>13780</v>
      </c>
      <c r="B4439" s="3" t="s">
        <v>758</v>
      </c>
      <c r="C4439" s="3" t="s">
        <v>1095</v>
      </c>
      <c r="D4439" s="3" t="s">
        <v>68</v>
      </c>
      <c r="E4439" s="3" t="s">
        <v>100</v>
      </c>
      <c r="F4439" s="3" t="s">
        <v>1879</v>
      </c>
      <c r="G4439" s="7">
        <v>46066.572737139846</v>
      </c>
    </row>
    <row r="4440">
      <c r="A4440" s="3" t="s">
        <v>13785</v>
      </c>
      <c r="B4440" s="3" t="s">
        <v>713</v>
      </c>
      <c r="C4440" s="3" t="s">
        <v>1342</v>
      </c>
      <c r="D4440" s="3" t="s">
        <v>68</v>
      </c>
      <c r="E4440" s="3" t="s">
        <v>100</v>
      </c>
      <c r="F4440" s="3" t="s">
        <v>1177</v>
      </c>
      <c r="G4440" s="7">
        <v>46066.643911985266</v>
      </c>
    </row>
    <row r="4441">
      <c r="A4441" s="3" t="s">
        <v>13788</v>
      </c>
      <c r="B4441" s="3" t="s">
        <v>631</v>
      </c>
      <c r="C4441" s="3" t="s">
        <v>1095</v>
      </c>
      <c r="D4441" s="3" t="s">
        <v>68</v>
      </c>
      <c r="E4441" s="3" t="s">
        <v>100</v>
      </c>
      <c r="F4441" s="3" t="s">
        <v>1066</v>
      </c>
      <c r="G4441" s="7">
        <v>46066.71508683068</v>
      </c>
    </row>
    <row r="4442">
      <c r="A4442" s="3" t="s">
        <v>13791</v>
      </c>
      <c r="B4442" s="3" t="s">
        <v>627</v>
      </c>
      <c r="C4442" s="3" t="s">
        <v>1342</v>
      </c>
      <c r="D4442" s="3" t="s">
        <v>68</v>
      </c>
      <c r="E4442" s="3" t="s">
        <v>100</v>
      </c>
      <c r="F4442" s="3" t="s">
        <v>1882</v>
      </c>
      <c r="G4442" s="7">
        <v>46066.78626167609</v>
      </c>
    </row>
    <row r="4443">
      <c r="A4443" s="3" t="s">
        <v>13796</v>
      </c>
      <c r="B4443" s="3" t="s">
        <v>197</v>
      </c>
      <c r="C4443" s="3" t="s">
        <v>1095</v>
      </c>
      <c r="D4443" s="3" t="s">
        <v>68</v>
      </c>
      <c r="E4443" s="3" t="s">
        <v>100</v>
      </c>
      <c r="F4443" s="3" t="s">
        <v>2064</v>
      </c>
      <c r="G4443" s="7">
        <v>46066.85743652151</v>
      </c>
    </row>
    <row r="4444">
      <c r="A4444" s="3" t="s">
        <v>13798</v>
      </c>
      <c r="B4444" s="3" t="s">
        <v>734</v>
      </c>
      <c r="C4444" s="3" t="s">
        <v>1342</v>
      </c>
      <c r="D4444" s="3" t="s">
        <v>68</v>
      </c>
      <c r="E4444" s="3" t="s">
        <v>100</v>
      </c>
      <c r="F4444" s="3" t="s">
        <v>1315</v>
      </c>
      <c r="G4444" s="7">
        <v>46066.92861136692</v>
      </c>
    </row>
    <row r="4445">
      <c r="A4445" s="3" t="s">
        <v>13800</v>
      </c>
      <c r="B4445" s="3" t="s">
        <v>319</v>
      </c>
      <c r="C4445" s="3" t="s">
        <v>56</v>
      </c>
      <c r="D4445" s="3" t="s">
        <v>68</v>
      </c>
      <c r="E4445" s="3" t="s">
        <v>100</v>
      </c>
      <c r="F4445" s="3" t="s">
        <v>1371</v>
      </c>
      <c r="G4445" s="7">
        <v>46066.999786212335</v>
      </c>
    </row>
    <row r="4446">
      <c r="A4446" s="3" t="s">
        <v>13806</v>
      </c>
      <c r="B4446" s="3" t="s">
        <v>655</v>
      </c>
      <c r="C4446" s="3" t="s">
        <v>56</v>
      </c>
      <c r="D4446" s="3" t="s">
        <v>181</v>
      </c>
      <c r="E4446" s="3" t="s">
        <v>45</v>
      </c>
      <c r="F4446" s="3" t="s">
        <v>45</v>
      </c>
      <c r="G4446" s="7">
        <v>46067.070961057754</v>
      </c>
    </row>
    <row r="4447">
      <c r="A4447" s="3" t="s">
        <v>13810</v>
      </c>
      <c r="B4447" s="3" t="s">
        <v>333</v>
      </c>
      <c r="C4447" s="3" t="s">
        <v>1095</v>
      </c>
      <c r="D4447" s="3" t="s">
        <v>68</v>
      </c>
      <c r="E4447" s="3" t="s">
        <v>100</v>
      </c>
      <c r="F4447" s="3" t="s">
        <v>1276</v>
      </c>
      <c r="G4447" s="7">
        <v>46067.14213590317</v>
      </c>
    </row>
    <row r="4448">
      <c r="A4448" s="3" t="s">
        <v>13813</v>
      </c>
      <c r="B4448" s="3" t="s">
        <v>141</v>
      </c>
      <c r="C4448" s="3" t="s">
        <v>1342</v>
      </c>
      <c r="D4448" s="3" t="s">
        <v>181</v>
      </c>
      <c r="E4448" s="3" t="s">
        <v>45</v>
      </c>
      <c r="F4448" s="3" t="s">
        <v>1117</v>
      </c>
      <c r="G4448" s="7">
        <v>46067.21331074858</v>
      </c>
    </row>
    <row r="4449">
      <c r="A4449" s="3" t="s">
        <v>13815</v>
      </c>
      <c r="B4449" s="3" t="s">
        <v>171</v>
      </c>
      <c r="C4449" s="3" t="s">
        <v>1095</v>
      </c>
      <c r="D4449" s="3" t="s">
        <v>181</v>
      </c>
      <c r="E4449" s="3" t="s">
        <v>45</v>
      </c>
      <c r="F4449" s="3" t="s">
        <v>1835</v>
      </c>
      <c r="G4449" s="7">
        <v>46067.284485594</v>
      </c>
    </row>
    <row r="4450">
      <c r="A4450" s="3" t="s">
        <v>13817</v>
      </c>
      <c r="B4450" s="3" t="s">
        <v>510</v>
      </c>
      <c r="C4450" s="3" t="s">
        <v>1342</v>
      </c>
      <c r="D4450" s="3" t="s">
        <v>68</v>
      </c>
      <c r="E4450" s="3" t="s">
        <v>100</v>
      </c>
      <c r="F4450" s="3" t="s">
        <v>1650</v>
      </c>
      <c r="G4450" s="7">
        <v>46067.35566043942</v>
      </c>
    </row>
    <row r="4451">
      <c r="A4451" s="3" t="s">
        <v>13819</v>
      </c>
      <c r="B4451" s="3" t="s">
        <v>141</v>
      </c>
      <c r="C4451" s="3" t="s">
        <v>1095</v>
      </c>
      <c r="D4451" s="3" t="s">
        <v>68</v>
      </c>
      <c r="E4451" s="3" t="s">
        <v>100</v>
      </c>
      <c r="F4451" s="3" t="s">
        <v>1117</v>
      </c>
      <c r="G4451" s="7">
        <v>46067.42683528482</v>
      </c>
    </row>
    <row r="4452">
      <c r="A4452" s="3" t="s">
        <v>13821</v>
      </c>
      <c r="B4452" s="3" t="s">
        <v>419</v>
      </c>
      <c r="C4452" s="3" t="s">
        <v>56</v>
      </c>
      <c r="D4452" s="3" t="s">
        <v>68</v>
      </c>
      <c r="E4452" s="3" t="s">
        <v>100</v>
      </c>
      <c r="F4452" s="3" t="s">
        <v>1373</v>
      </c>
      <c r="G4452" s="7">
        <v>46067.49801013024</v>
      </c>
    </row>
    <row r="4453">
      <c r="A4453" s="3" t="s">
        <v>13824</v>
      </c>
      <c r="B4453" s="3" t="s">
        <v>662</v>
      </c>
      <c r="C4453" s="3" t="s">
        <v>56</v>
      </c>
      <c r="D4453" s="3" t="s">
        <v>68</v>
      </c>
      <c r="E4453" s="3" t="s">
        <v>100</v>
      </c>
      <c r="F4453" s="3" t="s">
        <v>1376</v>
      </c>
      <c r="G4453" s="7">
        <v>46067.56918497566</v>
      </c>
    </row>
    <row r="4454">
      <c r="A4454" s="3" t="s">
        <v>13829</v>
      </c>
      <c r="B4454" s="3" t="s">
        <v>126</v>
      </c>
      <c r="C4454" s="3" t="s">
        <v>1095</v>
      </c>
      <c r="D4454" s="3" t="s">
        <v>195</v>
      </c>
      <c r="E4454" s="3" t="s">
        <v>45</v>
      </c>
      <c r="F4454" s="3" t="s">
        <v>950</v>
      </c>
      <c r="G4454" s="7">
        <v>46067.640359821075</v>
      </c>
    </row>
    <row r="4455">
      <c r="A4455" s="3" t="s">
        <v>13832</v>
      </c>
      <c r="B4455" s="3" t="s">
        <v>554</v>
      </c>
      <c r="C4455" s="3" t="s">
        <v>1342</v>
      </c>
      <c r="D4455" s="3" t="s">
        <v>68</v>
      </c>
      <c r="E4455" s="3" t="s">
        <v>100</v>
      </c>
      <c r="F4455" s="3" t="s">
        <v>1264</v>
      </c>
      <c r="G4455" s="7">
        <v>46067.71153466649</v>
      </c>
    </row>
    <row r="4456">
      <c r="A4456" s="3" t="s">
        <v>13834</v>
      </c>
      <c r="B4456" s="3" t="s">
        <v>752</v>
      </c>
      <c r="C4456" s="3" t="s">
        <v>56</v>
      </c>
      <c r="D4456" s="3" t="s">
        <v>68</v>
      </c>
      <c r="E4456" s="3" t="s">
        <v>100</v>
      </c>
      <c r="F4456" s="3" t="s">
        <v>1378</v>
      </c>
      <c r="G4456" s="7">
        <v>46067.78270951191</v>
      </c>
    </row>
    <row r="4457">
      <c r="A4457" s="3" t="s">
        <v>13837</v>
      </c>
      <c r="B4457" s="3" t="s">
        <v>853</v>
      </c>
      <c r="C4457" s="3" t="s">
        <v>1342</v>
      </c>
      <c r="D4457" s="3" t="s">
        <v>68</v>
      </c>
      <c r="E4457" s="3" t="s">
        <v>100</v>
      </c>
      <c r="F4457" s="3" t="s">
        <v>1358</v>
      </c>
      <c r="G4457" s="7">
        <v>46067.85388435732</v>
      </c>
    </row>
    <row r="4458">
      <c r="A4458" s="3" t="s">
        <v>13839</v>
      </c>
      <c r="B4458" s="3" t="s">
        <v>507</v>
      </c>
      <c r="C4458" s="3" t="s">
        <v>1095</v>
      </c>
      <c r="D4458" s="3" t="s">
        <v>68</v>
      </c>
      <c r="E4458" s="3" t="s">
        <v>100</v>
      </c>
      <c r="F4458" s="3" t="s">
        <v>1706</v>
      </c>
      <c r="G4458" s="7">
        <v>46067.92505920273</v>
      </c>
    </row>
    <row r="4459">
      <c r="A4459" s="3" t="s">
        <v>13842</v>
      </c>
      <c r="B4459" s="3" t="s">
        <v>939</v>
      </c>
      <c r="C4459" s="3" t="s">
        <v>1095</v>
      </c>
      <c r="D4459" s="3" t="s">
        <v>68</v>
      </c>
      <c r="E4459" s="3" t="s">
        <v>100</v>
      </c>
      <c r="F4459" s="3" t="s">
        <v>1193</v>
      </c>
      <c r="G4459" s="7">
        <v>46067.99623404815</v>
      </c>
    </row>
    <row r="4460">
      <c r="A4460" s="3" t="s">
        <v>13845</v>
      </c>
      <c r="B4460" s="3" t="s">
        <v>159</v>
      </c>
      <c r="C4460" s="3" t="s">
        <v>1095</v>
      </c>
      <c r="D4460" s="3" t="s">
        <v>68</v>
      </c>
      <c r="E4460" s="3" t="s">
        <v>100</v>
      </c>
      <c r="F4460" s="3" t="s">
        <v>1292</v>
      </c>
      <c r="G4460" s="7">
        <v>46068.06740889356</v>
      </c>
    </row>
    <row r="4461">
      <c r="A4461" s="3" t="s">
        <v>13849</v>
      </c>
      <c r="B4461" s="3" t="s">
        <v>845</v>
      </c>
      <c r="C4461" s="3" t="s">
        <v>56</v>
      </c>
      <c r="D4461" s="3" t="s">
        <v>68</v>
      </c>
      <c r="E4461" s="3" t="s">
        <v>100</v>
      </c>
      <c r="F4461" s="3" t="s">
        <v>1380</v>
      </c>
      <c r="G4461" s="7">
        <v>46068.138583738975</v>
      </c>
    </row>
    <row r="4462">
      <c r="A4462" s="3" t="s">
        <v>13852</v>
      </c>
      <c r="B4462" s="3" t="s">
        <v>541</v>
      </c>
      <c r="C4462" s="3" t="s">
        <v>56</v>
      </c>
      <c r="D4462" s="3" t="s">
        <v>68</v>
      </c>
      <c r="E4462" s="3" t="s">
        <v>100</v>
      </c>
      <c r="F4462" s="3" t="s">
        <v>1383</v>
      </c>
      <c r="G4462" s="7">
        <v>46068.209758584395</v>
      </c>
    </row>
    <row r="4463">
      <c r="A4463" s="3" t="s">
        <v>13854</v>
      </c>
      <c r="B4463" s="3" t="s">
        <v>752</v>
      </c>
      <c r="C4463" s="3" t="s">
        <v>1342</v>
      </c>
      <c r="D4463" s="3" t="s">
        <v>68</v>
      </c>
      <c r="E4463" s="3" t="s">
        <v>100</v>
      </c>
      <c r="F4463" s="3" t="s">
        <v>1378</v>
      </c>
      <c r="G4463" s="7">
        <v>46068.28093342981</v>
      </c>
    </row>
    <row r="4464">
      <c r="A4464" s="3" t="s">
        <v>13856</v>
      </c>
      <c r="B4464" s="3" t="s">
        <v>189</v>
      </c>
      <c r="C4464" s="3" t="s">
        <v>56</v>
      </c>
      <c r="D4464" s="3" t="s">
        <v>68</v>
      </c>
      <c r="E4464" s="3" t="s">
        <v>100</v>
      </c>
      <c r="F4464" s="3" t="s">
        <v>1385</v>
      </c>
      <c r="G4464" s="7">
        <v>46068.35210827522</v>
      </c>
    </row>
    <row r="4465">
      <c r="A4465" s="3" t="s">
        <v>13858</v>
      </c>
      <c r="B4465" s="3" t="s">
        <v>159</v>
      </c>
      <c r="C4465" s="3" t="s">
        <v>56</v>
      </c>
      <c r="D4465" s="3" t="s">
        <v>68</v>
      </c>
      <c r="E4465" s="3" t="s">
        <v>100</v>
      </c>
      <c r="F4465" s="3" t="s">
        <v>1389</v>
      </c>
      <c r="G4465" s="7">
        <v>46068.42328312064</v>
      </c>
    </row>
    <row r="4466">
      <c r="A4466" s="3" t="s">
        <v>13861</v>
      </c>
      <c r="B4466" s="3" t="s">
        <v>822</v>
      </c>
      <c r="C4466" s="3" t="s">
        <v>1342</v>
      </c>
      <c r="D4466" s="3" t="s">
        <v>68</v>
      </c>
      <c r="E4466" s="3" t="s">
        <v>100</v>
      </c>
      <c r="F4466" s="3" t="s">
        <v>2004</v>
      </c>
      <c r="G4466" s="7">
        <v>46068.49445796606</v>
      </c>
    </row>
    <row r="4467">
      <c r="A4467" s="3" t="s">
        <v>13865</v>
      </c>
      <c r="B4467" s="3" t="s">
        <v>811</v>
      </c>
      <c r="C4467" s="3" t="s">
        <v>56</v>
      </c>
      <c r="D4467" s="3" t="s">
        <v>68</v>
      </c>
      <c r="E4467" s="3" t="s">
        <v>100</v>
      </c>
      <c r="F4467" s="3" t="s">
        <v>1390</v>
      </c>
      <c r="G4467" s="7">
        <v>46068.565632811464</v>
      </c>
    </row>
    <row r="4468">
      <c r="A4468" s="3" t="s">
        <v>13871</v>
      </c>
      <c r="B4468" s="3" t="s">
        <v>949</v>
      </c>
      <c r="C4468" s="3" t="s">
        <v>56</v>
      </c>
      <c r="D4468" s="3" t="s">
        <v>195</v>
      </c>
      <c r="E4468" s="3" t="s">
        <v>45</v>
      </c>
      <c r="F4468" s="3" t="s">
        <v>45</v>
      </c>
      <c r="G4468" s="7">
        <v>46068.63680765688</v>
      </c>
    </row>
    <row r="4469">
      <c r="A4469" s="3" t="s">
        <v>13872</v>
      </c>
      <c r="B4469" s="3" t="s">
        <v>767</v>
      </c>
      <c r="C4469" s="3" t="s">
        <v>1342</v>
      </c>
      <c r="D4469" s="3" t="s">
        <v>68</v>
      </c>
      <c r="E4469" s="3" t="s">
        <v>100</v>
      </c>
      <c r="F4469" s="3" t="s">
        <v>1281</v>
      </c>
      <c r="G4469" s="7">
        <v>46068.7079825023</v>
      </c>
    </row>
    <row r="4470">
      <c r="A4470" s="3" t="s">
        <v>13876</v>
      </c>
      <c r="B4470" s="3" t="s">
        <v>1043</v>
      </c>
      <c r="C4470" s="3" t="s">
        <v>56</v>
      </c>
      <c r="D4470" s="3" t="s">
        <v>68</v>
      </c>
      <c r="E4470" s="3" t="s">
        <v>100</v>
      </c>
      <c r="F4470" s="3" t="s">
        <v>1393</v>
      </c>
      <c r="G4470" s="7">
        <v>46068.779157347715</v>
      </c>
    </row>
    <row r="4471">
      <c r="A4471" s="3" t="s">
        <v>13880</v>
      </c>
      <c r="B4471" s="3" t="s">
        <v>805</v>
      </c>
      <c r="C4471" s="3" t="s">
        <v>56</v>
      </c>
      <c r="D4471" s="3" t="s">
        <v>68</v>
      </c>
      <c r="E4471" s="3" t="s">
        <v>100</v>
      </c>
      <c r="F4471" s="3" t="s">
        <v>1395</v>
      </c>
      <c r="G4471" s="7">
        <v>46068.85033219313</v>
      </c>
    </row>
    <row r="4472">
      <c r="A4472" s="3" t="s">
        <v>13885</v>
      </c>
      <c r="B4472" s="3" t="s">
        <v>466</v>
      </c>
      <c r="C4472" s="3" t="s">
        <v>1342</v>
      </c>
      <c r="D4472" s="3" t="s">
        <v>68</v>
      </c>
      <c r="E4472" s="3" t="s">
        <v>100</v>
      </c>
      <c r="F4472" s="3" t="s">
        <v>1208</v>
      </c>
      <c r="G4472" s="7">
        <v>46068.92150703855</v>
      </c>
    </row>
    <row r="4473">
      <c r="A4473" s="3" t="s">
        <v>13890</v>
      </c>
      <c r="B4473" s="3" t="s">
        <v>860</v>
      </c>
      <c r="C4473" s="3" t="s">
        <v>1095</v>
      </c>
      <c r="D4473" s="3" t="s">
        <v>68</v>
      </c>
      <c r="E4473" s="3" t="s">
        <v>100</v>
      </c>
      <c r="F4473" s="3" t="s">
        <v>2123</v>
      </c>
      <c r="G4473" s="7">
        <v>46068.99268188396</v>
      </c>
    </row>
    <row r="4474">
      <c r="A4474" s="3" t="s">
        <v>13893</v>
      </c>
      <c r="B4474" s="3" t="s">
        <v>373</v>
      </c>
      <c r="C4474" s="3" t="s">
        <v>1095</v>
      </c>
      <c r="D4474" s="3" t="s">
        <v>68</v>
      </c>
      <c r="E4474" s="3" t="s">
        <v>100</v>
      </c>
      <c r="F4474" s="3" t="s">
        <v>1715</v>
      </c>
      <c r="G4474" s="7">
        <v>46069.06385672937</v>
      </c>
    </row>
    <row r="4475">
      <c r="A4475" s="3" t="s">
        <v>13896</v>
      </c>
      <c r="B4475" s="3" t="s">
        <v>519</v>
      </c>
      <c r="C4475" s="3" t="s">
        <v>1342</v>
      </c>
      <c r="D4475" s="3" t="s">
        <v>68</v>
      </c>
      <c r="E4475" s="3" t="s">
        <v>100</v>
      </c>
      <c r="F4475" s="3" t="s">
        <v>867</v>
      </c>
      <c r="G4475" s="7">
        <v>46069.13503157479</v>
      </c>
    </row>
    <row r="4476">
      <c r="A4476" s="3" t="s">
        <v>13900</v>
      </c>
      <c r="B4476" s="3" t="s">
        <v>466</v>
      </c>
      <c r="C4476" s="3" t="s">
        <v>1342</v>
      </c>
      <c r="D4476" s="3" t="s">
        <v>68</v>
      </c>
      <c r="E4476" s="3" t="s">
        <v>100</v>
      </c>
      <c r="F4476" s="3" t="s">
        <v>1208</v>
      </c>
      <c r="G4476" s="7">
        <v>46069.20620642021</v>
      </c>
    </row>
    <row r="4477">
      <c r="A4477" s="3" t="s">
        <v>13903</v>
      </c>
      <c r="B4477" s="3" t="s">
        <v>710</v>
      </c>
      <c r="C4477" s="3" t="s">
        <v>1342</v>
      </c>
      <c r="D4477" s="3" t="s">
        <v>68</v>
      </c>
      <c r="E4477" s="3" t="s">
        <v>100</v>
      </c>
      <c r="F4477" s="3" t="s">
        <v>774</v>
      </c>
      <c r="G4477" s="7">
        <v>46069.277381265616</v>
      </c>
    </row>
    <row r="4478">
      <c r="A4478" s="3" t="s">
        <v>13907</v>
      </c>
      <c r="B4478" s="3" t="s">
        <v>475</v>
      </c>
      <c r="C4478" s="3" t="s">
        <v>56</v>
      </c>
      <c r="D4478" s="3" t="s">
        <v>195</v>
      </c>
      <c r="E4478" s="3" t="s">
        <v>45</v>
      </c>
      <c r="F4478" s="3" t="s">
        <v>45</v>
      </c>
      <c r="G4478" s="7">
        <v>46069.348556111036</v>
      </c>
    </row>
    <row r="4479">
      <c r="A4479" s="3" t="s">
        <v>13910</v>
      </c>
      <c r="B4479" s="3" t="s">
        <v>1040</v>
      </c>
      <c r="C4479" s="3" t="s">
        <v>1095</v>
      </c>
      <c r="D4479" s="3" t="s">
        <v>68</v>
      </c>
      <c r="E4479" s="3" t="s">
        <v>100</v>
      </c>
      <c r="F4479" s="3" t="s">
        <v>1198</v>
      </c>
      <c r="G4479" s="7">
        <v>46069.41973095645</v>
      </c>
    </row>
    <row r="4480">
      <c r="A4480" s="3" t="s">
        <v>13913</v>
      </c>
      <c r="B4480" s="3" t="s">
        <v>280</v>
      </c>
      <c r="C4480" s="3" t="s">
        <v>1342</v>
      </c>
      <c r="D4480" s="3" t="s">
        <v>181</v>
      </c>
      <c r="E4480" s="3" t="s">
        <v>45</v>
      </c>
      <c r="F4480" s="3" t="s">
        <v>1951</v>
      </c>
      <c r="G4480" s="7">
        <v>46069.49090580187</v>
      </c>
    </row>
    <row r="4481">
      <c r="A4481" s="3" t="s">
        <v>13917</v>
      </c>
      <c r="B4481" s="3" t="s">
        <v>557</v>
      </c>
      <c r="C4481" s="3" t="s">
        <v>1095</v>
      </c>
      <c r="D4481" s="3" t="s">
        <v>68</v>
      </c>
      <c r="E4481" s="3" t="s">
        <v>100</v>
      </c>
      <c r="F4481" s="3" t="s">
        <v>1681</v>
      </c>
      <c r="G4481" s="7">
        <v>46069.56208064728</v>
      </c>
    </row>
    <row r="4482">
      <c r="A4482" s="3" t="s">
        <v>13921</v>
      </c>
      <c r="B4482" s="3" t="s">
        <v>485</v>
      </c>
      <c r="C4482" s="3" t="s">
        <v>1095</v>
      </c>
      <c r="D4482" s="3" t="s">
        <v>68</v>
      </c>
      <c r="E4482" s="3" t="s">
        <v>100</v>
      </c>
      <c r="F4482" s="3" t="s">
        <v>1718</v>
      </c>
      <c r="G4482" s="7">
        <v>46069.6332554927</v>
      </c>
    </row>
    <row r="4483">
      <c r="A4483" s="3" t="s">
        <v>13924</v>
      </c>
      <c r="B4483" s="3" t="s">
        <v>922</v>
      </c>
      <c r="C4483" s="3" t="s">
        <v>1095</v>
      </c>
      <c r="D4483" s="3" t="s">
        <v>68</v>
      </c>
      <c r="E4483" s="3" t="s">
        <v>100</v>
      </c>
      <c r="F4483" s="3" t="s">
        <v>1300</v>
      </c>
      <c r="G4483" s="7">
        <v>46069.704430338104</v>
      </c>
    </row>
    <row r="4484">
      <c r="A4484" s="3" t="s">
        <v>13927</v>
      </c>
      <c r="B4484" s="3" t="s">
        <v>202</v>
      </c>
      <c r="C4484" s="3" t="s">
        <v>1342</v>
      </c>
      <c r="D4484" s="3" t="s">
        <v>68</v>
      </c>
      <c r="E4484" s="3" t="s">
        <v>100</v>
      </c>
      <c r="F4484" s="3" t="s">
        <v>1161</v>
      </c>
      <c r="G4484" s="7">
        <v>46069.775605183524</v>
      </c>
    </row>
    <row r="4485">
      <c r="A4485" s="3" t="s">
        <v>13931</v>
      </c>
      <c r="B4485" s="3" t="s">
        <v>515</v>
      </c>
      <c r="C4485" s="3" t="s">
        <v>56</v>
      </c>
      <c r="D4485" s="3" t="s">
        <v>68</v>
      </c>
      <c r="E4485" s="3" t="s">
        <v>100</v>
      </c>
      <c r="F4485" s="3" t="s">
        <v>1398</v>
      </c>
      <c r="G4485" s="7">
        <v>46069.84678002894</v>
      </c>
    </row>
    <row r="4486">
      <c r="A4486" s="3" t="s">
        <v>13935</v>
      </c>
      <c r="B4486" s="3" t="s">
        <v>498</v>
      </c>
      <c r="C4486" s="3" t="s">
        <v>1342</v>
      </c>
      <c r="D4486" s="3" t="s">
        <v>68</v>
      </c>
      <c r="E4486" s="3" t="s">
        <v>100</v>
      </c>
      <c r="F4486" s="3" t="s">
        <v>1274</v>
      </c>
      <c r="G4486" s="7">
        <v>46069.917954874356</v>
      </c>
    </row>
    <row r="4487">
      <c r="A4487" s="3" t="s">
        <v>13937</v>
      </c>
      <c r="B4487" s="3" t="s">
        <v>710</v>
      </c>
      <c r="C4487" s="3" t="s">
        <v>1095</v>
      </c>
      <c r="D4487" s="3" t="s">
        <v>68</v>
      </c>
      <c r="E4487" s="3" t="s">
        <v>100</v>
      </c>
      <c r="F4487" s="3" t="s">
        <v>774</v>
      </c>
      <c r="G4487" s="7">
        <v>46069.98912971977</v>
      </c>
    </row>
    <row r="4488">
      <c r="A4488" s="3" t="s">
        <v>13939</v>
      </c>
      <c r="B4488" s="3" t="s">
        <v>363</v>
      </c>
      <c r="C4488" s="3" t="s">
        <v>56</v>
      </c>
      <c r="D4488" s="3" t="s">
        <v>68</v>
      </c>
      <c r="E4488" s="3" t="s">
        <v>100</v>
      </c>
      <c r="F4488" s="3" t="s">
        <v>1400</v>
      </c>
      <c r="G4488" s="7">
        <v>46070.06030456519</v>
      </c>
    </row>
    <row r="4489">
      <c r="A4489" s="3" t="s">
        <v>13943</v>
      </c>
      <c r="B4489" s="3" t="s">
        <v>650</v>
      </c>
      <c r="C4489" s="3" t="s">
        <v>1095</v>
      </c>
      <c r="D4489" s="3" t="s">
        <v>68</v>
      </c>
      <c r="E4489" s="3" t="s">
        <v>100</v>
      </c>
      <c r="F4489" s="3" t="s">
        <v>1846</v>
      </c>
      <c r="G4489" s="7">
        <v>46070.1314794106</v>
      </c>
    </row>
    <row r="4490">
      <c r="A4490" s="3" t="s">
        <v>13947</v>
      </c>
      <c r="B4490" s="3" t="s">
        <v>247</v>
      </c>
      <c r="C4490" s="3" t="s">
        <v>1342</v>
      </c>
      <c r="D4490" s="3" t="s">
        <v>68</v>
      </c>
      <c r="E4490" s="3" t="s">
        <v>100</v>
      </c>
      <c r="F4490" s="3" t="s">
        <v>1307</v>
      </c>
      <c r="G4490" s="7">
        <v>46070.20265425601</v>
      </c>
    </row>
    <row r="4491">
      <c r="A4491" s="3" t="s">
        <v>13950</v>
      </c>
      <c r="B4491" s="3" t="s">
        <v>1034</v>
      </c>
      <c r="C4491" s="3" t="s">
        <v>56</v>
      </c>
      <c r="D4491" s="3" t="s">
        <v>68</v>
      </c>
      <c r="E4491" s="3" t="s">
        <v>100</v>
      </c>
      <c r="F4491" s="3" t="s">
        <v>1403</v>
      </c>
      <c r="G4491" s="7">
        <v>46070.27382910143</v>
      </c>
    </row>
    <row r="4492">
      <c r="A4492" s="3" t="s">
        <v>13953</v>
      </c>
      <c r="B4492" s="3" t="s">
        <v>547</v>
      </c>
      <c r="C4492" s="3" t="s">
        <v>1095</v>
      </c>
      <c r="D4492" s="3" t="s">
        <v>68</v>
      </c>
      <c r="E4492" s="3" t="s">
        <v>100</v>
      </c>
      <c r="F4492" s="3" t="s">
        <v>1025</v>
      </c>
      <c r="G4492" s="7">
        <v>46070.34500394685</v>
      </c>
    </row>
    <row r="4493">
      <c r="A4493" s="3" t="s">
        <v>13958</v>
      </c>
      <c r="B4493" s="3" t="s">
        <v>547</v>
      </c>
      <c r="C4493" s="3" t="s">
        <v>56</v>
      </c>
      <c r="D4493" s="3" t="s">
        <v>68</v>
      </c>
      <c r="E4493" s="3" t="s">
        <v>100</v>
      </c>
      <c r="F4493" s="3" t="s">
        <v>1407</v>
      </c>
      <c r="G4493" s="7">
        <v>46070.41617879226</v>
      </c>
    </row>
    <row r="4494">
      <c r="A4494" s="3" t="s">
        <v>13961</v>
      </c>
      <c r="B4494" s="3" t="s">
        <v>727</v>
      </c>
      <c r="C4494" s="3" t="s">
        <v>1095</v>
      </c>
      <c r="D4494" s="3" t="s">
        <v>68</v>
      </c>
      <c r="E4494" s="3" t="s">
        <v>100</v>
      </c>
      <c r="F4494" s="3" t="s">
        <v>553</v>
      </c>
      <c r="G4494" s="7">
        <v>46070.487353637676</v>
      </c>
    </row>
    <row r="4495">
      <c r="A4495" s="3" t="s">
        <v>13964</v>
      </c>
      <c r="B4495" s="3" t="s">
        <v>586</v>
      </c>
      <c r="C4495" s="3" t="s">
        <v>1342</v>
      </c>
      <c r="D4495" s="3" t="s">
        <v>68</v>
      </c>
      <c r="E4495" s="3" t="s">
        <v>100</v>
      </c>
      <c r="F4495" s="3" t="s">
        <v>1627</v>
      </c>
      <c r="G4495" s="7">
        <v>46070.558528483096</v>
      </c>
    </row>
    <row r="4496">
      <c r="A4496" s="3" t="s">
        <v>13967</v>
      </c>
      <c r="B4496" s="3" t="s">
        <v>770</v>
      </c>
      <c r="C4496" s="3" t="s">
        <v>56</v>
      </c>
      <c r="D4496" s="3" t="s">
        <v>68</v>
      </c>
      <c r="E4496" s="3" t="s">
        <v>100</v>
      </c>
      <c r="F4496" s="3" t="s">
        <v>1408</v>
      </c>
      <c r="G4496" s="7">
        <v>46070.62970332851</v>
      </c>
    </row>
    <row r="4497">
      <c r="A4497" s="3" t="s">
        <v>13972</v>
      </c>
      <c r="B4497" s="3" t="s">
        <v>561</v>
      </c>
      <c r="C4497" s="3" t="s">
        <v>1095</v>
      </c>
      <c r="D4497" s="3" t="s">
        <v>68</v>
      </c>
      <c r="E4497" s="3" t="s">
        <v>100</v>
      </c>
      <c r="F4497" s="3" t="s">
        <v>1730</v>
      </c>
      <c r="G4497" s="7">
        <v>46070.70087817392</v>
      </c>
    </row>
    <row r="4498">
      <c r="A4498" s="3" t="s">
        <v>13975</v>
      </c>
      <c r="B4498" s="3" t="s">
        <v>406</v>
      </c>
      <c r="C4498" s="3" t="s">
        <v>56</v>
      </c>
      <c r="D4498" s="3" t="s">
        <v>68</v>
      </c>
      <c r="E4498" s="3" t="s">
        <v>100</v>
      </c>
      <c r="F4498" s="3" t="s">
        <v>1411</v>
      </c>
      <c r="G4498" s="7">
        <v>46070.77205301934</v>
      </c>
    </row>
    <row r="4499">
      <c r="A4499" s="3" t="s">
        <v>13978</v>
      </c>
      <c r="B4499" s="3" t="s">
        <v>657</v>
      </c>
      <c r="C4499" s="3" t="s">
        <v>1095</v>
      </c>
      <c r="D4499" s="3" t="s">
        <v>68</v>
      </c>
      <c r="E4499" s="3" t="s">
        <v>100</v>
      </c>
      <c r="F4499" s="3" t="s">
        <v>1804</v>
      </c>
      <c r="G4499" s="7">
        <v>46070.84322786475</v>
      </c>
    </row>
    <row r="4500">
      <c r="A4500" s="3" t="s">
        <v>13981</v>
      </c>
      <c r="B4500" s="3" t="s">
        <v>575</v>
      </c>
      <c r="C4500" s="3" t="s">
        <v>1342</v>
      </c>
      <c r="D4500" s="3" t="s">
        <v>68</v>
      </c>
      <c r="E4500" s="3" t="s">
        <v>100</v>
      </c>
      <c r="F4500" s="3" t="s">
        <v>754</v>
      </c>
      <c r="G4500" s="7">
        <v>46070.914402710165</v>
      </c>
    </row>
    <row r="4501">
      <c r="A4501" s="3" t="s">
        <v>13984</v>
      </c>
      <c r="B4501" s="3" t="s">
        <v>778</v>
      </c>
      <c r="C4501" s="3" t="s">
        <v>56</v>
      </c>
      <c r="D4501" s="3" t="s">
        <v>68</v>
      </c>
      <c r="E4501" s="3" t="s">
        <v>100</v>
      </c>
      <c r="F4501" s="3" t="s">
        <v>1413</v>
      </c>
      <c r="G4501" s="7">
        <v>46070.985577555584</v>
      </c>
    </row>
    <row r="4502">
      <c r="A4502" s="3" t="s">
        <v>13989</v>
      </c>
      <c r="B4502" s="3" t="s">
        <v>395</v>
      </c>
      <c r="C4502" s="3" t="s">
        <v>56</v>
      </c>
      <c r="D4502" s="3" t="s">
        <v>68</v>
      </c>
      <c r="E4502" s="3" t="s">
        <v>100</v>
      </c>
      <c r="F4502" s="3" t="s">
        <v>1418</v>
      </c>
      <c r="G4502" s="7">
        <v>46071.056752401</v>
      </c>
    </row>
    <row r="4503">
      <c r="A4503" s="3" t="s">
        <v>13992</v>
      </c>
      <c r="B4503" s="3" t="s">
        <v>151</v>
      </c>
      <c r="C4503" s="3" t="s">
        <v>1095</v>
      </c>
      <c r="D4503" s="3" t="s">
        <v>68</v>
      </c>
      <c r="E4503" s="3" t="s">
        <v>100</v>
      </c>
      <c r="F4503" s="3" t="s">
        <v>1289</v>
      </c>
      <c r="G4503" s="7">
        <v>46071.12792724641</v>
      </c>
    </row>
    <row r="4504">
      <c r="A4504" s="3" t="s">
        <v>13995</v>
      </c>
      <c r="B4504" s="3" t="s">
        <v>845</v>
      </c>
      <c r="C4504" s="3" t="s">
        <v>1342</v>
      </c>
      <c r="D4504" s="3" t="s">
        <v>68</v>
      </c>
      <c r="E4504" s="3" t="s">
        <v>100</v>
      </c>
      <c r="F4504" s="3" t="s">
        <v>1380</v>
      </c>
      <c r="G4504" s="7">
        <v>46071.19910209183</v>
      </c>
    </row>
    <row r="4505">
      <c r="A4505" s="3" t="s">
        <v>13999</v>
      </c>
      <c r="B4505" s="3" t="s">
        <v>479</v>
      </c>
      <c r="C4505" s="3" t="s">
        <v>1095</v>
      </c>
      <c r="D4505" s="3" t="s">
        <v>68</v>
      </c>
      <c r="E4505" s="3" t="s">
        <v>100</v>
      </c>
      <c r="F4505" s="3" t="s">
        <v>1782</v>
      </c>
      <c r="G4505" s="7">
        <v>46071.27027693724</v>
      </c>
    </row>
    <row r="4506">
      <c r="A4506" s="3" t="s">
        <v>14003</v>
      </c>
      <c r="B4506" s="3" t="s">
        <v>333</v>
      </c>
      <c r="C4506" s="3" t="s">
        <v>56</v>
      </c>
      <c r="D4506" s="3" t="s">
        <v>68</v>
      </c>
      <c r="E4506" s="3" t="s">
        <v>100</v>
      </c>
      <c r="F4506" s="3" t="s">
        <v>1420</v>
      </c>
      <c r="G4506" s="7">
        <v>46071.34145178265</v>
      </c>
    </row>
    <row r="4507">
      <c r="A4507" s="3" t="s">
        <v>14006</v>
      </c>
      <c r="B4507" s="3" t="s">
        <v>593</v>
      </c>
      <c r="C4507" s="3" t="s">
        <v>1095</v>
      </c>
      <c r="D4507" s="3" t="s">
        <v>68</v>
      </c>
      <c r="E4507" s="3" t="s">
        <v>100</v>
      </c>
      <c r="F4507" s="3" t="s">
        <v>1135</v>
      </c>
      <c r="G4507" s="7">
        <v>46071.41262662807</v>
      </c>
    </row>
    <row r="4508">
      <c r="A4508" s="3" t="s">
        <v>14009</v>
      </c>
      <c r="B4508" s="3" t="s">
        <v>800</v>
      </c>
      <c r="C4508" s="3" t="s">
        <v>1342</v>
      </c>
      <c r="D4508" s="3" t="s">
        <v>68</v>
      </c>
      <c r="E4508" s="3" t="s">
        <v>100</v>
      </c>
      <c r="F4508" s="3" t="s">
        <v>1053</v>
      </c>
      <c r="G4508" s="7">
        <v>46071.48380147349</v>
      </c>
    </row>
    <row r="4509">
      <c r="A4509" s="3" t="s">
        <v>14012</v>
      </c>
      <c r="B4509" s="3" t="s">
        <v>496</v>
      </c>
      <c r="C4509" s="3" t="s">
        <v>56</v>
      </c>
      <c r="D4509" s="3" t="s">
        <v>68</v>
      </c>
      <c r="E4509" s="3" t="s">
        <v>100</v>
      </c>
      <c r="F4509" s="3" t="s">
        <v>1424</v>
      </c>
      <c r="G4509" s="7">
        <v>46071.5549763189</v>
      </c>
    </row>
    <row r="4510">
      <c r="A4510" s="3" t="s">
        <v>14017</v>
      </c>
      <c r="B4510" s="3" t="s">
        <v>789</v>
      </c>
      <c r="C4510" s="3" t="s">
        <v>1342</v>
      </c>
      <c r="D4510" s="3" t="s">
        <v>68</v>
      </c>
      <c r="E4510" s="3" t="s">
        <v>100</v>
      </c>
      <c r="F4510" s="3" t="s">
        <v>2006</v>
      </c>
      <c r="G4510" s="7">
        <v>46071.62615116432</v>
      </c>
    </row>
    <row r="4511">
      <c r="A4511" s="3" t="s">
        <v>14020</v>
      </c>
      <c r="B4511" s="3" t="s">
        <v>778</v>
      </c>
      <c r="C4511" s="3" t="s">
        <v>1342</v>
      </c>
      <c r="D4511" s="3" t="s">
        <v>181</v>
      </c>
      <c r="E4511" s="3" t="s">
        <v>45</v>
      </c>
      <c r="F4511" s="3" t="s">
        <v>1413</v>
      </c>
      <c r="G4511" s="7">
        <v>46071.69732600974</v>
      </c>
    </row>
    <row r="4512">
      <c r="A4512" s="3" t="s">
        <v>14023</v>
      </c>
      <c r="B4512" s="3" t="s">
        <v>756</v>
      </c>
      <c r="C4512" s="3" t="s">
        <v>1095</v>
      </c>
      <c r="D4512" s="3" t="s">
        <v>68</v>
      </c>
      <c r="E4512" s="3" t="s">
        <v>100</v>
      </c>
      <c r="F4512" s="3" t="s">
        <v>1088</v>
      </c>
      <c r="G4512" s="7">
        <v>46071.76850085515</v>
      </c>
    </row>
    <row r="4513">
      <c r="A4513" s="3" t="s">
        <v>14027</v>
      </c>
      <c r="B4513" s="3" t="s">
        <v>793</v>
      </c>
      <c r="C4513" s="3" t="s">
        <v>56</v>
      </c>
      <c r="D4513" s="3" t="s">
        <v>68</v>
      </c>
      <c r="E4513" s="3" t="s">
        <v>100</v>
      </c>
      <c r="F4513" s="3" t="s">
        <v>1429</v>
      </c>
      <c r="G4513" s="7">
        <v>46071.83967570056</v>
      </c>
    </row>
    <row r="4514">
      <c r="A4514" s="3" t="s">
        <v>14031</v>
      </c>
      <c r="B4514" s="3" t="s">
        <v>710</v>
      </c>
      <c r="C4514" s="3" t="s">
        <v>56</v>
      </c>
      <c r="D4514" s="3" t="s">
        <v>68</v>
      </c>
      <c r="E4514" s="3" t="s">
        <v>100</v>
      </c>
      <c r="F4514" s="3" t="s">
        <v>1431</v>
      </c>
      <c r="G4514" s="7">
        <v>46071.91085054598</v>
      </c>
    </row>
    <row r="4515">
      <c r="A4515" s="3" t="s">
        <v>14034</v>
      </c>
      <c r="B4515" s="3" t="s">
        <v>356</v>
      </c>
      <c r="C4515" s="3" t="s">
        <v>1095</v>
      </c>
      <c r="D4515" s="3" t="s">
        <v>68</v>
      </c>
      <c r="E4515" s="3" t="s">
        <v>100</v>
      </c>
      <c r="F4515" s="3" t="s">
        <v>1104</v>
      </c>
      <c r="G4515" s="7">
        <v>46071.98202539139</v>
      </c>
    </row>
    <row r="4516">
      <c r="A4516" s="3" t="s">
        <v>14037</v>
      </c>
      <c r="B4516" s="3" t="s">
        <v>391</v>
      </c>
      <c r="C4516" s="3" t="s">
        <v>1095</v>
      </c>
      <c r="D4516" s="3" t="s">
        <v>68</v>
      </c>
      <c r="E4516" s="3" t="s">
        <v>100</v>
      </c>
      <c r="F4516" s="3" t="s">
        <v>1918</v>
      </c>
      <c r="G4516" s="7">
        <v>46072.053200236805</v>
      </c>
    </row>
    <row r="4517">
      <c r="A4517" s="3" t="s">
        <v>14042</v>
      </c>
      <c r="B4517" s="3" t="s">
        <v>785</v>
      </c>
      <c r="C4517" s="3" t="s">
        <v>1095</v>
      </c>
      <c r="D4517" s="3" t="s">
        <v>68</v>
      </c>
      <c r="E4517" s="3" t="s">
        <v>100</v>
      </c>
      <c r="F4517" s="3" t="s">
        <v>712</v>
      </c>
      <c r="G4517" s="7">
        <v>46072.124375082225</v>
      </c>
    </row>
    <row r="4518">
      <c r="A4518" s="3" t="s">
        <v>14045</v>
      </c>
      <c r="B4518" s="3" t="s">
        <v>929</v>
      </c>
      <c r="C4518" s="3" t="s">
        <v>1342</v>
      </c>
      <c r="D4518" s="3" t="s">
        <v>68</v>
      </c>
      <c r="E4518" s="3" t="s">
        <v>100</v>
      </c>
      <c r="F4518" s="3" t="s">
        <v>1168</v>
      </c>
      <c r="G4518" s="7">
        <v>46072.195549927645</v>
      </c>
    </row>
    <row r="4519">
      <c r="A4519" s="3" t="s">
        <v>14050</v>
      </c>
      <c r="B4519" s="3" t="s">
        <v>725</v>
      </c>
      <c r="C4519" s="3" t="s">
        <v>1095</v>
      </c>
      <c r="D4519" s="3" t="s">
        <v>68</v>
      </c>
      <c r="E4519" s="3" t="s">
        <v>100</v>
      </c>
      <c r="F4519" s="3" t="s">
        <v>1801</v>
      </c>
      <c r="G4519" s="7">
        <v>46072.26672477305</v>
      </c>
    </row>
    <row r="4520">
      <c r="A4520" s="3" t="s">
        <v>14053</v>
      </c>
      <c r="B4520" s="3" t="s">
        <v>460</v>
      </c>
      <c r="C4520" s="3" t="s">
        <v>1342</v>
      </c>
      <c r="D4520" s="3" t="s">
        <v>68</v>
      </c>
      <c r="E4520" s="3" t="s">
        <v>100</v>
      </c>
      <c r="F4520" s="3" t="s">
        <v>1242</v>
      </c>
      <c r="G4520" s="7">
        <v>46072.33789961847</v>
      </c>
    </row>
    <row r="4521">
      <c r="A4521" s="3" t="s">
        <v>14057</v>
      </c>
      <c r="B4521" s="3" t="s">
        <v>130</v>
      </c>
      <c r="C4521" s="3" t="s">
        <v>1095</v>
      </c>
      <c r="D4521" s="3" t="s">
        <v>181</v>
      </c>
      <c r="E4521" s="3" t="s">
        <v>45</v>
      </c>
      <c r="F4521" s="3" t="s">
        <v>2096</v>
      </c>
      <c r="G4521" s="7">
        <v>46072.40907446388</v>
      </c>
    </row>
    <row r="4522">
      <c r="A4522" s="3" t="s">
        <v>14061</v>
      </c>
      <c r="B4522" s="3" t="s">
        <v>596</v>
      </c>
      <c r="C4522" s="3" t="s">
        <v>1095</v>
      </c>
      <c r="D4522" s="3" t="s">
        <v>195</v>
      </c>
      <c r="E4522" s="3" t="s">
        <v>45</v>
      </c>
      <c r="F4522" s="3" t="s">
        <v>1268</v>
      </c>
      <c r="G4522" s="7">
        <v>46072.4802493093</v>
      </c>
    </row>
    <row r="4523">
      <c r="A4523" s="3" t="s">
        <v>14064</v>
      </c>
      <c r="B4523" s="3" t="s">
        <v>123</v>
      </c>
      <c r="C4523" s="3" t="s">
        <v>56</v>
      </c>
      <c r="D4523" s="3" t="s">
        <v>68</v>
      </c>
      <c r="E4523" s="3" t="s">
        <v>100</v>
      </c>
      <c r="F4523" s="3" t="s">
        <v>1434</v>
      </c>
      <c r="G4523" s="7">
        <v>46072.55142415471</v>
      </c>
    </row>
    <row r="4524">
      <c r="A4524" s="3" t="s">
        <v>14067</v>
      </c>
      <c r="B4524" s="3" t="s">
        <v>747</v>
      </c>
      <c r="C4524" s="3" t="s">
        <v>1342</v>
      </c>
      <c r="D4524" s="3" t="s">
        <v>68</v>
      </c>
      <c r="E4524" s="3" t="s">
        <v>100</v>
      </c>
      <c r="F4524" s="3" t="s">
        <v>932</v>
      </c>
      <c r="G4524" s="7">
        <v>46072.62259900013</v>
      </c>
    </row>
    <row r="4525">
      <c r="A4525" s="3" t="s">
        <v>14072</v>
      </c>
      <c r="B4525" s="3" t="s">
        <v>1037</v>
      </c>
      <c r="C4525" s="3" t="s">
        <v>56</v>
      </c>
      <c r="D4525" s="3" t="s">
        <v>68</v>
      </c>
      <c r="E4525" s="3" t="s">
        <v>100</v>
      </c>
      <c r="F4525" s="3" t="s">
        <v>1435</v>
      </c>
      <c r="G4525" s="7">
        <v>46072.69377384554</v>
      </c>
    </row>
    <row r="4526">
      <c r="A4526" s="3" t="s">
        <v>14075</v>
      </c>
      <c r="B4526" s="3" t="s">
        <v>159</v>
      </c>
      <c r="C4526" s="3" t="s">
        <v>1095</v>
      </c>
      <c r="D4526" s="3" t="s">
        <v>68</v>
      </c>
      <c r="E4526" s="3" t="s">
        <v>100</v>
      </c>
      <c r="F4526" s="3" t="s">
        <v>1389</v>
      </c>
      <c r="G4526" s="7">
        <v>46072.76494869096</v>
      </c>
    </row>
    <row r="4527">
      <c r="A4527" s="3" t="s">
        <v>14078</v>
      </c>
      <c r="B4527" s="3" t="s">
        <v>903</v>
      </c>
      <c r="C4527" s="3" t="s">
        <v>1342</v>
      </c>
      <c r="D4527" s="3" t="s">
        <v>68</v>
      </c>
      <c r="E4527" s="3" t="s">
        <v>100</v>
      </c>
      <c r="F4527" s="3" t="s">
        <v>1333</v>
      </c>
      <c r="G4527" s="7">
        <v>46072.83612353638</v>
      </c>
    </row>
    <row r="4528">
      <c r="A4528" s="3" t="s">
        <v>14081</v>
      </c>
      <c r="B4528" s="3" t="s">
        <v>380</v>
      </c>
      <c r="C4528" s="3" t="s">
        <v>1095</v>
      </c>
      <c r="D4528" s="3" t="s">
        <v>68</v>
      </c>
      <c r="E4528" s="3" t="s">
        <v>100</v>
      </c>
      <c r="F4528" s="3" t="s">
        <v>1140</v>
      </c>
      <c r="G4528" s="7">
        <v>46072.90729838179</v>
      </c>
    </row>
    <row r="4529">
      <c r="A4529" s="3" t="s">
        <v>14084</v>
      </c>
      <c r="B4529" s="3" t="s">
        <v>276</v>
      </c>
      <c r="C4529" s="3" t="s">
        <v>56</v>
      </c>
      <c r="D4529" s="3" t="s">
        <v>68</v>
      </c>
      <c r="E4529" s="3" t="s">
        <v>100</v>
      </c>
      <c r="F4529" s="3" t="s">
        <v>1438</v>
      </c>
      <c r="G4529" s="7">
        <v>46072.9784732272</v>
      </c>
    </row>
    <row r="4530">
      <c r="A4530" s="3" t="s">
        <v>14088</v>
      </c>
      <c r="B4530" s="3" t="s">
        <v>702</v>
      </c>
      <c r="C4530" s="3" t="s">
        <v>1095</v>
      </c>
      <c r="D4530" s="3" t="s">
        <v>68</v>
      </c>
      <c r="E4530" s="3" t="s">
        <v>100</v>
      </c>
      <c r="F4530" s="3" t="s">
        <v>1196</v>
      </c>
      <c r="G4530" s="7">
        <v>46073.04964807262</v>
      </c>
    </row>
    <row r="4531">
      <c r="A4531" s="3" t="s">
        <v>14092</v>
      </c>
      <c r="B4531" s="3" t="s">
        <v>521</v>
      </c>
      <c r="C4531" s="3" t="s">
        <v>1095</v>
      </c>
      <c r="D4531" s="3" t="s">
        <v>68</v>
      </c>
      <c r="E4531" s="3" t="s">
        <v>100</v>
      </c>
      <c r="F4531" s="3" t="s">
        <v>659</v>
      </c>
      <c r="G4531" s="7">
        <v>46073.120822918034</v>
      </c>
    </row>
    <row r="4532">
      <c r="A4532" s="3" t="s">
        <v>14095</v>
      </c>
      <c r="B4532" s="3" t="s">
        <v>388</v>
      </c>
      <c r="C4532" s="3" t="s">
        <v>1342</v>
      </c>
      <c r="D4532" s="3" t="s">
        <v>68</v>
      </c>
      <c r="E4532" s="3" t="s">
        <v>100</v>
      </c>
      <c r="F4532" s="3" t="s">
        <v>1232</v>
      </c>
      <c r="G4532" s="7">
        <v>46073.191997763446</v>
      </c>
    </row>
    <row r="4533">
      <c r="A4533" s="3" t="s">
        <v>14098</v>
      </c>
      <c r="B4533" s="3" t="s">
        <v>239</v>
      </c>
      <c r="C4533" s="3" t="s">
        <v>56</v>
      </c>
      <c r="D4533" s="3" t="s">
        <v>68</v>
      </c>
      <c r="E4533" s="3" t="s">
        <v>100</v>
      </c>
      <c r="F4533" s="3" t="s">
        <v>1441</v>
      </c>
      <c r="G4533" s="7">
        <v>46073.263172608866</v>
      </c>
    </row>
    <row r="4534">
      <c r="A4534" s="3" t="s">
        <v>14102</v>
      </c>
      <c r="B4534" s="3" t="s">
        <v>903</v>
      </c>
      <c r="C4534" s="3" t="s">
        <v>1095</v>
      </c>
      <c r="D4534" s="3" t="s">
        <v>68</v>
      </c>
      <c r="E4534" s="3" t="s">
        <v>100</v>
      </c>
      <c r="F4534" s="3" t="s">
        <v>1333</v>
      </c>
      <c r="G4534" s="7">
        <v>46073.334347454285</v>
      </c>
    </row>
    <row r="4535">
      <c r="A4535" s="3" t="s">
        <v>14106</v>
      </c>
      <c r="B4535" s="3" t="s">
        <v>145</v>
      </c>
      <c r="C4535" s="3" t="s">
        <v>1342</v>
      </c>
      <c r="D4535" s="3" t="s">
        <v>68</v>
      </c>
      <c r="E4535" s="3" t="s">
        <v>100</v>
      </c>
      <c r="F4535" s="3" t="s">
        <v>1254</v>
      </c>
      <c r="G4535" s="7">
        <v>46073.40552229969</v>
      </c>
    </row>
    <row r="4536">
      <c r="A4536" s="3" t="s">
        <v>14109</v>
      </c>
      <c r="B4536" s="3" t="s">
        <v>841</v>
      </c>
      <c r="C4536" s="3" t="s">
        <v>1342</v>
      </c>
      <c r="D4536" s="3" t="s">
        <v>68</v>
      </c>
      <c r="E4536" s="3" t="s">
        <v>100</v>
      </c>
      <c r="F4536" s="3" t="s">
        <v>1313</v>
      </c>
      <c r="G4536" s="7">
        <v>46073.47669714511</v>
      </c>
    </row>
    <row r="4537">
      <c r="A4537" s="3" t="s">
        <v>14113</v>
      </c>
      <c r="B4537" s="3" t="s">
        <v>530</v>
      </c>
      <c r="C4537" s="3" t="s">
        <v>56</v>
      </c>
      <c r="D4537" s="3" t="s">
        <v>68</v>
      </c>
      <c r="E4537" s="3" t="s">
        <v>100</v>
      </c>
      <c r="F4537" s="3" t="s">
        <v>1443</v>
      </c>
      <c r="G4537" s="7">
        <v>46073.54787199053</v>
      </c>
    </row>
    <row r="4538">
      <c r="A4538" s="3" t="s">
        <v>14117</v>
      </c>
      <c r="B4538" s="3" t="s">
        <v>130</v>
      </c>
      <c r="C4538" s="3" t="s">
        <v>1095</v>
      </c>
      <c r="D4538" s="3" t="s">
        <v>68</v>
      </c>
      <c r="E4538" s="3" t="s">
        <v>100</v>
      </c>
      <c r="F4538" s="3" t="s">
        <v>2096</v>
      </c>
      <c r="G4538" s="7">
        <v>46073.61904683594</v>
      </c>
    </row>
    <row r="4539">
      <c r="A4539" s="3" t="s">
        <v>14119</v>
      </c>
      <c r="B4539" s="3" t="s">
        <v>627</v>
      </c>
      <c r="C4539" s="3" t="s">
        <v>1342</v>
      </c>
      <c r="D4539" s="3" t="s">
        <v>68</v>
      </c>
      <c r="E4539" s="3" t="s">
        <v>100</v>
      </c>
      <c r="F4539" s="3" t="s">
        <v>1882</v>
      </c>
      <c r="G4539" s="7">
        <v>46073.690221681354</v>
      </c>
    </row>
    <row r="4540">
      <c r="A4540" s="3" t="s">
        <v>14121</v>
      </c>
      <c r="B4540" s="3" t="s">
        <v>672</v>
      </c>
      <c r="C4540" s="3" t="s">
        <v>1095</v>
      </c>
      <c r="D4540" s="3" t="s">
        <v>68</v>
      </c>
      <c r="E4540" s="3" t="s">
        <v>100</v>
      </c>
      <c r="F4540" s="3" t="s">
        <v>2115</v>
      </c>
      <c r="G4540" s="7">
        <v>46073.761396526774</v>
      </c>
    </row>
    <row r="4541">
      <c r="A4541" s="3" t="s">
        <v>14123</v>
      </c>
      <c r="B4541" s="3" t="s">
        <v>906</v>
      </c>
      <c r="C4541" s="3" t="s">
        <v>1342</v>
      </c>
      <c r="D4541" s="3" t="s">
        <v>68</v>
      </c>
      <c r="E4541" s="3" t="s">
        <v>100</v>
      </c>
      <c r="F4541" s="3" t="s">
        <v>1901</v>
      </c>
      <c r="G4541" s="7">
        <v>46073.832571372186</v>
      </c>
    </row>
    <row r="4542">
      <c r="A4542" s="3" t="s">
        <v>14126</v>
      </c>
      <c r="B4542" s="3" t="s">
        <v>398</v>
      </c>
      <c r="C4542" s="3" t="s">
        <v>56</v>
      </c>
      <c r="D4542" s="3" t="s">
        <v>181</v>
      </c>
      <c r="E4542" s="3" t="s">
        <v>45</v>
      </c>
      <c r="F4542" s="3" t="s">
        <v>45</v>
      </c>
      <c r="G4542" s="7">
        <v>46073.9037462176</v>
      </c>
    </row>
    <row r="4543">
      <c r="A4543" s="3" t="s">
        <v>14130</v>
      </c>
      <c r="B4543" s="3" t="s">
        <v>601</v>
      </c>
      <c r="C4543" s="3" t="s">
        <v>1342</v>
      </c>
      <c r="D4543" s="3" t="s">
        <v>68</v>
      </c>
      <c r="E4543" s="3" t="s">
        <v>100</v>
      </c>
      <c r="F4543" s="3" t="s">
        <v>954</v>
      </c>
      <c r="G4543" s="7">
        <v>46073.97492106302</v>
      </c>
    </row>
    <row r="4544">
      <c r="A4544" s="3" t="s">
        <v>14133</v>
      </c>
      <c r="B4544" s="3" t="s">
        <v>189</v>
      </c>
      <c r="C4544" s="3" t="s">
        <v>1342</v>
      </c>
      <c r="D4544" s="3" t="s">
        <v>68</v>
      </c>
      <c r="E4544" s="3" t="s">
        <v>100</v>
      </c>
      <c r="F4544" s="3" t="s">
        <v>1385</v>
      </c>
      <c r="G4544" s="7">
        <v>46074.04609590843</v>
      </c>
    </row>
    <row r="4545">
      <c r="A4545" s="3" t="s">
        <v>14136</v>
      </c>
      <c r="B4545" s="3" t="s">
        <v>135</v>
      </c>
      <c r="C4545" s="3" t="s">
        <v>1095</v>
      </c>
      <c r="D4545" s="3" t="s">
        <v>68</v>
      </c>
      <c r="E4545" s="3" t="s">
        <v>100</v>
      </c>
      <c r="F4545" s="3" t="s">
        <v>1237</v>
      </c>
      <c r="G4545" s="7">
        <v>46074.11727075384</v>
      </c>
    </row>
    <row r="4546">
      <c r="A4546" s="3" t="s">
        <v>14140</v>
      </c>
      <c r="B4546" s="3" t="s">
        <v>266</v>
      </c>
      <c r="C4546" s="3" t="s">
        <v>1342</v>
      </c>
      <c r="D4546" s="3" t="s">
        <v>68</v>
      </c>
      <c r="E4546" s="3" t="s">
        <v>100</v>
      </c>
      <c r="F4546" s="3" t="s">
        <v>1058</v>
      </c>
      <c r="G4546" s="7">
        <v>46074.18844559926</v>
      </c>
    </row>
    <row r="4547">
      <c r="A4547" s="3" t="s">
        <v>14144</v>
      </c>
      <c r="B4547" s="3" t="s">
        <v>698</v>
      </c>
      <c r="C4547" s="3" t="s">
        <v>1342</v>
      </c>
      <c r="D4547" s="3" t="s">
        <v>181</v>
      </c>
      <c r="E4547" s="3" t="s">
        <v>45</v>
      </c>
      <c r="F4547" s="3" t="s">
        <v>2039</v>
      </c>
      <c r="G4547" s="7">
        <v>46074.259620444675</v>
      </c>
    </row>
    <row r="4548">
      <c r="A4548" s="3" t="s">
        <v>14147</v>
      </c>
      <c r="B4548" s="3" t="s">
        <v>455</v>
      </c>
      <c r="C4548" s="3" t="s">
        <v>1095</v>
      </c>
      <c r="D4548" s="3" t="s">
        <v>68</v>
      </c>
      <c r="E4548" s="3" t="s">
        <v>100</v>
      </c>
      <c r="F4548" s="3" t="s">
        <v>1366</v>
      </c>
      <c r="G4548" s="7">
        <v>46074.33079529009</v>
      </c>
    </row>
    <row r="4549">
      <c r="A4549" s="3" t="s">
        <v>14151</v>
      </c>
      <c r="B4549" s="3" t="s">
        <v>313</v>
      </c>
      <c r="C4549" s="3" t="s">
        <v>1342</v>
      </c>
      <c r="D4549" s="3" t="s">
        <v>68</v>
      </c>
      <c r="E4549" s="3" t="s">
        <v>100</v>
      </c>
      <c r="F4549" s="3" t="s">
        <v>1110</v>
      </c>
      <c r="G4549" s="7">
        <v>46074.40197013551</v>
      </c>
    </row>
    <row r="4550">
      <c r="A4550" s="3" t="s">
        <v>14155</v>
      </c>
      <c r="B4550" s="3" t="s">
        <v>612</v>
      </c>
      <c r="C4550" s="3" t="s">
        <v>1095</v>
      </c>
      <c r="D4550" s="3" t="s">
        <v>68</v>
      </c>
      <c r="E4550" s="3" t="s">
        <v>100</v>
      </c>
      <c r="F4550" s="3" t="s">
        <v>1187</v>
      </c>
      <c r="G4550" s="7">
        <v>46074.473144980926</v>
      </c>
    </row>
    <row r="4551">
      <c r="A4551" s="3" t="s">
        <v>14159</v>
      </c>
      <c r="B4551" s="3" t="s">
        <v>202</v>
      </c>
      <c r="C4551" s="3" t="s">
        <v>1095</v>
      </c>
      <c r="D4551" s="3" t="s">
        <v>68</v>
      </c>
      <c r="E4551" s="3" t="s">
        <v>100</v>
      </c>
      <c r="F4551" s="3" t="s">
        <v>1161</v>
      </c>
      <c r="G4551" s="7">
        <v>46074.54431982633</v>
      </c>
    </row>
    <row r="4552">
      <c r="A4552" s="3" t="s">
        <v>14162</v>
      </c>
      <c r="B4552" s="3" t="s">
        <v>596</v>
      </c>
      <c r="C4552" s="3" t="s">
        <v>1095</v>
      </c>
      <c r="D4552" s="3" t="s">
        <v>195</v>
      </c>
      <c r="E4552" s="3" t="s">
        <v>45</v>
      </c>
      <c r="F4552" s="3" t="s">
        <v>1268</v>
      </c>
      <c r="G4552" s="7">
        <v>46074.61549467175</v>
      </c>
    </row>
    <row r="4553">
      <c r="A4553" s="3" t="s">
        <v>14165</v>
      </c>
      <c r="B4553" s="3" t="s">
        <v>886</v>
      </c>
      <c r="C4553" s="3" t="s">
        <v>1095</v>
      </c>
      <c r="D4553" s="3" t="s">
        <v>68</v>
      </c>
      <c r="E4553" s="3" t="s">
        <v>100</v>
      </c>
      <c r="F4553" s="3" t="s">
        <v>1211</v>
      </c>
      <c r="G4553" s="7">
        <v>46074.68666951717</v>
      </c>
    </row>
    <row r="4554">
      <c r="A4554" s="3" t="s">
        <v>14169</v>
      </c>
      <c r="B4554" s="3" t="s">
        <v>219</v>
      </c>
      <c r="C4554" s="3" t="s">
        <v>1342</v>
      </c>
      <c r="D4554" s="3" t="s">
        <v>68</v>
      </c>
      <c r="E4554" s="3" t="s">
        <v>100</v>
      </c>
      <c r="F4554" s="3" t="s">
        <v>1076</v>
      </c>
      <c r="G4554" s="7">
        <v>46074.75784436258</v>
      </c>
    </row>
    <row r="4555">
      <c r="A4555" s="3" t="s">
        <v>14171</v>
      </c>
      <c r="B4555" s="3" t="s">
        <v>685</v>
      </c>
      <c r="C4555" s="3" t="s">
        <v>1342</v>
      </c>
      <c r="D4555" s="3" t="s">
        <v>68</v>
      </c>
      <c r="E4555" s="3" t="s">
        <v>100</v>
      </c>
      <c r="F4555" s="3" t="s">
        <v>1284</v>
      </c>
      <c r="G4555" s="7">
        <v>46074.829019207995</v>
      </c>
    </row>
    <row r="4556">
      <c r="A4556" s="3" t="s">
        <v>14174</v>
      </c>
      <c r="B4556" s="3" t="s">
        <v>336</v>
      </c>
      <c r="C4556" s="3" t="s">
        <v>1342</v>
      </c>
      <c r="D4556" s="3" t="s">
        <v>68</v>
      </c>
      <c r="E4556" s="3" t="s">
        <v>100</v>
      </c>
      <c r="F4556" s="3" t="s">
        <v>1000</v>
      </c>
      <c r="G4556" s="7">
        <v>46074.900194053414</v>
      </c>
    </row>
    <row r="4557">
      <c r="A4557" s="3" t="s">
        <v>14177</v>
      </c>
      <c r="B4557" s="3" t="s">
        <v>293</v>
      </c>
      <c r="C4557" s="3" t="s">
        <v>1342</v>
      </c>
      <c r="D4557" s="3" t="s">
        <v>68</v>
      </c>
      <c r="E4557" s="3" t="s">
        <v>100</v>
      </c>
      <c r="F4557" s="3" t="s">
        <v>1943</v>
      </c>
      <c r="G4557" s="7">
        <v>46074.97136889883</v>
      </c>
    </row>
    <row r="4558">
      <c r="A4558" s="3" t="s">
        <v>14180</v>
      </c>
      <c r="B4558" s="3" t="s">
        <v>502</v>
      </c>
      <c r="C4558" s="3" t="s">
        <v>56</v>
      </c>
      <c r="D4558" s="3" t="s">
        <v>68</v>
      </c>
      <c r="E4558" s="3" t="s">
        <v>100</v>
      </c>
      <c r="F4558" s="3" t="s">
        <v>1448</v>
      </c>
      <c r="G4558" s="7">
        <v>46075.04254374424</v>
      </c>
    </row>
    <row r="4559">
      <c r="A4559" s="3" t="s">
        <v>14185</v>
      </c>
      <c r="B4559" s="3" t="s">
        <v>546</v>
      </c>
      <c r="C4559" s="3" t="s">
        <v>56</v>
      </c>
      <c r="D4559" s="3" t="s">
        <v>68</v>
      </c>
      <c r="E4559" s="3" t="s">
        <v>100</v>
      </c>
      <c r="F4559" s="3" t="s">
        <v>1451</v>
      </c>
      <c r="G4559" s="7">
        <v>46075.11371858966</v>
      </c>
    </row>
    <row r="4560">
      <c r="A4560" s="3" t="s">
        <v>14188</v>
      </c>
      <c r="B4560" s="3" t="s">
        <v>678</v>
      </c>
      <c r="C4560" s="3" t="s">
        <v>56</v>
      </c>
      <c r="D4560" s="3" t="s">
        <v>68</v>
      </c>
      <c r="E4560" s="3" t="s">
        <v>100</v>
      </c>
      <c r="F4560" s="3" t="s">
        <v>1455</v>
      </c>
      <c r="G4560" s="7">
        <v>46075.18489343508</v>
      </c>
    </row>
    <row r="4561">
      <c r="A4561" s="3" t="s">
        <v>14191</v>
      </c>
      <c r="B4561" s="3" t="s">
        <v>1011</v>
      </c>
      <c r="C4561" s="3" t="s">
        <v>1342</v>
      </c>
      <c r="D4561" s="3" t="s">
        <v>68</v>
      </c>
      <c r="E4561" s="3" t="s">
        <v>100</v>
      </c>
      <c r="F4561" s="3" t="s">
        <v>1329</v>
      </c>
      <c r="G4561" s="7">
        <v>46075.25606828048</v>
      </c>
    </row>
    <row r="4562">
      <c r="A4562" s="3" t="s">
        <v>14195</v>
      </c>
      <c r="B4562" s="3" t="s">
        <v>860</v>
      </c>
      <c r="C4562" s="3" t="s">
        <v>56</v>
      </c>
      <c r="D4562" s="3" t="s">
        <v>181</v>
      </c>
      <c r="E4562" s="3" t="s">
        <v>45</v>
      </c>
      <c r="F4562" s="3" t="s">
        <v>45</v>
      </c>
      <c r="G4562" s="7">
        <v>46075.3272431259</v>
      </c>
    </row>
    <row r="4563">
      <c r="A4563" s="3" t="s">
        <v>14199</v>
      </c>
      <c r="B4563" s="3" t="s">
        <v>717</v>
      </c>
      <c r="C4563" s="3" t="s">
        <v>1095</v>
      </c>
      <c r="D4563" s="3" t="s">
        <v>68</v>
      </c>
      <c r="E4563" s="3" t="s">
        <v>100</v>
      </c>
      <c r="F4563" s="3" t="s">
        <v>1286</v>
      </c>
      <c r="G4563" s="7">
        <v>46075.398417971315</v>
      </c>
    </row>
    <row r="4564">
      <c r="A4564" s="3" t="s">
        <v>14202</v>
      </c>
      <c r="B4564" s="3" t="s">
        <v>319</v>
      </c>
      <c r="C4564" s="3" t="s">
        <v>1095</v>
      </c>
      <c r="D4564" s="3" t="s">
        <v>68</v>
      </c>
      <c r="E4564" s="3" t="s">
        <v>100</v>
      </c>
      <c r="F4564" s="3" t="s">
        <v>1371</v>
      </c>
      <c r="G4564" s="7">
        <v>46075.469592816735</v>
      </c>
    </row>
    <row r="4565">
      <c r="A4565" s="3" t="s">
        <v>14204</v>
      </c>
      <c r="B4565" s="3" t="s">
        <v>883</v>
      </c>
      <c r="C4565" s="3" t="s">
        <v>56</v>
      </c>
      <c r="D4565" s="3" t="s">
        <v>68</v>
      </c>
      <c r="E4565" s="3" t="s">
        <v>100</v>
      </c>
      <c r="F4565" s="3" t="s">
        <v>1458</v>
      </c>
      <c r="G4565" s="7">
        <v>46075.54076766215</v>
      </c>
    </row>
    <row r="4566">
      <c r="A4566" s="3" t="s">
        <v>14206</v>
      </c>
      <c r="B4566" s="3" t="s">
        <v>796</v>
      </c>
      <c r="C4566" s="3" t="s">
        <v>1095</v>
      </c>
      <c r="D4566" s="3" t="s">
        <v>181</v>
      </c>
      <c r="E4566" s="3" t="s">
        <v>45</v>
      </c>
      <c r="F4566" s="3" t="s">
        <v>991</v>
      </c>
      <c r="G4566" s="7">
        <v>46075.61194250757</v>
      </c>
    </row>
    <row r="4567">
      <c r="A4567" s="3" t="s">
        <v>14208</v>
      </c>
      <c r="B4567" s="3" t="s">
        <v>446</v>
      </c>
      <c r="C4567" s="3" t="s">
        <v>1095</v>
      </c>
      <c r="D4567" s="3" t="s">
        <v>68</v>
      </c>
      <c r="E4567" s="3" t="s">
        <v>100</v>
      </c>
      <c r="F4567" s="3" t="s">
        <v>815</v>
      </c>
      <c r="G4567" s="7">
        <v>46075.68311735297</v>
      </c>
    </row>
    <row r="4568">
      <c r="A4568" s="3" t="s">
        <v>14211</v>
      </c>
      <c r="B4568" s="3" t="s">
        <v>233</v>
      </c>
      <c r="C4568" s="3" t="s">
        <v>56</v>
      </c>
      <c r="D4568" s="3" t="s">
        <v>68</v>
      </c>
      <c r="E4568" s="3" t="s">
        <v>100</v>
      </c>
      <c r="F4568" s="3" t="s">
        <v>1460</v>
      </c>
      <c r="G4568" s="7">
        <v>46075.75429219839</v>
      </c>
    </row>
    <row r="4569">
      <c r="A4569" s="3" t="s">
        <v>14213</v>
      </c>
      <c r="B4569" s="3" t="s">
        <v>505</v>
      </c>
      <c r="C4569" s="3" t="s">
        <v>56</v>
      </c>
      <c r="D4569" s="3" t="s">
        <v>68</v>
      </c>
      <c r="E4569" s="3" t="s">
        <v>100</v>
      </c>
      <c r="F4569" s="3" t="s">
        <v>1462</v>
      </c>
      <c r="G4569" s="7">
        <v>46075.82546704381</v>
      </c>
    </row>
    <row r="4570">
      <c r="A4570" s="3" t="s">
        <v>14216</v>
      </c>
      <c r="B4570" s="3" t="s">
        <v>253</v>
      </c>
      <c r="C4570" s="3" t="s">
        <v>1342</v>
      </c>
      <c r="D4570" s="3" t="s">
        <v>68</v>
      </c>
      <c r="E4570" s="3" t="s">
        <v>100</v>
      </c>
      <c r="F4570" s="3" t="s">
        <v>611</v>
      </c>
      <c r="G4570" s="7">
        <v>46075.89664188922</v>
      </c>
    </row>
    <row r="4571">
      <c r="A4571" s="3" t="s">
        <v>14219</v>
      </c>
      <c r="B4571" s="3" t="s">
        <v>848</v>
      </c>
      <c r="C4571" s="3" t="s">
        <v>1342</v>
      </c>
      <c r="D4571" s="3" t="s">
        <v>68</v>
      </c>
      <c r="E4571" s="3" t="s">
        <v>100</v>
      </c>
      <c r="F4571" s="3" t="s">
        <v>942</v>
      </c>
      <c r="G4571" s="7">
        <v>46075.967816734636</v>
      </c>
    </row>
    <row r="4572">
      <c r="A4572" s="3" t="s">
        <v>14223</v>
      </c>
      <c r="B4572" s="3" t="s">
        <v>141</v>
      </c>
      <c r="C4572" s="3" t="s">
        <v>56</v>
      </c>
      <c r="D4572" s="3" t="s">
        <v>68</v>
      </c>
      <c r="E4572" s="3" t="s">
        <v>100</v>
      </c>
      <c r="F4572" s="3" t="s">
        <v>1465</v>
      </c>
      <c r="G4572" s="7">
        <v>46076.038991580055</v>
      </c>
    </row>
    <row r="4573">
      <c r="A4573" s="3" t="s">
        <v>14226</v>
      </c>
      <c r="B4573" s="3" t="s">
        <v>189</v>
      </c>
      <c r="C4573" s="3" t="s">
        <v>1342</v>
      </c>
      <c r="D4573" s="3" t="s">
        <v>68</v>
      </c>
      <c r="E4573" s="3" t="s">
        <v>100</v>
      </c>
      <c r="F4573" s="3" t="s">
        <v>1385</v>
      </c>
      <c r="G4573" s="7">
        <v>46076.11016642547</v>
      </c>
    </row>
    <row r="4574">
      <c r="A4574" s="3" t="s">
        <v>14230</v>
      </c>
      <c r="B4574" s="3" t="s">
        <v>596</v>
      </c>
      <c r="C4574" s="3" t="s">
        <v>1342</v>
      </c>
      <c r="D4574" s="3" t="s">
        <v>68</v>
      </c>
      <c r="E4574" s="3" t="s">
        <v>100</v>
      </c>
      <c r="F4574" s="3" t="s">
        <v>1268</v>
      </c>
      <c r="G4574" s="7">
        <v>46076.18134127088</v>
      </c>
    </row>
    <row r="4575">
      <c r="A4575" s="3" t="s">
        <v>14233</v>
      </c>
      <c r="B4575" s="3" t="s">
        <v>348</v>
      </c>
      <c r="C4575" s="3" t="s">
        <v>1342</v>
      </c>
      <c r="D4575" s="3" t="s">
        <v>68</v>
      </c>
      <c r="E4575" s="3" t="s">
        <v>100</v>
      </c>
      <c r="F4575" s="3" t="s">
        <v>1162</v>
      </c>
      <c r="G4575" s="7">
        <v>46076.2525161163</v>
      </c>
    </row>
    <row r="4576">
      <c r="A4576" s="3" t="s">
        <v>14237</v>
      </c>
      <c r="B4576" s="3" t="s">
        <v>253</v>
      </c>
      <c r="C4576" s="3" t="s">
        <v>1095</v>
      </c>
      <c r="D4576" s="3" t="s">
        <v>181</v>
      </c>
      <c r="E4576" s="3" t="s">
        <v>45</v>
      </c>
      <c r="F4576" s="3" t="s">
        <v>611</v>
      </c>
      <c r="G4576" s="7">
        <v>46076.32369096172</v>
      </c>
    </row>
    <row r="4577">
      <c r="A4577" s="3" t="s">
        <v>14239</v>
      </c>
      <c r="B4577" s="3" t="s">
        <v>411</v>
      </c>
      <c r="C4577" s="3" t="s">
        <v>1095</v>
      </c>
      <c r="D4577" s="3" t="s">
        <v>68</v>
      </c>
      <c r="E4577" s="3" t="s">
        <v>100</v>
      </c>
      <c r="F4577" s="3" t="s">
        <v>1185</v>
      </c>
      <c r="G4577" s="7">
        <v>46076.394865807124</v>
      </c>
    </row>
    <row r="4578">
      <c r="A4578" s="3" t="s">
        <v>14241</v>
      </c>
      <c r="B4578" s="3" t="s">
        <v>253</v>
      </c>
      <c r="C4578" s="3" t="s">
        <v>1342</v>
      </c>
      <c r="D4578" s="3" t="s">
        <v>68</v>
      </c>
      <c r="E4578" s="3" t="s">
        <v>100</v>
      </c>
      <c r="F4578" s="3" t="s">
        <v>611</v>
      </c>
      <c r="G4578" s="7">
        <v>46076.46604065254</v>
      </c>
    </row>
    <row r="4579">
      <c r="A4579" s="3" t="s">
        <v>14245</v>
      </c>
      <c r="B4579" s="3" t="s">
        <v>547</v>
      </c>
      <c r="C4579" s="3" t="s">
        <v>1095</v>
      </c>
      <c r="D4579" s="3" t="s">
        <v>68</v>
      </c>
      <c r="E4579" s="3" t="s">
        <v>100</v>
      </c>
      <c r="F4579" s="3" t="s">
        <v>1407</v>
      </c>
      <c r="G4579" s="7">
        <v>46076.53721549796</v>
      </c>
    </row>
    <row r="4580">
      <c r="A4580" s="3" t="s">
        <v>14248</v>
      </c>
      <c r="B4580" s="3" t="s">
        <v>501</v>
      </c>
      <c r="C4580" s="3" t="s">
        <v>1095</v>
      </c>
      <c r="D4580" s="3" t="s">
        <v>181</v>
      </c>
      <c r="E4580" s="3" t="s">
        <v>45</v>
      </c>
      <c r="F4580" s="3" t="s">
        <v>1335</v>
      </c>
      <c r="G4580" s="7">
        <v>46076.608390343376</v>
      </c>
    </row>
    <row r="4581">
      <c r="A4581" s="3" t="s">
        <v>14251</v>
      </c>
      <c r="B4581" s="3" t="s">
        <v>969</v>
      </c>
      <c r="C4581" s="3" t="s">
        <v>1342</v>
      </c>
      <c r="D4581" s="3" t="s">
        <v>68</v>
      </c>
      <c r="E4581" s="3" t="s">
        <v>100</v>
      </c>
      <c r="F4581" s="3" t="s">
        <v>1869</v>
      </c>
      <c r="G4581" s="7">
        <v>46076.67956518879</v>
      </c>
    </row>
    <row r="4582">
      <c r="A4582" s="3" t="s">
        <v>14254</v>
      </c>
      <c r="B4582" s="3" t="s">
        <v>316</v>
      </c>
      <c r="C4582" s="3" t="s">
        <v>1342</v>
      </c>
      <c r="D4582" s="3" t="s">
        <v>68</v>
      </c>
      <c r="E4582" s="3" t="s">
        <v>100</v>
      </c>
      <c r="F4582" s="3" t="s">
        <v>985</v>
      </c>
      <c r="G4582" s="7">
        <v>46076.75074003421</v>
      </c>
    </row>
    <row r="4583">
      <c r="A4583" s="3" t="s">
        <v>14257</v>
      </c>
      <c r="B4583" s="3" t="s">
        <v>535</v>
      </c>
      <c r="C4583" s="3" t="s">
        <v>56</v>
      </c>
      <c r="D4583" s="3" t="s">
        <v>68</v>
      </c>
      <c r="E4583" s="3" t="s">
        <v>100</v>
      </c>
      <c r="F4583" s="3" t="s">
        <v>1467</v>
      </c>
      <c r="G4583" s="7">
        <v>46076.82191487962</v>
      </c>
    </row>
    <row r="4584">
      <c r="A4584" s="3" t="s">
        <v>14259</v>
      </c>
      <c r="B4584" s="3" t="s">
        <v>685</v>
      </c>
      <c r="C4584" s="3" t="s">
        <v>1342</v>
      </c>
      <c r="D4584" s="3" t="s">
        <v>68</v>
      </c>
      <c r="E4584" s="3" t="s">
        <v>100</v>
      </c>
      <c r="F4584" s="3" t="s">
        <v>1284</v>
      </c>
      <c r="G4584" s="7">
        <v>46076.89308972503</v>
      </c>
    </row>
    <row r="4585">
      <c r="A4585" s="3" t="s">
        <v>14261</v>
      </c>
      <c r="B4585" s="3" t="s">
        <v>990</v>
      </c>
      <c r="C4585" s="3" t="s">
        <v>56</v>
      </c>
      <c r="D4585" s="3" t="s">
        <v>68</v>
      </c>
      <c r="E4585" s="3" t="s">
        <v>100</v>
      </c>
      <c r="F4585" s="3" t="s">
        <v>1469</v>
      </c>
      <c r="G4585" s="7">
        <v>46076.96426457045</v>
      </c>
    </row>
    <row r="4586">
      <c r="A4586" s="3" t="s">
        <v>14264</v>
      </c>
      <c r="B4586" s="3" t="s">
        <v>554</v>
      </c>
      <c r="C4586" s="3" t="s">
        <v>1095</v>
      </c>
      <c r="D4586" s="3" t="s">
        <v>68</v>
      </c>
      <c r="E4586" s="3" t="s">
        <v>100</v>
      </c>
      <c r="F4586" s="3" t="s">
        <v>1264</v>
      </c>
      <c r="G4586" s="7">
        <v>46077.035439415864</v>
      </c>
    </row>
    <row r="4587">
      <c r="A4587" s="3" t="s">
        <v>14266</v>
      </c>
      <c r="B4587" s="3" t="s">
        <v>400</v>
      </c>
      <c r="C4587" s="3" t="s">
        <v>1095</v>
      </c>
      <c r="D4587" s="3" t="s">
        <v>68</v>
      </c>
      <c r="E4587" s="3" t="s">
        <v>100</v>
      </c>
      <c r="F4587" s="3" t="s">
        <v>1270</v>
      </c>
      <c r="G4587" s="7">
        <v>46077.106614261276</v>
      </c>
    </row>
    <row r="4588">
      <c r="A4588" s="3" t="s">
        <v>14268</v>
      </c>
      <c r="B4588" s="3" t="s">
        <v>698</v>
      </c>
      <c r="C4588" s="3" t="s">
        <v>1095</v>
      </c>
      <c r="D4588" s="3" t="s">
        <v>181</v>
      </c>
      <c r="E4588" s="3" t="s">
        <v>45</v>
      </c>
      <c r="F4588" s="3" t="s">
        <v>2039</v>
      </c>
      <c r="G4588" s="7">
        <v>46077.177789106696</v>
      </c>
    </row>
    <row r="4589">
      <c r="A4589" s="3" t="s">
        <v>14271</v>
      </c>
      <c r="B4589" s="3" t="s">
        <v>1049</v>
      </c>
      <c r="C4589" s="3" t="s">
        <v>1342</v>
      </c>
      <c r="D4589" s="3" t="s">
        <v>68</v>
      </c>
      <c r="E4589" s="3" t="s">
        <v>100</v>
      </c>
      <c r="F4589" s="3" t="s">
        <v>2093</v>
      </c>
      <c r="G4589" s="7">
        <v>46077.24896395211</v>
      </c>
    </row>
    <row r="4590">
      <c r="A4590" s="3" t="s">
        <v>14276</v>
      </c>
      <c r="B4590" s="3" t="s">
        <v>253</v>
      </c>
      <c r="C4590" s="3" t="s">
        <v>1095</v>
      </c>
      <c r="D4590" s="3" t="s">
        <v>68</v>
      </c>
      <c r="E4590" s="3" t="s">
        <v>100</v>
      </c>
      <c r="F4590" s="3" t="s">
        <v>611</v>
      </c>
      <c r="G4590" s="7">
        <v>46077.32013879752</v>
      </c>
    </row>
    <row r="4591">
      <c r="A4591" s="3" t="s">
        <v>14279</v>
      </c>
      <c r="B4591" s="3" t="s">
        <v>637</v>
      </c>
      <c r="C4591" s="3" t="s">
        <v>1342</v>
      </c>
      <c r="D4591" s="3" t="s">
        <v>68</v>
      </c>
      <c r="E4591" s="3" t="s">
        <v>100</v>
      </c>
      <c r="F4591" s="3" t="s">
        <v>1131</v>
      </c>
      <c r="G4591" s="7">
        <v>46077.39131364294</v>
      </c>
    </row>
    <row r="4592">
      <c r="A4592" s="3" t="s">
        <v>14282</v>
      </c>
      <c r="B4592" s="3" t="s">
        <v>519</v>
      </c>
      <c r="C4592" s="3" t="s">
        <v>1342</v>
      </c>
      <c r="D4592" s="3" t="s">
        <v>68</v>
      </c>
      <c r="E4592" s="3" t="s">
        <v>100</v>
      </c>
      <c r="F4592" s="3" t="s">
        <v>867</v>
      </c>
      <c r="G4592" s="7">
        <v>46077.46248848836</v>
      </c>
    </row>
    <row r="4593">
      <c r="A4593" s="3" t="s">
        <v>14285</v>
      </c>
      <c r="B4593" s="3" t="s">
        <v>848</v>
      </c>
      <c r="C4593" s="3" t="s">
        <v>1095</v>
      </c>
      <c r="D4593" s="3" t="s">
        <v>68</v>
      </c>
      <c r="E4593" s="3" t="s">
        <v>100</v>
      </c>
      <c r="F4593" s="3" t="s">
        <v>942</v>
      </c>
      <c r="G4593" s="7">
        <v>46077.533663333765</v>
      </c>
    </row>
    <row r="4594">
      <c r="A4594" s="3" t="s">
        <v>14288</v>
      </c>
      <c r="B4594" s="3" t="s">
        <v>760</v>
      </c>
      <c r="C4594" s="3" t="s">
        <v>1095</v>
      </c>
      <c r="D4594" s="3" t="s">
        <v>68</v>
      </c>
      <c r="E4594" s="3" t="s">
        <v>100</v>
      </c>
      <c r="F4594" s="3" t="s">
        <v>1338</v>
      </c>
      <c r="G4594" s="7">
        <v>46077.604838179184</v>
      </c>
    </row>
    <row r="4595">
      <c r="A4595" s="3" t="s">
        <v>14291</v>
      </c>
      <c r="B4595" s="3" t="s">
        <v>676</v>
      </c>
      <c r="C4595" s="3" t="s">
        <v>1342</v>
      </c>
      <c r="D4595" s="3" t="s">
        <v>68</v>
      </c>
      <c r="E4595" s="3" t="s">
        <v>100</v>
      </c>
      <c r="F4595" s="3" t="s">
        <v>1762</v>
      </c>
      <c r="G4595" s="7">
        <v>46077.676013024604</v>
      </c>
    </row>
    <row r="4596">
      <c r="A4596" s="3" t="s">
        <v>14295</v>
      </c>
      <c r="B4596" s="3" t="s">
        <v>830</v>
      </c>
      <c r="C4596" s="3" t="s">
        <v>56</v>
      </c>
      <c r="D4596" s="3" t="s">
        <v>68</v>
      </c>
      <c r="E4596" s="3" t="s">
        <v>100</v>
      </c>
      <c r="F4596" s="3" t="s">
        <v>1472</v>
      </c>
      <c r="G4596" s="7">
        <v>46077.747187870016</v>
      </c>
    </row>
    <row r="4597">
      <c r="A4597" s="3" t="s">
        <v>14297</v>
      </c>
      <c r="B4597" s="3" t="s">
        <v>391</v>
      </c>
      <c r="C4597" s="3" t="s">
        <v>56</v>
      </c>
      <c r="D4597" s="3" t="s">
        <v>68</v>
      </c>
      <c r="E4597" s="3" t="s">
        <v>100</v>
      </c>
      <c r="F4597" s="3" t="s">
        <v>1478</v>
      </c>
      <c r="G4597" s="7">
        <v>46077.81836271543</v>
      </c>
    </row>
    <row r="4598">
      <c r="A4598" s="3" t="s">
        <v>14300</v>
      </c>
      <c r="B4598" s="3" t="s">
        <v>322</v>
      </c>
      <c r="C4598" s="3" t="s">
        <v>56</v>
      </c>
      <c r="D4598" s="3" t="s">
        <v>68</v>
      </c>
      <c r="E4598" s="3" t="s">
        <v>100</v>
      </c>
      <c r="F4598" s="3" t="s">
        <v>1480</v>
      </c>
      <c r="G4598" s="7">
        <v>46077.88953756085</v>
      </c>
    </row>
    <row r="4599">
      <c r="A4599" s="3" t="s">
        <v>14303</v>
      </c>
      <c r="B4599" s="3" t="s">
        <v>609</v>
      </c>
      <c r="C4599" s="3" t="s">
        <v>1342</v>
      </c>
      <c r="D4599" s="3" t="s">
        <v>68</v>
      </c>
      <c r="E4599" s="3" t="s">
        <v>100</v>
      </c>
      <c r="F4599" s="3" t="s">
        <v>996</v>
      </c>
      <c r="G4599" s="7">
        <v>46077.96071240626</v>
      </c>
    </row>
    <row r="4600">
      <c r="A4600" s="3" t="s">
        <v>14308</v>
      </c>
      <c r="B4600" s="3" t="s">
        <v>253</v>
      </c>
      <c r="C4600" s="3" t="s">
        <v>56</v>
      </c>
      <c r="D4600" s="3" t="s">
        <v>68</v>
      </c>
      <c r="E4600" s="3" t="s">
        <v>100</v>
      </c>
      <c r="F4600" s="3" t="s">
        <v>1483</v>
      </c>
      <c r="G4600" s="7">
        <v>46078.03188725167</v>
      </c>
    </row>
    <row r="4601">
      <c r="A4601" s="3" t="s">
        <v>14311</v>
      </c>
      <c r="B4601" s="3" t="s">
        <v>369</v>
      </c>
      <c r="C4601" s="3" t="s">
        <v>56</v>
      </c>
      <c r="D4601" s="3" t="s">
        <v>195</v>
      </c>
      <c r="E4601" s="3" t="s">
        <v>45</v>
      </c>
      <c r="F4601" s="3" t="s">
        <v>45</v>
      </c>
      <c r="G4601" s="7">
        <v>46078.10306209709</v>
      </c>
    </row>
    <row r="4602">
      <c r="A4602" s="3" t="s">
        <v>14314</v>
      </c>
      <c r="B4602" s="3" t="s">
        <v>694</v>
      </c>
      <c r="C4602" s="3" t="s">
        <v>1342</v>
      </c>
      <c r="D4602" s="3" t="s">
        <v>68</v>
      </c>
      <c r="E4602" s="3" t="s">
        <v>100</v>
      </c>
      <c r="F4602" s="3" t="s">
        <v>1797</v>
      </c>
      <c r="G4602" s="7">
        <v>46078.174236942505</v>
      </c>
    </row>
    <row r="4603">
      <c r="A4603" s="3" t="s">
        <v>14318</v>
      </c>
      <c r="B4603" s="3" t="s">
        <v>498</v>
      </c>
      <c r="C4603" s="3" t="s">
        <v>1342</v>
      </c>
      <c r="D4603" s="3" t="s">
        <v>68</v>
      </c>
      <c r="E4603" s="3" t="s">
        <v>100</v>
      </c>
      <c r="F4603" s="3" t="s">
        <v>1274</v>
      </c>
      <c r="G4603" s="7">
        <v>46078.24541178792</v>
      </c>
    </row>
    <row r="4604">
      <c r="A4604" s="3" t="s">
        <v>14320</v>
      </c>
      <c r="B4604" s="3" t="s">
        <v>186</v>
      </c>
      <c r="C4604" s="3" t="s">
        <v>1342</v>
      </c>
      <c r="D4604" s="3" t="s">
        <v>68</v>
      </c>
      <c r="E4604" s="3" t="s">
        <v>100</v>
      </c>
      <c r="F4604" s="3" t="s">
        <v>1475</v>
      </c>
      <c r="G4604" s="7">
        <v>46078.31658663334</v>
      </c>
    </row>
    <row r="4605">
      <c r="A4605" s="3" t="s">
        <v>14323</v>
      </c>
      <c r="B4605" s="3" t="s">
        <v>380</v>
      </c>
      <c r="C4605" s="3" t="s">
        <v>56</v>
      </c>
      <c r="D4605" s="3" t="s">
        <v>68</v>
      </c>
      <c r="E4605" s="3" t="s">
        <v>100</v>
      </c>
      <c r="F4605" s="3" t="s">
        <v>1485</v>
      </c>
      <c r="G4605" s="7">
        <v>46078.38776147875</v>
      </c>
    </row>
    <row r="4606">
      <c r="A4606" s="3" t="s">
        <v>14325</v>
      </c>
      <c r="B4606" s="3" t="s">
        <v>535</v>
      </c>
      <c r="C4606" s="3" t="s">
        <v>1342</v>
      </c>
      <c r="D4606" s="3" t="s">
        <v>68</v>
      </c>
      <c r="E4606" s="3" t="s">
        <v>100</v>
      </c>
      <c r="F4606" s="3" t="s">
        <v>1467</v>
      </c>
      <c r="G4606" s="7">
        <v>46078.45893632416</v>
      </c>
    </row>
    <row r="4607">
      <c r="A4607" s="3" t="s">
        <v>14327</v>
      </c>
      <c r="B4607" s="3" t="s">
        <v>1028</v>
      </c>
      <c r="C4607" s="3" t="s">
        <v>1095</v>
      </c>
      <c r="D4607" s="3" t="s">
        <v>68</v>
      </c>
      <c r="E4607" s="3" t="s">
        <v>100</v>
      </c>
      <c r="F4607" s="3" t="s">
        <v>1768</v>
      </c>
      <c r="G4607" s="7">
        <v>46078.53011116958</v>
      </c>
    </row>
    <row r="4608">
      <c r="A4608" s="3" t="s">
        <v>14330</v>
      </c>
      <c r="B4608" s="3" t="s">
        <v>243</v>
      </c>
      <c r="C4608" s="3" t="s">
        <v>56</v>
      </c>
      <c r="D4608" s="3" t="s">
        <v>68</v>
      </c>
      <c r="E4608" s="3" t="s">
        <v>100</v>
      </c>
      <c r="F4608" s="3" t="s">
        <v>1488</v>
      </c>
      <c r="G4608" s="7">
        <v>46078.601286015</v>
      </c>
    </row>
    <row r="4609">
      <c r="A4609" s="3" t="s">
        <v>14332</v>
      </c>
      <c r="B4609" s="3" t="s">
        <v>627</v>
      </c>
      <c r="C4609" s="3" t="s">
        <v>1342</v>
      </c>
      <c r="D4609" s="3" t="s">
        <v>68</v>
      </c>
      <c r="E4609" s="3" t="s">
        <v>100</v>
      </c>
      <c r="F4609" s="3" t="s">
        <v>1882</v>
      </c>
      <c r="G4609" s="7">
        <v>46078.672460860405</v>
      </c>
    </row>
    <row r="4610">
      <c r="A4610" s="3" t="s">
        <v>14334</v>
      </c>
      <c r="B4610" s="3" t="s">
        <v>826</v>
      </c>
      <c r="C4610" s="3" t="s">
        <v>1095</v>
      </c>
      <c r="D4610" s="3" t="s">
        <v>195</v>
      </c>
      <c r="E4610" s="3" t="s">
        <v>45</v>
      </c>
      <c r="F4610" s="3" t="s">
        <v>693</v>
      </c>
      <c r="G4610" s="7">
        <v>46078.743635705825</v>
      </c>
    </row>
    <row r="4611">
      <c r="A4611" s="3" t="s">
        <v>14338</v>
      </c>
      <c r="B4611" s="3" t="s">
        <v>760</v>
      </c>
      <c r="C4611" s="3" t="s">
        <v>56</v>
      </c>
      <c r="D4611" s="3" t="s">
        <v>68</v>
      </c>
      <c r="E4611" s="3" t="s">
        <v>100</v>
      </c>
      <c r="F4611" s="3" t="s">
        <v>1493</v>
      </c>
      <c r="G4611" s="7">
        <v>46078.814810551245</v>
      </c>
    </row>
    <row r="4612">
      <c r="A4612" s="3" t="s">
        <v>14341</v>
      </c>
      <c r="B4612" s="3" t="s">
        <v>848</v>
      </c>
      <c r="C4612" s="3" t="s">
        <v>56</v>
      </c>
      <c r="D4612" s="3" t="s">
        <v>68</v>
      </c>
      <c r="E4612" s="3" t="s">
        <v>100</v>
      </c>
      <c r="F4612" s="3" t="s">
        <v>1495</v>
      </c>
      <c r="G4612" s="7">
        <v>46078.88598539666</v>
      </c>
    </row>
    <row r="4613">
      <c r="A4613" s="3" t="s">
        <v>14345</v>
      </c>
      <c r="B4613" s="3" t="s">
        <v>765</v>
      </c>
      <c r="C4613" s="3" t="s">
        <v>1342</v>
      </c>
      <c r="D4613" s="3" t="s">
        <v>68</v>
      </c>
      <c r="E4613" s="3" t="s">
        <v>100</v>
      </c>
      <c r="F4613" s="3" t="s">
        <v>2088</v>
      </c>
      <c r="G4613" s="7">
        <v>46078.95716024207</v>
      </c>
    </row>
    <row r="4614">
      <c r="A4614" s="3" t="s">
        <v>14349</v>
      </c>
      <c r="B4614" s="3" t="s">
        <v>934</v>
      </c>
      <c r="C4614" s="3" t="s">
        <v>56</v>
      </c>
      <c r="D4614" s="3" t="s">
        <v>68</v>
      </c>
      <c r="E4614" s="3" t="s">
        <v>100</v>
      </c>
      <c r="F4614" s="3" t="s">
        <v>1498</v>
      </c>
      <c r="G4614" s="7">
        <v>46079.02833508749</v>
      </c>
    </row>
    <row r="4615">
      <c r="A4615" s="3" t="s">
        <v>14353</v>
      </c>
      <c r="B4615" s="3" t="s">
        <v>299</v>
      </c>
      <c r="C4615" s="3" t="s">
        <v>1342</v>
      </c>
      <c r="D4615" s="3" t="s">
        <v>68</v>
      </c>
      <c r="E4615" s="3" t="s">
        <v>100</v>
      </c>
      <c r="F4615" s="3" t="s">
        <v>1985</v>
      </c>
      <c r="G4615" s="7">
        <v>46079.0995099329</v>
      </c>
    </row>
    <row r="4616">
      <c r="A4616" s="3" t="s">
        <v>14356</v>
      </c>
      <c r="B4616" s="3" t="s">
        <v>290</v>
      </c>
      <c r="C4616" s="3" t="s">
        <v>1342</v>
      </c>
      <c r="D4616" s="3" t="s">
        <v>68</v>
      </c>
      <c r="E4616" s="3" t="s">
        <v>100</v>
      </c>
      <c r="F4616" s="3" t="s">
        <v>1356</v>
      </c>
      <c r="G4616" s="7">
        <v>46079.17068477831</v>
      </c>
    </row>
    <row r="4617">
      <c r="A4617" s="3" t="s">
        <v>14359</v>
      </c>
      <c r="B4617" s="3" t="s">
        <v>943</v>
      </c>
      <c r="C4617" s="3" t="s">
        <v>1342</v>
      </c>
      <c r="D4617" s="3" t="s">
        <v>68</v>
      </c>
      <c r="E4617" s="3" t="s">
        <v>100</v>
      </c>
      <c r="F4617" s="3" t="s">
        <v>1446</v>
      </c>
      <c r="G4617" s="7">
        <v>46079.24185962373</v>
      </c>
    </row>
    <row r="4618">
      <c r="A4618" s="3" t="s">
        <v>14362</v>
      </c>
      <c r="B4618" s="3" t="s">
        <v>369</v>
      </c>
      <c r="C4618" s="3" t="s">
        <v>56</v>
      </c>
      <c r="D4618" s="3" t="s">
        <v>68</v>
      </c>
      <c r="E4618" s="3" t="s">
        <v>100</v>
      </c>
      <c r="F4618" s="3" t="s">
        <v>1501</v>
      </c>
      <c r="G4618" s="7">
        <v>46079.313034469145</v>
      </c>
    </row>
    <row r="4619">
      <c r="A4619" s="3" t="s">
        <v>14366</v>
      </c>
      <c r="B4619" s="3" t="s">
        <v>512</v>
      </c>
      <c r="C4619" s="3" t="s">
        <v>1095</v>
      </c>
      <c r="D4619" s="3" t="s">
        <v>68</v>
      </c>
      <c r="E4619" s="3" t="s">
        <v>100</v>
      </c>
      <c r="F4619" s="3" t="s">
        <v>1361</v>
      </c>
      <c r="G4619" s="7">
        <v>46079.38420931456</v>
      </c>
    </row>
    <row r="4620">
      <c r="A4620" s="3" t="s">
        <v>14370</v>
      </c>
      <c r="B4620" s="3" t="s">
        <v>130</v>
      </c>
      <c r="C4620" s="3" t="s">
        <v>56</v>
      </c>
      <c r="D4620" s="3" t="s">
        <v>68</v>
      </c>
      <c r="E4620" s="3" t="s">
        <v>100</v>
      </c>
      <c r="F4620" s="3" t="s">
        <v>1503</v>
      </c>
      <c r="G4620" s="7">
        <v>46079.45538415998</v>
      </c>
    </row>
    <row r="4621">
      <c r="A4621" s="3" t="s">
        <v>14373</v>
      </c>
      <c r="B4621" s="3" t="s">
        <v>1043</v>
      </c>
      <c r="C4621" s="3" t="s">
        <v>1095</v>
      </c>
      <c r="D4621" s="3" t="s">
        <v>68</v>
      </c>
      <c r="E4621" s="3" t="s">
        <v>100</v>
      </c>
      <c r="F4621" s="3" t="s">
        <v>1393</v>
      </c>
      <c r="G4621" s="7">
        <v>46079.5265590054</v>
      </c>
    </row>
    <row r="4622">
      <c r="A4622" s="3" t="s">
        <v>14375</v>
      </c>
      <c r="B4622" s="3" t="s">
        <v>377</v>
      </c>
      <c r="C4622" s="3" t="s">
        <v>1342</v>
      </c>
      <c r="D4622" s="3" t="s">
        <v>68</v>
      </c>
      <c r="E4622" s="3" t="s">
        <v>100</v>
      </c>
      <c r="F4622" s="3" t="s">
        <v>470</v>
      </c>
      <c r="G4622" s="7">
        <v>46079.5977338508</v>
      </c>
    </row>
    <row r="4623">
      <c r="A4623" s="3" t="s">
        <v>14377</v>
      </c>
      <c r="B4623" s="3" t="s">
        <v>383</v>
      </c>
      <c r="C4623" s="3" t="s">
        <v>1342</v>
      </c>
      <c r="D4623" s="3" t="s">
        <v>68</v>
      </c>
      <c r="E4623" s="3" t="s">
        <v>100</v>
      </c>
      <c r="F4623" s="3" t="s">
        <v>1129</v>
      </c>
      <c r="G4623" s="7">
        <v>46079.66890869622</v>
      </c>
    </row>
    <row r="4624">
      <c r="A4624" s="3" t="s">
        <v>14379</v>
      </c>
      <c r="B4624" s="3" t="s">
        <v>391</v>
      </c>
      <c r="C4624" s="3" t="s">
        <v>1095</v>
      </c>
      <c r="D4624" s="3" t="s">
        <v>68</v>
      </c>
      <c r="E4624" s="3" t="s">
        <v>100</v>
      </c>
      <c r="F4624" s="3" t="s">
        <v>1478</v>
      </c>
      <c r="G4624" s="7">
        <v>46079.74008354164</v>
      </c>
    </row>
    <row r="4625">
      <c r="A4625" s="3" t="s">
        <v>14381</v>
      </c>
      <c r="B4625" s="3" t="s">
        <v>141</v>
      </c>
      <c r="C4625" s="3" t="s">
        <v>1095</v>
      </c>
      <c r="D4625" s="3" t="s">
        <v>68</v>
      </c>
      <c r="E4625" s="3" t="s">
        <v>100</v>
      </c>
      <c r="F4625" s="3" t="s">
        <v>1465</v>
      </c>
      <c r="G4625" s="7">
        <v>46079.81125838705</v>
      </c>
    </row>
    <row r="4626">
      <c r="A4626" s="3" t="s">
        <v>14383</v>
      </c>
      <c r="B4626" s="3" t="s">
        <v>1049</v>
      </c>
      <c r="C4626" s="3" t="s">
        <v>1095</v>
      </c>
      <c r="D4626" s="3" t="s">
        <v>68</v>
      </c>
      <c r="E4626" s="3" t="s">
        <v>100</v>
      </c>
      <c r="F4626" s="3" t="s">
        <v>2093</v>
      </c>
      <c r="G4626" s="7">
        <v>46079.882433232466</v>
      </c>
    </row>
    <row r="4627">
      <c r="A4627" s="3" t="s">
        <v>14385</v>
      </c>
      <c r="B4627" s="3" t="s">
        <v>574</v>
      </c>
      <c r="C4627" s="3" t="s">
        <v>1342</v>
      </c>
      <c r="D4627" s="3" t="s">
        <v>68</v>
      </c>
      <c r="E4627" s="3" t="s">
        <v>100</v>
      </c>
      <c r="F4627" s="3" t="s">
        <v>1747</v>
      </c>
      <c r="G4627" s="7">
        <v>46079.953608077885</v>
      </c>
    </row>
    <row r="4628">
      <c r="A4628" s="3" t="s">
        <v>14387</v>
      </c>
      <c r="B4628" s="3" t="s">
        <v>250</v>
      </c>
      <c r="C4628" s="3" t="s">
        <v>1342</v>
      </c>
      <c r="D4628" s="3" t="s">
        <v>181</v>
      </c>
      <c r="E4628" s="3" t="s">
        <v>45</v>
      </c>
      <c r="F4628" s="3" t="s">
        <v>2113</v>
      </c>
      <c r="G4628" s="7">
        <v>46080.0247829233</v>
      </c>
    </row>
    <row r="4629">
      <c r="A4629" s="3" t="s">
        <v>14389</v>
      </c>
      <c r="B4629" s="3" t="s">
        <v>491</v>
      </c>
      <c r="C4629" s="3" t="s">
        <v>1342</v>
      </c>
      <c r="D4629" s="3" t="s">
        <v>68</v>
      </c>
      <c r="E4629" s="3" t="s">
        <v>100</v>
      </c>
      <c r="F4629" s="3" t="s">
        <v>1426</v>
      </c>
      <c r="G4629" s="7">
        <v>46080.09595776871</v>
      </c>
    </row>
    <row r="4630">
      <c r="A4630" s="3" t="s">
        <v>14393</v>
      </c>
      <c r="B4630" s="3" t="s">
        <v>256</v>
      </c>
      <c r="C4630" s="3" t="s">
        <v>56</v>
      </c>
      <c r="D4630" s="3" t="s">
        <v>68</v>
      </c>
      <c r="E4630" s="3" t="s">
        <v>100</v>
      </c>
      <c r="F4630" s="3" t="s">
        <v>1506</v>
      </c>
      <c r="G4630" s="7">
        <v>46080.16713261413</v>
      </c>
    </row>
    <row r="4631">
      <c r="A4631" s="3" t="s">
        <v>14397</v>
      </c>
      <c r="B4631" s="3" t="s">
        <v>778</v>
      </c>
      <c r="C4631" s="3" t="s">
        <v>1095</v>
      </c>
      <c r="D4631" s="3" t="s">
        <v>68</v>
      </c>
      <c r="E4631" s="3" t="s">
        <v>100</v>
      </c>
      <c r="F4631" s="3" t="s">
        <v>1413</v>
      </c>
      <c r="G4631" s="7">
        <v>46080.23830745954</v>
      </c>
    </row>
    <row r="4632">
      <c r="A4632" s="3" t="s">
        <v>14400</v>
      </c>
      <c r="B4632" s="3" t="s">
        <v>341</v>
      </c>
      <c r="C4632" s="3" t="s">
        <v>56</v>
      </c>
      <c r="D4632" s="3" t="s">
        <v>68</v>
      </c>
      <c r="E4632" s="3" t="s">
        <v>100</v>
      </c>
      <c r="F4632" s="3" t="s">
        <v>1509</v>
      </c>
      <c r="G4632" s="7">
        <v>46080.309482304954</v>
      </c>
    </row>
    <row r="4633">
      <c r="A4633" s="3" t="s">
        <v>14404</v>
      </c>
      <c r="B4633" s="3" t="s">
        <v>870</v>
      </c>
      <c r="C4633" s="3" t="s">
        <v>1095</v>
      </c>
      <c r="D4633" s="3" t="s">
        <v>68</v>
      </c>
      <c r="E4633" s="3" t="s">
        <v>100</v>
      </c>
      <c r="F4633" s="3" t="s">
        <v>1586</v>
      </c>
      <c r="G4633" s="7">
        <v>46080.380657150374</v>
      </c>
    </row>
    <row r="4634">
      <c r="A4634" s="3" t="s">
        <v>14408</v>
      </c>
      <c r="B4634" s="3" t="s">
        <v>557</v>
      </c>
      <c r="C4634" s="3" t="s">
        <v>56</v>
      </c>
      <c r="D4634" s="3" t="s">
        <v>68</v>
      </c>
      <c r="E4634" s="3" t="s">
        <v>100</v>
      </c>
      <c r="F4634" s="3" t="s">
        <v>1512</v>
      </c>
      <c r="G4634" s="7">
        <v>46080.451831995786</v>
      </c>
    </row>
    <row r="4635">
      <c r="A4635" s="3" t="s">
        <v>14415</v>
      </c>
      <c r="B4635" s="3" t="s">
        <v>137</v>
      </c>
      <c r="C4635" s="3" t="s">
        <v>1342</v>
      </c>
      <c r="D4635" s="3" t="s">
        <v>68</v>
      </c>
      <c r="E4635" s="3" t="s">
        <v>100</v>
      </c>
      <c r="F4635" s="3" t="s">
        <v>1086</v>
      </c>
      <c r="G4635" s="7">
        <v>46080.5230068412</v>
      </c>
    </row>
    <row r="4636">
      <c r="A4636" s="3" t="s">
        <v>14418</v>
      </c>
      <c r="B4636" s="3" t="s">
        <v>616</v>
      </c>
      <c r="C4636" s="3" t="s">
        <v>1342</v>
      </c>
      <c r="D4636" s="3" t="s">
        <v>68</v>
      </c>
      <c r="E4636" s="3" t="s">
        <v>100</v>
      </c>
      <c r="F4636" s="3" t="s">
        <v>1064</v>
      </c>
      <c r="G4636" s="7">
        <v>46080.59418168662</v>
      </c>
    </row>
    <row r="4637">
      <c r="A4637" s="3" t="s">
        <v>14422</v>
      </c>
      <c r="B4637" s="3" t="s">
        <v>805</v>
      </c>
      <c r="C4637" s="3" t="s">
        <v>1342</v>
      </c>
      <c r="D4637" s="3" t="s">
        <v>68</v>
      </c>
      <c r="E4637" s="3" t="s">
        <v>100</v>
      </c>
      <c r="F4637" s="3" t="s">
        <v>1395</v>
      </c>
      <c r="G4637" s="7">
        <v>46080.66535653204</v>
      </c>
    </row>
    <row r="4638">
      <c r="A4638" s="3" t="s">
        <v>14425</v>
      </c>
      <c r="B4638" s="3" t="s">
        <v>838</v>
      </c>
      <c r="C4638" s="3" t="s">
        <v>56</v>
      </c>
      <c r="D4638" s="3" t="s">
        <v>68</v>
      </c>
      <c r="E4638" s="3" t="s">
        <v>100</v>
      </c>
      <c r="F4638" s="3" t="s">
        <v>1514</v>
      </c>
      <c r="G4638" s="7">
        <v>46080.73653137744</v>
      </c>
    </row>
    <row r="4639">
      <c r="A4639" s="3" t="s">
        <v>14429</v>
      </c>
      <c r="B4639" s="3" t="s">
        <v>747</v>
      </c>
      <c r="C4639" s="3" t="s">
        <v>1342</v>
      </c>
      <c r="D4639" s="3" t="s">
        <v>68</v>
      </c>
      <c r="E4639" s="3" t="s">
        <v>100</v>
      </c>
      <c r="F4639" s="3" t="s">
        <v>932</v>
      </c>
      <c r="G4639" s="7">
        <v>46080.80770622286</v>
      </c>
    </row>
    <row r="4640">
      <c r="A4640" s="3" t="s">
        <v>14432</v>
      </c>
      <c r="B4640" s="3" t="s">
        <v>947</v>
      </c>
      <c r="C4640" s="3" t="s">
        <v>1342</v>
      </c>
      <c r="D4640" s="3" t="s">
        <v>68</v>
      </c>
      <c r="E4640" s="3" t="s">
        <v>100</v>
      </c>
      <c r="F4640" s="3" t="s">
        <v>2062</v>
      </c>
      <c r="G4640" s="7">
        <v>46080.87888106828</v>
      </c>
    </row>
    <row r="4641">
      <c r="A4641" s="3" t="s">
        <v>14435</v>
      </c>
      <c r="B4641" s="3" t="s">
        <v>541</v>
      </c>
      <c r="C4641" s="3" t="s">
        <v>1342</v>
      </c>
      <c r="D4641" s="3" t="s">
        <v>68</v>
      </c>
      <c r="E4641" s="3" t="s">
        <v>100</v>
      </c>
      <c r="F4641" s="3" t="s">
        <v>1383</v>
      </c>
      <c r="G4641" s="7">
        <v>46080.950055913694</v>
      </c>
    </row>
    <row r="4642">
      <c r="A4642" s="3" t="s">
        <v>14438</v>
      </c>
      <c r="B4642" s="3" t="s">
        <v>822</v>
      </c>
      <c r="C4642" s="3" t="s">
        <v>1095</v>
      </c>
      <c r="D4642" s="3" t="s">
        <v>68</v>
      </c>
      <c r="E4642" s="3" t="s">
        <v>100</v>
      </c>
      <c r="F4642" s="3" t="s">
        <v>2004</v>
      </c>
      <c r="G4642" s="7">
        <v>46081.02123075911</v>
      </c>
    </row>
    <row r="4643">
      <c r="A4643" s="3" t="s">
        <v>14441</v>
      </c>
      <c r="B4643" s="3" t="s">
        <v>171</v>
      </c>
      <c r="C4643" s="3" t="s">
        <v>1342</v>
      </c>
      <c r="D4643" s="3" t="s">
        <v>68</v>
      </c>
      <c r="E4643" s="3" t="s">
        <v>100</v>
      </c>
      <c r="F4643" s="3" t="s">
        <v>1835</v>
      </c>
      <c r="G4643" s="7">
        <v>46081.092405604526</v>
      </c>
    </row>
    <row r="4644">
      <c r="A4644" s="3" t="s">
        <v>14444</v>
      </c>
      <c r="B4644" s="3" t="s">
        <v>226</v>
      </c>
      <c r="C4644" s="3" t="s">
        <v>56</v>
      </c>
      <c r="D4644" s="3" t="s">
        <v>68</v>
      </c>
      <c r="E4644" s="3" t="s">
        <v>100</v>
      </c>
      <c r="F4644" s="3" t="s">
        <v>1517</v>
      </c>
      <c r="G4644" s="7">
        <v>46081.16358044994</v>
      </c>
    </row>
    <row r="4645">
      <c r="A4645" s="3" t="s">
        <v>14449</v>
      </c>
      <c r="B4645" s="3" t="s">
        <v>561</v>
      </c>
      <c r="C4645" s="3" t="s">
        <v>56</v>
      </c>
      <c r="D4645" s="3" t="s">
        <v>68</v>
      </c>
      <c r="E4645" s="3" t="s">
        <v>100</v>
      </c>
      <c r="F4645" s="3" t="s">
        <v>1520</v>
      </c>
      <c r="G4645" s="7">
        <v>46081.23475529535</v>
      </c>
    </row>
    <row r="4646">
      <c r="A4646" s="3" t="s">
        <v>14452</v>
      </c>
      <c r="B4646" s="3" t="s">
        <v>632</v>
      </c>
      <c r="C4646" s="3" t="s">
        <v>56</v>
      </c>
      <c r="D4646" s="3" t="s">
        <v>68</v>
      </c>
      <c r="E4646" s="3" t="s">
        <v>100</v>
      </c>
      <c r="F4646" s="3" t="s">
        <v>1521</v>
      </c>
      <c r="G4646" s="7">
        <v>46081.30593014077</v>
      </c>
    </row>
    <row r="4647">
      <c r="A4647" s="3" t="s">
        <v>14455</v>
      </c>
      <c r="B4647" s="3" t="s">
        <v>449</v>
      </c>
      <c r="C4647" s="3" t="s">
        <v>1342</v>
      </c>
      <c r="D4647" s="3" t="s">
        <v>68</v>
      </c>
      <c r="E4647" s="3" t="s">
        <v>100</v>
      </c>
      <c r="F4647" s="3" t="s">
        <v>560</v>
      </c>
      <c r="G4647" s="7">
        <v>46081.37710498618</v>
      </c>
    </row>
    <row r="4648">
      <c r="A4648" s="3" t="s">
        <v>14459</v>
      </c>
      <c r="B4648" s="3" t="s">
        <v>507</v>
      </c>
      <c r="C4648" s="3" t="s">
        <v>56</v>
      </c>
      <c r="D4648" s="3" t="s">
        <v>68</v>
      </c>
      <c r="E4648" s="3" t="s">
        <v>100</v>
      </c>
      <c r="F4648" s="3" t="s">
        <v>1524</v>
      </c>
      <c r="G4648" s="7">
        <v>46081.448279831595</v>
      </c>
    </row>
    <row r="4649">
      <c r="A4649" s="3" t="s">
        <v>14462</v>
      </c>
      <c r="B4649" s="3" t="s">
        <v>727</v>
      </c>
      <c r="C4649" s="3" t="s">
        <v>56</v>
      </c>
      <c r="D4649" s="3" t="s">
        <v>68</v>
      </c>
      <c r="E4649" s="3" t="s">
        <v>100</v>
      </c>
      <c r="F4649" s="3" t="s">
        <v>1526</v>
      </c>
      <c r="G4649" s="7">
        <v>46081.519454677014</v>
      </c>
    </row>
    <row r="4650">
      <c r="A4650" s="3" t="s">
        <v>14466</v>
      </c>
      <c r="B4650" s="3" t="s">
        <v>838</v>
      </c>
      <c r="C4650" s="3" t="s">
        <v>1342</v>
      </c>
      <c r="D4650" s="3" t="s">
        <v>68</v>
      </c>
      <c r="E4650" s="3" t="s">
        <v>100</v>
      </c>
      <c r="F4650" s="3" t="s">
        <v>1514</v>
      </c>
      <c r="G4650" s="7">
        <v>46081.59062952243</v>
      </c>
    </row>
    <row r="4651">
      <c r="A4651" s="3" t="s">
        <v>14469</v>
      </c>
      <c r="B4651" s="3" t="s">
        <v>643</v>
      </c>
      <c r="C4651" s="3" t="s">
        <v>1095</v>
      </c>
      <c r="D4651" s="3" t="s">
        <v>68</v>
      </c>
      <c r="E4651" s="3" t="s">
        <v>100</v>
      </c>
      <c r="F4651" s="3" t="s">
        <v>1697</v>
      </c>
      <c r="G4651" s="7">
        <v>46081.66180436784</v>
      </c>
    </row>
    <row r="4652">
      <c r="A4652" s="3" t="s">
        <v>14472</v>
      </c>
      <c r="B4652" s="3" t="s">
        <v>605</v>
      </c>
      <c r="C4652" s="3" t="s">
        <v>1095</v>
      </c>
      <c r="D4652" s="3" t="s">
        <v>68</v>
      </c>
      <c r="E4652" s="3" t="s">
        <v>100</v>
      </c>
      <c r="F4652" s="3" t="s">
        <v>589</v>
      </c>
      <c r="G4652" s="7">
        <v>46081.73297921326</v>
      </c>
    </row>
    <row r="4653">
      <c r="A4653" s="3" t="s">
        <v>14477</v>
      </c>
      <c r="B4653" s="3" t="s">
        <v>330</v>
      </c>
      <c r="C4653" s="3" t="s">
        <v>1095</v>
      </c>
      <c r="D4653" s="3" t="s">
        <v>68</v>
      </c>
      <c r="E4653" s="3" t="s">
        <v>100</v>
      </c>
      <c r="F4653" s="3" t="s">
        <v>721</v>
      </c>
      <c r="G4653" s="7">
        <v>46081.80415405868</v>
      </c>
    </row>
    <row r="4654">
      <c r="A4654" s="3" t="s">
        <v>14480</v>
      </c>
      <c r="B4654" s="3" t="s">
        <v>609</v>
      </c>
      <c r="C4654" s="3" t="s">
        <v>1095</v>
      </c>
      <c r="D4654" s="3" t="s">
        <v>68</v>
      </c>
      <c r="E4654" s="3" t="s">
        <v>100</v>
      </c>
      <c r="F4654" s="3" t="s">
        <v>996</v>
      </c>
      <c r="G4654" s="7">
        <v>46081.87532890408</v>
      </c>
    </row>
    <row r="4655">
      <c r="A4655" s="3" t="s">
        <v>14483</v>
      </c>
      <c r="B4655" s="3" t="s">
        <v>756</v>
      </c>
      <c r="C4655" s="3" t="s">
        <v>56</v>
      </c>
      <c r="D4655" s="3" t="s">
        <v>68</v>
      </c>
      <c r="E4655" s="3" t="s">
        <v>100</v>
      </c>
      <c r="F4655" s="3" t="s">
        <v>1530</v>
      </c>
      <c r="G4655" s="7">
        <v>46081.9465037495</v>
      </c>
    </row>
    <row r="4656">
      <c r="A4656" s="3" t="s">
        <v>14486</v>
      </c>
      <c r="B4656" s="3" t="s">
        <v>819</v>
      </c>
      <c r="C4656" s="3" t="s">
        <v>1095</v>
      </c>
      <c r="D4656" s="3" t="s">
        <v>68</v>
      </c>
      <c r="E4656" s="3" t="s">
        <v>100</v>
      </c>
      <c r="F4656" s="3" t="s">
        <v>1206</v>
      </c>
      <c r="G4656" s="7">
        <v>46082.01767859492</v>
      </c>
    </row>
    <row r="4657">
      <c r="A4657" s="3" t="s">
        <v>14489</v>
      </c>
      <c r="B4657" s="3" t="s">
        <v>937</v>
      </c>
      <c r="C4657" s="3" t="s">
        <v>1342</v>
      </c>
      <c r="D4657" s="3" t="s">
        <v>68</v>
      </c>
      <c r="E4657" s="3" t="s">
        <v>100</v>
      </c>
      <c r="F4657" s="3" t="s">
        <v>1369</v>
      </c>
      <c r="G4657" s="7">
        <v>46082.088853440335</v>
      </c>
    </row>
    <row r="4658">
      <c r="A4658" s="3" t="s">
        <v>14493</v>
      </c>
      <c r="B4658" s="3" t="s">
        <v>637</v>
      </c>
      <c r="C4658" s="3" t="s">
        <v>1095</v>
      </c>
      <c r="D4658" s="3" t="s">
        <v>195</v>
      </c>
      <c r="E4658" s="3" t="s">
        <v>45</v>
      </c>
      <c r="F4658" s="3" t="s">
        <v>1131</v>
      </c>
      <c r="G4658" s="7">
        <v>46082.16002828575</v>
      </c>
    </row>
    <row r="4659">
      <c r="A4659" s="3" t="s">
        <v>14497</v>
      </c>
      <c r="B4659" s="3" t="s">
        <v>727</v>
      </c>
      <c r="C4659" s="3" t="s">
        <v>1342</v>
      </c>
      <c r="D4659" s="3" t="s">
        <v>68</v>
      </c>
      <c r="E4659" s="3" t="s">
        <v>100</v>
      </c>
      <c r="F4659" s="3" t="s">
        <v>1526</v>
      </c>
      <c r="G4659" s="7">
        <v>46082.23120313117</v>
      </c>
    </row>
    <row r="4660">
      <c r="A4660" s="3" t="s">
        <v>14500</v>
      </c>
      <c r="B4660" s="3" t="s">
        <v>1049</v>
      </c>
      <c r="C4660" s="3" t="s">
        <v>56</v>
      </c>
      <c r="D4660" s="3" t="s">
        <v>68</v>
      </c>
      <c r="E4660" s="3" t="s">
        <v>100</v>
      </c>
      <c r="F4660" s="3" t="s">
        <v>1533</v>
      </c>
      <c r="G4660" s="7">
        <v>46082.30237797658</v>
      </c>
    </row>
    <row r="4661">
      <c r="A4661" s="3" t="s">
        <v>14502</v>
      </c>
      <c r="B4661" s="3" t="s">
        <v>908</v>
      </c>
      <c r="C4661" s="3" t="s">
        <v>56</v>
      </c>
      <c r="D4661" s="3" t="s">
        <v>68</v>
      </c>
      <c r="E4661" s="3" t="s">
        <v>100</v>
      </c>
      <c r="F4661" s="3" t="s">
        <v>1535</v>
      </c>
      <c r="G4661" s="7">
        <v>46082.37355282199</v>
      </c>
    </row>
    <row r="4662">
      <c r="A4662" s="3" t="s">
        <v>14504</v>
      </c>
      <c r="B4662" s="3" t="s">
        <v>341</v>
      </c>
      <c r="C4662" s="3" t="s">
        <v>1095</v>
      </c>
      <c r="D4662" s="3" t="s">
        <v>68</v>
      </c>
      <c r="E4662" s="3" t="s">
        <v>100</v>
      </c>
      <c r="F4662" s="3" t="s">
        <v>1509</v>
      </c>
      <c r="G4662" s="7">
        <v>46082.44472766741</v>
      </c>
    </row>
    <row r="4663">
      <c r="A4663" s="3" t="s">
        <v>14506</v>
      </c>
      <c r="B4663" s="3" t="s">
        <v>550</v>
      </c>
      <c r="C4663" s="3" t="s">
        <v>1342</v>
      </c>
      <c r="D4663" s="3" t="s">
        <v>68</v>
      </c>
      <c r="E4663" s="3" t="s">
        <v>100</v>
      </c>
      <c r="F4663" s="3" t="s">
        <v>2101</v>
      </c>
      <c r="G4663" s="7">
        <v>46082.51590251283</v>
      </c>
    </row>
    <row r="4664">
      <c r="A4664" s="3" t="s">
        <v>14509</v>
      </c>
      <c r="B4664" s="3" t="s">
        <v>953</v>
      </c>
      <c r="C4664" s="3" t="s">
        <v>56</v>
      </c>
      <c r="D4664" s="3" t="s">
        <v>68</v>
      </c>
      <c r="E4664" s="3" t="s">
        <v>100</v>
      </c>
      <c r="F4664" s="3" t="s">
        <v>1538</v>
      </c>
      <c r="G4664" s="7">
        <v>46082.587077358236</v>
      </c>
    </row>
    <row r="4665">
      <c r="A4665" s="3" t="s">
        <v>14511</v>
      </c>
      <c r="B4665" s="3" t="s">
        <v>953</v>
      </c>
      <c r="C4665" s="3" t="s">
        <v>1342</v>
      </c>
      <c r="D4665" s="3" t="s">
        <v>68</v>
      </c>
      <c r="E4665" s="3" t="s">
        <v>100</v>
      </c>
      <c r="F4665" s="3" t="s">
        <v>1538</v>
      </c>
      <c r="G4665" s="7">
        <v>46082.658252203655</v>
      </c>
    </row>
    <row r="4666">
      <c r="A4666" s="3" t="s">
        <v>14513</v>
      </c>
      <c r="B4666" s="3" t="s">
        <v>631</v>
      </c>
      <c r="C4666" s="3" t="s">
        <v>56</v>
      </c>
      <c r="D4666" s="3" t="s">
        <v>68</v>
      </c>
      <c r="E4666" s="3" t="s">
        <v>100</v>
      </c>
      <c r="F4666" s="3" t="s">
        <v>1539</v>
      </c>
      <c r="G4666" s="7">
        <v>46082.729427049075</v>
      </c>
    </row>
    <row r="4667">
      <c r="A4667" s="3" t="s">
        <v>14515</v>
      </c>
      <c r="B4667" s="3" t="s">
        <v>319</v>
      </c>
      <c r="C4667" s="3" t="s">
        <v>56</v>
      </c>
      <c r="D4667" s="3" t="s">
        <v>68</v>
      </c>
      <c r="E4667" s="3" t="s">
        <v>100</v>
      </c>
      <c r="F4667" s="3" t="s">
        <v>1542</v>
      </c>
      <c r="G4667" s="7">
        <v>46082.80060189449</v>
      </c>
    </row>
    <row r="4668">
      <c r="A4668" s="3" t="s">
        <v>14519</v>
      </c>
      <c r="B4668" s="3" t="s">
        <v>870</v>
      </c>
      <c r="C4668" s="3" t="s">
        <v>56</v>
      </c>
      <c r="D4668" s="3" t="s">
        <v>68</v>
      </c>
      <c r="E4668" s="3" t="s">
        <v>100</v>
      </c>
      <c r="F4668" s="3" t="s">
        <v>1543</v>
      </c>
      <c r="G4668" s="7">
        <v>46082.8717767399</v>
      </c>
    </row>
    <row r="4669">
      <c r="A4669" s="3" t="s">
        <v>14523</v>
      </c>
      <c r="B4669" s="3" t="s">
        <v>565</v>
      </c>
      <c r="C4669" s="3" t="s">
        <v>56</v>
      </c>
      <c r="D4669" s="3" t="s">
        <v>68</v>
      </c>
      <c r="E4669" s="3" t="s">
        <v>100</v>
      </c>
      <c r="F4669" s="3" t="s">
        <v>1545</v>
      </c>
      <c r="G4669" s="7">
        <v>46082.94295158532</v>
      </c>
    </row>
    <row r="4670">
      <c r="A4670" s="3" t="s">
        <v>14526</v>
      </c>
      <c r="B4670" s="3" t="s">
        <v>751</v>
      </c>
      <c r="C4670" s="3" t="s">
        <v>56</v>
      </c>
      <c r="D4670" s="3" t="s">
        <v>68</v>
      </c>
      <c r="E4670" s="3" t="s">
        <v>100</v>
      </c>
      <c r="F4670" s="3" t="s">
        <v>1546</v>
      </c>
      <c r="G4670" s="7">
        <v>46083.01412643073</v>
      </c>
    </row>
    <row r="4671">
      <c r="A4671" s="3" t="s">
        <v>14531</v>
      </c>
      <c r="B4671" s="3" t="s">
        <v>293</v>
      </c>
      <c r="C4671" s="3" t="s">
        <v>1095</v>
      </c>
      <c r="D4671" s="3" t="s">
        <v>68</v>
      </c>
      <c r="E4671" s="3" t="s">
        <v>100</v>
      </c>
      <c r="F4671" s="3" t="s">
        <v>1943</v>
      </c>
      <c r="G4671" s="7">
        <v>46083.08530127614</v>
      </c>
    </row>
    <row r="4672">
      <c r="A4672" s="3" t="s">
        <v>14534</v>
      </c>
      <c r="B4672" s="3" t="s">
        <v>920</v>
      </c>
      <c r="C4672" s="3" t="s">
        <v>1342</v>
      </c>
      <c r="D4672" s="3" t="s">
        <v>68</v>
      </c>
      <c r="E4672" s="3" t="s">
        <v>100</v>
      </c>
      <c r="F4672" s="3" t="s">
        <v>1935</v>
      </c>
      <c r="G4672" s="7">
        <v>46083.15647612156</v>
      </c>
    </row>
    <row r="4673">
      <c r="A4673" s="3" t="s">
        <v>14537</v>
      </c>
      <c r="B4673" s="3" t="s">
        <v>789</v>
      </c>
      <c r="C4673" s="3" t="s">
        <v>1095</v>
      </c>
      <c r="D4673" s="3" t="s">
        <v>181</v>
      </c>
      <c r="E4673" s="3" t="s">
        <v>45</v>
      </c>
      <c r="F4673" s="3" t="s">
        <v>2006</v>
      </c>
      <c r="G4673" s="7">
        <v>46083.227650966975</v>
      </c>
    </row>
    <row r="4674">
      <c r="A4674" s="3" t="s">
        <v>14540</v>
      </c>
      <c r="B4674" s="3" t="s">
        <v>805</v>
      </c>
      <c r="C4674" s="3" t="s">
        <v>1095</v>
      </c>
      <c r="D4674" s="3" t="s">
        <v>68</v>
      </c>
      <c r="E4674" s="3" t="s">
        <v>100</v>
      </c>
      <c r="F4674" s="3" t="s">
        <v>1395</v>
      </c>
      <c r="G4674" s="7">
        <v>46083.29882581239</v>
      </c>
    </row>
    <row r="4675">
      <c r="A4675" s="3" t="s">
        <v>14543</v>
      </c>
      <c r="B4675" s="3" t="s">
        <v>678</v>
      </c>
      <c r="C4675" s="3" t="s">
        <v>1342</v>
      </c>
      <c r="D4675" s="3" t="s">
        <v>68</v>
      </c>
      <c r="E4675" s="3" t="s">
        <v>100</v>
      </c>
      <c r="F4675" s="3" t="s">
        <v>1455</v>
      </c>
      <c r="G4675" s="7">
        <v>46083.37000065781</v>
      </c>
    </row>
    <row r="4676">
      <c r="A4676" s="3" t="s">
        <v>14548</v>
      </c>
      <c r="B4676" s="3" t="s">
        <v>519</v>
      </c>
      <c r="C4676" s="3" t="s">
        <v>1095</v>
      </c>
      <c r="D4676" s="3" t="s">
        <v>68</v>
      </c>
      <c r="E4676" s="3" t="s">
        <v>100</v>
      </c>
      <c r="F4676" s="3" t="s">
        <v>867</v>
      </c>
      <c r="G4676" s="7">
        <v>46083.44117550322</v>
      </c>
    </row>
    <row r="4677">
      <c r="A4677" s="3" t="s">
        <v>14551</v>
      </c>
      <c r="B4677" s="3" t="s">
        <v>186</v>
      </c>
      <c r="C4677" s="3" t="s">
        <v>1342</v>
      </c>
      <c r="D4677" s="3" t="s">
        <v>68</v>
      </c>
      <c r="E4677" s="3" t="s">
        <v>100</v>
      </c>
      <c r="F4677" s="3" t="s">
        <v>1475</v>
      </c>
      <c r="G4677" s="7">
        <v>46083.51235034863</v>
      </c>
    </row>
    <row r="4678">
      <c r="A4678" s="3" t="s">
        <v>14554</v>
      </c>
      <c r="B4678" s="3" t="s">
        <v>765</v>
      </c>
      <c r="C4678" s="3" t="s">
        <v>1342</v>
      </c>
      <c r="D4678" s="3" t="s">
        <v>68</v>
      </c>
      <c r="E4678" s="3" t="s">
        <v>100</v>
      </c>
      <c r="F4678" s="3" t="s">
        <v>2088</v>
      </c>
      <c r="G4678" s="7">
        <v>46083.58352519405</v>
      </c>
    </row>
    <row r="4679">
      <c r="A4679" s="3" t="s">
        <v>14557</v>
      </c>
      <c r="B4679" s="3" t="s">
        <v>811</v>
      </c>
      <c r="C4679" s="3" t="s">
        <v>1095</v>
      </c>
      <c r="D4679" s="3" t="s">
        <v>68</v>
      </c>
      <c r="E4679" s="3" t="s">
        <v>100</v>
      </c>
      <c r="F4679" s="3" t="s">
        <v>1390</v>
      </c>
      <c r="G4679" s="7">
        <v>46083.65470003947</v>
      </c>
    </row>
    <row r="4680">
      <c r="A4680" s="3" t="s">
        <v>14560</v>
      </c>
      <c r="B4680" s="3" t="s">
        <v>691</v>
      </c>
      <c r="C4680" s="3" t="s">
        <v>1342</v>
      </c>
      <c r="D4680" s="3" t="s">
        <v>68</v>
      </c>
      <c r="E4680" s="3" t="s">
        <v>100</v>
      </c>
      <c r="F4680" s="3" t="s">
        <v>1310</v>
      </c>
      <c r="G4680" s="7">
        <v>46083.725874884876</v>
      </c>
    </row>
    <row r="4681">
      <c r="A4681" s="3" t="s">
        <v>14562</v>
      </c>
      <c r="B4681" s="3" t="s">
        <v>383</v>
      </c>
      <c r="C4681" s="3" t="s">
        <v>1342</v>
      </c>
      <c r="D4681" s="3" t="s">
        <v>181</v>
      </c>
      <c r="E4681" s="3" t="s">
        <v>45</v>
      </c>
      <c r="F4681" s="3" t="s">
        <v>1129</v>
      </c>
      <c r="G4681" s="7">
        <v>46083.797049730296</v>
      </c>
    </row>
    <row r="4682">
      <c r="A4682" s="3" t="s">
        <v>14565</v>
      </c>
      <c r="B4682" s="3" t="s">
        <v>1034</v>
      </c>
      <c r="C4682" s="3" t="s">
        <v>1095</v>
      </c>
      <c r="D4682" s="3" t="s">
        <v>68</v>
      </c>
      <c r="E4682" s="3" t="s">
        <v>100</v>
      </c>
      <c r="F4682" s="3" t="s">
        <v>1403</v>
      </c>
      <c r="G4682" s="7">
        <v>46083.868224575715</v>
      </c>
    </row>
    <row r="4683">
      <c r="A4683" s="3" t="s">
        <v>14567</v>
      </c>
      <c r="B4683" s="3" t="s">
        <v>363</v>
      </c>
      <c r="C4683" s="3" t="s">
        <v>1342</v>
      </c>
      <c r="D4683" s="3" t="s">
        <v>68</v>
      </c>
      <c r="E4683" s="3" t="s">
        <v>100</v>
      </c>
      <c r="F4683" s="3" t="s">
        <v>1400</v>
      </c>
      <c r="G4683" s="7">
        <v>46083.93939942113</v>
      </c>
    </row>
    <row r="4684">
      <c r="A4684" s="3" t="s">
        <v>14570</v>
      </c>
      <c r="B4684" s="3" t="s">
        <v>557</v>
      </c>
      <c r="C4684" s="3" t="s">
        <v>1342</v>
      </c>
      <c r="D4684" s="3" t="s">
        <v>68</v>
      </c>
      <c r="E4684" s="3" t="s">
        <v>100</v>
      </c>
      <c r="F4684" s="3" t="s">
        <v>1512</v>
      </c>
      <c r="G4684" s="7">
        <v>46084.01057426654</v>
      </c>
    </row>
    <row r="4685">
      <c r="A4685" s="3" t="s">
        <v>14573</v>
      </c>
      <c r="B4685" s="3" t="s">
        <v>226</v>
      </c>
      <c r="C4685" s="3" t="s">
        <v>1095</v>
      </c>
      <c r="D4685" s="3" t="s">
        <v>68</v>
      </c>
      <c r="E4685" s="3" t="s">
        <v>100</v>
      </c>
      <c r="F4685" s="3" t="s">
        <v>1517</v>
      </c>
      <c r="G4685" s="7">
        <v>46084.08174911196</v>
      </c>
    </row>
    <row r="4686">
      <c r="A4686" s="3" t="s">
        <v>14576</v>
      </c>
      <c r="B4686" s="3" t="s">
        <v>515</v>
      </c>
      <c r="C4686" s="3" t="s">
        <v>1095</v>
      </c>
      <c r="D4686" s="3" t="s">
        <v>68</v>
      </c>
      <c r="E4686" s="3" t="s">
        <v>100</v>
      </c>
      <c r="F4686" s="3" t="s">
        <v>1398</v>
      </c>
      <c r="G4686" s="7">
        <v>46084.15292395737</v>
      </c>
    </row>
    <row r="4687">
      <c r="A4687" s="3" t="s">
        <v>14579</v>
      </c>
      <c r="B4687" s="3" t="s">
        <v>236</v>
      </c>
      <c r="C4687" s="3" t="s">
        <v>1095</v>
      </c>
      <c r="D4687" s="3" t="s">
        <v>68</v>
      </c>
      <c r="E4687" s="3" t="s">
        <v>100</v>
      </c>
      <c r="F4687" s="3" t="s">
        <v>1096</v>
      </c>
      <c r="G4687" s="7">
        <v>46084.224098802784</v>
      </c>
    </row>
    <row r="4688">
      <c r="A4688" s="3" t="s">
        <v>14581</v>
      </c>
      <c r="B4688" s="3" t="s">
        <v>1049</v>
      </c>
      <c r="C4688" s="3" t="s">
        <v>1095</v>
      </c>
      <c r="D4688" s="3" t="s">
        <v>68</v>
      </c>
      <c r="E4688" s="3" t="s">
        <v>100</v>
      </c>
      <c r="F4688" s="3" t="s">
        <v>1533</v>
      </c>
      <c r="G4688" s="7">
        <v>46084.295273648204</v>
      </c>
    </row>
    <row r="4689">
      <c r="A4689" s="3" t="s">
        <v>14583</v>
      </c>
      <c r="B4689" s="3" t="s">
        <v>395</v>
      </c>
      <c r="C4689" s="3" t="s">
        <v>1342</v>
      </c>
      <c r="D4689" s="3" t="s">
        <v>68</v>
      </c>
      <c r="E4689" s="3" t="s">
        <v>100</v>
      </c>
      <c r="F4689" s="3" t="s">
        <v>1418</v>
      </c>
      <c r="G4689" s="7">
        <v>46084.366448493616</v>
      </c>
    </row>
    <row r="4690">
      <c r="A4690" s="3" t="s">
        <v>14586</v>
      </c>
      <c r="B4690" s="3" t="s">
        <v>276</v>
      </c>
      <c r="C4690" s="3" t="s">
        <v>1342</v>
      </c>
      <c r="D4690" s="3" t="s">
        <v>68</v>
      </c>
      <c r="E4690" s="3" t="s">
        <v>100</v>
      </c>
      <c r="F4690" s="3" t="s">
        <v>1438</v>
      </c>
      <c r="G4690" s="7">
        <v>46084.43762333903</v>
      </c>
    </row>
    <row r="4691">
      <c r="A4691" s="3" t="s">
        <v>14589</v>
      </c>
      <c r="B4691" s="3" t="s">
        <v>758</v>
      </c>
      <c r="C4691" s="3" t="s">
        <v>56</v>
      </c>
      <c r="D4691" s="3" t="s">
        <v>181</v>
      </c>
      <c r="E4691" s="3" t="s">
        <v>45</v>
      </c>
      <c r="F4691" s="3" t="s">
        <v>45</v>
      </c>
      <c r="G4691" s="7">
        <v>46084.50879818445</v>
      </c>
    </row>
    <row r="4692">
      <c r="A4692" s="3" t="s">
        <v>14592</v>
      </c>
      <c r="B4692" s="3" t="s">
        <v>767</v>
      </c>
      <c r="C4692" s="3" t="s">
        <v>1095</v>
      </c>
      <c r="D4692" s="3" t="s">
        <v>68</v>
      </c>
      <c r="E4692" s="3" t="s">
        <v>100</v>
      </c>
      <c r="F4692" s="3" t="s">
        <v>1281</v>
      </c>
      <c r="G4692" s="7">
        <v>46084.57997302986</v>
      </c>
    </row>
    <row r="4693">
      <c r="A4693" s="3" t="s">
        <v>14596</v>
      </c>
      <c r="B4693" s="3" t="s">
        <v>575</v>
      </c>
      <c r="C4693" s="3" t="s">
        <v>1342</v>
      </c>
      <c r="D4693" s="3" t="s">
        <v>68</v>
      </c>
      <c r="E4693" s="3" t="s">
        <v>100</v>
      </c>
      <c r="F4693" s="3" t="s">
        <v>754</v>
      </c>
      <c r="G4693" s="7">
        <v>46084.65114787527</v>
      </c>
    </row>
    <row r="4694">
      <c r="A4694" s="3" t="s">
        <v>14599</v>
      </c>
      <c r="B4694" s="3" t="s">
        <v>816</v>
      </c>
      <c r="C4694" s="3" t="s">
        <v>1095</v>
      </c>
      <c r="D4694" s="3" t="s">
        <v>68</v>
      </c>
      <c r="E4694" s="3" t="s">
        <v>100</v>
      </c>
      <c r="F4694" s="3" t="s">
        <v>1240</v>
      </c>
      <c r="G4694" s="7">
        <v>46084.72232272069</v>
      </c>
    </row>
    <row r="4695">
      <c r="A4695" s="3" t="s">
        <v>14603</v>
      </c>
      <c r="B4695" s="3" t="s">
        <v>250</v>
      </c>
      <c r="C4695" s="3" t="s">
        <v>1095</v>
      </c>
      <c r="D4695" s="3" t="s">
        <v>68</v>
      </c>
      <c r="E4695" s="3" t="s">
        <v>100</v>
      </c>
      <c r="F4695" s="3" t="s">
        <v>2113</v>
      </c>
      <c r="G4695" s="7">
        <v>46084.79349756611</v>
      </c>
    </row>
    <row r="4696">
      <c r="A4696" s="3" t="s">
        <v>14606</v>
      </c>
      <c r="B4696" s="3" t="s">
        <v>731</v>
      </c>
      <c r="C4696" s="3" t="s">
        <v>56</v>
      </c>
      <c r="D4696" s="3" t="s">
        <v>68</v>
      </c>
      <c r="E4696" s="3" t="s">
        <v>100</v>
      </c>
      <c r="F4696" s="3" t="s">
        <v>1548</v>
      </c>
      <c r="G4696" s="7">
        <v>46084.86467241152</v>
      </c>
    </row>
    <row r="4697">
      <c r="A4697" s="3" t="s">
        <v>14610</v>
      </c>
      <c r="B4697" s="3" t="s">
        <v>785</v>
      </c>
      <c r="C4697" s="3" t="s">
        <v>56</v>
      </c>
      <c r="D4697" s="3" t="s">
        <v>68</v>
      </c>
      <c r="E4697" s="3" t="s">
        <v>100</v>
      </c>
      <c r="F4697" s="3" t="s">
        <v>1549</v>
      </c>
      <c r="G4697" s="7">
        <v>46084.93584725694</v>
      </c>
    </row>
    <row r="4698">
      <c r="A4698" s="3" t="s">
        <v>14613</v>
      </c>
      <c r="B4698" s="3" t="s">
        <v>598</v>
      </c>
      <c r="C4698" s="3" t="s">
        <v>1342</v>
      </c>
      <c r="D4698" s="3" t="s">
        <v>68</v>
      </c>
      <c r="E4698" s="3" t="s">
        <v>100</v>
      </c>
      <c r="F4698" s="3" t="s">
        <v>1054</v>
      </c>
      <c r="G4698" s="7">
        <v>46085.007022102356</v>
      </c>
    </row>
    <row r="4699">
      <c r="A4699" s="3" t="s">
        <v>14617</v>
      </c>
      <c r="B4699" s="3" t="s">
        <v>822</v>
      </c>
      <c r="C4699" s="3" t="s">
        <v>56</v>
      </c>
      <c r="D4699" s="3" t="s">
        <v>68</v>
      </c>
      <c r="E4699" s="3" t="s">
        <v>100</v>
      </c>
      <c r="F4699" s="3" t="s">
        <v>1552</v>
      </c>
      <c r="G4699" s="7">
        <v>46085.07819694777</v>
      </c>
    </row>
    <row r="4700">
      <c r="A4700" s="3" t="s">
        <v>14620</v>
      </c>
      <c r="B4700" s="3" t="s">
        <v>575</v>
      </c>
      <c r="C4700" s="3" t="s">
        <v>1342</v>
      </c>
      <c r="D4700" s="3" t="s">
        <v>68</v>
      </c>
      <c r="E4700" s="3" t="s">
        <v>100</v>
      </c>
      <c r="F4700" s="3" t="s">
        <v>754</v>
      </c>
      <c r="G4700" s="7">
        <v>46085.14937179318</v>
      </c>
    </row>
    <row r="4701">
      <c r="A4701" s="3" t="s">
        <v>14621</v>
      </c>
      <c r="B4701" s="3" t="s">
        <v>841</v>
      </c>
      <c r="C4701" s="3" t="s">
        <v>1095</v>
      </c>
      <c r="D4701" s="3" t="s">
        <v>68</v>
      </c>
      <c r="E4701" s="3" t="s">
        <v>100</v>
      </c>
      <c r="F4701" s="3" t="s">
        <v>1313</v>
      </c>
      <c r="G4701" s="7">
        <v>46085.2205466386</v>
      </c>
    </row>
    <row r="4702">
      <c r="A4702" s="3" t="s">
        <v>14623</v>
      </c>
      <c r="B4702" s="3" t="s">
        <v>805</v>
      </c>
      <c r="C4702" s="3" t="s">
        <v>56</v>
      </c>
      <c r="D4702" s="3" t="s">
        <v>68</v>
      </c>
      <c r="E4702" s="3" t="s">
        <v>100</v>
      </c>
      <c r="F4702" s="3" t="s">
        <v>1553</v>
      </c>
      <c r="G4702" s="7">
        <v>46085.29172148401</v>
      </c>
    </row>
    <row r="4703">
      <c r="A4703" s="3" t="s">
        <v>14625</v>
      </c>
      <c r="B4703" s="3" t="s">
        <v>584</v>
      </c>
      <c r="C4703" s="3" t="s">
        <v>1342</v>
      </c>
      <c r="D4703" s="3" t="s">
        <v>68</v>
      </c>
      <c r="E4703" s="3" t="s">
        <v>100</v>
      </c>
      <c r="F4703" s="3" t="s">
        <v>840</v>
      </c>
      <c r="G4703" s="7">
        <v>46085.362896329425</v>
      </c>
    </row>
    <row r="4704">
      <c r="A4704" s="3" t="s">
        <v>14627</v>
      </c>
      <c r="B4704" s="3" t="s">
        <v>953</v>
      </c>
      <c r="C4704" s="3" t="s">
        <v>1342</v>
      </c>
      <c r="D4704" s="3" t="s">
        <v>68</v>
      </c>
      <c r="E4704" s="3" t="s">
        <v>100</v>
      </c>
      <c r="F4704" s="3" t="s">
        <v>1538</v>
      </c>
      <c r="G4704" s="7">
        <v>46085.434071174845</v>
      </c>
    </row>
    <row r="4705">
      <c r="A4705" s="3" t="s">
        <v>14631</v>
      </c>
      <c r="B4705" s="3" t="s">
        <v>916</v>
      </c>
      <c r="C4705" s="3" t="s">
        <v>1342</v>
      </c>
      <c r="D4705" s="3" t="s">
        <v>181</v>
      </c>
      <c r="E4705" s="3" t="s">
        <v>45</v>
      </c>
      <c r="F4705" s="3" t="s">
        <v>963</v>
      </c>
      <c r="G4705" s="7">
        <v>46085.50524602026</v>
      </c>
    </row>
    <row r="4706">
      <c r="A4706" s="3" t="s">
        <v>14636</v>
      </c>
      <c r="B4706" s="3" t="s">
        <v>751</v>
      </c>
      <c r="C4706" s="3" t="s">
        <v>1095</v>
      </c>
      <c r="D4706" s="3" t="s">
        <v>68</v>
      </c>
      <c r="E4706" s="3" t="s">
        <v>100</v>
      </c>
      <c r="F4706" s="3" t="s">
        <v>1546</v>
      </c>
      <c r="G4706" s="7">
        <v>46085.57642086567</v>
      </c>
    </row>
    <row r="4707">
      <c r="A4707" s="3" t="s">
        <v>14639</v>
      </c>
      <c r="B4707" s="3" t="s">
        <v>575</v>
      </c>
      <c r="C4707" s="3" t="s">
        <v>1342</v>
      </c>
      <c r="D4707" s="3" t="s">
        <v>68</v>
      </c>
      <c r="E4707" s="3" t="s">
        <v>100</v>
      </c>
      <c r="F4707" s="3" t="s">
        <v>754</v>
      </c>
      <c r="G4707" s="7">
        <v>46085.64759571109</v>
      </c>
    </row>
    <row r="4708">
      <c r="A4708" s="3" t="s">
        <v>14640</v>
      </c>
      <c r="B4708" s="3" t="s">
        <v>612</v>
      </c>
      <c r="C4708" s="3" t="s">
        <v>56</v>
      </c>
      <c r="D4708" s="3" t="s">
        <v>68</v>
      </c>
      <c r="E4708" s="3" t="s">
        <v>100</v>
      </c>
      <c r="F4708" s="3" t="s">
        <v>1557</v>
      </c>
      <c r="G4708" s="7">
        <v>46085.7187705565</v>
      </c>
    </row>
    <row r="4709">
      <c r="A4709" s="3" t="s">
        <v>14643</v>
      </c>
      <c r="B4709" s="3" t="s">
        <v>156</v>
      </c>
      <c r="C4709" s="3" t="s">
        <v>56</v>
      </c>
      <c r="D4709" s="3" t="s">
        <v>68</v>
      </c>
      <c r="E4709" s="3" t="s">
        <v>100</v>
      </c>
      <c r="F4709" s="3" t="s">
        <v>1560</v>
      </c>
      <c r="G4709" s="7">
        <v>46085.78994540192</v>
      </c>
    </row>
    <row r="4710">
      <c r="A4710" s="3" t="s">
        <v>14648</v>
      </c>
      <c r="B4710" s="3" t="s">
        <v>310</v>
      </c>
      <c r="C4710" s="3" t="s">
        <v>1095</v>
      </c>
      <c r="D4710" s="3" t="s">
        <v>68</v>
      </c>
      <c r="E4710" s="3" t="s">
        <v>100</v>
      </c>
      <c r="F4710" s="3" t="s">
        <v>1055</v>
      </c>
      <c r="G4710" s="7">
        <v>46085.86112024733</v>
      </c>
    </row>
    <row r="4711">
      <c r="A4711" s="3" t="s">
        <v>14650</v>
      </c>
      <c r="B4711" s="3" t="s">
        <v>507</v>
      </c>
      <c r="C4711" s="3" t="s">
        <v>1342</v>
      </c>
      <c r="D4711" s="3" t="s">
        <v>195</v>
      </c>
      <c r="E4711" s="3" t="s">
        <v>45</v>
      </c>
      <c r="F4711" s="3" t="s">
        <v>1524</v>
      </c>
      <c r="G4711" s="7">
        <v>46085.93229509275</v>
      </c>
    </row>
    <row r="4712">
      <c r="A4712" s="3" t="s">
        <v>14652</v>
      </c>
      <c r="B4712" s="3" t="s">
        <v>722</v>
      </c>
      <c r="C4712" s="3" t="s">
        <v>1342</v>
      </c>
      <c r="D4712" s="3" t="s">
        <v>195</v>
      </c>
      <c r="E4712" s="3" t="s">
        <v>45</v>
      </c>
      <c r="F4712" s="3" t="s">
        <v>1029</v>
      </c>
      <c r="G4712" s="7">
        <v>46086.00346993816</v>
      </c>
    </row>
    <row r="4713">
      <c r="A4713" s="3" t="s">
        <v>14655</v>
      </c>
      <c r="B4713" s="3" t="s">
        <v>159</v>
      </c>
      <c r="C4713" s="3" t="s">
        <v>56</v>
      </c>
      <c r="D4713" s="3" t="s">
        <v>68</v>
      </c>
      <c r="E4713" s="3" t="s">
        <v>100</v>
      </c>
      <c r="F4713" s="3" t="s">
        <v>1563</v>
      </c>
      <c r="G4713" s="7">
        <v>46086.07464478358</v>
      </c>
    </row>
    <row r="4714">
      <c r="A4714" s="3" t="s">
        <v>14658</v>
      </c>
      <c r="B4714" s="3" t="s">
        <v>282</v>
      </c>
      <c r="C4714" s="3" t="s">
        <v>1095</v>
      </c>
      <c r="D4714" s="3" t="s">
        <v>68</v>
      </c>
      <c r="E4714" s="3" t="s">
        <v>100</v>
      </c>
      <c r="F4714" s="3" t="s">
        <v>855</v>
      </c>
      <c r="G4714" s="7">
        <v>46086.145819629</v>
      </c>
    </row>
    <row r="4715">
      <c r="A4715" s="3" t="s">
        <v>14661</v>
      </c>
      <c r="B4715" s="3" t="s">
        <v>233</v>
      </c>
      <c r="C4715" s="3" t="s">
        <v>1342</v>
      </c>
      <c r="D4715" s="3" t="s">
        <v>68</v>
      </c>
      <c r="E4715" s="3" t="s">
        <v>100</v>
      </c>
      <c r="F4715" s="3" t="s">
        <v>1460</v>
      </c>
      <c r="G4715" s="7">
        <v>46086.21699447441</v>
      </c>
    </row>
    <row r="4716">
      <c r="A4716" s="3" t="s">
        <v>14664</v>
      </c>
      <c r="B4716" s="3" t="s">
        <v>419</v>
      </c>
      <c r="C4716" s="3" t="s">
        <v>1342</v>
      </c>
      <c r="D4716" s="3" t="s">
        <v>68</v>
      </c>
      <c r="E4716" s="3" t="s">
        <v>100</v>
      </c>
      <c r="F4716" s="3" t="s">
        <v>1373</v>
      </c>
      <c r="G4716" s="7">
        <v>46086.28816931982</v>
      </c>
    </row>
    <row r="4717">
      <c r="A4717" s="3" t="s">
        <v>14667</v>
      </c>
      <c r="B4717" s="3" t="s">
        <v>763</v>
      </c>
      <c r="C4717" s="3" t="s">
        <v>1095</v>
      </c>
      <c r="D4717" s="3" t="s">
        <v>68</v>
      </c>
      <c r="E4717" s="3" t="s">
        <v>100</v>
      </c>
      <c r="F4717" s="3" t="s">
        <v>928</v>
      </c>
      <c r="G4717" s="7">
        <v>46086.35934416524</v>
      </c>
    </row>
    <row r="4718">
      <c r="A4718" s="3" t="s">
        <v>14670</v>
      </c>
      <c r="B4718" s="3" t="s">
        <v>731</v>
      </c>
      <c r="C4718" s="3" t="s">
        <v>1342</v>
      </c>
      <c r="D4718" s="3" t="s">
        <v>68</v>
      </c>
      <c r="E4718" s="3" t="s">
        <v>100</v>
      </c>
      <c r="F4718" s="3" t="s">
        <v>1548</v>
      </c>
      <c r="G4718" s="7">
        <v>46086.43051901065</v>
      </c>
    </row>
    <row r="4719">
      <c r="A4719" s="3" t="s">
        <v>14672</v>
      </c>
      <c r="B4719" s="3" t="s">
        <v>900</v>
      </c>
      <c r="C4719" s="3" t="s">
        <v>56</v>
      </c>
      <c r="D4719" s="3" t="s">
        <v>181</v>
      </c>
      <c r="E4719" s="3" t="s">
        <v>45</v>
      </c>
      <c r="F4719" s="3" t="s">
        <v>45</v>
      </c>
      <c r="G4719" s="7">
        <v>46086.501693856066</v>
      </c>
    </row>
    <row r="4720">
      <c r="A4720" s="3" t="s">
        <v>14674</v>
      </c>
      <c r="B4720" s="3" t="s">
        <v>193</v>
      </c>
      <c r="C4720" s="3" t="s">
        <v>1342</v>
      </c>
      <c r="D4720" s="3" t="s">
        <v>68</v>
      </c>
      <c r="E4720" s="3" t="s">
        <v>100</v>
      </c>
      <c r="F4720" s="3" t="s">
        <v>1416</v>
      </c>
      <c r="G4720" s="7">
        <v>46086.572868701485</v>
      </c>
    </row>
    <row r="4721">
      <c r="A4721" s="3" t="s">
        <v>14676</v>
      </c>
      <c r="B4721" s="3" t="s">
        <v>845</v>
      </c>
      <c r="C4721" s="3" t="s">
        <v>1342</v>
      </c>
      <c r="D4721" s="3" t="s">
        <v>68</v>
      </c>
      <c r="E4721" s="3" t="s">
        <v>100</v>
      </c>
      <c r="F4721" s="3" t="s">
        <v>1380</v>
      </c>
      <c r="G4721" s="7">
        <v>46086.644043546905</v>
      </c>
    </row>
    <row r="4722">
      <c r="A4722" s="3" t="s">
        <v>14679</v>
      </c>
      <c r="B4722" s="3" t="s">
        <v>600</v>
      </c>
      <c r="C4722" s="3" t="s">
        <v>1095</v>
      </c>
      <c r="D4722" s="3" t="s">
        <v>68</v>
      </c>
      <c r="E4722" s="3" t="s">
        <v>100</v>
      </c>
      <c r="F4722" s="3" t="s">
        <v>1291</v>
      </c>
      <c r="G4722" s="7">
        <v>46086.71521839231</v>
      </c>
    </row>
    <row r="4723">
      <c r="A4723" s="3" t="s">
        <v>14681</v>
      </c>
      <c r="B4723" s="3" t="s">
        <v>280</v>
      </c>
      <c r="C4723" s="3" t="s">
        <v>1095</v>
      </c>
      <c r="D4723" s="3" t="s">
        <v>68</v>
      </c>
      <c r="E4723" s="3" t="s">
        <v>100</v>
      </c>
      <c r="F4723" s="3" t="s">
        <v>1951</v>
      </c>
      <c r="G4723" s="7">
        <v>46086.78639323773</v>
      </c>
    </row>
    <row r="4724">
      <c r="A4724" s="3" t="s">
        <v>14683</v>
      </c>
      <c r="B4724" s="3" t="s">
        <v>758</v>
      </c>
      <c r="C4724" s="3" t="s">
        <v>56</v>
      </c>
      <c r="D4724" s="3" t="s">
        <v>68</v>
      </c>
      <c r="E4724" s="3" t="s">
        <v>100</v>
      </c>
      <c r="F4724" s="3" t="s">
        <v>1564</v>
      </c>
      <c r="G4724" s="7">
        <v>46086.85756808314</v>
      </c>
    </row>
    <row r="4725">
      <c r="A4725" s="3" t="s">
        <v>14685</v>
      </c>
      <c r="B4725" s="3" t="s">
        <v>224</v>
      </c>
      <c r="C4725" s="3" t="s">
        <v>1342</v>
      </c>
      <c r="D4725" s="3" t="s">
        <v>181</v>
      </c>
      <c r="E4725" s="3" t="s">
        <v>45</v>
      </c>
      <c r="F4725" s="3" t="s">
        <v>1295</v>
      </c>
      <c r="G4725" s="7">
        <v>46086.92874292856</v>
      </c>
    </row>
    <row r="4726">
      <c r="A4726" s="3" t="s">
        <v>14687</v>
      </c>
      <c r="B4726" s="3" t="s">
        <v>811</v>
      </c>
      <c r="C4726" s="3" t="s">
        <v>56</v>
      </c>
      <c r="D4726" s="3" t="s">
        <v>68</v>
      </c>
      <c r="E4726" s="3" t="s">
        <v>100</v>
      </c>
      <c r="F4726" s="3" t="s">
        <v>1566</v>
      </c>
      <c r="G4726" s="7">
        <v>46086.999917773974</v>
      </c>
    </row>
    <row r="4727">
      <c r="A4727" s="3" t="s">
        <v>14690</v>
      </c>
      <c r="B4727" s="3" t="s">
        <v>883</v>
      </c>
      <c r="C4727" s="3" t="s">
        <v>1095</v>
      </c>
      <c r="D4727" s="3" t="s">
        <v>68</v>
      </c>
      <c r="E4727" s="3" t="s">
        <v>100</v>
      </c>
      <c r="F4727" s="3" t="s">
        <v>1458</v>
      </c>
      <c r="G4727" s="7">
        <v>46087.07109261939</v>
      </c>
    </row>
    <row r="4728">
      <c r="A4728" s="3" t="s">
        <v>14693</v>
      </c>
      <c r="B4728" s="3" t="s">
        <v>826</v>
      </c>
      <c r="C4728" s="3" t="s">
        <v>1095</v>
      </c>
      <c r="D4728" s="3" t="s">
        <v>68</v>
      </c>
      <c r="E4728" s="3" t="s">
        <v>100</v>
      </c>
      <c r="F4728" s="3" t="s">
        <v>693</v>
      </c>
      <c r="G4728" s="7">
        <v>46087.1422674648</v>
      </c>
    </row>
    <row r="4729">
      <c r="A4729" s="3" t="s">
        <v>14695</v>
      </c>
      <c r="B4729" s="3" t="s">
        <v>398</v>
      </c>
      <c r="C4729" s="3" t="s">
        <v>56</v>
      </c>
      <c r="D4729" s="3" t="s">
        <v>68</v>
      </c>
      <c r="E4729" s="3" t="s">
        <v>100</v>
      </c>
      <c r="F4729" s="3" t="s">
        <v>1569</v>
      </c>
      <c r="G4729" s="7">
        <v>46087.21344231022</v>
      </c>
    </row>
    <row r="4730">
      <c r="A4730" s="3" t="s">
        <v>14697</v>
      </c>
      <c r="B4730" s="3" t="s">
        <v>713</v>
      </c>
      <c r="C4730" s="3" t="s">
        <v>1342</v>
      </c>
      <c r="D4730" s="3" t="s">
        <v>68</v>
      </c>
      <c r="E4730" s="3" t="s">
        <v>100</v>
      </c>
      <c r="F4730" s="3" t="s">
        <v>1177</v>
      </c>
      <c r="G4730" s="7">
        <v>46087.28461715564</v>
      </c>
    </row>
    <row r="4731">
      <c r="A4731" s="3" t="s">
        <v>14700</v>
      </c>
      <c r="B4731" s="3" t="s">
        <v>961</v>
      </c>
      <c r="C4731" s="3" t="s">
        <v>56</v>
      </c>
      <c r="D4731" s="3" t="s">
        <v>195</v>
      </c>
      <c r="E4731" s="3" t="s">
        <v>45</v>
      </c>
      <c r="F4731" s="3" t="s">
        <v>45</v>
      </c>
      <c r="G4731" s="7">
        <v>46087.35579200105</v>
      </c>
    </row>
    <row r="4732">
      <c r="A4732" s="3" t="s">
        <v>14703</v>
      </c>
      <c r="B4732" s="3" t="s">
        <v>870</v>
      </c>
      <c r="C4732" s="3" t="s">
        <v>1342</v>
      </c>
      <c r="D4732" s="3" t="s">
        <v>68</v>
      </c>
      <c r="E4732" s="3" t="s">
        <v>100</v>
      </c>
      <c r="F4732" s="3" t="s">
        <v>1543</v>
      </c>
      <c r="G4732" s="7">
        <v>46087.42696684646</v>
      </c>
    </row>
    <row r="4733">
      <c r="A4733" s="3" t="s">
        <v>14706</v>
      </c>
      <c r="B4733" s="3" t="s">
        <v>326</v>
      </c>
      <c r="C4733" s="3" t="s">
        <v>1095</v>
      </c>
      <c r="D4733" s="3" t="s">
        <v>68</v>
      </c>
      <c r="E4733" s="3" t="s">
        <v>100</v>
      </c>
      <c r="F4733" s="3" t="s">
        <v>1158</v>
      </c>
      <c r="G4733" s="7">
        <v>46087.49814169188</v>
      </c>
    </row>
    <row r="4734">
      <c r="A4734" s="3" t="s">
        <v>14710</v>
      </c>
      <c r="B4734" s="3" t="s">
        <v>141</v>
      </c>
      <c r="C4734" s="3" t="s">
        <v>56</v>
      </c>
      <c r="D4734" s="3" t="s">
        <v>181</v>
      </c>
      <c r="E4734" s="3" t="s">
        <v>45</v>
      </c>
      <c r="F4734" s="3" t="s">
        <v>45</v>
      </c>
      <c r="G4734" s="7">
        <v>46087.569316537294</v>
      </c>
    </row>
    <row r="4735">
      <c r="A4735" s="3" t="s">
        <v>14713</v>
      </c>
      <c r="B4735" s="3" t="s">
        <v>643</v>
      </c>
      <c r="C4735" s="3" t="s">
        <v>56</v>
      </c>
      <c r="D4735" s="3" t="s">
        <v>68</v>
      </c>
      <c r="E4735" s="3" t="s">
        <v>100</v>
      </c>
      <c r="F4735" s="3" t="s">
        <v>1570</v>
      </c>
      <c r="G4735" s="7">
        <v>46087.64049138271</v>
      </c>
    </row>
    <row r="4736">
      <c r="A4736" s="3" t="s">
        <v>14717</v>
      </c>
      <c r="B4736" s="3" t="s">
        <v>507</v>
      </c>
      <c r="C4736" s="3" t="s">
        <v>1342</v>
      </c>
      <c r="D4736" s="3" t="s">
        <v>68</v>
      </c>
      <c r="E4736" s="3" t="s">
        <v>100</v>
      </c>
      <c r="F4736" s="3" t="s">
        <v>1524</v>
      </c>
      <c r="G4736" s="7">
        <v>46087.711666228126</v>
      </c>
    </row>
    <row r="4737">
      <c r="A4737" s="3" t="s">
        <v>14720</v>
      </c>
      <c r="B4737" s="3" t="s">
        <v>900</v>
      </c>
      <c r="C4737" s="3" t="s">
        <v>56</v>
      </c>
      <c r="D4737" s="3" t="s">
        <v>68</v>
      </c>
      <c r="E4737" s="3" t="s">
        <v>100</v>
      </c>
      <c r="F4737" s="3" t="s">
        <v>1572</v>
      </c>
      <c r="G4737" s="7">
        <v>46087.782841073546</v>
      </c>
    </row>
    <row r="4738">
      <c r="A4738" s="3" t="s">
        <v>14723</v>
      </c>
      <c r="B4738" s="3" t="s">
        <v>998</v>
      </c>
      <c r="C4738" s="3" t="s">
        <v>1342</v>
      </c>
      <c r="D4738" s="3" t="s">
        <v>68</v>
      </c>
      <c r="E4738" s="3" t="s">
        <v>100</v>
      </c>
      <c r="F4738" s="3" t="s">
        <v>1007</v>
      </c>
      <c r="G4738" s="7">
        <v>46087.85401591895</v>
      </c>
    </row>
    <row r="4739">
      <c r="A4739" s="3" t="s">
        <v>14726</v>
      </c>
      <c r="B4739" s="3" t="s">
        <v>789</v>
      </c>
      <c r="C4739" s="3" t="s">
        <v>1342</v>
      </c>
      <c r="D4739" s="3" t="s">
        <v>68</v>
      </c>
      <c r="E4739" s="3" t="s">
        <v>100</v>
      </c>
      <c r="F4739" s="3" t="s">
        <v>2006</v>
      </c>
      <c r="G4739" s="7">
        <v>46087.92519076437</v>
      </c>
    </row>
    <row r="4740">
      <c r="A4740" s="3" t="s">
        <v>14730</v>
      </c>
      <c r="B4740" s="3" t="s">
        <v>961</v>
      </c>
      <c r="C4740" s="3" t="s">
        <v>56</v>
      </c>
      <c r="D4740" s="3" t="s">
        <v>68</v>
      </c>
      <c r="E4740" s="3" t="s">
        <v>100</v>
      </c>
      <c r="F4740" s="3" t="s">
        <v>1575</v>
      </c>
      <c r="G4740" s="7">
        <v>46087.99636560979</v>
      </c>
    </row>
    <row r="4741">
      <c r="A4741" s="3" t="s">
        <v>14734</v>
      </c>
      <c r="B4741" s="3" t="s">
        <v>398</v>
      </c>
      <c r="C4741" s="3" t="s">
        <v>1342</v>
      </c>
      <c r="D4741" s="3" t="s">
        <v>68</v>
      </c>
      <c r="E4741" s="3" t="s">
        <v>100</v>
      </c>
      <c r="F4741" s="3" t="s">
        <v>1569</v>
      </c>
      <c r="G4741" s="7">
        <v>46088.0675404552</v>
      </c>
    </row>
    <row r="4742">
      <c r="A4742" s="3" t="s">
        <v>14736</v>
      </c>
      <c r="B4742" s="3" t="s">
        <v>475</v>
      </c>
      <c r="C4742" s="3" t="s">
        <v>56</v>
      </c>
      <c r="D4742" s="3" t="s">
        <v>68</v>
      </c>
      <c r="E4742" s="3" t="s">
        <v>100</v>
      </c>
      <c r="F4742" s="3" t="s">
        <v>1576</v>
      </c>
      <c r="G4742" s="7">
        <v>46088.138715300614</v>
      </c>
    </row>
    <row r="4743">
      <c r="A4743" s="3" t="s">
        <v>14739</v>
      </c>
      <c r="B4743" s="3" t="s">
        <v>523</v>
      </c>
      <c r="C4743" s="3" t="s">
        <v>1342</v>
      </c>
      <c r="D4743" s="3" t="s">
        <v>181</v>
      </c>
      <c r="E4743" s="3" t="s">
        <v>45</v>
      </c>
      <c r="F4743" s="3" t="s">
        <v>1156</v>
      </c>
      <c r="G4743" s="7">
        <v>46088.209890146034</v>
      </c>
    </row>
    <row r="4744">
      <c r="A4744" s="3" t="s">
        <v>14743</v>
      </c>
      <c r="B4744" s="3" t="s">
        <v>424</v>
      </c>
      <c r="C4744" s="3" t="s">
        <v>56</v>
      </c>
      <c r="D4744" s="3" t="s">
        <v>68</v>
      </c>
      <c r="E4744" s="3" t="s">
        <v>100</v>
      </c>
      <c r="F4744" s="3" t="s">
        <v>1579</v>
      </c>
      <c r="G4744" s="7">
        <v>46088.281064991446</v>
      </c>
    </row>
    <row r="4745">
      <c r="A4745" s="3" t="s">
        <v>14746</v>
      </c>
      <c r="B4745" s="3" t="s">
        <v>485</v>
      </c>
      <c r="C4745" s="3" t="s">
        <v>56</v>
      </c>
      <c r="D4745" s="3" t="s">
        <v>68</v>
      </c>
      <c r="E4745" s="3" t="s">
        <v>100</v>
      </c>
      <c r="F4745" s="3" t="s">
        <v>1581</v>
      </c>
      <c r="G4745" s="7">
        <v>46088.35223983686</v>
      </c>
    </row>
    <row r="4746">
      <c r="A4746" s="3" t="s">
        <v>14751</v>
      </c>
      <c r="B4746" s="3" t="s">
        <v>307</v>
      </c>
      <c r="C4746" s="3" t="s">
        <v>56</v>
      </c>
      <c r="D4746" s="3" t="s">
        <v>68</v>
      </c>
      <c r="E4746" s="3" t="s">
        <v>100</v>
      </c>
      <c r="F4746" s="3" t="s">
        <v>1583</v>
      </c>
      <c r="G4746" s="7">
        <v>46088.42341468228</v>
      </c>
    </row>
    <row r="4747">
      <c r="A4747" s="3" t="s">
        <v>14754</v>
      </c>
      <c r="B4747" s="3" t="s">
        <v>159</v>
      </c>
      <c r="C4747" s="3" t="s">
        <v>1342</v>
      </c>
      <c r="D4747" s="3" t="s">
        <v>68</v>
      </c>
      <c r="E4747" s="3" t="s">
        <v>100</v>
      </c>
      <c r="F4747" s="3" t="s">
        <v>1563</v>
      </c>
      <c r="G4747" s="7">
        <v>46088.49458952769</v>
      </c>
    </row>
    <row r="4748">
      <c r="A4748" s="3" t="s">
        <v>14757</v>
      </c>
      <c r="B4748" s="3" t="s">
        <v>135</v>
      </c>
      <c r="C4748" s="3" t="s">
        <v>56</v>
      </c>
      <c r="D4748" s="3" t="s">
        <v>68</v>
      </c>
      <c r="E4748" s="3" t="s">
        <v>100</v>
      </c>
      <c r="F4748" s="3" t="s">
        <v>1586</v>
      </c>
      <c r="G4748" s="7">
        <v>46088.5657643731</v>
      </c>
    </row>
    <row r="4749">
      <c r="A4749" s="3" t="s">
        <v>14760</v>
      </c>
      <c r="B4749" s="3" t="s">
        <v>330</v>
      </c>
      <c r="C4749" s="3" t="s">
        <v>56</v>
      </c>
      <c r="D4749" s="3" t="s">
        <v>68</v>
      </c>
      <c r="E4749" s="3" t="s">
        <v>100</v>
      </c>
      <c r="F4749" s="3" t="s">
        <v>1587</v>
      </c>
      <c r="G4749" s="7">
        <v>46088.63693921852</v>
      </c>
    </row>
    <row r="4750">
      <c r="A4750" s="3" t="s">
        <v>14765</v>
      </c>
      <c r="B4750" s="3" t="s">
        <v>731</v>
      </c>
      <c r="C4750" s="3" t="s">
        <v>1342</v>
      </c>
      <c r="D4750" s="3" t="s">
        <v>68</v>
      </c>
      <c r="E4750" s="3" t="s">
        <v>100</v>
      </c>
      <c r="F4750" s="3" t="s">
        <v>1548</v>
      </c>
      <c r="G4750" s="7">
        <v>46088.708114063935</v>
      </c>
    </row>
    <row r="4751">
      <c r="A4751" s="3" t="s">
        <v>14768</v>
      </c>
      <c r="B4751" s="3" t="s">
        <v>569</v>
      </c>
      <c r="C4751" s="3" t="s">
        <v>56</v>
      </c>
      <c r="D4751" s="3" t="s">
        <v>68</v>
      </c>
      <c r="E4751" s="3" t="s">
        <v>100</v>
      </c>
      <c r="F4751" s="3" t="s">
        <v>1589</v>
      </c>
      <c r="G4751" s="7">
        <v>46088.77928890935</v>
      </c>
    </row>
    <row r="4752">
      <c r="A4752" s="3" t="s">
        <v>14770</v>
      </c>
      <c r="B4752" s="3" t="s">
        <v>632</v>
      </c>
      <c r="C4752" s="3" t="s">
        <v>1342</v>
      </c>
      <c r="D4752" s="3" t="s">
        <v>68</v>
      </c>
      <c r="E4752" s="3" t="s">
        <v>100</v>
      </c>
      <c r="F4752" s="3" t="s">
        <v>1521</v>
      </c>
      <c r="G4752" s="7">
        <v>46088.85046375477</v>
      </c>
    </row>
    <row r="4753">
      <c r="A4753" s="3" t="s">
        <v>14774</v>
      </c>
      <c r="B4753" s="3" t="s">
        <v>479</v>
      </c>
      <c r="C4753" s="3" t="s">
        <v>56</v>
      </c>
      <c r="D4753" s="3" t="s">
        <v>68</v>
      </c>
      <c r="E4753" s="3" t="s">
        <v>100</v>
      </c>
      <c r="F4753" s="3" t="s">
        <v>1591</v>
      </c>
      <c r="G4753" s="7">
        <v>46088.921638600186</v>
      </c>
    </row>
    <row r="4754">
      <c r="A4754" s="3" t="s">
        <v>14778</v>
      </c>
      <c r="B4754" s="3" t="s">
        <v>906</v>
      </c>
      <c r="C4754" s="3" t="s">
        <v>1342</v>
      </c>
      <c r="D4754" s="3" t="s">
        <v>68</v>
      </c>
      <c r="E4754" s="3" t="s">
        <v>100</v>
      </c>
      <c r="F4754" s="3" t="s">
        <v>1901</v>
      </c>
      <c r="G4754" s="7">
        <v>46088.99281344559</v>
      </c>
    </row>
    <row r="4755">
      <c r="A4755" s="3" t="s">
        <v>14781</v>
      </c>
      <c r="B4755" s="3" t="s">
        <v>521</v>
      </c>
      <c r="C4755" s="3" t="s">
        <v>56</v>
      </c>
      <c r="D4755" s="3" t="s">
        <v>68</v>
      </c>
      <c r="E4755" s="3" t="s">
        <v>100</v>
      </c>
      <c r="F4755" s="3" t="s">
        <v>1595</v>
      </c>
      <c r="G4755" s="7">
        <v>46089.06398829101</v>
      </c>
    </row>
    <row r="4756">
      <c r="A4756" s="3" t="s">
        <v>14784</v>
      </c>
      <c r="B4756" s="3" t="s">
        <v>631</v>
      </c>
      <c r="C4756" s="3" t="s">
        <v>1095</v>
      </c>
      <c r="D4756" s="3" t="s">
        <v>68</v>
      </c>
      <c r="E4756" s="3" t="s">
        <v>100</v>
      </c>
      <c r="F4756" s="3" t="s">
        <v>1539</v>
      </c>
      <c r="G4756" s="7">
        <v>46089.13516313643</v>
      </c>
    </row>
    <row r="4757">
      <c r="A4757" s="3" t="s">
        <v>14788</v>
      </c>
      <c r="B4757" s="3" t="s">
        <v>282</v>
      </c>
      <c r="C4757" s="3" t="s">
        <v>56</v>
      </c>
      <c r="D4757" s="3" t="s">
        <v>68</v>
      </c>
      <c r="E4757" s="3" t="s">
        <v>100</v>
      </c>
      <c r="F4757" s="3" t="s">
        <v>1597</v>
      </c>
      <c r="G4757" s="7">
        <v>46089.20633798184</v>
      </c>
    </row>
    <row r="4758">
      <c r="A4758" s="3" t="s">
        <v>14792</v>
      </c>
      <c r="B4758" s="3" t="s">
        <v>539</v>
      </c>
      <c r="C4758" s="3" t="s">
        <v>1342</v>
      </c>
      <c r="D4758" s="3" t="s">
        <v>68</v>
      </c>
      <c r="E4758" s="3" t="s">
        <v>100</v>
      </c>
      <c r="F4758" s="3" t="s">
        <v>1346</v>
      </c>
      <c r="G4758" s="7">
        <v>46089.277512827255</v>
      </c>
    </row>
    <row r="4759">
      <c r="A4759" s="3" t="s">
        <v>14795</v>
      </c>
      <c r="B4759" s="3" t="s">
        <v>348</v>
      </c>
      <c r="C4759" s="3" t="s">
        <v>1095</v>
      </c>
      <c r="D4759" s="3" t="s">
        <v>68</v>
      </c>
      <c r="E4759" s="3" t="s">
        <v>100</v>
      </c>
      <c r="F4759" s="3" t="s">
        <v>1162</v>
      </c>
      <c r="G4759" s="7">
        <v>46089.348687672675</v>
      </c>
    </row>
    <row r="4760">
      <c r="A4760" s="3" t="s">
        <v>14798</v>
      </c>
      <c r="B4760" s="3" t="s">
        <v>383</v>
      </c>
      <c r="C4760" s="3" t="s">
        <v>1342</v>
      </c>
      <c r="D4760" s="3" t="s">
        <v>181</v>
      </c>
      <c r="E4760" s="3" t="s">
        <v>45</v>
      </c>
      <c r="F4760" s="3" t="s">
        <v>1129</v>
      </c>
      <c r="G4760" s="7">
        <v>46089.41986251809</v>
      </c>
    </row>
    <row r="4761">
      <c r="A4761" s="3" t="s">
        <v>14801</v>
      </c>
      <c r="B4761" s="3" t="s">
        <v>632</v>
      </c>
      <c r="C4761" s="3" t="s">
        <v>1342</v>
      </c>
      <c r="D4761" s="3" t="s">
        <v>68</v>
      </c>
      <c r="E4761" s="3" t="s">
        <v>100</v>
      </c>
      <c r="F4761" s="3" t="s">
        <v>1521</v>
      </c>
      <c r="G4761" s="7">
        <v>46089.4910373635</v>
      </c>
    </row>
    <row r="4762">
      <c r="A4762" s="3" t="s">
        <v>14805</v>
      </c>
      <c r="B4762" s="3" t="s">
        <v>906</v>
      </c>
      <c r="C4762" s="3" t="s">
        <v>1095</v>
      </c>
      <c r="D4762" s="3" t="s">
        <v>181</v>
      </c>
      <c r="E4762" s="3" t="s">
        <v>45</v>
      </c>
      <c r="F4762" s="3" t="s">
        <v>1901</v>
      </c>
      <c r="G4762" s="7">
        <v>46089.56221220892</v>
      </c>
    </row>
    <row r="4763">
      <c r="A4763" s="3" t="s">
        <v>14808</v>
      </c>
      <c r="B4763" s="3" t="s">
        <v>993</v>
      </c>
      <c r="C4763" s="3" t="s">
        <v>56</v>
      </c>
      <c r="D4763" s="3" t="s">
        <v>68</v>
      </c>
      <c r="E4763" s="3" t="s">
        <v>100</v>
      </c>
      <c r="F4763" s="3" t="s">
        <v>1598</v>
      </c>
      <c r="G4763" s="7">
        <v>46089.63338705434</v>
      </c>
    </row>
    <row r="4764">
      <c r="A4764" s="3" t="s">
        <v>14812</v>
      </c>
      <c r="B4764" s="3" t="s">
        <v>853</v>
      </c>
      <c r="C4764" s="3" t="s">
        <v>1342</v>
      </c>
      <c r="D4764" s="3" t="s">
        <v>68</v>
      </c>
      <c r="E4764" s="3" t="s">
        <v>100</v>
      </c>
      <c r="F4764" s="3" t="s">
        <v>1358</v>
      </c>
      <c r="G4764" s="7">
        <v>46089.70456189974</v>
      </c>
    </row>
    <row r="4765">
      <c r="A4765" s="3" t="s">
        <v>14814</v>
      </c>
      <c r="B4765" s="3" t="s">
        <v>860</v>
      </c>
      <c r="C4765" s="3" t="s">
        <v>56</v>
      </c>
      <c r="D4765" s="3" t="s">
        <v>68</v>
      </c>
      <c r="E4765" s="3" t="s">
        <v>100</v>
      </c>
      <c r="F4765" s="3" t="s">
        <v>1601</v>
      </c>
      <c r="G4765" s="7">
        <v>46089.77573674516</v>
      </c>
    </row>
    <row r="4766">
      <c r="A4766" s="3" t="s">
        <v>14817</v>
      </c>
      <c r="B4766" s="3" t="s">
        <v>778</v>
      </c>
      <c r="C4766" s="3" t="s">
        <v>56</v>
      </c>
      <c r="D4766" s="3" t="s">
        <v>68</v>
      </c>
      <c r="E4766" s="3" t="s">
        <v>100</v>
      </c>
      <c r="F4766" s="3" t="s">
        <v>1602</v>
      </c>
      <c r="G4766" s="7">
        <v>46089.846911590575</v>
      </c>
    </row>
    <row r="4767">
      <c r="A4767" s="3" t="s">
        <v>14820</v>
      </c>
      <c r="B4767" s="3" t="s">
        <v>773</v>
      </c>
      <c r="C4767" s="3" t="s">
        <v>1342</v>
      </c>
      <c r="D4767" s="3" t="s">
        <v>68</v>
      </c>
      <c r="E4767" s="3" t="s">
        <v>100</v>
      </c>
      <c r="F4767" s="3" t="s">
        <v>2085</v>
      </c>
      <c r="G4767" s="7">
        <v>46089.918086435995</v>
      </c>
    </row>
    <row r="4768">
      <c r="A4768" s="3" t="s">
        <v>14825</v>
      </c>
      <c r="B4768" s="3" t="s">
        <v>911</v>
      </c>
      <c r="C4768" s="3" t="s">
        <v>1342</v>
      </c>
      <c r="D4768" s="3" t="s">
        <v>68</v>
      </c>
      <c r="E4768" s="3" t="s">
        <v>100</v>
      </c>
      <c r="F4768" s="3" t="s">
        <v>1961</v>
      </c>
      <c r="G4768" s="7">
        <v>46089.98926128141</v>
      </c>
    </row>
    <row r="4769">
      <c r="A4769" s="3" t="s">
        <v>14828</v>
      </c>
      <c r="B4769" s="3" t="s">
        <v>645</v>
      </c>
      <c r="C4769" s="3" t="s">
        <v>1342</v>
      </c>
      <c r="D4769" s="3" t="s">
        <v>68</v>
      </c>
      <c r="E4769" s="3" t="s">
        <v>100</v>
      </c>
      <c r="F4769" s="3" t="s">
        <v>526</v>
      </c>
      <c r="G4769" s="7">
        <v>46090.06043612683</v>
      </c>
    </row>
    <row r="4770">
      <c r="A4770" s="3" t="s">
        <v>14830</v>
      </c>
      <c r="B4770" s="3" t="s">
        <v>565</v>
      </c>
      <c r="C4770" s="3" t="s">
        <v>1095</v>
      </c>
      <c r="D4770" s="3" t="s">
        <v>68</v>
      </c>
      <c r="E4770" s="3" t="s">
        <v>100</v>
      </c>
      <c r="F4770" s="3" t="s">
        <v>1545</v>
      </c>
      <c r="G4770" s="7">
        <v>46090.13161097223</v>
      </c>
    </row>
    <row r="4771">
      <c r="A4771" s="3" t="s">
        <v>14832</v>
      </c>
      <c r="B4771" s="3" t="s">
        <v>539</v>
      </c>
      <c r="C4771" s="3" t="s">
        <v>1095</v>
      </c>
      <c r="D4771" s="3" t="s">
        <v>181</v>
      </c>
      <c r="E4771" s="3" t="s">
        <v>45</v>
      </c>
      <c r="F4771" s="3" t="s">
        <v>1346</v>
      </c>
      <c r="G4771" s="7">
        <v>46090.20278581765</v>
      </c>
    </row>
    <row r="4772">
      <c r="A4772" s="3" t="s">
        <v>14834</v>
      </c>
      <c r="B4772" s="3" t="s">
        <v>934</v>
      </c>
      <c r="C4772" s="3" t="s">
        <v>1342</v>
      </c>
      <c r="D4772" s="3" t="s">
        <v>68</v>
      </c>
      <c r="E4772" s="3" t="s">
        <v>100</v>
      </c>
      <c r="F4772" s="3" t="s">
        <v>1498</v>
      </c>
      <c r="G4772" s="7">
        <v>46090.27396066307</v>
      </c>
    </row>
    <row r="4773">
      <c r="A4773" s="3" t="s">
        <v>14837</v>
      </c>
      <c r="B4773" s="3" t="s">
        <v>1043</v>
      </c>
      <c r="C4773" s="3" t="s">
        <v>56</v>
      </c>
      <c r="D4773" s="3" t="s">
        <v>68</v>
      </c>
      <c r="E4773" s="3" t="s">
        <v>100</v>
      </c>
      <c r="F4773" s="3" t="s">
        <v>1605</v>
      </c>
      <c r="G4773" s="7">
        <v>46090.34513550848</v>
      </c>
    </row>
    <row r="4774">
      <c r="A4774" s="3" t="s">
        <v>14841</v>
      </c>
      <c r="B4774" s="3" t="s">
        <v>913</v>
      </c>
      <c r="C4774" s="3" t="s">
        <v>1095</v>
      </c>
      <c r="D4774" s="3" t="s">
        <v>68</v>
      </c>
      <c r="E4774" s="3" t="s">
        <v>100</v>
      </c>
      <c r="F4774" s="3" t="s">
        <v>1305</v>
      </c>
      <c r="G4774" s="7">
        <v>46090.416310353896</v>
      </c>
    </row>
    <row r="4775">
      <c r="A4775" s="3" t="s">
        <v>14844</v>
      </c>
      <c r="B4775" s="3" t="s">
        <v>838</v>
      </c>
      <c r="C4775" s="3" t="s">
        <v>1342</v>
      </c>
      <c r="D4775" s="3" t="s">
        <v>68</v>
      </c>
      <c r="E4775" s="3" t="s">
        <v>100</v>
      </c>
      <c r="F4775" s="3" t="s">
        <v>1514</v>
      </c>
      <c r="G4775" s="7">
        <v>46090.487485199315</v>
      </c>
    </row>
    <row r="4776">
      <c r="A4776" s="3" t="s">
        <v>14847</v>
      </c>
      <c r="B4776" s="3" t="s">
        <v>965</v>
      </c>
      <c r="C4776" s="3" t="s">
        <v>1342</v>
      </c>
      <c r="D4776" s="3" t="s">
        <v>68</v>
      </c>
      <c r="E4776" s="3" t="s">
        <v>100</v>
      </c>
      <c r="F4776" s="3" t="s">
        <v>653</v>
      </c>
      <c r="G4776" s="7">
        <v>46090.55866004473</v>
      </c>
    </row>
    <row r="4777">
      <c r="A4777" s="3" t="s">
        <v>14850</v>
      </c>
      <c r="B4777" s="3" t="s">
        <v>406</v>
      </c>
      <c r="C4777" s="3" t="s">
        <v>1095</v>
      </c>
      <c r="D4777" s="3" t="s">
        <v>68</v>
      </c>
      <c r="E4777" s="3" t="s">
        <v>100</v>
      </c>
      <c r="F4777" s="3" t="s">
        <v>1411</v>
      </c>
      <c r="G4777" s="7">
        <v>46090.62983489014</v>
      </c>
    </row>
    <row r="4778">
      <c r="A4778" s="3" t="s">
        <v>14852</v>
      </c>
      <c r="B4778" s="3" t="s">
        <v>515</v>
      </c>
      <c r="C4778" s="3" t="s">
        <v>56</v>
      </c>
      <c r="D4778" s="3" t="s">
        <v>68</v>
      </c>
      <c r="E4778" s="3" t="s">
        <v>100</v>
      </c>
      <c r="F4778" s="3" t="s">
        <v>1606</v>
      </c>
      <c r="G4778" s="7">
        <v>46090.70100973556</v>
      </c>
    </row>
    <row r="4779">
      <c r="A4779" s="3" t="s">
        <v>14854</v>
      </c>
      <c r="B4779" s="3" t="s">
        <v>632</v>
      </c>
      <c r="C4779" s="3" t="s">
        <v>1342</v>
      </c>
      <c r="D4779" s="3" t="s">
        <v>68</v>
      </c>
      <c r="E4779" s="3" t="s">
        <v>100</v>
      </c>
      <c r="F4779" s="3" t="s">
        <v>1521</v>
      </c>
      <c r="G4779" s="7">
        <v>46090.77218458098</v>
      </c>
    </row>
    <row r="4780">
      <c r="A4780" s="3" t="s">
        <v>14856</v>
      </c>
      <c r="B4780" s="3" t="s">
        <v>366</v>
      </c>
      <c r="C4780" s="3" t="s">
        <v>1342</v>
      </c>
      <c r="D4780" s="3" t="s">
        <v>68</v>
      </c>
      <c r="E4780" s="3" t="s">
        <v>100</v>
      </c>
      <c r="F4780" s="3" t="s">
        <v>2091</v>
      </c>
      <c r="G4780" s="7">
        <v>46090.843359426384</v>
      </c>
    </row>
    <row r="4781">
      <c r="A4781" s="3" t="s">
        <v>14858</v>
      </c>
      <c r="B4781" s="3" t="s">
        <v>544</v>
      </c>
      <c r="C4781" s="3" t="s">
        <v>1342</v>
      </c>
      <c r="D4781" s="3" t="s">
        <v>68</v>
      </c>
      <c r="E4781" s="3" t="s">
        <v>100</v>
      </c>
      <c r="F4781" s="3" t="s">
        <v>1999</v>
      </c>
      <c r="G4781" s="7">
        <v>46090.914534271804</v>
      </c>
    </row>
    <row r="4782">
      <c r="A4782" s="3" t="s">
        <v>14862</v>
      </c>
      <c r="B4782" s="3" t="s">
        <v>1043</v>
      </c>
      <c r="C4782" s="3" t="s">
        <v>1342</v>
      </c>
      <c r="D4782" s="3" t="s">
        <v>68</v>
      </c>
      <c r="E4782" s="3" t="s">
        <v>100</v>
      </c>
      <c r="F4782" s="3" t="s">
        <v>1605</v>
      </c>
      <c r="G4782" s="7">
        <v>46090.98570911722</v>
      </c>
    </row>
    <row r="4783">
      <c r="A4783" s="3" t="s">
        <v>14866</v>
      </c>
      <c r="B4783" s="3" t="s">
        <v>860</v>
      </c>
      <c r="C4783" s="3" t="s">
        <v>1342</v>
      </c>
      <c r="D4783" s="3" t="s">
        <v>68</v>
      </c>
      <c r="E4783" s="3" t="s">
        <v>100</v>
      </c>
      <c r="F4783" s="3" t="s">
        <v>1601</v>
      </c>
      <c r="G4783" s="7">
        <v>46091.056883962636</v>
      </c>
    </row>
    <row r="4784">
      <c r="A4784" s="3" t="s">
        <v>14869</v>
      </c>
      <c r="B4784" s="3" t="s">
        <v>922</v>
      </c>
      <c r="C4784" s="3" t="s">
        <v>56</v>
      </c>
      <c r="D4784" s="3" t="s">
        <v>68</v>
      </c>
      <c r="E4784" s="3" t="s">
        <v>100</v>
      </c>
      <c r="F4784" s="3" t="s">
        <v>1609</v>
      </c>
      <c r="G4784" s="7">
        <v>46091.12805880805</v>
      </c>
    </row>
    <row r="4785">
      <c r="A4785" s="3" t="s">
        <v>14873</v>
      </c>
      <c r="B4785" s="3" t="s">
        <v>883</v>
      </c>
      <c r="C4785" s="3" t="s">
        <v>56</v>
      </c>
      <c r="D4785" s="3" t="s">
        <v>68</v>
      </c>
      <c r="E4785" s="3" t="s">
        <v>100</v>
      </c>
      <c r="F4785" s="3" t="s">
        <v>1611</v>
      </c>
      <c r="G4785" s="7">
        <v>46091.19923365347</v>
      </c>
    </row>
    <row r="4786">
      <c r="A4786" s="3" t="s">
        <v>14876</v>
      </c>
      <c r="B4786" s="3" t="s">
        <v>689</v>
      </c>
      <c r="C4786" s="3" t="s">
        <v>1095</v>
      </c>
      <c r="D4786" s="3" t="s">
        <v>68</v>
      </c>
      <c r="E4786" s="3" t="s">
        <v>100</v>
      </c>
      <c r="F4786" s="3" t="s">
        <v>1256</v>
      </c>
      <c r="G4786" s="7">
        <v>46091.27040849888</v>
      </c>
    </row>
    <row r="4787">
      <c r="A4787" s="3" t="s">
        <v>14880</v>
      </c>
      <c r="B4787" s="3" t="s">
        <v>751</v>
      </c>
      <c r="C4787" s="3" t="s">
        <v>56</v>
      </c>
      <c r="D4787" s="3" t="s">
        <v>68</v>
      </c>
      <c r="E4787" s="3" t="s">
        <v>100</v>
      </c>
      <c r="F4787" s="3" t="s">
        <v>1614</v>
      </c>
      <c r="G4787" s="7">
        <v>46091.34158334429</v>
      </c>
    </row>
    <row r="4788">
      <c r="A4788" s="3" t="s">
        <v>14883</v>
      </c>
      <c r="B4788" s="3" t="s">
        <v>183</v>
      </c>
      <c r="C4788" s="3" t="s">
        <v>1342</v>
      </c>
      <c r="D4788" s="3" t="s">
        <v>68</v>
      </c>
      <c r="E4788" s="3" t="s">
        <v>100</v>
      </c>
      <c r="F4788" s="3" t="s">
        <v>1354</v>
      </c>
      <c r="G4788" s="7">
        <v>46091.41275818971</v>
      </c>
    </row>
    <row r="4789">
      <c r="A4789" s="3" t="s">
        <v>14887</v>
      </c>
      <c r="B4789" s="3" t="s">
        <v>1037</v>
      </c>
      <c r="C4789" s="3" t="s">
        <v>1342</v>
      </c>
      <c r="D4789" s="3" t="s">
        <v>68</v>
      </c>
      <c r="E4789" s="3" t="s">
        <v>100</v>
      </c>
      <c r="F4789" s="3" t="s">
        <v>1435</v>
      </c>
      <c r="G4789" s="7">
        <v>46091.483933035124</v>
      </c>
    </row>
    <row r="4790">
      <c r="A4790" s="3" t="s">
        <v>14891</v>
      </c>
      <c r="B4790" s="3" t="s">
        <v>702</v>
      </c>
      <c r="C4790" s="3" t="s">
        <v>56</v>
      </c>
      <c r="D4790" s="3" t="s">
        <v>68</v>
      </c>
      <c r="E4790" s="3" t="s">
        <v>100</v>
      </c>
      <c r="F4790" s="3" t="s">
        <v>1617</v>
      </c>
      <c r="G4790" s="7">
        <v>46091.55510788054</v>
      </c>
    </row>
    <row r="4791">
      <c r="A4791" s="3" t="s">
        <v>14894</v>
      </c>
      <c r="B4791" s="3" t="s">
        <v>400</v>
      </c>
      <c r="C4791" s="3" t="s">
        <v>56</v>
      </c>
      <c r="D4791" s="3" t="s">
        <v>68</v>
      </c>
      <c r="E4791" s="3" t="s">
        <v>100</v>
      </c>
      <c r="F4791" s="3" t="s">
        <v>1619</v>
      </c>
      <c r="G4791" s="7">
        <v>46091.626282725956</v>
      </c>
    </row>
    <row r="4792">
      <c r="A4792" s="3" t="s">
        <v>14897</v>
      </c>
      <c r="B4792" s="3" t="s">
        <v>527</v>
      </c>
      <c r="C4792" s="3" t="s">
        <v>1342</v>
      </c>
      <c r="D4792" s="3" t="s">
        <v>68</v>
      </c>
      <c r="E4792" s="3" t="s">
        <v>100</v>
      </c>
      <c r="F4792" s="3" t="s">
        <v>1322</v>
      </c>
      <c r="G4792" s="7">
        <v>46091.69745757137</v>
      </c>
    </row>
    <row r="4793">
      <c r="A4793" s="3" t="s">
        <v>14901</v>
      </c>
      <c r="B4793" s="3" t="s">
        <v>694</v>
      </c>
      <c r="C4793" s="3" t="s">
        <v>1342</v>
      </c>
      <c r="D4793" s="3" t="s">
        <v>68</v>
      </c>
      <c r="E4793" s="3" t="s">
        <v>100</v>
      </c>
      <c r="F4793" s="3" t="s">
        <v>1797</v>
      </c>
      <c r="G4793" s="7">
        <v>46091.76863241678</v>
      </c>
    </row>
    <row r="4794">
      <c r="A4794" s="3" t="s">
        <v>14905</v>
      </c>
      <c r="B4794" s="3" t="s">
        <v>593</v>
      </c>
      <c r="C4794" s="3" t="s">
        <v>56</v>
      </c>
      <c r="D4794" s="3" t="s">
        <v>68</v>
      </c>
      <c r="E4794" s="3" t="s">
        <v>100</v>
      </c>
      <c r="F4794" s="3" t="s">
        <v>1621</v>
      </c>
      <c r="G4794" s="7">
        <v>46091.8398072622</v>
      </c>
    </row>
    <row r="4795">
      <c r="A4795" s="3" t="s">
        <v>14908</v>
      </c>
      <c r="B4795" s="3" t="s">
        <v>883</v>
      </c>
      <c r="C4795" s="3" t="s">
        <v>1095</v>
      </c>
      <c r="D4795" s="3" t="s">
        <v>68</v>
      </c>
      <c r="E4795" s="3" t="s">
        <v>100</v>
      </c>
      <c r="F4795" s="3" t="s">
        <v>1611</v>
      </c>
      <c r="G4795" s="7">
        <v>46091.91098210762</v>
      </c>
    </row>
    <row r="4796">
      <c r="A4796" s="3" t="s">
        <v>14911</v>
      </c>
      <c r="B4796" s="3" t="s">
        <v>629</v>
      </c>
      <c r="C4796" s="3" t="s">
        <v>1095</v>
      </c>
      <c r="D4796" s="3" t="s">
        <v>68</v>
      </c>
      <c r="E4796" s="3" t="s">
        <v>100</v>
      </c>
      <c r="F4796" s="3" t="s">
        <v>1251</v>
      </c>
      <c r="G4796" s="7">
        <v>46091.982156953025</v>
      </c>
    </row>
    <row r="4797">
      <c r="A4797" s="3" t="s">
        <v>14915</v>
      </c>
      <c r="B4797" s="3" t="s">
        <v>313</v>
      </c>
      <c r="C4797" s="3" t="s">
        <v>1095</v>
      </c>
      <c r="D4797" s="3" t="s">
        <v>68</v>
      </c>
      <c r="E4797" s="3" t="s">
        <v>100</v>
      </c>
      <c r="F4797" s="3" t="s">
        <v>1110</v>
      </c>
      <c r="G4797" s="7">
        <v>46092.053331798445</v>
      </c>
    </row>
    <row r="4798">
      <c r="A4798" s="3" t="s">
        <v>14919</v>
      </c>
      <c r="B4798" s="3" t="s">
        <v>536</v>
      </c>
      <c r="C4798" s="3" t="s">
        <v>1342</v>
      </c>
      <c r="D4798" s="3" t="s">
        <v>68</v>
      </c>
      <c r="E4798" s="3" t="s">
        <v>100</v>
      </c>
      <c r="F4798" s="3" t="s">
        <v>862</v>
      </c>
      <c r="G4798" s="7">
        <v>46092.124506643864</v>
      </c>
    </row>
    <row r="4799">
      <c r="A4799" s="3" t="s">
        <v>14922</v>
      </c>
      <c r="B4799" s="3" t="s">
        <v>953</v>
      </c>
      <c r="C4799" s="3" t="s">
        <v>1342</v>
      </c>
      <c r="D4799" s="3" t="s">
        <v>68</v>
      </c>
      <c r="E4799" s="3" t="s">
        <v>100</v>
      </c>
      <c r="F4799" s="3" t="s">
        <v>1538</v>
      </c>
      <c r="G4799" s="7">
        <v>46092.19568148928</v>
      </c>
    </row>
    <row r="4800">
      <c r="A4800" s="3" t="s">
        <v>14925</v>
      </c>
      <c r="B4800" s="3" t="s">
        <v>903</v>
      </c>
      <c r="C4800" s="3" t="s">
        <v>56</v>
      </c>
      <c r="D4800" s="3" t="s">
        <v>68</v>
      </c>
      <c r="E4800" s="3" t="s">
        <v>100</v>
      </c>
      <c r="F4800" s="3" t="s">
        <v>1625</v>
      </c>
      <c r="G4800" s="7">
        <v>46092.26685633469</v>
      </c>
    </row>
    <row r="4801">
      <c r="A4801" s="3" t="s">
        <v>14930</v>
      </c>
      <c r="B4801" s="3" t="s">
        <v>987</v>
      </c>
      <c r="C4801" s="3" t="s">
        <v>1342</v>
      </c>
      <c r="D4801" s="3" t="s">
        <v>68</v>
      </c>
      <c r="E4801" s="3" t="s">
        <v>100</v>
      </c>
      <c r="F4801" s="3" t="s">
        <v>818</v>
      </c>
      <c r="G4801" s="7">
        <v>46092.33803118011</v>
      </c>
    </row>
    <row r="4802">
      <c r="A4802" s="3" t="s">
        <v>14932</v>
      </c>
      <c r="B4802" s="3" t="s">
        <v>359</v>
      </c>
      <c r="C4802" s="3" t="s">
        <v>1095</v>
      </c>
      <c r="D4802" s="3" t="s">
        <v>68</v>
      </c>
      <c r="E4802" s="3" t="s">
        <v>100</v>
      </c>
      <c r="F4802" s="3" t="s">
        <v>1092</v>
      </c>
      <c r="G4802" s="7">
        <v>46092.40920602552</v>
      </c>
    </row>
    <row r="4803">
      <c r="A4803" s="3" t="s">
        <v>14934</v>
      </c>
      <c r="B4803" s="3" t="s">
        <v>348</v>
      </c>
      <c r="C4803" s="3" t="s">
        <v>56</v>
      </c>
      <c r="D4803" s="3" t="s">
        <v>68</v>
      </c>
      <c r="E4803" s="3" t="s">
        <v>100</v>
      </c>
      <c r="F4803" s="3" t="s">
        <v>1629</v>
      </c>
      <c r="G4803" s="7">
        <v>46092.48038087093</v>
      </c>
    </row>
    <row r="4804">
      <c r="A4804" s="3" t="s">
        <v>14936</v>
      </c>
      <c r="B4804" s="3" t="s">
        <v>493</v>
      </c>
      <c r="C4804" s="3" t="s">
        <v>1342</v>
      </c>
      <c r="D4804" s="3" t="s">
        <v>68</v>
      </c>
      <c r="E4804" s="3" t="s">
        <v>100</v>
      </c>
      <c r="F4804" s="3" t="s">
        <v>1593</v>
      </c>
      <c r="G4804" s="7">
        <v>46092.55155571635</v>
      </c>
    </row>
    <row r="4805">
      <c r="A4805" s="3" t="s">
        <v>14939</v>
      </c>
      <c r="B4805" s="3" t="s">
        <v>535</v>
      </c>
      <c r="C4805" s="3" t="s">
        <v>1342</v>
      </c>
      <c r="D4805" s="3" t="s">
        <v>68</v>
      </c>
      <c r="E4805" s="3" t="s">
        <v>100</v>
      </c>
      <c r="F4805" s="3" t="s">
        <v>1467</v>
      </c>
      <c r="G4805" s="7">
        <v>46092.62273056177</v>
      </c>
    </row>
    <row r="4806">
      <c r="A4806" s="3" t="s">
        <v>14943</v>
      </c>
      <c r="B4806" s="3" t="s">
        <v>1037</v>
      </c>
      <c r="C4806" s="3" t="s">
        <v>1095</v>
      </c>
      <c r="D4806" s="3" t="s">
        <v>68</v>
      </c>
      <c r="E4806" s="3" t="s">
        <v>100</v>
      </c>
      <c r="F4806" s="3" t="s">
        <v>1435</v>
      </c>
      <c r="G4806" s="7">
        <v>46092.69390540718</v>
      </c>
    </row>
    <row r="4807">
      <c r="A4807" s="3" t="s">
        <v>14946</v>
      </c>
      <c r="B4807" s="3" t="s">
        <v>512</v>
      </c>
      <c r="C4807" s="3" t="s">
        <v>56</v>
      </c>
      <c r="D4807" s="3" t="s">
        <v>68</v>
      </c>
      <c r="E4807" s="3" t="s">
        <v>100</v>
      </c>
      <c r="F4807" s="3" t="s">
        <v>1631</v>
      </c>
      <c r="G4807" s="7">
        <v>46092.7650802526</v>
      </c>
    </row>
    <row r="4808">
      <c r="A4808" s="3" t="s">
        <v>14949</v>
      </c>
      <c r="B4808" s="3" t="s">
        <v>819</v>
      </c>
      <c r="C4808" s="3" t="s">
        <v>56</v>
      </c>
      <c r="D4808" s="3" t="s">
        <v>195</v>
      </c>
      <c r="E4808" s="3" t="s">
        <v>45</v>
      </c>
      <c r="F4808" s="3" t="s">
        <v>45</v>
      </c>
      <c r="G4808" s="7">
        <v>46092.83625509801</v>
      </c>
    </row>
    <row r="4809">
      <c r="A4809" s="3" t="s">
        <v>14952</v>
      </c>
      <c r="B4809" s="3" t="s">
        <v>763</v>
      </c>
      <c r="C4809" s="3" t="s">
        <v>56</v>
      </c>
      <c r="D4809" s="3" t="s">
        <v>68</v>
      </c>
      <c r="E4809" s="3" t="s">
        <v>100</v>
      </c>
      <c r="F4809" s="3" t="s">
        <v>1634</v>
      </c>
      <c r="G4809" s="7">
        <v>46092.90742994343</v>
      </c>
    </row>
    <row r="4810">
      <c r="A4810" s="3" t="s">
        <v>14956</v>
      </c>
      <c r="B4810" s="3" t="s">
        <v>998</v>
      </c>
      <c r="C4810" s="3" t="s">
        <v>1095</v>
      </c>
      <c r="D4810" s="3" t="s">
        <v>68</v>
      </c>
      <c r="E4810" s="3" t="s">
        <v>100</v>
      </c>
      <c r="F4810" s="3" t="s">
        <v>1007</v>
      </c>
      <c r="G4810" s="7">
        <v>46092.97860478884</v>
      </c>
    </row>
    <row r="4811">
      <c r="A4811" s="3" t="s">
        <v>14960</v>
      </c>
      <c r="B4811" s="3" t="s">
        <v>767</v>
      </c>
      <c r="C4811" s="3" t="s">
        <v>56</v>
      </c>
      <c r="D4811" s="3" t="s">
        <v>68</v>
      </c>
      <c r="E4811" s="3" t="s">
        <v>100</v>
      </c>
      <c r="F4811" s="3" t="s">
        <v>1636</v>
      </c>
      <c r="G4811" s="7">
        <v>46093.04977963426</v>
      </c>
    </row>
    <row r="4812">
      <c r="A4812" s="3" t="s">
        <v>14963</v>
      </c>
      <c r="B4812" s="3" t="s">
        <v>811</v>
      </c>
      <c r="C4812" s="3" t="s">
        <v>1095</v>
      </c>
      <c r="D4812" s="3" t="s">
        <v>68</v>
      </c>
      <c r="E4812" s="3" t="s">
        <v>100</v>
      </c>
      <c r="F4812" s="3" t="s">
        <v>1566</v>
      </c>
      <c r="G4812" s="7">
        <v>46093.120954479666</v>
      </c>
    </row>
    <row r="4813">
      <c r="A4813" s="3" t="s">
        <v>14966</v>
      </c>
      <c r="B4813" s="3" t="s">
        <v>805</v>
      </c>
      <c r="C4813" s="3" t="s">
        <v>1095</v>
      </c>
      <c r="D4813" s="3" t="s">
        <v>68</v>
      </c>
      <c r="E4813" s="3" t="s">
        <v>100</v>
      </c>
      <c r="F4813" s="3" t="s">
        <v>1553</v>
      </c>
      <c r="G4813" s="7">
        <v>46093.192129325085</v>
      </c>
    </row>
    <row r="4814">
      <c r="A4814" s="3" t="s">
        <v>14969</v>
      </c>
      <c r="B4814" s="3" t="s">
        <v>505</v>
      </c>
      <c r="C4814" s="3" t="s">
        <v>1342</v>
      </c>
      <c r="D4814" s="3" t="s">
        <v>181</v>
      </c>
      <c r="E4814" s="3" t="s">
        <v>45</v>
      </c>
      <c r="F4814" s="3" t="s">
        <v>1462</v>
      </c>
      <c r="G4814" s="7">
        <v>46093.263304170505</v>
      </c>
    </row>
    <row r="4815">
      <c r="A4815" s="3" t="s">
        <v>14971</v>
      </c>
      <c r="B4815" s="3" t="s">
        <v>130</v>
      </c>
      <c r="C4815" s="3" t="s">
        <v>1342</v>
      </c>
      <c r="D4815" s="3" t="s">
        <v>68</v>
      </c>
      <c r="E4815" s="3" t="s">
        <v>100</v>
      </c>
      <c r="F4815" s="3" t="s">
        <v>1503</v>
      </c>
      <c r="G4815" s="7">
        <v>46093.33447901592</v>
      </c>
    </row>
    <row r="4816">
      <c r="A4816" s="3" t="s">
        <v>14974</v>
      </c>
      <c r="B4816" s="3" t="s">
        <v>717</v>
      </c>
      <c r="C4816" s="3" t="s">
        <v>56</v>
      </c>
      <c r="D4816" s="3" t="s">
        <v>68</v>
      </c>
      <c r="E4816" s="3" t="s">
        <v>100</v>
      </c>
      <c r="F4816" s="3" t="s">
        <v>1640</v>
      </c>
      <c r="G4816" s="7">
        <v>46093.40565386133</v>
      </c>
    </row>
    <row r="4817">
      <c r="A4817" s="3" t="s">
        <v>14977</v>
      </c>
      <c r="B4817" s="3" t="s">
        <v>135</v>
      </c>
      <c r="C4817" s="3" t="s">
        <v>1342</v>
      </c>
      <c r="D4817" s="3" t="s">
        <v>68</v>
      </c>
      <c r="E4817" s="3" t="s">
        <v>100</v>
      </c>
      <c r="F4817" s="3" t="s">
        <v>1586</v>
      </c>
      <c r="G4817" s="7">
        <v>46093.47682870675</v>
      </c>
    </row>
    <row r="4818">
      <c r="A4818" s="3" t="s">
        <v>14980</v>
      </c>
      <c r="B4818" s="3" t="s">
        <v>414</v>
      </c>
      <c r="C4818" s="3" t="s">
        <v>1342</v>
      </c>
      <c r="D4818" s="3" t="s">
        <v>68</v>
      </c>
      <c r="E4818" s="3" t="s">
        <v>100</v>
      </c>
      <c r="F4818" s="3" t="s">
        <v>1302</v>
      </c>
      <c r="G4818" s="7">
        <v>46093.54800355216</v>
      </c>
    </row>
    <row r="4819">
      <c r="A4819" s="3" t="s">
        <v>14984</v>
      </c>
      <c r="B4819" s="3" t="s">
        <v>236</v>
      </c>
      <c r="C4819" s="3" t="s">
        <v>56</v>
      </c>
      <c r="D4819" s="3" t="s">
        <v>68</v>
      </c>
      <c r="E4819" s="3" t="s">
        <v>100</v>
      </c>
      <c r="F4819" s="3" t="s">
        <v>1641</v>
      </c>
      <c r="G4819" s="7">
        <v>46093.619178397574</v>
      </c>
    </row>
    <row r="4820">
      <c r="A4820" s="3" t="s">
        <v>14987</v>
      </c>
      <c r="B4820" s="3" t="s">
        <v>366</v>
      </c>
      <c r="C4820" s="3" t="s">
        <v>1095</v>
      </c>
      <c r="D4820" s="3" t="s">
        <v>68</v>
      </c>
      <c r="E4820" s="3" t="s">
        <v>100</v>
      </c>
      <c r="F4820" s="3" t="s">
        <v>2091</v>
      </c>
      <c r="G4820" s="7">
        <v>46093.69035324299</v>
      </c>
    </row>
    <row r="4821">
      <c r="A4821" s="3" t="s">
        <v>14990</v>
      </c>
      <c r="B4821" s="3" t="s">
        <v>586</v>
      </c>
      <c r="C4821" s="3" t="s">
        <v>1342</v>
      </c>
      <c r="D4821" s="3" t="s">
        <v>181</v>
      </c>
      <c r="E4821" s="3" t="s">
        <v>45</v>
      </c>
      <c r="F4821" s="3" t="s">
        <v>1627</v>
      </c>
      <c r="G4821" s="7">
        <v>46093.76152808841</v>
      </c>
    </row>
    <row r="4822">
      <c r="A4822" s="3" t="s">
        <v>14993</v>
      </c>
      <c r="B4822" s="3" t="s">
        <v>600</v>
      </c>
      <c r="C4822" s="3" t="s">
        <v>56</v>
      </c>
      <c r="D4822" s="3" t="s">
        <v>68</v>
      </c>
      <c r="E4822" s="3" t="s">
        <v>100</v>
      </c>
      <c r="F4822" s="3" t="s">
        <v>1643</v>
      </c>
      <c r="G4822" s="7">
        <v>46093.83270293382</v>
      </c>
    </row>
    <row r="4823">
      <c r="A4823" s="3" t="s">
        <v>14996</v>
      </c>
      <c r="B4823" s="3" t="s">
        <v>383</v>
      </c>
      <c r="C4823" s="3" t="s">
        <v>1342</v>
      </c>
      <c r="D4823" s="3" t="s">
        <v>68</v>
      </c>
      <c r="E4823" s="3" t="s">
        <v>100</v>
      </c>
      <c r="F4823" s="3" t="s">
        <v>1129</v>
      </c>
      <c r="G4823" s="7">
        <v>46093.90387777924</v>
      </c>
    </row>
    <row r="4824">
      <c r="A4824" s="3" t="s">
        <v>14999</v>
      </c>
      <c r="B4824" s="3" t="s">
        <v>546</v>
      </c>
      <c r="C4824" s="3" t="s">
        <v>1342</v>
      </c>
      <c r="D4824" s="3" t="s">
        <v>181</v>
      </c>
      <c r="E4824" s="3" t="s">
        <v>45</v>
      </c>
      <c r="F4824" s="3" t="s">
        <v>1451</v>
      </c>
      <c r="G4824" s="7">
        <v>46093.97505262466</v>
      </c>
    </row>
    <row r="4825">
      <c r="A4825" s="3" t="s">
        <v>15003</v>
      </c>
      <c r="B4825" s="3" t="s">
        <v>616</v>
      </c>
      <c r="C4825" s="3" t="s">
        <v>1342</v>
      </c>
      <c r="D4825" s="3" t="s">
        <v>68</v>
      </c>
      <c r="E4825" s="3" t="s">
        <v>100</v>
      </c>
      <c r="F4825" s="3" t="s">
        <v>1064</v>
      </c>
      <c r="G4825" s="7">
        <v>46094.04622747007</v>
      </c>
    </row>
    <row r="4826">
      <c r="A4826" s="3" t="s">
        <v>15006</v>
      </c>
      <c r="B4826" s="3" t="s">
        <v>920</v>
      </c>
      <c r="C4826" s="3" t="s">
        <v>1095</v>
      </c>
      <c r="D4826" s="3" t="s">
        <v>68</v>
      </c>
      <c r="E4826" s="3" t="s">
        <v>100</v>
      </c>
      <c r="F4826" s="3" t="s">
        <v>1935</v>
      </c>
      <c r="G4826" s="7">
        <v>46094.11740231548</v>
      </c>
    </row>
    <row r="4827">
      <c r="A4827" s="3" t="s">
        <v>15008</v>
      </c>
      <c r="B4827" s="3" t="s">
        <v>953</v>
      </c>
      <c r="C4827" s="3" t="s">
        <v>1095</v>
      </c>
      <c r="D4827" s="3" t="s">
        <v>68</v>
      </c>
      <c r="E4827" s="3" t="s">
        <v>100</v>
      </c>
      <c r="F4827" s="3" t="s">
        <v>1538</v>
      </c>
      <c r="G4827" s="7">
        <v>46094.1885771609</v>
      </c>
    </row>
    <row r="4828">
      <c r="A4828" s="3" t="s">
        <v>15010</v>
      </c>
      <c r="B4828" s="3" t="s">
        <v>800</v>
      </c>
      <c r="C4828" s="3" t="s">
        <v>1095</v>
      </c>
      <c r="D4828" s="3" t="s">
        <v>68</v>
      </c>
      <c r="E4828" s="3" t="s">
        <v>100</v>
      </c>
      <c r="F4828" s="3" t="s">
        <v>1053</v>
      </c>
      <c r="G4828" s="7">
        <v>46094.259752006314</v>
      </c>
    </row>
    <row r="4829">
      <c r="A4829" s="3" t="s">
        <v>15012</v>
      </c>
      <c r="B4829" s="3" t="s">
        <v>1028</v>
      </c>
      <c r="C4829" s="3" t="s">
        <v>56</v>
      </c>
      <c r="D4829" s="3" t="s">
        <v>68</v>
      </c>
      <c r="E4829" s="3" t="s">
        <v>100</v>
      </c>
      <c r="F4829" s="3" t="s">
        <v>1645</v>
      </c>
      <c r="G4829" s="7">
        <v>46094.330926851726</v>
      </c>
    </row>
    <row r="4830">
      <c r="A4830" s="3" t="s">
        <v>15015</v>
      </c>
      <c r="B4830" s="3" t="s">
        <v>781</v>
      </c>
      <c r="C4830" s="3" t="s">
        <v>1095</v>
      </c>
      <c r="D4830" s="3" t="s">
        <v>181</v>
      </c>
      <c r="E4830" s="3" t="s">
        <v>45</v>
      </c>
      <c r="F4830" s="3" t="s">
        <v>1069</v>
      </c>
      <c r="G4830" s="7">
        <v>46094.402101697146</v>
      </c>
    </row>
    <row r="4831">
      <c r="A4831" s="3" t="s">
        <v>15019</v>
      </c>
      <c r="B4831" s="3" t="s">
        <v>650</v>
      </c>
      <c r="C4831" s="3" t="s">
        <v>56</v>
      </c>
      <c r="D4831" s="3" t="s">
        <v>68</v>
      </c>
      <c r="E4831" s="3" t="s">
        <v>100</v>
      </c>
      <c r="F4831" s="3" t="s">
        <v>1647</v>
      </c>
      <c r="G4831" s="7">
        <v>46094.47327654256</v>
      </c>
    </row>
    <row r="4832">
      <c r="A4832" s="3" t="s">
        <v>15022</v>
      </c>
      <c r="B4832" s="3" t="s">
        <v>727</v>
      </c>
      <c r="C4832" s="3" t="s">
        <v>1095</v>
      </c>
      <c r="D4832" s="3" t="s">
        <v>68</v>
      </c>
      <c r="E4832" s="3" t="s">
        <v>100</v>
      </c>
      <c r="F4832" s="3" t="s">
        <v>1526</v>
      </c>
      <c r="G4832" s="7">
        <v>46094.54445138797</v>
      </c>
    </row>
    <row r="4833">
      <c r="A4833" s="3" t="s">
        <v>15025</v>
      </c>
      <c r="B4833" s="3" t="s">
        <v>501</v>
      </c>
      <c r="C4833" s="3" t="s">
        <v>1342</v>
      </c>
      <c r="D4833" s="3" t="s">
        <v>68</v>
      </c>
      <c r="E4833" s="3" t="s">
        <v>100</v>
      </c>
      <c r="F4833" s="3" t="s">
        <v>1335</v>
      </c>
      <c r="G4833" s="7">
        <v>46094.61562623339</v>
      </c>
    </row>
    <row r="4834">
      <c r="A4834" s="3" t="s">
        <v>15028</v>
      </c>
      <c r="B4834" s="3" t="s">
        <v>584</v>
      </c>
      <c r="C4834" s="3" t="s">
        <v>1095</v>
      </c>
      <c r="D4834" s="3" t="s">
        <v>68</v>
      </c>
      <c r="E4834" s="3" t="s">
        <v>100</v>
      </c>
      <c r="F4834" s="3" t="s">
        <v>840</v>
      </c>
      <c r="G4834" s="7">
        <v>46094.6868010788</v>
      </c>
    </row>
    <row r="4835">
      <c r="A4835" s="3" t="s">
        <v>15032</v>
      </c>
      <c r="B4835" s="3" t="s">
        <v>998</v>
      </c>
      <c r="C4835" s="3" t="s">
        <v>56</v>
      </c>
      <c r="D4835" s="3" t="s">
        <v>68</v>
      </c>
      <c r="E4835" s="3" t="s">
        <v>100</v>
      </c>
      <c r="F4835" s="3" t="s">
        <v>1651</v>
      </c>
      <c r="G4835" s="7">
        <v>46094.757975924214</v>
      </c>
    </row>
    <row r="4836">
      <c r="A4836" s="3" t="s">
        <v>15036</v>
      </c>
      <c r="B4836" s="3" t="s">
        <v>961</v>
      </c>
      <c r="C4836" s="3" t="s">
        <v>1095</v>
      </c>
      <c r="D4836" s="3" t="s">
        <v>68</v>
      </c>
      <c r="E4836" s="3" t="s">
        <v>100</v>
      </c>
      <c r="F4836" s="3" t="s">
        <v>1575</v>
      </c>
      <c r="G4836" s="7">
        <v>46094.829150769634</v>
      </c>
    </row>
    <row r="4837">
      <c r="A4837" s="3" t="s">
        <v>15039</v>
      </c>
      <c r="B4837" s="3" t="s">
        <v>219</v>
      </c>
      <c r="C4837" s="3" t="s">
        <v>1342</v>
      </c>
      <c r="D4837" s="3" t="s">
        <v>68</v>
      </c>
      <c r="E4837" s="3" t="s">
        <v>100</v>
      </c>
      <c r="F4837" s="3" t="s">
        <v>1076</v>
      </c>
      <c r="G4837" s="7">
        <v>46094.90032561505</v>
      </c>
    </row>
    <row r="4838">
      <c r="A4838" s="3" t="s">
        <v>15041</v>
      </c>
      <c r="B4838" s="3" t="s">
        <v>819</v>
      </c>
      <c r="C4838" s="3" t="s">
        <v>56</v>
      </c>
      <c r="D4838" s="3" t="s">
        <v>68</v>
      </c>
      <c r="E4838" s="3" t="s">
        <v>100</v>
      </c>
      <c r="F4838" s="3" t="s">
        <v>1654</v>
      </c>
      <c r="G4838" s="7">
        <v>46094.97150046046</v>
      </c>
    </row>
    <row r="4839">
      <c r="A4839" s="3" t="s">
        <v>15043</v>
      </c>
      <c r="B4839" s="3" t="s">
        <v>678</v>
      </c>
      <c r="C4839" s="3" t="s">
        <v>1342</v>
      </c>
      <c r="D4839" s="3" t="s">
        <v>181</v>
      </c>
      <c r="E4839" s="3" t="s">
        <v>45</v>
      </c>
      <c r="F4839" s="3" t="s">
        <v>1455</v>
      </c>
      <c r="G4839" s="7">
        <v>46095.04267530588</v>
      </c>
    </row>
    <row r="4840">
      <c r="A4840" s="3" t="s">
        <v>15046</v>
      </c>
      <c r="B4840" s="3" t="s">
        <v>713</v>
      </c>
      <c r="C4840" s="3" t="s">
        <v>1095</v>
      </c>
      <c r="D4840" s="3" t="s">
        <v>68</v>
      </c>
      <c r="E4840" s="3" t="s">
        <v>100</v>
      </c>
      <c r="F4840" s="3" t="s">
        <v>1177</v>
      </c>
      <c r="G4840" s="7">
        <v>46095.1138501513</v>
      </c>
    </row>
    <row r="4841">
      <c r="A4841" s="3" t="s">
        <v>15049</v>
      </c>
      <c r="B4841" s="3" t="s">
        <v>455</v>
      </c>
      <c r="C4841" s="3" t="s">
        <v>56</v>
      </c>
      <c r="D4841" s="3" t="s">
        <v>68</v>
      </c>
      <c r="E4841" s="3" t="s">
        <v>100</v>
      </c>
      <c r="F4841" s="3" t="s">
        <v>1656</v>
      </c>
      <c r="G4841" s="7">
        <v>46095.18502499671</v>
      </c>
    </row>
    <row r="4842">
      <c r="A4842" s="3" t="s">
        <v>15052</v>
      </c>
      <c r="B4842" s="3" t="s">
        <v>637</v>
      </c>
      <c r="C4842" s="3" t="s">
        <v>1095</v>
      </c>
      <c r="D4842" s="3" t="s">
        <v>68</v>
      </c>
      <c r="E4842" s="3" t="s">
        <v>100</v>
      </c>
      <c r="F4842" s="3" t="s">
        <v>1131</v>
      </c>
      <c r="G4842" s="7">
        <v>46095.25619984212</v>
      </c>
    </row>
    <row r="4843">
      <c r="A4843" s="3" t="s">
        <v>15056</v>
      </c>
      <c r="B4843" s="3" t="s">
        <v>1037</v>
      </c>
      <c r="C4843" s="3" t="s">
        <v>56</v>
      </c>
      <c r="D4843" s="3" t="s">
        <v>68</v>
      </c>
      <c r="E4843" s="3" t="s">
        <v>100</v>
      </c>
      <c r="F4843" s="3" t="s">
        <v>1658</v>
      </c>
      <c r="G4843" s="7">
        <v>46095.32737468754</v>
      </c>
    </row>
    <row r="4844">
      <c r="A4844" s="3" t="s">
        <v>15060</v>
      </c>
      <c r="B4844" s="3" t="s">
        <v>698</v>
      </c>
      <c r="C4844" s="3" t="s">
        <v>1095</v>
      </c>
      <c r="D4844" s="3" t="s">
        <v>68</v>
      </c>
      <c r="E4844" s="3" t="s">
        <v>100</v>
      </c>
      <c r="F4844" s="3" t="s">
        <v>2039</v>
      </c>
      <c r="G4844" s="7">
        <v>46095.398549532954</v>
      </c>
    </row>
    <row r="4845">
      <c r="A4845" s="3" t="s">
        <v>15063</v>
      </c>
      <c r="B4845" s="3" t="s">
        <v>280</v>
      </c>
      <c r="C4845" s="3" t="s">
        <v>56</v>
      </c>
      <c r="D4845" s="3" t="s">
        <v>68</v>
      </c>
      <c r="E4845" s="3" t="s">
        <v>100</v>
      </c>
      <c r="F4845" s="3" t="s">
        <v>1661</v>
      </c>
      <c r="G4845" s="7">
        <v>46095.46972437837</v>
      </c>
    </row>
    <row r="4846">
      <c r="A4846" s="3" t="s">
        <v>15066</v>
      </c>
      <c r="B4846" s="3" t="s">
        <v>310</v>
      </c>
      <c r="C4846" s="3" t="s">
        <v>56</v>
      </c>
      <c r="D4846" s="3" t="s">
        <v>68</v>
      </c>
      <c r="E4846" s="3" t="s">
        <v>100</v>
      </c>
      <c r="F4846" s="3" t="s">
        <v>1663</v>
      </c>
      <c r="G4846" s="7">
        <v>46095.540899223786</v>
      </c>
    </row>
    <row r="4847">
      <c r="A4847" s="3" t="s">
        <v>15069</v>
      </c>
      <c r="B4847" s="3" t="s">
        <v>287</v>
      </c>
      <c r="C4847" s="3" t="s">
        <v>1342</v>
      </c>
      <c r="D4847" s="3" t="s">
        <v>68</v>
      </c>
      <c r="E4847" s="3" t="s">
        <v>100</v>
      </c>
      <c r="F4847" s="3" t="s">
        <v>1348</v>
      </c>
      <c r="G4847" s="7">
        <v>46095.6120740692</v>
      </c>
    </row>
    <row r="4848">
      <c r="A4848" s="3" t="s">
        <v>15072</v>
      </c>
      <c r="B4848" s="3" t="s">
        <v>742</v>
      </c>
      <c r="C4848" s="3" t="s">
        <v>56</v>
      </c>
      <c r="D4848" s="3" t="s">
        <v>68</v>
      </c>
      <c r="E4848" s="3" t="s">
        <v>100</v>
      </c>
      <c r="F4848" s="3" t="s">
        <v>1666</v>
      </c>
      <c r="G4848" s="7">
        <v>46095.68324891461</v>
      </c>
    </row>
    <row r="4849">
      <c r="A4849" s="3" t="s">
        <v>15074</v>
      </c>
      <c r="B4849" s="3" t="s">
        <v>569</v>
      </c>
      <c r="C4849" s="3" t="s">
        <v>1095</v>
      </c>
      <c r="D4849" s="3" t="s">
        <v>68</v>
      </c>
      <c r="E4849" s="3" t="s">
        <v>100</v>
      </c>
      <c r="F4849" s="3" t="s">
        <v>1589</v>
      </c>
      <c r="G4849" s="7">
        <v>46095.75442376003</v>
      </c>
    </row>
    <row r="4850">
      <c r="A4850" s="3" t="s">
        <v>15076</v>
      </c>
      <c r="B4850" s="3" t="s">
        <v>619</v>
      </c>
      <c r="C4850" s="3" t="s">
        <v>56</v>
      </c>
      <c r="D4850" s="3" t="s">
        <v>68</v>
      </c>
      <c r="E4850" s="3" t="s">
        <v>100</v>
      </c>
      <c r="F4850" s="3" t="s">
        <v>1667</v>
      </c>
      <c r="G4850" s="7">
        <v>46095.82559860544</v>
      </c>
    </row>
    <row r="4851">
      <c r="A4851" s="3" t="s">
        <v>15080</v>
      </c>
      <c r="B4851" s="3" t="s">
        <v>722</v>
      </c>
      <c r="C4851" s="3" t="s">
        <v>1342</v>
      </c>
      <c r="D4851" s="3" t="s">
        <v>68</v>
      </c>
      <c r="E4851" s="3" t="s">
        <v>100</v>
      </c>
      <c r="F4851" s="3" t="s">
        <v>1029</v>
      </c>
      <c r="G4851" s="7">
        <v>46095.896773450855</v>
      </c>
    </row>
    <row r="4852">
      <c r="A4852" s="3" t="s">
        <v>15084</v>
      </c>
      <c r="B4852" s="3" t="s">
        <v>702</v>
      </c>
      <c r="C4852" s="3" t="s">
        <v>1342</v>
      </c>
      <c r="D4852" s="3" t="s">
        <v>68</v>
      </c>
      <c r="E4852" s="3" t="s">
        <v>100</v>
      </c>
      <c r="F4852" s="3" t="s">
        <v>1617</v>
      </c>
      <c r="G4852" s="7">
        <v>46095.967948296275</v>
      </c>
    </row>
    <row r="4853">
      <c r="A4853" s="3" t="s">
        <v>15087</v>
      </c>
      <c r="B4853" s="3" t="s">
        <v>395</v>
      </c>
      <c r="C4853" s="3" t="s">
        <v>1342</v>
      </c>
      <c r="D4853" s="3" t="s">
        <v>68</v>
      </c>
      <c r="E4853" s="3" t="s">
        <v>100</v>
      </c>
      <c r="F4853" s="3" t="s">
        <v>1418</v>
      </c>
      <c r="G4853" s="7">
        <v>46096.039123141694</v>
      </c>
    </row>
    <row r="4854">
      <c r="A4854" s="3" t="s">
        <v>15089</v>
      </c>
      <c r="B4854" s="3" t="s">
        <v>442</v>
      </c>
      <c r="C4854" s="3" t="s">
        <v>1095</v>
      </c>
      <c r="D4854" s="3" t="s">
        <v>68</v>
      </c>
      <c r="E4854" s="3" t="s">
        <v>100</v>
      </c>
      <c r="F4854" s="3" t="s">
        <v>1973</v>
      </c>
      <c r="G4854" s="7">
        <v>46096.1102979871</v>
      </c>
    </row>
    <row r="4855">
      <c r="A4855" s="3" t="s">
        <v>15092</v>
      </c>
      <c r="B4855" s="3" t="s">
        <v>247</v>
      </c>
      <c r="C4855" s="3" t="s">
        <v>1342</v>
      </c>
      <c r="D4855" s="3" t="s">
        <v>68</v>
      </c>
      <c r="E4855" s="3" t="s">
        <v>100</v>
      </c>
      <c r="F4855" s="3" t="s">
        <v>1307</v>
      </c>
      <c r="G4855" s="7">
        <v>46096.18147283252</v>
      </c>
    </row>
    <row r="4856">
      <c r="A4856" s="3" t="s">
        <v>15096</v>
      </c>
      <c r="B4856" s="3" t="s">
        <v>1001</v>
      </c>
      <c r="C4856" s="3" t="s">
        <v>56</v>
      </c>
      <c r="D4856" s="3" t="s">
        <v>68</v>
      </c>
      <c r="E4856" s="3" t="s">
        <v>100</v>
      </c>
      <c r="F4856" s="3" t="s">
        <v>1670</v>
      </c>
      <c r="G4856" s="7">
        <v>46096.25264767794</v>
      </c>
    </row>
    <row r="4857">
      <c r="A4857" s="3" t="s">
        <v>15100</v>
      </c>
      <c r="B4857" s="3" t="s">
        <v>204</v>
      </c>
      <c r="C4857" s="3" t="s">
        <v>1095</v>
      </c>
      <c r="D4857" s="3" t="s">
        <v>68</v>
      </c>
      <c r="E4857" s="3" t="s">
        <v>100</v>
      </c>
      <c r="F4857" s="3" t="s">
        <v>2059</v>
      </c>
      <c r="G4857" s="7">
        <v>46096.32382252335</v>
      </c>
    </row>
    <row r="4858">
      <c r="A4858" s="3" t="s">
        <v>15103</v>
      </c>
      <c r="B4858" s="3" t="s">
        <v>135</v>
      </c>
      <c r="C4858" s="3" t="s">
        <v>1095</v>
      </c>
      <c r="D4858" s="3" t="s">
        <v>68</v>
      </c>
      <c r="E4858" s="3" t="s">
        <v>100</v>
      </c>
      <c r="F4858" s="3" t="s">
        <v>1586</v>
      </c>
      <c r="G4858" s="7">
        <v>46096.39499736876</v>
      </c>
    </row>
    <row r="4859">
      <c r="A4859" s="3" t="s">
        <v>15105</v>
      </c>
      <c r="B4859" s="3" t="s">
        <v>521</v>
      </c>
      <c r="C4859" s="3" t="s">
        <v>1095</v>
      </c>
      <c r="D4859" s="3" t="s">
        <v>68</v>
      </c>
      <c r="E4859" s="3" t="s">
        <v>100</v>
      </c>
      <c r="F4859" s="3" t="s">
        <v>1595</v>
      </c>
      <c r="G4859" s="7">
        <v>46096.46617221418</v>
      </c>
    </row>
    <row r="4860">
      <c r="A4860" s="3" t="s">
        <v>15108</v>
      </c>
      <c r="B4860" s="3" t="s">
        <v>657</v>
      </c>
      <c r="C4860" s="3" t="s">
        <v>56</v>
      </c>
      <c r="D4860" s="3" t="s">
        <v>68</v>
      </c>
      <c r="E4860" s="3" t="s">
        <v>100</v>
      </c>
      <c r="F4860" s="3" t="s">
        <v>1674</v>
      </c>
      <c r="G4860" s="7">
        <v>46096.537347059595</v>
      </c>
    </row>
    <row r="4861">
      <c r="A4861" s="3" t="s">
        <v>15112</v>
      </c>
      <c r="B4861" s="3" t="s">
        <v>1030</v>
      </c>
      <c r="C4861" s="3" t="s">
        <v>1342</v>
      </c>
      <c r="D4861" s="3" t="s">
        <v>68</v>
      </c>
      <c r="E4861" s="3" t="s">
        <v>100</v>
      </c>
      <c r="F4861" s="3" t="s">
        <v>808</v>
      </c>
      <c r="G4861" s="7">
        <v>46096.60852190501</v>
      </c>
    </row>
    <row r="4862">
      <c r="A4862" s="3" t="s">
        <v>15115</v>
      </c>
      <c r="B4862" s="3" t="s">
        <v>816</v>
      </c>
      <c r="C4862" s="3" t="s">
        <v>56</v>
      </c>
      <c r="D4862" s="3" t="s">
        <v>181</v>
      </c>
      <c r="E4862" s="3" t="s">
        <v>45</v>
      </c>
      <c r="F4862" s="3" t="s">
        <v>45</v>
      </c>
      <c r="G4862" s="7">
        <v>46096.67969675043</v>
      </c>
    </row>
    <row r="4863">
      <c r="A4863" s="3" t="s">
        <v>15118</v>
      </c>
      <c r="B4863" s="3" t="s">
        <v>536</v>
      </c>
      <c r="C4863" s="3" t="s">
        <v>1342</v>
      </c>
      <c r="D4863" s="3" t="s">
        <v>68</v>
      </c>
      <c r="E4863" s="3" t="s">
        <v>100</v>
      </c>
      <c r="F4863" s="3" t="s">
        <v>862</v>
      </c>
      <c r="G4863" s="7">
        <v>46096.75087159584</v>
      </c>
    </row>
    <row r="4864">
      <c r="A4864" s="3" t="s">
        <v>15121</v>
      </c>
      <c r="B4864" s="3" t="s">
        <v>895</v>
      </c>
      <c r="C4864" s="3" t="s">
        <v>1095</v>
      </c>
      <c r="D4864" s="3" t="s">
        <v>68</v>
      </c>
      <c r="E4864" s="3" t="s">
        <v>100</v>
      </c>
      <c r="F4864" s="3" t="s">
        <v>1341</v>
      </c>
      <c r="G4864" s="7">
        <v>46096.82204644125</v>
      </c>
    </row>
    <row r="4865">
      <c r="A4865" s="3" t="s">
        <v>15123</v>
      </c>
      <c r="B4865" s="3" t="s">
        <v>819</v>
      </c>
      <c r="C4865" s="3" t="s">
        <v>1342</v>
      </c>
      <c r="D4865" s="3" t="s">
        <v>68</v>
      </c>
      <c r="E4865" s="3" t="s">
        <v>100</v>
      </c>
      <c r="F4865" s="3" t="s">
        <v>1654</v>
      </c>
      <c r="G4865" s="7">
        <v>46096.89322128667</v>
      </c>
    </row>
    <row r="4866">
      <c r="A4866" s="3" t="s">
        <v>15125</v>
      </c>
      <c r="B4866" s="3" t="s">
        <v>830</v>
      </c>
      <c r="C4866" s="3" t="s">
        <v>1342</v>
      </c>
      <c r="D4866" s="3" t="s">
        <v>68</v>
      </c>
      <c r="E4866" s="3" t="s">
        <v>100</v>
      </c>
      <c r="F4866" s="3" t="s">
        <v>1472</v>
      </c>
      <c r="G4866" s="7">
        <v>46096.96439613209</v>
      </c>
    </row>
    <row r="4867">
      <c r="A4867" s="3" t="s">
        <v>15128</v>
      </c>
      <c r="B4867" s="3" t="s">
        <v>373</v>
      </c>
      <c r="C4867" s="3" t="s">
        <v>56</v>
      </c>
      <c r="D4867" s="3" t="s">
        <v>68</v>
      </c>
      <c r="E4867" s="3" t="s">
        <v>100</v>
      </c>
      <c r="F4867" s="3" t="s">
        <v>1676</v>
      </c>
      <c r="G4867" s="7">
        <v>46097.035570977496</v>
      </c>
    </row>
    <row r="4868">
      <c r="A4868" s="3" t="s">
        <v>15132</v>
      </c>
      <c r="B4868" s="3" t="s">
        <v>704</v>
      </c>
      <c r="C4868" s="3" t="s">
        <v>1342</v>
      </c>
      <c r="D4868" s="3" t="s">
        <v>68</v>
      </c>
      <c r="E4868" s="3" t="s">
        <v>100</v>
      </c>
      <c r="F4868" s="3" t="s">
        <v>1327</v>
      </c>
      <c r="G4868" s="7">
        <v>46097.106745822915</v>
      </c>
    </row>
    <row r="4869">
      <c r="A4869" s="3" t="s">
        <v>15136</v>
      </c>
      <c r="B4869" s="3" t="s">
        <v>256</v>
      </c>
      <c r="C4869" s="3" t="s">
        <v>1342</v>
      </c>
      <c r="D4869" s="3" t="s">
        <v>68</v>
      </c>
      <c r="E4869" s="3" t="s">
        <v>100</v>
      </c>
      <c r="F4869" s="3" t="s">
        <v>1506</v>
      </c>
      <c r="G4869" s="7">
        <v>46097.177920668335</v>
      </c>
    </row>
    <row r="4870">
      <c r="A4870" s="3" t="s">
        <v>15138</v>
      </c>
      <c r="B4870" s="3" t="s">
        <v>713</v>
      </c>
      <c r="C4870" s="3" t="s">
        <v>56</v>
      </c>
      <c r="D4870" s="3" t="s">
        <v>68</v>
      </c>
      <c r="E4870" s="3" t="s">
        <v>100</v>
      </c>
      <c r="F4870" s="3" t="s">
        <v>1679</v>
      </c>
      <c r="G4870" s="7">
        <v>46097.24909551375</v>
      </c>
    </row>
    <row r="4871">
      <c r="A4871" s="3" t="s">
        <v>15140</v>
      </c>
      <c r="B4871" s="3" t="s">
        <v>414</v>
      </c>
      <c r="C4871" s="3" t="s">
        <v>1095</v>
      </c>
      <c r="D4871" s="3" t="s">
        <v>68</v>
      </c>
      <c r="E4871" s="3" t="s">
        <v>100</v>
      </c>
      <c r="F4871" s="3" t="s">
        <v>1302</v>
      </c>
      <c r="G4871" s="7">
        <v>46097.32027035916</v>
      </c>
    </row>
    <row r="4872">
      <c r="A4872" s="3" t="s">
        <v>15142</v>
      </c>
      <c r="B4872" s="3" t="s">
        <v>929</v>
      </c>
      <c r="C4872" s="3" t="s">
        <v>1342</v>
      </c>
      <c r="D4872" s="3" t="s">
        <v>68</v>
      </c>
      <c r="E4872" s="3" t="s">
        <v>100</v>
      </c>
      <c r="F4872" s="3" t="s">
        <v>1168</v>
      </c>
      <c r="G4872" s="7">
        <v>46097.39144520458</v>
      </c>
    </row>
    <row r="4873">
      <c r="A4873" s="3" t="s">
        <v>15145</v>
      </c>
      <c r="B4873" s="3" t="s">
        <v>171</v>
      </c>
      <c r="C4873" s="3" t="s">
        <v>1095</v>
      </c>
      <c r="D4873" s="3" t="s">
        <v>181</v>
      </c>
      <c r="E4873" s="3" t="s">
        <v>45</v>
      </c>
      <c r="F4873" s="3" t="s">
        <v>1835</v>
      </c>
      <c r="G4873" s="7">
        <v>46097.46262004999</v>
      </c>
    </row>
    <row r="4874">
      <c r="A4874" s="3" t="s">
        <v>15147</v>
      </c>
      <c r="B4874" s="3" t="s">
        <v>662</v>
      </c>
      <c r="C4874" s="3" t="s">
        <v>1095</v>
      </c>
      <c r="D4874" s="3" t="s">
        <v>68</v>
      </c>
      <c r="E4874" s="3" t="s">
        <v>100</v>
      </c>
      <c r="F4874" s="3" t="s">
        <v>1376</v>
      </c>
      <c r="G4874" s="7">
        <v>46097.533794895404</v>
      </c>
    </row>
    <row r="4875">
      <c r="A4875" s="3" t="s">
        <v>15149</v>
      </c>
      <c r="B4875" s="3" t="s">
        <v>822</v>
      </c>
      <c r="C4875" s="3" t="s">
        <v>1342</v>
      </c>
      <c r="D4875" s="3" t="s">
        <v>68</v>
      </c>
      <c r="E4875" s="3" t="s">
        <v>100</v>
      </c>
      <c r="F4875" s="3" t="s">
        <v>1552</v>
      </c>
      <c r="G4875" s="7">
        <v>46097.60496974082</v>
      </c>
    </row>
    <row r="4876">
      <c r="A4876" s="3" t="s">
        <v>15151</v>
      </c>
      <c r="B4876" s="3" t="s">
        <v>356</v>
      </c>
      <c r="C4876" s="3" t="s">
        <v>56</v>
      </c>
      <c r="D4876" s="3" t="s">
        <v>68</v>
      </c>
      <c r="E4876" s="3" t="s">
        <v>100</v>
      </c>
      <c r="F4876" s="3" t="s">
        <v>1681</v>
      </c>
      <c r="G4876" s="7">
        <v>46097.676144586236</v>
      </c>
    </row>
    <row r="4877">
      <c r="A4877" s="3" t="s">
        <v>15154</v>
      </c>
      <c r="B4877" s="3" t="s">
        <v>870</v>
      </c>
      <c r="C4877" s="3" t="s">
        <v>1342</v>
      </c>
      <c r="D4877" s="3" t="s">
        <v>68</v>
      </c>
      <c r="E4877" s="3" t="s">
        <v>100</v>
      </c>
      <c r="F4877" s="3" t="s">
        <v>1543</v>
      </c>
      <c r="G4877" s="7">
        <v>46097.74731943165</v>
      </c>
    </row>
    <row r="4878">
      <c r="A4878" s="3" t="s">
        <v>15158</v>
      </c>
      <c r="B4878" s="3" t="s">
        <v>947</v>
      </c>
      <c r="C4878" s="3" t="s">
        <v>1342</v>
      </c>
      <c r="D4878" s="3" t="s">
        <v>68</v>
      </c>
      <c r="E4878" s="3" t="s">
        <v>100</v>
      </c>
      <c r="F4878" s="3" t="s">
        <v>2062</v>
      </c>
      <c r="G4878" s="7">
        <v>46097.81849427707</v>
      </c>
    </row>
    <row r="4879">
      <c r="A4879" s="3" t="s">
        <v>15162</v>
      </c>
      <c r="B4879" s="3" t="s">
        <v>727</v>
      </c>
      <c r="C4879" s="3" t="s">
        <v>56</v>
      </c>
      <c r="D4879" s="3" t="s">
        <v>68</v>
      </c>
      <c r="E4879" s="3" t="s">
        <v>100</v>
      </c>
      <c r="F4879" s="3" t="s">
        <v>1684</v>
      </c>
      <c r="G4879" s="7">
        <v>46097.88966912248</v>
      </c>
    </row>
    <row r="4880">
      <c r="A4880" s="3" t="s">
        <v>15164</v>
      </c>
      <c r="B4880" s="3" t="s">
        <v>906</v>
      </c>
      <c r="C4880" s="3" t="s">
        <v>1342</v>
      </c>
      <c r="D4880" s="3" t="s">
        <v>68</v>
      </c>
      <c r="E4880" s="3" t="s">
        <v>100</v>
      </c>
      <c r="F4880" s="3" t="s">
        <v>1901</v>
      </c>
      <c r="G4880" s="7">
        <v>46097.96084396789</v>
      </c>
    </row>
    <row r="4881">
      <c r="A4881" s="3" t="s">
        <v>15166</v>
      </c>
      <c r="B4881" s="3" t="s">
        <v>316</v>
      </c>
      <c r="C4881" s="3" t="s">
        <v>1342</v>
      </c>
      <c r="D4881" s="3" t="s">
        <v>68</v>
      </c>
      <c r="E4881" s="3" t="s">
        <v>100</v>
      </c>
      <c r="F4881" s="3" t="s">
        <v>985</v>
      </c>
      <c r="G4881" s="7">
        <v>46098.03201881331</v>
      </c>
    </row>
    <row r="4882">
      <c r="A4882" s="3" t="s">
        <v>15167</v>
      </c>
      <c r="B4882" s="3" t="s">
        <v>466</v>
      </c>
      <c r="C4882" s="3" t="s">
        <v>1342</v>
      </c>
      <c r="D4882" s="3" t="s">
        <v>68</v>
      </c>
      <c r="E4882" s="3" t="s">
        <v>100</v>
      </c>
      <c r="F4882" s="3" t="s">
        <v>1208</v>
      </c>
      <c r="G4882" s="7">
        <v>46098.10319365873</v>
      </c>
    </row>
    <row r="4883">
      <c r="A4883" s="3" t="s">
        <v>15169</v>
      </c>
      <c r="B4883" s="3" t="s">
        <v>756</v>
      </c>
      <c r="C4883" s="3" t="s">
        <v>1342</v>
      </c>
      <c r="D4883" s="3" t="s">
        <v>68</v>
      </c>
      <c r="E4883" s="3" t="s">
        <v>100</v>
      </c>
      <c r="F4883" s="3" t="s">
        <v>1530</v>
      </c>
      <c r="G4883" s="7">
        <v>46098.17436850414</v>
      </c>
    </row>
    <row r="4884">
      <c r="A4884" s="3" t="s">
        <v>15171</v>
      </c>
      <c r="B4884" s="3" t="s">
        <v>226</v>
      </c>
      <c r="C4884" s="3" t="s">
        <v>56</v>
      </c>
      <c r="D4884" s="3" t="s">
        <v>68</v>
      </c>
      <c r="E4884" s="3" t="s">
        <v>100</v>
      </c>
      <c r="F4884" s="3" t="s">
        <v>1685</v>
      </c>
      <c r="G4884" s="7">
        <v>46098.245543349556</v>
      </c>
    </row>
    <row r="4885">
      <c r="A4885" s="3" t="s">
        <v>15173</v>
      </c>
      <c r="B4885" s="3" t="s">
        <v>747</v>
      </c>
      <c r="C4885" s="3" t="s">
        <v>1342</v>
      </c>
      <c r="D4885" s="3" t="s">
        <v>68</v>
      </c>
      <c r="E4885" s="3" t="s">
        <v>100</v>
      </c>
      <c r="F4885" s="3" t="s">
        <v>932</v>
      </c>
      <c r="G4885" s="7">
        <v>46098.316718194976</v>
      </c>
    </row>
    <row r="4886">
      <c r="A4886" s="3" t="s">
        <v>15174</v>
      </c>
      <c r="B4886" s="3" t="s">
        <v>326</v>
      </c>
      <c r="C4886" s="3" t="s">
        <v>56</v>
      </c>
      <c r="D4886" s="3" t="s">
        <v>68</v>
      </c>
      <c r="E4886" s="3" t="s">
        <v>100</v>
      </c>
      <c r="F4886" s="3" t="s">
        <v>1687</v>
      </c>
      <c r="G4886" s="7">
        <v>46098.38789304039</v>
      </c>
    </row>
    <row r="4887">
      <c r="A4887" s="3" t="s">
        <v>15176</v>
      </c>
      <c r="B4887" s="3" t="s">
        <v>773</v>
      </c>
      <c r="C4887" s="3" t="s">
        <v>1342</v>
      </c>
      <c r="D4887" s="3" t="s">
        <v>68</v>
      </c>
      <c r="E4887" s="3" t="s">
        <v>100</v>
      </c>
      <c r="F4887" s="3" t="s">
        <v>2085</v>
      </c>
      <c r="G4887" s="7">
        <v>46098.4590678858</v>
      </c>
    </row>
    <row r="4888">
      <c r="A4888" s="3" t="s">
        <v>15178</v>
      </c>
      <c r="B4888" s="3" t="s">
        <v>934</v>
      </c>
      <c r="C4888" s="3" t="s">
        <v>1342</v>
      </c>
      <c r="D4888" s="3" t="s">
        <v>181</v>
      </c>
      <c r="E4888" s="3" t="s">
        <v>45</v>
      </c>
      <c r="F4888" s="3" t="s">
        <v>1498</v>
      </c>
      <c r="G4888" s="7">
        <v>46098.53024273122</v>
      </c>
    </row>
    <row r="4889">
      <c r="A4889" s="3" t="s">
        <v>15180</v>
      </c>
      <c r="B4889" s="3" t="s">
        <v>652</v>
      </c>
      <c r="C4889" s="3" t="s">
        <v>1095</v>
      </c>
      <c r="D4889" s="3" t="s">
        <v>68</v>
      </c>
      <c r="E4889" s="3" t="s">
        <v>100</v>
      </c>
      <c r="F4889" s="3" t="s">
        <v>1094</v>
      </c>
      <c r="G4889" s="7">
        <v>46098.60141757663</v>
      </c>
    </row>
    <row r="4890">
      <c r="A4890" s="3" t="s">
        <v>15181</v>
      </c>
      <c r="B4890" s="3" t="s">
        <v>911</v>
      </c>
      <c r="C4890" s="3" t="s">
        <v>1342</v>
      </c>
      <c r="D4890" s="3" t="s">
        <v>68</v>
      </c>
      <c r="E4890" s="3" t="s">
        <v>100</v>
      </c>
      <c r="F4890" s="3" t="s">
        <v>1961</v>
      </c>
      <c r="G4890" s="7">
        <v>46098.672592422045</v>
      </c>
    </row>
    <row r="4891">
      <c r="A4891" s="3" t="s">
        <v>15184</v>
      </c>
      <c r="B4891" s="3" t="s">
        <v>141</v>
      </c>
      <c r="C4891" s="3" t="s">
        <v>56</v>
      </c>
      <c r="D4891" s="3" t="s">
        <v>68</v>
      </c>
      <c r="E4891" s="3" t="s">
        <v>100</v>
      </c>
      <c r="F4891" s="3" t="s">
        <v>1690</v>
      </c>
      <c r="G4891" s="7">
        <v>46098.743767267464</v>
      </c>
    </row>
    <row r="4892">
      <c r="A4892" s="3" t="s">
        <v>15186</v>
      </c>
      <c r="B4892" s="3" t="s">
        <v>424</v>
      </c>
      <c r="C4892" s="3" t="s">
        <v>1342</v>
      </c>
      <c r="D4892" s="3" t="s">
        <v>195</v>
      </c>
      <c r="E4892" s="3" t="s">
        <v>45</v>
      </c>
      <c r="F4892" s="3" t="s">
        <v>1579</v>
      </c>
      <c r="G4892" s="7">
        <v>46098.81494211288</v>
      </c>
    </row>
    <row r="4893">
      <c r="A4893" s="3" t="s">
        <v>15188</v>
      </c>
      <c r="B4893" s="3" t="s">
        <v>632</v>
      </c>
      <c r="C4893" s="3" t="s">
        <v>1095</v>
      </c>
      <c r="D4893" s="3" t="s">
        <v>68</v>
      </c>
      <c r="E4893" s="3" t="s">
        <v>100</v>
      </c>
      <c r="F4893" s="3" t="s">
        <v>1521</v>
      </c>
      <c r="G4893" s="7">
        <v>46098.88611695829</v>
      </c>
    </row>
    <row r="4894">
      <c r="A4894" s="3" t="s">
        <v>15191</v>
      </c>
      <c r="B4894" s="3" t="s">
        <v>468</v>
      </c>
      <c r="C4894" s="3" t="s">
        <v>1342</v>
      </c>
      <c r="D4894" s="3" t="s">
        <v>68</v>
      </c>
      <c r="E4894" s="3" t="s">
        <v>100</v>
      </c>
      <c r="F4894" s="3" t="s">
        <v>1204</v>
      </c>
      <c r="G4894" s="7">
        <v>46098.95729180371</v>
      </c>
    </row>
    <row r="4895">
      <c r="A4895" s="3" t="s">
        <v>15193</v>
      </c>
      <c r="B4895" s="3" t="s">
        <v>906</v>
      </c>
      <c r="C4895" s="3" t="s">
        <v>1342</v>
      </c>
      <c r="D4895" s="3" t="s">
        <v>195</v>
      </c>
      <c r="E4895" s="3" t="s">
        <v>45</v>
      </c>
      <c r="F4895" s="3" t="s">
        <v>1901</v>
      </c>
      <c r="G4895" s="7">
        <v>46099.02846664912</v>
      </c>
    </row>
    <row r="4896">
      <c r="A4896" s="3" t="s">
        <v>15195</v>
      </c>
      <c r="B4896" s="3" t="s">
        <v>527</v>
      </c>
      <c r="C4896" s="3" t="s">
        <v>1342</v>
      </c>
      <c r="D4896" s="3" t="s">
        <v>68</v>
      </c>
      <c r="E4896" s="3" t="s">
        <v>100</v>
      </c>
      <c r="F4896" s="3" t="s">
        <v>1322</v>
      </c>
      <c r="G4896" s="7">
        <v>46099.09964149453</v>
      </c>
    </row>
    <row r="4897">
      <c r="A4897" s="3" t="s">
        <v>15198</v>
      </c>
      <c r="B4897" s="3" t="s">
        <v>202</v>
      </c>
      <c r="C4897" s="3" t="s">
        <v>56</v>
      </c>
      <c r="D4897" s="3" t="s">
        <v>68</v>
      </c>
      <c r="E4897" s="3" t="s">
        <v>100</v>
      </c>
      <c r="F4897" s="3" t="s">
        <v>1691</v>
      </c>
      <c r="G4897" s="7">
        <v>46099.17081633995</v>
      </c>
    </row>
    <row r="4898">
      <c r="A4898" s="3" t="s">
        <v>15200</v>
      </c>
      <c r="B4898" s="3" t="s">
        <v>204</v>
      </c>
      <c r="C4898" s="3" t="s">
        <v>56</v>
      </c>
      <c r="D4898" s="3" t="s">
        <v>68</v>
      </c>
      <c r="E4898" s="3" t="s">
        <v>100</v>
      </c>
      <c r="F4898" s="3" t="s">
        <v>1694</v>
      </c>
      <c r="G4898" s="7">
        <v>46099.24199118537</v>
      </c>
    </row>
    <row r="4899">
      <c r="A4899" s="3" t="s">
        <v>15202</v>
      </c>
      <c r="B4899" s="3" t="s">
        <v>233</v>
      </c>
      <c r="C4899" s="3" t="s">
        <v>1095</v>
      </c>
      <c r="D4899" s="3" t="s">
        <v>68</v>
      </c>
      <c r="E4899" s="3" t="s">
        <v>100</v>
      </c>
      <c r="F4899" s="3" t="s">
        <v>1460</v>
      </c>
      <c r="G4899" s="7">
        <v>46099.31316603078</v>
      </c>
    </row>
    <row r="4900">
      <c r="A4900" s="3" t="s">
        <v>15205</v>
      </c>
      <c r="B4900" s="3" t="s">
        <v>400</v>
      </c>
      <c r="C4900" s="3" t="s">
        <v>1342</v>
      </c>
      <c r="D4900" s="3" t="s">
        <v>195</v>
      </c>
      <c r="E4900" s="3" t="s">
        <v>45</v>
      </c>
      <c r="F4900" s="3" t="s">
        <v>1619</v>
      </c>
      <c r="G4900" s="7">
        <v>46099.3843408762</v>
      </c>
    </row>
    <row r="4901">
      <c r="A4901" s="3" t="s">
        <v>15208</v>
      </c>
      <c r="B4901" s="3" t="s">
        <v>505</v>
      </c>
      <c r="C4901" s="3" t="s">
        <v>1095</v>
      </c>
      <c r="D4901" s="3" t="s">
        <v>68</v>
      </c>
      <c r="E4901" s="3" t="s">
        <v>100</v>
      </c>
      <c r="F4901" s="3" t="s">
        <v>1462</v>
      </c>
      <c r="G4901" s="7">
        <v>46099.45551572162</v>
      </c>
    </row>
    <row r="4902">
      <c r="A4902" s="3" t="s">
        <v>15211</v>
      </c>
      <c r="B4902" s="3" t="s">
        <v>629</v>
      </c>
      <c r="C4902" s="3" t="s">
        <v>56</v>
      </c>
      <c r="D4902" s="3" t="s">
        <v>68</v>
      </c>
      <c r="E4902" s="3" t="s">
        <v>100</v>
      </c>
      <c r="F4902" s="3" t="s">
        <v>1697</v>
      </c>
      <c r="G4902" s="7">
        <v>46099.52669056703</v>
      </c>
    </row>
    <row r="4903">
      <c r="A4903" s="3" t="s">
        <v>15214</v>
      </c>
      <c r="B4903" s="3" t="s">
        <v>586</v>
      </c>
      <c r="C4903" s="3" t="s">
        <v>1342</v>
      </c>
      <c r="D4903" s="3" t="s">
        <v>68</v>
      </c>
      <c r="E4903" s="3" t="s">
        <v>100</v>
      </c>
      <c r="F4903" s="3" t="s">
        <v>1627</v>
      </c>
      <c r="G4903" s="7">
        <v>46099.59786541244</v>
      </c>
    </row>
    <row r="4904">
      <c r="A4904" s="3" t="s">
        <v>15217</v>
      </c>
      <c r="B4904" s="3" t="s">
        <v>657</v>
      </c>
      <c r="C4904" s="3" t="s">
        <v>1342</v>
      </c>
      <c r="D4904" s="3" t="s">
        <v>68</v>
      </c>
      <c r="E4904" s="3" t="s">
        <v>100</v>
      </c>
      <c r="F4904" s="3" t="s">
        <v>1674</v>
      </c>
      <c r="G4904" s="7">
        <v>46099.66904025786</v>
      </c>
    </row>
    <row r="4905">
      <c r="A4905" s="3" t="s">
        <v>15220</v>
      </c>
      <c r="B4905" s="3" t="s">
        <v>260</v>
      </c>
      <c r="C4905" s="3" t="s">
        <v>56</v>
      </c>
      <c r="D4905" s="3" t="s">
        <v>68</v>
      </c>
      <c r="E4905" s="3" t="s">
        <v>100</v>
      </c>
      <c r="F4905" s="3" t="s">
        <v>1699</v>
      </c>
      <c r="G4905" s="7">
        <v>46099.74021510327</v>
      </c>
    </row>
    <row r="4906">
      <c r="A4906" s="3" t="s">
        <v>15223</v>
      </c>
      <c r="B4906" s="3" t="s">
        <v>316</v>
      </c>
      <c r="C4906" s="3" t="s">
        <v>1342</v>
      </c>
      <c r="D4906" s="3" t="s">
        <v>68</v>
      </c>
      <c r="E4906" s="3" t="s">
        <v>100</v>
      </c>
      <c r="F4906" s="3" t="s">
        <v>985</v>
      </c>
      <c r="G4906" s="7">
        <v>46099.811389948685</v>
      </c>
    </row>
    <row r="4907">
      <c r="A4907" s="3" t="s">
        <v>15225</v>
      </c>
      <c r="B4907" s="3" t="s">
        <v>727</v>
      </c>
      <c r="C4907" s="3" t="s">
        <v>1342</v>
      </c>
      <c r="D4907" s="3" t="s">
        <v>68</v>
      </c>
      <c r="E4907" s="3" t="s">
        <v>100</v>
      </c>
      <c r="F4907" s="3" t="s">
        <v>1684</v>
      </c>
      <c r="G4907" s="7">
        <v>46099.882564794105</v>
      </c>
    </row>
    <row r="4908">
      <c r="A4908" s="3" t="s">
        <v>15227</v>
      </c>
      <c r="B4908" s="3" t="s">
        <v>773</v>
      </c>
      <c r="C4908" s="3" t="s">
        <v>1342</v>
      </c>
      <c r="D4908" s="3" t="s">
        <v>68</v>
      </c>
      <c r="E4908" s="3" t="s">
        <v>100</v>
      </c>
      <c r="F4908" s="3" t="s">
        <v>2085</v>
      </c>
      <c r="G4908" s="7">
        <v>46099.953739639524</v>
      </c>
    </row>
    <row r="4909">
      <c r="A4909" s="3" t="s">
        <v>15230</v>
      </c>
      <c r="B4909" s="3" t="s">
        <v>250</v>
      </c>
      <c r="C4909" s="3" t="s">
        <v>56</v>
      </c>
      <c r="D4909" s="3" t="s">
        <v>68</v>
      </c>
      <c r="E4909" s="3" t="s">
        <v>100</v>
      </c>
      <c r="F4909" s="3" t="s">
        <v>1701</v>
      </c>
      <c r="G4909" s="7">
        <v>46100.02491448493</v>
      </c>
    </row>
    <row r="4910">
      <c r="A4910" s="3" t="s">
        <v>15233</v>
      </c>
      <c r="B4910" s="3" t="s">
        <v>446</v>
      </c>
      <c r="C4910" s="3" t="s">
        <v>56</v>
      </c>
      <c r="D4910" s="3" t="s">
        <v>68</v>
      </c>
      <c r="E4910" s="3" t="s">
        <v>100</v>
      </c>
      <c r="F4910" s="3" t="s">
        <v>1704</v>
      </c>
      <c r="G4910" s="7">
        <v>46100.09608933035</v>
      </c>
    </row>
    <row r="4911">
      <c r="A4911" s="3" t="s">
        <v>15235</v>
      </c>
      <c r="B4911" s="3" t="s">
        <v>145</v>
      </c>
      <c r="C4911" s="3" t="s">
        <v>1095</v>
      </c>
      <c r="D4911" s="3" t="s">
        <v>68</v>
      </c>
      <c r="E4911" s="3" t="s">
        <v>100</v>
      </c>
      <c r="F4911" s="3" t="s">
        <v>1254</v>
      </c>
      <c r="G4911" s="7">
        <v>46100.16726417576</v>
      </c>
    </row>
    <row r="4912">
      <c r="A4912" s="3" t="s">
        <v>15236</v>
      </c>
      <c r="B4912" s="3" t="s">
        <v>554</v>
      </c>
      <c r="C4912" s="3" t="s">
        <v>56</v>
      </c>
      <c r="D4912" s="3" t="s">
        <v>68</v>
      </c>
      <c r="E4912" s="3" t="s">
        <v>100</v>
      </c>
      <c r="F4912" s="3" t="s">
        <v>1706</v>
      </c>
      <c r="G4912" s="7">
        <v>46100.23843902118</v>
      </c>
    </row>
    <row r="4913">
      <c r="A4913" s="3" t="s">
        <v>15238</v>
      </c>
      <c r="B4913" s="3" t="s">
        <v>322</v>
      </c>
      <c r="C4913" s="3" t="s">
        <v>1095</v>
      </c>
      <c r="D4913" s="3" t="s">
        <v>68</v>
      </c>
      <c r="E4913" s="3" t="s">
        <v>100</v>
      </c>
      <c r="F4913" s="3" t="s">
        <v>1480</v>
      </c>
      <c r="G4913" s="7">
        <v>46100.30961386659</v>
      </c>
    </row>
    <row r="4914">
      <c r="A4914" s="3" t="s">
        <v>15241</v>
      </c>
      <c r="B4914" s="3" t="s">
        <v>845</v>
      </c>
      <c r="C4914" s="3" t="s">
        <v>1095</v>
      </c>
      <c r="D4914" s="3" t="s">
        <v>195</v>
      </c>
      <c r="E4914" s="3" t="s">
        <v>45</v>
      </c>
      <c r="F4914" s="3" t="s">
        <v>1380</v>
      </c>
      <c r="G4914" s="7">
        <v>46100.38078871201</v>
      </c>
    </row>
    <row r="4915">
      <c r="A4915" s="3" t="s">
        <v>15243</v>
      </c>
      <c r="B4915" s="3" t="s">
        <v>770</v>
      </c>
      <c r="C4915" s="3" t="s">
        <v>1342</v>
      </c>
      <c r="D4915" s="3" t="s">
        <v>68</v>
      </c>
      <c r="E4915" s="3" t="s">
        <v>100</v>
      </c>
      <c r="F4915" s="3" t="s">
        <v>1408</v>
      </c>
      <c r="G4915" s="7">
        <v>46100.45196355742</v>
      </c>
    </row>
    <row r="4916">
      <c r="A4916" s="3" t="s">
        <v>15245</v>
      </c>
      <c r="B4916" s="3" t="s">
        <v>151</v>
      </c>
      <c r="C4916" s="3" t="s">
        <v>56</v>
      </c>
      <c r="D4916" s="3" t="s">
        <v>68</v>
      </c>
      <c r="E4916" s="3" t="s">
        <v>100</v>
      </c>
      <c r="F4916" s="3" t="s">
        <v>1709</v>
      </c>
      <c r="G4916" s="7">
        <v>46100.52313840284</v>
      </c>
    </row>
    <row r="4917">
      <c r="A4917" s="3" t="s">
        <v>15248</v>
      </c>
      <c r="B4917" s="3" t="s">
        <v>168</v>
      </c>
      <c r="C4917" s="3" t="s">
        <v>56</v>
      </c>
      <c r="D4917" s="3" t="s">
        <v>68</v>
      </c>
      <c r="E4917" s="3" t="s">
        <v>100</v>
      </c>
      <c r="F4917" s="3" t="s">
        <v>1712</v>
      </c>
      <c r="G4917" s="7">
        <v>46100.59431324826</v>
      </c>
    </row>
    <row r="4918">
      <c r="A4918" s="3" t="s">
        <v>15251</v>
      </c>
      <c r="B4918" s="3" t="s">
        <v>841</v>
      </c>
      <c r="C4918" s="3" t="s">
        <v>56</v>
      </c>
      <c r="D4918" s="3" t="s">
        <v>68</v>
      </c>
      <c r="E4918" s="3" t="s">
        <v>100</v>
      </c>
      <c r="F4918" s="3" t="s">
        <v>1713</v>
      </c>
      <c r="G4918" s="7">
        <v>46100.66548809367</v>
      </c>
    </row>
    <row r="4919">
      <c r="A4919" s="3" t="s">
        <v>15253</v>
      </c>
      <c r="B4919" s="3" t="s">
        <v>756</v>
      </c>
      <c r="C4919" s="3" t="s">
        <v>1095</v>
      </c>
      <c r="D4919" s="3" t="s">
        <v>68</v>
      </c>
      <c r="E4919" s="3" t="s">
        <v>100</v>
      </c>
      <c r="F4919" s="3" t="s">
        <v>1530</v>
      </c>
      <c r="G4919" s="7">
        <v>46100.73666293908</v>
      </c>
    </row>
    <row r="4920">
      <c r="A4920" s="3" t="s">
        <v>15255</v>
      </c>
      <c r="B4920" s="3" t="s">
        <v>735</v>
      </c>
      <c r="C4920" s="3" t="s">
        <v>56</v>
      </c>
      <c r="D4920" s="3" t="s">
        <v>68</v>
      </c>
      <c r="E4920" s="3" t="s">
        <v>100</v>
      </c>
      <c r="F4920" s="3" t="s">
        <v>1715</v>
      </c>
      <c r="G4920" s="7">
        <v>46100.8078377845</v>
      </c>
    </row>
    <row r="4921">
      <c r="A4921" s="3" t="s">
        <v>15258</v>
      </c>
      <c r="B4921" s="3" t="s">
        <v>516</v>
      </c>
      <c r="C4921" s="3" t="s">
        <v>56</v>
      </c>
      <c r="D4921" s="3" t="s">
        <v>68</v>
      </c>
      <c r="E4921" s="3" t="s">
        <v>100</v>
      </c>
      <c r="F4921" s="3" t="s">
        <v>1718</v>
      </c>
      <c r="G4921" s="7">
        <v>46100.87901262991</v>
      </c>
    </row>
    <row r="4922">
      <c r="A4922" s="3" t="s">
        <v>15261</v>
      </c>
      <c r="B4922" s="3" t="s">
        <v>864</v>
      </c>
      <c r="C4922" s="3" t="s">
        <v>1095</v>
      </c>
      <c r="D4922" s="3" t="s">
        <v>68</v>
      </c>
      <c r="E4922" s="3" t="s">
        <v>100</v>
      </c>
      <c r="F4922" s="3" t="s">
        <v>1125</v>
      </c>
      <c r="G4922" s="7">
        <v>46100.950187475326</v>
      </c>
    </row>
    <row r="4923">
      <c r="A4923" s="3" t="s">
        <v>15264</v>
      </c>
      <c r="B4923" s="3" t="s">
        <v>151</v>
      </c>
      <c r="C4923" s="3" t="s">
        <v>1095</v>
      </c>
      <c r="D4923" s="3" t="s">
        <v>181</v>
      </c>
      <c r="E4923" s="3" t="s">
        <v>45</v>
      </c>
      <c r="F4923" s="3" t="s">
        <v>1709</v>
      </c>
      <c r="G4923" s="7">
        <v>46101.021362320746</v>
      </c>
    </row>
    <row r="4924">
      <c r="A4924" s="3" t="s">
        <v>15267</v>
      </c>
      <c r="B4924" s="3" t="s">
        <v>793</v>
      </c>
      <c r="C4924" s="3" t="s">
        <v>1342</v>
      </c>
      <c r="D4924" s="3" t="s">
        <v>68</v>
      </c>
      <c r="E4924" s="3" t="s">
        <v>100</v>
      </c>
      <c r="F4924" s="3" t="s">
        <v>1429</v>
      </c>
      <c r="G4924" s="7">
        <v>46101.092537166165</v>
      </c>
    </row>
    <row r="4925">
      <c r="A4925" s="3" t="s">
        <v>15269</v>
      </c>
      <c r="B4925" s="3" t="s">
        <v>645</v>
      </c>
      <c r="C4925" s="3" t="s">
        <v>1342</v>
      </c>
      <c r="D4925" s="3" t="s">
        <v>68</v>
      </c>
      <c r="E4925" s="3" t="s">
        <v>100</v>
      </c>
      <c r="F4925" s="3" t="s">
        <v>526</v>
      </c>
      <c r="G4925" s="7">
        <v>46101.16371201157</v>
      </c>
    </row>
    <row r="4926">
      <c r="A4926" s="3" t="s">
        <v>15271</v>
      </c>
      <c r="B4926" s="3" t="s">
        <v>243</v>
      </c>
      <c r="C4926" s="3" t="s">
        <v>1095</v>
      </c>
      <c r="D4926" s="3" t="s">
        <v>68</v>
      </c>
      <c r="E4926" s="3" t="s">
        <v>100</v>
      </c>
      <c r="F4926" s="3" t="s">
        <v>1488</v>
      </c>
      <c r="G4926" s="7">
        <v>46101.23488685699</v>
      </c>
    </row>
    <row r="4927">
      <c r="A4927" s="3" t="s">
        <v>15274</v>
      </c>
      <c r="B4927" s="3" t="s">
        <v>708</v>
      </c>
      <c r="C4927" s="3" t="s">
        <v>1342</v>
      </c>
      <c r="D4927" s="3" t="s">
        <v>68</v>
      </c>
      <c r="E4927" s="3" t="s">
        <v>100</v>
      </c>
      <c r="F4927" s="3" t="s">
        <v>2041</v>
      </c>
      <c r="G4927" s="7">
        <v>46101.30606170241</v>
      </c>
    </row>
    <row r="4928">
      <c r="A4928" s="3" t="s">
        <v>15277</v>
      </c>
      <c r="B4928" s="3" t="s">
        <v>957</v>
      </c>
      <c r="C4928" s="3" t="s">
        <v>56</v>
      </c>
      <c r="D4928" s="3" t="s">
        <v>68</v>
      </c>
      <c r="E4928" s="3" t="s">
        <v>100</v>
      </c>
      <c r="F4928" s="3" t="s">
        <v>1720</v>
      </c>
      <c r="G4928" s="7">
        <v>46101.37723654782</v>
      </c>
    </row>
    <row r="4929">
      <c r="A4929" s="3" t="s">
        <v>15278</v>
      </c>
      <c r="B4929" s="3" t="s">
        <v>676</v>
      </c>
      <c r="C4929" s="3" t="s">
        <v>1095</v>
      </c>
      <c r="D4929" s="3" t="s">
        <v>68</v>
      </c>
      <c r="E4929" s="3" t="s">
        <v>100</v>
      </c>
      <c r="F4929" s="3" t="s">
        <v>1762</v>
      </c>
      <c r="G4929" s="7">
        <v>46101.448411393234</v>
      </c>
    </row>
    <row r="4930">
      <c r="A4930" s="3" t="s">
        <v>15282</v>
      </c>
      <c r="B4930" s="3" t="s">
        <v>934</v>
      </c>
      <c r="C4930" s="3" t="s">
        <v>1342</v>
      </c>
      <c r="D4930" s="3" t="s">
        <v>181</v>
      </c>
      <c r="E4930" s="3" t="s">
        <v>45</v>
      </c>
      <c r="F4930" s="3" t="s">
        <v>1498</v>
      </c>
      <c r="G4930" s="7">
        <v>46101.51958623865</v>
      </c>
    </row>
    <row r="4931">
      <c r="A4931" s="3" t="s">
        <v>15286</v>
      </c>
      <c r="B4931" s="3" t="s">
        <v>972</v>
      </c>
      <c r="C4931" s="3" t="s">
        <v>1095</v>
      </c>
      <c r="D4931" s="3" t="s">
        <v>68</v>
      </c>
      <c r="E4931" s="3" t="s">
        <v>100</v>
      </c>
      <c r="F4931" s="3" t="s">
        <v>1259</v>
      </c>
      <c r="G4931" s="7">
        <v>46101.590761084066</v>
      </c>
    </row>
    <row r="4932">
      <c r="A4932" s="3" t="s">
        <v>15289</v>
      </c>
      <c r="B4932" s="3" t="s">
        <v>767</v>
      </c>
      <c r="C4932" s="3" t="s">
        <v>1342</v>
      </c>
      <c r="D4932" s="3" t="s">
        <v>68</v>
      </c>
      <c r="E4932" s="3" t="s">
        <v>100</v>
      </c>
      <c r="F4932" s="3" t="s">
        <v>1636</v>
      </c>
      <c r="G4932" s="7">
        <v>46101.66193592948</v>
      </c>
    </row>
    <row r="4933">
      <c r="A4933" s="3" t="s">
        <v>15292</v>
      </c>
      <c r="B4933" s="3" t="s">
        <v>1030</v>
      </c>
      <c r="C4933" s="3" t="s">
        <v>1342</v>
      </c>
      <c r="D4933" s="3" t="s">
        <v>68</v>
      </c>
      <c r="E4933" s="3" t="s">
        <v>100</v>
      </c>
      <c r="F4933" s="3" t="s">
        <v>808</v>
      </c>
      <c r="G4933" s="7">
        <v>46101.7331107749</v>
      </c>
    </row>
    <row r="4934">
      <c r="A4934" s="3" t="s">
        <v>15296</v>
      </c>
      <c r="B4934" s="3" t="s">
        <v>713</v>
      </c>
      <c r="C4934" s="3" t="s">
        <v>1342</v>
      </c>
      <c r="D4934" s="3" t="s">
        <v>68</v>
      </c>
      <c r="E4934" s="3" t="s">
        <v>100</v>
      </c>
      <c r="F4934" s="3" t="s">
        <v>1679</v>
      </c>
      <c r="G4934" s="7">
        <v>46101.80428562031</v>
      </c>
    </row>
    <row r="4935">
      <c r="A4935" s="3" t="s">
        <v>15299</v>
      </c>
      <c r="B4935" s="3" t="s">
        <v>765</v>
      </c>
      <c r="C4935" s="3" t="s">
        <v>1342</v>
      </c>
      <c r="D4935" s="3" t="s">
        <v>68</v>
      </c>
      <c r="E4935" s="3" t="s">
        <v>100</v>
      </c>
      <c r="F4935" s="3" t="s">
        <v>2088</v>
      </c>
      <c r="G4935" s="7">
        <v>46101.87546046572</v>
      </c>
    </row>
    <row r="4936">
      <c r="A4936" s="3" t="s">
        <v>15301</v>
      </c>
      <c r="B4936" s="3" t="s">
        <v>472</v>
      </c>
      <c r="C4936" s="3" t="s">
        <v>56</v>
      </c>
      <c r="D4936" s="3" t="s">
        <v>68</v>
      </c>
      <c r="E4936" s="3" t="s">
        <v>100</v>
      </c>
      <c r="F4936" s="3" t="s">
        <v>1722</v>
      </c>
      <c r="G4936" s="7">
        <v>46101.94663531114</v>
      </c>
    </row>
    <row r="4937">
      <c r="A4937" s="3" t="s">
        <v>15304</v>
      </c>
      <c r="B4937" s="3" t="s">
        <v>388</v>
      </c>
      <c r="C4937" s="3" t="s">
        <v>1342</v>
      </c>
      <c r="D4937" s="3" t="s">
        <v>181</v>
      </c>
      <c r="E4937" s="3" t="s">
        <v>45</v>
      </c>
      <c r="F4937" s="3" t="s">
        <v>1232</v>
      </c>
      <c r="G4937" s="7">
        <v>46102.017810156554</v>
      </c>
    </row>
    <row r="4938">
      <c r="A4938" s="3" t="s">
        <v>15306</v>
      </c>
      <c r="B4938" s="3" t="s">
        <v>1021</v>
      </c>
      <c r="C4938" s="3" t="s">
        <v>1342</v>
      </c>
      <c r="D4938" s="3" t="s">
        <v>68</v>
      </c>
      <c r="E4938" s="3" t="s">
        <v>100</v>
      </c>
      <c r="F4938" s="3" t="s">
        <v>1671</v>
      </c>
      <c r="G4938" s="7">
        <v>46102.08898500197</v>
      </c>
    </row>
    <row r="4939">
      <c r="A4939" s="3" t="s">
        <v>15310</v>
      </c>
      <c r="B4939" s="3" t="s">
        <v>440</v>
      </c>
      <c r="C4939" s="3" t="s">
        <v>1342</v>
      </c>
      <c r="D4939" s="3" t="s">
        <v>68</v>
      </c>
      <c r="E4939" s="3" t="s">
        <v>100</v>
      </c>
      <c r="F4939" s="3" t="s">
        <v>780</v>
      </c>
      <c r="G4939" s="7">
        <v>46102.160159847386</v>
      </c>
    </row>
    <row r="4940">
      <c r="A4940" s="3" t="s">
        <v>15313</v>
      </c>
      <c r="B4940" s="3" t="s">
        <v>1040</v>
      </c>
      <c r="C4940" s="3" t="s">
        <v>56</v>
      </c>
      <c r="D4940" s="3" t="s">
        <v>68</v>
      </c>
      <c r="E4940" s="3" t="s">
        <v>100</v>
      </c>
      <c r="F4940" s="3" t="s">
        <v>1724</v>
      </c>
      <c r="G4940" s="7">
        <v>46102.231334692806</v>
      </c>
    </row>
    <row r="4941">
      <c r="A4941" s="3" t="s">
        <v>15316</v>
      </c>
      <c r="B4941" s="3" t="s">
        <v>280</v>
      </c>
      <c r="C4941" s="3" t="s">
        <v>1342</v>
      </c>
      <c r="D4941" s="3" t="s">
        <v>195</v>
      </c>
      <c r="E4941" s="3" t="s">
        <v>45</v>
      </c>
      <c r="F4941" s="3" t="s">
        <v>1661</v>
      </c>
      <c r="G4941" s="7">
        <v>46102.30250953821</v>
      </c>
    </row>
    <row r="4942">
      <c r="A4942" s="3" t="s">
        <v>15319</v>
      </c>
      <c r="B4942" s="3" t="s">
        <v>440</v>
      </c>
      <c r="C4942" s="3" t="s">
        <v>1095</v>
      </c>
      <c r="D4942" s="3" t="s">
        <v>68</v>
      </c>
      <c r="E4942" s="3" t="s">
        <v>100</v>
      </c>
      <c r="F4942" s="3" t="s">
        <v>780</v>
      </c>
      <c r="G4942" s="7">
        <v>46102.37368438363</v>
      </c>
    </row>
    <row r="4943">
      <c r="A4943" s="3" t="s">
        <v>15321</v>
      </c>
      <c r="B4943" s="3" t="s">
        <v>587</v>
      </c>
      <c r="C4943" s="3" t="s">
        <v>1342</v>
      </c>
      <c r="D4943" s="3" t="s">
        <v>68</v>
      </c>
      <c r="E4943" s="3" t="s">
        <v>100</v>
      </c>
      <c r="F4943" s="3" t="s">
        <v>633</v>
      </c>
      <c r="G4943" s="7">
        <v>46102.44485922905</v>
      </c>
    </row>
    <row r="4944">
      <c r="A4944" s="3" t="s">
        <v>15323</v>
      </c>
      <c r="B4944" s="3" t="s">
        <v>276</v>
      </c>
      <c r="C4944" s="3" t="s">
        <v>1342</v>
      </c>
      <c r="D4944" s="3" t="s">
        <v>68</v>
      </c>
      <c r="E4944" s="3" t="s">
        <v>100</v>
      </c>
      <c r="F4944" s="3" t="s">
        <v>1438</v>
      </c>
      <c r="G4944" s="7">
        <v>46102.51603407446</v>
      </c>
    </row>
    <row r="4945">
      <c r="A4945" s="3" t="s">
        <v>15326</v>
      </c>
      <c r="B4945" s="3" t="s">
        <v>475</v>
      </c>
      <c r="C4945" s="3" t="s">
        <v>1342</v>
      </c>
      <c r="D4945" s="3" t="s">
        <v>68</v>
      </c>
      <c r="E4945" s="3" t="s">
        <v>100</v>
      </c>
      <c r="F4945" s="3" t="s">
        <v>1576</v>
      </c>
      <c r="G4945" s="7">
        <v>46102.587208919875</v>
      </c>
    </row>
    <row r="4946">
      <c r="A4946" s="3" t="s">
        <v>15329</v>
      </c>
      <c r="B4946" s="3" t="s">
        <v>230</v>
      </c>
      <c r="C4946" s="3" t="s">
        <v>1095</v>
      </c>
      <c r="D4946" s="3" t="s">
        <v>68</v>
      </c>
      <c r="E4946" s="3" t="s">
        <v>100</v>
      </c>
      <c r="F4946" s="3" t="s">
        <v>1148</v>
      </c>
      <c r="G4946" s="7">
        <v>46102.658383765294</v>
      </c>
    </row>
    <row r="4947">
      <c r="A4947" s="3" t="s">
        <v>15332</v>
      </c>
      <c r="B4947" s="3" t="s">
        <v>400</v>
      </c>
      <c r="C4947" s="3" t="s">
        <v>1095</v>
      </c>
      <c r="D4947" s="3" t="s">
        <v>195</v>
      </c>
      <c r="E4947" s="3" t="s">
        <v>45</v>
      </c>
      <c r="F4947" s="3" t="s">
        <v>1619</v>
      </c>
      <c r="G4947" s="7">
        <v>46102.72955861071</v>
      </c>
    </row>
    <row r="4948">
      <c r="A4948" s="3" t="s">
        <v>15335</v>
      </c>
      <c r="B4948" s="3" t="s">
        <v>770</v>
      </c>
      <c r="C4948" s="3" t="s">
        <v>1342</v>
      </c>
      <c r="D4948" s="3" t="s">
        <v>68</v>
      </c>
      <c r="E4948" s="3" t="s">
        <v>100</v>
      </c>
      <c r="F4948" s="3" t="s">
        <v>1408</v>
      </c>
      <c r="G4948" s="7">
        <v>46102.80073345612</v>
      </c>
    </row>
    <row r="4949">
      <c r="A4949" s="3" t="s">
        <v>15339</v>
      </c>
      <c r="B4949" s="3" t="s">
        <v>860</v>
      </c>
      <c r="C4949" s="3" t="s">
        <v>1095</v>
      </c>
      <c r="D4949" s="3" t="s">
        <v>68</v>
      </c>
      <c r="E4949" s="3" t="s">
        <v>100</v>
      </c>
      <c r="F4949" s="3" t="s">
        <v>1601</v>
      </c>
      <c r="G4949" s="7">
        <v>46102.87190830154</v>
      </c>
    </row>
    <row r="4950">
      <c r="A4950" s="3" t="s">
        <v>15343</v>
      </c>
      <c r="B4950" s="3" t="s">
        <v>479</v>
      </c>
      <c r="C4950" s="3" t="s">
        <v>1095</v>
      </c>
      <c r="D4950" s="3" t="s">
        <v>68</v>
      </c>
      <c r="E4950" s="3" t="s">
        <v>100</v>
      </c>
      <c r="F4950" s="3" t="s">
        <v>1591</v>
      </c>
      <c r="G4950" s="7">
        <v>46102.94308314696</v>
      </c>
    </row>
    <row r="4951">
      <c r="A4951" s="3" t="s">
        <v>15346</v>
      </c>
      <c r="B4951" s="3" t="s">
        <v>460</v>
      </c>
      <c r="C4951" s="3" t="s">
        <v>1095</v>
      </c>
      <c r="D4951" s="3" t="s">
        <v>68</v>
      </c>
      <c r="E4951" s="3" t="s">
        <v>100</v>
      </c>
      <c r="F4951" s="3" t="s">
        <v>1242</v>
      </c>
      <c r="G4951" s="7">
        <v>46103.01425799236</v>
      </c>
    </row>
    <row r="4952">
      <c r="A4952" s="3" t="s">
        <v>15351</v>
      </c>
      <c r="B4952" s="3" t="s">
        <v>197</v>
      </c>
      <c r="C4952" s="3" t="s">
        <v>56</v>
      </c>
      <c r="D4952" s="3" t="s">
        <v>68</v>
      </c>
      <c r="E4952" s="3" t="s">
        <v>100</v>
      </c>
      <c r="F4952" s="3" t="s">
        <v>1726</v>
      </c>
      <c r="G4952" s="7">
        <v>46103.08543283778</v>
      </c>
    </row>
    <row r="4953">
      <c r="A4953" s="3" t="s">
        <v>15354</v>
      </c>
      <c r="B4953" s="3" t="s">
        <v>250</v>
      </c>
      <c r="C4953" s="3" t="s">
        <v>1342</v>
      </c>
      <c r="D4953" s="3" t="s">
        <v>181</v>
      </c>
      <c r="E4953" s="3" t="s">
        <v>45</v>
      </c>
      <c r="F4953" s="3" t="s">
        <v>1701</v>
      </c>
      <c r="G4953" s="7">
        <v>46103.156607683195</v>
      </c>
    </row>
    <row r="4954">
      <c r="A4954" s="3" t="s">
        <v>15357</v>
      </c>
      <c r="B4954" s="3" t="s">
        <v>913</v>
      </c>
      <c r="C4954" s="3" t="s">
        <v>56</v>
      </c>
      <c r="D4954" s="3" t="s">
        <v>68</v>
      </c>
      <c r="E4954" s="3" t="s">
        <v>100</v>
      </c>
      <c r="F4954" s="3" t="s">
        <v>1728</v>
      </c>
      <c r="G4954" s="7">
        <v>46103.227782528615</v>
      </c>
    </row>
    <row r="4955">
      <c r="A4955" s="3" t="s">
        <v>15360</v>
      </c>
      <c r="B4955" s="3" t="s">
        <v>637</v>
      </c>
      <c r="C4955" s="3" t="s">
        <v>56</v>
      </c>
      <c r="D4955" s="3" t="s">
        <v>68</v>
      </c>
      <c r="E4955" s="3" t="s">
        <v>100</v>
      </c>
      <c r="F4955" s="3" t="s">
        <v>1730</v>
      </c>
      <c r="G4955" s="7">
        <v>46103.29895737403</v>
      </c>
    </row>
    <row r="4956">
      <c r="A4956" s="3" t="s">
        <v>15365</v>
      </c>
      <c r="B4956" s="3" t="s">
        <v>380</v>
      </c>
      <c r="C4956" s="3" t="s">
        <v>1095</v>
      </c>
      <c r="D4956" s="3" t="s">
        <v>68</v>
      </c>
      <c r="E4956" s="3" t="s">
        <v>100</v>
      </c>
      <c r="F4956" s="3" t="s">
        <v>1485</v>
      </c>
      <c r="G4956" s="7">
        <v>46103.37013221945</v>
      </c>
    </row>
    <row r="4957">
      <c r="A4957" s="3" t="s">
        <v>15368</v>
      </c>
      <c r="B4957" s="3" t="s">
        <v>302</v>
      </c>
      <c r="C4957" s="3" t="s">
        <v>1342</v>
      </c>
      <c r="D4957" s="3" t="s">
        <v>68</v>
      </c>
      <c r="E4957" s="3" t="s">
        <v>100</v>
      </c>
      <c r="F4957" s="3" t="s">
        <v>1491</v>
      </c>
      <c r="G4957" s="7">
        <v>46103.44130706485</v>
      </c>
    </row>
    <row r="4958">
      <c r="A4958" s="3" t="s">
        <v>15371</v>
      </c>
      <c r="B4958" s="3" t="s">
        <v>519</v>
      </c>
      <c r="C4958" s="3" t="s">
        <v>56</v>
      </c>
      <c r="D4958" s="3" t="s">
        <v>68</v>
      </c>
      <c r="E4958" s="3" t="s">
        <v>100</v>
      </c>
      <c r="F4958" s="3" t="s">
        <v>1733</v>
      </c>
      <c r="G4958" s="7">
        <v>46103.51248191027</v>
      </c>
    </row>
    <row r="4959">
      <c r="A4959" s="3" t="s">
        <v>15375</v>
      </c>
      <c r="B4959" s="3" t="s">
        <v>662</v>
      </c>
      <c r="C4959" s="3" t="s">
        <v>56</v>
      </c>
      <c r="D4959" s="3" t="s">
        <v>68</v>
      </c>
      <c r="E4959" s="3" t="s">
        <v>100</v>
      </c>
      <c r="F4959" s="3" t="s">
        <v>1735</v>
      </c>
      <c r="G4959" s="7">
        <v>46103.58365675569</v>
      </c>
    </row>
    <row r="4960">
      <c r="A4960" s="3" t="s">
        <v>15379</v>
      </c>
      <c r="B4960" s="3" t="s">
        <v>796</v>
      </c>
      <c r="C4960" s="3" t="s">
        <v>1342</v>
      </c>
      <c r="D4960" s="3" t="s">
        <v>68</v>
      </c>
      <c r="E4960" s="3" t="s">
        <v>100</v>
      </c>
      <c r="F4960" s="3" t="s">
        <v>991</v>
      </c>
      <c r="G4960" s="7">
        <v>46103.6548316011</v>
      </c>
    </row>
    <row r="4961">
      <c r="A4961" s="3" t="s">
        <v>15382</v>
      </c>
      <c r="B4961" s="3" t="s">
        <v>643</v>
      </c>
      <c r="C4961" s="3" t="s">
        <v>1342</v>
      </c>
      <c r="D4961" s="3" t="s">
        <v>68</v>
      </c>
      <c r="E4961" s="3" t="s">
        <v>100</v>
      </c>
      <c r="F4961" s="3" t="s">
        <v>1570</v>
      </c>
      <c r="G4961" s="7">
        <v>46103.726006446515</v>
      </c>
    </row>
    <row r="4962">
      <c r="A4962" s="3" t="s">
        <v>15386</v>
      </c>
      <c r="B4962" s="3" t="s">
        <v>980</v>
      </c>
      <c r="C4962" s="3" t="s">
        <v>1095</v>
      </c>
      <c r="D4962" s="3" t="s">
        <v>68</v>
      </c>
      <c r="E4962" s="3" t="s">
        <v>100</v>
      </c>
      <c r="F4962" s="3" t="s">
        <v>1261</v>
      </c>
      <c r="G4962" s="7">
        <v>46103.797181291935</v>
      </c>
    </row>
    <row r="4963">
      <c r="A4963" s="3" t="s">
        <v>15390</v>
      </c>
      <c r="B4963" s="3" t="s">
        <v>965</v>
      </c>
      <c r="C4963" s="3" t="s">
        <v>1342</v>
      </c>
      <c r="D4963" s="3" t="s">
        <v>68</v>
      </c>
      <c r="E4963" s="3" t="s">
        <v>100</v>
      </c>
      <c r="F4963" s="3" t="s">
        <v>653</v>
      </c>
      <c r="G4963" s="7">
        <v>46103.86835613735</v>
      </c>
    </row>
    <row r="4964">
      <c r="A4964" s="3" t="s">
        <v>15393</v>
      </c>
      <c r="B4964" s="3" t="s">
        <v>341</v>
      </c>
      <c r="C4964" s="3" t="s">
        <v>56</v>
      </c>
      <c r="D4964" s="3" t="s">
        <v>195</v>
      </c>
      <c r="E4964" s="3" t="s">
        <v>45</v>
      </c>
      <c r="F4964" s="3" t="s">
        <v>45</v>
      </c>
      <c r="G4964" s="7">
        <v>46103.93953098276</v>
      </c>
    </row>
    <row r="4965">
      <c r="A4965" s="3" t="s">
        <v>15396</v>
      </c>
      <c r="B4965" s="3" t="s">
        <v>694</v>
      </c>
      <c r="C4965" s="3" t="s">
        <v>1095</v>
      </c>
      <c r="D4965" s="3" t="s">
        <v>68</v>
      </c>
      <c r="E4965" s="3" t="s">
        <v>100</v>
      </c>
      <c r="F4965" s="3" t="s">
        <v>1797</v>
      </c>
      <c r="G4965" s="7">
        <v>46104.01070582818</v>
      </c>
    </row>
    <row r="4966">
      <c r="A4966" s="3" t="s">
        <v>15401</v>
      </c>
      <c r="B4966" s="3" t="s">
        <v>404</v>
      </c>
      <c r="C4966" s="3" t="s">
        <v>1342</v>
      </c>
      <c r="D4966" s="3" t="s">
        <v>68</v>
      </c>
      <c r="E4966" s="3" t="s">
        <v>100</v>
      </c>
      <c r="F4966" s="3" t="s">
        <v>1081</v>
      </c>
      <c r="G4966" s="7">
        <v>46104.0818806736</v>
      </c>
    </row>
    <row r="4967">
      <c r="A4967" s="3" t="s">
        <v>15404</v>
      </c>
      <c r="B4967" s="3" t="s">
        <v>130</v>
      </c>
      <c r="C4967" s="3" t="s">
        <v>1342</v>
      </c>
      <c r="D4967" s="3" t="s">
        <v>68</v>
      </c>
      <c r="E4967" s="3" t="s">
        <v>100</v>
      </c>
      <c r="F4967" s="3" t="s">
        <v>1503</v>
      </c>
      <c r="G4967" s="7">
        <v>46104.153055519004</v>
      </c>
    </row>
    <row r="4968">
      <c r="A4968" s="3" t="s">
        <v>15407</v>
      </c>
      <c r="B4968" s="3" t="s">
        <v>1021</v>
      </c>
      <c r="C4968" s="3" t="s">
        <v>1342</v>
      </c>
      <c r="D4968" s="3" t="s">
        <v>68</v>
      </c>
      <c r="E4968" s="3" t="s">
        <v>100</v>
      </c>
      <c r="F4968" s="3" t="s">
        <v>1671</v>
      </c>
      <c r="G4968" s="7">
        <v>46104.22423036442</v>
      </c>
    </row>
    <row r="4969">
      <c r="A4969" s="3" t="s">
        <v>15410</v>
      </c>
      <c r="B4969" s="3" t="s">
        <v>778</v>
      </c>
      <c r="C4969" s="3" t="s">
        <v>1095</v>
      </c>
      <c r="D4969" s="3" t="s">
        <v>68</v>
      </c>
      <c r="E4969" s="3" t="s">
        <v>100</v>
      </c>
      <c r="F4969" s="3" t="s">
        <v>1602</v>
      </c>
      <c r="G4969" s="7">
        <v>46104.295405209836</v>
      </c>
    </row>
    <row r="4970">
      <c r="A4970" s="3" t="s">
        <v>15414</v>
      </c>
      <c r="B4970" s="3" t="s">
        <v>939</v>
      </c>
      <c r="C4970" s="3" t="s">
        <v>56</v>
      </c>
      <c r="D4970" s="3" t="s">
        <v>68</v>
      </c>
      <c r="E4970" s="3" t="s">
        <v>100</v>
      </c>
      <c r="F4970" s="3" t="s">
        <v>1738</v>
      </c>
      <c r="G4970" s="7">
        <v>46104.366580055255</v>
      </c>
    </row>
    <row r="4971">
      <c r="A4971" s="3" t="s">
        <v>15418</v>
      </c>
      <c r="B4971" s="3" t="s">
        <v>424</v>
      </c>
      <c r="C4971" s="3" t="s">
        <v>1095</v>
      </c>
      <c r="D4971" s="3" t="s">
        <v>195</v>
      </c>
      <c r="E4971" s="3" t="s">
        <v>45</v>
      </c>
      <c r="F4971" s="3" t="s">
        <v>1579</v>
      </c>
      <c r="G4971" s="7">
        <v>46104.43775490067</v>
      </c>
    </row>
    <row r="4972">
      <c r="A4972" s="3" t="s">
        <v>15421</v>
      </c>
      <c r="B4972" s="3" t="s">
        <v>937</v>
      </c>
      <c r="C4972" s="3" t="s">
        <v>1342</v>
      </c>
      <c r="D4972" s="3" t="s">
        <v>68</v>
      </c>
      <c r="E4972" s="3" t="s">
        <v>100</v>
      </c>
      <c r="F4972" s="3" t="s">
        <v>1369</v>
      </c>
      <c r="G4972" s="7">
        <v>46104.50892974609</v>
      </c>
    </row>
    <row r="4973">
      <c r="A4973" s="3" t="s">
        <v>15424</v>
      </c>
      <c r="B4973" s="3" t="s">
        <v>165</v>
      </c>
      <c r="C4973" s="3" t="s">
        <v>1095</v>
      </c>
      <c r="D4973" s="3" t="s">
        <v>195</v>
      </c>
      <c r="E4973" s="3" t="s">
        <v>45</v>
      </c>
      <c r="F4973" s="3" t="s">
        <v>1319</v>
      </c>
      <c r="G4973" s="7">
        <v>46104.5801045915</v>
      </c>
    </row>
    <row r="4974">
      <c r="A4974" s="3" t="s">
        <v>15429</v>
      </c>
      <c r="B4974" s="3" t="s">
        <v>316</v>
      </c>
      <c r="C4974" s="3" t="s">
        <v>1342</v>
      </c>
      <c r="D4974" s="3" t="s">
        <v>68</v>
      </c>
      <c r="E4974" s="3" t="s">
        <v>100</v>
      </c>
      <c r="F4974" s="3" t="s">
        <v>985</v>
      </c>
      <c r="G4974" s="7">
        <v>46104.65127943691</v>
      </c>
    </row>
    <row r="4975">
      <c r="A4975" s="3" t="s">
        <v>15432</v>
      </c>
      <c r="B4975" s="3" t="s">
        <v>156</v>
      </c>
      <c r="C4975" s="3" t="s">
        <v>1342</v>
      </c>
      <c r="D4975" s="3" t="s">
        <v>68</v>
      </c>
      <c r="E4975" s="3" t="s">
        <v>100</v>
      </c>
      <c r="F4975" s="3" t="s">
        <v>1560</v>
      </c>
      <c r="G4975" s="7">
        <v>46104.72245428233</v>
      </c>
    </row>
    <row r="4976">
      <c r="A4976" s="3" t="s">
        <v>15435</v>
      </c>
      <c r="B4976" s="3" t="s">
        <v>619</v>
      </c>
      <c r="C4976" s="3" t="s">
        <v>1342</v>
      </c>
      <c r="D4976" s="3" t="s">
        <v>68</v>
      </c>
      <c r="E4976" s="3" t="s">
        <v>100</v>
      </c>
      <c r="F4976" s="3" t="s">
        <v>1667</v>
      </c>
      <c r="G4976" s="7">
        <v>46104.793629127744</v>
      </c>
    </row>
    <row r="4977">
      <c r="A4977" s="3" t="s">
        <v>15438</v>
      </c>
      <c r="B4977" s="3" t="s">
        <v>629</v>
      </c>
      <c r="C4977" s="3" t="s">
        <v>1095</v>
      </c>
      <c r="D4977" s="3" t="s">
        <v>68</v>
      </c>
      <c r="E4977" s="3" t="s">
        <v>100</v>
      </c>
      <c r="F4977" s="3" t="s">
        <v>1697</v>
      </c>
      <c r="G4977" s="7">
        <v>46104.864803973156</v>
      </c>
    </row>
    <row r="4978">
      <c r="A4978" s="3" t="s">
        <v>15442</v>
      </c>
      <c r="B4978" s="3" t="s">
        <v>886</v>
      </c>
      <c r="C4978" s="3" t="s">
        <v>56</v>
      </c>
      <c r="D4978" s="3" t="s">
        <v>195</v>
      </c>
      <c r="E4978" s="3" t="s">
        <v>45</v>
      </c>
      <c r="F4978" s="3" t="s">
        <v>45</v>
      </c>
      <c r="G4978" s="7">
        <v>46104.935978818576</v>
      </c>
    </row>
    <row r="4979">
      <c r="A4979" s="3" t="s">
        <v>15446</v>
      </c>
      <c r="B4979" s="3" t="s">
        <v>746</v>
      </c>
      <c r="C4979" s="3" t="s">
        <v>56</v>
      </c>
      <c r="D4979" s="3" t="s">
        <v>68</v>
      </c>
      <c r="E4979" s="3" t="s">
        <v>100</v>
      </c>
      <c r="F4979" s="3" t="s">
        <v>1740</v>
      </c>
      <c r="G4979" s="7">
        <v>46105.00715366399</v>
      </c>
    </row>
    <row r="4980">
      <c r="A4980" s="3" t="s">
        <v>15449</v>
      </c>
      <c r="B4980" s="3" t="s">
        <v>969</v>
      </c>
      <c r="C4980" s="3" t="s">
        <v>1342</v>
      </c>
      <c r="D4980" s="3" t="s">
        <v>68</v>
      </c>
      <c r="E4980" s="3" t="s">
        <v>100</v>
      </c>
      <c r="F4980" s="3" t="s">
        <v>1869</v>
      </c>
      <c r="G4980" s="7">
        <v>46105.0783285094</v>
      </c>
    </row>
    <row r="4981">
      <c r="A4981" s="3" t="s">
        <v>15451</v>
      </c>
      <c r="B4981" s="3" t="s">
        <v>682</v>
      </c>
      <c r="C4981" s="3" t="s">
        <v>1095</v>
      </c>
      <c r="D4981" s="3" t="s">
        <v>68</v>
      </c>
      <c r="E4981" s="3" t="s">
        <v>100</v>
      </c>
      <c r="F4981" s="3" t="s">
        <v>792</v>
      </c>
      <c r="G4981" s="7">
        <v>46105.14950335482</v>
      </c>
    </row>
    <row r="4982">
      <c r="A4982" s="3" t="s">
        <v>15453</v>
      </c>
      <c r="B4982" s="3" t="s">
        <v>193</v>
      </c>
      <c r="C4982" s="3" t="s">
        <v>1342</v>
      </c>
      <c r="D4982" s="3" t="s">
        <v>68</v>
      </c>
      <c r="E4982" s="3" t="s">
        <v>100</v>
      </c>
      <c r="F4982" s="3" t="s">
        <v>1416</v>
      </c>
      <c r="G4982" s="7">
        <v>46105.22067820024</v>
      </c>
    </row>
    <row r="4983">
      <c r="A4983" s="3" t="s">
        <v>15455</v>
      </c>
      <c r="B4983" s="3" t="s">
        <v>411</v>
      </c>
      <c r="C4983" s="3" t="s">
        <v>56</v>
      </c>
      <c r="D4983" s="3" t="s">
        <v>68</v>
      </c>
      <c r="E4983" s="3" t="s">
        <v>100</v>
      </c>
      <c r="F4983" s="3" t="s">
        <v>1743</v>
      </c>
      <c r="G4983" s="7">
        <v>46105.291853045645</v>
      </c>
    </row>
    <row r="4984">
      <c r="A4984" s="3" t="s">
        <v>15459</v>
      </c>
      <c r="B4984" s="3" t="s">
        <v>330</v>
      </c>
      <c r="C4984" s="3" t="s">
        <v>1342</v>
      </c>
      <c r="D4984" s="3" t="s">
        <v>68</v>
      </c>
      <c r="E4984" s="3" t="s">
        <v>100</v>
      </c>
      <c r="F4984" s="3" t="s">
        <v>1587</v>
      </c>
      <c r="G4984" s="7">
        <v>46105.363027891064</v>
      </c>
    </row>
    <row r="4985">
      <c r="A4985" s="3" t="s">
        <v>15462</v>
      </c>
      <c r="B4985" s="3" t="s">
        <v>972</v>
      </c>
      <c r="C4985" s="3" t="s">
        <v>56</v>
      </c>
      <c r="D4985" s="3" t="s">
        <v>181</v>
      </c>
      <c r="E4985" s="3" t="s">
        <v>45</v>
      </c>
      <c r="F4985" s="3" t="s">
        <v>45</v>
      </c>
      <c r="G4985" s="7">
        <v>46105.434202736484</v>
      </c>
    </row>
    <row r="4986">
      <c r="A4986" s="3" t="s">
        <v>15465</v>
      </c>
      <c r="B4986" s="3" t="s">
        <v>326</v>
      </c>
      <c r="C4986" s="3" t="s">
        <v>1095</v>
      </c>
      <c r="D4986" s="3" t="s">
        <v>68</v>
      </c>
      <c r="E4986" s="3" t="s">
        <v>100</v>
      </c>
      <c r="F4986" s="3" t="s">
        <v>1687</v>
      </c>
      <c r="G4986" s="7">
        <v>46105.505377581896</v>
      </c>
    </row>
    <row r="4987">
      <c r="A4987" s="3" t="s">
        <v>15468</v>
      </c>
      <c r="B4987" s="3" t="s">
        <v>498</v>
      </c>
      <c r="C4987" s="3" t="s">
        <v>1342</v>
      </c>
      <c r="D4987" s="3" t="s">
        <v>195</v>
      </c>
      <c r="E4987" s="3" t="s">
        <v>45</v>
      </c>
      <c r="F4987" s="3" t="s">
        <v>1274</v>
      </c>
      <c r="G4987" s="7">
        <v>46105.57655242731</v>
      </c>
    </row>
    <row r="4988">
      <c r="A4988" s="3" t="s">
        <v>15470</v>
      </c>
      <c r="B4988" s="3" t="s">
        <v>593</v>
      </c>
      <c r="C4988" s="3" t="s">
        <v>1342</v>
      </c>
      <c r="D4988" s="3" t="s">
        <v>68</v>
      </c>
      <c r="E4988" s="3" t="s">
        <v>100</v>
      </c>
      <c r="F4988" s="3" t="s">
        <v>1621</v>
      </c>
      <c r="G4988" s="7">
        <v>46105.64772727273</v>
      </c>
    </row>
    <row r="4989">
      <c r="A4989" s="3" t="s">
        <v>15474</v>
      </c>
      <c r="B4989" s="3" t="s">
        <v>224</v>
      </c>
      <c r="C4989" s="3" t="s">
        <v>1095</v>
      </c>
      <c r="D4989" s="3" t="s">
        <v>68</v>
      </c>
      <c r="E4989" s="3" t="s">
        <v>100</v>
      </c>
      <c r="F4989" s="3" t="s">
        <v>1295</v>
      </c>
      <c r="G4989" s="7">
        <v>46105.71890211814</v>
      </c>
    </row>
    <row r="4990">
      <c r="A4990" s="3" t="s">
        <v>15477</v>
      </c>
      <c r="B4990" s="3" t="s">
        <v>536</v>
      </c>
      <c r="C4990" s="3" t="s">
        <v>1095</v>
      </c>
      <c r="D4990" s="3" t="s">
        <v>68</v>
      </c>
      <c r="E4990" s="3" t="s">
        <v>100</v>
      </c>
      <c r="F4990" s="3" t="s">
        <v>862</v>
      </c>
      <c r="G4990" s="7">
        <v>46105.79007696355</v>
      </c>
    </row>
    <row r="4991">
      <c r="A4991" s="3" t="s">
        <v>15481</v>
      </c>
      <c r="B4991" s="3" t="s">
        <v>380</v>
      </c>
      <c r="C4991" s="3" t="s">
        <v>56</v>
      </c>
      <c r="D4991" s="3" t="s">
        <v>68</v>
      </c>
      <c r="E4991" s="3" t="s">
        <v>100</v>
      </c>
      <c r="F4991" s="3" t="s">
        <v>1745</v>
      </c>
      <c r="G4991" s="7">
        <v>46105.86125180897</v>
      </c>
    </row>
    <row r="4992">
      <c r="A4992" s="3" t="s">
        <v>15484</v>
      </c>
      <c r="B4992" s="3" t="s">
        <v>453</v>
      </c>
      <c r="C4992" s="3" t="s">
        <v>1342</v>
      </c>
      <c r="D4992" s="3" t="s">
        <v>68</v>
      </c>
      <c r="E4992" s="3" t="s">
        <v>100</v>
      </c>
      <c r="F4992" s="3" t="s">
        <v>1248</v>
      </c>
      <c r="G4992" s="7">
        <v>46105.932426654384</v>
      </c>
    </row>
    <row r="4993">
      <c r="A4993" s="3" t="s">
        <v>15487</v>
      </c>
      <c r="B4993" s="3" t="s">
        <v>453</v>
      </c>
      <c r="C4993" s="3" t="s">
        <v>1342</v>
      </c>
      <c r="D4993" s="3" t="s">
        <v>68</v>
      </c>
      <c r="E4993" s="3" t="s">
        <v>100</v>
      </c>
      <c r="F4993" s="3" t="s">
        <v>1248</v>
      </c>
      <c r="G4993" s="7">
        <v>46106.0036014998</v>
      </c>
    </row>
    <row r="4994">
      <c r="A4994" s="3" t="s">
        <v>15490</v>
      </c>
      <c r="B4994" s="3" t="s">
        <v>202</v>
      </c>
      <c r="C4994" s="3" t="s">
        <v>1342</v>
      </c>
      <c r="D4994" s="3" t="s">
        <v>68</v>
      </c>
      <c r="E4994" s="3" t="s">
        <v>100</v>
      </c>
      <c r="F4994" s="3" t="s">
        <v>1691</v>
      </c>
      <c r="G4994" s="7">
        <v>46106.07477634522</v>
      </c>
    </row>
    <row r="4995">
      <c r="A4995" s="3" t="s">
        <v>15494</v>
      </c>
      <c r="B4995" s="3" t="s">
        <v>197</v>
      </c>
      <c r="C4995" s="3" t="s">
        <v>1342</v>
      </c>
      <c r="D4995" s="3" t="s">
        <v>68</v>
      </c>
      <c r="E4995" s="3" t="s">
        <v>100</v>
      </c>
      <c r="F4995" s="3" t="s">
        <v>1726</v>
      </c>
      <c r="G4995" s="7">
        <v>46106.14595119063</v>
      </c>
    </row>
    <row r="4996">
      <c r="A4996" s="3" t="s">
        <v>15498</v>
      </c>
      <c r="B4996" s="3" t="s">
        <v>1008</v>
      </c>
      <c r="C4996" s="3" t="s">
        <v>1095</v>
      </c>
      <c r="D4996" s="3" t="s">
        <v>68</v>
      </c>
      <c r="E4996" s="3" t="s">
        <v>100</v>
      </c>
      <c r="F4996" s="3" t="s">
        <v>2108</v>
      </c>
      <c r="G4996" s="7">
        <v>46106.21712603605</v>
      </c>
    </row>
    <row r="4997">
      <c r="A4997" s="3" t="s">
        <v>15501</v>
      </c>
      <c r="B4997" s="3" t="s">
        <v>1040</v>
      </c>
      <c r="C4997" s="3" t="s">
        <v>1095</v>
      </c>
      <c r="D4997" s="3" t="s">
        <v>181</v>
      </c>
      <c r="E4997" s="3" t="s">
        <v>45</v>
      </c>
      <c r="F4997" s="3" t="s">
        <v>1724</v>
      </c>
      <c r="G4997" s="7">
        <v>46106.28830088146</v>
      </c>
    </row>
    <row r="4998">
      <c r="A4998" s="3" t="s">
        <v>15503</v>
      </c>
      <c r="B4998" s="3" t="s">
        <v>760</v>
      </c>
      <c r="C4998" s="3" t="s">
        <v>1095</v>
      </c>
      <c r="D4998" s="3" t="s">
        <v>68</v>
      </c>
      <c r="E4998" s="3" t="s">
        <v>100</v>
      </c>
      <c r="F4998" s="3" t="s">
        <v>1493</v>
      </c>
      <c r="G4998" s="7">
        <v>46106.35947572688</v>
      </c>
    </row>
    <row r="4999">
      <c r="A4999" s="3" t="s">
        <v>15505</v>
      </c>
      <c r="B4999" s="3" t="s">
        <v>224</v>
      </c>
      <c r="C4999" s="3" t="s">
        <v>56</v>
      </c>
      <c r="D4999" s="3" t="s">
        <v>68</v>
      </c>
      <c r="E4999" s="3" t="s">
        <v>100</v>
      </c>
      <c r="F4999" s="3" t="s">
        <v>1751</v>
      </c>
      <c r="G4999" s="7">
        <v>46106.430650572285</v>
      </c>
    </row>
    <row r="5000">
      <c r="A5000" s="3" t="s">
        <v>15508</v>
      </c>
      <c r="B5000" s="3" t="s">
        <v>600</v>
      </c>
      <c r="C5000" s="3" t="s">
        <v>1095</v>
      </c>
      <c r="D5000" s="3" t="s">
        <v>68</v>
      </c>
      <c r="E5000" s="3" t="s">
        <v>100</v>
      </c>
      <c r="F5000" s="3" t="s">
        <v>1643</v>
      </c>
      <c r="G5000" s="7">
        <v>46106.501825417705</v>
      </c>
    </row>
    <row r="5001">
      <c r="A5001" s="3" t="s">
        <v>15511</v>
      </c>
      <c r="B5001" s="3" t="s">
        <v>939</v>
      </c>
      <c r="C5001" s="3" t="s">
        <v>1342</v>
      </c>
      <c r="D5001" s="3" t="s">
        <v>68</v>
      </c>
      <c r="E5001" s="3" t="s">
        <v>100</v>
      </c>
      <c r="F5001" s="3" t="s">
        <v>1738</v>
      </c>
      <c r="G5001" s="7">
        <v>46106.573000263124</v>
      </c>
    </row>
    <row r="5002">
      <c r="A5002" s="3" t="s">
        <v>15514</v>
      </c>
      <c r="B5002" s="3" t="s">
        <v>596</v>
      </c>
      <c r="C5002" s="3" t="s">
        <v>1342</v>
      </c>
      <c r="D5002" s="3" t="s">
        <v>68</v>
      </c>
      <c r="E5002" s="3" t="s">
        <v>100</v>
      </c>
      <c r="F5002" s="3" t="s">
        <v>1268</v>
      </c>
      <c r="G5002" s="7">
        <v>46106.64417510854</v>
      </c>
    </row>
    <row r="5003">
      <c r="A5003" s="3" t="s">
        <v>15519</v>
      </c>
      <c r="B5003" s="3" t="s">
        <v>333</v>
      </c>
      <c r="C5003" s="3" t="s">
        <v>1095</v>
      </c>
      <c r="D5003" s="3" t="s">
        <v>68</v>
      </c>
      <c r="E5003" s="3" t="s">
        <v>100</v>
      </c>
      <c r="F5003" s="3" t="s">
        <v>1420</v>
      </c>
      <c r="G5003" s="7">
        <v>46106.71534995395</v>
      </c>
    </row>
    <row r="5004">
      <c r="A5004" s="3" t="s">
        <v>15522</v>
      </c>
      <c r="B5004" s="3" t="s">
        <v>746</v>
      </c>
      <c r="C5004" s="3" t="s">
        <v>1342</v>
      </c>
      <c r="D5004" s="3" t="s">
        <v>68</v>
      </c>
      <c r="E5004" s="3" t="s">
        <v>100</v>
      </c>
      <c r="F5004" s="3" t="s">
        <v>1740</v>
      </c>
      <c r="G5004" s="7">
        <v>46106.78652479937</v>
      </c>
    </row>
    <row r="5005">
      <c r="A5005" s="3" t="s">
        <v>15525</v>
      </c>
      <c r="B5005" s="3" t="s">
        <v>789</v>
      </c>
      <c r="C5005" s="3" t="s">
        <v>1095</v>
      </c>
      <c r="D5005" s="3" t="s">
        <v>68</v>
      </c>
      <c r="E5005" s="3" t="s">
        <v>100</v>
      </c>
      <c r="F5005" s="3" t="s">
        <v>2006</v>
      </c>
      <c r="G5005" s="7">
        <v>46106.85769964478</v>
      </c>
    </row>
    <row r="5006">
      <c r="A5006" s="3" t="s">
        <v>15529</v>
      </c>
      <c r="B5006" s="3" t="s">
        <v>826</v>
      </c>
      <c r="C5006" s="3" t="s">
        <v>56</v>
      </c>
      <c r="D5006" s="3" t="s">
        <v>68</v>
      </c>
      <c r="E5006" s="3" t="s">
        <v>100</v>
      </c>
      <c r="F5006" s="3" t="s">
        <v>1753</v>
      </c>
      <c r="G5006" s="7">
        <v>46106.92887449019</v>
      </c>
    </row>
    <row r="5007">
      <c r="A5007" s="3" t="s">
        <v>15533</v>
      </c>
      <c r="B5007" s="3" t="s">
        <v>672</v>
      </c>
      <c r="C5007" s="3" t="s">
        <v>56</v>
      </c>
      <c r="D5007" s="3" t="s">
        <v>181</v>
      </c>
      <c r="E5007" s="3" t="s">
        <v>45</v>
      </c>
      <c r="F5007" s="3" t="s">
        <v>45</v>
      </c>
      <c r="G5007" s="7">
        <v>46107.00004933561</v>
      </c>
    </row>
    <row r="5008">
      <c r="A5008" s="3" t="s">
        <v>15536</v>
      </c>
      <c r="B5008" s="3" t="s">
        <v>616</v>
      </c>
      <c r="C5008" s="3" t="s">
        <v>1095</v>
      </c>
      <c r="D5008" s="3" t="s">
        <v>68</v>
      </c>
      <c r="E5008" s="3" t="s">
        <v>100</v>
      </c>
      <c r="F5008" s="3" t="s">
        <v>1064</v>
      </c>
      <c r="G5008" s="7">
        <v>46107.07122418103</v>
      </c>
    </row>
    <row r="5009">
      <c r="A5009" s="3" t="s">
        <v>15539</v>
      </c>
      <c r="B5009" s="3" t="s">
        <v>406</v>
      </c>
      <c r="C5009" s="3" t="s">
        <v>56</v>
      </c>
      <c r="D5009" s="3" t="s">
        <v>68</v>
      </c>
      <c r="E5009" s="3" t="s">
        <v>100</v>
      </c>
      <c r="F5009" s="3" t="s">
        <v>1755</v>
      </c>
      <c r="G5009" s="7">
        <v>46107.14239902644</v>
      </c>
    </row>
    <row r="5010">
      <c r="A5010" s="3" t="s">
        <v>15542</v>
      </c>
      <c r="B5010" s="3" t="s">
        <v>926</v>
      </c>
      <c r="C5010" s="3" t="s">
        <v>1342</v>
      </c>
      <c r="D5010" s="3" t="s">
        <v>181</v>
      </c>
      <c r="E5010" s="3" t="s">
        <v>45</v>
      </c>
      <c r="F5010" s="3" t="s">
        <v>1750</v>
      </c>
      <c r="G5010" s="7">
        <v>46107.21357387186</v>
      </c>
    </row>
    <row r="5011">
      <c r="A5011" s="3" t="s">
        <v>15545</v>
      </c>
      <c r="B5011" s="3" t="s">
        <v>123</v>
      </c>
      <c r="C5011" s="3" t="s">
        <v>1342</v>
      </c>
      <c r="D5011" s="3" t="s">
        <v>68</v>
      </c>
      <c r="E5011" s="3" t="s">
        <v>100</v>
      </c>
      <c r="F5011" s="3" t="s">
        <v>1434</v>
      </c>
      <c r="G5011" s="7">
        <v>46107.28474871727</v>
      </c>
    </row>
    <row r="5012">
      <c r="A5012" s="3" t="s">
        <v>15547</v>
      </c>
      <c r="B5012" s="3" t="s">
        <v>565</v>
      </c>
      <c r="C5012" s="3" t="s">
        <v>56</v>
      </c>
      <c r="D5012" s="3" t="s">
        <v>68</v>
      </c>
      <c r="E5012" s="3" t="s">
        <v>100</v>
      </c>
      <c r="F5012" s="3" t="s">
        <v>1757</v>
      </c>
      <c r="G5012" s="7">
        <v>46107.35592356269</v>
      </c>
    </row>
    <row r="5013">
      <c r="A5013" s="3" t="s">
        <v>15549</v>
      </c>
      <c r="B5013" s="3" t="s">
        <v>485</v>
      </c>
      <c r="C5013" s="3" t="s">
        <v>1095</v>
      </c>
      <c r="D5013" s="3" t="s">
        <v>68</v>
      </c>
      <c r="E5013" s="3" t="s">
        <v>100</v>
      </c>
      <c r="F5013" s="3" t="s">
        <v>1581</v>
      </c>
      <c r="G5013" s="7">
        <v>46107.4270984081</v>
      </c>
    </row>
    <row r="5014">
      <c r="A5014" s="3" t="s">
        <v>15551</v>
      </c>
      <c r="B5014" s="3" t="s">
        <v>662</v>
      </c>
      <c r="C5014" s="3" t="s">
        <v>1095</v>
      </c>
      <c r="D5014" s="3" t="s">
        <v>68</v>
      </c>
      <c r="E5014" s="3" t="s">
        <v>100</v>
      </c>
      <c r="F5014" s="3" t="s">
        <v>1735</v>
      </c>
      <c r="G5014" s="7">
        <v>46107.49827325352</v>
      </c>
    </row>
    <row r="5015">
      <c r="A5015" s="3" t="s">
        <v>15553</v>
      </c>
      <c r="B5015" s="3" t="s">
        <v>1034</v>
      </c>
      <c r="C5015" s="3" t="s">
        <v>56</v>
      </c>
      <c r="D5015" s="3" t="s">
        <v>68</v>
      </c>
      <c r="E5015" s="3" t="s">
        <v>100</v>
      </c>
      <c r="F5015" s="3" t="s">
        <v>1759</v>
      </c>
      <c r="G5015" s="7">
        <v>46107.56944809893</v>
      </c>
    </row>
    <row r="5016">
      <c r="A5016" s="3" t="s">
        <v>15555</v>
      </c>
      <c r="B5016" s="3" t="s">
        <v>1034</v>
      </c>
      <c r="C5016" s="3" t="s">
        <v>1342</v>
      </c>
      <c r="D5016" s="3" t="s">
        <v>68</v>
      </c>
      <c r="E5016" s="3" t="s">
        <v>100</v>
      </c>
      <c r="F5016" s="3" t="s">
        <v>1759</v>
      </c>
      <c r="G5016" s="7">
        <v>46107.640622944346</v>
      </c>
    </row>
    <row r="5017">
      <c r="A5017" s="3" t="s">
        <v>15557</v>
      </c>
      <c r="B5017" s="3" t="s">
        <v>781</v>
      </c>
      <c r="C5017" s="3" t="s">
        <v>1342</v>
      </c>
      <c r="D5017" s="3" t="s">
        <v>68</v>
      </c>
      <c r="E5017" s="3" t="s">
        <v>100</v>
      </c>
      <c r="F5017" s="3" t="s">
        <v>1069</v>
      </c>
      <c r="G5017" s="7">
        <v>46107.711797789765</v>
      </c>
    </row>
    <row r="5018">
      <c r="A5018" s="3" t="s">
        <v>15559</v>
      </c>
      <c r="B5018" s="3" t="s">
        <v>906</v>
      </c>
      <c r="C5018" s="3" t="s">
        <v>1095</v>
      </c>
      <c r="D5018" s="3" t="s">
        <v>68</v>
      </c>
      <c r="E5018" s="3" t="s">
        <v>100</v>
      </c>
      <c r="F5018" s="3" t="s">
        <v>1901</v>
      </c>
      <c r="G5018" s="7">
        <v>46107.78297263518</v>
      </c>
    </row>
    <row r="5019">
      <c r="A5019" s="3" t="s">
        <v>15562</v>
      </c>
      <c r="B5019" s="3" t="s">
        <v>247</v>
      </c>
      <c r="C5019" s="3" t="s">
        <v>1095</v>
      </c>
      <c r="D5019" s="3" t="s">
        <v>68</v>
      </c>
      <c r="E5019" s="3" t="s">
        <v>100</v>
      </c>
      <c r="F5019" s="3" t="s">
        <v>1307</v>
      </c>
      <c r="G5019" s="7">
        <v>46107.85414748059</v>
      </c>
    </row>
    <row r="5020">
      <c r="A5020" s="3" t="s">
        <v>15564</v>
      </c>
      <c r="B5020" s="3" t="s">
        <v>998</v>
      </c>
      <c r="C5020" s="3" t="s">
        <v>1342</v>
      </c>
      <c r="D5020" s="3" t="s">
        <v>68</v>
      </c>
      <c r="E5020" s="3" t="s">
        <v>100</v>
      </c>
      <c r="F5020" s="3" t="s">
        <v>1651</v>
      </c>
      <c r="G5020" s="7">
        <v>46107.92532232601</v>
      </c>
    </row>
    <row r="5021">
      <c r="A5021" s="3" t="s">
        <v>15567</v>
      </c>
      <c r="B5021" s="3" t="s">
        <v>468</v>
      </c>
      <c r="C5021" s="3" t="s">
        <v>1095</v>
      </c>
      <c r="D5021" s="3" t="s">
        <v>68</v>
      </c>
      <c r="E5021" s="3" t="s">
        <v>100</v>
      </c>
      <c r="F5021" s="3" t="s">
        <v>1204</v>
      </c>
      <c r="G5021" s="7">
        <v>46107.99649717142</v>
      </c>
    </row>
    <row r="5022">
      <c r="A5022" s="3" t="s">
        <v>15571</v>
      </c>
      <c r="B5022" s="3" t="s">
        <v>822</v>
      </c>
      <c r="C5022" s="3" t="s">
        <v>1342</v>
      </c>
      <c r="D5022" s="3" t="s">
        <v>68</v>
      </c>
      <c r="E5022" s="3" t="s">
        <v>100</v>
      </c>
      <c r="F5022" s="3" t="s">
        <v>1552</v>
      </c>
      <c r="G5022" s="7">
        <v>46108.067672016834</v>
      </c>
    </row>
    <row r="5023">
      <c r="A5023" s="3" t="s">
        <v>15575</v>
      </c>
      <c r="B5023" s="3" t="s">
        <v>848</v>
      </c>
      <c r="C5023" s="3" t="s">
        <v>1342</v>
      </c>
      <c r="D5023" s="3" t="s">
        <v>68</v>
      </c>
      <c r="E5023" s="3" t="s">
        <v>100</v>
      </c>
      <c r="F5023" s="3" t="s">
        <v>1495</v>
      </c>
      <c r="G5023" s="7">
        <v>46108.13884686225</v>
      </c>
    </row>
    <row r="5024">
      <c r="A5024" s="3" t="s">
        <v>15577</v>
      </c>
      <c r="B5024" s="3" t="s">
        <v>391</v>
      </c>
      <c r="C5024" s="3" t="s">
        <v>56</v>
      </c>
      <c r="D5024" s="3" t="s">
        <v>68</v>
      </c>
      <c r="E5024" s="3" t="s">
        <v>100</v>
      </c>
      <c r="F5024" s="3" t="s">
        <v>1762</v>
      </c>
      <c r="G5024" s="7">
        <v>46108.21002170767</v>
      </c>
    </row>
    <row r="5025">
      <c r="A5025" s="3" t="s">
        <v>15579</v>
      </c>
      <c r="B5025" s="3" t="s">
        <v>632</v>
      </c>
      <c r="C5025" s="3" t="s">
        <v>56</v>
      </c>
      <c r="D5025" s="3" t="s">
        <v>68</v>
      </c>
      <c r="E5025" s="3" t="s">
        <v>100</v>
      </c>
      <c r="F5025" s="3" t="s">
        <v>1763</v>
      </c>
      <c r="G5025" s="7">
        <v>46108.28119655308</v>
      </c>
    </row>
    <row r="5026">
      <c r="A5026" s="3" t="s">
        <v>15582</v>
      </c>
      <c r="B5026" s="3" t="s">
        <v>657</v>
      </c>
      <c r="C5026" s="3" t="s">
        <v>1342</v>
      </c>
      <c r="D5026" s="3" t="s">
        <v>68</v>
      </c>
      <c r="E5026" s="3" t="s">
        <v>100</v>
      </c>
      <c r="F5026" s="3" t="s">
        <v>1674</v>
      </c>
      <c r="G5026" s="7">
        <v>46108.3523713985</v>
      </c>
    </row>
    <row r="5027">
      <c r="A5027" s="3" t="s">
        <v>15585</v>
      </c>
      <c r="B5027" s="3" t="s">
        <v>1040</v>
      </c>
      <c r="C5027" s="3" t="s">
        <v>1342</v>
      </c>
      <c r="D5027" s="3" t="s">
        <v>68</v>
      </c>
      <c r="E5027" s="3" t="s">
        <v>100</v>
      </c>
      <c r="F5027" s="3" t="s">
        <v>1724</v>
      </c>
      <c r="G5027" s="7">
        <v>46108.42354624392</v>
      </c>
    </row>
    <row r="5028">
      <c r="A5028" s="3" t="s">
        <v>15588</v>
      </c>
      <c r="B5028" s="3" t="s">
        <v>377</v>
      </c>
      <c r="C5028" s="3" t="s">
        <v>1342</v>
      </c>
      <c r="D5028" s="3" t="s">
        <v>68</v>
      </c>
      <c r="E5028" s="3" t="s">
        <v>100</v>
      </c>
      <c r="F5028" s="3" t="s">
        <v>470</v>
      </c>
      <c r="G5028" s="7">
        <v>46108.49472108933</v>
      </c>
    </row>
    <row r="5029">
      <c r="A5029" s="3" t="s">
        <v>15591</v>
      </c>
      <c r="B5029" s="3" t="s">
        <v>735</v>
      </c>
      <c r="C5029" s="3" t="s">
        <v>1095</v>
      </c>
      <c r="D5029" s="3" t="s">
        <v>195</v>
      </c>
      <c r="E5029" s="3" t="s">
        <v>45</v>
      </c>
      <c r="F5029" s="3" t="s">
        <v>1715</v>
      </c>
      <c r="G5029" s="7">
        <v>46108.56589593474</v>
      </c>
    </row>
    <row r="5030">
      <c r="A5030" s="3" t="s">
        <v>15594</v>
      </c>
      <c r="B5030" s="3" t="s">
        <v>793</v>
      </c>
      <c r="C5030" s="3" t="s">
        <v>1342</v>
      </c>
      <c r="D5030" s="3" t="s">
        <v>68</v>
      </c>
      <c r="E5030" s="3" t="s">
        <v>100</v>
      </c>
      <c r="F5030" s="3" t="s">
        <v>1429</v>
      </c>
      <c r="G5030" s="7">
        <v>46108.63707078016</v>
      </c>
    </row>
    <row r="5031">
      <c r="A5031" s="3" t="s">
        <v>15597</v>
      </c>
      <c r="B5031" s="3" t="s">
        <v>505</v>
      </c>
      <c r="C5031" s="3" t="s">
        <v>56</v>
      </c>
      <c r="D5031" s="3" t="s">
        <v>68</v>
      </c>
      <c r="E5031" s="3" t="s">
        <v>100</v>
      </c>
      <c r="F5031" s="3" t="s">
        <v>1766</v>
      </c>
      <c r="G5031" s="7">
        <v>46108.708245625574</v>
      </c>
    </row>
    <row r="5032">
      <c r="A5032" s="3" t="s">
        <v>15601</v>
      </c>
      <c r="B5032" s="3" t="s">
        <v>430</v>
      </c>
      <c r="C5032" s="3" t="s">
        <v>1095</v>
      </c>
      <c r="D5032" s="3" t="s">
        <v>68</v>
      </c>
      <c r="E5032" s="3" t="s">
        <v>100</v>
      </c>
      <c r="F5032" s="3" t="s">
        <v>1623</v>
      </c>
      <c r="G5032" s="7">
        <v>46108.779420470986</v>
      </c>
    </row>
    <row r="5033">
      <c r="A5033" s="3" t="s">
        <v>15605</v>
      </c>
      <c r="B5033" s="3" t="s">
        <v>171</v>
      </c>
      <c r="C5033" s="3" t="s">
        <v>1342</v>
      </c>
      <c r="D5033" s="3" t="s">
        <v>195</v>
      </c>
      <c r="E5033" s="3" t="s">
        <v>45</v>
      </c>
      <c r="F5033" s="3" t="s">
        <v>1835</v>
      </c>
      <c r="G5033" s="7">
        <v>46108.850595316406</v>
      </c>
    </row>
    <row r="5034">
      <c r="A5034" s="3" t="s">
        <v>15608</v>
      </c>
      <c r="B5034" s="3" t="s">
        <v>436</v>
      </c>
      <c r="C5034" s="3" t="s">
        <v>1342</v>
      </c>
      <c r="D5034" s="3" t="s">
        <v>68</v>
      </c>
      <c r="E5034" s="3" t="s">
        <v>100</v>
      </c>
      <c r="F5034" s="3" t="s">
        <v>1138</v>
      </c>
      <c r="G5034" s="7">
        <v>46108.92177016182</v>
      </c>
    </row>
    <row r="5035">
      <c r="A5035" s="3" t="s">
        <v>15611</v>
      </c>
      <c r="B5035" s="3" t="s">
        <v>186</v>
      </c>
      <c r="C5035" s="3" t="s">
        <v>1342</v>
      </c>
      <c r="D5035" s="3" t="s">
        <v>68</v>
      </c>
      <c r="E5035" s="3" t="s">
        <v>100</v>
      </c>
      <c r="F5035" s="3" t="s">
        <v>1475</v>
      </c>
      <c r="G5035" s="7">
        <v>46108.99294500723</v>
      </c>
    </row>
    <row r="5036">
      <c r="A5036" s="3" t="s">
        <v>15614</v>
      </c>
      <c r="B5036" s="3" t="s">
        <v>600</v>
      </c>
      <c r="C5036" s="3" t="s">
        <v>56</v>
      </c>
      <c r="D5036" s="3" t="s">
        <v>68</v>
      </c>
      <c r="E5036" s="3" t="s">
        <v>100</v>
      </c>
      <c r="F5036" s="3" t="s">
        <v>1768</v>
      </c>
      <c r="G5036" s="7">
        <v>46109.06411985265</v>
      </c>
    </row>
    <row r="5037">
      <c r="A5037" s="3" t="s">
        <v>15617</v>
      </c>
      <c r="B5037" s="3" t="s">
        <v>949</v>
      </c>
      <c r="C5037" s="3" t="s">
        <v>56</v>
      </c>
      <c r="D5037" s="3" t="s">
        <v>68</v>
      </c>
      <c r="E5037" s="3" t="s">
        <v>100</v>
      </c>
      <c r="F5037" s="3" t="s">
        <v>1770</v>
      </c>
      <c r="G5037" s="7">
        <v>46109.13529469806</v>
      </c>
    </row>
    <row r="5038">
      <c r="A5038" s="3" t="s">
        <v>15621</v>
      </c>
      <c r="B5038" s="3" t="s">
        <v>383</v>
      </c>
      <c r="C5038" s="3" t="s">
        <v>1342</v>
      </c>
      <c r="D5038" s="3" t="s">
        <v>68</v>
      </c>
      <c r="E5038" s="3" t="s">
        <v>100</v>
      </c>
      <c r="F5038" s="3" t="s">
        <v>1129</v>
      </c>
      <c r="G5038" s="7">
        <v>46109.206469543475</v>
      </c>
    </row>
    <row r="5039">
      <c r="A5039" s="3" t="s">
        <v>15625</v>
      </c>
      <c r="B5039" s="3" t="s">
        <v>322</v>
      </c>
      <c r="C5039" s="3" t="s">
        <v>56</v>
      </c>
      <c r="D5039" s="3" t="s">
        <v>68</v>
      </c>
      <c r="E5039" s="3" t="s">
        <v>100</v>
      </c>
      <c r="F5039" s="3" t="s">
        <v>1772</v>
      </c>
      <c r="G5039" s="7">
        <v>46109.277644388894</v>
      </c>
    </row>
    <row r="5040">
      <c r="A5040" s="3" t="s">
        <v>15628</v>
      </c>
      <c r="B5040" s="3" t="s">
        <v>734</v>
      </c>
      <c r="C5040" s="3" t="s">
        <v>1342</v>
      </c>
      <c r="D5040" s="3" t="s">
        <v>68</v>
      </c>
      <c r="E5040" s="3" t="s">
        <v>100</v>
      </c>
      <c r="F5040" s="3" t="s">
        <v>1315</v>
      </c>
      <c r="G5040" s="7">
        <v>46109.348819234314</v>
      </c>
    </row>
    <row r="5041">
      <c r="A5041" s="3" t="s">
        <v>15631</v>
      </c>
      <c r="B5041" s="3" t="s">
        <v>1001</v>
      </c>
      <c r="C5041" s="3" t="s">
        <v>1342</v>
      </c>
      <c r="D5041" s="3" t="s">
        <v>68</v>
      </c>
      <c r="E5041" s="3" t="s">
        <v>100</v>
      </c>
      <c r="F5041" s="3" t="s">
        <v>1670</v>
      </c>
      <c r="G5041" s="7">
        <v>46109.41999407972</v>
      </c>
    </row>
    <row r="5042">
      <c r="A5042" s="3" t="s">
        <v>15636</v>
      </c>
      <c r="B5042" s="3" t="s">
        <v>990</v>
      </c>
      <c r="C5042" s="3" t="s">
        <v>1095</v>
      </c>
      <c r="D5042" s="3" t="s">
        <v>68</v>
      </c>
      <c r="E5042" s="3" t="s">
        <v>100</v>
      </c>
      <c r="F5042" s="3" t="s">
        <v>1469</v>
      </c>
      <c r="G5042" s="7">
        <v>46109.49116892514</v>
      </c>
    </row>
    <row r="5043">
      <c r="A5043" s="3" t="s">
        <v>15639</v>
      </c>
      <c r="B5043" s="3" t="s">
        <v>208</v>
      </c>
      <c r="C5043" s="3" t="s">
        <v>1095</v>
      </c>
      <c r="D5043" s="3" t="s">
        <v>68</v>
      </c>
      <c r="E5043" s="3" t="s">
        <v>100</v>
      </c>
      <c r="F5043" s="3" t="s">
        <v>1892</v>
      </c>
      <c r="G5043" s="7">
        <v>46109.56234377056</v>
      </c>
    </row>
    <row r="5044">
      <c r="A5044" s="3" t="s">
        <v>15641</v>
      </c>
      <c r="B5044" s="3" t="s">
        <v>502</v>
      </c>
      <c r="C5044" s="3" t="s">
        <v>1095</v>
      </c>
      <c r="D5044" s="3" t="s">
        <v>68</v>
      </c>
      <c r="E5044" s="3" t="s">
        <v>100</v>
      </c>
      <c r="F5044" s="3" t="s">
        <v>1448</v>
      </c>
      <c r="G5044" s="7">
        <v>46109.63351861597</v>
      </c>
    </row>
    <row r="5045">
      <c r="A5045" s="3" t="s">
        <v>15645</v>
      </c>
      <c r="B5045" s="3" t="s">
        <v>491</v>
      </c>
      <c r="C5045" s="3" t="s">
        <v>1342</v>
      </c>
      <c r="D5045" s="3" t="s">
        <v>68</v>
      </c>
      <c r="E5045" s="3" t="s">
        <v>100</v>
      </c>
      <c r="F5045" s="3" t="s">
        <v>1426</v>
      </c>
      <c r="G5045" s="7">
        <v>46109.70469346138</v>
      </c>
    </row>
    <row r="5046">
      <c r="A5046" s="3" t="s">
        <v>15647</v>
      </c>
      <c r="B5046" s="3" t="s">
        <v>266</v>
      </c>
      <c r="C5046" s="3" t="s">
        <v>1342</v>
      </c>
      <c r="D5046" s="3" t="s">
        <v>68</v>
      </c>
      <c r="E5046" s="3" t="s">
        <v>100</v>
      </c>
      <c r="F5046" s="3" t="s">
        <v>1058</v>
      </c>
      <c r="G5046" s="7">
        <v>46109.7758683068</v>
      </c>
    </row>
    <row r="5047">
      <c r="A5047" s="3" t="s">
        <v>15649</v>
      </c>
      <c r="B5047" s="3" t="s">
        <v>841</v>
      </c>
      <c r="C5047" s="3" t="s">
        <v>1342</v>
      </c>
      <c r="D5047" s="3" t="s">
        <v>68</v>
      </c>
      <c r="E5047" s="3" t="s">
        <v>100</v>
      </c>
      <c r="F5047" s="3" t="s">
        <v>1713</v>
      </c>
      <c r="G5047" s="7">
        <v>46109.847043152215</v>
      </c>
    </row>
    <row r="5048">
      <c r="A5048" s="3" t="s">
        <v>15651</v>
      </c>
      <c r="B5048" s="3" t="s">
        <v>493</v>
      </c>
      <c r="C5048" s="3" t="s">
        <v>1342</v>
      </c>
      <c r="D5048" s="3" t="s">
        <v>68</v>
      </c>
      <c r="E5048" s="3" t="s">
        <v>100</v>
      </c>
      <c r="F5048" s="3" t="s">
        <v>1593</v>
      </c>
      <c r="G5048" s="7">
        <v>46109.91821799763</v>
      </c>
    </row>
    <row r="5049">
      <c r="A5049" s="3" t="s">
        <v>15653</v>
      </c>
      <c r="B5049" s="3" t="s">
        <v>717</v>
      </c>
      <c r="C5049" s="3" t="s">
        <v>1342</v>
      </c>
      <c r="D5049" s="3" t="s">
        <v>181</v>
      </c>
      <c r="E5049" s="3" t="s">
        <v>45</v>
      </c>
      <c r="F5049" s="3" t="s">
        <v>1640</v>
      </c>
      <c r="G5049" s="7">
        <v>46109.98939284305</v>
      </c>
    </row>
    <row r="5050">
      <c r="A5050" s="3" t="s">
        <v>15655</v>
      </c>
      <c r="B5050" s="3" t="s">
        <v>313</v>
      </c>
      <c r="C5050" s="3" t="s">
        <v>56</v>
      </c>
      <c r="D5050" s="3" t="s">
        <v>68</v>
      </c>
      <c r="E5050" s="3" t="s">
        <v>100</v>
      </c>
      <c r="F5050" s="3" t="s">
        <v>1775</v>
      </c>
      <c r="G5050" s="7">
        <v>46110.06056768846</v>
      </c>
    </row>
    <row r="5051">
      <c r="A5051" s="3" t="s">
        <v>15658</v>
      </c>
      <c r="B5051" s="3" t="s">
        <v>530</v>
      </c>
      <c r="C5051" s="3" t="s">
        <v>1342</v>
      </c>
      <c r="D5051" s="3" t="s">
        <v>68</v>
      </c>
      <c r="E5051" s="3" t="s">
        <v>100</v>
      </c>
      <c r="F5051" s="3" t="s">
        <v>1443</v>
      </c>
      <c r="G5051" s="7">
        <v>46110.13174253387</v>
      </c>
    </row>
    <row r="5052">
      <c r="A5052" s="3" t="s">
        <v>15661</v>
      </c>
      <c r="B5052" s="3" t="s">
        <v>1034</v>
      </c>
      <c r="C5052" s="3" t="s">
        <v>1095</v>
      </c>
      <c r="D5052" s="3" t="s">
        <v>68</v>
      </c>
      <c r="E5052" s="3" t="s">
        <v>100</v>
      </c>
      <c r="F5052" s="3" t="s">
        <v>1759</v>
      </c>
      <c r="G5052" s="7">
        <v>46110.20291737929</v>
      </c>
    </row>
    <row r="5053">
      <c r="A5053" s="3" t="s">
        <v>15664</v>
      </c>
      <c r="B5053" s="3" t="s">
        <v>734</v>
      </c>
      <c r="C5053" s="3" t="s">
        <v>1095</v>
      </c>
      <c r="D5053" s="3" t="s">
        <v>68</v>
      </c>
      <c r="E5053" s="3" t="s">
        <v>100</v>
      </c>
      <c r="F5053" s="3" t="s">
        <v>1315</v>
      </c>
      <c r="G5053" s="7">
        <v>46110.2740922247</v>
      </c>
    </row>
    <row r="5054">
      <c r="A5054" s="3" t="s">
        <v>15668</v>
      </c>
      <c r="B5054" s="3" t="s">
        <v>725</v>
      </c>
      <c r="C5054" s="3" t="s">
        <v>56</v>
      </c>
      <c r="D5054" s="3" t="s">
        <v>195</v>
      </c>
      <c r="E5054" s="3" t="s">
        <v>45</v>
      </c>
      <c r="F5054" s="3" t="s">
        <v>45</v>
      </c>
      <c r="G5054" s="7">
        <v>46110.345267070115</v>
      </c>
    </row>
    <row r="5055">
      <c r="A5055" s="3" t="s">
        <v>15670</v>
      </c>
      <c r="B5055" s="3" t="s">
        <v>1021</v>
      </c>
      <c r="C5055" s="3" t="s">
        <v>1342</v>
      </c>
      <c r="D5055" s="3" t="s">
        <v>68</v>
      </c>
      <c r="E5055" s="3" t="s">
        <v>100</v>
      </c>
      <c r="F5055" s="3" t="s">
        <v>1671</v>
      </c>
      <c r="G5055" s="7">
        <v>46110.416441915535</v>
      </c>
    </row>
    <row r="5056">
      <c r="A5056" s="3" t="s">
        <v>15671</v>
      </c>
      <c r="B5056" s="3" t="s">
        <v>574</v>
      </c>
      <c r="C5056" s="3" t="s">
        <v>1342</v>
      </c>
      <c r="D5056" s="3" t="s">
        <v>68</v>
      </c>
      <c r="E5056" s="3" t="s">
        <v>100</v>
      </c>
      <c r="F5056" s="3" t="s">
        <v>1747</v>
      </c>
      <c r="G5056" s="7">
        <v>46110.487616760955</v>
      </c>
    </row>
    <row r="5057">
      <c r="A5057" s="3" t="s">
        <v>15674</v>
      </c>
      <c r="B5057" s="3" t="s">
        <v>870</v>
      </c>
      <c r="C5057" s="3" t="s">
        <v>1095</v>
      </c>
      <c r="D5057" s="3" t="s">
        <v>68</v>
      </c>
      <c r="E5057" s="3" t="s">
        <v>100</v>
      </c>
      <c r="F5057" s="3" t="s">
        <v>1543</v>
      </c>
      <c r="G5057" s="7">
        <v>46110.55879160636</v>
      </c>
    </row>
    <row r="5058">
      <c r="A5058" s="3" t="s">
        <v>15678</v>
      </c>
      <c r="B5058" s="3" t="s">
        <v>886</v>
      </c>
      <c r="C5058" s="3" t="s">
        <v>56</v>
      </c>
      <c r="D5058" s="3" t="s">
        <v>68</v>
      </c>
      <c r="E5058" s="3" t="s">
        <v>100</v>
      </c>
      <c r="F5058" s="3" t="s">
        <v>1776</v>
      </c>
      <c r="G5058" s="7">
        <v>46110.62996645178</v>
      </c>
    </row>
    <row r="5059">
      <c r="A5059" s="3" t="s">
        <v>15682</v>
      </c>
      <c r="B5059" s="3" t="s">
        <v>694</v>
      </c>
      <c r="C5059" s="3" t="s">
        <v>56</v>
      </c>
      <c r="D5059" s="3" t="s">
        <v>68</v>
      </c>
      <c r="E5059" s="3" t="s">
        <v>100</v>
      </c>
      <c r="F5059" s="3" t="s">
        <v>1779</v>
      </c>
      <c r="G5059" s="7">
        <v>46110.7011412972</v>
      </c>
    </row>
    <row r="5060">
      <c r="A5060" s="3" t="s">
        <v>15685</v>
      </c>
      <c r="B5060" s="3" t="s">
        <v>455</v>
      </c>
      <c r="C5060" s="3" t="s">
        <v>1095</v>
      </c>
      <c r="D5060" s="3" t="s">
        <v>68</v>
      </c>
      <c r="E5060" s="3" t="s">
        <v>100</v>
      </c>
      <c r="F5060" s="3" t="s">
        <v>1656</v>
      </c>
      <c r="G5060" s="7">
        <v>46110.77231614261</v>
      </c>
    </row>
    <row r="5061">
      <c r="A5061" s="3" t="s">
        <v>15688</v>
      </c>
      <c r="B5061" s="3" t="s">
        <v>319</v>
      </c>
      <c r="C5061" s="3" t="s">
        <v>1342</v>
      </c>
      <c r="D5061" s="3" t="s">
        <v>68</v>
      </c>
      <c r="E5061" s="3" t="s">
        <v>100</v>
      </c>
      <c r="F5061" s="3" t="s">
        <v>1542</v>
      </c>
      <c r="G5061" s="7">
        <v>46110.84349098802</v>
      </c>
    </row>
    <row r="5062">
      <c r="A5062" s="3" t="s">
        <v>15692</v>
      </c>
      <c r="B5062" s="3" t="s">
        <v>665</v>
      </c>
      <c r="C5062" s="3" t="s">
        <v>1342</v>
      </c>
      <c r="D5062" s="3" t="s">
        <v>68</v>
      </c>
      <c r="E5062" s="3" t="s">
        <v>100</v>
      </c>
      <c r="F5062" s="3" t="s">
        <v>1033</v>
      </c>
      <c r="G5062" s="7">
        <v>46110.91466583344</v>
      </c>
    </row>
    <row r="5063">
      <c r="A5063" s="3" t="s">
        <v>15699</v>
      </c>
      <c r="B5063" s="3" t="s">
        <v>725</v>
      </c>
      <c r="C5063" s="3" t="s">
        <v>56</v>
      </c>
      <c r="D5063" s="3" t="s">
        <v>68</v>
      </c>
      <c r="E5063" s="3" t="s">
        <v>100</v>
      </c>
      <c r="F5063" s="3" t="s">
        <v>1780</v>
      </c>
      <c r="G5063" s="7">
        <v>46110.985840678855</v>
      </c>
    </row>
    <row r="5064">
      <c r="A5064" s="3" t="s">
        <v>15702</v>
      </c>
      <c r="B5064" s="3" t="s">
        <v>398</v>
      </c>
      <c r="C5064" s="3" t="s">
        <v>1095</v>
      </c>
      <c r="D5064" s="3" t="s">
        <v>68</v>
      </c>
      <c r="E5064" s="3" t="s">
        <v>100</v>
      </c>
      <c r="F5064" s="3" t="s">
        <v>1569</v>
      </c>
      <c r="G5064" s="7">
        <v>46111.05701552427</v>
      </c>
    </row>
    <row r="5065">
      <c r="A5065" s="3" t="s">
        <v>15706</v>
      </c>
      <c r="B5065" s="3" t="s">
        <v>126</v>
      </c>
      <c r="C5065" s="3" t="s">
        <v>1342</v>
      </c>
      <c r="D5065" s="3" t="s">
        <v>68</v>
      </c>
      <c r="E5065" s="3" t="s">
        <v>100</v>
      </c>
      <c r="F5065" s="3" t="s">
        <v>950</v>
      </c>
      <c r="G5065" s="7">
        <v>46111.12819036969</v>
      </c>
    </row>
    <row r="5066">
      <c r="A5066" s="3" t="s">
        <v>15709</v>
      </c>
      <c r="B5066" s="3" t="s">
        <v>168</v>
      </c>
      <c r="C5066" s="3" t="s">
        <v>1342</v>
      </c>
      <c r="D5066" s="3" t="s">
        <v>68</v>
      </c>
      <c r="E5066" s="3" t="s">
        <v>100</v>
      </c>
      <c r="F5066" s="3" t="s">
        <v>1712</v>
      </c>
      <c r="G5066" s="7">
        <v>46111.1993652151</v>
      </c>
    </row>
    <row r="5067">
      <c r="A5067" s="3" t="s">
        <v>15712</v>
      </c>
      <c r="B5067" s="3" t="s">
        <v>319</v>
      </c>
      <c r="C5067" s="3" t="s">
        <v>1342</v>
      </c>
      <c r="D5067" s="3" t="s">
        <v>68</v>
      </c>
      <c r="E5067" s="3" t="s">
        <v>100</v>
      </c>
      <c r="F5067" s="3" t="s">
        <v>1542</v>
      </c>
      <c r="G5067" s="7">
        <v>46111.27054006051</v>
      </c>
    </row>
    <row r="5068">
      <c r="A5068" s="3" t="s">
        <v>15715</v>
      </c>
      <c r="B5068" s="3" t="s">
        <v>895</v>
      </c>
      <c r="C5068" s="3" t="s">
        <v>56</v>
      </c>
      <c r="D5068" s="3" t="s">
        <v>68</v>
      </c>
      <c r="E5068" s="3" t="s">
        <v>100</v>
      </c>
      <c r="F5068" s="3" t="s">
        <v>1782</v>
      </c>
      <c r="G5068" s="7">
        <v>46111.34171490593</v>
      </c>
    </row>
    <row r="5069">
      <c r="A5069" s="3" t="s">
        <v>15717</v>
      </c>
      <c r="B5069" s="3" t="s">
        <v>961</v>
      </c>
      <c r="C5069" s="3" t="s">
        <v>56</v>
      </c>
      <c r="D5069" s="3" t="s">
        <v>68</v>
      </c>
      <c r="E5069" s="3" t="s">
        <v>100</v>
      </c>
      <c r="F5069" s="3" t="s">
        <v>1785</v>
      </c>
      <c r="G5069" s="7">
        <v>46111.41288975135</v>
      </c>
    </row>
    <row r="5070">
      <c r="A5070" s="3" t="s">
        <v>15719</v>
      </c>
      <c r="B5070" s="3" t="s">
        <v>704</v>
      </c>
      <c r="C5070" s="3" t="s">
        <v>1095</v>
      </c>
      <c r="D5070" s="3" t="s">
        <v>68</v>
      </c>
      <c r="E5070" s="3" t="s">
        <v>100</v>
      </c>
      <c r="F5070" s="3" t="s">
        <v>1327</v>
      </c>
      <c r="G5070" s="7">
        <v>46111.484064596756</v>
      </c>
    </row>
    <row r="5071">
      <c r="A5071" s="3" t="s">
        <v>15721</v>
      </c>
      <c r="B5071" s="3" t="s">
        <v>491</v>
      </c>
      <c r="C5071" s="3" t="s">
        <v>1342</v>
      </c>
      <c r="D5071" s="3" t="s">
        <v>68</v>
      </c>
      <c r="E5071" s="3" t="s">
        <v>100</v>
      </c>
      <c r="F5071" s="3" t="s">
        <v>1426</v>
      </c>
      <c r="G5071" s="7">
        <v>46111.555239442176</v>
      </c>
    </row>
    <row r="5072">
      <c r="A5072" s="3" t="s">
        <v>15724</v>
      </c>
      <c r="B5072" s="3" t="s">
        <v>366</v>
      </c>
      <c r="C5072" s="3" t="s">
        <v>56</v>
      </c>
      <c r="D5072" s="3" t="s">
        <v>68</v>
      </c>
      <c r="E5072" s="3" t="s">
        <v>100</v>
      </c>
      <c r="F5072" s="3" t="s">
        <v>1786</v>
      </c>
      <c r="G5072" s="7">
        <v>46111.626414287595</v>
      </c>
    </row>
    <row r="5073">
      <c r="A5073" s="3" t="s">
        <v>15730</v>
      </c>
      <c r="B5073" s="3" t="s">
        <v>689</v>
      </c>
      <c r="C5073" s="3" t="s">
        <v>56</v>
      </c>
      <c r="D5073" s="3" t="s">
        <v>68</v>
      </c>
      <c r="E5073" s="3" t="s">
        <v>100</v>
      </c>
      <c r="F5073" s="3" t="s">
        <v>1789</v>
      </c>
      <c r="G5073" s="7">
        <v>46111.69758913301</v>
      </c>
    </row>
    <row r="5074">
      <c r="A5074" s="3" t="s">
        <v>15733</v>
      </c>
      <c r="B5074" s="3" t="s">
        <v>186</v>
      </c>
      <c r="C5074" s="3" t="s">
        <v>1342</v>
      </c>
      <c r="D5074" s="3" t="s">
        <v>68</v>
      </c>
      <c r="E5074" s="3" t="s">
        <v>100</v>
      </c>
      <c r="F5074" s="3" t="s">
        <v>1475</v>
      </c>
      <c r="G5074" s="7">
        <v>46111.76876397842</v>
      </c>
    </row>
    <row r="5075">
      <c r="A5075" s="3" t="s">
        <v>15736</v>
      </c>
      <c r="B5075" s="3" t="s">
        <v>359</v>
      </c>
      <c r="C5075" s="3" t="s">
        <v>56</v>
      </c>
      <c r="D5075" s="3" t="s">
        <v>68</v>
      </c>
      <c r="E5075" s="3" t="s">
        <v>100</v>
      </c>
      <c r="F5075" s="3" t="s">
        <v>1790</v>
      </c>
      <c r="G5075" s="7">
        <v>46111.83993882384</v>
      </c>
    </row>
    <row r="5076">
      <c r="A5076" s="3" t="s">
        <v>15739</v>
      </c>
      <c r="B5076" s="3" t="s">
        <v>895</v>
      </c>
      <c r="C5076" s="3" t="s">
        <v>1095</v>
      </c>
      <c r="D5076" s="3" t="s">
        <v>68</v>
      </c>
      <c r="E5076" s="3" t="s">
        <v>100</v>
      </c>
      <c r="F5076" s="3" t="s">
        <v>1782</v>
      </c>
      <c r="G5076" s="7">
        <v>46111.91111366925</v>
      </c>
    </row>
    <row r="5077">
      <c r="A5077" s="3" t="s">
        <v>15742</v>
      </c>
      <c r="B5077" s="3" t="s">
        <v>911</v>
      </c>
      <c r="C5077" s="3" t="s">
        <v>1342</v>
      </c>
      <c r="D5077" s="3" t="s">
        <v>68</v>
      </c>
      <c r="E5077" s="3" t="s">
        <v>100</v>
      </c>
      <c r="F5077" s="3" t="s">
        <v>1961</v>
      </c>
      <c r="G5077" s="7">
        <v>46111.982288514664</v>
      </c>
    </row>
    <row r="5078">
      <c r="A5078" s="3" t="s">
        <v>15746</v>
      </c>
      <c r="B5078" s="3" t="s">
        <v>658</v>
      </c>
      <c r="C5078" s="3" t="s">
        <v>56</v>
      </c>
      <c r="D5078" s="3" t="s">
        <v>68</v>
      </c>
      <c r="E5078" s="3" t="s">
        <v>100</v>
      </c>
      <c r="F5078" s="3" t="s">
        <v>1793</v>
      </c>
      <c r="G5078" s="7">
        <v>46112.053463360084</v>
      </c>
    </row>
    <row r="5079">
      <c r="A5079" s="3" t="s">
        <v>15750</v>
      </c>
      <c r="B5079" s="3" t="s">
        <v>645</v>
      </c>
      <c r="C5079" s="3" t="s">
        <v>1342</v>
      </c>
      <c r="D5079" s="3" t="s">
        <v>68</v>
      </c>
      <c r="E5079" s="3" t="s">
        <v>100</v>
      </c>
      <c r="F5079" s="3" t="s">
        <v>526</v>
      </c>
      <c r="G5079" s="7">
        <v>46112.124638205496</v>
      </c>
    </row>
    <row r="5080">
      <c r="A5080" s="3" t="s">
        <v>15753</v>
      </c>
      <c r="B5080" s="3" t="s">
        <v>752</v>
      </c>
      <c r="C5080" s="3" t="s">
        <v>1095</v>
      </c>
      <c r="D5080" s="3" t="s">
        <v>68</v>
      </c>
      <c r="E5080" s="3" t="s">
        <v>100</v>
      </c>
      <c r="F5080" s="3" t="s">
        <v>1378</v>
      </c>
      <c r="G5080" s="7">
        <v>46112.19581305091</v>
      </c>
    </row>
    <row r="5081">
      <c r="A5081" s="3" t="s">
        <v>15756</v>
      </c>
      <c r="B5081" s="3" t="s">
        <v>541</v>
      </c>
      <c r="C5081" s="3" t="s">
        <v>1342</v>
      </c>
      <c r="D5081" s="3" t="s">
        <v>68</v>
      </c>
      <c r="E5081" s="3" t="s">
        <v>100</v>
      </c>
      <c r="F5081" s="3" t="s">
        <v>1383</v>
      </c>
      <c r="G5081" s="7">
        <v>46112.26698789633</v>
      </c>
    </row>
    <row r="5082">
      <c r="A5082" s="3" t="s">
        <v>15759</v>
      </c>
      <c r="B5082" s="3" t="s">
        <v>523</v>
      </c>
      <c r="C5082" s="3" t="s">
        <v>1342</v>
      </c>
      <c r="D5082" s="3" t="s">
        <v>68</v>
      </c>
      <c r="E5082" s="3" t="s">
        <v>100</v>
      </c>
      <c r="F5082" s="3" t="s">
        <v>1156</v>
      </c>
      <c r="G5082" s="7">
        <v>46112.33816274174</v>
      </c>
    </row>
    <row r="5083">
      <c r="A5083" s="3" t="s">
        <v>15764</v>
      </c>
      <c r="B5083" s="3" t="s">
        <v>678</v>
      </c>
      <c r="C5083" s="3" t="s">
        <v>1095</v>
      </c>
      <c r="D5083" s="3" t="s">
        <v>181</v>
      </c>
      <c r="E5083" s="3" t="s">
        <v>45</v>
      </c>
      <c r="F5083" s="3" t="s">
        <v>1455</v>
      </c>
      <c r="G5083" s="7">
        <v>46112.40933758715</v>
      </c>
    </row>
    <row r="5084">
      <c r="A5084" s="3" t="s">
        <v>15767</v>
      </c>
      <c r="B5084" s="3" t="s">
        <v>903</v>
      </c>
      <c r="C5084" s="3" t="s">
        <v>1095</v>
      </c>
      <c r="D5084" s="3" t="s">
        <v>68</v>
      </c>
      <c r="E5084" s="3" t="s">
        <v>100</v>
      </c>
      <c r="F5084" s="3" t="s">
        <v>1625</v>
      </c>
      <c r="G5084" s="7">
        <v>46112.48051243257</v>
      </c>
    </row>
    <row r="5085">
      <c r="A5085" s="3" t="s">
        <v>15769</v>
      </c>
      <c r="B5085" s="3" t="s">
        <v>676</v>
      </c>
      <c r="C5085" s="3" t="s">
        <v>56</v>
      </c>
      <c r="D5085" s="3" t="s">
        <v>68</v>
      </c>
      <c r="E5085" s="3" t="s">
        <v>100</v>
      </c>
      <c r="F5085" s="3" t="s">
        <v>1795</v>
      </c>
      <c r="G5085" s="7">
        <v>46112.55168727799</v>
      </c>
    </row>
    <row r="5086">
      <c r="A5086" s="3" t="s">
        <v>15771</v>
      </c>
      <c r="B5086" s="3" t="s">
        <v>168</v>
      </c>
      <c r="C5086" s="3" t="s">
        <v>1342</v>
      </c>
      <c r="D5086" s="3" t="s">
        <v>68</v>
      </c>
      <c r="E5086" s="3" t="s">
        <v>100</v>
      </c>
      <c r="F5086" s="3" t="s">
        <v>1712</v>
      </c>
      <c r="G5086" s="7">
        <v>46112.6228621234</v>
      </c>
    </row>
    <row r="5087">
      <c r="A5087" s="3" t="s">
        <v>15774</v>
      </c>
      <c r="B5087" s="3" t="s">
        <v>746</v>
      </c>
      <c r="C5087" s="3" t="s">
        <v>1095</v>
      </c>
      <c r="D5087" s="3" t="s">
        <v>68</v>
      </c>
      <c r="E5087" s="3" t="s">
        <v>100</v>
      </c>
      <c r="F5087" s="3" t="s">
        <v>1740</v>
      </c>
      <c r="G5087" s="7">
        <v>46112.69403696882</v>
      </c>
    </row>
    <row r="5088">
      <c r="A5088" s="3" t="s">
        <v>15776</v>
      </c>
      <c r="B5088" s="3" t="s">
        <v>781</v>
      </c>
      <c r="C5088" s="3" t="s">
        <v>1095</v>
      </c>
      <c r="D5088" s="3" t="s">
        <v>68</v>
      </c>
      <c r="E5088" s="3" t="s">
        <v>100</v>
      </c>
      <c r="F5088" s="3" t="s">
        <v>1069</v>
      </c>
      <c r="G5088" s="7">
        <v>46112.765211814236</v>
      </c>
    </row>
    <row r="5089">
      <c r="A5089" s="3" t="s">
        <v>15778</v>
      </c>
      <c r="B5089" s="3" t="s">
        <v>326</v>
      </c>
      <c r="C5089" s="3" t="s">
        <v>56</v>
      </c>
      <c r="D5089" s="3" t="s">
        <v>68</v>
      </c>
      <c r="E5089" s="3" t="s">
        <v>100</v>
      </c>
      <c r="F5089" s="3" t="s">
        <v>1797</v>
      </c>
      <c r="G5089" s="7">
        <v>46112.83638665965</v>
      </c>
    </row>
    <row r="5090">
      <c r="A5090" s="3" t="s">
        <v>15780</v>
      </c>
      <c r="B5090" s="3" t="s">
        <v>219</v>
      </c>
      <c r="C5090" s="3" t="s">
        <v>1342</v>
      </c>
      <c r="D5090" s="3" t="s">
        <v>68</v>
      </c>
      <c r="E5090" s="3" t="s">
        <v>100</v>
      </c>
      <c r="F5090" s="3" t="s">
        <v>1076</v>
      </c>
      <c r="G5090" s="7">
        <v>46112.90756150506</v>
      </c>
    </row>
    <row r="5091">
      <c r="A5091" s="3" t="s">
        <v>15782</v>
      </c>
      <c r="B5091" s="3" t="s">
        <v>929</v>
      </c>
      <c r="C5091" s="3" t="s">
        <v>1342</v>
      </c>
      <c r="D5091" s="3" t="s">
        <v>181</v>
      </c>
      <c r="E5091" s="3" t="s">
        <v>45</v>
      </c>
      <c r="F5091" s="3" t="s">
        <v>1168</v>
      </c>
      <c r="G5091" s="7">
        <v>46112.97873635048</v>
      </c>
    </row>
    <row r="5092">
      <c r="A5092" s="3" t="s">
        <v>15784</v>
      </c>
      <c r="B5092" s="3" t="s">
        <v>596</v>
      </c>
      <c r="C5092" s="3" t="s">
        <v>1342</v>
      </c>
      <c r="D5092" s="3" t="s">
        <v>68</v>
      </c>
      <c r="E5092" s="3" t="s">
        <v>100</v>
      </c>
      <c r="F5092" s="3" t="s">
        <v>1268</v>
      </c>
      <c r="G5092" s="7">
        <v>46113.04991119589</v>
      </c>
    </row>
    <row r="5093">
      <c r="A5093" s="3" t="s">
        <v>15786</v>
      </c>
      <c r="B5093" s="3" t="s">
        <v>655</v>
      </c>
      <c r="C5093" s="3" t="s">
        <v>56</v>
      </c>
      <c r="D5093" s="3" t="s">
        <v>68</v>
      </c>
      <c r="E5093" s="3" t="s">
        <v>100</v>
      </c>
      <c r="F5093" s="3" t="s">
        <v>1800</v>
      </c>
      <c r="G5093" s="7">
        <v>46113.121086041305</v>
      </c>
    </row>
    <row r="5094">
      <c r="A5094" s="3" t="s">
        <v>15790</v>
      </c>
      <c r="B5094" s="3" t="s">
        <v>282</v>
      </c>
      <c r="C5094" s="3" t="s">
        <v>1095</v>
      </c>
      <c r="D5094" s="3" t="s">
        <v>68</v>
      </c>
      <c r="E5094" s="3" t="s">
        <v>100</v>
      </c>
      <c r="F5094" s="3" t="s">
        <v>1597</v>
      </c>
      <c r="G5094" s="7">
        <v>46113.192260886724</v>
      </c>
    </row>
    <row r="5095">
      <c r="A5095" s="3" t="s">
        <v>15793</v>
      </c>
      <c r="B5095" s="3" t="s">
        <v>870</v>
      </c>
      <c r="C5095" s="3" t="s">
        <v>56</v>
      </c>
      <c r="D5095" s="3" t="s">
        <v>68</v>
      </c>
      <c r="E5095" s="3" t="s">
        <v>100</v>
      </c>
      <c r="F5095" s="3" t="s">
        <v>1801</v>
      </c>
      <c r="G5095" s="7">
        <v>46113.26343573214</v>
      </c>
    </row>
    <row r="5096">
      <c r="A5096" s="3" t="s">
        <v>15796</v>
      </c>
      <c r="B5096" s="3" t="s">
        <v>722</v>
      </c>
      <c r="C5096" s="3" t="s">
        <v>1095</v>
      </c>
      <c r="D5096" s="3" t="s">
        <v>68</v>
      </c>
      <c r="E5096" s="3" t="s">
        <v>100</v>
      </c>
      <c r="F5096" s="3" t="s">
        <v>1029</v>
      </c>
      <c r="G5096" s="7">
        <v>46113.33461057755</v>
      </c>
    </row>
    <row r="5097">
      <c r="A5097" s="3" t="s">
        <v>15799</v>
      </c>
      <c r="B5097" s="3" t="s">
        <v>398</v>
      </c>
      <c r="C5097" s="3" t="s">
        <v>56</v>
      </c>
      <c r="D5097" s="3" t="s">
        <v>68</v>
      </c>
      <c r="E5097" s="3" t="s">
        <v>100</v>
      </c>
      <c r="F5097" s="3" t="s">
        <v>1804</v>
      </c>
      <c r="G5097" s="7">
        <v>46113.40578542297</v>
      </c>
    </row>
    <row r="5098">
      <c r="A5098" s="3" t="s">
        <v>15802</v>
      </c>
      <c r="B5098" s="3" t="s">
        <v>266</v>
      </c>
      <c r="C5098" s="3" t="s">
        <v>1342</v>
      </c>
      <c r="D5098" s="3" t="s">
        <v>68</v>
      </c>
      <c r="E5098" s="3" t="s">
        <v>100</v>
      </c>
      <c r="F5098" s="3" t="s">
        <v>1058</v>
      </c>
      <c r="G5098" s="7">
        <v>46113.47696026838</v>
      </c>
    </row>
    <row r="5099">
      <c r="A5099" s="3" t="s">
        <v>15804</v>
      </c>
      <c r="B5099" s="3" t="s">
        <v>747</v>
      </c>
      <c r="C5099" s="3" t="s">
        <v>1095</v>
      </c>
      <c r="D5099" s="3" t="s">
        <v>68</v>
      </c>
      <c r="E5099" s="3" t="s">
        <v>100</v>
      </c>
      <c r="F5099" s="3" t="s">
        <v>932</v>
      </c>
      <c r="G5099" s="7">
        <v>46113.54813511379</v>
      </c>
    </row>
    <row r="5100">
      <c r="A5100" s="3" t="s">
        <v>15807</v>
      </c>
      <c r="B5100" s="3" t="s">
        <v>193</v>
      </c>
      <c r="C5100" s="3" t="s">
        <v>1342</v>
      </c>
      <c r="D5100" s="3" t="s">
        <v>68</v>
      </c>
      <c r="E5100" s="3" t="s">
        <v>100</v>
      </c>
      <c r="F5100" s="3" t="s">
        <v>1416</v>
      </c>
      <c r="G5100" s="7">
        <v>46113.61930995921</v>
      </c>
    </row>
    <row r="5101">
      <c r="A5101" s="3" t="s">
        <v>15811</v>
      </c>
      <c r="B5101" s="3" t="s">
        <v>233</v>
      </c>
      <c r="C5101" s="3" t="s">
        <v>56</v>
      </c>
      <c r="D5101" s="3" t="s">
        <v>68</v>
      </c>
      <c r="E5101" s="3" t="s">
        <v>100</v>
      </c>
      <c r="F5101" s="3" t="s">
        <v>1806</v>
      </c>
      <c r="G5101" s="7">
        <v>46113.69048480463</v>
      </c>
    </row>
    <row r="5102">
      <c r="A5102" s="3" t="s">
        <v>15814</v>
      </c>
      <c r="B5102" s="3" t="s">
        <v>280</v>
      </c>
      <c r="C5102" s="3" t="s">
        <v>1342</v>
      </c>
      <c r="D5102" s="3" t="s">
        <v>68</v>
      </c>
      <c r="E5102" s="3" t="s">
        <v>100</v>
      </c>
      <c r="F5102" s="3" t="s">
        <v>1661</v>
      </c>
      <c r="G5102" s="7">
        <v>46113.76165965004</v>
      </c>
    </row>
    <row r="5103">
      <c r="A5103" s="3" t="s">
        <v>15817</v>
      </c>
      <c r="B5103" s="3" t="s">
        <v>685</v>
      </c>
      <c r="C5103" s="3" t="s">
        <v>1342</v>
      </c>
      <c r="D5103" s="3" t="s">
        <v>68</v>
      </c>
      <c r="E5103" s="3" t="s">
        <v>100</v>
      </c>
      <c r="F5103" s="3" t="s">
        <v>1284</v>
      </c>
      <c r="G5103" s="7">
        <v>46113.83283449546</v>
      </c>
    </row>
    <row r="5104">
      <c r="A5104" s="3" t="s">
        <v>15821</v>
      </c>
      <c r="B5104" s="3" t="s">
        <v>419</v>
      </c>
      <c r="C5104" s="3" t="s">
        <v>1095</v>
      </c>
      <c r="D5104" s="3" t="s">
        <v>68</v>
      </c>
      <c r="E5104" s="3" t="s">
        <v>100</v>
      </c>
      <c r="F5104" s="3" t="s">
        <v>1373</v>
      </c>
      <c r="G5104" s="7">
        <v>46113.90400934088</v>
      </c>
    </row>
    <row r="5105">
      <c r="A5105" s="3" t="s">
        <v>15825</v>
      </c>
      <c r="B5105" s="3" t="s">
        <v>800</v>
      </c>
      <c r="C5105" s="3" t="s">
        <v>56</v>
      </c>
      <c r="D5105" s="3" t="s">
        <v>68</v>
      </c>
      <c r="E5105" s="3" t="s">
        <v>100</v>
      </c>
      <c r="F5105" s="3" t="s">
        <v>1808</v>
      </c>
      <c r="G5105" s="7">
        <v>46113.97518418629</v>
      </c>
    </row>
    <row r="5106">
      <c r="A5106" s="3" t="s">
        <v>15828</v>
      </c>
      <c r="B5106" s="3" t="s">
        <v>920</v>
      </c>
      <c r="C5106" s="3" t="s">
        <v>56</v>
      </c>
      <c r="D5106" s="3" t="s">
        <v>68</v>
      </c>
      <c r="E5106" s="3" t="s">
        <v>100</v>
      </c>
      <c r="F5106" s="3" t="s">
        <v>1812</v>
      </c>
      <c r="G5106" s="7">
        <v>46114.0463590317</v>
      </c>
    </row>
    <row r="5107">
      <c r="A5107" s="3" t="s">
        <v>15831</v>
      </c>
      <c r="B5107" s="3" t="s">
        <v>159</v>
      </c>
      <c r="C5107" s="3" t="s">
        <v>1342</v>
      </c>
      <c r="D5107" s="3" t="s">
        <v>68</v>
      </c>
      <c r="E5107" s="3" t="s">
        <v>100</v>
      </c>
      <c r="F5107" s="3" t="s">
        <v>1563</v>
      </c>
      <c r="G5107" s="7">
        <v>46114.11753387712</v>
      </c>
    </row>
    <row r="5108">
      <c r="A5108" s="3" t="s">
        <v>15834</v>
      </c>
      <c r="B5108" s="3" t="s">
        <v>598</v>
      </c>
      <c r="C5108" s="3" t="s">
        <v>1095</v>
      </c>
      <c r="D5108" s="3" t="s">
        <v>68</v>
      </c>
      <c r="E5108" s="3" t="s">
        <v>100</v>
      </c>
      <c r="F5108" s="3" t="s">
        <v>1054</v>
      </c>
      <c r="G5108" s="7">
        <v>46114.18870872253</v>
      </c>
    </row>
    <row r="5109">
      <c r="A5109" s="3" t="s">
        <v>15836</v>
      </c>
      <c r="B5109" s="3" t="s">
        <v>1043</v>
      </c>
      <c r="C5109" s="3" t="s">
        <v>1095</v>
      </c>
      <c r="D5109" s="3" t="s">
        <v>181</v>
      </c>
      <c r="E5109" s="3" t="s">
        <v>45</v>
      </c>
      <c r="F5109" s="3" t="s">
        <v>1605</v>
      </c>
      <c r="G5109" s="7">
        <v>46114.259883567946</v>
      </c>
    </row>
    <row r="5110">
      <c r="A5110" s="3" t="s">
        <v>15839</v>
      </c>
      <c r="B5110" s="3" t="s">
        <v>993</v>
      </c>
      <c r="C5110" s="3" t="s">
        <v>1342</v>
      </c>
      <c r="D5110" s="3" t="s">
        <v>68</v>
      </c>
      <c r="E5110" s="3" t="s">
        <v>100</v>
      </c>
      <c r="F5110" s="3" t="s">
        <v>1598</v>
      </c>
      <c r="G5110" s="7">
        <v>46114.331058413365</v>
      </c>
    </row>
    <row r="5111">
      <c r="A5111" s="3" t="s">
        <v>15841</v>
      </c>
      <c r="B5111" s="3" t="s">
        <v>593</v>
      </c>
      <c r="C5111" s="3" t="s">
        <v>1095</v>
      </c>
      <c r="D5111" s="3" t="s">
        <v>68</v>
      </c>
      <c r="E5111" s="3" t="s">
        <v>100</v>
      </c>
      <c r="F5111" s="3" t="s">
        <v>1621</v>
      </c>
      <c r="G5111" s="7">
        <v>46114.402233258785</v>
      </c>
    </row>
    <row r="5112">
      <c r="A5112" s="3" t="s">
        <v>15844</v>
      </c>
      <c r="B5112" s="3" t="s">
        <v>990</v>
      </c>
      <c r="C5112" s="3" t="s">
        <v>56</v>
      </c>
      <c r="D5112" s="3" t="s">
        <v>68</v>
      </c>
      <c r="E5112" s="3" t="s">
        <v>100</v>
      </c>
      <c r="F5112" s="3" t="s">
        <v>1815</v>
      </c>
      <c r="G5112" s="7">
        <v>46114.47340810419</v>
      </c>
    </row>
    <row r="5113">
      <c r="A5113" s="3" t="s">
        <v>15847</v>
      </c>
      <c r="B5113" s="3" t="s">
        <v>615</v>
      </c>
      <c r="C5113" s="3" t="s">
        <v>1342</v>
      </c>
      <c r="D5113" s="3" t="s">
        <v>68</v>
      </c>
      <c r="E5113" s="3" t="s">
        <v>100</v>
      </c>
      <c r="F5113" s="3" t="s">
        <v>1351</v>
      </c>
      <c r="G5113" s="7">
        <v>46114.54458294961</v>
      </c>
    </row>
    <row r="5114">
      <c r="A5114" s="3" t="s">
        <v>15852</v>
      </c>
      <c r="B5114" s="3" t="s">
        <v>816</v>
      </c>
      <c r="C5114" s="3" t="s">
        <v>56</v>
      </c>
      <c r="D5114" s="3" t="s">
        <v>68</v>
      </c>
      <c r="E5114" s="3" t="s">
        <v>100</v>
      </c>
      <c r="F5114" s="3" t="s">
        <v>1820</v>
      </c>
      <c r="G5114" s="7">
        <v>46114.61575779502</v>
      </c>
    </row>
    <row r="5115">
      <c r="A5115" s="3" t="s">
        <v>15854</v>
      </c>
      <c r="B5115" s="3" t="s">
        <v>1043</v>
      </c>
      <c r="C5115" s="3" t="s">
        <v>1342</v>
      </c>
      <c r="D5115" s="3" t="s">
        <v>68</v>
      </c>
      <c r="E5115" s="3" t="s">
        <v>100</v>
      </c>
      <c r="F5115" s="3" t="s">
        <v>1605</v>
      </c>
      <c r="G5115" s="7">
        <v>46114.68693264044</v>
      </c>
    </row>
    <row r="5116">
      <c r="A5116" s="3" t="s">
        <v>15856</v>
      </c>
      <c r="B5116" s="3" t="s">
        <v>710</v>
      </c>
      <c r="C5116" s="3" t="s">
        <v>1095</v>
      </c>
      <c r="D5116" s="3" t="s">
        <v>68</v>
      </c>
      <c r="E5116" s="3" t="s">
        <v>100</v>
      </c>
      <c r="F5116" s="3" t="s">
        <v>1431</v>
      </c>
      <c r="G5116" s="7">
        <v>46114.75810748585</v>
      </c>
    </row>
    <row r="5117">
      <c r="A5117" s="3" t="s">
        <v>15858</v>
      </c>
      <c r="B5117" s="3" t="s">
        <v>1021</v>
      </c>
      <c r="C5117" s="3" t="s">
        <v>1095</v>
      </c>
      <c r="D5117" s="3" t="s">
        <v>68</v>
      </c>
      <c r="E5117" s="3" t="s">
        <v>100</v>
      </c>
      <c r="F5117" s="3" t="s">
        <v>1671</v>
      </c>
      <c r="G5117" s="7">
        <v>46114.82928233127</v>
      </c>
    </row>
    <row r="5118">
      <c r="A5118" s="3" t="s">
        <v>15860</v>
      </c>
      <c r="B5118" s="3" t="s">
        <v>253</v>
      </c>
      <c r="C5118" s="3" t="s">
        <v>1342</v>
      </c>
      <c r="D5118" s="3" t="s">
        <v>68</v>
      </c>
      <c r="E5118" s="3" t="s">
        <v>100</v>
      </c>
      <c r="F5118" s="3" t="s">
        <v>1483</v>
      </c>
      <c r="G5118" s="7">
        <v>46114.90045717668</v>
      </c>
    </row>
    <row r="5119">
      <c r="A5119" s="3" t="s">
        <v>15865</v>
      </c>
      <c r="B5119" s="3" t="s">
        <v>559</v>
      </c>
      <c r="C5119" s="3" t="s">
        <v>1342</v>
      </c>
      <c r="D5119" s="3" t="s">
        <v>68</v>
      </c>
      <c r="E5119" s="3" t="s">
        <v>100</v>
      </c>
      <c r="F5119" s="3" t="s">
        <v>1278</v>
      </c>
      <c r="G5119" s="7">
        <v>46114.9716320221</v>
      </c>
    </row>
    <row r="5120">
      <c r="A5120" s="3" t="s">
        <v>15868</v>
      </c>
      <c r="B5120" s="3" t="s">
        <v>877</v>
      </c>
      <c r="C5120" s="3" t="s">
        <v>56</v>
      </c>
      <c r="D5120" s="3" t="s">
        <v>68</v>
      </c>
      <c r="E5120" s="3" t="s">
        <v>100</v>
      </c>
      <c r="F5120" s="3" t="s">
        <v>1824</v>
      </c>
      <c r="G5120" s="7">
        <v>46115.04280686752</v>
      </c>
    </row>
    <row r="5121">
      <c r="A5121" s="3" t="s">
        <v>15871</v>
      </c>
      <c r="B5121" s="3" t="s">
        <v>735</v>
      </c>
      <c r="C5121" s="3" t="s">
        <v>1342</v>
      </c>
      <c r="D5121" s="3" t="s">
        <v>68</v>
      </c>
      <c r="E5121" s="3" t="s">
        <v>100</v>
      </c>
      <c r="F5121" s="3" t="s">
        <v>1715</v>
      </c>
      <c r="G5121" s="7">
        <v>46115.11398171293</v>
      </c>
    </row>
    <row r="5122">
      <c r="A5122" s="3" t="s">
        <v>15875</v>
      </c>
      <c r="B5122" s="3" t="s">
        <v>731</v>
      </c>
      <c r="C5122" s="3" t="s">
        <v>1095</v>
      </c>
      <c r="D5122" s="3" t="s">
        <v>68</v>
      </c>
      <c r="E5122" s="3" t="s">
        <v>100</v>
      </c>
      <c r="F5122" s="3" t="s">
        <v>1548</v>
      </c>
      <c r="G5122" s="7">
        <v>46115.18515655834</v>
      </c>
    </row>
    <row r="5123">
      <c r="A5123" s="3" t="s">
        <v>15879</v>
      </c>
      <c r="B5123" s="3" t="s">
        <v>243</v>
      </c>
      <c r="C5123" s="3" t="s">
        <v>56</v>
      </c>
      <c r="D5123" s="3" t="s">
        <v>68</v>
      </c>
      <c r="E5123" s="3" t="s">
        <v>100</v>
      </c>
      <c r="F5123" s="3" t="s">
        <v>1828</v>
      </c>
      <c r="G5123" s="7">
        <v>46115.25633140376</v>
      </c>
    </row>
    <row r="5124">
      <c r="A5124" s="3" t="s">
        <v>15882</v>
      </c>
      <c r="B5124" s="3" t="s">
        <v>665</v>
      </c>
      <c r="C5124" s="3" t="s">
        <v>1095</v>
      </c>
      <c r="D5124" s="3" t="s">
        <v>68</v>
      </c>
      <c r="E5124" s="3" t="s">
        <v>100</v>
      </c>
      <c r="F5124" s="3" t="s">
        <v>1033</v>
      </c>
      <c r="G5124" s="7">
        <v>46115.327506249174</v>
      </c>
    </row>
    <row r="5125">
      <c r="A5125" s="3" t="s">
        <v>15885</v>
      </c>
      <c r="B5125" s="3" t="s">
        <v>215</v>
      </c>
      <c r="C5125" s="3" t="s">
        <v>1342</v>
      </c>
      <c r="D5125" s="3" t="s">
        <v>68</v>
      </c>
      <c r="E5125" s="3" t="s">
        <v>100</v>
      </c>
      <c r="F5125" s="3" t="s">
        <v>1324</v>
      </c>
      <c r="G5125" s="7">
        <v>46115.398681094586</v>
      </c>
    </row>
    <row r="5126">
      <c r="A5126" s="3" t="s">
        <v>15890</v>
      </c>
      <c r="B5126" s="3" t="s">
        <v>557</v>
      </c>
      <c r="C5126" s="3" t="s">
        <v>1342</v>
      </c>
      <c r="D5126" s="3" t="s">
        <v>68</v>
      </c>
      <c r="E5126" s="3" t="s">
        <v>100</v>
      </c>
      <c r="F5126" s="3" t="s">
        <v>1512</v>
      </c>
      <c r="G5126" s="7">
        <v>46115.469855940006</v>
      </c>
    </row>
    <row r="5127">
      <c r="A5127" s="3" t="s">
        <v>15893</v>
      </c>
      <c r="B5127" s="3" t="s">
        <v>758</v>
      </c>
      <c r="C5127" s="3" t="s">
        <v>1095</v>
      </c>
      <c r="D5127" s="3" t="s">
        <v>68</v>
      </c>
      <c r="E5127" s="3" t="s">
        <v>100</v>
      </c>
      <c r="F5127" s="3" t="s">
        <v>1564</v>
      </c>
      <c r="G5127" s="7">
        <v>46115.541030785425</v>
      </c>
    </row>
    <row r="5128">
      <c r="A5128" s="3" t="s">
        <v>15896</v>
      </c>
      <c r="B5128" s="3" t="s">
        <v>280</v>
      </c>
      <c r="C5128" s="3" t="s">
        <v>1342</v>
      </c>
      <c r="D5128" s="3" t="s">
        <v>68</v>
      </c>
      <c r="E5128" s="3" t="s">
        <v>100</v>
      </c>
      <c r="F5128" s="3" t="s">
        <v>1661</v>
      </c>
      <c r="G5128" s="7">
        <v>46115.61220563083</v>
      </c>
    </row>
    <row r="5129">
      <c r="A5129" s="3" t="s">
        <v>15899</v>
      </c>
      <c r="B5129" s="3" t="s">
        <v>250</v>
      </c>
      <c r="C5129" s="3" t="s">
        <v>1342</v>
      </c>
      <c r="D5129" s="3" t="s">
        <v>68</v>
      </c>
      <c r="E5129" s="3" t="s">
        <v>100</v>
      </c>
      <c r="F5129" s="3" t="s">
        <v>1701</v>
      </c>
      <c r="G5129" s="7">
        <v>46115.68338047625</v>
      </c>
    </row>
    <row r="5130">
      <c r="A5130" s="3" t="s">
        <v>15903</v>
      </c>
      <c r="B5130" s="3" t="s">
        <v>366</v>
      </c>
      <c r="C5130" s="3" t="s">
        <v>1095</v>
      </c>
      <c r="D5130" s="3" t="s">
        <v>68</v>
      </c>
      <c r="E5130" s="3" t="s">
        <v>100</v>
      </c>
      <c r="F5130" s="3" t="s">
        <v>1786</v>
      </c>
      <c r="G5130" s="7">
        <v>46115.75455532167</v>
      </c>
    </row>
    <row r="5131">
      <c r="A5131" s="3" t="s">
        <v>15907</v>
      </c>
      <c r="B5131" s="3" t="s">
        <v>920</v>
      </c>
      <c r="C5131" s="3" t="s">
        <v>1342</v>
      </c>
      <c r="D5131" s="3" t="s">
        <v>68</v>
      </c>
      <c r="E5131" s="3" t="s">
        <v>100</v>
      </c>
      <c r="F5131" s="3" t="s">
        <v>1812</v>
      </c>
      <c r="G5131" s="7">
        <v>46115.82573016708</v>
      </c>
    </row>
    <row r="5132">
      <c r="A5132" s="3" t="s">
        <v>15910</v>
      </c>
      <c r="B5132" s="3" t="s">
        <v>727</v>
      </c>
      <c r="C5132" s="3" t="s">
        <v>1095</v>
      </c>
      <c r="D5132" s="3" t="s">
        <v>68</v>
      </c>
      <c r="E5132" s="3" t="s">
        <v>100</v>
      </c>
      <c r="F5132" s="3" t="s">
        <v>1684</v>
      </c>
      <c r="G5132" s="7">
        <v>46115.896905012494</v>
      </c>
    </row>
    <row r="5133">
      <c r="A5133" s="3" t="s">
        <v>15913</v>
      </c>
      <c r="B5133" s="3" t="s">
        <v>197</v>
      </c>
      <c r="C5133" s="3" t="s">
        <v>1342</v>
      </c>
      <c r="D5133" s="3" t="s">
        <v>68</v>
      </c>
      <c r="E5133" s="3" t="s">
        <v>100</v>
      </c>
      <c r="F5133" s="3" t="s">
        <v>1726</v>
      </c>
      <c r="G5133" s="7">
        <v>46115.968079857914</v>
      </c>
    </row>
    <row r="5134">
      <c r="A5134" s="3" t="s">
        <v>15916</v>
      </c>
      <c r="B5134" s="3" t="s">
        <v>1037</v>
      </c>
      <c r="C5134" s="3" t="s">
        <v>1342</v>
      </c>
      <c r="D5134" s="3" t="s">
        <v>68</v>
      </c>
      <c r="E5134" s="3" t="s">
        <v>100</v>
      </c>
      <c r="F5134" s="3" t="s">
        <v>1658</v>
      </c>
      <c r="G5134" s="7">
        <v>46116.039254703326</v>
      </c>
    </row>
    <row r="5135">
      <c r="A5135" s="3" t="s">
        <v>15920</v>
      </c>
      <c r="B5135" s="3" t="s">
        <v>527</v>
      </c>
      <c r="C5135" s="3" t="s">
        <v>1342</v>
      </c>
      <c r="D5135" s="3" t="s">
        <v>68</v>
      </c>
      <c r="E5135" s="3" t="s">
        <v>100</v>
      </c>
      <c r="F5135" s="3" t="s">
        <v>1322</v>
      </c>
      <c r="G5135" s="7">
        <v>46116.11042954874</v>
      </c>
    </row>
    <row r="5136">
      <c r="A5136" s="3" t="s">
        <v>15922</v>
      </c>
      <c r="B5136" s="3" t="s">
        <v>895</v>
      </c>
      <c r="C5136" s="3" t="s">
        <v>56</v>
      </c>
      <c r="D5136" s="3" t="s">
        <v>68</v>
      </c>
      <c r="E5136" s="3" t="s">
        <v>100</v>
      </c>
      <c r="F5136" s="3" t="s">
        <v>1833</v>
      </c>
      <c r="G5136" s="7">
        <v>46116.18160439416</v>
      </c>
    </row>
    <row r="5137">
      <c r="A5137" s="3" t="s">
        <v>15926</v>
      </c>
      <c r="B5137" s="3" t="s">
        <v>612</v>
      </c>
      <c r="C5137" s="3" t="s">
        <v>1095</v>
      </c>
      <c r="D5137" s="3" t="s">
        <v>68</v>
      </c>
      <c r="E5137" s="3" t="s">
        <v>100</v>
      </c>
      <c r="F5137" s="3" t="s">
        <v>1557</v>
      </c>
      <c r="G5137" s="7">
        <v>46116.25277923957</v>
      </c>
    </row>
    <row r="5138">
      <c r="A5138" s="3" t="s">
        <v>15930</v>
      </c>
      <c r="B5138" s="3" t="s">
        <v>781</v>
      </c>
      <c r="C5138" s="3" t="s">
        <v>56</v>
      </c>
      <c r="D5138" s="3" t="s">
        <v>68</v>
      </c>
      <c r="E5138" s="3" t="s">
        <v>100</v>
      </c>
      <c r="F5138" s="3" t="s">
        <v>1837</v>
      </c>
      <c r="G5138" s="7">
        <v>46116.32395408498</v>
      </c>
    </row>
    <row r="5139">
      <c r="A5139" s="3" t="s">
        <v>15933</v>
      </c>
      <c r="B5139" s="3" t="s">
        <v>243</v>
      </c>
      <c r="C5139" s="3" t="s">
        <v>1095</v>
      </c>
      <c r="D5139" s="3" t="s">
        <v>68</v>
      </c>
      <c r="E5139" s="3" t="s">
        <v>100</v>
      </c>
      <c r="F5139" s="3" t="s">
        <v>1828</v>
      </c>
      <c r="G5139" s="7">
        <v>46116.3951289304</v>
      </c>
    </row>
    <row r="5140">
      <c r="A5140" s="3" t="s">
        <v>15937</v>
      </c>
      <c r="B5140" s="3" t="s">
        <v>1037</v>
      </c>
      <c r="C5140" s="3" t="s">
        <v>1095</v>
      </c>
      <c r="D5140" s="3" t="s">
        <v>68</v>
      </c>
      <c r="E5140" s="3" t="s">
        <v>100</v>
      </c>
      <c r="F5140" s="3" t="s">
        <v>1658</v>
      </c>
      <c r="G5140" s="7">
        <v>46116.466303775815</v>
      </c>
    </row>
    <row r="5141">
      <c r="A5141" s="3" t="s">
        <v>15941</v>
      </c>
      <c r="B5141" s="3" t="s">
        <v>269</v>
      </c>
      <c r="C5141" s="3" t="s">
        <v>1342</v>
      </c>
      <c r="D5141" s="3" t="s">
        <v>181</v>
      </c>
      <c r="E5141" s="3" t="s">
        <v>45</v>
      </c>
      <c r="F5141" s="3" t="s">
        <v>1343</v>
      </c>
      <c r="G5141" s="7">
        <v>46116.53747862123</v>
      </c>
    </row>
    <row r="5142">
      <c r="A5142" s="3" t="s">
        <v>15944</v>
      </c>
      <c r="B5142" s="3" t="s">
        <v>689</v>
      </c>
      <c r="C5142" s="3" t="s">
        <v>1342</v>
      </c>
      <c r="D5142" s="3" t="s">
        <v>68</v>
      </c>
      <c r="E5142" s="3" t="s">
        <v>100</v>
      </c>
      <c r="F5142" s="3" t="s">
        <v>1789</v>
      </c>
      <c r="G5142" s="7">
        <v>46116.60865346665</v>
      </c>
    </row>
    <row r="5143">
      <c r="A5143" s="3" t="s">
        <v>15947</v>
      </c>
      <c r="B5143" s="3" t="s">
        <v>202</v>
      </c>
      <c r="C5143" s="3" t="s">
        <v>1342</v>
      </c>
      <c r="D5143" s="3" t="s">
        <v>68</v>
      </c>
      <c r="E5143" s="3" t="s">
        <v>100</v>
      </c>
      <c r="F5143" s="3" t="s">
        <v>1691</v>
      </c>
      <c r="G5143" s="7">
        <v>46116.679828312066</v>
      </c>
    </row>
    <row r="5144">
      <c r="A5144" s="3" t="s">
        <v>15950</v>
      </c>
      <c r="B5144" s="3" t="s">
        <v>972</v>
      </c>
      <c r="C5144" s="3" t="s">
        <v>56</v>
      </c>
      <c r="D5144" s="3" t="s">
        <v>181</v>
      </c>
      <c r="E5144" s="3" t="s">
        <v>45</v>
      </c>
      <c r="F5144" s="3" t="s">
        <v>45</v>
      </c>
      <c r="G5144" s="7">
        <v>46116.75100315747</v>
      </c>
    </row>
    <row r="5145">
      <c r="A5145" s="3" t="s">
        <v>15952</v>
      </c>
      <c r="B5145" s="3" t="s">
        <v>380</v>
      </c>
      <c r="C5145" s="3" t="s">
        <v>1095</v>
      </c>
      <c r="D5145" s="3" t="s">
        <v>68</v>
      </c>
      <c r="E5145" s="3" t="s">
        <v>100</v>
      </c>
      <c r="F5145" s="3" t="s">
        <v>1745</v>
      </c>
      <c r="G5145" s="7">
        <v>46116.82217800289</v>
      </c>
    </row>
    <row r="5146">
      <c r="A5146" s="3" t="s">
        <v>15955</v>
      </c>
      <c r="B5146" s="3" t="s">
        <v>612</v>
      </c>
      <c r="C5146" s="3" t="s">
        <v>56</v>
      </c>
      <c r="D5146" s="3" t="s">
        <v>68</v>
      </c>
      <c r="E5146" s="3" t="s">
        <v>100</v>
      </c>
      <c r="F5146" s="3" t="s">
        <v>1842</v>
      </c>
      <c r="G5146" s="7">
        <v>46116.89335284831</v>
      </c>
    </row>
    <row r="5147">
      <c r="A5147" s="3" t="s">
        <v>15957</v>
      </c>
      <c r="B5147" s="3" t="s">
        <v>521</v>
      </c>
      <c r="C5147" s="3" t="s">
        <v>56</v>
      </c>
      <c r="D5147" s="3" t="s">
        <v>68</v>
      </c>
      <c r="E5147" s="3" t="s">
        <v>100</v>
      </c>
      <c r="F5147" s="3" t="s">
        <v>1846</v>
      </c>
      <c r="G5147" s="7">
        <v>46116.96452769372</v>
      </c>
    </row>
    <row r="5148">
      <c r="A5148" s="3" t="s">
        <v>15960</v>
      </c>
      <c r="B5148" s="3" t="s">
        <v>619</v>
      </c>
      <c r="C5148" s="3" t="s">
        <v>1342</v>
      </c>
      <c r="D5148" s="3" t="s">
        <v>68</v>
      </c>
      <c r="E5148" s="3" t="s">
        <v>100</v>
      </c>
      <c r="F5148" s="3" t="s">
        <v>1667</v>
      </c>
      <c r="G5148" s="7">
        <v>46117.035702539135</v>
      </c>
    </row>
    <row r="5149">
      <c r="A5149" s="3" t="s">
        <v>15963</v>
      </c>
      <c r="B5149" s="3" t="s">
        <v>773</v>
      </c>
      <c r="C5149" s="3" t="s">
        <v>1342</v>
      </c>
      <c r="D5149" s="3" t="s">
        <v>181</v>
      </c>
      <c r="E5149" s="3" t="s">
        <v>45</v>
      </c>
      <c r="F5149" s="3" t="s">
        <v>2085</v>
      </c>
      <c r="G5149" s="7">
        <v>46117.106877384555</v>
      </c>
    </row>
    <row r="5150">
      <c r="A5150" s="3" t="s">
        <v>15966</v>
      </c>
      <c r="B5150" s="3" t="s">
        <v>1043</v>
      </c>
      <c r="C5150" s="3" t="s">
        <v>1342</v>
      </c>
      <c r="D5150" s="3" t="s">
        <v>68</v>
      </c>
      <c r="E5150" s="3" t="s">
        <v>100</v>
      </c>
      <c r="F5150" s="3" t="s">
        <v>1605</v>
      </c>
      <c r="G5150" s="7">
        <v>46117.17805222997</v>
      </c>
    </row>
    <row r="5151">
      <c r="A5151" s="3" t="s">
        <v>15969</v>
      </c>
      <c r="B5151" s="3" t="s">
        <v>536</v>
      </c>
      <c r="C5151" s="3" t="s">
        <v>56</v>
      </c>
      <c r="D5151" s="3" t="s">
        <v>68</v>
      </c>
      <c r="E5151" s="3" t="s">
        <v>100</v>
      </c>
      <c r="F5151" s="3" t="s">
        <v>1848</v>
      </c>
      <c r="G5151" s="7">
        <v>46117.24922707538</v>
      </c>
    </row>
    <row r="5152">
      <c r="A5152" s="3" t="s">
        <v>15973</v>
      </c>
      <c r="B5152" s="3" t="s">
        <v>965</v>
      </c>
      <c r="C5152" s="3" t="s">
        <v>1342</v>
      </c>
      <c r="D5152" s="3" t="s">
        <v>68</v>
      </c>
      <c r="E5152" s="3" t="s">
        <v>100</v>
      </c>
      <c r="F5152" s="3" t="s">
        <v>653</v>
      </c>
      <c r="G5152" s="7">
        <v>46117.3204019208</v>
      </c>
    </row>
    <row r="5153">
      <c r="A5153" s="3" t="s">
        <v>15976</v>
      </c>
      <c r="B5153" s="3" t="s">
        <v>175</v>
      </c>
      <c r="C5153" s="3" t="s">
        <v>1095</v>
      </c>
      <c r="D5153" s="3" t="s">
        <v>68</v>
      </c>
      <c r="E5153" s="3" t="s">
        <v>100</v>
      </c>
      <c r="F5153" s="3" t="s">
        <v>1127</v>
      </c>
      <c r="G5153" s="7">
        <v>46117.39157676622</v>
      </c>
    </row>
    <row r="5154">
      <c r="A5154" s="3" t="s">
        <v>15980</v>
      </c>
      <c r="B5154" s="3" t="s">
        <v>993</v>
      </c>
      <c r="C5154" s="3" t="s">
        <v>1342</v>
      </c>
      <c r="D5154" s="3" t="s">
        <v>68</v>
      </c>
      <c r="E5154" s="3" t="s">
        <v>100</v>
      </c>
      <c r="F5154" s="3" t="s">
        <v>1598</v>
      </c>
      <c r="G5154" s="7">
        <v>46117.46275161162</v>
      </c>
    </row>
    <row r="5155">
      <c r="A5155" s="3" t="s">
        <v>15983</v>
      </c>
      <c r="B5155" s="3" t="s">
        <v>1030</v>
      </c>
      <c r="C5155" s="3" t="s">
        <v>1342</v>
      </c>
      <c r="D5155" s="3" t="s">
        <v>68</v>
      </c>
      <c r="E5155" s="3" t="s">
        <v>100</v>
      </c>
      <c r="F5155" s="3" t="s">
        <v>808</v>
      </c>
      <c r="G5155" s="7">
        <v>46117.53392645704</v>
      </c>
    </row>
    <row r="5156">
      <c r="A5156" s="3" t="s">
        <v>15986</v>
      </c>
      <c r="B5156" s="3" t="s">
        <v>793</v>
      </c>
      <c r="C5156" s="3" t="s">
        <v>1342</v>
      </c>
      <c r="D5156" s="3" t="s">
        <v>195</v>
      </c>
      <c r="E5156" s="3" t="s">
        <v>45</v>
      </c>
      <c r="F5156" s="3" t="s">
        <v>1429</v>
      </c>
      <c r="G5156" s="7">
        <v>46117.605101302455</v>
      </c>
    </row>
    <row r="5157">
      <c r="A5157" s="3" t="s">
        <v>15988</v>
      </c>
      <c r="B5157" s="3" t="s">
        <v>1043</v>
      </c>
      <c r="C5157" s="3" t="s">
        <v>1342</v>
      </c>
      <c r="D5157" s="3" t="s">
        <v>68</v>
      </c>
      <c r="E5157" s="3" t="s">
        <v>100</v>
      </c>
      <c r="F5157" s="3" t="s">
        <v>1605</v>
      </c>
      <c r="G5157" s="7">
        <v>46117.676276147875</v>
      </c>
    </row>
    <row r="5158">
      <c r="A5158" s="3" t="s">
        <v>15990</v>
      </c>
      <c r="B5158" s="3" t="s">
        <v>785</v>
      </c>
      <c r="C5158" s="3" t="s">
        <v>1342</v>
      </c>
      <c r="D5158" s="3" t="s">
        <v>68</v>
      </c>
      <c r="E5158" s="3" t="s">
        <v>100</v>
      </c>
      <c r="F5158" s="3" t="s">
        <v>1549</v>
      </c>
      <c r="G5158" s="7">
        <v>46117.74745099329</v>
      </c>
    </row>
    <row r="5159">
      <c r="A5159" s="3" t="s">
        <v>15993</v>
      </c>
      <c r="B5159" s="3" t="s">
        <v>272</v>
      </c>
      <c r="C5159" s="3" t="s">
        <v>1342</v>
      </c>
      <c r="D5159" s="3" t="s">
        <v>68</v>
      </c>
      <c r="E5159" s="3" t="s">
        <v>100</v>
      </c>
      <c r="F5159" s="3" t="s">
        <v>923</v>
      </c>
      <c r="G5159" s="7">
        <v>46117.81862583871</v>
      </c>
    </row>
    <row r="5160">
      <c r="A5160" s="3" t="s">
        <v>15995</v>
      </c>
      <c r="B5160" s="3" t="s">
        <v>287</v>
      </c>
      <c r="C5160" s="3" t="s">
        <v>1095</v>
      </c>
      <c r="D5160" s="3" t="s">
        <v>68</v>
      </c>
      <c r="E5160" s="3" t="s">
        <v>100</v>
      </c>
      <c r="F5160" s="3" t="s">
        <v>1348</v>
      </c>
      <c r="G5160" s="7">
        <v>46117.88980068411</v>
      </c>
    </row>
    <row r="5161">
      <c r="A5161" s="3" t="s">
        <v>15997</v>
      </c>
      <c r="B5161" s="3" t="s">
        <v>629</v>
      </c>
      <c r="C5161" s="3" t="s">
        <v>56</v>
      </c>
      <c r="D5161" s="3" t="s">
        <v>68</v>
      </c>
      <c r="E5161" s="3" t="s">
        <v>100</v>
      </c>
      <c r="F5161" s="3" t="s">
        <v>1850</v>
      </c>
      <c r="G5161" s="7">
        <v>46117.96097552953</v>
      </c>
    </row>
    <row r="5162">
      <c r="A5162" s="3" t="s">
        <v>16000</v>
      </c>
      <c r="B5162" s="3" t="s">
        <v>778</v>
      </c>
      <c r="C5162" s="3" t="s">
        <v>56</v>
      </c>
      <c r="D5162" s="3" t="s">
        <v>68</v>
      </c>
      <c r="E5162" s="3" t="s">
        <v>100</v>
      </c>
      <c r="F5162" s="3" t="s">
        <v>1852</v>
      </c>
      <c r="G5162" s="7">
        <v>46118.03215037495</v>
      </c>
    </row>
    <row r="5163">
      <c r="A5163" s="3" t="s">
        <v>16004</v>
      </c>
      <c r="B5163" s="3" t="s">
        <v>400</v>
      </c>
      <c r="C5163" s="3" t="s">
        <v>1342</v>
      </c>
      <c r="D5163" s="3" t="s">
        <v>68</v>
      </c>
      <c r="E5163" s="3" t="s">
        <v>100</v>
      </c>
      <c r="F5163" s="3" t="s">
        <v>1619</v>
      </c>
      <c r="G5163" s="7">
        <v>46118.10332522036</v>
      </c>
    </row>
    <row r="5164">
      <c r="A5164" s="3" t="s">
        <v>16008</v>
      </c>
      <c r="B5164" s="3" t="s">
        <v>481</v>
      </c>
      <c r="C5164" s="3" t="s">
        <v>56</v>
      </c>
      <c r="D5164" s="3" t="s">
        <v>181</v>
      </c>
      <c r="E5164" s="3" t="s">
        <v>45</v>
      </c>
      <c r="F5164" s="3" t="s">
        <v>45</v>
      </c>
      <c r="G5164" s="7">
        <v>46118.174500065776</v>
      </c>
    </row>
    <row r="5165">
      <c r="A5165" s="3" t="s">
        <v>16011</v>
      </c>
      <c r="B5165" s="3" t="s">
        <v>151</v>
      </c>
      <c r="C5165" s="3" t="s">
        <v>1095</v>
      </c>
      <c r="D5165" s="3" t="s">
        <v>68</v>
      </c>
      <c r="E5165" s="3" t="s">
        <v>100</v>
      </c>
      <c r="F5165" s="3" t="s">
        <v>1709</v>
      </c>
      <c r="G5165" s="7">
        <v>46118.245674911195</v>
      </c>
    </row>
    <row r="5166">
      <c r="A5166" s="3" t="s">
        <v>16014</v>
      </c>
      <c r="B5166" s="3" t="s">
        <v>348</v>
      </c>
      <c r="C5166" s="3" t="s">
        <v>1095</v>
      </c>
      <c r="D5166" s="3" t="s">
        <v>68</v>
      </c>
      <c r="E5166" s="3" t="s">
        <v>100</v>
      </c>
      <c r="F5166" s="3" t="s">
        <v>1629</v>
      </c>
      <c r="G5166" s="7">
        <v>46118.31684975661</v>
      </c>
    </row>
    <row r="5167">
      <c r="A5167" s="3" t="s">
        <v>16018</v>
      </c>
      <c r="B5167" s="3" t="s">
        <v>619</v>
      </c>
      <c r="C5167" s="3" t="s">
        <v>1095</v>
      </c>
      <c r="D5167" s="3" t="s">
        <v>68</v>
      </c>
      <c r="E5167" s="3" t="s">
        <v>100</v>
      </c>
      <c r="F5167" s="3" t="s">
        <v>1667</v>
      </c>
      <c r="G5167" s="7">
        <v>46118.38802460202</v>
      </c>
    </row>
    <row r="5168">
      <c r="A5168" s="3" t="s">
        <v>16021</v>
      </c>
      <c r="B5168" s="3" t="s">
        <v>559</v>
      </c>
      <c r="C5168" s="3" t="s">
        <v>1095</v>
      </c>
      <c r="D5168" s="3" t="s">
        <v>68</v>
      </c>
      <c r="E5168" s="3" t="s">
        <v>100</v>
      </c>
      <c r="F5168" s="3" t="s">
        <v>1278</v>
      </c>
      <c r="G5168" s="7">
        <v>46118.45919944744</v>
      </c>
    </row>
    <row r="5169">
      <c r="A5169" s="3" t="s">
        <v>16025</v>
      </c>
      <c r="B5169" s="3" t="s">
        <v>398</v>
      </c>
      <c r="C5169" s="3" t="s">
        <v>1342</v>
      </c>
      <c r="D5169" s="3" t="s">
        <v>68</v>
      </c>
      <c r="E5169" s="3" t="s">
        <v>100</v>
      </c>
      <c r="F5169" s="3" t="s">
        <v>1804</v>
      </c>
      <c r="G5169" s="7">
        <v>46118.53037429286</v>
      </c>
    </row>
    <row r="5170">
      <c r="A5170" s="3" t="s">
        <v>16028</v>
      </c>
      <c r="B5170" s="3" t="s">
        <v>619</v>
      </c>
      <c r="C5170" s="3" t="s">
        <v>56</v>
      </c>
      <c r="D5170" s="3" t="s">
        <v>68</v>
      </c>
      <c r="E5170" s="3" t="s">
        <v>100</v>
      </c>
      <c r="F5170" s="3" t="s">
        <v>1855</v>
      </c>
      <c r="G5170" s="7">
        <v>46118.601549138264</v>
      </c>
    </row>
    <row r="5171">
      <c r="A5171" s="3" t="s">
        <v>16031</v>
      </c>
      <c r="B5171" s="3" t="s">
        <v>781</v>
      </c>
      <c r="C5171" s="3" t="s">
        <v>1095</v>
      </c>
      <c r="D5171" s="3" t="s">
        <v>68</v>
      </c>
      <c r="E5171" s="3" t="s">
        <v>100</v>
      </c>
      <c r="F5171" s="3" t="s">
        <v>1837</v>
      </c>
      <c r="G5171" s="7">
        <v>46118.672723983684</v>
      </c>
    </row>
    <row r="5172">
      <c r="A5172" s="3" t="s">
        <v>16034</v>
      </c>
      <c r="B5172" s="3" t="s">
        <v>949</v>
      </c>
      <c r="C5172" s="3" t="s">
        <v>1095</v>
      </c>
      <c r="D5172" s="3" t="s">
        <v>68</v>
      </c>
      <c r="E5172" s="3" t="s">
        <v>100</v>
      </c>
      <c r="F5172" s="3" t="s">
        <v>1770</v>
      </c>
      <c r="G5172" s="7">
        <v>46118.7438988291</v>
      </c>
    </row>
    <row r="5173">
      <c r="A5173" s="3" t="s">
        <v>16038</v>
      </c>
      <c r="B5173" s="3" t="s">
        <v>969</v>
      </c>
      <c r="C5173" s="3" t="s">
        <v>1342</v>
      </c>
      <c r="D5173" s="3" t="s">
        <v>68</v>
      </c>
      <c r="E5173" s="3" t="s">
        <v>100</v>
      </c>
      <c r="F5173" s="3" t="s">
        <v>1869</v>
      </c>
      <c r="G5173" s="7">
        <v>46118.815073674516</v>
      </c>
    </row>
    <row r="5174">
      <c r="A5174" s="3" t="s">
        <v>16042</v>
      </c>
      <c r="B5174" s="3" t="s">
        <v>352</v>
      </c>
      <c r="C5174" s="3" t="s">
        <v>1095</v>
      </c>
      <c r="D5174" s="3" t="s">
        <v>195</v>
      </c>
      <c r="E5174" s="3" t="s">
        <v>45</v>
      </c>
      <c r="F5174" s="3" t="s">
        <v>810</v>
      </c>
      <c r="G5174" s="7">
        <v>46118.88624851993</v>
      </c>
    </row>
    <row r="5175">
      <c r="A5175" s="3" t="s">
        <v>16045</v>
      </c>
      <c r="B5175" s="3" t="s">
        <v>481</v>
      </c>
      <c r="C5175" s="3" t="s">
        <v>56</v>
      </c>
      <c r="D5175" s="3" t="s">
        <v>181</v>
      </c>
      <c r="E5175" s="3" t="s">
        <v>45</v>
      </c>
      <c r="F5175" s="3" t="s">
        <v>45</v>
      </c>
      <c r="G5175" s="7">
        <v>46118.95742336535</v>
      </c>
    </row>
    <row r="5176">
      <c r="A5176" s="3" t="s">
        <v>16048</v>
      </c>
      <c r="B5176" s="3" t="s">
        <v>895</v>
      </c>
      <c r="C5176" s="3" t="s">
        <v>1342</v>
      </c>
      <c r="D5176" s="3" t="s">
        <v>68</v>
      </c>
      <c r="E5176" s="3" t="s">
        <v>100</v>
      </c>
      <c r="F5176" s="3" t="s">
        <v>1833</v>
      </c>
      <c r="G5176" s="7">
        <v>46119.02859821076</v>
      </c>
    </row>
    <row r="5177">
      <c r="A5177" s="3" t="s">
        <v>16051</v>
      </c>
      <c r="B5177" s="3" t="s">
        <v>822</v>
      </c>
      <c r="C5177" s="3" t="s">
        <v>1095</v>
      </c>
      <c r="D5177" s="3" t="s">
        <v>195</v>
      </c>
      <c r="E5177" s="3" t="s">
        <v>45</v>
      </c>
      <c r="F5177" s="3" t="s">
        <v>1552</v>
      </c>
      <c r="G5177" s="7">
        <v>46119.09977305617</v>
      </c>
    </row>
    <row r="5178">
      <c r="A5178" s="3" t="s">
        <v>16054</v>
      </c>
      <c r="B5178" s="3" t="s">
        <v>773</v>
      </c>
      <c r="C5178" s="3" t="s">
        <v>1342</v>
      </c>
      <c r="D5178" s="3" t="s">
        <v>195</v>
      </c>
      <c r="E5178" s="3" t="s">
        <v>45</v>
      </c>
      <c r="F5178" s="3" t="s">
        <v>2085</v>
      </c>
      <c r="G5178" s="7">
        <v>46119.17094790159</v>
      </c>
    </row>
    <row r="5179">
      <c r="A5179" s="3" t="s">
        <v>16058</v>
      </c>
      <c r="B5179" s="3" t="s">
        <v>515</v>
      </c>
      <c r="C5179" s="3" t="s">
        <v>1095</v>
      </c>
      <c r="D5179" s="3" t="s">
        <v>68</v>
      </c>
      <c r="E5179" s="3" t="s">
        <v>100</v>
      </c>
      <c r="F5179" s="3" t="s">
        <v>1606</v>
      </c>
      <c r="G5179" s="7">
        <v>46119.242122747004</v>
      </c>
    </row>
    <row r="5180">
      <c r="A5180" s="3" t="s">
        <v>16062</v>
      </c>
      <c r="B5180" s="3" t="s">
        <v>202</v>
      </c>
      <c r="C5180" s="3" t="s">
        <v>1342</v>
      </c>
      <c r="D5180" s="3" t="s">
        <v>68</v>
      </c>
      <c r="E5180" s="3" t="s">
        <v>100</v>
      </c>
      <c r="F5180" s="3" t="s">
        <v>1691</v>
      </c>
      <c r="G5180" s="7">
        <v>46119.313297592416</v>
      </c>
    </row>
    <row r="5181">
      <c r="A5181" s="3" t="s">
        <v>16065</v>
      </c>
      <c r="B5181" s="3" t="s">
        <v>460</v>
      </c>
      <c r="C5181" s="3" t="s">
        <v>56</v>
      </c>
      <c r="D5181" s="3" t="s">
        <v>68</v>
      </c>
      <c r="E5181" s="3" t="s">
        <v>100</v>
      </c>
      <c r="F5181" s="3" t="s">
        <v>1857</v>
      </c>
      <c r="G5181" s="7">
        <v>46119.384472437836</v>
      </c>
    </row>
    <row r="5182">
      <c r="A5182" s="3" t="s">
        <v>16068</v>
      </c>
      <c r="B5182" s="3" t="s">
        <v>424</v>
      </c>
      <c r="C5182" s="3" t="s">
        <v>1095</v>
      </c>
      <c r="D5182" s="3" t="s">
        <v>68</v>
      </c>
      <c r="E5182" s="3" t="s">
        <v>100</v>
      </c>
      <c r="F5182" s="3" t="s">
        <v>1579</v>
      </c>
      <c r="G5182" s="7">
        <v>46119.45564728325</v>
      </c>
    </row>
    <row r="5183">
      <c r="A5183" s="3" t="s">
        <v>16071</v>
      </c>
      <c r="B5183" s="3" t="s">
        <v>535</v>
      </c>
      <c r="C5183" s="3" t="s">
        <v>1342</v>
      </c>
      <c r="D5183" s="3" t="s">
        <v>68</v>
      </c>
      <c r="E5183" s="3" t="s">
        <v>100</v>
      </c>
      <c r="F5183" s="3" t="s">
        <v>1467</v>
      </c>
      <c r="G5183" s="7">
        <v>46119.52682212866</v>
      </c>
    </row>
    <row r="5184">
      <c r="A5184" s="3" t="s">
        <v>16076</v>
      </c>
      <c r="B5184" s="3" t="s">
        <v>530</v>
      </c>
      <c r="C5184" s="3" t="s">
        <v>1342</v>
      </c>
      <c r="D5184" s="3" t="s">
        <v>68</v>
      </c>
      <c r="E5184" s="3" t="s">
        <v>100</v>
      </c>
      <c r="F5184" s="3" t="s">
        <v>1443</v>
      </c>
      <c r="G5184" s="7">
        <v>46119.59799697408</v>
      </c>
    </row>
    <row r="5185">
      <c r="A5185" s="3" t="s">
        <v>16079</v>
      </c>
      <c r="B5185" s="3" t="s">
        <v>698</v>
      </c>
      <c r="C5185" s="3" t="s">
        <v>56</v>
      </c>
      <c r="D5185" s="3" t="s">
        <v>195</v>
      </c>
      <c r="E5185" s="3" t="s">
        <v>45</v>
      </c>
      <c r="F5185" s="3" t="s">
        <v>45</v>
      </c>
      <c r="G5185" s="7">
        <v>46119.6691718195</v>
      </c>
    </row>
    <row r="5186">
      <c r="A5186" s="3" t="s">
        <v>16082</v>
      </c>
      <c r="B5186" s="3" t="s">
        <v>449</v>
      </c>
      <c r="C5186" s="3" t="s">
        <v>1095</v>
      </c>
      <c r="D5186" s="3" t="s">
        <v>68</v>
      </c>
      <c r="E5186" s="3" t="s">
        <v>100</v>
      </c>
      <c r="F5186" s="3" t="s">
        <v>560</v>
      </c>
      <c r="G5186" s="7">
        <v>46119.740346664905</v>
      </c>
    </row>
    <row r="5187">
      <c r="A5187" s="3" t="s">
        <v>16085</v>
      </c>
      <c r="B5187" s="3" t="s">
        <v>424</v>
      </c>
      <c r="C5187" s="3" t="s">
        <v>56</v>
      </c>
      <c r="D5187" s="3" t="s">
        <v>68</v>
      </c>
      <c r="E5187" s="3" t="s">
        <v>100</v>
      </c>
      <c r="F5187" s="3" t="s">
        <v>1860</v>
      </c>
      <c r="G5187" s="7">
        <v>46119.811521510324</v>
      </c>
    </row>
    <row r="5188">
      <c r="A5188" s="3" t="s">
        <v>16088</v>
      </c>
      <c r="B5188" s="3" t="s">
        <v>226</v>
      </c>
      <c r="C5188" s="3" t="s">
        <v>1095</v>
      </c>
      <c r="D5188" s="3" t="s">
        <v>68</v>
      </c>
      <c r="E5188" s="3" t="s">
        <v>100</v>
      </c>
      <c r="F5188" s="3" t="s">
        <v>1685</v>
      </c>
      <c r="G5188" s="7">
        <v>46119.882696355744</v>
      </c>
    </row>
    <row r="5189">
      <c r="A5189" s="3" t="s">
        <v>16092</v>
      </c>
      <c r="B5189" s="3" t="s">
        <v>168</v>
      </c>
      <c r="C5189" s="3" t="s">
        <v>1095</v>
      </c>
      <c r="D5189" s="3" t="s">
        <v>68</v>
      </c>
      <c r="E5189" s="3" t="s">
        <v>100</v>
      </c>
      <c r="F5189" s="3" t="s">
        <v>1712</v>
      </c>
      <c r="G5189" s="7">
        <v>46119.953871201156</v>
      </c>
    </row>
    <row r="5190">
      <c r="A5190" s="3" t="s">
        <v>16096</v>
      </c>
      <c r="B5190" s="3" t="s">
        <v>440</v>
      </c>
      <c r="C5190" s="3" t="s">
        <v>56</v>
      </c>
      <c r="D5190" s="3" t="s">
        <v>68</v>
      </c>
      <c r="E5190" s="3" t="s">
        <v>100</v>
      </c>
      <c r="F5190" s="3" t="s">
        <v>1863</v>
      </c>
      <c r="G5190" s="7">
        <v>46120.02504604657</v>
      </c>
    </row>
    <row r="5191">
      <c r="A5191" s="3" t="s">
        <v>16099</v>
      </c>
      <c r="B5191" s="3" t="s">
        <v>165</v>
      </c>
      <c r="C5191" s="3" t="s">
        <v>1342</v>
      </c>
      <c r="D5191" s="3" t="s">
        <v>68</v>
      </c>
      <c r="E5191" s="3" t="s">
        <v>100</v>
      </c>
      <c r="F5191" s="3" t="s">
        <v>1319</v>
      </c>
      <c r="G5191" s="7">
        <v>46120.09622089199</v>
      </c>
    </row>
    <row r="5192">
      <c r="A5192" s="3" t="s">
        <v>16103</v>
      </c>
      <c r="B5192" s="3" t="s">
        <v>591</v>
      </c>
      <c r="C5192" s="3" t="s">
        <v>1342</v>
      </c>
      <c r="D5192" s="3" t="s">
        <v>68</v>
      </c>
      <c r="E5192" s="3" t="s">
        <v>100</v>
      </c>
      <c r="F5192" s="3" t="s">
        <v>1173</v>
      </c>
      <c r="G5192" s="7">
        <v>46120.1673957374</v>
      </c>
    </row>
    <row r="5193">
      <c r="A5193" s="3" t="s">
        <v>16107</v>
      </c>
      <c r="B5193" s="3" t="s">
        <v>993</v>
      </c>
      <c r="C5193" s="3" t="s">
        <v>1342</v>
      </c>
      <c r="D5193" s="3" t="s">
        <v>68</v>
      </c>
      <c r="E5193" s="3" t="s">
        <v>100</v>
      </c>
      <c r="F5193" s="3" t="s">
        <v>1598</v>
      </c>
      <c r="G5193" s="7">
        <v>46120.23857058281</v>
      </c>
    </row>
    <row r="5194">
      <c r="A5194" s="3" t="s">
        <v>16110</v>
      </c>
      <c r="B5194" s="3" t="s">
        <v>622</v>
      </c>
      <c r="C5194" s="3" t="s">
        <v>1342</v>
      </c>
      <c r="D5194" s="3" t="s">
        <v>68</v>
      </c>
      <c r="E5194" s="3" t="s">
        <v>100</v>
      </c>
      <c r="F5194" s="3" t="s">
        <v>681</v>
      </c>
      <c r="G5194" s="7">
        <v>46120.30974542823</v>
      </c>
    </row>
    <row r="5195">
      <c r="A5195" s="3" t="s">
        <v>16114</v>
      </c>
      <c r="B5195" s="3" t="s">
        <v>581</v>
      </c>
      <c r="C5195" s="3" t="s">
        <v>1095</v>
      </c>
      <c r="D5195" s="3" t="s">
        <v>68</v>
      </c>
      <c r="E5195" s="3" t="s">
        <v>100</v>
      </c>
      <c r="F5195" s="3" t="s">
        <v>1218</v>
      </c>
      <c r="G5195" s="7">
        <v>46120.38092027365</v>
      </c>
    </row>
    <row r="5196">
      <c r="A5196" s="3" t="s">
        <v>16120</v>
      </c>
      <c r="B5196" s="3" t="s">
        <v>366</v>
      </c>
      <c r="C5196" s="3" t="s">
        <v>56</v>
      </c>
      <c r="D5196" s="3" t="s">
        <v>68</v>
      </c>
      <c r="E5196" s="3" t="s">
        <v>100</v>
      </c>
      <c r="F5196" s="3" t="s">
        <v>1864</v>
      </c>
      <c r="G5196" s="7">
        <v>46120.45209511906</v>
      </c>
    </row>
    <row r="5197">
      <c r="A5197" s="3" t="s">
        <v>16122</v>
      </c>
      <c r="B5197" s="3" t="s">
        <v>544</v>
      </c>
      <c r="C5197" s="3" t="s">
        <v>1095</v>
      </c>
      <c r="D5197" s="3" t="s">
        <v>195</v>
      </c>
      <c r="E5197" s="3" t="s">
        <v>45</v>
      </c>
      <c r="F5197" s="3" t="s">
        <v>1999</v>
      </c>
      <c r="G5197" s="7">
        <v>46120.52326996448</v>
      </c>
    </row>
    <row r="5198">
      <c r="A5198" s="3" t="s">
        <v>16125</v>
      </c>
      <c r="B5198" s="3" t="s">
        <v>123</v>
      </c>
      <c r="C5198" s="3" t="s">
        <v>1095</v>
      </c>
      <c r="D5198" s="3" t="s">
        <v>68</v>
      </c>
      <c r="E5198" s="3" t="s">
        <v>100</v>
      </c>
      <c r="F5198" s="3" t="s">
        <v>1434</v>
      </c>
      <c r="G5198" s="7">
        <v>46120.59444480989</v>
      </c>
    </row>
    <row r="5199">
      <c r="A5199" s="3" t="s">
        <v>16129</v>
      </c>
      <c r="B5199" s="3" t="s">
        <v>507</v>
      </c>
      <c r="C5199" s="3" t="s">
        <v>1095</v>
      </c>
      <c r="D5199" s="3" t="s">
        <v>195</v>
      </c>
      <c r="E5199" s="3" t="s">
        <v>45</v>
      </c>
      <c r="F5199" s="3" t="s">
        <v>1524</v>
      </c>
      <c r="G5199" s="7">
        <v>46120.66561965531</v>
      </c>
    </row>
    <row r="5200">
      <c r="A5200" s="3" t="s">
        <v>16132</v>
      </c>
      <c r="B5200" s="3" t="s">
        <v>411</v>
      </c>
      <c r="C5200" s="3" t="s">
        <v>1342</v>
      </c>
      <c r="D5200" s="3" t="s">
        <v>68</v>
      </c>
      <c r="E5200" s="3" t="s">
        <v>100</v>
      </c>
      <c r="F5200" s="3" t="s">
        <v>1743</v>
      </c>
      <c r="G5200" s="7">
        <v>46120.73679450072</v>
      </c>
    </row>
    <row r="5201">
      <c r="A5201" s="3" t="s">
        <v>16135</v>
      </c>
      <c r="B5201" s="3" t="s">
        <v>789</v>
      </c>
      <c r="C5201" s="3" t="s">
        <v>56</v>
      </c>
      <c r="D5201" s="3" t="s">
        <v>68</v>
      </c>
      <c r="E5201" s="3" t="s">
        <v>100</v>
      </c>
      <c r="F5201" s="3" t="s">
        <v>1873</v>
      </c>
      <c r="G5201" s="7">
        <v>46120.80796934614</v>
      </c>
    </row>
    <row r="5202">
      <c r="A5202" s="3" t="s">
        <v>16140</v>
      </c>
      <c r="B5202" s="3" t="s">
        <v>669</v>
      </c>
      <c r="C5202" s="3" t="s">
        <v>1342</v>
      </c>
      <c r="D5202" s="3" t="s">
        <v>68</v>
      </c>
      <c r="E5202" s="3" t="s">
        <v>100</v>
      </c>
      <c r="F5202" s="3" t="s">
        <v>603</v>
      </c>
      <c r="G5202" s="7">
        <v>46120.879144191545</v>
      </c>
    </row>
    <row r="5203">
      <c r="A5203" s="3" t="s">
        <v>16143</v>
      </c>
      <c r="B5203" s="3" t="s">
        <v>612</v>
      </c>
      <c r="C5203" s="3" t="s">
        <v>1342</v>
      </c>
      <c r="D5203" s="3" t="s">
        <v>68</v>
      </c>
      <c r="E5203" s="3" t="s">
        <v>100</v>
      </c>
      <c r="F5203" s="3" t="s">
        <v>1842</v>
      </c>
      <c r="G5203" s="7">
        <v>46120.950319036965</v>
      </c>
    </row>
    <row r="5204">
      <c r="A5204" s="3" t="s">
        <v>16146</v>
      </c>
      <c r="B5204" s="3" t="s">
        <v>1001</v>
      </c>
      <c r="C5204" s="3" t="s">
        <v>1342</v>
      </c>
      <c r="D5204" s="3" t="s">
        <v>68</v>
      </c>
      <c r="E5204" s="3" t="s">
        <v>100</v>
      </c>
      <c r="F5204" s="3" t="s">
        <v>1670</v>
      </c>
      <c r="G5204" s="7">
        <v>46121.021493882385</v>
      </c>
    </row>
    <row r="5205">
      <c r="A5205" s="3" t="s">
        <v>16149</v>
      </c>
      <c r="B5205" s="3" t="s">
        <v>903</v>
      </c>
      <c r="C5205" s="3" t="s">
        <v>56</v>
      </c>
      <c r="D5205" s="3" t="s">
        <v>68</v>
      </c>
      <c r="E5205" s="3" t="s">
        <v>100</v>
      </c>
      <c r="F5205" s="3" t="s">
        <v>1879</v>
      </c>
      <c r="G5205" s="7">
        <v>46121.0926687278</v>
      </c>
    </row>
    <row r="5206">
      <c r="A5206" s="3" t="s">
        <v>16152</v>
      </c>
      <c r="B5206" s="3" t="s">
        <v>145</v>
      </c>
      <c r="C5206" s="3" t="s">
        <v>56</v>
      </c>
      <c r="D5206" s="3" t="s">
        <v>68</v>
      </c>
      <c r="E5206" s="3" t="s">
        <v>100</v>
      </c>
      <c r="F5206" s="3" t="s">
        <v>1884</v>
      </c>
      <c r="G5206" s="7">
        <v>46121.16384357321</v>
      </c>
    </row>
    <row r="5207">
      <c r="A5207" s="3" t="s">
        <v>16155</v>
      </c>
      <c r="B5207" s="3" t="s">
        <v>694</v>
      </c>
      <c r="C5207" s="3" t="s">
        <v>1342</v>
      </c>
      <c r="D5207" s="3" t="s">
        <v>68</v>
      </c>
      <c r="E5207" s="3" t="s">
        <v>100</v>
      </c>
      <c r="F5207" s="3" t="s">
        <v>1779</v>
      </c>
      <c r="G5207" s="7">
        <v>46121.23501841863</v>
      </c>
    </row>
    <row r="5208">
      <c r="A5208" s="3" t="s">
        <v>16159</v>
      </c>
      <c r="B5208" s="3" t="s">
        <v>949</v>
      </c>
      <c r="C5208" s="3" t="s">
        <v>56</v>
      </c>
      <c r="D5208" s="3" t="s">
        <v>68</v>
      </c>
      <c r="E5208" s="3" t="s">
        <v>100</v>
      </c>
      <c r="F5208" s="3" t="s">
        <v>1887</v>
      </c>
      <c r="G5208" s="7">
        <v>46121.30619326404</v>
      </c>
    </row>
    <row r="5209">
      <c r="A5209" s="3" t="s">
        <v>16163</v>
      </c>
      <c r="B5209" s="3" t="s">
        <v>1028</v>
      </c>
      <c r="C5209" s="3" t="s">
        <v>1095</v>
      </c>
      <c r="D5209" s="3" t="s">
        <v>68</v>
      </c>
      <c r="E5209" s="3" t="s">
        <v>100</v>
      </c>
      <c r="F5209" s="3" t="s">
        <v>1645</v>
      </c>
      <c r="G5209" s="7">
        <v>46121.37736810945</v>
      </c>
    </row>
    <row r="5210">
      <c r="A5210" s="3" t="s">
        <v>16166</v>
      </c>
      <c r="B5210" s="3" t="s">
        <v>148</v>
      </c>
      <c r="C5210" s="3" t="s">
        <v>1095</v>
      </c>
      <c r="D5210" s="3" t="s">
        <v>68</v>
      </c>
      <c r="E5210" s="3" t="s">
        <v>100</v>
      </c>
      <c r="F5210" s="3" t="s">
        <v>1363</v>
      </c>
      <c r="G5210" s="7">
        <v>46121.44854295487</v>
      </c>
    </row>
    <row r="5211">
      <c r="A5211" s="3" t="s">
        <v>16169</v>
      </c>
      <c r="B5211" s="3" t="s">
        <v>612</v>
      </c>
      <c r="C5211" s="3" t="s">
        <v>1342</v>
      </c>
      <c r="D5211" s="3" t="s">
        <v>68</v>
      </c>
      <c r="E5211" s="3" t="s">
        <v>100</v>
      </c>
      <c r="F5211" s="3" t="s">
        <v>1842</v>
      </c>
      <c r="G5211" s="7">
        <v>46121.51971780029</v>
      </c>
    </row>
    <row r="5212">
      <c r="A5212" s="3" t="s">
        <v>16173</v>
      </c>
      <c r="B5212" s="3" t="s">
        <v>462</v>
      </c>
      <c r="C5212" s="3" t="s">
        <v>1342</v>
      </c>
      <c r="D5212" s="3" t="s">
        <v>68</v>
      </c>
      <c r="E5212" s="3" t="s">
        <v>100</v>
      </c>
      <c r="F5212" s="3" t="s">
        <v>1179</v>
      </c>
      <c r="G5212" s="7">
        <v>46121.5908926457</v>
      </c>
    </row>
    <row r="5213">
      <c r="A5213" s="3" t="s">
        <v>16177</v>
      </c>
      <c r="B5213" s="3" t="s">
        <v>581</v>
      </c>
      <c r="C5213" s="3" t="s">
        <v>56</v>
      </c>
      <c r="D5213" s="3" t="s">
        <v>68</v>
      </c>
      <c r="E5213" s="3" t="s">
        <v>100</v>
      </c>
      <c r="F5213" s="3" t="s">
        <v>1890</v>
      </c>
      <c r="G5213" s="7">
        <v>46121.66206749112</v>
      </c>
    </row>
    <row r="5214">
      <c r="A5214" s="3" t="s">
        <v>16180</v>
      </c>
      <c r="B5214" s="3" t="s">
        <v>424</v>
      </c>
      <c r="C5214" s="3" t="s">
        <v>1095</v>
      </c>
      <c r="D5214" s="3" t="s">
        <v>68</v>
      </c>
      <c r="E5214" s="3" t="s">
        <v>100</v>
      </c>
      <c r="F5214" s="3" t="s">
        <v>1860</v>
      </c>
      <c r="G5214" s="7">
        <v>46121.73324233654</v>
      </c>
    </row>
    <row r="5215">
      <c r="A5215" s="3" t="s">
        <v>16183</v>
      </c>
      <c r="B5215" s="3" t="s">
        <v>383</v>
      </c>
      <c r="C5215" s="3" t="s">
        <v>1342</v>
      </c>
      <c r="D5215" s="3" t="s">
        <v>68</v>
      </c>
      <c r="E5215" s="3" t="s">
        <v>100</v>
      </c>
      <c r="F5215" s="3" t="s">
        <v>1129</v>
      </c>
      <c r="G5215" s="7">
        <v>46121.80441718195</v>
      </c>
    </row>
    <row r="5216">
      <c r="A5216" s="3" t="s">
        <v>16187</v>
      </c>
      <c r="B5216" s="3" t="s">
        <v>193</v>
      </c>
      <c r="C5216" s="3" t="s">
        <v>1342</v>
      </c>
      <c r="D5216" s="3" t="s">
        <v>68</v>
      </c>
      <c r="E5216" s="3" t="s">
        <v>100</v>
      </c>
      <c r="F5216" s="3" t="s">
        <v>1416</v>
      </c>
      <c r="G5216" s="7">
        <v>46121.87559202736</v>
      </c>
    </row>
    <row r="5217">
      <c r="A5217" s="3" t="s">
        <v>16189</v>
      </c>
      <c r="B5217" s="3" t="s">
        <v>600</v>
      </c>
      <c r="C5217" s="3" t="s">
        <v>1342</v>
      </c>
      <c r="D5217" s="3" t="s">
        <v>68</v>
      </c>
      <c r="E5217" s="3" t="s">
        <v>100</v>
      </c>
      <c r="F5217" s="3" t="s">
        <v>1768</v>
      </c>
      <c r="G5217" s="7">
        <v>46121.94676687278</v>
      </c>
    </row>
    <row r="5218">
      <c r="A5218" s="3" t="s">
        <v>16194</v>
      </c>
      <c r="B5218" s="3" t="s">
        <v>763</v>
      </c>
      <c r="C5218" s="3" t="s">
        <v>1342</v>
      </c>
      <c r="D5218" s="3" t="s">
        <v>68</v>
      </c>
      <c r="E5218" s="3" t="s">
        <v>100</v>
      </c>
      <c r="F5218" s="3" t="s">
        <v>1634</v>
      </c>
      <c r="G5218" s="7">
        <v>46122.01794171819</v>
      </c>
    </row>
    <row r="5219">
      <c r="A5219" s="3" t="s">
        <v>16197</v>
      </c>
      <c r="B5219" s="3" t="s">
        <v>219</v>
      </c>
      <c r="C5219" s="3" t="s">
        <v>1342</v>
      </c>
      <c r="D5219" s="3" t="s">
        <v>68</v>
      </c>
      <c r="E5219" s="3" t="s">
        <v>100</v>
      </c>
      <c r="F5219" s="3" t="s">
        <v>1076</v>
      </c>
      <c r="G5219" s="7">
        <v>46122.089116563606</v>
      </c>
    </row>
    <row r="5220">
      <c r="A5220" s="3" t="s">
        <v>16200</v>
      </c>
      <c r="B5220" s="3" t="s">
        <v>519</v>
      </c>
      <c r="C5220" s="3" t="s">
        <v>1095</v>
      </c>
      <c r="D5220" s="3" t="s">
        <v>68</v>
      </c>
      <c r="E5220" s="3" t="s">
        <v>100</v>
      </c>
      <c r="F5220" s="3" t="s">
        <v>1733</v>
      </c>
      <c r="G5220" s="7">
        <v>46122.160291409025</v>
      </c>
    </row>
    <row r="5221">
      <c r="A5221" s="3" t="s">
        <v>16204</v>
      </c>
      <c r="B5221" s="3" t="s">
        <v>793</v>
      </c>
      <c r="C5221" s="3" t="s">
        <v>1342</v>
      </c>
      <c r="D5221" s="3" t="s">
        <v>68</v>
      </c>
      <c r="E5221" s="3" t="s">
        <v>100</v>
      </c>
      <c r="F5221" s="3" t="s">
        <v>1429</v>
      </c>
      <c r="G5221" s="7">
        <v>46122.23146625444</v>
      </c>
    </row>
    <row r="5222">
      <c r="A5222" s="3" t="s">
        <v>16208</v>
      </c>
      <c r="B5222" s="3" t="s">
        <v>202</v>
      </c>
      <c r="C5222" s="3" t="s">
        <v>1342</v>
      </c>
      <c r="D5222" s="3" t="s">
        <v>68</v>
      </c>
      <c r="E5222" s="3" t="s">
        <v>100</v>
      </c>
      <c r="F5222" s="3" t="s">
        <v>1691</v>
      </c>
      <c r="G5222" s="7">
        <v>46122.30264109985</v>
      </c>
    </row>
    <row r="5223">
      <c r="A5223" s="3" t="s">
        <v>16211</v>
      </c>
      <c r="B5223" s="3" t="s">
        <v>601</v>
      </c>
      <c r="C5223" s="3" t="s">
        <v>1342</v>
      </c>
      <c r="D5223" s="3" t="s">
        <v>68</v>
      </c>
      <c r="E5223" s="3" t="s">
        <v>100</v>
      </c>
      <c r="F5223" s="3" t="s">
        <v>954</v>
      </c>
      <c r="G5223" s="7">
        <v>46122.37381594527</v>
      </c>
    </row>
    <row r="5224">
      <c r="A5224" s="3" t="s">
        <v>16214</v>
      </c>
      <c r="B5224" s="3" t="s">
        <v>527</v>
      </c>
      <c r="C5224" s="3" t="s">
        <v>1342</v>
      </c>
      <c r="D5224" s="3" t="s">
        <v>68</v>
      </c>
      <c r="E5224" s="3" t="s">
        <v>100</v>
      </c>
      <c r="F5224" s="3" t="s">
        <v>1322</v>
      </c>
      <c r="G5224" s="7">
        <v>46122.44499079068</v>
      </c>
    </row>
    <row r="5225">
      <c r="A5225" s="3" t="s">
        <v>16217</v>
      </c>
      <c r="B5225" s="3" t="s">
        <v>359</v>
      </c>
      <c r="C5225" s="3" t="s">
        <v>1095</v>
      </c>
      <c r="D5225" s="3" t="s">
        <v>68</v>
      </c>
      <c r="E5225" s="3" t="s">
        <v>100</v>
      </c>
      <c r="F5225" s="3" t="s">
        <v>1790</v>
      </c>
      <c r="G5225" s="7">
        <v>46122.516165636094</v>
      </c>
    </row>
    <row r="5226">
      <c r="A5226" s="3" t="s">
        <v>16222</v>
      </c>
      <c r="B5226" s="3" t="s">
        <v>725</v>
      </c>
      <c r="C5226" s="3" t="s">
        <v>1095</v>
      </c>
      <c r="D5226" s="3" t="s">
        <v>68</v>
      </c>
      <c r="E5226" s="3" t="s">
        <v>100</v>
      </c>
      <c r="F5226" s="3" t="s">
        <v>1780</v>
      </c>
      <c r="G5226" s="7">
        <v>46122.587340481514</v>
      </c>
    </row>
    <row r="5227">
      <c r="A5227" s="3" t="s">
        <v>16224</v>
      </c>
      <c r="B5227" s="3" t="s">
        <v>488</v>
      </c>
      <c r="C5227" s="3" t="s">
        <v>1342</v>
      </c>
      <c r="D5227" s="3" t="s">
        <v>68</v>
      </c>
      <c r="E5227" s="3" t="s">
        <v>100</v>
      </c>
      <c r="F5227" s="3" t="s">
        <v>769</v>
      </c>
      <c r="G5227" s="7">
        <v>46122.65851532693</v>
      </c>
    </row>
    <row r="5228">
      <c r="A5228" s="3" t="s">
        <v>16226</v>
      </c>
      <c r="B5228" s="3" t="s">
        <v>929</v>
      </c>
      <c r="C5228" s="3" t="s">
        <v>1342</v>
      </c>
      <c r="D5228" s="3" t="s">
        <v>68</v>
      </c>
      <c r="E5228" s="3" t="s">
        <v>100</v>
      </c>
      <c r="F5228" s="3" t="s">
        <v>1168</v>
      </c>
      <c r="G5228" s="7">
        <v>46122.72969017234</v>
      </c>
    </row>
    <row r="5229">
      <c r="A5229" s="3" t="s">
        <v>16228</v>
      </c>
      <c r="B5229" s="3" t="s">
        <v>911</v>
      </c>
      <c r="C5229" s="3" t="s">
        <v>1342</v>
      </c>
      <c r="D5229" s="3" t="s">
        <v>68</v>
      </c>
      <c r="E5229" s="3" t="s">
        <v>100</v>
      </c>
      <c r="F5229" s="3" t="s">
        <v>1961</v>
      </c>
      <c r="G5229" s="7">
        <v>46122.80086501776</v>
      </c>
    </row>
    <row r="5230">
      <c r="A5230" s="3" t="s">
        <v>16230</v>
      </c>
      <c r="B5230" s="3" t="s">
        <v>864</v>
      </c>
      <c r="C5230" s="3" t="s">
        <v>56</v>
      </c>
      <c r="D5230" s="3" t="s">
        <v>68</v>
      </c>
      <c r="E5230" s="3" t="s">
        <v>100</v>
      </c>
      <c r="F5230" s="3" t="s">
        <v>1892</v>
      </c>
      <c r="G5230" s="7">
        <v>46122.87203986318</v>
      </c>
    </row>
    <row r="5231">
      <c r="A5231" s="3" t="s">
        <v>16232</v>
      </c>
      <c r="B5231" s="3" t="s">
        <v>1021</v>
      </c>
      <c r="C5231" s="3" t="s">
        <v>56</v>
      </c>
      <c r="D5231" s="3" t="s">
        <v>181</v>
      </c>
      <c r="E5231" s="3" t="s">
        <v>45</v>
      </c>
      <c r="F5231" s="3" t="s">
        <v>45</v>
      </c>
      <c r="G5231" s="7">
        <v>46122.94321470859</v>
      </c>
    </row>
    <row r="5232">
      <c r="A5232" s="3" t="s">
        <v>16234</v>
      </c>
      <c r="B5232" s="3" t="s">
        <v>175</v>
      </c>
      <c r="C5232" s="3" t="s">
        <v>56</v>
      </c>
      <c r="D5232" s="3" t="s">
        <v>68</v>
      </c>
      <c r="E5232" s="3" t="s">
        <v>100</v>
      </c>
      <c r="F5232" s="3" t="s">
        <v>1894</v>
      </c>
      <c r="G5232" s="7">
        <v>46123.014389554</v>
      </c>
    </row>
    <row r="5233">
      <c r="A5233" s="3" t="s">
        <v>16237</v>
      </c>
      <c r="B5233" s="3" t="s">
        <v>685</v>
      </c>
      <c r="C5233" s="3" t="s">
        <v>1095</v>
      </c>
      <c r="D5233" s="3" t="s">
        <v>68</v>
      </c>
      <c r="E5233" s="3" t="s">
        <v>100</v>
      </c>
      <c r="F5233" s="3" t="s">
        <v>1284</v>
      </c>
      <c r="G5233" s="7">
        <v>46123.08556439942</v>
      </c>
    </row>
    <row r="5234">
      <c r="A5234" s="3" t="s">
        <v>16240</v>
      </c>
      <c r="B5234" s="3" t="s">
        <v>263</v>
      </c>
      <c r="C5234" s="3" t="s">
        <v>1095</v>
      </c>
      <c r="D5234" s="3" t="s">
        <v>68</v>
      </c>
      <c r="E5234" s="3" t="s">
        <v>100</v>
      </c>
      <c r="F5234" s="3" t="s">
        <v>1045</v>
      </c>
      <c r="G5234" s="7">
        <v>46123.156739244834</v>
      </c>
    </row>
    <row r="5235">
      <c r="A5235" s="3" t="s">
        <v>16243</v>
      </c>
      <c r="B5235" s="3" t="s">
        <v>830</v>
      </c>
      <c r="C5235" s="3" t="s">
        <v>1095</v>
      </c>
      <c r="D5235" s="3" t="s">
        <v>195</v>
      </c>
      <c r="E5235" s="3" t="s">
        <v>45</v>
      </c>
      <c r="F5235" s="3" t="s">
        <v>1472</v>
      </c>
      <c r="G5235" s="7">
        <v>46123.22791409025</v>
      </c>
    </row>
    <row r="5236">
      <c r="A5236" s="3" t="s">
        <v>16246</v>
      </c>
      <c r="B5236" s="3" t="s">
        <v>652</v>
      </c>
      <c r="C5236" s="3" t="s">
        <v>56</v>
      </c>
      <c r="D5236" s="3" t="s">
        <v>68</v>
      </c>
      <c r="E5236" s="3" t="s">
        <v>100</v>
      </c>
      <c r="F5236" s="3" t="s">
        <v>1897</v>
      </c>
      <c r="G5236" s="7">
        <v>46123.299088935666</v>
      </c>
    </row>
    <row r="5237">
      <c r="A5237" s="3" t="s">
        <v>16250</v>
      </c>
      <c r="B5237" s="3" t="s">
        <v>243</v>
      </c>
      <c r="C5237" s="3" t="s">
        <v>56</v>
      </c>
      <c r="D5237" s="3" t="s">
        <v>68</v>
      </c>
      <c r="E5237" s="3" t="s">
        <v>100</v>
      </c>
      <c r="F5237" s="3" t="s">
        <v>1899</v>
      </c>
      <c r="G5237" s="7">
        <v>46123.370263781086</v>
      </c>
    </row>
    <row r="5238">
      <c r="A5238" s="3" t="s">
        <v>16254</v>
      </c>
      <c r="B5238" s="3" t="s">
        <v>348</v>
      </c>
      <c r="C5238" s="3" t="s">
        <v>56</v>
      </c>
      <c r="D5238" s="3" t="s">
        <v>68</v>
      </c>
      <c r="E5238" s="3" t="s">
        <v>100</v>
      </c>
      <c r="F5238" s="3" t="s">
        <v>1901</v>
      </c>
      <c r="G5238" s="7">
        <v>46123.44143862649</v>
      </c>
    </row>
    <row r="5239">
      <c r="A5239" s="3" t="s">
        <v>16256</v>
      </c>
      <c r="B5239" s="3" t="s">
        <v>908</v>
      </c>
      <c r="C5239" s="3" t="s">
        <v>1342</v>
      </c>
      <c r="D5239" s="3" t="s">
        <v>68</v>
      </c>
      <c r="E5239" s="3" t="s">
        <v>100</v>
      </c>
      <c r="F5239" s="3" t="s">
        <v>1535</v>
      </c>
      <c r="G5239" s="7">
        <v>46123.51261347191</v>
      </c>
    </row>
    <row r="5240">
      <c r="A5240" s="3" t="s">
        <v>16260</v>
      </c>
      <c r="B5240" s="3" t="s">
        <v>722</v>
      </c>
      <c r="C5240" s="3" t="s">
        <v>56</v>
      </c>
      <c r="D5240" s="3" t="s">
        <v>68</v>
      </c>
      <c r="E5240" s="3" t="s">
        <v>100</v>
      </c>
      <c r="F5240" s="3" t="s">
        <v>1903</v>
      </c>
      <c r="G5240" s="7">
        <v>46123.58378831732</v>
      </c>
    </row>
    <row r="5241">
      <c r="A5241" s="3" t="s">
        <v>16264</v>
      </c>
      <c r="B5241" s="3" t="s">
        <v>488</v>
      </c>
      <c r="C5241" s="3" t="s">
        <v>1095</v>
      </c>
      <c r="D5241" s="3" t="s">
        <v>68</v>
      </c>
      <c r="E5241" s="3" t="s">
        <v>100</v>
      </c>
      <c r="F5241" s="3" t="s">
        <v>769</v>
      </c>
      <c r="G5241" s="7">
        <v>46123.65496316274</v>
      </c>
    </row>
    <row r="5242">
      <c r="A5242" s="3" t="s">
        <v>16266</v>
      </c>
      <c r="B5242" s="3" t="s">
        <v>137</v>
      </c>
      <c r="C5242" s="3" t="s">
        <v>1095</v>
      </c>
      <c r="D5242" s="3" t="s">
        <v>181</v>
      </c>
      <c r="E5242" s="3" t="s">
        <v>45</v>
      </c>
      <c r="F5242" s="3" t="s">
        <v>1086</v>
      </c>
      <c r="G5242" s="7">
        <v>46123.726138008155</v>
      </c>
    </row>
    <row r="5243">
      <c r="A5243" s="3" t="s">
        <v>16268</v>
      </c>
      <c r="B5243" s="3" t="s">
        <v>689</v>
      </c>
      <c r="C5243" s="3" t="s">
        <v>1095</v>
      </c>
      <c r="D5243" s="3" t="s">
        <v>68</v>
      </c>
      <c r="E5243" s="3" t="s">
        <v>100</v>
      </c>
      <c r="F5243" s="3" t="s">
        <v>1789</v>
      </c>
      <c r="G5243" s="7">
        <v>46123.797312853574</v>
      </c>
    </row>
    <row r="5244">
      <c r="A5244" s="3" t="s">
        <v>16272</v>
      </c>
      <c r="B5244" s="3" t="s">
        <v>650</v>
      </c>
      <c r="C5244" s="3" t="s">
        <v>1342</v>
      </c>
      <c r="D5244" s="3" t="s">
        <v>68</v>
      </c>
      <c r="E5244" s="3" t="s">
        <v>100</v>
      </c>
      <c r="F5244" s="3" t="s">
        <v>1647</v>
      </c>
      <c r="G5244" s="7">
        <v>46123.86848769898</v>
      </c>
    </row>
    <row r="5245">
      <c r="A5245" s="3" t="s">
        <v>16276</v>
      </c>
      <c r="B5245" s="3" t="s">
        <v>911</v>
      </c>
      <c r="C5245" s="3" t="s">
        <v>1342</v>
      </c>
      <c r="D5245" s="3" t="s">
        <v>68</v>
      </c>
      <c r="E5245" s="3" t="s">
        <v>100</v>
      </c>
      <c r="F5245" s="3" t="s">
        <v>1961</v>
      </c>
      <c r="G5245" s="7">
        <v>46123.9396625444</v>
      </c>
    </row>
    <row r="5246">
      <c r="A5246" s="3" t="s">
        <v>16279</v>
      </c>
      <c r="B5246" s="3" t="s">
        <v>280</v>
      </c>
      <c r="C5246" s="3" t="s">
        <v>1095</v>
      </c>
      <c r="D5246" s="3" t="s">
        <v>68</v>
      </c>
      <c r="E5246" s="3" t="s">
        <v>100</v>
      </c>
      <c r="F5246" s="3" t="s">
        <v>1661</v>
      </c>
      <c r="G5246" s="7">
        <v>46124.01083738982</v>
      </c>
    </row>
    <row r="5247">
      <c r="A5247" s="3" t="s">
        <v>16282</v>
      </c>
      <c r="B5247" s="3" t="s">
        <v>541</v>
      </c>
      <c r="C5247" s="3" t="s">
        <v>1342</v>
      </c>
      <c r="D5247" s="3" t="s">
        <v>195</v>
      </c>
      <c r="E5247" s="3" t="s">
        <v>45</v>
      </c>
      <c r="F5247" s="3" t="s">
        <v>1383</v>
      </c>
      <c r="G5247" s="7">
        <v>46124.08201223523</v>
      </c>
    </row>
    <row r="5248">
      <c r="A5248" s="3" t="s">
        <v>16285</v>
      </c>
      <c r="B5248" s="3" t="s">
        <v>1008</v>
      </c>
      <c r="C5248" s="3" t="s">
        <v>56</v>
      </c>
      <c r="D5248" s="3" t="s">
        <v>68</v>
      </c>
      <c r="E5248" s="3" t="s">
        <v>100</v>
      </c>
      <c r="F5248" s="3" t="s">
        <v>1906</v>
      </c>
      <c r="G5248" s="7">
        <v>46124.15318708064</v>
      </c>
    </row>
    <row r="5249">
      <c r="A5249" s="3" t="s">
        <v>16288</v>
      </c>
      <c r="B5249" s="3" t="s">
        <v>137</v>
      </c>
      <c r="C5249" s="3" t="s">
        <v>1095</v>
      </c>
      <c r="D5249" s="3" t="s">
        <v>68</v>
      </c>
      <c r="E5249" s="3" t="s">
        <v>100</v>
      </c>
      <c r="F5249" s="3" t="s">
        <v>1086</v>
      </c>
      <c r="G5249" s="7">
        <v>46124.22436192606</v>
      </c>
    </row>
    <row r="5250">
      <c r="A5250" s="3" t="s">
        <v>16291</v>
      </c>
      <c r="B5250" s="3" t="s">
        <v>380</v>
      </c>
      <c r="C5250" s="3" t="s">
        <v>56</v>
      </c>
      <c r="D5250" s="3" t="s">
        <v>68</v>
      </c>
      <c r="E5250" s="3" t="s">
        <v>100</v>
      </c>
      <c r="F5250" s="3" t="s">
        <v>1907</v>
      </c>
      <c r="G5250" s="7">
        <v>46124.295536771475</v>
      </c>
    </row>
    <row r="5251">
      <c r="A5251" s="3" t="s">
        <v>16293</v>
      </c>
      <c r="B5251" s="3" t="s">
        <v>609</v>
      </c>
      <c r="C5251" s="3" t="s">
        <v>56</v>
      </c>
      <c r="D5251" s="3" t="s">
        <v>68</v>
      </c>
      <c r="E5251" s="3" t="s">
        <v>100</v>
      </c>
      <c r="F5251" s="3" t="s">
        <v>1910</v>
      </c>
      <c r="G5251" s="7">
        <v>46124.36671161689</v>
      </c>
    </row>
    <row r="5252">
      <c r="A5252" s="3" t="s">
        <v>16295</v>
      </c>
      <c r="B5252" s="3" t="s">
        <v>987</v>
      </c>
      <c r="C5252" s="3" t="s">
        <v>1342</v>
      </c>
      <c r="D5252" s="3" t="s">
        <v>181</v>
      </c>
      <c r="E5252" s="3" t="s">
        <v>45</v>
      </c>
      <c r="F5252" s="3" t="s">
        <v>818</v>
      </c>
      <c r="G5252" s="7">
        <v>46124.43788646231</v>
      </c>
    </row>
    <row r="5253">
      <c r="A5253" s="3" t="s">
        <v>16298</v>
      </c>
      <c r="B5253" s="3" t="s">
        <v>307</v>
      </c>
      <c r="C5253" s="3" t="s">
        <v>1095</v>
      </c>
      <c r="D5253" s="3" t="s">
        <v>68</v>
      </c>
      <c r="E5253" s="3" t="s">
        <v>100</v>
      </c>
      <c r="F5253" s="3" t="s">
        <v>1583</v>
      </c>
      <c r="G5253" s="7">
        <v>46124.50906130773</v>
      </c>
    </row>
    <row r="5254">
      <c r="A5254" s="3" t="s">
        <v>16301</v>
      </c>
      <c r="B5254" s="3" t="s">
        <v>344</v>
      </c>
      <c r="C5254" s="3" t="s">
        <v>56</v>
      </c>
      <c r="D5254" s="3" t="s">
        <v>68</v>
      </c>
      <c r="E5254" s="3" t="s">
        <v>100</v>
      </c>
      <c r="F5254" s="3" t="s">
        <v>1911</v>
      </c>
      <c r="G5254" s="7">
        <v>46124.58023615313</v>
      </c>
    </row>
    <row r="5255">
      <c r="A5255" s="3" t="s">
        <v>16304</v>
      </c>
      <c r="B5255" s="3" t="s">
        <v>593</v>
      </c>
      <c r="C5255" s="3" t="s">
        <v>56</v>
      </c>
      <c r="D5255" s="3" t="s">
        <v>68</v>
      </c>
      <c r="E5255" s="3" t="s">
        <v>100</v>
      </c>
      <c r="F5255" s="3" t="s">
        <v>1914</v>
      </c>
      <c r="G5255" s="7">
        <v>46124.65141099855</v>
      </c>
    </row>
    <row r="5256">
      <c r="A5256" s="3" t="s">
        <v>16307</v>
      </c>
      <c r="B5256" s="3" t="s">
        <v>939</v>
      </c>
      <c r="C5256" s="3" t="s">
        <v>1342</v>
      </c>
      <c r="D5256" s="3" t="s">
        <v>68</v>
      </c>
      <c r="E5256" s="3" t="s">
        <v>100</v>
      </c>
      <c r="F5256" s="3" t="s">
        <v>1738</v>
      </c>
      <c r="G5256" s="7">
        <v>46124.72258584397</v>
      </c>
    </row>
    <row r="5257">
      <c r="A5257" s="3" t="s">
        <v>16310</v>
      </c>
      <c r="B5257" s="3" t="s">
        <v>751</v>
      </c>
      <c r="C5257" s="3" t="s">
        <v>1342</v>
      </c>
      <c r="D5257" s="3" t="s">
        <v>68</v>
      </c>
      <c r="E5257" s="3" t="s">
        <v>100</v>
      </c>
      <c r="F5257" s="3" t="s">
        <v>1614</v>
      </c>
      <c r="G5257" s="7">
        <v>46124.79376068938</v>
      </c>
    </row>
    <row r="5258">
      <c r="A5258" s="3" t="s">
        <v>16315</v>
      </c>
      <c r="B5258" s="3" t="s">
        <v>903</v>
      </c>
      <c r="C5258" s="3" t="s">
        <v>1095</v>
      </c>
      <c r="D5258" s="3" t="s">
        <v>181</v>
      </c>
      <c r="E5258" s="3" t="s">
        <v>45</v>
      </c>
      <c r="F5258" s="3" t="s">
        <v>1879</v>
      </c>
      <c r="G5258" s="7">
        <v>46124.864935534795</v>
      </c>
    </row>
    <row r="5259">
      <c r="A5259" s="3" t="s">
        <v>16317</v>
      </c>
      <c r="B5259" s="3" t="s">
        <v>493</v>
      </c>
      <c r="C5259" s="3" t="s">
        <v>1095</v>
      </c>
      <c r="D5259" s="3" t="s">
        <v>68</v>
      </c>
      <c r="E5259" s="3" t="s">
        <v>100</v>
      </c>
      <c r="F5259" s="3" t="s">
        <v>1593</v>
      </c>
      <c r="G5259" s="7">
        <v>46124.936110380215</v>
      </c>
    </row>
    <row r="5260">
      <c r="A5260" s="3" t="s">
        <v>16319</v>
      </c>
      <c r="B5260" s="3" t="s">
        <v>352</v>
      </c>
      <c r="C5260" s="3" t="s">
        <v>1342</v>
      </c>
      <c r="D5260" s="3" t="s">
        <v>68</v>
      </c>
      <c r="E5260" s="3" t="s">
        <v>100</v>
      </c>
      <c r="F5260" s="3" t="s">
        <v>810</v>
      </c>
      <c r="G5260" s="7">
        <v>46125.00728522563</v>
      </c>
    </row>
    <row r="5261">
      <c r="A5261" s="3" t="s">
        <v>16321</v>
      </c>
      <c r="B5261" s="3" t="s">
        <v>519</v>
      </c>
      <c r="C5261" s="3" t="s">
        <v>56</v>
      </c>
      <c r="D5261" s="3" t="s">
        <v>68</v>
      </c>
      <c r="E5261" s="3" t="s">
        <v>100</v>
      </c>
      <c r="F5261" s="3" t="s">
        <v>1916</v>
      </c>
      <c r="G5261" s="7">
        <v>46125.07846007104</v>
      </c>
    </row>
    <row r="5262">
      <c r="A5262" s="3" t="s">
        <v>16323</v>
      </c>
      <c r="B5262" s="3" t="s">
        <v>449</v>
      </c>
      <c r="C5262" s="3" t="s">
        <v>56</v>
      </c>
      <c r="D5262" s="3" t="s">
        <v>68</v>
      </c>
      <c r="E5262" s="3" t="s">
        <v>100</v>
      </c>
      <c r="F5262" s="3" t="s">
        <v>1918</v>
      </c>
      <c r="G5262" s="7">
        <v>46125.14963491646</v>
      </c>
    </row>
    <row r="5263">
      <c r="A5263" s="3" t="s">
        <v>16327</v>
      </c>
      <c r="B5263" s="3" t="s">
        <v>665</v>
      </c>
      <c r="C5263" s="3" t="s">
        <v>56</v>
      </c>
      <c r="D5263" s="3" t="s">
        <v>68</v>
      </c>
      <c r="E5263" s="3" t="s">
        <v>100</v>
      </c>
      <c r="F5263" s="3" t="s">
        <v>1921</v>
      </c>
      <c r="G5263" s="7">
        <v>46125.22080976187</v>
      </c>
    </row>
    <row r="5264">
      <c r="A5264" s="3" t="s">
        <v>16331</v>
      </c>
      <c r="B5264" s="3" t="s">
        <v>841</v>
      </c>
      <c r="C5264" s="3" t="s">
        <v>1342</v>
      </c>
      <c r="D5264" s="3" t="s">
        <v>68</v>
      </c>
      <c r="E5264" s="3" t="s">
        <v>100</v>
      </c>
      <c r="F5264" s="3" t="s">
        <v>1713</v>
      </c>
      <c r="G5264" s="7">
        <v>46125.291984607284</v>
      </c>
    </row>
    <row r="5265">
      <c r="A5265" s="3" t="s">
        <v>16334</v>
      </c>
      <c r="B5265" s="3" t="s">
        <v>727</v>
      </c>
      <c r="C5265" s="3" t="s">
        <v>56</v>
      </c>
      <c r="D5265" s="3" t="s">
        <v>68</v>
      </c>
      <c r="E5265" s="3" t="s">
        <v>100</v>
      </c>
      <c r="F5265" s="3" t="s">
        <v>1923</v>
      </c>
      <c r="G5265" s="7">
        <v>46125.3631594527</v>
      </c>
    </row>
    <row r="5266">
      <c r="A5266" s="3" t="s">
        <v>16336</v>
      </c>
      <c r="B5266" s="3" t="s">
        <v>987</v>
      </c>
      <c r="C5266" s="3" t="s">
        <v>1342</v>
      </c>
      <c r="D5266" s="3" t="s">
        <v>68</v>
      </c>
      <c r="E5266" s="3" t="s">
        <v>100</v>
      </c>
      <c r="F5266" s="3" t="s">
        <v>818</v>
      </c>
      <c r="G5266" s="7">
        <v>46125.434334298116</v>
      </c>
    </row>
    <row r="5267">
      <c r="A5267" s="3" t="s">
        <v>16339</v>
      </c>
      <c r="B5267" s="3" t="s">
        <v>472</v>
      </c>
      <c r="C5267" s="3" t="s">
        <v>1342</v>
      </c>
      <c r="D5267" s="3" t="s">
        <v>68</v>
      </c>
      <c r="E5267" s="3" t="s">
        <v>100</v>
      </c>
      <c r="F5267" s="3" t="s">
        <v>1722</v>
      </c>
      <c r="G5267" s="7">
        <v>46125.50550914353</v>
      </c>
    </row>
    <row r="5268">
      <c r="A5268" s="3" t="s">
        <v>16343</v>
      </c>
      <c r="B5268" s="3" t="s">
        <v>189</v>
      </c>
      <c r="C5268" s="3" t="s">
        <v>1342</v>
      </c>
      <c r="D5268" s="3" t="s">
        <v>68</v>
      </c>
      <c r="E5268" s="3" t="s">
        <v>100</v>
      </c>
      <c r="F5268" s="3" t="s">
        <v>1385</v>
      </c>
      <c r="G5268" s="7">
        <v>46125.57668398895</v>
      </c>
    </row>
    <row r="5269">
      <c r="A5269" s="3" t="s">
        <v>16346</v>
      </c>
      <c r="B5269" s="3" t="s">
        <v>313</v>
      </c>
      <c r="C5269" s="3" t="s">
        <v>1342</v>
      </c>
      <c r="D5269" s="3" t="s">
        <v>68</v>
      </c>
      <c r="E5269" s="3" t="s">
        <v>100</v>
      </c>
      <c r="F5269" s="3" t="s">
        <v>1775</v>
      </c>
      <c r="G5269" s="7">
        <v>46125.64785883437</v>
      </c>
    </row>
    <row r="5270">
      <c r="A5270" s="3" t="s">
        <v>16349</v>
      </c>
      <c r="B5270" s="3" t="s">
        <v>453</v>
      </c>
      <c r="C5270" s="3" t="s">
        <v>1342</v>
      </c>
      <c r="D5270" s="3" t="s">
        <v>68</v>
      </c>
      <c r="E5270" s="3" t="s">
        <v>100</v>
      </c>
      <c r="F5270" s="3" t="s">
        <v>1248</v>
      </c>
      <c r="G5270" s="7">
        <v>46125.71903367977</v>
      </c>
    </row>
    <row r="5271">
      <c r="A5271" s="3" t="s">
        <v>16353</v>
      </c>
      <c r="B5271" s="3" t="s">
        <v>356</v>
      </c>
      <c r="C5271" s="3" t="s">
        <v>1342</v>
      </c>
      <c r="D5271" s="3" t="s">
        <v>68</v>
      </c>
      <c r="E5271" s="3" t="s">
        <v>100</v>
      </c>
      <c r="F5271" s="3" t="s">
        <v>1681</v>
      </c>
      <c r="G5271" s="7">
        <v>46125.79020852519</v>
      </c>
    </row>
    <row r="5272">
      <c r="A5272" s="3" t="s">
        <v>16357</v>
      </c>
      <c r="B5272" s="3" t="s">
        <v>987</v>
      </c>
      <c r="C5272" s="3" t="s">
        <v>1342</v>
      </c>
      <c r="D5272" s="3" t="s">
        <v>68</v>
      </c>
      <c r="E5272" s="3" t="s">
        <v>100</v>
      </c>
      <c r="F5272" s="3" t="s">
        <v>818</v>
      </c>
      <c r="G5272" s="7">
        <v>46125.86138337061</v>
      </c>
    </row>
    <row r="5273">
      <c r="A5273" s="3" t="s">
        <v>16360</v>
      </c>
      <c r="B5273" s="3" t="s">
        <v>186</v>
      </c>
      <c r="C5273" s="3" t="s">
        <v>1342</v>
      </c>
      <c r="D5273" s="3" t="s">
        <v>68</v>
      </c>
      <c r="E5273" s="3" t="s">
        <v>100</v>
      </c>
      <c r="F5273" s="3" t="s">
        <v>1475</v>
      </c>
      <c r="G5273" s="7">
        <v>46125.93255821602</v>
      </c>
    </row>
    <row r="5274">
      <c r="A5274" s="3" t="s">
        <v>16362</v>
      </c>
      <c r="B5274" s="3" t="s">
        <v>366</v>
      </c>
      <c r="C5274" s="3" t="s">
        <v>1095</v>
      </c>
      <c r="D5274" s="3" t="s">
        <v>68</v>
      </c>
      <c r="E5274" s="3" t="s">
        <v>100</v>
      </c>
      <c r="F5274" s="3" t="s">
        <v>1864</v>
      </c>
      <c r="G5274" s="7">
        <v>46126.003733061436</v>
      </c>
    </row>
    <row r="5275">
      <c r="A5275" s="3" t="s">
        <v>16365</v>
      </c>
      <c r="B5275" s="3" t="s">
        <v>778</v>
      </c>
      <c r="C5275" s="3" t="s">
        <v>1342</v>
      </c>
      <c r="D5275" s="3" t="s">
        <v>68</v>
      </c>
      <c r="E5275" s="3" t="s">
        <v>100</v>
      </c>
      <c r="F5275" s="3" t="s">
        <v>1852</v>
      </c>
      <c r="G5275" s="7">
        <v>46126.074907906856</v>
      </c>
    </row>
    <row r="5276">
      <c r="A5276" s="3" t="s">
        <v>16368</v>
      </c>
      <c r="B5276" s="3" t="s">
        <v>330</v>
      </c>
      <c r="C5276" s="3" t="s">
        <v>1342</v>
      </c>
      <c r="D5276" s="3" t="s">
        <v>181</v>
      </c>
      <c r="E5276" s="3" t="s">
        <v>45</v>
      </c>
      <c r="F5276" s="3" t="s">
        <v>1587</v>
      </c>
      <c r="G5276" s="7">
        <v>46126.14608275227</v>
      </c>
    </row>
    <row r="5277">
      <c r="A5277" s="3" t="s">
        <v>16372</v>
      </c>
      <c r="B5277" s="3" t="s">
        <v>546</v>
      </c>
      <c r="C5277" s="3" t="s">
        <v>1342</v>
      </c>
      <c r="D5277" s="3" t="s">
        <v>68</v>
      </c>
      <c r="E5277" s="3" t="s">
        <v>100</v>
      </c>
      <c r="F5277" s="3" t="s">
        <v>1451</v>
      </c>
      <c r="G5277" s="7">
        <v>46126.21725759768</v>
      </c>
    </row>
    <row r="5278">
      <c r="A5278" s="3" t="s">
        <v>16376</v>
      </c>
      <c r="B5278" s="3" t="s">
        <v>908</v>
      </c>
      <c r="C5278" s="3" t="s">
        <v>1342</v>
      </c>
      <c r="D5278" s="3" t="s">
        <v>68</v>
      </c>
      <c r="E5278" s="3" t="s">
        <v>100</v>
      </c>
      <c r="F5278" s="3" t="s">
        <v>1535</v>
      </c>
      <c r="G5278" s="7">
        <v>46126.2884324431</v>
      </c>
    </row>
    <row r="5279">
      <c r="A5279" s="3" t="s">
        <v>16379</v>
      </c>
      <c r="B5279" s="3" t="s">
        <v>162</v>
      </c>
      <c r="C5279" s="3" t="s">
        <v>1095</v>
      </c>
      <c r="D5279" s="3" t="s">
        <v>68</v>
      </c>
      <c r="E5279" s="3" t="s">
        <v>100</v>
      </c>
      <c r="F5279" s="3" t="s">
        <v>1876</v>
      </c>
      <c r="G5279" s="7">
        <v>46126.35960728851</v>
      </c>
    </row>
    <row r="5280">
      <c r="A5280" s="3" t="s">
        <v>16382</v>
      </c>
      <c r="B5280" s="3" t="s">
        <v>619</v>
      </c>
      <c r="C5280" s="3" t="s">
        <v>1342</v>
      </c>
      <c r="D5280" s="3" t="s">
        <v>68</v>
      </c>
      <c r="E5280" s="3" t="s">
        <v>100</v>
      </c>
      <c r="F5280" s="3" t="s">
        <v>1855</v>
      </c>
      <c r="G5280" s="7">
        <v>46126.430782133924</v>
      </c>
    </row>
    <row r="5281">
      <c r="A5281" s="3" t="s">
        <v>16386</v>
      </c>
      <c r="B5281" s="3" t="s">
        <v>475</v>
      </c>
      <c r="C5281" s="3" t="s">
        <v>1095</v>
      </c>
      <c r="D5281" s="3" t="s">
        <v>181</v>
      </c>
      <c r="E5281" s="3" t="s">
        <v>45</v>
      </c>
      <c r="F5281" s="3" t="s">
        <v>1576</v>
      </c>
      <c r="G5281" s="7">
        <v>46126.501956979344</v>
      </c>
    </row>
    <row r="5282">
      <c r="A5282" s="3" t="s">
        <v>16390</v>
      </c>
      <c r="B5282" s="3" t="s">
        <v>990</v>
      </c>
      <c r="C5282" s="3" t="s">
        <v>1342</v>
      </c>
      <c r="D5282" s="3" t="s">
        <v>68</v>
      </c>
      <c r="E5282" s="3" t="s">
        <v>100</v>
      </c>
      <c r="F5282" s="3" t="s">
        <v>1815</v>
      </c>
      <c r="G5282" s="7">
        <v>46126.573131824756</v>
      </c>
    </row>
    <row r="5283">
      <c r="A5283" s="3" t="s">
        <v>16393</v>
      </c>
      <c r="B5283" s="3" t="s">
        <v>373</v>
      </c>
      <c r="C5283" s="3" t="s">
        <v>1342</v>
      </c>
      <c r="D5283" s="3" t="s">
        <v>68</v>
      </c>
      <c r="E5283" s="3" t="s">
        <v>100</v>
      </c>
      <c r="F5283" s="3" t="s">
        <v>1676</v>
      </c>
      <c r="G5283" s="7">
        <v>46126.64430667017</v>
      </c>
    </row>
    <row r="5284">
      <c r="A5284" s="3" t="s">
        <v>16395</v>
      </c>
      <c r="B5284" s="3" t="s">
        <v>449</v>
      </c>
      <c r="C5284" s="3" t="s">
        <v>1342</v>
      </c>
      <c r="D5284" s="3" t="s">
        <v>68</v>
      </c>
      <c r="E5284" s="3" t="s">
        <v>100</v>
      </c>
      <c r="F5284" s="3" t="s">
        <v>1918</v>
      </c>
      <c r="G5284" s="7">
        <v>46126.71548151559</v>
      </c>
    </row>
    <row r="5285">
      <c r="A5285" s="3" t="s">
        <v>16397</v>
      </c>
      <c r="B5285" s="3" t="s">
        <v>756</v>
      </c>
      <c r="C5285" s="3" t="s">
        <v>56</v>
      </c>
      <c r="D5285" s="3" t="s">
        <v>68</v>
      </c>
      <c r="E5285" s="3" t="s">
        <v>100</v>
      </c>
      <c r="F5285" s="3" t="s">
        <v>1925</v>
      </c>
      <c r="G5285" s="7">
        <v>46126.78665636101</v>
      </c>
    </row>
    <row r="5286">
      <c r="A5286" s="3" t="s">
        <v>16400</v>
      </c>
      <c r="B5286" s="3" t="s">
        <v>657</v>
      </c>
      <c r="C5286" s="3" t="s">
        <v>1342</v>
      </c>
      <c r="D5286" s="3" t="s">
        <v>68</v>
      </c>
      <c r="E5286" s="3" t="s">
        <v>100</v>
      </c>
      <c r="F5286" s="3" t="s">
        <v>1674</v>
      </c>
      <c r="G5286" s="7">
        <v>46126.85783120641</v>
      </c>
    </row>
    <row r="5287">
      <c r="A5287" s="3" t="s">
        <v>16402</v>
      </c>
      <c r="B5287" s="3" t="s">
        <v>475</v>
      </c>
      <c r="C5287" s="3" t="s">
        <v>1095</v>
      </c>
      <c r="D5287" s="3" t="s">
        <v>68</v>
      </c>
      <c r="E5287" s="3" t="s">
        <v>100</v>
      </c>
      <c r="F5287" s="3" t="s">
        <v>1576</v>
      </c>
      <c r="G5287" s="7">
        <v>46126.92900605183</v>
      </c>
    </row>
    <row r="5288">
      <c r="A5288" s="3" t="s">
        <v>16404</v>
      </c>
      <c r="B5288" s="3" t="s">
        <v>400</v>
      </c>
      <c r="C5288" s="3" t="s">
        <v>1342</v>
      </c>
      <c r="D5288" s="3" t="s">
        <v>68</v>
      </c>
      <c r="E5288" s="3" t="s">
        <v>100</v>
      </c>
      <c r="F5288" s="3" t="s">
        <v>1619</v>
      </c>
      <c r="G5288" s="7">
        <v>46127.00018089725</v>
      </c>
    </row>
    <row r="5289">
      <c r="A5289" s="3" t="s">
        <v>16406</v>
      </c>
      <c r="B5289" s="3" t="s">
        <v>1040</v>
      </c>
      <c r="C5289" s="3" t="s">
        <v>1095</v>
      </c>
      <c r="D5289" s="3" t="s">
        <v>68</v>
      </c>
      <c r="E5289" s="3" t="s">
        <v>100</v>
      </c>
      <c r="F5289" s="3" t="s">
        <v>1724</v>
      </c>
      <c r="G5289" s="7">
        <v>46127.071355742664</v>
      </c>
    </row>
    <row r="5290">
      <c r="A5290" s="3" t="s">
        <v>16408</v>
      </c>
      <c r="B5290" s="3" t="s">
        <v>830</v>
      </c>
      <c r="C5290" s="3" t="s">
        <v>1342</v>
      </c>
      <c r="D5290" s="3" t="s">
        <v>68</v>
      </c>
      <c r="E5290" s="3" t="s">
        <v>100</v>
      </c>
      <c r="F5290" s="3" t="s">
        <v>1472</v>
      </c>
      <c r="G5290" s="7">
        <v>46127.14253058808</v>
      </c>
    </row>
    <row r="5291">
      <c r="A5291" s="3" t="s">
        <v>16411</v>
      </c>
      <c r="B5291" s="3" t="s">
        <v>419</v>
      </c>
      <c r="C5291" s="3" t="s">
        <v>56</v>
      </c>
      <c r="D5291" s="3" t="s">
        <v>68</v>
      </c>
      <c r="E5291" s="3" t="s">
        <v>100</v>
      </c>
      <c r="F5291" s="3" t="s">
        <v>1927</v>
      </c>
      <c r="G5291" s="7">
        <v>46127.213705433496</v>
      </c>
    </row>
    <row r="5292">
      <c r="A5292" s="3" t="s">
        <v>16415</v>
      </c>
      <c r="B5292" s="3" t="s">
        <v>652</v>
      </c>
      <c r="C5292" s="3" t="s">
        <v>1342</v>
      </c>
      <c r="D5292" s="3" t="s">
        <v>68</v>
      </c>
      <c r="E5292" s="3" t="s">
        <v>100</v>
      </c>
      <c r="F5292" s="3" t="s">
        <v>1897</v>
      </c>
      <c r="G5292" s="7">
        <v>46127.28488027891</v>
      </c>
    </row>
    <row r="5293">
      <c r="A5293" s="3" t="s">
        <v>16419</v>
      </c>
      <c r="B5293" s="3" t="s">
        <v>455</v>
      </c>
      <c r="C5293" s="3" t="s">
        <v>56</v>
      </c>
      <c r="D5293" s="3" t="s">
        <v>68</v>
      </c>
      <c r="E5293" s="3" t="s">
        <v>100</v>
      </c>
      <c r="F5293" s="3" t="s">
        <v>1929</v>
      </c>
      <c r="G5293" s="7">
        <v>46127.35605512432</v>
      </c>
    </row>
    <row r="5294">
      <c r="A5294" s="3" t="s">
        <v>16422</v>
      </c>
      <c r="B5294" s="3" t="s">
        <v>778</v>
      </c>
      <c r="C5294" s="3" t="s">
        <v>1342</v>
      </c>
      <c r="D5294" s="3" t="s">
        <v>181</v>
      </c>
      <c r="E5294" s="3" t="s">
        <v>45</v>
      </c>
      <c r="F5294" s="3" t="s">
        <v>1852</v>
      </c>
      <c r="G5294" s="7">
        <v>46127.42722996974</v>
      </c>
    </row>
    <row r="5295">
      <c r="A5295" s="3" t="s">
        <v>16425</v>
      </c>
      <c r="B5295" s="3" t="s">
        <v>627</v>
      </c>
      <c r="C5295" s="3" t="s">
        <v>1342</v>
      </c>
      <c r="D5295" s="3" t="s">
        <v>68</v>
      </c>
      <c r="E5295" s="3" t="s">
        <v>100</v>
      </c>
      <c r="F5295" s="3" t="s">
        <v>1882</v>
      </c>
      <c r="G5295" s="7">
        <v>46127.49840481515</v>
      </c>
    </row>
    <row r="5296">
      <c r="A5296" s="3" t="s">
        <v>16430</v>
      </c>
      <c r="B5296" s="3" t="s">
        <v>1030</v>
      </c>
      <c r="C5296" s="3" t="s">
        <v>1095</v>
      </c>
      <c r="D5296" s="3" t="s">
        <v>68</v>
      </c>
      <c r="E5296" s="3" t="s">
        <v>100</v>
      </c>
      <c r="F5296" s="3" t="s">
        <v>808</v>
      </c>
      <c r="G5296" s="7">
        <v>46127.569579660565</v>
      </c>
    </row>
    <row r="5297">
      <c r="A5297" s="3" t="s">
        <v>16433</v>
      </c>
      <c r="B5297" s="3" t="s">
        <v>183</v>
      </c>
      <c r="C5297" s="3" t="s">
        <v>1342</v>
      </c>
      <c r="D5297" s="3" t="s">
        <v>68</v>
      </c>
      <c r="E5297" s="3" t="s">
        <v>100</v>
      </c>
      <c r="F5297" s="3" t="s">
        <v>1354</v>
      </c>
      <c r="G5297" s="7">
        <v>46127.640754505985</v>
      </c>
    </row>
    <row r="5298">
      <c r="A5298" s="3" t="s">
        <v>16436</v>
      </c>
      <c r="B5298" s="3" t="s">
        <v>395</v>
      </c>
      <c r="C5298" s="3" t="s">
        <v>1095</v>
      </c>
      <c r="D5298" s="3" t="s">
        <v>195</v>
      </c>
      <c r="E5298" s="3" t="s">
        <v>45</v>
      </c>
      <c r="F5298" s="3" t="s">
        <v>1418</v>
      </c>
      <c r="G5298" s="7">
        <v>46127.7119293514</v>
      </c>
    </row>
    <row r="5299">
      <c r="A5299" s="3" t="s">
        <v>16439</v>
      </c>
      <c r="B5299" s="3" t="s">
        <v>920</v>
      </c>
      <c r="C5299" s="3" t="s">
        <v>1095</v>
      </c>
      <c r="D5299" s="3" t="s">
        <v>68</v>
      </c>
      <c r="E5299" s="3" t="s">
        <v>100</v>
      </c>
      <c r="F5299" s="3" t="s">
        <v>1812</v>
      </c>
      <c r="G5299" s="7">
        <v>46127.78310419681</v>
      </c>
    </row>
    <row r="5300">
      <c r="A5300" s="3" t="s">
        <v>16442</v>
      </c>
      <c r="B5300" s="3" t="s">
        <v>735</v>
      </c>
      <c r="C5300" s="3" t="s">
        <v>1342</v>
      </c>
      <c r="D5300" s="3" t="s">
        <v>68</v>
      </c>
      <c r="E5300" s="3" t="s">
        <v>100</v>
      </c>
      <c r="F5300" s="3" t="s">
        <v>1715</v>
      </c>
      <c r="G5300" s="7">
        <v>46127.85427904223</v>
      </c>
    </row>
    <row r="5301">
      <c r="A5301" s="3" t="s">
        <v>16443</v>
      </c>
      <c r="B5301" s="3" t="s">
        <v>615</v>
      </c>
      <c r="C5301" s="3" t="s">
        <v>1095</v>
      </c>
      <c r="D5301" s="3" t="s">
        <v>68</v>
      </c>
      <c r="E5301" s="3" t="s">
        <v>100</v>
      </c>
      <c r="F5301" s="3" t="s">
        <v>1351</v>
      </c>
      <c r="G5301" s="7">
        <v>46127.92545388765</v>
      </c>
    </row>
    <row r="5302">
      <c r="A5302" s="3" t="s">
        <v>16445</v>
      </c>
      <c r="B5302" s="3" t="s">
        <v>911</v>
      </c>
      <c r="C5302" s="3" t="s">
        <v>1342</v>
      </c>
      <c r="D5302" s="3" t="s">
        <v>68</v>
      </c>
      <c r="E5302" s="3" t="s">
        <v>100</v>
      </c>
      <c r="F5302" s="3" t="s">
        <v>1961</v>
      </c>
      <c r="G5302" s="7">
        <v>46127.99662873306</v>
      </c>
    </row>
    <row r="5303">
      <c r="A5303" s="3" t="s">
        <v>16448</v>
      </c>
      <c r="B5303" s="3" t="s">
        <v>296</v>
      </c>
      <c r="C5303" s="3" t="s">
        <v>56</v>
      </c>
      <c r="D5303" s="3" t="s">
        <v>68</v>
      </c>
      <c r="E5303" s="3" t="s">
        <v>100</v>
      </c>
      <c r="F5303" s="3" t="s">
        <v>1932</v>
      </c>
      <c r="G5303" s="7">
        <v>46128.06780357847</v>
      </c>
    </row>
    <row r="5304">
      <c r="A5304" s="3" t="s">
        <v>16450</v>
      </c>
      <c r="B5304" s="3" t="s">
        <v>523</v>
      </c>
      <c r="C5304" s="3" t="s">
        <v>1095</v>
      </c>
      <c r="D5304" s="3" t="s">
        <v>68</v>
      </c>
      <c r="E5304" s="3" t="s">
        <v>100</v>
      </c>
      <c r="F5304" s="3" t="s">
        <v>1156</v>
      </c>
      <c r="G5304" s="7">
        <v>46128.13897842389</v>
      </c>
    </row>
    <row r="5305">
      <c r="A5305" s="3" t="s">
        <v>16453</v>
      </c>
      <c r="B5305" s="3" t="s">
        <v>272</v>
      </c>
      <c r="C5305" s="3" t="s">
        <v>1095</v>
      </c>
      <c r="D5305" s="3" t="s">
        <v>68</v>
      </c>
      <c r="E5305" s="3" t="s">
        <v>100</v>
      </c>
      <c r="F5305" s="3" t="s">
        <v>923</v>
      </c>
      <c r="G5305" s="7">
        <v>46128.210153269305</v>
      </c>
    </row>
    <row r="5306">
      <c r="A5306" s="3" t="s">
        <v>16455</v>
      </c>
      <c r="B5306" s="3" t="s">
        <v>565</v>
      </c>
      <c r="C5306" s="3" t="s">
        <v>1095</v>
      </c>
      <c r="D5306" s="3" t="s">
        <v>68</v>
      </c>
      <c r="E5306" s="3" t="s">
        <v>100</v>
      </c>
      <c r="F5306" s="3" t="s">
        <v>1757</v>
      </c>
      <c r="G5306" s="7">
        <v>46128.28132811472</v>
      </c>
    </row>
    <row r="5307">
      <c r="A5307" s="3" t="s">
        <v>16457</v>
      </c>
      <c r="B5307" s="3" t="s">
        <v>507</v>
      </c>
      <c r="C5307" s="3" t="s">
        <v>1342</v>
      </c>
      <c r="D5307" s="3" t="s">
        <v>68</v>
      </c>
      <c r="E5307" s="3" t="s">
        <v>100</v>
      </c>
      <c r="F5307" s="3" t="s">
        <v>1524</v>
      </c>
      <c r="G5307" s="7">
        <v>46128.35250296014</v>
      </c>
    </row>
    <row r="5308">
      <c r="A5308" s="3" t="s">
        <v>16459</v>
      </c>
      <c r="B5308" s="3" t="s">
        <v>498</v>
      </c>
      <c r="C5308" s="3" t="s">
        <v>1095</v>
      </c>
      <c r="D5308" s="3" t="s">
        <v>181</v>
      </c>
      <c r="E5308" s="3" t="s">
        <v>45</v>
      </c>
      <c r="F5308" s="3" t="s">
        <v>1274</v>
      </c>
      <c r="G5308" s="7">
        <v>46128.42367780555</v>
      </c>
    </row>
    <row r="5309">
      <c r="A5309" s="3" t="s">
        <v>16461</v>
      </c>
      <c r="B5309" s="3" t="s">
        <v>655</v>
      </c>
      <c r="C5309" s="3" t="s">
        <v>1095</v>
      </c>
      <c r="D5309" s="3" t="s">
        <v>195</v>
      </c>
      <c r="E5309" s="3" t="s">
        <v>45</v>
      </c>
      <c r="F5309" s="3" t="s">
        <v>1800</v>
      </c>
      <c r="G5309" s="7">
        <v>46128.49485265096</v>
      </c>
    </row>
    <row r="5310">
      <c r="A5310" s="3" t="s">
        <v>16465</v>
      </c>
      <c r="B5310" s="3" t="s">
        <v>883</v>
      </c>
      <c r="C5310" s="3" t="s">
        <v>56</v>
      </c>
      <c r="D5310" s="3" t="s">
        <v>68</v>
      </c>
      <c r="E5310" s="3" t="s">
        <v>100</v>
      </c>
      <c r="F5310" s="3" t="s">
        <v>1935</v>
      </c>
      <c r="G5310" s="7">
        <v>46128.56602749638</v>
      </c>
    </row>
    <row r="5311">
      <c r="A5311" s="3" t="s">
        <v>16469</v>
      </c>
      <c r="B5311" s="3" t="s">
        <v>722</v>
      </c>
      <c r="C5311" s="3" t="s">
        <v>1095</v>
      </c>
      <c r="D5311" s="3" t="s">
        <v>68</v>
      </c>
      <c r="E5311" s="3" t="s">
        <v>100</v>
      </c>
      <c r="F5311" s="3" t="s">
        <v>1903</v>
      </c>
      <c r="G5311" s="7">
        <v>46128.63720234179</v>
      </c>
    </row>
    <row r="5312">
      <c r="A5312" s="3" t="s">
        <v>16472</v>
      </c>
      <c r="B5312" s="3" t="s">
        <v>559</v>
      </c>
      <c r="C5312" s="3" t="s">
        <v>56</v>
      </c>
      <c r="D5312" s="3" t="s">
        <v>68</v>
      </c>
      <c r="E5312" s="3" t="s">
        <v>100</v>
      </c>
      <c r="F5312" s="3" t="s">
        <v>1937</v>
      </c>
      <c r="G5312" s="7">
        <v>46128.708377187206</v>
      </c>
    </row>
    <row r="5313">
      <c r="A5313" s="3" t="s">
        <v>16474</v>
      </c>
      <c r="B5313" s="3" t="s">
        <v>650</v>
      </c>
      <c r="C5313" s="3" t="s">
        <v>1342</v>
      </c>
      <c r="D5313" s="3" t="s">
        <v>68</v>
      </c>
      <c r="E5313" s="3" t="s">
        <v>100</v>
      </c>
      <c r="F5313" s="3" t="s">
        <v>1647</v>
      </c>
      <c r="G5313" s="7">
        <v>46128.779552032625</v>
      </c>
    </row>
    <row r="5314">
      <c r="A5314" s="3" t="s">
        <v>16476</v>
      </c>
      <c r="B5314" s="3" t="s">
        <v>669</v>
      </c>
      <c r="C5314" s="3" t="s">
        <v>1342</v>
      </c>
      <c r="D5314" s="3" t="s">
        <v>68</v>
      </c>
      <c r="E5314" s="3" t="s">
        <v>100</v>
      </c>
      <c r="F5314" s="3" t="s">
        <v>603</v>
      </c>
      <c r="G5314" s="7">
        <v>46128.850726878045</v>
      </c>
    </row>
    <row r="5315">
      <c r="A5315" s="3" t="s">
        <v>16478</v>
      </c>
      <c r="B5315" s="3" t="s">
        <v>519</v>
      </c>
      <c r="C5315" s="3" t="s">
        <v>1095</v>
      </c>
      <c r="D5315" s="3" t="s">
        <v>68</v>
      </c>
      <c r="E5315" s="3" t="s">
        <v>100</v>
      </c>
      <c r="F5315" s="3" t="s">
        <v>1916</v>
      </c>
      <c r="G5315" s="7">
        <v>46128.92190172345</v>
      </c>
    </row>
    <row r="5316">
      <c r="A5316" s="3" t="s">
        <v>16481</v>
      </c>
      <c r="B5316" s="3" t="s">
        <v>302</v>
      </c>
      <c r="C5316" s="3" t="s">
        <v>1342</v>
      </c>
      <c r="D5316" s="3" t="s">
        <v>68</v>
      </c>
      <c r="E5316" s="3" t="s">
        <v>100</v>
      </c>
      <c r="F5316" s="3" t="s">
        <v>1491</v>
      </c>
      <c r="G5316" s="7">
        <v>46128.99307656887</v>
      </c>
    </row>
    <row r="5317">
      <c r="A5317" s="3" t="s">
        <v>16484</v>
      </c>
      <c r="B5317" s="3" t="s">
        <v>819</v>
      </c>
      <c r="C5317" s="3" t="s">
        <v>1342</v>
      </c>
      <c r="D5317" s="3" t="s">
        <v>68</v>
      </c>
      <c r="E5317" s="3" t="s">
        <v>100</v>
      </c>
      <c r="F5317" s="3" t="s">
        <v>1654</v>
      </c>
      <c r="G5317" s="7">
        <v>46129.06425141429</v>
      </c>
    </row>
    <row r="5318">
      <c r="A5318" s="3" t="s">
        <v>16488</v>
      </c>
      <c r="B5318" s="3" t="s">
        <v>388</v>
      </c>
      <c r="C5318" s="3" t="s">
        <v>1342</v>
      </c>
      <c r="D5318" s="3" t="s">
        <v>181</v>
      </c>
      <c r="E5318" s="3" t="s">
        <v>45</v>
      </c>
      <c r="F5318" s="3" t="s">
        <v>1232</v>
      </c>
      <c r="G5318" s="7">
        <v>46129.1354262597</v>
      </c>
    </row>
    <row r="5319">
      <c r="A5319" s="3" t="s">
        <v>16491</v>
      </c>
      <c r="B5319" s="3" t="s">
        <v>826</v>
      </c>
      <c r="C5319" s="3" t="s">
        <v>1095</v>
      </c>
      <c r="D5319" s="3" t="s">
        <v>68</v>
      </c>
      <c r="E5319" s="3" t="s">
        <v>100</v>
      </c>
      <c r="F5319" s="3" t="s">
        <v>1753</v>
      </c>
      <c r="G5319" s="7">
        <v>46129.206601105114</v>
      </c>
    </row>
    <row r="5320">
      <c r="A5320" s="3" t="s">
        <v>16493</v>
      </c>
      <c r="B5320" s="3" t="s">
        <v>148</v>
      </c>
      <c r="C5320" s="3" t="s">
        <v>56</v>
      </c>
      <c r="D5320" s="3" t="s">
        <v>68</v>
      </c>
      <c r="E5320" s="3" t="s">
        <v>100</v>
      </c>
      <c r="F5320" s="3" t="s">
        <v>1939</v>
      </c>
      <c r="G5320" s="7">
        <v>46129.27777595053</v>
      </c>
    </row>
    <row r="5321">
      <c r="A5321" s="3" t="s">
        <v>16497</v>
      </c>
      <c r="B5321" s="3" t="s">
        <v>1026</v>
      </c>
      <c r="C5321" s="3" t="s">
        <v>1095</v>
      </c>
      <c r="D5321" s="3" t="s">
        <v>68</v>
      </c>
      <c r="E5321" s="3" t="s">
        <v>100</v>
      </c>
      <c r="F5321" s="3" t="s">
        <v>1279</v>
      </c>
      <c r="G5321" s="7">
        <v>46129.348950795946</v>
      </c>
    </row>
    <row r="5322">
      <c r="A5322" s="3" t="s">
        <v>16500</v>
      </c>
      <c r="B5322" s="3" t="s">
        <v>488</v>
      </c>
      <c r="C5322" s="3" t="s">
        <v>56</v>
      </c>
      <c r="D5322" s="3" t="s">
        <v>68</v>
      </c>
      <c r="E5322" s="3" t="s">
        <v>100</v>
      </c>
      <c r="F5322" s="3" t="s">
        <v>1941</v>
      </c>
      <c r="G5322" s="7">
        <v>46129.42012564136</v>
      </c>
    </row>
    <row r="5323">
      <c r="A5323" s="3" t="s">
        <v>16503</v>
      </c>
      <c r="B5323" s="3" t="s">
        <v>682</v>
      </c>
      <c r="C5323" s="3" t="s">
        <v>56</v>
      </c>
      <c r="D5323" s="3" t="s">
        <v>68</v>
      </c>
      <c r="E5323" s="3" t="s">
        <v>100</v>
      </c>
      <c r="F5323" s="3" t="s">
        <v>1943</v>
      </c>
      <c r="G5323" s="7">
        <v>46129.49130048678</v>
      </c>
    </row>
    <row r="5324">
      <c r="A5324" s="3" t="s">
        <v>16506</v>
      </c>
      <c r="B5324" s="3" t="s">
        <v>272</v>
      </c>
      <c r="C5324" s="3" t="s">
        <v>56</v>
      </c>
      <c r="D5324" s="3" t="s">
        <v>68</v>
      </c>
      <c r="E5324" s="3" t="s">
        <v>100</v>
      </c>
      <c r="F5324" s="3" t="s">
        <v>1946</v>
      </c>
      <c r="G5324" s="7">
        <v>46129.56247533219</v>
      </c>
    </row>
    <row r="5325">
      <c r="A5325" s="3" t="s">
        <v>16510</v>
      </c>
      <c r="B5325" s="3" t="s">
        <v>186</v>
      </c>
      <c r="C5325" s="3" t="s">
        <v>1095</v>
      </c>
      <c r="D5325" s="3" t="s">
        <v>68</v>
      </c>
      <c r="E5325" s="3" t="s">
        <v>100</v>
      </c>
      <c r="F5325" s="3" t="s">
        <v>1475</v>
      </c>
      <c r="G5325" s="7">
        <v>46129.6336501776</v>
      </c>
    </row>
    <row r="5326">
      <c r="A5326" s="3" t="s">
        <v>16514</v>
      </c>
      <c r="B5326" s="3" t="s">
        <v>466</v>
      </c>
      <c r="C5326" s="3" t="s">
        <v>1095</v>
      </c>
      <c r="D5326" s="3" t="s">
        <v>68</v>
      </c>
      <c r="E5326" s="3" t="s">
        <v>100</v>
      </c>
      <c r="F5326" s="3" t="s">
        <v>1208</v>
      </c>
      <c r="G5326" s="7">
        <v>46129.70482502302</v>
      </c>
    </row>
    <row r="5327">
      <c r="A5327" s="3" t="s">
        <v>16517</v>
      </c>
      <c r="B5327" s="3" t="s">
        <v>934</v>
      </c>
      <c r="C5327" s="3" t="s">
        <v>1095</v>
      </c>
      <c r="D5327" s="3" t="s">
        <v>181</v>
      </c>
      <c r="E5327" s="3" t="s">
        <v>45</v>
      </c>
      <c r="F5327" s="3" t="s">
        <v>1498</v>
      </c>
      <c r="G5327" s="7">
        <v>46129.775999868434</v>
      </c>
    </row>
    <row r="5328">
      <c r="A5328" s="3" t="s">
        <v>16520</v>
      </c>
      <c r="B5328" s="3" t="s">
        <v>430</v>
      </c>
      <c r="C5328" s="3" t="s">
        <v>56</v>
      </c>
      <c r="D5328" s="3" t="s">
        <v>68</v>
      </c>
      <c r="E5328" s="3" t="s">
        <v>100</v>
      </c>
      <c r="F5328" s="3" t="s">
        <v>1950</v>
      </c>
      <c r="G5328" s="7">
        <v>46129.84717471385</v>
      </c>
    </row>
    <row r="5329">
      <c r="A5329" s="3" t="s">
        <v>16525</v>
      </c>
      <c r="B5329" s="3" t="s">
        <v>864</v>
      </c>
      <c r="C5329" s="3" t="s">
        <v>1095</v>
      </c>
      <c r="D5329" s="3" t="s">
        <v>68</v>
      </c>
      <c r="E5329" s="3" t="s">
        <v>100</v>
      </c>
      <c r="F5329" s="3" t="s">
        <v>1892</v>
      </c>
      <c r="G5329" s="7">
        <v>46129.918349559266</v>
      </c>
    </row>
    <row r="5330">
      <c r="A5330" s="3" t="s">
        <v>16528</v>
      </c>
      <c r="B5330" s="3" t="s">
        <v>449</v>
      </c>
      <c r="C5330" s="3" t="s">
        <v>1342</v>
      </c>
      <c r="D5330" s="3" t="s">
        <v>68</v>
      </c>
      <c r="E5330" s="3" t="s">
        <v>100</v>
      </c>
      <c r="F5330" s="3" t="s">
        <v>1918</v>
      </c>
      <c r="G5330" s="7">
        <v>46129.989524404686</v>
      </c>
    </row>
    <row r="5331">
      <c r="A5331" s="3" t="s">
        <v>16531</v>
      </c>
      <c r="B5331" s="3" t="s">
        <v>627</v>
      </c>
      <c r="C5331" s="3" t="s">
        <v>1342</v>
      </c>
      <c r="D5331" s="3" t="s">
        <v>68</v>
      </c>
      <c r="E5331" s="3" t="s">
        <v>100</v>
      </c>
      <c r="F5331" s="3" t="s">
        <v>1882</v>
      </c>
      <c r="G5331" s="7">
        <v>46130.06069925009</v>
      </c>
    </row>
    <row r="5332">
      <c r="A5332" s="3" t="s">
        <v>16533</v>
      </c>
      <c r="B5332" s="3" t="s">
        <v>612</v>
      </c>
      <c r="C5332" s="3" t="s">
        <v>1095</v>
      </c>
      <c r="D5332" s="3" t="s">
        <v>68</v>
      </c>
      <c r="E5332" s="3" t="s">
        <v>100</v>
      </c>
      <c r="F5332" s="3" t="s">
        <v>1842</v>
      </c>
      <c r="G5332" s="7">
        <v>46130.13187409551</v>
      </c>
    </row>
    <row r="5333">
      <c r="A5333" s="3" t="s">
        <v>16536</v>
      </c>
      <c r="B5333" s="3" t="s">
        <v>805</v>
      </c>
      <c r="C5333" s="3" t="s">
        <v>56</v>
      </c>
      <c r="D5333" s="3" t="s">
        <v>68</v>
      </c>
      <c r="E5333" s="3" t="s">
        <v>100</v>
      </c>
      <c r="F5333" s="3" t="s">
        <v>1951</v>
      </c>
      <c r="G5333" s="7">
        <v>46130.20304894093</v>
      </c>
    </row>
    <row r="5334">
      <c r="A5334" s="3" t="s">
        <v>16538</v>
      </c>
      <c r="B5334" s="3" t="s">
        <v>219</v>
      </c>
      <c r="C5334" s="3" t="s">
        <v>1342</v>
      </c>
      <c r="D5334" s="3" t="s">
        <v>68</v>
      </c>
      <c r="E5334" s="3" t="s">
        <v>100</v>
      </c>
      <c r="F5334" s="3" t="s">
        <v>1076</v>
      </c>
      <c r="G5334" s="7">
        <v>46130.27422378634</v>
      </c>
    </row>
    <row r="5335">
      <c r="A5335" s="3" t="s">
        <v>16541</v>
      </c>
      <c r="B5335" s="3" t="s">
        <v>710</v>
      </c>
      <c r="C5335" s="3" t="s">
        <v>56</v>
      </c>
      <c r="D5335" s="3" t="s">
        <v>195</v>
      </c>
      <c r="E5335" s="3" t="s">
        <v>45</v>
      </c>
      <c r="F5335" s="3" t="s">
        <v>45</v>
      </c>
      <c r="G5335" s="7">
        <v>46130.345398631755</v>
      </c>
    </row>
    <row r="5336">
      <c r="A5336" s="3" t="s">
        <v>16545</v>
      </c>
      <c r="B5336" s="3" t="s">
        <v>208</v>
      </c>
      <c r="C5336" s="3" t="s">
        <v>56</v>
      </c>
      <c r="D5336" s="3" t="s">
        <v>68</v>
      </c>
      <c r="E5336" s="3" t="s">
        <v>100</v>
      </c>
      <c r="F5336" s="3" t="s">
        <v>1954</v>
      </c>
      <c r="G5336" s="7">
        <v>46130.416573477174</v>
      </c>
    </row>
    <row r="5337">
      <c r="A5337" s="3" t="s">
        <v>16549</v>
      </c>
      <c r="B5337" s="3" t="s">
        <v>479</v>
      </c>
      <c r="C5337" s="3" t="s">
        <v>56</v>
      </c>
      <c r="D5337" s="3" t="s">
        <v>68</v>
      </c>
      <c r="E5337" s="3" t="s">
        <v>100</v>
      </c>
      <c r="F5337" s="3" t="s">
        <v>1956</v>
      </c>
      <c r="G5337" s="7">
        <v>46130.48774832259</v>
      </c>
    </row>
    <row r="5338">
      <c r="A5338" s="3" t="s">
        <v>16551</v>
      </c>
      <c r="B5338" s="3" t="s">
        <v>600</v>
      </c>
      <c r="C5338" s="3" t="s">
        <v>1342</v>
      </c>
      <c r="D5338" s="3" t="s">
        <v>68</v>
      </c>
      <c r="E5338" s="3" t="s">
        <v>100</v>
      </c>
      <c r="F5338" s="3" t="s">
        <v>1768</v>
      </c>
      <c r="G5338" s="7">
        <v>46130.558923168</v>
      </c>
    </row>
    <row r="5339">
      <c r="A5339" s="3" t="s">
        <v>16553</v>
      </c>
      <c r="B5339" s="3" t="s">
        <v>530</v>
      </c>
      <c r="C5339" s="3" t="s">
        <v>1095</v>
      </c>
      <c r="D5339" s="3" t="s">
        <v>68</v>
      </c>
      <c r="E5339" s="3" t="s">
        <v>100</v>
      </c>
      <c r="F5339" s="3" t="s">
        <v>1443</v>
      </c>
      <c r="G5339" s="7">
        <v>46130.63009801342</v>
      </c>
    </row>
    <row r="5340">
      <c r="A5340" s="3" t="s">
        <v>16555</v>
      </c>
      <c r="B5340" s="3" t="s">
        <v>953</v>
      </c>
      <c r="C5340" s="3" t="s">
        <v>56</v>
      </c>
      <c r="D5340" s="3" t="s">
        <v>68</v>
      </c>
      <c r="E5340" s="3" t="s">
        <v>100</v>
      </c>
      <c r="F5340" s="3" t="s">
        <v>1958</v>
      </c>
      <c r="G5340" s="7">
        <v>46130.70127285883</v>
      </c>
    </row>
    <row r="5341">
      <c r="A5341" s="3" t="s">
        <v>16557</v>
      </c>
      <c r="B5341" s="3" t="s">
        <v>763</v>
      </c>
      <c r="C5341" s="3" t="s">
        <v>1095</v>
      </c>
      <c r="D5341" s="3" t="s">
        <v>68</v>
      </c>
      <c r="E5341" s="3" t="s">
        <v>100</v>
      </c>
      <c r="F5341" s="3" t="s">
        <v>1634</v>
      </c>
      <c r="G5341" s="7">
        <v>46130.77244770424</v>
      </c>
    </row>
    <row r="5342">
      <c r="A5342" s="3" t="s">
        <v>16561</v>
      </c>
      <c r="B5342" s="3" t="s">
        <v>546</v>
      </c>
      <c r="C5342" s="3" t="s">
        <v>1095</v>
      </c>
      <c r="D5342" s="3" t="s">
        <v>68</v>
      </c>
      <c r="E5342" s="3" t="s">
        <v>100</v>
      </c>
      <c r="F5342" s="3" t="s">
        <v>1451</v>
      </c>
      <c r="G5342" s="7">
        <v>46130.84362254966</v>
      </c>
    </row>
    <row r="5343">
      <c r="A5343" s="3" t="s">
        <v>16564</v>
      </c>
      <c r="B5343" s="3" t="s">
        <v>130</v>
      </c>
      <c r="C5343" s="3" t="s">
        <v>1095</v>
      </c>
      <c r="D5343" s="3" t="s">
        <v>68</v>
      </c>
      <c r="E5343" s="3" t="s">
        <v>100</v>
      </c>
      <c r="F5343" s="3" t="s">
        <v>1503</v>
      </c>
      <c r="G5343" s="7">
        <v>46130.914797395075</v>
      </c>
    </row>
    <row r="5344">
      <c r="A5344" s="3" t="s">
        <v>16567</v>
      </c>
      <c r="B5344" s="3" t="s">
        <v>243</v>
      </c>
      <c r="C5344" s="3" t="s">
        <v>1095</v>
      </c>
      <c r="D5344" s="3" t="s">
        <v>68</v>
      </c>
      <c r="E5344" s="3" t="s">
        <v>100</v>
      </c>
      <c r="F5344" s="3" t="s">
        <v>1899</v>
      </c>
      <c r="G5344" s="7">
        <v>46130.985972240494</v>
      </c>
    </row>
    <row r="5345">
      <c r="A5345" s="3" t="s">
        <v>16571</v>
      </c>
      <c r="B5345" s="3" t="s">
        <v>547</v>
      </c>
      <c r="C5345" s="3" t="s">
        <v>56</v>
      </c>
      <c r="D5345" s="3" t="s">
        <v>68</v>
      </c>
      <c r="E5345" s="3" t="s">
        <v>100</v>
      </c>
      <c r="F5345" s="3" t="s">
        <v>1963</v>
      </c>
      <c r="G5345" s="7">
        <v>46131.05714708591</v>
      </c>
    </row>
    <row r="5346">
      <c r="A5346" s="3" t="s">
        <v>16575</v>
      </c>
      <c r="B5346" s="3" t="s">
        <v>159</v>
      </c>
      <c r="C5346" s="3" t="s">
        <v>1095</v>
      </c>
      <c r="D5346" s="3" t="s">
        <v>68</v>
      </c>
      <c r="E5346" s="3" t="s">
        <v>100</v>
      </c>
      <c r="F5346" s="3" t="s">
        <v>1563</v>
      </c>
      <c r="G5346" s="7">
        <v>46131.128321931326</v>
      </c>
    </row>
    <row r="5347">
      <c r="A5347" s="3" t="s">
        <v>16578</v>
      </c>
      <c r="B5347" s="3" t="s">
        <v>1049</v>
      </c>
      <c r="C5347" s="3" t="s">
        <v>56</v>
      </c>
      <c r="D5347" s="3" t="s">
        <v>68</v>
      </c>
      <c r="E5347" s="3" t="s">
        <v>100</v>
      </c>
      <c r="F5347" s="3" t="s">
        <v>1966</v>
      </c>
      <c r="G5347" s="7">
        <v>46131.19949677673</v>
      </c>
    </row>
    <row r="5348">
      <c r="A5348" s="3" t="s">
        <v>16581</v>
      </c>
      <c r="B5348" s="3" t="s">
        <v>883</v>
      </c>
      <c r="C5348" s="3" t="s">
        <v>1342</v>
      </c>
      <c r="D5348" s="3" t="s">
        <v>68</v>
      </c>
      <c r="E5348" s="3" t="s">
        <v>100</v>
      </c>
      <c r="F5348" s="3" t="s">
        <v>1935</v>
      </c>
      <c r="G5348" s="7">
        <v>46131.27067162215</v>
      </c>
    </row>
    <row r="5349">
      <c r="A5349" s="3" t="s">
        <v>16585</v>
      </c>
      <c r="B5349" s="3" t="s">
        <v>895</v>
      </c>
      <c r="C5349" s="3" t="s">
        <v>1095</v>
      </c>
      <c r="D5349" s="3" t="s">
        <v>68</v>
      </c>
      <c r="E5349" s="3" t="s">
        <v>100</v>
      </c>
      <c r="F5349" s="3" t="s">
        <v>1833</v>
      </c>
      <c r="G5349" s="7">
        <v>46131.34184646757</v>
      </c>
    </row>
    <row r="5350">
      <c r="A5350" s="3" t="s">
        <v>16589</v>
      </c>
      <c r="B5350" s="3" t="s">
        <v>591</v>
      </c>
      <c r="C5350" s="3" t="s">
        <v>1095</v>
      </c>
      <c r="D5350" s="3" t="s">
        <v>195</v>
      </c>
      <c r="E5350" s="3" t="s">
        <v>45</v>
      </c>
      <c r="F5350" s="3" t="s">
        <v>1173</v>
      </c>
      <c r="G5350" s="7">
        <v>46131.41302131298</v>
      </c>
    </row>
    <row r="5351">
      <c r="A5351" s="3" t="s">
        <v>16591</v>
      </c>
      <c r="B5351" s="3" t="s">
        <v>299</v>
      </c>
      <c r="C5351" s="3" t="s">
        <v>1342</v>
      </c>
      <c r="D5351" s="3" t="s">
        <v>195</v>
      </c>
      <c r="E5351" s="3" t="s">
        <v>45</v>
      </c>
      <c r="F5351" s="3" t="s">
        <v>1985</v>
      </c>
      <c r="G5351" s="7">
        <v>46131.484196158395</v>
      </c>
    </row>
    <row r="5352">
      <c r="A5352" s="3" t="s">
        <v>16593</v>
      </c>
      <c r="B5352" s="3" t="s">
        <v>496</v>
      </c>
      <c r="C5352" s="3" t="s">
        <v>1342</v>
      </c>
      <c r="D5352" s="3" t="s">
        <v>68</v>
      </c>
      <c r="E5352" s="3" t="s">
        <v>100</v>
      </c>
      <c r="F5352" s="3" t="s">
        <v>1424</v>
      </c>
      <c r="G5352" s="7">
        <v>46131.555371003815</v>
      </c>
    </row>
    <row r="5353">
      <c r="A5353" s="3" t="s">
        <v>16595</v>
      </c>
      <c r="B5353" s="3" t="s">
        <v>920</v>
      </c>
      <c r="C5353" s="3" t="s">
        <v>56</v>
      </c>
      <c r="D5353" s="3" t="s">
        <v>68</v>
      </c>
      <c r="E5353" s="3" t="s">
        <v>100</v>
      </c>
      <c r="F5353" s="3" t="s">
        <v>1968</v>
      </c>
      <c r="G5353" s="7">
        <v>46131.62654584923</v>
      </c>
    </row>
    <row r="5354">
      <c r="A5354" s="3" t="s">
        <v>16598</v>
      </c>
      <c r="B5354" s="3" t="s">
        <v>1001</v>
      </c>
      <c r="C5354" s="3" t="s">
        <v>1342</v>
      </c>
      <c r="D5354" s="3" t="s">
        <v>68</v>
      </c>
      <c r="E5354" s="3" t="s">
        <v>100</v>
      </c>
      <c r="F5354" s="3" t="s">
        <v>1670</v>
      </c>
      <c r="G5354" s="7">
        <v>46131.69772069464</v>
      </c>
    </row>
    <row r="5355">
      <c r="A5355" s="3" t="s">
        <v>16602</v>
      </c>
      <c r="B5355" s="3" t="s">
        <v>202</v>
      </c>
      <c r="C5355" s="3" t="s">
        <v>1095</v>
      </c>
      <c r="D5355" s="3" t="s">
        <v>68</v>
      </c>
      <c r="E5355" s="3" t="s">
        <v>100</v>
      </c>
      <c r="F5355" s="3" t="s">
        <v>1691</v>
      </c>
      <c r="G5355" s="7">
        <v>46131.76889554006</v>
      </c>
    </row>
    <row r="5356">
      <c r="A5356" s="3" t="s">
        <v>16605</v>
      </c>
      <c r="B5356" s="3" t="s">
        <v>406</v>
      </c>
      <c r="C5356" s="3" t="s">
        <v>1095</v>
      </c>
      <c r="D5356" s="3" t="s">
        <v>181</v>
      </c>
      <c r="E5356" s="3" t="s">
        <v>45</v>
      </c>
      <c r="F5356" s="3" t="s">
        <v>1755</v>
      </c>
      <c r="G5356" s="7">
        <v>46131.84007038548</v>
      </c>
    </row>
    <row r="5357">
      <c r="A5357" s="3" t="s">
        <v>16608</v>
      </c>
      <c r="B5357" s="3" t="s">
        <v>947</v>
      </c>
      <c r="C5357" s="3" t="s">
        <v>1095</v>
      </c>
      <c r="D5357" s="3" t="s">
        <v>68</v>
      </c>
      <c r="E5357" s="3" t="s">
        <v>100</v>
      </c>
      <c r="F5357" s="3" t="s">
        <v>2062</v>
      </c>
      <c r="G5357" s="7">
        <v>46131.911245230884</v>
      </c>
    </row>
    <row r="5358">
      <c r="A5358" s="3" t="s">
        <v>16611</v>
      </c>
      <c r="B5358" s="3" t="s">
        <v>848</v>
      </c>
      <c r="C5358" s="3" t="s">
        <v>1095</v>
      </c>
      <c r="D5358" s="3" t="s">
        <v>68</v>
      </c>
      <c r="E5358" s="3" t="s">
        <v>100</v>
      </c>
      <c r="F5358" s="3" t="s">
        <v>1495</v>
      </c>
      <c r="G5358" s="7">
        <v>46131.9824200763</v>
      </c>
    </row>
    <row r="5359">
      <c r="A5359" s="3" t="s">
        <v>16613</v>
      </c>
      <c r="B5359" s="3" t="s">
        <v>579</v>
      </c>
      <c r="C5359" s="3" t="s">
        <v>1342</v>
      </c>
      <c r="D5359" s="3" t="s">
        <v>181</v>
      </c>
      <c r="E5359" s="3" t="s">
        <v>45</v>
      </c>
      <c r="F5359" s="3" t="s">
        <v>1153</v>
      </c>
      <c r="G5359" s="7">
        <v>46132.053594921716</v>
      </c>
    </row>
    <row r="5360">
      <c r="A5360" s="3" t="s">
        <v>16615</v>
      </c>
      <c r="B5360" s="3" t="s">
        <v>800</v>
      </c>
      <c r="C5360" s="3" t="s">
        <v>1095</v>
      </c>
      <c r="D5360" s="3" t="s">
        <v>68</v>
      </c>
      <c r="E5360" s="3" t="s">
        <v>100</v>
      </c>
      <c r="F5360" s="3" t="s">
        <v>1808</v>
      </c>
      <c r="G5360" s="7">
        <v>46132.124769767135</v>
      </c>
    </row>
    <row r="5361">
      <c r="A5361" s="3" t="s">
        <v>16617</v>
      </c>
      <c r="B5361" s="3" t="s">
        <v>689</v>
      </c>
      <c r="C5361" s="3" t="s">
        <v>56</v>
      </c>
      <c r="D5361" s="3" t="s">
        <v>68</v>
      </c>
      <c r="E5361" s="3" t="s">
        <v>100</v>
      </c>
      <c r="F5361" s="3" t="s">
        <v>1969</v>
      </c>
      <c r="G5361" s="7">
        <v>46132.19594461255</v>
      </c>
    </row>
    <row r="5362">
      <c r="A5362" s="3" t="s">
        <v>16620</v>
      </c>
      <c r="B5362" s="3" t="s">
        <v>524</v>
      </c>
      <c r="C5362" s="3" t="s">
        <v>56</v>
      </c>
      <c r="D5362" s="3" t="s">
        <v>68</v>
      </c>
      <c r="E5362" s="3" t="s">
        <v>100</v>
      </c>
      <c r="F5362" s="3" t="s">
        <v>1971</v>
      </c>
      <c r="G5362" s="7">
        <v>46132.26711945797</v>
      </c>
    </row>
    <row r="5363">
      <c r="A5363" s="3" t="s">
        <v>16624</v>
      </c>
      <c r="B5363" s="3" t="s">
        <v>911</v>
      </c>
      <c r="C5363" s="3" t="s">
        <v>1095</v>
      </c>
      <c r="D5363" s="3" t="s">
        <v>68</v>
      </c>
      <c r="E5363" s="3" t="s">
        <v>100</v>
      </c>
      <c r="F5363" s="3" t="s">
        <v>1961</v>
      </c>
      <c r="G5363" s="7">
        <v>46132.33829430337</v>
      </c>
    </row>
    <row r="5364">
      <c r="A5364" s="3" t="s">
        <v>16627</v>
      </c>
      <c r="B5364" s="3" t="s">
        <v>406</v>
      </c>
      <c r="C5364" s="3" t="s">
        <v>1342</v>
      </c>
      <c r="D5364" s="3" t="s">
        <v>181</v>
      </c>
      <c r="E5364" s="3" t="s">
        <v>45</v>
      </c>
      <c r="F5364" s="3" t="s">
        <v>1755</v>
      </c>
      <c r="G5364" s="7">
        <v>46132.40946914879</v>
      </c>
    </row>
    <row r="5365">
      <c r="A5365" s="3" t="s">
        <v>16630</v>
      </c>
      <c r="B5365" s="3" t="s">
        <v>650</v>
      </c>
      <c r="C5365" s="3" t="s">
        <v>1342</v>
      </c>
      <c r="D5365" s="3" t="s">
        <v>68</v>
      </c>
      <c r="E5365" s="3" t="s">
        <v>100</v>
      </c>
      <c r="F5365" s="3" t="s">
        <v>1647</v>
      </c>
      <c r="G5365" s="7">
        <v>46132.48064399421</v>
      </c>
    </row>
    <row r="5366">
      <c r="A5366" s="3" t="s">
        <v>16633</v>
      </c>
      <c r="B5366" s="3" t="s">
        <v>535</v>
      </c>
      <c r="C5366" s="3" t="s">
        <v>1342</v>
      </c>
      <c r="D5366" s="3" t="s">
        <v>68</v>
      </c>
      <c r="E5366" s="3" t="s">
        <v>100</v>
      </c>
      <c r="F5366" s="3" t="s">
        <v>1467</v>
      </c>
      <c r="G5366" s="7">
        <v>46132.55181883962</v>
      </c>
    </row>
    <row r="5367">
      <c r="A5367" s="3" t="s">
        <v>16637</v>
      </c>
      <c r="B5367" s="3" t="s">
        <v>282</v>
      </c>
      <c r="C5367" s="3" t="s">
        <v>56</v>
      </c>
      <c r="D5367" s="3" t="s">
        <v>68</v>
      </c>
      <c r="E5367" s="3" t="s">
        <v>100</v>
      </c>
      <c r="F5367" s="3" t="s">
        <v>1973</v>
      </c>
      <c r="G5367" s="7">
        <v>46132.622993685036</v>
      </c>
    </row>
    <row r="5368">
      <c r="A5368" s="3" t="s">
        <v>16641</v>
      </c>
      <c r="B5368" s="3" t="s">
        <v>488</v>
      </c>
      <c r="C5368" s="3" t="s">
        <v>1342</v>
      </c>
      <c r="D5368" s="3" t="s">
        <v>181</v>
      </c>
      <c r="E5368" s="3" t="s">
        <v>45</v>
      </c>
      <c r="F5368" s="3" t="s">
        <v>1941</v>
      </c>
      <c r="G5368" s="7">
        <v>46132.694168530455</v>
      </c>
    </row>
    <row r="5369">
      <c r="A5369" s="3" t="s">
        <v>16643</v>
      </c>
      <c r="B5369" s="3" t="s">
        <v>767</v>
      </c>
      <c r="C5369" s="3" t="s">
        <v>1095</v>
      </c>
      <c r="D5369" s="3" t="s">
        <v>68</v>
      </c>
      <c r="E5369" s="3" t="s">
        <v>100</v>
      </c>
      <c r="F5369" s="3" t="s">
        <v>1636</v>
      </c>
      <c r="G5369" s="7">
        <v>46132.76534337587</v>
      </c>
    </row>
    <row r="5370">
      <c r="A5370" s="3" t="s">
        <v>16646</v>
      </c>
      <c r="B5370" s="3" t="s">
        <v>436</v>
      </c>
      <c r="C5370" s="3" t="s">
        <v>1342</v>
      </c>
      <c r="D5370" s="3" t="s">
        <v>68</v>
      </c>
      <c r="E5370" s="3" t="s">
        <v>100</v>
      </c>
      <c r="F5370" s="3" t="s">
        <v>1138</v>
      </c>
      <c r="G5370" s="7">
        <v>46132.83651822128</v>
      </c>
    </row>
    <row r="5371">
      <c r="A5371" s="3" t="s">
        <v>16650</v>
      </c>
      <c r="B5371" s="3" t="s">
        <v>377</v>
      </c>
      <c r="C5371" s="3" t="s">
        <v>1095</v>
      </c>
      <c r="D5371" s="3" t="s">
        <v>181</v>
      </c>
      <c r="E5371" s="3" t="s">
        <v>45</v>
      </c>
      <c r="F5371" s="3" t="s">
        <v>470</v>
      </c>
      <c r="G5371" s="7">
        <v>46132.9076930667</v>
      </c>
    </row>
    <row r="5372">
      <c r="A5372" s="3" t="s">
        <v>16652</v>
      </c>
      <c r="B5372" s="3" t="s">
        <v>260</v>
      </c>
      <c r="C5372" s="3" t="s">
        <v>1095</v>
      </c>
      <c r="D5372" s="3" t="s">
        <v>68</v>
      </c>
      <c r="E5372" s="3" t="s">
        <v>100</v>
      </c>
      <c r="F5372" s="3" t="s">
        <v>1699</v>
      </c>
      <c r="G5372" s="7">
        <v>46132.97886791212</v>
      </c>
    </row>
    <row r="5373">
      <c r="A5373" s="3" t="s">
        <v>16657</v>
      </c>
      <c r="B5373" s="3" t="s">
        <v>682</v>
      </c>
      <c r="C5373" s="3" t="s">
        <v>1095</v>
      </c>
      <c r="D5373" s="3" t="s">
        <v>68</v>
      </c>
      <c r="E5373" s="3" t="s">
        <v>100</v>
      </c>
      <c r="F5373" s="3" t="s">
        <v>1943</v>
      </c>
      <c r="G5373" s="7">
        <v>46133.050042757524</v>
      </c>
    </row>
    <row r="5374">
      <c r="A5374" s="3" t="s">
        <v>16660</v>
      </c>
      <c r="B5374" s="3" t="s">
        <v>488</v>
      </c>
      <c r="C5374" s="3" t="s">
        <v>1342</v>
      </c>
      <c r="D5374" s="3" t="s">
        <v>68</v>
      </c>
      <c r="E5374" s="3" t="s">
        <v>100</v>
      </c>
      <c r="F5374" s="3" t="s">
        <v>1941</v>
      </c>
      <c r="G5374" s="7">
        <v>46133.121217602944</v>
      </c>
    </row>
    <row r="5375">
      <c r="A5375" s="3" t="s">
        <v>16663</v>
      </c>
      <c r="B5375" s="3" t="s">
        <v>395</v>
      </c>
      <c r="C5375" s="3" t="s">
        <v>1342</v>
      </c>
      <c r="D5375" s="3" t="s">
        <v>68</v>
      </c>
      <c r="E5375" s="3" t="s">
        <v>100</v>
      </c>
      <c r="F5375" s="3" t="s">
        <v>1418</v>
      </c>
      <c r="G5375" s="7">
        <v>46133.19239244836</v>
      </c>
    </row>
    <row r="5376">
      <c r="A5376" s="3" t="s">
        <v>16666</v>
      </c>
      <c r="B5376" s="3" t="s">
        <v>189</v>
      </c>
      <c r="C5376" s="3" t="s">
        <v>1095</v>
      </c>
      <c r="D5376" s="3" t="s">
        <v>68</v>
      </c>
      <c r="E5376" s="3" t="s">
        <v>100</v>
      </c>
      <c r="F5376" s="3" t="s">
        <v>1385</v>
      </c>
      <c r="G5376" s="7">
        <v>46133.263567293776</v>
      </c>
    </row>
    <row r="5377">
      <c r="A5377" s="3" t="s">
        <v>16670</v>
      </c>
      <c r="B5377" s="3" t="s">
        <v>767</v>
      </c>
      <c r="C5377" s="3" t="s">
        <v>56</v>
      </c>
      <c r="D5377" s="3" t="s">
        <v>68</v>
      </c>
      <c r="E5377" s="3" t="s">
        <v>100</v>
      </c>
      <c r="F5377" s="3" t="s">
        <v>1975</v>
      </c>
      <c r="G5377" s="7">
        <v>46133.33474213919</v>
      </c>
    </row>
    <row r="5378">
      <c r="A5378" s="3" t="s">
        <v>16674</v>
      </c>
      <c r="B5378" s="3" t="s">
        <v>168</v>
      </c>
      <c r="C5378" s="3" t="s">
        <v>56</v>
      </c>
      <c r="D5378" s="3" t="s">
        <v>68</v>
      </c>
      <c r="E5378" s="3" t="s">
        <v>100</v>
      </c>
      <c r="F5378" s="3" t="s">
        <v>1979</v>
      </c>
      <c r="G5378" s="7">
        <v>46133.40591698461</v>
      </c>
    </row>
    <row r="5379">
      <c r="A5379" s="3" t="s">
        <v>16677</v>
      </c>
      <c r="B5379" s="3" t="s">
        <v>906</v>
      </c>
      <c r="C5379" s="3" t="s">
        <v>56</v>
      </c>
      <c r="D5379" s="3" t="s">
        <v>68</v>
      </c>
      <c r="E5379" s="3" t="s">
        <v>100</v>
      </c>
      <c r="F5379" s="3" t="s">
        <v>1981</v>
      </c>
      <c r="G5379" s="7">
        <v>46133.47709183002</v>
      </c>
    </row>
    <row r="5380">
      <c r="A5380" s="3" t="s">
        <v>16680</v>
      </c>
      <c r="B5380" s="3" t="s">
        <v>406</v>
      </c>
      <c r="C5380" s="3" t="s">
        <v>1342</v>
      </c>
      <c r="D5380" s="3" t="s">
        <v>68</v>
      </c>
      <c r="E5380" s="3" t="s">
        <v>100</v>
      </c>
      <c r="F5380" s="3" t="s">
        <v>1755</v>
      </c>
      <c r="G5380" s="7">
        <v>46133.54826667543</v>
      </c>
    </row>
    <row r="5381">
      <c r="A5381" s="3" t="s">
        <v>16684</v>
      </c>
      <c r="B5381" s="3" t="s">
        <v>1037</v>
      </c>
      <c r="C5381" s="3" t="s">
        <v>56</v>
      </c>
      <c r="D5381" s="3" t="s">
        <v>68</v>
      </c>
      <c r="E5381" s="3" t="s">
        <v>100</v>
      </c>
      <c r="F5381" s="3" t="s">
        <v>1983</v>
      </c>
      <c r="G5381" s="7">
        <v>46133.61944152085</v>
      </c>
    </row>
    <row r="5382">
      <c r="A5382" s="3" t="s">
        <v>16687</v>
      </c>
      <c r="B5382" s="3" t="s">
        <v>895</v>
      </c>
      <c r="C5382" s="3" t="s">
        <v>56</v>
      </c>
      <c r="D5382" s="3" t="s">
        <v>68</v>
      </c>
      <c r="E5382" s="3" t="s">
        <v>100</v>
      </c>
      <c r="F5382" s="3" t="s">
        <v>1988</v>
      </c>
      <c r="G5382" s="7">
        <v>46133.690616366264</v>
      </c>
    </row>
    <row r="5383">
      <c r="A5383" s="3" t="s">
        <v>16690</v>
      </c>
      <c r="B5383" s="3" t="s">
        <v>247</v>
      </c>
      <c r="C5383" s="3" t="s">
        <v>56</v>
      </c>
      <c r="D5383" s="3" t="s">
        <v>68</v>
      </c>
      <c r="E5383" s="3" t="s">
        <v>100</v>
      </c>
      <c r="F5383" s="3" t="s">
        <v>1989</v>
      </c>
      <c r="G5383" s="7">
        <v>46133.76179121168</v>
      </c>
    </row>
    <row r="5384">
      <c r="A5384" s="3" t="s">
        <v>16693</v>
      </c>
      <c r="B5384" s="3" t="s">
        <v>424</v>
      </c>
      <c r="C5384" s="3" t="s">
        <v>56</v>
      </c>
      <c r="D5384" s="3" t="s">
        <v>68</v>
      </c>
      <c r="E5384" s="3" t="s">
        <v>100</v>
      </c>
      <c r="F5384" s="3" t="s">
        <v>1992</v>
      </c>
      <c r="G5384" s="7">
        <v>46133.832966057096</v>
      </c>
    </row>
    <row r="5385">
      <c r="A5385" s="3" t="s">
        <v>16695</v>
      </c>
      <c r="B5385" s="3" t="s">
        <v>505</v>
      </c>
      <c r="C5385" s="3" t="s">
        <v>1342</v>
      </c>
      <c r="D5385" s="3" t="s">
        <v>68</v>
      </c>
      <c r="E5385" s="3" t="s">
        <v>100</v>
      </c>
      <c r="F5385" s="3" t="s">
        <v>1766</v>
      </c>
      <c r="G5385" s="7">
        <v>46133.90414090251</v>
      </c>
    </row>
    <row r="5386">
      <c r="A5386" s="3" t="s">
        <v>16697</v>
      </c>
      <c r="B5386" s="3" t="s">
        <v>767</v>
      </c>
      <c r="C5386" s="3" t="s">
        <v>1095</v>
      </c>
      <c r="D5386" s="3" t="s">
        <v>195</v>
      </c>
      <c r="E5386" s="3" t="s">
        <v>45</v>
      </c>
      <c r="F5386" s="3" t="s">
        <v>1975</v>
      </c>
      <c r="G5386" s="7">
        <v>46133.97531574793</v>
      </c>
    </row>
    <row r="5387">
      <c r="A5387" s="3" t="s">
        <v>16699</v>
      </c>
      <c r="B5387" s="3" t="s">
        <v>272</v>
      </c>
      <c r="C5387" s="3" t="s">
        <v>1095</v>
      </c>
      <c r="D5387" s="3" t="s">
        <v>68</v>
      </c>
      <c r="E5387" s="3" t="s">
        <v>100</v>
      </c>
      <c r="F5387" s="3" t="s">
        <v>1946</v>
      </c>
      <c r="G5387" s="7">
        <v>46134.04649059334</v>
      </c>
    </row>
    <row r="5388">
      <c r="A5388" s="3" t="s">
        <v>16703</v>
      </c>
      <c r="B5388" s="3" t="s">
        <v>466</v>
      </c>
      <c r="C5388" s="3" t="s">
        <v>56</v>
      </c>
      <c r="D5388" s="3" t="s">
        <v>181</v>
      </c>
      <c r="E5388" s="3" t="s">
        <v>45</v>
      </c>
      <c r="F5388" s="3" t="s">
        <v>45</v>
      </c>
      <c r="G5388" s="7">
        <v>46134.11766543876</v>
      </c>
    </row>
    <row r="5389">
      <c r="A5389" s="3" t="s">
        <v>16706</v>
      </c>
      <c r="B5389" s="3" t="s">
        <v>734</v>
      </c>
      <c r="C5389" s="3" t="s">
        <v>56</v>
      </c>
      <c r="D5389" s="3" t="s">
        <v>68</v>
      </c>
      <c r="E5389" s="3" t="s">
        <v>100</v>
      </c>
      <c r="F5389" s="3" t="s">
        <v>1993</v>
      </c>
      <c r="G5389" s="7">
        <v>46134.188840284165</v>
      </c>
    </row>
    <row r="5390">
      <c r="A5390" s="3" t="s">
        <v>16710</v>
      </c>
      <c r="B5390" s="3" t="s">
        <v>926</v>
      </c>
      <c r="C5390" s="3" t="s">
        <v>1095</v>
      </c>
      <c r="D5390" s="3" t="s">
        <v>68</v>
      </c>
      <c r="E5390" s="3" t="s">
        <v>100</v>
      </c>
      <c r="F5390" s="3" t="s">
        <v>1750</v>
      </c>
      <c r="G5390" s="7">
        <v>46134.260015129585</v>
      </c>
    </row>
    <row r="5391">
      <c r="A5391" s="3" t="s">
        <v>16713</v>
      </c>
      <c r="B5391" s="3" t="s">
        <v>189</v>
      </c>
      <c r="C5391" s="3" t="s">
        <v>56</v>
      </c>
      <c r="D5391" s="3" t="s">
        <v>181</v>
      </c>
      <c r="E5391" s="3" t="s">
        <v>45</v>
      </c>
      <c r="F5391" s="3" t="s">
        <v>45</v>
      </c>
      <c r="G5391" s="7">
        <v>46134.331189975004</v>
      </c>
    </row>
    <row r="5392">
      <c r="A5392" s="3" t="s">
        <v>16716</v>
      </c>
      <c r="B5392" s="3" t="s">
        <v>319</v>
      </c>
      <c r="C5392" s="3" t="s">
        <v>1095</v>
      </c>
      <c r="D5392" s="3" t="s">
        <v>68</v>
      </c>
      <c r="E5392" s="3" t="s">
        <v>100</v>
      </c>
      <c r="F5392" s="3" t="s">
        <v>1542</v>
      </c>
      <c r="G5392" s="7">
        <v>46134.40236482042</v>
      </c>
    </row>
    <row r="5393">
      <c r="A5393" s="3" t="s">
        <v>16719</v>
      </c>
      <c r="B5393" s="3" t="s">
        <v>662</v>
      </c>
      <c r="C5393" s="3" t="s">
        <v>56</v>
      </c>
      <c r="D5393" s="3" t="s">
        <v>68</v>
      </c>
      <c r="E5393" s="3" t="s">
        <v>100</v>
      </c>
      <c r="F5393" s="3" t="s">
        <v>1997</v>
      </c>
      <c r="G5393" s="7">
        <v>46134.47353966583</v>
      </c>
    </row>
    <row r="5394">
      <c r="A5394" s="3" t="s">
        <v>16722</v>
      </c>
      <c r="B5394" s="3" t="s">
        <v>424</v>
      </c>
      <c r="C5394" s="3" t="s">
        <v>1095</v>
      </c>
      <c r="D5394" s="3" t="s">
        <v>68</v>
      </c>
      <c r="E5394" s="3" t="s">
        <v>100</v>
      </c>
      <c r="F5394" s="3" t="s">
        <v>1992</v>
      </c>
      <c r="G5394" s="7">
        <v>46134.54471451125</v>
      </c>
    </row>
    <row r="5395">
      <c r="A5395" s="3" t="s">
        <v>16726</v>
      </c>
      <c r="B5395" s="3" t="s">
        <v>574</v>
      </c>
      <c r="C5395" s="3" t="s">
        <v>1095</v>
      </c>
      <c r="D5395" s="3" t="s">
        <v>68</v>
      </c>
      <c r="E5395" s="3" t="s">
        <v>100</v>
      </c>
      <c r="F5395" s="3" t="s">
        <v>1747</v>
      </c>
      <c r="G5395" s="7">
        <v>46134.61588935666</v>
      </c>
    </row>
    <row r="5396">
      <c r="A5396" s="3" t="s">
        <v>16730</v>
      </c>
      <c r="B5396" s="3" t="s">
        <v>886</v>
      </c>
      <c r="C5396" s="3" t="s">
        <v>1342</v>
      </c>
      <c r="D5396" s="3" t="s">
        <v>181</v>
      </c>
      <c r="E5396" s="3" t="s">
        <v>45</v>
      </c>
      <c r="F5396" s="3" t="s">
        <v>1776</v>
      </c>
      <c r="G5396" s="7">
        <v>46134.68706420207</v>
      </c>
    </row>
    <row r="5397">
      <c r="A5397" s="3" t="s">
        <v>16734</v>
      </c>
      <c r="B5397" s="3" t="s">
        <v>442</v>
      </c>
      <c r="C5397" s="3" t="s">
        <v>56</v>
      </c>
      <c r="D5397" s="3" t="s">
        <v>68</v>
      </c>
      <c r="E5397" s="3" t="s">
        <v>100</v>
      </c>
      <c r="F5397" s="3" t="s">
        <v>2001</v>
      </c>
      <c r="G5397" s="7">
        <v>46134.75823904749</v>
      </c>
    </row>
    <row r="5398">
      <c r="A5398" s="3" t="s">
        <v>16736</v>
      </c>
      <c r="B5398" s="3" t="s">
        <v>722</v>
      </c>
      <c r="C5398" s="3" t="s">
        <v>56</v>
      </c>
      <c r="D5398" s="3" t="s">
        <v>68</v>
      </c>
      <c r="E5398" s="3" t="s">
        <v>100</v>
      </c>
      <c r="F5398" s="3" t="s">
        <v>2004</v>
      </c>
      <c r="G5398" s="7">
        <v>46134.82941389291</v>
      </c>
    </row>
    <row r="5399">
      <c r="A5399" s="3" t="s">
        <v>16738</v>
      </c>
      <c r="B5399" s="3" t="s">
        <v>230</v>
      </c>
      <c r="C5399" s="3" t="s">
        <v>56</v>
      </c>
      <c r="D5399" s="3" t="s">
        <v>68</v>
      </c>
      <c r="E5399" s="3" t="s">
        <v>100</v>
      </c>
      <c r="F5399" s="3" t="s">
        <v>2006</v>
      </c>
      <c r="G5399" s="7">
        <v>46134.90058873832</v>
      </c>
    </row>
    <row r="5400">
      <c r="A5400" s="3" t="s">
        <v>16740</v>
      </c>
      <c r="B5400" s="3" t="s">
        <v>600</v>
      </c>
      <c r="C5400" s="3" t="s">
        <v>1342</v>
      </c>
      <c r="D5400" s="3" t="s">
        <v>68</v>
      </c>
      <c r="E5400" s="3" t="s">
        <v>100</v>
      </c>
      <c r="F5400" s="3" t="s">
        <v>1768</v>
      </c>
      <c r="G5400" s="7">
        <v>46134.97176358374</v>
      </c>
    </row>
    <row r="5401">
      <c r="A5401" s="3" t="s">
        <v>16743</v>
      </c>
      <c r="B5401" s="3" t="s">
        <v>848</v>
      </c>
      <c r="C5401" s="3" t="s">
        <v>56</v>
      </c>
      <c r="D5401" s="3" t="s">
        <v>181</v>
      </c>
      <c r="E5401" s="3" t="s">
        <v>45</v>
      </c>
      <c r="F5401" s="3" t="s">
        <v>45</v>
      </c>
      <c r="G5401" s="7">
        <v>46135.04293842915</v>
      </c>
    </row>
    <row r="5402">
      <c r="A5402" s="3" t="s">
        <v>16745</v>
      </c>
      <c r="B5402" s="3" t="s">
        <v>965</v>
      </c>
      <c r="C5402" s="3" t="s">
        <v>1342</v>
      </c>
      <c r="D5402" s="3" t="s">
        <v>68</v>
      </c>
      <c r="E5402" s="3" t="s">
        <v>100</v>
      </c>
      <c r="F5402" s="3" t="s">
        <v>653</v>
      </c>
      <c r="G5402" s="7">
        <v>46135.11411327457</v>
      </c>
    </row>
    <row r="5403">
      <c r="A5403" s="3" t="s">
        <v>16747</v>
      </c>
      <c r="B5403" s="3" t="s">
        <v>404</v>
      </c>
      <c r="C5403" s="3" t="s">
        <v>1342</v>
      </c>
      <c r="D5403" s="3" t="s">
        <v>68</v>
      </c>
      <c r="E5403" s="3" t="s">
        <v>100</v>
      </c>
      <c r="F5403" s="3" t="s">
        <v>1081</v>
      </c>
      <c r="G5403" s="7">
        <v>46135.18528811998</v>
      </c>
    </row>
    <row r="5404">
      <c r="A5404" s="3" t="s">
        <v>16749</v>
      </c>
      <c r="B5404" s="3" t="s">
        <v>575</v>
      </c>
      <c r="C5404" s="3" t="s">
        <v>1095</v>
      </c>
      <c r="D5404" s="3" t="s">
        <v>68</v>
      </c>
      <c r="E5404" s="3" t="s">
        <v>100</v>
      </c>
      <c r="F5404" s="3" t="s">
        <v>754</v>
      </c>
      <c r="G5404" s="7">
        <v>46135.2564629654</v>
      </c>
    </row>
    <row r="5405">
      <c r="A5405" s="3" t="s">
        <v>16751</v>
      </c>
      <c r="B5405" s="3" t="s">
        <v>123</v>
      </c>
      <c r="C5405" s="3" t="s">
        <v>56</v>
      </c>
      <c r="D5405" s="3" t="s">
        <v>181</v>
      </c>
      <c r="E5405" s="3" t="s">
        <v>45</v>
      </c>
      <c r="F5405" s="3" t="s">
        <v>45</v>
      </c>
      <c r="G5405" s="7">
        <v>46135.327637810806</v>
      </c>
    </row>
    <row r="5406">
      <c r="A5406" s="3" t="s">
        <v>16754</v>
      </c>
      <c r="B5406" s="3" t="s">
        <v>650</v>
      </c>
      <c r="C5406" s="3" t="s">
        <v>1095</v>
      </c>
      <c r="D5406" s="3" t="s">
        <v>68</v>
      </c>
      <c r="E5406" s="3" t="s">
        <v>100</v>
      </c>
      <c r="F5406" s="3" t="s">
        <v>1647</v>
      </c>
      <c r="G5406" s="7">
        <v>46135.398812656225</v>
      </c>
    </row>
    <row r="5407">
      <c r="A5407" s="3" t="s">
        <v>16757</v>
      </c>
      <c r="B5407" s="3" t="s">
        <v>481</v>
      </c>
      <c r="C5407" s="3" t="s">
        <v>56</v>
      </c>
      <c r="D5407" s="3" t="s">
        <v>68</v>
      </c>
      <c r="E5407" s="3" t="s">
        <v>100</v>
      </c>
      <c r="F5407" s="3" t="s">
        <v>2009</v>
      </c>
      <c r="G5407" s="7">
        <v>46135.469987501645</v>
      </c>
    </row>
    <row r="5408">
      <c r="A5408" s="3" t="s">
        <v>16760</v>
      </c>
      <c r="B5408" s="3" t="s">
        <v>344</v>
      </c>
      <c r="C5408" s="3" t="s">
        <v>1342</v>
      </c>
      <c r="D5408" s="3" t="s">
        <v>68</v>
      </c>
      <c r="E5408" s="3" t="s">
        <v>100</v>
      </c>
      <c r="F5408" s="3" t="s">
        <v>1911</v>
      </c>
      <c r="G5408" s="7">
        <v>46135.54116234706</v>
      </c>
    </row>
    <row r="5409">
      <c r="A5409" s="3" t="s">
        <v>16764</v>
      </c>
      <c r="B5409" s="3" t="s">
        <v>953</v>
      </c>
      <c r="C5409" s="3" t="s">
        <v>1342</v>
      </c>
      <c r="D5409" s="3" t="s">
        <v>68</v>
      </c>
      <c r="E5409" s="3" t="s">
        <v>100</v>
      </c>
      <c r="F5409" s="3" t="s">
        <v>1958</v>
      </c>
      <c r="G5409" s="7">
        <v>46135.61233719247</v>
      </c>
    </row>
    <row r="5410">
      <c r="A5410" s="3" t="s">
        <v>16767</v>
      </c>
      <c r="B5410" s="3" t="s">
        <v>276</v>
      </c>
      <c r="C5410" s="3" t="s">
        <v>1095</v>
      </c>
      <c r="D5410" s="3" t="s">
        <v>68</v>
      </c>
      <c r="E5410" s="3" t="s">
        <v>100</v>
      </c>
      <c r="F5410" s="3" t="s">
        <v>1438</v>
      </c>
      <c r="G5410" s="7">
        <v>46135.68351203789</v>
      </c>
    </row>
    <row r="5411">
      <c r="A5411" s="3" t="s">
        <v>16771</v>
      </c>
      <c r="B5411" s="3" t="s">
        <v>916</v>
      </c>
      <c r="C5411" s="3" t="s">
        <v>1095</v>
      </c>
      <c r="D5411" s="3" t="s">
        <v>195</v>
      </c>
      <c r="E5411" s="3" t="s">
        <v>45</v>
      </c>
      <c r="F5411" s="3" t="s">
        <v>963</v>
      </c>
      <c r="G5411" s="7">
        <v>46135.7546868833</v>
      </c>
    </row>
    <row r="5412">
      <c r="A5412" s="3" t="s">
        <v>16774</v>
      </c>
      <c r="B5412" s="3" t="s">
        <v>296</v>
      </c>
      <c r="C5412" s="3" t="s">
        <v>1342</v>
      </c>
      <c r="D5412" s="3" t="s">
        <v>195</v>
      </c>
      <c r="E5412" s="3" t="s">
        <v>45</v>
      </c>
      <c r="F5412" s="3" t="s">
        <v>1932</v>
      </c>
      <c r="G5412" s="7">
        <v>46135.825861728714</v>
      </c>
    </row>
    <row r="5413">
      <c r="A5413" s="3" t="s">
        <v>16777</v>
      </c>
      <c r="B5413" s="3" t="s">
        <v>725</v>
      </c>
      <c r="C5413" s="3" t="s">
        <v>56</v>
      </c>
      <c r="D5413" s="3" t="s">
        <v>68</v>
      </c>
      <c r="E5413" s="3" t="s">
        <v>100</v>
      </c>
      <c r="F5413" s="3" t="s">
        <v>2013</v>
      </c>
      <c r="G5413" s="7">
        <v>46135.89703657413</v>
      </c>
    </row>
    <row r="5414">
      <c r="A5414" s="3" t="s">
        <v>16780</v>
      </c>
      <c r="B5414" s="3" t="s">
        <v>546</v>
      </c>
      <c r="C5414" s="3" t="s">
        <v>56</v>
      </c>
      <c r="D5414" s="3" t="s">
        <v>68</v>
      </c>
      <c r="E5414" s="3" t="s">
        <v>100</v>
      </c>
      <c r="F5414" s="3" t="s">
        <v>2018</v>
      </c>
      <c r="G5414" s="7">
        <v>46135.96821141955</v>
      </c>
    </row>
    <row r="5415">
      <c r="A5415" s="3" t="s">
        <v>16785</v>
      </c>
      <c r="B5415" s="3" t="s">
        <v>860</v>
      </c>
      <c r="C5415" s="3" t="s">
        <v>56</v>
      </c>
      <c r="D5415" s="3" t="s">
        <v>68</v>
      </c>
      <c r="E5415" s="3" t="s">
        <v>100</v>
      </c>
      <c r="F5415" s="3" t="s">
        <v>2020</v>
      </c>
      <c r="G5415" s="7">
        <v>46136.03938626496</v>
      </c>
    </row>
    <row r="5416">
      <c r="A5416" s="3" t="s">
        <v>16788</v>
      </c>
      <c r="B5416" s="3" t="s">
        <v>929</v>
      </c>
      <c r="C5416" s="3" t="s">
        <v>1342</v>
      </c>
      <c r="D5416" s="3" t="s">
        <v>68</v>
      </c>
      <c r="E5416" s="3" t="s">
        <v>100</v>
      </c>
      <c r="F5416" s="3" t="s">
        <v>1168</v>
      </c>
      <c r="G5416" s="7">
        <v>46136.11056111038</v>
      </c>
    </row>
    <row r="5417">
      <c r="A5417" s="3" t="s">
        <v>16792</v>
      </c>
      <c r="B5417" s="3" t="s">
        <v>272</v>
      </c>
      <c r="C5417" s="3" t="s">
        <v>56</v>
      </c>
      <c r="D5417" s="3" t="s">
        <v>68</v>
      </c>
      <c r="E5417" s="3" t="s">
        <v>100</v>
      </c>
      <c r="F5417" s="3" t="s">
        <v>2021</v>
      </c>
      <c r="G5417" s="7">
        <v>46136.1817359558</v>
      </c>
    </row>
    <row r="5418">
      <c r="A5418" s="3" t="s">
        <v>16796</v>
      </c>
      <c r="B5418" s="3" t="s">
        <v>934</v>
      </c>
      <c r="C5418" s="3" t="s">
        <v>1342</v>
      </c>
      <c r="D5418" s="3" t="s">
        <v>68</v>
      </c>
      <c r="E5418" s="3" t="s">
        <v>100</v>
      </c>
      <c r="F5418" s="3" t="s">
        <v>1498</v>
      </c>
      <c r="G5418" s="7">
        <v>46136.25291080121</v>
      </c>
    </row>
    <row r="5419">
      <c r="A5419" s="3" t="s">
        <v>16799</v>
      </c>
      <c r="B5419" s="3" t="s">
        <v>505</v>
      </c>
      <c r="C5419" s="3" t="s">
        <v>1095</v>
      </c>
      <c r="D5419" s="3" t="s">
        <v>181</v>
      </c>
      <c r="E5419" s="3" t="s">
        <v>45</v>
      </c>
      <c r="F5419" s="3" t="s">
        <v>1766</v>
      </c>
      <c r="G5419" s="7">
        <v>46136.32408564662</v>
      </c>
    </row>
    <row r="5420">
      <c r="A5420" s="3" t="s">
        <v>16802</v>
      </c>
      <c r="B5420" s="3" t="s">
        <v>731</v>
      </c>
      <c r="C5420" s="3" t="s">
        <v>56</v>
      </c>
      <c r="D5420" s="3" t="s">
        <v>195</v>
      </c>
      <c r="E5420" s="3" t="s">
        <v>45</v>
      </c>
      <c r="F5420" s="3" t="s">
        <v>45</v>
      </c>
      <c r="G5420" s="7">
        <v>46136.39526049204</v>
      </c>
    </row>
    <row r="5421">
      <c r="A5421" s="3" t="s">
        <v>16805</v>
      </c>
      <c r="B5421" s="3" t="s">
        <v>886</v>
      </c>
      <c r="C5421" s="3" t="s">
        <v>1095</v>
      </c>
      <c r="D5421" s="3" t="s">
        <v>68</v>
      </c>
      <c r="E5421" s="3" t="s">
        <v>100</v>
      </c>
      <c r="F5421" s="3" t="s">
        <v>1776</v>
      </c>
      <c r="G5421" s="7">
        <v>46136.466435337454</v>
      </c>
    </row>
    <row r="5422">
      <c r="A5422" s="3" t="s">
        <v>16810</v>
      </c>
      <c r="B5422" s="3" t="s">
        <v>253</v>
      </c>
      <c r="C5422" s="3" t="s">
        <v>1342</v>
      </c>
      <c r="D5422" s="3" t="s">
        <v>68</v>
      </c>
      <c r="E5422" s="3" t="s">
        <v>100</v>
      </c>
      <c r="F5422" s="3" t="s">
        <v>1483</v>
      </c>
      <c r="G5422" s="7">
        <v>46136.537610182866</v>
      </c>
    </row>
    <row r="5423">
      <c r="A5423" s="3" t="s">
        <v>16813</v>
      </c>
      <c r="B5423" s="3" t="s">
        <v>468</v>
      </c>
      <c r="C5423" s="3" t="s">
        <v>56</v>
      </c>
      <c r="D5423" s="3" t="s">
        <v>68</v>
      </c>
      <c r="E5423" s="3" t="s">
        <v>100</v>
      </c>
      <c r="F5423" s="3" t="s">
        <v>2023</v>
      </c>
      <c r="G5423" s="7">
        <v>46136.608785028286</v>
      </c>
    </row>
    <row r="5424">
      <c r="A5424" s="3" t="s">
        <v>16816</v>
      </c>
      <c r="B5424" s="3" t="s">
        <v>352</v>
      </c>
      <c r="C5424" s="3" t="s">
        <v>1095</v>
      </c>
      <c r="D5424" s="3" t="s">
        <v>68</v>
      </c>
      <c r="E5424" s="3" t="s">
        <v>100</v>
      </c>
      <c r="F5424" s="3" t="s">
        <v>810</v>
      </c>
      <c r="G5424" s="7">
        <v>46136.6799598737</v>
      </c>
    </row>
    <row r="5425">
      <c r="A5425" s="3" t="s">
        <v>16819</v>
      </c>
      <c r="B5425" s="3" t="s">
        <v>472</v>
      </c>
      <c r="C5425" s="3" t="s">
        <v>1342</v>
      </c>
      <c r="D5425" s="3" t="s">
        <v>195</v>
      </c>
      <c r="E5425" s="3" t="s">
        <v>45</v>
      </c>
      <c r="F5425" s="3" t="s">
        <v>1722</v>
      </c>
      <c r="G5425" s="7">
        <v>46136.75113471911</v>
      </c>
    </row>
    <row r="5426">
      <c r="A5426" s="3" t="s">
        <v>16823</v>
      </c>
      <c r="B5426" s="3" t="s">
        <v>685</v>
      </c>
      <c r="C5426" s="3" t="s">
        <v>56</v>
      </c>
      <c r="D5426" s="3" t="s">
        <v>68</v>
      </c>
      <c r="E5426" s="3" t="s">
        <v>100</v>
      </c>
      <c r="F5426" s="3" t="s">
        <v>2024</v>
      </c>
      <c r="G5426" s="7">
        <v>46136.82230956453</v>
      </c>
    </row>
    <row r="5427">
      <c r="A5427" s="3" t="s">
        <v>16827</v>
      </c>
      <c r="B5427" s="3" t="s">
        <v>691</v>
      </c>
      <c r="C5427" s="3" t="s">
        <v>1342</v>
      </c>
      <c r="D5427" s="3" t="s">
        <v>68</v>
      </c>
      <c r="E5427" s="3" t="s">
        <v>100</v>
      </c>
      <c r="F5427" s="3" t="s">
        <v>1310</v>
      </c>
      <c r="G5427" s="7">
        <v>46136.89348440994</v>
      </c>
    </row>
    <row r="5428">
      <c r="A5428" s="3" t="s">
        <v>16830</v>
      </c>
      <c r="B5428" s="3" t="s">
        <v>731</v>
      </c>
      <c r="C5428" s="3" t="s">
        <v>56</v>
      </c>
      <c r="D5428" s="3" t="s">
        <v>68</v>
      </c>
      <c r="E5428" s="3" t="s">
        <v>100</v>
      </c>
      <c r="F5428" s="3" t="s">
        <v>2025</v>
      </c>
      <c r="G5428" s="7">
        <v>46136.964659255354</v>
      </c>
    </row>
    <row r="5429">
      <c r="A5429" s="3" t="s">
        <v>16834</v>
      </c>
      <c r="B5429" s="3" t="s">
        <v>652</v>
      </c>
      <c r="C5429" s="3" t="s">
        <v>1095</v>
      </c>
      <c r="D5429" s="3" t="s">
        <v>68</v>
      </c>
      <c r="E5429" s="3" t="s">
        <v>100</v>
      </c>
      <c r="F5429" s="3" t="s">
        <v>1897</v>
      </c>
      <c r="G5429" s="7">
        <v>46137.035834100774</v>
      </c>
    </row>
    <row r="5430">
      <c r="A5430" s="3" t="s">
        <v>16838</v>
      </c>
      <c r="B5430" s="3" t="s">
        <v>811</v>
      </c>
      <c r="C5430" s="3" t="s">
        <v>56</v>
      </c>
      <c r="D5430" s="3" t="s">
        <v>68</v>
      </c>
      <c r="E5430" s="3" t="s">
        <v>100</v>
      </c>
      <c r="F5430" s="3" t="s">
        <v>2028</v>
      </c>
      <c r="G5430" s="7">
        <v>46137.107008946194</v>
      </c>
    </row>
    <row r="5431">
      <c r="A5431" s="3" t="s">
        <v>16841</v>
      </c>
      <c r="B5431" s="3" t="s">
        <v>479</v>
      </c>
      <c r="C5431" s="3" t="s">
        <v>1095</v>
      </c>
      <c r="D5431" s="3" t="s">
        <v>68</v>
      </c>
      <c r="E5431" s="3" t="s">
        <v>100</v>
      </c>
      <c r="F5431" s="3" t="s">
        <v>1956</v>
      </c>
      <c r="G5431" s="7">
        <v>46137.1781837916</v>
      </c>
    </row>
    <row r="5432">
      <c r="A5432" s="3" t="s">
        <v>16844</v>
      </c>
      <c r="B5432" s="3" t="s">
        <v>541</v>
      </c>
      <c r="C5432" s="3" t="s">
        <v>1342</v>
      </c>
      <c r="D5432" s="3" t="s">
        <v>68</v>
      </c>
      <c r="E5432" s="3" t="s">
        <v>100</v>
      </c>
      <c r="F5432" s="3" t="s">
        <v>1383</v>
      </c>
      <c r="G5432" s="7">
        <v>46137.24935863702</v>
      </c>
    </row>
    <row r="5433">
      <c r="A5433" s="3" t="s">
        <v>16846</v>
      </c>
      <c r="B5433" s="3" t="s">
        <v>230</v>
      </c>
      <c r="C5433" s="3" t="s">
        <v>1342</v>
      </c>
      <c r="D5433" s="3" t="s">
        <v>68</v>
      </c>
      <c r="E5433" s="3" t="s">
        <v>100</v>
      </c>
      <c r="F5433" s="3" t="s">
        <v>2006</v>
      </c>
      <c r="G5433" s="7">
        <v>46137.32053348244</v>
      </c>
    </row>
    <row r="5434">
      <c r="A5434" s="3" t="s">
        <v>16849</v>
      </c>
      <c r="B5434" s="3" t="s">
        <v>481</v>
      </c>
      <c r="C5434" s="3" t="s">
        <v>1342</v>
      </c>
      <c r="D5434" s="3" t="s">
        <v>68</v>
      </c>
      <c r="E5434" s="3" t="s">
        <v>100</v>
      </c>
      <c r="F5434" s="3" t="s">
        <v>2009</v>
      </c>
      <c r="G5434" s="7">
        <v>46137.39170832785</v>
      </c>
    </row>
    <row r="5435">
      <c r="A5435" s="3" t="s">
        <v>16851</v>
      </c>
      <c r="B5435" s="3" t="s">
        <v>539</v>
      </c>
      <c r="C5435" s="3" t="s">
        <v>1342</v>
      </c>
      <c r="D5435" s="3" t="s">
        <v>68</v>
      </c>
      <c r="E5435" s="3" t="s">
        <v>100</v>
      </c>
      <c r="F5435" s="3" t="s">
        <v>1346</v>
      </c>
      <c r="G5435" s="7">
        <v>46137.46288317326</v>
      </c>
    </row>
    <row r="5436">
      <c r="A5436" s="3" t="s">
        <v>16854</v>
      </c>
      <c r="B5436" s="3" t="s">
        <v>175</v>
      </c>
      <c r="C5436" s="3" t="s">
        <v>1095</v>
      </c>
      <c r="D5436" s="3" t="s">
        <v>68</v>
      </c>
      <c r="E5436" s="3" t="s">
        <v>100</v>
      </c>
      <c r="F5436" s="3" t="s">
        <v>1894</v>
      </c>
      <c r="G5436" s="7">
        <v>46137.53405801868</v>
      </c>
    </row>
    <row r="5437">
      <c r="A5437" s="3" t="s">
        <v>16858</v>
      </c>
      <c r="B5437" s="3" t="s">
        <v>587</v>
      </c>
      <c r="C5437" s="3" t="s">
        <v>1095</v>
      </c>
      <c r="D5437" s="3" t="s">
        <v>68</v>
      </c>
      <c r="E5437" s="3" t="s">
        <v>100</v>
      </c>
      <c r="F5437" s="3" t="s">
        <v>633</v>
      </c>
      <c r="G5437" s="7">
        <v>46137.605232864094</v>
      </c>
    </row>
    <row r="5438">
      <c r="A5438" s="3" t="s">
        <v>16862</v>
      </c>
      <c r="B5438" s="3" t="s">
        <v>462</v>
      </c>
      <c r="C5438" s="3" t="s">
        <v>1342</v>
      </c>
      <c r="D5438" s="3" t="s">
        <v>68</v>
      </c>
      <c r="E5438" s="3" t="s">
        <v>100</v>
      </c>
      <c r="F5438" s="3" t="s">
        <v>1179</v>
      </c>
      <c r="G5438" s="7">
        <v>46137.67640770951</v>
      </c>
    </row>
    <row r="5439">
      <c r="A5439" s="3" t="s">
        <v>16865</v>
      </c>
      <c r="B5439" s="3" t="s">
        <v>215</v>
      </c>
      <c r="C5439" s="3" t="s">
        <v>1342</v>
      </c>
      <c r="D5439" s="3" t="s">
        <v>68</v>
      </c>
      <c r="E5439" s="3" t="s">
        <v>100</v>
      </c>
      <c r="F5439" s="3" t="s">
        <v>1324</v>
      </c>
      <c r="G5439" s="7">
        <v>46137.747582554926</v>
      </c>
    </row>
    <row r="5440">
      <c r="A5440" s="3" t="s">
        <v>16868</v>
      </c>
      <c r="B5440" s="3" t="s">
        <v>168</v>
      </c>
      <c r="C5440" s="3" t="s">
        <v>1342</v>
      </c>
      <c r="D5440" s="3" t="s">
        <v>181</v>
      </c>
      <c r="E5440" s="3" t="s">
        <v>45</v>
      </c>
      <c r="F5440" s="3" t="s">
        <v>1979</v>
      </c>
      <c r="G5440" s="7">
        <v>46137.818757400346</v>
      </c>
    </row>
    <row r="5441">
      <c r="A5441" s="3" t="s">
        <v>16872</v>
      </c>
      <c r="B5441" s="3" t="s">
        <v>488</v>
      </c>
      <c r="C5441" s="3" t="s">
        <v>1095</v>
      </c>
      <c r="D5441" s="3" t="s">
        <v>68</v>
      </c>
      <c r="E5441" s="3" t="s">
        <v>100</v>
      </c>
      <c r="F5441" s="3" t="s">
        <v>1941</v>
      </c>
      <c r="G5441" s="7">
        <v>46137.88993224575</v>
      </c>
    </row>
    <row r="5442">
      <c r="A5442" s="3" t="s">
        <v>16874</v>
      </c>
      <c r="B5442" s="3" t="s">
        <v>168</v>
      </c>
      <c r="C5442" s="3" t="s">
        <v>1342</v>
      </c>
      <c r="D5442" s="3" t="s">
        <v>68</v>
      </c>
      <c r="E5442" s="3" t="s">
        <v>100</v>
      </c>
      <c r="F5442" s="3" t="s">
        <v>1979</v>
      </c>
      <c r="G5442" s="7">
        <v>46137.96110709117</v>
      </c>
    </row>
    <row r="5443">
      <c r="A5443" s="3" t="s">
        <v>16876</v>
      </c>
      <c r="B5443" s="3" t="s">
        <v>727</v>
      </c>
      <c r="C5443" s="3" t="s">
        <v>1095</v>
      </c>
      <c r="D5443" s="3" t="s">
        <v>68</v>
      </c>
      <c r="E5443" s="3" t="s">
        <v>100</v>
      </c>
      <c r="F5443" s="3" t="s">
        <v>1923</v>
      </c>
      <c r="G5443" s="7">
        <v>46138.03228193658</v>
      </c>
    </row>
    <row r="5444">
      <c r="A5444" s="3" t="s">
        <v>16879</v>
      </c>
      <c r="B5444" s="3" t="s">
        <v>505</v>
      </c>
      <c r="C5444" s="3" t="s">
        <v>1342</v>
      </c>
      <c r="D5444" s="3" t="s">
        <v>68</v>
      </c>
      <c r="E5444" s="3" t="s">
        <v>100</v>
      </c>
      <c r="F5444" s="3" t="s">
        <v>1766</v>
      </c>
      <c r="G5444" s="7">
        <v>46138.103456782</v>
      </c>
    </row>
    <row r="5445">
      <c r="A5445" s="3" t="s">
        <v>16882</v>
      </c>
      <c r="B5445" s="3" t="s">
        <v>773</v>
      </c>
      <c r="C5445" s="3" t="s">
        <v>1342</v>
      </c>
      <c r="D5445" s="3" t="s">
        <v>68</v>
      </c>
      <c r="E5445" s="3" t="s">
        <v>100</v>
      </c>
      <c r="F5445" s="3" t="s">
        <v>2085</v>
      </c>
      <c r="G5445" s="7">
        <v>46138.174631627415</v>
      </c>
    </row>
    <row r="5446">
      <c r="A5446" s="3" t="s">
        <v>16885</v>
      </c>
      <c r="B5446" s="3" t="s">
        <v>1028</v>
      </c>
      <c r="C5446" s="3" t="s">
        <v>56</v>
      </c>
      <c r="D5446" s="3" t="s">
        <v>68</v>
      </c>
      <c r="E5446" s="3" t="s">
        <v>100</v>
      </c>
      <c r="F5446" s="3" t="s">
        <v>2030</v>
      </c>
      <c r="G5446" s="7">
        <v>46138.245806472834</v>
      </c>
    </row>
    <row r="5447">
      <c r="A5447" s="3" t="s">
        <v>16888</v>
      </c>
      <c r="B5447" s="3" t="s">
        <v>302</v>
      </c>
      <c r="C5447" s="3" t="s">
        <v>1095</v>
      </c>
      <c r="D5447" s="3" t="s">
        <v>68</v>
      </c>
      <c r="E5447" s="3" t="s">
        <v>100</v>
      </c>
      <c r="F5447" s="3" t="s">
        <v>1491</v>
      </c>
      <c r="G5447" s="7">
        <v>46138.31698131824</v>
      </c>
    </row>
    <row r="5448">
      <c r="A5448" s="3" t="s">
        <v>16891</v>
      </c>
      <c r="B5448" s="3" t="s">
        <v>751</v>
      </c>
      <c r="C5448" s="3" t="s">
        <v>1095</v>
      </c>
      <c r="D5448" s="3" t="s">
        <v>195</v>
      </c>
      <c r="E5448" s="3" t="s">
        <v>45</v>
      </c>
      <c r="F5448" s="3" t="s">
        <v>1614</v>
      </c>
      <c r="G5448" s="7">
        <v>46138.38815616366</v>
      </c>
    </row>
    <row r="5449">
      <c r="A5449" s="3" t="s">
        <v>16894</v>
      </c>
      <c r="B5449" s="3" t="s">
        <v>1008</v>
      </c>
      <c r="C5449" s="3" t="s">
        <v>1095</v>
      </c>
      <c r="D5449" s="3" t="s">
        <v>68</v>
      </c>
      <c r="E5449" s="3" t="s">
        <v>100</v>
      </c>
      <c r="F5449" s="3" t="s">
        <v>1906</v>
      </c>
      <c r="G5449" s="7">
        <v>46138.45933100908</v>
      </c>
    </row>
    <row r="5450">
      <c r="A5450" s="3" t="s">
        <v>16898</v>
      </c>
      <c r="B5450" s="3" t="s">
        <v>527</v>
      </c>
      <c r="C5450" s="3" t="s">
        <v>1095</v>
      </c>
      <c r="D5450" s="3" t="s">
        <v>68</v>
      </c>
      <c r="E5450" s="3" t="s">
        <v>100</v>
      </c>
      <c r="F5450" s="3" t="s">
        <v>1322</v>
      </c>
      <c r="G5450" s="7">
        <v>46138.53050585449</v>
      </c>
    </row>
    <row r="5451">
      <c r="A5451" s="3" t="s">
        <v>16902</v>
      </c>
      <c r="B5451" s="3" t="s">
        <v>479</v>
      </c>
      <c r="C5451" s="3" t="s">
        <v>56</v>
      </c>
      <c r="D5451" s="3" t="s">
        <v>68</v>
      </c>
      <c r="E5451" s="3" t="s">
        <v>100</v>
      </c>
      <c r="F5451" s="3" t="s">
        <v>2032</v>
      </c>
      <c r="G5451" s="7">
        <v>46138.6016806999</v>
      </c>
    </row>
    <row r="5452">
      <c r="A5452" s="3" t="s">
        <v>16904</v>
      </c>
      <c r="B5452" s="3" t="s">
        <v>363</v>
      </c>
      <c r="C5452" s="3" t="s">
        <v>1095</v>
      </c>
      <c r="D5452" s="3" t="s">
        <v>195</v>
      </c>
      <c r="E5452" s="3" t="s">
        <v>45</v>
      </c>
      <c r="F5452" s="3" t="s">
        <v>1400</v>
      </c>
      <c r="G5452" s="7">
        <v>46138.67285554532</v>
      </c>
    </row>
    <row r="5453">
      <c r="A5453" s="3" t="s">
        <v>16906</v>
      </c>
      <c r="B5453" s="3" t="s">
        <v>455</v>
      </c>
      <c r="C5453" s="3" t="s">
        <v>1342</v>
      </c>
      <c r="D5453" s="3" t="s">
        <v>181</v>
      </c>
      <c r="E5453" s="3" t="s">
        <v>45</v>
      </c>
      <c r="F5453" s="3" t="s">
        <v>1929</v>
      </c>
      <c r="G5453" s="7">
        <v>46138.744030390735</v>
      </c>
    </row>
    <row r="5454">
      <c r="A5454" s="3" t="s">
        <v>16909</v>
      </c>
      <c r="B5454" s="3" t="s">
        <v>916</v>
      </c>
      <c r="C5454" s="3" t="s">
        <v>1342</v>
      </c>
      <c r="D5454" s="3" t="s">
        <v>181</v>
      </c>
      <c r="E5454" s="3" t="s">
        <v>45</v>
      </c>
      <c r="F5454" s="3" t="s">
        <v>963</v>
      </c>
      <c r="G5454" s="7">
        <v>46138.81520523615</v>
      </c>
    </row>
    <row r="5455">
      <c r="A5455" s="3" t="s">
        <v>16911</v>
      </c>
      <c r="B5455" s="3" t="s">
        <v>171</v>
      </c>
      <c r="C5455" s="3" t="s">
        <v>1342</v>
      </c>
      <c r="D5455" s="3" t="s">
        <v>68</v>
      </c>
      <c r="E5455" s="3" t="s">
        <v>100</v>
      </c>
      <c r="F5455" s="3" t="s">
        <v>1835</v>
      </c>
      <c r="G5455" s="7">
        <v>46138.88638008157</v>
      </c>
    </row>
    <row r="5456">
      <c r="A5456" s="3" t="s">
        <v>16913</v>
      </c>
      <c r="B5456" s="3" t="s">
        <v>694</v>
      </c>
      <c r="C5456" s="3" t="s">
        <v>1342</v>
      </c>
      <c r="D5456" s="3" t="s">
        <v>68</v>
      </c>
      <c r="E5456" s="3" t="s">
        <v>100</v>
      </c>
      <c r="F5456" s="3" t="s">
        <v>1779</v>
      </c>
      <c r="G5456" s="7">
        <v>46138.95755492699</v>
      </c>
    </row>
    <row r="5457">
      <c r="A5457" s="3" t="s">
        <v>16915</v>
      </c>
      <c r="B5457" s="3" t="s">
        <v>383</v>
      </c>
      <c r="C5457" s="3" t="s">
        <v>1095</v>
      </c>
      <c r="D5457" s="3" t="s">
        <v>68</v>
      </c>
      <c r="E5457" s="3" t="s">
        <v>100</v>
      </c>
      <c r="F5457" s="3" t="s">
        <v>1129</v>
      </c>
      <c r="G5457" s="7">
        <v>46139.02872977239</v>
      </c>
    </row>
    <row r="5458">
      <c r="A5458" s="3" t="s">
        <v>16917</v>
      </c>
      <c r="B5458" s="3" t="s">
        <v>961</v>
      </c>
      <c r="C5458" s="3" t="s">
        <v>1095</v>
      </c>
      <c r="D5458" s="3" t="s">
        <v>68</v>
      </c>
      <c r="E5458" s="3" t="s">
        <v>100</v>
      </c>
      <c r="F5458" s="3" t="s">
        <v>1785</v>
      </c>
      <c r="G5458" s="7">
        <v>46139.09990461781</v>
      </c>
    </row>
    <row r="5459">
      <c r="A5459" s="3" t="s">
        <v>16921</v>
      </c>
      <c r="B5459" s="3" t="s">
        <v>853</v>
      </c>
      <c r="C5459" s="3" t="s">
        <v>1095</v>
      </c>
      <c r="D5459" s="3" t="s">
        <v>68</v>
      </c>
      <c r="E5459" s="3" t="s">
        <v>100</v>
      </c>
      <c r="F5459" s="3" t="s">
        <v>1358</v>
      </c>
      <c r="G5459" s="7">
        <v>46139.17107946323</v>
      </c>
    </row>
    <row r="5460">
      <c r="A5460" s="3" t="s">
        <v>16925</v>
      </c>
      <c r="B5460" s="3" t="s">
        <v>123</v>
      </c>
      <c r="C5460" s="3" t="s">
        <v>56</v>
      </c>
      <c r="D5460" s="3" t="s">
        <v>181</v>
      </c>
      <c r="E5460" s="3" t="s">
        <v>45</v>
      </c>
      <c r="F5460" s="3" t="s">
        <v>45</v>
      </c>
      <c r="G5460" s="7">
        <v>46139.24225430864</v>
      </c>
    </row>
    <row r="5461">
      <c r="A5461" s="3" t="s">
        <v>16928</v>
      </c>
      <c r="B5461" s="3" t="s">
        <v>870</v>
      </c>
      <c r="C5461" s="3" t="s">
        <v>1095</v>
      </c>
      <c r="D5461" s="3" t="s">
        <v>68</v>
      </c>
      <c r="E5461" s="3" t="s">
        <v>100</v>
      </c>
      <c r="F5461" s="3" t="s">
        <v>1801</v>
      </c>
      <c r="G5461" s="7">
        <v>46139.313429154055</v>
      </c>
    </row>
    <row r="5462">
      <c r="A5462" s="3" t="s">
        <v>16930</v>
      </c>
      <c r="B5462" s="3" t="s">
        <v>819</v>
      </c>
      <c r="C5462" s="3" t="s">
        <v>1342</v>
      </c>
      <c r="D5462" s="3" t="s">
        <v>68</v>
      </c>
      <c r="E5462" s="3" t="s">
        <v>100</v>
      </c>
      <c r="F5462" s="3" t="s">
        <v>1654</v>
      </c>
      <c r="G5462" s="7">
        <v>46139.384603999475</v>
      </c>
    </row>
    <row r="5463">
      <c r="A5463" s="3" t="s">
        <v>16932</v>
      </c>
      <c r="B5463" s="3" t="s">
        <v>591</v>
      </c>
      <c r="C5463" s="3" t="s">
        <v>1342</v>
      </c>
      <c r="D5463" s="3" t="s">
        <v>68</v>
      </c>
      <c r="E5463" s="3" t="s">
        <v>100</v>
      </c>
      <c r="F5463" s="3" t="s">
        <v>1173</v>
      </c>
      <c r="G5463" s="7">
        <v>46139.45577884489</v>
      </c>
    </row>
    <row r="5464">
      <c r="A5464" s="3" t="s">
        <v>16936</v>
      </c>
      <c r="B5464" s="3" t="s">
        <v>269</v>
      </c>
      <c r="C5464" s="3" t="s">
        <v>1342</v>
      </c>
      <c r="D5464" s="3" t="s">
        <v>68</v>
      </c>
      <c r="E5464" s="3" t="s">
        <v>100</v>
      </c>
      <c r="F5464" s="3" t="s">
        <v>1343</v>
      </c>
      <c r="G5464" s="7">
        <v>46139.5269536903</v>
      </c>
    </row>
    <row r="5465">
      <c r="A5465" s="3" t="s">
        <v>16940</v>
      </c>
      <c r="B5465" s="3" t="s">
        <v>767</v>
      </c>
      <c r="C5465" s="3" t="s">
        <v>1342</v>
      </c>
      <c r="D5465" s="3" t="s">
        <v>68</v>
      </c>
      <c r="E5465" s="3" t="s">
        <v>100</v>
      </c>
      <c r="F5465" s="3" t="s">
        <v>1975</v>
      </c>
      <c r="G5465" s="7">
        <v>46139.59812853572</v>
      </c>
    </row>
    <row r="5466">
      <c r="A5466" s="3" t="s">
        <v>16943</v>
      </c>
      <c r="B5466" s="3" t="s">
        <v>765</v>
      </c>
      <c r="C5466" s="3" t="s">
        <v>1095</v>
      </c>
      <c r="D5466" s="3" t="s">
        <v>68</v>
      </c>
      <c r="E5466" s="3" t="s">
        <v>100</v>
      </c>
      <c r="F5466" s="3" t="s">
        <v>2088</v>
      </c>
      <c r="G5466" s="7">
        <v>46139.66930338113</v>
      </c>
    </row>
    <row r="5467">
      <c r="A5467" s="3" t="s">
        <v>16946</v>
      </c>
      <c r="B5467" s="3" t="s">
        <v>395</v>
      </c>
      <c r="C5467" s="3" t="s">
        <v>1342</v>
      </c>
      <c r="D5467" s="3" t="s">
        <v>68</v>
      </c>
      <c r="E5467" s="3" t="s">
        <v>100</v>
      </c>
      <c r="F5467" s="3" t="s">
        <v>1418</v>
      </c>
      <c r="G5467" s="7">
        <v>46139.740478226544</v>
      </c>
    </row>
    <row r="5468">
      <c r="A5468" s="3" t="s">
        <v>16950</v>
      </c>
      <c r="B5468" s="3" t="s">
        <v>344</v>
      </c>
      <c r="C5468" s="3" t="s">
        <v>1095</v>
      </c>
      <c r="D5468" s="3" t="s">
        <v>68</v>
      </c>
      <c r="E5468" s="3" t="s">
        <v>100</v>
      </c>
      <c r="F5468" s="3" t="s">
        <v>1911</v>
      </c>
      <c r="G5468" s="7">
        <v>46139.81165307196</v>
      </c>
    </row>
    <row r="5469">
      <c r="A5469" s="3" t="s">
        <v>16954</v>
      </c>
      <c r="B5469" s="3" t="s">
        <v>883</v>
      </c>
      <c r="C5469" s="3" t="s">
        <v>1095</v>
      </c>
      <c r="D5469" s="3" t="s">
        <v>68</v>
      </c>
      <c r="E5469" s="3" t="s">
        <v>100</v>
      </c>
      <c r="F5469" s="3" t="s">
        <v>1935</v>
      </c>
      <c r="G5469" s="7">
        <v>46139.882827917376</v>
      </c>
    </row>
    <row r="5470">
      <c r="A5470" s="3" t="s">
        <v>16957</v>
      </c>
      <c r="B5470" s="3" t="s">
        <v>969</v>
      </c>
      <c r="C5470" s="3" t="s">
        <v>1095</v>
      </c>
      <c r="D5470" s="3" t="s">
        <v>68</v>
      </c>
      <c r="E5470" s="3" t="s">
        <v>100</v>
      </c>
      <c r="F5470" s="3" t="s">
        <v>1869</v>
      </c>
      <c r="G5470" s="7">
        <v>46139.95400276279</v>
      </c>
    </row>
    <row r="5471">
      <c r="A5471" s="3" t="s">
        <v>16960</v>
      </c>
      <c r="B5471" s="3" t="s">
        <v>848</v>
      </c>
      <c r="C5471" s="3" t="s">
        <v>56</v>
      </c>
      <c r="D5471" s="3" t="s">
        <v>68</v>
      </c>
      <c r="E5471" s="3" t="s">
        <v>100</v>
      </c>
      <c r="F5471" s="3" t="s">
        <v>2034</v>
      </c>
      <c r="G5471" s="7">
        <v>46140.02517760821</v>
      </c>
    </row>
    <row r="5472">
      <c r="A5472" s="3" t="s">
        <v>16963</v>
      </c>
      <c r="B5472" s="3" t="s">
        <v>1021</v>
      </c>
      <c r="C5472" s="3" t="s">
        <v>56</v>
      </c>
      <c r="D5472" s="3" t="s">
        <v>68</v>
      </c>
      <c r="E5472" s="3" t="s">
        <v>100</v>
      </c>
      <c r="F5472" s="3" t="s">
        <v>2037</v>
      </c>
      <c r="G5472" s="7">
        <v>46140.09635245363</v>
      </c>
    </row>
    <row r="5473">
      <c r="A5473" s="3" t="s">
        <v>16966</v>
      </c>
      <c r="B5473" s="3" t="s">
        <v>369</v>
      </c>
      <c r="C5473" s="3" t="s">
        <v>1342</v>
      </c>
      <c r="D5473" s="3" t="s">
        <v>68</v>
      </c>
      <c r="E5473" s="3" t="s">
        <v>100</v>
      </c>
      <c r="F5473" s="3" t="s">
        <v>1501</v>
      </c>
      <c r="G5473" s="7">
        <v>46140.16752729903</v>
      </c>
    </row>
    <row r="5474">
      <c r="A5474" s="3" t="s">
        <v>16971</v>
      </c>
      <c r="B5474" s="3" t="s">
        <v>1037</v>
      </c>
      <c r="C5474" s="3" t="s">
        <v>1342</v>
      </c>
      <c r="D5474" s="3" t="s">
        <v>68</v>
      </c>
      <c r="E5474" s="3" t="s">
        <v>100</v>
      </c>
      <c r="F5474" s="3" t="s">
        <v>1983</v>
      </c>
      <c r="G5474" s="7">
        <v>46140.23870214445</v>
      </c>
    </row>
    <row r="5475">
      <c r="A5475" s="3" t="s">
        <v>16973</v>
      </c>
      <c r="B5475" s="3" t="s">
        <v>961</v>
      </c>
      <c r="C5475" s="3" t="s">
        <v>56</v>
      </c>
      <c r="D5475" s="3" t="s">
        <v>68</v>
      </c>
      <c r="E5475" s="3" t="s">
        <v>100</v>
      </c>
      <c r="F5475" s="3" t="s">
        <v>2039</v>
      </c>
      <c r="G5475" s="7">
        <v>46140.30987698987</v>
      </c>
    </row>
    <row r="5476">
      <c r="A5476" s="3" t="s">
        <v>16975</v>
      </c>
      <c r="B5476" s="3" t="s">
        <v>870</v>
      </c>
      <c r="C5476" s="3" t="s">
        <v>56</v>
      </c>
      <c r="D5476" s="3" t="s">
        <v>68</v>
      </c>
      <c r="E5476" s="3" t="s">
        <v>100</v>
      </c>
      <c r="F5476" s="3" t="s">
        <v>2044</v>
      </c>
      <c r="G5476" s="7">
        <v>46140.381051835284</v>
      </c>
    </row>
    <row r="5477">
      <c r="A5477" s="3" t="s">
        <v>16977</v>
      </c>
      <c r="B5477" s="3" t="s">
        <v>250</v>
      </c>
      <c r="C5477" s="3" t="s">
        <v>1342</v>
      </c>
      <c r="D5477" s="3" t="s">
        <v>68</v>
      </c>
      <c r="E5477" s="3" t="s">
        <v>100</v>
      </c>
      <c r="F5477" s="3" t="s">
        <v>1701</v>
      </c>
      <c r="G5477" s="7">
        <v>46140.452226680696</v>
      </c>
    </row>
    <row r="5478">
      <c r="A5478" s="3" t="s">
        <v>16979</v>
      </c>
      <c r="B5478" s="3" t="s">
        <v>536</v>
      </c>
      <c r="C5478" s="3" t="s">
        <v>1095</v>
      </c>
      <c r="D5478" s="3" t="s">
        <v>195</v>
      </c>
      <c r="E5478" s="3" t="s">
        <v>45</v>
      </c>
      <c r="F5478" s="3" t="s">
        <v>1848</v>
      </c>
      <c r="G5478" s="7">
        <v>46140.523401526116</v>
      </c>
    </row>
    <row r="5479">
      <c r="A5479" s="3" t="s">
        <v>16982</v>
      </c>
      <c r="B5479" s="3" t="s">
        <v>822</v>
      </c>
      <c r="C5479" s="3" t="s">
        <v>1342</v>
      </c>
      <c r="D5479" s="3" t="s">
        <v>181</v>
      </c>
      <c r="E5479" s="3" t="s">
        <v>45</v>
      </c>
      <c r="F5479" s="3" t="s">
        <v>1552</v>
      </c>
      <c r="G5479" s="7">
        <v>46140.59457637153</v>
      </c>
    </row>
    <row r="5480">
      <c r="A5480" s="3" t="s">
        <v>16985</v>
      </c>
      <c r="B5480" s="3" t="s">
        <v>669</v>
      </c>
      <c r="C5480" s="3" t="s">
        <v>1342</v>
      </c>
      <c r="D5480" s="3" t="s">
        <v>68</v>
      </c>
      <c r="E5480" s="3" t="s">
        <v>100</v>
      </c>
      <c r="F5480" s="3" t="s">
        <v>603</v>
      </c>
      <c r="G5480" s="7">
        <v>46140.66575121694</v>
      </c>
    </row>
    <row r="5481">
      <c r="A5481" s="3" t="s">
        <v>16989</v>
      </c>
      <c r="B5481" s="3" t="s">
        <v>280</v>
      </c>
      <c r="C5481" s="3" t="s">
        <v>56</v>
      </c>
      <c r="D5481" s="3" t="s">
        <v>68</v>
      </c>
      <c r="E5481" s="3" t="s">
        <v>100</v>
      </c>
      <c r="F5481" s="3" t="s">
        <v>2047</v>
      </c>
      <c r="G5481" s="7">
        <v>46140.73692606236</v>
      </c>
    </row>
    <row r="5482">
      <c r="A5482" s="3" t="s">
        <v>16993</v>
      </c>
      <c r="B5482" s="3" t="s">
        <v>937</v>
      </c>
      <c r="C5482" s="3" t="s">
        <v>1342</v>
      </c>
      <c r="D5482" s="3" t="s">
        <v>68</v>
      </c>
      <c r="E5482" s="3" t="s">
        <v>100</v>
      </c>
      <c r="F5482" s="3" t="s">
        <v>1369</v>
      </c>
      <c r="G5482" s="7">
        <v>46140.80810090777</v>
      </c>
    </row>
    <row r="5483">
      <c r="A5483" s="3" t="s">
        <v>16996</v>
      </c>
      <c r="B5483" s="3" t="s">
        <v>591</v>
      </c>
      <c r="C5483" s="3" t="s">
        <v>1342</v>
      </c>
      <c r="D5483" s="3" t="s">
        <v>181</v>
      </c>
      <c r="E5483" s="3" t="s">
        <v>45</v>
      </c>
      <c r="F5483" s="3" t="s">
        <v>1173</v>
      </c>
      <c r="G5483" s="7">
        <v>46140.879275753185</v>
      </c>
    </row>
    <row r="5484">
      <c r="A5484" s="3" t="s">
        <v>16999</v>
      </c>
      <c r="B5484" s="3" t="s">
        <v>926</v>
      </c>
      <c r="C5484" s="3" t="s">
        <v>56</v>
      </c>
      <c r="D5484" s="3" t="s">
        <v>68</v>
      </c>
      <c r="E5484" s="3" t="s">
        <v>100</v>
      </c>
      <c r="F5484" s="3" t="s">
        <v>2050</v>
      </c>
      <c r="G5484" s="7">
        <v>46140.950450598604</v>
      </c>
    </row>
    <row r="5485">
      <c r="A5485" s="3" t="s">
        <v>17002</v>
      </c>
      <c r="B5485" s="3" t="s">
        <v>247</v>
      </c>
      <c r="C5485" s="3" t="s">
        <v>1095</v>
      </c>
      <c r="D5485" s="3" t="s">
        <v>68</v>
      </c>
      <c r="E5485" s="3" t="s">
        <v>100</v>
      </c>
      <c r="F5485" s="3" t="s">
        <v>1989</v>
      </c>
      <c r="G5485" s="7">
        <v>46141.02162544402</v>
      </c>
    </row>
    <row r="5486">
      <c r="A5486" s="3" t="s">
        <v>17004</v>
      </c>
      <c r="B5486" s="3" t="s">
        <v>643</v>
      </c>
      <c r="C5486" s="3" t="s">
        <v>1342</v>
      </c>
      <c r="D5486" s="3" t="s">
        <v>68</v>
      </c>
      <c r="E5486" s="3" t="s">
        <v>100</v>
      </c>
      <c r="F5486" s="3" t="s">
        <v>1570</v>
      </c>
      <c r="G5486" s="7">
        <v>46141.09280028943</v>
      </c>
    </row>
    <row r="5487">
      <c r="A5487" s="3" t="s">
        <v>17007</v>
      </c>
      <c r="B5487" s="3" t="s">
        <v>713</v>
      </c>
      <c r="C5487" s="3" t="s">
        <v>1342</v>
      </c>
      <c r="D5487" s="3" t="s">
        <v>68</v>
      </c>
      <c r="E5487" s="3" t="s">
        <v>100</v>
      </c>
      <c r="F5487" s="3" t="s">
        <v>1679</v>
      </c>
      <c r="G5487" s="7">
        <v>46141.16397513485</v>
      </c>
    </row>
    <row r="5488">
      <c r="A5488" s="3" t="s">
        <v>17009</v>
      </c>
      <c r="B5488" s="3" t="s">
        <v>366</v>
      </c>
      <c r="C5488" s="3" t="s">
        <v>56</v>
      </c>
      <c r="D5488" s="3" t="s">
        <v>195</v>
      </c>
      <c r="E5488" s="3" t="s">
        <v>45</v>
      </c>
      <c r="F5488" s="3" t="s">
        <v>45</v>
      </c>
      <c r="G5488" s="7">
        <v>46141.23514998027</v>
      </c>
    </row>
    <row r="5489">
      <c r="A5489" s="3" t="s">
        <v>17011</v>
      </c>
      <c r="B5489" s="3" t="s">
        <v>344</v>
      </c>
      <c r="C5489" s="3" t="s">
        <v>56</v>
      </c>
      <c r="D5489" s="3" t="s">
        <v>68</v>
      </c>
      <c r="E5489" s="3" t="s">
        <v>100</v>
      </c>
      <c r="F5489" s="3" t="s">
        <v>2052</v>
      </c>
      <c r="G5489" s="7">
        <v>46141.30632482567</v>
      </c>
    </row>
    <row r="5490">
      <c r="A5490" s="3" t="s">
        <v>17013</v>
      </c>
      <c r="B5490" s="3" t="s">
        <v>765</v>
      </c>
      <c r="C5490" s="3" t="s">
        <v>56</v>
      </c>
      <c r="D5490" s="3" t="s">
        <v>68</v>
      </c>
      <c r="E5490" s="3" t="s">
        <v>100</v>
      </c>
      <c r="F5490" s="3" t="s">
        <v>2056</v>
      </c>
      <c r="G5490" s="7">
        <v>46141.37749967109</v>
      </c>
    </row>
    <row r="5491">
      <c r="A5491" s="3" t="s">
        <v>17015</v>
      </c>
      <c r="B5491" s="3" t="s">
        <v>826</v>
      </c>
      <c r="C5491" s="3" t="s">
        <v>56</v>
      </c>
      <c r="D5491" s="3" t="s">
        <v>68</v>
      </c>
      <c r="E5491" s="3" t="s">
        <v>100</v>
      </c>
      <c r="F5491" s="3" t="s">
        <v>2059</v>
      </c>
      <c r="G5491" s="7">
        <v>46141.44867451651</v>
      </c>
    </row>
    <row r="5492">
      <c r="A5492" s="3" t="s">
        <v>17018</v>
      </c>
      <c r="B5492" s="3" t="s">
        <v>276</v>
      </c>
      <c r="C5492" s="3" t="s">
        <v>56</v>
      </c>
      <c r="D5492" s="3" t="s">
        <v>68</v>
      </c>
      <c r="E5492" s="3" t="s">
        <v>100</v>
      </c>
      <c r="F5492" s="3" t="s">
        <v>2062</v>
      </c>
      <c r="G5492" s="7">
        <v>46141.519849361925</v>
      </c>
    </row>
    <row r="5493">
      <c r="A5493" s="3" t="s">
        <v>17020</v>
      </c>
      <c r="B5493" s="3" t="s">
        <v>593</v>
      </c>
      <c r="C5493" s="3" t="s">
        <v>1342</v>
      </c>
      <c r="D5493" s="3" t="s">
        <v>68</v>
      </c>
      <c r="E5493" s="3" t="s">
        <v>100</v>
      </c>
      <c r="F5493" s="3" t="s">
        <v>1914</v>
      </c>
      <c r="G5493" s="7">
        <v>46141.59102420734</v>
      </c>
    </row>
    <row r="5494">
      <c r="A5494" s="3" t="s">
        <v>17023</v>
      </c>
      <c r="B5494" s="3" t="s">
        <v>363</v>
      </c>
      <c r="C5494" s="3" t="s">
        <v>1342</v>
      </c>
      <c r="D5494" s="3" t="s">
        <v>68</v>
      </c>
      <c r="E5494" s="3" t="s">
        <v>100</v>
      </c>
      <c r="F5494" s="3" t="s">
        <v>1400</v>
      </c>
      <c r="G5494" s="7">
        <v>46141.66219905276</v>
      </c>
    </row>
    <row r="5495">
      <c r="A5495" s="3" t="s">
        <v>17028</v>
      </c>
      <c r="B5495" s="3" t="s">
        <v>953</v>
      </c>
      <c r="C5495" s="3" t="s">
        <v>1342</v>
      </c>
      <c r="D5495" s="3" t="s">
        <v>68</v>
      </c>
      <c r="E5495" s="3" t="s">
        <v>100</v>
      </c>
      <c r="F5495" s="3" t="s">
        <v>1958</v>
      </c>
      <c r="G5495" s="7">
        <v>46141.73337389817</v>
      </c>
    </row>
    <row r="5496">
      <c r="A5496" s="3" t="s">
        <v>17031</v>
      </c>
      <c r="B5496" s="3" t="s">
        <v>811</v>
      </c>
      <c r="C5496" s="3" t="s">
        <v>1095</v>
      </c>
      <c r="D5496" s="3" t="s">
        <v>68</v>
      </c>
      <c r="E5496" s="3" t="s">
        <v>100</v>
      </c>
      <c r="F5496" s="3" t="s">
        <v>2028</v>
      </c>
      <c r="G5496" s="7">
        <v>46141.80454874358</v>
      </c>
    </row>
    <row r="5497">
      <c r="A5497" s="3" t="s">
        <v>17033</v>
      </c>
      <c r="B5497" s="3" t="s">
        <v>848</v>
      </c>
      <c r="C5497" s="3" t="s">
        <v>1095</v>
      </c>
      <c r="D5497" s="3" t="s">
        <v>68</v>
      </c>
      <c r="E5497" s="3" t="s">
        <v>100</v>
      </c>
      <c r="F5497" s="3" t="s">
        <v>2034</v>
      </c>
      <c r="G5497" s="7">
        <v>46141.875723589</v>
      </c>
    </row>
    <row r="5498">
      <c r="A5498" s="3" t="s">
        <v>17035</v>
      </c>
      <c r="B5498" s="3" t="s">
        <v>344</v>
      </c>
      <c r="C5498" s="3" t="s">
        <v>1342</v>
      </c>
      <c r="D5498" s="3" t="s">
        <v>68</v>
      </c>
      <c r="E5498" s="3" t="s">
        <v>100</v>
      </c>
      <c r="F5498" s="3" t="s">
        <v>2052</v>
      </c>
      <c r="G5498" s="7">
        <v>46141.94689843441</v>
      </c>
    </row>
    <row r="5499">
      <c r="A5499" s="3" t="s">
        <v>17038</v>
      </c>
      <c r="B5499" s="3" t="s">
        <v>682</v>
      </c>
      <c r="C5499" s="3" t="s">
        <v>56</v>
      </c>
      <c r="D5499" s="3" t="s">
        <v>68</v>
      </c>
      <c r="E5499" s="3" t="s">
        <v>100</v>
      </c>
      <c r="F5499" s="3" t="s">
        <v>2064</v>
      </c>
      <c r="G5499" s="7">
        <v>46142.018073279825</v>
      </c>
    </row>
    <row r="5500">
      <c r="A5500" s="3" t="s">
        <v>17043</v>
      </c>
      <c r="B5500" s="3" t="s">
        <v>269</v>
      </c>
      <c r="C5500" s="3" t="s">
        <v>1095</v>
      </c>
      <c r="D5500" s="3" t="s">
        <v>68</v>
      </c>
      <c r="E5500" s="3" t="s">
        <v>100</v>
      </c>
      <c r="F5500" s="3" t="s">
        <v>1343</v>
      </c>
      <c r="G5500" s="7">
        <v>46142.089248125245</v>
      </c>
    </row>
    <row r="5501">
      <c r="A5501" s="3" t="s">
        <v>17046</v>
      </c>
      <c r="B5501" s="3" t="s">
        <v>557</v>
      </c>
      <c r="C5501" s="3" t="s">
        <v>1095</v>
      </c>
      <c r="D5501" s="3" t="s">
        <v>68</v>
      </c>
      <c r="E5501" s="3" t="s">
        <v>100</v>
      </c>
      <c r="F5501" s="3" t="s">
        <v>1512</v>
      </c>
      <c r="G5501" s="7">
        <v>46142.160422970665</v>
      </c>
    </row>
    <row r="5502">
      <c r="A5502" s="3" t="s">
        <v>17049</v>
      </c>
      <c r="B5502" s="3" t="s">
        <v>419</v>
      </c>
      <c r="C5502" s="3" t="s">
        <v>1342</v>
      </c>
      <c r="D5502" s="3" t="s">
        <v>68</v>
      </c>
      <c r="E5502" s="3" t="s">
        <v>100</v>
      </c>
      <c r="F5502" s="3" t="s">
        <v>1927</v>
      </c>
      <c r="G5502" s="7">
        <v>46142.23159781607</v>
      </c>
    </row>
    <row r="5503">
      <c r="A5503" s="3" t="s">
        <v>17052</v>
      </c>
      <c r="B5503" s="3" t="s">
        <v>943</v>
      </c>
      <c r="C5503" s="3" t="s">
        <v>1342</v>
      </c>
      <c r="D5503" s="3" t="s">
        <v>68</v>
      </c>
      <c r="E5503" s="3" t="s">
        <v>100</v>
      </c>
      <c r="F5503" s="3" t="s">
        <v>1446</v>
      </c>
      <c r="G5503" s="7">
        <v>46142.30277266149</v>
      </c>
    </row>
    <row r="5504">
      <c r="A5504" s="3" t="s">
        <v>17056</v>
      </c>
      <c r="B5504" s="3" t="s">
        <v>510</v>
      </c>
      <c r="C5504" s="3" t="s">
        <v>1095</v>
      </c>
      <c r="D5504" s="3" t="s">
        <v>68</v>
      </c>
      <c r="E5504" s="3" t="s">
        <v>100</v>
      </c>
      <c r="F5504" s="3" t="s">
        <v>1650</v>
      </c>
      <c r="G5504" s="7">
        <v>46142.37394750691</v>
      </c>
    </row>
    <row r="5505">
      <c r="A5505" s="3" t="s">
        <v>17060</v>
      </c>
      <c r="B5505" s="3" t="s">
        <v>512</v>
      </c>
      <c r="C5505" s="3" t="s">
        <v>1342</v>
      </c>
      <c r="D5505" s="3" t="s">
        <v>68</v>
      </c>
      <c r="E5505" s="3" t="s">
        <v>100</v>
      </c>
      <c r="F5505" s="3" t="s">
        <v>1631</v>
      </c>
      <c r="G5505" s="7">
        <v>46142.44512235232</v>
      </c>
    </row>
    <row r="5506">
      <c r="A5506" s="3" t="s">
        <v>17063</v>
      </c>
      <c r="B5506" s="3" t="s">
        <v>419</v>
      </c>
      <c r="C5506" s="3" t="s">
        <v>1095</v>
      </c>
      <c r="D5506" s="3" t="s">
        <v>68</v>
      </c>
      <c r="E5506" s="3" t="s">
        <v>100</v>
      </c>
      <c r="F5506" s="3" t="s">
        <v>1927</v>
      </c>
      <c r="G5506" s="7">
        <v>46142.51629719773</v>
      </c>
    </row>
    <row r="5507">
      <c r="A5507" s="3" t="s">
        <v>17066</v>
      </c>
      <c r="B5507" s="3" t="s">
        <v>202</v>
      </c>
      <c r="C5507" s="3" t="s">
        <v>56</v>
      </c>
      <c r="D5507" s="3" t="s">
        <v>68</v>
      </c>
      <c r="E5507" s="3" t="s">
        <v>100</v>
      </c>
      <c r="F5507" s="3" t="s">
        <v>2067</v>
      </c>
      <c r="G5507" s="7">
        <v>46142.58747204315</v>
      </c>
    </row>
    <row r="5508">
      <c r="A5508" s="3" t="s">
        <v>17069</v>
      </c>
      <c r="B5508" s="3" t="s">
        <v>247</v>
      </c>
      <c r="C5508" s="3" t="s">
        <v>56</v>
      </c>
      <c r="D5508" s="3" t="s">
        <v>181</v>
      </c>
      <c r="E5508" s="3" t="s">
        <v>45</v>
      </c>
      <c r="F5508" s="3" t="s">
        <v>45</v>
      </c>
      <c r="G5508" s="7">
        <v>46142.658646888565</v>
      </c>
    </row>
    <row r="5509">
      <c r="A5509" s="3" t="s">
        <v>17071</v>
      </c>
      <c r="B5509" s="3" t="s">
        <v>734</v>
      </c>
      <c r="C5509" s="3" t="s">
        <v>1342</v>
      </c>
      <c r="D5509" s="3" t="s">
        <v>68</v>
      </c>
      <c r="E5509" s="3" t="s">
        <v>100</v>
      </c>
      <c r="F5509" s="3" t="s">
        <v>1993</v>
      </c>
      <c r="G5509" s="7">
        <v>46142.72982173398</v>
      </c>
    </row>
    <row r="5510">
      <c r="A5510" s="3" t="s">
        <v>17073</v>
      </c>
      <c r="B5510" s="3" t="s">
        <v>481</v>
      </c>
      <c r="C5510" s="3" t="s">
        <v>1095</v>
      </c>
      <c r="D5510" s="3" t="s">
        <v>68</v>
      </c>
      <c r="E5510" s="3" t="s">
        <v>100</v>
      </c>
      <c r="F5510" s="3" t="s">
        <v>2009</v>
      </c>
      <c r="G5510" s="7">
        <v>46142.8009965794</v>
      </c>
    </row>
    <row r="5511">
      <c r="A5511" s="3" t="s">
        <v>17076</v>
      </c>
      <c r="B5511" s="3" t="s">
        <v>1021</v>
      </c>
      <c r="C5511" s="3" t="s">
        <v>1342</v>
      </c>
      <c r="D5511" s="3" t="s">
        <v>68</v>
      </c>
      <c r="E5511" s="3" t="s">
        <v>100</v>
      </c>
      <c r="F5511" s="3" t="s">
        <v>2037</v>
      </c>
      <c r="G5511" s="7">
        <v>46142.87217142481</v>
      </c>
    </row>
    <row r="5512">
      <c r="A5512" s="3" t="s">
        <v>17079</v>
      </c>
      <c r="B5512" s="3" t="s">
        <v>239</v>
      </c>
      <c r="C5512" s="3" t="s">
        <v>1095</v>
      </c>
      <c r="D5512" s="3" t="s">
        <v>68</v>
      </c>
      <c r="E5512" s="3" t="s">
        <v>100</v>
      </c>
      <c r="F5512" s="3" t="s">
        <v>1441</v>
      </c>
      <c r="G5512" s="7">
        <v>46142.94334627022</v>
      </c>
    </row>
    <row r="5513">
      <c r="A5513" s="3" t="s">
        <v>17084</v>
      </c>
      <c r="B5513" s="3" t="s">
        <v>987</v>
      </c>
      <c r="C5513" s="3" t="s">
        <v>1095</v>
      </c>
      <c r="D5513" s="3" t="s">
        <v>68</v>
      </c>
      <c r="E5513" s="3" t="s">
        <v>100</v>
      </c>
      <c r="F5513" s="3" t="s">
        <v>818</v>
      </c>
      <c r="G5513" s="7">
        <v>46143.01452111564</v>
      </c>
    </row>
    <row r="5514">
      <c r="A5514" s="3" t="s">
        <v>17087</v>
      </c>
      <c r="B5514" s="3" t="s">
        <v>411</v>
      </c>
      <c r="C5514" s="3" t="s">
        <v>1342</v>
      </c>
      <c r="D5514" s="3" t="s">
        <v>68</v>
      </c>
      <c r="E5514" s="3" t="s">
        <v>100</v>
      </c>
      <c r="F5514" s="3" t="s">
        <v>1743</v>
      </c>
      <c r="G5514" s="7">
        <v>46143.085695961054</v>
      </c>
    </row>
    <row r="5515">
      <c r="A5515" s="3" t="s">
        <v>17090</v>
      </c>
      <c r="B5515" s="3" t="s">
        <v>388</v>
      </c>
      <c r="C5515" s="3" t="s">
        <v>1342</v>
      </c>
      <c r="D5515" s="3" t="s">
        <v>68</v>
      </c>
      <c r="E5515" s="3" t="s">
        <v>100</v>
      </c>
      <c r="F5515" s="3" t="s">
        <v>1232</v>
      </c>
      <c r="G5515" s="7">
        <v>46143.156870806466</v>
      </c>
    </row>
    <row r="5516">
      <c r="A5516" s="3" t="s">
        <v>17095</v>
      </c>
      <c r="B5516" s="3" t="s">
        <v>751</v>
      </c>
      <c r="C5516" s="3" t="s">
        <v>1342</v>
      </c>
      <c r="D5516" s="3" t="s">
        <v>68</v>
      </c>
      <c r="E5516" s="3" t="s">
        <v>100</v>
      </c>
      <c r="F5516" s="3" t="s">
        <v>1614</v>
      </c>
      <c r="G5516" s="7">
        <v>46143.228045651886</v>
      </c>
    </row>
    <row r="5517">
      <c r="A5517" s="3" t="s">
        <v>17097</v>
      </c>
      <c r="B5517" s="3" t="s">
        <v>404</v>
      </c>
      <c r="C5517" s="3" t="s">
        <v>1095</v>
      </c>
      <c r="D5517" s="3" t="s">
        <v>68</v>
      </c>
      <c r="E5517" s="3" t="s">
        <v>100</v>
      </c>
      <c r="F5517" s="3" t="s">
        <v>1081</v>
      </c>
      <c r="G5517" s="7">
        <v>46143.299220497305</v>
      </c>
    </row>
    <row r="5518">
      <c r="A5518" s="3" t="s">
        <v>17099</v>
      </c>
      <c r="B5518" s="3" t="s">
        <v>344</v>
      </c>
      <c r="C5518" s="3" t="s">
        <v>1342</v>
      </c>
      <c r="D5518" s="3" t="s">
        <v>181</v>
      </c>
      <c r="E5518" s="3" t="s">
        <v>45</v>
      </c>
      <c r="F5518" s="3" t="s">
        <v>2052</v>
      </c>
      <c r="G5518" s="7">
        <v>46143.37039534271</v>
      </c>
    </row>
    <row r="5519">
      <c r="A5519" s="3" t="s">
        <v>17101</v>
      </c>
      <c r="B5519" s="3" t="s">
        <v>922</v>
      </c>
      <c r="C5519" s="3" t="s">
        <v>1342</v>
      </c>
      <c r="D5519" s="3" t="s">
        <v>68</v>
      </c>
      <c r="E5519" s="3" t="s">
        <v>100</v>
      </c>
      <c r="F5519" s="3" t="s">
        <v>1609</v>
      </c>
      <c r="G5519" s="7">
        <v>46143.44157018813</v>
      </c>
    </row>
    <row r="5520">
      <c r="A5520" s="3" t="s">
        <v>17103</v>
      </c>
      <c r="B5520" s="3" t="s">
        <v>947</v>
      </c>
      <c r="C5520" s="3" t="s">
        <v>56</v>
      </c>
      <c r="D5520" s="3" t="s">
        <v>181</v>
      </c>
      <c r="E5520" s="3" t="s">
        <v>45</v>
      </c>
      <c r="F5520" s="3" t="s">
        <v>45</v>
      </c>
      <c r="G5520" s="7">
        <v>46143.51274503355</v>
      </c>
    </row>
    <row r="5521">
      <c r="A5521" s="3" t="s">
        <v>17106</v>
      </c>
      <c r="B5521" s="3" t="s">
        <v>619</v>
      </c>
      <c r="C5521" s="3" t="s">
        <v>1342</v>
      </c>
      <c r="D5521" s="3" t="s">
        <v>68</v>
      </c>
      <c r="E5521" s="3" t="s">
        <v>100</v>
      </c>
      <c r="F5521" s="3" t="s">
        <v>1855</v>
      </c>
      <c r="G5521" s="7">
        <v>46143.58391987896</v>
      </c>
    </row>
    <row r="5522">
      <c r="A5522" s="3" t="s">
        <v>17108</v>
      </c>
      <c r="B5522" s="3" t="s">
        <v>141</v>
      </c>
      <c r="C5522" s="3" t="s">
        <v>1342</v>
      </c>
      <c r="D5522" s="3" t="s">
        <v>68</v>
      </c>
      <c r="E5522" s="3" t="s">
        <v>100</v>
      </c>
      <c r="F5522" s="3" t="s">
        <v>1690</v>
      </c>
      <c r="G5522" s="7">
        <v>46143.655094724374</v>
      </c>
    </row>
    <row r="5523">
      <c r="A5523" s="3" t="s">
        <v>17110</v>
      </c>
      <c r="B5523" s="3" t="s">
        <v>135</v>
      </c>
      <c r="C5523" s="3" t="s">
        <v>56</v>
      </c>
      <c r="D5523" s="3" t="s">
        <v>68</v>
      </c>
      <c r="E5523" s="3" t="s">
        <v>100</v>
      </c>
      <c r="F5523" s="3" t="s">
        <v>2069</v>
      </c>
      <c r="G5523" s="7">
        <v>46143.726269569794</v>
      </c>
    </row>
    <row r="5524">
      <c r="A5524" s="3" t="s">
        <v>17113</v>
      </c>
      <c r="B5524" s="3" t="s">
        <v>565</v>
      </c>
      <c r="C5524" s="3" t="s">
        <v>56</v>
      </c>
      <c r="D5524" s="3" t="s">
        <v>68</v>
      </c>
      <c r="E5524" s="3" t="s">
        <v>100</v>
      </c>
      <c r="F5524" s="3" t="s">
        <v>2072</v>
      </c>
      <c r="G5524" s="7">
        <v>46143.797444415206</v>
      </c>
    </row>
    <row r="5525">
      <c r="A5525" s="3" t="s">
        <v>17116</v>
      </c>
      <c r="B5525" s="3" t="s">
        <v>826</v>
      </c>
      <c r="C5525" s="3" t="s">
        <v>1342</v>
      </c>
      <c r="D5525" s="3" t="s">
        <v>68</v>
      </c>
      <c r="E5525" s="3" t="s">
        <v>100</v>
      </c>
      <c r="F5525" s="3" t="s">
        <v>2059</v>
      </c>
      <c r="G5525" s="7">
        <v>46143.86861926062</v>
      </c>
    </row>
    <row r="5526">
      <c r="A5526" s="3" t="s">
        <v>17119</v>
      </c>
      <c r="B5526" s="3" t="s">
        <v>280</v>
      </c>
      <c r="C5526" s="3" t="s">
        <v>1342</v>
      </c>
      <c r="D5526" s="3" t="s">
        <v>68</v>
      </c>
      <c r="E5526" s="3" t="s">
        <v>100</v>
      </c>
      <c r="F5526" s="3" t="s">
        <v>2047</v>
      </c>
      <c r="G5526" s="7">
        <v>46143.93979410604</v>
      </c>
    </row>
    <row r="5527">
      <c r="A5527" s="3" t="s">
        <v>17122</v>
      </c>
      <c r="B5527" s="3" t="s">
        <v>658</v>
      </c>
      <c r="C5527" s="3" t="s">
        <v>1342</v>
      </c>
      <c r="D5527" s="3" t="s">
        <v>68</v>
      </c>
      <c r="E5527" s="3" t="s">
        <v>100</v>
      </c>
      <c r="F5527" s="3" t="s">
        <v>1793</v>
      </c>
      <c r="G5527" s="7">
        <v>46144.01096895145</v>
      </c>
    </row>
    <row r="5528">
      <c r="A5528" s="3" t="s">
        <v>17126</v>
      </c>
      <c r="B5528" s="3" t="s">
        <v>650</v>
      </c>
      <c r="C5528" s="3" t="s">
        <v>56</v>
      </c>
      <c r="D5528" s="3" t="s">
        <v>68</v>
      </c>
      <c r="E5528" s="3" t="s">
        <v>100</v>
      </c>
      <c r="F5528" s="3" t="s">
        <v>2074</v>
      </c>
      <c r="G5528" s="7">
        <v>46144.08214379686</v>
      </c>
    </row>
    <row r="5529">
      <c r="A5529" s="3" t="s">
        <v>17130</v>
      </c>
      <c r="B5529" s="3" t="s">
        <v>665</v>
      </c>
      <c r="C5529" s="3" t="s">
        <v>1342</v>
      </c>
      <c r="D5529" s="3" t="s">
        <v>68</v>
      </c>
      <c r="E5529" s="3" t="s">
        <v>100</v>
      </c>
      <c r="F5529" s="3" t="s">
        <v>1921</v>
      </c>
      <c r="G5529" s="7">
        <v>46144.15331864228</v>
      </c>
    </row>
    <row r="5530">
      <c r="A5530" s="3" t="s">
        <v>17133</v>
      </c>
      <c r="B5530" s="3" t="s">
        <v>616</v>
      </c>
      <c r="C5530" s="3" t="s">
        <v>56</v>
      </c>
      <c r="D5530" s="3" t="s">
        <v>68</v>
      </c>
      <c r="E5530" s="3" t="s">
        <v>100</v>
      </c>
      <c r="F5530" s="3" t="s">
        <v>2077</v>
      </c>
      <c r="G5530" s="7">
        <v>46144.224493487694</v>
      </c>
    </row>
    <row r="5531">
      <c r="A5531" s="3" t="s">
        <v>17136</v>
      </c>
      <c r="B5531" s="3" t="s">
        <v>596</v>
      </c>
      <c r="C5531" s="3" t="s">
        <v>1095</v>
      </c>
      <c r="D5531" s="3" t="s">
        <v>195</v>
      </c>
      <c r="E5531" s="3" t="s">
        <v>45</v>
      </c>
      <c r="F5531" s="3" t="s">
        <v>1268</v>
      </c>
      <c r="G5531" s="7">
        <v>46144.29566833311</v>
      </c>
    </row>
    <row r="5532">
      <c r="A5532" s="3" t="s">
        <v>17140</v>
      </c>
      <c r="B5532" s="3" t="s">
        <v>466</v>
      </c>
      <c r="C5532" s="3" t="s">
        <v>56</v>
      </c>
      <c r="D5532" s="3" t="s">
        <v>68</v>
      </c>
      <c r="E5532" s="3" t="s">
        <v>100</v>
      </c>
      <c r="F5532" s="3" t="s">
        <v>2079</v>
      </c>
      <c r="G5532" s="7">
        <v>46144.366843178526</v>
      </c>
    </row>
    <row r="5533">
      <c r="A5533" s="3" t="s">
        <v>17144</v>
      </c>
      <c r="B5533" s="3" t="s">
        <v>685</v>
      </c>
      <c r="C5533" s="3" t="s">
        <v>1095</v>
      </c>
      <c r="D5533" s="3" t="s">
        <v>181</v>
      </c>
      <c r="E5533" s="3" t="s">
        <v>45</v>
      </c>
      <c r="F5533" s="3" t="s">
        <v>2024</v>
      </c>
      <c r="G5533" s="7">
        <v>46144.438018023946</v>
      </c>
    </row>
    <row r="5534">
      <c r="A5534" s="3" t="s">
        <v>17147</v>
      </c>
      <c r="B5534" s="3" t="s">
        <v>765</v>
      </c>
      <c r="C5534" s="3" t="s">
        <v>1095</v>
      </c>
      <c r="D5534" s="3" t="s">
        <v>68</v>
      </c>
      <c r="E5534" s="3" t="s">
        <v>100</v>
      </c>
      <c r="F5534" s="3" t="s">
        <v>2056</v>
      </c>
      <c r="G5534" s="7">
        <v>46144.50919286935</v>
      </c>
    </row>
    <row r="5535">
      <c r="A5535" s="3" t="s">
        <v>17150</v>
      </c>
      <c r="B5535" s="3" t="s">
        <v>559</v>
      </c>
      <c r="C5535" s="3" t="s">
        <v>1095</v>
      </c>
      <c r="D5535" s="3" t="s">
        <v>68</v>
      </c>
      <c r="E5535" s="3" t="s">
        <v>100</v>
      </c>
      <c r="F5535" s="3" t="s">
        <v>1937</v>
      </c>
      <c r="G5535" s="7">
        <v>46144.58036771477</v>
      </c>
    </row>
    <row r="5536">
      <c r="A5536" s="3" t="s">
        <v>17154</v>
      </c>
      <c r="B5536" s="3" t="s">
        <v>702</v>
      </c>
      <c r="C5536" s="3" t="s">
        <v>1342</v>
      </c>
      <c r="D5536" s="3" t="s">
        <v>68</v>
      </c>
      <c r="E5536" s="3" t="s">
        <v>100</v>
      </c>
      <c r="F5536" s="3" t="s">
        <v>1617</v>
      </c>
      <c r="G5536" s="7">
        <v>46144.65154256019</v>
      </c>
    </row>
    <row r="5537">
      <c r="A5537" s="3" t="s">
        <v>17158</v>
      </c>
      <c r="B5537" s="3" t="s">
        <v>845</v>
      </c>
      <c r="C5537" s="3" t="s">
        <v>1095</v>
      </c>
      <c r="D5537" s="3" t="s">
        <v>181</v>
      </c>
      <c r="E5537" s="3" t="s">
        <v>45</v>
      </c>
      <c r="F5537" s="3" t="s">
        <v>1380</v>
      </c>
      <c r="G5537" s="7">
        <v>46144.7227174056</v>
      </c>
    </row>
    <row r="5538">
      <c r="A5538" s="3" t="s">
        <v>17160</v>
      </c>
      <c r="B5538" s="3" t="s">
        <v>943</v>
      </c>
      <c r="C5538" s="3" t="s">
        <v>1095</v>
      </c>
      <c r="D5538" s="3" t="s">
        <v>68</v>
      </c>
      <c r="E5538" s="3" t="s">
        <v>100</v>
      </c>
      <c r="F5538" s="3" t="s">
        <v>1446</v>
      </c>
      <c r="G5538" s="7">
        <v>46144.793892251015</v>
      </c>
    </row>
    <row r="5539">
      <c r="A5539" s="3" t="s">
        <v>17162</v>
      </c>
      <c r="B5539" s="3" t="s">
        <v>587</v>
      </c>
      <c r="C5539" s="3" t="s">
        <v>56</v>
      </c>
      <c r="D5539" s="3" t="s">
        <v>68</v>
      </c>
      <c r="E5539" s="3" t="s">
        <v>100</v>
      </c>
      <c r="F5539" s="3" t="s">
        <v>2081</v>
      </c>
      <c r="G5539" s="7">
        <v>46144.865067096434</v>
      </c>
    </row>
    <row r="5540">
      <c r="A5540" s="3" t="s">
        <v>17164</v>
      </c>
      <c r="B5540" s="3" t="s">
        <v>886</v>
      </c>
      <c r="C5540" s="3" t="s">
        <v>56</v>
      </c>
      <c r="D5540" s="3" t="s">
        <v>68</v>
      </c>
      <c r="E5540" s="3" t="s">
        <v>100</v>
      </c>
      <c r="F5540" s="3" t="s">
        <v>2083</v>
      </c>
      <c r="G5540" s="7">
        <v>46144.93624194185</v>
      </c>
    </row>
    <row r="5541">
      <c r="A5541" s="3" t="s">
        <v>17166</v>
      </c>
      <c r="B5541" s="3" t="s">
        <v>202</v>
      </c>
      <c r="C5541" s="3" t="s">
        <v>1342</v>
      </c>
      <c r="D5541" s="3" t="s">
        <v>68</v>
      </c>
      <c r="E5541" s="3" t="s">
        <v>100</v>
      </c>
      <c r="F5541" s="3" t="s">
        <v>2067</v>
      </c>
      <c r="G5541" s="7">
        <v>46145.00741678726</v>
      </c>
    </row>
    <row r="5542">
      <c r="A5542" s="3" t="s">
        <v>17168</v>
      </c>
      <c r="B5542" s="3" t="s">
        <v>455</v>
      </c>
      <c r="C5542" s="3" t="s">
        <v>1095</v>
      </c>
      <c r="D5542" s="3" t="s">
        <v>68</v>
      </c>
      <c r="E5542" s="3" t="s">
        <v>100</v>
      </c>
      <c r="F5542" s="3" t="s">
        <v>1929</v>
      </c>
      <c r="G5542" s="7">
        <v>46145.07859163268</v>
      </c>
    </row>
    <row r="5543">
      <c r="A5543" s="3" t="s">
        <v>17170</v>
      </c>
      <c r="B5543" s="3" t="s">
        <v>969</v>
      </c>
      <c r="C5543" s="3" t="s">
        <v>56</v>
      </c>
      <c r="D5543" s="3" t="s">
        <v>68</v>
      </c>
      <c r="E5543" s="3" t="s">
        <v>100</v>
      </c>
      <c r="F5543" s="3" t="s">
        <v>2088</v>
      </c>
      <c r="G5543" s="7">
        <v>46145.1497664781</v>
      </c>
    </row>
    <row r="5544">
      <c r="A5544" s="3" t="s">
        <v>17173</v>
      </c>
      <c r="B5544" s="3" t="s">
        <v>493</v>
      </c>
      <c r="C5544" s="3" t="s">
        <v>56</v>
      </c>
      <c r="D5544" s="3" t="s">
        <v>68</v>
      </c>
      <c r="E5544" s="3" t="s">
        <v>100</v>
      </c>
      <c r="F5544" s="3" t="s">
        <v>2091</v>
      </c>
      <c r="G5544" s="7">
        <v>46145.2209413235</v>
      </c>
    </row>
    <row r="5545">
      <c r="A5545" s="3" t="s">
        <v>17176</v>
      </c>
      <c r="B5545" s="3" t="s">
        <v>650</v>
      </c>
      <c r="C5545" s="3" t="s">
        <v>1342</v>
      </c>
      <c r="D5545" s="3" t="s">
        <v>68</v>
      </c>
      <c r="E5545" s="3" t="s">
        <v>100</v>
      </c>
      <c r="F5545" s="3" t="s">
        <v>2074</v>
      </c>
      <c r="G5545" s="7">
        <v>46145.29211616892</v>
      </c>
    </row>
    <row r="5546">
      <c r="A5546" s="3" t="s">
        <v>17179</v>
      </c>
      <c r="B5546" s="3" t="s">
        <v>202</v>
      </c>
      <c r="C5546" s="3" t="s">
        <v>1342</v>
      </c>
      <c r="D5546" s="3" t="s">
        <v>68</v>
      </c>
      <c r="E5546" s="3" t="s">
        <v>100</v>
      </c>
      <c r="F5546" s="3" t="s">
        <v>2067</v>
      </c>
      <c r="G5546" s="7">
        <v>46145.363291014335</v>
      </c>
    </row>
    <row r="5547">
      <c r="A5547" s="3" t="s">
        <v>17183</v>
      </c>
      <c r="B5547" s="3" t="s">
        <v>204</v>
      </c>
      <c r="C5547" s="3" t="s">
        <v>1342</v>
      </c>
      <c r="D5547" s="3" t="s">
        <v>68</v>
      </c>
      <c r="E5547" s="3" t="s">
        <v>100</v>
      </c>
      <c r="F5547" s="3" t="s">
        <v>1694</v>
      </c>
      <c r="G5547" s="7">
        <v>46145.434465859755</v>
      </c>
    </row>
    <row r="5548">
      <c r="A5548" s="3" t="s">
        <v>17187</v>
      </c>
      <c r="B5548" s="3" t="s">
        <v>193</v>
      </c>
      <c r="C5548" s="3" t="s">
        <v>1095</v>
      </c>
      <c r="D5548" s="3" t="s">
        <v>68</v>
      </c>
      <c r="E5548" s="3" t="s">
        <v>100</v>
      </c>
      <c r="F5548" s="3" t="s">
        <v>1416</v>
      </c>
      <c r="G5548" s="7">
        <v>46145.50564070517</v>
      </c>
    </row>
    <row r="5549">
      <c r="A5549" s="3" t="s">
        <v>17190</v>
      </c>
      <c r="B5549" s="3" t="s">
        <v>388</v>
      </c>
      <c r="C5549" s="3" t="s">
        <v>1342</v>
      </c>
      <c r="D5549" s="3" t="s">
        <v>68</v>
      </c>
      <c r="E5549" s="3" t="s">
        <v>100</v>
      </c>
      <c r="F5549" s="3" t="s">
        <v>1232</v>
      </c>
      <c r="G5549" s="7">
        <v>46145.57681555059</v>
      </c>
    </row>
    <row r="5550">
      <c r="A5550" s="3" t="s">
        <v>17193</v>
      </c>
      <c r="B5550" s="3" t="s">
        <v>929</v>
      </c>
      <c r="C5550" s="3" t="s">
        <v>1095</v>
      </c>
      <c r="D5550" s="3" t="s">
        <v>68</v>
      </c>
      <c r="E5550" s="3" t="s">
        <v>100</v>
      </c>
      <c r="F5550" s="3" t="s">
        <v>1168</v>
      </c>
      <c r="G5550" s="7">
        <v>46145.64799039599</v>
      </c>
    </row>
    <row r="5551">
      <c r="A5551" s="3" t="s">
        <v>17196</v>
      </c>
      <c r="B5551" s="3" t="s">
        <v>694</v>
      </c>
      <c r="C5551" s="3" t="s">
        <v>1342</v>
      </c>
      <c r="D5551" s="3" t="s">
        <v>68</v>
      </c>
      <c r="E5551" s="3" t="s">
        <v>100</v>
      </c>
      <c r="F5551" s="3" t="s">
        <v>1779</v>
      </c>
      <c r="G5551" s="7">
        <v>46145.71916524141</v>
      </c>
    </row>
    <row r="5552">
      <c r="A5552" s="3" t="s">
        <v>17200</v>
      </c>
      <c r="B5552" s="3" t="s">
        <v>341</v>
      </c>
      <c r="C5552" s="3" t="s">
        <v>56</v>
      </c>
      <c r="D5552" s="3" t="s">
        <v>68</v>
      </c>
      <c r="E5552" s="3" t="s">
        <v>100</v>
      </c>
      <c r="F5552" s="3" t="s">
        <v>2093</v>
      </c>
      <c r="G5552" s="7">
        <v>46145.79034008683</v>
      </c>
    </row>
    <row r="5553">
      <c r="A5553" s="3" t="s">
        <v>17204</v>
      </c>
      <c r="B5553" s="3" t="s">
        <v>848</v>
      </c>
      <c r="C5553" s="3" t="s">
        <v>56</v>
      </c>
      <c r="D5553" s="3" t="s">
        <v>68</v>
      </c>
      <c r="E5553" s="3" t="s">
        <v>100</v>
      </c>
      <c r="F5553" s="3" t="s">
        <v>2096</v>
      </c>
      <c r="G5553" s="7">
        <v>46145.86151493224</v>
      </c>
    </row>
    <row r="5554">
      <c r="A5554" s="3" t="s">
        <v>17207</v>
      </c>
      <c r="B5554" s="3" t="s">
        <v>708</v>
      </c>
      <c r="C5554" s="3" t="s">
        <v>1342</v>
      </c>
      <c r="D5554" s="3" t="s">
        <v>68</v>
      </c>
      <c r="E5554" s="3" t="s">
        <v>100</v>
      </c>
      <c r="F5554" s="3" t="s">
        <v>2041</v>
      </c>
      <c r="G5554" s="7">
        <v>46145.932689777655</v>
      </c>
    </row>
    <row r="5555">
      <c r="A5555" s="3" t="s">
        <v>17210</v>
      </c>
      <c r="B5555" s="3" t="s">
        <v>527</v>
      </c>
      <c r="C5555" s="3" t="s">
        <v>56</v>
      </c>
      <c r="D5555" s="3" t="s">
        <v>68</v>
      </c>
      <c r="E5555" s="3" t="s">
        <v>100</v>
      </c>
      <c r="F5555" s="3" t="s">
        <v>2099</v>
      </c>
      <c r="G5555" s="7">
        <v>46146.003864623075</v>
      </c>
    </row>
    <row r="5556">
      <c r="A5556" s="3" t="s">
        <v>17215</v>
      </c>
      <c r="B5556" s="3" t="s">
        <v>746</v>
      </c>
      <c r="C5556" s="3" t="s">
        <v>56</v>
      </c>
      <c r="D5556" s="3" t="s">
        <v>68</v>
      </c>
      <c r="E5556" s="3" t="s">
        <v>100</v>
      </c>
      <c r="F5556" s="3" t="s">
        <v>2103</v>
      </c>
      <c r="G5556" s="7">
        <v>46146.07503946849</v>
      </c>
    </row>
    <row r="5557">
      <c r="A5557" s="3" t="s">
        <v>17218</v>
      </c>
      <c r="B5557" s="3" t="s">
        <v>202</v>
      </c>
      <c r="C5557" s="3" t="s">
        <v>1095</v>
      </c>
      <c r="D5557" s="3" t="s">
        <v>68</v>
      </c>
      <c r="E5557" s="3" t="s">
        <v>100</v>
      </c>
      <c r="F5557" s="3" t="s">
        <v>2067</v>
      </c>
      <c r="G5557" s="7">
        <v>46146.1462143139</v>
      </c>
    </row>
    <row r="5558">
      <c r="A5558" s="3" t="s">
        <v>17221</v>
      </c>
      <c r="B5558" s="3" t="s">
        <v>816</v>
      </c>
      <c r="C5558" s="3" t="s">
        <v>1095</v>
      </c>
      <c r="D5558" s="3" t="s">
        <v>68</v>
      </c>
      <c r="E5558" s="3" t="s">
        <v>100</v>
      </c>
      <c r="F5558" s="3" t="s">
        <v>1820</v>
      </c>
      <c r="G5558" s="7">
        <v>46146.21738915932</v>
      </c>
    </row>
    <row r="5559">
      <c r="A5559" s="3" t="s">
        <v>17224</v>
      </c>
      <c r="B5559" s="3" t="s">
        <v>949</v>
      </c>
      <c r="C5559" s="3" t="s">
        <v>1342</v>
      </c>
      <c r="D5559" s="3" t="s">
        <v>68</v>
      </c>
      <c r="E5559" s="3" t="s">
        <v>100</v>
      </c>
      <c r="F5559" s="3" t="s">
        <v>1887</v>
      </c>
      <c r="G5559" s="7">
        <v>46146.28856400474</v>
      </c>
    </row>
    <row r="5560">
      <c r="A5560" s="3" t="s">
        <v>17229</v>
      </c>
      <c r="B5560" s="3" t="s">
        <v>276</v>
      </c>
      <c r="C5560" s="3" t="s">
        <v>1342</v>
      </c>
      <c r="D5560" s="3" t="s">
        <v>68</v>
      </c>
      <c r="E5560" s="3" t="s">
        <v>100</v>
      </c>
      <c r="F5560" s="3" t="s">
        <v>2062</v>
      </c>
      <c r="G5560" s="7">
        <v>46146.359738850144</v>
      </c>
    </row>
    <row r="5561">
      <c r="A5561" s="3" t="s">
        <v>17232</v>
      </c>
      <c r="B5561" s="3" t="s">
        <v>536</v>
      </c>
      <c r="C5561" s="3" t="s">
        <v>1342</v>
      </c>
      <c r="D5561" s="3" t="s">
        <v>68</v>
      </c>
      <c r="E5561" s="3" t="s">
        <v>100</v>
      </c>
      <c r="F5561" s="3" t="s">
        <v>1848</v>
      </c>
      <c r="G5561" s="7">
        <v>46146.43091369556</v>
      </c>
    </row>
    <row r="5562">
      <c r="A5562" s="3" t="s">
        <v>17235</v>
      </c>
      <c r="B5562" s="3" t="s">
        <v>717</v>
      </c>
      <c r="C5562" s="3" t="s">
        <v>1342</v>
      </c>
      <c r="D5562" s="3" t="s">
        <v>181</v>
      </c>
      <c r="E5562" s="3" t="s">
        <v>45</v>
      </c>
      <c r="F5562" s="3" t="s">
        <v>1640</v>
      </c>
      <c r="G5562" s="7">
        <v>46146.50208854098</v>
      </c>
    </row>
    <row r="5563">
      <c r="A5563" s="3" t="s">
        <v>17239</v>
      </c>
      <c r="B5563" s="3" t="s">
        <v>466</v>
      </c>
      <c r="C5563" s="3" t="s">
        <v>1342</v>
      </c>
      <c r="D5563" s="3" t="s">
        <v>68</v>
      </c>
      <c r="E5563" s="3" t="s">
        <v>100</v>
      </c>
      <c r="F5563" s="3" t="s">
        <v>2079</v>
      </c>
      <c r="G5563" s="7">
        <v>46146.573263386395</v>
      </c>
    </row>
    <row r="5564">
      <c r="A5564" s="3" t="s">
        <v>17242</v>
      </c>
      <c r="B5564" s="3" t="s">
        <v>913</v>
      </c>
      <c r="C5564" s="3" t="s">
        <v>1342</v>
      </c>
      <c r="D5564" s="3" t="s">
        <v>68</v>
      </c>
      <c r="E5564" s="3" t="s">
        <v>100</v>
      </c>
      <c r="F5564" s="3" t="s">
        <v>1728</v>
      </c>
      <c r="G5564" s="7">
        <v>46146.64443823181</v>
      </c>
    </row>
    <row r="5565">
      <c r="A5565" s="3" t="s">
        <v>17246</v>
      </c>
      <c r="B5565" s="3" t="s">
        <v>727</v>
      </c>
      <c r="C5565" s="3" t="s">
        <v>56</v>
      </c>
      <c r="D5565" s="3" t="s">
        <v>181</v>
      </c>
      <c r="E5565" s="3" t="s">
        <v>45</v>
      </c>
      <c r="F5565" s="3" t="s">
        <v>45</v>
      </c>
      <c r="G5565" s="7">
        <v>46146.71561307723</v>
      </c>
    </row>
    <row r="5566">
      <c r="A5566" s="3" t="s">
        <v>17249</v>
      </c>
      <c r="B5566" s="3" t="s">
        <v>752</v>
      </c>
      <c r="C5566" s="3" t="s">
        <v>56</v>
      </c>
      <c r="D5566" s="3" t="s">
        <v>68</v>
      </c>
      <c r="E5566" s="3" t="s">
        <v>100</v>
      </c>
      <c r="F5566" s="3" t="s">
        <v>2105</v>
      </c>
      <c r="G5566" s="7">
        <v>46146.78678792264</v>
      </c>
    </row>
    <row r="5567">
      <c r="A5567" s="3" t="s">
        <v>17253</v>
      </c>
      <c r="B5567" s="3" t="s">
        <v>236</v>
      </c>
      <c r="C5567" s="3" t="s">
        <v>1342</v>
      </c>
      <c r="D5567" s="3" t="s">
        <v>68</v>
      </c>
      <c r="E5567" s="3" t="s">
        <v>100</v>
      </c>
      <c r="F5567" s="3" t="s">
        <v>1641</v>
      </c>
      <c r="G5567" s="7">
        <v>46146.85796276805</v>
      </c>
    </row>
    <row r="5568">
      <c r="A5568" s="3" t="s">
        <v>17257</v>
      </c>
      <c r="B5568" s="3" t="s">
        <v>322</v>
      </c>
      <c r="C5568" s="3" t="s">
        <v>1095</v>
      </c>
      <c r="D5568" s="3" t="s">
        <v>68</v>
      </c>
      <c r="E5568" s="3" t="s">
        <v>100</v>
      </c>
      <c r="F5568" s="3" t="s">
        <v>1772</v>
      </c>
      <c r="G5568" s="7">
        <v>46146.92913761347</v>
      </c>
    </row>
    <row r="5569">
      <c r="A5569" s="3" t="s">
        <v>17262</v>
      </c>
      <c r="B5569" s="3" t="s">
        <v>650</v>
      </c>
      <c r="C5569" s="3" t="s">
        <v>1342</v>
      </c>
      <c r="D5569" s="3" t="s">
        <v>68</v>
      </c>
      <c r="E5569" s="3" t="s">
        <v>100</v>
      </c>
      <c r="F5569" s="3" t="s">
        <v>2074</v>
      </c>
      <c r="G5569" s="7">
        <v>46147.000312458884</v>
      </c>
    </row>
    <row r="5570">
      <c r="A5570" s="3" t="s">
        <v>17264</v>
      </c>
      <c r="B5570" s="3" t="s">
        <v>468</v>
      </c>
      <c r="C5570" s="3" t="s">
        <v>1342</v>
      </c>
      <c r="D5570" s="3" t="s">
        <v>68</v>
      </c>
      <c r="E5570" s="3" t="s">
        <v>100</v>
      </c>
      <c r="F5570" s="3" t="s">
        <v>2023</v>
      </c>
      <c r="G5570" s="7">
        <v>46147.071487304296</v>
      </c>
    </row>
    <row r="5571">
      <c r="A5571" s="3" t="s">
        <v>17265</v>
      </c>
      <c r="B5571" s="3" t="s">
        <v>947</v>
      </c>
      <c r="C5571" s="3" t="s">
        <v>56</v>
      </c>
      <c r="D5571" s="3" t="s">
        <v>181</v>
      </c>
      <c r="E5571" s="3" t="s">
        <v>45</v>
      </c>
      <c r="F5571" s="3" t="s">
        <v>45</v>
      </c>
      <c r="G5571" s="7">
        <v>46147.142662149716</v>
      </c>
    </row>
    <row r="5572">
      <c r="A5572" s="3" t="s">
        <v>17267</v>
      </c>
      <c r="B5572" s="3" t="s">
        <v>1040</v>
      </c>
      <c r="C5572" s="3" t="s">
        <v>56</v>
      </c>
      <c r="D5572" s="3" t="s">
        <v>68</v>
      </c>
      <c r="E5572" s="3" t="s">
        <v>100</v>
      </c>
      <c r="F5572" s="3" t="s">
        <v>2108</v>
      </c>
      <c r="G5572" s="7">
        <v>46147.21383699513</v>
      </c>
    </row>
    <row r="5573">
      <c r="A5573" s="3" t="s">
        <v>17269</v>
      </c>
      <c r="B5573" s="3" t="s">
        <v>877</v>
      </c>
      <c r="C5573" s="3" t="s">
        <v>1342</v>
      </c>
      <c r="D5573" s="3" t="s">
        <v>68</v>
      </c>
      <c r="E5573" s="3" t="s">
        <v>100</v>
      </c>
      <c r="F5573" s="3" t="s">
        <v>1824</v>
      </c>
      <c r="G5573" s="7">
        <v>46147.28501184054</v>
      </c>
    </row>
    <row r="5574">
      <c r="A5574" s="3" t="s">
        <v>17272</v>
      </c>
      <c r="B5574" s="3" t="s">
        <v>632</v>
      </c>
      <c r="C5574" s="3" t="s">
        <v>1342</v>
      </c>
      <c r="D5574" s="3" t="s">
        <v>68</v>
      </c>
      <c r="E5574" s="3" t="s">
        <v>100</v>
      </c>
      <c r="F5574" s="3" t="s">
        <v>1763</v>
      </c>
      <c r="G5574" s="7">
        <v>46147.35618668596</v>
      </c>
    </row>
    <row r="5575">
      <c r="A5575" s="3" t="s">
        <v>17276</v>
      </c>
      <c r="B5575" s="3" t="s">
        <v>535</v>
      </c>
      <c r="C5575" s="3" t="s">
        <v>1342</v>
      </c>
      <c r="D5575" s="3" t="s">
        <v>68</v>
      </c>
      <c r="E5575" s="3" t="s">
        <v>100</v>
      </c>
      <c r="F5575" s="3" t="s">
        <v>1467</v>
      </c>
      <c r="G5575" s="7">
        <v>46147.42736153138</v>
      </c>
    </row>
    <row r="5576">
      <c r="A5576" s="3" t="s">
        <v>17279</v>
      </c>
      <c r="B5576" s="3" t="s">
        <v>793</v>
      </c>
      <c r="C5576" s="3" t="s">
        <v>1342</v>
      </c>
      <c r="D5576" s="3" t="s">
        <v>68</v>
      </c>
      <c r="E5576" s="3" t="s">
        <v>100</v>
      </c>
      <c r="F5576" s="3" t="s">
        <v>1429</v>
      </c>
      <c r="G5576" s="7">
        <v>46147.498536376785</v>
      </c>
    </row>
    <row r="5577">
      <c r="A5577" s="3" t="s">
        <v>17282</v>
      </c>
      <c r="B5577" s="3" t="s">
        <v>419</v>
      </c>
      <c r="C5577" s="3" t="s">
        <v>56</v>
      </c>
      <c r="D5577" s="3" t="s">
        <v>68</v>
      </c>
      <c r="E5577" s="3" t="s">
        <v>100</v>
      </c>
      <c r="F5577" s="3" t="s">
        <v>2111</v>
      </c>
      <c r="G5577" s="7">
        <v>46147.569711222204</v>
      </c>
    </row>
    <row r="5578">
      <c r="A5578" s="3" t="s">
        <v>17287</v>
      </c>
      <c r="B5578" s="3" t="s">
        <v>632</v>
      </c>
      <c r="C5578" s="3" t="s">
        <v>1342</v>
      </c>
      <c r="D5578" s="3" t="s">
        <v>68</v>
      </c>
      <c r="E5578" s="3" t="s">
        <v>100</v>
      </c>
      <c r="F5578" s="3" t="s">
        <v>1763</v>
      </c>
      <c r="G5578" s="7">
        <v>46147.640886067624</v>
      </c>
    </row>
    <row r="5579">
      <c r="A5579" s="3" t="s">
        <v>17290</v>
      </c>
      <c r="B5579" s="3" t="s">
        <v>290</v>
      </c>
      <c r="C5579" s="3" t="s">
        <v>1342</v>
      </c>
      <c r="D5579" s="3" t="s">
        <v>68</v>
      </c>
      <c r="E5579" s="3" t="s">
        <v>100</v>
      </c>
      <c r="F5579" s="3" t="s">
        <v>1356</v>
      </c>
      <c r="G5579" s="7">
        <v>46147.712060913036</v>
      </c>
    </row>
    <row r="5580">
      <c r="A5580" s="3" t="s">
        <v>17293</v>
      </c>
      <c r="B5580" s="3" t="s">
        <v>391</v>
      </c>
      <c r="C5580" s="3" t="s">
        <v>1342</v>
      </c>
      <c r="D5580" s="3" t="s">
        <v>68</v>
      </c>
      <c r="E5580" s="3" t="s">
        <v>100</v>
      </c>
      <c r="F5580" s="3" t="s">
        <v>1762</v>
      </c>
      <c r="G5580" s="7">
        <v>46147.78323575845</v>
      </c>
    </row>
    <row r="5581">
      <c r="A5581" s="3" t="s">
        <v>17297</v>
      </c>
      <c r="B5581" s="3" t="s">
        <v>1001</v>
      </c>
      <c r="C5581" s="3" t="s">
        <v>1095</v>
      </c>
      <c r="D5581" s="3" t="s">
        <v>68</v>
      </c>
      <c r="E5581" s="3" t="s">
        <v>100</v>
      </c>
      <c r="F5581" s="3" t="s">
        <v>1670</v>
      </c>
      <c r="G5581" s="7">
        <v>46147.85441060387</v>
      </c>
    </row>
    <row r="5582">
      <c r="A5582" s="3" t="s">
        <v>17301</v>
      </c>
      <c r="B5582" s="3" t="s">
        <v>778</v>
      </c>
      <c r="C5582" s="3" t="s">
        <v>1342</v>
      </c>
      <c r="D5582" s="3" t="s">
        <v>68</v>
      </c>
      <c r="E5582" s="3" t="s">
        <v>100</v>
      </c>
      <c r="F5582" s="3" t="s">
        <v>1852</v>
      </c>
      <c r="G5582" s="7">
        <v>46147.92558544928</v>
      </c>
    </row>
    <row r="5583">
      <c r="A5583" s="3" t="s">
        <v>17304</v>
      </c>
      <c r="B5583" s="3" t="s">
        <v>269</v>
      </c>
      <c r="C5583" s="3" t="s">
        <v>56</v>
      </c>
      <c r="D5583" s="3" t="s">
        <v>68</v>
      </c>
      <c r="E5583" s="3" t="s">
        <v>100</v>
      </c>
      <c r="F5583" s="3" t="s">
        <v>2113</v>
      </c>
      <c r="G5583" s="7">
        <v>46147.99676029469</v>
      </c>
    </row>
    <row r="5584">
      <c r="A5584" s="3" t="s">
        <v>17306</v>
      </c>
      <c r="B5584" s="3" t="s">
        <v>391</v>
      </c>
      <c r="C5584" s="3" t="s">
        <v>1342</v>
      </c>
      <c r="D5584" s="3" t="s">
        <v>68</v>
      </c>
      <c r="E5584" s="3" t="s">
        <v>100</v>
      </c>
      <c r="F5584" s="3" t="s">
        <v>1762</v>
      </c>
      <c r="G5584" s="7">
        <v>46148.06793514011</v>
      </c>
    </row>
    <row r="5585">
      <c r="A5585" s="3" t="s">
        <v>17309</v>
      </c>
      <c r="B5585" s="3" t="s">
        <v>404</v>
      </c>
      <c r="C5585" s="3" t="s">
        <v>56</v>
      </c>
      <c r="D5585" s="3" t="s">
        <v>68</v>
      </c>
      <c r="E5585" s="3" t="s">
        <v>100</v>
      </c>
      <c r="F5585" s="3" t="s">
        <v>2115</v>
      </c>
      <c r="G5585" s="7">
        <v>46148.13910998553</v>
      </c>
    </row>
    <row r="5586">
      <c r="A5586" s="3" t="s">
        <v>17314</v>
      </c>
      <c r="B5586" s="3" t="s">
        <v>253</v>
      </c>
      <c r="C5586" s="3" t="s">
        <v>1342</v>
      </c>
      <c r="D5586" s="3" t="s">
        <v>68</v>
      </c>
      <c r="E5586" s="3" t="s">
        <v>100</v>
      </c>
      <c r="F5586" s="3" t="s">
        <v>1483</v>
      </c>
      <c r="G5586" s="7">
        <v>46148.21028483094</v>
      </c>
    </row>
    <row r="5587">
      <c r="A5587" s="3" t="s">
        <v>17317</v>
      </c>
      <c r="B5587" s="3" t="s">
        <v>961</v>
      </c>
      <c r="C5587" s="3" t="s">
        <v>1342</v>
      </c>
      <c r="D5587" s="3" t="s">
        <v>68</v>
      </c>
      <c r="E5587" s="3" t="s">
        <v>100</v>
      </c>
      <c r="F5587" s="3" t="s">
        <v>2039</v>
      </c>
      <c r="G5587" s="7">
        <v>46148.28145967636</v>
      </c>
    </row>
    <row r="5588">
      <c r="A5588" s="3" t="s">
        <v>17320</v>
      </c>
      <c r="B5588" s="3" t="s">
        <v>886</v>
      </c>
      <c r="C5588" s="3" t="s">
        <v>1095</v>
      </c>
      <c r="D5588" s="3" t="s">
        <v>68</v>
      </c>
      <c r="E5588" s="3" t="s">
        <v>100</v>
      </c>
      <c r="F5588" s="3" t="s">
        <v>2083</v>
      </c>
      <c r="G5588" s="7">
        <v>46148.35263452177</v>
      </c>
    </row>
    <row r="5589">
      <c r="A5589" s="3" t="s">
        <v>17323</v>
      </c>
      <c r="B5589" s="3" t="s">
        <v>601</v>
      </c>
      <c r="C5589" s="3" t="s">
        <v>1095</v>
      </c>
      <c r="D5589" s="3" t="s">
        <v>68</v>
      </c>
      <c r="E5589" s="3" t="s">
        <v>100</v>
      </c>
      <c r="F5589" s="3" t="s">
        <v>954</v>
      </c>
      <c r="G5589" s="7">
        <v>46148.42380936719</v>
      </c>
    </row>
    <row r="5590">
      <c r="A5590" s="3" t="s">
        <v>17326</v>
      </c>
      <c r="B5590" s="3" t="s">
        <v>926</v>
      </c>
      <c r="C5590" s="3" t="s">
        <v>1095</v>
      </c>
      <c r="D5590" s="3" t="s">
        <v>68</v>
      </c>
      <c r="E5590" s="3" t="s">
        <v>100</v>
      </c>
      <c r="F5590" s="3" t="s">
        <v>2050</v>
      </c>
      <c r="G5590" s="7">
        <v>46148.4949842126</v>
      </c>
    </row>
    <row r="5591">
      <c r="A5591" s="3" t="s">
        <v>17330</v>
      </c>
      <c r="B5591" s="3" t="s">
        <v>505</v>
      </c>
      <c r="C5591" s="3" t="s">
        <v>1095</v>
      </c>
      <c r="D5591" s="3" t="s">
        <v>68</v>
      </c>
      <c r="E5591" s="3" t="s">
        <v>100</v>
      </c>
      <c r="F5591" s="3" t="s">
        <v>1766</v>
      </c>
      <c r="G5591" s="7">
        <v>46148.56615905802</v>
      </c>
    </row>
    <row r="5592">
      <c r="A5592" s="3" t="s">
        <v>17333</v>
      </c>
      <c r="B5592" s="3" t="s">
        <v>366</v>
      </c>
      <c r="C5592" s="3" t="s">
        <v>56</v>
      </c>
      <c r="D5592" s="3" t="s">
        <v>68</v>
      </c>
      <c r="E5592" s="3" t="s">
        <v>100</v>
      </c>
      <c r="F5592" s="3" t="s">
        <v>2118</v>
      </c>
      <c r="G5592" s="7">
        <v>46148.637333903425</v>
      </c>
    </row>
    <row r="5593">
      <c r="A5593" s="3" t="s">
        <v>17337</v>
      </c>
      <c r="B5593" s="3" t="s">
        <v>247</v>
      </c>
      <c r="C5593" s="3" t="s">
        <v>56</v>
      </c>
      <c r="D5593" s="3" t="s">
        <v>68</v>
      </c>
      <c r="E5593" s="3" t="s">
        <v>100</v>
      </c>
      <c r="F5593" s="3" t="s">
        <v>2120</v>
      </c>
      <c r="G5593" s="7">
        <v>46148.708508748845</v>
      </c>
    </row>
    <row r="5594">
      <c r="A5594" s="3" t="s">
        <v>17340</v>
      </c>
      <c r="B5594" s="3" t="s">
        <v>676</v>
      </c>
      <c r="C5594" s="3" t="s">
        <v>1342</v>
      </c>
      <c r="D5594" s="3" t="s">
        <v>68</v>
      </c>
      <c r="E5594" s="3" t="s">
        <v>100</v>
      </c>
      <c r="F5594" s="3" t="s">
        <v>1795</v>
      </c>
      <c r="G5594" s="7">
        <v>46148.779683594264</v>
      </c>
    </row>
    <row r="5595">
      <c r="A5595" s="3" t="s">
        <v>17344</v>
      </c>
      <c r="B5595" s="3" t="s">
        <v>976</v>
      </c>
      <c r="C5595" s="3" t="s">
        <v>1342</v>
      </c>
      <c r="D5595" s="3" t="s">
        <v>68</v>
      </c>
      <c r="E5595" s="3" t="s">
        <v>100</v>
      </c>
      <c r="F5595" s="3" t="s">
        <v>1103</v>
      </c>
      <c r="G5595" s="7">
        <v>46148.85085843968</v>
      </c>
    </row>
    <row r="5596">
      <c r="A5596" s="3" t="s">
        <v>17348</v>
      </c>
      <c r="B5596" s="3" t="s">
        <v>226</v>
      </c>
      <c r="C5596" s="3" t="s">
        <v>56</v>
      </c>
      <c r="D5596" s="3" t="s">
        <v>68</v>
      </c>
      <c r="E5596" s="3" t="s">
        <v>100</v>
      </c>
      <c r="F5596" s="3" t="s">
        <v>2123</v>
      </c>
      <c r="G5596" s="7">
        <v>46148.92203328509</v>
      </c>
    </row>
    <row r="5597">
      <c r="A5597" s="3" t="s">
        <v>17351</v>
      </c>
      <c r="B5597" s="3" t="s">
        <v>908</v>
      </c>
      <c r="C5597" s="3" t="s">
        <v>1342</v>
      </c>
      <c r="D5597" s="3" t="s">
        <v>68</v>
      </c>
      <c r="E5597" s="3" t="s">
        <v>100</v>
      </c>
      <c r="F5597" s="3" t="s">
        <v>1535</v>
      </c>
      <c r="G5597" s="7">
        <v>46148.99320813051</v>
      </c>
    </row>
    <row r="5598">
      <c r="A5598" s="3" t="s">
        <v>17354</v>
      </c>
      <c r="B5598" s="3" t="s">
        <v>629</v>
      </c>
      <c r="C5598" s="3" t="s">
        <v>1342</v>
      </c>
      <c r="D5598" s="3" t="s">
        <v>68</v>
      </c>
      <c r="E5598" s="3" t="s">
        <v>100</v>
      </c>
      <c r="F5598" s="3" t="s">
        <v>1850</v>
      </c>
      <c r="G5598" s="7">
        <v>46149.06438297592</v>
      </c>
    </row>
    <row r="5599">
      <c r="A5599" s="3" t="s">
        <v>17358</v>
      </c>
      <c r="B5599" s="3" t="s">
        <v>523</v>
      </c>
      <c r="C5599" s="3" t="s">
        <v>56</v>
      </c>
      <c r="D5599" s="3" t="s">
        <v>68</v>
      </c>
      <c r="E5599" s="3" t="s">
        <v>100</v>
      </c>
      <c r="F5599" s="3" t="s">
        <v>2126</v>
      </c>
      <c r="G5599" s="7">
        <v>46149.13555782133</v>
      </c>
    </row>
    <row r="5600">
      <c r="A5600" s="3" t="s">
        <v>17362</v>
      </c>
      <c r="B5600" s="3" t="s">
        <v>848</v>
      </c>
      <c r="C5600" s="3" t="s">
        <v>1342</v>
      </c>
      <c r="D5600" s="3" t="s">
        <v>68</v>
      </c>
      <c r="E5600" s="3" t="s">
        <v>100</v>
      </c>
      <c r="F5600" s="3" t="s">
        <v>2096</v>
      </c>
      <c r="G5600" s="7">
        <v>46149.20673266675</v>
      </c>
    </row>
    <row r="5601">
      <c r="A5601" s="3" t="s">
        <v>17365</v>
      </c>
      <c r="B5601" s="3" t="s">
        <v>468</v>
      </c>
      <c r="C5601" s="3" t="s">
        <v>1095</v>
      </c>
      <c r="D5601" s="3" t="s">
        <v>181</v>
      </c>
      <c r="E5601" s="3" t="s">
        <v>45</v>
      </c>
      <c r="F5601" s="3" t="s">
        <v>2023</v>
      </c>
      <c r="G5601" s="7">
        <v>46149.27790751217</v>
      </c>
    </row>
    <row r="5602">
      <c r="A5602" s="3" t="s">
        <v>17367</v>
      </c>
      <c r="B5602" s="3" t="s">
        <v>637</v>
      </c>
      <c r="C5602" s="3" t="s">
        <v>1095</v>
      </c>
      <c r="D5602" s="3" t="s">
        <v>68</v>
      </c>
      <c r="E5602" s="3" t="s">
        <v>100</v>
      </c>
      <c r="F5602" s="3" t="s">
        <v>1730</v>
      </c>
      <c r="G5602" s="7">
        <v>46149.34908235758</v>
      </c>
    </row>
    <row r="5603">
      <c r="A5603" s="3" t="s">
        <v>17370</v>
      </c>
      <c r="B5603" s="3" t="s">
        <v>694</v>
      </c>
      <c r="C5603" s="3" t="s">
        <v>1095</v>
      </c>
      <c r="D5603" s="3" t="s">
        <v>68</v>
      </c>
      <c r="E5603" s="3" t="s">
        <v>100</v>
      </c>
      <c r="F5603" s="3" t="s">
        <v>1779</v>
      </c>
      <c r="G5603" s="7">
        <v>46149.420257203</v>
      </c>
    </row>
    <row r="5604">
      <c r="A5604" s="3" t="s">
        <v>17374</v>
      </c>
      <c r="B5604" s="3" t="s">
        <v>830</v>
      </c>
      <c r="C5604" s="3" t="s">
        <v>1095</v>
      </c>
      <c r="D5604" s="3" t="s">
        <v>68</v>
      </c>
      <c r="E5604" s="3" t="s">
        <v>100</v>
      </c>
      <c r="F5604" s="3" t="s">
        <v>1472</v>
      </c>
      <c r="G5604" s="7">
        <v>46149.49143204841</v>
      </c>
    </row>
    <row r="5605">
      <c r="A5605" s="3" t="s">
        <v>17378</v>
      </c>
      <c r="B5605" s="3" t="s">
        <v>895</v>
      </c>
      <c r="C5605" s="3" t="s">
        <v>1095</v>
      </c>
      <c r="D5605" s="3" t="s">
        <v>68</v>
      </c>
      <c r="E5605" s="3" t="s">
        <v>100</v>
      </c>
      <c r="F5605" s="3" t="s">
        <v>1988</v>
      </c>
      <c r="G5605" s="7">
        <v>46149.56260689383</v>
      </c>
    </row>
    <row r="5606">
      <c r="A5606" s="3" t="s">
        <v>17381</v>
      </c>
      <c r="B5606" s="3" t="s">
        <v>742</v>
      </c>
      <c r="C5606" s="3" t="s">
        <v>1342</v>
      </c>
      <c r="D5606" s="3" t="s">
        <v>68</v>
      </c>
      <c r="E5606" s="3" t="s">
        <v>100</v>
      </c>
      <c r="F5606" s="3" t="s">
        <v>1666</v>
      </c>
      <c r="G5606" s="7">
        <v>46149.63378173924</v>
      </c>
    </row>
    <row r="5607">
      <c r="A5607" s="3" t="s">
        <v>17384</v>
      </c>
      <c r="B5607" s="3" t="s">
        <v>600</v>
      </c>
      <c r="C5607" s="3" t="s">
        <v>1342</v>
      </c>
      <c r="D5607" s="3" t="s">
        <v>68</v>
      </c>
      <c r="E5607" s="3" t="s">
        <v>100</v>
      </c>
      <c r="F5607" s="3" t="s">
        <v>1768</v>
      </c>
      <c r="G5607" s="7">
        <v>46149.70495658466</v>
      </c>
    </row>
    <row r="5608">
      <c r="A5608" s="3" t="s">
        <v>17387</v>
      </c>
      <c r="B5608" s="3" t="s">
        <v>591</v>
      </c>
      <c r="C5608" s="3" t="s">
        <v>1342</v>
      </c>
      <c r="D5608" s="3" t="s">
        <v>195</v>
      </c>
      <c r="E5608" s="3" t="s">
        <v>45</v>
      </c>
      <c r="F5608" s="3" t="s">
        <v>1173</v>
      </c>
      <c r="G5608" s="7">
        <v>46149.77613143007</v>
      </c>
    </row>
    <row r="5609">
      <c r="A5609" s="3" t="s">
        <v>17390</v>
      </c>
      <c r="B5609" s="3" t="s">
        <v>363</v>
      </c>
      <c r="C5609" s="3" t="s">
        <v>1342</v>
      </c>
      <c r="D5609" s="3" t="s">
        <v>68</v>
      </c>
      <c r="E5609" s="3" t="s">
        <v>100</v>
      </c>
      <c r="F5609" s="3" t="s">
        <v>1400</v>
      </c>
      <c r="G5609" s="7">
        <v>46149.847306275486</v>
      </c>
    </row>
    <row r="5610">
      <c r="A5610" s="3" t="s">
        <v>17394</v>
      </c>
      <c r="B5610" s="3" t="s">
        <v>496</v>
      </c>
      <c r="C5610" s="3" t="s">
        <v>1342</v>
      </c>
      <c r="D5610" s="3" t="s">
        <v>68</v>
      </c>
      <c r="E5610" s="3" t="s">
        <v>100</v>
      </c>
      <c r="F5610" s="3" t="s">
        <v>1424</v>
      </c>
      <c r="G5610" s="7">
        <v>46149.918481120905</v>
      </c>
    </row>
    <row r="5611">
      <c r="A5611" s="3" t="s">
        <v>17398</v>
      </c>
      <c r="B5611" s="3" t="s">
        <v>208</v>
      </c>
      <c r="C5611" s="3" t="s">
        <v>1342</v>
      </c>
      <c r="D5611" s="3" t="s">
        <v>68</v>
      </c>
      <c r="E5611" s="3" t="s">
        <v>100</v>
      </c>
      <c r="F5611" s="3" t="s">
        <v>1954</v>
      </c>
      <c r="G5611" s="7">
        <v>46149.98965596632</v>
      </c>
    </row>
    <row r="5612">
      <c r="A5612" s="3" t="s">
        <v>17399</v>
      </c>
      <c r="B5612" s="3" t="s">
        <v>949</v>
      </c>
      <c r="C5612" s="3" t="s">
        <v>1342</v>
      </c>
      <c r="D5612" s="3" t="s">
        <v>68</v>
      </c>
      <c r="E5612" s="3" t="s">
        <v>100</v>
      </c>
      <c r="F5612" s="3" t="s">
        <v>1887</v>
      </c>
      <c r="G5612" s="7">
        <v>46150.06083081173</v>
      </c>
    </row>
    <row r="5613">
      <c r="A5613" s="3" t="s">
        <v>17400</v>
      </c>
      <c r="B5613" s="3" t="s">
        <v>908</v>
      </c>
      <c r="C5613" s="3" t="s">
        <v>1342</v>
      </c>
      <c r="D5613" s="3" t="s">
        <v>68</v>
      </c>
      <c r="E5613" s="3" t="s">
        <v>100</v>
      </c>
      <c r="F5613" s="3" t="s">
        <v>1535</v>
      </c>
      <c r="G5613" s="7">
        <v>46150.13200565715</v>
      </c>
    </row>
    <row r="5614">
      <c r="A5614" s="3" t="s">
        <v>17403</v>
      </c>
      <c r="B5614" s="3" t="s">
        <v>643</v>
      </c>
      <c r="C5614" s="3" t="s">
        <v>1342</v>
      </c>
      <c r="D5614" s="3" t="s">
        <v>68</v>
      </c>
      <c r="E5614" s="3" t="s">
        <v>100</v>
      </c>
      <c r="F5614" s="3" t="s">
        <v>1570</v>
      </c>
      <c r="G5614" s="7">
        <v>46150.20318050256</v>
      </c>
    </row>
    <row r="5615">
      <c r="A5615" s="3" t="s">
        <v>17406</v>
      </c>
      <c r="B5615" s="3" t="s">
        <v>1021</v>
      </c>
      <c r="C5615" s="3" t="s">
        <v>1342</v>
      </c>
      <c r="D5615" s="3" t="s">
        <v>68</v>
      </c>
      <c r="E5615" s="3" t="s">
        <v>100</v>
      </c>
      <c r="F5615" s="3" t="s">
        <v>2037</v>
      </c>
      <c r="G5615" s="7">
        <v>46150.274355347974</v>
      </c>
    </row>
    <row r="5616">
      <c r="A5616" s="3" t="s">
        <v>17409</v>
      </c>
      <c r="B5616" s="3" t="s">
        <v>629</v>
      </c>
      <c r="C5616" s="3" t="s">
        <v>1342</v>
      </c>
      <c r="D5616" s="3" t="s">
        <v>68</v>
      </c>
      <c r="E5616" s="3" t="s">
        <v>100</v>
      </c>
      <c r="F5616" s="3" t="s">
        <v>1850</v>
      </c>
      <c r="G5616" s="7">
        <v>46150.345530193394</v>
      </c>
    </row>
    <row r="5617">
      <c r="A5617" s="3" t="s">
        <v>17412</v>
      </c>
      <c r="B5617" s="3" t="s">
        <v>330</v>
      </c>
      <c r="C5617" s="3" t="s">
        <v>1342</v>
      </c>
      <c r="D5617" s="3" t="s">
        <v>68</v>
      </c>
      <c r="E5617" s="3" t="s">
        <v>100</v>
      </c>
      <c r="F5617" s="3" t="s">
        <v>1587</v>
      </c>
      <c r="G5617" s="7">
        <v>46150.41670503881</v>
      </c>
    </row>
    <row r="5618">
      <c r="A5618" s="3" t="s">
        <v>17417</v>
      </c>
      <c r="B5618" s="3" t="s">
        <v>430</v>
      </c>
      <c r="C5618" s="3" t="s">
        <v>1342</v>
      </c>
      <c r="D5618" s="3" t="s">
        <v>68</v>
      </c>
      <c r="E5618" s="3" t="s">
        <v>100</v>
      </c>
      <c r="F5618" s="3" t="s">
        <v>1950</v>
      </c>
      <c r="G5618" s="7">
        <v>46150.48787988422</v>
      </c>
    </row>
    <row r="5619">
      <c r="A5619" s="3" t="s">
        <v>17420</v>
      </c>
      <c r="B5619" s="3" t="s">
        <v>293</v>
      </c>
      <c r="C5619" s="3" t="s">
        <v>56</v>
      </c>
      <c r="D5619" s="3" t="s">
        <v>68</v>
      </c>
      <c r="E5619" s="3" t="s">
        <v>100</v>
      </c>
      <c r="F5619" s="3" t="s">
        <v>477</v>
      </c>
      <c r="G5619" s="7">
        <v>46150.55905472964</v>
      </c>
    </row>
    <row r="5620">
      <c r="A5620" s="3" t="s">
        <v>17423</v>
      </c>
      <c r="B5620" s="3" t="s">
        <v>505</v>
      </c>
      <c r="C5620" s="3" t="s">
        <v>56</v>
      </c>
      <c r="D5620" s="3" t="s">
        <v>181</v>
      </c>
      <c r="E5620" s="3" t="s">
        <v>45</v>
      </c>
      <c r="F5620" s="3" t="s">
        <v>45</v>
      </c>
      <c r="G5620" s="7">
        <v>46150.63022957506</v>
      </c>
    </row>
    <row r="5621">
      <c r="A5621" s="3" t="s">
        <v>17425</v>
      </c>
      <c r="B5621" s="3" t="s">
        <v>481</v>
      </c>
      <c r="C5621" s="3" t="s">
        <v>56</v>
      </c>
      <c r="D5621" s="3" t="s">
        <v>68</v>
      </c>
      <c r="E5621" s="3" t="s">
        <v>100</v>
      </c>
      <c r="F5621" s="3" t="s">
        <v>483</v>
      </c>
      <c r="G5621" s="7">
        <v>46150.70140442047</v>
      </c>
    </row>
    <row r="5622">
      <c r="A5622" s="3" t="s">
        <v>17427</v>
      </c>
      <c r="B5622" s="3" t="s">
        <v>547</v>
      </c>
      <c r="C5622" s="3" t="s">
        <v>1095</v>
      </c>
      <c r="D5622" s="3" t="s">
        <v>68</v>
      </c>
      <c r="E5622" s="3" t="s">
        <v>100</v>
      </c>
      <c r="F5622" s="3" t="s">
        <v>1963</v>
      </c>
      <c r="G5622" s="7">
        <v>46150.77257926588</v>
      </c>
    </row>
    <row r="5623">
      <c r="A5623" s="3" t="s">
        <v>17430</v>
      </c>
      <c r="B5623" s="3" t="s">
        <v>698</v>
      </c>
      <c r="C5623" s="3" t="s">
        <v>56</v>
      </c>
      <c r="D5623" s="3" t="s">
        <v>68</v>
      </c>
      <c r="E5623" s="3" t="s">
        <v>100</v>
      </c>
      <c r="F5623" s="3" t="s">
        <v>490</v>
      </c>
      <c r="G5623" s="7">
        <v>46150.8437541113</v>
      </c>
    </row>
    <row r="5624">
      <c r="A5624" s="3" t="s">
        <v>17433</v>
      </c>
      <c r="B5624" s="3" t="s">
        <v>535</v>
      </c>
      <c r="C5624" s="3" t="s">
        <v>1342</v>
      </c>
      <c r="D5624" s="3" t="s">
        <v>195</v>
      </c>
      <c r="E5624" s="3" t="s">
        <v>45</v>
      </c>
      <c r="F5624" s="3" t="s">
        <v>1467</v>
      </c>
      <c r="G5624" s="7">
        <v>46150.914928956714</v>
      </c>
    </row>
    <row r="5625">
      <c r="A5625" s="3" t="s">
        <v>17434</v>
      </c>
      <c r="B5625" s="3" t="s">
        <v>488</v>
      </c>
      <c r="C5625" s="3" t="s">
        <v>56</v>
      </c>
      <c r="D5625" s="3" t="s">
        <v>68</v>
      </c>
      <c r="E5625" s="3" t="s">
        <v>100</v>
      </c>
      <c r="F5625" s="3" t="s">
        <v>495</v>
      </c>
      <c r="G5625" s="7">
        <v>46150.986103802126</v>
      </c>
    </row>
    <row r="5626">
      <c r="A5626" s="3" t="s">
        <v>17437</v>
      </c>
      <c r="B5626" s="3" t="s">
        <v>302</v>
      </c>
      <c r="C5626" s="3" t="s">
        <v>56</v>
      </c>
      <c r="D5626" s="3" t="s">
        <v>68</v>
      </c>
      <c r="E5626" s="3" t="s">
        <v>100</v>
      </c>
      <c r="F5626" s="3" t="s">
        <v>504</v>
      </c>
      <c r="G5626" s="7">
        <v>46151.057278647546</v>
      </c>
    </row>
    <row r="5627">
      <c r="A5627" s="3" t="s">
        <v>17441</v>
      </c>
      <c r="B5627" s="3" t="s">
        <v>559</v>
      </c>
      <c r="C5627" s="3" t="s">
        <v>56</v>
      </c>
      <c r="D5627" s="3" t="s">
        <v>68</v>
      </c>
      <c r="E5627" s="3" t="s">
        <v>100</v>
      </c>
      <c r="F5627" s="3" t="s">
        <v>509</v>
      </c>
      <c r="G5627" s="7">
        <v>46151.128453492965</v>
      </c>
    </row>
    <row r="5628">
      <c r="A5628" s="3" t="s">
        <v>17445</v>
      </c>
      <c r="B5628" s="3" t="s">
        <v>934</v>
      </c>
      <c r="C5628" s="3" t="s">
        <v>1342</v>
      </c>
      <c r="D5628" s="3" t="s">
        <v>68</v>
      </c>
      <c r="E5628" s="3" t="s">
        <v>100</v>
      </c>
      <c r="F5628" s="3" t="s">
        <v>1498</v>
      </c>
      <c r="G5628" s="7">
        <v>46151.19962833837</v>
      </c>
    </row>
    <row r="5629">
      <c r="A5629" s="3" t="s">
        <v>17448</v>
      </c>
      <c r="B5629" s="3" t="s">
        <v>373</v>
      </c>
      <c r="C5629" s="3" t="s">
        <v>1342</v>
      </c>
      <c r="D5629" s="3" t="s">
        <v>195</v>
      </c>
      <c r="E5629" s="3" t="s">
        <v>45</v>
      </c>
      <c r="F5629" s="3" t="s">
        <v>1676</v>
      </c>
      <c r="G5629" s="7">
        <v>46151.27080318379</v>
      </c>
    </row>
    <row r="5630">
      <c r="A5630" s="3" t="s">
        <v>17451</v>
      </c>
      <c r="B5630" s="3" t="s">
        <v>643</v>
      </c>
      <c r="C5630" s="3" t="s">
        <v>1342</v>
      </c>
      <c r="D5630" s="3" t="s">
        <v>68</v>
      </c>
      <c r="E5630" s="3" t="s">
        <v>100</v>
      </c>
      <c r="F5630" s="3" t="s">
        <v>1570</v>
      </c>
      <c r="G5630" s="7">
        <v>46151.3419780292</v>
      </c>
    </row>
    <row r="5631">
      <c r="A5631" s="3" t="s">
        <v>17454</v>
      </c>
      <c r="B5631" s="3" t="s">
        <v>710</v>
      </c>
      <c r="C5631" s="3" t="s">
        <v>56</v>
      </c>
      <c r="D5631" s="3" t="s">
        <v>68</v>
      </c>
      <c r="E5631" s="3" t="s">
        <v>100</v>
      </c>
      <c r="F5631" s="3" t="s">
        <v>518</v>
      </c>
      <c r="G5631" s="7">
        <v>46151.41315287462</v>
      </c>
    </row>
    <row r="5632">
      <c r="A5632" s="3" t="s">
        <v>17457</v>
      </c>
      <c r="B5632" s="3" t="s">
        <v>341</v>
      </c>
      <c r="C5632" s="3" t="s">
        <v>1095</v>
      </c>
      <c r="D5632" s="3" t="s">
        <v>68</v>
      </c>
      <c r="E5632" s="3" t="s">
        <v>100</v>
      </c>
      <c r="F5632" s="3" t="s">
        <v>2093</v>
      </c>
      <c r="G5632" s="7">
        <v>46151.484327720034</v>
      </c>
    </row>
    <row r="5633">
      <c r="A5633" s="3" t="s">
        <v>17459</v>
      </c>
      <c r="B5633" s="3" t="s">
        <v>596</v>
      </c>
      <c r="C5633" s="3" t="s">
        <v>1095</v>
      </c>
      <c r="D5633" s="3" t="s">
        <v>68</v>
      </c>
      <c r="E5633" s="3" t="s">
        <v>100</v>
      </c>
      <c r="F5633" s="3" t="s">
        <v>1268</v>
      </c>
      <c r="G5633" s="7">
        <v>46151.555502565454</v>
      </c>
    </row>
    <row r="5634">
      <c r="A5634" s="3" t="s">
        <v>17461</v>
      </c>
      <c r="B5634" s="3" t="s">
        <v>239</v>
      </c>
      <c r="C5634" s="3" t="s">
        <v>56</v>
      </c>
      <c r="D5634" s="3" t="s">
        <v>68</v>
      </c>
      <c r="E5634" s="3" t="s">
        <v>100</v>
      </c>
      <c r="F5634" s="3" t="s">
        <v>532</v>
      </c>
      <c r="G5634" s="7">
        <v>46151.62667741086</v>
      </c>
    </row>
    <row r="5635">
      <c r="A5635" s="3" t="s">
        <v>17464</v>
      </c>
      <c r="B5635" s="3" t="s">
        <v>440</v>
      </c>
      <c r="C5635" s="3" t="s">
        <v>1342</v>
      </c>
      <c r="D5635" s="3" t="s">
        <v>68</v>
      </c>
      <c r="E5635" s="3" t="s">
        <v>100</v>
      </c>
      <c r="F5635" s="3" t="s">
        <v>1863</v>
      </c>
      <c r="G5635" s="7">
        <v>46151.69785225628</v>
      </c>
    </row>
    <row r="5636">
      <c r="A5636" s="3" t="s">
        <v>17467</v>
      </c>
      <c r="B5636" s="3" t="s">
        <v>442</v>
      </c>
      <c r="C5636" s="3" t="s">
        <v>1342</v>
      </c>
      <c r="D5636" s="3" t="s">
        <v>68</v>
      </c>
      <c r="E5636" s="3" t="s">
        <v>100</v>
      </c>
      <c r="F5636" s="3" t="s">
        <v>2001</v>
      </c>
      <c r="G5636" s="7">
        <v>46151.7690271017</v>
      </c>
    </row>
    <row r="5637">
      <c r="A5637" s="3" t="s">
        <v>17471</v>
      </c>
      <c r="B5637" s="3" t="s">
        <v>770</v>
      </c>
      <c r="C5637" s="3" t="s">
        <v>1342</v>
      </c>
      <c r="D5637" s="3" t="s">
        <v>68</v>
      </c>
      <c r="E5637" s="3" t="s">
        <v>100</v>
      </c>
      <c r="F5637" s="3" t="s">
        <v>1408</v>
      </c>
      <c r="G5637" s="7">
        <v>46151.84020194711</v>
      </c>
    </row>
    <row r="5638">
      <c r="A5638" s="3" t="s">
        <v>17475</v>
      </c>
      <c r="B5638" s="3" t="s">
        <v>845</v>
      </c>
      <c r="C5638" s="3" t="s">
        <v>1095</v>
      </c>
      <c r="D5638" s="3" t="s">
        <v>68</v>
      </c>
      <c r="E5638" s="3" t="s">
        <v>100</v>
      </c>
      <c r="F5638" s="3" t="s">
        <v>1380</v>
      </c>
      <c r="G5638" s="7">
        <v>46151.91137679252</v>
      </c>
    </row>
    <row r="5639">
      <c r="A5639" s="3" t="s">
        <v>17478</v>
      </c>
      <c r="B5639" s="3" t="s">
        <v>366</v>
      </c>
      <c r="C5639" s="3" t="s">
        <v>1095</v>
      </c>
      <c r="D5639" s="3" t="s">
        <v>68</v>
      </c>
      <c r="E5639" s="3" t="s">
        <v>100</v>
      </c>
      <c r="F5639" s="3" t="s">
        <v>2118</v>
      </c>
      <c r="G5639" s="7">
        <v>46151.98255163794</v>
      </c>
    </row>
    <row r="5640">
      <c r="A5640" s="3" t="s">
        <v>17481</v>
      </c>
      <c r="B5640" s="3" t="s">
        <v>544</v>
      </c>
      <c r="C5640" s="3" t="s">
        <v>1095</v>
      </c>
      <c r="D5640" s="3" t="s">
        <v>68</v>
      </c>
      <c r="E5640" s="3" t="s">
        <v>100</v>
      </c>
      <c r="F5640" s="3" t="s">
        <v>1999</v>
      </c>
      <c r="G5640" s="7">
        <v>46152.053726483355</v>
      </c>
    </row>
    <row r="5641">
      <c r="A5641" s="3" t="s">
        <v>17485</v>
      </c>
      <c r="B5641" s="3" t="s">
        <v>913</v>
      </c>
      <c r="C5641" s="3" t="s">
        <v>1342</v>
      </c>
      <c r="D5641" s="3" t="s">
        <v>68</v>
      </c>
      <c r="E5641" s="3" t="s">
        <v>100</v>
      </c>
      <c r="F5641" s="3" t="s">
        <v>1728</v>
      </c>
      <c r="G5641" s="7">
        <v>46152.12490132877</v>
      </c>
    </row>
    <row r="5642">
      <c r="A5642" s="3" t="s">
        <v>17489</v>
      </c>
      <c r="B5642" s="3" t="s">
        <v>145</v>
      </c>
      <c r="C5642" s="3" t="s">
        <v>1342</v>
      </c>
      <c r="D5642" s="3" t="s">
        <v>68</v>
      </c>
      <c r="E5642" s="3" t="s">
        <v>100</v>
      </c>
      <c r="F5642" s="3" t="s">
        <v>1884</v>
      </c>
      <c r="G5642" s="7">
        <v>46152.19607617419</v>
      </c>
    </row>
    <row r="5643">
      <c r="A5643" s="3" t="s">
        <v>17492</v>
      </c>
      <c r="B5643" s="3" t="s">
        <v>130</v>
      </c>
      <c r="C5643" s="3" t="s">
        <v>56</v>
      </c>
      <c r="D5643" s="3" t="s">
        <v>68</v>
      </c>
      <c r="E5643" s="3" t="s">
        <v>100</v>
      </c>
      <c r="F5643" s="3" t="s">
        <v>538</v>
      </c>
      <c r="G5643" s="7">
        <v>46152.267251019606</v>
      </c>
    </row>
    <row r="5644">
      <c r="A5644" s="3" t="s">
        <v>17495</v>
      </c>
      <c r="B5644" s="3" t="s">
        <v>708</v>
      </c>
      <c r="C5644" s="3" t="s">
        <v>1342</v>
      </c>
      <c r="D5644" s="3" t="s">
        <v>68</v>
      </c>
      <c r="E5644" s="3" t="s">
        <v>100</v>
      </c>
      <c r="F5644" s="3" t="s">
        <v>2041</v>
      </c>
      <c r="G5644" s="7">
        <v>46152.33842586501</v>
      </c>
    </row>
    <row r="5645">
      <c r="A5645" s="3" t="s">
        <v>17497</v>
      </c>
      <c r="B5645" s="3" t="s">
        <v>805</v>
      </c>
      <c r="C5645" s="3" t="s">
        <v>1342</v>
      </c>
      <c r="D5645" s="3" t="s">
        <v>68</v>
      </c>
      <c r="E5645" s="3" t="s">
        <v>100</v>
      </c>
      <c r="F5645" s="3" t="s">
        <v>1951</v>
      </c>
      <c r="G5645" s="7">
        <v>46152.40960071043</v>
      </c>
    </row>
    <row r="5646">
      <c r="A5646" s="3" t="s">
        <v>17500</v>
      </c>
      <c r="B5646" s="3" t="s">
        <v>449</v>
      </c>
      <c r="C5646" s="3" t="s">
        <v>1342</v>
      </c>
      <c r="D5646" s="3" t="s">
        <v>68</v>
      </c>
      <c r="E5646" s="3" t="s">
        <v>100</v>
      </c>
      <c r="F5646" s="3" t="s">
        <v>1918</v>
      </c>
      <c r="G5646" s="7">
        <v>46152.48077555584</v>
      </c>
    </row>
    <row r="5647">
      <c r="A5647" s="3" t="s">
        <v>17502</v>
      </c>
      <c r="B5647" s="3" t="s">
        <v>669</v>
      </c>
      <c r="C5647" s="3" t="s">
        <v>1095</v>
      </c>
      <c r="D5647" s="3" t="s">
        <v>68</v>
      </c>
      <c r="E5647" s="3" t="s">
        <v>100</v>
      </c>
      <c r="F5647" s="3" t="s">
        <v>603</v>
      </c>
      <c r="G5647" s="7">
        <v>46152.55195040126</v>
      </c>
    </row>
    <row r="5648">
      <c r="A5648" s="3" t="s">
        <v>17505</v>
      </c>
      <c r="B5648" s="3" t="s">
        <v>290</v>
      </c>
      <c r="C5648" s="3" t="s">
        <v>1342</v>
      </c>
      <c r="D5648" s="3" t="s">
        <v>195</v>
      </c>
      <c r="E5648" s="3" t="s">
        <v>45</v>
      </c>
      <c r="F5648" s="3" t="s">
        <v>1356</v>
      </c>
      <c r="G5648" s="7">
        <v>46152.623125246675</v>
      </c>
    </row>
    <row r="5649">
      <c r="A5649" s="3" t="s">
        <v>17508</v>
      </c>
      <c r="B5649" s="3" t="s">
        <v>256</v>
      </c>
      <c r="C5649" s="3" t="s">
        <v>1342</v>
      </c>
      <c r="D5649" s="3" t="s">
        <v>68</v>
      </c>
      <c r="E5649" s="3" t="s">
        <v>100</v>
      </c>
      <c r="F5649" s="3" t="s">
        <v>1506</v>
      </c>
      <c r="G5649" s="7">
        <v>46152.694300092095</v>
      </c>
    </row>
    <row r="5650">
      <c r="A5650" s="3" t="s">
        <v>17513</v>
      </c>
      <c r="B5650" s="3" t="s">
        <v>527</v>
      </c>
      <c r="C5650" s="3" t="s">
        <v>1342</v>
      </c>
      <c r="D5650" s="3" t="s">
        <v>68</v>
      </c>
      <c r="E5650" s="3" t="s">
        <v>100</v>
      </c>
      <c r="F5650" s="3" t="s">
        <v>2099</v>
      </c>
      <c r="G5650" s="7">
        <v>46152.76547493751</v>
      </c>
    </row>
    <row r="5651">
      <c r="A5651" s="3" t="s">
        <v>17516</v>
      </c>
      <c r="B5651" s="3" t="s">
        <v>756</v>
      </c>
      <c r="C5651" s="3" t="s">
        <v>1342</v>
      </c>
      <c r="D5651" s="3" t="s">
        <v>68</v>
      </c>
      <c r="E5651" s="3" t="s">
        <v>100</v>
      </c>
      <c r="F5651" s="3" t="s">
        <v>1925</v>
      </c>
      <c r="G5651" s="7">
        <v>46152.83664978292</v>
      </c>
    </row>
    <row r="5652">
      <c r="A5652" s="3" t="s">
        <v>17519</v>
      </c>
      <c r="B5652" s="3" t="s">
        <v>622</v>
      </c>
      <c r="C5652" s="3" t="s">
        <v>1342</v>
      </c>
      <c r="D5652" s="3" t="s">
        <v>68</v>
      </c>
      <c r="E5652" s="3" t="s">
        <v>100</v>
      </c>
      <c r="F5652" s="3" t="s">
        <v>681</v>
      </c>
      <c r="G5652" s="7">
        <v>46152.90782462834</v>
      </c>
    </row>
    <row r="5653">
      <c r="A5653" s="3" t="s">
        <v>17522</v>
      </c>
      <c r="B5653" s="3" t="s">
        <v>366</v>
      </c>
      <c r="C5653" s="3" t="s">
        <v>56</v>
      </c>
      <c r="D5653" s="3" t="s">
        <v>68</v>
      </c>
      <c r="E5653" s="3" t="s">
        <v>100</v>
      </c>
      <c r="F5653" s="3" t="s">
        <v>549</v>
      </c>
      <c r="G5653" s="7">
        <v>46152.97899947375</v>
      </c>
    </row>
    <row r="5654">
      <c r="A5654" s="3" t="s">
        <v>17526</v>
      </c>
      <c r="B5654" s="3" t="s">
        <v>665</v>
      </c>
      <c r="C5654" s="3" t="s">
        <v>1095</v>
      </c>
      <c r="D5654" s="3" t="s">
        <v>68</v>
      </c>
      <c r="E5654" s="3" t="s">
        <v>100</v>
      </c>
      <c r="F5654" s="3" t="s">
        <v>1921</v>
      </c>
      <c r="G5654" s="7">
        <v>46153.05017431916</v>
      </c>
    </row>
    <row r="5655">
      <c r="A5655" s="3" t="s">
        <v>17528</v>
      </c>
      <c r="B5655" s="3" t="s">
        <v>145</v>
      </c>
      <c r="C5655" s="3" t="s">
        <v>1342</v>
      </c>
      <c r="D5655" s="3" t="s">
        <v>68</v>
      </c>
      <c r="E5655" s="3" t="s">
        <v>100</v>
      </c>
      <c r="F5655" s="3" t="s">
        <v>1884</v>
      </c>
      <c r="G5655" s="7">
        <v>46153.12134916458</v>
      </c>
    </row>
    <row r="5656">
      <c r="A5656" s="3" t="s">
        <v>17530</v>
      </c>
      <c r="B5656" s="3" t="s">
        <v>183</v>
      </c>
      <c r="C5656" s="3" t="s">
        <v>1095</v>
      </c>
      <c r="D5656" s="3" t="s">
        <v>68</v>
      </c>
      <c r="E5656" s="3" t="s">
        <v>100</v>
      </c>
      <c r="F5656" s="3" t="s">
        <v>1354</v>
      </c>
      <c r="G5656" s="7">
        <v>46153.192524009995</v>
      </c>
    </row>
    <row r="5657">
      <c r="A5657" s="3" t="s">
        <v>17533</v>
      </c>
      <c r="B5657" s="3" t="s">
        <v>987</v>
      </c>
      <c r="C5657" s="3" t="s">
        <v>56</v>
      </c>
      <c r="D5657" s="3" t="s">
        <v>68</v>
      </c>
      <c r="E5657" s="3" t="s">
        <v>100</v>
      </c>
      <c r="F5657" s="3" t="s">
        <v>553</v>
      </c>
      <c r="G5657" s="7">
        <v>46153.26369885541</v>
      </c>
    </row>
    <row r="5658">
      <c r="A5658" s="3" t="s">
        <v>17535</v>
      </c>
      <c r="B5658" s="3" t="s">
        <v>1011</v>
      </c>
      <c r="C5658" s="3" t="s">
        <v>1342</v>
      </c>
      <c r="D5658" s="3" t="s">
        <v>68</v>
      </c>
      <c r="E5658" s="3" t="s">
        <v>100</v>
      </c>
      <c r="F5658" s="3" t="s">
        <v>1329</v>
      </c>
      <c r="G5658" s="7">
        <v>46153.33487370083</v>
      </c>
    </row>
    <row r="5659">
      <c r="A5659" s="3" t="s">
        <v>17538</v>
      </c>
      <c r="B5659" s="3" t="s">
        <v>747</v>
      </c>
      <c r="C5659" s="3" t="s">
        <v>56</v>
      </c>
      <c r="D5659" s="3" t="s">
        <v>68</v>
      </c>
      <c r="E5659" s="3" t="s">
        <v>100</v>
      </c>
      <c r="F5659" s="3" t="s">
        <v>560</v>
      </c>
      <c r="G5659" s="7">
        <v>46153.40604854625</v>
      </c>
    </row>
    <row r="5660">
      <c r="A5660" s="3" t="s">
        <v>17541</v>
      </c>
      <c r="B5660" s="3" t="s">
        <v>219</v>
      </c>
      <c r="C5660" s="3" t="s">
        <v>1095</v>
      </c>
      <c r="D5660" s="3" t="s">
        <v>68</v>
      </c>
      <c r="E5660" s="3" t="s">
        <v>100</v>
      </c>
      <c r="F5660" s="3" t="s">
        <v>1076</v>
      </c>
      <c r="G5660" s="7">
        <v>46153.47722339165</v>
      </c>
    </row>
    <row r="5661">
      <c r="A5661" s="3" t="s">
        <v>17545</v>
      </c>
      <c r="B5661" s="3" t="s">
        <v>1049</v>
      </c>
      <c r="C5661" s="3" t="s">
        <v>1095</v>
      </c>
      <c r="D5661" s="3" t="s">
        <v>68</v>
      </c>
      <c r="E5661" s="3" t="s">
        <v>100</v>
      </c>
      <c r="F5661" s="3" t="s">
        <v>1966</v>
      </c>
      <c r="G5661" s="7">
        <v>46153.54839823707</v>
      </c>
    </row>
    <row r="5662">
      <c r="A5662" s="3" t="s">
        <v>17548</v>
      </c>
      <c r="B5662" s="3" t="s">
        <v>961</v>
      </c>
      <c r="C5662" s="3" t="s">
        <v>1095</v>
      </c>
      <c r="D5662" s="3" t="s">
        <v>68</v>
      </c>
      <c r="E5662" s="3" t="s">
        <v>100</v>
      </c>
      <c r="F5662" s="3" t="s">
        <v>2039</v>
      </c>
      <c r="G5662" s="7">
        <v>46153.61957308249</v>
      </c>
    </row>
    <row r="5663">
      <c r="A5663" s="3" t="s">
        <v>17552</v>
      </c>
      <c r="B5663" s="3" t="s">
        <v>424</v>
      </c>
      <c r="C5663" s="3" t="s">
        <v>56</v>
      </c>
      <c r="D5663" s="3" t="s">
        <v>68</v>
      </c>
      <c r="E5663" s="3" t="s">
        <v>100</v>
      </c>
      <c r="F5663" s="3" t="s">
        <v>568</v>
      </c>
      <c r="G5663" s="7">
        <v>46153.6907479279</v>
      </c>
    </row>
    <row r="5664">
      <c r="A5664" s="3" t="s">
        <v>17555</v>
      </c>
      <c r="B5664" s="3" t="s">
        <v>455</v>
      </c>
      <c r="C5664" s="3" t="s">
        <v>56</v>
      </c>
      <c r="D5664" s="3" t="s">
        <v>68</v>
      </c>
      <c r="E5664" s="3" t="s">
        <v>100</v>
      </c>
      <c r="F5664" s="3" t="s">
        <v>578</v>
      </c>
      <c r="G5664" s="7">
        <v>46153.761922773316</v>
      </c>
    </row>
    <row r="5665">
      <c r="A5665" s="3" t="s">
        <v>17558</v>
      </c>
      <c r="B5665" s="3" t="s">
        <v>685</v>
      </c>
      <c r="C5665" s="3" t="s">
        <v>1095</v>
      </c>
      <c r="D5665" s="3" t="s">
        <v>68</v>
      </c>
      <c r="E5665" s="3" t="s">
        <v>100</v>
      </c>
      <c r="F5665" s="3" t="s">
        <v>2024</v>
      </c>
      <c r="G5665" s="7">
        <v>46153.833097618735</v>
      </c>
    </row>
    <row r="5666">
      <c r="A5666" s="3" t="s">
        <v>17561</v>
      </c>
      <c r="B5666" s="3" t="s">
        <v>398</v>
      </c>
      <c r="C5666" s="3" t="s">
        <v>1095</v>
      </c>
      <c r="D5666" s="3" t="s">
        <v>68</v>
      </c>
      <c r="E5666" s="3" t="s">
        <v>100</v>
      </c>
      <c r="F5666" s="3" t="s">
        <v>1804</v>
      </c>
      <c r="G5666" s="7">
        <v>46153.90427246415</v>
      </c>
    </row>
    <row r="5667">
      <c r="A5667" s="3" t="s">
        <v>17564</v>
      </c>
      <c r="B5667" s="3" t="s">
        <v>704</v>
      </c>
      <c r="C5667" s="3" t="s">
        <v>56</v>
      </c>
      <c r="D5667" s="3" t="s">
        <v>68</v>
      </c>
      <c r="E5667" s="3" t="s">
        <v>100</v>
      </c>
      <c r="F5667" s="3" t="s">
        <v>583</v>
      </c>
      <c r="G5667" s="7">
        <v>46153.97544730956</v>
      </c>
    </row>
    <row r="5668">
      <c r="A5668" s="3" t="s">
        <v>17568</v>
      </c>
      <c r="B5668" s="3" t="s">
        <v>260</v>
      </c>
      <c r="C5668" s="3" t="s">
        <v>56</v>
      </c>
      <c r="D5668" s="3" t="s">
        <v>68</v>
      </c>
      <c r="E5668" s="3" t="s">
        <v>100</v>
      </c>
      <c r="F5668" s="3" t="s">
        <v>589</v>
      </c>
      <c r="G5668" s="7">
        <v>46154.04662215498</v>
      </c>
    </row>
    <row r="5669">
      <c r="A5669" s="3" t="s">
        <v>17570</v>
      </c>
      <c r="B5669" s="3" t="s">
        <v>591</v>
      </c>
      <c r="C5669" s="3" t="s">
        <v>1342</v>
      </c>
      <c r="D5669" s="3" t="s">
        <v>195</v>
      </c>
      <c r="E5669" s="3" t="s">
        <v>45</v>
      </c>
      <c r="F5669" s="3" t="s">
        <v>1173</v>
      </c>
      <c r="G5669" s="7">
        <v>46154.11779700039</v>
      </c>
    </row>
    <row r="5670">
      <c r="A5670" s="3" t="s">
        <v>17572</v>
      </c>
      <c r="B5670" s="3" t="s">
        <v>860</v>
      </c>
      <c r="C5670" s="3" t="s">
        <v>1342</v>
      </c>
      <c r="D5670" s="3" t="s">
        <v>68</v>
      </c>
      <c r="E5670" s="3" t="s">
        <v>100</v>
      </c>
      <c r="F5670" s="3" t="s">
        <v>2020</v>
      </c>
      <c r="G5670" s="7">
        <v>46154.188971845804</v>
      </c>
    </row>
    <row r="5671">
      <c r="A5671" s="3" t="s">
        <v>17575</v>
      </c>
      <c r="B5671" s="3" t="s">
        <v>612</v>
      </c>
      <c r="C5671" s="3" t="s">
        <v>56</v>
      </c>
      <c r="D5671" s="3" t="s">
        <v>68</v>
      </c>
      <c r="E5671" s="3" t="s">
        <v>100</v>
      </c>
      <c r="F5671" s="3" t="s">
        <v>595</v>
      </c>
      <c r="G5671" s="7">
        <v>46154.260146691224</v>
      </c>
    </row>
    <row r="5672">
      <c r="A5672" s="3" t="s">
        <v>17577</v>
      </c>
      <c r="B5672" s="3" t="s">
        <v>546</v>
      </c>
      <c r="C5672" s="3" t="s">
        <v>1342</v>
      </c>
      <c r="D5672" s="3" t="s">
        <v>68</v>
      </c>
      <c r="E5672" s="3" t="s">
        <v>100</v>
      </c>
      <c r="F5672" s="3" t="s">
        <v>2018</v>
      </c>
      <c r="G5672" s="7">
        <v>46154.331321536636</v>
      </c>
    </row>
    <row r="5673">
      <c r="A5673" s="3" t="s">
        <v>17579</v>
      </c>
      <c r="B5673" s="3" t="s">
        <v>479</v>
      </c>
      <c r="C5673" s="3" t="s">
        <v>1342</v>
      </c>
      <c r="D5673" s="3" t="s">
        <v>68</v>
      </c>
      <c r="E5673" s="3" t="s">
        <v>100</v>
      </c>
      <c r="F5673" s="3" t="s">
        <v>2032</v>
      </c>
      <c r="G5673" s="7">
        <v>46154.402496382056</v>
      </c>
    </row>
    <row r="5674">
      <c r="A5674" s="3" t="s">
        <v>17582</v>
      </c>
      <c r="B5674" s="3" t="s">
        <v>310</v>
      </c>
      <c r="C5674" s="3" t="s">
        <v>1342</v>
      </c>
      <c r="D5674" s="3" t="s">
        <v>68</v>
      </c>
      <c r="E5674" s="3" t="s">
        <v>100</v>
      </c>
      <c r="F5674" s="3" t="s">
        <v>1663</v>
      </c>
      <c r="G5674" s="7">
        <v>46154.47367122747</v>
      </c>
    </row>
    <row r="5675">
      <c r="A5675" s="3" t="s">
        <v>17585</v>
      </c>
      <c r="B5675" s="3" t="s">
        <v>616</v>
      </c>
      <c r="C5675" s="3" t="s">
        <v>1342</v>
      </c>
      <c r="D5675" s="3" t="s">
        <v>68</v>
      </c>
      <c r="E5675" s="3" t="s">
        <v>100</v>
      </c>
      <c r="F5675" s="3" t="s">
        <v>2077</v>
      </c>
      <c r="G5675" s="7">
        <v>46154.54484607289</v>
      </c>
    </row>
    <row r="5676">
      <c r="A5676" s="3" t="s">
        <v>17588</v>
      </c>
      <c r="B5676" s="3" t="s">
        <v>135</v>
      </c>
      <c r="C5676" s="3" t="s">
        <v>1342</v>
      </c>
      <c r="D5676" s="3" t="s">
        <v>68</v>
      </c>
      <c r="E5676" s="3" t="s">
        <v>100</v>
      </c>
      <c r="F5676" s="3" t="s">
        <v>2069</v>
      </c>
      <c r="G5676" s="7">
        <v>46154.61602091829</v>
      </c>
    </row>
    <row r="5677">
      <c r="A5677" s="3" t="s">
        <v>17590</v>
      </c>
      <c r="B5677" s="3" t="s">
        <v>253</v>
      </c>
      <c r="C5677" s="3" t="s">
        <v>1095</v>
      </c>
      <c r="D5677" s="3" t="s">
        <v>68</v>
      </c>
      <c r="E5677" s="3" t="s">
        <v>100</v>
      </c>
      <c r="F5677" s="3" t="s">
        <v>1483</v>
      </c>
      <c r="G5677" s="7">
        <v>46154.68719576371</v>
      </c>
    </row>
    <row r="5678">
      <c r="A5678" s="3" t="s">
        <v>17593</v>
      </c>
      <c r="B5678" s="3" t="s">
        <v>678</v>
      </c>
      <c r="C5678" s="3" t="s">
        <v>1342</v>
      </c>
      <c r="D5678" s="3" t="s">
        <v>68</v>
      </c>
      <c r="E5678" s="3" t="s">
        <v>100</v>
      </c>
      <c r="F5678" s="3" t="s">
        <v>1455</v>
      </c>
      <c r="G5678" s="7">
        <v>46154.75837060913</v>
      </c>
    </row>
    <row r="5679">
      <c r="A5679" s="3" t="s">
        <v>17597</v>
      </c>
      <c r="B5679" s="3" t="s">
        <v>168</v>
      </c>
      <c r="C5679" s="3" t="s">
        <v>1342</v>
      </c>
      <c r="D5679" s="3" t="s">
        <v>68</v>
      </c>
      <c r="E5679" s="3" t="s">
        <v>100</v>
      </c>
      <c r="F5679" s="3" t="s">
        <v>1979</v>
      </c>
      <c r="G5679" s="7">
        <v>46154.829545454544</v>
      </c>
    </row>
    <row r="5680">
      <c r="A5680" s="3" t="s">
        <v>17600</v>
      </c>
      <c r="B5680" s="3" t="s">
        <v>965</v>
      </c>
      <c r="C5680" s="3" t="s">
        <v>1342</v>
      </c>
      <c r="D5680" s="3" t="s">
        <v>68</v>
      </c>
      <c r="E5680" s="3" t="s">
        <v>100</v>
      </c>
      <c r="F5680" s="3" t="s">
        <v>653</v>
      </c>
      <c r="G5680" s="7">
        <v>46154.90072029996</v>
      </c>
    </row>
    <row r="5681">
      <c r="A5681" s="3" t="s">
        <v>17603</v>
      </c>
      <c r="B5681" s="3" t="s">
        <v>380</v>
      </c>
      <c r="C5681" s="3" t="s">
        <v>1342</v>
      </c>
      <c r="D5681" s="3" t="s">
        <v>68</v>
      </c>
      <c r="E5681" s="3" t="s">
        <v>100</v>
      </c>
      <c r="F5681" s="3" t="s">
        <v>1907</v>
      </c>
      <c r="G5681" s="7">
        <v>46154.971895145376</v>
      </c>
    </row>
    <row r="5682">
      <c r="A5682" s="3" t="s">
        <v>17606</v>
      </c>
      <c r="B5682" s="3" t="s">
        <v>616</v>
      </c>
      <c r="C5682" s="3" t="s">
        <v>1342</v>
      </c>
      <c r="D5682" s="3" t="s">
        <v>68</v>
      </c>
      <c r="E5682" s="3" t="s">
        <v>100</v>
      </c>
      <c r="F5682" s="3" t="s">
        <v>2077</v>
      </c>
      <c r="G5682" s="7">
        <v>46155.04306999079</v>
      </c>
    </row>
    <row r="5683">
      <c r="A5683" s="3" t="s">
        <v>17610</v>
      </c>
      <c r="B5683" s="3" t="s">
        <v>767</v>
      </c>
      <c r="C5683" s="3" t="s">
        <v>1342</v>
      </c>
      <c r="D5683" s="3" t="s">
        <v>68</v>
      </c>
      <c r="E5683" s="3" t="s">
        <v>100</v>
      </c>
      <c r="F5683" s="3" t="s">
        <v>1975</v>
      </c>
      <c r="G5683" s="7">
        <v>46155.1142448362</v>
      </c>
    </row>
    <row r="5684">
      <c r="A5684" s="3" t="s">
        <v>17614</v>
      </c>
      <c r="B5684" s="3" t="s">
        <v>559</v>
      </c>
      <c r="C5684" s="3" t="s">
        <v>1342</v>
      </c>
      <c r="D5684" s="3" t="s">
        <v>68</v>
      </c>
      <c r="E5684" s="3" t="s">
        <v>100</v>
      </c>
      <c r="F5684" s="3" t="s">
        <v>509</v>
      </c>
      <c r="G5684" s="7">
        <v>46155.18541968162</v>
      </c>
    </row>
    <row r="5685">
      <c r="A5685" s="3" t="s">
        <v>17617</v>
      </c>
      <c r="B5685" s="3" t="s">
        <v>233</v>
      </c>
      <c r="C5685" s="3" t="s">
        <v>1342</v>
      </c>
      <c r="D5685" s="3" t="s">
        <v>68</v>
      </c>
      <c r="E5685" s="3" t="s">
        <v>100</v>
      </c>
      <c r="F5685" s="3" t="s">
        <v>1806</v>
      </c>
      <c r="G5685" s="7">
        <v>46155.25659452704</v>
      </c>
    </row>
    <row r="5686">
      <c r="A5686" s="3" t="s">
        <v>17620</v>
      </c>
      <c r="B5686" s="3" t="s">
        <v>609</v>
      </c>
      <c r="C5686" s="3" t="s">
        <v>1095</v>
      </c>
      <c r="D5686" s="3" t="s">
        <v>68</v>
      </c>
      <c r="E5686" s="3" t="s">
        <v>100</v>
      </c>
      <c r="F5686" s="3" t="s">
        <v>1910</v>
      </c>
      <c r="G5686" s="7">
        <v>46155.327769372445</v>
      </c>
    </row>
    <row r="5687">
      <c r="A5687" s="3" t="s">
        <v>17624</v>
      </c>
      <c r="B5687" s="3" t="s">
        <v>689</v>
      </c>
      <c r="C5687" s="3" t="s">
        <v>1095</v>
      </c>
      <c r="D5687" s="3" t="s">
        <v>181</v>
      </c>
      <c r="E5687" s="3" t="s">
        <v>45</v>
      </c>
      <c r="F5687" s="3" t="s">
        <v>1969</v>
      </c>
      <c r="G5687" s="7">
        <v>46155.398944217864</v>
      </c>
    </row>
    <row r="5688">
      <c r="A5688" s="3" t="s">
        <v>17627</v>
      </c>
      <c r="B5688" s="3" t="s">
        <v>145</v>
      </c>
      <c r="C5688" s="3" t="s">
        <v>1342</v>
      </c>
      <c r="D5688" s="3" t="s">
        <v>195</v>
      </c>
      <c r="E5688" s="3" t="s">
        <v>45</v>
      </c>
      <c r="F5688" s="3" t="s">
        <v>1884</v>
      </c>
      <c r="G5688" s="7">
        <v>46155.47011906328</v>
      </c>
    </row>
    <row r="5689">
      <c r="A5689" s="3" t="s">
        <v>17630</v>
      </c>
      <c r="B5689" s="3" t="s">
        <v>947</v>
      </c>
      <c r="C5689" s="3" t="s">
        <v>56</v>
      </c>
      <c r="D5689" s="3" t="s">
        <v>68</v>
      </c>
      <c r="E5689" s="3" t="s">
        <v>100</v>
      </c>
      <c r="F5689" s="3" t="s">
        <v>603</v>
      </c>
      <c r="G5689" s="7">
        <v>46155.5412939087</v>
      </c>
    </row>
    <row r="5690">
      <c r="A5690" s="3" t="s">
        <v>17632</v>
      </c>
      <c r="B5690" s="3" t="s">
        <v>496</v>
      </c>
      <c r="C5690" s="3" t="s">
        <v>1095</v>
      </c>
      <c r="D5690" s="3" t="s">
        <v>68</v>
      </c>
      <c r="E5690" s="3" t="s">
        <v>100</v>
      </c>
      <c r="F5690" s="3" t="s">
        <v>1424</v>
      </c>
      <c r="G5690" s="7">
        <v>46155.61246875411</v>
      </c>
    </row>
    <row r="5691">
      <c r="A5691" s="3" t="s">
        <v>17635</v>
      </c>
      <c r="B5691" s="3" t="s">
        <v>993</v>
      </c>
      <c r="C5691" s="3" t="s">
        <v>1342</v>
      </c>
      <c r="D5691" s="3" t="s">
        <v>68</v>
      </c>
      <c r="E5691" s="3" t="s">
        <v>100</v>
      </c>
      <c r="F5691" s="3" t="s">
        <v>1598</v>
      </c>
      <c r="G5691" s="7">
        <v>46155.68364359953</v>
      </c>
    </row>
    <row r="5692">
      <c r="A5692" s="3" t="s">
        <v>17637</v>
      </c>
      <c r="B5692" s="3" t="s">
        <v>643</v>
      </c>
      <c r="C5692" s="3" t="s">
        <v>1342</v>
      </c>
      <c r="D5692" s="3" t="s">
        <v>68</v>
      </c>
      <c r="E5692" s="3" t="s">
        <v>100</v>
      </c>
      <c r="F5692" s="3" t="s">
        <v>1570</v>
      </c>
      <c r="G5692" s="7">
        <v>46155.75481844493</v>
      </c>
    </row>
    <row r="5693">
      <c r="A5693" s="3" t="s">
        <v>17640</v>
      </c>
      <c r="B5693" s="3" t="s">
        <v>561</v>
      </c>
      <c r="C5693" s="3" t="s">
        <v>1342</v>
      </c>
      <c r="D5693" s="3" t="s">
        <v>68</v>
      </c>
      <c r="E5693" s="3" t="s">
        <v>100</v>
      </c>
      <c r="F5693" s="3" t="s">
        <v>1520</v>
      </c>
      <c r="G5693" s="7">
        <v>46155.82599329035</v>
      </c>
    </row>
    <row r="5694">
      <c r="A5694" s="3" t="s">
        <v>17643</v>
      </c>
      <c r="B5694" s="3" t="s">
        <v>524</v>
      </c>
      <c r="C5694" s="3" t="s">
        <v>1342</v>
      </c>
      <c r="D5694" s="3" t="s">
        <v>68</v>
      </c>
      <c r="E5694" s="3" t="s">
        <v>100</v>
      </c>
      <c r="F5694" s="3" t="s">
        <v>1971</v>
      </c>
      <c r="G5694" s="7">
        <v>46155.89716813577</v>
      </c>
    </row>
    <row r="5695">
      <c r="A5695" s="3" t="s">
        <v>17649</v>
      </c>
      <c r="B5695" s="3" t="s">
        <v>615</v>
      </c>
      <c r="C5695" s="3" t="s">
        <v>56</v>
      </c>
      <c r="D5695" s="3" t="s">
        <v>68</v>
      </c>
      <c r="E5695" s="3" t="s">
        <v>100</v>
      </c>
      <c r="F5695" s="3" t="s">
        <v>611</v>
      </c>
      <c r="G5695" s="7">
        <v>46155.968342981185</v>
      </c>
    </row>
    <row r="5696">
      <c r="A5696" s="3" t="s">
        <v>17653</v>
      </c>
      <c r="B5696" s="3" t="s">
        <v>916</v>
      </c>
      <c r="C5696" s="3" t="s">
        <v>1095</v>
      </c>
      <c r="D5696" s="3" t="s">
        <v>68</v>
      </c>
      <c r="E5696" s="3" t="s">
        <v>100</v>
      </c>
      <c r="F5696" s="3" t="s">
        <v>963</v>
      </c>
      <c r="G5696" s="7">
        <v>46156.0395178266</v>
      </c>
    </row>
    <row r="5697">
      <c r="A5697" s="3" t="s">
        <v>17655</v>
      </c>
      <c r="B5697" s="3" t="s">
        <v>319</v>
      </c>
      <c r="C5697" s="3" t="s">
        <v>56</v>
      </c>
      <c r="D5697" s="3" t="s">
        <v>68</v>
      </c>
      <c r="E5697" s="3" t="s">
        <v>100</v>
      </c>
      <c r="F5697" s="3" t="s">
        <v>618</v>
      </c>
      <c r="G5697" s="7">
        <v>46156.11069267202</v>
      </c>
    </row>
    <row r="5698">
      <c r="A5698" s="3" t="s">
        <v>17659</v>
      </c>
      <c r="B5698" s="3" t="s">
        <v>243</v>
      </c>
      <c r="C5698" s="3" t="s">
        <v>56</v>
      </c>
      <c r="D5698" s="3" t="s">
        <v>68</v>
      </c>
      <c r="E5698" s="3" t="s">
        <v>100</v>
      </c>
      <c r="F5698" s="3" t="s">
        <v>626</v>
      </c>
      <c r="G5698" s="7">
        <v>46156.18186751743</v>
      </c>
    </row>
    <row r="5699">
      <c r="A5699" s="3" t="s">
        <v>17662</v>
      </c>
      <c r="B5699" s="3" t="s">
        <v>751</v>
      </c>
      <c r="C5699" s="3" t="s">
        <v>1342</v>
      </c>
      <c r="D5699" s="3" t="s">
        <v>68</v>
      </c>
      <c r="E5699" s="3" t="s">
        <v>100</v>
      </c>
      <c r="F5699" s="3" t="s">
        <v>1614</v>
      </c>
      <c r="G5699" s="7">
        <v>46156.25304236284</v>
      </c>
    </row>
    <row r="5700">
      <c r="A5700" s="3" t="s">
        <v>17665</v>
      </c>
      <c r="B5700" s="3" t="s">
        <v>148</v>
      </c>
      <c r="C5700" s="3" t="s">
        <v>1342</v>
      </c>
      <c r="D5700" s="3" t="s">
        <v>68</v>
      </c>
      <c r="E5700" s="3" t="s">
        <v>100</v>
      </c>
      <c r="F5700" s="3" t="s">
        <v>1939</v>
      </c>
      <c r="G5700" s="7">
        <v>46156.32421720826</v>
      </c>
    </row>
    <row r="5701">
      <c r="A5701" s="3" t="s">
        <v>17667</v>
      </c>
      <c r="B5701" s="3" t="s">
        <v>1026</v>
      </c>
      <c r="C5701" s="3" t="s">
        <v>56</v>
      </c>
      <c r="D5701" s="3" t="s">
        <v>181</v>
      </c>
      <c r="E5701" s="3" t="s">
        <v>45</v>
      </c>
      <c r="F5701" s="3" t="s">
        <v>45</v>
      </c>
      <c r="G5701" s="7">
        <v>46156.39539205368</v>
      </c>
    </row>
    <row r="5702">
      <c r="A5702" s="3" t="s">
        <v>17669</v>
      </c>
      <c r="B5702" s="3" t="s">
        <v>800</v>
      </c>
      <c r="C5702" s="3" t="s">
        <v>56</v>
      </c>
      <c r="D5702" s="3" t="s">
        <v>68</v>
      </c>
      <c r="E5702" s="3" t="s">
        <v>100</v>
      </c>
      <c r="F5702" s="3" t="s">
        <v>633</v>
      </c>
      <c r="G5702" s="7">
        <v>46156.466566899086</v>
      </c>
    </row>
    <row r="5703">
      <c r="A5703" s="3" t="s">
        <v>17672</v>
      </c>
      <c r="B5703" s="3" t="s">
        <v>900</v>
      </c>
      <c r="C5703" s="3" t="s">
        <v>1095</v>
      </c>
      <c r="D5703" s="3" t="s">
        <v>68</v>
      </c>
      <c r="E5703" s="3" t="s">
        <v>100</v>
      </c>
      <c r="F5703" s="3" t="s">
        <v>1572</v>
      </c>
      <c r="G5703" s="7">
        <v>46156.537741744505</v>
      </c>
    </row>
    <row r="5704">
      <c r="A5704" s="3" t="s">
        <v>17674</v>
      </c>
      <c r="B5704" s="3" t="s">
        <v>162</v>
      </c>
      <c r="C5704" s="3" t="s">
        <v>56</v>
      </c>
      <c r="D5704" s="3" t="s">
        <v>68</v>
      </c>
      <c r="E5704" s="3" t="s">
        <v>100</v>
      </c>
      <c r="F5704" s="3" t="s">
        <v>641</v>
      </c>
      <c r="G5704" s="7">
        <v>46156.608916589925</v>
      </c>
    </row>
    <row r="5705">
      <c r="A5705" s="3" t="s">
        <v>17676</v>
      </c>
      <c r="B5705" s="3" t="s">
        <v>934</v>
      </c>
      <c r="C5705" s="3" t="s">
        <v>1342</v>
      </c>
      <c r="D5705" s="3" t="s">
        <v>68</v>
      </c>
      <c r="E5705" s="3" t="s">
        <v>100</v>
      </c>
      <c r="F5705" s="3" t="s">
        <v>1498</v>
      </c>
      <c r="G5705" s="7">
        <v>46156.68009143534</v>
      </c>
    </row>
    <row r="5706">
      <c r="A5706" s="3" t="s">
        <v>17678</v>
      </c>
      <c r="B5706" s="3" t="s">
        <v>713</v>
      </c>
      <c r="C5706" s="3" t="s">
        <v>1095</v>
      </c>
      <c r="D5706" s="3" t="s">
        <v>68</v>
      </c>
      <c r="E5706" s="3" t="s">
        <v>100</v>
      </c>
      <c r="F5706" s="3" t="s">
        <v>1679</v>
      </c>
      <c r="G5706" s="7">
        <v>46156.75126628075</v>
      </c>
    </row>
    <row r="5707">
      <c r="A5707" s="3" t="s">
        <v>17680</v>
      </c>
      <c r="B5707" s="3" t="s">
        <v>822</v>
      </c>
      <c r="C5707" s="3" t="s">
        <v>1342</v>
      </c>
      <c r="D5707" s="3" t="s">
        <v>68</v>
      </c>
      <c r="E5707" s="3" t="s">
        <v>100</v>
      </c>
      <c r="F5707" s="3" t="s">
        <v>1552</v>
      </c>
      <c r="G5707" s="7">
        <v>46156.82244112617</v>
      </c>
    </row>
    <row r="5708">
      <c r="A5708" s="3" t="s">
        <v>17683</v>
      </c>
      <c r="B5708" s="3" t="s">
        <v>524</v>
      </c>
      <c r="C5708" s="3" t="s">
        <v>1342</v>
      </c>
      <c r="D5708" s="3" t="s">
        <v>181</v>
      </c>
      <c r="E5708" s="3" t="s">
        <v>45</v>
      </c>
      <c r="F5708" s="3" t="s">
        <v>1971</v>
      </c>
      <c r="G5708" s="7">
        <v>46156.89361597158</v>
      </c>
    </row>
    <row r="5709">
      <c r="A5709" s="3" t="s">
        <v>17685</v>
      </c>
      <c r="B5709" s="3" t="s">
        <v>561</v>
      </c>
      <c r="C5709" s="3" t="s">
        <v>1095</v>
      </c>
      <c r="D5709" s="3" t="s">
        <v>68</v>
      </c>
      <c r="E5709" s="3" t="s">
        <v>100</v>
      </c>
      <c r="F5709" s="3" t="s">
        <v>1520</v>
      </c>
      <c r="G5709" s="7">
        <v>46156.96479081699</v>
      </c>
    </row>
    <row r="5710">
      <c r="A5710" s="3" t="s">
        <v>17686</v>
      </c>
      <c r="B5710" s="3" t="s">
        <v>186</v>
      </c>
      <c r="C5710" s="3" t="s">
        <v>56</v>
      </c>
      <c r="D5710" s="3" t="s">
        <v>68</v>
      </c>
      <c r="E5710" s="3" t="s">
        <v>100</v>
      </c>
      <c r="F5710" s="3" t="s">
        <v>646</v>
      </c>
      <c r="G5710" s="7">
        <v>46157.03596566241</v>
      </c>
    </row>
    <row r="5711">
      <c r="A5711" s="3" t="s">
        <v>17688</v>
      </c>
      <c r="B5711" s="3" t="s">
        <v>993</v>
      </c>
      <c r="C5711" s="3" t="s">
        <v>1095</v>
      </c>
      <c r="D5711" s="3" t="s">
        <v>68</v>
      </c>
      <c r="E5711" s="3" t="s">
        <v>100</v>
      </c>
      <c r="F5711" s="3" t="s">
        <v>1598</v>
      </c>
      <c r="G5711" s="7">
        <v>46157.107140507826</v>
      </c>
    </row>
    <row r="5712">
      <c r="A5712" s="3" t="s">
        <v>17692</v>
      </c>
      <c r="B5712" s="3" t="s">
        <v>475</v>
      </c>
      <c r="C5712" s="3" t="s">
        <v>56</v>
      </c>
      <c r="D5712" s="3" t="s">
        <v>181</v>
      </c>
      <c r="E5712" s="3" t="s">
        <v>45</v>
      </c>
      <c r="F5712" s="3" t="s">
        <v>45</v>
      </c>
      <c r="G5712" s="7">
        <v>46157.17831535324</v>
      </c>
    </row>
    <row r="5713">
      <c r="A5713" s="3" t="s">
        <v>17695</v>
      </c>
      <c r="B5713" s="3" t="s">
        <v>299</v>
      </c>
      <c r="C5713" s="3" t="s">
        <v>1095</v>
      </c>
      <c r="D5713" s="3" t="s">
        <v>68</v>
      </c>
      <c r="E5713" s="3" t="s">
        <v>100</v>
      </c>
      <c r="F5713" s="3" t="s">
        <v>1985</v>
      </c>
      <c r="G5713" s="7">
        <v>46157.24949019866</v>
      </c>
    </row>
    <row r="5714">
      <c r="A5714" s="3" t="s">
        <v>17698</v>
      </c>
      <c r="B5714" s="3" t="s">
        <v>126</v>
      </c>
      <c r="C5714" s="3" t="s">
        <v>1095</v>
      </c>
      <c r="D5714" s="3" t="s">
        <v>68</v>
      </c>
      <c r="E5714" s="3" t="s">
        <v>100</v>
      </c>
      <c r="F5714" s="3" t="s">
        <v>950</v>
      </c>
      <c r="G5714" s="7">
        <v>46157.32066504407</v>
      </c>
    </row>
    <row r="5715">
      <c r="A5715" s="3" t="s">
        <v>17700</v>
      </c>
      <c r="B5715" s="3" t="s">
        <v>819</v>
      </c>
      <c r="C5715" s="3" t="s">
        <v>1342</v>
      </c>
      <c r="D5715" s="3" t="s">
        <v>68</v>
      </c>
      <c r="E5715" s="3" t="s">
        <v>100</v>
      </c>
      <c r="F5715" s="3" t="s">
        <v>1654</v>
      </c>
      <c r="G5715" s="7">
        <v>46157.39183988948</v>
      </c>
    </row>
    <row r="5716">
      <c r="A5716" s="3" t="s">
        <v>17702</v>
      </c>
      <c r="B5716" s="3" t="s">
        <v>682</v>
      </c>
      <c r="C5716" s="3" t="s">
        <v>1342</v>
      </c>
      <c r="D5716" s="3" t="s">
        <v>68</v>
      </c>
      <c r="E5716" s="3" t="s">
        <v>100</v>
      </c>
      <c r="F5716" s="3" t="s">
        <v>2064</v>
      </c>
      <c r="G5716" s="7">
        <v>46157.4630147349</v>
      </c>
    </row>
    <row r="5717">
      <c r="A5717" s="3" t="s">
        <v>17705</v>
      </c>
      <c r="B5717" s="3" t="s">
        <v>584</v>
      </c>
      <c r="C5717" s="3" t="s">
        <v>56</v>
      </c>
      <c r="D5717" s="3" t="s">
        <v>68</v>
      </c>
      <c r="E5717" s="3" t="s">
        <v>100</v>
      </c>
      <c r="F5717" s="3" t="s">
        <v>659</v>
      </c>
      <c r="G5717" s="7">
        <v>46157.53418958032</v>
      </c>
    </row>
    <row r="5718">
      <c r="A5718" s="3" t="s">
        <v>17708</v>
      </c>
      <c r="B5718" s="3" t="s">
        <v>579</v>
      </c>
      <c r="C5718" s="3" t="s">
        <v>1095</v>
      </c>
      <c r="D5718" s="3" t="s">
        <v>68</v>
      </c>
      <c r="E5718" s="3" t="s">
        <v>100</v>
      </c>
      <c r="F5718" s="3" t="s">
        <v>1153</v>
      </c>
      <c r="G5718" s="7">
        <v>46157.605364425726</v>
      </c>
    </row>
    <row r="5719">
      <c r="A5719" s="3" t="s">
        <v>17711</v>
      </c>
      <c r="B5719" s="3" t="s">
        <v>535</v>
      </c>
      <c r="C5719" s="3" t="s">
        <v>1342</v>
      </c>
      <c r="D5719" s="3" t="s">
        <v>181</v>
      </c>
      <c r="E5719" s="3" t="s">
        <v>45</v>
      </c>
      <c r="F5719" s="3" t="s">
        <v>1467</v>
      </c>
      <c r="G5719" s="7">
        <v>46157.676539271146</v>
      </c>
    </row>
    <row r="5720">
      <c r="A5720" s="3" t="s">
        <v>17714</v>
      </c>
      <c r="B5720" s="3" t="s">
        <v>691</v>
      </c>
      <c r="C5720" s="3" t="s">
        <v>1095</v>
      </c>
      <c r="D5720" s="3" t="s">
        <v>68</v>
      </c>
      <c r="E5720" s="3" t="s">
        <v>100</v>
      </c>
      <c r="F5720" s="3" t="s">
        <v>1310</v>
      </c>
      <c r="G5720" s="7">
        <v>46157.747714116565</v>
      </c>
    </row>
    <row r="5721">
      <c r="A5721" s="3" t="s">
        <v>17717</v>
      </c>
      <c r="B5721" s="3" t="s">
        <v>336</v>
      </c>
      <c r="C5721" s="3" t="s">
        <v>1095</v>
      </c>
      <c r="D5721" s="3" t="s">
        <v>68</v>
      </c>
      <c r="E5721" s="3" t="s">
        <v>100</v>
      </c>
      <c r="F5721" s="3" t="s">
        <v>1000</v>
      </c>
      <c r="G5721" s="7">
        <v>46157.81888896198</v>
      </c>
    </row>
    <row r="5722">
      <c r="A5722" s="3" t="s">
        <v>17720</v>
      </c>
      <c r="B5722" s="3" t="s">
        <v>841</v>
      </c>
      <c r="C5722" s="3" t="s">
        <v>1095</v>
      </c>
      <c r="D5722" s="3" t="s">
        <v>68</v>
      </c>
      <c r="E5722" s="3" t="s">
        <v>100</v>
      </c>
      <c r="F5722" s="3" t="s">
        <v>1713</v>
      </c>
      <c r="G5722" s="7">
        <v>46157.89006380739</v>
      </c>
    </row>
    <row r="5723">
      <c r="A5723" s="3" t="s">
        <v>17722</v>
      </c>
      <c r="B5723" s="3" t="s">
        <v>263</v>
      </c>
      <c r="C5723" s="3" t="s">
        <v>56</v>
      </c>
      <c r="D5723" s="3" t="s">
        <v>68</v>
      </c>
      <c r="E5723" s="3" t="s">
        <v>100</v>
      </c>
      <c r="F5723" s="3" t="s">
        <v>668</v>
      </c>
      <c r="G5723" s="7">
        <v>46157.96123865281</v>
      </c>
    </row>
    <row r="5724">
      <c r="A5724" s="3" t="s">
        <v>17725</v>
      </c>
      <c r="B5724" s="3" t="s">
        <v>299</v>
      </c>
      <c r="C5724" s="3" t="s">
        <v>56</v>
      </c>
      <c r="D5724" s="3" t="s">
        <v>68</v>
      </c>
      <c r="E5724" s="3" t="s">
        <v>100</v>
      </c>
      <c r="F5724" s="3" t="s">
        <v>673</v>
      </c>
      <c r="G5724" s="7">
        <v>46158.03241349822</v>
      </c>
    </row>
    <row r="5725">
      <c r="A5725" s="3" t="s">
        <v>17729</v>
      </c>
      <c r="B5725" s="3" t="s">
        <v>773</v>
      </c>
      <c r="C5725" s="3" t="s">
        <v>1095</v>
      </c>
      <c r="D5725" s="3" t="s">
        <v>68</v>
      </c>
      <c r="E5725" s="3" t="s">
        <v>100</v>
      </c>
      <c r="F5725" s="3" t="s">
        <v>2085</v>
      </c>
      <c r="G5725" s="7">
        <v>46158.103588343634</v>
      </c>
    </row>
    <row r="5726">
      <c r="A5726" s="3" t="s">
        <v>17732</v>
      </c>
      <c r="B5726" s="3" t="s">
        <v>247</v>
      </c>
      <c r="C5726" s="3" t="s">
        <v>1095</v>
      </c>
      <c r="D5726" s="3" t="s">
        <v>68</v>
      </c>
      <c r="E5726" s="3" t="s">
        <v>100</v>
      </c>
      <c r="F5726" s="3" t="s">
        <v>2120</v>
      </c>
      <c r="G5726" s="7">
        <v>46158.174763189054</v>
      </c>
    </row>
    <row r="5727">
      <c r="A5727" s="3" t="s">
        <v>17736</v>
      </c>
      <c r="B5727" s="3" t="s">
        <v>496</v>
      </c>
      <c r="C5727" s="3" t="s">
        <v>56</v>
      </c>
      <c r="D5727" s="3" t="s">
        <v>68</v>
      </c>
      <c r="E5727" s="3" t="s">
        <v>100</v>
      </c>
      <c r="F5727" s="3" t="s">
        <v>688</v>
      </c>
      <c r="G5727" s="7">
        <v>46158.245938034466</v>
      </c>
    </row>
    <row r="5728">
      <c r="A5728" s="3" t="s">
        <v>17740</v>
      </c>
      <c r="B5728" s="3" t="s">
        <v>162</v>
      </c>
      <c r="C5728" s="3" t="s">
        <v>1095</v>
      </c>
      <c r="D5728" s="3" t="s">
        <v>68</v>
      </c>
      <c r="E5728" s="3" t="s">
        <v>100</v>
      </c>
      <c r="F5728" s="3" t="s">
        <v>641</v>
      </c>
      <c r="G5728" s="7">
        <v>46158.31711287988</v>
      </c>
    </row>
    <row r="5729">
      <c r="A5729" s="3" t="s">
        <v>17743</v>
      </c>
      <c r="B5729" s="3" t="s">
        <v>1011</v>
      </c>
      <c r="C5729" s="3" t="s">
        <v>1342</v>
      </c>
      <c r="D5729" s="3" t="s">
        <v>181</v>
      </c>
      <c r="E5729" s="3" t="s">
        <v>45</v>
      </c>
      <c r="F5729" s="3" t="s">
        <v>1329</v>
      </c>
      <c r="G5729" s="7">
        <v>46158.3882877253</v>
      </c>
    </row>
    <row r="5730">
      <c r="A5730" s="3" t="s">
        <v>17746</v>
      </c>
      <c r="B5730" s="3" t="s">
        <v>411</v>
      </c>
      <c r="C5730" s="3" t="s">
        <v>1095</v>
      </c>
      <c r="D5730" s="3" t="s">
        <v>68</v>
      </c>
      <c r="E5730" s="3" t="s">
        <v>100</v>
      </c>
      <c r="F5730" s="3" t="s">
        <v>1743</v>
      </c>
      <c r="G5730" s="7">
        <v>46158.45946257071</v>
      </c>
    </row>
    <row r="5731">
      <c r="A5731" s="3" t="s">
        <v>17749</v>
      </c>
      <c r="B5731" s="3" t="s">
        <v>841</v>
      </c>
      <c r="C5731" s="3" t="s">
        <v>56</v>
      </c>
      <c r="D5731" s="3" t="s">
        <v>68</v>
      </c>
      <c r="E5731" s="3" t="s">
        <v>100</v>
      </c>
      <c r="F5731" s="3" t="s">
        <v>693</v>
      </c>
      <c r="G5731" s="7">
        <v>46158.53063741612</v>
      </c>
    </row>
    <row r="5732">
      <c r="A5732" s="3" t="s">
        <v>17753</v>
      </c>
      <c r="B5732" s="3" t="s">
        <v>816</v>
      </c>
      <c r="C5732" s="3" t="s">
        <v>56</v>
      </c>
      <c r="D5732" s="3" t="s">
        <v>68</v>
      </c>
      <c r="E5732" s="3" t="s">
        <v>100</v>
      </c>
      <c r="F5732" s="3" t="s">
        <v>701</v>
      </c>
      <c r="G5732" s="7">
        <v>46158.60181226154</v>
      </c>
    </row>
    <row r="5733">
      <c r="A5733" s="3" t="s">
        <v>17756</v>
      </c>
      <c r="B5733" s="3" t="s">
        <v>515</v>
      </c>
      <c r="C5733" s="3" t="s">
        <v>56</v>
      </c>
      <c r="D5733" s="3" t="s">
        <v>68</v>
      </c>
      <c r="E5733" s="3" t="s">
        <v>100</v>
      </c>
      <c r="F5733" s="3" t="s">
        <v>705</v>
      </c>
      <c r="G5733" s="7">
        <v>46158.67298710696</v>
      </c>
    </row>
    <row r="5734">
      <c r="A5734" s="3" t="s">
        <v>17760</v>
      </c>
      <c r="B5734" s="3" t="s">
        <v>193</v>
      </c>
      <c r="C5734" s="3" t="s">
        <v>56</v>
      </c>
      <c r="D5734" s="3" t="s">
        <v>68</v>
      </c>
      <c r="E5734" s="3" t="s">
        <v>100</v>
      </c>
      <c r="F5734" s="3" t="s">
        <v>712</v>
      </c>
      <c r="G5734" s="7">
        <v>46158.74416195237</v>
      </c>
    </row>
    <row r="5735">
      <c r="A5735" s="3" t="s">
        <v>17763</v>
      </c>
      <c r="B5735" s="3" t="s">
        <v>468</v>
      </c>
      <c r="C5735" s="3" t="s">
        <v>1342</v>
      </c>
      <c r="D5735" s="3" t="s">
        <v>68</v>
      </c>
      <c r="E5735" s="3" t="s">
        <v>100</v>
      </c>
      <c r="F5735" s="3" t="s">
        <v>2023</v>
      </c>
      <c r="G5735" s="7">
        <v>46158.81533679779</v>
      </c>
    </row>
    <row r="5736">
      <c r="A5736" s="3" t="s">
        <v>17766</v>
      </c>
      <c r="B5736" s="3" t="s">
        <v>344</v>
      </c>
      <c r="C5736" s="3" t="s">
        <v>1342</v>
      </c>
      <c r="D5736" s="3" t="s">
        <v>68</v>
      </c>
      <c r="E5736" s="3" t="s">
        <v>100</v>
      </c>
      <c r="F5736" s="3" t="s">
        <v>2052</v>
      </c>
      <c r="G5736" s="7">
        <v>46158.886511643206</v>
      </c>
    </row>
    <row r="5737">
      <c r="A5737" s="3" t="s">
        <v>17769</v>
      </c>
      <c r="B5737" s="3" t="s">
        <v>645</v>
      </c>
      <c r="C5737" s="3" t="s">
        <v>1342</v>
      </c>
      <c r="D5737" s="3" t="s">
        <v>68</v>
      </c>
      <c r="E5737" s="3" t="s">
        <v>100</v>
      </c>
      <c r="F5737" s="3" t="s">
        <v>526</v>
      </c>
      <c r="G5737" s="7">
        <v>46158.95768648862</v>
      </c>
    </row>
    <row r="5738">
      <c r="A5738" s="3" t="s">
        <v>17771</v>
      </c>
      <c r="B5738" s="3" t="s">
        <v>725</v>
      </c>
      <c r="C5738" s="3" t="s">
        <v>1342</v>
      </c>
      <c r="D5738" s="3" t="s">
        <v>68</v>
      </c>
      <c r="E5738" s="3" t="s">
        <v>100</v>
      </c>
      <c r="F5738" s="3" t="s">
        <v>2013</v>
      </c>
      <c r="G5738" s="7">
        <v>46159.02886133403</v>
      </c>
    </row>
    <row r="5739">
      <c r="A5739" s="3" t="s">
        <v>17774</v>
      </c>
      <c r="B5739" s="3" t="s">
        <v>333</v>
      </c>
      <c r="C5739" s="3" t="s">
        <v>56</v>
      </c>
      <c r="D5739" s="3" t="s">
        <v>68</v>
      </c>
      <c r="E5739" s="3" t="s">
        <v>100</v>
      </c>
      <c r="F5739" s="3" t="s">
        <v>716</v>
      </c>
      <c r="G5739" s="7">
        <v>46159.10003617945</v>
      </c>
    </row>
    <row r="5740">
      <c r="A5740" s="3" t="s">
        <v>17778</v>
      </c>
      <c r="B5740" s="3" t="s">
        <v>993</v>
      </c>
      <c r="C5740" s="3" t="s">
        <v>56</v>
      </c>
      <c r="D5740" s="3" t="s">
        <v>68</v>
      </c>
      <c r="E5740" s="3" t="s">
        <v>100</v>
      </c>
      <c r="F5740" s="3" t="s">
        <v>721</v>
      </c>
      <c r="G5740" s="7">
        <v>46159.17121102486</v>
      </c>
    </row>
    <row r="5741">
      <c r="A5741" s="3" t="s">
        <v>17781</v>
      </c>
      <c r="B5741" s="3" t="s">
        <v>713</v>
      </c>
      <c r="C5741" s="3" t="s">
        <v>56</v>
      </c>
      <c r="D5741" s="3" t="s">
        <v>68</v>
      </c>
      <c r="E5741" s="3" t="s">
        <v>100</v>
      </c>
      <c r="F5741" s="3" t="s">
        <v>728</v>
      </c>
      <c r="G5741" s="7">
        <v>46159.242385870275</v>
      </c>
    </row>
    <row r="5742">
      <c r="A5742" s="3" t="s">
        <v>17784</v>
      </c>
      <c r="B5742" s="3" t="s">
        <v>554</v>
      </c>
      <c r="C5742" s="3" t="s">
        <v>1095</v>
      </c>
      <c r="D5742" s="3" t="s">
        <v>68</v>
      </c>
      <c r="E5742" s="3" t="s">
        <v>100</v>
      </c>
      <c r="F5742" s="3" t="s">
        <v>1706</v>
      </c>
      <c r="G5742" s="7">
        <v>46159.313560715695</v>
      </c>
    </row>
    <row r="5743">
      <c r="A5743" s="3" t="s">
        <v>17787</v>
      </c>
      <c r="B5743" s="3" t="s">
        <v>906</v>
      </c>
      <c r="C5743" s="3" t="s">
        <v>1342</v>
      </c>
      <c r="D5743" s="3" t="s">
        <v>68</v>
      </c>
      <c r="E5743" s="3" t="s">
        <v>100</v>
      </c>
      <c r="F5743" s="3" t="s">
        <v>1981</v>
      </c>
      <c r="G5743" s="7">
        <v>46159.38473556111</v>
      </c>
    </row>
    <row r="5744">
      <c r="A5744" s="3" t="s">
        <v>17790</v>
      </c>
      <c r="B5744" s="3" t="s">
        <v>731</v>
      </c>
      <c r="C5744" s="3" t="s">
        <v>1342</v>
      </c>
      <c r="D5744" s="3" t="s">
        <v>68</v>
      </c>
      <c r="E5744" s="3" t="s">
        <v>100</v>
      </c>
      <c r="F5744" s="3" t="s">
        <v>2025</v>
      </c>
      <c r="G5744" s="7">
        <v>46159.45591040652</v>
      </c>
    </row>
    <row r="5745">
      <c r="A5745" s="3" t="s">
        <v>17795</v>
      </c>
      <c r="B5745" s="3" t="s">
        <v>290</v>
      </c>
      <c r="C5745" s="3" t="s">
        <v>1342</v>
      </c>
      <c r="D5745" s="3" t="s">
        <v>68</v>
      </c>
      <c r="E5745" s="3" t="s">
        <v>100</v>
      </c>
      <c r="F5745" s="3" t="s">
        <v>1356</v>
      </c>
      <c r="G5745" s="7">
        <v>46159.52708525194</v>
      </c>
    </row>
    <row r="5746">
      <c r="A5746" s="3" t="s">
        <v>17797</v>
      </c>
      <c r="B5746" s="3" t="s">
        <v>263</v>
      </c>
      <c r="C5746" s="3" t="s">
        <v>1342</v>
      </c>
      <c r="D5746" s="3" t="s">
        <v>68</v>
      </c>
      <c r="E5746" s="3" t="s">
        <v>100</v>
      </c>
      <c r="F5746" s="3" t="s">
        <v>668</v>
      </c>
      <c r="G5746" s="7">
        <v>46159.59826009736</v>
      </c>
    </row>
    <row r="5747">
      <c r="A5747" s="3" t="s">
        <v>17799</v>
      </c>
      <c r="B5747" s="3" t="s">
        <v>990</v>
      </c>
      <c r="C5747" s="3" t="s">
        <v>1342</v>
      </c>
      <c r="D5747" s="3" t="s">
        <v>68</v>
      </c>
      <c r="E5747" s="3" t="s">
        <v>100</v>
      </c>
      <c r="F5747" s="3" t="s">
        <v>1815</v>
      </c>
      <c r="G5747" s="7">
        <v>46159.66943494276</v>
      </c>
    </row>
    <row r="5748">
      <c r="A5748" s="3" t="s">
        <v>17801</v>
      </c>
      <c r="B5748" s="3" t="s">
        <v>845</v>
      </c>
      <c r="C5748" s="3" t="s">
        <v>56</v>
      </c>
      <c r="D5748" s="3" t="s">
        <v>68</v>
      </c>
      <c r="E5748" s="3" t="s">
        <v>100</v>
      </c>
      <c r="F5748" s="3" t="s">
        <v>738</v>
      </c>
      <c r="G5748" s="7">
        <v>46159.74060978818</v>
      </c>
    </row>
    <row r="5749">
      <c r="A5749" s="3" t="s">
        <v>17803</v>
      </c>
      <c r="B5749" s="3" t="s">
        <v>591</v>
      </c>
      <c r="C5749" s="3" t="s">
        <v>1342</v>
      </c>
      <c r="D5749" s="3" t="s">
        <v>181</v>
      </c>
      <c r="E5749" s="3" t="s">
        <v>45</v>
      </c>
      <c r="F5749" s="3" t="s">
        <v>1173</v>
      </c>
      <c r="G5749" s="7">
        <v>46159.8117846336</v>
      </c>
    </row>
    <row r="5750">
      <c r="A5750" s="3" t="s">
        <v>17806</v>
      </c>
      <c r="B5750" s="3" t="s">
        <v>313</v>
      </c>
      <c r="C5750" s="3" t="s">
        <v>1095</v>
      </c>
      <c r="D5750" s="3" t="s">
        <v>68</v>
      </c>
      <c r="E5750" s="3" t="s">
        <v>100</v>
      </c>
      <c r="F5750" s="3" t="s">
        <v>1775</v>
      </c>
      <c r="G5750" s="7">
        <v>46159.882959479015</v>
      </c>
    </row>
    <row r="5751">
      <c r="A5751" s="3" t="s">
        <v>17808</v>
      </c>
      <c r="B5751" s="3" t="s">
        <v>853</v>
      </c>
      <c r="C5751" s="3" t="s">
        <v>56</v>
      </c>
      <c r="D5751" s="3" t="s">
        <v>68</v>
      </c>
      <c r="E5751" s="3" t="s">
        <v>100</v>
      </c>
      <c r="F5751" s="3" t="s">
        <v>741</v>
      </c>
      <c r="G5751" s="7">
        <v>46159.95413432443</v>
      </c>
    </row>
    <row r="5752">
      <c r="A5752" s="3" t="s">
        <v>17811</v>
      </c>
      <c r="B5752" s="3" t="s">
        <v>864</v>
      </c>
      <c r="C5752" s="3" t="s">
        <v>56</v>
      </c>
      <c r="D5752" s="3" t="s">
        <v>68</v>
      </c>
      <c r="E5752" s="3" t="s">
        <v>100</v>
      </c>
      <c r="F5752" s="3" t="s">
        <v>749</v>
      </c>
      <c r="G5752" s="7">
        <v>46160.02530916985</v>
      </c>
    </row>
    <row r="5753">
      <c r="A5753" s="3" t="s">
        <v>17815</v>
      </c>
      <c r="B5753" s="3" t="s">
        <v>186</v>
      </c>
      <c r="C5753" s="3" t="s">
        <v>1342</v>
      </c>
      <c r="D5753" s="3" t="s">
        <v>68</v>
      </c>
      <c r="E5753" s="3" t="s">
        <v>100</v>
      </c>
      <c r="F5753" s="3" t="s">
        <v>646</v>
      </c>
      <c r="G5753" s="7">
        <v>46160.09648401526</v>
      </c>
    </row>
    <row r="5754">
      <c r="A5754" s="3" t="s">
        <v>17818</v>
      </c>
      <c r="B5754" s="3" t="s">
        <v>860</v>
      </c>
      <c r="C5754" s="3" t="s">
        <v>1095</v>
      </c>
      <c r="D5754" s="3" t="s">
        <v>68</v>
      </c>
      <c r="E5754" s="3" t="s">
        <v>100</v>
      </c>
      <c r="F5754" s="3" t="s">
        <v>2020</v>
      </c>
      <c r="G5754" s="7">
        <v>46160.16765886067</v>
      </c>
    </row>
    <row r="5755">
      <c r="A5755" s="3" t="s">
        <v>17821</v>
      </c>
      <c r="B5755" s="3" t="s">
        <v>678</v>
      </c>
      <c r="C5755" s="3" t="s">
        <v>1342</v>
      </c>
      <c r="D5755" s="3" t="s">
        <v>68</v>
      </c>
      <c r="E5755" s="3" t="s">
        <v>100</v>
      </c>
      <c r="F5755" s="3" t="s">
        <v>1455</v>
      </c>
      <c r="G5755" s="7">
        <v>46160.23883370609</v>
      </c>
    </row>
    <row r="5756">
      <c r="A5756" s="3" t="s">
        <v>17830</v>
      </c>
      <c r="B5756" s="3" t="s">
        <v>208</v>
      </c>
      <c r="C5756" s="3" t="s">
        <v>1342</v>
      </c>
      <c r="D5756" s="3" t="s">
        <v>68</v>
      </c>
      <c r="E5756" s="3" t="s">
        <v>100</v>
      </c>
      <c r="F5756" s="3" t="s">
        <v>1954</v>
      </c>
      <c r="G5756" s="7">
        <v>46160.3100085515</v>
      </c>
    </row>
    <row r="5757">
      <c r="A5757" s="3" t="s">
        <v>17833</v>
      </c>
      <c r="B5757" s="3" t="s">
        <v>377</v>
      </c>
      <c r="C5757" s="3" t="s">
        <v>1342</v>
      </c>
      <c r="D5757" s="3" t="s">
        <v>68</v>
      </c>
      <c r="E5757" s="3" t="s">
        <v>100</v>
      </c>
      <c r="F5757" s="3" t="s">
        <v>470</v>
      </c>
      <c r="G5757" s="7">
        <v>46160.381183396916</v>
      </c>
    </row>
    <row r="5758">
      <c r="A5758" s="3" t="s">
        <v>17836</v>
      </c>
      <c r="B5758" s="3" t="s">
        <v>519</v>
      </c>
      <c r="C5758" s="3" t="s">
        <v>56</v>
      </c>
      <c r="D5758" s="3" t="s">
        <v>68</v>
      </c>
      <c r="E5758" s="3" t="s">
        <v>100</v>
      </c>
      <c r="F5758" s="3" t="s">
        <v>754</v>
      </c>
      <c r="G5758" s="7">
        <v>46160.452358242335</v>
      </c>
    </row>
    <row r="5759">
      <c r="A5759" s="3" t="s">
        <v>17839</v>
      </c>
      <c r="B5759" s="3" t="s">
        <v>204</v>
      </c>
      <c r="C5759" s="3" t="s">
        <v>1095</v>
      </c>
      <c r="D5759" s="3" t="s">
        <v>68</v>
      </c>
      <c r="E5759" s="3" t="s">
        <v>100</v>
      </c>
      <c r="F5759" s="3" t="s">
        <v>1694</v>
      </c>
      <c r="G5759" s="7">
        <v>46160.52353308775</v>
      </c>
    </row>
    <row r="5760">
      <c r="A5760" s="3" t="s">
        <v>17842</v>
      </c>
      <c r="B5760" s="3" t="s">
        <v>468</v>
      </c>
      <c r="C5760" s="3" t="s">
        <v>1095</v>
      </c>
      <c r="D5760" s="3" t="s">
        <v>195</v>
      </c>
      <c r="E5760" s="3" t="s">
        <v>45</v>
      </c>
      <c r="F5760" s="3" t="s">
        <v>2023</v>
      </c>
      <c r="G5760" s="7">
        <v>46160.59470793316</v>
      </c>
    </row>
    <row r="5761">
      <c r="A5761" s="3" t="s">
        <v>17845</v>
      </c>
      <c r="B5761" s="3" t="s">
        <v>922</v>
      </c>
      <c r="C5761" s="3" t="s">
        <v>1342</v>
      </c>
      <c r="D5761" s="3" t="s">
        <v>68</v>
      </c>
      <c r="E5761" s="3" t="s">
        <v>100</v>
      </c>
      <c r="F5761" s="3" t="s">
        <v>1609</v>
      </c>
      <c r="G5761" s="7">
        <v>46160.66588277858</v>
      </c>
    </row>
    <row r="5762">
      <c r="A5762" s="3" t="s">
        <v>17848</v>
      </c>
      <c r="B5762" s="3" t="s">
        <v>596</v>
      </c>
      <c r="C5762" s="3" t="s">
        <v>56</v>
      </c>
      <c r="D5762" s="3" t="s">
        <v>68</v>
      </c>
      <c r="E5762" s="3" t="s">
        <v>100</v>
      </c>
      <c r="F5762" s="3" t="s">
        <v>762</v>
      </c>
      <c r="G5762" s="7">
        <v>46160.737057624</v>
      </c>
    </row>
    <row r="5763">
      <c r="A5763" s="3" t="s">
        <v>17852</v>
      </c>
      <c r="B5763" s="3" t="s">
        <v>287</v>
      </c>
      <c r="C5763" s="3" t="s">
        <v>56</v>
      </c>
      <c r="D5763" s="3" t="s">
        <v>68</v>
      </c>
      <c r="E5763" s="3" t="s">
        <v>100</v>
      </c>
      <c r="F5763" s="3" t="s">
        <v>769</v>
      </c>
      <c r="G5763" s="7">
        <v>46160.808232469404</v>
      </c>
    </row>
    <row r="5764">
      <c r="A5764" s="3" t="s">
        <v>17855</v>
      </c>
      <c r="B5764" s="3" t="s">
        <v>731</v>
      </c>
      <c r="C5764" s="3" t="s">
        <v>1342</v>
      </c>
      <c r="D5764" s="3" t="s">
        <v>68</v>
      </c>
      <c r="E5764" s="3" t="s">
        <v>100</v>
      </c>
      <c r="F5764" s="3" t="s">
        <v>2025</v>
      </c>
      <c r="G5764" s="7">
        <v>46160.879407314824</v>
      </c>
    </row>
    <row r="5765">
      <c r="A5765" s="3" t="s">
        <v>17859</v>
      </c>
      <c r="B5765" s="3" t="s">
        <v>640</v>
      </c>
      <c r="C5765" s="3" t="s">
        <v>1342</v>
      </c>
      <c r="D5765" s="3" t="s">
        <v>181</v>
      </c>
      <c r="E5765" s="3" t="s">
        <v>45</v>
      </c>
      <c r="F5765" s="3" t="s">
        <v>983</v>
      </c>
      <c r="G5765" s="7">
        <v>46160.95058216024</v>
      </c>
    </row>
    <row r="5766">
      <c r="A5766" s="3" t="s">
        <v>17862</v>
      </c>
      <c r="B5766" s="3" t="s">
        <v>162</v>
      </c>
      <c r="C5766" s="3" t="s">
        <v>56</v>
      </c>
      <c r="D5766" s="3" t="s">
        <v>68</v>
      </c>
      <c r="E5766" s="3" t="s">
        <v>100</v>
      </c>
      <c r="F5766" s="3" t="s">
        <v>774</v>
      </c>
      <c r="G5766" s="7">
        <v>46161.021757005656</v>
      </c>
    </row>
    <row r="5767">
      <c r="A5767" s="3" t="s">
        <v>17866</v>
      </c>
      <c r="B5767" s="3" t="s">
        <v>616</v>
      </c>
      <c r="C5767" s="3" t="s">
        <v>1342</v>
      </c>
      <c r="D5767" s="3" t="s">
        <v>68</v>
      </c>
      <c r="E5767" s="3" t="s">
        <v>100</v>
      </c>
      <c r="F5767" s="3" t="s">
        <v>2077</v>
      </c>
      <c r="G5767" s="7">
        <v>46161.09293185107</v>
      </c>
    </row>
    <row r="5768">
      <c r="A5768" s="3" t="s">
        <v>17868</v>
      </c>
      <c r="B5768" s="3" t="s">
        <v>920</v>
      </c>
      <c r="C5768" s="3" t="s">
        <v>1342</v>
      </c>
      <c r="D5768" s="3" t="s">
        <v>68</v>
      </c>
      <c r="E5768" s="3" t="s">
        <v>100</v>
      </c>
      <c r="F5768" s="3" t="s">
        <v>1968</v>
      </c>
      <c r="G5768" s="7">
        <v>46161.16410669649</v>
      </c>
    </row>
    <row r="5769">
      <c r="A5769" s="3" t="s">
        <v>17870</v>
      </c>
      <c r="B5769" s="3" t="s">
        <v>953</v>
      </c>
      <c r="C5769" s="3" t="s">
        <v>1342</v>
      </c>
      <c r="D5769" s="3" t="s">
        <v>68</v>
      </c>
      <c r="E5769" s="3" t="s">
        <v>100</v>
      </c>
      <c r="F5769" s="3" t="s">
        <v>1958</v>
      </c>
      <c r="G5769" s="7">
        <v>46161.2352815419</v>
      </c>
    </row>
    <row r="5770">
      <c r="A5770" s="3" t="s">
        <v>17872</v>
      </c>
      <c r="B5770" s="3" t="s">
        <v>156</v>
      </c>
      <c r="C5770" s="3" t="s">
        <v>1342</v>
      </c>
      <c r="D5770" s="3" t="s">
        <v>181</v>
      </c>
      <c r="E5770" s="3" t="s">
        <v>45</v>
      </c>
      <c r="F5770" s="3" t="s">
        <v>1560</v>
      </c>
      <c r="G5770" s="7">
        <v>46161.30645638731</v>
      </c>
    </row>
    <row r="5771">
      <c r="A5771" s="3" t="s">
        <v>17875</v>
      </c>
      <c r="B5771" s="3" t="s">
        <v>183</v>
      </c>
      <c r="C5771" s="3" t="s">
        <v>56</v>
      </c>
      <c r="D5771" s="3" t="s">
        <v>68</v>
      </c>
      <c r="E5771" s="3" t="s">
        <v>100</v>
      </c>
      <c r="F5771" s="3" t="s">
        <v>780</v>
      </c>
      <c r="G5771" s="7">
        <v>46161.37763123273</v>
      </c>
    </row>
    <row r="5772">
      <c r="A5772" s="3" t="s">
        <v>17880</v>
      </c>
      <c r="B5772" s="3" t="s">
        <v>796</v>
      </c>
      <c r="C5772" s="3" t="s">
        <v>1095</v>
      </c>
      <c r="D5772" s="3" t="s">
        <v>68</v>
      </c>
      <c r="E5772" s="3" t="s">
        <v>100</v>
      </c>
      <c r="F5772" s="3" t="s">
        <v>991</v>
      </c>
      <c r="G5772" s="7">
        <v>46161.448806078144</v>
      </c>
    </row>
    <row r="5773">
      <c r="A5773" s="3" t="s">
        <v>17883</v>
      </c>
      <c r="B5773" s="3" t="s">
        <v>516</v>
      </c>
      <c r="C5773" s="3" t="s">
        <v>1342</v>
      </c>
      <c r="D5773" s="3" t="s">
        <v>68</v>
      </c>
      <c r="E5773" s="3" t="s">
        <v>100</v>
      </c>
      <c r="F5773" s="3" t="s">
        <v>1718</v>
      </c>
      <c r="G5773" s="7">
        <v>46161.51998092356</v>
      </c>
    </row>
    <row r="5774">
      <c r="A5774" s="3" t="s">
        <v>17885</v>
      </c>
      <c r="B5774" s="3" t="s">
        <v>348</v>
      </c>
      <c r="C5774" s="3" t="s">
        <v>1342</v>
      </c>
      <c r="D5774" s="3" t="s">
        <v>68</v>
      </c>
      <c r="E5774" s="3" t="s">
        <v>100</v>
      </c>
      <c r="F5774" s="3" t="s">
        <v>1901</v>
      </c>
      <c r="G5774" s="7">
        <v>46161.591155768976</v>
      </c>
    </row>
    <row r="5775">
      <c r="A5775" s="3" t="s">
        <v>17887</v>
      </c>
      <c r="B5775" s="3" t="s">
        <v>336</v>
      </c>
      <c r="C5775" s="3" t="s">
        <v>56</v>
      </c>
      <c r="D5775" s="3" t="s">
        <v>181</v>
      </c>
      <c r="E5775" s="3" t="s">
        <v>45</v>
      </c>
      <c r="F5775" s="3" t="s">
        <v>45</v>
      </c>
      <c r="G5775" s="7">
        <v>46161.66233061439</v>
      </c>
    </row>
    <row r="5776">
      <c r="A5776" s="3" t="s">
        <v>17889</v>
      </c>
      <c r="B5776" s="3" t="s">
        <v>126</v>
      </c>
      <c r="C5776" s="3" t="s">
        <v>56</v>
      </c>
      <c r="D5776" s="3" t="s">
        <v>195</v>
      </c>
      <c r="E5776" s="3" t="s">
        <v>45</v>
      </c>
      <c r="F5776" s="3" t="s">
        <v>45</v>
      </c>
      <c r="G5776" s="7">
        <v>46161.7335054598</v>
      </c>
    </row>
    <row r="5777">
      <c r="A5777" s="3" t="s">
        <v>17891</v>
      </c>
      <c r="B5777" s="3" t="s">
        <v>1021</v>
      </c>
      <c r="C5777" s="3" t="s">
        <v>1342</v>
      </c>
      <c r="D5777" s="3" t="s">
        <v>68</v>
      </c>
      <c r="E5777" s="3" t="s">
        <v>100</v>
      </c>
      <c r="F5777" s="3" t="s">
        <v>2037</v>
      </c>
      <c r="G5777" s="7">
        <v>46161.80468030522</v>
      </c>
    </row>
    <row r="5778">
      <c r="A5778" s="3" t="s">
        <v>17894</v>
      </c>
      <c r="B5778" s="3" t="s">
        <v>998</v>
      </c>
      <c r="C5778" s="3" t="s">
        <v>1095</v>
      </c>
      <c r="D5778" s="3" t="s">
        <v>181</v>
      </c>
      <c r="E5778" s="3" t="s">
        <v>45</v>
      </c>
      <c r="F5778" s="3" t="s">
        <v>1651</v>
      </c>
      <c r="G5778" s="7">
        <v>46161.87585515064</v>
      </c>
    </row>
    <row r="5779">
      <c r="A5779" s="3" t="s">
        <v>17898</v>
      </c>
      <c r="B5779" s="3" t="s">
        <v>510</v>
      </c>
      <c r="C5779" s="3" t="s">
        <v>56</v>
      </c>
      <c r="D5779" s="3" t="s">
        <v>68</v>
      </c>
      <c r="E5779" s="3" t="s">
        <v>100</v>
      </c>
      <c r="F5779" s="3" t="s">
        <v>784</v>
      </c>
      <c r="G5779" s="7">
        <v>46161.947029996045</v>
      </c>
    </row>
    <row r="5780">
      <c r="A5780" s="3" t="s">
        <v>17902</v>
      </c>
      <c r="B5780" s="3" t="s">
        <v>710</v>
      </c>
      <c r="C5780" s="3" t="s">
        <v>1342</v>
      </c>
      <c r="D5780" s="3" t="s">
        <v>68</v>
      </c>
      <c r="E5780" s="3" t="s">
        <v>100</v>
      </c>
      <c r="F5780" s="3" t="s">
        <v>518</v>
      </c>
      <c r="G5780" s="7">
        <v>46162.018204841464</v>
      </c>
    </row>
    <row r="5781">
      <c r="A5781" s="3" t="s">
        <v>17904</v>
      </c>
      <c r="B5781" s="3" t="s">
        <v>584</v>
      </c>
      <c r="C5781" s="3" t="s">
        <v>1095</v>
      </c>
      <c r="D5781" s="3" t="s">
        <v>68</v>
      </c>
      <c r="E5781" s="3" t="s">
        <v>100</v>
      </c>
      <c r="F5781" s="3" t="s">
        <v>659</v>
      </c>
      <c r="G5781" s="7">
        <v>46162.089379686884</v>
      </c>
    </row>
    <row r="5782">
      <c r="A5782" s="3" t="s">
        <v>17906</v>
      </c>
      <c r="B5782" s="3" t="s">
        <v>1011</v>
      </c>
      <c r="C5782" s="3" t="s">
        <v>1342</v>
      </c>
      <c r="D5782" s="3" t="s">
        <v>68</v>
      </c>
      <c r="E5782" s="3" t="s">
        <v>100</v>
      </c>
      <c r="F5782" s="3" t="s">
        <v>1329</v>
      </c>
      <c r="G5782" s="7">
        <v>46162.1605545323</v>
      </c>
    </row>
    <row r="5783">
      <c r="A5783" s="3" t="s">
        <v>17908</v>
      </c>
      <c r="B5783" s="3" t="s">
        <v>763</v>
      </c>
      <c r="C5783" s="3" t="s">
        <v>56</v>
      </c>
      <c r="D5783" s="3" t="s">
        <v>68</v>
      </c>
      <c r="E5783" s="3" t="s">
        <v>100</v>
      </c>
      <c r="F5783" s="3" t="s">
        <v>788</v>
      </c>
      <c r="G5783" s="7">
        <v>46162.23172937771</v>
      </c>
    </row>
    <row r="5784">
      <c r="A5784" s="3" t="s">
        <v>17910</v>
      </c>
      <c r="B5784" s="3" t="s">
        <v>524</v>
      </c>
      <c r="C5784" s="3" t="s">
        <v>1342</v>
      </c>
      <c r="D5784" s="3" t="s">
        <v>68</v>
      </c>
      <c r="E5784" s="3" t="s">
        <v>100</v>
      </c>
      <c r="F5784" s="3" t="s">
        <v>1971</v>
      </c>
      <c r="G5784" s="7">
        <v>46162.30290422313</v>
      </c>
    </row>
    <row r="5785">
      <c r="A5785" s="3" t="s">
        <v>17913</v>
      </c>
      <c r="B5785" s="3" t="s">
        <v>969</v>
      </c>
      <c r="C5785" s="3" t="s">
        <v>1095</v>
      </c>
      <c r="D5785" s="3" t="s">
        <v>68</v>
      </c>
      <c r="E5785" s="3" t="s">
        <v>100</v>
      </c>
      <c r="F5785" s="3" t="s">
        <v>2088</v>
      </c>
      <c r="G5785" s="7">
        <v>46162.37407906854</v>
      </c>
    </row>
    <row r="5786">
      <c r="A5786" s="3" t="s">
        <v>17916</v>
      </c>
      <c r="B5786" s="3" t="s">
        <v>208</v>
      </c>
      <c r="C5786" s="3" t="s">
        <v>1342</v>
      </c>
      <c r="D5786" s="3" t="s">
        <v>181</v>
      </c>
      <c r="E5786" s="3" t="s">
        <v>45</v>
      </c>
      <c r="F5786" s="3" t="s">
        <v>1954</v>
      </c>
      <c r="G5786" s="7">
        <v>46162.44525391395</v>
      </c>
    </row>
    <row r="5787">
      <c r="A5787" s="3" t="s">
        <v>17919</v>
      </c>
      <c r="B5787" s="3" t="s">
        <v>440</v>
      </c>
      <c r="C5787" s="3" t="s">
        <v>1342</v>
      </c>
      <c r="D5787" s="3" t="s">
        <v>68</v>
      </c>
      <c r="E5787" s="3" t="s">
        <v>100</v>
      </c>
      <c r="F5787" s="3" t="s">
        <v>1863</v>
      </c>
      <c r="G5787" s="7">
        <v>46162.51642875937</v>
      </c>
    </row>
    <row r="5788">
      <c r="A5788" s="3" t="s">
        <v>17922</v>
      </c>
      <c r="B5788" s="3" t="s">
        <v>593</v>
      </c>
      <c r="C5788" s="3" t="s">
        <v>1342</v>
      </c>
      <c r="D5788" s="3" t="s">
        <v>68</v>
      </c>
      <c r="E5788" s="3" t="s">
        <v>100</v>
      </c>
      <c r="F5788" s="3" t="s">
        <v>1914</v>
      </c>
      <c r="G5788" s="7">
        <v>46162.58760360479</v>
      </c>
    </row>
    <row r="5789">
      <c r="A5789" s="3" t="s">
        <v>17925</v>
      </c>
      <c r="B5789" s="3" t="s">
        <v>640</v>
      </c>
      <c r="C5789" s="3" t="s">
        <v>1095</v>
      </c>
      <c r="D5789" s="3" t="s">
        <v>195</v>
      </c>
      <c r="E5789" s="3" t="s">
        <v>45</v>
      </c>
      <c r="F5789" s="3" t="s">
        <v>983</v>
      </c>
      <c r="G5789" s="7">
        <v>46162.6587784502</v>
      </c>
    </row>
    <row r="5790">
      <c r="A5790" s="3" t="s">
        <v>17928</v>
      </c>
      <c r="B5790" s="3" t="s">
        <v>319</v>
      </c>
      <c r="C5790" s="3" t="s">
        <v>1342</v>
      </c>
      <c r="D5790" s="3" t="s">
        <v>68</v>
      </c>
      <c r="E5790" s="3" t="s">
        <v>100</v>
      </c>
      <c r="F5790" s="3" t="s">
        <v>618</v>
      </c>
      <c r="G5790" s="7">
        <v>46162.72995329562</v>
      </c>
    </row>
    <row r="5791">
      <c r="A5791" s="3" t="s">
        <v>17931</v>
      </c>
      <c r="B5791" s="3" t="s">
        <v>230</v>
      </c>
      <c r="C5791" s="3" t="s">
        <v>1342</v>
      </c>
      <c r="D5791" s="3" t="s">
        <v>68</v>
      </c>
      <c r="E5791" s="3" t="s">
        <v>100</v>
      </c>
      <c r="F5791" s="3" t="s">
        <v>2006</v>
      </c>
      <c r="G5791" s="7">
        <v>46162.80112814103</v>
      </c>
    </row>
    <row r="5792">
      <c r="A5792" s="3" t="s">
        <v>17934</v>
      </c>
      <c r="B5792" s="3" t="s">
        <v>631</v>
      </c>
      <c r="C5792" s="3" t="s">
        <v>56</v>
      </c>
      <c r="D5792" s="3" t="s">
        <v>68</v>
      </c>
      <c r="E5792" s="3" t="s">
        <v>100</v>
      </c>
      <c r="F5792" s="3" t="s">
        <v>792</v>
      </c>
      <c r="G5792" s="7">
        <v>46162.87230298645</v>
      </c>
    </row>
    <row r="5793">
      <c r="A5793" s="3" t="s">
        <v>17937</v>
      </c>
      <c r="B5793" s="3" t="s">
        <v>805</v>
      </c>
      <c r="C5793" s="3" t="s">
        <v>1342</v>
      </c>
      <c r="D5793" s="3" t="s">
        <v>195</v>
      </c>
      <c r="E5793" s="3" t="s">
        <v>45</v>
      </c>
      <c r="F5793" s="3" t="s">
        <v>1951</v>
      </c>
      <c r="G5793" s="7">
        <v>46162.94347783186</v>
      </c>
    </row>
    <row r="5794">
      <c r="A5794" s="3" t="s">
        <v>17941</v>
      </c>
      <c r="B5794" s="3" t="s">
        <v>515</v>
      </c>
      <c r="C5794" s="3" t="s">
        <v>1095</v>
      </c>
      <c r="D5794" s="3" t="s">
        <v>68</v>
      </c>
      <c r="E5794" s="3" t="s">
        <v>100</v>
      </c>
      <c r="F5794" s="3" t="s">
        <v>705</v>
      </c>
      <c r="G5794" s="7">
        <v>46163.01465267728</v>
      </c>
    </row>
    <row r="5795">
      <c r="A5795" s="3" t="s">
        <v>17945</v>
      </c>
      <c r="B5795" s="3" t="s">
        <v>460</v>
      </c>
      <c r="C5795" s="3" t="s">
        <v>1095</v>
      </c>
      <c r="D5795" s="3" t="s">
        <v>68</v>
      </c>
      <c r="E5795" s="3" t="s">
        <v>100</v>
      </c>
      <c r="F5795" s="3" t="s">
        <v>1857</v>
      </c>
      <c r="G5795" s="7">
        <v>46163.085827522686</v>
      </c>
    </row>
    <row r="5796">
      <c r="A5796" s="3" t="s">
        <v>17946</v>
      </c>
      <c r="B5796" s="3" t="s">
        <v>316</v>
      </c>
      <c r="C5796" s="3" t="s">
        <v>1095</v>
      </c>
      <c r="D5796" s="3" t="s">
        <v>181</v>
      </c>
      <c r="E5796" s="3" t="s">
        <v>45</v>
      </c>
      <c r="F5796" s="3" t="s">
        <v>985</v>
      </c>
      <c r="G5796" s="7">
        <v>46163.157002368105</v>
      </c>
    </row>
    <row r="5797">
      <c r="A5797" s="3" t="s">
        <v>17949</v>
      </c>
      <c r="B5797" s="3" t="s">
        <v>356</v>
      </c>
      <c r="C5797" s="3" t="s">
        <v>1095</v>
      </c>
      <c r="D5797" s="3" t="s">
        <v>68</v>
      </c>
      <c r="E5797" s="3" t="s">
        <v>100</v>
      </c>
      <c r="F5797" s="3" t="s">
        <v>1681</v>
      </c>
      <c r="G5797" s="7">
        <v>46163.228177213525</v>
      </c>
    </row>
    <row r="5798">
      <c r="A5798" s="3" t="s">
        <v>17953</v>
      </c>
      <c r="B5798" s="3" t="s">
        <v>778</v>
      </c>
      <c r="C5798" s="3" t="s">
        <v>1095</v>
      </c>
      <c r="D5798" s="3" t="s">
        <v>68</v>
      </c>
      <c r="E5798" s="3" t="s">
        <v>100</v>
      </c>
      <c r="F5798" s="3" t="s">
        <v>1852</v>
      </c>
      <c r="G5798" s="7">
        <v>46163.29935205894</v>
      </c>
    </row>
    <row r="5799">
      <c r="A5799" s="3" t="s">
        <v>17957</v>
      </c>
      <c r="B5799" s="3" t="s">
        <v>333</v>
      </c>
      <c r="C5799" s="3" t="s">
        <v>1342</v>
      </c>
      <c r="D5799" s="3" t="s">
        <v>68</v>
      </c>
      <c r="E5799" s="3" t="s">
        <v>100</v>
      </c>
      <c r="F5799" s="3" t="s">
        <v>716</v>
      </c>
      <c r="G5799" s="7">
        <v>46163.37052690435</v>
      </c>
    </row>
    <row r="5800">
      <c r="A5800" s="3" t="s">
        <v>17960</v>
      </c>
      <c r="B5800" s="3" t="s">
        <v>263</v>
      </c>
      <c r="C5800" s="3" t="s">
        <v>1342</v>
      </c>
      <c r="D5800" s="3" t="s">
        <v>68</v>
      </c>
      <c r="E5800" s="3" t="s">
        <v>100</v>
      </c>
      <c r="F5800" s="3" t="s">
        <v>668</v>
      </c>
      <c r="G5800" s="7">
        <v>46163.44170174977</v>
      </c>
    </row>
    <row r="5801">
      <c r="A5801" s="3" t="s">
        <v>17963</v>
      </c>
      <c r="B5801" s="3" t="s">
        <v>466</v>
      </c>
      <c r="C5801" s="3" t="s">
        <v>1342</v>
      </c>
      <c r="D5801" s="3" t="s">
        <v>68</v>
      </c>
      <c r="E5801" s="3" t="s">
        <v>100</v>
      </c>
      <c r="F5801" s="3" t="s">
        <v>2079</v>
      </c>
      <c r="G5801" s="7">
        <v>46163.51287659518</v>
      </c>
    </row>
    <row r="5802">
      <c r="A5802" s="3" t="s">
        <v>17966</v>
      </c>
      <c r="B5802" s="3" t="s">
        <v>344</v>
      </c>
      <c r="C5802" s="3" t="s">
        <v>1095</v>
      </c>
      <c r="D5802" s="3" t="s">
        <v>68</v>
      </c>
      <c r="E5802" s="3" t="s">
        <v>100</v>
      </c>
      <c r="F5802" s="3" t="s">
        <v>2052</v>
      </c>
      <c r="G5802" s="7">
        <v>46163.58405144059</v>
      </c>
    </row>
    <row r="5803">
      <c r="A5803" s="3" t="s">
        <v>17969</v>
      </c>
      <c r="B5803" s="3" t="s">
        <v>424</v>
      </c>
      <c r="C5803" s="3" t="s">
        <v>1095</v>
      </c>
      <c r="D5803" s="3" t="s">
        <v>68</v>
      </c>
      <c r="E5803" s="3" t="s">
        <v>100</v>
      </c>
      <c r="F5803" s="3" t="s">
        <v>568</v>
      </c>
      <c r="G5803" s="7">
        <v>46163.65522628601</v>
      </c>
    </row>
    <row r="5804">
      <c r="A5804" s="3" t="s">
        <v>17972</v>
      </c>
      <c r="B5804" s="3" t="s">
        <v>175</v>
      </c>
      <c r="C5804" s="3" t="s">
        <v>56</v>
      </c>
      <c r="D5804" s="3" t="s">
        <v>68</v>
      </c>
      <c r="E5804" s="3" t="s">
        <v>100</v>
      </c>
      <c r="F5804" s="3" t="s">
        <v>797</v>
      </c>
      <c r="G5804" s="7">
        <v>46163.72640113143</v>
      </c>
    </row>
    <row r="5805">
      <c r="A5805" s="3" t="s">
        <v>17976</v>
      </c>
      <c r="B5805" s="3" t="s">
        <v>713</v>
      </c>
      <c r="C5805" s="3" t="s">
        <v>1342</v>
      </c>
      <c r="D5805" s="3" t="s">
        <v>68</v>
      </c>
      <c r="E5805" s="3" t="s">
        <v>100</v>
      </c>
      <c r="F5805" s="3" t="s">
        <v>728</v>
      </c>
      <c r="G5805" s="7">
        <v>46163.79757597684</v>
      </c>
    </row>
    <row r="5806">
      <c r="A5806" s="3" t="s">
        <v>17980</v>
      </c>
      <c r="B5806" s="3" t="s">
        <v>713</v>
      </c>
      <c r="C5806" s="3" t="s">
        <v>1342</v>
      </c>
      <c r="D5806" s="3" t="s">
        <v>68</v>
      </c>
      <c r="E5806" s="3" t="s">
        <v>100</v>
      </c>
      <c r="F5806" s="3" t="s">
        <v>728</v>
      </c>
      <c r="G5806" s="7">
        <v>46163.86875082226</v>
      </c>
    </row>
    <row r="5807">
      <c r="A5807" s="3" t="s">
        <v>17984</v>
      </c>
      <c r="B5807" s="3" t="s">
        <v>1049</v>
      </c>
      <c r="C5807" s="3" t="s">
        <v>56</v>
      </c>
      <c r="D5807" s="3" t="s">
        <v>195</v>
      </c>
      <c r="E5807" s="3" t="s">
        <v>45</v>
      </c>
      <c r="F5807" s="3" t="s">
        <v>45</v>
      </c>
      <c r="G5807" s="7">
        <v>46163.93992566768</v>
      </c>
    </row>
    <row r="5808">
      <c r="A5808" s="3" t="s">
        <v>17988</v>
      </c>
      <c r="B5808" s="3" t="s">
        <v>816</v>
      </c>
      <c r="C5808" s="3" t="s">
        <v>1095</v>
      </c>
      <c r="D5808" s="3" t="s">
        <v>68</v>
      </c>
      <c r="E5808" s="3" t="s">
        <v>100</v>
      </c>
      <c r="F5808" s="3" t="s">
        <v>701</v>
      </c>
      <c r="G5808" s="7">
        <v>46164.01110051309</v>
      </c>
    </row>
    <row r="5809">
      <c r="A5809" s="3" t="s">
        <v>17991</v>
      </c>
      <c r="B5809" s="3" t="s">
        <v>224</v>
      </c>
      <c r="C5809" s="3" t="s">
        <v>1342</v>
      </c>
      <c r="D5809" s="3" t="s">
        <v>68</v>
      </c>
      <c r="E5809" s="3" t="s">
        <v>100</v>
      </c>
      <c r="F5809" s="3" t="s">
        <v>1751</v>
      </c>
      <c r="G5809" s="7">
        <v>46164.0822753585</v>
      </c>
    </row>
    <row r="5810">
      <c r="A5810" s="3" t="s">
        <v>17994</v>
      </c>
      <c r="B5810" s="3" t="s">
        <v>430</v>
      </c>
      <c r="C5810" s="3" t="s">
        <v>1095</v>
      </c>
      <c r="D5810" s="3" t="s">
        <v>68</v>
      </c>
      <c r="E5810" s="3" t="s">
        <v>100</v>
      </c>
      <c r="F5810" s="3" t="s">
        <v>1950</v>
      </c>
      <c r="G5810" s="7">
        <v>46164.15345020392</v>
      </c>
    </row>
    <row r="5811">
      <c r="A5811" s="3" t="s">
        <v>17997</v>
      </c>
      <c r="B5811" s="3" t="s">
        <v>208</v>
      </c>
      <c r="C5811" s="3" t="s">
        <v>1342</v>
      </c>
      <c r="D5811" s="3" t="s">
        <v>68</v>
      </c>
      <c r="E5811" s="3" t="s">
        <v>100</v>
      </c>
      <c r="F5811" s="3" t="s">
        <v>1954</v>
      </c>
      <c r="G5811" s="7">
        <v>46164.22462504933</v>
      </c>
    </row>
    <row r="5812">
      <c r="A5812" s="3" t="s">
        <v>18000</v>
      </c>
      <c r="B5812" s="3" t="s">
        <v>519</v>
      </c>
      <c r="C5812" s="3" t="s">
        <v>1095</v>
      </c>
      <c r="D5812" s="3" t="s">
        <v>68</v>
      </c>
      <c r="E5812" s="3" t="s">
        <v>100</v>
      </c>
      <c r="F5812" s="3" t="s">
        <v>754</v>
      </c>
      <c r="G5812" s="7">
        <v>46164.295799894746</v>
      </c>
    </row>
    <row r="5813">
      <c r="A5813" s="3" t="s">
        <v>18005</v>
      </c>
      <c r="B5813" s="3" t="s">
        <v>596</v>
      </c>
      <c r="C5813" s="3" t="s">
        <v>1342</v>
      </c>
      <c r="D5813" s="3" t="s">
        <v>68</v>
      </c>
      <c r="E5813" s="3" t="s">
        <v>100</v>
      </c>
      <c r="F5813" s="3" t="s">
        <v>762</v>
      </c>
      <c r="G5813" s="7">
        <v>46164.366974740165</v>
      </c>
    </row>
    <row r="5814">
      <c r="A5814" s="3" t="s">
        <v>18008</v>
      </c>
      <c r="B5814" s="3" t="s">
        <v>785</v>
      </c>
      <c r="C5814" s="3" t="s">
        <v>1342</v>
      </c>
      <c r="D5814" s="3" t="s">
        <v>68</v>
      </c>
      <c r="E5814" s="3" t="s">
        <v>100</v>
      </c>
      <c r="F5814" s="3" t="s">
        <v>1549</v>
      </c>
      <c r="G5814" s="7">
        <v>46164.43814958558</v>
      </c>
    </row>
    <row r="5815">
      <c r="A5815" s="3" t="s">
        <v>18010</v>
      </c>
      <c r="B5815" s="3" t="s">
        <v>947</v>
      </c>
      <c r="C5815" s="3" t="s">
        <v>1342</v>
      </c>
      <c r="D5815" s="3" t="s">
        <v>68</v>
      </c>
      <c r="E5815" s="3" t="s">
        <v>100</v>
      </c>
      <c r="F5815" s="3" t="s">
        <v>603</v>
      </c>
      <c r="G5815" s="7">
        <v>46164.50932443099</v>
      </c>
    </row>
    <row r="5816">
      <c r="A5816" s="3" t="s">
        <v>18012</v>
      </c>
      <c r="B5816" s="3" t="s">
        <v>665</v>
      </c>
      <c r="C5816" s="3" t="s">
        <v>56</v>
      </c>
      <c r="D5816" s="3" t="s">
        <v>68</v>
      </c>
      <c r="E5816" s="3" t="s">
        <v>100</v>
      </c>
      <c r="F5816" s="3" t="s">
        <v>802</v>
      </c>
      <c r="G5816" s="7">
        <v>46164.58049927641</v>
      </c>
    </row>
    <row r="5817">
      <c r="A5817" s="3" t="s">
        <v>18014</v>
      </c>
      <c r="B5817" s="3" t="s">
        <v>913</v>
      </c>
      <c r="C5817" s="3" t="s">
        <v>1342</v>
      </c>
      <c r="D5817" s="3" t="s">
        <v>68</v>
      </c>
      <c r="E5817" s="3" t="s">
        <v>100</v>
      </c>
      <c r="F5817" s="3" t="s">
        <v>1728</v>
      </c>
      <c r="G5817" s="7">
        <v>46164.65167412182</v>
      </c>
    </row>
    <row r="5818">
      <c r="A5818" s="3" t="s">
        <v>18019</v>
      </c>
      <c r="B5818" s="3" t="s">
        <v>830</v>
      </c>
      <c r="C5818" s="3" t="s">
        <v>56</v>
      </c>
      <c r="D5818" s="3" t="s">
        <v>195</v>
      </c>
      <c r="E5818" s="3" t="s">
        <v>45</v>
      </c>
      <c r="F5818" s="3" t="s">
        <v>45</v>
      </c>
      <c r="G5818" s="7">
        <v>46164.722848967234</v>
      </c>
    </row>
    <row r="5819">
      <c r="A5819" s="3" t="s">
        <v>18021</v>
      </c>
      <c r="B5819" s="3" t="s">
        <v>765</v>
      </c>
      <c r="C5819" s="3" t="s">
        <v>56</v>
      </c>
      <c r="D5819" s="3" t="s">
        <v>68</v>
      </c>
      <c r="E5819" s="3" t="s">
        <v>100</v>
      </c>
      <c r="F5819" s="3" t="s">
        <v>808</v>
      </c>
      <c r="G5819" s="7">
        <v>46164.794023812654</v>
      </c>
    </row>
    <row r="5820">
      <c r="A5820" s="3" t="s">
        <v>18024</v>
      </c>
      <c r="B5820" s="3" t="s">
        <v>616</v>
      </c>
      <c r="C5820" s="3" t="s">
        <v>1342</v>
      </c>
      <c r="D5820" s="3" t="s">
        <v>68</v>
      </c>
      <c r="E5820" s="3" t="s">
        <v>100</v>
      </c>
      <c r="F5820" s="3" t="s">
        <v>2077</v>
      </c>
      <c r="G5820" s="7">
        <v>46164.86519865807</v>
      </c>
    </row>
    <row r="5821">
      <c r="A5821" s="3" t="s">
        <v>18027</v>
      </c>
      <c r="B5821" s="3" t="s">
        <v>1037</v>
      </c>
      <c r="C5821" s="3" t="s">
        <v>1095</v>
      </c>
      <c r="D5821" s="3" t="s">
        <v>68</v>
      </c>
      <c r="E5821" s="3" t="s">
        <v>100</v>
      </c>
      <c r="F5821" s="3" t="s">
        <v>1983</v>
      </c>
      <c r="G5821" s="7">
        <v>46164.93637350348</v>
      </c>
    </row>
    <row r="5822">
      <c r="A5822" s="3" t="s">
        <v>18030</v>
      </c>
      <c r="B5822" s="3" t="s">
        <v>593</v>
      </c>
      <c r="C5822" s="3" t="s">
        <v>1095</v>
      </c>
      <c r="D5822" s="3" t="s">
        <v>68</v>
      </c>
      <c r="E5822" s="3" t="s">
        <v>100</v>
      </c>
      <c r="F5822" s="3" t="s">
        <v>1914</v>
      </c>
      <c r="G5822" s="7">
        <v>46165.0075483489</v>
      </c>
    </row>
    <row r="5823">
      <c r="A5823" s="3" t="s">
        <v>18033</v>
      </c>
      <c r="B5823" s="3" t="s">
        <v>708</v>
      </c>
      <c r="C5823" s="3" t="s">
        <v>1342</v>
      </c>
      <c r="D5823" s="3" t="s">
        <v>68</v>
      </c>
      <c r="E5823" s="3" t="s">
        <v>100</v>
      </c>
      <c r="F5823" s="3" t="s">
        <v>2041</v>
      </c>
      <c r="G5823" s="7">
        <v>46165.07872319432</v>
      </c>
    </row>
    <row r="5824">
      <c r="A5824" s="3" t="s">
        <v>18036</v>
      </c>
      <c r="B5824" s="3" t="s">
        <v>1008</v>
      </c>
      <c r="C5824" s="3" t="s">
        <v>56</v>
      </c>
      <c r="D5824" s="3" t="s">
        <v>68</v>
      </c>
      <c r="E5824" s="3" t="s">
        <v>100</v>
      </c>
      <c r="F5824" s="3" t="s">
        <v>810</v>
      </c>
      <c r="G5824" s="7">
        <v>46165.14989803973</v>
      </c>
    </row>
    <row r="5825">
      <c r="A5825" s="3" t="s">
        <v>18039</v>
      </c>
      <c r="B5825" s="3" t="s">
        <v>263</v>
      </c>
      <c r="C5825" s="3" t="s">
        <v>1095</v>
      </c>
      <c r="D5825" s="3" t="s">
        <v>68</v>
      </c>
      <c r="E5825" s="3" t="s">
        <v>100</v>
      </c>
      <c r="F5825" s="3" t="s">
        <v>668</v>
      </c>
      <c r="G5825" s="7">
        <v>46165.22107288514</v>
      </c>
    </row>
    <row r="5826">
      <c r="A5826" s="3" t="s">
        <v>18043</v>
      </c>
      <c r="B5826" s="3" t="s">
        <v>747</v>
      </c>
      <c r="C5826" s="3" t="s">
        <v>1095</v>
      </c>
      <c r="D5826" s="3" t="s">
        <v>68</v>
      </c>
      <c r="E5826" s="3" t="s">
        <v>100</v>
      </c>
      <c r="F5826" s="3" t="s">
        <v>560</v>
      </c>
      <c r="G5826" s="7">
        <v>46165.29224773056</v>
      </c>
    </row>
    <row r="5827">
      <c r="A5827" s="3" t="s">
        <v>18047</v>
      </c>
      <c r="B5827" s="3" t="s">
        <v>870</v>
      </c>
      <c r="C5827" s="3" t="s">
        <v>1342</v>
      </c>
      <c r="D5827" s="3" t="s">
        <v>68</v>
      </c>
      <c r="E5827" s="3" t="s">
        <v>100</v>
      </c>
      <c r="F5827" s="3" t="s">
        <v>2044</v>
      </c>
      <c r="G5827" s="7">
        <v>46165.363422575974</v>
      </c>
    </row>
    <row r="5828">
      <c r="A5828" s="3" t="s">
        <v>18050</v>
      </c>
      <c r="B5828" s="3" t="s">
        <v>574</v>
      </c>
      <c r="C5828" s="3" t="s">
        <v>56</v>
      </c>
      <c r="D5828" s="3" t="s">
        <v>68</v>
      </c>
      <c r="E5828" s="3" t="s">
        <v>100</v>
      </c>
      <c r="F5828" s="3" t="s">
        <v>815</v>
      </c>
      <c r="G5828" s="7">
        <v>46165.43459742139</v>
      </c>
    </row>
    <row r="5829">
      <c r="A5829" s="3" t="s">
        <v>18054</v>
      </c>
      <c r="B5829" s="3" t="s">
        <v>575</v>
      </c>
      <c r="C5829" s="3" t="s">
        <v>56</v>
      </c>
      <c r="D5829" s="3" t="s">
        <v>68</v>
      </c>
      <c r="E5829" s="3" t="s">
        <v>100</v>
      </c>
      <c r="F5829" s="3" t="s">
        <v>818</v>
      </c>
      <c r="G5829" s="7">
        <v>46165.505772266806</v>
      </c>
    </row>
    <row r="5830">
      <c r="A5830" s="3" t="s">
        <v>18058</v>
      </c>
      <c r="B5830" s="3" t="s">
        <v>313</v>
      </c>
      <c r="C5830" s="3" t="s">
        <v>56</v>
      </c>
      <c r="D5830" s="3" t="s">
        <v>68</v>
      </c>
      <c r="E5830" s="3" t="s">
        <v>100</v>
      </c>
      <c r="F5830" s="3" t="s">
        <v>823</v>
      </c>
      <c r="G5830" s="7">
        <v>46165.576947112226</v>
      </c>
    </row>
    <row r="5831">
      <c r="A5831" s="3" t="s">
        <v>18061</v>
      </c>
      <c r="B5831" s="3" t="s">
        <v>137</v>
      </c>
      <c r="C5831" s="3" t="s">
        <v>56</v>
      </c>
      <c r="D5831" s="3" t="s">
        <v>68</v>
      </c>
      <c r="E5831" s="3" t="s">
        <v>100</v>
      </c>
      <c r="F5831" s="3" t="s">
        <v>829</v>
      </c>
      <c r="G5831" s="7">
        <v>46165.64812195763</v>
      </c>
    </row>
    <row r="5832">
      <c r="A5832" s="3" t="s">
        <v>18063</v>
      </c>
      <c r="B5832" s="3" t="s">
        <v>373</v>
      </c>
      <c r="C5832" s="3" t="s">
        <v>1342</v>
      </c>
      <c r="D5832" s="3" t="s">
        <v>195</v>
      </c>
      <c r="E5832" s="3" t="s">
        <v>45</v>
      </c>
      <c r="F5832" s="3" t="s">
        <v>1676</v>
      </c>
      <c r="G5832" s="7">
        <v>46165.71929680305</v>
      </c>
    </row>
    <row r="5833">
      <c r="A5833" s="3" t="s">
        <v>18065</v>
      </c>
      <c r="B5833" s="3" t="s">
        <v>1008</v>
      </c>
      <c r="C5833" s="3" t="s">
        <v>1095</v>
      </c>
      <c r="D5833" s="3" t="s">
        <v>68</v>
      </c>
      <c r="E5833" s="3" t="s">
        <v>100</v>
      </c>
      <c r="F5833" s="3" t="s">
        <v>810</v>
      </c>
      <c r="G5833" s="7">
        <v>46165.79047164846</v>
      </c>
    </row>
    <row r="5834">
      <c r="A5834" s="3" t="s">
        <v>18068</v>
      </c>
      <c r="B5834" s="3" t="s">
        <v>900</v>
      </c>
      <c r="C5834" s="3" t="s">
        <v>56</v>
      </c>
      <c r="D5834" s="3" t="s">
        <v>68</v>
      </c>
      <c r="E5834" s="3" t="s">
        <v>100</v>
      </c>
      <c r="F5834" s="3" t="s">
        <v>831</v>
      </c>
      <c r="G5834" s="7">
        <v>46165.86164649388</v>
      </c>
    </row>
    <row r="5835">
      <c r="A5835" s="3" t="s">
        <v>18071</v>
      </c>
      <c r="B5835" s="3" t="s">
        <v>640</v>
      </c>
      <c r="C5835" s="3" t="s">
        <v>1095</v>
      </c>
      <c r="D5835" s="3" t="s">
        <v>68</v>
      </c>
      <c r="E5835" s="3" t="s">
        <v>100</v>
      </c>
      <c r="F5835" s="3" t="s">
        <v>983</v>
      </c>
      <c r="G5835" s="7">
        <v>46165.932821339295</v>
      </c>
    </row>
    <row r="5836">
      <c r="A5836" s="3" t="s">
        <v>18074</v>
      </c>
      <c r="B5836" s="3" t="s">
        <v>601</v>
      </c>
      <c r="C5836" s="3" t="s">
        <v>56</v>
      </c>
      <c r="D5836" s="3" t="s">
        <v>68</v>
      </c>
      <c r="E5836" s="3" t="s">
        <v>100</v>
      </c>
      <c r="F5836" s="3" t="s">
        <v>837</v>
      </c>
      <c r="G5836" s="7">
        <v>46166.003996184714</v>
      </c>
    </row>
    <row r="5837">
      <c r="A5837" s="3" t="s">
        <v>18078</v>
      </c>
      <c r="B5837" s="3" t="s">
        <v>260</v>
      </c>
      <c r="C5837" s="3" t="s">
        <v>1095</v>
      </c>
      <c r="D5837" s="3" t="s">
        <v>68</v>
      </c>
      <c r="E5837" s="3" t="s">
        <v>100</v>
      </c>
      <c r="F5837" s="3" t="s">
        <v>589</v>
      </c>
      <c r="G5837" s="7">
        <v>46166.07517103012</v>
      </c>
    </row>
    <row r="5838">
      <c r="A5838" s="3" t="s">
        <v>18080</v>
      </c>
      <c r="B5838" s="3" t="s">
        <v>722</v>
      </c>
      <c r="C5838" s="3" t="s">
        <v>1095</v>
      </c>
      <c r="D5838" s="3" t="s">
        <v>195</v>
      </c>
      <c r="E5838" s="3" t="s">
        <v>45</v>
      </c>
      <c r="F5838" s="3" t="s">
        <v>2004</v>
      </c>
      <c r="G5838" s="7">
        <v>46166.14634587554</v>
      </c>
    </row>
    <row r="5839">
      <c r="A5839" s="3" t="s">
        <v>18084</v>
      </c>
      <c r="B5839" s="3" t="s">
        <v>565</v>
      </c>
      <c r="C5839" s="3" t="s">
        <v>1342</v>
      </c>
      <c r="D5839" s="3" t="s">
        <v>68</v>
      </c>
      <c r="E5839" s="3" t="s">
        <v>100</v>
      </c>
      <c r="F5839" s="3" t="s">
        <v>2072</v>
      </c>
      <c r="G5839" s="7">
        <v>46166.21752072096</v>
      </c>
    </row>
    <row r="5840">
      <c r="A5840" s="3" t="s">
        <v>18087</v>
      </c>
      <c r="B5840" s="3" t="s">
        <v>202</v>
      </c>
      <c r="C5840" s="3" t="s">
        <v>56</v>
      </c>
      <c r="D5840" s="3" t="s">
        <v>68</v>
      </c>
      <c r="E5840" s="3" t="s">
        <v>100</v>
      </c>
      <c r="F5840" s="3" t="s">
        <v>840</v>
      </c>
      <c r="G5840" s="7">
        <v>46166.28869556637</v>
      </c>
    </row>
    <row r="5841">
      <c r="A5841" s="3" t="s">
        <v>18090</v>
      </c>
      <c r="B5841" s="3" t="s">
        <v>685</v>
      </c>
      <c r="C5841" s="3" t="s">
        <v>56</v>
      </c>
      <c r="D5841" s="3" t="s">
        <v>68</v>
      </c>
      <c r="E5841" s="3" t="s">
        <v>100</v>
      </c>
      <c r="F5841" s="3" t="s">
        <v>846</v>
      </c>
      <c r="G5841" s="7">
        <v>46166.35987041178</v>
      </c>
    </row>
    <row r="5842">
      <c r="A5842" s="3" t="s">
        <v>18095</v>
      </c>
      <c r="B5842" s="3" t="s">
        <v>559</v>
      </c>
      <c r="C5842" s="3" t="s">
        <v>1095</v>
      </c>
      <c r="D5842" s="3" t="s">
        <v>68</v>
      </c>
      <c r="E5842" s="3" t="s">
        <v>100</v>
      </c>
      <c r="F5842" s="3" t="s">
        <v>509</v>
      </c>
      <c r="G5842" s="7">
        <v>46166.4310452572</v>
      </c>
    </row>
    <row r="5843">
      <c r="A5843" s="3" t="s">
        <v>18098</v>
      </c>
      <c r="B5843" s="3" t="s">
        <v>398</v>
      </c>
      <c r="C5843" s="3" t="s">
        <v>56</v>
      </c>
      <c r="D5843" s="3" t="s">
        <v>68</v>
      </c>
      <c r="E5843" s="3" t="s">
        <v>100</v>
      </c>
      <c r="F5843" s="3" t="s">
        <v>849</v>
      </c>
      <c r="G5843" s="7">
        <v>46166.502220102615</v>
      </c>
    </row>
    <row r="5844">
      <c r="A5844" s="3" t="s">
        <v>18101</v>
      </c>
      <c r="B5844" s="3" t="s">
        <v>130</v>
      </c>
      <c r="C5844" s="3" t="s">
        <v>1342</v>
      </c>
      <c r="D5844" s="3" t="s">
        <v>181</v>
      </c>
      <c r="E5844" s="3" t="s">
        <v>45</v>
      </c>
      <c r="F5844" s="3" t="s">
        <v>538</v>
      </c>
      <c r="G5844" s="7">
        <v>46166.57339494803</v>
      </c>
    </row>
    <row r="5845">
      <c r="A5845" s="3" t="s">
        <v>18104</v>
      </c>
      <c r="B5845" s="3" t="s">
        <v>773</v>
      </c>
      <c r="C5845" s="3" t="s">
        <v>56</v>
      </c>
      <c r="D5845" s="3" t="s">
        <v>181</v>
      </c>
      <c r="E5845" s="3" t="s">
        <v>45</v>
      </c>
      <c r="F5845" s="3" t="s">
        <v>45</v>
      </c>
      <c r="G5845" s="7">
        <v>46166.64456979345</v>
      </c>
    </row>
    <row r="5846">
      <c r="A5846" s="3" t="s">
        <v>18107</v>
      </c>
      <c r="B5846" s="3" t="s">
        <v>665</v>
      </c>
      <c r="C5846" s="3" t="s">
        <v>1342</v>
      </c>
      <c r="D5846" s="3" t="s">
        <v>68</v>
      </c>
      <c r="E5846" s="3" t="s">
        <v>100</v>
      </c>
      <c r="F5846" s="3" t="s">
        <v>802</v>
      </c>
      <c r="G5846" s="7">
        <v>46166.71574463887</v>
      </c>
    </row>
    <row r="5847">
      <c r="A5847" s="3" t="s">
        <v>18110</v>
      </c>
      <c r="B5847" s="3" t="s">
        <v>296</v>
      </c>
      <c r="C5847" s="3" t="s">
        <v>1342</v>
      </c>
      <c r="D5847" s="3" t="s">
        <v>68</v>
      </c>
      <c r="E5847" s="3" t="s">
        <v>100</v>
      </c>
      <c r="F5847" s="3" t="s">
        <v>1932</v>
      </c>
      <c r="G5847" s="7">
        <v>46166.78691948427</v>
      </c>
    </row>
    <row r="5848">
      <c r="A5848" s="3" t="s">
        <v>18113</v>
      </c>
      <c r="B5848" s="3" t="s">
        <v>581</v>
      </c>
      <c r="C5848" s="3" t="s">
        <v>1342</v>
      </c>
      <c r="D5848" s="3" t="s">
        <v>68</v>
      </c>
      <c r="E5848" s="3" t="s">
        <v>100</v>
      </c>
      <c r="F5848" s="3" t="s">
        <v>1890</v>
      </c>
      <c r="G5848" s="7">
        <v>46166.85809432969</v>
      </c>
    </row>
    <row r="5849">
      <c r="A5849" s="3" t="s">
        <v>18117</v>
      </c>
      <c r="B5849" s="3" t="s">
        <v>1008</v>
      </c>
      <c r="C5849" s="3" t="s">
        <v>56</v>
      </c>
      <c r="D5849" s="3" t="s">
        <v>68</v>
      </c>
      <c r="E5849" s="3" t="s">
        <v>100</v>
      </c>
      <c r="F5849" s="3" t="s">
        <v>855</v>
      </c>
      <c r="G5849" s="7">
        <v>46166.92926917511</v>
      </c>
    </row>
    <row r="5850">
      <c r="A5850" s="3" t="s">
        <v>18120</v>
      </c>
      <c r="B5850" s="3" t="s">
        <v>468</v>
      </c>
      <c r="C5850" s="3" t="s">
        <v>1095</v>
      </c>
      <c r="D5850" s="3" t="s">
        <v>68</v>
      </c>
      <c r="E5850" s="3" t="s">
        <v>100</v>
      </c>
      <c r="F5850" s="3" t="s">
        <v>2023</v>
      </c>
      <c r="G5850" s="7">
        <v>46167.00044402052</v>
      </c>
    </row>
    <row r="5851">
      <c r="A5851" s="3" t="s">
        <v>18124</v>
      </c>
      <c r="B5851" s="3" t="s">
        <v>662</v>
      </c>
      <c r="C5851" s="3" t="s">
        <v>1095</v>
      </c>
      <c r="D5851" s="3" t="s">
        <v>68</v>
      </c>
      <c r="E5851" s="3" t="s">
        <v>100</v>
      </c>
      <c r="F5851" s="3" t="s">
        <v>1997</v>
      </c>
      <c r="G5851" s="7">
        <v>46167.071618865935</v>
      </c>
    </row>
    <row r="5852">
      <c r="A5852" s="3" t="s">
        <v>18128</v>
      </c>
      <c r="B5852" s="3" t="s">
        <v>569</v>
      </c>
      <c r="C5852" s="3" t="s">
        <v>56</v>
      </c>
      <c r="D5852" s="3" t="s">
        <v>68</v>
      </c>
      <c r="E5852" s="3" t="s">
        <v>100</v>
      </c>
      <c r="F5852" s="3" t="s">
        <v>857</v>
      </c>
      <c r="G5852" s="7">
        <v>46167.142793711355</v>
      </c>
    </row>
    <row r="5853">
      <c r="A5853" s="3" t="s">
        <v>18131</v>
      </c>
      <c r="B5853" s="3" t="s">
        <v>224</v>
      </c>
      <c r="C5853" s="3" t="s">
        <v>1342</v>
      </c>
      <c r="D5853" s="3" t="s">
        <v>68</v>
      </c>
      <c r="E5853" s="3" t="s">
        <v>100</v>
      </c>
      <c r="F5853" s="3" t="s">
        <v>1751</v>
      </c>
      <c r="G5853" s="7">
        <v>46167.21396855677</v>
      </c>
    </row>
    <row r="5854">
      <c r="A5854" s="3" t="s">
        <v>18134</v>
      </c>
      <c r="B5854" s="3" t="s">
        <v>632</v>
      </c>
      <c r="C5854" s="3" t="s">
        <v>1342</v>
      </c>
      <c r="D5854" s="3" t="s">
        <v>68</v>
      </c>
      <c r="E5854" s="3" t="s">
        <v>100</v>
      </c>
      <c r="F5854" s="3" t="s">
        <v>1763</v>
      </c>
      <c r="G5854" s="7">
        <v>46167.28514340218</v>
      </c>
    </row>
    <row r="5855">
      <c r="A5855" s="3" t="s">
        <v>18138</v>
      </c>
      <c r="B5855" s="3" t="s">
        <v>224</v>
      </c>
      <c r="C5855" s="3" t="s">
        <v>1342</v>
      </c>
      <c r="D5855" s="3" t="s">
        <v>68</v>
      </c>
      <c r="E5855" s="3" t="s">
        <v>100</v>
      </c>
      <c r="F5855" s="3" t="s">
        <v>1751</v>
      </c>
      <c r="G5855" s="7">
        <v>46167.3563182476</v>
      </c>
    </row>
    <row r="5856">
      <c r="A5856" s="3" t="s">
        <v>18141</v>
      </c>
      <c r="B5856" s="3" t="s">
        <v>742</v>
      </c>
      <c r="C5856" s="3" t="s">
        <v>1095</v>
      </c>
      <c r="D5856" s="3" t="s">
        <v>68</v>
      </c>
      <c r="E5856" s="3" t="s">
        <v>100</v>
      </c>
      <c r="F5856" s="3" t="s">
        <v>1666</v>
      </c>
      <c r="G5856" s="7">
        <v>46167.42749309301</v>
      </c>
    </row>
    <row r="5857">
      <c r="A5857" s="3" t="s">
        <v>18145</v>
      </c>
      <c r="B5857" s="3" t="s">
        <v>539</v>
      </c>
      <c r="C5857" s="3" t="s">
        <v>1342</v>
      </c>
      <c r="D5857" s="3" t="s">
        <v>68</v>
      </c>
      <c r="E5857" s="3" t="s">
        <v>100</v>
      </c>
      <c r="F5857" s="3" t="s">
        <v>1346</v>
      </c>
      <c r="G5857" s="7">
        <v>46167.498667938424</v>
      </c>
    </row>
    <row r="5858">
      <c r="A5858" s="3" t="s">
        <v>18148</v>
      </c>
      <c r="B5858" s="3" t="s">
        <v>515</v>
      </c>
      <c r="C5858" s="3" t="s">
        <v>56</v>
      </c>
      <c r="D5858" s="3" t="s">
        <v>181</v>
      </c>
      <c r="E5858" s="3" t="s">
        <v>45</v>
      </c>
      <c r="F5858" s="3" t="s">
        <v>45</v>
      </c>
      <c r="G5858" s="7">
        <v>46167.56984278384</v>
      </c>
    </row>
    <row r="5859">
      <c r="A5859" s="3" t="s">
        <v>18152</v>
      </c>
      <c r="B5859" s="3" t="s">
        <v>326</v>
      </c>
      <c r="C5859" s="3" t="s">
        <v>1095</v>
      </c>
      <c r="D5859" s="3" t="s">
        <v>68</v>
      </c>
      <c r="E5859" s="3" t="s">
        <v>100</v>
      </c>
      <c r="F5859" s="3" t="s">
        <v>1797</v>
      </c>
      <c r="G5859" s="7">
        <v>46167.641017629256</v>
      </c>
    </row>
    <row r="5860">
      <c r="A5860" s="3" t="s">
        <v>18156</v>
      </c>
      <c r="B5860" s="3" t="s">
        <v>296</v>
      </c>
      <c r="C5860" s="3" t="s">
        <v>1342</v>
      </c>
      <c r="D5860" s="3" t="s">
        <v>68</v>
      </c>
      <c r="E5860" s="3" t="s">
        <v>100</v>
      </c>
      <c r="F5860" s="3" t="s">
        <v>1932</v>
      </c>
      <c r="G5860" s="7">
        <v>46167.71219247467</v>
      </c>
    </row>
    <row r="5861">
      <c r="A5861" s="3" t="s">
        <v>18159</v>
      </c>
      <c r="B5861" s="3" t="s">
        <v>398</v>
      </c>
      <c r="C5861" s="3" t="s">
        <v>1095</v>
      </c>
      <c r="D5861" s="3" t="s">
        <v>68</v>
      </c>
      <c r="E5861" s="3" t="s">
        <v>100</v>
      </c>
      <c r="F5861" s="3" t="s">
        <v>849</v>
      </c>
      <c r="G5861" s="7">
        <v>46167.78336732009</v>
      </c>
    </row>
    <row r="5862">
      <c r="A5862" s="3" t="s">
        <v>18162</v>
      </c>
      <c r="B5862" s="3" t="s">
        <v>1008</v>
      </c>
      <c r="C5862" s="3" t="s">
        <v>1095</v>
      </c>
      <c r="D5862" s="3" t="s">
        <v>68</v>
      </c>
      <c r="E5862" s="3" t="s">
        <v>100</v>
      </c>
      <c r="F5862" s="3" t="s">
        <v>855</v>
      </c>
      <c r="G5862" s="7">
        <v>46167.85454216551</v>
      </c>
    </row>
    <row r="5863">
      <c r="A5863" s="3" t="s">
        <v>18166</v>
      </c>
      <c r="B5863" s="3" t="s">
        <v>388</v>
      </c>
      <c r="C5863" s="3" t="s">
        <v>1095</v>
      </c>
      <c r="D5863" s="3" t="s">
        <v>181</v>
      </c>
      <c r="E5863" s="3" t="s">
        <v>45</v>
      </c>
      <c r="F5863" s="3" t="s">
        <v>1232</v>
      </c>
      <c r="G5863" s="7">
        <v>46167.92571701091</v>
      </c>
    </row>
    <row r="5864">
      <c r="A5864" s="3" t="s">
        <v>18170</v>
      </c>
      <c r="B5864" s="3" t="s">
        <v>547</v>
      </c>
      <c r="C5864" s="3" t="s">
        <v>56</v>
      </c>
      <c r="D5864" s="3" t="s">
        <v>68</v>
      </c>
      <c r="E5864" s="3" t="s">
        <v>100</v>
      </c>
      <c r="F5864" s="3" t="s">
        <v>862</v>
      </c>
      <c r="G5864" s="7">
        <v>46167.99689185633</v>
      </c>
    </row>
    <row r="5865">
      <c r="A5865" s="3" t="s">
        <v>18173</v>
      </c>
      <c r="B5865" s="3" t="s">
        <v>344</v>
      </c>
      <c r="C5865" s="3" t="s">
        <v>56</v>
      </c>
      <c r="D5865" s="3" t="s">
        <v>68</v>
      </c>
      <c r="E5865" s="3" t="s">
        <v>100</v>
      </c>
      <c r="F5865" s="3" t="s">
        <v>867</v>
      </c>
      <c r="G5865" s="7">
        <v>46168.06806670175</v>
      </c>
    </row>
    <row r="5866">
      <c r="A5866" s="3" t="s">
        <v>18177</v>
      </c>
      <c r="B5866" s="3" t="s">
        <v>953</v>
      </c>
      <c r="C5866" s="3" t="s">
        <v>1342</v>
      </c>
      <c r="D5866" s="3" t="s">
        <v>68</v>
      </c>
      <c r="E5866" s="3" t="s">
        <v>100</v>
      </c>
      <c r="F5866" s="3" t="s">
        <v>1958</v>
      </c>
      <c r="G5866" s="7">
        <v>46168.139241547164</v>
      </c>
    </row>
    <row r="5867">
      <c r="A5867" s="3" t="s">
        <v>18181</v>
      </c>
      <c r="B5867" s="3" t="s">
        <v>694</v>
      </c>
      <c r="C5867" s="3" t="s">
        <v>56</v>
      </c>
      <c r="D5867" s="3" t="s">
        <v>68</v>
      </c>
      <c r="E5867" s="3" t="s">
        <v>100</v>
      </c>
      <c r="F5867" s="3" t="s">
        <v>919</v>
      </c>
      <c r="G5867" s="7">
        <v>46168.210416392576</v>
      </c>
    </row>
    <row r="5868">
      <c r="A5868" s="3" t="s">
        <v>18184</v>
      </c>
      <c r="B5868" s="3" t="s">
        <v>341</v>
      </c>
      <c r="C5868" s="3" t="s">
        <v>56</v>
      </c>
      <c r="D5868" s="3" t="s">
        <v>68</v>
      </c>
      <c r="E5868" s="3" t="s">
        <v>100</v>
      </c>
      <c r="F5868" s="3" t="s">
        <v>923</v>
      </c>
      <c r="G5868" s="7">
        <v>46168.281591237996</v>
      </c>
    </row>
    <row r="5869">
      <c r="A5869" s="3" t="s">
        <v>18187</v>
      </c>
      <c r="B5869" s="3" t="s">
        <v>250</v>
      </c>
      <c r="C5869" s="3" t="s">
        <v>1342</v>
      </c>
      <c r="D5869" s="3" t="s">
        <v>68</v>
      </c>
      <c r="E5869" s="3" t="s">
        <v>100</v>
      </c>
      <c r="F5869" s="3" t="s">
        <v>1701</v>
      </c>
      <c r="G5869" s="7">
        <v>46168.35276608341</v>
      </c>
    </row>
    <row r="5870">
      <c r="A5870" s="3" t="s">
        <v>18191</v>
      </c>
      <c r="B5870" s="3" t="s">
        <v>189</v>
      </c>
      <c r="C5870" s="3" t="s">
        <v>56</v>
      </c>
      <c r="D5870" s="3" t="s">
        <v>195</v>
      </c>
      <c r="E5870" s="3" t="s">
        <v>45</v>
      </c>
      <c r="F5870" s="3" t="s">
        <v>45</v>
      </c>
      <c r="G5870" s="7">
        <v>46168.42394092882</v>
      </c>
    </row>
    <row r="5871">
      <c r="A5871" s="3" t="s">
        <v>18194</v>
      </c>
      <c r="B5871" s="3" t="s">
        <v>987</v>
      </c>
      <c r="C5871" s="3" t="s">
        <v>1095</v>
      </c>
      <c r="D5871" s="3" t="s">
        <v>68</v>
      </c>
      <c r="E5871" s="3" t="s">
        <v>100</v>
      </c>
      <c r="F5871" s="3" t="s">
        <v>553</v>
      </c>
      <c r="G5871" s="7">
        <v>46168.49511577424</v>
      </c>
    </row>
    <row r="5872">
      <c r="A5872" s="3" t="s">
        <v>18198</v>
      </c>
      <c r="B5872" s="3" t="s">
        <v>819</v>
      </c>
      <c r="C5872" s="3" t="s">
        <v>1342</v>
      </c>
      <c r="D5872" s="3" t="s">
        <v>68</v>
      </c>
      <c r="E5872" s="3" t="s">
        <v>100</v>
      </c>
      <c r="F5872" s="3" t="s">
        <v>1654</v>
      </c>
      <c r="G5872" s="7">
        <v>46168.56629061966</v>
      </c>
    </row>
    <row r="5873">
      <c r="A5873" s="3" t="s">
        <v>18201</v>
      </c>
      <c r="B5873" s="3" t="s">
        <v>544</v>
      </c>
      <c r="C5873" s="3" t="s">
        <v>56</v>
      </c>
      <c r="D5873" s="3" t="s">
        <v>68</v>
      </c>
      <c r="E5873" s="3" t="s">
        <v>100</v>
      </c>
      <c r="F5873" s="3" t="s">
        <v>928</v>
      </c>
      <c r="G5873" s="7">
        <v>46168.637465465064</v>
      </c>
    </row>
    <row r="5874">
      <c r="A5874" s="3" t="s">
        <v>18205</v>
      </c>
      <c r="B5874" s="3" t="s">
        <v>266</v>
      </c>
      <c r="C5874" s="3" t="s">
        <v>1342</v>
      </c>
      <c r="D5874" s="3" t="s">
        <v>68</v>
      </c>
      <c r="E5874" s="3" t="s">
        <v>100</v>
      </c>
      <c r="F5874" s="3" t="s">
        <v>1058</v>
      </c>
      <c r="G5874" s="7">
        <v>46168.708640310484</v>
      </c>
    </row>
    <row r="5875">
      <c r="A5875" s="3" t="s">
        <v>18207</v>
      </c>
      <c r="B5875" s="3" t="s">
        <v>937</v>
      </c>
      <c r="C5875" s="3" t="s">
        <v>1095</v>
      </c>
      <c r="D5875" s="3" t="s">
        <v>68</v>
      </c>
      <c r="E5875" s="3" t="s">
        <v>100</v>
      </c>
      <c r="F5875" s="3" t="s">
        <v>1369</v>
      </c>
      <c r="G5875" s="7">
        <v>46168.779815155896</v>
      </c>
    </row>
    <row r="5876">
      <c r="A5876" s="3" t="s">
        <v>18212</v>
      </c>
      <c r="B5876" s="3" t="s">
        <v>307</v>
      </c>
      <c r="C5876" s="3" t="s">
        <v>56</v>
      </c>
      <c r="D5876" s="3" t="s">
        <v>195</v>
      </c>
      <c r="E5876" s="3" t="s">
        <v>45</v>
      </c>
      <c r="F5876" s="3" t="s">
        <v>45</v>
      </c>
      <c r="G5876" s="7">
        <v>46168.850990001316</v>
      </c>
    </row>
    <row r="5877">
      <c r="A5877" s="3" t="s">
        <v>18215</v>
      </c>
      <c r="B5877" s="3" t="s">
        <v>175</v>
      </c>
      <c r="C5877" s="3" t="s">
        <v>1095</v>
      </c>
      <c r="D5877" s="3" t="s">
        <v>195</v>
      </c>
      <c r="E5877" s="3" t="s">
        <v>45</v>
      </c>
      <c r="F5877" s="3" t="s">
        <v>797</v>
      </c>
      <c r="G5877" s="7">
        <v>46168.92216484673</v>
      </c>
    </row>
    <row r="5878">
      <c r="A5878" s="3" t="s">
        <v>18218</v>
      </c>
      <c r="B5878" s="3" t="s">
        <v>841</v>
      </c>
      <c r="C5878" s="3" t="s">
        <v>1342</v>
      </c>
      <c r="D5878" s="3" t="s">
        <v>68</v>
      </c>
      <c r="E5878" s="3" t="s">
        <v>100</v>
      </c>
      <c r="F5878" s="3" t="s">
        <v>693</v>
      </c>
      <c r="G5878" s="7">
        <v>46168.99333969215</v>
      </c>
    </row>
    <row r="5879">
      <c r="A5879" s="3" t="s">
        <v>18220</v>
      </c>
      <c r="B5879" s="3" t="s">
        <v>137</v>
      </c>
      <c r="C5879" s="3" t="s">
        <v>1342</v>
      </c>
      <c r="D5879" s="3" t="s">
        <v>68</v>
      </c>
      <c r="E5879" s="3" t="s">
        <v>100</v>
      </c>
      <c r="F5879" s="3" t="s">
        <v>829</v>
      </c>
      <c r="G5879" s="7">
        <v>46169.06451453755</v>
      </c>
    </row>
    <row r="5880">
      <c r="A5880" s="3" t="s">
        <v>18222</v>
      </c>
      <c r="B5880" s="3" t="s">
        <v>391</v>
      </c>
      <c r="C5880" s="3" t="s">
        <v>1095</v>
      </c>
      <c r="D5880" s="3" t="s">
        <v>68</v>
      </c>
      <c r="E5880" s="3" t="s">
        <v>100</v>
      </c>
      <c r="F5880" s="3" t="s">
        <v>1762</v>
      </c>
      <c r="G5880" s="7">
        <v>46169.13568938297</v>
      </c>
    </row>
    <row r="5881">
      <c r="A5881" s="3" t="s">
        <v>18224</v>
      </c>
      <c r="B5881" s="3" t="s">
        <v>189</v>
      </c>
      <c r="C5881" s="3" t="s">
        <v>56</v>
      </c>
      <c r="D5881" s="3" t="s">
        <v>68</v>
      </c>
      <c r="E5881" s="3" t="s">
        <v>100</v>
      </c>
      <c r="F5881" s="3" t="s">
        <v>932</v>
      </c>
      <c r="G5881" s="7">
        <v>46169.20686422839</v>
      </c>
    </row>
    <row r="5882">
      <c r="A5882" s="3" t="s">
        <v>18226</v>
      </c>
      <c r="B5882" s="3" t="s">
        <v>600</v>
      </c>
      <c r="C5882" s="3" t="s">
        <v>1342</v>
      </c>
      <c r="D5882" s="3" t="s">
        <v>68</v>
      </c>
      <c r="E5882" s="3" t="s">
        <v>100</v>
      </c>
      <c r="F5882" s="3" t="s">
        <v>1768</v>
      </c>
      <c r="G5882" s="7">
        <v>46169.278039073804</v>
      </c>
    </row>
    <row r="5883">
      <c r="A5883" s="3" t="s">
        <v>18228</v>
      </c>
      <c r="B5883" s="3" t="s">
        <v>527</v>
      </c>
      <c r="C5883" s="3" t="s">
        <v>1342</v>
      </c>
      <c r="D5883" s="3" t="s">
        <v>68</v>
      </c>
      <c r="E5883" s="3" t="s">
        <v>100</v>
      </c>
      <c r="F5883" s="3" t="s">
        <v>2099</v>
      </c>
      <c r="G5883" s="7">
        <v>46169.34921391922</v>
      </c>
    </row>
    <row r="5884">
      <c r="A5884" s="3" t="s">
        <v>18230</v>
      </c>
      <c r="B5884" s="3" t="s">
        <v>830</v>
      </c>
      <c r="C5884" s="3" t="s">
        <v>56</v>
      </c>
      <c r="D5884" s="3" t="s">
        <v>68</v>
      </c>
      <c r="E5884" s="3" t="s">
        <v>100</v>
      </c>
      <c r="F5884" s="3" t="s">
        <v>942</v>
      </c>
      <c r="G5884" s="7">
        <v>46169.420388764636</v>
      </c>
    </row>
    <row r="5885">
      <c r="A5885" s="3" t="s">
        <v>18232</v>
      </c>
      <c r="B5885" s="3" t="s">
        <v>533</v>
      </c>
      <c r="C5885" s="3" t="s">
        <v>56</v>
      </c>
      <c r="D5885" s="3" t="s">
        <v>68</v>
      </c>
      <c r="E5885" s="3" t="s">
        <v>100</v>
      </c>
      <c r="F5885" s="3" t="s">
        <v>946</v>
      </c>
      <c r="G5885" s="7">
        <v>46169.49156361005</v>
      </c>
    </row>
    <row r="5886">
      <c r="A5886" s="3" t="s">
        <v>18234</v>
      </c>
      <c r="B5886" s="3" t="s">
        <v>162</v>
      </c>
      <c r="C5886" s="3" t="s">
        <v>1095</v>
      </c>
      <c r="D5886" s="3" t="s">
        <v>68</v>
      </c>
      <c r="E5886" s="3" t="s">
        <v>100</v>
      </c>
      <c r="F5886" s="3" t="s">
        <v>774</v>
      </c>
      <c r="G5886" s="7">
        <v>46169.56273845546</v>
      </c>
    </row>
    <row r="5887">
      <c r="A5887" s="3" t="s">
        <v>18237</v>
      </c>
      <c r="B5887" s="3" t="s">
        <v>419</v>
      </c>
      <c r="C5887" s="3" t="s">
        <v>1342</v>
      </c>
      <c r="D5887" s="3" t="s">
        <v>68</v>
      </c>
      <c r="E5887" s="3" t="s">
        <v>100</v>
      </c>
      <c r="F5887" s="3" t="s">
        <v>2111</v>
      </c>
      <c r="G5887" s="7">
        <v>46169.63391330088</v>
      </c>
    </row>
    <row r="5888">
      <c r="A5888" s="3" t="s">
        <v>18240</v>
      </c>
      <c r="B5888" s="3" t="s">
        <v>1034</v>
      </c>
      <c r="C5888" s="3" t="s">
        <v>56</v>
      </c>
      <c r="D5888" s="3" t="s">
        <v>68</v>
      </c>
      <c r="E5888" s="3" t="s">
        <v>100</v>
      </c>
      <c r="F5888" s="3" t="s">
        <v>950</v>
      </c>
      <c r="G5888" s="7">
        <v>46169.7050881463</v>
      </c>
    </row>
    <row r="5889">
      <c r="A5889" s="3" t="s">
        <v>18245</v>
      </c>
      <c r="B5889" s="3" t="s">
        <v>581</v>
      </c>
      <c r="C5889" s="3" t="s">
        <v>1342</v>
      </c>
      <c r="D5889" s="3" t="s">
        <v>68</v>
      </c>
      <c r="E5889" s="3" t="s">
        <v>100</v>
      </c>
      <c r="F5889" s="3" t="s">
        <v>1890</v>
      </c>
      <c r="G5889" s="7">
        <v>46169.776262991705</v>
      </c>
    </row>
    <row r="5890">
      <c r="A5890" s="3" t="s">
        <v>18248</v>
      </c>
      <c r="B5890" s="3" t="s">
        <v>662</v>
      </c>
      <c r="C5890" s="3" t="s">
        <v>56</v>
      </c>
      <c r="D5890" s="3" t="s">
        <v>68</v>
      </c>
      <c r="E5890" s="3" t="s">
        <v>100</v>
      </c>
      <c r="F5890" s="3" t="s">
        <v>954</v>
      </c>
      <c r="G5890" s="7">
        <v>46169.847437837125</v>
      </c>
    </row>
    <row r="5891">
      <c r="A5891" s="3" t="s">
        <v>18251</v>
      </c>
      <c r="B5891" s="3" t="s">
        <v>605</v>
      </c>
      <c r="C5891" s="3" t="s">
        <v>56</v>
      </c>
      <c r="D5891" s="3" t="s">
        <v>68</v>
      </c>
      <c r="E5891" s="3" t="s">
        <v>100</v>
      </c>
      <c r="F5891" s="3" t="s">
        <v>959</v>
      </c>
      <c r="G5891" s="7">
        <v>46169.91861268254</v>
      </c>
    </row>
    <row r="5892">
      <c r="A5892" s="3" t="s">
        <v>18255</v>
      </c>
      <c r="B5892" s="3" t="s">
        <v>587</v>
      </c>
      <c r="C5892" s="3" t="s">
        <v>1342</v>
      </c>
      <c r="D5892" s="3" t="s">
        <v>68</v>
      </c>
      <c r="E5892" s="3" t="s">
        <v>100</v>
      </c>
      <c r="F5892" s="3" t="s">
        <v>2081</v>
      </c>
      <c r="G5892" s="7">
        <v>46169.98978752796</v>
      </c>
    </row>
    <row r="5893">
      <c r="A5893" s="3" t="s">
        <v>18259</v>
      </c>
      <c r="B5893" s="3" t="s">
        <v>591</v>
      </c>
      <c r="C5893" s="3" t="s">
        <v>1342</v>
      </c>
      <c r="D5893" s="3" t="s">
        <v>68</v>
      </c>
      <c r="E5893" s="3" t="s">
        <v>100</v>
      </c>
      <c r="F5893" s="3" t="s">
        <v>1173</v>
      </c>
      <c r="G5893" s="7">
        <v>46170.06096237337</v>
      </c>
    </row>
    <row r="5894">
      <c r="A5894" s="3" t="s">
        <v>18262</v>
      </c>
      <c r="B5894" s="3" t="s">
        <v>609</v>
      </c>
      <c r="C5894" s="3" t="s">
        <v>56</v>
      </c>
      <c r="D5894" s="3" t="s">
        <v>68</v>
      </c>
      <c r="E5894" s="3" t="s">
        <v>100</v>
      </c>
      <c r="F5894" s="3" t="s">
        <v>963</v>
      </c>
      <c r="G5894" s="7">
        <v>46170.13213721879</v>
      </c>
    </row>
    <row r="5895">
      <c r="A5895" s="3" t="s">
        <v>18266</v>
      </c>
      <c r="B5895" s="3" t="s">
        <v>247</v>
      </c>
      <c r="C5895" s="3" t="s">
        <v>56</v>
      </c>
      <c r="D5895" s="3" t="s">
        <v>68</v>
      </c>
      <c r="E5895" s="3" t="s">
        <v>100</v>
      </c>
      <c r="F5895" s="3" t="s">
        <v>968</v>
      </c>
      <c r="G5895" s="7">
        <v>46170.2033120642</v>
      </c>
    </row>
    <row r="5896">
      <c r="A5896" s="3" t="s">
        <v>18270</v>
      </c>
      <c r="B5896" s="3" t="s">
        <v>694</v>
      </c>
      <c r="C5896" s="3" t="s">
        <v>1342</v>
      </c>
      <c r="D5896" s="3" t="s">
        <v>181</v>
      </c>
      <c r="E5896" s="3" t="s">
        <v>45</v>
      </c>
      <c r="F5896" s="3" t="s">
        <v>919</v>
      </c>
      <c r="G5896" s="7">
        <v>46170.27448690961</v>
      </c>
    </row>
    <row r="5897">
      <c r="A5897" s="3" t="s">
        <v>18273</v>
      </c>
      <c r="B5897" s="3" t="s">
        <v>512</v>
      </c>
      <c r="C5897" s="3" t="s">
        <v>1095</v>
      </c>
      <c r="D5897" s="3" t="s">
        <v>68</v>
      </c>
      <c r="E5897" s="3" t="s">
        <v>100</v>
      </c>
      <c r="F5897" s="3" t="s">
        <v>1631</v>
      </c>
      <c r="G5897" s="7">
        <v>46170.34566175503</v>
      </c>
    </row>
    <row r="5898">
      <c r="A5898" s="3" t="s">
        <v>18277</v>
      </c>
      <c r="B5898" s="3" t="s">
        <v>130</v>
      </c>
      <c r="C5898" s="3" t="s">
        <v>1342</v>
      </c>
      <c r="D5898" s="3" t="s">
        <v>68</v>
      </c>
      <c r="E5898" s="3" t="s">
        <v>100</v>
      </c>
      <c r="F5898" s="3" t="s">
        <v>538</v>
      </c>
      <c r="G5898" s="7">
        <v>46170.416836600445</v>
      </c>
    </row>
    <row r="5899">
      <c r="A5899" s="3" t="s">
        <v>18281</v>
      </c>
      <c r="B5899" s="3" t="s">
        <v>197</v>
      </c>
      <c r="C5899" s="3" t="s">
        <v>1095</v>
      </c>
      <c r="D5899" s="3" t="s">
        <v>68</v>
      </c>
      <c r="E5899" s="3" t="s">
        <v>100</v>
      </c>
      <c r="F5899" s="3" t="s">
        <v>1726</v>
      </c>
      <c r="G5899" s="7">
        <v>46170.48801144586</v>
      </c>
    </row>
    <row r="5900">
      <c r="A5900" s="3" t="s">
        <v>18284</v>
      </c>
      <c r="B5900" s="3" t="s">
        <v>785</v>
      </c>
      <c r="C5900" s="3" t="s">
        <v>1342</v>
      </c>
      <c r="D5900" s="3" t="s">
        <v>68</v>
      </c>
      <c r="E5900" s="3" t="s">
        <v>100</v>
      </c>
      <c r="F5900" s="3" t="s">
        <v>1549</v>
      </c>
      <c r="G5900" s="7">
        <v>46170.55918629128</v>
      </c>
    </row>
    <row r="5901">
      <c r="A5901" s="3" t="s">
        <v>18287</v>
      </c>
      <c r="B5901" s="3" t="s">
        <v>789</v>
      </c>
      <c r="C5901" s="3" t="s">
        <v>1342</v>
      </c>
      <c r="D5901" s="3" t="s">
        <v>68</v>
      </c>
      <c r="E5901" s="3" t="s">
        <v>100</v>
      </c>
      <c r="F5901" s="3" t="s">
        <v>1873</v>
      </c>
      <c r="G5901" s="7">
        <v>46170.63036113669</v>
      </c>
    </row>
    <row r="5902">
      <c r="A5902" s="3" t="s">
        <v>18290</v>
      </c>
      <c r="B5902" s="3" t="s">
        <v>900</v>
      </c>
      <c r="C5902" s="3" t="s">
        <v>1095</v>
      </c>
      <c r="D5902" s="3" t="s">
        <v>68</v>
      </c>
      <c r="E5902" s="3" t="s">
        <v>100</v>
      </c>
      <c r="F5902" s="3" t="s">
        <v>831</v>
      </c>
      <c r="G5902" s="7">
        <v>46170.7015359821</v>
      </c>
    </row>
    <row r="5903">
      <c r="A5903" s="3" t="s">
        <v>18293</v>
      </c>
      <c r="B5903" s="3" t="s">
        <v>151</v>
      </c>
      <c r="C5903" s="3" t="s">
        <v>56</v>
      </c>
      <c r="D5903" s="3" t="s">
        <v>68</v>
      </c>
      <c r="E5903" s="3" t="s">
        <v>100</v>
      </c>
      <c r="F5903" s="3" t="s">
        <v>971</v>
      </c>
      <c r="G5903" s="7">
        <v>46170.77271082752</v>
      </c>
    </row>
    <row r="5904">
      <c r="A5904" s="3" t="s">
        <v>18295</v>
      </c>
      <c r="B5904" s="3" t="s">
        <v>189</v>
      </c>
      <c r="C5904" s="3" t="s">
        <v>1342</v>
      </c>
      <c r="D5904" s="3" t="s">
        <v>68</v>
      </c>
      <c r="E5904" s="3" t="s">
        <v>100</v>
      </c>
      <c r="F5904" s="3" t="s">
        <v>932</v>
      </c>
      <c r="G5904" s="7">
        <v>46170.84388567294</v>
      </c>
    </row>
    <row r="5905">
      <c r="A5905" s="3" t="s">
        <v>18297</v>
      </c>
      <c r="B5905" s="3" t="s">
        <v>1028</v>
      </c>
      <c r="C5905" s="3" t="s">
        <v>1095</v>
      </c>
      <c r="D5905" s="3" t="s">
        <v>68</v>
      </c>
      <c r="E5905" s="3" t="s">
        <v>100</v>
      </c>
      <c r="F5905" s="3" t="s">
        <v>2030</v>
      </c>
      <c r="G5905" s="7">
        <v>46170.915060518346</v>
      </c>
    </row>
    <row r="5906">
      <c r="A5906" s="3" t="s">
        <v>18299</v>
      </c>
      <c r="B5906" s="3" t="s">
        <v>455</v>
      </c>
      <c r="C5906" s="3" t="s">
        <v>1095</v>
      </c>
      <c r="D5906" s="3" t="s">
        <v>68</v>
      </c>
      <c r="E5906" s="3" t="s">
        <v>100</v>
      </c>
      <c r="F5906" s="3" t="s">
        <v>578</v>
      </c>
      <c r="G5906" s="7">
        <v>46170.986235363765</v>
      </c>
    </row>
    <row r="5907">
      <c r="A5907" s="3" t="s">
        <v>18301</v>
      </c>
      <c r="B5907" s="3" t="s">
        <v>290</v>
      </c>
      <c r="C5907" s="3" t="s">
        <v>1342</v>
      </c>
      <c r="D5907" s="3" t="s">
        <v>68</v>
      </c>
      <c r="E5907" s="3" t="s">
        <v>100</v>
      </c>
      <c r="F5907" s="3" t="s">
        <v>1356</v>
      </c>
      <c r="G5907" s="7">
        <v>46171.057410209185</v>
      </c>
    </row>
    <row r="5908">
      <c r="A5908" s="3" t="s">
        <v>18303</v>
      </c>
      <c r="B5908" s="3" t="s">
        <v>359</v>
      </c>
      <c r="C5908" s="3" t="s">
        <v>56</v>
      </c>
      <c r="D5908" s="3" t="s">
        <v>68</v>
      </c>
      <c r="E5908" s="3" t="s">
        <v>100</v>
      </c>
      <c r="F5908" s="3" t="s">
        <v>977</v>
      </c>
      <c r="G5908" s="7">
        <v>46171.1285850546</v>
      </c>
    </row>
    <row r="5909">
      <c r="A5909" s="3" t="s">
        <v>18306</v>
      </c>
      <c r="B5909" s="3" t="s">
        <v>943</v>
      </c>
      <c r="C5909" s="3" t="s">
        <v>56</v>
      </c>
      <c r="D5909" s="3" t="s">
        <v>68</v>
      </c>
      <c r="E5909" s="3" t="s">
        <v>100</v>
      </c>
      <c r="F5909" s="3" t="s">
        <v>983</v>
      </c>
      <c r="G5909" s="7">
        <v>46171.19975990001</v>
      </c>
    </row>
    <row r="5910">
      <c r="A5910" s="3" t="s">
        <v>18308</v>
      </c>
      <c r="B5910" s="3" t="s">
        <v>505</v>
      </c>
      <c r="C5910" s="3" t="s">
        <v>56</v>
      </c>
      <c r="D5910" s="3" t="s">
        <v>68</v>
      </c>
      <c r="E5910" s="3" t="s">
        <v>100</v>
      </c>
      <c r="F5910" s="3" t="s">
        <v>991</v>
      </c>
      <c r="G5910" s="7">
        <v>46171.27093474543</v>
      </c>
    </row>
    <row r="5911">
      <c r="A5911" s="3" t="s">
        <v>18310</v>
      </c>
      <c r="B5911" s="3" t="s">
        <v>266</v>
      </c>
      <c r="C5911" s="3" t="s">
        <v>1342</v>
      </c>
      <c r="D5911" s="3" t="s">
        <v>181</v>
      </c>
      <c r="E5911" s="3" t="s">
        <v>45</v>
      </c>
      <c r="F5911" s="3" t="s">
        <v>1058</v>
      </c>
      <c r="G5911" s="7">
        <v>46171.34210959084</v>
      </c>
    </row>
    <row r="5912">
      <c r="A5912" s="3" t="s">
        <v>18312</v>
      </c>
      <c r="B5912" s="3" t="s">
        <v>629</v>
      </c>
      <c r="C5912" s="3" t="s">
        <v>1342</v>
      </c>
      <c r="D5912" s="3" t="s">
        <v>68</v>
      </c>
      <c r="E5912" s="3" t="s">
        <v>100</v>
      </c>
      <c r="F5912" s="3" t="s">
        <v>1850</v>
      </c>
      <c r="G5912" s="7">
        <v>46171.413284436254</v>
      </c>
    </row>
    <row r="5913">
      <c r="A5913" s="3" t="s">
        <v>18315</v>
      </c>
      <c r="B5913" s="3" t="s">
        <v>380</v>
      </c>
      <c r="C5913" s="3" t="s">
        <v>1342</v>
      </c>
      <c r="D5913" s="3" t="s">
        <v>68</v>
      </c>
      <c r="E5913" s="3" t="s">
        <v>100</v>
      </c>
      <c r="F5913" s="3" t="s">
        <v>1907</v>
      </c>
      <c r="G5913" s="7">
        <v>46171.48445928167</v>
      </c>
    </row>
    <row r="5914">
      <c r="A5914" s="3" t="s">
        <v>18324</v>
      </c>
      <c r="B5914" s="3" t="s">
        <v>900</v>
      </c>
      <c r="C5914" s="3" t="s">
        <v>56</v>
      </c>
      <c r="D5914" s="3" t="s">
        <v>68</v>
      </c>
      <c r="E5914" s="3" t="s">
        <v>100</v>
      </c>
      <c r="F5914" s="3" t="s">
        <v>996</v>
      </c>
      <c r="G5914" s="7">
        <v>46171.555634127086</v>
      </c>
    </row>
    <row r="5915">
      <c r="A5915" s="3" t="s">
        <v>18327</v>
      </c>
      <c r="B5915" s="3" t="s">
        <v>400</v>
      </c>
      <c r="C5915" s="3" t="s">
        <v>1342</v>
      </c>
      <c r="D5915" s="3" t="s">
        <v>181</v>
      </c>
      <c r="E5915" s="3" t="s">
        <v>45</v>
      </c>
      <c r="F5915" s="3" t="s">
        <v>1619</v>
      </c>
      <c r="G5915" s="7">
        <v>46171.6268089725</v>
      </c>
    </row>
    <row r="5916">
      <c r="A5916" s="3" t="s">
        <v>18331</v>
      </c>
      <c r="B5916" s="3" t="s">
        <v>864</v>
      </c>
      <c r="C5916" s="3" t="s">
        <v>1342</v>
      </c>
      <c r="D5916" s="3" t="s">
        <v>68</v>
      </c>
      <c r="E5916" s="3" t="s">
        <v>100</v>
      </c>
      <c r="F5916" s="3" t="s">
        <v>749</v>
      </c>
      <c r="G5916" s="7">
        <v>46171.69798381792</v>
      </c>
    </row>
    <row r="5917">
      <c r="A5917" s="3" t="s">
        <v>18335</v>
      </c>
      <c r="B5917" s="3" t="s">
        <v>957</v>
      </c>
      <c r="C5917" s="3" t="s">
        <v>1342</v>
      </c>
      <c r="D5917" s="3" t="s">
        <v>68</v>
      </c>
      <c r="E5917" s="3" t="s">
        <v>100</v>
      </c>
      <c r="F5917" s="3" t="s">
        <v>1720</v>
      </c>
      <c r="G5917" s="7">
        <v>46171.76915866333</v>
      </c>
    </row>
    <row r="5918">
      <c r="A5918" s="3" t="s">
        <v>18338</v>
      </c>
      <c r="B5918" s="3" t="s">
        <v>830</v>
      </c>
      <c r="C5918" s="3" t="s">
        <v>1342</v>
      </c>
      <c r="D5918" s="3" t="s">
        <v>68</v>
      </c>
      <c r="E5918" s="3" t="s">
        <v>100</v>
      </c>
      <c r="F5918" s="3" t="s">
        <v>942</v>
      </c>
      <c r="G5918" s="7">
        <v>46171.84033350874</v>
      </c>
    </row>
    <row r="5919">
      <c r="A5919" s="3" t="s">
        <v>18342</v>
      </c>
      <c r="B5919" s="3" t="s">
        <v>596</v>
      </c>
      <c r="C5919" s="3" t="s">
        <v>1342</v>
      </c>
      <c r="D5919" s="3" t="s">
        <v>68</v>
      </c>
      <c r="E5919" s="3" t="s">
        <v>100</v>
      </c>
      <c r="F5919" s="3" t="s">
        <v>762</v>
      </c>
      <c r="G5919" s="7">
        <v>46171.91150835416</v>
      </c>
    </row>
    <row r="5920">
      <c r="A5920" s="3" t="s">
        <v>18346</v>
      </c>
      <c r="B5920" s="3" t="s">
        <v>208</v>
      </c>
      <c r="C5920" s="3" t="s">
        <v>1342</v>
      </c>
      <c r="D5920" s="3" t="s">
        <v>68</v>
      </c>
      <c r="E5920" s="3" t="s">
        <v>100</v>
      </c>
      <c r="F5920" s="3" t="s">
        <v>1954</v>
      </c>
      <c r="G5920" s="7">
        <v>46171.98268319958</v>
      </c>
    </row>
    <row r="5921">
      <c r="A5921" s="3" t="s">
        <v>18349</v>
      </c>
      <c r="B5921" s="3" t="s">
        <v>841</v>
      </c>
      <c r="C5921" s="3" t="s">
        <v>1095</v>
      </c>
      <c r="D5921" s="3" t="s">
        <v>68</v>
      </c>
      <c r="E5921" s="3" t="s">
        <v>100</v>
      </c>
      <c r="F5921" s="3" t="s">
        <v>693</v>
      </c>
      <c r="G5921" s="7">
        <v>46172.05385804499</v>
      </c>
    </row>
    <row r="5922">
      <c r="A5922" s="3" t="s">
        <v>18352</v>
      </c>
      <c r="B5922" s="3" t="s">
        <v>669</v>
      </c>
      <c r="C5922" s="3" t="s">
        <v>56</v>
      </c>
      <c r="D5922" s="3" t="s">
        <v>68</v>
      </c>
      <c r="E5922" s="3" t="s">
        <v>100</v>
      </c>
      <c r="F5922" s="3" t="s">
        <v>1000</v>
      </c>
      <c r="G5922" s="7">
        <v>46172.125032890406</v>
      </c>
    </row>
    <row r="5923">
      <c r="A5923" s="3" t="s">
        <v>18357</v>
      </c>
      <c r="B5923" s="3" t="s">
        <v>816</v>
      </c>
      <c r="C5923" s="3" t="s">
        <v>56</v>
      </c>
      <c r="D5923" s="3" t="s">
        <v>68</v>
      </c>
      <c r="E5923" s="3" t="s">
        <v>100</v>
      </c>
      <c r="F5923" s="3" t="s">
        <v>1004</v>
      </c>
      <c r="G5923" s="7">
        <v>46172.196207735826</v>
      </c>
    </row>
    <row r="5924">
      <c r="A5924" s="3" t="s">
        <v>18360</v>
      </c>
      <c r="B5924" s="3" t="s">
        <v>990</v>
      </c>
      <c r="C5924" s="3" t="s">
        <v>1342</v>
      </c>
      <c r="D5924" s="3" t="s">
        <v>68</v>
      </c>
      <c r="E5924" s="3" t="s">
        <v>100</v>
      </c>
      <c r="F5924" s="3" t="s">
        <v>1815</v>
      </c>
      <c r="G5924" s="7">
        <v>46172.26738258124</v>
      </c>
    </row>
    <row r="5925">
      <c r="A5925" s="3" t="s">
        <v>18363</v>
      </c>
      <c r="B5925" s="3" t="s">
        <v>436</v>
      </c>
      <c r="C5925" s="3" t="s">
        <v>1342</v>
      </c>
      <c r="D5925" s="3" t="s">
        <v>68</v>
      </c>
      <c r="E5925" s="3" t="s">
        <v>100</v>
      </c>
      <c r="F5925" s="3" t="s">
        <v>1138</v>
      </c>
      <c r="G5925" s="7">
        <v>46172.33855742665</v>
      </c>
    </row>
    <row r="5926">
      <c r="A5926" s="3" t="s">
        <v>18367</v>
      </c>
      <c r="B5926" s="3" t="s">
        <v>725</v>
      </c>
      <c r="C5926" s="3" t="s">
        <v>1342</v>
      </c>
      <c r="D5926" s="3" t="s">
        <v>68</v>
      </c>
      <c r="E5926" s="3" t="s">
        <v>100</v>
      </c>
      <c r="F5926" s="3" t="s">
        <v>2013</v>
      </c>
      <c r="G5926" s="7">
        <v>46172.40973227207</v>
      </c>
    </row>
    <row r="5927">
      <c r="A5927" s="3" t="s">
        <v>18371</v>
      </c>
      <c r="B5927" s="3" t="s">
        <v>637</v>
      </c>
      <c r="C5927" s="3" t="s">
        <v>56</v>
      </c>
      <c r="D5927" s="3" t="s">
        <v>68</v>
      </c>
      <c r="E5927" s="3" t="s">
        <v>100</v>
      </c>
      <c r="F5927" s="3" t="s">
        <v>1007</v>
      </c>
      <c r="G5927" s="7">
        <v>46172.48090711748</v>
      </c>
    </row>
    <row r="5928">
      <c r="A5928" s="3" t="s">
        <v>18374</v>
      </c>
      <c r="B5928" s="3" t="s">
        <v>395</v>
      </c>
      <c r="C5928" s="3" t="s">
        <v>1342</v>
      </c>
      <c r="D5928" s="3" t="s">
        <v>68</v>
      </c>
      <c r="E5928" s="3" t="s">
        <v>100</v>
      </c>
      <c r="F5928" s="3" t="s">
        <v>1418</v>
      </c>
      <c r="G5928" s="7">
        <v>46172.552081962895</v>
      </c>
    </row>
    <row r="5929">
      <c r="A5929" s="3" t="s">
        <v>18377</v>
      </c>
      <c r="B5929" s="3" t="s">
        <v>348</v>
      </c>
      <c r="C5929" s="3" t="s">
        <v>1342</v>
      </c>
      <c r="D5929" s="3" t="s">
        <v>68</v>
      </c>
      <c r="E5929" s="3" t="s">
        <v>100</v>
      </c>
      <c r="F5929" s="3" t="s">
        <v>1901</v>
      </c>
      <c r="G5929" s="7">
        <v>46172.623256808314</v>
      </c>
    </row>
    <row r="5930">
      <c r="A5930" s="3" t="s">
        <v>18381</v>
      </c>
      <c r="B5930" s="3" t="s">
        <v>123</v>
      </c>
      <c r="C5930" s="3" t="s">
        <v>56</v>
      </c>
      <c r="D5930" s="3" t="s">
        <v>68</v>
      </c>
      <c r="E5930" s="3" t="s">
        <v>100</v>
      </c>
      <c r="F5930" s="3" t="s">
        <v>1012</v>
      </c>
      <c r="G5930" s="7">
        <v>46172.69443165373</v>
      </c>
    </row>
    <row r="5931">
      <c r="A5931" s="3" t="s">
        <v>18385</v>
      </c>
      <c r="B5931" s="3" t="s">
        <v>990</v>
      </c>
      <c r="C5931" s="3" t="s">
        <v>1095</v>
      </c>
      <c r="D5931" s="3" t="s">
        <v>68</v>
      </c>
      <c r="E5931" s="3" t="s">
        <v>100</v>
      </c>
      <c r="F5931" s="3" t="s">
        <v>1815</v>
      </c>
      <c r="G5931" s="7">
        <v>46172.76560649914</v>
      </c>
    </row>
    <row r="5932">
      <c r="A5932" s="3" t="s">
        <v>18388</v>
      </c>
      <c r="B5932" s="3" t="s">
        <v>496</v>
      </c>
      <c r="C5932" s="3" t="s">
        <v>1342</v>
      </c>
      <c r="D5932" s="3" t="s">
        <v>68</v>
      </c>
      <c r="E5932" s="3" t="s">
        <v>100</v>
      </c>
      <c r="F5932" s="3" t="s">
        <v>688</v>
      </c>
      <c r="G5932" s="7">
        <v>46172.83678134456</v>
      </c>
    </row>
    <row r="5933">
      <c r="A5933" s="3" t="s">
        <v>18391</v>
      </c>
      <c r="B5933" s="3" t="s">
        <v>272</v>
      </c>
      <c r="C5933" s="3" t="s">
        <v>1095</v>
      </c>
      <c r="D5933" s="3" t="s">
        <v>181</v>
      </c>
      <c r="E5933" s="3" t="s">
        <v>45</v>
      </c>
      <c r="F5933" s="3" t="s">
        <v>2021</v>
      </c>
      <c r="G5933" s="7">
        <v>46172.90795618998</v>
      </c>
    </row>
    <row r="5934">
      <c r="A5934" s="3" t="s">
        <v>18393</v>
      </c>
      <c r="B5934" s="3" t="s">
        <v>713</v>
      </c>
      <c r="C5934" s="3" t="s">
        <v>1342</v>
      </c>
      <c r="D5934" s="3" t="s">
        <v>181</v>
      </c>
      <c r="E5934" s="3" t="s">
        <v>45</v>
      </c>
      <c r="F5934" s="3" t="s">
        <v>728</v>
      </c>
      <c r="G5934" s="7">
        <v>46172.97913103538</v>
      </c>
    </row>
    <row r="5935">
      <c r="A5935" s="3" t="s">
        <v>18396</v>
      </c>
      <c r="B5935" s="3" t="s">
        <v>211</v>
      </c>
      <c r="C5935" s="3" t="s">
        <v>1342</v>
      </c>
      <c r="D5935" s="3" t="s">
        <v>181</v>
      </c>
      <c r="E5935" s="3" t="s">
        <v>45</v>
      </c>
      <c r="F5935" s="3" t="s">
        <v>1039</v>
      </c>
      <c r="G5935" s="7">
        <v>46173.0503058808</v>
      </c>
    </row>
    <row r="5936">
      <c r="A5936" s="3" t="s">
        <v>18398</v>
      </c>
      <c r="B5936" s="3" t="s">
        <v>151</v>
      </c>
      <c r="C5936" s="3" t="s">
        <v>1342</v>
      </c>
      <c r="D5936" s="3" t="s">
        <v>68</v>
      </c>
      <c r="E5936" s="3" t="s">
        <v>100</v>
      </c>
      <c r="F5936" s="3" t="s">
        <v>971</v>
      </c>
      <c r="G5936" s="7">
        <v>46173.12148072622</v>
      </c>
    </row>
    <row r="5937">
      <c r="A5937" s="3" t="s">
        <v>18401</v>
      </c>
      <c r="B5937" s="3" t="s">
        <v>316</v>
      </c>
      <c r="C5937" s="3" t="s">
        <v>1095</v>
      </c>
      <c r="D5937" s="3" t="s">
        <v>68</v>
      </c>
      <c r="E5937" s="3" t="s">
        <v>100</v>
      </c>
      <c r="F5937" s="3" t="s">
        <v>985</v>
      </c>
      <c r="G5937" s="7">
        <v>46173.192655571635</v>
      </c>
    </row>
    <row r="5938">
      <c r="A5938" s="3" t="s">
        <v>18404</v>
      </c>
      <c r="B5938" s="3" t="s">
        <v>527</v>
      </c>
      <c r="C5938" s="3" t="s">
        <v>1342</v>
      </c>
      <c r="D5938" s="3" t="s">
        <v>181</v>
      </c>
      <c r="E5938" s="3" t="s">
        <v>45</v>
      </c>
      <c r="F5938" s="3" t="s">
        <v>2099</v>
      </c>
      <c r="G5938" s="7">
        <v>46173.26383041705</v>
      </c>
    </row>
    <row r="5939">
      <c r="A5939" s="3" t="s">
        <v>18408</v>
      </c>
      <c r="B5939" s="3" t="s">
        <v>546</v>
      </c>
      <c r="C5939" s="3" t="s">
        <v>1095</v>
      </c>
      <c r="D5939" s="3" t="s">
        <v>68</v>
      </c>
      <c r="E5939" s="3" t="s">
        <v>100</v>
      </c>
      <c r="F5939" s="3" t="s">
        <v>2018</v>
      </c>
      <c r="G5939" s="7">
        <v>46173.33500526247</v>
      </c>
    </row>
    <row r="5940">
      <c r="A5940" s="3" t="s">
        <v>18413</v>
      </c>
      <c r="B5940" s="3" t="s">
        <v>436</v>
      </c>
      <c r="C5940" s="3" t="s">
        <v>1095</v>
      </c>
      <c r="D5940" s="3" t="s">
        <v>68</v>
      </c>
      <c r="E5940" s="3" t="s">
        <v>100</v>
      </c>
      <c r="F5940" s="3" t="s">
        <v>1138</v>
      </c>
      <c r="G5940" s="7">
        <v>46173.40618010788</v>
      </c>
    </row>
    <row r="5941">
      <c r="A5941" s="3" t="s">
        <v>18416</v>
      </c>
      <c r="B5941" s="3" t="s">
        <v>175</v>
      </c>
      <c r="C5941" s="3" t="s">
        <v>1342</v>
      </c>
      <c r="D5941" s="3" t="s">
        <v>68</v>
      </c>
      <c r="E5941" s="3" t="s">
        <v>100</v>
      </c>
      <c r="F5941" s="3" t="s">
        <v>797</v>
      </c>
      <c r="G5941" s="7">
        <v>46173.47735495329</v>
      </c>
    </row>
    <row r="5942">
      <c r="A5942" s="3" t="s">
        <v>18418</v>
      </c>
      <c r="B5942" s="3" t="s">
        <v>400</v>
      </c>
      <c r="C5942" s="3" t="s">
        <v>1095</v>
      </c>
      <c r="D5942" s="3" t="s">
        <v>68</v>
      </c>
      <c r="E5942" s="3" t="s">
        <v>100</v>
      </c>
      <c r="F5942" s="3" t="s">
        <v>1619</v>
      </c>
      <c r="G5942" s="7">
        <v>46173.54852979871</v>
      </c>
    </row>
    <row r="5943">
      <c r="A5943" s="3" t="s">
        <v>18422</v>
      </c>
      <c r="B5943" s="3" t="s">
        <v>424</v>
      </c>
      <c r="C5943" s="3" t="s">
        <v>56</v>
      </c>
      <c r="D5943" s="3" t="s">
        <v>68</v>
      </c>
      <c r="E5943" s="3" t="s">
        <v>100</v>
      </c>
      <c r="F5943" s="3" t="s">
        <v>1015</v>
      </c>
      <c r="G5943" s="7">
        <v>46173.61970464412</v>
      </c>
    </row>
    <row r="5944">
      <c r="A5944" s="3" t="s">
        <v>18426</v>
      </c>
      <c r="B5944" s="3" t="s">
        <v>319</v>
      </c>
      <c r="C5944" s="3" t="s">
        <v>1342</v>
      </c>
      <c r="D5944" s="3" t="s">
        <v>68</v>
      </c>
      <c r="E5944" s="3" t="s">
        <v>100</v>
      </c>
      <c r="F5944" s="3" t="s">
        <v>618</v>
      </c>
      <c r="G5944" s="7">
        <v>46173.690879489535</v>
      </c>
    </row>
    <row r="5945">
      <c r="A5945" s="3" t="s">
        <v>18429</v>
      </c>
      <c r="B5945" s="3" t="s">
        <v>377</v>
      </c>
      <c r="C5945" s="3" t="s">
        <v>1342</v>
      </c>
      <c r="D5945" s="3" t="s">
        <v>68</v>
      </c>
      <c r="E5945" s="3" t="s">
        <v>100</v>
      </c>
      <c r="F5945" s="3" t="s">
        <v>470</v>
      </c>
      <c r="G5945" s="7">
        <v>46173.762054334955</v>
      </c>
    </row>
    <row r="5946">
      <c r="A5946" s="3" t="s">
        <v>18432</v>
      </c>
      <c r="B5946" s="3" t="s">
        <v>561</v>
      </c>
      <c r="C5946" s="3" t="s">
        <v>56</v>
      </c>
      <c r="D5946" s="3" t="s">
        <v>68</v>
      </c>
      <c r="E5946" s="3" t="s">
        <v>100</v>
      </c>
      <c r="F5946" s="3" t="s">
        <v>1019</v>
      </c>
      <c r="G5946" s="7">
        <v>46173.83322918037</v>
      </c>
    </row>
    <row r="5947">
      <c r="A5947" s="3" t="s">
        <v>18435</v>
      </c>
      <c r="B5947" s="3" t="s">
        <v>838</v>
      </c>
      <c r="C5947" s="3" t="s">
        <v>1342</v>
      </c>
      <c r="D5947" s="3" t="s">
        <v>68</v>
      </c>
      <c r="E5947" s="3" t="s">
        <v>100</v>
      </c>
      <c r="F5947" s="3" t="s">
        <v>1514</v>
      </c>
      <c r="G5947" s="7">
        <v>46173.90440402578</v>
      </c>
    </row>
    <row r="5948">
      <c r="A5948" s="3" t="s">
        <v>18437</v>
      </c>
      <c r="B5948" s="3" t="s">
        <v>165</v>
      </c>
      <c r="C5948" s="3" t="s">
        <v>1342</v>
      </c>
      <c r="D5948" s="3" t="s">
        <v>68</v>
      </c>
      <c r="E5948" s="3" t="s">
        <v>100</v>
      </c>
      <c r="F5948" s="3" t="s">
        <v>1319</v>
      </c>
      <c r="G5948" s="7">
        <v>46173.9755788712</v>
      </c>
    </row>
    <row r="5949">
      <c r="A5949" s="3" t="s">
        <v>18439</v>
      </c>
      <c r="B5949" s="3" t="s">
        <v>269</v>
      </c>
      <c r="C5949" s="3" t="s">
        <v>1095</v>
      </c>
      <c r="D5949" s="3" t="s">
        <v>68</v>
      </c>
      <c r="E5949" s="3" t="s">
        <v>100</v>
      </c>
      <c r="F5949" s="3" t="s">
        <v>2113</v>
      </c>
      <c r="G5949" s="7">
        <v>46174.04675371662</v>
      </c>
    </row>
    <row r="5950">
      <c r="A5950" s="3" t="s">
        <v>18443</v>
      </c>
      <c r="B5950" s="3" t="s">
        <v>310</v>
      </c>
      <c r="C5950" s="3" t="s">
        <v>1342</v>
      </c>
      <c r="D5950" s="3" t="s">
        <v>68</v>
      </c>
      <c r="E5950" s="3" t="s">
        <v>100</v>
      </c>
      <c r="F5950" s="3" t="s">
        <v>1663</v>
      </c>
      <c r="G5950" s="7">
        <v>46174.117928562024</v>
      </c>
    </row>
    <row r="5951">
      <c r="A5951" s="3" t="s">
        <v>18447</v>
      </c>
      <c r="B5951" s="3" t="s">
        <v>1028</v>
      </c>
      <c r="C5951" s="3" t="s">
        <v>56</v>
      </c>
      <c r="D5951" s="3" t="s">
        <v>68</v>
      </c>
      <c r="E5951" s="3" t="s">
        <v>100</v>
      </c>
      <c r="F5951" s="3" t="s">
        <v>1025</v>
      </c>
      <c r="G5951" s="7">
        <v>46174.18910340744</v>
      </c>
    </row>
    <row r="5952">
      <c r="A5952" s="3" t="s">
        <v>18450</v>
      </c>
      <c r="B5952" s="3" t="s">
        <v>650</v>
      </c>
      <c r="C5952" s="3" t="s">
        <v>1095</v>
      </c>
      <c r="D5952" s="3" t="s">
        <v>68</v>
      </c>
      <c r="E5952" s="3" t="s">
        <v>100</v>
      </c>
      <c r="F5952" s="3" t="s">
        <v>2074</v>
      </c>
      <c r="G5952" s="7">
        <v>46174.26027825286</v>
      </c>
    </row>
    <row r="5953">
      <c r="A5953" s="3" t="s">
        <v>18453</v>
      </c>
      <c r="B5953" s="3" t="s">
        <v>123</v>
      </c>
      <c r="C5953" s="3" t="s">
        <v>1342</v>
      </c>
      <c r="D5953" s="3" t="s">
        <v>68</v>
      </c>
      <c r="E5953" s="3" t="s">
        <v>100</v>
      </c>
      <c r="F5953" s="3" t="s">
        <v>1012</v>
      </c>
      <c r="G5953" s="7">
        <v>46174.331453098275</v>
      </c>
    </row>
    <row r="5954">
      <c r="A5954" s="3" t="s">
        <v>18457</v>
      </c>
      <c r="B5954" s="3" t="s">
        <v>631</v>
      </c>
      <c r="C5954" s="3" t="s">
        <v>1342</v>
      </c>
      <c r="D5954" s="3" t="s">
        <v>68</v>
      </c>
      <c r="E5954" s="3" t="s">
        <v>100</v>
      </c>
      <c r="F5954" s="3" t="s">
        <v>792</v>
      </c>
      <c r="G5954" s="7">
        <v>46174.40262794369</v>
      </c>
    </row>
    <row r="5955">
      <c r="A5955" s="3" t="s">
        <v>18460</v>
      </c>
      <c r="B5955" s="3" t="s">
        <v>449</v>
      </c>
      <c r="C5955" s="3" t="s">
        <v>1342</v>
      </c>
      <c r="D5955" s="3" t="s">
        <v>68</v>
      </c>
      <c r="E5955" s="3" t="s">
        <v>100</v>
      </c>
      <c r="F5955" s="3" t="s">
        <v>1918</v>
      </c>
      <c r="G5955" s="7">
        <v>46174.47380278911</v>
      </c>
    </row>
    <row r="5956">
      <c r="A5956" s="3" t="s">
        <v>18463</v>
      </c>
      <c r="B5956" s="3" t="s">
        <v>419</v>
      </c>
      <c r="C5956" s="3" t="s">
        <v>1342</v>
      </c>
      <c r="D5956" s="3" t="s">
        <v>68</v>
      </c>
      <c r="E5956" s="3" t="s">
        <v>100</v>
      </c>
      <c r="F5956" s="3" t="s">
        <v>2111</v>
      </c>
      <c r="G5956" s="7">
        <v>46174.54497763452</v>
      </c>
    </row>
    <row r="5957">
      <c r="A5957" s="3" t="s">
        <v>18467</v>
      </c>
      <c r="B5957" s="3" t="s">
        <v>344</v>
      </c>
      <c r="C5957" s="3" t="s">
        <v>1095</v>
      </c>
      <c r="D5957" s="3" t="s">
        <v>68</v>
      </c>
      <c r="E5957" s="3" t="s">
        <v>100</v>
      </c>
      <c r="F5957" s="3" t="s">
        <v>867</v>
      </c>
      <c r="G5957" s="7">
        <v>46174.61615247993</v>
      </c>
    </row>
    <row r="5958">
      <c r="A5958" s="3" t="s">
        <v>18470</v>
      </c>
      <c r="B5958" s="3" t="s">
        <v>972</v>
      </c>
      <c r="C5958" s="3" t="s">
        <v>56</v>
      </c>
      <c r="D5958" s="3" t="s">
        <v>68</v>
      </c>
      <c r="E5958" s="3" t="s">
        <v>100</v>
      </c>
      <c r="F5958" s="3" t="s">
        <v>1029</v>
      </c>
      <c r="G5958" s="7">
        <v>46174.68732732535</v>
      </c>
    </row>
    <row r="5959">
      <c r="A5959" s="3" t="s">
        <v>18474</v>
      </c>
      <c r="B5959" s="3" t="s">
        <v>953</v>
      </c>
      <c r="C5959" s="3" t="s">
        <v>1342</v>
      </c>
      <c r="D5959" s="3" t="s">
        <v>68</v>
      </c>
      <c r="E5959" s="3" t="s">
        <v>100</v>
      </c>
      <c r="F5959" s="3" t="s">
        <v>1958</v>
      </c>
      <c r="G5959" s="7">
        <v>46174.758502170764</v>
      </c>
    </row>
    <row r="5960">
      <c r="A5960" s="3" t="s">
        <v>18478</v>
      </c>
      <c r="B5960" s="3" t="s">
        <v>536</v>
      </c>
      <c r="C5960" s="3" t="s">
        <v>1095</v>
      </c>
      <c r="D5960" s="3" t="s">
        <v>181</v>
      </c>
      <c r="E5960" s="3" t="s">
        <v>45</v>
      </c>
      <c r="F5960" s="3" t="s">
        <v>1848</v>
      </c>
      <c r="G5960" s="7">
        <v>46174.829677016176</v>
      </c>
    </row>
    <row r="5961">
      <c r="A5961" s="3" t="s">
        <v>18481</v>
      </c>
      <c r="B5961" s="3" t="s">
        <v>380</v>
      </c>
      <c r="C5961" s="3" t="s">
        <v>1342</v>
      </c>
      <c r="D5961" s="3" t="s">
        <v>68</v>
      </c>
      <c r="E5961" s="3" t="s">
        <v>100</v>
      </c>
      <c r="F5961" s="3" t="s">
        <v>1907</v>
      </c>
      <c r="G5961" s="7">
        <v>46174.900851861596</v>
      </c>
    </row>
    <row r="5962">
      <c r="A5962" s="3" t="s">
        <v>18484</v>
      </c>
      <c r="B5962" s="3" t="s">
        <v>466</v>
      </c>
      <c r="C5962" s="3" t="s">
        <v>1095</v>
      </c>
      <c r="D5962" s="3" t="s">
        <v>68</v>
      </c>
      <c r="E5962" s="3" t="s">
        <v>100</v>
      </c>
      <c r="F5962" s="3" t="s">
        <v>2079</v>
      </c>
      <c r="G5962" s="7">
        <v>46174.97202670701</v>
      </c>
    </row>
    <row r="5963">
      <c r="A5963" s="3" t="s">
        <v>18488</v>
      </c>
      <c r="B5963" s="3" t="s">
        <v>333</v>
      </c>
      <c r="C5963" s="3" t="s">
        <v>1342</v>
      </c>
      <c r="D5963" s="3" t="s">
        <v>68</v>
      </c>
      <c r="E5963" s="3" t="s">
        <v>100</v>
      </c>
      <c r="F5963" s="3" t="s">
        <v>716</v>
      </c>
      <c r="G5963" s="7">
        <v>46175.04320155242</v>
      </c>
    </row>
    <row r="5964">
      <c r="A5964" s="3" t="s">
        <v>18492</v>
      </c>
      <c r="B5964" s="3" t="s">
        <v>130</v>
      </c>
      <c r="C5964" s="3" t="s">
        <v>1095</v>
      </c>
      <c r="D5964" s="3" t="s">
        <v>68</v>
      </c>
      <c r="E5964" s="3" t="s">
        <v>100</v>
      </c>
      <c r="F5964" s="3" t="s">
        <v>538</v>
      </c>
      <c r="G5964" s="7">
        <v>46175.11437639784</v>
      </c>
    </row>
    <row r="5965">
      <c r="A5965" s="3" t="s">
        <v>18495</v>
      </c>
      <c r="B5965" s="3" t="s">
        <v>619</v>
      </c>
      <c r="C5965" s="3" t="s">
        <v>1095</v>
      </c>
      <c r="D5965" s="3" t="s">
        <v>68</v>
      </c>
      <c r="E5965" s="3" t="s">
        <v>100</v>
      </c>
      <c r="F5965" s="3" t="s">
        <v>1855</v>
      </c>
      <c r="G5965" s="7">
        <v>46175.18555124326</v>
      </c>
    </row>
    <row r="5966">
      <c r="A5966" s="3" t="s">
        <v>18498</v>
      </c>
      <c r="B5966" s="3" t="s">
        <v>669</v>
      </c>
      <c r="C5966" s="3" t="s">
        <v>1095</v>
      </c>
      <c r="D5966" s="3" t="s">
        <v>68</v>
      </c>
      <c r="E5966" s="3" t="s">
        <v>100</v>
      </c>
      <c r="F5966" s="3" t="s">
        <v>1000</v>
      </c>
      <c r="G5966" s="7">
        <v>46175.256726088664</v>
      </c>
    </row>
    <row r="5967">
      <c r="A5967" s="3" t="s">
        <v>18501</v>
      </c>
      <c r="B5967" s="3" t="s">
        <v>957</v>
      </c>
      <c r="C5967" s="3" t="s">
        <v>1095</v>
      </c>
      <c r="D5967" s="3" t="s">
        <v>68</v>
      </c>
      <c r="E5967" s="3" t="s">
        <v>100</v>
      </c>
      <c r="F5967" s="3" t="s">
        <v>1720</v>
      </c>
      <c r="G5967" s="7">
        <v>46175.327900934084</v>
      </c>
    </row>
    <row r="5968">
      <c r="A5968" s="3" t="s">
        <v>18505</v>
      </c>
      <c r="B5968" s="3" t="s">
        <v>575</v>
      </c>
      <c r="C5968" s="3" t="s">
        <v>1342</v>
      </c>
      <c r="D5968" s="3" t="s">
        <v>68</v>
      </c>
      <c r="E5968" s="3" t="s">
        <v>100</v>
      </c>
      <c r="F5968" s="3" t="s">
        <v>818</v>
      </c>
      <c r="G5968" s="7">
        <v>46175.3990757795</v>
      </c>
    </row>
    <row r="5969">
      <c r="A5969" s="3" t="s">
        <v>18508</v>
      </c>
      <c r="B5969" s="3" t="s">
        <v>937</v>
      </c>
      <c r="C5969" s="3" t="s">
        <v>56</v>
      </c>
      <c r="D5969" s="3" t="s">
        <v>68</v>
      </c>
      <c r="E5969" s="3" t="s">
        <v>100</v>
      </c>
      <c r="F5969" s="3" t="s">
        <v>1033</v>
      </c>
      <c r="G5969" s="7">
        <v>46175.470250624916</v>
      </c>
    </row>
    <row r="5970">
      <c r="A5970" s="3" t="s">
        <v>18512</v>
      </c>
      <c r="B5970" s="3" t="s">
        <v>1040</v>
      </c>
      <c r="C5970" s="3" t="s">
        <v>1095</v>
      </c>
      <c r="D5970" s="3" t="s">
        <v>68</v>
      </c>
      <c r="E5970" s="3" t="s">
        <v>100</v>
      </c>
      <c r="F5970" s="3" t="s">
        <v>2108</v>
      </c>
      <c r="G5970" s="7">
        <v>46175.54142547033</v>
      </c>
    </row>
    <row r="5971">
      <c r="A5971" s="3" t="s">
        <v>18515</v>
      </c>
      <c r="B5971" s="3" t="s">
        <v>760</v>
      </c>
      <c r="C5971" s="3" t="s">
        <v>56</v>
      </c>
      <c r="D5971" s="3" t="s">
        <v>68</v>
      </c>
      <c r="E5971" s="3" t="s">
        <v>100</v>
      </c>
      <c r="F5971" s="3" t="s">
        <v>1045</v>
      </c>
      <c r="G5971" s="7">
        <v>46175.61260031575</v>
      </c>
    </row>
    <row r="5972">
      <c r="A5972" s="3" t="s">
        <v>18518</v>
      </c>
      <c r="B5972" s="3" t="s">
        <v>419</v>
      </c>
      <c r="C5972" s="3" t="s">
        <v>1342</v>
      </c>
      <c r="D5972" s="3" t="s">
        <v>68</v>
      </c>
      <c r="E5972" s="3" t="s">
        <v>100</v>
      </c>
      <c r="F5972" s="3" t="s">
        <v>2111</v>
      </c>
      <c r="G5972" s="7">
        <v>46175.68377516116</v>
      </c>
    </row>
    <row r="5973">
      <c r="A5973" s="3" t="s">
        <v>18520</v>
      </c>
      <c r="B5973" s="3" t="s">
        <v>682</v>
      </c>
      <c r="C5973" s="3" t="s">
        <v>1095</v>
      </c>
      <c r="D5973" s="3" t="s">
        <v>68</v>
      </c>
      <c r="E5973" s="3" t="s">
        <v>100</v>
      </c>
      <c r="F5973" s="3" t="s">
        <v>2064</v>
      </c>
      <c r="G5973" s="7">
        <v>46175.75495000657</v>
      </c>
    </row>
    <row r="5974">
      <c r="A5974" s="3" t="s">
        <v>18523</v>
      </c>
      <c r="B5974" s="3" t="s">
        <v>911</v>
      </c>
      <c r="C5974" s="3" t="s">
        <v>56</v>
      </c>
      <c r="D5974" s="3" t="s">
        <v>68</v>
      </c>
      <c r="E5974" s="3" t="s">
        <v>100</v>
      </c>
      <c r="F5974" s="3" t="s">
        <v>1048</v>
      </c>
      <c r="G5974" s="7">
        <v>46175.82612485199</v>
      </c>
    </row>
    <row r="5975">
      <c r="A5975" s="3" t="s">
        <v>18525</v>
      </c>
      <c r="B5975" s="3" t="s">
        <v>965</v>
      </c>
      <c r="C5975" s="3" t="s">
        <v>1095</v>
      </c>
      <c r="D5975" s="3" t="s">
        <v>68</v>
      </c>
      <c r="E5975" s="3" t="s">
        <v>100</v>
      </c>
      <c r="F5975" s="3" t="s">
        <v>653</v>
      </c>
      <c r="G5975" s="7">
        <v>46175.897299697404</v>
      </c>
    </row>
    <row r="5976">
      <c r="A5976" s="3" t="s">
        <v>18527</v>
      </c>
      <c r="B5976" s="3" t="s">
        <v>793</v>
      </c>
      <c r="C5976" s="3" t="s">
        <v>1095</v>
      </c>
      <c r="D5976" s="3" t="s">
        <v>68</v>
      </c>
      <c r="E5976" s="3" t="s">
        <v>100</v>
      </c>
      <c r="F5976" s="3" t="s">
        <v>1429</v>
      </c>
      <c r="G5976" s="7">
        <v>46175.96847454282</v>
      </c>
    </row>
    <row r="5977">
      <c r="A5977" s="3" t="s">
        <v>18530</v>
      </c>
      <c r="B5977" s="3" t="s">
        <v>535</v>
      </c>
      <c r="C5977" s="3" t="s">
        <v>1342</v>
      </c>
      <c r="D5977" s="3" t="s">
        <v>68</v>
      </c>
      <c r="E5977" s="3" t="s">
        <v>100</v>
      </c>
      <c r="F5977" s="3" t="s">
        <v>1467</v>
      </c>
      <c r="G5977" s="7">
        <v>46176.039649388236</v>
      </c>
    </row>
    <row r="5978">
      <c r="A5978" s="3" t="s">
        <v>18533</v>
      </c>
      <c r="B5978" s="3" t="s">
        <v>535</v>
      </c>
      <c r="C5978" s="3" t="s">
        <v>1095</v>
      </c>
      <c r="D5978" s="3" t="s">
        <v>68</v>
      </c>
      <c r="E5978" s="3" t="s">
        <v>100</v>
      </c>
      <c r="F5978" s="3" t="s">
        <v>1467</v>
      </c>
      <c r="G5978" s="7">
        <v>46176.11082423365</v>
      </c>
    </row>
    <row r="5979">
      <c r="A5979" s="3" t="s">
        <v>18537</v>
      </c>
      <c r="B5979" s="3" t="s">
        <v>725</v>
      </c>
      <c r="C5979" s="3" t="s">
        <v>1342</v>
      </c>
      <c r="D5979" s="3" t="s">
        <v>68</v>
      </c>
      <c r="E5979" s="3" t="s">
        <v>100</v>
      </c>
      <c r="F5979" s="3" t="s">
        <v>2013</v>
      </c>
      <c r="G5979" s="7">
        <v>46176.18199907907</v>
      </c>
    </row>
    <row r="5980">
      <c r="A5980" s="3" t="s">
        <v>18541</v>
      </c>
      <c r="B5980" s="3" t="s">
        <v>141</v>
      </c>
      <c r="C5980" s="3" t="s">
        <v>1342</v>
      </c>
      <c r="D5980" s="3" t="s">
        <v>68</v>
      </c>
      <c r="E5980" s="3" t="s">
        <v>100</v>
      </c>
      <c r="F5980" s="3" t="s">
        <v>1690</v>
      </c>
      <c r="G5980" s="7">
        <v>46176.25317392448</v>
      </c>
    </row>
    <row r="5981">
      <c r="A5981" s="3" t="s">
        <v>18544</v>
      </c>
      <c r="B5981" s="3" t="s">
        <v>326</v>
      </c>
      <c r="C5981" s="3" t="s">
        <v>56</v>
      </c>
      <c r="D5981" s="3" t="s">
        <v>68</v>
      </c>
      <c r="E5981" s="3" t="s">
        <v>100</v>
      </c>
      <c r="F5981" s="3" t="s">
        <v>1053</v>
      </c>
      <c r="G5981" s="7">
        <v>46176.3243487699</v>
      </c>
    </row>
    <row r="5982">
      <c r="A5982" s="3" t="s">
        <v>18547</v>
      </c>
      <c r="B5982" s="3" t="s">
        <v>698</v>
      </c>
      <c r="C5982" s="3" t="s">
        <v>1095</v>
      </c>
      <c r="D5982" s="3" t="s">
        <v>68</v>
      </c>
      <c r="E5982" s="3" t="s">
        <v>100</v>
      </c>
      <c r="F5982" s="3" t="s">
        <v>490</v>
      </c>
      <c r="G5982" s="7">
        <v>46176.395523615305</v>
      </c>
    </row>
    <row r="5983">
      <c r="A5983" s="3" t="s">
        <v>18551</v>
      </c>
      <c r="B5983" s="3" t="s">
        <v>424</v>
      </c>
      <c r="C5983" s="3" t="s">
        <v>1095</v>
      </c>
      <c r="D5983" s="3" t="s">
        <v>68</v>
      </c>
      <c r="E5983" s="3" t="s">
        <v>100</v>
      </c>
      <c r="F5983" s="3" t="s">
        <v>1015</v>
      </c>
      <c r="G5983" s="7">
        <v>46176.466698460725</v>
      </c>
    </row>
    <row r="5984">
      <c r="A5984" s="3" t="s">
        <v>18554</v>
      </c>
      <c r="B5984" s="3" t="s">
        <v>657</v>
      </c>
      <c r="C5984" s="3" t="s">
        <v>1095</v>
      </c>
      <c r="D5984" s="3" t="s">
        <v>68</v>
      </c>
      <c r="E5984" s="3" t="s">
        <v>100</v>
      </c>
      <c r="F5984" s="3" t="s">
        <v>1674</v>
      </c>
      <c r="G5984" s="7">
        <v>46176.537873306144</v>
      </c>
    </row>
    <row r="5985">
      <c r="A5985" s="3" t="s">
        <v>18558</v>
      </c>
      <c r="B5985" s="3" t="s">
        <v>440</v>
      </c>
      <c r="C5985" s="3" t="s">
        <v>1342</v>
      </c>
      <c r="D5985" s="3" t="s">
        <v>68</v>
      </c>
      <c r="E5985" s="3" t="s">
        <v>100</v>
      </c>
      <c r="F5985" s="3" t="s">
        <v>1863</v>
      </c>
      <c r="G5985" s="7">
        <v>46176.60904815156</v>
      </c>
    </row>
    <row r="5986">
      <c r="A5986" s="3" t="s">
        <v>18561</v>
      </c>
      <c r="B5986" s="3" t="s">
        <v>430</v>
      </c>
      <c r="C5986" s="3" t="s">
        <v>56</v>
      </c>
      <c r="D5986" s="3" t="s">
        <v>68</v>
      </c>
      <c r="E5986" s="3" t="s">
        <v>100</v>
      </c>
      <c r="F5986" s="3" t="s">
        <v>1054</v>
      </c>
      <c r="G5986" s="7">
        <v>46176.68022299697</v>
      </c>
    </row>
    <row r="5987">
      <c r="A5987" s="3" t="s">
        <v>18564</v>
      </c>
      <c r="B5987" s="3" t="s">
        <v>310</v>
      </c>
      <c r="C5987" s="3" t="s">
        <v>1342</v>
      </c>
      <c r="D5987" s="3" t="s">
        <v>68</v>
      </c>
      <c r="E5987" s="3" t="s">
        <v>100</v>
      </c>
      <c r="F5987" s="3" t="s">
        <v>1663</v>
      </c>
      <c r="G5987" s="7">
        <v>46176.75139784239</v>
      </c>
    </row>
    <row r="5988">
      <c r="A5988" s="3" t="s">
        <v>18566</v>
      </c>
      <c r="B5988" s="3" t="s">
        <v>598</v>
      </c>
      <c r="C5988" s="3" t="s">
        <v>56</v>
      </c>
      <c r="D5988" s="3" t="s">
        <v>68</v>
      </c>
      <c r="E5988" s="3" t="s">
        <v>100</v>
      </c>
      <c r="F5988" s="3" t="s">
        <v>1055</v>
      </c>
      <c r="G5988" s="7">
        <v>46176.8225726878</v>
      </c>
    </row>
    <row r="5989">
      <c r="A5989" s="3" t="s">
        <v>18568</v>
      </c>
      <c r="B5989" s="3" t="s">
        <v>442</v>
      </c>
      <c r="C5989" s="3" t="s">
        <v>1342</v>
      </c>
      <c r="D5989" s="3" t="s">
        <v>68</v>
      </c>
      <c r="E5989" s="3" t="s">
        <v>100</v>
      </c>
      <c r="F5989" s="3" t="s">
        <v>2001</v>
      </c>
      <c r="G5989" s="7">
        <v>46176.89374753321</v>
      </c>
    </row>
    <row r="5990">
      <c r="A5990" s="3" t="s">
        <v>18570</v>
      </c>
      <c r="B5990" s="3" t="s">
        <v>293</v>
      </c>
      <c r="C5990" s="3" t="s">
        <v>1095</v>
      </c>
      <c r="D5990" s="3" t="s">
        <v>68</v>
      </c>
      <c r="E5990" s="3" t="s">
        <v>100</v>
      </c>
      <c r="F5990" s="3" t="s">
        <v>477</v>
      </c>
      <c r="G5990" s="7">
        <v>46176.96492237863</v>
      </c>
    </row>
    <row r="5991">
      <c r="A5991" s="3" t="s">
        <v>18574</v>
      </c>
      <c r="B5991" s="3" t="s">
        <v>151</v>
      </c>
      <c r="C5991" s="3" t="s">
        <v>1342</v>
      </c>
      <c r="D5991" s="3" t="s">
        <v>195</v>
      </c>
      <c r="E5991" s="3" t="s">
        <v>45</v>
      </c>
      <c r="F5991" s="3" t="s">
        <v>971</v>
      </c>
      <c r="G5991" s="7">
        <v>46177.03609722405</v>
      </c>
    </row>
    <row r="5992">
      <c r="A5992" s="3" t="s">
        <v>18577</v>
      </c>
      <c r="B5992" s="3" t="s">
        <v>226</v>
      </c>
      <c r="C5992" s="3" t="s">
        <v>1342</v>
      </c>
      <c r="D5992" s="3" t="s">
        <v>68</v>
      </c>
      <c r="E5992" s="3" t="s">
        <v>100</v>
      </c>
      <c r="F5992" s="3" t="s">
        <v>2123</v>
      </c>
      <c r="G5992" s="7">
        <v>46177.10727206946</v>
      </c>
    </row>
    <row r="5993">
      <c r="A5993" s="3" t="s">
        <v>18580</v>
      </c>
      <c r="B5993" s="3" t="s">
        <v>619</v>
      </c>
      <c r="C5993" s="3" t="s">
        <v>56</v>
      </c>
      <c r="D5993" s="3" t="s">
        <v>68</v>
      </c>
      <c r="E5993" s="3" t="s">
        <v>100</v>
      </c>
      <c r="F5993" s="3" t="s">
        <v>1060</v>
      </c>
      <c r="G5993" s="7">
        <v>46177.17844691488</v>
      </c>
    </row>
    <row r="5994">
      <c r="A5994" s="3" t="s">
        <v>18583</v>
      </c>
      <c r="B5994" s="3" t="s">
        <v>204</v>
      </c>
      <c r="C5994" s="3" t="s">
        <v>56</v>
      </c>
      <c r="D5994" s="3" t="s">
        <v>68</v>
      </c>
      <c r="E5994" s="3" t="s">
        <v>100</v>
      </c>
      <c r="F5994" s="3" t="s">
        <v>1063</v>
      </c>
      <c r="G5994" s="7">
        <v>46177.24962176029</v>
      </c>
    </row>
    <row r="5995">
      <c r="A5995" s="3" t="s">
        <v>18585</v>
      </c>
      <c r="B5995" s="3" t="s">
        <v>652</v>
      </c>
      <c r="C5995" s="3" t="s">
        <v>56</v>
      </c>
      <c r="D5995" s="3" t="s">
        <v>68</v>
      </c>
      <c r="E5995" s="3" t="s">
        <v>100</v>
      </c>
      <c r="F5995" s="3" t="s">
        <v>1064</v>
      </c>
      <c r="G5995" s="7">
        <v>46177.32079660571</v>
      </c>
    </row>
    <row r="5996">
      <c r="A5996" s="3" t="s">
        <v>18588</v>
      </c>
      <c r="B5996" s="3" t="s">
        <v>629</v>
      </c>
      <c r="C5996" s="3" t="s">
        <v>1342</v>
      </c>
      <c r="D5996" s="3" t="s">
        <v>68</v>
      </c>
      <c r="E5996" s="3" t="s">
        <v>100</v>
      </c>
      <c r="F5996" s="3" t="s">
        <v>1850</v>
      </c>
      <c r="G5996" s="7">
        <v>46177.39197145112</v>
      </c>
    </row>
    <row r="5997">
      <c r="A5997" s="3" t="s">
        <v>18590</v>
      </c>
      <c r="B5997" s="3" t="s">
        <v>601</v>
      </c>
      <c r="C5997" s="3" t="s">
        <v>1342</v>
      </c>
      <c r="D5997" s="3" t="s">
        <v>68</v>
      </c>
      <c r="E5997" s="3" t="s">
        <v>100</v>
      </c>
      <c r="F5997" s="3" t="s">
        <v>837</v>
      </c>
      <c r="G5997" s="7">
        <v>46177.46314629654</v>
      </c>
    </row>
    <row r="5998">
      <c r="A5998" s="3" t="s">
        <v>18593</v>
      </c>
      <c r="B5998" s="3" t="s">
        <v>785</v>
      </c>
      <c r="C5998" s="3" t="s">
        <v>1342</v>
      </c>
      <c r="D5998" s="3" t="s">
        <v>68</v>
      </c>
      <c r="E5998" s="3" t="s">
        <v>100</v>
      </c>
      <c r="F5998" s="3" t="s">
        <v>1549</v>
      </c>
      <c r="G5998" s="7">
        <v>46177.534321141946</v>
      </c>
    </row>
    <row r="5999">
      <c r="A5999" s="3" t="s">
        <v>18596</v>
      </c>
      <c r="B5999" s="3" t="s">
        <v>230</v>
      </c>
      <c r="C5999" s="3" t="s">
        <v>1342</v>
      </c>
      <c r="D5999" s="3" t="s">
        <v>68</v>
      </c>
      <c r="E5999" s="3" t="s">
        <v>100</v>
      </c>
      <c r="F5999" s="3" t="s">
        <v>2006</v>
      </c>
      <c r="G5999" s="7">
        <v>46177.605495987365</v>
      </c>
    </row>
    <row r="6000">
      <c r="A6000" s="3" t="s">
        <v>18600</v>
      </c>
      <c r="B6000" s="3" t="s">
        <v>475</v>
      </c>
      <c r="C6000" s="3" t="s">
        <v>56</v>
      </c>
      <c r="D6000" s="3" t="s">
        <v>68</v>
      </c>
      <c r="E6000" s="3" t="s">
        <v>100</v>
      </c>
      <c r="F6000" s="3" t="s">
        <v>1066</v>
      </c>
      <c r="G6000" s="7">
        <v>46177.676670832785</v>
      </c>
    </row>
    <row r="6001">
      <c r="A6001" s="3" t="s">
        <v>18603</v>
      </c>
      <c r="B6001" s="3" t="s">
        <v>789</v>
      </c>
      <c r="C6001" s="3" t="s">
        <v>1342</v>
      </c>
      <c r="D6001" s="3" t="s">
        <v>68</v>
      </c>
      <c r="E6001" s="3" t="s">
        <v>100</v>
      </c>
      <c r="F6001" s="3" t="s">
        <v>1873</v>
      </c>
      <c r="G6001" s="7">
        <v>46177.7478456782</v>
      </c>
    </row>
    <row r="6002">
      <c r="A6002" s="3" t="s">
        <v>18605</v>
      </c>
      <c r="B6002" s="3" t="s">
        <v>233</v>
      </c>
      <c r="C6002" s="3" t="s">
        <v>1095</v>
      </c>
      <c r="D6002" s="3" t="s">
        <v>68</v>
      </c>
      <c r="E6002" s="3" t="s">
        <v>100</v>
      </c>
      <c r="F6002" s="3" t="s">
        <v>1806</v>
      </c>
      <c r="G6002" s="7">
        <v>46177.81902052361</v>
      </c>
    </row>
    <row r="6003">
      <c r="A6003" s="3" t="s">
        <v>18607</v>
      </c>
      <c r="B6003" s="3" t="s">
        <v>239</v>
      </c>
      <c r="C6003" s="3" t="s">
        <v>1095</v>
      </c>
      <c r="D6003" s="3" t="s">
        <v>68</v>
      </c>
      <c r="E6003" s="3" t="s">
        <v>100</v>
      </c>
      <c r="F6003" s="3" t="s">
        <v>532</v>
      </c>
      <c r="G6003" s="7">
        <v>46177.89019536903</v>
      </c>
    </row>
    <row r="6004">
      <c r="A6004" s="3" t="s">
        <v>18609</v>
      </c>
      <c r="B6004" s="3" t="s">
        <v>380</v>
      </c>
      <c r="C6004" s="3" t="s">
        <v>1095</v>
      </c>
      <c r="D6004" s="3" t="s">
        <v>68</v>
      </c>
      <c r="E6004" s="3" t="s">
        <v>100</v>
      </c>
      <c r="F6004" s="3" t="s">
        <v>1907</v>
      </c>
      <c r="G6004" s="7">
        <v>46177.96137021444</v>
      </c>
    </row>
    <row r="6005">
      <c r="A6005" s="3" t="s">
        <v>18613</v>
      </c>
      <c r="B6005" s="3" t="s">
        <v>1040</v>
      </c>
      <c r="C6005" s="3" t="s">
        <v>56</v>
      </c>
      <c r="D6005" s="3" t="s">
        <v>68</v>
      </c>
      <c r="E6005" s="3" t="s">
        <v>100</v>
      </c>
      <c r="F6005" s="3" t="s">
        <v>1069</v>
      </c>
      <c r="G6005" s="7">
        <v>46178.032545059854</v>
      </c>
    </row>
    <row r="6006">
      <c r="A6006" s="3" t="s">
        <v>18616</v>
      </c>
      <c r="B6006" s="3" t="s">
        <v>380</v>
      </c>
      <c r="C6006" s="3" t="s">
        <v>56</v>
      </c>
      <c r="D6006" s="3" t="s">
        <v>68</v>
      </c>
      <c r="E6006" s="3" t="s">
        <v>100</v>
      </c>
      <c r="F6006" s="3" t="s">
        <v>1070</v>
      </c>
      <c r="G6006" s="7">
        <v>46178.10371990527</v>
      </c>
    </row>
    <row r="6007">
      <c r="A6007" s="3" t="s">
        <v>18620</v>
      </c>
      <c r="B6007" s="3" t="s">
        <v>819</v>
      </c>
      <c r="C6007" s="3" t="s">
        <v>1095</v>
      </c>
      <c r="D6007" s="3" t="s">
        <v>68</v>
      </c>
      <c r="E6007" s="3" t="s">
        <v>100</v>
      </c>
      <c r="F6007" s="3" t="s">
        <v>1654</v>
      </c>
      <c r="G6007" s="7">
        <v>46178.17489475069</v>
      </c>
    </row>
    <row r="6008">
      <c r="A6008" s="3" t="s">
        <v>18623</v>
      </c>
      <c r="B6008" s="3" t="s">
        <v>742</v>
      </c>
      <c r="C6008" s="3" t="s">
        <v>56</v>
      </c>
      <c r="D6008" s="3" t="s">
        <v>68</v>
      </c>
      <c r="E6008" s="3" t="s">
        <v>100</v>
      </c>
      <c r="F6008" s="3" t="s">
        <v>1072</v>
      </c>
      <c r="G6008" s="7">
        <v>46178.2460695961</v>
      </c>
    </row>
    <row r="6009">
      <c r="A6009" s="3" t="s">
        <v>18627</v>
      </c>
      <c r="B6009" s="3" t="s">
        <v>269</v>
      </c>
      <c r="C6009" s="3" t="s">
        <v>56</v>
      </c>
      <c r="D6009" s="3" t="s">
        <v>68</v>
      </c>
      <c r="E6009" s="3" t="s">
        <v>100</v>
      </c>
      <c r="F6009" s="3" t="s">
        <v>1074</v>
      </c>
      <c r="G6009" s="7">
        <v>46178.31724444152</v>
      </c>
    </row>
    <row r="6010">
      <c r="A6010" s="3" t="s">
        <v>18631</v>
      </c>
      <c r="B6010" s="3" t="s">
        <v>631</v>
      </c>
      <c r="C6010" s="3" t="s">
        <v>1095</v>
      </c>
      <c r="D6010" s="3" t="s">
        <v>68</v>
      </c>
      <c r="E6010" s="3" t="s">
        <v>100</v>
      </c>
      <c r="F6010" s="3" t="s">
        <v>792</v>
      </c>
      <c r="G6010" s="7">
        <v>46178.38841928694</v>
      </c>
    </row>
    <row r="6011">
      <c r="A6011" s="3" t="s">
        <v>18633</v>
      </c>
      <c r="B6011" s="3" t="s">
        <v>485</v>
      </c>
      <c r="C6011" s="3" t="s">
        <v>56</v>
      </c>
      <c r="D6011" s="3" t="s">
        <v>68</v>
      </c>
      <c r="E6011" s="3" t="s">
        <v>100</v>
      </c>
      <c r="F6011" s="3" t="s">
        <v>1076</v>
      </c>
      <c r="G6011" s="7">
        <v>46178.45959413235</v>
      </c>
    </row>
    <row r="6012">
      <c r="A6012" s="3" t="s">
        <v>18635</v>
      </c>
      <c r="B6012" s="3" t="s">
        <v>348</v>
      </c>
      <c r="C6012" s="3" t="s">
        <v>1342</v>
      </c>
      <c r="D6012" s="3" t="s">
        <v>68</v>
      </c>
      <c r="E6012" s="3" t="s">
        <v>100</v>
      </c>
      <c r="F6012" s="3" t="s">
        <v>1901</v>
      </c>
      <c r="G6012" s="7">
        <v>46178.53076897776</v>
      </c>
    </row>
    <row r="6013">
      <c r="A6013" s="3" t="s">
        <v>18639</v>
      </c>
      <c r="B6013" s="3" t="s">
        <v>682</v>
      </c>
      <c r="C6013" s="3" t="s">
        <v>56</v>
      </c>
      <c r="D6013" s="3" t="s">
        <v>68</v>
      </c>
      <c r="E6013" s="3" t="s">
        <v>100</v>
      </c>
      <c r="F6013" s="3" t="s">
        <v>1079</v>
      </c>
      <c r="G6013" s="7">
        <v>46178.60194382318</v>
      </c>
    </row>
    <row r="6014">
      <c r="A6014" s="3" t="s">
        <v>18643</v>
      </c>
      <c r="B6014" s="3" t="s">
        <v>600</v>
      </c>
      <c r="C6014" s="3" t="s">
        <v>1342</v>
      </c>
      <c r="D6014" s="3" t="s">
        <v>68</v>
      </c>
      <c r="E6014" s="3" t="s">
        <v>100</v>
      </c>
      <c r="F6014" s="3" t="s">
        <v>1768</v>
      </c>
      <c r="G6014" s="7">
        <v>46178.673118668594</v>
      </c>
    </row>
    <row r="6015">
      <c r="A6015" s="3" t="s">
        <v>18646</v>
      </c>
      <c r="B6015" s="3" t="s">
        <v>366</v>
      </c>
      <c r="C6015" s="3" t="s">
        <v>1342</v>
      </c>
      <c r="D6015" s="3" t="s">
        <v>68</v>
      </c>
      <c r="E6015" s="3" t="s">
        <v>100</v>
      </c>
      <c r="F6015" s="3" t="s">
        <v>549</v>
      </c>
      <c r="G6015" s="7">
        <v>46178.744293514006</v>
      </c>
    </row>
    <row r="6016">
      <c r="A6016" s="3" t="s">
        <v>18648</v>
      </c>
      <c r="B6016" s="3" t="s">
        <v>593</v>
      </c>
      <c r="C6016" s="3" t="s">
        <v>56</v>
      </c>
      <c r="D6016" s="3" t="s">
        <v>68</v>
      </c>
      <c r="E6016" s="3" t="s">
        <v>100</v>
      </c>
      <c r="F6016" s="3" t="s">
        <v>1081</v>
      </c>
      <c r="G6016" s="7">
        <v>46178.815468359426</v>
      </c>
    </row>
    <row r="6017">
      <c r="A6017" s="3" t="s">
        <v>18650</v>
      </c>
      <c r="B6017" s="3" t="s">
        <v>870</v>
      </c>
      <c r="C6017" s="3" t="s">
        <v>1095</v>
      </c>
      <c r="D6017" s="3" t="s">
        <v>68</v>
      </c>
      <c r="E6017" s="3" t="s">
        <v>100</v>
      </c>
      <c r="F6017" s="3" t="s">
        <v>2044</v>
      </c>
      <c r="G6017" s="7">
        <v>46178.88664320484</v>
      </c>
    </row>
    <row r="6018">
      <c r="A6018" s="3" t="s">
        <v>18653</v>
      </c>
      <c r="B6018" s="3" t="s">
        <v>939</v>
      </c>
      <c r="C6018" s="3" t="s">
        <v>1342</v>
      </c>
      <c r="D6018" s="3" t="s">
        <v>68</v>
      </c>
      <c r="E6018" s="3" t="s">
        <v>100</v>
      </c>
      <c r="F6018" s="3" t="s">
        <v>1738</v>
      </c>
      <c r="G6018" s="7">
        <v>46178.95781805025</v>
      </c>
    </row>
    <row r="6019">
      <c r="A6019" s="3" t="s">
        <v>18656</v>
      </c>
      <c r="B6019" s="3" t="s">
        <v>1040</v>
      </c>
      <c r="C6019" s="3" t="s">
        <v>1095</v>
      </c>
      <c r="D6019" s="3" t="s">
        <v>68</v>
      </c>
      <c r="E6019" s="3" t="s">
        <v>100</v>
      </c>
      <c r="F6019" s="3" t="s">
        <v>1069</v>
      </c>
      <c r="G6019" s="7">
        <v>46179.02899289567</v>
      </c>
    </row>
    <row r="6020">
      <c r="A6020" s="3" t="s">
        <v>18659</v>
      </c>
      <c r="B6020" s="3" t="s">
        <v>488</v>
      </c>
      <c r="C6020" s="3" t="s">
        <v>1342</v>
      </c>
      <c r="D6020" s="3" t="s">
        <v>68</v>
      </c>
      <c r="E6020" s="3" t="s">
        <v>100</v>
      </c>
      <c r="F6020" s="3" t="s">
        <v>495</v>
      </c>
      <c r="G6020" s="7">
        <v>46179.10016774108</v>
      </c>
    </row>
    <row r="6021">
      <c r="A6021" s="3" t="s">
        <v>18662</v>
      </c>
      <c r="B6021" s="3" t="s">
        <v>922</v>
      </c>
      <c r="C6021" s="3" t="s">
        <v>1342</v>
      </c>
      <c r="D6021" s="3" t="s">
        <v>68</v>
      </c>
      <c r="E6021" s="3" t="s">
        <v>100</v>
      </c>
      <c r="F6021" s="3" t="s">
        <v>1609</v>
      </c>
      <c r="G6021" s="7">
        <v>46179.171342586495</v>
      </c>
    </row>
    <row r="6022">
      <c r="A6022" s="3" t="s">
        <v>18665</v>
      </c>
      <c r="B6022" s="3" t="s">
        <v>302</v>
      </c>
      <c r="C6022" s="3" t="s">
        <v>1095</v>
      </c>
      <c r="D6022" s="3" t="s">
        <v>68</v>
      </c>
      <c r="E6022" s="3" t="s">
        <v>100</v>
      </c>
      <c r="F6022" s="3" t="s">
        <v>504</v>
      </c>
      <c r="G6022" s="7">
        <v>46179.242517431914</v>
      </c>
    </row>
    <row r="6023">
      <c r="A6023" s="3" t="s">
        <v>18667</v>
      </c>
      <c r="B6023" s="3" t="s">
        <v>239</v>
      </c>
      <c r="C6023" s="3" t="s">
        <v>56</v>
      </c>
      <c r="D6023" s="3" t="s">
        <v>68</v>
      </c>
      <c r="E6023" s="3" t="s">
        <v>100</v>
      </c>
      <c r="F6023" s="3" t="s">
        <v>1083</v>
      </c>
      <c r="G6023" s="7">
        <v>46179.313692277334</v>
      </c>
    </row>
    <row r="6024">
      <c r="A6024" s="3" t="s">
        <v>18669</v>
      </c>
      <c r="B6024" s="3" t="s">
        <v>830</v>
      </c>
      <c r="C6024" s="3" t="s">
        <v>1342</v>
      </c>
      <c r="D6024" s="3" t="s">
        <v>68</v>
      </c>
      <c r="E6024" s="3" t="s">
        <v>100</v>
      </c>
      <c r="F6024" s="3" t="s">
        <v>942</v>
      </c>
      <c r="G6024" s="7">
        <v>46179.38486712274</v>
      </c>
    </row>
    <row r="6025">
      <c r="A6025" s="3" t="s">
        <v>18672</v>
      </c>
      <c r="B6025" s="3" t="s">
        <v>296</v>
      </c>
      <c r="C6025" s="3" t="s">
        <v>1342</v>
      </c>
      <c r="D6025" s="3" t="s">
        <v>181</v>
      </c>
      <c r="E6025" s="3" t="s">
        <v>45</v>
      </c>
      <c r="F6025" s="3" t="s">
        <v>1932</v>
      </c>
      <c r="G6025" s="7">
        <v>46179.45604196816</v>
      </c>
    </row>
    <row r="6026">
      <c r="A6026" s="3" t="s">
        <v>18673</v>
      </c>
      <c r="B6026" s="3" t="s">
        <v>366</v>
      </c>
      <c r="C6026" s="3" t="s">
        <v>1342</v>
      </c>
      <c r="D6026" s="3" t="s">
        <v>68</v>
      </c>
      <c r="E6026" s="3" t="s">
        <v>100</v>
      </c>
      <c r="F6026" s="3" t="s">
        <v>549</v>
      </c>
      <c r="G6026" s="7">
        <v>46179.52721681358</v>
      </c>
    </row>
    <row r="6027">
      <c r="A6027" s="3" t="s">
        <v>18675</v>
      </c>
      <c r="B6027" s="3" t="s">
        <v>544</v>
      </c>
      <c r="C6027" s="3" t="s">
        <v>1342</v>
      </c>
      <c r="D6027" s="3" t="s">
        <v>181</v>
      </c>
      <c r="E6027" s="3" t="s">
        <v>45</v>
      </c>
      <c r="F6027" s="3" t="s">
        <v>928</v>
      </c>
      <c r="G6027" s="7">
        <v>46179.59839165899</v>
      </c>
    </row>
    <row r="6028">
      <c r="A6028" s="3" t="s">
        <v>18678</v>
      </c>
      <c r="B6028" s="3" t="s">
        <v>643</v>
      </c>
      <c r="C6028" s="3" t="s">
        <v>1342</v>
      </c>
      <c r="D6028" s="3" t="s">
        <v>181</v>
      </c>
      <c r="E6028" s="3" t="s">
        <v>45</v>
      </c>
      <c r="F6028" s="3" t="s">
        <v>1570</v>
      </c>
      <c r="G6028" s="7">
        <v>46179.6695665044</v>
      </c>
    </row>
    <row r="6029">
      <c r="A6029" s="3" t="s">
        <v>18681</v>
      </c>
      <c r="B6029" s="3" t="s">
        <v>280</v>
      </c>
      <c r="C6029" s="3" t="s">
        <v>1095</v>
      </c>
      <c r="D6029" s="3" t="s">
        <v>68</v>
      </c>
      <c r="E6029" s="3" t="s">
        <v>100</v>
      </c>
      <c r="F6029" s="3" t="s">
        <v>2047</v>
      </c>
      <c r="G6029" s="7">
        <v>46179.74074134982</v>
      </c>
    </row>
    <row r="6030">
      <c r="A6030" s="3" t="s">
        <v>18685</v>
      </c>
      <c r="B6030" s="3" t="s">
        <v>619</v>
      </c>
      <c r="C6030" s="3" t="s">
        <v>1095</v>
      </c>
      <c r="D6030" s="3" t="s">
        <v>68</v>
      </c>
      <c r="E6030" s="3" t="s">
        <v>100</v>
      </c>
      <c r="F6030" s="3" t="s">
        <v>1060</v>
      </c>
      <c r="G6030" s="7">
        <v>46179.811916195235</v>
      </c>
    </row>
    <row r="6031">
      <c r="A6031" s="3" t="s">
        <v>18689</v>
      </c>
      <c r="B6031" s="3" t="s">
        <v>785</v>
      </c>
      <c r="C6031" s="3" t="s">
        <v>1342</v>
      </c>
      <c r="D6031" s="3" t="s">
        <v>68</v>
      </c>
      <c r="E6031" s="3" t="s">
        <v>100</v>
      </c>
      <c r="F6031" s="3" t="s">
        <v>1549</v>
      </c>
      <c r="G6031" s="7">
        <v>46179.88309104065</v>
      </c>
    </row>
    <row r="6032">
      <c r="A6032" s="3" t="s">
        <v>18691</v>
      </c>
      <c r="B6032" s="3" t="s">
        <v>183</v>
      </c>
      <c r="C6032" s="3" t="s">
        <v>1342</v>
      </c>
      <c r="D6032" s="3" t="s">
        <v>68</v>
      </c>
      <c r="E6032" s="3" t="s">
        <v>100</v>
      </c>
      <c r="F6032" s="3" t="s">
        <v>780</v>
      </c>
      <c r="G6032" s="7">
        <v>46179.95426588607</v>
      </c>
    </row>
    <row r="6033">
      <c r="A6033" s="3" t="s">
        <v>18693</v>
      </c>
      <c r="B6033" s="3" t="s">
        <v>612</v>
      </c>
      <c r="C6033" s="3" t="s">
        <v>1342</v>
      </c>
      <c r="D6033" s="3" t="s">
        <v>68</v>
      </c>
      <c r="E6033" s="3" t="s">
        <v>100</v>
      </c>
      <c r="F6033" s="3" t="s">
        <v>595</v>
      </c>
      <c r="G6033" s="7">
        <v>46180.025440731486</v>
      </c>
    </row>
    <row r="6034">
      <c r="A6034" s="3" t="s">
        <v>18695</v>
      </c>
      <c r="B6034" s="3" t="s">
        <v>926</v>
      </c>
      <c r="C6034" s="3" t="s">
        <v>56</v>
      </c>
      <c r="D6034" s="3" t="s">
        <v>68</v>
      </c>
      <c r="E6034" s="3" t="s">
        <v>100</v>
      </c>
      <c r="F6034" s="3" t="s">
        <v>1086</v>
      </c>
      <c r="G6034" s="7">
        <v>46180.09661557689</v>
      </c>
    </row>
    <row r="6035">
      <c r="A6035" s="3" t="s">
        <v>18697</v>
      </c>
      <c r="B6035" s="3" t="s">
        <v>980</v>
      </c>
      <c r="C6035" s="3" t="s">
        <v>56</v>
      </c>
      <c r="D6035" s="3" t="s">
        <v>68</v>
      </c>
      <c r="E6035" s="3" t="s">
        <v>100</v>
      </c>
      <c r="F6035" s="3" t="s">
        <v>1088</v>
      </c>
      <c r="G6035" s="7">
        <v>46180.16779042231</v>
      </c>
    </row>
    <row r="6036">
      <c r="A6036" s="3" t="s">
        <v>18699</v>
      </c>
      <c r="B6036" s="3" t="s">
        <v>581</v>
      </c>
      <c r="C6036" s="3" t="s">
        <v>1095</v>
      </c>
      <c r="D6036" s="3" t="s">
        <v>68</v>
      </c>
      <c r="E6036" s="3" t="s">
        <v>100</v>
      </c>
      <c r="F6036" s="3" t="s">
        <v>1890</v>
      </c>
      <c r="G6036" s="7">
        <v>46180.23896526772</v>
      </c>
    </row>
    <row r="6037">
      <c r="A6037" s="3" t="s">
        <v>18702</v>
      </c>
      <c r="B6037" s="3" t="s">
        <v>895</v>
      </c>
      <c r="C6037" s="3" t="s">
        <v>56</v>
      </c>
      <c r="D6037" s="3" t="s">
        <v>68</v>
      </c>
      <c r="E6037" s="3" t="s">
        <v>100</v>
      </c>
      <c r="F6037" s="3" t="s">
        <v>1092</v>
      </c>
      <c r="G6037" s="7">
        <v>46180.31014011314</v>
      </c>
    </row>
    <row r="6038">
      <c r="A6038" s="3" t="s">
        <v>18704</v>
      </c>
      <c r="B6038" s="3" t="s">
        <v>1001</v>
      </c>
      <c r="C6038" s="3" t="s">
        <v>56</v>
      </c>
      <c r="D6038" s="3" t="s">
        <v>68</v>
      </c>
      <c r="E6038" s="3" t="s">
        <v>100</v>
      </c>
      <c r="F6038" s="3" t="s">
        <v>1094</v>
      </c>
      <c r="G6038" s="7">
        <v>46180.381314958555</v>
      </c>
    </row>
    <row r="6039">
      <c r="A6039" s="3" t="s">
        <v>18706</v>
      </c>
      <c r="B6039" s="3" t="s">
        <v>373</v>
      </c>
      <c r="C6039" s="3" t="s">
        <v>1095</v>
      </c>
      <c r="D6039" s="3" t="s">
        <v>68</v>
      </c>
      <c r="E6039" s="3" t="s">
        <v>100</v>
      </c>
      <c r="F6039" s="3" t="s">
        <v>1676</v>
      </c>
      <c r="G6039" s="7">
        <v>46180.452489803974</v>
      </c>
    </row>
    <row r="6040">
      <c r="A6040" s="3" t="s">
        <v>18708</v>
      </c>
      <c r="B6040" s="3" t="s">
        <v>226</v>
      </c>
      <c r="C6040" s="3" t="s">
        <v>1095</v>
      </c>
      <c r="D6040" s="3" t="s">
        <v>68</v>
      </c>
      <c r="E6040" s="3" t="s">
        <v>100</v>
      </c>
      <c r="F6040" s="3" t="s">
        <v>2123</v>
      </c>
      <c r="G6040" s="7">
        <v>46180.52366464938</v>
      </c>
    </row>
    <row r="6041">
      <c r="A6041" s="3" t="s">
        <v>18710</v>
      </c>
      <c r="B6041" s="3" t="s">
        <v>344</v>
      </c>
      <c r="C6041" s="3" t="s">
        <v>56</v>
      </c>
      <c r="D6041" s="3" t="s">
        <v>68</v>
      </c>
      <c r="E6041" s="3" t="s">
        <v>100</v>
      </c>
      <c r="F6041" s="3" t="s">
        <v>1096</v>
      </c>
      <c r="G6041" s="7">
        <v>46180.5948394948</v>
      </c>
    </row>
    <row r="6042">
      <c r="A6042" s="3" t="s">
        <v>18713</v>
      </c>
      <c r="B6042" s="3" t="s">
        <v>539</v>
      </c>
      <c r="C6042" s="3" t="s">
        <v>1342</v>
      </c>
      <c r="D6042" s="3" t="s">
        <v>181</v>
      </c>
      <c r="E6042" s="3" t="s">
        <v>45</v>
      </c>
      <c r="F6042" s="3" t="s">
        <v>1346</v>
      </c>
      <c r="G6042" s="7">
        <v>46180.66601434022</v>
      </c>
    </row>
    <row r="6043">
      <c r="A6043" s="3" t="s">
        <v>18715</v>
      </c>
      <c r="B6043" s="3" t="s">
        <v>515</v>
      </c>
      <c r="C6043" s="3" t="s">
        <v>56</v>
      </c>
      <c r="D6043" s="3" t="s">
        <v>181</v>
      </c>
      <c r="E6043" s="3" t="s">
        <v>45</v>
      </c>
      <c r="F6043" s="3" t="s">
        <v>45</v>
      </c>
      <c r="G6043" s="7">
        <v>46180.73718918563</v>
      </c>
    </row>
    <row r="6044">
      <c r="A6044" s="3" t="s">
        <v>18717</v>
      </c>
      <c r="B6044" s="3" t="s">
        <v>404</v>
      </c>
      <c r="C6044" s="3" t="s">
        <v>1342</v>
      </c>
      <c r="D6044" s="3" t="s">
        <v>181</v>
      </c>
      <c r="E6044" s="3" t="s">
        <v>45</v>
      </c>
      <c r="F6044" s="3" t="s">
        <v>2115</v>
      </c>
      <c r="G6044" s="7">
        <v>46180.80836403104</v>
      </c>
    </row>
    <row r="6045">
      <c r="A6045" s="3" t="s">
        <v>18719</v>
      </c>
      <c r="B6045" s="3" t="s">
        <v>949</v>
      </c>
      <c r="C6045" s="3" t="s">
        <v>1095</v>
      </c>
      <c r="D6045" s="3" t="s">
        <v>181</v>
      </c>
      <c r="E6045" s="3" t="s">
        <v>45</v>
      </c>
      <c r="F6045" s="3" t="s">
        <v>1887</v>
      </c>
      <c r="G6045" s="7">
        <v>46180.87953887646</v>
      </c>
    </row>
    <row r="6046">
      <c r="A6046" s="3" t="s">
        <v>18723</v>
      </c>
      <c r="B6046" s="3" t="s">
        <v>609</v>
      </c>
      <c r="C6046" s="3" t="s">
        <v>1342</v>
      </c>
      <c r="D6046" s="3" t="s">
        <v>68</v>
      </c>
      <c r="E6046" s="3" t="s">
        <v>100</v>
      </c>
      <c r="F6046" s="3" t="s">
        <v>963</v>
      </c>
      <c r="G6046" s="7">
        <v>46180.950713721875</v>
      </c>
    </row>
    <row r="6047">
      <c r="A6047" s="3" t="s">
        <v>18727</v>
      </c>
      <c r="B6047" s="3" t="s">
        <v>179</v>
      </c>
      <c r="C6047" s="3" t="s">
        <v>1095</v>
      </c>
      <c r="D6047" s="3" t="s">
        <v>181</v>
      </c>
      <c r="E6047" s="3" t="s">
        <v>45</v>
      </c>
      <c r="F6047" s="3" t="s">
        <v>1558</v>
      </c>
      <c r="G6047" s="7">
        <v>46181.02188856729</v>
      </c>
    </row>
    <row r="6048">
      <c r="A6048" s="3" t="s">
        <v>18730</v>
      </c>
      <c r="B6048" s="3" t="s">
        <v>211</v>
      </c>
      <c r="C6048" s="3" t="s">
        <v>1095</v>
      </c>
      <c r="D6048" s="3" t="s">
        <v>181</v>
      </c>
      <c r="E6048" s="3" t="s">
        <v>45</v>
      </c>
      <c r="F6048" s="3" t="s">
        <v>1039</v>
      </c>
      <c r="G6048" s="7">
        <v>46181.09306341271</v>
      </c>
    </row>
    <row r="6049">
      <c r="A6049" s="3" t="s">
        <v>18732</v>
      </c>
      <c r="B6049" s="3" t="s">
        <v>838</v>
      </c>
      <c r="C6049" s="3" t="s">
        <v>1342</v>
      </c>
      <c r="D6049" s="3" t="s">
        <v>68</v>
      </c>
      <c r="E6049" s="3" t="s">
        <v>100</v>
      </c>
      <c r="F6049" s="3" t="s">
        <v>1514</v>
      </c>
      <c r="G6049" s="7">
        <v>46181.16423825813</v>
      </c>
    </row>
    <row r="6050">
      <c r="A6050" s="3" t="s">
        <v>18734</v>
      </c>
      <c r="B6050" s="3" t="s">
        <v>496</v>
      </c>
      <c r="C6050" s="3" t="s">
        <v>1342</v>
      </c>
      <c r="D6050" s="3" t="s">
        <v>68</v>
      </c>
      <c r="E6050" s="3" t="s">
        <v>100</v>
      </c>
      <c r="F6050" s="3" t="s">
        <v>688</v>
      </c>
      <c r="G6050" s="7">
        <v>46181.23541310353</v>
      </c>
    </row>
    <row r="6051">
      <c r="A6051" s="3" t="s">
        <v>18736</v>
      </c>
      <c r="B6051" s="3" t="s">
        <v>645</v>
      </c>
      <c r="C6051" s="3" t="s">
        <v>1095</v>
      </c>
      <c r="D6051" s="3" t="s">
        <v>68</v>
      </c>
      <c r="E6051" s="3" t="s">
        <v>100</v>
      </c>
      <c r="F6051" s="3" t="s">
        <v>526</v>
      </c>
      <c r="G6051" s="7">
        <v>46181.30658794895</v>
      </c>
    </row>
    <row r="6052">
      <c r="A6052" s="3" t="s">
        <v>18740</v>
      </c>
      <c r="B6052" s="3" t="s">
        <v>957</v>
      </c>
      <c r="C6052" s="3" t="s">
        <v>56</v>
      </c>
      <c r="D6052" s="3" t="s">
        <v>68</v>
      </c>
      <c r="E6052" s="3" t="s">
        <v>100</v>
      </c>
      <c r="F6052" s="3" t="s">
        <v>1099</v>
      </c>
      <c r="G6052" s="7">
        <v>46181.37776279437</v>
      </c>
    </row>
    <row r="6053">
      <c r="A6053" s="3" t="s">
        <v>18743</v>
      </c>
      <c r="B6053" s="3" t="s">
        <v>395</v>
      </c>
      <c r="C6053" s="3" t="s">
        <v>1342</v>
      </c>
      <c r="D6053" s="3" t="s">
        <v>68</v>
      </c>
      <c r="E6053" s="3" t="s">
        <v>100</v>
      </c>
      <c r="F6053" s="3" t="s">
        <v>1418</v>
      </c>
      <c r="G6053" s="7">
        <v>46181.44893763978</v>
      </c>
    </row>
    <row r="6054">
      <c r="A6054" s="3" t="s">
        <v>18746</v>
      </c>
      <c r="B6054" s="3" t="s">
        <v>1040</v>
      </c>
      <c r="C6054" s="3" t="s">
        <v>56</v>
      </c>
      <c r="D6054" s="3" t="s">
        <v>68</v>
      </c>
      <c r="E6054" s="3" t="s">
        <v>100</v>
      </c>
      <c r="F6054" s="3" t="s">
        <v>1100</v>
      </c>
      <c r="G6054" s="7">
        <v>46181.520112485196</v>
      </c>
    </row>
    <row r="6055">
      <c r="A6055" s="3" t="s">
        <v>18750</v>
      </c>
      <c r="B6055" s="3" t="s">
        <v>939</v>
      </c>
      <c r="C6055" s="3" t="s">
        <v>1342</v>
      </c>
      <c r="D6055" s="3" t="s">
        <v>68</v>
      </c>
      <c r="E6055" s="3" t="s">
        <v>100</v>
      </c>
      <c r="F6055" s="3" t="s">
        <v>1738</v>
      </c>
      <c r="G6055" s="7">
        <v>46181.591287330615</v>
      </c>
    </row>
    <row r="6056">
      <c r="A6056" s="3" t="s">
        <v>18754</v>
      </c>
      <c r="B6056" s="3" t="s">
        <v>616</v>
      </c>
      <c r="C6056" s="3" t="s">
        <v>1095</v>
      </c>
      <c r="D6056" s="3" t="s">
        <v>68</v>
      </c>
      <c r="E6056" s="3" t="s">
        <v>100</v>
      </c>
      <c r="F6056" s="3" t="s">
        <v>2077</v>
      </c>
      <c r="G6056" s="7">
        <v>46181.66246217603</v>
      </c>
    </row>
    <row r="6057">
      <c r="A6057" s="3" t="s">
        <v>18757</v>
      </c>
      <c r="B6057" s="3" t="s">
        <v>773</v>
      </c>
      <c r="C6057" s="3" t="s">
        <v>56</v>
      </c>
      <c r="D6057" s="3" t="s">
        <v>68</v>
      </c>
      <c r="E6057" s="3" t="s">
        <v>100</v>
      </c>
      <c r="F6057" s="3" t="s">
        <v>1104</v>
      </c>
      <c r="G6057" s="7">
        <v>46181.73363702144</v>
      </c>
    </row>
    <row r="6058">
      <c r="A6058" s="3" t="s">
        <v>18760</v>
      </c>
      <c r="B6058" s="3" t="s">
        <v>853</v>
      </c>
      <c r="C6058" s="3" t="s">
        <v>1095</v>
      </c>
      <c r="D6058" s="3" t="s">
        <v>68</v>
      </c>
      <c r="E6058" s="3" t="s">
        <v>100</v>
      </c>
      <c r="F6058" s="3" t="s">
        <v>741</v>
      </c>
      <c r="G6058" s="7">
        <v>46181.80481186686</v>
      </c>
    </row>
    <row r="6059">
      <c r="A6059" s="3" t="s">
        <v>18763</v>
      </c>
      <c r="B6059" s="3" t="s">
        <v>501</v>
      </c>
      <c r="C6059" s="3" t="s">
        <v>1095</v>
      </c>
      <c r="D6059" s="3" t="s">
        <v>68</v>
      </c>
      <c r="E6059" s="3" t="s">
        <v>100</v>
      </c>
      <c r="F6059" s="3" t="s">
        <v>1335</v>
      </c>
      <c r="G6059" s="7">
        <v>46181.87598671227</v>
      </c>
    </row>
    <row r="6060">
      <c r="A6060" s="3" t="s">
        <v>18766</v>
      </c>
      <c r="B6060" s="3" t="s">
        <v>953</v>
      </c>
      <c r="C6060" s="3" t="s">
        <v>1342</v>
      </c>
      <c r="D6060" s="3" t="s">
        <v>68</v>
      </c>
      <c r="E6060" s="3" t="s">
        <v>100</v>
      </c>
      <c r="F6060" s="3" t="s">
        <v>1958</v>
      </c>
      <c r="G6060" s="7">
        <v>46181.947161557684</v>
      </c>
    </row>
    <row r="6061">
      <c r="A6061" s="3" t="s">
        <v>18770</v>
      </c>
      <c r="B6061" s="3" t="s">
        <v>655</v>
      </c>
      <c r="C6061" s="3" t="s">
        <v>1342</v>
      </c>
      <c r="D6061" s="3" t="s">
        <v>68</v>
      </c>
      <c r="E6061" s="3" t="s">
        <v>100</v>
      </c>
      <c r="F6061" s="3" t="s">
        <v>1800</v>
      </c>
      <c r="G6061" s="7">
        <v>46182.0183364031</v>
      </c>
    </row>
    <row r="6062">
      <c r="A6062" s="3" t="s">
        <v>18774</v>
      </c>
      <c r="B6062" s="3" t="s">
        <v>547</v>
      </c>
      <c r="C6062" s="3" t="s">
        <v>1342</v>
      </c>
      <c r="D6062" s="3" t="s">
        <v>68</v>
      </c>
      <c r="E6062" s="3" t="s">
        <v>100</v>
      </c>
      <c r="F6062" s="3" t="s">
        <v>862</v>
      </c>
      <c r="G6062" s="7">
        <v>46182.089511248516</v>
      </c>
    </row>
    <row r="6063">
      <c r="A6063" s="3" t="s">
        <v>18777</v>
      </c>
      <c r="B6063" s="3" t="s">
        <v>953</v>
      </c>
      <c r="C6063" s="3" t="s">
        <v>1095</v>
      </c>
      <c r="D6063" s="3" t="s">
        <v>68</v>
      </c>
      <c r="E6063" s="3" t="s">
        <v>100</v>
      </c>
      <c r="F6063" s="3" t="s">
        <v>1958</v>
      </c>
      <c r="G6063" s="7">
        <v>46182.16068609393</v>
      </c>
    </row>
    <row r="6064">
      <c r="A6064" s="3" t="s">
        <v>18779</v>
      </c>
      <c r="B6064" s="3" t="s">
        <v>725</v>
      </c>
      <c r="C6064" s="3" t="s">
        <v>1095</v>
      </c>
      <c r="D6064" s="3" t="s">
        <v>68</v>
      </c>
      <c r="E6064" s="3" t="s">
        <v>100</v>
      </c>
      <c r="F6064" s="3" t="s">
        <v>2013</v>
      </c>
      <c r="G6064" s="7">
        <v>46182.23186093935</v>
      </c>
    </row>
    <row r="6065">
      <c r="A6065" s="3" t="s">
        <v>18781</v>
      </c>
      <c r="B6065" s="3" t="s">
        <v>1049</v>
      </c>
      <c r="C6065" s="3" t="s">
        <v>56</v>
      </c>
      <c r="D6065" s="3" t="s">
        <v>68</v>
      </c>
      <c r="E6065" s="3" t="s">
        <v>100</v>
      </c>
      <c r="F6065" s="3" t="s">
        <v>1110</v>
      </c>
      <c r="G6065" s="7">
        <v>46182.30303578477</v>
      </c>
    </row>
    <row r="6066">
      <c r="A6066" s="3" t="s">
        <v>18784</v>
      </c>
      <c r="B6066" s="3" t="s">
        <v>446</v>
      </c>
      <c r="C6066" s="3" t="s">
        <v>1095</v>
      </c>
      <c r="D6066" s="3" t="s">
        <v>68</v>
      </c>
      <c r="E6066" s="3" t="s">
        <v>100</v>
      </c>
      <c r="F6066" s="3" t="s">
        <v>1704</v>
      </c>
      <c r="G6066" s="7">
        <v>46182.37421063017</v>
      </c>
    </row>
    <row r="6067">
      <c r="A6067" s="3" t="s">
        <v>18786</v>
      </c>
      <c r="B6067" s="3" t="s">
        <v>269</v>
      </c>
      <c r="C6067" s="3" t="s">
        <v>1095</v>
      </c>
      <c r="D6067" s="3" t="s">
        <v>68</v>
      </c>
      <c r="E6067" s="3" t="s">
        <v>100</v>
      </c>
      <c r="F6067" s="3" t="s">
        <v>1074</v>
      </c>
      <c r="G6067" s="7">
        <v>46182.44538547559</v>
      </c>
    </row>
    <row r="6068">
      <c r="A6068" s="3" t="s">
        <v>18788</v>
      </c>
      <c r="B6068" s="3" t="s">
        <v>516</v>
      </c>
      <c r="C6068" s="3" t="s">
        <v>1342</v>
      </c>
      <c r="D6068" s="3" t="s">
        <v>68</v>
      </c>
      <c r="E6068" s="3" t="s">
        <v>100</v>
      </c>
      <c r="F6068" s="3" t="s">
        <v>1718</v>
      </c>
      <c r="G6068" s="7">
        <v>46182.51656032101</v>
      </c>
    </row>
    <row r="6069">
      <c r="A6069" s="3" t="s">
        <v>18791</v>
      </c>
      <c r="B6069" s="3" t="s">
        <v>541</v>
      </c>
      <c r="C6069" s="3" t="s">
        <v>1095</v>
      </c>
      <c r="D6069" s="3" t="s">
        <v>68</v>
      </c>
      <c r="E6069" s="3" t="s">
        <v>100</v>
      </c>
      <c r="F6069" s="3" t="s">
        <v>1383</v>
      </c>
      <c r="G6069" s="7">
        <v>46182.587735166424</v>
      </c>
    </row>
    <row r="6070">
      <c r="A6070" s="3" t="s">
        <v>18794</v>
      </c>
      <c r="B6070" s="3" t="s">
        <v>266</v>
      </c>
      <c r="C6070" s="3" t="s">
        <v>1342</v>
      </c>
      <c r="D6070" s="3" t="s">
        <v>68</v>
      </c>
      <c r="E6070" s="3" t="s">
        <v>100</v>
      </c>
      <c r="F6070" s="3" t="s">
        <v>1058</v>
      </c>
      <c r="G6070" s="7">
        <v>46182.658910011836</v>
      </c>
    </row>
    <row r="6071">
      <c r="A6071" s="3" t="s">
        <v>18797</v>
      </c>
      <c r="B6071" s="3" t="s">
        <v>208</v>
      </c>
      <c r="C6071" s="3" t="s">
        <v>1342</v>
      </c>
      <c r="D6071" s="3" t="s">
        <v>68</v>
      </c>
      <c r="E6071" s="3" t="s">
        <v>100</v>
      </c>
      <c r="F6071" s="3" t="s">
        <v>1954</v>
      </c>
      <c r="G6071" s="7">
        <v>46182.730084857256</v>
      </c>
    </row>
    <row r="6072">
      <c r="A6072" s="3" t="s">
        <v>18800</v>
      </c>
      <c r="B6072" s="3" t="s">
        <v>440</v>
      </c>
      <c r="C6072" s="3" t="s">
        <v>1095</v>
      </c>
      <c r="D6072" s="3" t="s">
        <v>68</v>
      </c>
      <c r="E6072" s="3" t="s">
        <v>100</v>
      </c>
      <c r="F6072" s="3" t="s">
        <v>1863</v>
      </c>
      <c r="G6072" s="7">
        <v>46182.80125970267</v>
      </c>
    </row>
    <row r="6073">
      <c r="A6073" s="3" t="s">
        <v>18803</v>
      </c>
      <c r="B6073" s="3" t="s">
        <v>652</v>
      </c>
      <c r="C6073" s="3" t="s">
        <v>1342</v>
      </c>
      <c r="D6073" s="3" t="s">
        <v>181</v>
      </c>
      <c r="E6073" s="3" t="s">
        <v>45</v>
      </c>
      <c r="F6073" s="3" t="s">
        <v>1064</v>
      </c>
      <c r="G6073" s="7">
        <v>46182.87243454808</v>
      </c>
    </row>
    <row r="6074">
      <c r="A6074" s="3" t="s">
        <v>18805</v>
      </c>
      <c r="B6074" s="3" t="s">
        <v>848</v>
      </c>
      <c r="C6074" s="3" t="s">
        <v>1342</v>
      </c>
      <c r="D6074" s="3" t="s">
        <v>68</v>
      </c>
      <c r="E6074" s="3" t="s">
        <v>100</v>
      </c>
      <c r="F6074" s="3" t="s">
        <v>2096</v>
      </c>
      <c r="G6074" s="7">
        <v>46182.9436093935</v>
      </c>
    </row>
    <row r="6075">
      <c r="A6075" s="3" t="s">
        <v>18808</v>
      </c>
      <c r="B6075" s="3" t="s">
        <v>845</v>
      </c>
      <c r="C6075" s="3" t="s">
        <v>1342</v>
      </c>
      <c r="D6075" s="3" t="s">
        <v>68</v>
      </c>
      <c r="E6075" s="3" t="s">
        <v>100</v>
      </c>
      <c r="F6075" s="3" t="s">
        <v>738</v>
      </c>
      <c r="G6075" s="7">
        <v>46183.01478423892</v>
      </c>
    </row>
    <row r="6076">
      <c r="A6076" s="3" t="s">
        <v>18813</v>
      </c>
      <c r="B6076" s="3" t="s">
        <v>877</v>
      </c>
      <c r="C6076" s="3" t="s">
        <v>1342</v>
      </c>
      <c r="D6076" s="3" t="s">
        <v>68</v>
      </c>
      <c r="E6076" s="3" t="s">
        <v>100</v>
      </c>
      <c r="F6076" s="3" t="s">
        <v>1824</v>
      </c>
      <c r="G6076" s="7">
        <v>46183.085959084325</v>
      </c>
    </row>
    <row r="6077">
      <c r="A6077" s="3" t="s">
        <v>18816</v>
      </c>
      <c r="B6077" s="3" t="s">
        <v>250</v>
      </c>
      <c r="C6077" s="3" t="s">
        <v>1342</v>
      </c>
      <c r="D6077" s="3" t="s">
        <v>68</v>
      </c>
      <c r="E6077" s="3" t="s">
        <v>100</v>
      </c>
      <c r="F6077" s="3" t="s">
        <v>1701</v>
      </c>
      <c r="G6077" s="7">
        <v>46183.157133929744</v>
      </c>
    </row>
    <row r="6078">
      <c r="A6078" s="3" t="s">
        <v>18818</v>
      </c>
      <c r="B6078" s="3" t="s">
        <v>565</v>
      </c>
      <c r="C6078" s="3" t="s">
        <v>1342</v>
      </c>
      <c r="D6078" s="3" t="s">
        <v>195</v>
      </c>
      <c r="E6078" s="3" t="s">
        <v>45</v>
      </c>
      <c r="F6078" s="3" t="s">
        <v>2072</v>
      </c>
      <c r="G6078" s="7">
        <v>46183.22830877516</v>
      </c>
    </row>
    <row r="6079">
      <c r="A6079" s="3" t="s">
        <v>18820</v>
      </c>
      <c r="B6079" s="3" t="s">
        <v>1037</v>
      </c>
      <c r="C6079" s="3" t="s">
        <v>56</v>
      </c>
      <c r="D6079" s="3" t="s">
        <v>68</v>
      </c>
      <c r="E6079" s="3" t="s">
        <v>100</v>
      </c>
      <c r="F6079" s="3" t="s">
        <v>1113</v>
      </c>
      <c r="G6079" s="7">
        <v>46183.299483620576</v>
      </c>
    </row>
    <row r="6080">
      <c r="A6080" s="3" t="s">
        <v>18823</v>
      </c>
      <c r="B6080" s="3" t="s">
        <v>1008</v>
      </c>
      <c r="C6080" s="3" t="s">
        <v>56</v>
      </c>
      <c r="D6080" s="3" t="s">
        <v>181</v>
      </c>
      <c r="E6080" s="3" t="s">
        <v>45</v>
      </c>
      <c r="F6080" s="3" t="s">
        <v>45</v>
      </c>
      <c r="G6080" s="7">
        <v>46183.37065846599</v>
      </c>
    </row>
    <row r="6081">
      <c r="A6081" s="3" t="s">
        <v>18825</v>
      </c>
      <c r="B6081" s="3" t="s">
        <v>527</v>
      </c>
      <c r="C6081" s="3" t="s">
        <v>1095</v>
      </c>
      <c r="D6081" s="3" t="s">
        <v>181</v>
      </c>
      <c r="E6081" s="3" t="s">
        <v>45</v>
      </c>
      <c r="F6081" s="3" t="s">
        <v>2099</v>
      </c>
      <c r="G6081" s="7">
        <v>46183.44183331141</v>
      </c>
    </row>
    <row r="6082">
      <c r="A6082" s="3" t="s">
        <v>18827</v>
      </c>
      <c r="B6082" s="3" t="s">
        <v>395</v>
      </c>
      <c r="C6082" s="3" t="s">
        <v>1342</v>
      </c>
      <c r="D6082" s="3" t="s">
        <v>68</v>
      </c>
      <c r="E6082" s="3" t="s">
        <v>100</v>
      </c>
      <c r="F6082" s="3" t="s">
        <v>1418</v>
      </c>
      <c r="G6082" s="7">
        <v>46183.51300815681</v>
      </c>
    </row>
    <row r="6083">
      <c r="A6083" s="3" t="s">
        <v>18830</v>
      </c>
      <c r="B6083" s="3" t="s">
        <v>151</v>
      </c>
      <c r="C6083" s="3" t="s">
        <v>1095</v>
      </c>
      <c r="D6083" s="3" t="s">
        <v>68</v>
      </c>
      <c r="E6083" s="3" t="s">
        <v>100</v>
      </c>
      <c r="F6083" s="3" t="s">
        <v>971</v>
      </c>
      <c r="G6083" s="7">
        <v>46183.58418300223</v>
      </c>
    </row>
    <row r="6084">
      <c r="A6084" s="3" t="s">
        <v>18835</v>
      </c>
      <c r="B6084" s="3" t="s">
        <v>669</v>
      </c>
      <c r="C6084" s="3" t="s">
        <v>56</v>
      </c>
      <c r="D6084" s="3" t="s">
        <v>68</v>
      </c>
      <c r="E6084" s="3" t="s">
        <v>100</v>
      </c>
      <c r="F6084" s="3" t="s">
        <v>1114</v>
      </c>
      <c r="G6084" s="7">
        <v>46183.65535784765</v>
      </c>
    </row>
    <row r="6085">
      <c r="A6085" s="3" t="s">
        <v>18838</v>
      </c>
      <c r="B6085" s="3" t="s">
        <v>694</v>
      </c>
      <c r="C6085" s="3" t="s">
        <v>1342</v>
      </c>
      <c r="D6085" s="3" t="s">
        <v>68</v>
      </c>
      <c r="E6085" s="3" t="s">
        <v>100</v>
      </c>
      <c r="F6085" s="3" t="s">
        <v>919</v>
      </c>
      <c r="G6085" s="7">
        <v>46183.726532693065</v>
      </c>
    </row>
    <row r="6086">
      <c r="A6086" s="3" t="s">
        <v>18840</v>
      </c>
      <c r="B6086" s="3" t="s">
        <v>183</v>
      </c>
      <c r="C6086" s="3" t="s">
        <v>1342</v>
      </c>
      <c r="D6086" s="3" t="s">
        <v>68</v>
      </c>
      <c r="E6086" s="3" t="s">
        <v>100</v>
      </c>
      <c r="F6086" s="3" t="s">
        <v>780</v>
      </c>
      <c r="G6086" s="7">
        <v>46183.79770753848</v>
      </c>
    </row>
    <row r="6087">
      <c r="A6087" s="3" t="s">
        <v>18842</v>
      </c>
      <c r="B6087" s="3" t="s">
        <v>939</v>
      </c>
      <c r="C6087" s="3" t="s">
        <v>1342</v>
      </c>
      <c r="D6087" s="3" t="s">
        <v>68</v>
      </c>
      <c r="E6087" s="3" t="s">
        <v>100</v>
      </c>
      <c r="F6087" s="3" t="s">
        <v>1738</v>
      </c>
      <c r="G6087" s="7">
        <v>46183.8688823839</v>
      </c>
    </row>
    <row r="6088">
      <c r="A6088" s="3" t="s">
        <v>18844</v>
      </c>
      <c r="B6088" s="3" t="s">
        <v>579</v>
      </c>
      <c r="C6088" s="3" t="s">
        <v>56</v>
      </c>
      <c r="D6088" s="3" t="s">
        <v>68</v>
      </c>
      <c r="E6088" s="3" t="s">
        <v>100</v>
      </c>
      <c r="F6088" s="3" t="s">
        <v>1117</v>
      </c>
      <c r="G6088" s="7">
        <v>46183.94005722931</v>
      </c>
    </row>
    <row r="6089">
      <c r="A6089" s="3" t="s">
        <v>18847</v>
      </c>
      <c r="B6089" s="3" t="s">
        <v>411</v>
      </c>
      <c r="C6089" s="3" t="s">
        <v>56</v>
      </c>
      <c r="D6089" s="3" t="s">
        <v>68</v>
      </c>
      <c r="E6089" s="3" t="s">
        <v>100</v>
      </c>
      <c r="F6089" s="3" t="s">
        <v>1119</v>
      </c>
      <c r="G6089" s="7">
        <v>46184.01123207472</v>
      </c>
    </row>
    <row r="6090">
      <c r="A6090" s="3" t="s">
        <v>18851</v>
      </c>
      <c r="B6090" s="3" t="s">
        <v>913</v>
      </c>
      <c r="C6090" s="3" t="s">
        <v>1342</v>
      </c>
      <c r="D6090" s="3" t="s">
        <v>68</v>
      </c>
      <c r="E6090" s="3" t="s">
        <v>100</v>
      </c>
      <c r="F6090" s="3" t="s">
        <v>1728</v>
      </c>
      <c r="G6090" s="7">
        <v>46184.08240692014</v>
      </c>
    </row>
    <row r="6091">
      <c r="A6091" s="3" t="s">
        <v>18854</v>
      </c>
      <c r="B6091" s="3" t="s">
        <v>260</v>
      </c>
      <c r="C6091" s="3" t="s">
        <v>56</v>
      </c>
      <c r="D6091" s="3" t="s">
        <v>68</v>
      </c>
      <c r="E6091" s="3" t="s">
        <v>100</v>
      </c>
      <c r="F6091" s="3" t="s">
        <v>1121</v>
      </c>
      <c r="G6091" s="7">
        <v>46184.15358176556</v>
      </c>
    </row>
    <row r="6092">
      <c r="A6092" s="3" t="s">
        <v>18857</v>
      </c>
      <c r="B6092" s="3" t="s">
        <v>527</v>
      </c>
      <c r="C6092" s="3" t="s">
        <v>1342</v>
      </c>
      <c r="D6092" s="3" t="s">
        <v>181</v>
      </c>
      <c r="E6092" s="3" t="s">
        <v>45</v>
      </c>
      <c r="F6092" s="3" t="s">
        <v>2099</v>
      </c>
      <c r="G6092" s="7">
        <v>46184.224756610965</v>
      </c>
    </row>
    <row r="6093">
      <c r="A6093" s="3" t="s">
        <v>18859</v>
      </c>
      <c r="B6093" s="3" t="s">
        <v>609</v>
      </c>
      <c r="C6093" s="3" t="s">
        <v>1342</v>
      </c>
      <c r="D6093" s="3" t="s">
        <v>68</v>
      </c>
      <c r="E6093" s="3" t="s">
        <v>100</v>
      </c>
      <c r="F6093" s="3" t="s">
        <v>963</v>
      </c>
      <c r="G6093" s="7">
        <v>46184.295931456385</v>
      </c>
    </row>
    <row r="6094">
      <c r="A6094" s="3" t="s">
        <v>18862</v>
      </c>
      <c r="B6094" s="3" t="s">
        <v>488</v>
      </c>
      <c r="C6094" s="3" t="s">
        <v>1095</v>
      </c>
      <c r="D6094" s="3" t="s">
        <v>68</v>
      </c>
      <c r="E6094" s="3" t="s">
        <v>100</v>
      </c>
      <c r="F6094" s="3" t="s">
        <v>495</v>
      </c>
      <c r="G6094" s="7">
        <v>46184.367106301805</v>
      </c>
    </row>
    <row r="6095">
      <c r="A6095" s="3" t="s">
        <v>18864</v>
      </c>
      <c r="B6095" s="3" t="s">
        <v>937</v>
      </c>
      <c r="C6095" s="3" t="s">
        <v>1095</v>
      </c>
      <c r="D6095" s="3" t="s">
        <v>68</v>
      </c>
      <c r="E6095" s="3" t="s">
        <v>100</v>
      </c>
      <c r="F6095" s="3" t="s">
        <v>1033</v>
      </c>
      <c r="G6095" s="7">
        <v>46184.43828114722</v>
      </c>
    </row>
    <row r="6096">
      <c r="A6096" s="3" t="s">
        <v>18866</v>
      </c>
      <c r="B6096" s="3" t="s">
        <v>883</v>
      </c>
      <c r="C6096" s="3" t="s">
        <v>56</v>
      </c>
      <c r="D6096" s="3" t="s">
        <v>68</v>
      </c>
      <c r="E6096" s="3" t="s">
        <v>100</v>
      </c>
      <c r="F6096" s="3" t="s">
        <v>1125</v>
      </c>
      <c r="G6096" s="7">
        <v>46184.50945599263</v>
      </c>
    </row>
    <row r="6097">
      <c r="A6097" s="3" t="s">
        <v>18868</v>
      </c>
      <c r="B6097" s="3" t="s">
        <v>682</v>
      </c>
      <c r="C6097" s="3" t="s">
        <v>1095</v>
      </c>
      <c r="D6097" s="3" t="s">
        <v>68</v>
      </c>
      <c r="E6097" s="3" t="s">
        <v>100</v>
      </c>
      <c r="F6097" s="3" t="s">
        <v>1079</v>
      </c>
      <c r="G6097" s="7">
        <v>46184.58063083805</v>
      </c>
    </row>
    <row r="6098">
      <c r="A6098" s="3" t="s">
        <v>18871</v>
      </c>
      <c r="B6098" s="3" t="s">
        <v>665</v>
      </c>
      <c r="C6098" s="3" t="s">
        <v>1095</v>
      </c>
      <c r="D6098" s="3" t="s">
        <v>68</v>
      </c>
      <c r="E6098" s="3" t="s">
        <v>100</v>
      </c>
      <c r="F6098" s="3" t="s">
        <v>802</v>
      </c>
      <c r="G6098" s="7">
        <v>46184.65180568346</v>
      </c>
    </row>
    <row r="6099">
      <c r="A6099" s="3" t="s">
        <v>18874</v>
      </c>
      <c r="B6099" s="3" t="s">
        <v>310</v>
      </c>
      <c r="C6099" s="3" t="s">
        <v>1095</v>
      </c>
      <c r="D6099" s="3" t="s">
        <v>68</v>
      </c>
      <c r="E6099" s="3" t="s">
        <v>100</v>
      </c>
      <c r="F6099" s="3" t="s">
        <v>1663</v>
      </c>
      <c r="G6099" s="7">
        <v>46184.72298052887</v>
      </c>
    </row>
    <row r="6100">
      <c r="A6100" s="3" t="s">
        <v>18881</v>
      </c>
      <c r="B6100" s="3" t="s">
        <v>307</v>
      </c>
      <c r="C6100" s="3" t="s">
        <v>56</v>
      </c>
      <c r="D6100" s="3" t="s">
        <v>68</v>
      </c>
      <c r="E6100" s="3" t="s">
        <v>100</v>
      </c>
      <c r="F6100" s="3" t="s">
        <v>1127</v>
      </c>
      <c r="G6100" s="7">
        <v>46184.79415537429</v>
      </c>
    </row>
    <row r="6101">
      <c r="A6101" s="3" t="s">
        <v>18884</v>
      </c>
      <c r="B6101" s="3" t="s">
        <v>260</v>
      </c>
      <c r="C6101" s="3" t="s">
        <v>1342</v>
      </c>
      <c r="D6101" s="3" t="s">
        <v>68</v>
      </c>
      <c r="E6101" s="3" t="s">
        <v>100</v>
      </c>
      <c r="F6101" s="3" t="s">
        <v>1121</v>
      </c>
      <c r="G6101" s="7">
        <v>46184.865330219705</v>
      </c>
    </row>
    <row r="6102">
      <c r="A6102" s="3" t="s">
        <v>18886</v>
      </c>
      <c r="B6102" s="3" t="s">
        <v>916</v>
      </c>
      <c r="C6102" s="3" t="s">
        <v>56</v>
      </c>
      <c r="D6102" s="3" t="s">
        <v>181</v>
      </c>
      <c r="E6102" s="3" t="s">
        <v>45</v>
      </c>
      <c r="F6102" s="3" t="s">
        <v>45</v>
      </c>
      <c r="G6102" s="7">
        <v>46184.93650506512</v>
      </c>
    </row>
    <row r="6103">
      <c r="A6103" s="3" t="s">
        <v>18888</v>
      </c>
      <c r="B6103" s="3" t="s">
        <v>848</v>
      </c>
      <c r="C6103" s="3" t="s">
        <v>1342</v>
      </c>
      <c r="D6103" s="3" t="s">
        <v>68</v>
      </c>
      <c r="E6103" s="3" t="s">
        <v>100</v>
      </c>
      <c r="F6103" s="3" t="s">
        <v>2096</v>
      </c>
      <c r="G6103" s="7">
        <v>46185.00767991054</v>
      </c>
    </row>
    <row r="6104">
      <c r="A6104" s="3" t="s">
        <v>18890</v>
      </c>
      <c r="B6104" s="3" t="s">
        <v>773</v>
      </c>
      <c r="C6104" s="3" t="s">
        <v>1342</v>
      </c>
      <c r="D6104" s="3" t="s">
        <v>68</v>
      </c>
      <c r="E6104" s="3" t="s">
        <v>100</v>
      </c>
      <c r="F6104" s="3" t="s">
        <v>1104</v>
      </c>
      <c r="G6104" s="7">
        <v>46185.07885475595</v>
      </c>
    </row>
    <row r="6105">
      <c r="A6105" s="3" t="s">
        <v>18892</v>
      </c>
      <c r="B6105" s="3" t="s">
        <v>609</v>
      </c>
      <c r="C6105" s="3" t="s">
        <v>1342</v>
      </c>
      <c r="D6105" s="3" t="s">
        <v>68</v>
      </c>
      <c r="E6105" s="3" t="s">
        <v>100</v>
      </c>
      <c r="F6105" s="3" t="s">
        <v>963</v>
      </c>
      <c r="G6105" s="7">
        <v>46185.15002960136</v>
      </c>
    </row>
    <row r="6106">
      <c r="A6106" s="3" t="s">
        <v>18893</v>
      </c>
      <c r="B6106" s="3" t="s">
        <v>793</v>
      </c>
      <c r="C6106" s="3" t="s">
        <v>56</v>
      </c>
      <c r="D6106" s="3" t="s">
        <v>68</v>
      </c>
      <c r="E6106" s="3" t="s">
        <v>100</v>
      </c>
      <c r="F6106" s="3" t="s">
        <v>1129</v>
      </c>
      <c r="G6106" s="7">
        <v>46185.22120444678</v>
      </c>
    </row>
    <row r="6107">
      <c r="A6107" s="3" t="s">
        <v>18895</v>
      </c>
      <c r="B6107" s="3" t="s">
        <v>130</v>
      </c>
      <c r="C6107" s="3" t="s">
        <v>56</v>
      </c>
      <c r="D6107" s="3" t="s">
        <v>68</v>
      </c>
      <c r="E6107" s="3" t="s">
        <v>100</v>
      </c>
      <c r="F6107" s="3" t="s">
        <v>1131</v>
      </c>
      <c r="G6107" s="7">
        <v>46185.2923792922</v>
      </c>
    </row>
    <row r="6108">
      <c r="A6108" s="3" t="s">
        <v>18897</v>
      </c>
      <c r="B6108" s="3" t="s">
        <v>1049</v>
      </c>
      <c r="C6108" s="3" t="s">
        <v>1095</v>
      </c>
      <c r="D6108" s="3" t="s">
        <v>68</v>
      </c>
      <c r="E6108" s="3" t="s">
        <v>100</v>
      </c>
      <c r="F6108" s="3" t="s">
        <v>1110</v>
      </c>
      <c r="G6108" s="7">
        <v>46185.363554137606</v>
      </c>
    </row>
    <row r="6109">
      <c r="A6109" s="3" t="s">
        <v>18900</v>
      </c>
      <c r="B6109" s="3" t="s">
        <v>156</v>
      </c>
      <c r="C6109" s="3" t="s">
        <v>1095</v>
      </c>
      <c r="D6109" s="3" t="s">
        <v>68</v>
      </c>
      <c r="E6109" s="3" t="s">
        <v>100</v>
      </c>
      <c r="F6109" s="3" t="s">
        <v>1560</v>
      </c>
      <c r="G6109" s="7">
        <v>46185.434728983026</v>
      </c>
    </row>
    <row r="6110">
      <c r="A6110" s="3" t="s">
        <v>18903</v>
      </c>
      <c r="B6110" s="3" t="s">
        <v>266</v>
      </c>
      <c r="C6110" s="3" t="s">
        <v>1095</v>
      </c>
      <c r="D6110" s="3" t="s">
        <v>68</v>
      </c>
      <c r="E6110" s="3" t="s">
        <v>100</v>
      </c>
      <c r="F6110" s="3" t="s">
        <v>1058</v>
      </c>
      <c r="G6110" s="7">
        <v>46185.505903828445</v>
      </c>
    </row>
    <row r="6111">
      <c r="A6111" s="3" t="s">
        <v>18906</v>
      </c>
      <c r="B6111" s="3" t="s">
        <v>313</v>
      </c>
      <c r="C6111" s="3" t="s">
        <v>1342</v>
      </c>
      <c r="D6111" s="3" t="s">
        <v>68</v>
      </c>
      <c r="E6111" s="3" t="s">
        <v>100</v>
      </c>
      <c r="F6111" s="3" t="s">
        <v>823</v>
      </c>
      <c r="G6111" s="7">
        <v>46185.57707867386</v>
      </c>
    </row>
    <row r="6112">
      <c r="A6112" s="3" t="s">
        <v>18908</v>
      </c>
      <c r="B6112" s="3" t="s">
        <v>559</v>
      </c>
      <c r="C6112" s="3" t="s">
        <v>56</v>
      </c>
      <c r="D6112" s="3" t="s">
        <v>68</v>
      </c>
      <c r="E6112" s="3" t="s">
        <v>100</v>
      </c>
      <c r="F6112" s="3" t="s">
        <v>1133</v>
      </c>
      <c r="G6112" s="7">
        <v>46185.64825351927</v>
      </c>
    </row>
    <row r="6113">
      <c r="A6113" s="3" t="s">
        <v>18912</v>
      </c>
      <c r="B6113" s="3" t="s">
        <v>598</v>
      </c>
      <c r="C6113" s="3" t="s">
        <v>1342</v>
      </c>
      <c r="D6113" s="3" t="s">
        <v>68</v>
      </c>
      <c r="E6113" s="3" t="s">
        <v>100</v>
      </c>
      <c r="F6113" s="3" t="s">
        <v>1055</v>
      </c>
      <c r="G6113" s="7">
        <v>46185.71942836469</v>
      </c>
    </row>
    <row r="6114">
      <c r="A6114" s="3" t="s">
        <v>18915</v>
      </c>
      <c r="B6114" s="3" t="s">
        <v>713</v>
      </c>
      <c r="C6114" s="3" t="s">
        <v>1342</v>
      </c>
      <c r="D6114" s="3" t="s">
        <v>68</v>
      </c>
      <c r="E6114" s="3" t="s">
        <v>100</v>
      </c>
      <c r="F6114" s="3" t="s">
        <v>728</v>
      </c>
      <c r="G6114" s="7">
        <v>46185.7906032101</v>
      </c>
    </row>
    <row r="6115">
      <c r="A6115" s="3" t="s">
        <v>18918</v>
      </c>
      <c r="B6115" s="3" t="s">
        <v>130</v>
      </c>
      <c r="C6115" s="3" t="s">
        <v>1342</v>
      </c>
      <c r="D6115" s="3" t="s">
        <v>68</v>
      </c>
      <c r="E6115" s="3" t="s">
        <v>100</v>
      </c>
      <c r="F6115" s="3" t="s">
        <v>1131</v>
      </c>
      <c r="G6115" s="7">
        <v>46185.861778055514</v>
      </c>
    </row>
    <row r="6116">
      <c r="A6116" s="3" t="s">
        <v>18922</v>
      </c>
      <c r="B6116" s="3" t="s">
        <v>645</v>
      </c>
      <c r="C6116" s="3" t="s">
        <v>56</v>
      </c>
      <c r="D6116" s="3" t="s">
        <v>68</v>
      </c>
      <c r="E6116" s="3" t="s">
        <v>100</v>
      </c>
      <c r="F6116" s="3" t="s">
        <v>1135</v>
      </c>
      <c r="G6116" s="7">
        <v>46185.932952900934</v>
      </c>
    </row>
    <row r="6117">
      <c r="A6117" s="3" t="s">
        <v>18925</v>
      </c>
      <c r="B6117" s="3" t="s">
        <v>609</v>
      </c>
      <c r="C6117" s="3" t="s">
        <v>1342</v>
      </c>
      <c r="D6117" s="3" t="s">
        <v>68</v>
      </c>
      <c r="E6117" s="3" t="s">
        <v>100</v>
      </c>
      <c r="F6117" s="3" t="s">
        <v>963</v>
      </c>
      <c r="G6117" s="7">
        <v>46186.00412774635</v>
      </c>
    </row>
    <row r="6118">
      <c r="A6118" s="3" t="s">
        <v>18928</v>
      </c>
      <c r="B6118" s="3" t="s">
        <v>224</v>
      </c>
      <c r="C6118" s="3" t="s">
        <v>1342</v>
      </c>
      <c r="D6118" s="3" t="s">
        <v>68</v>
      </c>
      <c r="E6118" s="3" t="s">
        <v>100</v>
      </c>
      <c r="F6118" s="3" t="s">
        <v>1751</v>
      </c>
      <c r="G6118" s="7">
        <v>46186.07530259176</v>
      </c>
    </row>
    <row r="6119">
      <c r="A6119" s="3" t="s">
        <v>18932</v>
      </c>
      <c r="B6119" s="3" t="s">
        <v>533</v>
      </c>
      <c r="C6119" s="3" t="s">
        <v>1342</v>
      </c>
      <c r="D6119" s="3" t="s">
        <v>68</v>
      </c>
      <c r="E6119" s="3" t="s">
        <v>100</v>
      </c>
      <c r="F6119" s="3" t="s">
        <v>946</v>
      </c>
      <c r="G6119" s="7">
        <v>46186.14647743718</v>
      </c>
    </row>
    <row r="6120">
      <c r="A6120" s="3" t="s">
        <v>18936</v>
      </c>
      <c r="B6120" s="3" t="s">
        <v>395</v>
      </c>
      <c r="C6120" s="3" t="s">
        <v>1342</v>
      </c>
      <c r="D6120" s="3" t="s">
        <v>68</v>
      </c>
      <c r="E6120" s="3" t="s">
        <v>100</v>
      </c>
      <c r="F6120" s="3" t="s">
        <v>1418</v>
      </c>
      <c r="G6120" s="7">
        <v>46186.21765228259</v>
      </c>
    </row>
    <row r="6121">
      <c r="A6121" s="3" t="s">
        <v>18939</v>
      </c>
      <c r="B6121" s="3" t="s">
        <v>627</v>
      </c>
      <c r="C6121" s="3" t="s">
        <v>1095</v>
      </c>
      <c r="D6121" s="3" t="s">
        <v>68</v>
      </c>
      <c r="E6121" s="3" t="s">
        <v>100</v>
      </c>
      <c r="F6121" s="3" t="s">
        <v>1882</v>
      </c>
      <c r="G6121" s="7">
        <v>46186.28882712801</v>
      </c>
    </row>
    <row r="6122">
      <c r="A6122" s="3" t="s">
        <v>18943</v>
      </c>
      <c r="B6122" s="3" t="s">
        <v>643</v>
      </c>
      <c r="C6122" s="3" t="s">
        <v>1342</v>
      </c>
      <c r="D6122" s="3" t="s">
        <v>68</v>
      </c>
      <c r="E6122" s="3" t="s">
        <v>100</v>
      </c>
      <c r="F6122" s="3" t="s">
        <v>1570</v>
      </c>
      <c r="G6122" s="7">
        <v>46186.36000197342</v>
      </c>
    </row>
    <row r="6123">
      <c r="A6123" s="3" t="s">
        <v>18947</v>
      </c>
      <c r="B6123" s="3" t="s">
        <v>987</v>
      </c>
      <c r="C6123" s="3" t="s">
        <v>56</v>
      </c>
      <c r="D6123" s="3" t="s">
        <v>68</v>
      </c>
      <c r="E6123" s="3" t="s">
        <v>100</v>
      </c>
      <c r="F6123" s="3" t="s">
        <v>1138</v>
      </c>
      <c r="G6123" s="7">
        <v>46186.43117681884</v>
      </c>
    </row>
    <row r="6124">
      <c r="A6124" s="3" t="s">
        <v>18950</v>
      </c>
      <c r="B6124" s="3" t="s">
        <v>141</v>
      </c>
      <c r="C6124" s="3" t="s">
        <v>1095</v>
      </c>
      <c r="D6124" s="3" t="s">
        <v>68</v>
      </c>
      <c r="E6124" s="3" t="s">
        <v>100</v>
      </c>
      <c r="F6124" s="3" t="s">
        <v>1690</v>
      </c>
      <c r="G6124" s="7">
        <v>46186.50235166425</v>
      </c>
    </row>
    <row r="6125">
      <c r="A6125" s="3" t="s">
        <v>18953</v>
      </c>
      <c r="B6125" s="3" t="s">
        <v>1040</v>
      </c>
      <c r="C6125" s="3" t="s">
        <v>1342</v>
      </c>
      <c r="D6125" s="3" t="s">
        <v>68</v>
      </c>
      <c r="E6125" s="3" t="s">
        <v>100</v>
      </c>
      <c r="F6125" s="3" t="s">
        <v>1100</v>
      </c>
      <c r="G6125" s="7">
        <v>46186.57352650967</v>
      </c>
    </row>
    <row r="6126">
      <c r="A6126" s="3" t="s">
        <v>18957</v>
      </c>
      <c r="B6126" s="3" t="s">
        <v>183</v>
      </c>
      <c r="C6126" s="3" t="s">
        <v>1095</v>
      </c>
      <c r="D6126" s="3" t="s">
        <v>68</v>
      </c>
      <c r="E6126" s="3" t="s">
        <v>100</v>
      </c>
      <c r="F6126" s="3" t="s">
        <v>780</v>
      </c>
      <c r="G6126" s="7">
        <v>46186.644701355086</v>
      </c>
    </row>
    <row r="6127">
      <c r="A6127" s="3" t="s">
        <v>18961</v>
      </c>
      <c r="B6127" s="3" t="s">
        <v>505</v>
      </c>
      <c r="C6127" s="3" t="s">
        <v>1342</v>
      </c>
      <c r="D6127" s="3" t="s">
        <v>68</v>
      </c>
      <c r="E6127" s="3" t="s">
        <v>100</v>
      </c>
      <c r="F6127" s="3" t="s">
        <v>991</v>
      </c>
      <c r="G6127" s="7">
        <v>46186.7158762005</v>
      </c>
    </row>
    <row r="6128">
      <c r="A6128" s="3" t="s">
        <v>18963</v>
      </c>
      <c r="B6128" s="3" t="s">
        <v>760</v>
      </c>
      <c r="C6128" s="3" t="s">
        <v>1095</v>
      </c>
      <c r="D6128" s="3" t="s">
        <v>181</v>
      </c>
      <c r="E6128" s="3" t="s">
        <v>45</v>
      </c>
      <c r="F6128" s="3" t="s">
        <v>1045</v>
      </c>
      <c r="G6128" s="7">
        <v>46186.78705104591</v>
      </c>
    </row>
    <row r="6129">
      <c r="A6129" s="3" t="s">
        <v>18965</v>
      </c>
      <c r="B6129" s="3" t="s">
        <v>953</v>
      </c>
      <c r="C6129" s="3" t="s">
        <v>56</v>
      </c>
      <c r="D6129" s="3" t="s">
        <v>181</v>
      </c>
      <c r="E6129" s="3" t="s">
        <v>45</v>
      </c>
      <c r="F6129" s="3" t="s">
        <v>45</v>
      </c>
      <c r="G6129" s="7">
        <v>46186.85822589133</v>
      </c>
    </row>
    <row r="6130">
      <c r="A6130" s="3" t="s">
        <v>18967</v>
      </c>
      <c r="B6130" s="3" t="s">
        <v>883</v>
      </c>
      <c r="C6130" s="3" t="s">
        <v>1342</v>
      </c>
      <c r="D6130" s="3" t="s">
        <v>68</v>
      </c>
      <c r="E6130" s="3" t="s">
        <v>100</v>
      </c>
      <c r="F6130" s="3" t="s">
        <v>1125</v>
      </c>
      <c r="G6130" s="7">
        <v>46186.92940073674</v>
      </c>
    </row>
    <row r="6131">
      <c r="A6131" s="3" t="s">
        <v>18969</v>
      </c>
      <c r="B6131" s="3" t="s">
        <v>380</v>
      </c>
      <c r="C6131" s="3" t="s">
        <v>1342</v>
      </c>
      <c r="D6131" s="3" t="s">
        <v>68</v>
      </c>
      <c r="E6131" s="3" t="s">
        <v>100</v>
      </c>
      <c r="F6131" s="3" t="s">
        <v>1070</v>
      </c>
      <c r="G6131" s="7">
        <v>46187.000575582155</v>
      </c>
    </row>
    <row r="6132">
      <c r="A6132" s="3" t="s">
        <v>18970</v>
      </c>
      <c r="B6132" s="3" t="s">
        <v>1026</v>
      </c>
      <c r="C6132" s="3" t="s">
        <v>56</v>
      </c>
      <c r="D6132" s="3" t="s">
        <v>195</v>
      </c>
      <c r="E6132" s="3" t="s">
        <v>45</v>
      </c>
      <c r="F6132" s="3" t="s">
        <v>45</v>
      </c>
      <c r="G6132" s="7">
        <v>46187.071750427574</v>
      </c>
    </row>
    <row r="6133">
      <c r="A6133" s="3" t="s">
        <v>18972</v>
      </c>
      <c r="B6133" s="3" t="s">
        <v>591</v>
      </c>
      <c r="C6133" s="3" t="s">
        <v>1342</v>
      </c>
      <c r="D6133" s="3" t="s">
        <v>68</v>
      </c>
      <c r="E6133" s="3" t="s">
        <v>100</v>
      </c>
      <c r="F6133" s="3" t="s">
        <v>1173</v>
      </c>
      <c r="G6133" s="7">
        <v>46187.142925272994</v>
      </c>
    </row>
    <row r="6134">
      <c r="A6134" s="3" t="s">
        <v>18975</v>
      </c>
      <c r="B6134" s="3" t="s">
        <v>816</v>
      </c>
      <c r="C6134" s="3" t="s">
        <v>1095</v>
      </c>
      <c r="D6134" s="3" t="s">
        <v>68</v>
      </c>
      <c r="E6134" s="3" t="s">
        <v>100</v>
      </c>
      <c r="F6134" s="3" t="s">
        <v>1004</v>
      </c>
      <c r="G6134" s="7">
        <v>46187.2141001184</v>
      </c>
    </row>
    <row r="6135">
      <c r="A6135" s="3" t="s">
        <v>18977</v>
      </c>
      <c r="B6135" s="3" t="s">
        <v>926</v>
      </c>
      <c r="C6135" s="3" t="s">
        <v>1342</v>
      </c>
      <c r="D6135" s="3" t="s">
        <v>68</v>
      </c>
      <c r="E6135" s="3" t="s">
        <v>100</v>
      </c>
      <c r="F6135" s="3" t="s">
        <v>1086</v>
      </c>
      <c r="G6135" s="7">
        <v>46187.28527496382</v>
      </c>
    </row>
    <row r="6136">
      <c r="A6136" s="3" t="s">
        <v>18979</v>
      </c>
      <c r="B6136" s="3" t="s">
        <v>908</v>
      </c>
      <c r="C6136" s="3" t="s">
        <v>1342</v>
      </c>
      <c r="D6136" s="3" t="s">
        <v>68</v>
      </c>
      <c r="E6136" s="3" t="s">
        <v>100</v>
      </c>
      <c r="F6136" s="3" t="s">
        <v>1535</v>
      </c>
      <c r="G6136" s="7">
        <v>46187.35644980924</v>
      </c>
    </row>
    <row r="6137">
      <c r="A6137" s="3" t="s">
        <v>18982</v>
      </c>
      <c r="B6137" s="3" t="s">
        <v>574</v>
      </c>
      <c r="C6137" s="3" t="s">
        <v>1095</v>
      </c>
      <c r="D6137" s="3" t="s">
        <v>68</v>
      </c>
      <c r="E6137" s="3" t="s">
        <v>100</v>
      </c>
      <c r="F6137" s="3" t="s">
        <v>815</v>
      </c>
      <c r="G6137" s="7">
        <v>46187.42762465465</v>
      </c>
    </row>
    <row r="6138">
      <c r="A6138" s="3" t="s">
        <v>18985</v>
      </c>
      <c r="B6138" s="3" t="s">
        <v>356</v>
      </c>
      <c r="C6138" s="3" t="s">
        <v>56</v>
      </c>
      <c r="D6138" s="3" t="s">
        <v>68</v>
      </c>
      <c r="E6138" s="3" t="s">
        <v>100</v>
      </c>
      <c r="F6138" s="3" t="s">
        <v>1140</v>
      </c>
      <c r="G6138" s="7">
        <v>46187.49879950006</v>
      </c>
    </row>
    <row r="6139">
      <c r="A6139" s="3" t="s">
        <v>18988</v>
      </c>
      <c r="B6139" s="3" t="s">
        <v>496</v>
      </c>
      <c r="C6139" s="3" t="s">
        <v>1095</v>
      </c>
      <c r="D6139" s="3" t="s">
        <v>68</v>
      </c>
      <c r="E6139" s="3" t="s">
        <v>100</v>
      </c>
      <c r="F6139" s="3" t="s">
        <v>688</v>
      </c>
      <c r="G6139" s="7">
        <v>46187.56997434548</v>
      </c>
    </row>
    <row r="6140">
      <c r="A6140" s="3" t="s">
        <v>18990</v>
      </c>
      <c r="B6140" s="3" t="s">
        <v>276</v>
      </c>
      <c r="C6140" s="3" t="s">
        <v>1095</v>
      </c>
      <c r="D6140" s="3" t="s">
        <v>68</v>
      </c>
      <c r="E6140" s="3" t="s">
        <v>100</v>
      </c>
      <c r="F6140" s="3" t="s">
        <v>2062</v>
      </c>
      <c r="G6140" s="7">
        <v>46187.641149190895</v>
      </c>
    </row>
    <row r="6141">
      <c r="A6141" s="3" t="s">
        <v>18992</v>
      </c>
      <c r="B6141" s="3" t="s">
        <v>197</v>
      </c>
      <c r="C6141" s="3" t="s">
        <v>56</v>
      </c>
      <c r="D6141" s="3" t="s">
        <v>68</v>
      </c>
      <c r="E6141" s="3" t="s">
        <v>100</v>
      </c>
      <c r="F6141" s="3" t="s">
        <v>1143</v>
      </c>
      <c r="G6141" s="7">
        <v>46187.71232403631</v>
      </c>
    </row>
    <row r="6142">
      <c r="A6142" s="3" t="s">
        <v>18994</v>
      </c>
      <c r="B6142" s="3" t="s">
        <v>665</v>
      </c>
      <c r="C6142" s="3" t="s">
        <v>56</v>
      </c>
      <c r="D6142" s="3" t="s">
        <v>195</v>
      </c>
      <c r="E6142" s="3" t="s">
        <v>45</v>
      </c>
      <c r="F6142" s="3" t="s">
        <v>45</v>
      </c>
      <c r="G6142" s="7">
        <v>46187.78349888173</v>
      </c>
    </row>
    <row r="6143">
      <c r="A6143" s="3" t="s">
        <v>18996</v>
      </c>
      <c r="B6143" s="3" t="s">
        <v>627</v>
      </c>
      <c r="C6143" s="3" t="s">
        <v>56</v>
      </c>
      <c r="D6143" s="3" t="s">
        <v>68</v>
      </c>
      <c r="E6143" s="3" t="s">
        <v>100</v>
      </c>
      <c r="F6143" s="3" t="s">
        <v>1146</v>
      </c>
      <c r="G6143" s="7">
        <v>46187.85467372714</v>
      </c>
    </row>
    <row r="6144">
      <c r="A6144" s="3" t="s">
        <v>18999</v>
      </c>
      <c r="B6144" s="3" t="s">
        <v>498</v>
      </c>
      <c r="C6144" s="3" t="s">
        <v>1095</v>
      </c>
      <c r="D6144" s="3" t="s">
        <v>68</v>
      </c>
      <c r="E6144" s="3" t="s">
        <v>100</v>
      </c>
      <c r="F6144" s="3" t="s">
        <v>1274</v>
      </c>
      <c r="G6144" s="7">
        <v>46187.92584857255</v>
      </c>
    </row>
    <row r="6145">
      <c r="A6145" s="3" t="s">
        <v>19001</v>
      </c>
      <c r="B6145" s="3" t="s">
        <v>1001</v>
      </c>
      <c r="C6145" s="3" t="s">
        <v>1342</v>
      </c>
      <c r="D6145" s="3" t="s">
        <v>181</v>
      </c>
      <c r="E6145" s="3" t="s">
        <v>45</v>
      </c>
      <c r="F6145" s="3" t="s">
        <v>1094</v>
      </c>
      <c r="G6145" s="7">
        <v>46187.99702341797</v>
      </c>
    </row>
    <row r="6146">
      <c r="A6146" s="3" t="s">
        <v>19003</v>
      </c>
      <c r="B6146" s="3" t="s">
        <v>488</v>
      </c>
      <c r="C6146" s="3" t="s">
        <v>56</v>
      </c>
      <c r="D6146" s="3" t="s">
        <v>68</v>
      </c>
      <c r="E6146" s="3" t="s">
        <v>100</v>
      </c>
      <c r="F6146" s="3" t="s">
        <v>1148</v>
      </c>
      <c r="G6146" s="7">
        <v>46188.06819826338</v>
      </c>
    </row>
    <row r="6147">
      <c r="A6147" s="3" t="s">
        <v>19005</v>
      </c>
      <c r="B6147" s="3" t="s">
        <v>781</v>
      </c>
      <c r="C6147" s="3" t="s">
        <v>56</v>
      </c>
      <c r="D6147" s="3" t="s">
        <v>68</v>
      </c>
      <c r="E6147" s="3" t="s">
        <v>100</v>
      </c>
      <c r="F6147" s="3" t="s">
        <v>1151</v>
      </c>
      <c r="G6147" s="7">
        <v>46188.139373108796</v>
      </c>
    </row>
    <row r="6148">
      <c r="A6148" s="3" t="s">
        <v>19007</v>
      </c>
      <c r="B6148" s="3" t="s">
        <v>615</v>
      </c>
      <c r="C6148" s="3" t="s">
        <v>1342</v>
      </c>
      <c r="D6148" s="3" t="s">
        <v>68</v>
      </c>
      <c r="E6148" s="3" t="s">
        <v>100</v>
      </c>
      <c r="F6148" s="3" t="s">
        <v>611</v>
      </c>
      <c r="G6148" s="7">
        <v>46188.210547954215</v>
      </c>
    </row>
    <row r="6149">
      <c r="A6149" s="3" t="s">
        <v>19010</v>
      </c>
      <c r="B6149" s="3" t="s">
        <v>980</v>
      </c>
      <c r="C6149" s="3" t="s">
        <v>1342</v>
      </c>
      <c r="D6149" s="3" t="s">
        <v>68</v>
      </c>
      <c r="E6149" s="3" t="s">
        <v>100</v>
      </c>
      <c r="F6149" s="3" t="s">
        <v>1088</v>
      </c>
      <c r="G6149" s="7">
        <v>46188.281722799635</v>
      </c>
    </row>
    <row r="6150">
      <c r="A6150" s="3" t="s">
        <v>19012</v>
      </c>
      <c r="B6150" s="3" t="s">
        <v>735</v>
      </c>
      <c r="C6150" s="3" t="s">
        <v>1342</v>
      </c>
      <c r="D6150" s="3" t="s">
        <v>68</v>
      </c>
      <c r="E6150" s="3" t="s">
        <v>100</v>
      </c>
      <c r="F6150" s="3" t="s">
        <v>1715</v>
      </c>
      <c r="G6150" s="7">
        <v>46188.35289764504</v>
      </c>
    </row>
    <row r="6151">
      <c r="A6151" s="3" t="s">
        <v>19014</v>
      </c>
      <c r="B6151" s="3" t="s">
        <v>657</v>
      </c>
      <c r="C6151" s="3" t="s">
        <v>56</v>
      </c>
      <c r="D6151" s="3" t="s">
        <v>181</v>
      </c>
      <c r="E6151" s="3" t="s">
        <v>45</v>
      </c>
      <c r="F6151" s="3" t="s">
        <v>45</v>
      </c>
      <c r="G6151" s="7">
        <v>46188.42407249046</v>
      </c>
    </row>
    <row r="6152">
      <c r="A6152" s="3" t="s">
        <v>19016</v>
      </c>
      <c r="B6152" s="3" t="s">
        <v>569</v>
      </c>
      <c r="C6152" s="3" t="s">
        <v>1095</v>
      </c>
      <c r="D6152" s="3" t="s">
        <v>68</v>
      </c>
      <c r="E6152" s="3" t="s">
        <v>100</v>
      </c>
      <c r="F6152" s="3" t="s">
        <v>857</v>
      </c>
      <c r="G6152" s="7">
        <v>46188.49524733588</v>
      </c>
    </row>
    <row r="6153">
      <c r="A6153" s="3" t="s">
        <v>19018</v>
      </c>
      <c r="B6153" s="3" t="s">
        <v>162</v>
      </c>
      <c r="C6153" s="3" t="s">
        <v>56</v>
      </c>
      <c r="D6153" s="3" t="s">
        <v>68</v>
      </c>
      <c r="E6153" s="3" t="s">
        <v>100</v>
      </c>
      <c r="F6153" s="3" t="s">
        <v>1153</v>
      </c>
      <c r="G6153" s="7">
        <v>46188.56642218129</v>
      </c>
    </row>
    <row r="6154">
      <c r="A6154" s="3" t="s">
        <v>19020</v>
      </c>
      <c r="B6154" s="3" t="s">
        <v>805</v>
      </c>
      <c r="C6154" s="3" t="s">
        <v>1095</v>
      </c>
      <c r="D6154" s="3" t="s">
        <v>68</v>
      </c>
      <c r="E6154" s="3" t="s">
        <v>100</v>
      </c>
      <c r="F6154" s="3" t="s">
        <v>1951</v>
      </c>
      <c r="G6154" s="7">
        <v>46188.6375970267</v>
      </c>
    </row>
    <row r="6155">
      <c r="A6155" s="3" t="s">
        <v>19022</v>
      </c>
      <c r="B6155" s="3" t="s">
        <v>430</v>
      </c>
      <c r="C6155" s="3" t="s">
        <v>1342</v>
      </c>
      <c r="D6155" s="3" t="s">
        <v>68</v>
      </c>
      <c r="E6155" s="3" t="s">
        <v>100</v>
      </c>
      <c r="F6155" s="3" t="s">
        <v>1054</v>
      </c>
      <c r="G6155" s="7">
        <v>46188.70877187212</v>
      </c>
    </row>
    <row r="6156">
      <c r="A6156" s="3" t="s">
        <v>19024</v>
      </c>
      <c r="B6156" s="3" t="s">
        <v>575</v>
      </c>
      <c r="C6156" s="3" t="s">
        <v>1342</v>
      </c>
      <c r="D6156" s="3" t="s">
        <v>68</v>
      </c>
      <c r="E6156" s="3" t="s">
        <v>100</v>
      </c>
      <c r="F6156" s="3" t="s">
        <v>818</v>
      </c>
      <c r="G6156" s="7">
        <v>46188.779946717535</v>
      </c>
    </row>
    <row r="6157">
      <c r="A6157" s="3" t="s">
        <v>19025</v>
      </c>
      <c r="B6157" s="3" t="s">
        <v>622</v>
      </c>
      <c r="C6157" s="3" t="s">
        <v>1095</v>
      </c>
      <c r="D6157" s="3" t="s">
        <v>68</v>
      </c>
      <c r="E6157" s="3" t="s">
        <v>100</v>
      </c>
      <c r="F6157" s="3" t="s">
        <v>681</v>
      </c>
      <c r="G6157" s="7">
        <v>46188.85112156295</v>
      </c>
    </row>
    <row r="6158">
      <c r="A6158" s="3" t="s">
        <v>19027</v>
      </c>
      <c r="B6158" s="3" t="s">
        <v>953</v>
      </c>
      <c r="C6158" s="3" t="s">
        <v>56</v>
      </c>
      <c r="D6158" s="3" t="s">
        <v>68</v>
      </c>
      <c r="E6158" s="3" t="s">
        <v>100</v>
      </c>
      <c r="F6158" s="3" t="s">
        <v>1156</v>
      </c>
      <c r="G6158" s="7">
        <v>46188.92229640837</v>
      </c>
    </row>
    <row r="6159">
      <c r="A6159" s="3" t="s">
        <v>19029</v>
      </c>
      <c r="B6159" s="3" t="s">
        <v>123</v>
      </c>
      <c r="C6159" s="3" t="s">
        <v>1342</v>
      </c>
      <c r="D6159" s="3" t="s">
        <v>68</v>
      </c>
      <c r="E6159" s="3" t="s">
        <v>100</v>
      </c>
      <c r="F6159" s="3" t="s">
        <v>1012</v>
      </c>
      <c r="G6159" s="7">
        <v>46188.99347125378</v>
      </c>
    </row>
    <row r="6160">
      <c r="A6160" s="3" t="s">
        <v>19032</v>
      </c>
      <c r="B6160" s="3" t="s">
        <v>1040</v>
      </c>
      <c r="C6160" s="3" t="s">
        <v>1342</v>
      </c>
      <c r="D6160" s="3" t="s">
        <v>68</v>
      </c>
      <c r="E6160" s="3" t="s">
        <v>100</v>
      </c>
      <c r="F6160" s="3" t="s">
        <v>1100</v>
      </c>
      <c r="G6160" s="7">
        <v>46189.06464609919</v>
      </c>
    </row>
    <row r="6161">
      <c r="A6161" s="3" t="s">
        <v>19034</v>
      </c>
      <c r="B6161" s="3" t="s">
        <v>282</v>
      </c>
      <c r="C6161" s="3" t="s">
        <v>1095</v>
      </c>
      <c r="D6161" s="3" t="s">
        <v>68</v>
      </c>
      <c r="E6161" s="3" t="s">
        <v>100</v>
      </c>
      <c r="F6161" s="3" t="s">
        <v>1973</v>
      </c>
      <c r="G6161" s="7">
        <v>46189.13582094461</v>
      </c>
    </row>
    <row r="6162">
      <c r="A6162" s="3" t="s">
        <v>19037</v>
      </c>
      <c r="B6162" s="3" t="s">
        <v>619</v>
      </c>
      <c r="C6162" s="3" t="s">
        <v>56</v>
      </c>
      <c r="D6162" s="3" t="s">
        <v>68</v>
      </c>
      <c r="E6162" s="3" t="s">
        <v>100</v>
      </c>
      <c r="F6162" s="3" t="s">
        <v>1158</v>
      </c>
      <c r="G6162" s="7">
        <v>46189.206995790024</v>
      </c>
    </row>
    <row r="6163">
      <c r="A6163" s="3" t="s">
        <v>19040</v>
      </c>
      <c r="B6163" s="3" t="s">
        <v>126</v>
      </c>
      <c r="C6163" s="3" t="s">
        <v>56</v>
      </c>
      <c r="D6163" s="3" t="s">
        <v>68</v>
      </c>
      <c r="E6163" s="3" t="s">
        <v>100</v>
      </c>
      <c r="F6163" s="3" t="s">
        <v>1161</v>
      </c>
      <c r="G6163" s="7">
        <v>46189.278170635436</v>
      </c>
    </row>
    <row r="6164">
      <c r="A6164" s="3" t="s">
        <v>19043</v>
      </c>
      <c r="B6164" s="3" t="s">
        <v>908</v>
      </c>
      <c r="C6164" s="3" t="s">
        <v>1342</v>
      </c>
      <c r="D6164" s="3" t="s">
        <v>68</v>
      </c>
      <c r="E6164" s="3" t="s">
        <v>100</v>
      </c>
      <c r="F6164" s="3" t="s">
        <v>1535</v>
      </c>
      <c r="G6164" s="7">
        <v>46189.349345480856</v>
      </c>
    </row>
    <row r="6165">
      <c r="A6165" s="3" t="s">
        <v>19046</v>
      </c>
      <c r="B6165" s="3" t="s">
        <v>515</v>
      </c>
      <c r="C6165" s="3" t="s">
        <v>56</v>
      </c>
      <c r="D6165" s="3" t="s">
        <v>68</v>
      </c>
      <c r="E6165" s="3" t="s">
        <v>100</v>
      </c>
      <c r="F6165" s="3" t="s">
        <v>1162</v>
      </c>
      <c r="G6165" s="7">
        <v>46189.420520326275</v>
      </c>
    </row>
    <row r="6166">
      <c r="A6166" s="3" t="s">
        <v>19049</v>
      </c>
      <c r="B6166" s="3" t="s">
        <v>162</v>
      </c>
      <c r="C6166" s="3" t="s">
        <v>1095</v>
      </c>
      <c r="D6166" s="3" t="s">
        <v>68</v>
      </c>
      <c r="E6166" s="3" t="s">
        <v>100</v>
      </c>
      <c r="F6166" s="3" t="s">
        <v>1153</v>
      </c>
      <c r="G6166" s="7">
        <v>46189.49169517168</v>
      </c>
    </row>
    <row r="6167">
      <c r="A6167" s="3" t="s">
        <v>19052</v>
      </c>
      <c r="B6167" s="3" t="s">
        <v>860</v>
      </c>
      <c r="C6167" s="3" t="s">
        <v>56</v>
      </c>
      <c r="D6167" s="3" t="s">
        <v>68</v>
      </c>
      <c r="E6167" s="3" t="s">
        <v>100</v>
      </c>
      <c r="F6167" s="3" t="s">
        <v>1168</v>
      </c>
      <c r="G6167" s="7">
        <v>46189.5628700171</v>
      </c>
    </row>
    <row r="6168">
      <c r="A6168" s="3" t="s">
        <v>19055</v>
      </c>
      <c r="B6168" s="3" t="s">
        <v>466</v>
      </c>
      <c r="C6168" s="3" t="s">
        <v>56</v>
      </c>
      <c r="D6168" s="3" t="s">
        <v>68</v>
      </c>
      <c r="E6168" s="3" t="s">
        <v>100</v>
      </c>
      <c r="F6168" s="3" t="s">
        <v>1171</v>
      </c>
      <c r="G6168" s="7">
        <v>46189.63404486252</v>
      </c>
    </row>
    <row r="6169">
      <c r="A6169" s="3" t="s">
        <v>19058</v>
      </c>
      <c r="B6169" s="3" t="s">
        <v>584</v>
      </c>
      <c r="C6169" s="3" t="s">
        <v>56</v>
      </c>
      <c r="D6169" s="3" t="s">
        <v>181</v>
      </c>
      <c r="E6169" s="3" t="s">
        <v>45</v>
      </c>
      <c r="F6169" s="3" t="s">
        <v>45</v>
      </c>
      <c r="G6169" s="7">
        <v>46189.70521970793</v>
      </c>
    </row>
    <row r="6170">
      <c r="A6170" s="3" t="s">
        <v>19061</v>
      </c>
      <c r="B6170" s="3" t="s">
        <v>694</v>
      </c>
      <c r="C6170" s="3" t="s">
        <v>1342</v>
      </c>
      <c r="D6170" s="3" t="s">
        <v>68</v>
      </c>
      <c r="E6170" s="3" t="s">
        <v>100</v>
      </c>
      <c r="F6170" s="3" t="s">
        <v>919</v>
      </c>
      <c r="G6170" s="7">
        <v>46189.776394553344</v>
      </c>
    </row>
    <row r="6171">
      <c r="A6171" s="3" t="s">
        <v>19066</v>
      </c>
      <c r="B6171" s="3" t="s">
        <v>691</v>
      </c>
      <c r="C6171" s="3" t="s">
        <v>56</v>
      </c>
      <c r="D6171" s="3" t="s">
        <v>68</v>
      </c>
      <c r="E6171" s="3" t="s">
        <v>100</v>
      </c>
      <c r="F6171" s="3" t="s">
        <v>1177</v>
      </c>
      <c r="G6171" s="7">
        <v>46189.847569398764</v>
      </c>
    </row>
    <row r="6172">
      <c r="A6172" s="3" t="s">
        <v>19068</v>
      </c>
      <c r="B6172" s="3" t="s">
        <v>561</v>
      </c>
      <c r="C6172" s="3" t="s">
        <v>1342</v>
      </c>
      <c r="D6172" s="3" t="s">
        <v>68</v>
      </c>
      <c r="E6172" s="3" t="s">
        <v>100</v>
      </c>
      <c r="F6172" s="3" t="s">
        <v>1019</v>
      </c>
      <c r="G6172" s="7">
        <v>46189.918744244176</v>
      </c>
    </row>
    <row r="6173">
      <c r="A6173" s="3" t="s">
        <v>19070</v>
      </c>
      <c r="B6173" s="3" t="s">
        <v>575</v>
      </c>
      <c r="C6173" s="3" t="s">
        <v>1342</v>
      </c>
      <c r="D6173" s="3" t="s">
        <v>68</v>
      </c>
      <c r="E6173" s="3" t="s">
        <v>100</v>
      </c>
      <c r="F6173" s="3" t="s">
        <v>818</v>
      </c>
      <c r="G6173" s="7">
        <v>46189.98991908959</v>
      </c>
    </row>
    <row r="6174">
      <c r="A6174" s="3" t="s">
        <v>19072</v>
      </c>
      <c r="B6174" s="3" t="s">
        <v>189</v>
      </c>
      <c r="C6174" s="3" t="s">
        <v>1342</v>
      </c>
      <c r="D6174" s="3" t="s">
        <v>68</v>
      </c>
      <c r="E6174" s="3" t="s">
        <v>100</v>
      </c>
      <c r="F6174" s="3" t="s">
        <v>932</v>
      </c>
      <c r="G6174" s="7">
        <v>46190.06109393501</v>
      </c>
    </row>
    <row r="6175">
      <c r="A6175" s="3" t="s">
        <v>19074</v>
      </c>
      <c r="B6175" s="3" t="s">
        <v>916</v>
      </c>
      <c r="C6175" s="3" t="s">
        <v>56</v>
      </c>
      <c r="D6175" s="3" t="s">
        <v>68</v>
      </c>
      <c r="E6175" s="3" t="s">
        <v>100</v>
      </c>
      <c r="F6175" s="3" t="s">
        <v>1182</v>
      </c>
      <c r="G6175" s="7">
        <v>46190.13226878042</v>
      </c>
    </row>
    <row r="6176">
      <c r="A6176" s="3" t="s">
        <v>19076</v>
      </c>
      <c r="B6176" s="3" t="s">
        <v>619</v>
      </c>
      <c r="C6176" s="3" t="s">
        <v>1095</v>
      </c>
      <c r="D6176" s="3" t="s">
        <v>68</v>
      </c>
      <c r="E6176" s="3" t="s">
        <v>100</v>
      </c>
      <c r="F6176" s="3" t="s">
        <v>1158</v>
      </c>
      <c r="G6176" s="7">
        <v>46190.20344362583</v>
      </c>
    </row>
    <row r="6177">
      <c r="A6177" s="3" t="s">
        <v>19079</v>
      </c>
      <c r="B6177" s="3" t="s">
        <v>943</v>
      </c>
      <c r="C6177" s="3" t="s">
        <v>1095</v>
      </c>
      <c r="D6177" s="3" t="s">
        <v>68</v>
      </c>
      <c r="E6177" s="3" t="s">
        <v>100</v>
      </c>
      <c r="F6177" s="3" t="s">
        <v>983</v>
      </c>
      <c r="G6177" s="7">
        <v>46190.27461847125</v>
      </c>
    </row>
    <row r="6178">
      <c r="A6178" s="3" t="s">
        <v>19081</v>
      </c>
      <c r="B6178" s="3" t="s">
        <v>682</v>
      </c>
      <c r="C6178" s="3" t="s">
        <v>56</v>
      </c>
      <c r="D6178" s="3" t="s">
        <v>68</v>
      </c>
      <c r="E6178" s="3" t="s">
        <v>100</v>
      </c>
      <c r="F6178" s="3" t="s">
        <v>1185</v>
      </c>
      <c r="G6178" s="7">
        <v>46190.34579331667</v>
      </c>
    </row>
    <row r="6179">
      <c r="A6179" s="3" t="s">
        <v>19084</v>
      </c>
      <c r="B6179" s="3" t="s">
        <v>501</v>
      </c>
      <c r="C6179" s="3" t="s">
        <v>56</v>
      </c>
      <c r="D6179" s="3" t="s">
        <v>68</v>
      </c>
      <c r="E6179" s="3" t="s">
        <v>100</v>
      </c>
      <c r="F6179" s="3" t="s">
        <v>1187</v>
      </c>
      <c r="G6179" s="7">
        <v>46190.41696816208</v>
      </c>
    </row>
    <row r="6180">
      <c r="A6180" s="3" t="s">
        <v>19086</v>
      </c>
      <c r="B6180" s="3" t="s">
        <v>395</v>
      </c>
      <c r="C6180" s="3" t="s">
        <v>1342</v>
      </c>
      <c r="D6180" s="3" t="s">
        <v>68</v>
      </c>
      <c r="E6180" s="3" t="s">
        <v>100</v>
      </c>
      <c r="F6180" s="3" t="s">
        <v>1418</v>
      </c>
      <c r="G6180" s="7">
        <v>46190.4881430075</v>
      </c>
    </row>
    <row r="6181">
      <c r="A6181" s="3" t="s">
        <v>19089</v>
      </c>
      <c r="B6181" s="3" t="s">
        <v>561</v>
      </c>
      <c r="C6181" s="3" t="s">
        <v>1342</v>
      </c>
      <c r="D6181" s="3" t="s">
        <v>68</v>
      </c>
      <c r="E6181" s="3" t="s">
        <v>100</v>
      </c>
      <c r="F6181" s="3" t="s">
        <v>1019</v>
      </c>
      <c r="G6181" s="7">
        <v>46190.559317852916</v>
      </c>
    </row>
    <row r="6182">
      <c r="A6182" s="3" t="s">
        <v>19092</v>
      </c>
      <c r="B6182" s="3" t="s">
        <v>934</v>
      </c>
      <c r="C6182" s="3" t="s">
        <v>1342</v>
      </c>
      <c r="D6182" s="3" t="s">
        <v>68</v>
      </c>
      <c r="E6182" s="3" t="s">
        <v>100</v>
      </c>
      <c r="F6182" s="3" t="s">
        <v>1498</v>
      </c>
      <c r="G6182" s="7">
        <v>46190.63049269833</v>
      </c>
    </row>
    <row r="6183">
      <c r="A6183" s="3" t="s">
        <v>19095</v>
      </c>
      <c r="B6183" s="3" t="s">
        <v>1028</v>
      </c>
      <c r="C6183" s="3" t="s">
        <v>1342</v>
      </c>
      <c r="D6183" s="3" t="s">
        <v>68</v>
      </c>
      <c r="E6183" s="3" t="s">
        <v>100</v>
      </c>
      <c r="F6183" s="3" t="s">
        <v>1025</v>
      </c>
      <c r="G6183" s="7">
        <v>46190.70166754374</v>
      </c>
    </row>
    <row r="6184">
      <c r="A6184" s="3" t="s">
        <v>19098</v>
      </c>
      <c r="B6184" s="3" t="s">
        <v>307</v>
      </c>
      <c r="C6184" s="3" t="s">
        <v>1342</v>
      </c>
      <c r="D6184" s="3" t="s">
        <v>68</v>
      </c>
      <c r="E6184" s="3" t="s">
        <v>100</v>
      </c>
      <c r="F6184" s="3" t="s">
        <v>1127</v>
      </c>
      <c r="G6184" s="7">
        <v>46190.77284238916</v>
      </c>
    </row>
    <row r="6185">
      <c r="A6185" s="3" t="s">
        <v>19100</v>
      </c>
      <c r="B6185" s="3" t="s">
        <v>404</v>
      </c>
      <c r="C6185" s="3" t="s">
        <v>1095</v>
      </c>
      <c r="D6185" s="3" t="s">
        <v>195</v>
      </c>
      <c r="E6185" s="3" t="s">
        <v>45</v>
      </c>
      <c r="F6185" s="3" t="s">
        <v>2115</v>
      </c>
      <c r="G6185" s="7">
        <v>46190.84401723457</v>
      </c>
    </row>
    <row r="6186">
      <c r="A6186" s="3" t="s">
        <v>19102</v>
      </c>
      <c r="B6186" s="3" t="s">
        <v>336</v>
      </c>
      <c r="C6186" s="3" t="s">
        <v>56</v>
      </c>
      <c r="D6186" s="3" t="s">
        <v>68</v>
      </c>
      <c r="E6186" s="3" t="s">
        <v>100</v>
      </c>
      <c r="F6186" s="3" t="s">
        <v>1190</v>
      </c>
      <c r="G6186" s="7">
        <v>46190.915192079985</v>
      </c>
    </row>
    <row r="6187">
      <c r="A6187" s="3" t="s">
        <v>19104</v>
      </c>
      <c r="B6187" s="3" t="s">
        <v>293</v>
      </c>
      <c r="C6187" s="3" t="s">
        <v>56</v>
      </c>
      <c r="D6187" s="3" t="s">
        <v>68</v>
      </c>
      <c r="E6187" s="3" t="s">
        <v>100</v>
      </c>
      <c r="F6187" s="3" t="s">
        <v>1193</v>
      </c>
      <c r="G6187" s="7">
        <v>46190.986366925405</v>
      </c>
    </row>
    <row r="6188">
      <c r="A6188" s="3" t="s">
        <v>19107</v>
      </c>
      <c r="B6188" s="3" t="s">
        <v>145</v>
      </c>
      <c r="C6188" s="3" t="s">
        <v>1342</v>
      </c>
      <c r="D6188" s="3" t="s">
        <v>68</v>
      </c>
      <c r="E6188" s="3" t="s">
        <v>100</v>
      </c>
      <c r="F6188" s="3" t="s">
        <v>1884</v>
      </c>
      <c r="G6188" s="7">
        <v>46191.05754177082</v>
      </c>
    </row>
    <row r="6189">
      <c r="A6189" s="3" t="s">
        <v>19109</v>
      </c>
      <c r="B6189" s="3" t="s">
        <v>913</v>
      </c>
      <c r="C6189" s="3" t="s">
        <v>1342</v>
      </c>
      <c r="D6189" s="3" t="s">
        <v>68</v>
      </c>
      <c r="E6189" s="3" t="s">
        <v>100</v>
      </c>
      <c r="F6189" s="3" t="s">
        <v>1728</v>
      </c>
      <c r="G6189" s="7">
        <v>46191.12871661623</v>
      </c>
    </row>
    <row r="6190">
      <c r="A6190" s="3" t="s">
        <v>19112</v>
      </c>
      <c r="B6190" s="3" t="s">
        <v>993</v>
      </c>
      <c r="C6190" s="3" t="s">
        <v>1342</v>
      </c>
      <c r="D6190" s="3" t="s">
        <v>68</v>
      </c>
      <c r="E6190" s="3" t="s">
        <v>100</v>
      </c>
      <c r="F6190" s="3" t="s">
        <v>721</v>
      </c>
      <c r="G6190" s="7">
        <v>46191.19989146165</v>
      </c>
    </row>
    <row r="6191">
      <c r="A6191" s="3" t="s">
        <v>19113</v>
      </c>
      <c r="B6191" s="3" t="s">
        <v>616</v>
      </c>
      <c r="C6191" s="3" t="s">
        <v>56</v>
      </c>
      <c r="D6191" s="3" t="s">
        <v>68</v>
      </c>
      <c r="E6191" s="3" t="s">
        <v>100</v>
      </c>
      <c r="F6191" s="3" t="s">
        <v>1196</v>
      </c>
      <c r="G6191" s="7">
        <v>46191.27106630706</v>
      </c>
    </row>
    <row r="6192">
      <c r="A6192" s="3" t="s">
        <v>19115</v>
      </c>
      <c r="B6192" s="3" t="s">
        <v>269</v>
      </c>
      <c r="C6192" s="3" t="s">
        <v>56</v>
      </c>
      <c r="D6192" s="3" t="s">
        <v>68</v>
      </c>
      <c r="E6192" s="3" t="s">
        <v>100</v>
      </c>
      <c r="F6192" s="3" t="s">
        <v>1198</v>
      </c>
      <c r="G6192" s="7">
        <v>46191.34224115247</v>
      </c>
    </row>
    <row r="6193">
      <c r="A6193" s="3" t="s">
        <v>19117</v>
      </c>
      <c r="B6193" s="3" t="s">
        <v>524</v>
      </c>
      <c r="C6193" s="3" t="s">
        <v>1095</v>
      </c>
      <c r="D6193" s="3" t="s">
        <v>68</v>
      </c>
      <c r="E6193" s="3" t="s">
        <v>100</v>
      </c>
      <c r="F6193" s="3" t="s">
        <v>1971</v>
      </c>
      <c r="G6193" s="7">
        <v>46191.41341599789</v>
      </c>
    </row>
    <row r="6194">
      <c r="A6194" s="3" t="s">
        <v>19119</v>
      </c>
      <c r="B6194" s="3" t="s">
        <v>643</v>
      </c>
      <c r="C6194" s="3" t="s">
        <v>1095</v>
      </c>
      <c r="D6194" s="3" t="s">
        <v>68</v>
      </c>
      <c r="E6194" s="3" t="s">
        <v>100</v>
      </c>
      <c r="F6194" s="3" t="s">
        <v>1570</v>
      </c>
      <c r="G6194" s="7">
        <v>46191.48459084331</v>
      </c>
    </row>
    <row r="6195">
      <c r="A6195" s="3" t="s">
        <v>19122</v>
      </c>
      <c r="B6195" s="3" t="s">
        <v>501</v>
      </c>
      <c r="C6195" s="3" t="s">
        <v>1342</v>
      </c>
      <c r="D6195" s="3" t="s">
        <v>68</v>
      </c>
      <c r="E6195" s="3" t="s">
        <v>100</v>
      </c>
      <c r="F6195" s="3" t="s">
        <v>1187</v>
      </c>
      <c r="G6195" s="7">
        <v>46191.55576568872</v>
      </c>
    </row>
    <row r="6196">
      <c r="A6196" s="3" t="s">
        <v>19124</v>
      </c>
      <c r="B6196" s="3" t="s">
        <v>949</v>
      </c>
      <c r="C6196" s="3" t="s">
        <v>1095</v>
      </c>
      <c r="D6196" s="3" t="s">
        <v>68</v>
      </c>
      <c r="E6196" s="3" t="s">
        <v>100</v>
      </c>
      <c r="F6196" s="3" t="s">
        <v>1887</v>
      </c>
      <c r="G6196" s="7">
        <v>46191.62694053414</v>
      </c>
    </row>
    <row r="6197">
      <c r="A6197" s="3" t="s">
        <v>19127</v>
      </c>
      <c r="B6197" s="3" t="s">
        <v>557</v>
      </c>
      <c r="C6197" s="3" t="s">
        <v>56</v>
      </c>
      <c r="D6197" s="3" t="s">
        <v>181</v>
      </c>
      <c r="E6197" s="3" t="s">
        <v>45</v>
      </c>
      <c r="F6197" s="3" t="s">
        <v>45</v>
      </c>
      <c r="G6197" s="7">
        <v>46191.69811537956</v>
      </c>
    </row>
    <row r="6198">
      <c r="A6198" s="3" t="s">
        <v>19130</v>
      </c>
      <c r="B6198" s="3" t="s">
        <v>877</v>
      </c>
      <c r="C6198" s="3" t="s">
        <v>1095</v>
      </c>
      <c r="D6198" s="3" t="s">
        <v>68</v>
      </c>
      <c r="E6198" s="3" t="s">
        <v>100</v>
      </c>
      <c r="F6198" s="3" t="s">
        <v>1824</v>
      </c>
      <c r="G6198" s="7">
        <v>46191.76929022497</v>
      </c>
    </row>
    <row r="6199">
      <c r="A6199" s="3" t="s">
        <v>19133</v>
      </c>
      <c r="B6199" s="3" t="s">
        <v>414</v>
      </c>
      <c r="C6199" s="3" t="s">
        <v>56</v>
      </c>
      <c r="D6199" s="3" t="s">
        <v>68</v>
      </c>
      <c r="E6199" s="3" t="s">
        <v>100</v>
      </c>
      <c r="F6199" s="3" t="s">
        <v>1201</v>
      </c>
      <c r="G6199" s="7">
        <v>46191.84046507038</v>
      </c>
    </row>
    <row r="6200">
      <c r="A6200" s="3" t="s">
        <v>19137</v>
      </c>
      <c r="B6200" s="3" t="s">
        <v>742</v>
      </c>
      <c r="C6200" s="3" t="s">
        <v>1342</v>
      </c>
      <c r="D6200" s="3" t="s">
        <v>68</v>
      </c>
      <c r="E6200" s="3" t="s">
        <v>100</v>
      </c>
      <c r="F6200" s="3" t="s">
        <v>1072</v>
      </c>
      <c r="G6200" s="7">
        <v>46191.9116399158</v>
      </c>
    </row>
    <row r="6201">
      <c r="A6201" s="3" t="s">
        <v>19141</v>
      </c>
      <c r="B6201" s="3" t="s">
        <v>1008</v>
      </c>
      <c r="C6201" s="3" t="s">
        <v>56</v>
      </c>
      <c r="D6201" s="3" t="s">
        <v>68</v>
      </c>
      <c r="E6201" s="3" t="s">
        <v>100</v>
      </c>
      <c r="F6201" s="3" t="s">
        <v>1204</v>
      </c>
      <c r="G6201" s="7">
        <v>46191.98281476121</v>
      </c>
    </row>
    <row r="6202">
      <c r="A6202" s="3" t="s">
        <v>19144</v>
      </c>
      <c r="B6202" s="3" t="s">
        <v>151</v>
      </c>
      <c r="C6202" s="3" t="s">
        <v>56</v>
      </c>
      <c r="D6202" s="3" t="s">
        <v>181</v>
      </c>
      <c r="E6202" s="3" t="s">
        <v>45</v>
      </c>
      <c r="F6202" s="3" t="s">
        <v>45</v>
      </c>
      <c r="G6202" s="7">
        <v>46192.053989606626</v>
      </c>
    </row>
    <row r="6203">
      <c r="A6203" s="3" t="s">
        <v>19147</v>
      </c>
      <c r="B6203" s="3" t="s">
        <v>269</v>
      </c>
      <c r="C6203" s="3" t="s">
        <v>1342</v>
      </c>
      <c r="D6203" s="3" t="s">
        <v>68</v>
      </c>
      <c r="E6203" s="3" t="s">
        <v>100</v>
      </c>
      <c r="F6203" s="3" t="s">
        <v>1198</v>
      </c>
      <c r="G6203" s="7">
        <v>46192.125164452045</v>
      </c>
    </row>
    <row r="6204">
      <c r="A6204" s="3" t="s">
        <v>19150</v>
      </c>
      <c r="B6204" s="3" t="s">
        <v>587</v>
      </c>
      <c r="C6204" s="3" t="s">
        <v>1342</v>
      </c>
      <c r="D6204" s="3" t="s">
        <v>68</v>
      </c>
      <c r="E6204" s="3" t="s">
        <v>100</v>
      </c>
      <c r="F6204" s="3" t="s">
        <v>2081</v>
      </c>
      <c r="G6204" s="7">
        <v>46192.19633929746</v>
      </c>
    </row>
    <row r="6205">
      <c r="A6205" s="3" t="s">
        <v>19154</v>
      </c>
      <c r="B6205" s="3" t="s">
        <v>838</v>
      </c>
      <c r="C6205" s="3" t="s">
        <v>1095</v>
      </c>
      <c r="D6205" s="3" t="s">
        <v>68</v>
      </c>
      <c r="E6205" s="3" t="s">
        <v>100</v>
      </c>
      <c r="F6205" s="3" t="s">
        <v>1514</v>
      </c>
      <c r="G6205" s="7">
        <v>46192.26751414287</v>
      </c>
    </row>
    <row r="6206">
      <c r="A6206" s="3" t="s">
        <v>19158</v>
      </c>
      <c r="B6206" s="3" t="s">
        <v>505</v>
      </c>
      <c r="C6206" s="3" t="s">
        <v>1342</v>
      </c>
      <c r="D6206" s="3" t="s">
        <v>68</v>
      </c>
      <c r="E6206" s="3" t="s">
        <v>100</v>
      </c>
      <c r="F6206" s="3" t="s">
        <v>991</v>
      </c>
      <c r="G6206" s="7">
        <v>46192.33868898829</v>
      </c>
    </row>
    <row r="6207">
      <c r="A6207" s="3" t="s">
        <v>19161</v>
      </c>
      <c r="B6207" s="3" t="s">
        <v>767</v>
      </c>
      <c r="C6207" s="3" t="s">
        <v>1342</v>
      </c>
      <c r="D6207" s="3" t="s">
        <v>68</v>
      </c>
      <c r="E6207" s="3" t="s">
        <v>100</v>
      </c>
      <c r="F6207" s="3" t="s">
        <v>1975</v>
      </c>
      <c r="G6207" s="7">
        <v>46192.4098638337</v>
      </c>
    </row>
    <row r="6208">
      <c r="A6208" s="3" t="s">
        <v>19164</v>
      </c>
      <c r="B6208" s="3" t="s">
        <v>747</v>
      </c>
      <c r="C6208" s="3" t="s">
        <v>56</v>
      </c>
      <c r="D6208" s="3" t="s">
        <v>68</v>
      </c>
      <c r="E6208" s="3" t="s">
        <v>100</v>
      </c>
      <c r="F6208" s="3" t="s">
        <v>1206</v>
      </c>
      <c r="G6208" s="7">
        <v>46192.481038679114</v>
      </c>
    </row>
    <row r="6209">
      <c r="A6209" s="3" t="s">
        <v>19168</v>
      </c>
      <c r="B6209" s="3" t="s">
        <v>972</v>
      </c>
      <c r="C6209" s="3" t="s">
        <v>1342</v>
      </c>
      <c r="D6209" s="3" t="s">
        <v>68</v>
      </c>
      <c r="E6209" s="3" t="s">
        <v>100</v>
      </c>
      <c r="F6209" s="3" t="s">
        <v>1029</v>
      </c>
      <c r="G6209" s="7">
        <v>46192.552213524534</v>
      </c>
    </row>
    <row r="6210">
      <c r="A6210" s="3" t="s">
        <v>19170</v>
      </c>
      <c r="B6210" s="3" t="s">
        <v>380</v>
      </c>
      <c r="C6210" s="3" t="s">
        <v>1095</v>
      </c>
      <c r="D6210" s="3" t="s">
        <v>195</v>
      </c>
      <c r="E6210" s="3" t="s">
        <v>45</v>
      </c>
      <c r="F6210" s="3" t="s">
        <v>1070</v>
      </c>
      <c r="G6210" s="7">
        <v>46192.62338836995</v>
      </c>
    </row>
    <row r="6211">
      <c r="A6211" s="3" t="s">
        <v>19173</v>
      </c>
      <c r="B6211" s="3" t="s">
        <v>911</v>
      </c>
      <c r="C6211" s="3" t="s">
        <v>1342</v>
      </c>
      <c r="D6211" s="3" t="s">
        <v>68</v>
      </c>
      <c r="E6211" s="3" t="s">
        <v>100</v>
      </c>
      <c r="F6211" s="3" t="s">
        <v>1048</v>
      </c>
      <c r="G6211" s="7">
        <v>46192.69456321536</v>
      </c>
    </row>
    <row r="6212">
      <c r="A6212" s="3" t="s">
        <v>19177</v>
      </c>
      <c r="B6212" s="3" t="s">
        <v>883</v>
      </c>
      <c r="C6212" s="3" t="s">
        <v>1095</v>
      </c>
      <c r="D6212" s="3" t="s">
        <v>181</v>
      </c>
      <c r="E6212" s="3" t="s">
        <v>45</v>
      </c>
      <c r="F6212" s="3" t="s">
        <v>1125</v>
      </c>
      <c r="G6212" s="7">
        <v>46192.76573806078</v>
      </c>
    </row>
    <row r="6213">
      <c r="A6213" s="3" t="s">
        <v>19180</v>
      </c>
      <c r="B6213" s="3" t="s">
        <v>322</v>
      </c>
      <c r="C6213" s="3" t="s">
        <v>56</v>
      </c>
      <c r="D6213" s="3" t="s">
        <v>68</v>
      </c>
      <c r="E6213" s="3" t="s">
        <v>100</v>
      </c>
      <c r="F6213" s="3" t="s">
        <v>1208</v>
      </c>
      <c r="G6213" s="7">
        <v>46192.8369129062</v>
      </c>
    </row>
    <row r="6214">
      <c r="A6214" s="3" t="s">
        <v>19182</v>
      </c>
      <c r="B6214" s="3" t="s">
        <v>395</v>
      </c>
      <c r="C6214" s="3" t="s">
        <v>1342</v>
      </c>
      <c r="D6214" s="3" t="s">
        <v>68</v>
      </c>
      <c r="E6214" s="3" t="s">
        <v>100</v>
      </c>
      <c r="F6214" s="3" t="s">
        <v>1418</v>
      </c>
      <c r="G6214" s="7">
        <v>46192.90808775161</v>
      </c>
    </row>
    <row r="6215">
      <c r="A6215" s="3" t="s">
        <v>19184</v>
      </c>
      <c r="B6215" s="3" t="s">
        <v>466</v>
      </c>
      <c r="C6215" s="3" t="s">
        <v>1342</v>
      </c>
      <c r="D6215" s="3" t="s">
        <v>68</v>
      </c>
      <c r="E6215" s="3" t="s">
        <v>100</v>
      </c>
      <c r="F6215" s="3" t="s">
        <v>1171</v>
      </c>
      <c r="G6215" s="7">
        <v>46192.97926259702</v>
      </c>
    </row>
    <row r="6216">
      <c r="A6216" s="3" t="s">
        <v>19186</v>
      </c>
      <c r="B6216" s="3" t="s">
        <v>276</v>
      </c>
      <c r="C6216" s="3" t="s">
        <v>56</v>
      </c>
      <c r="D6216" s="3" t="s">
        <v>68</v>
      </c>
      <c r="E6216" s="3" t="s">
        <v>100</v>
      </c>
      <c r="F6216" s="3" t="s">
        <v>1211</v>
      </c>
      <c r="G6216" s="7">
        <v>46193.05043744244</v>
      </c>
    </row>
    <row r="6217">
      <c r="A6217" s="3" t="s">
        <v>19188</v>
      </c>
      <c r="B6217" s="3" t="s">
        <v>708</v>
      </c>
      <c r="C6217" s="3" t="s">
        <v>1095</v>
      </c>
      <c r="D6217" s="3" t="s">
        <v>68</v>
      </c>
      <c r="E6217" s="3" t="s">
        <v>100</v>
      </c>
      <c r="F6217" s="3" t="s">
        <v>2041</v>
      </c>
      <c r="G6217" s="7">
        <v>46193.121612287854</v>
      </c>
    </row>
    <row r="6218">
      <c r="A6218" s="3" t="s">
        <v>19191</v>
      </c>
      <c r="B6218" s="3" t="s">
        <v>226</v>
      </c>
      <c r="C6218" s="3" t="s">
        <v>56</v>
      </c>
      <c r="D6218" s="3" t="s">
        <v>68</v>
      </c>
      <c r="E6218" s="3" t="s">
        <v>100</v>
      </c>
      <c r="F6218" s="3" t="s">
        <v>1214</v>
      </c>
      <c r="G6218" s="7">
        <v>46193.19278713327</v>
      </c>
    </row>
    <row r="6219">
      <c r="A6219" s="3" t="s">
        <v>19193</v>
      </c>
      <c r="B6219" s="3" t="s">
        <v>758</v>
      </c>
      <c r="C6219" s="3" t="s">
        <v>56</v>
      </c>
      <c r="D6219" s="3" t="s">
        <v>68</v>
      </c>
      <c r="E6219" s="3" t="s">
        <v>100</v>
      </c>
      <c r="F6219" s="3" t="s">
        <v>1218</v>
      </c>
      <c r="G6219" s="7">
        <v>46193.263961978686</v>
      </c>
    </row>
    <row r="6220">
      <c r="A6220" s="3" t="s">
        <v>19195</v>
      </c>
      <c r="B6220" s="3" t="s">
        <v>366</v>
      </c>
      <c r="C6220" s="3" t="s">
        <v>1095</v>
      </c>
      <c r="D6220" s="3" t="s">
        <v>68</v>
      </c>
      <c r="E6220" s="3" t="s">
        <v>100</v>
      </c>
      <c r="F6220" s="3" t="s">
        <v>549</v>
      </c>
      <c r="G6220" s="7">
        <v>46193.335136824106</v>
      </c>
    </row>
    <row r="6221">
      <c r="A6221" s="3" t="s">
        <v>19197</v>
      </c>
      <c r="B6221" s="3" t="s">
        <v>165</v>
      </c>
      <c r="C6221" s="3" t="s">
        <v>1342</v>
      </c>
      <c r="D6221" s="3" t="s">
        <v>68</v>
      </c>
      <c r="E6221" s="3" t="s">
        <v>100</v>
      </c>
      <c r="F6221" s="3" t="s">
        <v>1319</v>
      </c>
      <c r="G6221" s="7">
        <v>46193.40631166951</v>
      </c>
    </row>
    <row r="6222">
      <c r="A6222" s="3" t="s">
        <v>19199</v>
      </c>
      <c r="B6222" s="3" t="s">
        <v>493</v>
      </c>
      <c r="C6222" s="3" t="s">
        <v>1342</v>
      </c>
      <c r="D6222" s="3" t="s">
        <v>68</v>
      </c>
      <c r="E6222" s="3" t="s">
        <v>100</v>
      </c>
      <c r="F6222" s="3" t="s">
        <v>2091</v>
      </c>
      <c r="G6222" s="7">
        <v>46193.47748651493</v>
      </c>
    </row>
    <row r="6223">
      <c r="A6223" s="3" t="s">
        <v>19201</v>
      </c>
      <c r="B6223" s="3" t="s">
        <v>747</v>
      </c>
      <c r="C6223" s="3" t="s">
        <v>1342</v>
      </c>
      <c r="D6223" s="3" t="s">
        <v>68</v>
      </c>
      <c r="E6223" s="3" t="s">
        <v>100</v>
      </c>
      <c r="F6223" s="3" t="s">
        <v>1206</v>
      </c>
      <c r="G6223" s="7">
        <v>46193.54866136034</v>
      </c>
    </row>
    <row r="6224">
      <c r="A6224" s="3" t="s">
        <v>19204</v>
      </c>
      <c r="B6224" s="3" t="s">
        <v>272</v>
      </c>
      <c r="C6224" s="3" t="s">
        <v>1095</v>
      </c>
      <c r="D6224" s="3" t="s">
        <v>68</v>
      </c>
      <c r="E6224" s="3" t="s">
        <v>100</v>
      </c>
      <c r="F6224" s="3" t="s">
        <v>2021</v>
      </c>
      <c r="G6224" s="7">
        <v>46193.61983620576</v>
      </c>
    </row>
    <row r="6225">
      <c r="A6225" s="3" t="s">
        <v>19206</v>
      </c>
      <c r="B6225" s="3" t="s">
        <v>722</v>
      </c>
      <c r="C6225" s="3" t="s">
        <v>1095</v>
      </c>
      <c r="D6225" s="3" t="s">
        <v>68</v>
      </c>
      <c r="E6225" s="3" t="s">
        <v>100</v>
      </c>
      <c r="F6225" s="3" t="s">
        <v>2004</v>
      </c>
      <c r="G6225" s="7">
        <v>46193.691011051174</v>
      </c>
    </row>
    <row r="6226">
      <c r="A6226" s="3" t="s">
        <v>19208</v>
      </c>
      <c r="B6226" s="3" t="s">
        <v>521</v>
      </c>
      <c r="C6226" s="3" t="s">
        <v>1342</v>
      </c>
      <c r="D6226" s="3" t="s">
        <v>68</v>
      </c>
      <c r="E6226" s="3" t="s">
        <v>100</v>
      </c>
      <c r="F6226" s="3" t="s">
        <v>1846</v>
      </c>
      <c r="G6226" s="7">
        <v>46193.762185896594</v>
      </c>
    </row>
    <row r="6227">
      <c r="A6227" s="3" t="s">
        <v>19210</v>
      </c>
      <c r="B6227" s="3" t="s">
        <v>453</v>
      </c>
      <c r="C6227" s="3" t="s">
        <v>1342</v>
      </c>
      <c r="D6227" s="3" t="s">
        <v>68</v>
      </c>
      <c r="E6227" s="3" t="s">
        <v>100</v>
      </c>
      <c r="F6227" s="3" t="s">
        <v>1248</v>
      </c>
      <c r="G6227" s="7">
        <v>46193.833360742</v>
      </c>
    </row>
    <row r="6228">
      <c r="A6228" s="3" t="s">
        <v>19213</v>
      </c>
      <c r="B6228" s="3" t="s">
        <v>704</v>
      </c>
      <c r="C6228" s="3" t="s">
        <v>1342</v>
      </c>
      <c r="D6228" s="3" t="s">
        <v>68</v>
      </c>
      <c r="E6228" s="3" t="s">
        <v>100</v>
      </c>
      <c r="F6228" s="3" t="s">
        <v>583</v>
      </c>
      <c r="G6228" s="7">
        <v>46193.90453558742</v>
      </c>
    </row>
    <row r="6229">
      <c r="A6229" s="3" t="s">
        <v>19215</v>
      </c>
      <c r="B6229" s="3" t="s">
        <v>900</v>
      </c>
      <c r="C6229" s="3" t="s">
        <v>1342</v>
      </c>
      <c r="D6229" s="3" t="s">
        <v>68</v>
      </c>
      <c r="E6229" s="3" t="s">
        <v>100</v>
      </c>
      <c r="F6229" s="3" t="s">
        <v>996</v>
      </c>
      <c r="G6229" s="7">
        <v>46193.97571043284</v>
      </c>
    </row>
    <row r="6230">
      <c r="A6230" s="3" t="s">
        <v>19217</v>
      </c>
      <c r="B6230" s="3" t="s">
        <v>313</v>
      </c>
      <c r="C6230" s="3" t="s">
        <v>1342</v>
      </c>
      <c r="D6230" s="3" t="s">
        <v>68</v>
      </c>
      <c r="E6230" s="3" t="s">
        <v>100</v>
      </c>
      <c r="F6230" s="3" t="s">
        <v>823</v>
      </c>
      <c r="G6230" s="7">
        <v>46194.04688527825</v>
      </c>
    </row>
    <row r="6231">
      <c r="A6231" s="3" t="s">
        <v>19219</v>
      </c>
      <c r="B6231" s="3" t="s">
        <v>168</v>
      </c>
      <c r="C6231" s="3" t="s">
        <v>1342</v>
      </c>
      <c r="D6231" s="3" t="s">
        <v>68</v>
      </c>
      <c r="E6231" s="3" t="s">
        <v>100</v>
      </c>
      <c r="F6231" s="3" t="s">
        <v>1979</v>
      </c>
      <c r="G6231" s="7">
        <v>46194.11806012366</v>
      </c>
    </row>
    <row r="6232">
      <c r="A6232" s="3" t="s">
        <v>19221</v>
      </c>
      <c r="B6232" s="3" t="s">
        <v>247</v>
      </c>
      <c r="C6232" s="3" t="s">
        <v>1095</v>
      </c>
      <c r="D6232" s="3" t="s">
        <v>68</v>
      </c>
      <c r="E6232" s="3" t="s">
        <v>100</v>
      </c>
      <c r="F6232" s="3" t="s">
        <v>968</v>
      </c>
      <c r="G6232" s="7">
        <v>46194.18923496908</v>
      </c>
    </row>
    <row r="6233">
      <c r="A6233" s="3" t="s">
        <v>19225</v>
      </c>
      <c r="B6233" s="3" t="s">
        <v>215</v>
      </c>
      <c r="C6233" s="3" t="s">
        <v>1342</v>
      </c>
      <c r="D6233" s="3" t="s">
        <v>68</v>
      </c>
      <c r="E6233" s="3" t="s">
        <v>100</v>
      </c>
      <c r="F6233" s="3" t="s">
        <v>1324</v>
      </c>
      <c r="G6233" s="7">
        <v>46194.260409814495</v>
      </c>
    </row>
    <row r="6234">
      <c r="A6234" s="3" t="s">
        <v>19229</v>
      </c>
      <c r="B6234" s="3" t="s">
        <v>544</v>
      </c>
      <c r="C6234" s="3" t="s">
        <v>1095</v>
      </c>
      <c r="D6234" s="3" t="s">
        <v>68</v>
      </c>
      <c r="E6234" s="3" t="s">
        <v>100</v>
      </c>
      <c r="F6234" s="3" t="s">
        <v>928</v>
      </c>
      <c r="G6234" s="7">
        <v>46194.33158465991</v>
      </c>
    </row>
    <row r="6235">
      <c r="A6235" s="3" t="s">
        <v>19232</v>
      </c>
      <c r="B6235" s="3" t="s">
        <v>682</v>
      </c>
      <c r="C6235" s="3" t="s">
        <v>1095</v>
      </c>
      <c r="D6235" s="3" t="s">
        <v>68</v>
      </c>
      <c r="E6235" s="3" t="s">
        <v>100</v>
      </c>
      <c r="F6235" s="3" t="s">
        <v>1185</v>
      </c>
      <c r="G6235" s="7">
        <v>46194.40275950533</v>
      </c>
    </row>
    <row r="6236">
      <c r="A6236" s="3" t="s">
        <v>19234</v>
      </c>
      <c r="B6236" s="3" t="s">
        <v>990</v>
      </c>
      <c r="C6236" s="3" t="s">
        <v>56</v>
      </c>
      <c r="D6236" s="3" t="s">
        <v>68</v>
      </c>
      <c r="E6236" s="3" t="s">
        <v>100</v>
      </c>
      <c r="F6236" s="3" t="s">
        <v>1226</v>
      </c>
      <c r="G6236" s="7">
        <v>46194.473934350746</v>
      </c>
    </row>
    <row r="6237">
      <c r="A6237" s="3" t="s">
        <v>19236</v>
      </c>
      <c r="B6237" s="3" t="s">
        <v>208</v>
      </c>
      <c r="C6237" s="3" t="s">
        <v>1342</v>
      </c>
      <c r="D6237" s="3" t="s">
        <v>181</v>
      </c>
      <c r="E6237" s="3" t="s">
        <v>45</v>
      </c>
      <c r="F6237" s="3" t="s">
        <v>1954</v>
      </c>
      <c r="G6237" s="7">
        <v>46194.54510919615</v>
      </c>
    </row>
    <row r="6238">
      <c r="A6238" s="3" t="s">
        <v>19238</v>
      </c>
      <c r="B6238" s="3" t="s">
        <v>605</v>
      </c>
      <c r="C6238" s="3" t="s">
        <v>1342</v>
      </c>
      <c r="D6238" s="3" t="s">
        <v>68</v>
      </c>
      <c r="E6238" s="3" t="s">
        <v>100</v>
      </c>
      <c r="F6238" s="3" t="s">
        <v>959</v>
      </c>
      <c r="G6238" s="7">
        <v>46194.61628404157</v>
      </c>
    </row>
    <row r="6239">
      <c r="A6239" s="3" t="s">
        <v>19240</v>
      </c>
      <c r="B6239" s="3" t="s">
        <v>691</v>
      </c>
      <c r="C6239" s="3" t="s">
        <v>1342</v>
      </c>
      <c r="D6239" s="3" t="s">
        <v>68</v>
      </c>
      <c r="E6239" s="3" t="s">
        <v>100</v>
      </c>
      <c r="F6239" s="3" t="s">
        <v>1177</v>
      </c>
      <c r="G6239" s="7">
        <v>46194.68745888698</v>
      </c>
    </row>
    <row r="6240">
      <c r="A6240" s="3" t="s">
        <v>19243</v>
      </c>
      <c r="B6240" s="3" t="s">
        <v>151</v>
      </c>
      <c r="C6240" s="3" t="s">
        <v>56</v>
      </c>
      <c r="D6240" s="3" t="s">
        <v>68</v>
      </c>
      <c r="E6240" s="3" t="s">
        <v>100</v>
      </c>
      <c r="F6240" s="3" t="s">
        <v>1228</v>
      </c>
      <c r="G6240" s="7">
        <v>46194.7586337324</v>
      </c>
    </row>
    <row r="6241">
      <c r="A6241" s="3" t="s">
        <v>19245</v>
      </c>
      <c r="B6241" s="3" t="s">
        <v>322</v>
      </c>
      <c r="C6241" s="3" t="s">
        <v>1342</v>
      </c>
      <c r="D6241" s="3" t="s">
        <v>68</v>
      </c>
      <c r="E6241" s="3" t="s">
        <v>100</v>
      </c>
      <c r="F6241" s="3" t="s">
        <v>1208</v>
      </c>
      <c r="G6241" s="7">
        <v>46194.829808577815</v>
      </c>
    </row>
    <row r="6242">
      <c r="A6242" s="3" t="s">
        <v>19247</v>
      </c>
      <c r="B6242" s="3" t="s">
        <v>165</v>
      </c>
      <c r="C6242" s="3" t="s">
        <v>1342</v>
      </c>
      <c r="D6242" s="3" t="s">
        <v>195</v>
      </c>
      <c r="E6242" s="3" t="s">
        <v>45</v>
      </c>
      <c r="F6242" s="3" t="s">
        <v>1319</v>
      </c>
      <c r="G6242" s="7">
        <v>46194.900983423235</v>
      </c>
    </row>
    <row r="6243">
      <c r="A6243" s="3" t="s">
        <v>19249</v>
      </c>
      <c r="B6243" s="3" t="s">
        <v>587</v>
      </c>
      <c r="C6243" s="3" t="s">
        <v>1095</v>
      </c>
      <c r="D6243" s="3" t="s">
        <v>68</v>
      </c>
      <c r="E6243" s="3" t="s">
        <v>100</v>
      </c>
      <c r="F6243" s="3" t="s">
        <v>2081</v>
      </c>
      <c r="G6243" s="7">
        <v>46194.97215826865</v>
      </c>
    </row>
    <row r="6244">
      <c r="A6244" s="3" t="s">
        <v>19251</v>
      </c>
      <c r="B6244" s="3" t="s">
        <v>233</v>
      </c>
      <c r="C6244" s="3" t="s">
        <v>56</v>
      </c>
      <c r="D6244" s="3" t="s">
        <v>68</v>
      </c>
      <c r="E6244" s="3" t="s">
        <v>100</v>
      </c>
      <c r="F6244" s="3" t="s">
        <v>1234</v>
      </c>
      <c r="G6244" s="7">
        <v>46195.04333311406</v>
      </c>
    </row>
    <row r="6245">
      <c r="A6245" s="3" t="s">
        <v>19253</v>
      </c>
      <c r="B6245" s="3" t="s">
        <v>243</v>
      </c>
      <c r="C6245" s="3" t="s">
        <v>1095</v>
      </c>
      <c r="D6245" s="3" t="s">
        <v>68</v>
      </c>
      <c r="E6245" s="3" t="s">
        <v>100</v>
      </c>
      <c r="F6245" s="3" t="s">
        <v>626</v>
      </c>
      <c r="G6245" s="7">
        <v>46195.11450795948</v>
      </c>
    </row>
    <row r="6246">
      <c r="A6246" s="3" t="s">
        <v>19255</v>
      </c>
      <c r="B6246" s="3" t="s">
        <v>204</v>
      </c>
      <c r="C6246" s="3" t="s">
        <v>1342</v>
      </c>
      <c r="D6246" s="3" t="s">
        <v>68</v>
      </c>
      <c r="E6246" s="3" t="s">
        <v>100</v>
      </c>
      <c r="F6246" s="3" t="s">
        <v>1063</v>
      </c>
      <c r="G6246" s="7">
        <v>46195.18568280489</v>
      </c>
    </row>
    <row r="6247">
      <c r="A6247" s="3" t="s">
        <v>19256</v>
      </c>
      <c r="B6247" s="3" t="s">
        <v>424</v>
      </c>
      <c r="C6247" s="3" t="s">
        <v>56</v>
      </c>
      <c r="D6247" s="3" t="s">
        <v>68</v>
      </c>
      <c r="E6247" s="3" t="s">
        <v>100</v>
      </c>
      <c r="F6247" s="3" t="s">
        <v>1237</v>
      </c>
      <c r="G6247" s="7">
        <v>46195.2568576503</v>
      </c>
    </row>
    <row r="6248">
      <c r="A6248" s="3" t="s">
        <v>19260</v>
      </c>
      <c r="B6248" s="3" t="s">
        <v>579</v>
      </c>
      <c r="C6248" s="3" t="s">
        <v>1342</v>
      </c>
      <c r="D6248" s="3" t="s">
        <v>68</v>
      </c>
      <c r="E6248" s="3" t="s">
        <v>100</v>
      </c>
      <c r="F6248" s="3" t="s">
        <v>1117</v>
      </c>
      <c r="G6248" s="7">
        <v>46195.32803249572</v>
      </c>
    </row>
    <row r="6249">
      <c r="A6249" s="3" t="s">
        <v>19263</v>
      </c>
      <c r="B6249" s="3" t="s">
        <v>276</v>
      </c>
      <c r="C6249" s="3" t="s">
        <v>1342</v>
      </c>
      <c r="D6249" s="3" t="s">
        <v>68</v>
      </c>
      <c r="E6249" s="3" t="s">
        <v>100</v>
      </c>
      <c r="F6249" s="3" t="s">
        <v>1211</v>
      </c>
      <c r="G6249" s="7">
        <v>46195.399207341135</v>
      </c>
    </row>
    <row r="6250">
      <c r="A6250" s="3" t="s">
        <v>19266</v>
      </c>
      <c r="B6250" s="3" t="s">
        <v>316</v>
      </c>
      <c r="C6250" s="3" t="s">
        <v>56</v>
      </c>
      <c r="D6250" s="3" t="s">
        <v>68</v>
      </c>
      <c r="E6250" s="3" t="s">
        <v>100</v>
      </c>
      <c r="F6250" s="3" t="s">
        <v>1240</v>
      </c>
      <c r="G6250" s="7">
        <v>46195.47038218655</v>
      </c>
    </row>
    <row r="6251">
      <c r="A6251" s="3" t="s">
        <v>19268</v>
      </c>
      <c r="B6251" s="3" t="s">
        <v>326</v>
      </c>
      <c r="C6251" s="3" t="s">
        <v>1095</v>
      </c>
      <c r="D6251" s="3" t="s">
        <v>68</v>
      </c>
      <c r="E6251" s="3" t="s">
        <v>100</v>
      </c>
      <c r="F6251" s="3" t="s">
        <v>1053</v>
      </c>
      <c r="G6251" s="7">
        <v>46195.54155703197</v>
      </c>
    </row>
    <row r="6252">
      <c r="A6252" s="3" t="s">
        <v>19272</v>
      </c>
      <c r="B6252" s="3" t="s">
        <v>619</v>
      </c>
      <c r="C6252" s="3" t="s">
        <v>56</v>
      </c>
      <c r="D6252" s="3" t="s">
        <v>68</v>
      </c>
      <c r="E6252" s="3" t="s">
        <v>100</v>
      </c>
      <c r="F6252" s="3" t="s">
        <v>1242</v>
      </c>
      <c r="G6252" s="7">
        <v>46195.61273187739</v>
      </c>
    </row>
    <row r="6253">
      <c r="A6253" s="3" t="s">
        <v>19274</v>
      </c>
      <c r="B6253" s="3" t="s">
        <v>519</v>
      </c>
      <c r="C6253" s="3" t="s">
        <v>56</v>
      </c>
      <c r="D6253" s="3" t="s">
        <v>68</v>
      </c>
      <c r="E6253" s="3" t="s">
        <v>100</v>
      </c>
      <c r="F6253" s="3" t="s">
        <v>1245</v>
      </c>
      <c r="G6253" s="7">
        <v>46195.68390672279</v>
      </c>
    </row>
    <row r="6254">
      <c r="A6254" s="3" t="s">
        <v>19276</v>
      </c>
      <c r="B6254" s="3" t="s">
        <v>550</v>
      </c>
      <c r="C6254" s="3" t="s">
        <v>1342</v>
      </c>
      <c r="D6254" s="3" t="s">
        <v>195</v>
      </c>
      <c r="E6254" s="3" t="s">
        <v>45</v>
      </c>
      <c r="F6254" s="3" t="s">
        <v>2101</v>
      </c>
      <c r="G6254" s="7">
        <v>46195.75508156821</v>
      </c>
    </row>
    <row r="6255">
      <c r="A6255" s="3" t="s">
        <v>19278</v>
      </c>
      <c r="B6255" s="3" t="s">
        <v>424</v>
      </c>
      <c r="C6255" s="3" t="s">
        <v>1095</v>
      </c>
      <c r="D6255" s="3" t="s">
        <v>68</v>
      </c>
      <c r="E6255" s="3" t="s">
        <v>100</v>
      </c>
      <c r="F6255" s="3" t="s">
        <v>1237</v>
      </c>
      <c r="G6255" s="7">
        <v>46195.82625641363</v>
      </c>
    </row>
    <row r="6256">
      <c r="A6256" s="3" t="s">
        <v>19280</v>
      </c>
      <c r="B6256" s="3" t="s">
        <v>430</v>
      </c>
      <c r="C6256" s="3" t="s">
        <v>1095</v>
      </c>
      <c r="D6256" s="3" t="s">
        <v>68</v>
      </c>
      <c r="E6256" s="3" t="s">
        <v>100</v>
      </c>
      <c r="F6256" s="3" t="s">
        <v>1054</v>
      </c>
      <c r="G6256" s="7">
        <v>46195.89743125904</v>
      </c>
    </row>
    <row r="6257">
      <c r="A6257" s="3" t="s">
        <v>19283</v>
      </c>
      <c r="B6257" s="3" t="s">
        <v>689</v>
      </c>
      <c r="C6257" s="3" t="s">
        <v>1342</v>
      </c>
      <c r="D6257" s="3" t="s">
        <v>68</v>
      </c>
      <c r="E6257" s="3" t="s">
        <v>100</v>
      </c>
      <c r="F6257" s="3" t="s">
        <v>1969</v>
      </c>
      <c r="G6257" s="7">
        <v>46195.968606104456</v>
      </c>
    </row>
    <row r="6258">
      <c r="A6258" s="3" t="s">
        <v>19288</v>
      </c>
      <c r="B6258" s="3" t="s">
        <v>751</v>
      </c>
      <c r="C6258" s="3" t="s">
        <v>1342</v>
      </c>
      <c r="D6258" s="3" t="s">
        <v>68</v>
      </c>
      <c r="E6258" s="3" t="s">
        <v>100</v>
      </c>
      <c r="F6258" s="3" t="s">
        <v>1614</v>
      </c>
      <c r="G6258" s="7">
        <v>46196.039780949875</v>
      </c>
    </row>
    <row r="6259">
      <c r="A6259" s="3" t="s">
        <v>19291</v>
      </c>
      <c r="B6259" s="3" t="s">
        <v>501</v>
      </c>
      <c r="C6259" s="3" t="s">
        <v>1342</v>
      </c>
      <c r="D6259" s="3" t="s">
        <v>195</v>
      </c>
      <c r="E6259" s="3" t="s">
        <v>45</v>
      </c>
      <c r="F6259" s="3" t="s">
        <v>1187</v>
      </c>
      <c r="G6259" s="7">
        <v>46196.11095579529</v>
      </c>
    </row>
    <row r="6260">
      <c r="A6260" s="3" t="s">
        <v>19293</v>
      </c>
      <c r="B6260" s="3" t="s">
        <v>758</v>
      </c>
      <c r="C6260" s="3" t="s">
        <v>1342</v>
      </c>
      <c r="D6260" s="3" t="s">
        <v>68</v>
      </c>
      <c r="E6260" s="3" t="s">
        <v>100</v>
      </c>
      <c r="F6260" s="3" t="s">
        <v>1218</v>
      </c>
      <c r="G6260" s="7">
        <v>46196.1821306407</v>
      </c>
    </row>
    <row r="6261">
      <c r="A6261" s="3" t="s">
        <v>19295</v>
      </c>
      <c r="B6261" s="3" t="s">
        <v>466</v>
      </c>
      <c r="C6261" s="3" t="s">
        <v>1095</v>
      </c>
      <c r="D6261" s="3" t="s">
        <v>68</v>
      </c>
      <c r="E6261" s="3" t="s">
        <v>100</v>
      </c>
      <c r="F6261" s="3" t="s">
        <v>1171</v>
      </c>
      <c r="G6261" s="7">
        <v>46196.25330548612</v>
      </c>
    </row>
    <row r="6262">
      <c r="A6262" s="3" t="s">
        <v>19297</v>
      </c>
      <c r="B6262" s="3" t="s">
        <v>151</v>
      </c>
      <c r="C6262" s="3" t="s">
        <v>1342</v>
      </c>
      <c r="D6262" s="3" t="s">
        <v>68</v>
      </c>
      <c r="E6262" s="3" t="s">
        <v>100</v>
      </c>
      <c r="F6262" s="3" t="s">
        <v>1228</v>
      </c>
      <c r="G6262" s="7">
        <v>46196.32448033153</v>
      </c>
    </row>
    <row r="6263">
      <c r="A6263" s="3" t="s">
        <v>19299</v>
      </c>
      <c r="B6263" s="3" t="s">
        <v>322</v>
      </c>
      <c r="C6263" s="3" t="s">
        <v>1342</v>
      </c>
      <c r="D6263" s="3" t="s">
        <v>181</v>
      </c>
      <c r="E6263" s="3" t="s">
        <v>45</v>
      </c>
      <c r="F6263" s="3" t="s">
        <v>1208</v>
      </c>
      <c r="G6263" s="7">
        <v>46196.395655176944</v>
      </c>
    </row>
    <row r="6264">
      <c r="A6264" s="3" t="s">
        <v>19302</v>
      </c>
      <c r="B6264" s="3" t="s">
        <v>243</v>
      </c>
      <c r="C6264" s="3" t="s">
        <v>56</v>
      </c>
      <c r="D6264" s="3" t="s">
        <v>68</v>
      </c>
      <c r="E6264" s="3" t="s">
        <v>100</v>
      </c>
      <c r="F6264" s="3" t="s">
        <v>1251</v>
      </c>
      <c r="G6264" s="7">
        <v>46196.466830022364</v>
      </c>
    </row>
    <row r="6265">
      <c r="A6265" s="3" t="s">
        <v>19305</v>
      </c>
      <c r="B6265" s="3" t="s">
        <v>293</v>
      </c>
      <c r="C6265" s="3" t="s">
        <v>1342</v>
      </c>
      <c r="D6265" s="3" t="s">
        <v>68</v>
      </c>
      <c r="E6265" s="3" t="s">
        <v>100</v>
      </c>
      <c r="F6265" s="3" t="s">
        <v>1193</v>
      </c>
      <c r="G6265" s="7">
        <v>46196.538004867776</v>
      </c>
    </row>
    <row r="6266">
      <c r="A6266" s="3" t="s">
        <v>19308</v>
      </c>
      <c r="B6266" s="3" t="s">
        <v>475</v>
      </c>
      <c r="C6266" s="3" t="s">
        <v>1342</v>
      </c>
      <c r="D6266" s="3" t="s">
        <v>181</v>
      </c>
      <c r="E6266" s="3" t="s">
        <v>45</v>
      </c>
      <c r="F6266" s="3" t="s">
        <v>1066</v>
      </c>
      <c r="G6266" s="7">
        <v>46196.609179713196</v>
      </c>
    </row>
    <row r="6267">
      <c r="A6267" s="3" t="s">
        <v>19311</v>
      </c>
      <c r="B6267" s="3" t="s">
        <v>922</v>
      </c>
      <c r="C6267" s="3" t="s">
        <v>1342</v>
      </c>
      <c r="D6267" s="3" t="s">
        <v>68</v>
      </c>
      <c r="E6267" s="3" t="s">
        <v>100</v>
      </c>
      <c r="F6267" s="3" t="s">
        <v>1609</v>
      </c>
      <c r="G6267" s="7">
        <v>46196.68035455861</v>
      </c>
    </row>
    <row r="6268">
      <c r="A6268" s="3" t="s">
        <v>19314</v>
      </c>
      <c r="B6268" s="3" t="s">
        <v>247</v>
      </c>
      <c r="C6268" s="3" t="s">
        <v>56</v>
      </c>
      <c r="D6268" s="3" t="s">
        <v>68</v>
      </c>
      <c r="E6268" s="3" t="s">
        <v>100</v>
      </c>
      <c r="F6268" s="3" t="s">
        <v>1254</v>
      </c>
      <c r="G6268" s="7">
        <v>46196.75152940403</v>
      </c>
    </row>
    <row r="6269">
      <c r="A6269" s="3" t="s">
        <v>19319</v>
      </c>
      <c r="B6269" s="3" t="s">
        <v>290</v>
      </c>
      <c r="C6269" s="3" t="s">
        <v>1342</v>
      </c>
      <c r="D6269" s="3" t="s">
        <v>68</v>
      </c>
      <c r="E6269" s="3" t="s">
        <v>100</v>
      </c>
      <c r="F6269" s="3" t="s">
        <v>1356</v>
      </c>
      <c r="G6269" s="7">
        <v>46196.82270424943</v>
      </c>
    </row>
    <row r="6270">
      <c r="A6270" s="3" t="s">
        <v>19322</v>
      </c>
      <c r="B6270" s="3" t="s">
        <v>236</v>
      </c>
      <c r="C6270" s="3" t="s">
        <v>1342</v>
      </c>
      <c r="D6270" s="3" t="s">
        <v>68</v>
      </c>
      <c r="E6270" s="3" t="s">
        <v>100</v>
      </c>
      <c r="F6270" s="3" t="s">
        <v>1641</v>
      </c>
      <c r="G6270" s="7">
        <v>46196.89387909485</v>
      </c>
    </row>
    <row r="6271">
      <c r="A6271" s="3" t="s">
        <v>19325</v>
      </c>
      <c r="B6271" s="3" t="s">
        <v>929</v>
      </c>
      <c r="C6271" s="3" t="s">
        <v>56</v>
      </c>
      <c r="D6271" s="3" t="s">
        <v>68</v>
      </c>
      <c r="E6271" s="3" t="s">
        <v>100</v>
      </c>
      <c r="F6271" s="3" t="s">
        <v>1256</v>
      </c>
      <c r="G6271" s="7">
        <v>46196.96505394027</v>
      </c>
    </row>
    <row r="6272">
      <c r="A6272" s="3" t="s">
        <v>19327</v>
      </c>
      <c r="B6272" s="3" t="s">
        <v>442</v>
      </c>
      <c r="C6272" s="3" t="s">
        <v>1342</v>
      </c>
      <c r="D6272" s="3" t="s">
        <v>195</v>
      </c>
      <c r="E6272" s="3" t="s">
        <v>45</v>
      </c>
      <c r="F6272" s="3" t="s">
        <v>2001</v>
      </c>
      <c r="G6272" s="7">
        <v>46197.036228785684</v>
      </c>
    </row>
    <row r="6273">
      <c r="A6273" s="3" t="s">
        <v>19329</v>
      </c>
      <c r="B6273" s="3" t="s">
        <v>631</v>
      </c>
      <c r="C6273" s="3" t="s">
        <v>56</v>
      </c>
      <c r="D6273" s="3" t="s">
        <v>68</v>
      </c>
      <c r="E6273" s="3" t="s">
        <v>100</v>
      </c>
      <c r="F6273" s="3" t="s">
        <v>1259</v>
      </c>
      <c r="G6273" s="7">
        <v>46197.1074036311</v>
      </c>
    </row>
    <row r="6274">
      <c r="A6274" s="3" t="s">
        <v>19332</v>
      </c>
      <c r="B6274" s="3" t="s">
        <v>485</v>
      </c>
      <c r="C6274" s="3" t="s">
        <v>1342</v>
      </c>
      <c r="D6274" s="3" t="s">
        <v>68</v>
      </c>
      <c r="E6274" s="3" t="s">
        <v>100</v>
      </c>
      <c r="F6274" s="3" t="s">
        <v>1076</v>
      </c>
      <c r="G6274" s="7">
        <v>46197.178578476516</v>
      </c>
    </row>
    <row r="6275">
      <c r="A6275" s="3" t="s">
        <v>19334</v>
      </c>
      <c r="B6275" s="3" t="s">
        <v>460</v>
      </c>
      <c r="C6275" s="3" t="s">
        <v>56</v>
      </c>
      <c r="D6275" s="3" t="s">
        <v>195</v>
      </c>
      <c r="E6275" s="3" t="s">
        <v>45</v>
      </c>
      <c r="F6275" s="3" t="s">
        <v>45</v>
      </c>
      <c r="G6275" s="7">
        <v>46197.24975332193</v>
      </c>
    </row>
    <row r="6276">
      <c r="A6276" s="3" t="s">
        <v>19337</v>
      </c>
      <c r="B6276" s="3" t="s">
        <v>256</v>
      </c>
      <c r="C6276" s="3" t="s">
        <v>1342</v>
      </c>
      <c r="D6276" s="3" t="s">
        <v>68</v>
      </c>
      <c r="E6276" s="3" t="s">
        <v>100</v>
      </c>
      <c r="F6276" s="3" t="s">
        <v>1506</v>
      </c>
      <c r="G6276" s="7">
        <v>46197.32092816734</v>
      </c>
    </row>
    <row r="6277">
      <c r="A6277" s="3" t="s">
        <v>19339</v>
      </c>
      <c r="B6277" s="3" t="s">
        <v>247</v>
      </c>
      <c r="C6277" s="3" t="s">
        <v>1342</v>
      </c>
      <c r="D6277" s="3" t="s">
        <v>68</v>
      </c>
      <c r="E6277" s="3" t="s">
        <v>100</v>
      </c>
      <c r="F6277" s="3" t="s">
        <v>1254</v>
      </c>
      <c r="G6277" s="7">
        <v>46197.39210301276</v>
      </c>
    </row>
    <row r="6278">
      <c r="A6278" s="3" t="s">
        <v>19341</v>
      </c>
      <c r="B6278" s="3" t="s">
        <v>436</v>
      </c>
      <c r="C6278" s="3" t="s">
        <v>56</v>
      </c>
      <c r="D6278" s="3" t="s">
        <v>68</v>
      </c>
      <c r="E6278" s="3" t="s">
        <v>100</v>
      </c>
      <c r="F6278" s="3" t="s">
        <v>1261</v>
      </c>
      <c r="G6278" s="7">
        <v>46197.46327785818</v>
      </c>
    </row>
    <row r="6279">
      <c r="A6279" s="3" t="s">
        <v>19343</v>
      </c>
      <c r="B6279" s="3" t="s">
        <v>953</v>
      </c>
      <c r="C6279" s="3" t="s">
        <v>1342</v>
      </c>
      <c r="D6279" s="3" t="s">
        <v>68</v>
      </c>
      <c r="E6279" s="3" t="s">
        <v>100</v>
      </c>
      <c r="F6279" s="3" t="s">
        <v>1156</v>
      </c>
      <c r="G6279" s="7">
        <v>46197.534452703585</v>
      </c>
    </row>
    <row r="6280">
      <c r="A6280" s="3" t="s">
        <v>19345</v>
      </c>
      <c r="B6280" s="3" t="s">
        <v>546</v>
      </c>
      <c r="C6280" s="3" t="s">
        <v>56</v>
      </c>
      <c r="D6280" s="3" t="s">
        <v>68</v>
      </c>
      <c r="E6280" s="3" t="s">
        <v>100</v>
      </c>
      <c r="F6280" s="3" t="s">
        <v>1264</v>
      </c>
      <c r="G6280" s="7">
        <v>46197.605627549005</v>
      </c>
    </row>
    <row r="6281">
      <c r="A6281" s="3" t="s">
        <v>19347</v>
      </c>
      <c r="B6281" s="3" t="s">
        <v>310</v>
      </c>
      <c r="C6281" s="3" t="s">
        <v>56</v>
      </c>
      <c r="D6281" s="3" t="s">
        <v>181</v>
      </c>
      <c r="E6281" s="3" t="s">
        <v>45</v>
      </c>
      <c r="F6281" s="3" t="s">
        <v>45</v>
      </c>
      <c r="G6281" s="7">
        <v>46197.67680239442</v>
      </c>
    </row>
    <row r="6282">
      <c r="A6282" s="3" t="s">
        <v>19349</v>
      </c>
      <c r="B6282" s="3" t="s">
        <v>193</v>
      </c>
      <c r="C6282" s="3" t="s">
        <v>1342</v>
      </c>
      <c r="D6282" s="3" t="s">
        <v>68</v>
      </c>
      <c r="E6282" s="3" t="s">
        <v>100</v>
      </c>
      <c r="F6282" s="3" t="s">
        <v>712</v>
      </c>
      <c r="G6282" s="7">
        <v>46197.74797723984</v>
      </c>
    </row>
    <row r="6283">
      <c r="A6283" s="3" t="s">
        <v>19352</v>
      </c>
      <c r="B6283" s="3" t="s">
        <v>253</v>
      </c>
      <c r="C6283" s="3" t="s">
        <v>56</v>
      </c>
      <c r="D6283" s="3" t="s">
        <v>68</v>
      </c>
      <c r="E6283" s="3" t="s">
        <v>100</v>
      </c>
      <c r="F6283" s="3" t="s">
        <v>1268</v>
      </c>
      <c r="G6283" s="7">
        <v>46197.81915208525</v>
      </c>
    </row>
    <row r="6284">
      <c r="A6284" s="3" t="s">
        <v>19355</v>
      </c>
      <c r="B6284" s="3" t="s">
        <v>826</v>
      </c>
      <c r="C6284" s="3" t="s">
        <v>1095</v>
      </c>
      <c r="D6284" s="3" t="s">
        <v>68</v>
      </c>
      <c r="E6284" s="3" t="s">
        <v>100</v>
      </c>
      <c r="F6284" s="3" t="s">
        <v>2059</v>
      </c>
      <c r="G6284" s="7">
        <v>46197.89032693067</v>
      </c>
    </row>
    <row r="6285">
      <c r="A6285" s="3" t="s">
        <v>19358</v>
      </c>
      <c r="B6285" s="3" t="s">
        <v>1034</v>
      </c>
      <c r="C6285" s="3" t="s">
        <v>1342</v>
      </c>
      <c r="D6285" s="3" t="s">
        <v>68</v>
      </c>
      <c r="E6285" s="3" t="s">
        <v>100</v>
      </c>
      <c r="F6285" s="3" t="s">
        <v>950</v>
      </c>
      <c r="G6285" s="7">
        <v>46197.96150177608</v>
      </c>
    </row>
    <row r="6286">
      <c r="A6286" s="3" t="s">
        <v>19363</v>
      </c>
      <c r="B6286" s="3" t="s">
        <v>920</v>
      </c>
      <c r="C6286" s="3" t="s">
        <v>1342</v>
      </c>
      <c r="D6286" s="3" t="s">
        <v>195</v>
      </c>
      <c r="E6286" s="3" t="s">
        <v>45</v>
      </c>
      <c r="F6286" s="3" t="s">
        <v>1968</v>
      </c>
      <c r="G6286" s="7">
        <v>46198.03267662149</v>
      </c>
    </row>
    <row r="6287">
      <c r="A6287" s="3" t="s">
        <v>19365</v>
      </c>
      <c r="B6287" s="3" t="s">
        <v>953</v>
      </c>
      <c r="C6287" s="3" t="s">
        <v>1342</v>
      </c>
      <c r="D6287" s="3" t="s">
        <v>68</v>
      </c>
      <c r="E6287" s="3" t="s">
        <v>100</v>
      </c>
      <c r="F6287" s="3" t="s">
        <v>1156</v>
      </c>
      <c r="G6287" s="7">
        <v>46198.10385146691</v>
      </c>
    </row>
    <row r="6288">
      <c r="A6288" s="3" t="s">
        <v>19367</v>
      </c>
      <c r="B6288" s="3" t="s">
        <v>533</v>
      </c>
      <c r="C6288" s="3" t="s">
        <v>1342</v>
      </c>
      <c r="D6288" s="3" t="s">
        <v>181</v>
      </c>
      <c r="E6288" s="3" t="s">
        <v>45</v>
      </c>
      <c r="F6288" s="3" t="s">
        <v>946</v>
      </c>
      <c r="G6288" s="7">
        <v>46198.175026312325</v>
      </c>
    </row>
    <row r="6289">
      <c r="A6289" s="3" t="s">
        <v>19369</v>
      </c>
      <c r="B6289" s="3" t="s">
        <v>717</v>
      </c>
      <c r="C6289" s="3" t="s">
        <v>1342</v>
      </c>
      <c r="D6289" s="3" t="s">
        <v>68</v>
      </c>
      <c r="E6289" s="3" t="s">
        <v>100</v>
      </c>
      <c r="F6289" s="3" t="s">
        <v>1640</v>
      </c>
      <c r="G6289" s="7">
        <v>46198.24620115774</v>
      </c>
    </row>
    <row r="6290">
      <c r="A6290" s="3" t="s">
        <v>19371</v>
      </c>
      <c r="B6290" s="3" t="s">
        <v>751</v>
      </c>
      <c r="C6290" s="3" t="s">
        <v>1095</v>
      </c>
      <c r="D6290" s="3" t="s">
        <v>68</v>
      </c>
      <c r="E6290" s="3" t="s">
        <v>100</v>
      </c>
      <c r="F6290" s="3" t="s">
        <v>1614</v>
      </c>
      <c r="G6290" s="7">
        <v>46198.31737600316</v>
      </c>
    </row>
    <row r="6291">
      <c r="A6291" s="3" t="s">
        <v>19375</v>
      </c>
      <c r="B6291" s="3" t="s">
        <v>440</v>
      </c>
      <c r="C6291" s="3" t="s">
        <v>56</v>
      </c>
      <c r="D6291" s="3" t="s">
        <v>68</v>
      </c>
      <c r="E6291" s="3" t="s">
        <v>100</v>
      </c>
      <c r="F6291" s="3" t="s">
        <v>1270</v>
      </c>
      <c r="G6291" s="7">
        <v>46198.38855084857</v>
      </c>
    </row>
    <row r="6292">
      <c r="A6292" s="3" t="s">
        <v>19379</v>
      </c>
      <c r="B6292" s="3" t="s">
        <v>1026</v>
      </c>
      <c r="C6292" s="3" t="s">
        <v>56</v>
      </c>
      <c r="D6292" s="3" t="s">
        <v>68</v>
      </c>
      <c r="E6292" s="3" t="s">
        <v>100</v>
      </c>
      <c r="F6292" s="3" t="s">
        <v>1272</v>
      </c>
      <c r="G6292" s="7">
        <v>46198.45972569398</v>
      </c>
    </row>
    <row r="6293">
      <c r="A6293" s="3" t="s">
        <v>19382</v>
      </c>
      <c r="B6293" s="3" t="s">
        <v>496</v>
      </c>
      <c r="C6293" s="3" t="s">
        <v>56</v>
      </c>
      <c r="D6293" s="3" t="s">
        <v>68</v>
      </c>
      <c r="E6293" s="3" t="s">
        <v>100</v>
      </c>
      <c r="F6293" s="3" t="s">
        <v>1274</v>
      </c>
      <c r="G6293" s="7">
        <v>46198.5309005394</v>
      </c>
    </row>
    <row r="6294">
      <c r="A6294" s="3" t="s">
        <v>19385</v>
      </c>
      <c r="B6294" s="3" t="s">
        <v>307</v>
      </c>
      <c r="C6294" s="3" t="s">
        <v>1095</v>
      </c>
      <c r="D6294" s="3" t="s">
        <v>68</v>
      </c>
      <c r="E6294" s="3" t="s">
        <v>100</v>
      </c>
      <c r="F6294" s="3" t="s">
        <v>1127</v>
      </c>
      <c r="G6294" s="7">
        <v>46198.60207538482</v>
      </c>
    </row>
    <row r="6295">
      <c r="A6295" s="3" t="s">
        <v>19388</v>
      </c>
      <c r="B6295" s="3" t="s">
        <v>949</v>
      </c>
      <c r="C6295" s="3" t="s">
        <v>56</v>
      </c>
      <c r="D6295" s="3" t="s">
        <v>68</v>
      </c>
      <c r="E6295" s="3" t="s">
        <v>100</v>
      </c>
      <c r="F6295" s="3" t="s">
        <v>1276</v>
      </c>
      <c r="G6295" s="7">
        <v>46198.673250230226</v>
      </c>
    </row>
    <row r="6296">
      <c r="A6296" s="3" t="s">
        <v>19392</v>
      </c>
      <c r="B6296" s="3" t="s">
        <v>510</v>
      </c>
      <c r="C6296" s="3" t="s">
        <v>1095</v>
      </c>
      <c r="D6296" s="3" t="s">
        <v>68</v>
      </c>
      <c r="E6296" s="3" t="s">
        <v>100</v>
      </c>
      <c r="F6296" s="3" t="s">
        <v>784</v>
      </c>
      <c r="G6296" s="7">
        <v>46198.744425075645</v>
      </c>
    </row>
    <row r="6297">
      <c r="A6297" s="3" t="s">
        <v>19395</v>
      </c>
      <c r="B6297" s="3" t="s">
        <v>575</v>
      </c>
      <c r="C6297" s="3" t="s">
        <v>1342</v>
      </c>
      <c r="D6297" s="3" t="s">
        <v>68</v>
      </c>
      <c r="E6297" s="3" t="s">
        <v>100</v>
      </c>
      <c r="F6297" s="3" t="s">
        <v>818</v>
      </c>
      <c r="G6297" s="7">
        <v>46198.815599921065</v>
      </c>
    </row>
    <row r="6298">
      <c r="A6298" s="3" t="s">
        <v>19399</v>
      </c>
      <c r="B6298" s="3" t="s">
        <v>319</v>
      </c>
      <c r="C6298" s="3" t="s">
        <v>1095</v>
      </c>
      <c r="D6298" s="3" t="s">
        <v>68</v>
      </c>
      <c r="E6298" s="3" t="s">
        <v>100</v>
      </c>
      <c r="F6298" s="3" t="s">
        <v>618</v>
      </c>
      <c r="G6298" s="7">
        <v>46198.88677476648</v>
      </c>
    </row>
    <row r="6299">
      <c r="A6299" s="3" t="s">
        <v>19402</v>
      </c>
      <c r="B6299" s="3" t="s">
        <v>1040</v>
      </c>
      <c r="C6299" s="3" t="s">
        <v>1342</v>
      </c>
      <c r="D6299" s="3" t="s">
        <v>68</v>
      </c>
      <c r="E6299" s="3" t="s">
        <v>100</v>
      </c>
      <c r="F6299" s="3" t="s">
        <v>1100</v>
      </c>
      <c r="G6299" s="7">
        <v>46198.95794961189</v>
      </c>
    </row>
    <row r="6300">
      <c r="A6300" s="3" t="s">
        <v>19405</v>
      </c>
      <c r="B6300" s="3" t="s">
        <v>943</v>
      </c>
      <c r="C6300" s="3" t="s">
        <v>56</v>
      </c>
      <c r="D6300" s="3" t="s">
        <v>68</v>
      </c>
      <c r="E6300" s="3" t="s">
        <v>100</v>
      </c>
      <c r="F6300" s="3" t="s">
        <v>1278</v>
      </c>
      <c r="G6300" s="7">
        <v>46199.02912445731</v>
      </c>
    </row>
    <row r="6301">
      <c r="A6301" s="3" t="s">
        <v>19407</v>
      </c>
      <c r="B6301" s="3" t="s">
        <v>226</v>
      </c>
      <c r="C6301" s="3" t="s">
        <v>1342</v>
      </c>
      <c r="D6301" s="3" t="s">
        <v>68</v>
      </c>
      <c r="E6301" s="3" t="s">
        <v>100</v>
      </c>
      <c r="F6301" s="3" t="s">
        <v>1214</v>
      </c>
      <c r="G6301" s="7">
        <v>46199.10029930272</v>
      </c>
    </row>
    <row r="6302">
      <c r="A6302" s="3" t="s">
        <v>19410</v>
      </c>
      <c r="B6302" s="3" t="s">
        <v>920</v>
      </c>
      <c r="C6302" s="3" t="s">
        <v>1342</v>
      </c>
      <c r="D6302" s="3" t="s">
        <v>68</v>
      </c>
      <c r="E6302" s="3" t="s">
        <v>100</v>
      </c>
      <c r="F6302" s="3" t="s">
        <v>1968</v>
      </c>
      <c r="G6302" s="7">
        <v>46199.171474148134</v>
      </c>
    </row>
    <row r="6303">
      <c r="A6303" s="3" t="s">
        <v>19412</v>
      </c>
      <c r="B6303" s="3" t="s">
        <v>208</v>
      </c>
      <c r="C6303" s="3" t="s">
        <v>1342</v>
      </c>
      <c r="D6303" s="3" t="s">
        <v>68</v>
      </c>
      <c r="E6303" s="3" t="s">
        <v>100</v>
      </c>
      <c r="F6303" s="3" t="s">
        <v>1954</v>
      </c>
      <c r="G6303" s="7">
        <v>46199.24264899355</v>
      </c>
    </row>
    <row r="6304">
      <c r="A6304" s="3" t="s">
        <v>19414</v>
      </c>
      <c r="B6304" s="3" t="s">
        <v>488</v>
      </c>
      <c r="C6304" s="3" t="s">
        <v>1342</v>
      </c>
      <c r="D6304" s="3" t="s">
        <v>68</v>
      </c>
      <c r="E6304" s="3" t="s">
        <v>100</v>
      </c>
      <c r="F6304" s="3" t="s">
        <v>1148</v>
      </c>
      <c r="G6304" s="7">
        <v>46199.313823838966</v>
      </c>
    </row>
    <row r="6305">
      <c r="A6305" s="3" t="s">
        <v>19416</v>
      </c>
      <c r="B6305" s="3" t="s">
        <v>498</v>
      </c>
      <c r="C6305" s="3" t="s">
        <v>56</v>
      </c>
      <c r="D6305" s="3" t="s">
        <v>68</v>
      </c>
      <c r="E6305" s="3" t="s">
        <v>100</v>
      </c>
      <c r="F6305" s="3" t="s">
        <v>1279</v>
      </c>
      <c r="G6305" s="7">
        <v>46199.38499868438</v>
      </c>
    </row>
    <row r="6306">
      <c r="A6306" s="3" t="s">
        <v>19418</v>
      </c>
      <c r="B6306" s="3" t="s">
        <v>685</v>
      </c>
      <c r="C6306" s="3" t="s">
        <v>1342</v>
      </c>
      <c r="D6306" s="3" t="s">
        <v>195</v>
      </c>
      <c r="E6306" s="3" t="s">
        <v>45</v>
      </c>
      <c r="F6306" s="3" t="s">
        <v>846</v>
      </c>
      <c r="G6306" s="7">
        <v>46199.4561735298</v>
      </c>
    </row>
    <row r="6307">
      <c r="A6307" s="3" t="s">
        <v>19421</v>
      </c>
      <c r="B6307" s="3" t="s">
        <v>383</v>
      </c>
      <c r="C6307" s="3" t="s">
        <v>56</v>
      </c>
      <c r="D6307" s="3" t="s">
        <v>181</v>
      </c>
      <c r="E6307" s="3" t="s">
        <v>45</v>
      </c>
      <c r="F6307" s="3" t="s">
        <v>45</v>
      </c>
      <c r="G6307" s="7">
        <v>46199.52734837521</v>
      </c>
    </row>
    <row r="6308">
      <c r="A6308" s="3" t="s">
        <v>19423</v>
      </c>
      <c r="B6308" s="3" t="s">
        <v>650</v>
      </c>
      <c r="C6308" s="3" t="s">
        <v>56</v>
      </c>
      <c r="D6308" s="3" t="s">
        <v>68</v>
      </c>
      <c r="E6308" s="3" t="s">
        <v>100</v>
      </c>
      <c r="F6308" s="3" t="s">
        <v>1281</v>
      </c>
      <c r="G6308" s="7">
        <v>46199.59852322063</v>
      </c>
    </row>
    <row r="6309">
      <c r="A6309" s="3" t="s">
        <v>19426</v>
      </c>
      <c r="B6309" s="3" t="s">
        <v>481</v>
      </c>
      <c r="C6309" s="3" t="s">
        <v>1342</v>
      </c>
      <c r="D6309" s="3" t="s">
        <v>68</v>
      </c>
      <c r="E6309" s="3" t="s">
        <v>100</v>
      </c>
      <c r="F6309" s="3" t="s">
        <v>483</v>
      </c>
      <c r="G6309" s="7">
        <v>46199.66969806604</v>
      </c>
    </row>
    <row r="6310">
      <c r="A6310" s="3" t="s">
        <v>19429</v>
      </c>
      <c r="B6310" s="3" t="s">
        <v>1011</v>
      </c>
      <c r="C6310" s="3" t="s">
        <v>1342</v>
      </c>
      <c r="D6310" s="3" t="s">
        <v>68</v>
      </c>
      <c r="E6310" s="3" t="s">
        <v>100</v>
      </c>
      <c r="F6310" s="3" t="s">
        <v>1329</v>
      </c>
      <c r="G6310" s="7">
        <v>46199.74087291146</v>
      </c>
    </row>
    <row r="6311">
      <c r="A6311" s="3" t="s">
        <v>19433</v>
      </c>
      <c r="B6311" s="3" t="s">
        <v>735</v>
      </c>
      <c r="C6311" s="3" t="s">
        <v>1342</v>
      </c>
      <c r="D6311" s="3" t="s">
        <v>68</v>
      </c>
      <c r="E6311" s="3" t="s">
        <v>100</v>
      </c>
      <c r="F6311" s="3" t="s">
        <v>1715</v>
      </c>
      <c r="G6311" s="7">
        <v>46199.81204775687</v>
      </c>
    </row>
    <row r="6312">
      <c r="A6312" s="3" t="s">
        <v>19436</v>
      </c>
      <c r="B6312" s="3" t="s">
        <v>299</v>
      </c>
      <c r="C6312" s="3" t="s">
        <v>1342</v>
      </c>
      <c r="D6312" s="3" t="s">
        <v>195</v>
      </c>
      <c r="E6312" s="3" t="s">
        <v>45</v>
      </c>
      <c r="F6312" s="3" t="s">
        <v>673</v>
      </c>
      <c r="G6312" s="7">
        <v>46199.883222602286</v>
      </c>
    </row>
    <row r="6313">
      <c r="A6313" s="3" t="s">
        <v>19440</v>
      </c>
      <c r="B6313" s="3" t="s">
        <v>446</v>
      </c>
      <c r="C6313" s="3" t="s">
        <v>56</v>
      </c>
      <c r="D6313" s="3" t="s">
        <v>68</v>
      </c>
      <c r="E6313" s="3" t="s">
        <v>100</v>
      </c>
      <c r="F6313" s="3" t="s">
        <v>1284</v>
      </c>
      <c r="G6313" s="7">
        <v>46199.954397447706</v>
      </c>
    </row>
    <row r="6314">
      <c r="A6314" s="3" t="s">
        <v>19445</v>
      </c>
      <c r="B6314" s="3" t="s">
        <v>239</v>
      </c>
      <c r="C6314" s="3" t="s">
        <v>1342</v>
      </c>
      <c r="D6314" s="3" t="s">
        <v>68</v>
      </c>
      <c r="E6314" s="3" t="s">
        <v>100</v>
      </c>
      <c r="F6314" s="3" t="s">
        <v>1083</v>
      </c>
      <c r="G6314" s="7">
        <v>46200.02557229312</v>
      </c>
    </row>
    <row r="6315">
      <c r="A6315" s="3" t="s">
        <v>19447</v>
      </c>
      <c r="B6315" s="3" t="s">
        <v>366</v>
      </c>
      <c r="C6315" s="3" t="s">
        <v>56</v>
      </c>
      <c r="D6315" s="3" t="s">
        <v>68</v>
      </c>
      <c r="E6315" s="3" t="s">
        <v>100</v>
      </c>
      <c r="F6315" s="3" t="s">
        <v>1286</v>
      </c>
      <c r="G6315" s="7">
        <v>46200.09674713853</v>
      </c>
    </row>
    <row r="6316">
      <c r="A6316" s="3" t="s">
        <v>19449</v>
      </c>
      <c r="B6316" s="3" t="s">
        <v>546</v>
      </c>
      <c r="C6316" s="3" t="s">
        <v>1095</v>
      </c>
      <c r="D6316" s="3" t="s">
        <v>68</v>
      </c>
      <c r="E6316" s="3" t="s">
        <v>100</v>
      </c>
      <c r="F6316" s="3" t="s">
        <v>1264</v>
      </c>
      <c r="G6316" s="7">
        <v>46200.16792198395</v>
      </c>
    </row>
    <row r="6317">
      <c r="A6317" s="3" t="s">
        <v>19451</v>
      </c>
      <c r="B6317" s="3" t="s">
        <v>652</v>
      </c>
      <c r="C6317" s="3" t="s">
        <v>1095</v>
      </c>
      <c r="D6317" s="3" t="s">
        <v>68</v>
      </c>
      <c r="E6317" s="3" t="s">
        <v>100</v>
      </c>
      <c r="F6317" s="3" t="s">
        <v>1064</v>
      </c>
      <c r="G6317" s="7">
        <v>46200.23909682936</v>
      </c>
    </row>
    <row r="6318">
      <c r="A6318" s="3" t="s">
        <v>19455</v>
      </c>
      <c r="B6318" s="3" t="s">
        <v>233</v>
      </c>
      <c r="C6318" s="3" t="s">
        <v>1342</v>
      </c>
      <c r="D6318" s="3" t="s">
        <v>68</v>
      </c>
      <c r="E6318" s="3" t="s">
        <v>100</v>
      </c>
      <c r="F6318" s="3" t="s">
        <v>1234</v>
      </c>
      <c r="G6318" s="7">
        <v>46200.310271674774</v>
      </c>
    </row>
    <row r="6319">
      <c r="A6319" s="3" t="s">
        <v>19458</v>
      </c>
      <c r="B6319" s="3" t="s">
        <v>302</v>
      </c>
      <c r="C6319" s="3" t="s">
        <v>56</v>
      </c>
      <c r="D6319" s="3" t="s">
        <v>68</v>
      </c>
      <c r="E6319" s="3" t="s">
        <v>100</v>
      </c>
      <c r="F6319" s="3" t="s">
        <v>1289</v>
      </c>
      <c r="G6319" s="7">
        <v>46200.381446520194</v>
      </c>
    </row>
    <row r="6320">
      <c r="A6320" s="3" t="s">
        <v>19461</v>
      </c>
      <c r="B6320" s="3" t="s">
        <v>601</v>
      </c>
      <c r="C6320" s="3" t="s">
        <v>1342</v>
      </c>
      <c r="D6320" s="3" t="s">
        <v>68</v>
      </c>
      <c r="E6320" s="3" t="s">
        <v>100</v>
      </c>
      <c r="F6320" s="3" t="s">
        <v>837</v>
      </c>
      <c r="G6320" s="7">
        <v>46200.45262136561</v>
      </c>
    </row>
    <row r="6321">
      <c r="A6321" s="3" t="s">
        <v>19464</v>
      </c>
      <c r="B6321" s="3" t="s">
        <v>949</v>
      </c>
      <c r="C6321" s="3" t="s">
        <v>1095</v>
      </c>
      <c r="D6321" s="3" t="s">
        <v>68</v>
      </c>
      <c r="E6321" s="3" t="s">
        <v>100</v>
      </c>
      <c r="F6321" s="3" t="s">
        <v>1276</v>
      </c>
      <c r="G6321" s="7">
        <v>46200.52379621102</v>
      </c>
    </row>
    <row r="6322">
      <c r="A6322" s="3" t="s">
        <v>19467</v>
      </c>
      <c r="B6322" s="3" t="s">
        <v>939</v>
      </c>
      <c r="C6322" s="3" t="s">
        <v>1342</v>
      </c>
      <c r="D6322" s="3" t="s">
        <v>68</v>
      </c>
      <c r="E6322" s="3" t="s">
        <v>100</v>
      </c>
      <c r="F6322" s="3" t="s">
        <v>1738</v>
      </c>
      <c r="G6322" s="7">
        <v>46200.59497105644</v>
      </c>
    </row>
    <row r="6323">
      <c r="A6323" s="3" t="s">
        <v>19471</v>
      </c>
      <c r="B6323" s="3" t="s">
        <v>934</v>
      </c>
      <c r="C6323" s="3" t="s">
        <v>1342</v>
      </c>
      <c r="D6323" s="3" t="s">
        <v>181</v>
      </c>
      <c r="E6323" s="3" t="s">
        <v>45</v>
      </c>
      <c r="F6323" s="3" t="s">
        <v>1498</v>
      </c>
      <c r="G6323" s="7">
        <v>46200.66614590185</v>
      </c>
    </row>
    <row r="6324">
      <c r="A6324" s="3" t="s">
        <v>19474</v>
      </c>
      <c r="B6324" s="3" t="s">
        <v>943</v>
      </c>
      <c r="C6324" s="3" t="s">
        <v>1342</v>
      </c>
      <c r="D6324" s="3" t="s">
        <v>68</v>
      </c>
      <c r="E6324" s="3" t="s">
        <v>100</v>
      </c>
      <c r="F6324" s="3" t="s">
        <v>1278</v>
      </c>
      <c r="G6324" s="7">
        <v>46200.73732074727</v>
      </c>
    </row>
    <row r="6325">
      <c r="A6325" s="3" t="s">
        <v>19477</v>
      </c>
      <c r="B6325" s="3" t="s">
        <v>424</v>
      </c>
      <c r="C6325" s="3" t="s">
        <v>56</v>
      </c>
      <c r="D6325" s="3" t="s">
        <v>68</v>
      </c>
      <c r="E6325" s="3" t="s">
        <v>100</v>
      </c>
      <c r="F6325" s="3" t="s">
        <v>1291</v>
      </c>
      <c r="G6325" s="7">
        <v>46200.80849559268</v>
      </c>
    </row>
    <row r="6326">
      <c r="A6326" s="3" t="s">
        <v>19480</v>
      </c>
      <c r="B6326" s="3" t="s">
        <v>330</v>
      </c>
      <c r="C6326" s="3" t="s">
        <v>1342</v>
      </c>
      <c r="D6326" s="3" t="s">
        <v>68</v>
      </c>
      <c r="E6326" s="3" t="s">
        <v>100</v>
      </c>
      <c r="F6326" s="3" t="s">
        <v>1587</v>
      </c>
      <c r="G6326" s="7">
        <v>46200.8796704381</v>
      </c>
    </row>
    <row r="6327">
      <c r="A6327" s="3" t="s">
        <v>19484</v>
      </c>
      <c r="B6327" s="3" t="s">
        <v>348</v>
      </c>
      <c r="C6327" s="3" t="s">
        <v>1095</v>
      </c>
      <c r="D6327" s="3" t="s">
        <v>68</v>
      </c>
      <c r="E6327" s="3" t="s">
        <v>100</v>
      </c>
      <c r="F6327" s="3" t="s">
        <v>1901</v>
      </c>
      <c r="G6327" s="7">
        <v>46200.95084528351</v>
      </c>
    </row>
    <row r="6328">
      <c r="A6328" s="3" t="s">
        <v>19487</v>
      </c>
      <c r="B6328" s="3" t="s">
        <v>665</v>
      </c>
      <c r="C6328" s="3" t="s">
        <v>56</v>
      </c>
      <c r="D6328" s="3" t="s">
        <v>68</v>
      </c>
      <c r="E6328" s="3" t="s">
        <v>100</v>
      </c>
      <c r="F6328" s="3" t="s">
        <v>1292</v>
      </c>
      <c r="G6328" s="7">
        <v>46201.02202012893</v>
      </c>
    </row>
    <row r="6329">
      <c r="A6329" s="3" t="s">
        <v>19491</v>
      </c>
      <c r="B6329" s="3" t="s">
        <v>256</v>
      </c>
      <c r="C6329" s="3" t="s">
        <v>1342</v>
      </c>
      <c r="D6329" s="3" t="s">
        <v>68</v>
      </c>
      <c r="E6329" s="3" t="s">
        <v>100</v>
      </c>
      <c r="F6329" s="3" t="s">
        <v>1506</v>
      </c>
      <c r="G6329" s="7">
        <v>46201.093194974346</v>
      </c>
    </row>
    <row r="6330">
      <c r="A6330" s="3" t="s">
        <v>19495</v>
      </c>
      <c r="B6330" s="3" t="s">
        <v>141</v>
      </c>
      <c r="C6330" s="3" t="s">
        <v>56</v>
      </c>
      <c r="D6330" s="3" t="s">
        <v>68</v>
      </c>
      <c r="E6330" s="3" t="s">
        <v>100</v>
      </c>
      <c r="F6330" s="3" t="s">
        <v>1295</v>
      </c>
      <c r="G6330" s="7">
        <v>46201.16436981976</v>
      </c>
    </row>
    <row r="6331">
      <c r="A6331" s="3" t="s">
        <v>19498</v>
      </c>
      <c r="B6331" s="3" t="s">
        <v>388</v>
      </c>
      <c r="C6331" s="3" t="s">
        <v>1342</v>
      </c>
      <c r="D6331" s="3" t="s">
        <v>68</v>
      </c>
      <c r="E6331" s="3" t="s">
        <v>100</v>
      </c>
      <c r="F6331" s="3" t="s">
        <v>1232</v>
      </c>
      <c r="G6331" s="7">
        <v>46201.23554466517</v>
      </c>
    </row>
    <row r="6332">
      <c r="A6332" s="3" t="s">
        <v>19500</v>
      </c>
      <c r="B6332" s="3" t="s">
        <v>1034</v>
      </c>
      <c r="C6332" s="3" t="s">
        <v>1342</v>
      </c>
      <c r="D6332" s="3" t="s">
        <v>181</v>
      </c>
      <c r="E6332" s="3" t="s">
        <v>45</v>
      </c>
      <c r="F6332" s="3" t="s">
        <v>950</v>
      </c>
      <c r="G6332" s="7">
        <v>46201.30671951059</v>
      </c>
    </row>
    <row r="6333">
      <c r="A6333" s="3" t="s">
        <v>19502</v>
      </c>
      <c r="B6333" s="3" t="s">
        <v>400</v>
      </c>
      <c r="C6333" s="3" t="s">
        <v>56</v>
      </c>
      <c r="D6333" s="3" t="s">
        <v>68</v>
      </c>
      <c r="E6333" s="3" t="s">
        <v>100</v>
      </c>
      <c r="F6333" s="3" t="s">
        <v>1297</v>
      </c>
      <c r="G6333" s="7">
        <v>46201.377894356</v>
      </c>
    </row>
    <row r="6334">
      <c r="A6334" s="3" t="s">
        <v>19504</v>
      </c>
      <c r="B6334" s="3" t="s">
        <v>290</v>
      </c>
      <c r="C6334" s="3" t="s">
        <v>1095</v>
      </c>
      <c r="D6334" s="3" t="s">
        <v>68</v>
      </c>
      <c r="E6334" s="3" t="s">
        <v>100</v>
      </c>
      <c r="F6334" s="3" t="s">
        <v>1356</v>
      </c>
      <c r="G6334" s="7">
        <v>46201.449069201415</v>
      </c>
    </row>
    <row r="6335">
      <c r="A6335" s="3" t="s">
        <v>19508</v>
      </c>
      <c r="B6335" s="3" t="s">
        <v>631</v>
      </c>
      <c r="C6335" s="3" t="s">
        <v>1342</v>
      </c>
      <c r="D6335" s="3" t="s">
        <v>68</v>
      </c>
      <c r="E6335" s="3" t="s">
        <v>100</v>
      </c>
      <c r="F6335" s="3" t="s">
        <v>1259</v>
      </c>
      <c r="G6335" s="7">
        <v>46201.520244046835</v>
      </c>
    </row>
    <row r="6336">
      <c r="A6336" s="3" t="s">
        <v>19512</v>
      </c>
      <c r="B6336" s="3" t="s">
        <v>682</v>
      </c>
      <c r="C6336" s="3" t="s">
        <v>56</v>
      </c>
      <c r="D6336" s="3" t="s">
        <v>68</v>
      </c>
      <c r="E6336" s="3" t="s">
        <v>100</v>
      </c>
      <c r="F6336" s="3" t="s">
        <v>1300</v>
      </c>
      <c r="G6336" s="7">
        <v>46201.591418892254</v>
      </c>
    </row>
    <row r="6337">
      <c r="A6337" s="3" t="s">
        <v>19515</v>
      </c>
      <c r="B6337" s="3" t="s">
        <v>678</v>
      </c>
      <c r="C6337" s="3" t="s">
        <v>1095</v>
      </c>
      <c r="D6337" s="3" t="s">
        <v>68</v>
      </c>
      <c r="E6337" s="3" t="s">
        <v>100</v>
      </c>
      <c r="F6337" s="3" t="s">
        <v>1455</v>
      </c>
      <c r="G6337" s="7">
        <v>46201.66259373766</v>
      </c>
    </row>
    <row r="6338">
      <c r="A6338" s="3" t="s">
        <v>19517</v>
      </c>
      <c r="B6338" s="3" t="s">
        <v>468</v>
      </c>
      <c r="C6338" s="3" t="s">
        <v>56</v>
      </c>
      <c r="D6338" s="3" t="s">
        <v>68</v>
      </c>
      <c r="E6338" s="3" t="s">
        <v>100</v>
      </c>
      <c r="F6338" s="3" t="s">
        <v>1302</v>
      </c>
      <c r="G6338" s="7">
        <v>46201.73376858308</v>
      </c>
    </row>
    <row r="6339">
      <c r="A6339" s="3" t="s">
        <v>19519</v>
      </c>
      <c r="B6339" s="3" t="s">
        <v>1001</v>
      </c>
      <c r="C6339" s="3" t="s">
        <v>1342</v>
      </c>
      <c r="D6339" s="3" t="s">
        <v>68</v>
      </c>
      <c r="E6339" s="3" t="s">
        <v>100</v>
      </c>
      <c r="F6339" s="3" t="s">
        <v>1094</v>
      </c>
      <c r="G6339" s="7">
        <v>46201.8049434285</v>
      </c>
    </row>
    <row r="6340">
      <c r="A6340" s="3" t="s">
        <v>19521</v>
      </c>
      <c r="B6340" s="3" t="s">
        <v>913</v>
      </c>
      <c r="C6340" s="3" t="s">
        <v>1095</v>
      </c>
      <c r="D6340" s="3" t="s">
        <v>68</v>
      </c>
      <c r="E6340" s="3" t="s">
        <v>100</v>
      </c>
      <c r="F6340" s="3" t="s">
        <v>1728</v>
      </c>
      <c r="G6340" s="7">
        <v>46201.87611827391</v>
      </c>
    </row>
    <row r="6341">
      <c r="A6341" s="3" t="s">
        <v>19524</v>
      </c>
      <c r="B6341" s="3" t="s">
        <v>183</v>
      </c>
      <c r="C6341" s="3" t="s">
        <v>56</v>
      </c>
      <c r="D6341" s="3" t="s">
        <v>68</v>
      </c>
      <c r="E6341" s="3" t="s">
        <v>100</v>
      </c>
      <c r="F6341" s="3" t="s">
        <v>1305</v>
      </c>
      <c r="G6341" s="7">
        <v>46201.94729311932</v>
      </c>
    </row>
    <row r="6342">
      <c r="A6342" s="3" t="s">
        <v>19526</v>
      </c>
      <c r="B6342" s="3" t="s">
        <v>947</v>
      </c>
      <c r="C6342" s="3" t="s">
        <v>1342</v>
      </c>
      <c r="D6342" s="3" t="s">
        <v>181</v>
      </c>
      <c r="E6342" s="3" t="s">
        <v>45</v>
      </c>
      <c r="F6342" s="3" t="s">
        <v>603</v>
      </c>
      <c r="G6342" s="7">
        <v>46202.01846796474</v>
      </c>
    </row>
    <row r="6343">
      <c r="A6343" s="3" t="s">
        <v>19528</v>
      </c>
      <c r="B6343" s="3" t="s">
        <v>501</v>
      </c>
      <c r="C6343" s="3" t="s">
        <v>1095</v>
      </c>
      <c r="D6343" s="3" t="s">
        <v>68</v>
      </c>
      <c r="E6343" s="3" t="s">
        <v>100</v>
      </c>
      <c r="F6343" s="3" t="s">
        <v>1187</v>
      </c>
      <c r="G6343" s="7">
        <v>46202.089642810155</v>
      </c>
    </row>
    <row r="6344">
      <c r="A6344" s="3" t="s">
        <v>19530</v>
      </c>
      <c r="B6344" s="3" t="s">
        <v>123</v>
      </c>
      <c r="C6344" s="3" t="s">
        <v>1342</v>
      </c>
      <c r="D6344" s="3" t="s">
        <v>68</v>
      </c>
      <c r="E6344" s="3" t="s">
        <v>100</v>
      </c>
      <c r="F6344" s="3" t="s">
        <v>1012</v>
      </c>
      <c r="G6344" s="7">
        <v>46202.16081765557</v>
      </c>
    </row>
    <row r="6345">
      <c r="A6345" s="3" t="s">
        <v>19532</v>
      </c>
      <c r="B6345" s="3" t="s">
        <v>698</v>
      </c>
      <c r="C6345" s="3" t="s">
        <v>56</v>
      </c>
      <c r="D6345" s="3" t="s">
        <v>68</v>
      </c>
      <c r="E6345" s="3" t="s">
        <v>100</v>
      </c>
      <c r="F6345" s="3" t="s">
        <v>1307</v>
      </c>
      <c r="G6345" s="7">
        <v>46202.23199250099</v>
      </c>
    </row>
    <row r="6346">
      <c r="A6346" s="3" t="s">
        <v>19534</v>
      </c>
      <c r="B6346" s="3" t="s">
        <v>934</v>
      </c>
      <c r="C6346" s="3" t="s">
        <v>1342</v>
      </c>
      <c r="D6346" s="3" t="s">
        <v>68</v>
      </c>
      <c r="E6346" s="3" t="s">
        <v>100</v>
      </c>
      <c r="F6346" s="3" t="s">
        <v>1498</v>
      </c>
      <c r="G6346" s="7">
        <v>46202.3031673464</v>
      </c>
    </row>
    <row r="6347">
      <c r="A6347" s="3" t="s">
        <v>19537</v>
      </c>
      <c r="B6347" s="3" t="s">
        <v>356</v>
      </c>
      <c r="C6347" s="3" t="s">
        <v>1342</v>
      </c>
      <c r="D6347" s="3" t="s">
        <v>68</v>
      </c>
      <c r="E6347" s="3" t="s">
        <v>100</v>
      </c>
      <c r="F6347" s="3" t="s">
        <v>1140</v>
      </c>
      <c r="G6347" s="7">
        <v>46202.37434219181</v>
      </c>
    </row>
    <row r="6348">
      <c r="A6348" s="3" t="s">
        <v>19539</v>
      </c>
      <c r="B6348" s="3" t="s">
        <v>800</v>
      </c>
      <c r="C6348" s="3" t="s">
        <v>1095</v>
      </c>
      <c r="D6348" s="3" t="s">
        <v>68</v>
      </c>
      <c r="E6348" s="3" t="s">
        <v>100</v>
      </c>
      <c r="F6348" s="3" t="s">
        <v>633</v>
      </c>
      <c r="G6348" s="7">
        <v>46202.44551703723</v>
      </c>
    </row>
    <row r="6349">
      <c r="A6349" s="3" t="s">
        <v>19541</v>
      </c>
      <c r="B6349" s="3" t="s">
        <v>622</v>
      </c>
      <c r="C6349" s="3" t="s">
        <v>56</v>
      </c>
      <c r="D6349" s="3" t="s">
        <v>68</v>
      </c>
      <c r="E6349" s="3" t="s">
        <v>100</v>
      </c>
      <c r="F6349" s="3" t="s">
        <v>1310</v>
      </c>
      <c r="G6349" s="7">
        <v>46202.51669188264</v>
      </c>
    </row>
    <row r="6350">
      <c r="A6350" s="3" t="s">
        <v>19545</v>
      </c>
      <c r="B6350" s="3" t="s">
        <v>883</v>
      </c>
      <c r="C6350" s="3" t="s">
        <v>1342</v>
      </c>
      <c r="D6350" s="3" t="s">
        <v>68</v>
      </c>
      <c r="E6350" s="3" t="s">
        <v>100</v>
      </c>
      <c r="F6350" s="3" t="s">
        <v>1125</v>
      </c>
      <c r="G6350" s="7">
        <v>46202.587866728056</v>
      </c>
    </row>
    <row r="6351">
      <c r="A6351" s="3" t="s">
        <v>19548</v>
      </c>
      <c r="B6351" s="3" t="s">
        <v>130</v>
      </c>
      <c r="C6351" s="3" t="s">
        <v>1095</v>
      </c>
      <c r="D6351" s="3" t="s">
        <v>68</v>
      </c>
      <c r="E6351" s="3" t="s">
        <v>100</v>
      </c>
      <c r="F6351" s="3" t="s">
        <v>1131</v>
      </c>
      <c r="G6351" s="7">
        <v>46202.659041573475</v>
      </c>
    </row>
    <row r="6352">
      <c r="A6352" s="3" t="s">
        <v>19552</v>
      </c>
      <c r="B6352" s="3" t="s">
        <v>168</v>
      </c>
      <c r="C6352" s="3" t="s">
        <v>1095</v>
      </c>
      <c r="D6352" s="3" t="s">
        <v>181</v>
      </c>
      <c r="E6352" s="3" t="s">
        <v>45</v>
      </c>
      <c r="F6352" s="3" t="s">
        <v>1979</v>
      </c>
      <c r="G6352" s="7">
        <v>46202.730216418895</v>
      </c>
    </row>
    <row r="6353">
      <c r="A6353" s="3" t="s">
        <v>19555</v>
      </c>
      <c r="B6353" s="3" t="s">
        <v>165</v>
      </c>
      <c r="C6353" s="3" t="s">
        <v>1095</v>
      </c>
      <c r="D6353" s="3" t="s">
        <v>68</v>
      </c>
      <c r="E6353" s="3" t="s">
        <v>100</v>
      </c>
      <c r="F6353" s="3" t="s">
        <v>1319</v>
      </c>
      <c r="G6353" s="7">
        <v>46202.8013912643</v>
      </c>
    </row>
    <row r="6354">
      <c r="A6354" s="3" t="s">
        <v>19558</v>
      </c>
      <c r="B6354" s="3" t="s">
        <v>561</v>
      </c>
      <c r="C6354" s="3" t="s">
        <v>1342</v>
      </c>
      <c r="D6354" s="3" t="s">
        <v>68</v>
      </c>
      <c r="E6354" s="3" t="s">
        <v>100</v>
      </c>
      <c r="F6354" s="3" t="s">
        <v>1019</v>
      </c>
      <c r="G6354" s="7">
        <v>46202.87256610972</v>
      </c>
    </row>
    <row r="6355">
      <c r="A6355" s="3" t="s">
        <v>19562</v>
      </c>
      <c r="B6355" s="3" t="s">
        <v>224</v>
      </c>
      <c r="C6355" s="3" t="s">
        <v>1342</v>
      </c>
      <c r="D6355" s="3" t="s">
        <v>68</v>
      </c>
      <c r="E6355" s="3" t="s">
        <v>100</v>
      </c>
      <c r="F6355" s="3" t="s">
        <v>1751</v>
      </c>
      <c r="G6355" s="7">
        <v>46202.94374095514</v>
      </c>
    </row>
    <row r="6356">
      <c r="A6356" s="3" t="s">
        <v>19564</v>
      </c>
      <c r="B6356" s="3" t="s">
        <v>544</v>
      </c>
      <c r="C6356" s="3" t="s">
        <v>56</v>
      </c>
      <c r="D6356" s="3" t="s">
        <v>68</v>
      </c>
      <c r="E6356" s="3" t="s">
        <v>100</v>
      </c>
      <c r="F6356" s="3" t="s">
        <v>1313</v>
      </c>
      <c r="G6356" s="7">
        <v>46203.01491580055</v>
      </c>
    </row>
    <row r="6357">
      <c r="A6357" s="3" t="s">
        <v>19567</v>
      </c>
      <c r="B6357" s="3" t="s">
        <v>640</v>
      </c>
      <c r="C6357" s="3" t="s">
        <v>56</v>
      </c>
      <c r="D6357" s="3" t="s">
        <v>68</v>
      </c>
      <c r="E6357" s="3" t="s">
        <v>100</v>
      </c>
      <c r="F6357" s="3" t="s">
        <v>1315</v>
      </c>
      <c r="G6357" s="7">
        <v>46203.086090645964</v>
      </c>
    </row>
    <row r="6358">
      <c r="A6358" s="3" t="s">
        <v>19569</v>
      </c>
      <c r="B6358" s="3" t="s">
        <v>702</v>
      </c>
      <c r="C6358" s="3" t="s">
        <v>1342</v>
      </c>
      <c r="D6358" s="3" t="s">
        <v>68</v>
      </c>
      <c r="E6358" s="3" t="s">
        <v>100</v>
      </c>
      <c r="F6358" s="3" t="s">
        <v>1617</v>
      </c>
      <c r="G6358" s="7">
        <v>46203.15726549138</v>
      </c>
    </row>
    <row r="6359">
      <c r="A6359" s="3" t="s">
        <v>19571</v>
      </c>
      <c r="B6359" s="3" t="s">
        <v>502</v>
      </c>
      <c r="C6359" s="3" t="s">
        <v>56</v>
      </c>
      <c r="D6359" s="3" t="s">
        <v>68</v>
      </c>
      <c r="E6359" s="3" t="s">
        <v>100</v>
      </c>
      <c r="F6359" s="3" t="s">
        <v>1318</v>
      </c>
      <c r="G6359" s="7">
        <v>46203.228440336796</v>
      </c>
    </row>
    <row r="6360">
      <c r="A6360" s="3" t="s">
        <v>19573</v>
      </c>
      <c r="B6360" s="3" t="s">
        <v>998</v>
      </c>
      <c r="C6360" s="3" t="s">
        <v>1095</v>
      </c>
      <c r="D6360" s="3" t="s">
        <v>68</v>
      </c>
      <c r="E6360" s="3" t="s">
        <v>100</v>
      </c>
      <c r="F6360" s="3" t="s">
        <v>1651</v>
      </c>
      <c r="G6360" s="7">
        <v>46203.29961518221</v>
      </c>
    </row>
    <row r="6361">
      <c r="A6361" s="3" t="s">
        <v>19575</v>
      </c>
      <c r="B6361" s="3" t="s">
        <v>920</v>
      </c>
      <c r="C6361" s="3" t="s">
        <v>1342</v>
      </c>
      <c r="D6361" s="3" t="s">
        <v>68</v>
      </c>
      <c r="E6361" s="3" t="s">
        <v>100</v>
      </c>
      <c r="F6361" s="3" t="s">
        <v>1968</v>
      </c>
      <c r="G6361" s="7">
        <v>46203.37079002763</v>
      </c>
    </row>
    <row r="6362">
      <c r="A6362" s="3" t="s">
        <v>19577</v>
      </c>
      <c r="B6362" s="3" t="s">
        <v>406</v>
      </c>
      <c r="C6362" s="3" t="s">
        <v>1342</v>
      </c>
      <c r="D6362" s="3" t="s">
        <v>68</v>
      </c>
      <c r="E6362" s="3" t="s">
        <v>100</v>
      </c>
      <c r="F6362" s="3" t="s">
        <v>1755</v>
      </c>
      <c r="G6362" s="7">
        <v>46203.44196487304</v>
      </c>
    </row>
    <row r="6363">
      <c r="A6363" s="3" t="s">
        <v>19580</v>
      </c>
      <c r="B6363" s="3" t="s">
        <v>296</v>
      </c>
      <c r="C6363" s="3" t="s">
        <v>1342</v>
      </c>
      <c r="D6363" s="3" t="s">
        <v>68</v>
      </c>
      <c r="E6363" s="3" t="s">
        <v>100</v>
      </c>
      <c r="F6363" s="3" t="s">
        <v>1932</v>
      </c>
      <c r="G6363" s="7">
        <v>46203.51313971845</v>
      </c>
    </row>
    <row r="6364">
      <c r="A6364" s="3" t="s">
        <v>19582</v>
      </c>
      <c r="B6364" s="3" t="s">
        <v>502</v>
      </c>
      <c r="C6364" s="3" t="s">
        <v>1342</v>
      </c>
      <c r="D6364" s="3" t="s">
        <v>68</v>
      </c>
      <c r="E6364" s="3" t="s">
        <v>100</v>
      </c>
      <c r="F6364" s="3" t="s">
        <v>1318</v>
      </c>
      <c r="G6364" s="7">
        <v>46203.58431456387</v>
      </c>
    </row>
    <row r="6365">
      <c r="A6365" s="3" t="s">
        <v>19585</v>
      </c>
      <c r="B6365" s="3" t="s">
        <v>197</v>
      </c>
      <c r="C6365" s="3" t="s">
        <v>1095</v>
      </c>
      <c r="D6365" s="3" t="s">
        <v>68</v>
      </c>
      <c r="E6365" s="3" t="s">
        <v>100</v>
      </c>
      <c r="F6365" s="3" t="s">
        <v>1143</v>
      </c>
      <c r="G6365" s="7">
        <v>46203.655489409284</v>
      </c>
    </row>
    <row r="6366">
      <c r="A6366" s="3" t="s">
        <v>19588</v>
      </c>
      <c r="B6366" s="3" t="s">
        <v>256</v>
      </c>
      <c r="C6366" s="3" t="s">
        <v>1342</v>
      </c>
      <c r="D6366" s="3" t="s">
        <v>68</v>
      </c>
      <c r="E6366" s="3" t="s">
        <v>100</v>
      </c>
      <c r="F6366" s="3" t="s">
        <v>1506</v>
      </c>
      <c r="G6366" s="7">
        <v>46203.7266642547</v>
      </c>
    </row>
    <row r="6367">
      <c r="A6367" s="3" t="s">
        <v>19592</v>
      </c>
      <c r="B6367" s="3" t="s">
        <v>713</v>
      </c>
      <c r="C6367" s="3" t="s">
        <v>1342</v>
      </c>
      <c r="D6367" s="3" t="s">
        <v>68</v>
      </c>
      <c r="E6367" s="3" t="s">
        <v>100</v>
      </c>
      <c r="F6367" s="3" t="s">
        <v>728</v>
      </c>
      <c r="G6367" s="7">
        <v>46203.797839100116</v>
      </c>
    </row>
    <row r="6368">
      <c r="A6368" s="3" t="s">
        <v>19594</v>
      </c>
      <c r="B6368" s="3" t="s">
        <v>722</v>
      </c>
      <c r="C6368" s="3" t="s">
        <v>56</v>
      </c>
      <c r="D6368" s="3" t="s">
        <v>68</v>
      </c>
      <c r="E6368" s="3" t="s">
        <v>100</v>
      </c>
      <c r="F6368" s="3" t="s">
        <v>1319</v>
      </c>
      <c r="G6368" s="7">
        <v>46203.869013945536</v>
      </c>
    </row>
    <row r="6369">
      <c r="A6369" s="3" t="s">
        <v>19597</v>
      </c>
      <c r="B6369" s="3" t="s">
        <v>546</v>
      </c>
      <c r="C6369" s="3" t="s">
        <v>56</v>
      </c>
      <c r="D6369" s="3" t="s">
        <v>68</v>
      </c>
      <c r="E6369" s="3" t="s">
        <v>100</v>
      </c>
      <c r="F6369" s="3" t="s">
        <v>1322</v>
      </c>
      <c r="G6369" s="7">
        <v>46203.94018879094</v>
      </c>
    </row>
    <row r="6370">
      <c r="A6370" s="3" t="s">
        <v>19599</v>
      </c>
      <c r="B6370" s="3" t="s">
        <v>841</v>
      </c>
      <c r="C6370" s="3" t="s">
        <v>56</v>
      </c>
      <c r="D6370" s="3" t="s">
        <v>68</v>
      </c>
      <c r="E6370" s="3" t="s">
        <v>100</v>
      </c>
      <c r="F6370" s="3" t="s">
        <v>1327</v>
      </c>
      <c r="G6370" s="7">
        <v>46204.01136363636</v>
      </c>
    </row>
    <row r="6371">
      <c r="A6371" s="3" t="s">
        <v>19601</v>
      </c>
      <c r="B6371" s="3" t="s">
        <v>631</v>
      </c>
      <c r="C6371" s="3" t="s">
        <v>1095</v>
      </c>
      <c r="D6371" s="3" t="s">
        <v>68</v>
      </c>
      <c r="E6371" s="3" t="s">
        <v>100</v>
      </c>
      <c r="F6371" s="3" t="s">
        <v>1259</v>
      </c>
      <c r="G6371" s="7">
        <v>46204.08253848178</v>
      </c>
    </row>
    <row r="6372">
      <c r="A6372" s="3" t="s">
        <v>19604</v>
      </c>
      <c r="B6372" s="3" t="s">
        <v>352</v>
      </c>
      <c r="C6372" s="3" t="s">
        <v>56</v>
      </c>
      <c r="D6372" s="3" t="s">
        <v>68</v>
      </c>
      <c r="E6372" s="3" t="s">
        <v>100</v>
      </c>
      <c r="F6372" s="3" t="s">
        <v>1333</v>
      </c>
      <c r="G6372" s="7">
        <v>46204.15371332719</v>
      </c>
    </row>
    <row r="6373">
      <c r="A6373" s="3" t="s">
        <v>19608</v>
      </c>
      <c r="B6373" s="3" t="s">
        <v>822</v>
      </c>
      <c r="C6373" s="3" t="s">
        <v>1095</v>
      </c>
      <c r="D6373" s="3" t="s">
        <v>68</v>
      </c>
      <c r="E6373" s="3" t="s">
        <v>100</v>
      </c>
      <c r="F6373" s="3" t="s">
        <v>1552</v>
      </c>
      <c r="G6373" s="7">
        <v>46204.224888172605</v>
      </c>
    </row>
    <row r="6374">
      <c r="A6374" s="3" t="s">
        <v>19612</v>
      </c>
      <c r="B6374" s="3" t="s">
        <v>462</v>
      </c>
      <c r="C6374" s="3" t="s">
        <v>1342</v>
      </c>
      <c r="D6374" s="3" t="s">
        <v>68</v>
      </c>
      <c r="E6374" s="3" t="s">
        <v>100</v>
      </c>
      <c r="F6374" s="3" t="s">
        <v>1179</v>
      </c>
      <c r="G6374" s="7">
        <v>46204.296063018024</v>
      </c>
    </row>
    <row r="6375">
      <c r="A6375" s="3" t="s">
        <v>19615</v>
      </c>
      <c r="B6375" s="3" t="s">
        <v>619</v>
      </c>
      <c r="C6375" s="3" t="s">
        <v>1342</v>
      </c>
      <c r="D6375" s="3" t="s">
        <v>68</v>
      </c>
      <c r="E6375" s="3" t="s">
        <v>100</v>
      </c>
      <c r="F6375" s="3" t="s">
        <v>1242</v>
      </c>
      <c r="G6375" s="7">
        <v>46204.36723786344</v>
      </c>
    </row>
    <row r="6376">
      <c r="A6376" s="3" t="s">
        <v>19618</v>
      </c>
      <c r="B6376" s="3" t="s">
        <v>243</v>
      </c>
      <c r="C6376" s="3" t="s">
        <v>1342</v>
      </c>
      <c r="D6376" s="3" t="s">
        <v>68</v>
      </c>
      <c r="E6376" s="3" t="s">
        <v>100</v>
      </c>
      <c r="F6376" s="3" t="s">
        <v>1251</v>
      </c>
      <c r="G6376" s="7">
        <v>46204.43841270885</v>
      </c>
    </row>
    <row r="6377">
      <c r="A6377" s="3" t="s">
        <v>19621</v>
      </c>
      <c r="B6377" s="3" t="s">
        <v>197</v>
      </c>
      <c r="C6377" s="3" t="s">
        <v>56</v>
      </c>
      <c r="D6377" s="3" t="s">
        <v>68</v>
      </c>
      <c r="E6377" s="3" t="s">
        <v>100</v>
      </c>
      <c r="F6377" s="3" t="s">
        <v>1335</v>
      </c>
      <c r="G6377" s="7">
        <v>46204.50958755427</v>
      </c>
    </row>
    <row r="6378">
      <c r="A6378" s="3" t="s">
        <v>19624</v>
      </c>
      <c r="B6378" s="3" t="s">
        <v>307</v>
      </c>
      <c r="C6378" s="3" t="s">
        <v>56</v>
      </c>
      <c r="D6378" s="3" t="s">
        <v>68</v>
      </c>
      <c r="E6378" s="3" t="s">
        <v>100</v>
      </c>
      <c r="F6378" s="3" t="s">
        <v>1338</v>
      </c>
      <c r="G6378" s="7">
        <v>46204.58076239968</v>
      </c>
    </row>
    <row r="6379">
      <c r="A6379" s="3" t="s">
        <v>19629</v>
      </c>
      <c r="B6379" s="3" t="s">
        <v>485</v>
      </c>
      <c r="C6379" s="3" t="s">
        <v>1342</v>
      </c>
      <c r="D6379" s="3" t="s">
        <v>68</v>
      </c>
      <c r="E6379" s="3" t="s">
        <v>100</v>
      </c>
      <c r="F6379" s="3" t="s">
        <v>1076</v>
      </c>
      <c r="G6379" s="7">
        <v>46204.65193724509</v>
      </c>
    </row>
    <row r="6380">
      <c r="A6380" s="3" t="s">
        <v>19632</v>
      </c>
      <c r="B6380" s="3" t="s">
        <v>226</v>
      </c>
      <c r="C6380" s="3" t="s">
        <v>1342</v>
      </c>
      <c r="D6380" s="3" t="s">
        <v>181</v>
      </c>
      <c r="E6380" s="3" t="s">
        <v>45</v>
      </c>
      <c r="F6380" s="3" t="s">
        <v>1214</v>
      </c>
      <c r="G6380" s="7">
        <v>46204.72311209051</v>
      </c>
    </row>
    <row r="6381">
      <c r="A6381" s="3" t="s">
        <v>19635</v>
      </c>
      <c r="B6381" s="3" t="s">
        <v>758</v>
      </c>
      <c r="C6381" s="3" t="s">
        <v>1095</v>
      </c>
      <c r="D6381" s="3" t="s">
        <v>68</v>
      </c>
      <c r="E6381" s="3" t="s">
        <v>100</v>
      </c>
      <c r="F6381" s="3" t="s">
        <v>1218</v>
      </c>
      <c r="G6381" s="7">
        <v>46204.79428693593</v>
      </c>
    </row>
    <row r="6382">
      <c r="A6382" s="3" t="s">
        <v>19638</v>
      </c>
      <c r="B6382" s="3" t="s">
        <v>708</v>
      </c>
      <c r="C6382" s="3" t="s">
        <v>56</v>
      </c>
      <c r="D6382" s="3" t="s">
        <v>68</v>
      </c>
      <c r="E6382" s="3" t="s">
        <v>100</v>
      </c>
      <c r="F6382" s="3" t="s">
        <v>1341</v>
      </c>
      <c r="G6382" s="7">
        <v>46204.86546178134</v>
      </c>
    </row>
    <row r="6383">
      <c r="A6383" s="3" t="s">
        <v>19642</v>
      </c>
      <c r="B6383" s="3" t="s">
        <v>430</v>
      </c>
      <c r="C6383" s="3" t="s">
        <v>56</v>
      </c>
      <c r="D6383" s="3" t="s">
        <v>68</v>
      </c>
      <c r="E6383" s="3" t="s">
        <v>100</v>
      </c>
      <c r="F6383" s="3" t="s">
        <v>1343</v>
      </c>
      <c r="G6383" s="7">
        <v>46204.93663662676</v>
      </c>
    </row>
    <row r="6384">
      <c r="A6384" s="3" t="s">
        <v>19646</v>
      </c>
      <c r="B6384" s="3" t="s">
        <v>650</v>
      </c>
      <c r="C6384" s="3" t="s">
        <v>1342</v>
      </c>
      <c r="D6384" s="3" t="s">
        <v>68</v>
      </c>
      <c r="E6384" s="3" t="s">
        <v>100</v>
      </c>
      <c r="F6384" s="3" t="s">
        <v>1281</v>
      </c>
      <c r="G6384" s="7">
        <v>46205.00781147218</v>
      </c>
    </row>
    <row r="6385">
      <c r="A6385" s="3" t="s">
        <v>19649</v>
      </c>
      <c r="B6385" s="3" t="s">
        <v>561</v>
      </c>
      <c r="C6385" s="3" t="s">
        <v>1095</v>
      </c>
      <c r="D6385" s="3" t="s">
        <v>68</v>
      </c>
      <c r="E6385" s="3" t="s">
        <v>100</v>
      </c>
      <c r="F6385" s="3" t="s">
        <v>1019</v>
      </c>
      <c r="G6385" s="7">
        <v>46205.07898631759</v>
      </c>
    </row>
    <row r="6386">
      <c r="A6386" s="3" t="s">
        <v>19652</v>
      </c>
      <c r="B6386" s="3" t="s">
        <v>219</v>
      </c>
      <c r="C6386" s="3" t="s">
        <v>56</v>
      </c>
      <c r="D6386" s="3" t="s">
        <v>68</v>
      </c>
      <c r="E6386" s="3" t="s">
        <v>100</v>
      </c>
      <c r="F6386" s="3" t="s">
        <v>1348</v>
      </c>
      <c r="G6386" s="7">
        <v>46205.150161163</v>
      </c>
    </row>
    <row r="6387">
      <c r="A6387" s="3" t="s">
        <v>19655</v>
      </c>
      <c r="B6387" s="3" t="s">
        <v>694</v>
      </c>
      <c r="C6387" s="3" t="s">
        <v>1095</v>
      </c>
      <c r="D6387" s="3" t="s">
        <v>195</v>
      </c>
      <c r="E6387" s="3" t="s">
        <v>45</v>
      </c>
      <c r="F6387" s="3" t="s">
        <v>919</v>
      </c>
      <c r="G6387" s="7">
        <v>46205.22133600842</v>
      </c>
    </row>
    <row r="6388">
      <c r="A6388" s="3" t="s">
        <v>19659</v>
      </c>
      <c r="B6388" s="3" t="s">
        <v>598</v>
      </c>
      <c r="C6388" s="3" t="s">
        <v>1342</v>
      </c>
      <c r="D6388" s="3" t="s">
        <v>68</v>
      </c>
      <c r="E6388" s="3" t="s">
        <v>100</v>
      </c>
      <c r="F6388" s="3" t="s">
        <v>1055</v>
      </c>
      <c r="G6388" s="7">
        <v>46205.29251085383</v>
      </c>
    </row>
    <row r="6389">
      <c r="A6389" s="3" t="s">
        <v>19663</v>
      </c>
      <c r="B6389" s="3" t="s">
        <v>819</v>
      </c>
      <c r="C6389" s="3" t="s">
        <v>56</v>
      </c>
      <c r="D6389" s="3" t="s">
        <v>68</v>
      </c>
      <c r="E6389" s="3" t="s">
        <v>100</v>
      </c>
      <c r="F6389" s="3" t="s">
        <v>1351</v>
      </c>
      <c r="G6389" s="7">
        <v>46205.363685699245</v>
      </c>
    </row>
    <row r="6390">
      <c r="A6390" s="3" t="s">
        <v>19666</v>
      </c>
      <c r="B6390" s="3" t="s">
        <v>615</v>
      </c>
      <c r="C6390" s="3" t="s">
        <v>1342</v>
      </c>
      <c r="D6390" s="3" t="s">
        <v>68</v>
      </c>
      <c r="E6390" s="3" t="s">
        <v>100</v>
      </c>
      <c r="F6390" s="3" t="s">
        <v>611</v>
      </c>
      <c r="G6390" s="7">
        <v>46205.434860544665</v>
      </c>
    </row>
    <row r="6391">
      <c r="A6391" s="3" t="s">
        <v>19669</v>
      </c>
      <c r="B6391" s="3" t="s">
        <v>574</v>
      </c>
      <c r="C6391" s="3" t="s">
        <v>56</v>
      </c>
      <c r="D6391" s="3" t="s">
        <v>68</v>
      </c>
      <c r="E6391" s="3" t="s">
        <v>100</v>
      </c>
      <c r="F6391" s="3" t="s">
        <v>1354</v>
      </c>
      <c r="G6391" s="7">
        <v>46205.50603539008</v>
      </c>
    </row>
    <row r="6392">
      <c r="A6392" s="3" t="s">
        <v>19673</v>
      </c>
      <c r="B6392" s="3" t="s">
        <v>657</v>
      </c>
      <c r="C6392" s="3" t="s">
        <v>56</v>
      </c>
      <c r="D6392" s="3" t="s">
        <v>68</v>
      </c>
      <c r="E6392" s="3" t="s">
        <v>100</v>
      </c>
      <c r="F6392" s="3" t="s">
        <v>1356</v>
      </c>
      <c r="G6392" s="7">
        <v>46205.57721023549</v>
      </c>
    </row>
    <row r="6393">
      <c r="A6393" s="3" t="s">
        <v>19676</v>
      </c>
      <c r="B6393" s="3" t="s">
        <v>845</v>
      </c>
      <c r="C6393" s="3" t="s">
        <v>1095</v>
      </c>
      <c r="D6393" s="3" t="s">
        <v>68</v>
      </c>
      <c r="E6393" s="3" t="s">
        <v>100</v>
      </c>
      <c r="F6393" s="3" t="s">
        <v>738</v>
      </c>
      <c r="G6393" s="7">
        <v>46205.64838508091</v>
      </c>
    </row>
    <row r="6394">
      <c r="A6394" s="3" t="s">
        <v>19679</v>
      </c>
      <c r="B6394" s="3" t="s">
        <v>860</v>
      </c>
      <c r="C6394" s="3" t="s">
        <v>1342</v>
      </c>
      <c r="D6394" s="3" t="s">
        <v>68</v>
      </c>
      <c r="E6394" s="3" t="s">
        <v>100</v>
      </c>
      <c r="F6394" s="3" t="s">
        <v>1168</v>
      </c>
      <c r="G6394" s="7">
        <v>46205.71955992632</v>
      </c>
    </row>
    <row r="6395">
      <c r="A6395" s="3" t="s">
        <v>19683</v>
      </c>
      <c r="B6395" s="3" t="s">
        <v>505</v>
      </c>
      <c r="C6395" s="3" t="s">
        <v>1342</v>
      </c>
      <c r="D6395" s="3" t="s">
        <v>68</v>
      </c>
      <c r="E6395" s="3" t="s">
        <v>100</v>
      </c>
      <c r="F6395" s="3" t="s">
        <v>991</v>
      </c>
      <c r="G6395" s="7">
        <v>46205.790734771734</v>
      </c>
    </row>
    <row r="6396">
      <c r="A6396" s="3" t="s">
        <v>19686</v>
      </c>
      <c r="B6396" s="3" t="s">
        <v>544</v>
      </c>
      <c r="C6396" s="3" t="s">
        <v>1095</v>
      </c>
      <c r="D6396" s="3" t="s">
        <v>68</v>
      </c>
      <c r="E6396" s="3" t="s">
        <v>100</v>
      </c>
      <c r="F6396" s="3" t="s">
        <v>1313</v>
      </c>
      <c r="G6396" s="7">
        <v>46205.86190961715</v>
      </c>
    </row>
    <row r="6397">
      <c r="A6397" s="3" t="s">
        <v>19689</v>
      </c>
      <c r="B6397" s="3" t="s">
        <v>488</v>
      </c>
      <c r="C6397" s="3" t="s">
        <v>1342</v>
      </c>
      <c r="D6397" s="3" t="s">
        <v>68</v>
      </c>
      <c r="E6397" s="3" t="s">
        <v>100</v>
      </c>
      <c r="F6397" s="3" t="s">
        <v>1148</v>
      </c>
      <c r="G6397" s="7">
        <v>46205.93308446257</v>
      </c>
    </row>
    <row r="6398">
      <c r="A6398" s="3" t="s">
        <v>19692</v>
      </c>
      <c r="B6398" s="3" t="s">
        <v>366</v>
      </c>
      <c r="C6398" s="3" t="s">
        <v>1342</v>
      </c>
      <c r="D6398" s="3" t="s">
        <v>68</v>
      </c>
      <c r="E6398" s="3" t="s">
        <v>100</v>
      </c>
      <c r="F6398" s="3" t="s">
        <v>1286</v>
      </c>
      <c r="G6398" s="7">
        <v>46206.00425930798</v>
      </c>
    </row>
    <row r="6399">
      <c r="A6399" s="3" t="s">
        <v>19696</v>
      </c>
      <c r="B6399" s="3" t="s">
        <v>148</v>
      </c>
      <c r="C6399" s="3" t="s">
        <v>1342</v>
      </c>
      <c r="D6399" s="3" t="s">
        <v>68</v>
      </c>
      <c r="E6399" s="3" t="s">
        <v>100</v>
      </c>
      <c r="F6399" s="3" t="s">
        <v>1939</v>
      </c>
      <c r="G6399" s="7">
        <v>46206.0754341534</v>
      </c>
    </row>
    <row r="6400">
      <c r="A6400" s="3" t="s">
        <v>19699</v>
      </c>
      <c r="B6400" s="3" t="s">
        <v>822</v>
      </c>
      <c r="C6400" s="3" t="s">
        <v>56</v>
      </c>
      <c r="D6400" s="3" t="s">
        <v>68</v>
      </c>
      <c r="E6400" s="3" t="s">
        <v>100</v>
      </c>
      <c r="F6400" s="3" t="s">
        <v>1358</v>
      </c>
      <c r="G6400" s="7">
        <v>46206.14660899882</v>
      </c>
    </row>
    <row r="6401">
      <c r="A6401" s="3" t="s">
        <v>19701</v>
      </c>
      <c r="B6401" s="3" t="s">
        <v>1043</v>
      </c>
      <c r="C6401" s="3" t="s">
        <v>1095</v>
      </c>
      <c r="D6401" s="3" t="s">
        <v>68</v>
      </c>
      <c r="E6401" s="3" t="s">
        <v>100</v>
      </c>
      <c r="F6401" s="3" t="s">
        <v>1605</v>
      </c>
      <c r="G6401" s="7">
        <v>46206.21778384423</v>
      </c>
    </row>
    <row r="6402">
      <c r="A6402" s="3" t="s">
        <v>19704</v>
      </c>
      <c r="B6402" s="3" t="s">
        <v>760</v>
      </c>
      <c r="C6402" s="3" t="s">
        <v>1095</v>
      </c>
      <c r="D6402" s="3" t="s">
        <v>68</v>
      </c>
      <c r="E6402" s="3" t="s">
        <v>100</v>
      </c>
      <c r="F6402" s="3" t="s">
        <v>1045</v>
      </c>
      <c r="G6402" s="7">
        <v>46206.28895868964</v>
      </c>
    </row>
    <row r="6403">
      <c r="A6403" s="3" t="s">
        <v>19708</v>
      </c>
      <c r="B6403" s="3" t="s">
        <v>1040</v>
      </c>
      <c r="C6403" s="3" t="s">
        <v>1342</v>
      </c>
      <c r="D6403" s="3" t="s">
        <v>68</v>
      </c>
      <c r="E6403" s="3" t="s">
        <v>100</v>
      </c>
      <c r="F6403" s="3" t="s">
        <v>1100</v>
      </c>
      <c r="G6403" s="7">
        <v>46206.36013353506</v>
      </c>
    </row>
    <row r="6404">
      <c r="A6404" s="3" t="s">
        <v>19712</v>
      </c>
      <c r="B6404" s="3" t="s">
        <v>1043</v>
      </c>
      <c r="C6404" s="3" t="s">
        <v>56</v>
      </c>
      <c r="D6404" s="3" t="s">
        <v>68</v>
      </c>
      <c r="E6404" s="3" t="s">
        <v>100</v>
      </c>
      <c r="F6404" s="3" t="s">
        <v>1361</v>
      </c>
      <c r="G6404" s="7">
        <v>46206.43130838047</v>
      </c>
    </row>
    <row r="6405">
      <c r="A6405" s="3" t="s">
        <v>19715</v>
      </c>
      <c r="B6405" s="3" t="s">
        <v>505</v>
      </c>
      <c r="C6405" s="3" t="s">
        <v>1095</v>
      </c>
      <c r="D6405" s="3" t="s">
        <v>68</v>
      </c>
      <c r="E6405" s="3" t="s">
        <v>100</v>
      </c>
      <c r="F6405" s="3" t="s">
        <v>991</v>
      </c>
      <c r="G6405" s="7">
        <v>46206.502483225886</v>
      </c>
    </row>
    <row r="6406">
      <c r="A6406" s="3" t="s">
        <v>19718</v>
      </c>
      <c r="B6406" s="3" t="s">
        <v>550</v>
      </c>
      <c r="C6406" s="3" t="s">
        <v>1095</v>
      </c>
      <c r="D6406" s="3" t="s">
        <v>68</v>
      </c>
      <c r="E6406" s="3" t="s">
        <v>100</v>
      </c>
      <c r="F6406" s="3" t="s">
        <v>2101</v>
      </c>
      <c r="G6406" s="7">
        <v>46206.573658071306</v>
      </c>
    </row>
    <row r="6407">
      <c r="A6407" s="3" t="s">
        <v>19721</v>
      </c>
      <c r="B6407" s="3" t="s">
        <v>770</v>
      </c>
      <c r="C6407" s="3" t="s">
        <v>1095</v>
      </c>
      <c r="D6407" s="3" t="s">
        <v>195</v>
      </c>
      <c r="E6407" s="3" t="s">
        <v>45</v>
      </c>
      <c r="F6407" s="3" t="s">
        <v>1408</v>
      </c>
      <c r="G6407" s="7">
        <v>46206.64483291672</v>
      </c>
    </row>
    <row r="6408">
      <c r="A6408" s="3" t="s">
        <v>19724</v>
      </c>
      <c r="B6408" s="3" t="s">
        <v>472</v>
      </c>
      <c r="C6408" s="3" t="s">
        <v>1095</v>
      </c>
      <c r="D6408" s="3" t="s">
        <v>181</v>
      </c>
      <c r="E6408" s="3" t="s">
        <v>45</v>
      </c>
      <c r="F6408" s="3" t="s">
        <v>1722</v>
      </c>
      <c r="G6408" s="7">
        <v>46206.71600776213</v>
      </c>
    </row>
    <row r="6409">
      <c r="A6409" s="3" t="s">
        <v>19727</v>
      </c>
      <c r="B6409" s="3" t="s">
        <v>586</v>
      </c>
      <c r="C6409" s="3" t="s">
        <v>1342</v>
      </c>
      <c r="D6409" s="3" t="s">
        <v>68</v>
      </c>
      <c r="E6409" s="3" t="s">
        <v>100</v>
      </c>
      <c r="F6409" s="3" t="s">
        <v>1627</v>
      </c>
      <c r="G6409" s="7">
        <v>46206.78718260755</v>
      </c>
    </row>
    <row r="6410">
      <c r="A6410" s="3" t="s">
        <v>19729</v>
      </c>
      <c r="B6410" s="3" t="s">
        <v>524</v>
      </c>
      <c r="C6410" s="3" t="s">
        <v>56</v>
      </c>
      <c r="D6410" s="3" t="s">
        <v>68</v>
      </c>
      <c r="E6410" s="3" t="s">
        <v>100</v>
      </c>
      <c r="F6410" s="3" t="s">
        <v>1363</v>
      </c>
      <c r="G6410" s="7">
        <v>46206.85835745296</v>
      </c>
    </row>
    <row r="6411">
      <c r="A6411" s="3" t="s">
        <v>19731</v>
      </c>
      <c r="B6411" s="3" t="s">
        <v>627</v>
      </c>
      <c r="C6411" s="3" t="s">
        <v>1095</v>
      </c>
      <c r="D6411" s="3" t="s">
        <v>68</v>
      </c>
      <c r="E6411" s="3" t="s">
        <v>100</v>
      </c>
      <c r="F6411" s="3" t="s">
        <v>1146</v>
      </c>
      <c r="G6411" s="7">
        <v>46206.929532298374</v>
      </c>
    </row>
    <row r="6412">
      <c r="A6412" s="3" t="s">
        <v>19733</v>
      </c>
      <c r="B6412" s="3" t="s">
        <v>816</v>
      </c>
      <c r="C6412" s="3" t="s">
        <v>56</v>
      </c>
      <c r="D6412" s="3" t="s">
        <v>68</v>
      </c>
      <c r="E6412" s="3" t="s">
        <v>100</v>
      </c>
      <c r="F6412" s="3" t="s">
        <v>1366</v>
      </c>
      <c r="G6412" s="7">
        <v>46207.000707143794</v>
      </c>
    </row>
    <row r="6413">
      <c r="A6413" s="3" t="s">
        <v>19735</v>
      </c>
      <c r="B6413" s="3" t="s">
        <v>449</v>
      </c>
      <c r="C6413" s="3" t="s">
        <v>1342</v>
      </c>
      <c r="D6413" s="3" t="s">
        <v>68</v>
      </c>
      <c r="E6413" s="3" t="s">
        <v>100</v>
      </c>
      <c r="F6413" s="3" t="s">
        <v>1918</v>
      </c>
      <c r="G6413" s="7">
        <v>46207.07188198921</v>
      </c>
    </row>
    <row r="6414">
      <c r="A6414" s="3" t="s">
        <v>19737</v>
      </c>
      <c r="B6414" s="3" t="s">
        <v>1030</v>
      </c>
      <c r="C6414" s="3" t="s">
        <v>56</v>
      </c>
      <c r="D6414" s="3" t="s">
        <v>181</v>
      </c>
      <c r="E6414" s="3" t="s">
        <v>45</v>
      </c>
      <c r="F6414" s="3" t="s">
        <v>45</v>
      </c>
      <c r="G6414" s="7">
        <v>46207.14305683462</v>
      </c>
    </row>
    <row r="6415">
      <c r="A6415" s="3" t="s">
        <v>19740</v>
      </c>
      <c r="B6415" s="3" t="s">
        <v>436</v>
      </c>
      <c r="C6415" s="3" t="s">
        <v>1342</v>
      </c>
      <c r="D6415" s="3" t="s">
        <v>68</v>
      </c>
      <c r="E6415" s="3" t="s">
        <v>100</v>
      </c>
      <c r="F6415" s="3" t="s">
        <v>1261</v>
      </c>
      <c r="G6415" s="7">
        <v>46207.21423168004</v>
      </c>
    </row>
    <row r="6416">
      <c r="A6416" s="3" t="s">
        <v>19742</v>
      </c>
      <c r="B6416" s="3" t="s">
        <v>920</v>
      </c>
      <c r="C6416" s="3" t="s">
        <v>1342</v>
      </c>
      <c r="D6416" s="3" t="s">
        <v>68</v>
      </c>
      <c r="E6416" s="3" t="s">
        <v>100</v>
      </c>
      <c r="F6416" s="3" t="s">
        <v>1968</v>
      </c>
      <c r="G6416" s="7">
        <v>46207.28540652546</v>
      </c>
    </row>
    <row r="6417">
      <c r="A6417" s="3" t="s">
        <v>19744</v>
      </c>
      <c r="B6417" s="3" t="s">
        <v>1026</v>
      </c>
      <c r="C6417" s="3" t="s">
        <v>1095</v>
      </c>
      <c r="D6417" s="3" t="s">
        <v>68</v>
      </c>
      <c r="E6417" s="3" t="s">
        <v>100</v>
      </c>
      <c r="F6417" s="3" t="s">
        <v>1272</v>
      </c>
      <c r="G6417" s="7">
        <v>46207.35658137087</v>
      </c>
    </row>
    <row r="6418">
      <c r="A6418" s="3" t="s">
        <v>19745</v>
      </c>
      <c r="B6418" s="3" t="s">
        <v>591</v>
      </c>
      <c r="C6418" s="3" t="s">
        <v>1095</v>
      </c>
      <c r="D6418" s="3" t="s">
        <v>195</v>
      </c>
      <c r="E6418" s="3" t="s">
        <v>45</v>
      </c>
      <c r="F6418" s="3" t="s">
        <v>1173</v>
      </c>
      <c r="G6418" s="7">
        <v>46207.42775621628</v>
      </c>
    </row>
    <row r="6419">
      <c r="A6419" s="3" t="s">
        <v>19747</v>
      </c>
      <c r="B6419" s="3" t="s">
        <v>793</v>
      </c>
      <c r="C6419" s="3" t="s">
        <v>1342</v>
      </c>
      <c r="D6419" s="3" t="s">
        <v>68</v>
      </c>
      <c r="E6419" s="3" t="s">
        <v>100</v>
      </c>
      <c r="F6419" s="3" t="s">
        <v>1129</v>
      </c>
      <c r="G6419" s="7">
        <v>46207.4989310617</v>
      </c>
    </row>
    <row r="6420">
      <c r="A6420" s="3" t="s">
        <v>19749</v>
      </c>
      <c r="B6420" s="3" t="s">
        <v>591</v>
      </c>
      <c r="C6420" s="3" t="s">
        <v>1095</v>
      </c>
      <c r="D6420" s="3" t="s">
        <v>68</v>
      </c>
      <c r="E6420" s="3" t="s">
        <v>100</v>
      </c>
      <c r="F6420" s="3" t="s">
        <v>1173</v>
      </c>
      <c r="G6420" s="7">
        <v>46207.570105907114</v>
      </c>
    </row>
    <row r="6421">
      <c r="A6421" s="3" t="s">
        <v>19751</v>
      </c>
      <c r="B6421" s="3" t="s">
        <v>561</v>
      </c>
      <c r="C6421" s="3" t="s">
        <v>56</v>
      </c>
      <c r="D6421" s="3" t="s">
        <v>68</v>
      </c>
      <c r="E6421" s="3" t="s">
        <v>100</v>
      </c>
      <c r="F6421" s="3" t="s">
        <v>1369</v>
      </c>
      <c r="G6421" s="7">
        <v>46207.64128075253</v>
      </c>
    </row>
    <row r="6422">
      <c r="A6422" s="3" t="s">
        <v>19753</v>
      </c>
      <c r="B6422" s="3" t="s">
        <v>475</v>
      </c>
      <c r="C6422" s="3" t="s">
        <v>1342</v>
      </c>
      <c r="D6422" s="3" t="s">
        <v>68</v>
      </c>
      <c r="E6422" s="3" t="s">
        <v>100</v>
      </c>
      <c r="F6422" s="3" t="s">
        <v>1066</v>
      </c>
      <c r="G6422" s="7">
        <v>46207.712455597946</v>
      </c>
    </row>
    <row r="6423">
      <c r="A6423" s="3" t="s">
        <v>19755</v>
      </c>
      <c r="B6423" s="3" t="s">
        <v>1037</v>
      </c>
      <c r="C6423" s="3" t="s">
        <v>1342</v>
      </c>
      <c r="D6423" s="3" t="s">
        <v>68</v>
      </c>
      <c r="E6423" s="3" t="s">
        <v>100</v>
      </c>
      <c r="F6423" s="3" t="s">
        <v>1113</v>
      </c>
      <c r="G6423" s="7">
        <v>46207.783630443366</v>
      </c>
    </row>
    <row r="6424">
      <c r="A6424" s="3" t="s">
        <v>19758</v>
      </c>
      <c r="B6424" s="3" t="s">
        <v>643</v>
      </c>
      <c r="C6424" s="3" t="s">
        <v>56</v>
      </c>
      <c r="D6424" s="3" t="s">
        <v>68</v>
      </c>
      <c r="E6424" s="3" t="s">
        <v>100</v>
      </c>
      <c r="F6424" s="3" t="s">
        <v>1371</v>
      </c>
      <c r="G6424" s="7">
        <v>46207.85480528877</v>
      </c>
    </row>
    <row r="6425">
      <c r="A6425" s="3" t="s">
        <v>19760</v>
      </c>
      <c r="B6425" s="3" t="s">
        <v>493</v>
      </c>
      <c r="C6425" s="3" t="s">
        <v>1342</v>
      </c>
      <c r="D6425" s="3" t="s">
        <v>181</v>
      </c>
      <c r="E6425" s="3" t="s">
        <v>45</v>
      </c>
      <c r="F6425" s="3" t="s">
        <v>2091</v>
      </c>
      <c r="G6425" s="7">
        <v>46207.92598013419</v>
      </c>
    </row>
    <row r="6426">
      <c r="A6426" s="3" t="s">
        <v>19762</v>
      </c>
      <c r="B6426" s="3" t="s">
        <v>731</v>
      </c>
      <c r="C6426" s="3" t="s">
        <v>1342</v>
      </c>
      <c r="D6426" s="3" t="s">
        <v>68</v>
      </c>
      <c r="E6426" s="3" t="s">
        <v>100</v>
      </c>
      <c r="F6426" s="3" t="s">
        <v>2025</v>
      </c>
      <c r="G6426" s="7">
        <v>46207.9971549796</v>
      </c>
    </row>
    <row r="6427">
      <c r="A6427" s="3" t="s">
        <v>19764</v>
      </c>
      <c r="B6427" s="3" t="s">
        <v>319</v>
      </c>
      <c r="C6427" s="3" t="s">
        <v>56</v>
      </c>
      <c r="D6427" s="3" t="s">
        <v>68</v>
      </c>
      <c r="E6427" s="3" t="s">
        <v>100</v>
      </c>
      <c r="F6427" s="3" t="s">
        <v>1373</v>
      </c>
      <c r="G6427" s="7">
        <v>46208.06832982502</v>
      </c>
    </row>
    <row r="6428">
      <c r="A6428" s="3" t="s">
        <v>19767</v>
      </c>
      <c r="B6428" s="3" t="s">
        <v>404</v>
      </c>
      <c r="C6428" s="3" t="s">
        <v>1342</v>
      </c>
      <c r="D6428" s="3" t="s">
        <v>68</v>
      </c>
      <c r="E6428" s="3" t="s">
        <v>100</v>
      </c>
      <c r="F6428" s="3" t="s">
        <v>2115</v>
      </c>
      <c r="G6428" s="7">
        <v>46208.139504670435</v>
      </c>
    </row>
    <row r="6429">
      <c r="A6429" s="3" t="s">
        <v>19769</v>
      </c>
      <c r="B6429" s="3" t="s">
        <v>848</v>
      </c>
      <c r="C6429" s="3" t="s">
        <v>1095</v>
      </c>
      <c r="D6429" s="3" t="s">
        <v>68</v>
      </c>
      <c r="E6429" s="3" t="s">
        <v>100</v>
      </c>
      <c r="F6429" s="3" t="s">
        <v>2096</v>
      </c>
      <c r="G6429" s="7">
        <v>46208.210679515854</v>
      </c>
    </row>
    <row r="6430">
      <c r="A6430" s="3" t="s">
        <v>19771</v>
      </c>
      <c r="B6430" s="3" t="s">
        <v>793</v>
      </c>
      <c r="C6430" s="3" t="s">
        <v>1095</v>
      </c>
      <c r="D6430" s="3" t="s">
        <v>68</v>
      </c>
      <c r="E6430" s="3" t="s">
        <v>100</v>
      </c>
      <c r="F6430" s="3" t="s">
        <v>1129</v>
      </c>
      <c r="G6430" s="7">
        <v>46208.28185436126</v>
      </c>
    </row>
    <row r="6431">
      <c r="A6431" s="3" t="s">
        <v>19773</v>
      </c>
      <c r="B6431" s="3" t="s">
        <v>145</v>
      </c>
      <c r="C6431" s="3" t="s">
        <v>1095</v>
      </c>
      <c r="D6431" s="3" t="s">
        <v>68</v>
      </c>
      <c r="E6431" s="3" t="s">
        <v>100</v>
      </c>
      <c r="F6431" s="3" t="s">
        <v>1884</v>
      </c>
      <c r="G6431" s="7">
        <v>46208.35302920668</v>
      </c>
    </row>
    <row r="6432">
      <c r="A6432" s="3" t="s">
        <v>19776</v>
      </c>
      <c r="B6432" s="3" t="s">
        <v>523</v>
      </c>
      <c r="C6432" s="3" t="s">
        <v>1342</v>
      </c>
      <c r="D6432" s="3" t="s">
        <v>68</v>
      </c>
      <c r="E6432" s="3" t="s">
        <v>100</v>
      </c>
      <c r="F6432" s="3" t="s">
        <v>2126</v>
      </c>
      <c r="G6432" s="7">
        <v>46208.4242040521</v>
      </c>
    </row>
    <row r="6433">
      <c r="A6433" s="3" t="s">
        <v>19780</v>
      </c>
      <c r="B6433" s="3" t="s">
        <v>505</v>
      </c>
      <c r="C6433" s="3" t="s">
        <v>56</v>
      </c>
      <c r="D6433" s="3" t="s">
        <v>68</v>
      </c>
      <c r="E6433" s="3" t="s">
        <v>100</v>
      </c>
      <c r="F6433" s="3" t="s">
        <v>1376</v>
      </c>
      <c r="G6433" s="7">
        <v>46208.49537889751</v>
      </c>
    </row>
    <row r="6434">
      <c r="A6434" s="3" t="s">
        <v>19783</v>
      </c>
      <c r="B6434" s="3" t="s">
        <v>976</v>
      </c>
      <c r="C6434" s="3" t="s">
        <v>1342</v>
      </c>
      <c r="D6434" s="3" t="s">
        <v>68</v>
      </c>
      <c r="E6434" s="3" t="s">
        <v>100</v>
      </c>
      <c r="F6434" s="3" t="s">
        <v>1103</v>
      </c>
      <c r="G6434" s="7">
        <v>46208.56655374292</v>
      </c>
    </row>
    <row r="6435">
      <c r="A6435" s="3" t="s">
        <v>19785</v>
      </c>
      <c r="B6435" s="3" t="s">
        <v>742</v>
      </c>
      <c r="C6435" s="3" t="s">
        <v>1342</v>
      </c>
      <c r="D6435" s="3" t="s">
        <v>68</v>
      </c>
      <c r="E6435" s="3" t="s">
        <v>100</v>
      </c>
      <c r="F6435" s="3" t="s">
        <v>1072</v>
      </c>
      <c r="G6435" s="7">
        <v>46208.63772858834</v>
      </c>
    </row>
    <row r="6436">
      <c r="A6436" s="3" t="s">
        <v>19787</v>
      </c>
      <c r="B6436" s="3" t="s">
        <v>645</v>
      </c>
      <c r="C6436" s="3" t="s">
        <v>1342</v>
      </c>
      <c r="D6436" s="3" t="s">
        <v>181</v>
      </c>
      <c r="E6436" s="3" t="s">
        <v>45</v>
      </c>
      <c r="F6436" s="3" t="s">
        <v>1135</v>
      </c>
      <c r="G6436" s="7">
        <v>46208.708903433755</v>
      </c>
    </row>
    <row r="6437">
      <c r="A6437" s="3" t="s">
        <v>19789</v>
      </c>
      <c r="B6437" s="3" t="s">
        <v>123</v>
      </c>
      <c r="C6437" s="3" t="s">
        <v>1095</v>
      </c>
      <c r="D6437" s="3" t="s">
        <v>68</v>
      </c>
      <c r="E6437" s="3" t="s">
        <v>100</v>
      </c>
      <c r="F6437" s="3" t="s">
        <v>1012</v>
      </c>
      <c r="G6437" s="7">
        <v>46208.78007827917</v>
      </c>
    </row>
    <row r="6438">
      <c r="A6438" s="3" t="s">
        <v>19791</v>
      </c>
      <c r="B6438" s="3" t="s">
        <v>168</v>
      </c>
      <c r="C6438" s="3" t="s">
        <v>1095</v>
      </c>
      <c r="D6438" s="3" t="s">
        <v>68</v>
      </c>
      <c r="E6438" s="3" t="s">
        <v>100</v>
      </c>
      <c r="F6438" s="3" t="s">
        <v>1979</v>
      </c>
      <c r="G6438" s="7">
        <v>46208.85125312459</v>
      </c>
    </row>
    <row r="6439">
      <c r="A6439" s="3" t="s">
        <v>19795</v>
      </c>
      <c r="B6439" s="3" t="s">
        <v>544</v>
      </c>
      <c r="C6439" s="3" t="s">
        <v>56</v>
      </c>
      <c r="D6439" s="3" t="s">
        <v>68</v>
      </c>
      <c r="E6439" s="3" t="s">
        <v>100</v>
      </c>
      <c r="F6439" s="3" t="s">
        <v>1378</v>
      </c>
      <c r="G6439" s="7">
        <v>46208.92242797001</v>
      </c>
    </row>
    <row r="6440">
      <c r="A6440" s="3" t="s">
        <v>19799</v>
      </c>
      <c r="B6440" s="3" t="s">
        <v>179</v>
      </c>
      <c r="C6440" s="3" t="s">
        <v>1342</v>
      </c>
      <c r="D6440" s="3" t="s">
        <v>68</v>
      </c>
      <c r="E6440" s="3" t="s">
        <v>100</v>
      </c>
      <c r="F6440" s="3" t="s">
        <v>1558</v>
      </c>
      <c r="G6440" s="7">
        <v>46208.99360281541</v>
      </c>
    </row>
    <row r="6441">
      <c r="A6441" s="3" t="s">
        <v>19802</v>
      </c>
      <c r="B6441" s="3" t="s">
        <v>1026</v>
      </c>
      <c r="C6441" s="3" t="s">
        <v>56</v>
      </c>
      <c r="D6441" s="3" t="s">
        <v>68</v>
      </c>
      <c r="E6441" s="3" t="s">
        <v>100</v>
      </c>
      <c r="F6441" s="3" t="s">
        <v>1380</v>
      </c>
      <c r="G6441" s="7">
        <v>46209.06477766083</v>
      </c>
    </row>
    <row r="6442">
      <c r="A6442" s="3" t="s">
        <v>19806</v>
      </c>
      <c r="B6442" s="3" t="s">
        <v>922</v>
      </c>
      <c r="C6442" s="3" t="s">
        <v>1342</v>
      </c>
      <c r="D6442" s="3" t="s">
        <v>181</v>
      </c>
      <c r="E6442" s="3" t="s">
        <v>45</v>
      </c>
      <c r="F6442" s="3" t="s">
        <v>1609</v>
      </c>
      <c r="G6442" s="7">
        <v>46209.13595250625</v>
      </c>
    </row>
    <row r="6443">
      <c r="A6443" s="3" t="s">
        <v>19808</v>
      </c>
      <c r="B6443" s="3" t="s">
        <v>510</v>
      </c>
      <c r="C6443" s="3" t="s">
        <v>56</v>
      </c>
      <c r="D6443" s="3" t="s">
        <v>68</v>
      </c>
      <c r="E6443" s="3" t="s">
        <v>100</v>
      </c>
      <c r="F6443" s="3" t="s">
        <v>1383</v>
      </c>
      <c r="G6443" s="7">
        <v>46209.20712735166</v>
      </c>
    </row>
    <row r="6444">
      <c r="A6444" s="3" t="s">
        <v>19811</v>
      </c>
      <c r="B6444" s="3" t="s">
        <v>130</v>
      </c>
      <c r="C6444" s="3" t="s">
        <v>56</v>
      </c>
      <c r="D6444" s="3" t="s">
        <v>68</v>
      </c>
      <c r="E6444" s="3" t="s">
        <v>100</v>
      </c>
      <c r="F6444" s="3" t="s">
        <v>1385</v>
      </c>
      <c r="G6444" s="7">
        <v>46209.278302197075</v>
      </c>
    </row>
    <row r="6445">
      <c r="A6445" s="3" t="s">
        <v>19813</v>
      </c>
      <c r="B6445" s="3" t="s">
        <v>488</v>
      </c>
      <c r="C6445" s="3" t="s">
        <v>1095</v>
      </c>
      <c r="D6445" s="3" t="s">
        <v>68</v>
      </c>
      <c r="E6445" s="3" t="s">
        <v>100</v>
      </c>
      <c r="F6445" s="3" t="s">
        <v>1148</v>
      </c>
      <c r="G6445" s="7">
        <v>46209.349477042495</v>
      </c>
    </row>
    <row r="6446">
      <c r="A6446" s="3" t="s">
        <v>19815</v>
      </c>
      <c r="B6446" s="3" t="s">
        <v>263</v>
      </c>
      <c r="C6446" s="3" t="s">
        <v>56</v>
      </c>
      <c r="D6446" s="3" t="s">
        <v>68</v>
      </c>
      <c r="E6446" s="3" t="s">
        <v>100</v>
      </c>
      <c r="F6446" s="3" t="s">
        <v>1389</v>
      </c>
      <c r="G6446" s="7">
        <v>46209.42065188791</v>
      </c>
    </row>
    <row r="6447">
      <c r="A6447" s="3" t="s">
        <v>19817</v>
      </c>
      <c r="B6447" s="3" t="s">
        <v>746</v>
      </c>
      <c r="C6447" s="3" t="s">
        <v>1342</v>
      </c>
      <c r="D6447" s="3" t="s">
        <v>68</v>
      </c>
      <c r="E6447" s="3" t="s">
        <v>100</v>
      </c>
      <c r="F6447" s="3" t="s">
        <v>2103</v>
      </c>
      <c r="G6447" s="7">
        <v>46209.49182673332</v>
      </c>
    </row>
    <row r="6448">
      <c r="A6448" s="3" t="s">
        <v>19819</v>
      </c>
      <c r="B6448" s="3" t="s">
        <v>722</v>
      </c>
      <c r="C6448" s="3" t="s">
        <v>1095</v>
      </c>
      <c r="D6448" s="3" t="s">
        <v>68</v>
      </c>
      <c r="E6448" s="3" t="s">
        <v>100</v>
      </c>
      <c r="F6448" s="3" t="s">
        <v>1319</v>
      </c>
      <c r="G6448" s="7">
        <v>46209.56300157874</v>
      </c>
    </row>
    <row r="6449">
      <c r="A6449" s="3" t="s">
        <v>19821</v>
      </c>
      <c r="B6449" s="3" t="s">
        <v>765</v>
      </c>
      <c r="C6449" s="3" t="s">
        <v>1342</v>
      </c>
      <c r="D6449" s="3" t="s">
        <v>68</v>
      </c>
      <c r="E6449" s="3" t="s">
        <v>100</v>
      </c>
      <c r="F6449" s="3" t="s">
        <v>808</v>
      </c>
      <c r="G6449" s="7">
        <v>46209.63417642415</v>
      </c>
    </row>
    <row r="6450">
      <c r="A6450" s="3" t="s">
        <v>19824</v>
      </c>
      <c r="B6450" s="3" t="s">
        <v>123</v>
      </c>
      <c r="C6450" s="3" t="s">
        <v>56</v>
      </c>
      <c r="D6450" s="3" t="s">
        <v>68</v>
      </c>
      <c r="E6450" s="3" t="s">
        <v>100</v>
      </c>
      <c r="F6450" s="3" t="s">
        <v>1390</v>
      </c>
      <c r="G6450" s="7">
        <v>46209.705351269564</v>
      </c>
    </row>
    <row r="6451">
      <c r="A6451" s="3" t="s">
        <v>19826</v>
      </c>
      <c r="B6451" s="3" t="s">
        <v>1037</v>
      </c>
      <c r="C6451" s="3" t="s">
        <v>1095</v>
      </c>
      <c r="D6451" s="3" t="s">
        <v>195</v>
      </c>
      <c r="E6451" s="3" t="s">
        <v>45</v>
      </c>
      <c r="F6451" s="3" t="s">
        <v>1113</v>
      </c>
      <c r="G6451" s="7">
        <v>46209.77652611498</v>
      </c>
    </row>
    <row r="6452">
      <c r="A6452" s="3" t="s">
        <v>19828</v>
      </c>
      <c r="B6452" s="3" t="s">
        <v>466</v>
      </c>
      <c r="C6452" s="3" t="s">
        <v>56</v>
      </c>
      <c r="D6452" s="3" t="s">
        <v>68</v>
      </c>
      <c r="E6452" s="3" t="s">
        <v>100</v>
      </c>
      <c r="F6452" s="3" t="s">
        <v>1393</v>
      </c>
      <c r="G6452" s="7">
        <v>46209.847700960396</v>
      </c>
    </row>
    <row r="6453">
      <c r="A6453" s="3" t="s">
        <v>19830</v>
      </c>
      <c r="B6453" s="3" t="s">
        <v>544</v>
      </c>
      <c r="C6453" s="3" t="s">
        <v>1342</v>
      </c>
      <c r="D6453" s="3" t="s">
        <v>68</v>
      </c>
      <c r="E6453" s="3" t="s">
        <v>100</v>
      </c>
      <c r="F6453" s="3" t="s">
        <v>1378</v>
      </c>
      <c r="G6453" s="7">
        <v>46209.91887580581</v>
      </c>
    </row>
    <row r="6454">
      <c r="A6454" s="3" t="s">
        <v>19832</v>
      </c>
      <c r="B6454" s="3" t="s">
        <v>805</v>
      </c>
      <c r="C6454" s="3" t="s">
        <v>56</v>
      </c>
      <c r="D6454" s="3" t="s">
        <v>195</v>
      </c>
      <c r="E6454" s="3" t="s">
        <v>45</v>
      </c>
      <c r="F6454" s="3" t="s">
        <v>45</v>
      </c>
      <c r="G6454" s="7">
        <v>46209.99005065123</v>
      </c>
    </row>
    <row r="6455">
      <c r="A6455" s="3" t="s">
        <v>19834</v>
      </c>
      <c r="B6455" s="3" t="s">
        <v>751</v>
      </c>
      <c r="C6455" s="3" t="s">
        <v>56</v>
      </c>
      <c r="D6455" s="3" t="s">
        <v>68</v>
      </c>
      <c r="E6455" s="3" t="s">
        <v>100</v>
      </c>
      <c r="F6455" s="3" t="s">
        <v>1395</v>
      </c>
      <c r="G6455" s="7">
        <v>46210.06122549665</v>
      </c>
    </row>
    <row r="6456">
      <c r="A6456" s="3" t="s">
        <v>19838</v>
      </c>
      <c r="B6456" s="3" t="s">
        <v>554</v>
      </c>
      <c r="C6456" s="3" t="s">
        <v>56</v>
      </c>
      <c r="D6456" s="3" t="s">
        <v>68</v>
      </c>
      <c r="E6456" s="3" t="s">
        <v>100</v>
      </c>
      <c r="F6456" s="3" t="s">
        <v>1398</v>
      </c>
      <c r="G6456" s="7">
        <v>46210.13240034205</v>
      </c>
    </row>
    <row r="6457">
      <c r="A6457" s="3" t="s">
        <v>19842</v>
      </c>
      <c r="B6457" s="3" t="s">
        <v>366</v>
      </c>
      <c r="C6457" s="3" t="s">
        <v>1342</v>
      </c>
      <c r="D6457" s="3" t="s">
        <v>68</v>
      </c>
      <c r="E6457" s="3" t="s">
        <v>100</v>
      </c>
      <c r="F6457" s="3" t="s">
        <v>1286</v>
      </c>
      <c r="G6457" s="7">
        <v>46210.20357518747</v>
      </c>
    </row>
    <row r="6458">
      <c r="A6458" s="3" t="s">
        <v>19845</v>
      </c>
      <c r="B6458" s="3" t="s">
        <v>698</v>
      </c>
      <c r="C6458" s="3" t="s">
        <v>1095</v>
      </c>
      <c r="D6458" s="3" t="s">
        <v>195</v>
      </c>
      <c r="E6458" s="3" t="s">
        <v>45</v>
      </c>
      <c r="F6458" s="3" t="s">
        <v>1307</v>
      </c>
      <c r="G6458" s="7">
        <v>46210.27475003289</v>
      </c>
    </row>
    <row r="6459">
      <c r="A6459" s="3" t="s">
        <v>19848</v>
      </c>
      <c r="B6459" s="3" t="s">
        <v>652</v>
      </c>
      <c r="C6459" s="3" t="s">
        <v>56</v>
      </c>
      <c r="D6459" s="3" t="s">
        <v>68</v>
      </c>
      <c r="E6459" s="3" t="s">
        <v>100</v>
      </c>
      <c r="F6459" s="3" t="s">
        <v>1403</v>
      </c>
      <c r="G6459" s="7">
        <v>46210.345924878304</v>
      </c>
    </row>
    <row r="6460">
      <c r="A6460" s="3" t="s">
        <v>19852</v>
      </c>
      <c r="B6460" s="3" t="s">
        <v>587</v>
      </c>
      <c r="C6460" s="3" t="s">
        <v>56</v>
      </c>
      <c r="D6460" s="3" t="s">
        <v>195</v>
      </c>
      <c r="E6460" s="3" t="s">
        <v>45</v>
      </c>
      <c r="F6460" s="3" t="s">
        <v>45</v>
      </c>
      <c r="G6460" s="7">
        <v>46210.417099723716</v>
      </c>
    </row>
    <row r="6461">
      <c r="A6461" s="3" t="s">
        <v>19856</v>
      </c>
      <c r="B6461" s="3" t="s">
        <v>669</v>
      </c>
      <c r="C6461" s="3" t="s">
        <v>1342</v>
      </c>
      <c r="D6461" s="3" t="s">
        <v>181</v>
      </c>
      <c r="E6461" s="3" t="s">
        <v>45</v>
      </c>
      <c r="F6461" s="3" t="s">
        <v>1114</v>
      </c>
      <c r="G6461" s="7">
        <v>46210.488274569136</v>
      </c>
    </row>
    <row r="6462">
      <c r="A6462" s="3" t="s">
        <v>19859</v>
      </c>
      <c r="B6462" s="3" t="s">
        <v>442</v>
      </c>
      <c r="C6462" s="3" t="s">
        <v>1095</v>
      </c>
      <c r="D6462" s="3" t="s">
        <v>68</v>
      </c>
      <c r="E6462" s="3" t="s">
        <v>100</v>
      </c>
      <c r="F6462" s="3" t="s">
        <v>2001</v>
      </c>
      <c r="G6462" s="7">
        <v>46210.55944941455</v>
      </c>
    </row>
    <row r="6463">
      <c r="A6463" s="3" t="s">
        <v>19862</v>
      </c>
      <c r="B6463" s="3" t="s">
        <v>922</v>
      </c>
      <c r="C6463" s="3" t="s">
        <v>1342</v>
      </c>
      <c r="D6463" s="3" t="s">
        <v>181</v>
      </c>
      <c r="E6463" s="3" t="s">
        <v>45</v>
      </c>
      <c r="F6463" s="3" t="s">
        <v>1609</v>
      </c>
      <c r="G6463" s="7">
        <v>46210.63062425996</v>
      </c>
    </row>
    <row r="6464">
      <c r="A6464" s="3" t="s">
        <v>19865</v>
      </c>
      <c r="B6464" s="3" t="s">
        <v>250</v>
      </c>
      <c r="C6464" s="3" t="s">
        <v>1342</v>
      </c>
      <c r="D6464" s="3" t="s">
        <v>68</v>
      </c>
      <c r="E6464" s="3" t="s">
        <v>100</v>
      </c>
      <c r="F6464" s="3" t="s">
        <v>1701</v>
      </c>
      <c r="G6464" s="7">
        <v>46210.70179910538</v>
      </c>
    </row>
    <row r="6465">
      <c r="A6465" s="3" t="s">
        <v>19868</v>
      </c>
      <c r="B6465" s="3" t="s">
        <v>130</v>
      </c>
      <c r="C6465" s="3" t="s">
        <v>1095</v>
      </c>
      <c r="D6465" s="3" t="s">
        <v>68</v>
      </c>
      <c r="E6465" s="3" t="s">
        <v>100</v>
      </c>
      <c r="F6465" s="3" t="s">
        <v>1385</v>
      </c>
      <c r="G6465" s="7">
        <v>46210.7729739508</v>
      </c>
    </row>
    <row r="6466">
      <c r="A6466" s="3" t="s">
        <v>19871</v>
      </c>
      <c r="B6466" s="3" t="s">
        <v>949</v>
      </c>
      <c r="C6466" s="3" t="s">
        <v>56</v>
      </c>
      <c r="D6466" s="3" t="s">
        <v>68</v>
      </c>
      <c r="E6466" s="3" t="s">
        <v>100</v>
      </c>
      <c r="F6466" s="3" t="s">
        <v>1407</v>
      </c>
      <c r="G6466" s="7">
        <v>46210.844148796205</v>
      </c>
    </row>
    <row r="6467">
      <c r="A6467" s="3" t="s">
        <v>19873</v>
      </c>
      <c r="B6467" s="3" t="s">
        <v>789</v>
      </c>
      <c r="C6467" s="3" t="s">
        <v>1095</v>
      </c>
      <c r="D6467" s="3" t="s">
        <v>195</v>
      </c>
      <c r="E6467" s="3" t="s">
        <v>45</v>
      </c>
      <c r="F6467" s="3" t="s">
        <v>1873</v>
      </c>
      <c r="G6467" s="7">
        <v>46210.915323641624</v>
      </c>
    </row>
    <row r="6468">
      <c r="A6468" s="3" t="s">
        <v>19875</v>
      </c>
      <c r="B6468" s="3" t="s">
        <v>830</v>
      </c>
      <c r="C6468" s="3" t="s">
        <v>1342</v>
      </c>
      <c r="D6468" s="3" t="s">
        <v>68</v>
      </c>
      <c r="E6468" s="3" t="s">
        <v>100</v>
      </c>
      <c r="F6468" s="3" t="s">
        <v>942</v>
      </c>
      <c r="G6468" s="7">
        <v>46210.98649848704</v>
      </c>
    </row>
    <row r="6469">
      <c r="A6469" s="3" t="s">
        <v>19878</v>
      </c>
      <c r="B6469" s="3" t="s">
        <v>550</v>
      </c>
      <c r="C6469" s="3" t="s">
        <v>56</v>
      </c>
      <c r="D6469" s="3" t="s">
        <v>68</v>
      </c>
      <c r="E6469" s="3" t="s">
        <v>100</v>
      </c>
      <c r="F6469" s="3" t="s">
        <v>1411</v>
      </c>
      <c r="G6469" s="7">
        <v>46211.057673332456</v>
      </c>
    </row>
    <row r="6470">
      <c r="A6470" s="3" t="s">
        <v>19883</v>
      </c>
      <c r="B6470" s="3" t="s">
        <v>949</v>
      </c>
      <c r="C6470" s="3" t="s">
        <v>1342</v>
      </c>
      <c r="D6470" s="3" t="s">
        <v>195</v>
      </c>
      <c r="E6470" s="3" t="s">
        <v>45</v>
      </c>
      <c r="F6470" s="3" t="s">
        <v>1407</v>
      </c>
      <c r="G6470" s="7">
        <v>46211.12884817787</v>
      </c>
    </row>
    <row r="6471">
      <c r="A6471" s="3" t="s">
        <v>19886</v>
      </c>
      <c r="B6471" s="3" t="s">
        <v>908</v>
      </c>
      <c r="C6471" s="3" t="s">
        <v>1342</v>
      </c>
      <c r="D6471" s="3" t="s">
        <v>68</v>
      </c>
      <c r="E6471" s="3" t="s">
        <v>100</v>
      </c>
      <c r="F6471" s="3" t="s">
        <v>1535</v>
      </c>
      <c r="G6471" s="7">
        <v>46211.20002302329</v>
      </c>
    </row>
    <row r="6472">
      <c r="A6472" s="3" t="s">
        <v>19888</v>
      </c>
      <c r="B6472" s="3" t="s">
        <v>911</v>
      </c>
      <c r="C6472" s="3" t="s">
        <v>1342</v>
      </c>
      <c r="D6472" s="3" t="s">
        <v>181</v>
      </c>
      <c r="E6472" s="3" t="s">
        <v>45</v>
      </c>
      <c r="F6472" s="3" t="s">
        <v>1048</v>
      </c>
      <c r="G6472" s="7">
        <v>46211.27119786869</v>
      </c>
    </row>
    <row r="6473">
      <c r="A6473" s="3" t="s">
        <v>19890</v>
      </c>
      <c r="B6473" s="3" t="s">
        <v>652</v>
      </c>
      <c r="C6473" s="3" t="s">
        <v>1342</v>
      </c>
      <c r="D6473" s="3" t="s">
        <v>68</v>
      </c>
      <c r="E6473" s="3" t="s">
        <v>100</v>
      </c>
      <c r="F6473" s="3" t="s">
        <v>1403</v>
      </c>
      <c r="G6473" s="7">
        <v>46211.34237271411</v>
      </c>
    </row>
    <row r="6474">
      <c r="A6474" s="3" t="s">
        <v>19892</v>
      </c>
      <c r="B6474" s="3" t="s">
        <v>694</v>
      </c>
      <c r="C6474" s="3" t="s">
        <v>1342</v>
      </c>
      <c r="D6474" s="3" t="s">
        <v>68</v>
      </c>
      <c r="E6474" s="3" t="s">
        <v>100</v>
      </c>
      <c r="F6474" s="3" t="s">
        <v>919</v>
      </c>
      <c r="G6474" s="7">
        <v>46211.41354755953</v>
      </c>
    </row>
    <row r="6475">
      <c r="A6475" s="3" t="s">
        <v>19894</v>
      </c>
      <c r="B6475" s="3" t="s">
        <v>860</v>
      </c>
      <c r="C6475" s="3" t="s">
        <v>1342</v>
      </c>
      <c r="D6475" s="3" t="s">
        <v>68</v>
      </c>
      <c r="E6475" s="3" t="s">
        <v>100</v>
      </c>
      <c r="F6475" s="3" t="s">
        <v>1168</v>
      </c>
      <c r="G6475" s="7">
        <v>46211.484722404944</v>
      </c>
    </row>
    <row r="6476">
      <c r="A6476" s="3" t="s">
        <v>19899</v>
      </c>
      <c r="B6476" s="3" t="s">
        <v>524</v>
      </c>
      <c r="C6476" s="3" t="s">
        <v>1095</v>
      </c>
      <c r="D6476" s="3" t="s">
        <v>68</v>
      </c>
      <c r="E6476" s="3" t="s">
        <v>100</v>
      </c>
      <c r="F6476" s="3" t="s">
        <v>1363</v>
      </c>
      <c r="G6476" s="7">
        <v>46211.55589725036</v>
      </c>
    </row>
    <row r="6477">
      <c r="A6477" s="3" t="s">
        <v>19902</v>
      </c>
      <c r="B6477" s="3" t="s">
        <v>1008</v>
      </c>
      <c r="C6477" s="3" t="s">
        <v>1342</v>
      </c>
      <c r="D6477" s="3" t="s">
        <v>68</v>
      </c>
      <c r="E6477" s="3" t="s">
        <v>100</v>
      </c>
      <c r="F6477" s="3" t="s">
        <v>1204</v>
      </c>
      <c r="G6477" s="7">
        <v>46211.62707209578</v>
      </c>
    </row>
    <row r="6478">
      <c r="A6478" s="3" t="s">
        <v>19905</v>
      </c>
      <c r="B6478" s="3" t="s">
        <v>612</v>
      </c>
      <c r="C6478" s="3" t="s">
        <v>1342</v>
      </c>
      <c r="D6478" s="3" t="s">
        <v>68</v>
      </c>
      <c r="E6478" s="3" t="s">
        <v>100</v>
      </c>
      <c r="F6478" s="3" t="s">
        <v>595</v>
      </c>
      <c r="G6478" s="7">
        <v>46211.69824694119</v>
      </c>
    </row>
    <row r="6479">
      <c r="A6479" s="3" t="s">
        <v>19910</v>
      </c>
      <c r="B6479" s="3" t="s">
        <v>436</v>
      </c>
      <c r="C6479" s="3" t="s">
        <v>1342</v>
      </c>
      <c r="D6479" s="3" t="s">
        <v>68</v>
      </c>
      <c r="E6479" s="3" t="s">
        <v>100</v>
      </c>
      <c r="F6479" s="3" t="s">
        <v>1261</v>
      </c>
      <c r="G6479" s="7">
        <v>46211.7694217866</v>
      </c>
    </row>
    <row r="6480">
      <c r="A6480" s="3" t="s">
        <v>19913</v>
      </c>
      <c r="B6480" s="3" t="s">
        <v>763</v>
      </c>
      <c r="C6480" s="3" t="s">
        <v>1095</v>
      </c>
      <c r="D6480" s="3" t="s">
        <v>68</v>
      </c>
      <c r="E6480" s="3" t="s">
        <v>100</v>
      </c>
      <c r="F6480" s="3" t="s">
        <v>788</v>
      </c>
      <c r="G6480" s="7">
        <v>46211.84059663202</v>
      </c>
    </row>
    <row r="6481">
      <c r="A6481" s="3" t="s">
        <v>19916</v>
      </c>
      <c r="B6481" s="3" t="s">
        <v>822</v>
      </c>
      <c r="C6481" s="3" t="s">
        <v>1342</v>
      </c>
      <c r="D6481" s="3" t="s">
        <v>68</v>
      </c>
      <c r="E6481" s="3" t="s">
        <v>100</v>
      </c>
      <c r="F6481" s="3" t="s">
        <v>1358</v>
      </c>
      <c r="G6481" s="7">
        <v>46211.91177147744</v>
      </c>
    </row>
    <row r="6482">
      <c r="A6482" s="3" t="s">
        <v>19918</v>
      </c>
      <c r="B6482" s="3" t="s">
        <v>419</v>
      </c>
      <c r="C6482" s="3" t="s">
        <v>1342</v>
      </c>
      <c r="D6482" s="3" t="s">
        <v>68</v>
      </c>
      <c r="E6482" s="3" t="s">
        <v>100</v>
      </c>
      <c r="F6482" s="3" t="s">
        <v>2111</v>
      </c>
      <c r="G6482" s="7">
        <v>46211.982946322845</v>
      </c>
    </row>
    <row r="6483">
      <c r="A6483" s="3" t="s">
        <v>19921</v>
      </c>
      <c r="B6483" s="3" t="s">
        <v>276</v>
      </c>
      <c r="C6483" s="3" t="s">
        <v>1342</v>
      </c>
      <c r="D6483" s="3" t="s">
        <v>68</v>
      </c>
      <c r="E6483" s="3" t="s">
        <v>100</v>
      </c>
      <c r="F6483" s="3" t="s">
        <v>1211</v>
      </c>
      <c r="G6483" s="7">
        <v>46212.054121168265</v>
      </c>
    </row>
    <row r="6484">
      <c r="A6484" s="3" t="s">
        <v>19923</v>
      </c>
      <c r="B6484" s="3" t="s">
        <v>145</v>
      </c>
      <c r="C6484" s="3" t="s">
        <v>56</v>
      </c>
      <c r="D6484" s="3" t="s">
        <v>181</v>
      </c>
      <c r="E6484" s="3" t="s">
        <v>45</v>
      </c>
      <c r="F6484" s="3" t="s">
        <v>45</v>
      </c>
      <c r="G6484" s="7">
        <v>46212.125296013684</v>
      </c>
    </row>
    <row r="6485">
      <c r="A6485" s="3" t="s">
        <v>19925</v>
      </c>
      <c r="B6485" s="3" t="s">
        <v>460</v>
      </c>
      <c r="C6485" s="3" t="s">
        <v>56</v>
      </c>
      <c r="D6485" s="3" t="s">
        <v>68</v>
      </c>
      <c r="E6485" s="3" t="s">
        <v>100</v>
      </c>
      <c r="F6485" s="3" t="s">
        <v>1413</v>
      </c>
      <c r="G6485" s="7">
        <v>46212.1964708591</v>
      </c>
    </row>
    <row r="6486">
      <c r="A6486" s="3" t="s">
        <v>19927</v>
      </c>
      <c r="B6486" s="3" t="s">
        <v>130</v>
      </c>
      <c r="C6486" s="3" t="s">
        <v>56</v>
      </c>
      <c r="D6486" s="3" t="s">
        <v>68</v>
      </c>
      <c r="E6486" s="3" t="s">
        <v>100</v>
      </c>
      <c r="F6486" s="3" t="s">
        <v>1416</v>
      </c>
      <c r="G6486" s="7">
        <v>46212.26764570451</v>
      </c>
    </row>
    <row r="6487">
      <c r="A6487" s="3" t="s">
        <v>19929</v>
      </c>
      <c r="B6487" s="3" t="s">
        <v>148</v>
      </c>
      <c r="C6487" s="3" t="s">
        <v>1342</v>
      </c>
      <c r="D6487" s="3" t="s">
        <v>68</v>
      </c>
      <c r="E6487" s="3" t="s">
        <v>100</v>
      </c>
      <c r="F6487" s="3" t="s">
        <v>1939</v>
      </c>
      <c r="G6487" s="7">
        <v>46212.33882054993</v>
      </c>
    </row>
    <row r="6488">
      <c r="A6488" s="3" t="s">
        <v>19932</v>
      </c>
      <c r="B6488" s="3" t="s">
        <v>269</v>
      </c>
      <c r="C6488" s="3" t="s">
        <v>1342</v>
      </c>
      <c r="D6488" s="3" t="s">
        <v>68</v>
      </c>
      <c r="E6488" s="3" t="s">
        <v>100</v>
      </c>
      <c r="F6488" s="3" t="s">
        <v>1198</v>
      </c>
      <c r="G6488" s="7">
        <v>46212.40999539534</v>
      </c>
    </row>
    <row r="6489">
      <c r="A6489" s="3" t="s">
        <v>19936</v>
      </c>
      <c r="B6489" s="3" t="s">
        <v>442</v>
      </c>
      <c r="C6489" s="3" t="s">
        <v>56</v>
      </c>
      <c r="D6489" s="3" t="s">
        <v>181</v>
      </c>
      <c r="E6489" s="3" t="s">
        <v>45</v>
      </c>
      <c r="F6489" s="3" t="s">
        <v>45</v>
      </c>
      <c r="G6489" s="7">
        <v>46212.48117024075</v>
      </c>
    </row>
    <row r="6490">
      <c r="A6490" s="3" t="s">
        <v>19939</v>
      </c>
      <c r="B6490" s="3" t="s">
        <v>391</v>
      </c>
      <c r="C6490" s="3" t="s">
        <v>56</v>
      </c>
      <c r="D6490" s="3" t="s">
        <v>68</v>
      </c>
      <c r="E6490" s="3" t="s">
        <v>100</v>
      </c>
      <c r="F6490" s="3" t="s">
        <v>1420</v>
      </c>
      <c r="G6490" s="7">
        <v>46212.55234508617</v>
      </c>
    </row>
    <row r="6491">
      <c r="A6491" s="3" t="s">
        <v>19942</v>
      </c>
      <c r="B6491" s="3" t="s">
        <v>175</v>
      </c>
      <c r="C6491" s="3" t="s">
        <v>1342</v>
      </c>
      <c r="D6491" s="3" t="s">
        <v>68</v>
      </c>
      <c r="E6491" s="3" t="s">
        <v>100</v>
      </c>
      <c r="F6491" s="3" t="s">
        <v>797</v>
      </c>
      <c r="G6491" s="7">
        <v>46212.623519931585</v>
      </c>
    </row>
    <row r="6492">
      <c r="A6492" s="3" t="s">
        <v>19944</v>
      </c>
      <c r="B6492" s="3" t="s">
        <v>708</v>
      </c>
      <c r="C6492" s="3" t="s">
        <v>1095</v>
      </c>
      <c r="D6492" s="3" t="s">
        <v>68</v>
      </c>
      <c r="E6492" s="3" t="s">
        <v>100</v>
      </c>
      <c r="F6492" s="3" t="s">
        <v>1341</v>
      </c>
      <c r="G6492" s="7">
        <v>46212.694694777</v>
      </c>
    </row>
    <row r="6493">
      <c r="A6493" s="3" t="s">
        <v>19947</v>
      </c>
      <c r="B6493" s="3" t="s">
        <v>424</v>
      </c>
      <c r="C6493" s="3" t="s">
        <v>1342</v>
      </c>
      <c r="D6493" s="3" t="s">
        <v>68</v>
      </c>
      <c r="E6493" s="3" t="s">
        <v>100</v>
      </c>
      <c r="F6493" s="3" t="s">
        <v>1291</v>
      </c>
      <c r="G6493" s="7">
        <v>46212.76586962242</v>
      </c>
    </row>
    <row r="6494">
      <c r="A6494" s="3" t="s">
        <v>19949</v>
      </c>
      <c r="B6494" s="3" t="s">
        <v>363</v>
      </c>
      <c r="C6494" s="3" t="s">
        <v>1342</v>
      </c>
      <c r="D6494" s="3" t="s">
        <v>68</v>
      </c>
      <c r="E6494" s="3" t="s">
        <v>100</v>
      </c>
      <c r="F6494" s="3" t="s">
        <v>1400</v>
      </c>
      <c r="G6494" s="7">
        <v>46212.83704446783</v>
      </c>
    </row>
    <row r="6495">
      <c r="A6495" s="3" t="s">
        <v>19953</v>
      </c>
      <c r="B6495" s="3" t="s">
        <v>162</v>
      </c>
      <c r="C6495" s="3" t="s">
        <v>56</v>
      </c>
      <c r="D6495" s="3" t="s">
        <v>68</v>
      </c>
      <c r="E6495" s="3" t="s">
        <v>100</v>
      </c>
      <c r="F6495" s="3" t="s">
        <v>1424</v>
      </c>
      <c r="G6495" s="7">
        <v>46212.90821931324</v>
      </c>
    </row>
    <row r="6496">
      <c r="A6496" s="3" t="s">
        <v>19957</v>
      </c>
      <c r="B6496" s="3" t="s">
        <v>616</v>
      </c>
      <c r="C6496" s="3" t="s">
        <v>1095</v>
      </c>
      <c r="D6496" s="3" t="s">
        <v>68</v>
      </c>
      <c r="E6496" s="3" t="s">
        <v>100</v>
      </c>
      <c r="F6496" s="3" t="s">
        <v>1196</v>
      </c>
      <c r="G6496" s="7">
        <v>46212.97939415866</v>
      </c>
    </row>
    <row r="6497">
      <c r="A6497" s="3" t="s">
        <v>19960</v>
      </c>
      <c r="B6497" s="3" t="s">
        <v>243</v>
      </c>
      <c r="C6497" s="3" t="s">
        <v>1095</v>
      </c>
      <c r="D6497" s="3" t="s">
        <v>68</v>
      </c>
      <c r="E6497" s="3" t="s">
        <v>100</v>
      </c>
      <c r="F6497" s="3" t="s">
        <v>1251</v>
      </c>
      <c r="G6497" s="7">
        <v>46213.05056900408</v>
      </c>
    </row>
    <row r="6498">
      <c r="A6498" s="3" t="s">
        <v>19963</v>
      </c>
      <c r="B6498" s="3" t="s">
        <v>186</v>
      </c>
      <c r="C6498" s="3" t="s">
        <v>1342</v>
      </c>
      <c r="D6498" s="3" t="s">
        <v>68</v>
      </c>
      <c r="E6498" s="3" t="s">
        <v>100</v>
      </c>
      <c r="F6498" s="3" t="s">
        <v>646</v>
      </c>
      <c r="G6498" s="7">
        <v>46213.121743849486</v>
      </c>
    </row>
    <row r="6499">
      <c r="A6499" s="3" t="s">
        <v>19967</v>
      </c>
      <c r="B6499" s="3" t="s">
        <v>672</v>
      </c>
      <c r="C6499" s="3" t="s">
        <v>56</v>
      </c>
      <c r="D6499" s="3" t="s">
        <v>68</v>
      </c>
      <c r="E6499" s="3" t="s">
        <v>100</v>
      </c>
      <c r="F6499" s="3" t="s">
        <v>1429</v>
      </c>
      <c r="G6499" s="7">
        <v>46213.192918694906</v>
      </c>
    </row>
    <row r="6500">
      <c r="A6500" s="3" t="s">
        <v>19971</v>
      </c>
      <c r="B6500" s="3" t="s">
        <v>333</v>
      </c>
      <c r="C6500" s="3" t="s">
        <v>1095</v>
      </c>
      <c r="D6500" s="3" t="s">
        <v>68</v>
      </c>
      <c r="E6500" s="3" t="s">
        <v>100</v>
      </c>
      <c r="F6500" s="3" t="s">
        <v>716</v>
      </c>
      <c r="G6500" s="7">
        <v>46213.264093540325</v>
      </c>
    </row>
    <row r="6501">
      <c r="A6501" s="3" t="s">
        <v>19974</v>
      </c>
      <c r="B6501" s="3" t="s">
        <v>785</v>
      </c>
      <c r="C6501" s="3" t="s">
        <v>1342</v>
      </c>
      <c r="D6501" s="3" t="s">
        <v>68</v>
      </c>
      <c r="E6501" s="3" t="s">
        <v>100</v>
      </c>
      <c r="F6501" s="3" t="s">
        <v>1549</v>
      </c>
      <c r="G6501" s="7">
        <v>46213.33526838574</v>
      </c>
    </row>
    <row r="6502">
      <c r="A6502" s="3" t="s">
        <v>19977</v>
      </c>
      <c r="B6502" s="3" t="s">
        <v>280</v>
      </c>
      <c r="C6502" s="3" t="s">
        <v>56</v>
      </c>
      <c r="D6502" s="3" t="s">
        <v>68</v>
      </c>
      <c r="E6502" s="3" t="s">
        <v>100</v>
      </c>
      <c r="F6502" s="3" t="s">
        <v>1431</v>
      </c>
      <c r="G6502" s="7">
        <v>46213.40644323115</v>
      </c>
    </row>
    <row r="6503">
      <c r="A6503" s="3" t="s">
        <v>19981</v>
      </c>
      <c r="B6503" s="3" t="s">
        <v>584</v>
      </c>
      <c r="C6503" s="3" t="s">
        <v>56</v>
      </c>
      <c r="D6503" s="3" t="s">
        <v>195</v>
      </c>
      <c r="E6503" s="3" t="s">
        <v>45</v>
      </c>
      <c r="F6503" s="3" t="s">
        <v>45</v>
      </c>
      <c r="G6503" s="7">
        <v>46213.47761807657</v>
      </c>
    </row>
    <row r="6504">
      <c r="A6504" s="3" t="s">
        <v>19983</v>
      </c>
      <c r="B6504" s="3" t="s">
        <v>359</v>
      </c>
      <c r="C6504" s="3" t="s">
        <v>1342</v>
      </c>
      <c r="D6504" s="3" t="s">
        <v>195</v>
      </c>
      <c r="E6504" s="3" t="s">
        <v>45</v>
      </c>
      <c r="F6504" s="3" t="s">
        <v>977</v>
      </c>
      <c r="G6504" s="7">
        <v>46213.54879292198</v>
      </c>
    </row>
    <row r="6505">
      <c r="A6505" s="3" t="s">
        <v>19986</v>
      </c>
      <c r="B6505" s="3" t="s">
        <v>505</v>
      </c>
      <c r="C6505" s="3" t="s">
        <v>1342</v>
      </c>
      <c r="D6505" s="3" t="s">
        <v>68</v>
      </c>
      <c r="E6505" s="3" t="s">
        <v>100</v>
      </c>
      <c r="F6505" s="3" t="s">
        <v>1376</v>
      </c>
      <c r="G6505" s="7">
        <v>46213.619967767394</v>
      </c>
    </row>
    <row r="6506">
      <c r="A6506" s="3" t="s">
        <v>19988</v>
      </c>
      <c r="B6506" s="3" t="s">
        <v>742</v>
      </c>
      <c r="C6506" s="3" t="s">
        <v>1095</v>
      </c>
      <c r="D6506" s="3" t="s">
        <v>68</v>
      </c>
      <c r="E6506" s="3" t="s">
        <v>100</v>
      </c>
      <c r="F6506" s="3" t="s">
        <v>1072</v>
      </c>
      <c r="G6506" s="7">
        <v>46213.69114261281</v>
      </c>
    </row>
    <row r="6507">
      <c r="A6507" s="3" t="s">
        <v>19990</v>
      </c>
      <c r="B6507" s="3" t="s">
        <v>533</v>
      </c>
      <c r="C6507" s="3" t="s">
        <v>1095</v>
      </c>
      <c r="D6507" s="3" t="s">
        <v>68</v>
      </c>
      <c r="E6507" s="3" t="s">
        <v>100</v>
      </c>
      <c r="F6507" s="3" t="s">
        <v>946</v>
      </c>
      <c r="G6507" s="7">
        <v>46213.76231745823</v>
      </c>
    </row>
    <row r="6508">
      <c r="A6508" s="3" t="s">
        <v>19992</v>
      </c>
      <c r="B6508" s="3" t="s">
        <v>527</v>
      </c>
      <c r="C6508" s="3" t="s">
        <v>1342</v>
      </c>
      <c r="D6508" s="3" t="s">
        <v>68</v>
      </c>
      <c r="E6508" s="3" t="s">
        <v>100</v>
      </c>
      <c r="F6508" s="3" t="s">
        <v>2099</v>
      </c>
      <c r="G6508" s="7">
        <v>46213.83349230364</v>
      </c>
    </row>
    <row r="6509">
      <c r="A6509" s="3" t="s">
        <v>19996</v>
      </c>
      <c r="B6509" s="3" t="s">
        <v>632</v>
      </c>
      <c r="C6509" s="3" t="s">
        <v>1342</v>
      </c>
      <c r="D6509" s="3" t="s">
        <v>68</v>
      </c>
      <c r="E6509" s="3" t="s">
        <v>100</v>
      </c>
      <c r="F6509" s="3" t="s">
        <v>1763</v>
      </c>
      <c r="G6509" s="7">
        <v>46213.90466714906</v>
      </c>
    </row>
    <row r="6510">
      <c r="A6510" s="3" t="s">
        <v>19999</v>
      </c>
      <c r="B6510" s="3" t="s">
        <v>747</v>
      </c>
      <c r="C6510" s="3" t="s">
        <v>1342</v>
      </c>
      <c r="D6510" s="3" t="s">
        <v>68</v>
      </c>
      <c r="E6510" s="3" t="s">
        <v>100</v>
      </c>
      <c r="F6510" s="3" t="s">
        <v>1206</v>
      </c>
      <c r="G6510" s="7">
        <v>46213.97584199447</v>
      </c>
    </row>
    <row r="6511">
      <c r="A6511" s="3" t="s">
        <v>20002</v>
      </c>
      <c r="B6511" s="3" t="s">
        <v>400</v>
      </c>
      <c r="C6511" s="3" t="s">
        <v>1342</v>
      </c>
      <c r="D6511" s="3" t="s">
        <v>68</v>
      </c>
      <c r="E6511" s="3" t="s">
        <v>100</v>
      </c>
      <c r="F6511" s="3" t="s">
        <v>1297</v>
      </c>
      <c r="G6511" s="7">
        <v>46214.04701683989</v>
      </c>
    </row>
    <row r="6512">
      <c r="A6512" s="3" t="s">
        <v>20005</v>
      </c>
      <c r="B6512" s="3" t="s">
        <v>341</v>
      </c>
      <c r="C6512" s="3" t="s">
        <v>1342</v>
      </c>
      <c r="D6512" s="3" t="s">
        <v>181</v>
      </c>
      <c r="E6512" s="3" t="s">
        <v>45</v>
      </c>
      <c r="F6512" s="3" t="s">
        <v>923</v>
      </c>
      <c r="G6512" s="7">
        <v>46214.1181916853</v>
      </c>
    </row>
    <row r="6513">
      <c r="A6513" s="3" t="s">
        <v>20008</v>
      </c>
      <c r="B6513" s="3" t="s">
        <v>725</v>
      </c>
      <c r="C6513" s="3" t="s">
        <v>56</v>
      </c>
      <c r="D6513" s="3" t="s">
        <v>68</v>
      </c>
      <c r="E6513" s="3" t="s">
        <v>100</v>
      </c>
      <c r="F6513" s="3" t="s">
        <v>1434</v>
      </c>
      <c r="G6513" s="7">
        <v>46214.18936653072</v>
      </c>
    </row>
    <row r="6514">
      <c r="A6514" s="3" t="s">
        <v>20013</v>
      </c>
      <c r="B6514" s="3" t="s">
        <v>600</v>
      </c>
      <c r="C6514" s="3" t="s">
        <v>1342</v>
      </c>
      <c r="D6514" s="3" t="s">
        <v>68</v>
      </c>
      <c r="E6514" s="3" t="s">
        <v>100</v>
      </c>
      <c r="F6514" s="3" t="s">
        <v>1768</v>
      </c>
      <c r="G6514" s="7">
        <v>46214.26054137613</v>
      </c>
    </row>
    <row r="6515">
      <c r="A6515" s="3" t="s">
        <v>20015</v>
      </c>
      <c r="B6515" s="3" t="s">
        <v>1034</v>
      </c>
      <c r="C6515" s="3" t="s">
        <v>1342</v>
      </c>
      <c r="D6515" s="3" t="s">
        <v>68</v>
      </c>
      <c r="E6515" s="3" t="s">
        <v>100</v>
      </c>
      <c r="F6515" s="3" t="s">
        <v>950</v>
      </c>
      <c r="G6515" s="7">
        <v>46214.331716221546</v>
      </c>
    </row>
    <row r="6516">
      <c r="A6516" s="3" t="s">
        <v>20017</v>
      </c>
      <c r="B6516" s="3" t="s">
        <v>515</v>
      </c>
      <c r="C6516" s="3" t="s">
        <v>1095</v>
      </c>
      <c r="D6516" s="3" t="s">
        <v>68</v>
      </c>
      <c r="E6516" s="3" t="s">
        <v>100</v>
      </c>
      <c r="F6516" s="3" t="s">
        <v>1162</v>
      </c>
      <c r="G6516" s="7">
        <v>46214.402891066966</v>
      </c>
    </row>
    <row r="6517">
      <c r="A6517" s="3" t="s">
        <v>20019</v>
      </c>
      <c r="B6517" s="3" t="s">
        <v>462</v>
      </c>
      <c r="C6517" s="3" t="s">
        <v>1342</v>
      </c>
      <c r="D6517" s="3" t="s">
        <v>68</v>
      </c>
      <c r="E6517" s="3" t="s">
        <v>100</v>
      </c>
      <c r="F6517" s="3" t="s">
        <v>1179</v>
      </c>
      <c r="G6517" s="7">
        <v>46214.47406591238</v>
      </c>
    </row>
    <row r="6518">
      <c r="A6518" s="3" t="s">
        <v>20021</v>
      </c>
      <c r="B6518" s="3" t="s">
        <v>586</v>
      </c>
      <c r="C6518" s="3" t="s">
        <v>1342</v>
      </c>
      <c r="D6518" s="3" t="s">
        <v>68</v>
      </c>
      <c r="E6518" s="3" t="s">
        <v>100</v>
      </c>
      <c r="F6518" s="3" t="s">
        <v>1627</v>
      </c>
      <c r="G6518" s="7">
        <v>46214.54524075779</v>
      </c>
    </row>
    <row r="6519">
      <c r="A6519" s="3" t="s">
        <v>20025</v>
      </c>
      <c r="B6519" s="3" t="s">
        <v>900</v>
      </c>
      <c r="C6519" s="3" t="s">
        <v>1095</v>
      </c>
      <c r="D6519" s="3" t="s">
        <v>181</v>
      </c>
      <c r="E6519" s="3" t="s">
        <v>45</v>
      </c>
      <c r="F6519" s="3" t="s">
        <v>996</v>
      </c>
      <c r="G6519" s="7">
        <v>46214.61641560321</v>
      </c>
    </row>
    <row r="6520">
      <c r="A6520" s="3" t="s">
        <v>20029</v>
      </c>
      <c r="B6520" s="3" t="s">
        <v>943</v>
      </c>
      <c r="C6520" s="3" t="s">
        <v>1095</v>
      </c>
      <c r="D6520" s="3" t="s">
        <v>68</v>
      </c>
      <c r="E6520" s="3" t="s">
        <v>100</v>
      </c>
      <c r="F6520" s="3" t="s">
        <v>1278</v>
      </c>
      <c r="G6520" s="7">
        <v>46214.68759044862</v>
      </c>
    </row>
    <row r="6521">
      <c r="A6521" s="3" t="s">
        <v>20032</v>
      </c>
      <c r="B6521" s="3" t="s">
        <v>455</v>
      </c>
      <c r="C6521" s="3" t="s">
        <v>56</v>
      </c>
      <c r="D6521" s="3" t="s">
        <v>68</v>
      </c>
      <c r="E6521" s="3" t="s">
        <v>100</v>
      </c>
      <c r="F6521" s="3" t="s">
        <v>1435</v>
      </c>
      <c r="G6521" s="7">
        <v>46214.758765294035</v>
      </c>
    </row>
    <row r="6522">
      <c r="A6522" s="3" t="s">
        <v>20035</v>
      </c>
      <c r="B6522" s="3" t="s">
        <v>1001</v>
      </c>
      <c r="C6522" s="3" t="s">
        <v>1342</v>
      </c>
      <c r="D6522" s="3" t="s">
        <v>68</v>
      </c>
      <c r="E6522" s="3" t="s">
        <v>100</v>
      </c>
      <c r="F6522" s="3" t="s">
        <v>1094</v>
      </c>
      <c r="G6522" s="7">
        <v>46214.829940139454</v>
      </c>
    </row>
    <row r="6523">
      <c r="A6523" s="3" t="s">
        <v>20039</v>
      </c>
      <c r="B6523" s="3" t="s">
        <v>491</v>
      </c>
      <c r="C6523" s="3" t="s">
        <v>1342</v>
      </c>
      <c r="D6523" s="3" t="s">
        <v>68</v>
      </c>
      <c r="E6523" s="3" t="s">
        <v>100</v>
      </c>
      <c r="F6523" s="3" t="s">
        <v>1426</v>
      </c>
      <c r="G6523" s="7">
        <v>46214.901114984874</v>
      </c>
    </row>
    <row r="6524">
      <c r="A6524" s="3" t="s">
        <v>20042</v>
      </c>
      <c r="B6524" s="3" t="s">
        <v>156</v>
      </c>
      <c r="C6524" s="3" t="s">
        <v>56</v>
      </c>
      <c r="D6524" s="3" t="s">
        <v>68</v>
      </c>
      <c r="E6524" s="3" t="s">
        <v>100</v>
      </c>
      <c r="F6524" s="3" t="s">
        <v>1438</v>
      </c>
      <c r="G6524" s="7">
        <v>46214.97228983028</v>
      </c>
    </row>
    <row r="6525">
      <c r="A6525" s="3" t="s">
        <v>20046</v>
      </c>
      <c r="B6525" s="3" t="s">
        <v>1026</v>
      </c>
      <c r="C6525" s="3" t="s">
        <v>1095</v>
      </c>
      <c r="D6525" s="3" t="s">
        <v>68</v>
      </c>
      <c r="E6525" s="3" t="s">
        <v>100</v>
      </c>
      <c r="F6525" s="3" t="s">
        <v>1380</v>
      </c>
      <c r="G6525" s="7">
        <v>46215.0434646757</v>
      </c>
    </row>
    <row r="6526">
      <c r="A6526" s="3" t="s">
        <v>20049</v>
      </c>
      <c r="B6526" s="3" t="s">
        <v>539</v>
      </c>
      <c r="C6526" s="3" t="s">
        <v>1342</v>
      </c>
      <c r="D6526" s="3" t="s">
        <v>68</v>
      </c>
      <c r="E6526" s="3" t="s">
        <v>100</v>
      </c>
      <c r="F6526" s="3" t="s">
        <v>1346</v>
      </c>
      <c r="G6526" s="7">
        <v>46215.11463952112</v>
      </c>
    </row>
    <row r="6527">
      <c r="A6527" s="3" t="s">
        <v>20051</v>
      </c>
      <c r="B6527" s="3" t="s">
        <v>575</v>
      </c>
      <c r="C6527" s="3" t="s">
        <v>1095</v>
      </c>
      <c r="D6527" s="3" t="s">
        <v>68</v>
      </c>
      <c r="E6527" s="3" t="s">
        <v>100</v>
      </c>
      <c r="F6527" s="3" t="s">
        <v>818</v>
      </c>
      <c r="G6527" s="7">
        <v>46215.18581436653</v>
      </c>
    </row>
    <row r="6528">
      <c r="A6528" s="3" t="s">
        <v>20054</v>
      </c>
      <c r="B6528" s="3" t="s">
        <v>391</v>
      </c>
      <c r="C6528" s="3" t="s">
        <v>1095</v>
      </c>
      <c r="D6528" s="3" t="s">
        <v>181</v>
      </c>
      <c r="E6528" s="3" t="s">
        <v>45</v>
      </c>
      <c r="F6528" s="3" t="s">
        <v>1420</v>
      </c>
      <c r="G6528" s="7">
        <v>46215.25698921194</v>
      </c>
    </row>
    <row r="6529">
      <c r="A6529" s="3" t="s">
        <v>20056</v>
      </c>
      <c r="B6529" s="3" t="s">
        <v>1037</v>
      </c>
      <c r="C6529" s="3" t="s">
        <v>1095</v>
      </c>
      <c r="D6529" s="3" t="s">
        <v>68</v>
      </c>
      <c r="E6529" s="3" t="s">
        <v>100</v>
      </c>
      <c r="F6529" s="3" t="s">
        <v>1113</v>
      </c>
      <c r="G6529" s="7">
        <v>46215.32816405736</v>
      </c>
    </row>
    <row r="6530">
      <c r="A6530" s="3" t="s">
        <v>20058</v>
      </c>
      <c r="B6530" s="3" t="s">
        <v>290</v>
      </c>
      <c r="C6530" s="3" t="s">
        <v>56</v>
      </c>
      <c r="D6530" s="3" t="s">
        <v>68</v>
      </c>
      <c r="E6530" s="3" t="s">
        <v>100</v>
      </c>
      <c r="F6530" s="3" t="s">
        <v>1441</v>
      </c>
      <c r="G6530" s="7">
        <v>46215.399338902775</v>
      </c>
    </row>
    <row r="6531">
      <c r="A6531" s="3" t="s">
        <v>20060</v>
      </c>
      <c r="B6531" s="3" t="s">
        <v>830</v>
      </c>
      <c r="C6531" s="3" t="s">
        <v>1095</v>
      </c>
      <c r="D6531" s="3" t="s">
        <v>68</v>
      </c>
      <c r="E6531" s="3" t="s">
        <v>100</v>
      </c>
      <c r="F6531" s="3" t="s">
        <v>942</v>
      </c>
      <c r="G6531" s="7">
        <v>46215.47051374819</v>
      </c>
    </row>
    <row r="6532">
      <c r="A6532" s="3" t="s">
        <v>20062</v>
      </c>
      <c r="B6532" s="3" t="s">
        <v>260</v>
      </c>
      <c r="C6532" s="3" t="s">
        <v>1342</v>
      </c>
      <c r="D6532" s="3" t="s">
        <v>68</v>
      </c>
      <c r="E6532" s="3" t="s">
        <v>100</v>
      </c>
      <c r="F6532" s="3" t="s">
        <v>1121</v>
      </c>
      <c r="G6532" s="7">
        <v>46215.54168859361</v>
      </c>
    </row>
    <row r="6533">
      <c r="A6533" s="3" t="s">
        <v>20064</v>
      </c>
      <c r="B6533" s="3" t="s">
        <v>689</v>
      </c>
      <c r="C6533" s="3" t="s">
        <v>1342</v>
      </c>
      <c r="D6533" s="3" t="s">
        <v>68</v>
      </c>
      <c r="E6533" s="3" t="s">
        <v>100</v>
      </c>
      <c r="F6533" s="3" t="s">
        <v>1969</v>
      </c>
      <c r="G6533" s="7">
        <v>46215.61286343902</v>
      </c>
    </row>
    <row r="6534">
      <c r="A6534" s="3" t="s">
        <v>20066</v>
      </c>
      <c r="B6534" s="3" t="s">
        <v>430</v>
      </c>
      <c r="C6534" s="3" t="s">
        <v>1342</v>
      </c>
      <c r="D6534" s="3" t="s">
        <v>68</v>
      </c>
      <c r="E6534" s="3" t="s">
        <v>100</v>
      </c>
      <c r="F6534" s="3" t="s">
        <v>1343</v>
      </c>
      <c r="G6534" s="7">
        <v>46215.68403828443</v>
      </c>
    </row>
    <row r="6535">
      <c r="A6535" s="3" t="s">
        <v>20069</v>
      </c>
      <c r="B6535" s="3" t="s">
        <v>313</v>
      </c>
      <c r="C6535" s="3" t="s">
        <v>1342</v>
      </c>
      <c r="D6535" s="3" t="s">
        <v>68</v>
      </c>
      <c r="E6535" s="3" t="s">
        <v>100</v>
      </c>
      <c r="F6535" s="3" t="s">
        <v>823</v>
      </c>
      <c r="G6535" s="7">
        <v>46215.75521312985</v>
      </c>
    </row>
    <row r="6536">
      <c r="A6536" s="3" t="s">
        <v>20071</v>
      </c>
      <c r="B6536" s="3" t="s">
        <v>886</v>
      </c>
      <c r="C6536" s="3" t="s">
        <v>56</v>
      </c>
      <c r="D6536" s="3" t="s">
        <v>181</v>
      </c>
      <c r="E6536" s="3" t="s">
        <v>45</v>
      </c>
      <c r="F6536" s="3" t="s">
        <v>45</v>
      </c>
      <c r="G6536" s="7">
        <v>46215.82638797526</v>
      </c>
    </row>
    <row r="6537">
      <c r="A6537" s="3" t="s">
        <v>20074</v>
      </c>
      <c r="B6537" s="3" t="s">
        <v>391</v>
      </c>
      <c r="C6537" s="3" t="s">
        <v>1095</v>
      </c>
      <c r="D6537" s="3" t="s">
        <v>68</v>
      </c>
      <c r="E6537" s="3" t="s">
        <v>100</v>
      </c>
      <c r="F6537" s="3" t="s">
        <v>1420</v>
      </c>
      <c r="G6537" s="7">
        <v>46215.897562820675</v>
      </c>
    </row>
    <row r="6538">
      <c r="A6538" s="3" t="s">
        <v>20077</v>
      </c>
      <c r="B6538" s="3" t="s">
        <v>742</v>
      </c>
      <c r="C6538" s="3" t="s">
        <v>56</v>
      </c>
      <c r="D6538" s="3" t="s">
        <v>68</v>
      </c>
      <c r="E6538" s="3" t="s">
        <v>100</v>
      </c>
      <c r="F6538" s="3" t="s">
        <v>1443</v>
      </c>
      <c r="G6538" s="7">
        <v>46215.968737666095</v>
      </c>
    </row>
    <row r="6539">
      <c r="A6539" s="3" t="s">
        <v>20080</v>
      </c>
      <c r="B6539" s="3" t="s">
        <v>864</v>
      </c>
      <c r="C6539" s="3" t="s">
        <v>1095</v>
      </c>
      <c r="D6539" s="3" t="s">
        <v>68</v>
      </c>
      <c r="E6539" s="3" t="s">
        <v>100</v>
      </c>
      <c r="F6539" s="3" t="s">
        <v>749</v>
      </c>
      <c r="G6539" s="7">
        <v>46216.039912511515</v>
      </c>
    </row>
    <row r="6540">
      <c r="A6540" s="3" t="s">
        <v>20083</v>
      </c>
      <c r="B6540" s="3" t="s">
        <v>627</v>
      </c>
      <c r="C6540" s="3" t="s">
        <v>56</v>
      </c>
      <c r="D6540" s="3" t="s">
        <v>68</v>
      </c>
      <c r="E6540" s="3" t="s">
        <v>100</v>
      </c>
      <c r="F6540" s="3" t="s">
        <v>1446</v>
      </c>
      <c r="G6540" s="7">
        <v>46216.11108735692</v>
      </c>
    </row>
    <row r="6541">
      <c r="A6541" s="3" t="s">
        <v>20086</v>
      </c>
      <c r="B6541" s="3" t="s">
        <v>455</v>
      </c>
      <c r="C6541" s="3" t="s">
        <v>1095</v>
      </c>
      <c r="D6541" s="3" t="s">
        <v>68</v>
      </c>
      <c r="E6541" s="3" t="s">
        <v>100</v>
      </c>
      <c r="F6541" s="3" t="s">
        <v>1435</v>
      </c>
      <c r="G6541" s="7">
        <v>46216.18226220234</v>
      </c>
    </row>
    <row r="6542">
      <c r="A6542" s="3" t="s">
        <v>20090</v>
      </c>
      <c r="B6542" s="3" t="s">
        <v>972</v>
      </c>
      <c r="C6542" s="3" t="s">
        <v>1095</v>
      </c>
      <c r="D6542" s="3" t="s">
        <v>68</v>
      </c>
      <c r="E6542" s="3" t="s">
        <v>100</v>
      </c>
      <c r="F6542" s="3" t="s">
        <v>1029</v>
      </c>
      <c r="G6542" s="7">
        <v>46216.25343704776</v>
      </c>
    </row>
    <row r="6543">
      <c r="A6543" s="3" t="s">
        <v>20092</v>
      </c>
      <c r="B6543" s="3" t="s">
        <v>544</v>
      </c>
      <c r="C6543" s="3" t="s">
        <v>1342</v>
      </c>
      <c r="D6543" s="3" t="s">
        <v>68</v>
      </c>
      <c r="E6543" s="3" t="s">
        <v>100</v>
      </c>
      <c r="F6543" s="3" t="s">
        <v>1378</v>
      </c>
      <c r="G6543" s="7">
        <v>46216.32461189317</v>
      </c>
    </row>
    <row r="6544">
      <c r="A6544" s="3" t="s">
        <v>20094</v>
      </c>
      <c r="B6544" s="3" t="s">
        <v>299</v>
      </c>
      <c r="C6544" s="3" t="s">
        <v>1095</v>
      </c>
      <c r="D6544" s="3" t="s">
        <v>68</v>
      </c>
      <c r="E6544" s="3" t="s">
        <v>100</v>
      </c>
      <c r="F6544" s="3" t="s">
        <v>673</v>
      </c>
      <c r="G6544" s="7">
        <v>46216.39578673858</v>
      </c>
    </row>
    <row r="6545">
      <c r="A6545" s="3" t="s">
        <v>20100</v>
      </c>
      <c r="B6545" s="3" t="s">
        <v>587</v>
      </c>
      <c r="C6545" s="3" t="s">
        <v>56</v>
      </c>
      <c r="D6545" s="3" t="s">
        <v>68</v>
      </c>
      <c r="E6545" s="3" t="s">
        <v>100</v>
      </c>
      <c r="F6545" s="3" t="s">
        <v>1448</v>
      </c>
      <c r="G6545" s="7">
        <v>46216.466961584</v>
      </c>
    </row>
    <row r="6546">
      <c r="A6546" s="3" t="s">
        <v>20103</v>
      </c>
      <c r="B6546" s="3" t="s">
        <v>165</v>
      </c>
      <c r="C6546" s="3" t="s">
        <v>56</v>
      </c>
      <c r="D6546" s="3" t="s">
        <v>68</v>
      </c>
      <c r="E6546" s="3" t="s">
        <v>100</v>
      </c>
      <c r="F6546" s="3" t="s">
        <v>1451</v>
      </c>
      <c r="G6546" s="7">
        <v>46216.538136429415</v>
      </c>
    </row>
    <row r="6547">
      <c r="A6547" s="3" t="s">
        <v>20106</v>
      </c>
      <c r="B6547" s="3" t="s">
        <v>725</v>
      </c>
      <c r="C6547" s="3" t="s">
        <v>1342</v>
      </c>
      <c r="D6547" s="3" t="s">
        <v>68</v>
      </c>
      <c r="E6547" s="3" t="s">
        <v>100</v>
      </c>
      <c r="F6547" s="3" t="s">
        <v>1434</v>
      </c>
      <c r="G6547" s="7">
        <v>46216.60931127483</v>
      </c>
    </row>
    <row r="6548">
      <c r="A6548" s="3" t="s">
        <v>20108</v>
      </c>
      <c r="B6548" s="3" t="s">
        <v>870</v>
      </c>
      <c r="C6548" s="3" t="s">
        <v>56</v>
      </c>
      <c r="D6548" s="3" t="s">
        <v>68</v>
      </c>
      <c r="E6548" s="3" t="s">
        <v>100</v>
      </c>
      <c r="F6548" s="3" t="s">
        <v>1455</v>
      </c>
      <c r="G6548" s="7">
        <v>46216.68048612025</v>
      </c>
    </row>
    <row r="6549">
      <c r="A6549" s="3" t="s">
        <v>20111</v>
      </c>
      <c r="B6549" s="3" t="s">
        <v>202</v>
      </c>
      <c r="C6549" s="3" t="s">
        <v>1342</v>
      </c>
      <c r="D6549" s="3" t="s">
        <v>68</v>
      </c>
      <c r="E6549" s="3" t="s">
        <v>100</v>
      </c>
      <c r="F6549" s="3" t="s">
        <v>840</v>
      </c>
      <c r="G6549" s="7">
        <v>46216.75166096566</v>
      </c>
    </row>
    <row r="6550">
      <c r="A6550" s="3" t="s">
        <v>20113</v>
      </c>
      <c r="B6550" s="3" t="s">
        <v>1026</v>
      </c>
      <c r="C6550" s="3" t="s">
        <v>56</v>
      </c>
      <c r="D6550" s="3" t="s">
        <v>68</v>
      </c>
      <c r="E6550" s="3" t="s">
        <v>100</v>
      </c>
      <c r="F6550" s="3" t="s">
        <v>1458</v>
      </c>
      <c r="G6550" s="7">
        <v>46216.82283581107</v>
      </c>
    </row>
    <row r="6551">
      <c r="A6551" s="3" t="s">
        <v>20115</v>
      </c>
      <c r="B6551" s="3" t="s">
        <v>637</v>
      </c>
      <c r="C6551" s="3" t="s">
        <v>1342</v>
      </c>
      <c r="D6551" s="3" t="s">
        <v>195</v>
      </c>
      <c r="E6551" s="3" t="s">
        <v>45</v>
      </c>
      <c r="F6551" s="3" t="s">
        <v>1007</v>
      </c>
      <c r="G6551" s="7">
        <v>46216.89401065649</v>
      </c>
    </row>
    <row r="6552">
      <c r="A6552" s="3" t="s">
        <v>20117</v>
      </c>
      <c r="B6552" s="3" t="s">
        <v>446</v>
      </c>
      <c r="C6552" s="3" t="s">
        <v>1342</v>
      </c>
      <c r="D6552" s="3" t="s">
        <v>68</v>
      </c>
      <c r="E6552" s="3" t="s">
        <v>100</v>
      </c>
      <c r="F6552" s="3" t="s">
        <v>1284</v>
      </c>
      <c r="G6552" s="7">
        <v>46216.965185501904</v>
      </c>
    </row>
    <row r="6553">
      <c r="A6553" s="3" t="s">
        <v>20119</v>
      </c>
      <c r="B6553" s="3" t="s">
        <v>319</v>
      </c>
      <c r="C6553" s="3" t="s">
        <v>1095</v>
      </c>
      <c r="D6553" s="3" t="s">
        <v>68</v>
      </c>
      <c r="E6553" s="3" t="s">
        <v>100</v>
      </c>
      <c r="F6553" s="3" t="s">
        <v>1373</v>
      </c>
      <c r="G6553" s="7">
        <v>46217.036360347316</v>
      </c>
    </row>
    <row r="6554">
      <c r="A6554" s="3" t="s">
        <v>20121</v>
      </c>
      <c r="B6554" s="3" t="s">
        <v>193</v>
      </c>
      <c r="C6554" s="3" t="s">
        <v>1342</v>
      </c>
      <c r="D6554" s="3" t="s">
        <v>68</v>
      </c>
      <c r="E6554" s="3" t="s">
        <v>100</v>
      </c>
      <c r="F6554" s="3" t="s">
        <v>712</v>
      </c>
      <c r="G6554" s="7">
        <v>46217.107535192736</v>
      </c>
    </row>
    <row r="6555">
      <c r="A6555" s="3" t="s">
        <v>20123</v>
      </c>
      <c r="B6555" s="3" t="s">
        <v>860</v>
      </c>
      <c r="C6555" s="3" t="s">
        <v>1095</v>
      </c>
      <c r="D6555" s="3" t="s">
        <v>68</v>
      </c>
      <c r="E6555" s="3" t="s">
        <v>100</v>
      </c>
      <c r="F6555" s="3" t="s">
        <v>1168</v>
      </c>
      <c r="G6555" s="7">
        <v>46217.178710038155</v>
      </c>
    </row>
    <row r="6556">
      <c r="A6556" s="3" t="s">
        <v>20126</v>
      </c>
      <c r="B6556" s="3" t="s">
        <v>521</v>
      </c>
      <c r="C6556" s="3" t="s">
        <v>1095</v>
      </c>
      <c r="D6556" s="3" t="s">
        <v>68</v>
      </c>
      <c r="E6556" s="3" t="s">
        <v>100</v>
      </c>
      <c r="F6556" s="3" t="s">
        <v>1846</v>
      </c>
      <c r="G6556" s="7">
        <v>46217.24988488356</v>
      </c>
    </row>
    <row r="6557">
      <c r="A6557" s="3" t="s">
        <v>20128</v>
      </c>
      <c r="B6557" s="3" t="s">
        <v>189</v>
      </c>
      <c r="C6557" s="3" t="s">
        <v>1095</v>
      </c>
      <c r="D6557" s="3" t="s">
        <v>68</v>
      </c>
      <c r="E6557" s="3" t="s">
        <v>100</v>
      </c>
      <c r="F6557" s="3" t="s">
        <v>932</v>
      </c>
      <c r="G6557" s="7">
        <v>46217.32105972898</v>
      </c>
    </row>
    <row r="6558">
      <c r="A6558" s="3" t="s">
        <v>20130</v>
      </c>
      <c r="B6558" s="3" t="s">
        <v>609</v>
      </c>
      <c r="C6558" s="3" t="s">
        <v>1342</v>
      </c>
      <c r="D6558" s="3" t="s">
        <v>181</v>
      </c>
      <c r="E6558" s="3" t="s">
        <v>45</v>
      </c>
      <c r="F6558" s="3" t="s">
        <v>963</v>
      </c>
      <c r="G6558" s="7">
        <v>46217.3922345744</v>
      </c>
    </row>
    <row r="6559">
      <c r="A6559" s="3" t="s">
        <v>20132</v>
      </c>
      <c r="B6559" s="3" t="s">
        <v>685</v>
      </c>
      <c r="C6559" s="3" t="s">
        <v>1342</v>
      </c>
      <c r="D6559" s="3" t="s">
        <v>68</v>
      </c>
      <c r="E6559" s="3" t="s">
        <v>100</v>
      </c>
      <c r="F6559" s="3" t="s">
        <v>846</v>
      </c>
      <c r="G6559" s="7">
        <v>46217.46340941981</v>
      </c>
    </row>
    <row r="6560">
      <c r="A6560" s="3" t="s">
        <v>20135</v>
      </c>
      <c r="B6560" s="3" t="s">
        <v>947</v>
      </c>
      <c r="C6560" s="3" t="s">
        <v>1342</v>
      </c>
      <c r="D6560" s="3" t="s">
        <v>68</v>
      </c>
      <c r="E6560" s="3" t="s">
        <v>100</v>
      </c>
      <c r="F6560" s="3" t="s">
        <v>603</v>
      </c>
      <c r="G6560" s="7">
        <v>46217.534584265224</v>
      </c>
    </row>
    <row r="6561">
      <c r="A6561" s="3" t="s">
        <v>20137</v>
      </c>
      <c r="B6561" s="3" t="s">
        <v>895</v>
      </c>
      <c r="C6561" s="3" t="s">
        <v>1095</v>
      </c>
      <c r="D6561" s="3" t="s">
        <v>195</v>
      </c>
      <c r="E6561" s="3" t="s">
        <v>45</v>
      </c>
      <c r="F6561" s="3" t="s">
        <v>1092</v>
      </c>
      <c r="G6561" s="7">
        <v>46217.605759110644</v>
      </c>
    </row>
    <row r="6562">
      <c r="A6562" s="3" t="s">
        <v>20140</v>
      </c>
      <c r="B6562" s="3" t="s">
        <v>1043</v>
      </c>
      <c r="C6562" s="3" t="s">
        <v>1342</v>
      </c>
      <c r="D6562" s="3" t="s">
        <v>181</v>
      </c>
      <c r="E6562" s="3" t="s">
        <v>45</v>
      </c>
      <c r="F6562" s="3" t="s">
        <v>1361</v>
      </c>
      <c r="G6562" s="7">
        <v>46217.676933956056</v>
      </c>
    </row>
    <row r="6563">
      <c r="A6563" s="3" t="s">
        <v>20142</v>
      </c>
      <c r="B6563" s="3" t="s">
        <v>1008</v>
      </c>
      <c r="C6563" s="3" t="s">
        <v>1095</v>
      </c>
      <c r="D6563" s="3" t="s">
        <v>68</v>
      </c>
      <c r="E6563" s="3" t="s">
        <v>100</v>
      </c>
      <c r="F6563" s="3" t="s">
        <v>1204</v>
      </c>
      <c r="G6563" s="7">
        <v>46217.74810880147</v>
      </c>
    </row>
    <row r="6564">
      <c r="A6564" s="3" t="s">
        <v>20145</v>
      </c>
      <c r="B6564" s="3" t="s">
        <v>584</v>
      </c>
      <c r="C6564" s="3" t="s">
        <v>56</v>
      </c>
      <c r="D6564" s="3" t="s">
        <v>68</v>
      </c>
      <c r="E6564" s="3" t="s">
        <v>100</v>
      </c>
      <c r="F6564" s="3" t="s">
        <v>1460</v>
      </c>
      <c r="G6564" s="7">
        <v>46217.81928364689</v>
      </c>
    </row>
    <row r="6565">
      <c r="A6565" s="3" t="s">
        <v>20147</v>
      </c>
      <c r="B6565" s="3" t="s">
        <v>655</v>
      </c>
      <c r="C6565" s="3" t="s">
        <v>1342</v>
      </c>
      <c r="D6565" s="3" t="s">
        <v>181</v>
      </c>
      <c r="E6565" s="3" t="s">
        <v>45</v>
      </c>
      <c r="F6565" s="3" t="s">
        <v>1800</v>
      </c>
      <c r="G6565" s="7">
        <v>46217.8904584923</v>
      </c>
    </row>
    <row r="6566">
      <c r="A6566" s="3" t="s">
        <v>20149</v>
      </c>
      <c r="B6566" s="3" t="s">
        <v>253</v>
      </c>
      <c r="C6566" s="3" t="s">
        <v>1342</v>
      </c>
      <c r="D6566" s="3" t="s">
        <v>68</v>
      </c>
      <c r="E6566" s="3" t="s">
        <v>100</v>
      </c>
      <c r="F6566" s="3" t="s">
        <v>1268</v>
      </c>
      <c r="G6566" s="7">
        <v>46217.96163333771</v>
      </c>
    </row>
    <row r="6567">
      <c r="A6567" s="3" t="s">
        <v>20151</v>
      </c>
      <c r="B6567" s="3" t="s">
        <v>1028</v>
      </c>
      <c r="C6567" s="3" t="s">
        <v>1342</v>
      </c>
      <c r="D6567" s="3" t="s">
        <v>68</v>
      </c>
      <c r="E6567" s="3" t="s">
        <v>100</v>
      </c>
      <c r="F6567" s="3" t="s">
        <v>1025</v>
      </c>
      <c r="G6567" s="7">
        <v>46218.03280818313</v>
      </c>
    </row>
    <row r="6568">
      <c r="A6568" s="3" t="s">
        <v>20154</v>
      </c>
      <c r="B6568" s="3" t="s">
        <v>822</v>
      </c>
      <c r="C6568" s="3" t="s">
        <v>1342</v>
      </c>
      <c r="D6568" s="3" t="s">
        <v>68</v>
      </c>
      <c r="E6568" s="3" t="s">
        <v>100</v>
      </c>
      <c r="F6568" s="3" t="s">
        <v>1358</v>
      </c>
      <c r="G6568" s="7">
        <v>46218.103983028544</v>
      </c>
    </row>
    <row r="6569">
      <c r="A6569" s="3" t="s">
        <v>20156</v>
      </c>
      <c r="B6569" s="3" t="s">
        <v>253</v>
      </c>
      <c r="C6569" s="3" t="s">
        <v>1342</v>
      </c>
      <c r="D6569" s="3" t="s">
        <v>68</v>
      </c>
      <c r="E6569" s="3" t="s">
        <v>100</v>
      </c>
      <c r="F6569" s="3" t="s">
        <v>1268</v>
      </c>
      <c r="G6569" s="7">
        <v>46218.175157873964</v>
      </c>
    </row>
    <row r="6570">
      <c r="A6570" s="3" t="s">
        <v>20158</v>
      </c>
      <c r="B6570" s="3" t="s">
        <v>727</v>
      </c>
      <c r="C6570" s="3" t="s">
        <v>56</v>
      </c>
      <c r="D6570" s="3" t="s">
        <v>68</v>
      </c>
      <c r="E6570" s="3" t="s">
        <v>100</v>
      </c>
      <c r="F6570" s="3" t="s">
        <v>1462</v>
      </c>
      <c r="G6570" s="7">
        <v>46218.24633271938</v>
      </c>
    </row>
    <row r="6571">
      <c r="A6571" s="3" t="s">
        <v>20160</v>
      </c>
      <c r="B6571" s="3" t="s">
        <v>717</v>
      </c>
      <c r="C6571" s="3" t="s">
        <v>1342</v>
      </c>
      <c r="D6571" s="3" t="s">
        <v>68</v>
      </c>
      <c r="E6571" s="3" t="s">
        <v>100</v>
      </c>
      <c r="F6571" s="3" t="s">
        <v>1640</v>
      </c>
      <c r="G6571" s="7">
        <v>46218.317507564796</v>
      </c>
    </row>
    <row r="6572">
      <c r="A6572" s="3" t="s">
        <v>20162</v>
      </c>
      <c r="B6572" s="3" t="s">
        <v>735</v>
      </c>
      <c r="C6572" s="3" t="s">
        <v>1342</v>
      </c>
      <c r="D6572" s="3" t="s">
        <v>68</v>
      </c>
      <c r="E6572" s="3" t="s">
        <v>100</v>
      </c>
      <c r="F6572" s="3" t="s">
        <v>1715</v>
      </c>
      <c r="G6572" s="7">
        <v>46218.38868241021</v>
      </c>
    </row>
    <row r="6573">
      <c r="A6573" s="3" t="s">
        <v>20165</v>
      </c>
      <c r="B6573" s="3" t="s">
        <v>637</v>
      </c>
      <c r="C6573" s="3" t="s">
        <v>1342</v>
      </c>
      <c r="D6573" s="3" t="s">
        <v>68</v>
      </c>
      <c r="E6573" s="3" t="s">
        <v>100</v>
      </c>
      <c r="F6573" s="3" t="s">
        <v>1007</v>
      </c>
      <c r="G6573" s="7">
        <v>46218.45985725562</v>
      </c>
    </row>
    <row r="6574">
      <c r="A6574" s="3" t="s">
        <v>20167</v>
      </c>
      <c r="B6574" s="3" t="s">
        <v>870</v>
      </c>
      <c r="C6574" s="3" t="s">
        <v>1342</v>
      </c>
      <c r="D6574" s="3" t="s">
        <v>68</v>
      </c>
      <c r="E6574" s="3" t="s">
        <v>100</v>
      </c>
      <c r="F6574" s="3" t="s">
        <v>1455</v>
      </c>
      <c r="G6574" s="7">
        <v>46218.53103210104</v>
      </c>
    </row>
    <row r="6575">
      <c r="A6575" s="3" t="s">
        <v>20169</v>
      </c>
      <c r="B6575" s="3" t="s">
        <v>162</v>
      </c>
      <c r="C6575" s="3" t="s">
        <v>1342</v>
      </c>
      <c r="D6575" s="3" t="s">
        <v>68</v>
      </c>
      <c r="E6575" s="3" t="s">
        <v>100</v>
      </c>
      <c r="F6575" s="3" t="s">
        <v>1424</v>
      </c>
      <c r="G6575" s="7">
        <v>46218.60220694645</v>
      </c>
    </row>
    <row r="6576">
      <c r="A6576" s="3" t="s">
        <v>20171</v>
      </c>
      <c r="B6576" s="3" t="s">
        <v>202</v>
      </c>
      <c r="C6576" s="3" t="s">
        <v>1342</v>
      </c>
      <c r="D6576" s="3" t="s">
        <v>68</v>
      </c>
      <c r="E6576" s="3" t="s">
        <v>100</v>
      </c>
      <c r="F6576" s="3" t="s">
        <v>840</v>
      </c>
      <c r="G6576" s="7">
        <v>46218.673381791865</v>
      </c>
    </row>
    <row r="6577">
      <c r="A6577" s="3" t="s">
        <v>20173</v>
      </c>
      <c r="B6577" s="3" t="s">
        <v>524</v>
      </c>
      <c r="C6577" s="3" t="s">
        <v>56</v>
      </c>
      <c r="D6577" s="3" t="s">
        <v>68</v>
      </c>
      <c r="E6577" s="3" t="s">
        <v>100</v>
      </c>
      <c r="F6577" s="3" t="s">
        <v>1465</v>
      </c>
      <c r="G6577" s="7">
        <v>46218.744556637284</v>
      </c>
    </row>
    <row r="6578">
      <c r="A6578" s="3" t="s">
        <v>20176</v>
      </c>
      <c r="B6578" s="3" t="s">
        <v>491</v>
      </c>
      <c r="C6578" s="3" t="s">
        <v>1342</v>
      </c>
      <c r="D6578" s="3" t="s">
        <v>68</v>
      </c>
      <c r="E6578" s="3" t="s">
        <v>100</v>
      </c>
      <c r="F6578" s="3" t="s">
        <v>1426</v>
      </c>
      <c r="G6578" s="7">
        <v>46218.8157314827</v>
      </c>
    </row>
    <row r="6579">
      <c r="A6579" s="3" t="s">
        <v>20178</v>
      </c>
      <c r="B6579" s="3" t="s">
        <v>419</v>
      </c>
      <c r="C6579" s="3" t="s">
        <v>1342</v>
      </c>
      <c r="D6579" s="3" t="s">
        <v>68</v>
      </c>
      <c r="E6579" s="3" t="s">
        <v>100</v>
      </c>
      <c r="F6579" s="3" t="s">
        <v>2111</v>
      </c>
      <c r="G6579" s="7">
        <v>46218.88690632811</v>
      </c>
    </row>
    <row r="6580">
      <c r="A6580" s="3" t="s">
        <v>20181</v>
      </c>
      <c r="B6580" s="3" t="s">
        <v>430</v>
      </c>
      <c r="C6580" s="3" t="s">
        <v>1095</v>
      </c>
      <c r="D6580" s="3" t="s">
        <v>68</v>
      </c>
      <c r="E6580" s="3" t="s">
        <v>100</v>
      </c>
      <c r="F6580" s="3" t="s">
        <v>1343</v>
      </c>
      <c r="G6580" s="7">
        <v>46218.95808117353</v>
      </c>
    </row>
    <row r="6581">
      <c r="A6581" s="3" t="s">
        <v>20184</v>
      </c>
      <c r="B6581" s="3" t="s">
        <v>848</v>
      </c>
      <c r="C6581" s="3" t="s">
        <v>56</v>
      </c>
      <c r="D6581" s="3" t="s">
        <v>68</v>
      </c>
      <c r="E6581" s="3" t="s">
        <v>100</v>
      </c>
      <c r="F6581" s="3" t="s">
        <v>1467</v>
      </c>
      <c r="G6581" s="7">
        <v>46219.02925601895</v>
      </c>
    </row>
    <row r="6582">
      <c r="A6582" s="3" t="s">
        <v>20188</v>
      </c>
      <c r="B6582" s="3" t="s">
        <v>322</v>
      </c>
      <c r="C6582" s="3" t="s">
        <v>1342</v>
      </c>
      <c r="D6582" s="3" t="s">
        <v>181</v>
      </c>
      <c r="E6582" s="3" t="s">
        <v>45</v>
      </c>
      <c r="F6582" s="3" t="s">
        <v>1208</v>
      </c>
      <c r="G6582" s="7">
        <v>46219.10043086435</v>
      </c>
    </row>
    <row r="6583">
      <c r="A6583" s="3" t="s">
        <v>20192</v>
      </c>
      <c r="B6583" s="3" t="s">
        <v>770</v>
      </c>
      <c r="C6583" s="3" t="s">
        <v>1342</v>
      </c>
      <c r="D6583" s="3" t="s">
        <v>181</v>
      </c>
      <c r="E6583" s="3" t="s">
        <v>45</v>
      </c>
      <c r="F6583" s="3" t="s">
        <v>1408</v>
      </c>
      <c r="G6583" s="7">
        <v>46219.17160570977</v>
      </c>
    </row>
    <row r="6584">
      <c r="A6584" s="3" t="s">
        <v>20195</v>
      </c>
      <c r="B6584" s="3" t="s">
        <v>1049</v>
      </c>
      <c r="C6584" s="3" t="s">
        <v>56</v>
      </c>
      <c r="D6584" s="3" t="s">
        <v>68</v>
      </c>
      <c r="E6584" s="3" t="s">
        <v>100</v>
      </c>
      <c r="F6584" s="3" t="s">
        <v>1469</v>
      </c>
      <c r="G6584" s="7">
        <v>46219.24278055519</v>
      </c>
    </row>
    <row r="6585">
      <c r="A6585" s="3" t="s">
        <v>20198</v>
      </c>
      <c r="B6585" s="3" t="s">
        <v>731</v>
      </c>
      <c r="C6585" s="3" t="s">
        <v>1342</v>
      </c>
      <c r="D6585" s="3" t="s">
        <v>68</v>
      </c>
      <c r="E6585" s="3" t="s">
        <v>100</v>
      </c>
      <c r="F6585" s="3" t="s">
        <v>2025</v>
      </c>
      <c r="G6585" s="7">
        <v>46219.313955400605</v>
      </c>
    </row>
    <row r="6586">
      <c r="A6586" s="3" t="s">
        <v>20200</v>
      </c>
      <c r="B6586" s="3" t="s">
        <v>466</v>
      </c>
      <c r="C6586" s="3" t="s">
        <v>1342</v>
      </c>
      <c r="D6586" s="3" t="s">
        <v>181</v>
      </c>
      <c r="E6586" s="3" t="s">
        <v>45</v>
      </c>
      <c r="F6586" s="3" t="s">
        <v>1393</v>
      </c>
      <c r="G6586" s="7">
        <v>46219.38513024602</v>
      </c>
    </row>
    <row r="6587">
      <c r="A6587" s="3" t="s">
        <v>20202</v>
      </c>
      <c r="B6587" s="3" t="s">
        <v>1037</v>
      </c>
      <c r="C6587" s="3" t="s">
        <v>56</v>
      </c>
      <c r="D6587" s="3" t="s">
        <v>68</v>
      </c>
      <c r="E6587" s="3" t="s">
        <v>100</v>
      </c>
      <c r="F6587" s="3" t="s">
        <v>1472</v>
      </c>
      <c r="G6587" s="7">
        <v>46219.45630509144</v>
      </c>
    </row>
    <row r="6588">
      <c r="A6588" s="3" t="s">
        <v>20205</v>
      </c>
      <c r="B6588" s="3" t="s">
        <v>841</v>
      </c>
      <c r="C6588" s="3" t="s">
        <v>1342</v>
      </c>
      <c r="D6588" s="3" t="s">
        <v>68</v>
      </c>
      <c r="E6588" s="3" t="s">
        <v>100</v>
      </c>
      <c r="F6588" s="3" t="s">
        <v>1327</v>
      </c>
      <c r="G6588" s="7">
        <v>46219.52747993685</v>
      </c>
    </row>
    <row r="6589">
      <c r="A6589" s="3" t="s">
        <v>20207</v>
      </c>
      <c r="B6589" s="3" t="s">
        <v>165</v>
      </c>
      <c r="C6589" s="3" t="s">
        <v>1342</v>
      </c>
      <c r="D6589" s="3" t="s">
        <v>68</v>
      </c>
      <c r="E6589" s="3" t="s">
        <v>100</v>
      </c>
      <c r="F6589" s="3" t="s">
        <v>1451</v>
      </c>
      <c r="G6589" s="7">
        <v>46219.59865478226</v>
      </c>
    </row>
    <row r="6590">
      <c r="A6590" s="3" t="s">
        <v>20209</v>
      </c>
      <c r="B6590" s="3" t="s">
        <v>811</v>
      </c>
      <c r="C6590" s="3" t="s">
        <v>56</v>
      </c>
      <c r="D6590" s="3" t="s">
        <v>68</v>
      </c>
      <c r="E6590" s="3" t="s">
        <v>100</v>
      </c>
      <c r="F6590" s="3" t="s">
        <v>1475</v>
      </c>
      <c r="G6590" s="7">
        <v>46219.66982962768</v>
      </c>
    </row>
    <row r="6591">
      <c r="A6591" s="3" t="s">
        <v>20211</v>
      </c>
      <c r="B6591" s="3" t="s">
        <v>256</v>
      </c>
      <c r="C6591" s="3" t="s">
        <v>1342</v>
      </c>
      <c r="D6591" s="3" t="s">
        <v>68</v>
      </c>
      <c r="E6591" s="3" t="s">
        <v>100</v>
      </c>
      <c r="F6591" s="3" t="s">
        <v>1506</v>
      </c>
      <c r="G6591" s="7">
        <v>46219.74100447309</v>
      </c>
    </row>
    <row r="6592">
      <c r="A6592" s="3" t="s">
        <v>20213</v>
      </c>
      <c r="B6592" s="3" t="s">
        <v>805</v>
      </c>
      <c r="C6592" s="3" t="s">
        <v>56</v>
      </c>
      <c r="D6592" s="3" t="s">
        <v>68</v>
      </c>
      <c r="E6592" s="3" t="s">
        <v>100</v>
      </c>
      <c r="F6592" s="3" t="s">
        <v>1478</v>
      </c>
      <c r="G6592" s="7">
        <v>46219.812179318506</v>
      </c>
    </row>
    <row r="6593">
      <c r="A6593" s="3" t="s">
        <v>20217</v>
      </c>
      <c r="B6593" s="3" t="s">
        <v>239</v>
      </c>
      <c r="C6593" s="3" t="s">
        <v>1342</v>
      </c>
      <c r="D6593" s="3" t="s">
        <v>68</v>
      </c>
      <c r="E6593" s="3" t="s">
        <v>100</v>
      </c>
      <c r="F6593" s="3" t="s">
        <v>1083</v>
      </c>
      <c r="G6593" s="7">
        <v>46219.883354163925</v>
      </c>
    </row>
    <row r="6594">
      <c r="A6594" s="3" t="s">
        <v>20219</v>
      </c>
      <c r="B6594" s="3" t="s">
        <v>510</v>
      </c>
      <c r="C6594" s="3" t="s">
        <v>1095</v>
      </c>
      <c r="D6594" s="3" t="s">
        <v>68</v>
      </c>
      <c r="E6594" s="3" t="s">
        <v>100</v>
      </c>
      <c r="F6594" s="3" t="s">
        <v>1383</v>
      </c>
      <c r="G6594" s="7">
        <v>46219.95452900934</v>
      </c>
    </row>
    <row r="6595">
      <c r="A6595" s="3" t="s">
        <v>20221</v>
      </c>
      <c r="B6595" s="3" t="s">
        <v>204</v>
      </c>
      <c r="C6595" s="3" t="s">
        <v>1342</v>
      </c>
      <c r="D6595" s="3" t="s">
        <v>68</v>
      </c>
      <c r="E6595" s="3" t="s">
        <v>100</v>
      </c>
      <c r="F6595" s="3" t="s">
        <v>1063</v>
      </c>
      <c r="G6595" s="7">
        <v>46220.02570385475</v>
      </c>
    </row>
    <row r="6596">
      <c r="A6596" s="3" t="s">
        <v>20224</v>
      </c>
      <c r="B6596" s="3" t="s">
        <v>326</v>
      </c>
      <c r="C6596" s="3" t="s">
        <v>56</v>
      </c>
      <c r="D6596" s="3" t="s">
        <v>68</v>
      </c>
      <c r="E6596" s="3" t="s">
        <v>100</v>
      </c>
      <c r="F6596" s="3" t="s">
        <v>1480</v>
      </c>
      <c r="G6596" s="7">
        <v>46220.09687870017</v>
      </c>
    </row>
    <row r="6597">
      <c r="A6597" s="3" t="s">
        <v>20226</v>
      </c>
      <c r="B6597" s="3" t="s">
        <v>731</v>
      </c>
      <c r="C6597" s="3" t="s">
        <v>1095</v>
      </c>
      <c r="D6597" s="3" t="s">
        <v>181</v>
      </c>
      <c r="E6597" s="3" t="s">
        <v>45</v>
      </c>
      <c r="F6597" s="3" t="s">
        <v>2025</v>
      </c>
      <c r="G6597" s="7">
        <v>46220.16805354559</v>
      </c>
    </row>
    <row r="6598">
      <c r="A6598" s="3" t="s">
        <v>20228</v>
      </c>
      <c r="B6598" s="3" t="s">
        <v>725</v>
      </c>
      <c r="C6598" s="3" t="s">
        <v>1095</v>
      </c>
      <c r="D6598" s="3" t="s">
        <v>68</v>
      </c>
      <c r="E6598" s="3" t="s">
        <v>100</v>
      </c>
      <c r="F6598" s="3" t="s">
        <v>1434</v>
      </c>
      <c r="G6598" s="7">
        <v>46220.239228390994</v>
      </c>
    </row>
    <row r="6599">
      <c r="A6599" s="3" t="s">
        <v>20230</v>
      </c>
      <c r="B6599" s="3" t="s">
        <v>481</v>
      </c>
      <c r="C6599" s="3" t="s">
        <v>1095</v>
      </c>
      <c r="D6599" s="3" t="s">
        <v>68</v>
      </c>
      <c r="E6599" s="3" t="s">
        <v>100</v>
      </c>
      <c r="F6599" s="3" t="s">
        <v>483</v>
      </c>
      <c r="G6599" s="7">
        <v>46220.31040323641</v>
      </c>
    </row>
    <row r="6600">
      <c r="A6600" s="3" t="s">
        <v>20232</v>
      </c>
      <c r="B6600" s="3" t="s">
        <v>906</v>
      </c>
      <c r="C6600" s="3" t="s">
        <v>1342</v>
      </c>
      <c r="D6600" s="3" t="s">
        <v>181</v>
      </c>
      <c r="E6600" s="3" t="s">
        <v>45</v>
      </c>
      <c r="F6600" s="3" t="s">
        <v>1981</v>
      </c>
      <c r="G6600" s="7">
        <v>46220.38157808183</v>
      </c>
    </row>
    <row r="6601">
      <c r="A6601" s="3" t="s">
        <v>20234</v>
      </c>
      <c r="B6601" s="3" t="s">
        <v>632</v>
      </c>
      <c r="C6601" s="3" t="s">
        <v>1342</v>
      </c>
      <c r="D6601" s="3" t="s">
        <v>68</v>
      </c>
      <c r="E6601" s="3" t="s">
        <v>100</v>
      </c>
      <c r="F6601" s="3" t="s">
        <v>1763</v>
      </c>
      <c r="G6601" s="7">
        <v>46220.452752927245</v>
      </c>
    </row>
    <row r="6602">
      <c r="A6602" s="3" t="s">
        <v>20236</v>
      </c>
      <c r="B6602" s="3" t="s">
        <v>557</v>
      </c>
      <c r="C6602" s="3" t="s">
        <v>56</v>
      </c>
      <c r="D6602" s="3" t="s">
        <v>68</v>
      </c>
      <c r="E6602" s="3" t="s">
        <v>100</v>
      </c>
      <c r="F6602" s="3" t="s">
        <v>1483</v>
      </c>
      <c r="G6602" s="7">
        <v>46220.52392777266</v>
      </c>
    </row>
    <row r="6603">
      <c r="A6603" s="3" t="s">
        <v>20238</v>
      </c>
      <c r="B6603" s="3" t="s">
        <v>652</v>
      </c>
      <c r="C6603" s="3" t="s">
        <v>1342</v>
      </c>
      <c r="D6603" s="3" t="s">
        <v>68</v>
      </c>
      <c r="E6603" s="3" t="s">
        <v>100</v>
      </c>
      <c r="F6603" s="3" t="s">
        <v>1403</v>
      </c>
      <c r="G6603" s="7">
        <v>46220.59510261808</v>
      </c>
    </row>
    <row r="6604">
      <c r="A6604" s="3" t="s">
        <v>20241</v>
      </c>
      <c r="B6604" s="3" t="s">
        <v>822</v>
      </c>
      <c r="C6604" s="3" t="s">
        <v>1342</v>
      </c>
      <c r="D6604" s="3" t="s">
        <v>68</v>
      </c>
      <c r="E6604" s="3" t="s">
        <v>100</v>
      </c>
      <c r="F6604" s="3" t="s">
        <v>1358</v>
      </c>
      <c r="G6604" s="7">
        <v>46220.66627746349</v>
      </c>
    </row>
    <row r="6605">
      <c r="A6605" s="3" t="s">
        <v>20243</v>
      </c>
      <c r="B6605" s="3" t="s">
        <v>442</v>
      </c>
      <c r="C6605" s="3" t="s">
        <v>56</v>
      </c>
      <c r="D6605" s="3" t="s">
        <v>68</v>
      </c>
      <c r="E6605" s="3" t="s">
        <v>100</v>
      </c>
      <c r="F6605" s="3" t="s">
        <v>1485</v>
      </c>
      <c r="G6605" s="7">
        <v>46220.7374523089</v>
      </c>
    </row>
    <row r="6606">
      <c r="A6606" s="3" t="s">
        <v>20245</v>
      </c>
      <c r="B6606" s="3" t="s">
        <v>631</v>
      </c>
      <c r="C6606" s="3" t="s">
        <v>56</v>
      </c>
      <c r="D6606" s="3" t="s">
        <v>68</v>
      </c>
      <c r="E6606" s="3" t="s">
        <v>100</v>
      </c>
      <c r="F6606" s="3" t="s">
        <v>1488</v>
      </c>
      <c r="G6606" s="7">
        <v>46220.80862715432</v>
      </c>
    </row>
    <row r="6607">
      <c r="A6607" s="3" t="s">
        <v>20247</v>
      </c>
      <c r="B6607" s="3" t="s">
        <v>145</v>
      </c>
      <c r="C6607" s="3" t="s">
        <v>56</v>
      </c>
      <c r="D6607" s="3" t="s">
        <v>68</v>
      </c>
      <c r="E6607" s="3" t="s">
        <v>100</v>
      </c>
      <c r="F6607" s="3" t="s">
        <v>1491</v>
      </c>
      <c r="G6607" s="7">
        <v>46220.879801999734</v>
      </c>
    </row>
    <row r="6608">
      <c r="A6608" s="3" t="s">
        <v>20249</v>
      </c>
      <c r="B6608" s="3" t="s">
        <v>296</v>
      </c>
      <c r="C6608" s="3" t="s">
        <v>1342</v>
      </c>
      <c r="D6608" s="3" t="s">
        <v>181</v>
      </c>
      <c r="E6608" s="3" t="s">
        <v>45</v>
      </c>
      <c r="F6608" s="3" t="s">
        <v>1932</v>
      </c>
      <c r="G6608" s="7">
        <v>46220.950976845146</v>
      </c>
    </row>
    <row r="6609">
      <c r="A6609" s="3" t="s">
        <v>20251</v>
      </c>
      <c r="B6609" s="3" t="s">
        <v>972</v>
      </c>
      <c r="C6609" s="3" t="s">
        <v>56</v>
      </c>
      <c r="D6609" s="3" t="s">
        <v>68</v>
      </c>
      <c r="E6609" s="3" t="s">
        <v>100</v>
      </c>
      <c r="F6609" s="3" t="s">
        <v>1493</v>
      </c>
      <c r="G6609" s="7">
        <v>46221.022151690566</v>
      </c>
    </row>
    <row r="6610">
      <c r="A6610" s="3" t="s">
        <v>20254</v>
      </c>
      <c r="B6610" s="3" t="s">
        <v>605</v>
      </c>
      <c r="C6610" s="3" t="s">
        <v>1342</v>
      </c>
      <c r="D6610" s="3" t="s">
        <v>68</v>
      </c>
      <c r="E6610" s="3" t="s">
        <v>100</v>
      </c>
      <c r="F6610" s="3" t="s">
        <v>959</v>
      </c>
      <c r="G6610" s="7">
        <v>46221.09332653598</v>
      </c>
    </row>
    <row r="6611">
      <c r="A6611" s="3" t="s">
        <v>20256</v>
      </c>
      <c r="B6611" s="3" t="s">
        <v>662</v>
      </c>
      <c r="C6611" s="3" t="s">
        <v>1342</v>
      </c>
      <c r="D6611" s="3" t="s">
        <v>68</v>
      </c>
      <c r="E6611" s="3" t="s">
        <v>100</v>
      </c>
      <c r="F6611" s="3" t="s">
        <v>954</v>
      </c>
      <c r="G6611" s="7">
        <v>46221.16450138139</v>
      </c>
    </row>
    <row r="6612">
      <c r="A6612" s="3" t="s">
        <v>20258</v>
      </c>
      <c r="B6612" s="3" t="s">
        <v>900</v>
      </c>
      <c r="C6612" s="3" t="s">
        <v>1342</v>
      </c>
      <c r="D6612" s="3" t="s">
        <v>195</v>
      </c>
      <c r="E6612" s="3" t="s">
        <v>45</v>
      </c>
      <c r="F6612" s="3" t="s">
        <v>996</v>
      </c>
      <c r="G6612" s="7">
        <v>46221.23567622681</v>
      </c>
    </row>
    <row r="6613">
      <c r="A6613" s="3" t="s">
        <v>20260</v>
      </c>
      <c r="B6613" s="3" t="s">
        <v>957</v>
      </c>
      <c r="C6613" s="3" t="s">
        <v>1095</v>
      </c>
      <c r="D6613" s="3" t="s">
        <v>68</v>
      </c>
      <c r="E6613" s="3" t="s">
        <v>100</v>
      </c>
      <c r="F6613" s="3" t="s">
        <v>1099</v>
      </c>
      <c r="G6613" s="7">
        <v>46221.30685107223</v>
      </c>
    </row>
    <row r="6614">
      <c r="A6614" s="3" t="s">
        <v>20262</v>
      </c>
      <c r="B6614" s="3" t="s">
        <v>280</v>
      </c>
      <c r="C6614" s="3" t="s">
        <v>1095</v>
      </c>
      <c r="D6614" s="3" t="s">
        <v>68</v>
      </c>
      <c r="E6614" s="3" t="s">
        <v>100</v>
      </c>
      <c r="F6614" s="3" t="s">
        <v>1431</v>
      </c>
      <c r="G6614" s="7">
        <v>46221.378025917635</v>
      </c>
    </row>
    <row r="6615">
      <c r="A6615" s="3" t="s">
        <v>20265</v>
      </c>
      <c r="B6615" s="3" t="s">
        <v>162</v>
      </c>
      <c r="C6615" s="3" t="s">
        <v>1095</v>
      </c>
      <c r="D6615" s="3" t="s">
        <v>68</v>
      </c>
      <c r="E6615" s="3" t="s">
        <v>100</v>
      </c>
      <c r="F6615" s="3" t="s">
        <v>1424</v>
      </c>
      <c r="G6615" s="7">
        <v>46221.449200763054</v>
      </c>
    </row>
    <row r="6616">
      <c r="A6616" s="3" t="s">
        <v>20269</v>
      </c>
      <c r="B6616" s="3" t="s">
        <v>586</v>
      </c>
      <c r="C6616" s="3" t="s">
        <v>1342</v>
      </c>
      <c r="D6616" s="3" t="s">
        <v>68</v>
      </c>
      <c r="E6616" s="3" t="s">
        <v>100</v>
      </c>
      <c r="F6616" s="3" t="s">
        <v>1627</v>
      </c>
      <c r="G6616" s="7">
        <v>46221.520375608474</v>
      </c>
    </row>
    <row r="6617">
      <c r="A6617" s="3" t="s">
        <v>20272</v>
      </c>
      <c r="B6617" s="3" t="s">
        <v>609</v>
      </c>
      <c r="C6617" s="3" t="s">
        <v>1095</v>
      </c>
      <c r="D6617" s="3" t="s">
        <v>68</v>
      </c>
      <c r="E6617" s="3" t="s">
        <v>100</v>
      </c>
      <c r="F6617" s="3" t="s">
        <v>963</v>
      </c>
      <c r="G6617" s="7">
        <v>46221.591550453886</v>
      </c>
    </row>
    <row r="6618">
      <c r="A6618" s="3" t="s">
        <v>20275</v>
      </c>
      <c r="B6618" s="3" t="s">
        <v>1034</v>
      </c>
      <c r="C6618" s="3" t="s">
        <v>1342</v>
      </c>
      <c r="D6618" s="3" t="s">
        <v>68</v>
      </c>
      <c r="E6618" s="3" t="s">
        <v>100</v>
      </c>
      <c r="F6618" s="3" t="s">
        <v>950</v>
      </c>
      <c r="G6618" s="7">
        <v>46221.6627252993</v>
      </c>
    </row>
    <row r="6619">
      <c r="A6619" s="3" t="s">
        <v>20279</v>
      </c>
      <c r="B6619" s="3" t="s">
        <v>446</v>
      </c>
      <c r="C6619" s="3" t="s">
        <v>1342</v>
      </c>
      <c r="D6619" s="3" t="s">
        <v>68</v>
      </c>
      <c r="E6619" s="3" t="s">
        <v>100</v>
      </c>
      <c r="F6619" s="3" t="s">
        <v>1284</v>
      </c>
      <c r="G6619" s="7">
        <v>46221.73390014472</v>
      </c>
    </row>
    <row r="6620">
      <c r="A6620" s="3" t="s">
        <v>20283</v>
      </c>
      <c r="B6620" s="3" t="s">
        <v>219</v>
      </c>
      <c r="C6620" s="3" t="s">
        <v>1342</v>
      </c>
      <c r="D6620" s="3" t="s">
        <v>68</v>
      </c>
      <c r="E6620" s="3" t="s">
        <v>100</v>
      </c>
      <c r="F6620" s="3" t="s">
        <v>1348</v>
      </c>
      <c r="G6620" s="7">
        <v>46221.80507499013</v>
      </c>
    </row>
    <row r="6621">
      <c r="A6621" s="3" t="s">
        <v>20286</v>
      </c>
      <c r="B6621" s="3" t="s">
        <v>756</v>
      </c>
      <c r="C6621" s="3" t="s">
        <v>1095</v>
      </c>
      <c r="D6621" s="3" t="s">
        <v>68</v>
      </c>
      <c r="E6621" s="3" t="s">
        <v>100</v>
      </c>
      <c r="F6621" s="3" t="s">
        <v>1925</v>
      </c>
      <c r="G6621" s="7">
        <v>46221.87624983554</v>
      </c>
    </row>
    <row r="6622">
      <c r="A6622" s="3" t="s">
        <v>20288</v>
      </c>
      <c r="B6622" s="3" t="s">
        <v>544</v>
      </c>
      <c r="C6622" s="3" t="s">
        <v>1342</v>
      </c>
      <c r="D6622" s="3" t="s">
        <v>68</v>
      </c>
      <c r="E6622" s="3" t="s">
        <v>100</v>
      </c>
      <c r="F6622" s="3" t="s">
        <v>1378</v>
      </c>
      <c r="G6622" s="7">
        <v>46221.94742468096</v>
      </c>
    </row>
    <row r="6623">
      <c r="A6623" s="3" t="s">
        <v>20291</v>
      </c>
      <c r="B6623" s="3" t="s">
        <v>336</v>
      </c>
      <c r="C6623" s="3" t="s">
        <v>1342</v>
      </c>
      <c r="D6623" s="3" t="s">
        <v>68</v>
      </c>
      <c r="E6623" s="3" t="s">
        <v>100</v>
      </c>
      <c r="F6623" s="3" t="s">
        <v>1190</v>
      </c>
      <c r="G6623" s="7">
        <v>46222.018599526375</v>
      </c>
    </row>
    <row r="6624">
      <c r="A6624" s="3" t="s">
        <v>20293</v>
      </c>
      <c r="B6624" s="3" t="s">
        <v>591</v>
      </c>
      <c r="C6624" s="3" t="s">
        <v>56</v>
      </c>
      <c r="D6624" s="3" t="s">
        <v>68</v>
      </c>
      <c r="E6624" s="3" t="s">
        <v>100</v>
      </c>
      <c r="F6624" s="3" t="s">
        <v>1495</v>
      </c>
      <c r="G6624" s="7">
        <v>46222.08977437179</v>
      </c>
    </row>
    <row r="6625">
      <c r="A6625" s="3" t="s">
        <v>20296</v>
      </c>
      <c r="B6625" s="3" t="s">
        <v>980</v>
      </c>
      <c r="C6625" s="3" t="s">
        <v>1095</v>
      </c>
      <c r="D6625" s="3" t="s">
        <v>195</v>
      </c>
      <c r="E6625" s="3" t="s">
        <v>45</v>
      </c>
      <c r="F6625" s="3" t="s">
        <v>1088</v>
      </c>
      <c r="G6625" s="7">
        <v>46222.16094921721</v>
      </c>
    </row>
    <row r="6626">
      <c r="A6626" s="3" t="s">
        <v>20300</v>
      </c>
      <c r="B6626" s="3" t="s">
        <v>765</v>
      </c>
      <c r="C6626" s="3" t="s">
        <v>1095</v>
      </c>
      <c r="D6626" s="3" t="s">
        <v>68</v>
      </c>
      <c r="E6626" s="3" t="s">
        <v>100</v>
      </c>
      <c r="F6626" s="3" t="s">
        <v>808</v>
      </c>
      <c r="G6626" s="7">
        <v>46222.232124062626</v>
      </c>
    </row>
    <row r="6627">
      <c r="A6627" s="3" t="s">
        <v>20302</v>
      </c>
      <c r="B6627" s="3" t="s">
        <v>510</v>
      </c>
      <c r="C6627" s="3" t="s">
        <v>56</v>
      </c>
      <c r="D6627" s="3" t="s">
        <v>68</v>
      </c>
      <c r="E6627" s="3" t="s">
        <v>100</v>
      </c>
      <c r="F6627" s="3" t="s">
        <v>1503</v>
      </c>
      <c r="G6627" s="7">
        <v>46222.30329890803</v>
      </c>
    </row>
    <row r="6628">
      <c r="A6628" s="3" t="s">
        <v>20306</v>
      </c>
      <c r="B6628" s="3" t="s">
        <v>310</v>
      </c>
      <c r="C6628" s="3" t="s">
        <v>56</v>
      </c>
      <c r="D6628" s="3" t="s">
        <v>68</v>
      </c>
      <c r="E6628" s="3" t="s">
        <v>100</v>
      </c>
      <c r="F6628" s="3" t="s">
        <v>1509</v>
      </c>
      <c r="G6628" s="7">
        <v>46222.37447375345</v>
      </c>
    </row>
    <row r="6629">
      <c r="A6629" s="3" t="s">
        <v>20309</v>
      </c>
      <c r="B6629" s="3" t="s">
        <v>1026</v>
      </c>
      <c r="C6629" s="3" t="s">
        <v>1342</v>
      </c>
      <c r="D6629" s="3" t="s">
        <v>68</v>
      </c>
      <c r="E6629" s="3" t="s">
        <v>100</v>
      </c>
      <c r="F6629" s="3" t="s">
        <v>1458</v>
      </c>
      <c r="G6629" s="7">
        <v>46222.44564859887</v>
      </c>
    </row>
    <row r="6630">
      <c r="A6630" s="3" t="s">
        <v>20312</v>
      </c>
      <c r="B6630" s="3" t="s">
        <v>366</v>
      </c>
      <c r="C6630" s="3" t="s">
        <v>1095</v>
      </c>
      <c r="D6630" s="3" t="s">
        <v>68</v>
      </c>
      <c r="E6630" s="3" t="s">
        <v>100</v>
      </c>
      <c r="F6630" s="3" t="s">
        <v>1286</v>
      </c>
      <c r="G6630" s="7">
        <v>46222.51682344428</v>
      </c>
    </row>
    <row r="6631">
      <c r="A6631" s="3" t="s">
        <v>20314</v>
      </c>
      <c r="B6631" s="3" t="s">
        <v>165</v>
      </c>
      <c r="C6631" s="3" t="s">
        <v>1342</v>
      </c>
      <c r="D6631" s="3" t="s">
        <v>181</v>
      </c>
      <c r="E6631" s="3" t="s">
        <v>45</v>
      </c>
      <c r="F6631" s="3" t="s">
        <v>1451</v>
      </c>
      <c r="G6631" s="7">
        <v>46222.587998289695</v>
      </c>
    </row>
    <row r="6632">
      <c r="A6632" s="3" t="s">
        <v>20316</v>
      </c>
      <c r="B6632" s="3" t="s">
        <v>455</v>
      </c>
      <c r="C6632" s="3" t="s">
        <v>56</v>
      </c>
      <c r="D6632" s="3" t="s">
        <v>68</v>
      </c>
      <c r="E6632" s="3" t="s">
        <v>100</v>
      </c>
      <c r="F6632" s="3" t="s">
        <v>1512</v>
      </c>
      <c r="G6632" s="7">
        <v>46222.659173135115</v>
      </c>
    </row>
    <row r="6633">
      <c r="A6633" s="3" t="s">
        <v>20319</v>
      </c>
      <c r="B6633" s="3" t="s">
        <v>424</v>
      </c>
      <c r="C6633" s="3" t="s">
        <v>1095</v>
      </c>
      <c r="D6633" s="3" t="s">
        <v>68</v>
      </c>
      <c r="E6633" s="3" t="s">
        <v>100</v>
      </c>
      <c r="F6633" s="3" t="s">
        <v>1291</v>
      </c>
      <c r="G6633" s="7">
        <v>46222.73034798053</v>
      </c>
    </row>
    <row r="6634">
      <c r="A6634" s="3" t="s">
        <v>20321</v>
      </c>
      <c r="B6634" s="3" t="s">
        <v>449</v>
      </c>
      <c r="C6634" s="3" t="s">
        <v>1095</v>
      </c>
      <c r="D6634" s="3" t="s">
        <v>68</v>
      </c>
      <c r="E6634" s="3" t="s">
        <v>100</v>
      </c>
      <c r="F6634" s="3" t="s">
        <v>1918</v>
      </c>
      <c r="G6634" s="7">
        <v>46222.80152282594</v>
      </c>
    </row>
    <row r="6635">
      <c r="A6635" s="3" t="s">
        <v>20324</v>
      </c>
      <c r="B6635" s="3" t="s">
        <v>546</v>
      </c>
      <c r="C6635" s="3" t="s">
        <v>1095</v>
      </c>
      <c r="D6635" s="3" t="s">
        <v>68</v>
      </c>
      <c r="E6635" s="3" t="s">
        <v>100</v>
      </c>
      <c r="F6635" s="3" t="s">
        <v>1322</v>
      </c>
      <c r="G6635" s="7">
        <v>46222.87269767136</v>
      </c>
    </row>
    <row r="6636">
      <c r="A6636" s="3" t="s">
        <v>20326</v>
      </c>
      <c r="B6636" s="3" t="s">
        <v>816</v>
      </c>
      <c r="C6636" s="3" t="s">
        <v>1342</v>
      </c>
      <c r="D6636" s="3" t="s">
        <v>68</v>
      </c>
      <c r="E6636" s="3" t="s">
        <v>100</v>
      </c>
      <c r="F6636" s="3" t="s">
        <v>1366</v>
      </c>
      <c r="G6636" s="7">
        <v>46222.94387251677</v>
      </c>
    </row>
    <row r="6637">
      <c r="A6637" s="3" t="s">
        <v>20328</v>
      </c>
      <c r="B6637" s="3" t="s">
        <v>502</v>
      </c>
      <c r="C6637" s="3" t="s">
        <v>1342</v>
      </c>
      <c r="D6637" s="3" t="s">
        <v>68</v>
      </c>
      <c r="E6637" s="3" t="s">
        <v>100</v>
      </c>
      <c r="F6637" s="3" t="s">
        <v>1318</v>
      </c>
      <c r="G6637" s="7">
        <v>46223.01504736218</v>
      </c>
    </row>
    <row r="6638">
      <c r="A6638" s="3" t="s">
        <v>20330</v>
      </c>
      <c r="B6638" s="3" t="s">
        <v>612</v>
      </c>
      <c r="C6638" s="3" t="s">
        <v>1342</v>
      </c>
      <c r="D6638" s="3" t="s">
        <v>181</v>
      </c>
      <c r="E6638" s="3" t="s">
        <v>45</v>
      </c>
      <c r="F6638" s="3" t="s">
        <v>595</v>
      </c>
      <c r="G6638" s="7">
        <v>46223.0862222076</v>
      </c>
    </row>
    <row r="6639">
      <c r="A6639" s="3" t="s">
        <v>20333</v>
      </c>
      <c r="B6639" s="3" t="s">
        <v>419</v>
      </c>
      <c r="C6639" s="3" t="s">
        <v>1342</v>
      </c>
      <c r="D6639" s="3" t="s">
        <v>68</v>
      </c>
      <c r="E6639" s="3" t="s">
        <v>100</v>
      </c>
      <c r="F6639" s="3" t="s">
        <v>2111</v>
      </c>
      <c r="G6639" s="7">
        <v>46223.157397053015</v>
      </c>
    </row>
    <row r="6640">
      <c r="A6640" s="3" t="s">
        <v>20335</v>
      </c>
      <c r="B6640" s="3" t="s">
        <v>186</v>
      </c>
      <c r="C6640" s="3" t="s">
        <v>1095</v>
      </c>
      <c r="D6640" s="3" t="s">
        <v>68</v>
      </c>
      <c r="E6640" s="3" t="s">
        <v>100</v>
      </c>
      <c r="F6640" s="3" t="s">
        <v>646</v>
      </c>
      <c r="G6640" s="7">
        <v>46223.22857189843</v>
      </c>
    </row>
    <row r="6641">
      <c r="A6641" s="3" t="s">
        <v>20337</v>
      </c>
      <c r="B6641" s="3" t="s">
        <v>691</v>
      </c>
      <c r="C6641" s="3" t="s">
        <v>1095</v>
      </c>
      <c r="D6641" s="3" t="s">
        <v>181</v>
      </c>
      <c r="E6641" s="3" t="s">
        <v>45</v>
      </c>
      <c r="F6641" s="3" t="s">
        <v>1177</v>
      </c>
      <c r="G6641" s="7">
        <v>46223.29974674385</v>
      </c>
    </row>
    <row r="6642">
      <c r="A6642" s="3" t="s">
        <v>20339</v>
      </c>
      <c r="B6642" s="3" t="s">
        <v>756</v>
      </c>
      <c r="C6642" s="3" t="s">
        <v>56</v>
      </c>
      <c r="D6642" s="3" t="s">
        <v>68</v>
      </c>
      <c r="E6642" s="3" t="s">
        <v>100</v>
      </c>
      <c r="F6642" s="3" t="s">
        <v>1514</v>
      </c>
      <c r="G6642" s="7">
        <v>46223.37092158927</v>
      </c>
    </row>
    <row r="6643">
      <c r="A6643" s="3" t="s">
        <v>20341</v>
      </c>
      <c r="B6643" s="3" t="s">
        <v>1040</v>
      </c>
      <c r="C6643" s="3" t="s">
        <v>1342</v>
      </c>
      <c r="D6643" s="3" t="s">
        <v>68</v>
      </c>
      <c r="E6643" s="3" t="s">
        <v>100</v>
      </c>
      <c r="F6643" s="3" t="s">
        <v>1100</v>
      </c>
      <c r="G6643" s="7">
        <v>46223.44209643467</v>
      </c>
    </row>
    <row r="6644">
      <c r="A6644" s="3" t="s">
        <v>20343</v>
      </c>
      <c r="B6644" s="3" t="s">
        <v>819</v>
      </c>
      <c r="C6644" s="3" t="s">
        <v>1095</v>
      </c>
      <c r="D6644" s="3" t="s">
        <v>68</v>
      </c>
      <c r="E6644" s="3" t="s">
        <v>100</v>
      </c>
      <c r="F6644" s="3" t="s">
        <v>1351</v>
      </c>
      <c r="G6644" s="7">
        <v>46223.51327128009</v>
      </c>
    </row>
    <row r="6645">
      <c r="A6645" s="3" t="s">
        <v>20345</v>
      </c>
      <c r="B6645" s="3" t="s">
        <v>472</v>
      </c>
      <c r="C6645" s="3" t="s">
        <v>1342</v>
      </c>
      <c r="D6645" s="3" t="s">
        <v>68</v>
      </c>
      <c r="E6645" s="3" t="s">
        <v>100</v>
      </c>
      <c r="F6645" s="3" t="s">
        <v>1722</v>
      </c>
      <c r="G6645" s="7">
        <v>46223.58444612551</v>
      </c>
    </row>
    <row r="6646">
      <c r="A6646" s="3" t="s">
        <v>20348</v>
      </c>
      <c r="B6646" s="3" t="s">
        <v>586</v>
      </c>
      <c r="C6646" s="3" t="s">
        <v>1342</v>
      </c>
      <c r="D6646" s="3" t="s">
        <v>68</v>
      </c>
      <c r="E6646" s="3" t="s">
        <v>100</v>
      </c>
      <c r="F6646" s="3" t="s">
        <v>1627</v>
      </c>
      <c r="G6646" s="7">
        <v>46223.65562097092</v>
      </c>
    </row>
    <row r="6647">
      <c r="A6647" s="3" t="s">
        <v>20350</v>
      </c>
      <c r="B6647" s="3" t="s">
        <v>877</v>
      </c>
      <c r="C6647" s="3" t="s">
        <v>56</v>
      </c>
      <c r="D6647" s="3" t="s">
        <v>68</v>
      </c>
      <c r="E6647" s="3" t="s">
        <v>100</v>
      </c>
      <c r="F6647" s="3" t="s">
        <v>1517</v>
      </c>
      <c r="G6647" s="7">
        <v>46223.726795816336</v>
      </c>
    </row>
    <row r="6648">
      <c r="A6648" s="3" t="s">
        <v>20352</v>
      </c>
      <c r="B6648" s="3" t="s">
        <v>665</v>
      </c>
      <c r="C6648" s="3" t="s">
        <v>1342</v>
      </c>
      <c r="D6648" s="3" t="s">
        <v>68</v>
      </c>
      <c r="E6648" s="3" t="s">
        <v>100</v>
      </c>
      <c r="F6648" s="3" t="s">
        <v>1292</v>
      </c>
      <c r="G6648" s="7">
        <v>46223.797970661755</v>
      </c>
    </row>
    <row r="6649">
      <c r="A6649" s="3" t="s">
        <v>20354</v>
      </c>
      <c r="B6649" s="3" t="s">
        <v>359</v>
      </c>
      <c r="C6649" s="3" t="s">
        <v>1095</v>
      </c>
      <c r="D6649" s="3" t="s">
        <v>68</v>
      </c>
      <c r="E6649" s="3" t="s">
        <v>100</v>
      </c>
      <c r="F6649" s="3" t="s">
        <v>977</v>
      </c>
      <c r="G6649" s="7">
        <v>46223.86914550717</v>
      </c>
    </row>
    <row r="6650">
      <c r="A6650" s="3" t="s">
        <v>20356</v>
      </c>
      <c r="B6650" s="3" t="s">
        <v>911</v>
      </c>
      <c r="C6650" s="3" t="s">
        <v>1342</v>
      </c>
      <c r="D6650" s="3" t="s">
        <v>68</v>
      </c>
      <c r="E6650" s="3" t="s">
        <v>100</v>
      </c>
      <c r="F6650" s="3" t="s">
        <v>1048</v>
      </c>
      <c r="G6650" s="7">
        <v>46223.94032035258</v>
      </c>
    </row>
    <row r="6651">
      <c r="A6651" s="3" t="s">
        <v>20358</v>
      </c>
      <c r="B6651" s="3" t="s">
        <v>615</v>
      </c>
      <c r="C6651" s="3" t="s">
        <v>1342</v>
      </c>
      <c r="D6651" s="3" t="s">
        <v>181</v>
      </c>
      <c r="E6651" s="3" t="s">
        <v>45</v>
      </c>
      <c r="F6651" s="3" t="s">
        <v>611</v>
      </c>
      <c r="G6651" s="7">
        <v>46224.011495198</v>
      </c>
    </row>
    <row r="6652">
      <c r="A6652" s="3" t="s">
        <v>20360</v>
      </c>
      <c r="B6652" s="3" t="s">
        <v>302</v>
      </c>
      <c r="C6652" s="3" t="s">
        <v>1095</v>
      </c>
      <c r="D6652" s="3" t="s">
        <v>68</v>
      </c>
      <c r="E6652" s="3" t="s">
        <v>100</v>
      </c>
      <c r="F6652" s="3" t="s">
        <v>1289</v>
      </c>
      <c r="G6652" s="7">
        <v>46224.08267004341</v>
      </c>
    </row>
    <row r="6653">
      <c r="A6653" s="3" t="s">
        <v>20362</v>
      </c>
      <c r="B6653" s="3" t="s">
        <v>466</v>
      </c>
      <c r="C6653" s="3" t="s">
        <v>1095</v>
      </c>
      <c r="D6653" s="3" t="s">
        <v>68</v>
      </c>
      <c r="E6653" s="3" t="s">
        <v>100</v>
      </c>
      <c r="F6653" s="3" t="s">
        <v>1393</v>
      </c>
      <c r="G6653" s="7">
        <v>46224.153844888824</v>
      </c>
    </row>
    <row r="6654">
      <c r="A6654" s="3" t="s">
        <v>20364</v>
      </c>
      <c r="B6654" s="3" t="s">
        <v>805</v>
      </c>
      <c r="C6654" s="3" t="s">
        <v>1342</v>
      </c>
      <c r="D6654" s="3" t="s">
        <v>68</v>
      </c>
      <c r="E6654" s="3" t="s">
        <v>100</v>
      </c>
      <c r="F6654" s="3" t="s">
        <v>1478</v>
      </c>
      <c r="G6654" s="7">
        <v>46224.225019734244</v>
      </c>
    </row>
    <row r="6655">
      <c r="A6655" s="3" t="s">
        <v>20366</v>
      </c>
      <c r="B6655" s="3" t="s">
        <v>593</v>
      </c>
      <c r="C6655" s="3" t="s">
        <v>1342</v>
      </c>
      <c r="D6655" s="3" t="s">
        <v>68</v>
      </c>
      <c r="E6655" s="3" t="s">
        <v>100</v>
      </c>
      <c r="F6655" s="3" t="s">
        <v>1081</v>
      </c>
      <c r="G6655" s="7">
        <v>46224.296194579656</v>
      </c>
    </row>
    <row r="6656">
      <c r="A6656" s="3" t="s">
        <v>20368</v>
      </c>
      <c r="B6656" s="3" t="s">
        <v>747</v>
      </c>
      <c r="C6656" s="3" t="s">
        <v>1342</v>
      </c>
      <c r="D6656" s="3" t="s">
        <v>68</v>
      </c>
      <c r="E6656" s="3" t="s">
        <v>100</v>
      </c>
      <c r="F6656" s="3" t="s">
        <v>1206</v>
      </c>
      <c r="G6656" s="7">
        <v>46224.367369425076</v>
      </c>
    </row>
    <row r="6657">
      <c r="A6657" s="3" t="s">
        <v>20371</v>
      </c>
      <c r="B6657" s="3" t="s">
        <v>883</v>
      </c>
      <c r="C6657" s="3" t="s">
        <v>1342</v>
      </c>
      <c r="D6657" s="3" t="s">
        <v>68</v>
      </c>
      <c r="E6657" s="3" t="s">
        <v>100</v>
      </c>
      <c r="F6657" s="3" t="s">
        <v>1125</v>
      </c>
      <c r="G6657" s="7">
        <v>46224.43854427049</v>
      </c>
    </row>
    <row r="6658">
      <c r="A6658" s="3" t="s">
        <v>20373</v>
      </c>
      <c r="B6658" s="3" t="s">
        <v>643</v>
      </c>
      <c r="C6658" s="3" t="s">
        <v>1095</v>
      </c>
      <c r="D6658" s="3" t="s">
        <v>68</v>
      </c>
      <c r="E6658" s="3" t="s">
        <v>100</v>
      </c>
      <c r="F6658" s="3" t="s">
        <v>1371</v>
      </c>
      <c r="G6658" s="7">
        <v>46224.50971911591</v>
      </c>
    </row>
    <row r="6659">
      <c r="A6659" s="3" t="s">
        <v>20375</v>
      </c>
      <c r="B6659" s="3" t="s">
        <v>559</v>
      </c>
      <c r="C6659" s="3" t="s">
        <v>1342</v>
      </c>
      <c r="D6659" s="3" t="s">
        <v>68</v>
      </c>
      <c r="E6659" s="3" t="s">
        <v>100</v>
      </c>
      <c r="F6659" s="3" t="s">
        <v>1133</v>
      </c>
      <c r="G6659" s="7">
        <v>46224.58089396131</v>
      </c>
    </row>
    <row r="6660">
      <c r="A6660" s="3" t="s">
        <v>20377</v>
      </c>
      <c r="B6660" s="3" t="s">
        <v>498</v>
      </c>
      <c r="C6660" s="3" t="s">
        <v>1342</v>
      </c>
      <c r="D6660" s="3" t="s">
        <v>68</v>
      </c>
      <c r="E6660" s="3" t="s">
        <v>100</v>
      </c>
      <c r="F6660" s="3" t="s">
        <v>1279</v>
      </c>
      <c r="G6660" s="7">
        <v>46224.65206880673</v>
      </c>
    </row>
    <row r="6661">
      <c r="A6661" s="3" t="s">
        <v>20379</v>
      </c>
      <c r="B6661" s="3" t="s">
        <v>224</v>
      </c>
      <c r="C6661" s="3" t="s">
        <v>1095</v>
      </c>
      <c r="D6661" s="3" t="s">
        <v>181</v>
      </c>
      <c r="E6661" s="3" t="s">
        <v>45</v>
      </c>
      <c r="F6661" s="3" t="s">
        <v>1751</v>
      </c>
      <c r="G6661" s="7">
        <v>46224.72324365215</v>
      </c>
    </row>
    <row r="6662">
      <c r="A6662" s="3" t="s">
        <v>20381</v>
      </c>
      <c r="B6662" s="3" t="s">
        <v>535</v>
      </c>
      <c r="C6662" s="3" t="s">
        <v>56</v>
      </c>
      <c r="D6662" s="3" t="s">
        <v>68</v>
      </c>
      <c r="E6662" s="3" t="s">
        <v>100</v>
      </c>
      <c r="F6662" s="3" t="s">
        <v>1520</v>
      </c>
      <c r="G6662" s="7">
        <v>46224.794418497564</v>
      </c>
    </row>
    <row r="6663">
      <c r="A6663" s="3" t="s">
        <v>20384</v>
      </c>
      <c r="B6663" s="3" t="s">
        <v>498</v>
      </c>
      <c r="C6663" s="3" t="s">
        <v>1095</v>
      </c>
      <c r="D6663" s="3" t="s">
        <v>68</v>
      </c>
      <c r="E6663" s="3" t="s">
        <v>100</v>
      </c>
      <c r="F6663" s="3" t="s">
        <v>1279</v>
      </c>
      <c r="G6663" s="7">
        <v>46224.865593342976</v>
      </c>
    </row>
    <row r="6664">
      <c r="A6664" s="3" t="s">
        <v>20386</v>
      </c>
      <c r="B6664" s="3" t="s">
        <v>826</v>
      </c>
      <c r="C6664" s="3" t="s">
        <v>56</v>
      </c>
      <c r="D6664" s="3" t="s">
        <v>68</v>
      </c>
      <c r="E6664" s="3" t="s">
        <v>100</v>
      </c>
      <c r="F6664" s="3" t="s">
        <v>1521</v>
      </c>
      <c r="G6664" s="7">
        <v>46224.936768188396</v>
      </c>
    </row>
    <row r="6665">
      <c r="A6665" s="3" t="s">
        <v>20388</v>
      </c>
      <c r="B6665" s="3" t="s">
        <v>557</v>
      </c>
      <c r="C6665" s="3" t="s">
        <v>1342</v>
      </c>
      <c r="D6665" s="3" t="s">
        <v>68</v>
      </c>
      <c r="E6665" s="3" t="s">
        <v>100</v>
      </c>
      <c r="F6665" s="3" t="s">
        <v>1483</v>
      </c>
      <c r="G6665" s="7">
        <v>46225.00794303381</v>
      </c>
    </row>
    <row r="6666">
      <c r="A6666" s="3" t="s">
        <v>20390</v>
      </c>
      <c r="B6666" s="3" t="s">
        <v>767</v>
      </c>
      <c r="C6666" s="3" t="s">
        <v>1342</v>
      </c>
      <c r="D6666" s="3" t="s">
        <v>68</v>
      </c>
      <c r="E6666" s="3" t="s">
        <v>100</v>
      </c>
      <c r="F6666" s="3" t="s">
        <v>1975</v>
      </c>
      <c r="G6666" s="7">
        <v>46225.07911787922</v>
      </c>
    </row>
    <row r="6667">
      <c r="A6667" s="3" t="s">
        <v>20392</v>
      </c>
      <c r="B6667" s="3" t="s">
        <v>789</v>
      </c>
      <c r="C6667" s="3" t="s">
        <v>1095</v>
      </c>
      <c r="D6667" s="3" t="s">
        <v>181</v>
      </c>
      <c r="E6667" s="3" t="s">
        <v>45</v>
      </c>
      <c r="F6667" s="3" t="s">
        <v>1873</v>
      </c>
      <c r="G6667" s="7">
        <v>46225.15029272464</v>
      </c>
    </row>
    <row r="6668">
      <c r="A6668" s="3" t="s">
        <v>20394</v>
      </c>
      <c r="B6668" s="3" t="s">
        <v>953</v>
      </c>
      <c r="C6668" s="3" t="s">
        <v>1342</v>
      </c>
      <c r="D6668" s="3" t="s">
        <v>181</v>
      </c>
      <c r="E6668" s="3" t="s">
        <v>45</v>
      </c>
      <c r="F6668" s="3" t="s">
        <v>1156</v>
      </c>
      <c r="G6668" s="7">
        <v>46225.22146757006</v>
      </c>
    </row>
    <row r="6669">
      <c r="A6669" s="3" t="s">
        <v>20396</v>
      </c>
      <c r="B6669" s="3" t="s">
        <v>189</v>
      </c>
      <c r="C6669" s="3" t="s">
        <v>56</v>
      </c>
      <c r="D6669" s="3" t="s">
        <v>68</v>
      </c>
      <c r="E6669" s="3" t="s">
        <v>100</v>
      </c>
      <c r="F6669" s="3" t="s">
        <v>1526</v>
      </c>
      <c r="G6669" s="7">
        <v>46225.292642415465</v>
      </c>
    </row>
    <row r="6670">
      <c r="A6670" s="3" t="s">
        <v>20399</v>
      </c>
      <c r="B6670" s="3" t="s">
        <v>424</v>
      </c>
      <c r="C6670" s="3" t="s">
        <v>56</v>
      </c>
      <c r="D6670" s="3" t="s">
        <v>68</v>
      </c>
      <c r="E6670" s="3" t="s">
        <v>100</v>
      </c>
      <c r="F6670" s="3" t="s">
        <v>1530</v>
      </c>
      <c r="G6670" s="7">
        <v>46225.363817260884</v>
      </c>
    </row>
    <row r="6671">
      <c r="A6671" s="3" t="s">
        <v>20404</v>
      </c>
      <c r="B6671" s="3" t="s">
        <v>310</v>
      </c>
      <c r="C6671" s="3" t="s">
        <v>1342</v>
      </c>
      <c r="D6671" s="3" t="s">
        <v>181</v>
      </c>
      <c r="E6671" s="3" t="s">
        <v>45</v>
      </c>
      <c r="F6671" s="3" t="s">
        <v>1509</v>
      </c>
      <c r="G6671" s="7">
        <v>46225.4349921063</v>
      </c>
    </row>
    <row r="6672">
      <c r="A6672" s="3" t="s">
        <v>20407</v>
      </c>
      <c r="B6672" s="3" t="s">
        <v>976</v>
      </c>
      <c r="C6672" s="3" t="s">
        <v>1342</v>
      </c>
      <c r="D6672" s="3" t="s">
        <v>181</v>
      </c>
      <c r="E6672" s="3" t="s">
        <v>45</v>
      </c>
      <c r="F6672" s="3" t="s">
        <v>1103</v>
      </c>
      <c r="G6672" s="7">
        <v>46225.506166951716</v>
      </c>
    </row>
    <row r="6673">
      <c r="A6673" s="3" t="s">
        <v>20410</v>
      </c>
      <c r="B6673" s="3" t="s">
        <v>395</v>
      </c>
      <c r="C6673" s="3" t="s">
        <v>1342</v>
      </c>
      <c r="D6673" s="3" t="s">
        <v>68</v>
      </c>
      <c r="E6673" s="3" t="s">
        <v>100</v>
      </c>
      <c r="F6673" s="3" t="s">
        <v>1418</v>
      </c>
      <c r="G6673" s="7">
        <v>46225.57734179713</v>
      </c>
    </row>
    <row r="6674">
      <c r="A6674" s="3" t="s">
        <v>20414</v>
      </c>
      <c r="B6674" s="3" t="s">
        <v>990</v>
      </c>
      <c r="C6674" s="3" t="s">
        <v>1342</v>
      </c>
      <c r="D6674" s="3" t="s">
        <v>68</v>
      </c>
      <c r="E6674" s="3" t="s">
        <v>100</v>
      </c>
      <c r="F6674" s="3" t="s">
        <v>1226</v>
      </c>
      <c r="G6674" s="7">
        <v>46225.64851664255</v>
      </c>
    </row>
    <row r="6675">
      <c r="A6675" s="3" t="s">
        <v>20418</v>
      </c>
      <c r="B6675" s="3" t="s">
        <v>1043</v>
      </c>
      <c r="C6675" s="3" t="s">
        <v>1342</v>
      </c>
      <c r="D6675" s="3" t="s">
        <v>68</v>
      </c>
      <c r="E6675" s="3" t="s">
        <v>100</v>
      </c>
      <c r="F6675" s="3" t="s">
        <v>1361</v>
      </c>
      <c r="G6675" s="7">
        <v>46225.71969148795</v>
      </c>
    </row>
    <row r="6676">
      <c r="A6676" s="3" t="s">
        <v>20420</v>
      </c>
      <c r="B6676" s="3" t="s">
        <v>219</v>
      </c>
      <c r="C6676" s="3" t="s">
        <v>1342</v>
      </c>
      <c r="D6676" s="3" t="s">
        <v>195</v>
      </c>
      <c r="E6676" s="3" t="s">
        <v>45</v>
      </c>
      <c r="F6676" s="3" t="s">
        <v>1348</v>
      </c>
      <c r="G6676" s="7">
        <v>46225.79086633337</v>
      </c>
    </row>
    <row r="6677">
      <c r="A6677" s="3" t="s">
        <v>20422</v>
      </c>
      <c r="B6677" s="3" t="s">
        <v>678</v>
      </c>
      <c r="C6677" s="3" t="s">
        <v>56</v>
      </c>
      <c r="D6677" s="3" t="s">
        <v>195</v>
      </c>
      <c r="E6677" s="3" t="s">
        <v>45</v>
      </c>
      <c r="F6677" s="3" t="s">
        <v>45</v>
      </c>
      <c r="G6677" s="7">
        <v>46225.86204117879</v>
      </c>
    </row>
    <row r="6678">
      <c r="A6678" s="3" t="s">
        <v>20424</v>
      </c>
      <c r="B6678" s="3" t="s">
        <v>569</v>
      </c>
      <c r="C6678" s="3" t="s">
        <v>56</v>
      </c>
      <c r="D6678" s="3" t="s">
        <v>68</v>
      </c>
      <c r="E6678" s="3" t="s">
        <v>100</v>
      </c>
      <c r="F6678" s="3" t="s">
        <v>1533</v>
      </c>
      <c r="G6678" s="7">
        <v>46225.933216024205</v>
      </c>
    </row>
    <row r="6679">
      <c r="A6679" s="3" t="s">
        <v>20426</v>
      </c>
      <c r="B6679" s="3" t="s">
        <v>253</v>
      </c>
      <c r="C6679" s="3" t="s">
        <v>1095</v>
      </c>
      <c r="D6679" s="3" t="s">
        <v>68</v>
      </c>
      <c r="E6679" s="3" t="s">
        <v>100</v>
      </c>
      <c r="F6679" s="3" t="s">
        <v>1268</v>
      </c>
      <c r="G6679" s="7">
        <v>46226.00439086962</v>
      </c>
    </row>
    <row r="6680">
      <c r="A6680" s="3" t="s">
        <v>20428</v>
      </c>
      <c r="B6680" s="3" t="s">
        <v>156</v>
      </c>
      <c r="C6680" s="3" t="s">
        <v>1095</v>
      </c>
      <c r="D6680" s="3" t="s">
        <v>68</v>
      </c>
      <c r="E6680" s="3" t="s">
        <v>100</v>
      </c>
      <c r="F6680" s="3" t="s">
        <v>1438</v>
      </c>
      <c r="G6680" s="7">
        <v>46226.07556571504</v>
      </c>
    </row>
    <row r="6681">
      <c r="A6681" s="3" t="s">
        <v>20430</v>
      </c>
      <c r="B6681" s="3" t="s">
        <v>145</v>
      </c>
      <c r="C6681" s="3" t="s">
        <v>1342</v>
      </c>
      <c r="D6681" s="3" t="s">
        <v>68</v>
      </c>
      <c r="E6681" s="3" t="s">
        <v>100</v>
      </c>
      <c r="F6681" s="3" t="s">
        <v>1491</v>
      </c>
      <c r="G6681" s="7">
        <v>46226.14674056045</v>
      </c>
    </row>
    <row r="6682">
      <c r="A6682" s="3" t="s">
        <v>20432</v>
      </c>
      <c r="B6682" s="3" t="s">
        <v>512</v>
      </c>
      <c r="C6682" s="3" t="s">
        <v>56</v>
      </c>
      <c r="D6682" s="3" t="s">
        <v>68</v>
      </c>
      <c r="E6682" s="3" t="s">
        <v>100</v>
      </c>
      <c r="F6682" s="3" t="s">
        <v>1538</v>
      </c>
      <c r="G6682" s="7">
        <v>46226.21791540586</v>
      </c>
    </row>
    <row r="6683">
      <c r="A6683" s="3" t="s">
        <v>20434</v>
      </c>
      <c r="B6683" s="3" t="s">
        <v>310</v>
      </c>
      <c r="C6683" s="3" t="s">
        <v>1095</v>
      </c>
      <c r="D6683" s="3" t="s">
        <v>68</v>
      </c>
      <c r="E6683" s="3" t="s">
        <v>100</v>
      </c>
      <c r="F6683" s="3" t="s">
        <v>1509</v>
      </c>
      <c r="G6683" s="7">
        <v>46226.28909025128</v>
      </c>
    </row>
    <row r="6684">
      <c r="A6684" s="3" t="s">
        <v>20437</v>
      </c>
      <c r="B6684" s="3" t="s">
        <v>462</v>
      </c>
      <c r="C6684" s="3" t="s">
        <v>1095</v>
      </c>
      <c r="D6684" s="3" t="s">
        <v>68</v>
      </c>
      <c r="E6684" s="3" t="s">
        <v>100</v>
      </c>
      <c r="F6684" s="3" t="s">
        <v>1179</v>
      </c>
      <c r="G6684" s="7">
        <v>46226.3602650967</v>
      </c>
    </row>
    <row r="6685">
      <c r="A6685" s="3" t="s">
        <v>20439</v>
      </c>
      <c r="B6685" s="3" t="s">
        <v>404</v>
      </c>
      <c r="C6685" s="3" t="s">
        <v>1095</v>
      </c>
      <c r="D6685" s="3" t="s">
        <v>181</v>
      </c>
      <c r="E6685" s="3" t="s">
        <v>45</v>
      </c>
      <c r="F6685" s="3" t="s">
        <v>2115</v>
      </c>
      <c r="G6685" s="7">
        <v>46226.431439942105</v>
      </c>
    </row>
    <row r="6686">
      <c r="A6686" s="3" t="s">
        <v>20441</v>
      </c>
      <c r="B6686" s="3" t="s">
        <v>479</v>
      </c>
      <c r="C6686" s="3" t="s">
        <v>1342</v>
      </c>
      <c r="D6686" s="3" t="s">
        <v>68</v>
      </c>
      <c r="E6686" s="3" t="s">
        <v>100</v>
      </c>
      <c r="F6686" s="3" t="s">
        <v>2032</v>
      </c>
      <c r="G6686" s="7">
        <v>46226.502614787525</v>
      </c>
    </row>
    <row r="6687">
      <c r="A6687" s="3" t="s">
        <v>20444</v>
      </c>
      <c r="B6687" s="3" t="s">
        <v>1001</v>
      </c>
      <c r="C6687" s="3" t="s">
        <v>1342</v>
      </c>
      <c r="D6687" s="3" t="s">
        <v>68</v>
      </c>
      <c r="E6687" s="3" t="s">
        <v>100</v>
      </c>
      <c r="F6687" s="3" t="s">
        <v>1094</v>
      </c>
      <c r="G6687" s="7">
        <v>46226.573789632945</v>
      </c>
    </row>
    <row r="6688">
      <c r="A6688" s="3" t="s">
        <v>20447</v>
      </c>
      <c r="B6688" s="3" t="s">
        <v>870</v>
      </c>
      <c r="C6688" s="3" t="s">
        <v>1342</v>
      </c>
      <c r="D6688" s="3" t="s">
        <v>68</v>
      </c>
      <c r="E6688" s="3" t="s">
        <v>100</v>
      </c>
      <c r="F6688" s="3" t="s">
        <v>1455</v>
      </c>
      <c r="G6688" s="7">
        <v>46226.64496447836</v>
      </c>
    </row>
    <row r="6689">
      <c r="A6689" s="3" t="s">
        <v>20452</v>
      </c>
      <c r="B6689" s="3" t="s">
        <v>341</v>
      </c>
      <c r="C6689" s="3" t="s">
        <v>1095</v>
      </c>
      <c r="D6689" s="3" t="s">
        <v>181</v>
      </c>
      <c r="E6689" s="3" t="s">
        <v>45</v>
      </c>
      <c r="F6689" s="3" t="s">
        <v>923</v>
      </c>
      <c r="G6689" s="7">
        <v>46226.71613932377</v>
      </c>
    </row>
    <row r="6690">
      <c r="A6690" s="3" t="s">
        <v>20454</v>
      </c>
      <c r="B6690" s="3" t="s">
        <v>307</v>
      </c>
      <c r="C6690" s="3" t="s">
        <v>1342</v>
      </c>
      <c r="D6690" s="3" t="s">
        <v>68</v>
      </c>
      <c r="E6690" s="3" t="s">
        <v>100</v>
      </c>
      <c r="F6690" s="3" t="s">
        <v>1338</v>
      </c>
      <c r="G6690" s="7">
        <v>46226.78731416919</v>
      </c>
    </row>
    <row r="6691">
      <c r="A6691" s="3" t="s">
        <v>20459</v>
      </c>
      <c r="B6691" s="3" t="s">
        <v>356</v>
      </c>
      <c r="C6691" s="3" t="s">
        <v>1095</v>
      </c>
      <c r="D6691" s="3" t="s">
        <v>181</v>
      </c>
      <c r="E6691" s="3" t="s">
        <v>45</v>
      </c>
      <c r="F6691" s="3" t="s">
        <v>1140</v>
      </c>
      <c r="G6691" s="7">
        <v>46226.8584890146</v>
      </c>
    </row>
    <row r="6692">
      <c r="A6692" s="3" t="s">
        <v>20463</v>
      </c>
      <c r="B6692" s="3" t="s">
        <v>224</v>
      </c>
      <c r="C6692" s="3" t="s">
        <v>1342</v>
      </c>
      <c r="D6692" s="3" t="s">
        <v>68</v>
      </c>
      <c r="E6692" s="3" t="s">
        <v>100</v>
      </c>
      <c r="F6692" s="3" t="s">
        <v>1751</v>
      </c>
      <c r="G6692" s="7">
        <v>46226.92966386001</v>
      </c>
    </row>
    <row r="6693">
      <c r="A6693" s="3" t="s">
        <v>20464</v>
      </c>
      <c r="B6693" s="3" t="s">
        <v>665</v>
      </c>
      <c r="C6693" s="3" t="s">
        <v>1342</v>
      </c>
      <c r="D6693" s="3" t="s">
        <v>181</v>
      </c>
      <c r="E6693" s="3" t="s">
        <v>45</v>
      </c>
      <c r="F6693" s="3" t="s">
        <v>1292</v>
      </c>
      <c r="G6693" s="7">
        <v>46227.00083870543</v>
      </c>
    </row>
    <row r="6694">
      <c r="A6694" s="3" t="s">
        <v>20466</v>
      </c>
      <c r="B6694" s="3" t="s">
        <v>282</v>
      </c>
      <c r="C6694" s="3" t="s">
        <v>56</v>
      </c>
      <c r="D6694" s="3" t="s">
        <v>68</v>
      </c>
      <c r="E6694" s="3" t="s">
        <v>100</v>
      </c>
      <c r="F6694" s="3" t="s">
        <v>1539</v>
      </c>
      <c r="G6694" s="7">
        <v>46227.072013550845</v>
      </c>
    </row>
    <row r="6695">
      <c r="A6695" s="3" t="s">
        <v>20469</v>
      </c>
      <c r="B6695" s="3" t="s">
        <v>591</v>
      </c>
      <c r="C6695" s="3" t="s">
        <v>1342</v>
      </c>
      <c r="D6695" s="3" t="s">
        <v>68</v>
      </c>
      <c r="E6695" s="3" t="s">
        <v>100</v>
      </c>
      <c r="F6695" s="3" t="s">
        <v>1495</v>
      </c>
      <c r="G6695" s="7">
        <v>46227.14318839626</v>
      </c>
    </row>
    <row r="6696">
      <c r="A6696" s="3" t="s">
        <v>20471</v>
      </c>
      <c r="B6696" s="3" t="s">
        <v>466</v>
      </c>
      <c r="C6696" s="3" t="s">
        <v>56</v>
      </c>
      <c r="D6696" s="3" t="s">
        <v>68</v>
      </c>
      <c r="E6696" s="3" t="s">
        <v>100</v>
      </c>
      <c r="F6696" s="3" t="s">
        <v>1542</v>
      </c>
      <c r="G6696" s="7">
        <v>46227.21436324168</v>
      </c>
    </row>
    <row r="6697">
      <c r="A6697" s="3" t="s">
        <v>20473</v>
      </c>
      <c r="B6697" s="3" t="s">
        <v>296</v>
      </c>
      <c r="C6697" s="3" t="s">
        <v>1342</v>
      </c>
      <c r="D6697" s="3" t="s">
        <v>195</v>
      </c>
      <c r="E6697" s="3" t="s">
        <v>45</v>
      </c>
      <c r="F6697" s="3" t="s">
        <v>1932</v>
      </c>
      <c r="G6697" s="7">
        <v>46227.28553808709</v>
      </c>
    </row>
    <row r="6698">
      <c r="A6698" s="3" t="s">
        <v>20475</v>
      </c>
      <c r="B6698" s="3" t="s">
        <v>908</v>
      </c>
      <c r="C6698" s="3" t="s">
        <v>1342</v>
      </c>
      <c r="D6698" s="3" t="s">
        <v>68</v>
      </c>
      <c r="E6698" s="3" t="s">
        <v>100</v>
      </c>
      <c r="F6698" s="3" t="s">
        <v>1535</v>
      </c>
      <c r="G6698" s="7">
        <v>46227.3567129325</v>
      </c>
    </row>
    <row r="6699">
      <c r="A6699" s="3" t="s">
        <v>20477</v>
      </c>
      <c r="B6699" s="3" t="s">
        <v>449</v>
      </c>
      <c r="C6699" s="3" t="s">
        <v>56</v>
      </c>
      <c r="D6699" s="3" t="s">
        <v>68</v>
      </c>
      <c r="E6699" s="3" t="s">
        <v>100</v>
      </c>
      <c r="F6699" s="3" t="s">
        <v>1543</v>
      </c>
      <c r="G6699" s="7">
        <v>46227.42788777792</v>
      </c>
    </row>
    <row r="6700">
      <c r="A6700" s="3" t="s">
        <v>20480</v>
      </c>
      <c r="B6700" s="3" t="s">
        <v>202</v>
      </c>
      <c r="C6700" s="3" t="s">
        <v>1342</v>
      </c>
      <c r="D6700" s="3" t="s">
        <v>68</v>
      </c>
      <c r="E6700" s="3" t="s">
        <v>100</v>
      </c>
      <c r="F6700" s="3" t="s">
        <v>840</v>
      </c>
      <c r="G6700" s="7">
        <v>46227.49906262334</v>
      </c>
    </row>
    <row r="6701">
      <c r="A6701" s="3" t="s">
        <v>20483</v>
      </c>
      <c r="B6701" s="3" t="s">
        <v>637</v>
      </c>
      <c r="C6701" s="3" t="s">
        <v>1342</v>
      </c>
      <c r="D6701" s="3" t="s">
        <v>68</v>
      </c>
      <c r="E6701" s="3" t="s">
        <v>100</v>
      </c>
      <c r="F6701" s="3" t="s">
        <v>1007</v>
      </c>
      <c r="G6701" s="7">
        <v>46227.570237468746</v>
      </c>
    </row>
    <row r="6702">
      <c r="A6702" s="3" t="s">
        <v>20487</v>
      </c>
      <c r="B6702" s="3" t="s">
        <v>449</v>
      </c>
      <c r="C6702" s="3" t="s">
        <v>1342</v>
      </c>
      <c r="D6702" s="3" t="s">
        <v>68</v>
      </c>
      <c r="E6702" s="3" t="s">
        <v>100</v>
      </c>
      <c r="F6702" s="3" t="s">
        <v>1543</v>
      </c>
      <c r="G6702" s="7">
        <v>46227.641412314166</v>
      </c>
    </row>
    <row r="6703">
      <c r="A6703" s="3" t="s">
        <v>20490</v>
      </c>
      <c r="B6703" s="3" t="s">
        <v>1026</v>
      </c>
      <c r="C6703" s="3" t="s">
        <v>1095</v>
      </c>
      <c r="D6703" s="3" t="s">
        <v>68</v>
      </c>
      <c r="E6703" s="3" t="s">
        <v>100</v>
      </c>
      <c r="F6703" s="3" t="s">
        <v>1458</v>
      </c>
      <c r="G6703" s="7">
        <v>46227.712587159585</v>
      </c>
    </row>
    <row r="6704">
      <c r="A6704" s="3" t="s">
        <v>20493</v>
      </c>
      <c r="B6704" s="3" t="s">
        <v>219</v>
      </c>
      <c r="C6704" s="3" t="s">
        <v>1342</v>
      </c>
      <c r="D6704" s="3" t="s">
        <v>68</v>
      </c>
      <c r="E6704" s="3" t="s">
        <v>100</v>
      </c>
      <c r="F6704" s="3" t="s">
        <v>1348</v>
      </c>
      <c r="G6704" s="7">
        <v>46227.783762005</v>
      </c>
    </row>
    <row r="6705">
      <c r="A6705" s="3" t="s">
        <v>20496</v>
      </c>
      <c r="B6705" s="3" t="s">
        <v>903</v>
      </c>
      <c r="C6705" s="3" t="s">
        <v>1342</v>
      </c>
      <c r="D6705" s="3" t="s">
        <v>68</v>
      </c>
      <c r="E6705" s="3" t="s">
        <v>100</v>
      </c>
      <c r="F6705" s="3" t="s">
        <v>1879</v>
      </c>
      <c r="G6705" s="7">
        <v>46227.85493685041</v>
      </c>
    </row>
    <row r="6706">
      <c r="A6706" s="3" t="s">
        <v>20501</v>
      </c>
      <c r="B6706" s="3" t="s">
        <v>419</v>
      </c>
      <c r="C6706" s="3" t="s">
        <v>1095</v>
      </c>
      <c r="D6706" s="3" t="s">
        <v>68</v>
      </c>
      <c r="E6706" s="3" t="s">
        <v>100</v>
      </c>
      <c r="F6706" s="3" t="s">
        <v>2111</v>
      </c>
      <c r="G6706" s="7">
        <v>46227.92611169583</v>
      </c>
    </row>
    <row r="6707">
      <c r="A6707" s="3" t="s">
        <v>20503</v>
      </c>
      <c r="B6707" s="3" t="s">
        <v>929</v>
      </c>
      <c r="C6707" s="3" t="s">
        <v>1342</v>
      </c>
      <c r="D6707" s="3" t="s">
        <v>68</v>
      </c>
      <c r="E6707" s="3" t="s">
        <v>100</v>
      </c>
      <c r="F6707" s="3" t="s">
        <v>1256</v>
      </c>
      <c r="G6707" s="7">
        <v>46227.99728654124</v>
      </c>
    </row>
    <row r="6708">
      <c r="A6708" s="3" t="s">
        <v>20505</v>
      </c>
      <c r="B6708" s="3" t="s">
        <v>468</v>
      </c>
      <c r="C6708" s="3" t="s">
        <v>1342</v>
      </c>
      <c r="D6708" s="3" t="s">
        <v>68</v>
      </c>
      <c r="E6708" s="3" t="s">
        <v>100</v>
      </c>
      <c r="F6708" s="3" t="s">
        <v>1302</v>
      </c>
      <c r="G6708" s="7">
        <v>46228.068461386654</v>
      </c>
    </row>
    <row r="6709">
      <c r="A6709" s="3" t="s">
        <v>20507</v>
      </c>
      <c r="B6709" s="3" t="s">
        <v>539</v>
      </c>
      <c r="C6709" s="3" t="s">
        <v>1342</v>
      </c>
      <c r="D6709" s="3" t="s">
        <v>68</v>
      </c>
      <c r="E6709" s="3" t="s">
        <v>100</v>
      </c>
      <c r="F6709" s="3" t="s">
        <v>1346</v>
      </c>
      <c r="G6709" s="7">
        <v>46228.139636232074</v>
      </c>
    </row>
    <row r="6710">
      <c r="A6710" s="3" t="s">
        <v>20509</v>
      </c>
      <c r="B6710" s="3" t="s">
        <v>1001</v>
      </c>
      <c r="C6710" s="3" t="s">
        <v>1342</v>
      </c>
      <c r="D6710" s="3" t="s">
        <v>68</v>
      </c>
      <c r="E6710" s="3" t="s">
        <v>100</v>
      </c>
      <c r="F6710" s="3" t="s">
        <v>1094</v>
      </c>
      <c r="G6710" s="7">
        <v>46228.21081107749</v>
      </c>
    </row>
    <row r="6711">
      <c r="A6711" s="3" t="s">
        <v>20512</v>
      </c>
      <c r="B6711" s="3" t="s">
        <v>676</v>
      </c>
      <c r="C6711" s="3" t="s">
        <v>1342</v>
      </c>
      <c r="D6711" s="3" t="s">
        <v>68</v>
      </c>
      <c r="E6711" s="3" t="s">
        <v>100</v>
      </c>
      <c r="F6711" s="3" t="s">
        <v>1795</v>
      </c>
      <c r="G6711" s="7">
        <v>46228.2819859229</v>
      </c>
    </row>
    <row r="6712">
      <c r="A6712" s="3" t="s">
        <v>20515</v>
      </c>
      <c r="B6712" s="3" t="s">
        <v>793</v>
      </c>
      <c r="C6712" s="3" t="s">
        <v>56</v>
      </c>
      <c r="D6712" s="3" t="s">
        <v>68</v>
      </c>
      <c r="E6712" s="3" t="s">
        <v>100</v>
      </c>
      <c r="F6712" s="3" t="s">
        <v>1545</v>
      </c>
      <c r="G6712" s="7">
        <v>46228.35316076832</v>
      </c>
    </row>
    <row r="6713">
      <c r="A6713" s="3" t="s">
        <v>20518</v>
      </c>
      <c r="B6713" s="3" t="s">
        <v>864</v>
      </c>
      <c r="C6713" s="3" t="s">
        <v>56</v>
      </c>
      <c r="D6713" s="3" t="s">
        <v>68</v>
      </c>
      <c r="E6713" s="3" t="s">
        <v>100</v>
      </c>
      <c r="F6713" s="3" t="s">
        <v>1546</v>
      </c>
      <c r="G6713" s="7">
        <v>46228.42433561373</v>
      </c>
    </row>
    <row r="6714">
      <c r="A6714" s="3" t="s">
        <v>20521</v>
      </c>
      <c r="B6714" s="3" t="s">
        <v>819</v>
      </c>
      <c r="C6714" s="3" t="s">
        <v>56</v>
      </c>
      <c r="D6714" s="3" t="s">
        <v>68</v>
      </c>
      <c r="E6714" s="3" t="s">
        <v>100</v>
      </c>
      <c r="F6714" s="3" t="s">
        <v>1548</v>
      </c>
      <c r="G6714" s="7">
        <v>46228.49551045915</v>
      </c>
    </row>
    <row r="6715">
      <c r="A6715" s="3" t="s">
        <v>20524</v>
      </c>
      <c r="B6715" s="3" t="s">
        <v>650</v>
      </c>
      <c r="C6715" s="3" t="s">
        <v>1095</v>
      </c>
      <c r="D6715" s="3" t="s">
        <v>68</v>
      </c>
      <c r="E6715" s="3" t="s">
        <v>100</v>
      </c>
      <c r="F6715" s="3" t="s">
        <v>1281</v>
      </c>
      <c r="G6715" s="7">
        <v>46228.56668530456</v>
      </c>
    </row>
    <row r="6716">
      <c r="A6716" s="3" t="s">
        <v>20526</v>
      </c>
      <c r="B6716" s="3" t="s">
        <v>848</v>
      </c>
      <c r="C6716" s="3" t="s">
        <v>1095</v>
      </c>
      <c r="D6716" s="3" t="s">
        <v>68</v>
      </c>
      <c r="E6716" s="3" t="s">
        <v>100</v>
      </c>
      <c r="F6716" s="3" t="s">
        <v>1467</v>
      </c>
      <c r="G6716" s="7">
        <v>46228.63786014998</v>
      </c>
    </row>
    <row r="6717">
      <c r="A6717" s="3" t="s">
        <v>20528</v>
      </c>
      <c r="B6717" s="3" t="s">
        <v>202</v>
      </c>
      <c r="C6717" s="3" t="s">
        <v>1342</v>
      </c>
      <c r="D6717" s="3" t="s">
        <v>68</v>
      </c>
      <c r="E6717" s="3" t="s">
        <v>100</v>
      </c>
      <c r="F6717" s="3" t="s">
        <v>840</v>
      </c>
      <c r="G6717" s="7">
        <v>46228.70903499539</v>
      </c>
    </row>
    <row r="6718">
      <c r="A6718" s="3" t="s">
        <v>20530</v>
      </c>
      <c r="B6718" s="3" t="s">
        <v>455</v>
      </c>
      <c r="C6718" s="3" t="s">
        <v>1095</v>
      </c>
      <c r="D6718" s="3" t="s">
        <v>68</v>
      </c>
      <c r="E6718" s="3" t="s">
        <v>100</v>
      </c>
      <c r="F6718" s="3" t="s">
        <v>1512</v>
      </c>
      <c r="G6718" s="7">
        <v>46228.78020984081</v>
      </c>
    </row>
    <row r="6719">
      <c r="A6719" s="3" t="s">
        <v>20532</v>
      </c>
      <c r="B6719" s="3" t="s">
        <v>179</v>
      </c>
      <c r="C6719" s="3" t="s">
        <v>1342</v>
      </c>
      <c r="D6719" s="3" t="s">
        <v>68</v>
      </c>
      <c r="E6719" s="3" t="s">
        <v>100</v>
      </c>
      <c r="F6719" s="3" t="s">
        <v>1558</v>
      </c>
      <c r="G6719" s="7">
        <v>46228.851384686226</v>
      </c>
    </row>
    <row r="6720">
      <c r="A6720" s="3" t="s">
        <v>20534</v>
      </c>
      <c r="B6720" s="3" t="s">
        <v>631</v>
      </c>
      <c r="C6720" s="3" t="s">
        <v>1095</v>
      </c>
      <c r="D6720" s="3" t="s">
        <v>68</v>
      </c>
      <c r="E6720" s="3" t="s">
        <v>100</v>
      </c>
      <c r="F6720" s="3" t="s">
        <v>1488</v>
      </c>
      <c r="G6720" s="7">
        <v>46228.92255953164</v>
      </c>
    </row>
    <row r="6721">
      <c r="A6721" s="3" t="s">
        <v>20536</v>
      </c>
      <c r="B6721" s="3" t="s">
        <v>280</v>
      </c>
      <c r="C6721" s="3" t="s">
        <v>56</v>
      </c>
      <c r="D6721" s="3" t="s">
        <v>68</v>
      </c>
      <c r="E6721" s="3" t="s">
        <v>100</v>
      </c>
      <c r="F6721" s="3" t="s">
        <v>1552</v>
      </c>
      <c r="G6721" s="7">
        <v>46228.99373437705</v>
      </c>
    </row>
    <row r="6722">
      <c r="A6722" s="3" t="s">
        <v>20538</v>
      </c>
      <c r="B6722" s="3" t="s">
        <v>449</v>
      </c>
      <c r="C6722" s="3" t="s">
        <v>1095</v>
      </c>
      <c r="D6722" s="3" t="s">
        <v>68</v>
      </c>
      <c r="E6722" s="3" t="s">
        <v>100</v>
      </c>
      <c r="F6722" s="3" t="s">
        <v>1543</v>
      </c>
      <c r="G6722" s="7">
        <v>46229.06490922247</v>
      </c>
    </row>
    <row r="6723">
      <c r="A6723" s="3" t="s">
        <v>20540</v>
      </c>
      <c r="B6723" s="3" t="s">
        <v>767</v>
      </c>
      <c r="C6723" s="3" t="s">
        <v>1095</v>
      </c>
      <c r="D6723" s="3" t="s">
        <v>68</v>
      </c>
      <c r="E6723" s="3" t="s">
        <v>100</v>
      </c>
      <c r="F6723" s="3" t="s">
        <v>1975</v>
      </c>
      <c r="G6723" s="7">
        <v>46229.13608406788</v>
      </c>
    </row>
    <row r="6724">
      <c r="A6724" s="3" t="s">
        <v>20543</v>
      </c>
      <c r="B6724" s="3" t="s">
        <v>943</v>
      </c>
      <c r="C6724" s="3" t="s">
        <v>56</v>
      </c>
      <c r="D6724" s="3" t="s">
        <v>68</v>
      </c>
      <c r="E6724" s="3" t="s">
        <v>100</v>
      </c>
      <c r="F6724" s="3" t="s">
        <v>1553</v>
      </c>
      <c r="G6724" s="7">
        <v>46229.207258913295</v>
      </c>
    </row>
    <row r="6725">
      <c r="A6725" s="3" t="s">
        <v>20545</v>
      </c>
      <c r="B6725" s="3" t="s">
        <v>424</v>
      </c>
      <c r="C6725" s="3" t="s">
        <v>1342</v>
      </c>
      <c r="D6725" s="3" t="s">
        <v>68</v>
      </c>
      <c r="E6725" s="3" t="s">
        <v>100</v>
      </c>
      <c r="F6725" s="3" t="s">
        <v>1530</v>
      </c>
      <c r="G6725" s="7">
        <v>46229.278433758715</v>
      </c>
    </row>
    <row r="6726">
      <c r="A6726" s="3" t="s">
        <v>20547</v>
      </c>
      <c r="B6726" s="3" t="s">
        <v>197</v>
      </c>
      <c r="C6726" s="3" t="s">
        <v>1342</v>
      </c>
      <c r="D6726" s="3" t="s">
        <v>68</v>
      </c>
      <c r="E6726" s="3" t="s">
        <v>100</v>
      </c>
      <c r="F6726" s="3" t="s">
        <v>1335</v>
      </c>
      <c r="G6726" s="7">
        <v>46229.349608604134</v>
      </c>
    </row>
    <row r="6727">
      <c r="A6727" s="3" t="s">
        <v>20549</v>
      </c>
      <c r="B6727" s="3" t="s">
        <v>627</v>
      </c>
      <c r="C6727" s="3" t="s">
        <v>1095</v>
      </c>
      <c r="D6727" s="3" t="s">
        <v>68</v>
      </c>
      <c r="E6727" s="3" t="s">
        <v>100</v>
      </c>
      <c r="F6727" s="3" t="s">
        <v>1446</v>
      </c>
      <c r="G6727" s="7">
        <v>46229.42078344954</v>
      </c>
    </row>
    <row r="6728">
      <c r="A6728" s="3" t="s">
        <v>20552</v>
      </c>
      <c r="B6728" s="3" t="s">
        <v>219</v>
      </c>
      <c r="C6728" s="3" t="s">
        <v>1095</v>
      </c>
      <c r="D6728" s="3" t="s">
        <v>68</v>
      </c>
      <c r="E6728" s="3" t="s">
        <v>100</v>
      </c>
      <c r="F6728" s="3" t="s">
        <v>1348</v>
      </c>
      <c r="G6728" s="7">
        <v>46229.49195829496</v>
      </c>
    </row>
    <row r="6729">
      <c r="A6729" s="3" t="s">
        <v>20554</v>
      </c>
      <c r="B6729" s="3" t="s">
        <v>168</v>
      </c>
      <c r="C6729" s="3" t="s">
        <v>56</v>
      </c>
      <c r="D6729" s="3" t="s">
        <v>195</v>
      </c>
      <c r="E6729" s="3" t="s">
        <v>45</v>
      </c>
      <c r="F6729" s="3" t="s">
        <v>45</v>
      </c>
      <c r="G6729" s="7">
        <v>46229.56313314038</v>
      </c>
    </row>
    <row r="6730">
      <c r="A6730" s="3" t="s">
        <v>20556</v>
      </c>
      <c r="B6730" s="3" t="s">
        <v>587</v>
      </c>
      <c r="C6730" s="3" t="s">
        <v>1342</v>
      </c>
      <c r="D6730" s="3" t="s">
        <v>68</v>
      </c>
      <c r="E6730" s="3" t="s">
        <v>100</v>
      </c>
      <c r="F6730" s="3" t="s">
        <v>1448</v>
      </c>
      <c r="G6730" s="7">
        <v>46229.63430798579</v>
      </c>
    </row>
    <row r="6731">
      <c r="A6731" s="3" t="s">
        <v>20558</v>
      </c>
      <c r="B6731" s="3" t="s">
        <v>657</v>
      </c>
      <c r="C6731" s="3" t="s">
        <v>1095</v>
      </c>
      <c r="D6731" s="3" t="s">
        <v>68</v>
      </c>
      <c r="E6731" s="3" t="s">
        <v>100</v>
      </c>
      <c r="F6731" s="3" t="s">
        <v>1356</v>
      </c>
      <c r="G6731" s="7">
        <v>46229.7054828312</v>
      </c>
    </row>
    <row r="6732">
      <c r="A6732" s="3" t="s">
        <v>20560</v>
      </c>
      <c r="B6732" s="3" t="s">
        <v>645</v>
      </c>
      <c r="C6732" s="3" t="s">
        <v>1342</v>
      </c>
      <c r="D6732" s="3" t="s">
        <v>181</v>
      </c>
      <c r="E6732" s="3" t="s">
        <v>45</v>
      </c>
      <c r="F6732" s="3" t="s">
        <v>1135</v>
      </c>
      <c r="G6732" s="7">
        <v>46229.77665767662</v>
      </c>
    </row>
    <row r="6733">
      <c r="A6733" s="3" t="s">
        <v>20563</v>
      </c>
      <c r="B6733" s="3" t="s">
        <v>627</v>
      </c>
      <c r="C6733" s="3" t="s">
        <v>56</v>
      </c>
      <c r="D6733" s="3" t="s">
        <v>68</v>
      </c>
      <c r="E6733" s="3" t="s">
        <v>100</v>
      </c>
      <c r="F6733" s="3" t="s">
        <v>1557</v>
      </c>
      <c r="G6733" s="7">
        <v>46229.847832522035</v>
      </c>
    </row>
    <row r="6734">
      <c r="A6734" s="3" t="s">
        <v>20565</v>
      </c>
      <c r="B6734" s="3" t="s">
        <v>575</v>
      </c>
      <c r="C6734" s="3" t="s">
        <v>56</v>
      </c>
      <c r="D6734" s="3" t="s">
        <v>181</v>
      </c>
      <c r="E6734" s="3" t="s">
        <v>45</v>
      </c>
      <c r="F6734" s="3" t="s">
        <v>45</v>
      </c>
      <c r="G6734" s="7">
        <v>46229.91900736745</v>
      </c>
    </row>
    <row r="6735">
      <c r="A6735" s="3" t="s">
        <v>20567</v>
      </c>
      <c r="B6735" s="3" t="s">
        <v>230</v>
      </c>
      <c r="C6735" s="3" t="s">
        <v>1342</v>
      </c>
      <c r="D6735" s="3" t="s">
        <v>68</v>
      </c>
      <c r="E6735" s="3" t="s">
        <v>100</v>
      </c>
      <c r="F6735" s="3" t="s">
        <v>2006</v>
      </c>
      <c r="G6735" s="7">
        <v>46229.99018221287</v>
      </c>
    </row>
    <row r="6736">
      <c r="A6736" s="3" t="s">
        <v>20569</v>
      </c>
      <c r="B6736" s="3" t="s">
        <v>708</v>
      </c>
      <c r="C6736" s="3" t="s">
        <v>56</v>
      </c>
      <c r="D6736" s="3" t="s">
        <v>68</v>
      </c>
      <c r="E6736" s="3" t="s">
        <v>100</v>
      </c>
      <c r="F6736" s="3" t="s">
        <v>1560</v>
      </c>
      <c r="G6736" s="7">
        <v>46230.06135705828</v>
      </c>
    </row>
    <row r="6737">
      <c r="A6737" s="3" t="s">
        <v>20571</v>
      </c>
      <c r="B6737" s="3" t="s">
        <v>778</v>
      </c>
      <c r="C6737" s="3" t="s">
        <v>56</v>
      </c>
      <c r="D6737" s="3" t="s">
        <v>68</v>
      </c>
      <c r="E6737" s="3" t="s">
        <v>100</v>
      </c>
      <c r="F6737" s="3" t="s">
        <v>1563</v>
      </c>
      <c r="G6737" s="7">
        <v>46230.13253190369</v>
      </c>
    </row>
    <row r="6738">
      <c r="A6738" s="3" t="s">
        <v>20574</v>
      </c>
      <c r="B6738" s="3" t="s">
        <v>322</v>
      </c>
      <c r="C6738" s="3" t="s">
        <v>1095</v>
      </c>
      <c r="D6738" s="3" t="s">
        <v>68</v>
      </c>
      <c r="E6738" s="3" t="s">
        <v>100</v>
      </c>
      <c r="F6738" s="3" t="s">
        <v>1208</v>
      </c>
      <c r="G6738" s="7">
        <v>46230.20370674911</v>
      </c>
    </row>
    <row r="6739">
      <c r="A6739" s="3" t="s">
        <v>20577</v>
      </c>
      <c r="B6739" s="3" t="s">
        <v>987</v>
      </c>
      <c r="C6739" s="3" t="s">
        <v>1095</v>
      </c>
      <c r="D6739" s="3" t="s">
        <v>68</v>
      </c>
      <c r="E6739" s="3" t="s">
        <v>100</v>
      </c>
      <c r="F6739" s="3" t="s">
        <v>1138</v>
      </c>
      <c r="G6739" s="7">
        <v>46230.27488159452</v>
      </c>
    </row>
    <row r="6740">
      <c r="A6740" s="3" t="s">
        <v>20580</v>
      </c>
      <c r="B6740" s="3" t="s">
        <v>581</v>
      </c>
      <c r="C6740" s="3" t="s">
        <v>56</v>
      </c>
      <c r="D6740" s="3" t="s">
        <v>68</v>
      </c>
      <c r="E6740" s="3" t="s">
        <v>100</v>
      </c>
      <c r="F6740" s="3" t="s">
        <v>1564</v>
      </c>
      <c r="G6740" s="7">
        <v>46230.346056439936</v>
      </c>
    </row>
    <row r="6741">
      <c r="A6741" s="3" t="s">
        <v>20585</v>
      </c>
      <c r="B6741" s="3" t="s">
        <v>193</v>
      </c>
      <c r="C6741" s="3" t="s">
        <v>1342</v>
      </c>
      <c r="D6741" s="3" t="s">
        <v>68</v>
      </c>
      <c r="E6741" s="3" t="s">
        <v>100</v>
      </c>
      <c r="F6741" s="3" t="s">
        <v>712</v>
      </c>
      <c r="G6741" s="7">
        <v>46230.417231285355</v>
      </c>
    </row>
    <row r="6742">
      <c r="A6742" s="3" t="s">
        <v>20587</v>
      </c>
      <c r="B6742" s="3" t="s">
        <v>498</v>
      </c>
      <c r="C6742" s="3" t="s">
        <v>56</v>
      </c>
      <c r="D6742" s="3" t="s">
        <v>68</v>
      </c>
      <c r="E6742" s="3" t="s">
        <v>100</v>
      </c>
      <c r="F6742" s="3" t="s">
        <v>1566</v>
      </c>
      <c r="G6742" s="7">
        <v>46230.488406130775</v>
      </c>
    </row>
    <row r="6743">
      <c r="A6743" s="3" t="s">
        <v>20589</v>
      </c>
      <c r="B6743" s="3" t="s">
        <v>352</v>
      </c>
      <c r="C6743" s="3" t="s">
        <v>1342</v>
      </c>
      <c r="D6743" s="3" t="s">
        <v>68</v>
      </c>
      <c r="E6743" s="3" t="s">
        <v>100</v>
      </c>
      <c r="F6743" s="3" t="s">
        <v>1333</v>
      </c>
      <c r="G6743" s="7">
        <v>46230.55958097618</v>
      </c>
    </row>
    <row r="6744">
      <c r="A6744" s="3" t="s">
        <v>20591</v>
      </c>
      <c r="B6744" s="3" t="s">
        <v>175</v>
      </c>
      <c r="C6744" s="3" t="s">
        <v>1095</v>
      </c>
      <c r="D6744" s="3" t="s">
        <v>68</v>
      </c>
      <c r="E6744" s="3" t="s">
        <v>100</v>
      </c>
      <c r="F6744" s="3" t="s">
        <v>797</v>
      </c>
      <c r="G6744" s="7">
        <v>46230.6307558216</v>
      </c>
    </row>
    <row r="6745">
      <c r="A6745" s="3" t="s">
        <v>20593</v>
      </c>
      <c r="B6745" s="3" t="s">
        <v>356</v>
      </c>
      <c r="C6745" s="3" t="s">
        <v>1095</v>
      </c>
      <c r="D6745" s="3" t="s">
        <v>68</v>
      </c>
      <c r="E6745" s="3" t="s">
        <v>100</v>
      </c>
      <c r="F6745" s="3" t="s">
        <v>1140</v>
      </c>
      <c r="G6745" s="7">
        <v>46230.70193066702</v>
      </c>
    </row>
    <row r="6746">
      <c r="A6746" s="3" t="s">
        <v>20596</v>
      </c>
      <c r="B6746" s="3" t="s">
        <v>260</v>
      </c>
      <c r="C6746" s="3" t="s">
        <v>1095</v>
      </c>
      <c r="D6746" s="3" t="s">
        <v>68</v>
      </c>
      <c r="E6746" s="3" t="s">
        <v>100</v>
      </c>
      <c r="F6746" s="3" t="s">
        <v>1121</v>
      </c>
      <c r="G6746" s="7">
        <v>46230.77310551243</v>
      </c>
    </row>
    <row r="6747">
      <c r="A6747" s="3" t="s">
        <v>20598</v>
      </c>
      <c r="B6747" s="3" t="s">
        <v>758</v>
      </c>
      <c r="C6747" s="3" t="s">
        <v>56</v>
      </c>
      <c r="D6747" s="3" t="s">
        <v>68</v>
      </c>
      <c r="E6747" s="3" t="s">
        <v>100</v>
      </c>
      <c r="F6747" s="3" t="s">
        <v>1569</v>
      </c>
      <c r="G6747" s="7">
        <v>46230.844280357844</v>
      </c>
    </row>
    <row r="6748">
      <c r="A6748" s="3" t="s">
        <v>20600</v>
      </c>
      <c r="B6748" s="3" t="s">
        <v>609</v>
      </c>
      <c r="C6748" s="3" t="s">
        <v>56</v>
      </c>
      <c r="D6748" s="3" t="s">
        <v>68</v>
      </c>
      <c r="E6748" s="3" t="s">
        <v>100</v>
      </c>
      <c r="F6748" s="3" t="s">
        <v>1570</v>
      </c>
      <c r="G6748" s="7">
        <v>46230.91545520326</v>
      </c>
    </row>
    <row r="6749">
      <c r="A6749" s="3" t="s">
        <v>20602</v>
      </c>
      <c r="B6749" s="3" t="s">
        <v>493</v>
      </c>
      <c r="C6749" s="3" t="s">
        <v>1342</v>
      </c>
      <c r="D6749" s="3" t="s">
        <v>68</v>
      </c>
      <c r="E6749" s="3" t="s">
        <v>100</v>
      </c>
      <c r="F6749" s="3" t="s">
        <v>2091</v>
      </c>
      <c r="G6749" s="7">
        <v>46230.986630048676</v>
      </c>
    </row>
    <row r="6750">
      <c r="A6750" s="3" t="s">
        <v>20604</v>
      </c>
      <c r="B6750" s="3" t="s">
        <v>290</v>
      </c>
      <c r="C6750" s="3" t="s">
        <v>1095</v>
      </c>
      <c r="D6750" s="3" t="s">
        <v>68</v>
      </c>
      <c r="E6750" s="3" t="s">
        <v>100</v>
      </c>
      <c r="F6750" s="3" t="s">
        <v>1441</v>
      </c>
      <c r="G6750" s="7">
        <v>46231.05780489409</v>
      </c>
    </row>
    <row r="6751">
      <c r="A6751" s="3" t="s">
        <v>20606</v>
      </c>
      <c r="B6751" s="3" t="s">
        <v>512</v>
      </c>
      <c r="C6751" s="3" t="s">
        <v>1342</v>
      </c>
      <c r="D6751" s="3" t="s">
        <v>68</v>
      </c>
      <c r="E6751" s="3" t="s">
        <v>100</v>
      </c>
      <c r="F6751" s="3" t="s">
        <v>1538</v>
      </c>
      <c r="G6751" s="7">
        <v>46231.12897973951</v>
      </c>
    </row>
    <row r="6752">
      <c r="A6752" s="3" t="s">
        <v>20608</v>
      </c>
      <c r="B6752" s="3" t="s">
        <v>587</v>
      </c>
      <c r="C6752" s="3" t="s">
        <v>1342</v>
      </c>
      <c r="D6752" s="3" t="s">
        <v>68</v>
      </c>
      <c r="E6752" s="3" t="s">
        <v>100</v>
      </c>
      <c r="F6752" s="3" t="s">
        <v>1448</v>
      </c>
      <c r="G6752" s="7">
        <v>46231.20015458493</v>
      </c>
    </row>
    <row r="6753">
      <c r="A6753" s="3" t="s">
        <v>20612</v>
      </c>
      <c r="B6753" s="3" t="s">
        <v>208</v>
      </c>
      <c r="C6753" s="3" t="s">
        <v>1095</v>
      </c>
      <c r="D6753" s="3" t="s">
        <v>68</v>
      </c>
      <c r="E6753" s="3" t="s">
        <v>100</v>
      </c>
      <c r="F6753" s="3" t="s">
        <v>1954</v>
      </c>
      <c r="G6753" s="7">
        <v>46231.27132943033</v>
      </c>
    </row>
    <row r="6754">
      <c r="A6754" s="3" t="s">
        <v>20616</v>
      </c>
      <c r="B6754" s="3" t="s">
        <v>903</v>
      </c>
      <c r="C6754" s="3" t="s">
        <v>1095</v>
      </c>
      <c r="D6754" s="3" t="s">
        <v>68</v>
      </c>
      <c r="E6754" s="3" t="s">
        <v>100</v>
      </c>
      <c r="F6754" s="3" t="s">
        <v>1879</v>
      </c>
      <c r="G6754" s="7">
        <v>46231.34250427575</v>
      </c>
    </row>
    <row r="6755">
      <c r="A6755" s="3" t="s">
        <v>20619</v>
      </c>
      <c r="B6755" s="3" t="s">
        <v>632</v>
      </c>
      <c r="C6755" s="3" t="s">
        <v>1095</v>
      </c>
      <c r="D6755" s="3" t="s">
        <v>68</v>
      </c>
      <c r="E6755" s="3" t="s">
        <v>100</v>
      </c>
      <c r="F6755" s="3" t="s">
        <v>1763</v>
      </c>
      <c r="G6755" s="7">
        <v>46231.413679121164</v>
      </c>
    </row>
    <row r="6756">
      <c r="A6756" s="3" t="s">
        <v>20621</v>
      </c>
      <c r="B6756" s="3" t="s">
        <v>493</v>
      </c>
      <c r="C6756" s="3" t="s">
        <v>1095</v>
      </c>
      <c r="D6756" s="3" t="s">
        <v>68</v>
      </c>
      <c r="E6756" s="3" t="s">
        <v>100</v>
      </c>
      <c r="F6756" s="3" t="s">
        <v>2091</v>
      </c>
      <c r="G6756" s="7">
        <v>46231.48485396658</v>
      </c>
    </row>
    <row r="6757">
      <c r="A6757" s="3" t="s">
        <v>20624</v>
      </c>
      <c r="B6757" s="3" t="s">
        <v>770</v>
      </c>
      <c r="C6757" s="3" t="s">
        <v>1095</v>
      </c>
      <c r="D6757" s="3" t="s">
        <v>68</v>
      </c>
      <c r="E6757" s="3" t="s">
        <v>100</v>
      </c>
      <c r="F6757" s="3" t="s">
        <v>1408</v>
      </c>
      <c r="G6757" s="7">
        <v>46231.556028811996</v>
      </c>
    </row>
    <row r="6758">
      <c r="A6758" s="3" t="s">
        <v>20628</v>
      </c>
      <c r="B6758" s="3" t="s">
        <v>510</v>
      </c>
      <c r="C6758" s="3" t="s">
        <v>1342</v>
      </c>
      <c r="D6758" s="3" t="s">
        <v>68</v>
      </c>
      <c r="E6758" s="3" t="s">
        <v>100</v>
      </c>
      <c r="F6758" s="3" t="s">
        <v>1503</v>
      </c>
      <c r="G6758" s="7">
        <v>46231.627203657416</v>
      </c>
    </row>
    <row r="6759">
      <c r="A6759" s="3" t="s">
        <v>20631</v>
      </c>
      <c r="B6759" s="3" t="s">
        <v>453</v>
      </c>
      <c r="C6759" s="3" t="s">
        <v>1095</v>
      </c>
      <c r="D6759" s="3" t="s">
        <v>68</v>
      </c>
      <c r="E6759" s="3" t="s">
        <v>100</v>
      </c>
      <c r="F6759" s="3" t="s">
        <v>1248</v>
      </c>
      <c r="G6759" s="7">
        <v>46231.69837850282</v>
      </c>
    </row>
    <row r="6760">
      <c r="A6760" s="3" t="s">
        <v>20635</v>
      </c>
      <c r="B6760" s="3" t="s">
        <v>770</v>
      </c>
      <c r="C6760" s="3" t="s">
        <v>56</v>
      </c>
      <c r="D6760" s="3" t="s">
        <v>68</v>
      </c>
      <c r="E6760" s="3" t="s">
        <v>100</v>
      </c>
      <c r="F6760" s="3" t="s">
        <v>1572</v>
      </c>
      <c r="G6760" s="7">
        <v>46231.76955334824</v>
      </c>
    </row>
    <row r="6761">
      <c r="A6761" s="3" t="s">
        <v>20637</v>
      </c>
      <c r="B6761" s="3" t="s">
        <v>672</v>
      </c>
      <c r="C6761" s="3" t="s">
        <v>1095</v>
      </c>
      <c r="D6761" s="3" t="s">
        <v>68</v>
      </c>
      <c r="E6761" s="3" t="s">
        <v>100</v>
      </c>
      <c r="F6761" s="3" t="s">
        <v>1429</v>
      </c>
      <c r="G6761" s="7">
        <v>46231.84072819366</v>
      </c>
    </row>
    <row r="6762">
      <c r="A6762" s="3" t="s">
        <v>20639</v>
      </c>
      <c r="B6762" s="3" t="s">
        <v>535</v>
      </c>
      <c r="C6762" s="3" t="s">
        <v>1342</v>
      </c>
      <c r="D6762" s="3" t="s">
        <v>68</v>
      </c>
      <c r="E6762" s="3" t="s">
        <v>100</v>
      </c>
      <c r="F6762" s="3" t="s">
        <v>1520</v>
      </c>
      <c r="G6762" s="7">
        <v>46231.91190303907</v>
      </c>
    </row>
    <row r="6763">
      <c r="A6763" s="3" t="s">
        <v>20641</v>
      </c>
      <c r="B6763" s="3" t="s">
        <v>662</v>
      </c>
      <c r="C6763" s="3" t="s">
        <v>1342</v>
      </c>
      <c r="D6763" s="3" t="s">
        <v>68</v>
      </c>
      <c r="E6763" s="3" t="s">
        <v>100</v>
      </c>
      <c r="F6763" s="3" t="s">
        <v>954</v>
      </c>
      <c r="G6763" s="7">
        <v>46231.983077884484</v>
      </c>
    </row>
    <row r="6764">
      <c r="A6764" s="3" t="s">
        <v>20643</v>
      </c>
      <c r="B6764" s="3" t="s">
        <v>449</v>
      </c>
      <c r="C6764" s="3" t="s">
        <v>56</v>
      </c>
      <c r="D6764" s="3" t="s">
        <v>68</v>
      </c>
      <c r="E6764" s="3" t="s">
        <v>100</v>
      </c>
      <c r="F6764" s="3" t="s">
        <v>1575</v>
      </c>
      <c r="G6764" s="7">
        <v>46232.054252729904</v>
      </c>
    </row>
    <row r="6765">
      <c r="A6765" s="3" t="s">
        <v>20646</v>
      </c>
      <c r="B6765" s="3" t="s">
        <v>605</v>
      </c>
      <c r="C6765" s="3" t="s">
        <v>1342</v>
      </c>
      <c r="D6765" s="3" t="s">
        <v>181</v>
      </c>
      <c r="E6765" s="3" t="s">
        <v>45</v>
      </c>
      <c r="F6765" s="3" t="s">
        <v>959</v>
      </c>
      <c r="G6765" s="7">
        <v>46232.125427575316</v>
      </c>
    </row>
    <row r="6766">
      <c r="A6766" s="3" t="s">
        <v>20648</v>
      </c>
      <c r="B6766" s="3" t="s">
        <v>530</v>
      </c>
      <c r="C6766" s="3" t="s">
        <v>56</v>
      </c>
      <c r="D6766" s="3" t="s">
        <v>68</v>
      </c>
      <c r="E6766" s="3" t="s">
        <v>100</v>
      </c>
      <c r="F6766" s="3" t="s">
        <v>1576</v>
      </c>
      <c r="G6766" s="7">
        <v>46232.19660242073</v>
      </c>
    </row>
    <row r="6767">
      <c r="A6767" s="3" t="s">
        <v>20650</v>
      </c>
      <c r="B6767" s="3" t="s">
        <v>326</v>
      </c>
      <c r="C6767" s="3" t="s">
        <v>1095</v>
      </c>
      <c r="D6767" s="3" t="s">
        <v>68</v>
      </c>
      <c r="E6767" s="3" t="s">
        <v>100</v>
      </c>
      <c r="F6767" s="3" t="s">
        <v>1480</v>
      </c>
      <c r="G6767" s="7">
        <v>46232.26777726615</v>
      </c>
    </row>
    <row r="6768">
      <c r="A6768" s="3" t="s">
        <v>20652</v>
      </c>
      <c r="B6768" s="3" t="s">
        <v>179</v>
      </c>
      <c r="C6768" s="3" t="s">
        <v>1342</v>
      </c>
      <c r="D6768" s="3" t="s">
        <v>68</v>
      </c>
      <c r="E6768" s="3" t="s">
        <v>100</v>
      </c>
      <c r="F6768" s="3" t="s">
        <v>1558</v>
      </c>
      <c r="G6768" s="7">
        <v>46232.33895211157</v>
      </c>
    </row>
    <row r="6769">
      <c r="A6769" s="3" t="s">
        <v>20654</v>
      </c>
      <c r="B6769" s="3" t="s">
        <v>546</v>
      </c>
      <c r="C6769" s="3" t="s">
        <v>56</v>
      </c>
      <c r="D6769" s="3" t="s">
        <v>68</v>
      </c>
      <c r="E6769" s="3" t="s">
        <v>100</v>
      </c>
      <c r="F6769" s="3" t="s">
        <v>1579</v>
      </c>
      <c r="G6769" s="7">
        <v>46232.41012695697</v>
      </c>
    </row>
    <row r="6770">
      <c r="A6770" s="3" t="s">
        <v>20656</v>
      </c>
      <c r="B6770" s="3" t="s">
        <v>767</v>
      </c>
      <c r="C6770" s="3" t="s">
        <v>56</v>
      </c>
      <c r="D6770" s="3" t="s">
        <v>68</v>
      </c>
      <c r="E6770" s="3" t="s">
        <v>100</v>
      </c>
      <c r="F6770" s="3" t="s">
        <v>1581</v>
      </c>
      <c r="G6770" s="7">
        <v>46232.48130180239</v>
      </c>
    </row>
    <row r="6771">
      <c r="A6771" s="3" t="s">
        <v>20659</v>
      </c>
      <c r="B6771" s="3" t="s">
        <v>398</v>
      </c>
      <c r="C6771" s="3" t="s">
        <v>56</v>
      </c>
      <c r="D6771" s="3" t="s">
        <v>68</v>
      </c>
      <c r="E6771" s="3" t="s">
        <v>100</v>
      </c>
      <c r="F6771" s="3" t="s">
        <v>1583</v>
      </c>
      <c r="G6771" s="7">
        <v>46232.55247664781</v>
      </c>
    </row>
    <row r="6772">
      <c r="A6772" s="3" t="s">
        <v>20663</v>
      </c>
      <c r="B6772" s="3" t="s">
        <v>886</v>
      </c>
      <c r="C6772" s="3" t="s">
        <v>56</v>
      </c>
      <c r="D6772" s="3" t="s">
        <v>68</v>
      </c>
      <c r="E6772" s="3" t="s">
        <v>100</v>
      </c>
      <c r="F6772" s="3" t="s">
        <v>1586</v>
      </c>
      <c r="G6772" s="7">
        <v>46232.623651493224</v>
      </c>
    </row>
    <row r="6773">
      <c r="A6773" s="3" t="s">
        <v>20666</v>
      </c>
      <c r="B6773" s="3" t="s">
        <v>722</v>
      </c>
      <c r="C6773" s="3" t="s">
        <v>56</v>
      </c>
      <c r="D6773" s="3" t="s">
        <v>68</v>
      </c>
      <c r="E6773" s="3" t="s">
        <v>100</v>
      </c>
      <c r="F6773" s="3" t="s">
        <v>1589</v>
      </c>
      <c r="G6773" s="7">
        <v>46232.69482633864</v>
      </c>
    </row>
    <row r="6774">
      <c r="A6774" s="3" t="s">
        <v>20669</v>
      </c>
      <c r="B6774" s="3" t="s">
        <v>316</v>
      </c>
      <c r="C6774" s="3" t="s">
        <v>1095</v>
      </c>
      <c r="D6774" s="3" t="s">
        <v>181</v>
      </c>
      <c r="E6774" s="3" t="s">
        <v>45</v>
      </c>
      <c r="F6774" s="3" t="s">
        <v>1240</v>
      </c>
      <c r="G6774" s="7">
        <v>46232.766001184056</v>
      </c>
    </row>
    <row r="6775">
      <c r="A6775" s="3" t="s">
        <v>20673</v>
      </c>
      <c r="B6775" s="3" t="s">
        <v>148</v>
      </c>
      <c r="C6775" s="3" t="s">
        <v>1095</v>
      </c>
      <c r="D6775" s="3" t="s">
        <v>68</v>
      </c>
      <c r="E6775" s="3" t="s">
        <v>100</v>
      </c>
      <c r="F6775" s="3" t="s">
        <v>1939</v>
      </c>
      <c r="G6775" s="7">
        <v>46232.83717602947</v>
      </c>
    </row>
    <row r="6776">
      <c r="A6776" s="3" t="s">
        <v>20677</v>
      </c>
      <c r="B6776" s="3" t="s">
        <v>352</v>
      </c>
      <c r="C6776" s="3" t="s">
        <v>1342</v>
      </c>
      <c r="D6776" s="3" t="s">
        <v>68</v>
      </c>
      <c r="E6776" s="3" t="s">
        <v>100</v>
      </c>
      <c r="F6776" s="3" t="s">
        <v>1333</v>
      </c>
      <c r="G6776" s="7">
        <v>46232.90835087488</v>
      </c>
    </row>
    <row r="6777">
      <c r="A6777" s="3" t="s">
        <v>20680</v>
      </c>
      <c r="B6777" s="3" t="s">
        <v>546</v>
      </c>
      <c r="C6777" s="3" t="s">
        <v>1342</v>
      </c>
      <c r="D6777" s="3" t="s">
        <v>68</v>
      </c>
      <c r="E6777" s="3" t="s">
        <v>100</v>
      </c>
      <c r="F6777" s="3" t="s">
        <v>1579</v>
      </c>
      <c r="G6777" s="7">
        <v>46232.9795257203</v>
      </c>
    </row>
    <row r="6778">
      <c r="A6778" s="3" t="s">
        <v>20682</v>
      </c>
      <c r="B6778" s="3" t="s">
        <v>612</v>
      </c>
      <c r="C6778" s="3" t="s">
        <v>1342</v>
      </c>
      <c r="D6778" s="3" t="s">
        <v>68</v>
      </c>
      <c r="E6778" s="3" t="s">
        <v>100</v>
      </c>
      <c r="F6778" s="3" t="s">
        <v>595</v>
      </c>
      <c r="G6778" s="7">
        <v>46233.05070056571</v>
      </c>
    </row>
    <row r="6779">
      <c r="A6779" s="3" t="s">
        <v>20684</v>
      </c>
      <c r="B6779" s="3" t="s">
        <v>524</v>
      </c>
      <c r="C6779" s="3" t="s">
        <v>1342</v>
      </c>
      <c r="D6779" s="3" t="s">
        <v>68</v>
      </c>
      <c r="E6779" s="3" t="s">
        <v>100</v>
      </c>
      <c r="F6779" s="3" t="s">
        <v>1465</v>
      </c>
      <c r="G6779" s="7">
        <v>46233.121875411125</v>
      </c>
    </row>
    <row r="6780">
      <c r="A6780" s="3" t="s">
        <v>20686</v>
      </c>
      <c r="B6780" s="3" t="s">
        <v>926</v>
      </c>
      <c r="C6780" s="3" t="s">
        <v>1342</v>
      </c>
      <c r="D6780" s="3" t="s">
        <v>68</v>
      </c>
      <c r="E6780" s="3" t="s">
        <v>100</v>
      </c>
      <c r="F6780" s="3" t="s">
        <v>1086</v>
      </c>
      <c r="G6780" s="7">
        <v>46233.193050256545</v>
      </c>
    </row>
    <row r="6781">
      <c r="A6781" s="3" t="s">
        <v>20688</v>
      </c>
      <c r="B6781" s="3" t="s">
        <v>193</v>
      </c>
      <c r="C6781" s="3" t="s">
        <v>1095</v>
      </c>
      <c r="D6781" s="3" t="s">
        <v>68</v>
      </c>
      <c r="E6781" s="3" t="s">
        <v>100</v>
      </c>
      <c r="F6781" s="3" t="s">
        <v>712</v>
      </c>
      <c r="G6781" s="7">
        <v>46233.26422510196</v>
      </c>
    </row>
    <row r="6782">
      <c r="A6782" s="3" t="s">
        <v>20691</v>
      </c>
      <c r="B6782" s="3" t="s">
        <v>565</v>
      </c>
      <c r="C6782" s="3" t="s">
        <v>1342</v>
      </c>
      <c r="D6782" s="3" t="s">
        <v>68</v>
      </c>
      <c r="E6782" s="3" t="s">
        <v>100</v>
      </c>
      <c r="F6782" s="3" t="s">
        <v>2072</v>
      </c>
      <c r="G6782" s="7">
        <v>46233.33539994737</v>
      </c>
    </row>
    <row r="6783">
      <c r="A6783" s="3" t="s">
        <v>20693</v>
      </c>
      <c r="B6783" s="3" t="s">
        <v>691</v>
      </c>
      <c r="C6783" s="3" t="s">
        <v>1095</v>
      </c>
      <c r="D6783" s="3" t="s">
        <v>195</v>
      </c>
      <c r="E6783" s="3" t="s">
        <v>45</v>
      </c>
      <c r="F6783" s="3" t="s">
        <v>1177</v>
      </c>
      <c r="G6783" s="7">
        <v>46233.40657479279</v>
      </c>
    </row>
    <row r="6784">
      <c r="A6784" s="3" t="s">
        <v>20695</v>
      </c>
      <c r="B6784" s="3" t="s">
        <v>250</v>
      </c>
      <c r="C6784" s="3" t="s">
        <v>1095</v>
      </c>
      <c r="D6784" s="3" t="s">
        <v>68</v>
      </c>
      <c r="E6784" s="3" t="s">
        <v>100</v>
      </c>
      <c r="F6784" s="3" t="s">
        <v>1701</v>
      </c>
      <c r="G6784" s="7">
        <v>46233.47774963821</v>
      </c>
    </row>
    <row r="6785">
      <c r="A6785" s="3" t="s">
        <v>20697</v>
      </c>
      <c r="B6785" s="3" t="s">
        <v>468</v>
      </c>
      <c r="C6785" s="3" t="s">
        <v>1095</v>
      </c>
      <c r="D6785" s="3" t="s">
        <v>68</v>
      </c>
      <c r="E6785" s="3" t="s">
        <v>100</v>
      </c>
      <c r="F6785" s="3" t="s">
        <v>1302</v>
      </c>
      <c r="G6785" s="7">
        <v>46233.54892448361</v>
      </c>
    </row>
    <row r="6786">
      <c r="A6786" s="3" t="s">
        <v>20699</v>
      </c>
      <c r="B6786" s="3" t="s">
        <v>356</v>
      </c>
      <c r="C6786" s="3" t="s">
        <v>56</v>
      </c>
      <c r="D6786" s="3" t="s">
        <v>68</v>
      </c>
      <c r="E6786" s="3" t="s">
        <v>100</v>
      </c>
      <c r="F6786" s="3" t="s">
        <v>1591</v>
      </c>
      <c r="G6786" s="7">
        <v>46233.62009932903</v>
      </c>
    </row>
    <row r="6787">
      <c r="A6787" s="3" t="s">
        <v>20701</v>
      </c>
      <c r="B6787" s="3" t="s">
        <v>926</v>
      </c>
      <c r="C6787" s="3" t="s">
        <v>1342</v>
      </c>
      <c r="D6787" s="3" t="s">
        <v>68</v>
      </c>
      <c r="E6787" s="3" t="s">
        <v>100</v>
      </c>
      <c r="F6787" s="3" t="s">
        <v>1086</v>
      </c>
      <c r="G6787" s="7">
        <v>46233.69127417445</v>
      </c>
    </row>
    <row r="6788">
      <c r="A6788" s="3" t="s">
        <v>20703</v>
      </c>
      <c r="B6788" s="3" t="s">
        <v>778</v>
      </c>
      <c r="C6788" s="3" t="s">
        <v>1095</v>
      </c>
      <c r="D6788" s="3" t="s">
        <v>68</v>
      </c>
      <c r="E6788" s="3" t="s">
        <v>100</v>
      </c>
      <c r="F6788" s="3" t="s">
        <v>1563</v>
      </c>
      <c r="G6788" s="7">
        <v>46233.762449019865</v>
      </c>
    </row>
    <row r="6789">
      <c r="A6789" s="3" t="s">
        <v>20706</v>
      </c>
      <c r="B6789" s="3" t="s">
        <v>488</v>
      </c>
      <c r="C6789" s="3" t="s">
        <v>56</v>
      </c>
      <c r="D6789" s="3" t="s">
        <v>68</v>
      </c>
      <c r="E6789" s="3" t="s">
        <v>100</v>
      </c>
      <c r="F6789" s="3" t="s">
        <v>1593</v>
      </c>
      <c r="G6789" s="7">
        <v>46233.83362386528</v>
      </c>
    </row>
    <row r="6790">
      <c r="A6790" s="3" t="s">
        <v>20710</v>
      </c>
      <c r="B6790" s="3" t="s">
        <v>655</v>
      </c>
      <c r="C6790" s="3" t="s">
        <v>1342</v>
      </c>
      <c r="D6790" s="3" t="s">
        <v>68</v>
      </c>
      <c r="E6790" s="3" t="s">
        <v>100</v>
      </c>
      <c r="F6790" s="3" t="s">
        <v>1800</v>
      </c>
      <c r="G6790" s="7">
        <v>46233.9047987107</v>
      </c>
    </row>
    <row r="6791">
      <c r="A6791" s="3" t="s">
        <v>20713</v>
      </c>
      <c r="B6791" s="3" t="s">
        <v>356</v>
      </c>
      <c r="C6791" s="3" t="s">
        <v>1095</v>
      </c>
      <c r="D6791" s="3" t="s">
        <v>195</v>
      </c>
      <c r="E6791" s="3" t="s">
        <v>45</v>
      </c>
      <c r="F6791" s="3" t="s">
        <v>1591</v>
      </c>
      <c r="G6791" s="7">
        <v>46233.97597355611</v>
      </c>
    </row>
    <row r="6792">
      <c r="A6792" s="3" t="s">
        <v>20716</v>
      </c>
      <c r="B6792" s="3" t="s">
        <v>658</v>
      </c>
      <c r="C6792" s="3" t="s">
        <v>1095</v>
      </c>
      <c r="D6792" s="3" t="s">
        <v>68</v>
      </c>
      <c r="E6792" s="3" t="s">
        <v>100</v>
      </c>
      <c r="F6792" s="3" t="s">
        <v>1793</v>
      </c>
      <c r="G6792" s="7">
        <v>46234.04714840152</v>
      </c>
    </row>
    <row r="6793">
      <c r="A6793" s="3" t="s">
        <v>20720</v>
      </c>
      <c r="B6793" s="3" t="s">
        <v>126</v>
      </c>
      <c r="C6793" s="3" t="s">
        <v>1342</v>
      </c>
      <c r="D6793" s="3" t="s">
        <v>68</v>
      </c>
      <c r="E6793" s="3" t="s">
        <v>100</v>
      </c>
      <c r="F6793" s="3" t="s">
        <v>1161</v>
      </c>
      <c r="G6793" s="7">
        <v>46234.11832324694</v>
      </c>
    </row>
    <row r="6794">
      <c r="A6794" s="3" t="s">
        <v>20724</v>
      </c>
      <c r="B6794" s="3" t="s">
        <v>519</v>
      </c>
      <c r="C6794" s="3" t="s">
        <v>1095</v>
      </c>
      <c r="D6794" s="3" t="s">
        <v>68</v>
      </c>
      <c r="E6794" s="3" t="s">
        <v>100</v>
      </c>
      <c r="F6794" s="3" t="s">
        <v>1245</v>
      </c>
      <c r="G6794" s="7">
        <v>46234.18949809235</v>
      </c>
    </row>
    <row r="6795">
      <c r="A6795" s="3" t="s">
        <v>20726</v>
      </c>
      <c r="B6795" s="3" t="s">
        <v>496</v>
      </c>
      <c r="C6795" s="3" t="s">
        <v>1342</v>
      </c>
      <c r="D6795" s="3" t="s">
        <v>195</v>
      </c>
      <c r="E6795" s="3" t="s">
        <v>45</v>
      </c>
      <c r="F6795" s="3" t="s">
        <v>1274</v>
      </c>
      <c r="G6795" s="7">
        <v>46234.260672937766</v>
      </c>
    </row>
    <row r="6796">
      <c r="A6796" s="3" t="s">
        <v>20729</v>
      </c>
      <c r="B6796" s="3" t="s">
        <v>957</v>
      </c>
      <c r="C6796" s="3" t="s">
        <v>56</v>
      </c>
      <c r="D6796" s="3" t="s">
        <v>68</v>
      </c>
      <c r="E6796" s="3" t="s">
        <v>100</v>
      </c>
      <c r="F6796" s="3" t="s">
        <v>1595</v>
      </c>
      <c r="G6796" s="7">
        <v>46234.331847783185</v>
      </c>
    </row>
    <row r="6797">
      <c r="A6797" s="3" t="s">
        <v>20731</v>
      </c>
      <c r="B6797" s="3" t="s">
        <v>202</v>
      </c>
      <c r="C6797" s="3" t="s">
        <v>1342</v>
      </c>
      <c r="D6797" s="3" t="s">
        <v>68</v>
      </c>
      <c r="E6797" s="3" t="s">
        <v>100</v>
      </c>
      <c r="F6797" s="3" t="s">
        <v>840</v>
      </c>
      <c r="G6797" s="7">
        <v>46234.4030226286</v>
      </c>
    </row>
    <row r="6798">
      <c r="A6798" s="3" t="s">
        <v>20733</v>
      </c>
      <c r="B6798" s="3" t="s">
        <v>900</v>
      </c>
      <c r="C6798" s="3" t="s">
        <v>1342</v>
      </c>
      <c r="D6798" s="3" t="s">
        <v>68</v>
      </c>
      <c r="E6798" s="3" t="s">
        <v>100</v>
      </c>
      <c r="F6798" s="3" t="s">
        <v>996</v>
      </c>
      <c r="G6798" s="7">
        <v>46234.47419747401</v>
      </c>
    </row>
    <row r="6799">
      <c r="A6799" s="3" t="s">
        <v>20736</v>
      </c>
      <c r="B6799" s="3" t="s">
        <v>424</v>
      </c>
      <c r="C6799" s="3" t="s">
        <v>1342</v>
      </c>
      <c r="D6799" s="3" t="s">
        <v>68</v>
      </c>
      <c r="E6799" s="3" t="s">
        <v>100</v>
      </c>
      <c r="F6799" s="3" t="s">
        <v>1530</v>
      </c>
      <c r="G6799" s="7">
        <v>46234.54537231943</v>
      </c>
    </row>
    <row r="6800">
      <c r="A6800" s="3" t="s">
        <v>20738</v>
      </c>
      <c r="B6800" s="3" t="s">
        <v>586</v>
      </c>
      <c r="C6800" s="3" t="s">
        <v>1342</v>
      </c>
      <c r="D6800" s="3" t="s">
        <v>68</v>
      </c>
      <c r="E6800" s="3" t="s">
        <v>100</v>
      </c>
      <c r="F6800" s="3" t="s">
        <v>1627</v>
      </c>
      <c r="G6800" s="7">
        <v>46234.61654716485</v>
      </c>
    </row>
    <row r="6801">
      <c r="A6801" s="3" t="s">
        <v>20740</v>
      </c>
      <c r="B6801" s="3" t="s">
        <v>366</v>
      </c>
      <c r="C6801" s="3" t="s">
        <v>56</v>
      </c>
      <c r="D6801" s="3" t="s">
        <v>68</v>
      </c>
      <c r="E6801" s="3" t="s">
        <v>100</v>
      </c>
      <c r="F6801" s="3" t="s">
        <v>1597</v>
      </c>
      <c r="G6801" s="7">
        <v>46234.687722010254</v>
      </c>
    </row>
    <row r="6802">
      <c r="A6802" s="3" t="s">
        <v>20742</v>
      </c>
      <c r="B6802" s="3" t="s">
        <v>781</v>
      </c>
      <c r="C6802" s="3" t="s">
        <v>1095</v>
      </c>
      <c r="D6802" s="3" t="s">
        <v>68</v>
      </c>
      <c r="E6802" s="3" t="s">
        <v>100</v>
      </c>
      <c r="F6802" s="3" t="s">
        <v>1151</v>
      </c>
      <c r="G6802" s="7">
        <v>46234.758896855674</v>
      </c>
    </row>
    <row r="6803">
      <c r="A6803" s="3" t="s">
        <v>20744</v>
      </c>
      <c r="B6803" s="3" t="s">
        <v>352</v>
      </c>
      <c r="C6803" s="3" t="s">
        <v>1095</v>
      </c>
      <c r="D6803" s="3" t="s">
        <v>68</v>
      </c>
      <c r="E6803" s="3" t="s">
        <v>100</v>
      </c>
      <c r="F6803" s="3" t="s">
        <v>1333</v>
      </c>
      <c r="G6803" s="7">
        <v>46234.83007170109</v>
      </c>
    </row>
    <row r="6804">
      <c r="A6804" s="3" t="s">
        <v>20746</v>
      </c>
      <c r="B6804" s="3" t="s">
        <v>276</v>
      </c>
      <c r="C6804" s="3" t="s">
        <v>1095</v>
      </c>
      <c r="D6804" s="3" t="s">
        <v>68</v>
      </c>
      <c r="E6804" s="3" t="s">
        <v>100</v>
      </c>
      <c r="F6804" s="3" t="s">
        <v>1211</v>
      </c>
      <c r="G6804" s="7">
        <v>46234.901246546506</v>
      </c>
    </row>
    <row r="6805">
      <c r="A6805" s="3" t="s">
        <v>20749</v>
      </c>
      <c r="B6805" s="3" t="s">
        <v>853</v>
      </c>
      <c r="C6805" s="3" t="s">
        <v>56</v>
      </c>
      <c r="D6805" s="3" t="s">
        <v>68</v>
      </c>
      <c r="E6805" s="3" t="s">
        <v>100</v>
      </c>
      <c r="F6805" s="3" t="s">
        <v>1598</v>
      </c>
      <c r="G6805" s="7">
        <v>46234.97242139192</v>
      </c>
    </row>
    <row r="6806">
      <c r="A6806" s="3" t="s">
        <v>20751</v>
      </c>
      <c r="B6806" s="3" t="s">
        <v>722</v>
      </c>
      <c r="C6806" s="3" t="s">
        <v>1095</v>
      </c>
      <c r="D6806" s="3" t="s">
        <v>68</v>
      </c>
      <c r="E6806" s="3" t="s">
        <v>100</v>
      </c>
      <c r="F6806" s="3" t="s">
        <v>1589</v>
      </c>
      <c r="G6806" s="7">
        <v>46235.04359623734</v>
      </c>
    </row>
    <row r="6807">
      <c r="A6807" s="3" t="s">
        <v>20753</v>
      </c>
      <c r="B6807" s="3" t="s">
        <v>502</v>
      </c>
      <c r="C6807" s="3" t="s">
        <v>1342</v>
      </c>
      <c r="D6807" s="3" t="s">
        <v>68</v>
      </c>
      <c r="E6807" s="3" t="s">
        <v>100</v>
      </c>
      <c r="F6807" s="3" t="s">
        <v>1318</v>
      </c>
      <c r="G6807" s="7">
        <v>46235.11477108275</v>
      </c>
    </row>
    <row r="6808">
      <c r="A6808" s="3" t="s">
        <v>20755</v>
      </c>
      <c r="B6808" s="3" t="s">
        <v>579</v>
      </c>
      <c r="C6808" s="3" t="s">
        <v>1342</v>
      </c>
      <c r="D6808" s="3" t="s">
        <v>181</v>
      </c>
      <c r="E6808" s="3" t="s">
        <v>45</v>
      </c>
      <c r="F6808" s="3" t="s">
        <v>1117</v>
      </c>
      <c r="G6808" s="7">
        <v>46235.18594592816</v>
      </c>
    </row>
    <row r="6809">
      <c r="A6809" s="3" t="s">
        <v>20757</v>
      </c>
      <c r="B6809" s="3" t="s">
        <v>310</v>
      </c>
      <c r="C6809" s="3" t="s">
        <v>56</v>
      </c>
      <c r="D6809" s="3" t="s">
        <v>68</v>
      </c>
      <c r="E6809" s="3" t="s">
        <v>100</v>
      </c>
      <c r="F6809" s="3" t="s">
        <v>1601</v>
      </c>
      <c r="G6809" s="7">
        <v>46235.25712077358</v>
      </c>
    </row>
    <row r="6810">
      <c r="A6810" s="3" t="s">
        <v>20759</v>
      </c>
      <c r="B6810" s="3" t="s">
        <v>922</v>
      </c>
      <c r="C6810" s="3" t="s">
        <v>1342</v>
      </c>
      <c r="D6810" s="3" t="s">
        <v>68</v>
      </c>
      <c r="E6810" s="3" t="s">
        <v>100</v>
      </c>
      <c r="F6810" s="3" t="s">
        <v>1609</v>
      </c>
      <c r="G6810" s="7">
        <v>46235.328295618994</v>
      </c>
    </row>
    <row r="6811">
      <c r="A6811" s="3" t="s">
        <v>20761</v>
      </c>
      <c r="B6811" s="3" t="s">
        <v>141</v>
      </c>
      <c r="C6811" s="3" t="s">
        <v>1342</v>
      </c>
      <c r="D6811" s="3" t="s">
        <v>68</v>
      </c>
      <c r="E6811" s="3" t="s">
        <v>100</v>
      </c>
      <c r="F6811" s="3" t="s">
        <v>1295</v>
      </c>
      <c r="G6811" s="7">
        <v>46235.39947046441</v>
      </c>
    </row>
    <row r="6812">
      <c r="A6812" s="3" t="s">
        <v>20765</v>
      </c>
      <c r="B6812" s="3" t="s">
        <v>841</v>
      </c>
      <c r="C6812" s="3" t="s">
        <v>1342</v>
      </c>
      <c r="D6812" s="3" t="s">
        <v>68</v>
      </c>
      <c r="E6812" s="3" t="s">
        <v>100</v>
      </c>
      <c r="F6812" s="3" t="s">
        <v>1327</v>
      </c>
      <c r="G6812" s="7">
        <v>46235.470645309826</v>
      </c>
    </row>
    <row r="6813">
      <c r="A6813" s="3" t="s">
        <v>20769</v>
      </c>
      <c r="B6813" s="3" t="s">
        <v>864</v>
      </c>
      <c r="C6813" s="3" t="s">
        <v>1342</v>
      </c>
      <c r="D6813" s="3" t="s">
        <v>68</v>
      </c>
      <c r="E6813" s="3" t="s">
        <v>100</v>
      </c>
      <c r="F6813" s="3" t="s">
        <v>1546</v>
      </c>
      <c r="G6813" s="7">
        <v>46235.541820155246</v>
      </c>
    </row>
    <row r="6814">
      <c r="A6814" s="3" t="s">
        <v>20771</v>
      </c>
      <c r="B6814" s="3" t="s">
        <v>202</v>
      </c>
      <c r="C6814" s="3" t="s">
        <v>1095</v>
      </c>
      <c r="D6814" s="3" t="s">
        <v>68</v>
      </c>
      <c r="E6814" s="3" t="s">
        <v>100</v>
      </c>
      <c r="F6814" s="3" t="s">
        <v>840</v>
      </c>
      <c r="G6814" s="7">
        <v>46235.61299500065</v>
      </c>
    </row>
    <row r="6815">
      <c r="A6815" s="3" t="s">
        <v>20773</v>
      </c>
      <c r="B6815" s="3" t="s">
        <v>145</v>
      </c>
      <c r="C6815" s="3" t="s">
        <v>1095</v>
      </c>
      <c r="D6815" s="3" t="s">
        <v>68</v>
      </c>
      <c r="E6815" s="3" t="s">
        <v>100</v>
      </c>
      <c r="F6815" s="3" t="s">
        <v>1491</v>
      </c>
      <c r="G6815" s="7">
        <v>46235.68416984607</v>
      </c>
    </row>
    <row r="6816">
      <c r="A6816" s="3" t="s">
        <v>20775</v>
      </c>
      <c r="B6816" s="3" t="s">
        <v>507</v>
      </c>
      <c r="C6816" s="3" t="s">
        <v>1342</v>
      </c>
      <c r="D6816" s="3" t="s">
        <v>68</v>
      </c>
      <c r="E6816" s="3" t="s">
        <v>100</v>
      </c>
      <c r="F6816" s="3" t="s">
        <v>1524</v>
      </c>
      <c r="G6816" s="7">
        <v>46235.75534469149</v>
      </c>
    </row>
    <row r="6817">
      <c r="A6817" s="3" t="s">
        <v>20777</v>
      </c>
      <c r="B6817" s="3" t="s">
        <v>507</v>
      </c>
      <c r="C6817" s="3" t="s">
        <v>1095</v>
      </c>
      <c r="D6817" s="3" t="s">
        <v>181</v>
      </c>
      <c r="E6817" s="3" t="s">
        <v>45</v>
      </c>
      <c r="F6817" s="3" t="s">
        <v>1524</v>
      </c>
      <c r="G6817" s="7">
        <v>46235.8265195369</v>
      </c>
    </row>
    <row r="6818">
      <c r="A6818" s="3" t="s">
        <v>20781</v>
      </c>
      <c r="B6818" s="3" t="s">
        <v>903</v>
      </c>
      <c r="C6818" s="3" t="s">
        <v>56</v>
      </c>
      <c r="D6818" s="3" t="s">
        <v>181</v>
      </c>
      <c r="E6818" s="3" t="s">
        <v>45</v>
      </c>
      <c r="F6818" s="3" t="s">
        <v>45</v>
      </c>
      <c r="G6818" s="7">
        <v>46235.897694382315</v>
      </c>
    </row>
    <row r="6819">
      <c r="A6819" s="3" t="s">
        <v>20783</v>
      </c>
      <c r="B6819" s="3" t="s">
        <v>165</v>
      </c>
      <c r="C6819" s="3" t="s">
        <v>1095</v>
      </c>
      <c r="D6819" s="3" t="s">
        <v>68</v>
      </c>
      <c r="E6819" s="3" t="s">
        <v>100</v>
      </c>
      <c r="F6819" s="3" t="s">
        <v>1451</v>
      </c>
      <c r="G6819" s="7">
        <v>46235.968869227734</v>
      </c>
    </row>
    <row r="6820">
      <c r="A6820" s="3" t="s">
        <v>20787</v>
      </c>
      <c r="B6820" s="3" t="s">
        <v>505</v>
      </c>
      <c r="C6820" s="3" t="s">
        <v>1342</v>
      </c>
      <c r="D6820" s="3" t="s">
        <v>68</v>
      </c>
      <c r="E6820" s="3" t="s">
        <v>100</v>
      </c>
      <c r="F6820" s="3" t="s">
        <v>1376</v>
      </c>
      <c r="G6820" s="7">
        <v>46236.04004407315</v>
      </c>
    </row>
    <row r="6821">
      <c r="A6821" s="3" t="s">
        <v>20790</v>
      </c>
      <c r="B6821" s="3" t="s">
        <v>1021</v>
      </c>
      <c r="C6821" s="3" t="s">
        <v>1342</v>
      </c>
      <c r="D6821" s="3" t="s">
        <v>195</v>
      </c>
      <c r="E6821" s="3" t="s">
        <v>45</v>
      </c>
      <c r="F6821" s="3" t="s">
        <v>2037</v>
      </c>
      <c r="G6821" s="7">
        <v>46236.11121891856</v>
      </c>
    </row>
    <row r="6822">
      <c r="A6822" s="3" t="s">
        <v>20792</v>
      </c>
      <c r="B6822" s="3" t="s">
        <v>411</v>
      </c>
      <c r="C6822" s="3" t="s">
        <v>1342</v>
      </c>
      <c r="D6822" s="3" t="s">
        <v>68</v>
      </c>
      <c r="E6822" s="3" t="s">
        <v>100</v>
      </c>
      <c r="F6822" s="3" t="s">
        <v>1119</v>
      </c>
      <c r="G6822" s="7">
        <v>46236.18239376398</v>
      </c>
    </row>
    <row r="6823">
      <c r="A6823" s="3" t="s">
        <v>20795</v>
      </c>
      <c r="B6823" s="3" t="s">
        <v>462</v>
      </c>
      <c r="C6823" s="3" t="s">
        <v>56</v>
      </c>
      <c r="D6823" s="3" t="s">
        <v>68</v>
      </c>
      <c r="E6823" s="3" t="s">
        <v>100</v>
      </c>
      <c r="F6823" s="3" t="s">
        <v>1602</v>
      </c>
      <c r="G6823" s="7">
        <v>46236.25356860939</v>
      </c>
    </row>
    <row r="6824">
      <c r="A6824" s="3" t="s">
        <v>20797</v>
      </c>
      <c r="B6824" s="3" t="s">
        <v>193</v>
      </c>
      <c r="C6824" s="3" t="s">
        <v>56</v>
      </c>
      <c r="D6824" s="3" t="s">
        <v>68</v>
      </c>
      <c r="E6824" s="3" t="s">
        <v>100</v>
      </c>
      <c r="F6824" s="3" t="s">
        <v>1605</v>
      </c>
      <c r="G6824" s="7">
        <v>46236.3247434548</v>
      </c>
    </row>
    <row r="6825">
      <c r="A6825" s="3" t="s">
        <v>20800</v>
      </c>
      <c r="B6825" s="3" t="s">
        <v>579</v>
      </c>
      <c r="C6825" s="3" t="s">
        <v>1342</v>
      </c>
      <c r="D6825" s="3" t="s">
        <v>68</v>
      </c>
      <c r="E6825" s="3" t="s">
        <v>100</v>
      </c>
      <c r="F6825" s="3" t="s">
        <v>1117</v>
      </c>
      <c r="G6825" s="7">
        <v>46236.39591830022</v>
      </c>
    </row>
    <row r="6826">
      <c r="A6826" s="3" t="s">
        <v>20802</v>
      </c>
      <c r="B6826" s="3" t="s">
        <v>496</v>
      </c>
      <c r="C6826" s="3" t="s">
        <v>1342</v>
      </c>
      <c r="D6826" s="3" t="s">
        <v>68</v>
      </c>
      <c r="E6826" s="3" t="s">
        <v>100</v>
      </c>
      <c r="F6826" s="3" t="s">
        <v>1274</v>
      </c>
      <c r="G6826" s="7">
        <v>46236.467093145635</v>
      </c>
    </row>
    <row r="6827">
      <c r="A6827" s="3" t="s">
        <v>20805</v>
      </c>
      <c r="B6827" s="3" t="s">
        <v>864</v>
      </c>
      <c r="C6827" s="3" t="s">
        <v>1095</v>
      </c>
      <c r="D6827" s="3" t="s">
        <v>68</v>
      </c>
      <c r="E6827" s="3" t="s">
        <v>100</v>
      </c>
      <c r="F6827" s="3" t="s">
        <v>1546</v>
      </c>
      <c r="G6827" s="7">
        <v>46236.53826799105</v>
      </c>
    </row>
    <row r="6828">
      <c r="A6828" s="3" t="s">
        <v>20807</v>
      </c>
      <c r="B6828" s="3" t="s">
        <v>678</v>
      </c>
      <c r="C6828" s="3" t="s">
        <v>56</v>
      </c>
      <c r="D6828" s="3" t="s">
        <v>68</v>
      </c>
      <c r="E6828" s="3" t="s">
        <v>100</v>
      </c>
      <c r="F6828" s="3" t="s">
        <v>1606</v>
      </c>
      <c r="G6828" s="7">
        <v>46236.60944283647</v>
      </c>
    </row>
    <row r="6829">
      <c r="A6829" s="3" t="s">
        <v>20810</v>
      </c>
      <c r="B6829" s="3" t="s">
        <v>488</v>
      </c>
      <c r="C6829" s="3" t="s">
        <v>1342</v>
      </c>
      <c r="D6829" s="3" t="s">
        <v>68</v>
      </c>
      <c r="E6829" s="3" t="s">
        <v>100</v>
      </c>
      <c r="F6829" s="3" t="s">
        <v>1593</v>
      </c>
      <c r="G6829" s="7">
        <v>46236.680617681886</v>
      </c>
    </row>
    <row r="6830">
      <c r="A6830" s="3" t="s">
        <v>20813</v>
      </c>
      <c r="B6830" s="3" t="s">
        <v>763</v>
      </c>
      <c r="C6830" s="3" t="s">
        <v>56</v>
      </c>
      <c r="D6830" s="3" t="s">
        <v>68</v>
      </c>
      <c r="E6830" s="3" t="s">
        <v>100</v>
      </c>
      <c r="F6830" s="3" t="s">
        <v>1611</v>
      </c>
      <c r="G6830" s="7">
        <v>46236.75179252729</v>
      </c>
    </row>
    <row r="6831">
      <c r="A6831" s="3" t="s">
        <v>20816</v>
      </c>
      <c r="B6831" s="3" t="s">
        <v>290</v>
      </c>
      <c r="C6831" s="3" t="s">
        <v>56</v>
      </c>
      <c r="D6831" s="3" t="s">
        <v>68</v>
      </c>
      <c r="E6831" s="3" t="s">
        <v>100</v>
      </c>
      <c r="F6831" s="3" t="s">
        <v>1614</v>
      </c>
      <c r="G6831" s="7">
        <v>46236.82296737271</v>
      </c>
    </row>
    <row r="6832">
      <c r="A6832" s="3" t="s">
        <v>20819</v>
      </c>
      <c r="B6832" s="3" t="s">
        <v>256</v>
      </c>
      <c r="C6832" s="3" t="s">
        <v>1342</v>
      </c>
      <c r="D6832" s="3" t="s">
        <v>195</v>
      </c>
      <c r="E6832" s="3" t="s">
        <v>45</v>
      </c>
      <c r="F6832" s="3" t="s">
        <v>1506</v>
      </c>
      <c r="G6832" s="7">
        <v>46236.89414221813</v>
      </c>
    </row>
    <row r="6833">
      <c r="A6833" s="3" t="s">
        <v>20822</v>
      </c>
      <c r="B6833" s="3" t="s">
        <v>655</v>
      </c>
      <c r="C6833" s="3" t="s">
        <v>1342</v>
      </c>
      <c r="D6833" s="3" t="s">
        <v>68</v>
      </c>
      <c r="E6833" s="3" t="s">
        <v>100</v>
      </c>
      <c r="F6833" s="3" t="s">
        <v>1800</v>
      </c>
      <c r="G6833" s="7">
        <v>46236.96531706354</v>
      </c>
    </row>
    <row r="6834">
      <c r="A6834" s="3" t="s">
        <v>20824</v>
      </c>
      <c r="B6834" s="3" t="s">
        <v>987</v>
      </c>
      <c r="C6834" s="3" t="s">
        <v>56</v>
      </c>
      <c r="D6834" s="3" t="s">
        <v>68</v>
      </c>
      <c r="E6834" s="3" t="s">
        <v>100</v>
      </c>
      <c r="F6834" s="3" t="s">
        <v>1619</v>
      </c>
      <c r="G6834" s="7">
        <v>46237.036491908955</v>
      </c>
    </row>
    <row r="6835">
      <c r="A6835" s="3" t="s">
        <v>20827</v>
      </c>
      <c r="B6835" s="3" t="s">
        <v>631</v>
      </c>
      <c r="C6835" s="3" t="s">
        <v>56</v>
      </c>
      <c r="D6835" s="3" t="s">
        <v>68</v>
      </c>
      <c r="E6835" s="3" t="s">
        <v>100</v>
      </c>
      <c r="F6835" s="3" t="s">
        <v>1621</v>
      </c>
      <c r="G6835" s="7">
        <v>46237.107666754375</v>
      </c>
    </row>
    <row r="6836">
      <c r="A6836" s="3" t="s">
        <v>20830</v>
      </c>
      <c r="B6836" s="3" t="s">
        <v>493</v>
      </c>
      <c r="C6836" s="3" t="s">
        <v>56</v>
      </c>
      <c r="D6836" s="3" t="s">
        <v>68</v>
      </c>
      <c r="E6836" s="3" t="s">
        <v>100</v>
      </c>
      <c r="F6836" s="3" t="s">
        <v>1623</v>
      </c>
      <c r="G6836" s="7">
        <v>46237.17884159979</v>
      </c>
    </row>
    <row r="6837">
      <c r="A6837" s="3" t="s">
        <v>20832</v>
      </c>
      <c r="B6837" s="3" t="s">
        <v>197</v>
      </c>
      <c r="C6837" s="3" t="s">
        <v>1095</v>
      </c>
      <c r="D6837" s="3" t="s">
        <v>68</v>
      </c>
      <c r="E6837" s="3" t="s">
        <v>100</v>
      </c>
      <c r="F6837" s="3" t="s">
        <v>1335</v>
      </c>
      <c r="G6837" s="7">
        <v>46237.2500164452</v>
      </c>
    </row>
    <row r="6838">
      <c r="A6838" s="3" t="s">
        <v>20835</v>
      </c>
      <c r="B6838" s="3" t="s">
        <v>805</v>
      </c>
      <c r="C6838" s="3" t="s">
        <v>1095</v>
      </c>
      <c r="D6838" s="3" t="s">
        <v>68</v>
      </c>
      <c r="E6838" s="3" t="s">
        <v>100</v>
      </c>
      <c r="F6838" s="3" t="s">
        <v>1478</v>
      </c>
      <c r="G6838" s="7">
        <v>46237.32119129062</v>
      </c>
    </row>
    <row r="6839">
      <c r="A6839" s="3" t="s">
        <v>20837</v>
      </c>
      <c r="B6839" s="3" t="s">
        <v>406</v>
      </c>
      <c r="C6839" s="3" t="s">
        <v>1342</v>
      </c>
      <c r="D6839" s="3" t="s">
        <v>68</v>
      </c>
      <c r="E6839" s="3" t="s">
        <v>100</v>
      </c>
      <c r="F6839" s="3" t="s">
        <v>1755</v>
      </c>
      <c r="G6839" s="7">
        <v>46237.39236613603</v>
      </c>
    </row>
    <row r="6840">
      <c r="A6840" s="3" t="s">
        <v>20839</v>
      </c>
      <c r="B6840" s="3" t="s">
        <v>976</v>
      </c>
      <c r="C6840" s="3" t="s">
        <v>1095</v>
      </c>
      <c r="D6840" s="3" t="s">
        <v>68</v>
      </c>
      <c r="E6840" s="3" t="s">
        <v>100</v>
      </c>
      <c r="F6840" s="3" t="s">
        <v>1103</v>
      </c>
      <c r="G6840" s="7">
        <v>46237.463540981444</v>
      </c>
    </row>
    <row r="6841">
      <c r="A6841" s="3" t="s">
        <v>20841</v>
      </c>
      <c r="B6841" s="3" t="s">
        <v>702</v>
      </c>
      <c r="C6841" s="3" t="s">
        <v>1095</v>
      </c>
      <c r="D6841" s="3" t="s">
        <v>195</v>
      </c>
      <c r="E6841" s="3" t="s">
        <v>45</v>
      </c>
      <c r="F6841" s="3" t="s">
        <v>1617</v>
      </c>
      <c r="G6841" s="7">
        <v>46237.53471582686</v>
      </c>
    </row>
    <row r="6842">
      <c r="A6842" s="3" t="s">
        <v>20843</v>
      </c>
      <c r="B6842" s="3" t="s">
        <v>269</v>
      </c>
      <c r="C6842" s="3" t="s">
        <v>1095</v>
      </c>
      <c r="D6842" s="3" t="s">
        <v>181</v>
      </c>
      <c r="E6842" s="3" t="s">
        <v>45</v>
      </c>
      <c r="F6842" s="3" t="s">
        <v>1198</v>
      </c>
      <c r="G6842" s="7">
        <v>46237.605890672276</v>
      </c>
    </row>
    <row r="6843">
      <c r="A6843" s="3" t="s">
        <v>20845</v>
      </c>
      <c r="B6843" s="3" t="s">
        <v>682</v>
      </c>
      <c r="C6843" s="3" t="s">
        <v>1342</v>
      </c>
      <c r="D6843" s="3" t="s">
        <v>68</v>
      </c>
      <c r="E6843" s="3" t="s">
        <v>100</v>
      </c>
      <c r="F6843" s="3" t="s">
        <v>1300</v>
      </c>
      <c r="G6843" s="7">
        <v>46237.67706551769</v>
      </c>
    </row>
    <row r="6844">
      <c r="A6844" s="3" t="s">
        <v>20848</v>
      </c>
      <c r="B6844" s="3" t="s">
        <v>702</v>
      </c>
      <c r="C6844" s="3" t="s">
        <v>1342</v>
      </c>
      <c r="D6844" s="3" t="s">
        <v>68</v>
      </c>
      <c r="E6844" s="3" t="s">
        <v>100</v>
      </c>
      <c r="F6844" s="3" t="s">
        <v>1617</v>
      </c>
      <c r="G6844" s="7">
        <v>46237.74824036311</v>
      </c>
    </row>
    <row r="6845">
      <c r="A6845" s="3" t="s">
        <v>20852</v>
      </c>
      <c r="B6845" s="3" t="s">
        <v>145</v>
      </c>
      <c r="C6845" s="3" t="s">
        <v>56</v>
      </c>
      <c r="D6845" s="3" t="s">
        <v>68</v>
      </c>
      <c r="E6845" s="3" t="s">
        <v>100</v>
      </c>
      <c r="F6845" s="3" t="s">
        <v>1625</v>
      </c>
      <c r="G6845" s="7">
        <v>46237.81941520853</v>
      </c>
    </row>
    <row r="6846">
      <c r="A6846" s="3" t="s">
        <v>20855</v>
      </c>
      <c r="B6846" s="3" t="s">
        <v>215</v>
      </c>
      <c r="C6846" s="3" t="s">
        <v>1095</v>
      </c>
      <c r="D6846" s="3" t="s">
        <v>68</v>
      </c>
      <c r="E6846" s="3" t="s">
        <v>100</v>
      </c>
      <c r="F6846" s="3" t="s">
        <v>1324</v>
      </c>
      <c r="G6846" s="7">
        <v>46237.89059005393</v>
      </c>
    </row>
    <row r="6847">
      <c r="A6847" s="3" t="s">
        <v>20859</v>
      </c>
      <c r="B6847" s="3" t="s">
        <v>239</v>
      </c>
      <c r="C6847" s="3" t="s">
        <v>1095</v>
      </c>
      <c r="D6847" s="3" t="s">
        <v>68</v>
      </c>
      <c r="E6847" s="3" t="s">
        <v>100</v>
      </c>
      <c r="F6847" s="3" t="s">
        <v>1083</v>
      </c>
      <c r="G6847" s="7">
        <v>46237.96176489935</v>
      </c>
    </row>
    <row r="6848">
      <c r="A6848" s="3" t="s">
        <v>20863</v>
      </c>
      <c r="B6848" s="3" t="s">
        <v>702</v>
      </c>
      <c r="C6848" s="3" t="s">
        <v>1342</v>
      </c>
      <c r="D6848" s="3" t="s">
        <v>181</v>
      </c>
      <c r="E6848" s="3" t="s">
        <v>45</v>
      </c>
      <c r="F6848" s="3" t="s">
        <v>1617</v>
      </c>
      <c r="G6848" s="7">
        <v>46238.03293974477</v>
      </c>
    </row>
    <row r="6849">
      <c r="A6849" s="3" t="s">
        <v>20865</v>
      </c>
      <c r="B6849" s="3" t="s">
        <v>414</v>
      </c>
      <c r="C6849" s="3" t="s">
        <v>1342</v>
      </c>
      <c r="D6849" s="3" t="s">
        <v>68</v>
      </c>
      <c r="E6849" s="3" t="s">
        <v>100</v>
      </c>
      <c r="F6849" s="3" t="s">
        <v>1201</v>
      </c>
      <c r="G6849" s="7">
        <v>46238.10411459018</v>
      </c>
    </row>
    <row r="6850">
      <c r="A6850" s="3" t="s">
        <v>20868</v>
      </c>
      <c r="B6850" s="3" t="s">
        <v>665</v>
      </c>
      <c r="C6850" s="3" t="s">
        <v>1342</v>
      </c>
      <c r="D6850" s="3" t="s">
        <v>68</v>
      </c>
      <c r="E6850" s="3" t="s">
        <v>100</v>
      </c>
      <c r="F6850" s="3" t="s">
        <v>1292</v>
      </c>
      <c r="G6850" s="7">
        <v>46238.175289435596</v>
      </c>
    </row>
    <row r="6851">
      <c r="A6851" s="3" t="s">
        <v>20871</v>
      </c>
      <c r="B6851" s="3" t="s">
        <v>980</v>
      </c>
      <c r="C6851" s="3" t="s">
        <v>1342</v>
      </c>
      <c r="D6851" s="3" t="s">
        <v>68</v>
      </c>
      <c r="E6851" s="3" t="s">
        <v>100</v>
      </c>
      <c r="F6851" s="3" t="s">
        <v>1088</v>
      </c>
      <c r="G6851" s="7">
        <v>46238.246464281016</v>
      </c>
    </row>
    <row r="6852">
      <c r="A6852" s="3" t="s">
        <v>20874</v>
      </c>
      <c r="B6852" s="3" t="s">
        <v>640</v>
      </c>
      <c r="C6852" s="3" t="s">
        <v>1342</v>
      </c>
      <c r="D6852" s="3" t="s">
        <v>68</v>
      </c>
      <c r="E6852" s="3" t="s">
        <v>100</v>
      </c>
      <c r="F6852" s="3" t="s">
        <v>1315</v>
      </c>
      <c r="G6852" s="7">
        <v>46238.31763912643</v>
      </c>
    </row>
    <row r="6853">
      <c r="A6853" s="3" t="s">
        <v>20876</v>
      </c>
      <c r="B6853" s="3" t="s">
        <v>1043</v>
      </c>
      <c r="C6853" s="3" t="s">
        <v>1342</v>
      </c>
      <c r="D6853" s="3" t="s">
        <v>68</v>
      </c>
      <c r="E6853" s="3" t="s">
        <v>100</v>
      </c>
      <c r="F6853" s="3" t="s">
        <v>1361</v>
      </c>
      <c r="G6853" s="7">
        <v>46238.38881397184</v>
      </c>
    </row>
    <row r="6854">
      <c r="A6854" s="3" t="s">
        <v>20878</v>
      </c>
      <c r="B6854" s="3" t="s">
        <v>363</v>
      </c>
      <c r="C6854" s="3" t="s">
        <v>1342</v>
      </c>
      <c r="D6854" s="3" t="s">
        <v>68</v>
      </c>
      <c r="E6854" s="3" t="s">
        <v>100</v>
      </c>
      <c r="F6854" s="3" t="s">
        <v>1400</v>
      </c>
      <c r="G6854" s="7">
        <v>46238.45998881726</v>
      </c>
    </row>
    <row r="6855">
      <c r="A6855" s="3" t="s">
        <v>20880</v>
      </c>
      <c r="B6855" s="3" t="s">
        <v>760</v>
      </c>
      <c r="C6855" s="3" t="s">
        <v>56</v>
      </c>
      <c r="D6855" s="3" t="s">
        <v>68</v>
      </c>
      <c r="E6855" s="3" t="s">
        <v>100</v>
      </c>
      <c r="F6855" s="3" t="s">
        <v>1629</v>
      </c>
      <c r="G6855" s="7">
        <v>46238.53116366267</v>
      </c>
    </row>
    <row r="6856">
      <c r="A6856" s="3" t="s">
        <v>20884</v>
      </c>
      <c r="B6856" s="3" t="s">
        <v>800</v>
      </c>
      <c r="C6856" s="3" t="s">
        <v>56</v>
      </c>
      <c r="D6856" s="3" t="s">
        <v>181</v>
      </c>
      <c r="E6856" s="3" t="s">
        <v>45</v>
      </c>
      <c r="F6856" s="3" t="s">
        <v>45</v>
      </c>
      <c r="G6856" s="7">
        <v>46238.602338508084</v>
      </c>
    </row>
    <row r="6857">
      <c r="A6857" s="3" t="s">
        <v>20887</v>
      </c>
      <c r="B6857" s="3" t="s">
        <v>722</v>
      </c>
      <c r="C6857" s="3" t="s">
        <v>56</v>
      </c>
      <c r="D6857" s="3" t="s">
        <v>68</v>
      </c>
      <c r="E6857" s="3" t="s">
        <v>100</v>
      </c>
      <c r="F6857" s="3" t="s">
        <v>1631</v>
      </c>
      <c r="G6857" s="7">
        <v>46238.673513353504</v>
      </c>
    </row>
    <row r="6858">
      <c r="A6858" s="3" t="s">
        <v>20890</v>
      </c>
      <c r="B6858" s="3" t="s">
        <v>159</v>
      </c>
      <c r="C6858" s="3" t="s">
        <v>56</v>
      </c>
      <c r="D6858" s="3" t="s">
        <v>68</v>
      </c>
      <c r="E6858" s="3" t="s">
        <v>100</v>
      </c>
      <c r="F6858" s="3" t="s">
        <v>1634</v>
      </c>
      <c r="G6858" s="7">
        <v>46238.744688198916</v>
      </c>
    </row>
    <row r="6859">
      <c r="A6859" s="3" t="s">
        <v>20893</v>
      </c>
      <c r="B6859" s="3" t="s">
        <v>168</v>
      </c>
      <c r="C6859" s="3" t="s">
        <v>56</v>
      </c>
      <c r="D6859" s="3" t="s">
        <v>68</v>
      </c>
      <c r="E6859" s="3" t="s">
        <v>100</v>
      </c>
      <c r="F6859" s="3" t="s">
        <v>1636</v>
      </c>
      <c r="G6859" s="7">
        <v>46238.815863044336</v>
      </c>
    </row>
    <row r="6860">
      <c r="A6860" s="3" t="s">
        <v>20896</v>
      </c>
      <c r="B6860" s="3" t="s">
        <v>785</v>
      </c>
      <c r="C6860" s="3" t="s">
        <v>1342</v>
      </c>
      <c r="D6860" s="3" t="s">
        <v>68</v>
      </c>
      <c r="E6860" s="3" t="s">
        <v>100</v>
      </c>
      <c r="F6860" s="3" t="s">
        <v>1549</v>
      </c>
      <c r="G6860" s="7">
        <v>46238.88703788975</v>
      </c>
    </row>
    <row r="6861">
      <c r="A6861" s="3" t="s">
        <v>20899</v>
      </c>
      <c r="B6861" s="3" t="s">
        <v>864</v>
      </c>
      <c r="C6861" s="3" t="s">
        <v>56</v>
      </c>
      <c r="D6861" s="3" t="s">
        <v>68</v>
      </c>
      <c r="E6861" s="3" t="s">
        <v>100</v>
      </c>
      <c r="F6861" s="3" t="s">
        <v>1643</v>
      </c>
      <c r="G6861" s="7">
        <v>46238.95821273517</v>
      </c>
    </row>
    <row r="6862">
      <c r="A6862" s="3" t="s">
        <v>20903</v>
      </c>
      <c r="B6862" s="3" t="s">
        <v>713</v>
      </c>
      <c r="C6862" s="3" t="s">
        <v>1342</v>
      </c>
      <c r="D6862" s="3" t="s">
        <v>195</v>
      </c>
      <c r="E6862" s="3" t="s">
        <v>45</v>
      </c>
      <c r="F6862" s="3" t="s">
        <v>728</v>
      </c>
      <c r="G6862" s="7">
        <v>46239.02938758057</v>
      </c>
    </row>
    <row r="6863">
      <c r="A6863" s="3" t="s">
        <v>20906</v>
      </c>
      <c r="B6863" s="3" t="s">
        <v>546</v>
      </c>
      <c r="C6863" s="3" t="s">
        <v>1095</v>
      </c>
      <c r="D6863" s="3" t="s">
        <v>68</v>
      </c>
      <c r="E6863" s="3" t="s">
        <v>100</v>
      </c>
      <c r="F6863" s="3" t="s">
        <v>1579</v>
      </c>
      <c r="G6863" s="7">
        <v>46239.10056242599</v>
      </c>
    </row>
    <row r="6864">
      <c r="A6864" s="3" t="s">
        <v>20909</v>
      </c>
      <c r="B6864" s="3" t="s">
        <v>669</v>
      </c>
      <c r="C6864" s="3" t="s">
        <v>1342</v>
      </c>
      <c r="D6864" s="3" t="s">
        <v>68</v>
      </c>
      <c r="E6864" s="3" t="s">
        <v>100</v>
      </c>
      <c r="F6864" s="3" t="s">
        <v>1114</v>
      </c>
      <c r="G6864" s="7">
        <v>46239.17173727141</v>
      </c>
    </row>
    <row r="6865">
      <c r="A6865" s="3" t="s">
        <v>20912</v>
      </c>
      <c r="B6865" s="3" t="s">
        <v>165</v>
      </c>
      <c r="C6865" s="3" t="s">
        <v>56</v>
      </c>
      <c r="D6865" s="3" t="s">
        <v>195</v>
      </c>
      <c r="E6865" s="3" t="s">
        <v>45</v>
      </c>
      <c r="F6865" s="3" t="s">
        <v>45</v>
      </c>
      <c r="G6865" s="7">
        <v>46239.242912116824</v>
      </c>
    </row>
    <row r="6866">
      <c r="A6866" s="3" t="s">
        <v>20915</v>
      </c>
      <c r="B6866" s="3" t="s">
        <v>159</v>
      </c>
      <c r="C6866" s="3" t="s">
        <v>1095</v>
      </c>
      <c r="D6866" s="3" t="s">
        <v>68</v>
      </c>
      <c r="E6866" s="3" t="s">
        <v>100</v>
      </c>
      <c r="F6866" s="3" t="s">
        <v>1634</v>
      </c>
      <c r="G6866" s="7">
        <v>46239.31408696224</v>
      </c>
    </row>
    <row r="6867">
      <c r="A6867" s="3" t="s">
        <v>20918</v>
      </c>
      <c r="B6867" s="3" t="s">
        <v>937</v>
      </c>
      <c r="C6867" s="3" t="s">
        <v>56</v>
      </c>
      <c r="D6867" s="3" t="s">
        <v>68</v>
      </c>
      <c r="E6867" s="3" t="s">
        <v>100</v>
      </c>
      <c r="F6867" s="3" t="s">
        <v>1645</v>
      </c>
      <c r="G6867" s="7">
        <v>46239.385261807656</v>
      </c>
    </row>
    <row r="6868">
      <c r="A6868" s="3" t="s">
        <v>20920</v>
      </c>
      <c r="B6868" s="3" t="s">
        <v>348</v>
      </c>
      <c r="C6868" s="3" t="s">
        <v>56</v>
      </c>
      <c r="D6868" s="3" t="s">
        <v>68</v>
      </c>
      <c r="E6868" s="3" t="s">
        <v>100</v>
      </c>
      <c r="F6868" s="3" t="s">
        <v>1647</v>
      </c>
      <c r="G6868" s="7">
        <v>46239.45643665307</v>
      </c>
    </row>
    <row r="6869">
      <c r="A6869" s="3" t="s">
        <v>20922</v>
      </c>
      <c r="B6869" s="3" t="s">
        <v>404</v>
      </c>
      <c r="C6869" s="3" t="s">
        <v>1095</v>
      </c>
      <c r="D6869" s="3" t="s">
        <v>68</v>
      </c>
      <c r="E6869" s="3" t="s">
        <v>100</v>
      </c>
      <c r="F6869" s="3" t="s">
        <v>2115</v>
      </c>
      <c r="G6869" s="7">
        <v>46239.52761149848</v>
      </c>
    </row>
    <row r="6870">
      <c r="A6870" s="3" t="s">
        <v>20924</v>
      </c>
      <c r="B6870" s="3" t="s">
        <v>575</v>
      </c>
      <c r="C6870" s="3" t="s">
        <v>56</v>
      </c>
      <c r="D6870" s="3" t="s">
        <v>68</v>
      </c>
      <c r="E6870" s="3" t="s">
        <v>100</v>
      </c>
      <c r="F6870" s="3" t="s">
        <v>1650</v>
      </c>
      <c r="G6870" s="7">
        <v>46239.5987863439</v>
      </c>
    </row>
    <row r="6871">
      <c r="A6871" s="3" t="s">
        <v>20926</v>
      </c>
      <c r="B6871" s="3" t="s">
        <v>230</v>
      </c>
      <c r="C6871" s="3" t="s">
        <v>1095</v>
      </c>
      <c r="D6871" s="3" t="s">
        <v>68</v>
      </c>
      <c r="E6871" s="3" t="s">
        <v>100</v>
      </c>
      <c r="F6871" s="3" t="s">
        <v>2006</v>
      </c>
      <c r="G6871" s="7">
        <v>46239.66996118932</v>
      </c>
    </row>
    <row r="6872">
      <c r="A6872" s="3" t="s">
        <v>20928</v>
      </c>
      <c r="B6872" s="3" t="s">
        <v>341</v>
      </c>
      <c r="C6872" s="3" t="s">
        <v>1095</v>
      </c>
      <c r="D6872" s="3" t="s">
        <v>68</v>
      </c>
      <c r="E6872" s="3" t="s">
        <v>100</v>
      </c>
      <c r="F6872" s="3" t="s">
        <v>923</v>
      </c>
      <c r="G6872" s="7">
        <v>46239.741136034725</v>
      </c>
    </row>
    <row r="6873">
      <c r="A6873" s="3" t="s">
        <v>20930</v>
      </c>
      <c r="B6873" s="3" t="s">
        <v>575</v>
      </c>
      <c r="C6873" s="3" t="s">
        <v>1095</v>
      </c>
      <c r="D6873" s="3" t="s">
        <v>68</v>
      </c>
      <c r="E6873" s="3" t="s">
        <v>100</v>
      </c>
      <c r="F6873" s="3" t="s">
        <v>1650</v>
      </c>
      <c r="G6873" s="7">
        <v>46239.812310880145</v>
      </c>
    </row>
    <row r="6874">
      <c r="A6874" s="3" t="s">
        <v>20932</v>
      </c>
      <c r="B6874" s="3" t="s">
        <v>442</v>
      </c>
      <c r="C6874" s="3" t="s">
        <v>1342</v>
      </c>
      <c r="D6874" s="3" t="s">
        <v>181</v>
      </c>
      <c r="E6874" s="3" t="s">
        <v>45</v>
      </c>
      <c r="F6874" s="3" t="s">
        <v>1485</v>
      </c>
      <c r="G6874" s="7">
        <v>46239.88348572556</v>
      </c>
    </row>
    <row r="6875">
      <c r="A6875" s="3" t="s">
        <v>20934</v>
      </c>
      <c r="B6875" s="3" t="s">
        <v>662</v>
      </c>
      <c r="C6875" s="3" t="s">
        <v>1095</v>
      </c>
      <c r="D6875" s="3" t="s">
        <v>68</v>
      </c>
      <c r="E6875" s="3" t="s">
        <v>100</v>
      </c>
      <c r="F6875" s="3" t="s">
        <v>954</v>
      </c>
      <c r="G6875" s="7">
        <v>46239.95466057098</v>
      </c>
    </row>
    <row r="6876">
      <c r="A6876" s="3" t="s">
        <v>20936</v>
      </c>
      <c r="B6876" s="3" t="s">
        <v>689</v>
      </c>
      <c r="C6876" s="3" t="s">
        <v>1095</v>
      </c>
      <c r="D6876" s="3" t="s">
        <v>68</v>
      </c>
      <c r="E6876" s="3" t="s">
        <v>100</v>
      </c>
      <c r="F6876" s="3" t="s">
        <v>1969</v>
      </c>
      <c r="G6876" s="7">
        <v>46240.02583541639</v>
      </c>
    </row>
    <row r="6877">
      <c r="A6877" s="3" t="s">
        <v>20938</v>
      </c>
      <c r="B6877" s="3" t="s">
        <v>521</v>
      </c>
      <c r="C6877" s="3" t="s">
        <v>56</v>
      </c>
      <c r="D6877" s="3" t="s">
        <v>68</v>
      </c>
      <c r="E6877" s="3" t="s">
        <v>100</v>
      </c>
      <c r="F6877" s="3" t="s">
        <v>1651</v>
      </c>
      <c r="G6877" s="7">
        <v>46240.09701026181</v>
      </c>
    </row>
    <row r="6878">
      <c r="A6878" s="3" t="s">
        <v>20941</v>
      </c>
      <c r="B6878" s="3" t="s">
        <v>609</v>
      </c>
      <c r="C6878" s="3" t="s">
        <v>1342</v>
      </c>
      <c r="D6878" s="3" t="s">
        <v>68</v>
      </c>
      <c r="E6878" s="3" t="s">
        <v>100</v>
      </c>
      <c r="F6878" s="3" t="s">
        <v>1570</v>
      </c>
      <c r="G6878" s="7">
        <v>46240.16818510722</v>
      </c>
    </row>
    <row r="6879">
      <c r="A6879" s="3" t="s">
        <v>20942</v>
      </c>
      <c r="B6879" s="3" t="s">
        <v>685</v>
      </c>
      <c r="C6879" s="3" t="s">
        <v>1095</v>
      </c>
      <c r="D6879" s="3" t="s">
        <v>68</v>
      </c>
      <c r="E6879" s="3" t="s">
        <v>100</v>
      </c>
      <c r="F6879" s="3" t="s">
        <v>846</v>
      </c>
      <c r="G6879" s="7">
        <v>46240.23935995263</v>
      </c>
    </row>
    <row r="6880">
      <c r="A6880" s="3" t="s">
        <v>20944</v>
      </c>
      <c r="B6880" s="3" t="s">
        <v>752</v>
      </c>
      <c r="C6880" s="3" t="s">
        <v>1342</v>
      </c>
      <c r="D6880" s="3" t="s">
        <v>181</v>
      </c>
      <c r="E6880" s="3" t="s">
        <v>45</v>
      </c>
      <c r="F6880" s="3" t="s">
        <v>2105</v>
      </c>
      <c r="G6880" s="7">
        <v>46240.31053479805</v>
      </c>
    </row>
    <row r="6881">
      <c r="A6881" s="3" t="s">
        <v>20947</v>
      </c>
      <c r="B6881" s="3" t="s">
        <v>460</v>
      </c>
      <c r="C6881" s="3" t="s">
        <v>1095</v>
      </c>
      <c r="D6881" s="3" t="s">
        <v>68</v>
      </c>
      <c r="E6881" s="3" t="s">
        <v>100</v>
      </c>
      <c r="F6881" s="3" t="s">
        <v>1413</v>
      </c>
      <c r="G6881" s="7">
        <v>46240.381709643465</v>
      </c>
    </row>
    <row r="6882">
      <c r="A6882" s="3" t="s">
        <v>20949</v>
      </c>
      <c r="B6882" s="3" t="s">
        <v>183</v>
      </c>
      <c r="C6882" s="3" t="s">
        <v>1342</v>
      </c>
      <c r="D6882" s="3" t="s">
        <v>68</v>
      </c>
      <c r="E6882" s="3" t="s">
        <v>100</v>
      </c>
      <c r="F6882" s="3" t="s">
        <v>1305</v>
      </c>
      <c r="G6882" s="7">
        <v>46240.45288448888</v>
      </c>
    </row>
    <row r="6883">
      <c r="A6883" s="3" t="s">
        <v>20952</v>
      </c>
      <c r="B6883" s="3" t="s">
        <v>183</v>
      </c>
      <c r="C6883" s="3" t="s">
        <v>1095</v>
      </c>
      <c r="D6883" s="3" t="s">
        <v>68</v>
      </c>
      <c r="E6883" s="3" t="s">
        <v>100</v>
      </c>
      <c r="F6883" s="3" t="s">
        <v>1305</v>
      </c>
      <c r="G6883" s="7">
        <v>46240.5240593343</v>
      </c>
    </row>
    <row r="6884">
      <c r="A6884" s="3" t="s">
        <v>20955</v>
      </c>
      <c r="B6884" s="3" t="s">
        <v>175</v>
      </c>
      <c r="C6884" s="3" t="s">
        <v>56</v>
      </c>
      <c r="D6884" s="3" t="s">
        <v>68</v>
      </c>
      <c r="E6884" s="3" t="s">
        <v>100</v>
      </c>
      <c r="F6884" s="3" t="s">
        <v>1654</v>
      </c>
      <c r="G6884" s="7">
        <v>46240.59523417971</v>
      </c>
    </row>
    <row r="6885">
      <c r="A6885" s="3" t="s">
        <v>20958</v>
      </c>
      <c r="B6885" s="3" t="s">
        <v>507</v>
      </c>
      <c r="C6885" s="3" t="s">
        <v>1095</v>
      </c>
      <c r="D6885" s="3" t="s">
        <v>68</v>
      </c>
      <c r="E6885" s="3" t="s">
        <v>100</v>
      </c>
      <c r="F6885" s="3" t="s">
        <v>1524</v>
      </c>
      <c r="G6885" s="7">
        <v>46240.66640902512</v>
      </c>
    </row>
    <row r="6886">
      <c r="A6886" s="3" t="s">
        <v>20961</v>
      </c>
      <c r="B6886" s="3" t="s">
        <v>515</v>
      </c>
      <c r="C6886" s="3" t="s">
        <v>56</v>
      </c>
      <c r="D6886" s="3" t="s">
        <v>68</v>
      </c>
      <c r="E6886" s="3" t="s">
        <v>100</v>
      </c>
      <c r="F6886" s="3" t="s">
        <v>1656</v>
      </c>
      <c r="G6886" s="7">
        <v>46240.73758387054</v>
      </c>
    </row>
    <row r="6887">
      <c r="A6887" s="3" t="s">
        <v>20963</v>
      </c>
      <c r="B6887" s="3" t="s">
        <v>587</v>
      </c>
      <c r="C6887" s="3" t="s">
        <v>1342</v>
      </c>
      <c r="D6887" s="3" t="s">
        <v>68</v>
      </c>
      <c r="E6887" s="3" t="s">
        <v>100</v>
      </c>
      <c r="F6887" s="3" t="s">
        <v>1448</v>
      </c>
      <c r="G6887" s="7">
        <v>46240.80875871596</v>
      </c>
    </row>
    <row r="6888">
      <c r="A6888" s="3" t="s">
        <v>20965</v>
      </c>
      <c r="B6888" s="3" t="s">
        <v>183</v>
      </c>
      <c r="C6888" s="3" t="s">
        <v>56</v>
      </c>
      <c r="D6888" s="3" t="s">
        <v>68</v>
      </c>
      <c r="E6888" s="3" t="s">
        <v>100</v>
      </c>
      <c r="F6888" s="3" t="s">
        <v>1658</v>
      </c>
      <c r="G6888" s="7">
        <v>46240.879933561366</v>
      </c>
    </row>
    <row r="6889">
      <c r="A6889" s="3" t="s">
        <v>20968</v>
      </c>
      <c r="B6889" s="3" t="s">
        <v>369</v>
      </c>
      <c r="C6889" s="3" t="s">
        <v>1342</v>
      </c>
      <c r="D6889" s="3" t="s">
        <v>68</v>
      </c>
      <c r="E6889" s="3" t="s">
        <v>100</v>
      </c>
      <c r="F6889" s="3" t="s">
        <v>1501</v>
      </c>
      <c r="G6889" s="7">
        <v>46240.951108406785</v>
      </c>
    </row>
    <row r="6890">
      <c r="A6890" s="3" t="s">
        <v>20970</v>
      </c>
      <c r="B6890" s="3" t="s">
        <v>586</v>
      </c>
      <c r="C6890" s="3" t="s">
        <v>1095</v>
      </c>
      <c r="D6890" s="3" t="s">
        <v>68</v>
      </c>
      <c r="E6890" s="3" t="s">
        <v>100</v>
      </c>
      <c r="F6890" s="3" t="s">
        <v>1627</v>
      </c>
      <c r="G6890" s="7">
        <v>46241.022283252205</v>
      </c>
    </row>
    <row r="6891">
      <c r="A6891" s="3" t="s">
        <v>20973</v>
      </c>
      <c r="B6891" s="3" t="s">
        <v>627</v>
      </c>
      <c r="C6891" s="3" t="s">
        <v>1342</v>
      </c>
      <c r="D6891" s="3" t="s">
        <v>68</v>
      </c>
      <c r="E6891" s="3" t="s">
        <v>100</v>
      </c>
      <c r="F6891" s="3" t="s">
        <v>1557</v>
      </c>
      <c r="G6891" s="7">
        <v>46241.09345809762</v>
      </c>
    </row>
    <row r="6892">
      <c r="A6892" s="3" t="s">
        <v>20978</v>
      </c>
      <c r="B6892" s="3" t="s">
        <v>689</v>
      </c>
      <c r="C6892" s="3" t="s">
        <v>56</v>
      </c>
      <c r="D6892" s="3" t="s">
        <v>68</v>
      </c>
      <c r="E6892" s="3" t="s">
        <v>100</v>
      </c>
      <c r="F6892" s="3" t="s">
        <v>1661</v>
      </c>
      <c r="G6892" s="7">
        <v>46241.16463294303</v>
      </c>
    </row>
    <row r="6893">
      <c r="A6893" s="3" t="s">
        <v>20980</v>
      </c>
      <c r="B6893" s="3" t="s">
        <v>215</v>
      </c>
      <c r="C6893" s="3" t="s">
        <v>56</v>
      </c>
      <c r="D6893" s="3" t="s">
        <v>68</v>
      </c>
      <c r="E6893" s="3" t="s">
        <v>100</v>
      </c>
      <c r="F6893" s="3" t="s">
        <v>1663</v>
      </c>
      <c r="G6893" s="7">
        <v>46241.23580778845</v>
      </c>
    </row>
    <row r="6894">
      <c r="A6894" s="3" t="s">
        <v>20982</v>
      </c>
      <c r="B6894" s="3" t="s">
        <v>870</v>
      </c>
      <c r="C6894" s="3" t="s">
        <v>1342</v>
      </c>
      <c r="D6894" s="3" t="s">
        <v>68</v>
      </c>
      <c r="E6894" s="3" t="s">
        <v>100</v>
      </c>
      <c r="F6894" s="3" t="s">
        <v>1455</v>
      </c>
      <c r="G6894" s="7">
        <v>46241.30698263386</v>
      </c>
    </row>
    <row r="6895">
      <c r="A6895" s="3" t="s">
        <v>20984</v>
      </c>
      <c r="B6895" s="3" t="s">
        <v>462</v>
      </c>
      <c r="C6895" s="3" t="s">
        <v>1342</v>
      </c>
      <c r="D6895" s="3" t="s">
        <v>68</v>
      </c>
      <c r="E6895" s="3" t="s">
        <v>100</v>
      </c>
      <c r="F6895" s="3" t="s">
        <v>1602</v>
      </c>
      <c r="G6895" s="7">
        <v>46241.378157479274</v>
      </c>
    </row>
    <row r="6896">
      <c r="A6896" s="3" t="s">
        <v>20986</v>
      </c>
      <c r="B6896" s="3" t="s">
        <v>949</v>
      </c>
      <c r="C6896" s="3" t="s">
        <v>1095</v>
      </c>
      <c r="D6896" s="3" t="s">
        <v>68</v>
      </c>
      <c r="E6896" s="3" t="s">
        <v>100</v>
      </c>
      <c r="F6896" s="3" t="s">
        <v>1407</v>
      </c>
      <c r="G6896" s="7">
        <v>46241.44933232469</v>
      </c>
    </row>
    <row r="6897">
      <c r="A6897" s="3" t="s">
        <v>20991</v>
      </c>
      <c r="B6897" s="3" t="s">
        <v>501</v>
      </c>
      <c r="C6897" s="3" t="s">
        <v>56</v>
      </c>
      <c r="D6897" s="3" t="s">
        <v>68</v>
      </c>
      <c r="E6897" s="3" t="s">
        <v>100</v>
      </c>
      <c r="F6897" s="3" t="s">
        <v>1666</v>
      </c>
      <c r="G6897" s="7">
        <v>46241.52050717011</v>
      </c>
    </row>
    <row r="6898">
      <c r="A6898" s="3" t="s">
        <v>20994</v>
      </c>
      <c r="B6898" s="3" t="s">
        <v>535</v>
      </c>
      <c r="C6898" s="3" t="s">
        <v>1095</v>
      </c>
      <c r="D6898" s="3" t="s">
        <v>68</v>
      </c>
      <c r="E6898" s="3" t="s">
        <v>100</v>
      </c>
      <c r="F6898" s="3" t="s">
        <v>1520</v>
      </c>
      <c r="G6898" s="7">
        <v>46241.59168201552</v>
      </c>
    </row>
    <row r="6899">
      <c r="A6899" s="3" t="s">
        <v>20997</v>
      </c>
      <c r="B6899" s="3" t="s">
        <v>479</v>
      </c>
      <c r="C6899" s="3" t="s">
        <v>1342</v>
      </c>
      <c r="D6899" s="3" t="s">
        <v>68</v>
      </c>
      <c r="E6899" s="3" t="s">
        <v>100</v>
      </c>
      <c r="F6899" s="3" t="s">
        <v>2032</v>
      </c>
      <c r="G6899" s="7">
        <v>46241.66285686094</v>
      </c>
    </row>
    <row r="6900">
      <c r="A6900" s="3" t="s">
        <v>20999</v>
      </c>
      <c r="B6900" s="3" t="s">
        <v>596</v>
      </c>
      <c r="C6900" s="3" t="s">
        <v>1095</v>
      </c>
      <c r="D6900" s="3" t="s">
        <v>68</v>
      </c>
      <c r="E6900" s="3" t="s">
        <v>100</v>
      </c>
      <c r="F6900" s="3" t="s">
        <v>762</v>
      </c>
      <c r="G6900" s="7">
        <v>46241.73403170635</v>
      </c>
    </row>
    <row r="6901">
      <c r="A6901" s="3" t="s">
        <v>21001</v>
      </c>
      <c r="B6901" s="3" t="s">
        <v>789</v>
      </c>
      <c r="C6901" s="3" t="s">
        <v>1342</v>
      </c>
      <c r="D6901" s="3" t="s">
        <v>68</v>
      </c>
      <c r="E6901" s="3" t="s">
        <v>100</v>
      </c>
      <c r="F6901" s="3" t="s">
        <v>1873</v>
      </c>
      <c r="G6901" s="7">
        <v>46241.80520655177</v>
      </c>
    </row>
    <row r="6902">
      <c r="A6902" s="3" t="s">
        <v>21003</v>
      </c>
      <c r="B6902" s="3" t="s">
        <v>197</v>
      </c>
      <c r="C6902" s="3" t="s">
        <v>56</v>
      </c>
      <c r="D6902" s="3" t="s">
        <v>68</v>
      </c>
      <c r="E6902" s="3" t="s">
        <v>100</v>
      </c>
      <c r="F6902" s="3" t="s">
        <v>1667</v>
      </c>
      <c r="G6902" s="7">
        <v>46241.87638139718</v>
      </c>
    </row>
    <row r="6903">
      <c r="A6903" s="3" t="s">
        <v>21006</v>
      </c>
      <c r="B6903" s="3" t="s">
        <v>269</v>
      </c>
      <c r="C6903" s="3" t="s">
        <v>1342</v>
      </c>
      <c r="D6903" s="3" t="s">
        <v>195</v>
      </c>
      <c r="E6903" s="3" t="s">
        <v>45</v>
      </c>
      <c r="F6903" s="3" t="s">
        <v>1198</v>
      </c>
      <c r="G6903" s="7">
        <v>46241.9475562426</v>
      </c>
    </row>
    <row r="6904">
      <c r="A6904" s="3" t="s">
        <v>21008</v>
      </c>
      <c r="B6904" s="3" t="s">
        <v>333</v>
      </c>
      <c r="C6904" s="3" t="s">
        <v>56</v>
      </c>
      <c r="D6904" s="3" t="s">
        <v>68</v>
      </c>
      <c r="E6904" s="3" t="s">
        <v>100</v>
      </c>
      <c r="F6904" s="3" t="s">
        <v>1670</v>
      </c>
      <c r="G6904" s="7">
        <v>46242.01873108801</v>
      </c>
    </row>
    <row r="6905">
      <c r="A6905" s="3" t="s">
        <v>21010</v>
      </c>
      <c r="B6905" s="3" t="s">
        <v>643</v>
      </c>
      <c r="C6905" s="3" t="s">
        <v>56</v>
      </c>
      <c r="D6905" s="3" t="s">
        <v>68</v>
      </c>
      <c r="E6905" s="3" t="s">
        <v>100</v>
      </c>
      <c r="F6905" s="3" t="s">
        <v>1671</v>
      </c>
      <c r="G6905" s="7">
        <v>46242.089905933426</v>
      </c>
    </row>
    <row r="6906">
      <c r="A6906" s="3" t="s">
        <v>21012</v>
      </c>
      <c r="B6906" s="3" t="s">
        <v>236</v>
      </c>
      <c r="C6906" s="3" t="s">
        <v>1342</v>
      </c>
      <c r="D6906" s="3" t="s">
        <v>68</v>
      </c>
      <c r="E6906" s="3" t="s">
        <v>100</v>
      </c>
      <c r="F6906" s="3" t="s">
        <v>1641</v>
      </c>
      <c r="G6906" s="7">
        <v>46242.161080778846</v>
      </c>
    </row>
    <row r="6907">
      <c r="A6907" s="3" t="s">
        <v>21014</v>
      </c>
      <c r="B6907" s="3" t="s">
        <v>296</v>
      </c>
      <c r="C6907" s="3" t="s">
        <v>1095</v>
      </c>
      <c r="D6907" s="3" t="s">
        <v>68</v>
      </c>
      <c r="E6907" s="3" t="s">
        <v>100</v>
      </c>
      <c r="F6907" s="3" t="s">
        <v>1932</v>
      </c>
      <c r="G6907" s="7">
        <v>46242.23225562426</v>
      </c>
    </row>
    <row r="6908">
      <c r="A6908" s="3" t="s">
        <v>21016</v>
      </c>
      <c r="B6908" s="3" t="s">
        <v>883</v>
      </c>
      <c r="C6908" s="3" t="s">
        <v>1342</v>
      </c>
      <c r="D6908" s="3" t="s">
        <v>68</v>
      </c>
      <c r="E6908" s="3" t="s">
        <v>100</v>
      </c>
      <c r="F6908" s="3" t="s">
        <v>1125</v>
      </c>
      <c r="G6908" s="7">
        <v>46242.30343046967</v>
      </c>
    </row>
    <row r="6909">
      <c r="A6909" s="3" t="s">
        <v>21019</v>
      </c>
      <c r="B6909" s="3" t="s">
        <v>250</v>
      </c>
      <c r="C6909" s="3" t="s">
        <v>56</v>
      </c>
      <c r="D6909" s="3" t="s">
        <v>68</v>
      </c>
      <c r="E6909" s="3" t="s">
        <v>100</v>
      </c>
      <c r="F6909" s="3" t="s">
        <v>1674</v>
      </c>
      <c r="G6909" s="7">
        <v>46242.37460531509</v>
      </c>
    </row>
    <row r="6910">
      <c r="A6910" s="3" t="s">
        <v>21022</v>
      </c>
      <c r="B6910" s="3" t="s">
        <v>937</v>
      </c>
      <c r="C6910" s="3" t="s">
        <v>1342</v>
      </c>
      <c r="D6910" s="3" t="s">
        <v>195</v>
      </c>
      <c r="E6910" s="3" t="s">
        <v>45</v>
      </c>
      <c r="F6910" s="3" t="s">
        <v>1645</v>
      </c>
      <c r="G6910" s="7">
        <v>46242.4457801605</v>
      </c>
    </row>
    <row r="6911">
      <c r="A6911" s="3" t="s">
        <v>21025</v>
      </c>
      <c r="B6911" s="3" t="s">
        <v>731</v>
      </c>
      <c r="C6911" s="3" t="s">
        <v>1095</v>
      </c>
      <c r="D6911" s="3" t="s">
        <v>68</v>
      </c>
      <c r="E6911" s="3" t="s">
        <v>100</v>
      </c>
      <c r="F6911" s="3" t="s">
        <v>2025</v>
      </c>
      <c r="G6911" s="7">
        <v>46242.516955005914</v>
      </c>
    </row>
    <row r="6912">
      <c r="A6912" s="3" t="s">
        <v>21028</v>
      </c>
      <c r="B6912" s="3" t="s">
        <v>908</v>
      </c>
      <c r="C6912" s="3" t="s">
        <v>1342</v>
      </c>
      <c r="D6912" s="3" t="s">
        <v>68</v>
      </c>
      <c r="E6912" s="3" t="s">
        <v>100</v>
      </c>
      <c r="F6912" s="3" t="s">
        <v>1535</v>
      </c>
      <c r="G6912" s="7">
        <v>46242.588129851334</v>
      </c>
    </row>
    <row r="6913">
      <c r="A6913" s="3" t="s">
        <v>21031</v>
      </c>
      <c r="B6913" s="3" t="s">
        <v>302</v>
      </c>
      <c r="C6913" s="3" t="s">
        <v>56</v>
      </c>
      <c r="D6913" s="3" t="s">
        <v>68</v>
      </c>
      <c r="E6913" s="3" t="s">
        <v>100</v>
      </c>
      <c r="F6913" s="3" t="s">
        <v>1676</v>
      </c>
      <c r="G6913" s="7">
        <v>46242.659304696754</v>
      </c>
    </row>
    <row r="6914">
      <c r="A6914" s="3" t="s">
        <v>21035</v>
      </c>
      <c r="B6914" s="3" t="s">
        <v>505</v>
      </c>
      <c r="C6914" s="3" t="s">
        <v>1095</v>
      </c>
      <c r="D6914" s="3" t="s">
        <v>68</v>
      </c>
      <c r="E6914" s="3" t="s">
        <v>100</v>
      </c>
      <c r="F6914" s="3" t="s">
        <v>1376</v>
      </c>
      <c r="G6914" s="7">
        <v>46242.73047954216</v>
      </c>
    </row>
    <row r="6915">
      <c r="A6915" s="3" t="s">
        <v>21039</v>
      </c>
      <c r="B6915" s="3" t="s">
        <v>424</v>
      </c>
      <c r="C6915" s="3" t="s">
        <v>1095</v>
      </c>
      <c r="D6915" s="3" t="s">
        <v>68</v>
      </c>
      <c r="E6915" s="3" t="s">
        <v>100</v>
      </c>
      <c r="F6915" s="3" t="s">
        <v>1530</v>
      </c>
      <c r="G6915" s="7">
        <v>46242.80165438758</v>
      </c>
    </row>
    <row r="6916">
      <c r="A6916" s="3" t="s">
        <v>21042</v>
      </c>
      <c r="B6916" s="3" t="s">
        <v>601</v>
      </c>
      <c r="C6916" s="3" t="s">
        <v>1095</v>
      </c>
      <c r="D6916" s="3" t="s">
        <v>68</v>
      </c>
      <c r="E6916" s="3" t="s">
        <v>100</v>
      </c>
      <c r="F6916" s="3" t="s">
        <v>837</v>
      </c>
      <c r="G6916" s="7">
        <v>46242.87282923299</v>
      </c>
    </row>
    <row r="6917">
      <c r="A6917" s="3" t="s">
        <v>21044</v>
      </c>
      <c r="B6917" s="3" t="s">
        <v>524</v>
      </c>
      <c r="C6917" s="3" t="s">
        <v>1095</v>
      </c>
      <c r="D6917" s="3" t="s">
        <v>68</v>
      </c>
      <c r="E6917" s="3" t="s">
        <v>100</v>
      </c>
      <c r="F6917" s="3" t="s">
        <v>1465</v>
      </c>
      <c r="G6917" s="7">
        <v>46242.94400407841</v>
      </c>
    </row>
    <row r="6918">
      <c r="A6918" s="3" t="s">
        <v>21046</v>
      </c>
      <c r="B6918" s="3" t="s">
        <v>359</v>
      </c>
      <c r="C6918" s="3" t="s">
        <v>56</v>
      </c>
      <c r="D6918" s="3" t="s">
        <v>68</v>
      </c>
      <c r="E6918" s="3" t="s">
        <v>100</v>
      </c>
      <c r="F6918" s="3" t="s">
        <v>1679</v>
      </c>
      <c r="G6918" s="7">
        <v>46243.01517892382</v>
      </c>
    </row>
    <row r="6919">
      <c r="A6919" s="3" t="s">
        <v>21048</v>
      </c>
      <c r="B6919" s="3" t="s">
        <v>383</v>
      </c>
      <c r="C6919" s="3" t="s">
        <v>56</v>
      </c>
      <c r="D6919" s="3" t="s">
        <v>68</v>
      </c>
      <c r="E6919" s="3" t="s">
        <v>100</v>
      </c>
      <c r="F6919" s="3" t="s">
        <v>1681</v>
      </c>
      <c r="G6919" s="7">
        <v>46243.08635376924</v>
      </c>
    </row>
    <row r="6920">
      <c r="A6920" s="3" t="s">
        <v>21050</v>
      </c>
      <c r="B6920" s="3" t="s">
        <v>557</v>
      </c>
      <c r="C6920" s="3" t="s">
        <v>1342</v>
      </c>
      <c r="D6920" s="3" t="s">
        <v>68</v>
      </c>
      <c r="E6920" s="3" t="s">
        <v>100</v>
      </c>
      <c r="F6920" s="3" t="s">
        <v>1483</v>
      </c>
      <c r="G6920" s="7">
        <v>46243.15752861465</v>
      </c>
    </row>
    <row r="6921">
      <c r="A6921" s="3" t="s">
        <v>21053</v>
      </c>
      <c r="B6921" s="3" t="s">
        <v>414</v>
      </c>
      <c r="C6921" s="3" t="s">
        <v>1342</v>
      </c>
      <c r="D6921" s="3" t="s">
        <v>68</v>
      </c>
      <c r="E6921" s="3" t="s">
        <v>100</v>
      </c>
      <c r="F6921" s="3" t="s">
        <v>1201</v>
      </c>
      <c r="G6921" s="7">
        <v>46243.22870346007</v>
      </c>
    </row>
    <row r="6922">
      <c r="A6922" s="3" t="s">
        <v>21055</v>
      </c>
      <c r="B6922" s="3" t="s">
        <v>440</v>
      </c>
      <c r="C6922" s="3" t="s">
        <v>1342</v>
      </c>
      <c r="D6922" s="3" t="s">
        <v>68</v>
      </c>
      <c r="E6922" s="3" t="s">
        <v>100</v>
      </c>
      <c r="F6922" s="3" t="s">
        <v>1270</v>
      </c>
      <c r="G6922" s="7">
        <v>46243.299878305486</v>
      </c>
    </row>
    <row r="6923">
      <c r="A6923" s="3" t="s">
        <v>21057</v>
      </c>
      <c r="B6923" s="3" t="s">
        <v>523</v>
      </c>
      <c r="C6923" s="3" t="s">
        <v>1342</v>
      </c>
      <c r="D6923" s="3" t="s">
        <v>181</v>
      </c>
      <c r="E6923" s="3" t="s">
        <v>45</v>
      </c>
      <c r="F6923" s="3" t="s">
        <v>2126</v>
      </c>
      <c r="G6923" s="7">
        <v>46243.3710531509</v>
      </c>
    </row>
    <row r="6924">
      <c r="A6924" s="3" t="s">
        <v>21059</v>
      </c>
      <c r="B6924" s="3" t="s">
        <v>559</v>
      </c>
      <c r="C6924" s="3" t="s">
        <v>1342</v>
      </c>
      <c r="D6924" s="3" t="s">
        <v>68</v>
      </c>
      <c r="E6924" s="3" t="s">
        <v>100</v>
      </c>
      <c r="F6924" s="3" t="s">
        <v>1133</v>
      </c>
      <c r="G6924" s="7">
        <v>46243.44222799631</v>
      </c>
    </row>
    <row r="6925">
      <c r="A6925" s="3" t="s">
        <v>21061</v>
      </c>
      <c r="B6925" s="3" t="s">
        <v>920</v>
      </c>
      <c r="C6925" s="3" t="s">
        <v>1342</v>
      </c>
      <c r="D6925" s="3" t="s">
        <v>181</v>
      </c>
      <c r="E6925" s="3" t="s">
        <v>45</v>
      </c>
      <c r="F6925" s="3" t="s">
        <v>1968</v>
      </c>
      <c r="G6925" s="7">
        <v>46243.51340284173</v>
      </c>
    </row>
    <row r="6926">
      <c r="A6926" s="3" t="s">
        <v>21063</v>
      </c>
      <c r="B6926" s="3" t="s">
        <v>694</v>
      </c>
      <c r="C6926" s="3" t="s">
        <v>1095</v>
      </c>
      <c r="D6926" s="3" t="s">
        <v>68</v>
      </c>
      <c r="E6926" s="3" t="s">
        <v>100</v>
      </c>
      <c r="F6926" s="3" t="s">
        <v>919</v>
      </c>
      <c r="G6926" s="7">
        <v>46243.58457768714</v>
      </c>
    </row>
    <row r="6927">
      <c r="A6927" s="3" t="s">
        <v>21065</v>
      </c>
      <c r="B6927" s="3" t="s">
        <v>1008</v>
      </c>
      <c r="C6927" s="3" t="s">
        <v>56</v>
      </c>
      <c r="D6927" s="3" t="s">
        <v>68</v>
      </c>
      <c r="E6927" s="3" t="s">
        <v>100</v>
      </c>
      <c r="F6927" s="3" t="s">
        <v>1684</v>
      </c>
      <c r="G6927" s="7">
        <v>46243.655752532555</v>
      </c>
    </row>
    <row r="6928">
      <c r="A6928" s="3" t="s">
        <v>21068</v>
      </c>
      <c r="B6928" s="3" t="s">
        <v>186</v>
      </c>
      <c r="C6928" s="3" t="s">
        <v>56</v>
      </c>
      <c r="D6928" s="3" t="s">
        <v>68</v>
      </c>
      <c r="E6928" s="3" t="s">
        <v>100</v>
      </c>
      <c r="F6928" s="3" t="s">
        <v>1685</v>
      </c>
      <c r="G6928" s="7">
        <v>46243.726927377975</v>
      </c>
    </row>
    <row r="6929">
      <c r="A6929" s="3" t="s">
        <v>21070</v>
      </c>
      <c r="B6929" s="3" t="s">
        <v>521</v>
      </c>
      <c r="C6929" s="3" t="s">
        <v>1342</v>
      </c>
      <c r="D6929" s="3" t="s">
        <v>68</v>
      </c>
      <c r="E6929" s="3" t="s">
        <v>100</v>
      </c>
      <c r="F6929" s="3" t="s">
        <v>1651</v>
      </c>
      <c r="G6929" s="7">
        <v>46243.798102223394</v>
      </c>
    </row>
    <row r="6930">
      <c r="A6930" s="3" t="s">
        <v>21072</v>
      </c>
      <c r="B6930" s="3" t="s">
        <v>652</v>
      </c>
      <c r="C6930" s="3" t="s">
        <v>1342</v>
      </c>
      <c r="D6930" s="3" t="s">
        <v>68</v>
      </c>
      <c r="E6930" s="3" t="s">
        <v>100</v>
      </c>
      <c r="F6930" s="3" t="s">
        <v>1403</v>
      </c>
      <c r="G6930" s="7">
        <v>46243.8692770688</v>
      </c>
    </row>
    <row r="6931">
      <c r="A6931" s="3" t="s">
        <v>21074</v>
      </c>
      <c r="B6931" s="3" t="s">
        <v>742</v>
      </c>
      <c r="C6931" s="3" t="s">
        <v>1342</v>
      </c>
      <c r="D6931" s="3" t="s">
        <v>68</v>
      </c>
      <c r="E6931" s="3" t="s">
        <v>100</v>
      </c>
      <c r="F6931" s="3" t="s">
        <v>1443</v>
      </c>
      <c r="G6931" s="7">
        <v>46243.94045191422</v>
      </c>
    </row>
    <row r="6932">
      <c r="A6932" s="3" t="s">
        <v>21076</v>
      </c>
      <c r="B6932" s="3" t="s">
        <v>287</v>
      </c>
      <c r="C6932" s="3" t="s">
        <v>1095</v>
      </c>
      <c r="D6932" s="3" t="s">
        <v>68</v>
      </c>
      <c r="E6932" s="3" t="s">
        <v>100</v>
      </c>
      <c r="F6932" s="3" t="s">
        <v>769</v>
      </c>
      <c r="G6932" s="7">
        <v>46244.01162675964</v>
      </c>
    </row>
    <row r="6933">
      <c r="A6933" s="3" t="s">
        <v>21078</v>
      </c>
      <c r="B6933" s="3" t="s">
        <v>554</v>
      </c>
      <c r="C6933" s="3" t="s">
        <v>1342</v>
      </c>
      <c r="D6933" s="3" t="s">
        <v>68</v>
      </c>
      <c r="E6933" s="3" t="s">
        <v>100</v>
      </c>
      <c r="F6933" s="3" t="s">
        <v>1398</v>
      </c>
      <c r="G6933" s="7">
        <v>46244.08280160505</v>
      </c>
    </row>
    <row r="6934">
      <c r="A6934" s="3" t="s">
        <v>21080</v>
      </c>
      <c r="B6934" s="3" t="s">
        <v>886</v>
      </c>
      <c r="C6934" s="3" t="s">
        <v>1095</v>
      </c>
      <c r="D6934" s="3" t="s">
        <v>68</v>
      </c>
      <c r="E6934" s="3" t="s">
        <v>100</v>
      </c>
      <c r="F6934" s="3" t="s">
        <v>1586</v>
      </c>
      <c r="G6934" s="7">
        <v>46244.15397645046</v>
      </c>
    </row>
    <row r="6935">
      <c r="A6935" s="3" t="s">
        <v>21083</v>
      </c>
      <c r="B6935" s="3" t="s">
        <v>159</v>
      </c>
      <c r="C6935" s="3" t="s">
        <v>56</v>
      </c>
      <c r="D6935" s="3" t="s">
        <v>68</v>
      </c>
      <c r="E6935" s="3" t="s">
        <v>100</v>
      </c>
      <c r="F6935" s="3" t="s">
        <v>1687</v>
      </c>
      <c r="G6935" s="7">
        <v>46244.22515129588</v>
      </c>
    </row>
    <row r="6936">
      <c r="A6936" s="3" t="s">
        <v>21085</v>
      </c>
      <c r="B6936" s="3" t="s">
        <v>640</v>
      </c>
      <c r="C6936" s="3" t="s">
        <v>1095</v>
      </c>
      <c r="D6936" s="3" t="s">
        <v>68</v>
      </c>
      <c r="E6936" s="3" t="s">
        <v>100</v>
      </c>
      <c r="F6936" s="3" t="s">
        <v>1315</v>
      </c>
      <c r="G6936" s="7">
        <v>46244.296326141295</v>
      </c>
    </row>
    <row r="6937">
      <c r="A6937" s="3" t="s">
        <v>21087</v>
      </c>
      <c r="B6937" s="3" t="s">
        <v>657</v>
      </c>
      <c r="C6937" s="3" t="s">
        <v>56</v>
      </c>
      <c r="D6937" s="3" t="s">
        <v>195</v>
      </c>
      <c r="E6937" s="3" t="s">
        <v>45</v>
      </c>
      <c r="F6937" s="3" t="s">
        <v>45</v>
      </c>
      <c r="G6937" s="7">
        <v>46244.36750098671</v>
      </c>
    </row>
    <row r="6938">
      <c r="A6938" s="3" t="s">
        <v>21090</v>
      </c>
      <c r="B6938" s="3" t="s">
        <v>319</v>
      </c>
      <c r="C6938" s="3" t="s">
        <v>56</v>
      </c>
      <c r="D6938" s="3" t="s">
        <v>68</v>
      </c>
      <c r="E6938" s="3" t="s">
        <v>100</v>
      </c>
      <c r="F6938" s="3" t="s">
        <v>1690</v>
      </c>
      <c r="G6938" s="7">
        <v>46244.43867583213</v>
      </c>
    </row>
    <row r="6939">
      <c r="A6939" s="3" t="s">
        <v>21094</v>
      </c>
      <c r="B6939" s="3" t="s">
        <v>391</v>
      </c>
      <c r="C6939" s="3" t="s">
        <v>56</v>
      </c>
      <c r="D6939" s="3" t="s">
        <v>68</v>
      </c>
      <c r="E6939" s="3" t="s">
        <v>100</v>
      </c>
      <c r="F6939" s="3" t="s">
        <v>1691</v>
      </c>
      <c r="G6939" s="7">
        <v>46244.50985067754</v>
      </c>
    </row>
    <row r="6940">
      <c r="A6940" s="3" t="s">
        <v>21096</v>
      </c>
      <c r="B6940" s="3" t="s">
        <v>366</v>
      </c>
      <c r="C6940" s="3" t="s">
        <v>1095</v>
      </c>
      <c r="D6940" s="3" t="s">
        <v>68</v>
      </c>
      <c r="E6940" s="3" t="s">
        <v>100</v>
      </c>
      <c r="F6940" s="3" t="s">
        <v>1597</v>
      </c>
      <c r="G6940" s="7">
        <v>46244.58102552295</v>
      </c>
    </row>
    <row r="6941">
      <c r="A6941" s="3" t="s">
        <v>21098</v>
      </c>
      <c r="B6941" s="3" t="s">
        <v>637</v>
      </c>
      <c r="C6941" s="3" t="s">
        <v>1342</v>
      </c>
      <c r="D6941" s="3" t="s">
        <v>68</v>
      </c>
      <c r="E6941" s="3" t="s">
        <v>100</v>
      </c>
      <c r="F6941" s="3" t="s">
        <v>1007</v>
      </c>
      <c r="G6941" s="7">
        <v>46244.65220036837</v>
      </c>
    </row>
    <row r="6942">
      <c r="A6942" s="3" t="s">
        <v>21100</v>
      </c>
      <c r="B6942" s="3" t="s">
        <v>179</v>
      </c>
      <c r="C6942" s="3" t="s">
        <v>1095</v>
      </c>
      <c r="D6942" s="3" t="s">
        <v>181</v>
      </c>
      <c r="E6942" s="3" t="s">
        <v>45</v>
      </c>
      <c r="F6942" s="3" t="s">
        <v>1558</v>
      </c>
      <c r="G6942" s="7">
        <v>46244.72337521378</v>
      </c>
    </row>
    <row r="6943">
      <c r="A6943" s="3" t="s">
        <v>21102</v>
      </c>
      <c r="B6943" s="3" t="s">
        <v>137</v>
      </c>
      <c r="C6943" s="3" t="s">
        <v>1342</v>
      </c>
      <c r="D6943" s="3" t="s">
        <v>68</v>
      </c>
      <c r="E6943" s="3" t="s">
        <v>100</v>
      </c>
      <c r="F6943" s="3" t="s">
        <v>829</v>
      </c>
      <c r="G6943" s="7">
        <v>46244.7945500592</v>
      </c>
    </row>
    <row r="6944">
      <c r="A6944" s="3" t="s">
        <v>21104</v>
      </c>
      <c r="B6944" s="3" t="s">
        <v>765</v>
      </c>
      <c r="C6944" s="3" t="s">
        <v>56</v>
      </c>
      <c r="D6944" s="3" t="s">
        <v>68</v>
      </c>
      <c r="E6944" s="3" t="s">
        <v>100</v>
      </c>
      <c r="F6944" s="3" t="s">
        <v>1694</v>
      </c>
      <c r="G6944" s="7">
        <v>46244.865724904615</v>
      </c>
    </row>
    <row r="6945">
      <c r="A6945" s="3" t="s">
        <v>21107</v>
      </c>
      <c r="B6945" s="3" t="s">
        <v>969</v>
      </c>
      <c r="C6945" s="3" t="s">
        <v>56</v>
      </c>
      <c r="D6945" s="3" t="s">
        <v>68</v>
      </c>
      <c r="E6945" s="3" t="s">
        <v>100</v>
      </c>
      <c r="F6945" s="3" t="s">
        <v>1697</v>
      </c>
      <c r="G6945" s="7">
        <v>46244.936899750035</v>
      </c>
    </row>
    <row r="6946">
      <c r="A6946" s="3" t="s">
        <v>21109</v>
      </c>
      <c r="B6946" s="3" t="s">
        <v>778</v>
      </c>
      <c r="C6946" s="3" t="s">
        <v>56</v>
      </c>
      <c r="D6946" s="3" t="s">
        <v>195</v>
      </c>
      <c r="E6946" s="3" t="s">
        <v>45</v>
      </c>
      <c r="F6946" s="3" t="s">
        <v>45</v>
      </c>
      <c r="G6946" s="7">
        <v>46245.00807459544</v>
      </c>
    </row>
    <row r="6947">
      <c r="A6947" s="3" t="s">
        <v>21111</v>
      </c>
      <c r="B6947" s="3" t="s">
        <v>472</v>
      </c>
      <c r="C6947" s="3" t="s">
        <v>1095</v>
      </c>
      <c r="D6947" s="3" t="s">
        <v>68</v>
      </c>
      <c r="E6947" s="3" t="s">
        <v>100</v>
      </c>
      <c r="F6947" s="3" t="s">
        <v>1722</v>
      </c>
      <c r="G6947" s="7">
        <v>46245.07924944086</v>
      </c>
    </row>
    <row r="6948">
      <c r="A6948" s="3" t="s">
        <v>21113</v>
      </c>
      <c r="B6948" s="3" t="s">
        <v>135</v>
      </c>
      <c r="C6948" s="3" t="s">
        <v>1342</v>
      </c>
      <c r="D6948" s="3" t="s">
        <v>68</v>
      </c>
      <c r="E6948" s="3" t="s">
        <v>100</v>
      </c>
      <c r="F6948" s="3" t="s">
        <v>2069</v>
      </c>
      <c r="G6948" s="7">
        <v>46245.15042428628</v>
      </c>
    </row>
    <row r="6949">
      <c r="A6949" s="3" t="s">
        <v>21116</v>
      </c>
      <c r="B6949" s="3" t="s">
        <v>165</v>
      </c>
      <c r="C6949" s="3" t="s">
        <v>56</v>
      </c>
      <c r="D6949" s="3" t="s">
        <v>68</v>
      </c>
      <c r="E6949" s="3" t="s">
        <v>100</v>
      </c>
      <c r="F6949" s="3" t="s">
        <v>1699</v>
      </c>
      <c r="G6949" s="7">
        <v>46245.22159913169</v>
      </c>
    </row>
    <row r="6950">
      <c r="A6950" s="3" t="s">
        <v>21118</v>
      </c>
      <c r="B6950" s="3" t="s">
        <v>961</v>
      </c>
      <c r="C6950" s="3" t="s">
        <v>56</v>
      </c>
      <c r="D6950" s="3" t="s">
        <v>68</v>
      </c>
      <c r="E6950" s="3" t="s">
        <v>100</v>
      </c>
      <c r="F6950" s="3" t="s">
        <v>1701</v>
      </c>
      <c r="G6950" s="7">
        <v>46245.292773977104</v>
      </c>
    </row>
    <row r="6951">
      <c r="A6951" s="3" t="s">
        <v>21120</v>
      </c>
      <c r="B6951" s="3" t="s">
        <v>725</v>
      </c>
      <c r="C6951" s="3" t="s">
        <v>56</v>
      </c>
      <c r="D6951" s="3" t="s">
        <v>68</v>
      </c>
      <c r="E6951" s="3" t="s">
        <v>100</v>
      </c>
      <c r="F6951" s="3" t="s">
        <v>1704</v>
      </c>
      <c r="G6951" s="7">
        <v>46245.36394882252</v>
      </c>
    </row>
    <row r="6952">
      <c r="A6952" s="3" t="s">
        <v>21122</v>
      </c>
      <c r="B6952" s="3" t="s">
        <v>778</v>
      </c>
      <c r="C6952" s="3" t="s">
        <v>56</v>
      </c>
      <c r="D6952" s="3" t="s">
        <v>68</v>
      </c>
      <c r="E6952" s="3" t="s">
        <v>100</v>
      </c>
      <c r="F6952" s="3" t="s">
        <v>1706</v>
      </c>
      <c r="G6952" s="7">
        <v>46245.435123667936</v>
      </c>
    </row>
    <row r="6953">
      <c r="A6953" s="3" t="s">
        <v>21124</v>
      </c>
      <c r="B6953" s="3" t="s">
        <v>770</v>
      </c>
      <c r="C6953" s="3" t="s">
        <v>1095</v>
      </c>
      <c r="D6953" s="3" t="s">
        <v>68</v>
      </c>
      <c r="E6953" s="3" t="s">
        <v>100</v>
      </c>
      <c r="F6953" s="3" t="s">
        <v>1572</v>
      </c>
      <c r="G6953" s="7">
        <v>46245.50629851335</v>
      </c>
    </row>
    <row r="6954">
      <c r="A6954" s="3" t="s">
        <v>21127</v>
      </c>
      <c r="B6954" s="3" t="s">
        <v>341</v>
      </c>
      <c r="C6954" s="3" t="s">
        <v>56</v>
      </c>
      <c r="D6954" s="3" t="s">
        <v>68</v>
      </c>
      <c r="E6954" s="3" t="s">
        <v>100</v>
      </c>
      <c r="F6954" s="3" t="s">
        <v>1709</v>
      </c>
      <c r="G6954" s="7">
        <v>46245.57747335877</v>
      </c>
    </row>
    <row r="6955">
      <c r="A6955" s="3" t="s">
        <v>21129</v>
      </c>
      <c r="B6955" s="3" t="s">
        <v>137</v>
      </c>
      <c r="C6955" s="3" t="s">
        <v>1342</v>
      </c>
      <c r="D6955" s="3" t="s">
        <v>68</v>
      </c>
      <c r="E6955" s="3" t="s">
        <v>100</v>
      </c>
      <c r="F6955" s="3" t="s">
        <v>829</v>
      </c>
      <c r="G6955" s="7">
        <v>46245.64864820419</v>
      </c>
    </row>
    <row r="6956">
      <c r="A6956" s="3" t="s">
        <v>21131</v>
      </c>
      <c r="B6956" s="3" t="s">
        <v>841</v>
      </c>
      <c r="C6956" s="3" t="s">
        <v>1342</v>
      </c>
      <c r="D6956" s="3" t="s">
        <v>68</v>
      </c>
      <c r="E6956" s="3" t="s">
        <v>100</v>
      </c>
      <c r="F6956" s="3" t="s">
        <v>1327</v>
      </c>
      <c r="G6956" s="7">
        <v>46245.71982304959</v>
      </c>
    </row>
    <row r="6957">
      <c r="A6957" s="3" t="s">
        <v>21133</v>
      </c>
      <c r="B6957" s="3" t="s">
        <v>760</v>
      </c>
      <c r="C6957" s="3" t="s">
        <v>1095</v>
      </c>
      <c r="D6957" s="3" t="s">
        <v>68</v>
      </c>
      <c r="E6957" s="3" t="s">
        <v>100</v>
      </c>
      <c r="F6957" s="3" t="s">
        <v>1629</v>
      </c>
      <c r="G6957" s="7">
        <v>46245.79099789501</v>
      </c>
    </row>
    <row r="6958">
      <c r="A6958" s="3" t="s">
        <v>21135</v>
      </c>
      <c r="B6958" s="3" t="s">
        <v>637</v>
      </c>
      <c r="C6958" s="3" t="s">
        <v>1342</v>
      </c>
      <c r="D6958" s="3" t="s">
        <v>68</v>
      </c>
      <c r="E6958" s="3" t="s">
        <v>100</v>
      </c>
      <c r="F6958" s="3" t="s">
        <v>1007</v>
      </c>
      <c r="G6958" s="7">
        <v>46245.862172740424</v>
      </c>
    </row>
    <row r="6959">
      <c r="A6959" s="3" t="s">
        <v>21137</v>
      </c>
      <c r="B6959" s="3" t="s">
        <v>691</v>
      </c>
      <c r="C6959" s="3" t="s">
        <v>1342</v>
      </c>
      <c r="D6959" s="3" t="s">
        <v>68</v>
      </c>
      <c r="E6959" s="3" t="s">
        <v>100</v>
      </c>
      <c r="F6959" s="3" t="s">
        <v>1177</v>
      </c>
      <c r="G6959" s="7">
        <v>46245.933347585844</v>
      </c>
    </row>
    <row r="6960">
      <c r="A6960" s="3" t="s">
        <v>21139</v>
      </c>
      <c r="B6960" s="3" t="s">
        <v>947</v>
      </c>
      <c r="C6960" s="3" t="s">
        <v>1095</v>
      </c>
      <c r="D6960" s="3" t="s">
        <v>68</v>
      </c>
      <c r="E6960" s="3" t="s">
        <v>100</v>
      </c>
      <c r="F6960" s="3" t="s">
        <v>603</v>
      </c>
      <c r="G6960" s="7">
        <v>46246.004522431256</v>
      </c>
    </row>
    <row r="6961">
      <c r="A6961" s="3" t="s">
        <v>21142</v>
      </c>
      <c r="B6961" s="3" t="s">
        <v>694</v>
      </c>
      <c r="C6961" s="3" t="s">
        <v>56</v>
      </c>
      <c r="D6961" s="3" t="s">
        <v>68</v>
      </c>
      <c r="E6961" s="3" t="s">
        <v>100</v>
      </c>
      <c r="F6961" s="3" t="s">
        <v>1712</v>
      </c>
      <c r="G6961" s="7">
        <v>46246.075697276676</v>
      </c>
    </row>
    <row r="6962">
      <c r="A6962" s="3" t="s">
        <v>21145</v>
      </c>
      <c r="B6962" s="3" t="s">
        <v>848</v>
      </c>
      <c r="C6962" s="3" t="s">
        <v>56</v>
      </c>
      <c r="D6962" s="3" t="s">
        <v>68</v>
      </c>
      <c r="E6962" s="3" t="s">
        <v>100</v>
      </c>
      <c r="F6962" s="3" t="s">
        <v>1713</v>
      </c>
      <c r="G6962" s="7">
        <v>46246.14687212208</v>
      </c>
    </row>
    <row r="6963">
      <c r="A6963" s="3" t="s">
        <v>21148</v>
      </c>
      <c r="B6963" s="3" t="s">
        <v>243</v>
      </c>
      <c r="C6963" s="3" t="s">
        <v>56</v>
      </c>
      <c r="D6963" s="3" t="s">
        <v>68</v>
      </c>
      <c r="E6963" s="3" t="s">
        <v>100</v>
      </c>
      <c r="F6963" s="3" t="s">
        <v>1720</v>
      </c>
      <c r="G6963" s="7">
        <v>46246.2180469675</v>
      </c>
    </row>
    <row r="6964">
      <c r="A6964" s="3" t="s">
        <v>21153</v>
      </c>
      <c r="B6964" s="3" t="s">
        <v>215</v>
      </c>
      <c r="C6964" s="3" t="s">
        <v>1095</v>
      </c>
      <c r="D6964" s="3" t="s">
        <v>68</v>
      </c>
      <c r="E6964" s="3" t="s">
        <v>100</v>
      </c>
      <c r="F6964" s="3" t="s">
        <v>1663</v>
      </c>
      <c r="G6964" s="7">
        <v>46246.28922181292</v>
      </c>
    </row>
    <row r="6965">
      <c r="A6965" s="3" t="s">
        <v>21156</v>
      </c>
      <c r="B6965" s="3" t="s">
        <v>510</v>
      </c>
      <c r="C6965" s="3" t="s">
        <v>1342</v>
      </c>
      <c r="D6965" s="3" t="s">
        <v>68</v>
      </c>
      <c r="E6965" s="3" t="s">
        <v>100</v>
      </c>
      <c r="F6965" s="3" t="s">
        <v>1503</v>
      </c>
      <c r="G6965" s="7">
        <v>46246.36039665833</v>
      </c>
    </row>
    <row r="6966">
      <c r="A6966" s="3" t="s">
        <v>21159</v>
      </c>
      <c r="B6966" s="3" t="s">
        <v>512</v>
      </c>
      <c r="C6966" s="3" t="s">
        <v>1095</v>
      </c>
      <c r="D6966" s="3" t="s">
        <v>68</v>
      </c>
      <c r="E6966" s="3" t="s">
        <v>100</v>
      </c>
      <c r="F6966" s="3" t="s">
        <v>1538</v>
      </c>
      <c r="G6966" s="7">
        <v>46246.431571503745</v>
      </c>
    </row>
    <row r="6967">
      <c r="A6967" s="3" t="s">
        <v>21162</v>
      </c>
      <c r="B6967" s="3" t="s">
        <v>481</v>
      </c>
      <c r="C6967" s="3" t="s">
        <v>56</v>
      </c>
      <c r="D6967" s="3" t="s">
        <v>68</v>
      </c>
      <c r="E6967" s="3" t="s">
        <v>100</v>
      </c>
      <c r="F6967" s="3" t="s">
        <v>1722</v>
      </c>
      <c r="G6967" s="7">
        <v>46246.502746349164</v>
      </c>
    </row>
    <row r="6968">
      <c r="A6968" s="3" t="s">
        <v>21165</v>
      </c>
      <c r="B6968" s="3" t="s">
        <v>391</v>
      </c>
      <c r="C6968" s="3" t="s">
        <v>1095</v>
      </c>
      <c r="D6968" s="3" t="s">
        <v>68</v>
      </c>
      <c r="E6968" s="3" t="s">
        <v>100</v>
      </c>
      <c r="F6968" s="3" t="s">
        <v>1691</v>
      </c>
      <c r="G6968" s="7">
        <v>46246.57392119458</v>
      </c>
    </row>
    <row r="6969">
      <c r="A6969" s="3" t="s">
        <v>21168</v>
      </c>
      <c r="B6969" s="3" t="s">
        <v>969</v>
      </c>
      <c r="C6969" s="3" t="s">
        <v>1095</v>
      </c>
      <c r="D6969" s="3" t="s">
        <v>68</v>
      </c>
      <c r="E6969" s="3" t="s">
        <v>100</v>
      </c>
      <c r="F6969" s="3" t="s">
        <v>1697</v>
      </c>
      <c r="G6969" s="7">
        <v>46246.64509603999</v>
      </c>
    </row>
    <row r="6970">
      <c r="A6970" s="3" t="s">
        <v>21172</v>
      </c>
      <c r="B6970" s="3" t="s">
        <v>260</v>
      </c>
      <c r="C6970" s="3" t="s">
        <v>56</v>
      </c>
      <c r="D6970" s="3" t="s">
        <v>68</v>
      </c>
      <c r="E6970" s="3" t="s">
        <v>100</v>
      </c>
      <c r="F6970" s="3" t="s">
        <v>1724</v>
      </c>
      <c r="G6970" s="7">
        <v>46246.71627088541</v>
      </c>
    </row>
    <row r="6971">
      <c r="A6971" s="3" t="s">
        <v>21176</v>
      </c>
      <c r="B6971" s="3" t="s">
        <v>911</v>
      </c>
      <c r="C6971" s="3" t="s">
        <v>1095</v>
      </c>
      <c r="D6971" s="3" t="s">
        <v>195</v>
      </c>
      <c r="E6971" s="3" t="s">
        <v>45</v>
      </c>
      <c r="F6971" s="3" t="s">
        <v>1048</v>
      </c>
      <c r="G6971" s="7">
        <v>46246.78744573083</v>
      </c>
    </row>
    <row r="6972">
      <c r="A6972" s="3" t="s">
        <v>21178</v>
      </c>
      <c r="B6972" s="3" t="s">
        <v>870</v>
      </c>
      <c r="C6972" s="3" t="s">
        <v>1095</v>
      </c>
      <c r="D6972" s="3" t="s">
        <v>68</v>
      </c>
      <c r="E6972" s="3" t="s">
        <v>100</v>
      </c>
      <c r="F6972" s="3" t="s">
        <v>1455</v>
      </c>
      <c r="G6972" s="7">
        <v>46246.85862057623</v>
      </c>
    </row>
    <row r="6973">
      <c r="A6973" s="3" t="s">
        <v>21180</v>
      </c>
      <c r="B6973" s="3" t="s">
        <v>510</v>
      </c>
      <c r="C6973" s="3" t="s">
        <v>1342</v>
      </c>
      <c r="D6973" s="3" t="s">
        <v>181</v>
      </c>
      <c r="E6973" s="3" t="s">
        <v>45</v>
      </c>
      <c r="F6973" s="3" t="s">
        <v>1503</v>
      </c>
      <c r="G6973" s="7">
        <v>46246.92979542165</v>
      </c>
    </row>
    <row r="6974">
      <c r="A6974" s="3" t="s">
        <v>21182</v>
      </c>
      <c r="B6974" s="3" t="s">
        <v>678</v>
      </c>
      <c r="C6974" s="3" t="s">
        <v>1095</v>
      </c>
      <c r="D6974" s="3" t="s">
        <v>68</v>
      </c>
      <c r="E6974" s="3" t="s">
        <v>100</v>
      </c>
      <c r="F6974" s="3" t="s">
        <v>1606</v>
      </c>
      <c r="G6974" s="7">
        <v>46247.00097026707</v>
      </c>
    </row>
    <row r="6975">
      <c r="A6975" s="3" t="s">
        <v>21184</v>
      </c>
      <c r="B6975" s="3" t="s">
        <v>356</v>
      </c>
      <c r="C6975" s="3" t="s">
        <v>1095</v>
      </c>
      <c r="D6975" s="3" t="s">
        <v>68</v>
      </c>
      <c r="E6975" s="3" t="s">
        <v>100</v>
      </c>
      <c r="F6975" s="3" t="s">
        <v>1591</v>
      </c>
      <c r="G6975" s="7">
        <v>46247.072145112485</v>
      </c>
    </row>
    <row r="6976">
      <c r="A6976" s="3" t="s">
        <v>21186</v>
      </c>
      <c r="B6976" s="3" t="s">
        <v>637</v>
      </c>
      <c r="C6976" s="3" t="s">
        <v>1342</v>
      </c>
      <c r="D6976" s="3" t="s">
        <v>68</v>
      </c>
      <c r="E6976" s="3" t="s">
        <v>100</v>
      </c>
      <c r="F6976" s="3" t="s">
        <v>1007</v>
      </c>
      <c r="G6976" s="7">
        <v>46247.1433199579</v>
      </c>
    </row>
    <row r="6977">
      <c r="A6977" s="3" t="s">
        <v>21188</v>
      </c>
      <c r="B6977" s="3" t="s">
        <v>533</v>
      </c>
      <c r="C6977" s="3" t="s">
        <v>56</v>
      </c>
      <c r="D6977" s="3" t="s">
        <v>181</v>
      </c>
      <c r="E6977" s="3" t="s">
        <v>45</v>
      </c>
      <c r="F6977" s="3" t="s">
        <v>45</v>
      </c>
      <c r="G6977" s="7">
        <v>46247.21449480332</v>
      </c>
    </row>
    <row r="6978">
      <c r="A6978" s="3" t="s">
        <v>21190</v>
      </c>
      <c r="B6978" s="3" t="s">
        <v>316</v>
      </c>
      <c r="C6978" s="3" t="s">
        <v>1095</v>
      </c>
      <c r="D6978" s="3" t="s">
        <v>68</v>
      </c>
      <c r="E6978" s="3" t="s">
        <v>100</v>
      </c>
      <c r="F6978" s="3" t="s">
        <v>1240</v>
      </c>
      <c r="G6978" s="7">
        <v>46247.28566964873</v>
      </c>
    </row>
    <row r="6979">
      <c r="A6979" s="3" t="s">
        <v>21192</v>
      </c>
      <c r="B6979" s="3" t="s">
        <v>319</v>
      </c>
      <c r="C6979" s="3" t="s">
        <v>1095</v>
      </c>
      <c r="D6979" s="3" t="s">
        <v>68</v>
      </c>
      <c r="E6979" s="3" t="s">
        <v>100</v>
      </c>
      <c r="F6979" s="3" t="s">
        <v>1690</v>
      </c>
      <c r="G6979" s="7">
        <v>46247.35684449414</v>
      </c>
    </row>
    <row r="6980">
      <c r="A6980" s="3" t="s">
        <v>21195</v>
      </c>
      <c r="B6980" s="3" t="s">
        <v>1040</v>
      </c>
      <c r="C6980" s="3" t="s">
        <v>1095</v>
      </c>
      <c r="D6980" s="3" t="s">
        <v>68</v>
      </c>
      <c r="E6980" s="3" t="s">
        <v>100</v>
      </c>
      <c r="F6980" s="3" t="s">
        <v>1100</v>
      </c>
      <c r="G6980" s="7">
        <v>46247.42801933956</v>
      </c>
    </row>
    <row r="6981">
      <c r="A6981" s="3" t="s">
        <v>21197</v>
      </c>
      <c r="B6981" s="3" t="s">
        <v>398</v>
      </c>
      <c r="C6981" s="3" t="s">
        <v>1095</v>
      </c>
      <c r="D6981" s="3" t="s">
        <v>68</v>
      </c>
      <c r="E6981" s="3" t="s">
        <v>100</v>
      </c>
      <c r="F6981" s="3" t="s">
        <v>1583</v>
      </c>
      <c r="G6981" s="7">
        <v>46247.49919418497</v>
      </c>
    </row>
    <row r="6982">
      <c r="A6982" s="3" t="s">
        <v>21199</v>
      </c>
      <c r="B6982" s="3" t="s">
        <v>665</v>
      </c>
      <c r="C6982" s="3" t="s">
        <v>1095</v>
      </c>
      <c r="D6982" s="3" t="s">
        <v>68</v>
      </c>
      <c r="E6982" s="3" t="s">
        <v>100</v>
      </c>
      <c r="F6982" s="3" t="s">
        <v>1292</v>
      </c>
      <c r="G6982" s="7">
        <v>46247.570369030385</v>
      </c>
    </row>
    <row r="6983">
      <c r="A6983" s="3" t="s">
        <v>21201</v>
      </c>
      <c r="B6983" s="3" t="s">
        <v>758</v>
      </c>
      <c r="C6983" s="3" t="s">
        <v>1095</v>
      </c>
      <c r="D6983" s="3" t="s">
        <v>68</v>
      </c>
      <c r="E6983" s="3" t="s">
        <v>100</v>
      </c>
      <c r="F6983" s="3" t="s">
        <v>1569</v>
      </c>
      <c r="G6983" s="7">
        <v>46247.641543875805</v>
      </c>
    </row>
    <row r="6984">
      <c r="A6984" s="3" t="s">
        <v>21203</v>
      </c>
      <c r="B6984" s="3" t="s">
        <v>186</v>
      </c>
      <c r="C6984" s="3" t="s">
        <v>1095</v>
      </c>
      <c r="D6984" s="3" t="s">
        <v>68</v>
      </c>
      <c r="E6984" s="3" t="s">
        <v>100</v>
      </c>
      <c r="F6984" s="3" t="s">
        <v>1685</v>
      </c>
      <c r="G6984" s="7">
        <v>46247.71271872122</v>
      </c>
    </row>
    <row r="6985">
      <c r="A6985" s="3" t="s">
        <v>21206</v>
      </c>
      <c r="B6985" s="3" t="s">
        <v>953</v>
      </c>
      <c r="C6985" s="3" t="s">
        <v>1342</v>
      </c>
      <c r="D6985" s="3" t="s">
        <v>68</v>
      </c>
      <c r="E6985" s="3" t="s">
        <v>100</v>
      </c>
      <c r="F6985" s="3" t="s">
        <v>1156</v>
      </c>
      <c r="G6985" s="7">
        <v>46247.78389356663</v>
      </c>
    </row>
    <row r="6986">
      <c r="A6986" s="3" t="s">
        <v>21209</v>
      </c>
      <c r="B6986" s="3" t="s">
        <v>886</v>
      </c>
      <c r="C6986" s="3" t="s">
        <v>56</v>
      </c>
      <c r="D6986" s="3" t="s">
        <v>68</v>
      </c>
      <c r="E6986" s="3" t="s">
        <v>100</v>
      </c>
      <c r="F6986" s="3" t="s">
        <v>1726</v>
      </c>
      <c r="G6986" s="7">
        <v>46247.85506841205</v>
      </c>
    </row>
    <row r="6987">
      <c r="A6987" s="3" t="s">
        <v>21212</v>
      </c>
      <c r="B6987" s="3" t="s">
        <v>622</v>
      </c>
      <c r="C6987" s="3" t="s">
        <v>1342</v>
      </c>
      <c r="D6987" s="3" t="s">
        <v>68</v>
      </c>
      <c r="E6987" s="3" t="s">
        <v>100</v>
      </c>
      <c r="F6987" s="3" t="s">
        <v>1310</v>
      </c>
      <c r="G6987" s="7">
        <v>46247.92624325747</v>
      </c>
    </row>
    <row r="6988">
      <c r="A6988" s="3" t="s">
        <v>21216</v>
      </c>
      <c r="B6988" s="3" t="s">
        <v>230</v>
      </c>
      <c r="C6988" s="3" t="s">
        <v>56</v>
      </c>
      <c r="D6988" s="3" t="s">
        <v>68</v>
      </c>
      <c r="E6988" s="3" t="s">
        <v>100</v>
      </c>
      <c r="F6988" s="3" t="s">
        <v>1728</v>
      </c>
      <c r="G6988" s="7">
        <v>46247.997418102874</v>
      </c>
    </row>
    <row r="6989">
      <c r="A6989" s="3" t="s">
        <v>21219</v>
      </c>
      <c r="B6989" s="3" t="s">
        <v>689</v>
      </c>
      <c r="C6989" s="3" t="s">
        <v>1342</v>
      </c>
      <c r="D6989" s="3" t="s">
        <v>68</v>
      </c>
      <c r="E6989" s="3" t="s">
        <v>100</v>
      </c>
      <c r="F6989" s="3" t="s">
        <v>1661</v>
      </c>
      <c r="G6989" s="7">
        <v>46248.06859294829</v>
      </c>
    </row>
    <row r="6990">
      <c r="A6990" s="3" t="s">
        <v>21221</v>
      </c>
      <c r="B6990" s="3" t="s">
        <v>937</v>
      </c>
      <c r="C6990" s="3" t="s">
        <v>1095</v>
      </c>
      <c r="D6990" s="3" t="s">
        <v>68</v>
      </c>
      <c r="E6990" s="3" t="s">
        <v>100</v>
      </c>
      <c r="F6990" s="3" t="s">
        <v>1645</v>
      </c>
      <c r="G6990" s="7">
        <v>46248.13976779371</v>
      </c>
    </row>
    <row r="6991">
      <c r="A6991" s="3" t="s">
        <v>21223</v>
      </c>
      <c r="B6991" s="3" t="s">
        <v>148</v>
      </c>
      <c r="C6991" s="3" t="s">
        <v>56</v>
      </c>
      <c r="D6991" s="3" t="s">
        <v>68</v>
      </c>
      <c r="E6991" s="3" t="s">
        <v>100</v>
      </c>
      <c r="F6991" s="3" t="s">
        <v>1730</v>
      </c>
      <c r="G6991" s="7">
        <v>46248.210942639125</v>
      </c>
    </row>
    <row r="6992">
      <c r="A6992" s="3" t="s">
        <v>21225</v>
      </c>
      <c r="B6992" s="3" t="s">
        <v>502</v>
      </c>
      <c r="C6992" s="3" t="s">
        <v>1342</v>
      </c>
      <c r="D6992" s="3" t="s">
        <v>68</v>
      </c>
      <c r="E6992" s="3" t="s">
        <v>100</v>
      </c>
      <c r="F6992" s="3" t="s">
        <v>1318</v>
      </c>
      <c r="G6992" s="7">
        <v>46248.28211748454</v>
      </c>
    </row>
    <row r="6993">
      <c r="A6993" s="3" t="s">
        <v>21227</v>
      </c>
      <c r="B6993" s="3" t="s">
        <v>472</v>
      </c>
      <c r="C6993" s="3" t="s">
        <v>56</v>
      </c>
      <c r="D6993" s="3" t="s">
        <v>68</v>
      </c>
      <c r="E6993" s="3" t="s">
        <v>100</v>
      </c>
      <c r="F6993" s="3" t="s">
        <v>1733</v>
      </c>
      <c r="G6993" s="7">
        <v>46248.35329232996</v>
      </c>
    </row>
    <row r="6994">
      <c r="A6994" s="3" t="s">
        <v>21229</v>
      </c>
      <c r="B6994" s="3" t="s">
        <v>253</v>
      </c>
      <c r="C6994" s="3" t="s">
        <v>56</v>
      </c>
      <c r="D6994" s="3" t="s">
        <v>68</v>
      </c>
      <c r="E6994" s="3" t="s">
        <v>100</v>
      </c>
      <c r="F6994" s="3" t="s">
        <v>1735</v>
      </c>
      <c r="G6994" s="7">
        <v>46248.42446717537</v>
      </c>
    </row>
    <row r="6995">
      <c r="A6995" s="3" t="s">
        <v>21231</v>
      </c>
      <c r="B6995" s="3" t="s">
        <v>519</v>
      </c>
      <c r="C6995" s="3" t="s">
        <v>56</v>
      </c>
      <c r="D6995" s="3" t="s">
        <v>68</v>
      </c>
      <c r="E6995" s="3" t="s">
        <v>100</v>
      </c>
      <c r="F6995" s="3" t="s">
        <v>1740</v>
      </c>
      <c r="G6995" s="7">
        <v>46248.49564202078</v>
      </c>
    </row>
    <row r="6996">
      <c r="A6996" s="3" t="s">
        <v>21233</v>
      </c>
      <c r="B6996" s="3" t="s">
        <v>704</v>
      </c>
      <c r="C6996" s="3" t="s">
        <v>1342</v>
      </c>
      <c r="D6996" s="3" t="s">
        <v>181</v>
      </c>
      <c r="E6996" s="3" t="s">
        <v>45</v>
      </c>
      <c r="F6996" s="3" t="s">
        <v>583</v>
      </c>
      <c r="G6996" s="7">
        <v>46248.5668168662</v>
      </c>
    </row>
    <row r="6997">
      <c r="A6997" s="3" t="s">
        <v>21236</v>
      </c>
      <c r="B6997" s="3" t="s">
        <v>466</v>
      </c>
      <c r="C6997" s="3" t="s">
        <v>1342</v>
      </c>
      <c r="D6997" s="3" t="s">
        <v>68</v>
      </c>
      <c r="E6997" s="3" t="s">
        <v>100</v>
      </c>
      <c r="F6997" s="3" t="s">
        <v>1542</v>
      </c>
      <c r="G6997" s="7">
        <v>46248.637991711614</v>
      </c>
    </row>
    <row r="6998">
      <c r="A6998" s="3" t="s">
        <v>21238</v>
      </c>
      <c r="B6998" s="3" t="s">
        <v>352</v>
      </c>
      <c r="C6998" s="3" t="s">
        <v>56</v>
      </c>
      <c r="D6998" s="3" t="s">
        <v>68</v>
      </c>
      <c r="E6998" s="3" t="s">
        <v>100</v>
      </c>
      <c r="F6998" s="3" t="s">
        <v>1743</v>
      </c>
      <c r="G6998" s="7">
        <v>46248.709166557026</v>
      </c>
    </row>
    <row r="6999">
      <c r="A6999" s="3" t="s">
        <v>21240</v>
      </c>
      <c r="B6999" s="3" t="s">
        <v>717</v>
      </c>
      <c r="C6999" s="3" t="s">
        <v>1095</v>
      </c>
      <c r="D6999" s="3" t="s">
        <v>68</v>
      </c>
      <c r="E6999" s="3" t="s">
        <v>100</v>
      </c>
      <c r="F6999" s="3" t="s">
        <v>1640</v>
      </c>
      <c r="G6999" s="7">
        <v>46248.780341402446</v>
      </c>
    </row>
    <row r="7000">
      <c r="A7000" s="3" t="s">
        <v>21242</v>
      </c>
      <c r="B7000" s="3" t="s">
        <v>957</v>
      </c>
      <c r="C7000" s="3" t="s">
        <v>1342</v>
      </c>
      <c r="D7000" s="3" t="s">
        <v>68</v>
      </c>
      <c r="E7000" s="3" t="s">
        <v>100</v>
      </c>
      <c r="F7000" s="3" t="s">
        <v>1595</v>
      </c>
      <c r="G7000" s="7">
        <v>46248.85151624786</v>
      </c>
    </row>
    <row r="7001">
      <c r="A7001" s="3" t="s">
        <v>21244</v>
      </c>
      <c r="B7001" s="3" t="s">
        <v>151</v>
      </c>
      <c r="C7001" s="3" t="s">
        <v>1342</v>
      </c>
      <c r="D7001" s="3" t="s">
        <v>68</v>
      </c>
      <c r="E7001" s="3" t="s">
        <v>100</v>
      </c>
      <c r="F7001" s="3" t="s">
        <v>1228</v>
      </c>
      <c r="G7001" s="7">
        <v>46248.92269109327</v>
      </c>
    </row>
    <row r="7002">
      <c r="A7002" s="3" t="s">
        <v>21246</v>
      </c>
      <c r="B7002" s="3" t="s">
        <v>758</v>
      </c>
      <c r="C7002" s="3" t="s">
        <v>56</v>
      </c>
      <c r="D7002" s="3" t="s">
        <v>181</v>
      </c>
      <c r="E7002" s="3" t="s">
        <v>45</v>
      </c>
      <c r="F7002" s="3" t="s">
        <v>45</v>
      </c>
      <c r="G7002" s="7">
        <v>46248.99386593869</v>
      </c>
    </row>
    <row r="7003">
      <c r="A7003" s="3" t="s">
        <v>21248</v>
      </c>
      <c r="B7003" s="3" t="s">
        <v>637</v>
      </c>
      <c r="C7003" s="3" t="s">
        <v>1342</v>
      </c>
      <c r="D7003" s="3" t="s">
        <v>68</v>
      </c>
      <c r="E7003" s="3" t="s">
        <v>100</v>
      </c>
      <c r="F7003" s="3" t="s">
        <v>1007</v>
      </c>
      <c r="G7003" s="7">
        <v>46249.06504078411</v>
      </c>
    </row>
    <row r="7004">
      <c r="A7004" s="3" t="s">
        <v>21250</v>
      </c>
      <c r="B7004" s="3" t="s">
        <v>290</v>
      </c>
      <c r="C7004" s="3" t="s">
        <v>1095</v>
      </c>
      <c r="D7004" s="3" t="s">
        <v>181</v>
      </c>
      <c r="E7004" s="3" t="s">
        <v>45</v>
      </c>
      <c r="F7004" s="3" t="s">
        <v>1614</v>
      </c>
      <c r="G7004" s="7">
        <v>46249.136215629514</v>
      </c>
    </row>
    <row r="7005">
      <c r="A7005" s="3" t="s">
        <v>21253</v>
      </c>
      <c r="B7005" s="3" t="s">
        <v>773</v>
      </c>
      <c r="C7005" s="3" t="s">
        <v>1342</v>
      </c>
      <c r="D7005" s="3" t="s">
        <v>68</v>
      </c>
      <c r="E7005" s="3" t="s">
        <v>100</v>
      </c>
      <c r="F7005" s="3" t="s">
        <v>1104</v>
      </c>
      <c r="G7005" s="7">
        <v>46249.207390474934</v>
      </c>
    </row>
    <row r="7006">
      <c r="A7006" s="3" t="s">
        <v>21255</v>
      </c>
      <c r="B7006" s="3" t="s">
        <v>406</v>
      </c>
      <c r="C7006" s="3" t="s">
        <v>1342</v>
      </c>
      <c r="D7006" s="3" t="s">
        <v>68</v>
      </c>
      <c r="E7006" s="3" t="s">
        <v>100</v>
      </c>
      <c r="F7006" s="3" t="s">
        <v>1755</v>
      </c>
      <c r="G7006" s="7">
        <v>46249.278565320354</v>
      </c>
    </row>
    <row r="7007">
      <c r="A7007" s="3" t="s">
        <v>21257</v>
      </c>
      <c r="B7007" s="3" t="s">
        <v>789</v>
      </c>
      <c r="C7007" s="3" t="s">
        <v>1095</v>
      </c>
      <c r="D7007" s="3" t="s">
        <v>68</v>
      </c>
      <c r="E7007" s="3" t="s">
        <v>100</v>
      </c>
      <c r="F7007" s="3" t="s">
        <v>1873</v>
      </c>
      <c r="G7007" s="7">
        <v>46249.349740165766</v>
      </c>
    </row>
    <row r="7008">
      <c r="A7008" s="3" t="s">
        <v>21259</v>
      </c>
      <c r="B7008" s="3" t="s">
        <v>363</v>
      </c>
      <c r="C7008" s="3" t="s">
        <v>1342</v>
      </c>
      <c r="D7008" s="3" t="s">
        <v>68</v>
      </c>
      <c r="E7008" s="3" t="s">
        <v>100</v>
      </c>
      <c r="F7008" s="3" t="s">
        <v>1400</v>
      </c>
      <c r="G7008" s="7">
        <v>46249.42091501118</v>
      </c>
    </row>
    <row r="7009">
      <c r="A7009" s="3" t="s">
        <v>21261</v>
      </c>
      <c r="B7009" s="3" t="s">
        <v>436</v>
      </c>
      <c r="C7009" s="3" t="s">
        <v>1342</v>
      </c>
      <c r="D7009" s="3" t="s">
        <v>68</v>
      </c>
      <c r="E7009" s="3" t="s">
        <v>100</v>
      </c>
      <c r="F7009" s="3" t="s">
        <v>1261</v>
      </c>
      <c r="G7009" s="7">
        <v>46249.4920898566</v>
      </c>
    </row>
    <row r="7010">
      <c r="A7010" s="3" t="s">
        <v>21263</v>
      </c>
      <c r="B7010" s="3" t="s">
        <v>436</v>
      </c>
      <c r="C7010" s="3" t="s">
        <v>1095</v>
      </c>
      <c r="D7010" s="3" t="s">
        <v>68</v>
      </c>
      <c r="E7010" s="3" t="s">
        <v>100</v>
      </c>
      <c r="F7010" s="3" t="s">
        <v>1261</v>
      </c>
      <c r="G7010" s="7">
        <v>46249.56326470201</v>
      </c>
    </row>
    <row r="7011">
      <c r="A7011" s="3" t="s">
        <v>21265</v>
      </c>
      <c r="B7011" s="3" t="s">
        <v>752</v>
      </c>
      <c r="C7011" s="3" t="s">
        <v>1342</v>
      </c>
      <c r="D7011" s="3" t="s">
        <v>68</v>
      </c>
      <c r="E7011" s="3" t="s">
        <v>100</v>
      </c>
      <c r="F7011" s="3" t="s">
        <v>2105</v>
      </c>
      <c r="G7011" s="7">
        <v>46249.63443954742</v>
      </c>
    </row>
    <row r="7012">
      <c r="A7012" s="3" t="s">
        <v>21268</v>
      </c>
      <c r="B7012" s="3" t="s">
        <v>510</v>
      </c>
      <c r="C7012" s="3" t="s">
        <v>1342</v>
      </c>
      <c r="D7012" s="3" t="s">
        <v>68</v>
      </c>
      <c r="E7012" s="3" t="s">
        <v>100</v>
      </c>
      <c r="F7012" s="3" t="s">
        <v>1503</v>
      </c>
      <c r="G7012" s="7">
        <v>46249.70561439284</v>
      </c>
    </row>
    <row r="7013">
      <c r="A7013" s="3" t="s">
        <v>21270</v>
      </c>
      <c r="B7013" s="3" t="s">
        <v>860</v>
      </c>
      <c r="C7013" s="3" t="s">
        <v>56</v>
      </c>
      <c r="D7013" s="3" t="s">
        <v>68</v>
      </c>
      <c r="E7013" s="3" t="s">
        <v>100</v>
      </c>
      <c r="F7013" s="3" t="s">
        <v>1745</v>
      </c>
      <c r="G7013" s="7">
        <v>46249.776789238254</v>
      </c>
    </row>
    <row r="7014">
      <c r="A7014" s="3" t="s">
        <v>21273</v>
      </c>
      <c r="B7014" s="3" t="s">
        <v>943</v>
      </c>
      <c r="C7014" s="3" t="s">
        <v>1342</v>
      </c>
      <c r="D7014" s="3" t="s">
        <v>68</v>
      </c>
      <c r="E7014" s="3" t="s">
        <v>100</v>
      </c>
      <c r="F7014" s="3" t="s">
        <v>1553</v>
      </c>
      <c r="G7014" s="7">
        <v>46249.84796408367</v>
      </c>
    </row>
    <row r="7015">
      <c r="A7015" s="3" t="s">
        <v>21276</v>
      </c>
      <c r="B7015" s="3" t="s">
        <v>296</v>
      </c>
      <c r="C7015" s="3" t="s">
        <v>56</v>
      </c>
      <c r="D7015" s="3" t="s">
        <v>68</v>
      </c>
      <c r="E7015" s="3" t="s">
        <v>100</v>
      </c>
      <c r="F7015" s="3" t="s">
        <v>1747</v>
      </c>
      <c r="G7015" s="7">
        <v>46249.919138929086</v>
      </c>
    </row>
    <row r="7016">
      <c r="A7016" s="3" t="s">
        <v>21279</v>
      </c>
      <c r="B7016" s="3" t="s">
        <v>535</v>
      </c>
      <c r="C7016" s="3" t="s">
        <v>56</v>
      </c>
      <c r="D7016" s="3" t="s">
        <v>68</v>
      </c>
      <c r="E7016" s="3" t="s">
        <v>100</v>
      </c>
      <c r="F7016" s="3" t="s">
        <v>1750</v>
      </c>
      <c r="G7016" s="7">
        <v>46249.990313774506</v>
      </c>
    </row>
    <row r="7017">
      <c r="A7017" s="3" t="s">
        <v>21282</v>
      </c>
      <c r="B7017" s="3" t="s">
        <v>587</v>
      </c>
      <c r="C7017" s="3" t="s">
        <v>1342</v>
      </c>
      <c r="D7017" s="3" t="s">
        <v>195</v>
      </c>
      <c r="E7017" s="3" t="s">
        <v>45</v>
      </c>
      <c r="F7017" s="3" t="s">
        <v>1448</v>
      </c>
      <c r="G7017" s="7">
        <v>46250.06148861991</v>
      </c>
    </row>
    <row r="7018">
      <c r="A7018" s="3" t="s">
        <v>21285</v>
      </c>
      <c r="B7018" s="3" t="s">
        <v>586</v>
      </c>
      <c r="C7018" s="3" t="s">
        <v>56</v>
      </c>
      <c r="D7018" s="3" t="s">
        <v>68</v>
      </c>
      <c r="E7018" s="3" t="s">
        <v>100</v>
      </c>
      <c r="F7018" s="3" t="s">
        <v>1753</v>
      </c>
      <c r="G7018" s="7">
        <v>46250.13266346533</v>
      </c>
    </row>
    <row r="7019">
      <c r="A7019" s="3" t="s">
        <v>21290</v>
      </c>
      <c r="B7019" s="3" t="s">
        <v>826</v>
      </c>
      <c r="C7019" s="3" t="s">
        <v>1342</v>
      </c>
      <c r="D7019" s="3" t="s">
        <v>68</v>
      </c>
      <c r="E7019" s="3" t="s">
        <v>100</v>
      </c>
      <c r="F7019" s="3" t="s">
        <v>1521</v>
      </c>
      <c r="G7019" s="7">
        <v>46250.20383831075</v>
      </c>
    </row>
    <row r="7020">
      <c r="A7020" s="3" t="s">
        <v>21293</v>
      </c>
      <c r="B7020" s="3" t="s">
        <v>293</v>
      </c>
      <c r="C7020" s="3" t="s">
        <v>1095</v>
      </c>
      <c r="D7020" s="3" t="s">
        <v>68</v>
      </c>
      <c r="E7020" s="3" t="s">
        <v>100</v>
      </c>
      <c r="F7020" s="3" t="s">
        <v>1193</v>
      </c>
      <c r="G7020" s="7">
        <v>46250.27501315616</v>
      </c>
    </row>
    <row r="7021">
      <c r="A7021" s="3" t="s">
        <v>21295</v>
      </c>
      <c r="B7021" s="3" t="s">
        <v>622</v>
      </c>
      <c r="C7021" s="3" t="s">
        <v>1095</v>
      </c>
      <c r="D7021" s="3" t="s">
        <v>68</v>
      </c>
      <c r="E7021" s="3" t="s">
        <v>100</v>
      </c>
      <c r="F7021" s="3" t="s">
        <v>1310</v>
      </c>
      <c r="G7021" s="7">
        <v>46250.346188001575</v>
      </c>
    </row>
    <row r="7022">
      <c r="A7022" s="3" t="s">
        <v>21297</v>
      </c>
      <c r="B7022" s="3" t="s">
        <v>710</v>
      </c>
      <c r="C7022" s="3" t="s">
        <v>1095</v>
      </c>
      <c r="D7022" s="3" t="s">
        <v>68</v>
      </c>
      <c r="E7022" s="3" t="s">
        <v>100</v>
      </c>
      <c r="F7022" s="3" t="s">
        <v>518</v>
      </c>
      <c r="G7022" s="7">
        <v>46250.417362846994</v>
      </c>
    </row>
    <row r="7023">
      <c r="A7023" s="3" t="s">
        <v>21299</v>
      </c>
      <c r="B7023" s="3" t="s">
        <v>1026</v>
      </c>
      <c r="C7023" s="3" t="s">
        <v>56</v>
      </c>
      <c r="D7023" s="3" t="s">
        <v>68</v>
      </c>
      <c r="E7023" s="3" t="s">
        <v>100</v>
      </c>
      <c r="F7023" s="3" t="s">
        <v>1757</v>
      </c>
      <c r="G7023" s="7">
        <v>46250.48853769241</v>
      </c>
    </row>
    <row r="7024">
      <c r="A7024" s="3" t="s">
        <v>21303</v>
      </c>
      <c r="B7024" s="3" t="s">
        <v>233</v>
      </c>
      <c r="C7024" s="3" t="s">
        <v>1342</v>
      </c>
      <c r="D7024" s="3" t="s">
        <v>68</v>
      </c>
      <c r="E7024" s="3" t="s">
        <v>100</v>
      </c>
      <c r="F7024" s="3" t="s">
        <v>1234</v>
      </c>
      <c r="G7024" s="7">
        <v>46250.55971253782</v>
      </c>
    </row>
    <row r="7025">
      <c r="A7025" s="3" t="s">
        <v>21306</v>
      </c>
      <c r="B7025" s="3" t="s">
        <v>554</v>
      </c>
      <c r="C7025" s="3" t="s">
        <v>1095</v>
      </c>
      <c r="D7025" s="3" t="s">
        <v>68</v>
      </c>
      <c r="E7025" s="3" t="s">
        <v>100</v>
      </c>
      <c r="F7025" s="3" t="s">
        <v>1398</v>
      </c>
      <c r="G7025" s="7">
        <v>46250.63088738324</v>
      </c>
    </row>
    <row r="7026">
      <c r="A7026" s="3" t="s">
        <v>21309</v>
      </c>
      <c r="B7026" s="3" t="s">
        <v>579</v>
      </c>
      <c r="C7026" s="3" t="s">
        <v>1342</v>
      </c>
      <c r="D7026" s="3" t="s">
        <v>68</v>
      </c>
      <c r="E7026" s="3" t="s">
        <v>100</v>
      </c>
      <c r="F7026" s="3" t="s">
        <v>1117</v>
      </c>
      <c r="G7026" s="7">
        <v>46250.70206222865</v>
      </c>
    </row>
    <row r="7027">
      <c r="A7027" s="3" t="s">
        <v>21313</v>
      </c>
      <c r="B7027" s="3" t="s">
        <v>436</v>
      </c>
      <c r="C7027" s="3" t="s">
        <v>56</v>
      </c>
      <c r="D7027" s="3" t="s">
        <v>68</v>
      </c>
      <c r="E7027" s="3" t="s">
        <v>100</v>
      </c>
      <c r="F7027" s="3" t="s">
        <v>1759</v>
      </c>
      <c r="G7027" s="7">
        <v>46250.77323707406</v>
      </c>
    </row>
    <row r="7028">
      <c r="A7028" s="3" t="s">
        <v>21315</v>
      </c>
      <c r="B7028" s="3" t="s">
        <v>310</v>
      </c>
      <c r="C7028" s="3" t="s">
        <v>1095</v>
      </c>
      <c r="D7028" s="3" t="s">
        <v>68</v>
      </c>
      <c r="E7028" s="3" t="s">
        <v>100</v>
      </c>
      <c r="F7028" s="3" t="s">
        <v>1601</v>
      </c>
      <c r="G7028" s="7">
        <v>46250.84441191948</v>
      </c>
    </row>
    <row r="7029">
      <c r="A7029" s="3" t="s">
        <v>21317</v>
      </c>
      <c r="B7029" s="3" t="s">
        <v>250</v>
      </c>
      <c r="C7029" s="3" t="s">
        <v>1095</v>
      </c>
      <c r="D7029" s="3" t="s">
        <v>68</v>
      </c>
      <c r="E7029" s="3" t="s">
        <v>100</v>
      </c>
      <c r="F7029" s="3" t="s">
        <v>1674</v>
      </c>
      <c r="G7029" s="7">
        <v>46250.915586764895</v>
      </c>
    </row>
    <row r="7030">
      <c r="A7030" s="3" t="s">
        <v>21319</v>
      </c>
      <c r="B7030" s="3" t="s">
        <v>758</v>
      </c>
      <c r="C7030" s="3" t="s">
        <v>56</v>
      </c>
      <c r="D7030" s="3" t="s">
        <v>195</v>
      </c>
      <c r="E7030" s="3" t="s">
        <v>45</v>
      </c>
      <c r="F7030" s="3" t="s">
        <v>45</v>
      </c>
      <c r="G7030" s="7">
        <v>46250.98676161031</v>
      </c>
    </row>
    <row r="7031">
      <c r="A7031" s="3" t="s">
        <v>21322</v>
      </c>
      <c r="B7031" s="3" t="s">
        <v>501</v>
      </c>
      <c r="C7031" s="3" t="s">
        <v>1342</v>
      </c>
      <c r="D7031" s="3" t="s">
        <v>68</v>
      </c>
      <c r="E7031" s="3" t="s">
        <v>100</v>
      </c>
      <c r="F7031" s="3" t="s">
        <v>1666</v>
      </c>
      <c r="G7031" s="7">
        <v>46251.05793645573</v>
      </c>
    </row>
    <row r="7032">
      <c r="A7032" s="3" t="s">
        <v>21324</v>
      </c>
      <c r="B7032" s="3" t="s">
        <v>631</v>
      </c>
      <c r="C7032" s="3" t="s">
        <v>1342</v>
      </c>
      <c r="D7032" s="3" t="s">
        <v>68</v>
      </c>
      <c r="E7032" s="3" t="s">
        <v>100</v>
      </c>
      <c r="F7032" s="3" t="s">
        <v>1621</v>
      </c>
      <c r="G7032" s="7">
        <v>46251.12911130115</v>
      </c>
    </row>
    <row r="7033">
      <c r="A7033" s="3" t="s">
        <v>21326</v>
      </c>
      <c r="B7033" s="3" t="s">
        <v>596</v>
      </c>
      <c r="C7033" s="3" t="s">
        <v>56</v>
      </c>
      <c r="D7033" s="3" t="s">
        <v>68</v>
      </c>
      <c r="E7033" s="3" t="s">
        <v>100</v>
      </c>
      <c r="F7033" s="3" t="s">
        <v>1762</v>
      </c>
      <c r="G7033" s="7">
        <v>46251.20028614655</v>
      </c>
    </row>
    <row r="7034">
      <c r="A7034" s="3" t="s">
        <v>21328</v>
      </c>
      <c r="B7034" s="3" t="s">
        <v>544</v>
      </c>
      <c r="C7034" s="3" t="s">
        <v>1342</v>
      </c>
      <c r="D7034" s="3" t="s">
        <v>68</v>
      </c>
      <c r="E7034" s="3" t="s">
        <v>100</v>
      </c>
      <c r="F7034" s="3" t="s">
        <v>1378</v>
      </c>
      <c r="G7034" s="7">
        <v>46251.27146099197</v>
      </c>
    </row>
    <row r="7035">
      <c r="A7035" s="3" t="s">
        <v>21330</v>
      </c>
      <c r="B7035" s="3" t="s">
        <v>631</v>
      </c>
      <c r="C7035" s="3" t="s">
        <v>1342</v>
      </c>
      <c r="D7035" s="3" t="s">
        <v>68</v>
      </c>
      <c r="E7035" s="3" t="s">
        <v>100</v>
      </c>
      <c r="F7035" s="3" t="s">
        <v>1621</v>
      </c>
      <c r="G7035" s="7">
        <v>46251.34263583739</v>
      </c>
    </row>
    <row r="7036">
      <c r="A7036" s="3" t="s">
        <v>21332</v>
      </c>
      <c r="B7036" s="3" t="s">
        <v>903</v>
      </c>
      <c r="C7036" s="3" t="s">
        <v>56</v>
      </c>
      <c r="D7036" s="3" t="s">
        <v>68</v>
      </c>
      <c r="E7036" s="3" t="s">
        <v>100</v>
      </c>
      <c r="F7036" s="3" t="s">
        <v>1763</v>
      </c>
      <c r="G7036" s="7">
        <v>46251.4138106828</v>
      </c>
    </row>
    <row r="7037">
      <c r="A7037" s="3" t="s">
        <v>21334</v>
      </c>
      <c r="B7037" s="3" t="s">
        <v>550</v>
      </c>
      <c r="C7037" s="3" t="s">
        <v>1095</v>
      </c>
      <c r="D7037" s="3" t="s">
        <v>68</v>
      </c>
      <c r="E7037" s="3" t="s">
        <v>100</v>
      </c>
      <c r="F7037" s="3" t="s">
        <v>1411</v>
      </c>
      <c r="G7037" s="7">
        <v>46251.484985528215</v>
      </c>
    </row>
    <row r="7038">
      <c r="A7038" s="3" t="s">
        <v>21337</v>
      </c>
      <c r="B7038" s="3" t="s">
        <v>972</v>
      </c>
      <c r="C7038" s="3" t="s">
        <v>1095</v>
      </c>
      <c r="D7038" s="3" t="s">
        <v>68</v>
      </c>
      <c r="E7038" s="3" t="s">
        <v>100</v>
      </c>
      <c r="F7038" s="3" t="s">
        <v>1493</v>
      </c>
      <c r="G7038" s="7">
        <v>46251.556160373635</v>
      </c>
    </row>
    <row r="7039">
      <c r="A7039" s="3" t="s">
        <v>21339</v>
      </c>
      <c r="B7039" s="3" t="s">
        <v>475</v>
      </c>
      <c r="C7039" s="3" t="s">
        <v>1342</v>
      </c>
      <c r="D7039" s="3" t="s">
        <v>68</v>
      </c>
      <c r="E7039" s="3" t="s">
        <v>100</v>
      </c>
      <c r="F7039" s="3" t="s">
        <v>1066</v>
      </c>
      <c r="G7039" s="7">
        <v>46251.62733521905</v>
      </c>
    </row>
    <row r="7040">
      <c r="A7040" s="3" t="s">
        <v>21341</v>
      </c>
      <c r="B7040" s="3" t="s">
        <v>998</v>
      </c>
      <c r="C7040" s="3" t="s">
        <v>56</v>
      </c>
      <c r="D7040" s="3" t="s">
        <v>68</v>
      </c>
      <c r="E7040" s="3" t="s">
        <v>100</v>
      </c>
      <c r="F7040" s="3" t="s">
        <v>1766</v>
      </c>
      <c r="G7040" s="7">
        <v>46251.69851006446</v>
      </c>
    </row>
    <row r="7041">
      <c r="A7041" s="3" t="s">
        <v>21343</v>
      </c>
      <c r="B7041" s="3" t="s">
        <v>691</v>
      </c>
      <c r="C7041" s="3" t="s">
        <v>1342</v>
      </c>
      <c r="D7041" s="3" t="s">
        <v>181</v>
      </c>
      <c r="E7041" s="3" t="s">
        <v>45</v>
      </c>
      <c r="F7041" s="3" t="s">
        <v>1177</v>
      </c>
      <c r="G7041" s="7">
        <v>46251.76968490988</v>
      </c>
    </row>
    <row r="7042">
      <c r="A7042" s="3" t="s">
        <v>21345</v>
      </c>
      <c r="B7042" s="3" t="s">
        <v>710</v>
      </c>
      <c r="C7042" s="3" t="s">
        <v>56</v>
      </c>
      <c r="D7042" s="3" t="s">
        <v>68</v>
      </c>
      <c r="E7042" s="3" t="s">
        <v>100</v>
      </c>
      <c r="F7042" s="3" t="s">
        <v>1770</v>
      </c>
      <c r="G7042" s="7">
        <v>46251.84085975529</v>
      </c>
    </row>
    <row r="7043">
      <c r="A7043" s="3" t="s">
        <v>21348</v>
      </c>
      <c r="B7043" s="3" t="s">
        <v>383</v>
      </c>
      <c r="C7043" s="3" t="s">
        <v>1095</v>
      </c>
      <c r="D7043" s="3" t="s">
        <v>68</v>
      </c>
      <c r="E7043" s="3" t="s">
        <v>100</v>
      </c>
      <c r="F7043" s="3" t="s">
        <v>1681</v>
      </c>
      <c r="G7043" s="7">
        <v>46251.912034600704</v>
      </c>
    </row>
    <row r="7044">
      <c r="A7044" s="3" t="s">
        <v>21350</v>
      </c>
      <c r="B7044" s="3" t="s">
        <v>1008</v>
      </c>
      <c r="C7044" s="3" t="s">
        <v>1342</v>
      </c>
      <c r="D7044" s="3" t="s">
        <v>68</v>
      </c>
      <c r="E7044" s="3" t="s">
        <v>100</v>
      </c>
      <c r="F7044" s="3" t="s">
        <v>1684</v>
      </c>
      <c r="G7044" s="7">
        <v>46251.98320944612</v>
      </c>
    </row>
    <row r="7045">
      <c r="A7045" s="3" t="s">
        <v>21352</v>
      </c>
      <c r="B7045" s="3" t="s">
        <v>561</v>
      </c>
      <c r="C7045" s="3" t="s">
        <v>1095</v>
      </c>
      <c r="D7045" s="3" t="s">
        <v>68</v>
      </c>
      <c r="E7045" s="3" t="s">
        <v>100</v>
      </c>
      <c r="F7045" s="3" t="s">
        <v>1369</v>
      </c>
      <c r="G7045" s="7">
        <v>46252.05438429154</v>
      </c>
    </row>
    <row r="7046">
      <c r="A7046" s="3" t="s">
        <v>21354</v>
      </c>
      <c r="B7046" s="3" t="s">
        <v>151</v>
      </c>
      <c r="C7046" s="3" t="s">
        <v>1095</v>
      </c>
      <c r="D7046" s="3" t="s">
        <v>68</v>
      </c>
      <c r="E7046" s="3" t="s">
        <v>100</v>
      </c>
      <c r="F7046" s="3" t="s">
        <v>1228</v>
      </c>
      <c r="G7046" s="7">
        <v>46252.12555913695</v>
      </c>
    </row>
    <row r="7047">
      <c r="A7047" s="3" t="s">
        <v>21356</v>
      </c>
      <c r="B7047" s="3" t="s">
        <v>189</v>
      </c>
      <c r="C7047" s="3" t="s">
        <v>1342</v>
      </c>
      <c r="D7047" s="3" t="s">
        <v>181</v>
      </c>
      <c r="E7047" s="3" t="s">
        <v>45</v>
      </c>
      <c r="F7047" s="3" t="s">
        <v>1526</v>
      </c>
      <c r="G7047" s="7">
        <v>46252.19673398237</v>
      </c>
    </row>
    <row r="7048">
      <c r="A7048" s="3" t="s">
        <v>21359</v>
      </c>
      <c r="B7048" s="3" t="s">
        <v>322</v>
      </c>
      <c r="C7048" s="3" t="s">
        <v>56</v>
      </c>
      <c r="D7048" s="3" t="s">
        <v>68</v>
      </c>
      <c r="E7048" s="3" t="s">
        <v>100</v>
      </c>
      <c r="F7048" s="3" t="s">
        <v>1772</v>
      </c>
      <c r="G7048" s="7">
        <v>46252.26790882779</v>
      </c>
    </row>
    <row r="7049">
      <c r="A7049" s="3" t="s">
        <v>21362</v>
      </c>
      <c r="B7049" s="3" t="s">
        <v>652</v>
      </c>
      <c r="C7049" s="3" t="s">
        <v>1342</v>
      </c>
      <c r="D7049" s="3" t="s">
        <v>68</v>
      </c>
      <c r="E7049" s="3" t="s">
        <v>100</v>
      </c>
      <c r="F7049" s="3" t="s">
        <v>1403</v>
      </c>
      <c r="G7049" s="7">
        <v>46252.3390836732</v>
      </c>
    </row>
    <row r="7050">
      <c r="A7050" s="3" t="s">
        <v>21364</v>
      </c>
      <c r="B7050" s="3" t="s">
        <v>710</v>
      </c>
      <c r="C7050" s="3" t="s">
        <v>1342</v>
      </c>
      <c r="D7050" s="3" t="s">
        <v>68</v>
      </c>
      <c r="E7050" s="3" t="s">
        <v>100</v>
      </c>
      <c r="F7050" s="3" t="s">
        <v>1770</v>
      </c>
      <c r="G7050" s="7">
        <v>46252.41025851861</v>
      </c>
    </row>
    <row r="7051">
      <c r="A7051" s="3" t="s">
        <v>21366</v>
      </c>
      <c r="B7051" s="3" t="s">
        <v>640</v>
      </c>
      <c r="C7051" s="3" t="s">
        <v>56</v>
      </c>
      <c r="D7051" s="3" t="s">
        <v>68</v>
      </c>
      <c r="E7051" s="3" t="s">
        <v>100</v>
      </c>
      <c r="F7051" s="3" t="s">
        <v>1775</v>
      </c>
      <c r="G7051" s="7">
        <v>46252.48143336403</v>
      </c>
    </row>
    <row r="7052">
      <c r="A7052" s="3" t="s">
        <v>21368</v>
      </c>
      <c r="B7052" s="3" t="s">
        <v>395</v>
      </c>
      <c r="C7052" s="3" t="s">
        <v>1342</v>
      </c>
      <c r="D7052" s="3" t="s">
        <v>68</v>
      </c>
      <c r="E7052" s="3" t="s">
        <v>100</v>
      </c>
      <c r="F7052" s="3" t="s">
        <v>1418</v>
      </c>
      <c r="G7052" s="7">
        <v>46252.552608209444</v>
      </c>
    </row>
    <row r="7053">
      <c r="A7053" s="3" t="s">
        <v>21370</v>
      </c>
      <c r="B7053" s="3" t="s">
        <v>307</v>
      </c>
      <c r="C7053" s="3" t="s">
        <v>1095</v>
      </c>
      <c r="D7053" s="3" t="s">
        <v>68</v>
      </c>
      <c r="E7053" s="3" t="s">
        <v>100</v>
      </c>
      <c r="F7053" s="3" t="s">
        <v>1338</v>
      </c>
      <c r="G7053" s="7">
        <v>46252.623783054856</v>
      </c>
    </row>
    <row r="7054">
      <c r="A7054" s="3" t="s">
        <v>21372</v>
      </c>
      <c r="B7054" s="3" t="s">
        <v>383</v>
      </c>
      <c r="C7054" s="3" t="s">
        <v>56</v>
      </c>
      <c r="D7054" s="3" t="s">
        <v>68</v>
      </c>
      <c r="E7054" s="3" t="s">
        <v>100</v>
      </c>
      <c r="F7054" s="3" t="s">
        <v>1776</v>
      </c>
      <c r="G7054" s="7">
        <v>46252.694957900276</v>
      </c>
    </row>
    <row r="7055">
      <c r="A7055" s="3" t="s">
        <v>21375</v>
      </c>
      <c r="B7055" s="3" t="s">
        <v>796</v>
      </c>
      <c r="C7055" s="3" t="s">
        <v>56</v>
      </c>
      <c r="D7055" s="3" t="s">
        <v>68</v>
      </c>
      <c r="E7055" s="3" t="s">
        <v>100</v>
      </c>
      <c r="F7055" s="3" t="s">
        <v>1779</v>
      </c>
      <c r="G7055" s="7">
        <v>46252.76613274569</v>
      </c>
    </row>
    <row r="7056">
      <c r="A7056" s="3" t="s">
        <v>21377</v>
      </c>
      <c r="B7056" s="3" t="s">
        <v>243</v>
      </c>
      <c r="C7056" s="3" t="s">
        <v>1095</v>
      </c>
      <c r="D7056" s="3" t="s">
        <v>195</v>
      </c>
      <c r="E7056" s="3" t="s">
        <v>45</v>
      </c>
      <c r="F7056" s="3" t="s">
        <v>1720</v>
      </c>
      <c r="G7056" s="7">
        <v>46252.8373075911</v>
      </c>
    </row>
    <row r="7057">
      <c r="A7057" s="3" t="s">
        <v>21380</v>
      </c>
      <c r="B7057" s="3" t="s">
        <v>877</v>
      </c>
      <c r="C7057" s="3" t="s">
        <v>1342</v>
      </c>
      <c r="D7057" s="3" t="s">
        <v>68</v>
      </c>
      <c r="E7057" s="3" t="s">
        <v>100</v>
      </c>
      <c r="F7057" s="3" t="s">
        <v>1517</v>
      </c>
      <c r="G7057" s="7">
        <v>46252.90848243652</v>
      </c>
    </row>
    <row r="7058">
      <c r="A7058" s="3" t="s">
        <v>21385</v>
      </c>
      <c r="B7058" s="3" t="s">
        <v>911</v>
      </c>
      <c r="C7058" s="3" t="s">
        <v>1342</v>
      </c>
      <c r="D7058" s="3" t="s">
        <v>181</v>
      </c>
      <c r="E7058" s="3" t="s">
        <v>45</v>
      </c>
      <c r="F7058" s="3" t="s">
        <v>1048</v>
      </c>
      <c r="G7058" s="7">
        <v>46252.97965728194</v>
      </c>
    </row>
    <row r="7059">
      <c r="A7059" s="3" t="s">
        <v>21387</v>
      </c>
      <c r="B7059" s="3" t="s">
        <v>501</v>
      </c>
      <c r="C7059" s="3" t="s">
        <v>1342</v>
      </c>
      <c r="D7059" s="3" t="s">
        <v>68</v>
      </c>
      <c r="E7059" s="3" t="s">
        <v>100</v>
      </c>
      <c r="F7059" s="3" t="s">
        <v>1666</v>
      </c>
      <c r="G7059" s="7">
        <v>46253.050832127345</v>
      </c>
    </row>
    <row r="7060">
      <c r="A7060" s="3" t="s">
        <v>21389</v>
      </c>
      <c r="B7060" s="3" t="s">
        <v>322</v>
      </c>
      <c r="C7060" s="3" t="s">
        <v>1095</v>
      </c>
      <c r="D7060" s="3" t="s">
        <v>181</v>
      </c>
      <c r="E7060" s="3" t="s">
        <v>45</v>
      </c>
      <c r="F7060" s="3" t="s">
        <v>1772</v>
      </c>
      <c r="G7060" s="7">
        <v>46253.122006972764</v>
      </c>
    </row>
    <row r="7061">
      <c r="A7061" s="3" t="s">
        <v>21391</v>
      </c>
      <c r="B7061" s="3" t="s">
        <v>1049</v>
      </c>
      <c r="C7061" s="3" t="s">
        <v>1342</v>
      </c>
      <c r="D7061" s="3" t="s">
        <v>68</v>
      </c>
      <c r="E7061" s="3" t="s">
        <v>100</v>
      </c>
      <c r="F7061" s="3" t="s">
        <v>1469</v>
      </c>
      <c r="G7061" s="7">
        <v>46253.193181818184</v>
      </c>
    </row>
    <row r="7062">
      <c r="A7062" s="3" t="s">
        <v>21393</v>
      </c>
      <c r="B7062" s="3" t="s">
        <v>296</v>
      </c>
      <c r="C7062" s="3" t="s">
        <v>1342</v>
      </c>
      <c r="D7062" s="3" t="s">
        <v>68</v>
      </c>
      <c r="E7062" s="3" t="s">
        <v>100</v>
      </c>
      <c r="F7062" s="3" t="s">
        <v>1747</v>
      </c>
      <c r="G7062" s="7">
        <v>46253.264356663596</v>
      </c>
    </row>
    <row r="7063">
      <c r="A7063" s="3" t="s">
        <v>21395</v>
      </c>
      <c r="B7063" s="3" t="s">
        <v>247</v>
      </c>
      <c r="C7063" s="3" t="s">
        <v>1342</v>
      </c>
      <c r="D7063" s="3" t="s">
        <v>68</v>
      </c>
      <c r="E7063" s="3" t="s">
        <v>100</v>
      </c>
      <c r="F7063" s="3" t="s">
        <v>1254</v>
      </c>
      <c r="G7063" s="7">
        <v>46253.33553150901</v>
      </c>
    </row>
    <row r="7064">
      <c r="A7064" s="3" t="s">
        <v>21399</v>
      </c>
      <c r="B7064" s="3" t="s">
        <v>943</v>
      </c>
      <c r="C7064" s="3" t="s">
        <v>1342</v>
      </c>
      <c r="D7064" s="3" t="s">
        <v>181</v>
      </c>
      <c r="E7064" s="3" t="s">
        <v>45</v>
      </c>
      <c r="F7064" s="3" t="s">
        <v>1553</v>
      </c>
      <c r="G7064" s="7">
        <v>46253.40670635443</v>
      </c>
    </row>
    <row r="7065">
      <c r="A7065" s="3" t="s">
        <v>21402</v>
      </c>
      <c r="B7065" s="3" t="s">
        <v>760</v>
      </c>
      <c r="C7065" s="3" t="s">
        <v>56</v>
      </c>
      <c r="D7065" s="3" t="s">
        <v>68</v>
      </c>
      <c r="E7065" s="3" t="s">
        <v>100</v>
      </c>
      <c r="F7065" s="3" t="s">
        <v>1780</v>
      </c>
      <c r="G7065" s="7">
        <v>46253.47788119984</v>
      </c>
    </row>
    <row r="7066">
      <c r="A7066" s="3" t="s">
        <v>21404</v>
      </c>
      <c r="B7066" s="3" t="s">
        <v>598</v>
      </c>
      <c r="C7066" s="3" t="s">
        <v>1342</v>
      </c>
      <c r="D7066" s="3" t="s">
        <v>68</v>
      </c>
      <c r="E7066" s="3" t="s">
        <v>100</v>
      </c>
      <c r="F7066" s="3" t="s">
        <v>1055</v>
      </c>
      <c r="G7066" s="7">
        <v>46253.54905604525</v>
      </c>
    </row>
    <row r="7067">
      <c r="A7067" s="3" t="s">
        <v>21406</v>
      </c>
      <c r="B7067" s="3" t="s">
        <v>643</v>
      </c>
      <c r="C7067" s="3" t="s">
        <v>1342</v>
      </c>
      <c r="D7067" s="3" t="s">
        <v>68</v>
      </c>
      <c r="E7067" s="3" t="s">
        <v>100</v>
      </c>
      <c r="F7067" s="3" t="s">
        <v>1671</v>
      </c>
      <c r="G7067" s="7">
        <v>46253.62023089067</v>
      </c>
    </row>
    <row r="7068">
      <c r="A7068" s="3" t="s">
        <v>21409</v>
      </c>
      <c r="B7068" s="3" t="s">
        <v>468</v>
      </c>
      <c r="C7068" s="3" t="s">
        <v>56</v>
      </c>
      <c r="D7068" s="3" t="s">
        <v>181</v>
      </c>
      <c r="E7068" s="3" t="s">
        <v>45</v>
      </c>
      <c r="F7068" s="3" t="s">
        <v>45</v>
      </c>
      <c r="G7068" s="7">
        <v>46253.691405736085</v>
      </c>
    </row>
    <row r="7069">
      <c r="A7069" s="3" t="s">
        <v>21411</v>
      </c>
      <c r="B7069" s="3" t="s">
        <v>156</v>
      </c>
      <c r="C7069" s="3" t="s">
        <v>56</v>
      </c>
      <c r="D7069" s="3" t="s">
        <v>68</v>
      </c>
      <c r="E7069" s="3" t="s">
        <v>100</v>
      </c>
      <c r="F7069" s="3" t="s">
        <v>1782</v>
      </c>
      <c r="G7069" s="7">
        <v>46253.7625805815</v>
      </c>
    </row>
    <row r="7070">
      <c r="A7070" s="3" t="s">
        <v>21413</v>
      </c>
      <c r="B7070" s="3" t="s">
        <v>491</v>
      </c>
      <c r="C7070" s="3" t="s">
        <v>1342</v>
      </c>
      <c r="D7070" s="3" t="s">
        <v>195</v>
      </c>
      <c r="E7070" s="3" t="s">
        <v>45</v>
      </c>
      <c r="F7070" s="3" t="s">
        <v>1426</v>
      </c>
      <c r="G7070" s="7">
        <v>46253.83375542692</v>
      </c>
    </row>
    <row r="7071">
      <c r="A7071" s="3" t="s">
        <v>21416</v>
      </c>
      <c r="B7071" s="3" t="s">
        <v>934</v>
      </c>
      <c r="C7071" s="3" t="s">
        <v>1095</v>
      </c>
      <c r="D7071" s="3" t="s">
        <v>68</v>
      </c>
      <c r="E7071" s="3" t="s">
        <v>100</v>
      </c>
      <c r="F7071" s="3" t="s">
        <v>1498</v>
      </c>
      <c r="G7071" s="7">
        <v>46253.90493027233</v>
      </c>
    </row>
    <row r="7072">
      <c r="A7072" s="3" t="s">
        <v>21419</v>
      </c>
      <c r="B7072" s="3" t="s">
        <v>965</v>
      </c>
      <c r="C7072" s="3" t="s">
        <v>56</v>
      </c>
      <c r="D7072" s="3" t="s">
        <v>68</v>
      </c>
      <c r="E7072" s="3" t="s">
        <v>100</v>
      </c>
      <c r="F7072" s="3" t="s">
        <v>1785</v>
      </c>
      <c r="G7072" s="7">
        <v>46253.97610511774</v>
      </c>
    </row>
    <row r="7073">
      <c r="A7073" s="3" t="s">
        <v>21424</v>
      </c>
      <c r="B7073" s="3" t="s">
        <v>250</v>
      </c>
      <c r="C7073" s="3" t="s">
        <v>56</v>
      </c>
      <c r="D7073" s="3" t="s">
        <v>195</v>
      </c>
      <c r="E7073" s="3" t="s">
        <v>45</v>
      </c>
      <c r="F7073" s="3" t="s">
        <v>45</v>
      </c>
      <c r="G7073" s="7">
        <v>46254.04727996316</v>
      </c>
    </row>
    <row r="7074">
      <c r="A7074" s="3" t="s">
        <v>21427</v>
      </c>
      <c r="B7074" s="3" t="s">
        <v>793</v>
      </c>
      <c r="C7074" s="3" t="s">
        <v>1342</v>
      </c>
      <c r="D7074" s="3" t="s">
        <v>68</v>
      </c>
      <c r="E7074" s="3" t="s">
        <v>100</v>
      </c>
      <c r="F7074" s="3" t="s">
        <v>1545</v>
      </c>
      <c r="G7074" s="7">
        <v>46254.11845480858</v>
      </c>
    </row>
    <row r="7075">
      <c r="A7075" s="3" t="s">
        <v>21430</v>
      </c>
      <c r="B7075" s="3" t="s">
        <v>710</v>
      </c>
      <c r="C7075" s="3" t="s">
        <v>1342</v>
      </c>
      <c r="D7075" s="3" t="s">
        <v>68</v>
      </c>
      <c r="E7075" s="3" t="s">
        <v>100</v>
      </c>
      <c r="F7075" s="3" t="s">
        <v>1770</v>
      </c>
      <c r="G7075" s="7">
        <v>46254.189629653985</v>
      </c>
    </row>
    <row r="7076">
      <c r="A7076" s="3" t="s">
        <v>21433</v>
      </c>
      <c r="B7076" s="3" t="s">
        <v>949</v>
      </c>
      <c r="C7076" s="3" t="s">
        <v>56</v>
      </c>
      <c r="D7076" s="3" t="s">
        <v>68</v>
      </c>
      <c r="E7076" s="3" t="s">
        <v>100</v>
      </c>
      <c r="F7076" s="3" t="s">
        <v>1786</v>
      </c>
      <c r="G7076" s="7">
        <v>46254.260804499405</v>
      </c>
    </row>
    <row r="7077">
      <c r="A7077" s="3" t="s">
        <v>21436</v>
      </c>
      <c r="B7077" s="3" t="s">
        <v>211</v>
      </c>
      <c r="C7077" s="3" t="s">
        <v>1342</v>
      </c>
      <c r="D7077" s="3" t="s">
        <v>68</v>
      </c>
      <c r="E7077" s="3" t="s">
        <v>100</v>
      </c>
      <c r="F7077" s="3" t="s">
        <v>1039</v>
      </c>
      <c r="G7077" s="7">
        <v>46254.331979344825</v>
      </c>
    </row>
    <row r="7078">
      <c r="A7078" s="3" t="s">
        <v>21439</v>
      </c>
      <c r="B7078" s="3" t="s">
        <v>547</v>
      </c>
      <c r="C7078" s="3" t="s">
        <v>1342</v>
      </c>
      <c r="D7078" s="3" t="s">
        <v>68</v>
      </c>
      <c r="E7078" s="3" t="s">
        <v>100</v>
      </c>
      <c r="F7078" s="3" t="s">
        <v>862</v>
      </c>
      <c r="G7078" s="7">
        <v>46254.40315419024</v>
      </c>
    </row>
    <row r="7079">
      <c r="A7079" s="3" t="s">
        <v>21441</v>
      </c>
      <c r="B7079" s="3" t="s">
        <v>453</v>
      </c>
      <c r="C7079" s="3" t="s">
        <v>56</v>
      </c>
      <c r="D7079" s="3" t="s">
        <v>68</v>
      </c>
      <c r="E7079" s="3" t="s">
        <v>100</v>
      </c>
      <c r="F7079" s="3" t="s">
        <v>1789</v>
      </c>
      <c r="G7079" s="7">
        <v>46254.47432903565</v>
      </c>
    </row>
    <row r="7080">
      <c r="A7080" s="3" t="s">
        <v>21443</v>
      </c>
      <c r="B7080" s="3" t="s">
        <v>1026</v>
      </c>
      <c r="C7080" s="3" t="s">
        <v>1342</v>
      </c>
      <c r="D7080" s="3" t="s">
        <v>181</v>
      </c>
      <c r="E7080" s="3" t="s">
        <v>45</v>
      </c>
      <c r="F7080" s="3" t="s">
        <v>1757</v>
      </c>
      <c r="G7080" s="7">
        <v>46254.54550388107</v>
      </c>
    </row>
    <row r="7081">
      <c r="A7081" s="3" t="s">
        <v>21446</v>
      </c>
      <c r="B7081" s="3" t="s">
        <v>159</v>
      </c>
      <c r="C7081" s="3" t="s">
        <v>1342</v>
      </c>
      <c r="D7081" s="3" t="s">
        <v>68</v>
      </c>
      <c r="E7081" s="3" t="s">
        <v>100</v>
      </c>
      <c r="F7081" s="3" t="s">
        <v>1687</v>
      </c>
      <c r="G7081" s="7">
        <v>46254.61667872648</v>
      </c>
    </row>
    <row r="7082">
      <c r="A7082" s="3" t="s">
        <v>21449</v>
      </c>
      <c r="B7082" s="3" t="s">
        <v>316</v>
      </c>
      <c r="C7082" s="3" t="s">
        <v>56</v>
      </c>
      <c r="D7082" s="3" t="s">
        <v>68</v>
      </c>
      <c r="E7082" s="3" t="s">
        <v>100</v>
      </c>
      <c r="F7082" s="3" t="s">
        <v>1790</v>
      </c>
      <c r="G7082" s="7">
        <v>46254.68785357189</v>
      </c>
    </row>
    <row r="7083">
      <c r="A7083" s="3" t="s">
        <v>21453</v>
      </c>
      <c r="B7083" s="3" t="s">
        <v>586</v>
      </c>
      <c r="C7083" s="3" t="s">
        <v>1342</v>
      </c>
      <c r="D7083" s="3" t="s">
        <v>68</v>
      </c>
      <c r="E7083" s="3" t="s">
        <v>100</v>
      </c>
      <c r="F7083" s="3" t="s">
        <v>1753</v>
      </c>
      <c r="G7083" s="7">
        <v>46254.75902841731</v>
      </c>
    </row>
    <row r="7084">
      <c r="A7084" s="3" t="s">
        <v>21455</v>
      </c>
      <c r="B7084" s="3" t="s">
        <v>236</v>
      </c>
      <c r="C7084" s="3" t="s">
        <v>1095</v>
      </c>
      <c r="D7084" s="3" t="s">
        <v>68</v>
      </c>
      <c r="E7084" s="3" t="s">
        <v>100</v>
      </c>
      <c r="F7084" s="3" t="s">
        <v>1641</v>
      </c>
      <c r="G7084" s="7">
        <v>46254.830203262725</v>
      </c>
    </row>
    <row r="7085">
      <c r="A7085" s="3" t="s">
        <v>21458</v>
      </c>
      <c r="B7085" s="3" t="s">
        <v>505</v>
      </c>
      <c r="C7085" s="3" t="s">
        <v>56</v>
      </c>
      <c r="D7085" s="3" t="s">
        <v>68</v>
      </c>
      <c r="E7085" s="3" t="s">
        <v>100</v>
      </c>
      <c r="F7085" s="3" t="s">
        <v>1793</v>
      </c>
      <c r="G7085" s="7">
        <v>46254.90137810814</v>
      </c>
    </row>
    <row r="7086">
      <c r="A7086" s="3" t="s">
        <v>21460</v>
      </c>
      <c r="B7086" s="3" t="s">
        <v>186</v>
      </c>
      <c r="C7086" s="3" t="s">
        <v>56</v>
      </c>
      <c r="D7086" s="3" t="s">
        <v>68</v>
      </c>
      <c r="E7086" s="3" t="s">
        <v>100</v>
      </c>
      <c r="F7086" s="3" t="s">
        <v>1797</v>
      </c>
      <c r="G7086" s="7">
        <v>46254.97255295356</v>
      </c>
    </row>
    <row r="7087">
      <c r="A7087" s="3" t="s">
        <v>21462</v>
      </c>
      <c r="B7087" s="3" t="s">
        <v>796</v>
      </c>
      <c r="C7087" s="3" t="s">
        <v>1342</v>
      </c>
      <c r="D7087" s="3" t="s">
        <v>68</v>
      </c>
      <c r="E7087" s="3" t="s">
        <v>100</v>
      </c>
      <c r="F7087" s="3" t="s">
        <v>1779</v>
      </c>
      <c r="G7087" s="7">
        <v>46255.04372779897</v>
      </c>
    </row>
    <row r="7088">
      <c r="A7088" s="3" t="s">
        <v>21465</v>
      </c>
      <c r="B7088" s="3" t="s">
        <v>586</v>
      </c>
      <c r="C7088" s="3" t="s">
        <v>1095</v>
      </c>
      <c r="D7088" s="3" t="s">
        <v>181</v>
      </c>
      <c r="E7088" s="3" t="s">
        <v>45</v>
      </c>
      <c r="F7088" s="3" t="s">
        <v>1753</v>
      </c>
      <c r="G7088" s="7">
        <v>46255.11490264438</v>
      </c>
    </row>
    <row r="7089">
      <c r="A7089" s="3" t="s">
        <v>21469</v>
      </c>
      <c r="B7089" s="3" t="s">
        <v>547</v>
      </c>
      <c r="C7089" s="3" t="s">
        <v>1342</v>
      </c>
      <c r="D7089" s="3" t="s">
        <v>68</v>
      </c>
      <c r="E7089" s="3" t="s">
        <v>100</v>
      </c>
      <c r="F7089" s="3" t="s">
        <v>862</v>
      </c>
      <c r="G7089" s="7">
        <v>46255.1860774898</v>
      </c>
    </row>
    <row r="7090">
      <c r="A7090" s="3" t="s">
        <v>21473</v>
      </c>
      <c r="B7090" s="3" t="s">
        <v>605</v>
      </c>
      <c r="C7090" s="3" t="s">
        <v>1095</v>
      </c>
      <c r="D7090" s="3" t="s">
        <v>68</v>
      </c>
      <c r="E7090" s="3" t="s">
        <v>100</v>
      </c>
      <c r="F7090" s="3" t="s">
        <v>959</v>
      </c>
      <c r="G7090" s="7">
        <v>46255.25725233522</v>
      </c>
    </row>
    <row r="7091">
      <c r="A7091" s="3" t="s">
        <v>21475</v>
      </c>
      <c r="B7091" s="3" t="s">
        <v>256</v>
      </c>
      <c r="C7091" s="3" t="s">
        <v>1342</v>
      </c>
      <c r="D7091" s="3" t="s">
        <v>68</v>
      </c>
      <c r="E7091" s="3" t="s">
        <v>100</v>
      </c>
      <c r="F7091" s="3" t="s">
        <v>1506</v>
      </c>
      <c r="G7091" s="7">
        <v>46255.328427180626</v>
      </c>
    </row>
    <row r="7092">
      <c r="A7092" s="3" t="s">
        <v>21477</v>
      </c>
      <c r="B7092" s="3" t="s">
        <v>442</v>
      </c>
      <c r="C7092" s="3" t="s">
        <v>1095</v>
      </c>
      <c r="D7092" s="3" t="s">
        <v>68</v>
      </c>
      <c r="E7092" s="3" t="s">
        <v>100</v>
      </c>
      <c r="F7092" s="3" t="s">
        <v>1485</v>
      </c>
      <c r="G7092" s="7">
        <v>46255.399602026046</v>
      </c>
    </row>
    <row r="7093">
      <c r="A7093" s="3" t="s">
        <v>21479</v>
      </c>
      <c r="B7093" s="3" t="s">
        <v>953</v>
      </c>
      <c r="C7093" s="3" t="s">
        <v>1095</v>
      </c>
      <c r="D7093" s="3" t="s">
        <v>68</v>
      </c>
      <c r="E7093" s="3" t="s">
        <v>100</v>
      </c>
      <c r="F7093" s="3" t="s">
        <v>1156</v>
      </c>
      <c r="G7093" s="7">
        <v>46255.470776871465</v>
      </c>
    </row>
    <row r="7094">
      <c r="A7094" s="3" t="s">
        <v>21481</v>
      </c>
      <c r="B7094" s="3" t="s">
        <v>260</v>
      </c>
      <c r="C7094" s="3" t="s">
        <v>1342</v>
      </c>
      <c r="D7094" s="3" t="s">
        <v>68</v>
      </c>
      <c r="E7094" s="3" t="s">
        <v>100</v>
      </c>
      <c r="F7094" s="3" t="s">
        <v>1724</v>
      </c>
      <c r="G7094" s="7">
        <v>46255.54195171688</v>
      </c>
    </row>
    <row r="7095">
      <c r="A7095" s="3" t="s">
        <v>21483</v>
      </c>
      <c r="B7095" s="3" t="s">
        <v>987</v>
      </c>
      <c r="C7095" s="3" t="s">
        <v>1342</v>
      </c>
      <c r="D7095" s="3" t="s">
        <v>68</v>
      </c>
      <c r="E7095" s="3" t="s">
        <v>100</v>
      </c>
      <c r="F7095" s="3" t="s">
        <v>1619</v>
      </c>
      <c r="G7095" s="7">
        <v>46255.61312656229</v>
      </c>
    </row>
    <row r="7096">
      <c r="A7096" s="3" t="s">
        <v>21486</v>
      </c>
      <c r="B7096" s="3" t="s">
        <v>922</v>
      </c>
      <c r="C7096" s="3" t="s">
        <v>1342</v>
      </c>
      <c r="D7096" s="3" t="s">
        <v>68</v>
      </c>
      <c r="E7096" s="3" t="s">
        <v>100</v>
      </c>
      <c r="F7096" s="3" t="s">
        <v>1609</v>
      </c>
      <c r="G7096" s="7">
        <v>46255.68430140771</v>
      </c>
    </row>
    <row r="7097">
      <c r="A7097" s="3" t="s">
        <v>21488</v>
      </c>
      <c r="B7097" s="3" t="s">
        <v>841</v>
      </c>
      <c r="C7097" s="3" t="s">
        <v>1342</v>
      </c>
      <c r="D7097" s="3" t="s">
        <v>68</v>
      </c>
      <c r="E7097" s="3" t="s">
        <v>100</v>
      </c>
      <c r="F7097" s="3" t="s">
        <v>1327</v>
      </c>
      <c r="G7097" s="7">
        <v>46255.75547625312</v>
      </c>
    </row>
    <row r="7098">
      <c r="A7098" s="3" t="s">
        <v>21491</v>
      </c>
      <c r="B7098" s="3" t="s">
        <v>800</v>
      </c>
      <c r="C7098" s="3" t="s">
        <v>56</v>
      </c>
      <c r="D7098" s="3" t="s">
        <v>181</v>
      </c>
      <c r="E7098" s="3" t="s">
        <v>45</v>
      </c>
      <c r="F7098" s="3" t="s">
        <v>45</v>
      </c>
      <c r="G7098" s="7">
        <v>46255.826651098534</v>
      </c>
    </row>
    <row r="7099">
      <c r="A7099" s="3" t="s">
        <v>21494</v>
      </c>
      <c r="B7099" s="3" t="s">
        <v>475</v>
      </c>
      <c r="C7099" s="3" t="s">
        <v>1095</v>
      </c>
      <c r="D7099" s="3" t="s">
        <v>68</v>
      </c>
      <c r="E7099" s="3" t="s">
        <v>100</v>
      </c>
      <c r="F7099" s="3" t="s">
        <v>1066</v>
      </c>
      <c r="G7099" s="7">
        <v>46255.897825943954</v>
      </c>
    </row>
    <row r="7100">
      <c r="A7100" s="3" t="s">
        <v>21497</v>
      </c>
      <c r="B7100" s="3" t="s">
        <v>586</v>
      </c>
      <c r="C7100" s="3" t="s">
        <v>1342</v>
      </c>
      <c r="D7100" s="3" t="s">
        <v>68</v>
      </c>
      <c r="E7100" s="3" t="s">
        <v>100</v>
      </c>
      <c r="F7100" s="3" t="s">
        <v>1753</v>
      </c>
      <c r="G7100" s="7">
        <v>46255.96900078937</v>
      </c>
    </row>
    <row r="7101">
      <c r="A7101" s="3" t="s">
        <v>21500</v>
      </c>
      <c r="B7101" s="3" t="s">
        <v>886</v>
      </c>
      <c r="C7101" s="3" t="s">
        <v>1342</v>
      </c>
      <c r="D7101" s="3" t="s">
        <v>68</v>
      </c>
      <c r="E7101" s="3" t="s">
        <v>100</v>
      </c>
      <c r="F7101" s="3" t="s">
        <v>1726</v>
      </c>
      <c r="G7101" s="7">
        <v>46256.04017563478</v>
      </c>
    </row>
    <row r="7102">
      <c r="A7102" s="3" t="s">
        <v>21502</v>
      </c>
      <c r="B7102" s="3" t="s">
        <v>440</v>
      </c>
      <c r="C7102" s="3" t="s">
        <v>1342</v>
      </c>
      <c r="D7102" s="3" t="s">
        <v>68</v>
      </c>
      <c r="E7102" s="3" t="s">
        <v>100</v>
      </c>
      <c r="F7102" s="3" t="s">
        <v>1270</v>
      </c>
      <c r="G7102" s="7">
        <v>46256.1113504802</v>
      </c>
    </row>
    <row r="7103">
      <c r="A7103" s="3" t="s">
        <v>21504</v>
      </c>
      <c r="B7103" s="3" t="s">
        <v>900</v>
      </c>
      <c r="C7103" s="3" t="s">
        <v>1095</v>
      </c>
      <c r="D7103" s="3" t="s">
        <v>68</v>
      </c>
      <c r="E7103" s="3" t="s">
        <v>100</v>
      </c>
      <c r="F7103" s="3" t="s">
        <v>996</v>
      </c>
      <c r="G7103" s="7">
        <v>46256.18252532561</v>
      </c>
    </row>
    <row r="7104">
      <c r="A7104" s="3" t="s">
        <v>21506</v>
      </c>
      <c r="B7104" s="3" t="s">
        <v>704</v>
      </c>
      <c r="C7104" s="3" t="s">
        <v>1342</v>
      </c>
      <c r="D7104" s="3" t="s">
        <v>68</v>
      </c>
      <c r="E7104" s="3" t="s">
        <v>100</v>
      </c>
      <c r="F7104" s="3" t="s">
        <v>583</v>
      </c>
      <c r="G7104" s="7">
        <v>46256.25370017103</v>
      </c>
    </row>
    <row r="7105">
      <c r="A7105" s="3" t="s">
        <v>21507</v>
      </c>
      <c r="B7105" s="3" t="s">
        <v>841</v>
      </c>
      <c r="C7105" s="3" t="s">
        <v>1342</v>
      </c>
      <c r="D7105" s="3" t="s">
        <v>68</v>
      </c>
      <c r="E7105" s="3" t="s">
        <v>100</v>
      </c>
      <c r="F7105" s="3" t="s">
        <v>1327</v>
      </c>
      <c r="G7105" s="7">
        <v>46256.32487501644</v>
      </c>
    </row>
    <row r="7106">
      <c r="A7106" s="3" t="s">
        <v>21510</v>
      </c>
      <c r="B7106" s="3" t="s">
        <v>622</v>
      </c>
      <c r="C7106" s="3" t="s">
        <v>56</v>
      </c>
      <c r="D7106" s="3" t="s">
        <v>68</v>
      </c>
      <c r="E7106" s="3" t="s">
        <v>100</v>
      </c>
      <c r="F7106" s="3" t="s">
        <v>1801</v>
      </c>
      <c r="G7106" s="7">
        <v>46256.39604986186</v>
      </c>
    </row>
    <row r="7107">
      <c r="A7107" s="3" t="s">
        <v>21512</v>
      </c>
      <c r="B7107" s="3" t="s">
        <v>299</v>
      </c>
      <c r="C7107" s="3" t="s">
        <v>56</v>
      </c>
      <c r="D7107" s="3" t="s">
        <v>68</v>
      </c>
      <c r="E7107" s="3" t="s">
        <v>100</v>
      </c>
      <c r="F7107" s="3" t="s">
        <v>1804</v>
      </c>
      <c r="G7107" s="7">
        <v>46256.46722470727</v>
      </c>
    </row>
    <row r="7108">
      <c r="A7108" s="3" t="s">
        <v>21514</v>
      </c>
      <c r="B7108" s="3" t="s">
        <v>282</v>
      </c>
      <c r="C7108" s="3" t="s">
        <v>1342</v>
      </c>
      <c r="D7108" s="3" t="s">
        <v>68</v>
      </c>
      <c r="E7108" s="3" t="s">
        <v>100</v>
      </c>
      <c r="F7108" s="3" t="s">
        <v>1539</v>
      </c>
      <c r="G7108" s="7">
        <v>46256.538399552686</v>
      </c>
    </row>
    <row r="7109">
      <c r="A7109" s="3" t="s">
        <v>21516</v>
      </c>
      <c r="B7109" s="3" t="s">
        <v>330</v>
      </c>
      <c r="C7109" s="3" t="s">
        <v>1095</v>
      </c>
      <c r="D7109" s="3" t="s">
        <v>68</v>
      </c>
      <c r="E7109" s="3" t="s">
        <v>100</v>
      </c>
      <c r="F7109" s="3" t="s">
        <v>1587</v>
      </c>
      <c r="G7109" s="7">
        <v>46256.609574398106</v>
      </c>
    </row>
    <row r="7110">
      <c r="A7110" s="3" t="s">
        <v>21519</v>
      </c>
      <c r="B7110" s="3" t="s">
        <v>1026</v>
      </c>
      <c r="C7110" s="3" t="s">
        <v>1095</v>
      </c>
      <c r="D7110" s="3" t="s">
        <v>68</v>
      </c>
      <c r="E7110" s="3" t="s">
        <v>100</v>
      </c>
      <c r="F7110" s="3" t="s">
        <v>1757</v>
      </c>
      <c r="G7110" s="7">
        <v>46256.68074924352</v>
      </c>
    </row>
    <row r="7111">
      <c r="A7111" s="3" t="s">
        <v>21522</v>
      </c>
      <c r="B7111" s="3" t="s">
        <v>961</v>
      </c>
      <c r="C7111" s="3" t="s">
        <v>1342</v>
      </c>
      <c r="D7111" s="3" t="s">
        <v>68</v>
      </c>
      <c r="E7111" s="3" t="s">
        <v>100</v>
      </c>
      <c r="F7111" s="3" t="s">
        <v>1701</v>
      </c>
      <c r="G7111" s="7">
        <v>46256.75192408893</v>
      </c>
    </row>
    <row r="7112">
      <c r="A7112" s="3" t="s">
        <v>21526</v>
      </c>
      <c r="B7112" s="3" t="s">
        <v>949</v>
      </c>
      <c r="C7112" s="3" t="s">
        <v>1095</v>
      </c>
      <c r="D7112" s="3" t="s">
        <v>68</v>
      </c>
      <c r="E7112" s="3" t="s">
        <v>100</v>
      </c>
      <c r="F7112" s="3" t="s">
        <v>1786</v>
      </c>
      <c r="G7112" s="7">
        <v>46256.82309893435</v>
      </c>
    </row>
    <row r="7113">
      <c r="A7113" s="3" t="s">
        <v>21528</v>
      </c>
      <c r="B7113" s="3" t="s">
        <v>713</v>
      </c>
      <c r="C7113" s="3" t="s">
        <v>1095</v>
      </c>
      <c r="D7113" s="3" t="s">
        <v>68</v>
      </c>
      <c r="E7113" s="3" t="s">
        <v>100</v>
      </c>
      <c r="F7113" s="3" t="s">
        <v>728</v>
      </c>
      <c r="G7113" s="7">
        <v>46256.89427377976</v>
      </c>
    </row>
    <row r="7114">
      <c r="A7114" s="3" t="s">
        <v>21531</v>
      </c>
      <c r="B7114" s="3" t="s">
        <v>704</v>
      </c>
      <c r="C7114" s="3" t="s">
        <v>1342</v>
      </c>
      <c r="D7114" s="3" t="s">
        <v>68</v>
      </c>
      <c r="E7114" s="3" t="s">
        <v>100</v>
      </c>
      <c r="F7114" s="3" t="s">
        <v>583</v>
      </c>
      <c r="G7114" s="7">
        <v>46256.965448625175</v>
      </c>
    </row>
    <row r="7115">
      <c r="A7115" s="3" t="s">
        <v>21535</v>
      </c>
      <c r="B7115" s="3" t="s">
        <v>631</v>
      </c>
      <c r="C7115" s="3" t="s">
        <v>1342</v>
      </c>
      <c r="D7115" s="3" t="s">
        <v>68</v>
      </c>
      <c r="E7115" s="3" t="s">
        <v>100</v>
      </c>
      <c r="F7115" s="3" t="s">
        <v>1621</v>
      </c>
      <c r="G7115" s="7">
        <v>46257.036623470594</v>
      </c>
    </row>
    <row r="7116">
      <c r="A7116" s="3" t="s">
        <v>21537</v>
      </c>
      <c r="B7116" s="3" t="s">
        <v>922</v>
      </c>
      <c r="C7116" s="3" t="s">
        <v>1342</v>
      </c>
      <c r="D7116" s="3" t="s">
        <v>68</v>
      </c>
      <c r="E7116" s="3" t="s">
        <v>100</v>
      </c>
      <c r="F7116" s="3" t="s">
        <v>1609</v>
      </c>
      <c r="G7116" s="7">
        <v>46257.107798316014</v>
      </c>
    </row>
    <row r="7117">
      <c r="A7117" s="3" t="s">
        <v>21539</v>
      </c>
      <c r="B7117" s="3" t="s">
        <v>760</v>
      </c>
      <c r="C7117" s="3" t="s">
        <v>1342</v>
      </c>
      <c r="D7117" s="3" t="s">
        <v>68</v>
      </c>
      <c r="E7117" s="3" t="s">
        <v>100</v>
      </c>
      <c r="F7117" s="3" t="s">
        <v>1780</v>
      </c>
      <c r="G7117" s="7">
        <v>46257.17897316142</v>
      </c>
    </row>
    <row r="7118">
      <c r="A7118" s="3" t="s">
        <v>21542</v>
      </c>
      <c r="B7118" s="3" t="s">
        <v>725</v>
      </c>
      <c r="C7118" s="3" t="s">
        <v>1095</v>
      </c>
      <c r="D7118" s="3" t="s">
        <v>195</v>
      </c>
      <c r="E7118" s="3" t="s">
        <v>45</v>
      </c>
      <c r="F7118" s="3" t="s">
        <v>1704</v>
      </c>
      <c r="G7118" s="7">
        <v>46257.25014800684</v>
      </c>
    </row>
    <row r="7119">
      <c r="A7119" s="3" t="s">
        <v>21544</v>
      </c>
      <c r="B7119" s="3" t="s">
        <v>533</v>
      </c>
      <c r="C7119" s="3" t="s">
        <v>56</v>
      </c>
      <c r="D7119" s="3" t="s">
        <v>68</v>
      </c>
      <c r="E7119" s="3" t="s">
        <v>100</v>
      </c>
      <c r="F7119" s="3" t="s">
        <v>1806</v>
      </c>
      <c r="G7119" s="7">
        <v>46257.32132285226</v>
      </c>
    </row>
    <row r="7120">
      <c r="A7120" s="3" t="s">
        <v>21545</v>
      </c>
      <c r="B7120" s="3" t="s">
        <v>523</v>
      </c>
      <c r="C7120" s="3" t="s">
        <v>1342</v>
      </c>
      <c r="D7120" s="3" t="s">
        <v>68</v>
      </c>
      <c r="E7120" s="3" t="s">
        <v>100</v>
      </c>
      <c r="F7120" s="3" t="s">
        <v>2126</v>
      </c>
      <c r="G7120" s="7">
        <v>46257.39249769767</v>
      </c>
    </row>
    <row r="7121">
      <c r="A7121" s="3" t="s">
        <v>21547</v>
      </c>
      <c r="B7121" s="3" t="s">
        <v>505</v>
      </c>
      <c r="C7121" s="3" t="s">
        <v>1342</v>
      </c>
      <c r="D7121" s="3" t="s">
        <v>181</v>
      </c>
      <c r="E7121" s="3" t="s">
        <v>45</v>
      </c>
      <c r="F7121" s="3" t="s">
        <v>1793</v>
      </c>
      <c r="G7121" s="7">
        <v>46257.46367254308</v>
      </c>
    </row>
    <row r="7122">
      <c r="A7122" s="3" t="s">
        <v>21549</v>
      </c>
      <c r="B7122" s="3" t="s">
        <v>533</v>
      </c>
      <c r="C7122" s="3" t="s">
        <v>1095</v>
      </c>
      <c r="D7122" s="3" t="s">
        <v>68</v>
      </c>
      <c r="E7122" s="3" t="s">
        <v>100</v>
      </c>
      <c r="F7122" s="3" t="s">
        <v>1806</v>
      </c>
      <c r="G7122" s="7">
        <v>46257.5348473885</v>
      </c>
    </row>
    <row r="7123">
      <c r="A7123" s="3" t="s">
        <v>21552</v>
      </c>
      <c r="B7123" s="3" t="s">
        <v>1011</v>
      </c>
      <c r="C7123" s="3" t="s">
        <v>1342</v>
      </c>
      <c r="D7123" s="3" t="s">
        <v>181</v>
      </c>
      <c r="E7123" s="3" t="s">
        <v>45</v>
      </c>
      <c r="F7123" s="3" t="s">
        <v>1329</v>
      </c>
      <c r="G7123" s="7">
        <v>46257.606022233915</v>
      </c>
    </row>
    <row r="7124">
      <c r="A7124" s="3" t="s">
        <v>21554</v>
      </c>
      <c r="B7124" s="3" t="s">
        <v>530</v>
      </c>
      <c r="C7124" s="3" t="s">
        <v>1095</v>
      </c>
      <c r="D7124" s="3" t="s">
        <v>68</v>
      </c>
      <c r="E7124" s="3" t="s">
        <v>100</v>
      </c>
      <c r="F7124" s="3" t="s">
        <v>1576</v>
      </c>
      <c r="G7124" s="7">
        <v>46257.67719707933</v>
      </c>
    </row>
    <row r="7125">
      <c r="A7125" s="3" t="s">
        <v>21556</v>
      </c>
      <c r="B7125" s="3" t="s">
        <v>123</v>
      </c>
      <c r="C7125" s="3" t="s">
        <v>1095</v>
      </c>
      <c r="D7125" s="3" t="s">
        <v>68</v>
      </c>
      <c r="E7125" s="3" t="s">
        <v>100</v>
      </c>
      <c r="F7125" s="3" t="s">
        <v>1390</v>
      </c>
      <c r="G7125" s="7">
        <v>46257.74837192475</v>
      </c>
    </row>
    <row r="7126">
      <c r="A7126" s="3" t="s">
        <v>21558</v>
      </c>
      <c r="B7126" s="3" t="s">
        <v>148</v>
      </c>
      <c r="C7126" s="3" t="s">
        <v>1095</v>
      </c>
      <c r="D7126" s="3" t="s">
        <v>68</v>
      </c>
      <c r="E7126" s="3" t="s">
        <v>100</v>
      </c>
      <c r="F7126" s="3" t="s">
        <v>1730</v>
      </c>
      <c r="G7126" s="7">
        <v>46257.81954677016</v>
      </c>
    </row>
    <row r="7127">
      <c r="A7127" s="3" t="s">
        <v>21560</v>
      </c>
      <c r="B7127" s="3" t="s">
        <v>250</v>
      </c>
      <c r="C7127" s="3" t="s">
        <v>56</v>
      </c>
      <c r="D7127" s="3" t="s">
        <v>68</v>
      </c>
      <c r="E7127" s="3" t="s">
        <v>100</v>
      </c>
      <c r="F7127" s="3" t="s">
        <v>1808</v>
      </c>
      <c r="G7127" s="7">
        <v>46257.89072161557</v>
      </c>
    </row>
    <row r="7128">
      <c r="A7128" s="3" t="s">
        <v>21562</v>
      </c>
      <c r="B7128" s="3" t="s">
        <v>219</v>
      </c>
      <c r="C7128" s="3" t="s">
        <v>56</v>
      </c>
      <c r="D7128" s="3" t="s">
        <v>68</v>
      </c>
      <c r="E7128" s="3" t="s">
        <v>100</v>
      </c>
      <c r="F7128" s="3" t="s">
        <v>1812</v>
      </c>
      <c r="G7128" s="7">
        <v>46257.96189646099</v>
      </c>
    </row>
    <row r="7129">
      <c r="A7129" s="3" t="s">
        <v>21565</v>
      </c>
      <c r="B7129" s="3" t="s">
        <v>280</v>
      </c>
      <c r="C7129" s="3" t="s">
        <v>1342</v>
      </c>
      <c r="D7129" s="3" t="s">
        <v>68</v>
      </c>
      <c r="E7129" s="3" t="s">
        <v>100</v>
      </c>
      <c r="F7129" s="3" t="s">
        <v>1552</v>
      </c>
      <c r="G7129" s="7">
        <v>46258.0330713064</v>
      </c>
    </row>
    <row r="7130">
      <c r="A7130" s="3" t="s">
        <v>21567</v>
      </c>
      <c r="B7130" s="3" t="s">
        <v>579</v>
      </c>
      <c r="C7130" s="3" t="s">
        <v>1342</v>
      </c>
      <c r="D7130" s="3" t="s">
        <v>68</v>
      </c>
      <c r="E7130" s="3" t="s">
        <v>100</v>
      </c>
      <c r="F7130" s="3" t="s">
        <v>1117</v>
      </c>
      <c r="G7130" s="7">
        <v>46258.104246151815</v>
      </c>
    </row>
    <row r="7131">
      <c r="A7131" s="3" t="s">
        <v>21569</v>
      </c>
      <c r="B7131" s="3" t="s">
        <v>230</v>
      </c>
      <c r="C7131" s="3" t="s">
        <v>1095</v>
      </c>
      <c r="D7131" s="3" t="s">
        <v>68</v>
      </c>
      <c r="E7131" s="3" t="s">
        <v>100</v>
      </c>
      <c r="F7131" s="3" t="s">
        <v>1728</v>
      </c>
      <c r="G7131" s="7">
        <v>46258.175420997235</v>
      </c>
    </row>
    <row r="7132">
      <c r="A7132" s="3" t="s">
        <v>21571</v>
      </c>
      <c r="B7132" s="3" t="s">
        <v>734</v>
      </c>
      <c r="C7132" s="3" t="s">
        <v>1095</v>
      </c>
      <c r="D7132" s="3" t="s">
        <v>68</v>
      </c>
      <c r="E7132" s="3" t="s">
        <v>100</v>
      </c>
      <c r="F7132" s="3" t="s">
        <v>1993</v>
      </c>
      <c r="G7132" s="7">
        <v>46258.246595842655</v>
      </c>
    </row>
    <row r="7133">
      <c r="A7133" s="3" t="s">
        <v>21573</v>
      </c>
      <c r="B7133" s="3" t="s">
        <v>485</v>
      </c>
      <c r="C7133" s="3" t="s">
        <v>1342</v>
      </c>
      <c r="D7133" s="3" t="s">
        <v>68</v>
      </c>
      <c r="E7133" s="3" t="s">
        <v>100</v>
      </c>
      <c r="F7133" s="3" t="s">
        <v>1076</v>
      </c>
      <c r="G7133" s="7">
        <v>46258.31777068806</v>
      </c>
    </row>
    <row r="7134">
      <c r="A7134" s="3" t="s">
        <v>21575</v>
      </c>
      <c r="B7134" s="3" t="s">
        <v>1011</v>
      </c>
      <c r="C7134" s="3" t="s">
        <v>1342</v>
      </c>
      <c r="D7134" s="3" t="s">
        <v>68</v>
      </c>
      <c r="E7134" s="3" t="s">
        <v>100</v>
      </c>
      <c r="F7134" s="3" t="s">
        <v>1329</v>
      </c>
      <c r="G7134" s="7">
        <v>46258.38894553348</v>
      </c>
    </row>
    <row r="7135">
      <c r="A7135" s="3" t="s">
        <v>21577</v>
      </c>
      <c r="B7135" s="3" t="s">
        <v>785</v>
      </c>
      <c r="C7135" s="3" t="s">
        <v>1095</v>
      </c>
      <c r="D7135" s="3" t="s">
        <v>68</v>
      </c>
      <c r="E7135" s="3" t="s">
        <v>100</v>
      </c>
      <c r="F7135" s="3" t="s">
        <v>1549</v>
      </c>
      <c r="G7135" s="7">
        <v>46258.4601203789</v>
      </c>
    </row>
    <row r="7136">
      <c r="A7136" s="3" t="s">
        <v>21580</v>
      </c>
      <c r="B7136" s="3" t="s">
        <v>468</v>
      </c>
      <c r="C7136" s="3" t="s">
        <v>56</v>
      </c>
      <c r="D7136" s="3" t="s">
        <v>68</v>
      </c>
      <c r="E7136" s="3" t="s">
        <v>100</v>
      </c>
      <c r="F7136" s="3" t="s">
        <v>1815</v>
      </c>
      <c r="G7136" s="7">
        <v>46258.53129522431</v>
      </c>
    </row>
    <row r="7137">
      <c r="A7137" s="3" t="s">
        <v>21582</v>
      </c>
      <c r="B7137" s="3" t="s">
        <v>536</v>
      </c>
      <c r="C7137" s="3" t="s">
        <v>1342</v>
      </c>
      <c r="D7137" s="3" t="s">
        <v>68</v>
      </c>
      <c r="E7137" s="3" t="s">
        <v>100</v>
      </c>
      <c r="F7137" s="3" t="s">
        <v>1848</v>
      </c>
      <c r="G7137" s="7">
        <v>46258.60247006972</v>
      </c>
    </row>
    <row r="7138">
      <c r="A7138" s="3" t="s">
        <v>21584</v>
      </c>
      <c r="B7138" s="3" t="s">
        <v>299</v>
      </c>
      <c r="C7138" s="3" t="s">
        <v>1095</v>
      </c>
      <c r="D7138" s="3" t="s">
        <v>181</v>
      </c>
      <c r="E7138" s="3" t="s">
        <v>45</v>
      </c>
      <c r="F7138" s="3" t="s">
        <v>1804</v>
      </c>
      <c r="G7138" s="7">
        <v>46258.67364491514</v>
      </c>
    </row>
    <row r="7139">
      <c r="A7139" s="3" t="s">
        <v>21586</v>
      </c>
      <c r="B7139" s="3" t="s">
        <v>694</v>
      </c>
      <c r="C7139" s="3" t="s">
        <v>1342</v>
      </c>
      <c r="D7139" s="3" t="s">
        <v>68</v>
      </c>
      <c r="E7139" s="3" t="s">
        <v>100</v>
      </c>
      <c r="F7139" s="3" t="s">
        <v>1712</v>
      </c>
      <c r="G7139" s="7">
        <v>46258.744819760555</v>
      </c>
    </row>
    <row r="7140">
      <c r="A7140" s="3" t="s">
        <v>21588</v>
      </c>
      <c r="B7140" s="3" t="s">
        <v>440</v>
      </c>
      <c r="C7140" s="3" t="s">
        <v>1095</v>
      </c>
      <c r="D7140" s="3" t="s">
        <v>195</v>
      </c>
      <c r="E7140" s="3" t="s">
        <v>45</v>
      </c>
      <c r="F7140" s="3" t="s">
        <v>1270</v>
      </c>
      <c r="G7140" s="7">
        <v>46258.81599460597</v>
      </c>
    </row>
    <row r="7141">
      <c r="A7141" s="3" t="s">
        <v>21590</v>
      </c>
      <c r="B7141" s="3" t="s">
        <v>236</v>
      </c>
      <c r="C7141" s="3" t="s">
        <v>56</v>
      </c>
      <c r="D7141" s="3" t="s">
        <v>68</v>
      </c>
      <c r="E7141" s="3" t="s">
        <v>100</v>
      </c>
      <c r="F7141" s="3" t="s">
        <v>1820</v>
      </c>
      <c r="G7141" s="7">
        <v>46258.88716945139</v>
      </c>
    </row>
    <row r="7142">
      <c r="A7142" s="3" t="s">
        <v>21593</v>
      </c>
      <c r="B7142" s="3" t="s">
        <v>475</v>
      </c>
      <c r="C7142" s="3" t="s">
        <v>56</v>
      </c>
      <c r="D7142" s="3" t="s">
        <v>68</v>
      </c>
      <c r="E7142" s="3" t="s">
        <v>100</v>
      </c>
      <c r="F7142" s="3" t="s">
        <v>1824</v>
      </c>
      <c r="G7142" s="7">
        <v>46258.95834429681</v>
      </c>
    </row>
    <row r="7143">
      <c r="A7143" s="3" t="s">
        <v>21595</v>
      </c>
      <c r="B7143" s="3" t="s">
        <v>939</v>
      </c>
      <c r="C7143" s="3" t="s">
        <v>1342</v>
      </c>
      <c r="D7143" s="3" t="s">
        <v>68</v>
      </c>
      <c r="E7143" s="3" t="s">
        <v>100</v>
      </c>
      <c r="F7143" s="3" t="s">
        <v>1738</v>
      </c>
      <c r="G7143" s="7">
        <v>46259.02951914221</v>
      </c>
    </row>
    <row r="7144">
      <c r="A7144" s="3" t="s">
        <v>21597</v>
      </c>
      <c r="B7144" s="3" t="s">
        <v>319</v>
      </c>
      <c r="C7144" s="3" t="s">
        <v>56</v>
      </c>
      <c r="D7144" s="3" t="s">
        <v>68</v>
      </c>
      <c r="E7144" s="3" t="s">
        <v>100</v>
      </c>
      <c r="F7144" s="3" t="s">
        <v>1828</v>
      </c>
      <c r="G7144" s="7">
        <v>46259.10069398763</v>
      </c>
    </row>
    <row r="7145">
      <c r="A7145" s="3" t="s">
        <v>21599</v>
      </c>
      <c r="B7145" s="3" t="s">
        <v>886</v>
      </c>
      <c r="C7145" s="3" t="s">
        <v>1342</v>
      </c>
      <c r="D7145" s="3" t="s">
        <v>68</v>
      </c>
      <c r="E7145" s="3" t="s">
        <v>100</v>
      </c>
      <c r="F7145" s="3" t="s">
        <v>1726</v>
      </c>
      <c r="G7145" s="7">
        <v>46259.171868833044</v>
      </c>
    </row>
    <row r="7146">
      <c r="A7146" s="3" t="s">
        <v>21601</v>
      </c>
      <c r="B7146" s="3" t="s">
        <v>380</v>
      </c>
      <c r="C7146" s="3" t="s">
        <v>1342</v>
      </c>
      <c r="D7146" s="3" t="s">
        <v>68</v>
      </c>
      <c r="E7146" s="3" t="s">
        <v>100</v>
      </c>
      <c r="F7146" s="3" t="s">
        <v>1070</v>
      </c>
      <c r="G7146" s="7">
        <v>46259.24304367846</v>
      </c>
    </row>
    <row r="7147">
      <c r="A7147" s="3" t="s">
        <v>21604</v>
      </c>
      <c r="B7147" s="3" t="s">
        <v>657</v>
      </c>
      <c r="C7147" s="3" t="s">
        <v>56</v>
      </c>
      <c r="D7147" s="3" t="s">
        <v>68</v>
      </c>
      <c r="E7147" s="3" t="s">
        <v>100</v>
      </c>
      <c r="F7147" s="3" t="s">
        <v>1833</v>
      </c>
      <c r="G7147" s="7">
        <v>46259.314218523876</v>
      </c>
    </row>
    <row r="7148">
      <c r="A7148" s="3" t="s">
        <v>21606</v>
      </c>
      <c r="B7148" s="3" t="s">
        <v>731</v>
      </c>
      <c r="C7148" s="3" t="s">
        <v>56</v>
      </c>
      <c r="D7148" s="3" t="s">
        <v>68</v>
      </c>
      <c r="E7148" s="3" t="s">
        <v>100</v>
      </c>
      <c r="F7148" s="3" t="s">
        <v>1837</v>
      </c>
      <c r="G7148" s="7">
        <v>46259.385393369295</v>
      </c>
    </row>
    <row r="7149">
      <c r="A7149" s="3" t="s">
        <v>21608</v>
      </c>
      <c r="B7149" s="3" t="s">
        <v>449</v>
      </c>
      <c r="C7149" s="3" t="s">
        <v>1095</v>
      </c>
      <c r="D7149" s="3" t="s">
        <v>68</v>
      </c>
      <c r="E7149" s="3" t="s">
        <v>100</v>
      </c>
      <c r="F7149" s="3" t="s">
        <v>1575</v>
      </c>
      <c r="G7149" s="7">
        <v>46259.4565682147</v>
      </c>
    </row>
    <row r="7150">
      <c r="A7150" s="3" t="s">
        <v>21611</v>
      </c>
      <c r="B7150" s="3" t="s">
        <v>593</v>
      </c>
      <c r="C7150" s="3" t="s">
        <v>1095</v>
      </c>
      <c r="D7150" s="3" t="s">
        <v>68</v>
      </c>
      <c r="E7150" s="3" t="s">
        <v>100</v>
      </c>
      <c r="F7150" s="3" t="s">
        <v>1081</v>
      </c>
      <c r="G7150" s="7">
        <v>46259.52774306012</v>
      </c>
    </row>
    <row r="7151">
      <c r="A7151" s="3" t="s">
        <v>21613</v>
      </c>
      <c r="B7151" s="3" t="s">
        <v>211</v>
      </c>
      <c r="C7151" s="3" t="s">
        <v>1342</v>
      </c>
      <c r="D7151" s="3" t="s">
        <v>68</v>
      </c>
      <c r="E7151" s="3" t="s">
        <v>100</v>
      </c>
      <c r="F7151" s="3" t="s">
        <v>1039</v>
      </c>
      <c r="G7151" s="7">
        <v>46259.59891790554</v>
      </c>
    </row>
    <row r="7152">
      <c r="A7152" s="3" t="s">
        <v>21616</v>
      </c>
      <c r="B7152" s="3" t="s">
        <v>260</v>
      </c>
      <c r="C7152" s="3" t="s">
        <v>1342</v>
      </c>
      <c r="D7152" s="3" t="s">
        <v>68</v>
      </c>
      <c r="E7152" s="3" t="s">
        <v>100</v>
      </c>
      <c r="F7152" s="3" t="s">
        <v>1724</v>
      </c>
      <c r="G7152" s="7">
        <v>46259.67009275095</v>
      </c>
    </row>
    <row r="7153">
      <c r="A7153" s="3" t="s">
        <v>21618</v>
      </c>
      <c r="B7153" s="3" t="s">
        <v>266</v>
      </c>
      <c r="C7153" s="3" t="s">
        <v>56</v>
      </c>
      <c r="D7153" s="3" t="s">
        <v>68</v>
      </c>
      <c r="E7153" s="3" t="s">
        <v>100</v>
      </c>
      <c r="F7153" s="3" t="s">
        <v>1842</v>
      </c>
      <c r="G7153" s="7">
        <v>46259.741267596364</v>
      </c>
    </row>
    <row r="7154">
      <c r="A7154" s="3" t="s">
        <v>21621</v>
      </c>
      <c r="B7154" s="3" t="s">
        <v>175</v>
      </c>
      <c r="C7154" s="3" t="s">
        <v>1095</v>
      </c>
      <c r="D7154" s="3" t="s">
        <v>68</v>
      </c>
      <c r="E7154" s="3" t="s">
        <v>100</v>
      </c>
      <c r="F7154" s="3" t="s">
        <v>1654</v>
      </c>
      <c r="G7154" s="7">
        <v>46259.812442441784</v>
      </c>
    </row>
    <row r="7155">
      <c r="A7155" s="3" t="s">
        <v>21625</v>
      </c>
      <c r="B7155" s="3" t="s">
        <v>282</v>
      </c>
      <c r="C7155" s="3" t="s">
        <v>1342</v>
      </c>
      <c r="D7155" s="3" t="s">
        <v>181</v>
      </c>
      <c r="E7155" s="3" t="s">
        <v>45</v>
      </c>
      <c r="F7155" s="3" t="s">
        <v>1539</v>
      </c>
      <c r="G7155" s="7">
        <v>46259.883617287196</v>
      </c>
    </row>
    <row r="7156">
      <c r="A7156" s="3" t="s">
        <v>21629</v>
      </c>
      <c r="B7156" s="3" t="s">
        <v>424</v>
      </c>
      <c r="C7156" s="3" t="s">
        <v>56</v>
      </c>
      <c r="D7156" s="3" t="s">
        <v>68</v>
      </c>
      <c r="E7156" s="3" t="s">
        <v>100</v>
      </c>
      <c r="F7156" s="3" t="s">
        <v>1846</v>
      </c>
      <c r="G7156" s="7">
        <v>46259.95479213261</v>
      </c>
    </row>
    <row r="7157">
      <c r="A7157" s="3" t="s">
        <v>21632</v>
      </c>
      <c r="B7157" s="3" t="s">
        <v>704</v>
      </c>
      <c r="C7157" s="3" t="s">
        <v>1095</v>
      </c>
      <c r="D7157" s="3" t="s">
        <v>68</v>
      </c>
      <c r="E7157" s="3" t="s">
        <v>100</v>
      </c>
      <c r="F7157" s="3" t="s">
        <v>583</v>
      </c>
      <c r="G7157" s="7">
        <v>46260.02596697803</v>
      </c>
    </row>
    <row r="7158">
      <c r="A7158" s="3" t="s">
        <v>21634</v>
      </c>
      <c r="B7158" s="3" t="s">
        <v>669</v>
      </c>
      <c r="C7158" s="3" t="s">
        <v>1342</v>
      </c>
      <c r="D7158" s="3" t="s">
        <v>68</v>
      </c>
      <c r="E7158" s="3" t="s">
        <v>100</v>
      </c>
      <c r="F7158" s="3" t="s">
        <v>1114</v>
      </c>
      <c r="G7158" s="7">
        <v>46260.09714182345</v>
      </c>
    </row>
    <row r="7159">
      <c r="A7159" s="3" t="s">
        <v>21636</v>
      </c>
      <c r="B7159" s="3" t="s">
        <v>1021</v>
      </c>
      <c r="C7159" s="3" t="s">
        <v>1342</v>
      </c>
      <c r="D7159" s="3" t="s">
        <v>68</v>
      </c>
      <c r="E7159" s="3" t="s">
        <v>100</v>
      </c>
      <c r="F7159" s="3" t="s">
        <v>2037</v>
      </c>
      <c r="G7159" s="7">
        <v>46260.16831666885</v>
      </c>
    </row>
    <row r="7160">
      <c r="A7160" s="3" t="s">
        <v>21638</v>
      </c>
      <c r="B7160" s="3" t="s">
        <v>481</v>
      </c>
      <c r="C7160" s="3" t="s">
        <v>1095</v>
      </c>
      <c r="D7160" s="3" t="s">
        <v>68</v>
      </c>
      <c r="E7160" s="3" t="s">
        <v>100</v>
      </c>
      <c r="F7160" s="3" t="s">
        <v>1722</v>
      </c>
      <c r="G7160" s="7">
        <v>46260.23949151427</v>
      </c>
    </row>
    <row r="7161">
      <c r="A7161" s="3" t="s">
        <v>21640</v>
      </c>
      <c r="B7161" s="3" t="s">
        <v>536</v>
      </c>
      <c r="C7161" s="3" t="s">
        <v>1095</v>
      </c>
      <c r="D7161" s="3" t="s">
        <v>68</v>
      </c>
      <c r="E7161" s="3" t="s">
        <v>100</v>
      </c>
      <c r="F7161" s="3" t="s">
        <v>1848</v>
      </c>
      <c r="G7161" s="7">
        <v>46260.310666359685</v>
      </c>
    </row>
    <row r="7162">
      <c r="A7162" s="3" t="s">
        <v>21645</v>
      </c>
      <c r="B7162" s="3" t="s">
        <v>165</v>
      </c>
      <c r="C7162" s="3" t="s">
        <v>1095</v>
      </c>
      <c r="D7162" s="3" t="s">
        <v>68</v>
      </c>
      <c r="E7162" s="3" t="s">
        <v>100</v>
      </c>
      <c r="F7162" s="3" t="s">
        <v>1699</v>
      </c>
      <c r="G7162" s="7">
        <v>46260.381841205104</v>
      </c>
    </row>
    <row r="7163">
      <c r="A7163" s="3" t="s">
        <v>21648</v>
      </c>
      <c r="B7163" s="3" t="s">
        <v>640</v>
      </c>
      <c r="C7163" s="3" t="s">
        <v>1095</v>
      </c>
      <c r="D7163" s="3" t="s">
        <v>68</v>
      </c>
      <c r="E7163" s="3" t="s">
        <v>100</v>
      </c>
      <c r="F7163" s="3" t="s">
        <v>1775</v>
      </c>
      <c r="G7163" s="7">
        <v>46260.45301605052</v>
      </c>
    </row>
    <row r="7164">
      <c r="A7164" s="3" t="s">
        <v>21651</v>
      </c>
      <c r="B7164" s="3" t="s">
        <v>702</v>
      </c>
      <c r="C7164" s="3" t="s">
        <v>1342</v>
      </c>
      <c r="D7164" s="3" t="s">
        <v>68</v>
      </c>
      <c r="E7164" s="3" t="s">
        <v>100</v>
      </c>
      <c r="F7164" s="3" t="s">
        <v>1617</v>
      </c>
      <c r="G7164" s="7">
        <v>46260.524190895936</v>
      </c>
    </row>
    <row r="7165">
      <c r="A7165" s="3" t="s">
        <v>21654</v>
      </c>
      <c r="B7165" s="3" t="s">
        <v>189</v>
      </c>
      <c r="C7165" s="3" t="s">
        <v>1095</v>
      </c>
      <c r="D7165" s="3" t="s">
        <v>68</v>
      </c>
      <c r="E7165" s="3" t="s">
        <v>100</v>
      </c>
      <c r="F7165" s="3" t="s">
        <v>1526</v>
      </c>
      <c r="G7165" s="7">
        <v>46260.59536574135</v>
      </c>
    </row>
    <row r="7166">
      <c r="A7166" s="3" t="s">
        <v>21657</v>
      </c>
      <c r="B7166" s="3" t="s">
        <v>903</v>
      </c>
      <c r="C7166" s="3" t="s">
        <v>1342</v>
      </c>
      <c r="D7166" s="3" t="s">
        <v>68</v>
      </c>
      <c r="E7166" s="3" t="s">
        <v>100</v>
      </c>
      <c r="F7166" s="3" t="s">
        <v>1763</v>
      </c>
      <c r="G7166" s="7">
        <v>46260.66654058676</v>
      </c>
    </row>
    <row r="7167">
      <c r="A7167" s="3" t="s">
        <v>21659</v>
      </c>
      <c r="B7167" s="3" t="s">
        <v>148</v>
      </c>
      <c r="C7167" s="3" t="s">
        <v>56</v>
      </c>
      <c r="D7167" s="3" t="s">
        <v>68</v>
      </c>
      <c r="E7167" s="3" t="s">
        <v>100</v>
      </c>
      <c r="F7167" s="3" t="s">
        <v>1848</v>
      </c>
      <c r="G7167" s="7">
        <v>46260.73771543218</v>
      </c>
    </row>
    <row r="7168">
      <c r="A7168" s="3" t="s">
        <v>21661</v>
      </c>
      <c r="B7168" s="3" t="s">
        <v>395</v>
      </c>
      <c r="C7168" s="3" t="s">
        <v>1095</v>
      </c>
      <c r="D7168" s="3" t="s">
        <v>181</v>
      </c>
      <c r="E7168" s="3" t="s">
        <v>45</v>
      </c>
      <c r="F7168" s="3" t="s">
        <v>1418</v>
      </c>
      <c r="G7168" s="7">
        <v>46260.80889027759</v>
      </c>
    </row>
    <row r="7169">
      <c r="A7169" s="3" t="s">
        <v>21663</v>
      </c>
      <c r="B7169" s="3" t="s">
        <v>557</v>
      </c>
      <c r="C7169" s="3" t="s">
        <v>1342</v>
      </c>
      <c r="D7169" s="3" t="s">
        <v>68</v>
      </c>
      <c r="E7169" s="3" t="s">
        <v>100</v>
      </c>
      <c r="F7169" s="3" t="s">
        <v>1483</v>
      </c>
      <c r="G7169" s="7">
        <v>46260.880065123005</v>
      </c>
    </row>
    <row r="7170">
      <c r="A7170" s="3" t="s">
        <v>21665</v>
      </c>
      <c r="B7170" s="3" t="s">
        <v>939</v>
      </c>
      <c r="C7170" s="3" t="s">
        <v>1342</v>
      </c>
      <c r="D7170" s="3" t="s">
        <v>68</v>
      </c>
      <c r="E7170" s="3" t="s">
        <v>100</v>
      </c>
      <c r="F7170" s="3" t="s">
        <v>1738</v>
      </c>
      <c r="G7170" s="7">
        <v>46260.951239968424</v>
      </c>
    </row>
    <row r="7171">
      <c r="A7171" s="3" t="s">
        <v>21668</v>
      </c>
      <c r="B7171" s="3" t="s">
        <v>179</v>
      </c>
      <c r="C7171" s="3" t="s">
        <v>1095</v>
      </c>
      <c r="D7171" s="3" t="s">
        <v>68</v>
      </c>
      <c r="E7171" s="3" t="s">
        <v>100</v>
      </c>
      <c r="F7171" s="3" t="s">
        <v>1558</v>
      </c>
      <c r="G7171" s="7">
        <v>46261.02241481384</v>
      </c>
    </row>
    <row r="7172">
      <c r="A7172" s="3" t="s">
        <v>21670</v>
      </c>
      <c r="B7172" s="3" t="s">
        <v>546</v>
      </c>
      <c r="C7172" s="3" t="s">
        <v>56</v>
      </c>
      <c r="D7172" s="3" t="s">
        <v>68</v>
      </c>
      <c r="E7172" s="3" t="s">
        <v>100</v>
      </c>
      <c r="F7172" s="3" t="s">
        <v>1852</v>
      </c>
      <c r="G7172" s="7">
        <v>46261.09358965925</v>
      </c>
    </row>
    <row r="7173">
      <c r="A7173" s="3" t="s">
        <v>21672</v>
      </c>
      <c r="B7173" s="3" t="s">
        <v>211</v>
      </c>
      <c r="C7173" s="3" t="s">
        <v>1095</v>
      </c>
      <c r="D7173" s="3" t="s">
        <v>195</v>
      </c>
      <c r="E7173" s="3" t="s">
        <v>45</v>
      </c>
      <c r="F7173" s="3" t="s">
        <v>1039</v>
      </c>
      <c r="G7173" s="7">
        <v>46261.16476450467</v>
      </c>
    </row>
    <row r="7174">
      <c r="A7174" s="3" t="s">
        <v>21674</v>
      </c>
      <c r="B7174" s="3" t="s">
        <v>900</v>
      </c>
      <c r="C7174" s="3" t="s">
        <v>56</v>
      </c>
      <c r="D7174" s="3" t="s">
        <v>68</v>
      </c>
      <c r="E7174" s="3" t="s">
        <v>100</v>
      </c>
      <c r="F7174" s="3" t="s">
        <v>1855</v>
      </c>
      <c r="G7174" s="7">
        <v>46261.23593935009</v>
      </c>
    </row>
    <row r="7175">
      <c r="A7175" s="3" t="s">
        <v>21677</v>
      </c>
      <c r="B7175" s="3" t="s">
        <v>860</v>
      </c>
      <c r="C7175" s="3" t="s">
        <v>1095</v>
      </c>
      <c r="D7175" s="3" t="s">
        <v>68</v>
      </c>
      <c r="E7175" s="3" t="s">
        <v>100</v>
      </c>
      <c r="F7175" s="3" t="s">
        <v>1745</v>
      </c>
      <c r="G7175" s="7">
        <v>46261.30711419549</v>
      </c>
    </row>
    <row r="7176">
      <c r="A7176" s="3" t="s">
        <v>21679</v>
      </c>
      <c r="B7176" s="3" t="s">
        <v>380</v>
      </c>
      <c r="C7176" s="3" t="s">
        <v>1095</v>
      </c>
      <c r="D7176" s="3" t="s">
        <v>68</v>
      </c>
      <c r="E7176" s="3" t="s">
        <v>100</v>
      </c>
      <c r="F7176" s="3" t="s">
        <v>1070</v>
      </c>
      <c r="G7176" s="7">
        <v>46261.37828904091</v>
      </c>
    </row>
    <row r="7177">
      <c r="A7177" s="3" t="s">
        <v>21681</v>
      </c>
      <c r="B7177" s="3" t="s">
        <v>949</v>
      </c>
      <c r="C7177" s="3" t="s">
        <v>56</v>
      </c>
      <c r="D7177" s="3" t="s">
        <v>195</v>
      </c>
      <c r="E7177" s="3" t="s">
        <v>45</v>
      </c>
      <c r="F7177" s="3" t="s">
        <v>45</v>
      </c>
      <c r="G7177" s="7">
        <v>46261.44946388633</v>
      </c>
    </row>
    <row r="7178">
      <c r="A7178" s="3" t="s">
        <v>21684</v>
      </c>
      <c r="B7178" s="3" t="s">
        <v>126</v>
      </c>
      <c r="C7178" s="3" t="s">
        <v>1095</v>
      </c>
      <c r="D7178" s="3" t="s">
        <v>68</v>
      </c>
      <c r="E7178" s="3" t="s">
        <v>100</v>
      </c>
      <c r="F7178" s="3" t="s">
        <v>1161</v>
      </c>
      <c r="G7178" s="7">
        <v>46261.520638731745</v>
      </c>
    </row>
    <row r="7179">
      <c r="A7179" s="3" t="s">
        <v>21688</v>
      </c>
      <c r="B7179" s="3" t="s">
        <v>319</v>
      </c>
      <c r="C7179" s="3" t="s">
        <v>1342</v>
      </c>
      <c r="D7179" s="3" t="s">
        <v>68</v>
      </c>
      <c r="E7179" s="3" t="s">
        <v>100</v>
      </c>
      <c r="F7179" s="3" t="s">
        <v>1828</v>
      </c>
      <c r="G7179" s="7">
        <v>46261.59181357716</v>
      </c>
    </row>
    <row r="7180">
      <c r="A7180" s="3" t="s">
        <v>21691</v>
      </c>
      <c r="B7180" s="3" t="s">
        <v>398</v>
      </c>
      <c r="C7180" s="3" t="s">
        <v>56</v>
      </c>
      <c r="D7180" s="3" t="s">
        <v>68</v>
      </c>
      <c r="E7180" s="3" t="s">
        <v>100</v>
      </c>
      <c r="F7180" s="3" t="s">
        <v>1857</v>
      </c>
      <c r="G7180" s="7">
        <v>46261.66298842258</v>
      </c>
    </row>
    <row r="7181">
      <c r="A7181" s="3" t="s">
        <v>21694</v>
      </c>
      <c r="B7181" s="3" t="s">
        <v>449</v>
      </c>
      <c r="C7181" s="3" t="s">
        <v>56</v>
      </c>
      <c r="D7181" s="3" t="s">
        <v>68</v>
      </c>
      <c r="E7181" s="3" t="s">
        <v>100</v>
      </c>
      <c r="F7181" s="3" t="s">
        <v>1860</v>
      </c>
      <c r="G7181" s="7">
        <v>46261.73416326799</v>
      </c>
    </row>
    <row r="7182">
      <c r="A7182" s="3" t="s">
        <v>21695</v>
      </c>
      <c r="B7182" s="3" t="s">
        <v>1008</v>
      </c>
      <c r="C7182" s="3" t="s">
        <v>1342</v>
      </c>
      <c r="D7182" s="3" t="s">
        <v>68</v>
      </c>
      <c r="E7182" s="3" t="s">
        <v>100</v>
      </c>
      <c r="F7182" s="3" t="s">
        <v>1684</v>
      </c>
      <c r="G7182" s="7">
        <v>46261.8053381134</v>
      </c>
    </row>
    <row r="7183">
      <c r="A7183" s="3" t="s">
        <v>21697</v>
      </c>
      <c r="B7183" s="3" t="s">
        <v>657</v>
      </c>
      <c r="C7183" s="3" t="s">
        <v>1342</v>
      </c>
      <c r="D7183" s="3" t="s">
        <v>68</v>
      </c>
      <c r="E7183" s="3" t="s">
        <v>100</v>
      </c>
      <c r="F7183" s="3" t="s">
        <v>1833</v>
      </c>
      <c r="G7183" s="7">
        <v>46261.87651295882</v>
      </c>
    </row>
    <row r="7184">
      <c r="A7184" s="3" t="s">
        <v>21699</v>
      </c>
      <c r="B7184" s="3" t="s">
        <v>953</v>
      </c>
      <c r="C7184" s="3" t="s">
        <v>56</v>
      </c>
      <c r="D7184" s="3" t="s">
        <v>68</v>
      </c>
      <c r="E7184" s="3" t="s">
        <v>100</v>
      </c>
      <c r="F7184" s="3" t="s">
        <v>1863</v>
      </c>
      <c r="G7184" s="7">
        <v>46261.94768780424</v>
      </c>
    </row>
    <row r="7185">
      <c r="A7185" s="3" t="s">
        <v>21702</v>
      </c>
      <c r="B7185" s="3" t="s">
        <v>535</v>
      </c>
      <c r="C7185" s="3" t="s">
        <v>1095</v>
      </c>
      <c r="D7185" s="3" t="s">
        <v>68</v>
      </c>
      <c r="E7185" s="3" t="s">
        <v>100</v>
      </c>
      <c r="F7185" s="3" t="s">
        <v>1750</v>
      </c>
      <c r="G7185" s="7">
        <v>46262.018862649646</v>
      </c>
    </row>
    <row r="7186">
      <c r="A7186" s="3" t="s">
        <v>21704</v>
      </c>
      <c r="B7186" s="3" t="s">
        <v>746</v>
      </c>
      <c r="C7186" s="3" t="s">
        <v>1095</v>
      </c>
      <c r="D7186" s="3" t="s">
        <v>68</v>
      </c>
      <c r="E7186" s="3" t="s">
        <v>100</v>
      </c>
      <c r="F7186" s="3" t="s">
        <v>2103</v>
      </c>
      <c r="G7186" s="7">
        <v>46262.090037495065</v>
      </c>
    </row>
    <row r="7187">
      <c r="A7187" s="3" t="s">
        <v>21706</v>
      </c>
      <c r="B7187" s="3" t="s">
        <v>310</v>
      </c>
      <c r="C7187" s="3" t="s">
        <v>56</v>
      </c>
      <c r="D7187" s="3" t="s">
        <v>68</v>
      </c>
      <c r="E7187" s="3" t="s">
        <v>100</v>
      </c>
      <c r="F7187" s="3" t="s">
        <v>1864</v>
      </c>
      <c r="G7187" s="7">
        <v>46262.16121234048</v>
      </c>
    </row>
    <row r="7188">
      <c r="A7188" s="3" t="s">
        <v>21708</v>
      </c>
      <c r="B7188" s="3" t="s">
        <v>135</v>
      </c>
      <c r="C7188" s="3" t="s">
        <v>1095</v>
      </c>
      <c r="D7188" s="3" t="s">
        <v>68</v>
      </c>
      <c r="E7188" s="3" t="s">
        <v>100</v>
      </c>
      <c r="F7188" s="3" t="s">
        <v>2069</v>
      </c>
      <c r="G7188" s="7">
        <v>46262.2323871859</v>
      </c>
    </row>
    <row r="7189">
      <c r="A7189" s="3" t="s">
        <v>21710</v>
      </c>
      <c r="B7189" s="3" t="s">
        <v>211</v>
      </c>
      <c r="C7189" s="3" t="s">
        <v>1342</v>
      </c>
      <c r="D7189" s="3" t="s">
        <v>195</v>
      </c>
      <c r="E7189" s="3" t="s">
        <v>45</v>
      </c>
      <c r="F7189" s="3" t="s">
        <v>1039</v>
      </c>
      <c r="G7189" s="7">
        <v>46262.30356203131</v>
      </c>
    </row>
    <row r="7190">
      <c r="A7190" s="3" t="s">
        <v>21713</v>
      </c>
      <c r="B7190" s="3" t="s">
        <v>512</v>
      </c>
      <c r="C7190" s="3" t="s">
        <v>56</v>
      </c>
      <c r="D7190" s="3" t="s">
        <v>68</v>
      </c>
      <c r="E7190" s="3" t="s">
        <v>100</v>
      </c>
      <c r="F7190" s="3" t="s">
        <v>1869</v>
      </c>
      <c r="G7190" s="7">
        <v>46262.37473687673</v>
      </c>
    </row>
    <row r="7191">
      <c r="A7191" s="3" t="s">
        <v>21716</v>
      </c>
      <c r="B7191" s="3" t="s">
        <v>691</v>
      </c>
      <c r="C7191" s="3" t="s">
        <v>1342</v>
      </c>
      <c r="D7191" s="3" t="s">
        <v>68</v>
      </c>
      <c r="E7191" s="3" t="s">
        <v>100</v>
      </c>
      <c r="F7191" s="3" t="s">
        <v>1177</v>
      </c>
      <c r="G7191" s="7">
        <v>46262.445911722134</v>
      </c>
    </row>
    <row r="7192">
      <c r="A7192" s="3" t="s">
        <v>21718</v>
      </c>
      <c r="B7192" s="3" t="s">
        <v>678</v>
      </c>
      <c r="C7192" s="3" t="s">
        <v>56</v>
      </c>
      <c r="D7192" s="3" t="s">
        <v>68</v>
      </c>
      <c r="E7192" s="3" t="s">
        <v>100</v>
      </c>
      <c r="F7192" s="3" t="s">
        <v>1873</v>
      </c>
      <c r="G7192" s="7">
        <v>46262.51708656755</v>
      </c>
    </row>
    <row r="7193">
      <c r="A7193" s="3" t="s">
        <v>21720</v>
      </c>
      <c r="B7193" s="3" t="s">
        <v>466</v>
      </c>
      <c r="C7193" s="3" t="s">
        <v>1095</v>
      </c>
      <c r="D7193" s="3" t="s">
        <v>68</v>
      </c>
      <c r="E7193" s="3" t="s">
        <v>100</v>
      </c>
      <c r="F7193" s="3" t="s">
        <v>1542</v>
      </c>
      <c r="G7193" s="7">
        <v>46262.58826141297</v>
      </c>
    </row>
    <row r="7194">
      <c r="A7194" s="3" t="s">
        <v>21722</v>
      </c>
      <c r="B7194" s="3" t="s">
        <v>168</v>
      </c>
      <c r="C7194" s="3" t="s">
        <v>1342</v>
      </c>
      <c r="D7194" s="3" t="s">
        <v>68</v>
      </c>
      <c r="E7194" s="3" t="s">
        <v>100</v>
      </c>
      <c r="F7194" s="3" t="s">
        <v>1636</v>
      </c>
      <c r="G7194" s="7">
        <v>46262.659436258386</v>
      </c>
    </row>
    <row r="7195">
      <c r="A7195" s="3" t="s">
        <v>21724</v>
      </c>
      <c r="B7195" s="3" t="s">
        <v>162</v>
      </c>
      <c r="C7195" s="3" t="s">
        <v>56</v>
      </c>
      <c r="D7195" s="3" t="s">
        <v>68</v>
      </c>
      <c r="E7195" s="3" t="s">
        <v>100</v>
      </c>
      <c r="F7195" s="3" t="s">
        <v>1876</v>
      </c>
      <c r="G7195" s="7">
        <v>46262.7306111038</v>
      </c>
    </row>
    <row r="7196">
      <c r="A7196" s="3" t="s">
        <v>21727</v>
      </c>
      <c r="B7196" s="3" t="s">
        <v>934</v>
      </c>
      <c r="C7196" s="3" t="s">
        <v>56</v>
      </c>
      <c r="D7196" s="3" t="s">
        <v>195</v>
      </c>
      <c r="E7196" s="3" t="s">
        <v>45</v>
      </c>
      <c r="F7196" s="3" t="s">
        <v>45</v>
      </c>
      <c r="G7196" s="7">
        <v>46262.80178594922</v>
      </c>
    </row>
    <row r="7197">
      <c r="A7197" s="3" t="s">
        <v>21729</v>
      </c>
      <c r="B7197" s="3" t="s">
        <v>848</v>
      </c>
      <c r="C7197" s="3" t="s">
        <v>1095</v>
      </c>
      <c r="D7197" s="3" t="s">
        <v>68</v>
      </c>
      <c r="E7197" s="3" t="s">
        <v>100</v>
      </c>
      <c r="F7197" s="3" t="s">
        <v>1713</v>
      </c>
      <c r="G7197" s="7">
        <v>46262.87296079463</v>
      </c>
    </row>
    <row r="7198">
      <c r="A7198" s="3" t="s">
        <v>21731</v>
      </c>
      <c r="B7198" s="3" t="s">
        <v>419</v>
      </c>
      <c r="C7198" s="3" t="s">
        <v>56</v>
      </c>
      <c r="D7198" s="3" t="s">
        <v>68</v>
      </c>
      <c r="E7198" s="3" t="s">
        <v>100</v>
      </c>
      <c r="F7198" s="3" t="s">
        <v>1879</v>
      </c>
      <c r="G7198" s="7">
        <v>46262.94413564004</v>
      </c>
    </row>
    <row r="7199">
      <c r="A7199" s="3" t="s">
        <v>21734</v>
      </c>
      <c r="B7199" s="3" t="s">
        <v>735</v>
      </c>
      <c r="C7199" s="3" t="s">
        <v>1342</v>
      </c>
      <c r="D7199" s="3" t="s">
        <v>68</v>
      </c>
      <c r="E7199" s="3" t="s">
        <v>100</v>
      </c>
      <c r="F7199" s="3" t="s">
        <v>1715</v>
      </c>
      <c r="G7199" s="7">
        <v>46263.01531048546</v>
      </c>
    </row>
    <row r="7200">
      <c r="A7200" s="3" t="s">
        <v>21737</v>
      </c>
      <c r="B7200" s="3" t="s">
        <v>900</v>
      </c>
      <c r="C7200" s="3" t="s">
        <v>1342</v>
      </c>
      <c r="D7200" s="3" t="s">
        <v>68</v>
      </c>
      <c r="E7200" s="3" t="s">
        <v>100</v>
      </c>
      <c r="F7200" s="3" t="s">
        <v>1855</v>
      </c>
      <c r="G7200" s="7">
        <v>46263.08648533088</v>
      </c>
    </row>
    <row r="7201">
      <c r="A7201" s="3" t="s">
        <v>21741</v>
      </c>
      <c r="B7201" s="3" t="s">
        <v>778</v>
      </c>
      <c r="C7201" s="3" t="s">
        <v>1095</v>
      </c>
      <c r="D7201" s="3" t="s">
        <v>68</v>
      </c>
      <c r="E7201" s="3" t="s">
        <v>100</v>
      </c>
      <c r="F7201" s="3" t="s">
        <v>1706</v>
      </c>
      <c r="G7201" s="7">
        <v>46263.157660176286</v>
      </c>
    </row>
    <row r="7202">
      <c r="A7202" s="3" t="s">
        <v>21744</v>
      </c>
      <c r="B7202" s="3" t="s">
        <v>725</v>
      </c>
      <c r="C7202" s="3" t="s">
        <v>1342</v>
      </c>
      <c r="D7202" s="3" t="s">
        <v>68</v>
      </c>
      <c r="E7202" s="3" t="s">
        <v>100</v>
      </c>
      <c r="F7202" s="3" t="s">
        <v>1704</v>
      </c>
      <c r="G7202" s="7">
        <v>46263.228835021706</v>
      </c>
    </row>
    <row r="7203">
      <c r="A7203" s="3" t="s">
        <v>21748</v>
      </c>
      <c r="B7203" s="3" t="s">
        <v>193</v>
      </c>
      <c r="C7203" s="3" t="s">
        <v>1095</v>
      </c>
      <c r="D7203" s="3" t="s">
        <v>68</v>
      </c>
      <c r="E7203" s="3" t="s">
        <v>100</v>
      </c>
      <c r="F7203" s="3" t="s">
        <v>1605</v>
      </c>
      <c r="G7203" s="7">
        <v>46263.30000986712</v>
      </c>
    </row>
    <row r="7204">
      <c r="A7204" s="3" t="s">
        <v>21751</v>
      </c>
      <c r="B7204" s="3" t="s">
        <v>449</v>
      </c>
      <c r="C7204" s="3" t="s">
        <v>1342</v>
      </c>
      <c r="D7204" s="3" t="s">
        <v>68</v>
      </c>
      <c r="E7204" s="3" t="s">
        <v>100</v>
      </c>
      <c r="F7204" s="3" t="s">
        <v>1860</v>
      </c>
      <c r="G7204" s="7">
        <v>46263.37118471254</v>
      </c>
    </row>
    <row r="7205">
      <c r="A7205" s="3" t="s">
        <v>21754</v>
      </c>
      <c r="B7205" s="3" t="s">
        <v>694</v>
      </c>
      <c r="C7205" s="3" t="s">
        <v>1342</v>
      </c>
      <c r="D7205" s="3" t="s">
        <v>68</v>
      </c>
      <c r="E7205" s="3" t="s">
        <v>100</v>
      </c>
      <c r="F7205" s="3" t="s">
        <v>1712</v>
      </c>
      <c r="G7205" s="7">
        <v>46263.44235955795</v>
      </c>
    </row>
    <row r="7206">
      <c r="A7206" s="3" t="s">
        <v>21756</v>
      </c>
      <c r="B7206" s="3" t="s">
        <v>886</v>
      </c>
      <c r="C7206" s="3" t="s">
        <v>1342</v>
      </c>
      <c r="D7206" s="3" t="s">
        <v>68</v>
      </c>
      <c r="E7206" s="3" t="s">
        <v>100</v>
      </c>
      <c r="F7206" s="3" t="s">
        <v>1726</v>
      </c>
      <c r="G7206" s="7">
        <v>46263.51353440337</v>
      </c>
    </row>
    <row r="7207">
      <c r="A7207" s="3" t="s">
        <v>21758</v>
      </c>
      <c r="B7207" s="3" t="s">
        <v>763</v>
      </c>
      <c r="C7207" s="3" t="s">
        <v>1342</v>
      </c>
      <c r="D7207" s="3" t="s">
        <v>68</v>
      </c>
      <c r="E7207" s="3" t="s">
        <v>100</v>
      </c>
      <c r="F7207" s="3" t="s">
        <v>1611</v>
      </c>
      <c r="G7207" s="7">
        <v>46263.58470924878</v>
      </c>
    </row>
    <row r="7208">
      <c r="A7208" s="3" t="s">
        <v>21761</v>
      </c>
      <c r="B7208" s="3" t="s">
        <v>640</v>
      </c>
      <c r="C7208" s="3" t="s">
        <v>56</v>
      </c>
      <c r="D7208" s="3" t="s">
        <v>68</v>
      </c>
      <c r="E7208" s="3" t="s">
        <v>100</v>
      </c>
      <c r="F7208" s="3" t="s">
        <v>1882</v>
      </c>
      <c r="G7208" s="7">
        <v>46263.655884094194</v>
      </c>
    </row>
    <row r="7209">
      <c r="A7209" s="3" t="s">
        <v>21763</v>
      </c>
      <c r="B7209" s="3" t="s">
        <v>493</v>
      </c>
      <c r="C7209" s="3" t="s">
        <v>1342</v>
      </c>
      <c r="D7209" s="3" t="s">
        <v>68</v>
      </c>
      <c r="E7209" s="3" t="s">
        <v>100</v>
      </c>
      <c r="F7209" s="3" t="s">
        <v>1623</v>
      </c>
      <c r="G7209" s="7">
        <v>46263.727058939614</v>
      </c>
    </row>
    <row r="7210">
      <c r="A7210" s="3" t="s">
        <v>21765</v>
      </c>
      <c r="B7210" s="3" t="s">
        <v>316</v>
      </c>
      <c r="C7210" s="3" t="s">
        <v>1342</v>
      </c>
      <c r="D7210" s="3" t="s">
        <v>68</v>
      </c>
      <c r="E7210" s="3" t="s">
        <v>100</v>
      </c>
      <c r="F7210" s="3" t="s">
        <v>1790</v>
      </c>
      <c r="G7210" s="7">
        <v>46263.798233785026</v>
      </c>
    </row>
    <row r="7211">
      <c r="A7211" s="3" t="s">
        <v>21767</v>
      </c>
      <c r="B7211" s="3" t="s">
        <v>1026</v>
      </c>
      <c r="C7211" s="3" t="s">
        <v>56</v>
      </c>
      <c r="D7211" s="3" t="s">
        <v>68</v>
      </c>
      <c r="E7211" s="3" t="s">
        <v>100</v>
      </c>
      <c r="F7211" s="3" t="s">
        <v>1884</v>
      </c>
      <c r="G7211" s="7">
        <v>46263.86940863044</v>
      </c>
    </row>
    <row r="7212">
      <c r="A7212" s="3" t="s">
        <v>21769</v>
      </c>
      <c r="B7212" s="3" t="s">
        <v>533</v>
      </c>
      <c r="C7212" s="3" t="s">
        <v>56</v>
      </c>
      <c r="D7212" s="3" t="s">
        <v>68</v>
      </c>
      <c r="E7212" s="3" t="s">
        <v>100</v>
      </c>
      <c r="F7212" s="3" t="s">
        <v>1887</v>
      </c>
      <c r="G7212" s="7">
        <v>46263.94058347586</v>
      </c>
    </row>
    <row r="7213">
      <c r="A7213" s="3" t="s">
        <v>21771</v>
      </c>
      <c r="B7213" s="3" t="s">
        <v>742</v>
      </c>
      <c r="C7213" s="3" t="s">
        <v>1342</v>
      </c>
      <c r="D7213" s="3" t="s">
        <v>68</v>
      </c>
      <c r="E7213" s="3" t="s">
        <v>100</v>
      </c>
      <c r="F7213" s="3" t="s">
        <v>1443</v>
      </c>
      <c r="G7213" s="7">
        <v>46264.01175832127</v>
      </c>
    </row>
    <row r="7214">
      <c r="A7214" s="3" t="s">
        <v>21772</v>
      </c>
      <c r="B7214" s="3" t="s">
        <v>272</v>
      </c>
      <c r="C7214" s="3" t="s">
        <v>56</v>
      </c>
      <c r="D7214" s="3" t="s">
        <v>68</v>
      </c>
      <c r="E7214" s="3" t="s">
        <v>100</v>
      </c>
      <c r="F7214" s="3" t="s">
        <v>1890</v>
      </c>
      <c r="G7214" s="7">
        <v>46264.08293316668</v>
      </c>
    </row>
    <row r="7215">
      <c r="A7215" s="3" t="s">
        <v>21774</v>
      </c>
      <c r="B7215" s="3" t="s">
        <v>870</v>
      </c>
      <c r="C7215" s="3" t="s">
        <v>56</v>
      </c>
      <c r="D7215" s="3" t="s">
        <v>68</v>
      </c>
      <c r="E7215" s="3" t="s">
        <v>100</v>
      </c>
      <c r="F7215" s="3" t="s">
        <v>1892</v>
      </c>
      <c r="G7215" s="7">
        <v>46264.1541080121</v>
      </c>
    </row>
    <row r="7216">
      <c r="A7216" s="3" t="s">
        <v>21776</v>
      </c>
      <c r="B7216" s="3" t="s">
        <v>148</v>
      </c>
      <c r="C7216" s="3" t="s">
        <v>1095</v>
      </c>
      <c r="D7216" s="3" t="s">
        <v>68</v>
      </c>
      <c r="E7216" s="3" t="s">
        <v>100</v>
      </c>
      <c r="F7216" s="3" t="s">
        <v>1848</v>
      </c>
      <c r="G7216" s="7">
        <v>46264.22528285752</v>
      </c>
    </row>
    <row r="7217">
      <c r="A7217" s="3" t="s">
        <v>21778</v>
      </c>
      <c r="B7217" s="3" t="s">
        <v>250</v>
      </c>
      <c r="C7217" s="3" t="s">
        <v>1342</v>
      </c>
      <c r="D7217" s="3" t="s">
        <v>68</v>
      </c>
      <c r="E7217" s="3" t="s">
        <v>100</v>
      </c>
      <c r="F7217" s="3" t="s">
        <v>1808</v>
      </c>
      <c r="G7217" s="7">
        <v>46264.29645770293</v>
      </c>
    </row>
    <row r="7218">
      <c r="A7218" s="3" t="s">
        <v>21781</v>
      </c>
      <c r="B7218" s="3" t="s">
        <v>373</v>
      </c>
      <c r="C7218" s="3" t="s">
        <v>56</v>
      </c>
      <c r="D7218" s="3" t="s">
        <v>68</v>
      </c>
      <c r="E7218" s="3" t="s">
        <v>100</v>
      </c>
      <c r="F7218" s="3" t="s">
        <v>1894</v>
      </c>
      <c r="G7218" s="7">
        <v>46264.36763254835</v>
      </c>
    </row>
    <row r="7219">
      <c r="A7219" s="3" t="s">
        <v>21783</v>
      </c>
      <c r="B7219" s="3" t="s">
        <v>796</v>
      </c>
      <c r="C7219" s="3" t="s">
        <v>1342</v>
      </c>
      <c r="D7219" s="3" t="s">
        <v>68</v>
      </c>
      <c r="E7219" s="3" t="s">
        <v>100</v>
      </c>
      <c r="F7219" s="3" t="s">
        <v>1779</v>
      </c>
      <c r="G7219" s="7">
        <v>46264.438807393766</v>
      </c>
    </row>
    <row r="7220">
      <c r="A7220" s="3" t="s">
        <v>21785</v>
      </c>
      <c r="B7220" s="3" t="s">
        <v>870</v>
      </c>
      <c r="C7220" s="3" t="s">
        <v>1342</v>
      </c>
      <c r="D7220" s="3" t="s">
        <v>68</v>
      </c>
      <c r="E7220" s="3" t="s">
        <v>100</v>
      </c>
      <c r="F7220" s="3" t="s">
        <v>1892</v>
      </c>
      <c r="G7220" s="7">
        <v>46264.50998223918</v>
      </c>
    </row>
    <row r="7221">
      <c r="A7221" s="3" t="s">
        <v>21787</v>
      </c>
      <c r="B7221" s="3" t="s">
        <v>903</v>
      </c>
      <c r="C7221" s="3" t="s">
        <v>1342</v>
      </c>
      <c r="D7221" s="3" t="s">
        <v>68</v>
      </c>
      <c r="E7221" s="3" t="s">
        <v>100</v>
      </c>
      <c r="F7221" s="3" t="s">
        <v>1763</v>
      </c>
      <c r="G7221" s="7">
        <v>46264.58115708459</v>
      </c>
    </row>
    <row r="7222">
      <c r="A7222" s="3" t="s">
        <v>21790</v>
      </c>
      <c r="B7222" s="3" t="s">
        <v>708</v>
      </c>
      <c r="C7222" s="3" t="s">
        <v>1095</v>
      </c>
      <c r="D7222" s="3" t="s">
        <v>68</v>
      </c>
      <c r="E7222" s="3" t="s">
        <v>100</v>
      </c>
      <c r="F7222" s="3" t="s">
        <v>1560</v>
      </c>
      <c r="G7222" s="7">
        <v>46264.65233193001</v>
      </c>
    </row>
    <row r="7223">
      <c r="A7223" s="3" t="s">
        <v>21794</v>
      </c>
      <c r="B7223" s="3" t="s">
        <v>479</v>
      </c>
      <c r="C7223" s="3" t="s">
        <v>1342</v>
      </c>
      <c r="D7223" s="3" t="s">
        <v>68</v>
      </c>
      <c r="E7223" s="3" t="s">
        <v>100</v>
      </c>
      <c r="F7223" s="3" t="s">
        <v>2032</v>
      </c>
      <c r="G7223" s="7">
        <v>46264.72350677542</v>
      </c>
    </row>
    <row r="7224">
      <c r="A7224" s="3" t="s">
        <v>21796</v>
      </c>
      <c r="B7224" s="3" t="s">
        <v>961</v>
      </c>
      <c r="C7224" s="3" t="s">
        <v>1342</v>
      </c>
      <c r="D7224" s="3" t="s">
        <v>195</v>
      </c>
      <c r="E7224" s="3" t="s">
        <v>45</v>
      </c>
      <c r="F7224" s="3" t="s">
        <v>1701</v>
      </c>
      <c r="G7224" s="7">
        <v>46264.794681620835</v>
      </c>
    </row>
    <row r="7225">
      <c r="A7225" s="3" t="s">
        <v>21798</v>
      </c>
      <c r="B7225" s="3" t="s">
        <v>587</v>
      </c>
      <c r="C7225" s="3" t="s">
        <v>1342</v>
      </c>
      <c r="D7225" s="3" t="s">
        <v>68</v>
      </c>
      <c r="E7225" s="3" t="s">
        <v>100</v>
      </c>
      <c r="F7225" s="3" t="s">
        <v>1448</v>
      </c>
      <c r="G7225" s="7">
        <v>46264.865856466255</v>
      </c>
    </row>
    <row r="7226">
      <c r="A7226" s="3" t="s">
        <v>21800</v>
      </c>
      <c r="B7226" s="3" t="s">
        <v>530</v>
      </c>
      <c r="C7226" s="3" t="s">
        <v>56</v>
      </c>
      <c r="D7226" s="3" t="s">
        <v>68</v>
      </c>
      <c r="E7226" s="3" t="s">
        <v>100</v>
      </c>
      <c r="F7226" s="3" t="s">
        <v>1897</v>
      </c>
      <c r="G7226" s="7">
        <v>46264.93703131167</v>
      </c>
    </row>
    <row r="7227">
      <c r="A7227" s="3" t="s">
        <v>21802</v>
      </c>
      <c r="B7227" s="3" t="s">
        <v>735</v>
      </c>
      <c r="C7227" s="3" t="s">
        <v>1095</v>
      </c>
      <c r="D7227" s="3" t="s">
        <v>68</v>
      </c>
      <c r="E7227" s="3" t="s">
        <v>100</v>
      </c>
      <c r="F7227" s="3" t="s">
        <v>1715</v>
      </c>
      <c r="G7227" s="7">
        <v>46265.00820615708</v>
      </c>
    </row>
    <row r="7228">
      <c r="A7228" s="3" t="s">
        <v>21806</v>
      </c>
      <c r="B7228" s="3" t="s">
        <v>676</v>
      </c>
      <c r="C7228" s="3" t="s">
        <v>1342</v>
      </c>
      <c r="D7228" s="3" t="s">
        <v>181</v>
      </c>
      <c r="E7228" s="3" t="s">
        <v>45</v>
      </c>
      <c r="F7228" s="3" t="s">
        <v>1795</v>
      </c>
      <c r="G7228" s="7">
        <v>46265.0793810025</v>
      </c>
    </row>
    <row r="7229">
      <c r="A7229" s="3" t="s">
        <v>21809</v>
      </c>
      <c r="B7229" s="3" t="s">
        <v>631</v>
      </c>
      <c r="C7229" s="3" t="s">
        <v>1342</v>
      </c>
      <c r="D7229" s="3" t="s">
        <v>68</v>
      </c>
      <c r="E7229" s="3" t="s">
        <v>100</v>
      </c>
      <c r="F7229" s="3" t="s">
        <v>1621</v>
      </c>
      <c r="G7229" s="7">
        <v>46265.15055584791</v>
      </c>
    </row>
    <row r="7230">
      <c r="A7230" s="3" t="s">
        <v>21812</v>
      </c>
      <c r="B7230" s="3" t="s">
        <v>629</v>
      </c>
      <c r="C7230" s="3" t="s">
        <v>1342</v>
      </c>
      <c r="D7230" s="3" t="s">
        <v>68</v>
      </c>
      <c r="E7230" s="3" t="s">
        <v>100</v>
      </c>
      <c r="F7230" s="3" t="s">
        <v>1850</v>
      </c>
      <c r="G7230" s="7">
        <v>46265.22173069332</v>
      </c>
    </row>
    <row r="7231">
      <c r="A7231" s="3" t="s">
        <v>21816</v>
      </c>
      <c r="B7231" s="3" t="s">
        <v>900</v>
      </c>
      <c r="C7231" s="3" t="s">
        <v>1095</v>
      </c>
      <c r="D7231" s="3" t="s">
        <v>68</v>
      </c>
      <c r="E7231" s="3" t="s">
        <v>100</v>
      </c>
      <c r="F7231" s="3" t="s">
        <v>1855</v>
      </c>
      <c r="G7231" s="7">
        <v>46265.29290553874</v>
      </c>
    </row>
    <row r="7232">
      <c r="A7232" s="3" t="s">
        <v>21819</v>
      </c>
      <c r="B7232" s="3" t="s">
        <v>168</v>
      </c>
      <c r="C7232" s="3" t="s">
        <v>1095</v>
      </c>
      <c r="D7232" s="3" t="s">
        <v>68</v>
      </c>
      <c r="E7232" s="3" t="s">
        <v>100</v>
      </c>
      <c r="F7232" s="3" t="s">
        <v>1636</v>
      </c>
      <c r="G7232" s="7">
        <v>46265.36408038416</v>
      </c>
    </row>
    <row r="7233">
      <c r="A7233" s="3" t="s">
        <v>21822</v>
      </c>
      <c r="B7233" s="3" t="s">
        <v>137</v>
      </c>
      <c r="C7233" s="3" t="s">
        <v>1342</v>
      </c>
      <c r="D7233" s="3" t="s">
        <v>68</v>
      </c>
      <c r="E7233" s="3" t="s">
        <v>100</v>
      </c>
      <c r="F7233" s="3" t="s">
        <v>829</v>
      </c>
      <c r="G7233" s="7">
        <v>46265.43525522957</v>
      </c>
    </row>
    <row r="7234">
      <c r="A7234" s="3" t="s">
        <v>21824</v>
      </c>
      <c r="B7234" s="3" t="s">
        <v>916</v>
      </c>
      <c r="C7234" s="3" t="s">
        <v>1095</v>
      </c>
      <c r="D7234" s="3" t="s">
        <v>68</v>
      </c>
      <c r="E7234" s="3" t="s">
        <v>100</v>
      </c>
      <c r="F7234" s="3" t="s">
        <v>1182</v>
      </c>
      <c r="G7234" s="7">
        <v>46265.50643007499</v>
      </c>
    </row>
    <row r="7235">
      <c r="A7235" s="3" t="s">
        <v>21826</v>
      </c>
      <c r="B7235" s="3" t="s">
        <v>886</v>
      </c>
      <c r="C7235" s="3" t="s">
        <v>1342</v>
      </c>
      <c r="D7235" s="3" t="s">
        <v>68</v>
      </c>
      <c r="E7235" s="3" t="s">
        <v>100</v>
      </c>
      <c r="F7235" s="3" t="s">
        <v>1726</v>
      </c>
      <c r="G7235" s="7">
        <v>46265.57760492041</v>
      </c>
    </row>
    <row r="7236">
      <c r="A7236" s="3" t="s">
        <v>21828</v>
      </c>
      <c r="B7236" s="3" t="s">
        <v>322</v>
      </c>
      <c r="C7236" s="3" t="s">
        <v>1342</v>
      </c>
      <c r="D7236" s="3" t="s">
        <v>68</v>
      </c>
      <c r="E7236" s="3" t="s">
        <v>100</v>
      </c>
      <c r="F7236" s="3" t="s">
        <v>1772</v>
      </c>
      <c r="G7236" s="7">
        <v>46265.64877976582</v>
      </c>
    </row>
    <row r="7237">
      <c r="A7237" s="3" t="s">
        <v>21830</v>
      </c>
      <c r="B7237" s="3" t="s">
        <v>130</v>
      </c>
      <c r="C7237" s="3" t="s">
        <v>1095</v>
      </c>
      <c r="D7237" s="3" t="s">
        <v>68</v>
      </c>
      <c r="E7237" s="3" t="s">
        <v>100</v>
      </c>
      <c r="F7237" s="3" t="s">
        <v>1416</v>
      </c>
      <c r="G7237" s="7">
        <v>46265.71995461123</v>
      </c>
    </row>
    <row r="7238">
      <c r="A7238" s="3" t="s">
        <v>21832</v>
      </c>
      <c r="B7238" s="3" t="s">
        <v>781</v>
      </c>
      <c r="C7238" s="3" t="s">
        <v>56</v>
      </c>
      <c r="D7238" s="3" t="s">
        <v>68</v>
      </c>
      <c r="E7238" s="3" t="s">
        <v>100</v>
      </c>
      <c r="F7238" s="3" t="s">
        <v>1899</v>
      </c>
      <c r="G7238" s="7">
        <v>46265.79112945665</v>
      </c>
    </row>
    <row r="7239">
      <c r="A7239" s="3" t="s">
        <v>21835</v>
      </c>
      <c r="B7239" s="3" t="s">
        <v>805</v>
      </c>
      <c r="C7239" s="3" t="s">
        <v>56</v>
      </c>
      <c r="D7239" s="3" t="s">
        <v>68</v>
      </c>
      <c r="E7239" s="3" t="s">
        <v>100</v>
      </c>
      <c r="F7239" s="3" t="s">
        <v>1901</v>
      </c>
      <c r="G7239" s="7">
        <v>46265.86230430206</v>
      </c>
    </row>
    <row r="7240">
      <c r="A7240" s="3" t="s">
        <v>21837</v>
      </c>
      <c r="B7240" s="3" t="s">
        <v>498</v>
      </c>
      <c r="C7240" s="3" t="s">
        <v>1095</v>
      </c>
      <c r="D7240" s="3" t="s">
        <v>68</v>
      </c>
      <c r="E7240" s="3" t="s">
        <v>100</v>
      </c>
      <c r="F7240" s="3" t="s">
        <v>1566</v>
      </c>
      <c r="G7240" s="7">
        <v>46265.933479147476</v>
      </c>
    </row>
    <row r="7241">
      <c r="A7241" s="3" t="s">
        <v>21839</v>
      </c>
      <c r="B7241" s="3" t="s">
        <v>250</v>
      </c>
      <c r="C7241" s="3" t="s">
        <v>1342</v>
      </c>
      <c r="D7241" s="3" t="s">
        <v>68</v>
      </c>
      <c r="E7241" s="3" t="s">
        <v>100</v>
      </c>
      <c r="F7241" s="3" t="s">
        <v>1808</v>
      </c>
      <c r="G7241" s="7">
        <v>46266.004653992895</v>
      </c>
    </row>
    <row r="7242">
      <c r="A7242" s="3" t="s">
        <v>21842</v>
      </c>
      <c r="B7242" s="3" t="s">
        <v>662</v>
      </c>
      <c r="C7242" s="3" t="s">
        <v>56</v>
      </c>
      <c r="D7242" s="3" t="s">
        <v>68</v>
      </c>
      <c r="E7242" s="3" t="s">
        <v>100</v>
      </c>
      <c r="F7242" s="3" t="s">
        <v>1903</v>
      </c>
      <c r="G7242" s="7">
        <v>46266.07582883831</v>
      </c>
    </row>
    <row r="7243">
      <c r="A7243" s="3" t="s">
        <v>21845</v>
      </c>
      <c r="B7243" s="3" t="s">
        <v>763</v>
      </c>
      <c r="C7243" s="3" t="s">
        <v>1095</v>
      </c>
      <c r="D7243" s="3" t="s">
        <v>68</v>
      </c>
      <c r="E7243" s="3" t="s">
        <v>100</v>
      </c>
      <c r="F7243" s="3" t="s">
        <v>1611</v>
      </c>
      <c r="G7243" s="7">
        <v>46266.14700368372</v>
      </c>
    </row>
    <row r="7244">
      <c r="A7244" s="3" t="s">
        <v>21848</v>
      </c>
      <c r="B7244" s="3" t="s">
        <v>186</v>
      </c>
      <c r="C7244" s="3" t="s">
        <v>1095</v>
      </c>
      <c r="D7244" s="3" t="s">
        <v>68</v>
      </c>
      <c r="E7244" s="3" t="s">
        <v>100</v>
      </c>
      <c r="F7244" s="3" t="s">
        <v>1797</v>
      </c>
      <c r="G7244" s="7">
        <v>46266.21817852914</v>
      </c>
    </row>
    <row r="7245">
      <c r="A7245" s="3" t="s">
        <v>21851</v>
      </c>
      <c r="B7245" s="3" t="s">
        <v>126</v>
      </c>
      <c r="C7245" s="3" t="s">
        <v>56</v>
      </c>
      <c r="D7245" s="3" t="s">
        <v>181</v>
      </c>
      <c r="E7245" s="3" t="s">
        <v>45</v>
      </c>
      <c r="F7245" s="3" t="s">
        <v>45</v>
      </c>
      <c r="G7245" s="7">
        <v>46266.28935337455</v>
      </c>
    </row>
    <row r="7246">
      <c r="A7246" s="3" t="s">
        <v>21854</v>
      </c>
      <c r="B7246" s="3" t="s">
        <v>926</v>
      </c>
      <c r="C7246" s="3" t="s">
        <v>1095</v>
      </c>
      <c r="D7246" s="3" t="s">
        <v>68</v>
      </c>
      <c r="E7246" s="3" t="s">
        <v>100</v>
      </c>
      <c r="F7246" s="3" t="s">
        <v>1086</v>
      </c>
      <c r="G7246" s="7">
        <v>46266.360528219964</v>
      </c>
    </row>
    <row r="7247">
      <c r="A7247" s="3" t="s">
        <v>21856</v>
      </c>
      <c r="B7247" s="3" t="s">
        <v>233</v>
      </c>
      <c r="C7247" s="3" t="s">
        <v>1095</v>
      </c>
      <c r="D7247" s="3" t="s">
        <v>181</v>
      </c>
      <c r="E7247" s="3" t="s">
        <v>45</v>
      </c>
      <c r="F7247" s="3" t="s">
        <v>1234</v>
      </c>
      <c r="G7247" s="7">
        <v>46266.431703065384</v>
      </c>
    </row>
    <row r="7248">
      <c r="A7248" s="3" t="s">
        <v>21859</v>
      </c>
      <c r="B7248" s="3" t="s">
        <v>260</v>
      </c>
      <c r="C7248" s="3" t="s">
        <v>1095</v>
      </c>
      <c r="D7248" s="3" t="s">
        <v>68</v>
      </c>
      <c r="E7248" s="3" t="s">
        <v>100</v>
      </c>
      <c r="F7248" s="3" t="s">
        <v>1724</v>
      </c>
      <c r="G7248" s="7">
        <v>46266.5028779108</v>
      </c>
    </row>
    <row r="7249">
      <c r="A7249" s="3" t="s">
        <v>21861</v>
      </c>
      <c r="B7249" s="3" t="s">
        <v>424</v>
      </c>
      <c r="C7249" s="3" t="s">
        <v>1342</v>
      </c>
      <c r="D7249" s="3" t="s">
        <v>68</v>
      </c>
      <c r="E7249" s="3" t="s">
        <v>100</v>
      </c>
      <c r="F7249" s="3" t="s">
        <v>1846</v>
      </c>
      <c r="G7249" s="7">
        <v>46266.574052756216</v>
      </c>
    </row>
    <row r="7250">
      <c r="A7250" s="3" t="s">
        <v>21864</v>
      </c>
      <c r="B7250" s="3" t="s">
        <v>848</v>
      </c>
      <c r="C7250" s="3" t="s">
        <v>56</v>
      </c>
      <c r="D7250" s="3" t="s">
        <v>68</v>
      </c>
      <c r="E7250" s="3" t="s">
        <v>100</v>
      </c>
      <c r="F7250" s="3" t="s">
        <v>1906</v>
      </c>
      <c r="G7250" s="7">
        <v>46266.64522760163</v>
      </c>
    </row>
    <row r="7251">
      <c r="A7251" s="3" t="s">
        <v>21867</v>
      </c>
      <c r="B7251" s="3" t="s">
        <v>1034</v>
      </c>
      <c r="C7251" s="3" t="s">
        <v>1095</v>
      </c>
      <c r="D7251" s="3" t="s">
        <v>68</v>
      </c>
      <c r="E7251" s="3" t="s">
        <v>100</v>
      </c>
      <c r="F7251" s="3" t="s">
        <v>950</v>
      </c>
      <c r="G7251" s="7">
        <v>46266.71640244705</v>
      </c>
    </row>
    <row r="7252">
      <c r="A7252" s="3" t="s">
        <v>21870</v>
      </c>
      <c r="B7252" s="3" t="s">
        <v>256</v>
      </c>
      <c r="C7252" s="3" t="s">
        <v>1342</v>
      </c>
      <c r="D7252" s="3" t="s">
        <v>68</v>
      </c>
      <c r="E7252" s="3" t="s">
        <v>100</v>
      </c>
      <c r="F7252" s="3" t="s">
        <v>1506</v>
      </c>
      <c r="G7252" s="7">
        <v>46266.78757729246</v>
      </c>
    </row>
    <row r="7253">
      <c r="A7253" s="3" t="s">
        <v>21873</v>
      </c>
      <c r="B7253" s="3" t="s">
        <v>593</v>
      </c>
      <c r="C7253" s="3" t="s">
        <v>56</v>
      </c>
      <c r="D7253" s="3" t="s">
        <v>68</v>
      </c>
      <c r="E7253" s="3" t="s">
        <v>100</v>
      </c>
      <c r="F7253" s="3" t="s">
        <v>1907</v>
      </c>
      <c r="G7253" s="7">
        <v>46266.85875213787</v>
      </c>
    </row>
    <row r="7254">
      <c r="A7254" s="3" t="s">
        <v>21878</v>
      </c>
      <c r="B7254" s="3" t="s">
        <v>440</v>
      </c>
      <c r="C7254" s="3" t="s">
        <v>1095</v>
      </c>
      <c r="D7254" s="3" t="s">
        <v>68</v>
      </c>
      <c r="E7254" s="3" t="s">
        <v>100</v>
      </c>
      <c r="F7254" s="3" t="s">
        <v>1270</v>
      </c>
      <c r="G7254" s="7">
        <v>46266.92992698329</v>
      </c>
    </row>
    <row r="7255">
      <c r="A7255" s="3" t="s">
        <v>21881</v>
      </c>
      <c r="B7255" s="3" t="s">
        <v>1049</v>
      </c>
      <c r="C7255" s="3" t="s">
        <v>1095</v>
      </c>
      <c r="D7255" s="3" t="s">
        <v>68</v>
      </c>
      <c r="E7255" s="3" t="s">
        <v>100</v>
      </c>
      <c r="F7255" s="3" t="s">
        <v>1469</v>
      </c>
      <c r="G7255" s="7">
        <v>46267.001101828704</v>
      </c>
    </row>
    <row r="7256">
      <c r="A7256" s="3" t="s">
        <v>21884</v>
      </c>
      <c r="B7256" s="3" t="s">
        <v>947</v>
      </c>
      <c r="C7256" s="3" t="s">
        <v>56</v>
      </c>
      <c r="D7256" s="3" t="s">
        <v>181</v>
      </c>
      <c r="E7256" s="3" t="s">
        <v>45</v>
      </c>
      <c r="F7256" s="3" t="s">
        <v>45</v>
      </c>
      <c r="G7256" s="7">
        <v>46267.07227667412</v>
      </c>
    </row>
    <row r="7257">
      <c r="A7257" s="3" t="s">
        <v>21886</v>
      </c>
      <c r="B7257" s="3" t="s">
        <v>845</v>
      </c>
      <c r="C7257" s="3" t="s">
        <v>56</v>
      </c>
      <c r="D7257" s="3" t="s">
        <v>68</v>
      </c>
      <c r="E7257" s="3" t="s">
        <v>100</v>
      </c>
      <c r="F7257" s="3" t="s">
        <v>1910</v>
      </c>
      <c r="G7257" s="7">
        <v>46267.143451519536</v>
      </c>
    </row>
    <row r="7258">
      <c r="A7258" s="3" t="s">
        <v>21889</v>
      </c>
      <c r="B7258" s="3" t="s">
        <v>322</v>
      </c>
      <c r="C7258" s="3" t="s">
        <v>1342</v>
      </c>
      <c r="D7258" s="3" t="s">
        <v>68</v>
      </c>
      <c r="E7258" s="3" t="s">
        <v>100</v>
      </c>
      <c r="F7258" s="3" t="s">
        <v>1772</v>
      </c>
      <c r="G7258" s="7">
        <v>46267.21462636495</v>
      </c>
    </row>
    <row r="7259">
      <c r="A7259" s="3" t="s">
        <v>21892</v>
      </c>
      <c r="B7259" s="3" t="s">
        <v>296</v>
      </c>
      <c r="C7259" s="3" t="s">
        <v>1342</v>
      </c>
      <c r="D7259" s="3" t="s">
        <v>68</v>
      </c>
      <c r="E7259" s="3" t="s">
        <v>100</v>
      </c>
      <c r="F7259" s="3" t="s">
        <v>1747</v>
      </c>
      <c r="G7259" s="7">
        <v>46267.28580121036</v>
      </c>
    </row>
    <row r="7260">
      <c r="A7260" s="3" t="s">
        <v>21894</v>
      </c>
      <c r="B7260" s="3" t="s">
        <v>313</v>
      </c>
      <c r="C7260" s="3" t="s">
        <v>1342</v>
      </c>
      <c r="D7260" s="3" t="s">
        <v>68</v>
      </c>
      <c r="E7260" s="3" t="s">
        <v>100</v>
      </c>
      <c r="F7260" s="3" t="s">
        <v>823</v>
      </c>
      <c r="G7260" s="7">
        <v>46267.35697605578</v>
      </c>
    </row>
    <row r="7261">
      <c r="A7261" s="3" t="s">
        <v>21896</v>
      </c>
      <c r="B7261" s="3" t="s">
        <v>485</v>
      </c>
      <c r="C7261" s="3" t="s">
        <v>1342</v>
      </c>
      <c r="D7261" s="3" t="s">
        <v>68</v>
      </c>
      <c r="E7261" s="3" t="s">
        <v>100</v>
      </c>
      <c r="F7261" s="3" t="s">
        <v>1076</v>
      </c>
      <c r="G7261" s="7">
        <v>46267.4281509012</v>
      </c>
    </row>
    <row r="7262">
      <c r="A7262" s="3" t="s">
        <v>21899</v>
      </c>
      <c r="B7262" s="3" t="s">
        <v>593</v>
      </c>
      <c r="C7262" s="3" t="s">
        <v>1095</v>
      </c>
      <c r="D7262" s="3" t="s">
        <v>68</v>
      </c>
      <c r="E7262" s="3" t="s">
        <v>100</v>
      </c>
      <c r="F7262" s="3" t="s">
        <v>1907</v>
      </c>
      <c r="G7262" s="7">
        <v>46267.499325746605</v>
      </c>
    </row>
    <row r="7263">
      <c r="A7263" s="3" t="s">
        <v>21902</v>
      </c>
      <c r="B7263" s="3" t="s">
        <v>655</v>
      </c>
      <c r="C7263" s="3" t="s">
        <v>1342</v>
      </c>
      <c r="D7263" s="3" t="s">
        <v>68</v>
      </c>
      <c r="E7263" s="3" t="s">
        <v>100</v>
      </c>
      <c r="F7263" s="3" t="s">
        <v>1800</v>
      </c>
      <c r="G7263" s="7">
        <v>46267.570500592024</v>
      </c>
    </row>
    <row r="7264">
      <c r="A7264" s="3" t="s">
        <v>21905</v>
      </c>
      <c r="B7264" s="3" t="s">
        <v>657</v>
      </c>
      <c r="C7264" s="3" t="s">
        <v>1342</v>
      </c>
      <c r="D7264" s="3" t="s">
        <v>68</v>
      </c>
      <c r="E7264" s="3" t="s">
        <v>100</v>
      </c>
      <c r="F7264" s="3" t="s">
        <v>1833</v>
      </c>
      <c r="G7264" s="7">
        <v>46267.641675437444</v>
      </c>
    </row>
    <row r="7265">
      <c r="A7265" s="3" t="s">
        <v>21908</v>
      </c>
      <c r="B7265" s="3" t="s">
        <v>789</v>
      </c>
      <c r="C7265" s="3" t="s">
        <v>56</v>
      </c>
      <c r="D7265" s="3" t="s">
        <v>68</v>
      </c>
      <c r="E7265" s="3" t="s">
        <v>100</v>
      </c>
      <c r="F7265" s="3" t="s">
        <v>1911</v>
      </c>
      <c r="G7265" s="7">
        <v>46267.71285028286</v>
      </c>
    </row>
    <row r="7266">
      <c r="A7266" s="3" t="s">
        <v>21911</v>
      </c>
      <c r="B7266" s="3" t="s">
        <v>1034</v>
      </c>
      <c r="C7266" s="3" t="s">
        <v>56</v>
      </c>
      <c r="D7266" s="3" t="s">
        <v>195</v>
      </c>
      <c r="E7266" s="3" t="s">
        <v>45</v>
      </c>
      <c r="F7266" s="3" t="s">
        <v>45</v>
      </c>
      <c r="G7266" s="7">
        <v>46267.78402512827</v>
      </c>
    </row>
    <row r="7267">
      <c r="A7267" s="3" t="s">
        <v>21913</v>
      </c>
      <c r="B7267" s="3" t="s">
        <v>600</v>
      </c>
      <c r="C7267" s="3" t="s">
        <v>1342</v>
      </c>
      <c r="D7267" s="3" t="s">
        <v>68</v>
      </c>
      <c r="E7267" s="3" t="s">
        <v>100</v>
      </c>
      <c r="F7267" s="3" t="s">
        <v>1768</v>
      </c>
      <c r="G7267" s="7">
        <v>46267.85519997369</v>
      </c>
    </row>
    <row r="7268">
      <c r="A7268" s="3" t="s">
        <v>21915</v>
      </c>
      <c r="B7268" s="3" t="s">
        <v>507</v>
      </c>
      <c r="C7268" s="3" t="s">
        <v>56</v>
      </c>
      <c r="D7268" s="3" t="s">
        <v>68</v>
      </c>
      <c r="E7268" s="3" t="s">
        <v>100</v>
      </c>
      <c r="F7268" s="3" t="s">
        <v>1914</v>
      </c>
      <c r="G7268" s="7">
        <v>46267.9263748191</v>
      </c>
    </row>
    <row r="7269">
      <c r="A7269" s="3" t="s">
        <v>21917</v>
      </c>
      <c r="B7269" s="3" t="s">
        <v>640</v>
      </c>
      <c r="C7269" s="3" t="s">
        <v>1342</v>
      </c>
      <c r="D7269" s="3" t="s">
        <v>68</v>
      </c>
      <c r="E7269" s="3" t="s">
        <v>100</v>
      </c>
      <c r="F7269" s="3" t="s">
        <v>1882</v>
      </c>
      <c r="G7269" s="7">
        <v>46267.99754966451</v>
      </c>
    </row>
    <row r="7270">
      <c r="A7270" s="3" t="s">
        <v>21919</v>
      </c>
      <c r="B7270" s="3" t="s">
        <v>527</v>
      </c>
      <c r="C7270" s="3" t="s">
        <v>1342</v>
      </c>
      <c r="D7270" s="3" t="s">
        <v>68</v>
      </c>
      <c r="E7270" s="3" t="s">
        <v>100</v>
      </c>
      <c r="F7270" s="3" t="s">
        <v>2099</v>
      </c>
      <c r="G7270" s="7">
        <v>46268.06872450993</v>
      </c>
    </row>
    <row r="7271">
      <c r="A7271" s="3" t="s">
        <v>21921</v>
      </c>
      <c r="B7271" s="3" t="s">
        <v>369</v>
      </c>
      <c r="C7271" s="3" t="s">
        <v>1095</v>
      </c>
      <c r="D7271" s="3" t="s">
        <v>68</v>
      </c>
      <c r="E7271" s="3" t="s">
        <v>100</v>
      </c>
      <c r="F7271" s="3" t="s">
        <v>1501</v>
      </c>
      <c r="G7271" s="7">
        <v>46268.139899355345</v>
      </c>
    </row>
    <row r="7272">
      <c r="A7272" s="3" t="s">
        <v>21923</v>
      </c>
      <c r="B7272" s="3" t="s">
        <v>359</v>
      </c>
      <c r="C7272" s="3" t="s">
        <v>1095</v>
      </c>
      <c r="D7272" s="3" t="s">
        <v>68</v>
      </c>
      <c r="E7272" s="3" t="s">
        <v>100</v>
      </c>
      <c r="F7272" s="3" t="s">
        <v>1679</v>
      </c>
      <c r="G7272" s="7">
        <v>46268.21107420076</v>
      </c>
    </row>
    <row r="7273">
      <c r="A7273" s="3" t="s">
        <v>21925</v>
      </c>
      <c r="B7273" s="3" t="s">
        <v>253</v>
      </c>
      <c r="C7273" s="3" t="s">
        <v>1342</v>
      </c>
      <c r="D7273" s="3" t="s">
        <v>68</v>
      </c>
      <c r="E7273" s="3" t="s">
        <v>100</v>
      </c>
      <c r="F7273" s="3" t="s">
        <v>1735</v>
      </c>
      <c r="G7273" s="7">
        <v>46268.28224904618</v>
      </c>
    </row>
    <row r="7274">
      <c r="A7274" s="3" t="s">
        <v>21927</v>
      </c>
      <c r="B7274" s="3" t="s">
        <v>202</v>
      </c>
      <c r="C7274" s="3" t="s">
        <v>56</v>
      </c>
      <c r="D7274" s="3" t="s">
        <v>68</v>
      </c>
      <c r="E7274" s="3" t="s">
        <v>100</v>
      </c>
      <c r="F7274" s="3" t="s">
        <v>1916</v>
      </c>
      <c r="G7274" s="7">
        <v>46268.35342389159</v>
      </c>
    </row>
    <row r="7275">
      <c r="A7275" s="3" t="s">
        <v>21929</v>
      </c>
      <c r="B7275" s="3" t="s">
        <v>758</v>
      </c>
      <c r="C7275" s="3" t="s">
        <v>56</v>
      </c>
      <c r="D7275" s="3" t="s">
        <v>195</v>
      </c>
      <c r="E7275" s="3" t="s">
        <v>45</v>
      </c>
      <c r="F7275" s="3" t="s">
        <v>45</v>
      </c>
      <c r="G7275" s="7">
        <v>46268.424598737</v>
      </c>
    </row>
    <row r="7276">
      <c r="A7276" s="3" t="s">
        <v>21931</v>
      </c>
      <c r="B7276" s="3" t="s">
        <v>713</v>
      </c>
      <c r="C7276" s="3" t="s">
        <v>56</v>
      </c>
      <c r="D7276" s="3" t="s">
        <v>68</v>
      </c>
      <c r="E7276" s="3" t="s">
        <v>100</v>
      </c>
      <c r="F7276" s="3" t="s">
        <v>1918</v>
      </c>
      <c r="G7276" s="7">
        <v>46268.49577358242</v>
      </c>
    </row>
    <row r="7277">
      <c r="A7277" s="3" t="s">
        <v>21933</v>
      </c>
      <c r="B7277" s="3" t="s">
        <v>581</v>
      </c>
      <c r="C7277" s="3" t="s">
        <v>1342</v>
      </c>
      <c r="D7277" s="3" t="s">
        <v>68</v>
      </c>
      <c r="E7277" s="3" t="s">
        <v>100</v>
      </c>
      <c r="F7277" s="3" t="s">
        <v>1564</v>
      </c>
      <c r="G7277" s="7">
        <v>46268.56694842784</v>
      </c>
    </row>
    <row r="7278">
      <c r="A7278" s="3" t="s">
        <v>21934</v>
      </c>
      <c r="B7278" s="3" t="s">
        <v>949</v>
      </c>
      <c r="C7278" s="3" t="s">
        <v>56</v>
      </c>
      <c r="D7278" s="3" t="s">
        <v>68</v>
      </c>
      <c r="E7278" s="3" t="s">
        <v>100</v>
      </c>
      <c r="F7278" s="3" t="s">
        <v>1921</v>
      </c>
      <c r="G7278" s="7">
        <v>46268.638123273246</v>
      </c>
    </row>
    <row r="7279">
      <c r="A7279" s="3" t="s">
        <v>21936</v>
      </c>
      <c r="B7279" s="3" t="s">
        <v>652</v>
      </c>
      <c r="C7279" s="3" t="s">
        <v>1095</v>
      </c>
      <c r="D7279" s="3" t="s">
        <v>181</v>
      </c>
      <c r="E7279" s="3" t="s">
        <v>45</v>
      </c>
      <c r="F7279" s="3" t="s">
        <v>1403</v>
      </c>
      <c r="G7279" s="7">
        <v>46268.709298118665</v>
      </c>
    </row>
    <row r="7280">
      <c r="A7280" s="3" t="s">
        <v>21939</v>
      </c>
      <c r="B7280" s="3" t="s">
        <v>515</v>
      </c>
      <c r="C7280" s="3" t="s">
        <v>1095</v>
      </c>
      <c r="D7280" s="3" t="s">
        <v>195</v>
      </c>
      <c r="E7280" s="3" t="s">
        <v>45</v>
      </c>
      <c r="F7280" s="3" t="s">
        <v>1656</v>
      </c>
      <c r="G7280" s="7">
        <v>46268.780472964085</v>
      </c>
    </row>
    <row r="7281">
      <c r="A7281" s="3" t="s">
        <v>21944</v>
      </c>
      <c r="B7281" s="3" t="s">
        <v>455</v>
      </c>
      <c r="C7281" s="3" t="s">
        <v>56</v>
      </c>
      <c r="D7281" s="3" t="s">
        <v>68</v>
      </c>
      <c r="E7281" s="3" t="s">
        <v>100</v>
      </c>
      <c r="F7281" s="3" t="s">
        <v>1923</v>
      </c>
      <c r="G7281" s="7">
        <v>46268.8516478095</v>
      </c>
    </row>
    <row r="7282">
      <c r="A7282" s="3" t="s">
        <v>21947</v>
      </c>
      <c r="B7282" s="3" t="s">
        <v>579</v>
      </c>
      <c r="C7282" s="3" t="s">
        <v>1342</v>
      </c>
      <c r="D7282" s="3" t="s">
        <v>68</v>
      </c>
      <c r="E7282" s="3" t="s">
        <v>100</v>
      </c>
      <c r="F7282" s="3" t="s">
        <v>1117</v>
      </c>
      <c r="G7282" s="7">
        <v>46268.92282265491</v>
      </c>
    </row>
    <row r="7283">
      <c r="A7283" s="3" t="s">
        <v>21950</v>
      </c>
      <c r="B7283" s="3" t="s">
        <v>1030</v>
      </c>
      <c r="C7283" s="3" t="s">
        <v>56</v>
      </c>
      <c r="D7283" s="3" t="s">
        <v>181</v>
      </c>
      <c r="E7283" s="3" t="s">
        <v>45</v>
      </c>
      <c r="F7283" s="3" t="s">
        <v>45</v>
      </c>
      <c r="G7283" s="7">
        <v>46268.99399750033</v>
      </c>
    </row>
    <row r="7284">
      <c r="A7284" s="3" t="s">
        <v>21953</v>
      </c>
      <c r="B7284" s="3" t="s">
        <v>922</v>
      </c>
      <c r="C7284" s="3" t="s">
        <v>1342</v>
      </c>
      <c r="D7284" s="3" t="s">
        <v>68</v>
      </c>
      <c r="E7284" s="3" t="s">
        <v>100</v>
      </c>
      <c r="F7284" s="3" t="s">
        <v>1609</v>
      </c>
      <c r="G7284" s="7">
        <v>46269.06517234574</v>
      </c>
    </row>
    <row r="7285">
      <c r="A7285" s="3" t="s">
        <v>21957</v>
      </c>
      <c r="B7285" s="3" t="s">
        <v>550</v>
      </c>
      <c r="C7285" s="3" t="s">
        <v>56</v>
      </c>
      <c r="D7285" s="3" t="s">
        <v>68</v>
      </c>
      <c r="E7285" s="3" t="s">
        <v>100</v>
      </c>
      <c r="F7285" s="3" t="s">
        <v>1925</v>
      </c>
      <c r="G7285" s="7">
        <v>46269.13634719115</v>
      </c>
    </row>
    <row r="7286">
      <c r="A7286" s="3" t="s">
        <v>21959</v>
      </c>
      <c r="B7286" s="3" t="s">
        <v>496</v>
      </c>
      <c r="C7286" s="3" t="s">
        <v>1342</v>
      </c>
      <c r="D7286" s="3" t="s">
        <v>68</v>
      </c>
      <c r="E7286" s="3" t="s">
        <v>100</v>
      </c>
      <c r="F7286" s="3" t="s">
        <v>1274</v>
      </c>
      <c r="G7286" s="7">
        <v>46269.20752203657</v>
      </c>
    </row>
    <row r="7287">
      <c r="A7287" s="3" t="s">
        <v>21961</v>
      </c>
      <c r="B7287" s="3" t="s">
        <v>877</v>
      </c>
      <c r="C7287" s="3" t="s">
        <v>1342</v>
      </c>
      <c r="D7287" s="3" t="s">
        <v>68</v>
      </c>
      <c r="E7287" s="3" t="s">
        <v>100</v>
      </c>
      <c r="F7287" s="3" t="s">
        <v>1517</v>
      </c>
      <c r="G7287" s="7">
        <v>46269.278696881986</v>
      </c>
    </row>
    <row r="7288">
      <c r="A7288" s="3" t="s">
        <v>21964</v>
      </c>
      <c r="B7288" s="3" t="s">
        <v>501</v>
      </c>
      <c r="C7288" s="3" t="s">
        <v>1095</v>
      </c>
      <c r="D7288" s="3" t="s">
        <v>68</v>
      </c>
      <c r="E7288" s="3" t="s">
        <v>100</v>
      </c>
      <c r="F7288" s="3" t="s">
        <v>1666</v>
      </c>
      <c r="G7288" s="7">
        <v>46269.3498717274</v>
      </c>
    </row>
    <row r="7289">
      <c r="A7289" s="3" t="s">
        <v>21966</v>
      </c>
      <c r="B7289" s="3" t="s">
        <v>141</v>
      </c>
      <c r="C7289" s="3" t="s">
        <v>1342</v>
      </c>
      <c r="D7289" s="3" t="s">
        <v>68</v>
      </c>
      <c r="E7289" s="3" t="s">
        <v>100</v>
      </c>
      <c r="F7289" s="3" t="s">
        <v>1295</v>
      </c>
      <c r="G7289" s="7">
        <v>46269.42104657282</v>
      </c>
    </row>
    <row r="7290">
      <c r="A7290" s="3" t="s">
        <v>21968</v>
      </c>
      <c r="B7290" s="3" t="s">
        <v>793</v>
      </c>
      <c r="C7290" s="3" t="s">
        <v>1095</v>
      </c>
      <c r="D7290" s="3" t="s">
        <v>68</v>
      </c>
      <c r="E7290" s="3" t="s">
        <v>100</v>
      </c>
      <c r="F7290" s="3" t="s">
        <v>1545</v>
      </c>
      <c r="G7290" s="7">
        <v>46269.49222141823</v>
      </c>
    </row>
    <row r="7291">
      <c r="A7291" s="3" t="s">
        <v>21970</v>
      </c>
      <c r="B7291" s="3" t="s">
        <v>900</v>
      </c>
      <c r="C7291" s="3" t="s">
        <v>56</v>
      </c>
      <c r="D7291" s="3" t="s">
        <v>68</v>
      </c>
      <c r="E7291" s="3" t="s">
        <v>100</v>
      </c>
      <c r="F7291" s="3" t="s">
        <v>1927</v>
      </c>
      <c r="G7291" s="7">
        <v>46269.56339626364</v>
      </c>
    </row>
    <row r="7292">
      <c r="A7292" s="3" t="s">
        <v>21973</v>
      </c>
      <c r="B7292" s="3" t="s">
        <v>505</v>
      </c>
      <c r="C7292" s="3" t="s">
        <v>1095</v>
      </c>
      <c r="D7292" s="3" t="s">
        <v>68</v>
      </c>
      <c r="E7292" s="3" t="s">
        <v>100</v>
      </c>
      <c r="F7292" s="3" t="s">
        <v>1793</v>
      </c>
      <c r="G7292" s="7">
        <v>46269.63457110906</v>
      </c>
    </row>
    <row r="7293">
      <c r="A7293" s="3" t="s">
        <v>21976</v>
      </c>
      <c r="B7293" s="3" t="s">
        <v>826</v>
      </c>
      <c r="C7293" s="3" t="s">
        <v>1095</v>
      </c>
      <c r="D7293" s="3" t="s">
        <v>195</v>
      </c>
      <c r="E7293" s="3" t="s">
        <v>45</v>
      </c>
      <c r="F7293" s="3" t="s">
        <v>1521</v>
      </c>
      <c r="G7293" s="7">
        <v>46269.70574595448</v>
      </c>
    </row>
    <row r="7294">
      <c r="A7294" s="3" t="s">
        <v>21980</v>
      </c>
      <c r="B7294" s="3" t="s">
        <v>704</v>
      </c>
      <c r="C7294" s="3" t="s">
        <v>56</v>
      </c>
      <c r="D7294" s="3" t="s">
        <v>195</v>
      </c>
      <c r="E7294" s="3" t="s">
        <v>45</v>
      </c>
      <c r="F7294" s="3" t="s">
        <v>45</v>
      </c>
      <c r="G7294" s="7">
        <v>46269.776920799886</v>
      </c>
    </row>
    <row r="7295">
      <c r="A7295" s="3" t="s">
        <v>21983</v>
      </c>
      <c r="B7295" s="3" t="s">
        <v>369</v>
      </c>
      <c r="C7295" s="3" t="s">
        <v>56</v>
      </c>
      <c r="D7295" s="3" t="s">
        <v>68</v>
      </c>
      <c r="E7295" s="3" t="s">
        <v>100</v>
      </c>
      <c r="F7295" s="3" t="s">
        <v>1929</v>
      </c>
      <c r="G7295" s="7">
        <v>46269.848095645306</v>
      </c>
    </row>
    <row r="7296">
      <c r="A7296" s="3" t="s">
        <v>21986</v>
      </c>
      <c r="B7296" s="3" t="s">
        <v>682</v>
      </c>
      <c r="C7296" s="3" t="s">
        <v>1342</v>
      </c>
      <c r="D7296" s="3" t="s">
        <v>68</v>
      </c>
      <c r="E7296" s="3" t="s">
        <v>100</v>
      </c>
      <c r="F7296" s="3" t="s">
        <v>1300</v>
      </c>
      <c r="G7296" s="7">
        <v>46269.919270490725</v>
      </c>
    </row>
    <row r="7297">
      <c r="A7297" s="3" t="s">
        <v>21989</v>
      </c>
      <c r="B7297" s="3" t="s">
        <v>586</v>
      </c>
      <c r="C7297" s="3" t="s">
        <v>1095</v>
      </c>
      <c r="D7297" s="3" t="s">
        <v>68</v>
      </c>
      <c r="E7297" s="3" t="s">
        <v>100</v>
      </c>
      <c r="F7297" s="3" t="s">
        <v>1753</v>
      </c>
      <c r="G7297" s="7">
        <v>46269.99044533614</v>
      </c>
    </row>
    <row r="7298">
      <c r="A7298" s="3" t="s">
        <v>21992</v>
      </c>
      <c r="B7298" s="3" t="s">
        <v>657</v>
      </c>
      <c r="C7298" s="3" t="s">
        <v>1095</v>
      </c>
      <c r="D7298" s="3" t="s">
        <v>68</v>
      </c>
      <c r="E7298" s="3" t="s">
        <v>100</v>
      </c>
      <c r="F7298" s="3" t="s">
        <v>1833</v>
      </c>
      <c r="G7298" s="7">
        <v>46270.06162018155</v>
      </c>
    </row>
    <row r="7299">
      <c r="A7299" s="3" t="s">
        <v>21994</v>
      </c>
      <c r="B7299" s="3" t="s">
        <v>662</v>
      </c>
      <c r="C7299" s="3" t="s">
        <v>1095</v>
      </c>
      <c r="D7299" s="3" t="s">
        <v>68</v>
      </c>
      <c r="E7299" s="3" t="s">
        <v>100</v>
      </c>
      <c r="F7299" s="3" t="s">
        <v>1903</v>
      </c>
      <c r="G7299" s="7">
        <v>46270.13279502697</v>
      </c>
    </row>
    <row r="7300">
      <c r="A7300" s="3" t="s">
        <v>21996</v>
      </c>
      <c r="B7300" s="3" t="s">
        <v>512</v>
      </c>
      <c r="C7300" s="3" t="s">
        <v>1342</v>
      </c>
      <c r="D7300" s="3" t="s">
        <v>68</v>
      </c>
      <c r="E7300" s="3" t="s">
        <v>100</v>
      </c>
      <c r="F7300" s="3" t="s">
        <v>1869</v>
      </c>
      <c r="G7300" s="7">
        <v>46270.20396987238</v>
      </c>
    </row>
    <row r="7301">
      <c r="A7301" s="3" t="s">
        <v>21999</v>
      </c>
      <c r="B7301" s="3" t="s">
        <v>310</v>
      </c>
      <c r="C7301" s="3" t="s">
        <v>1342</v>
      </c>
      <c r="D7301" s="3" t="s">
        <v>68</v>
      </c>
      <c r="E7301" s="3" t="s">
        <v>100</v>
      </c>
      <c r="F7301" s="3" t="s">
        <v>1864</v>
      </c>
      <c r="G7301" s="7">
        <v>46270.275144717794</v>
      </c>
    </row>
    <row r="7302">
      <c r="A7302" s="3" t="s">
        <v>22001</v>
      </c>
      <c r="B7302" s="3" t="s">
        <v>731</v>
      </c>
      <c r="C7302" s="3" t="s">
        <v>1095</v>
      </c>
      <c r="D7302" s="3" t="s">
        <v>68</v>
      </c>
      <c r="E7302" s="3" t="s">
        <v>100</v>
      </c>
      <c r="F7302" s="3" t="s">
        <v>1837</v>
      </c>
      <c r="G7302" s="7">
        <v>46270.346319563214</v>
      </c>
    </row>
    <row r="7303">
      <c r="A7303" s="3" t="s">
        <v>22004</v>
      </c>
      <c r="B7303" s="3" t="s">
        <v>197</v>
      </c>
      <c r="C7303" s="3" t="s">
        <v>1342</v>
      </c>
      <c r="D7303" s="3" t="s">
        <v>181</v>
      </c>
      <c r="E7303" s="3" t="s">
        <v>45</v>
      </c>
      <c r="F7303" s="3" t="s">
        <v>1667</v>
      </c>
      <c r="G7303" s="7">
        <v>46270.41749440863</v>
      </c>
    </row>
    <row r="7304">
      <c r="A7304" s="3" t="s">
        <v>22006</v>
      </c>
      <c r="B7304" s="3" t="s">
        <v>516</v>
      </c>
      <c r="C7304" s="3" t="s">
        <v>1342</v>
      </c>
      <c r="D7304" s="3" t="s">
        <v>68</v>
      </c>
      <c r="E7304" s="3" t="s">
        <v>100</v>
      </c>
      <c r="F7304" s="3" t="s">
        <v>1718</v>
      </c>
      <c r="G7304" s="7">
        <v>46270.48866925404</v>
      </c>
    </row>
    <row r="7305">
      <c r="A7305" s="3" t="s">
        <v>22009</v>
      </c>
      <c r="B7305" s="3" t="s">
        <v>411</v>
      </c>
      <c r="C7305" s="3" t="s">
        <v>1342</v>
      </c>
      <c r="D7305" s="3" t="s">
        <v>68</v>
      </c>
      <c r="E7305" s="3" t="s">
        <v>100</v>
      </c>
      <c r="F7305" s="3" t="s">
        <v>1119</v>
      </c>
      <c r="G7305" s="7">
        <v>46270.55984409946</v>
      </c>
    </row>
    <row r="7306">
      <c r="A7306" s="3" t="s">
        <v>22012</v>
      </c>
      <c r="B7306" s="3" t="s">
        <v>557</v>
      </c>
      <c r="C7306" s="3" t="s">
        <v>1095</v>
      </c>
      <c r="D7306" s="3" t="s">
        <v>68</v>
      </c>
      <c r="E7306" s="3" t="s">
        <v>100</v>
      </c>
      <c r="F7306" s="3" t="s">
        <v>1483</v>
      </c>
      <c r="G7306" s="7">
        <v>46270.63101894487</v>
      </c>
    </row>
    <row r="7307">
      <c r="A7307" s="3" t="s">
        <v>22014</v>
      </c>
      <c r="B7307" s="3" t="s">
        <v>908</v>
      </c>
      <c r="C7307" s="3" t="s">
        <v>1342</v>
      </c>
      <c r="D7307" s="3" t="s">
        <v>68</v>
      </c>
      <c r="E7307" s="3" t="s">
        <v>100</v>
      </c>
      <c r="F7307" s="3" t="s">
        <v>1535</v>
      </c>
      <c r="G7307" s="7">
        <v>46270.70219379029</v>
      </c>
    </row>
    <row r="7308">
      <c r="A7308" s="3" t="s">
        <v>22017</v>
      </c>
      <c r="B7308" s="3" t="s">
        <v>455</v>
      </c>
      <c r="C7308" s="3" t="s">
        <v>1342</v>
      </c>
      <c r="D7308" s="3" t="s">
        <v>68</v>
      </c>
      <c r="E7308" s="3" t="s">
        <v>100</v>
      </c>
      <c r="F7308" s="3" t="s">
        <v>1923</v>
      </c>
      <c r="G7308" s="7">
        <v>46270.7733686357</v>
      </c>
    </row>
    <row r="7309">
      <c r="A7309" s="3" t="s">
        <v>22019</v>
      </c>
      <c r="B7309" s="3" t="s">
        <v>226</v>
      </c>
      <c r="C7309" s="3" t="s">
        <v>1342</v>
      </c>
      <c r="D7309" s="3" t="s">
        <v>68</v>
      </c>
      <c r="E7309" s="3" t="s">
        <v>100</v>
      </c>
      <c r="F7309" s="3" t="s">
        <v>1214</v>
      </c>
      <c r="G7309" s="7">
        <v>46270.84454348112</v>
      </c>
    </row>
    <row r="7310">
      <c r="A7310" s="3" t="s">
        <v>22021</v>
      </c>
      <c r="B7310" s="3" t="s">
        <v>698</v>
      </c>
      <c r="C7310" s="3" t="s">
        <v>1342</v>
      </c>
      <c r="D7310" s="3" t="s">
        <v>68</v>
      </c>
      <c r="E7310" s="3" t="s">
        <v>100</v>
      </c>
      <c r="F7310" s="3" t="s">
        <v>1307</v>
      </c>
      <c r="G7310" s="7">
        <v>46270.91571832653</v>
      </c>
    </row>
    <row r="7311">
      <c r="A7311" s="3" t="s">
        <v>22023</v>
      </c>
      <c r="B7311" s="3" t="s">
        <v>533</v>
      </c>
      <c r="C7311" s="3" t="s">
        <v>1342</v>
      </c>
      <c r="D7311" s="3" t="s">
        <v>68</v>
      </c>
      <c r="E7311" s="3" t="s">
        <v>100</v>
      </c>
      <c r="F7311" s="3" t="s">
        <v>1887</v>
      </c>
      <c r="G7311" s="7">
        <v>46270.98689317195</v>
      </c>
    </row>
    <row r="7312">
      <c r="A7312" s="3" t="s">
        <v>22026</v>
      </c>
      <c r="B7312" s="3" t="s">
        <v>516</v>
      </c>
      <c r="C7312" s="3" t="s">
        <v>1342</v>
      </c>
      <c r="D7312" s="3" t="s">
        <v>68</v>
      </c>
      <c r="E7312" s="3" t="s">
        <v>100</v>
      </c>
      <c r="F7312" s="3" t="s">
        <v>1718</v>
      </c>
      <c r="G7312" s="7">
        <v>46271.058068017366</v>
      </c>
    </row>
    <row r="7313">
      <c r="A7313" s="3" t="s">
        <v>22028</v>
      </c>
      <c r="B7313" s="3" t="s">
        <v>767</v>
      </c>
      <c r="C7313" s="3" t="s">
        <v>1342</v>
      </c>
      <c r="D7313" s="3" t="s">
        <v>68</v>
      </c>
      <c r="E7313" s="3" t="s">
        <v>100</v>
      </c>
      <c r="F7313" s="3" t="s">
        <v>1581</v>
      </c>
      <c r="G7313" s="7">
        <v>46271.12924286278</v>
      </c>
    </row>
    <row r="7314">
      <c r="A7314" s="3" t="s">
        <v>22030</v>
      </c>
      <c r="B7314" s="3" t="s">
        <v>348</v>
      </c>
      <c r="C7314" s="3" t="s">
        <v>1342</v>
      </c>
      <c r="D7314" s="3" t="s">
        <v>181</v>
      </c>
      <c r="E7314" s="3" t="s">
        <v>45</v>
      </c>
      <c r="F7314" s="3" t="s">
        <v>1647</v>
      </c>
      <c r="G7314" s="7">
        <v>46271.20041770819</v>
      </c>
    </row>
    <row r="7315">
      <c r="A7315" s="3" t="s">
        <v>22031</v>
      </c>
      <c r="B7315" s="3" t="s">
        <v>123</v>
      </c>
      <c r="C7315" s="3" t="s">
        <v>56</v>
      </c>
      <c r="D7315" s="3" t="s">
        <v>68</v>
      </c>
      <c r="E7315" s="3" t="s">
        <v>100</v>
      </c>
      <c r="F7315" s="3" t="s">
        <v>1932</v>
      </c>
      <c r="G7315" s="7">
        <v>46271.27159255361</v>
      </c>
    </row>
    <row r="7316">
      <c r="A7316" s="3" t="s">
        <v>22033</v>
      </c>
      <c r="B7316" s="3" t="s">
        <v>853</v>
      </c>
      <c r="C7316" s="3" t="s">
        <v>1095</v>
      </c>
      <c r="D7316" s="3" t="s">
        <v>68</v>
      </c>
      <c r="E7316" s="3" t="s">
        <v>100</v>
      </c>
      <c r="F7316" s="3" t="s">
        <v>1598</v>
      </c>
      <c r="G7316" s="7">
        <v>46271.34276739902</v>
      </c>
    </row>
    <row r="7317">
      <c r="A7317" s="3" t="s">
        <v>22035</v>
      </c>
      <c r="B7317" s="3" t="s">
        <v>446</v>
      </c>
      <c r="C7317" s="3" t="s">
        <v>1342</v>
      </c>
      <c r="D7317" s="3" t="s">
        <v>68</v>
      </c>
      <c r="E7317" s="3" t="s">
        <v>100</v>
      </c>
      <c r="F7317" s="3" t="s">
        <v>1284</v>
      </c>
      <c r="G7317" s="7">
        <v>46271.413942244435</v>
      </c>
    </row>
    <row r="7318">
      <c r="A7318" s="3" t="s">
        <v>22037</v>
      </c>
      <c r="B7318" s="3" t="s">
        <v>204</v>
      </c>
      <c r="C7318" s="3" t="s">
        <v>1342</v>
      </c>
      <c r="D7318" s="3" t="s">
        <v>68</v>
      </c>
      <c r="E7318" s="3" t="s">
        <v>100</v>
      </c>
      <c r="F7318" s="3" t="s">
        <v>1063</v>
      </c>
      <c r="G7318" s="7">
        <v>46271.485117089855</v>
      </c>
    </row>
    <row r="7319">
      <c r="A7319" s="3" t="s">
        <v>22039</v>
      </c>
      <c r="B7319" s="3" t="s">
        <v>430</v>
      </c>
      <c r="C7319" s="3" t="s">
        <v>56</v>
      </c>
      <c r="D7319" s="3" t="s">
        <v>68</v>
      </c>
      <c r="E7319" s="3" t="s">
        <v>100</v>
      </c>
      <c r="F7319" s="3" t="s">
        <v>1935</v>
      </c>
      <c r="G7319" s="7">
        <v>46271.556291935274</v>
      </c>
    </row>
    <row r="7320">
      <c r="A7320" s="3" t="s">
        <v>22041</v>
      </c>
      <c r="B7320" s="3" t="s">
        <v>366</v>
      </c>
      <c r="C7320" s="3" t="s">
        <v>56</v>
      </c>
      <c r="D7320" s="3" t="s">
        <v>68</v>
      </c>
      <c r="E7320" s="3" t="s">
        <v>100</v>
      </c>
      <c r="F7320" s="3" t="s">
        <v>1937</v>
      </c>
      <c r="G7320" s="7">
        <v>46271.62746678068</v>
      </c>
    </row>
    <row r="7321">
      <c r="A7321" s="3" t="s">
        <v>22043</v>
      </c>
      <c r="B7321" s="3" t="s">
        <v>208</v>
      </c>
      <c r="C7321" s="3" t="s">
        <v>56</v>
      </c>
      <c r="D7321" s="3" t="s">
        <v>68</v>
      </c>
      <c r="E7321" s="3" t="s">
        <v>100</v>
      </c>
      <c r="F7321" s="3" t="s">
        <v>1939</v>
      </c>
      <c r="G7321" s="7">
        <v>46271.6986416261</v>
      </c>
    </row>
    <row r="7322">
      <c r="A7322" s="3" t="s">
        <v>22045</v>
      </c>
      <c r="B7322" s="3" t="s">
        <v>475</v>
      </c>
      <c r="C7322" s="3" t="s">
        <v>1342</v>
      </c>
      <c r="D7322" s="3" t="s">
        <v>68</v>
      </c>
      <c r="E7322" s="3" t="s">
        <v>100</v>
      </c>
      <c r="F7322" s="3" t="s">
        <v>1824</v>
      </c>
      <c r="G7322" s="7">
        <v>46271.76981647152</v>
      </c>
    </row>
    <row r="7323">
      <c r="A7323" s="3" t="s">
        <v>22047</v>
      </c>
      <c r="B7323" s="3" t="s">
        <v>612</v>
      </c>
      <c r="C7323" s="3" t="s">
        <v>1095</v>
      </c>
      <c r="D7323" s="3" t="s">
        <v>68</v>
      </c>
      <c r="E7323" s="3" t="s">
        <v>100</v>
      </c>
      <c r="F7323" s="3" t="s">
        <v>595</v>
      </c>
      <c r="G7323" s="7">
        <v>46271.84099131693</v>
      </c>
    </row>
    <row r="7324">
      <c r="A7324" s="3" t="s">
        <v>22050</v>
      </c>
      <c r="B7324" s="3" t="s">
        <v>530</v>
      </c>
      <c r="C7324" s="3" t="s">
        <v>1342</v>
      </c>
      <c r="D7324" s="3" t="s">
        <v>68</v>
      </c>
      <c r="E7324" s="3" t="s">
        <v>100</v>
      </c>
      <c r="F7324" s="3" t="s">
        <v>1897</v>
      </c>
      <c r="G7324" s="7">
        <v>46271.91216616234</v>
      </c>
    </row>
    <row r="7325">
      <c r="A7325" s="3" t="s">
        <v>22053</v>
      </c>
      <c r="B7325" s="3" t="s">
        <v>336</v>
      </c>
      <c r="C7325" s="3" t="s">
        <v>1342</v>
      </c>
      <c r="D7325" s="3" t="s">
        <v>68</v>
      </c>
      <c r="E7325" s="3" t="s">
        <v>100</v>
      </c>
      <c r="F7325" s="3" t="s">
        <v>1190</v>
      </c>
      <c r="G7325" s="7">
        <v>46271.98334100776</v>
      </c>
    </row>
    <row r="7326">
      <c r="A7326" s="3" t="s">
        <v>22057</v>
      </c>
      <c r="B7326" s="3" t="s">
        <v>600</v>
      </c>
      <c r="C7326" s="3" t="s">
        <v>1342</v>
      </c>
      <c r="D7326" s="3" t="s">
        <v>68</v>
      </c>
      <c r="E7326" s="3" t="s">
        <v>100</v>
      </c>
      <c r="F7326" s="3" t="s">
        <v>1768</v>
      </c>
      <c r="G7326" s="7">
        <v>46272.054515853175</v>
      </c>
    </row>
    <row r="7327">
      <c r="A7327" s="3" t="s">
        <v>22060</v>
      </c>
      <c r="B7327" s="3" t="s">
        <v>546</v>
      </c>
      <c r="C7327" s="3" t="s">
        <v>1095</v>
      </c>
      <c r="D7327" s="3" t="s">
        <v>68</v>
      </c>
      <c r="E7327" s="3" t="s">
        <v>100</v>
      </c>
      <c r="F7327" s="3" t="s">
        <v>1852</v>
      </c>
      <c r="G7327" s="7">
        <v>46272.12569069859</v>
      </c>
    </row>
    <row r="7328">
      <c r="A7328" s="3" t="s">
        <v>22063</v>
      </c>
      <c r="B7328" s="3" t="s">
        <v>961</v>
      </c>
      <c r="C7328" s="3" t="s">
        <v>1342</v>
      </c>
      <c r="D7328" s="3" t="s">
        <v>68</v>
      </c>
      <c r="E7328" s="3" t="s">
        <v>100</v>
      </c>
      <c r="F7328" s="3" t="s">
        <v>1701</v>
      </c>
      <c r="G7328" s="7">
        <v>46272.19686554401</v>
      </c>
    </row>
    <row r="7329">
      <c r="A7329" s="3" t="s">
        <v>22066</v>
      </c>
      <c r="B7329" s="3" t="s">
        <v>658</v>
      </c>
      <c r="C7329" s="3" t="s">
        <v>56</v>
      </c>
      <c r="D7329" s="3" t="s">
        <v>68</v>
      </c>
      <c r="E7329" s="3" t="s">
        <v>100</v>
      </c>
      <c r="F7329" s="3" t="s">
        <v>1941</v>
      </c>
      <c r="G7329" s="7">
        <v>46272.26804038942</v>
      </c>
    </row>
    <row r="7330">
      <c r="A7330" s="3" t="s">
        <v>22070</v>
      </c>
      <c r="B7330" s="3" t="s">
        <v>243</v>
      </c>
      <c r="C7330" s="3" t="s">
        <v>1095</v>
      </c>
      <c r="D7330" s="3" t="s">
        <v>68</v>
      </c>
      <c r="E7330" s="3" t="s">
        <v>100</v>
      </c>
      <c r="F7330" s="3" t="s">
        <v>1720</v>
      </c>
      <c r="G7330" s="7">
        <v>46272.33921523483</v>
      </c>
    </row>
    <row r="7331">
      <c r="A7331" s="3" t="s">
        <v>22074</v>
      </c>
      <c r="B7331" s="3" t="s">
        <v>352</v>
      </c>
      <c r="C7331" s="3" t="s">
        <v>1095</v>
      </c>
      <c r="D7331" s="3" t="s">
        <v>195</v>
      </c>
      <c r="E7331" s="3" t="s">
        <v>45</v>
      </c>
      <c r="F7331" s="3" t="s">
        <v>1743</v>
      </c>
      <c r="G7331" s="7">
        <v>46272.41039008025</v>
      </c>
    </row>
    <row r="7332">
      <c r="A7332" s="3" t="s">
        <v>22077</v>
      </c>
      <c r="B7332" s="3" t="s">
        <v>377</v>
      </c>
      <c r="C7332" s="3" t="s">
        <v>1095</v>
      </c>
      <c r="D7332" s="3" t="s">
        <v>68</v>
      </c>
      <c r="E7332" s="3" t="s">
        <v>100</v>
      </c>
      <c r="F7332" s="3" t="s">
        <v>470</v>
      </c>
      <c r="G7332" s="7">
        <v>46272.48156492566</v>
      </c>
    </row>
    <row r="7333">
      <c r="A7333" s="3" t="s">
        <v>22080</v>
      </c>
      <c r="B7333" s="3" t="s">
        <v>496</v>
      </c>
      <c r="C7333" s="3" t="s">
        <v>1342</v>
      </c>
      <c r="D7333" s="3" t="s">
        <v>68</v>
      </c>
      <c r="E7333" s="3" t="s">
        <v>100</v>
      </c>
      <c r="F7333" s="3" t="s">
        <v>1274</v>
      </c>
      <c r="G7333" s="7">
        <v>46272.552739771076</v>
      </c>
    </row>
    <row r="7334">
      <c r="A7334" s="3" t="s">
        <v>22082</v>
      </c>
      <c r="B7334" s="3" t="s">
        <v>247</v>
      </c>
      <c r="C7334" s="3" t="s">
        <v>1342</v>
      </c>
      <c r="D7334" s="3" t="s">
        <v>181</v>
      </c>
      <c r="E7334" s="3" t="s">
        <v>45</v>
      </c>
      <c r="F7334" s="3" t="s">
        <v>1254</v>
      </c>
      <c r="G7334" s="7">
        <v>46272.623914616495</v>
      </c>
    </row>
    <row r="7335">
      <c r="A7335" s="3" t="s">
        <v>22084</v>
      </c>
      <c r="B7335" s="3" t="s">
        <v>998</v>
      </c>
      <c r="C7335" s="3" t="s">
        <v>1342</v>
      </c>
      <c r="D7335" s="3" t="s">
        <v>68</v>
      </c>
      <c r="E7335" s="3" t="s">
        <v>100</v>
      </c>
      <c r="F7335" s="3" t="s">
        <v>1766</v>
      </c>
      <c r="G7335" s="7">
        <v>46272.695089461915</v>
      </c>
    </row>
    <row r="7336">
      <c r="A7336" s="3" t="s">
        <v>22086</v>
      </c>
      <c r="B7336" s="3" t="s">
        <v>990</v>
      </c>
      <c r="C7336" s="3" t="s">
        <v>1342</v>
      </c>
      <c r="D7336" s="3" t="s">
        <v>68</v>
      </c>
      <c r="E7336" s="3" t="s">
        <v>100</v>
      </c>
      <c r="F7336" s="3" t="s">
        <v>1226</v>
      </c>
      <c r="G7336" s="7">
        <v>46272.76626430732</v>
      </c>
    </row>
    <row r="7337">
      <c r="A7337" s="3" t="s">
        <v>22088</v>
      </c>
      <c r="B7337" s="3" t="s">
        <v>811</v>
      </c>
      <c r="C7337" s="3" t="s">
        <v>1342</v>
      </c>
      <c r="D7337" s="3" t="s">
        <v>68</v>
      </c>
      <c r="E7337" s="3" t="s">
        <v>100</v>
      </c>
      <c r="F7337" s="3" t="s">
        <v>1475</v>
      </c>
      <c r="G7337" s="7">
        <v>46272.83743915274</v>
      </c>
    </row>
    <row r="7338">
      <c r="A7338" s="3" t="s">
        <v>22091</v>
      </c>
      <c r="B7338" s="3" t="s">
        <v>587</v>
      </c>
      <c r="C7338" s="3" t="s">
        <v>1095</v>
      </c>
      <c r="D7338" s="3" t="s">
        <v>195</v>
      </c>
      <c r="E7338" s="3" t="s">
        <v>45</v>
      </c>
      <c r="F7338" s="3" t="s">
        <v>1448</v>
      </c>
      <c r="G7338" s="7">
        <v>46272.90861399816</v>
      </c>
    </row>
    <row r="7339">
      <c r="A7339" s="3" t="s">
        <v>22093</v>
      </c>
      <c r="B7339" s="3" t="s">
        <v>916</v>
      </c>
      <c r="C7339" s="3" t="s">
        <v>56</v>
      </c>
      <c r="D7339" s="3" t="s">
        <v>68</v>
      </c>
      <c r="E7339" s="3" t="s">
        <v>100</v>
      </c>
      <c r="F7339" s="3" t="s">
        <v>1943</v>
      </c>
      <c r="G7339" s="7">
        <v>46272.97978884357</v>
      </c>
    </row>
    <row r="7340">
      <c r="A7340" s="3" t="s">
        <v>22095</v>
      </c>
      <c r="B7340" s="3" t="s">
        <v>631</v>
      </c>
      <c r="C7340" s="3" t="s">
        <v>1342</v>
      </c>
      <c r="D7340" s="3" t="s">
        <v>68</v>
      </c>
      <c r="E7340" s="3" t="s">
        <v>100</v>
      </c>
      <c r="F7340" s="3" t="s">
        <v>1621</v>
      </c>
      <c r="G7340" s="7">
        <v>46273.050963688984</v>
      </c>
    </row>
    <row r="7341">
      <c r="A7341" s="3" t="s">
        <v>22097</v>
      </c>
      <c r="B7341" s="3" t="s">
        <v>293</v>
      </c>
      <c r="C7341" s="3" t="s">
        <v>56</v>
      </c>
      <c r="D7341" s="3" t="s">
        <v>68</v>
      </c>
      <c r="E7341" s="3" t="s">
        <v>100</v>
      </c>
      <c r="F7341" s="3" t="s">
        <v>1946</v>
      </c>
      <c r="G7341" s="7">
        <v>46273.1221385344</v>
      </c>
    </row>
    <row r="7342">
      <c r="A7342" s="3" t="s">
        <v>22099</v>
      </c>
      <c r="B7342" s="3" t="s">
        <v>1030</v>
      </c>
      <c r="C7342" s="3" t="s">
        <v>56</v>
      </c>
      <c r="D7342" s="3" t="s">
        <v>68</v>
      </c>
      <c r="E7342" s="3" t="s">
        <v>100</v>
      </c>
      <c r="F7342" s="3" t="s">
        <v>1950</v>
      </c>
      <c r="G7342" s="7">
        <v>46273.193313379816</v>
      </c>
    </row>
    <row r="7343">
      <c r="A7343" s="3" t="s">
        <v>22101</v>
      </c>
      <c r="B7343" s="3" t="s">
        <v>202</v>
      </c>
      <c r="C7343" s="3" t="s">
        <v>1342</v>
      </c>
      <c r="D7343" s="3" t="s">
        <v>68</v>
      </c>
      <c r="E7343" s="3" t="s">
        <v>100</v>
      </c>
      <c r="F7343" s="3" t="s">
        <v>1916</v>
      </c>
      <c r="G7343" s="7">
        <v>46273.26448822523</v>
      </c>
    </row>
    <row r="7344">
      <c r="A7344" s="3" t="s">
        <v>22104</v>
      </c>
      <c r="B7344" s="3" t="s">
        <v>302</v>
      </c>
      <c r="C7344" s="3" t="s">
        <v>1095</v>
      </c>
      <c r="D7344" s="3" t="s">
        <v>68</v>
      </c>
      <c r="E7344" s="3" t="s">
        <v>100</v>
      </c>
      <c r="F7344" s="3" t="s">
        <v>1676</v>
      </c>
      <c r="G7344" s="7">
        <v>46273.33566307065</v>
      </c>
    </row>
    <row r="7345">
      <c r="A7345" s="3" t="s">
        <v>22106</v>
      </c>
      <c r="B7345" s="3" t="s">
        <v>877</v>
      </c>
      <c r="C7345" s="3" t="s">
        <v>1342</v>
      </c>
      <c r="D7345" s="3" t="s">
        <v>68</v>
      </c>
      <c r="E7345" s="3" t="s">
        <v>100</v>
      </c>
      <c r="F7345" s="3" t="s">
        <v>1517</v>
      </c>
      <c r="G7345" s="7">
        <v>46273.40683791607</v>
      </c>
    </row>
    <row r="7346">
      <c r="A7346" s="3" t="s">
        <v>22108</v>
      </c>
      <c r="B7346" s="3" t="s">
        <v>811</v>
      </c>
      <c r="C7346" s="3" t="s">
        <v>1342</v>
      </c>
      <c r="D7346" s="3" t="s">
        <v>68</v>
      </c>
      <c r="E7346" s="3" t="s">
        <v>100</v>
      </c>
      <c r="F7346" s="3" t="s">
        <v>1475</v>
      </c>
      <c r="G7346" s="7">
        <v>46273.47801276147</v>
      </c>
    </row>
    <row r="7347">
      <c r="A7347" s="3" t="s">
        <v>22110</v>
      </c>
      <c r="B7347" s="3" t="s">
        <v>510</v>
      </c>
      <c r="C7347" s="3" t="s">
        <v>1342</v>
      </c>
      <c r="D7347" s="3" t="s">
        <v>68</v>
      </c>
      <c r="E7347" s="3" t="s">
        <v>100</v>
      </c>
      <c r="F7347" s="3" t="s">
        <v>1503</v>
      </c>
      <c r="G7347" s="7">
        <v>46273.54918760689</v>
      </c>
    </row>
    <row r="7348">
      <c r="A7348" s="3" t="s">
        <v>22112</v>
      </c>
      <c r="B7348" s="3" t="s">
        <v>752</v>
      </c>
      <c r="C7348" s="3" t="s">
        <v>1095</v>
      </c>
      <c r="D7348" s="3" t="s">
        <v>68</v>
      </c>
      <c r="E7348" s="3" t="s">
        <v>100</v>
      </c>
      <c r="F7348" s="3" t="s">
        <v>2105</v>
      </c>
      <c r="G7348" s="7">
        <v>46273.620362452304</v>
      </c>
    </row>
    <row r="7349">
      <c r="A7349" s="3" t="s">
        <v>22114</v>
      </c>
      <c r="B7349" s="3" t="s">
        <v>424</v>
      </c>
      <c r="C7349" s="3" t="s">
        <v>1342</v>
      </c>
      <c r="D7349" s="3" t="s">
        <v>68</v>
      </c>
      <c r="E7349" s="3" t="s">
        <v>100</v>
      </c>
      <c r="F7349" s="3" t="s">
        <v>1846</v>
      </c>
      <c r="G7349" s="7">
        <v>46273.691537297724</v>
      </c>
    </row>
    <row r="7350">
      <c r="A7350" s="3" t="s">
        <v>22116</v>
      </c>
      <c r="B7350" s="3" t="s">
        <v>380</v>
      </c>
      <c r="C7350" s="3" t="s">
        <v>56</v>
      </c>
      <c r="D7350" s="3" t="s">
        <v>181</v>
      </c>
      <c r="E7350" s="3" t="s">
        <v>45</v>
      </c>
      <c r="F7350" s="3" t="s">
        <v>45</v>
      </c>
      <c r="G7350" s="7">
        <v>46273.762712143136</v>
      </c>
    </row>
    <row r="7351">
      <c r="A7351" s="3" t="s">
        <v>22119</v>
      </c>
      <c r="B7351" s="3" t="s">
        <v>366</v>
      </c>
      <c r="C7351" s="3" t="s">
        <v>1095</v>
      </c>
      <c r="D7351" s="3" t="s">
        <v>68</v>
      </c>
      <c r="E7351" s="3" t="s">
        <v>100</v>
      </c>
      <c r="F7351" s="3" t="s">
        <v>1937</v>
      </c>
      <c r="G7351" s="7">
        <v>46273.833886988556</v>
      </c>
    </row>
    <row r="7352">
      <c r="A7352" s="3" t="s">
        <v>22121</v>
      </c>
      <c r="B7352" s="3" t="s">
        <v>1040</v>
      </c>
      <c r="C7352" s="3" t="s">
        <v>56</v>
      </c>
      <c r="D7352" s="3" t="s">
        <v>68</v>
      </c>
      <c r="E7352" s="3" t="s">
        <v>100</v>
      </c>
      <c r="F7352" s="3" t="s">
        <v>1951</v>
      </c>
      <c r="G7352" s="7">
        <v>46273.90506183396</v>
      </c>
    </row>
    <row r="7353">
      <c r="A7353" s="3" t="s">
        <v>22123</v>
      </c>
      <c r="B7353" s="3" t="s">
        <v>916</v>
      </c>
      <c r="C7353" s="3" t="s">
        <v>1342</v>
      </c>
      <c r="D7353" s="3" t="s">
        <v>68</v>
      </c>
      <c r="E7353" s="3" t="s">
        <v>100</v>
      </c>
      <c r="F7353" s="3" t="s">
        <v>1943</v>
      </c>
      <c r="G7353" s="7">
        <v>46273.97623667938</v>
      </c>
    </row>
    <row r="7354">
      <c r="A7354" s="3" t="s">
        <v>22125</v>
      </c>
      <c r="B7354" s="3" t="s">
        <v>148</v>
      </c>
      <c r="C7354" s="3" t="s">
        <v>56</v>
      </c>
      <c r="D7354" s="3" t="s">
        <v>68</v>
      </c>
      <c r="E7354" s="3" t="s">
        <v>100</v>
      </c>
      <c r="F7354" s="3" t="s">
        <v>1954</v>
      </c>
      <c r="G7354" s="7">
        <v>46274.0474115248</v>
      </c>
    </row>
    <row r="7355">
      <c r="A7355" s="3" t="s">
        <v>22127</v>
      </c>
      <c r="B7355" s="3" t="s">
        <v>272</v>
      </c>
      <c r="C7355" s="3" t="s">
        <v>1342</v>
      </c>
      <c r="D7355" s="3" t="s">
        <v>68</v>
      </c>
      <c r="E7355" s="3" t="s">
        <v>100</v>
      </c>
      <c r="F7355" s="3" t="s">
        <v>1890</v>
      </c>
      <c r="G7355" s="7">
        <v>46274.11858637021</v>
      </c>
    </row>
    <row r="7356">
      <c r="A7356" s="3" t="s">
        <v>22129</v>
      </c>
      <c r="B7356" s="3" t="s">
        <v>926</v>
      </c>
      <c r="C7356" s="3" t="s">
        <v>56</v>
      </c>
      <c r="D7356" s="3" t="s">
        <v>68</v>
      </c>
      <c r="E7356" s="3" t="s">
        <v>100</v>
      </c>
      <c r="F7356" s="3" t="s">
        <v>1956</v>
      </c>
      <c r="G7356" s="7">
        <v>46274.189761215624</v>
      </c>
    </row>
    <row r="7357">
      <c r="A7357" s="3" t="s">
        <v>22132</v>
      </c>
      <c r="B7357" s="3" t="s">
        <v>519</v>
      </c>
      <c r="C7357" s="3" t="s">
        <v>1342</v>
      </c>
      <c r="D7357" s="3" t="s">
        <v>68</v>
      </c>
      <c r="E7357" s="3" t="s">
        <v>100</v>
      </c>
      <c r="F7357" s="3" t="s">
        <v>1740</v>
      </c>
      <c r="G7357" s="7">
        <v>46274.260936061044</v>
      </c>
    </row>
    <row r="7358">
      <c r="A7358" s="3" t="s">
        <v>22136</v>
      </c>
      <c r="B7358" s="3" t="s">
        <v>202</v>
      </c>
      <c r="C7358" s="3" t="s">
        <v>1342</v>
      </c>
      <c r="D7358" s="3" t="s">
        <v>68</v>
      </c>
      <c r="E7358" s="3" t="s">
        <v>100</v>
      </c>
      <c r="F7358" s="3" t="s">
        <v>1916</v>
      </c>
      <c r="G7358" s="7">
        <v>46274.33211090646</v>
      </c>
    </row>
    <row r="7359">
      <c r="A7359" s="3" t="s">
        <v>22140</v>
      </c>
      <c r="B7359" s="3" t="s">
        <v>569</v>
      </c>
      <c r="C7359" s="3" t="s">
        <v>1342</v>
      </c>
      <c r="D7359" s="3" t="s">
        <v>68</v>
      </c>
      <c r="E7359" s="3" t="s">
        <v>100</v>
      </c>
      <c r="F7359" s="3" t="s">
        <v>1533</v>
      </c>
      <c r="G7359" s="7">
        <v>46274.40328575187</v>
      </c>
    </row>
    <row r="7360">
      <c r="A7360" s="3" t="s">
        <v>22142</v>
      </c>
      <c r="B7360" s="3" t="s">
        <v>186</v>
      </c>
      <c r="C7360" s="3" t="s">
        <v>56</v>
      </c>
      <c r="D7360" s="3" t="s">
        <v>68</v>
      </c>
      <c r="E7360" s="3" t="s">
        <v>100</v>
      </c>
      <c r="F7360" s="3" t="s">
        <v>1958</v>
      </c>
      <c r="G7360" s="7">
        <v>46274.47446059729</v>
      </c>
    </row>
    <row r="7361">
      <c r="A7361" s="3" t="s">
        <v>22144</v>
      </c>
      <c r="B7361" s="3" t="s">
        <v>650</v>
      </c>
      <c r="C7361" s="3" t="s">
        <v>56</v>
      </c>
      <c r="D7361" s="3" t="s">
        <v>68</v>
      </c>
      <c r="E7361" s="3" t="s">
        <v>100</v>
      </c>
      <c r="F7361" s="3" t="s">
        <v>1961</v>
      </c>
      <c r="G7361" s="7">
        <v>46274.54563544271</v>
      </c>
    </row>
    <row r="7362">
      <c r="A7362" s="3" t="s">
        <v>22146</v>
      </c>
      <c r="B7362" s="3" t="s">
        <v>1030</v>
      </c>
      <c r="C7362" s="3" t="s">
        <v>1095</v>
      </c>
      <c r="D7362" s="3" t="s">
        <v>181</v>
      </c>
      <c r="E7362" s="3" t="s">
        <v>45</v>
      </c>
      <c r="F7362" s="3" t="s">
        <v>1950</v>
      </c>
      <c r="G7362" s="7">
        <v>46274.61681028811</v>
      </c>
    </row>
    <row r="7363">
      <c r="A7363" s="3" t="s">
        <v>22148</v>
      </c>
      <c r="B7363" s="3" t="s">
        <v>123</v>
      </c>
      <c r="C7363" s="3" t="s">
        <v>1095</v>
      </c>
      <c r="D7363" s="3" t="s">
        <v>68</v>
      </c>
      <c r="E7363" s="3" t="s">
        <v>100</v>
      </c>
      <c r="F7363" s="3" t="s">
        <v>1932</v>
      </c>
      <c r="G7363" s="7">
        <v>46274.68798513353</v>
      </c>
    </row>
    <row r="7364">
      <c r="A7364" s="3" t="s">
        <v>22149</v>
      </c>
      <c r="B7364" s="3" t="s">
        <v>137</v>
      </c>
      <c r="C7364" s="3" t="s">
        <v>1342</v>
      </c>
      <c r="D7364" s="3" t="s">
        <v>68</v>
      </c>
      <c r="E7364" s="3" t="s">
        <v>100</v>
      </c>
      <c r="F7364" s="3" t="s">
        <v>829</v>
      </c>
      <c r="G7364" s="7">
        <v>46274.75915997895</v>
      </c>
    </row>
    <row r="7365">
      <c r="A7365" s="3" t="s">
        <v>22150</v>
      </c>
      <c r="B7365" s="3" t="s">
        <v>789</v>
      </c>
      <c r="C7365" s="3" t="s">
        <v>1342</v>
      </c>
      <c r="D7365" s="3" t="s">
        <v>68</v>
      </c>
      <c r="E7365" s="3" t="s">
        <v>100</v>
      </c>
      <c r="F7365" s="3" t="s">
        <v>1911</v>
      </c>
      <c r="G7365" s="7">
        <v>46274.830334824364</v>
      </c>
    </row>
    <row r="7366">
      <c r="A7366" s="3" t="s">
        <v>22152</v>
      </c>
      <c r="B7366" s="3" t="s">
        <v>348</v>
      </c>
      <c r="C7366" s="3" t="s">
        <v>1342</v>
      </c>
      <c r="D7366" s="3" t="s">
        <v>181</v>
      </c>
      <c r="E7366" s="3" t="s">
        <v>45</v>
      </c>
      <c r="F7366" s="3" t="s">
        <v>1647</v>
      </c>
      <c r="G7366" s="7">
        <v>46274.90150966978</v>
      </c>
    </row>
    <row r="7367">
      <c r="A7367" s="3" t="s">
        <v>22155</v>
      </c>
      <c r="B7367" s="3" t="s">
        <v>672</v>
      </c>
      <c r="C7367" s="3" t="s">
        <v>56</v>
      </c>
      <c r="D7367" s="3" t="s">
        <v>68</v>
      </c>
      <c r="E7367" s="3" t="s">
        <v>100</v>
      </c>
      <c r="F7367" s="3" t="s">
        <v>1963</v>
      </c>
      <c r="G7367" s="7">
        <v>46274.972684515196</v>
      </c>
    </row>
    <row r="7368">
      <c r="A7368" s="3" t="s">
        <v>22157</v>
      </c>
      <c r="B7368" s="3" t="s">
        <v>307</v>
      </c>
      <c r="C7368" s="3" t="s">
        <v>56</v>
      </c>
      <c r="D7368" s="3" t="s">
        <v>181</v>
      </c>
      <c r="E7368" s="3" t="s">
        <v>45</v>
      </c>
      <c r="F7368" s="3" t="s">
        <v>45</v>
      </c>
      <c r="G7368" s="7">
        <v>46275.04385936061</v>
      </c>
    </row>
    <row r="7369">
      <c r="A7369" s="3" t="s">
        <v>22159</v>
      </c>
      <c r="B7369" s="3" t="s">
        <v>197</v>
      </c>
      <c r="C7369" s="3" t="s">
        <v>1342</v>
      </c>
      <c r="D7369" s="3" t="s">
        <v>181</v>
      </c>
      <c r="E7369" s="3" t="s">
        <v>45</v>
      </c>
      <c r="F7369" s="3" t="s">
        <v>1667</v>
      </c>
      <c r="G7369" s="7">
        <v>46275.11503420602</v>
      </c>
    </row>
    <row r="7370">
      <c r="A7370" s="3" t="s">
        <v>22162</v>
      </c>
      <c r="B7370" s="3" t="s">
        <v>151</v>
      </c>
      <c r="C7370" s="3" t="s">
        <v>56</v>
      </c>
      <c r="D7370" s="3" t="s">
        <v>68</v>
      </c>
      <c r="E7370" s="3" t="s">
        <v>100</v>
      </c>
      <c r="F7370" s="3" t="s">
        <v>1966</v>
      </c>
      <c r="G7370" s="7">
        <v>46275.18620905144</v>
      </c>
    </row>
    <row r="7371">
      <c r="A7371" s="3" t="s">
        <v>22164</v>
      </c>
      <c r="B7371" s="3" t="s">
        <v>645</v>
      </c>
      <c r="C7371" s="3" t="s">
        <v>1342</v>
      </c>
      <c r="D7371" s="3" t="s">
        <v>68</v>
      </c>
      <c r="E7371" s="3" t="s">
        <v>100</v>
      </c>
      <c r="F7371" s="3" t="s">
        <v>1135</v>
      </c>
      <c r="G7371" s="7">
        <v>46275.25738389685</v>
      </c>
    </row>
    <row r="7372">
      <c r="A7372" s="3" t="s">
        <v>22166</v>
      </c>
      <c r="B7372" s="3" t="s">
        <v>472</v>
      </c>
      <c r="C7372" s="3" t="s">
        <v>1342</v>
      </c>
      <c r="D7372" s="3" t="s">
        <v>68</v>
      </c>
      <c r="E7372" s="3" t="s">
        <v>100</v>
      </c>
      <c r="F7372" s="3" t="s">
        <v>1733</v>
      </c>
      <c r="G7372" s="7">
        <v>46275.328558742265</v>
      </c>
    </row>
    <row r="7373">
      <c r="A7373" s="3" t="s">
        <v>22168</v>
      </c>
      <c r="B7373" s="3" t="s">
        <v>949</v>
      </c>
      <c r="C7373" s="3" t="s">
        <v>1342</v>
      </c>
      <c r="D7373" s="3" t="s">
        <v>68</v>
      </c>
      <c r="E7373" s="3" t="s">
        <v>100</v>
      </c>
      <c r="F7373" s="3" t="s">
        <v>1921</v>
      </c>
      <c r="G7373" s="7">
        <v>46275.399733587685</v>
      </c>
    </row>
    <row r="7374">
      <c r="A7374" s="3" t="s">
        <v>22171</v>
      </c>
      <c r="B7374" s="3" t="s">
        <v>676</v>
      </c>
      <c r="C7374" s="3" t="s">
        <v>1342</v>
      </c>
      <c r="D7374" s="3" t="s">
        <v>68</v>
      </c>
      <c r="E7374" s="3" t="s">
        <v>100</v>
      </c>
      <c r="F7374" s="3" t="s">
        <v>1795</v>
      </c>
      <c r="G7374" s="7">
        <v>46275.4709084331</v>
      </c>
    </row>
    <row r="7375">
      <c r="A7375" s="3" t="s">
        <v>22173</v>
      </c>
      <c r="B7375" s="3" t="s">
        <v>1049</v>
      </c>
      <c r="C7375" s="3" t="s">
        <v>56</v>
      </c>
      <c r="D7375" s="3" t="s">
        <v>68</v>
      </c>
      <c r="E7375" s="3" t="s">
        <v>100</v>
      </c>
      <c r="F7375" s="3" t="s">
        <v>1969</v>
      </c>
      <c r="G7375" s="7">
        <v>46275.54208327851</v>
      </c>
    </row>
    <row r="7376">
      <c r="A7376" s="3" t="s">
        <v>22175</v>
      </c>
      <c r="B7376" s="3" t="s">
        <v>752</v>
      </c>
      <c r="C7376" s="3" t="s">
        <v>56</v>
      </c>
      <c r="D7376" s="3" t="s">
        <v>195</v>
      </c>
      <c r="E7376" s="3" t="s">
        <v>45</v>
      </c>
      <c r="F7376" s="3" t="s">
        <v>45</v>
      </c>
      <c r="G7376" s="7">
        <v>46275.61325812393</v>
      </c>
    </row>
    <row r="7377">
      <c r="A7377" s="3" t="s">
        <v>22178</v>
      </c>
      <c r="B7377" s="3" t="s">
        <v>1008</v>
      </c>
      <c r="C7377" s="3" t="s">
        <v>1095</v>
      </c>
      <c r="D7377" s="3" t="s">
        <v>68</v>
      </c>
      <c r="E7377" s="3" t="s">
        <v>100</v>
      </c>
      <c r="F7377" s="3" t="s">
        <v>1684</v>
      </c>
      <c r="G7377" s="7">
        <v>46275.68443296935</v>
      </c>
    </row>
    <row r="7378">
      <c r="A7378" s="3" t="s">
        <v>22181</v>
      </c>
      <c r="B7378" s="3" t="s">
        <v>1021</v>
      </c>
      <c r="C7378" s="3" t="s">
        <v>1342</v>
      </c>
      <c r="D7378" s="3" t="s">
        <v>68</v>
      </c>
      <c r="E7378" s="3" t="s">
        <v>100</v>
      </c>
      <c r="F7378" s="3" t="s">
        <v>2037</v>
      </c>
      <c r="G7378" s="7">
        <v>46275.75560781475</v>
      </c>
    </row>
    <row r="7379">
      <c r="A7379" s="3" t="s">
        <v>22183</v>
      </c>
      <c r="B7379" s="3" t="s">
        <v>496</v>
      </c>
      <c r="C7379" s="3" t="s">
        <v>1342</v>
      </c>
      <c r="D7379" s="3" t="s">
        <v>68</v>
      </c>
      <c r="E7379" s="3" t="s">
        <v>100</v>
      </c>
      <c r="F7379" s="3" t="s">
        <v>1274</v>
      </c>
      <c r="G7379" s="7">
        <v>46275.82678266017</v>
      </c>
    </row>
    <row r="7380">
      <c r="A7380" s="3" t="s">
        <v>22185</v>
      </c>
      <c r="B7380" s="3" t="s">
        <v>440</v>
      </c>
      <c r="C7380" s="3" t="s">
        <v>56</v>
      </c>
      <c r="D7380" s="3" t="s">
        <v>195</v>
      </c>
      <c r="E7380" s="3" t="s">
        <v>45</v>
      </c>
      <c r="F7380" s="3" t="s">
        <v>45</v>
      </c>
      <c r="G7380" s="7">
        <v>46275.89795750559</v>
      </c>
    </row>
    <row r="7381">
      <c r="A7381" s="3" t="s">
        <v>22187</v>
      </c>
      <c r="B7381" s="3" t="s">
        <v>363</v>
      </c>
      <c r="C7381" s="3" t="s">
        <v>1342</v>
      </c>
      <c r="D7381" s="3" t="s">
        <v>68</v>
      </c>
      <c r="E7381" s="3" t="s">
        <v>100</v>
      </c>
      <c r="F7381" s="3" t="s">
        <v>1400</v>
      </c>
      <c r="G7381" s="7">
        <v>46275.969132351005</v>
      </c>
    </row>
    <row r="7382">
      <c r="A7382" s="3" t="s">
        <v>22190</v>
      </c>
      <c r="B7382" s="3" t="s">
        <v>239</v>
      </c>
      <c r="C7382" s="3" t="s">
        <v>56</v>
      </c>
      <c r="D7382" s="3" t="s">
        <v>68</v>
      </c>
      <c r="E7382" s="3" t="s">
        <v>100</v>
      </c>
      <c r="F7382" s="3" t="s">
        <v>1971</v>
      </c>
      <c r="G7382" s="7">
        <v>46276.04030719642</v>
      </c>
    </row>
    <row r="7383">
      <c r="A7383" s="3" t="s">
        <v>22194</v>
      </c>
      <c r="B7383" s="3" t="s">
        <v>929</v>
      </c>
      <c r="C7383" s="3" t="s">
        <v>1342</v>
      </c>
      <c r="D7383" s="3" t="s">
        <v>68</v>
      </c>
      <c r="E7383" s="3" t="s">
        <v>100</v>
      </c>
      <c r="F7383" s="3" t="s">
        <v>1256</v>
      </c>
      <c r="G7383" s="7">
        <v>46276.11148204184</v>
      </c>
    </row>
    <row r="7384">
      <c r="A7384" s="3" t="s">
        <v>22197</v>
      </c>
      <c r="B7384" s="3" t="s">
        <v>1040</v>
      </c>
      <c r="C7384" s="3" t="s">
        <v>1095</v>
      </c>
      <c r="D7384" s="3" t="s">
        <v>181</v>
      </c>
      <c r="E7384" s="3" t="s">
        <v>45</v>
      </c>
      <c r="F7384" s="3" t="s">
        <v>1951</v>
      </c>
      <c r="G7384" s="7">
        <v>46276.18265688725</v>
      </c>
    </row>
    <row r="7385">
      <c r="A7385" s="3" t="s">
        <v>22200</v>
      </c>
      <c r="B7385" s="3" t="s">
        <v>348</v>
      </c>
      <c r="C7385" s="3" t="s">
        <v>1342</v>
      </c>
      <c r="D7385" s="3" t="s">
        <v>68</v>
      </c>
      <c r="E7385" s="3" t="s">
        <v>100</v>
      </c>
      <c r="F7385" s="3" t="s">
        <v>1647</v>
      </c>
      <c r="G7385" s="7">
        <v>46276.25383173266</v>
      </c>
    </row>
    <row r="7386">
      <c r="A7386" s="3" t="s">
        <v>22203</v>
      </c>
      <c r="B7386" s="3" t="s">
        <v>272</v>
      </c>
      <c r="C7386" s="3" t="s">
        <v>1095</v>
      </c>
      <c r="D7386" s="3" t="s">
        <v>68</v>
      </c>
      <c r="E7386" s="3" t="s">
        <v>100</v>
      </c>
      <c r="F7386" s="3" t="s">
        <v>1890</v>
      </c>
      <c r="G7386" s="7">
        <v>46276.32500657808</v>
      </c>
    </row>
    <row r="7387">
      <c r="A7387" s="3" t="s">
        <v>22206</v>
      </c>
      <c r="B7387" s="3" t="s">
        <v>363</v>
      </c>
      <c r="C7387" s="3" t="s">
        <v>1095</v>
      </c>
      <c r="D7387" s="3" t="s">
        <v>68</v>
      </c>
      <c r="E7387" s="3" t="s">
        <v>100</v>
      </c>
      <c r="F7387" s="3" t="s">
        <v>1400</v>
      </c>
      <c r="G7387" s="7">
        <v>46276.3961814235</v>
      </c>
    </row>
    <row r="7388">
      <c r="A7388" s="3" t="s">
        <v>22209</v>
      </c>
      <c r="B7388" s="3" t="s">
        <v>685</v>
      </c>
      <c r="C7388" s="3" t="s">
        <v>56</v>
      </c>
      <c r="D7388" s="3" t="s">
        <v>68</v>
      </c>
      <c r="E7388" s="3" t="s">
        <v>100</v>
      </c>
      <c r="F7388" s="3" t="s">
        <v>1973</v>
      </c>
      <c r="G7388" s="7">
        <v>46276.467356268906</v>
      </c>
    </row>
    <row r="7389">
      <c r="A7389" s="3" t="s">
        <v>22212</v>
      </c>
      <c r="B7389" s="3" t="s">
        <v>183</v>
      </c>
      <c r="C7389" s="3" t="s">
        <v>1342</v>
      </c>
      <c r="D7389" s="3" t="s">
        <v>68</v>
      </c>
      <c r="E7389" s="3" t="s">
        <v>100</v>
      </c>
      <c r="F7389" s="3" t="s">
        <v>1658</v>
      </c>
      <c r="G7389" s="7">
        <v>46276.538531114325</v>
      </c>
    </row>
    <row r="7390">
      <c r="A7390" s="3" t="s">
        <v>22214</v>
      </c>
      <c r="B7390" s="3" t="s">
        <v>908</v>
      </c>
      <c r="C7390" s="3" t="s">
        <v>1095</v>
      </c>
      <c r="D7390" s="3" t="s">
        <v>68</v>
      </c>
      <c r="E7390" s="3" t="s">
        <v>100</v>
      </c>
      <c r="F7390" s="3" t="s">
        <v>1535</v>
      </c>
      <c r="G7390" s="7">
        <v>46276.60970595974</v>
      </c>
    </row>
    <row r="7391">
      <c r="A7391" s="3" t="s">
        <v>22217</v>
      </c>
      <c r="B7391" s="3" t="s">
        <v>939</v>
      </c>
      <c r="C7391" s="3" t="s">
        <v>1342</v>
      </c>
      <c r="D7391" s="3" t="s">
        <v>68</v>
      </c>
      <c r="E7391" s="3" t="s">
        <v>100</v>
      </c>
      <c r="F7391" s="3" t="s">
        <v>1738</v>
      </c>
      <c r="G7391" s="7">
        <v>46276.68088080516</v>
      </c>
    </row>
    <row r="7392">
      <c r="A7392" s="3" t="s">
        <v>22221</v>
      </c>
      <c r="B7392" s="3" t="s">
        <v>1030</v>
      </c>
      <c r="C7392" s="3" t="s">
        <v>1342</v>
      </c>
      <c r="D7392" s="3" t="s">
        <v>68</v>
      </c>
      <c r="E7392" s="3" t="s">
        <v>100</v>
      </c>
      <c r="F7392" s="3" t="s">
        <v>1950</v>
      </c>
      <c r="G7392" s="7">
        <v>46276.75205565057</v>
      </c>
    </row>
    <row r="7393">
      <c r="A7393" s="3" t="s">
        <v>22224</v>
      </c>
      <c r="B7393" s="3" t="s">
        <v>760</v>
      </c>
      <c r="C7393" s="3" t="s">
        <v>1342</v>
      </c>
      <c r="D7393" s="3" t="s">
        <v>68</v>
      </c>
      <c r="E7393" s="3" t="s">
        <v>100</v>
      </c>
      <c r="F7393" s="3" t="s">
        <v>1780</v>
      </c>
      <c r="G7393" s="7">
        <v>46276.82323049599</v>
      </c>
    </row>
    <row r="7394">
      <c r="A7394" s="3" t="s">
        <v>22227</v>
      </c>
      <c r="B7394" s="3" t="s">
        <v>629</v>
      </c>
      <c r="C7394" s="3" t="s">
        <v>1342</v>
      </c>
      <c r="D7394" s="3" t="s">
        <v>68</v>
      </c>
      <c r="E7394" s="3" t="s">
        <v>100</v>
      </c>
      <c r="F7394" s="3" t="s">
        <v>1850</v>
      </c>
      <c r="G7394" s="7">
        <v>46276.894405341394</v>
      </c>
    </row>
    <row r="7395">
      <c r="A7395" s="3" t="s">
        <v>22230</v>
      </c>
      <c r="B7395" s="3" t="s">
        <v>204</v>
      </c>
      <c r="C7395" s="3" t="s">
        <v>1342</v>
      </c>
      <c r="D7395" s="3" t="s">
        <v>68</v>
      </c>
      <c r="E7395" s="3" t="s">
        <v>100</v>
      </c>
      <c r="F7395" s="3" t="s">
        <v>1063</v>
      </c>
      <c r="G7395" s="7">
        <v>46276.965580186814</v>
      </c>
    </row>
    <row r="7396">
      <c r="A7396" s="3" t="s">
        <v>22233</v>
      </c>
      <c r="B7396" s="3" t="s">
        <v>747</v>
      </c>
      <c r="C7396" s="3" t="s">
        <v>1342</v>
      </c>
      <c r="D7396" s="3" t="s">
        <v>68</v>
      </c>
      <c r="E7396" s="3" t="s">
        <v>100</v>
      </c>
      <c r="F7396" s="3" t="s">
        <v>1206</v>
      </c>
      <c r="G7396" s="7">
        <v>46277.03675503223</v>
      </c>
    </row>
    <row r="7397">
      <c r="A7397" s="3" t="s">
        <v>22236</v>
      </c>
      <c r="B7397" s="3" t="s">
        <v>326</v>
      </c>
      <c r="C7397" s="3" t="s">
        <v>56</v>
      </c>
      <c r="D7397" s="3" t="s">
        <v>68</v>
      </c>
      <c r="E7397" s="3" t="s">
        <v>100</v>
      </c>
      <c r="F7397" s="3" t="s">
        <v>1975</v>
      </c>
      <c r="G7397" s="7">
        <v>46277.107929877646</v>
      </c>
    </row>
    <row r="7398">
      <c r="A7398" s="3" t="s">
        <v>22240</v>
      </c>
      <c r="B7398" s="3" t="s">
        <v>330</v>
      </c>
      <c r="C7398" s="3" t="s">
        <v>56</v>
      </c>
      <c r="D7398" s="3" t="s">
        <v>68</v>
      </c>
      <c r="E7398" s="3" t="s">
        <v>100</v>
      </c>
      <c r="F7398" s="3" t="s">
        <v>1979</v>
      </c>
      <c r="G7398" s="7">
        <v>46277.17910472306</v>
      </c>
    </row>
    <row r="7399">
      <c r="A7399" s="3" t="s">
        <v>22243</v>
      </c>
      <c r="B7399" s="3" t="s">
        <v>793</v>
      </c>
      <c r="C7399" s="3" t="s">
        <v>56</v>
      </c>
      <c r="D7399" s="3" t="s">
        <v>68</v>
      </c>
      <c r="E7399" s="3" t="s">
        <v>100</v>
      </c>
      <c r="F7399" s="3" t="s">
        <v>1983</v>
      </c>
      <c r="G7399" s="7">
        <v>46277.25027956848</v>
      </c>
    </row>
    <row r="7400">
      <c r="A7400" s="3" t="s">
        <v>22246</v>
      </c>
      <c r="B7400" s="3" t="s">
        <v>193</v>
      </c>
      <c r="C7400" s="3" t="s">
        <v>56</v>
      </c>
      <c r="D7400" s="3" t="s">
        <v>68</v>
      </c>
      <c r="E7400" s="3" t="s">
        <v>100</v>
      </c>
      <c r="F7400" s="3" t="s">
        <v>1985</v>
      </c>
      <c r="G7400" s="7">
        <v>46277.32145441389</v>
      </c>
    </row>
    <row r="7401">
      <c r="A7401" s="3" t="s">
        <v>22248</v>
      </c>
      <c r="B7401" s="3" t="s">
        <v>765</v>
      </c>
      <c r="C7401" s="3" t="s">
        <v>1342</v>
      </c>
      <c r="D7401" s="3" t="s">
        <v>68</v>
      </c>
      <c r="E7401" s="3" t="s">
        <v>100</v>
      </c>
      <c r="F7401" s="3" t="s">
        <v>1694</v>
      </c>
      <c r="G7401" s="7">
        <v>46277.3926292593</v>
      </c>
    </row>
    <row r="7402">
      <c r="A7402" s="3" t="s">
        <v>22250</v>
      </c>
      <c r="B7402" s="3" t="s">
        <v>535</v>
      </c>
      <c r="C7402" s="3" t="s">
        <v>56</v>
      </c>
      <c r="D7402" s="3" t="s">
        <v>68</v>
      </c>
      <c r="E7402" s="3" t="s">
        <v>100</v>
      </c>
      <c r="F7402" s="3" t="s">
        <v>1988</v>
      </c>
      <c r="G7402" s="7">
        <v>46277.46380410472</v>
      </c>
    </row>
    <row r="7403">
      <c r="A7403" s="3" t="s">
        <v>22252</v>
      </c>
      <c r="B7403" s="3" t="s">
        <v>260</v>
      </c>
      <c r="C7403" s="3" t="s">
        <v>56</v>
      </c>
      <c r="D7403" s="3" t="s">
        <v>68</v>
      </c>
      <c r="E7403" s="3" t="s">
        <v>100</v>
      </c>
      <c r="F7403" s="3" t="s">
        <v>1989</v>
      </c>
      <c r="G7403" s="7">
        <v>46277.53497895014</v>
      </c>
    </row>
    <row r="7404">
      <c r="A7404" s="3" t="s">
        <v>22254</v>
      </c>
      <c r="B7404" s="3" t="s">
        <v>341</v>
      </c>
      <c r="C7404" s="3" t="s">
        <v>1095</v>
      </c>
      <c r="D7404" s="3" t="s">
        <v>68</v>
      </c>
      <c r="E7404" s="3" t="s">
        <v>100</v>
      </c>
      <c r="F7404" s="3" t="s">
        <v>1709</v>
      </c>
      <c r="G7404" s="7">
        <v>46277.60615379555</v>
      </c>
    </row>
    <row r="7405">
      <c r="A7405" s="3" t="s">
        <v>22257</v>
      </c>
      <c r="B7405" s="3" t="s">
        <v>554</v>
      </c>
      <c r="C7405" s="3" t="s">
        <v>56</v>
      </c>
      <c r="D7405" s="3" t="s">
        <v>68</v>
      </c>
      <c r="E7405" s="3" t="s">
        <v>100</v>
      </c>
      <c r="F7405" s="3" t="s">
        <v>1992</v>
      </c>
      <c r="G7405" s="7">
        <v>46277.677328640966</v>
      </c>
    </row>
    <row r="7406">
      <c r="A7406" s="3" t="s">
        <v>22261</v>
      </c>
      <c r="B7406" s="3" t="s">
        <v>574</v>
      </c>
      <c r="C7406" s="3" t="s">
        <v>1095</v>
      </c>
      <c r="D7406" s="3" t="s">
        <v>68</v>
      </c>
      <c r="E7406" s="3" t="s">
        <v>100</v>
      </c>
      <c r="F7406" s="3" t="s">
        <v>1354</v>
      </c>
      <c r="G7406" s="7">
        <v>46277.748503486386</v>
      </c>
    </row>
    <row r="7407">
      <c r="A7407" s="3" t="s">
        <v>22265</v>
      </c>
      <c r="B7407" s="3" t="s">
        <v>430</v>
      </c>
      <c r="C7407" s="3" t="s">
        <v>1342</v>
      </c>
      <c r="D7407" s="3" t="s">
        <v>68</v>
      </c>
      <c r="E7407" s="3" t="s">
        <v>100</v>
      </c>
      <c r="F7407" s="3" t="s">
        <v>1935</v>
      </c>
      <c r="G7407" s="7">
        <v>46277.8196783318</v>
      </c>
    </row>
    <row r="7408">
      <c r="A7408" s="3" t="s">
        <v>22267</v>
      </c>
      <c r="B7408" s="3" t="s">
        <v>947</v>
      </c>
      <c r="C7408" s="3" t="s">
        <v>56</v>
      </c>
      <c r="D7408" s="3" t="s">
        <v>68</v>
      </c>
      <c r="E7408" s="3" t="s">
        <v>100</v>
      </c>
      <c r="F7408" s="3" t="s">
        <v>1993</v>
      </c>
      <c r="G7408" s="7">
        <v>46277.89085317721</v>
      </c>
    </row>
    <row r="7409">
      <c r="A7409" s="3" t="s">
        <v>22269</v>
      </c>
      <c r="B7409" s="3" t="s">
        <v>676</v>
      </c>
      <c r="C7409" s="3" t="s">
        <v>1342</v>
      </c>
      <c r="D7409" s="3" t="s">
        <v>68</v>
      </c>
      <c r="E7409" s="3" t="s">
        <v>100</v>
      </c>
      <c r="F7409" s="3" t="s">
        <v>1795</v>
      </c>
      <c r="G7409" s="7">
        <v>46277.96202802263</v>
      </c>
    </row>
    <row r="7410">
      <c r="A7410" s="3" t="s">
        <v>22271</v>
      </c>
      <c r="B7410" s="3" t="s">
        <v>462</v>
      </c>
      <c r="C7410" s="3" t="s">
        <v>1342</v>
      </c>
      <c r="D7410" s="3" t="s">
        <v>68</v>
      </c>
      <c r="E7410" s="3" t="s">
        <v>100</v>
      </c>
      <c r="F7410" s="3" t="s">
        <v>1602</v>
      </c>
      <c r="G7410" s="7">
        <v>46278.03320286804</v>
      </c>
    </row>
    <row r="7411">
      <c r="A7411" s="3" t="s">
        <v>22273</v>
      </c>
      <c r="B7411" s="3" t="s">
        <v>895</v>
      </c>
      <c r="C7411" s="3" t="s">
        <v>1342</v>
      </c>
      <c r="D7411" s="3" t="s">
        <v>68</v>
      </c>
      <c r="E7411" s="3" t="s">
        <v>100</v>
      </c>
      <c r="F7411" s="3" t="s">
        <v>1092</v>
      </c>
      <c r="G7411" s="7">
        <v>46278.104377713455</v>
      </c>
    </row>
    <row r="7412">
      <c r="A7412" s="3" t="s">
        <v>22275</v>
      </c>
      <c r="B7412" s="3" t="s">
        <v>650</v>
      </c>
      <c r="C7412" s="3" t="s">
        <v>1095</v>
      </c>
      <c r="D7412" s="3" t="s">
        <v>68</v>
      </c>
      <c r="E7412" s="3" t="s">
        <v>100</v>
      </c>
      <c r="F7412" s="3" t="s">
        <v>1961</v>
      </c>
      <c r="G7412" s="7">
        <v>46278.175552558874</v>
      </c>
    </row>
    <row r="7413">
      <c r="A7413" s="3" t="s">
        <v>22277</v>
      </c>
      <c r="B7413" s="3" t="s">
        <v>662</v>
      </c>
      <c r="C7413" s="3" t="s">
        <v>56</v>
      </c>
      <c r="D7413" s="3" t="s">
        <v>68</v>
      </c>
      <c r="E7413" s="3" t="s">
        <v>100</v>
      </c>
      <c r="F7413" s="3" t="s">
        <v>1997</v>
      </c>
      <c r="G7413" s="7">
        <v>46278.24672740429</v>
      </c>
    </row>
    <row r="7414">
      <c r="A7414" s="3" t="s">
        <v>22279</v>
      </c>
      <c r="B7414" s="3" t="s">
        <v>937</v>
      </c>
      <c r="C7414" s="3" t="s">
        <v>56</v>
      </c>
      <c r="D7414" s="3" t="s">
        <v>68</v>
      </c>
      <c r="E7414" s="3" t="s">
        <v>100</v>
      </c>
      <c r="F7414" s="3" t="s">
        <v>1999</v>
      </c>
      <c r="G7414" s="7">
        <v>46278.3179022497</v>
      </c>
    </row>
    <row r="7415">
      <c r="A7415" s="3" t="s">
        <v>22281</v>
      </c>
      <c r="B7415" s="3" t="s">
        <v>1008</v>
      </c>
      <c r="C7415" s="3" t="s">
        <v>56</v>
      </c>
      <c r="D7415" s="3" t="s">
        <v>68</v>
      </c>
      <c r="E7415" s="3" t="s">
        <v>100</v>
      </c>
      <c r="F7415" s="3" t="s">
        <v>2001</v>
      </c>
      <c r="G7415" s="7">
        <v>46278.38907709512</v>
      </c>
    </row>
    <row r="7416">
      <c r="A7416" s="3" t="s">
        <v>22284</v>
      </c>
      <c r="B7416" s="3" t="s">
        <v>751</v>
      </c>
      <c r="C7416" s="3" t="s">
        <v>1095</v>
      </c>
      <c r="D7416" s="3" t="s">
        <v>195</v>
      </c>
      <c r="E7416" s="3" t="s">
        <v>45</v>
      </c>
      <c r="F7416" s="3" t="s">
        <v>1395</v>
      </c>
      <c r="G7416" s="7">
        <v>46278.46025194053</v>
      </c>
    </row>
    <row r="7417">
      <c r="A7417" s="3" t="s">
        <v>22287</v>
      </c>
      <c r="B7417" s="3" t="s">
        <v>202</v>
      </c>
      <c r="C7417" s="3" t="s">
        <v>1342</v>
      </c>
      <c r="D7417" s="3" t="s">
        <v>68</v>
      </c>
      <c r="E7417" s="3" t="s">
        <v>100</v>
      </c>
      <c r="F7417" s="3" t="s">
        <v>1916</v>
      </c>
      <c r="G7417" s="7">
        <v>46278.53142678594</v>
      </c>
    </row>
    <row r="7418">
      <c r="A7418" s="3" t="s">
        <v>22290</v>
      </c>
      <c r="B7418" s="3" t="s">
        <v>853</v>
      </c>
      <c r="C7418" s="3" t="s">
        <v>56</v>
      </c>
      <c r="D7418" s="3" t="s">
        <v>68</v>
      </c>
      <c r="E7418" s="3" t="s">
        <v>100</v>
      </c>
      <c r="F7418" s="3" t="s">
        <v>2004</v>
      </c>
      <c r="G7418" s="7">
        <v>46278.60260163136</v>
      </c>
    </row>
    <row r="7419">
      <c r="A7419" s="3" t="s">
        <v>22293</v>
      </c>
      <c r="B7419" s="3" t="s">
        <v>838</v>
      </c>
      <c r="C7419" s="3" t="s">
        <v>56</v>
      </c>
      <c r="D7419" s="3" t="s">
        <v>68</v>
      </c>
      <c r="E7419" s="3" t="s">
        <v>100</v>
      </c>
      <c r="F7419" s="3" t="s">
        <v>2006</v>
      </c>
      <c r="G7419" s="7">
        <v>46278.67377647678</v>
      </c>
    </row>
    <row r="7420">
      <c r="A7420" s="3" t="s">
        <v>22296</v>
      </c>
      <c r="B7420" s="3" t="s">
        <v>650</v>
      </c>
      <c r="C7420" s="3" t="s">
        <v>56</v>
      </c>
      <c r="D7420" s="3" t="s">
        <v>68</v>
      </c>
      <c r="E7420" s="3" t="s">
        <v>100</v>
      </c>
      <c r="F7420" s="3" t="s">
        <v>2009</v>
      </c>
      <c r="G7420" s="7">
        <v>46278.74495132219</v>
      </c>
    </row>
    <row r="7421">
      <c r="A7421" s="3" t="s">
        <v>22299</v>
      </c>
      <c r="B7421" s="3" t="s">
        <v>202</v>
      </c>
      <c r="C7421" s="3" t="s">
        <v>1342</v>
      </c>
      <c r="D7421" s="3" t="s">
        <v>68</v>
      </c>
      <c r="E7421" s="3" t="s">
        <v>100</v>
      </c>
      <c r="F7421" s="3" t="s">
        <v>1916</v>
      </c>
      <c r="G7421" s="7">
        <v>46278.81612616761</v>
      </c>
    </row>
    <row r="7422">
      <c r="A7422" s="3" t="s">
        <v>22302</v>
      </c>
      <c r="B7422" s="3" t="s">
        <v>756</v>
      </c>
      <c r="C7422" s="3" t="s">
        <v>1342</v>
      </c>
      <c r="D7422" s="3" t="s">
        <v>68</v>
      </c>
      <c r="E7422" s="3" t="s">
        <v>100</v>
      </c>
      <c r="F7422" s="3" t="s">
        <v>1514</v>
      </c>
      <c r="G7422" s="7">
        <v>46278.88730101303</v>
      </c>
    </row>
    <row r="7423">
      <c r="A7423" s="3" t="s">
        <v>22305</v>
      </c>
      <c r="B7423" s="3" t="s">
        <v>266</v>
      </c>
      <c r="C7423" s="3" t="s">
        <v>1095</v>
      </c>
      <c r="D7423" s="3" t="s">
        <v>181</v>
      </c>
      <c r="E7423" s="3" t="s">
        <v>45</v>
      </c>
      <c r="F7423" s="3" t="s">
        <v>1842</v>
      </c>
      <c r="G7423" s="7">
        <v>46278.95847585844</v>
      </c>
    </row>
    <row r="7424">
      <c r="A7424" s="3" t="s">
        <v>22309</v>
      </c>
      <c r="B7424" s="3" t="s">
        <v>479</v>
      </c>
      <c r="C7424" s="3" t="s">
        <v>1342</v>
      </c>
      <c r="D7424" s="3" t="s">
        <v>68</v>
      </c>
      <c r="E7424" s="3" t="s">
        <v>100</v>
      </c>
      <c r="F7424" s="3" t="s">
        <v>2032</v>
      </c>
      <c r="G7424" s="7">
        <v>46279.02965070385</v>
      </c>
    </row>
    <row r="7425">
      <c r="A7425" s="3" t="s">
        <v>22312</v>
      </c>
      <c r="B7425" s="3" t="s">
        <v>929</v>
      </c>
      <c r="C7425" s="3" t="s">
        <v>1342</v>
      </c>
      <c r="D7425" s="3" t="s">
        <v>68</v>
      </c>
      <c r="E7425" s="3" t="s">
        <v>100</v>
      </c>
      <c r="F7425" s="3" t="s">
        <v>1256</v>
      </c>
      <c r="G7425" s="7">
        <v>46279.10082554927</v>
      </c>
    </row>
    <row r="7426">
      <c r="A7426" s="3" t="s">
        <v>22315</v>
      </c>
      <c r="B7426" s="3" t="s">
        <v>747</v>
      </c>
      <c r="C7426" s="3" t="s">
        <v>1095</v>
      </c>
      <c r="D7426" s="3" t="s">
        <v>68</v>
      </c>
      <c r="E7426" s="3" t="s">
        <v>100</v>
      </c>
      <c r="F7426" s="3" t="s">
        <v>1206</v>
      </c>
      <c r="G7426" s="7">
        <v>46279.17200039468</v>
      </c>
    </row>
    <row r="7427">
      <c r="A7427" s="3" t="s">
        <v>22318</v>
      </c>
      <c r="B7427" s="3" t="s">
        <v>472</v>
      </c>
      <c r="C7427" s="3" t="s">
        <v>1342</v>
      </c>
      <c r="D7427" s="3" t="s">
        <v>181</v>
      </c>
      <c r="E7427" s="3" t="s">
        <v>45</v>
      </c>
      <c r="F7427" s="3" t="s">
        <v>1733</v>
      </c>
      <c r="G7427" s="7">
        <v>46279.243175240095</v>
      </c>
    </row>
    <row r="7428">
      <c r="A7428" s="3" t="s">
        <v>22321</v>
      </c>
      <c r="B7428" s="3" t="s">
        <v>662</v>
      </c>
      <c r="C7428" s="3" t="s">
        <v>1342</v>
      </c>
      <c r="D7428" s="3" t="s">
        <v>68</v>
      </c>
      <c r="E7428" s="3" t="s">
        <v>100</v>
      </c>
      <c r="F7428" s="3" t="s">
        <v>1997</v>
      </c>
      <c r="G7428" s="7">
        <v>46279.314350085515</v>
      </c>
    </row>
    <row r="7429">
      <c r="A7429" s="3" t="s">
        <v>22324</v>
      </c>
      <c r="B7429" s="3" t="s">
        <v>472</v>
      </c>
      <c r="C7429" s="3" t="s">
        <v>1095</v>
      </c>
      <c r="D7429" s="3" t="s">
        <v>68</v>
      </c>
      <c r="E7429" s="3" t="s">
        <v>100</v>
      </c>
      <c r="F7429" s="3" t="s">
        <v>1733</v>
      </c>
      <c r="G7429" s="7">
        <v>46279.38552493093</v>
      </c>
    </row>
    <row r="7430">
      <c r="A7430" s="3" t="s">
        <v>22327</v>
      </c>
      <c r="B7430" s="3" t="s">
        <v>493</v>
      </c>
      <c r="C7430" s="3" t="s">
        <v>1342</v>
      </c>
      <c r="D7430" s="3" t="s">
        <v>68</v>
      </c>
      <c r="E7430" s="3" t="s">
        <v>100</v>
      </c>
      <c r="F7430" s="3" t="s">
        <v>1623</v>
      </c>
      <c r="G7430" s="7">
        <v>46279.45669977634</v>
      </c>
    </row>
    <row r="7431">
      <c r="A7431" s="3" t="s">
        <v>22329</v>
      </c>
      <c r="B7431" s="3" t="s">
        <v>1030</v>
      </c>
      <c r="C7431" s="3" t="s">
        <v>1342</v>
      </c>
      <c r="D7431" s="3" t="s">
        <v>68</v>
      </c>
      <c r="E7431" s="3" t="s">
        <v>100</v>
      </c>
      <c r="F7431" s="3" t="s">
        <v>1950</v>
      </c>
      <c r="G7431" s="7">
        <v>46279.52787462176</v>
      </c>
    </row>
    <row r="7432">
      <c r="A7432" s="3" t="s">
        <v>22331</v>
      </c>
      <c r="B7432" s="3" t="s">
        <v>460</v>
      </c>
      <c r="C7432" s="3" t="s">
        <v>56</v>
      </c>
      <c r="D7432" s="3" t="s">
        <v>68</v>
      </c>
      <c r="E7432" s="3" t="s">
        <v>100</v>
      </c>
      <c r="F7432" s="3" t="s">
        <v>2013</v>
      </c>
      <c r="G7432" s="7">
        <v>46279.59904946717</v>
      </c>
    </row>
    <row r="7433">
      <c r="A7433" s="3" t="s">
        <v>22334</v>
      </c>
      <c r="B7433" s="3" t="s">
        <v>519</v>
      </c>
      <c r="C7433" s="3" t="s">
        <v>1342</v>
      </c>
      <c r="D7433" s="3" t="s">
        <v>68</v>
      </c>
      <c r="E7433" s="3" t="s">
        <v>100</v>
      </c>
      <c r="F7433" s="3" t="s">
        <v>1740</v>
      </c>
      <c r="G7433" s="7">
        <v>46279.670224312584</v>
      </c>
    </row>
    <row r="7434">
      <c r="A7434" s="3" t="s">
        <v>22335</v>
      </c>
      <c r="B7434" s="3" t="s">
        <v>947</v>
      </c>
      <c r="C7434" s="3" t="s">
        <v>1342</v>
      </c>
      <c r="D7434" s="3" t="s">
        <v>68</v>
      </c>
      <c r="E7434" s="3" t="s">
        <v>100</v>
      </c>
      <c r="F7434" s="3" t="s">
        <v>1993</v>
      </c>
      <c r="G7434" s="7">
        <v>46279.741399158</v>
      </c>
    </row>
    <row r="7435">
      <c r="A7435" s="3" t="s">
        <v>22337</v>
      </c>
      <c r="B7435" s="3" t="s">
        <v>860</v>
      </c>
      <c r="C7435" s="3" t="s">
        <v>56</v>
      </c>
      <c r="D7435" s="3" t="s">
        <v>68</v>
      </c>
      <c r="E7435" s="3" t="s">
        <v>100</v>
      </c>
      <c r="F7435" s="3" t="s">
        <v>2018</v>
      </c>
      <c r="G7435" s="7">
        <v>46279.81257400342</v>
      </c>
    </row>
    <row r="7436">
      <c r="A7436" s="3" t="s">
        <v>22340</v>
      </c>
      <c r="B7436" s="3" t="s">
        <v>559</v>
      </c>
      <c r="C7436" s="3" t="s">
        <v>1342</v>
      </c>
      <c r="D7436" s="3" t="s">
        <v>68</v>
      </c>
      <c r="E7436" s="3" t="s">
        <v>100</v>
      </c>
      <c r="F7436" s="3" t="s">
        <v>1133</v>
      </c>
      <c r="G7436" s="7">
        <v>46279.88374884883</v>
      </c>
    </row>
    <row r="7437">
      <c r="A7437" s="3" t="s">
        <v>22342</v>
      </c>
      <c r="B7437" s="3" t="s">
        <v>934</v>
      </c>
      <c r="C7437" s="3" t="s">
        <v>56</v>
      </c>
      <c r="D7437" s="3" t="s">
        <v>68</v>
      </c>
      <c r="E7437" s="3" t="s">
        <v>100</v>
      </c>
      <c r="F7437" s="3" t="s">
        <v>2020</v>
      </c>
      <c r="G7437" s="7">
        <v>46279.95492369425</v>
      </c>
    </row>
    <row r="7438">
      <c r="A7438" s="3" t="s">
        <v>22344</v>
      </c>
      <c r="B7438" s="3" t="s">
        <v>239</v>
      </c>
      <c r="C7438" s="3" t="s">
        <v>1342</v>
      </c>
      <c r="D7438" s="3" t="s">
        <v>195</v>
      </c>
      <c r="E7438" s="3" t="s">
        <v>45</v>
      </c>
      <c r="F7438" s="3" t="s">
        <v>1971</v>
      </c>
      <c r="G7438" s="7">
        <v>46280.02609853967</v>
      </c>
    </row>
    <row r="7439">
      <c r="A7439" s="3" t="s">
        <v>22347</v>
      </c>
      <c r="B7439" s="3" t="s">
        <v>587</v>
      </c>
      <c r="C7439" s="3" t="s">
        <v>1095</v>
      </c>
      <c r="D7439" s="3" t="s">
        <v>68</v>
      </c>
      <c r="E7439" s="3" t="s">
        <v>100</v>
      </c>
      <c r="F7439" s="3" t="s">
        <v>1448</v>
      </c>
      <c r="G7439" s="7">
        <v>46280.09727338508</v>
      </c>
    </row>
    <row r="7440">
      <c r="A7440" s="3" t="s">
        <v>22349</v>
      </c>
      <c r="B7440" s="3" t="s">
        <v>215</v>
      </c>
      <c r="C7440" s="3" t="s">
        <v>56</v>
      </c>
      <c r="D7440" s="3" t="s">
        <v>68</v>
      </c>
      <c r="E7440" s="3" t="s">
        <v>100</v>
      </c>
      <c r="F7440" s="3" t="s">
        <v>2021</v>
      </c>
      <c r="G7440" s="7">
        <v>46280.16844823049</v>
      </c>
    </row>
    <row r="7441">
      <c r="A7441" s="3" t="s">
        <v>22351</v>
      </c>
      <c r="B7441" s="3" t="s">
        <v>380</v>
      </c>
      <c r="C7441" s="3" t="s">
        <v>56</v>
      </c>
      <c r="D7441" s="3" t="s">
        <v>68</v>
      </c>
      <c r="E7441" s="3" t="s">
        <v>100</v>
      </c>
      <c r="F7441" s="3" t="s">
        <v>2023</v>
      </c>
      <c r="G7441" s="7">
        <v>46280.23962307591</v>
      </c>
    </row>
    <row r="7442">
      <c r="A7442" s="3" t="s">
        <v>22353</v>
      </c>
      <c r="B7442" s="3" t="s">
        <v>488</v>
      </c>
      <c r="C7442" s="3" t="s">
        <v>1342</v>
      </c>
      <c r="D7442" s="3" t="s">
        <v>68</v>
      </c>
      <c r="E7442" s="3" t="s">
        <v>100</v>
      </c>
      <c r="F7442" s="3" t="s">
        <v>1593</v>
      </c>
      <c r="G7442" s="7">
        <v>46280.310797921324</v>
      </c>
    </row>
    <row r="7443">
      <c r="A7443" s="3" t="s">
        <v>22355</v>
      </c>
      <c r="B7443" s="3" t="s">
        <v>171</v>
      </c>
      <c r="C7443" s="3" t="s">
        <v>1095</v>
      </c>
      <c r="D7443" s="3" t="s">
        <v>68</v>
      </c>
      <c r="E7443" s="3" t="s">
        <v>100</v>
      </c>
      <c r="F7443" s="3" t="s">
        <v>1835</v>
      </c>
      <c r="G7443" s="7">
        <v>46280.381972766736</v>
      </c>
    </row>
    <row r="7444">
      <c r="A7444" s="3" t="s">
        <v>22358</v>
      </c>
      <c r="B7444" s="3" t="s">
        <v>404</v>
      </c>
      <c r="C7444" s="3" t="s">
        <v>56</v>
      </c>
      <c r="D7444" s="3" t="s">
        <v>68</v>
      </c>
      <c r="E7444" s="3" t="s">
        <v>100</v>
      </c>
      <c r="F7444" s="3" t="s">
        <v>2024</v>
      </c>
      <c r="G7444" s="7">
        <v>46280.453147612156</v>
      </c>
    </row>
    <row r="7445">
      <c r="A7445" s="3" t="s">
        <v>22361</v>
      </c>
      <c r="B7445" s="3" t="s">
        <v>916</v>
      </c>
      <c r="C7445" s="3" t="s">
        <v>1342</v>
      </c>
      <c r="D7445" s="3" t="s">
        <v>68</v>
      </c>
      <c r="E7445" s="3" t="s">
        <v>100</v>
      </c>
      <c r="F7445" s="3" t="s">
        <v>1943</v>
      </c>
      <c r="G7445" s="7">
        <v>46280.52432245757</v>
      </c>
    </row>
    <row r="7446">
      <c r="A7446" s="3" t="s">
        <v>22364</v>
      </c>
      <c r="B7446" s="3" t="s">
        <v>735</v>
      </c>
      <c r="C7446" s="3" t="s">
        <v>56</v>
      </c>
      <c r="D7446" s="3" t="s">
        <v>68</v>
      </c>
      <c r="E7446" s="3" t="s">
        <v>100</v>
      </c>
      <c r="F7446" s="3" t="s">
        <v>2025</v>
      </c>
      <c r="G7446" s="7">
        <v>46280.59549730298</v>
      </c>
    </row>
    <row r="7447">
      <c r="A7447" s="3" t="s">
        <v>22367</v>
      </c>
      <c r="B7447" s="3" t="s">
        <v>488</v>
      </c>
      <c r="C7447" s="3" t="s">
        <v>1095</v>
      </c>
      <c r="D7447" s="3" t="s">
        <v>68</v>
      </c>
      <c r="E7447" s="3" t="s">
        <v>100</v>
      </c>
      <c r="F7447" s="3" t="s">
        <v>1593</v>
      </c>
      <c r="G7447" s="7">
        <v>46280.6666721484</v>
      </c>
    </row>
    <row r="7448">
      <c r="A7448" s="3" t="s">
        <v>22369</v>
      </c>
      <c r="B7448" s="3" t="s">
        <v>414</v>
      </c>
      <c r="C7448" s="3" t="s">
        <v>1342</v>
      </c>
      <c r="D7448" s="3" t="s">
        <v>68</v>
      </c>
      <c r="E7448" s="3" t="s">
        <v>100</v>
      </c>
      <c r="F7448" s="3" t="s">
        <v>1201</v>
      </c>
      <c r="G7448" s="7">
        <v>46280.73784699382</v>
      </c>
    </row>
    <row r="7449">
      <c r="A7449" s="3" t="s">
        <v>22371</v>
      </c>
      <c r="B7449" s="3" t="s">
        <v>233</v>
      </c>
      <c r="C7449" s="3" t="s">
        <v>1095</v>
      </c>
      <c r="D7449" s="3" t="s">
        <v>68</v>
      </c>
      <c r="E7449" s="3" t="s">
        <v>100</v>
      </c>
      <c r="F7449" s="3" t="s">
        <v>1234</v>
      </c>
      <c r="G7449" s="7">
        <v>46280.809021839224</v>
      </c>
    </row>
    <row r="7450">
      <c r="A7450" s="3" t="s">
        <v>22373</v>
      </c>
      <c r="B7450" s="3" t="s">
        <v>348</v>
      </c>
      <c r="C7450" s="3" t="s">
        <v>1095</v>
      </c>
      <c r="D7450" s="3" t="s">
        <v>68</v>
      </c>
      <c r="E7450" s="3" t="s">
        <v>100</v>
      </c>
      <c r="F7450" s="3" t="s">
        <v>1647</v>
      </c>
      <c r="G7450" s="7">
        <v>46280.880196684644</v>
      </c>
    </row>
    <row r="7451">
      <c r="A7451" s="3" t="s">
        <v>22375</v>
      </c>
      <c r="B7451" s="3" t="s">
        <v>1001</v>
      </c>
      <c r="C7451" s="3" t="s">
        <v>1095</v>
      </c>
      <c r="D7451" s="3" t="s">
        <v>68</v>
      </c>
      <c r="E7451" s="3" t="s">
        <v>100</v>
      </c>
      <c r="F7451" s="3" t="s">
        <v>1094</v>
      </c>
      <c r="G7451" s="7">
        <v>46280.95137153006</v>
      </c>
    </row>
    <row r="7452">
      <c r="A7452" s="3" t="s">
        <v>22377</v>
      </c>
      <c r="B7452" s="3" t="s">
        <v>366</v>
      </c>
      <c r="C7452" s="3" t="s">
        <v>56</v>
      </c>
      <c r="D7452" s="3" t="s">
        <v>68</v>
      </c>
      <c r="E7452" s="3" t="s">
        <v>100</v>
      </c>
      <c r="F7452" s="3" t="s">
        <v>2028</v>
      </c>
      <c r="G7452" s="7">
        <v>46281.022546375476</v>
      </c>
    </row>
    <row r="7453">
      <c r="A7453" s="3" t="s">
        <v>22379</v>
      </c>
      <c r="B7453" s="3" t="s">
        <v>485</v>
      </c>
      <c r="C7453" s="3" t="s">
        <v>1342</v>
      </c>
      <c r="D7453" s="3" t="s">
        <v>68</v>
      </c>
      <c r="E7453" s="3" t="s">
        <v>100</v>
      </c>
      <c r="F7453" s="3" t="s">
        <v>1076</v>
      </c>
      <c r="G7453" s="7">
        <v>46281.09372122089</v>
      </c>
    </row>
    <row r="7454">
      <c r="A7454" s="3" t="s">
        <v>22381</v>
      </c>
      <c r="B7454" s="3" t="s">
        <v>341</v>
      </c>
      <c r="C7454" s="3" t="s">
        <v>56</v>
      </c>
      <c r="D7454" s="3" t="s">
        <v>68</v>
      </c>
      <c r="E7454" s="3" t="s">
        <v>100</v>
      </c>
      <c r="F7454" s="3" t="s">
        <v>2030</v>
      </c>
      <c r="G7454" s="7">
        <v>46281.16489606631</v>
      </c>
    </row>
    <row r="7455">
      <c r="A7455" s="3" t="s">
        <v>22383</v>
      </c>
      <c r="B7455" s="3" t="s">
        <v>411</v>
      </c>
      <c r="C7455" s="3" t="s">
        <v>1095</v>
      </c>
      <c r="D7455" s="3" t="s">
        <v>68</v>
      </c>
      <c r="E7455" s="3" t="s">
        <v>100</v>
      </c>
      <c r="F7455" s="3" t="s">
        <v>1119</v>
      </c>
      <c r="G7455" s="7">
        <v>46281.23607091172</v>
      </c>
    </row>
    <row r="7456">
      <c r="A7456" s="3" t="s">
        <v>22385</v>
      </c>
      <c r="B7456" s="3" t="s">
        <v>943</v>
      </c>
      <c r="C7456" s="3" t="s">
        <v>1342</v>
      </c>
      <c r="D7456" s="3" t="s">
        <v>68</v>
      </c>
      <c r="E7456" s="3" t="s">
        <v>100</v>
      </c>
      <c r="F7456" s="3" t="s">
        <v>1553</v>
      </c>
      <c r="G7456" s="7">
        <v>46281.30724575713</v>
      </c>
    </row>
    <row r="7457">
      <c r="A7457" s="3" t="s">
        <v>22387</v>
      </c>
      <c r="B7457" s="3" t="s">
        <v>453</v>
      </c>
      <c r="C7457" s="3" t="s">
        <v>1342</v>
      </c>
      <c r="D7457" s="3" t="s">
        <v>68</v>
      </c>
      <c r="E7457" s="3" t="s">
        <v>100</v>
      </c>
      <c r="F7457" s="3" t="s">
        <v>1789</v>
      </c>
      <c r="G7457" s="7">
        <v>46281.37842060255</v>
      </c>
    </row>
    <row r="7458">
      <c r="A7458" s="3" t="s">
        <v>22390</v>
      </c>
      <c r="B7458" s="3" t="s">
        <v>269</v>
      </c>
      <c r="C7458" s="3" t="s">
        <v>1095</v>
      </c>
      <c r="D7458" s="3" t="s">
        <v>68</v>
      </c>
      <c r="E7458" s="3" t="s">
        <v>100</v>
      </c>
      <c r="F7458" s="3" t="s">
        <v>1198</v>
      </c>
      <c r="G7458" s="7">
        <v>46281.449595447964</v>
      </c>
    </row>
    <row r="7459">
      <c r="A7459" s="3" t="s">
        <v>22392</v>
      </c>
      <c r="B7459" s="3" t="s">
        <v>773</v>
      </c>
      <c r="C7459" s="3" t="s">
        <v>1095</v>
      </c>
      <c r="D7459" s="3" t="s">
        <v>195</v>
      </c>
      <c r="E7459" s="3" t="s">
        <v>45</v>
      </c>
      <c r="F7459" s="3" t="s">
        <v>1104</v>
      </c>
      <c r="G7459" s="7">
        <v>46281.52077029338</v>
      </c>
    </row>
    <row r="7460">
      <c r="A7460" s="3" t="s">
        <v>22394</v>
      </c>
      <c r="B7460" s="3" t="s">
        <v>233</v>
      </c>
      <c r="C7460" s="3" t="s">
        <v>56</v>
      </c>
      <c r="D7460" s="3" t="s">
        <v>181</v>
      </c>
      <c r="E7460" s="3" t="s">
        <v>45</v>
      </c>
      <c r="F7460" s="3" t="s">
        <v>45</v>
      </c>
      <c r="G7460" s="7">
        <v>46281.591945138796</v>
      </c>
    </row>
    <row r="7461">
      <c r="A7461" s="3" t="s">
        <v>22396</v>
      </c>
      <c r="B7461" s="3" t="s">
        <v>998</v>
      </c>
      <c r="C7461" s="3" t="s">
        <v>1342</v>
      </c>
      <c r="D7461" s="3" t="s">
        <v>68</v>
      </c>
      <c r="E7461" s="3" t="s">
        <v>100</v>
      </c>
      <c r="F7461" s="3" t="s">
        <v>1766</v>
      </c>
      <c r="G7461" s="7">
        <v>46281.66311998421</v>
      </c>
    </row>
    <row r="7462">
      <c r="A7462" s="3" t="s">
        <v>22398</v>
      </c>
      <c r="B7462" s="3" t="s">
        <v>419</v>
      </c>
      <c r="C7462" s="3" t="s">
        <v>1342</v>
      </c>
      <c r="D7462" s="3" t="s">
        <v>68</v>
      </c>
      <c r="E7462" s="3" t="s">
        <v>100</v>
      </c>
      <c r="F7462" s="3" t="s">
        <v>1879</v>
      </c>
      <c r="G7462" s="7">
        <v>46281.73429482962</v>
      </c>
    </row>
    <row r="7463">
      <c r="A7463" s="3" t="s">
        <v>22400</v>
      </c>
      <c r="B7463" s="3" t="s">
        <v>830</v>
      </c>
      <c r="C7463" s="3" t="s">
        <v>56</v>
      </c>
      <c r="D7463" s="3" t="s">
        <v>195</v>
      </c>
      <c r="E7463" s="3" t="s">
        <v>45</v>
      </c>
      <c r="F7463" s="3" t="s">
        <v>45</v>
      </c>
      <c r="G7463" s="7">
        <v>46281.80546967504</v>
      </c>
    </row>
    <row r="7464">
      <c r="A7464" s="3" t="s">
        <v>22402</v>
      </c>
      <c r="B7464" s="3" t="s">
        <v>541</v>
      </c>
      <c r="C7464" s="3" t="s">
        <v>56</v>
      </c>
      <c r="D7464" s="3" t="s">
        <v>68</v>
      </c>
      <c r="E7464" s="3" t="s">
        <v>100</v>
      </c>
      <c r="F7464" s="3" t="s">
        <v>2034</v>
      </c>
      <c r="G7464" s="7">
        <v>46281.87664452046</v>
      </c>
    </row>
    <row r="7465">
      <c r="A7465" s="3" t="s">
        <v>22405</v>
      </c>
      <c r="B7465" s="3" t="s">
        <v>219</v>
      </c>
      <c r="C7465" s="3" t="s">
        <v>1342</v>
      </c>
      <c r="D7465" s="3" t="s">
        <v>68</v>
      </c>
      <c r="E7465" s="3" t="s">
        <v>100</v>
      </c>
      <c r="F7465" s="3" t="s">
        <v>1812</v>
      </c>
      <c r="G7465" s="7">
        <v>46281.947819365865</v>
      </c>
    </row>
    <row r="7466">
      <c r="A7466" s="3" t="s">
        <v>22408</v>
      </c>
      <c r="B7466" s="3" t="s">
        <v>130</v>
      </c>
      <c r="C7466" s="3" t="s">
        <v>56</v>
      </c>
      <c r="D7466" s="3" t="s">
        <v>68</v>
      </c>
      <c r="E7466" s="3" t="s">
        <v>100</v>
      </c>
      <c r="F7466" s="3" t="s">
        <v>2039</v>
      </c>
      <c r="G7466" s="7">
        <v>46282.018994211285</v>
      </c>
    </row>
    <row r="7467">
      <c r="A7467" s="3" t="s">
        <v>22411</v>
      </c>
      <c r="B7467" s="3" t="s">
        <v>398</v>
      </c>
      <c r="C7467" s="3" t="s">
        <v>1095</v>
      </c>
      <c r="D7467" s="3" t="s">
        <v>195</v>
      </c>
      <c r="E7467" s="3" t="s">
        <v>45</v>
      </c>
      <c r="F7467" s="3" t="s">
        <v>1857</v>
      </c>
      <c r="G7467" s="7">
        <v>46282.090169056704</v>
      </c>
    </row>
    <row r="7468">
      <c r="A7468" s="3" t="s">
        <v>22414</v>
      </c>
      <c r="B7468" s="3" t="s">
        <v>713</v>
      </c>
      <c r="C7468" s="3" t="s">
        <v>1095</v>
      </c>
      <c r="D7468" s="3" t="s">
        <v>68</v>
      </c>
      <c r="E7468" s="3" t="s">
        <v>100</v>
      </c>
      <c r="F7468" s="3" t="s">
        <v>1918</v>
      </c>
      <c r="G7468" s="7">
        <v>46282.16134390212</v>
      </c>
    </row>
    <row r="7469">
      <c r="A7469" s="3" t="s">
        <v>22416</v>
      </c>
      <c r="B7469" s="3" t="s">
        <v>260</v>
      </c>
      <c r="C7469" s="3" t="s">
        <v>1095</v>
      </c>
      <c r="D7469" s="3" t="s">
        <v>68</v>
      </c>
      <c r="E7469" s="3" t="s">
        <v>100</v>
      </c>
      <c r="F7469" s="3" t="s">
        <v>1989</v>
      </c>
      <c r="G7469" s="7">
        <v>46282.23251874753</v>
      </c>
    </row>
    <row r="7470">
      <c r="A7470" s="3" t="s">
        <v>22418</v>
      </c>
      <c r="B7470" s="3" t="s">
        <v>230</v>
      </c>
      <c r="C7470" s="3" t="s">
        <v>56</v>
      </c>
      <c r="D7470" s="3" t="s">
        <v>68</v>
      </c>
      <c r="E7470" s="3" t="s">
        <v>100</v>
      </c>
      <c r="F7470" s="3" t="s">
        <v>2041</v>
      </c>
      <c r="G7470" s="7">
        <v>46282.30369359295</v>
      </c>
    </row>
    <row r="7471">
      <c r="A7471" s="3" t="s">
        <v>22420</v>
      </c>
      <c r="B7471" s="3" t="s">
        <v>816</v>
      </c>
      <c r="C7471" s="3" t="s">
        <v>1095</v>
      </c>
      <c r="D7471" s="3" t="s">
        <v>68</v>
      </c>
      <c r="E7471" s="3" t="s">
        <v>100</v>
      </c>
      <c r="F7471" s="3" t="s">
        <v>1366</v>
      </c>
      <c r="G7471" s="7">
        <v>46282.37486843836</v>
      </c>
    </row>
    <row r="7472">
      <c r="A7472" s="3" t="s">
        <v>22422</v>
      </c>
      <c r="B7472" s="3" t="s">
        <v>373</v>
      </c>
      <c r="C7472" s="3" t="s">
        <v>1095</v>
      </c>
      <c r="D7472" s="3" t="s">
        <v>68</v>
      </c>
      <c r="E7472" s="3" t="s">
        <v>100</v>
      </c>
      <c r="F7472" s="3" t="s">
        <v>1894</v>
      </c>
      <c r="G7472" s="7">
        <v>46282.44604328377</v>
      </c>
    </row>
    <row r="7473">
      <c r="A7473" s="3" t="s">
        <v>22426</v>
      </c>
      <c r="B7473" s="3" t="s">
        <v>961</v>
      </c>
      <c r="C7473" s="3" t="s">
        <v>1095</v>
      </c>
      <c r="D7473" s="3" t="s">
        <v>68</v>
      </c>
      <c r="E7473" s="3" t="s">
        <v>100</v>
      </c>
      <c r="F7473" s="3" t="s">
        <v>1701</v>
      </c>
      <c r="G7473" s="7">
        <v>46282.51721812919</v>
      </c>
    </row>
    <row r="7474">
      <c r="A7474" s="3" t="s">
        <v>22428</v>
      </c>
      <c r="B7474" s="3" t="s">
        <v>689</v>
      </c>
      <c r="C7474" s="3" t="s">
        <v>1342</v>
      </c>
      <c r="D7474" s="3" t="s">
        <v>68</v>
      </c>
      <c r="E7474" s="3" t="s">
        <v>100</v>
      </c>
      <c r="F7474" s="3" t="s">
        <v>1661</v>
      </c>
      <c r="G7474" s="7">
        <v>46282.588392974605</v>
      </c>
    </row>
    <row r="7475">
      <c r="A7475" s="3" t="s">
        <v>22430</v>
      </c>
      <c r="B7475" s="3" t="s">
        <v>640</v>
      </c>
      <c r="C7475" s="3" t="s">
        <v>1095</v>
      </c>
      <c r="D7475" s="3" t="s">
        <v>68</v>
      </c>
      <c r="E7475" s="3" t="s">
        <v>100</v>
      </c>
      <c r="F7475" s="3" t="s">
        <v>1882</v>
      </c>
      <c r="G7475" s="7">
        <v>46282.65956782002</v>
      </c>
    </row>
    <row r="7476">
      <c r="A7476" s="3" t="s">
        <v>22432</v>
      </c>
      <c r="B7476" s="3" t="s">
        <v>913</v>
      </c>
      <c r="C7476" s="3" t="s">
        <v>56</v>
      </c>
      <c r="D7476" s="3" t="s">
        <v>68</v>
      </c>
      <c r="E7476" s="3" t="s">
        <v>100</v>
      </c>
      <c r="F7476" s="3" t="s">
        <v>2044</v>
      </c>
      <c r="G7476" s="7">
        <v>46282.73074266544</v>
      </c>
    </row>
    <row r="7477">
      <c r="A7477" s="3" t="s">
        <v>22434</v>
      </c>
      <c r="B7477" s="3" t="s">
        <v>934</v>
      </c>
      <c r="C7477" s="3" t="s">
        <v>1095</v>
      </c>
      <c r="D7477" s="3" t="s">
        <v>68</v>
      </c>
      <c r="E7477" s="3" t="s">
        <v>100</v>
      </c>
      <c r="F7477" s="3" t="s">
        <v>2020</v>
      </c>
      <c r="G7477" s="7">
        <v>46282.80191751085</v>
      </c>
    </row>
    <row r="7478">
      <c r="A7478" s="3" t="s">
        <v>22436</v>
      </c>
      <c r="B7478" s="3" t="s">
        <v>330</v>
      </c>
      <c r="C7478" s="3" t="s">
        <v>1342</v>
      </c>
      <c r="D7478" s="3" t="s">
        <v>68</v>
      </c>
      <c r="E7478" s="3" t="s">
        <v>100</v>
      </c>
      <c r="F7478" s="3" t="s">
        <v>1979</v>
      </c>
      <c r="G7478" s="7">
        <v>46282.87309235626</v>
      </c>
    </row>
    <row r="7479">
      <c r="A7479" s="3" t="s">
        <v>22438</v>
      </c>
      <c r="B7479" s="3" t="s">
        <v>356</v>
      </c>
      <c r="C7479" s="3" t="s">
        <v>56</v>
      </c>
      <c r="D7479" s="3" t="s">
        <v>68</v>
      </c>
      <c r="E7479" s="3" t="s">
        <v>100</v>
      </c>
      <c r="F7479" s="3" t="s">
        <v>2047</v>
      </c>
      <c r="G7479" s="7">
        <v>46282.94426720168</v>
      </c>
    </row>
    <row r="7480">
      <c r="A7480" s="3" t="s">
        <v>22440</v>
      </c>
      <c r="B7480" s="3" t="s">
        <v>640</v>
      </c>
      <c r="C7480" s="3" t="s">
        <v>56</v>
      </c>
      <c r="D7480" s="3" t="s">
        <v>68</v>
      </c>
      <c r="E7480" s="3" t="s">
        <v>100</v>
      </c>
      <c r="F7480" s="3" t="s">
        <v>2050</v>
      </c>
      <c r="G7480" s="7">
        <v>46283.0154420471</v>
      </c>
    </row>
    <row r="7481">
      <c r="A7481" s="3" t="s">
        <v>22442</v>
      </c>
      <c r="B7481" s="3" t="s">
        <v>159</v>
      </c>
      <c r="C7481" s="3" t="s">
        <v>1342</v>
      </c>
      <c r="D7481" s="3" t="s">
        <v>68</v>
      </c>
      <c r="E7481" s="3" t="s">
        <v>100</v>
      </c>
      <c r="F7481" s="3" t="s">
        <v>1687</v>
      </c>
      <c r="G7481" s="7">
        <v>46283.086616892506</v>
      </c>
    </row>
    <row r="7482">
      <c r="A7482" s="3" t="s">
        <v>22446</v>
      </c>
      <c r="B7482" s="3" t="s">
        <v>359</v>
      </c>
      <c r="C7482" s="3" t="s">
        <v>56</v>
      </c>
      <c r="D7482" s="3" t="s">
        <v>68</v>
      </c>
      <c r="E7482" s="3" t="s">
        <v>100</v>
      </c>
      <c r="F7482" s="3" t="s">
        <v>2052</v>
      </c>
      <c r="G7482" s="7">
        <v>46283.157791737925</v>
      </c>
    </row>
    <row r="7483">
      <c r="A7483" s="3" t="s">
        <v>22448</v>
      </c>
      <c r="B7483" s="3" t="s">
        <v>319</v>
      </c>
      <c r="C7483" s="3" t="s">
        <v>1095</v>
      </c>
      <c r="D7483" s="3" t="s">
        <v>68</v>
      </c>
      <c r="E7483" s="3" t="s">
        <v>100</v>
      </c>
      <c r="F7483" s="3" t="s">
        <v>1828</v>
      </c>
      <c r="G7483" s="7">
        <v>46283.228966583345</v>
      </c>
    </row>
    <row r="7484">
      <c r="A7484" s="3" t="s">
        <v>22450</v>
      </c>
      <c r="B7484" s="3" t="s">
        <v>123</v>
      </c>
      <c r="C7484" s="3" t="s">
        <v>56</v>
      </c>
      <c r="D7484" s="3" t="s">
        <v>68</v>
      </c>
      <c r="E7484" s="3" t="s">
        <v>100</v>
      </c>
      <c r="F7484" s="3" t="s">
        <v>2056</v>
      </c>
      <c r="G7484" s="7">
        <v>46283.30014142876</v>
      </c>
    </row>
    <row r="7485">
      <c r="A7485" s="3" t="s">
        <v>22452</v>
      </c>
      <c r="B7485" s="3" t="s">
        <v>752</v>
      </c>
      <c r="C7485" s="3" t="s">
        <v>56</v>
      </c>
      <c r="D7485" s="3" t="s">
        <v>68</v>
      </c>
      <c r="E7485" s="3" t="s">
        <v>100</v>
      </c>
      <c r="F7485" s="3" t="s">
        <v>2059</v>
      </c>
      <c r="G7485" s="7">
        <v>46283.37131627417</v>
      </c>
    </row>
    <row r="7486">
      <c r="A7486" s="3" t="s">
        <v>22454</v>
      </c>
      <c r="B7486" s="3" t="s">
        <v>468</v>
      </c>
      <c r="C7486" s="3" t="s">
        <v>1095</v>
      </c>
      <c r="D7486" s="3" t="s">
        <v>68</v>
      </c>
      <c r="E7486" s="3" t="s">
        <v>100</v>
      </c>
      <c r="F7486" s="3" t="s">
        <v>1815</v>
      </c>
      <c r="G7486" s="7">
        <v>46283.44249111959</v>
      </c>
    </row>
    <row r="7487">
      <c r="A7487" s="3" t="s">
        <v>22456</v>
      </c>
      <c r="B7487" s="3" t="s">
        <v>640</v>
      </c>
      <c r="C7487" s="3" t="s">
        <v>1095</v>
      </c>
      <c r="D7487" s="3" t="s">
        <v>68</v>
      </c>
      <c r="E7487" s="3" t="s">
        <v>100</v>
      </c>
      <c r="F7487" s="3" t="s">
        <v>2050</v>
      </c>
      <c r="G7487" s="7">
        <v>46283.513665965</v>
      </c>
    </row>
    <row r="7488">
      <c r="A7488" s="3" t="s">
        <v>22458</v>
      </c>
      <c r="B7488" s="3" t="s">
        <v>211</v>
      </c>
      <c r="C7488" s="3" t="s">
        <v>1342</v>
      </c>
      <c r="D7488" s="3" t="s">
        <v>68</v>
      </c>
      <c r="E7488" s="3" t="s">
        <v>100</v>
      </c>
      <c r="F7488" s="3" t="s">
        <v>1039</v>
      </c>
      <c r="G7488" s="7">
        <v>46283.584840810414</v>
      </c>
    </row>
    <row r="7489">
      <c r="A7489" s="3" t="s">
        <v>22460</v>
      </c>
      <c r="B7489" s="3" t="s">
        <v>282</v>
      </c>
      <c r="C7489" s="3" t="s">
        <v>1095</v>
      </c>
      <c r="D7489" s="3" t="s">
        <v>68</v>
      </c>
      <c r="E7489" s="3" t="s">
        <v>100</v>
      </c>
      <c r="F7489" s="3" t="s">
        <v>1539</v>
      </c>
      <c r="G7489" s="7">
        <v>46283.65601565583</v>
      </c>
    </row>
    <row r="7490">
      <c r="A7490" s="3" t="s">
        <v>22462</v>
      </c>
      <c r="B7490" s="3" t="s">
        <v>496</v>
      </c>
      <c r="C7490" s="3" t="s">
        <v>1342</v>
      </c>
      <c r="D7490" s="3" t="s">
        <v>68</v>
      </c>
      <c r="E7490" s="3" t="s">
        <v>100</v>
      </c>
      <c r="F7490" s="3" t="s">
        <v>1274</v>
      </c>
      <c r="G7490" s="7">
        <v>46283.72719050125</v>
      </c>
    </row>
    <row r="7491">
      <c r="A7491" s="3" t="s">
        <v>22464</v>
      </c>
      <c r="B7491" s="3" t="s">
        <v>953</v>
      </c>
      <c r="C7491" s="3" t="s">
        <v>1342</v>
      </c>
      <c r="D7491" s="3" t="s">
        <v>68</v>
      </c>
      <c r="E7491" s="3" t="s">
        <v>100</v>
      </c>
      <c r="F7491" s="3" t="s">
        <v>1863</v>
      </c>
      <c r="G7491" s="7">
        <v>46283.79836534666</v>
      </c>
    </row>
    <row r="7492">
      <c r="A7492" s="3" t="s">
        <v>22466</v>
      </c>
      <c r="B7492" s="3" t="s">
        <v>900</v>
      </c>
      <c r="C7492" s="3" t="s">
        <v>1342</v>
      </c>
      <c r="D7492" s="3" t="s">
        <v>68</v>
      </c>
      <c r="E7492" s="3" t="s">
        <v>100</v>
      </c>
      <c r="F7492" s="3" t="s">
        <v>1927</v>
      </c>
      <c r="G7492" s="7">
        <v>46283.86954019208</v>
      </c>
    </row>
    <row r="7493">
      <c r="A7493" s="3" t="s">
        <v>22468</v>
      </c>
      <c r="B7493" s="3" t="s">
        <v>886</v>
      </c>
      <c r="C7493" s="3" t="s">
        <v>1342</v>
      </c>
      <c r="D7493" s="3" t="s">
        <v>195</v>
      </c>
      <c r="E7493" s="3" t="s">
        <v>45</v>
      </c>
      <c r="F7493" s="3" t="s">
        <v>1726</v>
      </c>
      <c r="G7493" s="7">
        <v>46283.94071503749</v>
      </c>
    </row>
    <row r="7494">
      <c r="A7494" s="3" t="s">
        <v>22470</v>
      </c>
      <c r="B7494" s="3" t="s">
        <v>307</v>
      </c>
      <c r="C7494" s="3" t="s">
        <v>56</v>
      </c>
      <c r="D7494" s="3" t="s">
        <v>68</v>
      </c>
      <c r="E7494" s="3" t="s">
        <v>100</v>
      </c>
      <c r="F7494" s="3" t="s">
        <v>2062</v>
      </c>
      <c r="G7494" s="7">
        <v>46284.01188988291</v>
      </c>
    </row>
    <row r="7495">
      <c r="A7495" s="3" t="s">
        <v>22472</v>
      </c>
      <c r="B7495" s="3" t="s">
        <v>282</v>
      </c>
      <c r="C7495" s="3" t="s">
        <v>56</v>
      </c>
      <c r="D7495" s="3" t="s">
        <v>181</v>
      </c>
      <c r="E7495" s="3" t="s">
        <v>45</v>
      </c>
      <c r="F7495" s="3" t="s">
        <v>45</v>
      </c>
      <c r="G7495" s="7">
        <v>46284.08306472832</v>
      </c>
    </row>
    <row r="7496">
      <c r="A7496" s="3" t="s">
        <v>22475</v>
      </c>
      <c r="B7496" s="3" t="s">
        <v>462</v>
      </c>
      <c r="C7496" s="3" t="s">
        <v>1095</v>
      </c>
      <c r="D7496" s="3" t="s">
        <v>181</v>
      </c>
      <c r="E7496" s="3" t="s">
        <v>45</v>
      </c>
      <c r="F7496" s="3" t="s">
        <v>1602</v>
      </c>
      <c r="G7496" s="7">
        <v>46284.15423957374</v>
      </c>
    </row>
    <row r="7497">
      <c r="A7497" s="3" t="s">
        <v>22478</v>
      </c>
      <c r="B7497" s="3" t="s">
        <v>922</v>
      </c>
      <c r="C7497" s="3" t="s">
        <v>1342</v>
      </c>
      <c r="D7497" s="3" t="s">
        <v>68</v>
      </c>
      <c r="E7497" s="3" t="s">
        <v>100</v>
      </c>
      <c r="F7497" s="3" t="s">
        <v>1609</v>
      </c>
      <c r="G7497" s="7">
        <v>46284.22541441915</v>
      </c>
    </row>
    <row r="7498">
      <c r="A7498" s="3" t="s">
        <v>22482</v>
      </c>
      <c r="B7498" s="3" t="s">
        <v>672</v>
      </c>
      <c r="C7498" s="3" t="s">
        <v>1095</v>
      </c>
      <c r="D7498" s="3" t="s">
        <v>68</v>
      </c>
      <c r="E7498" s="3" t="s">
        <v>100</v>
      </c>
      <c r="F7498" s="3" t="s">
        <v>1963</v>
      </c>
      <c r="G7498" s="7">
        <v>46284.296589264566</v>
      </c>
    </row>
    <row r="7499">
      <c r="A7499" s="3" t="s">
        <v>22485</v>
      </c>
      <c r="B7499" s="3" t="s">
        <v>256</v>
      </c>
      <c r="C7499" s="3" t="s">
        <v>1342</v>
      </c>
      <c r="D7499" s="3" t="s">
        <v>68</v>
      </c>
      <c r="E7499" s="3" t="s">
        <v>100</v>
      </c>
      <c r="F7499" s="3" t="s">
        <v>1506</v>
      </c>
      <c r="G7499" s="7">
        <v>46284.367764109986</v>
      </c>
    </row>
    <row r="7500">
      <c r="A7500" s="3" t="s">
        <v>22487</v>
      </c>
      <c r="B7500" s="3" t="s">
        <v>734</v>
      </c>
      <c r="C7500" s="3" t="s">
        <v>56</v>
      </c>
      <c r="D7500" s="3" t="s">
        <v>195</v>
      </c>
      <c r="E7500" s="3" t="s">
        <v>45</v>
      </c>
      <c r="F7500" s="3" t="s">
        <v>45</v>
      </c>
      <c r="G7500" s="7">
        <v>46284.4389389554</v>
      </c>
    </row>
    <row r="7501">
      <c r="A7501" s="3" t="s">
        <v>22489</v>
      </c>
      <c r="B7501" s="3" t="s">
        <v>751</v>
      </c>
      <c r="C7501" s="3" t="s">
        <v>1342</v>
      </c>
      <c r="D7501" s="3" t="s">
        <v>68</v>
      </c>
      <c r="E7501" s="3" t="s">
        <v>100</v>
      </c>
      <c r="F7501" s="3" t="s">
        <v>1395</v>
      </c>
      <c r="G7501" s="7">
        <v>46284.51011380081</v>
      </c>
    </row>
    <row r="7502">
      <c r="A7502" s="3" t="s">
        <v>22491</v>
      </c>
      <c r="B7502" s="3" t="s">
        <v>557</v>
      </c>
      <c r="C7502" s="3" t="s">
        <v>56</v>
      </c>
      <c r="D7502" s="3" t="s">
        <v>68</v>
      </c>
      <c r="E7502" s="3" t="s">
        <v>100</v>
      </c>
      <c r="F7502" s="3" t="s">
        <v>2064</v>
      </c>
      <c r="G7502" s="7">
        <v>46284.58128864623</v>
      </c>
    </row>
    <row r="7503">
      <c r="A7503" s="3" t="s">
        <v>22493</v>
      </c>
      <c r="B7503" s="3" t="s">
        <v>785</v>
      </c>
      <c r="C7503" s="3" t="s">
        <v>56</v>
      </c>
      <c r="D7503" s="3" t="s">
        <v>68</v>
      </c>
      <c r="E7503" s="3" t="s">
        <v>100</v>
      </c>
      <c r="F7503" s="3" t="s">
        <v>2067</v>
      </c>
      <c r="G7503" s="7">
        <v>46284.65246349164</v>
      </c>
    </row>
    <row r="7504">
      <c r="A7504" s="3" t="s">
        <v>22495</v>
      </c>
      <c r="B7504" s="3" t="s">
        <v>356</v>
      </c>
      <c r="C7504" s="3" t="s">
        <v>1095</v>
      </c>
      <c r="D7504" s="3" t="s">
        <v>68</v>
      </c>
      <c r="E7504" s="3" t="s">
        <v>100</v>
      </c>
      <c r="F7504" s="3" t="s">
        <v>2047</v>
      </c>
      <c r="G7504" s="7">
        <v>46284.723638337055</v>
      </c>
    </row>
    <row r="7505">
      <c r="A7505" s="3" t="s">
        <v>22498</v>
      </c>
      <c r="B7505" s="3" t="s">
        <v>208</v>
      </c>
      <c r="C7505" s="3" t="s">
        <v>1095</v>
      </c>
      <c r="D7505" s="3" t="s">
        <v>68</v>
      </c>
      <c r="E7505" s="3" t="s">
        <v>100</v>
      </c>
      <c r="F7505" s="3" t="s">
        <v>1939</v>
      </c>
      <c r="G7505" s="7">
        <v>46284.794813182474</v>
      </c>
    </row>
    <row r="7506">
      <c r="A7506" s="3" t="s">
        <v>22501</v>
      </c>
      <c r="B7506" s="3" t="s">
        <v>735</v>
      </c>
      <c r="C7506" s="3" t="s">
        <v>1095</v>
      </c>
      <c r="D7506" s="3" t="s">
        <v>68</v>
      </c>
      <c r="E7506" s="3" t="s">
        <v>100</v>
      </c>
      <c r="F7506" s="3" t="s">
        <v>2025</v>
      </c>
      <c r="G7506" s="7">
        <v>46284.865988027894</v>
      </c>
    </row>
    <row r="7507">
      <c r="A7507" s="3" t="s">
        <v>22504</v>
      </c>
      <c r="B7507" s="3" t="s">
        <v>148</v>
      </c>
      <c r="C7507" s="3" t="s">
        <v>1095</v>
      </c>
      <c r="D7507" s="3" t="s">
        <v>68</v>
      </c>
      <c r="E7507" s="3" t="s">
        <v>100</v>
      </c>
      <c r="F7507" s="3" t="s">
        <v>1954</v>
      </c>
      <c r="G7507" s="7">
        <v>46284.9371628733</v>
      </c>
    </row>
    <row r="7508">
      <c r="A7508" s="3" t="s">
        <v>22507</v>
      </c>
      <c r="B7508" s="3" t="s">
        <v>665</v>
      </c>
      <c r="C7508" s="3" t="s">
        <v>56</v>
      </c>
      <c r="D7508" s="3" t="s">
        <v>68</v>
      </c>
      <c r="E7508" s="3" t="s">
        <v>100</v>
      </c>
      <c r="F7508" s="3" t="s">
        <v>2069</v>
      </c>
      <c r="G7508" s="7">
        <v>46285.00833771872</v>
      </c>
    </row>
    <row r="7509">
      <c r="A7509" s="3" t="s">
        <v>22511</v>
      </c>
      <c r="B7509" s="3" t="s">
        <v>446</v>
      </c>
      <c r="C7509" s="3" t="s">
        <v>1342</v>
      </c>
      <c r="D7509" s="3" t="s">
        <v>68</v>
      </c>
      <c r="E7509" s="3" t="s">
        <v>100</v>
      </c>
      <c r="F7509" s="3" t="s">
        <v>1284</v>
      </c>
      <c r="G7509" s="7">
        <v>46285.07951256413</v>
      </c>
    </row>
    <row r="7510">
      <c r="A7510" s="3" t="s">
        <v>22515</v>
      </c>
      <c r="B7510" s="3" t="s">
        <v>523</v>
      </c>
      <c r="C7510" s="3" t="s">
        <v>1095</v>
      </c>
      <c r="D7510" s="3" t="s">
        <v>68</v>
      </c>
      <c r="E7510" s="3" t="s">
        <v>100</v>
      </c>
      <c r="F7510" s="3" t="s">
        <v>2126</v>
      </c>
      <c r="G7510" s="7">
        <v>46285.15068740955</v>
      </c>
    </row>
    <row r="7511">
      <c r="A7511" s="3" t="s">
        <v>22517</v>
      </c>
      <c r="B7511" s="3" t="s">
        <v>395</v>
      </c>
      <c r="C7511" s="3" t="s">
        <v>1095</v>
      </c>
      <c r="D7511" s="3" t="s">
        <v>68</v>
      </c>
      <c r="E7511" s="3" t="s">
        <v>100</v>
      </c>
      <c r="F7511" s="3" t="s">
        <v>1418</v>
      </c>
      <c r="G7511" s="7">
        <v>46285.22186225496</v>
      </c>
    </row>
    <row r="7512">
      <c r="A7512" s="3" t="s">
        <v>22519</v>
      </c>
      <c r="B7512" s="3" t="s">
        <v>811</v>
      </c>
      <c r="C7512" s="3" t="s">
        <v>1342</v>
      </c>
      <c r="D7512" s="3" t="s">
        <v>68</v>
      </c>
      <c r="E7512" s="3" t="s">
        <v>100</v>
      </c>
      <c r="F7512" s="3" t="s">
        <v>1475</v>
      </c>
      <c r="G7512" s="7">
        <v>46285.29303710038</v>
      </c>
    </row>
    <row r="7513">
      <c r="A7513" s="3" t="s">
        <v>22521</v>
      </c>
      <c r="B7513" s="3" t="s">
        <v>848</v>
      </c>
      <c r="C7513" s="3" t="s">
        <v>1342</v>
      </c>
      <c r="D7513" s="3" t="s">
        <v>68</v>
      </c>
      <c r="E7513" s="3" t="s">
        <v>100</v>
      </c>
      <c r="F7513" s="3" t="s">
        <v>1906</v>
      </c>
      <c r="G7513" s="7">
        <v>46285.364211945795</v>
      </c>
    </row>
    <row r="7514">
      <c r="A7514" s="3" t="s">
        <v>22523</v>
      </c>
      <c r="B7514" s="3" t="s">
        <v>541</v>
      </c>
      <c r="C7514" s="3" t="s">
        <v>1342</v>
      </c>
      <c r="D7514" s="3" t="s">
        <v>68</v>
      </c>
      <c r="E7514" s="3" t="s">
        <v>100</v>
      </c>
      <c r="F7514" s="3" t="s">
        <v>2034</v>
      </c>
      <c r="G7514" s="7">
        <v>46285.43538679121</v>
      </c>
    </row>
    <row r="7515">
      <c r="A7515" s="3" t="s">
        <v>22525</v>
      </c>
      <c r="B7515" s="3" t="s">
        <v>816</v>
      </c>
      <c r="C7515" s="3" t="s">
        <v>56</v>
      </c>
      <c r="D7515" s="3" t="s">
        <v>68</v>
      </c>
      <c r="E7515" s="3" t="s">
        <v>100</v>
      </c>
      <c r="F7515" s="3" t="s">
        <v>2074</v>
      </c>
      <c r="G7515" s="7">
        <v>46285.50656163663</v>
      </c>
    </row>
    <row r="7516">
      <c r="A7516" s="3" t="s">
        <v>22527</v>
      </c>
      <c r="B7516" s="3" t="s">
        <v>156</v>
      </c>
      <c r="C7516" s="3" t="s">
        <v>1095</v>
      </c>
      <c r="D7516" s="3" t="s">
        <v>68</v>
      </c>
      <c r="E7516" s="3" t="s">
        <v>100</v>
      </c>
      <c r="F7516" s="3" t="s">
        <v>1782</v>
      </c>
      <c r="G7516" s="7">
        <v>46285.57773648204</v>
      </c>
    </row>
    <row r="7517">
      <c r="A7517" s="3" t="s">
        <v>22529</v>
      </c>
      <c r="B7517" s="3" t="s">
        <v>516</v>
      </c>
      <c r="C7517" s="3" t="s">
        <v>1342</v>
      </c>
      <c r="D7517" s="3" t="s">
        <v>68</v>
      </c>
      <c r="E7517" s="3" t="s">
        <v>100</v>
      </c>
      <c r="F7517" s="3" t="s">
        <v>1718</v>
      </c>
      <c r="G7517" s="7">
        <v>46285.64891132745</v>
      </c>
    </row>
    <row r="7518">
      <c r="A7518" s="3" t="s">
        <v>22531</v>
      </c>
      <c r="B7518" s="3" t="s">
        <v>391</v>
      </c>
      <c r="C7518" s="3" t="s">
        <v>56</v>
      </c>
      <c r="D7518" s="3" t="s">
        <v>68</v>
      </c>
      <c r="E7518" s="3" t="s">
        <v>100</v>
      </c>
      <c r="F7518" s="3" t="s">
        <v>2077</v>
      </c>
      <c r="G7518" s="7">
        <v>46285.72008617287</v>
      </c>
    </row>
    <row r="7519">
      <c r="A7519" s="3" t="s">
        <v>22535</v>
      </c>
      <c r="B7519" s="3" t="s">
        <v>156</v>
      </c>
      <c r="C7519" s="3" t="s">
        <v>56</v>
      </c>
      <c r="D7519" s="3" t="s">
        <v>195</v>
      </c>
      <c r="E7519" s="3" t="s">
        <v>45</v>
      </c>
      <c r="F7519" s="3" t="s">
        <v>45</v>
      </c>
      <c r="G7519" s="7">
        <v>46285.79126101828</v>
      </c>
    </row>
    <row r="7520">
      <c r="A7520" s="3" t="s">
        <v>22538</v>
      </c>
      <c r="B7520" s="3" t="s">
        <v>717</v>
      </c>
      <c r="C7520" s="3" t="s">
        <v>56</v>
      </c>
      <c r="D7520" s="3" t="s">
        <v>181</v>
      </c>
      <c r="E7520" s="3" t="s">
        <v>45</v>
      </c>
      <c r="F7520" s="3" t="s">
        <v>45</v>
      </c>
      <c r="G7520" s="7">
        <v>46285.862435863695</v>
      </c>
    </row>
    <row r="7521">
      <c r="A7521" s="3" t="s">
        <v>22541</v>
      </c>
      <c r="B7521" s="3" t="s">
        <v>524</v>
      </c>
      <c r="C7521" s="3" t="s">
        <v>56</v>
      </c>
      <c r="D7521" s="3" t="s">
        <v>68</v>
      </c>
      <c r="E7521" s="3" t="s">
        <v>100</v>
      </c>
      <c r="F7521" s="3" t="s">
        <v>2079</v>
      </c>
      <c r="G7521" s="7">
        <v>46285.933610709115</v>
      </c>
    </row>
    <row r="7522">
      <c r="A7522" s="3" t="s">
        <v>22545</v>
      </c>
      <c r="B7522" s="3" t="s">
        <v>800</v>
      </c>
      <c r="C7522" s="3" t="s">
        <v>56</v>
      </c>
      <c r="D7522" s="3" t="s">
        <v>68</v>
      </c>
      <c r="E7522" s="3" t="s">
        <v>100</v>
      </c>
      <c r="F7522" s="3" t="s">
        <v>2081</v>
      </c>
      <c r="G7522" s="7">
        <v>46286.004785554534</v>
      </c>
    </row>
    <row r="7523">
      <c r="A7523" s="3" t="s">
        <v>22548</v>
      </c>
      <c r="B7523" s="3" t="s">
        <v>629</v>
      </c>
      <c r="C7523" s="3" t="s">
        <v>1342</v>
      </c>
      <c r="D7523" s="3" t="s">
        <v>68</v>
      </c>
      <c r="E7523" s="3" t="s">
        <v>100</v>
      </c>
      <c r="F7523" s="3" t="s">
        <v>1850</v>
      </c>
      <c r="G7523" s="7">
        <v>46286.07596039994</v>
      </c>
    </row>
    <row r="7524">
      <c r="A7524" s="3" t="s">
        <v>22551</v>
      </c>
      <c r="B7524" s="3" t="s">
        <v>496</v>
      </c>
      <c r="C7524" s="3" t="s">
        <v>1342</v>
      </c>
      <c r="D7524" s="3" t="s">
        <v>68</v>
      </c>
      <c r="E7524" s="3" t="s">
        <v>100</v>
      </c>
      <c r="F7524" s="3" t="s">
        <v>1274</v>
      </c>
      <c r="G7524" s="7">
        <v>46286.14713524536</v>
      </c>
    </row>
    <row r="7525">
      <c r="A7525" s="3" t="s">
        <v>22554</v>
      </c>
      <c r="B7525" s="3" t="s">
        <v>652</v>
      </c>
      <c r="C7525" s="3" t="s">
        <v>1342</v>
      </c>
      <c r="D7525" s="3" t="s">
        <v>68</v>
      </c>
      <c r="E7525" s="3" t="s">
        <v>100</v>
      </c>
      <c r="F7525" s="3" t="s">
        <v>1403</v>
      </c>
      <c r="G7525" s="7">
        <v>46286.21831009078</v>
      </c>
    </row>
    <row r="7526">
      <c r="A7526" s="3" t="s">
        <v>22556</v>
      </c>
      <c r="B7526" s="3" t="s">
        <v>650</v>
      </c>
      <c r="C7526" s="3" t="s">
        <v>1095</v>
      </c>
      <c r="D7526" s="3" t="s">
        <v>68</v>
      </c>
      <c r="E7526" s="3" t="s">
        <v>100</v>
      </c>
      <c r="F7526" s="3" t="s">
        <v>2009</v>
      </c>
      <c r="G7526" s="7">
        <v>46286.28948493619</v>
      </c>
    </row>
    <row r="7527">
      <c r="A7527" s="3" t="s">
        <v>22558</v>
      </c>
      <c r="B7527" s="3" t="s">
        <v>151</v>
      </c>
      <c r="C7527" s="3" t="s">
        <v>1342</v>
      </c>
      <c r="D7527" s="3" t="s">
        <v>181</v>
      </c>
      <c r="E7527" s="3" t="s">
        <v>45</v>
      </c>
      <c r="F7527" s="3" t="s">
        <v>1966</v>
      </c>
      <c r="G7527" s="7">
        <v>46286.3606597816</v>
      </c>
    </row>
    <row r="7528">
      <c r="A7528" s="3" t="s">
        <v>22560</v>
      </c>
      <c r="B7528" s="3" t="s">
        <v>770</v>
      </c>
      <c r="C7528" s="3" t="s">
        <v>56</v>
      </c>
      <c r="D7528" s="3" t="s">
        <v>68</v>
      </c>
      <c r="E7528" s="3" t="s">
        <v>100</v>
      </c>
      <c r="F7528" s="3" t="s">
        <v>2083</v>
      </c>
      <c r="G7528" s="7">
        <v>46286.43183462702</v>
      </c>
    </row>
    <row r="7529">
      <c r="A7529" s="3" t="s">
        <v>22562</v>
      </c>
      <c r="B7529" s="3" t="s">
        <v>330</v>
      </c>
      <c r="C7529" s="3" t="s">
        <v>1342</v>
      </c>
      <c r="D7529" s="3" t="s">
        <v>68</v>
      </c>
      <c r="E7529" s="3" t="s">
        <v>100</v>
      </c>
      <c r="F7529" s="3" t="s">
        <v>1979</v>
      </c>
      <c r="G7529" s="7">
        <v>46286.503009472435</v>
      </c>
    </row>
    <row r="7530">
      <c r="A7530" s="3" t="s">
        <v>22563</v>
      </c>
      <c r="B7530" s="3" t="s">
        <v>922</v>
      </c>
      <c r="C7530" s="3" t="s">
        <v>1342</v>
      </c>
      <c r="D7530" s="3" t="s">
        <v>68</v>
      </c>
      <c r="E7530" s="3" t="s">
        <v>100</v>
      </c>
      <c r="F7530" s="3" t="s">
        <v>1609</v>
      </c>
      <c r="G7530" s="7">
        <v>46286.57418431785</v>
      </c>
    </row>
    <row r="7531">
      <c r="A7531" s="3" t="s">
        <v>22565</v>
      </c>
      <c r="B7531" s="3" t="s">
        <v>953</v>
      </c>
      <c r="C7531" s="3" t="s">
        <v>1095</v>
      </c>
      <c r="D7531" s="3" t="s">
        <v>68</v>
      </c>
      <c r="E7531" s="3" t="s">
        <v>100</v>
      </c>
      <c r="F7531" s="3" t="s">
        <v>1863</v>
      </c>
      <c r="G7531" s="7">
        <v>46286.64535916327</v>
      </c>
    </row>
    <row r="7532">
      <c r="A7532" s="3" t="s">
        <v>22568</v>
      </c>
      <c r="B7532" s="3" t="s">
        <v>637</v>
      </c>
      <c r="C7532" s="3" t="s">
        <v>1342</v>
      </c>
      <c r="D7532" s="3" t="s">
        <v>68</v>
      </c>
      <c r="E7532" s="3" t="s">
        <v>100</v>
      </c>
      <c r="F7532" s="3" t="s">
        <v>1007</v>
      </c>
      <c r="G7532" s="7">
        <v>46286.71653400868</v>
      </c>
    </row>
    <row r="7533">
      <c r="A7533" s="3" t="s">
        <v>22570</v>
      </c>
      <c r="B7533" s="3" t="s">
        <v>159</v>
      </c>
      <c r="C7533" s="3" t="s">
        <v>1095</v>
      </c>
      <c r="D7533" s="3" t="s">
        <v>68</v>
      </c>
      <c r="E7533" s="3" t="s">
        <v>100</v>
      </c>
      <c r="F7533" s="3" t="s">
        <v>1687</v>
      </c>
      <c r="G7533" s="7">
        <v>46286.78770885409</v>
      </c>
    </row>
    <row r="7534">
      <c r="A7534" s="3" t="s">
        <v>22573</v>
      </c>
      <c r="B7534" s="3" t="s">
        <v>800</v>
      </c>
      <c r="C7534" s="3" t="s">
        <v>1342</v>
      </c>
      <c r="D7534" s="3" t="s">
        <v>68</v>
      </c>
      <c r="E7534" s="3" t="s">
        <v>100</v>
      </c>
      <c r="F7534" s="3" t="s">
        <v>2081</v>
      </c>
      <c r="G7534" s="7">
        <v>46286.85888369951</v>
      </c>
    </row>
    <row r="7535">
      <c r="A7535" s="3" t="s">
        <v>22576</v>
      </c>
      <c r="B7535" s="3" t="s">
        <v>319</v>
      </c>
      <c r="C7535" s="3" t="s">
        <v>56</v>
      </c>
      <c r="D7535" s="3" t="s">
        <v>68</v>
      </c>
      <c r="E7535" s="3" t="s">
        <v>100</v>
      </c>
      <c r="F7535" s="3" t="s">
        <v>2085</v>
      </c>
      <c r="G7535" s="7">
        <v>46286.930058544924</v>
      </c>
    </row>
    <row r="7536">
      <c r="A7536" s="3" t="s">
        <v>22579</v>
      </c>
      <c r="B7536" s="3" t="s">
        <v>488</v>
      </c>
      <c r="C7536" s="3" t="s">
        <v>56</v>
      </c>
      <c r="D7536" s="3" t="s">
        <v>68</v>
      </c>
      <c r="E7536" s="3" t="s">
        <v>100</v>
      </c>
      <c r="F7536" s="3" t="s">
        <v>2088</v>
      </c>
      <c r="G7536" s="7">
        <v>46287.00123339034</v>
      </c>
    </row>
    <row r="7537">
      <c r="A7537" s="3" t="s">
        <v>22582</v>
      </c>
      <c r="B7537" s="3" t="s">
        <v>600</v>
      </c>
      <c r="C7537" s="3" t="s">
        <v>1095</v>
      </c>
      <c r="D7537" s="3" t="s">
        <v>68</v>
      </c>
      <c r="E7537" s="3" t="s">
        <v>100</v>
      </c>
      <c r="F7537" s="3" t="s">
        <v>1768</v>
      </c>
      <c r="G7537" s="7">
        <v>46287.072408235756</v>
      </c>
    </row>
    <row r="7538">
      <c r="A7538" s="3" t="s">
        <v>22584</v>
      </c>
      <c r="B7538" s="3" t="s">
        <v>204</v>
      </c>
      <c r="C7538" s="3" t="s">
        <v>1342</v>
      </c>
      <c r="D7538" s="3" t="s">
        <v>68</v>
      </c>
      <c r="E7538" s="3" t="s">
        <v>100</v>
      </c>
      <c r="F7538" s="3" t="s">
        <v>1063</v>
      </c>
      <c r="G7538" s="7">
        <v>46287.143583081175</v>
      </c>
    </row>
    <row r="7539">
      <c r="A7539" s="3" t="s">
        <v>22586</v>
      </c>
      <c r="B7539" s="3" t="s">
        <v>848</v>
      </c>
      <c r="C7539" s="3" t="s">
        <v>1095</v>
      </c>
      <c r="D7539" s="3" t="s">
        <v>68</v>
      </c>
      <c r="E7539" s="3" t="s">
        <v>100</v>
      </c>
      <c r="F7539" s="3" t="s">
        <v>1906</v>
      </c>
      <c r="G7539" s="7">
        <v>46287.21475792658</v>
      </c>
    </row>
    <row r="7540">
      <c r="A7540" s="3" t="s">
        <v>22588</v>
      </c>
      <c r="B7540" s="3" t="s">
        <v>440</v>
      </c>
      <c r="C7540" s="3" t="s">
        <v>56</v>
      </c>
      <c r="D7540" s="3" t="s">
        <v>68</v>
      </c>
      <c r="E7540" s="3" t="s">
        <v>100</v>
      </c>
      <c r="F7540" s="3" t="s">
        <v>2091</v>
      </c>
      <c r="G7540" s="7">
        <v>46287.285932772</v>
      </c>
    </row>
    <row r="7541">
      <c r="A7541" s="3" t="s">
        <v>22590</v>
      </c>
      <c r="B7541" s="3" t="s">
        <v>135</v>
      </c>
      <c r="C7541" s="3" t="s">
        <v>56</v>
      </c>
      <c r="D7541" s="3" t="s">
        <v>195</v>
      </c>
      <c r="E7541" s="3" t="s">
        <v>45</v>
      </c>
      <c r="F7541" s="3" t="s">
        <v>45</v>
      </c>
      <c r="G7541" s="7">
        <v>46287.35710761742</v>
      </c>
    </row>
    <row r="7542">
      <c r="A7542" s="3" t="s">
        <v>22592</v>
      </c>
      <c r="B7542" s="3" t="s">
        <v>722</v>
      </c>
      <c r="C7542" s="3" t="s">
        <v>1095</v>
      </c>
      <c r="D7542" s="3" t="s">
        <v>68</v>
      </c>
      <c r="E7542" s="3" t="s">
        <v>100</v>
      </c>
      <c r="F7542" s="3" t="s">
        <v>1631</v>
      </c>
      <c r="G7542" s="7">
        <v>46287.42828246283</v>
      </c>
    </row>
    <row r="7543">
      <c r="A7543" s="3" t="s">
        <v>22594</v>
      </c>
      <c r="B7543" s="3" t="s">
        <v>853</v>
      </c>
      <c r="C7543" s="3" t="s">
        <v>1342</v>
      </c>
      <c r="D7543" s="3" t="s">
        <v>68</v>
      </c>
      <c r="E7543" s="3" t="s">
        <v>100</v>
      </c>
      <c r="F7543" s="3" t="s">
        <v>2004</v>
      </c>
      <c r="G7543" s="7">
        <v>46287.499457308244</v>
      </c>
    </row>
    <row r="7544">
      <c r="A7544" s="3" t="s">
        <v>22596</v>
      </c>
      <c r="B7544" s="3" t="s">
        <v>689</v>
      </c>
      <c r="C7544" s="3" t="s">
        <v>1342</v>
      </c>
      <c r="D7544" s="3" t="s">
        <v>181</v>
      </c>
      <c r="E7544" s="3" t="s">
        <v>45</v>
      </c>
      <c r="F7544" s="3" t="s">
        <v>1661</v>
      </c>
      <c r="G7544" s="7">
        <v>46287.57063215366</v>
      </c>
    </row>
    <row r="7545">
      <c r="A7545" s="3" t="s">
        <v>22598</v>
      </c>
      <c r="B7545" s="3" t="s">
        <v>302</v>
      </c>
      <c r="C7545" s="3" t="s">
        <v>56</v>
      </c>
      <c r="D7545" s="3" t="s">
        <v>68</v>
      </c>
      <c r="E7545" s="3" t="s">
        <v>100</v>
      </c>
      <c r="F7545" s="3" t="s">
        <v>2093</v>
      </c>
      <c r="G7545" s="7">
        <v>46287.641806999076</v>
      </c>
    </row>
    <row r="7546">
      <c r="A7546" s="3" t="s">
        <v>22600</v>
      </c>
      <c r="B7546" s="3" t="s">
        <v>682</v>
      </c>
      <c r="C7546" s="3" t="s">
        <v>1342</v>
      </c>
      <c r="D7546" s="3" t="s">
        <v>181</v>
      </c>
      <c r="E7546" s="3" t="s">
        <v>45</v>
      </c>
      <c r="F7546" s="3" t="s">
        <v>1300</v>
      </c>
      <c r="G7546" s="7">
        <v>46287.71298184449</v>
      </c>
    </row>
    <row r="7547">
      <c r="A7547" s="3" t="s">
        <v>22602</v>
      </c>
      <c r="B7547" s="3" t="s">
        <v>516</v>
      </c>
      <c r="C7547" s="3" t="s">
        <v>1095</v>
      </c>
      <c r="D7547" s="3" t="s">
        <v>68</v>
      </c>
      <c r="E7547" s="3" t="s">
        <v>100</v>
      </c>
      <c r="F7547" s="3" t="s">
        <v>1718</v>
      </c>
      <c r="G7547" s="7">
        <v>46287.78415668991</v>
      </c>
    </row>
    <row r="7548">
      <c r="A7548" s="3" t="s">
        <v>22604</v>
      </c>
      <c r="B7548" s="3" t="s">
        <v>388</v>
      </c>
      <c r="C7548" s="3" t="s">
        <v>1342</v>
      </c>
      <c r="D7548" s="3" t="s">
        <v>68</v>
      </c>
      <c r="E7548" s="3" t="s">
        <v>100</v>
      </c>
      <c r="F7548" s="3" t="s">
        <v>1232</v>
      </c>
      <c r="G7548" s="7">
        <v>46287.85533153533</v>
      </c>
    </row>
    <row r="7549">
      <c r="A7549" s="3" t="s">
        <v>22606</v>
      </c>
      <c r="B7549" s="3" t="s">
        <v>678</v>
      </c>
      <c r="C7549" s="3" t="s">
        <v>1095</v>
      </c>
      <c r="D7549" s="3" t="s">
        <v>68</v>
      </c>
      <c r="E7549" s="3" t="s">
        <v>100</v>
      </c>
      <c r="F7549" s="3" t="s">
        <v>1873</v>
      </c>
      <c r="G7549" s="7">
        <v>46287.92650638073</v>
      </c>
    </row>
    <row r="7550">
      <c r="A7550" s="3" t="s">
        <v>22608</v>
      </c>
      <c r="B7550" s="3" t="s">
        <v>208</v>
      </c>
      <c r="C7550" s="3" t="s">
        <v>56</v>
      </c>
      <c r="D7550" s="3" t="s">
        <v>68</v>
      </c>
      <c r="E7550" s="3" t="s">
        <v>100</v>
      </c>
      <c r="F7550" s="3" t="s">
        <v>2096</v>
      </c>
      <c r="G7550" s="7">
        <v>46287.99768122615</v>
      </c>
    </row>
    <row r="7551">
      <c r="A7551" s="3" t="s">
        <v>22610</v>
      </c>
      <c r="B7551" s="3" t="s">
        <v>976</v>
      </c>
      <c r="C7551" s="3" t="s">
        <v>56</v>
      </c>
      <c r="D7551" s="3" t="s">
        <v>68</v>
      </c>
      <c r="E7551" s="3" t="s">
        <v>100</v>
      </c>
      <c r="F7551" s="3" t="s">
        <v>2101</v>
      </c>
      <c r="G7551" s="7">
        <v>46288.068856071564</v>
      </c>
    </row>
    <row r="7552">
      <c r="A7552" s="3" t="s">
        <v>22612</v>
      </c>
      <c r="B7552" s="3" t="s">
        <v>645</v>
      </c>
      <c r="C7552" s="3" t="s">
        <v>1095</v>
      </c>
      <c r="D7552" s="3" t="s">
        <v>68</v>
      </c>
      <c r="E7552" s="3" t="s">
        <v>100</v>
      </c>
      <c r="F7552" s="3" t="s">
        <v>1135</v>
      </c>
      <c r="G7552" s="7">
        <v>46288.140030916984</v>
      </c>
    </row>
    <row r="7553">
      <c r="A7553" s="3" t="s">
        <v>22615</v>
      </c>
      <c r="B7553" s="3" t="s">
        <v>622</v>
      </c>
      <c r="C7553" s="3" t="s">
        <v>1095</v>
      </c>
      <c r="D7553" s="3" t="s">
        <v>68</v>
      </c>
      <c r="E7553" s="3" t="s">
        <v>100</v>
      </c>
      <c r="F7553" s="3" t="s">
        <v>1801</v>
      </c>
      <c r="G7553" s="7">
        <v>46288.211205762396</v>
      </c>
    </row>
    <row r="7554">
      <c r="A7554" s="3" t="s">
        <v>22618</v>
      </c>
      <c r="B7554" s="3" t="s">
        <v>574</v>
      </c>
      <c r="C7554" s="3" t="s">
        <v>56</v>
      </c>
      <c r="D7554" s="3" t="s">
        <v>68</v>
      </c>
      <c r="E7554" s="3" t="s">
        <v>100</v>
      </c>
      <c r="F7554" s="3" t="s">
        <v>2103</v>
      </c>
      <c r="G7554" s="7">
        <v>46288.282380607816</v>
      </c>
    </row>
    <row r="7555">
      <c r="A7555" s="3" t="s">
        <v>22622</v>
      </c>
      <c r="B7555" s="3" t="s">
        <v>972</v>
      </c>
      <c r="C7555" s="3" t="s">
        <v>56</v>
      </c>
      <c r="D7555" s="3" t="s">
        <v>68</v>
      </c>
      <c r="E7555" s="3" t="s">
        <v>100</v>
      </c>
      <c r="F7555" s="3" t="s">
        <v>2105</v>
      </c>
      <c r="G7555" s="7">
        <v>46288.35355545323</v>
      </c>
    </row>
    <row r="7556">
      <c r="A7556" s="3" t="s">
        <v>22626</v>
      </c>
      <c r="B7556" s="3" t="s">
        <v>937</v>
      </c>
      <c r="C7556" s="3" t="s">
        <v>1342</v>
      </c>
      <c r="D7556" s="3" t="s">
        <v>68</v>
      </c>
      <c r="E7556" s="3" t="s">
        <v>100</v>
      </c>
      <c r="F7556" s="3" t="s">
        <v>1999</v>
      </c>
      <c r="G7556" s="7">
        <v>46288.42473029864</v>
      </c>
    </row>
    <row r="7557">
      <c r="A7557" s="3" t="s">
        <v>22628</v>
      </c>
      <c r="B7557" s="3" t="s">
        <v>175</v>
      </c>
      <c r="C7557" s="3" t="s">
        <v>56</v>
      </c>
      <c r="D7557" s="3" t="s">
        <v>68</v>
      </c>
      <c r="E7557" s="3" t="s">
        <v>100</v>
      </c>
      <c r="F7557" s="3" t="s">
        <v>2108</v>
      </c>
      <c r="G7557" s="7">
        <v>46288.49590514406</v>
      </c>
    </row>
    <row r="7558">
      <c r="A7558" s="3" t="s">
        <v>22631</v>
      </c>
      <c r="B7558" s="3" t="s">
        <v>123</v>
      </c>
      <c r="C7558" s="3" t="s">
        <v>1095</v>
      </c>
      <c r="D7558" s="3" t="s">
        <v>68</v>
      </c>
      <c r="E7558" s="3" t="s">
        <v>100</v>
      </c>
      <c r="F7558" s="3" t="s">
        <v>2056</v>
      </c>
      <c r="G7558" s="7">
        <v>46288.56707998947</v>
      </c>
    </row>
    <row r="7559">
      <c r="A7559" s="3" t="s">
        <v>22633</v>
      </c>
      <c r="B7559" s="3" t="s">
        <v>676</v>
      </c>
      <c r="C7559" s="3" t="s">
        <v>1095</v>
      </c>
      <c r="D7559" s="3" t="s">
        <v>68</v>
      </c>
      <c r="E7559" s="3" t="s">
        <v>100</v>
      </c>
      <c r="F7559" s="3" t="s">
        <v>1795</v>
      </c>
      <c r="G7559" s="7">
        <v>46288.638254834885</v>
      </c>
    </row>
    <row r="7560">
      <c r="A7560" s="3" t="s">
        <v>22634</v>
      </c>
      <c r="B7560" s="3" t="s">
        <v>631</v>
      </c>
      <c r="C7560" s="3" t="s">
        <v>1095</v>
      </c>
      <c r="D7560" s="3" t="s">
        <v>68</v>
      </c>
      <c r="E7560" s="3" t="s">
        <v>100</v>
      </c>
      <c r="F7560" s="3" t="s">
        <v>1621</v>
      </c>
      <c r="G7560" s="7">
        <v>46288.709429680304</v>
      </c>
    </row>
    <row r="7561">
      <c r="A7561" s="3" t="s">
        <v>22636</v>
      </c>
      <c r="B7561" s="3" t="s">
        <v>137</v>
      </c>
      <c r="C7561" s="3" t="s">
        <v>1095</v>
      </c>
      <c r="D7561" s="3" t="s">
        <v>68</v>
      </c>
      <c r="E7561" s="3" t="s">
        <v>100</v>
      </c>
      <c r="F7561" s="3" t="s">
        <v>829</v>
      </c>
      <c r="G7561" s="7">
        <v>46288.78060452572</v>
      </c>
    </row>
    <row r="7562">
      <c r="A7562" s="3" t="s">
        <v>22638</v>
      </c>
      <c r="B7562" s="3" t="s">
        <v>377</v>
      </c>
      <c r="C7562" s="3" t="s">
        <v>56</v>
      </c>
      <c r="D7562" s="3" t="s">
        <v>68</v>
      </c>
      <c r="E7562" s="3" t="s">
        <v>100</v>
      </c>
      <c r="F7562" s="3" t="s">
        <v>2111</v>
      </c>
      <c r="G7562" s="7">
        <v>46288.85177937113</v>
      </c>
    </row>
    <row r="7563">
      <c r="A7563" s="3" t="s">
        <v>22640</v>
      </c>
      <c r="B7563" s="3" t="s">
        <v>330</v>
      </c>
      <c r="C7563" s="3" t="s">
        <v>1095</v>
      </c>
      <c r="D7563" s="3" t="s">
        <v>68</v>
      </c>
      <c r="E7563" s="3" t="s">
        <v>100</v>
      </c>
      <c r="F7563" s="3" t="s">
        <v>1979</v>
      </c>
      <c r="G7563" s="7">
        <v>46288.92295421655</v>
      </c>
    </row>
    <row r="7564">
      <c r="A7564" s="3" t="s">
        <v>22643</v>
      </c>
      <c r="B7564" s="3" t="s">
        <v>830</v>
      </c>
      <c r="C7564" s="3" t="s">
        <v>56</v>
      </c>
      <c r="D7564" s="3" t="s">
        <v>195</v>
      </c>
      <c r="E7564" s="3" t="s">
        <v>45</v>
      </c>
      <c r="F7564" s="3" t="s">
        <v>45</v>
      </c>
      <c r="G7564" s="7">
        <v>46288.99412906197</v>
      </c>
    </row>
    <row r="7565">
      <c r="A7565" s="3" t="s">
        <v>22646</v>
      </c>
      <c r="B7565" s="3" t="s">
        <v>468</v>
      </c>
      <c r="C7565" s="3" t="s">
        <v>56</v>
      </c>
      <c r="D7565" s="3" t="s">
        <v>68</v>
      </c>
      <c r="E7565" s="3" t="s">
        <v>100</v>
      </c>
      <c r="F7565" s="3" t="s">
        <v>2113</v>
      </c>
      <c r="G7565" s="7">
        <v>46289.06530390737</v>
      </c>
    </row>
    <row r="7566">
      <c r="A7566" s="3" t="s">
        <v>22649</v>
      </c>
      <c r="B7566" s="3" t="s">
        <v>929</v>
      </c>
      <c r="C7566" s="3" t="s">
        <v>1342</v>
      </c>
      <c r="D7566" s="3" t="s">
        <v>195</v>
      </c>
      <c r="E7566" s="3" t="s">
        <v>45</v>
      </c>
      <c r="F7566" s="3" t="s">
        <v>1256</v>
      </c>
      <c r="G7566" s="7">
        <v>46289.13647875279</v>
      </c>
    </row>
    <row r="7567">
      <c r="A7567" s="3" t="s">
        <v>22652</v>
      </c>
      <c r="B7567" s="3" t="s">
        <v>123</v>
      </c>
      <c r="C7567" s="3" t="s">
        <v>56</v>
      </c>
      <c r="D7567" s="3" t="s">
        <v>68</v>
      </c>
      <c r="E7567" s="3" t="s">
        <v>100</v>
      </c>
      <c r="F7567" s="3" t="s">
        <v>2115</v>
      </c>
      <c r="G7567" s="7">
        <v>46289.20765359821</v>
      </c>
    </row>
    <row r="7568">
      <c r="A7568" s="3" t="s">
        <v>22654</v>
      </c>
      <c r="B7568" s="3" t="s">
        <v>800</v>
      </c>
      <c r="C7568" s="3" t="s">
        <v>1342</v>
      </c>
      <c r="D7568" s="3" t="s">
        <v>68</v>
      </c>
      <c r="E7568" s="3" t="s">
        <v>100</v>
      </c>
      <c r="F7568" s="3" t="s">
        <v>2081</v>
      </c>
      <c r="G7568" s="7">
        <v>46289.278828443625</v>
      </c>
    </row>
    <row r="7569">
      <c r="A7569" s="3" t="s">
        <v>22656</v>
      </c>
      <c r="B7569" s="3" t="s">
        <v>698</v>
      </c>
      <c r="C7569" s="3" t="s">
        <v>1342</v>
      </c>
      <c r="D7569" s="3" t="s">
        <v>68</v>
      </c>
      <c r="E7569" s="3" t="s">
        <v>100</v>
      </c>
      <c r="F7569" s="3" t="s">
        <v>1307</v>
      </c>
      <c r="G7569" s="7">
        <v>46289.35000328904</v>
      </c>
    </row>
    <row r="7570">
      <c r="A7570" s="3" t="s">
        <v>22658</v>
      </c>
      <c r="B7570" s="3" t="s">
        <v>763</v>
      </c>
      <c r="C7570" s="3" t="s">
        <v>56</v>
      </c>
      <c r="D7570" s="3" t="s">
        <v>181</v>
      </c>
      <c r="E7570" s="3" t="s">
        <v>45</v>
      </c>
      <c r="F7570" s="3" t="s">
        <v>45</v>
      </c>
      <c r="G7570" s="7">
        <v>46289.42117813446</v>
      </c>
    </row>
    <row r="7571">
      <c r="A7571" s="3" t="s">
        <v>22660</v>
      </c>
      <c r="B7571" s="3" t="s">
        <v>886</v>
      </c>
      <c r="C7571" s="3" t="s">
        <v>1095</v>
      </c>
      <c r="D7571" s="3" t="s">
        <v>181</v>
      </c>
      <c r="E7571" s="3" t="s">
        <v>45</v>
      </c>
      <c r="F7571" s="3" t="s">
        <v>1726</v>
      </c>
      <c r="G7571" s="7">
        <v>46289.49235297987</v>
      </c>
    </row>
    <row r="7572">
      <c r="A7572" s="3" t="s">
        <v>22662</v>
      </c>
      <c r="B7572" s="3" t="s">
        <v>939</v>
      </c>
      <c r="C7572" s="3" t="s">
        <v>1342</v>
      </c>
      <c r="D7572" s="3" t="s">
        <v>68</v>
      </c>
      <c r="E7572" s="3" t="s">
        <v>100</v>
      </c>
      <c r="F7572" s="3" t="s">
        <v>1738</v>
      </c>
      <c r="G7572" s="7">
        <v>46289.56352782528</v>
      </c>
    </row>
    <row r="7573">
      <c r="A7573" s="3" t="s">
        <v>22664</v>
      </c>
      <c r="B7573" s="3" t="s">
        <v>505</v>
      </c>
      <c r="C7573" s="3" t="s">
        <v>56</v>
      </c>
      <c r="D7573" s="3" t="s">
        <v>68</v>
      </c>
      <c r="E7573" s="3" t="s">
        <v>100</v>
      </c>
      <c r="F7573" s="3" t="s">
        <v>2118</v>
      </c>
      <c r="G7573" s="7">
        <v>46289.6347026707</v>
      </c>
    </row>
    <row r="7574">
      <c r="A7574" s="3" t="s">
        <v>22666</v>
      </c>
      <c r="B7574" s="3" t="s">
        <v>961</v>
      </c>
      <c r="C7574" s="3" t="s">
        <v>56</v>
      </c>
      <c r="D7574" s="3" t="s">
        <v>68</v>
      </c>
      <c r="E7574" s="3" t="s">
        <v>100</v>
      </c>
      <c r="F7574" s="3" t="s">
        <v>2120</v>
      </c>
      <c r="G7574" s="7">
        <v>46289.70587751611</v>
      </c>
    </row>
    <row r="7575">
      <c r="A7575" s="3" t="s">
        <v>22668</v>
      </c>
      <c r="B7575" s="3" t="s">
        <v>934</v>
      </c>
      <c r="C7575" s="3" t="s">
        <v>56</v>
      </c>
      <c r="D7575" s="3" t="s">
        <v>68</v>
      </c>
      <c r="E7575" s="3" t="s">
        <v>100</v>
      </c>
      <c r="F7575" s="3" t="s">
        <v>2123</v>
      </c>
      <c r="G7575" s="7">
        <v>46289.777052361525</v>
      </c>
    </row>
    <row r="7576">
      <c r="A7576" s="3" t="s">
        <v>22671</v>
      </c>
      <c r="B7576" s="3" t="s">
        <v>900</v>
      </c>
      <c r="C7576" s="3" t="s">
        <v>1342</v>
      </c>
      <c r="D7576" s="3" t="s">
        <v>68</v>
      </c>
      <c r="E7576" s="3" t="s">
        <v>100</v>
      </c>
      <c r="F7576" s="3" t="s">
        <v>1927</v>
      </c>
      <c r="G7576" s="7">
        <v>46289.848227206945</v>
      </c>
    </row>
    <row r="7577">
      <c r="A7577" s="3" t="s">
        <v>22673</v>
      </c>
      <c r="B7577" s="3" t="s">
        <v>460</v>
      </c>
      <c r="C7577" s="3" t="s">
        <v>1342</v>
      </c>
      <c r="D7577" s="3" t="s">
        <v>68</v>
      </c>
      <c r="E7577" s="3" t="s">
        <v>100</v>
      </c>
      <c r="F7577" s="3" t="s">
        <v>2013</v>
      </c>
      <c r="G7577" s="7">
        <v>46289.91940205236</v>
      </c>
    </row>
    <row r="7578">
      <c r="A7578" s="3" t="s">
        <v>22675</v>
      </c>
      <c r="B7578" s="3" t="s">
        <v>601</v>
      </c>
      <c r="C7578" s="3" t="s">
        <v>56</v>
      </c>
      <c r="D7578" s="3" t="s">
        <v>68</v>
      </c>
      <c r="E7578" s="3" t="s">
        <v>100</v>
      </c>
      <c r="F7578" s="3" t="s">
        <v>2126</v>
      </c>
      <c r="G7578" s="7">
        <v>46289.99057689777</v>
      </c>
    </row>
    <row r="7579">
      <c r="A7579" s="3" t="s">
        <v>22677</v>
      </c>
      <c r="B7579" s="3" t="s">
        <v>527</v>
      </c>
      <c r="C7579" s="3" t="s">
        <v>1342</v>
      </c>
      <c r="D7579" s="3" t="s">
        <v>68</v>
      </c>
      <c r="E7579" s="3" t="s">
        <v>100</v>
      </c>
      <c r="F7579" s="3" t="s">
        <v>2099</v>
      </c>
      <c r="G7579" s="7">
        <v>46290.06175174319</v>
      </c>
    </row>
    <row r="7580">
      <c r="A7580" s="3" t="s">
        <v>22679</v>
      </c>
      <c r="B7580" s="3" t="s">
        <v>655</v>
      </c>
      <c r="C7580" s="3" t="s">
        <v>1342</v>
      </c>
      <c r="D7580" s="3" t="s">
        <v>68</v>
      </c>
      <c r="E7580" s="3" t="s">
        <v>100</v>
      </c>
      <c r="F7580" s="3" t="s">
        <v>1800</v>
      </c>
      <c r="G7580" s="7">
        <v>46290.13292658861</v>
      </c>
    </row>
    <row r="7581">
      <c r="A7581" s="3" t="s">
        <v>22681</v>
      </c>
      <c r="B7581" s="3" t="s">
        <v>156</v>
      </c>
      <c r="C7581" s="3" t="s">
        <v>56</v>
      </c>
      <c r="D7581" s="3" t="s">
        <v>68</v>
      </c>
      <c r="E7581" s="3" t="s">
        <v>100</v>
      </c>
      <c r="F7581" s="3" t="s">
        <v>470</v>
      </c>
      <c r="G7581" s="7">
        <v>46290.204101434014</v>
      </c>
    </row>
    <row r="7582">
      <c r="A7582" s="3" t="s">
        <v>22683</v>
      </c>
      <c r="B7582" s="3" t="s">
        <v>253</v>
      </c>
      <c r="C7582" s="3" t="s">
        <v>1342</v>
      </c>
      <c r="D7582" s="3" t="s">
        <v>68</v>
      </c>
      <c r="E7582" s="3" t="s">
        <v>100</v>
      </c>
      <c r="F7582" s="3" t="s">
        <v>1735</v>
      </c>
      <c r="G7582" s="7">
        <v>46290.27527627943</v>
      </c>
    </row>
    <row r="7583">
      <c r="A7583" s="3" t="s">
        <v>22685</v>
      </c>
      <c r="B7583" s="3" t="s">
        <v>838</v>
      </c>
      <c r="C7583" s="3" t="s">
        <v>1095</v>
      </c>
      <c r="D7583" s="3" t="s">
        <v>68</v>
      </c>
      <c r="E7583" s="3" t="s">
        <v>100</v>
      </c>
      <c r="F7583" s="3" t="s">
        <v>2006</v>
      </c>
      <c r="G7583" s="7">
        <v>46290.34645112485</v>
      </c>
    </row>
    <row r="7584">
      <c r="A7584" s="3" t="s">
        <v>22687</v>
      </c>
      <c r="B7584" s="3" t="s">
        <v>530</v>
      </c>
      <c r="C7584" s="3" t="s">
        <v>1095</v>
      </c>
      <c r="D7584" s="3" t="s">
        <v>68</v>
      </c>
      <c r="E7584" s="3" t="s">
        <v>100</v>
      </c>
      <c r="F7584" s="3" t="s">
        <v>1897</v>
      </c>
      <c r="G7584" s="7">
        <v>46290.417625970265</v>
      </c>
    </row>
    <row r="7585">
      <c r="A7585" s="3" t="s">
        <v>22689</v>
      </c>
      <c r="B7585" s="3" t="s">
        <v>239</v>
      </c>
      <c r="C7585" s="3" t="s">
        <v>1342</v>
      </c>
      <c r="D7585" s="3" t="s">
        <v>68</v>
      </c>
      <c r="E7585" s="3" t="s">
        <v>100</v>
      </c>
      <c r="F7585" s="3" t="s">
        <v>1971</v>
      </c>
      <c r="G7585" s="7">
        <v>46290.48880081568</v>
      </c>
    </row>
    <row r="7586">
      <c r="A7586" s="3" t="s">
        <v>22691</v>
      </c>
      <c r="B7586" s="3" t="s">
        <v>233</v>
      </c>
      <c r="C7586" s="3" t="s">
        <v>56</v>
      </c>
      <c r="D7586" s="3" t="s">
        <v>68</v>
      </c>
      <c r="E7586" s="3" t="s">
        <v>100</v>
      </c>
      <c r="F7586" s="3" t="s">
        <v>477</v>
      </c>
      <c r="G7586" s="7">
        <v>46290.5599756611</v>
      </c>
    </row>
    <row r="7587">
      <c r="A7587" s="3" t="s">
        <v>22693</v>
      </c>
      <c r="B7587" s="3" t="s">
        <v>640</v>
      </c>
      <c r="C7587" s="3" t="s">
        <v>56</v>
      </c>
      <c r="D7587" s="3" t="s">
        <v>68</v>
      </c>
      <c r="E7587" s="3" t="s">
        <v>100</v>
      </c>
      <c r="F7587" s="3" t="s">
        <v>483</v>
      </c>
      <c r="G7587" s="7">
        <v>46290.63115050651</v>
      </c>
    </row>
    <row r="7588">
      <c r="A7588" s="3" t="s">
        <v>22695</v>
      </c>
      <c r="B7588" s="3" t="s">
        <v>547</v>
      </c>
      <c r="C7588" s="3" t="s">
        <v>1095</v>
      </c>
      <c r="D7588" s="3" t="s">
        <v>68</v>
      </c>
      <c r="E7588" s="3" t="s">
        <v>100</v>
      </c>
      <c r="F7588" s="3" t="s">
        <v>862</v>
      </c>
      <c r="G7588" s="7">
        <v>46290.70232535192</v>
      </c>
    </row>
    <row r="7589">
      <c r="A7589" s="3" t="s">
        <v>22697</v>
      </c>
      <c r="B7589" s="3" t="s">
        <v>383</v>
      </c>
      <c r="C7589" s="3" t="s">
        <v>1342</v>
      </c>
      <c r="D7589" s="3" t="s">
        <v>68</v>
      </c>
      <c r="E7589" s="3" t="s">
        <v>100</v>
      </c>
      <c r="F7589" s="3" t="s">
        <v>1776</v>
      </c>
      <c r="G7589" s="7">
        <v>46290.77350019734</v>
      </c>
    </row>
    <row r="7590">
      <c r="A7590" s="3" t="s">
        <v>22700</v>
      </c>
      <c r="B7590" s="3" t="s">
        <v>475</v>
      </c>
      <c r="C7590" s="3" t="s">
        <v>1095</v>
      </c>
      <c r="D7590" s="3" t="s">
        <v>68</v>
      </c>
      <c r="E7590" s="3" t="s">
        <v>100</v>
      </c>
      <c r="F7590" s="3" t="s">
        <v>1824</v>
      </c>
      <c r="G7590" s="7">
        <v>46290.84467504276</v>
      </c>
    </row>
    <row r="7591">
      <c r="A7591" s="3" t="s">
        <v>22704</v>
      </c>
      <c r="B7591" s="3" t="s">
        <v>972</v>
      </c>
      <c r="C7591" s="3" t="s">
        <v>1342</v>
      </c>
      <c r="D7591" s="3" t="s">
        <v>68</v>
      </c>
      <c r="E7591" s="3" t="s">
        <v>100</v>
      </c>
      <c r="F7591" s="3" t="s">
        <v>2105</v>
      </c>
      <c r="G7591" s="7">
        <v>46290.915849888166</v>
      </c>
    </row>
    <row r="7592">
      <c r="A7592" s="3" t="s">
        <v>22706</v>
      </c>
      <c r="B7592" s="3" t="s">
        <v>276</v>
      </c>
      <c r="C7592" s="3" t="s">
        <v>56</v>
      </c>
      <c r="D7592" s="3" t="s">
        <v>68</v>
      </c>
      <c r="E7592" s="3" t="s">
        <v>100</v>
      </c>
      <c r="F7592" s="3" t="s">
        <v>490</v>
      </c>
      <c r="G7592" s="7">
        <v>46290.987024733586</v>
      </c>
    </row>
    <row r="7593">
      <c r="A7593" s="3" t="s">
        <v>22709</v>
      </c>
      <c r="B7593" s="3" t="s">
        <v>501</v>
      </c>
      <c r="C7593" s="3" t="s">
        <v>56</v>
      </c>
      <c r="D7593" s="3" t="s">
        <v>68</v>
      </c>
      <c r="E7593" s="3" t="s">
        <v>100</v>
      </c>
      <c r="F7593" s="3" t="s">
        <v>495</v>
      </c>
      <c r="G7593" s="7">
        <v>46291.058199579</v>
      </c>
    </row>
    <row r="7594">
      <c r="A7594" s="3" t="s">
        <v>22711</v>
      </c>
      <c r="B7594" s="3" t="s">
        <v>330</v>
      </c>
      <c r="C7594" s="3" t="s">
        <v>56</v>
      </c>
      <c r="D7594" s="3" t="s">
        <v>68</v>
      </c>
      <c r="E7594" s="3" t="s">
        <v>100</v>
      </c>
      <c r="F7594" s="3" t="s">
        <v>504</v>
      </c>
      <c r="G7594" s="7">
        <v>46291.12937442442</v>
      </c>
    </row>
    <row r="7595">
      <c r="A7595" s="3" t="s">
        <v>22713</v>
      </c>
      <c r="B7595" s="3" t="s">
        <v>293</v>
      </c>
      <c r="C7595" s="3" t="s">
        <v>1342</v>
      </c>
      <c r="D7595" s="3" t="s">
        <v>68</v>
      </c>
      <c r="E7595" s="3" t="s">
        <v>100</v>
      </c>
      <c r="F7595" s="3" t="s">
        <v>1946</v>
      </c>
      <c r="G7595" s="7">
        <v>46291.20054926983</v>
      </c>
    </row>
    <row r="7596">
      <c r="A7596" s="3" t="s">
        <v>22715</v>
      </c>
      <c r="B7596" s="3" t="s">
        <v>491</v>
      </c>
      <c r="C7596" s="3" t="s">
        <v>1095</v>
      </c>
      <c r="D7596" s="3" t="s">
        <v>68</v>
      </c>
      <c r="E7596" s="3" t="s">
        <v>100</v>
      </c>
      <c r="F7596" s="3" t="s">
        <v>1426</v>
      </c>
      <c r="G7596" s="7">
        <v>46291.27172411525</v>
      </c>
    </row>
    <row r="7597">
      <c r="A7597" s="3" t="s">
        <v>22717</v>
      </c>
      <c r="B7597" s="3" t="s">
        <v>505</v>
      </c>
      <c r="C7597" s="3" t="s">
        <v>1342</v>
      </c>
      <c r="D7597" s="3" t="s">
        <v>68</v>
      </c>
      <c r="E7597" s="3" t="s">
        <v>100</v>
      </c>
      <c r="F7597" s="3" t="s">
        <v>2118</v>
      </c>
      <c r="G7597" s="7">
        <v>46291.342898960655</v>
      </c>
    </row>
    <row r="7598">
      <c r="A7598" s="3" t="s">
        <v>22719</v>
      </c>
      <c r="B7598" s="3" t="s">
        <v>333</v>
      </c>
      <c r="C7598" s="3" t="s">
        <v>1342</v>
      </c>
      <c r="D7598" s="3" t="s">
        <v>68</v>
      </c>
      <c r="E7598" s="3" t="s">
        <v>100</v>
      </c>
      <c r="F7598" s="3" t="s">
        <v>1670</v>
      </c>
      <c r="G7598" s="7">
        <v>46291.414073806074</v>
      </c>
    </row>
    <row r="7599">
      <c r="A7599" s="3" t="s">
        <v>22721</v>
      </c>
      <c r="B7599" s="3" t="s">
        <v>805</v>
      </c>
      <c r="C7599" s="3" t="s">
        <v>1095</v>
      </c>
      <c r="D7599" s="3" t="s">
        <v>68</v>
      </c>
      <c r="E7599" s="3" t="s">
        <v>100</v>
      </c>
      <c r="F7599" s="3" t="s">
        <v>1901</v>
      </c>
      <c r="G7599" s="7">
        <v>46291.485248651494</v>
      </c>
    </row>
    <row r="7600">
      <c r="A7600" s="3" t="s">
        <v>22725</v>
      </c>
      <c r="B7600" s="3" t="s">
        <v>202</v>
      </c>
      <c r="C7600" s="3" t="s">
        <v>1095</v>
      </c>
      <c r="D7600" s="3" t="s">
        <v>68</v>
      </c>
      <c r="E7600" s="3" t="s">
        <v>100</v>
      </c>
      <c r="F7600" s="3" t="s">
        <v>1916</v>
      </c>
      <c r="G7600" s="7">
        <v>46291.556423496906</v>
      </c>
    </row>
    <row r="7601">
      <c r="A7601" s="3" t="s">
        <v>22728</v>
      </c>
      <c r="B7601" s="3" t="s">
        <v>211</v>
      </c>
      <c r="C7601" s="3" t="s">
        <v>1342</v>
      </c>
      <c r="D7601" s="3" t="s">
        <v>68</v>
      </c>
      <c r="E7601" s="3" t="s">
        <v>100</v>
      </c>
      <c r="F7601" s="3" t="s">
        <v>1039</v>
      </c>
      <c r="G7601" s="7">
        <v>46291.62759834232</v>
      </c>
    </row>
    <row r="7602">
      <c r="A7602" s="3" t="s">
        <v>22731</v>
      </c>
      <c r="B7602" s="3" t="s">
        <v>516</v>
      </c>
      <c r="C7602" s="3" t="s">
        <v>56</v>
      </c>
      <c r="D7602" s="3" t="s">
        <v>68</v>
      </c>
      <c r="E7602" s="3" t="s">
        <v>100</v>
      </c>
      <c r="F7602" s="3" t="s">
        <v>509</v>
      </c>
      <c r="G7602" s="7">
        <v>46291.69877318774</v>
      </c>
    </row>
    <row r="7603">
      <c r="A7603" s="3" t="s">
        <v>22733</v>
      </c>
      <c r="B7603" s="3" t="s">
        <v>523</v>
      </c>
      <c r="C7603" s="3" t="s">
        <v>56</v>
      </c>
      <c r="D7603" s="3" t="s">
        <v>68</v>
      </c>
      <c r="E7603" s="3" t="s">
        <v>100</v>
      </c>
      <c r="F7603" s="3" t="s">
        <v>518</v>
      </c>
      <c r="G7603" s="7">
        <v>46291.76994803315</v>
      </c>
    </row>
    <row r="7604">
      <c r="A7604" s="3" t="s">
        <v>22735</v>
      </c>
      <c r="B7604" s="3" t="s">
        <v>260</v>
      </c>
      <c r="C7604" s="3" t="s">
        <v>56</v>
      </c>
      <c r="D7604" s="3" t="s">
        <v>68</v>
      </c>
      <c r="E7604" s="3" t="s">
        <v>100</v>
      </c>
      <c r="F7604" s="3" t="s">
        <v>526</v>
      </c>
      <c r="G7604" s="7">
        <v>46291.84112287856</v>
      </c>
    </row>
    <row r="7605">
      <c r="A7605" s="3" t="s">
        <v>22738</v>
      </c>
      <c r="B7605" s="3" t="s">
        <v>965</v>
      </c>
      <c r="C7605" s="3" t="s">
        <v>1095</v>
      </c>
      <c r="D7605" s="3" t="s">
        <v>68</v>
      </c>
      <c r="E7605" s="3" t="s">
        <v>100</v>
      </c>
      <c r="F7605" s="3" t="s">
        <v>1785</v>
      </c>
      <c r="G7605" s="7">
        <v>46291.91229772398</v>
      </c>
    </row>
    <row r="7606">
      <c r="A7606" s="3" t="s">
        <v>22740</v>
      </c>
      <c r="B7606" s="3" t="s">
        <v>883</v>
      </c>
      <c r="C7606" s="3" t="s">
        <v>1342</v>
      </c>
      <c r="D7606" s="3" t="s">
        <v>68</v>
      </c>
      <c r="E7606" s="3" t="s">
        <v>100</v>
      </c>
      <c r="F7606" s="3" t="s">
        <v>1125</v>
      </c>
      <c r="G7606" s="7">
        <v>46291.9834725694</v>
      </c>
    </row>
    <row r="7607">
      <c r="A7607" s="3" t="s">
        <v>22742</v>
      </c>
      <c r="B7607" s="3" t="s">
        <v>419</v>
      </c>
      <c r="C7607" s="3" t="s">
        <v>1342</v>
      </c>
      <c r="D7607" s="3" t="s">
        <v>68</v>
      </c>
      <c r="E7607" s="3" t="s">
        <v>100</v>
      </c>
      <c r="F7607" s="3" t="s">
        <v>1879</v>
      </c>
      <c r="G7607" s="7">
        <v>46292.05464741481</v>
      </c>
    </row>
    <row r="7608">
      <c r="A7608" s="3" t="s">
        <v>22744</v>
      </c>
      <c r="B7608" s="3" t="s">
        <v>319</v>
      </c>
      <c r="C7608" s="3" t="s">
        <v>1342</v>
      </c>
      <c r="D7608" s="3" t="s">
        <v>68</v>
      </c>
      <c r="E7608" s="3" t="s">
        <v>100</v>
      </c>
      <c r="F7608" s="3" t="s">
        <v>2085</v>
      </c>
      <c r="G7608" s="7">
        <v>46292.12582226023</v>
      </c>
    </row>
    <row r="7609">
      <c r="A7609" s="3" t="s">
        <v>22746</v>
      </c>
      <c r="B7609" s="3" t="s">
        <v>845</v>
      </c>
      <c r="C7609" s="3" t="s">
        <v>1342</v>
      </c>
      <c r="D7609" s="3" t="s">
        <v>68</v>
      </c>
      <c r="E7609" s="3" t="s">
        <v>100</v>
      </c>
      <c r="F7609" s="3" t="s">
        <v>1910</v>
      </c>
      <c r="G7609" s="7">
        <v>46292.196997105646</v>
      </c>
    </row>
    <row r="7610">
      <c r="A7610" s="3" t="s">
        <v>22748</v>
      </c>
      <c r="B7610" s="3" t="s">
        <v>929</v>
      </c>
      <c r="C7610" s="3" t="s">
        <v>1095</v>
      </c>
      <c r="D7610" s="3" t="s">
        <v>68</v>
      </c>
      <c r="E7610" s="3" t="s">
        <v>100</v>
      </c>
      <c r="F7610" s="3" t="s">
        <v>1256</v>
      </c>
      <c r="G7610" s="7">
        <v>46292.26817195106</v>
      </c>
    </row>
    <row r="7611">
      <c r="A7611" s="3" t="s">
        <v>22750</v>
      </c>
      <c r="B7611" s="3" t="s">
        <v>559</v>
      </c>
      <c r="C7611" s="3" t="s">
        <v>1095</v>
      </c>
      <c r="D7611" s="3" t="s">
        <v>68</v>
      </c>
      <c r="E7611" s="3" t="s">
        <v>100</v>
      </c>
      <c r="F7611" s="3" t="s">
        <v>1133</v>
      </c>
      <c r="G7611" s="7">
        <v>46292.33934679647</v>
      </c>
    </row>
    <row r="7612">
      <c r="A7612" s="3" t="s">
        <v>22752</v>
      </c>
      <c r="B7612" s="3" t="s">
        <v>569</v>
      </c>
      <c r="C7612" s="3" t="s">
        <v>1095</v>
      </c>
      <c r="D7612" s="3" t="s">
        <v>68</v>
      </c>
      <c r="E7612" s="3" t="s">
        <v>100</v>
      </c>
      <c r="F7612" s="3" t="s">
        <v>1533</v>
      </c>
      <c r="G7612" s="7">
        <v>46292.41052164189</v>
      </c>
    </row>
    <row r="7613">
      <c r="A7613" s="3" t="s">
        <v>22754</v>
      </c>
      <c r="B7613" s="3" t="s">
        <v>574</v>
      </c>
      <c r="C7613" s="3" t="s">
        <v>1342</v>
      </c>
      <c r="D7613" s="3" t="s">
        <v>68</v>
      </c>
      <c r="E7613" s="3" t="s">
        <v>100</v>
      </c>
      <c r="F7613" s="3" t="s">
        <v>2103</v>
      </c>
      <c r="G7613" s="7">
        <v>46292.4816964873</v>
      </c>
    </row>
    <row r="7614">
      <c r="A7614" s="3" t="s">
        <v>22756</v>
      </c>
      <c r="B7614" s="3" t="s">
        <v>536</v>
      </c>
      <c r="C7614" s="3" t="s">
        <v>56</v>
      </c>
      <c r="D7614" s="3" t="s">
        <v>68</v>
      </c>
      <c r="E7614" s="3" t="s">
        <v>100</v>
      </c>
      <c r="F7614" s="3" t="s">
        <v>532</v>
      </c>
      <c r="G7614" s="7">
        <v>46292.552871332715</v>
      </c>
    </row>
    <row r="7615">
      <c r="A7615" s="3" t="s">
        <v>22759</v>
      </c>
      <c r="B7615" s="3" t="s">
        <v>554</v>
      </c>
      <c r="C7615" s="3" t="s">
        <v>1342</v>
      </c>
      <c r="D7615" s="3" t="s">
        <v>68</v>
      </c>
      <c r="E7615" s="3" t="s">
        <v>100</v>
      </c>
      <c r="F7615" s="3" t="s">
        <v>1992</v>
      </c>
      <c r="G7615" s="7">
        <v>46292.624046178134</v>
      </c>
    </row>
    <row r="7616">
      <c r="A7616" s="3" t="s">
        <v>22761</v>
      </c>
      <c r="B7616" s="3" t="s">
        <v>601</v>
      </c>
      <c r="C7616" s="3" t="s">
        <v>1342</v>
      </c>
      <c r="D7616" s="3" t="s">
        <v>68</v>
      </c>
      <c r="E7616" s="3" t="s">
        <v>100</v>
      </c>
      <c r="F7616" s="3" t="s">
        <v>2126</v>
      </c>
      <c r="G7616" s="7">
        <v>46292.69522102355</v>
      </c>
    </row>
    <row r="7617">
      <c r="A7617" s="3" t="s">
        <v>22763</v>
      </c>
      <c r="B7617" s="3" t="s">
        <v>643</v>
      </c>
      <c r="C7617" s="3" t="s">
        <v>1095</v>
      </c>
      <c r="D7617" s="3" t="s">
        <v>181</v>
      </c>
      <c r="E7617" s="3" t="s">
        <v>45</v>
      </c>
      <c r="F7617" s="3" t="s">
        <v>1671</v>
      </c>
      <c r="G7617" s="7">
        <v>46292.76639586896</v>
      </c>
    </row>
    <row r="7618">
      <c r="A7618" s="3" t="s">
        <v>22765</v>
      </c>
      <c r="B7618" s="3" t="s">
        <v>1030</v>
      </c>
      <c r="C7618" s="3" t="s">
        <v>1342</v>
      </c>
      <c r="D7618" s="3" t="s">
        <v>68</v>
      </c>
      <c r="E7618" s="3" t="s">
        <v>100</v>
      </c>
      <c r="F7618" s="3" t="s">
        <v>1950</v>
      </c>
      <c r="G7618" s="7">
        <v>46292.83757071438</v>
      </c>
    </row>
    <row r="7619">
      <c r="A7619" s="3" t="s">
        <v>22768</v>
      </c>
      <c r="B7619" s="3" t="s">
        <v>302</v>
      </c>
      <c r="C7619" s="3" t="s">
        <v>1342</v>
      </c>
      <c r="D7619" s="3" t="s">
        <v>68</v>
      </c>
      <c r="E7619" s="3" t="s">
        <v>100</v>
      </c>
      <c r="F7619" s="3" t="s">
        <v>2093</v>
      </c>
      <c r="G7619" s="7">
        <v>46292.90874555979</v>
      </c>
    </row>
    <row r="7620">
      <c r="A7620" s="3" t="s">
        <v>22771</v>
      </c>
      <c r="B7620" s="3" t="s">
        <v>665</v>
      </c>
      <c r="C7620" s="3" t="s">
        <v>1095</v>
      </c>
      <c r="D7620" s="3" t="s">
        <v>68</v>
      </c>
      <c r="E7620" s="3" t="s">
        <v>100</v>
      </c>
      <c r="F7620" s="3" t="s">
        <v>2069</v>
      </c>
      <c r="G7620" s="7">
        <v>46292.97992040521</v>
      </c>
    </row>
    <row r="7621">
      <c r="A7621" s="3" t="s">
        <v>22774</v>
      </c>
      <c r="B7621" s="3" t="s">
        <v>546</v>
      </c>
      <c r="C7621" s="3" t="s">
        <v>56</v>
      </c>
      <c r="D7621" s="3" t="s">
        <v>68</v>
      </c>
      <c r="E7621" s="3" t="s">
        <v>100</v>
      </c>
      <c r="F7621" s="3" t="s">
        <v>538</v>
      </c>
      <c r="G7621" s="7">
        <v>46293.05109525062</v>
      </c>
    </row>
    <row r="7622">
      <c r="A7622" s="3" t="s">
        <v>22777</v>
      </c>
      <c r="B7622" s="3" t="s">
        <v>547</v>
      </c>
      <c r="C7622" s="3" t="s">
        <v>56</v>
      </c>
      <c r="D7622" s="3" t="s">
        <v>68</v>
      </c>
      <c r="E7622" s="3" t="s">
        <v>100</v>
      </c>
      <c r="F7622" s="3" t="s">
        <v>549</v>
      </c>
      <c r="G7622" s="7">
        <v>46293.12227009604</v>
      </c>
    </row>
    <row r="7623">
      <c r="A7623" s="3" t="s">
        <v>22780</v>
      </c>
      <c r="B7623" s="3" t="s">
        <v>226</v>
      </c>
      <c r="C7623" s="3" t="s">
        <v>1342</v>
      </c>
      <c r="D7623" s="3" t="s">
        <v>68</v>
      </c>
      <c r="E7623" s="3" t="s">
        <v>100</v>
      </c>
      <c r="F7623" s="3" t="s">
        <v>1214</v>
      </c>
      <c r="G7623" s="7">
        <v>46293.19344494145</v>
      </c>
    </row>
    <row r="7624">
      <c r="A7624" s="3" t="s">
        <v>22782</v>
      </c>
      <c r="B7624" s="3" t="s">
        <v>352</v>
      </c>
      <c r="C7624" s="3" t="s">
        <v>1342</v>
      </c>
      <c r="D7624" s="3" t="s">
        <v>68</v>
      </c>
      <c r="E7624" s="3" t="s">
        <v>100</v>
      </c>
      <c r="F7624" s="3" t="s">
        <v>1743</v>
      </c>
      <c r="G7624" s="7">
        <v>46293.26461978687</v>
      </c>
    </row>
    <row r="7625">
      <c r="A7625" s="3" t="s">
        <v>22784</v>
      </c>
      <c r="B7625" s="3" t="s">
        <v>559</v>
      </c>
      <c r="C7625" s="3" t="s">
        <v>56</v>
      </c>
      <c r="D7625" s="3" t="s">
        <v>68</v>
      </c>
      <c r="E7625" s="3" t="s">
        <v>100</v>
      </c>
      <c r="F7625" s="3" t="s">
        <v>553</v>
      </c>
      <c r="G7625" s="7">
        <v>46293.33579463229</v>
      </c>
    </row>
    <row r="7626">
      <c r="A7626" s="3" t="s">
        <v>22786</v>
      </c>
      <c r="B7626" s="3" t="s">
        <v>411</v>
      </c>
      <c r="C7626" s="3" t="s">
        <v>56</v>
      </c>
      <c r="D7626" s="3" t="s">
        <v>68</v>
      </c>
      <c r="E7626" s="3" t="s">
        <v>100</v>
      </c>
      <c r="F7626" s="3" t="s">
        <v>560</v>
      </c>
      <c r="G7626" s="7">
        <v>46293.4069694777</v>
      </c>
    </row>
    <row r="7627">
      <c r="A7627" s="3" t="s">
        <v>22788</v>
      </c>
      <c r="B7627" s="3" t="s">
        <v>765</v>
      </c>
      <c r="C7627" s="3" t="s">
        <v>1095</v>
      </c>
      <c r="D7627" s="3" t="s">
        <v>68</v>
      </c>
      <c r="E7627" s="3" t="s">
        <v>100</v>
      </c>
      <c r="F7627" s="3" t="s">
        <v>1694</v>
      </c>
      <c r="G7627" s="7">
        <v>46293.47814432311</v>
      </c>
    </row>
    <row r="7628">
      <c r="A7628" s="3" t="s">
        <v>22790</v>
      </c>
      <c r="B7628" s="3" t="s">
        <v>830</v>
      </c>
      <c r="C7628" s="3" t="s">
        <v>56</v>
      </c>
      <c r="D7628" s="3" t="s">
        <v>195</v>
      </c>
      <c r="E7628" s="3" t="s">
        <v>45</v>
      </c>
      <c r="F7628" s="3" t="s">
        <v>45</v>
      </c>
      <c r="G7628" s="7">
        <v>46293.54931916853</v>
      </c>
    </row>
    <row r="7629">
      <c r="A7629" s="3" t="s">
        <v>22792</v>
      </c>
      <c r="B7629" s="3" t="s">
        <v>922</v>
      </c>
      <c r="C7629" s="3" t="s">
        <v>1342</v>
      </c>
      <c r="D7629" s="3" t="s">
        <v>68</v>
      </c>
      <c r="E7629" s="3" t="s">
        <v>100</v>
      </c>
      <c r="F7629" s="3" t="s">
        <v>1609</v>
      </c>
      <c r="G7629" s="7">
        <v>46293.62049401394</v>
      </c>
    </row>
    <row r="7630">
      <c r="A7630" s="3" t="s">
        <v>22794</v>
      </c>
      <c r="B7630" s="3" t="s">
        <v>575</v>
      </c>
      <c r="C7630" s="3" t="s">
        <v>56</v>
      </c>
      <c r="D7630" s="3" t="s">
        <v>68</v>
      </c>
      <c r="E7630" s="3" t="s">
        <v>100</v>
      </c>
      <c r="F7630" s="3" t="s">
        <v>568</v>
      </c>
      <c r="G7630" s="7">
        <v>46293.691668859356</v>
      </c>
    </row>
    <row r="7631">
      <c r="A7631" s="3" t="s">
        <v>22796</v>
      </c>
      <c r="B7631" s="3" t="s">
        <v>816</v>
      </c>
      <c r="C7631" s="3" t="s">
        <v>1095</v>
      </c>
      <c r="D7631" s="3" t="s">
        <v>68</v>
      </c>
      <c r="E7631" s="3" t="s">
        <v>100</v>
      </c>
      <c r="F7631" s="3" t="s">
        <v>2074</v>
      </c>
      <c r="G7631" s="7">
        <v>46293.762843704775</v>
      </c>
    </row>
    <row r="7632">
      <c r="A7632" s="3" t="s">
        <v>22798</v>
      </c>
      <c r="B7632" s="3" t="s">
        <v>770</v>
      </c>
      <c r="C7632" s="3" t="s">
        <v>1095</v>
      </c>
      <c r="D7632" s="3" t="s">
        <v>68</v>
      </c>
      <c r="E7632" s="3" t="s">
        <v>100</v>
      </c>
      <c r="F7632" s="3" t="s">
        <v>2083</v>
      </c>
      <c r="G7632" s="7">
        <v>46293.834018550195</v>
      </c>
    </row>
    <row r="7633">
      <c r="A7633" s="3" t="s">
        <v>22800</v>
      </c>
      <c r="B7633" s="3" t="s">
        <v>186</v>
      </c>
      <c r="C7633" s="3" t="s">
        <v>1342</v>
      </c>
      <c r="D7633" s="3" t="s">
        <v>68</v>
      </c>
      <c r="E7633" s="3" t="s">
        <v>100</v>
      </c>
      <c r="F7633" s="3" t="s">
        <v>1958</v>
      </c>
      <c r="G7633" s="7">
        <v>46293.9051933956</v>
      </c>
    </row>
    <row r="7634">
      <c r="A7634" s="3" t="s">
        <v>22802</v>
      </c>
      <c r="B7634" s="3" t="s">
        <v>466</v>
      </c>
      <c r="C7634" s="3" t="s">
        <v>56</v>
      </c>
      <c r="D7634" s="3" t="s">
        <v>68</v>
      </c>
      <c r="E7634" s="3" t="s">
        <v>100</v>
      </c>
      <c r="F7634" s="3" t="s">
        <v>578</v>
      </c>
      <c r="G7634" s="7">
        <v>46293.97636824102</v>
      </c>
    </row>
    <row r="7635">
      <c r="A7635" s="3" t="s">
        <v>22806</v>
      </c>
      <c r="B7635" s="3" t="s">
        <v>926</v>
      </c>
      <c r="C7635" s="3" t="s">
        <v>1342</v>
      </c>
      <c r="D7635" s="3" t="s">
        <v>181</v>
      </c>
      <c r="E7635" s="3" t="s">
        <v>45</v>
      </c>
      <c r="F7635" s="3" t="s">
        <v>1956</v>
      </c>
      <c r="G7635" s="7">
        <v>46294.04754308643</v>
      </c>
    </row>
    <row r="7636">
      <c r="A7636" s="3" t="s">
        <v>22809</v>
      </c>
      <c r="B7636" s="3" t="s">
        <v>276</v>
      </c>
      <c r="C7636" s="3" t="s">
        <v>1095</v>
      </c>
      <c r="D7636" s="3" t="s">
        <v>68</v>
      </c>
      <c r="E7636" s="3" t="s">
        <v>100</v>
      </c>
      <c r="F7636" s="3" t="s">
        <v>490</v>
      </c>
      <c r="G7636" s="7">
        <v>46294.11871793185</v>
      </c>
    </row>
    <row r="7637">
      <c r="A7637" s="3" t="s">
        <v>22812</v>
      </c>
      <c r="B7637" s="3" t="s">
        <v>550</v>
      </c>
      <c r="C7637" s="3" t="s">
        <v>1095</v>
      </c>
      <c r="D7637" s="3" t="s">
        <v>68</v>
      </c>
      <c r="E7637" s="3" t="s">
        <v>100</v>
      </c>
      <c r="F7637" s="3" t="s">
        <v>1925</v>
      </c>
      <c r="G7637" s="7">
        <v>46294.18989277726</v>
      </c>
    </row>
    <row r="7638">
      <c r="A7638" s="3" t="s">
        <v>22815</v>
      </c>
      <c r="B7638" s="3" t="s">
        <v>554</v>
      </c>
      <c r="C7638" s="3" t="s">
        <v>1342</v>
      </c>
      <c r="D7638" s="3" t="s">
        <v>181</v>
      </c>
      <c r="E7638" s="3" t="s">
        <v>45</v>
      </c>
      <c r="F7638" s="3" t="s">
        <v>1992</v>
      </c>
      <c r="G7638" s="7">
        <v>46294.26106762268</v>
      </c>
    </row>
    <row r="7639">
      <c r="A7639" s="3" t="s">
        <v>22817</v>
      </c>
      <c r="B7639" s="3" t="s">
        <v>468</v>
      </c>
      <c r="C7639" s="3" t="s">
        <v>1095</v>
      </c>
      <c r="D7639" s="3" t="s">
        <v>68</v>
      </c>
      <c r="E7639" s="3" t="s">
        <v>100</v>
      </c>
      <c r="F7639" s="3" t="s">
        <v>2113</v>
      </c>
      <c r="G7639" s="7">
        <v>46294.33224246809</v>
      </c>
    </row>
    <row r="7640">
      <c r="A7640" s="3" t="s">
        <v>22819</v>
      </c>
      <c r="B7640" s="3" t="s">
        <v>586</v>
      </c>
      <c r="C7640" s="3" t="s">
        <v>56</v>
      </c>
      <c r="D7640" s="3" t="s">
        <v>68</v>
      </c>
      <c r="E7640" s="3" t="s">
        <v>100</v>
      </c>
      <c r="F7640" s="3" t="s">
        <v>583</v>
      </c>
      <c r="G7640" s="7">
        <v>46294.40341731351</v>
      </c>
    </row>
    <row r="7641">
      <c r="A7641" s="3" t="s">
        <v>22821</v>
      </c>
      <c r="B7641" s="3" t="s">
        <v>751</v>
      </c>
      <c r="C7641" s="3" t="s">
        <v>1342</v>
      </c>
      <c r="D7641" s="3" t="s">
        <v>181</v>
      </c>
      <c r="E7641" s="3" t="s">
        <v>45</v>
      </c>
      <c r="F7641" s="3" t="s">
        <v>1395</v>
      </c>
      <c r="G7641" s="7">
        <v>46294.47459215893</v>
      </c>
    </row>
    <row r="7642">
      <c r="A7642" s="3" t="s">
        <v>22823</v>
      </c>
      <c r="B7642" s="3" t="s">
        <v>211</v>
      </c>
      <c r="C7642" s="3" t="s">
        <v>1095</v>
      </c>
      <c r="D7642" s="3" t="s">
        <v>68</v>
      </c>
      <c r="E7642" s="3" t="s">
        <v>100</v>
      </c>
      <c r="F7642" s="3" t="s">
        <v>1039</v>
      </c>
      <c r="G7642" s="7">
        <v>46294.54576700434</v>
      </c>
    </row>
    <row r="7643">
      <c r="A7643" s="3" t="s">
        <v>22825</v>
      </c>
      <c r="B7643" s="3" t="s">
        <v>735</v>
      </c>
      <c r="C7643" s="3" t="s">
        <v>56</v>
      </c>
      <c r="D7643" s="3" t="s">
        <v>68</v>
      </c>
      <c r="E7643" s="3" t="s">
        <v>100</v>
      </c>
      <c r="F7643" s="3" t="s">
        <v>589</v>
      </c>
      <c r="G7643" s="7">
        <v>46294.61694184975</v>
      </c>
    </row>
    <row r="7644">
      <c r="A7644" s="3" t="s">
        <v>22827</v>
      </c>
      <c r="B7644" s="3" t="s">
        <v>752</v>
      </c>
      <c r="C7644" s="3" t="s">
        <v>1342</v>
      </c>
      <c r="D7644" s="3" t="s">
        <v>181</v>
      </c>
      <c r="E7644" s="3" t="s">
        <v>45</v>
      </c>
      <c r="F7644" s="3" t="s">
        <v>2059</v>
      </c>
      <c r="G7644" s="7">
        <v>46294.68811669517</v>
      </c>
    </row>
    <row r="7645">
      <c r="A7645" s="3" t="s">
        <v>22829</v>
      </c>
      <c r="B7645" s="3" t="s">
        <v>512</v>
      </c>
      <c r="C7645" s="3" t="s">
        <v>1342</v>
      </c>
      <c r="D7645" s="3" t="s">
        <v>68</v>
      </c>
      <c r="E7645" s="3" t="s">
        <v>100</v>
      </c>
      <c r="F7645" s="3" t="s">
        <v>1869</v>
      </c>
      <c r="G7645" s="7">
        <v>46294.759291540584</v>
      </c>
    </row>
    <row r="7646">
      <c r="A7646" s="3" t="s">
        <v>22831</v>
      </c>
      <c r="B7646" s="3" t="s">
        <v>533</v>
      </c>
      <c r="C7646" s="3" t="s">
        <v>1095</v>
      </c>
      <c r="D7646" s="3" t="s">
        <v>68</v>
      </c>
      <c r="E7646" s="3" t="s">
        <v>100</v>
      </c>
      <c r="F7646" s="3" t="s">
        <v>1887</v>
      </c>
      <c r="G7646" s="7">
        <v>46294.830466385996</v>
      </c>
    </row>
    <row r="7647">
      <c r="A7647" s="3" t="s">
        <v>22833</v>
      </c>
      <c r="B7647" s="3" t="s">
        <v>751</v>
      </c>
      <c r="C7647" s="3" t="s">
        <v>1342</v>
      </c>
      <c r="D7647" s="3" t="s">
        <v>68</v>
      </c>
      <c r="E7647" s="3" t="s">
        <v>100</v>
      </c>
      <c r="F7647" s="3" t="s">
        <v>1395</v>
      </c>
      <c r="G7647" s="7">
        <v>46294.901641231416</v>
      </c>
    </row>
    <row r="7648">
      <c r="A7648" s="3" t="s">
        <v>22835</v>
      </c>
      <c r="B7648" s="3" t="s">
        <v>600</v>
      </c>
      <c r="C7648" s="3" t="s">
        <v>56</v>
      </c>
      <c r="D7648" s="3" t="s">
        <v>68</v>
      </c>
      <c r="E7648" s="3" t="s">
        <v>100</v>
      </c>
      <c r="F7648" s="3" t="s">
        <v>595</v>
      </c>
      <c r="G7648" s="7">
        <v>46294.972816076835</v>
      </c>
    </row>
    <row r="7649">
      <c r="A7649" s="3" t="s">
        <v>22837</v>
      </c>
      <c r="B7649" s="3" t="s">
        <v>130</v>
      </c>
      <c r="C7649" s="3" t="s">
        <v>1095</v>
      </c>
      <c r="D7649" s="3" t="s">
        <v>68</v>
      </c>
      <c r="E7649" s="3" t="s">
        <v>100</v>
      </c>
      <c r="F7649" s="3" t="s">
        <v>2039</v>
      </c>
      <c r="G7649" s="7">
        <v>46295.04399092224</v>
      </c>
    </row>
    <row r="7650">
      <c r="A7650" s="3" t="s">
        <v>22839</v>
      </c>
      <c r="B7650" s="3" t="s">
        <v>356</v>
      </c>
      <c r="C7650" s="3" t="s">
        <v>56</v>
      </c>
      <c r="D7650" s="3" t="s">
        <v>68</v>
      </c>
      <c r="E7650" s="3" t="s">
        <v>100</v>
      </c>
      <c r="F7650" s="3" t="s">
        <v>603</v>
      </c>
      <c r="G7650" s="7">
        <v>46295.11516576766</v>
      </c>
    </row>
    <row r="7651">
      <c r="A7651" s="3" t="s">
        <v>22841</v>
      </c>
      <c r="B7651" s="3" t="s">
        <v>789</v>
      </c>
      <c r="C7651" s="3" t="s">
        <v>1342</v>
      </c>
      <c r="D7651" s="3" t="s">
        <v>181</v>
      </c>
      <c r="E7651" s="3" t="s">
        <v>45</v>
      </c>
      <c r="F7651" s="3" t="s">
        <v>1911</v>
      </c>
      <c r="G7651" s="7">
        <v>46295.18634061308</v>
      </c>
    </row>
    <row r="7652">
      <c r="A7652" s="3" t="s">
        <v>22843</v>
      </c>
      <c r="B7652" s="3" t="s">
        <v>211</v>
      </c>
      <c r="C7652" s="3" t="s">
        <v>56</v>
      </c>
      <c r="D7652" s="3" t="s">
        <v>68</v>
      </c>
      <c r="E7652" s="3" t="s">
        <v>100</v>
      </c>
      <c r="F7652" s="3" t="s">
        <v>618</v>
      </c>
      <c r="G7652" s="7">
        <v>46295.25751545849</v>
      </c>
    </row>
    <row r="7653">
      <c r="A7653" s="3" t="s">
        <v>22846</v>
      </c>
      <c r="B7653" s="3" t="s">
        <v>430</v>
      </c>
      <c r="C7653" s="3" t="s">
        <v>1095</v>
      </c>
      <c r="D7653" s="3" t="s">
        <v>68</v>
      </c>
      <c r="E7653" s="3" t="s">
        <v>100</v>
      </c>
      <c r="F7653" s="3" t="s">
        <v>1935</v>
      </c>
      <c r="G7653" s="7">
        <v>46295.328690303904</v>
      </c>
    </row>
    <row r="7654">
      <c r="A7654" s="3" t="s">
        <v>22848</v>
      </c>
      <c r="B7654" s="3" t="s">
        <v>631</v>
      </c>
      <c r="C7654" s="3" t="s">
        <v>56</v>
      </c>
      <c r="D7654" s="3" t="s">
        <v>68</v>
      </c>
      <c r="E7654" s="3" t="s">
        <v>100</v>
      </c>
      <c r="F7654" s="3" t="s">
        <v>626</v>
      </c>
      <c r="G7654" s="7">
        <v>46295.399865149324</v>
      </c>
    </row>
    <row r="7655">
      <c r="A7655" s="3" t="s">
        <v>22850</v>
      </c>
      <c r="B7655" s="3" t="s">
        <v>734</v>
      </c>
      <c r="C7655" s="3" t="s">
        <v>56</v>
      </c>
      <c r="D7655" s="3" t="s">
        <v>68</v>
      </c>
      <c r="E7655" s="3" t="s">
        <v>100</v>
      </c>
      <c r="F7655" s="3" t="s">
        <v>633</v>
      </c>
      <c r="G7655" s="7">
        <v>46295.471039994736</v>
      </c>
    </row>
    <row r="7656">
      <c r="A7656" s="3" t="s">
        <v>22852</v>
      </c>
      <c r="B7656" s="3" t="s">
        <v>645</v>
      </c>
      <c r="C7656" s="3" t="s">
        <v>56</v>
      </c>
      <c r="D7656" s="3" t="s">
        <v>68</v>
      </c>
      <c r="E7656" s="3" t="s">
        <v>100</v>
      </c>
      <c r="F7656" s="3" t="s">
        <v>641</v>
      </c>
      <c r="G7656" s="7">
        <v>46295.54221484015</v>
      </c>
    </row>
    <row r="7657">
      <c r="A7657" s="3" t="s">
        <v>22854</v>
      </c>
      <c r="B7657" s="3" t="s">
        <v>449</v>
      </c>
      <c r="C7657" s="3" t="s">
        <v>1342</v>
      </c>
      <c r="D7657" s="3" t="s">
        <v>68</v>
      </c>
      <c r="E7657" s="3" t="s">
        <v>100</v>
      </c>
      <c r="F7657" s="3" t="s">
        <v>1860</v>
      </c>
      <c r="G7657" s="7">
        <v>46295.61338968557</v>
      </c>
    </row>
    <row r="7658">
      <c r="A7658" s="3" t="s">
        <v>22856</v>
      </c>
      <c r="B7658" s="3" t="s">
        <v>800</v>
      </c>
      <c r="C7658" s="3" t="s">
        <v>1095</v>
      </c>
      <c r="D7658" s="3" t="s">
        <v>68</v>
      </c>
      <c r="E7658" s="3" t="s">
        <v>100</v>
      </c>
      <c r="F7658" s="3" t="s">
        <v>2081</v>
      </c>
      <c r="G7658" s="7">
        <v>46295.68456453098</v>
      </c>
    </row>
    <row r="7659">
      <c r="A7659" s="3" t="s">
        <v>22858</v>
      </c>
      <c r="B7659" s="3" t="s">
        <v>208</v>
      </c>
      <c r="C7659" s="3" t="s">
        <v>1095</v>
      </c>
      <c r="D7659" s="3" t="s">
        <v>68</v>
      </c>
      <c r="E7659" s="3" t="s">
        <v>100</v>
      </c>
      <c r="F7659" s="3" t="s">
        <v>2096</v>
      </c>
      <c r="G7659" s="7">
        <v>46295.75573937639</v>
      </c>
    </row>
    <row r="7660">
      <c r="A7660" s="3" t="s">
        <v>22861</v>
      </c>
      <c r="B7660" s="3" t="s">
        <v>383</v>
      </c>
      <c r="C7660" s="3" t="s">
        <v>1342</v>
      </c>
      <c r="D7660" s="3" t="s">
        <v>68</v>
      </c>
      <c r="E7660" s="3" t="s">
        <v>100</v>
      </c>
      <c r="F7660" s="3" t="s">
        <v>1776</v>
      </c>
      <c r="G7660" s="7">
        <v>46295.82691422181</v>
      </c>
    </row>
    <row r="7661">
      <c r="A7661" s="3" t="s">
        <v>22864</v>
      </c>
      <c r="B7661" s="3" t="s">
        <v>650</v>
      </c>
      <c r="C7661" s="3" t="s">
        <v>56</v>
      </c>
      <c r="D7661" s="3" t="s">
        <v>68</v>
      </c>
      <c r="E7661" s="3" t="s">
        <v>100</v>
      </c>
      <c r="F7661" s="3" t="s">
        <v>646</v>
      </c>
      <c r="G7661" s="7">
        <v>46295.898089067225</v>
      </c>
    </row>
    <row r="7662">
      <c r="A7662" s="3" t="s">
        <v>22866</v>
      </c>
      <c r="B7662" s="3" t="s">
        <v>521</v>
      </c>
      <c r="C7662" s="3" t="s">
        <v>1342</v>
      </c>
      <c r="D7662" s="3" t="s">
        <v>68</v>
      </c>
      <c r="E7662" s="3" t="s">
        <v>100</v>
      </c>
      <c r="F7662" s="3" t="s">
        <v>1651</v>
      </c>
      <c r="G7662" s="7">
        <v>46295.96926391264</v>
      </c>
    </row>
    <row r="7663">
      <c r="A7663" s="3" t="s">
        <v>22868</v>
      </c>
      <c r="B7663" s="3" t="s">
        <v>1037</v>
      </c>
      <c r="C7663" s="3" t="s">
        <v>1095</v>
      </c>
      <c r="D7663" s="3" t="s">
        <v>181</v>
      </c>
      <c r="E7663" s="3" t="s">
        <v>45</v>
      </c>
      <c r="F7663" s="3" t="s">
        <v>1472</v>
      </c>
      <c r="G7663" s="7">
        <v>46296.04043875806</v>
      </c>
    </row>
    <row r="7664">
      <c r="A7664" s="3" t="s">
        <v>22870</v>
      </c>
      <c r="B7664" s="3" t="s">
        <v>710</v>
      </c>
      <c r="C7664" s="3" t="s">
        <v>1342</v>
      </c>
      <c r="D7664" s="3" t="s">
        <v>68</v>
      </c>
      <c r="E7664" s="3" t="s">
        <v>100</v>
      </c>
      <c r="F7664" s="3" t="s">
        <v>1770</v>
      </c>
      <c r="G7664" s="7">
        <v>46296.111613603476</v>
      </c>
    </row>
    <row r="7665">
      <c r="A7665" s="3" t="s">
        <v>22874</v>
      </c>
      <c r="B7665" s="3" t="s">
        <v>211</v>
      </c>
      <c r="C7665" s="3" t="s">
        <v>1095</v>
      </c>
      <c r="D7665" s="3" t="s">
        <v>68</v>
      </c>
      <c r="E7665" s="3" t="s">
        <v>100</v>
      </c>
      <c r="F7665" s="3" t="s">
        <v>618</v>
      </c>
      <c r="G7665" s="7">
        <v>46296.18278844888</v>
      </c>
    </row>
    <row r="7666">
      <c r="A7666" s="3" t="s">
        <v>22877</v>
      </c>
      <c r="B7666" s="3" t="s">
        <v>993</v>
      </c>
      <c r="C7666" s="3" t="s">
        <v>1095</v>
      </c>
      <c r="D7666" s="3" t="s">
        <v>68</v>
      </c>
      <c r="E7666" s="3" t="s">
        <v>100</v>
      </c>
      <c r="F7666" s="3" t="s">
        <v>721</v>
      </c>
      <c r="G7666" s="7">
        <v>46296.2539632943</v>
      </c>
    </row>
    <row r="7667">
      <c r="A7667" s="3" t="s">
        <v>22880</v>
      </c>
      <c r="B7667" s="3" t="s">
        <v>657</v>
      </c>
      <c r="C7667" s="3" t="s">
        <v>56</v>
      </c>
      <c r="D7667" s="3" t="s">
        <v>68</v>
      </c>
      <c r="E7667" s="3" t="s">
        <v>100</v>
      </c>
      <c r="F7667" s="3" t="s">
        <v>653</v>
      </c>
      <c r="G7667" s="7">
        <v>46296.32513813972</v>
      </c>
    </row>
    <row r="7668">
      <c r="A7668" s="3" t="s">
        <v>22883</v>
      </c>
      <c r="B7668" s="3" t="s">
        <v>629</v>
      </c>
      <c r="C7668" s="3" t="s">
        <v>1342</v>
      </c>
      <c r="D7668" s="3" t="s">
        <v>68</v>
      </c>
      <c r="E7668" s="3" t="s">
        <v>100</v>
      </c>
      <c r="F7668" s="3" t="s">
        <v>1850</v>
      </c>
      <c r="G7668" s="7">
        <v>46296.39631298513</v>
      </c>
    </row>
    <row r="7669">
      <c r="A7669" s="3" t="s">
        <v>22885</v>
      </c>
      <c r="B7669" s="3" t="s">
        <v>845</v>
      </c>
      <c r="C7669" s="3" t="s">
        <v>1095</v>
      </c>
      <c r="D7669" s="3" t="s">
        <v>68</v>
      </c>
      <c r="E7669" s="3" t="s">
        <v>100</v>
      </c>
      <c r="F7669" s="3" t="s">
        <v>1910</v>
      </c>
      <c r="G7669" s="7">
        <v>46296.467487830545</v>
      </c>
    </row>
    <row r="7670">
      <c r="A7670" s="3" t="s">
        <v>22887</v>
      </c>
      <c r="B7670" s="3" t="s">
        <v>352</v>
      </c>
      <c r="C7670" s="3" t="s">
        <v>1342</v>
      </c>
      <c r="D7670" s="3" t="s">
        <v>181</v>
      </c>
      <c r="E7670" s="3" t="s">
        <v>45</v>
      </c>
      <c r="F7670" s="3" t="s">
        <v>1743</v>
      </c>
      <c r="G7670" s="7">
        <v>46296.538662675965</v>
      </c>
    </row>
    <row r="7671">
      <c r="A7671" s="3" t="s">
        <v>22889</v>
      </c>
      <c r="B7671" s="3" t="s">
        <v>239</v>
      </c>
      <c r="C7671" s="3" t="s">
        <v>1342</v>
      </c>
      <c r="D7671" s="3" t="s">
        <v>68</v>
      </c>
      <c r="E7671" s="3" t="s">
        <v>100</v>
      </c>
      <c r="F7671" s="3" t="s">
        <v>1971</v>
      </c>
      <c r="G7671" s="7">
        <v>46296.60983752138</v>
      </c>
    </row>
    <row r="7672">
      <c r="A7672" s="3" t="s">
        <v>22891</v>
      </c>
      <c r="B7672" s="3" t="s">
        <v>165</v>
      </c>
      <c r="C7672" s="3" t="s">
        <v>56</v>
      </c>
      <c r="D7672" s="3" t="s">
        <v>68</v>
      </c>
      <c r="E7672" s="3" t="s">
        <v>100</v>
      </c>
      <c r="F7672" s="3" t="s">
        <v>659</v>
      </c>
      <c r="G7672" s="7">
        <v>46296.68101236679</v>
      </c>
    </row>
    <row r="7673">
      <c r="A7673" s="3" t="s">
        <v>22893</v>
      </c>
      <c r="B7673" s="3" t="s">
        <v>773</v>
      </c>
      <c r="C7673" s="3" t="s">
        <v>1342</v>
      </c>
      <c r="D7673" s="3" t="s">
        <v>195</v>
      </c>
      <c r="E7673" s="3" t="s">
        <v>45</v>
      </c>
      <c r="F7673" s="3" t="s">
        <v>1104</v>
      </c>
      <c r="G7673" s="7">
        <v>46296.75218721221</v>
      </c>
    </row>
    <row r="7674">
      <c r="A7674" s="3" t="s">
        <v>22895</v>
      </c>
      <c r="B7674" s="3" t="s">
        <v>446</v>
      </c>
      <c r="C7674" s="3" t="s">
        <v>1095</v>
      </c>
      <c r="D7674" s="3" t="s">
        <v>68</v>
      </c>
      <c r="E7674" s="3" t="s">
        <v>100</v>
      </c>
      <c r="F7674" s="3" t="s">
        <v>1284</v>
      </c>
      <c r="G7674" s="7">
        <v>46296.82336205762</v>
      </c>
    </row>
    <row r="7675">
      <c r="A7675" s="3" t="s">
        <v>22897</v>
      </c>
      <c r="B7675" s="3" t="s">
        <v>632</v>
      </c>
      <c r="C7675" s="3" t="s">
        <v>56</v>
      </c>
      <c r="D7675" s="3" t="s">
        <v>181</v>
      </c>
      <c r="E7675" s="3" t="s">
        <v>45</v>
      </c>
      <c r="F7675" s="3" t="s">
        <v>45</v>
      </c>
      <c r="G7675" s="7">
        <v>46296.89453690303</v>
      </c>
    </row>
    <row r="7676">
      <c r="A7676" s="3" t="s">
        <v>22900</v>
      </c>
      <c r="B7676" s="3" t="s">
        <v>554</v>
      </c>
      <c r="C7676" s="3" t="s">
        <v>1342</v>
      </c>
      <c r="D7676" s="3" t="s">
        <v>68</v>
      </c>
      <c r="E7676" s="3" t="s">
        <v>100</v>
      </c>
      <c r="F7676" s="3" t="s">
        <v>1992</v>
      </c>
      <c r="G7676" s="7">
        <v>46296.96571174845</v>
      </c>
    </row>
    <row r="7677">
      <c r="A7677" s="3" t="s">
        <v>22904</v>
      </c>
      <c r="B7677" s="3" t="s">
        <v>957</v>
      </c>
      <c r="C7677" s="3" t="s">
        <v>1095</v>
      </c>
      <c r="D7677" s="3" t="s">
        <v>68</v>
      </c>
      <c r="E7677" s="3" t="s">
        <v>100</v>
      </c>
      <c r="F7677" s="3" t="s">
        <v>1595</v>
      </c>
      <c r="G7677" s="7">
        <v>46297.036886593865</v>
      </c>
    </row>
    <row r="7678">
      <c r="A7678" s="3" t="s">
        <v>22907</v>
      </c>
      <c r="B7678" s="3" t="s">
        <v>296</v>
      </c>
      <c r="C7678" s="3" t="s">
        <v>1342</v>
      </c>
      <c r="D7678" s="3" t="s">
        <v>68</v>
      </c>
      <c r="E7678" s="3" t="s">
        <v>100</v>
      </c>
      <c r="F7678" s="3" t="s">
        <v>1747</v>
      </c>
      <c r="G7678" s="7">
        <v>46297.10806143928</v>
      </c>
    </row>
    <row r="7679">
      <c r="A7679" s="3" t="s">
        <v>22910</v>
      </c>
      <c r="B7679" s="3" t="s">
        <v>822</v>
      </c>
      <c r="C7679" s="3" t="s">
        <v>1342</v>
      </c>
      <c r="D7679" s="3" t="s">
        <v>195</v>
      </c>
      <c r="E7679" s="3" t="s">
        <v>45</v>
      </c>
      <c r="F7679" s="3" t="s">
        <v>1358</v>
      </c>
      <c r="G7679" s="7">
        <v>46297.1792362847</v>
      </c>
    </row>
    <row r="7680">
      <c r="A7680" s="3" t="s">
        <v>22912</v>
      </c>
      <c r="B7680" s="3" t="s">
        <v>751</v>
      </c>
      <c r="C7680" s="3" t="s">
        <v>1095</v>
      </c>
      <c r="D7680" s="3" t="s">
        <v>68</v>
      </c>
      <c r="E7680" s="3" t="s">
        <v>100</v>
      </c>
      <c r="F7680" s="3" t="s">
        <v>1395</v>
      </c>
      <c r="G7680" s="7">
        <v>46297.25041113012</v>
      </c>
    </row>
    <row r="7681">
      <c r="A7681" s="3" t="s">
        <v>22914</v>
      </c>
      <c r="B7681" s="3" t="s">
        <v>710</v>
      </c>
      <c r="C7681" s="3" t="s">
        <v>1342</v>
      </c>
      <c r="D7681" s="3" t="s">
        <v>68</v>
      </c>
      <c r="E7681" s="3" t="s">
        <v>100</v>
      </c>
      <c r="F7681" s="3" t="s">
        <v>1770</v>
      </c>
      <c r="G7681" s="7">
        <v>46297.32158597552</v>
      </c>
    </row>
    <row r="7682">
      <c r="A7682" s="3" t="s">
        <v>22916</v>
      </c>
      <c r="B7682" s="3" t="s">
        <v>319</v>
      </c>
      <c r="C7682" s="3" t="s">
        <v>1095</v>
      </c>
      <c r="D7682" s="3" t="s">
        <v>68</v>
      </c>
      <c r="E7682" s="3" t="s">
        <v>100</v>
      </c>
      <c r="F7682" s="3" t="s">
        <v>2085</v>
      </c>
      <c r="G7682" s="7">
        <v>46297.39276082094</v>
      </c>
    </row>
    <row r="7683">
      <c r="A7683" s="3" t="s">
        <v>22919</v>
      </c>
      <c r="B7683" s="3" t="s">
        <v>272</v>
      </c>
      <c r="C7683" s="3" t="s">
        <v>56</v>
      </c>
      <c r="D7683" s="3" t="s">
        <v>68</v>
      </c>
      <c r="E7683" s="3" t="s">
        <v>100</v>
      </c>
      <c r="F7683" s="3" t="s">
        <v>668</v>
      </c>
      <c r="G7683" s="7">
        <v>46297.46393566636</v>
      </c>
    </row>
    <row r="7684">
      <c r="A7684" s="3" t="s">
        <v>22923</v>
      </c>
      <c r="B7684" s="3" t="s">
        <v>1040</v>
      </c>
      <c r="C7684" s="3" t="s">
        <v>1342</v>
      </c>
      <c r="D7684" s="3" t="s">
        <v>68</v>
      </c>
      <c r="E7684" s="3" t="s">
        <v>100</v>
      </c>
      <c r="F7684" s="3" t="s">
        <v>1951</v>
      </c>
      <c r="G7684" s="7">
        <v>46297.53511051177</v>
      </c>
    </row>
    <row r="7685">
      <c r="A7685" s="3" t="s">
        <v>22925</v>
      </c>
      <c r="B7685" s="3" t="s">
        <v>250</v>
      </c>
      <c r="C7685" s="3" t="s">
        <v>1342</v>
      </c>
      <c r="D7685" s="3" t="s">
        <v>68</v>
      </c>
      <c r="E7685" s="3" t="s">
        <v>100</v>
      </c>
      <c r="F7685" s="3" t="s">
        <v>1808</v>
      </c>
      <c r="G7685" s="7">
        <v>46297.606285357186</v>
      </c>
    </row>
    <row r="7686">
      <c r="A7686" s="3" t="s">
        <v>22928</v>
      </c>
      <c r="B7686" s="3" t="s">
        <v>581</v>
      </c>
      <c r="C7686" s="3" t="s">
        <v>1342</v>
      </c>
      <c r="D7686" s="3" t="s">
        <v>195</v>
      </c>
      <c r="E7686" s="3" t="s">
        <v>45</v>
      </c>
      <c r="F7686" s="3" t="s">
        <v>1564</v>
      </c>
      <c r="G7686" s="7">
        <v>46297.677460202605</v>
      </c>
    </row>
    <row r="7687">
      <c r="A7687" s="3" t="s">
        <v>22931</v>
      </c>
      <c r="B7687" s="3" t="s">
        <v>640</v>
      </c>
      <c r="C7687" s="3" t="s">
        <v>1095</v>
      </c>
      <c r="D7687" s="3" t="s">
        <v>68</v>
      </c>
      <c r="E7687" s="3" t="s">
        <v>100</v>
      </c>
      <c r="F7687" s="3" t="s">
        <v>483</v>
      </c>
      <c r="G7687" s="7">
        <v>46297.74863504802</v>
      </c>
    </row>
    <row r="7688">
      <c r="A7688" s="3" t="s">
        <v>22933</v>
      </c>
      <c r="B7688" s="3" t="s">
        <v>175</v>
      </c>
      <c r="C7688" s="3" t="s">
        <v>1342</v>
      </c>
      <c r="D7688" s="3" t="s">
        <v>68</v>
      </c>
      <c r="E7688" s="3" t="s">
        <v>100</v>
      </c>
      <c r="F7688" s="3" t="s">
        <v>2108</v>
      </c>
      <c r="G7688" s="7">
        <v>46297.81980989343</v>
      </c>
    </row>
    <row r="7689">
      <c r="A7689" s="3" t="s">
        <v>22935</v>
      </c>
      <c r="B7689" s="3" t="s">
        <v>678</v>
      </c>
      <c r="C7689" s="3" t="s">
        <v>56</v>
      </c>
      <c r="D7689" s="3" t="s">
        <v>68</v>
      </c>
      <c r="E7689" s="3" t="s">
        <v>100</v>
      </c>
      <c r="F7689" s="3" t="s">
        <v>673</v>
      </c>
      <c r="G7689" s="7">
        <v>46297.89098473885</v>
      </c>
    </row>
    <row r="7690">
      <c r="A7690" s="3" t="s">
        <v>22936</v>
      </c>
      <c r="B7690" s="3" t="s">
        <v>903</v>
      </c>
      <c r="C7690" s="3" t="s">
        <v>1095</v>
      </c>
      <c r="D7690" s="3" t="s">
        <v>68</v>
      </c>
      <c r="E7690" s="3" t="s">
        <v>100</v>
      </c>
      <c r="F7690" s="3" t="s">
        <v>1763</v>
      </c>
      <c r="G7690" s="7">
        <v>46297.96215958426</v>
      </c>
    </row>
    <row r="7691">
      <c r="A7691" s="3" t="s">
        <v>22938</v>
      </c>
      <c r="B7691" s="3" t="s">
        <v>781</v>
      </c>
      <c r="C7691" s="3" t="s">
        <v>1342</v>
      </c>
      <c r="D7691" s="3" t="s">
        <v>68</v>
      </c>
      <c r="E7691" s="3" t="s">
        <v>100</v>
      </c>
      <c r="F7691" s="3" t="s">
        <v>1899</v>
      </c>
      <c r="G7691" s="7">
        <v>46298.033334429674</v>
      </c>
    </row>
    <row r="7692">
      <c r="A7692" s="3" t="s">
        <v>22940</v>
      </c>
      <c r="B7692" s="3" t="s">
        <v>826</v>
      </c>
      <c r="C7692" s="3" t="s">
        <v>1342</v>
      </c>
      <c r="D7692" s="3" t="s">
        <v>68</v>
      </c>
      <c r="E7692" s="3" t="s">
        <v>100</v>
      </c>
      <c r="F7692" s="3" t="s">
        <v>1521</v>
      </c>
      <c r="G7692" s="7">
        <v>46298.104509275094</v>
      </c>
    </row>
    <row r="7693">
      <c r="A7693" s="3" t="s">
        <v>22942</v>
      </c>
      <c r="B7693" s="3" t="s">
        <v>141</v>
      </c>
      <c r="C7693" s="3" t="s">
        <v>1342</v>
      </c>
      <c r="D7693" s="3" t="s">
        <v>68</v>
      </c>
      <c r="E7693" s="3" t="s">
        <v>100</v>
      </c>
      <c r="F7693" s="3" t="s">
        <v>1295</v>
      </c>
      <c r="G7693" s="7">
        <v>46298.17568412051</v>
      </c>
    </row>
    <row r="7694">
      <c r="A7694" s="3" t="s">
        <v>22944</v>
      </c>
      <c r="B7694" s="3" t="s">
        <v>632</v>
      </c>
      <c r="C7694" s="3" t="s">
        <v>56</v>
      </c>
      <c r="D7694" s="3" t="s">
        <v>68</v>
      </c>
      <c r="E7694" s="3" t="s">
        <v>100</v>
      </c>
      <c r="F7694" s="3" t="s">
        <v>681</v>
      </c>
      <c r="G7694" s="7">
        <v>46298.24685896592</v>
      </c>
    </row>
    <row r="7695">
      <c r="A7695" s="3" t="s">
        <v>22945</v>
      </c>
      <c r="B7695" s="3" t="s">
        <v>598</v>
      </c>
      <c r="C7695" s="3" t="s">
        <v>1095</v>
      </c>
      <c r="D7695" s="3" t="s">
        <v>68</v>
      </c>
      <c r="E7695" s="3" t="s">
        <v>100</v>
      </c>
      <c r="F7695" s="3" t="s">
        <v>1055</v>
      </c>
      <c r="G7695" s="7">
        <v>46298.31803381134</v>
      </c>
    </row>
    <row r="7696">
      <c r="A7696" s="3" t="s">
        <v>22948</v>
      </c>
      <c r="B7696" s="3" t="s">
        <v>937</v>
      </c>
      <c r="C7696" s="3" t="s">
        <v>1342</v>
      </c>
      <c r="D7696" s="3" t="s">
        <v>68</v>
      </c>
      <c r="E7696" s="3" t="s">
        <v>100</v>
      </c>
      <c r="F7696" s="3" t="s">
        <v>1999</v>
      </c>
      <c r="G7696" s="7">
        <v>46298.38920865676</v>
      </c>
    </row>
    <row r="7697">
      <c r="A7697" s="3" t="s">
        <v>22951</v>
      </c>
      <c r="B7697" s="3" t="s">
        <v>547</v>
      </c>
      <c r="C7697" s="3" t="s">
        <v>1095</v>
      </c>
      <c r="D7697" s="3" t="s">
        <v>68</v>
      </c>
      <c r="E7697" s="3" t="s">
        <v>100</v>
      </c>
      <c r="F7697" s="3" t="s">
        <v>549</v>
      </c>
      <c r="G7697" s="7">
        <v>46298.46038350217</v>
      </c>
    </row>
    <row r="7698">
      <c r="A7698" s="3" t="s">
        <v>22954</v>
      </c>
      <c r="B7698" s="3" t="s">
        <v>561</v>
      </c>
      <c r="C7698" s="3" t="s">
        <v>56</v>
      </c>
      <c r="D7698" s="3" t="s">
        <v>68</v>
      </c>
      <c r="E7698" s="3" t="s">
        <v>100</v>
      </c>
      <c r="F7698" s="3" t="s">
        <v>688</v>
      </c>
      <c r="G7698" s="7">
        <v>46298.53155834758</v>
      </c>
    </row>
    <row r="7699">
      <c r="A7699" s="3" t="s">
        <v>22957</v>
      </c>
      <c r="B7699" s="3" t="s">
        <v>175</v>
      </c>
      <c r="C7699" s="3" t="s">
        <v>1095</v>
      </c>
      <c r="D7699" s="3" t="s">
        <v>68</v>
      </c>
      <c r="E7699" s="3" t="s">
        <v>100</v>
      </c>
      <c r="F7699" s="3" t="s">
        <v>2108</v>
      </c>
      <c r="G7699" s="7">
        <v>46298.602733193</v>
      </c>
    </row>
    <row r="7700">
      <c r="A7700" s="3" t="s">
        <v>22959</v>
      </c>
      <c r="B7700" s="3" t="s">
        <v>446</v>
      </c>
      <c r="C7700" s="3" t="s">
        <v>56</v>
      </c>
      <c r="D7700" s="3" t="s">
        <v>68</v>
      </c>
      <c r="E7700" s="3" t="s">
        <v>100</v>
      </c>
      <c r="F7700" s="3" t="s">
        <v>693</v>
      </c>
      <c r="G7700" s="7">
        <v>46298.673908038414</v>
      </c>
    </row>
    <row r="7701">
      <c r="A7701" s="3" t="s">
        <v>22961</v>
      </c>
      <c r="B7701" s="3" t="s">
        <v>734</v>
      </c>
      <c r="C7701" s="3" t="s">
        <v>1095</v>
      </c>
      <c r="D7701" s="3" t="s">
        <v>68</v>
      </c>
      <c r="E7701" s="3" t="s">
        <v>100</v>
      </c>
      <c r="F7701" s="3" t="s">
        <v>633</v>
      </c>
      <c r="G7701" s="7">
        <v>46298.74508288383</v>
      </c>
    </row>
    <row r="7702">
      <c r="A7702" s="3" t="s">
        <v>22963</v>
      </c>
      <c r="B7702" s="3" t="s">
        <v>175</v>
      </c>
      <c r="C7702" s="3" t="s">
        <v>56</v>
      </c>
      <c r="D7702" s="3" t="s">
        <v>68</v>
      </c>
      <c r="E7702" s="3" t="s">
        <v>100</v>
      </c>
      <c r="F7702" s="3" t="s">
        <v>701</v>
      </c>
      <c r="G7702" s="7">
        <v>46298.816257729246</v>
      </c>
    </row>
    <row r="7703">
      <c r="A7703" s="3" t="s">
        <v>22965</v>
      </c>
      <c r="B7703" s="3" t="s">
        <v>708</v>
      </c>
      <c r="C7703" s="3" t="s">
        <v>56</v>
      </c>
      <c r="D7703" s="3" t="s">
        <v>68</v>
      </c>
      <c r="E7703" s="3" t="s">
        <v>100</v>
      </c>
      <c r="F7703" s="3" t="s">
        <v>705</v>
      </c>
      <c r="G7703" s="7">
        <v>46298.88743257466</v>
      </c>
    </row>
    <row r="7704">
      <c r="A7704" s="3" t="s">
        <v>22968</v>
      </c>
      <c r="B7704" s="3" t="s">
        <v>263</v>
      </c>
      <c r="C7704" s="3" t="s">
        <v>1095</v>
      </c>
      <c r="D7704" s="3" t="s">
        <v>195</v>
      </c>
      <c r="E7704" s="3" t="s">
        <v>45</v>
      </c>
      <c r="F7704" s="3" t="s">
        <v>1389</v>
      </c>
      <c r="G7704" s="7">
        <v>46298.95860742007</v>
      </c>
    </row>
    <row r="7705">
      <c r="A7705" s="3" t="s">
        <v>22972</v>
      </c>
      <c r="B7705" s="3" t="s">
        <v>616</v>
      </c>
      <c r="C7705" s="3" t="s">
        <v>56</v>
      </c>
      <c r="D7705" s="3" t="s">
        <v>68</v>
      </c>
      <c r="E7705" s="3" t="s">
        <v>100</v>
      </c>
      <c r="F7705" s="3" t="s">
        <v>712</v>
      </c>
      <c r="G7705" s="7">
        <v>46299.02978226549</v>
      </c>
    </row>
    <row r="7706">
      <c r="A7706" s="3" t="s">
        <v>22975</v>
      </c>
      <c r="B7706" s="3" t="s">
        <v>533</v>
      </c>
      <c r="C7706" s="3" t="s">
        <v>56</v>
      </c>
      <c r="D7706" s="3" t="s">
        <v>68</v>
      </c>
      <c r="E7706" s="3" t="s">
        <v>100</v>
      </c>
      <c r="F7706" s="3" t="s">
        <v>716</v>
      </c>
      <c r="G7706" s="7">
        <v>46299.1009571109</v>
      </c>
    </row>
    <row r="7707">
      <c r="A7707" s="3" t="s">
        <v>22978</v>
      </c>
      <c r="B7707" s="3" t="s">
        <v>141</v>
      </c>
      <c r="C7707" s="3" t="s">
        <v>1095</v>
      </c>
      <c r="D7707" s="3" t="s">
        <v>68</v>
      </c>
      <c r="E7707" s="3" t="s">
        <v>100</v>
      </c>
      <c r="F7707" s="3" t="s">
        <v>1295</v>
      </c>
      <c r="G7707" s="7">
        <v>46299.172131956315</v>
      </c>
    </row>
    <row r="7708">
      <c r="A7708" s="3" t="s">
        <v>22980</v>
      </c>
      <c r="B7708" s="3" t="s">
        <v>575</v>
      </c>
      <c r="C7708" s="3" t="s">
        <v>1342</v>
      </c>
      <c r="D7708" s="3" t="s">
        <v>68</v>
      </c>
      <c r="E7708" s="3" t="s">
        <v>100</v>
      </c>
      <c r="F7708" s="3" t="s">
        <v>568</v>
      </c>
      <c r="G7708" s="7">
        <v>46299.243306801734</v>
      </c>
    </row>
    <row r="7709">
      <c r="A7709" s="3" t="s">
        <v>22982</v>
      </c>
      <c r="B7709" s="3" t="s">
        <v>805</v>
      </c>
      <c r="C7709" s="3" t="s">
        <v>56</v>
      </c>
      <c r="D7709" s="3" t="s">
        <v>181</v>
      </c>
      <c r="E7709" s="3" t="s">
        <v>45</v>
      </c>
      <c r="F7709" s="3" t="s">
        <v>45</v>
      </c>
      <c r="G7709" s="7">
        <v>46299.314481647154</v>
      </c>
    </row>
    <row r="7710">
      <c r="A7710" s="3" t="s">
        <v>22984</v>
      </c>
      <c r="B7710" s="3" t="s">
        <v>900</v>
      </c>
      <c r="C7710" s="3" t="s">
        <v>1342</v>
      </c>
      <c r="D7710" s="3" t="s">
        <v>181</v>
      </c>
      <c r="E7710" s="3" t="s">
        <v>45</v>
      </c>
      <c r="F7710" s="3" t="s">
        <v>1927</v>
      </c>
      <c r="G7710" s="7">
        <v>46299.38565649256</v>
      </c>
    </row>
    <row r="7711">
      <c r="A7711" s="3" t="s">
        <v>22986</v>
      </c>
      <c r="B7711" s="3" t="s">
        <v>502</v>
      </c>
      <c r="C7711" s="3" t="s">
        <v>1095</v>
      </c>
      <c r="D7711" s="3" t="s">
        <v>68</v>
      </c>
      <c r="E7711" s="3" t="s">
        <v>100</v>
      </c>
      <c r="F7711" s="3" t="s">
        <v>1318</v>
      </c>
      <c r="G7711" s="7">
        <v>46299.45683133798</v>
      </c>
    </row>
    <row r="7712">
      <c r="A7712" s="3" t="s">
        <v>22988</v>
      </c>
      <c r="B7712" s="3" t="s">
        <v>713</v>
      </c>
      <c r="C7712" s="3" t="s">
        <v>56</v>
      </c>
      <c r="D7712" s="3" t="s">
        <v>68</v>
      </c>
      <c r="E7712" s="3" t="s">
        <v>100</v>
      </c>
      <c r="F7712" s="3" t="s">
        <v>721</v>
      </c>
      <c r="G7712" s="7">
        <v>46299.5280061834</v>
      </c>
    </row>
    <row r="7713">
      <c r="A7713" s="3" t="s">
        <v>22990</v>
      </c>
      <c r="B7713" s="3" t="s">
        <v>900</v>
      </c>
      <c r="C7713" s="3" t="s">
        <v>1095</v>
      </c>
      <c r="D7713" s="3" t="s">
        <v>68</v>
      </c>
      <c r="E7713" s="3" t="s">
        <v>100</v>
      </c>
      <c r="F7713" s="3" t="s">
        <v>1927</v>
      </c>
      <c r="G7713" s="7">
        <v>46299.59918102881</v>
      </c>
    </row>
    <row r="7714">
      <c r="A7714" s="3" t="s">
        <v>22992</v>
      </c>
      <c r="B7714" s="3" t="s">
        <v>702</v>
      </c>
      <c r="C7714" s="3" t="s">
        <v>1095</v>
      </c>
      <c r="D7714" s="3" t="s">
        <v>68</v>
      </c>
      <c r="E7714" s="3" t="s">
        <v>100</v>
      </c>
      <c r="F7714" s="3" t="s">
        <v>1617</v>
      </c>
      <c r="G7714" s="7">
        <v>46299.67035587422</v>
      </c>
    </row>
    <row r="7715">
      <c r="A7715" s="3" t="s">
        <v>22994</v>
      </c>
      <c r="B7715" s="3" t="s">
        <v>501</v>
      </c>
      <c r="C7715" s="3" t="s">
        <v>1342</v>
      </c>
      <c r="D7715" s="3" t="s">
        <v>68</v>
      </c>
      <c r="E7715" s="3" t="s">
        <v>100</v>
      </c>
      <c r="F7715" s="3" t="s">
        <v>495</v>
      </c>
      <c r="G7715" s="7">
        <v>46299.74153071964</v>
      </c>
    </row>
    <row r="7716">
      <c r="A7716" s="3" t="s">
        <v>22996</v>
      </c>
      <c r="B7716" s="3" t="s">
        <v>485</v>
      </c>
      <c r="C7716" s="3" t="s">
        <v>1095</v>
      </c>
      <c r="D7716" s="3" t="s">
        <v>68</v>
      </c>
      <c r="E7716" s="3" t="s">
        <v>100</v>
      </c>
      <c r="F7716" s="3" t="s">
        <v>1076</v>
      </c>
      <c r="G7716" s="7">
        <v>46299.812705565055</v>
      </c>
    </row>
    <row r="7717">
      <c r="A7717" s="3" t="s">
        <v>22998</v>
      </c>
      <c r="B7717" s="3" t="s">
        <v>276</v>
      </c>
      <c r="C7717" s="3" t="s">
        <v>56</v>
      </c>
      <c r="D7717" s="3" t="s">
        <v>195</v>
      </c>
      <c r="E7717" s="3" t="s">
        <v>45</v>
      </c>
      <c r="F7717" s="3" t="s">
        <v>45</v>
      </c>
      <c r="G7717" s="7">
        <v>46299.88388041047</v>
      </c>
    </row>
    <row r="7718">
      <c r="A7718" s="3" t="s">
        <v>23000</v>
      </c>
      <c r="B7718" s="3" t="s">
        <v>316</v>
      </c>
      <c r="C7718" s="3" t="s">
        <v>1342</v>
      </c>
      <c r="D7718" s="3" t="s">
        <v>181</v>
      </c>
      <c r="E7718" s="3" t="s">
        <v>45</v>
      </c>
      <c r="F7718" s="3" t="s">
        <v>1790</v>
      </c>
      <c r="G7718" s="7">
        <v>46299.95505525589</v>
      </c>
    </row>
    <row r="7719">
      <c r="A7719" s="3" t="s">
        <v>23002</v>
      </c>
      <c r="B7719" s="3" t="s">
        <v>299</v>
      </c>
      <c r="C7719" s="3" t="s">
        <v>1095</v>
      </c>
      <c r="D7719" s="3" t="s">
        <v>181</v>
      </c>
      <c r="E7719" s="3" t="s">
        <v>45</v>
      </c>
      <c r="F7719" s="3" t="s">
        <v>1804</v>
      </c>
      <c r="G7719" s="7">
        <v>46300.0262301013</v>
      </c>
    </row>
    <row r="7720">
      <c r="A7720" s="3" t="s">
        <v>23004</v>
      </c>
      <c r="B7720" s="3" t="s">
        <v>734</v>
      </c>
      <c r="C7720" s="3" t="s">
        <v>56</v>
      </c>
      <c r="D7720" s="3" t="s">
        <v>68</v>
      </c>
      <c r="E7720" s="3" t="s">
        <v>100</v>
      </c>
      <c r="F7720" s="3" t="s">
        <v>728</v>
      </c>
      <c r="G7720" s="7">
        <v>46300.09740494671</v>
      </c>
    </row>
    <row r="7721">
      <c r="A7721" s="3" t="s">
        <v>23006</v>
      </c>
      <c r="B7721" s="3" t="s">
        <v>272</v>
      </c>
      <c r="C7721" s="3" t="s">
        <v>1342</v>
      </c>
      <c r="D7721" s="3" t="s">
        <v>68</v>
      </c>
      <c r="E7721" s="3" t="s">
        <v>100</v>
      </c>
      <c r="F7721" s="3" t="s">
        <v>668</v>
      </c>
      <c r="G7721" s="7">
        <v>46300.16857979213</v>
      </c>
    </row>
    <row r="7722">
      <c r="A7722" s="3" t="s">
        <v>23008</v>
      </c>
      <c r="B7722" s="3" t="s">
        <v>990</v>
      </c>
      <c r="C7722" s="3" t="s">
        <v>1342</v>
      </c>
      <c r="D7722" s="3" t="s">
        <v>181</v>
      </c>
      <c r="E7722" s="3" t="s">
        <v>45</v>
      </c>
      <c r="F7722" s="3" t="s">
        <v>1226</v>
      </c>
      <c r="G7722" s="7">
        <v>46300.23975463754</v>
      </c>
    </row>
    <row r="7723">
      <c r="A7723" s="3" t="s">
        <v>23010</v>
      </c>
      <c r="B7723" s="3" t="s">
        <v>219</v>
      </c>
      <c r="C7723" s="3" t="s">
        <v>1342</v>
      </c>
      <c r="D7723" s="3" t="s">
        <v>68</v>
      </c>
      <c r="E7723" s="3" t="s">
        <v>100</v>
      </c>
      <c r="F7723" s="3" t="s">
        <v>1812</v>
      </c>
      <c r="G7723" s="7">
        <v>46300.310929482956</v>
      </c>
    </row>
    <row r="7724">
      <c r="A7724" s="3" t="s">
        <v>23014</v>
      </c>
      <c r="B7724" s="3" t="s">
        <v>535</v>
      </c>
      <c r="C7724" s="3" t="s">
        <v>1095</v>
      </c>
      <c r="D7724" s="3" t="s">
        <v>68</v>
      </c>
      <c r="E7724" s="3" t="s">
        <v>100</v>
      </c>
      <c r="F7724" s="3" t="s">
        <v>1988</v>
      </c>
      <c r="G7724" s="7">
        <v>46300.382104328375</v>
      </c>
    </row>
    <row r="7725">
      <c r="A7725" s="3" t="s">
        <v>23017</v>
      </c>
      <c r="B7725" s="3" t="s">
        <v>658</v>
      </c>
      <c r="C7725" s="3" t="s">
        <v>1342</v>
      </c>
      <c r="D7725" s="3" t="s">
        <v>68</v>
      </c>
      <c r="E7725" s="3" t="s">
        <v>100</v>
      </c>
      <c r="F7725" s="3" t="s">
        <v>1941</v>
      </c>
      <c r="G7725" s="7">
        <v>46300.453279173795</v>
      </c>
    </row>
    <row r="7726">
      <c r="A7726" s="3" t="s">
        <v>23021</v>
      </c>
      <c r="B7726" s="3" t="s">
        <v>632</v>
      </c>
      <c r="C7726" s="3" t="s">
        <v>1095</v>
      </c>
      <c r="D7726" s="3" t="s">
        <v>68</v>
      </c>
      <c r="E7726" s="3" t="s">
        <v>100</v>
      </c>
      <c r="F7726" s="3" t="s">
        <v>681</v>
      </c>
      <c r="G7726" s="7">
        <v>46300.5244540192</v>
      </c>
    </row>
    <row r="7727">
      <c r="A7727" s="3" t="s">
        <v>23023</v>
      </c>
      <c r="B7727" s="3" t="s">
        <v>512</v>
      </c>
      <c r="C7727" s="3" t="s">
        <v>1342</v>
      </c>
      <c r="D7727" s="3" t="s">
        <v>68</v>
      </c>
      <c r="E7727" s="3" t="s">
        <v>100</v>
      </c>
      <c r="F7727" s="3" t="s">
        <v>1869</v>
      </c>
      <c r="G7727" s="7">
        <v>46300.59562886462</v>
      </c>
    </row>
    <row r="7728">
      <c r="A7728" s="3" t="s">
        <v>23025</v>
      </c>
      <c r="B7728" s="3" t="s">
        <v>698</v>
      </c>
      <c r="C7728" s="3" t="s">
        <v>1095</v>
      </c>
      <c r="D7728" s="3" t="s">
        <v>68</v>
      </c>
      <c r="E7728" s="3" t="s">
        <v>100</v>
      </c>
      <c r="F7728" s="3" t="s">
        <v>1307</v>
      </c>
      <c r="G7728" s="7">
        <v>46300.66680371004</v>
      </c>
    </row>
    <row r="7729">
      <c r="A7729" s="3" t="s">
        <v>23027</v>
      </c>
      <c r="B7729" s="3" t="s">
        <v>665</v>
      </c>
      <c r="C7729" s="3" t="s">
        <v>56</v>
      </c>
      <c r="D7729" s="3" t="s">
        <v>68</v>
      </c>
      <c r="E7729" s="3" t="s">
        <v>100</v>
      </c>
      <c r="F7729" s="3" t="s">
        <v>738</v>
      </c>
      <c r="G7729" s="7">
        <v>46300.73797855545</v>
      </c>
    </row>
    <row r="7730">
      <c r="A7730" s="3" t="s">
        <v>23029</v>
      </c>
      <c r="B7730" s="3" t="s">
        <v>746</v>
      </c>
      <c r="C7730" s="3" t="s">
        <v>56</v>
      </c>
      <c r="D7730" s="3" t="s">
        <v>68</v>
      </c>
      <c r="E7730" s="3" t="s">
        <v>100</v>
      </c>
      <c r="F7730" s="3" t="s">
        <v>741</v>
      </c>
      <c r="G7730" s="7">
        <v>46300.80915340086</v>
      </c>
    </row>
    <row r="7731">
      <c r="A7731" s="3" t="s">
        <v>23031</v>
      </c>
      <c r="B7731" s="3" t="s">
        <v>341</v>
      </c>
      <c r="C7731" s="3" t="s">
        <v>1095</v>
      </c>
      <c r="D7731" s="3" t="s">
        <v>68</v>
      </c>
      <c r="E7731" s="3" t="s">
        <v>100</v>
      </c>
      <c r="F7731" s="3" t="s">
        <v>2030</v>
      </c>
      <c r="G7731" s="7">
        <v>46300.88032824628</v>
      </c>
    </row>
    <row r="7732">
      <c r="A7732" s="3" t="s">
        <v>23034</v>
      </c>
      <c r="B7732" s="3" t="s">
        <v>640</v>
      </c>
      <c r="C7732" s="3" t="s">
        <v>56</v>
      </c>
      <c r="D7732" s="3" t="s">
        <v>181</v>
      </c>
      <c r="E7732" s="3" t="s">
        <v>45</v>
      </c>
      <c r="F7732" s="3" t="s">
        <v>45</v>
      </c>
      <c r="G7732" s="7">
        <v>46300.951503091695</v>
      </c>
    </row>
    <row r="7733">
      <c r="A7733" s="3" t="s">
        <v>23036</v>
      </c>
      <c r="B7733" s="3" t="s">
        <v>685</v>
      </c>
      <c r="C7733" s="3" t="s">
        <v>1095</v>
      </c>
      <c r="D7733" s="3" t="s">
        <v>68</v>
      </c>
      <c r="E7733" s="3" t="s">
        <v>100</v>
      </c>
      <c r="F7733" s="3" t="s">
        <v>1973</v>
      </c>
      <c r="G7733" s="7">
        <v>46301.02267793711</v>
      </c>
    </row>
    <row r="7734">
      <c r="A7734" s="3" t="s">
        <v>23038</v>
      </c>
      <c r="B7734" s="3" t="s">
        <v>751</v>
      </c>
      <c r="C7734" s="3" t="s">
        <v>56</v>
      </c>
      <c r="D7734" s="3" t="s">
        <v>68</v>
      </c>
      <c r="E7734" s="3" t="s">
        <v>100</v>
      </c>
      <c r="F7734" s="3" t="s">
        <v>749</v>
      </c>
      <c r="G7734" s="7">
        <v>46301.09385278253</v>
      </c>
    </row>
    <row r="7735">
      <c r="A7735" s="3" t="s">
        <v>23040</v>
      </c>
      <c r="B7735" s="3" t="s">
        <v>352</v>
      </c>
      <c r="C7735" s="3" t="s">
        <v>1342</v>
      </c>
      <c r="D7735" s="3" t="s">
        <v>68</v>
      </c>
      <c r="E7735" s="3" t="s">
        <v>100</v>
      </c>
      <c r="F7735" s="3" t="s">
        <v>1743</v>
      </c>
      <c r="G7735" s="7">
        <v>46301.16502762795</v>
      </c>
    </row>
    <row r="7736">
      <c r="A7736" s="3" t="s">
        <v>23042</v>
      </c>
      <c r="B7736" s="3" t="s">
        <v>758</v>
      </c>
      <c r="C7736" s="3" t="s">
        <v>56</v>
      </c>
      <c r="D7736" s="3" t="s">
        <v>68</v>
      </c>
      <c r="E7736" s="3" t="s">
        <v>100</v>
      </c>
      <c r="F7736" s="3" t="s">
        <v>754</v>
      </c>
      <c r="G7736" s="7">
        <v>46301.23620247335</v>
      </c>
    </row>
    <row r="7737">
      <c r="A7737" s="3" t="s">
        <v>23044</v>
      </c>
      <c r="B7737" s="3" t="s">
        <v>156</v>
      </c>
      <c r="C7737" s="3" t="s">
        <v>1342</v>
      </c>
      <c r="D7737" s="3" t="s">
        <v>68</v>
      </c>
      <c r="E7737" s="3" t="s">
        <v>100</v>
      </c>
      <c r="F7737" s="3" t="s">
        <v>470</v>
      </c>
      <c r="G7737" s="7">
        <v>46301.30737731877</v>
      </c>
    </row>
    <row r="7738">
      <c r="A7738" s="3" t="s">
        <v>23046</v>
      </c>
      <c r="B7738" s="3" t="s">
        <v>735</v>
      </c>
      <c r="C7738" s="3" t="s">
        <v>1095</v>
      </c>
      <c r="D7738" s="3" t="s">
        <v>68</v>
      </c>
      <c r="E7738" s="3" t="s">
        <v>100</v>
      </c>
      <c r="F7738" s="3" t="s">
        <v>589</v>
      </c>
      <c r="G7738" s="7">
        <v>46301.378552164184</v>
      </c>
    </row>
    <row r="7739">
      <c r="A7739" s="3" t="s">
        <v>23048</v>
      </c>
      <c r="B7739" s="3" t="s">
        <v>911</v>
      </c>
      <c r="C7739" s="3" t="s">
        <v>1342</v>
      </c>
      <c r="D7739" s="3" t="s">
        <v>181</v>
      </c>
      <c r="E7739" s="3" t="s">
        <v>45</v>
      </c>
      <c r="F7739" s="3" t="s">
        <v>1048</v>
      </c>
      <c r="G7739" s="7">
        <v>46301.4497270096</v>
      </c>
    </row>
    <row r="7740">
      <c r="A7740" s="3" t="s">
        <v>23050</v>
      </c>
      <c r="B7740" s="3" t="s">
        <v>1011</v>
      </c>
      <c r="C7740" s="3" t="s">
        <v>1095</v>
      </c>
      <c r="D7740" s="3" t="s">
        <v>68</v>
      </c>
      <c r="E7740" s="3" t="s">
        <v>100</v>
      </c>
      <c r="F7740" s="3" t="s">
        <v>1329</v>
      </c>
      <c r="G7740" s="7">
        <v>46301.520901855016</v>
      </c>
    </row>
    <row r="7741">
      <c r="A7741" s="3" t="s">
        <v>23052</v>
      </c>
      <c r="B7741" s="3" t="s">
        <v>765</v>
      </c>
      <c r="C7741" s="3" t="s">
        <v>56</v>
      </c>
      <c r="D7741" s="3" t="s">
        <v>68</v>
      </c>
      <c r="E7741" s="3" t="s">
        <v>100</v>
      </c>
      <c r="F7741" s="3" t="s">
        <v>762</v>
      </c>
      <c r="G7741" s="7">
        <v>46301.592076700435</v>
      </c>
    </row>
    <row r="7742">
      <c r="A7742" s="3" t="s">
        <v>23054</v>
      </c>
      <c r="B7742" s="3" t="s">
        <v>276</v>
      </c>
      <c r="C7742" s="3" t="s">
        <v>56</v>
      </c>
      <c r="D7742" s="3" t="s">
        <v>68</v>
      </c>
      <c r="E7742" s="3" t="s">
        <v>100</v>
      </c>
      <c r="F7742" s="3" t="s">
        <v>769</v>
      </c>
      <c r="G7742" s="7">
        <v>46301.66325154584</v>
      </c>
    </row>
    <row r="7743">
      <c r="A7743" s="3" t="s">
        <v>23056</v>
      </c>
      <c r="B7743" s="3" t="s">
        <v>637</v>
      </c>
      <c r="C7743" s="3" t="s">
        <v>1342</v>
      </c>
      <c r="D7743" s="3" t="s">
        <v>68</v>
      </c>
      <c r="E7743" s="3" t="s">
        <v>100</v>
      </c>
      <c r="F7743" s="3" t="s">
        <v>1007</v>
      </c>
      <c r="G7743" s="7">
        <v>46301.73442639126</v>
      </c>
    </row>
    <row r="7744">
      <c r="A7744" s="3" t="s">
        <v>23058</v>
      </c>
      <c r="B7744" s="3" t="s">
        <v>280</v>
      </c>
      <c r="C7744" s="3" t="s">
        <v>1095</v>
      </c>
      <c r="D7744" s="3" t="s">
        <v>68</v>
      </c>
      <c r="E7744" s="3" t="s">
        <v>100</v>
      </c>
      <c r="F7744" s="3" t="s">
        <v>1552</v>
      </c>
      <c r="G7744" s="7">
        <v>46301.80560123668</v>
      </c>
    </row>
    <row r="7745">
      <c r="A7745" s="3" t="s">
        <v>23060</v>
      </c>
      <c r="B7745" s="3" t="s">
        <v>287</v>
      </c>
      <c r="C7745" s="3" t="s">
        <v>56</v>
      </c>
      <c r="D7745" s="3" t="s">
        <v>195</v>
      </c>
      <c r="E7745" s="3" t="s">
        <v>45</v>
      </c>
      <c r="F7745" s="3" t="s">
        <v>45</v>
      </c>
      <c r="G7745" s="7">
        <v>46301.87677608209</v>
      </c>
    </row>
    <row r="7746">
      <c r="A7746" s="3" t="s">
        <v>23062</v>
      </c>
      <c r="B7746" s="3" t="s">
        <v>593</v>
      </c>
      <c r="C7746" s="3" t="s">
        <v>56</v>
      </c>
      <c r="D7746" s="3" t="s">
        <v>68</v>
      </c>
      <c r="E7746" s="3" t="s">
        <v>100</v>
      </c>
      <c r="F7746" s="3" t="s">
        <v>774</v>
      </c>
      <c r="G7746" s="7">
        <v>46301.947950927504</v>
      </c>
    </row>
    <row r="7747">
      <c r="A7747" s="3" t="s">
        <v>23064</v>
      </c>
      <c r="B7747" s="3" t="s">
        <v>141</v>
      </c>
      <c r="C7747" s="3" t="s">
        <v>56</v>
      </c>
      <c r="D7747" s="3" t="s">
        <v>68</v>
      </c>
      <c r="E7747" s="3" t="s">
        <v>100</v>
      </c>
      <c r="F7747" s="3" t="s">
        <v>780</v>
      </c>
      <c r="G7747" s="7">
        <v>46302.019125772924</v>
      </c>
    </row>
    <row r="7748">
      <c r="A7748" s="3" t="s">
        <v>23066</v>
      </c>
      <c r="B7748" s="3" t="s">
        <v>906</v>
      </c>
      <c r="C7748" s="3" t="s">
        <v>1342</v>
      </c>
      <c r="D7748" s="3" t="s">
        <v>68</v>
      </c>
      <c r="E7748" s="3" t="s">
        <v>100</v>
      </c>
      <c r="F7748" s="3" t="s">
        <v>1981</v>
      </c>
      <c r="G7748" s="7">
        <v>46302.090300618336</v>
      </c>
    </row>
    <row r="7749">
      <c r="A7749" s="3" t="s">
        <v>23068</v>
      </c>
      <c r="B7749" s="3" t="s">
        <v>990</v>
      </c>
      <c r="C7749" s="3" t="s">
        <v>1095</v>
      </c>
      <c r="D7749" s="3" t="s">
        <v>68</v>
      </c>
      <c r="E7749" s="3" t="s">
        <v>100</v>
      </c>
      <c r="F7749" s="3" t="s">
        <v>1226</v>
      </c>
      <c r="G7749" s="7">
        <v>46302.16147546375</v>
      </c>
    </row>
    <row r="7750">
      <c r="A7750" s="3" t="s">
        <v>23071</v>
      </c>
      <c r="B7750" s="3" t="s">
        <v>398</v>
      </c>
      <c r="C7750" s="3" t="s">
        <v>1342</v>
      </c>
      <c r="D7750" s="3" t="s">
        <v>68</v>
      </c>
      <c r="E7750" s="3" t="s">
        <v>100</v>
      </c>
      <c r="F7750" s="3" t="s">
        <v>1857</v>
      </c>
      <c r="G7750" s="7">
        <v>46302.23265030917</v>
      </c>
    </row>
    <row r="7751">
      <c r="A7751" s="3" t="s">
        <v>23073</v>
      </c>
      <c r="B7751" s="3" t="s">
        <v>322</v>
      </c>
      <c r="C7751" s="3" t="s">
        <v>1342</v>
      </c>
      <c r="D7751" s="3" t="s">
        <v>195</v>
      </c>
      <c r="E7751" s="3" t="s">
        <v>45</v>
      </c>
      <c r="F7751" s="3" t="s">
        <v>1772</v>
      </c>
      <c r="G7751" s="7">
        <v>46302.30382515459</v>
      </c>
    </row>
    <row r="7752">
      <c r="A7752" s="3" t="s">
        <v>23076</v>
      </c>
      <c r="B7752" s="3" t="s">
        <v>559</v>
      </c>
      <c r="C7752" s="3" t="s">
        <v>1342</v>
      </c>
      <c r="D7752" s="3" t="s">
        <v>221</v>
      </c>
      <c r="E7752" s="3" t="s">
        <v>45</v>
      </c>
      <c r="F7752" s="3" t="s">
        <v>553</v>
      </c>
      <c r="G7752" s="7">
        <v>46303.37499999999</v>
      </c>
    </row>
    <row r="7753">
      <c r="A7753" s="3" t="s">
        <v>23078</v>
      </c>
      <c r="B7753" s="3" t="s">
        <v>906</v>
      </c>
      <c r="C7753" s="3" t="s">
        <v>1095</v>
      </c>
      <c r="D7753" s="3" t="s">
        <v>206</v>
      </c>
      <c r="E7753" s="3" t="s">
        <v>100</v>
      </c>
      <c r="F7753" s="3" t="s">
        <v>1981</v>
      </c>
      <c r="G7753" s="7">
        <v>46303.395833333336</v>
      </c>
    </row>
    <row r="7754">
      <c r="A7754" s="3" t="s">
        <v>23080</v>
      </c>
      <c r="B7754" s="3" t="s">
        <v>557</v>
      </c>
      <c r="C7754" s="3" t="s">
        <v>1095</v>
      </c>
      <c r="D7754" s="3" t="s">
        <v>221</v>
      </c>
      <c r="E7754" s="3" t="s">
        <v>45</v>
      </c>
      <c r="F7754" s="3" t="s">
        <v>2064</v>
      </c>
      <c r="G7754" s="7">
        <v>46303.416666666664</v>
      </c>
    </row>
    <row r="7755">
      <c r="A7755" s="3" t="s">
        <v>23082</v>
      </c>
      <c r="B7755" s="3" t="s">
        <v>310</v>
      </c>
      <c r="C7755" s="3" t="s">
        <v>1342</v>
      </c>
      <c r="D7755" s="3" t="s">
        <v>206</v>
      </c>
      <c r="E7755" s="3" t="s">
        <v>100</v>
      </c>
      <c r="F7755" s="3" t="s">
        <v>1864</v>
      </c>
      <c r="G7755" s="7">
        <v>46303.43749999999</v>
      </c>
    </row>
    <row r="7756">
      <c r="A7756" s="3" t="s">
        <v>23084</v>
      </c>
      <c r="B7756" s="3" t="s">
        <v>436</v>
      </c>
      <c r="C7756" s="3" t="s">
        <v>1342</v>
      </c>
      <c r="D7756" s="3" t="s">
        <v>221</v>
      </c>
      <c r="E7756" s="3" t="s">
        <v>45</v>
      </c>
      <c r="F7756" s="3" t="s">
        <v>1759</v>
      </c>
      <c r="G7756" s="7">
        <v>46303.458333333336</v>
      </c>
    </row>
    <row r="7757">
      <c r="A7757" s="3" t="s">
        <v>23086</v>
      </c>
      <c r="B7757" s="3" t="s">
        <v>886</v>
      </c>
      <c r="C7757" s="3" t="s">
        <v>1095</v>
      </c>
      <c r="D7757" s="3" t="s">
        <v>206</v>
      </c>
      <c r="E7757" s="3" t="s">
        <v>100</v>
      </c>
      <c r="F7757" s="3" t="s">
        <v>1726</v>
      </c>
      <c r="G7757" s="7">
        <v>46303.479166666664</v>
      </c>
    </row>
    <row r="7758">
      <c r="A7758" s="3" t="s">
        <v>23088</v>
      </c>
      <c r="B7758" s="3" t="s">
        <v>356</v>
      </c>
      <c r="C7758" s="3" t="s">
        <v>1095</v>
      </c>
      <c r="D7758" s="3" t="s">
        <v>221</v>
      </c>
      <c r="E7758" s="3" t="s">
        <v>45</v>
      </c>
      <c r="F7758" s="3" t="s">
        <v>603</v>
      </c>
      <c r="G7758" s="7">
        <v>46303.49999999999</v>
      </c>
    </row>
    <row r="7759">
      <c r="A7759" s="3" t="s">
        <v>23090</v>
      </c>
      <c r="B7759" s="3" t="s">
        <v>388</v>
      </c>
      <c r="C7759" s="3" t="s">
        <v>1095</v>
      </c>
      <c r="D7759" s="3" t="s">
        <v>206</v>
      </c>
      <c r="E7759" s="3" t="s">
        <v>100</v>
      </c>
      <c r="F7759" s="3" t="s">
        <v>1232</v>
      </c>
      <c r="G7759" s="7">
        <v>46303.520833333336</v>
      </c>
    </row>
    <row r="7760">
      <c r="A7760" s="3" t="s">
        <v>23092</v>
      </c>
      <c r="B7760" s="3" t="s">
        <v>333</v>
      </c>
      <c r="C7760" s="3" t="s">
        <v>1095</v>
      </c>
      <c r="D7760" s="3" t="s">
        <v>221</v>
      </c>
      <c r="E7760" s="3" t="s">
        <v>45</v>
      </c>
      <c r="F7760" s="3" t="s">
        <v>1670</v>
      </c>
      <c r="G7760" s="7">
        <v>46303.541666666664</v>
      </c>
    </row>
    <row r="7761">
      <c r="A7761" s="3" t="s">
        <v>23096</v>
      </c>
      <c r="B7761" s="3" t="s">
        <v>498</v>
      </c>
      <c r="C7761" s="3" t="s">
        <v>56</v>
      </c>
      <c r="D7761" s="3" t="s">
        <v>206</v>
      </c>
      <c r="E7761" s="3" t="s">
        <v>100</v>
      </c>
      <c r="F7761" s="3" t="s">
        <v>45</v>
      </c>
      <c r="G7761" s="7">
        <v>46303.56249999999</v>
      </c>
    </row>
    <row r="7762">
      <c r="A7762" s="3" t="s">
        <v>23098</v>
      </c>
      <c r="B7762" s="3" t="s">
        <v>612</v>
      </c>
      <c r="C7762" s="3" t="s">
        <v>56</v>
      </c>
      <c r="D7762" s="3" t="s">
        <v>221</v>
      </c>
      <c r="E7762" s="3" t="s">
        <v>45</v>
      </c>
      <c r="F7762" s="3" t="s">
        <v>45</v>
      </c>
      <c r="G7762" s="7">
        <v>46303.583333333336</v>
      </c>
    </row>
    <row r="7763">
      <c r="A7763" s="3" t="s">
        <v>23100</v>
      </c>
      <c r="B7763" s="3" t="s">
        <v>691</v>
      </c>
      <c r="C7763" s="3" t="s">
        <v>1342</v>
      </c>
      <c r="D7763" s="3" t="s">
        <v>206</v>
      </c>
      <c r="E7763" s="3" t="s">
        <v>100</v>
      </c>
      <c r="F7763" s="3" t="s">
        <v>1177</v>
      </c>
      <c r="G7763" s="7">
        <v>46303.604166666664</v>
      </c>
    </row>
    <row r="7764">
      <c r="A7764" s="3" t="s">
        <v>23102</v>
      </c>
      <c r="B7764" s="3" t="s">
        <v>419</v>
      </c>
      <c r="C7764" s="3" t="s">
        <v>1342</v>
      </c>
      <c r="D7764" s="3" t="s">
        <v>221</v>
      </c>
      <c r="E7764" s="3" t="s">
        <v>45</v>
      </c>
      <c r="F7764" s="3" t="s">
        <v>1879</v>
      </c>
      <c r="G7764" s="7">
        <v>46303.62499999999</v>
      </c>
    </row>
    <row r="7765">
      <c r="A7765" s="3" t="s">
        <v>23104</v>
      </c>
      <c r="B7765" s="3" t="s">
        <v>411</v>
      </c>
      <c r="C7765" s="3" t="s">
        <v>1342</v>
      </c>
      <c r="D7765" s="3" t="s">
        <v>206</v>
      </c>
      <c r="E7765" s="3" t="s">
        <v>100</v>
      </c>
      <c r="F7765" s="3" t="s">
        <v>560</v>
      </c>
      <c r="G7765" s="7">
        <v>46303.645833333336</v>
      </c>
    </row>
    <row r="7766">
      <c r="A7766" s="3" t="s">
        <v>23106</v>
      </c>
      <c r="B7766" s="3" t="s">
        <v>1021</v>
      </c>
      <c r="C7766" s="3" t="s">
        <v>1342</v>
      </c>
      <c r="D7766" s="3" t="s">
        <v>221</v>
      </c>
      <c r="E7766" s="3" t="s">
        <v>45</v>
      </c>
      <c r="F7766" s="3" t="s">
        <v>2037</v>
      </c>
      <c r="G7766" s="7">
        <v>46303.666666666664</v>
      </c>
    </row>
    <row r="7767">
      <c r="A7767" s="3" t="s">
        <v>23108</v>
      </c>
      <c r="B7767" s="3" t="s">
        <v>694</v>
      </c>
      <c r="C7767" s="3" t="s">
        <v>1342</v>
      </c>
      <c r="D7767" s="3" t="s">
        <v>206</v>
      </c>
      <c r="E7767" s="3" t="s">
        <v>100</v>
      </c>
      <c r="F7767" s="3" t="s">
        <v>1712</v>
      </c>
      <c r="G7767" s="7">
        <v>46303.68749999999</v>
      </c>
    </row>
    <row r="7768">
      <c r="A7768" s="3" t="s">
        <v>23110</v>
      </c>
      <c r="B7768" s="3" t="s">
        <v>179</v>
      </c>
      <c r="C7768" s="3" t="s">
        <v>56</v>
      </c>
      <c r="D7768" s="3" t="s">
        <v>221</v>
      </c>
      <c r="E7768" s="3" t="s">
        <v>45</v>
      </c>
      <c r="F7768" s="3" t="s">
        <v>45</v>
      </c>
      <c r="G7768" s="7">
        <v>46303.708333333336</v>
      </c>
    </row>
    <row r="7769">
      <c r="A7769" s="3" t="s">
        <v>23112</v>
      </c>
      <c r="B7769" s="3" t="s">
        <v>805</v>
      </c>
      <c r="C7769" s="3" t="s">
        <v>56</v>
      </c>
      <c r="D7769" s="3" t="s">
        <v>206</v>
      </c>
      <c r="E7769" s="3" t="s">
        <v>100</v>
      </c>
      <c r="F7769" s="3" t="s">
        <v>45</v>
      </c>
      <c r="G7769" s="7">
        <v>46303.729166666664</v>
      </c>
    </row>
    <row r="7770">
      <c r="A7770" s="3" t="s">
        <v>23114</v>
      </c>
      <c r="B7770" s="3" t="s">
        <v>123</v>
      </c>
      <c r="C7770" s="3" t="s">
        <v>1342</v>
      </c>
      <c r="D7770" s="3" t="s">
        <v>221</v>
      </c>
      <c r="E7770" s="3" t="s">
        <v>45</v>
      </c>
      <c r="F7770" s="3" t="s">
        <v>2115</v>
      </c>
      <c r="G7770" s="7">
        <v>46303.74999999999</v>
      </c>
    </row>
    <row r="7771">
      <c r="A7771" s="3" t="s">
        <v>23116</v>
      </c>
      <c r="B7771" s="3" t="s">
        <v>961</v>
      </c>
      <c r="C7771" s="3" t="s">
        <v>1095</v>
      </c>
      <c r="D7771" s="3" t="s">
        <v>206</v>
      </c>
      <c r="E7771" s="3" t="s">
        <v>100</v>
      </c>
      <c r="F7771" s="3" t="s">
        <v>2120</v>
      </c>
      <c r="G7771" s="7">
        <v>46303.770833333336</v>
      </c>
    </row>
    <row r="7772">
      <c r="A7772" s="3" t="s">
        <v>23118</v>
      </c>
      <c r="B7772" s="3" t="s">
        <v>763</v>
      </c>
      <c r="C7772" s="3" t="s">
        <v>56</v>
      </c>
      <c r="D7772" s="3" t="s">
        <v>221</v>
      </c>
      <c r="E7772" s="3" t="s">
        <v>45</v>
      </c>
      <c r="F7772" s="3" t="s">
        <v>45</v>
      </c>
      <c r="G7772" s="7">
        <v>46303.791666666664</v>
      </c>
    </row>
    <row r="7773">
      <c r="A7773" s="3" t="s">
        <v>23120</v>
      </c>
      <c r="B7773" s="3" t="s">
        <v>650</v>
      </c>
      <c r="C7773" s="3" t="s">
        <v>1342</v>
      </c>
      <c r="D7773" s="3" t="s">
        <v>206</v>
      </c>
      <c r="E7773" s="3" t="s">
        <v>100</v>
      </c>
      <c r="F7773" s="3" t="s">
        <v>646</v>
      </c>
      <c r="G7773" s="7">
        <v>46303.81249999999</v>
      </c>
    </row>
    <row r="7774">
      <c r="A7774" s="3" t="s">
        <v>23122</v>
      </c>
      <c r="B7774" s="3" t="s">
        <v>830</v>
      </c>
      <c r="C7774" s="3" t="s">
        <v>56</v>
      </c>
      <c r="D7774" s="3" t="s">
        <v>221</v>
      </c>
      <c r="E7774" s="3" t="s">
        <v>45</v>
      </c>
      <c r="F7774" s="3" t="s">
        <v>45</v>
      </c>
      <c r="G7774" s="7">
        <v>46303.833333333336</v>
      </c>
    </row>
    <row r="7775">
      <c r="A7775" s="3" t="s">
        <v>23124</v>
      </c>
      <c r="B7775" s="3" t="s">
        <v>550</v>
      </c>
      <c r="C7775" s="3" t="s">
        <v>56</v>
      </c>
      <c r="D7775" s="3" t="s">
        <v>206</v>
      </c>
      <c r="E7775" s="3" t="s">
        <v>100</v>
      </c>
      <c r="F7775" s="3" t="s">
        <v>45</v>
      </c>
      <c r="G7775" s="7">
        <v>46303.854166666664</v>
      </c>
    </row>
    <row r="7776">
      <c r="A7776" s="3" t="s">
        <v>23126</v>
      </c>
      <c r="B7776" s="3" t="s">
        <v>348</v>
      </c>
      <c r="C7776" s="3" t="s">
        <v>56</v>
      </c>
      <c r="D7776" s="3" t="s">
        <v>221</v>
      </c>
      <c r="E7776" s="3" t="s">
        <v>45</v>
      </c>
      <c r="F7776" s="3" t="s">
        <v>45</v>
      </c>
      <c r="G7776" s="7">
        <v>46303.87499999999</v>
      </c>
    </row>
    <row r="7777">
      <c r="A7777" s="3" t="s">
        <v>23128</v>
      </c>
      <c r="B7777" s="3" t="s">
        <v>260</v>
      </c>
      <c r="C7777" s="3" t="s">
        <v>1342</v>
      </c>
      <c r="D7777" s="3" t="s">
        <v>206</v>
      </c>
      <c r="E7777" s="3" t="s">
        <v>100</v>
      </c>
      <c r="F7777" s="3" t="s">
        <v>526</v>
      </c>
      <c r="G7777" s="7">
        <v>46303.895833333336</v>
      </c>
    </row>
    <row r="7778">
      <c r="A7778" s="3" t="s">
        <v>23130</v>
      </c>
      <c r="B7778" s="3" t="s">
        <v>811</v>
      </c>
      <c r="C7778" s="3" t="s">
        <v>1095</v>
      </c>
      <c r="D7778" s="3" t="s">
        <v>221</v>
      </c>
      <c r="E7778" s="3" t="s">
        <v>45</v>
      </c>
      <c r="F7778" s="3" t="s">
        <v>1475</v>
      </c>
      <c r="G7778" s="7">
        <v>46303.916666666664</v>
      </c>
    </row>
    <row r="7779">
      <c r="A7779" s="3" t="s">
        <v>23133</v>
      </c>
      <c r="B7779" s="3" t="s">
        <v>208</v>
      </c>
      <c r="C7779" s="3" t="s">
        <v>56</v>
      </c>
      <c r="D7779" s="3" t="s">
        <v>206</v>
      </c>
      <c r="E7779" s="3" t="s">
        <v>100</v>
      </c>
      <c r="F7779" s="3" t="s">
        <v>45</v>
      </c>
      <c r="G7779" s="7">
        <v>46303.93749999999</v>
      </c>
    </row>
    <row r="7780">
      <c r="A7780" s="3" t="s">
        <v>23135</v>
      </c>
      <c r="B7780" s="3" t="s">
        <v>510</v>
      </c>
      <c r="C7780" s="3" t="s">
        <v>1095</v>
      </c>
      <c r="D7780" s="3" t="s">
        <v>221</v>
      </c>
      <c r="E7780" s="3" t="s">
        <v>45</v>
      </c>
      <c r="F7780" s="3" t="s">
        <v>1503</v>
      </c>
      <c r="G7780" s="7">
        <v>46303.958333333336</v>
      </c>
    </row>
    <row r="7781">
      <c r="A7781" s="3" t="s">
        <v>23137</v>
      </c>
      <c r="B7781" s="3" t="s">
        <v>586</v>
      </c>
      <c r="C7781" s="3" t="s">
        <v>1342</v>
      </c>
      <c r="D7781" s="3" t="s">
        <v>206</v>
      </c>
      <c r="E7781" s="3" t="s">
        <v>100</v>
      </c>
      <c r="F7781" s="3" t="s">
        <v>583</v>
      </c>
      <c r="G7781" s="7">
        <v>46303.979166666664</v>
      </c>
    </row>
    <row r="7782">
      <c r="A7782" s="3" t="s">
        <v>23139</v>
      </c>
      <c r="B7782" s="3" t="s">
        <v>475</v>
      </c>
      <c r="C7782" s="3" t="s">
        <v>56</v>
      </c>
      <c r="D7782" s="3" t="s">
        <v>221</v>
      </c>
      <c r="E7782" s="3" t="s">
        <v>45</v>
      </c>
      <c r="F7782" s="3" t="s">
        <v>45</v>
      </c>
      <c r="G7782" s="7">
        <v>46303.99999999999</v>
      </c>
    </row>
    <row r="7783">
      <c r="A7783" s="3" t="s">
        <v>23141</v>
      </c>
      <c r="B7783" s="3" t="s">
        <v>348</v>
      </c>
      <c r="C7783" s="3" t="s">
        <v>56</v>
      </c>
      <c r="D7783" s="3" t="s">
        <v>206</v>
      </c>
      <c r="E7783" s="3" t="s">
        <v>100</v>
      </c>
      <c r="F7783" s="3" t="s">
        <v>45</v>
      </c>
      <c r="G7783" s="7">
        <v>46304.020833333336</v>
      </c>
    </row>
    <row r="7784">
      <c r="A7784" s="3" t="s">
        <v>23143</v>
      </c>
      <c r="B7784" s="3" t="s">
        <v>391</v>
      </c>
      <c r="C7784" s="3" t="s">
        <v>1342</v>
      </c>
      <c r="D7784" s="3" t="s">
        <v>221</v>
      </c>
      <c r="E7784" s="3" t="s">
        <v>45</v>
      </c>
      <c r="F7784" s="3" t="s">
        <v>2077</v>
      </c>
      <c r="G7784" s="7">
        <v>46304.041666666664</v>
      </c>
    </row>
    <row r="7785">
      <c r="A7785" s="3" t="s">
        <v>23145</v>
      </c>
      <c r="B7785" s="3" t="s">
        <v>493</v>
      </c>
      <c r="C7785" s="3" t="s">
        <v>1095</v>
      </c>
      <c r="D7785" s="3" t="s">
        <v>206</v>
      </c>
      <c r="E7785" s="3" t="s">
        <v>100</v>
      </c>
      <c r="F7785" s="3" t="s">
        <v>1623</v>
      </c>
      <c r="G7785" s="7">
        <v>46304.06249999999</v>
      </c>
    </row>
    <row r="7786">
      <c r="A7786" s="3" t="s">
        <v>23147</v>
      </c>
      <c r="B7786" s="3" t="s">
        <v>442</v>
      </c>
      <c r="C7786" s="3" t="s">
        <v>56</v>
      </c>
      <c r="D7786" s="3" t="s">
        <v>221</v>
      </c>
      <c r="E7786" s="3" t="s">
        <v>45</v>
      </c>
      <c r="F7786" s="3" t="s">
        <v>45</v>
      </c>
      <c r="G7786" s="7">
        <v>46304.083333333336</v>
      </c>
    </row>
    <row r="7787">
      <c r="A7787" s="3" t="s">
        <v>23149</v>
      </c>
      <c r="B7787" s="3" t="s">
        <v>197</v>
      </c>
      <c r="C7787" s="3" t="s">
        <v>1095</v>
      </c>
      <c r="D7787" s="3" t="s">
        <v>206</v>
      </c>
      <c r="E7787" s="3" t="s">
        <v>100</v>
      </c>
      <c r="F7787" s="3" t="s">
        <v>1667</v>
      </c>
      <c r="G7787" s="7">
        <v>46304.104166666664</v>
      </c>
    </row>
    <row r="7788">
      <c r="A7788" s="3" t="s">
        <v>23152</v>
      </c>
      <c r="B7788" s="3" t="s">
        <v>845</v>
      </c>
      <c r="C7788" s="3" t="s">
        <v>56</v>
      </c>
      <c r="D7788" s="3" t="s">
        <v>221</v>
      </c>
      <c r="E7788" s="3" t="s">
        <v>45</v>
      </c>
      <c r="F7788" s="3" t="s">
        <v>45</v>
      </c>
      <c r="G7788" s="7">
        <v>46304.12499999999</v>
      </c>
    </row>
    <row r="7789">
      <c r="A7789" s="3" t="s">
        <v>23156</v>
      </c>
      <c r="B7789" s="3" t="s">
        <v>710</v>
      </c>
      <c r="C7789" s="3" t="s">
        <v>1095</v>
      </c>
      <c r="D7789" s="3" t="s">
        <v>206</v>
      </c>
      <c r="E7789" s="3" t="s">
        <v>100</v>
      </c>
      <c r="F7789" s="3" t="s">
        <v>1770</v>
      </c>
      <c r="G7789" s="7">
        <v>46304.145833333336</v>
      </c>
    </row>
    <row r="7790">
      <c r="A7790" s="3" t="s">
        <v>23159</v>
      </c>
      <c r="B7790" s="3" t="s">
        <v>785</v>
      </c>
      <c r="C7790" s="3" t="s">
        <v>1095</v>
      </c>
      <c r="D7790" s="3" t="s">
        <v>221</v>
      </c>
      <c r="E7790" s="3" t="s">
        <v>45</v>
      </c>
      <c r="F7790" s="3" t="s">
        <v>2067</v>
      </c>
      <c r="G7790" s="7">
        <v>46304.166666666664</v>
      </c>
    </row>
    <row r="7791">
      <c r="A7791" s="3" t="s">
        <v>23161</v>
      </c>
      <c r="B7791" s="3" t="s">
        <v>987</v>
      </c>
      <c r="C7791" s="3" t="s">
        <v>1095</v>
      </c>
      <c r="D7791" s="3" t="s">
        <v>206</v>
      </c>
      <c r="E7791" s="3" t="s">
        <v>100</v>
      </c>
      <c r="F7791" s="3" t="s">
        <v>1619</v>
      </c>
      <c r="G7791" s="7">
        <v>46304.18749999999</v>
      </c>
    </row>
    <row r="7792">
      <c r="A7792" s="3" t="s">
        <v>23163</v>
      </c>
      <c r="B7792" s="3" t="s">
        <v>645</v>
      </c>
      <c r="C7792" s="3" t="s">
        <v>1342</v>
      </c>
      <c r="D7792" s="3" t="s">
        <v>221</v>
      </c>
      <c r="E7792" s="3" t="s">
        <v>45</v>
      </c>
      <c r="F7792" s="3" t="s">
        <v>641</v>
      </c>
      <c r="G7792" s="7">
        <v>46304.208333333336</v>
      </c>
    </row>
    <row r="7793">
      <c r="A7793" s="3" t="s">
        <v>23165</v>
      </c>
      <c r="B7793" s="3" t="s">
        <v>1026</v>
      </c>
      <c r="C7793" s="3" t="s">
        <v>1342</v>
      </c>
      <c r="D7793" s="3" t="s">
        <v>206</v>
      </c>
      <c r="E7793" s="3" t="s">
        <v>100</v>
      </c>
      <c r="F7793" s="3" t="s">
        <v>1884</v>
      </c>
      <c r="G7793" s="7">
        <v>46304.229166666664</v>
      </c>
    </row>
    <row r="7794">
      <c r="A7794" s="3" t="s">
        <v>23168</v>
      </c>
      <c r="B7794" s="3" t="s">
        <v>746</v>
      </c>
      <c r="C7794" s="3" t="s">
        <v>1095</v>
      </c>
      <c r="D7794" s="3" t="s">
        <v>221</v>
      </c>
      <c r="E7794" s="3" t="s">
        <v>45</v>
      </c>
      <c r="F7794" s="3" t="s">
        <v>741</v>
      </c>
      <c r="G7794" s="7">
        <v>46304.24999999999</v>
      </c>
    </row>
    <row r="7795">
      <c r="A7795" s="3" t="s">
        <v>23170</v>
      </c>
      <c r="B7795" s="3" t="s">
        <v>1040</v>
      </c>
      <c r="C7795" s="3" t="s">
        <v>1095</v>
      </c>
      <c r="D7795" s="3" t="s">
        <v>206</v>
      </c>
      <c r="E7795" s="3" t="s">
        <v>100</v>
      </c>
      <c r="F7795" s="3" t="s">
        <v>1951</v>
      </c>
      <c r="G7795" s="7">
        <v>46304.270833333336</v>
      </c>
    </row>
    <row r="7796">
      <c r="A7796" s="3" t="s">
        <v>23173</v>
      </c>
      <c r="B7796" s="3" t="s">
        <v>326</v>
      </c>
      <c r="C7796" s="3" t="s">
        <v>1342</v>
      </c>
      <c r="D7796" s="3" t="s">
        <v>221</v>
      </c>
      <c r="E7796" s="3" t="s">
        <v>45</v>
      </c>
      <c r="F7796" s="3" t="s">
        <v>1975</v>
      </c>
      <c r="G7796" s="7">
        <v>46304.291666666664</v>
      </c>
    </row>
    <row r="7797">
      <c r="A7797" s="3" t="s">
        <v>23177</v>
      </c>
      <c r="B7797" s="3" t="s">
        <v>781</v>
      </c>
      <c r="C7797" s="3" t="s">
        <v>1342</v>
      </c>
      <c r="D7797" s="3" t="s">
        <v>206</v>
      </c>
      <c r="E7797" s="3" t="s">
        <v>100</v>
      </c>
      <c r="F7797" s="3" t="s">
        <v>1899</v>
      </c>
      <c r="G7797" s="7">
        <v>46304.31249999999</v>
      </c>
    </row>
    <row r="7798">
      <c r="A7798" s="3" t="s">
        <v>23180</v>
      </c>
      <c r="B7798" s="3" t="s">
        <v>760</v>
      </c>
      <c r="C7798" s="3" t="s">
        <v>1095</v>
      </c>
      <c r="D7798" s="3" t="s">
        <v>221</v>
      </c>
      <c r="E7798" s="3" t="s">
        <v>45</v>
      </c>
      <c r="F7798" s="3" t="s">
        <v>1780</v>
      </c>
      <c r="G7798" s="7">
        <v>46304.333333333336</v>
      </c>
    </row>
    <row r="7799">
      <c r="A7799" s="3" t="s">
        <v>23183</v>
      </c>
      <c r="B7799" s="3" t="s">
        <v>472</v>
      </c>
      <c r="C7799" s="3" t="s">
        <v>56</v>
      </c>
      <c r="D7799" s="3" t="s">
        <v>206</v>
      </c>
      <c r="E7799" s="3" t="s">
        <v>100</v>
      </c>
      <c r="F7799" s="3" t="s">
        <v>45</v>
      </c>
      <c r="G7799" s="7">
        <v>46304.354166666664</v>
      </c>
    </row>
    <row r="7800">
      <c r="A7800" s="3" t="s">
        <v>23186</v>
      </c>
      <c r="B7800" s="3" t="s">
        <v>226</v>
      </c>
      <c r="C7800" s="3" t="s">
        <v>1342</v>
      </c>
      <c r="D7800" s="3" t="s">
        <v>221</v>
      </c>
      <c r="E7800" s="3" t="s">
        <v>45</v>
      </c>
      <c r="F7800" s="3" t="s">
        <v>1214</v>
      </c>
      <c r="G7800" s="7">
        <v>46304.37499999999</v>
      </c>
    </row>
    <row r="7801">
      <c r="A7801" s="3" t="s">
        <v>23188</v>
      </c>
      <c r="B7801" s="3" t="s">
        <v>544</v>
      </c>
      <c r="C7801" s="3" t="s">
        <v>1342</v>
      </c>
      <c r="D7801" s="3" t="s">
        <v>206</v>
      </c>
      <c r="E7801" s="3" t="s">
        <v>100</v>
      </c>
      <c r="F7801" s="3" t="s">
        <v>1378</v>
      </c>
      <c r="G7801" s="7">
        <v>46304.395833333336</v>
      </c>
    </row>
    <row r="7802">
      <c r="A7802" s="3" t="s">
        <v>23190</v>
      </c>
      <c r="B7802" s="3" t="s">
        <v>313</v>
      </c>
      <c r="C7802" s="3" t="s">
        <v>1342</v>
      </c>
      <c r="D7802" s="3" t="s">
        <v>221</v>
      </c>
      <c r="E7802" s="3" t="s">
        <v>45</v>
      </c>
      <c r="F7802" s="3" t="s">
        <v>823</v>
      </c>
      <c r="G7802" s="7">
        <v>46304.416666666664</v>
      </c>
    </row>
    <row r="7803">
      <c r="A7803" s="3" t="s">
        <v>23193</v>
      </c>
      <c r="B7803" s="3" t="s">
        <v>539</v>
      </c>
      <c r="C7803" s="3" t="s">
        <v>1342</v>
      </c>
      <c r="D7803" s="3" t="s">
        <v>206</v>
      </c>
      <c r="E7803" s="3" t="s">
        <v>100</v>
      </c>
      <c r="F7803" s="3" t="s">
        <v>1346</v>
      </c>
      <c r="G7803" s="7">
        <v>46304.43749999999</v>
      </c>
    </row>
    <row r="7804">
      <c r="A7804" s="3" t="s">
        <v>23195</v>
      </c>
      <c r="B7804" s="3" t="s">
        <v>280</v>
      </c>
      <c r="C7804" s="3" t="s">
        <v>56</v>
      </c>
      <c r="D7804" s="3" t="s">
        <v>221</v>
      </c>
      <c r="E7804" s="3" t="s">
        <v>45</v>
      </c>
      <c r="F7804" s="3" t="s">
        <v>45</v>
      </c>
      <c r="G7804" s="7">
        <v>46304.458333333336</v>
      </c>
    </row>
    <row r="7805">
      <c r="A7805" s="3" t="s">
        <v>23197</v>
      </c>
      <c r="B7805" s="3" t="s">
        <v>937</v>
      </c>
      <c r="C7805" s="3" t="s">
        <v>1095</v>
      </c>
      <c r="D7805" s="3" t="s">
        <v>206</v>
      </c>
      <c r="E7805" s="3" t="s">
        <v>100</v>
      </c>
      <c r="F7805" s="3" t="s">
        <v>1999</v>
      </c>
      <c r="G7805" s="7">
        <v>46304.479166666664</v>
      </c>
    </row>
    <row r="7806">
      <c r="A7806" s="3" t="s">
        <v>23199</v>
      </c>
      <c r="B7806" s="3" t="s">
        <v>1034</v>
      </c>
      <c r="C7806" s="3" t="s">
        <v>56</v>
      </c>
      <c r="D7806" s="3" t="s">
        <v>221</v>
      </c>
      <c r="E7806" s="3" t="s">
        <v>45</v>
      </c>
      <c r="F7806" s="3" t="s">
        <v>45</v>
      </c>
      <c r="G7806" s="7">
        <v>46304.49999999999</v>
      </c>
    </row>
    <row r="7807">
      <c r="A7807" s="3" t="s">
        <v>23201</v>
      </c>
      <c r="B7807" s="3" t="s">
        <v>643</v>
      </c>
      <c r="C7807" s="3" t="s">
        <v>1342</v>
      </c>
      <c r="D7807" s="3" t="s">
        <v>206</v>
      </c>
      <c r="E7807" s="3" t="s">
        <v>100</v>
      </c>
      <c r="F7807" s="3" t="s">
        <v>1671</v>
      </c>
      <c r="G7807" s="7">
        <v>46304.520833333336</v>
      </c>
    </row>
    <row r="7808">
      <c r="A7808" s="3" t="s">
        <v>23203</v>
      </c>
      <c r="B7808" s="3" t="s">
        <v>521</v>
      </c>
      <c r="C7808" s="3" t="s">
        <v>1342</v>
      </c>
      <c r="D7808" s="3" t="s">
        <v>221</v>
      </c>
      <c r="E7808" s="3" t="s">
        <v>45</v>
      </c>
      <c r="F7808" s="3" t="s">
        <v>1651</v>
      </c>
      <c r="G7808" s="7">
        <v>46304.541666666664</v>
      </c>
    </row>
    <row r="7809">
      <c r="A7809" s="3" t="s">
        <v>23205</v>
      </c>
      <c r="B7809" s="3" t="s">
        <v>657</v>
      </c>
      <c r="C7809" s="3" t="s">
        <v>1342</v>
      </c>
      <c r="D7809" s="3" t="s">
        <v>206</v>
      </c>
      <c r="E7809" s="3" t="s">
        <v>100</v>
      </c>
      <c r="F7809" s="3" t="s">
        <v>653</v>
      </c>
      <c r="G7809" s="7">
        <v>46304.56249999999</v>
      </c>
    </row>
    <row r="7810">
      <c r="A7810" s="3" t="s">
        <v>23207</v>
      </c>
      <c r="B7810" s="3" t="s">
        <v>600</v>
      </c>
      <c r="C7810" s="3" t="s">
        <v>1342</v>
      </c>
      <c r="D7810" s="3" t="s">
        <v>221</v>
      </c>
      <c r="E7810" s="3" t="s">
        <v>45</v>
      </c>
      <c r="F7810" s="3" t="s">
        <v>595</v>
      </c>
      <c r="G7810" s="7">
        <v>46304.583333333336</v>
      </c>
    </row>
    <row r="7811">
      <c r="A7811" s="3" t="s">
        <v>23209</v>
      </c>
      <c r="B7811" s="3" t="s">
        <v>990</v>
      </c>
      <c r="C7811" s="3" t="s">
        <v>56</v>
      </c>
      <c r="D7811" s="3" t="s">
        <v>206</v>
      </c>
      <c r="E7811" s="3" t="s">
        <v>100</v>
      </c>
      <c r="F7811" s="3" t="s">
        <v>45</v>
      </c>
      <c r="G7811" s="7">
        <v>46304.604166666664</v>
      </c>
    </row>
    <row r="7812">
      <c r="A7812" s="3" t="s">
        <v>23211</v>
      </c>
      <c r="B7812" s="3" t="s">
        <v>883</v>
      </c>
      <c r="C7812" s="3" t="s">
        <v>1342</v>
      </c>
      <c r="D7812" s="3" t="s">
        <v>221</v>
      </c>
      <c r="E7812" s="3" t="s">
        <v>45</v>
      </c>
      <c r="F7812" s="3" t="s">
        <v>1125</v>
      </c>
      <c r="G7812" s="7">
        <v>46304.62499999999</v>
      </c>
    </row>
    <row r="7813">
      <c r="A7813" s="3" t="s">
        <v>23213</v>
      </c>
      <c r="B7813" s="3" t="s">
        <v>619</v>
      </c>
      <c r="C7813" s="3" t="s">
        <v>1095</v>
      </c>
      <c r="D7813" s="3" t="s">
        <v>206</v>
      </c>
      <c r="E7813" s="3" t="s">
        <v>100</v>
      </c>
      <c r="F7813" s="3" t="s">
        <v>1242</v>
      </c>
      <c r="G7813" s="7">
        <v>46304.645833333336</v>
      </c>
    </row>
    <row r="7814">
      <c r="A7814" s="3" t="s">
        <v>23215</v>
      </c>
      <c r="B7814" s="3" t="s">
        <v>947</v>
      </c>
      <c r="C7814" s="3" t="s">
        <v>1095</v>
      </c>
      <c r="D7814" s="3" t="s">
        <v>221</v>
      </c>
      <c r="E7814" s="3" t="s">
        <v>45</v>
      </c>
      <c r="F7814" s="3" t="s">
        <v>1993</v>
      </c>
      <c r="G7814" s="7">
        <v>46304.666666666664</v>
      </c>
    </row>
    <row r="7815">
      <c r="A7815" s="3" t="s">
        <v>23217</v>
      </c>
      <c r="B7815" s="3" t="s">
        <v>137</v>
      </c>
      <c r="C7815" s="3" t="s">
        <v>56</v>
      </c>
      <c r="D7815" s="3" t="s">
        <v>206</v>
      </c>
      <c r="E7815" s="3" t="s">
        <v>100</v>
      </c>
      <c r="F7815" s="3" t="s">
        <v>45</v>
      </c>
      <c r="G7815" s="7">
        <v>46304.68749999999</v>
      </c>
    </row>
    <row r="7816">
      <c r="A7816" s="3" t="s">
        <v>23219</v>
      </c>
      <c r="B7816" s="3" t="s">
        <v>406</v>
      </c>
      <c r="C7816" s="3" t="s">
        <v>1342</v>
      </c>
      <c r="D7816" s="3" t="s">
        <v>221</v>
      </c>
      <c r="E7816" s="3" t="s">
        <v>45</v>
      </c>
      <c r="F7816" s="3" t="s">
        <v>1755</v>
      </c>
      <c r="G7816" s="7">
        <v>46304.708333333336</v>
      </c>
    </row>
    <row r="7817">
      <c r="A7817" s="3" t="s">
        <v>23221</v>
      </c>
      <c r="B7817" s="3" t="s">
        <v>559</v>
      </c>
      <c r="C7817" s="3" t="s">
        <v>1095</v>
      </c>
      <c r="D7817" s="3" t="s">
        <v>206</v>
      </c>
      <c r="E7817" s="3" t="s">
        <v>100</v>
      </c>
      <c r="F7817" s="3" t="s">
        <v>553</v>
      </c>
      <c r="G7817" s="7">
        <v>46304.729166666664</v>
      </c>
    </row>
    <row r="7818">
      <c r="A7818" s="3" t="s">
        <v>23223</v>
      </c>
      <c r="B7818" s="3" t="s">
        <v>662</v>
      </c>
      <c r="C7818" s="3" t="s">
        <v>1095</v>
      </c>
      <c r="D7818" s="3" t="s">
        <v>221</v>
      </c>
      <c r="E7818" s="3" t="s">
        <v>45</v>
      </c>
      <c r="F7818" s="3" t="s">
        <v>1997</v>
      </c>
      <c r="G7818" s="7">
        <v>46304.74999999999</v>
      </c>
    </row>
    <row r="7819">
      <c r="A7819" s="3" t="s">
        <v>23225</v>
      </c>
      <c r="B7819" s="3" t="s">
        <v>175</v>
      </c>
      <c r="C7819" s="3" t="s">
        <v>1095</v>
      </c>
      <c r="D7819" s="3" t="s">
        <v>206</v>
      </c>
      <c r="E7819" s="3" t="s">
        <v>100</v>
      </c>
      <c r="F7819" s="3" t="s">
        <v>701</v>
      </c>
      <c r="G7819" s="7">
        <v>46304.770833333336</v>
      </c>
    </row>
    <row r="7820">
      <c r="A7820" s="3" t="s">
        <v>23228</v>
      </c>
      <c r="B7820" s="3" t="s">
        <v>993</v>
      </c>
      <c r="C7820" s="3" t="s">
        <v>56</v>
      </c>
      <c r="D7820" s="3" t="s">
        <v>221</v>
      </c>
      <c r="E7820" s="3" t="s">
        <v>45</v>
      </c>
      <c r="F7820" s="3" t="s">
        <v>45</v>
      </c>
      <c r="G7820" s="7">
        <v>46304.791666666664</v>
      </c>
    </row>
    <row r="7821">
      <c r="A7821" s="3" t="s">
        <v>23231</v>
      </c>
      <c r="B7821" s="3" t="s">
        <v>953</v>
      </c>
      <c r="C7821" s="3" t="s">
        <v>56</v>
      </c>
      <c r="D7821" s="3" t="s">
        <v>206</v>
      </c>
      <c r="E7821" s="3" t="s">
        <v>100</v>
      </c>
      <c r="F7821" s="3" t="s">
        <v>45</v>
      </c>
      <c r="G7821" s="7">
        <v>46304.81249999999</v>
      </c>
    </row>
    <row r="7822">
      <c r="A7822" s="3" t="s">
        <v>23234</v>
      </c>
      <c r="B7822" s="3" t="s">
        <v>247</v>
      </c>
      <c r="C7822" s="3" t="s">
        <v>1342</v>
      </c>
      <c r="D7822" s="3" t="s">
        <v>221</v>
      </c>
      <c r="E7822" s="3" t="s">
        <v>45</v>
      </c>
      <c r="F7822" s="3" t="s">
        <v>1254</v>
      </c>
      <c r="G7822" s="7">
        <v>46304.833333333336</v>
      </c>
    </row>
    <row r="7823">
      <c r="A7823" s="3" t="s">
        <v>23237</v>
      </c>
      <c r="B7823" s="3" t="s">
        <v>162</v>
      </c>
      <c r="C7823" s="3" t="s">
        <v>1095</v>
      </c>
      <c r="D7823" s="3" t="s">
        <v>206</v>
      </c>
      <c r="E7823" s="3" t="s">
        <v>100</v>
      </c>
      <c r="F7823" s="3" t="s">
        <v>1876</v>
      </c>
      <c r="G7823" s="7">
        <v>46304.854166666664</v>
      </c>
    </row>
    <row r="7824">
      <c r="A7824" s="3" t="s">
        <v>23241</v>
      </c>
      <c r="B7824" s="3" t="s">
        <v>698</v>
      </c>
      <c r="C7824" s="3" t="s">
        <v>56</v>
      </c>
      <c r="D7824" s="3" t="s">
        <v>221</v>
      </c>
      <c r="E7824" s="3" t="s">
        <v>45</v>
      </c>
      <c r="F7824" s="3" t="s">
        <v>45</v>
      </c>
      <c r="G7824" s="7">
        <v>46304.87499999999</v>
      </c>
    </row>
    <row r="7825">
      <c r="A7825" s="3" t="s">
        <v>23244</v>
      </c>
      <c r="B7825" s="3" t="s">
        <v>713</v>
      </c>
      <c r="C7825" s="3" t="s">
        <v>1342</v>
      </c>
      <c r="D7825" s="3" t="s">
        <v>206</v>
      </c>
      <c r="E7825" s="3" t="s">
        <v>100</v>
      </c>
      <c r="F7825" s="3" t="s">
        <v>721</v>
      </c>
      <c r="G7825" s="7">
        <v>46304.895833333336</v>
      </c>
    </row>
    <row r="7826">
      <c r="A7826" s="3" t="s">
        <v>23247</v>
      </c>
      <c r="B7826" s="3" t="s">
        <v>215</v>
      </c>
      <c r="C7826" s="3" t="s">
        <v>1342</v>
      </c>
      <c r="D7826" s="3" t="s">
        <v>221</v>
      </c>
      <c r="E7826" s="3" t="s">
        <v>45</v>
      </c>
      <c r="F7826" s="3" t="s">
        <v>2021</v>
      </c>
      <c r="G7826" s="7">
        <v>46304.916666666664</v>
      </c>
    </row>
    <row r="7827">
      <c r="A7827" s="3" t="s">
        <v>23250</v>
      </c>
      <c r="B7827" s="3" t="s">
        <v>953</v>
      </c>
      <c r="C7827" s="3" t="s">
        <v>56</v>
      </c>
      <c r="D7827" s="3" t="s">
        <v>206</v>
      </c>
      <c r="E7827" s="3" t="s">
        <v>100</v>
      </c>
      <c r="F7827" s="3" t="s">
        <v>45</v>
      </c>
      <c r="G7827" s="7">
        <v>46304.93749999999</v>
      </c>
    </row>
    <row r="7828">
      <c r="A7828" s="3" t="s">
        <v>23253</v>
      </c>
      <c r="B7828" s="3" t="s">
        <v>805</v>
      </c>
      <c r="C7828" s="3" t="s">
        <v>56</v>
      </c>
      <c r="D7828" s="3" t="s">
        <v>221</v>
      </c>
      <c r="E7828" s="3" t="s">
        <v>45</v>
      </c>
      <c r="F7828" s="3" t="s">
        <v>45</v>
      </c>
      <c r="G7828" s="7">
        <v>46304.958333333336</v>
      </c>
    </row>
    <row r="7829">
      <c r="A7829" s="3" t="s">
        <v>23255</v>
      </c>
      <c r="B7829" s="3" t="s">
        <v>472</v>
      </c>
      <c r="C7829" s="3" t="s">
        <v>56</v>
      </c>
      <c r="D7829" s="3" t="s">
        <v>206</v>
      </c>
      <c r="E7829" s="3" t="s">
        <v>100</v>
      </c>
      <c r="F7829" s="3" t="s">
        <v>45</v>
      </c>
      <c r="G7829" s="7">
        <v>46304.979166666664</v>
      </c>
    </row>
    <row r="7830">
      <c r="A7830" s="3" t="s">
        <v>23257</v>
      </c>
      <c r="B7830" s="3" t="s">
        <v>725</v>
      </c>
      <c r="C7830" s="3" t="s">
        <v>1342</v>
      </c>
      <c r="D7830" s="3" t="s">
        <v>221</v>
      </c>
      <c r="E7830" s="3" t="s">
        <v>45</v>
      </c>
      <c r="F7830" s="3" t="s">
        <v>1704</v>
      </c>
      <c r="G7830" s="7">
        <v>46304.99999999999</v>
      </c>
    </row>
    <row r="7831">
      <c r="A7831" s="3" t="s">
        <v>23259</v>
      </c>
      <c r="B7831" s="3" t="s">
        <v>175</v>
      </c>
      <c r="C7831" s="3" t="s">
        <v>1342</v>
      </c>
      <c r="D7831" s="3" t="s">
        <v>206</v>
      </c>
      <c r="E7831" s="3" t="s">
        <v>100</v>
      </c>
      <c r="F7831" s="3" t="s">
        <v>701</v>
      </c>
      <c r="G7831" s="7">
        <v>46305.020833333336</v>
      </c>
    </row>
    <row r="7832">
      <c r="A7832" s="3" t="s">
        <v>23261</v>
      </c>
      <c r="B7832" s="3" t="s">
        <v>655</v>
      </c>
      <c r="C7832" s="3" t="s">
        <v>1095</v>
      </c>
      <c r="D7832" s="3" t="s">
        <v>221</v>
      </c>
      <c r="E7832" s="3" t="s">
        <v>45</v>
      </c>
      <c r="F7832" s="3" t="s">
        <v>1800</v>
      </c>
      <c r="G7832" s="7">
        <v>46305.041666666664</v>
      </c>
    </row>
    <row r="7833">
      <c r="A7833" s="3" t="s">
        <v>23263</v>
      </c>
      <c r="B7833" s="3" t="s">
        <v>811</v>
      </c>
      <c r="C7833" s="3" t="s">
        <v>1095</v>
      </c>
      <c r="D7833" s="3" t="s">
        <v>206</v>
      </c>
      <c r="E7833" s="3" t="s">
        <v>100</v>
      </c>
      <c r="F7833" s="3" t="s">
        <v>1475</v>
      </c>
      <c r="G7833" s="7">
        <v>46305.06249999999</v>
      </c>
    </row>
    <row r="7834">
      <c r="A7834" s="3" t="s">
        <v>23265</v>
      </c>
      <c r="B7834" s="3" t="s">
        <v>698</v>
      </c>
      <c r="C7834" s="3" t="s">
        <v>56</v>
      </c>
      <c r="D7834" s="3" t="s">
        <v>221</v>
      </c>
      <c r="E7834" s="3" t="s">
        <v>45</v>
      </c>
      <c r="F7834" s="3" t="s">
        <v>45</v>
      </c>
      <c r="G7834" s="7">
        <v>46305.083333333336</v>
      </c>
    </row>
    <row r="7835">
      <c r="A7835" s="3" t="s">
        <v>23267</v>
      </c>
      <c r="B7835" s="3" t="s">
        <v>400</v>
      </c>
      <c r="C7835" s="3" t="s">
        <v>1095</v>
      </c>
      <c r="D7835" s="3" t="s">
        <v>206</v>
      </c>
      <c r="E7835" s="3" t="s">
        <v>100</v>
      </c>
      <c r="F7835" s="3" t="s">
        <v>1297</v>
      </c>
      <c r="G7835" s="7">
        <v>46305.104166666664</v>
      </c>
    </row>
    <row r="7836">
      <c r="A7836" s="3" t="s">
        <v>23269</v>
      </c>
      <c r="B7836" s="3" t="s">
        <v>650</v>
      </c>
      <c r="C7836" s="3" t="s">
        <v>1095</v>
      </c>
      <c r="D7836" s="3" t="s">
        <v>221</v>
      </c>
      <c r="E7836" s="3" t="s">
        <v>45</v>
      </c>
      <c r="F7836" s="3" t="s">
        <v>646</v>
      </c>
      <c r="G7836" s="7">
        <v>46305.12499999999</v>
      </c>
    </row>
    <row r="7837">
      <c r="A7837" s="3" t="s">
        <v>23271</v>
      </c>
      <c r="B7837" s="3" t="s">
        <v>586</v>
      </c>
      <c r="C7837" s="3" t="s">
        <v>1095</v>
      </c>
      <c r="D7837" s="3" t="s">
        <v>206</v>
      </c>
      <c r="E7837" s="3" t="s">
        <v>100</v>
      </c>
      <c r="F7837" s="3" t="s">
        <v>583</v>
      </c>
      <c r="G7837" s="7">
        <v>46305.145833333336</v>
      </c>
    </row>
    <row r="7838">
      <c r="A7838" s="3" t="s">
        <v>23273</v>
      </c>
      <c r="B7838" s="3" t="s">
        <v>530</v>
      </c>
      <c r="C7838" s="3" t="s">
        <v>56</v>
      </c>
      <c r="D7838" s="3" t="s">
        <v>221</v>
      </c>
      <c r="E7838" s="3" t="s">
        <v>45</v>
      </c>
      <c r="F7838" s="3" t="s">
        <v>45</v>
      </c>
      <c r="G7838" s="7">
        <v>46305.166666666664</v>
      </c>
    </row>
    <row r="7839">
      <c r="A7839" s="3" t="s">
        <v>23275</v>
      </c>
      <c r="B7839" s="3" t="s">
        <v>961</v>
      </c>
      <c r="C7839" s="3" t="s">
        <v>1342</v>
      </c>
      <c r="D7839" s="3" t="s">
        <v>206</v>
      </c>
      <c r="E7839" s="3" t="s">
        <v>100</v>
      </c>
      <c r="F7839" s="3" t="s">
        <v>2120</v>
      </c>
      <c r="G7839" s="7">
        <v>46305.18749999999</v>
      </c>
    </row>
    <row r="7840">
      <c r="A7840" s="3" t="s">
        <v>23277</v>
      </c>
      <c r="B7840" s="3" t="s">
        <v>565</v>
      </c>
      <c r="C7840" s="3" t="s">
        <v>1342</v>
      </c>
      <c r="D7840" s="3" t="s">
        <v>221</v>
      </c>
      <c r="E7840" s="3" t="s">
        <v>45</v>
      </c>
      <c r="F7840" s="3" t="s">
        <v>2072</v>
      </c>
      <c r="G7840" s="7">
        <v>46305.208333333336</v>
      </c>
    </row>
    <row r="7841">
      <c r="A7841" s="3" t="s">
        <v>23280</v>
      </c>
      <c r="B7841" s="3" t="s">
        <v>637</v>
      </c>
      <c r="C7841" s="3" t="s">
        <v>1342</v>
      </c>
      <c r="D7841" s="3" t="s">
        <v>206</v>
      </c>
      <c r="E7841" s="3" t="s">
        <v>100</v>
      </c>
      <c r="F7841" s="3" t="s">
        <v>1007</v>
      </c>
      <c r="G7841" s="7">
        <v>46305.229166666664</v>
      </c>
    </row>
    <row r="7842">
      <c r="A7842" s="3" t="s">
        <v>23282</v>
      </c>
      <c r="B7842" s="3" t="s">
        <v>615</v>
      </c>
      <c r="C7842" s="3" t="s">
        <v>1342</v>
      </c>
      <c r="D7842" s="3" t="s">
        <v>221</v>
      </c>
      <c r="E7842" s="3" t="s">
        <v>45</v>
      </c>
      <c r="F7842" s="3" t="s">
        <v>611</v>
      </c>
      <c r="G7842" s="7">
        <v>46305.24999999999</v>
      </c>
    </row>
    <row r="7843">
      <c r="A7843" s="3" t="s">
        <v>23284</v>
      </c>
      <c r="B7843" s="3" t="s">
        <v>287</v>
      </c>
      <c r="C7843" s="3" t="s">
        <v>56</v>
      </c>
      <c r="D7843" s="3" t="s">
        <v>206</v>
      </c>
      <c r="E7843" s="3" t="s">
        <v>100</v>
      </c>
      <c r="F7843" s="3" t="s">
        <v>45</v>
      </c>
      <c r="G7843" s="7">
        <v>46305.270833333336</v>
      </c>
    </row>
    <row r="7844">
      <c r="A7844" s="3" t="s">
        <v>23287</v>
      </c>
      <c r="B7844" s="3" t="s">
        <v>1021</v>
      </c>
      <c r="C7844" s="3" t="s">
        <v>1095</v>
      </c>
      <c r="D7844" s="3" t="s">
        <v>221</v>
      </c>
      <c r="E7844" s="3" t="s">
        <v>45</v>
      </c>
      <c r="F7844" s="3" t="s">
        <v>2037</v>
      </c>
      <c r="G7844" s="7">
        <v>46305.291666666664</v>
      </c>
    </row>
    <row r="7845">
      <c r="A7845" s="3" t="s">
        <v>23290</v>
      </c>
      <c r="B7845" s="3" t="s">
        <v>920</v>
      </c>
      <c r="C7845" s="3" t="s">
        <v>1095</v>
      </c>
      <c r="D7845" s="3" t="s">
        <v>206</v>
      </c>
      <c r="E7845" s="3" t="s">
        <v>100</v>
      </c>
      <c r="F7845" s="3" t="s">
        <v>1968</v>
      </c>
      <c r="G7845" s="7">
        <v>46305.31249999999</v>
      </c>
    </row>
    <row r="7846">
      <c r="A7846" s="3" t="s">
        <v>23293</v>
      </c>
      <c r="B7846" s="3" t="s">
        <v>449</v>
      </c>
      <c r="C7846" s="3" t="s">
        <v>1095</v>
      </c>
      <c r="D7846" s="3" t="s">
        <v>221</v>
      </c>
      <c r="E7846" s="3" t="s">
        <v>45</v>
      </c>
      <c r="F7846" s="3" t="s">
        <v>1860</v>
      </c>
      <c r="G7846" s="7">
        <v>46305.333333333336</v>
      </c>
    </row>
    <row r="7847">
      <c r="A7847" s="3" t="s">
        <v>23296</v>
      </c>
      <c r="B7847" s="3" t="s">
        <v>287</v>
      </c>
      <c r="C7847" s="3" t="s">
        <v>56</v>
      </c>
      <c r="D7847" s="3" t="s">
        <v>206</v>
      </c>
      <c r="E7847" s="3" t="s">
        <v>100</v>
      </c>
      <c r="F7847" s="3" t="s">
        <v>45</v>
      </c>
      <c r="G7847" s="7">
        <v>46305.354166666664</v>
      </c>
    </row>
    <row r="7848">
      <c r="A7848" s="3" t="s">
        <v>23298</v>
      </c>
      <c r="B7848" s="3" t="s">
        <v>669</v>
      </c>
      <c r="C7848" s="3" t="s">
        <v>1095</v>
      </c>
      <c r="D7848" s="3" t="s">
        <v>221</v>
      </c>
      <c r="E7848" s="3" t="s">
        <v>45</v>
      </c>
      <c r="F7848" s="3" t="s">
        <v>1114</v>
      </c>
      <c r="G7848" s="7">
        <v>46305.37499999999</v>
      </c>
    </row>
    <row r="7849">
      <c r="A7849" s="3" t="s">
        <v>23300</v>
      </c>
      <c r="B7849" s="3" t="s">
        <v>694</v>
      </c>
      <c r="C7849" s="3" t="s">
        <v>1342</v>
      </c>
      <c r="D7849" s="3" t="s">
        <v>206</v>
      </c>
      <c r="E7849" s="3" t="s">
        <v>100</v>
      </c>
      <c r="F7849" s="3" t="s">
        <v>1712</v>
      </c>
      <c r="G7849" s="7">
        <v>46305.395833333336</v>
      </c>
    </row>
    <row r="7850">
      <c r="A7850" s="3" t="s">
        <v>23302</v>
      </c>
      <c r="B7850" s="3" t="s">
        <v>752</v>
      </c>
      <c r="C7850" s="3" t="s">
        <v>1342</v>
      </c>
      <c r="D7850" s="3" t="s">
        <v>221</v>
      </c>
      <c r="E7850" s="3" t="s">
        <v>45</v>
      </c>
      <c r="F7850" s="3" t="s">
        <v>2059</v>
      </c>
      <c r="G7850" s="7">
        <v>46305.416666666664</v>
      </c>
    </row>
    <row r="7851">
      <c r="A7851" s="3" t="s">
        <v>23304</v>
      </c>
      <c r="B7851" s="3" t="s">
        <v>922</v>
      </c>
      <c r="C7851" s="3" t="s">
        <v>1342</v>
      </c>
      <c r="D7851" s="3" t="s">
        <v>206</v>
      </c>
      <c r="E7851" s="3" t="s">
        <v>100</v>
      </c>
      <c r="F7851" s="3" t="s">
        <v>1609</v>
      </c>
      <c r="G7851" s="7">
        <v>46305.43749999999</v>
      </c>
    </row>
    <row r="7852">
      <c r="A7852" s="3" t="s">
        <v>23306</v>
      </c>
      <c r="B7852" s="3" t="s">
        <v>230</v>
      </c>
      <c r="C7852" s="3" t="s">
        <v>1095</v>
      </c>
      <c r="D7852" s="3" t="s">
        <v>221</v>
      </c>
      <c r="E7852" s="3" t="s">
        <v>45</v>
      </c>
      <c r="F7852" s="3" t="s">
        <v>2041</v>
      </c>
      <c r="G7852" s="7">
        <v>46305.458333333336</v>
      </c>
    </row>
    <row r="7853">
      <c r="A7853" s="3" t="s">
        <v>23309</v>
      </c>
      <c r="B7853" s="3" t="s">
        <v>398</v>
      </c>
      <c r="C7853" s="3" t="s">
        <v>1342</v>
      </c>
      <c r="D7853" s="3" t="s">
        <v>206</v>
      </c>
      <c r="E7853" s="3" t="s">
        <v>100</v>
      </c>
      <c r="F7853" s="3" t="s">
        <v>1857</v>
      </c>
      <c r="G7853" s="7">
        <v>46305.479166666664</v>
      </c>
    </row>
    <row r="7854">
      <c r="A7854" s="3" t="s">
        <v>23311</v>
      </c>
      <c r="B7854" s="3" t="s">
        <v>758</v>
      </c>
      <c r="C7854" s="3" t="s">
        <v>1342</v>
      </c>
      <c r="D7854" s="3" t="s">
        <v>221</v>
      </c>
      <c r="E7854" s="3" t="s">
        <v>45</v>
      </c>
      <c r="F7854" s="3" t="s">
        <v>754</v>
      </c>
      <c r="G7854" s="7">
        <v>46305.49999999999</v>
      </c>
    </row>
    <row r="7855">
      <c r="A7855" s="3" t="s">
        <v>23314</v>
      </c>
      <c r="B7855" s="3" t="s">
        <v>587</v>
      </c>
      <c r="C7855" s="3" t="s">
        <v>56</v>
      </c>
      <c r="D7855" s="3" t="s">
        <v>206</v>
      </c>
      <c r="E7855" s="3" t="s">
        <v>100</v>
      </c>
      <c r="F7855" s="3" t="s">
        <v>45</v>
      </c>
      <c r="G7855" s="7">
        <v>46305.520833333336</v>
      </c>
    </row>
    <row r="7856">
      <c r="A7856" s="3" t="s">
        <v>23317</v>
      </c>
      <c r="B7856" s="3" t="s">
        <v>949</v>
      </c>
      <c r="C7856" s="3" t="s">
        <v>1095</v>
      </c>
      <c r="D7856" s="3" t="s">
        <v>221</v>
      </c>
      <c r="E7856" s="3" t="s">
        <v>45</v>
      </c>
      <c r="F7856" s="3" t="s">
        <v>1921</v>
      </c>
      <c r="G7856" s="7">
        <v>46305.541666666664</v>
      </c>
    </row>
    <row r="7857">
      <c r="A7857" s="3" t="s">
        <v>23319</v>
      </c>
      <c r="B7857" s="3" t="s">
        <v>793</v>
      </c>
      <c r="C7857" s="3" t="s">
        <v>1342</v>
      </c>
      <c r="D7857" s="3" t="s">
        <v>206</v>
      </c>
      <c r="E7857" s="3" t="s">
        <v>100</v>
      </c>
      <c r="F7857" s="3" t="s">
        <v>1983</v>
      </c>
      <c r="G7857" s="7">
        <v>46305.56249999999</v>
      </c>
    </row>
    <row r="7858">
      <c r="A7858" s="3" t="s">
        <v>23321</v>
      </c>
      <c r="B7858" s="3" t="s">
        <v>316</v>
      </c>
      <c r="C7858" s="3" t="s">
        <v>1095</v>
      </c>
      <c r="D7858" s="3" t="s">
        <v>221</v>
      </c>
      <c r="E7858" s="3" t="s">
        <v>45</v>
      </c>
      <c r="F7858" s="3" t="s">
        <v>1790</v>
      </c>
      <c r="G7858" s="7">
        <v>46305.583333333336</v>
      </c>
    </row>
    <row r="7859">
      <c r="A7859" s="3" t="s">
        <v>23323</v>
      </c>
      <c r="B7859" s="3" t="s">
        <v>488</v>
      </c>
      <c r="C7859" s="3" t="s">
        <v>1095</v>
      </c>
      <c r="D7859" s="3" t="s">
        <v>206</v>
      </c>
      <c r="E7859" s="3" t="s">
        <v>100</v>
      </c>
      <c r="F7859" s="3" t="s">
        <v>2088</v>
      </c>
      <c r="G7859" s="7">
        <v>46305.604166666664</v>
      </c>
    </row>
    <row r="7860">
      <c r="A7860" s="3" t="s">
        <v>23325</v>
      </c>
      <c r="B7860" s="3" t="s">
        <v>746</v>
      </c>
      <c r="C7860" s="3" t="s">
        <v>1342</v>
      </c>
      <c r="D7860" s="3" t="s">
        <v>221</v>
      </c>
      <c r="E7860" s="3" t="s">
        <v>45</v>
      </c>
      <c r="F7860" s="3" t="s">
        <v>741</v>
      </c>
      <c r="G7860" s="7">
        <v>46305.62499999999</v>
      </c>
    </row>
    <row r="7861">
      <c r="A7861" s="3" t="s">
        <v>23327</v>
      </c>
      <c r="B7861" s="3" t="s">
        <v>366</v>
      </c>
      <c r="C7861" s="3" t="s">
        <v>1095</v>
      </c>
      <c r="D7861" s="3" t="s">
        <v>206</v>
      </c>
      <c r="E7861" s="3" t="s">
        <v>100</v>
      </c>
      <c r="F7861" s="3" t="s">
        <v>2028</v>
      </c>
      <c r="G7861" s="7">
        <v>46305.645833333336</v>
      </c>
    </row>
    <row r="7862">
      <c r="A7862" s="3" t="s">
        <v>23329</v>
      </c>
      <c r="B7862" s="3" t="s">
        <v>156</v>
      </c>
      <c r="C7862" s="3" t="s">
        <v>1095</v>
      </c>
      <c r="D7862" s="3" t="s">
        <v>221</v>
      </c>
      <c r="E7862" s="3" t="s">
        <v>45</v>
      </c>
      <c r="F7862" s="3" t="s">
        <v>470</v>
      </c>
      <c r="G7862" s="7">
        <v>46305.666666666664</v>
      </c>
    </row>
    <row r="7863">
      <c r="A7863" s="3" t="s">
        <v>23331</v>
      </c>
      <c r="B7863" s="3" t="s">
        <v>939</v>
      </c>
      <c r="C7863" s="3" t="s">
        <v>1342</v>
      </c>
      <c r="D7863" s="3" t="s">
        <v>206</v>
      </c>
      <c r="E7863" s="3" t="s">
        <v>100</v>
      </c>
      <c r="F7863" s="3" t="s">
        <v>1738</v>
      </c>
      <c r="G7863" s="7">
        <v>46305.68749999999</v>
      </c>
    </row>
    <row r="7864">
      <c r="A7864" s="3" t="s">
        <v>23333</v>
      </c>
      <c r="B7864" s="3" t="s">
        <v>746</v>
      </c>
      <c r="C7864" s="3" t="s">
        <v>1095</v>
      </c>
      <c r="D7864" s="3" t="s">
        <v>221</v>
      </c>
      <c r="E7864" s="3" t="s">
        <v>45</v>
      </c>
      <c r="F7864" s="3" t="s">
        <v>741</v>
      </c>
      <c r="G7864" s="7">
        <v>46305.708333333336</v>
      </c>
    </row>
    <row r="7865">
      <c r="A7865" s="3" t="s">
        <v>23335</v>
      </c>
      <c r="B7865" s="3" t="s">
        <v>330</v>
      </c>
      <c r="C7865" s="3" t="s">
        <v>1342</v>
      </c>
      <c r="D7865" s="3" t="s">
        <v>206</v>
      </c>
      <c r="E7865" s="3" t="s">
        <v>100</v>
      </c>
      <c r="F7865" s="3" t="s">
        <v>504</v>
      </c>
      <c r="G7865" s="7">
        <v>46305.729166666664</v>
      </c>
    </row>
    <row r="7866">
      <c r="A7866" s="3" t="s">
        <v>23337</v>
      </c>
      <c r="B7866" s="3" t="s">
        <v>442</v>
      </c>
      <c r="C7866" s="3" t="s">
        <v>56</v>
      </c>
      <c r="D7866" s="3" t="s">
        <v>221</v>
      </c>
      <c r="E7866" s="3" t="s">
        <v>45</v>
      </c>
      <c r="F7866" s="3" t="s">
        <v>45</v>
      </c>
      <c r="G7866" s="7">
        <v>46305.74999999999</v>
      </c>
    </row>
    <row r="7867">
      <c r="A7867" s="3" t="s">
        <v>23339</v>
      </c>
      <c r="B7867" s="3" t="s">
        <v>870</v>
      </c>
      <c r="C7867" s="3" t="s">
        <v>1342</v>
      </c>
      <c r="D7867" s="3" t="s">
        <v>206</v>
      </c>
      <c r="E7867" s="3" t="s">
        <v>100</v>
      </c>
      <c r="F7867" s="3" t="s">
        <v>1892</v>
      </c>
      <c r="G7867" s="7">
        <v>46305.770833333336</v>
      </c>
    </row>
    <row r="7868">
      <c r="A7868" s="3" t="s">
        <v>23342</v>
      </c>
      <c r="B7868" s="3" t="s">
        <v>961</v>
      </c>
      <c r="C7868" s="3" t="s">
        <v>1095</v>
      </c>
      <c r="D7868" s="3" t="s">
        <v>221</v>
      </c>
      <c r="E7868" s="3" t="s">
        <v>45</v>
      </c>
      <c r="F7868" s="3" t="s">
        <v>2120</v>
      </c>
      <c r="G7868" s="7">
        <v>46305.791666666664</v>
      </c>
    </row>
    <row r="7869">
      <c r="A7869" s="3" t="s">
        <v>23345</v>
      </c>
      <c r="B7869" s="3" t="s">
        <v>727</v>
      </c>
      <c r="C7869" s="3" t="s">
        <v>1095</v>
      </c>
      <c r="D7869" s="3" t="s">
        <v>206</v>
      </c>
      <c r="E7869" s="3" t="s">
        <v>100</v>
      </c>
      <c r="F7869" s="3" t="s">
        <v>1462</v>
      </c>
      <c r="G7869" s="7">
        <v>46305.81249999999</v>
      </c>
    </row>
    <row r="7870">
      <c r="A7870" s="3" t="s">
        <v>23349</v>
      </c>
      <c r="B7870" s="3" t="s">
        <v>236</v>
      </c>
      <c r="C7870" s="3" t="s">
        <v>1342</v>
      </c>
      <c r="D7870" s="3" t="s">
        <v>221</v>
      </c>
      <c r="E7870" s="3" t="s">
        <v>45</v>
      </c>
      <c r="F7870" s="3" t="s">
        <v>1820</v>
      </c>
      <c r="G7870" s="7">
        <v>46305.833333333336</v>
      </c>
    </row>
    <row r="7871">
      <c r="A7871" s="3" t="s">
        <v>23352</v>
      </c>
      <c r="B7871" s="3" t="s">
        <v>123</v>
      </c>
      <c r="C7871" s="3" t="s">
        <v>1095</v>
      </c>
      <c r="D7871" s="3" t="s">
        <v>206</v>
      </c>
      <c r="E7871" s="3" t="s">
        <v>100</v>
      </c>
      <c r="F7871" s="3" t="s">
        <v>2115</v>
      </c>
      <c r="G7871" s="7">
        <v>46305.854166666664</v>
      </c>
    </row>
    <row r="7872">
      <c r="A7872" s="3" t="s">
        <v>23354</v>
      </c>
      <c r="B7872" s="3" t="s">
        <v>793</v>
      </c>
      <c r="C7872" s="3" t="s">
        <v>1095</v>
      </c>
      <c r="D7872" s="3" t="s">
        <v>221</v>
      </c>
      <c r="E7872" s="3" t="s">
        <v>45</v>
      </c>
      <c r="F7872" s="3" t="s">
        <v>1983</v>
      </c>
      <c r="G7872" s="7">
        <v>46305.87499999999</v>
      </c>
    </row>
    <row r="7873">
      <c r="A7873" s="3" t="s">
        <v>23356</v>
      </c>
      <c r="B7873" s="3" t="s">
        <v>475</v>
      </c>
      <c r="C7873" s="3" t="s">
        <v>56</v>
      </c>
      <c r="D7873" s="3" t="s">
        <v>206</v>
      </c>
      <c r="E7873" s="3" t="s">
        <v>100</v>
      </c>
      <c r="F7873" s="3" t="s">
        <v>45</v>
      </c>
      <c r="G7873" s="7">
        <v>46305.895833333336</v>
      </c>
    </row>
    <row r="7874">
      <c r="A7874" s="3" t="s">
        <v>23358</v>
      </c>
      <c r="B7874" s="3" t="s">
        <v>631</v>
      </c>
      <c r="C7874" s="3" t="s">
        <v>1342</v>
      </c>
      <c r="D7874" s="3" t="s">
        <v>221</v>
      </c>
      <c r="E7874" s="3" t="s">
        <v>45</v>
      </c>
      <c r="F7874" s="3" t="s">
        <v>626</v>
      </c>
      <c r="G7874" s="7">
        <v>46305.916666666664</v>
      </c>
    </row>
    <row r="7875">
      <c r="A7875" s="3" t="s">
        <v>23360</v>
      </c>
      <c r="B7875" s="3" t="s">
        <v>561</v>
      </c>
      <c r="C7875" s="3" t="s">
        <v>1342</v>
      </c>
      <c r="D7875" s="3" t="s">
        <v>206</v>
      </c>
      <c r="E7875" s="3" t="s">
        <v>100</v>
      </c>
      <c r="F7875" s="3" t="s">
        <v>688</v>
      </c>
      <c r="G7875" s="7">
        <v>46305.93749999999</v>
      </c>
    </row>
    <row r="7876">
      <c r="A7876" s="3" t="s">
        <v>23362</v>
      </c>
      <c r="B7876" s="3" t="s">
        <v>694</v>
      </c>
      <c r="C7876" s="3" t="s">
        <v>1095</v>
      </c>
      <c r="D7876" s="3" t="s">
        <v>221</v>
      </c>
      <c r="E7876" s="3" t="s">
        <v>45</v>
      </c>
      <c r="F7876" s="3" t="s">
        <v>1712</v>
      </c>
      <c r="G7876" s="7">
        <v>46305.958333333336</v>
      </c>
    </row>
    <row r="7877">
      <c r="A7877" s="3" t="s">
        <v>23364</v>
      </c>
      <c r="B7877" s="3" t="s">
        <v>491</v>
      </c>
      <c r="C7877" s="3" t="s">
        <v>56</v>
      </c>
      <c r="D7877" s="3" t="s">
        <v>206</v>
      </c>
      <c r="E7877" s="3" t="s">
        <v>100</v>
      </c>
      <c r="F7877" s="3" t="s">
        <v>45</v>
      </c>
      <c r="G7877" s="7">
        <v>46305.979166666664</v>
      </c>
    </row>
    <row r="7878">
      <c r="A7878" s="3" t="s">
        <v>23366</v>
      </c>
      <c r="B7878" s="3" t="s">
        <v>609</v>
      </c>
      <c r="C7878" s="3" t="s">
        <v>1342</v>
      </c>
      <c r="D7878" s="3" t="s">
        <v>221</v>
      </c>
      <c r="E7878" s="3" t="s">
        <v>45</v>
      </c>
      <c r="F7878" s="3" t="s">
        <v>1570</v>
      </c>
      <c r="G7878" s="7">
        <v>46305.99999999999</v>
      </c>
    </row>
    <row r="7879">
      <c r="A7879" s="3" t="s">
        <v>23368</v>
      </c>
      <c r="B7879" s="3" t="s">
        <v>612</v>
      </c>
      <c r="C7879" s="3" t="s">
        <v>56</v>
      </c>
      <c r="D7879" s="3" t="s">
        <v>206</v>
      </c>
      <c r="E7879" s="3" t="s">
        <v>100</v>
      </c>
      <c r="F7879" s="3" t="s">
        <v>45</v>
      </c>
      <c r="G7879" s="7">
        <v>46306.020833333336</v>
      </c>
    </row>
    <row r="7880">
      <c r="A7880" s="3" t="s">
        <v>23370</v>
      </c>
      <c r="B7880" s="3" t="s">
        <v>383</v>
      </c>
      <c r="C7880" s="3" t="s">
        <v>1342</v>
      </c>
      <c r="D7880" s="3" t="s">
        <v>221</v>
      </c>
      <c r="E7880" s="3" t="s">
        <v>45</v>
      </c>
      <c r="F7880" s="3" t="s">
        <v>1776</v>
      </c>
      <c r="G7880" s="7">
        <v>46306.041666666664</v>
      </c>
    </row>
    <row r="7881">
      <c r="A7881" s="3" t="s">
        <v>23372</v>
      </c>
      <c r="B7881" s="3" t="s">
        <v>669</v>
      </c>
      <c r="C7881" s="3" t="s">
        <v>1342</v>
      </c>
      <c r="D7881" s="3" t="s">
        <v>206</v>
      </c>
      <c r="E7881" s="3" t="s">
        <v>100</v>
      </c>
      <c r="F7881" s="3" t="s">
        <v>1114</v>
      </c>
      <c r="G7881" s="7">
        <v>46306.06249999999</v>
      </c>
    </row>
    <row r="7882">
      <c r="A7882" s="3" t="s">
        <v>23374</v>
      </c>
      <c r="B7882" s="3" t="s">
        <v>455</v>
      </c>
      <c r="C7882" s="3" t="s">
        <v>1095</v>
      </c>
      <c r="D7882" s="3" t="s">
        <v>221</v>
      </c>
      <c r="E7882" s="3" t="s">
        <v>45</v>
      </c>
      <c r="F7882" s="3" t="s">
        <v>1923</v>
      </c>
      <c r="G7882" s="7">
        <v>46306.083333333336</v>
      </c>
    </row>
    <row r="7883">
      <c r="A7883" s="3" t="s">
        <v>23376</v>
      </c>
      <c r="B7883" s="3" t="s">
        <v>544</v>
      </c>
      <c r="C7883" s="3" t="s">
        <v>1342</v>
      </c>
      <c r="D7883" s="3" t="s">
        <v>206</v>
      </c>
      <c r="E7883" s="3" t="s">
        <v>100</v>
      </c>
      <c r="F7883" s="3" t="s">
        <v>1378</v>
      </c>
      <c r="G7883" s="7">
        <v>46306.104166666664</v>
      </c>
    </row>
    <row r="7884">
      <c r="A7884" s="3" t="s">
        <v>23378</v>
      </c>
      <c r="B7884" s="3" t="s">
        <v>911</v>
      </c>
      <c r="C7884" s="3" t="s">
        <v>1095</v>
      </c>
      <c r="D7884" s="3" t="s">
        <v>221</v>
      </c>
      <c r="E7884" s="3" t="s">
        <v>45</v>
      </c>
      <c r="F7884" s="3" t="s">
        <v>1048</v>
      </c>
      <c r="G7884" s="7">
        <v>46306.12499999999</v>
      </c>
    </row>
    <row r="7885">
      <c r="A7885" s="3" t="s">
        <v>23381</v>
      </c>
      <c r="B7885" s="3" t="s">
        <v>751</v>
      </c>
      <c r="C7885" s="3" t="s">
        <v>1095</v>
      </c>
      <c r="D7885" s="3" t="s">
        <v>206</v>
      </c>
      <c r="E7885" s="3" t="s">
        <v>100</v>
      </c>
      <c r="F7885" s="3" t="s">
        <v>749</v>
      </c>
      <c r="G7885" s="7">
        <v>46306.145833333336</v>
      </c>
    </row>
    <row r="7886">
      <c r="A7886" s="3" t="s">
        <v>23383</v>
      </c>
      <c r="B7886" s="3" t="s">
        <v>643</v>
      </c>
      <c r="C7886" s="3" t="s">
        <v>1342</v>
      </c>
      <c r="D7886" s="3" t="s">
        <v>221</v>
      </c>
      <c r="E7886" s="3" t="s">
        <v>45</v>
      </c>
      <c r="F7886" s="3" t="s">
        <v>1671</v>
      </c>
      <c r="G7886" s="7">
        <v>46306.166666666664</v>
      </c>
    </row>
    <row r="7887">
      <c r="A7887" s="3" t="s">
        <v>23384</v>
      </c>
      <c r="B7887" s="3" t="s">
        <v>521</v>
      </c>
      <c r="C7887" s="3" t="s">
        <v>1095</v>
      </c>
      <c r="D7887" s="3" t="s">
        <v>206</v>
      </c>
      <c r="E7887" s="3" t="s">
        <v>100</v>
      </c>
      <c r="F7887" s="3" t="s">
        <v>1651</v>
      </c>
      <c r="G7887" s="7">
        <v>46306.18749999999</v>
      </c>
    </row>
    <row r="7888">
      <c r="A7888" s="3" t="s">
        <v>23385</v>
      </c>
      <c r="B7888" s="3" t="s">
        <v>819</v>
      </c>
      <c r="C7888" s="3" t="s">
        <v>1095</v>
      </c>
      <c r="D7888" s="3" t="s">
        <v>221</v>
      </c>
      <c r="E7888" s="3" t="s">
        <v>45</v>
      </c>
      <c r="F7888" s="3" t="s">
        <v>1548</v>
      </c>
      <c r="G7888" s="7">
        <v>46306.208333333336</v>
      </c>
    </row>
    <row r="7889">
      <c r="A7889" s="3" t="s">
        <v>23387</v>
      </c>
      <c r="B7889" s="3" t="s">
        <v>886</v>
      </c>
      <c r="C7889" s="3" t="s">
        <v>1342</v>
      </c>
      <c r="D7889" s="3" t="s">
        <v>206</v>
      </c>
      <c r="E7889" s="3" t="s">
        <v>100</v>
      </c>
      <c r="F7889" s="3" t="s">
        <v>1726</v>
      </c>
      <c r="G7889" s="7">
        <v>46306.229166666664</v>
      </c>
    </row>
    <row r="7890">
      <c r="A7890" s="3" t="s">
        <v>23389</v>
      </c>
      <c r="B7890" s="3" t="s">
        <v>895</v>
      </c>
      <c r="C7890" s="3" t="s">
        <v>1342</v>
      </c>
      <c r="D7890" s="3" t="s">
        <v>221</v>
      </c>
      <c r="E7890" s="3" t="s">
        <v>45</v>
      </c>
      <c r="F7890" s="3" t="s">
        <v>1092</v>
      </c>
      <c r="G7890" s="7">
        <v>46306.24999999999</v>
      </c>
    </row>
    <row r="7891">
      <c r="A7891" s="3" t="s">
        <v>23391</v>
      </c>
      <c r="B7891" s="3" t="s">
        <v>796</v>
      </c>
      <c r="C7891" s="3" t="s">
        <v>1342</v>
      </c>
      <c r="D7891" s="3" t="s">
        <v>206</v>
      </c>
      <c r="E7891" s="3" t="s">
        <v>100</v>
      </c>
      <c r="F7891" s="3" t="s">
        <v>1779</v>
      </c>
      <c r="G7891" s="7">
        <v>46306.270833333336</v>
      </c>
    </row>
    <row r="7892">
      <c r="A7892" s="3" t="s">
        <v>23393</v>
      </c>
      <c r="B7892" s="3" t="s">
        <v>377</v>
      </c>
      <c r="C7892" s="3" t="s">
        <v>1342</v>
      </c>
      <c r="D7892" s="3" t="s">
        <v>221</v>
      </c>
      <c r="E7892" s="3" t="s">
        <v>45</v>
      </c>
      <c r="F7892" s="3" t="s">
        <v>2111</v>
      </c>
      <c r="G7892" s="7">
        <v>46306.291666666664</v>
      </c>
    </row>
    <row r="7893">
      <c r="A7893" s="3" t="s">
        <v>23397</v>
      </c>
      <c r="B7893" s="3" t="s">
        <v>713</v>
      </c>
      <c r="C7893" s="3" t="s">
        <v>1095</v>
      </c>
      <c r="D7893" s="3" t="s">
        <v>206</v>
      </c>
      <c r="E7893" s="3" t="s">
        <v>100</v>
      </c>
      <c r="F7893" s="3" t="s">
        <v>721</v>
      </c>
      <c r="G7893" s="7">
        <v>46306.31249999999</v>
      </c>
    </row>
    <row r="7894">
      <c r="A7894" s="3" t="s">
        <v>23400</v>
      </c>
      <c r="B7894" s="3" t="s">
        <v>391</v>
      </c>
      <c r="C7894" s="3" t="s">
        <v>1095</v>
      </c>
      <c r="D7894" s="3" t="s">
        <v>221</v>
      </c>
      <c r="E7894" s="3" t="s">
        <v>45</v>
      </c>
      <c r="F7894" s="3" t="s">
        <v>2077</v>
      </c>
      <c r="G7894" s="7">
        <v>46306.333333333336</v>
      </c>
    </row>
    <row r="7895">
      <c r="A7895" s="3" t="s">
        <v>23404</v>
      </c>
      <c r="B7895" s="3" t="s">
        <v>391</v>
      </c>
      <c r="C7895" s="3" t="s">
        <v>1342</v>
      </c>
      <c r="D7895" s="3" t="s">
        <v>206</v>
      </c>
      <c r="E7895" s="3" t="s">
        <v>100</v>
      </c>
      <c r="F7895" s="3" t="s">
        <v>2077</v>
      </c>
      <c r="G7895" s="7">
        <v>46306.354166666664</v>
      </c>
    </row>
    <row r="7896">
      <c r="A7896" s="3" t="s">
        <v>23406</v>
      </c>
      <c r="B7896" s="3" t="s">
        <v>165</v>
      </c>
      <c r="C7896" s="3" t="s">
        <v>1342</v>
      </c>
      <c r="D7896" s="3" t="s">
        <v>221</v>
      </c>
      <c r="E7896" s="3" t="s">
        <v>45</v>
      </c>
      <c r="F7896" s="3" t="s">
        <v>659</v>
      </c>
      <c r="G7896" s="7">
        <v>46306.37499999999</v>
      </c>
    </row>
    <row r="7897">
      <c r="A7897" s="3" t="s">
        <v>23408</v>
      </c>
      <c r="B7897" s="3" t="s">
        <v>523</v>
      </c>
      <c r="C7897" s="3" t="s">
        <v>1095</v>
      </c>
      <c r="D7897" s="3" t="s">
        <v>206</v>
      </c>
      <c r="E7897" s="3" t="s">
        <v>100</v>
      </c>
      <c r="F7897" s="3" t="s">
        <v>518</v>
      </c>
      <c r="G7897" s="7">
        <v>46306.395833333336</v>
      </c>
    </row>
    <row r="7898">
      <c r="A7898" s="3" t="s">
        <v>23410</v>
      </c>
      <c r="B7898" s="3" t="s">
        <v>763</v>
      </c>
      <c r="C7898" s="3" t="s">
        <v>56</v>
      </c>
      <c r="D7898" s="3" t="s">
        <v>221</v>
      </c>
      <c r="E7898" s="3" t="s">
        <v>45</v>
      </c>
      <c r="F7898" s="3" t="s">
        <v>45</v>
      </c>
      <c r="G7898" s="7">
        <v>46306.416666666664</v>
      </c>
    </row>
    <row r="7899">
      <c r="A7899" s="3" t="s">
        <v>23412</v>
      </c>
      <c r="B7899" s="3" t="s">
        <v>627</v>
      </c>
      <c r="C7899" s="3" t="s">
        <v>1095</v>
      </c>
      <c r="D7899" s="3" t="s">
        <v>206</v>
      </c>
      <c r="E7899" s="3" t="s">
        <v>100</v>
      </c>
      <c r="F7899" s="3" t="s">
        <v>1557</v>
      </c>
      <c r="G7899" s="7">
        <v>46306.43749999999</v>
      </c>
    </row>
    <row r="7900">
      <c r="A7900" s="3" t="s">
        <v>23414</v>
      </c>
      <c r="B7900" s="3" t="s">
        <v>369</v>
      </c>
      <c r="C7900" s="3" t="s">
        <v>1342</v>
      </c>
      <c r="D7900" s="3" t="s">
        <v>221</v>
      </c>
      <c r="E7900" s="3" t="s">
        <v>45</v>
      </c>
      <c r="F7900" s="3" t="s">
        <v>1929</v>
      </c>
      <c r="G7900" s="7">
        <v>46306.458333333336</v>
      </c>
    </row>
    <row r="7901">
      <c r="A7901" s="3" t="s">
        <v>23416</v>
      </c>
      <c r="B7901" s="3" t="s">
        <v>1040</v>
      </c>
      <c r="C7901" s="3" t="s">
        <v>1342</v>
      </c>
      <c r="D7901" s="3" t="s">
        <v>206</v>
      </c>
      <c r="E7901" s="3" t="s">
        <v>100</v>
      </c>
      <c r="F7901" s="3" t="s">
        <v>1951</v>
      </c>
      <c r="G7901" s="7">
        <v>46306.479166666664</v>
      </c>
    </row>
    <row r="7902">
      <c r="A7902" s="3" t="s">
        <v>23418</v>
      </c>
      <c r="B7902" s="3" t="s">
        <v>388</v>
      </c>
      <c r="C7902" s="3" t="s">
        <v>1095</v>
      </c>
      <c r="D7902" s="3" t="s">
        <v>221</v>
      </c>
      <c r="E7902" s="3" t="s">
        <v>45</v>
      </c>
      <c r="F7902" s="3" t="s">
        <v>1232</v>
      </c>
      <c r="G7902" s="7">
        <v>46306.49999999999</v>
      </c>
    </row>
    <row r="7903">
      <c r="A7903" s="3" t="s">
        <v>23420</v>
      </c>
      <c r="B7903" s="3" t="s">
        <v>689</v>
      </c>
      <c r="C7903" s="3" t="s">
        <v>1095</v>
      </c>
      <c r="D7903" s="3" t="s">
        <v>206</v>
      </c>
      <c r="E7903" s="3" t="s">
        <v>100</v>
      </c>
      <c r="F7903" s="3" t="s">
        <v>1661</v>
      </c>
      <c r="G7903" s="7">
        <v>46306.520833333336</v>
      </c>
    </row>
    <row r="7904">
      <c r="A7904" s="3" t="s">
        <v>23423</v>
      </c>
      <c r="B7904" s="3" t="s">
        <v>796</v>
      </c>
      <c r="C7904" s="3" t="s">
        <v>1342</v>
      </c>
      <c r="D7904" s="3" t="s">
        <v>221</v>
      </c>
      <c r="E7904" s="3" t="s">
        <v>45</v>
      </c>
      <c r="F7904" s="3" t="s">
        <v>1779</v>
      </c>
      <c r="G7904" s="7">
        <v>46306.541666666664</v>
      </c>
    </row>
    <row r="7905">
      <c r="A7905" s="3" t="s">
        <v>23426</v>
      </c>
      <c r="B7905" s="3" t="s">
        <v>539</v>
      </c>
      <c r="C7905" s="3" t="s">
        <v>1095</v>
      </c>
      <c r="D7905" s="3" t="s">
        <v>206</v>
      </c>
      <c r="E7905" s="3" t="s">
        <v>100</v>
      </c>
      <c r="F7905" s="3" t="s">
        <v>1346</v>
      </c>
      <c r="G7905" s="7">
        <v>46306.56249999999</v>
      </c>
    </row>
    <row r="7906">
      <c r="A7906" s="3" t="s">
        <v>23428</v>
      </c>
      <c r="B7906" s="3" t="s">
        <v>584</v>
      </c>
      <c r="C7906" s="3" t="s">
        <v>1342</v>
      </c>
      <c r="D7906" s="3" t="s">
        <v>221</v>
      </c>
      <c r="E7906" s="3" t="s">
        <v>45</v>
      </c>
      <c r="F7906" s="3" t="s">
        <v>1460</v>
      </c>
      <c r="G7906" s="7">
        <v>46306.583333333336</v>
      </c>
    </row>
    <row r="7907">
      <c r="A7907" s="3" t="s">
        <v>23431</v>
      </c>
      <c r="B7907" s="3" t="s">
        <v>816</v>
      </c>
      <c r="C7907" s="3" t="s">
        <v>56</v>
      </c>
      <c r="D7907" s="3" t="s">
        <v>206</v>
      </c>
      <c r="E7907" s="3" t="s">
        <v>100</v>
      </c>
      <c r="F7907" s="3" t="s">
        <v>45</v>
      </c>
      <c r="G7907" s="7">
        <v>46306.604166666664</v>
      </c>
    </row>
    <row r="7908">
      <c r="A7908" s="3" t="s">
        <v>23433</v>
      </c>
      <c r="B7908" s="3" t="s">
        <v>805</v>
      </c>
      <c r="C7908" s="3" t="s">
        <v>56</v>
      </c>
      <c r="D7908" s="3" t="s">
        <v>221</v>
      </c>
      <c r="E7908" s="3" t="s">
        <v>45</v>
      </c>
      <c r="F7908" s="3" t="s">
        <v>45</v>
      </c>
      <c r="G7908" s="7">
        <v>46306.62499999999</v>
      </c>
    </row>
    <row r="7909">
      <c r="A7909" s="3" t="s">
        <v>23435</v>
      </c>
      <c r="B7909" s="3" t="s">
        <v>1037</v>
      </c>
      <c r="C7909" s="3" t="s">
        <v>1342</v>
      </c>
      <c r="D7909" s="3" t="s">
        <v>206</v>
      </c>
      <c r="E7909" s="3" t="s">
        <v>100</v>
      </c>
      <c r="F7909" s="3" t="s">
        <v>1472</v>
      </c>
      <c r="G7909" s="7">
        <v>46306.645833333336</v>
      </c>
    </row>
    <row r="7910">
      <c r="A7910" s="3" t="s">
        <v>23437</v>
      </c>
      <c r="B7910" s="3" t="s">
        <v>591</v>
      </c>
      <c r="C7910" s="3" t="s">
        <v>1342</v>
      </c>
      <c r="D7910" s="3" t="s">
        <v>221</v>
      </c>
      <c r="E7910" s="3" t="s">
        <v>45</v>
      </c>
      <c r="F7910" s="3" t="s">
        <v>1495</v>
      </c>
      <c r="G7910" s="7">
        <v>46306.666666666664</v>
      </c>
    </row>
    <row r="7911">
      <c r="A7911" s="3" t="s">
        <v>23439</v>
      </c>
      <c r="B7911" s="3" t="s">
        <v>263</v>
      </c>
      <c r="C7911" s="3" t="s">
        <v>1342</v>
      </c>
      <c r="D7911" s="3" t="s">
        <v>206</v>
      </c>
      <c r="E7911" s="3" t="s">
        <v>100</v>
      </c>
      <c r="F7911" s="3" t="s">
        <v>1389</v>
      </c>
      <c r="G7911" s="7">
        <v>46306.68749999999</v>
      </c>
    </row>
    <row r="7912">
      <c r="A7912" s="3" t="s">
        <v>23441</v>
      </c>
      <c r="B7912" s="3" t="s">
        <v>826</v>
      </c>
      <c r="C7912" s="3" t="s">
        <v>1342</v>
      </c>
      <c r="D7912" s="3" t="s">
        <v>221</v>
      </c>
      <c r="E7912" s="3" t="s">
        <v>45</v>
      </c>
      <c r="F7912" s="3" t="s">
        <v>1521</v>
      </c>
      <c r="G7912" s="7">
        <v>46306.708333333336</v>
      </c>
    </row>
    <row r="7913">
      <c r="A7913" s="3" t="s">
        <v>23443</v>
      </c>
      <c r="B7913" s="3" t="s">
        <v>186</v>
      </c>
      <c r="C7913" s="3" t="s">
        <v>1095</v>
      </c>
      <c r="D7913" s="3" t="s">
        <v>206</v>
      </c>
      <c r="E7913" s="3" t="s">
        <v>100</v>
      </c>
      <c r="F7913" s="3" t="s">
        <v>1958</v>
      </c>
      <c r="G7913" s="7">
        <v>46306.729166666664</v>
      </c>
    </row>
    <row r="7914">
      <c r="A7914" s="3" t="s">
        <v>23445</v>
      </c>
      <c r="B7914" s="3" t="s">
        <v>627</v>
      </c>
      <c r="C7914" s="3" t="s">
        <v>1095</v>
      </c>
      <c r="D7914" s="3" t="s">
        <v>221</v>
      </c>
      <c r="E7914" s="3" t="s">
        <v>45</v>
      </c>
      <c r="F7914" s="3" t="s">
        <v>1557</v>
      </c>
      <c r="G7914" s="7">
        <v>46306.74999999999</v>
      </c>
    </row>
    <row r="7915">
      <c r="A7915" s="3" t="s">
        <v>23447</v>
      </c>
      <c r="B7915" s="3" t="s">
        <v>186</v>
      </c>
      <c r="C7915" s="3" t="s">
        <v>1342</v>
      </c>
      <c r="D7915" s="3" t="s">
        <v>206</v>
      </c>
      <c r="E7915" s="3" t="s">
        <v>100</v>
      </c>
      <c r="F7915" s="3" t="s">
        <v>1958</v>
      </c>
      <c r="G7915" s="7">
        <v>46306.770833333336</v>
      </c>
    </row>
    <row r="7916">
      <c r="A7916" s="3" t="s">
        <v>23449</v>
      </c>
      <c r="B7916" s="3" t="s">
        <v>734</v>
      </c>
      <c r="C7916" s="3" t="s">
        <v>1342</v>
      </c>
      <c r="D7916" s="3" t="s">
        <v>221</v>
      </c>
      <c r="E7916" s="3" t="s">
        <v>45</v>
      </c>
      <c r="F7916" s="3" t="s">
        <v>728</v>
      </c>
      <c r="G7916" s="7">
        <v>46306.791666666664</v>
      </c>
    </row>
    <row r="7917">
      <c r="A7917" s="3" t="s">
        <v>23452</v>
      </c>
      <c r="B7917" s="3" t="s">
        <v>510</v>
      </c>
      <c r="C7917" s="3" t="s">
        <v>1342</v>
      </c>
      <c r="D7917" s="3" t="s">
        <v>206</v>
      </c>
      <c r="E7917" s="3" t="s">
        <v>100</v>
      </c>
      <c r="F7917" s="3" t="s">
        <v>1503</v>
      </c>
      <c r="G7917" s="7">
        <v>46306.81249999999</v>
      </c>
    </row>
    <row r="7918">
      <c r="A7918" s="3" t="s">
        <v>23455</v>
      </c>
      <c r="B7918" s="3" t="s">
        <v>186</v>
      </c>
      <c r="C7918" s="3" t="s">
        <v>1342</v>
      </c>
      <c r="D7918" s="3" t="s">
        <v>221</v>
      </c>
      <c r="E7918" s="3" t="s">
        <v>45</v>
      </c>
      <c r="F7918" s="3" t="s">
        <v>1958</v>
      </c>
      <c r="G7918" s="7">
        <v>46306.833333333336</v>
      </c>
    </row>
    <row r="7919">
      <c r="A7919" s="3" t="s">
        <v>23458</v>
      </c>
      <c r="B7919" s="3" t="s">
        <v>316</v>
      </c>
      <c r="C7919" s="3" t="s">
        <v>1095</v>
      </c>
      <c r="D7919" s="3" t="s">
        <v>206</v>
      </c>
      <c r="E7919" s="3" t="s">
        <v>100</v>
      </c>
      <c r="F7919" s="3" t="s">
        <v>1790</v>
      </c>
      <c r="G7919" s="7">
        <v>46306.854166666664</v>
      </c>
    </row>
    <row r="7920">
      <c r="A7920" s="3" t="s">
        <v>23461</v>
      </c>
      <c r="B7920" s="3" t="s">
        <v>472</v>
      </c>
      <c r="C7920" s="3" t="s">
        <v>56</v>
      </c>
      <c r="D7920" s="3" t="s">
        <v>221</v>
      </c>
      <c r="E7920" s="3" t="s">
        <v>45</v>
      </c>
      <c r="F7920" s="3" t="s">
        <v>45</v>
      </c>
      <c r="G7920" s="7">
        <v>46306.87499999999</v>
      </c>
    </row>
    <row r="7921">
      <c r="A7921" s="3" t="s">
        <v>23463</v>
      </c>
      <c r="B7921" s="3" t="s">
        <v>819</v>
      </c>
      <c r="C7921" s="3" t="s">
        <v>1342</v>
      </c>
      <c r="D7921" s="3" t="s">
        <v>206</v>
      </c>
      <c r="E7921" s="3" t="s">
        <v>100</v>
      </c>
      <c r="F7921" s="3" t="s">
        <v>1548</v>
      </c>
      <c r="G7921" s="7">
        <v>46306.895833333336</v>
      </c>
    </row>
    <row r="7922">
      <c r="A7922" s="3" t="s">
        <v>23464</v>
      </c>
      <c r="B7922" s="3" t="s">
        <v>789</v>
      </c>
      <c r="C7922" s="3" t="s">
        <v>1342</v>
      </c>
      <c r="D7922" s="3" t="s">
        <v>221</v>
      </c>
      <c r="E7922" s="3" t="s">
        <v>45</v>
      </c>
      <c r="F7922" s="3" t="s">
        <v>1911</v>
      </c>
      <c r="G7922" s="7">
        <v>46306.916666666664</v>
      </c>
    </row>
    <row r="7923">
      <c r="A7923" s="3" t="s">
        <v>23466</v>
      </c>
      <c r="B7923" s="3" t="s">
        <v>550</v>
      </c>
      <c r="C7923" s="3" t="s">
        <v>56</v>
      </c>
      <c r="D7923" s="3" t="s">
        <v>206</v>
      </c>
      <c r="E7923" s="3" t="s">
        <v>100</v>
      </c>
      <c r="F7923" s="3" t="s">
        <v>45</v>
      </c>
      <c r="G7923" s="7">
        <v>46306.93749999999</v>
      </c>
    </row>
    <row r="7924">
      <c r="A7924" s="3" t="s">
        <v>23468</v>
      </c>
      <c r="B7924" s="3" t="s">
        <v>363</v>
      </c>
      <c r="C7924" s="3" t="s">
        <v>56</v>
      </c>
      <c r="D7924" s="3" t="s">
        <v>221</v>
      </c>
      <c r="E7924" s="3" t="s">
        <v>45</v>
      </c>
      <c r="F7924" s="3" t="s">
        <v>45</v>
      </c>
      <c r="G7924" s="7">
        <v>46306.958333333336</v>
      </c>
    </row>
    <row r="7925">
      <c r="A7925" s="3" t="s">
        <v>23470</v>
      </c>
      <c r="B7925" s="3" t="s">
        <v>1034</v>
      </c>
      <c r="C7925" s="3" t="s">
        <v>56</v>
      </c>
      <c r="D7925" s="3" t="s">
        <v>206</v>
      </c>
      <c r="E7925" s="3" t="s">
        <v>100</v>
      </c>
      <c r="F7925" s="3" t="s">
        <v>45</v>
      </c>
      <c r="G7925" s="7">
        <v>46306.979166666664</v>
      </c>
    </row>
    <row r="7926">
      <c r="A7926" s="3" t="s">
        <v>23471</v>
      </c>
      <c r="B7926" s="3" t="s">
        <v>193</v>
      </c>
      <c r="C7926" s="3" t="s">
        <v>1342</v>
      </c>
      <c r="D7926" s="3" t="s">
        <v>221</v>
      </c>
      <c r="E7926" s="3" t="s">
        <v>45</v>
      </c>
      <c r="F7926" s="3" t="s">
        <v>1985</v>
      </c>
      <c r="G7926" s="7">
        <v>46306.99999999999</v>
      </c>
    </row>
    <row r="7927">
      <c r="A7927" s="3" t="s">
        <v>23473</v>
      </c>
      <c r="B7927" s="3" t="s">
        <v>1008</v>
      </c>
      <c r="C7927" s="3" t="s">
        <v>1095</v>
      </c>
      <c r="D7927" s="3" t="s">
        <v>206</v>
      </c>
      <c r="E7927" s="3" t="s">
        <v>100</v>
      </c>
      <c r="F7927" s="3" t="s">
        <v>2001</v>
      </c>
      <c r="G7927" s="7">
        <v>46307.020833333336</v>
      </c>
    </row>
    <row r="7928">
      <c r="A7928" s="3" t="s">
        <v>23475</v>
      </c>
      <c r="B7928" s="3" t="s">
        <v>900</v>
      </c>
      <c r="C7928" s="3" t="s">
        <v>56</v>
      </c>
      <c r="D7928" s="3" t="s">
        <v>221</v>
      </c>
      <c r="E7928" s="3" t="s">
        <v>45</v>
      </c>
      <c r="F7928" s="3" t="s">
        <v>45</v>
      </c>
      <c r="G7928" s="7">
        <v>46307.041666666664</v>
      </c>
    </row>
    <row r="7929">
      <c r="A7929" s="3" t="s">
        <v>23478</v>
      </c>
      <c r="B7929" s="3" t="s">
        <v>713</v>
      </c>
      <c r="C7929" s="3" t="s">
        <v>1342</v>
      </c>
      <c r="D7929" s="3" t="s">
        <v>206</v>
      </c>
      <c r="E7929" s="3" t="s">
        <v>100</v>
      </c>
      <c r="F7929" s="3" t="s">
        <v>721</v>
      </c>
      <c r="G7929" s="7">
        <v>46307.06249999999</v>
      </c>
    </row>
    <row r="7930">
      <c r="A7930" s="3" t="s">
        <v>23479</v>
      </c>
      <c r="B7930" s="3" t="s">
        <v>388</v>
      </c>
      <c r="C7930" s="3" t="s">
        <v>1342</v>
      </c>
      <c r="D7930" s="3" t="s">
        <v>221</v>
      </c>
      <c r="E7930" s="3" t="s">
        <v>45</v>
      </c>
      <c r="F7930" s="3" t="s">
        <v>1232</v>
      </c>
      <c r="G7930" s="7">
        <v>46307.083333333336</v>
      </c>
    </row>
    <row r="7931">
      <c r="A7931" s="3" t="s">
        <v>23481</v>
      </c>
      <c r="B7931" s="3" t="s">
        <v>491</v>
      </c>
      <c r="C7931" s="3" t="s">
        <v>56</v>
      </c>
      <c r="D7931" s="3" t="s">
        <v>206</v>
      </c>
      <c r="E7931" s="3" t="s">
        <v>100</v>
      </c>
      <c r="F7931" s="3" t="s">
        <v>45</v>
      </c>
      <c r="G7931" s="7">
        <v>46307.104166666664</v>
      </c>
    </row>
    <row r="7932">
      <c r="A7932" s="3" t="s">
        <v>23483</v>
      </c>
      <c r="B7932" s="3" t="s">
        <v>197</v>
      </c>
      <c r="C7932" s="3" t="s">
        <v>1342</v>
      </c>
      <c r="D7932" s="3" t="s">
        <v>221</v>
      </c>
      <c r="E7932" s="3" t="s">
        <v>45</v>
      </c>
      <c r="F7932" s="3" t="s">
        <v>1667</v>
      </c>
      <c r="G7932" s="7">
        <v>46307.12499999999</v>
      </c>
    </row>
    <row r="7933">
      <c r="A7933" s="3" t="s">
        <v>23485</v>
      </c>
      <c r="B7933" s="3" t="s">
        <v>689</v>
      </c>
      <c r="C7933" s="3" t="s">
        <v>1342</v>
      </c>
      <c r="D7933" s="3" t="s">
        <v>206</v>
      </c>
      <c r="E7933" s="3" t="s">
        <v>100</v>
      </c>
      <c r="F7933" s="3" t="s">
        <v>1661</v>
      </c>
      <c r="G7933" s="7">
        <v>46307.145833333336</v>
      </c>
    </row>
    <row r="7934">
      <c r="A7934" s="3" t="s">
        <v>23487</v>
      </c>
      <c r="B7934" s="3" t="s">
        <v>512</v>
      </c>
      <c r="C7934" s="3" t="s">
        <v>1095</v>
      </c>
      <c r="D7934" s="3" t="s">
        <v>221</v>
      </c>
      <c r="E7934" s="3" t="s">
        <v>45</v>
      </c>
      <c r="F7934" s="3" t="s">
        <v>1869</v>
      </c>
      <c r="G7934" s="7">
        <v>46307.166666666664</v>
      </c>
    </row>
    <row r="7935">
      <c r="A7935" s="3" t="s">
        <v>23489</v>
      </c>
      <c r="B7935" s="3" t="s">
        <v>796</v>
      </c>
      <c r="C7935" s="3" t="s">
        <v>1342</v>
      </c>
      <c r="D7935" s="3" t="s">
        <v>206</v>
      </c>
      <c r="E7935" s="3" t="s">
        <v>100</v>
      </c>
      <c r="F7935" s="3" t="s">
        <v>1779</v>
      </c>
      <c r="G7935" s="7">
        <v>46307.18749999999</v>
      </c>
    </row>
    <row r="7936">
      <c r="A7936" s="3" t="s">
        <v>23491</v>
      </c>
      <c r="B7936" s="3" t="s">
        <v>424</v>
      </c>
      <c r="C7936" s="3" t="s">
        <v>1095</v>
      </c>
      <c r="D7936" s="3" t="s">
        <v>221</v>
      </c>
      <c r="E7936" s="3" t="s">
        <v>45</v>
      </c>
      <c r="F7936" s="3" t="s">
        <v>1846</v>
      </c>
      <c r="G7936" s="7">
        <v>46307.208333333336</v>
      </c>
    </row>
    <row r="7937">
      <c r="A7937" s="3" t="s">
        <v>23492</v>
      </c>
      <c r="B7937" s="3" t="s">
        <v>363</v>
      </c>
      <c r="C7937" s="3" t="s">
        <v>56</v>
      </c>
      <c r="D7937" s="3" t="s">
        <v>206</v>
      </c>
      <c r="E7937" s="3" t="s">
        <v>100</v>
      </c>
      <c r="F7937" s="3" t="s">
        <v>45</v>
      </c>
      <c r="G7937" s="7">
        <v>46307.229166666664</v>
      </c>
    </row>
    <row r="7938">
      <c r="A7938" s="3" t="s">
        <v>23494</v>
      </c>
      <c r="B7938" s="3" t="s">
        <v>785</v>
      </c>
      <c r="C7938" s="3" t="s">
        <v>1095</v>
      </c>
      <c r="D7938" s="3" t="s">
        <v>221</v>
      </c>
      <c r="E7938" s="3" t="s">
        <v>45</v>
      </c>
      <c r="F7938" s="3" t="s">
        <v>2067</v>
      </c>
      <c r="G7938" s="7">
        <v>46307.24999999999</v>
      </c>
    </row>
    <row r="7939">
      <c r="A7939" s="3" t="s">
        <v>23496</v>
      </c>
      <c r="B7939" s="3" t="s">
        <v>256</v>
      </c>
      <c r="C7939" s="3" t="s">
        <v>1342</v>
      </c>
      <c r="D7939" s="3" t="s">
        <v>206</v>
      </c>
      <c r="E7939" s="3" t="s">
        <v>100</v>
      </c>
      <c r="F7939" s="3" t="s">
        <v>1506</v>
      </c>
      <c r="G7939" s="7">
        <v>46307.270833333336</v>
      </c>
    </row>
    <row r="7940">
      <c r="A7940" s="3" t="s">
        <v>23499</v>
      </c>
      <c r="B7940" s="3" t="s">
        <v>632</v>
      </c>
      <c r="C7940" s="3" t="s">
        <v>56</v>
      </c>
      <c r="D7940" s="3" t="s">
        <v>221</v>
      </c>
      <c r="E7940" s="3" t="s">
        <v>45</v>
      </c>
      <c r="F7940" s="3" t="s">
        <v>45</v>
      </c>
      <c r="G7940" s="7">
        <v>46307.291666666664</v>
      </c>
    </row>
    <row r="7941">
      <c r="A7941" s="3" t="s">
        <v>23501</v>
      </c>
      <c r="B7941" s="3" t="s">
        <v>765</v>
      </c>
      <c r="C7941" s="3" t="s">
        <v>1095</v>
      </c>
      <c r="D7941" s="3" t="s">
        <v>206</v>
      </c>
      <c r="E7941" s="3" t="s">
        <v>100</v>
      </c>
      <c r="F7941" s="3" t="s">
        <v>762</v>
      </c>
      <c r="G7941" s="7">
        <v>46307.31249999999</v>
      </c>
    </row>
    <row r="7942">
      <c r="A7942" s="3" t="s">
        <v>23504</v>
      </c>
      <c r="B7942" s="3" t="s">
        <v>672</v>
      </c>
      <c r="C7942" s="3" t="s">
        <v>56</v>
      </c>
      <c r="D7942" s="3" t="s">
        <v>221</v>
      </c>
      <c r="E7942" s="3" t="s">
        <v>45</v>
      </c>
      <c r="F7942" s="3" t="s">
        <v>45</v>
      </c>
      <c r="G7942" s="7">
        <v>46307.333333333336</v>
      </c>
    </row>
    <row r="7943">
      <c r="A7943" s="3" t="s">
        <v>23507</v>
      </c>
      <c r="B7943" s="3" t="s">
        <v>462</v>
      </c>
      <c r="C7943" s="3" t="s">
        <v>1342</v>
      </c>
      <c r="D7943" s="3" t="s">
        <v>206</v>
      </c>
      <c r="E7943" s="3" t="s">
        <v>100</v>
      </c>
      <c r="F7943" s="3" t="s">
        <v>1602</v>
      </c>
      <c r="G7943" s="7">
        <v>46307.354166666664</v>
      </c>
    </row>
    <row r="7944">
      <c r="A7944" s="3" t="s">
        <v>23509</v>
      </c>
      <c r="B7944" s="3" t="s">
        <v>536</v>
      </c>
      <c r="C7944" s="3" t="s">
        <v>1342</v>
      </c>
      <c r="D7944" s="3" t="s">
        <v>221</v>
      </c>
      <c r="E7944" s="3" t="s">
        <v>45</v>
      </c>
      <c r="F7944" s="3" t="s">
        <v>532</v>
      </c>
      <c r="G7944" s="7">
        <v>46307.37499999999</v>
      </c>
    </row>
    <row r="7945">
      <c r="A7945" s="3" t="s">
        <v>23511</v>
      </c>
      <c r="B7945" s="3" t="s">
        <v>903</v>
      </c>
      <c r="C7945" s="3" t="s">
        <v>56</v>
      </c>
      <c r="D7945" s="3" t="s">
        <v>206</v>
      </c>
      <c r="E7945" s="3" t="s">
        <v>100</v>
      </c>
      <c r="F7945" s="3" t="s">
        <v>45</v>
      </c>
      <c r="G7945" s="7">
        <v>46307.395833333336</v>
      </c>
    </row>
    <row r="7946">
      <c r="A7946" s="3" t="s">
        <v>23513</v>
      </c>
      <c r="B7946" s="3" t="s">
        <v>579</v>
      </c>
      <c r="C7946" s="3" t="s">
        <v>1342</v>
      </c>
      <c r="D7946" s="3" t="s">
        <v>221</v>
      </c>
      <c r="E7946" s="3" t="s">
        <v>45</v>
      </c>
      <c r="F7946" s="3" t="s">
        <v>1117</v>
      </c>
      <c r="G7946" s="7">
        <v>46307.416666666664</v>
      </c>
    </row>
    <row r="7947">
      <c r="A7947" s="3" t="s">
        <v>23515</v>
      </c>
      <c r="B7947" s="3" t="s">
        <v>287</v>
      </c>
      <c r="C7947" s="3" t="s">
        <v>56</v>
      </c>
      <c r="D7947" s="3" t="s">
        <v>206</v>
      </c>
      <c r="E7947" s="3" t="s">
        <v>100</v>
      </c>
      <c r="F7947" s="3" t="s">
        <v>45</v>
      </c>
      <c r="G7947" s="7">
        <v>46307.43749999999</v>
      </c>
    </row>
    <row r="7948">
      <c r="A7948" s="3" t="s">
        <v>23517</v>
      </c>
      <c r="B7948" s="3" t="s">
        <v>505</v>
      </c>
      <c r="C7948" s="3" t="s">
        <v>1342</v>
      </c>
      <c r="D7948" s="3" t="s">
        <v>221</v>
      </c>
      <c r="E7948" s="3" t="s">
        <v>45</v>
      </c>
      <c r="F7948" s="3" t="s">
        <v>2118</v>
      </c>
      <c r="G7948" s="7">
        <v>46307.458333333336</v>
      </c>
    </row>
    <row r="7949">
      <c r="A7949" s="3" t="s">
        <v>23519</v>
      </c>
      <c r="B7949" s="3" t="s">
        <v>819</v>
      </c>
      <c r="C7949" s="3" t="s">
        <v>1342</v>
      </c>
      <c r="D7949" s="3" t="s">
        <v>206</v>
      </c>
      <c r="E7949" s="3" t="s">
        <v>100</v>
      </c>
      <c r="F7949" s="3" t="s">
        <v>1548</v>
      </c>
      <c r="G7949" s="7">
        <v>46307.479166666664</v>
      </c>
    </row>
    <row r="7950">
      <c r="A7950" s="3" t="s">
        <v>23521</v>
      </c>
      <c r="B7950" s="3" t="s">
        <v>601</v>
      </c>
      <c r="C7950" s="3" t="s">
        <v>1342</v>
      </c>
      <c r="D7950" s="3" t="s">
        <v>221</v>
      </c>
      <c r="E7950" s="3" t="s">
        <v>45</v>
      </c>
      <c r="F7950" s="3" t="s">
        <v>2126</v>
      </c>
      <c r="G7950" s="7">
        <v>46307.49999999999</v>
      </c>
    </row>
    <row r="7951">
      <c r="A7951" s="3" t="s">
        <v>23524</v>
      </c>
      <c r="B7951" s="3" t="s">
        <v>561</v>
      </c>
      <c r="C7951" s="3" t="s">
        <v>1342</v>
      </c>
      <c r="D7951" s="3" t="s">
        <v>206</v>
      </c>
      <c r="E7951" s="3" t="s">
        <v>100</v>
      </c>
      <c r="F7951" s="3" t="s">
        <v>688</v>
      </c>
      <c r="G7951" s="7">
        <v>46307.520833333336</v>
      </c>
    </row>
    <row r="7952">
      <c r="A7952" s="3" t="s">
        <v>23526</v>
      </c>
      <c r="B7952" s="3" t="s">
        <v>310</v>
      </c>
      <c r="C7952" s="3" t="s">
        <v>1342</v>
      </c>
      <c r="D7952" s="3" t="s">
        <v>221</v>
      </c>
      <c r="E7952" s="3" t="s">
        <v>45</v>
      </c>
      <c r="F7952" s="3" t="s">
        <v>1864</v>
      </c>
      <c r="G7952" s="7">
        <v>46307.541666666664</v>
      </c>
    </row>
    <row r="7953">
      <c r="A7953" s="3" t="s">
        <v>23528</v>
      </c>
      <c r="B7953" s="3" t="s">
        <v>685</v>
      </c>
      <c r="C7953" s="3" t="s">
        <v>56</v>
      </c>
      <c r="D7953" s="3" t="s">
        <v>206</v>
      </c>
      <c r="E7953" s="3" t="s">
        <v>100</v>
      </c>
      <c r="F7953" s="3" t="s">
        <v>45</v>
      </c>
      <c r="G7953" s="7">
        <v>46307.56249999999</v>
      </c>
    </row>
    <row r="7954">
      <c r="A7954" s="3" t="s">
        <v>23530</v>
      </c>
      <c r="B7954" s="3" t="s">
        <v>976</v>
      </c>
      <c r="C7954" s="3" t="s">
        <v>1342</v>
      </c>
      <c r="D7954" s="3" t="s">
        <v>221</v>
      </c>
      <c r="E7954" s="3" t="s">
        <v>45</v>
      </c>
      <c r="F7954" s="3" t="s">
        <v>2101</v>
      </c>
      <c r="G7954" s="7">
        <v>46307.583333333336</v>
      </c>
    </row>
    <row r="7955">
      <c r="A7955" s="3" t="s">
        <v>23532</v>
      </c>
      <c r="B7955" s="3" t="s">
        <v>485</v>
      </c>
      <c r="C7955" s="3" t="s">
        <v>56</v>
      </c>
      <c r="D7955" s="3" t="s">
        <v>206</v>
      </c>
      <c r="E7955" s="3" t="s">
        <v>100</v>
      </c>
      <c r="F7955" s="3" t="s">
        <v>45</v>
      </c>
      <c r="G7955" s="7">
        <v>46307.604166666664</v>
      </c>
    </row>
    <row r="7956">
      <c r="A7956" s="3" t="s">
        <v>23534</v>
      </c>
      <c r="B7956" s="3" t="s">
        <v>853</v>
      </c>
      <c r="C7956" s="3" t="s">
        <v>1342</v>
      </c>
      <c r="D7956" s="3" t="s">
        <v>221</v>
      </c>
      <c r="E7956" s="3" t="s">
        <v>45</v>
      </c>
      <c r="F7956" s="3" t="s">
        <v>2004</v>
      </c>
      <c r="G7956" s="7">
        <v>46307.62499999999</v>
      </c>
    </row>
    <row r="7957">
      <c r="A7957" s="3" t="s">
        <v>23536</v>
      </c>
      <c r="B7957" s="3" t="s">
        <v>151</v>
      </c>
      <c r="C7957" s="3" t="s">
        <v>1342</v>
      </c>
      <c r="D7957" s="3" t="s">
        <v>206</v>
      </c>
      <c r="E7957" s="3" t="s">
        <v>100</v>
      </c>
      <c r="F7957" s="3" t="s">
        <v>1966</v>
      </c>
      <c r="G7957" s="7">
        <v>46307.645833333336</v>
      </c>
    </row>
    <row r="7958">
      <c r="A7958" s="3" t="s">
        <v>23538</v>
      </c>
      <c r="B7958" s="3" t="s">
        <v>455</v>
      </c>
      <c r="C7958" s="3" t="s">
        <v>1342</v>
      </c>
      <c r="D7958" s="3" t="s">
        <v>221</v>
      </c>
      <c r="E7958" s="3" t="s">
        <v>45</v>
      </c>
      <c r="F7958" s="3" t="s">
        <v>1923</v>
      </c>
      <c r="G7958" s="7">
        <v>46307.666666666664</v>
      </c>
    </row>
    <row r="7959">
      <c r="A7959" s="3" t="s">
        <v>23540</v>
      </c>
      <c r="B7959" s="3" t="s">
        <v>900</v>
      </c>
      <c r="C7959" s="3" t="s">
        <v>56</v>
      </c>
      <c r="D7959" s="3" t="s">
        <v>206</v>
      </c>
      <c r="E7959" s="3" t="s">
        <v>100</v>
      </c>
      <c r="F7959" s="3" t="s">
        <v>45</v>
      </c>
      <c r="G7959" s="7">
        <v>46307.68749999999</v>
      </c>
    </row>
    <row r="7960">
      <c r="A7960" s="3" t="s">
        <v>23542</v>
      </c>
      <c r="B7960" s="3" t="s">
        <v>665</v>
      </c>
      <c r="C7960" s="3" t="s">
        <v>1342</v>
      </c>
      <c r="D7960" s="3" t="s">
        <v>221</v>
      </c>
      <c r="E7960" s="3" t="s">
        <v>45</v>
      </c>
      <c r="F7960" s="3" t="s">
        <v>738</v>
      </c>
      <c r="G7960" s="7">
        <v>46307.708333333336</v>
      </c>
    </row>
    <row r="7961">
      <c r="A7961" s="3" t="s">
        <v>23544</v>
      </c>
      <c r="B7961" s="3" t="s">
        <v>215</v>
      </c>
      <c r="C7961" s="3" t="s">
        <v>1342</v>
      </c>
      <c r="D7961" s="3" t="s">
        <v>206</v>
      </c>
      <c r="E7961" s="3" t="s">
        <v>100</v>
      </c>
      <c r="F7961" s="3" t="s">
        <v>2021</v>
      </c>
      <c r="G7961" s="7">
        <v>46307.729166666664</v>
      </c>
    </row>
    <row r="7962">
      <c r="A7962" s="3" t="s">
        <v>23546</v>
      </c>
      <c r="B7962" s="3" t="s">
        <v>516</v>
      </c>
      <c r="C7962" s="3" t="s">
        <v>1095</v>
      </c>
      <c r="D7962" s="3" t="s">
        <v>221</v>
      </c>
      <c r="E7962" s="3" t="s">
        <v>45</v>
      </c>
      <c r="F7962" s="3" t="s">
        <v>509</v>
      </c>
      <c r="G7962" s="7">
        <v>46307.74999999999</v>
      </c>
    </row>
    <row r="7963">
      <c r="A7963" s="3" t="s">
        <v>23548</v>
      </c>
      <c r="B7963" s="3" t="s">
        <v>527</v>
      </c>
      <c r="C7963" s="3" t="s">
        <v>1095</v>
      </c>
      <c r="D7963" s="3" t="s">
        <v>206</v>
      </c>
      <c r="E7963" s="3" t="s">
        <v>100</v>
      </c>
      <c r="F7963" s="3" t="s">
        <v>2099</v>
      </c>
      <c r="G7963" s="7">
        <v>46307.770833333336</v>
      </c>
    </row>
    <row r="7964">
      <c r="A7964" s="3" t="s">
        <v>23551</v>
      </c>
      <c r="B7964" s="3" t="s">
        <v>151</v>
      </c>
      <c r="C7964" s="3" t="s">
        <v>1095</v>
      </c>
      <c r="D7964" s="3" t="s">
        <v>221</v>
      </c>
      <c r="E7964" s="3" t="s">
        <v>45</v>
      </c>
      <c r="F7964" s="3" t="s">
        <v>1966</v>
      </c>
      <c r="G7964" s="7">
        <v>46307.791666666664</v>
      </c>
    </row>
    <row r="7965">
      <c r="A7965" s="3" t="s">
        <v>23554</v>
      </c>
      <c r="B7965" s="3" t="s">
        <v>655</v>
      </c>
      <c r="C7965" s="3" t="s">
        <v>1095</v>
      </c>
      <c r="D7965" s="3" t="s">
        <v>206</v>
      </c>
      <c r="E7965" s="3" t="s">
        <v>100</v>
      </c>
      <c r="F7965" s="3" t="s">
        <v>1800</v>
      </c>
      <c r="G7965" s="7">
        <v>46307.81249999999</v>
      </c>
    </row>
    <row r="7966">
      <c r="A7966" s="3" t="s">
        <v>23556</v>
      </c>
      <c r="B7966" s="3" t="s">
        <v>380</v>
      </c>
      <c r="C7966" s="3" t="s">
        <v>1342</v>
      </c>
      <c r="D7966" s="3" t="s">
        <v>221</v>
      </c>
      <c r="E7966" s="3" t="s">
        <v>45</v>
      </c>
      <c r="F7966" s="3" t="s">
        <v>2023</v>
      </c>
      <c r="G7966" s="7">
        <v>46307.833333333336</v>
      </c>
    </row>
    <row r="7967">
      <c r="A7967" s="3" t="s">
        <v>23558</v>
      </c>
      <c r="B7967" s="3" t="s">
        <v>685</v>
      </c>
      <c r="C7967" s="3" t="s">
        <v>56</v>
      </c>
      <c r="D7967" s="3" t="s">
        <v>206</v>
      </c>
      <c r="E7967" s="3" t="s">
        <v>100</v>
      </c>
      <c r="F7967" s="3" t="s">
        <v>45</v>
      </c>
      <c r="G7967" s="7">
        <v>46307.854166666664</v>
      </c>
    </row>
    <row r="7968">
      <c r="A7968" s="3" t="s">
        <v>23561</v>
      </c>
      <c r="B7968" s="3" t="s">
        <v>662</v>
      </c>
      <c r="C7968" s="3" t="s">
        <v>1095</v>
      </c>
      <c r="D7968" s="3" t="s">
        <v>221</v>
      </c>
      <c r="E7968" s="3" t="s">
        <v>45</v>
      </c>
      <c r="F7968" s="3" t="s">
        <v>1997</v>
      </c>
      <c r="G7968" s="7">
        <v>46307.87499999999</v>
      </c>
    </row>
    <row r="7969">
      <c r="A7969" s="3" t="s">
        <v>23562</v>
      </c>
      <c r="B7969" s="3" t="s">
        <v>584</v>
      </c>
      <c r="C7969" s="3" t="s">
        <v>1095</v>
      </c>
      <c r="D7969" s="3" t="s">
        <v>206</v>
      </c>
      <c r="E7969" s="3" t="s">
        <v>100</v>
      </c>
      <c r="F7969" s="3" t="s">
        <v>1460</v>
      </c>
      <c r="G7969" s="7">
        <v>46307.895833333336</v>
      </c>
    </row>
    <row r="7970">
      <c r="A7970" s="3" t="s">
        <v>23564</v>
      </c>
      <c r="B7970" s="3" t="s">
        <v>1026</v>
      </c>
      <c r="C7970" s="3" t="s">
        <v>1342</v>
      </c>
      <c r="D7970" s="3" t="s">
        <v>221</v>
      </c>
      <c r="E7970" s="3" t="s">
        <v>45</v>
      </c>
      <c r="F7970" s="3" t="s">
        <v>1884</v>
      </c>
      <c r="G7970" s="7">
        <v>46307.916666666664</v>
      </c>
    </row>
    <row r="7971">
      <c r="A7971" s="3" t="s">
        <v>23567</v>
      </c>
      <c r="B7971" s="3" t="s">
        <v>204</v>
      </c>
      <c r="C7971" s="3" t="s">
        <v>1342</v>
      </c>
      <c r="D7971" s="3" t="s">
        <v>206</v>
      </c>
      <c r="E7971" s="3" t="s">
        <v>100</v>
      </c>
      <c r="F7971" s="3" t="s">
        <v>1063</v>
      </c>
      <c r="G7971" s="7">
        <v>46307.93749999999</v>
      </c>
    </row>
    <row r="7972">
      <c r="A7972" s="3" t="s">
        <v>23569</v>
      </c>
      <c r="B7972" s="3" t="s">
        <v>637</v>
      </c>
      <c r="C7972" s="3" t="s">
        <v>1095</v>
      </c>
      <c r="D7972" s="3" t="s">
        <v>221</v>
      </c>
      <c r="E7972" s="3" t="s">
        <v>45</v>
      </c>
      <c r="F7972" s="3" t="s">
        <v>1007</v>
      </c>
      <c r="G7972" s="7">
        <v>46307.958333333336</v>
      </c>
    </row>
    <row r="7973">
      <c r="A7973" s="3" t="s">
        <v>23571</v>
      </c>
      <c r="B7973" s="3" t="s">
        <v>204</v>
      </c>
      <c r="C7973" s="3" t="s">
        <v>1342</v>
      </c>
      <c r="D7973" s="3" t="s">
        <v>206</v>
      </c>
      <c r="E7973" s="3" t="s">
        <v>100</v>
      </c>
      <c r="F7973" s="3" t="s">
        <v>1063</v>
      </c>
      <c r="G7973" s="7">
        <v>46307.979166666664</v>
      </c>
    </row>
    <row r="7974">
      <c r="A7974" s="3" t="s">
        <v>23573</v>
      </c>
      <c r="B7974" s="3" t="s">
        <v>453</v>
      </c>
      <c r="C7974" s="3" t="s">
        <v>1095</v>
      </c>
      <c r="D7974" s="3" t="s">
        <v>221</v>
      </c>
      <c r="E7974" s="3" t="s">
        <v>45</v>
      </c>
      <c r="F7974" s="3" t="s">
        <v>1789</v>
      </c>
      <c r="G7974" s="7">
        <v>46307.99999999999</v>
      </c>
    </row>
    <row r="7975">
      <c r="A7975" s="3" t="s">
        <v>23575</v>
      </c>
      <c r="B7975" s="3" t="s">
        <v>778</v>
      </c>
      <c r="C7975" s="3" t="s">
        <v>56</v>
      </c>
      <c r="D7975" s="3" t="s">
        <v>206</v>
      </c>
      <c r="E7975" s="3" t="s">
        <v>100</v>
      </c>
      <c r="F7975" s="3" t="s">
        <v>45</v>
      </c>
      <c r="G7975" s="7">
        <v>46308.020833333336</v>
      </c>
    </row>
    <row r="7976">
      <c r="A7976" s="3" t="s">
        <v>23577</v>
      </c>
      <c r="B7976" s="3" t="s">
        <v>943</v>
      </c>
      <c r="C7976" s="3" t="s">
        <v>1095</v>
      </c>
      <c r="D7976" s="3" t="s">
        <v>221</v>
      </c>
      <c r="E7976" s="3" t="s">
        <v>45</v>
      </c>
      <c r="F7976" s="3" t="s">
        <v>1553</v>
      </c>
      <c r="G7976" s="7">
        <v>46308.041666666664</v>
      </c>
    </row>
    <row r="7977">
      <c r="A7977" s="3" t="s">
        <v>23579</v>
      </c>
      <c r="B7977" s="3" t="s">
        <v>969</v>
      </c>
      <c r="C7977" s="3" t="s">
        <v>56</v>
      </c>
      <c r="D7977" s="3" t="s">
        <v>206</v>
      </c>
      <c r="E7977" s="3" t="s">
        <v>100</v>
      </c>
      <c r="F7977" s="3" t="s">
        <v>45</v>
      </c>
      <c r="G7977" s="7">
        <v>46308.06249999999</v>
      </c>
    </row>
    <row r="7978">
      <c r="A7978" s="3" t="s">
        <v>23581</v>
      </c>
      <c r="B7978" s="3" t="s">
        <v>727</v>
      </c>
      <c r="C7978" s="3" t="s">
        <v>1342</v>
      </c>
      <c r="D7978" s="3" t="s">
        <v>221</v>
      </c>
      <c r="E7978" s="3" t="s">
        <v>45</v>
      </c>
      <c r="F7978" s="3" t="s">
        <v>1462</v>
      </c>
      <c r="G7978" s="7">
        <v>46308.083333333336</v>
      </c>
    </row>
    <row r="7979">
      <c r="A7979" s="3" t="s">
        <v>23583</v>
      </c>
      <c r="B7979" s="3" t="s">
        <v>584</v>
      </c>
      <c r="C7979" s="3" t="s">
        <v>1342</v>
      </c>
      <c r="D7979" s="3" t="s">
        <v>206</v>
      </c>
      <c r="E7979" s="3" t="s">
        <v>100</v>
      </c>
      <c r="F7979" s="3" t="s">
        <v>1460</v>
      </c>
      <c r="G7979" s="7">
        <v>46308.104166666664</v>
      </c>
    </row>
    <row r="7980">
      <c r="A7980" s="3" t="s">
        <v>23585</v>
      </c>
      <c r="B7980" s="3" t="s">
        <v>575</v>
      </c>
      <c r="C7980" s="3" t="s">
        <v>1095</v>
      </c>
      <c r="D7980" s="3" t="s">
        <v>221</v>
      </c>
      <c r="E7980" s="3" t="s">
        <v>45</v>
      </c>
      <c r="F7980" s="3" t="s">
        <v>568</v>
      </c>
      <c r="G7980" s="7">
        <v>46308.12499999999</v>
      </c>
    </row>
    <row r="7981">
      <c r="A7981" s="3" t="s">
        <v>23587</v>
      </c>
      <c r="B7981" s="3" t="s">
        <v>510</v>
      </c>
      <c r="C7981" s="3" t="s">
        <v>1342</v>
      </c>
      <c r="D7981" s="3" t="s">
        <v>206</v>
      </c>
      <c r="E7981" s="3" t="s">
        <v>100</v>
      </c>
      <c r="F7981" s="3" t="s">
        <v>1503</v>
      </c>
      <c r="G7981" s="7">
        <v>46308.145833333336</v>
      </c>
    </row>
    <row r="7982">
      <c r="A7982" s="3" t="s">
        <v>23589</v>
      </c>
      <c r="B7982" s="3" t="s">
        <v>388</v>
      </c>
      <c r="C7982" s="3" t="s">
        <v>1342</v>
      </c>
      <c r="D7982" s="3" t="s">
        <v>221</v>
      </c>
      <c r="E7982" s="3" t="s">
        <v>45</v>
      </c>
      <c r="F7982" s="3" t="s">
        <v>1232</v>
      </c>
      <c r="G7982" s="7">
        <v>46308.166666666664</v>
      </c>
    </row>
    <row r="7983">
      <c r="A7983" s="3" t="s">
        <v>23591</v>
      </c>
      <c r="B7983" s="3" t="s">
        <v>215</v>
      </c>
      <c r="C7983" s="3" t="s">
        <v>1342</v>
      </c>
      <c r="D7983" s="3" t="s">
        <v>206</v>
      </c>
      <c r="E7983" s="3" t="s">
        <v>100</v>
      </c>
      <c r="F7983" s="3" t="s">
        <v>2021</v>
      </c>
      <c r="G7983" s="7">
        <v>46308.18749999999</v>
      </c>
    </row>
    <row r="7984">
      <c r="A7984" s="3" t="s">
        <v>23593</v>
      </c>
      <c r="B7984" s="3" t="s">
        <v>645</v>
      </c>
      <c r="C7984" s="3" t="s">
        <v>1095</v>
      </c>
      <c r="D7984" s="3" t="s">
        <v>221</v>
      </c>
      <c r="E7984" s="3" t="s">
        <v>45</v>
      </c>
      <c r="F7984" s="3" t="s">
        <v>641</v>
      </c>
      <c r="G7984" s="7">
        <v>46308.208333333336</v>
      </c>
    </row>
    <row r="7985">
      <c r="A7985" s="3" t="s">
        <v>23595</v>
      </c>
      <c r="B7985" s="3" t="s">
        <v>789</v>
      </c>
      <c r="C7985" s="3" t="s">
        <v>1342</v>
      </c>
      <c r="D7985" s="3" t="s">
        <v>206</v>
      </c>
      <c r="E7985" s="3" t="s">
        <v>100</v>
      </c>
      <c r="F7985" s="3" t="s">
        <v>1911</v>
      </c>
      <c r="G7985" s="7">
        <v>46308.229166666664</v>
      </c>
    </row>
    <row r="7986">
      <c r="A7986" s="3" t="s">
        <v>23598</v>
      </c>
      <c r="B7986" s="3" t="s">
        <v>785</v>
      </c>
      <c r="C7986" s="3" t="s">
        <v>1095</v>
      </c>
      <c r="D7986" s="3" t="s">
        <v>221</v>
      </c>
      <c r="E7986" s="3" t="s">
        <v>45</v>
      </c>
      <c r="F7986" s="3" t="s">
        <v>2067</v>
      </c>
      <c r="G7986" s="7">
        <v>46308.24999999999</v>
      </c>
    </row>
    <row r="7987">
      <c r="A7987" s="3" t="s">
        <v>23601</v>
      </c>
      <c r="B7987" s="3" t="s">
        <v>598</v>
      </c>
      <c r="C7987" s="3" t="s">
        <v>56</v>
      </c>
      <c r="D7987" s="3" t="s">
        <v>206</v>
      </c>
      <c r="E7987" s="3" t="s">
        <v>100</v>
      </c>
      <c r="F7987" s="3" t="s">
        <v>45</v>
      </c>
      <c r="G7987" s="7">
        <v>46308.270833333336</v>
      </c>
    </row>
    <row r="7988">
      <c r="A7988" s="3" t="s">
        <v>23602</v>
      </c>
      <c r="B7988" s="3" t="s">
        <v>1001</v>
      </c>
      <c r="C7988" s="3" t="s">
        <v>56</v>
      </c>
      <c r="D7988" s="3" t="s">
        <v>221</v>
      </c>
      <c r="E7988" s="3" t="s">
        <v>45</v>
      </c>
      <c r="F7988" s="3" t="s">
        <v>45</v>
      </c>
      <c r="G7988" s="7">
        <v>46308.291666666664</v>
      </c>
    </row>
    <row r="7989">
      <c r="A7989" s="3" t="s">
        <v>23605</v>
      </c>
      <c r="B7989" s="3" t="s">
        <v>860</v>
      </c>
      <c r="C7989" s="3" t="s">
        <v>1342</v>
      </c>
      <c r="D7989" s="3" t="s">
        <v>206</v>
      </c>
      <c r="E7989" s="3" t="s">
        <v>100</v>
      </c>
      <c r="F7989" s="3" t="s">
        <v>2018</v>
      </c>
      <c r="G7989" s="7">
        <v>46308.31249999999</v>
      </c>
    </row>
    <row r="7990">
      <c r="A7990" s="3" t="s">
        <v>23608</v>
      </c>
      <c r="B7990" s="3" t="s">
        <v>391</v>
      </c>
      <c r="C7990" s="3" t="s">
        <v>1342</v>
      </c>
      <c r="D7990" s="3" t="s">
        <v>221</v>
      </c>
      <c r="E7990" s="3" t="s">
        <v>45</v>
      </c>
      <c r="F7990" s="3" t="s">
        <v>2077</v>
      </c>
      <c r="G7990" s="7">
        <v>46308.333333333336</v>
      </c>
    </row>
    <row r="7991">
      <c r="A7991" s="3" t="s">
        <v>23610</v>
      </c>
      <c r="B7991" s="3" t="s">
        <v>233</v>
      </c>
      <c r="C7991" s="3" t="s">
        <v>1095</v>
      </c>
      <c r="D7991" s="3" t="s">
        <v>206</v>
      </c>
      <c r="E7991" s="3" t="s">
        <v>100</v>
      </c>
      <c r="F7991" s="3" t="s">
        <v>477</v>
      </c>
      <c r="G7991" s="7">
        <v>46308.354166666664</v>
      </c>
    </row>
    <row r="7992">
      <c r="A7992" s="3" t="s">
        <v>23611</v>
      </c>
      <c r="B7992" s="3" t="s">
        <v>886</v>
      </c>
      <c r="C7992" s="3" t="s">
        <v>1342</v>
      </c>
      <c r="D7992" s="3" t="s">
        <v>221</v>
      </c>
      <c r="E7992" s="3" t="s">
        <v>45</v>
      </c>
      <c r="F7992" s="3" t="s">
        <v>1726</v>
      </c>
      <c r="G7992" s="7">
        <v>46308.37499999999</v>
      </c>
    </row>
    <row r="7993">
      <c r="A7993" s="3" t="s">
        <v>23613</v>
      </c>
      <c r="B7993" s="3" t="s">
        <v>911</v>
      </c>
      <c r="C7993" s="3" t="s">
        <v>1342</v>
      </c>
      <c r="D7993" s="3" t="s">
        <v>206</v>
      </c>
      <c r="E7993" s="3" t="s">
        <v>100</v>
      </c>
      <c r="F7993" s="3" t="s">
        <v>1048</v>
      </c>
      <c r="G7993" s="7">
        <v>46308.395833333336</v>
      </c>
    </row>
    <row r="7994">
      <c r="A7994" s="3" t="s">
        <v>23615</v>
      </c>
      <c r="B7994" s="3" t="s">
        <v>678</v>
      </c>
      <c r="C7994" s="3" t="s">
        <v>1342</v>
      </c>
      <c r="D7994" s="3" t="s">
        <v>221</v>
      </c>
      <c r="E7994" s="3" t="s">
        <v>45</v>
      </c>
      <c r="F7994" s="3" t="s">
        <v>673</v>
      </c>
      <c r="G7994" s="7">
        <v>46308.416666666664</v>
      </c>
    </row>
    <row r="7995">
      <c r="A7995" s="3" t="s">
        <v>23617</v>
      </c>
      <c r="B7995" s="3" t="s">
        <v>141</v>
      </c>
      <c r="C7995" s="3" t="s">
        <v>1095</v>
      </c>
      <c r="D7995" s="3" t="s">
        <v>206</v>
      </c>
      <c r="E7995" s="3" t="s">
        <v>100</v>
      </c>
      <c r="F7995" s="3" t="s">
        <v>780</v>
      </c>
      <c r="G7995" s="7">
        <v>46308.43749999999</v>
      </c>
    </row>
    <row r="7996">
      <c r="A7996" s="3" t="s">
        <v>23620</v>
      </c>
      <c r="B7996" s="3" t="s">
        <v>159</v>
      </c>
      <c r="C7996" s="3" t="s">
        <v>56</v>
      </c>
      <c r="D7996" s="3" t="s">
        <v>221</v>
      </c>
      <c r="E7996" s="3" t="s">
        <v>45</v>
      </c>
      <c r="F7996" s="3" t="s">
        <v>45</v>
      </c>
      <c r="G7996" s="7">
        <v>46308.458333333336</v>
      </c>
    </row>
    <row r="7997">
      <c r="A7997" s="3" t="s">
        <v>23622</v>
      </c>
      <c r="B7997" s="3" t="s">
        <v>282</v>
      </c>
      <c r="C7997" s="3" t="s">
        <v>56</v>
      </c>
      <c r="D7997" s="3" t="s">
        <v>206</v>
      </c>
      <c r="E7997" s="3" t="s">
        <v>100</v>
      </c>
      <c r="F7997" s="3" t="s">
        <v>45</v>
      </c>
      <c r="G7997" s="7">
        <v>46308.479166666664</v>
      </c>
    </row>
    <row r="7998">
      <c r="A7998" s="3" t="s">
        <v>23624</v>
      </c>
      <c r="B7998" s="3" t="s">
        <v>911</v>
      </c>
      <c r="C7998" s="3" t="s">
        <v>1342</v>
      </c>
      <c r="D7998" s="3" t="s">
        <v>221</v>
      </c>
      <c r="E7998" s="3" t="s">
        <v>45</v>
      </c>
      <c r="F7998" s="3" t="s">
        <v>1048</v>
      </c>
      <c r="G7998" s="7">
        <v>46308.49999999999</v>
      </c>
    </row>
    <row r="7999">
      <c r="A7999" s="3" t="s">
        <v>23626</v>
      </c>
      <c r="B7999" s="3" t="s">
        <v>765</v>
      </c>
      <c r="C7999" s="3" t="s">
        <v>1095</v>
      </c>
      <c r="D7999" s="3" t="s">
        <v>206</v>
      </c>
      <c r="E7999" s="3" t="s">
        <v>100</v>
      </c>
      <c r="F7999" s="3" t="s">
        <v>762</v>
      </c>
      <c r="G7999" s="7">
        <v>46308.520833333336</v>
      </c>
    </row>
    <row r="8000">
      <c r="A8000" s="3" t="s">
        <v>23628</v>
      </c>
      <c r="B8000" s="3" t="s">
        <v>615</v>
      </c>
      <c r="C8000" s="3" t="s">
        <v>1342</v>
      </c>
      <c r="D8000" s="3" t="s">
        <v>221</v>
      </c>
      <c r="E8000" s="3" t="s">
        <v>45</v>
      </c>
      <c r="F8000" s="3" t="s">
        <v>611</v>
      </c>
      <c r="G8000" s="7">
        <v>46308.541666666664</v>
      </c>
    </row>
    <row r="8001">
      <c r="A8001" s="3" t="s">
        <v>23630</v>
      </c>
      <c r="B8001" s="3" t="s">
        <v>243</v>
      </c>
      <c r="C8001" s="3" t="s">
        <v>56</v>
      </c>
      <c r="D8001" s="3" t="s">
        <v>206</v>
      </c>
      <c r="E8001" s="3" t="s">
        <v>100</v>
      </c>
      <c r="F8001" s="3" t="s">
        <v>45</v>
      </c>
      <c r="G8001" s="7">
        <v>46308.56249999999</v>
      </c>
    </row>
    <row r="8002">
      <c r="C8002" s="9"/>
      <c r="D8002" s="9"/>
    </row>
    <row r="8003">
      <c r="C8003" s="9"/>
      <c r="D8003" s="9"/>
    </row>
    <row r="8004">
      <c r="C8004" s="9"/>
      <c r="D8004" s="9"/>
    </row>
    <row r="8005">
      <c r="C8005" s="9"/>
      <c r="D8005" s="9"/>
    </row>
    <row r="8006">
      <c r="C8006" s="9"/>
      <c r="D8006" s="9"/>
    </row>
    <row r="8007">
      <c r="C8007" s="9"/>
      <c r="D8007" s="9"/>
    </row>
    <row r="8008">
      <c r="C8008" s="9"/>
      <c r="D8008" s="9"/>
    </row>
    <row r="8009">
      <c r="C8009" s="9"/>
      <c r="D8009" s="9"/>
    </row>
    <row r="8010">
      <c r="C8010" s="9"/>
      <c r="D8010" s="9"/>
    </row>
    <row r="8011">
      <c r="C8011" s="9"/>
      <c r="D8011" s="9"/>
    </row>
    <row r="8012">
      <c r="C8012" s="9"/>
      <c r="D8012" s="9"/>
    </row>
    <row r="8013">
      <c r="C8013" s="9"/>
      <c r="D8013" s="9"/>
    </row>
    <row r="8014">
      <c r="C8014" s="9"/>
      <c r="D8014" s="9"/>
    </row>
    <row r="8015">
      <c r="C8015" s="9"/>
      <c r="D8015" s="9"/>
    </row>
    <row r="8016">
      <c r="C8016" s="9"/>
      <c r="D8016" s="9"/>
    </row>
    <row r="8017">
      <c r="C8017" s="9"/>
      <c r="D8017" s="9"/>
    </row>
    <row r="8018">
      <c r="C8018" s="9"/>
      <c r="D8018" s="9"/>
    </row>
    <row r="8019">
      <c r="C8019" s="9"/>
      <c r="D8019" s="9"/>
    </row>
    <row r="8020">
      <c r="C8020" s="9"/>
      <c r="D8020" s="9"/>
    </row>
    <row r="8021">
      <c r="C8021" s="9"/>
      <c r="D8021" s="9"/>
    </row>
    <row r="8022">
      <c r="C8022" s="9"/>
      <c r="D8022" s="9"/>
    </row>
    <row r="8023">
      <c r="C8023" s="9"/>
      <c r="D8023" s="9"/>
    </row>
    <row r="8024">
      <c r="C8024" s="9"/>
      <c r="D8024" s="9"/>
    </row>
    <row r="8025">
      <c r="C8025" s="9"/>
      <c r="D8025" s="9"/>
    </row>
    <row r="8026">
      <c r="C8026" s="9"/>
      <c r="D8026" s="9"/>
    </row>
    <row r="8027">
      <c r="C8027" s="9"/>
      <c r="D8027" s="9"/>
    </row>
    <row r="8028">
      <c r="C8028" s="9"/>
      <c r="D8028" s="9"/>
    </row>
    <row r="8029">
      <c r="C8029" s="9"/>
      <c r="D8029" s="9"/>
    </row>
    <row r="8030">
      <c r="C8030" s="9"/>
      <c r="D8030" s="9"/>
    </row>
    <row r="8031">
      <c r="C8031" s="9"/>
      <c r="D8031" s="9"/>
    </row>
    <row r="8032">
      <c r="C8032" s="9"/>
      <c r="D8032" s="9"/>
    </row>
    <row r="8033">
      <c r="C8033" s="9"/>
      <c r="D8033" s="9"/>
    </row>
    <row r="8034">
      <c r="C8034" s="9"/>
      <c r="D8034" s="9"/>
    </row>
    <row r="8035">
      <c r="C8035" s="9"/>
      <c r="D8035" s="9"/>
    </row>
    <row r="8036">
      <c r="C8036" s="9"/>
      <c r="D8036" s="9"/>
    </row>
    <row r="8037">
      <c r="C8037" s="9"/>
      <c r="D8037" s="9"/>
    </row>
    <row r="8038">
      <c r="C8038" s="9"/>
      <c r="D8038" s="9"/>
    </row>
    <row r="8039">
      <c r="C8039" s="9"/>
      <c r="D8039" s="9"/>
    </row>
    <row r="8040">
      <c r="C8040" s="9"/>
      <c r="D8040" s="9"/>
    </row>
    <row r="8041">
      <c r="C8041" s="9"/>
      <c r="D8041" s="9"/>
    </row>
    <row r="8042">
      <c r="C8042" s="9"/>
      <c r="D8042" s="9"/>
    </row>
    <row r="8043">
      <c r="C8043" s="9"/>
      <c r="D8043" s="9"/>
    </row>
    <row r="8044">
      <c r="C8044" s="9"/>
      <c r="D8044" s="9"/>
    </row>
    <row r="8045">
      <c r="C8045" s="9"/>
      <c r="D8045" s="9"/>
    </row>
    <row r="8046">
      <c r="C8046" s="9"/>
      <c r="D8046" s="9"/>
    </row>
    <row r="8047">
      <c r="C8047" s="9"/>
      <c r="D8047" s="9"/>
    </row>
    <row r="8048">
      <c r="C8048" s="9"/>
      <c r="D8048" s="9"/>
    </row>
    <row r="8049">
      <c r="C8049" s="9"/>
      <c r="D8049" s="9"/>
    </row>
    <row r="8050">
      <c r="C8050" s="9"/>
      <c r="D8050" s="9"/>
    </row>
    <row r="8051">
      <c r="C8051" s="9"/>
      <c r="D8051" s="9"/>
    </row>
    <row r="8052">
      <c r="C8052" s="9"/>
      <c r="D8052" s="9"/>
    </row>
    <row r="8053">
      <c r="C8053" s="9"/>
      <c r="D8053" s="9"/>
    </row>
    <row r="8054">
      <c r="C8054" s="9"/>
      <c r="D8054" s="9"/>
    </row>
    <row r="8055">
      <c r="C8055" s="9"/>
      <c r="D8055" s="9"/>
    </row>
    <row r="8056">
      <c r="C8056" s="9"/>
      <c r="D8056" s="9"/>
    </row>
    <row r="8057">
      <c r="C8057" s="9"/>
      <c r="D8057" s="9"/>
    </row>
    <row r="8058">
      <c r="C8058" s="9"/>
      <c r="D8058" s="9"/>
    </row>
    <row r="8059">
      <c r="C8059" s="9"/>
      <c r="D8059" s="9"/>
    </row>
    <row r="8060">
      <c r="C8060" s="9"/>
      <c r="D8060" s="9"/>
    </row>
    <row r="8061">
      <c r="C8061" s="9"/>
      <c r="D8061" s="9"/>
    </row>
    <row r="8062">
      <c r="C8062" s="9"/>
      <c r="D8062" s="9"/>
    </row>
    <row r="8063">
      <c r="C8063" s="9"/>
      <c r="D8063" s="9"/>
    </row>
    <row r="8064">
      <c r="C8064" s="9"/>
      <c r="D8064" s="9"/>
    </row>
    <row r="8065">
      <c r="C8065" s="9"/>
      <c r="D8065" s="9"/>
    </row>
    <row r="8066">
      <c r="C8066" s="9"/>
      <c r="D8066" s="9"/>
    </row>
    <row r="8067">
      <c r="C8067" s="9"/>
      <c r="D8067" s="9"/>
    </row>
    <row r="8068">
      <c r="C8068" s="9"/>
      <c r="D8068" s="9"/>
    </row>
    <row r="8069">
      <c r="C8069" s="9"/>
      <c r="D8069" s="9"/>
    </row>
    <row r="8070">
      <c r="C8070" s="9"/>
      <c r="D8070" s="9"/>
    </row>
    <row r="8071">
      <c r="C8071" s="9"/>
      <c r="D8071" s="9"/>
    </row>
    <row r="8072">
      <c r="C8072" s="9"/>
      <c r="D8072" s="9"/>
    </row>
    <row r="8073">
      <c r="C8073" s="9"/>
      <c r="D8073" s="9"/>
    </row>
    <row r="8074">
      <c r="C8074" s="9"/>
      <c r="D8074" s="9"/>
    </row>
    <row r="8075">
      <c r="C8075" s="9"/>
      <c r="D8075" s="9"/>
    </row>
    <row r="8076">
      <c r="C8076" s="9"/>
      <c r="D8076" s="9"/>
    </row>
    <row r="8077">
      <c r="C8077" s="9"/>
      <c r="D8077" s="9"/>
    </row>
    <row r="8078">
      <c r="C8078" s="9"/>
      <c r="D8078" s="9"/>
    </row>
    <row r="8079">
      <c r="C8079" s="9"/>
      <c r="D8079" s="9"/>
    </row>
    <row r="8080">
      <c r="C8080" s="9"/>
      <c r="D8080" s="9"/>
    </row>
    <row r="8081">
      <c r="C8081" s="9"/>
      <c r="D8081" s="9"/>
    </row>
    <row r="8082">
      <c r="C8082" s="9"/>
      <c r="D8082" s="9"/>
    </row>
    <row r="8083">
      <c r="C8083" s="9"/>
      <c r="D8083" s="9"/>
    </row>
    <row r="8084">
      <c r="C8084" s="9"/>
      <c r="D8084" s="9"/>
    </row>
    <row r="8085">
      <c r="C8085" s="9"/>
      <c r="D8085" s="9"/>
    </row>
    <row r="8086">
      <c r="C8086" s="9"/>
      <c r="D8086" s="9"/>
    </row>
    <row r="8087">
      <c r="C8087" s="9"/>
      <c r="D8087" s="9"/>
    </row>
    <row r="8088">
      <c r="C8088" s="9"/>
      <c r="D8088" s="9"/>
    </row>
    <row r="8089">
      <c r="C8089" s="9"/>
      <c r="D8089" s="9"/>
    </row>
    <row r="8090">
      <c r="C8090" s="9"/>
      <c r="D8090" s="9"/>
    </row>
    <row r="8091">
      <c r="C8091" s="9"/>
      <c r="D8091" s="9"/>
    </row>
    <row r="8092">
      <c r="C8092" s="9"/>
      <c r="D8092" s="9"/>
    </row>
    <row r="8093">
      <c r="C8093" s="9"/>
      <c r="D8093" s="9"/>
    </row>
    <row r="8094">
      <c r="C8094" s="9"/>
      <c r="D8094" s="9"/>
    </row>
    <row r="8095">
      <c r="C8095" s="9"/>
      <c r="D8095" s="9"/>
    </row>
    <row r="8096">
      <c r="C8096" s="9"/>
      <c r="D8096" s="9"/>
    </row>
    <row r="8097">
      <c r="C8097" s="9"/>
      <c r="D8097" s="9"/>
    </row>
    <row r="8098">
      <c r="C8098" s="9"/>
      <c r="D8098" s="9"/>
    </row>
    <row r="8099">
      <c r="C8099" s="9"/>
      <c r="D8099" s="9"/>
    </row>
    <row r="8100">
      <c r="C8100" s="9"/>
      <c r="D8100" s="9"/>
    </row>
    <row r="8101">
      <c r="C8101" s="9"/>
      <c r="D8101" s="9"/>
    </row>
    <row r="8102">
      <c r="C8102" s="9"/>
      <c r="D8102" s="9"/>
    </row>
    <row r="8103">
      <c r="C8103" s="9"/>
      <c r="D8103" s="9"/>
    </row>
    <row r="8104">
      <c r="C8104" s="9"/>
      <c r="D8104" s="9"/>
    </row>
    <row r="8105">
      <c r="C8105" s="9"/>
      <c r="D8105" s="9"/>
    </row>
    <row r="8106">
      <c r="C8106" s="9"/>
      <c r="D8106" s="9"/>
    </row>
    <row r="8107">
      <c r="C8107" s="9"/>
      <c r="D8107" s="9"/>
    </row>
    <row r="8108">
      <c r="C8108" s="9"/>
      <c r="D8108" s="9"/>
    </row>
    <row r="8109">
      <c r="C8109" s="9"/>
      <c r="D8109" s="9"/>
    </row>
    <row r="8110">
      <c r="C8110" s="9"/>
      <c r="D8110" s="9"/>
    </row>
    <row r="8111">
      <c r="C8111" s="9"/>
      <c r="D8111" s="9"/>
    </row>
    <row r="8112">
      <c r="C8112" s="9"/>
      <c r="D8112" s="9"/>
    </row>
    <row r="8113">
      <c r="C8113" s="9"/>
      <c r="D8113" s="9"/>
    </row>
    <row r="8114">
      <c r="C8114" s="9"/>
      <c r="D8114" s="9"/>
    </row>
    <row r="8115">
      <c r="C8115" s="9"/>
      <c r="D8115" s="9"/>
    </row>
    <row r="8116">
      <c r="C8116" s="9"/>
      <c r="D8116" s="9"/>
    </row>
    <row r="8117">
      <c r="C8117" s="9"/>
      <c r="D8117" s="9"/>
    </row>
    <row r="8118">
      <c r="C8118" s="9"/>
      <c r="D8118" s="9"/>
    </row>
    <row r="8119">
      <c r="C8119" s="9"/>
      <c r="D8119" s="9"/>
    </row>
    <row r="8120">
      <c r="C8120" s="9"/>
      <c r="D8120" s="9"/>
    </row>
    <row r="8121">
      <c r="C8121" s="9"/>
      <c r="D8121" s="9"/>
    </row>
    <row r="8122">
      <c r="C8122" s="9"/>
      <c r="D8122" s="9"/>
    </row>
    <row r="8123">
      <c r="C8123" s="9"/>
      <c r="D8123" s="9"/>
    </row>
    <row r="8124">
      <c r="C8124" s="9"/>
      <c r="D8124" s="9"/>
    </row>
    <row r="8125">
      <c r="C8125" s="9"/>
      <c r="D8125" s="9"/>
    </row>
    <row r="8126">
      <c r="C8126" s="9"/>
      <c r="D8126" s="9"/>
    </row>
    <row r="8127">
      <c r="C8127" s="9"/>
      <c r="D8127" s="9"/>
    </row>
    <row r="8128">
      <c r="C8128" s="9"/>
      <c r="D8128" s="9"/>
    </row>
    <row r="8129">
      <c r="C8129" s="9"/>
      <c r="D8129" s="9"/>
    </row>
    <row r="8130">
      <c r="C8130" s="9"/>
      <c r="D8130" s="9"/>
    </row>
    <row r="8131">
      <c r="C8131" s="9"/>
      <c r="D8131" s="9"/>
    </row>
    <row r="8132">
      <c r="C8132" s="9"/>
      <c r="D8132" s="9"/>
    </row>
    <row r="8133">
      <c r="C8133" s="9"/>
      <c r="D8133" s="9"/>
    </row>
    <row r="8134">
      <c r="C8134" s="9"/>
      <c r="D8134" s="9"/>
    </row>
    <row r="8135">
      <c r="C8135" s="9"/>
      <c r="D8135" s="9"/>
    </row>
    <row r="8136">
      <c r="C8136" s="9"/>
      <c r="D8136" s="9"/>
    </row>
    <row r="8137">
      <c r="C8137" s="9"/>
      <c r="D8137" s="9"/>
    </row>
    <row r="8138">
      <c r="C8138" s="9"/>
      <c r="D8138" s="9"/>
    </row>
    <row r="8139">
      <c r="C8139" s="9"/>
      <c r="D8139" s="9"/>
    </row>
    <row r="8140">
      <c r="C8140" s="9"/>
      <c r="D8140" s="9"/>
    </row>
    <row r="8141">
      <c r="C8141" s="9"/>
      <c r="D8141" s="9"/>
    </row>
    <row r="8142">
      <c r="C8142" s="9"/>
      <c r="D8142" s="9"/>
    </row>
    <row r="8143">
      <c r="C8143" s="9"/>
      <c r="D8143" s="9"/>
    </row>
    <row r="8144">
      <c r="C8144" s="9"/>
      <c r="D8144" s="9"/>
    </row>
    <row r="8145">
      <c r="C8145" s="9"/>
      <c r="D8145" s="9"/>
    </row>
    <row r="8146">
      <c r="C8146" s="9"/>
      <c r="D8146" s="9"/>
    </row>
    <row r="8147">
      <c r="C8147" s="9"/>
      <c r="D8147" s="9"/>
    </row>
    <row r="8148">
      <c r="C8148" s="9"/>
      <c r="D8148" s="9"/>
    </row>
    <row r="8149">
      <c r="C8149" s="9"/>
      <c r="D8149" s="9"/>
    </row>
    <row r="8150">
      <c r="C8150" s="9"/>
      <c r="D8150" s="9"/>
    </row>
    <row r="8151">
      <c r="C8151" s="9"/>
      <c r="D8151" s="9"/>
    </row>
    <row r="8152">
      <c r="C8152" s="9"/>
      <c r="D8152" s="9"/>
    </row>
    <row r="8153">
      <c r="C8153" s="9"/>
      <c r="D8153" s="9"/>
    </row>
    <row r="8154">
      <c r="C8154" s="9"/>
      <c r="D8154" s="9"/>
    </row>
    <row r="8155">
      <c r="C8155" s="9"/>
      <c r="D8155" s="9"/>
    </row>
    <row r="8156">
      <c r="C8156" s="9"/>
      <c r="D8156" s="9"/>
    </row>
    <row r="8157">
      <c r="C8157" s="9"/>
      <c r="D8157" s="9"/>
    </row>
    <row r="8158">
      <c r="C8158" s="9"/>
      <c r="D8158" s="9"/>
    </row>
    <row r="8159">
      <c r="C8159" s="9"/>
      <c r="D8159" s="9"/>
    </row>
    <row r="8160">
      <c r="C8160" s="9"/>
      <c r="D8160" s="9"/>
    </row>
    <row r="8161">
      <c r="C8161" s="9"/>
      <c r="D8161" s="9"/>
    </row>
    <row r="8162">
      <c r="C8162" s="9"/>
      <c r="D8162" s="9"/>
    </row>
    <row r="8163">
      <c r="C8163" s="9"/>
      <c r="D8163" s="9"/>
    </row>
    <row r="8164">
      <c r="C8164" s="9"/>
      <c r="D8164" s="9"/>
    </row>
    <row r="8165">
      <c r="C8165" s="9"/>
      <c r="D8165" s="9"/>
    </row>
    <row r="8166">
      <c r="C8166" s="9"/>
      <c r="D8166" s="9"/>
    </row>
    <row r="8167">
      <c r="C8167" s="9"/>
      <c r="D8167" s="9"/>
    </row>
    <row r="8168">
      <c r="C8168" s="9"/>
      <c r="D8168" s="9"/>
    </row>
    <row r="8169">
      <c r="C8169" s="9"/>
      <c r="D8169" s="9"/>
    </row>
    <row r="8170">
      <c r="C8170" s="9"/>
      <c r="D8170" s="9"/>
    </row>
    <row r="8171">
      <c r="C8171" s="9"/>
      <c r="D8171" s="9"/>
    </row>
    <row r="8172">
      <c r="C8172" s="9"/>
      <c r="D8172" s="9"/>
    </row>
    <row r="8173">
      <c r="C8173" s="9"/>
      <c r="D8173" s="9"/>
    </row>
    <row r="8174">
      <c r="C8174" s="9"/>
      <c r="D8174" s="9"/>
    </row>
    <row r="8175">
      <c r="C8175" s="9"/>
      <c r="D8175" s="9"/>
    </row>
    <row r="8176">
      <c r="C8176" s="9"/>
      <c r="D8176" s="9"/>
    </row>
    <row r="8177">
      <c r="C8177" s="9"/>
      <c r="D8177" s="9"/>
    </row>
    <row r="8178">
      <c r="C8178" s="9"/>
      <c r="D8178" s="9"/>
    </row>
    <row r="8179">
      <c r="C8179" s="9"/>
      <c r="D8179" s="9"/>
    </row>
    <row r="8180">
      <c r="C8180" s="9"/>
      <c r="D8180" s="9"/>
    </row>
    <row r="8181">
      <c r="C8181" s="9"/>
      <c r="D8181" s="9"/>
    </row>
    <row r="8182">
      <c r="C8182" s="9"/>
      <c r="D8182" s="9"/>
    </row>
    <row r="8183">
      <c r="C8183" s="9"/>
      <c r="D8183" s="9"/>
    </row>
    <row r="8184">
      <c r="C8184" s="9"/>
      <c r="D8184" s="9"/>
    </row>
    <row r="8185">
      <c r="C8185" s="9"/>
      <c r="D8185" s="9"/>
    </row>
    <row r="8186">
      <c r="C8186" s="9"/>
      <c r="D8186" s="9"/>
    </row>
    <row r="8187">
      <c r="C8187" s="9"/>
      <c r="D8187" s="9"/>
    </row>
    <row r="8188">
      <c r="C8188" s="9"/>
      <c r="D8188" s="9"/>
    </row>
    <row r="8189">
      <c r="C8189" s="9"/>
      <c r="D8189" s="9"/>
    </row>
    <row r="8190">
      <c r="C8190" s="9"/>
      <c r="D8190" s="9"/>
    </row>
    <row r="8191">
      <c r="C8191" s="9"/>
      <c r="D8191" s="9"/>
    </row>
    <row r="8192">
      <c r="C8192" s="9"/>
      <c r="D8192" s="9"/>
    </row>
    <row r="8193">
      <c r="C8193" s="9"/>
      <c r="D8193" s="9"/>
    </row>
    <row r="8194">
      <c r="C8194" s="9"/>
      <c r="D8194" s="9"/>
    </row>
    <row r="8195">
      <c r="C8195" s="9"/>
      <c r="D8195" s="9"/>
    </row>
    <row r="8196">
      <c r="C8196" s="9"/>
      <c r="D8196" s="9"/>
    </row>
    <row r="8197">
      <c r="C8197" s="9"/>
      <c r="D8197" s="9"/>
    </row>
    <row r="8198">
      <c r="C8198" s="9"/>
      <c r="D8198" s="9"/>
    </row>
    <row r="8199">
      <c r="C8199" s="9"/>
      <c r="D8199" s="9"/>
    </row>
    <row r="8200">
      <c r="C8200" s="9"/>
      <c r="D8200" s="9"/>
    </row>
    <row r="8201">
      <c r="C8201" s="9"/>
      <c r="D8201" s="9"/>
    </row>
    <row r="8202">
      <c r="C8202" s="9"/>
      <c r="D8202" s="9"/>
    </row>
    <row r="8203">
      <c r="C8203" s="9"/>
      <c r="D8203" s="9"/>
    </row>
    <row r="8204">
      <c r="C8204" s="9"/>
      <c r="D8204" s="9"/>
    </row>
    <row r="8205">
      <c r="C8205" s="9"/>
      <c r="D8205" s="9"/>
    </row>
    <row r="8206">
      <c r="C8206" s="9"/>
      <c r="D8206" s="9"/>
    </row>
    <row r="8207">
      <c r="C8207" s="9"/>
      <c r="D8207" s="9"/>
    </row>
    <row r="8208">
      <c r="C8208" s="9"/>
      <c r="D8208" s="9"/>
    </row>
    <row r="8209">
      <c r="C8209" s="9"/>
      <c r="D8209" s="9"/>
    </row>
    <row r="8210">
      <c r="C8210" s="9"/>
      <c r="D8210" s="9"/>
    </row>
    <row r="8211">
      <c r="C8211" s="9"/>
      <c r="D8211" s="9"/>
    </row>
    <row r="8212">
      <c r="C8212" s="9"/>
      <c r="D8212" s="9"/>
    </row>
    <row r="8213">
      <c r="C8213" s="9"/>
      <c r="D8213" s="9"/>
    </row>
    <row r="8214">
      <c r="C8214" s="9"/>
      <c r="D8214" s="9"/>
    </row>
    <row r="8215">
      <c r="C8215" s="9"/>
      <c r="D8215" s="9"/>
    </row>
    <row r="8216">
      <c r="C8216" s="9"/>
      <c r="D8216" s="9"/>
    </row>
    <row r="8217">
      <c r="C8217" s="9"/>
      <c r="D8217" s="9"/>
    </row>
    <row r="8218">
      <c r="C8218" s="9"/>
      <c r="D8218" s="9"/>
    </row>
    <row r="8219">
      <c r="C8219" s="9"/>
      <c r="D8219" s="9"/>
    </row>
    <row r="8220">
      <c r="C8220" s="9"/>
      <c r="D8220" s="9"/>
    </row>
    <row r="8221">
      <c r="C8221" s="9"/>
      <c r="D8221" s="9"/>
    </row>
    <row r="8222">
      <c r="C8222" s="9"/>
      <c r="D8222" s="9"/>
    </row>
    <row r="8223">
      <c r="C8223" s="9"/>
      <c r="D8223" s="9"/>
    </row>
    <row r="8224">
      <c r="C8224" s="9"/>
      <c r="D8224" s="9"/>
    </row>
    <row r="8225">
      <c r="C8225" s="9"/>
      <c r="D8225" s="9"/>
    </row>
    <row r="8226">
      <c r="C8226" s="9"/>
      <c r="D8226" s="9"/>
    </row>
    <row r="8227">
      <c r="C8227" s="9"/>
      <c r="D8227" s="9"/>
    </row>
    <row r="8228">
      <c r="C8228" s="9"/>
      <c r="D8228" s="9"/>
    </row>
    <row r="8229">
      <c r="C8229" s="9"/>
      <c r="D8229" s="9"/>
    </row>
    <row r="8230">
      <c r="C8230" s="9"/>
      <c r="D8230" s="9"/>
    </row>
    <row r="8231">
      <c r="C8231" s="9"/>
      <c r="D8231" s="9"/>
    </row>
    <row r="8232">
      <c r="C8232" s="9"/>
      <c r="D8232" s="9"/>
    </row>
    <row r="8233">
      <c r="C8233" s="9"/>
      <c r="D8233" s="9"/>
    </row>
    <row r="8234">
      <c r="C8234" s="9"/>
      <c r="D8234" s="9"/>
    </row>
    <row r="8235">
      <c r="C8235" s="9"/>
      <c r="D8235" s="9"/>
    </row>
    <row r="8236">
      <c r="C8236" s="9"/>
      <c r="D8236" s="9"/>
    </row>
    <row r="8237">
      <c r="C8237" s="9"/>
      <c r="D8237" s="9"/>
    </row>
    <row r="8238">
      <c r="C8238" s="9"/>
      <c r="D8238" s="9"/>
    </row>
    <row r="8239">
      <c r="C8239" s="9"/>
      <c r="D8239" s="9"/>
    </row>
    <row r="8240">
      <c r="C8240" s="9"/>
      <c r="D8240" s="9"/>
    </row>
    <row r="8241">
      <c r="C8241" s="9"/>
      <c r="D8241" s="9"/>
    </row>
    <row r="8242">
      <c r="C8242" s="9"/>
      <c r="D8242" s="9"/>
    </row>
    <row r="8243">
      <c r="C8243" s="9"/>
      <c r="D8243" s="9"/>
    </row>
    <row r="8244">
      <c r="C8244" s="9"/>
      <c r="D8244" s="9"/>
    </row>
    <row r="8245">
      <c r="C8245" s="9"/>
      <c r="D8245" s="9"/>
    </row>
    <row r="8246">
      <c r="C8246" s="9"/>
      <c r="D8246" s="9"/>
    </row>
    <row r="8247">
      <c r="C8247" s="9"/>
      <c r="D8247" s="9"/>
    </row>
    <row r="8248">
      <c r="C8248" s="9"/>
      <c r="D8248" s="9"/>
    </row>
    <row r="8249">
      <c r="C8249" s="9"/>
      <c r="D8249" s="9"/>
    </row>
    <row r="8250">
      <c r="C8250" s="9"/>
      <c r="D8250" s="9"/>
    </row>
    <row r="8251">
      <c r="C8251" s="9"/>
      <c r="D8251" s="9"/>
    </row>
    <row r="8252">
      <c r="C8252" s="9"/>
      <c r="D8252" s="9"/>
    </row>
    <row r="8253">
      <c r="C8253" s="9"/>
      <c r="D8253" s="9"/>
    </row>
    <row r="8254">
      <c r="C8254" s="9"/>
      <c r="D8254" s="9"/>
    </row>
    <row r="8255">
      <c r="C8255" s="9"/>
      <c r="D8255" s="9"/>
    </row>
    <row r="8256">
      <c r="C8256" s="9"/>
      <c r="D8256" s="9"/>
    </row>
    <row r="8257">
      <c r="C8257" s="9"/>
      <c r="D8257" s="9"/>
    </row>
    <row r="8258">
      <c r="C8258" s="9"/>
      <c r="D8258" s="9"/>
    </row>
    <row r="8259">
      <c r="C8259" s="9"/>
      <c r="D8259" s="9"/>
    </row>
    <row r="8260">
      <c r="C8260" s="9"/>
      <c r="D8260" s="9"/>
    </row>
    <row r="8261">
      <c r="C8261" s="9"/>
      <c r="D8261" s="9"/>
    </row>
    <row r="8262">
      <c r="C8262" s="9"/>
      <c r="D8262" s="9"/>
    </row>
    <row r="8263">
      <c r="C8263" s="9"/>
      <c r="D8263" s="9"/>
    </row>
    <row r="8264">
      <c r="C8264" s="9"/>
      <c r="D8264" s="9"/>
    </row>
    <row r="8265">
      <c r="C8265" s="9"/>
      <c r="D8265" s="9"/>
    </row>
    <row r="8266">
      <c r="C8266" s="9"/>
      <c r="D8266" s="9"/>
    </row>
    <row r="8267">
      <c r="C8267" s="9"/>
      <c r="D8267" s="9"/>
    </row>
    <row r="8268">
      <c r="C8268" s="9"/>
      <c r="D8268" s="9"/>
    </row>
    <row r="8269">
      <c r="C8269" s="9"/>
      <c r="D8269" s="9"/>
    </row>
    <row r="8270">
      <c r="C8270" s="9"/>
      <c r="D8270" s="9"/>
    </row>
    <row r="8271">
      <c r="C8271" s="9"/>
      <c r="D8271" s="9"/>
    </row>
    <row r="8272">
      <c r="C8272" s="9"/>
      <c r="D8272" s="9"/>
    </row>
    <row r="8273">
      <c r="C8273" s="9"/>
      <c r="D8273" s="9"/>
    </row>
    <row r="8274">
      <c r="C8274" s="9"/>
      <c r="D8274" s="9"/>
    </row>
    <row r="8275">
      <c r="C8275" s="9"/>
      <c r="D8275" s="9"/>
    </row>
    <row r="8276">
      <c r="C8276" s="9"/>
      <c r="D8276" s="9"/>
    </row>
    <row r="8277">
      <c r="C8277" s="9"/>
      <c r="D8277" s="9"/>
    </row>
    <row r="8278">
      <c r="C8278" s="9"/>
      <c r="D8278" s="9"/>
    </row>
    <row r="8279">
      <c r="C8279" s="9"/>
      <c r="D8279" s="9"/>
    </row>
    <row r="8280">
      <c r="C8280" s="9"/>
      <c r="D8280" s="9"/>
    </row>
    <row r="8281">
      <c r="C8281" s="9"/>
      <c r="D8281" s="9"/>
    </row>
    <row r="8282">
      <c r="C8282" s="9"/>
      <c r="D8282" s="9"/>
    </row>
    <row r="8283">
      <c r="C8283" s="9"/>
      <c r="D8283" s="9"/>
    </row>
    <row r="8284">
      <c r="C8284" s="9"/>
      <c r="D8284" s="9"/>
    </row>
    <row r="8285">
      <c r="C8285" s="9"/>
      <c r="D8285" s="9"/>
    </row>
    <row r="8286">
      <c r="C8286" s="9"/>
      <c r="D8286" s="9"/>
    </row>
    <row r="8287">
      <c r="C8287" s="9"/>
      <c r="D8287" s="9"/>
    </row>
    <row r="8288">
      <c r="C8288" s="9"/>
      <c r="D8288" s="9"/>
    </row>
    <row r="8289">
      <c r="C8289" s="9"/>
      <c r="D8289" s="9"/>
    </row>
    <row r="8290">
      <c r="C8290" s="9"/>
      <c r="D8290" s="9"/>
    </row>
    <row r="8291">
      <c r="C8291" s="9"/>
      <c r="D8291" s="9"/>
    </row>
    <row r="8292">
      <c r="C8292" s="9"/>
      <c r="D8292" s="9"/>
    </row>
    <row r="8293">
      <c r="C8293" s="9"/>
      <c r="D8293" s="9"/>
    </row>
    <row r="8294">
      <c r="C8294" s="9"/>
      <c r="D8294" s="9"/>
    </row>
    <row r="8295">
      <c r="C8295" s="9"/>
      <c r="D8295" s="9"/>
    </row>
    <row r="8296">
      <c r="C8296" s="9"/>
      <c r="D8296" s="9"/>
    </row>
    <row r="8297">
      <c r="C8297" s="9"/>
      <c r="D8297" s="9"/>
    </row>
    <row r="8298">
      <c r="C8298" s="9"/>
      <c r="D8298" s="9"/>
    </row>
    <row r="8299">
      <c r="C8299" s="9"/>
      <c r="D8299" s="9"/>
    </row>
    <row r="8300">
      <c r="C8300" s="9"/>
      <c r="D8300" s="9"/>
    </row>
    <row r="8301">
      <c r="C8301" s="9"/>
      <c r="D8301" s="9"/>
    </row>
    <row r="8302">
      <c r="C8302" s="9"/>
      <c r="D8302" s="9"/>
    </row>
    <row r="8303">
      <c r="C8303" s="9"/>
      <c r="D8303" s="9"/>
    </row>
    <row r="8304">
      <c r="C8304" s="9"/>
      <c r="D8304" s="9"/>
    </row>
    <row r="8305">
      <c r="C8305" s="9"/>
      <c r="D8305" s="9"/>
    </row>
    <row r="8306">
      <c r="C8306" s="9"/>
      <c r="D8306" s="9"/>
    </row>
    <row r="8307">
      <c r="C8307" s="9"/>
      <c r="D8307" s="9"/>
    </row>
    <row r="8308">
      <c r="C8308" s="9"/>
      <c r="D8308" s="9"/>
    </row>
    <row r="8309">
      <c r="C8309" s="9"/>
      <c r="D8309" s="9"/>
    </row>
    <row r="8310">
      <c r="C8310" s="9"/>
      <c r="D8310" s="9"/>
    </row>
    <row r="8311">
      <c r="C8311" s="9"/>
      <c r="D8311" s="9"/>
    </row>
    <row r="8312">
      <c r="C8312" s="9"/>
      <c r="D8312" s="9"/>
    </row>
    <row r="8313">
      <c r="C8313" s="9"/>
      <c r="D8313" s="9"/>
    </row>
    <row r="8314">
      <c r="C8314" s="9"/>
      <c r="D8314" s="9"/>
    </row>
    <row r="8315">
      <c r="C8315" s="9"/>
      <c r="D8315" s="9"/>
    </row>
    <row r="8316">
      <c r="C8316" s="9"/>
      <c r="D8316" s="9"/>
    </row>
    <row r="8317">
      <c r="C8317" s="9"/>
      <c r="D8317" s="9"/>
    </row>
    <row r="8318">
      <c r="C8318" s="9"/>
      <c r="D8318" s="9"/>
    </row>
    <row r="8319">
      <c r="C8319" s="9"/>
      <c r="D8319" s="9"/>
    </row>
    <row r="8320">
      <c r="C8320" s="9"/>
      <c r="D8320" s="9"/>
    </row>
    <row r="8321">
      <c r="C8321" s="9"/>
      <c r="D8321" s="9"/>
    </row>
    <row r="8322">
      <c r="C8322" s="9"/>
      <c r="D8322" s="9"/>
    </row>
    <row r="8323">
      <c r="C8323" s="9"/>
      <c r="D8323" s="9"/>
    </row>
    <row r="8324">
      <c r="C8324" s="9"/>
      <c r="D8324" s="9"/>
    </row>
    <row r="8325">
      <c r="C8325" s="9"/>
      <c r="D8325" s="9"/>
    </row>
    <row r="8326">
      <c r="C8326" s="9"/>
      <c r="D8326" s="9"/>
    </row>
    <row r="8327">
      <c r="C8327" s="9"/>
      <c r="D8327" s="9"/>
    </row>
    <row r="8328">
      <c r="C8328" s="9"/>
      <c r="D8328" s="9"/>
    </row>
    <row r="8329">
      <c r="C8329" s="9"/>
      <c r="D8329" s="9"/>
    </row>
    <row r="8330">
      <c r="C8330" s="9"/>
      <c r="D8330" s="9"/>
    </row>
    <row r="8331">
      <c r="C8331" s="9"/>
      <c r="D8331" s="9"/>
    </row>
    <row r="8332">
      <c r="C8332" s="9"/>
      <c r="D8332" s="9"/>
    </row>
    <row r="8333">
      <c r="C8333" s="9"/>
      <c r="D8333" s="9"/>
    </row>
    <row r="8334">
      <c r="C8334" s="9"/>
      <c r="D8334" s="9"/>
    </row>
    <row r="8335">
      <c r="C8335" s="9"/>
      <c r="D8335" s="9"/>
    </row>
    <row r="8336">
      <c r="C8336" s="9"/>
      <c r="D8336" s="9"/>
    </row>
    <row r="8337">
      <c r="C8337" s="9"/>
      <c r="D8337" s="9"/>
    </row>
    <row r="8338">
      <c r="C8338" s="9"/>
      <c r="D8338" s="9"/>
    </row>
    <row r="8339">
      <c r="C8339" s="9"/>
      <c r="D8339" s="9"/>
    </row>
    <row r="8340">
      <c r="C8340" s="9"/>
      <c r="D8340" s="9"/>
    </row>
    <row r="8341">
      <c r="C8341" s="9"/>
      <c r="D8341" s="9"/>
    </row>
    <row r="8342">
      <c r="C8342" s="9"/>
      <c r="D8342" s="9"/>
    </row>
    <row r="8343">
      <c r="C8343" s="9"/>
      <c r="D8343" s="9"/>
    </row>
    <row r="8344">
      <c r="C8344" s="9"/>
      <c r="D8344" s="9"/>
    </row>
    <row r="8345">
      <c r="C8345" s="9"/>
      <c r="D8345" s="9"/>
    </row>
    <row r="8346">
      <c r="C8346" s="9"/>
      <c r="D8346" s="9"/>
    </row>
    <row r="8347">
      <c r="C8347" s="9"/>
      <c r="D8347" s="9"/>
    </row>
    <row r="8348">
      <c r="C8348" s="9"/>
      <c r="D8348" s="9"/>
    </row>
    <row r="8349">
      <c r="C8349" s="9"/>
      <c r="D8349" s="9"/>
    </row>
    <row r="8350">
      <c r="C8350" s="9"/>
      <c r="D8350" s="9"/>
    </row>
    <row r="8351">
      <c r="C8351" s="9"/>
      <c r="D8351" s="9"/>
    </row>
    <row r="8352">
      <c r="C8352" s="9"/>
      <c r="D8352" s="9"/>
    </row>
    <row r="8353">
      <c r="C8353" s="9"/>
      <c r="D8353" s="9"/>
    </row>
    <row r="8354">
      <c r="C8354" s="9"/>
      <c r="D8354" s="9"/>
    </row>
    <row r="8355">
      <c r="C8355" s="9"/>
      <c r="D8355" s="9"/>
    </row>
    <row r="8356">
      <c r="C8356" s="9"/>
      <c r="D8356" s="9"/>
    </row>
    <row r="8357">
      <c r="C8357" s="9"/>
      <c r="D8357" s="9"/>
    </row>
    <row r="8358">
      <c r="C8358" s="9"/>
      <c r="D8358" s="9"/>
    </row>
    <row r="8359">
      <c r="C8359" s="9"/>
      <c r="D8359" s="9"/>
    </row>
    <row r="8360">
      <c r="C8360" s="9"/>
      <c r="D8360" s="9"/>
    </row>
    <row r="8361">
      <c r="C8361" s="9"/>
      <c r="D8361" s="9"/>
    </row>
    <row r="8362">
      <c r="C8362" s="9"/>
      <c r="D8362" s="9"/>
    </row>
    <row r="8363">
      <c r="C8363" s="9"/>
      <c r="D8363" s="9"/>
    </row>
    <row r="8364">
      <c r="C8364" s="9"/>
      <c r="D8364" s="9"/>
    </row>
    <row r="8365">
      <c r="C8365" s="9"/>
      <c r="D8365" s="9"/>
    </row>
    <row r="8366">
      <c r="C8366" s="9"/>
      <c r="D8366" s="9"/>
    </row>
    <row r="8367">
      <c r="C8367" s="9"/>
      <c r="D8367" s="9"/>
    </row>
    <row r="8368">
      <c r="C8368" s="9"/>
      <c r="D8368" s="9"/>
    </row>
    <row r="8369">
      <c r="C8369" s="9"/>
      <c r="D8369" s="9"/>
    </row>
    <row r="8370">
      <c r="C8370" s="9"/>
      <c r="D8370" s="9"/>
    </row>
    <row r="8371">
      <c r="C8371" s="9"/>
      <c r="D8371" s="9"/>
    </row>
    <row r="8372">
      <c r="C8372" s="9"/>
      <c r="D8372" s="9"/>
    </row>
    <row r="8373">
      <c r="C8373" s="9"/>
      <c r="D8373" s="9"/>
    </row>
    <row r="8374">
      <c r="C8374" s="9"/>
      <c r="D8374" s="9"/>
    </row>
    <row r="8375">
      <c r="C8375" s="9"/>
      <c r="D8375" s="9"/>
    </row>
    <row r="8376">
      <c r="C8376" s="9"/>
      <c r="D8376" s="9"/>
    </row>
    <row r="8377">
      <c r="C8377" s="9"/>
      <c r="D8377" s="9"/>
    </row>
    <row r="8378">
      <c r="C8378" s="9"/>
      <c r="D8378" s="9"/>
    </row>
    <row r="8379">
      <c r="C8379" s="9"/>
      <c r="D8379" s="9"/>
    </row>
    <row r="8380">
      <c r="C8380" s="9"/>
      <c r="D8380" s="9"/>
    </row>
    <row r="8381">
      <c r="C8381" s="9"/>
      <c r="D8381" s="9"/>
    </row>
    <row r="8382">
      <c r="C8382" s="9"/>
      <c r="D8382" s="9"/>
    </row>
    <row r="8383">
      <c r="C8383" s="9"/>
      <c r="D8383" s="9"/>
    </row>
    <row r="8384">
      <c r="C8384" s="9"/>
      <c r="D8384" s="9"/>
    </row>
    <row r="8385">
      <c r="C8385" s="9"/>
      <c r="D8385" s="9"/>
    </row>
    <row r="8386">
      <c r="C8386" s="9"/>
      <c r="D8386" s="9"/>
    </row>
    <row r="8387">
      <c r="C8387" s="9"/>
      <c r="D8387" s="9"/>
    </row>
    <row r="8388">
      <c r="C8388" s="9"/>
      <c r="D8388" s="9"/>
    </row>
    <row r="8389">
      <c r="C8389" s="9"/>
      <c r="D8389" s="9"/>
    </row>
    <row r="8390">
      <c r="C8390" s="9"/>
      <c r="D8390" s="9"/>
    </row>
    <row r="8391">
      <c r="C8391" s="9"/>
      <c r="D8391" s="9"/>
    </row>
    <row r="8392">
      <c r="C8392" s="9"/>
      <c r="D8392" s="9"/>
    </row>
    <row r="8393">
      <c r="C8393" s="9"/>
      <c r="D8393" s="9"/>
    </row>
    <row r="8394">
      <c r="C8394" s="9"/>
      <c r="D8394" s="9"/>
    </row>
    <row r="8395">
      <c r="C8395" s="9"/>
      <c r="D8395" s="9"/>
    </row>
    <row r="8396">
      <c r="C8396" s="9"/>
      <c r="D8396" s="9"/>
    </row>
    <row r="8397">
      <c r="C8397" s="9"/>
      <c r="D8397" s="9"/>
    </row>
    <row r="8398">
      <c r="C8398" s="9"/>
      <c r="D8398" s="9"/>
    </row>
    <row r="8399">
      <c r="C8399" s="9"/>
      <c r="D8399" s="9"/>
    </row>
    <row r="8400">
      <c r="C8400" s="9"/>
      <c r="D8400" s="9"/>
    </row>
    <row r="8401">
      <c r="C8401" s="9"/>
      <c r="D8401" s="9"/>
    </row>
    <row r="8402">
      <c r="C8402" s="9"/>
      <c r="D8402" s="9"/>
    </row>
    <row r="8403">
      <c r="C8403" s="9"/>
      <c r="D8403" s="9"/>
    </row>
    <row r="8404">
      <c r="C8404" s="9"/>
      <c r="D8404" s="9"/>
    </row>
    <row r="8405">
      <c r="C8405" s="9"/>
      <c r="D8405" s="9"/>
    </row>
    <row r="8406">
      <c r="C8406" s="9"/>
      <c r="D8406" s="9"/>
    </row>
    <row r="8407">
      <c r="C8407" s="9"/>
      <c r="D8407" s="9"/>
    </row>
    <row r="8408">
      <c r="C8408" s="9"/>
      <c r="D8408" s="9"/>
    </row>
    <row r="8409">
      <c r="C8409" s="9"/>
      <c r="D8409" s="9"/>
    </row>
    <row r="8410">
      <c r="C8410" s="9"/>
      <c r="D8410" s="9"/>
    </row>
    <row r="8411">
      <c r="C8411" s="9"/>
      <c r="D8411" s="9"/>
    </row>
    <row r="8412">
      <c r="C8412" s="9"/>
      <c r="D8412" s="9"/>
    </row>
    <row r="8413">
      <c r="C8413" s="9"/>
      <c r="D8413" s="9"/>
    </row>
    <row r="8414">
      <c r="C8414" s="9"/>
      <c r="D8414" s="9"/>
    </row>
    <row r="8415">
      <c r="C8415" s="9"/>
      <c r="D8415" s="9"/>
    </row>
    <row r="8416">
      <c r="C8416" s="9"/>
      <c r="D8416" s="9"/>
    </row>
    <row r="8417">
      <c r="C8417" s="9"/>
      <c r="D8417" s="9"/>
    </row>
    <row r="8418">
      <c r="C8418" s="9"/>
      <c r="D8418" s="9"/>
    </row>
    <row r="8419">
      <c r="C8419" s="9"/>
      <c r="D8419" s="9"/>
    </row>
    <row r="8420">
      <c r="C8420" s="9"/>
      <c r="D8420" s="9"/>
    </row>
    <row r="8421">
      <c r="C8421" s="9"/>
      <c r="D8421" s="9"/>
    </row>
    <row r="8422">
      <c r="C8422" s="9"/>
      <c r="D8422" s="9"/>
    </row>
    <row r="8423">
      <c r="C8423" s="9"/>
      <c r="D8423" s="9"/>
    </row>
    <row r="8424">
      <c r="C8424" s="9"/>
      <c r="D8424" s="9"/>
    </row>
    <row r="8425">
      <c r="C8425" s="9"/>
      <c r="D8425" s="9"/>
    </row>
    <row r="8426">
      <c r="C8426" s="9"/>
      <c r="D8426" s="9"/>
    </row>
    <row r="8427">
      <c r="C8427" s="9"/>
      <c r="D8427" s="9"/>
    </row>
    <row r="8428">
      <c r="C8428" s="9"/>
      <c r="D8428" s="9"/>
    </row>
    <row r="8429">
      <c r="C8429" s="9"/>
      <c r="D8429" s="9"/>
    </row>
    <row r="8430">
      <c r="C8430" s="9"/>
      <c r="D8430" s="9"/>
    </row>
    <row r="8431">
      <c r="C8431" s="9"/>
      <c r="D8431" s="9"/>
    </row>
    <row r="8432">
      <c r="C8432" s="9"/>
      <c r="D8432" s="9"/>
    </row>
    <row r="8433">
      <c r="C8433" s="9"/>
      <c r="D8433" s="9"/>
    </row>
    <row r="8434">
      <c r="C8434" s="9"/>
      <c r="D8434" s="9"/>
    </row>
    <row r="8435">
      <c r="C8435" s="9"/>
      <c r="D8435" s="9"/>
    </row>
    <row r="8436">
      <c r="C8436" s="9"/>
      <c r="D8436" s="9"/>
    </row>
    <row r="8437">
      <c r="C8437" s="9"/>
      <c r="D8437" s="9"/>
    </row>
    <row r="8438">
      <c r="C8438" s="9"/>
      <c r="D8438" s="9"/>
    </row>
    <row r="8439">
      <c r="C8439" s="9"/>
      <c r="D8439" s="9"/>
    </row>
    <row r="8440">
      <c r="C8440" s="9"/>
      <c r="D8440" s="9"/>
    </row>
    <row r="8441">
      <c r="C8441" s="9"/>
      <c r="D8441" s="9"/>
    </row>
    <row r="8442">
      <c r="C8442" s="9"/>
      <c r="D8442" s="9"/>
    </row>
    <row r="8443">
      <c r="C8443" s="9"/>
      <c r="D8443" s="9"/>
    </row>
    <row r="8444">
      <c r="C8444" s="9"/>
      <c r="D8444" s="9"/>
    </row>
    <row r="8445">
      <c r="C8445" s="9"/>
      <c r="D8445" s="9"/>
    </row>
    <row r="8446">
      <c r="C8446" s="9"/>
      <c r="D8446" s="9"/>
    </row>
    <row r="8447">
      <c r="C8447" s="9"/>
      <c r="D8447" s="9"/>
    </row>
    <row r="8448">
      <c r="C8448" s="9"/>
      <c r="D8448" s="9"/>
    </row>
    <row r="8449">
      <c r="C8449" s="9"/>
      <c r="D8449" s="9"/>
    </row>
    <row r="8450">
      <c r="C8450" s="9"/>
      <c r="D8450" s="9"/>
    </row>
    <row r="8451">
      <c r="C8451" s="9"/>
      <c r="D8451" s="9"/>
    </row>
    <row r="8452">
      <c r="C8452" s="9"/>
      <c r="D8452" s="9"/>
    </row>
    <row r="8453">
      <c r="C8453" s="9"/>
      <c r="D8453" s="9"/>
    </row>
    <row r="8454">
      <c r="C8454" s="9"/>
      <c r="D8454" s="9"/>
    </row>
    <row r="8455">
      <c r="C8455" s="9"/>
      <c r="D8455" s="9"/>
    </row>
    <row r="8456">
      <c r="C8456" s="9"/>
      <c r="D8456" s="9"/>
    </row>
    <row r="8457">
      <c r="C8457" s="9"/>
      <c r="D8457" s="9"/>
    </row>
    <row r="8458">
      <c r="C8458" s="9"/>
      <c r="D8458" s="9"/>
    </row>
    <row r="8459">
      <c r="C8459" s="9"/>
      <c r="D8459" s="9"/>
    </row>
    <row r="8460">
      <c r="C8460" s="9"/>
      <c r="D8460" s="9"/>
    </row>
    <row r="8461">
      <c r="C8461" s="9"/>
      <c r="D8461" s="9"/>
    </row>
    <row r="8462">
      <c r="C8462" s="9"/>
      <c r="D8462" s="9"/>
    </row>
    <row r="8463">
      <c r="C8463" s="9"/>
      <c r="D8463" s="9"/>
    </row>
    <row r="8464">
      <c r="C8464" s="9"/>
      <c r="D8464" s="9"/>
    </row>
    <row r="8465">
      <c r="C8465" s="9"/>
      <c r="D8465" s="9"/>
    </row>
    <row r="8466">
      <c r="C8466" s="9"/>
      <c r="D8466" s="9"/>
    </row>
    <row r="8467">
      <c r="C8467" s="9"/>
      <c r="D8467" s="9"/>
    </row>
    <row r="8468">
      <c r="C8468" s="9"/>
      <c r="D8468" s="9"/>
    </row>
    <row r="8469">
      <c r="C8469" s="9"/>
      <c r="D8469" s="9"/>
    </row>
    <row r="8470">
      <c r="C8470" s="9"/>
      <c r="D8470" s="9"/>
    </row>
    <row r="8471">
      <c r="C8471" s="9"/>
      <c r="D8471" s="9"/>
    </row>
    <row r="8472">
      <c r="C8472" s="9"/>
      <c r="D8472" s="9"/>
    </row>
    <row r="8473">
      <c r="C8473" s="9"/>
      <c r="D8473" s="9"/>
    </row>
    <row r="8474">
      <c r="C8474" s="9"/>
      <c r="D8474" s="9"/>
    </row>
    <row r="8475">
      <c r="C8475" s="9"/>
      <c r="D8475" s="9"/>
    </row>
    <row r="8476">
      <c r="C8476" s="9"/>
      <c r="D8476" s="9"/>
    </row>
    <row r="8477">
      <c r="C8477" s="9"/>
      <c r="D8477" s="9"/>
    </row>
    <row r="8478">
      <c r="C8478" s="9"/>
      <c r="D8478" s="9"/>
    </row>
    <row r="8479">
      <c r="C8479" s="9"/>
      <c r="D8479" s="9"/>
    </row>
    <row r="8480">
      <c r="C8480" s="9"/>
      <c r="D8480" s="9"/>
    </row>
    <row r="8481">
      <c r="C8481" s="9"/>
      <c r="D8481" s="9"/>
    </row>
    <row r="8482">
      <c r="C8482" s="9"/>
      <c r="D8482" s="9"/>
    </row>
    <row r="8483">
      <c r="C8483" s="9"/>
      <c r="D8483" s="9"/>
    </row>
    <row r="8484">
      <c r="C8484" s="9"/>
      <c r="D8484" s="9"/>
    </row>
    <row r="8485">
      <c r="C8485" s="9"/>
      <c r="D8485" s="9"/>
    </row>
    <row r="8486">
      <c r="C8486" s="9"/>
      <c r="D8486" s="9"/>
    </row>
    <row r="8487">
      <c r="C8487" s="9"/>
      <c r="D8487" s="9"/>
    </row>
    <row r="8488">
      <c r="C8488" s="9"/>
      <c r="D8488" s="9"/>
    </row>
    <row r="8489">
      <c r="C8489" s="9"/>
      <c r="D8489" s="9"/>
    </row>
    <row r="8490">
      <c r="C8490" s="9"/>
      <c r="D8490" s="9"/>
    </row>
    <row r="8491">
      <c r="C8491" s="9"/>
      <c r="D8491" s="9"/>
    </row>
    <row r="8492">
      <c r="C8492" s="9"/>
      <c r="D8492" s="9"/>
    </row>
    <row r="8493">
      <c r="C8493" s="9"/>
      <c r="D8493" s="9"/>
    </row>
    <row r="8494">
      <c r="C8494" s="9"/>
      <c r="D8494" s="9"/>
    </row>
    <row r="8495">
      <c r="C8495" s="9"/>
      <c r="D8495" s="9"/>
    </row>
    <row r="8496">
      <c r="C8496" s="9"/>
      <c r="D8496" s="9"/>
    </row>
    <row r="8497">
      <c r="C8497" s="9"/>
      <c r="D8497" s="9"/>
    </row>
    <row r="8498">
      <c r="C8498" s="9"/>
      <c r="D8498" s="9"/>
    </row>
    <row r="8499">
      <c r="C8499" s="9"/>
      <c r="D8499" s="9"/>
    </row>
    <row r="8500">
      <c r="C8500" s="9"/>
      <c r="D8500" s="9"/>
    </row>
    <row r="8501">
      <c r="C8501" s="9"/>
      <c r="D8501" s="9"/>
    </row>
    <row r="8502">
      <c r="C8502" s="9"/>
      <c r="D8502" s="9"/>
    </row>
    <row r="8503">
      <c r="C8503" s="9"/>
      <c r="D8503" s="9"/>
    </row>
    <row r="8504">
      <c r="C8504" s="9"/>
      <c r="D8504" s="9"/>
    </row>
    <row r="8505">
      <c r="C8505" s="9"/>
      <c r="D8505" s="9"/>
    </row>
    <row r="8506">
      <c r="C8506" s="9"/>
      <c r="D8506" s="9"/>
    </row>
    <row r="8507">
      <c r="C8507" s="9"/>
      <c r="D8507" s="9"/>
    </row>
    <row r="8508">
      <c r="C8508" s="9"/>
      <c r="D8508" s="9"/>
    </row>
    <row r="8509">
      <c r="C8509" s="9"/>
      <c r="D8509" s="9"/>
    </row>
    <row r="8510">
      <c r="C8510" s="9"/>
      <c r="D8510" s="9"/>
    </row>
    <row r="8511">
      <c r="C8511" s="9"/>
      <c r="D8511" s="9"/>
    </row>
    <row r="8512">
      <c r="C8512" s="9"/>
      <c r="D8512" s="9"/>
    </row>
    <row r="8513">
      <c r="C8513" s="9"/>
      <c r="D8513" s="9"/>
    </row>
    <row r="8514">
      <c r="C8514" s="9"/>
      <c r="D8514" s="9"/>
    </row>
    <row r="8515">
      <c r="C8515" s="9"/>
      <c r="D8515" s="9"/>
    </row>
    <row r="8516">
      <c r="C8516" s="9"/>
      <c r="D8516" s="9"/>
    </row>
    <row r="8517">
      <c r="C8517" s="9"/>
      <c r="D8517" s="9"/>
    </row>
    <row r="8518">
      <c r="C8518" s="9"/>
      <c r="D8518" s="9"/>
    </row>
    <row r="8519">
      <c r="C8519" s="9"/>
      <c r="D8519" s="9"/>
    </row>
    <row r="8520">
      <c r="C8520" s="9"/>
      <c r="D8520" s="9"/>
    </row>
    <row r="8521">
      <c r="C8521" s="9"/>
      <c r="D8521" s="9"/>
    </row>
    <row r="8522">
      <c r="C8522" s="9"/>
      <c r="D8522" s="9"/>
    </row>
    <row r="8523">
      <c r="C8523" s="9"/>
      <c r="D8523" s="9"/>
    </row>
    <row r="8524">
      <c r="C8524" s="9"/>
      <c r="D8524" s="9"/>
    </row>
    <row r="8525">
      <c r="C8525" s="9"/>
      <c r="D8525" s="9"/>
    </row>
    <row r="8526">
      <c r="C8526" s="9"/>
      <c r="D8526" s="9"/>
    </row>
    <row r="8527">
      <c r="C8527" s="9"/>
      <c r="D8527" s="9"/>
    </row>
    <row r="8528">
      <c r="C8528" s="9"/>
      <c r="D8528" s="9"/>
    </row>
    <row r="8529">
      <c r="C8529" s="9"/>
      <c r="D8529" s="9"/>
    </row>
    <row r="8530">
      <c r="C8530" s="9"/>
      <c r="D8530" s="9"/>
    </row>
    <row r="8531">
      <c r="C8531" s="9"/>
      <c r="D8531" s="9"/>
    </row>
    <row r="8532">
      <c r="C8532" s="9"/>
      <c r="D8532" s="9"/>
    </row>
    <row r="8533">
      <c r="C8533" s="9"/>
      <c r="D8533" s="9"/>
    </row>
    <row r="8534">
      <c r="C8534" s="9"/>
      <c r="D8534" s="9"/>
    </row>
    <row r="8535">
      <c r="C8535" s="9"/>
      <c r="D8535" s="9"/>
    </row>
    <row r="8536">
      <c r="C8536" s="9"/>
      <c r="D8536" s="9"/>
    </row>
    <row r="8537">
      <c r="C8537" s="9"/>
      <c r="D8537" s="9"/>
    </row>
    <row r="8538">
      <c r="C8538" s="9"/>
      <c r="D8538" s="9"/>
    </row>
    <row r="8539">
      <c r="C8539" s="9"/>
      <c r="D8539" s="9"/>
    </row>
    <row r="8540">
      <c r="C8540" s="9"/>
      <c r="D8540" s="9"/>
    </row>
    <row r="8541">
      <c r="C8541" s="9"/>
      <c r="D8541" s="9"/>
    </row>
    <row r="8542">
      <c r="C8542" s="9"/>
      <c r="D8542" s="9"/>
    </row>
    <row r="8543">
      <c r="C8543" s="9"/>
      <c r="D8543" s="9"/>
    </row>
    <row r="8544">
      <c r="C8544" s="9"/>
      <c r="D8544" s="9"/>
    </row>
    <row r="8545">
      <c r="C8545" s="9"/>
      <c r="D8545" s="9"/>
    </row>
    <row r="8546">
      <c r="C8546" s="9"/>
      <c r="D8546" s="9"/>
    </row>
    <row r="8547">
      <c r="C8547" s="9"/>
      <c r="D8547" s="9"/>
    </row>
    <row r="8548">
      <c r="C8548" s="9"/>
      <c r="D8548" s="9"/>
    </row>
    <row r="8549">
      <c r="C8549" s="9"/>
      <c r="D8549" s="9"/>
    </row>
    <row r="8550">
      <c r="C8550" s="9"/>
      <c r="D8550" s="9"/>
    </row>
    <row r="8551">
      <c r="C8551" s="9"/>
      <c r="D8551" s="9"/>
    </row>
    <row r="8552">
      <c r="C8552" s="9"/>
      <c r="D8552" s="9"/>
    </row>
    <row r="8553">
      <c r="C8553" s="9"/>
      <c r="D8553" s="9"/>
    </row>
    <row r="8554">
      <c r="C8554" s="9"/>
      <c r="D8554" s="9"/>
    </row>
    <row r="8555">
      <c r="C8555" s="9"/>
      <c r="D8555" s="9"/>
    </row>
    <row r="8556">
      <c r="C8556" s="9"/>
      <c r="D8556" s="9"/>
    </row>
    <row r="8557">
      <c r="C8557" s="9"/>
      <c r="D8557" s="9"/>
    </row>
    <row r="8558">
      <c r="C8558" s="9"/>
      <c r="D8558" s="9"/>
    </row>
    <row r="8559">
      <c r="C8559" s="9"/>
      <c r="D8559" s="9"/>
    </row>
    <row r="8560">
      <c r="C8560" s="9"/>
      <c r="D8560" s="9"/>
    </row>
    <row r="8561">
      <c r="C8561" s="9"/>
      <c r="D8561" s="9"/>
    </row>
    <row r="8562">
      <c r="C8562" s="9"/>
      <c r="D8562" s="9"/>
    </row>
    <row r="8563">
      <c r="C8563" s="9"/>
      <c r="D8563" s="9"/>
    </row>
    <row r="8564">
      <c r="C8564" s="9"/>
      <c r="D8564" s="9"/>
    </row>
    <row r="8565">
      <c r="C8565" s="9"/>
      <c r="D8565" s="9"/>
    </row>
    <row r="8566">
      <c r="C8566" s="9"/>
      <c r="D8566" s="9"/>
    </row>
    <row r="8567">
      <c r="C8567" s="9"/>
      <c r="D8567" s="9"/>
    </row>
    <row r="8568">
      <c r="C8568" s="9"/>
      <c r="D8568" s="9"/>
    </row>
    <row r="8569">
      <c r="C8569" s="9"/>
      <c r="D8569" s="9"/>
    </row>
    <row r="8570">
      <c r="C8570" s="9"/>
      <c r="D8570" s="9"/>
    </row>
    <row r="8571">
      <c r="C8571" s="9"/>
      <c r="D8571" s="9"/>
    </row>
    <row r="8572">
      <c r="C8572" s="9"/>
      <c r="D8572" s="9"/>
    </row>
    <row r="8573">
      <c r="C8573" s="9"/>
      <c r="D8573" s="9"/>
    </row>
    <row r="8574">
      <c r="C8574" s="9"/>
      <c r="D8574" s="9"/>
    </row>
    <row r="8575">
      <c r="C8575" s="9"/>
      <c r="D8575" s="9"/>
    </row>
    <row r="8576">
      <c r="C8576" s="9"/>
      <c r="D8576" s="9"/>
    </row>
    <row r="8577">
      <c r="C8577" s="9"/>
      <c r="D8577" s="9"/>
    </row>
    <row r="8578">
      <c r="C8578" s="9"/>
      <c r="D8578" s="9"/>
    </row>
    <row r="8579">
      <c r="C8579" s="9"/>
      <c r="D8579" s="9"/>
    </row>
    <row r="8580">
      <c r="C8580" s="9"/>
      <c r="D8580" s="9"/>
    </row>
    <row r="8581">
      <c r="C8581" s="9"/>
      <c r="D8581" s="9"/>
    </row>
    <row r="8582">
      <c r="C8582" s="9"/>
      <c r="D8582" s="9"/>
    </row>
    <row r="8583">
      <c r="C8583" s="9"/>
      <c r="D8583" s="9"/>
    </row>
    <row r="8584">
      <c r="C8584" s="9"/>
      <c r="D8584" s="9"/>
    </row>
    <row r="8585">
      <c r="C8585" s="9"/>
      <c r="D8585" s="9"/>
    </row>
    <row r="8586">
      <c r="C8586" s="9"/>
      <c r="D8586" s="9"/>
    </row>
    <row r="8587">
      <c r="C8587" s="9"/>
      <c r="D8587" s="9"/>
    </row>
    <row r="8588">
      <c r="C8588" s="9"/>
      <c r="D8588" s="9"/>
    </row>
    <row r="8589">
      <c r="C8589" s="9"/>
      <c r="D8589" s="9"/>
    </row>
    <row r="8590">
      <c r="C8590" s="9"/>
      <c r="D8590" s="9"/>
    </row>
    <row r="8591">
      <c r="C8591" s="9"/>
      <c r="D8591" s="9"/>
    </row>
    <row r="8592">
      <c r="C8592" s="9"/>
      <c r="D8592" s="9"/>
    </row>
    <row r="8593">
      <c r="C8593" s="9"/>
      <c r="D8593" s="9"/>
    </row>
    <row r="8594">
      <c r="C8594" s="9"/>
      <c r="D8594" s="9"/>
    </row>
    <row r="8595">
      <c r="C8595" s="9"/>
      <c r="D8595" s="9"/>
    </row>
    <row r="8596">
      <c r="C8596" s="9"/>
      <c r="D8596" s="9"/>
    </row>
    <row r="8597">
      <c r="C8597" s="9"/>
      <c r="D8597" s="9"/>
    </row>
    <row r="8598">
      <c r="C8598" s="9"/>
      <c r="D8598" s="9"/>
    </row>
    <row r="8599">
      <c r="C8599" s="9"/>
      <c r="D8599" s="9"/>
    </row>
    <row r="8600">
      <c r="C8600" s="9"/>
      <c r="D8600" s="9"/>
    </row>
    <row r="8601">
      <c r="C8601" s="9"/>
      <c r="D8601" s="9"/>
    </row>
    <row r="8602">
      <c r="C8602" s="9"/>
      <c r="D8602" s="9"/>
    </row>
    <row r="8603">
      <c r="C8603" s="9"/>
      <c r="D8603" s="9"/>
    </row>
    <row r="8604">
      <c r="C8604" s="9"/>
      <c r="D8604" s="9"/>
    </row>
    <row r="8605">
      <c r="C8605" s="9"/>
      <c r="D8605" s="9"/>
    </row>
    <row r="8606">
      <c r="C8606" s="9"/>
      <c r="D8606" s="9"/>
    </row>
    <row r="8607">
      <c r="C8607" s="9"/>
      <c r="D8607" s="9"/>
    </row>
    <row r="8608">
      <c r="C8608" s="9"/>
      <c r="D8608" s="9"/>
    </row>
    <row r="8609">
      <c r="C8609" s="9"/>
      <c r="D8609" s="9"/>
    </row>
    <row r="8610">
      <c r="C8610" s="9"/>
      <c r="D8610" s="9"/>
    </row>
    <row r="8611">
      <c r="C8611" s="9"/>
      <c r="D8611" s="9"/>
    </row>
    <row r="8612">
      <c r="C8612" s="9"/>
      <c r="D8612" s="9"/>
    </row>
    <row r="8613">
      <c r="C8613" s="9"/>
      <c r="D8613" s="9"/>
    </row>
    <row r="8614">
      <c r="C8614" s="9"/>
      <c r="D8614" s="9"/>
    </row>
    <row r="8615">
      <c r="C8615" s="9"/>
      <c r="D8615" s="9"/>
    </row>
    <row r="8616">
      <c r="C8616" s="9"/>
      <c r="D8616" s="9"/>
    </row>
    <row r="8617">
      <c r="C8617" s="9"/>
      <c r="D8617" s="9"/>
    </row>
    <row r="8618">
      <c r="C8618" s="9"/>
      <c r="D8618" s="9"/>
    </row>
    <row r="8619">
      <c r="C8619" s="9"/>
      <c r="D8619" s="9"/>
    </row>
    <row r="8620">
      <c r="C8620" s="9"/>
      <c r="D8620" s="9"/>
    </row>
    <row r="8621">
      <c r="C8621" s="9"/>
      <c r="D8621" s="9"/>
    </row>
    <row r="8622">
      <c r="C8622" s="9"/>
      <c r="D8622" s="9"/>
    </row>
    <row r="8623">
      <c r="C8623" s="9"/>
      <c r="D8623" s="9"/>
    </row>
    <row r="8624">
      <c r="C8624" s="9"/>
      <c r="D8624" s="9"/>
    </row>
    <row r="8625">
      <c r="C8625" s="9"/>
      <c r="D8625" s="9"/>
    </row>
    <row r="8626">
      <c r="C8626" s="9"/>
      <c r="D8626" s="9"/>
    </row>
    <row r="8627">
      <c r="C8627" s="9"/>
      <c r="D8627" s="9"/>
    </row>
    <row r="8628">
      <c r="C8628" s="9"/>
      <c r="D8628" s="9"/>
    </row>
    <row r="8629">
      <c r="C8629" s="9"/>
      <c r="D8629" s="9"/>
    </row>
    <row r="8630">
      <c r="C8630" s="9"/>
      <c r="D8630" s="9"/>
    </row>
    <row r="8631">
      <c r="C8631" s="9"/>
      <c r="D8631" s="9"/>
    </row>
    <row r="8632">
      <c r="C8632" s="9"/>
      <c r="D8632" s="9"/>
    </row>
    <row r="8633">
      <c r="C8633" s="9"/>
      <c r="D8633" s="9"/>
    </row>
    <row r="8634">
      <c r="C8634" s="9"/>
      <c r="D8634" s="9"/>
    </row>
    <row r="8635">
      <c r="C8635" s="9"/>
      <c r="D8635" s="9"/>
    </row>
    <row r="8636">
      <c r="C8636" s="9"/>
      <c r="D8636" s="9"/>
    </row>
    <row r="8637">
      <c r="C8637" s="9"/>
      <c r="D8637" s="9"/>
    </row>
    <row r="8638">
      <c r="C8638" s="9"/>
      <c r="D8638" s="9"/>
    </row>
    <row r="8639">
      <c r="C8639" s="9"/>
      <c r="D8639" s="9"/>
    </row>
    <row r="8640">
      <c r="C8640" s="9"/>
      <c r="D8640" s="9"/>
    </row>
    <row r="8641">
      <c r="C8641" s="9"/>
      <c r="D8641" s="9"/>
    </row>
    <row r="8642">
      <c r="C8642" s="9"/>
      <c r="D8642" s="9"/>
    </row>
    <row r="8643">
      <c r="C8643" s="9"/>
      <c r="D8643" s="9"/>
    </row>
    <row r="8644">
      <c r="C8644" s="9"/>
      <c r="D8644" s="9"/>
    </row>
    <row r="8645">
      <c r="C8645" s="9"/>
      <c r="D8645" s="9"/>
    </row>
    <row r="8646">
      <c r="C8646" s="9"/>
      <c r="D8646" s="9"/>
    </row>
    <row r="8647">
      <c r="C8647" s="9"/>
      <c r="D8647" s="9"/>
    </row>
    <row r="8648">
      <c r="C8648" s="9"/>
      <c r="D8648" s="9"/>
    </row>
    <row r="8649">
      <c r="C8649" s="9"/>
      <c r="D8649" s="9"/>
    </row>
    <row r="8650">
      <c r="C8650" s="9"/>
      <c r="D8650" s="9"/>
    </row>
    <row r="8651">
      <c r="C8651" s="9"/>
      <c r="D8651" s="9"/>
    </row>
    <row r="8652">
      <c r="C8652" s="9"/>
      <c r="D8652" s="9"/>
    </row>
    <row r="8653">
      <c r="C8653" s="9"/>
      <c r="D8653" s="9"/>
    </row>
    <row r="8654">
      <c r="C8654" s="9"/>
      <c r="D8654" s="9"/>
    </row>
    <row r="8655">
      <c r="C8655" s="9"/>
      <c r="D8655" s="9"/>
    </row>
    <row r="8656">
      <c r="C8656" s="9"/>
      <c r="D8656" s="9"/>
    </row>
    <row r="8657">
      <c r="C8657" s="9"/>
      <c r="D8657" s="9"/>
    </row>
    <row r="8658">
      <c r="C8658" s="9"/>
      <c r="D8658" s="9"/>
    </row>
    <row r="8659">
      <c r="C8659" s="9"/>
      <c r="D8659" s="9"/>
    </row>
    <row r="8660">
      <c r="C8660" s="9"/>
      <c r="D8660" s="9"/>
    </row>
    <row r="8661">
      <c r="C8661" s="9"/>
      <c r="D8661" s="9"/>
    </row>
    <row r="8662">
      <c r="C8662" s="9"/>
      <c r="D8662" s="9"/>
    </row>
    <row r="8663">
      <c r="C8663" s="9"/>
      <c r="D8663" s="9"/>
    </row>
    <row r="8664">
      <c r="C8664" s="9"/>
      <c r="D8664" s="9"/>
    </row>
    <row r="8665">
      <c r="C8665" s="9"/>
      <c r="D8665" s="9"/>
    </row>
    <row r="8666">
      <c r="C8666" s="9"/>
      <c r="D8666" s="9"/>
    </row>
    <row r="8667">
      <c r="C8667" s="9"/>
      <c r="D8667" s="9"/>
    </row>
    <row r="8668">
      <c r="C8668" s="9"/>
      <c r="D8668" s="9"/>
    </row>
    <row r="8669">
      <c r="C8669" s="9"/>
      <c r="D8669" s="9"/>
    </row>
    <row r="8670">
      <c r="C8670" s="9"/>
      <c r="D8670" s="9"/>
    </row>
    <row r="8671">
      <c r="C8671" s="9"/>
      <c r="D8671" s="9"/>
    </row>
    <row r="8672">
      <c r="C8672" s="9"/>
      <c r="D8672" s="9"/>
    </row>
    <row r="8673">
      <c r="C8673" s="9"/>
      <c r="D8673" s="9"/>
    </row>
    <row r="8674">
      <c r="C8674" s="9"/>
      <c r="D8674" s="9"/>
    </row>
    <row r="8675">
      <c r="C8675" s="9"/>
      <c r="D8675" s="9"/>
    </row>
    <row r="8676">
      <c r="C8676" s="9"/>
      <c r="D8676" s="9"/>
    </row>
    <row r="8677">
      <c r="C8677" s="9"/>
      <c r="D8677" s="9"/>
    </row>
    <row r="8678">
      <c r="C8678" s="9"/>
      <c r="D8678" s="9"/>
    </row>
    <row r="8679">
      <c r="C8679" s="9"/>
      <c r="D8679" s="9"/>
    </row>
    <row r="8680">
      <c r="C8680" s="9"/>
      <c r="D8680" s="9"/>
    </row>
    <row r="8681">
      <c r="C8681" s="9"/>
      <c r="D8681" s="9"/>
    </row>
    <row r="8682">
      <c r="C8682" s="9"/>
      <c r="D8682" s="9"/>
    </row>
    <row r="8683">
      <c r="C8683" s="9"/>
      <c r="D8683" s="9"/>
    </row>
    <row r="8684">
      <c r="C8684" s="9"/>
      <c r="D8684" s="9"/>
    </row>
    <row r="8685">
      <c r="C8685" s="9"/>
      <c r="D8685" s="9"/>
    </row>
    <row r="8686">
      <c r="C8686" s="9"/>
      <c r="D8686" s="9"/>
    </row>
    <row r="8687">
      <c r="C8687" s="9"/>
      <c r="D8687" s="9"/>
    </row>
    <row r="8688">
      <c r="C8688" s="9"/>
      <c r="D8688" s="9"/>
    </row>
    <row r="8689">
      <c r="C8689" s="9"/>
      <c r="D8689" s="9"/>
    </row>
    <row r="8690">
      <c r="C8690" s="9"/>
      <c r="D8690" s="9"/>
    </row>
    <row r="8691">
      <c r="C8691" s="9"/>
      <c r="D8691" s="9"/>
    </row>
    <row r="8692">
      <c r="C8692" s="9"/>
      <c r="D8692" s="9"/>
    </row>
    <row r="8693">
      <c r="C8693" s="9"/>
      <c r="D8693" s="9"/>
    </row>
    <row r="8694">
      <c r="C8694" s="9"/>
      <c r="D8694" s="9"/>
    </row>
    <row r="8695">
      <c r="C8695" s="9"/>
      <c r="D8695" s="9"/>
    </row>
    <row r="8696">
      <c r="C8696" s="9"/>
      <c r="D8696" s="9"/>
    </row>
    <row r="8697">
      <c r="C8697" s="9"/>
      <c r="D8697" s="9"/>
    </row>
    <row r="8698">
      <c r="C8698" s="9"/>
      <c r="D8698" s="9"/>
    </row>
    <row r="8699">
      <c r="C8699" s="9"/>
      <c r="D8699" s="9"/>
    </row>
    <row r="8700">
      <c r="C8700" s="9"/>
      <c r="D8700" s="9"/>
    </row>
    <row r="8701">
      <c r="C8701" s="9"/>
      <c r="D8701" s="9"/>
    </row>
    <row r="8702">
      <c r="C8702" s="9"/>
      <c r="D8702" s="9"/>
    </row>
    <row r="8703">
      <c r="C8703" s="9"/>
      <c r="D8703" s="9"/>
    </row>
    <row r="8704">
      <c r="C8704" s="9"/>
      <c r="D8704" s="9"/>
    </row>
    <row r="8705">
      <c r="C8705" s="9"/>
      <c r="D8705" s="9"/>
    </row>
    <row r="8706">
      <c r="C8706" s="9"/>
      <c r="D8706" s="9"/>
    </row>
    <row r="8707">
      <c r="C8707" s="9"/>
      <c r="D8707" s="9"/>
    </row>
    <row r="8708">
      <c r="C8708" s="9"/>
      <c r="D8708" s="9"/>
    </row>
    <row r="8709">
      <c r="C8709" s="9"/>
      <c r="D8709" s="9"/>
    </row>
    <row r="8710">
      <c r="C8710" s="9"/>
      <c r="D8710" s="9"/>
    </row>
    <row r="8711">
      <c r="C8711" s="9"/>
      <c r="D8711" s="9"/>
    </row>
    <row r="8712">
      <c r="C8712" s="9"/>
      <c r="D8712" s="9"/>
    </row>
    <row r="8713">
      <c r="C8713" s="9"/>
      <c r="D8713" s="9"/>
    </row>
    <row r="8714">
      <c r="C8714" s="9"/>
      <c r="D8714" s="9"/>
    </row>
    <row r="8715">
      <c r="C8715" s="9"/>
      <c r="D8715" s="9"/>
    </row>
    <row r="8716">
      <c r="C8716" s="9"/>
      <c r="D8716" s="9"/>
    </row>
    <row r="8717">
      <c r="C8717" s="9"/>
      <c r="D8717" s="9"/>
    </row>
    <row r="8718">
      <c r="C8718" s="9"/>
      <c r="D8718" s="9"/>
    </row>
    <row r="8719">
      <c r="C8719" s="9"/>
      <c r="D8719" s="9"/>
    </row>
    <row r="8720">
      <c r="C8720" s="9"/>
      <c r="D8720" s="9"/>
    </row>
    <row r="8721">
      <c r="C8721" s="9"/>
      <c r="D8721" s="9"/>
    </row>
    <row r="8722">
      <c r="C8722" s="9"/>
      <c r="D8722" s="9"/>
    </row>
    <row r="8723">
      <c r="C8723" s="9"/>
      <c r="D8723" s="9"/>
    </row>
    <row r="8724">
      <c r="C8724" s="9"/>
      <c r="D8724" s="9"/>
    </row>
    <row r="8725">
      <c r="C8725" s="9"/>
      <c r="D8725" s="9"/>
    </row>
    <row r="8726">
      <c r="C8726" s="9"/>
      <c r="D8726" s="9"/>
    </row>
    <row r="8727">
      <c r="C8727" s="9"/>
      <c r="D8727" s="9"/>
    </row>
    <row r="8728">
      <c r="C8728" s="9"/>
      <c r="D8728" s="9"/>
    </row>
    <row r="8729">
      <c r="C8729" s="9"/>
      <c r="D8729" s="9"/>
    </row>
    <row r="8730">
      <c r="C8730" s="9"/>
      <c r="D8730" s="9"/>
    </row>
    <row r="8731">
      <c r="C8731" s="9"/>
      <c r="D8731" s="9"/>
    </row>
    <row r="8732">
      <c r="C8732" s="9"/>
      <c r="D8732" s="9"/>
    </row>
    <row r="8733">
      <c r="C8733" s="9"/>
      <c r="D8733" s="9"/>
    </row>
    <row r="8734">
      <c r="C8734" s="9"/>
      <c r="D8734" s="9"/>
    </row>
    <row r="8735">
      <c r="C8735" s="9"/>
      <c r="D8735" s="9"/>
    </row>
    <row r="8736">
      <c r="C8736" s="9"/>
      <c r="D8736" s="9"/>
    </row>
    <row r="8737">
      <c r="C8737" s="9"/>
      <c r="D8737" s="9"/>
    </row>
    <row r="8738">
      <c r="C8738" s="9"/>
      <c r="D8738" s="9"/>
    </row>
    <row r="8739">
      <c r="C8739" s="9"/>
      <c r="D8739" s="9"/>
    </row>
    <row r="8740">
      <c r="C8740" s="9"/>
      <c r="D8740" s="9"/>
    </row>
    <row r="8741">
      <c r="C8741" s="9"/>
      <c r="D8741" s="9"/>
    </row>
    <row r="8742">
      <c r="C8742" s="9"/>
      <c r="D8742" s="9"/>
    </row>
    <row r="8743">
      <c r="C8743" s="9"/>
      <c r="D8743" s="9"/>
    </row>
    <row r="8744">
      <c r="C8744" s="9"/>
      <c r="D8744" s="9"/>
    </row>
    <row r="8745">
      <c r="C8745" s="9"/>
      <c r="D8745" s="9"/>
    </row>
    <row r="8746">
      <c r="C8746" s="9"/>
      <c r="D8746" s="9"/>
    </row>
    <row r="8747">
      <c r="C8747" s="9"/>
      <c r="D8747" s="9"/>
    </row>
    <row r="8748">
      <c r="C8748" s="9"/>
      <c r="D8748" s="9"/>
    </row>
    <row r="8749">
      <c r="C8749" s="9"/>
      <c r="D8749" s="9"/>
    </row>
    <row r="8750">
      <c r="C8750" s="9"/>
      <c r="D8750" s="9"/>
    </row>
    <row r="8751">
      <c r="C8751" s="9"/>
      <c r="D8751" s="9"/>
    </row>
    <row r="8752">
      <c r="C8752" s="9"/>
      <c r="D8752" s="9"/>
    </row>
    <row r="8753">
      <c r="C8753" s="9"/>
      <c r="D8753" s="9"/>
    </row>
    <row r="8754">
      <c r="C8754" s="9"/>
      <c r="D8754" s="9"/>
    </row>
    <row r="8755">
      <c r="C8755" s="9"/>
      <c r="D8755" s="9"/>
    </row>
    <row r="8756">
      <c r="C8756" s="9"/>
      <c r="D8756" s="9"/>
    </row>
    <row r="8757">
      <c r="C8757" s="9"/>
      <c r="D8757" s="9"/>
    </row>
    <row r="8758">
      <c r="C8758" s="9"/>
      <c r="D8758" s="9"/>
    </row>
    <row r="8759">
      <c r="C8759" s="9"/>
      <c r="D8759" s="9"/>
    </row>
    <row r="8760">
      <c r="C8760" s="9"/>
      <c r="D8760" s="9"/>
    </row>
    <row r="8761">
      <c r="C8761" s="9"/>
      <c r="D8761" s="9"/>
    </row>
    <row r="8762">
      <c r="C8762" s="9"/>
      <c r="D8762" s="9"/>
    </row>
    <row r="8763">
      <c r="C8763" s="9"/>
      <c r="D8763" s="9"/>
    </row>
    <row r="8764">
      <c r="C8764" s="9"/>
      <c r="D8764" s="9"/>
    </row>
    <row r="8765">
      <c r="C8765" s="9"/>
      <c r="D8765" s="9"/>
    </row>
    <row r="8766">
      <c r="C8766" s="9"/>
      <c r="D8766" s="9"/>
    </row>
    <row r="8767">
      <c r="C8767" s="9"/>
      <c r="D8767" s="9"/>
    </row>
    <row r="8768">
      <c r="C8768" s="9"/>
      <c r="D8768" s="9"/>
    </row>
    <row r="8769">
      <c r="C8769" s="9"/>
      <c r="D8769" s="9"/>
    </row>
    <row r="8770">
      <c r="C8770" s="9"/>
      <c r="D8770" s="9"/>
    </row>
    <row r="8771">
      <c r="C8771" s="9"/>
      <c r="D8771" s="9"/>
    </row>
    <row r="8772">
      <c r="C8772" s="9"/>
      <c r="D8772" s="9"/>
    </row>
    <row r="8773">
      <c r="C8773" s="9"/>
      <c r="D8773" s="9"/>
    </row>
    <row r="8774">
      <c r="C8774" s="9"/>
      <c r="D8774" s="9"/>
    </row>
    <row r="8775">
      <c r="C8775" s="9"/>
      <c r="D8775" s="9"/>
    </row>
    <row r="8776">
      <c r="C8776" s="9"/>
      <c r="D8776" s="9"/>
    </row>
    <row r="8777">
      <c r="C8777" s="9"/>
      <c r="D8777" s="9"/>
    </row>
    <row r="8778">
      <c r="C8778" s="9"/>
      <c r="D8778" s="9"/>
    </row>
    <row r="8779">
      <c r="C8779" s="9"/>
      <c r="D8779" s="9"/>
    </row>
    <row r="8780">
      <c r="C8780" s="9"/>
      <c r="D8780" s="9"/>
    </row>
    <row r="8781">
      <c r="C8781" s="9"/>
      <c r="D8781" s="9"/>
    </row>
    <row r="8782">
      <c r="C8782" s="9"/>
      <c r="D8782" s="9"/>
    </row>
    <row r="8783">
      <c r="C8783" s="9"/>
      <c r="D8783" s="9"/>
    </row>
    <row r="8784">
      <c r="C8784" s="9"/>
      <c r="D8784" s="9"/>
    </row>
    <row r="8785">
      <c r="C8785" s="9"/>
      <c r="D8785" s="9"/>
    </row>
    <row r="8786">
      <c r="C8786" s="9"/>
      <c r="D8786" s="9"/>
    </row>
    <row r="8787">
      <c r="C8787" s="9"/>
      <c r="D8787" s="9"/>
    </row>
    <row r="8788">
      <c r="C8788" s="9"/>
      <c r="D8788" s="9"/>
    </row>
    <row r="8789">
      <c r="C8789" s="9"/>
      <c r="D8789" s="9"/>
    </row>
    <row r="8790">
      <c r="C8790" s="9"/>
      <c r="D8790" s="9"/>
    </row>
    <row r="8791">
      <c r="C8791" s="9"/>
      <c r="D8791" s="9"/>
    </row>
    <row r="8792">
      <c r="C8792" s="9"/>
      <c r="D8792" s="9"/>
    </row>
    <row r="8793">
      <c r="C8793" s="9"/>
      <c r="D8793" s="9"/>
    </row>
    <row r="8794">
      <c r="C8794" s="9"/>
      <c r="D8794" s="9"/>
    </row>
    <row r="8795">
      <c r="C8795" s="9"/>
      <c r="D8795" s="9"/>
    </row>
    <row r="8796">
      <c r="C8796" s="9"/>
      <c r="D8796" s="9"/>
    </row>
    <row r="8797">
      <c r="C8797" s="9"/>
      <c r="D8797" s="9"/>
    </row>
    <row r="8798">
      <c r="C8798" s="9"/>
      <c r="D8798" s="9"/>
    </row>
    <row r="8799">
      <c r="C8799" s="9"/>
      <c r="D8799" s="9"/>
    </row>
    <row r="8800">
      <c r="C8800" s="9"/>
      <c r="D8800" s="9"/>
    </row>
    <row r="8801">
      <c r="C8801" s="9"/>
      <c r="D8801" s="9"/>
    </row>
    <row r="8802">
      <c r="C8802" s="9"/>
      <c r="D8802" s="9"/>
    </row>
    <row r="8803">
      <c r="C8803" s="9"/>
      <c r="D8803" s="9"/>
    </row>
    <row r="8804">
      <c r="C8804" s="9"/>
      <c r="D8804" s="9"/>
    </row>
    <row r="8805">
      <c r="C8805" s="9"/>
      <c r="D8805" s="9"/>
    </row>
    <row r="8806">
      <c r="C8806" s="9"/>
      <c r="D8806" s="9"/>
    </row>
    <row r="8807">
      <c r="C8807" s="9"/>
      <c r="D8807" s="9"/>
    </row>
    <row r="8808">
      <c r="C8808" s="9"/>
      <c r="D8808" s="9"/>
    </row>
    <row r="8809">
      <c r="C8809" s="9"/>
      <c r="D8809" s="9"/>
    </row>
    <row r="8810">
      <c r="C8810" s="9"/>
      <c r="D8810" s="9"/>
    </row>
    <row r="8811">
      <c r="C8811" s="9"/>
      <c r="D8811" s="9"/>
    </row>
    <row r="8812">
      <c r="C8812" s="9"/>
      <c r="D8812" s="9"/>
    </row>
    <row r="8813">
      <c r="C8813" s="9"/>
      <c r="D8813" s="9"/>
    </row>
    <row r="8814">
      <c r="C8814" s="9"/>
      <c r="D8814" s="9"/>
    </row>
    <row r="8815">
      <c r="C8815" s="9"/>
      <c r="D8815" s="9"/>
    </row>
    <row r="8816">
      <c r="C8816" s="9"/>
      <c r="D8816" s="9"/>
    </row>
    <row r="8817">
      <c r="C8817" s="9"/>
      <c r="D8817" s="9"/>
    </row>
    <row r="8818">
      <c r="C8818" s="9"/>
      <c r="D8818" s="9"/>
    </row>
    <row r="8819">
      <c r="C8819" s="9"/>
      <c r="D8819" s="9"/>
    </row>
    <row r="8820">
      <c r="C8820" s="9"/>
      <c r="D8820" s="9"/>
    </row>
    <row r="8821">
      <c r="C8821" s="9"/>
      <c r="D8821" s="9"/>
    </row>
    <row r="8822">
      <c r="C8822" s="9"/>
      <c r="D8822" s="9"/>
    </row>
    <row r="8823">
      <c r="C8823" s="9"/>
      <c r="D8823" s="9"/>
    </row>
    <row r="8824">
      <c r="C8824" s="9"/>
      <c r="D8824" s="9"/>
    </row>
    <row r="8825">
      <c r="C8825" s="9"/>
      <c r="D8825" s="9"/>
    </row>
    <row r="8826">
      <c r="C8826" s="9"/>
      <c r="D8826" s="9"/>
    </row>
    <row r="8827">
      <c r="C8827" s="9"/>
      <c r="D8827" s="9"/>
    </row>
    <row r="8828">
      <c r="C8828" s="9"/>
      <c r="D8828" s="9"/>
    </row>
    <row r="8829">
      <c r="C8829" s="9"/>
      <c r="D8829" s="9"/>
    </row>
    <row r="8830">
      <c r="C8830" s="9"/>
      <c r="D8830" s="9"/>
    </row>
    <row r="8831">
      <c r="C8831" s="9"/>
      <c r="D8831" s="9"/>
    </row>
    <row r="8832">
      <c r="C8832" s="9"/>
      <c r="D8832" s="9"/>
    </row>
    <row r="8833">
      <c r="C8833" s="9"/>
      <c r="D8833" s="9"/>
    </row>
    <row r="8834">
      <c r="C8834" s="9"/>
      <c r="D8834" s="9"/>
    </row>
    <row r="8835">
      <c r="C8835" s="9"/>
      <c r="D8835" s="9"/>
    </row>
    <row r="8836">
      <c r="C8836" s="9"/>
      <c r="D8836" s="9"/>
    </row>
    <row r="8837">
      <c r="C8837" s="9"/>
      <c r="D8837" s="9"/>
    </row>
    <row r="8838">
      <c r="C8838" s="9"/>
      <c r="D8838" s="9"/>
    </row>
    <row r="8839">
      <c r="C8839" s="9"/>
      <c r="D8839" s="9"/>
    </row>
    <row r="8840">
      <c r="C8840" s="9"/>
      <c r="D8840" s="9"/>
    </row>
    <row r="8841">
      <c r="C8841" s="9"/>
      <c r="D8841" s="9"/>
    </row>
    <row r="8842">
      <c r="C8842" s="9"/>
      <c r="D8842" s="9"/>
    </row>
    <row r="8843">
      <c r="C8843" s="9"/>
      <c r="D8843" s="9"/>
    </row>
    <row r="8844">
      <c r="C8844" s="9"/>
      <c r="D8844" s="9"/>
    </row>
    <row r="8845">
      <c r="C8845" s="9"/>
      <c r="D8845" s="9"/>
    </row>
    <row r="8846">
      <c r="C8846" s="9"/>
      <c r="D8846" s="9"/>
    </row>
    <row r="8847">
      <c r="C8847" s="9"/>
      <c r="D8847" s="9"/>
    </row>
    <row r="8848">
      <c r="C8848" s="9"/>
      <c r="D8848" s="9"/>
    </row>
    <row r="8849">
      <c r="C8849" s="9"/>
      <c r="D8849" s="9"/>
    </row>
    <row r="8850">
      <c r="C8850" s="9"/>
      <c r="D8850" s="9"/>
    </row>
    <row r="8851">
      <c r="C8851" s="9"/>
      <c r="D8851" s="9"/>
    </row>
    <row r="8852">
      <c r="C8852" s="9"/>
      <c r="D8852" s="9"/>
    </row>
    <row r="8853">
      <c r="C8853" s="9"/>
      <c r="D8853" s="9"/>
    </row>
    <row r="8854">
      <c r="C8854" s="9"/>
      <c r="D8854" s="9"/>
    </row>
    <row r="8855">
      <c r="C8855" s="9"/>
      <c r="D8855" s="9"/>
    </row>
    <row r="8856">
      <c r="C8856" s="9"/>
      <c r="D8856" s="9"/>
    </row>
    <row r="8857">
      <c r="C8857" s="9"/>
      <c r="D8857" s="9"/>
    </row>
    <row r="8858">
      <c r="C8858" s="9"/>
      <c r="D8858" s="9"/>
    </row>
    <row r="8859">
      <c r="C8859" s="9"/>
      <c r="D8859" s="9"/>
    </row>
    <row r="8860">
      <c r="C8860" s="9"/>
      <c r="D8860" s="9"/>
    </row>
    <row r="8861">
      <c r="C8861" s="9"/>
      <c r="D8861" s="9"/>
    </row>
    <row r="8862">
      <c r="C8862" s="9"/>
      <c r="D8862" s="9"/>
    </row>
    <row r="8863">
      <c r="C8863" s="9"/>
      <c r="D8863" s="9"/>
    </row>
    <row r="8864">
      <c r="C8864" s="9"/>
      <c r="D8864" s="9"/>
    </row>
    <row r="8865">
      <c r="C8865" s="9"/>
      <c r="D8865" s="9"/>
    </row>
    <row r="8866">
      <c r="C8866" s="9"/>
      <c r="D8866" s="9"/>
    </row>
    <row r="8867">
      <c r="C8867" s="9"/>
      <c r="D8867" s="9"/>
    </row>
    <row r="8868">
      <c r="C8868" s="9"/>
      <c r="D8868" s="9"/>
    </row>
    <row r="8869">
      <c r="C8869" s="9"/>
      <c r="D8869" s="9"/>
    </row>
    <row r="8870">
      <c r="C8870" s="9"/>
      <c r="D8870" s="9"/>
    </row>
    <row r="8871">
      <c r="C8871" s="9"/>
      <c r="D8871" s="9"/>
    </row>
    <row r="8872">
      <c r="C8872" s="9"/>
      <c r="D8872" s="9"/>
    </row>
    <row r="8873">
      <c r="C8873" s="9"/>
      <c r="D8873" s="9"/>
    </row>
    <row r="8874">
      <c r="C8874" s="9"/>
      <c r="D8874" s="9"/>
    </row>
    <row r="8875">
      <c r="C8875" s="9"/>
      <c r="D8875" s="9"/>
    </row>
    <row r="8876">
      <c r="C8876" s="9"/>
      <c r="D8876" s="9"/>
    </row>
    <row r="8877">
      <c r="C8877" s="9"/>
      <c r="D8877" s="9"/>
    </row>
    <row r="8878">
      <c r="C8878" s="9"/>
      <c r="D8878" s="9"/>
    </row>
    <row r="8879">
      <c r="C8879" s="9"/>
      <c r="D8879" s="9"/>
    </row>
    <row r="8880">
      <c r="C8880" s="9"/>
      <c r="D8880" s="9"/>
    </row>
    <row r="8881">
      <c r="C8881" s="9"/>
      <c r="D8881" s="9"/>
    </row>
    <row r="8882">
      <c r="C8882" s="9"/>
      <c r="D8882" s="9"/>
    </row>
    <row r="8883">
      <c r="C8883" s="9"/>
      <c r="D8883" s="9"/>
    </row>
    <row r="8884">
      <c r="C8884" s="9"/>
      <c r="D8884" s="9"/>
    </row>
    <row r="8885">
      <c r="C8885" s="9"/>
      <c r="D8885" s="9"/>
    </row>
    <row r="8886">
      <c r="C8886" s="9"/>
      <c r="D8886" s="9"/>
    </row>
    <row r="8887">
      <c r="C8887" s="9"/>
      <c r="D8887" s="9"/>
    </row>
    <row r="8888">
      <c r="C8888" s="9"/>
      <c r="D8888" s="9"/>
    </row>
    <row r="8889">
      <c r="C8889" s="9"/>
      <c r="D8889" s="9"/>
    </row>
    <row r="8890">
      <c r="C8890" s="9"/>
      <c r="D8890" s="9"/>
    </row>
    <row r="8891">
      <c r="C8891" s="9"/>
      <c r="D8891" s="9"/>
    </row>
    <row r="8892">
      <c r="C8892" s="9"/>
      <c r="D8892" s="9"/>
    </row>
    <row r="8893">
      <c r="C8893" s="9"/>
      <c r="D8893" s="9"/>
    </row>
    <row r="8894">
      <c r="C8894" s="9"/>
      <c r="D8894" s="9"/>
    </row>
    <row r="8895">
      <c r="C8895" s="9"/>
      <c r="D8895" s="9"/>
    </row>
    <row r="8896">
      <c r="C8896" s="9"/>
      <c r="D8896" s="9"/>
    </row>
    <row r="8897">
      <c r="C8897" s="9"/>
      <c r="D8897" s="9"/>
    </row>
    <row r="8898">
      <c r="C8898" s="9"/>
      <c r="D8898" s="9"/>
    </row>
    <row r="8899">
      <c r="C8899" s="9"/>
      <c r="D8899" s="9"/>
    </row>
    <row r="8900">
      <c r="C8900" s="9"/>
      <c r="D8900" s="9"/>
    </row>
    <row r="8901">
      <c r="C8901" s="9"/>
      <c r="D8901" s="9"/>
    </row>
    <row r="8902">
      <c r="C8902" s="9"/>
      <c r="D8902" s="9"/>
    </row>
    <row r="8903">
      <c r="C8903" s="9"/>
      <c r="D8903" s="9"/>
    </row>
    <row r="8904">
      <c r="C8904" s="9"/>
      <c r="D8904" s="9"/>
    </row>
    <row r="8905">
      <c r="C8905" s="9"/>
      <c r="D8905" s="9"/>
    </row>
    <row r="8906">
      <c r="C8906" s="9"/>
      <c r="D8906" s="9"/>
    </row>
    <row r="8907">
      <c r="C8907" s="9"/>
      <c r="D8907" s="9"/>
    </row>
    <row r="8908">
      <c r="C8908" s="9"/>
      <c r="D8908" s="9"/>
    </row>
    <row r="8909">
      <c r="C8909" s="9"/>
      <c r="D8909" s="9"/>
    </row>
    <row r="8910">
      <c r="C8910" s="9"/>
      <c r="D8910" s="9"/>
    </row>
    <row r="8911">
      <c r="C8911" s="9"/>
      <c r="D8911" s="9"/>
    </row>
    <row r="8912">
      <c r="C8912" s="9"/>
      <c r="D8912" s="9"/>
    </row>
    <row r="8913">
      <c r="C8913" s="9"/>
      <c r="D8913" s="9"/>
    </row>
    <row r="8914">
      <c r="C8914" s="9"/>
      <c r="D8914" s="9"/>
    </row>
    <row r="8915">
      <c r="C8915" s="9"/>
      <c r="D8915" s="9"/>
    </row>
    <row r="8916">
      <c r="C8916" s="9"/>
      <c r="D8916" s="9"/>
    </row>
    <row r="8917">
      <c r="C8917" s="9"/>
      <c r="D8917" s="9"/>
    </row>
    <row r="8918">
      <c r="C8918" s="9"/>
      <c r="D8918" s="9"/>
    </row>
    <row r="8919">
      <c r="C8919" s="9"/>
      <c r="D8919" s="9"/>
    </row>
    <row r="8920">
      <c r="C8920" s="9"/>
      <c r="D8920" s="9"/>
    </row>
    <row r="8921">
      <c r="C8921" s="9"/>
      <c r="D8921" s="9"/>
    </row>
    <row r="8922">
      <c r="C8922" s="9"/>
      <c r="D8922" s="9"/>
    </row>
    <row r="8923">
      <c r="C8923" s="9"/>
      <c r="D8923" s="9"/>
    </row>
    <row r="8924">
      <c r="C8924" s="9"/>
      <c r="D8924" s="9"/>
    </row>
    <row r="8925">
      <c r="C8925" s="9"/>
      <c r="D8925" s="9"/>
    </row>
    <row r="8926">
      <c r="C8926" s="9"/>
      <c r="D8926" s="9"/>
    </row>
    <row r="8927">
      <c r="C8927" s="9"/>
      <c r="D8927" s="9"/>
    </row>
    <row r="8928">
      <c r="C8928" s="9"/>
      <c r="D8928" s="9"/>
    </row>
    <row r="8929">
      <c r="C8929" s="9"/>
      <c r="D8929" s="9"/>
    </row>
    <row r="8930">
      <c r="C8930" s="9"/>
      <c r="D8930" s="9"/>
    </row>
    <row r="8931">
      <c r="C8931" s="9"/>
      <c r="D8931" s="9"/>
    </row>
    <row r="8932">
      <c r="C8932" s="9"/>
      <c r="D8932" s="9"/>
    </row>
    <row r="8933">
      <c r="C8933" s="9"/>
      <c r="D8933" s="9"/>
    </row>
    <row r="8934">
      <c r="C8934" s="9"/>
      <c r="D8934" s="9"/>
    </row>
    <row r="8935">
      <c r="C8935" s="9"/>
      <c r="D8935" s="9"/>
    </row>
    <row r="8936">
      <c r="C8936" s="9"/>
      <c r="D8936" s="9"/>
    </row>
    <row r="8937">
      <c r="C8937" s="9"/>
      <c r="D8937" s="9"/>
    </row>
    <row r="8938">
      <c r="C8938" s="9"/>
      <c r="D8938" s="9"/>
    </row>
    <row r="8939">
      <c r="C8939" s="9"/>
      <c r="D8939" s="9"/>
    </row>
    <row r="8940">
      <c r="C8940" s="9"/>
      <c r="D8940" s="9"/>
    </row>
    <row r="8941">
      <c r="C8941" s="9"/>
      <c r="D8941" s="9"/>
    </row>
    <row r="8942">
      <c r="C8942" s="9"/>
      <c r="D8942" s="9"/>
    </row>
    <row r="8943">
      <c r="C8943" s="9"/>
      <c r="D8943" s="9"/>
    </row>
    <row r="8944">
      <c r="C8944" s="9"/>
      <c r="D8944" s="9"/>
    </row>
    <row r="8945">
      <c r="C8945" s="9"/>
      <c r="D8945" s="9"/>
    </row>
    <row r="8946">
      <c r="C8946" s="9"/>
      <c r="D8946" s="9"/>
    </row>
    <row r="8947">
      <c r="C8947" s="9"/>
      <c r="D8947" s="9"/>
    </row>
    <row r="8948">
      <c r="C8948" s="9"/>
      <c r="D8948" s="9"/>
    </row>
    <row r="8949">
      <c r="C8949" s="9"/>
      <c r="D8949" s="9"/>
    </row>
    <row r="8950">
      <c r="C8950" s="9"/>
      <c r="D8950" s="9"/>
    </row>
    <row r="8951">
      <c r="C8951" s="9"/>
      <c r="D8951" s="9"/>
    </row>
    <row r="8952">
      <c r="C8952" s="9"/>
      <c r="D8952" s="9"/>
    </row>
    <row r="8953">
      <c r="C8953" s="9"/>
      <c r="D8953" s="9"/>
    </row>
    <row r="8954">
      <c r="C8954" s="9"/>
      <c r="D8954" s="9"/>
    </row>
    <row r="8955">
      <c r="C8955" s="9"/>
      <c r="D8955" s="9"/>
    </row>
    <row r="8956">
      <c r="C8956" s="9"/>
      <c r="D8956" s="9"/>
    </row>
    <row r="8957">
      <c r="C8957" s="9"/>
      <c r="D8957" s="9"/>
    </row>
    <row r="8958">
      <c r="C8958" s="9"/>
      <c r="D8958" s="9"/>
    </row>
    <row r="8959">
      <c r="C8959" s="9"/>
      <c r="D8959" s="9"/>
    </row>
    <row r="8960">
      <c r="C8960" s="9"/>
      <c r="D8960" s="9"/>
    </row>
    <row r="8961">
      <c r="C8961" s="9"/>
      <c r="D8961" s="9"/>
    </row>
    <row r="8962">
      <c r="C8962" s="9"/>
      <c r="D8962" s="9"/>
    </row>
    <row r="8963">
      <c r="C8963" s="9"/>
      <c r="D8963" s="9"/>
    </row>
    <row r="8964">
      <c r="C8964" s="9"/>
      <c r="D8964" s="9"/>
    </row>
    <row r="8965">
      <c r="C8965" s="9"/>
      <c r="D8965" s="9"/>
    </row>
    <row r="8966">
      <c r="C8966" s="9"/>
      <c r="D8966" s="9"/>
    </row>
    <row r="8967">
      <c r="C8967" s="9"/>
      <c r="D8967" s="9"/>
    </row>
    <row r="8968">
      <c r="C8968" s="9"/>
      <c r="D8968" s="9"/>
    </row>
    <row r="8969">
      <c r="C8969" s="9"/>
      <c r="D8969" s="9"/>
    </row>
    <row r="8970">
      <c r="C8970" s="9"/>
      <c r="D8970" s="9"/>
    </row>
    <row r="8971">
      <c r="C8971" s="9"/>
      <c r="D8971" s="9"/>
    </row>
    <row r="8972">
      <c r="C8972" s="9"/>
      <c r="D8972" s="9"/>
    </row>
    <row r="8973">
      <c r="C8973" s="9"/>
      <c r="D8973" s="9"/>
    </row>
    <row r="8974">
      <c r="C8974" s="9"/>
      <c r="D8974" s="9"/>
    </row>
    <row r="8975">
      <c r="C8975" s="9"/>
      <c r="D8975" s="9"/>
    </row>
    <row r="8976">
      <c r="C8976" s="9"/>
      <c r="D8976" s="9"/>
    </row>
    <row r="8977">
      <c r="C8977" s="9"/>
      <c r="D8977" s="9"/>
    </row>
    <row r="8978">
      <c r="C8978" s="9"/>
      <c r="D8978" s="9"/>
    </row>
    <row r="8979">
      <c r="C8979" s="9"/>
      <c r="D8979" s="9"/>
    </row>
    <row r="8980">
      <c r="C8980" s="9"/>
      <c r="D8980" s="9"/>
    </row>
    <row r="8981">
      <c r="C8981" s="9"/>
      <c r="D8981" s="9"/>
    </row>
    <row r="8982">
      <c r="C8982" s="9"/>
      <c r="D8982" s="9"/>
    </row>
    <row r="8983">
      <c r="C8983" s="9"/>
      <c r="D8983" s="9"/>
    </row>
    <row r="8984">
      <c r="C8984" s="9"/>
      <c r="D8984" s="9"/>
    </row>
    <row r="8985">
      <c r="C8985" s="9"/>
      <c r="D8985" s="9"/>
    </row>
    <row r="8986">
      <c r="C8986" s="9"/>
      <c r="D8986" s="9"/>
    </row>
    <row r="8987">
      <c r="C8987" s="9"/>
      <c r="D8987" s="9"/>
    </row>
    <row r="8988">
      <c r="C8988" s="9"/>
      <c r="D8988" s="9"/>
    </row>
    <row r="8989">
      <c r="C8989" s="9"/>
      <c r="D8989" s="9"/>
    </row>
    <row r="8990">
      <c r="C8990" s="9"/>
      <c r="D8990" s="9"/>
    </row>
    <row r="8991">
      <c r="C8991" s="9"/>
      <c r="D8991" s="9"/>
    </row>
    <row r="8992">
      <c r="C8992" s="9"/>
      <c r="D8992" s="9"/>
    </row>
    <row r="8993">
      <c r="C8993" s="9"/>
      <c r="D8993" s="9"/>
    </row>
    <row r="8994">
      <c r="C8994" s="9"/>
      <c r="D8994" s="9"/>
    </row>
    <row r="8995">
      <c r="C8995" s="9"/>
      <c r="D8995" s="9"/>
    </row>
    <row r="8996">
      <c r="C8996" s="9"/>
      <c r="D8996" s="9"/>
    </row>
    <row r="8997">
      <c r="C8997" s="9"/>
      <c r="D8997" s="9"/>
    </row>
    <row r="8998">
      <c r="C8998" s="9"/>
      <c r="D8998" s="9"/>
    </row>
    <row r="8999">
      <c r="C8999" s="9"/>
      <c r="D8999" s="9"/>
    </row>
    <row r="9000">
      <c r="C9000" s="9"/>
      <c r="D9000" s="9"/>
    </row>
  </sheetData>
  <autoFilter ref="$A$1:$G$8001"/>
  <dataValidations>
    <dataValidation type="list" allowBlank="1" showErrorMessage="1" sqref="C2:C9000">
      <formula1>"Laptop allocation,Laptop return,Laptop repair"</formula1>
    </dataValidation>
    <dataValidation type="list" allowBlank="1" showErrorMessage="1" sqref="D2:D9000">
      <formula1>"Pending approval,Approved,In progress,Completed,Rejected,Cancelled"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8.5"/>
    <col customWidth="1" min="3" max="3" width="9.63"/>
    <col customWidth="1" min="4" max="4" width="13.5"/>
    <col customWidth="1" min="5" max="5" width="7.5"/>
    <col customWidth="1" min="6" max="6" width="9.63"/>
    <col customWidth="1" min="7" max="7" width="34.75"/>
  </cols>
  <sheetData>
    <row r="1">
      <c r="A1" s="1" t="s">
        <v>556</v>
      </c>
      <c r="B1" s="1" t="s">
        <v>12</v>
      </c>
      <c r="C1" s="1" t="s">
        <v>562</v>
      </c>
      <c r="D1" s="1" t="s">
        <v>564</v>
      </c>
      <c r="E1" s="1" t="s">
        <v>567</v>
      </c>
      <c r="F1" s="1" t="s">
        <v>570</v>
      </c>
      <c r="G1" s="1" t="s">
        <v>572</v>
      </c>
    </row>
    <row r="2">
      <c r="A2" s="3" t="s">
        <v>577</v>
      </c>
      <c r="B2" s="3" t="s">
        <v>36</v>
      </c>
      <c r="C2" s="9"/>
      <c r="D2" s="3" t="s">
        <v>221</v>
      </c>
      <c r="E2" s="3" t="s">
        <v>10</v>
      </c>
      <c r="F2" s="7">
        <v>46309.416666666664</v>
      </c>
      <c r="G2" s="3" t="s">
        <v>604</v>
      </c>
    </row>
    <row r="3">
      <c r="A3" s="3" t="s">
        <v>608</v>
      </c>
      <c r="B3" s="3" t="s">
        <v>36</v>
      </c>
      <c r="C3" s="3" t="s">
        <v>221</v>
      </c>
      <c r="D3" s="3" t="s">
        <v>614</v>
      </c>
      <c r="E3" s="3" t="s">
        <v>35</v>
      </c>
      <c r="F3" s="7">
        <v>46309.419444444444</v>
      </c>
      <c r="G3" s="3" t="s">
        <v>621</v>
      </c>
    </row>
    <row r="4">
      <c r="A4" s="3" t="s">
        <v>625</v>
      </c>
      <c r="B4" s="3" t="s">
        <v>36</v>
      </c>
      <c r="C4" s="3" t="s">
        <v>614</v>
      </c>
      <c r="D4" s="3" t="s">
        <v>206</v>
      </c>
      <c r="E4" s="3" t="s">
        <v>29</v>
      </c>
      <c r="F4" s="7">
        <v>46309.42152777778</v>
      </c>
      <c r="G4" s="3" t="s">
        <v>636</v>
      </c>
    </row>
    <row r="5">
      <c r="A5" s="3" t="s">
        <v>639</v>
      </c>
      <c r="B5" s="3" t="s">
        <v>36</v>
      </c>
      <c r="C5" s="3" t="s">
        <v>206</v>
      </c>
      <c r="D5" s="3" t="s">
        <v>68</v>
      </c>
      <c r="E5" s="3" t="s">
        <v>29</v>
      </c>
      <c r="F5" s="7">
        <v>46309.42222222222</v>
      </c>
      <c r="G5" s="3" t="s">
        <v>649</v>
      </c>
    </row>
    <row r="6">
      <c r="A6" s="3" t="s">
        <v>651</v>
      </c>
      <c r="B6" s="3" t="s">
        <v>93</v>
      </c>
      <c r="C6" s="9"/>
      <c r="D6" s="3" t="s">
        <v>221</v>
      </c>
      <c r="E6" s="3" t="s">
        <v>42</v>
      </c>
      <c r="F6" s="7">
        <v>45761.291666666664</v>
      </c>
      <c r="G6" s="3" t="s">
        <v>661</v>
      </c>
    </row>
    <row r="7">
      <c r="A7" s="3" t="s">
        <v>664</v>
      </c>
      <c r="B7" s="3" t="s">
        <v>93</v>
      </c>
      <c r="C7" s="3" t="s">
        <v>221</v>
      </c>
      <c r="D7" s="3" t="s">
        <v>614</v>
      </c>
      <c r="E7" s="3" t="s">
        <v>118</v>
      </c>
      <c r="F7" s="7">
        <v>45761.541666666664</v>
      </c>
      <c r="G7" s="3" t="s">
        <v>671</v>
      </c>
    </row>
    <row r="8">
      <c r="A8" s="3" t="s">
        <v>675</v>
      </c>
      <c r="B8" s="3" t="s">
        <v>93</v>
      </c>
      <c r="C8" s="3" t="s">
        <v>614</v>
      </c>
      <c r="D8" s="3" t="s">
        <v>206</v>
      </c>
      <c r="E8" s="3" t="s">
        <v>100</v>
      </c>
      <c r="F8" s="7">
        <v>45761.791666666664</v>
      </c>
      <c r="G8" s="3" t="s">
        <v>684</v>
      </c>
    </row>
    <row r="9">
      <c r="A9" s="3" t="s">
        <v>687</v>
      </c>
      <c r="B9" s="3" t="s">
        <v>93</v>
      </c>
      <c r="C9" s="3" t="s">
        <v>206</v>
      </c>
      <c r="D9" s="3" t="s">
        <v>68</v>
      </c>
      <c r="E9" s="3" t="s">
        <v>100</v>
      </c>
      <c r="F9" s="7">
        <v>45763.291666666664</v>
      </c>
      <c r="G9" s="3" t="s">
        <v>696</v>
      </c>
    </row>
    <row r="10">
      <c r="A10" s="3" t="s">
        <v>699</v>
      </c>
      <c r="B10" s="3" t="s">
        <v>104</v>
      </c>
      <c r="C10" s="9"/>
      <c r="D10" s="3" t="s">
        <v>221</v>
      </c>
      <c r="E10" s="3" t="s">
        <v>46</v>
      </c>
      <c r="F10" s="7">
        <v>45766.291666666664</v>
      </c>
      <c r="G10" s="3" t="s">
        <v>661</v>
      </c>
    </row>
    <row r="11">
      <c r="A11" s="3" t="s">
        <v>707</v>
      </c>
      <c r="B11" s="3" t="s">
        <v>104</v>
      </c>
      <c r="C11" s="3" t="s">
        <v>221</v>
      </c>
      <c r="D11" s="3" t="s">
        <v>614</v>
      </c>
      <c r="E11" s="3" t="s">
        <v>118</v>
      </c>
      <c r="F11" s="7">
        <v>45766.541666666664</v>
      </c>
      <c r="G11" s="3" t="s">
        <v>671</v>
      </c>
    </row>
    <row r="12">
      <c r="A12" s="3" t="s">
        <v>715</v>
      </c>
      <c r="B12" s="3" t="s">
        <v>104</v>
      </c>
      <c r="C12" s="3" t="s">
        <v>614</v>
      </c>
      <c r="D12" s="3" t="s">
        <v>206</v>
      </c>
      <c r="E12" s="3" t="s">
        <v>100</v>
      </c>
      <c r="F12" s="7">
        <v>45766.791666666664</v>
      </c>
      <c r="G12" s="3" t="s">
        <v>684</v>
      </c>
    </row>
    <row r="13">
      <c r="A13" s="3" t="s">
        <v>724</v>
      </c>
      <c r="B13" s="3" t="s">
        <v>104</v>
      </c>
      <c r="C13" s="3" t="s">
        <v>206</v>
      </c>
      <c r="D13" s="3" t="s">
        <v>68</v>
      </c>
      <c r="E13" s="3" t="s">
        <v>100</v>
      </c>
      <c r="F13" s="7">
        <v>45768.291666666664</v>
      </c>
      <c r="G13" s="3" t="s">
        <v>733</v>
      </c>
    </row>
    <row r="14">
      <c r="A14" s="3" t="s">
        <v>736</v>
      </c>
      <c r="B14" s="3" t="s">
        <v>113</v>
      </c>
      <c r="C14" s="9"/>
      <c r="D14" s="3" t="s">
        <v>221</v>
      </c>
      <c r="E14" s="3" t="s">
        <v>50</v>
      </c>
      <c r="F14" s="7">
        <v>45771.291666666664</v>
      </c>
      <c r="G14" s="3" t="s">
        <v>661</v>
      </c>
    </row>
    <row r="15">
      <c r="A15" s="3" t="s">
        <v>745</v>
      </c>
      <c r="B15" s="3" t="s">
        <v>113</v>
      </c>
      <c r="C15" s="3" t="s">
        <v>221</v>
      </c>
      <c r="D15" s="3" t="s">
        <v>614</v>
      </c>
      <c r="E15" s="3" t="s">
        <v>118</v>
      </c>
      <c r="F15" s="7">
        <v>45771.541666666664</v>
      </c>
      <c r="G15" s="3" t="s">
        <v>671</v>
      </c>
    </row>
    <row r="16">
      <c r="A16" s="3" t="s">
        <v>755</v>
      </c>
      <c r="B16" s="3" t="s">
        <v>113</v>
      </c>
      <c r="C16" s="3" t="s">
        <v>614</v>
      </c>
      <c r="D16" s="3" t="s">
        <v>206</v>
      </c>
      <c r="E16" s="3" t="s">
        <v>100</v>
      </c>
      <c r="F16" s="7">
        <v>45771.791666666664</v>
      </c>
      <c r="G16" s="3" t="s">
        <v>684</v>
      </c>
    </row>
    <row r="17">
      <c r="A17" s="3" t="s">
        <v>766</v>
      </c>
      <c r="B17" s="3" t="s">
        <v>113</v>
      </c>
      <c r="C17" s="3" t="s">
        <v>206</v>
      </c>
      <c r="D17" s="3" t="s">
        <v>68</v>
      </c>
      <c r="E17" s="3" t="s">
        <v>100</v>
      </c>
      <c r="F17" s="7">
        <v>45773.291666666664</v>
      </c>
      <c r="G17" s="3" t="s">
        <v>772</v>
      </c>
    </row>
    <row r="18">
      <c r="A18" s="3" t="s">
        <v>776</v>
      </c>
      <c r="B18" s="3" t="s">
        <v>129</v>
      </c>
      <c r="C18" s="9"/>
      <c r="D18" s="3" t="s">
        <v>221</v>
      </c>
      <c r="E18" s="3" t="s">
        <v>54</v>
      </c>
      <c r="F18" s="7">
        <v>45776.291666666664</v>
      </c>
      <c r="G18" s="3" t="s">
        <v>661</v>
      </c>
    </row>
    <row r="19">
      <c r="A19" s="3" t="s">
        <v>783</v>
      </c>
      <c r="B19" s="3" t="s">
        <v>129</v>
      </c>
      <c r="C19" s="3" t="s">
        <v>221</v>
      </c>
      <c r="D19" s="3" t="s">
        <v>614</v>
      </c>
      <c r="E19" s="3" t="s">
        <v>118</v>
      </c>
      <c r="F19" s="7">
        <v>45776.541666666664</v>
      </c>
      <c r="G19" s="3" t="s">
        <v>671</v>
      </c>
    </row>
    <row r="20">
      <c r="A20" s="3" t="s">
        <v>791</v>
      </c>
      <c r="B20" s="3" t="s">
        <v>129</v>
      </c>
      <c r="C20" s="3" t="s">
        <v>614</v>
      </c>
      <c r="D20" s="3" t="s">
        <v>206</v>
      </c>
      <c r="E20" s="3" t="s">
        <v>100</v>
      </c>
      <c r="F20" s="7">
        <v>45776.791666666664</v>
      </c>
      <c r="G20" s="3" t="s">
        <v>684</v>
      </c>
    </row>
    <row r="21">
      <c r="A21" s="3" t="s">
        <v>799</v>
      </c>
      <c r="B21" s="3" t="s">
        <v>129</v>
      </c>
      <c r="C21" s="3" t="s">
        <v>206</v>
      </c>
      <c r="D21" s="3" t="s">
        <v>68</v>
      </c>
      <c r="E21" s="3" t="s">
        <v>100</v>
      </c>
      <c r="F21" s="7">
        <v>45778.291666666664</v>
      </c>
      <c r="G21" s="3" t="s">
        <v>804</v>
      </c>
    </row>
    <row r="22">
      <c r="A22" s="3" t="s">
        <v>806</v>
      </c>
      <c r="B22" s="3" t="s">
        <v>144</v>
      </c>
      <c r="C22" s="9"/>
      <c r="D22" s="3" t="s">
        <v>221</v>
      </c>
      <c r="E22" s="3" t="s">
        <v>59</v>
      </c>
      <c r="F22" s="7">
        <v>45781.291666666664</v>
      </c>
      <c r="G22" s="3" t="s">
        <v>661</v>
      </c>
    </row>
    <row r="23">
      <c r="A23" s="3" t="s">
        <v>813</v>
      </c>
      <c r="B23" s="3" t="s">
        <v>144</v>
      </c>
      <c r="C23" s="3" t="s">
        <v>221</v>
      </c>
      <c r="D23" s="3" t="s">
        <v>614</v>
      </c>
      <c r="E23" s="3" t="s">
        <v>118</v>
      </c>
      <c r="F23" s="7">
        <v>45781.541666666664</v>
      </c>
      <c r="G23" s="3" t="s">
        <v>671</v>
      </c>
    </row>
    <row r="24">
      <c r="A24" s="3" t="s">
        <v>821</v>
      </c>
      <c r="B24" s="3" t="s">
        <v>144</v>
      </c>
      <c r="C24" s="3" t="s">
        <v>614</v>
      </c>
      <c r="D24" s="3" t="s">
        <v>206</v>
      </c>
      <c r="E24" s="3" t="s">
        <v>100</v>
      </c>
      <c r="F24" s="7">
        <v>45781.791666666664</v>
      </c>
      <c r="G24" s="3" t="s">
        <v>684</v>
      </c>
    </row>
    <row r="25">
      <c r="A25" s="3" t="s">
        <v>827</v>
      </c>
      <c r="B25" s="3" t="s">
        <v>144</v>
      </c>
      <c r="C25" s="3" t="s">
        <v>206</v>
      </c>
      <c r="D25" s="3" t="s">
        <v>68</v>
      </c>
      <c r="E25" s="3" t="s">
        <v>100</v>
      </c>
      <c r="F25" s="7">
        <v>45783.291666666664</v>
      </c>
      <c r="G25" s="3" t="s">
        <v>833</v>
      </c>
    </row>
    <row r="26">
      <c r="A26" s="3" t="s">
        <v>836</v>
      </c>
      <c r="B26" s="3" t="s">
        <v>158</v>
      </c>
      <c r="C26" s="9"/>
      <c r="D26" s="3" t="s">
        <v>221</v>
      </c>
      <c r="E26" s="3" t="s">
        <v>62</v>
      </c>
      <c r="F26" s="7">
        <v>45786.291666666664</v>
      </c>
      <c r="G26" s="3" t="s">
        <v>661</v>
      </c>
    </row>
    <row r="27">
      <c r="A27" s="3" t="s">
        <v>843</v>
      </c>
      <c r="B27" s="3" t="s">
        <v>158</v>
      </c>
      <c r="C27" s="3" t="s">
        <v>221</v>
      </c>
      <c r="D27" s="3" t="s">
        <v>614</v>
      </c>
      <c r="E27" s="3" t="s">
        <v>118</v>
      </c>
      <c r="F27" s="7">
        <v>45786.541666666664</v>
      </c>
      <c r="G27" s="3" t="s">
        <v>671</v>
      </c>
    </row>
    <row r="28">
      <c r="A28" s="3" t="s">
        <v>852</v>
      </c>
      <c r="B28" s="3" t="s">
        <v>158</v>
      </c>
      <c r="C28" s="3" t="s">
        <v>614</v>
      </c>
      <c r="D28" s="3" t="s">
        <v>206</v>
      </c>
      <c r="E28" s="3" t="s">
        <v>100</v>
      </c>
      <c r="F28" s="7">
        <v>45786.791666666664</v>
      </c>
      <c r="G28" s="3" t="s">
        <v>684</v>
      </c>
    </row>
    <row r="29">
      <c r="A29" s="3" t="s">
        <v>859</v>
      </c>
      <c r="B29" s="3" t="s">
        <v>158</v>
      </c>
      <c r="C29" s="3" t="s">
        <v>206</v>
      </c>
      <c r="D29" s="3" t="s">
        <v>68</v>
      </c>
      <c r="E29" s="3" t="s">
        <v>100</v>
      </c>
      <c r="F29" s="7">
        <v>45788.291666666664</v>
      </c>
      <c r="G29" s="3" t="s">
        <v>866</v>
      </c>
    </row>
    <row r="30">
      <c r="A30" s="3" t="s">
        <v>868</v>
      </c>
      <c r="B30" s="3" t="s">
        <v>173</v>
      </c>
      <c r="C30" s="9"/>
      <c r="D30" s="3" t="s">
        <v>221</v>
      </c>
      <c r="E30" s="3" t="s">
        <v>65</v>
      </c>
      <c r="F30" s="7">
        <v>45791.291666666664</v>
      </c>
      <c r="G30" s="3" t="s">
        <v>661</v>
      </c>
    </row>
    <row r="31">
      <c r="A31" s="3" t="s">
        <v>874</v>
      </c>
      <c r="B31" s="3" t="s">
        <v>173</v>
      </c>
      <c r="C31" s="3" t="s">
        <v>221</v>
      </c>
      <c r="D31" s="3" t="s">
        <v>181</v>
      </c>
      <c r="E31" s="3" t="s">
        <v>118</v>
      </c>
      <c r="F31" s="7">
        <v>45792.291666666664</v>
      </c>
      <c r="G31" s="3" t="s">
        <v>878</v>
      </c>
    </row>
    <row r="32">
      <c r="A32" s="3" t="s">
        <v>880</v>
      </c>
      <c r="B32" s="3" t="s">
        <v>188</v>
      </c>
      <c r="C32" s="9"/>
      <c r="D32" s="3" t="s">
        <v>221</v>
      </c>
      <c r="E32" s="3" t="s">
        <v>69</v>
      </c>
      <c r="F32" s="7">
        <v>45796.291666666664</v>
      </c>
      <c r="G32" s="3" t="s">
        <v>661</v>
      </c>
    </row>
    <row r="33">
      <c r="A33" s="3" t="s">
        <v>885</v>
      </c>
      <c r="B33" s="3" t="s">
        <v>188</v>
      </c>
      <c r="C33" s="3" t="s">
        <v>221</v>
      </c>
      <c r="D33" s="3" t="s">
        <v>195</v>
      </c>
      <c r="E33" s="3" t="s">
        <v>69</v>
      </c>
      <c r="F33" s="7">
        <v>45797.291666666664</v>
      </c>
      <c r="G33" s="3" t="s">
        <v>889</v>
      </c>
    </row>
    <row r="34">
      <c r="A34" s="3" t="s">
        <v>890</v>
      </c>
      <c r="B34" s="3" t="s">
        <v>200</v>
      </c>
      <c r="C34" s="9"/>
      <c r="D34" s="3" t="s">
        <v>221</v>
      </c>
      <c r="E34" s="3" t="s">
        <v>72</v>
      </c>
      <c r="F34" s="7">
        <v>46306.291666666664</v>
      </c>
      <c r="G34" s="3" t="s">
        <v>661</v>
      </c>
    </row>
    <row r="35">
      <c r="A35" s="3" t="s">
        <v>894</v>
      </c>
      <c r="B35" s="3" t="s">
        <v>200</v>
      </c>
      <c r="C35" s="3" t="s">
        <v>221</v>
      </c>
      <c r="D35" s="3" t="s">
        <v>614</v>
      </c>
      <c r="E35" s="3" t="s">
        <v>118</v>
      </c>
      <c r="F35" s="7">
        <v>46306.541666666664</v>
      </c>
      <c r="G35" s="3" t="s">
        <v>671</v>
      </c>
    </row>
    <row r="36">
      <c r="A36" s="3" t="s">
        <v>964</v>
      </c>
      <c r="B36" s="3" t="s">
        <v>200</v>
      </c>
      <c r="C36" s="3" t="s">
        <v>614</v>
      </c>
      <c r="D36" s="3" t="s">
        <v>206</v>
      </c>
      <c r="E36" s="3" t="s">
        <v>100</v>
      </c>
      <c r="F36" s="7">
        <v>46306.791666666664</v>
      </c>
      <c r="G36" s="3" t="s">
        <v>684</v>
      </c>
    </row>
    <row r="37">
      <c r="A37" s="3" t="s">
        <v>975</v>
      </c>
      <c r="B37" s="3" t="s">
        <v>213</v>
      </c>
      <c r="C37" s="9"/>
      <c r="D37" s="3" t="s">
        <v>221</v>
      </c>
      <c r="E37" s="3" t="s">
        <v>75</v>
      </c>
      <c r="F37" s="7">
        <v>46305.291666666664</v>
      </c>
      <c r="G37" s="3" t="s">
        <v>661</v>
      </c>
    </row>
    <row r="38">
      <c r="A38" s="3" t="s">
        <v>982</v>
      </c>
      <c r="B38" s="3" t="s">
        <v>228</v>
      </c>
      <c r="C38" s="9"/>
      <c r="D38" s="3" t="s">
        <v>221</v>
      </c>
      <c r="E38" s="3" t="s">
        <v>77</v>
      </c>
      <c r="F38" s="7">
        <v>45811.291666666664</v>
      </c>
      <c r="G38" s="3" t="s">
        <v>661</v>
      </c>
    </row>
    <row r="39">
      <c r="A39" s="3" t="s">
        <v>989</v>
      </c>
      <c r="B39" s="3" t="s">
        <v>228</v>
      </c>
      <c r="C39" s="3" t="s">
        <v>221</v>
      </c>
      <c r="D39" s="3" t="s">
        <v>614</v>
      </c>
      <c r="E39" s="3" t="s">
        <v>118</v>
      </c>
      <c r="F39" s="7">
        <v>45811.541666666664</v>
      </c>
      <c r="G39" s="3" t="s">
        <v>671</v>
      </c>
    </row>
    <row r="40">
      <c r="A40" s="3" t="s">
        <v>997</v>
      </c>
      <c r="B40" s="3" t="s">
        <v>228</v>
      </c>
      <c r="C40" s="3" t="s">
        <v>614</v>
      </c>
      <c r="D40" s="3" t="s">
        <v>206</v>
      </c>
      <c r="E40" s="3" t="s">
        <v>100</v>
      </c>
      <c r="F40" s="7">
        <v>45811.791666666664</v>
      </c>
      <c r="G40" s="3" t="s">
        <v>684</v>
      </c>
    </row>
    <row r="41">
      <c r="A41" s="3" t="s">
        <v>1010</v>
      </c>
      <c r="B41" s="3" t="s">
        <v>228</v>
      </c>
      <c r="C41" s="3" t="s">
        <v>206</v>
      </c>
      <c r="D41" s="3" t="s">
        <v>68</v>
      </c>
      <c r="E41" s="3" t="s">
        <v>100</v>
      </c>
      <c r="F41" s="7">
        <v>45813.291666666664</v>
      </c>
      <c r="G41" s="3" t="s">
        <v>1020</v>
      </c>
    </row>
    <row r="42">
      <c r="A42" s="3" t="s">
        <v>1024</v>
      </c>
      <c r="B42" s="3" t="s">
        <v>246</v>
      </c>
      <c r="C42" s="9"/>
      <c r="D42" s="3" t="s">
        <v>221</v>
      </c>
      <c r="E42" s="3" t="s">
        <v>82</v>
      </c>
      <c r="F42" s="7">
        <v>45816.291666666664</v>
      </c>
      <c r="G42" s="3" t="s">
        <v>661</v>
      </c>
    </row>
    <row r="43">
      <c r="A43" s="3" t="s">
        <v>1036</v>
      </c>
      <c r="B43" s="3" t="s">
        <v>246</v>
      </c>
      <c r="C43" s="3" t="s">
        <v>221</v>
      </c>
      <c r="D43" s="3" t="s">
        <v>614</v>
      </c>
      <c r="E43" s="3" t="s">
        <v>118</v>
      </c>
      <c r="F43" s="7">
        <v>45816.541666666664</v>
      </c>
      <c r="G43" s="3" t="s">
        <v>671</v>
      </c>
    </row>
    <row r="44">
      <c r="A44" s="3" t="s">
        <v>1051</v>
      </c>
      <c r="B44" s="3" t="s">
        <v>246</v>
      </c>
      <c r="C44" s="3" t="s">
        <v>614</v>
      </c>
      <c r="D44" s="3" t="s">
        <v>206</v>
      </c>
      <c r="E44" s="3" t="s">
        <v>100</v>
      </c>
      <c r="F44" s="7">
        <v>45816.791666666664</v>
      </c>
      <c r="G44" s="3" t="s">
        <v>684</v>
      </c>
    </row>
    <row r="45">
      <c r="A45" s="3" t="s">
        <v>1057</v>
      </c>
      <c r="B45" s="3" t="s">
        <v>246</v>
      </c>
      <c r="C45" s="3" t="s">
        <v>206</v>
      </c>
      <c r="D45" s="3" t="s">
        <v>68</v>
      </c>
      <c r="E45" s="3" t="s">
        <v>100</v>
      </c>
      <c r="F45" s="7">
        <v>45818.291666666664</v>
      </c>
      <c r="G45" s="3" t="s">
        <v>1059</v>
      </c>
    </row>
    <row r="46">
      <c r="A46" s="3" t="s">
        <v>1061</v>
      </c>
      <c r="B46" s="3" t="s">
        <v>258</v>
      </c>
      <c r="C46" s="9"/>
      <c r="D46" s="3" t="s">
        <v>221</v>
      </c>
      <c r="E46" s="3" t="s">
        <v>85</v>
      </c>
      <c r="F46" s="7">
        <v>45821.291666666664</v>
      </c>
      <c r="G46" s="3" t="s">
        <v>661</v>
      </c>
    </row>
    <row r="47">
      <c r="A47" s="3" t="s">
        <v>1065</v>
      </c>
      <c r="B47" s="3" t="s">
        <v>258</v>
      </c>
      <c r="C47" s="3" t="s">
        <v>221</v>
      </c>
      <c r="D47" s="3" t="s">
        <v>614</v>
      </c>
      <c r="E47" s="3" t="s">
        <v>118</v>
      </c>
      <c r="F47" s="7">
        <v>45821.541666666664</v>
      </c>
      <c r="G47" s="3" t="s">
        <v>671</v>
      </c>
    </row>
    <row r="48">
      <c r="A48" s="3" t="s">
        <v>1068</v>
      </c>
      <c r="B48" s="3" t="s">
        <v>258</v>
      </c>
      <c r="C48" s="3" t="s">
        <v>614</v>
      </c>
      <c r="D48" s="3" t="s">
        <v>206</v>
      </c>
      <c r="E48" s="3" t="s">
        <v>100</v>
      </c>
      <c r="F48" s="7">
        <v>45821.791666666664</v>
      </c>
      <c r="G48" s="3" t="s">
        <v>684</v>
      </c>
    </row>
    <row r="49">
      <c r="A49" s="3" t="s">
        <v>1071</v>
      </c>
      <c r="B49" s="3" t="s">
        <v>258</v>
      </c>
      <c r="C49" s="3" t="s">
        <v>206</v>
      </c>
      <c r="D49" s="3" t="s">
        <v>68</v>
      </c>
      <c r="E49" s="3" t="s">
        <v>100</v>
      </c>
      <c r="F49" s="7">
        <v>45823.291666666664</v>
      </c>
      <c r="G49" s="3" t="s">
        <v>1075</v>
      </c>
    </row>
    <row r="50">
      <c r="A50" s="3" t="s">
        <v>1077</v>
      </c>
      <c r="B50" s="3" t="s">
        <v>275</v>
      </c>
      <c r="C50" s="9"/>
      <c r="D50" s="3" t="s">
        <v>221</v>
      </c>
      <c r="E50" s="3" t="s">
        <v>89</v>
      </c>
      <c r="F50" s="7">
        <v>45826.291666666664</v>
      </c>
      <c r="G50" s="3" t="s">
        <v>661</v>
      </c>
    </row>
    <row r="51">
      <c r="A51" s="3" t="s">
        <v>1080</v>
      </c>
      <c r="B51" s="3" t="s">
        <v>275</v>
      </c>
      <c r="C51" s="3" t="s">
        <v>221</v>
      </c>
      <c r="D51" s="3" t="s">
        <v>614</v>
      </c>
      <c r="E51" s="3" t="s">
        <v>118</v>
      </c>
      <c r="F51" s="7">
        <v>45826.541666666664</v>
      </c>
      <c r="G51" s="3" t="s">
        <v>671</v>
      </c>
    </row>
    <row r="52">
      <c r="A52" s="3" t="s">
        <v>1084</v>
      </c>
      <c r="B52" s="3" t="s">
        <v>275</v>
      </c>
      <c r="C52" s="3" t="s">
        <v>614</v>
      </c>
      <c r="D52" s="3" t="s">
        <v>206</v>
      </c>
      <c r="E52" s="3" t="s">
        <v>100</v>
      </c>
      <c r="F52" s="7">
        <v>45826.791666666664</v>
      </c>
      <c r="G52" s="3" t="s">
        <v>684</v>
      </c>
    </row>
    <row r="53">
      <c r="A53" s="3" t="s">
        <v>1087</v>
      </c>
      <c r="B53" s="3" t="s">
        <v>275</v>
      </c>
      <c r="C53" s="3" t="s">
        <v>206</v>
      </c>
      <c r="D53" s="3" t="s">
        <v>68</v>
      </c>
      <c r="E53" s="3" t="s">
        <v>100</v>
      </c>
      <c r="F53" s="7">
        <v>45828.291666666664</v>
      </c>
      <c r="G53" s="3" t="s">
        <v>1090</v>
      </c>
    </row>
    <row r="54">
      <c r="A54" s="3" t="s">
        <v>1091</v>
      </c>
      <c r="B54" s="3" t="s">
        <v>289</v>
      </c>
      <c r="C54" s="9"/>
      <c r="D54" s="3" t="s">
        <v>221</v>
      </c>
      <c r="E54" s="3" t="s">
        <v>91</v>
      </c>
      <c r="F54" s="7">
        <v>45831.291666666664</v>
      </c>
      <c r="G54" s="3" t="s">
        <v>661</v>
      </c>
    </row>
    <row r="55">
      <c r="A55" s="3" t="s">
        <v>1098</v>
      </c>
      <c r="B55" s="3" t="s">
        <v>289</v>
      </c>
      <c r="C55" s="3" t="s">
        <v>221</v>
      </c>
      <c r="D55" s="3" t="s">
        <v>614</v>
      </c>
      <c r="E55" s="3" t="s">
        <v>118</v>
      </c>
      <c r="F55" s="7">
        <v>45831.541666666664</v>
      </c>
      <c r="G55" s="3" t="s">
        <v>671</v>
      </c>
    </row>
    <row r="56">
      <c r="A56" s="3" t="s">
        <v>1102</v>
      </c>
      <c r="B56" s="3" t="s">
        <v>289</v>
      </c>
      <c r="C56" s="3" t="s">
        <v>614</v>
      </c>
      <c r="D56" s="3" t="s">
        <v>206</v>
      </c>
      <c r="E56" s="3" t="s">
        <v>100</v>
      </c>
      <c r="F56" s="7">
        <v>45831.791666666664</v>
      </c>
      <c r="G56" s="3" t="s">
        <v>684</v>
      </c>
    </row>
    <row r="57">
      <c r="A57" s="3" t="s">
        <v>1106</v>
      </c>
      <c r="B57" s="3" t="s">
        <v>289</v>
      </c>
      <c r="C57" s="3" t="s">
        <v>206</v>
      </c>
      <c r="D57" s="3" t="s">
        <v>68</v>
      </c>
      <c r="E57" s="3" t="s">
        <v>100</v>
      </c>
      <c r="F57" s="7">
        <v>45833.291666666664</v>
      </c>
      <c r="G57" s="3" t="s">
        <v>1107</v>
      </c>
    </row>
    <row r="58">
      <c r="A58" s="3" t="s">
        <v>1108</v>
      </c>
      <c r="B58" s="3" t="s">
        <v>306</v>
      </c>
      <c r="C58" s="9"/>
      <c r="D58" s="3" t="s">
        <v>221</v>
      </c>
      <c r="E58" s="3" t="s">
        <v>95</v>
      </c>
      <c r="F58" s="7">
        <v>45836.291666666664</v>
      </c>
      <c r="G58" s="3" t="s">
        <v>661</v>
      </c>
    </row>
    <row r="59">
      <c r="A59" s="3" t="s">
        <v>1111</v>
      </c>
      <c r="B59" s="3" t="s">
        <v>306</v>
      </c>
      <c r="C59" s="3" t="s">
        <v>221</v>
      </c>
      <c r="D59" s="3" t="s">
        <v>614</v>
      </c>
      <c r="E59" s="3" t="s">
        <v>118</v>
      </c>
      <c r="F59" s="7">
        <v>45836.541666666664</v>
      </c>
      <c r="G59" s="3" t="s">
        <v>671</v>
      </c>
    </row>
    <row r="60">
      <c r="A60" s="3" t="s">
        <v>1115</v>
      </c>
      <c r="B60" s="3" t="s">
        <v>306</v>
      </c>
      <c r="C60" s="3" t="s">
        <v>614</v>
      </c>
      <c r="D60" s="3" t="s">
        <v>206</v>
      </c>
      <c r="E60" s="3" t="s">
        <v>100</v>
      </c>
      <c r="F60" s="7">
        <v>45836.791666666664</v>
      </c>
      <c r="G60" s="3" t="s">
        <v>684</v>
      </c>
    </row>
    <row r="61">
      <c r="A61" s="3" t="s">
        <v>1118</v>
      </c>
      <c r="B61" s="3" t="s">
        <v>306</v>
      </c>
      <c r="C61" s="3" t="s">
        <v>206</v>
      </c>
      <c r="D61" s="3" t="s">
        <v>68</v>
      </c>
      <c r="E61" s="3" t="s">
        <v>100</v>
      </c>
      <c r="F61" s="7">
        <v>45838.291666666664</v>
      </c>
      <c r="G61" s="3" t="s">
        <v>1122</v>
      </c>
    </row>
    <row r="62">
      <c r="A62" s="3" t="s">
        <v>1124</v>
      </c>
      <c r="B62" s="3" t="s">
        <v>325</v>
      </c>
      <c r="C62" s="9"/>
      <c r="D62" s="3" t="s">
        <v>221</v>
      </c>
      <c r="E62" s="3" t="s">
        <v>98</v>
      </c>
      <c r="F62" s="7">
        <v>45841.291666666664</v>
      </c>
      <c r="G62" s="3" t="s">
        <v>661</v>
      </c>
    </row>
    <row r="63">
      <c r="A63" s="3" t="s">
        <v>1128</v>
      </c>
      <c r="B63" s="3" t="s">
        <v>325</v>
      </c>
      <c r="C63" s="3" t="s">
        <v>221</v>
      </c>
      <c r="D63" s="3" t="s">
        <v>181</v>
      </c>
      <c r="E63" s="3" t="s">
        <v>118</v>
      </c>
      <c r="F63" s="7">
        <v>45842.291666666664</v>
      </c>
      <c r="G63" s="3" t="s">
        <v>878</v>
      </c>
    </row>
    <row r="64">
      <c r="A64" s="3" t="s">
        <v>1132</v>
      </c>
      <c r="B64" s="3" t="s">
        <v>340</v>
      </c>
      <c r="C64" s="9"/>
      <c r="D64" s="3" t="s">
        <v>221</v>
      </c>
      <c r="E64" s="3" t="s">
        <v>102</v>
      </c>
      <c r="F64" s="7">
        <v>45846.291666666664</v>
      </c>
      <c r="G64" s="3" t="s">
        <v>661</v>
      </c>
    </row>
    <row r="65">
      <c r="A65" s="3" t="s">
        <v>1136</v>
      </c>
      <c r="B65" s="3" t="s">
        <v>340</v>
      </c>
      <c r="C65" s="3" t="s">
        <v>221</v>
      </c>
      <c r="D65" s="3" t="s">
        <v>195</v>
      </c>
      <c r="E65" s="3" t="s">
        <v>102</v>
      </c>
      <c r="F65" s="7">
        <v>45847.291666666664</v>
      </c>
      <c r="G65" s="3" t="s">
        <v>889</v>
      </c>
    </row>
    <row r="66">
      <c r="A66" s="3" t="s">
        <v>1141</v>
      </c>
      <c r="B66" s="3" t="s">
        <v>353</v>
      </c>
      <c r="C66" s="9"/>
      <c r="D66" s="3" t="s">
        <v>221</v>
      </c>
      <c r="E66" s="3" t="s">
        <v>110</v>
      </c>
      <c r="F66" s="7">
        <v>46303.291666666664</v>
      </c>
      <c r="G66" s="3" t="s">
        <v>661</v>
      </c>
    </row>
    <row r="67">
      <c r="A67" s="3" t="s">
        <v>1145</v>
      </c>
      <c r="B67" s="3" t="s">
        <v>353</v>
      </c>
      <c r="C67" s="3" t="s">
        <v>221</v>
      </c>
      <c r="D67" s="3" t="s">
        <v>614</v>
      </c>
      <c r="E67" s="3" t="s">
        <v>118</v>
      </c>
      <c r="F67" s="7">
        <v>46303.541666666664</v>
      </c>
      <c r="G67" s="3" t="s">
        <v>671</v>
      </c>
    </row>
    <row r="68">
      <c r="A68" s="3" t="s">
        <v>1149</v>
      </c>
      <c r="B68" s="3" t="s">
        <v>353</v>
      </c>
      <c r="C68" s="3" t="s">
        <v>614</v>
      </c>
      <c r="D68" s="3" t="s">
        <v>206</v>
      </c>
      <c r="E68" s="3" t="s">
        <v>100</v>
      </c>
      <c r="F68" s="7">
        <v>46303.791666666664</v>
      </c>
      <c r="G68" s="3" t="s">
        <v>684</v>
      </c>
    </row>
    <row r="69">
      <c r="A69" s="3" t="s">
        <v>1154</v>
      </c>
      <c r="B69" s="3" t="s">
        <v>362</v>
      </c>
      <c r="C69" s="9"/>
      <c r="D69" s="3" t="s">
        <v>221</v>
      </c>
      <c r="E69" s="3" t="s">
        <v>115</v>
      </c>
      <c r="F69" s="7">
        <v>46302.291666666664</v>
      </c>
      <c r="G69" s="3" t="s">
        <v>661</v>
      </c>
    </row>
    <row r="70">
      <c r="A70" s="3" t="s">
        <v>1159</v>
      </c>
      <c r="B70" s="3" t="s">
        <v>376</v>
      </c>
      <c r="C70" s="9"/>
      <c r="D70" s="3" t="s">
        <v>221</v>
      </c>
      <c r="E70" s="3" t="s">
        <v>42</v>
      </c>
      <c r="F70" s="7">
        <v>45861.291666666664</v>
      </c>
      <c r="G70" s="3" t="s">
        <v>661</v>
      </c>
    </row>
    <row r="71">
      <c r="A71" s="3" t="s">
        <v>1164</v>
      </c>
      <c r="B71" s="3" t="s">
        <v>376</v>
      </c>
      <c r="C71" s="3" t="s">
        <v>221</v>
      </c>
      <c r="D71" s="3" t="s">
        <v>614</v>
      </c>
      <c r="E71" s="3" t="s">
        <v>118</v>
      </c>
      <c r="F71" s="7">
        <v>45861.541666666664</v>
      </c>
      <c r="G71" s="3" t="s">
        <v>671</v>
      </c>
    </row>
    <row r="72">
      <c r="A72" s="3" t="s">
        <v>1166</v>
      </c>
      <c r="B72" s="3" t="s">
        <v>376</v>
      </c>
      <c r="C72" s="3" t="s">
        <v>614</v>
      </c>
      <c r="D72" s="3" t="s">
        <v>206</v>
      </c>
      <c r="E72" s="3" t="s">
        <v>100</v>
      </c>
      <c r="F72" s="7">
        <v>45861.791666666664</v>
      </c>
      <c r="G72" s="3" t="s">
        <v>684</v>
      </c>
    </row>
    <row r="73">
      <c r="A73" s="3" t="s">
        <v>1170</v>
      </c>
      <c r="B73" s="3" t="s">
        <v>376</v>
      </c>
      <c r="C73" s="3" t="s">
        <v>206</v>
      </c>
      <c r="D73" s="3" t="s">
        <v>68</v>
      </c>
      <c r="E73" s="3" t="s">
        <v>100</v>
      </c>
      <c r="F73" s="7">
        <v>45863.291666666664</v>
      </c>
      <c r="G73" s="3" t="s">
        <v>1175</v>
      </c>
    </row>
    <row r="74">
      <c r="A74" s="3" t="s">
        <v>1176</v>
      </c>
      <c r="B74" s="3" t="s">
        <v>393</v>
      </c>
      <c r="C74" s="9"/>
      <c r="D74" s="3" t="s">
        <v>221</v>
      </c>
      <c r="E74" s="3" t="s">
        <v>46</v>
      </c>
      <c r="F74" s="7">
        <v>45866.291666666664</v>
      </c>
      <c r="G74" s="3" t="s">
        <v>661</v>
      </c>
    </row>
    <row r="75">
      <c r="A75" s="3" t="s">
        <v>1181</v>
      </c>
      <c r="B75" s="3" t="s">
        <v>393</v>
      </c>
      <c r="C75" s="3" t="s">
        <v>221</v>
      </c>
      <c r="D75" s="3" t="s">
        <v>614</v>
      </c>
      <c r="E75" s="3" t="s">
        <v>118</v>
      </c>
      <c r="F75" s="7">
        <v>45866.541666666664</v>
      </c>
      <c r="G75" s="3" t="s">
        <v>671</v>
      </c>
    </row>
    <row r="76">
      <c r="A76" s="3" t="s">
        <v>1184</v>
      </c>
      <c r="B76" s="3" t="s">
        <v>393</v>
      </c>
      <c r="C76" s="3" t="s">
        <v>614</v>
      </c>
      <c r="D76" s="3" t="s">
        <v>206</v>
      </c>
      <c r="E76" s="3" t="s">
        <v>100</v>
      </c>
      <c r="F76" s="7">
        <v>45866.791666666664</v>
      </c>
      <c r="G76" s="3" t="s">
        <v>684</v>
      </c>
    </row>
    <row r="77">
      <c r="A77" s="3" t="s">
        <v>1189</v>
      </c>
      <c r="B77" s="3" t="s">
        <v>393</v>
      </c>
      <c r="C77" s="3" t="s">
        <v>206</v>
      </c>
      <c r="D77" s="3" t="s">
        <v>68</v>
      </c>
      <c r="E77" s="3" t="s">
        <v>100</v>
      </c>
      <c r="F77" s="7">
        <v>45868.291666666664</v>
      </c>
      <c r="G77" s="3" t="s">
        <v>1192</v>
      </c>
    </row>
    <row r="78">
      <c r="A78" s="3" t="s">
        <v>1195</v>
      </c>
      <c r="B78" s="3" t="s">
        <v>409</v>
      </c>
      <c r="C78" s="9"/>
      <c r="D78" s="3" t="s">
        <v>221</v>
      </c>
      <c r="E78" s="3" t="s">
        <v>50</v>
      </c>
      <c r="F78" s="7">
        <v>45871.291666666664</v>
      </c>
      <c r="G78" s="3" t="s">
        <v>661</v>
      </c>
    </row>
    <row r="79">
      <c r="A79" s="3" t="s">
        <v>1200</v>
      </c>
      <c r="B79" s="3" t="s">
        <v>409</v>
      </c>
      <c r="C79" s="3" t="s">
        <v>221</v>
      </c>
      <c r="D79" s="3" t="s">
        <v>614</v>
      </c>
      <c r="E79" s="3" t="s">
        <v>118</v>
      </c>
      <c r="F79" s="7">
        <v>45871.541666666664</v>
      </c>
      <c r="G79" s="3" t="s">
        <v>671</v>
      </c>
    </row>
    <row r="80">
      <c r="A80" s="3" t="s">
        <v>1203</v>
      </c>
      <c r="B80" s="3" t="s">
        <v>409</v>
      </c>
      <c r="C80" s="3" t="s">
        <v>614</v>
      </c>
      <c r="D80" s="3" t="s">
        <v>206</v>
      </c>
      <c r="E80" s="3" t="s">
        <v>100</v>
      </c>
      <c r="F80" s="7">
        <v>45871.791666666664</v>
      </c>
      <c r="G80" s="3" t="s">
        <v>684</v>
      </c>
    </row>
    <row r="81">
      <c r="A81" s="3" t="s">
        <v>1210</v>
      </c>
      <c r="B81" s="3" t="s">
        <v>409</v>
      </c>
      <c r="C81" s="3" t="s">
        <v>206</v>
      </c>
      <c r="D81" s="3" t="s">
        <v>68</v>
      </c>
      <c r="E81" s="3" t="s">
        <v>100</v>
      </c>
      <c r="F81" s="7">
        <v>45873.291666666664</v>
      </c>
      <c r="G81" s="3" t="s">
        <v>1215</v>
      </c>
    </row>
    <row r="82">
      <c r="A82" s="3" t="s">
        <v>1216</v>
      </c>
      <c r="B82" s="3" t="s">
        <v>435</v>
      </c>
      <c r="C82" s="9"/>
      <c r="D82" s="3" t="s">
        <v>221</v>
      </c>
      <c r="E82" s="3" t="s">
        <v>54</v>
      </c>
      <c r="F82" s="7">
        <v>45876.291666666664</v>
      </c>
      <c r="G82" s="3" t="s">
        <v>661</v>
      </c>
    </row>
    <row r="83">
      <c r="A83" s="3" t="s">
        <v>1220</v>
      </c>
      <c r="B83" s="3" t="s">
        <v>435</v>
      </c>
      <c r="C83" s="3" t="s">
        <v>221</v>
      </c>
      <c r="D83" s="3" t="s">
        <v>614</v>
      </c>
      <c r="E83" s="3" t="s">
        <v>118</v>
      </c>
      <c r="F83" s="7">
        <v>45876.541666666664</v>
      </c>
      <c r="G83" s="3" t="s">
        <v>671</v>
      </c>
    </row>
    <row r="84">
      <c r="A84" s="3" t="s">
        <v>1222</v>
      </c>
      <c r="B84" s="3" t="s">
        <v>435</v>
      </c>
      <c r="C84" s="3" t="s">
        <v>614</v>
      </c>
      <c r="D84" s="3" t="s">
        <v>206</v>
      </c>
      <c r="E84" s="3" t="s">
        <v>100</v>
      </c>
      <c r="F84" s="7">
        <v>45876.791666666664</v>
      </c>
      <c r="G84" s="3" t="s">
        <v>684</v>
      </c>
    </row>
    <row r="85">
      <c r="A85" s="3" t="s">
        <v>1225</v>
      </c>
      <c r="B85" s="3" t="s">
        <v>435</v>
      </c>
      <c r="C85" s="3" t="s">
        <v>206</v>
      </c>
      <c r="D85" s="3" t="s">
        <v>68</v>
      </c>
      <c r="E85" s="3" t="s">
        <v>100</v>
      </c>
      <c r="F85" s="7">
        <v>45878.291666666664</v>
      </c>
      <c r="G85" s="3" t="s">
        <v>1229</v>
      </c>
    </row>
    <row r="86">
      <c r="A86" s="3" t="s">
        <v>1231</v>
      </c>
      <c r="B86" s="3" t="s">
        <v>448</v>
      </c>
      <c r="C86" s="9"/>
      <c r="D86" s="3" t="s">
        <v>221</v>
      </c>
      <c r="E86" s="3" t="s">
        <v>59</v>
      </c>
      <c r="F86" s="7">
        <v>45881.291666666664</v>
      </c>
      <c r="G86" s="3" t="s">
        <v>661</v>
      </c>
    </row>
    <row r="87">
      <c r="A87" s="3" t="s">
        <v>1235</v>
      </c>
      <c r="B87" s="3" t="s">
        <v>448</v>
      </c>
      <c r="C87" s="3" t="s">
        <v>221</v>
      </c>
      <c r="D87" s="3" t="s">
        <v>614</v>
      </c>
      <c r="E87" s="3" t="s">
        <v>118</v>
      </c>
      <c r="F87" s="7">
        <v>45881.541666666664</v>
      </c>
      <c r="G87" s="3" t="s">
        <v>671</v>
      </c>
    </row>
    <row r="88">
      <c r="A88" s="3" t="s">
        <v>1239</v>
      </c>
      <c r="B88" s="3" t="s">
        <v>448</v>
      </c>
      <c r="C88" s="3" t="s">
        <v>614</v>
      </c>
      <c r="D88" s="3" t="s">
        <v>206</v>
      </c>
      <c r="E88" s="3" t="s">
        <v>100</v>
      </c>
      <c r="F88" s="7">
        <v>45881.791666666664</v>
      </c>
      <c r="G88" s="3" t="s">
        <v>684</v>
      </c>
    </row>
    <row r="89">
      <c r="A89" s="3" t="s">
        <v>1243</v>
      </c>
      <c r="B89" s="3" t="s">
        <v>448</v>
      </c>
      <c r="C89" s="3" t="s">
        <v>206</v>
      </c>
      <c r="D89" s="3" t="s">
        <v>68</v>
      </c>
      <c r="E89" s="3" t="s">
        <v>100</v>
      </c>
      <c r="F89" s="7">
        <v>45883.291666666664</v>
      </c>
      <c r="G89" s="3" t="s">
        <v>1247</v>
      </c>
    </row>
    <row r="90">
      <c r="A90" s="3" t="s">
        <v>1249</v>
      </c>
      <c r="B90" s="3" t="s">
        <v>458</v>
      </c>
      <c r="C90" s="9"/>
      <c r="D90" s="3" t="s">
        <v>221</v>
      </c>
      <c r="E90" s="3" t="s">
        <v>62</v>
      </c>
      <c r="F90" s="7">
        <v>45886.291666666664</v>
      </c>
      <c r="G90" s="3" t="s">
        <v>661</v>
      </c>
    </row>
    <row r="91">
      <c r="A91" s="3" t="s">
        <v>1253</v>
      </c>
      <c r="B91" s="3" t="s">
        <v>458</v>
      </c>
      <c r="C91" s="3" t="s">
        <v>221</v>
      </c>
      <c r="D91" s="3" t="s">
        <v>614</v>
      </c>
      <c r="E91" s="3" t="s">
        <v>118</v>
      </c>
      <c r="F91" s="7">
        <v>45886.541666666664</v>
      </c>
      <c r="G91" s="3" t="s">
        <v>671</v>
      </c>
    </row>
    <row r="92">
      <c r="A92" s="3" t="s">
        <v>1257</v>
      </c>
      <c r="B92" s="3" t="s">
        <v>458</v>
      </c>
      <c r="C92" s="3" t="s">
        <v>614</v>
      </c>
      <c r="D92" s="3" t="s">
        <v>206</v>
      </c>
      <c r="E92" s="3" t="s">
        <v>100</v>
      </c>
      <c r="F92" s="7">
        <v>45886.791666666664</v>
      </c>
      <c r="G92" s="3" t="s">
        <v>684</v>
      </c>
    </row>
    <row r="93">
      <c r="A93" s="3" t="s">
        <v>1262</v>
      </c>
      <c r="B93" s="3" t="s">
        <v>458</v>
      </c>
      <c r="C93" s="3" t="s">
        <v>206</v>
      </c>
      <c r="D93" s="3" t="s">
        <v>68</v>
      </c>
      <c r="E93" s="3" t="s">
        <v>100</v>
      </c>
      <c r="F93" s="7">
        <v>45888.291666666664</v>
      </c>
      <c r="G93" s="3" t="s">
        <v>1265</v>
      </c>
    </row>
    <row r="94">
      <c r="A94" s="3" t="s">
        <v>1267</v>
      </c>
      <c r="B94" s="3" t="s">
        <v>474</v>
      </c>
      <c r="C94" s="9"/>
      <c r="D94" s="3" t="s">
        <v>221</v>
      </c>
      <c r="E94" s="3" t="s">
        <v>65</v>
      </c>
      <c r="F94" s="7">
        <v>45891.291666666664</v>
      </c>
      <c r="G94" s="3" t="s">
        <v>661</v>
      </c>
    </row>
    <row r="95">
      <c r="A95" s="3" t="s">
        <v>1271</v>
      </c>
      <c r="B95" s="3" t="s">
        <v>474</v>
      </c>
      <c r="C95" s="3" t="s">
        <v>221</v>
      </c>
      <c r="D95" s="3" t="s">
        <v>181</v>
      </c>
      <c r="E95" s="3" t="s">
        <v>118</v>
      </c>
      <c r="F95" s="7">
        <v>45892.291666666664</v>
      </c>
      <c r="G95" s="3" t="s">
        <v>878</v>
      </c>
    </row>
    <row r="96">
      <c r="A96" s="3" t="s">
        <v>1283</v>
      </c>
      <c r="B96" s="3" t="s">
        <v>487</v>
      </c>
      <c r="C96" s="9"/>
      <c r="D96" s="3" t="s">
        <v>221</v>
      </c>
      <c r="E96" s="3" t="s">
        <v>69</v>
      </c>
      <c r="F96" s="7">
        <v>45896.291666666664</v>
      </c>
      <c r="G96" s="3" t="s">
        <v>661</v>
      </c>
    </row>
    <row r="97">
      <c r="A97" s="3" t="s">
        <v>1288</v>
      </c>
      <c r="B97" s="3" t="s">
        <v>487</v>
      </c>
      <c r="C97" s="3" t="s">
        <v>221</v>
      </c>
      <c r="D97" s="3" t="s">
        <v>195</v>
      </c>
      <c r="E97" s="3" t="s">
        <v>69</v>
      </c>
      <c r="F97" s="7">
        <v>45897.291666666664</v>
      </c>
      <c r="G97" s="3" t="s">
        <v>889</v>
      </c>
    </row>
    <row r="98">
      <c r="A98" s="3" t="s">
        <v>1294</v>
      </c>
      <c r="B98" s="3" t="s">
        <v>500</v>
      </c>
      <c r="C98" s="9"/>
      <c r="D98" s="3" t="s">
        <v>221</v>
      </c>
      <c r="E98" s="3" t="s">
        <v>72</v>
      </c>
      <c r="F98" s="7">
        <v>46307.291666666664</v>
      </c>
      <c r="G98" s="3" t="s">
        <v>661</v>
      </c>
    </row>
    <row r="99">
      <c r="A99" s="3" t="s">
        <v>1299</v>
      </c>
      <c r="B99" s="3" t="s">
        <v>500</v>
      </c>
      <c r="C99" s="3" t="s">
        <v>221</v>
      </c>
      <c r="D99" s="3" t="s">
        <v>614</v>
      </c>
      <c r="E99" s="3" t="s">
        <v>118</v>
      </c>
      <c r="F99" s="7">
        <v>46307.541666666664</v>
      </c>
      <c r="G99" s="3" t="s">
        <v>671</v>
      </c>
    </row>
    <row r="100">
      <c r="A100" s="3" t="s">
        <v>1304</v>
      </c>
      <c r="B100" s="3" t="s">
        <v>500</v>
      </c>
      <c r="C100" s="3" t="s">
        <v>614</v>
      </c>
      <c r="D100" s="3" t="s">
        <v>206</v>
      </c>
      <c r="E100" s="3" t="s">
        <v>100</v>
      </c>
      <c r="F100" s="7">
        <v>46307.791666666664</v>
      </c>
      <c r="G100" s="3" t="s">
        <v>684</v>
      </c>
    </row>
    <row r="101">
      <c r="A101" s="3" t="s">
        <v>1308</v>
      </c>
      <c r="B101" s="3" t="s">
        <v>514</v>
      </c>
      <c r="C101" s="9"/>
      <c r="D101" s="3" t="s">
        <v>221</v>
      </c>
      <c r="E101" s="3" t="s">
        <v>75</v>
      </c>
      <c r="F101" s="7">
        <v>46306.291666666664</v>
      </c>
      <c r="G101" s="3" t="s">
        <v>661</v>
      </c>
    </row>
    <row r="102">
      <c r="A102" s="3" t="s">
        <v>1312</v>
      </c>
      <c r="B102" s="3" t="s">
        <v>528</v>
      </c>
      <c r="C102" s="9"/>
      <c r="D102" s="3" t="s">
        <v>221</v>
      </c>
      <c r="E102" s="3" t="s">
        <v>77</v>
      </c>
      <c r="F102" s="7">
        <v>45911.291666666664</v>
      </c>
      <c r="G102" s="3" t="s">
        <v>661</v>
      </c>
    </row>
    <row r="103">
      <c r="A103" s="3" t="s">
        <v>1316</v>
      </c>
      <c r="B103" s="3" t="s">
        <v>528</v>
      </c>
      <c r="C103" s="3" t="s">
        <v>221</v>
      </c>
      <c r="D103" s="3" t="s">
        <v>614</v>
      </c>
      <c r="E103" s="3" t="s">
        <v>118</v>
      </c>
      <c r="F103" s="7">
        <v>45911.541666666664</v>
      </c>
      <c r="G103" s="3" t="s">
        <v>671</v>
      </c>
    </row>
    <row r="104">
      <c r="A104" s="3" t="s">
        <v>1321</v>
      </c>
      <c r="B104" s="3" t="s">
        <v>528</v>
      </c>
      <c r="C104" s="3" t="s">
        <v>614</v>
      </c>
      <c r="D104" s="3" t="s">
        <v>206</v>
      </c>
      <c r="E104" s="3" t="s">
        <v>100</v>
      </c>
      <c r="F104" s="7">
        <v>45911.791666666664</v>
      </c>
      <c r="G104" s="3" t="s">
        <v>684</v>
      </c>
    </row>
    <row r="105">
      <c r="A105" s="3" t="s">
        <v>1326</v>
      </c>
      <c r="B105" s="3" t="s">
        <v>528</v>
      </c>
      <c r="C105" s="3" t="s">
        <v>206</v>
      </c>
      <c r="D105" s="3" t="s">
        <v>68</v>
      </c>
      <c r="E105" s="3" t="s">
        <v>100</v>
      </c>
      <c r="F105" s="7">
        <v>45913.291666666664</v>
      </c>
      <c r="G105" s="3" t="s">
        <v>1330</v>
      </c>
    </row>
    <row r="106">
      <c r="A106" s="3" t="s">
        <v>1331</v>
      </c>
      <c r="B106" s="3" t="s">
        <v>543</v>
      </c>
      <c r="C106" s="9"/>
      <c r="D106" s="3" t="s">
        <v>221</v>
      </c>
      <c r="E106" s="3" t="s">
        <v>82</v>
      </c>
      <c r="F106" s="7">
        <v>45916.291666666664</v>
      </c>
      <c r="G106" s="3" t="s">
        <v>661</v>
      </c>
    </row>
    <row r="107">
      <c r="A107" s="3" t="s">
        <v>1336</v>
      </c>
      <c r="B107" s="3" t="s">
        <v>543</v>
      </c>
      <c r="C107" s="3" t="s">
        <v>221</v>
      </c>
      <c r="D107" s="3" t="s">
        <v>614</v>
      </c>
      <c r="E107" s="3" t="s">
        <v>118</v>
      </c>
      <c r="F107" s="7">
        <v>45916.541666666664</v>
      </c>
      <c r="G107" s="3" t="s">
        <v>671</v>
      </c>
    </row>
    <row r="108">
      <c r="A108" s="3" t="s">
        <v>1339</v>
      </c>
      <c r="B108" s="3" t="s">
        <v>543</v>
      </c>
      <c r="C108" s="3" t="s">
        <v>614</v>
      </c>
      <c r="D108" s="3" t="s">
        <v>206</v>
      </c>
      <c r="E108" s="3" t="s">
        <v>100</v>
      </c>
      <c r="F108" s="7">
        <v>45916.791666666664</v>
      </c>
      <c r="G108" s="3" t="s">
        <v>684</v>
      </c>
    </row>
    <row r="109">
      <c r="A109" s="3" t="s">
        <v>1345</v>
      </c>
      <c r="B109" s="3" t="s">
        <v>543</v>
      </c>
      <c r="C109" s="3" t="s">
        <v>206</v>
      </c>
      <c r="D109" s="3" t="s">
        <v>68</v>
      </c>
      <c r="E109" s="3" t="s">
        <v>100</v>
      </c>
      <c r="F109" s="7">
        <v>45918.291666666664</v>
      </c>
      <c r="G109" s="3" t="s">
        <v>1349</v>
      </c>
    </row>
    <row r="110">
      <c r="A110" s="3" t="s">
        <v>1352</v>
      </c>
      <c r="B110" s="3" t="s">
        <v>551</v>
      </c>
      <c r="C110" s="9"/>
      <c r="D110" s="3" t="s">
        <v>221</v>
      </c>
      <c r="E110" s="3" t="s">
        <v>85</v>
      </c>
      <c r="F110" s="7">
        <v>45921.291666666664</v>
      </c>
      <c r="G110" s="3" t="s">
        <v>661</v>
      </c>
    </row>
    <row r="111">
      <c r="A111" s="3" t="s">
        <v>1355</v>
      </c>
      <c r="B111" s="3" t="s">
        <v>551</v>
      </c>
      <c r="C111" s="3" t="s">
        <v>221</v>
      </c>
      <c r="D111" s="3" t="s">
        <v>614</v>
      </c>
      <c r="E111" s="3" t="s">
        <v>118</v>
      </c>
      <c r="F111" s="7">
        <v>45921.541666666664</v>
      </c>
      <c r="G111" s="3" t="s">
        <v>671</v>
      </c>
    </row>
    <row r="112">
      <c r="A112" s="3" t="s">
        <v>1360</v>
      </c>
      <c r="B112" s="3" t="s">
        <v>551</v>
      </c>
      <c r="C112" s="3" t="s">
        <v>614</v>
      </c>
      <c r="D112" s="3" t="s">
        <v>206</v>
      </c>
      <c r="E112" s="3" t="s">
        <v>100</v>
      </c>
      <c r="F112" s="7">
        <v>45921.791666666664</v>
      </c>
      <c r="G112" s="3" t="s">
        <v>684</v>
      </c>
    </row>
    <row r="113">
      <c r="A113" s="3" t="s">
        <v>1364</v>
      </c>
      <c r="B113" s="3" t="s">
        <v>551</v>
      </c>
      <c r="C113" s="3" t="s">
        <v>206</v>
      </c>
      <c r="D113" s="3" t="s">
        <v>68</v>
      </c>
      <c r="E113" s="3" t="s">
        <v>100</v>
      </c>
      <c r="F113" s="7">
        <v>45923.291666666664</v>
      </c>
      <c r="G113" s="3" t="s">
        <v>1367</v>
      </c>
    </row>
    <row r="114">
      <c r="A114" s="3" t="s">
        <v>1370</v>
      </c>
      <c r="B114" s="3" t="s">
        <v>573</v>
      </c>
      <c r="C114" s="9"/>
      <c r="D114" s="3" t="s">
        <v>221</v>
      </c>
      <c r="E114" s="3" t="s">
        <v>89</v>
      </c>
      <c r="F114" s="7">
        <v>45926.291666666664</v>
      </c>
      <c r="G114" s="3" t="s">
        <v>661</v>
      </c>
    </row>
    <row r="115">
      <c r="A115" s="3" t="s">
        <v>1374</v>
      </c>
      <c r="B115" s="3" t="s">
        <v>573</v>
      </c>
      <c r="C115" s="3" t="s">
        <v>221</v>
      </c>
      <c r="D115" s="3" t="s">
        <v>614</v>
      </c>
      <c r="E115" s="3" t="s">
        <v>118</v>
      </c>
      <c r="F115" s="7">
        <v>45926.541666666664</v>
      </c>
      <c r="G115" s="3" t="s">
        <v>671</v>
      </c>
    </row>
    <row r="116">
      <c r="A116" s="3" t="s">
        <v>1379</v>
      </c>
      <c r="B116" s="3" t="s">
        <v>573</v>
      </c>
      <c r="C116" s="3" t="s">
        <v>614</v>
      </c>
      <c r="D116" s="3" t="s">
        <v>206</v>
      </c>
      <c r="E116" s="3" t="s">
        <v>100</v>
      </c>
      <c r="F116" s="7">
        <v>45926.791666666664</v>
      </c>
      <c r="G116" s="3" t="s">
        <v>684</v>
      </c>
    </row>
    <row r="117">
      <c r="A117" s="3" t="s">
        <v>1382</v>
      </c>
      <c r="B117" s="3" t="s">
        <v>573</v>
      </c>
      <c r="C117" s="3" t="s">
        <v>206</v>
      </c>
      <c r="D117" s="3" t="s">
        <v>68</v>
      </c>
      <c r="E117" s="3" t="s">
        <v>100</v>
      </c>
      <c r="F117" s="7">
        <v>45928.291666666664</v>
      </c>
      <c r="G117" s="3" t="s">
        <v>1386</v>
      </c>
    </row>
    <row r="118">
      <c r="A118" s="3" t="s">
        <v>1387</v>
      </c>
      <c r="B118" s="3" t="s">
        <v>590</v>
      </c>
      <c r="C118" s="9"/>
      <c r="D118" s="3" t="s">
        <v>221</v>
      </c>
      <c r="E118" s="3" t="s">
        <v>91</v>
      </c>
      <c r="F118" s="7">
        <v>45931.291666666664</v>
      </c>
      <c r="G118" s="3" t="s">
        <v>661</v>
      </c>
    </row>
    <row r="119">
      <c r="A119" s="3" t="s">
        <v>1392</v>
      </c>
      <c r="B119" s="3" t="s">
        <v>590</v>
      </c>
      <c r="C119" s="3" t="s">
        <v>221</v>
      </c>
      <c r="D119" s="3" t="s">
        <v>614</v>
      </c>
      <c r="E119" s="3" t="s">
        <v>118</v>
      </c>
      <c r="F119" s="7">
        <v>45931.541666666664</v>
      </c>
      <c r="G119" s="3" t="s">
        <v>671</v>
      </c>
    </row>
    <row r="120">
      <c r="A120" s="3" t="s">
        <v>1396</v>
      </c>
      <c r="B120" s="3" t="s">
        <v>590</v>
      </c>
      <c r="C120" s="3" t="s">
        <v>614</v>
      </c>
      <c r="D120" s="3" t="s">
        <v>206</v>
      </c>
      <c r="E120" s="3" t="s">
        <v>100</v>
      </c>
      <c r="F120" s="7">
        <v>45931.791666666664</v>
      </c>
      <c r="G120" s="3" t="s">
        <v>684</v>
      </c>
    </row>
    <row r="121">
      <c r="A121" s="3" t="s">
        <v>1401</v>
      </c>
      <c r="B121" s="3" t="s">
        <v>590</v>
      </c>
      <c r="C121" s="3" t="s">
        <v>206</v>
      </c>
      <c r="D121" s="3" t="s">
        <v>68</v>
      </c>
      <c r="E121" s="3" t="s">
        <v>100</v>
      </c>
      <c r="F121" s="7">
        <v>45933.291666666664</v>
      </c>
      <c r="G121" s="3" t="s">
        <v>1404</v>
      </c>
    </row>
    <row r="122">
      <c r="A122" s="3" t="s">
        <v>1405</v>
      </c>
      <c r="B122" s="3" t="s">
        <v>607</v>
      </c>
      <c r="C122" s="9"/>
      <c r="D122" s="3" t="s">
        <v>221</v>
      </c>
      <c r="E122" s="3" t="s">
        <v>95</v>
      </c>
      <c r="F122" s="7">
        <v>45936.291666666664</v>
      </c>
      <c r="G122" s="3" t="s">
        <v>661</v>
      </c>
    </row>
    <row r="123">
      <c r="A123" s="3" t="s">
        <v>1410</v>
      </c>
      <c r="B123" s="3" t="s">
        <v>607</v>
      </c>
      <c r="C123" s="3" t="s">
        <v>221</v>
      </c>
      <c r="D123" s="3" t="s">
        <v>614</v>
      </c>
      <c r="E123" s="3" t="s">
        <v>118</v>
      </c>
      <c r="F123" s="7">
        <v>45936.541666666664</v>
      </c>
      <c r="G123" s="3" t="s">
        <v>671</v>
      </c>
    </row>
    <row r="124">
      <c r="A124" s="3" t="s">
        <v>1414</v>
      </c>
      <c r="B124" s="3" t="s">
        <v>607</v>
      </c>
      <c r="C124" s="3" t="s">
        <v>614</v>
      </c>
      <c r="D124" s="3" t="s">
        <v>206</v>
      </c>
      <c r="E124" s="3" t="s">
        <v>100</v>
      </c>
      <c r="F124" s="7">
        <v>45936.791666666664</v>
      </c>
      <c r="G124" s="3" t="s">
        <v>684</v>
      </c>
    </row>
    <row r="125">
      <c r="A125" s="3" t="s">
        <v>1419</v>
      </c>
      <c r="B125" s="3" t="s">
        <v>607</v>
      </c>
      <c r="C125" s="3" t="s">
        <v>206</v>
      </c>
      <c r="D125" s="3" t="s">
        <v>68</v>
      </c>
      <c r="E125" s="3" t="s">
        <v>100</v>
      </c>
      <c r="F125" s="7">
        <v>45938.291666666664</v>
      </c>
      <c r="G125" s="3" t="s">
        <v>1422</v>
      </c>
    </row>
    <row r="126">
      <c r="A126" s="3" t="s">
        <v>1423</v>
      </c>
      <c r="B126" s="3" t="s">
        <v>623</v>
      </c>
      <c r="C126" s="9"/>
      <c r="D126" s="3" t="s">
        <v>221</v>
      </c>
      <c r="E126" s="3" t="s">
        <v>98</v>
      </c>
      <c r="F126" s="7">
        <v>45941.291666666664</v>
      </c>
      <c r="G126" s="3" t="s">
        <v>661</v>
      </c>
    </row>
    <row r="127">
      <c r="A127" s="3" t="s">
        <v>1428</v>
      </c>
      <c r="B127" s="3" t="s">
        <v>623</v>
      </c>
      <c r="C127" s="3" t="s">
        <v>221</v>
      </c>
      <c r="D127" s="3" t="s">
        <v>181</v>
      </c>
      <c r="E127" s="3" t="s">
        <v>118</v>
      </c>
      <c r="F127" s="7">
        <v>45942.291666666664</v>
      </c>
      <c r="G127" s="3" t="s">
        <v>878</v>
      </c>
    </row>
    <row r="128">
      <c r="A128" s="3" t="s">
        <v>1432</v>
      </c>
      <c r="B128" s="3" t="s">
        <v>635</v>
      </c>
      <c r="C128" s="9"/>
      <c r="D128" s="3" t="s">
        <v>221</v>
      </c>
      <c r="E128" s="3" t="s">
        <v>102</v>
      </c>
      <c r="F128" s="7">
        <v>45946.291666666664</v>
      </c>
      <c r="G128" s="3" t="s">
        <v>661</v>
      </c>
    </row>
    <row r="129">
      <c r="A129" s="3" t="s">
        <v>1437</v>
      </c>
      <c r="B129" s="3" t="s">
        <v>635</v>
      </c>
      <c r="C129" s="3" t="s">
        <v>221</v>
      </c>
      <c r="D129" s="3" t="s">
        <v>195</v>
      </c>
      <c r="E129" s="3" t="s">
        <v>102</v>
      </c>
      <c r="F129" s="7">
        <v>45947.291666666664</v>
      </c>
      <c r="G129" s="3" t="s">
        <v>889</v>
      </c>
    </row>
    <row r="130">
      <c r="A130" s="3" t="s">
        <v>1440</v>
      </c>
      <c r="B130" s="3" t="s">
        <v>648</v>
      </c>
      <c r="C130" s="9"/>
      <c r="D130" s="3" t="s">
        <v>221</v>
      </c>
      <c r="E130" s="3" t="s">
        <v>110</v>
      </c>
      <c r="F130" s="7">
        <v>46304.291666666664</v>
      </c>
      <c r="G130" s="3" t="s">
        <v>661</v>
      </c>
    </row>
    <row r="131">
      <c r="A131" s="3" t="s">
        <v>1445</v>
      </c>
      <c r="B131" s="3" t="s">
        <v>648</v>
      </c>
      <c r="C131" s="3" t="s">
        <v>221</v>
      </c>
      <c r="D131" s="3" t="s">
        <v>614</v>
      </c>
      <c r="E131" s="3" t="s">
        <v>118</v>
      </c>
      <c r="F131" s="7">
        <v>46304.541666666664</v>
      </c>
      <c r="G131" s="3" t="s">
        <v>671</v>
      </c>
    </row>
    <row r="132">
      <c r="A132" s="3" t="s">
        <v>1449</v>
      </c>
      <c r="B132" s="3" t="s">
        <v>648</v>
      </c>
      <c r="C132" s="3" t="s">
        <v>614</v>
      </c>
      <c r="D132" s="3" t="s">
        <v>206</v>
      </c>
      <c r="E132" s="3" t="s">
        <v>100</v>
      </c>
      <c r="F132" s="7">
        <v>46304.791666666664</v>
      </c>
      <c r="G132" s="3" t="s">
        <v>684</v>
      </c>
    </row>
    <row r="133">
      <c r="A133" s="3" t="s">
        <v>1453</v>
      </c>
      <c r="B133" s="3" t="s">
        <v>666</v>
      </c>
      <c r="C133" s="9"/>
      <c r="D133" s="3" t="s">
        <v>221</v>
      </c>
      <c r="E133" s="3" t="s">
        <v>115</v>
      </c>
      <c r="F133" s="7">
        <v>46303.291666666664</v>
      </c>
      <c r="G133" s="3" t="s">
        <v>661</v>
      </c>
    </row>
    <row r="134">
      <c r="A134" s="3" t="s">
        <v>1456</v>
      </c>
      <c r="B134" s="3" t="s">
        <v>680</v>
      </c>
      <c r="C134" s="9"/>
      <c r="D134" s="3" t="s">
        <v>221</v>
      </c>
      <c r="E134" s="3" t="s">
        <v>42</v>
      </c>
      <c r="F134" s="7">
        <v>45961.291666666664</v>
      </c>
      <c r="G134" s="3" t="s">
        <v>661</v>
      </c>
    </row>
    <row r="135">
      <c r="A135" s="3" t="s">
        <v>1459</v>
      </c>
      <c r="B135" s="3" t="s">
        <v>680</v>
      </c>
      <c r="C135" s="3" t="s">
        <v>221</v>
      </c>
      <c r="D135" s="3" t="s">
        <v>614</v>
      </c>
      <c r="E135" s="3" t="s">
        <v>118</v>
      </c>
      <c r="F135" s="7">
        <v>45961.541666666664</v>
      </c>
      <c r="G135" s="3" t="s">
        <v>671</v>
      </c>
    </row>
    <row r="136">
      <c r="A136" s="3" t="s">
        <v>1463</v>
      </c>
      <c r="B136" s="3" t="s">
        <v>680</v>
      </c>
      <c r="C136" s="3" t="s">
        <v>614</v>
      </c>
      <c r="D136" s="3" t="s">
        <v>206</v>
      </c>
      <c r="E136" s="3" t="s">
        <v>100</v>
      </c>
      <c r="F136" s="7">
        <v>45961.791666666664</v>
      </c>
      <c r="G136" s="3" t="s">
        <v>684</v>
      </c>
    </row>
    <row r="137">
      <c r="A137" s="3" t="s">
        <v>1468</v>
      </c>
      <c r="B137" s="3" t="s">
        <v>680</v>
      </c>
      <c r="C137" s="3" t="s">
        <v>206</v>
      </c>
      <c r="D137" s="3" t="s">
        <v>68</v>
      </c>
      <c r="E137" s="3" t="s">
        <v>100</v>
      </c>
      <c r="F137" s="7">
        <v>45963.291666666664</v>
      </c>
      <c r="G137" s="3" t="s">
        <v>1471</v>
      </c>
    </row>
    <row r="138">
      <c r="A138" s="3" t="s">
        <v>1473</v>
      </c>
      <c r="B138" s="3" t="s">
        <v>697</v>
      </c>
      <c r="C138" s="9"/>
      <c r="D138" s="3" t="s">
        <v>221</v>
      </c>
      <c r="E138" s="3" t="s">
        <v>46</v>
      </c>
      <c r="F138" s="7">
        <v>45966.291666666664</v>
      </c>
      <c r="G138" s="3" t="s">
        <v>661</v>
      </c>
    </row>
    <row r="139">
      <c r="A139" s="3" t="s">
        <v>1477</v>
      </c>
      <c r="B139" s="3" t="s">
        <v>697</v>
      </c>
      <c r="C139" s="3" t="s">
        <v>221</v>
      </c>
      <c r="D139" s="3" t="s">
        <v>614</v>
      </c>
      <c r="E139" s="3" t="s">
        <v>118</v>
      </c>
      <c r="F139" s="7">
        <v>45966.541666666664</v>
      </c>
      <c r="G139" s="3" t="s">
        <v>671</v>
      </c>
    </row>
    <row r="140">
      <c r="A140" s="3" t="s">
        <v>1482</v>
      </c>
      <c r="B140" s="3" t="s">
        <v>697</v>
      </c>
      <c r="C140" s="3" t="s">
        <v>614</v>
      </c>
      <c r="D140" s="3" t="s">
        <v>206</v>
      </c>
      <c r="E140" s="3" t="s">
        <v>100</v>
      </c>
      <c r="F140" s="7">
        <v>45966.791666666664</v>
      </c>
      <c r="G140" s="3" t="s">
        <v>684</v>
      </c>
    </row>
    <row r="141">
      <c r="A141" s="3" t="s">
        <v>1486</v>
      </c>
      <c r="B141" s="3" t="s">
        <v>697</v>
      </c>
      <c r="C141" s="3" t="s">
        <v>206</v>
      </c>
      <c r="D141" s="3" t="s">
        <v>68</v>
      </c>
      <c r="E141" s="3" t="s">
        <v>100</v>
      </c>
      <c r="F141" s="7">
        <v>45968.291666666664</v>
      </c>
      <c r="G141" s="3" t="s">
        <v>1490</v>
      </c>
    </row>
    <row r="142">
      <c r="A142" s="3" t="s">
        <v>1492</v>
      </c>
      <c r="B142" s="3" t="s">
        <v>709</v>
      </c>
      <c r="C142" s="9"/>
      <c r="D142" s="3" t="s">
        <v>221</v>
      </c>
      <c r="E142" s="3" t="s">
        <v>50</v>
      </c>
      <c r="F142" s="7">
        <v>45971.291666666664</v>
      </c>
      <c r="G142" s="3" t="s">
        <v>661</v>
      </c>
    </row>
    <row r="143">
      <c r="A143" s="3" t="s">
        <v>1496</v>
      </c>
      <c r="B143" s="3" t="s">
        <v>709</v>
      </c>
      <c r="C143" s="3" t="s">
        <v>221</v>
      </c>
      <c r="D143" s="3" t="s">
        <v>614</v>
      </c>
      <c r="E143" s="3" t="s">
        <v>118</v>
      </c>
      <c r="F143" s="7">
        <v>45971.541666666664</v>
      </c>
      <c r="G143" s="3" t="s">
        <v>671</v>
      </c>
    </row>
    <row r="144">
      <c r="A144" s="3" t="s">
        <v>1500</v>
      </c>
      <c r="B144" s="3" t="s">
        <v>709</v>
      </c>
      <c r="C144" s="3" t="s">
        <v>614</v>
      </c>
      <c r="D144" s="3" t="s">
        <v>206</v>
      </c>
      <c r="E144" s="3" t="s">
        <v>100</v>
      </c>
      <c r="F144" s="7">
        <v>45971.791666666664</v>
      </c>
      <c r="G144" s="3" t="s">
        <v>684</v>
      </c>
    </row>
    <row r="145">
      <c r="A145" s="3" t="s">
        <v>1505</v>
      </c>
      <c r="B145" s="3" t="s">
        <v>709</v>
      </c>
      <c r="C145" s="3" t="s">
        <v>206</v>
      </c>
      <c r="D145" s="3" t="s">
        <v>68</v>
      </c>
      <c r="E145" s="3" t="s">
        <v>100</v>
      </c>
      <c r="F145" s="7">
        <v>45973.291666666664</v>
      </c>
      <c r="G145" s="3" t="s">
        <v>1508</v>
      </c>
    </row>
    <row r="146">
      <c r="A146" s="3" t="s">
        <v>1510</v>
      </c>
      <c r="B146" s="3" t="s">
        <v>719</v>
      </c>
      <c r="C146" s="9"/>
      <c r="D146" s="3" t="s">
        <v>221</v>
      </c>
      <c r="E146" s="3" t="s">
        <v>54</v>
      </c>
      <c r="F146" s="7">
        <v>45976.291666666664</v>
      </c>
      <c r="G146" s="3" t="s">
        <v>661</v>
      </c>
    </row>
    <row r="147">
      <c r="A147" s="3" t="s">
        <v>1515</v>
      </c>
      <c r="B147" s="3" t="s">
        <v>719</v>
      </c>
      <c r="C147" s="3" t="s">
        <v>221</v>
      </c>
      <c r="D147" s="3" t="s">
        <v>614</v>
      </c>
      <c r="E147" s="3" t="s">
        <v>118</v>
      </c>
      <c r="F147" s="7">
        <v>45976.541666666664</v>
      </c>
      <c r="G147" s="3" t="s">
        <v>671</v>
      </c>
    </row>
    <row r="148">
      <c r="A148" s="3" t="s">
        <v>1518</v>
      </c>
      <c r="B148" s="3" t="s">
        <v>719</v>
      </c>
      <c r="C148" s="3" t="s">
        <v>614</v>
      </c>
      <c r="D148" s="3" t="s">
        <v>206</v>
      </c>
      <c r="E148" s="3" t="s">
        <v>100</v>
      </c>
      <c r="F148" s="7">
        <v>45976.791666666664</v>
      </c>
      <c r="G148" s="3" t="s">
        <v>684</v>
      </c>
    </row>
    <row r="149">
      <c r="A149" s="3" t="s">
        <v>1523</v>
      </c>
      <c r="B149" s="3" t="s">
        <v>719</v>
      </c>
      <c r="C149" s="3" t="s">
        <v>206</v>
      </c>
      <c r="D149" s="3" t="s">
        <v>68</v>
      </c>
      <c r="E149" s="3" t="s">
        <v>100</v>
      </c>
      <c r="F149" s="7">
        <v>45978.291666666664</v>
      </c>
      <c r="G149" s="3" t="s">
        <v>1527</v>
      </c>
    </row>
    <row r="150">
      <c r="A150" s="3" t="s">
        <v>1529</v>
      </c>
      <c r="B150" s="3" t="s">
        <v>730</v>
      </c>
      <c r="C150" s="9"/>
      <c r="D150" s="3" t="s">
        <v>221</v>
      </c>
      <c r="E150" s="3" t="s">
        <v>59</v>
      </c>
      <c r="F150" s="7">
        <v>45981.291666666664</v>
      </c>
      <c r="G150" s="3" t="s">
        <v>661</v>
      </c>
    </row>
    <row r="151">
      <c r="A151" s="3" t="s">
        <v>1532</v>
      </c>
      <c r="B151" s="3" t="s">
        <v>730</v>
      </c>
      <c r="C151" s="3" t="s">
        <v>221</v>
      </c>
      <c r="D151" s="3" t="s">
        <v>614</v>
      </c>
      <c r="E151" s="3" t="s">
        <v>118</v>
      </c>
      <c r="F151" s="7">
        <v>45981.541666666664</v>
      </c>
      <c r="G151" s="3" t="s">
        <v>671</v>
      </c>
    </row>
    <row r="152">
      <c r="A152" s="3" t="s">
        <v>1541</v>
      </c>
      <c r="B152" s="3" t="s">
        <v>730</v>
      </c>
      <c r="C152" s="3" t="s">
        <v>614</v>
      </c>
      <c r="D152" s="3" t="s">
        <v>206</v>
      </c>
      <c r="E152" s="3" t="s">
        <v>100</v>
      </c>
      <c r="F152" s="7">
        <v>45981.791666666664</v>
      </c>
      <c r="G152" s="3" t="s">
        <v>684</v>
      </c>
    </row>
    <row r="153">
      <c r="A153" s="3" t="s">
        <v>1550</v>
      </c>
      <c r="B153" s="3" t="s">
        <v>730</v>
      </c>
      <c r="C153" s="3" t="s">
        <v>206</v>
      </c>
      <c r="D153" s="3" t="s">
        <v>68</v>
      </c>
      <c r="E153" s="3" t="s">
        <v>100</v>
      </c>
      <c r="F153" s="7">
        <v>45983.291666666664</v>
      </c>
      <c r="G153" s="3" t="s">
        <v>1555</v>
      </c>
    </row>
    <row r="154">
      <c r="A154" s="3" t="s">
        <v>1556</v>
      </c>
      <c r="B154" s="3" t="s">
        <v>744</v>
      </c>
      <c r="C154" s="9"/>
      <c r="D154" s="3" t="s">
        <v>221</v>
      </c>
      <c r="E154" s="3" t="s">
        <v>62</v>
      </c>
      <c r="F154" s="7">
        <v>45986.291666666664</v>
      </c>
      <c r="G154" s="3" t="s">
        <v>661</v>
      </c>
    </row>
    <row r="155">
      <c r="A155" s="3" t="s">
        <v>1562</v>
      </c>
      <c r="B155" s="3" t="s">
        <v>744</v>
      </c>
      <c r="C155" s="3" t="s">
        <v>221</v>
      </c>
      <c r="D155" s="3" t="s">
        <v>614</v>
      </c>
      <c r="E155" s="3" t="s">
        <v>118</v>
      </c>
      <c r="F155" s="7">
        <v>45986.541666666664</v>
      </c>
      <c r="G155" s="3" t="s">
        <v>671</v>
      </c>
    </row>
    <row r="156">
      <c r="A156" s="3" t="s">
        <v>1567</v>
      </c>
      <c r="B156" s="3" t="s">
        <v>744</v>
      </c>
      <c r="C156" s="3" t="s">
        <v>614</v>
      </c>
      <c r="D156" s="3" t="s">
        <v>206</v>
      </c>
      <c r="E156" s="3" t="s">
        <v>100</v>
      </c>
      <c r="F156" s="7">
        <v>45986.791666666664</v>
      </c>
      <c r="G156" s="3" t="s">
        <v>684</v>
      </c>
    </row>
    <row r="157">
      <c r="A157" s="3" t="s">
        <v>1573</v>
      </c>
      <c r="B157" s="3" t="s">
        <v>744</v>
      </c>
      <c r="C157" s="3" t="s">
        <v>206</v>
      </c>
      <c r="D157" s="3" t="s">
        <v>68</v>
      </c>
      <c r="E157" s="3" t="s">
        <v>100</v>
      </c>
      <c r="F157" s="7">
        <v>45988.291666666664</v>
      </c>
      <c r="G157" s="3" t="s">
        <v>1577</v>
      </c>
    </row>
    <row r="158">
      <c r="A158" s="3" t="s">
        <v>1580</v>
      </c>
      <c r="B158" s="3" t="s">
        <v>759</v>
      </c>
      <c r="C158" s="9"/>
      <c r="D158" s="3" t="s">
        <v>221</v>
      </c>
      <c r="E158" s="3" t="s">
        <v>65</v>
      </c>
      <c r="F158" s="7">
        <v>45991.291666666664</v>
      </c>
      <c r="G158" s="3" t="s">
        <v>661</v>
      </c>
    </row>
    <row r="159">
      <c r="A159" s="3" t="s">
        <v>1584</v>
      </c>
      <c r="B159" s="3" t="s">
        <v>759</v>
      </c>
      <c r="C159" s="3" t="s">
        <v>221</v>
      </c>
      <c r="D159" s="3" t="s">
        <v>181</v>
      </c>
      <c r="E159" s="3" t="s">
        <v>118</v>
      </c>
      <c r="F159" s="7">
        <v>45992.291666666664</v>
      </c>
      <c r="G159" s="3" t="s">
        <v>878</v>
      </c>
    </row>
    <row r="160">
      <c r="A160" s="3" t="s">
        <v>1590</v>
      </c>
      <c r="B160" s="3" t="s">
        <v>777</v>
      </c>
      <c r="C160" s="9"/>
      <c r="D160" s="3" t="s">
        <v>221</v>
      </c>
      <c r="E160" s="3" t="s">
        <v>69</v>
      </c>
      <c r="F160" s="7">
        <v>45996.291666666664</v>
      </c>
      <c r="G160" s="3" t="s">
        <v>661</v>
      </c>
    </row>
    <row r="161">
      <c r="A161" s="3" t="s">
        <v>1594</v>
      </c>
      <c r="B161" s="3" t="s">
        <v>777</v>
      </c>
      <c r="C161" s="3" t="s">
        <v>221</v>
      </c>
      <c r="D161" s="3" t="s">
        <v>195</v>
      </c>
      <c r="E161" s="3" t="s">
        <v>69</v>
      </c>
      <c r="F161" s="7">
        <v>45997.291666666664</v>
      </c>
      <c r="G161" s="3" t="s">
        <v>889</v>
      </c>
    </row>
    <row r="162">
      <c r="A162" s="3" t="s">
        <v>1599</v>
      </c>
      <c r="B162" s="3" t="s">
        <v>786</v>
      </c>
      <c r="C162" s="9"/>
      <c r="D162" s="3" t="s">
        <v>221</v>
      </c>
      <c r="E162" s="3" t="s">
        <v>72</v>
      </c>
      <c r="F162" s="7">
        <v>46308.291666666664</v>
      </c>
      <c r="G162" s="3" t="s">
        <v>661</v>
      </c>
    </row>
    <row r="163">
      <c r="A163" s="3" t="s">
        <v>1603</v>
      </c>
      <c r="B163" s="3" t="s">
        <v>786</v>
      </c>
      <c r="C163" s="3" t="s">
        <v>221</v>
      </c>
      <c r="D163" s="3" t="s">
        <v>614</v>
      </c>
      <c r="E163" s="3" t="s">
        <v>118</v>
      </c>
      <c r="F163" s="7">
        <v>46308.541666666664</v>
      </c>
      <c r="G163" s="3" t="s">
        <v>671</v>
      </c>
    </row>
    <row r="164">
      <c r="A164" s="3" t="s">
        <v>1608</v>
      </c>
      <c r="B164" s="3" t="s">
        <v>786</v>
      </c>
      <c r="C164" s="3" t="s">
        <v>614</v>
      </c>
      <c r="D164" s="3" t="s">
        <v>206</v>
      </c>
      <c r="E164" s="3" t="s">
        <v>100</v>
      </c>
      <c r="F164" s="7">
        <v>46308.791666666664</v>
      </c>
      <c r="G164" s="3" t="s">
        <v>684</v>
      </c>
    </row>
    <row r="165">
      <c r="A165" s="3" t="s">
        <v>1615</v>
      </c>
      <c r="B165" s="3" t="s">
        <v>795</v>
      </c>
      <c r="C165" s="9"/>
      <c r="D165" s="3" t="s">
        <v>221</v>
      </c>
      <c r="E165" s="3" t="s">
        <v>75</v>
      </c>
      <c r="F165" s="7">
        <v>46307.291666666664</v>
      </c>
      <c r="G165" s="3" t="s">
        <v>661</v>
      </c>
    </row>
    <row r="166">
      <c r="A166" s="3" t="s">
        <v>1618</v>
      </c>
      <c r="B166" s="3" t="s">
        <v>803</v>
      </c>
      <c r="C166" s="9"/>
      <c r="D166" s="3" t="s">
        <v>221</v>
      </c>
      <c r="E166" s="3" t="s">
        <v>77</v>
      </c>
      <c r="F166" s="7">
        <v>46011.291666666664</v>
      </c>
      <c r="G166" s="3" t="s">
        <v>661</v>
      </c>
    </row>
    <row r="167">
      <c r="A167" s="3" t="s">
        <v>1622</v>
      </c>
      <c r="B167" s="3" t="s">
        <v>803</v>
      </c>
      <c r="C167" s="3" t="s">
        <v>221</v>
      </c>
      <c r="D167" s="3" t="s">
        <v>614</v>
      </c>
      <c r="E167" s="3" t="s">
        <v>118</v>
      </c>
      <c r="F167" s="7">
        <v>46011.541666666664</v>
      </c>
      <c r="G167" s="3" t="s">
        <v>671</v>
      </c>
    </row>
    <row r="168">
      <c r="A168" s="3" t="s">
        <v>1628</v>
      </c>
      <c r="B168" s="3" t="s">
        <v>803</v>
      </c>
      <c r="C168" s="3" t="s">
        <v>614</v>
      </c>
      <c r="D168" s="3" t="s">
        <v>206</v>
      </c>
      <c r="E168" s="3" t="s">
        <v>100</v>
      </c>
      <c r="F168" s="7">
        <v>46011.791666666664</v>
      </c>
      <c r="G168" s="3" t="s">
        <v>684</v>
      </c>
    </row>
    <row r="169">
      <c r="A169" s="3" t="s">
        <v>1633</v>
      </c>
      <c r="B169" s="3" t="s">
        <v>803</v>
      </c>
      <c r="C169" s="3" t="s">
        <v>206</v>
      </c>
      <c r="D169" s="3" t="s">
        <v>68</v>
      </c>
      <c r="E169" s="3" t="s">
        <v>100</v>
      </c>
      <c r="F169" s="7">
        <v>46013.291666666664</v>
      </c>
      <c r="G169" s="3" t="s">
        <v>1637</v>
      </c>
    </row>
    <row r="170">
      <c r="A170" s="3" t="s">
        <v>1638</v>
      </c>
      <c r="B170" s="3" t="s">
        <v>814</v>
      </c>
      <c r="C170" s="9"/>
      <c r="D170" s="3" t="s">
        <v>221</v>
      </c>
      <c r="E170" s="3" t="s">
        <v>82</v>
      </c>
      <c r="F170" s="7">
        <v>46016.291666666664</v>
      </c>
      <c r="G170" s="3" t="s">
        <v>661</v>
      </c>
    </row>
    <row r="171">
      <c r="A171" s="3" t="s">
        <v>1644</v>
      </c>
      <c r="B171" s="3" t="s">
        <v>814</v>
      </c>
      <c r="C171" s="3" t="s">
        <v>221</v>
      </c>
      <c r="D171" s="3" t="s">
        <v>614</v>
      </c>
      <c r="E171" s="3" t="s">
        <v>118</v>
      </c>
      <c r="F171" s="7">
        <v>46016.541666666664</v>
      </c>
      <c r="G171" s="3" t="s">
        <v>671</v>
      </c>
    </row>
    <row r="172">
      <c r="A172" s="3" t="s">
        <v>1648</v>
      </c>
      <c r="B172" s="3" t="s">
        <v>814</v>
      </c>
      <c r="C172" s="3" t="s">
        <v>614</v>
      </c>
      <c r="D172" s="3" t="s">
        <v>206</v>
      </c>
      <c r="E172" s="3" t="s">
        <v>100</v>
      </c>
      <c r="F172" s="7">
        <v>46016.791666666664</v>
      </c>
      <c r="G172" s="3" t="s">
        <v>684</v>
      </c>
    </row>
    <row r="173">
      <c r="A173" s="3" t="s">
        <v>1653</v>
      </c>
      <c r="B173" s="3" t="s">
        <v>814</v>
      </c>
      <c r="C173" s="3" t="s">
        <v>206</v>
      </c>
      <c r="D173" s="3" t="s">
        <v>68</v>
      </c>
      <c r="E173" s="3" t="s">
        <v>100</v>
      </c>
      <c r="F173" s="7">
        <v>46018.291666666664</v>
      </c>
      <c r="G173" s="3" t="s">
        <v>1657</v>
      </c>
    </row>
    <row r="174">
      <c r="A174" s="3" t="s">
        <v>1659</v>
      </c>
      <c r="B174" s="3" t="s">
        <v>825</v>
      </c>
      <c r="C174" s="9"/>
      <c r="D174" s="3" t="s">
        <v>221</v>
      </c>
      <c r="E174" s="3" t="s">
        <v>85</v>
      </c>
      <c r="F174" s="7">
        <v>46021.291666666664</v>
      </c>
      <c r="G174" s="3" t="s">
        <v>661</v>
      </c>
    </row>
    <row r="175">
      <c r="A175" s="3" t="s">
        <v>1664</v>
      </c>
      <c r="B175" s="3" t="s">
        <v>825</v>
      </c>
      <c r="C175" s="3" t="s">
        <v>221</v>
      </c>
      <c r="D175" s="3" t="s">
        <v>614</v>
      </c>
      <c r="E175" s="3" t="s">
        <v>118</v>
      </c>
      <c r="F175" s="7">
        <v>46021.541666666664</v>
      </c>
      <c r="G175" s="3" t="s">
        <v>671</v>
      </c>
    </row>
    <row r="176">
      <c r="A176" s="3" t="s">
        <v>1669</v>
      </c>
      <c r="B176" s="3" t="s">
        <v>825</v>
      </c>
      <c r="C176" s="3" t="s">
        <v>614</v>
      </c>
      <c r="D176" s="3" t="s">
        <v>206</v>
      </c>
      <c r="E176" s="3" t="s">
        <v>100</v>
      </c>
      <c r="F176" s="7">
        <v>46021.791666666664</v>
      </c>
      <c r="G176" s="3" t="s">
        <v>684</v>
      </c>
    </row>
    <row r="177">
      <c r="A177" s="3" t="s">
        <v>1673</v>
      </c>
      <c r="B177" s="3" t="s">
        <v>825</v>
      </c>
      <c r="C177" s="3" t="s">
        <v>206</v>
      </c>
      <c r="D177" s="3" t="s">
        <v>68</v>
      </c>
      <c r="E177" s="3" t="s">
        <v>100</v>
      </c>
      <c r="F177" s="7">
        <v>46023.291666666664</v>
      </c>
      <c r="G177" s="3" t="s">
        <v>1677</v>
      </c>
    </row>
    <row r="178">
      <c r="A178" s="3" t="s">
        <v>1678</v>
      </c>
      <c r="B178" s="3" t="s">
        <v>834</v>
      </c>
      <c r="C178" s="9"/>
      <c r="D178" s="3" t="s">
        <v>221</v>
      </c>
      <c r="E178" s="3" t="s">
        <v>89</v>
      </c>
      <c r="F178" s="7">
        <v>46026.291666666664</v>
      </c>
      <c r="G178" s="3" t="s">
        <v>661</v>
      </c>
    </row>
    <row r="179">
      <c r="A179" s="3" t="s">
        <v>1683</v>
      </c>
      <c r="B179" s="3" t="s">
        <v>834</v>
      </c>
      <c r="C179" s="3" t="s">
        <v>221</v>
      </c>
      <c r="D179" s="3" t="s">
        <v>614</v>
      </c>
      <c r="E179" s="3" t="s">
        <v>118</v>
      </c>
      <c r="F179" s="7">
        <v>46026.541666666664</v>
      </c>
      <c r="G179" s="3" t="s">
        <v>671</v>
      </c>
    </row>
    <row r="180">
      <c r="A180" s="3" t="s">
        <v>1688</v>
      </c>
      <c r="B180" s="3" t="s">
        <v>834</v>
      </c>
      <c r="C180" s="3" t="s">
        <v>614</v>
      </c>
      <c r="D180" s="3" t="s">
        <v>206</v>
      </c>
      <c r="E180" s="3" t="s">
        <v>100</v>
      </c>
      <c r="F180" s="7">
        <v>46026.791666666664</v>
      </c>
      <c r="G180" s="3" t="s">
        <v>684</v>
      </c>
    </row>
    <row r="181">
      <c r="A181" s="3" t="s">
        <v>1693</v>
      </c>
      <c r="B181" s="3" t="s">
        <v>834</v>
      </c>
      <c r="C181" s="3" t="s">
        <v>206</v>
      </c>
      <c r="D181" s="3" t="s">
        <v>68</v>
      </c>
      <c r="E181" s="3" t="s">
        <v>100</v>
      </c>
      <c r="F181" s="7">
        <v>46028.291666666664</v>
      </c>
      <c r="G181" s="3" t="s">
        <v>1696</v>
      </c>
    </row>
    <row r="182">
      <c r="A182" s="3" t="s">
        <v>1698</v>
      </c>
      <c r="B182" s="3" t="s">
        <v>844</v>
      </c>
      <c r="C182" s="9"/>
      <c r="D182" s="3" t="s">
        <v>221</v>
      </c>
      <c r="E182" s="3" t="s">
        <v>91</v>
      </c>
      <c r="F182" s="7">
        <v>46031.291666666664</v>
      </c>
      <c r="G182" s="3" t="s">
        <v>661</v>
      </c>
    </row>
    <row r="183">
      <c r="A183" s="3" t="s">
        <v>1703</v>
      </c>
      <c r="B183" s="3" t="s">
        <v>844</v>
      </c>
      <c r="C183" s="3" t="s">
        <v>221</v>
      </c>
      <c r="D183" s="3" t="s">
        <v>614</v>
      </c>
      <c r="E183" s="3" t="s">
        <v>118</v>
      </c>
      <c r="F183" s="7">
        <v>46031.541666666664</v>
      </c>
      <c r="G183" s="3" t="s">
        <v>671</v>
      </c>
    </row>
    <row r="184">
      <c r="A184" s="3" t="s">
        <v>1707</v>
      </c>
      <c r="B184" s="3" t="s">
        <v>844</v>
      </c>
      <c r="C184" s="3" t="s">
        <v>614</v>
      </c>
      <c r="D184" s="3" t="s">
        <v>206</v>
      </c>
      <c r="E184" s="3" t="s">
        <v>100</v>
      </c>
      <c r="F184" s="7">
        <v>46031.791666666664</v>
      </c>
      <c r="G184" s="3" t="s">
        <v>684</v>
      </c>
    </row>
    <row r="185">
      <c r="A185" s="3" t="s">
        <v>1710</v>
      </c>
      <c r="B185" s="3" t="s">
        <v>844</v>
      </c>
      <c r="C185" s="3" t="s">
        <v>206</v>
      </c>
      <c r="D185" s="3" t="s">
        <v>68</v>
      </c>
      <c r="E185" s="3" t="s">
        <v>100</v>
      </c>
      <c r="F185" s="7">
        <v>46033.291666666664</v>
      </c>
      <c r="G185" s="3" t="s">
        <v>1716</v>
      </c>
    </row>
    <row r="186">
      <c r="A186" s="3" t="s">
        <v>1717</v>
      </c>
      <c r="B186" s="3" t="s">
        <v>851</v>
      </c>
      <c r="C186" s="9"/>
      <c r="D186" s="3" t="s">
        <v>221</v>
      </c>
      <c r="E186" s="3" t="s">
        <v>95</v>
      </c>
      <c r="F186" s="7">
        <v>46036.291666666664</v>
      </c>
      <c r="G186" s="3" t="s">
        <v>661</v>
      </c>
    </row>
    <row r="187">
      <c r="A187" s="3" t="s">
        <v>1723</v>
      </c>
      <c r="B187" s="3" t="s">
        <v>851</v>
      </c>
      <c r="C187" s="3" t="s">
        <v>221</v>
      </c>
      <c r="D187" s="3" t="s">
        <v>614</v>
      </c>
      <c r="E187" s="3" t="s">
        <v>118</v>
      </c>
      <c r="F187" s="7">
        <v>46036.541666666664</v>
      </c>
      <c r="G187" s="3" t="s">
        <v>671</v>
      </c>
    </row>
    <row r="188">
      <c r="A188" s="3" t="s">
        <v>1729</v>
      </c>
      <c r="B188" s="3" t="s">
        <v>851</v>
      </c>
      <c r="C188" s="3" t="s">
        <v>614</v>
      </c>
      <c r="D188" s="3" t="s">
        <v>206</v>
      </c>
      <c r="E188" s="3" t="s">
        <v>100</v>
      </c>
      <c r="F188" s="7">
        <v>46036.791666666664</v>
      </c>
      <c r="G188" s="3" t="s">
        <v>684</v>
      </c>
    </row>
    <row r="189">
      <c r="A189" s="3" t="s">
        <v>1732</v>
      </c>
      <c r="B189" s="3" t="s">
        <v>851</v>
      </c>
      <c r="C189" s="3" t="s">
        <v>206</v>
      </c>
      <c r="D189" s="3" t="s">
        <v>68</v>
      </c>
      <c r="E189" s="3" t="s">
        <v>100</v>
      </c>
      <c r="F189" s="7">
        <v>46038.291666666664</v>
      </c>
      <c r="G189" s="3" t="s">
        <v>1736</v>
      </c>
    </row>
    <row r="190">
      <c r="A190" s="3" t="s">
        <v>1737</v>
      </c>
      <c r="B190" s="3" t="s">
        <v>856</v>
      </c>
      <c r="C190" s="9"/>
      <c r="D190" s="3" t="s">
        <v>221</v>
      </c>
      <c r="E190" s="3" t="s">
        <v>98</v>
      </c>
      <c r="F190" s="7">
        <v>46041.291666666664</v>
      </c>
      <c r="G190" s="3" t="s">
        <v>661</v>
      </c>
    </row>
    <row r="191">
      <c r="A191" s="3" t="s">
        <v>1741</v>
      </c>
      <c r="B191" s="3" t="s">
        <v>856</v>
      </c>
      <c r="C191" s="3" t="s">
        <v>221</v>
      </c>
      <c r="D191" s="3" t="s">
        <v>181</v>
      </c>
      <c r="E191" s="3" t="s">
        <v>118</v>
      </c>
      <c r="F191" s="7">
        <v>46042.291666666664</v>
      </c>
      <c r="G191" s="3" t="s">
        <v>878</v>
      </c>
    </row>
    <row r="192">
      <c r="A192" s="3" t="s">
        <v>1744</v>
      </c>
      <c r="B192" s="3" t="s">
        <v>863</v>
      </c>
      <c r="C192" s="9"/>
      <c r="D192" s="3" t="s">
        <v>221</v>
      </c>
      <c r="E192" s="3" t="s">
        <v>102</v>
      </c>
      <c r="F192" s="7">
        <v>46046.291666666664</v>
      </c>
      <c r="G192" s="3" t="s">
        <v>661</v>
      </c>
    </row>
    <row r="193">
      <c r="A193" s="3" t="s">
        <v>1748</v>
      </c>
      <c r="B193" s="3" t="s">
        <v>863</v>
      </c>
      <c r="C193" s="3" t="s">
        <v>221</v>
      </c>
      <c r="D193" s="3" t="s">
        <v>195</v>
      </c>
      <c r="E193" s="3" t="s">
        <v>102</v>
      </c>
      <c r="F193" s="7">
        <v>46047.291666666664</v>
      </c>
      <c r="G193" s="3" t="s">
        <v>889</v>
      </c>
    </row>
    <row r="194">
      <c r="A194" s="3" t="s">
        <v>1756</v>
      </c>
      <c r="B194" s="3" t="s">
        <v>869</v>
      </c>
      <c r="C194" s="9"/>
      <c r="D194" s="3" t="s">
        <v>221</v>
      </c>
      <c r="E194" s="3" t="s">
        <v>110</v>
      </c>
      <c r="F194" s="7">
        <v>46305.291666666664</v>
      </c>
      <c r="G194" s="3" t="s">
        <v>661</v>
      </c>
    </row>
    <row r="195">
      <c r="A195" s="3" t="s">
        <v>1760</v>
      </c>
      <c r="B195" s="3" t="s">
        <v>869</v>
      </c>
      <c r="C195" s="3" t="s">
        <v>221</v>
      </c>
      <c r="D195" s="3" t="s">
        <v>614</v>
      </c>
      <c r="E195" s="3" t="s">
        <v>118</v>
      </c>
      <c r="F195" s="7">
        <v>46305.541666666664</v>
      </c>
      <c r="G195" s="3" t="s">
        <v>671</v>
      </c>
    </row>
    <row r="196">
      <c r="A196" s="3" t="s">
        <v>1765</v>
      </c>
      <c r="B196" s="3" t="s">
        <v>869</v>
      </c>
      <c r="C196" s="3" t="s">
        <v>614</v>
      </c>
      <c r="D196" s="3" t="s">
        <v>206</v>
      </c>
      <c r="E196" s="3" t="s">
        <v>100</v>
      </c>
      <c r="F196" s="7">
        <v>46305.791666666664</v>
      </c>
      <c r="G196" s="3" t="s">
        <v>684</v>
      </c>
    </row>
    <row r="197">
      <c r="A197" s="3" t="s">
        <v>1769</v>
      </c>
      <c r="B197" s="3" t="s">
        <v>872</v>
      </c>
      <c r="C197" s="9"/>
      <c r="D197" s="3" t="s">
        <v>221</v>
      </c>
      <c r="E197" s="3" t="s">
        <v>115</v>
      </c>
      <c r="F197" s="7">
        <v>46304.291666666664</v>
      </c>
      <c r="G197" s="3" t="s">
        <v>661</v>
      </c>
    </row>
    <row r="198">
      <c r="A198" s="3" t="s">
        <v>1773</v>
      </c>
      <c r="B198" s="3" t="s">
        <v>876</v>
      </c>
      <c r="C198" s="9"/>
      <c r="D198" s="3" t="s">
        <v>221</v>
      </c>
      <c r="E198" s="3" t="s">
        <v>42</v>
      </c>
      <c r="F198" s="7">
        <v>46061.291666666664</v>
      </c>
      <c r="G198" s="3" t="s">
        <v>661</v>
      </c>
    </row>
    <row r="199">
      <c r="A199" s="3" t="s">
        <v>1778</v>
      </c>
      <c r="B199" s="3" t="s">
        <v>876</v>
      </c>
      <c r="C199" s="3" t="s">
        <v>221</v>
      </c>
      <c r="D199" s="3" t="s">
        <v>614</v>
      </c>
      <c r="E199" s="3" t="s">
        <v>118</v>
      </c>
      <c r="F199" s="7">
        <v>46061.541666666664</v>
      </c>
      <c r="G199" s="3" t="s">
        <v>671</v>
      </c>
    </row>
    <row r="200">
      <c r="A200" s="3" t="s">
        <v>1783</v>
      </c>
      <c r="B200" s="3" t="s">
        <v>876</v>
      </c>
      <c r="C200" s="3" t="s">
        <v>614</v>
      </c>
      <c r="D200" s="3" t="s">
        <v>206</v>
      </c>
      <c r="E200" s="3" t="s">
        <v>100</v>
      </c>
      <c r="F200" s="7">
        <v>46061.791666666664</v>
      </c>
      <c r="G200" s="3" t="s">
        <v>684</v>
      </c>
    </row>
    <row r="201">
      <c r="A201" s="3" t="s">
        <v>1788</v>
      </c>
      <c r="B201" s="3" t="s">
        <v>876</v>
      </c>
      <c r="C201" s="3" t="s">
        <v>206</v>
      </c>
      <c r="D201" s="3" t="s">
        <v>68</v>
      </c>
      <c r="E201" s="3" t="s">
        <v>100</v>
      </c>
      <c r="F201" s="7">
        <v>46063.291666666664</v>
      </c>
      <c r="G201" s="3" t="s">
        <v>1792</v>
      </c>
    </row>
    <row r="202">
      <c r="A202" s="3" t="s">
        <v>1794</v>
      </c>
      <c r="B202" s="3" t="s">
        <v>881</v>
      </c>
      <c r="C202" s="9"/>
      <c r="D202" s="3" t="s">
        <v>221</v>
      </c>
      <c r="E202" s="3" t="s">
        <v>46</v>
      </c>
      <c r="F202" s="7">
        <v>46066.291666666664</v>
      </c>
      <c r="G202" s="3" t="s">
        <v>661</v>
      </c>
    </row>
    <row r="203">
      <c r="A203" s="3" t="s">
        <v>1798</v>
      </c>
      <c r="B203" s="3" t="s">
        <v>881</v>
      </c>
      <c r="C203" s="3" t="s">
        <v>221</v>
      </c>
      <c r="D203" s="3" t="s">
        <v>614</v>
      </c>
      <c r="E203" s="3" t="s">
        <v>118</v>
      </c>
      <c r="F203" s="7">
        <v>46066.541666666664</v>
      </c>
      <c r="G203" s="3" t="s">
        <v>671</v>
      </c>
    </row>
    <row r="204">
      <c r="A204" s="3" t="s">
        <v>1802</v>
      </c>
      <c r="B204" s="3" t="s">
        <v>881</v>
      </c>
      <c r="C204" s="3" t="s">
        <v>614</v>
      </c>
      <c r="D204" s="3" t="s">
        <v>206</v>
      </c>
      <c r="E204" s="3" t="s">
        <v>100</v>
      </c>
      <c r="F204" s="7">
        <v>46066.791666666664</v>
      </c>
      <c r="G204" s="3" t="s">
        <v>684</v>
      </c>
    </row>
    <row r="205">
      <c r="A205" s="3" t="s">
        <v>1805</v>
      </c>
      <c r="B205" s="3" t="s">
        <v>881</v>
      </c>
      <c r="C205" s="3" t="s">
        <v>206</v>
      </c>
      <c r="D205" s="3" t="s">
        <v>68</v>
      </c>
      <c r="E205" s="3" t="s">
        <v>100</v>
      </c>
      <c r="F205" s="7">
        <v>46068.291666666664</v>
      </c>
      <c r="G205" s="3" t="s">
        <v>1809</v>
      </c>
    </row>
    <row r="206">
      <c r="A206" s="3" t="s">
        <v>1810</v>
      </c>
      <c r="B206" s="3" t="s">
        <v>887</v>
      </c>
      <c r="C206" s="9"/>
      <c r="D206" s="3" t="s">
        <v>221</v>
      </c>
      <c r="E206" s="3" t="s">
        <v>50</v>
      </c>
      <c r="F206" s="7">
        <v>46071.291666666664</v>
      </c>
      <c r="G206" s="3" t="s">
        <v>661</v>
      </c>
    </row>
    <row r="207">
      <c r="A207" s="3" t="s">
        <v>1817</v>
      </c>
      <c r="B207" s="3" t="s">
        <v>887</v>
      </c>
      <c r="C207" s="3" t="s">
        <v>221</v>
      </c>
      <c r="D207" s="3" t="s">
        <v>614</v>
      </c>
      <c r="E207" s="3" t="s">
        <v>118</v>
      </c>
      <c r="F207" s="7">
        <v>46071.541666666664</v>
      </c>
      <c r="G207" s="3" t="s">
        <v>671</v>
      </c>
    </row>
    <row r="208">
      <c r="A208" s="3" t="s">
        <v>1822</v>
      </c>
      <c r="B208" s="3" t="s">
        <v>887</v>
      </c>
      <c r="C208" s="3" t="s">
        <v>614</v>
      </c>
      <c r="D208" s="3" t="s">
        <v>206</v>
      </c>
      <c r="E208" s="3" t="s">
        <v>100</v>
      </c>
      <c r="F208" s="7">
        <v>46071.791666666664</v>
      </c>
      <c r="G208" s="3" t="s">
        <v>684</v>
      </c>
    </row>
    <row r="209">
      <c r="A209" s="3" t="s">
        <v>1831</v>
      </c>
      <c r="B209" s="3" t="s">
        <v>887</v>
      </c>
      <c r="C209" s="3" t="s">
        <v>206</v>
      </c>
      <c r="D209" s="3" t="s">
        <v>68</v>
      </c>
      <c r="E209" s="3" t="s">
        <v>100</v>
      </c>
      <c r="F209" s="7">
        <v>46073.291666666664</v>
      </c>
      <c r="G209" s="3" t="s">
        <v>1836</v>
      </c>
    </row>
    <row r="210">
      <c r="A210" s="3" t="s">
        <v>1838</v>
      </c>
      <c r="B210" s="3" t="s">
        <v>891</v>
      </c>
      <c r="C210" s="9"/>
      <c r="D210" s="3" t="s">
        <v>221</v>
      </c>
      <c r="E210" s="3" t="s">
        <v>54</v>
      </c>
      <c r="F210" s="7">
        <v>46076.291666666664</v>
      </c>
      <c r="G210" s="3" t="s">
        <v>661</v>
      </c>
    </row>
    <row r="211">
      <c r="A211" s="3" t="s">
        <v>1845</v>
      </c>
      <c r="B211" s="3" t="s">
        <v>891</v>
      </c>
      <c r="C211" s="3" t="s">
        <v>221</v>
      </c>
      <c r="D211" s="3" t="s">
        <v>614</v>
      </c>
      <c r="E211" s="3" t="s">
        <v>118</v>
      </c>
      <c r="F211" s="7">
        <v>46076.541666666664</v>
      </c>
      <c r="G211" s="3" t="s">
        <v>671</v>
      </c>
    </row>
    <row r="212">
      <c r="A212" s="3" t="s">
        <v>1849</v>
      </c>
      <c r="B212" s="3" t="s">
        <v>891</v>
      </c>
      <c r="C212" s="3" t="s">
        <v>614</v>
      </c>
      <c r="D212" s="3" t="s">
        <v>206</v>
      </c>
      <c r="E212" s="3" t="s">
        <v>100</v>
      </c>
      <c r="F212" s="7">
        <v>46076.791666666664</v>
      </c>
      <c r="G212" s="3" t="s">
        <v>684</v>
      </c>
    </row>
    <row r="213">
      <c r="A213" s="3" t="s">
        <v>1853</v>
      </c>
      <c r="B213" s="3" t="s">
        <v>891</v>
      </c>
      <c r="C213" s="3" t="s">
        <v>206</v>
      </c>
      <c r="D213" s="3" t="s">
        <v>68</v>
      </c>
      <c r="E213" s="3" t="s">
        <v>100</v>
      </c>
      <c r="F213" s="7">
        <v>46078.291666666664</v>
      </c>
      <c r="G213" s="3" t="s">
        <v>1856</v>
      </c>
    </row>
    <row r="214">
      <c r="A214" s="3" t="s">
        <v>1858</v>
      </c>
      <c r="B214" s="3" t="s">
        <v>893</v>
      </c>
      <c r="C214" s="9"/>
      <c r="D214" s="3" t="s">
        <v>221</v>
      </c>
      <c r="E214" s="3" t="s">
        <v>59</v>
      </c>
      <c r="F214" s="7">
        <v>46081.291666666664</v>
      </c>
      <c r="G214" s="3" t="s">
        <v>661</v>
      </c>
    </row>
    <row r="215">
      <c r="A215" s="3" t="s">
        <v>1862</v>
      </c>
      <c r="B215" s="3" t="s">
        <v>893</v>
      </c>
      <c r="C215" s="3" t="s">
        <v>221</v>
      </c>
      <c r="D215" s="3" t="s">
        <v>614</v>
      </c>
      <c r="E215" s="3" t="s">
        <v>118</v>
      </c>
      <c r="F215" s="7">
        <v>46081.541666666664</v>
      </c>
      <c r="G215" s="3" t="s">
        <v>671</v>
      </c>
    </row>
    <row r="216">
      <c r="A216" s="3" t="s">
        <v>1866</v>
      </c>
      <c r="B216" s="3" t="s">
        <v>893</v>
      </c>
      <c r="C216" s="3" t="s">
        <v>614</v>
      </c>
      <c r="D216" s="3" t="s">
        <v>206</v>
      </c>
      <c r="E216" s="3" t="s">
        <v>100</v>
      </c>
      <c r="F216" s="7">
        <v>46081.791666666664</v>
      </c>
      <c r="G216" s="3" t="s">
        <v>684</v>
      </c>
    </row>
    <row r="217">
      <c r="A217" s="3" t="s">
        <v>1868</v>
      </c>
      <c r="B217" s="3" t="s">
        <v>893</v>
      </c>
      <c r="C217" s="3" t="s">
        <v>206</v>
      </c>
      <c r="D217" s="3" t="s">
        <v>68</v>
      </c>
      <c r="E217" s="3" t="s">
        <v>100</v>
      </c>
      <c r="F217" s="7">
        <v>46083.291666666664</v>
      </c>
      <c r="G217" s="3" t="s">
        <v>1871</v>
      </c>
    </row>
    <row r="218">
      <c r="A218" s="3" t="s">
        <v>1872</v>
      </c>
      <c r="B218" s="3" t="s">
        <v>898</v>
      </c>
      <c r="C218" s="9"/>
      <c r="D218" s="3" t="s">
        <v>221</v>
      </c>
      <c r="E218" s="3" t="s">
        <v>62</v>
      </c>
      <c r="F218" s="7">
        <v>46086.291666666664</v>
      </c>
      <c r="G218" s="3" t="s">
        <v>661</v>
      </c>
    </row>
    <row r="219">
      <c r="A219" s="3" t="s">
        <v>1875</v>
      </c>
      <c r="B219" s="3" t="s">
        <v>898</v>
      </c>
      <c r="C219" s="3" t="s">
        <v>221</v>
      </c>
      <c r="D219" s="3" t="s">
        <v>614</v>
      </c>
      <c r="E219" s="3" t="s">
        <v>118</v>
      </c>
      <c r="F219" s="7">
        <v>46086.541666666664</v>
      </c>
      <c r="G219" s="3" t="s">
        <v>671</v>
      </c>
    </row>
    <row r="220">
      <c r="A220" s="3" t="s">
        <v>1878</v>
      </c>
      <c r="B220" s="3" t="s">
        <v>898</v>
      </c>
      <c r="C220" s="3" t="s">
        <v>614</v>
      </c>
      <c r="D220" s="3" t="s">
        <v>206</v>
      </c>
      <c r="E220" s="3" t="s">
        <v>100</v>
      </c>
      <c r="F220" s="7">
        <v>46086.791666666664</v>
      </c>
      <c r="G220" s="3" t="s">
        <v>684</v>
      </c>
    </row>
    <row r="221">
      <c r="A221" s="3" t="s">
        <v>1881</v>
      </c>
      <c r="B221" s="3" t="s">
        <v>898</v>
      </c>
      <c r="C221" s="3" t="s">
        <v>206</v>
      </c>
      <c r="D221" s="3" t="s">
        <v>68</v>
      </c>
      <c r="E221" s="3" t="s">
        <v>100</v>
      </c>
      <c r="F221" s="7">
        <v>46088.291666666664</v>
      </c>
      <c r="G221" s="3" t="s">
        <v>1885</v>
      </c>
    </row>
    <row r="222">
      <c r="A222" s="3" t="s">
        <v>1886</v>
      </c>
      <c r="B222" s="3" t="s">
        <v>902</v>
      </c>
      <c r="C222" s="9"/>
      <c r="D222" s="3" t="s">
        <v>221</v>
      </c>
      <c r="E222" s="3" t="s">
        <v>65</v>
      </c>
      <c r="F222" s="7">
        <v>46091.291666666664</v>
      </c>
      <c r="G222" s="3" t="s">
        <v>661</v>
      </c>
    </row>
    <row r="223">
      <c r="A223" s="3" t="s">
        <v>1889</v>
      </c>
      <c r="B223" s="3" t="s">
        <v>902</v>
      </c>
      <c r="C223" s="3" t="s">
        <v>221</v>
      </c>
      <c r="D223" s="3" t="s">
        <v>181</v>
      </c>
      <c r="E223" s="3" t="s">
        <v>118</v>
      </c>
      <c r="F223" s="7">
        <v>46092.291666666664</v>
      </c>
      <c r="G223" s="3" t="s">
        <v>878</v>
      </c>
    </row>
    <row r="224">
      <c r="A224" s="3" t="s">
        <v>1893</v>
      </c>
      <c r="B224" s="3" t="s">
        <v>905</v>
      </c>
      <c r="C224" s="9"/>
      <c r="D224" s="3" t="s">
        <v>221</v>
      </c>
      <c r="E224" s="3" t="s">
        <v>69</v>
      </c>
      <c r="F224" s="7">
        <v>46096.291666666664</v>
      </c>
      <c r="G224" s="3" t="s">
        <v>661</v>
      </c>
    </row>
    <row r="225">
      <c r="A225" s="3" t="s">
        <v>1896</v>
      </c>
      <c r="B225" s="3" t="s">
        <v>905</v>
      </c>
      <c r="C225" s="3" t="s">
        <v>221</v>
      </c>
      <c r="D225" s="3" t="s">
        <v>195</v>
      </c>
      <c r="E225" s="3" t="s">
        <v>69</v>
      </c>
      <c r="F225" s="7">
        <v>46097.291666666664</v>
      </c>
      <c r="G225" s="3" t="s">
        <v>889</v>
      </c>
    </row>
    <row r="226">
      <c r="A226" s="3" t="s">
        <v>1900</v>
      </c>
      <c r="B226" s="3" t="s">
        <v>910</v>
      </c>
      <c r="C226" s="9"/>
      <c r="D226" s="3" t="s">
        <v>221</v>
      </c>
      <c r="E226" s="3" t="s">
        <v>72</v>
      </c>
      <c r="F226" s="7">
        <v>46302.291666666664</v>
      </c>
      <c r="G226" s="3" t="s">
        <v>661</v>
      </c>
    </row>
    <row r="227">
      <c r="A227" s="3" t="s">
        <v>1904</v>
      </c>
      <c r="B227" s="3" t="s">
        <v>910</v>
      </c>
      <c r="C227" s="3" t="s">
        <v>221</v>
      </c>
      <c r="D227" s="3" t="s">
        <v>614</v>
      </c>
      <c r="E227" s="3" t="s">
        <v>118</v>
      </c>
      <c r="F227" s="7">
        <v>46302.541666666664</v>
      </c>
      <c r="G227" s="3" t="s">
        <v>671</v>
      </c>
    </row>
    <row r="228">
      <c r="A228" s="3" t="s">
        <v>1908</v>
      </c>
      <c r="B228" s="3" t="s">
        <v>910</v>
      </c>
      <c r="C228" s="3" t="s">
        <v>614</v>
      </c>
      <c r="D228" s="3" t="s">
        <v>206</v>
      </c>
      <c r="E228" s="3" t="s">
        <v>100</v>
      </c>
      <c r="F228" s="7">
        <v>46302.791666666664</v>
      </c>
      <c r="G228" s="3" t="s">
        <v>684</v>
      </c>
    </row>
    <row r="229">
      <c r="A229" s="3" t="s">
        <v>1913</v>
      </c>
      <c r="B229" s="3" t="s">
        <v>915</v>
      </c>
      <c r="C229" s="9"/>
      <c r="D229" s="3" t="s">
        <v>221</v>
      </c>
      <c r="E229" s="3" t="s">
        <v>75</v>
      </c>
      <c r="F229" s="7">
        <v>46308.291666666664</v>
      </c>
      <c r="G229" s="3" t="s">
        <v>661</v>
      </c>
    </row>
    <row r="230">
      <c r="A230" s="3" t="s">
        <v>1917</v>
      </c>
      <c r="B230" s="3" t="s">
        <v>918</v>
      </c>
      <c r="C230" s="9"/>
      <c r="D230" s="3" t="s">
        <v>221</v>
      </c>
      <c r="E230" s="3" t="s">
        <v>77</v>
      </c>
      <c r="F230" s="7">
        <v>46111.291666666664</v>
      </c>
      <c r="G230" s="3" t="s">
        <v>661</v>
      </c>
    </row>
    <row r="231">
      <c r="A231" s="3" t="s">
        <v>1920</v>
      </c>
      <c r="B231" s="3" t="s">
        <v>918</v>
      </c>
      <c r="C231" s="3" t="s">
        <v>221</v>
      </c>
      <c r="D231" s="3" t="s">
        <v>614</v>
      </c>
      <c r="E231" s="3" t="s">
        <v>118</v>
      </c>
      <c r="F231" s="7">
        <v>46111.541666666664</v>
      </c>
      <c r="G231" s="3" t="s">
        <v>671</v>
      </c>
    </row>
    <row r="232">
      <c r="A232" s="3" t="s">
        <v>1924</v>
      </c>
      <c r="B232" s="3" t="s">
        <v>918</v>
      </c>
      <c r="C232" s="3" t="s">
        <v>614</v>
      </c>
      <c r="D232" s="3" t="s">
        <v>206</v>
      </c>
      <c r="E232" s="3" t="s">
        <v>100</v>
      </c>
      <c r="F232" s="7">
        <v>46111.791666666664</v>
      </c>
      <c r="G232" s="3" t="s">
        <v>684</v>
      </c>
    </row>
    <row r="233">
      <c r="A233" s="3" t="s">
        <v>1928</v>
      </c>
      <c r="B233" s="3" t="s">
        <v>918</v>
      </c>
      <c r="C233" s="3" t="s">
        <v>206</v>
      </c>
      <c r="D233" s="3" t="s">
        <v>68</v>
      </c>
      <c r="E233" s="3" t="s">
        <v>100</v>
      </c>
      <c r="F233" s="7">
        <v>46113.291666666664</v>
      </c>
      <c r="G233" s="3" t="s">
        <v>1931</v>
      </c>
    </row>
    <row r="234">
      <c r="A234" s="3" t="s">
        <v>1933</v>
      </c>
      <c r="B234" s="3" t="s">
        <v>925</v>
      </c>
      <c r="C234" s="9"/>
      <c r="D234" s="3" t="s">
        <v>221</v>
      </c>
      <c r="E234" s="3" t="s">
        <v>82</v>
      </c>
      <c r="F234" s="7">
        <v>46116.291666666664</v>
      </c>
      <c r="G234" s="3" t="s">
        <v>661</v>
      </c>
    </row>
    <row r="235">
      <c r="A235" s="3" t="s">
        <v>1936</v>
      </c>
      <c r="B235" s="3" t="s">
        <v>925</v>
      </c>
      <c r="C235" s="3" t="s">
        <v>221</v>
      </c>
      <c r="D235" s="3" t="s">
        <v>614</v>
      </c>
      <c r="E235" s="3" t="s">
        <v>118</v>
      </c>
      <c r="F235" s="7">
        <v>46116.541666666664</v>
      </c>
      <c r="G235" s="3" t="s">
        <v>671</v>
      </c>
    </row>
    <row r="236">
      <c r="A236" s="3" t="s">
        <v>1940</v>
      </c>
      <c r="B236" s="3" t="s">
        <v>925</v>
      </c>
      <c r="C236" s="3" t="s">
        <v>614</v>
      </c>
      <c r="D236" s="3" t="s">
        <v>206</v>
      </c>
      <c r="E236" s="3" t="s">
        <v>100</v>
      </c>
      <c r="F236" s="7">
        <v>46116.791666666664</v>
      </c>
      <c r="G236" s="3" t="s">
        <v>684</v>
      </c>
    </row>
    <row r="237">
      <c r="A237" s="3" t="s">
        <v>1944</v>
      </c>
      <c r="B237" s="3" t="s">
        <v>925</v>
      </c>
      <c r="C237" s="3" t="s">
        <v>206</v>
      </c>
      <c r="D237" s="3" t="s">
        <v>68</v>
      </c>
      <c r="E237" s="3" t="s">
        <v>100</v>
      </c>
      <c r="F237" s="7">
        <v>46118.291666666664</v>
      </c>
      <c r="G237" s="3" t="s">
        <v>1947</v>
      </c>
    </row>
    <row r="238">
      <c r="A238" s="3" t="s">
        <v>1948</v>
      </c>
      <c r="B238" s="3" t="s">
        <v>930</v>
      </c>
      <c r="C238" s="9"/>
      <c r="D238" s="3" t="s">
        <v>221</v>
      </c>
      <c r="E238" s="3" t="s">
        <v>85</v>
      </c>
      <c r="F238" s="7">
        <v>46121.291666666664</v>
      </c>
      <c r="G238" s="3" t="s">
        <v>661</v>
      </c>
    </row>
    <row r="239">
      <c r="A239" s="3" t="s">
        <v>1952</v>
      </c>
      <c r="B239" s="3" t="s">
        <v>930</v>
      </c>
      <c r="C239" s="3" t="s">
        <v>221</v>
      </c>
      <c r="D239" s="3" t="s">
        <v>614</v>
      </c>
      <c r="E239" s="3" t="s">
        <v>118</v>
      </c>
      <c r="F239" s="7">
        <v>46121.541666666664</v>
      </c>
      <c r="G239" s="3" t="s">
        <v>671</v>
      </c>
    </row>
    <row r="240">
      <c r="A240" s="3" t="s">
        <v>1957</v>
      </c>
      <c r="B240" s="3" t="s">
        <v>930</v>
      </c>
      <c r="C240" s="3" t="s">
        <v>614</v>
      </c>
      <c r="D240" s="3" t="s">
        <v>206</v>
      </c>
      <c r="E240" s="3" t="s">
        <v>100</v>
      </c>
      <c r="F240" s="7">
        <v>46121.791666666664</v>
      </c>
      <c r="G240" s="3" t="s">
        <v>684</v>
      </c>
    </row>
    <row r="241">
      <c r="A241" s="3" t="s">
        <v>1960</v>
      </c>
      <c r="B241" s="3" t="s">
        <v>930</v>
      </c>
      <c r="C241" s="3" t="s">
        <v>206</v>
      </c>
      <c r="D241" s="3" t="s">
        <v>68</v>
      </c>
      <c r="E241" s="3" t="s">
        <v>100</v>
      </c>
      <c r="F241" s="7">
        <v>46123.291666666664</v>
      </c>
      <c r="G241" s="3" t="s">
        <v>1964</v>
      </c>
    </row>
    <row r="242">
      <c r="A242" s="3" t="s">
        <v>1965</v>
      </c>
      <c r="B242" s="3" t="s">
        <v>935</v>
      </c>
      <c r="C242" s="9"/>
      <c r="D242" s="3" t="s">
        <v>221</v>
      </c>
      <c r="E242" s="3" t="s">
        <v>89</v>
      </c>
      <c r="F242" s="7">
        <v>46126.291666666664</v>
      </c>
      <c r="G242" s="3" t="s">
        <v>661</v>
      </c>
    </row>
    <row r="243">
      <c r="A243" s="3" t="s">
        <v>1967</v>
      </c>
      <c r="B243" s="3" t="s">
        <v>935</v>
      </c>
      <c r="C243" s="3" t="s">
        <v>221</v>
      </c>
      <c r="D243" s="3" t="s">
        <v>614</v>
      </c>
      <c r="E243" s="3" t="s">
        <v>118</v>
      </c>
      <c r="F243" s="7">
        <v>46126.541666666664</v>
      </c>
      <c r="G243" s="3" t="s">
        <v>671</v>
      </c>
    </row>
    <row r="244">
      <c r="A244" s="3" t="s">
        <v>1970</v>
      </c>
      <c r="B244" s="3" t="s">
        <v>935</v>
      </c>
      <c r="C244" s="3" t="s">
        <v>614</v>
      </c>
      <c r="D244" s="3" t="s">
        <v>206</v>
      </c>
      <c r="E244" s="3" t="s">
        <v>100</v>
      </c>
      <c r="F244" s="7">
        <v>46126.791666666664</v>
      </c>
      <c r="G244" s="3" t="s">
        <v>684</v>
      </c>
    </row>
    <row r="245">
      <c r="A245" s="3" t="s">
        <v>1974</v>
      </c>
      <c r="B245" s="3" t="s">
        <v>935</v>
      </c>
      <c r="C245" s="3" t="s">
        <v>206</v>
      </c>
      <c r="D245" s="3" t="s">
        <v>68</v>
      </c>
      <c r="E245" s="3" t="s">
        <v>100</v>
      </c>
      <c r="F245" s="7">
        <v>46128.291666666664</v>
      </c>
      <c r="G245" s="3" t="s">
        <v>1977</v>
      </c>
    </row>
    <row r="246">
      <c r="A246" s="3" t="s">
        <v>1978</v>
      </c>
      <c r="B246" s="3" t="s">
        <v>940</v>
      </c>
      <c r="C246" s="9"/>
      <c r="D246" s="3" t="s">
        <v>221</v>
      </c>
      <c r="E246" s="3" t="s">
        <v>91</v>
      </c>
      <c r="F246" s="7">
        <v>46131.291666666664</v>
      </c>
      <c r="G246" s="3" t="s">
        <v>661</v>
      </c>
    </row>
    <row r="247">
      <c r="A247" s="3" t="s">
        <v>1982</v>
      </c>
      <c r="B247" s="3" t="s">
        <v>940</v>
      </c>
      <c r="C247" s="3" t="s">
        <v>221</v>
      </c>
      <c r="D247" s="3" t="s">
        <v>614</v>
      </c>
      <c r="E247" s="3" t="s">
        <v>118</v>
      </c>
      <c r="F247" s="7">
        <v>46131.541666666664</v>
      </c>
      <c r="G247" s="3" t="s">
        <v>671</v>
      </c>
    </row>
    <row r="248">
      <c r="A248" s="3" t="s">
        <v>1986</v>
      </c>
      <c r="B248" s="3" t="s">
        <v>940</v>
      </c>
      <c r="C248" s="3" t="s">
        <v>614</v>
      </c>
      <c r="D248" s="3" t="s">
        <v>206</v>
      </c>
      <c r="E248" s="3" t="s">
        <v>100</v>
      </c>
      <c r="F248" s="7">
        <v>46131.791666666664</v>
      </c>
      <c r="G248" s="3" t="s">
        <v>684</v>
      </c>
    </row>
    <row r="249">
      <c r="A249" s="3" t="s">
        <v>1990</v>
      </c>
      <c r="B249" s="3" t="s">
        <v>940</v>
      </c>
      <c r="C249" s="3" t="s">
        <v>206</v>
      </c>
      <c r="D249" s="3" t="s">
        <v>68</v>
      </c>
      <c r="E249" s="3" t="s">
        <v>100</v>
      </c>
      <c r="F249" s="7">
        <v>46133.291666666664</v>
      </c>
      <c r="G249" s="3" t="s">
        <v>1994</v>
      </c>
    </row>
    <row r="250">
      <c r="A250" s="3" t="s">
        <v>1996</v>
      </c>
      <c r="B250" s="3" t="s">
        <v>945</v>
      </c>
      <c r="C250" s="9"/>
      <c r="D250" s="3" t="s">
        <v>221</v>
      </c>
      <c r="E250" s="3" t="s">
        <v>95</v>
      </c>
      <c r="F250" s="7">
        <v>46136.291666666664</v>
      </c>
      <c r="G250" s="3" t="s">
        <v>661</v>
      </c>
    </row>
    <row r="251">
      <c r="A251" s="3" t="s">
        <v>2000</v>
      </c>
      <c r="B251" s="3" t="s">
        <v>945</v>
      </c>
      <c r="C251" s="3" t="s">
        <v>221</v>
      </c>
      <c r="D251" s="3" t="s">
        <v>614</v>
      </c>
      <c r="E251" s="3" t="s">
        <v>118</v>
      </c>
      <c r="F251" s="7">
        <v>46136.541666666664</v>
      </c>
      <c r="G251" s="3" t="s">
        <v>671</v>
      </c>
    </row>
    <row r="252">
      <c r="A252" s="3" t="s">
        <v>2003</v>
      </c>
      <c r="B252" s="3" t="s">
        <v>945</v>
      </c>
      <c r="C252" s="3" t="s">
        <v>614</v>
      </c>
      <c r="D252" s="3" t="s">
        <v>206</v>
      </c>
      <c r="E252" s="3" t="s">
        <v>100</v>
      </c>
      <c r="F252" s="7">
        <v>46136.791666666664</v>
      </c>
      <c r="G252" s="3" t="s">
        <v>684</v>
      </c>
    </row>
    <row r="253">
      <c r="A253" s="3" t="s">
        <v>2008</v>
      </c>
      <c r="B253" s="3" t="s">
        <v>945</v>
      </c>
      <c r="C253" s="3" t="s">
        <v>206</v>
      </c>
      <c r="D253" s="3" t="s">
        <v>68</v>
      </c>
      <c r="E253" s="3" t="s">
        <v>100</v>
      </c>
      <c r="F253" s="7">
        <v>46138.291666666664</v>
      </c>
      <c r="G253" s="3" t="s">
        <v>2015</v>
      </c>
    </row>
    <row r="254">
      <c r="A254" s="3" t="s">
        <v>2016</v>
      </c>
      <c r="B254" s="3" t="s">
        <v>952</v>
      </c>
      <c r="C254" s="9"/>
      <c r="D254" s="3" t="s">
        <v>221</v>
      </c>
      <c r="E254" s="3" t="s">
        <v>98</v>
      </c>
      <c r="F254" s="7">
        <v>46141.291666666664</v>
      </c>
      <c r="G254" s="3" t="s">
        <v>661</v>
      </c>
    </row>
    <row r="255">
      <c r="A255" s="3" t="s">
        <v>2027</v>
      </c>
      <c r="B255" s="3" t="s">
        <v>952</v>
      </c>
      <c r="C255" s="3" t="s">
        <v>221</v>
      </c>
      <c r="D255" s="3" t="s">
        <v>181</v>
      </c>
      <c r="E255" s="3" t="s">
        <v>118</v>
      </c>
      <c r="F255" s="7">
        <v>46142.291666666664</v>
      </c>
      <c r="G255" s="3" t="s">
        <v>878</v>
      </c>
    </row>
    <row r="256">
      <c r="A256" s="3" t="s">
        <v>2031</v>
      </c>
      <c r="B256" s="3" t="s">
        <v>956</v>
      </c>
      <c r="C256" s="9"/>
      <c r="D256" s="3" t="s">
        <v>221</v>
      </c>
      <c r="E256" s="3" t="s">
        <v>102</v>
      </c>
      <c r="F256" s="7">
        <v>46146.291666666664</v>
      </c>
      <c r="G256" s="3" t="s">
        <v>661</v>
      </c>
    </row>
    <row r="257">
      <c r="A257" s="3" t="s">
        <v>2035</v>
      </c>
      <c r="B257" s="3" t="s">
        <v>956</v>
      </c>
      <c r="C257" s="3" t="s">
        <v>221</v>
      </c>
      <c r="D257" s="3" t="s">
        <v>195</v>
      </c>
      <c r="E257" s="3" t="s">
        <v>102</v>
      </c>
      <c r="F257" s="7">
        <v>46147.291666666664</v>
      </c>
      <c r="G257" s="3" t="s">
        <v>889</v>
      </c>
    </row>
    <row r="258">
      <c r="A258" s="3" t="s">
        <v>2038</v>
      </c>
      <c r="B258" s="3" t="s">
        <v>960</v>
      </c>
      <c r="C258" s="9"/>
      <c r="D258" s="3" t="s">
        <v>221</v>
      </c>
      <c r="E258" s="3" t="s">
        <v>110</v>
      </c>
      <c r="F258" s="7">
        <v>46306.291666666664</v>
      </c>
      <c r="G258" s="3" t="s">
        <v>661</v>
      </c>
    </row>
    <row r="259">
      <c r="A259" s="3" t="s">
        <v>2042</v>
      </c>
      <c r="B259" s="3" t="s">
        <v>960</v>
      </c>
      <c r="C259" s="3" t="s">
        <v>221</v>
      </c>
      <c r="D259" s="3" t="s">
        <v>614</v>
      </c>
      <c r="E259" s="3" t="s">
        <v>118</v>
      </c>
      <c r="F259" s="7">
        <v>46306.541666666664</v>
      </c>
      <c r="G259" s="3" t="s">
        <v>671</v>
      </c>
    </row>
    <row r="260">
      <c r="A260" s="3" t="s">
        <v>2048</v>
      </c>
      <c r="B260" s="3" t="s">
        <v>960</v>
      </c>
      <c r="C260" s="3" t="s">
        <v>614</v>
      </c>
      <c r="D260" s="3" t="s">
        <v>206</v>
      </c>
      <c r="E260" s="3" t="s">
        <v>100</v>
      </c>
      <c r="F260" s="7">
        <v>46306.791666666664</v>
      </c>
      <c r="G260" s="3" t="s">
        <v>684</v>
      </c>
    </row>
    <row r="261">
      <c r="A261" s="3" t="s">
        <v>2051</v>
      </c>
      <c r="B261" s="3" t="s">
        <v>967</v>
      </c>
      <c r="C261" s="9"/>
      <c r="D261" s="3" t="s">
        <v>221</v>
      </c>
      <c r="E261" s="3" t="s">
        <v>115</v>
      </c>
      <c r="F261" s="7">
        <v>46305.291666666664</v>
      </c>
      <c r="G261" s="3" t="s">
        <v>661</v>
      </c>
    </row>
    <row r="262">
      <c r="A262" s="3" t="s">
        <v>2057</v>
      </c>
      <c r="B262" s="3" t="s">
        <v>974</v>
      </c>
      <c r="C262" s="9"/>
      <c r="D262" s="3" t="s">
        <v>221</v>
      </c>
      <c r="E262" s="3" t="s">
        <v>42</v>
      </c>
      <c r="F262" s="7">
        <v>46161.291666666664</v>
      </c>
      <c r="G262" s="3" t="s">
        <v>661</v>
      </c>
    </row>
    <row r="263">
      <c r="A263" s="3" t="s">
        <v>2060</v>
      </c>
      <c r="B263" s="3" t="s">
        <v>974</v>
      </c>
      <c r="C263" s="3" t="s">
        <v>221</v>
      </c>
      <c r="D263" s="3" t="s">
        <v>614</v>
      </c>
      <c r="E263" s="3" t="s">
        <v>118</v>
      </c>
      <c r="F263" s="7">
        <v>46161.541666666664</v>
      </c>
      <c r="G263" s="3" t="s">
        <v>671</v>
      </c>
    </row>
    <row r="264">
      <c r="A264" s="3" t="s">
        <v>2066</v>
      </c>
      <c r="B264" s="3" t="s">
        <v>974</v>
      </c>
      <c r="C264" s="3" t="s">
        <v>614</v>
      </c>
      <c r="D264" s="3" t="s">
        <v>206</v>
      </c>
      <c r="E264" s="3" t="s">
        <v>100</v>
      </c>
      <c r="F264" s="7">
        <v>46161.791666666664</v>
      </c>
      <c r="G264" s="3" t="s">
        <v>684</v>
      </c>
    </row>
    <row r="265">
      <c r="A265" s="3" t="s">
        <v>2071</v>
      </c>
      <c r="B265" s="3" t="s">
        <v>974</v>
      </c>
      <c r="C265" s="3" t="s">
        <v>206</v>
      </c>
      <c r="D265" s="3" t="s">
        <v>68</v>
      </c>
      <c r="E265" s="3" t="s">
        <v>100</v>
      </c>
      <c r="F265" s="7">
        <v>46163.291666666664</v>
      </c>
      <c r="G265" s="3" t="s">
        <v>2075</v>
      </c>
    </row>
    <row r="266">
      <c r="A266" s="3" t="s">
        <v>2076</v>
      </c>
      <c r="B266" s="3" t="s">
        <v>979</v>
      </c>
      <c r="C266" s="9"/>
      <c r="D266" s="3" t="s">
        <v>221</v>
      </c>
      <c r="E266" s="3" t="s">
        <v>46</v>
      </c>
      <c r="F266" s="7">
        <v>46166.291666666664</v>
      </c>
      <c r="G266" s="3" t="s">
        <v>661</v>
      </c>
    </row>
    <row r="267">
      <c r="A267" s="3" t="s">
        <v>2080</v>
      </c>
      <c r="B267" s="3" t="s">
        <v>979</v>
      </c>
      <c r="C267" s="3" t="s">
        <v>221</v>
      </c>
      <c r="D267" s="3" t="s">
        <v>614</v>
      </c>
      <c r="E267" s="3" t="s">
        <v>118</v>
      </c>
      <c r="F267" s="7">
        <v>46166.541666666664</v>
      </c>
      <c r="G267" s="3" t="s">
        <v>671</v>
      </c>
    </row>
    <row r="268">
      <c r="A268" s="3" t="s">
        <v>2086</v>
      </c>
      <c r="B268" s="3" t="s">
        <v>979</v>
      </c>
      <c r="C268" s="3" t="s">
        <v>614</v>
      </c>
      <c r="D268" s="3" t="s">
        <v>206</v>
      </c>
      <c r="E268" s="3" t="s">
        <v>100</v>
      </c>
      <c r="F268" s="7">
        <v>46166.791666666664</v>
      </c>
      <c r="G268" s="3" t="s">
        <v>684</v>
      </c>
    </row>
    <row r="269">
      <c r="A269" s="3" t="s">
        <v>2089</v>
      </c>
      <c r="B269" s="3" t="s">
        <v>979</v>
      </c>
      <c r="C269" s="3" t="s">
        <v>206</v>
      </c>
      <c r="D269" s="3" t="s">
        <v>68</v>
      </c>
      <c r="E269" s="3" t="s">
        <v>100</v>
      </c>
      <c r="F269" s="7">
        <v>46168.291666666664</v>
      </c>
      <c r="G269" s="3" t="s">
        <v>2092</v>
      </c>
    </row>
    <row r="270">
      <c r="A270" s="3" t="s">
        <v>2094</v>
      </c>
      <c r="B270" s="3" t="s">
        <v>986</v>
      </c>
      <c r="C270" s="9"/>
      <c r="D270" s="3" t="s">
        <v>221</v>
      </c>
      <c r="E270" s="3" t="s">
        <v>50</v>
      </c>
      <c r="F270" s="7">
        <v>46171.291666666664</v>
      </c>
      <c r="G270" s="3" t="s">
        <v>661</v>
      </c>
    </row>
    <row r="271">
      <c r="A271" s="3" t="s">
        <v>2098</v>
      </c>
      <c r="B271" s="3" t="s">
        <v>986</v>
      </c>
      <c r="C271" s="3" t="s">
        <v>221</v>
      </c>
      <c r="D271" s="3" t="s">
        <v>614</v>
      </c>
      <c r="E271" s="3" t="s">
        <v>118</v>
      </c>
      <c r="F271" s="7">
        <v>46171.541666666664</v>
      </c>
      <c r="G271" s="3" t="s">
        <v>671</v>
      </c>
    </row>
    <row r="272">
      <c r="A272" s="3" t="s">
        <v>2102</v>
      </c>
      <c r="B272" s="3" t="s">
        <v>986</v>
      </c>
      <c r="C272" s="3" t="s">
        <v>614</v>
      </c>
      <c r="D272" s="3" t="s">
        <v>206</v>
      </c>
      <c r="E272" s="3" t="s">
        <v>100</v>
      </c>
      <c r="F272" s="7">
        <v>46171.791666666664</v>
      </c>
      <c r="G272" s="3" t="s">
        <v>684</v>
      </c>
    </row>
    <row r="273">
      <c r="A273" s="3" t="s">
        <v>2107</v>
      </c>
      <c r="B273" s="3" t="s">
        <v>986</v>
      </c>
      <c r="C273" s="3" t="s">
        <v>206</v>
      </c>
      <c r="D273" s="3" t="s">
        <v>68</v>
      </c>
      <c r="E273" s="3" t="s">
        <v>100</v>
      </c>
      <c r="F273" s="7">
        <v>46173.291666666664</v>
      </c>
      <c r="G273" s="3" t="s">
        <v>2110</v>
      </c>
    </row>
    <row r="274">
      <c r="A274" s="3" t="s">
        <v>2112</v>
      </c>
      <c r="B274" s="3" t="s">
        <v>995</v>
      </c>
      <c r="C274" s="9"/>
      <c r="D274" s="3" t="s">
        <v>221</v>
      </c>
      <c r="E274" s="3" t="s">
        <v>54</v>
      </c>
      <c r="F274" s="7">
        <v>46176.291666666664</v>
      </c>
      <c r="G274" s="3" t="s">
        <v>661</v>
      </c>
    </row>
    <row r="275">
      <c r="A275" s="3" t="s">
        <v>2116</v>
      </c>
      <c r="B275" s="3" t="s">
        <v>995</v>
      </c>
      <c r="C275" s="3" t="s">
        <v>221</v>
      </c>
      <c r="D275" s="3" t="s">
        <v>614</v>
      </c>
      <c r="E275" s="3" t="s">
        <v>118</v>
      </c>
      <c r="F275" s="7">
        <v>46176.541666666664</v>
      </c>
      <c r="G275" s="3" t="s">
        <v>671</v>
      </c>
    </row>
    <row r="276">
      <c r="A276" s="3" t="s">
        <v>2121</v>
      </c>
      <c r="B276" s="3" t="s">
        <v>995</v>
      </c>
      <c r="C276" s="3" t="s">
        <v>614</v>
      </c>
      <c r="D276" s="3" t="s">
        <v>206</v>
      </c>
      <c r="E276" s="3" t="s">
        <v>100</v>
      </c>
      <c r="F276" s="7">
        <v>46176.791666666664</v>
      </c>
      <c r="G276" s="3" t="s">
        <v>684</v>
      </c>
    </row>
    <row r="277">
      <c r="A277" s="3" t="s">
        <v>2124</v>
      </c>
      <c r="B277" s="3" t="s">
        <v>995</v>
      </c>
      <c r="C277" s="3" t="s">
        <v>206</v>
      </c>
      <c r="D277" s="3" t="s">
        <v>68</v>
      </c>
      <c r="E277" s="3" t="s">
        <v>100</v>
      </c>
      <c r="F277" s="7">
        <v>46178.291666666664</v>
      </c>
      <c r="G277" s="3" t="s">
        <v>2127</v>
      </c>
    </row>
    <row r="278">
      <c r="A278" s="3" t="s">
        <v>2128</v>
      </c>
      <c r="B278" s="3" t="s">
        <v>1002</v>
      </c>
      <c r="C278" s="9"/>
      <c r="D278" s="3" t="s">
        <v>221</v>
      </c>
      <c r="E278" s="3" t="s">
        <v>59</v>
      </c>
      <c r="F278" s="7">
        <v>46181.291666666664</v>
      </c>
      <c r="G278" s="3" t="s">
        <v>661</v>
      </c>
    </row>
    <row r="279">
      <c r="A279" s="3" t="s">
        <v>2130</v>
      </c>
      <c r="B279" s="3" t="s">
        <v>1002</v>
      </c>
      <c r="C279" s="3" t="s">
        <v>221</v>
      </c>
      <c r="D279" s="3" t="s">
        <v>614</v>
      </c>
      <c r="E279" s="3" t="s">
        <v>118</v>
      </c>
      <c r="F279" s="7">
        <v>46181.541666666664</v>
      </c>
      <c r="G279" s="3" t="s">
        <v>671</v>
      </c>
    </row>
    <row r="280">
      <c r="A280" s="3" t="s">
        <v>2132</v>
      </c>
      <c r="B280" s="3" t="s">
        <v>1002</v>
      </c>
      <c r="C280" s="3" t="s">
        <v>614</v>
      </c>
      <c r="D280" s="3" t="s">
        <v>206</v>
      </c>
      <c r="E280" s="3" t="s">
        <v>100</v>
      </c>
      <c r="F280" s="7">
        <v>46181.791666666664</v>
      </c>
      <c r="G280" s="3" t="s">
        <v>684</v>
      </c>
    </row>
    <row r="281">
      <c r="A281" s="3" t="s">
        <v>2134</v>
      </c>
      <c r="B281" s="3" t="s">
        <v>1002</v>
      </c>
      <c r="C281" s="3" t="s">
        <v>206</v>
      </c>
      <c r="D281" s="3" t="s">
        <v>68</v>
      </c>
      <c r="E281" s="3" t="s">
        <v>100</v>
      </c>
      <c r="F281" s="7">
        <v>46183.291666666664</v>
      </c>
      <c r="G281" s="3" t="s">
        <v>2136</v>
      </c>
    </row>
    <row r="282">
      <c r="A282" s="3" t="s">
        <v>2137</v>
      </c>
      <c r="B282" s="3" t="s">
        <v>1006</v>
      </c>
      <c r="C282" s="9"/>
      <c r="D282" s="3" t="s">
        <v>221</v>
      </c>
      <c r="E282" s="3" t="s">
        <v>62</v>
      </c>
      <c r="F282" s="7">
        <v>46186.291666666664</v>
      </c>
      <c r="G282" s="3" t="s">
        <v>661</v>
      </c>
    </row>
    <row r="283">
      <c r="A283" s="3" t="s">
        <v>2139</v>
      </c>
      <c r="B283" s="3" t="s">
        <v>1006</v>
      </c>
      <c r="C283" s="3" t="s">
        <v>221</v>
      </c>
      <c r="D283" s="3" t="s">
        <v>614</v>
      </c>
      <c r="E283" s="3" t="s">
        <v>118</v>
      </c>
      <c r="F283" s="7">
        <v>46186.541666666664</v>
      </c>
      <c r="G283" s="3" t="s">
        <v>671</v>
      </c>
    </row>
    <row r="284">
      <c r="A284" s="3" t="s">
        <v>2141</v>
      </c>
      <c r="B284" s="3" t="s">
        <v>1006</v>
      </c>
      <c r="C284" s="3" t="s">
        <v>614</v>
      </c>
      <c r="D284" s="3" t="s">
        <v>206</v>
      </c>
      <c r="E284" s="3" t="s">
        <v>100</v>
      </c>
      <c r="F284" s="7">
        <v>46186.791666666664</v>
      </c>
      <c r="G284" s="3" t="s">
        <v>684</v>
      </c>
    </row>
    <row r="285">
      <c r="A285" s="3" t="s">
        <v>2145</v>
      </c>
      <c r="B285" s="3" t="s">
        <v>1006</v>
      </c>
      <c r="C285" s="3" t="s">
        <v>206</v>
      </c>
      <c r="D285" s="3" t="s">
        <v>68</v>
      </c>
      <c r="E285" s="3" t="s">
        <v>100</v>
      </c>
      <c r="F285" s="7">
        <v>46188.291666666664</v>
      </c>
      <c r="G285" s="3" t="s">
        <v>2148</v>
      </c>
    </row>
    <row r="286">
      <c r="A286" s="3" t="s">
        <v>2150</v>
      </c>
      <c r="B286" s="3" t="s">
        <v>1014</v>
      </c>
      <c r="C286" s="9"/>
      <c r="D286" s="3" t="s">
        <v>221</v>
      </c>
      <c r="E286" s="3" t="s">
        <v>65</v>
      </c>
      <c r="F286" s="7">
        <v>46191.291666666664</v>
      </c>
      <c r="G286" s="3" t="s">
        <v>661</v>
      </c>
    </row>
    <row r="287">
      <c r="A287" s="3" t="s">
        <v>2152</v>
      </c>
      <c r="B287" s="3" t="s">
        <v>1014</v>
      </c>
      <c r="C287" s="3" t="s">
        <v>221</v>
      </c>
      <c r="D287" s="3" t="s">
        <v>181</v>
      </c>
      <c r="E287" s="3" t="s">
        <v>118</v>
      </c>
      <c r="F287" s="7">
        <v>46192.291666666664</v>
      </c>
      <c r="G287" s="3" t="s">
        <v>878</v>
      </c>
    </row>
    <row r="288">
      <c r="A288" s="3" t="s">
        <v>2155</v>
      </c>
      <c r="B288" s="3" t="s">
        <v>1017</v>
      </c>
      <c r="C288" s="9"/>
      <c r="D288" s="3" t="s">
        <v>221</v>
      </c>
      <c r="E288" s="3" t="s">
        <v>69</v>
      </c>
      <c r="F288" s="7">
        <v>46196.291666666664</v>
      </c>
      <c r="G288" s="3" t="s">
        <v>661</v>
      </c>
    </row>
    <row r="289">
      <c r="A289" s="3" t="s">
        <v>2157</v>
      </c>
      <c r="B289" s="3" t="s">
        <v>1017</v>
      </c>
      <c r="C289" s="3" t="s">
        <v>221</v>
      </c>
      <c r="D289" s="3" t="s">
        <v>195</v>
      </c>
      <c r="E289" s="3" t="s">
        <v>69</v>
      </c>
      <c r="F289" s="7">
        <v>46197.291666666664</v>
      </c>
      <c r="G289" s="3" t="s">
        <v>889</v>
      </c>
    </row>
    <row r="290">
      <c r="A290" s="3" t="s">
        <v>2159</v>
      </c>
      <c r="B290" s="3" t="s">
        <v>1022</v>
      </c>
      <c r="C290" s="9"/>
      <c r="D290" s="3" t="s">
        <v>221</v>
      </c>
      <c r="E290" s="3" t="s">
        <v>72</v>
      </c>
      <c r="F290" s="7">
        <v>46303.291666666664</v>
      </c>
      <c r="G290" s="3" t="s">
        <v>661</v>
      </c>
    </row>
    <row r="291">
      <c r="A291" s="3" t="s">
        <v>2161</v>
      </c>
      <c r="B291" s="3" t="s">
        <v>1022</v>
      </c>
      <c r="C291" s="3" t="s">
        <v>221</v>
      </c>
      <c r="D291" s="3" t="s">
        <v>614</v>
      </c>
      <c r="E291" s="3" t="s">
        <v>118</v>
      </c>
      <c r="F291" s="7">
        <v>46303.541666666664</v>
      </c>
      <c r="G291" s="3" t="s">
        <v>671</v>
      </c>
    </row>
    <row r="292">
      <c r="A292" s="3" t="s">
        <v>2164</v>
      </c>
      <c r="B292" s="3" t="s">
        <v>1022</v>
      </c>
      <c r="C292" s="3" t="s">
        <v>614</v>
      </c>
      <c r="D292" s="3" t="s">
        <v>206</v>
      </c>
      <c r="E292" s="3" t="s">
        <v>100</v>
      </c>
      <c r="F292" s="7">
        <v>46303.791666666664</v>
      </c>
      <c r="G292" s="3" t="s">
        <v>684</v>
      </c>
    </row>
    <row r="293">
      <c r="A293" s="3" t="s">
        <v>2166</v>
      </c>
      <c r="B293" s="3" t="s">
        <v>1031</v>
      </c>
      <c r="C293" s="9"/>
      <c r="D293" s="3" t="s">
        <v>221</v>
      </c>
      <c r="E293" s="3" t="s">
        <v>75</v>
      </c>
      <c r="F293" s="7">
        <v>46302.291666666664</v>
      </c>
      <c r="G293" s="3" t="s">
        <v>661</v>
      </c>
    </row>
    <row r="294">
      <c r="A294" s="3" t="s">
        <v>2168</v>
      </c>
      <c r="B294" s="3" t="s">
        <v>1041</v>
      </c>
      <c r="C294" s="9"/>
      <c r="D294" s="3" t="s">
        <v>221</v>
      </c>
      <c r="E294" s="3" t="s">
        <v>77</v>
      </c>
      <c r="F294" s="7">
        <v>46211.291666666664</v>
      </c>
      <c r="G294" s="3" t="s">
        <v>661</v>
      </c>
    </row>
    <row r="295">
      <c r="A295" s="3" t="s">
        <v>2170</v>
      </c>
      <c r="B295" s="3" t="s">
        <v>1041</v>
      </c>
      <c r="C295" s="3" t="s">
        <v>221</v>
      </c>
      <c r="D295" s="3" t="s">
        <v>614</v>
      </c>
      <c r="E295" s="3" t="s">
        <v>118</v>
      </c>
      <c r="F295" s="7">
        <v>46211.541666666664</v>
      </c>
      <c r="G295" s="3" t="s">
        <v>671</v>
      </c>
    </row>
    <row r="296">
      <c r="A296" s="3" t="s">
        <v>2172</v>
      </c>
      <c r="B296" s="3" t="s">
        <v>1041</v>
      </c>
      <c r="C296" s="3" t="s">
        <v>614</v>
      </c>
      <c r="D296" s="3" t="s">
        <v>206</v>
      </c>
      <c r="E296" s="3" t="s">
        <v>100</v>
      </c>
      <c r="F296" s="7">
        <v>46211.791666666664</v>
      </c>
      <c r="G296" s="3" t="s">
        <v>684</v>
      </c>
    </row>
    <row r="297">
      <c r="A297" s="3" t="s">
        <v>2174</v>
      </c>
      <c r="B297" s="3" t="s">
        <v>1041</v>
      </c>
      <c r="C297" s="3" t="s">
        <v>206</v>
      </c>
      <c r="D297" s="3" t="s">
        <v>68</v>
      </c>
      <c r="E297" s="3" t="s">
        <v>100</v>
      </c>
      <c r="F297" s="7">
        <v>46213.291666666664</v>
      </c>
      <c r="G297" s="3" t="s">
        <v>2179</v>
      </c>
    </row>
    <row r="298">
      <c r="A298" s="3" t="s">
        <v>2180</v>
      </c>
      <c r="B298" s="3" t="s">
        <v>1052</v>
      </c>
      <c r="C298" s="9"/>
      <c r="D298" s="3" t="s">
        <v>221</v>
      </c>
      <c r="E298" s="3" t="s">
        <v>82</v>
      </c>
      <c r="F298" s="7">
        <v>46216.291666666664</v>
      </c>
      <c r="G298" s="3" t="s">
        <v>661</v>
      </c>
    </row>
    <row r="299">
      <c r="A299" s="3" t="s">
        <v>2182</v>
      </c>
      <c r="B299" s="3" t="s">
        <v>1052</v>
      </c>
      <c r="C299" s="3" t="s">
        <v>221</v>
      </c>
      <c r="D299" s="3" t="s">
        <v>614</v>
      </c>
      <c r="E299" s="3" t="s">
        <v>118</v>
      </c>
      <c r="F299" s="7">
        <v>46216.541666666664</v>
      </c>
      <c r="G299" s="3" t="s">
        <v>671</v>
      </c>
    </row>
    <row r="300">
      <c r="A300" s="3" t="s">
        <v>2184</v>
      </c>
      <c r="B300" s="3" t="s">
        <v>1052</v>
      </c>
      <c r="C300" s="3" t="s">
        <v>614</v>
      </c>
      <c r="D300" s="3" t="s">
        <v>206</v>
      </c>
      <c r="E300" s="3" t="s">
        <v>100</v>
      </c>
      <c r="F300" s="7">
        <v>46216.791666666664</v>
      </c>
      <c r="G300" s="3" t="s">
        <v>684</v>
      </c>
    </row>
    <row r="301">
      <c r="A301" s="3" t="s">
        <v>2186</v>
      </c>
      <c r="B301" s="3" t="s">
        <v>1052</v>
      </c>
      <c r="C301" s="3" t="s">
        <v>206</v>
      </c>
      <c r="D301" s="3" t="s">
        <v>68</v>
      </c>
      <c r="E301" s="3" t="s">
        <v>100</v>
      </c>
      <c r="F301" s="7">
        <v>46218.291666666664</v>
      </c>
      <c r="G301" s="3" t="s">
        <v>2188</v>
      </c>
    </row>
    <row r="302">
      <c r="A302" s="3" t="s">
        <v>2189</v>
      </c>
      <c r="B302" s="3" t="s">
        <v>1056</v>
      </c>
      <c r="C302" s="9"/>
      <c r="D302" s="3" t="s">
        <v>221</v>
      </c>
      <c r="E302" s="3" t="s">
        <v>85</v>
      </c>
      <c r="F302" s="7">
        <v>46221.291666666664</v>
      </c>
      <c r="G302" s="3" t="s">
        <v>661</v>
      </c>
    </row>
    <row r="303">
      <c r="A303" s="3" t="s">
        <v>2191</v>
      </c>
      <c r="B303" s="3" t="s">
        <v>1056</v>
      </c>
      <c r="C303" s="3" t="s">
        <v>221</v>
      </c>
      <c r="D303" s="3" t="s">
        <v>614</v>
      </c>
      <c r="E303" s="3" t="s">
        <v>118</v>
      </c>
      <c r="F303" s="7">
        <v>46221.541666666664</v>
      </c>
      <c r="G303" s="3" t="s">
        <v>671</v>
      </c>
    </row>
    <row r="304">
      <c r="A304" s="3" t="s">
        <v>2193</v>
      </c>
      <c r="B304" s="3" t="s">
        <v>1056</v>
      </c>
      <c r="C304" s="3" t="s">
        <v>614</v>
      </c>
      <c r="D304" s="3" t="s">
        <v>206</v>
      </c>
      <c r="E304" s="3" t="s">
        <v>100</v>
      </c>
      <c r="F304" s="7">
        <v>46221.791666666664</v>
      </c>
      <c r="G304" s="3" t="s">
        <v>684</v>
      </c>
    </row>
    <row r="305">
      <c r="A305" s="3" t="s">
        <v>2196</v>
      </c>
      <c r="B305" s="3" t="s">
        <v>1056</v>
      </c>
      <c r="C305" s="3" t="s">
        <v>206</v>
      </c>
      <c r="D305" s="3" t="s">
        <v>68</v>
      </c>
      <c r="E305" s="3" t="s">
        <v>100</v>
      </c>
      <c r="F305" s="7">
        <v>46223.291666666664</v>
      </c>
      <c r="G305" s="3" t="s">
        <v>2199</v>
      </c>
    </row>
    <row r="306">
      <c r="A306" s="3" t="s">
        <v>2200</v>
      </c>
      <c r="B306" s="3" t="s">
        <v>1062</v>
      </c>
      <c r="C306" s="9"/>
      <c r="D306" s="3" t="s">
        <v>221</v>
      </c>
      <c r="E306" s="3" t="s">
        <v>89</v>
      </c>
      <c r="F306" s="7">
        <v>46226.291666666664</v>
      </c>
      <c r="G306" s="3" t="s">
        <v>661</v>
      </c>
    </row>
    <row r="307">
      <c r="A307" s="3" t="s">
        <v>2203</v>
      </c>
      <c r="B307" s="3" t="s">
        <v>1062</v>
      </c>
      <c r="C307" s="3" t="s">
        <v>221</v>
      </c>
      <c r="D307" s="3" t="s">
        <v>614</v>
      </c>
      <c r="E307" s="3" t="s">
        <v>118</v>
      </c>
      <c r="F307" s="7">
        <v>46226.541666666664</v>
      </c>
      <c r="G307" s="3" t="s">
        <v>671</v>
      </c>
    </row>
    <row r="308">
      <c r="A308" s="3" t="s">
        <v>2206</v>
      </c>
      <c r="B308" s="3" t="s">
        <v>1062</v>
      </c>
      <c r="C308" s="3" t="s">
        <v>614</v>
      </c>
      <c r="D308" s="3" t="s">
        <v>206</v>
      </c>
      <c r="E308" s="3" t="s">
        <v>100</v>
      </c>
      <c r="F308" s="7">
        <v>46226.791666666664</v>
      </c>
      <c r="G308" s="3" t="s">
        <v>684</v>
      </c>
    </row>
    <row r="309">
      <c r="A309" s="3" t="s">
        <v>2208</v>
      </c>
      <c r="B309" s="3" t="s">
        <v>1062</v>
      </c>
      <c r="C309" s="3" t="s">
        <v>206</v>
      </c>
      <c r="D309" s="3" t="s">
        <v>68</v>
      </c>
      <c r="E309" s="3" t="s">
        <v>100</v>
      </c>
      <c r="F309" s="7">
        <v>46228.291666666664</v>
      </c>
      <c r="G309" s="3" t="s">
        <v>2210</v>
      </c>
    </row>
    <row r="310">
      <c r="A310" s="3" t="s">
        <v>2211</v>
      </c>
      <c r="B310" s="3" t="s">
        <v>1067</v>
      </c>
      <c r="C310" s="9"/>
      <c r="D310" s="3" t="s">
        <v>221</v>
      </c>
      <c r="E310" s="3" t="s">
        <v>91</v>
      </c>
      <c r="F310" s="7">
        <v>46231.291666666664</v>
      </c>
      <c r="G310" s="3" t="s">
        <v>661</v>
      </c>
    </row>
    <row r="311">
      <c r="A311" s="3" t="s">
        <v>2213</v>
      </c>
      <c r="B311" s="3" t="s">
        <v>1067</v>
      </c>
      <c r="C311" s="3" t="s">
        <v>221</v>
      </c>
      <c r="D311" s="3" t="s">
        <v>614</v>
      </c>
      <c r="E311" s="3" t="s">
        <v>118</v>
      </c>
      <c r="F311" s="7">
        <v>46231.541666666664</v>
      </c>
      <c r="G311" s="3" t="s">
        <v>671</v>
      </c>
    </row>
    <row r="312">
      <c r="A312" s="3" t="s">
        <v>2215</v>
      </c>
      <c r="B312" s="3" t="s">
        <v>1067</v>
      </c>
      <c r="C312" s="3" t="s">
        <v>614</v>
      </c>
      <c r="D312" s="3" t="s">
        <v>206</v>
      </c>
      <c r="E312" s="3" t="s">
        <v>100</v>
      </c>
      <c r="F312" s="7">
        <v>46231.791666666664</v>
      </c>
      <c r="G312" s="3" t="s">
        <v>684</v>
      </c>
    </row>
    <row r="313">
      <c r="A313" s="3" t="s">
        <v>2217</v>
      </c>
      <c r="B313" s="3" t="s">
        <v>1067</v>
      </c>
      <c r="C313" s="3" t="s">
        <v>206</v>
      </c>
      <c r="D313" s="3" t="s">
        <v>68</v>
      </c>
      <c r="E313" s="3" t="s">
        <v>100</v>
      </c>
      <c r="F313" s="7">
        <v>46233.291666666664</v>
      </c>
      <c r="G313" s="3" t="s">
        <v>2219</v>
      </c>
    </row>
    <row r="314">
      <c r="A314" s="3" t="s">
        <v>2221</v>
      </c>
      <c r="B314" s="3" t="s">
        <v>1073</v>
      </c>
      <c r="C314" s="9"/>
      <c r="D314" s="3" t="s">
        <v>221</v>
      </c>
      <c r="E314" s="3" t="s">
        <v>95</v>
      </c>
      <c r="F314" s="7">
        <v>46236.291666666664</v>
      </c>
      <c r="G314" s="3" t="s">
        <v>661</v>
      </c>
    </row>
    <row r="315">
      <c r="A315" s="3" t="s">
        <v>2223</v>
      </c>
      <c r="B315" s="3" t="s">
        <v>1073</v>
      </c>
      <c r="C315" s="3" t="s">
        <v>221</v>
      </c>
      <c r="D315" s="3" t="s">
        <v>614</v>
      </c>
      <c r="E315" s="3" t="s">
        <v>118</v>
      </c>
      <c r="F315" s="7">
        <v>46236.541666666664</v>
      </c>
      <c r="G315" s="3" t="s">
        <v>671</v>
      </c>
    </row>
    <row r="316">
      <c r="A316" s="3" t="s">
        <v>2225</v>
      </c>
      <c r="B316" s="3" t="s">
        <v>1073</v>
      </c>
      <c r="C316" s="3" t="s">
        <v>614</v>
      </c>
      <c r="D316" s="3" t="s">
        <v>206</v>
      </c>
      <c r="E316" s="3" t="s">
        <v>100</v>
      </c>
      <c r="F316" s="7">
        <v>46236.791666666664</v>
      </c>
      <c r="G316" s="3" t="s">
        <v>684</v>
      </c>
    </row>
    <row r="317">
      <c r="A317" s="3" t="s">
        <v>2227</v>
      </c>
      <c r="B317" s="3" t="s">
        <v>1073</v>
      </c>
      <c r="C317" s="3" t="s">
        <v>206</v>
      </c>
      <c r="D317" s="3" t="s">
        <v>68</v>
      </c>
      <c r="E317" s="3" t="s">
        <v>100</v>
      </c>
      <c r="F317" s="7">
        <v>46238.291666666664</v>
      </c>
      <c r="G317" s="3" t="s">
        <v>2229</v>
      </c>
    </row>
    <row r="318">
      <c r="A318" s="3" t="s">
        <v>2230</v>
      </c>
      <c r="B318" s="3" t="s">
        <v>1078</v>
      </c>
      <c r="C318" s="9"/>
      <c r="D318" s="3" t="s">
        <v>221</v>
      </c>
      <c r="E318" s="3" t="s">
        <v>98</v>
      </c>
      <c r="F318" s="7">
        <v>46241.291666666664</v>
      </c>
      <c r="G318" s="3" t="s">
        <v>661</v>
      </c>
    </row>
    <row r="319">
      <c r="A319" s="3" t="s">
        <v>2232</v>
      </c>
      <c r="B319" s="3" t="s">
        <v>1078</v>
      </c>
      <c r="C319" s="3" t="s">
        <v>221</v>
      </c>
      <c r="D319" s="3" t="s">
        <v>181</v>
      </c>
      <c r="E319" s="3" t="s">
        <v>118</v>
      </c>
      <c r="F319" s="7">
        <v>46242.291666666664</v>
      </c>
      <c r="G319" s="3" t="s">
        <v>878</v>
      </c>
    </row>
    <row r="320">
      <c r="A320" s="3" t="s">
        <v>2236</v>
      </c>
      <c r="B320" s="3" t="s">
        <v>1082</v>
      </c>
      <c r="C320" s="9"/>
      <c r="D320" s="3" t="s">
        <v>221</v>
      </c>
      <c r="E320" s="3" t="s">
        <v>102</v>
      </c>
      <c r="F320" s="7">
        <v>46246.291666666664</v>
      </c>
      <c r="G320" s="3" t="s">
        <v>661</v>
      </c>
    </row>
    <row r="321">
      <c r="A321" s="3" t="s">
        <v>2238</v>
      </c>
      <c r="B321" s="3" t="s">
        <v>1082</v>
      </c>
      <c r="C321" s="3" t="s">
        <v>221</v>
      </c>
      <c r="D321" s="3" t="s">
        <v>195</v>
      </c>
      <c r="E321" s="3" t="s">
        <v>102</v>
      </c>
      <c r="F321" s="7">
        <v>46247.291666666664</v>
      </c>
      <c r="G321" s="3" t="s">
        <v>889</v>
      </c>
    </row>
    <row r="322">
      <c r="A322" s="3" t="s">
        <v>2240</v>
      </c>
      <c r="B322" s="3" t="s">
        <v>1085</v>
      </c>
      <c r="C322" s="9"/>
      <c r="D322" s="3" t="s">
        <v>221</v>
      </c>
      <c r="E322" s="3" t="s">
        <v>110</v>
      </c>
      <c r="F322" s="7">
        <v>46307.291666666664</v>
      </c>
      <c r="G322" s="3" t="s">
        <v>661</v>
      </c>
    </row>
    <row r="323">
      <c r="A323" s="3" t="s">
        <v>2242</v>
      </c>
      <c r="B323" s="3" t="s">
        <v>1085</v>
      </c>
      <c r="C323" s="3" t="s">
        <v>221</v>
      </c>
      <c r="D323" s="3" t="s">
        <v>614</v>
      </c>
      <c r="E323" s="3" t="s">
        <v>118</v>
      </c>
      <c r="F323" s="7">
        <v>46307.541666666664</v>
      </c>
      <c r="G323" s="3" t="s">
        <v>671</v>
      </c>
    </row>
    <row r="324">
      <c r="A324" s="3" t="s">
        <v>2245</v>
      </c>
      <c r="B324" s="3" t="s">
        <v>1085</v>
      </c>
      <c r="C324" s="3" t="s">
        <v>614</v>
      </c>
      <c r="D324" s="3" t="s">
        <v>206</v>
      </c>
      <c r="E324" s="3" t="s">
        <v>100</v>
      </c>
      <c r="F324" s="7">
        <v>46307.791666666664</v>
      </c>
      <c r="G324" s="3" t="s">
        <v>684</v>
      </c>
    </row>
    <row r="325">
      <c r="A325" s="3" t="s">
        <v>2247</v>
      </c>
      <c r="B325" s="3" t="s">
        <v>1089</v>
      </c>
      <c r="C325" s="9"/>
      <c r="D325" s="3" t="s">
        <v>221</v>
      </c>
      <c r="E325" s="3" t="s">
        <v>115</v>
      </c>
      <c r="F325" s="7">
        <v>46306.291666666664</v>
      </c>
      <c r="G325" s="3" t="s">
        <v>661</v>
      </c>
    </row>
    <row r="326">
      <c r="A326" s="3" t="s">
        <v>2249</v>
      </c>
      <c r="B326" s="3" t="s">
        <v>1093</v>
      </c>
      <c r="C326" s="5" t="s">
        <v>45</v>
      </c>
      <c r="D326" s="3" t="s">
        <v>221</v>
      </c>
      <c r="E326" s="3" t="s">
        <v>42</v>
      </c>
      <c r="F326" s="7">
        <v>45860.291666666664</v>
      </c>
      <c r="G326" s="3" t="s">
        <v>2251</v>
      </c>
    </row>
    <row r="327">
      <c r="A327" s="3" t="s">
        <v>2252</v>
      </c>
      <c r="B327" s="3" t="s">
        <v>1093</v>
      </c>
      <c r="C327" s="5" t="s">
        <v>221</v>
      </c>
      <c r="D327" s="3" t="s">
        <v>614</v>
      </c>
      <c r="E327" s="3" t="s">
        <v>118</v>
      </c>
      <c r="F327" s="7">
        <v>45860.33333333333</v>
      </c>
      <c r="G327" s="3" t="s">
        <v>2251</v>
      </c>
    </row>
    <row r="328">
      <c r="A328" s="3" t="s">
        <v>2254</v>
      </c>
      <c r="B328" s="3" t="s">
        <v>1093</v>
      </c>
      <c r="C328" s="5" t="s">
        <v>614</v>
      </c>
      <c r="D328" s="3" t="s">
        <v>206</v>
      </c>
      <c r="E328" s="3" t="s">
        <v>100</v>
      </c>
      <c r="F328" s="7">
        <v>45860.375</v>
      </c>
      <c r="G328" s="3" t="s">
        <v>2251</v>
      </c>
    </row>
    <row r="329">
      <c r="A329" s="3" t="s">
        <v>2256</v>
      </c>
      <c r="B329" s="3" t="s">
        <v>1093</v>
      </c>
      <c r="C329" s="5" t="s">
        <v>206</v>
      </c>
      <c r="D329" s="3" t="s">
        <v>68</v>
      </c>
      <c r="E329" s="3" t="s">
        <v>100</v>
      </c>
      <c r="F329" s="7">
        <v>45860.416666666664</v>
      </c>
      <c r="G329" s="3" t="s">
        <v>2258</v>
      </c>
    </row>
    <row r="330">
      <c r="A330" s="3" t="s">
        <v>2259</v>
      </c>
      <c r="B330" s="3" t="s">
        <v>1097</v>
      </c>
      <c r="C330" s="5" t="s">
        <v>45</v>
      </c>
      <c r="D330" s="3" t="s">
        <v>221</v>
      </c>
      <c r="E330" s="3" t="s">
        <v>42</v>
      </c>
      <c r="F330" s="7">
        <v>45960.291666666664</v>
      </c>
      <c r="G330" s="3" t="s">
        <v>2261</v>
      </c>
    </row>
    <row r="331">
      <c r="A331" s="3" t="s">
        <v>2262</v>
      </c>
      <c r="B331" s="3" t="s">
        <v>1097</v>
      </c>
      <c r="C331" s="5" t="s">
        <v>221</v>
      </c>
      <c r="D331" s="3" t="s">
        <v>614</v>
      </c>
      <c r="E331" s="3" t="s">
        <v>118</v>
      </c>
      <c r="F331" s="7">
        <v>45960.33333333333</v>
      </c>
      <c r="G331" s="3" t="s">
        <v>2261</v>
      </c>
    </row>
    <row r="332">
      <c r="A332" s="3" t="s">
        <v>2264</v>
      </c>
      <c r="B332" s="3" t="s">
        <v>1097</v>
      </c>
      <c r="C332" s="5" t="s">
        <v>614</v>
      </c>
      <c r="D332" s="3" t="s">
        <v>206</v>
      </c>
      <c r="E332" s="3" t="s">
        <v>100</v>
      </c>
      <c r="F332" s="7">
        <v>45960.375</v>
      </c>
      <c r="G332" s="3" t="s">
        <v>2261</v>
      </c>
    </row>
    <row r="333">
      <c r="A333" s="3" t="s">
        <v>2266</v>
      </c>
      <c r="B333" s="3" t="s">
        <v>1097</v>
      </c>
      <c r="C333" s="5" t="s">
        <v>206</v>
      </c>
      <c r="D333" s="3" t="s">
        <v>68</v>
      </c>
      <c r="E333" s="3" t="s">
        <v>100</v>
      </c>
      <c r="F333" s="7">
        <v>45960.416666666664</v>
      </c>
      <c r="G333" s="3" t="s">
        <v>2267</v>
      </c>
    </row>
    <row r="334">
      <c r="A334" s="3" t="s">
        <v>2268</v>
      </c>
      <c r="B334" s="3" t="s">
        <v>1101</v>
      </c>
      <c r="C334" s="5" t="s">
        <v>45</v>
      </c>
      <c r="D334" s="3" t="s">
        <v>221</v>
      </c>
      <c r="E334" s="3" t="s">
        <v>42</v>
      </c>
      <c r="F334" s="7">
        <v>46060.291666666664</v>
      </c>
      <c r="G334" s="3" t="s">
        <v>2270</v>
      </c>
    </row>
    <row r="335">
      <c r="A335" s="3" t="s">
        <v>2272</v>
      </c>
      <c r="B335" s="3" t="s">
        <v>1101</v>
      </c>
      <c r="C335" s="5" t="s">
        <v>221</v>
      </c>
      <c r="D335" s="3" t="s">
        <v>614</v>
      </c>
      <c r="E335" s="3" t="s">
        <v>118</v>
      </c>
      <c r="F335" s="7">
        <v>46060.33333333333</v>
      </c>
      <c r="G335" s="3" t="s">
        <v>2270</v>
      </c>
    </row>
    <row r="336">
      <c r="A336" s="3" t="s">
        <v>2275</v>
      </c>
      <c r="B336" s="3" t="s">
        <v>1101</v>
      </c>
      <c r="C336" s="5" t="s">
        <v>614</v>
      </c>
      <c r="D336" s="3" t="s">
        <v>206</v>
      </c>
      <c r="E336" s="3" t="s">
        <v>100</v>
      </c>
      <c r="F336" s="7">
        <v>46060.375</v>
      </c>
      <c r="G336" s="3" t="s">
        <v>2270</v>
      </c>
    </row>
    <row r="337">
      <c r="A337" s="3" t="s">
        <v>2277</v>
      </c>
      <c r="B337" s="3" t="s">
        <v>1101</v>
      </c>
      <c r="C337" s="5" t="s">
        <v>206</v>
      </c>
      <c r="D337" s="3" t="s">
        <v>68</v>
      </c>
      <c r="E337" s="3" t="s">
        <v>100</v>
      </c>
      <c r="F337" s="7">
        <v>46060.416666666664</v>
      </c>
      <c r="G337" s="3" t="s">
        <v>2279</v>
      </c>
    </row>
    <row r="338">
      <c r="A338" s="3" t="s">
        <v>2280</v>
      </c>
      <c r="B338" s="3" t="s">
        <v>1105</v>
      </c>
      <c r="C338" s="5" t="s">
        <v>45</v>
      </c>
      <c r="D338" s="3" t="s">
        <v>221</v>
      </c>
      <c r="E338" s="3" t="s">
        <v>42</v>
      </c>
      <c r="F338" s="7">
        <v>46160.291666666664</v>
      </c>
      <c r="G338" s="3" t="s">
        <v>2282</v>
      </c>
    </row>
    <row r="339">
      <c r="A339" s="3" t="s">
        <v>2283</v>
      </c>
      <c r="B339" s="3" t="s">
        <v>1105</v>
      </c>
      <c r="C339" s="5" t="s">
        <v>221</v>
      </c>
      <c r="D339" s="3" t="s">
        <v>614</v>
      </c>
      <c r="E339" s="3" t="s">
        <v>118</v>
      </c>
      <c r="F339" s="7">
        <v>46160.33333333333</v>
      </c>
      <c r="G339" s="3" t="s">
        <v>2282</v>
      </c>
    </row>
    <row r="340">
      <c r="A340" s="3" t="s">
        <v>2285</v>
      </c>
      <c r="B340" s="3" t="s">
        <v>1105</v>
      </c>
      <c r="C340" s="5" t="s">
        <v>614</v>
      </c>
      <c r="D340" s="3" t="s">
        <v>206</v>
      </c>
      <c r="E340" s="3" t="s">
        <v>100</v>
      </c>
      <c r="F340" s="7">
        <v>46160.375</v>
      </c>
      <c r="G340" s="3" t="s">
        <v>2282</v>
      </c>
    </row>
    <row r="341">
      <c r="A341" s="3" t="s">
        <v>2286</v>
      </c>
      <c r="B341" s="3" t="s">
        <v>1105</v>
      </c>
      <c r="C341" s="5" t="s">
        <v>206</v>
      </c>
      <c r="D341" s="3" t="s">
        <v>68</v>
      </c>
      <c r="E341" s="3" t="s">
        <v>100</v>
      </c>
      <c r="F341" s="7">
        <v>46160.416666666664</v>
      </c>
      <c r="G341" s="3" t="s">
        <v>2288</v>
      </c>
    </row>
    <row r="342">
      <c r="A342" s="3" t="s">
        <v>2290</v>
      </c>
      <c r="B342" s="3" t="s">
        <v>1109</v>
      </c>
      <c r="C342" s="5" t="s">
        <v>45</v>
      </c>
      <c r="D342" s="3" t="s">
        <v>221</v>
      </c>
      <c r="E342" s="3" t="s">
        <v>46</v>
      </c>
      <c r="F342" s="7">
        <v>45865.291666666664</v>
      </c>
      <c r="G342" s="3" t="s">
        <v>2291</v>
      </c>
    </row>
    <row r="343">
      <c r="A343" s="3" t="s">
        <v>2292</v>
      </c>
      <c r="B343" s="3" t="s">
        <v>1109</v>
      </c>
      <c r="C343" s="5" t="s">
        <v>221</v>
      </c>
      <c r="D343" s="3" t="s">
        <v>614</v>
      </c>
      <c r="E343" s="3" t="s">
        <v>118</v>
      </c>
      <c r="F343" s="7">
        <v>45865.33333333333</v>
      </c>
      <c r="G343" s="3" t="s">
        <v>2291</v>
      </c>
    </row>
    <row r="344">
      <c r="A344" s="3" t="s">
        <v>2294</v>
      </c>
      <c r="B344" s="3" t="s">
        <v>1109</v>
      </c>
      <c r="C344" s="5" t="s">
        <v>614</v>
      </c>
      <c r="D344" s="3" t="s">
        <v>206</v>
      </c>
      <c r="E344" s="3" t="s">
        <v>100</v>
      </c>
      <c r="F344" s="7">
        <v>45865.375</v>
      </c>
      <c r="G344" s="3" t="s">
        <v>2291</v>
      </c>
    </row>
    <row r="345">
      <c r="A345" s="3" t="s">
        <v>2296</v>
      </c>
      <c r="B345" s="3" t="s">
        <v>1109</v>
      </c>
      <c r="C345" s="5" t="s">
        <v>206</v>
      </c>
      <c r="D345" s="3" t="s">
        <v>68</v>
      </c>
      <c r="E345" s="3" t="s">
        <v>100</v>
      </c>
      <c r="F345" s="7">
        <v>45865.416666666664</v>
      </c>
      <c r="G345" s="3" t="s">
        <v>2298</v>
      </c>
    </row>
    <row r="346">
      <c r="A346" s="3" t="s">
        <v>2299</v>
      </c>
      <c r="B346" s="3" t="s">
        <v>1112</v>
      </c>
      <c r="C346" s="5" t="s">
        <v>45</v>
      </c>
      <c r="D346" s="3" t="s">
        <v>221</v>
      </c>
      <c r="E346" s="3" t="s">
        <v>46</v>
      </c>
      <c r="F346" s="7">
        <v>45965.291666666664</v>
      </c>
      <c r="G346" s="3" t="s">
        <v>2301</v>
      </c>
    </row>
    <row r="347">
      <c r="A347" s="3" t="s">
        <v>2302</v>
      </c>
      <c r="B347" s="3" t="s">
        <v>1112</v>
      </c>
      <c r="C347" s="5" t="s">
        <v>221</v>
      </c>
      <c r="D347" s="3" t="s">
        <v>614</v>
      </c>
      <c r="E347" s="3" t="s">
        <v>118</v>
      </c>
      <c r="F347" s="7">
        <v>45965.33333333333</v>
      </c>
      <c r="G347" s="3" t="s">
        <v>2301</v>
      </c>
    </row>
    <row r="348">
      <c r="A348" s="3" t="s">
        <v>2304</v>
      </c>
      <c r="B348" s="3" t="s">
        <v>1112</v>
      </c>
      <c r="C348" s="5" t="s">
        <v>614</v>
      </c>
      <c r="D348" s="3" t="s">
        <v>206</v>
      </c>
      <c r="E348" s="3" t="s">
        <v>100</v>
      </c>
      <c r="F348" s="7">
        <v>45965.375</v>
      </c>
      <c r="G348" s="3" t="s">
        <v>2301</v>
      </c>
    </row>
    <row r="349">
      <c r="A349" s="3" t="s">
        <v>2306</v>
      </c>
      <c r="B349" s="3" t="s">
        <v>1112</v>
      </c>
      <c r="C349" s="5" t="s">
        <v>206</v>
      </c>
      <c r="D349" s="3" t="s">
        <v>68</v>
      </c>
      <c r="E349" s="3" t="s">
        <v>100</v>
      </c>
      <c r="F349" s="7">
        <v>45965.416666666664</v>
      </c>
      <c r="G349" s="3" t="s">
        <v>2308</v>
      </c>
    </row>
    <row r="350">
      <c r="A350" s="3" t="s">
        <v>2309</v>
      </c>
      <c r="B350" s="3" t="s">
        <v>1116</v>
      </c>
      <c r="C350" s="5" t="s">
        <v>45</v>
      </c>
      <c r="D350" s="3" t="s">
        <v>221</v>
      </c>
      <c r="E350" s="3" t="s">
        <v>46</v>
      </c>
      <c r="F350" s="7">
        <v>46065.291666666664</v>
      </c>
      <c r="G350" s="3" t="s">
        <v>2311</v>
      </c>
    </row>
    <row r="351">
      <c r="A351" s="3" t="s">
        <v>2312</v>
      </c>
      <c r="B351" s="3" t="s">
        <v>1116</v>
      </c>
      <c r="C351" s="5" t="s">
        <v>221</v>
      </c>
      <c r="D351" s="3" t="s">
        <v>614</v>
      </c>
      <c r="E351" s="3" t="s">
        <v>118</v>
      </c>
      <c r="F351" s="7">
        <v>46065.33333333333</v>
      </c>
      <c r="G351" s="3" t="s">
        <v>2311</v>
      </c>
    </row>
    <row r="352">
      <c r="A352" s="3" t="s">
        <v>2314</v>
      </c>
      <c r="B352" s="3" t="s">
        <v>1116</v>
      </c>
      <c r="C352" s="5" t="s">
        <v>614</v>
      </c>
      <c r="D352" s="3" t="s">
        <v>206</v>
      </c>
      <c r="E352" s="3" t="s">
        <v>100</v>
      </c>
      <c r="F352" s="7">
        <v>46065.375</v>
      </c>
      <c r="G352" s="3" t="s">
        <v>2311</v>
      </c>
    </row>
    <row r="353">
      <c r="A353" s="3" t="s">
        <v>2316</v>
      </c>
      <c r="B353" s="3" t="s">
        <v>1116</v>
      </c>
      <c r="C353" s="5" t="s">
        <v>206</v>
      </c>
      <c r="D353" s="3" t="s">
        <v>68</v>
      </c>
      <c r="E353" s="3" t="s">
        <v>100</v>
      </c>
      <c r="F353" s="7">
        <v>46065.416666666664</v>
      </c>
      <c r="G353" s="3" t="s">
        <v>2317</v>
      </c>
    </row>
    <row r="354">
      <c r="A354" s="3" t="s">
        <v>2319</v>
      </c>
      <c r="B354" s="3" t="s">
        <v>1120</v>
      </c>
      <c r="C354" s="5" t="s">
        <v>45</v>
      </c>
      <c r="D354" s="3" t="s">
        <v>221</v>
      </c>
      <c r="E354" s="3" t="s">
        <v>46</v>
      </c>
      <c r="F354" s="7">
        <v>46165.291666666664</v>
      </c>
      <c r="G354" s="3" t="s">
        <v>2321</v>
      </c>
    </row>
    <row r="355">
      <c r="A355" s="3" t="s">
        <v>2322</v>
      </c>
      <c r="B355" s="3" t="s">
        <v>1120</v>
      </c>
      <c r="C355" s="5" t="s">
        <v>221</v>
      </c>
      <c r="D355" s="3" t="s">
        <v>614</v>
      </c>
      <c r="E355" s="3" t="s">
        <v>118</v>
      </c>
      <c r="F355" s="7">
        <v>46165.33333333333</v>
      </c>
      <c r="G355" s="3" t="s">
        <v>2321</v>
      </c>
    </row>
    <row r="356">
      <c r="A356" s="3" t="s">
        <v>2325</v>
      </c>
      <c r="B356" s="3" t="s">
        <v>1120</v>
      </c>
      <c r="C356" s="5" t="s">
        <v>614</v>
      </c>
      <c r="D356" s="3" t="s">
        <v>206</v>
      </c>
      <c r="E356" s="3" t="s">
        <v>100</v>
      </c>
      <c r="F356" s="7">
        <v>46165.375</v>
      </c>
      <c r="G356" s="3" t="s">
        <v>2321</v>
      </c>
    </row>
    <row r="357">
      <c r="A357" s="3" t="s">
        <v>2328</v>
      </c>
      <c r="B357" s="3" t="s">
        <v>1120</v>
      </c>
      <c r="C357" s="5" t="s">
        <v>206</v>
      </c>
      <c r="D357" s="3" t="s">
        <v>68</v>
      </c>
      <c r="E357" s="3" t="s">
        <v>100</v>
      </c>
      <c r="F357" s="7">
        <v>46165.416666666664</v>
      </c>
      <c r="G357" s="3" t="s">
        <v>2329</v>
      </c>
    </row>
    <row r="358">
      <c r="A358" s="3" t="s">
        <v>2330</v>
      </c>
      <c r="B358" s="3" t="s">
        <v>1123</v>
      </c>
      <c r="C358" s="5" t="s">
        <v>45</v>
      </c>
      <c r="D358" s="3" t="s">
        <v>221</v>
      </c>
      <c r="E358" s="3" t="s">
        <v>50</v>
      </c>
      <c r="F358" s="7">
        <v>45870.291666666664</v>
      </c>
      <c r="G358" s="3" t="s">
        <v>2332</v>
      </c>
    </row>
    <row r="359">
      <c r="A359" s="3" t="s">
        <v>2333</v>
      </c>
      <c r="B359" s="3" t="s">
        <v>1123</v>
      </c>
      <c r="C359" s="5" t="s">
        <v>221</v>
      </c>
      <c r="D359" s="3" t="s">
        <v>614</v>
      </c>
      <c r="E359" s="3" t="s">
        <v>118</v>
      </c>
      <c r="F359" s="7">
        <v>45870.33333333333</v>
      </c>
      <c r="G359" s="3" t="s">
        <v>2332</v>
      </c>
    </row>
    <row r="360">
      <c r="A360" s="3" t="s">
        <v>2335</v>
      </c>
      <c r="B360" s="3" t="s">
        <v>1123</v>
      </c>
      <c r="C360" s="5" t="s">
        <v>614</v>
      </c>
      <c r="D360" s="3" t="s">
        <v>206</v>
      </c>
      <c r="E360" s="3" t="s">
        <v>100</v>
      </c>
      <c r="F360" s="7">
        <v>45870.375</v>
      </c>
      <c r="G360" s="3" t="s">
        <v>2332</v>
      </c>
    </row>
    <row r="361">
      <c r="A361" s="3" t="s">
        <v>2337</v>
      </c>
      <c r="B361" s="3" t="s">
        <v>1123</v>
      </c>
      <c r="C361" s="5" t="s">
        <v>206</v>
      </c>
      <c r="D361" s="3" t="s">
        <v>68</v>
      </c>
      <c r="E361" s="3" t="s">
        <v>100</v>
      </c>
      <c r="F361" s="7">
        <v>45870.416666666664</v>
      </c>
      <c r="G361" s="3" t="s">
        <v>2338</v>
      </c>
    </row>
    <row r="362">
      <c r="A362" s="3" t="s">
        <v>2339</v>
      </c>
      <c r="B362" s="3" t="s">
        <v>1126</v>
      </c>
      <c r="C362" s="5" t="s">
        <v>45</v>
      </c>
      <c r="D362" s="3" t="s">
        <v>221</v>
      </c>
      <c r="E362" s="3" t="s">
        <v>50</v>
      </c>
      <c r="F362" s="7">
        <v>45970.291666666664</v>
      </c>
      <c r="G362" s="3" t="s">
        <v>2341</v>
      </c>
    </row>
    <row r="363">
      <c r="A363" s="3" t="s">
        <v>2342</v>
      </c>
      <c r="B363" s="3" t="s">
        <v>1126</v>
      </c>
      <c r="C363" s="5" t="s">
        <v>221</v>
      </c>
      <c r="D363" s="3" t="s">
        <v>614</v>
      </c>
      <c r="E363" s="3" t="s">
        <v>118</v>
      </c>
      <c r="F363" s="7">
        <v>45970.33333333333</v>
      </c>
      <c r="G363" s="3" t="s">
        <v>2341</v>
      </c>
    </row>
    <row r="364">
      <c r="A364" s="3" t="s">
        <v>2344</v>
      </c>
      <c r="B364" s="3" t="s">
        <v>1126</v>
      </c>
      <c r="C364" s="5" t="s">
        <v>614</v>
      </c>
      <c r="D364" s="3" t="s">
        <v>206</v>
      </c>
      <c r="E364" s="3" t="s">
        <v>100</v>
      </c>
      <c r="F364" s="7">
        <v>45970.375</v>
      </c>
      <c r="G364" s="3" t="s">
        <v>2341</v>
      </c>
    </row>
    <row r="365">
      <c r="A365" s="3" t="s">
        <v>2346</v>
      </c>
      <c r="B365" s="3" t="s">
        <v>1126</v>
      </c>
      <c r="C365" s="5" t="s">
        <v>206</v>
      </c>
      <c r="D365" s="3" t="s">
        <v>68</v>
      </c>
      <c r="E365" s="3" t="s">
        <v>100</v>
      </c>
      <c r="F365" s="7">
        <v>45970.416666666664</v>
      </c>
      <c r="G365" s="3" t="s">
        <v>2350</v>
      </c>
    </row>
    <row r="366">
      <c r="A366" s="3" t="s">
        <v>2351</v>
      </c>
      <c r="B366" s="3" t="s">
        <v>1130</v>
      </c>
      <c r="C366" s="5" t="s">
        <v>45</v>
      </c>
      <c r="D366" s="3" t="s">
        <v>221</v>
      </c>
      <c r="E366" s="3" t="s">
        <v>50</v>
      </c>
      <c r="F366" s="7">
        <v>46070.291666666664</v>
      </c>
      <c r="G366" s="3" t="s">
        <v>2353</v>
      </c>
    </row>
    <row r="367">
      <c r="A367" s="3" t="s">
        <v>2354</v>
      </c>
      <c r="B367" s="3" t="s">
        <v>1130</v>
      </c>
      <c r="C367" s="5" t="s">
        <v>221</v>
      </c>
      <c r="D367" s="3" t="s">
        <v>614</v>
      </c>
      <c r="E367" s="3" t="s">
        <v>118</v>
      </c>
      <c r="F367" s="7">
        <v>46070.33333333333</v>
      </c>
      <c r="G367" s="3" t="s">
        <v>2353</v>
      </c>
    </row>
    <row r="368">
      <c r="A368" s="3" t="s">
        <v>2356</v>
      </c>
      <c r="B368" s="3" t="s">
        <v>1130</v>
      </c>
      <c r="C368" s="5" t="s">
        <v>614</v>
      </c>
      <c r="D368" s="3" t="s">
        <v>206</v>
      </c>
      <c r="E368" s="3" t="s">
        <v>100</v>
      </c>
      <c r="F368" s="7">
        <v>46070.375</v>
      </c>
      <c r="G368" s="3" t="s">
        <v>2353</v>
      </c>
    </row>
    <row r="369">
      <c r="A369" s="3" t="s">
        <v>2359</v>
      </c>
      <c r="B369" s="3" t="s">
        <v>1130</v>
      </c>
      <c r="C369" s="5" t="s">
        <v>206</v>
      </c>
      <c r="D369" s="3" t="s">
        <v>68</v>
      </c>
      <c r="E369" s="3" t="s">
        <v>100</v>
      </c>
      <c r="F369" s="7">
        <v>46070.416666666664</v>
      </c>
      <c r="G369" s="3" t="s">
        <v>2362</v>
      </c>
    </row>
    <row r="370">
      <c r="A370" s="3" t="s">
        <v>2364</v>
      </c>
      <c r="B370" s="3" t="s">
        <v>1134</v>
      </c>
      <c r="C370" s="5" t="s">
        <v>45</v>
      </c>
      <c r="D370" s="3" t="s">
        <v>221</v>
      </c>
      <c r="E370" s="3" t="s">
        <v>50</v>
      </c>
      <c r="F370" s="7">
        <v>46170.291666666664</v>
      </c>
      <c r="G370" s="3" t="s">
        <v>2367</v>
      </c>
    </row>
    <row r="371">
      <c r="A371" s="3" t="s">
        <v>2369</v>
      </c>
      <c r="B371" s="3" t="s">
        <v>1134</v>
      </c>
      <c r="C371" s="5" t="s">
        <v>221</v>
      </c>
      <c r="D371" s="3" t="s">
        <v>614</v>
      </c>
      <c r="E371" s="3" t="s">
        <v>118</v>
      </c>
      <c r="F371" s="7">
        <v>46170.33333333333</v>
      </c>
      <c r="G371" s="3" t="s">
        <v>2367</v>
      </c>
    </row>
    <row r="372">
      <c r="A372" s="3" t="s">
        <v>2371</v>
      </c>
      <c r="B372" s="3" t="s">
        <v>1134</v>
      </c>
      <c r="C372" s="5" t="s">
        <v>614</v>
      </c>
      <c r="D372" s="3" t="s">
        <v>206</v>
      </c>
      <c r="E372" s="3" t="s">
        <v>100</v>
      </c>
      <c r="F372" s="7">
        <v>46170.375</v>
      </c>
      <c r="G372" s="3" t="s">
        <v>2367</v>
      </c>
    </row>
    <row r="373">
      <c r="A373" s="3" t="s">
        <v>2373</v>
      </c>
      <c r="B373" s="3" t="s">
        <v>1134</v>
      </c>
      <c r="C373" s="5" t="s">
        <v>206</v>
      </c>
      <c r="D373" s="3" t="s">
        <v>68</v>
      </c>
      <c r="E373" s="3" t="s">
        <v>100</v>
      </c>
      <c r="F373" s="7">
        <v>46170.416666666664</v>
      </c>
      <c r="G373" s="3" t="s">
        <v>2376</v>
      </c>
    </row>
    <row r="374">
      <c r="A374" s="3" t="s">
        <v>2380</v>
      </c>
      <c r="B374" s="3" t="s">
        <v>1137</v>
      </c>
      <c r="C374" s="5" t="s">
        <v>45</v>
      </c>
      <c r="D374" s="3" t="s">
        <v>221</v>
      </c>
      <c r="E374" s="3" t="s">
        <v>54</v>
      </c>
      <c r="F374" s="7">
        <v>45875.291666666664</v>
      </c>
      <c r="G374" s="3" t="s">
        <v>2382</v>
      </c>
    </row>
    <row r="375">
      <c r="A375" s="3" t="s">
        <v>2383</v>
      </c>
      <c r="B375" s="3" t="s">
        <v>1137</v>
      </c>
      <c r="C375" s="5" t="s">
        <v>221</v>
      </c>
      <c r="D375" s="3" t="s">
        <v>614</v>
      </c>
      <c r="E375" s="3" t="s">
        <v>118</v>
      </c>
      <c r="F375" s="7">
        <v>45875.33333333333</v>
      </c>
      <c r="G375" s="3" t="s">
        <v>2382</v>
      </c>
    </row>
    <row r="376">
      <c r="A376" s="3" t="s">
        <v>2385</v>
      </c>
      <c r="B376" s="3" t="s">
        <v>1137</v>
      </c>
      <c r="C376" s="5" t="s">
        <v>614</v>
      </c>
      <c r="D376" s="3" t="s">
        <v>206</v>
      </c>
      <c r="E376" s="3" t="s">
        <v>100</v>
      </c>
      <c r="F376" s="7">
        <v>45875.375</v>
      </c>
      <c r="G376" s="3" t="s">
        <v>2382</v>
      </c>
    </row>
    <row r="377">
      <c r="A377" s="3" t="s">
        <v>2388</v>
      </c>
      <c r="B377" s="3" t="s">
        <v>1137</v>
      </c>
      <c r="C377" s="5" t="s">
        <v>206</v>
      </c>
      <c r="D377" s="3" t="s">
        <v>68</v>
      </c>
      <c r="E377" s="3" t="s">
        <v>100</v>
      </c>
      <c r="F377" s="7">
        <v>45875.416666666664</v>
      </c>
      <c r="G377" s="3" t="s">
        <v>2389</v>
      </c>
    </row>
    <row r="378">
      <c r="A378" s="3" t="s">
        <v>2391</v>
      </c>
      <c r="B378" s="3" t="s">
        <v>1139</v>
      </c>
      <c r="C378" s="5" t="s">
        <v>45</v>
      </c>
      <c r="D378" s="3" t="s">
        <v>221</v>
      </c>
      <c r="E378" s="3" t="s">
        <v>54</v>
      </c>
      <c r="F378" s="7">
        <v>45975.291666666664</v>
      </c>
      <c r="G378" s="3" t="s">
        <v>2392</v>
      </c>
    </row>
    <row r="379">
      <c r="A379" s="3" t="s">
        <v>2394</v>
      </c>
      <c r="B379" s="3" t="s">
        <v>1139</v>
      </c>
      <c r="C379" s="5" t="s">
        <v>221</v>
      </c>
      <c r="D379" s="3" t="s">
        <v>614</v>
      </c>
      <c r="E379" s="3" t="s">
        <v>118</v>
      </c>
      <c r="F379" s="7">
        <v>45975.33333333333</v>
      </c>
      <c r="G379" s="3" t="s">
        <v>2392</v>
      </c>
    </row>
    <row r="380">
      <c r="A380" s="3" t="s">
        <v>2395</v>
      </c>
      <c r="B380" s="3" t="s">
        <v>1139</v>
      </c>
      <c r="C380" s="5" t="s">
        <v>614</v>
      </c>
      <c r="D380" s="3" t="s">
        <v>206</v>
      </c>
      <c r="E380" s="3" t="s">
        <v>100</v>
      </c>
      <c r="F380" s="7">
        <v>45975.375</v>
      </c>
      <c r="G380" s="3" t="s">
        <v>2392</v>
      </c>
    </row>
    <row r="381">
      <c r="A381" s="3" t="s">
        <v>2397</v>
      </c>
      <c r="B381" s="3" t="s">
        <v>1139</v>
      </c>
      <c r="C381" s="5" t="s">
        <v>206</v>
      </c>
      <c r="D381" s="3" t="s">
        <v>68</v>
      </c>
      <c r="E381" s="3" t="s">
        <v>100</v>
      </c>
      <c r="F381" s="7">
        <v>45975.416666666664</v>
      </c>
      <c r="G381" s="3" t="s">
        <v>2399</v>
      </c>
    </row>
    <row r="382">
      <c r="A382" s="3" t="s">
        <v>2400</v>
      </c>
      <c r="B382" s="3" t="s">
        <v>1142</v>
      </c>
      <c r="C382" s="5" t="s">
        <v>45</v>
      </c>
      <c r="D382" s="3" t="s">
        <v>221</v>
      </c>
      <c r="E382" s="3" t="s">
        <v>54</v>
      </c>
      <c r="F382" s="7">
        <v>46075.291666666664</v>
      </c>
      <c r="G382" s="3" t="s">
        <v>2402</v>
      </c>
    </row>
    <row r="383">
      <c r="A383" s="3" t="s">
        <v>2403</v>
      </c>
      <c r="B383" s="3" t="s">
        <v>1142</v>
      </c>
      <c r="C383" s="5" t="s">
        <v>221</v>
      </c>
      <c r="D383" s="3" t="s">
        <v>614</v>
      </c>
      <c r="E383" s="3" t="s">
        <v>118</v>
      </c>
      <c r="F383" s="7">
        <v>46075.33333333333</v>
      </c>
      <c r="G383" s="3" t="s">
        <v>2402</v>
      </c>
    </row>
    <row r="384">
      <c r="A384" s="3" t="s">
        <v>2405</v>
      </c>
      <c r="B384" s="3" t="s">
        <v>1142</v>
      </c>
      <c r="C384" s="5" t="s">
        <v>614</v>
      </c>
      <c r="D384" s="3" t="s">
        <v>206</v>
      </c>
      <c r="E384" s="3" t="s">
        <v>100</v>
      </c>
      <c r="F384" s="7">
        <v>46075.375</v>
      </c>
      <c r="G384" s="3" t="s">
        <v>2402</v>
      </c>
    </row>
    <row r="385">
      <c r="A385" s="3" t="s">
        <v>2407</v>
      </c>
      <c r="B385" s="3" t="s">
        <v>1142</v>
      </c>
      <c r="C385" s="5" t="s">
        <v>206</v>
      </c>
      <c r="D385" s="3" t="s">
        <v>68</v>
      </c>
      <c r="E385" s="3" t="s">
        <v>100</v>
      </c>
      <c r="F385" s="7">
        <v>46075.416666666664</v>
      </c>
      <c r="G385" s="3" t="s">
        <v>2408</v>
      </c>
    </row>
    <row r="386">
      <c r="A386" s="3" t="s">
        <v>2410</v>
      </c>
      <c r="B386" s="3" t="s">
        <v>1144</v>
      </c>
      <c r="C386" s="5" t="s">
        <v>45</v>
      </c>
      <c r="D386" s="3" t="s">
        <v>221</v>
      </c>
      <c r="E386" s="3" t="s">
        <v>54</v>
      </c>
      <c r="F386" s="7">
        <v>46175.291666666664</v>
      </c>
      <c r="G386" s="3" t="s">
        <v>2411</v>
      </c>
    </row>
    <row r="387">
      <c r="A387" s="3" t="s">
        <v>2413</v>
      </c>
      <c r="B387" s="3" t="s">
        <v>1144</v>
      </c>
      <c r="C387" s="5" t="s">
        <v>221</v>
      </c>
      <c r="D387" s="3" t="s">
        <v>614</v>
      </c>
      <c r="E387" s="3" t="s">
        <v>118</v>
      </c>
      <c r="F387" s="7">
        <v>46175.33333333333</v>
      </c>
      <c r="G387" s="3" t="s">
        <v>2411</v>
      </c>
    </row>
    <row r="388">
      <c r="A388" s="3" t="s">
        <v>2415</v>
      </c>
      <c r="B388" s="3" t="s">
        <v>1144</v>
      </c>
      <c r="C388" s="5" t="s">
        <v>614</v>
      </c>
      <c r="D388" s="3" t="s">
        <v>206</v>
      </c>
      <c r="E388" s="3" t="s">
        <v>100</v>
      </c>
      <c r="F388" s="7">
        <v>46175.375</v>
      </c>
      <c r="G388" s="3" t="s">
        <v>2411</v>
      </c>
    </row>
    <row r="389">
      <c r="A389" s="3" t="s">
        <v>2416</v>
      </c>
      <c r="B389" s="3" t="s">
        <v>1144</v>
      </c>
      <c r="C389" s="5" t="s">
        <v>206</v>
      </c>
      <c r="D389" s="3" t="s">
        <v>68</v>
      </c>
      <c r="E389" s="3" t="s">
        <v>100</v>
      </c>
      <c r="F389" s="7">
        <v>46175.416666666664</v>
      </c>
      <c r="G389" s="3" t="s">
        <v>2418</v>
      </c>
    </row>
    <row r="390">
      <c r="A390" s="3" t="s">
        <v>2419</v>
      </c>
      <c r="B390" s="3" t="s">
        <v>1147</v>
      </c>
      <c r="C390" s="5" t="s">
        <v>45</v>
      </c>
      <c r="D390" s="3" t="s">
        <v>221</v>
      </c>
      <c r="E390" s="3" t="s">
        <v>59</v>
      </c>
      <c r="F390" s="7">
        <v>45880.291666666664</v>
      </c>
      <c r="G390" s="3" t="s">
        <v>2421</v>
      </c>
    </row>
    <row r="391">
      <c r="A391" s="3" t="s">
        <v>2422</v>
      </c>
      <c r="B391" s="3" t="s">
        <v>1147</v>
      </c>
      <c r="C391" s="5" t="s">
        <v>221</v>
      </c>
      <c r="D391" s="3" t="s">
        <v>614</v>
      </c>
      <c r="E391" s="3" t="s">
        <v>118</v>
      </c>
      <c r="F391" s="7">
        <v>45880.33333333333</v>
      </c>
      <c r="G391" s="3" t="s">
        <v>2421</v>
      </c>
    </row>
    <row r="392">
      <c r="A392" s="3" t="s">
        <v>2424</v>
      </c>
      <c r="B392" s="3" t="s">
        <v>1147</v>
      </c>
      <c r="C392" s="5" t="s">
        <v>614</v>
      </c>
      <c r="D392" s="3" t="s">
        <v>206</v>
      </c>
      <c r="E392" s="3" t="s">
        <v>100</v>
      </c>
      <c r="F392" s="7">
        <v>45880.375</v>
      </c>
      <c r="G392" s="3" t="s">
        <v>2421</v>
      </c>
    </row>
    <row r="393">
      <c r="A393" s="3" t="s">
        <v>2427</v>
      </c>
      <c r="B393" s="3" t="s">
        <v>1147</v>
      </c>
      <c r="C393" s="5" t="s">
        <v>206</v>
      </c>
      <c r="D393" s="3" t="s">
        <v>68</v>
      </c>
      <c r="E393" s="3" t="s">
        <v>100</v>
      </c>
      <c r="F393" s="7">
        <v>45880.416666666664</v>
      </c>
      <c r="G393" s="3" t="s">
        <v>2428</v>
      </c>
    </row>
    <row r="394">
      <c r="A394" s="3" t="s">
        <v>2429</v>
      </c>
      <c r="B394" s="3" t="s">
        <v>1150</v>
      </c>
      <c r="C394" s="5" t="s">
        <v>45</v>
      </c>
      <c r="D394" s="3" t="s">
        <v>221</v>
      </c>
      <c r="E394" s="3" t="s">
        <v>59</v>
      </c>
      <c r="F394" s="7">
        <v>45980.291666666664</v>
      </c>
      <c r="G394" s="3" t="s">
        <v>2431</v>
      </c>
    </row>
    <row r="395">
      <c r="A395" s="3" t="s">
        <v>2432</v>
      </c>
      <c r="B395" s="3" t="s">
        <v>1150</v>
      </c>
      <c r="C395" s="5" t="s">
        <v>221</v>
      </c>
      <c r="D395" s="3" t="s">
        <v>614</v>
      </c>
      <c r="E395" s="3" t="s">
        <v>118</v>
      </c>
      <c r="F395" s="7">
        <v>45980.33333333333</v>
      </c>
      <c r="G395" s="3" t="s">
        <v>2431</v>
      </c>
    </row>
    <row r="396">
      <c r="A396" s="3" t="s">
        <v>2434</v>
      </c>
      <c r="B396" s="3" t="s">
        <v>1150</v>
      </c>
      <c r="C396" s="5" t="s">
        <v>614</v>
      </c>
      <c r="D396" s="3" t="s">
        <v>206</v>
      </c>
      <c r="E396" s="3" t="s">
        <v>100</v>
      </c>
      <c r="F396" s="7">
        <v>45980.375</v>
      </c>
      <c r="G396" s="3" t="s">
        <v>2431</v>
      </c>
    </row>
    <row r="397">
      <c r="A397" s="3" t="s">
        <v>2436</v>
      </c>
      <c r="B397" s="3" t="s">
        <v>1150</v>
      </c>
      <c r="C397" s="5" t="s">
        <v>206</v>
      </c>
      <c r="D397" s="3" t="s">
        <v>68</v>
      </c>
      <c r="E397" s="3" t="s">
        <v>100</v>
      </c>
      <c r="F397" s="7">
        <v>45980.416666666664</v>
      </c>
      <c r="G397" s="3" t="s">
        <v>2438</v>
      </c>
    </row>
    <row r="398">
      <c r="A398" s="3" t="s">
        <v>2439</v>
      </c>
      <c r="B398" s="3" t="s">
        <v>1152</v>
      </c>
      <c r="C398" s="5" t="s">
        <v>45</v>
      </c>
      <c r="D398" s="3" t="s">
        <v>221</v>
      </c>
      <c r="E398" s="3" t="s">
        <v>59</v>
      </c>
      <c r="F398" s="7">
        <v>46080.291666666664</v>
      </c>
      <c r="G398" s="3" t="s">
        <v>2441</v>
      </c>
    </row>
    <row r="399">
      <c r="A399" s="3" t="s">
        <v>2442</v>
      </c>
      <c r="B399" s="3" t="s">
        <v>1152</v>
      </c>
      <c r="C399" s="5" t="s">
        <v>221</v>
      </c>
      <c r="D399" s="3" t="s">
        <v>614</v>
      </c>
      <c r="E399" s="3" t="s">
        <v>118</v>
      </c>
      <c r="F399" s="7">
        <v>46080.33333333333</v>
      </c>
      <c r="G399" s="3" t="s">
        <v>2441</v>
      </c>
    </row>
    <row r="400">
      <c r="A400" s="3" t="s">
        <v>2444</v>
      </c>
      <c r="B400" s="3" t="s">
        <v>1152</v>
      </c>
      <c r="C400" s="5" t="s">
        <v>614</v>
      </c>
      <c r="D400" s="3" t="s">
        <v>206</v>
      </c>
      <c r="E400" s="3" t="s">
        <v>100</v>
      </c>
      <c r="F400" s="7">
        <v>46080.375</v>
      </c>
      <c r="G400" s="3" t="s">
        <v>2441</v>
      </c>
    </row>
    <row r="401">
      <c r="A401" s="3" t="s">
        <v>2446</v>
      </c>
      <c r="B401" s="3" t="s">
        <v>1152</v>
      </c>
      <c r="C401" s="5" t="s">
        <v>206</v>
      </c>
      <c r="D401" s="3" t="s">
        <v>68</v>
      </c>
      <c r="E401" s="3" t="s">
        <v>100</v>
      </c>
      <c r="F401" s="7">
        <v>46080.416666666664</v>
      </c>
      <c r="G401" s="3" t="s">
        <v>2448</v>
      </c>
    </row>
    <row r="402">
      <c r="A402" s="3" t="s">
        <v>2449</v>
      </c>
      <c r="B402" s="3" t="s">
        <v>1155</v>
      </c>
      <c r="C402" s="5" t="s">
        <v>45</v>
      </c>
      <c r="D402" s="3" t="s">
        <v>221</v>
      </c>
      <c r="E402" s="3" t="s">
        <v>59</v>
      </c>
      <c r="F402" s="7">
        <v>46180.291666666664</v>
      </c>
      <c r="G402" s="3" t="s">
        <v>2451</v>
      </c>
    </row>
    <row r="403">
      <c r="A403" s="3" t="s">
        <v>2452</v>
      </c>
      <c r="B403" s="3" t="s">
        <v>1155</v>
      </c>
      <c r="C403" s="5" t="s">
        <v>221</v>
      </c>
      <c r="D403" s="3" t="s">
        <v>614</v>
      </c>
      <c r="E403" s="3" t="s">
        <v>118</v>
      </c>
      <c r="F403" s="7">
        <v>46180.33333333333</v>
      </c>
      <c r="G403" s="3" t="s">
        <v>2451</v>
      </c>
    </row>
    <row r="404">
      <c r="A404" s="3" t="s">
        <v>2454</v>
      </c>
      <c r="B404" s="3" t="s">
        <v>1155</v>
      </c>
      <c r="C404" s="5" t="s">
        <v>614</v>
      </c>
      <c r="D404" s="3" t="s">
        <v>206</v>
      </c>
      <c r="E404" s="3" t="s">
        <v>100</v>
      </c>
      <c r="F404" s="7">
        <v>46180.375</v>
      </c>
      <c r="G404" s="3" t="s">
        <v>2451</v>
      </c>
    </row>
    <row r="405">
      <c r="A405" s="3" t="s">
        <v>2457</v>
      </c>
      <c r="B405" s="3" t="s">
        <v>1155</v>
      </c>
      <c r="C405" s="5" t="s">
        <v>206</v>
      </c>
      <c r="D405" s="3" t="s">
        <v>68</v>
      </c>
      <c r="E405" s="3" t="s">
        <v>100</v>
      </c>
      <c r="F405" s="7">
        <v>46180.416666666664</v>
      </c>
      <c r="G405" s="3" t="s">
        <v>2458</v>
      </c>
    </row>
    <row r="406">
      <c r="A406" s="3" t="s">
        <v>2460</v>
      </c>
      <c r="B406" s="3" t="s">
        <v>1157</v>
      </c>
      <c r="C406" s="5" t="s">
        <v>45</v>
      </c>
      <c r="D406" s="3" t="s">
        <v>221</v>
      </c>
      <c r="E406" s="3" t="s">
        <v>62</v>
      </c>
      <c r="F406" s="7">
        <v>45885.291666666664</v>
      </c>
      <c r="G406" s="3" t="s">
        <v>2461</v>
      </c>
    </row>
    <row r="407">
      <c r="A407" s="3" t="s">
        <v>2462</v>
      </c>
      <c r="B407" s="3" t="s">
        <v>1157</v>
      </c>
      <c r="C407" s="5" t="s">
        <v>221</v>
      </c>
      <c r="D407" s="3" t="s">
        <v>614</v>
      </c>
      <c r="E407" s="3" t="s">
        <v>118</v>
      </c>
      <c r="F407" s="7">
        <v>45885.33333333333</v>
      </c>
      <c r="G407" s="3" t="s">
        <v>2461</v>
      </c>
    </row>
    <row r="408">
      <c r="A408" s="3" t="s">
        <v>2464</v>
      </c>
      <c r="B408" s="3" t="s">
        <v>1157</v>
      </c>
      <c r="C408" s="5" t="s">
        <v>614</v>
      </c>
      <c r="D408" s="3" t="s">
        <v>206</v>
      </c>
      <c r="E408" s="3" t="s">
        <v>100</v>
      </c>
      <c r="F408" s="7">
        <v>45885.375</v>
      </c>
      <c r="G408" s="3" t="s">
        <v>2461</v>
      </c>
    </row>
    <row r="409">
      <c r="A409" s="3" t="s">
        <v>2466</v>
      </c>
      <c r="B409" s="3" t="s">
        <v>1157</v>
      </c>
      <c r="C409" s="5" t="s">
        <v>206</v>
      </c>
      <c r="D409" s="3" t="s">
        <v>68</v>
      </c>
      <c r="E409" s="3" t="s">
        <v>100</v>
      </c>
      <c r="F409" s="7">
        <v>45885.416666666664</v>
      </c>
      <c r="G409" s="3" t="s">
        <v>2468</v>
      </c>
    </row>
    <row r="410">
      <c r="A410" s="3" t="s">
        <v>2469</v>
      </c>
      <c r="B410" s="3" t="s">
        <v>1160</v>
      </c>
      <c r="C410" s="5" t="s">
        <v>45</v>
      </c>
      <c r="D410" s="3" t="s">
        <v>221</v>
      </c>
      <c r="E410" s="3" t="s">
        <v>62</v>
      </c>
      <c r="F410" s="7">
        <v>45985.291666666664</v>
      </c>
      <c r="G410" s="3" t="s">
        <v>2471</v>
      </c>
    </row>
    <row r="411">
      <c r="A411" s="3" t="s">
        <v>2473</v>
      </c>
      <c r="B411" s="3" t="s">
        <v>1160</v>
      </c>
      <c r="C411" s="5" t="s">
        <v>221</v>
      </c>
      <c r="D411" s="3" t="s">
        <v>614</v>
      </c>
      <c r="E411" s="3" t="s">
        <v>118</v>
      </c>
      <c r="F411" s="7">
        <v>45985.33333333333</v>
      </c>
      <c r="G411" s="3" t="s">
        <v>2471</v>
      </c>
    </row>
    <row r="412">
      <c r="A412" s="3" t="s">
        <v>2475</v>
      </c>
      <c r="B412" s="3" t="s">
        <v>1160</v>
      </c>
      <c r="C412" s="5" t="s">
        <v>614</v>
      </c>
      <c r="D412" s="3" t="s">
        <v>206</v>
      </c>
      <c r="E412" s="3" t="s">
        <v>100</v>
      </c>
      <c r="F412" s="7">
        <v>45985.375</v>
      </c>
      <c r="G412" s="3" t="s">
        <v>2471</v>
      </c>
    </row>
    <row r="413">
      <c r="A413" s="3" t="s">
        <v>2477</v>
      </c>
      <c r="B413" s="3" t="s">
        <v>1160</v>
      </c>
      <c r="C413" s="5" t="s">
        <v>206</v>
      </c>
      <c r="D413" s="3" t="s">
        <v>68</v>
      </c>
      <c r="E413" s="3" t="s">
        <v>100</v>
      </c>
      <c r="F413" s="7">
        <v>45985.416666666664</v>
      </c>
      <c r="G413" s="3" t="s">
        <v>2479</v>
      </c>
    </row>
    <row r="414">
      <c r="A414" s="3" t="s">
        <v>2480</v>
      </c>
      <c r="B414" s="3" t="s">
        <v>1163</v>
      </c>
      <c r="C414" s="5" t="s">
        <v>45</v>
      </c>
      <c r="D414" s="3" t="s">
        <v>221</v>
      </c>
      <c r="E414" s="3" t="s">
        <v>62</v>
      </c>
      <c r="F414" s="7">
        <v>46085.291666666664</v>
      </c>
      <c r="G414" s="3" t="s">
        <v>2482</v>
      </c>
    </row>
    <row r="415">
      <c r="A415" s="3" t="s">
        <v>2483</v>
      </c>
      <c r="B415" s="3" t="s">
        <v>1163</v>
      </c>
      <c r="C415" s="5" t="s">
        <v>221</v>
      </c>
      <c r="D415" s="3" t="s">
        <v>614</v>
      </c>
      <c r="E415" s="3" t="s">
        <v>118</v>
      </c>
      <c r="F415" s="7">
        <v>46085.33333333333</v>
      </c>
      <c r="G415" s="3" t="s">
        <v>2482</v>
      </c>
    </row>
    <row r="416">
      <c r="A416" s="3" t="s">
        <v>2485</v>
      </c>
      <c r="B416" s="3" t="s">
        <v>1163</v>
      </c>
      <c r="C416" s="5" t="s">
        <v>614</v>
      </c>
      <c r="D416" s="3" t="s">
        <v>206</v>
      </c>
      <c r="E416" s="3" t="s">
        <v>100</v>
      </c>
      <c r="F416" s="7">
        <v>46085.375</v>
      </c>
      <c r="G416" s="3" t="s">
        <v>2482</v>
      </c>
    </row>
    <row r="417">
      <c r="A417" s="3" t="s">
        <v>2487</v>
      </c>
      <c r="B417" s="3" t="s">
        <v>1163</v>
      </c>
      <c r="C417" s="5" t="s">
        <v>206</v>
      </c>
      <c r="D417" s="3" t="s">
        <v>68</v>
      </c>
      <c r="E417" s="3" t="s">
        <v>100</v>
      </c>
      <c r="F417" s="7">
        <v>46085.416666666664</v>
      </c>
      <c r="G417" s="3" t="s">
        <v>2489</v>
      </c>
    </row>
    <row r="418">
      <c r="A418" s="3" t="s">
        <v>2490</v>
      </c>
      <c r="B418" s="3" t="s">
        <v>1165</v>
      </c>
      <c r="C418" s="5" t="s">
        <v>45</v>
      </c>
      <c r="D418" s="3" t="s">
        <v>221</v>
      </c>
      <c r="E418" s="3" t="s">
        <v>62</v>
      </c>
      <c r="F418" s="7">
        <v>46185.291666666664</v>
      </c>
      <c r="G418" s="3" t="s">
        <v>2492</v>
      </c>
    </row>
    <row r="419">
      <c r="A419" s="3" t="s">
        <v>2493</v>
      </c>
      <c r="B419" s="3" t="s">
        <v>1165</v>
      </c>
      <c r="C419" s="5" t="s">
        <v>221</v>
      </c>
      <c r="D419" s="3" t="s">
        <v>614</v>
      </c>
      <c r="E419" s="3" t="s">
        <v>118</v>
      </c>
      <c r="F419" s="7">
        <v>46185.33333333333</v>
      </c>
      <c r="G419" s="3" t="s">
        <v>2492</v>
      </c>
    </row>
    <row r="420">
      <c r="A420" s="3" t="s">
        <v>2495</v>
      </c>
      <c r="B420" s="3" t="s">
        <v>1165</v>
      </c>
      <c r="C420" s="5" t="s">
        <v>614</v>
      </c>
      <c r="D420" s="3" t="s">
        <v>206</v>
      </c>
      <c r="E420" s="3" t="s">
        <v>100</v>
      </c>
      <c r="F420" s="7">
        <v>46185.375</v>
      </c>
      <c r="G420" s="3" t="s">
        <v>2492</v>
      </c>
    </row>
    <row r="421">
      <c r="A421" s="3" t="s">
        <v>2497</v>
      </c>
      <c r="B421" s="3" t="s">
        <v>1165</v>
      </c>
      <c r="C421" s="5" t="s">
        <v>206</v>
      </c>
      <c r="D421" s="3" t="s">
        <v>68</v>
      </c>
      <c r="E421" s="3" t="s">
        <v>100</v>
      </c>
      <c r="F421" s="7">
        <v>46185.416666666664</v>
      </c>
      <c r="G421" s="3" t="s">
        <v>2498</v>
      </c>
    </row>
    <row r="422">
      <c r="A422" s="3" t="s">
        <v>2499</v>
      </c>
      <c r="B422" s="3" t="s">
        <v>1167</v>
      </c>
      <c r="C422" s="5" t="s">
        <v>45</v>
      </c>
      <c r="D422" s="3" t="s">
        <v>221</v>
      </c>
      <c r="E422" s="3" t="s">
        <v>77</v>
      </c>
      <c r="F422" s="7">
        <v>45910.291666666664</v>
      </c>
      <c r="G422" s="3" t="s">
        <v>2501</v>
      </c>
    </row>
    <row r="423">
      <c r="A423" s="3" t="s">
        <v>2502</v>
      </c>
      <c r="B423" s="3" t="s">
        <v>1167</v>
      </c>
      <c r="C423" s="5" t="s">
        <v>221</v>
      </c>
      <c r="D423" s="3" t="s">
        <v>614</v>
      </c>
      <c r="E423" s="3" t="s">
        <v>118</v>
      </c>
      <c r="F423" s="7">
        <v>45910.33333333333</v>
      </c>
      <c r="G423" s="3" t="s">
        <v>2501</v>
      </c>
    </row>
    <row r="424">
      <c r="A424" s="3" t="s">
        <v>2504</v>
      </c>
      <c r="B424" s="3" t="s">
        <v>1167</v>
      </c>
      <c r="C424" s="5" t="s">
        <v>614</v>
      </c>
      <c r="D424" s="3" t="s">
        <v>206</v>
      </c>
      <c r="E424" s="3" t="s">
        <v>100</v>
      </c>
      <c r="F424" s="7">
        <v>45910.375</v>
      </c>
      <c r="G424" s="3" t="s">
        <v>2501</v>
      </c>
    </row>
    <row r="425">
      <c r="A425" s="3" t="s">
        <v>2506</v>
      </c>
      <c r="B425" s="3" t="s">
        <v>1167</v>
      </c>
      <c r="C425" s="5" t="s">
        <v>206</v>
      </c>
      <c r="D425" s="3" t="s">
        <v>68</v>
      </c>
      <c r="E425" s="3" t="s">
        <v>100</v>
      </c>
      <c r="F425" s="7">
        <v>45910.416666666664</v>
      </c>
      <c r="G425" s="3" t="s">
        <v>2507</v>
      </c>
    </row>
    <row r="426">
      <c r="A426" s="3" t="s">
        <v>2508</v>
      </c>
      <c r="B426" s="3" t="s">
        <v>1169</v>
      </c>
      <c r="C426" s="5" t="s">
        <v>45</v>
      </c>
      <c r="D426" s="3" t="s">
        <v>221</v>
      </c>
      <c r="E426" s="3" t="s">
        <v>77</v>
      </c>
      <c r="F426" s="7">
        <v>46010.291666666664</v>
      </c>
      <c r="G426" s="3" t="s">
        <v>2510</v>
      </c>
    </row>
    <row r="427">
      <c r="A427" s="3" t="s">
        <v>2511</v>
      </c>
      <c r="B427" s="3" t="s">
        <v>1169</v>
      </c>
      <c r="C427" s="5" t="s">
        <v>221</v>
      </c>
      <c r="D427" s="3" t="s">
        <v>614</v>
      </c>
      <c r="E427" s="3" t="s">
        <v>118</v>
      </c>
      <c r="F427" s="7">
        <v>46010.33333333333</v>
      </c>
      <c r="G427" s="3" t="s">
        <v>2510</v>
      </c>
    </row>
    <row r="428">
      <c r="A428" s="3" t="s">
        <v>2514</v>
      </c>
      <c r="B428" s="3" t="s">
        <v>1169</v>
      </c>
      <c r="C428" s="5" t="s">
        <v>614</v>
      </c>
      <c r="D428" s="3" t="s">
        <v>206</v>
      </c>
      <c r="E428" s="3" t="s">
        <v>100</v>
      </c>
      <c r="F428" s="7">
        <v>46010.375</v>
      </c>
      <c r="G428" s="3" t="s">
        <v>2510</v>
      </c>
    </row>
    <row r="429">
      <c r="A429" s="3" t="s">
        <v>2516</v>
      </c>
      <c r="B429" s="3" t="s">
        <v>1169</v>
      </c>
      <c r="C429" s="5" t="s">
        <v>206</v>
      </c>
      <c r="D429" s="3" t="s">
        <v>68</v>
      </c>
      <c r="E429" s="3" t="s">
        <v>100</v>
      </c>
      <c r="F429" s="7">
        <v>46010.416666666664</v>
      </c>
      <c r="G429" s="3" t="s">
        <v>2518</v>
      </c>
    </row>
    <row r="430">
      <c r="A430" s="3" t="s">
        <v>2519</v>
      </c>
      <c r="B430" s="3" t="s">
        <v>1172</v>
      </c>
      <c r="C430" s="5" t="s">
        <v>45</v>
      </c>
      <c r="D430" s="3" t="s">
        <v>221</v>
      </c>
      <c r="E430" s="3" t="s">
        <v>77</v>
      </c>
      <c r="F430" s="7">
        <v>46110.291666666664</v>
      </c>
      <c r="G430" s="3" t="s">
        <v>2521</v>
      </c>
    </row>
    <row r="431">
      <c r="A431" s="3" t="s">
        <v>2522</v>
      </c>
      <c r="B431" s="3" t="s">
        <v>1172</v>
      </c>
      <c r="C431" s="5" t="s">
        <v>221</v>
      </c>
      <c r="D431" s="3" t="s">
        <v>614</v>
      </c>
      <c r="E431" s="3" t="s">
        <v>118</v>
      </c>
      <c r="F431" s="7">
        <v>46110.33333333333</v>
      </c>
      <c r="G431" s="3" t="s">
        <v>2521</v>
      </c>
    </row>
    <row r="432">
      <c r="A432" s="3" t="s">
        <v>2524</v>
      </c>
      <c r="B432" s="3" t="s">
        <v>1172</v>
      </c>
      <c r="C432" s="5" t="s">
        <v>614</v>
      </c>
      <c r="D432" s="3" t="s">
        <v>206</v>
      </c>
      <c r="E432" s="3" t="s">
        <v>100</v>
      </c>
      <c r="F432" s="7">
        <v>46110.375</v>
      </c>
      <c r="G432" s="3" t="s">
        <v>2521</v>
      </c>
    </row>
    <row r="433">
      <c r="A433" s="3" t="s">
        <v>2526</v>
      </c>
      <c r="B433" s="3" t="s">
        <v>1172</v>
      </c>
      <c r="C433" s="5" t="s">
        <v>206</v>
      </c>
      <c r="D433" s="3" t="s">
        <v>68</v>
      </c>
      <c r="E433" s="3" t="s">
        <v>100</v>
      </c>
      <c r="F433" s="7">
        <v>46110.416666666664</v>
      </c>
      <c r="G433" s="3" t="s">
        <v>2527</v>
      </c>
    </row>
    <row r="434">
      <c r="A434" s="3" t="s">
        <v>2529</v>
      </c>
      <c r="B434" s="3" t="s">
        <v>1174</v>
      </c>
      <c r="C434" s="5" t="s">
        <v>45</v>
      </c>
      <c r="D434" s="3" t="s">
        <v>221</v>
      </c>
      <c r="E434" s="3" t="s">
        <v>77</v>
      </c>
      <c r="F434" s="7">
        <v>46210.291666666664</v>
      </c>
      <c r="G434" s="3" t="s">
        <v>2530</v>
      </c>
    </row>
    <row r="435">
      <c r="A435" s="3" t="s">
        <v>2532</v>
      </c>
      <c r="B435" s="3" t="s">
        <v>1174</v>
      </c>
      <c r="C435" s="5" t="s">
        <v>221</v>
      </c>
      <c r="D435" s="3" t="s">
        <v>614</v>
      </c>
      <c r="E435" s="3" t="s">
        <v>118</v>
      </c>
      <c r="F435" s="7">
        <v>46210.33333333333</v>
      </c>
      <c r="G435" s="3" t="s">
        <v>2530</v>
      </c>
    </row>
    <row r="436">
      <c r="A436" s="3" t="s">
        <v>2533</v>
      </c>
      <c r="B436" s="3" t="s">
        <v>1174</v>
      </c>
      <c r="C436" s="5" t="s">
        <v>614</v>
      </c>
      <c r="D436" s="3" t="s">
        <v>206</v>
      </c>
      <c r="E436" s="3" t="s">
        <v>100</v>
      </c>
      <c r="F436" s="7">
        <v>46210.375</v>
      </c>
      <c r="G436" s="3" t="s">
        <v>2530</v>
      </c>
    </row>
    <row r="437">
      <c r="A437" s="3" t="s">
        <v>2535</v>
      </c>
      <c r="B437" s="3" t="s">
        <v>1174</v>
      </c>
      <c r="C437" s="5" t="s">
        <v>206</v>
      </c>
      <c r="D437" s="3" t="s">
        <v>68</v>
      </c>
      <c r="E437" s="3" t="s">
        <v>100</v>
      </c>
      <c r="F437" s="7">
        <v>46210.416666666664</v>
      </c>
      <c r="G437" s="3" t="s">
        <v>2537</v>
      </c>
    </row>
    <row r="438">
      <c r="A438" s="3" t="s">
        <v>2538</v>
      </c>
      <c r="B438" s="3" t="s">
        <v>1178</v>
      </c>
      <c r="C438" s="5" t="s">
        <v>45</v>
      </c>
      <c r="D438" s="3" t="s">
        <v>221</v>
      </c>
      <c r="E438" s="3" t="s">
        <v>82</v>
      </c>
      <c r="F438" s="7">
        <v>45915.291666666664</v>
      </c>
      <c r="G438" s="3" t="s">
        <v>2540</v>
      </c>
    </row>
    <row r="439">
      <c r="A439" s="3" t="s">
        <v>2541</v>
      </c>
      <c r="B439" s="3" t="s">
        <v>1178</v>
      </c>
      <c r="C439" s="5" t="s">
        <v>221</v>
      </c>
      <c r="D439" s="3" t="s">
        <v>614</v>
      </c>
      <c r="E439" s="3" t="s">
        <v>118</v>
      </c>
      <c r="F439" s="7">
        <v>45915.33333333333</v>
      </c>
      <c r="G439" s="3" t="s">
        <v>2540</v>
      </c>
    </row>
    <row r="440">
      <c r="A440" s="3" t="s">
        <v>2543</v>
      </c>
      <c r="B440" s="3" t="s">
        <v>1178</v>
      </c>
      <c r="C440" s="5" t="s">
        <v>614</v>
      </c>
      <c r="D440" s="3" t="s">
        <v>206</v>
      </c>
      <c r="E440" s="3" t="s">
        <v>100</v>
      </c>
      <c r="F440" s="7">
        <v>45915.375</v>
      </c>
      <c r="G440" s="3" t="s">
        <v>2540</v>
      </c>
    </row>
    <row r="441">
      <c r="A441" s="3" t="s">
        <v>2545</v>
      </c>
      <c r="B441" s="3" t="s">
        <v>1178</v>
      </c>
      <c r="C441" s="5" t="s">
        <v>206</v>
      </c>
      <c r="D441" s="3" t="s">
        <v>68</v>
      </c>
      <c r="E441" s="3" t="s">
        <v>100</v>
      </c>
      <c r="F441" s="7">
        <v>45915.416666666664</v>
      </c>
      <c r="G441" s="3" t="s">
        <v>2547</v>
      </c>
    </row>
    <row r="442">
      <c r="A442" s="3" t="s">
        <v>2548</v>
      </c>
      <c r="B442" s="3" t="s">
        <v>1180</v>
      </c>
      <c r="C442" s="5" t="s">
        <v>45</v>
      </c>
      <c r="D442" s="3" t="s">
        <v>221</v>
      </c>
      <c r="E442" s="3" t="s">
        <v>82</v>
      </c>
      <c r="F442" s="7">
        <v>46015.291666666664</v>
      </c>
      <c r="G442" s="3" t="s">
        <v>2549</v>
      </c>
    </row>
    <row r="443">
      <c r="A443" s="3" t="s">
        <v>2551</v>
      </c>
      <c r="B443" s="3" t="s">
        <v>1180</v>
      </c>
      <c r="C443" s="5" t="s">
        <v>221</v>
      </c>
      <c r="D443" s="3" t="s">
        <v>614</v>
      </c>
      <c r="E443" s="3" t="s">
        <v>118</v>
      </c>
      <c r="F443" s="7">
        <v>46015.33333333333</v>
      </c>
      <c r="G443" s="3" t="s">
        <v>2549</v>
      </c>
    </row>
    <row r="444">
      <c r="A444" s="3" t="s">
        <v>2552</v>
      </c>
      <c r="B444" s="3" t="s">
        <v>1180</v>
      </c>
      <c r="C444" s="5" t="s">
        <v>614</v>
      </c>
      <c r="D444" s="3" t="s">
        <v>206</v>
      </c>
      <c r="E444" s="3" t="s">
        <v>100</v>
      </c>
      <c r="F444" s="7">
        <v>46015.375</v>
      </c>
      <c r="G444" s="3" t="s">
        <v>2549</v>
      </c>
    </row>
    <row r="445">
      <c r="A445" s="3" t="s">
        <v>2554</v>
      </c>
      <c r="B445" s="3" t="s">
        <v>1180</v>
      </c>
      <c r="C445" s="5" t="s">
        <v>206</v>
      </c>
      <c r="D445" s="3" t="s">
        <v>68</v>
      </c>
      <c r="E445" s="3" t="s">
        <v>100</v>
      </c>
      <c r="F445" s="7">
        <v>46015.416666666664</v>
      </c>
      <c r="G445" s="3" t="s">
        <v>2556</v>
      </c>
    </row>
    <row r="446">
      <c r="A446" s="3" t="s">
        <v>2557</v>
      </c>
      <c r="B446" s="3" t="s">
        <v>1183</v>
      </c>
      <c r="C446" s="5" t="s">
        <v>45</v>
      </c>
      <c r="D446" s="3" t="s">
        <v>221</v>
      </c>
      <c r="E446" s="3" t="s">
        <v>82</v>
      </c>
      <c r="F446" s="7">
        <v>46115.291666666664</v>
      </c>
      <c r="G446" s="3" t="s">
        <v>2559</v>
      </c>
    </row>
    <row r="447">
      <c r="A447" s="3" t="s">
        <v>2560</v>
      </c>
      <c r="B447" s="3" t="s">
        <v>1183</v>
      </c>
      <c r="C447" s="5" t="s">
        <v>221</v>
      </c>
      <c r="D447" s="3" t="s">
        <v>614</v>
      </c>
      <c r="E447" s="3" t="s">
        <v>118</v>
      </c>
      <c r="F447" s="7">
        <v>46115.33333333333</v>
      </c>
      <c r="G447" s="3" t="s">
        <v>2559</v>
      </c>
    </row>
    <row r="448">
      <c r="A448" s="3" t="s">
        <v>2562</v>
      </c>
      <c r="B448" s="3" t="s">
        <v>1183</v>
      </c>
      <c r="C448" s="5" t="s">
        <v>614</v>
      </c>
      <c r="D448" s="3" t="s">
        <v>206</v>
      </c>
      <c r="E448" s="3" t="s">
        <v>100</v>
      </c>
      <c r="F448" s="7">
        <v>46115.375</v>
      </c>
      <c r="G448" s="3" t="s">
        <v>2559</v>
      </c>
    </row>
    <row r="449">
      <c r="A449" s="3" t="s">
        <v>2564</v>
      </c>
      <c r="B449" s="3" t="s">
        <v>1183</v>
      </c>
      <c r="C449" s="5" t="s">
        <v>206</v>
      </c>
      <c r="D449" s="3" t="s">
        <v>68</v>
      </c>
      <c r="E449" s="3" t="s">
        <v>100</v>
      </c>
      <c r="F449" s="7">
        <v>46115.416666666664</v>
      </c>
      <c r="G449" s="3" t="s">
        <v>2565</v>
      </c>
    </row>
    <row r="450">
      <c r="A450" s="3" t="s">
        <v>2566</v>
      </c>
      <c r="B450" s="3" t="s">
        <v>1186</v>
      </c>
      <c r="C450" s="5" t="s">
        <v>45</v>
      </c>
      <c r="D450" s="3" t="s">
        <v>221</v>
      </c>
      <c r="E450" s="3" t="s">
        <v>82</v>
      </c>
      <c r="F450" s="7">
        <v>46215.291666666664</v>
      </c>
      <c r="G450" s="3" t="s">
        <v>2568</v>
      </c>
    </row>
    <row r="451">
      <c r="A451" s="3" t="s">
        <v>2569</v>
      </c>
      <c r="B451" s="3" t="s">
        <v>1186</v>
      </c>
      <c r="C451" s="5" t="s">
        <v>221</v>
      </c>
      <c r="D451" s="3" t="s">
        <v>614</v>
      </c>
      <c r="E451" s="3" t="s">
        <v>118</v>
      </c>
      <c r="F451" s="7">
        <v>46215.33333333333</v>
      </c>
      <c r="G451" s="3" t="s">
        <v>2568</v>
      </c>
    </row>
    <row r="452">
      <c r="A452" s="3" t="s">
        <v>2571</v>
      </c>
      <c r="B452" s="3" t="s">
        <v>1186</v>
      </c>
      <c r="C452" s="5" t="s">
        <v>614</v>
      </c>
      <c r="D452" s="3" t="s">
        <v>206</v>
      </c>
      <c r="E452" s="3" t="s">
        <v>100</v>
      </c>
      <c r="F452" s="7">
        <v>46215.375</v>
      </c>
      <c r="G452" s="3" t="s">
        <v>2568</v>
      </c>
    </row>
    <row r="453">
      <c r="A453" s="3" t="s">
        <v>2573</v>
      </c>
      <c r="B453" s="3" t="s">
        <v>1186</v>
      </c>
      <c r="C453" s="5" t="s">
        <v>206</v>
      </c>
      <c r="D453" s="3" t="s">
        <v>68</v>
      </c>
      <c r="E453" s="3" t="s">
        <v>100</v>
      </c>
      <c r="F453" s="7">
        <v>46215.416666666664</v>
      </c>
      <c r="G453" s="3" t="s">
        <v>2575</v>
      </c>
    </row>
    <row r="454">
      <c r="A454" s="3" t="s">
        <v>2576</v>
      </c>
      <c r="B454" s="3" t="s">
        <v>1188</v>
      </c>
      <c r="C454" s="5" t="s">
        <v>45</v>
      </c>
      <c r="D454" s="3" t="s">
        <v>221</v>
      </c>
      <c r="E454" s="3" t="s">
        <v>85</v>
      </c>
      <c r="F454" s="7">
        <v>45920.291666666664</v>
      </c>
      <c r="G454" s="3" t="s">
        <v>2577</v>
      </c>
    </row>
    <row r="455">
      <c r="A455" s="3" t="s">
        <v>2578</v>
      </c>
      <c r="B455" s="3" t="s">
        <v>1188</v>
      </c>
      <c r="C455" s="5" t="s">
        <v>221</v>
      </c>
      <c r="D455" s="3" t="s">
        <v>614</v>
      </c>
      <c r="E455" s="3" t="s">
        <v>118</v>
      </c>
      <c r="F455" s="7">
        <v>45920.33333333333</v>
      </c>
      <c r="G455" s="3" t="s">
        <v>2577</v>
      </c>
    </row>
    <row r="456">
      <c r="A456" s="3" t="s">
        <v>2580</v>
      </c>
      <c r="B456" s="3" t="s">
        <v>1188</v>
      </c>
      <c r="C456" s="5" t="s">
        <v>614</v>
      </c>
      <c r="D456" s="3" t="s">
        <v>206</v>
      </c>
      <c r="E456" s="3" t="s">
        <v>100</v>
      </c>
      <c r="F456" s="7">
        <v>45920.375</v>
      </c>
      <c r="G456" s="3" t="s">
        <v>2577</v>
      </c>
    </row>
    <row r="457">
      <c r="A457" s="3" t="s">
        <v>2583</v>
      </c>
      <c r="B457" s="3" t="s">
        <v>1188</v>
      </c>
      <c r="C457" s="5" t="s">
        <v>206</v>
      </c>
      <c r="D457" s="3" t="s">
        <v>68</v>
      </c>
      <c r="E457" s="3" t="s">
        <v>100</v>
      </c>
      <c r="F457" s="7">
        <v>45920.416666666664</v>
      </c>
      <c r="G457" s="3" t="s">
        <v>2584</v>
      </c>
    </row>
    <row r="458">
      <c r="A458" s="3" t="s">
        <v>2586</v>
      </c>
      <c r="B458" s="3" t="s">
        <v>1191</v>
      </c>
      <c r="C458" s="5" t="s">
        <v>45</v>
      </c>
      <c r="D458" s="3" t="s">
        <v>221</v>
      </c>
      <c r="E458" s="3" t="s">
        <v>85</v>
      </c>
      <c r="F458" s="7">
        <v>46020.291666666664</v>
      </c>
      <c r="G458" s="3" t="s">
        <v>2588</v>
      </c>
    </row>
    <row r="459">
      <c r="A459" s="3" t="s">
        <v>2589</v>
      </c>
      <c r="B459" s="3" t="s">
        <v>1191</v>
      </c>
      <c r="C459" s="5" t="s">
        <v>221</v>
      </c>
      <c r="D459" s="3" t="s">
        <v>614</v>
      </c>
      <c r="E459" s="3" t="s">
        <v>118</v>
      </c>
      <c r="F459" s="7">
        <v>46020.33333333333</v>
      </c>
      <c r="G459" s="3" t="s">
        <v>2588</v>
      </c>
    </row>
    <row r="460">
      <c r="A460" s="3" t="s">
        <v>2591</v>
      </c>
      <c r="B460" s="3" t="s">
        <v>1191</v>
      </c>
      <c r="C460" s="5" t="s">
        <v>614</v>
      </c>
      <c r="D460" s="3" t="s">
        <v>206</v>
      </c>
      <c r="E460" s="3" t="s">
        <v>100</v>
      </c>
      <c r="F460" s="7">
        <v>46020.375</v>
      </c>
      <c r="G460" s="3" t="s">
        <v>2588</v>
      </c>
    </row>
    <row r="461">
      <c r="A461" s="3" t="s">
        <v>2593</v>
      </c>
      <c r="B461" s="3" t="s">
        <v>1191</v>
      </c>
      <c r="C461" s="5" t="s">
        <v>206</v>
      </c>
      <c r="D461" s="3" t="s">
        <v>68</v>
      </c>
      <c r="E461" s="3" t="s">
        <v>100</v>
      </c>
      <c r="F461" s="7">
        <v>46020.416666666664</v>
      </c>
      <c r="G461" s="3" t="s">
        <v>2594</v>
      </c>
    </row>
    <row r="462">
      <c r="A462" s="3" t="s">
        <v>2596</v>
      </c>
      <c r="B462" s="3" t="s">
        <v>1194</v>
      </c>
      <c r="C462" s="5" t="s">
        <v>45</v>
      </c>
      <c r="D462" s="3" t="s">
        <v>221</v>
      </c>
      <c r="E462" s="3" t="s">
        <v>85</v>
      </c>
      <c r="F462" s="7">
        <v>46120.291666666664</v>
      </c>
      <c r="G462" s="3" t="s">
        <v>2597</v>
      </c>
    </row>
    <row r="463">
      <c r="A463" s="3" t="s">
        <v>2599</v>
      </c>
      <c r="B463" s="3" t="s">
        <v>1194</v>
      </c>
      <c r="C463" s="5" t="s">
        <v>221</v>
      </c>
      <c r="D463" s="3" t="s">
        <v>614</v>
      </c>
      <c r="E463" s="3" t="s">
        <v>118</v>
      </c>
      <c r="F463" s="7">
        <v>46120.33333333333</v>
      </c>
      <c r="G463" s="3" t="s">
        <v>2597</v>
      </c>
    </row>
    <row r="464">
      <c r="A464" s="3" t="s">
        <v>2600</v>
      </c>
      <c r="B464" s="3" t="s">
        <v>1194</v>
      </c>
      <c r="C464" s="5" t="s">
        <v>614</v>
      </c>
      <c r="D464" s="3" t="s">
        <v>206</v>
      </c>
      <c r="E464" s="3" t="s">
        <v>100</v>
      </c>
      <c r="F464" s="7">
        <v>46120.375</v>
      </c>
      <c r="G464" s="3" t="s">
        <v>2597</v>
      </c>
    </row>
    <row r="465">
      <c r="A465" s="3" t="s">
        <v>2602</v>
      </c>
      <c r="B465" s="3" t="s">
        <v>1194</v>
      </c>
      <c r="C465" s="5" t="s">
        <v>206</v>
      </c>
      <c r="D465" s="3" t="s">
        <v>68</v>
      </c>
      <c r="E465" s="3" t="s">
        <v>100</v>
      </c>
      <c r="F465" s="7">
        <v>46120.416666666664</v>
      </c>
      <c r="G465" s="3" t="s">
        <v>2603</v>
      </c>
    </row>
    <row r="466">
      <c r="A466" s="3" t="s">
        <v>2605</v>
      </c>
      <c r="B466" s="3" t="s">
        <v>1197</v>
      </c>
      <c r="C466" s="5" t="s">
        <v>45</v>
      </c>
      <c r="D466" s="3" t="s">
        <v>221</v>
      </c>
      <c r="E466" s="3" t="s">
        <v>85</v>
      </c>
      <c r="F466" s="7">
        <v>46220.291666666664</v>
      </c>
      <c r="G466" s="3" t="s">
        <v>2606</v>
      </c>
    </row>
    <row r="467">
      <c r="A467" s="3" t="s">
        <v>2608</v>
      </c>
      <c r="B467" s="3" t="s">
        <v>1197</v>
      </c>
      <c r="C467" s="5" t="s">
        <v>221</v>
      </c>
      <c r="D467" s="3" t="s">
        <v>614</v>
      </c>
      <c r="E467" s="3" t="s">
        <v>118</v>
      </c>
      <c r="F467" s="7">
        <v>46220.33333333333</v>
      </c>
      <c r="G467" s="3" t="s">
        <v>2606</v>
      </c>
    </row>
    <row r="468">
      <c r="A468" s="3" t="s">
        <v>2610</v>
      </c>
      <c r="B468" s="3" t="s">
        <v>1197</v>
      </c>
      <c r="C468" s="5" t="s">
        <v>614</v>
      </c>
      <c r="D468" s="3" t="s">
        <v>206</v>
      </c>
      <c r="E468" s="3" t="s">
        <v>100</v>
      </c>
      <c r="F468" s="7">
        <v>46220.375</v>
      </c>
      <c r="G468" s="3" t="s">
        <v>2606</v>
      </c>
    </row>
    <row r="469">
      <c r="A469" s="3" t="s">
        <v>2611</v>
      </c>
      <c r="B469" s="3" t="s">
        <v>1197</v>
      </c>
      <c r="C469" s="5" t="s">
        <v>206</v>
      </c>
      <c r="D469" s="3" t="s">
        <v>68</v>
      </c>
      <c r="E469" s="3" t="s">
        <v>100</v>
      </c>
      <c r="F469" s="7">
        <v>46220.416666666664</v>
      </c>
      <c r="G469" s="3" t="s">
        <v>2613</v>
      </c>
    </row>
    <row r="470">
      <c r="A470" s="3" t="s">
        <v>2614</v>
      </c>
      <c r="B470" s="3" t="s">
        <v>1199</v>
      </c>
      <c r="C470" s="5" t="s">
        <v>45</v>
      </c>
      <c r="D470" s="3" t="s">
        <v>221</v>
      </c>
      <c r="E470" s="3" t="s">
        <v>89</v>
      </c>
      <c r="F470" s="7">
        <v>45925.291666666664</v>
      </c>
      <c r="G470" s="3" t="s">
        <v>2616</v>
      </c>
    </row>
    <row r="471">
      <c r="A471" s="3" t="s">
        <v>2617</v>
      </c>
      <c r="B471" s="3" t="s">
        <v>1199</v>
      </c>
      <c r="C471" s="5" t="s">
        <v>221</v>
      </c>
      <c r="D471" s="3" t="s">
        <v>614</v>
      </c>
      <c r="E471" s="3" t="s">
        <v>118</v>
      </c>
      <c r="F471" s="7">
        <v>45925.33333333333</v>
      </c>
      <c r="G471" s="3" t="s">
        <v>2616</v>
      </c>
    </row>
    <row r="472">
      <c r="A472" s="3" t="s">
        <v>2619</v>
      </c>
      <c r="B472" s="3" t="s">
        <v>1199</v>
      </c>
      <c r="C472" s="5" t="s">
        <v>614</v>
      </c>
      <c r="D472" s="3" t="s">
        <v>206</v>
      </c>
      <c r="E472" s="3" t="s">
        <v>100</v>
      </c>
      <c r="F472" s="7">
        <v>45925.375</v>
      </c>
      <c r="G472" s="3" t="s">
        <v>2616</v>
      </c>
    </row>
    <row r="473">
      <c r="A473" s="3" t="s">
        <v>2621</v>
      </c>
      <c r="B473" s="3" t="s">
        <v>1199</v>
      </c>
      <c r="C473" s="5" t="s">
        <v>206</v>
      </c>
      <c r="D473" s="3" t="s">
        <v>68</v>
      </c>
      <c r="E473" s="3" t="s">
        <v>100</v>
      </c>
      <c r="F473" s="7">
        <v>45925.416666666664</v>
      </c>
      <c r="G473" s="3" t="s">
        <v>2623</v>
      </c>
    </row>
    <row r="474">
      <c r="A474" s="3" t="s">
        <v>2624</v>
      </c>
      <c r="B474" s="3" t="s">
        <v>1202</v>
      </c>
      <c r="C474" s="5" t="s">
        <v>45</v>
      </c>
      <c r="D474" s="3" t="s">
        <v>221</v>
      </c>
      <c r="E474" s="3" t="s">
        <v>89</v>
      </c>
      <c r="F474" s="7">
        <v>46025.291666666664</v>
      </c>
      <c r="G474" s="3" t="s">
        <v>2626</v>
      </c>
    </row>
    <row r="475">
      <c r="A475" s="3" t="s">
        <v>2627</v>
      </c>
      <c r="B475" s="3" t="s">
        <v>1202</v>
      </c>
      <c r="C475" s="5" t="s">
        <v>221</v>
      </c>
      <c r="D475" s="3" t="s">
        <v>614</v>
      </c>
      <c r="E475" s="3" t="s">
        <v>118</v>
      </c>
      <c r="F475" s="7">
        <v>46025.33333333333</v>
      </c>
      <c r="G475" s="3" t="s">
        <v>2626</v>
      </c>
    </row>
    <row r="476">
      <c r="A476" s="3" t="s">
        <v>2629</v>
      </c>
      <c r="B476" s="3" t="s">
        <v>1202</v>
      </c>
      <c r="C476" s="5" t="s">
        <v>614</v>
      </c>
      <c r="D476" s="3" t="s">
        <v>206</v>
      </c>
      <c r="E476" s="3" t="s">
        <v>100</v>
      </c>
      <c r="F476" s="7">
        <v>46025.375</v>
      </c>
      <c r="G476" s="3" t="s">
        <v>2626</v>
      </c>
    </row>
    <row r="477">
      <c r="A477" s="3" t="s">
        <v>2631</v>
      </c>
      <c r="B477" s="3" t="s">
        <v>1202</v>
      </c>
      <c r="C477" s="5" t="s">
        <v>206</v>
      </c>
      <c r="D477" s="3" t="s">
        <v>68</v>
      </c>
      <c r="E477" s="3" t="s">
        <v>100</v>
      </c>
      <c r="F477" s="7">
        <v>46025.416666666664</v>
      </c>
      <c r="G477" s="3" t="s">
        <v>2632</v>
      </c>
    </row>
    <row r="478">
      <c r="A478" s="3" t="s">
        <v>2634</v>
      </c>
      <c r="B478" s="3" t="s">
        <v>1205</v>
      </c>
      <c r="C478" s="5" t="s">
        <v>45</v>
      </c>
      <c r="D478" s="3" t="s">
        <v>221</v>
      </c>
      <c r="E478" s="3" t="s">
        <v>89</v>
      </c>
      <c r="F478" s="7">
        <v>46125.291666666664</v>
      </c>
      <c r="G478" s="3" t="s">
        <v>2635</v>
      </c>
    </row>
    <row r="479">
      <c r="A479" s="3" t="s">
        <v>2637</v>
      </c>
      <c r="B479" s="3" t="s">
        <v>1205</v>
      </c>
      <c r="C479" s="5" t="s">
        <v>221</v>
      </c>
      <c r="D479" s="3" t="s">
        <v>614</v>
      </c>
      <c r="E479" s="3" t="s">
        <v>118</v>
      </c>
      <c r="F479" s="7">
        <v>46125.33333333333</v>
      </c>
      <c r="G479" s="3" t="s">
        <v>2635</v>
      </c>
    </row>
    <row r="480">
      <c r="A480" s="3" t="s">
        <v>2639</v>
      </c>
      <c r="B480" s="3" t="s">
        <v>1205</v>
      </c>
      <c r="C480" s="5" t="s">
        <v>614</v>
      </c>
      <c r="D480" s="3" t="s">
        <v>206</v>
      </c>
      <c r="E480" s="3" t="s">
        <v>100</v>
      </c>
      <c r="F480" s="7">
        <v>46125.375</v>
      </c>
      <c r="G480" s="3" t="s">
        <v>2635</v>
      </c>
    </row>
    <row r="481">
      <c r="A481" s="3" t="s">
        <v>2641</v>
      </c>
      <c r="B481" s="3" t="s">
        <v>1205</v>
      </c>
      <c r="C481" s="5" t="s">
        <v>206</v>
      </c>
      <c r="D481" s="3" t="s">
        <v>68</v>
      </c>
      <c r="E481" s="3" t="s">
        <v>100</v>
      </c>
      <c r="F481" s="7">
        <v>46125.416666666664</v>
      </c>
      <c r="G481" s="3" t="s">
        <v>2643</v>
      </c>
    </row>
    <row r="482">
      <c r="A482" s="3" t="s">
        <v>2644</v>
      </c>
      <c r="B482" s="3" t="s">
        <v>1207</v>
      </c>
      <c r="C482" s="5" t="s">
        <v>45</v>
      </c>
      <c r="D482" s="3" t="s">
        <v>221</v>
      </c>
      <c r="E482" s="3" t="s">
        <v>89</v>
      </c>
      <c r="F482" s="7">
        <v>46225.291666666664</v>
      </c>
      <c r="G482" s="3" t="s">
        <v>2646</v>
      </c>
    </row>
    <row r="483">
      <c r="A483" s="3" t="s">
        <v>2647</v>
      </c>
      <c r="B483" s="3" t="s">
        <v>1207</v>
      </c>
      <c r="C483" s="5" t="s">
        <v>221</v>
      </c>
      <c r="D483" s="3" t="s">
        <v>614</v>
      </c>
      <c r="E483" s="3" t="s">
        <v>118</v>
      </c>
      <c r="F483" s="7">
        <v>46225.33333333333</v>
      </c>
      <c r="G483" s="3" t="s">
        <v>2646</v>
      </c>
    </row>
    <row r="484">
      <c r="A484" s="3" t="s">
        <v>2649</v>
      </c>
      <c r="B484" s="3" t="s">
        <v>1207</v>
      </c>
      <c r="C484" s="5" t="s">
        <v>614</v>
      </c>
      <c r="D484" s="3" t="s">
        <v>206</v>
      </c>
      <c r="E484" s="3" t="s">
        <v>100</v>
      </c>
      <c r="F484" s="7">
        <v>46225.375</v>
      </c>
      <c r="G484" s="3" t="s">
        <v>2646</v>
      </c>
    </row>
    <row r="485">
      <c r="A485" s="3" t="s">
        <v>2651</v>
      </c>
      <c r="B485" s="3" t="s">
        <v>1207</v>
      </c>
      <c r="C485" s="5" t="s">
        <v>206</v>
      </c>
      <c r="D485" s="3" t="s">
        <v>68</v>
      </c>
      <c r="E485" s="3" t="s">
        <v>100</v>
      </c>
      <c r="F485" s="7">
        <v>46225.416666666664</v>
      </c>
      <c r="G485" s="3" t="s">
        <v>2652</v>
      </c>
    </row>
    <row r="486">
      <c r="A486" s="3" t="s">
        <v>2654</v>
      </c>
      <c r="B486" s="3" t="s">
        <v>1209</v>
      </c>
      <c r="C486" s="5" t="s">
        <v>45</v>
      </c>
      <c r="D486" s="3" t="s">
        <v>221</v>
      </c>
      <c r="E486" s="3" t="s">
        <v>91</v>
      </c>
      <c r="F486" s="7">
        <v>45930.291666666664</v>
      </c>
      <c r="G486" s="3" t="s">
        <v>2655</v>
      </c>
    </row>
    <row r="487">
      <c r="A487" s="3" t="s">
        <v>2657</v>
      </c>
      <c r="B487" s="3" t="s">
        <v>1209</v>
      </c>
      <c r="C487" s="5" t="s">
        <v>221</v>
      </c>
      <c r="D487" s="3" t="s">
        <v>614</v>
      </c>
      <c r="E487" s="3" t="s">
        <v>118</v>
      </c>
      <c r="F487" s="7">
        <v>45930.33333333333</v>
      </c>
      <c r="G487" s="3" t="s">
        <v>2655</v>
      </c>
    </row>
    <row r="488">
      <c r="A488" s="3" t="s">
        <v>2658</v>
      </c>
      <c r="B488" s="3" t="s">
        <v>1209</v>
      </c>
      <c r="C488" s="5" t="s">
        <v>614</v>
      </c>
      <c r="D488" s="3" t="s">
        <v>206</v>
      </c>
      <c r="E488" s="3" t="s">
        <v>100</v>
      </c>
      <c r="F488" s="7">
        <v>45930.375</v>
      </c>
      <c r="G488" s="3" t="s">
        <v>2655</v>
      </c>
    </row>
    <row r="489">
      <c r="A489" s="3" t="s">
        <v>2660</v>
      </c>
      <c r="B489" s="3" t="s">
        <v>1209</v>
      </c>
      <c r="C489" s="5" t="s">
        <v>206</v>
      </c>
      <c r="D489" s="3" t="s">
        <v>68</v>
      </c>
      <c r="E489" s="3" t="s">
        <v>100</v>
      </c>
      <c r="F489" s="7">
        <v>45930.416666666664</v>
      </c>
      <c r="G489" s="3" t="s">
        <v>2662</v>
      </c>
    </row>
    <row r="490">
      <c r="A490" s="3" t="s">
        <v>2663</v>
      </c>
      <c r="B490" s="3" t="s">
        <v>1212</v>
      </c>
      <c r="C490" s="5" t="s">
        <v>45</v>
      </c>
      <c r="D490" s="3" t="s">
        <v>221</v>
      </c>
      <c r="E490" s="3" t="s">
        <v>91</v>
      </c>
      <c r="F490" s="7">
        <v>46030.291666666664</v>
      </c>
      <c r="G490" s="3" t="s">
        <v>2665</v>
      </c>
    </row>
    <row r="491">
      <c r="A491" s="3" t="s">
        <v>2666</v>
      </c>
      <c r="B491" s="3" t="s">
        <v>1212</v>
      </c>
      <c r="C491" s="5" t="s">
        <v>221</v>
      </c>
      <c r="D491" s="3" t="s">
        <v>614</v>
      </c>
      <c r="E491" s="3" t="s">
        <v>118</v>
      </c>
      <c r="F491" s="7">
        <v>46030.33333333333</v>
      </c>
      <c r="G491" s="3" t="s">
        <v>2665</v>
      </c>
    </row>
    <row r="492">
      <c r="A492" s="3" t="s">
        <v>2668</v>
      </c>
      <c r="B492" s="3" t="s">
        <v>1212</v>
      </c>
      <c r="C492" s="5" t="s">
        <v>614</v>
      </c>
      <c r="D492" s="3" t="s">
        <v>206</v>
      </c>
      <c r="E492" s="3" t="s">
        <v>100</v>
      </c>
      <c r="F492" s="7">
        <v>46030.375</v>
      </c>
      <c r="G492" s="3" t="s">
        <v>2665</v>
      </c>
    </row>
    <row r="493">
      <c r="A493" s="3" t="s">
        <v>2670</v>
      </c>
      <c r="B493" s="3" t="s">
        <v>1212</v>
      </c>
      <c r="C493" s="5" t="s">
        <v>206</v>
      </c>
      <c r="D493" s="3" t="s">
        <v>68</v>
      </c>
      <c r="E493" s="3" t="s">
        <v>100</v>
      </c>
      <c r="F493" s="7">
        <v>46030.416666666664</v>
      </c>
      <c r="G493" s="3" t="s">
        <v>2672</v>
      </c>
    </row>
    <row r="494">
      <c r="A494" s="3" t="s">
        <v>2673</v>
      </c>
      <c r="B494" s="3" t="s">
        <v>1213</v>
      </c>
      <c r="C494" s="5" t="s">
        <v>45</v>
      </c>
      <c r="D494" s="3" t="s">
        <v>221</v>
      </c>
      <c r="E494" s="3" t="s">
        <v>91</v>
      </c>
      <c r="F494" s="7">
        <v>46130.291666666664</v>
      </c>
      <c r="G494" s="3" t="s">
        <v>2675</v>
      </c>
    </row>
    <row r="495">
      <c r="A495" s="3" t="s">
        <v>2676</v>
      </c>
      <c r="B495" s="3" t="s">
        <v>1213</v>
      </c>
      <c r="C495" s="5" t="s">
        <v>221</v>
      </c>
      <c r="D495" s="3" t="s">
        <v>614</v>
      </c>
      <c r="E495" s="3" t="s">
        <v>118</v>
      </c>
      <c r="F495" s="7">
        <v>46130.33333333333</v>
      </c>
      <c r="G495" s="3" t="s">
        <v>2675</v>
      </c>
    </row>
    <row r="496">
      <c r="A496" s="3" t="s">
        <v>2678</v>
      </c>
      <c r="B496" s="3" t="s">
        <v>1213</v>
      </c>
      <c r="C496" s="5" t="s">
        <v>614</v>
      </c>
      <c r="D496" s="3" t="s">
        <v>206</v>
      </c>
      <c r="E496" s="3" t="s">
        <v>100</v>
      </c>
      <c r="F496" s="7">
        <v>46130.375</v>
      </c>
      <c r="G496" s="3" t="s">
        <v>2675</v>
      </c>
    </row>
    <row r="497">
      <c r="A497" s="3" t="s">
        <v>2680</v>
      </c>
      <c r="B497" s="3" t="s">
        <v>1213</v>
      </c>
      <c r="C497" s="5" t="s">
        <v>206</v>
      </c>
      <c r="D497" s="3" t="s">
        <v>68</v>
      </c>
      <c r="E497" s="3" t="s">
        <v>100</v>
      </c>
      <c r="F497" s="7">
        <v>46130.416666666664</v>
      </c>
      <c r="G497" s="3" t="s">
        <v>2681</v>
      </c>
    </row>
    <row r="498">
      <c r="A498" s="3" t="s">
        <v>2683</v>
      </c>
      <c r="B498" s="3" t="s">
        <v>1217</v>
      </c>
      <c r="C498" s="5" t="s">
        <v>45</v>
      </c>
      <c r="D498" s="3" t="s">
        <v>221</v>
      </c>
      <c r="E498" s="3" t="s">
        <v>91</v>
      </c>
      <c r="F498" s="7">
        <v>46230.291666666664</v>
      </c>
      <c r="G498" s="3" t="s">
        <v>2684</v>
      </c>
    </row>
    <row r="499">
      <c r="A499" s="3" t="s">
        <v>2686</v>
      </c>
      <c r="B499" s="3" t="s">
        <v>1217</v>
      </c>
      <c r="C499" s="5" t="s">
        <v>221</v>
      </c>
      <c r="D499" s="3" t="s">
        <v>614</v>
      </c>
      <c r="E499" s="3" t="s">
        <v>118</v>
      </c>
      <c r="F499" s="7">
        <v>46230.33333333333</v>
      </c>
      <c r="G499" s="3" t="s">
        <v>2684</v>
      </c>
    </row>
    <row r="500">
      <c r="A500" s="3" t="s">
        <v>2688</v>
      </c>
      <c r="B500" s="3" t="s">
        <v>1217</v>
      </c>
      <c r="C500" s="5" t="s">
        <v>614</v>
      </c>
      <c r="D500" s="3" t="s">
        <v>206</v>
      </c>
      <c r="E500" s="3" t="s">
        <v>100</v>
      </c>
      <c r="F500" s="7">
        <v>46230.375</v>
      </c>
      <c r="G500" s="3" t="s">
        <v>2684</v>
      </c>
    </row>
    <row r="501">
      <c r="A501" s="3" t="s">
        <v>2690</v>
      </c>
      <c r="B501" s="3" t="s">
        <v>1217</v>
      </c>
      <c r="C501" s="5" t="s">
        <v>206</v>
      </c>
      <c r="D501" s="3" t="s">
        <v>68</v>
      </c>
      <c r="E501" s="3" t="s">
        <v>100</v>
      </c>
      <c r="F501" s="7">
        <v>46230.416666666664</v>
      </c>
      <c r="G501" s="3" t="s">
        <v>2692</v>
      </c>
    </row>
    <row r="502">
      <c r="A502" s="3" t="s">
        <v>2694</v>
      </c>
      <c r="B502" s="3" t="s">
        <v>1219</v>
      </c>
      <c r="C502" s="5" t="s">
        <v>45</v>
      </c>
      <c r="D502" s="3" t="s">
        <v>221</v>
      </c>
      <c r="E502" s="3" t="s">
        <v>95</v>
      </c>
      <c r="F502" s="7">
        <v>45935.291666666664</v>
      </c>
      <c r="G502" s="3" t="s">
        <v>2696</v>
      </c>
    </row>
    <row r="503">
      <c r="A503" s="3" t="s">
        <v>2697</v>
      </c>
      <c r="B503" s="3" t="s">
        <v>1219</v>
      </c>
      <c r="C503" s="5" t="s">
        <v>221</v>
      </c>
      <c r="D503" s="3" t="s">
        <v>614</v>
      </c>
      <c r="E503" s="3" t="s">
        <v>118</v>
      </c>
      <c r="F503" s="7">
        <v>45935.33333333333</v>
      </c>
      <c r="G503" s="3" t="s">
        <v>2696</v>
      </c>
    </row>
    <row r="504">
      <c r="A504" s="3" t="s">
        <v>2699</v>
      </c>
      <c r="B504" s="3" t="s">
        <v>1219</v>
      </c>
      <c r="C504" s="5" t="s">
        <v>614</v>
      </c>
      <c r="D504" s="3" t="s">
        <v>206</v>
      </c>
      <c r="E504" s="3" t="s">
        <v>100</v>
      </c>
      <c r="F504" s="7">
        <v>45935.375</v>
      </c>
      <c r="G504" s="3" t="s">
        <v>2696</v>
      </c>
    </row>
    <row r="505">
      <c r="A505" s="3" t="s">
        <v>2701</v>
      </c>
      <c r="B505" s="3" t="s">
        <v>1219</v>
      </c>
      <c r="C505" s="5" t="s">
        <v>206</v>
      </c>
      <c r="D505" s="3" t="s">
        <v>68</v>
      </c>
      <c r="E505" s="3" t="s">
        <v>100</v>
      </c>
      <c r="F505" s="7">
        <v>45935.416666666664</v>
      </c>
      <c r="G505" s="3" t="s">
        <v>2703</v>
      </c>
    </row>
    <row r="506">
      <c r="A506" s="3" t="s">
        <v>2704</v>
      </c>
      <c r="B506" s="3" t="s">
        <v>1221</v>
      </c>
      <c r="C506" s="5" t="s">
        <v>45</v>
      </c>
      <c r="D506" s="3" t="s">
        <v>221</v>
      </c>
      <c r="E506" s="3" t="s">
        <v>95</v>
      </c>
      <c r="F506" s="7">
        <v>46035.291666666664</v>
      </c>
      <c r="G506" s="3" t="s">
        <v>2705</v>
      </c>
    </row>
    <row r="507">
      <c r="A507" s="3" t="s">
        <v>2707</v>
      </c>
      <c r="B507" s="3" t="s">
        <v>1221</v>
      </c>
      <c r="C507" s="5" t="s">
        <v>221</v>
      </c>
      <c r="D507" s="3" t="s">
        <v>614</v>
      </c>
      <c r="E507" s="3" t="s">
        <v>118</v>
      </c>
      <c r="F507" s="7">
        <v>46035.33333333333</v>
      </c>
      <c r="G507" s="3" t="s">
        <v>2705</v>
      </c>
    </row>
    <row r="508">
      <c r="A508" s="3" t="s">
        <v>2708</v>
      </c>
      <c r="B508" s="3" t="s">
        <v>1221</v>
      </c>
      <c r="C508" s="5" t="s">
        <v>614</v>
      </c>
      <c r="D508" s="3" t="s">
        <v>206</v>
      </c>
      <c r="E508" s="3" t="s">
        <v>100</v>
      </c>
      <c r="F508" s="7">
        <v>46035.375</v>
      </c>
      <c r="G508" s="3" t="s">
        <v>2705</v>
      </c>
    </row>
    <row r="509">
      <c r="A509" s="3" t="s">
        <v>2710</v>
      </c>
      <c r="B509" s="3" t="s">
        <v>1221</v>
      </c>
      <c r="C509" s="5" t="s">
        <v>206</v>
      </c>
      <c r="D509" s="3" t="s">
        <v>68</v>
      </c>
      <c r="E509" s="3" t="s">
        <v>100</v>
      </c>
      <c r="F509" s="7">
        <v>46035.416666666664</v>
      </c>
      <c r="G509" s="3" t="s">
        <v>2712</v>
      </c>
    </row>
    <row r="510">
      <c r="A510" s="3" t="s">
        <v>2713</v>
      </c>
      <c r="B510" s="3" t="s">
        <v>1223</v>
      </c>
      <c r="C510" s="5" t="s">
        <v>45</v>
      </c>
      <c r="D510" s="3" t="s">
        <v>221</v>
      </c>
      <c r="E510" s="3" t="s">
        <v>95</v>
      </c>
      <c r="F510" s="7">
        <v>46135.291666666664</v>
      </c>
      <c r="G510" s="3" t="s">
        <v>2715</v>
      </c>
    </row>
    <row r="511">
      <c r="A511" s="3" t="s">
        <v>2716</v>
      </c>
      <c r="B511" s="3" t="s">
        <v>1223</v>
      </c>
      <c r="C511" s="5" t="s">
        <v>221</v>
      </c>
      <c r="D511" s="3" t="s">
        <v>614</v>
      </c>
      <c r="E511" s="3" t="s">
        <v>118</v>
      </c>
      <c r="F511" s="7">
        <v>46135.33333333333</v>
      </c>
      <c r="G511" s="3" t="s">
        <v>2715</v>
      </c>
    </row>
    <row r="512">
      <c r="A512" s="3" t="s">
        <v>2718</v>
      </c>
      <c r="B512" s="3" t="s">
        <v>1223</v>
      </c>
      <c r="C512" s="5" t="s">
        <v>614</v>
      </c>
      <c r="D512" s="3" t="s">
        <v>206</v>
      </c>
      <c r="E512" s="3" t="s">
        <v>100</v>
      </c>
      <c r="F512" s="7">
        <v>46135.375</v>
      </c>
      <c r="G512" s="3" t="s">
        <v>2715</v>
      </c>
    </row>
    <row r="513">
      <c r="A513" s="3" t="s">
        <v>2720</v>
      </c>
      <c r="B513" s="3" t="s">
        <v>1223</v>
      </c>
      <c r="C513" s="5" t="s">
        <v>206</v>
      </c>
      <c r="D513" s="3" t="s">
        <v>68</v>
      </c>
      <c r="E513" s="3" t="s">
        <v>100</v>
      </c>
      <c r="F513" s="7">
        <v>46135.416666666664</v>
      </c>
      <c r="G513" s="3" t="s">
        <v>2722</v>
      </c>
    </row>
    <row r="514">
      <c r="A514" s="3" t="s">
        <v>2723</v>
      </c>
      <c r="B514" s="3" t="s">
        <v>1224</v>
      </c>
      <c r="C514" s="5" t="s">
        <v>45</v>
      </c>
      <c r="D514" s="3" t="s">
        <v>221</v>
      </c>
      <c r="E514" s="3" t="s">
        <v>95</v>
      </c>
      <c r="F514" s="7">
        <v>46235.291666666664</v>
      </c>
      <c r="G514" s="3" t="s">
        <v>2725</v>
      </c>
    </row>
    <row r="515">
      <c r="A515" s="3" t="s">
        <v>2726</v>
      </c>
      <c r="B515" s="3" t="s">
        <v>1224</v>
      </c>
      <c r="C515" s="5" t="s">
        <v>221</v>
      </c>
      <c r="D515" s="3" t="s">
        <v>614</v>
      </c>
      <c r="E515" s="3" t="s">
        <v>118</v>
      </c>
      <c r="F515" s="7">
        <v>46235.33333333333</v>
      </c>
      <c r="G515" s="3" t="s">
        <v>2725</v>
      </c>
    </row>
    <row r="516">
      <c r="A516" s="3" t="s">
        <v>2728</v>
      </c>
      <c r="B516" s="3" t="s">
        <v>1224</v>
      </c>
      <c r="C516" s="5" t="s">
        <v>614</v>
      </c>
      <c r="D516" s="3" t="s">
        <v>206</v>
      </c>
      <c r="E516" s="3" t="s">
        <v>100</v>
      </c>
      <c r="F516" s="7">
        <v>46235.375</v>
      </c>
      <c r="G516" s="3" t="s">
        <v>2725</v>
      </c>
    </row>
    <row r="517">
      <c r="A517" s="3" t="s">
        <v>2730</v>
      </c>
      <c r="B517" s="3" t="s">
        <v>1224</v>
      </c>
      <c r="C517" s="5" t="s">
        <v>206</v>
      </c>
      <c r="D517" s="3" t="s">
        <v>68</v>
      </c>
      <c r="E517" s="3" t="s">
        <v>100</v>
      </c>
      <c r="F517" s="7">
        <v>46235.416666666664</v>
      </c>
      <c r="G517" s="3" t="s">
        <v>2732</v>
      </c>
    </row>
    <row r="518">
      <c r="A518" s="3" t="s">
        <v>2733</v>
      </c>
      <c r="B518" s="3" t="s">
        <v>1227</v>
      </c>
      <c r="C518" s="5" t="s">
        <v>45</v>
      </c>
      <c r="D518" s="3" t="s">
        <v>221</v>
      </c>
      <c r="E518" s="3" t="s">
        <v>535</v>
      </c>
      <c r="F518" s="7">
        <v>45761.37499999999</v>
      </c>
      <c r="G518" s="3" t="s">
        <v>2735</v>
      </c>
    </row>
    <row r="519">
      <c r="A519" s="3" t="s">
        <v>2736</v>
      </c>
      <c r="B519" s="3" t="s">
        <v>1227</v>
      </c>
      <c r="C519" s="5" t="s">
        <v>221</v>
      </c>
      <c r="D519" s="3" t="s">
        <v>614</v>
      </c>
      <c r="E519" s="3" t="s">
        <v>118</v>
      </c>
      <c r="F519" s="7">
        <v>45761.37847222221</v>
      </c>
      <c r="G519" s="3" t="s">
        <v>2737</v>
      </c>
    </row>
    <row r="520">
      <c r="A520" s="3" t="s">
        <v>2739</v>
      </c>
      <c r="B520" s="3" t="s">
        <v>1227</v>
      </c>
      <c r="C520" s="5" t="s">
        <v>614</v>
      </c>
      <c r="D520" s="3" t="s">
        <v>206</v>
      </c>
      <c r="E520" s="3" t="s">
        <v>100</v>
      </c>
      <c r="F520" s="7">
        <v>45761.38194444444</v>
      </c>
      <c r="G520" s="3" t="s">
        <v>2740</v>
      </c>
    </row>
    <row r="521">
      <c r="A521" s="3" t="s">
        <v>2742</v>
      </c>
      <c r="B521" s="3" t="s">
        <v>1227</v>
      </c>
      <c r="C521" s="5" t="s">
        <v>206</v>
      </c>
      <c r="D521" s="3" t="s">
        <v>68</v>
      </c>
      <c r="E521" s="3" t="s">
        <v>100</v>
      </c>
      <c r="F521" s="7">
        <v>45761.38541666666</v>
      </c>
      <c r="G521" s="3" t="s">
        <v>2743</v>
      </c>
    </row>
    <row r="522">
      <c r="A522" s="3" t="s">
        <v>2745</v>
      </c>
      <c r="B522" s="3" t="s">
        <v>1230</v>
      </c>
      <c r="C522" s="5" t="s">
        <v>45</v>
      </c>
      <c r="D522" s="3" t="s">
        <v>221</v>
      </c>
      <c r="E522" s="3" t="s">
        <v>575</v>
      </c>
      <c r="F522" s="7">
        <v>45761.44617484541</v>
      </c>
      <c r="G522" s="3" t="s">
        <v>2746</v>
      </c>
    </row>
    <row r="523">
      <c r="A523" s="3" t="s">
        <v>2748</v>
      </c>
      <c r="B523" s="3" t="s">
        <v>1230</v>
      </c>
      <c r="C523" s="5" t="s">
        <v>221</v>
      </c>
      <c r="D523" s="3" t="s">
        <v>614</v>
      </c>
      <c r="E523" s="3" t="s">
        <v>118</v>
      </c>
      <c r="F523" s="7">
        <v>45761.44964706763</v>
      </c>
      <c r="G523" s="3" t="s">
        <v>2749</v>
      </c>
    </row>
    <row r="524">
      <c r="A524" s="3" t="s">
        <v>2750</v>
      </c>
      <c r="B524" s="3" t="s">
        <v>1230</v>
      </c>
      <c r="C524" s="5" t="s">
        <v>614</v>
      </c>
      <c r="D524" s="3" t="s">
        <v>206</v>
      </c>
      <c r="E524" s="3" t="s">
        <v>100</v>
      </c>
      <c r="F524" s="7">
        <v>45761.45311928986</v>
      </c>
      <c r="G524" s="3" t="s">
        <v>2752</v>
      </c>
    </row>
    <row r="525">
      <c r="A525" s="3" t="s">
        <v>2753</v>
      </c>
      <c r="B525" s="3" t="s">
        <v>1230</v>
      </c>
      <c r="C525" s="5" t="s">
        <v>206</v>
      </c>
      <c r="D525" s="3" t="s">
        <v>68</v>
      </c>
      <c r="E525" s="3" t="s">
        <v>100</v>
      </c>
      <c r="F525" s="7">
        <v>45761.45659151208</v>
      </c>
      <c r="G525" s="3" t="s">
        <v>2755</v>
      </c>
    </row>
    <row r="526">
      <c r="A526" s="3" t="s">
        <v>2756</v>
      </c>
      <c r="B526" s="3" t="s">
        <v>1233</v>
      </c>
      <c r="C526" s="5" t="s">
        <v>45</v>
      </c>
      <c r="D526" s="3" t="s">
        <v>221</v>
      </c>
      <c r="E526" s="3" t="s">
        <v>516</v>
      </c>
      <c r="F526" s="7">
        <v>45761.51734969083</v>
      </c>
      <c r="G526" s="3" t="s">
        <v>2758</v>
      </c>
    </row>
    <row r="527">
      <c r="A527" s="3" t="s">
        <v>2760</v>
      </c>
      <c r="B527" s="3" t="s">
        <v>1233</v>
      </c>
      <c r="C527" s="5" t="s">
        <v>221</v>
      </c>
      <c r="D527" s="3" t="s">
        <v>614</v>
      </c>
      <c r="E527" s="3" t="s">
        <v>118</v>
      </c>
      <c r="F527" s="7">
        <v>45761.52082191305</v>
      </c>
      <c r="G527" s="3" t="s">
        <v>2762</v>
      </c>
    </row>
    <row r="528">
      <c r="A528" s="3" t="s">
        <v>2763</v>
      </c>
      <c r="B528" s="3" t="s">
        <v>1233</v>
      </c>
      <c r="C528" s="5" t="s">
        <v>614</v>
      </c>
      <c r="D528" s="3" t="s">
        <v>206</v>
      </c>
      <c r="E528" s="3" t="s">
        <v>100</v>
      </c>
      <c r="F528" s="7">
        <v>45761.52429413528</v>
      </c>
      <c r="G528" s="3" t="s">
        <v>2765</v>
      </c>
    </row>
    <row r="529">
      <c r="A529" s="3" t="s">
        <v>2766</v>
      </c>
      <c r="B529" s="3" t="s">
        <v>1233</v>
      </c>
      <c r="C529" s="5" t="s">
        <v>206</v>
      </c>
      <c r="D529" s="3" t="s">
        <v>68</v>
      </c>
      <c r="E529" s="3" t="s">
        <v>100</v>
      </c>
      <c r="F529" s="7">
        <v>45761.527766357496</v>
      </c>
      <c r="G529" s="3" t="s">
        <v>2767</v>
      </c>
    </row>
    <row r="530">
      <c r="A530" s="3" t="s">
        <v>2769</v>
      </c>
      <c r="B530" s="3" t="s">
        <v>1236</v>
      </c>
      <c r="C530" s="5" t="s">
        <v>45</v>
      </c>
      <c r="D530" s="3" t="s">
        <v>221</v>
      </c>
      <c r="E530" s="3" t="s">
        <v>546</v>
      </c>
      <c r="F530" s="7">
        <v>45761.588524536244</v>
      </c>
      <c r="G530" s="3" t="s">
        <v>2770</v>
      </c>
    </row>
    <row r="531">
      <c r="A531" s="3" t="s">
        <v>2772</v>
      </c>
      <c r="B531" s="3" t="s">
        <v>1236</v>
      </c>
      <c r="C531" s="5" t="s">
        <v>221</v>
      </c>
      <c r="D531" s="3" t="s">
        <v>181</v>
      </c>
      <c r="E531" s="3" t="s">
        <v>118</v>
      </c>
      <c r="F531" s="7">
        <v>45761.59199675846</v>
      </c>
      <c r="G531" s="3" t="s">
        <v>2774</v>
      </c>
    </row>
    <row r="532">
      <c r="A532" s="3" t="s">
        <v>2775</v>
      </c>
      <c r="B532" s="3" t="s">
        <v>1238</v>
      </c>
      <c r="C532" s="5" t="s">
        <v>45</v>
      </c>
      <c r="D532" s="3" t="s">
        <v>221</v>
      </c>
      <c r="E532" s="3" t="s">
        <v>488</v>
      </c>
      <c r="F532" s="7">
        <v>45761.65969938166</v>
      </c>
      <c r="G532" s="3" t="s">
        <v>2770</v>
      </c>
    </row>
    <row r="533">
      <c r="A533" s="3" t="s">
        <v>2777</v>
      </c>
      <c r="B533" s="3" t="s">
        <v>1238</v>
      </c>
      <c r="C533" s="5" t="s">
        <v>221</v>
      </c>
      <c r="D533" s="3" t="s">
        <v>181</v>
      </c>
      <c r="E533" s="3" t="s">
        <v>118</v>
      </c>
      <c r="F533" s="7">
        <v>45761.663171603876</v>
      </c>
      <c r="G533" s="3" t="s">
        <v>2774</v>
      </c>
    </row>
    <row r="534">
      <c r="A534" s="3" t="s">
        <v>2779</v>
      </c>
      <c r="B534" s="3" t="s">
        <v>1241</v>
      </c>
      <c r="C534" s="5" t="s">
        <v>45</v>
      </c>
      <c r="D534" s="3" t="s">
        <v>221</v>
      </c>
      <c r="E534" s="3" t="s">
        <v>406</v>
      </c>
      <c r="F534" s="7">
        <v>45761.730874227076</v>
      </c>
      <c r="G534" s="3" t="s">
        <v>2781</v>
      </c>
    </row>
    <row r="535">
      <c r="A535" s="3" t="s">
        <v>2782</v>
      </c>
      <c r="B535" s="3" t="s">
        <v>1241</v>
      </c>
      <c r="C535" s="5" t="s">
        <v>221</v>
      </c>
      <c r="D535" s="3" t="s">
        <v>614</v>
      </c>
      <c r="E535" s="3" t="s">
        <v>118</v>
      </c>
      <c r="F535" s="7">
        <v>45761.734346449295</v>
      </c>
      <c r="G535" s="3" t="s">
        <v>2784</v>
      </c>
    </row>
    <row r="536">
      <c r="A536" s="3" t="s">
        <v>2785</v>
      </c>
      <c r="B536" s="3" t="s">
        <v>1241</v>
      </c>
      <c r="C536" s="5" t="s">
        <v>614</v>
      </c>
      <c r="D536" s="3" t="s">
        <v>206</v>
      </c>
      <c r="E536" s="3" t="s">
        <v>100</v>
      </c>
      <c r="F536" s="7">
        <v>45761.73781867152</v>
      </c>
      <c r="G536" s="3" t="s">
        <v>2787</v>
      </c>
    </row>
    <row r="537">
      <c r="A537" s="3" t="s">
        <v>2788</v>
      </c>
      <c r="B537" s="3" t="s">
        <v>1241</v>
      </c>
      <c r="C537" s="5" t="s">
        <v>206</v>
      </c>
      <c r="D537" s="3" t="s">
        <v>68</v>
      </c>
      <c r="E537" s="3" t="s">
        <v>100</v>
      </c>
      <c r="F537" s="7">
        <v>45761.74129089374</v>
      </c>
      <c r="G537" s="3" t="s">
        <v>2790</v>
      </c>
    </row>
    <row r="538">
      <c r="A538" s="3" t="s">
        <v>2791</v>
      </c>
      <c r="B538" s="3" t="s">
        <v>1244</v>
      </c>
      <c r="C538" s="5" t="s">
        <v>45</v>
      </c>
      <c r="D538" s="3" t="s">
        <v>221</v>
      </c>
      <c r="E538" s="3" t="s">
        <v>468</v>
      </c>
      <c r="F538" s="7">
        <v>45761.80204907249</v>
      </c>
      <c r="G538" s="3" t="s">
        <v>2793</v>
      </c>
    </row>
    <row r="539">
      <c r="A539" s="3" t="s">
        <v>2794</v>
      </c>
      <c r="B539" s="3" t="s">
        <v>1244</v>
      </c>
      <c r="C539" s="5" t="s">
        <v>221</v>
      </c>
      <c r="D539" s="3" t="s">
        <v>614</v>
      </c>
      <c r="E539" s="3" t="s">
        <v>118</v>
      </c>
      <c r="F539" s="7">
        <v>45761.80552129471</v>
      </c>
      <c r="G539" s="3" t="s">
        <v>2796</v>
      </c>
    </row>
    <row r="540">
      <c r="A540" s="3" t="s">
        <v>2797</v>
      </c>
      <c r="B540" s="3" t="s">
        <v>1244</v>
      </c>
      <c r="C540" s="5" t="s">
        <v>614</v>
      </c>
      <c r="D540" s="3" t="s">
        <v>206</v>
      </c>
      <c r="E540" s="3" t="s">
        <v>100</v>
      </c>
      <c r="F540" s="7">
        <v>45761.808993516934</v>
      </c>
      <c r="G540" s="3" t="s">
        <v>2799</v>
      </c>
    </row>
    <row r="541">
      <c r="A541" s="3" t="s">
        <v>2800</v>
      </c>
      <c r="B541" s="3" t="s">
        <v>1244</v>
      </c>
      <c r="C541" s="5" t="s">
        <v>206</v>
      </c>
      <c r="D541" s="3" t="s">
        <v>68</v>
      </c>
      <c r="E541" s="3" t="s">
        <v>100</v>
      </c>
      <c r="F541" s="7">
        <v>45761.81246573915</v>
      </c>
      <c r="G541" s="3" t="s">
        <v>2801</v>
      </c>
    </row>
    <row r="542">
      <c r="A542" s="3" t="s">
        <v>2803</v>
      </c>
      <c r="B542" s="3" t="s">
        <v>1246</v>
      </c>
      <c r="C542" s="5" t="s">
        <v>45</v>
      </c>
      <c r="D542" s="3" t="s">
        <v>221</v>
      </c>
      <c r="E542" s="3" t="s">
        <v>710</v>
      </c>
      <c r="F542" s="7">
        <v>45761.8732239179</v>
      </c>
      <c r="G542" s="3" t="s">
        <v>2770</v>
      </c>
    </row>
    <row r="543">
      <c r="A543" s="3" t="s">
        <v>2804</v>
      </c>
      <c r="B543" s="3" t="s">
        <v>1246</v>
      </c>
      <c r="C543" s="5" t="s">
        <v>221</v>
      </c>
      <c r="D543" s="3" t="s">
        <v>181</v>
      </c>
      <c r="E543" s="3" t="s">
        <v>118</v>
      </c>
      <c r="F543" s="7">
        <v>45761.87669614012</v>
      </c>
      <c r="G543" s="3" t="s">
        <v>2774</v>
      </c>
    </row>
    <row r="544">
      <c r="A544" s="3" t="s">
        <v>2806</v>
      </c>
      <c r="B544" s="3" t="s">
        <v>1250</v>
      </c>
      <c r="C544" s="5" t="s">
        <v>45</v>
      </c>
      <c r="D544" s="3" t="s">
        <v>221</v>
      </c>
      <c r="E544" s="3" t="s">
        <v>344</v>
      </c>
      <c r="F544" s="7">
        <v>45761.94439876332</v>
      </c>
      <c r="G544" s="3" t="s">
        <v>2808</v>
      </c>
    </row>
    <row r="545">
      <c r="A545" s="3" t="s">
        <v>2809</v>
      </c>
      <c r="B545" s="3" t="s">
        <v>1250</v>
      </c>
      <c r="C545" s="5" t="s">
        <v>221</v>
      </c>
      <c r="D545" s="3" t="s">
        <v>614</v>
      </c>
      <c r="E545" s="3" t="s">
        <v>118</v>
      </c>
      <c r="F545" s="7">
        <v>45761.94787098554</v>
      </c>
      <c r="G545" s="3" t="s">
        <v>2811</v>
      </c>
    </row>
    <row r="546">
      <c r="A546" s="3" t="s">
        <v>2812</v>
      </c>
      <c r="B546" s="3" t="s">
        <v>1250</v>
      </c>
      <c r="C546" s="5" t="s">
        <v>614</v>
      </c>
      <c r="D546" s="3" t="s">
        <v>206</v>
      </c>
      <c r="E546" s="3" t="s">
        <v>100</v>
      </c>
      <c r="F546" s="7">
        <v>45761.951343207766</v>
      </c>
      <c r="G546" s="3" t="s">
        <v>2814</v>
      </c>
    </row>
    <row r="547">
      <c r="A547" s="3" t="s">
        <v>2815</v>
      </c>
      <c r="B547" s="3" t="s">
        <v>1250</v>
      </c>
      <c r="C547" s="5" t="s">
        <v>206</v>
      </c>
      <c r="D547" s="3" t="s">
        <v>68</v>
      </c>
      <c r="E547" s="3" t="s">
        <v>100</v>
      </c>
      <c r="F547" s="7">
        <v>45761.954815429985</v>
      </c>
      <c r="G547" s="3" t="s">
        <v>2817</v>
      </c>
    </row>
    <row r="548">
      <c r="A548" s="3" t="s">
        <v>2818</v>
      </c>
      <c r="B548" s="3" t="s">
        <v>1252</v>
      </c>
      <c r="C548" s="5" t="s">
        <v>45</v>
      </c>
      <c r="D548" s="3" t="s">
        <v>221</v>
      </c>
      <c r="E548" s="3" t="s">
        <v>462</v>
      </c>
      <c r="F548" s="7">
        <v>45762.01557360873</v>
      </c>
      <c r="G548" s="3" t="s">
        <v>2820</v>
      </c>
    </row>
    <row r="549">
      <c r="A549" s="3" t="s">
        <v>2821</v>
      </c>
      <c r="B549" s="3" t="s">
        <v>1252</v>
      </c>
      <c r="C549" s="5" t="s">
        <v>221</v>
      </c>
      <c r="D549" s="3" t="s">
        <v>614</v>
      </c>
      <c r="E549" s="3" t="s">
        <v>118</v>
      </c>
      <c r="F549" s="7">
        <v>45762.01904583095</v>
      </c>
      <c r="G549" s="3" t="s">
        <v>2823</v>
      </c>
    </row>
    <row r="550">
      <c r="A550" s="3" t="s">
        <v>2824</v>
      </c>
      <c r="B550" s="3" t="s">
        <v>1252</v>
      </c>
      <c r="C550" s="5" t="s">
        <v>614</v>
      </c>
      <c r="D550" s="3" t="s">
        <v>206</v>
      </c>
      <c r="E550" s="3" t="s">
        <v>100</v>
      </c>
      <c r="F550" s="7">
        <v>45762.02251805318</v>
      </c>
      <c r="G550" s="3" t="s">
        <v>2826</v>
      </c>
    </row>
    <row r="551">
      <c r="A551" s="3" t="s">
        <v>2827</v>
      </c>
      <c r="B551" s="3" t="s">
        <v>1252</v>
      </c>
      <c r="C551" s="5" t="s">
        <v>206</v>
      </c>
      <c r="D551" s="3" t="s">
        <v>68</v>
      </c>
      <c r="E551" s="3" t="s">
        <v>100</v>
      </c>
      <c r="F551" s="7">
        <v>45762.0259902754</v>
      </c>
      <c r="G551" s="3" t="s">
        <v>2829</v>
      </c>
    </row>
    <row r="552">
      <c r="A552" s="3" t="s">
        <v>2830</v>
      </c>
      <c r="B552" s="3" t="s">
        <v>1255</v>
      </c>
      <c r="C552" s="5" t="s">
        <v>45</v>
      </c>
      <c r="D552" s="3" t="s">
        <v>221</v>
      </c>
      <c r="E552" s="3" t="s">
        <v>377</v>
      </c>
      <c r="F552" s="7">
        <v>45762.086748454145</v>
      </c>
      <c r="G552" s="3" t="s">
        <v>2831</v>
      </c>
    </row>
    <row r="553">
      <c r="A553" s="3" t="s">
        <v>2832</v>
      </c>
      <c r="B553" s="3" t="s">
        <v>1255</v>
      </c>
      <c r="C553" s="5" t="s">
        <v>221</v>
      </c>
      <c r="D553" s="3" t="s">
        <v>614</v>
      </c>
      <c r="E553" s="3" t="s">
        <v>118</v>
      </c>
      <c r="F553" s="7">
        <v>45762.090220676364</v>
      </c>
      <c r="G553" s="3" t="s">
        <v>2834</v>
      </c>
    </row>
    <row r="554">
      <c r="A554" s="3" t="s">
        <v>2835</v>
      </c>
      <c r="B554" s="3" t="s">
        <v>1255</v>
      </c>
      <c r="C554" s="5" t="s">
        <v>614</v>
      </c>
      <c r="D554" s="3" t="s">
        <v>206</v>
      </c>
      <c r="E554" s="3" t="s">
        <v>100</v>
      </c>
      <c r="F554" s="7">
        <v>45762.09369289859</v>
      </c>
      <c r="G554" s="3" t="s">
        <v>2837</v>
      </c>
    </row>
    <row r="555">
      <c r="A555" s="3" t="s">
        <v>2838</v>
      </c>
      <c r="B555" s="3" t="s">
        <v>1255</v>
      </c>
      <c r="C555" s="5" t="s">
        <v>206</v>
      </c>
      <c r="D555" s="3" t="s">
        <v>68</v>
      </c>
      <c r="E555" s="3" t="s">
        <v>100</v>
      </c>
      <c r="F555" s="7">
        <v>45762.09716512081</v>
      </c>
      <c r="G555" s="3" t="s">
        <v>2840</v>
      </c>
    </row>
    <row r="556">
      <c r="A556" s="3" t="s">
        <v>2841</v>
      </c>
      <c r="B556" s="3" t="s">
        <v>1258</v>
      </c>
      <c r="C556" s="5" t="s">
        <v>45</v>
      </c>
      <c r="D556" s="3" t="s">
        <v>221</v>
      </c>
      <c r="E556" s="3" t="s">
        <v>767</v>
      </c>
      <c r="F556" s="7">
        <v>45762.157923299565</v>
      </c>
      <c r="G556" s="3" t="s">
        <v>2843</v>
      </c>
    </row>
    <row r="557">
      <c r="A557" s="3" t="s">
        <v>2844</v>
      </c>
      <c r="B557" s="3" t="s">
        <v>1258</v>
      </c>
      <c r="C557" s="5" t="s">
        <v>221</v>
      </c>
      <c r="D557" s="3" t="s">
        <v>614</v>
      </c>
      <c r="E557" s="3" t="s">
        <v>118</v>
      </c>
      <c r="F557" s="7">
        <v>45762.16139552178</v>
      </c>
      <c r="G557" s="3" t="s">
        <v>2846</v>
      </c>
    </row>
    <row r="558">
      <c r="A558" s="3" t="s">
        <v>2847</v>
      </c>
      <c r="B558" s="3" t="s">
        <v>1258</v>
      </c>
      <c r="C558" s="5" t="s">
        <v>614</v>
      </c>
      <c r="D558" s="3" t="s">
        <v>206</v>
      </c>
      <c r="E558" s="3" t="s">
        <v>100</v>
      </c>
      <c r="F558" s="7">
        <v>45762.16486774401</v>
      </c>
      <c r="G558" s="3" t="s">
        <v>2849</v>
      </c>
    </row>
    <row r="559">
      <c r="A559" s="3" t="s">
        <v>2850</v>
      </c>
      <c r="B559" s="3" t="s">
        <v>1258</v>
      </c>
      <c r="C559" s="5" t="s">
        <v>206</v>
      </c>
      <c r="D559" s="3" t="s">
        <v>68</v>
      </c>
      <c r="E559" s="3" t="s">
        <v>100</v>
      </c>
      <c r="F559" s="7">
        <v>45762.16833996623</v>
      </c>
      <c r="G559" s="3" t="s">
        <v>2852</v>
      </c>
    </row>
    <row r="560">
      <c r="A560" s="3" t="s">
        <v>2853</v>
      </c>
      <c r="B560" s="3" t="s">
        <v>1260</v>
      </c>
      <c r="C560" s="5" t="s">
        <v>45</v>
      </c>
      <c r="D560" s="3" t="s">
        <v>221</v>
      </c>
      <c r="E560" s="3" t="s">
        <v>485</v>
      </c>
      <c r="F560" s="7">
        <v>45762.22909814498</v>
      </c>
      <c r="G560" s="3" t="s">
        <v>2854</v>
      </c>
    </row>
    <row r="561">
      <c r="A561" s="3" t="s">
        <v>2856</v>
      </c>
      <c r="B561" s="3" t="s">
        <v>1260</v>
      </c>
      <c r="C561" s="5" t="s">
        <v>221</v>
      </c>
      <c r="D561" s="3" t="s">
        <v>614</v>
      </c>
      <c r="E561" s="3" t="s">
        <v>118</v>
      </c>
      <c r="F561" s="7">
        <v>45762.232570367196</v>
      </c>
      <c r="G561" s="3" t="s">
        <v>2857</v>
      </c>
    </row>
    <row r="562">
      <c r="A562" s="3" t="s">
        <v>2859</v>
      </c>
      <c r="B562" s="3" t="s">
        <v>1260</v>
      </c>
      <c r="C562" s="5" t="s">
        <v>614</v>
      </c>
      <c r="D562" s="3" t="s">
        <v>206</v>
      </c>
      <c r="E562" s="3" t="s">
        <v>100</v>
      </c>
      <c r="F562" s="7">
        <v>45762.23604258942</v>
      </c>
      <c r="G562" s="3" t="s">
        <v>2860</v>
      </c>
    </row>
    <row r="563">
      <c r="A563" s="3" t="s">
        <v>2861</v>
      </c>
      <c r="B563" s="3" t="s">
        <v>1260</v>
      </c>
      <c r="C563" s="5" t="s">
        <v>206</v>
      </c>
      <c r="D563" s="3" t="s">
        <v>68</v>
      </c>
      <c r="E563" s="3" t="s">
        <v>100</v>
      </c>
      <c r="F563" s="7">
        <v>45762.23951481164</v>
      </c>
      <c r="G563" s="3" t="s">
        <v>2863</v>
      </c>
    </row>
    <row r="564">
      <c r="A564" s="3" t="s">
        <v>2864</v>
      </c>
      <c r="B564" s="3" t="s">
        <v>1263</v>
      </c>
      <c r="C564" s="5" t="s">
        <v>45</v>
      </c>
      <c r="D564" s="3" t="s">
        <v>221</v>
      </c>
      <c r="E564" s="3" t="s">
        <v>698</v>
      </c>
      <c r="F564" s="7">
        <v>45762.30027299039</v>
      </c>
      <c r="G564" s="3" t="s">
        <v>2866</v>
      </c>
    </row>
    <row r="565">
      <c r="A565" s="3" t="s">
        <v>2867</v>
      </c>
      <c r="B565" s="3" t="s">
        <v>1263</v>
      </c>
      <c r="C565" s="5" t="s">
        <v>221</v>
      </c>
      <c r="D565" s="3" t="s">
        <v>614</v>
      </c>
      <c r="E565" s="3" t="s">
        <v>118</v>
      </c>
      <c r="F565" s="7">
        <v>45762.30374521261</v>
      </c>
      <c r="G565" s="3" t="s">
        <v>2869</v>
      </c>
    </row>
    <row r="566">
      <c r="A566" s="3" t="s">
        <v>2870</v>
      </c>
      <c r="B566" s="3" t="s">
        <v>1263</v>
      </c>
      <c r="C566" s="5" t="s">
        <v>614</v>
      </c>
      <c r="D566" s="3" t="s">
        <v>206</v>
      </c>
      <c r="E566" s="3" t="s">
        <v>100</v>
      </c>
      <c r="F566" s="7">
        <v>45762.307217434834</v>
      </c>
      <c r="G566" s="3" t="s">
        <v>2872</v>
      </c>
    </row>
    <row r="567">
      <c r="A567" s="3" t="s">
        <v>2873</v>
      </c>
      <c r="B567" s="3" t="s">
        <v>1263</v>
      </c>
      <c r="C567" s="5" t="s">
        <v>206</v>
      </c>
      <c r="D567" s="3" t="s">
        <v>68</v>
      </c>
      <c r="E567" s="3" t="s">
        <v>100</v>
      </c>
      <c r="F567" s="7">
        <v>45762.31068965705</v>
      </c>
      <c r="G567" s="3" t="s">
        <v>2875</v>
      </c>
    </row>
    <row r="568">
      <c r="A568" s="3" t="s">
        <v>2876</v>
      </c>
      <c r="B568" s="3" t="s">
        <v>1266</v>
      </c>
      <c r="C568" s="5" t="s">
        <v>45</v>
      </c>
      <c r="D568" s="3" t="s">
        <v>221</v>
      </c>
      <c r="E568" s="3" t="s">
        <v>424</v>
      </c>
      <c r="F568" s="7">
        <v>45762.37144783581</v>
      </c>
      <c r="G568" s="3" t="s">
        <v>2878</v>
      </c>
    </row>
    <row r="569">
      <c r="A569" s="3" t="s">
        <v>2879</v>
      </c>
      <c r="B569" s="3" t="s">
        <v>1266</v>
      </c>
      <c r="C569" s="5" t="s">
        <v>221</v>
      </c>
      <c r="D569" s="3" t="s">
        <v>614</v>
      </c>
      <c r="E569" s="3" t="s">
        <v>118</v>
      </c>
      <c r="F569" s="7">
        <v>45762.37492005803</v>
      </c>
      <c r="G569" s="3" t="s">
        <v>2881</v>
      </c>
    </row>
    <row r="570">
      <c r="A570" s="3" t="s">
        <v>2882</v>
      </c>
      <c r="B570" s="3" t="s">
        <v>1266</v>
      </c>
      <c r="C570" s="5" t="s">
        <v>614</v>
      </c>
      <c r="D570" s="3" t="s">
        <v>206</v>
      </c>
      <c r="E570" s="3" t="s">
        <v>100</v>
      </c>
      <c r="F570" s="7">
        <v>45762.378392280254</v>
      </c>
      <c r="G570" s="3" t="s">
        <v>2884</v>
      </c>
    </row>
    <row r="571">
      <c r="A571" s="3" t="s">
        <v>2885</v>
      </c>
      <c r="B571" s="3" t="s">
        <v>1266</v>
      </c>
      <c r="C571" s="5" t="s">
        <v>206</v>
      </c>
      <c r="D571" s="3" t="s">
        <v>68</v>
      </c>
      <c r="E571" s="3" t="s">
        <v>100</v>
      </c>
      <c r="F571" s="7">
        <v>45762.38186450247</v>
      </c>
      <c r="G571" s="3" t="s">
        <v>2887</v>
      </c>
    </row>
    <row r="572">
      <c r="A572" s="3" t="s">
        <v>2888</v>
      </c>
      <c r="B572" s="3" t="s">
        <v>1269</v>
      </c>
      <c r="C572" s="5" t="s">
        <v>45</v>
      </c>
      <c r="D572" s="3" t="s">
        <v>221</v>
      </c>
      <c r="E572" s="3" t="s">
        <v>466</v>
      </c>
      <c r="F572" s="7">
        <v>45762.44262268123</v>
      </c>
      <c r="G572" s="3" t="s">
        <v>2770</v>
      </c>
    </row>
    <row r="573">
      <c r="A573" s="3" t="s">
        <v>2890</v>
      </c>
      <c r="B573" s="3" t="s">
        <v>1269</v>
      </c>
      <c r="C573" s="5" t="s">
        <v>221</v>
      </c>
      <c r="D573" s="3" t="s">
        <v>181</v>
      </c>
      <c r="E573" s="3" t="s">
        <v>118</v>
      </c>
      <c r="F573" s="7">
        <v>45762.44609490345</v>
      </c>
      <c r="G573" s="3" t="s">
        <v>2774</v>
      </c>
    </row>
    <row r="574">
      <c r="A574" s="3" t="s">
        <v>2892</v>
      </c>
      <c r="B574" s="3" t="s">
        <v>1273</v>
      </c>
      <c r="C574" s="5" t="s">
        <v>45</v>
      </c>
      <c r="D574" s="3" t="s">
        <v>221</v>
      </c>
      <c r="E574" s="3" t="s">
        <v>266</v>
      </c>
      <c r="F574" s="7">
        <v>45762.51379752663</v>
      </c>
      <c r="G574" s="3" t="s">
        <v>2893</v>
      </c>
    </row>
    <row r="575">
      <c r="A575" s="3" t="s">
        <v>2895</v>
      </c>
      <c r="B575" s="3" t="s">
        <v>1273</v>
      </c>
      <c r="C575" s="5" t="s">
        <v>221</v>
      </c>
      <c r="D575" s="3" t="s">
        <v>614</v>
      </c>
      <c r="E575" s="3" t="s">
        <v>118</v>
      </c>
      <c r="F575" s="7">
        <v>45762.51726974885</v>
      </c>
      <c r="G575" s="3" t="s">
        <v>2896</v>
      </c>
    </row>
    <row r="576">
      <c r="A576" s="3" t="s">
        <v>2898</v>
      </c>
      <c r="B576" s="3" t="s">
        <v>1273</v>
      </c>
      <c r="C576" s="5" t="s">
        <v>614</v>
      </c>
      <c r="D576" s="3" t="s">
        <v>206</v>
      </c>
      <c r="E576" s="3" t="s">
        <v>100</v>
      </c>
      <c r="F576" s="7">
        <v>45762.52074197108</v>
      </c>
      <c r="G576" s="3" t="s">
        <v>2899</v>
      </c>
    </row>
    <row r="577">
      <c r="A577" s="3" t="s">
        <v>2900</v>
      </c>
      <c r="B577" s="3" t="s">
        <v>1273</v>
      </c>
      <c r="C577" s="5" t="s">
        <v>206</v>
      </c>
      <c r="D577" s="3" t="s">
        <v>68</v>
      </c>
      <c r="E577" s="3" t="s">
        <v>100</v>
      </c>
      <c r="F577" s="7">
        <v>45762.5242141933</v>
      </c>
      <c r="G577" s="3" t="s">
        <v>2902</v>
      </c>
    </row>
    <row r="578">
      <c r="A578" s="3" t="s">
        <v>2903</v>
      </c>
      <c r="B578" s="3" t="s">
        <v>1275</v>
      </c>
      <c r="C578" s="5" t="s">
        <v>45</v>
      </c>
      <c r="D578" s="3" t="s">
        <v>221</v>
      </c>
      <c r="E578" s="3" t="s">
        <v>498</v>
      </c>
      <c r="F578" s="7">
        <v>45762.58497237205</v>
      </c>
      <c r="G578" s="3" t="s">
        <v>2905</v>
      </c>
    </row>
    <row r="579">
      <c r="A579" s="3" t="s">
        <v>2906</v>
      </c>
      <c r="B579" s="3" t="s">
        <v>1275</v>
      </c>
      <c r="C579" s="5" t="s">
        <v>221</v>
      </c>
      <c r="D579" s="3" t="s">
        <v>614</v>
      </c>
      <c r="E579" s="3" t="s">
        <v>118</v>
      </c>
      <c r="F579" s="7">
        <v>45762.58844459427</v>
      </c>
      <c r="G579" s="3" t="s">
        <v>2908</v>
      </c>
    </row>
    <row r="580">
      <c r="A580" s="3" t="s">
        <v>2909</v>
      </c>
      <c r="B580" s="3" t="s">
        <v>1275</v>
      </c>
      <c r="C580" s="5" t="s">
        <v>614</v>
      </c>
      <c r="D580" s="3" t="s">
        <v>206</v>
      </c>
      <c r="E580" s="3" t="s">
        <v>100</v>
      </c>
      <c r="F580" s="7">
        <v>45762.5919168165</v>
      </c>
      <c r="G580" s="3" t="s">
        <v>2911</v>
      </c>
    </row>
    <row r="581">
      <c r="A581" s="3" t="s">
        <v>2912</v>
      </c>
      <c r="B581" s="3" t="s">
        <v>1275</v>
      </c>
      <c r="C581" s="5" t="s">
        <v>206</v>
      </c>
      <c r="D581" s="3" t="s">
        <v>68</v>
      </c>
      <c r="E581" s="3" t="s">
        <v>100</v>
      </c>
      <c r="F581" s="7">
        <v>45762.59538903872</v>
      </c>
      <c r="G581" s="3" t="s">
        <v>2914</v>
      </c>
    </row>
    <row r="582">
      <c r="A582" s="3" t="s">
        <v>2915</v>
      </c>
      <c r="B582" s="3" t="s">
        <v>1277</v>
      </c>
      <c r="C582" s="5" t="s">
        <v>45</v>
      </c>
      <c r="D582" s="3" t="s">
        <v>221</v>
      </c>
      <c r="E582" s="3" t="s">
        <v>993</v>
      </c>
      <c r="F582" s="7">
        <v>45762.65614721747</v>
      </c>
      <c r="G582" s="3" t="s">
        <v>2916</v>
      </c>
    </row>
    <row r="583">
      <c r="A583" s="3" t="s">
        <v>2918</v>
      </c>
      <c r="B583" s="3" t="s">
        <v>1277</v>
      </c>
      <c r="C583" s="5" t="s">
        <v>221</v>
      </c>
      <c r="D583" s="3" t="s">
        <v>614</v>
      </c>
      <c r="E583" s="3" t="s">
        <v>118</v>
      </c>
      <c r="F583" s="7">
        <v>45762.65961943969</v>
      </c>
      <c r="G583" s="3" t="s">
        <v>2919</v>
      </c>
    </row>
    <row r="584">
      <c r="A584" s="3" t="s">
        <v>2921</v>
      </c>
      <c r="B584" s="3" t="s">
        <v>1277</v>
      </c>
      <c r="C584" s="5" t="s">
        <v>614</v>
      </c>
      <c r="D584" s="3" t="s">
        <v>206</v>
      </c>
      <c r="E584" s="3" t="s">
        <v>100</v>
      </c>
      <c r="F584" s="7">
        <v>45762.66309166192</v>
      </c>
      <c r="G584" s="3" t="s">
        <v>2923</v>
      </c>
    </row>
    <row r="585">
      <c r="A585" s="3" t="s">
        <v>2924</v>
      </c>
      <c r="B585" s="3" t="s">
        <v>1277</v>
      </c>
      <c r="C585" s="5" t="s">
        <v>206</v>
      </c>
      <c r="D585" s="3" t="s">
        <v>68</v>
      </c>
      <c r="E585" s="3" t="s">
        <v>100</v>
      </c>
      <c r="F585" s="7">
        <v>45762.66656388414</v>
      </c>
      <c r="G585" s="3" t="s">
        <v>2926</v>
      </c>
    </row>
    <row r="586">
      <c r="A586" s="3" t="s">
        <v>2927</v>
      </c>
      <c r="B586" s="3" t="s">
        <v>1280</v>
      </c>
      <c r="C586" s="5" t="s">
        <v>45</v>
      </c>
      <c r="D586" s="3" t="s">
        <v>221</v>
      </c>
      <c r="E586" s="3" t="s">
        <v>316</v>
      </c>
      <c r="F586" s="7">
        <v>45762.727322062885</v>
      </c>
      <c r="G586" s="3" t="s">
        <v>2929</v>
      </c>
    </row>
    <row r="587">
      <c r="A587" s="3" t="s">
        <v>2930</v>
      </c>
      <c r="B587" s="3" t="s">
        <v>1280</v>
      </c>
      <c r="C587" s="5" t="s">
        <v>221</v>
      </c>
      <c r="D587" s="3" t="s">
        <v>614</v>
      </c>
      <c r="E587" s="3" t="s">
        <v>118</v>
      </c>
      <c r="F587" s="7">
        <v>45762.730794285104</v>
      </c>
      <c r="G587" s="3" t="s">
        <v>2931</v>
      </c>
    </row>
    <row r="588">
      <c r="A588" s="3" t="s">
        <v>2933</v>
      </c>
      <c r="B588" s="3" t="s">
        <v>1280</v>
      </c>
      <c r="C588" s="5" t="s">
        <v>614</v>
      </c>
      <c r="D588" s="3" t="s">
        <v>206</v>
      </c>
      <c r="E588" s="3" t="s">
        <v>100</v>
      </c>
      <c r="F588" s="7">
        <v>45762.73426650733</v>
      </c>
      <c r="G588" s="3" t="s">
        <v>2934</v>
      </c>
    </row>
    <row r="589">
      <c r="A589" s="3" t="s">
        <v>2936</v>
      </c>
      <c r="B589" s="3" t="s">
        <v>1280</v>
      </c>
      <c r="C589" s="5" t="s">
        <v>206</v>
      </c>
      <c r="D589" s="3" t="s">
        <v>68</v>
      </c>
      <c r="E589" s="3" t="s">
        <v>100</v>
      </c>
      <c r="F589" s="7">
        <v>45762.73773872955</v>
      </c>
      <c r="G589" s="3" t="s">
        <v>2937</v>
      </c>
    </row>
    <row r="590">
      <c r="A590" s="3" t="s">
        <v>2939</v>
      </c>
      <c r="B590" s="3" t="s">
        <v>1282</v>
      </c>
      <c r="C590" s="5" t="s">
        <v>45</v>
      </c>
      <c r="D590" s="3" t="s">
        <v>221</v>
      </c>
      <c r="E590" s="3" t="s">
        <v>391</v>
      </c>
      <c r="F590" s="7">
        <v>45762.7984969083</v>
      </c>
      <c r="G590" s="3" t="s">
        <v>2770</v>
      </c>
    </row>
    <row r="591">
      <c r="A591" s="3" t="s">
        <v>2941</v>
      </c>
      <c r="B591" s="3" t="s">
        <v>1282</v>
      </c>
      <c r="C591" s="5" t="s">
        <v>221</v>
      </c>
      <c r="D591" s="3" t="s">
        <v>181</v>
      </c>
      <c r="E591" s="3" t="s">
        <v>118</v>
      </c>
      <c r="F591" s="7">
        <v>45762.801969130516</v>
      </c>
      <c r="G591" s="3" t="s">
        <v>2774</v>
      </c>
    </row>
    <row r="592">
      <c r="A592" s="3" t="s">
        <v>2943</v>
      </c>
      <c r="B592" s="3" t="s">
        <v>1285</v>
      </c>
      <c r="C592" s="5" t="s">
        <v>45</v>
      </c>
      <c r="D592" s="3" t="s">
        <v>221</v>
      </c>
      <c r="E592" s="3" t="s">
        <v>539</v>
      </c>
      <c r="F592" s="7">
        <v>45762.86967175372</v>
      </c>
      <c r="G592" s="3" t="s">
        <v>2944</v>
      </c>
    </row>
    <row r="593">
      <c r="A593" s="3" t="s">
        <v>2946</v>
      </c>
      <c r="B593" s="3" t="s">
        <v>1285</v>
      </c>
      <c r="C593" s="5" t="s">
        <v>221</v>
      </c>
      <c r="D593" s="3" t="s">
        <v>614</v>
      </c>
      <c r="E593" s="3" t="s">
        <v>118</v>
      </c>
      <c r="F593" s="7">
        <v>45762.873143975936</v>
      </c>
      <c r="G593" s="3" t="s">
        <v>2948</v>
      </c>
    </row>
    <row r="594">
      <c r="A594" s="3" t="s">
        <v>2949</v>
      </c>
      <c r="B594" s="3" t="s">
        <v>1285</v>
      </c>
      <c r="C594" s="5" t="s">
        <v>614</v>
      </c>
      <c r="D594" s="3" t="s">
        <v>206</v>
      </c>
      <c r="E594" s="3" t="s">
        <v>100</v>
      </c>
      <c r="F594" s="7">
        <v>45762.87661619816</v>
      </c>
      <c r="G594" s="3" t="s">
        <v>2950</v>
      </c>
    </row>
    <row r="595">
      <c r="A595" s="3" t="s">
        <v>2952</v>
      </c>
      <c r="B595" s="3" t="s">
        <v>1285</v>
      </c>
      <c r="C595" s="5" t="s">
        <v>206</v>
      </c>
      <c r="D595" s="3" t="s">
        <v>68</v>
      </c>
      <c r="E595" s="3" t="s">
        <v>100</v>
      </c>
      <c r="F595" s="7">
        <v>45762.88008842038</v>
      </c>
      <c r="G595" s="3" t="s">
        <v>2953</v>
      </c>
    </row>
    <row r="596">
      <c r="A596" s="3" t="s">
        <v>2955</v>
      </c>
      <c r="B596" s="3" t="s">
        <v>1287</v>
      </c>
      <c r="C596" s="5" t="s">
        <v>45</v>
      </c>
      <c r="D596" s="3" t="s">
        <v>221</v>
      </c>
      <c r="E596" s="3" t="s">
        <v>903</v>
      </c>
      <c r="F596" s="7">
        <v>45762.94084659913</v>
      </c>
      <c r="G596" s="3" t="s">
        <v>2956</v>
      </c>
    </row>
    <row r="597">
      <c r="A597" s="3" t="s">
        <v>2958</v>
      </c>
      <c r="B597" s="3" t="s">
        <v>1287</v>
      </c>
      <c r="C597" s="5" t="s">
        <v>221</v>
      </c>
      <c r="D597" s="3" t="s">
        <v>614</v>
      </c>
      <c r="E597" s="3" t="s">
        <v>118</v>
      </c>
      <c r="F597" s="7">
        <v>45762.94431882135</v>
      </c>
      <c r="G597" s="3" t="s">
        <v>2959</v>
      </c>
    </row>
    <row r="598">
      <c r="A598" s="3" t="s">
        <v>2960</v>
      </c>
      <c r="B598" s="3" t="s">
        <v>1287</v>
      </c>
      <c r="C598" s="5" t="s">
        <v>614</v>
      </c>
      <c r="D598" s="3" t="s">
        <v>206</v>
      </c>
      <c r="E598" s="3" t="s">
        <v>100</v>
      </c>
      <c r="F598" s="7">
        <v>45762.947791043574</v>
      </c>
      <c r="G598" s="3" t="s">
        <v>2962</v>
      </c>
    </row>
    <row r="599">
      <c r="A599" s="3" t="s">
        <v>2963</v>
      </c>
      <c r="B599" s="3" t="s">
        <v>1287</v>
      </c>
      <c r="C599" s="5" t="s">
        <v>206</v>
      </c>
      <c r="D599" s="3" t="s">
        <v>68</v>
      </c>
      <c r="E599" s="3" t="s">
        <v>100</v>
      </c>
      <c r="F599" s="7">
        <v>45762.95126326579</v>
      </c>
      <c r="G599" s="3" t="s">
        <v>2965</v>
      </c>
    </row>
    <row r="600">
      <c r="A600" s="3" t="s">
        <v>2966</v>
      </c>
      <c r="B600" s="3" t="s">
        <v>1290</v>
      </c>
      <c r="C600" s="5" t="s">
        <v>45</v>
      </c>
      <c r="D600" s="3" t="s">
        <v>221</v>
      </c>
      <c r="E600" s="3" t="s">
        <v>414</v>
      </c>
      <c r="F600" s="7">
        <v>45763.01202144454</v>
      </c>
      <c r="G600" s="3" t="s">
        <v>2968</v>
      </c>
    </row>
    <row r="601">
      <c r="A601" s="3" t="s">
        <v>2969</v>
      </c>
      <c r="B601" s="3" t="s">
        <v>1290</v>
      </c>
      <c r="C601" s="5" t="s">
        <v>221</v>
      </c>
      <c r="D601" s="3" t="s">
        <v>614</v>
      </c>
      <c r="E601" s="3" t="s">
        <v>118</v>
      </c>
      <c r="F601" s="7">
        <v>45763.01549366676</v>
      </c>
      <c r="G601" s="3" t="s">
        <v>2971</v>
      </c>
    </row>
    <row r="602">
      <c r="A602" s="3" t="s">
        <v>2972</v>
      </c>
      <c r="B602" s="3" t="s">
        <v>1290</v>
      </c>
      <c r="C602" s="5" t="s">
        <v>614</v>
      </c>
      <c r="D602" s="3" t="s">
        <v>206</v>
      </c>
      <c r="E602" s="3" t="s">
        <v>100</v>
      </c>
      <c r="F602" s="7">
        <v>45763.01896588899</v>
      </c>
      <c r="G602" s="3" t="s">
        <v>2974</v>
      </c>
    </row>
    <row r="603">
      <c r="A603" s="3" t="s">
        <v>2975</v>
      </c>
      <c r="B603" s="3" t="s">
        <v>1290</v>
      </c>
      <c r="C603" s="5" t="s">
        <v>206</v>
      </c>
      <c r="D603" s="3" t="s">
        <v>68</v>
      </c>
      <c r="E603" s="3" t="s">
        <v>100</v>
      </c>
      <c r="F603" s="7">
        <v>45763.022438111206</v>
      </c>
      <c r="G603" s="3" t="s">
        <v>2976</v>
      </c>
    </row>
    <row r="604">
      <c r="A604" s="3" t="s">
        <v>2977</v>
      </c>
      <c r="B604" s="3" t="s">
        <v>1293</v>
      </c>
      <c r="C604" s="5" t="s">
        <v>45</v>
      </c>
      <c r="D604" s="3" t="s">
        <v>221</v>
      </c>
      <c r="E604" s="3" t="s">
        <v>672</v>
      </c>
      <c r="F604" s="7">
        <v>45763.08319628996</v>
      </c>
      <c r="G604" s="3" t="s">
        <v>2979</v>
      </c>
    </row>
    <row r="605">
      <c r="A605" s="3" t="s">
        <v>2980</v>
      </c>
      <c r="B605" s="3" t="s">
        <v>1293</v>
      </c>
      <c r="C605" s="5" t="s">
        <v>221</v>
      </c>
      <c r="D605" s="3" t="s">
        <v>614</v>
      </c>
      <c r="E605" s="3" t="s">
        <v>118</v>
      </c>
      <c r="F605" s="7">
        <v>45763.08666851218</v>
      </c>
      <c r="G605" s="3" t="s">
        <v>2982</v>
      </c>
    </row>
    <row r="606">
      <c r="A606" s="3" t="s">
        <v>2983</v>
      </c>
      <c r="B606" s="3" t="s">
        <v>1293</v>
      </c>
      <c r="C606" s="5" t="s">
        <v>614</v>
      </c>
      <c r="D606" s="3" t="s">
        <v>206</v>
      </c>
      <c r="E606" s="3" t="s">
        <v>100</v>
      </c>
      <c r="F606" s="7">
        <v>45763.090140734406</v>
      </c>
      <c r="G606" s="3" t="s">
        <v>2985</v>
      </c>
    </row>
    <row r="607">
      <c r="A607" s="3" t="s">
        <v>2986</v>
      </c>
      <c r="B607" s="3" t="s">
        <v>1293</v>
      </c>
      <c r="C607" s="5" t="s">
        <v>206</v>
      </c>
      <c r="D607" s="3" t="s">
        <v>68</v>
      </c>
      <c r="E607" s="3" t="s">
        <v>100</v>
      </c>
      <c r="F607" s="7">
        <v>45763.093612956625</v>
      </c>
      <c r="G607" s="3" t="s">
        <v>2988</v>
      </c>
    </row>
    <row r="608">
      <c r="A608" s="3" t="s">
        <v>2989</v>
      </c>
      <c r="B608" s="3" t="s">
        <v>1296</v>
      </c>
      <c r="C608" s="5" t="s">
        <v>45</v>
      </c>
      <c r="D608" s="3" t="s">
        <v>221</v>
      </c>
      <c r="E608" s="3" t="s">
        <v>348</v>
      </c>
      <c r="F608" s="7">
        <v>45763.15437113538</v>
      </c>
      <c r="G608" s="3" t="s">
        <v>2991</v>
      </c>
    </row>
    <row r="609">
      <c r="A609" s="3" t="s">
        <v>2992</v>
      </c>
      <c r="B609" s="3" t="s">
        <v>1296</v>
      </c>
      <c r="C609" s="5" t="s">
        <v>221</v>
      </c>
      <c r="D609" s="3" t="s">
        <v>614</v>
      </c>
      <c r="E609" s="3" t="s">
        <v>118</v>
      </c>
      <c r="F609" s="7">
        <v>45763.1578433576</v>
      </c>
      <c r="G609" s="3" t="s">
        <v>2994</v>
      </c>
    </row>
    <row r="610">
      <c r="A610" s="3" t="s">
        <v>2995</v>
      </c>
      <c r="B610" s="3" t="s">
        <v>1296</v>
      </c>
      <c r="C610" s="5" t="s">
        <v>614</v>
      </c>
      <c r="D610" s="3" t="s">
        <v>206</v>
      </c>
      <c r="E610" s="3" t="s">
        <v>100</v>
      </c>
      <c r="F610" s="7">
        <v>45763.161315579826</v>
      </c>
      <c r="G610" s="3" t="s">
        <v>2996</v>
      </c>
    </row>
    <row r="611">
      <c r="A611" s="3" t="s">
        <v>2997</v>
      </c>
      <c r="B611" s="3" t="s">
        <v>1296</v>
      </c>
      <c r="C611" s="5" t="s">
        <v>206</v>
      </c>
      <c r="D611" s="3" t="s">
        <v>68</v>
      </c>
      <c r="E611" s="3" t="s">
        <v>100</v>
      </c>
      <c r="F611" s="7">
        <v>45763.164787802045</v>
      </c>
      <c r="G611" s="3" t="s">
        <v>2999</v>
      </c>
    </row>
    <row r="612">
      <c r="A612" s="3" t="s">
        <v>3000</v>
      </c>
      <c r="B612" s="3" t="s">
        <v>1298</v>
      </c>
      <c r="C612" s="5" t="s">
        <v>45</v>
      </c>
      <c r="D612" s="3" t="s">
        <v>221</v>
      </c>
      <c r="E612" s="3" t="s">
        <v>263</v>
      </c>
      <c r="F612" s="7">
        <v>45763.225545980786</v>
      </c>
      <c r="G612" s="3" t="s">
        <v>2770</v>
      </c>
    </row>
    <row r="613">
      <c r="A613" s="3" t="s">
        <v>3002</v>
      </c>
      <c r="B613" s="3" t="s">
        <v>1298</v>
      </c>
      <c r="C613" s="5" t="s">
        <v>221</v>
      </c>
      <c r="D613" s="3" t="s">
        <v>181</v>
      </c>
      <c r="E613" s="3" t="s">
        <v>118</v>
      </c>
      <c r="F613" s="7">
        <v>45763.229018203005</v>
      </c>
      <c r="G613" s="3" t="s">
        <v>2774</v>
      </c>
    </row>
    <row r="614">
      <c r="A614" s="3" t="s">
        <v>3004</v>
      </c>
      <c r="B614" s="3" t="s">
        <v>1301</v>
      </c>
      <c r="C614" s="5" t="s">
        <v>45</v>
      </c>
      <c r="D614" s="3" t="s">
        <v>221</v>
      </c>
      <c r="E614" s="3" t="s">
        <v>541</v>
      </c>
      <c r="F614" s="7">
        <v>45763.296720826205</v>
      </c>
      <c r="G614" s="3" t="s">
        <v>3006</v>
      </c>
    </row>
    <row r="615">
      <c r="A615" s="3" t="s">
        <v>3007</v>
      </c>
      <c r="B615" s="3" t="s">
        <v>1301</v>
      </c>
      <c r="C615" s="5" t="s">
        <v>221</v>
      </c>
      <c r="D615" s="3" t="s">
        <v>614</v>
      </c>
      <c r="E615" s="3" t="s">
        <v>118</v>
      </c>
      <c r="F615" s="7">
        <v>45763.300193048424</v>
      </c>
      <c r="G615" s="3" t="s">
        <v>3009</v>
      </c>
    </row>
    <row r="616">
      <c r="A616" s="3" t="s">
        <v>3010</v>
      </c>
      <c r="B616" s="3" t="s">
        <v>1301</v>
      </c>
      <c r="C616" s="5" t="s">
        <v>614</v>
      </c>
      <c r="D616" s="3" t="s">
        <v>206</v>
      </c>
      <c r="E616" s="3" t="s">
        <v>100</v>
      </c>
      <c r="F616" s="7">
        <v>45763.30366527065</v>
      </c>
      <c r="G616" s="3" t="s">
        <v>3012</v>
      </c>
    </row>
    <row r="617">
      <c r="A617" s="3" t="s">
        <v>3013</v>
      </c>
      <c r="B617" s="3" t="s">
        <v>1301</v>
      </c>
      <c r="C617" s="5" t="s">
        <v>206</v>
      </c>
      <c r="D617" s="3" t="s">
        <v>68</v>
      </c>
      <c r="E617" s="3" t="s">
        <v>100</v>
      </c>
      <c r="F617" s="7">
        <v>45763.30713749287</v>
      </c>
      <c r="G617" s="3" t="s">
        <v>3015</v>
      </c>
    </row>
    <row r="618">
      <c r="A618" s="3" t="s">
        <v>3016</v>
      </c>
      <c r="B618" s="3" t="s">
        <v>1303</v>
      </c>
      <c r="C618" s="5" t="s">
        <v>45</v>
      </c>
      <c r="D618" s="3" t="s">
        <v>221</v>
      </c>
      <c r="E618" s="3" t="s">
        <v>811</v>
      </c>
      <c r="F618" s="7">
        <v>45763.36789567162</v>
      </c>
      <c r="G618" s="3" t="s">
        <v>3018</v>
      </c>
    </row>
    <row r="619">
      <c r="A619" s="3" t="s">
        <v>3019</v>
      </c>
      <c r="B619" s="3" t="s">
        <v>1303</v>
      </c>
      <c r="C619" s="5" t="s">
        <v>221</v>
      </c>
      <c r="D619" s="3" t="s">
        <v>614</v>
      </c>
      <c r="E619" s="3" t="s">
        <v>118</v>
      </c>
      <c r="F619" s="7">
        <v>45763.37136789384</v>
      </c>
      <c r="G619" s="3" t="s">
        <v>3021</v>
      </c>
    </row>
    <row r="620">
      <c r="A620" s="3" t="s">
        <v>3022</v>
      </c>
      <c r="B620" s="3" t="s">
        <v>1303</v>
      </c>
      <c r="C620" s="5" t="s">
        <v>614</v>
      </c>
      <c r="D620" s="3" t="s">
        <v>206</v>
      </c>
      <c r="E620" s="3" t="s">
        <v>100</v>
      </c>
      <c r="F620" s="7">
        <v>45763.37484011606</v>
      </c>
      <c r="G620" s="3" t="s">
        <v>3024</v>
      </c>
    </row>
    <row r="621">
      <c r="A621" s="3" t="s">
        <v>3025</v>
      </c>
      <c r="B621" s="3" t="s">
        <v>1303</v>
      </c>
      <c r="C621" s="5" t="s">
        <v>206</v>
      </c>
      <c r="D621" s="3" t="s">
        <v>68</v>
      </c>
      <c r="E621" s="3" t="s">
        <v>100</v>
      </c>
      <c r="F621" s="7">
        <v>45763.37831233828</v>
      </c>
      <c r="G621" s="3" t="s">
        <v>3027</v>
      </c>
    </row>
    <row r="622">
      <c r="A622" s="3" t="s">
        <v>3028</v>
      </c>
      <c r="B622" s="3" t="s">
        <v>1306</v>
      </c>
      <c r="C622" s="5" t="s">
        <v>45</v>
      </c>
      <c r="D622" s="3" t="s">
        <v>221</v>
      </c>
      <c r="E622" s="3" t="s">
        <v>383</v>
      </c>
      <c r="F622" s="7">
        <v>45763.43907051704</v>
      </c>
      <c r="G622" s="3" t="s">
        <v>3030</v>
      </c>
    </row>
    <row r="623">
      <c r="A623" s="3" t="s">
        <v>3031</v>
      </c>
      <c r="B623" s="3" t="s">
        <v>1306</v>
      </c>
      <c r="C623" s="5" t="s">
        <v>221</v>
      </c>
      <c r="D623" s="3" t="s">
        <v>614</v>
      </c>
      <c r="E623" s="3" t="s">
        <v>118</v>
      </c>
      <c r="F623" s="7">
        <v>45763.442542739256</v>
      </c>
      <c r="G623" s="3" t="s">
        <v>3033</v>
      </c>
    </row>
    <row r="624">
      <c r="A624" s="3" t="s">
        <v>3034</v>
      </c>
      <c r="B624" s="3" t="s">
        <v>1306</v>
      </c>
      <c r="C624" s="5" t="s">
        <v>614</v>
      </c>
      <c r="D624" s="3" t="s">
        <v>206</v>
      </c>
      <c r="E624" s="3" t="s">
        <v>100</v>
      </c>
      <c r="F624" s="7">
        <v>45763.44601496148</v>
      </c>
      <c r="G624" s="3" t="s">
        <v>3036</v>
      </c>
    </row>
    <row r="625">
      <c r="A625" s="3" t="s">
        <v>3037</v>
      </c>
      <c r="B625" s="3" t="s">
        <v>1306</v>
      </c>
      <c r="C625" s="5" t="s">
        <v>206</v>
      </c>
      <c r="D625" s="3" t="s">
        <v>68</v>
      </c>
      <c r="E625" s="3" t="s">
        <v>100</v>
      </c>
      <c r="F625" s="7">
        <v>45763.4494871837</v>
      </c>
      <c r="G625" s="3" t="s">
        <v>3039</v>
      </c>
    </row>
    <row r="626">
      <c r="A626" s="3" t="s">
        <v>3040</v>
      </c>
      <c r="B626" s="3" t="s">
        <v>1309</v>
      </c>
      <c r="C626" s="5" t="s">
        <v>45</v>
      </c>
      <c r="D626" s="3" t="s">
        <v>221</v>
      </c>
      <c r="E626" s="3" t="s">
        <v>900</v>
      </c>
      <c r="F626" s="7">
        <v>45763.51024536245</v>
      </c>
      <c r="G626" s="3" t="s">
        <v>3042</v>
      </c>
    </row>
    <row r="627">
      <c r="A627" s="3" t="s">
        <v>3043</v>
      </c>
      <c r="B627" s="3" t="s">
        <v>1309</v>
      </c>
      <c r="C627" s="5" t="s">
        <v>221</v>
      </c>
      <c r="D627" s="3" t="s">
        <v>614</v>
      </c>
      <c r="E627" s="3" t="s">
        <v>118</v>
      </c>
      <c r="F627" s="7">
        <v>45763.51371758467</v>
      </c>
      <c r="G627" s="3" t="s">
        <v>3045</v>
      </c>
    </row>
    <row r="628">
      <c r="A628" s="3" t="s">
        <v>3046</v>
      </c>
      <c r="B628" s="3" t="s">
        <v>1309</v>
      </c>
      <c r="C628" s="5" t="s">
        <v>614</v>
      </c>
      <c r="D628" s="3" t="s">
        <v>206</v>
      </c>
      <c r="E628" s="3" t="s">
        <v>100</v>
      </c>
      <c r="F628" s="7">
        <v>45763.517189806895</v>
      </c>
      <c r="G628" s="3" t="s">
        <v>3048</v>
      </c>
    </row>
    <row r="629">
      <c r="A629" s="3" t="s">
        <v>3049</v>
      </c>
      <c r="B629" s="3" t="s">
        <v>1309</v>
      </c>
      <c r="C629" s="5" t="s">
        <v>206</v>
      </c>
      <c r="D629" s="3" t="s">
        <v>68</v>
      </c>
      <c r="E629" s="3" t="s">
        <v>100</v>
      </c>
      <c r="F629" s="7">
        <v>45763.520662029114</v>
      </c>
      <c r="G629" s="3" t="s">
        <v>3051</v>
      </c>
    </row>
    <row r="630">
      <c r="A630" s="3" t="s">
        <v>3052</v>
      </c>
      <c r="B630" s="3" t="s">
        <v>1311</v>
      </c>
      <c r="C630" s="5" t="s">
        <v>45</v>
      </c>
      <c r="D630" s="3" t="s">
        <v>221</v>
      </c>
      <c r="E630" s="3" t="s">
        <v>922</v>
      </c>
      <c r="F630" s="7">
        <v>45763.58142020787</v>
      </c>
      <c r="G630" s="3" t="s">
        <v>2770</v>
      </c>
    </row>
    <row r="631">
      <c r="A631" s="3" t="s">
        <v>3054</v>
      </c>
      <c r="B631" s="3" t="s">
        <v>1311</v>
      </c>
      <c r="C631" s="5" t="s">
        <v>221</v>
      </c>
      <c r="D631" s="3" t="s">
        <v>195</v>
      </c>
      <c r="E631" s="3" t="s">
        <v>922</v>
      </c>
      <c r="F631" s="7">
        <v>45763.58489243009</v>
      </c>
      <c r="G631" s="3" t="s">
        <v>3055</v>
      </c>
    </row>
    <row r="632">
      <c r="A632" s="3" t="s">
        <v>3056</v>
      </c>
      <c r="B632" s="3" t="s">
        <v>1314</v>
      </c>
      <c r="C632" s="5" t="s">
        <v>45</v>
      </c>
      <c r="D632" s="3" t="s">
        <v>221</v>
      </c>
      <c r="E632" s="3" t="s">
        <v>226</v>
      </c>
      <c r="F632" s="7">
        <v>45763.652595053274</v>
      </c>
      <c r="G632" s="3" t="s">
        <v>3058</v>
      </c>
    </row>
    <row r="633">
      <c r="A633" s="3" t="s">
        <v>3059</v>
      </c>
      <c r="B633" s="3" t="s">
        <v>1314</v>
      </c>
      <c r="C633" s="5" t="s">
        <v>221</v>
      </c>
      <c r="D633" s="3" t="s">
        <v>614</v>
      </c>
      <c r="E633" s="3" t="s">
        <v>118</v>
      </c>
      <c r="F633" s="7">
        <v>45763.65606727549</v>
      </c>
      <c r="G633" s="3" t="s">
        <v>3061</v>
      </c>
    </row>
    <row r="634">
      <c r="A634" s="3" t="s">
        <v>3062</v>
      </c>
      <c r="B634" s="3" t="s">
        <v>1314</v>
      </c>
      <c r="C634" s="5" t="s">
        <v>614</v>
      </c>
      <c r="D634" s="3" t="s">
        <v>206</v>
      </c>
      <c r="E634" s="3" t="s">
        <v>100</v>
      </c>
      <c r="F634" s="7">
        <v>45763.65953949772</v>
      </c>
      <c r="G634" s="3" t="s">
        <v>3064</v>
      </c>
    </row>
    <row r="635">
      <c r="A635" s="3" t="s">
        <v>3065</v>
      </c>
      <c r="B635" s="3" t="s">
        <v>1314</v>
      </c>
      <c r="C635" s="5" t="s">
        <v>206</v>
      </c>
      <c r="D635" s="3" t="s">
        <v>68</v>
      </c>
      <c r="E635" s="3" t="s">
        <v>100</v>
      </c>
      <c r="F635" s="7">
        <v>45763.66301171994</v>
      </c>
      <c r="G635" s="3" t="s">
        <v>3067</v>
      </c>
    </row>
    <row r="636">
      <c r="A636" s="3" t="s">
        <v>3068</v>
      </c>
      <c r="B636" s="3" t="s">
        <v>1317</v>
      </c>
      <c r="C636" s="5" t="s">
        <v>45</v>
      </c>
      <c r="D636" s="3" t="s">
        <v>221</v>
      </c>
      <c r="E636" s="3" t="s">
        <v>179</v>
      </c>
      <c r="F636" s="7">
        <v>45763.723769898694</v>
      </c>
      <c r="G636" s="3" t="s">
        <v>2770</v>
      </c>
    </row>
    <row r="637">
      <c r="A637" s="3" t="s">
        <v>3070</v>
      </c>
      <c r="B637" s="3" t="s">
        <v>1317</v>
      </c>
      <c r="C637" s="5" t="s">
        <v>221</v>
      </c>
      <c r="D637" s="3" t="s">
        <v>195</v>
      </c>
      <c r="E637" s="3" t="s">
        <v>179</v>
      </c>
      <c r="F637" s="7">
        <v>45763.72724212091</v>
      </c>
      <c r="G637" s="3" t="s">
        <v>3055</v>
      </c>
    </row>
    <row r="638">
      <c r="A638" s="3" t="s">
        <v>3072</v>
      </c>
      <c r="B638" s="3" t="s">
        <v>1320</v>
      </c>
      <c r="C638" s="5" t="s">
        <v>45</v>
      </c>
      <c r="D638" s="3" t="s">
        <v>221</v>
      </c>
      <c r="E638" s="3" t="s">
        <v>993</v>
      </c>
      <c r="F638" s="7">
        <v>45763.79494474411</v>
      </c>
      <c r="G638" s="3" t="s">
        <v>3073</v>
      </c>
    </row>
    <row r="639">
      <c r="A639" s="3" t="s">
        <v>3074</v>
      </c>
      <c r="B639" s="3" t="s">
        <v>1320</v>
      </c>
      <c r="C639" s="5" t="s">
        <v>221</v>
      </c>
      <c r="D639" s="3" t="s">
        <v>614</v>
      </c>
      <c r="E639" s="3" t="s">
        <v>118</v>
      </c>
      <c r="F639" s="7">
        <v>45763.79841696633</v>
      </c>
      <c r="G639" s="3" t="s">
        <v>3076</v>
      </c>
    </row>
    <row r="640">
      <c r="A640" s="3" t="s">
        <v>3077</v>
      </c>
      <c r="B640" s="3" t="s">
        <v>1320</v>
      </c>
      <c r="C640" s="5" t="s">
        <v>614</v>
      </c>
      <c r="D640" s="3" t="s">
        <v>206</v>
      </c>
      <c r="E640" s="3" t="s">
        <v>100</v>
      </c>
      <c r="F640" s="7">
        <v>45763.80188918856</v>
      </c>
      <c r="G640" s="3" t="s">
        <v>3078</v>
      </c>
    </row>
    <row r="641">
      <c r="A641" s="3" t="s">
        <v>3080</v>
      </c>
      <c r="B641" s="3" t="s">
        <v>1320</v>
      </c>
      <c r="C641" s="5" t="s">
        <v>206</v>
      </c>
      <c r="D641" s="3" t="s">
        <v>68</v>
      </c>
      <c r="E641" s="3" t="s">
        <v>100</v>
      </c>
      <c r="F641" s="7">
        <v>45763.80536141078</v>
      </c>
      <c r="G641" s="3" t="s">
        <v>3081</v>
      </c>
    </row>
    <row r="642">
      <c r="A642" s="3" t="s">
        <v>3083</v>
      </c>
      <c r="B642" s="3" t="s">
        <v>1323</v>
      </c>
      <c r="C642" s="5" t="s">
        <v>45</v>
      </c>
      <c r="D642" s="3" t="s">
        <v>221</v>
      </c>
      <c r="E642" s="3" t="s">
        <v>141</v>
      </c>
      <c r="F642" s="7">
        <v>45763.866119589526</v>
      </c>
      <c r="G642" s="3" t="s">
        <v>3084</v>
      </c>
    </row>
    <row r="643">
      <c r="A643" s="3" t="s">
        <v>3086</v>
      </c>
      <c r="B643" s="3" t="s">
        <v>1323</v>
      </c>
      <c r="C643" s="5" t="s">
        <v>221</v>
      </c>
      <c r="D643" s="3" t="s">
        <v>614</v>
      </c>
      <c r="E643" s="3" t="s">
        <v>118</v>
      </c>
      <c r="F643" s="7">
        <v>45763.869591811745</v>
      </c>
      <c r="G643" s="3" t="s">
        <v>3087</v>
      </c>
    </row>
    <row r="644">
      <c r="A644" s="3" t="s">
        <v>3088</v>
      </c>
      <c r="B644" s="3" t="s">
        <v>1323</v>
      </c>
      <c r="C644" s="5" t="s">
        <v>614</v>
      </c>
      <c r="D644" s="3" t="s">
        <v>206</v>
      </c>
      <c r="E644" s="3" t="s">
        <v>100</v>
      </c>
      <c r="F644" s="7">
        <v>45763.87306403397</v>
      </c>
      <c r="G644" s="3" t="s">
        <v>3090</v>
      </c>
    </row>
    <row r="645">
      <c r="A645" s="3" t="s">
        <v>3091</v>
      </c>
      <c r="B645" s="3" t="s">
        <v>1323</v>
      </c>
      <c r="C645" s="5" t="s">
        <v>206</v>
      </c>
      <c r="D645" s="3" t="s">
        <v>68</v>
      </c>
      <c r="E645" s="3" t="s">
        <v>100</v>
      </c>
      <c r="F645" s="7">
        <v>45763.87653625619</v>
      </c>
      <c r="G645" s="3" t="s">
        <v>3093</v>
      </c>
    </row>
    <row r="646">
      <c r="A646" s="3" t="s">
        <v>3094</v>
      </c>
      <c r="B646" s="3" t="s">
        <v>1325</v>
      </c>
      <c r="C646" s="5" t="s">
        <v>45</v>
      </c>
      <c r="D646" s="3" t="s">
        <v>221</v>
      </c>
      <c r="E646" s="3" t="s">
        <v>652</v>
      </c>
      <c r="F646" s="7">
        <v>45763.93729443494</v>
      </c>
      <c r="G646" s="3" t="s">
        <v>2770</v>
      </c>
    </row>
    <row r="647">
      <c r="A647" s="3" t="s">
        <v>3096</v>
      </c>
      <c r="B647" s="3" t="s">
        <v>1325</v>
      </c>
      <c r="C647" s="5" t="s">
        <v>221</v>
      </c>
      <c r="D647" s="3" t="s">
        <v>195</v>
      </c>
      <c r="E647" s="3" t="s">
        <v>652</v>
      </c>
      <c r="F647" s="7">
        <v>45763.94076665716</v>
      </c>
      <c r="G647" s="3" t="s">
        <v>3055</v>
      </c>
    </row>
    <row r="648">
      <c r="A648" s="3" t="s">
        <v>3098</v>
      </c>
      <c r="B648" s="3" t="s">
        <v>1328</v>
      </c>
      <c r="C648" s="5" t="s">
        <v>45</v>
      </c>
      <c r="D648" s="3" t="s">
        <v>221</v>
      </c>
      <c r="E648" s="3" t="s">
        <v>694</v>
      </c>
      <c r="F648" s="7">
        <v>45764.00846928036</v>
      </c>
      <c r="G648" s="3" t="s">
        <v>3099</v>
      </c>
    </row>
    <row r="649">
      <c r="A649" s="3" t="s">
        <v>3101</v>
      </c>
      <c r="B649" s="3" t="s">
        <v>1328</v>
      </c>
      <c r="C649" s="5" t="s">
        <v>221</v>
      </c>
      <c r="D649" s="3" t="s">
        <v>614</v>
      </c>
      <c r="E649" s="3" t="s">
        <v>118</v>
      </c>
      <c r="F649" s="7">
        <v>45764.01194150258</v>
      </c>
      <c r="G649" s="3" t="s">
        <v>3102</v>
      </c>
    </row>
    <row r="650">
      <c r="A650" s="3" t="s">
        <v>3104</v>
      </c>
      <c r="B650" s="3" t="s">
        <v>1328</v>
      </c>
      <c r="C650" s="5" t="s">
        <v>614</v>
      </c>
      <c r="D650" s="3" t="s">
        <v>206</v>
      </c>
      <c r="E650" s="3" t="s">
        <v>100</v>
      </c>
      <c r="F650" s="7">
        <v>45764.0154137248</v>
      </c>
      <c r="G650" s="3" t="s">
        <v>3105</v>
      </c>
    </row>
    <row r="651">
      <c r="A651" s="3" t="s">
        <v>3106</v>
      </c>
      <c r="B651" s="3" t="s">
        <v>1328</v>
      </c>
      <c r="C651" s="5" t="s">
        <v>206</v>
      </c>
      <c r="D651" s="3" t="s">
        <v>68</v>
      </c>
      <c r="E651" s="3" t="s">
        <v>100</v>
      </c>
      <c r="F651" s="7">
        <v>45764.01888594702</v>
      </c>
      <c r="G651" s="3" t="s">
        <v>3108</v>
      </c>
    </row>
    <row r="652">
      <c r="A652" s="3" t="s">
        <v>3109</v>
      </c>
      <c r="B652" s="3" t="s">
        <v>1332</v>
      </c>
      <c r="C652" s="5" t="s">
        <v>45</v>
      </c>
      <c r="D652" s="3" t="s">
        <v>221</v>
      </c>
      <c r="E652" s="3" t="s">
        <v>460</v>
      </c>
      <c r="F652" s="7">
        <v>45764.07964412577</v>
      </c>
      <c r="G652" s="3" t="s">
        <v>3111</v>
      </c>
    </row>
    <row r="653">
      <c r="A653" s="3" t="s">
        <v>3112</v>
      </c>
      <c r="B653" s="3" t="s">
        <v>1332</v>
      </c>
      <c r="C653" s="5" t="s">
        <v>221</v>
      </c>
      <c r="D653" s="3" t="s">
        <v>614</v>
      </c>
      <c r="E653" s="3" t="s">
        <v>118</v>
      </c>
      <c r="F653" s="7">
        <v>45764.08311634799</v>
      </c>
      <c r="G653" s="3" t="s">
        <v>3114</v>
      </c>
    </row>
    <row r="654">
      <c r="A654" s="3" t="s">
        <v>3115</v>
      </c>
      <c r="B654" s="3" t="s">
        <v>1332</v>
      </c>
      <c r="C654" s="5" t="s">
        <v>614</v>
      </c>
      <c r="D654" s="3" t="s">
        <v>206</v>
      </c>
      <c r="E654" s="3" t="s">
        <v>100</v>
      </c>
      <c r="F654" s="7">
        <v>45764.086588570215</v>
      </c>
      <c r="G654" s="3" t="s">
        <v>3117</v>
      </c>
    </row>
    <row r="655">
      <c r="A655" s="3" t="s">
        <v>3118</v>
      </c>
      <c r="B655" s="3" t="s">
        <v>1332</v>
      </c>
      <c r="C655" s="5" t="s">
        <v>206</v>
      </c>
      <c r="D655" s="3" t="s">
        <v>68</v>
      </c>
      <c r="E655" s="3" t="s">
        <v>100</v>
      </c>
      <c r="F655" s="7">
        <v>45764.090060792434</v>
      </c>
      <c r="G655" s="3" t="s">
        <v>3120</v>
      </c>
    </row>
    <row r="656">
      <c r="A656" s="3" t="s">
        <v>3121</v>
      </c>
      <c r="B656" s="3" t="s">
        <v>1334</v>
      </c>
      <c r="C656" s="5" t="s">
        <v>45</v>
      </c>
      <c r="D656" s="3" t="s">
        <v>221</v>
      </c>
      <c r="E656" s="3" t="s">
        <v>1011</v>
      </c>
      <c r="F656" s="7">
        <v>45764.15081897118</v>
      </c>
      <c r="G656" s="3" t="s">
        <v>2770</v>
      </c>
    </row>
    <row r="657">
      <c r="A657" s="3" t="s">
        <v>3123</v>
      </c>
      <c r="B657" s="3" t="s">
        <v>1334</v>
      </c>
      <c r="C657" s="5" t="s">
        <v>221</v>
      </c>
      <c r="D657" s="3" t="s">
        <v>181</v>
      </c>
      <c r="E657" s="3" t="s">
        <v>118</v>
      </c>
      <c r="F657" s="7">
        <v>45764.1542911934</v>
      </c>
      <c r="G657" s="3" t="s">
        <v>2774</v>
      </c>
    </row>
    <row r="658">
      <c r="A658" s="3" t="s">
        <v>3125</v>
      </c>
      <c r="B658" s="3" t="s">
        <v>1337</v>
      </c>
      <c r="C658" s="5" t="s">
        <v>45</v>
      </c>
      <c r="D658" s="3" t="s">
        <v>221</v>
      </c>
      <c r="E658" s="3" t="s">
        <v>230</v>
      </c>
      <c r="F658" s="7">
        <v>45764.2219938166</v>
      </c>
      <c r="G658" s="3" t="s">
        <v>3127</v>
      </c>
    </row>
    <row r="659">
      <c r="A659" s="3" t="s">
        <v>3128</v>
      </c>
      <c r="B659" s="3" t="s">
        <v>1337</v>
      </c>
      <c r="C659" s="5" t="s">
        <v>221</v>
      </c>
      <c r="D659" s="3" t="s">
        <v>614</v>
      </c>
      <c r="E659" s="3" t="s">
        <v>118</v>
      </c>
      <c r="F659" s="7">
        <v>45764.22546603882</v>
      </c>
      <c r="G659" s="3" t="s">
        <v>3130</v>
      </c>
    </row>
    <row r="660">
      <c r="A660" s="3" t="s">
        <v>3131</v>
      </c>
      <c r="B660" s="3" t="s">
        <v>1337</v>
      </c>
      <c r="C660" s="5" t="s">
        <v>614</v>
      </c>
      <c r="D660" s="3" t="s">
        <v>206</v>
      </c>
      <c r="E660" s="3" t="s">
        <v>100</v>
      </c>
      <c r="F660" s="7">
        <v>45764.22893826105</v>
      </c>
      <c r="G660" s="3" t="s">
        <v>3133</v>
      </c>
    </row>
    <row r="661">
      <c r="A661" s="3" t="s">
        <v>3134</v>
      </c>
      <c r="B661" s="3" t="s">
        <v>1337</v>
      </c>
      <c r="C661" s="5" t="s">
        <v>206</v>
      </c>
      <c r="D661" s="3" t="s">
        <v>68</v>
      </c>
      <c r="E661" s="3" t="s">
        <v>100</v>
      </c>
      <c r="F661" s="7">
        <v>45764.232410483266</v>
      </c>
      <c r="G661" s="3" t="s">
        <v>3136</v>
      </c>
    </row>
    <row r="662">
      <c r="A662" s="3" t="s">
        <v>3137</v>
      </c>
      <c r="B662" s="3" t="s">
        <v>1340</v>
      </c>
      <c r="C662" s="5" t="s">
        <v>45</v>
      </c>
      <c r="D662" s="3" t="s">
        <v>221</v>
      </c>
      <c r="E662" s="3" t="s">
        <v>383</v>
      </c>
      <c r="F662" s="7">
        <v>45764.29316866202</v>
      </c>
      <c r="G662" s="3" t="s">
        <v>3139</v>
      </c>
    </row>
    <row r="663">
      <c r="A663" s="3" t="s">
        <v>3140</v>
      </c>
      <c r="B663" s="3" t="s">
        <v>1340</v>
      </c>
      <c r="C663" s="5" t="s">
        <v>221</v>
      </c>
      <c r="D663" s="3" t="s">
        <v>614</v>
      </c>
      <c r="E663" s="3" t="s">
        <v>118</v>
      </c>
      <c r="F663" s="7">
        <v>45764.29664088424</v>
      </c>
      <c r="G663" s="3" t="s">
        <v>3142</v>
      </c>
    </row>
    <row r="664">
      <c r="A664" s="3" t="s">
        <v>3143</v>
      </c>
      <c r="B664" s="3" t="s">
        <v>1340</v>
      </c>
      <c r="C664" s="5" t="s">
        <v>614</v>
      </c>
      <c r="D664" s="3" t="s">
        <v>206</v>
      </c>
      <c r="E664" s="3" t="s">
        <v>100</v>
      </c>
      <c r="F664" s="7">
        <v>45764.30011310647</v>
      </c>
      <c r="G664" s="3" t="s">
        <v>3144</v>
      </c>
    </row>
    <row r="665">
      <c r="A665" s="3" t="s">
        <v>3145</v>
      </c>
      <c r="B665" s="3" t="s">
        <v>1340</v>
      </c>
      <c r="C665" s="5" t="s">
        <v>206</v>
      </c>
      <c r="D665" s="3" t="s">
        <v>68</v>
      </c>
      <c r="E665" s="3" t="s">
        <v>100</v>
      </c>
      <c r="F665" s="7">
        <v>45764.303585328686</v>
      </c>
      <c r="G665" s="3" t="s">
        <v>3149</v>
      </c>
    </row>
    <row r="666">
      <c r="A666" s="3" t="s">
        <v>3150</v>
      </c>
      <c r="B666" s="3" t="s">
        <v>1344</v>
      </c>
      <c r="C666" s="5" t="s">
        <v>45</v>
      </c>
      <c r="D666" s="3" t="s">
        <v>221</v>
      </c>
      <c r="E666" s="3" t="s">
        <v>972</v>
      </c>
      <c r="F666" s="7">
        <v>45764.36434350743</v>
      </c>
      <c r="G666" s="3" t="s">
        <v>3152</v>
      </c>
    </row>
    <row r="667">
      <c r="A667" s="3" t="s">
        <v>3153</v>
      </c>
      <c r="B667" s="3" t="s">
        <v>1344</v>
      </c>
      <c r="C667" s="5" t="s">
        <v>221</v>
      </c>
      <c r="D667" s="3" t="s">
        <v>614</v>
      </c>
      <c r="E667" s="3" t="s">
        <v>118</v>
      </c>
      <c r="F667" s="7">
        <v>45764.367815729645</v>
      </c>
      <c r="G667" s="3" t="s">
        <v>3155</v>
      </c>
    </row>
    <row r="668">
      <c r="A668" s="3" t="s">
        <v>3156</v>
      </c>
      <c r="B668" s="3" t="s">
        <v>1344</v>
      </c>
      <c r="C668" s="5" t="s">
        <v>614</v>
      </c>
      <c r="D668" s="3" t="s">
        <v>206</v>
      </c>
      <c r="E668" s="3" t="s">
        <v>100</v>
      </c>
      <c r="F668" s="7">
        <v>45764.37128795187</v>
      </c>
      <c r="G668" s="3" t="s">
        <v>3158</v>
      </c>
    </row>
    <row r="669">
      <c r="A669" s="3" t="s">
        <v>3159</v>
      </c>
      <c r="B669" s="3" t="s">
        <v>1344</v>
      </c>
      <c r="C669" s="5" t="s">
        <v>206</v>
      </c>
      <c r="D669" s="3" t="s">
        <v>68</v>
      </c>
      <c r="E669" s="3" t="s">
        <v>100</v>
      </c>
      <c r="F669" s="7">
        <v>45764.37476017409</v>
      </c>
      <c r="G669" s="3" t="s">
        <v>3161</v>
      </c>
    </row>
    <row r="670">
      <c r="A670" s="3" t="s">
        <v>3162</v>
      </c>
      <c r="B670" s="3" t="s">
        <v>1347</v>
      </c>
      <c r="C670" s="5" t="s">
        <v>45</v>
      </c>
      <c r="D670" s="3" t="s">
        <v>221</v>
      </c>
      <c r="E670" s="3" t="s">
        <v>886</v>
      </c>
      <c r="F670" s="7">
        <v>45764.435518352846</v>
      </c>
      <c r="G670" s="3" t="s">
        <v>3164</v>
      </c>
    </row>
    <row r="671">
      <c r="A671" s="3" t="s">
        <v>3165</v>
      </c>
      <c r="B671" s="3" t="s">
        <v>1347</v>
      </c>
      <c r="C671" s="5" t="s">
        <v>221</v>
      </c>
      <c r="D671" s="3" t="s">
        <v>614</v>
      </c>
      <c r="E671" s="3" t="s">
        <v>118</v>
      </c>
      <c r="F671" s="7">
        <v>45764.438990575065</v>
      </c>
      <c r="G671" s="3" t="s">
        <v>3167</v>
      </c>
    </row>
    <row r="672">
      <c r="A672" s="3" t="s">
        <v>3168</v>
      </c>
      <c r="B672" s="3" t="s">
        <v>1347</v>
      </c>
      <c r="C672" s="5" t="s">
        <v>614</v>
      </c>
      <c r="D672" s="3" t="s">
        <v>206</v>
      </c>
      <c r="E672" s="3" t="s">
        <v>100</v>
      </c>
      <c r="F672" s="7">
        <v>45764.44246279729</v>
      </c>
      <c r="G672" s="3" t="s">
        <v>3170</v>
      </c>
    </row>
    <row r="673">
      <c r="A673" s="3" t="s">
        <v>3171</v>
      </c>
      <c r="B673" s="3" t="s">
        <v>1347</v>
      </c>
      <c r="C673" s="5" t="s">
        <v>206</v>
      </c>
      <c r="D673" s="3" t="s">
        <v>68</v>
      </c>
      <c r="E673" s="3" t="s">
        <v>100</v>
      </c>
      <c r="F673" s="7">
        <v>45764.44593501951</v>
      </c>
      <c r="G673" s="3" t="s">
        <v>3172</v>
      </c>
    </row>
    <row r="674">
      <c r="A674" s="3" t="s">
        <v>3174</v>
      </c>
      <c r="B674" s="3" t="s">
        <v>1350</v>
      </c>
      <c r="C674" s="5" t="s">
        <v>45</v>
      </c>
      <c r="D674" s="3" t="s">
        <v>221</v>
      </c>
      <c r="E674" s="3" t="s">
        <v>193</v>
      </c>
      <c r="F674" s="7">
        <v>45764.506693198266</v>
      </c>
      <c r="G674" s="3" t="s">
        <v>3175</v>
      </c>
    </row>
    <row r="675">
      <c r="A675" s="3" t="s">
        <v>3176</v>
      </c>
      <c r="B675" s="3" t="s">
        <v>1350</v>
      </c>
      <c r="C675" s="5" t="s">
        <v>221</v>
      </c>
      <c r="D675" s="3" t="s">
        <v>614</v>
      </c>
      <c r="E675" s="3" t="s">
        <v>118</v>
      </c>
      <c r="F675" s="7">
        <v>45764.510165420485</v>
      </c>
      <c r="G675" s="3" t="s">
        <v>3178</v>
      </c>
    </row>
    <row r="676">
      <c r="A676" s="3" t="s">
        <v>3180</v>
      </c>
      <c r="B676" s="3" t="s">
        <v>1350</v>
      </c>
      <c r="C676" s="5" t="s">
        <v>614</v>
      </c>
      <c r="D676" s="3" t="s">
        <v>206</v>
      </c>
      <c r="E676" s="3" t="s">
        <v>100</v>
      </c>
      <c r="F676" s="7">
        <v>45764.51363764271</v>
      </c>
      <c r="G676" s="3" t="s">
        <v>3181</v>
      </c>
    </row>
    <row r="677">
      <c r="A677" s="3" t="s">
        <v>3182</v>
      </c>
      <c r="B677" s="3" t="s">
        <v>1350</v>
      </c>
      <c r="C677" s="5" t="s">
        <v>206</v>
      </c>
      <c r="D677" s="3" t="s">
        <v>68</v>
      </c>
      <c r="E677" s="3" t="s">
        <v>100</v>
      </c>
      <c r="F677" s="7">
        <v>45764.51710986493</v>
      </c>
      <c r="G677" s="3" t="s">
        <v>3184</v>
      </c>
    </row>
    <row r="678">
      <c r="A678" s="3" t="s">
        <v>3185</v>
      </c>
      <c r="B678" s="3" t="s">
        <v>1353</v>
      </c>
      <c r="C678" s="5" t="s">
        <v>45</v>
      </c>
      <c r="D678" s="3" t="s">
        <v>221</v>
      </c>
      <c r="E678" s="3" t="s">
        <v>491</v>
      </c>
      <c r="F678" s="7">
        <v>45764.57786804368</v>
      </c>
      <c r="G678" s="3" t="s">
        <v>3187</v>
      </c>
    </row>
    <row r="679">
      <c r="A679" s="3" t="s">
        <v>3188</v>
      </c>
      <c r="B679" s="3" t="s">
        <v>1353</v>
      </c>
      <c r="C679" s="5" t="s">
        <v>221</v>
      </c>
      <c r="D679" s="3" t="s">
        <v>614</v>
      </c>
      <c r="E679" s="3" t="s">
        <v>118</v>
      </c>
      <c r="F679" s="7">
        <v>45764.5813402659</v>
      </c>
      <c r="G679" s="3" t="s">
        <v>3190</v>
      </c>
    </row>
    <row r="680">
      <c r="A680" s="3" t="s">
        <v>3191</v>
      </c>
      <c r="B680" s="3" t="s">
        <v>1353</v>
      </c>
      <c r="C680" s="5" t="s">
        <v>614</v>
      </c>
      <c r="D680" s="3" t="s">
        <v>206</v>
      </c>
      <c r="E680" s="3" t="s">
        <v>100</v>
      </c>
      <c r="F680" s="7">
        <v>45764.58481248812</v>
      </c>
      <c r="G680" s="3" t="s">
        <v>3193</v>
      </c>
    </row>
    <row r="681">
      <c r="A681" s="3" t="s">
        <v>3194</v>
      </c>
      <c r="B681" s="3" t="s">
        <v>1353</v>
      </c>
      <c r="C681" s="5" t="s">
        <v>206</v>
      </c>
      <c r="D681" s="3" t="s">
        <v>68</v>
      </c>
      <c r="E681" s="3" t="s">
        <v>100</v>
      </c>
      <c r="F681" s="7">
        <v>45764.58828471034</v>
      </c>
      <c r="G681" s="3" t="s">
        <v>3196</v>
      </c>
    </row>
    <row r="682">
      <c r="A682" s="3" t="s">
        <v>3197</v>
      </c>
      <c r="B682" s="3" t="s">
        <v>1357</v>
      </c>
      <c r="C682" s="5" t="s">
        <v>45</v>
      </c>
      <c r="D682" s="3" t="s">
        <v>221</v>
      </c>
      <c r="E682" s="3" t="s">
        <v>965</v>
      </c>
      <c r="F682" s="7">
        <v>45764.64904288909</v>
      </c>
      <c r="G682" s="3" t="s">
        <v>3199</v>
      </c>
    </row>
    <row r="683">
      <c r="A683" s="3" t="s">
        <v>3200</v>
      </c>
      <c r="B683" s="3" t="s">
        <v>1357</v>
      </c>
      <c r="C683" s="5" t="s">
        <v>221</v>
      </c>
      <c r="D683" s="3" t="s">
        <v>614</v>
      </c>
      <c r="E683" s="3" t="s">
        <v>118</v>
      </c>
      <c r="F683" s="7">
        <v>45764.65251511131</v>
      </c>
      <c r="G683" s="3" t="s">
        <v>3202</v>
      </c>
    </row>
    <row r="684">
      <c r="A684" s="3" t="s">
        <v>3203</v>
      </c>
      <c r="B684" s="3" t="s">
        <v>1357</v>
      </c>
      <c r="C684" s="5" t="s">
        <v>614</v>
      </c>
      <c r="D684" s="3" t="s">
        <v>206</v>
      </c>
      <c r="E684" s="3" t="s">
        <v>100</v>
      </c>
      <c r="F684" s="7">
        <v>45764.655987333535</v>
      </c>
      <c r="G684" s="3" t="s">
        <v>3204</v>
      </c>
    </row>
    <row r="685">
      <c r="A685" s="3" t="s">
        <v>3205</v>
      </c>
      <c r="B685" s="3" t="s">
        <v>1357</v>
      </c>
      <c r="C685" s="5" t="s">
        <v>206</v>
      </c>
      <c r="D685" s="3" t="s">
        <v>68</v>
      </c>
      <c r="E685" s="3" t="s">
        <v>100</v>
      </c>
      <c r="F685" s="7">
        <v>45764.659459555754</v>
      </c>
      <c r="G685" s="3" t="s">
        <v>3207</v>
      </c>
    </row>
    <row r="686">
      <c r="A686" s="3" t="s">
        <v>3208</v>
      </c>
      <c r="B686" s="3" t="s">
        <v>1359</v>
      </c>
      <c r="C686" s="5" t="s">
        <v>45</v>
      </c>
      <c r="D686" s="3" t="s">
        <v>221</v>
      </c>
      <c r="E686" s="3" t="s">
        <v>395</v>
      </c>
      <c r="F686" s="7">
        <v>45764.72021773451</v>
      </c>
      <c r="G686" s="3" t="s">
        <v>3210</v>
      </c>
    </row>
    <row r="687">
      <c r="A687" s="3" t="s">
        <v>3211</v>
      </c>
      <c r="B687" s="3" t="s">
        <v>1359</v>
      </c>
      <c r="C687" s="5" t="s">
        <v>221</v>
      </c>
      <c r="D687" s="3" t="s">
        <v>614</v>
      </c>
      <c r="E687" s="3" t="s">
        <v>118</v>
      </c>
      <c r="F687" s="7">
        <v>45764.72368995673</v>
      </c>
      <c r="G687" s="3" t="s">
        <v>3213</v>
      </c>
    </row>
    <row r="688">
      <c r="A688" s="3" t="s">
        <v>3214</v>
      </c>
      <c r="B688" s="3" t="s">
        <v>1359</v>
      </c>
      <c r="C688" s="5" t="s">
        <v>614</v>
      </c>
      <c r="D688" s="3" t="s">
        <v>206</v>
      </c>
      <c r="E688" s="3" t="s">
        <v>100</v>
      </c>
      <c r="F688" s="7">
        <v>45764.727162178955</v>
      </c>
      <c r="G688" s="3" t="s">
        <v>3215</v>
      </c>
    </row>
    <row r="689">
      <c r="A689" s="3" t="s">
        <v>3217</v>
      </c>
      <c r="B689" s="3" t="s">
        <v>1359</v>
      </c>
      <c r="C689" s="5" t="s">
        <v>206</v>
      </c>
      <c r="D689" s="3" t="s">
        <v>68</v>
      </c>
      <c r="E689" s="3" t="s">
        <v>100</v>
      </c>
      <c r="F689" s="7">
        <v>45764.730634401174</v>
      </c>
      <c r="G689" s="3" t="s">
        <v>3218</v>
      </c>
    </row>
    <row r="690">
      <c r="A690" s="3" t="s">
        <v>3219</v>
      </c>
      <c r="B690" s="3" t="s">
        <v>1362</v>
      </c>
      <c r="C690" s="5" t="s">
        <v>45</v>
      </c>
      <c r="D690" s="3" t="s">
        <v>221</v>
      </c>
      <c r="E690" s="3" t="s">
        <v>496</v>
      </c>
      <c r="F690" s="7">
        <v>45764.79139257992</v>
      </c>
      <c r="G690" s="3" t="s">
        <v>3221</v>
      </c>
    </row>
    <row r="691">
      <c r="A691" s="3" t="s">
        <v>3222</v>
      </c>
      <c r="B691" s="3" t="s">
        <v>1362</v>
      </c>
      <c r="C691" s="5" t="s">
        <v>221</v>
      </c>
      <c r="D691" s="3" t="s">
        <v>614</v>
      </c>
      <c r="E691" s="3" t="s">
        <v>118</v>
      </c>
      <c r="F691" s="7">
        <v>45764.79486480214</v>
      </c>
      <c r="G691" s="3" t="s">
        <v>3224</v>
      </c>
    </row>
    <row r="692">
      <c r="A692" s="3" t="s">
        <v>3225</v>
      </c>
      <c r="B692" s="3" t="s">
        <v>1362</v>
      </c>
      <c r="C692" s="5" t="s">
        <v>614</v>
      </c>
      <c r="D692" s="3" t="s">
        <v>206</v>
      </c>
      <c r="E692" s="3" t="s">
        <v>100</v>
      </c>
      <c r="F692" s="7">
        <v>45764.79833702437</v>
      </c>
      <c r="G692" s="3" t="s">
        <v>3227</v>
      </c>
    </row>
    <row r="693">
      <c r="A693" s="3" t="s">
        <v>3228</v>
      </c>
      <c r="B693" s="3" t="s">
        <v>1362</v>
      </c>
      <c r="C693" s="5" t="s">
        <v>206</v>
      </c>
      <c r="D693" s="3" t="s">
        <v>68</v>
      </c>
      <c r="E693" s="3" t="s">
        <v>100</v>
      </c>
      <c r="F693" s="7">
        <v>45764.801809246586</v>
      </c>
      <c r="G693" s="3" t="s">
        <v>3230</v>
      </c>
    </row>
    <row r="694">
      <c r="A694" s="3" t="s">
        <v>3231</v>
      </c>
      <c r="B694" s="3" t="s">
        <v>1365</v>
      </c>
      <c r="C694" s="5" t="s">
        <v>45</v>
      </c>
      <c r="D694" s="3" t="s">
        <v>221</v>
      </c>
      <c r="E694" s="3" t="s">
        <v>926</v>
      </c>
      <c r="F694" s="7">
        <v>45764.862567425334</v>
      </c>
      <c r="G694" s="3" t="s">
        <v>2770</v>
      </c>
    </row>
    <row r="695">
      <c r="A695" s="3" t="s">
        <v>3233</v>
      </c>
      <c r="B695" s="3" t="s">
        <v>1365</v>
      </c>
      <c r="C695" s="5" t="s">
        <v>221</v>
      </c>
      <c r="D695" s="3" t="s">
        <v>181</v>
      </c>
      <c r="E695" s="3" t="s">
        <v>118</v>
      </c>
      <c r="F695" s="7">
        <v>45764.86603964755</v>
      </c>
      <c r="G695" s="3" t="s">
        <v>2774</v>
      </c>
    </row>
    <row r="696">
      <c r="A696" s="3" t="s">
        <v>3235</v>
      </c>
      <c r="B696" s="3" t="s">
        <v>1368</v>
      </c>
      <c r="C696" s="5" t="s">
        <v>45</v>
      </c>
      <c r="D696" s="3" t="s">
        <v>221</v>
      </c>
      <c r="E696" s="3" t="s">
        <v>926</v>
      </c>
      <c r="F696" s="7">
        <v>45764.933742270754</v>
      </c>
      <c r="G696" s="3" t="s">
        <v>3236</v>
      </c>
    </row>
    <row r="697">
      <c r="A697" s="3" t="s">
        <v>3237</v>
      </c>
      <c r="B697" s="3" t="s">
        <v>1368</v>
      </c>
      <c r="C697" s="5" t="s">
        <v>221</v>
      </c>
      <c r="D697" s="3" t="s">
        <v>614</v>
      </c>
      <c r="E697" s="3" t="s">
        <v>118</v>
      </c>
      <c r="F697" s="7">
        <v>45764.93721449297</v>
      </c>
      <c r="G697" s="3" t="s">
        <v>3239</v>
      </c>
    </row>
    <row r="698">
      <c r="A698" s="3" t="s">
        <v>3240</v>
      </c>
      <c r="B698" s="3" t="s">
        <v>1368</v>
      </c>
      <c r="C698" s="5" t="s">
        <v>614</v>
      </c>
      <c r="D698" s="3" t="s">
        <v>206</v>
      </c>
      <c r="E698" s="3" t="s">
        <v>100</v>
      </c>
      <c r="F698" s="7">
        <v>45764.9406867152</v>
      </c>
      <c r="G698" s="3" t="s">
        <v>3242</v>
      </c>
    </row>
    <row r="699">
      <c r="A699" s="3" t="s">
        <v>3243</v>
      </c>
      <c r="B699" s="3" t="s">
        <v>1368</v>
      </c>
      <c r="C699" s="5" t="s">
        <v>206</v>
      </c>
      <c r="D699" s="3" t="s">
        <v>68</v>
      </c>
      <c r="E699" s="3" t="s">
        <v>100</v>
      </c>
      <c r="F699" s="7">
        <v>45764.94415893742</v>
      </c>
      <c r="G699" s="3" t="s">
        <v>3245</v>
      </c>
    </row>
    <row r="700">
      <c r="A700" s="3" t="s">
        <v>3246</v>
      </c>
      <c r="B700" s="3" t="s">
        <v>1372</v>
      </c>
      <c r="C700" s="5" t="s">
        <v>45</v>
      </c>
      <c r="D700" s="3" t="s">
        <v>221</v>
      </c>
      <c r="E700" s="3" t="s">
        <v>752</v>
      </c>
      <c r="F700" s="7">
        <v>45765.004917116166</v>
      </c>
      <c r="G700" s="3" t="s">
        <v>3248</v>
      </c>
    </row>
    <row r="701">
      <c r="A701" s="3" t="s">
        <v>3249</v>
      </c>
      <c r="B701" s="3" t="s">
        <v>1372</v>
      </c>
      <c r="C701" s="5" t="s">
        <v>221</v>
      </c>
      <c r="D701" s="3" t="s">
        <v>614</v>
      </c>
      <c r="E701" s="3" t="s">
        <v>118</v>
      </c>
      <c r="F701" s="7">
        <v>45765.008389338385</v>
      </c>
      <c r="G701" s="3" t="s">
        <v>3251</v>
      </c>
    </row>
    <row r="702">
      <c r="A702" s="3" t="s">
        <v>3252</v>
      </c>
      <c r="B702" s="3" t="s">
        <v>1372</v>
      </c>
      <c r="C702" s="5" t="s">
        <v>614</v>
      </c>
      <c r="D702" s="3" t="s">
        <v>206</v>
      </c>
      <c r="E702" s="3" t="s">
        <v>100</v>
      </c>
      <c r="F702" s="7">
        <v>45765.01186156061</v>
      </c>
      <c r="G702" s="3" t="s">
        <v>3254</v>
      </c>
    </row>
    <row r="703">
      <c r="A703" s="3" t="s">
        <v>3255</v>
      </c>
      <c r="B703" s="3" t="s">
        <v>1372</v>
      </c>
      <c r="C703" s="5" t="s">
        <v>206</v>
      </c>
      <c r="D703" s="3" t="s">
        <v>68</v>
      </c>
      <c r="E703" s="3" t="s">
        <v>100</v>
      </c>
      <c r="F703" s="7">
        <v>45765.01533378283</v>
      </c>
      <c r="G703" s="3" t="s">
        <v>3257</v>
      </c>
    </row>
    <row r="704">
      <c r="A704" s="3" t="s">
        <v>3258</v>
      </c>
      <c r="B704" s="3" t="s">
        <v>1375</v>
      </c>
      <c r="C704" s="5" t="s">
        <v>45</v>
      </c>
      <c r="D704" s="3" t="s">
        <v>221</v>
      </c>
      <c r="E704" s="3" t="s">
        <v>137</v>
      </c>
      <c r="F704" s="7">
        <v>45765.07609196158</v>
      </c>
      <c r="G704" s="3" t="s">
        <v>3260</v>
      </c>
    </row>
    <row r="705">
      <c r="A705" s="3" t="s">
        <v>3261</v>
      </c>
      <c r="B705" s="3" t="s">
        <v>1375</v>
      </c>
      <c r="C705" s="5" t="s">
        <v>221</v>
      </c>
      <c r="D705" s="3" t="s">
        <v>614</v>
      </c>
      <c r="E705" s="3" t="s">
        <v>118</v>
      </c>
      <c r="F705" s="7">
        <v>45765.0795641838</v>
      </c>
      <c r="G705" s="3" t="s">
        <v>3263</v>
      </c>
    </row>
    <row r="706">
      <c r="A706" s="3" t="s">
        <v>3264</v>
      </c>
      <c r="B706" s="3" t="s">
        <v>1375</v>
      </c>
      <c r="C706" s="5" t="s">
        <v>614</v>
      </c>
      <c r="D706" s="3" t="s">
        <v>206</v>
      </c>
      <c r="E706" s="3" t="s">
        <v>100</v>
      </c>
      <c r="F706" s="7">
        <v>45765.083036406024</v>
      </c>
      <c r="G706" s="3" t="s">
        <v>3266</v>
      </c>
    </row>
    <row r="707">
      <c r="A707" s="3" t="s">
        <v>3267</v>
      </c>
      <c r="B707" s="3" t="s">
        <v>1375</v>
      </c>
      <c r="C707" s="5" t="s">
        <v>206</v>
      </c>
      <c r="D707" s="3" t="s">
        <v>68</v>
      </c>
      <c r="E707" s="3" t="s">
        <v>100</v>
      </c>
      <c r="F707" s="7">
        <v>45765.08650862824</v>
      </c>
      <c r="G707" s="3" t="s">
        <v>3268</v>
      </c>
    </row>
    <row r="708">
      <c r="A708" s="3" t="s">
        <v>3269</v>
      </c>
      <c r="B708" s="3" t="s">
        <v>1377</v>
      </c>
      <c r="C708" s="5" t="s">
        <v>45</v>
      </c>
      <c r="D708" s="3" t="s">
        <v>221</v>
      </c>
      <c r="E708" s="3" t="s">
        <v>734</v>
      </c>
      <c r="F708" s="7">
        <v>45765.147266807</v>
      </c>
      <c r="G708" s="3" t="s">
        <v>3271</v>
      </c>
    </row>
    <row r="709">
      <c r="A709" s="3" t="s">
        <v>3272</v>
      </c>
      <c r="B709" s="3" t="s">
        <v>1377</v>
      </c>
      <c r="C709" s="5" t="s">
        <v>221</v>
      </c>
      <c r="D709" s="3" t="s">
        <v>614</v>
      </c>
      <c r="E709" s="3" t="s">
        <v>118</v>
      </c>
      <c r="F709" s="7">
        <v>45765.15073902922</v>
      </c>
      <c r="G709" s="3" t="s">
        <v>3274</v>
      </c>
    </row>
    <row r="710">
      <c r="A710" s="3" t="s">
        <v>3275</v>
      </c>
      <c r="B710" s="3" t="s">
        <v>1377</v>
      </c>
      <c r="C710" s="5" t="s">
        <v>614</v>
      </c>
      <c r="D710" s="3" t="s">
        <v>206</v>
      </c>
      <c r="E710" s="3" t="s">
        <v>100</v>
      </c>
      <c r="F710" s="7">
        <v>45765.15421125144</v>
      </c>
      <c r="G710" s="3" t="s">
        <v>3277</v>
      </c>
    </row>
    <row r="711">
      <c r="A711" s="3" t="s">
        <v>3278</v>
      </c>
      <c r="B711" s="3" t="s">
        <v>1377</v>
      </c>
      <c r="C711" s="5" t="s">
        <v>206</v>
      </c>
      <c r="D711" s="3" t="s">
        <v>68</v>
      </c>
      <c r="E711" s="3" t="s">
        <v>100</v>
      </c>
      <c r="F711" s="7">
        <v>45765.15768347366</v>
      </c>
      <c r="G711" s="3" t="s">
        <v>3279</v>
      </c>
    </row>
    <row r="712">
      <c r="A712" s="3" t="s">
        <v>3281</v>
      </c>
      <c r="B712" s="3" t="s">
        <v>1381</v>
      </c>
      <c r="C712" s="5" t="s">
        <v>45</v>
      </c>
      <c r="D712" s="3" t="s">
        <v>221</v>
      </c>
      <c r="E712" s="3" t="s">
        <v>678</v>
      </c>
      <c r="F712" s="7">
        <v>45765.21844165241</v>
      </c>
      <c r="G712" s="3" t="s">
        <v>3282</v>
      </c>
    </row>
    <row r="713">
      <c r="A713" s="3" t="s">
        <v>3284</v>
      </c>
      <c r="B713" s="3" t="s">
        <v>1381</v>
      </c>
      <c r="C713" s="5" t="s">
        <v>221</v>
      </c>
      <c r="D713" s="3" t="s">
        <v>614</v>
      </c>
      <c r="E713" s="3" t="s">
        <v>118</v>
      </c>
      <c r="F713" s="7">
        <v>45765.22191387463</v>
      </c>
      <c r="G713" s="3" t="s">
        <v>3285</v>
      </c>
    </row>
    <row r="714">
      <c r="A714" s="3" t="s">
        <v>3287</v>
      </c>
      <c r="B714" s="3" t="s">
        <v>1381</v>
      </c>
      <c r="C714" s="5" t="s">
        <v>614</v>
      </c>
      <c r="D714" s="3" t="s">
        <v>206</v>
      </c>
      <c r="E714" s="3" t="s">
        <v>100</v>
      </c>
      <c r="F714" s="7">
        <v>45765.225386096856</v>
      </c>
      <c r="G714" s="3" t="s">
        <v>3288</v>
      </c>
    </row>
    <row r="715">
      <c r="A715" s="3" t="s">
        <v>3289</v>
      </c>
      <c r="B715" s="3" t="s">
        <v>1381</v>
      </c>
      <c r="C715" s="5" t="s">
        <v>206</v>
      </c>
      <c r="D715" s="3" t="s">
        <v>68</v>
      </c>
      <c r="E715" s="3" t="s">
        <v>100</v>
      </c>
      <c r="F715" s="7">
        <v>45765.228858319075</v>
      </c>
      <c r="G715" s="3" t="s">
        <v>3291</v>
      </c>
    </row>
    <row r="716">
      <c r="A716" s="3" t="s">
        <v>3292</v>
      </c>
      <c r="B716" s="3" t="s">
        <v>1384</v>
      </c>
      <c r="C716" s="5" t="s">
        <v>45</v>
      </c>
      <c r="D716" s="3" t="s">
        <v>221</v>
      </c>
      <c r="E716" s="3" t="s">
        <v>702</v>
      </c>
      <c r="F716" s="7">
        <v>45765.28961649782</v>
      </c>
      <c r="G716" s="3" t="s">
        <v>3294</v>
      </c>
    </row>
    <row r="717">
      <c r="A717" s="3" t="s">
        <v>3295</v>
      </c>
      <c r="B717" s="3" t="s">
        <v>1384</v>
      </c>
      <c r="C717" s="5" t="s">
        <v>221</v>
      </c>
      <c r="D717" s="3" t="s">
        <v>614</v>
      </c>
      <c r="E717" s="3" t="s">
        <v>118</v>
      </c>
      <c r="F717" s="7">
        <v>45765.29308872004</v>
      </c>
      <c r="G717" s="3" t="s">
        <v>3297</v>
      </c>
    </row>
    <row r="718">
      <c r="A718" s="3" t="s">
        <v>3298</v>
      </c>
      <c r="B718" s="3" t="s">
        <v>1384</v>
      </c>
      <c r="C718" s="5" t="s">
        <v>614</v>
      </c>
      <c r="D718" s="3" t="s">
        <v>206</v>
      </c>
      <c r="E718" s="3" t="s">
        <v>100</v>
      </c>
      <c r="F718" s="7">
        <v>45765.29656094227</v>
      </c>
      <c r="G718" s="3" t="s">
        <v>3300</v>
      </c>
    </row>
    <row r="719">
      <c r="A719" s="3" t="s">
        <v>3301</v>
      </c>
      <c r="B719" s="3" t="s">
        <v>1384</v>
      </c>
      <c r="C719" s="5" t="s">
        <v>206</v>
      </c>
      <c r="D719" s="3" t="s">
        <v>68</v>
      </c>
      <c r="E719" s="3" t="s">
        <v>100</v>
      </c>
      <c r="F719" s="7">
        <v>45765.30003316449</v>
      </c>
      <c r="G719" s="3" t="s">
        <v>3303</v>
      </c>
    </row>
    <row r="720">
      <c r="A720" s="3" t="s">
        <v>3304</v>
      </c>
      <c r="B720" s="3" t="s">
        <v>1388</v>
      </c>
      <c r="C720" s="5" t="s">
        <v>45</v>
      </c>
      <c r="D720" s="3" t="s">
        <v>221</v>
      </c>
      <c r="E720" s="3" t="s">
        <v>561</v>
      </c>
      <c r="F720" s="7">
        <v>45765.36079134324</v>
      </c>
      <c r="G720" s="3" t="s">
        <v>3306</v>
      </c>
    </row>
    <row r="721">
      <c r="A721" s="3" t="s">
        <v>3307</v>
      </c>
      <c r="B721" s="3" t="s">
        <v>1388</v>
      </c>
      <c r="C721" s="5" t="s">
        <v>221</v>
      </c>
      <c r="D721" s="3" t="s">
        <v>614</v>
      </c>
      <c r="E721" s="3" t="s">
        <v>118</v>
      </c>
      <c r="F721" s="7">
        <v>45765.36426356546</v>
      </c>
      <c r="G721" s="3" t="s">
        <v>3309</v>
      </c>
    </row>
    <row r="722">
      <c r="A722" s="3" t="s">
        <v>3310</v>
      </c>
      <c r="B722" s="3" t="s">
        <v>1388</v>
      </c>
      <c r="C722" s="5" t="s">
        <v>614</v>
      </c>
      <c r="D722" s="3" t="s">
        <v>206</v>
      </c>
      <c r="E722" s="3" t="s">
        <v>100</v>
      </c>
      <c r="F722" s="7">
        <v>45765.36773578769</v>
      </c>
      <c r="G722" s="3" t="s">
        <v>3312</v>
      </c>
    </row>
    <row r="723">
      <c r="A723" s="3" t="s">
        <v>3313</v>
      </c>
      <c r="B723" s="3" t="s">
        <v>1388</v>
      </c>
      <c r="C723" s="5" t="s">
        <v>206</v>
      </c>
      <c r="D723" s="3" t="s">
        <v>68</v>
      </c>
      <c r="E723" s="3" t="s">
        <v>100</v>
      </c>
      <c r="F723" s="7">
        <v>45765.37120800991</v>
      </c>
      <c r="G723" s="3" t="s">
        <v>3315</v>
      </c>
    </row>
    <row r="724">
      <c r="A724" s="3" t="s">
        <v>3316</v>
      </c>
      <c r="B724" s="3" t="s">
        <v>1391</v>
      </c>
      <c r="C724" s="5" t="s">
        <v>45</v>
      </c>
      <c r="D724" s="3" t="s">
        <v>221</v>
      </c>
      <c r="E724" s="3" t="s">
        <v>535</v>
      </c>
      <c r="F724" s="7">
        <v>45765.43196618866</v>
      </c>
      <c r="G724" s="3" t="s">
        <v>3318</v>
      </c>
    </row>
    <row r="725">
      <c r="A725" s="3" t="s">
        <v>3319</v>
      </c>
      <c r="B725" s="3" t="s">
        <v>1391</v>
      </c>
      <c r="C725" s="5" t="s">
        <v>221</v>
      </c>
      <c r="D725" s="3" t="s">
        <v>614</v>
      </c>
      <c r="E725" s="3" t="s">
        <v>118</v>
      </c>
      <c r="F725" s="7">
        <v>45765.43543841088</v>
      </c>
      <c r="G725" s="3" t="s">
        <v>3321</v>
      </c>
    </row>
    <row r="726">
      <c r="A726" s="3" t="s">
        <v>3322</v>
      </c>
      <c r="B726" s="3" t="s">
        <v>1391</v>
      </c>
      <c r="C726" s="5" t="s">
        <v>614</v>
      </c>
      <c r="D726" s="3" t="s">
        <v>206</v>
      </c>
      <c r="E726" s="3" t="s">
        <v>100</v>
      </c>
      <c r="F726" s="7">
        <v>45765.43891063311</v>
      </c>
      <c r="G726" s="3" t="s">
        <v>3324</v>
      </c>
    </row>
    <row r="727">
      <c r="A727" s="3" t="s">
        <v>3325</v>
      </c>
      <c r="B727" s="3" t="s">
        <v>1391</v>
      </c>
      <c r="C727" s="5" t="s">
        <v>206</v>
      </c>
      <c r="D727" s="3" t="s">
        <v>68</v>
      </c>
      <c r="E727" s="3" t="s">
        <v>100</v>
      </c>
      <c r="F727" s="7">
        <v>45765.442382855326</v>
      </c>
      <c r="G727" s="3" t="s">
        <v>3326</v>
      </c>
    </row>
    <row r="728">
      <c r="A728" s="3" t="s">
        <v>3328</v>
      </c>
      <c r="B728" s="3" t="s">
        <v>1394</v>
      </c>
      <c r="C728" s="5" t="s">
        <v>45</v>
      </c>
      <c r="D728" s="3" t="s">
        <v>221</v>
      </c>
      <c r="E728" s="3" t="s">
        <v>662</v>
      </c>
      <c r="F728" s="7">
        <v>45765.50314103407</v>
      </c>
      <c r="G728" s="3" t="s">
        <v>2770</v>
      </c>
    </row>
    <row r="729">
      <c r="A729" s="3" t="s">
        <v>3330</v>
      </c>
      <c r="B729" s="3" t="s">
        <v>1394</v>
      </c>
      <c r="C729" s="5" t="s">
        <v>221</v>
      </c>
      <c r="D729" s="3" t="s">
        <v>181</v>
      </c>
      <c r="E729" s="3" t="s">
        <v>118</v>
      </c>
      <c r="F729" s="7">
        <v>45765.506613256286</v>
      </c>
      <c r="G729" s="3" t="s">
        <v>2774</v>
      </c>
    </row>
    <row r="730">
      <c r="A730" s="3" t="s">
        <v>3332</v>
      </c>
      <c r="B730" s="3" t="s">
        <v>1397</v>
      </c>
      <c r="C730" s="5" t="s">
        <v>45</v>
      </c>
      <c r="D730" s="3" t="s">
        <v>221</v>
      </c>
      <c r="E730" s="3" t="s">
        <v>488</v>
      </c>
      <c r="F730" s="7">
        <v>45765.57431587949</v>
      </c>
      <c r="G730" s="3" t="s">
        <v>2770</v>
      </c>
    </row>
    <row r="731">
      <c r="A731" s="3" t="s">
        <v>3334</v>
      </c>
      <c r="B731" s="3" t="s">
        <v>1397</v>
      </c>
      <c r="C731" s="5" t="s">
        <v>221</v>
      </c>
      <c r="D731" s="3" t="s">
        <v>181</v>
      </c>
      <c r="E731" s="3" t="s">
        <v>118</v>
      </c>
      <c r="F731" s="7">
        <v>45765.577788101706</v>
      </c>
      <c r="G731" s="3" t="s">
        <v>2774</v>
      </c>
    </row>
    <row r="732">
      <c r="A732" s="3" t="s">
        <v>3335</v>
      </c>
      <c r="B732" s="3" t="s">
        <v>1399</v>
      </c>
      <c r="C732" s="5" t="s">
        <v>45</v>
      </c>
      <c r="D732" s="3" t="s">
        <v>221</v>
      </c>
      <c r="E732" s="3" t="s">
        <v>735</v>
      </c>
      <c r="F732" s="7">
        <v>45765.645490724906</v>
      </c>
      <c r="G732" s="3" t="s">
        <v>3337</v>
      </c>
    </row>
    <row r="733">
      <c r="A733" s="3" t="s">
        <v>3338</v>
      </c>
      <c r="B733" s="3" t="s">
        <v>1399</v>
      </c>
      <c r="C733" s="5" t="s">
        <v>221</v>
      </c>
      <c r="D733" s="3" t="s">
        <v>614</v>
      </c>
      <c r="E733" s="3" t="s">
        <v>118</v>
      </c>
      <c r="F733" s="7">
        <v>45765.648962947125</v>
      </c>
      <c r="G733" s="3" t="s">
        <v>3340</v>
      </c>
    </row>
    <row r="734">
      <c r="A734" s="3" t="s">
        <v>3341</v>
      </c>
      <c r="B734" s="3" t="s">
        <v>1399</v>
      </c>
      <c r="C734" s="5" t="s">
        <v>614</v>
      </c>
      <c r="D734" s="3" t="s">
        <v>206</v>
      </c>
      <c r="E734" s="3" t="s">
        <v>100</v>
      </c>
      <c r="F734" s="7">
        <v>45765.65243516935</v>
      </c>
      <c r="G734" s="3" t="s">
        <v>3343</v>
      </c>
    </row>
    <row r="735">
      <c r="A735" s="3" t="s">
        <v>3344</v>
      </c>
      <c r="B735" s="3" t="s">
        <v>1399</v>
      </c>
      <c r="C735" s="5" t="s">
        <v>206</v>
      </c>
      <c r="D735" s="3" t="s">
        <v>68</v>
      </c>
      <c r="E735" s="3" t="s">
        <v>100</v>
      </c>
      <c r="F735" s="7">
        <v>45765.65590739157</v>
      </c>
      <c r="G735" s="3" t="s">
        <v>3345</v>
      </c>
    </row>
    <row r="736">
      <c r="A736" s="3" t="s">
        <v>3346</v>
      </c>
      <c r="B736" s="3" t="s">
        <v>1402</v>
      </c>
      <c r="C736" s="5" t="s">
        <v>45</v>
      </c>
      <c r="D736" s="3" t="s">
        <v>221</v>
      </c>
      <c r="E736" s="3" t="s">
        <v>631</v>
      </c>
      <c r="F736" s="7">
        <v>45765.71666557032</v>
      </c>
      <c r="G736" s="3" t="s">
        <v>3348</v>
      </c>
    </row>
    <row r="737">
      <c r="A737" s="3" t="s">
        <v>3349</v>
      </c>
      <c r="B737" s="3" t="s">
        <v>1402</v>
      </c>
      <c r="C737" s="5" t="s">
        <v>221</v>
      </c>
      <c r="D737" s="3" t="s">
        <v>614</v>
      </c>
      <c r="E737" s="3" t="s">
        <v>118</v>
      </c>
      <c r="F737" s="7">
        <v>45765.72013779254</v>
      </c>
      <c r="G737" s="3" t="s">
        <v>3351</v>
      </c>
    </row>
    <row r="738">
      <c r="A738" s="3" t="s">
        <v>3352</v>
      </c>
      <c r="B738" s="3" t="s">
        <v>1402</v>
      </c>
      <c r="C738" s="5" t="s">
        <v>614</v>
      </c>
      <c r="D738" s="3" t="s">
        <v>206</v>
      </c>
      <c r="E738" s="3" t="s">
        <v>100</v>
      </c>
      <c r="F738" s="7">
        <v>45765.723610014764</v>
      </c>
      <c r="G738" s="3" t="s">
        <v>3353</v>
      </c>
    </row>
    <row r="739">
      <c r="A739" s="3" t="s">
        <v>3355</v>
      </c>
      <c r="B739" s="3" t="s">
        <v>1402</v>
      </c>
      <c r="C739" s="5" t="s">
        <v>206</v>
      </c>
      <c r="D739" s="3" t="s">
        <v>68</v>
      </c>
      <c r="E739" s="3" t="s">
        <v>100</v>
      </c>
      <c r="F739" s="7">
        <v>45765.72708223698</v>
      </c>
      <c r="G739" s="3" t="s">
        <v>3356</v>
      </c>
    </row>
    <row r="740">
      <c r="A740" s="3" t="s">
        <v>3358</v>
      </c>
      <c r="B740" s="3" t="s">
        <v>1406</v>
      </c>
      <c r="C740" s="5" t="s">
        <v>45</v>
      </c>
      <c r="D740" s="3" t="s">
        <v>221</v>
      </c>
      <c r="E740" s="3" t="s">
        <v>669</v>
      </c>
      <c r="F740" s="7">
        <v>45765.78784041573</v>
      </c>
      <c r="G740" s="3" t="s">
        <v>3359</v>
      </c>
    </row>
    <row r="741">
      <c r="A741" s="3" t="s">
        <v>3361</v>
      </c>
      <c r="B741" s="3" t="s">
        <v>1406</v>
      </c>
      <c r="C741" s="5" t="s">
        <v>221</v>
      </c>
      <c r="D741" s="3" t="s">
        <v>614</v>
      </c>
      <c r="E741" s="3" t="s">
        <v>118</v>
      </c>
      <c r="F741" s="7">
        <v>45765.79131263795</v>
      </c>
      <c r="G741" s="3" t="s">
        <v>3362</v>
      </c>
    </row>
    <row r="742">
      <c r="A742" s="3" t="s">
        <v>3363</v>
      </c>
      <c r="B742" s="3" t="s">
        <v>1406</v>
      </c>
      <c r="C742" s="5" t="s">
        <v>614</v>
      </c>
      <c r="D742" s="3" t="s">
        <v>206</v>
      </c>
      <c r="E742" s="3" t="s">
        <v>100</v>
      </c>
      <c r="F742" s="7">
        <v>45765.794784860176</v>
      </c>
      <c r="G742" s="3" t="s">
        <v>3365</v>
      </c>
    </row>
    <row r="743">
      <c r="A743" s="3" t="s">
        <v>3366</v>
      </c>
      <c r="B743" s="3" t="s">
        <v>1406</v>
      </c>
      <c r="C743" s="5" t="s">
        <v>206</v>
      </c>
      <c r="D743" s="3" t="s">
        <v>68</v>
      </c>
      <c r="E743" s="3" t="s">
        <v>100</v>
      </c>
      <c r="F743" s="7">
        <v>45765.798257082395</v>
      </c>
      <c r="G743" s="3" t="s">
        <v>3368</v>
      </c>
    </row>
    <row r="744">
      <c r="A744" s="3" t="s">
        <v>3369</v>
      </c>
      <c r="B744" s="3" t="s">
        <v>1409</v>
      </c>
      <c r="C744" s="5" t="s">
        <v>45</v>
      </c>
      <c r="D744" s="3" t="s">
        <v>221</v>
      </c>
      <c r="E744" s="3" t="s">
        <v>446</v>
      </c>
      <c r="F744" s="7">
        <v>45765.85901526115</v>
      </c>
      <c r="G744" s="3" t="s">
        <v>3371</v>
      </c>
    </row>
    <row r="745">
      <c r="A745" s="3" t="s">
        <v>3372</v>
      </c>
      <c r="B745" s="3" t="s">
        <v>1409</v>
      </c>
      <c r="C745" s="5" t="s">
        <v>221</v>
      </c>
      <c r="D745" s="3" t="s">
        <v>614</v>
      </c>
      <c r="E745" s="3" t="s">
        <v>118</v>
      </c>
      <c r="F745" s="7">
        <v>45765.86248748337</v>
      </c>
      <c r="G745" s="3" t="s">
        <v>3374</v>
      </c>
    </row>
    <row r="746">
      <c r="A746" s="3" t="s">
        <v>3375</v>
      </c>
      <c r="B746" s="3" t="s">
        <v>1409</v>
      </c>
      <c r="C746" s="5" t="s">
        <v>614</v>
      </c>
      <c r="D746" s="3" t="s">
        <v>206</v>
      </c>
      <c r="E746" s="3" t="s">
        <v>100</v>
      </c>
      <c r="F746" s="7">
        <v>45765.865959705596</v>
      </c>
      <c r="G746" s="3" t="s">
        <v>3377</v>
      </c>
    </row>
    <row r="747">
      <c r="A747" s="3" t="s">
        <v>3378</v>
      </c>
      <c r="B747" s="3" t="s">
        <v>1409</v>
      </c>
      <c r="C747" s="5" t="s">
        <v>206</v>
      </c>
      <c r="D747" s="3" t="s">
        <v>68</v>
      </c>
      <c r="E747" s="3" t="s">
        <v>100</v>
      </c>
      <c r="F747" s="7">
        <v>45765.869431927815</v>
      </c>
      <c r="G747" s="3" t="s">
        <v>3380</v>
      </c>
    </row>
    <row r="748">
      <c r="A748" s="3" t="s">
        <v>3381</v>
      </c>
      <c r="B748" s="3" t="s">
        <v>1412</v>
      </c>
      <c r="C748" s="5" t="s">
        <v>45</v>
      </c>
      <c r="D748" s="3" t="s">
        <v>221</v>
      </c>
      <c r="E748" s="3" t="s">
        <v>219</v>
      </c>
      <c r="F748" s="7">
        <v>45765.93019010656</v>
      </c>
      <c r="G748" s="3" t="s">
        <v>3383</v>
      </c>
    </row>
    <row r="749">
      <c r="A749" s="3" t="s">
        <v>3384</v>
      </c>
      <c r="B749" s="3" t="s">
        <v>1412</v>
      </c>
      <c r="C749" s="5" t="s">
        <v>221</v>
      </c>
      <c r="D749" s="3" t="s">
        <v>614</v>
      </c>
      <c r="E749" s="3" t="s">
        <v>118</v>
      </c>
      <c r="F749" s="7">
        <v>45765.93366232878</v>
      </c>
      <c r="G749" s="3" t="s">
        <v>3386</v>
      </c>
    </row>
    <row r="750">
      <c r="A750" s="3" t="s">
        <v>3387</v>
      </c>
      <c r="B750" s="3" t="s">
        <v>1412</v>
      </c>
      <c r="C750" s="5" t="s">
        <v>614</v>
      </c>
      <c r="D750" s="3" t="s">
        <v>206</v>
      </c>
      <c r="E750" s="3" t="s">
        <v>100</v>
      </c>
      <c r="F750" s="7">
        <v>45765.93713455101</v>
      </c>
      <c r="G750" s="3" t="s">
        <v>3389</v>
      </c>
    </row>
    <row r="751">
      <c r="A751" s="3" t="s">
        <v>3390</v>
      </c>
      <c r="B751" s="3" t="s">
        <v>1412</v>
      </c>
      <c r="C751" s="5" t="s">
        <v>206</v>
      </c>
      <c r="D751" s="3" t="s">
        <v>68</v>
      </c>
      <c r="E751" s="3" t="s">
        <v>100</v>
      </c>
      <c r="F751" s="7">
        <v>45765.94060677323</v>
      </c>
      <c r="G751" s="3" t="s">
        <v>3392</v>
      </c>
    </row>
    <row r="752">
      <c r="A752" s="3" t="s">
        <v>3393</v>
      </c>
      <c r="B752" s="3" t="s">
        <v>1415</v>
      </c>
      <c r="C752" s="5" t="s">
        <v>45</v>
      </c>
      <c r="D752" s="3" t="s">
        <v>221</v>
      </c>
      <c r="E752" s="3" t="s">
        <v>348</v>
      </c>
      <c r="F752" s="7">
        <v>45766.001364951975</v>
      </c>
      <c r="G752" s="3" t="s">
        <v>3395</v>
      </c>
    </row>
    <row r="753">
      <c r="A753" s="3" t="s">
        <v>3396</v>
      </c>
      <c r="B753" s="3" t="s">
        <v>1415</v>
      </c>
      <c r="C753" s="5" t="s">
        <v>221</v>
      </c>
      <c r="D753" s="3" t="s">
        <v>614</v>
      </c>
      <c r="E753" s="3" t="s">
        <v>118</v>
      </c>
      <c r="F753" s="7">
        <v>45766.004837174194</v>
      </c>
      <c r="G753" s="3" t="s">
        <v>3398</v>
      </c>
    </row>
    <row r="754">
      <c r="A754" s="3" t="s">
        <v>3399</v>
      </c>
      <c r="B754" s="3" t="s">
        <v>1415</v>
      </c>
      <c r="C754" s="5" t="s">
        <v>614</v>
      </c>
      <c r="D754" s="3" t="s">
        <v>206</v>
      </c>
      <c r="E754" s="3" t="s">
        <v>100</v>
      </c>
      <c r="F754" s="7">
        <v>45766.00830939642</v>
      </c>
      <c r="G754" s="3" t="s">
        <v>3401</v>
      </c>
    </row>
    <row r="755">
      <c r="A755" s="3" t="s">
        <v>3402</v>
      </c>
      <c r="B755" s="3" t="s">
        <v>1415</v>
      </c>
      <c r="C755" s="5" t="s">
        <v>206</v>
      </c>
      <c r="D755" s="3" t="s">
        <v>68</v>
      </c>
      <c r="E755" s="3" t="s">
        <v>100</v>
      </c>
      <c r="F755" s="7">
        <v>45766.01178161864</v>
      </c>
      <c r="G755" s="3" t="s">
        <v>3404</v>
      </c>
    </row>
    <row r="756">
      <c r="A756" s="3" t="s">
        <v>3405</v>
      </c>
      <c r="B756" s="3" t="s">
        <v>1417</v>
      </c>
      <c r="C756" s="5" t="s">
        <v>45</v>
      </c>
      <c r="D756" s="3" t="s">
        <v>221</v>
      </c>
      <c r="E756" s="3" t="s">
        <v>598</v>
      </c>
      <c r="F756" s="7">
        <v>45766.072539797395</v>
      </c>
      <c r="G756" s="3" t="s">
        <v>3407</v>
      </c>
    </row>
    <row r="757">
      <c r="A757" s="3" t="s">
        <v>3408</v>
      </c>
      <c r="B757" s="3" t="s">
        <v>1417</v>
      </c>
      <c r="C757" s="5" t="s">
        <v>221</v>
      </c>
      <c r="D757" s="3" t="s">
        <v>614</v>
      </c>
      <c r="E757" s="3" t="s">
        <v>118</v>
      </c>
      <c r="F757" s="7">
        <v>45766.076012019614</v>
      </c>
      <c r="G757" s="3" t="s">
        <v>3410</v>
      </c>
    </row>
    <row r="758">
      <c r="A758" s="3" t="s">
        <v>3411</v>
      </c>
      <c r="B758" s="3" t="s">
        <v>1417</v>
      </c>
      <c r="C758" s="5" t="s">
        <v>614</v>
      </c>
      <c r="D758" s="3" t="s">
        <v>206</v>
      </c>
      <c r="E758" s="3" t="s">
        <v>100</v>
      </c>
      <c r="F758" s="7">
        <v>45766.07948424184</v>
      </c>
      <c r="G758" s="3" t="s">
        <v>3413</v>
      </c>
    </row>
    <row r="759">
      <c r="A759" s="3" t="s">
        <v>3414</v>
      </c>
      <c r="B759" s="3" t="s">
        <v>1417</v>
      </c>
      <c r="C759" s="5" t="s">
        <v>206</v>
      </c>
      <c r="D759" s="3" t="s">
        <v>68</v>
      </c>
      <c r="E759" s="3" t="s">
        <v>100</v>
      </c>
      <c r="F759" s="7">
        <v>45766.08295646406</v>
      </c>
      <c r="G759" s="3" t="s">
        <v>3416</v>
      </c>
    </row>
    <row r="760">
      <c r="A760" s="3" t="s">
        <v>3417</v>
      </c>
      <c r="B760" s="3" t="s">
        <v>1421</v>
      </c>
      <c r="C760" s="5" t="s">
        <v>45</v>
      </c>
      <c r="D760" s="3" t="s">
        <v>221</v>
      </c>
      <c r="E760" s="3" t="s">
        <v>453</v>
      </c>
      <c r="F760" s="7">
        <v>45766.143714642814</v>
      </c>
      <c r="G760" s="3" t="s">
        <v>3418</v>
      </c>
    </row>
    <row r="761">
      <c r="A761" s="3" t="s">
        <v>3420</v>
      </c>
      <c r="B761" s="3" t="s">
        <v>1421</v>
      </c>
      <c r="C761" s="5" t="s">
        <v>221</v>
      </c>
      <c r="D761" s="3" t="s">
        <v>614</v>
      </c>
      <c r="E761" s="3" t="s">
        <v>118</v>
      </c>
      <c r="F761" s="7">
        <v>45766.14718686503</v>
      </c>
      <c r="G761" s="3" t="s">
        <v>3421</v>
      </c>
    </row>
    <row r="762">
      <c r="A762" s="3" t="s">
        <v>3422</v>
      </c>
      <c r="B762" s="3" t="s">
        <v>1421</v>
      </c>
      <c r="C762" s="5" t="s">
        <v>614</v>
      </c>
      <c r="D762" s="3" t="s">
        <v>206</v>
      </c>
      <c r="E762" s="3" t="s">
        <v>100</v>
      </c>
      <c r="F762" s="7">
        <v>45766.15065908726</v>
      </c>
      <c r="G762" s="3" t="s">
        <v>3424</v>
      </c>
    </row>
    <row r="763">
      <c r="A763" s="3" t="s">
        <v>3425</v>
      </c>
      <c r="B763" s="3" t="s">
        <v>1421</v>
      </c>
      <c r="C763" s="5" t="s">
        <v>206</v>
      </c>
      <c r="D763" s="3" t="s">
        <v>68</v>
      </c>
      <c r="E763" s="3" t="s">
        <v>100</v>
      </c>
      <c r="F763" s="7">
        <v>45766.15413130948</v>
      </c>
      <c r="G763" s="3" t="s">
        <v>3427</v>
      </c>
    </row>
    <row r="764">
      <c r="A764" s="3" t="s">
        <v>3428</v>
      </c>
      <c r="B764" s="3" t="s">
        <v>1425</v>
      </c>
      <c r="C764" s="5" t="s">
        <v>45</v>
      </c>
      <c r="D764" s="3" t="s">
        <v>221</v>
      </c>
      <c r="E764" s="3" t="s">
        <v>1001</v>
      </c>
      <c r="F764" s="7">
        <v>45766.21488948822</v>
      </c>
      <c r="G764" s="3" t="s">
        <v>3430</v>
      </c>
    </row>
    <row r="765">
      <c r="A765" s="3" t="s">
        <v>3431</v>
      </c>
      <c r="B765" s="3" t="s">
        <v>1425</v>
      </c>
      <c r="C765" s="5" t="s">
        <v>221</v>
      </c>
      <c r="D765" s="3" t="s">
        <v>614</v>
      </c>
      <c r="E765" s="3" t="s">
        <v>118</v>
      </c>
      <c r="F765" s="7">
        <v>45766.21836171044</v>
      </c>
      <c r="G765" s="3" t="s">
        <v>3433</v>
      </c>
    </row>
    <row r="766">
      <c r="A766" s="3" t="s">
        <v>3434</v>
      </c>
      <c r="B766" s="3" t="s">
        <v>1425</v>
      </c>
      <c r="C766" s="5" t="s">
        <v>614</v>
      </c>
      <c r="D766" s="3" t="s">
        <v>206</v>
      </c>
      <c r="E766" s="3" t="s">
        <v>100</v>
      </c>
      <c r="F766" s="7">
        <v>45766.221833932665</v>
      </c>
      <c r="G766" s="3" t="s">
        <v>3436</v>
      </c>
    </row>
    <row r="767">
      <c r="A767" s="3" t="s">
        <v>3437</v>
      </c>
      <c r="B767" s="3" t="s">
        <v>1425</v>
      </c>
      <c r="C767" s="5" t="s">
        <v>206</v>
      </c>
      <c r="D767" s="3" t="s">
        <v>68</v>
      </c>
      <c r="E767" s="3" t="s">
        <v>100</v>
      </c>
      <c r="F767" s="7">
        <v>45766.22530615488</v>
      </c>
      <c r="G767" s="3" t="s">
        <v>3439</v>
      </c>
    </row>
    <row r="768">
      <c r="A768" s="3" t="s">
        <v>3440</v>
      </c>
      <c r="B768" s="3" t="s">
        <v>1427</v>
      </c>
      <c r="C768" s="5" t="s">
        <v>45</v>
      </c>
      <c r="D768" s="3" t="s">
        <v>221</v>
      </c>
      <c r="E768" s="3" t="s">
        <v>598</v>
      </c>
      <c r="F768" s="7">
        <v>45766.28606433364</v>
      </c>
      <c r="G768" s="3" t="s">
        <v>3442</v>
      </c>
    </row>
    <row r="769">
      <c r="A769" s="3" t="s">
        <v>3443</v>
      </c>
      <c r="B769" s="3" t="s">
        <v>1427</v>
      </c>
      <c r="C769" s="5" t="s">
        <v>221</v>
      </c>
      <c r="D769" s="3" t="s">
        <v>614</v>
      </c>
      <c r="E769" s="3" t="s">
        <v>118</v>
      </c>
      <c r="F769" s="7">
        <v>45766.28953655586</v>
      </c>
      <c r="G769" s="3" t="s">
        <v>3445</v>
      </c>
    </row>
    <row r="770">
      <c r="A770" s="3" t="s">
        <v>3446</v>
      </c>
      <c r="B770" s="3" t="s">
        <v>1427</v>
      </c>
      <c r="C770" s="5" t="s">
        <v>614</v>
      </c>
      <c r="D770" s="3" t="s">
        <v>206</v>
      </c>
      <c r="E770" s="3" t="s">
        <v>100</v>
      </c>
      <c r="F770" s="7">
        <v>45766.293008778084</v>
      </c>
      <c r="G770" s="3" t="s">
        <v>3447</v>
      </c>
    </row>
    <row r="771">
      <c r="A771" s="3" t="s">
        <v>3449</v>
      </c>
      <c r="B771" s="3" t="s">
        <v>1427</v>
      </c>
      <c r="C771" s="5" t="s">
        <v>206</v>
      </c>
      <c r="D771" s="3" t="s">
        <v>68</v>
      </c>
      <c r="E771" s="3" t="s">
        <v>100</v>
      </c>
      <c r="F771" s="7">
        <v>45766.2964810003</v>
      </c>
      <c r="G771" s="3" t="s">
        <v>3450</v>
      </c>
    </row>
    <row r="772">
      <c r="A772" s="3" t="s">
        <v>3451</v>
      </c>
      <c r="B772" s="3" t="s">
        <v>1430</v>
      </c>
      <c r="C772" s="5" t="s">
        <v>45</v>
      </c>
      <c r="D772" s="3" t="s">
        <v>221</v>
      </c>
      <c r="E772" s="3" t="s">
        <v>657</v>
      </c>
      <c r="F772" s="7">
        <v>45766.35723917905</v>
      </c>
      <c r="G772" s="3" t="s">
        <v>3453</v>
      </c>
    </row>
    <row r="773">
      <c r="A773" s="3" t="s">
        <v>3454</v>
      </c>
      <c r="B773" s="3" t="s">
        <v>1430</v>
      </c>
      <c r="C773" s="5" t="s">
        <v>221</v>
      </c>
      <c r="D773" s="3" t="s">
        <v>614</v>
      </c>
      <c r="E773" s="3" t="s">
        <v>118</v>
      </c>
      <c r="F773" s="7">
        <v>45766.36071140127</v>
      </c>
      <c r="G773" s="3" t="s">
        <v>3456</v>
      </c>
    </row>
    <row r="774">
      <c r="A774" s="3" t="s">
        <v>3457</v>
      </c>
      <c r="B774" s="3" t="s">
        <v>1430</v>
      </c>
      <c r="C774" s="5" t="s">
        <v>614</v>
      </c>
      <c r="D774" s="3" t="s">
        <v>206</v>
      </c>
      <c r="E774" s="3" t="s">
        <v>100</v>
      </c>
      <c r="F774" s="7">
        <v>45766.3641836235</v>
      </c>
      <c r="G774" s="3" t="s">
        <v>3459</v>
      </c>
    </row>
    <row r="775">
      <c r="A775" s="3" t="s">
        <v>3460</v>
      </c>
      <c r="B775" s="3" t="s">
        <v>1430</v>
      </c>
      <c r="C775" s="5" t="s">
        <v>206</v>
      </c>
      <c r="D775" s="3" t="s">
        <v>68</v>
      </c>
      <c r="E775" s="3" t="s">
        <v>100</v>
      </c>
      <c r="F775" s="7">
        <v>45766.367655845715</v>
      </c>
      <c r="G775" s="3" t="s">
        <v>3462</v>
      </c>
    </row>
    <row r="776">
      <c r="A776" s="3" t="s">
        <v>3463</v>
      </c>
      <c r="B776" s="3" t="s">
        <v>1433</v>
      </c>
      <c r="C776" s="5" t="s">
        <v>45</v>
      </c>
      <c r="D776" s="3" t="s">
        <v>221</v>
      </c>
      <c r="E776" s="3" t="s">
        <v>841</v>
      </c>
      <c r="F776" s="7">
        <v>45766.42841402447</v>
      </c>
      <c r="G776" s="3" t="s">
        <v>3464</v>
      </c>
    </row>
    <row r="777">
      <c r="A777" s="3" t="s">
        <v>3466</v>
      </c>
      <c r="B777" s="3" t="s">
        <v>1433</v>
      </c>
      <c r="C777" s="5" t="s">
        <v>221</v>
      </c>
      <c r="D777" s="3" t="s">
        <v>614</v>
      </c>
      <c r="E777" s="3" t="s">
        <v>118</v>
      </c>
      <c r="F777" s="7">
        <v>45766.43188624669</v>
      </c>
      <c r="G777" s="3" t="s">
        <v>3467</v>
      </c>
    </row>
    <row r="778">
      <c r="A778" s="3" t="s">
        <v>3469</v>
      </c>
      <c r="B778" s="3" t="s">
        <v>1433</v>
      </c>
      <c r="C778" s="5" t="s">
        <v>614</v>
      </c>
      <c r="D778" s="3" t="s">
        <v>206</v>
      </c>
      <c r="E778" s="3" t="s">
        <v>100</v>
      </c>
      <c r="F778" s="7">
        <v>45766.435358468916</v>
      </c>
      <c r="G778" s="3" t="s">
        <v>3470</v>
      </c>
    </row>
    <row r="779">
      <c r="A779" s="3" t="s">
        <v>3472</v>
      </c>
      <c r="B779" s="3" t="s">
        <v>1433</v>
      </c>
      <c r="C779" s="5" t="s">
        <v>206</v>
      </c>
      <c r="D779" s="3" t="s">
        <v>68</v>
      </c>
      <c r="E779" s="3" t="s">
        <v>100</v>
      </c>
      <c r="F779" s="7">
        <v>45766.438830691135</v>
      </c>
      <c r="G779" s="3" t="s">
        <v>3473</v>
      </c>
    </row>
    <row r="780">
      <c r="A780" s="3" t="s">
        <v>3474</v>
      </c>
      <c r="B780" s="3" t="s">
        <v>1436</v>
      </c>
      <c r="C780" s="5" t="s">
        <v>45</v>
      </c>
      <c r="D780" s="3" t="s">
        <v>221</v>
      </c>
      <c r="E780" s="3" t="s">
        <v>336</v>
      </c>
      <c r="F780" s="7">
        <v>45766.49958886988</v>
      </c>
      <c r="G780" s="3" t="s">
        <v>3476</v>
      </c>
    </row>
    <row r="781">
      <c r="A781" s="3" t="s">
        <v>3477</v>
      </c>
      <c r="B781" s="3" t="s">
        <v>1436</v>
      </c>
      <c r="C781" s="5" t="s">
        <v>221</v>
      </c>
      <c r="D781" s="3" t="s">
        <v>614</v>
      </c>
      <c r="E781" s="3" t="s">
        <v>118</v>
      </c>
      <c r="F781" s="7">
        <v>45766.5030610921</v>
      </c>
      <c r="G781" s="3" t="s">
        <v>3479</v>
      </c>
    </row>
    <row r="782">
      <c r="A782" s="3" t="s">
        <v>3480</v>
      </c>
      <c r="B782" s="3" t="s">
        <v>1436</v>
      </c>
      <c r="C782" s="5" t="s">
        <v>614</v>
      </c>
      <c r="D782" s="3" t="s">
        <v>206</v>
      </c>
      <c r="E782" s="3" t="s">
        <v>100</v>
      </c>
      <c r="F782" s="7">
        <v>45766.50653331433</v>
      </c>
      <c r="G782" s="3" t="s">
        <v>3482</v>
      </c>
    </row>
    <row r="783">
      <c r="A783" s="3" t="s">
        <v>3483</v>
      </c>
      <c r="B783" s="3" t="s">
        <v>1436</v>
      </c>
      <c r="C783" s="5" t="s">
        <v>206</v>
      </c>
      <c r="D783" s="3" t="s">
        <v>68</v>
      </c>
      <c r="E783" s="3" t="s">
        <v>100</v>
      </c>
      <c r="F783" s="7">
        <v>45766.51000553655</v>
      </c>
      <c r="G783" s="3" t="s">
        <v>3485</v>
      </c>
    </row>
    <row r="784">
      <c r="A784" s="3" t="s">
        <v>3486</v>
      </c>
      <c r="B784" s="3" t="s">
        <v>1439</v>
      </c>
      <c r="C784" s="5" t="s">
        <v>45</v>
      </c>
      <c r="D784" s="3" t="s">
        <v>221</v>
      </c>
      <c r="E784" s="3" t="s">
        <v>612</v>
      </c>
      <c r="F784" s="7">
        <v>45766.5707637153</v>
      </c>
      <c r="G784" s="3" t="s">
        <v>3488</v>
      </c>
    </row>
    <row r="785">
      <c r="A785" s="3" t="s">
        <v>3489</v>
      </c>
      <c r="B785" s="3" t="s">
        <v>1439</v>
      </c>
      <c r="C785" s="5" t="s">
        <v>221</v>
      </c>
      <c r="D785" s="3" t="s">
        <v>614</v>
      </c>
      <c r="E785" s="3" t="s">
        <v>118</v>
      </c>
      <c r="F785" s="7">
        <v>45766.57423593752</v>
      </c>
      <c r="G785" s="3" t="s">
        <v>3491</v>
      </c>
    </row>
    <row r="786">
      <c r="A786" s="3" t="s">
        <v>3492</v>
      </c>
      <c r="B786" s="3" t="s">
        <v>1439</v>
      </c>
      <c r="C786" s="5" t="s">
        <v>614</v>
      </c>
      <c r="D786" s="3" t="s">
        <v>206</v>
      </c>
      <c r="E786" s="3" t="s">
        <v>100</v>
      </c>
      <c r="F786" s="7">
        <v>45766.57770815975</v>
      </c>
      <c r="G786" s="3" t="s">
        <v>3494</v>
      </c>
    </row>
    <row r="787">
      <c r="A787" s="3" t="s">
        <v>3495</v>
      </c>
      <c r="B787" s="3" t="s">
        <v>1439</v>
      </c>
      <c r="C787" s="5" t="s">
        <v>206</v>
      </c>
      <c r="D787" s="3" t="s">
        <v>68</v>
      </c>
      <c r="E787" s="3" t="s">
        <v>100</v>
      </c>
      <c r="F787" s="7">
        <v>45766.58118038197</v>
      </c>
      <c r="G787" s="3" t="s">
        <v>3496</v>
      </c>
    </row>
    <row r="788">
      <c r="A788" s="3" t="s">
        <v>3498</v>
      </c>
      <c r="B788" s="3" t="s">
        <v>1442</v>
      </c>
      <c r="C788" s="5" t="s">
        <v>45</v>
      </c>
      <c r="D788" s="3" t="s">
        <v>221</v>
      </c>
      <c r="E788" s="3" t="s">
        <v>751</v>
      </c>
      <c r="F788" s="7">
        <v>45766.64193856071</v>
      </c>
      <c r="G788" s="3" t="s">
        <v>3499</v>
      </c>
    </row>
    <row r="789">
      <c r="A789" s="3" t="s">
        <v>3501</v>
      </c>
      <c r="B789" s="3" t="s">
        <v>1442</v>
      </c>
      <c r="C789" s="5" t="s">
        <v>221</v>
      </c>
      <c r="D789" s="3" t="s">
        <v>614</v>
      </c>
      <c r="E789" s="3" t="s">
        <v>118</v>
      </c>
      <c r="F789" s="7">
        <v>45766.64541078293</v>
      </c>
      <c r="G789" s="3" t="s">
        <v>3502</v>
      </c>
    </row>
    <row r="790">
      <c r="A790" s="3" t="s">
        <v>3504</v>
      </c>
      <c r="B790" s="3" t="s">
        <v>1442</v>
      </c>
      <c r="C790" s="5" t="s">
        <v>614</v>
      </c>
      <c r="D790" s="3" t="s">
        <v>206</v>
      </c>
      <c r="E790" s="3" t="s">
        <v>100</v>
      </c>
      <c r="F790" s="7">
        <v>45766.64888300515</v>
      </c>
      <c r="G790" s="3" t="s">
        <v>3505</v>
      </c>
    </row>
    <row r="791">
      <c r="A791" s="3" t="s">
        <v>3507</v>
      </c>
      <c r="B791" s="3" t="s">
        <v>1442</v>
      </c>
      <c r="C791" s="5" t="s">
        <v>206</v>
      </c>
      <c r="D791" s="3" t="s">
        <v>68</v>
      </c>
      <c r="E791" s="3" t="s">
        <v>100</v>
      </c>
      <c r="F791" s="7">
        <v>45766.65235522737</v>
      </c>
      <c r="G791" s="3" t="s">
        <v>3508</v>
      </c>
    </row>
    <row r="792">
      <c r="A792" s="3" t="s">
        <v>3509</v>
      </c>
      <c r="B792" s="3" t="s">
        <v>1444</v>
      </c>
      <c r="C792" s="5" t="s">
        <v>45</v>
      </c>
      <c r="D792" s="3" t="s">
        <v>221</v>
      </c>
      <c r="E792" s="3" t="s">
        <v>1037</v>
      </c>
      <c r="F792" s="7">
        <v>45766.71311340613</v>
      </c>
      <c r="G792" s="3" t="s">
        <v>3511</v>
      </c>
    </row>
    <row r="793">
      <c r="A793" s="3" t="s">
        <v>3512</v>
      </c>
      <c r="B793" s="3" t="s">
        <v>1444</v>
      </c>
      <c r="C793" s="5" t="s">
        <v>221</v>
      </c>
      <c r="D793" s="3" t="s">
        <v>614</v>
      </c>
      <c r="E793" s="3" t="s">
        <v>118</v>
      </c>
      <c r="F793" s="7">
        <v>45766.71658562835</v>
      </c>
      <c r="G793" s="3" t="s">
        <v>3514</v>
      </c>
    </row>
    <row r="794">
      <c r="A794" s="3" t="s">
        <v>3515</v>
      </c>
      <c r="B794" s="3" t="s">
        <v>1444</v>
      </c>
      <c r="C794" s="5" t="s">
        <v>614</v>
      </c>
      <c r="D794" s="3" t="s">
        <v>206</v>
      </c>
      <c r="E794" s="3" t="s">
        <v>100</v>
      </c>
      <c r="F794" s="7">
        <v>45766.72005785057</v>
      </c>
      <c r="G794" s="3" t="s">
        <v>3517</v>
      </c>
    </row>
    <row r="795">
      <c r="A795" s="3" t="s">
        <v>3518</v>
      </c>
      <c r="B795" s="3" t="s">
        <v>1444</v>
      </c>
      <c r="C795" s="5" t="s">
        <v>206</v>
      </c>
      <c r="D795" s="3" t="s">
        <v>68</v>
      </c>
      <c r="E795" s="3" t="s">
        <v>100</v>
      </c>
      <c r="F795" s="7">
        <v>45766.72353007279</v>
      </c>
      <c r="G795" s="3" t="s">
        <v>3520</v>
      </c>
    </row>
    <row r="796">
      <c r="A796" s="3" t="s">
        <v>3521</v>
      </c>
      <c r="B796" s="3" t="s">
        <v>1447</v>
      </c>
      <c r="C796" s="5" t="s">
        <v>45</v>
      </c>
      <c r="D796" s="3" t="s">
        <v>221</v>
      </c>
      <c r="E796" s="3" t="s">
        <v>848</v>
      </c>
      <c r="F796" s="7">
        <v>45766.78428825155</v>
      </c>
      <c r="G796" s="3" t="s">
        <v>3523</v>
      </c>
    </row>
    <row r="797">
      <c r="A797" s="3" t="s">
        <v>3524</v>
      </c>
      <c r="B797" s="3" t="s">
        <v>1447</v>
      </c>
      <c r="C797" s="5" t="s">
        <v>221</v>
      </c>
      <c r="D797" s="3" t="s">
        <v>614</v>
      </c>
      <c r="E797" s="3" t="s">
        <v>118</v>
      </c>
      <c r="F797" s="7">
        <v>45766.787760473766</v>
      </c>
      <c r="G797" s="3" t="s">
        <v>3526</v>
      </c>
    </row>
    <row r="798">
      <c r="A798" s="3" t="s">
        <v>3527</v>
      </c>
      <c r="B798" s="3" t="s">
        <v>1447</v>
      </c>
      <c r="C798" s="5" t="s">
        <v>614</v>
      </c>
      <c r="D798" s="3" t="s">
        <v>206</v>
      </c>
      <c r="E798" s="3" t="s">
        <v>100</v>
      </c>
      <c r="F798" s="7">
        <v>45766.79123269599</v>
      </c>
      <c r="G798" s="3" t="s">
        <v>3528</v>
      </c>
    </row>
    <row r="799">
      <c r="A799" s="3" t="s">
        <v>3530</v>
      </c>
      <c r="B799" s="3" t="s">
        <v>1447</v>
      </c>
      <c r="C799" s="5" t="s">
        <v>206</v>
      </c>
      <c r="D799" s="3" t="s">
        <v>68</v>
      </c>
      <c r="E799" s="3" t="s">
        <v>100</v>
      </c>
      <c r="F799" s="7">
        <v>45766.79470491821</v>
      </c>
      <c r="G799" s="3" t="s">
        <v>3531</v>
      </c>
    </row>
    <row r="800">
      <c r="A800" s="3" t="s">
        <v>3532</v>
      </c>
      <c r="B800" s="3" t="s">
        <v>1450</v>
      </c>
      <c r="C800" s="5" t="s">
        <v>45</v>
      </c>
      <c r="D800" s="3" t="s">
        <v>221</v>
      </c>
      <c r="E800" s="3" t="s">
        <v>584</v>
      </c>
      <c r="F800" s="7">
        <v>45766.85546309696</v>
      </c>
      <c r="G800" s="3" t="s">
        <v>3534</v>
      </c>
    </row>
    <row r="801">
      <c r="A801" s="3" t="s">
        <v>3535</v>
      </c>
      <c r="B801" s="3" t="s">
        <v>1450</v>
      </c>
      <c r="C801" s="5" t="s">
        <v>221</v>
      </c>
      <c r="D801" s="3" t="s">
        <v>614</v>
      </c>
      <c r="E801" s="3" t="s">
        <v>118</v>
      </c>
      <c r="F801" s="7">
        <v>45766.85893531918</v>
      </c>
      <c r="G801" s="3" t="s">
        <v>3537</v>
      </c>
    </row>
    <row r="802">
      <c r="A802" s="3" t="s">
        <v>3538</v>
      </c>
      <c r="B802" s="3" t="s">
        <v>1450</v>
      </c>
      <c r="C802" s="5" t="s">
        <v>614</v>
      </c>
      <c r="D802" s="3" t="s">
        <v>206</v>
      </c>
      <c r="E802" s="3" t="s">
        <v>100</v>
      </c>
      <c r="F802" s="7">
        <v>45766.862407541405</v>
      </c>
      <c r="G802" s="3" t="s">
        <v>3540</v>
      </c>
    </row>
    <row r="803">
      <c r="A803" s="3" t="s">
        <v>3541</v>
      </c>
      <c r="B803" s="3" t="s">
        <v>1450</v>
      </c>
      <c r="C803" s="5" t="s">
        <v>206</v>
      </c>
      <c r="D803" s="3" t="s">
        <v>68</v>
      </c>
      <c r="E803" s="3" t="s">
        <v>100</v>
      </c>
      <c r="F803" s="7">
        <v>45766.86587976362</v>
      </c>
      <c r="G803" s="3" t="s">
        <v>3543</v>
      </c>
    </row>
    <row r="804">
      <c r="A804" s="3" t="s">
        <v>3544</v>
      </c>
      <c r="B804" s="3" t="s">
        <v>1452</v>
      </c>
      <c r="C804" s="5" t="s">
        <v>45</v>
      </c>
      <c r="D804" s="3" t="s">
        <v>221</v>
      </c>
      <c r="E804" s="3" t="s">
        <v>535</v>
      </c>
      <c r="F804" s="7">
        <v>45766.92663794237</v>
      </c>
      <c r="G804" s="3" t="s">
        <v>3545</v>
      </c>
    </row>
    <row r="805">
      <c r="A805" s="3" t="s">
        <v>3547</v>
      </c>
      <c r="B805" s="3" t="s">
        <v>1452</v>
      </c>
      <c r="C805" s="5" t="s">
        <v>221</v>
      </c>
      <c r="D805" s="3" t="s">
        <v>614</v>
      </c>
      <c r="E805" s="3" t="s">
        <v>118</v>
      </c>
      <c r="F805" s="7">
        <v>45766.93011016459</v>
      </c>
      <c r="G805" s="3" t="s">
        <v>3548</v>
      </c>
    </row>
    <row r="806">
      <c r="A806" s="3" t="s">
        <v>3550</v>
      </c>
      <c r="B806" s="3" t="s">
        <v>1452</v>
      </c>
      <c r="C806" s="5" t="s">
        <v>614</v>
      </c>
      <c r="D806" s="3" t="s">
        <v>206</v>
      </c>
      <c r="E806" s="3" t="s">
        <v>100</v>
      </c>
      <c r="F806" s="7">
        <v>45766.93358238682</v>
      </c>
      <c r="G806" s="3" t="s">
        <v>3551</v>
      </c>
    </row>
    <row r="807">
      <c r="A807" s="3" t="s">
        <v>3553</v>
      </c>
      <c r="B807" s="3" t="s">
        <v>1452</v>
      </c>
      <c r="C807" s="5" t="s">
        <v>206</v>
      </c>
      <c r="D807" s="3" t="s">
        <v>68</v>
      </c>
      <c r="E807" s="3" t="s">
        <v>100</v>
      </c>
      <c r="F807" s="7">
        <v>45766.937054609036</v>
      </c>
      <c r="G807" s="3" t="s">
        <v>3554</v>
      </c>
    </row>
    <row r="808">
      <c r="A808" s="3" t="s">
        <v>3556</v>
      </c>
      <c r="B808" s="3" t="s">
        <v>1454</v>
      </c>
      <c r="C808" s="5" t="s">
        <v>45</v>
      </c>
      <c r="D808" s="3" t="s">
        <v>221</v>
      </c>
      <c r="E808" s="3" t="s">
        <v>179</v>
      </c>
      <c r="F808" s="7">
        <v>45766.99781278779</v>
      </c>
      <c r="G808" s="3" t="s">
        <v>3557</v>
      </c>
    </row>
    <row r="809">
      <c r="A809" s="3" t="s">
        <v>3560</v>
      </c>
      <c r="B809" s="3" t="s">
        <v>1454</v>
      </c>
      <c r="C809" s="5" t="s">
        <v>221</v>
      </c>
      <c r="D809" s="3" t="s">
        <v>614</v>
      </c>
      <c r="E809" s="3" t="s">
        <v>118</v>
      </c>
      <c r="F809" s="7">
        <v>45767.00128501001</v>
      </c>
      <c r="G809" s="3" t="s">
        <v>3562</v>
      </c>
    </row>
    <row r="810">
      <c r="A810" s="3" t="s">
        <v>3563</v>
      </c>
      <c r="B810" s="3" t="s">
        <v>1454</v>
      </c>
      <c r="C810" s="5" t="s">
        <v>614</v>
      </c>
      <c r="D810" s="3" t="s">
        <v>206</v>
      </c>
      <c r="E810" s="3" t="s">
        <v>100</v>
      </c>
      <c r="F810" s="7">
        <v>45767.00475723224</v>
      </c>
      <c r="G810" s="3" t="s">
        <v>3564</v>
      </c>
    </row>
    <row r="811">
      <c r="A811" s="3" t="s">
        <v>3566</v>
      </c>
      <c r="B811" s="3" t="s">
        <v>1454</v>
      </c>
      <c r="C811" s="5" t="s">
        <v>206</v>
      </c>
      <c r="D811" s="3" t="s">
        <v>68</v>
      </c>
      <c r="E811" s="3" t="s">
        <v>100</v>
      </c>
      <c r="F811" s="7">
        <v>45767.008229454455</v>
      </c>
      <c r="G811" s="3" t="s">
        <v>3567</v>
      </c>
    </row>
    <row r="812">
      <c r="A812" s="3" t="s">
        <v>3569</v>
      </c>
      <c r="B812" s="3" t="s">
        <v>1457</v>
      </c>
      <c r="C812" s="5" t="s">
        <v>45</v>
      </c>
      <c r="D812" s="3" t="s">
        <v>221</v>
      </c>
      <c r="E812" s="3" t="s">
        <v>356</v>
      </c>
      <c r="F812" s="7">
        <v>45767.0689876332</v>
      </c>
      <c r="G812" s="3" t="s">
        <v>3570</v>
      </c>
    </row>
    <row r="813">
      <c r="A813" s="3" t="s">
        <v>3572</v>
      </c>
      <c r="B813" s="3" t="s">
        <v>1457</v>
      </c>
      <c r="C813" s="5" t="s">
        <v>221</v>
      </c>
      <c r="D813" s="3" t="s">
        <v>614</v>
      </c>
      <c r="E813" s="3" t="s">
        <v>118</v>
      </c>
      <c r="F813" s="7">
        <v>45767.07245985542</v>
      </c>
      <c r="G813" s="3" t="s">
        <v>3573</v>
      </c>
    </row>
    <row r="814">
      <c r="A814" s="3" t="s">
        <v>3575</v>
      </c>
      <c r="B814" s="3" t="s">
        <v>1457</v>
      </c>
      <c r="C814" s="5" t="s">
        <v>614</v>
      </c>
      <c r="D814" s="3" t="s">
        <v>206</v>
      </c>
      <c r="E814" s="3" t="s">
        <v>100</v>
      </c>
      <c r="F814" s="7">
        <v>45767.07593207765</v>
      </c>
      <c r="G814" s="3" t="s">
        <v>3576</v>
      </c>
    </row>
    <row r="815">
      <c r="A815" s="3" t="s">
        <v>3577</v>
      </c>
      <c r="B815" s="3" t="s">
        <v>1457</v>
      </c>
      <c r="C815" s="5" t="s">
        <v>206</v>
      </c>
      <c r="D815" s="3" t="s">
        <v>68</v>
      </c>
      <c r="E815" s="3" t="s">
        <v>100</v>
      </c>
      <c r="F815" s="7">
        <v>45767.07940429987</v>
      </c>
      <c r="G815" s="3" t="s">
        <v>3579</v>
      </c>
    </row>
    <row r="816">
      <c r="A816" s="3" t="s">
        <v>3580</v>
      </c>
      <c r="B816" s="3" t="s">
        <v>1461</v>
      </c>
      <c r="C816" s="5" t="s">
        <v>45</v>
      </c>
      <c r="D816" s="3" t="s">
        <v>221</v>
      </c>
      <c r="E816" s="3" t="s">
        <v>926</v>
      </c>
      <c r="F816" s="7">
        <v>45767.140162478616</v>
      </c>
      <c r="G816" s="3" t="s">
        <v>3582</v>
      </c>
    </row>
    <row r="817">
      <c r="A817" s="3" t="s">
        <v>3583</v>
      </c>
      <c r="B817" s="3" t="s">
        <v>1461</v>
      </c>
      <c r="C817" s="5" t="s">
        <v>221</v>
      </c>
      <c r="D817" s="3" t="s">
        <v>614</v>
      </c>
      <c r="E817" s="3" t="s">
        <v>118</v>
      </c>
      <c r="F817" s="7">
        <v>45767.143634700835</v>
      </c>
      <c r="G817" s="3" t="s">
        <v>3585</v>
      </c>
    </row>
    <row r="818">
      <c r="A818" s="3" t="s">
        <v>3586</v>
      </c>
      <c r="B818" s="3" t="s">
        <v>1461</v>
      </c>
      <c r="C818" s="5" t="s">
        <v>614</v>
      </c>
      <c r="D818" s="3" t="s">
        <v>206</v>
      </c>
      <c r="E818" s="3" t="s">
        <v>100</v>
      </c>
      <c r="F818" s="7">
        <v>45767.14710692306</v>
      </c>
      <c r="G818" s="3" t="s">
        <v>3588</v>
      </c>
    </row>
    <row r="819">
      <c r="A819" s="3" t="s">
        <v>3589</v>
      </c>
      <c r="B819" s="3" t="s">
        <v>1461</v>
      </c>
      <c r="C819" s="5" t="s">
        <v>206</v>
      </c>
      <c r="D819" s="3" t="s">
        <v>68</v>
      </c>
      <c r="E819" s="3" t="s">
        <v>100</v>
      </c>
      <c r="F819" s="7">
        <v>45767.15057914528</v>
      </c>
      <c r="G819" s="3" t="s">
        <v>3591</v>
      </c>
    </row>
    <row r="820">
      <c r="A820" s="3" t="s">
        <v>3592</v>
      </c>
      <c r="B820" s="3" t="s">
        <v>1464</v>
      </c>
      <c r="C820" s="5" t="s">
        <v>45</v>
      </c>
      <c r="D820" s="3" t="s">
        <v>221</v>
      </c>
      <c r="E820" s="3" t="s">
        <v>957</v>
      </c>
      <c r="F820" s="7">
        <v>45767.211337324035</v>
      </c>
      <c r="G820" s="3" t="s">
        <v>3594</v>
      </c>
    </row>
    <row r="821">
      <c r="A821" s="3" t="s">
        <v>3595</v>
      </c>
      <c r="B821" s="3" t="s">
        <v>1464</v>
      </c>
      <c r="C821" s="5" t="s">
        <v>221</v>
      </c>
      <c r="D821" s="3" t="s">
        <v>614</v>
      </c>
      <c r="E821" s="3" t="s">
        <v>118</v>
      </c>
      <c r="F821" s="7">
        <v>45767.214809546254</v>
      </c>
      <c r="G821" s="3" t="s">
        <v>3597</v>
      </c>
    </row>
    <row r="822">
      <c r="A822" s="3" t="s">
        <v>3598</v>
      </c>
      <c r="B822" s="3" t="s">
        <v>1464</v>
      </c>
      <c r="C822" s="5" t="s">
        <v>614</v>
      </c>
      <c r="D822" s="3" t="s">
        <v>206</v>
      </c>
      <c r="E822" s="3" t="s">
        <v>100</v>
      </c>
      <c r="F822" s="7">
        <v>45767.21828176848</v>
      </c>
      <c r="G822" s="3" t="s">
        <v>3600</v>
      </c>
    </row>
    <row r="823">
      <c r="A823" s="3" t="s">
        <v>3601</v>
      </c>
      <c r="B823" s="3" t="s">
        <v>1464</v>
      </c>
      <c r="C823" s="5" t="s">
        <v>206</v>
      </c>
      <c r="D823" s="3" t="s">
        <v>68</v>
      </c>
      <c r="E823" s="3" t="s">
        <v>100</v>
      </c>
      <c r="F823" s="7">
        <v>45767.2217539907</v>
      </c>
      <c r="G823" s="3" t="s">
        <v>3603</v>
      </c>
    </row>
    <row r="824">
      <c r="A824" s="3" t="s">
        <v>3604</v>
      </c>
      <c r="B824" s="3" t="s">
        <v>1466</v>
      </c>
      <c r="C824" s="5" t="s">
        <v>45</v>
      </c>
      <c r="D824" s="3" t="s">
        <v>221</v>
      </c>
      <c r="E824" s="3" t="s">
        <v>911</v>
      </c>
      <c r="F824" s="7">
        <v>45767.282512169455</v>
      </c>
      <c r="G824" s="3" t="s">
        <v>3605</v>
      </c>
    </row>
    <row r="825">
      <c r="A825" s="3" t="s">
        <v>3607</v>
      </c>
      <c r="B825" s="3" t="s">
        <v>1466</v>
      </c>
      <c r="C825" s="5" t="s">
        <v>221</v>
      </c>
      <c r="D825" s="3" t="s">
        <v>614</v>
      </c>
      <c r="E825" s="3" t="s">
        <v>118</v>
      </c>
      <c r="F825" s="7">
        <v>45767.285984391674</v>
      </c>
      <c r="G825" s="3" t="s">
        <v>3608</v>
      </c>
    </row>
    <row r="826">
      <c r="A826" s="3" t="s">
        <v>3610</v>
      </c>
      <c r="B826" s="3" t="s">
        <v>1466</v>
      </c>
      <c r="C826" s="5" t="s">
        <v>614</v>
      </c>
      <c r="D826" s="3" t="s">
        <v>206</v>
      </c>
      <c r="E826" s="3" t="s">
        <v>100</v>
      </c>
      <c r="F826" s="7">
        <v>45767.2894566139</v>
      </c>
      <c r="G826" s="3" t="s">
        <v>3611</v>
      </c>
    </row>
    <row r="827">
      <c r="A827" s="3" t="s">
        <v>3612</v>
      </c>
      <c r="B827" s="3" t="s">
        <v>1466</v>
      </c>
      <c r="C827" s="5" t="s">
        <v>206</v>
      </c>
      <c r="D827" s="3" t="s">
        <v>68</v>
      </c>
      <c r="E827" s="3" t="s">
        <v>100</v>
      </c>
      <c r="F827" s="7">
        <v>45767.29292883612</v>
      </c>
      <c r="G827" s="3" t="s">
        <v>3614</v>
      </c>
    </row>
    <row r="828">
      <c r="A828" s="3" t="s">
        <v>3615</v>
      </c>
      <c r="B828" s="3" t="s">
        <v>1470</v>
      </c>
      <c r="C828" s="5" t="s">
        <v>45</v>
      </c>
      <c r="D828" s="3" t="s">
        <v>221</v>
      </c>
      <c r="E828" s="3" t="s">
        <v>326</v>
      </c>
      <c r="F828" s="7">
        <v>45767.35368701486</v>
      </c>
      <c r="G828" s="3" t="s">
        <v>2770</v>
      </c>
    </row>
    <row r="829">
      <c r="A829" s="3" t="s">
        <v>3617</v>
      </c>
      <c r="B829" s="3" t="s">
        <v>1470</v>
      </c>
      <c r="C829" s="5" t="s">
        <v>221</v>
      </c>
      <c r="D829" s="3" t="s">
        <v>195</v>
      </c>
      <c r="E829" s="3" t="s">
        <v>326</v>
      </c>
      <c r="F829" s="7">
        <v>45767.35715923708</v>
      </c>
      <c r="G829" s="3" t="s">
        <v>3055</v>
      </c>
    </row>
    <row r="830">
      <c r="A830" s="3" t="s">
        <v>3619</v>
      </c>
      <c r="B830" s="3" t="s">
        <v>1474</v>
      </c>
      <c r="C830" s="5" t="s">
        <v>45</v>
      </c>
      <c r="D830" s="3" t="s">
        <v>221</v>
      </c>
      <c r="E830" s="3" t="s">
        <v>491</v>
      </c>
      <c r="F830" s="7">
        <v>45767.42486186028</v>
      </c>
      <c r="G830" s="3" t="s">
        <v>3621</v>
      </c>
    </row>
    <row r="831">
      <c r="A831" s="3" t="s">
        <v>3622</v>
      </c>
      <c r="B831" s="3" t="s">
        <v>1474</v>
      </c>
      <c r="C831" s="5" t="s">
        <v>221</v>
      </c>
      <c r="D831" s="3" t="s">
        <v>614</v>
      </c>
      <c r="E831" s="3" t="s">
        <v>118</v>
      </c>
      <c r="F831" s="7">
        <v>45767.4283340825</v>
      </c>
      <c r="G831" s="3" t="s">
        <v>3623</v>
      </c>
    </row>
    <row r="832">
      <c r="A832" s="3" t="s">
        <v>3625</v>
      </c>
      <c r="B832" s="3" t="s">
        <v>1474</v>
      </c>
      <c r="C832" s="5" t="s">
        <v>614</v>
      </c>
      <c r="D832" s="3" t="s">
        <v>206</v>
      </c>
      <c r="E832" s="3" t="s">
        <v>100</v>
      </c>
      <c r="F832" s="7">
        <v>45767.431806304725</v>
      </c>
      <c r="G832" s="3" t="s">
        <v>3626</v>
      </c>
    </row>
    <row r="833">
      <c r="A833" s="3" t="s">
        <v>3627</v>
      </c>
      <c r="B833" s="3" t="s">
        <v>1474</v>
      </c>
      <c r="C833" s="5" t="s">
        <v>206</v>
      </c>
      <c r="D833" s="3" t="s">
        <v>68</v>
      </c>
      <c r="E833" s="3" t="s">
        <v>100</v>
      </c>
      <c r="F833" s="7">
        <v>45767.435278526944</v>
      </c>
      <c r="G833" s="3" t="s">
        <v>3629</v>
      </c>
    </row>
    <row r="834">
      <c r="A834" s="3" t="s">
        <v>3630</v>
      </c>
      <c r="B834" s="3" t="s">
        <v>1476</v>
      </c>
      <c r="C834" s="5" t="s">
        <v>45</v>
      </c>
      <c r="D834" s="3" t="s">
        <v>221</v>
      </c>
      <c r="E834" s="3" t="s">
        <v>159</v>
      </c>
      <c r="F834" s="7">
        <v>45767.49603670569</v>
      </c>
      <c r="G834" s="3" t="s">
        <v>3632</v>
      </c>
    </row>
    <row r="835">
      <c r="A835" s="3" t="s">
        <v>3633</v>
      </c>
      <c r="B835" s="3" t="s">
        <v>1476</v>
      </c>
      <c r="C835" s="5" t="s">
        <v>221</v>
      </c>
      <c r="D835" s="3" t="s">
        <v>614</v>
      </c>
      <c r="E835" s="3" t="s">
        <v>118</v>
      </c>
      <c r="F835" s="7">
        <v>45767.49950892791</v>
      </c>
      <c r="G835" s="3" t="s">
        <v>3635</v>
      </c>
    </row>
    <row r="836">
      <c r="A836" s="3" t="s">
        <v>3636</v>
      </c>
      <c r="B836" s="3" t="s">
        <v>1476</v>
      </c>
      <c r="C836" s="5" t="s">
        <v>614</v>
      </c>
      <c r="D836" s="3" t="s">
        <v>206</v>
      </c>
      <c r="E836" s="3" t="s">
        <v>100</v>
      </c>
      <c r="F836" s="7">
        <v>45767.50298115014</v>
      </c>
      <c r="G836" s="3" t="s">
        <v>3638</v>
      </c>
    </row>
    <row r="837">
      <c r="A837" s="3" t="s">
        <v>3639</v>
      </c>
      <c r="B837" s="3" t="s">
        <v>1476</v>
      </c>
      <c r="C837" s="5" t="s">
        <v>206</v>
      </c>
      <c r="D837" s="3" t="s">
        <v>68</v>
      </c>
      <c r="E837" s="3" t="s">
        <v>100</v>
      </c>
      <c r="F837" s="7">
        <v>45767.506453372356</v>
      </c>
      <c r="G837" s="3" t="s">
        <v>3641</v>
      </c>
    </row>
    <row r="838">
      <c r="A838" s="3" t="s">
        <v>3642</v>
      </c>
      <c r="B838" s="3" t="s">
        <v>1479</v>
      </c>
      <c r="C838" s="5" t="s">
        <v>45</v>
      </c>
      <c r="D838" s="3" t="s">
        <v>221</v>
      </c>
      <c r="E838" s="3" t="s">
        <v>126</v>
      </c>
      <c r="F838" s="7">
        <v>45767.56721155111</v>
      </c>
      <c r="G838" s="3" t="s">
        <v>3644</v>
      </c>
    </row>
    <row r="839">
      <c r="A839" s="3" t="s">
        <v>3645</v>
      </c>
      <c r="B839" s="3" t="s">
        <v>1479</v>
      </c>
      <c r="C839" s="5" t="s">
        <v>221</v>
      </c>
      <c r="D839" s="3" t="s">
        <v>614</v>
      </c>
      <c r="E839" s="3" t="s">
        <v>118</v>
      </c>
      <c r="F839" s="7">
        <v>45767.57068377333</v>
      </c>
      <c r="G839" s="3" t="s">
        <v>3647</v>
      </c>
    </row>
    <row r="840">
      <c r="A840" s="3" t="s">
        <v>3648</v>
      </c>
      <c r="B840" s="3" t="s">
        <v>1479</v>
      </c>
      <c r="C840" s="5" t="s">
        <v>614</v>
      </c>
      <c r="D840" s="3" t="s">
        <v>206</v>
      </c>
      <c r="E840" s="3" t="s">
        <v>100</v>
      </c>
      <c r="F840" s="7">
        <v>45767.57415599556</v>
      </c>
      <c r="G840" s="3" t="s">
        <v>3650</v>
      </c>
    </row>
    <row r="841">
      <c r="A841" s="3" t="s">
        <v>3651</v>
      </c>
      <c r="B841" s="3" t="s">
        <v>1479</v>
      </c>
      <c r="C841" s="5" t="s">
        <v>206</v>
      </c>
      <c r="D841" s="3" t="s">
        <v>68</v>
      </c>
      <c r="E841" s="3" t="s">
        <v>100</v>
      </c>
      <c r="F841" s="7">
        <v>45767.577628217776</v>
      </c>
      <c r="G841" s="3" t="s">
        <v>3653</v>
      </c>
    </row>
    <row r="842">
      <c r="A842" s="3" t="s">
        <v>3654</v>
      </c>
      <c r="B842" s="3" t="s">
        <v>1481</v>
      </c>
      <c r="C842" s="5" t="s">
        <v>45</v>
      </c>
      <c r="D842" s="3" t="s">
        <v>221</v>
      </c>
      <c r="E842" s="3" t="s">
        <v>344</v>
      </c>
      <c r="F842" s="7">
        <v>45767.638386396524</v>
      </c>
      <c r="G842" s="3" t="s">
        <v>3655</v>
      </c>
    </row>
    <row r="843">
      <c r="A843" s="3" t="s">
        <v>3656</v>
      </c>
      <c r="B843" s="3" t="s">
        <v>1481</v>
      </c>
      <c r="C843" s="5" t="s">
        <v>221</v>
      </c>
      <c r="D843" s="3" t="s">
        <v>614</v>
      </c>
      <c r="E843" s="3" t="s">
        <v>118</v>
      </c>
      <c r="F843" s="7">
        <v>45767.64185861874</v>
      </c>
      <c r="G843" s="3" t="s">
        <v>3658</v>
      </c>
    </row>
    <row r="844">
      <c r="A844" s="3" t="s">
        <v>3659</v>
      </c>
      <c r="B844" s="3" t="s">
        <v>1481</v>
      </c>
      <c r="C844" s="5" t="s">
        <v>614</v>
      </c>
      <c r="D844" s="3" t="s">
        <v>206</v>
      </c>
      <c r="E844" s="3" t="s">
        <v>100</v>
      </c>
      <c r="F844" s="7">
        <v>45767.64533084097</v>
      </c>
      <c r="G844" s="3" t="s">
        <v>3661</v>
      </c>
    </row>
    <row r="845">
      <c r="A845" s="3" t="s">
        <v>3662</v>
      </c>
      <c r="B845" s="3" t="s">
        <v>1481</v>
      </c>
      <c r="C845" s="5" t="s">
        <v>206</v>
      </c>
      <c r="D845" s="3" t="s">
        <v>68</v>
      </c>
      <c r="E845" s="3" t="s">
        <v>100</v>
      </c>
      <c r="F845" s="7">
        <v>45767.64880306319</v>
      </c>
      <c r="G845" s="3" t="s">
        <v>3664</v>
      </c>
    </row>
    <row r="846">
      <c r="A846" s="3" t="s">
        <v>3665</v>
      </c>
      <c r="B846" s="3" t="s">
        <v>1484</v>
      </c>
      <c r="C846" s="5" t="s">
        <v>45</v>
      </c>
      <c r="D846" s="3" t="s">
        <v>221</v>
      </c>
      <c r="E846" s="3" t="s">
        <v>276</v>
      </c>
      <c r="F846" s="7">
        <v>45767.70956124194</v>
      </c>
      <c r="G846" s="3" t="s">
        <v>3667</v>
      </c>
    </row>
    <row r="847">
      <c r="A847" s="3" t="s">
        <v>3668</v>
      </c>
      <c r="B847" s="3" t="s">
        <v>1484</v>
      </c>
      <c r="C847" s="5" t="s">
        <v>221</v>
      </c>
      <c r="D847" s="3" t="s">
        <v>614</v>
      </c>
      <c r="E847" s="3" t="s">
        <v>118</v>
      </c>
      <c r="F847" s="7">
        <v>45767.71303346416</v>
      </c>
      <c r="G847" s="3" t="s">
        <v>3670</v>
      </c>
    </row>
    <row r="848">
      <c r="A848" s="3" t="s">
        <v>3671</v>
      </c>
      <c r="B848" s="3" t="s">
        <v>1484</v>
      </c>
      <c r="C848" s="5" t="s">
        <v>614</v>
      </c>
      <c r="D848" s="3" t="s">
        <v>206</v>
      </c>
      <c r="E848" s="3" t="s">
        <v>100</v>
      </c>
      <c r="F848" s="7">
        <v>45767.71650568639</v>
      </c>
      <c r="G848" s="3" t="s">
        <v>3673</v>
      </c>
    </row>
    <row r="849">
      <c r="A849" s="3" t="s">
        <v>3674</v>
      </c>
      <c r="B849" s="3" t="s">
        <v>1484</v>
      </c>
      <c r="C849" s="5" t="s">
        <v>206</v>
      </c>
      <c r="D849" s="3" t="s">
        <v>68</v>
      </c>
      <c r="E849" s="3" t="s">
        <v>100</v>
      </c>
      <c r="F849" s="7">
        <v>45767.71997790861</v>
      </c>
      <c r="G849" s="3" t="s">
        <v>3676</v>
      </c>
    </row>
    <row r="850">
      <c r="A850" s="3" t="s">
        <v>3677</v>
      </c>
      <c r="B850" s="3" t="s">
        <v>1487</v>
      </c>
      <c r="C850" s="5" t="s">
        <v>45</v>
      </c>
      <c r="D850" s="3" t="s">
        <v>221</v>
      </c>
      <c r="E850" s="3" t="s">
        <v>678</v>
      </c>
      <c r="F850" s="7">
        <v>45767.780736087356</v>
      </c>
      <c r="G850" s="3" t="s">
        <v>3679</v>
      </c>
    </row>
    <row r="851">
      <c r="A851" s="3" t="s">
        <v>3680</v>
      </c>
      <c r="B851" s="3" t="s">
        <v>1487</v>
      </c>
      <c r="C851" s="5" t="s">
        <v>221</v>
      </c>
      <c r="D851" s="3" t="s">
        <v>614</v>
      </c>
      <c r="E851" s="3" t="s">
        <v>118</v>
      </c>
      <c r="F851" s="7">
        <v>45767.784208309575</v>
      </c>
      <c r="G851" s="3" t="s">
        <v>3682</v>
      </c>
    </row>
    <row r="852">
      <c r="A852" s="3" t="s">
        <v>3683</v>
      </c>
      <c r="B852" s="3" t="s">
        <v>1487</v>
      </c>
      <c r="C852" s="5" t="s">
        <v>614</v>
      </c>
      <c r="D852" s="3" t="s">
        <v>206</v>
      </c>
      <c r="E852" s="3" t="s">
        <v>100</v>
      </c>
      <c r="F852" s="7">
        <v>45767.7876805318</v>
      </c>
      <c r="G852" s="3" t="s">
        <v>3685</v>
      </c>
    </row>
    <row r="853">
      <c r="A853" s="3" t="s">
        <v>3686</v>
      </c>
      <c r="B853" s="3" t="s">
        <v>1487</v>
      </c>
      <c r="C853" s="5" t="s">
        <v>206</v>
      </c>
      <c r="D853" s="3" t="s">
        <v>68</v>
      </c>
      <c r="E853" s="3" t="s">
        <v>100</v>
      </c>
      <c r="F853" s="7">
        <v>45767.79115275402</v>
      </c>
      <c r="G853" s="3" t="s">
        <v>3688</v>
      </c>
    </row>
    <row r="854">
      <c r="A854" s="3" t="s">
        <v>3689</v>
      </c>
      <c r="B854" s="3" t="s">
        <v>1489</v>
      </c>
      <c r="C854" s="5" t="s">
        <v>45</v>
      </c>
      <c r="D854" s="3" t="s">
        <v>221</v>
      </c>
      <c r="E854" s="3" t="s">
        <v>219</v>
      </c>
      <c r="F854" s="7">
        <v>45767.85191093277</v>
      </c>
      <c r="G854" s="3" t="s">
        <v>3690</v>
      </c>
    </row>
    <row r="855">
      <c r="A855" s="3" t="s">
        <v>3692</v>
      </c>
      <c r="B855" s="3" t="s">
        <v>1489</v>
      </c>
      <c r="C855" s="5" t="s">
        <v>221</v>
      </c>
      <c r="D855" s="3" t="s">
        <v>181</v>
      </c>
      <c r="E855" s="3" t="s">
        <v>118</v>
      </c>
      <c r="F855" s="7">
        <v>45767.85538315499</v>
      </c>
      <c r="G855" s="3" t="s">
        <v>3693</v>
      </c>
    </row>
    <row r="856">
      <c r="A856" s="3" t="s">
        <v>3695</v>
      </c>
      <c r="B856" s="3" t="s">
        <v>1494</v>
      </c>
      <c r="C856" s="5" t="s">
        <v>45</v>
      </c>
      <c r="D856" s="3" t="s">
        <v>221</v>
      </c>
      <c r="E856" s="3" t="s">
        <v>778</v>
      </c>
      <c r="F856" s="7">
        <v>45767.92308577819</v>
      </c>
      <c r="G856" s="3" t="s">
        <v>3696</v>
      </c>
    </row>
    <row r="857">
      <c r="A857" s="3" t="s">
        <v>3698</v>
      </c>
      <c r="B857" s="3" t="s">
        <v>1494</v>
      </c>
      <c r="C857" s="5" t="s">
        <v>221</v>
      </c>
      <c r="D857" s="3" t="s">
        <v>614</v>
      </c>
      <c r="E857" s="3" t="s">
        <v>118</v>
      </c>
      <c r="F857" s="7">
        <v>45767.92655800041</v>
      </c>
      <c r="G857" s="3" t="s">
        <v>3699</v>
      </c>
    </row>
    <row r="858">
      <c r="A858" s="3" t="s">
        <v>3700</v>
      </c>
      <c r="B858" s="3" t="s">
        <v>1494</v>
      </c>
      <c r="C858" s="5" t="s">
        <v>614</v>
      </c>
      <c r="D858" s="3" t="s">
        <v>206</v>
      </c>
      <c r="E858" s="3" t="s">
        <v>100</v>
      </c>
      <c r="F858" s="7">
        <v>45767.93003022263</v>
      </c>
      <c r="G858" s="3" t="s">
        <v>3702</v>
      </c>
    </row>
    <row r="859">
      <c r="A859" s="3" t="s">
        <v>3703</v>
      </c>
      <c r="B859" s="3" t="s">
        <v>1494</v>
      </c>
      <c r="C859" s="5" t="s">
        <v>206</v>
      </c>
      <c r="D859" s="3" t="s">
        <v>68</v>
      </c>
      <c r="E859" s="3" t="s">
        <v>100</v>
      </c>
      <c r="F859" s="7">
        <v>45767.93350244485</v>
      </c>
      <c r="G859" s="3" t="s">
        <v>3705</v>
      </c>
    </row>
    <row r="860">
      <c r="A860" s="3" t="s">
        <v>3706</v>
      </c>
      <c r="B860" s="3" t="s">
        <v>1497</v>
      </c>
      <c r="C860" s="5" t="s">
        <v>45</v>
      </c>
      <c r="D860" s="3" t="s">
        <v>221</v>
      </c>
      <c r="E860" s="3" t="s">
        <v>547</v>
      </c>
      <c r="F860" s="7">
        <v>45767.9942606236</v>
      </c>
      <c r="G860" s="3" t="s">
        <v>3707</v>
      </c>
    </row>
    <row r="861">
      <c r="A861" s="3" t="s">
        <v>3709</v>
      </c>
      <c r="B861" s="3" t="s">
        <v>1497</v>
      </c>
      <c r="C861" s="5" t="s">
        <v>221</v>
      </c>
      <c r="D861" s="3" t="s">
        <v>614</v>
      </c>
      <c r="E861" s="3" t="s">
        <v>118</v>
      </c>
      <c r="F861" s="7">
        <v>45767.99773284582</v>
      </c>
      <c r="G861" s="3" t="s">
        <v>3710</v>
      </c>
    </row>
    <row r="862">
      <c r="A862" s="3" t="s">
        <v>3711</v>
      </c>
      <c r="B862" s="3" t="s">
        <v>1497</v>
      </c>
      <c r="C862" s="5" t="s">
        <v>614</v>
      </c>
      <c r="D862" s="3" t="s">
        <v>206</v>
      </c>
      <c r="E862" s="3" t="s">
        <v>100</v>
      </c>
      <c r="F862" s="7">
        <v>45768.001205068045</v>
      </c>
      <c r="G862" s="3" t="s">
        <v>3713</v>
      </c>
    </row>
    <row r="863">
      <c r="A863" s="3" t="s">
        <v>3714</v>
      </c>
      <c r="B863" s="3" t="s">
        <v>1497</v>
      </c>
      <c r="C863" s="5" t="s">
        <v>206</v>
      </c>
      <c r="D863" s="3" t="s">
        <v>68</v>
      </c>
      <c r="E863" s="3" t="s">
        <v>100</v>
      </c>
      <c r="F863" s="7">
        <v>45768.004677290264</v>
      </c>
      <c r="G863" s="3" t="s">
        <v>3716</v>
      </c>
    </row>
    <row r="864">
      <c r="A864" s="3" t="s">
        <v>3717</v>
      </c>
      <c r="B864" s="3" t="s">
        <v>1499</v>
      </c>
      <c r="C864" s="5" t="s">
        <v>45</v>
      </c>
      <c r="D864" s="3" t="s">
        <v>221</v>
      </c>
      <c r="E864" s="3" t="s">
        <v>276</v>
      </c>
      <c r="F864" s="7">
        <v>45768.06543546901</v>
      </c>
      <c r="G864" s="3" t="s">
        <v>3719</v>
      </c>
    </row>
    <row r="865">
      <c r="A865" s="3" t="s">
        <v>3720</v>
      </c>
      <c r="B865" s="3" t="s">
        <v>1499</v>
      </c>
      <c r="C865" s="5" t="s">
        <v>221</v>
      </c>
      <c r="D865" s="3" t="s">
        <v>614</v>
      </c>
      <c r="E865" s="3" t="s">
        <v>118</v>
      </c>
      <c r="F865" s="7">
        <v>45768.06890769123</v>
      </c>
      <c r="G865" s="3" t="s">
        <v>3722</v>
      </c>
    </row>
    <row r="866">
      <c r="A866" s="3" t="s">
        <v>3723</v>
      </c>
      <c r="B866" s="3" t="s">
        <v>1499</v>
      </c>
      <c r="C866" s="5" t="s">
        <v>614</v>
      </c>
      <c r="D866" s="3" t="s">
        <v>206</v>
      </c>
      <c r="E866" s="3" t="s">
        <v>100</v>
      </c>
      <c r="F866" s="7">
        <v>45768.07237991346</v>
      </c>
      <c r="G866" s="3" t="s">
        <v>3725</v>
      </c>
    </row>
    <row r="867">
      <c r="A867" s="3" t="s">
        <v>3726</v>
      </c>
      <c r="B867" s="3" t="s">
        <v>1499</v>
      </c>
      <c r="C867" s="5" t="s">
        <v>206</v>
      </c>
      <c r="D867" s="3" t="s">
        <v>68</v>
      </c>
      <c r="E867" s="3" t="s">
        <v>100</v>
      </c>
      <c r="F867" s="7">
        <v>45768.07585213568</v>
      </c>
      <c r="G867" s="3" t="s">
        <v>3728</v>
      </c>
    </row>
    <row r="868">
      <c r="A868" s="3" t="s">
        <v>3729</v>
      </c>
      <c r="B868" s="3" t="s">
        <v>1502</v>
      </c>
      <c r="C868" s="5" t="s">
        <v>45</v>
      </c>
      <c r="D868" s="3" t="s">
        <v>221</v>
      </c>
      <c r="E868" s="3" t="s">
        <v>903</v>
      </c>
      <c r="F868" s="7">
        <v>45768.13661031443</v>
      </c>
      <c r="G868" s="3" t="s">
        <v>3731</v>
      </c>
    </row>
    <row r="869">
      <c r="A869" s="3" t="s">
        <v>3732</v>
      </c>
      <c r="B869" s="3" t="s">
        <v>1502</v>
      </c>
      <c r="C869" s="5" t="s">
        <v>221</v>
      </c>
      <c r="D869" s="3" t="s">
        <v>181</v>
      </c>
      <c r="E869" s="3" t="s">
        <v>118</v>
      </c>
      <c r="F869" s="7">
        <v>45768.14008253665</v>
      </c>
      <c r="G869" s="3" t="s">
        <v>3734</v>
      </c>
    </row>
    <row r="870">
      <c r="A870" s="3" t="s">
        <v>3735</v>
      </c>
      <c r="B870" s="3" t="s">
        <v>1504</v>
      </c>
      <c r="C870" s="5" t="s">
        <v>45</v>
      </c>
      <c r="D870" s="3" t="s">
        <v>221</v>
      </c>
      <c r="E870" s="3" t="s">
        <v>691</v>
      </c>
      <c r="F870" s="7">
        <v>45768.207785159844</v>
      </c>
      <c r="G870" s="3" t="s">
        <v>3737</v>
      </c>
    </row>
    <row r="871">
      <c r="A871" s="3" t="s">
        <v>3738</v>
      </c>
      <c r="B871" s="3" t="s">
        <v>1504</v>
      </c>
      <c r="C871" s="5" t="s">
        <v>221</v>
      </c>
      <c r="D871" s="3" t="s">
        <v>614</v>
      </c>
      <c r="E871" s="3" t="s">
        <v>118</v>
      </c>
      <c r="F871" s="7">
        <v>45768.21125738206</v>
      </c>
      <c r="G871" s="3" t="s">
        <v>3740</v>
      </c>
    </row>
    <row r="872">
      <c r="A872" s="3" t="s">
        <v>3741</v>
      </c>
      <c r="B872" s="3" t="s">
        <v>1504</v>
      </c>
      <c r="C872" s="5" t="s">
        <v>614</v>
      </c>
      <c r="D872" s="3" t="s">
        <v>206</v>
      </c>
      <c r="E872" s="3" t="s">
        <v>100</v>
      </c>
      <c r="F872" s="7">
        <v>45768.21472960429</v>
      </c>
      <c r="G872" s="3" t="s">
        <v>3743</v>
      </c>
    </row>
    <row r="873">
      <c r="A873" s="3" t="s">
        <v>3744</v>
      </c>
      <c r="B873" s="3" t="s">
        <v>1504</v>
      </c>
      <c r="C873" s="5" t="s">
        <v>206</v>
      </c>
      <c r="D873" s="3" t="s">
        <v>68</v>
      </c>
      <c r="E873" s="3" t="s">
        <v>100</v>
      </c>
      <c r="F873" s="7">
        <v>45768.21820182651</v>
      </c>
      <c r="G873" s="3" t="s">
        <v>3745</v>
      </c>
    </row>
    <row r="874">
      <c r="A874" s="3" t="s">
        <v>3747</v>
      </c>
      <c r="B874" s="3" t="s">
        <v>1507</v>
      </c>
      <c r="C874" s="5" t="s">
        <v>45</v>
      </c>
      <c r="D874" s="3" t="s">
        <v>221</v>
      </c>
      <c r="E874" s="3" t="s">
        <v>658</v>
      </c>
      <c r="F874" s="7">
        <v>45768.27896000526</v>
      </c>
      <c r="G874" s="3" t="s">
        <v>3748</v>
      </c>
    </row>
    <row r="875">
      <c r="A875" s="3" t="s">
        <v>3750</v>
      </c>
      <c r="B875" s="3" t="s">
        <v>1507</v>
      </c>
      <c r="C875" s="5" t="s">
        <v>221</v>
      </c>
      <c r="D875" s="3" t="s">
        <v>614</v>
      </c>
      <c r="E875" s="3" t="s">
        <v>118</v>
      </c>
      <c r="F875" s="7">
        <v>45768.282432227476</v>
      </c>
      <c r="G875" s="3" t="s">
        <v>3751</v>
      </c>
    </row>
    <row r="876">
      <c r="A876" s="3" t="s">
        <v>3752</v>
      </c>
      <c r="B876" s="3" t="s">
        <v>1507</v>
      </c>
      <c r="C876" s="5" t="s">
        <v>614</v>
      </c>
      <c r="D876" s="3" t="s">
        <v>206</v>
      </c>
      <c r="E876" s="3" t="s">
        <v>100</v>
      </c>
      <c r="F876" s="7">
        <v>45768.2859044497</v>
      </c>
      <c r="G876" s="3" t="s">
        <v>3754</v>
      </c>
    </row>
    <row r="877">
      <c r="A877" s="3" t="s">
        <v>3755</v>
      </c>
      <c r="B877" s="3" t="s">
        <v>1507</v>
      </c>
      <c r="C877" s="5" t="s">
        <v>206</v>
      </c>
      <c r="D877" s="3" t="s">
        <v>68</v>
      </c>
      <c r="E877" s="3" t="s">
        <v>100</v>
      </c>
      <c r="F877" s="7">
        <v>45768.28937667192</v>
      </c>
      <c r="G877" s="3" t="s">
        <v>3757</v>
      </c>
    </row>
    <row r="878">
      <c r="A878" s="3" t="s">
        <v>3758</v>
      </c>
      <c r="B878" s="3" t="s">
        <v>1511</v>
      </c>
      <c r="C878" s="5" t="s">
        <v>45</v>
      </c>
      <c r="D878" s="3" t="s">
        <v>221</v>
      </c>
      <c r="E878" s="3" t="s">
        <v>171</v>
      </c>
      <c r="F878" s="7">
        <v>45768.350134850676</v>
      </c>
      <c r="G878" s="3" t="s">
        <v>3760</v>
      </c>
    </row>
    <row r="879">
      <c r="A879" s="3" t="s">
        <v>3761</v>
      </c>
      <c r="B879" s="3" t="s">
        <v>1511</v>
      </c>
      <c r="C879" s="5" t="s">
        <v>221</v>
      </c>
      <c r="D879" s="3" t="s">
        <v>614</v>
      </c>
      <c r="E879" s="3" t="s">
        <v>118</v>
      </c>
      <c r="F879" s="7">
        <v>45768.353607072895</v>
      </c>
      <c r="G879" s="3" t="s">
        <v>3763</v>
      </c>
    </row>
    <row r="880">
      <c r="A880" s="3" t="s">
        <v>3764</v>
      </c>
      <c r="B880" s="3" t="s">
        <v>1511</v>
      </c>
      <c r="C880" s="5" t="s">
        <v>614</v>
      </c>
      <c r="D880" s="3" t="s">
        <v>206</v>
      </c>
      <c r="E880" s="3" t="s">
        <v>100</v>
      </c>
      <c r="F880" s="7">
        <v>45768.35707929512</v>
      </c>
      <c r="G880" s="3" t="s">
        <v>3766</v>
      </c>
    </row>
    <row r="881">
      <c r="A881" s="3" t="s">
        <v>3767</v>
      </c>
      <c r="B881" s="3" t="s">
        <v>1511</v>
      </c>
      <c r="C881" s="5" t="s">
        <v>206</v>
      </c>
      <c r="D881" s="3" t="s">
        <v>68</v>
      </c>
      <c r="E881" s="3" t="s">
        <v>100</v>
      </c>
      <c r="F881" s="7">
        <v>45768.36055151734</v>
      </c>
      <c r="G881" s="3" t="s">
        <v>3769</v>
      </c>
    </row>
    <row r="882">
      <c r="A882" s="3" t="s">
        <v>3770</v>
      </c>
      <c r="B882" s="3" t="s">
        <v>1513</v>
      </c>
      <c r="C882" s="5" t="s">
        <v>45</v>
      </c>
      <c r="D882" s="3" t="s">
        <v>221</v>
      </c>
      <c r="E882" s="3" t="s">
        <v>530</v>
      </c>
      <c r="F882" s="7">
        <v>45768.421309696096</v>
      </c>
      <c r="G882" s="3" t="s">
        <v>3771</v>
      </c>
    </row>
    <row r="883">
      <c r="A883" s="3" t="s">
        <v>3773</v>
      </c>
      <c r="B883" s="3" t="s">
        <v>1513</v>
      </c>
      <c r="C883" s="5" t="s">
        <v>221</v>
      </c>
      <c r="D883" s="3" t="s">
        <v>614</v>
      </c>
      <c r="E883" s="3" t="s">
        <v>118</v>
      </c>
      <c r="F883" s="7">
        <v>45768.424781918315</v>
      </c>
      <c r="G883" s="3" t="s">
        <v>3774</v>
      </c>
    </row>
    <row r="884">
      <c r="A884" s="3" t="s">
        <v>3776</v>
      </c>
      <c r="B884" s="3" t="s">
        <v>1513</v>
      </c>
      <c r="C884" s="5" t="s">
        <v>614</v>
      </c>
      <c r="D884" s="3" t="s">
        <v>206</v>
      </c>
      <c r="E884" s="3" t="s">
        <v>100</v>
      </c>
      <c r="F884" s="7">
        <v>45768.42825414054</v>
      </c>
      <c r="G884" s="3" t="s">
        <v>3777</v>
      </c>
    </row>
    <row r="885">
      <c r="A885" s="3" t="s">
        <v>3779</v>
      </c>
      <c r="B885" s="3" t="s">
        <v>1513</v>
      </c>
      <c r="C885" s="5" t="s">
        <v>206</v>
      </c>
      <c r="D885" s="3" t="s">
        <v>68</v>
      </c>
      <c r="E885" s="3" t="s">
        <v>100</v>
      </c>
      <c r="F885" s="7">
        <v>45768.43172636276</v>
      </c>
      <c r="G885" s="3" t="s">
        <v>3780</v>
      </c>
    </row>
    <row r="886">
      <c r="A886" s="3" t="s">
        <v>3782</v>
      </c>
      <c r="B886" s="3" t="s">
        <v>1516</v>
      </c>
      <c r="C886" s="5" t="s">
        <v>45</v>
      </c>
      <c r="D886" s="3" t="s">
        <v>221</v>
      </c>
      <c r="E886" s="3" t="s">
        <v>816</v>
      </c>
      <c r="F886" s="7">
        <v>45768.4924845415</v>
      </c>
      <c r="G886" s="3" t="s">
        <v>3783</v>
      </c>
    </row>
    <row r="887">
      <c r="A887" s="3" t="s">
        <v>3785</v>
      </c>
      <c r="B887" s="3" t="s">
        <v>1516</v>
      </c>
      <c r="C887" s="5" t="s">
        <v>221</v>
      </c>
      <c r="D887" s="3" t="s">
        <v>614</v>
      </c>
      <c r="E887" s="3" t="s">
        <v>118</v>
      </c>
      <c r="F887" s="7">
        <v>45768.49595676372</v>
      </c>
      <c r="G887" s="3" t="s">
        <v>3786</v>
      </c>
    </row>
    <row r="888">
      <c r="A888" s="3" t="s">
        <v>3788</v>
      </c>
      <c r="B888" s="3" t="s">
        <v>1516</v>
      </c>
      <c r="C888" s="5" t="s">
        <v>614</v>
      </c>
      <c r="D888" s="3" t="s">
        <v>206</v>
      </c>
      <c r="E888" s="3" t="s">
        <v>100</v>
      </c>
      <c r="F888" s="7">
        <v>45768.499428985946</v>
      </c>
      <c r="G888" s="3" t="s">
        <v>3789</v>
      </c>
    </row>
    <row r="889">
      <c r="A889" s="3" t="s">
        <v>3791</v>
      </c>
      <c r="B889" s="3" t="s">
        <v>1516</v>
      </c>
      <c r="C889" s="5" t="s">
        <v>206</v>
      </c>
      <c r="D889" s="3" t="s">
        <v>68</v>
      </c>
      <c r="E889" s="3" t="s">
        <v>100</v>
      </c>
      <c r="F889" s="7">
        <v>45768.502901208165</v>
      </c>
      <c r="G889" s="3" t="s">
        <v>3792</v>
      </c>
    </row>
    <row r="890">
      <c r="A890" s="3" t="s">
        <v>3793</v>
      </c>
      <c r="B890" s="3" t="s">
        <v>1519</v>
      </c>
      <c r="C890" s="5" t="s">
        <v>45</v>
      </c>
      <c r="D890" s="3" t="s">
        <v>221</v>
      </c>
      <c r="E890" s="3" t="s">
        <v>253</v>
      </c>
      <c r="F890" s="7">
        <v>45768.56365938692</v>
      </c>
      <c r="G890" s="3" t="s">
        <v>3795</v>
      </c>
    </row>
    <row r="891">
      <c r="A891" s="3" t="s">
        <v>3796</v>
      </c>
      <c r="B891" s="3" t="s">
        <v>1519</v>
      </c>
      <c r="C891" s="5" t="s">
        <v>221</v>
      </c>
      <c r="D891" s="3" t="s">
        <v>614</v>
      </c>
      <c r="E891" s="3" t="s">
        <v>118</v>
      </c>
      <c r="F891" s="7">
        <v>45768.56713160914</v>
      </c>
      <c r="G891" s="3" t="s">
        <v>3798</v>
      </c>
    </row>
    <row r="892">
      <c r="A892" s="3" t="s">
        <v>3799</v>
      </c>
      <c r="B892" s="3" t="s">
        <v>1519</v>
      </c>
      <c r="C892" s="5" t="s">
        <v>614</v>
      </c>
      <c r="D892" s="3" t="s">
        <v>206</v>
      </c>
      <c r="E892" s="3" t="s">
        <v>100</v>
      </c>
      <c r="F892" s="7">
        <v>45768.570603831366</v>
      </c>
      <c r="G892" s="3" t="s">
        <v>3801</v>
      </c>
    </row>
    <row r="893">
      <c r="A893" s="3" t="s">
        <v>3802</v>
      </c>
      <c r="B893" s="3" t="s">
        <v>1519</v>
      </c>
      <c r="C893" s="5" t="s">
        <v>206</v>
      </c>
      <c r="D893" s="3" t="s">
        <v>68</v>
      </c>
      <c r="E893" s="3" t="s">
        <v>100</v>
      </c>
      <c r="F893" s="7">
        <v>45768.574076053585</v>
      </c>
      <c r="G893" s="3" t="s">
        <v>3804</v>
      </c>
    </row>
    <row r="894">
      <c r="A894" s="3" t="s">
        <v>3805</v>
      </c>
      <c r="B894" s="3" t="s">
        <v>1522</v>
      </c>
      <c r="C894" s="5" t="s">
        <v>45</v>
      </c>
      <c r="D894" s="3" t="s">
        <v>221</v>
      </c>
      <c r="E894" s="3" t="s">
        <v>496</v>
      </c>
      <c r="F894" s="7">
        <v>45768.63483423234</v>
      </c>
      <c r="G894" s="3" t="s">
        <v>3807</v>
      </c>
    </row>
    <row r="895">
      <c r="A895" s="3" t="s">
        <v>3808</v>
      </c>
      <c r="B895" s="3" t="s">
        <v>1522</v>
      </c>
      <c r="C895" s="5" t="s">
        <v>221</v>
      </c>
      <c r="D895" s="3" t="s">
        <v>614</v>
      </c>
      <c r="E895" s="3" t="s">
        <v>118</v>
      </c>
      <c r="F895" s="7">
        <v>45768.63830645456</v>
      </c>
      <c r="G895" s="3" t="s">
        <v>3810</v>
      </c>
    </row>
    <row r="896">
      <c r="A896" s="3" t="s">
        <v>3811</v>
      </c>
      <c r="B896" s="3" t="s">
        <v>1522</v>
      </c>
      <c r="C896" s="5" t="s">
        <v>614</v>
      </c>
      <c r="D896" s="3" t="s">
        <v>206</v>
      </c>
      <c r="E896" s="3" t="s">
        <v>100</v>
      </c>
      <c r="F896" s="7">
        <v>45768.641778676785</v>
      </c>
      <c r="G896" s="3" t="s">
        <v>3812</v>
      </c>
    </row>
    <row r="897">
      <c r="A897" s="3" t="s">
        <v>3814</v>
      </c>
      <c r="B897" s="3" t="s">
        <v>1522</v>
      </c>
      <c r="C897" s="5" t="s">
        <v>206</v>
      </c>
      <c r="D897" s="3" t="s">
        <v>68</v>
      </c>
      <c r="E897" s="3" t="s">
        <v>100</v>
      </c>
      <c r="F897" s="7">
        <v>45768.645250899004</v>
      </c>
      <c r="G897" s="3" t="s">
        <v>3815</v>
      </c>
    </row>
    <row r="898">
      <c r="A898" s="3" t="s">
        <v>3816</v>
      </c>
      <c r="B898" s="3" t="s">
        <v>1525</v>
      </c>
      <c r="C898" s="5" t="s">
        <v>45</v>
      </c>
      <c r="D898" s="3" t="s">
        <v>221</v>
      </c>
      <c r="E898" s="3" t="s">
        <v>352</v>
      </c>
      <c r="F898" s="7">
        <v>45768.70600907775</v>
      </c>
      <c r="G898" s="3" t="s">
        <v>3818</v>
      </c>
    </row>
    <row r="899">
      <c r="A899" s="3" t="s">
        <v>3819</v>
      </c>
      <c r="B899" s="3" t="s">
        <v>1525</v>
      </c>
      <c r="C899" s="5" t="s">
        <v>221</v>
      </c>
      <c r="D899" s="3" t="s">
        <v>614</v>
      </c>
      <c r="E899" s="3" t="s">
        <v>118</v>
      </c>
      <c r="F899" s="7">
        <v>45768.70948129997</v>
      </c>
      <c r="G899" s="3" t="s">
        <v>3821</v>
      </c>
    </row>
    <row r="900">
      <c r="A900" s="3" t="s">
        <v>3822</v>
      </c>
      <c r="B900" s="3" t="s">
        <v>1525</v>
      </c>
      <c r="C900" s="5" t="s">
        <v>614</v>
      </c>
      <c r="D900" s="3" t="s">
        <v>206</v>
      </c>
      <c r="E900" s="3" t="s">
        <v>100</v>
      </c>
      <c r="F900" s="7">
        <v>45768.7129535222</v>
      </c>
      <c r="G900" s="3" t="s">
        <v>3824</v>
      </c>
    </row>
    <row r="901">
      <c r="A901" s="3" t="s">
        <v>3825</v>
      </c>
      <c r="B901" s="3" t="s">
        <v>1525</v>
      </c>
      <c r="C901" s="5" t="s">
        <v>206</v>
      </c>
      <c r="D901" s="3" t="s">
        <v>68</v>
      </c>
      <c r="E901" s="3" t="s">
        <v>100</v>
      </c>
      <c r="F901" s="7">
        <v>45768.71642574442</v>
      </c>
      <c r="G901" s="3" t="s">
        <v>3827</v>
      </c>
    </row>
    <row r="902">
      <c r="A902" s="3" t="s">
        <v>3828</v>
      </c>
      <c r="B902" s="3" t="s">
        <v>1528</v>
      </c>
      <c r="C902" s="5" t="s">
        <v>45</v>
      </c>
      <c r="D902" s="3" t="s">
        <v>221</v>
      </c>
      <c r="E902" s="3" t="s">
        <v>189</v>
      </c>
      <c r="F902" s="7">
        <v>45768.777183923165</v>
      </c>
      <c r="G902" s="3" t="s">
        <v>2770</v>
      </c>
    </row>
    <row r="903">
      <c r="A903" s="3" t="s">
        <v>3830</v>
      </c>
      <c r="B903" s="3" t="s">
        <v>1528</v>
      </c>
      <c r="C903" s="5" t="s">
        <v>221</v>
      </c>
      <c r="D903" s="3" t="s">
        <v>181</v>
      </c>
      <c r="E903" s="3" t="s">
        <v>118</v>
      </c>
      <c r="F903" s="7">
        <v>45768.78065614538</v>
      </c>
      <c r="G903" s="3" t="s">
        <v>2774</v>
      </c>
    </row>
    <row r="904">
      <c r="A904" s="3" t="s">
        <v>3832</v>
      </c>
      <c r="B904" s="3" t="s">
        <v>1531</v>
      </c>
      <c r="C904" s="5" t="s">
        <v>45</v>
      </c>
      <c r="D904" s="3" t="s">
        <v>221</v>
      </c>
      <c r="E904" s="3" t="s">
        <v>398</v>
      </c>
      <c r="F904" s="7">
        <v>45768.848358768584</v>
      </c>
      <c r="G904" s="3" t="s">
        <v>3834</v>
      </c>
    </row>
    <row r="905">
      <c r="A905" s="3" t="s">
        <v>3835</v>
      </c>
      <c r="B905" s="3" t="s">
        <v>1531</v>
      </c>
      <c r="C905" s="5" t="s">
        <v>221</v>
      </c>
      <c r="D905" s="3" t="s">
        <v>614</v>
      </c>
      <c r="E905" s="3" t="s">
        <v>118</v>
      </c>
      <c r="F905" s="7">
        <v>45768.8518309908</v>
      </c>
      <c r="G905" s="3" t="s">
        <v>3837</v>
      </c>
    </row>
    <row r="906">
      <c r="A906" s="3" t="s">
        <v>3838</v>
      </c>
      <c r="B906" s="3" t="s">
        <v>1531</v>
      </c>
      <c r="C906" s="5" t="s">
        <v>614</v>
      </c>
      <c r="D906" s="3" t="s">
        <v>206</v>
      </c>
      <c r="E906" s="3" t="s">
        <v>100</v>
      </c>
      <c r="F906" s="7">
        <v>45768.85530321303</v>
      </c>
      <c r="G906" s="3" t="s">
        <v>3840</v>
      </c>
    </row>
    <row r="907">
      <c r="A907" s="3" t="s">
        <v>3841</v>
      </c>
      <c r="B907" s="3" t="s">
        <v>1531</v>
      </c>
      <c r="C907" s="5" t="s">
        <v>206</v>
      </c>
      <c r="D907" s="3" t="s">
        <v>68</v>
      </c>
      <c r="E907" s="3" t="s">
        <v>100</v>
      </c>
      <c r="F907" s="7">
        <v>45768.85877543525</v>
      </c>
      <c r="G907" s="3" t="s">
        <v>3843</v>
      </c>
    </row>
    <row r="908">
      <c r="A908" s="3" t="s">
        <v>3844</v>
      </c>
      <c r="B908" s="3" t="s">
        <v>1534</v>
      </c>
      <c r="C908" s="5" t="s">
        <v>45</v>
      </c>
      <c r="D908" s="3" t="s">
        <v>221</v>
      </c>
      <c r="E908" s="3" t="s">
        <v>276</v>
      </c>
      <c r="F908" s="7">
        <v>45768.919533614</v>
      </c>
      <c r="G908" s="3" t="s">
        <v>3845</v>
      </c>
    </row>
    <row r="909">
      <c r="A909" s="3" t="s">
        <v>3847</v>
      </c>
      <c r="B909" s="3" t="s">
        <v>1534</v>
      </c>
      <c r="C909" s="5" t="s">
        <v>221</v>
      </c>
      <c r="D909" s="3" t="s">
        <v>614</v>
      </c>
      <c r="E909" s="3" t="s">
        <v>118</v>
      </c>
      <c r="F909" s="7">
        <v>45768.923005836215</v>
      </c>
      <c r="G909" s="3" t="s">
        <v>3848</v>
      </c>
    </row>
    <row r="910">
      <c r="A910" s="3" t="s">
        <v>3850</v>
      </c>
      <c r="B910" s="3" t="s">
        <v>1534</v>
      </c>
      <c r="C910" s="5" t="s">
        <v>614</v>
      </c>
      <c r="D910" s="3" t="s">
        <v>206</v>
      </c>
      <c r="E910" s="3" t="s">
        <v>100</v>
      </c>
      <c r="F910" s="7">
        <v>45768.92647805844</v>
      </c>
      <c r="G910" s="3" t="s">
        <v>3851</v>
      </c>
    </row>
    <row r="911">
      <c r="A911" s="3" t="s">
        <v>3852</v>
      </c>
      <c r="B911" s="3" t="s">
        <v>1534</v>
      </c>
      <c r="C911" s="5" t="s">
        <v>206</v>
      </c>
      <c r="D911" s="3" t="s">
        <v>68</v>
      </c>
      <c r="E911" s="3" t="s">
        <v>100</v>
      </c>
      <c r="F911" s="7">
        <v>45768.92995028066</v>
      </c>
      <c r="G911" s="3" t="s">
        <v>3854</v>
      </c>
    </row>
    <row r="912">
      <c r="A912" s="3" t="s">
        <v>3855</v>
      </c>
      <c r="B912" s="3" t="s">
        <v>1536</v>
      </c>
      <c r="C912" s="5" t="s">
        <v>45</v>
      </c>
      <c r="D912" s="3" t="s">
        <v>221</v>
      </c>
      <c r="E912" s="3" t="s">
        <v>442</v>
      </c>
      <c r="F912" s="7">
        <v>45768.99070845941</v>
      </c>
      <c r="G912" s="3" t="s">
        <v>3857</v>
      </c>
    </row>
    <row r="913">
      <c r="A913" s="3" t="s">
        <v>3858</v>
      </c>
      <c r="B913" s="3" t="s">
        <v>1536</v>
      </c>
      <c r="C913" s="5" t="s">
        <v>221</v>
      </c>
      <c r="D913" s="3" t="s">
        <v>614</v>
      </c>
      <c r="E913" s="3" t="s">
        <v>118</v>
      </c>
      <c r="F913" s="7">
        <v>45768.99418068163</v>
      </c>
      <c r="G913" s="3" t="s">
        <v>3860</v>
      </c>
    </row>
    <row r="914">
      <c r="A914" s="3" t="s">
        <v>3861</v>
      </c>
      <c r="B914" s="3" t="s">
        <v>1536</v>
      </c>
      <c r="C914" s="5" t="s">
        <v>614</v>
      </c>
      <c r="D914" s="3" t="s">
        <v>206</v>
      </c>
      <c r="E914" s="3" t="s">
        <v>100</v>
      </c>
      <c r="F914" s="7">
        <v>45768.997652903854</v>
      </c>
      <c r="G914" s="3" t="s">
        <v>3863</v>
      </c>
    </row>
    <row r="915">
      <c r="A915" s="3" t="s">
        <v>3864</v>
      </c>
      <c r="B915" s="3" t="s">
        <v>1536</v>
      </c>
      <c r="C915" s="5" t="s">
        <v>206</v>
      </c>
      <c r="D915" s="3" t="s">
        <v>68</v>
      </c>
      <c r="E915" s="3" t="s">
        <v>100</v>
      </c>
      <c r="F915" s="7">
        <v>45769.00112512607</v>
      </c>
      <c r="G915" s="3" t="s">
        <v>3865</v>
      </c>
    </row>
    <row r="916">
      <c r="A916" s="3" t="s">
        <v>3867</v>
      </c>
      <c r="B916" s="3" t="s">
        <v>1537</v>
      </c>
      <c r="C916" s="5" t="s">
        <v>45</v>
      </c>
      <c r="D916" s="3" t="s">
        <v>221</v>
      </c>
      <c r="E916" s="3" t="s">
        <v>758</v>
      </c>
      <c r="F916" s="7">
        <v>45769.06188330483</v>
      </c>
      <c r="G916" s="3" t="s">
        <v>3868</v>
      </c>
    </row>
    <row r="917">
      <c r="A917" s="3" t="s">
        <v>3869</v>
      </c>
      <c r="B917" s="3" t="s">
        <v>1537</v>
      </c>
      <c r="C917" s="5" t="s">
        <v>221</v>
      </c>
      <c r="D917" s="3" t="s">
        <v>614</v>
      </c>
      <c r="E917" s="3" t="s">
        <v>118</v>
      </c>
      <c r="F917" s="7">
        <v>45769.06535552705</v>
      </c>
      <c r="G917" s="3" t="s">
        <v>3871</v>
      </c>
    </row>
    <row r="918">
      <c r="A918" s="3" t="s">
        <v>3872</v>
      </c>
      <c r="B918" s="3" t="s">
        <v>1537</v>
      </c>
      <c r="C918" s="5" t="s">
        <v>614</v>
      </c>
      <c r="D918" s="3" t="s">
        <v>206</v>
      </c>
      <c r="E918" s="3" t="s">
        <v>100</v>
      </c>
      <c r="F918" s="7">
        <v>45769.06882774927</v>
      </c>
      <c r="G918" s="3" t="s">
        <v>3874</v>
      </c>
    </row>
    <row r="919">
      <c r="A919" s="3" t="s">
        <v>3875</v>
      </c>
      <c r="B919" s="3" t="s">
        <v>1537</v>
      </c>
      <c r="C919" s="5" t="s">
        <v>206</v>
      </c>
      <c r="D919" s="3" t="s">
        <v>68</v>
      </c>
      <c r="E919" s="3" t="s">
        <v>100</v>
      </c>
      <c r="F919" s="7">
        <v>45769.07229997149</v>
      </c>
      <c r="G919" s="3" t="s">
        <v>3877</v>
      </c>
    </row>
    <row r="920">
      <c r="A920" s="3" t="s">
        <v>3878</v>
      </c>
      <c r="B920" s="3" t="s">
        <v>1540</v>
      </c>
      <c r="C920" s="5" t="s">
        <v>45</v>
      </c>
      <c r="D920" s="3" t="s">
        <v>221</v>
      </c>
      <c r="E920" s="3" t="s">
        <v>436</v>
      </c>
      <c r="F920" s="7">
        <v>45769.13305815024</v>
      </c>
      <c r="G920" s="3" t="s">
        <v>2770</v>
      </c>
    </row>
    <row r="921">
      <c r="A921" s="3" t="s">
        <v>3880</v>
      </c>
      <c r="B921" s="3" t="s">
        <v>1540</v>
      </c>
      <c r="C921" s="5" t="s">
        <v>221</v>
      </c>
      <c r="D921" s="3" t="s">
        <v>181</v>
      </c>
      <c r="E921" s="3" t="s">
        <v>118</v>
      </c>
      <c r="F921" s="7">
        <v>45769.13653037246</v>
      </c>
      <c r="G921" s="3" t="s">
        <v>2774</v>
      </c>
    </row>
    <row r="922">
      <c r="A922" s="3" t="s">
        <v>3882</v>
      </c>
      <c r="B922" s="3" t="s">
        <v>1544</v>
      </c>
      <c r="C922" s="5" t="s">
        <v>45</v>
      </c>
      <c r="D922" s="3" t="s">
        <v>221</v>
      </c>
      <c r="E922" s="3" t="s">
        <v>546</v>
      </c>
      <c r="F922" s="7">
        <v>45769.20423299565</v>
      </c>
      <c r="G922" s="3" t="s">
        <v>2770</v>
      </c>
    </row>
    <row r="923">
      <c r="A923" s="3" t="s">
        <v>3884</v>
      </c>
      <c r="B923" s="3" t="s">
        <v>1544</v>
      </c>
      <c r="C923" s="5" t="s">
        <v>221</v>
      </c>
      <c r="D923" s="3" t="s">
        <v>181</v>
      </c>
      <c r="E923" s="3" t="s">
        <v>118</v>
      </c>
      <c r="F923" s="7">
        <v>45769.20770521787</v>
      </c>
      <c r="G923" s="3" t="s">
        <v>2774</v>
      </c>
    </row>
    <row r="924">
      <c r="A924" s="3" t="s">
        <v>3886</v>
      </c>
      <c r="B924" s="3" t="s">
        <v>1547</v>
      </c>
      <c r="C924" s="5" t="s">
        <v>45</v>
      </c>
      <c r="D924" s="3" t="s">
        <v>221</v>
      </c>
      <c r="E924" s="3" t="s">
        <v>785</v>
      </c>
      <c r="F924" s="7">
        <v>45769.27540784107</v>
      </c>
      <c r="G924" s="3" t="s">
        <v>3888</v>
      </c>
    </row>
    <row r="925">
      <c r="A925" s="3" t="s">
        <v>3889</v>
      </c>
      <c r="B925" s="3" t="s">
        <v>1547</v>
      </c>
      <c r="C925" s="5" t="s">
        <v>221</v>
      </c>
      <c r="D925" s="3" t="s">
        <v>614</v>
      </c>
      <c r="E925" s="3" t="s">
        <v>118</v>
      </c>
      <c r="F925" s="7">
        <v>45769.27888006329</v>
      </c>
      <c r="G925" s="3" t="s">
        <v>3890</v>
      </c>
    </row>
    <row r="926">
      <c r="A926" s="3" t="s">
        <v>3892</v>
      </c>
      <c r="B926" s="3" t="s">
        <v>1547</v>
      </c>
      <c r="C926" s="5" t="s">
        <v>614</v>
      </c>
      <c r="D926" s="3" t="s">
        <v>206</v>
      </c>
      <c r="E926" s="3" t="s">
        <v>100</v>
      </c>
      <c r="F926" s="7">
        <v>45769.28235228552</v>
      </c>
      <c r="G926" s="3" t="s">
        <v>3893</v>
      </c>
    </row>
    <row r="927">
      <c r="A927" s="3" t="s">
        <v>3895</v>
      </c>
      <c r="B927" s="3" t="s">
        <v>1547</v>
      </c>
      <c r="C927" s="5" t="s">
        <v>206</v>
      </c>
      <c r="D927" s="3" t="s">
        <v>68</v>
      </c>
      <c r="E927" s="3" t="s">
        <v>100</v>
      </c>
      <c r="F927" s="7">
        <v>45769.28582450774</v>
      </c>
      <c r="G927" s="3" t="s">
        <v>3896</v>
      </c>
    </row>
    <row r="928">
      <c r="A928" s="3" t="s">
        <v>3898</v>
      </c>
      <c r="B928" s="3" t="s">
        <v>1551</v>
      </c>
      <c r="C928" s="5" t="s">
        <v>45</v>
      </c>
      <c r="D928" s="3" t="s">
        <v>221</v>
      </c>
      <c r="E928" s="3" t="s">
        <v>848</v>
      </c>
      <c r="F928" s="7">
        <v>45769.346582686485</v>
      </c>
      <c r="G928" s="3" t="s">
        <v>3899</v>
      </c>
    </row>
    <row r="929">
      <c r="A929" s="3" t="s">
        <v>3900</v>
      </c>
      <c r="B929" s="3" t="s">
        <v>1551</v>
      </c>
      <c r="C929" s="5" t="s">
        <v>221</v>
      </c>
      <c r="D929" s="3" t="s">
        <v>614</v>
      </c>
      <c r="E929" s="3" t="s">
        <v>118</v>
      </c>
      <c r="F929" s="7">
        <v>45769.350054908704</v>
      </c>
      <c r="G929" s="3" t="s">
        <v>3902</v>
      </c>
    </row>
    <row r="930">
      <c r="A930" s="3" t="s">
        <v>3903</v>
      </c>
      <c r="B930" s="3" t="s">
        <v>1551</v>
      </c>
      <c r="C930" s="5" t="s">
        <v>614</v>
      </c>
      <c r="D930" s="3" t="s">
        <v>206</v>
      </c>
      <c r="E930" s="3" t="s">
        <v>100</v>
      </c>
      <c r="F930" s="7">
        <v>45769.35352713093</v>
      </c>
      <c r="G930" s="3" t="s">
        <v>3905</v>
      </c>
    </row>
    <row r="931">
      <c r="A931" s="3" t="s">
        <v>3906</v>
      </c>
      <c r="B931" s="3" t="s">
        <v>1551</v>
      </c>
      <c r="C931" s="5" t="s">
        <v>206</v>
      </c>
      <c r="D931" s="3" t="s">
        <v>68</v>
      </c>
      <c r="E931" s="3" t="s">
        <v>100</v>
      </c>
      <c r="F931" s="7">
        <v>45769.35699935315</v>
      </c>
      <c r="G931" s="3" t="s">
        <v>3908</v>
      </c>
    </row>
    <row r="932">
      <c r="A932" s="3" t="s">
        <v>3909</v>
      </c>
      <c r="B932" s="3" t="s">
        <v>1554</v>
      </c>
      <c r="C932" s="5" t="s">
        <v>45</v>
      </c>
      <c r="D932" s="3" t="s">
        <v>221</v>
      </c>
      <c r="E932" s="3" t="s">
        <v>796</v>
      </c>
      <c r="F932" s="7">
        <v>45769.4177575319</v>
      </c>
      <c r="G932" s="3" t="s">
        <v>3911</v>
      </c>
    </row>
    <row r="933">
      <c r="A933" s="3" t="s">
        <v>3912</v>
      </c>
      <c r="B933" s="3" t="s">
        <v>1554</v>
      </c>
      <c r="C933" s="5" t="s">
        <v>221</v>
      </c>
      <c r="D933" s="3" t="s">
        <v>614</v>
      </c>
      <c r="E933" s="3" t="s">
        <v>118</v>
      </c>
      <c r="F933" s="7">
        <v>45769.421229754116</v>
      </c>
      <c r="G933" s="3" t="s">
        <v>3914</v>
      </c>
    </row>
    <row r="934">
      <c r="A934" s="3" t="s">
        <v>3915</v>
      </c>
      <c r="B934" s="3" t="s">
        <v>1554</v>
      </c>
      <c r="C934" s="5" t="s">
        <v>614</v>
      </c>
      <c r="D934" s="3" t="s">
        <v>206</v>
      </c>
      <c r="E934" s="3" t="s">
        <v>100</v>
      </c>
      <c r="F934" s="7">
        <v>45769.42470197634</v>
      </c>
      <c r="G934" s="3" t="s">
        <v>3917</v>
      </c>
    </row>
    <row r="935">
      <c r="A935" s="3" t="s">
        <v>3918</v>
      </c>
      <c r="B935" s="3" t="s">
        <v>1554</v>
      </c>
      <c r="C935" s="5" t="s">
        <v>206</v>
      </c>
      <c r="D935" s="3" t="s">
        <v>68</v>
      </c>
      <c r="E935" s="3" t="s">
        <v>100</v>
      </c>
      <c r="F935" s="7">
        <v>45769.42817419856</v>
      </c>
      <c r="G935" s="3" t="s">
        <v>3920</v>
      </c>
    </row>
    <row r="936">
      <c r="A936" s="3" t="s">
        <v>3921</v>
      </c>
      <c r="B936" s="3" t="s">
        <v>1559</v>
      </c>
      <c r="C936" s="5" t="s">
        <v>45</v>
      </c>
      <c r="D936" s="3" t="s">
        <v>221</v>
      </c>
      <c r="E936" s="3" t="s">
        <v>926</v>
      </c>
      <c r="F936" s="7">
        <v>45769.48893237732</v>
      </c>
      <c r="G936" s="3" t="s">
        <v>3922</v>
      </c>
    </row>
    <row r="937">
      <c r="A937" s="3" t="s">
        <v>3924</v>
      </c>
      <c r="B937" s="3" t="s">
        <v>1559</v>
      </c>
      <c r="C937" s="5" t="s">
        <v>221</v>
      </c>
      <c r="D937" s="3" t="s">
        <v>614</v>
      </c>
      <c r="E937" s="3" t="s">
        <v>118</v>
      </c>
      <c r="F937" s="7">
        <v>45769.492404599536</v>
      </c>
      <c r="G937" s="3" t="s">
        <v>3925</v>
      </c>
    </row>
    <row r="938">
      <c r="A938" s="3" t="s">
        <v>3927</v>
      </c>
      <c r="B938" s="3" t="s">
        <v>1559</v>
      </c>
      <c r="C938" s="5" t="s">
        <v>614</v>
      </c>
      <c r="D938" s="3" t="s">
        <v>206</v>
      </c>
      <c r="E938" s="3" t="s">
        <v>100</v>
      </c>
      <c r="F938" s="7">
        <v>45769.49587682176</v>
      </c>
      <c r="G938" s="3" t="s">
        <v>3928</v>
      </c>
    </row>
    <row r="939">
      <c r="A939" s="3" t="s">
        <v>3930</v>
      </c>
      <c r="B939" s="3" t="s">
        <v>1559</v>
      </c>
      <c r="C939" s="5" t="s">
        <v>206</v>
      </c>
      <c r="D939" s="3" t="s">
        <v>68</v>
      </c>
      <c r="E939" s="3" t="s">
        <v>100</v>
      </c>
      <c r="F939" s="7">
        <v>45769.49934904398</v>
      </c>
      <c r="G939" s="3" t="s">
        <v>3931</v>
      </c>
    </row>
    <row r="940">
      <c r="A940" s="3" t="s">
        <v>3933</v>
      </c>
      <c r="B940" s="3" t="s">
        <v>1561</v>
      </c>
      <c r="C940" s="5" t="s">
        <v>45</v>
      </c>
      <c r="D940" s="3" t="s">
        <v>221</v>
      </c>
      <c r="E940" s="3" t="s">
        <v>662</v>
      </c>
      <c r="F940" s="7">
        <v>45769.56010722274</v>
      </c>
      <c r="G940" s="3" t="s">
        <v>3934</v>
      </c>
    </row>
    <row r="941">
      <c r="A941" s="3" t="s">
        <v>3935</v>
      </c>
      <c r="B941" s="3" t="s">
        <v>1561</v>
      </c>
      <c r="C941" s="5" t="s">
        <v>221</v>
      </c>
      <c r="D941" s="3" t="s">
        <v>614</v>
      </c>
      <c r="E941" s="3" t="s">
        <v>118</v>
      </c>
      <c r="F941" s="7">
        <v>45769.563579444955</v>
      </c>
      <c r="G941" s="3" t="s">
        <v>3937</v>
      </c>
    </row>
    <row r="942">
      <c r="A942" s="3" t="s">
        <v>3938</v>
      </c>
      <c r="B942" s="3" t="s">
        <v>1561</v>
      </c>
      <c r="C942" s="5" t="s">
        <v>614</v>
      </c>
      <c r="D942" s="3" t="s">
        <v>206</v>
      </c>
      <c r="E942" s="3" t="s">
        <v>100</v>
      </c>
      <c r="F942" s="7">
        <v>45769.56705166718</v>
      </c>
      <c r="G942" s="3" t="s">
        <v>3940</v>
      </c>
    </row>
    <row r="943">
      <c r="A943" s="3" t="s">
        <v>3941</v>
      </c>
      <c r="B943" s="3" t="s">
        <v>1561</v>
      </c>
      <c r="C943" s="5" t="s">
        <v>206</v>
      </c>
      <c r="D943" s="3" t="s">
        <v>68</v>
      </c>
      <c r="E943" s="3" t="s">
        <v>100</v>
      </c>
      <c r="F943" s="7">
        <v>45769.5705238894</v>
      </c>
      <c r="G943" s="3" t="s">
        <v>3942</v>
      </c>
    </row>
    <row r="944">
      <c r="A944" s="3" t="s">
        <v>3944</v>
      </c>
      <c r="B944" s="3" t="s">
        <v>1565</v>
      </c>
      <c r="C944" s="5" t="s">
        <v>45</v>
      </c>
      <c r="D944" s="3" t="s">
        <v>221</v>
      </c>
      <c r="E944" s="3" t="s">
        <v>682</v>
      </c>
      <c r="F944" s="7">
        <v>45769.63128206814</v>
      </c>
      <c r="G944" s="3" t="s">
        <v>3945</v>
      </c>
    </row>
    <row r="945">
      <c r="A945" s="3" t="s">
        <v>3946</v>
      </c>
      <c r="B945" s="3" t="s">
        <v>1565</v>
      </c>
      <c r="C945" s="5" t="s">
        <v>221</v>
      </c>
      <c r="D945" s="3" t="s">
        <v>614</v>
      </c>
      <c r="E945" s="3" t="s">
        <v>118</v>
      </c>
      <c r="F945" s="7">
        <v>45769.63475429036</v>
      </c>
      <c r="G945" s="3" t="s">
        <v>3948</v>
      </c>
    </row>
    <row r="946">
      <c r="A946" s="3" t="s">
        <v>3949</v>
      </c>
      <c r="B946" s="3" t="s">
        <v>1565</v>
      </c>
      <c r="C946" s="5" t="s">
        <v>614</v>
      </c>
      <c r="D946" s="3" t="s">
        <v>206</v>
      </c>
      <c r="E946" s="3" t="s">
        <v>100</v>
      </c>
      <c r="F946" s="7">
        <v>45769.63822651259</v>
      </c>
      <c r="G946" s="3" t="s">
        <v>3951</v>
      </c>
    </row>
    <row r="947">
      <c r="A947" s="3" t="s">
        <v>3952</v>
      </c>
      <c r="B947" s="3" t="s">
        <v>1565</v>
      </c>
      <c r="C947" s="5" t="s">
        <v>206</v>
      </c>
      <c r="D947" s="3" t="s">
        <v>68</v>
      </c>
      <c r="E947" s="3" t="s">
        <v>100</v>
      </c>
      <c r="F947" s="7">
        <v>45769.641698734806</v>
      </c>
      <c r="G947" s="3" t="s">
        <v>3953</v>
      </c>
    </row>
    <row r="948">
      <c r="A948" s="3" t="s">
        <v>3955</v>
      </c>
      <c r="B948" s="3" t="s">
        <v>1568</v>
      </c>
      <c r="C948" s="5" t="s">
        <v>45</v>
      </c>
      <c r="D948" s="3" t="s">
        <v>221</v>
      </c>
      <c r="E948" s="3" t="s">
        <v>742</v>
      </c>
      <c r="F948" s="7">
        <v>45769.70245691356</v>
      </c>
      <c r="G948" s="3" t="s">
        <v>2770</v>
      </c>
    </row>
    <row r="949">
      <c r="A949" s="3" t="s">
        <v>3957</v>
      </c>
      <c r="B949" s="3" t="s">
        <v>1568</v>
      </c>
      <c r="C949" s="5" t="s">
        <v>221</v>
      </c>
      <c r="D949" s="3" t="s">
        <v>181</v>
      </c>
      <c r="E949" s="3" t="s">
        <v>118</v>
      </c>
      <c r="F949" s="7">
        <v>45769.70592913578</v>
      </c>
      <c r="G949" s="3" t="s">
        <v>2774</v>
      </c>
    </row>
    <row r="950">
      <c r="A950" s="3" t="s">
        <v>3958</v>
      </c>
      <c r="B950" s="3" t="s">
        <v>1571</v>
      </c>
      <c r="C950" s="5" t="s">
        <v>45</v>
      </c>
      <c r="D950" s="3" t="s">
        <v>221</v>
      </c>
      <c r="E950" s="3" t="s">
        <v>579</v>
      </c>
      <c r="F950" s="7">
        <v>45769.77363175898</v>
      </c>
      <c r="G950" s="3" t="s">
        <v>3960</v>
      </c>
    </row>
    <row r="951">
      <c r="A951" s="3" t="s">
        <v>3961</v>
      </c>
      <c r="B951" s="3" t="s">
        <v>1571</v>
      </c>
      <c r="C951" s="5" t="s">
        <v>221</v>
      </c>
      <c r="D951" s="3" t="s">
        <v>614</v>
      </c>
      <c r="E951" s="3" t="s">
        <v>118</v>
      </c>
      <c r="F951" s="7">
        <v>45769.7771039812</v>
      </c>
      <c r="G951" s="3" t="s">
        <v>3963</v>
      </c>
    </row>
    <row r="952">
      <c r="A952" s="3" t="s">
        <v>3964</v>
      </c>
      <c r="B952" s="3" t="s">
        <v>1571</v>
      </c>
      <c r="C952" s="5" t="s">
        <v>614</v>
      </c>
      <c r="D952" s="3" t="s">
        <v>206</v>
      </c>
      <c r="E952" s="3" t="s">
        <v>100</v>
      </c>
      <c r="F952" s="7">
        <v>45769.780576203426</v>
      </c>
      <c r="G952" s="3" t="s">
        <v>3966</v>
      </c>
    </row>
    <row r="953">
      <c r="A953" s="3" t="s">
        <v>3967</v>
      </c>
      <c r="B953" s="3" t="s">
        <v>1571</v>
      </c>
      <c r="C953" s="5" t="s">
        <v>206</v>
      </c>
      <c r="D953" s="3" t="s">
        <v>68</v>
      </c>
      <c r="E953" s="3" t="s">
        <v>100</v>
      </c>
      <c r="F953" s="7">
        <v>45769.784048425645</v>
      </c>
      <c r="G953" s="3" t="s">
        <v>3969</v>
      </c>
    </row>
    <row r="954">
      <c r="A954" s="3" t="s">
        <v>3970</v>
      </c>
      <c r="B954" s="3" t="s">
        <v>1574</v>
      </c>
      <c r="C954" s="5" t="s">
        <v>45</v>
      </c>
      <c r="D954" s="3" t="s">
        <v>221</v>
      </c>
      <c r="E954" s="3" t="s">
        <v>380</v>
      </c>
      <c r="F954" s="7">
        <v>45769.84480660439</v>
      </c>
      <c r="G954" s="3" t="s">
        <v>3972</v>
      </c>
    </row>
    <row r="955">
      <c r="A955" s="3" t="s">
        <v>3973</v>
      </c>
      <c r="B955" s="3" t="s">
        <v>1574</v>
      </c>
      <c r="C955" s="5" t="s">
        <v>221</v>
      </c>
      <c r="D955" s="3" t="s">
        <v>614</v>
      </c>
      <c r="E955" s="3" t="s">
        <v>118</v>
      </c>
      <c r="F955" s="7">
        <v>45769.84827882661</v>
      </c>
      <c r="G955" s="3" t="s">
        <v>3975</v>
      </c>
    </row>
    <row r="956">
      <c r="A956" s="3" t="s">
        <v>3977</v>
      </c>
      <c r="B956" s="3" t="s">
        <v>1574</v>
      </c>
      <c r="C956" s="5" t="s">
        <v>614</v>
      </c>
      <c r="D956" s="3" t="s">
        <v>206</v>
      </c>
      <c r="E956" s="3" t="s">
        <v>100</v>
      </c>
      <c r="F956" s="7">
        <v>45769.85175104884</v>
      </c>
      <c r="G956" s="3" t="s">
        <v>3978</v>
      </c>
    </row>
    <row r="957">
      <c r="A957" s="3" t="s">
        <v>3980</v>
      </c>
      <c r="B957" s="3" t="s">
        <v>1574</v>
      </c>
      <c r="C957" s="5" t="s">
        <v>206</v>
      </c>
      <c r="D957" s="3" t="s">
        <v>68</v>
      </c>
      <c r="E957" s="3" t="s">
        <v>100</v>
      </c>
      <c r="F957" s="7">
        <v>45769.85522327106</v>
      </c>
      <c r="G957" s="3" t="s">
        <v>3981</v>
      </c>
    </row>
    <row r="958">
      <c r="A958" s="3" t="s">
        <v>3983</v>
      </c>
      <c r="B958" s="3" t="s">
        <v>1578</v>
      </c>
      <c r="C958" s="5" t="s">
        <v>45</v>
      </c>
      <c r="D958" s="3" t="s">
        <v>221</v>
      </c>
      <c r="E958" s="3" t="s">
        <v>130</v>
      </c>
      <c r="F958" s="7">
        <v>45769.915981449805</v>
      </c>
      <c r="G958" s="3" t="s">
        <v>3984</v>
      </c>
    </row>
    <row r="959">
      <c r="A959" s="3" t="s">
        <v>3986</v>
      </c>
      <c r="B959" s="3" t="s">
        <v>1578</v>
      </c>
      <c r="C959" s="5" t="s">
        <v>221</v>
      </c>
      <c r="D959" s="3" t="s">
        <v>614</v>
      </c>
      <c r="E959" s="3" t="s">
        <v>118</v>
      </c>
      <c r="F959" s="7">
        <v>45769.919453672024</v>
      </c>
      <c r="G959" s="3" t="s">
        <v>3987</v>
      </c>
    </row>
    <row r="960">
      <c r="A960" s="3" t="s">
        <v>3988</v>
      </c>
      <c r="B960" s="3" t="s">
        <v>1578</v>
      </c>
      <c r="C960" s="5" t="s">
        <v>614</v>
      </c>
      <c r="D960" s="3" t="s">
        <v>206</v>
      </c>
      <c r="E960" s="3" t="s">
        <v>100</v>
      </c>
      <c r="F960" s="7">
        <v>45769.92292589425</v>
      </c>
      <c r="G960" s="3" t="s">
        <v>3990</v>
      </c>
    </row>
    <row r="961">
      <c r="A961" s="3" t="s">
        <v>3991</v>
      </c>
      <c r="B961" s="3" t="s">
        <v>1578</v>
      </c>
      <c r="C961" s="5" t="s">
        <v>206</v>
      </c>
      <c r="D961" s="3" t="s">
        <v>68</v>
      </c>
      <c r="E961" s="3" t="s">
        <v>100</v>
      </c>
      <c r="F961" s="7">
        <v>45769.92639811647</v>
      </c>
      <c r="G961" s="3" t="s">
        <v>3993</v>
      </c>
    </row>
    <row r="962">
      <c r="A962" s="3" t="s">
        <v>3994</v>
      </c>
      <c r="B962" s="3" t="s">
        <v>1582</v>
      </c>
      <c r="C962" s="5" t="s">
        <v>45</v>
      </c>
      <c r="D962" s="3" t="s">
        <v>221</v>
      </c>
      <c r="E962" s="3" t="s">
        <v>493</v>
      </c>
      <c r="F962" s="7">
        <v>45769.987156295225</v>
      </c>
      <c r="G962" s="3" t="s">
        <v>3996</v>
      </c>
    </row>
    <row r="963">
      <c r="A963" s="3" t="s">
        <v>3997</v>
      </c>
      <c r="B963" s="3" t="s">
        <v>1582</v>
      </c>
      <c r="C963" s="5" t="s">
        <v>221</v>
      </c>
      <c r="D963" s="3" t="s">
        <v>614</v>
      </c>
      <c r="E963" s="3" t="s">
        <v>118</v>
      </c>
      <c r="F963" s="7">
        <v>45769.990628517444</v>
      </c>
      <c r="G963" s="3" t="s">
        <v>3999</v>
      </c>
    </row>
    <row r="964">
      <c r="A964" s="3" t="s">
        <v>4000</v>
      </c>
      <c r="B964" s="3" t="s">
        <v>1582</v>
      </c>
      <c r="C964" s="5" t="s">
        <v>614</v>
      </c>
      <c r="D964" s="3" t="s">
        <v>206</v>
      </c>
      <c r="E964" s="3" t="s">
        <v>100</v>
      </c>
      <c r="F964" s="7">
        <v>45769.99410073967</v>
      </c>
      <c r="G964" s="3" t="s">
        <v>4002</v>
      </c>
    </row>
    <row r="965">
      <c r="A965" s="3" t="s">
        <v>4003</v>
      </c>
      <c r="B965" s="3" t="s">
        <v>1582</v>
      </c>
      <c r="C965" s="5" t="s">
        <v>206</v>
      </c>
      <c r="D965" s="3" t="s">
        <v>68</v>
      </c>
      <c r="E965" s="3" t="s">
        <v>100</v>
      </c>
      <c r="F965" s="7">
        <v>45769.99757296189</v>
      </c>
      <c r="G965" s="3" t="s">
        <v>4005</v>
      </c>
    </row>
    <row r="966">
      <c r="A966" s="3" t="s">
        <v>4006</v>
      </c>
      <c r="B966" s="3" t="s">
        <v>1585</v>
      </c>
      <c r="C966" s="5" t="s">
        <v>45</v>
      </c>
      <c r="D966" s="3" t="s">
        <v>221</v>
      </c>
      <c r="E966" s="3" t="s">
        <v>980</v>
      </c>
      <c r="F966" s="7">
        <v>45770.05833114064</v>
      </c>
      <c r="G966" s="3" t="s">
        <v>4007</v>
      </c>
    </row>
    <row r="967">
      <c r="A967" s="3" t="s">
        <v>4009</v>
      </c>
      <c r="B967" s="3" t="s">
        <v>1585</v>
      </c>
      <c r="C967" s="5" t="s">
        <v>221</v>
      </c>
      <c r="D967" s="3" t="s">
        <v>614</v>
      </c>
      <c r="E967" s="3" t="s">
        <v>118</v>
      </c>
      <c r="F967" s="7">
        <v>45770.061803362856</v>
      </c>
      <c r="G967" s="3" t="s">
        <v>4010</v>
      </c>
    </row>
    <row r="968">
      <c r="A968" s="3" t="s">
        <v>4012</v>
      </c>
      <c r="B968" s="3" t="s">
        <v>1585</v>
      </c>
      <c r="C968" s="5" t="s">
        <v>614</v>
      </c>
      <c r="D968" s="3" t="s">
        <v>206</v>
      </c>
      <c r="E968" s="3" t="s">
        <v>100</v>
      </c>
      <c r="F968" s="7">
        <v>45770.06527558508</v>
      </c>
      <c r="G968" s="3" t="s">
        <v>4013</v>
      </c>
    </row>
    <row r="969">
      <c r="A969" s="3" t="s">
        <v>4014</v>
      </c>
      <c r="B969" s="3" t="s">
        <v>1585</v>
      </c>
      <c r="C969" s="5" t="s">
        <v>206</v>
      </c>
      <c r="D969" s="3" t="s">
        <v>68</v>
      </c>
      <c r="E969" s="3" t="s">
        <v>100</v>
      </c>
      <c r="F969" s="7">
        <v>45770.0687478073</v>
      </c>
      <c r="G969" s="3" t="s">
        <v>4016</v>
      </c>
    </row>
    <row r="970">
      <c r="A970" s="3" t="s">
        <v>4017</v>
      </c>
      <c r="B970" s="3" t="s">
        <v>1588</v>
      </c>
      <c r="C970" s="5" t="s">
        <v>45</v>
      </c>
      <c r="D970" s="3" t="s">
        <v>221</v>
      </c>
      <c r="E970" s="3" t="s">
        <v>250</v>
      </c>
      <c r="F970" s="7">
        <v>45770.12950598605</v>
      </c>
      <c r="G970" s="3" t="s">
        <v>4019</v>
      </c>
    </row>
    <row r="971">
      <c r="A971" s="3" t="s">
        <v>4020</v>
      </c>
      <c r="B971" s="3" t="s">
        <v>1588</v>
      </c>
      <c r="C971" s="5" t="s">
        <v>221</v>
      </c>
      <c r="D971" s="3" t="s">
        <v>614</v>
      </c>
      <c r="E971" s="3" t="s">
        <v>118</v>
      </c>
      <c r="F971" s="7">
        <v>45770.13297820827</v>
      </c>
      <c r="G971" s="3" t="s">
        <v>4022</v>
      </c>
    </row>
    <row r="972">
      <c r="A972" s="3" t="s">
        <v>4023</v>
      </c>
      <c r="B972" s="3" t="s">
        <v>1588</v>
      </c>
      <c r="C972" s="5" t="s">
        <v>614</v>
      </c>
      <c r="D972" s="3" t="s">
        <v>206</v>
      </c>
      <c r="E972" s="3" t="s">
        <v>100</v>
      </c>
      <c r="F972" s="7">
        <v>45770.136450430495</v>
      </c>
      <c r="G972" s="3" t="s">
        <v>4025</v>
      </c>
    </row>
    <row r="973">
      <c r="A973" s="3" t="s">
        <v>4026</v>
      </c>
      <c r="B973" s="3" t="s">
        <v>1588</v>
      </c>
      <c r="C973" s="5" t="s">
        <v>206</v>
      </c>
      <c r="D973" s="3" t="s">
        <v>68</v>
      </c>
      <c r="E973" s="3" t="s">
        <v>100</v>
      </c>
      <c r="F973" s="7">
        <v>45770.139922652714</v>
      </c>
      <c r="G973" s="3" t="s">
        <v>4028</v>
      </c>
    </row>
    <row r="974">
      <c r="A974" s="3" t="s">
        <v>4029</v>
      </c>
      <c r="B974" s="3" t="s">
        <v>1592</v>
      </c>
      <c r="C974" s="5" t="s">
        <v>45</v>
      </c>
      <c r="D974" s="3" t="s">
        <v>221</v>
      </c>
      <c r="E974" s="3" t="s">
        <v>535</v>
      </c>
      <c r="F974" s="7">
        <v>45770.20068083147</v>
      </c>
      <c r="G974" s="3" t="s">
        <v>4031</v>
      </c>
    </row>
    <row r="975">
      <c r="A975" s="3" t="s">
        <v>4032</v>
      </c>
      <c r="B975" s="3" t="s">
        <v>1592</v>
      </c>
      <c r="C975" s="5" t="s">
        <v>221</v>
      </c>
      <c r="D975" s="3" t="s">
        <v>614</v>
      </c>
      <c r="E975" s="3" t="s">
        <v>118</v>
      </c>
      <c r="F975" s="7">
        <v>45770.20415305369</v>
      </c>
      <c r="G975" s="3" t="s">
        <v>4034</v>
      </c>
    </row>
    <row r="976">
      <c r="A976" s="3" t="s">
        <v>4035</v>
      </c>
      <c r="B976" s="3" t="s">
        <v>1592</v>
      </c>
      <c r="C976" s="5" t="s">
        <v>614</v>
      </c>
      <c r="D976" s="3" t="s">
        <v>206</v>
      </c>
      <c r="E976" s="3" t="s">
        <v>100</v>
      </c>
      <c r="F976" s="7">
        <v>45770.207625275914</v>
      </c>
      <c r="G976" s="3" t="s">
        <v>4037</v>
      </c>
    </row>
    <row r="977">
      <c r="A977" s="3" t="s">
        <v>4038</v>
      </c>
      <c r="B977" s="3" t="s">
        <v>1592</v>
      </c>
      <c r="C977" s="5" t="s">
        <v>206</v>
      </c>
      <c r="D977" s="3" t="s">
        <v>68</v>
      </c>
      <c r="E977" s="3" t="s">
        <v>100</v>
      </c>
      <c r="F977" s="7">
        <v>45770.21109749813</v>
      </c>
      <c r="G977" s="3" t="s">
        <v>4040</v>
      </c>
    </row>
    <row r="978">
      <c r="A978" s="3" t="s">
        <v>4041</v>
      </c>
      <c r="B978" s="3" t="s">
        <v>1596</v>
      </c>
      <c r="C978" s="5" t="s">
        <v>45</v>
      </c>
      <c r="D978" s="3" t="s">
        <v>221</v>
      </c>
      <c r="E978" s="3" t="s">
        <v>272</v>
      </c>
      <c r="F978" s="7">
        <v>45770.27185567688</v>
      </c>
      <c r="G978" s="3" t="s">
        <v>4043</v>
      </c>
    </row>
    <row r="979">
      <c r="A979" s="3" t="s">
        <v>4044</v>
      </c>
      <c r="B979" s="3" t="s">
        <v>1596</v>
      </c>
      <c r="C979" s="5" t="s">
        <v>221</v>
      </c>
      <c r="D979" s="3" t="s">
        <v>614</v>
      </c>
      <c r="E979" s="3" t="s">
        <v>118</v>
      </c>
      <c r="F979" s="7">
        <v>45770.2753278991</v>
      </c>
      <c r="G979" s="3" t="s">
        <v>4046</v>
      </c>
    </row>
    <row r="980">
      <c r="A980" s="3" t="s">
        <v>4047</v>
      </c>
      <c r="B980" s="3" t="s">
        <v>1596</v>
      </c>
      <c r="C980" s="5" t="s">
        <v>614</v>
      </c>
      <c r="D980" s="3" t="s">
        <v>206</v>
      </c>
      <c r="E980" s="3" t="s">
        <v>100</v>
      </c>
      <c r="F980" s="7">
        <v>45770.27880012133</v>
      </c>
      <c r="G980" s="3" t="s">
        <v>4049</v>
      </c>
    </row>
    <row r="981">
      <c r="A981" s="3" t="s">
        <v>4050</v>
      </c>
      <c r="B981" s="3" t="s">
        <v>1596</v>
      </c>
      <c r="C981" s="5" t="s">
        <v>206</v>
      </c>
      <c r="D981" s="3" t="s">
        <v>68</v>
      </c>
      <c r="E981" s="3" t="s">
        <v>100</v>
      </c>
      <c r="F981" s="7">
        <v>45770.282272343546</v>
      </c>
      <c r="G981" s="3" t="s">
        <v>4051</v>
      </c>
    </row>
    <row r="982">
      <c r="A982" s="3" t="s">
        <v>4053</v>
      </c>
      <c r="B982" s="3" t="s">
        <v>1600</v>
      </c>
      <c r="C982" s="5" t="s">
        <v>45</v>
      </c>
      <c r="D982" s="3" t="s">
        <v>221</v>
      </c>
      <c r="E982" s="3" t="s">
        <v>1037</v>
      </c>
      <c r="F982" s="7">
        <v>45770.343030522294</v>
      </c>
      <c r="G982" s="3" t="s">
        <v>4054</v>
      </c>
    </row>
    <row r="983">
      <c r="A983" s="3" t="s">
        <v>4055</v>
      </c>
      <c r="B983" s="3" t="s">
        <v>1600</v>
      </c>
      <c r="C983" s="5" t="s">
        <v>221</v>
      </c>
      <c r="D983" s="3" t="s">
        <v>614</v>
      </c>
      <c r="E983" s="3" t="s">
        <v>118</v>
      </c>
      <c r="F983" s="7">
        <v>45770.34650274451</v>
      </c>
      <c r="G983" s="3" t="s">
        <v>4057</v>
      </c>
    </row>
    <row r="984">
      <c r="A984" s="3" t="s">
        <v>4058</v>
      </c>
      <c r="B984" s="3" t="s">
        <v>1600</v>
      </c>
      <c r="C984" s="5" t="s">
        <v>614</v>
      </c>
      <c r="D984" s="3" t="s">
        <v>206</v>
      </c>
      <c r="E984" s="3" t="s">
        <v>100</v>
      </c>
      <c r="F984" s="7">
        <v>45770.34997496674</v>
      </c>
      <c r="G984" s="3" t="s">
        <v>4060</v>
      </c>
    </row>
    <row r="985">
      <c r="A985" s="3" t="s">
        <v>4061</v>
      </c>
      <c r="B985" s="3" t="s">
        <v>1600</v>
      </c>
      <c r="C985" s="5" t="s">
        <v>206</v>
      </c>
      <c r="D985" s="3" t="s">
        <v>68</v>
      </c>
      <c r="E985" s="3" t="s">
        <v>100</v>
      </c>
      <c r="F985" s="7">
        <v>45770.35344718896</v>
      </c>
      <c r="G985" s="3" t="s">
        <v>4063</v>
      </c>
    </row>
    <row r="986">
      <c r="A986" s="3" t="s">
        <v>4064</v>
      </c>
      <c r="B986" s="3" t="s">
        <v>1604</v>
      </c>
      <c r="C986" s="5" t="s">
        <v>45</v>
      </c>
      <c r="D986" s="3" t="s">
        <v>221</v>
      </c>
      <c r="E986" s="3" t="s">
        <v>920</v>
      </c>
      <c r="F986" s="7">
        <v>45770.41420536771</v>
      </c>
      <c r="G986" s="3" t="s">
        <v>4066</v>
      </c>
    </row>
    <row r="987">
      <c r="A987" s="3" t="s">
        <v>4067</v>
      </c>
      <c r="B987" s="3" t="s">
        <v>1604</v>
      </c>
      <c r="C987" s="5" t="s">
        <v>221</v>
      </c>
      <c r="D987" s="3" t="s">
        <v>614</v>
      </c>
      <c r="E987" s="3" t="s">
        <v>118</v>
      </c>
      <c r="F987" s="7">
        <v>45770.41767758993</v>
      </c>
      <c r="G987" s="3" t="s">
        <v>4069</v>
      </c>
    </row>
    <row r="988">
      <c r="A988" s="3" t="s">
        <v>4070</v>
      </c>
      <c r="B988" s="3" t="s">
        <v>1604</v>
      </c>
      <c r="C988" s="5" t="s">
        <v>614</v>
      </c>
      <c r="D988" s="3" t="s">
        <v>206</v>
      </c>
      <c r="E988" s="3" t="s">
        <v>100</v>
      </c>
      <c r="F988" s="7">
        <v>45770.42114981216</v>
      </c>
      <c r="G988" s="3" t="s">
        <v>4072</v>
      </c>
    </row>
    <row r="989">
      <c r="A989" s="3" t="s">
        <v>4073</v>
      </c>
      <c r="B989" s="3" t="s">
        <v>1604</v>
      </c>
      <c r="C989" s="5" t="s">
        <v>206</v>
      </c>
      <c r="D989" s="3" t="s">
        <v>68</v>
      </c>
      <c r="E989" s="3" t="s">
        <v>100</v>
      </c>
      <c r="F989" s="7">
        <v>45770.42462203438</v>
      </c>
      <c r="G989" s="3" t="s">
        <v>4075</v>
      </c>
    </row>
    <row r="990">
      <c r="A990" s="3" t="s">
        <v>4076</v>
      </c>
      <c r="B990" s="3" t="s">
        <v>1607</v>
      </c>
      <c r="C990" s="5" t="s">
        <v>45</v>
      </c>
      <c r="D990" s="3" t="s">
        <v>221</v>
      </c>
      <c r="E990" s="3" t="s">
        <v>266</v>
      </c>
      <c r="F990" s="7">
        <v>45770.485380213126</v>
      </c>
      <c r="G990" s="3" t="s">
        <v>4078</v>
      </c>
    </row>
    <row r="991">
      <c r="A991" s="3" t="s">
        <v>4079</v>
      </c>
      <c r="B991" s="3" t="s">
        <v>1607</v>
      </c>
      <c r="C991" s="5" t="s">
        <v>221</v>
      </c>
      <c r="D991" s="3" t="s">
        <v>614</v>
      </c>
      <c r="E991" s="3" t="s">
        <v>118</v>
      </c>
      <c r="F991" s="7">
        <v>45770.488852435345</v>
      </c>
      <c r="G991" s="3" t="s">
        <v>4080</v>
      </c>
    </row>
    <row r="992">
      <c r="A992" s="3" t="s">
        <v>4082</v>
      </c>
      <c r="B992" s="3" t="s">
        <v>1607</v>
      </c>
      <c r="C992" s="5" t="s">
        <v>614</v>
      </c>
      <c r="D992" s="3" t="s">
        <v>206</v>
      </c>
      <c r="E992" s="3" t="s">
        <v>100</v>
      </c>
      <c r="F992" s="7">
        <v>45770.49232465757</v>
      </c>
      <c r="G992" s="3" t="s">
        <v>4083</v>
      </c>
    </row>
    <row r="993">
      <c r="A993" s="3" t="s">
        <v>4084</v>
      </c>
      <c r="B993" s="3" t="s">
        <v>1607</v>
      </c>
      <c r="C993" s="5" t="s">
        <v>206</v>
      </c>
      <c r="D993" s="3" t="s">
        <v>68</v>
      </c>
      <c r="E993" s="3" t="s">
        <v>100</v>
      </c>
      <c r="F993" s="7">
        <v>45770.49579687979</v>
      </c>
      <c r="G993" s="3" t="s">
        <v>4086</v>
      </c>
    </row>
    <row r="994">
      <c r="A994" s="3" t="s">
        <v>4087</v>
      </c>
      <c r="B994" s="3" t="s">
        <v>1612</v>
      </c>
      <c r="C994" s="5" t="s">
        <v>45</v>
      </c>
      <c r="D994" s="3" t="s">
        <v>221</v>
      </c>
      <c r="E994" s="3" t="s">
        <v>524</v>
      </c>
      <c r="F994" s="7">
        <v>45770.55655505854</v>
      </c>
      <c r="G994" s="3" t="s">
        <v>4089</v>
      </c>
    </row>
    <row r="995">
      <c r="A995" s="3" t="s">
        <v>4090</v>
      </c>
      <c r="B995" s="3" t="s">
        <v>1612</v>
      </c>
      <c r="C995" s="5" t="s">
        <v>221</v>
      </c>
      <c r="D995" s="3" t="s">
        <v>614</v>
      </c>
      <c r="E995" s="3" t="s">
        <v>118</v>
      </c>
      <c r="F995" s="7">
        <v>45770.56002728076</v>
      </c>
      <c r="G995" s="3" t="s">
        <v>4092</v>
      </c>
    </row>
    <row r="996">
      <c r="A996" s="3" t="s">
        <v>4093</v>
      </c>
      <c r="B996" s="3" t="s">
        <v>1612</v>
      </c>
      <c r="C996" s="5" t="s">
        <v>614</v>
      </c>
      <c r="D996" s="3" t="s">
        <v>206</v>
      </c>
      <c r="E996" s="3" t="s">
        <v>100</v>
      </c>
      <c r="F996" s="7">
        <v>45770.56349950298</v>
      </c>
      <c r="G996" s="3" t="s">
        <v>4095</v>
      </c>
    </row>
    <row r="997">
      <c r="A997" s="3" t="s">
        <v>4096</v>
      </c>
      <c r="B997" s="3" t="s">
        <v>1612</v>
      </c>
      <c r="C997" s="5" t="s">
        <v>206</v>
      </c>
      <c r="D997" s="3" t="s">
        <v>68</v>
      </c>
      <c r="E997" s="3" t="s">
        <v>100</v>
      </c>
      <c r="F997" s="7">
        <v>45770.5669717252</v>
      </c>
      <c r="G997" s="3" t="s">
        <v>4098</v>
      </c>
    </row>
    <row r="998">
      <c r="A998" s="3" t="s">
        <v>4099</v>
      </c>
      <c r="B998" s="3" t="s">
        <v>1616</v>
      </c>
      <c r="C998" s="5" t="s">
        <v>45</v>
      </c>
      <c r="D998" s="3" t="s">
        <v>221</v>
      </c>
      <c r="E998" s="3" t="s">
        <v>462</v>
      </c>
      <c r="F998" s="7">
        <v>45770.62772990396</v>
      </c>
      <c r="G998" s="3" t="s">
        <v>4101</v>
      </c>
    </row>
    <row r="999">
      <c r="A999" s="3" t="s">
        <v>4102</v>
      </c>
      <c r="B999" s="3" t="s">
        <v>1616</v>
      </c>
      <c r="C999" s="5" t="s">
        <v>221</v>
      </c>
      <c r="D999" s="3" t="s">
        <v>614</v>
      </c>
      <c r="E999" s="3" t="s">
        <v>118</v>
      </c>
      <c r="F999" s="7">
        <v>45770.63120212618</v>
      </c>
      <c r="G999" s="3" t="s">
        <v>4104</v>
      </c>
    </row>
    <row r="1000">
      <c r="A1000" s="3" t="s">
        <v>4105</v>
      </c>
      <c r="B1000" s="3" t="s">
        <v>1616</v>
      </c>
      <c r="C1000" s="5" t="s">
        <v>614</v>
      </c>
      <c r="D1000" s="3" t="s">
        <v>206</v>
      </c>
      <c r="E1000" s="3" t="s">
        <v>100</v>
      </c>
      <c r="F1000" s="7">
        <v>45770.6346743484</v>
      </c>
      <c r="G1000" s="3" t="s">
        <v>4107</v>
      </c>
    </row>
    <row r="1001">
      <c r="A1001" s="3" t="s">
        <v>4108</v>
      </c>
      <c r="B1001" s="3" t="s">
        <v>1616</v>
      </c>
      <c r="C1001" s="5" t="s">
        <v>206</v>
      </c>
      <c r="D1001" s="3" t="s">
        <v>68</v>
      </c>
      <c r="E1001" s="3" t="s">
        <v>100</v>
      </c>
      <c r="F1001" s="7">
        <v>45770.63814657062</v>
      </c>
      <c r="G1001" s="3" t="s">
        <v>4110</v>
      </c>
    </row>
    <row r="1002">
      <c r="A1002" s="3" t="s">
        <v>4111</v>
      </c>
      <c r="B1002" s="3" t="s">
        <v>1620</v>
      </c>
      <c r="C1002" s="5" t="s">
        <v>45</v>
      </c>
      <c r="D1002" s="3" t="s">
        <v>221</v>
      </c>
      <c r="E1002" s="3" t="s">
        <v>565</v>
      </c>
      <c r="F1002" s="7">
        <v>45770.69890474938</v>
      </c>
      <c r="G1002" s="3" t="s">
        <v>4113</v>
      </c>
    </row>
    <row r="1003">
      <c r="A1003" s="3" t="s">
        <v>4114</v>
      </c>
      <c r="B1003" s="3" t="s">
        <v>1620</v>
      </c>
      <c r="C1003" s="5" t="s">
        <v>221</v>
      </c>
      <c r="D1003" s="3" t="s">
        <v>614</v>
      </c>
      <c r="E1003" s="3" t="s">
        <v>118</v>
      </c>
      <c r="F1003" s="7">
        <v>45770.702376971596</v>
      </c>
      <c r="G1003" s="3" t="s">
        <v>4116</v>
      </c>
    </row>
    <row r="1004">
      <c r="A1004" s="3" t="s">
        <v>4117</v>
      </c>
      <c r="B1004" s="3" t="s">
        <v>1620</v>
      </c>
      <c r="C1004" s="5" t="s">
        <v>614</v>
      </c>
      <c r="D1004" s="3" t="s">
        <v>206</v>
      </c>
      <c r="E1004" s="3" t="s">
        <v>100</v>
      </c>
      <c r="F1004" s="7">
        <v>45770.70584919382</v>
      </c>
      <c r="G1004" s="3" t="s">
        <v>4119</v>
      </c>
    </row>
    <row r="1005">
      <c r="A1005" s="3" t="s">
        <v>4120</v>
      </c>
      <c r="B1005" s="3" t="s">
        <v>1620</v>
      </c>
      <c r="C1005" s="5" t="s">
        <v>206</v>
      </c>
      <c r="D1005" s="3" t="s">
        <v>68</v>
      </c>
      <c r="E1005" s="3" t="s">
        <v>100</v>
      </c>
      <c r="F1005" s="7">
        <v>45770.70932141604</v>
      </c>
      <c r="G1005" s="3" t="s">
        <v>4121</v>
      </c>
    </row>
    <row r="1006">
      <c r="A1006" s="3" t="s">
        <v>4123</v>
      </c>
      <c r="B1006" s="3" t="s">
        <v>1624</v>
      </c>
      <c r="C1006" s="5" t="s">
        <v>45</v>
      </c>
      <c r="D1006" s="3" t="s">
        <v>221</v>
      </c>
      <c r="E1006" s="3" t="s">
        <v>972</v>
      </c>
      <c r="F1006" s="7">
        <v>45770.77007959479</v>
      </c>
      <c r="G1006" s="3" t="s">
        <v>4124</v>
      </c>
    </row>
    <row r="1007">
      <c r="A1007" s="3" t="s">
        <v>4126</v>
      </c>
      <c r="B1007" s="3" t="s">
        <v>1624</v>
      </c>
      <c r="C1007" s="5" t="s">
        <v>221</v>
      </c>
      <c r="D1007" s="3" t="s">
        <v>614</v>
      </c>
      <c r="E1007" s="3" t="s">
        <v>118</v>
      </c>
      <c r="F1007" s="7">
        <v>45770.77355181701</v>
      </c>
      <c r="G1007" s="3" t="s">
        <v>4127</v>
      </c>
    </row>
    <row r="1008">
      <c r="A1008" s="3" t="s">
        <v>4128</v>
      </c>
      <c r="B1008" s="3" t="s">
        <v>1624</v>
      </c>
      <c r="C1008" s="5" t="s">
        <v>614</v>
      </c>
      <c r="D1008" s="3" t="s">
        <v>206</v>
      </c>
      <c r="E1008" s="3" t="s">
        <v>100</v>
      </c>
      <c r="F1008" s="7">
        <v>45770.777024039235</v>
      </c>
      <c r="G1008" s="3" t="s">
        <v>4130</v>
      </c>
    </row>
    <row r="1009">
      <c r="A1009" s="3" t="s">
        <v>4131</v>
      </c>
      <c r="B1009" s="3" t="s">
        <v>1624</v>
      </c>
      <c r="C1009" s="5" t="s">
        <v>206</v>
      </c>
      <c r="D1009" s="3" t="s">
        <v>68</v>
      </c>
      <c r="E1009" s="3" t="s">
        <v>100</v>
      </c>
      <c r="F1009" s="7">
        <v>45770.780496261454</v>
      </c>
      <c r="G1009" s="3" t="s">
        <v>4133</v>
      </c>
    </row>
    <row r="1010">
      <c r="A1010" s="3" t="s">
        <v>4134</v>
      </c>
      <c r="B1010" s="3" t="s">
        <v>1626</v>
      </c>
      <c r="C1010" s="5" t="s">
        <v>45</v>
      </c>
      <c r="D1010" s="3" t="s">
        <v>221</v>
      </c>
      <c r="E1010" s="3" t="s">
        <v>310</v>
      </c>
      <c r="F1010" s="7">
        <v>45770.8412544402</v>
      </c>
      <c r="G1010" s="3" t="s">
        <v>4136</v>
      </c>
    </row>
    <row r="1011">
      <c r="A1011" s="3" t="s">
        <v>4137</v>
      </c>
      <c r="B1011" s="3" t="s">
        <v>1626</v>
      </c>
      <c r="C1011" s="5" t="s">
        <v>221</v>
      </c>
      <c r="D1011" s="3" t="s">
        <v>614</v>
      </c>
      <c r="E1011" s="3" t="s">
        <v>118</v>
      </c>
      <c r="F1011" s="7">
        <v>45770.84472666242</v>
      </c>
      <c r="G1011" s="3" t="s">
        <v>4138</v>
      </c>
    </row>
    <row r="1012">
      <c r="A1012" s="3" t="s">
        <v>4140</v>
      </c>
      <c r="B1012" s="3" t="s">
        <v>1626</v>
      </c>
      <c r="C1012" s="5" t="s">
        <v>614</v>
      </c>
      <c r="D1012" s="3" t="s">
        <v>206</v>
      </c>
      <c r="E1012" s="3" t="s">
        <v>100</v>
      </c>
      <c r="F1012" s="7">
        <v>45770.84819888465</v>
      </c>
      <c r="G1012" s="3" t="s">
        <v>4141</v>
      </c>
    </row>
    <row r="1013">
      <c r="A1013" s="3" t="s">
        <v>4143</v>
      </c>
      <c r="B1013" s="3" t="s">
        <v>1626</v>
      </c>
      <c r="C1013" s="5" t="s">
        <v>206</v>
      </c>
      <c r="D1013" s="3" t="s">
        <v>68</v>
      </c>
      <c r="E1013" s="3" t="s">
        <v>100</v>
      </c>
      <c r="F1013" s="7">
        <v>45770.851671106866</v>
      </c>
      <c r="G1013" s="3" t="s">
        <v>4144</v>
      </c>
    </row>
    <row r="1014">
      <c r="A1014" s="3" t="s">
        <v>4146</v>
      </c>
      <c r="B1014" s="3" t="s">
        <v>1630</v>
      </c>
      <c r="C1014" s="5" t="s">
        <v>45</v>
      </c>
      <c r="D1014" s="3" t="s">
        <v>221</v>
      </c>
      <c r="E1014" s="3" t="s">
        <v>586</v>
      </c>
      <c r="F1014" s="7">
        <v>45770.91242928562</v>
      </c>
      <c r="G1014" s="3" t="s">
        <v>2770</v>
      </c>
    </row>
    <row r="1015">
      <c r="A1015" s="3" t="s">
        <v>4147</v>
      </c>
      <c r="B1015" s="3" t="s">
        <v>1630</v>
      </c>
      <c r="C1015" s="5" t="s">
        <v>221</v>
      </c>
      <c r="D1015" s="3" t="s">
        <v>195</v>
      </c>
      <c r="E1015" s="3" t="s">
        <v>586</v>
      </c>
      <c r="F1015" s="7">
        <v>45770.91590150784</v>
      </c>
      <c r="G1015" s="3" t="s">
        <v>3055</v>
      </c>
    </row>
    <row r="1016">
      <c r="A1016" s="3" t="s">
        <v>4150</v>
      </c>
      <c r="B1016" s="3" t="s">
        <v>1632</v>
      </c>
      <c r="C1016" s="5" t="s">
        <v>45</v>
      </c>
      <c r="D1016" s="3" t="s">
        <v>221</v>
      </c>
      <c r="E1016" s="3" t="s">
        <v>224</v>
      </c>
      <c r="F1016" s="7">
        <v>45770.983604131034</v>
      </c>
      <c r="G1016" s="3" t="s">
        <v>4152</v>
      </c>
    </row>
    <row r="1017">
      <c r="A1017" s="3" t="s">
        <v>4153</v>
      </c>
      <c r="B1017" s="3" t="s">
        <v>1632</v>
      </c>
      <c r="C1017" s="5" t="s">
        <v>221</v>
      </c>
      <c r="D1017" s="3" t="s">
        <v>614</v>
      </c>
      <c r="E1017" s="3" t="s">
        <v>118</v>
      </c>
      <c r="F1017" s="7">
        <v>45770.98707635325</v>
      </c>
      <c r="G1017" s="3" t="s">
        <v>4155</v>
      </c>
    </row>
    <row r="1018">
      <c r="A1018" s="3" t="s">
        <v>4156</v>
      </c>
      <c r="B1018" s="3" t="s">
        <v>1632</v>
      </c>
      <c r="C1018" s="5" t="s">
        <v>614</v>
      </c>
      <c r="D1018" s="3" t="s">
        <v>206</v>
      </c>
      <c r="E1018" s="3" t="s">
        <v>100</v>
      </c>
      <c r="F1018" s="7">
        <v>45770.99054857548</v>
      </c>
      <c r="G1018" s="3" t="s">
        <v>4158</v>
      </c>
    </row>
    <row r="1019">
      <c r="A1019" s="3" t="s">
        <v>4159</v>
      </c>
      <c r="B1019" s="3" t="s">
        <v>1632</v>
      </c>
      <c r="C1019" s="5" t="s">
        <v>206</v>
      </c>
      <c r="D1019" s="3" t="s">
        <v>68</v>
      </c>
      <c r="E1019" s="3" t="s">
        <v>100</v>
      </c>
      <c r="F1019" s="7">
        <v>45770.9940207977</v>
      </c>
      <c r="G1019" s="3" t="s">
        <v>4161</v>
      </c>
    </row>
    <row r="1020">
      <c r="A1020" s="3" t="s">
        <v>4162</v>
      </c>
      <c r="B1020" s="3" t="s">
        <v>1635</v>
      </c>
      <c r="C1020" s="5" t="s">
        <v>45</v>
      </c>
      <c r="D1020" s="3" t="s">
        <v>221</v>
      </c>
      <c r="E1020" s="3" t="s">
        <v>926</v>
      </c>
      <c r="F1020" s="7">
        <v>45771.054778976446</v>
      </c>
      <c r="G1020" s="3" t="s">
        <v>4164</v>
      </c>
    </row>
    <row r="1021">
      <c r="A1021" s="3" t="s">
        <v>4165</v>
      </c>
      <c r="B1021" s="3" t="s">
        <v>1635</v>
      </c>
      <c r="C1021" s="5" t="s">
        <v>221</v>
      </c>
      <c r="D1021" s="3" t="s">
        <v>614</v>
      </c>
      <c r="E1021" s="3" t="s">
        <v>118</v>
      </c>
      <c r="F1021" s="7">
        <v>45771.058251198665</v>
      </c>
      <c r="G1021" s="3" t="s">
        <v>4167</v>
      </c>
    </row>
    <row r="1022">
      <c r="A1022" s="3" t="s">
        <v>4168</v>
      </c>
      <c r="B1022" s="3" t="s">
        <v>1635</v>
      </c>
      <c r="C1022" s="5" t="s">
        <v>614</v>
      </c>
      <c r="D1022" s="3" t="s">
        <v>206</v>
      </c>
      <c r="E1022" s="3" t="s">
        <v>100</v>
      </c>
      <c r="F1022" s="7">
        <v>45771.06172342089</v>
      </c>
      <c r="G1022" s="3" t="s">
        <v>4169</v>
      </c>
    </row>
    <row r="1023">
      <c r="A1023" s="3" t="s">
        <v>4171</v>
      </c>
      <c r="B1023" s="3" t="s">
        <v>1635</v>
      </c>
      <c r="C1023" s="5" t="s">
        <v>206</v>
      </c>
      <c r="D1023" s="3" t="s">
        <v>68</v>
      </c>
      <c r="E1023" s="3" t="s">
        <v>100</v>
      </c>
      <c r="F1023" s="7">
        <v>45771.06519564311</v>
      </c>
      <c r="G1023" s="3" t="s">
        <v>4172</v>
      </c>
    </row>
    <row r="1024">
      <c r="A1024" s="3" t="s">
        <v>4173</v>
      </c>
      <c r="B1024" s="3" t="s">
        <v>1639</v>
      </c>
      <c r="C1024" s="5" t="s">
        <v>45</v>
      </c>
      <c r="D1024" s="3" t="s">
        <v>221</v>
      </c>
      <c r="E1024" s="3" t="s">
        <v>449</v>
      </c>
      <c r="F1024" s="7">
        <v>45771.125953821866</v>
      </c>
      <c r="G1024" s="3" t="s">
        <v>4175</v>
      </c>
    </row>
    <row r="1025">
      <c r="A1025" s="3" t="s">
        <v>4176</v>
      </c>
      <c r="B1025" s="3" t="s">
        <v>1639</v>
      </c>
      <c r="C1025" s="5" t="s">
        <v>221</v>
      </c>
      <c r="D1025" s="3" t="s">
        <v>614</v>
      </c>
      <c r="E1025" s="3" t="s">
        <v>118</v>
      </c>
      <c r="F1025" s="7">
        <v>45771.129426044085</v>
      </c>
      <c r="G1025" s="3" t="s">
        <v>4178</v>
      </c>
    </row>
    <row r="1026">
      <c r="A1026" s="3" t="s">
        <v>4179</v>
      </c>
      <c r="B1026" s="3" t="s">
        <v>1639</v>
      </c>
      <c r="C1026" s="5" t="s">
        <v>614</v>
      </c>
      <c r="D1026" s="3" t="s">
        <v>206</v>
      </c>
      <c r="E1026" s="3" t="s">
        <v>100</v>
      </c>
      <c r="F1026" s="7">
        <v>45771.13289826631</v>
      </c>
      <c r="G1026" s="3" t="s">
        <v>4181</v>
      </c>
    </row>
    <row r="1027">
      <c r="A1027" s="3" t="s">
        <v>4182</v>
      </c>
      <c r="B1027" s="3" t="s">
        <v>1639</v>
      </c>
      <c r="C1027" s="5" t="s">
        <v>206</v>
      </c>
      <c r="D1027" s="3" t="s">
        <v>68</v>
      </c>
      <c r="E1027" s="3" t="s">
        <v>100</v>
      </c>
      <c r="F1027" s="7">
        <v>45771.13637048853</v>
      </c>
      <c r="G1027" s="3" t="s">
        <v>4184</v>
      </c>
    </row>
    <row r="1028">
      <c r="A1028" s="3" t="s">
        <v>4185</v>
      </c>
      <c r="B1028" s="3" t="s">
        <v>1642</v>
      </c>
      <c r="C1028" s="5" t="s">
        <v>45</v>
      </c>
      <c r="D1028" s="3" t="s">
        <v>221</v>
      </c>
      <c r="E1028" s="3" t="s">
        <v>785</v>
      </c>
      <c r="F1028" s="7">
        <v>45771.19712866728</v>
      </c>
      <c r="G1028" s="3" t="s">
        <v>4187</v>
      </c>
    </row>
    <row r="1029">
      <c r="A1029" s="3" t="s">
        <v>4188</v>
      </c>
      <c r="B1029" s="3" t="s">
        <v>1642</v>
      </c>
      <c r="C1029" s="5" t="s">
        <v>221</v>
      </c>
      <c r="D1029" s="3" t="s">
        <v>195</v>
      </c>
      <c r="E1029" s="3" t="s">
        <v>785</v>
      </c>
      <c r="F1029" s="7">
        <v>45771.2006008895</v>
      </c>
      <c r="G1029" s="3" t="s">
        <v>4190</v>
      </c>
    </row>
    <row r="1030">
      <c r="A1030" s="3" t="s">
        <v>4192</v>
      </c>
      <c r="B1030" s="3" t="s">
        <v>1646</v>
      </c>
      <c r="C1030" s="5" t="s">
        <v>45</v>
      </c>
      <c r="D1030" s="3" t="s">
        <v>221</v>
      </c>
      <c r="E1030" s="3" t="s">
        <v>598</v>
      </c>
      <c r="F1030" s="7">
        <v>45771.26830351269</v>
      </c>
      <c r="G1030" s="3" t="s">
        <v>4193</v>
      </c>
    </row>
    <row r="1031">
      <c r="A1031" s="3" t="s">
        <v>4195</v>
      </c>
      <c r="B1031" s="3" t="s">
        <v>1646</v>
      </c>
      <c r="C1031" s="5" t="s">
        <v>221</v>
      </c>
      <c r="D1031" s="3" t="s">
        <v>614</v>
      </c>
      <c r="E1031" s="3" t="s">
        <v>118</v>
      </c>
      <c r="F1031" s="7">
        <v>45771.27177573491</v>
      </c>
      <c r="G1031" s="3" t="s">
        <v>4196</v>
      </c>
    </row>
    <row r="1032">
      <c r="A1032" s="3" t="s">
        <v>4197</v>
      </c>
      <c r="B1032" s="3" t="s">
        <v>1646</v>
      </c>
      <c r="C1032" s="5" t="s">
        <v>614</v>
      </c>
      <c r="D1032" s="3" t="s">
        <v>206</v>
      </c>
      <c r="E1032" s="3" t="s">
        <v>100</v>
      </c>
      <c r="F1032" s="7">
        <v>45771.275247957135</v>
      </c>
      <c r="G1032" s="3" t="s">
        <v>4199</v>
      </c>
    </row>
    <row r="1033">
      <c r="A1033" s="3" t="s">
        <v>4200</v>
      </c>
      <c r="B1033" s="3" t="s">
        <v>1646</v>
      </c>
      <c r="C1033" s="5" t="s">
        <v>206</v>
      </c>
      <c r="D1033" s="3" t="s">
        <v>68</v>
      </c>
      <c r="E1033" s="3" t="s">
        <v>100</v>
      </c>
      <c r="F1033" s="7">
        <v>45771.278720179354</v>
      </c>
      <c r="G1033" s="3" t="s">
        <v>4202</v>
      </c>
    </row>
    <row r="1034">
      <c r="A1034" s="3" t="s">
        <v>4203</v>
      </c>
      <c r="B1034" s="3" t="s">
        <v>1649</v>
      </c>
      <c r="C1034" s="5" t="s">
        <v>45</v>
      </c>
      <c r="D1034" s="3" t="s">
        <v>221</v>
      </c>
      <c r="E1034" s="3" t="s">
        <v>168</v>
      </c>
      <c r="F1034" s="7">
        <v>45771.33947835811</v>
      </c>
      <c r="G1034" s="3" t="s">
        <v>4205</v>
      </c>
    </row>
    <row r="1035">
      <c r="A1035" s="3" t="s">
        <v>4206</v>
      </c>
      <c r="B1035" s="3" t="s">
        <v>1649</v>
      </c>
      <c r="C1035" s="5" t="s">
        <v>221</v>
      </c>
      <c r="D1035" s="3" t="s">
        <v>614</v>
      </c>
      <c r="E1035" s="3" t="s">
        <v>118</v>
      </c>
      <c r="F1035" s="7">
        <v>45771.34295058033</v>
      </c>
      <c r="G1035" s="3" t="s">
        <v>4208</v>
      </c>
    </row>
    <row r="1036">
      <c r="A1036" s="3" t="s">
        <v>4209</v>
      </c>
      <c r="B1036" s="3" t="s">
        <v>1649</v>
      </c>
      <c r="C1036" s="5" t="s">
        <v>614</v>
      </c>
      <c r="D1036" s="3" t="s">
        <v>206</v>
      </c>
      <c r="E1036" s="3" t="s">
        <v>100</v>
      </c>
      <c r="F1036" s="7">
        <v>45771.346422802555</v>
      </c>
      <c r="G1036" s="3" t="s">
        <v>4211</v>
      </c>
    </row>
    <row r="1037">
      <c r="A1037" s="3" t="s">
        <v>4212</v>
      </c>
      <c r="B1037" s="3" t="s">
        <v>1649</v>
      </c>
      <c r="C1037" s="5" t="s">
        <v>206</v>
      </c>
      <c r="D1037" s="3" t="s">
        <v>68</v>
      </c>
      <c r="E1037" s="3" t="s">
        <v>100</v>
      </c>
      <c r="F1037" s="7">
        <v>45771.349895024774</v>
      </c>
      <c r="G1037" s="3" t="s">
        <v>4214</v>
      </c>
    </row>
    <row r="1038">
      <c r="A1038" s="3" t="s">
        <v>4215</v>
      </c>
      <c r="B1038" s="3" t="s">
        <v>1652</v>
      </c>
      <c r="C1038" s="5" t="s">
        <v>45</v>
      </c>
      <c r="D1038" s="3" t="s">
        <v>221</v>
      </c>
      <c r="E1038" s="3" t="s">
        <v>266</v>
      </c>
      <c r="F1038" s="7">
        <v>45771.41065320352</v>
      </c>
      <c r="G1038" s="3" t="s">
        <v>4217</v>
      </c>
    </row>
    <row r="1039">
      <c r="A1039" s="3" t="s">
        <v>4218</v>
      </c>
      <c r="B1039" s="3" t="s">
        <v>1652</v>
      </c>
      <c r="C1039" s="5" t="s">
        <v>221</v>
      </c>
      <c r="D1039" s="3" t="s">
        <v>614</v>
      </c>
      <c r="E1039" s="3" t="s">
        <v>118</v>
      </c>
      <c r="F1039" s="7">
        <v>45771.41412542574</v>
      </c>
      <c r="G1039" s="3" t="s">
        <v>4220</v>
      </c>
    </row>
    <row r="1040">
      <c r="A1040" s="3" t="s">
        <v>4221</v>
      </c>
      <c r="B1040" s="3" t="s">
        <v>1652</v>
      </c>
      <c r="C1040" s="5" t="s">
        <v>614</v>
      </c>
      <c r="D1040" s="3" t="s">
        <v>206</v>
      </c>
      <c r="E1040" s="3" t="s">
        <v>100</v>
      </c>
      <c r="F1040" s="7">
        <v>45771.41759764797</v>
      </c>
      <c r="G1040" s="3" t="s">
        <v>4222</v>
      </c>
    </row>
    <row r="1041">
      <c r="A1041" s="3" t="s">
        <v>4224</v>
      </c>
      <c r="B1041" s="3" t="s">
        <v>1652</v>
      </c>
      <c r="C1041" s="5" t="s">
        <v>206</v>
      </c>
      <c r="D1041" s="3" t="s">
        <v>68</v>
      </c>
      <c r="E1041" s="3" t="s">
        <v>100</v>
      </c>
      <c r="F1041" s="7">
        <v>45771.421069870186</v>
      </c>
      <c r="G1041" s="3" t="s">
        <v>4225</v>
      </c>
    </row>
    <row r="1042">
      <c r="A1042" s="3" t="s">
        <v>4227</v>
      </c>
      <c r="B1042" s="3" t="s">
        <v>1655</v>
      </c>
      <c r="C1042" s="5" t="s">
        <v>45</v>
      </c>
      <c r="D1042" s="3" t="s">
        <v>221</v>
      </c>
      <c r="E1042" s="3" t="s">
        <v>756</v>
      </c>
      <c r="F1042" s="7">
        <v>45771.481828048934</v>
      </c>
      <c r="G1042" s="3" t="s">
        <v>4228</v>
      </c>
    </row>
    <row r="1043">
      <c r="A1043" s="3" t="s">
        <v>4230</v>
      </c>
      <c r="B1043" s="3" t="s">
        <v>1655</v>
      </c>
      <c r="C1043" s="5" t="s">
        <v>221</v>
      </c>
      <c r="D1043" s="3" t="s">
        <v>614</v>
      </c>
      <c r="E1043" s="3" t="s">
        <v>118</v>
      </c>
      <c r="F1043" s="7">
        <v>45771.48530027115</v>
      </c>
      <c r="G1043" s="3" t="s">
        <v>4231</v>
      </c>
    </row>
    <row r="1044">
      <c r="A1044" s="3" t="s">
        <v>4232</v>
      </c>
      <c r="B1044" s="3" t="s">
        <v>1655</v>
      </c>
      <c r="C1044" s="5" t="s">
        <v>614</v>
      </c>
      <c r="D1044" s="3" t="s">
        <v>206</v>
      </c>
      <c r="E1044" s="3" t="s">
        <v>100</v>
      </c>
      <c r="F1044" s="7">
        <v>45771.48877249338</v>
      </c>
      <c r="G1044" s="3" t="s">
        <v>4234</v>
      </c>
    </row>
    <row r="1045">
      <c r="A1045" s="3" t="s">
        <v>4235</v>
      </c>
      <c r="B1045" s="3" t="s">
        <v>1655</v>
      </c>
      <c r="C1045" s="5" t="s">
        <v>206</v>
      </c>
      <c r="D1045" s="3" t="s">
        <v>68</v>
      </c>
      <c r="E1045" s="3" t="s">
        <v>100</v>
      </c>
      <c r="F1045" s="7">
        <v>45771.4922447156</v>
      </c>
      <c r="G1045" s="3" t="s">
        <v>4237</v>
      </c>
    </row>
    <row r="1046">
      <c r="A1046" s="3" t="s">
        <v>4238</v>
      </c>
      <c r="B1046" s="3" t="s">
        <v>1660</v>
      </c>
      <c r="C1046" s="5" t="s">
        <v>45</v>
      </c>
      <c r="D1046" s="3" t="s">
        <v>221</v>
      </c>
      <c r="E1046" s="3" t="s">
        <v>708</v>
      </c>
      <c r="F1046" s="7">
        <v>45771.553002894354</v>
      </c>
      <c r="G1046" s="3" t="s">
        <v>4240</v>
      </c>
    </row>
    <row r="1047">
      <c r="A1047" s="3" t="s">
        <v>4241</v>
      </c>
      <c r="B1047" s="3" t="s">
        <v>1660</v>
      </c>
      <c r="C1047" s="5" t="s">
        <v>221</v>
      </c>
      <c r="D1047" s="3" t="s">
        <v>614</v>
      </c>
      <c r="E1047" s="3" t="s">
        <v>118</v>
      </c>
      <c r="F1047" s="7">
        <v>45771.55647511657</v>
      </c>
      <c r="G1047" s="3" t="s">
        <v>4243</v>
      </c>
    </row>
    <row r="1048">
      <c r="A1048" s="3" t="s">
        <v>4244</v>
      </c>
      <c r="B1048" s="3" t="s">
        <v>1660</v>
      </c>
      <c r="C1048" s="5" t="s">
        <v>614</v>
      </c>
      <c r="D1048" s="3" t="s">
        <v>206</v>
      </c>
      <c r="E1048" s="3" t="s">
        <v>100</v>
      </c>
      <c r="F1048" s="7">
        <v>45771.5599473388</v>
      </c>
      <c r="G1048" s="3" t="s">
        <v>4246</v>
      </c>
    </row>
    <row r="1049">
      <c r="A1049" s="3" t="s">
        <v>4247</v>
      </c>
      <c r="B1049" s="3" t="s">
        <v>1660</v>
      </c>
      <c r="C1049" s="5" t="s">
        <v>206</v>
      </c>
      <c r="D1049" s="3" t="s">
        <v>68</v>
      </c>
      <c r="E1049" s="3" t="s">
        <v>100</v>
      </c>
      <c r="F1049" s="7">
        <v>45771.56341956102</v>
      </c>
      <c r="G1049" s="3" t="s">
        <v>4249</v>
      </c>
    </row>
    <row r="1050">
      <c r="A1050" s="3" t="s">
        <v>4250</v>
      </c>
      <c r="B1050" s="3" t="s">
        <v>1662</v>
      </c>
      <c r="C1050" s="5" t="s">
        <v>45</v>
      </c>
      <c r="D1050" s="3" t="s">
        <v>221</v>
      </c>
      <c r="E1050" s="3" t="s">
        <v>1049</v>
      </c>
      <c r="F1050" s="7">
        <v>45771.62417773977</v>
      </c>
      <c r="G1050" s="3" t="s">
        <v>4252</v>
      </c>
    </row>
    <row r="1051">
      <c r="A1051" s="3" t="s">
        <v>4253</v>
      </c>
      <c r="B1051" s="3" t="s">
        <v>1662</v>
      </c>
      <c r="C1051" s="5" t="s">
        <v>221</v>
      </c>
      <c r="D1051" s="3" t="s">
        <v>614</v>
      </c>
      <c r="E1051" s="3" t="s">
        <v>118</v>
      </c>
      <c r="F1051" s="7">
        <v>45771.62764996199</v>
      </c>
      <c r="G1051" s="3" t="s">
        <v>4255</v>
      </c>
    </row>
    <row r="1052">
      <c r="A1052" s="3" t="s">
        <v>4256</v>
      </c>
      <c r="B1052" s="3" t="s">
        <v>1662</v>
      </c>
      <c r="C1052" s="5" t="s">
        <v>614</v>
      </c>
      <c r="D1052" s="3" t="s">
        <v>206</v>
      </c>
      <c r="E1052" s="3" t="s">
        <v>100</v>
      </c>
      <c r="F1052" s="7">
        <v>45771.63112218422</v>
      </c>
      <c r="G1052" s="3" t="s">
        <v>4258</v>
      </c>
    </row>
    <row r="1053">
      <c r="A1053" s="3" t="s">
        <v>4259</v>
      </c>
      <c r="B1053" s="3" t="s">
        <v>1662</v>
      </c>
      <c r="C1053" s="5" t="s">
        <v>206</v>
      </c>
      <c r="D1053" s="3" t="s">
        <v>68</v>
      </c>
      <c r="E1053" s="3" t="s">
        <v>100</v>
      </c>
      <c r="F1053" s="7">
        <v>45771.63459440644</v>
      </c>
      <c r="G1053" s="3" t="s">
        <v>4261</v>
      </c>
    </row>
    <row r="1054">
      <c r="A1054" s="3" t="s">
        <v>4262</v>
      </c>
      <c r="B1054" s="3" t="s">
        <v>1665</v>
      </c>
      <c r="C1054" s="5" t="s">
        <v>45</v>
      </c>
      <c r="D1054" s="3" t="s">
        <v>221</v>
      </c>
      <c r="E1054" s="3" t="s">
        <v>993</v>
      </c>
      <c r="F1054" s="7">
        <v>45771.69535258518</v>
      </c>
      <c r="G1054" s="3" t="s">
        <v>4264</v>
      </c>
    </row>
    <row r="1055">
      <c r="A1055" s="3" t="s">
        <v>4265</v>
      </c>
      <c r="B1055" s="3" t="s">
        <v>1665</v>
      </c>
      <c r="C1055" s="5" t="s">
        <v>221</v>
      </c>
      <c r="D1055" s="3" t="s">
        <v>614</v>
      </c>
      <c r="E1055" s="3" t="s">
        <v>118</v>
      </c>
      <c r="F1055" s="7">
        <v>45771.6988248074</v>
      </c>
      <c r="G1055" s="3" t="s">
        <v>4267</v>
      </c>
    </row>
    <row r="1056">
      <c r="A1056" s="3" t="s">
        <v>4268</v>
      </c>
      <c r="B1056" s="3" t="s">
        <v>1665</v>
      </c>
      <c r="C1056" s="5" t="s">
        <v>614</v>
      </c>
      <c r="D1056" s="3" t="s">
        <v>206</v>
      </c>
      <c r="E1056" s="3" t="s">
        <v>100</v>
      </c>
      <c r="F1056" s="7">
        <v>45771.702297029624</v>
      </c>
      <c r="G1056" s="3" t="s">
        <v>4270</v>
      </c>
    </row>
    <row r="1057">
      <c r="A1057" s="3" t="s">
        <v>4271</v>
      </c>
      <c r="B1057" s="3" t="s">
        <v>1665</v>
      </c>
      <c r="C1057" s="5" t="s">
        <v>206</v>
      </c>
      <c r="D1057" s="3" t="s">
        <v>68</v>
      </c>
      <c r="E1057" s="3" t="s">
        <v>100</v>
      </c>
      <c r="F1057" s="7">
        <v>45771.70576925184</v>
      </c>
      <c r="G1057" s="3" t="s">
        <v>4273</v>
      </c>
    </row>
    <row r="1058">
      <c r="A1058" s="3" t="s">
        <v>4274</v>
      </c>
      <c r="B1058" s="3" t="s">
        <v>1668</v>
      </c>
      <c r="C1058" s="5" t="s">
        <v>45</v>
      </c>
      <c r="D1058" s="3" t="s">
        <v>221</v>
      </c>
      <c r="E1058" s="3" t="s">
        <v>186</v>
      </c>
      <c r="F1058" s="7">
        <v>45771.7665274306</v>
      </c>
      <c r="G1058" s="3" t="s">
        <v>4276</v>
      </c>
    </row>
    <row r="1059">
      <c r="A1059" s="3" t="s">
        <v>4277</v>
      </c>
      <c r="B1059" s="3" t="s">
        <v>1668</v>
      </c>
      <c r="C1059" s="5" t="s">
        <v>221</v>
      </c>
      <c r="D1059" s="3" t="s">
        <v>614</v>
      </c>
      <c r="E1059" s="3" t="s">
        <v>118</v>
      </c>
      <c r="F1059" s="7">
        <v>45771.76999965282</v>
      </c>
      <c r="G1059" s="3" t="s">
        <v>4278</v>
      </c>
    </row>
    <row r="1060">
      <c r="A1060" s="3" t="s">
        <v>4280</v>
      </c>
      <c r="B1060" s="3" t="s">
        <v>1668</v>
      </c>
      <c r="C1060" s="5" t="s">
        <v>614</v>
      </c>
      <c r="D1060" s="3" t="s">
        <v>206</v>
      </c>
      <c r="E1060" s="3" t="s">
        <v>100</v>
      </c>
      <c r="F1060" s="7">
        <v>45771.77347187504</v>
      </c>
      <c r="G1060" s="3" t="s">
        <v>4281</v>
      </c>
    </row>
    <row r="1061">
      <c r="A1061" s="3" t="s">
        <v>4282</v>
      </c>
      <c r="B1061" s="3" t="s">
        <v>1668</v>
      </c>
      <c r="C1061" s="5" t="s">
        <v>206</v>
      </c>
      <c r="D1061" s="3" t="s">
        <v>68</v>
      </c>
      <c r="E1061" s="3" t="s">
        <v>100</v>
      </c>
      <c r="F1061" s="7">
        <v>45771.77694409726</v>
      </c>
      <c r="G1061" s="3" t="s">
        <v>4284</v>
      </c>
    </row>
    <row r="1062">
      <c r="A1062" s="3" t="s">
        <v>4285</v>
      </c>
      <c r="B1062" s="3" t="s">
        <v>1672</v>
      </c>
      <c r="C1062" s="5" t="s">
        <v>45</v>
      </c>
      <c r="D1062" s="3" t="s">
        <v>221</v>
      </c>
      <c r="E1062" s="3" t="s">
        <v>460</v>
      </c>
      <c r="F1062" s="7">
        <v>45771.83770227602</v>
      </c>
      <c r="G1062" s="3" t="s">
        <v>4287</v>
      </c>
    </row>
    <row r="1063">
      <c r="A1063" s="3" t="s">
        <v>4288</v>
      </c>
      <c r="B1063" s="3" t="s">
        <v>1672</v>
      </c>
      <c r="C1063" s="5" t="s">
        <v>221</v>
      </c>
      <c r="D1063" s="3" t="s">
        <v>614</v>
      </c>
      <c r="E1063" s="3" t="s">
        <v>118</v>
      </c>
      <c r="F1063" s="7">
        <v>45771.84117449824</v>
      </c>
      <c r="G1063" s="3" t="s">
        <v>4290</v>
      </c>
    </row>
    <row r="1064">
      <c r="A1064" s="3" t="s">
        <v>4291</v>
      </c>
      <c r="B1064" s="3" t="s">
        <v>1672</v>
      </c>
      <c r="C1064" s="5" t="s">
        <v>614</v>
      </c>
      <c r="D1064" s="3" t="s">
        <v>206</v>
      </c>
      <c r="E1064" s="3" t="s">
        <v>100</v>
      </c>
      <c r="F1064" s="7">
        <v>45771.84464672046</v>
      </c>
      <c r="G1064" s="3" t="s">
        <v>4293</v>
      </c>
    </row>
    <row r="1065">
      <c r="A1065" s="3" t="s">
        <v>4294</v>
      </c>
      <c r="B1065" s="3" t="s">
        <v>1672</v>
      </c>
      <c r="C1065" s="5" t="s">
        <v>206</v>
      </c>
      <c r="D1065" s="3" t="s">
        <v>68</v>
      </c>
      <c r="E1065" s="3" t="s">
        <v>100</v>
      </c>
      <c r="F1065" s="7">
        <v>45771.84811894268</v>
      </c>
      <c r="G1065" s="3" t="s">
        <v>4296</v>
      </c>
    </row>
    <row r="1066">
      <c r="A1066" s="3" t="s">
        <v>4297</v>
      </c>
      <c r="B1066" s="3" t="s">
        <v>1675</v>
      </c>
      <c r="C1066" s="5" t="s">
        <v>45</v>
      </c>
      <c r="D1066" s="3" t="s">
        <v>221</v>
      </c>
      <c r="E1066" s="3" t="s">
        <v>383</v>
      </c>
      <c r="F1066" s="7">
        <v>45771.90887712143</v>
      </c>
      <c r="G1066" s="3" t="s">
        <v>3139</v>
      </c>
    </row>
    <row r="1067">
      <c r="A1067" s="3" t="s">
        <v>4299</v>
      </c>
      <c r="B1067" s="3" t="s">
        <v>1675</v>
      </c>
      <c r="C1067" s="5" t="s">
        <v>221</v>
      </c>
      <c r="D1067" s="3" t="s">
        <v>614</v>
      </c>
      <c r="E1067" s="3" t="s">
        <v>118</v>
      </c>
      <c r="F1067" s="7">
        <v>45771.91234934365</v>
      </c>
      <c r="G1067" s="3" t="s">
        <v>3142</v>
      </c>
    </row>
    <row r="1068">
      <c r="A1068" s="3" t="s">
        <v>4301</v>
      </c>
      <c r="B1068" s="3" t="s">
        <v>1675</v>
      </c>
      <c r="C1068" s="5" t="s">
        <v>614</v>
      </c>
      <c r="D1068" s="3" t="s">
        <v>206</v>
      </c>
      <c r="E1068" s="3" t="s">
        <v>100</v>
      </c>
      <c r="F1068" s="7">
        <v>45771.915821565875</v>
      </c>
      <c r="G1068" s="3" t="s">
        <v>3144</v>
      </c>
    </row>
    <row r="1069">
      <c r="A1069" s="3" t="s">
        <v>4303</v>
      </c>
      <c r="B1069" s="3" t="s">
        <v>1675</v>
      </c>
      <c r="C1069" s="5" t="s">
        <v>206</v>
      </c>
      <c r="D1069" s="3" t="s">
        <v>68</v>
      </c>
      <c r="E1069" s="3" t="s">
        <v>100</v>
      </c>
      <c r="F1069" s="7">
        <v>45771.919293788094</v>
      </c>
      <c r="G1069" s="3" t="s">
        <v>3149</v>
      </c>
    </row>
    <row r="1070">
      <c r="A1070" s="3" t="s">
        <v>4305</v>
      </c>
      <c r="B1070" s="3" t="s">
        <v>1680</v>
      </c>
      <c r="C1070" s="5" t="s">
        <v>45</v>
      </c>
      <c r="D1070" s="3" t="s">
        <v>221</v>
      </c>
      <c r="E1070" s="3" t="s">
        <v>627</v>
      </c>
      <c r="F1070" s="7">
        <v>45771.98005196684</v>
      </c>
      <c r="G1070" s="3" t="s">
        <v>4307</v>
      </c>
    </row>
    <row r="1071">
      <c r="A1071" s="3" t="s">
        <v>4308</v>
      </c>
      <c r="B1071" s="3" t="s">
        <v>1680</v>
      </c>
      <c r="C1071" s="5" t="s">
        <v>221</v>
      </c>
      <c r="D1071" s="3" t="s">
        <v>614</v>
      </c>
      <c r="E1071" s="3" t="s">
        <v>118</v>
      </c>
      <c r="F1071" s="7">
        <v>45771.98352418906</v>
      </c>
      <c r="G1071" s="3" t="s">
        <v>4310</v>
      </c>
    </row>
    <row r="1072">
      <c r="A1072" s="3" t="s">
        <v>4311</v>
      </c>
      <c r="B1072" s="3" t="s">
        <v>1680</v>
      </c>
      <c r="C1072" s="5" t="s">
        <v>614</v>
      </c>
      <c r="D1072" s="3" t="s">
        <v>206</v>
      </c>
      <c r="E1072" s="3" t="s">
        <v>100</v>
      </c>
      <c r="F1072" s="7">
        <v>45771.98699641129</v>
      </c>
      <c r="G1072" s="3" t="s">
        <v>4313</v>
      </c>
    </row>
    <row r="1073">
      <c r="A1073" s="3" t="s">
        <v>4314</v>
      </c>
      <c r="B1073" s="3" t="s">
        <v>1680</v>
      </c>
      <c r="C1073" s="5" t="s">
        <v>206</v>
      </c>
      <c r="D1073" s="3" t="s">
        <v>68</v>
      </c>
      <c r="E1073" s="3" t="s">
        <v>100</v>
      </c>
      <c r="F1073" s="7">
        <v>45771.99046863351</v>
      </c>
      <c r="G1073" s="3" t="s">
        <v>4315</v>
      </c>
    </row>
    <row r="1074">
      <c r="A1074" s="3" t="s">
        <v>4317</v>
      </c>
      <c r="B1074" s="3" t="s">
        <v>1682</v>
      </c>
      <c r="C1074" s="5" t="s">
        <v>45</v>
      </c>
      <c r="D1074" s="3" t="s">
        <v>221</v>
      </c>
      <c r="E1074" s="3" t="s">
        <v>622</v>
      </c>
      <c r="F1074" s="7">
        <v>45772.05122681226</v>
      </c>
      <c r="G1074" s="3" t="s">
        <v>4318</v>
      </c>
    </row>
    <row r="1075">
      <c r="A1075" s="3" t="s">
        <v>4320</v>
      </c>
      <c r="B1075" s="3" t="s">
        <v>1682</v>
      </c>
      <c r="C1075" s="5" t="s">
        <v>221</v>
      </c>
      <c r="D1075" s="3" t="s">
        <v>614</v>
      </c>
      <c r="E1075" s="3" t="s">
        <v>118</v>
      </c>
      <c r="F1075" s="7">
        <v>45772.05469903448</v>
      </c>
      <c r="G1075" s="3" t="s">
        <v>4321</v>
      </c>
    </row>
    <row r="1076">
      <c r="A1076" s="3" t="s">
        <v>4323</v>
      </c>
      <c r="B1076" s="3" t="s">
        <v>1682</v>
      </c>
      <c r="C1076" s="5" t="s">
        <v>614</v>
      </c>
      <c r="D1076" s="3" t="s">
        <v>206</v>
      </c>
      <c r="E1076" s="3" t="s">
        <v>100</v>
      </c>
      <c r="F1076" s="7">
        <v>45772.05817125671</v>
      </c>
      <c r="G1076" s="3" t="s">
        <v>4324</v>
      </c>
    </row>
    <row r="1077">
      <c r="A1077" s="3" t="s">
        <v>4325</v>
      </c>
      <c r="B1077" s="3" t="s">
        <v>1682</v>
      </c>
      <c r="C1077" s="5" t="s">
        <v>206</v>
      </c>
      <c r="D1077" s="3" t="s">
        <v>68</v>
      </c>
      <c r="E1077" s="3" t="s">
        <v>100</v>
      </c>
      <c r="F1077" s="7">
        <v>45772.061643478926</v>
      </c>
      <c r="G1077" s="3" t="s">
        <v>4327</v>
      </c>
    </row>
    <row r="1078">
      <c r="A1078" s="3" t="s">
        <v>4328</v>
      </c>
      <c r="B1078" s="3" t="s">
        <v>1686</v>
      </c>
      <c r="C1078" s="5" t="s">
        <v>45</v>
      </c>
      <c r="D1078" s="3" t="s">
        <v>221</v>
      </c>
      <c r="E1078" s="3" t="s">
        <v>698</v>
      </c>
      <c r="F1078" s="7">
        <v>45772.122401657674</v>
      </c>
      <c r="G1078" s="3" t="s">
        <v>4330</v>
      </c>
    </row>
    <row r="1079">
      <c r="A1079" s="3" t="s">
        <v>4331</v>
      </c>
      <c r="B1079" s="3" t="s">
        <v>1686</v>
      </c>
      <c r="C1079" s="5" t="s">
        <v>221</v>
      </c>
      <c r="D1079" s="3" t="s">
        <v>614</v>
      </c>
      <c r="E1079" s="3" t="s">
        <v>118</v>
      </c>
      <c r="F1079" s="7">
        <v>45772.12587387989</v>
      </c>
      <c r="G1079" s="3" t="s">
        <v>4333</v>
      </c>
    </row>
    <row r="1080">
      <c r="A1080" s="3" t="s">
        <v>4334</v>
      </c>
      <c r="B1080" s="3" t="s">
        <v>1686</v>
      </c>
      <c r="C1080" s="5" t="s">
        <v>614</v>
      </c>
      <c r="D1080" s="3" t="s">
        <v>206</v>
      </c>
      <c r="E1080" s="3" t="s">
        <v>100</v>
      </c>
      <c r="F1080" s="7">
        <v>45772.12934610212</v>
      </c>
      <c r="G1080" s="3" t="s">
        <v>4336</v>
      </c>
    </row>
    <row r="1081">
      <c r="A1081" s="3" t="s">
        <v>4337</v>
      </c>
      <c r="B1081" s="3" t="s">
        <v>1686</v>
      </c>
      <c r="C1081" s="5" t="s">
        <v>206</v>
      </c>
      <c r="D1081" s="3" t="s">
        <v>68</v>
      </c>
      <c r="E1081" s="3" t="s">
        <v>100</v>
      </c>
      <c r="F1081" s="7">
        <v>45772.13281832434</v>
      </c>
      <c r="G1081" s="3" t="s">
        <v>4339</v>
      </c>
    </row>
    <row r="1082">
      <c r="A1082" s="3" t="s">
        <v>4340</v>
      </c>
      <c r="B1082" s="3" t="s">
        <v>1689</v>
      </c>
      <c r="C1082" s="5" t="s">
        <v>45</v>
      </c>
      <c r="D1082" s="3" t="s">
        <v>221</v>
      </c>
      <c r="E1082" s="3" t="s">
        <v>168</v>
      </c>
      <c r="F1082" s="7">
        <v>45772.19357650309</v>
      </c>
      <c r="G1082" s="3" t="s">
        <v>4342</v>
      </c>
    </row>
    <row r="1083">
      <c r="A1083" s="3" t="s">
        <v>4343</v>
      </c>
      <c r="B1083" s="3" t="s">
        <v>1689</v>
      </c>
      <c r="C1083" s="5" t="s">
        <v>221</v>
      </c>
      <c r="D1083" s="3" t="s">
        <v>614</v>
      </c>
      <c r="E1083" s="3" t="s">
        <v>118</v>
      </c>
      <c r="F1083" s="7">
        <v>45772.197048725306</v>
      </c>
      <c r="G1083" s="3" t="s">
        <v>4345</v>
      </c>
    </row>
    <row r="1084">
      <c r="A1084" s="3" t="s">
        <v>4346</v>
      </c>
      <c r="B1084" s="3" t="s">
        <v>1689</v>
      </c>
      <c r="C1084" s="5" t="s">
        <v>614</v>
      </c>
      <c r="D1084" s="3" t="s">
        <v>206</v>
      </c>
      <c r="E1084" s="3" t="s">
        <v>100</v>
      </c>
      <c r="F1084" s="7">
        <v>45772.20052094753</v>
      </c>
      <c r="G1084" s="3" t="s">
        <v>4348</v>
      </c>
    </row>
    <row r="1085">
      <c r="A1085" s="3" t="s">
        <v>4349</v>
      </c>
      <c r="B1085" s="3" t="s">
        <v>1689</v>
      </c>
      <c r="C1085" s="5" t="s">
        <v>206</v>
      </c>
      <c r="D1085" s="3" t="s">
        <v>68</v>
      </c>
      <c r="E1085" s="3" t="s">
        <v>100</v>
      </c>
      <c r="F1085" s="7">
        <v>45772.20399316975</v>
      </c>
      <c r="G1085" s="3" t="s">
        <v>4350</v>
      </c>
    </row>
    <row r="1086">
      <c r="A1086" s="3" t="s">
        <v>4352</v>
      </c>
      <c r="B1086" s="3" t="s">
        <v>1692</v>
      </c>
      <c r="C1086" s="5" t="s">
        <v>45</v>
      </c>
      <c r="D1086" s="3" t="s">
        <v>221</v>
      </c>
      <c r="E1086" s="3" t="s">
        <v>993</v>
      </c>
      <c r="F1086" s="7">
        <v>45772.264751348506</v>
      </c>
      <c r="G1086" s="3" t="s">
        <v>4353</v>
      </c>
    </row>
    <row r="1087">
      <c r="A1087" s="3" t="s">
        <v>4354</v>
      </c>
      <c r="B1087" s="3" t="s">
        <v>1692</v>
      </c>
      <c r="C1087" s="5" t="s">
        <v>221</v>
      </c>
      <c r="D1087" s="3" t="s">
        <v>614</v>
      </c>
      <c r="E1087" s="3" t="s">
        <v>118</v>
      </c>
      <c r="F1087" s="7">
        <v>45772.268223570725</v>
      </c>
      <c r="G1087" s="3" t="s">
        <v>4356</v>
      </c>
    </row>
    <row r="1088">
      <c r="A1088" s="3" t="s">
        <v>4357</v>
      </c>
      <c r="B1088" s="3" t="s">
        <v>1692</v>
      </c>
      <c r="C1088" s="5" t="s">
        <v>614</v>
      </c>
      <c r="D1088" s="3" t="s">
        <v>206</v>
      </c>
      <c r="E1088" s="3" t="s">
        <v>100</v>
      </c>
      <c r="F1088" s="7">
        <v>45772.27169579295</v>
      </c>
      <c r="G1088" s="3" t="s">
        <v>4359</v>
      </c>
    </row>
    <row r="1089">
      <c r="A1089" s="3" t="s">
        <v>4360</v>
      </c>
      <c r="B1089" s="3" t="s">
        <v>1692</v>
      </c>
      <c r="C1089" s="5" t="s">
        <v>206</v>
      </c>
      <c r="D1089" s="3" t="s">
        <v>68</v>
      </c>
      <c r="E1089" s="3" t="s">
        <v>100</v>
      </c>
      <c r="F1089" s="7">
        <v>45772.27516801517</v>
      </c>
      <c r="G1089" s="3" t="s">
        <v>4362</v>
      </c>
    </row>
    <row r="1090">
      <c r="A1090" s="3" t="s">
        <v>4363</v>
      </c>
      <c r="B1090" s="3" t="s">
        <v>1695</v>
      </c>
      <c r="C1090" s="5" t="s">
        <v>45</v>
      </c>
      <c r="D1090" s="3" t="s">
        <v>221</v>
      </c>
      <c r="E1090" s="3" t="s">
        <v>722</v>
      </c>
      <c r="F1090" s="7">
        <v>45772.33592619392</v>
      </c>
      <c r="G1090" s="3" t="s">
        <v>4364</v>
      </c>
    </row>
    <row r="1091">
      <c r="A1091" s="3" t="s">
        <v>4366</v>
      </c>
      <c r="B1091" s="3" t="s">
        <v>1695</v>
      </c>
      <c r="C1091" s="5" t="s">
        <v>221</v>
      </c>
      <c r="D1091" s="3" t="s">
        <v>614</v>
      </c>
      <c r="E1091" s="3" t="s">
        <v>118</v>
      </c>
      <c r="F1091" s="7">
        <v>45772.33939841614</v>
      </c>
      <c r="G1091" s="3" t="s">
        <v>4367</v>
      </c>
    </row>
    <row r="1092">
      <c r="A1092" s="3" t="s">
        <v>4368</v>
      </c>
      <c r="B1092" s="3" t="s">
        <v>1695</v>
      </c>
      <c r="C1092" s="5" t="s">
        <v>614</v>
      </c>
      <c r="D1092" s="3" t="s">
        <v>206</v>
      </c>
      <c r="E1092" s="3" t="s">
        <v>100</v>
      </c>
      <c r="F1092" s="7">
        <v>45772.342870638364</v>
      </c>
      <c r="G1092" s="3" t="s">
        <v>4370</v>
      </c>
    </row>
    <row r="1093">
      <c r="A1093" s="3" t="s">
        <v>4372</v>
      </c>
      <c r="B1093" s="3" t="s">
        <v>1695</v>
      </c>
      <c r="C1093" s="5" t="s">
        <v>206</v>
      </c>
      <c r="D1093" s="3" t="s">
        <v>68</v>
      </c>
      <c r="E1093" s="3" t="s">
        <v>100</v>
      </c>
      <c r="F1093" s="7">
        <v>45772.34634286058</v>
      </c>
      <c r="G1093" s="3" t="s">
        <v>4373</v>
      </c>
    </row>
    <row r="1094">
      <c r="A1094" s="3" t="s">
        <v>4374</v>
      </c>
      <c r="B1094" s="3" t="s">
        <v>1700</v>
      </c>
      <c r="C1094" s="5" t="s">
        <v>45</v>
      </c>
      <c r="D1094" s="3" t="s">
        <v>221</v>
      </c>
      <c r="E1094" s="3" t="s">
        <v>565</v>
      </c>
      <c r="F1094" s="7">
        <v>45772.40710103933</v>
      </c>
      <c r="G1094" s="3" t="s">
        <v>4376</v>
      </c>
    </row>
    <row r="1095">
      <c r="A1095" s="3" t="s">
        <v>4377</v>
      </c>
      <c r="B1095" s="3" t="s">
        <v>1700</v>
      </c>
      <c r="C1095" s="5" t="s">
        <v>221</v>
      </c>
      <c r="D1095" s="3" t="s">
        <v>614</v>
      </c>
      <c r="E1095" s="3" t="s">
        <v>118</v>
      </c>
      <c r="F1095" s="7">
        <v>45772.41057326155</v>
      </c>
      <c r="G1095" s="3" t="s">
        <v>4379</v>
      </c>
    </row>
    <row r="1096">
      <c r="A1096" s="3" t="s">
        <v>4380</v>
      </c>
      <c r="B1096" s="3" t="s">
        <v>1700</v>
      </c>
      <c r="C1096" s="5" t="s">
        <v>614</v>
      </c>
      <c r="D1096" s="3" t="s">
        <v>206</v>
      </c>
      <c r="E1096" s="3" t="s">
        <v>100</v>
      </c>
      <c r="F1096" s="7">
        <v>45772.414045483776</v>
      </c>
      <c r="G1096" s="3" t="s">
        <v>4382</v>
      </c>
    </row>
    <row r="1097">
      <c r="A1097" s="3" t="s">
        <v>4383</v>
      </c>
      <c r="B1097" s="3" t="s">
        <v>1700</v>
      </c>
      <c r="C1097" s="5" t="s">
        <v>206</v>
      </c>
      <c r="D1097" s="3" t="s">
        <v>68</v>
      </c>
      <c r="E1097" s="3" t="s">
        <v>100</v>
      </c>
      <c r="F1097" s="7">
        <v>45772.417517705995</v>
      </c>
      <c r="G1097" s="3" t="s">
        <v>4385</v>
      </c>
    </row>
    <row r="1098">
      <c r="A1098" s="3" t="s">
        <v>4386</v>
      </c>
      <c r="B1098" s="3" t="s">
        <v>1702</v>
      </c>
      <c r="C1098" s="5" t="s">
        <v>45</v>
      </c>
      <c r="D1098" s="3" t="s">
        <v>221</v>
      </c>
      <c r="E1098" s="3" t="s">
        <v>727</v>
      </c>
      <c r="F1098" s="7">
        <v>45772.47827588475</v>
      </c>
      <c r="G1098" s="3" t="s">
        <v>2770</v>
      </c>
    </row>
    <row r="1099">
      <c r="A1099" s="3" t="s">
        <v>4390</v>
      </c>
      <c r="B1099" s="3" t="s">
        <v>1702</v>
      </c>
      <c r="C1099" s="5" t="s">
        <v>221</v>
      </c>
      <c r="D1099" s="3" t="s">
        <v>181</v>
      </c>
      <c r="E1099" s="3" t="s">
        <v>118</v>
      </c>
      <c r="F1099" s="7">
        <v>45772.48174810697</v>
      </c>
      <c r="G1099" s="3" t="s">
        <v>2774</v>
      </c>
    </row>
    <row r="1100">
      <c r="A1100" s="3" t="s">
        <v>4393</v>
      </c>
      <c r="B1100" s="3" t="s">
        <v>1705</v>
      </c>
      <c r="C1100" s="5" t="s">
        <v>45</v>
      </c>
      <c r="D1100" s="3" t="s">
        <v>221</v>
      </c>
      <c r="E1100" s="3" t="s">
        <v>943</v>
      </c>
      <c r="F1100" s="7">
        <v>45772.54945073016</v>
      </c>
      <c r="G1100" s="3" t="s">
        <v>4394</v>
      </c>
    </row>
    <row r="1101">
      <c r="A1101" s="3" t="s">
        <v>4396</v>
      </c>
      <c r="B1101" s="3" t="s">
        <v>1705</v>
      </c>
      <c r="C1101" s="5" t="s">
        <v>221</v>
      </c>
      <c r="D1101" s="3" t="s">
        <v>614</v>
      </c>
      <c r="E1101" s="3" t="s">
        <v>118</v>
      </c>
      <c r="F1101" s="7">
        <v>45772.55292295238</v>
      </c>
      <c r="G1101" s="3" t="s">
        <v>4397</v>
      </c>
    </row>
    <row r="1102">
      <c r="A1102" s="3" t="s">
        <v>4399</v>
      </c>
      <c r="B1102" s="3" t="s">
        <v>1705</v>
      </c>
      <c r="C1102" s="5" t="s">
        <v>614</v>
      </c>
      <c r="D1102" s="3" t="s">
        <v>206</v>
      </c>
      <c r="E1102" s="3" t="s">
        <v>100</v>
      </c>
      <c r="F1102" s="7">
        <v>45772.55639517461</v>
      </c>
      <c r="G1102" s="3" t="s">
        <v>4400</v>
      </c>
    </row>
    <row r="1103">
      <c r="A1103" s="3" t="s">
        <v>4402</v>
      </c>
      <c r="B1103" s="3" t="s">
        <v>1705</v>
      </c>
      <c r="C1103" s="5" t="s">
        <v>206</v>
      </c>
      <c r="D1103" s="3" t="s">
        <v>68</v>
      </c>
      <c r="E1103" s="3" t="s">
        <v>100</v>
      </c>
      <c r="F1103" s="7">
        <v>45772.55986739683</v>
      </c>
      <c r="G1103" s="3" t="s">
        <v>4403</v>
      </c>
    </row>
    <row r="1104">
      <c r="A1104" s="3" t="s">
        <v>4404</v>
      </c>
      <c r="B1104" s="3" t="s">
        <v>1708</v>
      </c>
      <c r="C1104" s="5" t="s">
        <v>45</v>
      </c>
      <c r="D1104" s="3" t="s">
        <v>221</v>
      </c>
      <c r="E1104" s="3" t="s">
        <v>175</v>
      </c>
      <c r="F1104" s="7">
        <v>45772.620625575575</v>
      </c>
      <c r="G1104" s="3" t="s">
        <v>4406</v>
      </c>
    </row>
    <row r="1105">
      <c r="A1105" s="3" t="s">
        <v>4408</v>
      </c>
      <c r="B1105" s="3" t="s">
        <v>1708</v>
      </c>
      <c r="C1105" s="5" t="s">
        <v>221</v>
      </c>
      <c r="D1105" s="3" t="s">
        <v>614</v>
      </c>
      <c r="E1105" s="3" t="s">
        <v>118</v>
      </c>
      <c r="F1105" s="7">
        <v>45772.624097797794</v>
      </c>
      <c r="G1105" s="3" t="s">
        <v>4409</v>
      </c>
    </row>
    <row r="1106">
      <c r="A1106" s="3" t="s">
        <v>4411</v>
      </c>
      <c r="B1106" s="3" t="s">
        <v>1708</v>
      </c>
      <c r="C1106" s="5" t="s">
        <v>614</v>
      </c>
      <c r="D1106" s="3" t="s">
        <v>206</v>
      </c>
      <c r="E1106" s="3" t="s">
        <v>100</v>
      </c>
      <c r="F1106" s="7">
        <v>45772.62757002002</v>
      </c>
      <c r="G1106" s="3" t="s">
        <v>4412</v>
      </c>
    </row>
    <row r="1107">
      <c r="A1107" s="3" t="s">
        <v>4414</v>
      </c>
      <c r="B1107" s="3" t="s">
        <v>1708</v>
      </c>
      <c r="C1107" s="5" t="s">
        <v>206</v>
      </c>
      <c r="D1107" s="3" t="s">
        <v>68</v>
      </c>
      <c r="E1107" s="3" t="s">
        <v>100</v>
      </c>
      <c r="F1107" s="7">
        <v>45772.63104224224</v>
      </c>
      <c r="G1107" s="3" t="s">
        <v>4415</v>
      </c>
    </row>
    <row r="1108">
      <c r="A1108" s="3" t="s">
        <v>4417</v>
      </c>
      <c r="B1108" s="3" t="s">
        <v>1711</v>
      </c>
      <c r="C1108" s="5" t="s">
        <v>45</v>
      </c>
      <c r="D1108" s="3" t="s">
        <v>221</v>
      </c>
      <c r="E1108" s="3" t="s">
        <v>391</v>
      </c>
      <c r="F1108" s="7">
        <v>45772.691800420995</v>
      </c>
      <c r="G1108" s="3" t="s">
        <v>4418</v>
      </c>
    </row>
    <row r="1109">
      <c r="A1109" s="3" t="s">
        <v>4419</v>
      </c>
      <c r="B1109" s="3" t="s">
        <v>1711</v>
      </c>
      <c r="C1109" s="5" t="s">
        <v>221</v>
      </c>
      <c r="D1109" s="3" t="s">
        <v>614</v>
      </c>
      <c r="E1109" s="3" t="s">
        <v>118</v>
      </c>
      <c r="F1109" s="7">
        <v>45772.695272643214</v>
      </c>
      <c r="G1109" s="3" t="s">
        <v>4421</v>
      </c>
    </row>
    <row r="1110">
      <c r="A1110" s="3" t="s">
        <v>4422</v>
      </c>
      <c r="B1110" s="3" t="s">
        <v>1711</v>
      </c>
      <c r="C1110" s="5" t="s">
        <v>614</v>
      </c>
      <c r="D1110" s="3" t="s">
        <v>206</v>
      </c>
      <c r="E1110" s="3" t="s">
        <v>100</v>
      </c>
      <c r="F1110" s="7">
        <v>45772.69874486544</v>
      </c>
      <c r="G1110" s="3" t="s">
        <v>4424</v>
      </c>
    </row>
    <row r="1111">
      <c r="A1111" s="3" t="s">
        <v>4425</v>
      </c>
      <c r="B1111" s="3" t="s">
        <v>1711</v>
      </c>
      <c r="C1111" s="5" t="s">
        <v>206</v>
      </c>
      <c r="D1111" s="3" t="s">
        <v>68</v>
      </c>
      <c r="E1111" s="3" t="s">
        <v>100</v>
      </c>
      <c r="F1111" s="7">
        <v>45772.70221708766</v>
      </c>
      <c r="G1111" s="3" t="s">
        <v>4427</v>
      </c>
    </row>
    <row r="1112">
      <c r="A1112" s="3" t="s">
        <v>4428</v>
      </c>
      <c r="B1112" s="3" t="s">
        <v>1714</v>
      </c>
      <c r="C1112" s="5" t="s">
        <v>45</v>
      </c>
      <c r="D1112" s="3" t="s">
        <v>221</v>
      </c>
      <c r="E1112" s="3" t="s">
        <v>1034</v>
      </c>
      <c r="F1112" s="7">
        <v>45772.762975266414</v>
      </c>
      <c r="G1112" s="3" t="s">
        <v>4430</v>
      </c>
    </row>
    <row r="1113">
      <c r="A1113" s="3" t="s">
        <v>4431</v>
      </c>
      <c r="B1113" s="3" t="s">
        <v>1714</v>
      </c>
      <c r="C1113" s="5" t="s">
        <v>221</v>
      </c>
      <c r="D1113" s="3" t="s">
        <v>614</v>
      </c>
      <c r="E1113" s="3" t="s">
        <v>118</v>
      </c>
      <c r="F1113" s="7">
        <v>45772.76644748863</v>
      </c>
      <c r="G1113" s="3" t="s">
        <v>4432</v>
      </c>
    </row>
    <row r="1114">
      <c r="A1114" s="3" t="s">
        <v>4434</v>
      </c>
      <c r="B1114" s="3" t="s">
        <v>1714</v>
      </c>
      <c r="C1114" s="5" t="s">
        <v>614</v>
      </c>
      <c r="D1114" s="3" t="s">
        <v>206</v>
      </c>
      <c r="E1114" s="3" t="s">
        <v>100</v>
      </c>
      <c r="F1114" s="7">
        <v>45772.76991971086</v>
      </c>
      <c r="G1114" s="3" t="s">
        <v>4435</v>
      </c>
    </row>
    <row r="1115">
      <c r="A1115" s="3" t="s">
        <v>4436</v>
      </c>
      <c r="B1115" s="3" t="s">
        <v>1714</v>
      </c>
      <c r="C1115" s="5" t="s">
        <v>206</v>
      </c>
      <c r="D1115" s="3" t="s">
        <v>68</v>
      </c>
      <c r="E1115" s="3" t="s">
        <v>100</v>
      </c>
      <c r="F1115" s="7">
        <v>45772.77339193308</v>
      </c>
      <c r="G1115" s="3" t="s">
        <v>4438</v>
      </c>
    </row>
    <row r="1116">
      <c r="A1116" s="3" t="s">
        <v>4439</v>
      </c>
      <c r="B1116" s="3" t="s">
        <v>1719</v>
      </c>
      <c r="C1116" s="5" t="s">
        <v>45</v>
      </c>
      <c r="D1116" s="3" t="s">
        <v>221</v>
      </c>
      <c r="E1116" s="3" t="s">
        <v>496</v>
      </c>
      <c r="F1116" s="7">
        <v>45772.83415011182</v>
      </c>
      <c r="G1116" s="3" t="s">
        <v>3807</v>
      </c>
    </row>
    <row r="1117">
      <c r="A1117" s="3" t="s">
        <v>4441</v>
      </c>
      <c r="B1117" s="3" t="s">
        <v>1719</v>
      </c>
      <c r="C1117" s="5" t="s">
        <v>221</v>
      </c>
      <c r="D1117" s="3" t="s">
        <v>614</v>
      </c>
      <c r="E1117" s="3" t="s">
        <v>118</v>
      </c>
      <c r="F1117" s="7">
        <v>45772.83762233404</v>
      </c>
      <c r="G1117" s="3" t="s">
        <v>3810</v>
      </c>
    </row>
    <row r="1118">
      <c r="A1118" s="3" t="s">
        <v>4443</v>
      </c>
      <c r="B1118" s="3" t="s">
        <v>1719</v>
      </c>
      <c r="C1118" s="5" t="s">
        <v>614</v>
      </c>
      <c r="D1118" s="3" t="s">
        <v>206</v>
      </c>
      <c r="E1118" s="3" t="s">
        <v>100</v>
      </c>
      <c r="F1118" s="7">
        <v>45772.841094556265</v>
      </c>
      <c r="G1118" s="3" t="s">
        <v>3812</v>
      </c>
    </row>
    <row r="1119">
      <c r="A1119" s="3" t="s">
        <v>4445</v>
      </c>
      <c r="B1119" s="3" t="s">
        <v>1719</v>
      </c>
      <c r="C1119" s="5" t="s">
        <v>206</v>
      </c>
      <c r="D1119" s="3" t="s">
        <v>68</v>
      </c>
      <c r="E1119" s="3" t="s">
        <v>100</v>
      </c>
      <c r="F1119" s="7">
        <v>45772.84456677848</v>
      </c>
      <c r="G1119" s="3" t="s">
        <v>3815</v>
      </c>
    </row>
    <row r="1120">
      <c r="A1120" s="3" t="s">
        <v>4447</v>
      </c>
      <c r="B1120" s="3" t="s">
        <v>1721</v>
      </c>
      <c r="C1120" s="5" t="s">
        <v>45</v>
      </c>
      <c r="D1120" s="3" t="s">
        <v>221</v>
      </c>
      <c r="E1120" s="3" t="s">
        <v>453</v>
      </c>
      <c r="F1120" s="7">
        <v>45772.90532495724</v>
      </c>
      <c r="G1120" s="3" t="s">
        <v>4448</v>
      </c>
    </row>
    <row r="1121">
      <c r="A1121" s="3" t="s">
        <v>4450</v>
      </c>
      <c r="B1121" s="3" t="s">
        <v>1721</v>
      </c>
      <c r="C1121" s="5" t="s">
        <v>221</v>
      </c>
      <c r="D1121" s="3" t="s">
        <v>614</v>
      </c>
      <c r="E1121" s="3" t="s">
        <v>118</v>
      </c>
      <c r="F1121" s="7">
        <v>45772.90879717946</v>
      </c>
      <c r="G1121" s="3" t="s">
        <v>4451</v>
      </c>
    </row>
    <row r="1122">
      <c r="A1122" s="3" t="s">
        <v>4452</v>
      </c>
      <c r="B1122" s="3" t="s">
        <v>1721</v>
      </c>
      <c r="C1122" s="5" t="s">
        <v>614</v>
      </c>
      <c r="D1122" s="3" t="s">
        <v>206</v>
      </c>
      <c r="E1122" s="3" t="s">
        <v>100</v>
      </c>
      <c r="F1122" s="7">
        <v>45772.912269401684</v>
      </c>
      <c r="G1122" s="3" t="s">
        <v>4454</v>
      </c>
    </row>
    <row r="1123">
      <c r="A1123" s="3" t="s">
        <v>4455</v>
      </c>
      <c r="B1123" s="3" t="s">
        <v>1721</v>
      </c>
      <c r="C1123" s="5" t="s">
        <v>206</v>
      </c>
      <c r="D1123" s="3" t="s">
        <v>68</v>
      </c>
      <c r="E1123" s="3" t="s">
        <v>100</v>
      </c>
      <c r="F1123" s="7">
        <v>45772.9157416239</v>
      </c>
      <c r="G1123" s="3" t="s">
        <v>4457</v>
      </c>
    </row>
    <row r="1124">
      <c r="A1124" s="3" t="s">
        <v>4458</v>
      </c>
      <c r="B1124" s="3" t="s">
        <v>1725</v>
      </c>
      <c r="C1124" s="5" t="s">
        <v>45</v>
      </c>
      <c r="D1124" s="3" t="s">
        <v>221</v>
      </c>
      <c r="E1124" s="3" t="s">
        <v>627</v>
      </c>
      <c r="F1124" s="7">
        <v>45772.97649980266</v>
      </c>
      <c r="G1124" s="3" t="s">
        <v>4460</v>
      </c>
    </row>
    <row r="1125">
      <c r="A1125" s="3" t="s">
        <v>4461</v>
      </c>
      <c r="B1125" s="3" t="s">
        <v>1725</v>
      </c>
      <c r="C1125" s="5" t="s">
        <v>221</v>
      </c>
      <c r="D1125" s="3" t="s">
        <v>614</v>
      </c>
      <c r="E1125" s="3" t="s">
        <v>118</v>
      </c>
      <c r="F1125" s="7">
        <v>45772.97997202488</v>
      </c>
      <c r="G1125" s="3" t="s">
        <v>4463</v>
      </c>
    </row>
    <row r="1126">
      <c r="A1126" s="3" t="s">
        <v>4464</v>
      </c>
      <c r="B1126" s="3" t="s">
        <v>1725</v>
      </c>
      <c r="C1126" s="5" t="s">
        <v>614</v>
      </c>
      <c r="D1126" s="3" t="s">
        <v>206</v>
      </c>
      <c r="E1126" s="3" t="s">
        <v>100</v>
      </c>
      <c r="F1126" s="7">
        <v>45772.983444247104</v>
      </c>
      <c r="G1126" s="3" t="s">
        <v>4466</v>
      </c>
    </row>
    <row r="1127">
      <c r="A1127" s="3" t="s">
        <v>4467</v>
      </c>
      <c r="B1127" s="3" t="s">
        <v>1725</v>
      </c>
      <c r="C1127" s="5" t="s">
        <v>206</v>
      </c>
      <c r="D1127" s="3" t="s">
        <v>68</v>
      </c>
      <c r="E1127" s="3" t="s">
        <v>100</v>
      </c>
      <c r="F1127" s="7">
        <v>45772.98691646932</v>
      </c>
      <c r="G1127" s="3" t="s">
        <v>4469</v>
      </c>
    </row>
    <row r="1128">
      <c r="A1128" s="3" t="s">
        <v>4470</v>
      </c>
      <c r="B1128" s="3" t="s">
        <v>1727</v>
      </c>
      <c r="C1128" s="5" t="s">
        <v>45</v>
      </c>
      <c r="D1128" s="3" t="s">
        <v>221</v>
      </c>
      <c r="E1128" s="3" t="s">
        <v>710</v>
      </c>
      <c r="F1128" s="7">
        <v>45773.04767464807</v>
      </c>
      <c r="G1128" s="3" t="s">
        <v>2770</v>
      </c>
    </row>
    <row r="1129">
      <c r="A1129" s="3" t="s">
        <v>4472</v>
      </c>
      <c r="B1129" s="3" t="s">
        <v>1727</v>
      </c>
      <c r="C1129" s="5" t="s">
        <v>221</v>
      </c>
      <c r="D1129" s="3" t="s">
        <v>181</v>
      </c>
      <c r="E1129" s="3" t="s">
        <v>118</v>
      </c>
      <c r="F1129" s="7">
        <v>45773.05114687029</v>
      </c>
      <c r="G1129" s="3" t="s">
        <v>2774</v>
      </c>
    </row>
    <row r="1130">
      <c r="A1130" s="3" t="s">
        <v>4474</v>
      </c>
      <c r="B1130" s="3" t="s">
        <v>1731</v>
      </c>
      <c r="C1130" s="5" t="s">
        <v>45</v>
      </c>
      <c r="D1130" s="3" t="s">
        <v>221</v>
      </c>
      <c r="E1130" s="3" t="s">
        <v>310</v>
      </c>
      <c r="F1130" s="7">
        <v>45773.11884949348</v>
      </c>
      <c r="G1130" s="3" t="s">
        <v>4476</v>
      </c>
    </row>
    <row r="1131">
      <c r="A1131" s="3" t="s">
        <v>4477</v>
      </c>
      <c r="B1131" s="3" t="s">
        <v>1731</v>
      </c>
      <c r="C1131" s="5" t="s">
        <v>221</v>
      </c>
      <c r="D1131" s="3" t="s">
        <v>614</v>
      </c>
      <c r="E1131" s="3" t="s">
        <v>118</v>
      </c>
      <c r="F1131" s="7">
        <v>45773.1223217157</v>
      </c>
      <c r="G1131" s="3" t="s">
        <v>4479</v>
      </c>
    </row>
    <row r="1132">
      <c r="A1132" s="3" t="s">
        <v>4480</v>
      </c>
      <c r="B1132" s="3" t="s">
        <v>1731</v>
      </c>
      <c r="C1132" s="5" t="s">
        <v>614</v>
      </c>
      <c r="D1132" s="3" t="s">
        <v>206</v>
      </c>
      <c r="E1132" s="3" t="s">
        <v>100</v>
      </c>
      <c r="F1132" s="7">
        <v>45773.12579393793</v>
      </c>
      <c r="G1132" s="3" t="s">
        <v>4482</v>
      </c>
    </row>
    <row r="1133">
      <c r="A1133" s="3" t="s">
        <v>4483</v>
      </c>
      <c r="B1133" s="3" t="s">
        <v>1731</v>
      </c>
      <c r="C1133" s="5" t="s">
        <v>206</v>
      </c>
      <c r="D1133" s="3" t="s">
        <v>68</v>
      </c>
      <c r="E1133" s="3" t="s">
        <v>100</v>
      </c>
      <c r="F1133" s="7">
        <v>45773.12926616015</v>
      </c>
      <c r="G1133" s="3" t="s">
        <v>4485</v>
      </c>
    </row>
    <row r="1134">
      <c r="A1134" s="3" t="s">
        <v>4487</v>
      </c>
      <c r="B1134" s="3" t="s">
        <v>1734</v>
      </c>
      <c r="C1134" s="5" t="s">
        <v>45</v>
      </c>
      <c r="D1134" s="3" t="s">
        <v>221</v>
      </c>
      <c r="E1134" s="3" t="s">
        <v>233</v>
      </c>
      <c r="F1134" s="7">
        <v>45773.1900243389</v>
      </c>
      <c r="G1134" s="3" t="s">
        <v>4489</v>
      </c>
    </row>
    <row r="1135">
      <c r="A1135" s="3" t="s">
        <v>4490</v>
      </c>
      <c r="B1135" s="3" t="s">
        <v>1734</v>
      </c>
      <c r="C1135" s="5" t="s">
        <v>221</v>
      </c>
      <c r="D1135" s="3" t="s">
        <v>614</v>
      </c>
      <c r="E1135" s="3" t="s">
        <v>118</v>
      </c>
      <c r="F1135" s="7">
        <v>45773.19349656112</v>
      </c>
      <c r="G1135" s="3" t="s">
        <v>4491</v>
      </c>
    </row>
    <row r="1136">
      <c r="A1136" s="3" t="s">
        <v>4493</v>
      </c>
      <c r="B1136" s="3" t="s">
        <v>1734</v>
      </c>
      <c r="C1136" s="5" t="s">
        <v>614</v>
      </c>
      <c r="D1136" s="3" t="s">
        <v>206</v>
      </c>
      <c r="E1136" s="3" t="s">
        <v>100</v>
      </c>
      <c r="F1136" s="7">
        <v>45773.19696878335</v>
      </c>
      <c r="G1136" s="3" t="s">
        <v>4494</v>
      </c>
    </row>
    <row r="1137">
      <c r="A1137" s="3" t="s">
        <v>4495</v>
      </c>
      <c r="B1137" s="3" t="s">
        <v>1734</v>
      </c>
      <c r="C1137" s="5" t="s">
        <v>206</v>
      </c>
      <c r="D1137" s="3" t="s">
        <v>68</v>
      </c>
      <c r="E1137" s="3" t="s">
        <v>100</v>
      </c>
      <c r="F1137" s="7">
        <v>45773.20044100557</v>
      </c>
      <c r="G1137" s="3" t="s">
        <v>4497</v>
      </c>
    </row>
    <row r="1138">
      <c r="A1138" s="3" t="s">
        <v>4498</v>
      </c>
      <c r="B1138" s="3" t="s">
        <v>1739</v>
      </c>
      <c r="C1138" s="5" t="s">
        <v>45</v>
      </c>
      <c r="D1138" s="3" t="s">
        <v>221</v>
      </c>
      <c r="E1138" s="3" t="s">
        <v>841</v>
      </c>
      <c r="F1138" s="7">
        <v>45773.261199184315</v>
      </c>
      <c r="G1138" s="3" t="s">
        <v>4500</v>
      </c>
    </row>
    <row r="1139">
      <c r="A1139" s="3" t="s">
        <v>4501</v>
      </c>
      <c r="B1139" s="3" t="s">
        <v>1739</v>
      </c>
      <c r="C1139" s="5" t="s">
        <v>221</v>
      </c>
      <c r="D1139" s="3" t="s">
        <v>614</v>
      </c>
      <c r="E1139" s="3" t="s">
        <v>118</v>
      </c>
      <c r="F1139" s="7">
        <v>45773.264671406534</v>
      </c>
      <c r="G1139" s="3" t="s">
        <v>4503</v>
      </c>
    </row>
    <row r="1140">
      <c r="A1140" s="3" t="s">
        <v>4504</v>
      </c>
      <c r="B1140" s="3" t="s">
        <v>1739</v>
      </c>
      <c r="C1140" s="5" t="s">
        <v>614</v>
      </c>
      <c r="D1140" s="3" t="s">
        <v>206</v>
      </c>
      <c r="E1140" s="3" t="s">
        <v>100</v>
      </c>
      <c r="F1140" s="7">
        <v>45773.26814362876</v>
      </c>
      <c r="G1140" s="3" t="s">
        <v>4506</v>
      </c>
    </row>
    <row r="1141">
      <c r="A1141" s="3" t="s">
        <v>4507</v>
      </c>
      <c r="B1141" s="3" t="s">
        <v>1739</v>
      </c>
      <c r="C1141" s="5" t="s">
        <v>206</v>
      </c>
      <c r="D1141" s="3" t="s">
        <v>68</v>
      </c>
      <c r="E1141" s="3" t="s">
        <v>100</v>
      </c>
      <c r="F1141" s="7">
        <v>45773.27161585098</v>
      </c>
      <c r="G1141" s="3" t="s">
        <v>4509</v>
      </c>
    </row>
    <row r="1142">
      <c r="A1142" s="3" t="s">
        <v>4510</v>
      </c>
      <c r="B1142" s="3" t="s">
        <v>1742</v>
      </c>
      <c r="C1142" s="5" t="s">
        <v>45</v>
      </c>
      <c r="D1142" s="3" t="s">
        <v>221</v>
      </c>
      <c r="E1142" s="3" t="s">
        <v>527</v>
      </c>
      <c r="F1142" s="7">
        <v>45773.33237402973</v>
      </c>
      <c r="G1142" s="3" t="s">
        <v>2770</v>
      </c>
    </row>
    <row r="1143">
      <c r="A1143" s="3" t="s">
        <v>4512</v>
      </c>
      <c r="B1143" s="3" t="s">
        <v>1742</v>
      </c>
      <c r="C1143" s="5" t="s">
        <v>221</v>
      </c>
      <c r="D1143" s="3" t="s">
        <v>181</v>
      </c>
      <c r="E1143" s="3" t="s">
        <v>118</v>
      </c>
      <c r="F1143" s="7">
        <v>45773.335846251946</v>
      </c>
      <c r="G1143" s="3" t="s">
        <v>2774</v>
      </c>
    </row>
    <row r="1144">
      <c r="A1144" s="3" t="s">
        <v>4513</v>
      </c>
      <c r="B1144" s="3" t="s">
        <v>1746</v>
      </c>
      <c r="C1144" s="5" t="s">
        <v>45</v>
      </c>
      <c r="D1144" s="3" t="s">
        <v>221</v>
      </c>
      <c r="E1144" s="3" t="s">
        <v>1030</v>
      </c>
      <c r="F1144" s="7">
        <v>45773.40354887515</v>
      </c>
      <c r="G1144" s="3" t="s">
        <v>4515</v>
      </c>
    </row>
    <row r="1145">
      <c r="A1145" s="3" t="s">
        <v>4516</v>
      </c>
      <c r="B1145" s="3" t="s">
        <v>1746</v>
      </c>
      <c r="C1145" s="5" t="s">
        <v>221</v>
      </c>
      <c r="D1145" s="3" t="s">
        <v>614</v>
      </c>
      <c r="E1145" s="3" t="s">
        <v>118</v>
      </c>
      <c r="F1145" s="7">
        <v>45773.407021097366</v>
      </c>
      <c r="G1145" s="3" t="s">
        <v>4518</v>
      </c>
    </row>
    <row r="1146">
      <c r="A1146" s="3" t="s">
        <v>4520</v>
      </c>
      <c r="B1146" s="3" t="s">
        <v>1746</v>
      </c>
      <c r="C1146" s="5" t="s">
        <v>614</v>
      </c>
      <c r="D1146" s="3" t="s">
        <v>206</v>
      </c>
      <c r="E1146" s="3" t="s">
        <v>100</v>
      </c>
      <c r="F1146" s="7">
        <v>45773.41049331959</v>
      </c>
      <c r="G1146" s="3" t="s">
        <v>4521</v>
      </c>
    </row>
    <row r="1147">
      <c r="A1147" s="3" t="s">
        <v>4522</v>
      </c>
      <c r="B1147" s="3" t="s">
        <v>1746</v>
      </c>
      <c r="C1147" s="5" t="s">
        <v>206</v>
      </c>
      <c r="D1147" s="3" t="s">
        <v>68</v>
      </c>
      <c r="E1147" s="3" t="s">
        <v>100</v>
      </c>
      <c r="F1147" s="7">
        <v>45773.41396554181</v>
      </c>
      <c r="G1147" s="3" t="s">
        <v>4524</v>
      </c>
    </row>
    <row r="1148">
      <c r="A1148" s="3" t="s">
        <v>4525</v>
      </c>
      <c r="B1148" s="3" t="s">
        <v>1749</v>
      </c>
      <c r="C1148" s="5" t="s">
        <v>45</v>
      </c>
      <c r="D1148" s="3" t="s">
        <v>221</v>
      </c>
      <c r="E1148" s="3" t="s">
        <v>609</v>
      </c>
      <c r="F1148" s="7">
        <v>45773.47472372056</v>
      </c>
      <c r="G1148" s="3" t="s">
        <v>4527</v>
      </c>
    </row>
    <row r="1149">
      <c r="A1149" s="3" t="s">
        <v>4528</v>
      </c>
      <c r="B1149" s="3" t="s">
        <v>1749</v>
      </c>
      <c r="C1149" s="5" t="s">
        <v>221</v>
      </c>
      <c r="D1149" s="3" t="s">
        <v>614</v>
      </c>
      <c r="E1149" s="3" t="s">
        <v>118</v>
      </c>
      <c r="F1149" s="7">
        <v>45773.47819594278</v>
      </c>
      <c r="G1149" s="3" t="s">
        <v>4530</v>
      </c>
    </row>
    <row r="1150">
      <c r="A1150" s="3" t="s">
        <v>4531</v>
      </c>
      <c r="B1150" s="3" t="s">
        <v>1749</v>
      </c>
      <c r="C1150" s="5" t="s">
        <v>614</v>
      </c>
      <c r="D1150" s="3" t="s">
        <v>206</v>
      </c>
      <c r="E1150" s="3" t="s">
        <v>100</v>
      </c>
      <c r="F1150" s="7">
        <v>45773.481668165005</v>
      </c>
      <c r="G1150" s="3" t="s">
        <v>4533</v>
      </c>
    </row>
    <row r="1151">
      <c r="A1151" s="3" t="s">
        <v>4534</v>
      </c>
      <c r="B1151" s="3" t="s">
        <v>1749</v>
      </c>
      <c r="C1151" s="5" t="s">
        <v>206</v>
      </c>
      <c r="D1151" s="3" t="s">
        <v>68</v>
      </c>
      <c r="E1151" s="3" t="s">
        <v>100</v>
      </c>
      <c r="F1151" s="7">
        <v>45773.48514038722</v>
      </c>
      <c r="G1151" s="3" t="s">
        <v>4536</v>
      </c>
    </row>
    <row r="1152">
      <c r="A1152" s="3" t="s">
        <v>4537</v>
      </c>
      <c r="B1152" s="3" t="s">
        <v>1752</v>
      </c>
      <c r="C1152" s="5" t="s">
        <v>45</v>
      </c>
      <c r="D1152" s="3" t="s">
        <v>221</v>
      </c>
      <c r="E1152" s="3" t="s">
        <v>900</v>
      </c>
      <c r="F1152" s="7">
        <v>45773.54589856597</v>
      </c>
      <c r="G1152" s="3" t="s">
        <v>4539</v>
      </c>
    </row>
    <row r="1153">
      <c r="A1153" s="3" t="s">
        <v>4540</v>
      </c>
      <c r="B1153" s="3" t="s">
        <v>1752</v>
      </c>
      <c r="C1153" s="5" t="s">
        <v>221</v>
      </c>
      <c r="D1153" s="3" t="s">
        <v>614</v>
      </c>
      <c r="E1153" s="3" t="s">
        <v>118</v>
      </c>
      <c r="F1153" s="7">
        <v>45773.54937078819</v>
      </c>
      <c r="G1153" s="3" t="s">
        <v>4542</v>
      </c>
    </row>
    <row r="1154">
      <c r="A1154" s="3" t="s">
        <v>4543</v>
      </c>
      <c r="B1154" s="3" t="s">
        <v>1752</v>
      </c>
      <c r="C1154" s="5" t="s">
        <v>614</v>
      </c>
      <c r="D1154" s="3" t="s">
        <v>206</v>
      </c>
      <c r="E1154" s="3" t="s">
        <v>100</v>
      </c>
      <c r="F1154" s="7">
        <v>45773.55284301042</v>
      </c>
      <c r="G1154" s="3" t="s">
        <v>4545</v>
      </c>
    </row>
    <row r="1155">
      <c r="A1155" s="3" t="s">
        <v>4546</v>
      </c>
      <c r="B1155" s="3" t="s">
        <v>1752</v>
      </c>
      <c r="C1155" s="5" t="s">
        <v>206</v>
      </c>
      <c r="D1155" s="3" t="s">
        <v>68</v>
      </c>
      <c r="E1155" s="3" t="s">
        <v>100</v>
      </c>
      <c r="F1155" s="7">
        <v>45773.556315232636</v>
      </c>
      <c r="G1155" s="3" t="s">
        <v>4548</v>
      </c>
    </row>
    <row r="1156">
      <c r="A1156" s="3" t="s">
        <v>4549</v>
      </c>
      <c r="B1156" s="3" t="s">
        <v>1754</v>
      </c>
      <c r="C1156" s="5" t="s">
        <v>45</v>
      </c>
      <c r="D1156" s="3" t="s">
        <v>221</v>
      </c>
      <c r="E1156" s="3" t="s">
        <v>197</v>
      </c>
      <c r="F1156" s="7">
        <v>45773.61707341139</v>
      </c>
      <c r="G1156" s="3" t="s">
        <v>4551</v>
      </c>
    </row>
    <row r="1157">
      <c r="A1157" s="3" t="s">
        <v>4552</v>
      </c>
      <c r="B1157" s="3" t="s">
        <v>1754</v>
      </c>
      <c r="C1157" s="5" t="s">
        <v>221</v>
      </c>
      <c r="D1157" s="3" t="s">
        <v>614</v>
      </c>
      <c r="E1157" s="3" t="s">
        <v>118</v>
      </c>
      <c r="F1157" s="7">
        <v>45773.62054563361</v>
      </c>
      <c r="G1157" s="3" t="s">
        <v>4554</v>
      </c>
    </row>
    <row r="1158">
      <c r="A1158" s="3" t="s">
        <v>4555</v>
      </c>
      <c r="B1158" s="3" t="s">
        <v>1754</v>
      </c>
      <c r="C1158" s="5" t="s">
        <v>614</v>
      </c>
      <c r="D1158" s="3" t="s">
        <v>206</v>
      </c>
      <c r="E1158" s="3" t="s">
        <v>100</v>
      </c>
      <c r="F1158" s="7">
        <v>45773.62401785584</v>
      </c>
      <c r="G1158" s="3" t="s">
        <v>4556</v>
      </c>
    </row>
    <row r="1159">
      <c r="A1159" s="3" t="s">
        <v>4557</v>
      </c>
      <c r="B1159" s="3" t="s">
        <v>1754</v>
      </c>
      <c r="C1159" s="5" t="s">
        <v>206</v>
      </c>
      <c r="D1159" s="3" t="s">
        <v>68</v>
      </c>
      <c r="E1159" s="3" t="s">
        <v>100</v>
      </c>
      <c r="F1159" s="7">
        <v>45773.627490078055</v>
      </c>
      <c r="G1159" s="3" t="s">
        <v>4559</v>
      </c>
    </row>
    <row r="1160">
      <c r="A1160" s="3" t="s">
        <v>4560</v>
      </c>
      <c r="B1160" s="3" t="s">
        <v>1758</v>
      </c>
      <c r="C1160" s="5" t="s">
        <v>45</v>
      </c>
      <c r="D1160" s="3" t="s">
        <v>221</v>
      </c>
      <c r="E1160" s="3" t="s">
        <v>895</v>
      </c>
      <c r="F1160" s="7">
        <v>45773.6882482568</v>
      </c>
      <c r="G1160" s="3" t="s">
        <v>4562</v>
      </c>
    </row>
    <row r="1161">
      <c r="A1161" s="3" t="s">
        <v>4563</v>
      </c>
      <c r="B1161" s="3" t="s">
        <v>1758</v>
      </c>
      <c r="C1161" s="5" t="s">
        <v>221</v>
      </c>
      <c r="D1161" s="3" t="s">
        <v>614</v>
      </c>
      <c r="E1161" s="3" t="s">
        <v>118</v>
      </c>
      <c r="F1161" s="7">
        <v>45773.69172047902</v>
      </c>
      <c r="G1161" s="3" t="s">
        <v>4565</v>
      </c>
    </row>
    <row r="1162">
      <c r="A1162" s="3" t="s">
        <v>4566</v>
      </c>
      <c r="B1162" s="3" t="s">
        <v>1758</v>
      </c>
      <c r="C1162" s="5" t="s">
        <v>614</v>
      </c>
      <c r="D1162" s="3" t="s">
        <v>206</v>
      </c>
      <c r="E1162" s="3" t="s">
        <v>100</v>
      </c>
      <c r="F1162" s="7">
        <v>45773.69519270125</v>
      </c>
      <c r="G1162" s="3" t="s">
        <v>4568</v>
      </c>
    </row>
    <row r="1163">
      <c r="A1163" s="3" t="s">
        <v>4569</v>
      </c>
      <c r="B1163" s="3" t="s">
        <v>1758</v>
      </c>
      <c r="C1163" s="5" t="s">
        <v>206</v>
      </c>
      <c r="D1163" s="3" t="s">
        <v>68</v>
      </c>
      <c r="E1163" s="3" t="s">
        <v>100</v>
      </c>
      <c r="F1163" s="7">
        <v>45773.69866492347</v>
      </c>
      <c r="G1163" s="3" t="s">
        <v>4571</v>
      </c>
    </row>
    <row r="1164">
      <c r="A1164" s="3" t="s">
        <v>4572</v>
      </c>
      <c r="B1164" s="3" t="s">
        <v>1761</v>
      </c>
      <c r="C1164" s="5" t="s">
        <v>45</v>
      </c>
      <c r="D1164" s="3" t="s">
        <v>221</v>
      </c>
      <c r="E1164" s="3" t="s">
        <v>1049</v>
      </c>
      <c r="F1164" s="7">
        <v>45773.759423102216</v>
      </c>
      <c r="G1164" s="3" t="s">
        <v>4574</v>
      </c>
    </row>
    <row r="1165">
      <c r="A1165" s="3" t="s">
        <v>4575</v>
      </c>
      <c r="B1165" s="3" t="s">
        <v>1761</v>
      </c>
      <c r="C1165" s="5" t="s">
        <v>221</v>
      </c>
      <c r="D1165" s="3" t="s">
        <v>614</v>
      </c>
      <c r="E1165" s="3" t="s">
        <v>118</v>
      </c>
      <c r="F1165" s="7">
        <v>45773.762895324435</v>
      </c>
      <c r="G1165" s="3" t="s">
        <v>4576</v>
      </c>
    </row>
    <row r="1166">
      <c r="A1166" s="3" t="s">
        <v>4577</v>
      </c>
      <c r="B1166" s="3" t="s">
        <v>1761</v>
      </c>
      <c r="C1166" s="5" t="s">
        <v>614</v>
      </c>
      <c r="D1166" s="3" t="s">
        <v>206</v>
      </c>
      <c r="E1166" s="3" t="s">
        <v>100</v>
      </c>
      <c r="F1166" s="7">
        <v>45773.76636754666</v>
      </c>
      <c r="G1166" s="3" t="s">
        <v>4579</v>
      </c>
    </row>
    <row r="1167">
      <c r="A1167" s="3" t="s">
        <v>4580</v>
      </c>
      <c r="B1167" s="3" t="s">
        <v>1761</v>
      </c>
      <c r="C1167" s="5" t="s">
        <v>206</v>
      </c>
      <c r="D1167" s="3" t="s">
        <v>68</v>
      </c>
      <c r="E1167" s="3" t="s">
        <v>100</v>
      </c>
      <c r="F1167" s="7">
        <v>45773.76983976888</v>
      </c>
      <c r="G1167" s="3" t="s">
        <v>4582</v>
      </c>
    </row>
    <row r="1168">
      <c r="A1168" s="3" t="s">
        <v>4583</v>
      </c>
      <c r="B1168" s="3" t="s">
        <v>1764</v>
      </c>
      <c r="C1168" s="5" t="s">
        <v>45</v>
      </c>
      <c r="D1168" s="3" t="s">
        <v>221</v>
      </c>
      <c r="E1168" s="3" t="s">
        <v>505</v>
      </c>
      <c r="F1168" s="7">
        <v>45773.830597947635</v>
      </c>
      <c r="G1168" s="3" t="s">
        <v>2770</v>
      </c>
    </row>
    <row r="1169">
      <c r="A1169" s="3" t="s">
        <v>4585</v>
      </c>
      <c r="B1169" s="3" t="s">
        <v>1764</v>
      </c>
      <c r="C1169" s="5" t="s">
        <v>221</v>
      </c>
      <c r="D1169" s="3" t="s">
        <v>181</v>
      </c>
      <c r="E1169" s="3" t="s">
        <v>118</v>
      </c>
      <c r="F1169" s="7">
        <v>45773.834070169854</v>
      </c>
      <c r="G1169" s="3" t="s">
        <v>2774</v>
      </c>
    </row>
    <row r="1170">
      <c r="A1170" s="3" t="s">
        <v>4587</v>
      </c>
      <c r="B1170" s="3" t="s">
        <v>1767</v>
      </c>
      <c r="C1170" s="5" t="s">
        <v>45</v>
      </c>
      <c r="D1170" s="3" t="s">
        <v>221</v>
      </c>
      <c r="E1170" s="3" t="s">
        <v>186</v>
      </c>
      <c r="F1170" s="7">
        <v>45773.901772793055</v>
      </c>
      <c r="G1170" s="3" t="s">
        <v>4588</v>
      </c>
    </row>
    <row r="1171">
      <c r="A1171" s="3" t="s">
        <v>4589</v>
      </c>
      <c r="B1171" s="3" t="s">
        <v>1767</v>
      </c>
      <c r="C1171" s="5" t="s">
        <v>221</v>
      </c>
      <c r="D1171" s="3" t="s">
        <v>614</v>
      </c>
      <c r="E1171" s="3" t="s">
        <v>118</v>
      </c>
      <c r="F1171" s="7">
        <v>45773.905245015274</v>
      </c>
      <c r="G1171" s="3" t="s">
        <v>4591</v>
      </c>
    </row>
    <row r="1172">
      <c r="A1172" s="3" t="s">
        <v>4592</v>
      </c>
      <c r="B1172" s="3" t="s">
        <v>1767</v>
      </c>
      <c r="C1172" s="5" t="s">
        <v>614</v>
      </c>
      <c r="D1172" s="3" t="s">
        <v>206</v>
      </c>
      <c r="E1172" s="3" t="s">
        <v>100</v>
      </c>
      <c r="F1172" s="7">
        <v>45773.9087172375</v>
      </c>
      <c r="G1172" s="3" t="s">
        <v>4594</v>
      </c>
    </row>
    <row r="1173">
      <c r="A1173" s="3" t="s">
        <v>4595</v>
      </c>
      <c r="B1173" s="3" t="s">
        <v>1767</v>
      </c>
      <c r="C1173" s="5" t="s">
        <v>206</v>
      </c>
      <c r="D1173" s="3" t="s">
        <v>68</v>
      </c>
      <c r="E1173" s="3" t="s">
        <v>100</v>
      </c>
      <c r="F1173" s="7">
        <v>45773.91218945972</v>
      </c>
      <c r="G1173" s="3" t="s">
        <v>4597</v>
      </c>
    </row>
    <row r="1174">
      <c r="A1174" s="3" t="s">
        <v>4598</v>
      </c>
      <c r="B1174" s="3" t="s">
        <v>1771</v>
      </c>
      <c r="C1174" s="5" t="s">
        <v>45</v>
      </c>
      <c r="D1174" s="3" t="s">
        <v>221</v>
      </c>
      <c r="E1174" s="3" t="s">
        <v>313</v>
      </c>
      <c r="F1174" s="7">
        <v>45773.97294763846</v>
      </c>
      <c r="G1174" s="3" t="s">
        <v>4600</v>
      </c>
    </row>
    <row r="1175">
      <c r="A1175" s="3" t="s">
        <v>4601</v>
      </c>
      <c r="B1175" s="3" t="s">
        <v>1771</v>
      </c>
      <c r="C1175" s="5" t="s">
        <v>221</v>
      </c>
      <c r="D1175" s="3" t="s">
        <v>614</v>
      </c>
      <c r="E1175" s="3" t="s">
        <v>118</v>
      </c>
      <c r="F1175" s="7">
        <v>45773.97641986068</v>
      </c>
      <c r="G1175" s="3" t="s">
        <v>4603</v>
      </c>
    </row>
    <row r="1176">
      <c r="A1176" s="3" t="s">
        <v>4604</v>
      </c>
      <c r="B1176" s="3" t="s">
        <v>1771</v>
      </c>
      <c r="C1176" s="5" t="s">
        <v>614</v>
      </c>
      <c r="D1176" s="3" t="s">
        <v>206</v>
      </c>
      <c r="E1176" s="3" t="s">
        <v>100</v>
      </c>
      <c r="F1176" s="7">
        <v>45773.979892082905</v>
      </c>
      <c r="G1176" s="3" t="s">
        <v>4606</v>
      </c>
    </row>
    <row r="1177">
      <c r="A1177" s="3" t="s">
        <v>4607</v>
      </c>
      <c r="B1177" s="3" t="s">
        <v>1771</v>
      </c>
      <c r="C1177" s="5" t="s">
        <v>206</v>
      </c>
      <c r="D1177" s="3" t="s">
        <v>68</v>
      </c>
      <c r="E1177" s="3" t="s">
        <v>100</v>
      </c>
      <c r="F1177" s="7">
        <v>45773.983364305124</v>
      </c>
      <c r="G1177" s="3" t="s">
        <v>4609</v>
      </c>
    </row>
    <row r="1178">
      <c r="A1178" s="3" t="s">
        <v>4610</v>
      </c>
      <c r="B1178" s="3" t="s">
        <v>1774</v>
      </c>
      <c r="C1178" s="5" t="s">
        <v>45</v>
      </c>
      <c r="D1178" s="3" t="s">
        <v>221</v>
      </c>
      <c r="E1178" s="3" t="s">
        <v>895</v>
      </c>
      <c r="F1178" s="7">
        <v>45774.04412248388</v>
      </c>
      <c r="G1178" s="3" t="s">
        <v>4612</v>
      </c>
    </row>
    <row r="1179">
      <c r="A1179" s="3" t="s">
        <v>4613</v>
      </c>
      <c r="B1179" s="3" t="s">
        <v>1774</v>
      </c>
      <c r="C1179" s="5" t="s">
        <v>221</v>
      </c>
      <c r="D1179" s="3" t="s">
        <v>614</v>
      </c>
      <c r="E1179" s="3" t="s">
        <v>118</v>
      </c>
      <c r="F1179" s="7">
        <v>45774.0475947061</v>
      </c>
      <c r="G1179" s="3" t="s">
        <v>4615</v>
      </c>
    </row>
    <row r="1180">
      <c r="A1180" s="3" t="s">
        <v>4616</v>
      </c>
      <c r="B1180" s="3" t="s">
        <v>1774</v>
      </c>
      <c r="C1180" s="5" t="s">
        <v>614</v>
      </c>
      <c r="D1180" s="3" t="s">
        <v>206</v>
      </c>
      <c r="E1180" s="3" t="s">
        <v>100</v>
      </c>
      <c r="F1180" s="7">
        <v>45774.051066928325</v>
      </c>
      <c r="G1180" s="3" t="s">
        <v>4617</v>
      </c>
    </row>
    <row r="1181">
      <c r="A1181" s="3" t="s">
        <v>4619</v>
      </c>
      <c r="B1181" s="3" t="s">
        <v>1774</v>
      </c>
      <c r="C1181" s="5" t="s">
        <v>206</v>
      </c>
      <c r="D1181" s="3" t="s">
        <v>68</v>
      </c>
      <c r="E1181" s="3" t="s">
        <v>100</v>
      </c>
      <c r="F1181" s="7">
        <v>45774.054539150544</v>
      </c>
      <c r="G1181" s="3" t="s">
        <v>4620</v>
      </c>
    </row>
    <row r="1182">
      <c r="A1182" s="3" t="s">
        <v>4622</v>
      </c>
      <c r="B1182" s="3" t="s">
        <v>1777</v>
      </c>
      <c r="C1182" s="5" t="s">
        <v>45</v>
      </c>
      <c r="D1182" s="3" t="s">
        <v>221</v>
      </c>
      <c r="E1182" s="3" t="s">
        <v>953</v>
      </c>
      <c r="F1182" s="7">
        <v>45774.1152973293</v>
      </c>
      <c r="G1182" s="3" t="s">
        <v>4623</v>
      </c>
    </row>
    <row r="1183">
      <c r="A1183" s="3" t="s">
        <v>4624</v>
      </c>
      <c r="B1183" s="3" t="s">
        <v>1777</v>
      </c>
      <c r="C1183" s="5" t="s">
        <v>221</v>
      </c>
      <c r="D1183" s="3" t="s">
        <v>614</v>
      </c>
      <c r="E1183" s="3" t="s">
        <v>118</v>
      </c>
      <c r="F1183" s="7">
        <v>45774.11876955152</v>
      </c>
      <c r="G1183" s="3" t="s">
        <v>4626</v>
      </c>
    </row>
    <row r="1184">
      <c r="A1184" s="3" t="s">
        <v>4627</v>
      </c>
      <c r="B1184" s="3" t="s">
        <v>1777</v>
      </c>
      <c r="C1184" s="5" t="s">
        <v>614</v>
      </c>
      <c r="D1184" s="3" t="s">
        <v>206</v>
      </c>
      <c r="E1184" s="3" t="s">
        <v>100</v>
      </c>
      <c r="F1184" s="7">
        <v>45774.122241773744</v>
      </c>
      <c r="G1184" s="3" t="s">
        <v>4629</v>
      </c>
    </row>
    <row r="1185">
      <c r="A1185" s="3" t="s">
        <v>4630</v>
      </c>
      <c r="B1185" s="3" t="s">
        <v>1777</v>
      </c>
      <c r="C1185" s="5" t="s">
        <v>206</v>
      </c>
      <c r="D1185" s="3" t="s">
        <v>68</v>
      </c>
      <c r="E1185" s="3" t="s">
        <v>100</v>
      </c>
      <c r="F1185" s="7">
        <v>45774.12571399596</v>
      </c>
      <c r="G1185" s="3" t="s">
        <v>4632</v>
      </c>
    </row>
    <row r="1186">
      <c r="A1186" s="3" t="s">
        <v>4633</v>
      </c>
      <c r="B1186" s="3" t="s">
        <v>1781</v>
      </c>
      <c r="C1186" s="5" t="s">
        <v>45</v>
      </c>
      <c r="D1186" s="3" t="s">
        <v>221</v>
      </c>
      <c r="E1186" s="3" t="s">
        <v>569</v>
      </c>
      <c r="F1186" s="7">
        <v>45774.18647217471</v>
      </c>
      <c r="G1186" s="3" t="s">
        <v>4635</v>
      </c>
    </row>
    <row r="1187">
      <c r="A1187" s="3" t="s">
        <v>4636</v>
      </c>
      <c r="B1187" s="3" t="s">
        <v>1781</v>
      </c>
      <c r="C1187" s="5" t="s">
        <v>221</v>
      </c>
      <c r="D1187" s="3" t="s">
        <v>614</v>
      </c>
      <c r="E1187" s="3" t="s">
        <v>118</v>
      </c>
      <c r="F1187" s="7">
        <v>45774.18994439693</v>
      </c>
      <c r="G1187" s="3" t="s">
        <v>4638</v>
      </c>
    </row>
    <row r="1188">
      <c r="A1188" s="3" t="s">
        <v>4639</v>
      </c>
      <c r="B1188" s="3" t="s">
        <v>1781</v>
      </c>
      <c r="C1188" s="5" t="s">
        <v>614</v>
      </c>
      <c r="D1188" s="3" t="s">
        <v>206</v>
      </c>
      <c r="E1188" s="3" t="s">
        <v>100</v>
      </c>
      <c r="F1188" s="7">
        <v>45774.19341661916</v>
      </c>
      <c r="G1188" s="3" t="s">
        <v>4641</v>
      </c>
    </row>
    <row r="1189">
      <c r="A1189" s="3" t="s">
        <v>4642</v>
      </c>
      <c r="B1189" s="3" t="s">
        <v>1781</v>
      </c>
      <c r="C1189" s="5" t="s">
        <v>206</v>
      </c>
      <c r="D1189" s="3" t="s">
        <v>68</v>
      </c>
      <c r="E1189" s="3" t="s">
        <v>100</v>
      </c>
      <c r="F1189" s="7">
        <v>45774.196888841376</v>
      </c>
      <c r="G1189" s="3" t="s">
        <v>4643</v>
      </c>
    </row>
    <row r="1190">
      <c r="A1190" s="3" t="s">
        <v>4645</v>
      </c>
      <c r="B1190" s="3" t="s">
        <v>1784</v>
      </c>
      <c r="C1190" s="5" t="s">
        <v>45</v>
      </c>
      <c r="D1190" s="3" t="s">
        <v>221</v>
      </c>
      <c r="E1190" s="3" t="s">
        <v>957</v>
      </c>
      <c r="F1190" s="7">
        <v>45774.257647020124</v>
      </c>
      <c r="G1190" s="3" t="s">
        <v>4646</v>
      </c>
    </row>
    <row r="1191">
      <c r="A1191" s="3" t="s">
        <v>4648</v>
      </c>
      <c r="B1191" s="3" t="s">
        <v>1784</v>
      </c>
      <c r="C1191" s="5" t="s">
        <v>221</v>
      </c>
      <c r="D1191" s="3" t="s">
        <v>614</v>
      </c>
      <c r="E1191" s="3" t="s">
        <v>118</v>
      </c>
      <c r="F1191" s="7">
        <v>45774.26111924234</v>
      </c>
      <c r="G1191" s="3" t="s">
        <v>4649</v>
      </c>
    </row>
    <row r="1192">
      <c r="A1192" s="3" t="s">
        <v>4651</v>
      </c>
      <c r="B1192" s="3" t="s">
        <v>1784</v>
      </c>
      <c r="C1192" s="5" t="s">
        <v>614</v>
      </c>
      <c r="D1192" s="3" t="s">
        <v>206</v>
      </c>
      <c r="E1192" s="3" t="s">
        <v>100</v>
      </c>
      <c r="F1192" s="7">
        <v>45774.26459146457</v>
      </c>
      <c r="G1192" s="3" t="s">
        <v>4652</v>
      </c>
    </row>
    <row r="1193">
      <c r="A1193" s="3" t="s">
        <v>4654</v>
      </c>
      <c r="B1193" s="3" t="s">
        <v>1784</v>
      </c>
      <c r="C1193" s="5" t="s">
        <v>206</v>
      </c>
      <c r="D1193" s="3" t="s">
        <v>68</v>
      </c>
      <c r="E1193" s="3" t="s">
        <v>100</v>
      </c>
      <c r="F1193" s="7">
        <v>45774.26806368679</v>
      </c>
      <c r="G1193" s="3" t="s">
        <v>4655</v>
      </c>
    </row>
    <row r="1194">
      <c r="A1194" s="3" t="s">
        <v>4656</v>
      </c>
      <c r="B1194" s="3" t="s">
        <v>1787</v>
      </c>
      <c r="C1194" s="5" t="s">
        <v>45</v>
      </c>
      <c r="D1194" s="3" t="s">
        <v>221</v>
      </c>
      <c r="E1194" s="3" t="s">
        <v>993</v>
      </c>
      <c r="F1194" s="7">
        <v>45774.32882186554</v>
      </c>
      <c r="G1194" s="3" t="s">
        <v>4658</v>
      </c>
    </row>
    <row r="1195">
      <c r="A1195" s="3" t="s">
        <v>4659</v>
      </c>
      <c r="B1195" s="3" t="s">
        <v>1787</v>
      </c>
      <c r="C1195" s="5" t="s">
        <v>221</v>
      </c>
      <c r="D1195" s="3" t="s">
        <v>614</v>
      </c>
      <c r="E1195" s="3" t="s">
        <v>118</v>
      </c>
      <c r="F1195" s="7">
        <v>45774.33229408776</v>
      </c>
      <c r="G1195" s="3" t="s">
        <v>4661</v>
      </c>
    </row>
    <row r="1196">
      <c r="A1196" s="3" t="s">
        <v>4663</v>
      </c>
      <c r="B1196" s="3" t="s">
        <v>1787</v>
      </c>
      <c r="C1196" s="5" t="s">
        <v>614</v>
      </c>
      <c r="D1196" s="3" t="s">
        <v>206</v>
      </c>
      <c r="E1196" s="3" t="s">
        <v>100</v>
      </c>
      <c r="F1196" s="7">
        <v>45774.33576630999</v>
      </c>
      <c r="G1196" s="3" t="s">
        <v>4664</v>
      </c>
    </row>
    <row r="1197">
      <c r="A1197" s="3" t="s">
        <v>4666</v>
      </c>
      <c r="B1197" s="3" t="s">
        <v>1787</v>
      </c>
      <c r="C1197" s="5" t="s">
        <v>206</v>
      </c>
      <c r="D1197" s="3" t="s">
        <v>68</v>
      </c>
      <c r="E1197" s="3" t="s">
        <v>100</v>
      </c>
      <c r="F1197" s="7">
        <v>45774.33923853221</v>
      </c>
      <c r="G1197" s="3" t="s">
        <v>4667</v>
      </c>
    </row>
    <row r="1198">
      <c r="A1198" s="3" t="s">
        <v>4668</v>
      </c>
      <c r="B1198" s="3" t="s">
        <v>1791</v>
      </c>
      <c r="C1198" s="5" t="s">
        <v>45</v>
      </c>
      <c r="D1198" s="3" t="s">
        <v>221</v>
      </c>
      <c r="E1198" s="3" t="s">
        <v>496</v>
      </c>
      <c r="F1198" s="7">
        <v>45774.399996710956</v>
      </c>
      <c r="G1198" s="3" t="s">
        <v>3807</v>
      </c>
    </row>
    <row r="1199">
      <c r="A1199" s="3" t="s">
        <v>4670</v>
      </c>
      <c r="B1199" s="3" t="s">
        <v>1791</v>
      </c>
      <c r="C1199" s="5" t="s">
        <v>221</v>
      </c>
      <c r="D1199" s="3" t="s">
        <v>614</v>
      </c>
      <c r="E1199" s="3" t="s">
        <v>118</v>
      </c>
      <c r="F1199" s="7">
        <v>45774.403468933175</v>
      </c>
      <c r="G1199" s="3" t="s">
        <v>3810</v>
      </c>
    </row>
    <row r="1200">
      <c r="A1200" s="3" t="s">
        <v>4672</v>
      </c>
      <c r="B1200" s="3" t="s">
        <v>1791</v>
      </c>
      <c r="C1200" s="5" t="s">
        <v>614</v>
      </c>
      <c r="D1200" s="3" t="s">
        <v>206</v>
      </c>
      <c r="E1200" s="3" t="s">
        <v>100</v>
      </c>
      <c r="F1200" s="7">
        <v>45774.4069411554</v>
      </c>
      <c r="G1200" s="3" t="s">
        <v>3812</v>
      </c>
    </row>
    <row r="1201">
      <c r="A1201" s="3" t="s">
        <v>4674</v>
      </c>
      <c r="B1201" s="3" t="s">
        <v>1791</v>
      </c>
      <c r="C1201" s="5" t="s">
        <v>206</v>
      </c>
      <c r="D1201" s="3" t="s">
        <v>68</v>
      </c>
      <c r="E1201" s="3" t="s">
        <v>100</v>
      </c>
      <c r="F1201" s="7">
        <v>45774.41041337762</v>
      </c>
      <c r="G1201" s="3" t="s">
        <v>3815</v>
      </c>
    </row>
    <row r="1202">
      <c r="A1202" s="3" t="s">
        <v>4675</v>
      </c>
      <c r="B1202" s="3" t="s">
        <v>1796</v>
      </c>
      <c r="C1202" s="5" t="s">
        <v>45</v>
      </c>
      <c r="D1202" s="3" t="s">
        <v>221</v>
      </c>
      <c r="E1202" s="3" t="s">
        <v>906</v>
      </c>
      <c r="F1202" s="7">
        <v>45774.47117155637</v>
      </c>
      <c r="G1202" s="3" t="s">
        <v>4677</v>
      </c>
    </row>
    <row r="1203">
      <c r="A1203" s="3" t="s">
        <v>4678</v>
      </c>
      <c r="B1203" s="3" t="s">
        <v>1796</v>
      </c>
      <c r="C1203" s="5" t="s">
        <v>221</v>
      </c>
      <c r="D1203" s="3" t="s">
        <v>614</v>
      </c>
      <c r="E1203" s="3" t="s">
        <v>118</v>
      </c>
      <c r="F1203" s="7">
        <v>45774.47464377859</v>
      </c>
      <c r="G1203" s="3" t="s">
        <v>4680</v>
      </c>
    </row>
    <row r="1204">
      <c r="A1204" s="3" t="s">
        <v>4681</v>
      </c>
      <c r="B1204" s="3" t="s">
        <v>1796</v>
      </c>
      <c r="C1204" s="5" t="s">
        <v>614</v>
      </c>
      <c r="D1204" s="3" t="s">
        <v>206</v>
      </c>
      <c r="E1204" s="3" t="s">
        <v>100</v>
      </c>
      <c r="F1204" s="7">
        <v>45774.47811600081</v>
      </c>
      <c r="G1204" s="3" t="s">
        <v>4683</v>
      </c>
    </row>
    <row r="1205">
      <c r="A1205" s="3" t="s">
        <v>4684</v>
      </c>
      <c r="B1205" s="3" t="s">
        <v>1796</v>
      </c>
      <c r="C1205" s="5" t="s">
        <v>206</v>
      </c>
      <c r="D1205" s="3" t="s">
        <v>68</v>
      </c>
      <c r="E1205" s="3" t="s">
        <v>100</v>
      </c>
      <c r="F1205" s="7">
        <v>45774.48158822303</v>
      </c>
      <c r="G1205" s="3" t="s">
        <v>4686</v>
      </c>
    </row>
    <row r="1206">
      <c r="A1206" s="3" t="s">
        <v>4687</v>
      </c>
      <c r="B1206" s="3" t="s">
        <v>1799</v>
      </c>
      <c r="C1206" s="5" t="s">
        <v>45</v>
      </c>
      <c r="D1206" s="3" t="s">
        <v>221</v>
      </c>
      <c r="E1206" s="3" t="s">
        <v>713</v>
      </c>
      <c r="F1206" s="7">
        <v>45774.54234640179</v>
      </c>
      <c r="G1206" s="3" t="s">
        <v>4689</v>
      </c>
    </row>
    <row r="1207">
      <c r="A1207" s="3" t="s">
        <v>4690</v>
      </c>
      <c r="B1207" s="3" t="s">
        <v>1799</v>
      </c>
      <c r="C1207" s="5" t="s">
        <v>221</v>
      </c>
      <c r="D1207" s="3" t="s">
        <v>614</v>
      </c>
      <c r="E1207" s="3" t="s">
        <v>118</v>
      </c>
      <c r="F1207" s="7">
        <v>45774.54581862401</v>
      </c>
      <c r="G1207" s="3" t="s">
        <v>4692</v>
      </c>
    </row>
    <row r="1208">
      <c r="A1208" s="3" t="s">
        <v>4693</v>
      </c>
      <c r="B1208" s="3" t="s">
        <v>1799</v>
      </c>
      <c r="C1208" s="5" t="s">
        <v>614</v>
      </c>
      <c r="D1208" s="3" t="s">
        <v>206</v>
      </c>
      <c r="E1208" s="3" t="s">
        <v>100</v>
      </c>
      <c r="F1208" s="7">
        <v>45774.54929084623</v>
      </c>
      <c r="G1208" s="3" t="s">
        <v>4695</v>
      </c>
    </row>
    <row r="1209">
      <c r="A1209" s="3" t="s">
        <v>4696</v>
      </c>
      <c r="B1209" s="3" t="s">
        <v>1799</v>
      </c>
      <c r="C1209" s="5" t="s">
        <v>206</v>
      </c>
      <c r="D1209" s="3" t="s">
        <v>68</v>
      </c>
      <c r="E1209" s="3" t="s">
        <v>100</v>
      </c>
      <c r="F1209" s="7">
        <v>45774.55276306845</v>
      </c>
      <c r="G1209" s="3" t="s">
        <v>4698</v>
      </c>
    </row>
    <row r="1210">
      <c r="A1210" s="3" t="s">
        <v>4699</v>
      </c>
      <c r="B1210" s="3" t="s">
        <v>1803</v>
      </c>
      <c r="C1210" s="5" t="s">
        <v>45</v>
      </c>
      <c r="D1210" s="3" t="s">
        <v>221</v>
      </c>
      <c r="E1210" s="3" t="s">
        <v>466</v>
      </c>
      <c r="F1210" s="7">
        <v>45774.61352124721</v>
      </c>
      <c r="G1210" s="3" t="s">
        <v>4701</v>
      </c>
    </row>
    <row r="1211">
      <c r="A1211" s="3" t="s">
        <v>4702</v>
      </c>
      <c r="B1211" s="3" t="s">
        <v>1803</v>
      </c>
      <c r="C1211" s="5" t="s">
        <v>221</v>
      </c>
      <c r="D1211" s="3" t="s">
        <v>614</v>
      </c>
      <c r="E1211" s="3" t="s">
        <v>118</v>
      </c>
      <c r="F1211" s="7">
        <v>45774.616993469426</v>
      </c>
      <c r="G1211" s="3" t="s">
        <v>4704</v>
      </c>
    </row>
    <row r="1212">
      <c r="A1212" s="3" t="s">
        <v>4705</v>
      </c>
      <c r="B1212" s="3" t="s">
        <v>1803</v>
      </c>
      <c r="C1212" s="5" t="s">
        <v>614</v>
      </c>
      <c r="D1212" s="3" t="s">
        <v>206</v>
      </c>
      <c r="E1212" s="3" t="s">
        <v>100</v>
      </c>
      <c r="F1212" s="7">
        <v>45774.62046569165</v>
      </c>
      <c r="G1212" s="3" t="s">
        <v>4706</v>
      </c>
    </row>
    <row r="1213">
      <c r="A1213" s="3" t="s">
        <v>4708</v>
      </c>
      <c r="B1213" s="3" t="s">
        <v>1803</v>
      </c>
      <c r="C1213" s="5" t="s">
        <v>206</v>
      </c>
      <c r="D1213" s="3" t="s">
        <v>68</v>
      </c>
      <c r="E1213" s="3" t="s">
        <v>100</v>
      </c>
      <c r="F1213" s="7">
        <v>45774.62393791387</v>
      </c>
      <c r="G1213" s="3" t="s">
        <v>4709</v>
      </c>
    </row>
    <row r="1214">
      <c r="A1214" s="3" t="s">
        <v>4711</v>
      </c>
      <c r="B1214" s="3" t="s">
        <v>1807</v>
      </c>
      <c r="C1214" s="5" t="s">
        <v>45</v>
      </c>
      <c r="D1214" s="3" t="s">
        <v>221</v>
      </c>
      <c r="E1214" s="3" t="s">
        <v>391</v>
      </c>
      <c r="F1214" s="7">
        <v>45774.68469609261</v>
      </c>
      <c r="G1214" s="3" t="s">
        <v>4712</v>
      </c>
    </row>
    <row r="1215">
      <c r="A1215" s="3" t="s">
        <v>4713</v>
      </c>
      <c r="B1215" s="3" t="s">
        <v>1807</v>
      </c>
      <c r="C1215" s="5" t="s">
        <v>221</v>
      </c>
      <c r="D1215" s="3" t="s">
        <v>614</v>
      </c>
      <c r="E1215" s="3" t="s">
        <v>118</v>
      </c>
      <c r="F1215" s="7">
        <v>45774.68816831483</v>
      </c>
      <c r="G1215" s="3" t="s">
        <v>4715</v>
      </c>
    </row>
    <row r="1216">
      <c r="A1216" s="3" t="s">
        <v>4716</v>
      </c>
      <c r="B1216" s="3" t="s">
        <v>1807</v>
      </c>
      <c r="C1216" s="5" t="s">
        <v>614</v>
      </c>
      <c r="D1216" s="3" t="s">
        <v>206</v>
      </c>
      <c r="E1216" s="3" t="s">
        <v>100</v>
      </c>
      <c r="F1216" s="7">
        <v>45774.69164053706</v>
      </c>
      <c r="G1216" s="3" t="s">
        <v>4718</v>
      </c>
    </row>
    <row r="1217">
      <c r="A1217" s="3" t="s">
        <v>4719</v>
      </c>
      <c r="B1217" s="3" t="s">
        <v>1807</v>
      </c>
      <c r="C1217" s="5" t="s">
        <v>206</v>
      </c>
      <c r="D1217" s="3" t="s">
        <v>68</v>
      </c>
      <c r="E1217" s="3" t="s">
        <v>100</v>
      </c>
      <c r="F1217" s="7">
        <v>45774.69511275928</v>
      </c>
      <c r="G1217" s="3" t="s">
        <v>4721</v>
      </c>
    </row>
    <row r="1218">
      <c r="A1218" s="3" t="s">
        <v>4722</v>
      </c>
      <c r="B1218" s="3" t="s">
        <v>1811</v>
      </c>
      <c r="C1218" s="5" t="s">
        <v>45</v>
      </c>
      <c r="D1218" s="3" t="s">
        <v>221</v>
      </c>
      <c r="E1218" s="3" t="s">
        <v>665</v>
      </c>
      <c r="F1218" s="7">
        <v>45774.75587093803</v>
      </c>
      <c r="G1218" s="3" t="s">
        <v>4724</v>
      </c>
    </row>
    <row r="1219">
      <c r="A1219" s="3" t="s">
        <v>4725</v>
      </c>
      <c r="B1219" s="3" t="s">
        <v>1811</v>
      </c>
      <c r="C1219" s="5" t="s">
        <v>221</v>
      </c>
      <c r="D1219" s="3" t="s">
        <v>614</v>
      </c>
      <c r="E1219" s="3" t="s">
        <v>118</v>
      </c>
      <c r="F1219" s="7">
        <v>45774.75934316025</v>
      </c>
      <c r="G1219" s="3" t="s">
        <v>4727</v>
      </c>
    </row>
    <row r="1220">
      <c r="A1220" s="3" t="s">
        <v>4728</v>
      </c>
      <c r="B1220" s="3" t="s">
        <v>1811</v>
      </c>
      <c r="C1220" s="5" t="s">
        <v>614</v>
      </c>
      <c r="D1220" s="3" t="s">
        <v>206</v>
      </c>
      <c r="E1220" s="3" t="s">
        <v>100</v>
      </c>
      <c r="F1220" s="7">
        <v>45774.76281538248</v>
      </c>
      <c r="G1220" s="3" t="s">
        <v>4730</v>
      </c>
    </row>
    <row r="1221">
      <c r="A1221" s="3" t="s">
        <v>4731</v>
      </c>
      <c r="B1221" s="3" t="s">
        <v>1811</v>
      </c>
      <c r="C1221" s="5" t="s">
        <v>206</v>
      </c>
      <c r="D1221" s="3" t="s">
        <v>68</v>
      </c>
      <c r="E1221" s="3" t="s">
        <v>100</v>
      </c>
      <c r="F1221" s="7">
        <v>45774.766287604696</v>
      </c>
      <c r="G1221" s="3" t="s">
        <v>4733</v>
      </c>
    </row>
    <row r="1222">
      <c r="A1222" s="3" t="s">
        <v>4734</v>
      </c>
      <c r="B1222" s="3" t="s">
        <v>1818</v>
      </c>
      <c r="C1222" s="5" t="s">
        <v>45</v>
      </c>
      <c r="D1222" s="3" t="s">
        <v>221</v>
      </c>
      <c r="E1222" s="3" t="s">
        <v>406</v>
      </c>
      <c r="F1222" s="7">
        <v>45774.827045783444</v>
      </c>
      <c r="G1222" s="3" t="s">
        <v>4736</v>
      </c>
    </row>
    <row r="1223">
      <c r="A1223" s="3" t="s">
        <v>4737</v>
      </c>
      <c r="B1223" s="3" t="s">
        <v>1818</v>
      </c>
      <c r="C1223" s="5" t="s">
        <v>221</v>
      </c>
      <c r="D1223" s="3" t="s">
        <v>614</v>
      </c>
      <c r="E1223" s="3" t="s">
        <v>118</v>
      </c>
      <c r="F1223" s="7">
        <v>45774.83051800566</v>
      </c>
      <c r="G1223" s="3" t="s">
        <v>4738</v>
      </c>
    </row>
    <row r="1224">
      <c r="A1224" s="3" t="s">
        <v>4740</v>
      </c>
      <c r="B1224" s="3" t="s">
        <v>1818</v>
      </c>
      <c r="C1224" s="5" t="s">
        <v>614</v>
      </c>
      <c r="D1224" s="3" t="s">
        <v>206</v>
      </c>
      <c r="E1224" s="3" t="s">
        <v>100</v>
      </c>
      <c r="F1224" s="7">
        <v>45774.83399022789</v>
      </c>
      <c r="G1224" s="3" t="s">
        <v>4741</v>
      </c>
    </row>
    <row r="1225">
      <c r="A1225" s="3" t="s">
        <v>4742</v>
      </c>
      <c r="B1225" s="3" t="s">
        <v>1818</v>
      </c>
      <c r="C1225" s="5" t="s">
        <v>206</v>
      </c>
      <c r="D1225" s="3" t="s">
        <v>68</v>
      </c>
      <c r="E1225" s="3" t="s">
        <v>100</v>
      </c>
      <c r="F1225" s="7">
        <v>45774.83746245011</v>
      </c>
      <c r="G1225" s="3" t="s">
        <v>4744</v>
      </c>
    </row>
    <row r="1226">
      <c r="A1226" s="3" t="s">
        <v>4745</v>
      </c>
      <c r="B1226" s="3" t="s">
        <v>1823</v>
      </c>
      <c r="C1226" s="5" t="s">
        <v>45</v>
      </c>
      <c r="D1226" s="3" t="s">
        <v>221</v>
      </c>
      <c r="E1226" s="3" t="s">
        <v>515</v>
      </c>
      <c r="F1226" s="7">
        <v>45774.898220628864</v>
      </c>
      <c r="G1226" s="3" t="s">
        <v>4747</v>
      </c>
    </row>
    <row r="1227">
      <c r="A1227" s="3" t="s">
        <v>4748</v>
      </c>
      <c r="B1227" s="3" t="s">
        <v>1823</v>
      </c>
      <c r="C1227" s="5" t="s">
        <v>221</v>
      </c>
      <c r="D1227" s="3" t="s">
        <v>614</v>
      </c>
      <c r="E1227" s="3" t="s">
        <v>118</v>
      </c>
      <c r="F1227" s="7">
        <v>45774.90169285108</v>
      </c>
      <c r="G1227" s="3" t="s">
        <v>4750</v>
      </c>
    </row>
    <row r="1228">
      <c r="A1228" s="3" t="s">
        <v>4751</v>
      </c>
      <c r="B1228" s="3" t="s">
        <v>1823</v>
      </c>
      <c r="C1228" s="5" t="s">
        <v>614</v>
      </c>
      <c r="D1228" s="3" t="s">
        <v>206</v>
      </c>
      <c r="E1228" s="3" t="s">
        <v>100</v>
      </c>
      <c r="F1228" s="7">
        <v>45774.90516507331</v>
      </c>
      <c r="G1228" s="3" t="s">
        <v>4753</v>
      </c>
    </row>
    <row r="1229">
      <c r="A1229" s="3" t="s">
        <v>4754</v>
      </c>
      <c r="B1229" s="3" t="s">
        <v>1823</v>
      </c>
      <c r="C1229" s="5" t="s">
        <v>206</v>
      </c>
      <c r="D1229" s="3" t="s">
        <v>68</v>
      </c>
      <c r="E1229" s="3" t="s">
        <v>100</v>
      </c>
      <c r="F1229" s="7">
        <v>45774.90863729553</v>
      </c>
      <c r="G1229" s="3" t="s">
        <v>4755</v>
      </c>
    </row>
    <row r="1230">
      <c r="A1230" s="3" t="s">
        <v>4757</v>
      </c>
      <c r="B1230" s="3" t="s">
        <v>1830</v>
      </c>
      <c r="C1230" s="5" t="s">
        <v>45</v>
      </c>
      <c r="D1230" s="3" t="s">
        <v>221</v>
      </c>
      <c r="E1230" s="3" t="s">
        <v>498</v>
      </c>
      <c r="F1230" s="7">
        <v>45774.969395474276</v>
      </c>
      <c r="G1230" s="3" t="s">
        <v>4758</v>
      </c>
    </row>
    <row r="1231">
      <c r="A1231" s="3" t="s">
        <v>4759</v>
      </c>
      <c r="B1231" s="3" t="s">
        <v>1830</v>
      </c>
      <c r="C1231" s="5" t="s">
        <v>221</v>
      </c>
      <c r="D1231" s="3" t="s">
        <v>614</v>
      </c>
      <c r="E1231" s="3" t="s">
        <v>118</v>
      </c>
      <c r="F1231" s="7">
        <v>45774.972867696495</v>
      </c>
      <c r="G1231" s="3" t="s">
        <v>4761</v>
      </c>
    </row>
    <row r="1232">
      <c r="A1232" s="3" t="s">
        <v>4762</v>
      </c>
      <c r="B1232" s="3" t="s">
        <v>1830</v>
      </c>
      <c r="C1232" s="5" t="s">
        <v>614</v>
      </c>
      <c r="D1232" s="3" t="s">
        <v>206</v>
      </c>
      <c r="E1232" s="3" t="s">
        <v>100</v>
      </c>
      <c r="F1232" s="7">
        <v>45774.97633991872</v>
      </c>
      <c r="G1232" s="3" t="s">
        <v>4764</v>
      </c>
    </row>
    <row r="1233">
      <c r="A1233" s="3" t="s">
        <v>4765</v>
      </c>
      <c r="B1233" s="3" t="s">
        <v>1830</v>
      </c>
      <c r="C1233" s="5" t="s">
        <v>206</v>
      </c>
      <c r="D1233" s="3" t="s">
        <v>68</v>
      </c>
      <c r="E1233" s="3" t="s">
        <v>100</v>
      </c>
      <c r="F1233" s="7">
        <v>45774.97981214094</v>
      </c>
      <c r="G1233" s="3" t="s">
        <v>4767</v>
      </c>
    </row>
    <row r="1234">
      <c r="A1234" s="3" t="s">
        <v>4768</v>
      </c>
      <c r="B1234" s="3" t="s">
        <v>1834</v>
      </c>
      <c r="C1234" s="5" t="s">
        <v>45</v>
      </c>
      <c r="D1234" s="3" t="s">
        <v>221</v>
      </c>
      <c r="E1234" s="3" t="s">
        <v>219</v>
      </c>
      <c r="F1234" s="7">
        <v>45775.040570319696</v>
      </c>
      <c r="G1234" s="3" t="s">
        <v>4770</v>
      </c>
    </row>
    <row r="1235">
      <c r="A1235" s="3" t="s">
        <v>4771</v>
      </c>
      <c r="B1235" s="3" t="s">
        <v>1834</v>
      </c>
      <c r="C1235" s="5" t="s">
        <v>221</v>
      </c>
      <c r="D1235" s="3" t="s">
        <v>614</v>
      </c>
      <c r="E1235" s="3" t="s">
        <v>118</v>
      </c>
      <c r="F1235" s="7">
        <v>45775.044042541915</v>
      </c>
      <c r="G1235" s="3" t="s">
        <v>4773</v>
      </c>
    </row>
    <row r="1236">
      <c r="A1236" s="3" t="s">
        <v>4774</v>
      </c>
      <c r="B1236" s="3" t="s">
        <v>1834</v>
      </c>
      <c r="C1236" s="5" t="s">
        <v>614</v>
      </c>
      <c r="D1236" s="3" t="s">
        <v>206</v>
      </c>
      <c r="E1236" s="3" t="s">
        <v>100</v>
      </c>
      <c r="F1236" s="7">
        <v>45775.04751476414</v>
      </c>
      <c r="G1236" s="3" t="s">
        <v>4776</v>
      </c>
    </row>
    <row r="1237">
      <c r="A1237" s="3" t="s">
        <v>4777</v>
      </c>
      <c r="B1237" s="3" t="s">
        <v>1834</v>
      </c>
      <c r="C1237" s="5" t="s">
        <v>206</v>
      </c>
      <c r="D1237" s="3" t="s">
        <v>68</v>
      </c>
      <c r="E1237" s="3" t="s">
        <v>100</v>
      </c>
      <c r="F1237" s="7">
        <v>45775.05098698636</v>
      </c>
      <c r="G1237" s="3" t="s">
        <v>4779</v>
      </c>
    </row>
    <row r="1238">
      <c r="A1238" s="3" t="s">
        <v>4780</v>
      </c>
      <c r="B1238" s="3" t="s">
        <v>1841</v>
      </c>
      <c r="C1238" s="5" t="s">
        <v>45</v>
      </c>
      <c r="D1238" s="3" t="s">
        <v>221</v>
      </c>
      <c r="E1238" s="3" t="s">
        <v>159</v>
      </c>
      <c r="F1238" s="7">
        <v>45775.1117451651</v>
      </c>
      <c r="G1238" s="3" t="s">
        <v>4782</v>
      </c>
    </row>
    <row r="1239">
      <c r="A1239" s="3" t="s">
        <v>4783</v>
      </c>
      <c r="B1239" s="3" t="s">
        <v>1841</v>
      </c>
      <c r="C1239" s="5" t="s">
        <v>221</v>
      </c>
      <c r="D1239" s="3" t="s">
        <v>181</v>
      </c>
      <c r="E1239" s="3" t="s">
        <v>118</v>
      </c>
      <c r="F1239" s="7">
        <v>45775.11521738732</v>
      </c>
      <c r="G1239" s="3" t="s">
        <v>4785</v>
      </c>
    </row>
    <row r="1240">
      <c r="A1240" s="3" t="s">
        <v>4786</v>
      </c>
      <c r="B1240" s="3" t="s">
        <v>1847</v>
      </c>
      <c r="C1240" s="5" t="s">
        <v>45</v>
      </c>
      <c r="D1240" s="3" t="s">
        <v>221</v>
      </c>
      <c r="E1240" s="3" t="s">
        <v>436</v>
      </c>
      <c r="F1240" s="7">
        <v>45775.18292001052</v>
      </c>
      <c r="G1240" s="3" t="s">
        <v>4788</v>
      </c>
    </row>
    <row r="1241">
      <c r="A1241" s="3" t="s">
        <v>4789</v>
      </c>
      <c r="B1241" s="3" t="s">
        <v>1847</v>
      </c>
      <c r="C1241" s="5" t="s">
        <v>221</v>
      </c>
      <c r="D1241" s="3" t="s">
        <v>614</v>
      </c>
      <c r="E1241" s="3" t="s">
        <v>118</v>
      </c>
      <c r="F1241" s="7">
        <v>45775.18639223274</v>
      </c>
      <c r="G1241" s="3" t="s">
        <v>4791</v>
      </c>
    </row>
    <row r="1242">
      <c r="A1242" s="3" t="s">
        <v>4792</v>
      </c>
      <c r="B1242" s="3" t="s">
        <v>1847</v>
      </c>
      <c r="C1242" s="5" t="s">
        <v>614</v>
      </c>
      <c r="D1242" s="3" t="s">
        <v>206</v>
      </c>
      <c r="E1242" s="3" t="s">
        <v>100</v>
      </c>
      <c r="F1242" s="7">
        <v>45775.189864454966</v>
      </c>
      <c r="G1242" s="3" t="s">
        <v>4794</v>
      </c>
    </row>
    <row r="1243">
      <c r="A1243" s="3" t="s">
        <v>4795</v>
      </c>
      <c r="B1243" s="3" t="s">
        <v>1847</v>
      </c>
      <c r="C1243" s="5" t="s">
        <v>206</v>
      </c>
      <c r="D1243" s="3" t="s">
        <v>68</v>
      </c>
      <c r="E1243" s="3" t="s">
        <v>100</v>
      </c>
      <c r="F1243" s="7">
        <v>45775.193336677185</v>
      </c>
      <c r="G1243" s="3" t="s">
        <v>4797</v>
      </c>
    </row>
    <row r="1244">
      <c r="A1244" s="3" t="s">
        <v>4798</v>
      </c>
      <c r="B1244" s="3" t="s">
        <v>1851</v>
      </c>
      <c r="C1244" s="5" t="s">
        <v>45</v>
      </c>
      <c r="D1244" s="3" t="s">
        <v>221</v>
      </c>
      <c r="E1244" s="3" t="s">
        <v>877</v>
      </c>
      <c r="F1244" s="7">
        <v>45775.25409485594</v>
      </c>
      <c r="G1244" s="3" t="s">
        <v>4800</v>
      </c>
    </row>
    <row r="1245">
      <c r="A1245" s="3" t="s">
        <v>4801</v>
      </c>
      <c r="B1245" s="3" t="s">
        <v>1851</v>
      </c>
      <c r="C1245" s="5" t="s">
        <v>221</v>
      </c>
      <c r="D1245" s="3" t="s">
        <v>614</v>
      </c>
      <c r="E1245" s="3" t="s">
        <v>118</v>
      </c>
      <c r="F1245" s="7">
        <v>45775.25756707816</v>
      </c>
      <c r="G1245" s="3" t="s">
        <v>4803</v>
      </c>
    </row>
    <row r="1246">
      <c r="A1246" s="3" t="s">
        <v>4804</v>
      </c>
      <c r="B1246" s="3" t="s">
        <v>1851</v>
      </c>
      <c r="C1246" s="5" t="s">
        <v>614</v>
      </c>
      <c r="D1246" s="3" t="s">
        <v>206</v>
      </c>
      <c r="E1246" s="3" t="s">
        <v>100</v>
      </c>
      <c r="F1246" s="7">
        <v>45775.261039300385</v>
      </c>
      <c r="G1246" s="3" t="s">
        <v>4806</v>
      </c>
    </row>
    <row r="1247">
      <c r="A1247" s="3" t="s">
        <v>4807</v>
      </c>
      <c r="B1247" s="3" t="s">
        <v>1851</v>
      </c>
      <c r="C1247" s="5" t="s">
        <v>206</v>
      </c>
      <c r="D1247" s="3" t="s">
        <v>68</v>
      </c>
      <c r="E1247" s="3" t="s">
        <v>100</v>
      </c>
      <c r="F1247" s="7">
        <v>45775.264511522604</v>
      </c>
      <c r="G1247" s="3" t="s">
        <v>4809</v>
      </c>
    </row>
    <row r="1248">
      <c r="A1248" s="3" t="s">
        <v>4810</v>
      </c>
      <c r="B1248" s="3" t="s">
        <v>1854</v>
      </c>
      <c r="C1248" s="5" t="s">
        <v>45</v>
      </c>
      <c r="D1248" s="3" t="s">
        <v>221</v>
      </c>
      <c r="E1248" s="3" t="s">
        <v>145</v>
      </c>
      <c r="F1248" s="7">
        <v>45775.32526970135</v>
      </c>
      <c r="G1248" s="3" t="s">
        <v>4812</v>
      </c>
    </row>
    <row r="1249">
      <c r="A1249" s="3" t="s">
        <v>4813</v>
      </c>
      <c r="B1249" s="3" t="s">
        <v>1854</v>
      </c>
      <c r="C1249" s="5" t="s">
        <v>221</v>
      </c>
      <c r="D1249" s="3" t="s">
        <v>614</v>
      </c>
      <c r="E1249" s="3" t="s">
        <v>118</v>
      </c>
      <c r="F1249" s="7">
        <v>45775.32874192357</v>
      </c>
      <c r="G1249" s="3" t="s">
        <v>4814</v>
      </c>
    </row>
    <row r="1250">
      <c r="A1250" s="3" t="s">
        <v>4816</v>
      </c>
      <c r="B1250" s="3" t="s">
        <v>1854</v>
      </c>
      <c r="C1250" s="5" t="s">
        <v>614</v>
      </c>
      <c r="D1250" s="3" t="s">
        <v>206</v>
      </c>
      <c r="E1250" s="3" t="s">
        <v>100</v>
      </c>
      <c r="F1250" s="7">
        <v>45775.3322141458</v>
      </c>
      <c r="G1250" s="3" t="s">
        <v>4817</v>
      </c>
    </row>
    <row r="1251">
      <c r="A1251" s="3" t="s">
        <v>4819</v>
      </c>
      <c r="B1251" s="3" t="s">
        <v>1854</v>
      </c>
      <c r="C1251" s="5" t="s">
        <v>206</v>
      </c>
      <c r="D1251" s="3" t="s">
        <v>68</v>
      </c>
      <c r="E1251" s="3" t="s">
        <v>100</v>
      </c>
      <c r="F1251" s="7">
        <v>45775.33568636802</v>
      </c>
      <c r="G1251" s="3" t="s">
        <v>4820</v>
      </c>
    </row>
    <row r="1252">
      <c r="A1252" s="3" t="s">
        <v>4822</v>
      </c>
      <c r="B1252" s="3" t="s">
        <v>1859</v>
      </c>
      <c r="C1252" s="5" t="s">
        <v>45</v>
      </c>
      <c r="D1252" s="3" t="s">
        <v>221</v>
      </c>
      <c r="E1252" s="3" t="s">
        <v>193</v>
      </c>
      <c r="F1252" s="7">
        <v>45775.396444546765</v>
      </c>
      <c r="G1252" s="3" t="s">
        <v>4823</v>
      </c>
    </row>
    <row r="1253">
      <c r="A1253" s="3" t="s">
        <v>4825</v>
      </c>
      <c r="B1253" s="3" t="s">
        <v>1859</v>
      </c>
      <c r="C1253" s="5" t="s">
        <v>221</v>
      </c>
      <c r="D1253" s="3" t="s">
        <v>614</v>
      </c>
      <c r="E1253" s="3" t="s">
        <v>118</v>
      </c>
      <c r="F1253" s="7">
        <v>45775.39991676898</v>
      </c>
      <c r="G1253" s="3" t="s">
        <v>4826</v>
      </c>
    </row>
    <row r="1254">
      <c r="A1254" s="3" t="s">
        <v>4827</v>
      </c>
      <c r="B1254" s="3" t="s">
        <v>1859</v>
      </c>
      <c r="C1254" s="5" t="s">
        <v>614</v>
      </c>
      <c r="D1254" s="3" t="s">
        <v>206</v>
      </c>
      <c r="E1254" s="3" t="s">
        <v>100</v>
      </c>
      <c r="F1254" s="7">
        <v>45775.40338899121</v>
      </c>
      <c r="G1254" s="3" t="s">
        <v>4829</v>
      </c>
    </row>
    <row r="1255">
      <c r="A1255" s="3" t="s">
        <v>4830</v>
      </c>
      <c r="B1255" s="3" t="s">
        <v>1859</v>
      </c>
      <c r="C1255" s="5" t="s">
        <v>206</v>
      </c>
      <c r="D1255" s="3" t="s">
        <v>68</v>
      </c>
      <c r="E1255" s="3" t="s">
        <v>100</v>
      </c>
      <c r="F1255" s="7">
        <v>45775.40686121343</v>
      </c>
      <c r="G1255" s="3" t="s">
        <v>4832</v>
      </c>
    </row>
    <row r="1256">
      <c r="A1256" s="3" t="s">
        <v>4833</v>
      </c>
      <c r="B1256" s="3" t="s">
        <v>1861</v>
      </c>
      <c r="C1256" s="5" t="s">
        <v>45</v>
      </c>
      <c r="D1256" s="3" t="s">
        <v>221</v>
      </c>
      <c r="E1256" s="3" t="s">
        <v>319</v>
      </c>
      <c r="F1256" s="7">
        <v>45775.467619392184</v>
      </c>
      <c r="G1256" s="3" t="s">
        <v>4835</v>
      </c>
    </row>
    <row r="1257">
      <c r="A1257" s="3" t="s">
        <v>4836</v>
      </c>
      <c r="B1257" s="3" t="s">
        <v>1861</v>
      </c>
      <c r="C1257" s="5" t="s">
        <v>221</v>
      </c>
      <c r="D1257" s="3" t="s">
        <v>614</v>
      </c>
      <c r="E1257" s="3" t="s">
        <v>118</v>
      </c>
      <c r="F1257" s="7">
        <v>45775.4710916144</v>
      </c>
      <c r="G1257" s="3" t="s">
        <v>4838</v>
      </c>
    </row>
    <row r="1258">
      <c r="A1258" s="3" t="s">
        <v>4839</v>
      </c>
      <c r="B1258" s="3" t="s">
        <v>1861</v>
      </c>
      <c r="C1258" s="5" t="s">
        <v>614</v>
      </c>
      <c r="D1258" s="3" t="s">
        <v>206</v>
      </c>
      <c r="E1258" s="3" t="s">
        <v>100</v>
      </c>
      <c r="F1258" s="7">
        <v>45775.47456383663</v>
      </c>
      <c r="G1258" s="3" t="s">
        <v>4841</v>
      </c>
    </row>
    <row r="1259">
      <c r="A1259" s="3" t="s">
        <v>4842</v>
      </c>
      <c r="B1259" s="3" t="s">
        <v>1861</v>
      </c>
      <c r="C1259" s="5" t="s">
        <v>206</v>
      </c>
      <c r="D1259" s="3" t="s">
        <v>68</v>
      </c>
      <c r="E1259" s="3" t="s">
        <v>100</v>
      </c>
      <c r="F1259" s="7">
        <v>45775.47803605885</v>
      </c>
      <c r="G1259" s="3" t="s">
        <v>4843</v>
      </c>
    </row>
    <row r="1260">
      <c r="A1260" s="3" t="s">
        <v>4845</v>
      </c>
      <c r="B1260" s="3" t="s">
        <v>1865</v>
      </c>
      <c r="C1260" s="5" t="s">
        <v>45</v>
      </c>
      <c r="D1260" s="3" t="s">
        <v>221</v>
      </c>
      <c r="E1260" s="3" t="s">
        <v>710</v>
      </c>
      <c r="F1260" s="7">
        <v>45775.5387942376</v>
      </c>
      <c r="G1260" s="3" t="s">
        <v>4846</v>
      </c>
    </row>
    <row r="1261">
      <c r="A1261" s="3" t="s">
        <v>4848</v>
      </c>
      <c r="B1261" s="3" t="s">
        <v>1865</v>
      </c>
      <c r="C1261" s="5" t="s">
        <v>221</v>
      </c>
      <c r="D1261" s="3" t="s">
        <v>614</v>
      </c>
      <c r="E1261" s="3" t="s">
        <v>118</v>
      </c>
      <c r="F1261" s="7">
        <v>45775.542266459815</v>
      </c>
      <c r="G1261" s="3" t="s">
        <v>4849</v>
      </c>
    </row>
    <row r="1262">
      <c r="A1262" s="3" t="s">
        <v>4851</v>
      </c>
      <c r="B1262" s="3" t="s">
        <v>1865</v>
      </c>
      <c r="C1262" s="5" t="s">
        <v>614</v>
      </c>
      <c r="D1262" s="3" t="s">
        <v>206</v>
      </c>
      <c r="E1262" s="3" t="s">
        <v>100</v>
      </c>
      <c r="F1262" s="7">
        <v>45775.54573868204</v>
      </c>
      <c r="G1262" s="3" t="s">
        <v>4852</v>
      </c>
    </row>
    <row r="1263">
      <c r="A1263" s="3" t="s">
        <v>4854</v>
      </c>
      <c r="B1263" s="3" t="s">
        <v>1865</v>
      </c>
      <c r="C1263" s="5" t="s">
        <v>206</v>
      </c>
      <c r="D1263" s="3" t="s">
        <v>68</v>
      </c>
      <c r="E1263" s="3" t="s">
        <v>100</v>
      </c>
      <c r="F1263" s="7">
        <v>45775.54921090426</v>
      </c>
      <c r="G1263" s="3" t="s">
        <v>4855</v>
      </c>
    </row>
    <row r="1264">
      <c r="A1264" s="3" t="s">
        <v>4856</v>
      </c>
      <c r="B1264" s="3" t="s">
        <v>1867</v>
      </c>
      <c r="C1264" s="5" t="s">
        <v>45</v>
      </c>
      <c r="D1264" s="3" t="s">
        <v>221</v>
      </c>
      <c r="E1264" s="3" t="s">
        <v>272</v>
      </c>
      <c r="F1264" s="7">
        <v>45775.60996908301</v>
      </c>
      <c r="G1264" s="3" t="s">
        <v>4858</v>
      </c>
    </row>
    <row r="1265">
      <c r="A1265" s="3" t="s">
        <v>4859</v>
      </c>
      <c r="B1265" s="3" t="s">
        <v>1867</v>
      </c>
      <c r="C1265" s="5" t="s">
        <v>221</v>
      </c>
      <c r="D1265" s="3" t="s">
        <v>614</v>
      </c>
      <c r="E1265" s="3" t="s">
        <v>118</v>
      </c>
      <c r="F1265" s="7">
        <v>45775.61344130523</v>
      </c>
      <c r="G1265" s="3" t="s">
        <v>4861</v>
      </c>
    </row>
    <row r="1266">
      <c r="A1266" s="3" t="s">
        <v>4863</v>
      </c>
      <c r="B1266" s="3" t="s">
        <v>1867</v>
      </c>
      <c r="C1266" s="5" t="s">
        <v>614</v>
      </c>
      <c r="D1266" s="3" t="s">
        <v>206</v>
      </c>
      <c r="E1266" s="3" t="s">
        <v>100</v>
      </c>
      <c r="F1266" s="7">
        <v>45775.616913527454</v>
      </c>
      <c r="G1266" s="3" t="s">
        <v>4865</v>
      </c>
    </row>
    <row r="1267">
      <c r="A1267" s="3" t="s">
        <v>4866</v>
      </c>
      <c r="B1267" s="3" t="s">
        <v>1867</v>
      </c>
      <c r="C1267" s="5" t="s">
        <v>206</v>
      </c>
      <c r="D1267" s="3" t="s">
        <v>68</v>
      </c>
      <c r="E1267" s="3" t="s">
        <v>100</v>
      </c>
      <c r="F1267" s="7">
        <v>45775.62038574967</v>
      </c>
      <c r="G1267" s="3" t="s">
        <v>4868</v>
      </c>
    </row>
    <row r="1268">
      <c r="A1268" s="3" t="s">
        <v>4870</v>
      </c>
      <c r="B1268" s="3" t="s">
        <v>1870</v>
      </c>
      <c r="C1268" s="5" t="s">
        <v>45</v>
      </c>
      <c r="D1268" s="3" t="s">
        <v>221</v>
      </c>
      <c r="E1268" s="3" t="s">
        <v>1030</v>
      </c>
      <c r="F1268" s="7">
        <v>45775.68114392843</v>
      </c>
      <c r="G1268" s="3" t="s">
        <v>4871</v>
      </c>
    </row>
    <row r="1269">
      <c r="A1269" s="3" t="s">
        <v>4873</v>
      </c>
      <c r="B1269" s="3" t="s">
        <v>1870</v>
      </c>
      <c r="C1269" s="5" t="s">
        <v>221</v>
      </c>
      <c r="D1269" s="3" t="s">
        <v>614</v>
      </c>
      <c r="E1269" s="3" t="s">
        <v>118</v>
      </c>
      <c r="F1269" s="7">
        <v>45775.68461615065</v>
      </c>
      <c r="G1269" s="3" t="s">
        <v>4874</v>
      </c>
    </row>
    <row r="1270">
      <c r="A1270" s="3" t="s">
        <v>4875</v>
      </c>
      <c r="B1270" s="3" t="s">
        <v>1870</v>
      </c>
      <c r="C1270" s="5" t="s">
        <v>614</v>
      </c>
      <c r="D1270" s="3" t="s">
        <v>206</v>
      </c>
      <c r="E1270" s="3" t="s">
        <v>100</v>
      </c>
      <c r="F1270" s="7">
        <v>45775.68808837287</v>
      </c>
      <c r="G1270" s="3" t="s">
        <v>4877</v>
      </c>
    </row>
    <row r="1271">
      <c r="A1271" s="3" t="s">
        <v>4878</v>
      </c>
      <c r="B1271" s="3" t="s">
        <v>1870</v>
      </c>
      <c r="C1271" s="5" t="s">
        <v>206</v>
      </c>
      <c r="D1271" s="3" t="s">
        <v>68</v>
      </c>
      <c r="E1271" s="3" t="s">
        <v>100</v>
      </c>
      <c r="F1271" s="7">
        <v>45775.69156059509</v>
      </c>
      <c r="G1271" s="3" t="s">
        <v>4880</v>
      </c>
    </row>
    <row r="1272">
      <c r="A1272" s="3" t="s">
        <v>4881</v>
      </c>
      <c r="B1272" s="3" t="s">
        <v>1874</v>
      </c>
      <c r="C1272" s="5" t="s">
        <v>45</v>
      </c>
      <c r="D1272" s="3" t="s">
        <v>221</v>
      </c>
      <c r="E1272" s="3" t="s">
        <v>685</v>
      </c>
      <c r="F1272" s="7">
        <v>45775.75231877385</v>
      </c>
      <c r="G1272" s="3" t="s">
        <v>4883</v>
      </c>
    </row>
    <row r="1273">
      <c r="A1273" s="3" t="s">
        <v>4884</v>
      </c>
      <c r="B1273" s="3" t="s">
        <v>1874</v>
      </c>
      <c r="C1273" s="5" t="s">
        <v>221</v>
      </c>
      <c r="D1273" s="3" t="s">
        <v>614</v>
      </c>
      <c r="E1273" s="3" t="s">
        <v>118</v>
      </c>
      <c r="F1273" s="7">
        <v>45775.75579099607</v>
      </c>
      <c r="G1273" s="3" t="s">
        <v>4886</v>
      </c>
    </row>
    <row r="1274">
      <c r="A1274" s="3" t="s">
        <v>4887</v>
      </c>
      <c r="B1274" s="3" t="s">
        <v>1874</v>
      </c>
      <c r="C1274" s="5" t="s">
        <v>614</v>
      </c>
      <c r="D1274" s="3" t="s">
        <v>206</v>
      </c>
      <c r="E1274" s="3" t="s">
        <v>100</v>
      </c>
      <c r="F1274" s="7">
        <v>45775.75926321829</v>
      </c>
      <c r="G1274" s="3" t="s">
        <v>4889</v>
      </c>
    </row>
    <row r="1275">
      <c r="A1275" s="3" t="s">
        <v>4890</v>
      </c>
      <c r="B1275" s="3" t="s">
        <v>1874</v>
      </c>
      <c r="C1275" s="5" t="s">
        <v>206</v>
      </c>
      <c r="D1275" s="3" t="s">
        <v>68</v>
      </c>
      <c r="E1275" s="3" t="s">
        <v>100</v>
      </c>
      <c r="F1275" s="7">
        <v>45775.76273544051</v>
      </c>
      <c r="G1275" s="3" t="s">
        <v>4892</v>
      </c>
    </row>
    <row r="1276">
      <c r="A1276" s="3" t="s">
        <v>4893</v>
      </c>
      <c r="B1276" s="3" t="s">
        <v>1877</v>
      </c>
      <c r="C1276" s="5" t="s">
        <v>45</v>
      </c>
      <c r="D1276" s="3" t="s">
        <v>221</v>
      </c>
      <c r="E1276" s="3" t="s">
        <v>903</v>
      </c>
      <c r="F1276" s="7">
        <v>45775.82349361925</v>
      </c>
      <c r="G1276" s="3" t="s">
        <v>4895</v>
      </c>
    </row>
    <row r="1277">
      <c r="A1277" s="3" t="s">
        <v>4896</v>
      </c>
      <c r="B1277" s="3" t="s">
        <v>1877</v>
      </c>
      <c r="C1277" s="5" t="s">
        <v>221</v>
      </c>
      <c r="D1277" s="3" t="s">
        <v>614</v>
      </c>
      <c r="E1277" s="3" t="s">
        <v>118</v>
      </c>
      <c r="F1277" s="7">
        <v>45775.82696584147</v>
      </c>
      <c r="G1277" s="3" t="s">
        <v>4898</v>
      </c>
    </row>
    <row r="1278">
      <c r="A1278" s="3" t="s">
        <v>4899</v>
      </c>
      <c r="B1278" s="3" t="s">
        <v>1877</v>
      </c>
      <c r="C1278" s="5" t="s">
        <v>614</v>
      </c>
      <c r="D1278" s="3" t="s">
        <v>206</v>
      </c>
      <c r="E1278" s="3" t="s">
        <v>100</v>
      </c>
      <c r="F1278" s="7">
        <v>45775.8304380637</v>
      </c>
      <c r="G1278" s="3" t="s">
        <v>4900</v>
      </c>
    </row>
    <row r="1279">
      <c r="A1279" s="3" t="s">
        <v>4902</v>
      </c>
      <c r="B1279" s="3" t="s">
        <v>1877</v>
      </c>
      <c r="C1279" s="5" t="s">
        <v>206</v>
      </c>
      <c r="D1279" s="3" t="s">
        <v>68</v>
      </c>
      <c r="E1279" s="3" t="s">
        <v>100</v>
      </c>
      <c r="F1279" s="7">
        <v>45775.83391028592</v>
      </c>
      <c r="G1279" s="3" t="s">
        <v>4903</v>
      </c>
    </row>
    <row r="1280">
      <c r="A1280" s="3" t="s">
        <v>4905</v>
      </c>
      <c r="B1280" s="3" t="s">
        <v>1880</v>
      </c>
      <c r="C1280" s="5" t="s">
        <v>45</v>
      </c>
      <c r="D1280" s="3" t="s">
        <v>221</v>
      </c>
      <c r="E1280" s="3" t="s">
        <v>512</v>
      </c>
      <c r="F1280" s="7">
        <v>45775.89466846467</v>
      </c>
      <c r="G1280" s="3" t="s">
        <v>4906</v>
      </c>
    </row>
    <row r="1281">
      <c r="A1281" s="3" t="s">
        <v>4908</v>
      </c>
      <c r="B1281" s="3" t="s">
        <v>1880</v>
      </c>
      <c r="C1281" s="5" t="s">
        <v>221</v>
      </c>
      <c r="D1281" s="3" t="s">
        <v>614</v>
      </c>
      <c r="E1281" s="3" t="s">
        <v>118</v>
      </c>
      <c r="F1281" s="7">
        <v>45775.89814068689</v>
      </c>
      <c r="G1281" s="3" t="s">
        <v>4910</v>
      </c>
    </row>
    <row r="1282">
      <c r="A1282" s="3" t="s">
        <v>4911</v>
      </c>
      <c r="B1282" s="3" t="s">
        <v>1880</v>
      </c>
      <c r="C1282" s="5" t="s">
        <v>614</v>
      </c>
      <c r="D1282" s="3" t="s">
        <v>206</v>
      </c>
      <c r="E1282" s="3" t="s">
        <v>100</v>
      </c>
      <c r="F1282" s="7">
        <v>45775.90161290912</v>
      </c>
      <c r="G1282" s="3" t="s">
        <v>4912</v>
      </c>
    </row>
    <row r="1283">
      <c r="A1283" s="3" t="s">
        <v>4914</v>
      </c>
      <c r="B1283" s="3" t="s">
        <v>1880</v>
      </c>
      <c r="C1283" s="5" t="s">
        <v>206</v>
      </c>
      <c r="D1283" s="3" t="s">
        <v>68</v>
      </c>
      <c r="E1283" s="3" t="s">
        <v>100</v>
      </c>
      <c r="F1283" s="7">
        <v>45775.90508513134</v>
      </c>
      <c r="G1283" s="3" t="s">
        <v>4915</v>
      </c>
    </row>
    <row r="1284">
      <c r="A1284" s="3" t="s">
        <v>4917</v>
      </c>
      <c r="B1284" s="3" t="s">
        <v>1883</v>
      </c>
      <c r="C1284" s="5" t="s">
        <v>45</v>
      </c>
      <c r="D1284" s="3" t="s">
        <v>221</v>
      </c>
      <c r="E1284" s="3" t="s">
        <v>554</v>
      </c>
      <c r="F1284" s="7">
        <v>45775.96584331009</v>
      </c>
      <c r="G1284" s="3" t="s">
        <v>2770</v>
      </c>
    </row>
    <row r="1285">
      <c r="A1285" s="3" t="s">
        <v>4918</v>
      </c>
      <c r="B1285" s="3" t="s">
        <v>1883</v>
      </c>
      <c r="C1285" s="5" t="s">
        <v>221</v>
      </c>
      <c r="D1285" s="3" t="s">
        <v>195</v>
      </c>
      <c r="E1285" s="3" t="s">
        <v>554</v>
      </c>
      <c r="F1285" s="7">
        <v>45775.96931553231</v>
      </c>
      <c r="G1285" s="3" t="s">
        <v>3055</v>
      </c>
    </row>
    <row r="1286">
      <c r="A1286" s="3" t="s">
        <v>4920</v>
      </c>
      <c r="B1286" s="3" t="s">
        <v>1888</v>
      </c>
      <c r="C1286" s="5" t="s">
        <v>45</v>
      </c>
      <c r="D1286" s="3" t="s">
        <v>221</v>
      </c>
      <c r="E1286" s="3" t="s">
        <v>226</v>
      </c>
      <c r="F1286" s="7">
        <v>45776.037018155504</v>
      </c>
      <c r="G1286" s="3" t="s">
        <v>4922</v>
      </c>
    </row>
    <row r="1287">
      <c r="A1287" s="3" t="s">
        <v>4923</v>
      </c>
      <c r="B1287" s="3" t="s">
        <v>1888</v>
      </c>
      <c r="C1287" s="5" t="s">
        <v>221</v>
      </c>
      <c r="D1287" s="3" t="s">
        <v>614</v>
      </c>
      <c r="E1287" s="3" t="s">
        <v>118</v>
      </c>
      <c r="F1287" s="7">
        <v>45776.04049037772</v>
      </c>
      <c r="G1287" s="3" t="s">
        <v>4925</v>
      </c>
    </row>
    <row r="1288">
      <c r="A1288" s="3" t="s">
        <v>4926</v>
      </c>
      <c r="B1288" s="3" t="s">
        <v>1888</v>
      </c>
      <c r="C1288" s="5" t="s">
        <v>614</v>
      </c>
      <c r="D1288" s="3" t="s">
        <v>206</v>
      </c>
      <c r="E1288" s="3" t="s">
        <v>100</v>
      </c>
      <c r="F1288" s="7">
        <v>45776.04396259995</v>
      </c>
      <c r="G1288" s="3" t="s">
        <v>4928</v>
      </c>
    </row>
    <row r="1289">
      <c r="A1289" s="3" t="s">
        <v>4929</v>
      </c>
      <c r="B1289" s="3" t="s">
        <v>1888</v>
      </c>
      <c r="C1289" s="5" t="s">
        <v>206</v>
      </c>
      <c r="D1289" s="3" t="s">
        <v>68</v>
      </c>
      <c r="E1289" s="3" t="s">
        <v>100</v>
      </c>
      <c r="F1289" s="7">
        <v>45776.04743482217</v>
      </c>
      <c r="G1289" s="3" t="s">
        <v>4931</v>
      </c>
    </row>
    <row r="1290">
      <c r="A1290" s="3" t="s">
        <v>4932</v>
      </c>
      <c r="B1290" s="3" t="s">
        <v>1891</v>
      </c>
      <c r="C1290" s="5" t="s">
        <v>45</v>
      </c>
      <c r="D1290" s="3" t="s">
        <v>221</v>
      </c>
      <c r="E1290" s="3" t="s">
        <v>870</v>
      </c>
      <c r="F1290" s="7">
        <v>45776.10819300092</v>
      </c>
      <c r="G1290" s="3" t="s">
        <v>4934</v>
      </c>
    </row>
    <row r="1291">
      <c r="A1291" s="3" t="s">
        <v>4935</v>
      </c>
      <c r="B1291" s="3" t="s">
        <v>1891</v>
      </c>
      <c r="C1291" s="5" t="s">
        <v>221</v>
      </c>
      <c r="D1291" s="3" t="s">
        <v>614</v>
      </c>
      <c r="E1291" s="3" t="s">
        <v>118</v>
      </c>
      <c r="F1291" s="7">
        <v>45776.111665223136</v>
      </c>
      <c r="G1291" s="3" t="s">
        <v>4937</v>
      </c>
    </row>
    <row r="1292">
      <c r="A1292" s="3" t="s">
        <v>4938</v>
      </c>
      <c r="B1292" s="3" t="s">
        <v>1891</v>
      </c>
      <c r="C1292" s="5" t="s">
        <v>614</v>
      </c>
      <c r="D1292" s="3" t="s">
        <v>206</v>
      </c>
      <c r="E1292" s="3" t="s">
        <v>100</v>
      </c>
      <c r="F1292" s="7">
        <v>45776.11513744536</v>
      </c>
      <c r="G1292" s="3" t="s">
        <v>4940</v>
      </c>
    </row>
    <row r="1293">
      <c r="A1293" s="3" t="s">
        <v>4941</v>
      </c>
      <c r="B1293" s="3" t="s">
        <v>1891</v>
      </c>
      <c r="C1293" s="5" t="s">
        <v>206</v>
      </c>
      <c r="D1293" s="3" t="s">
        <v>68</v>
      </c>
      <c r="E1293" s="3" t="s">
        <v>100</v>
      </c>
      <c r="F1293" s="7">
        <v>45776.11860966758</v>
      </c>
      <c r="G1293" s="3" t="s">
        <v>4943</v>
      </c>
    </row>
    <row r="1294">
      <c r="A1294" s="3" t="s">
        <v>4944</v>
      </c>
      <c r="B1294" s="3" t="s">
        <v>1895</v>
      </c>
      <c r="C1294" s="5" t="s">
        <v>45</v>
      </c>
      <c r="D1294" s="3" t="s">
        <v>221</v>
      </c>
      <c r="E1294" s="3" t="s">
        <v>250</v>
      </c>
      <c r="F1294" s="7">
        <v>45776.17936784634</v>
      </c>
      <c r="G1294" s="3" t="s">
        <v>4946</v>
      </c>
    </row>
    <row r="1295">
      <c r="A1295" s="3" t="s">
        <v>4947</v>
      </c>
      <c r="B1295" s="3" t="s">
        <v>1895</v>
      </c>
      <c r="C1295" s="5" t="s">
        <v>221</v>
      </c>
      <c r="D1295" s="3" t="s">
        <v>614</v>
      </c>
      <c r="E1295" s="3" t="s">
        <v>118</v>
      </c>
      <c r="F1295" s="7">
        <v>45776.182840068555</v>
      </c>
      <c r="G1295" s="3" t="s">
        <v>4949</v>
      </c>
    </row>
    <row r="1296">
      <c r="A1296" s="3" t="s">
        <v>4950</v>
      </c>
      <c r="B1296" s="3" t="s">
        <v>1895</v>
      </c>
      <c r="C1296" s="5" t="s">
        <v>614</v>
      </c>
      <c r="D1296" s="3" t="s">
        <v>206</v>
      </c>
      <c r="E1296" s="3" t="s">
        <v>100</v>
      </c>
      <c r="F1296" s="7">
        <v>45776.18631229078</v>
      </c>
      <c r="G1296" s="3" t="s">
        <v>4952</v>
      </c>
    </row>
    <row r="1297">
      <c r="A1297" s="3" t="s">
        <v>4953</v>
      </c>
      <c r="B1297" s="3" t="s">
        <v>1895</v>
      </c>
      <c r="C1297" s="5" t="s">
        <v>206</v>
      </c>
      <c r="D1297" s="3" t="s">
        <v>68</v>
      </c>
      <c r="E1297" s="3" t="s">
        <v>100</v>
      </c>
      <c r="F1297" s="7">
        <v>45776.189784513</v>
      </c>
      <c r="G1297" s="3" t="s">
        <v>4955</v>
      </c>
    </row>
    <row r="1298">
      <c r="A1298" s="3" t="s">
        <v>4956</v>
      </c>
      <c r="B1298" s="3" t="s">
        <v>1898</v>
      </c>
      <c r="C1298" s="5" t="s">
        <v>45</v>
      </c>
      <c r="D1298" s="3" t="s">
        <v>221</v>
      </c>
      <c r="E1298" s="3" t="s">
        <v>512</v>
      </c>
      <c r="F1298" s="7">
        <v>45776.25054269175</v>
      </c>
      <c r="G1298" s="3" t="s">
        <v>4957</v>
      </c>
    </row>
    <row r="1299">
      <c r="A1299" s="3" t="s">
        <v>4959</v>
      </c>
      <c r="B1299" s="3" t="s">
        <v>1898</v>
      </c>
      <c r="C1299" s="5" t="s">
        <v>221</v>
      </c>
      <c r="D1299" s="3" t="s">
        <v>614</v>
      </c>
      <c r="E1299" s="3" t="s">
        <v>118</v>
      </c>
      <c r="F1299" s="7">
        <v>45776.25401491397</v>
      </c>
      <c r="G1299" s="3" t="s">
        <v>4960</v>
      </c>
    </row>
    <row r="1300">
      <c r="A1300" s="3" t="s">
        <v>4962</v>
      </c>
      <c r="B1300" s="3" t="s">
        <v>1898</v>
      </c>
      <c r="C1300" s="5" t="s">
        <v>614</v>
      </c>
      <c r="D1300" s="3" t="s">
        <v>206</v>
      </c>
      <c r="E1300" s="3" t="s">
        <v>100</v>
      </c>
      <c r="F1300" s="7">
        <v>45776.257487136194</v>
      </c>
      <c r="G1300" s="3" t="s">
        <v>4963</v>
      </c>
    </row>
    <row r="1301">
      <c r="A1301" s="3" t="s">
        <v>4965</v>
      </c>
      <c r="B1301" s="3" t="s">
        <v>1898</v>
      </c>
      <c r="C1301" s="5" t="s">
        <v>206</v>
      </c>
      <c r="D1301" s="3" t="s">
        <v>68</v>
      </c>
      <c r="E1301" s="3" t="s">
        <v>100</v>
      </c>
      <c r="F1301" s="7">
        <v>45776.26095935841</v>
      </c>
      <c r="G1301" s="3" t="s">
        <v>4966</v>
      </c>
    </row>
    <row r="1302">
      <c r="A1302" s="3" t="s">
        <v>4968</v>
      </c>
      <c r="B1302" s="3" t="s">
        <v>1902</v>
      </c>
      <c r="C1302" s="5" t="s">
        <v>45</v>
      </c>
      <c r="D1302" s="3" t="s">
        <v>221</v>
      </c>
      <c r="E1302" s="3" t="s">
        <v>123</v>
      </c>
      <c r="F1302" s="7">
        <v>45776.32171753716</v>
      </c>
      <c r="G1302" s="3" t="s">
        <v>2770</v>
      </c>
    </row>
    <row r="1303">
      <c r="A1303" s="3" t="s">
        <v>4969</v>
      </c>
      <c r="B1303" s="3" t="s">
        <v>1902</v>
      </c>
      <c r="C1303" s="5" t="s">
        <v>221</v>
      </c>
      <c r="D1303" s="3" t="s">
        <v>195</v>
      </c>
      <c r="E1303" s="3" t="s">
        <v>123</v>
      </c>
      <c r="F1303" s="7">
        <v>45776.32518975938</v>
      </c>
      <c r="G1303" s="3" t="s">
        <v>3055</v>
      </c>
    </row>
    <row r="1304">
      <c r="A1304" s="3" t="s">
        <v>4971</v>
      </c>
      <c r="B1304" s="3" t="s">
        <v>1905</v>
      </c>
      <c r="C1304" s="5" t="s">
        <v>45</v>
      </c>
      <c r="D1304" s="3" t="s">
        <v>221</v>
      </c>
      <c r="E1304" s="3" t="s">
        <v>449</v>
      </c>
      <c r="F1304" s="7">
        <v>45776.39289238258</v>
      </c>
      <c r="G1304" s="3" t="s">
        <v>4973</v>
      </c>
    </row>
    <row r="1305">
      <c r="A1305" s="3" t="s">
        <v>4974</v>
      </c>
      <c r="B1305" s="3" t="s">
        <v>1905</v>
      </c>
      <c r="C1305" s="5" t="s">
        <v>221</v>
      </c>
      <c r="D1305" s="3" t="s">
        <v>614</v>
      </c>
      <c r="E1305" s="3" t="s">
        <v>118</v>
      </c>
      <c r="F1305" s="7">
        <v>45776.3963646048</v>
      </c>
      <c r="G1305" s="3" t="s">
        <v>4976</v>
      </c>
    </row>
    <row r="1306">
      <c r="A1306" s="3" t="s">
        <v>4977</v>
      </c>
      <c r="B1306" s="3" t="s">
        <v>1905</v>
      </c>
      <c r="C1306" s="5" t="s">
        <v>614</v>
      </c>
      <c r="D1306" s="3" t="s">
        <v>206</v>
      </c>
      <c r="E1306" s="3" t="s">
        <v>100</v>
      </c>
      <c r="F1306" s="7">
        <v>45776.399836827026</v>
      </c>
      <c r="G1306" s="3" t="s">
        <v>4979</v>
      </c>
    </row>
    <row r="1307">
      <c r="A1307" s="3" t="s">
        <v>4980</v>
      </c>
      <c r="B1307" s="3" t="s">
        <v>1905</v>
      </c>
      <c r="C1307" s="5" t="s">
        <v>206</v>
      </c>
      <c r="D1307" s="3" t="s">
        <v>68</v>
      </c>
      <c r="E1307" s="3" t="s">
        <v>100</v>
      </c>
      <c r="F1307" s="7">
        <v>45776.403309049245</v>
      </c>
      <c r="G1307" s="3" t="s">
        <v>4982</v>
      </c>
    </row>
    <row r="1308">
      <c r="A1308" s="3" t="s">
        <v>4983</v>
      </c>
      <c r="B1308" s="3" t="s">
        <v>1909</v>
      </c>
      <c r="C1308" s="5" t="s">
        <v>45</v>
      </c>
      <c r="D1308" s="3" t="s">
        <v>221</v>
      </c>
      <c r="E1308" s="3" t="s">
        <v>330</v>
      </c>
      <c r="F1308" s="7">
        <v>45776.46406722799</v>
      </c>
      <c r="G1308" s="3" t="s">
        <v>4985</v>
      </c>
    </row>
    <row r="1309">
      <c r="A1309" s="3" t="s">
        <v>4986</v>
      </c>
      <c r="B1309" s="3" t="s">
        <v>1909</v>
      </c>
      <c r="C1309" s="5" t="s">
        <v>221</v>
      </c>
      <c r="D1309" s="3" t="s">
        <v>614</v>
      </c>
      <c r="E1309" s="3" t="s">
        <v>118</v>
      </c>
      <c r="F1309" s="7">
        <v>45776.46753945021</v>
      </c>
      <c r="G1309" s="3" t="s">
        <v>4988</v>
      </c>
    </row>
    <row r="1310">
      <c r="A1310" s="3" t="s">
        <v>4989</v>
      </c>
      <c r="B1310" s="3" t="s">
        <v>1909</v>
      </c>
      <c r="C1310" s="5" t="s">
        <v>614</v>
      </c>
      <c r="D1310" s="3" t="s">
        <v>206</v>
      </c>
      <c r="E1310" s="3" t="s">
        <v>100</v>
      </c>
      <c r="F1310" s="7">
        <v>45776.47101167244</v>
      </c>
      <c r="G1310" s="3" t="s">
        <v>4990</v>
      </c>
    </row>
    <row r="1311">
      <c r="A1311" s="3" t="s">
        <v>4992</v>
      </c>
      <c r="B1311" s="3" t="s">
        <v>1909</v>
      </c>
      <c r="C1311" s="5" t="s">
        <v>206</v>
      </c>
      <c r="D1311" s="3" t="s">
        <v>68</v>
      </c>
      <c r="E1311" s="3" t="s">
        <v>100</v>
      </c>
      <c r="F1311" s="7">
        <v>45776.47448389466</v>
      </c>
      <c r="G1311" s="3" t="s">
        <v>4993</v>
      </c>
    </row>
    <row r="1312">
      <c r="A1312" s="3" t="s">
        <v>4994</v>
      </c>
      <c r="B1312" s="3" t="s">
        <v>1912</v>
      </c>
      <c r="C1312" s="5" t="s">
        <v>45</v>
      </c>
      <c r="D1312" s="3" t="s">
        <v>221</v>
      </c>
      <c r="E1312" s="3" t="s">
        <v>672</v>
      </c>
      <c r="F1312" s="7">
        <v>45776.535242073405</v>
      </c>
      <c r="G1312" s="3" t="s">
        <v>4996</v>
      </c>
    </row>
    <row r="1313">
      <c r="A1313" s="3" t="s">
        <v>4997</v>
      </c>
      <c r="B1313" s="3" t="s">
        <v>1912</v>
      </c>
      <c r="C1313" s="5" t="s">
        <v>221</v>
      </c>
      <c r="D1313" s="3" t="s">
        <v>614</v>
      </c>
      <c r="E1313" s="3" t="s">
        <v>118</v>
      </c>
      <c r="F1313" s="7">
        <v>45776.538714295624</v>
      </c>
      <c r="G1313" s="3" t="s">
        <v>4999</v>
      </c>
    </row>
    <row r="1314">
      <c r="A1314" s="3" t="s">
        <v>5000</v>
      </c>
      <c r="B1314" s="3" t="s">
        <v>1912</v>
      </c>
      <c r="C1314" s="5" t="s">
        <v>614</v>
      </c>
      <c r="D1314" s="3" t="s">
        <v>206</v>
      </c>
      <c r="E1314" s="3" t="s">
        <v>100</v>
      </c>
      <c r="F1314" s="7">
        <v>45776.54218651785</v>
      </c>
      <c r="G1314" s="3" t="s">
        <v>5002</v>
      </c>
    </row>
    <row r="1315">
      <c r="A1315" s="3" t="s">
        <v>5003</v>
      </c>
      <c r="B1315" s="3" t="s">
        <v>1912</v>
      </c>
      <c r="C1315" s="5" t="s">
        <v>206</v>
      </c>
      <c r="D1315" s="3" t="s">
        <v>68</v>
      </c>
      <c r="E1315" s="3" t="s">
        <v>100</v>
      </c>
      <c r="F1315" s="7">
        <v>45776.54565874007</v>
      </c>
      <c r="G1315" s="3" t="s">
        <v>5004</v>
      </c>
    </row>
    <row r="1316">
      <c r="A1316" s="3" t="s">
        <v>5006</v>
      </c>
      <c r="B1316" s="3" t="s">
        <v>1915</v>
      </c>
      <c r="C1316" s="5" t="s">
        <v>45</v>
      </c>
      <c r="D1316" s="3" t="s">
        <v>221</v>
      </c>
      <c r="E1316" s="3" t="s">
        <v>141</v>
      </c>
      <c r="F1316" s="7">
        <v>45776.606416918825</v>
      </c>
      <c r="G1316" s="3" t="s">
        <v>5008</v>
      </c>
    </row>
    <row r="1317">
      <c r="A1317" s="3" t="s">
        <v>5009</v>
      </c>
      <c r="B1317" s="3" t="s">
        <v>1915</v>
      </c>
      <c r="C1317" s="5" t="s">
        <v>221</v>
      </c>
      <c r="D1317" s="3" t="s">
        <v>614</v>
      </c>
      <c r="E1317" s="3" t="s">
        <v>118</v>
      </c>
      <c r="F1317" s="7">
        <v>45776.609889141044</v>
      </c>
      <c r="G1317" s="3" t="s">
        <v>5011</v>
      </c>
    </row>
    <row r="1318">
      <c r="A1318" s="3" t="s">
        <v>5012</v>
      </c>
      <c r="B1318" s="3" t="s">
        <v>1915</v>
      </c>
      <c r="C1318" s="5" t="s">
        <v>614</v>
      </c>
      <c r="D1318" s="3" t="s">
        <v>206</v>
      </c>
      <c r="E1318" s="3" t="s">
        <v>100</v>
      </c>
      <c r="F1318" s="7">
        <v>45776.61336136327</v>
      </c>
      <c r="G1318" s="3" t="s">
        <v>5014</v>
      </c>
    </row>
    <row r="1319">
      <c r="A1319" s="3" t="s">
        <v>5015</v>
      </c>
      <c r="B1319" s="3" t="s">
        <v>1915</v>
      </c>
      <c r="C1319" s="5" t="s">
        <v>206</v>
      </c>
      <c r="D1319" s="3" t="s">
        <v>68</v>
      </c>
      <c r="E1319" s="3" t="s">
        <v>100</v>
      </c>
      <c r="F1319" s="7">
        <v>45776.61683358549</v>
      </c>
      <c r="G1319" s="3" t="s">
        <v>5017</v>
      </c>
    </row>
    <row r="1320">
      <c r="A1320" s="3" t="s">
        <v>5018</v>
      </c>
      <c r="B1320" s="3" t="s">
        <v>1919</v>
      </c>
      <c r="C1320" s="5" t="s">
        <v>45</v>
      </c>
      <c r="D1320" s="3" t="s">
        <v>221</v>
      </c>
      <c r="E1320" s="3" t="s">
        <v>685</v>
      </c>
      <c r="F1320" s="7">
        <v>45776.67759176424</v>
      </c>
      <c r="G1320" s="3" t="s">
        <v>5019</v>
      </c>
    </row>
    <row r="1321">
      <c r="A1321" s="3" t="s">
        <v>5021</v>
      </c>
      <c r="B1321" s="3" t="s">
        <v>1919</v>
      </c>
      <c r="C1321" s="5" t="s">
        <v>221</v>
      </c>
      <c r="D1321" s="3" t="s">
        <v>614</v>
      </c>
      <c r="E1321" s="3" t="s">
        <v>118</v>
      </c>
      <c r="F1321" s="7">
        <v>45776.681063986456</v>
      </c>
      <c r="G1321" s="3" t="s">
        <v>5022</v>
      </c>
    </row>
    <row r="1322">
      <c r="A1322" s="3" t="s">
        <v>5024</v>
      </c>
      <c r="B1322" s="3" t="s">
        <v>1919</v>
      </c>
      <c r="C1322" s="5" t="s">
        <v>614</v>
      </c>
      <c r="D1322" s="3" t="s">
        <v>206</v>
      </c>
      <c r="E1322" s="3" t="s">
        <v>100</v>
      </c>
      <c r="F1322" s="7">
        <v>45776.68453620868</v>
      </c>
      <c r="G1322" s="3" t="s">
        <v>5025</v>
      </c>
    </row>
    <row r="1323">
      <c r="A1323" s="3" t="s">
        <v>5026</v>
      </c>
      <c r="B1323" s="3" t="s">
        <v>1919</v>
      </c>
      <c r="C1323" s="5" t="s">
        <v>206</v>
      </c>
      <c r="D1323" s="3" t="s">
        <v>68</v>
      </c>
      <c r="E1323" s="3" t="s">
        <v>100</v>
      </c>
      <c r="F1323" s="7">
        <v>45776.6880084309</v>
      </c>
      <c r="G1323" s="3" t="s">
        <v>5028</v>
      </c>
    </row>
    <row r="1324">
      <c r="A1324" s="3" t="s">
        <v>5029</v>
      </c>
      <c r="B1324" s="3" t="s">
        <v>1922</v>
      </c>
      <c r="C1324" s="5" t="s">
        <v>45</v>
      </c>
      <c r="D1324" s="3" t="s">
        <v>221</v>
      </c>
      <c r="E1324" s="3" t="s">
        <v>998</v>
      </c>
      <c r="F1324" s="7">
        <v>45776.74876660965</v>
      </c>
      <c r="G1324" s="3" t="s">
        <v>5031</v>
      </c>
    </row>
    <row r="1325">
      <c r="A1325" s="3" t="s">
        <v>5032</v>
      </c>
      <c r="B1325" s="3" t="s">
        <v>1922</v>
      </c>
      <c r="C1325" s="5" t="s">
        <v>221</v>
      </c>
      <c r="D1325" s="3" t="s">
        <v>614</v>
      </c>
      <c r="E1325" s="3" t="s">
        <v>118</v>
      </c>
      <c r="F1325" s="7">
        <v>45776.75223883187</v>
      </c>
      <c r="G1325" s="3" t="s">
        <v>5034</v>
      </c>
    </row>
    <row r="1326">
      <c r="A1326" s="3" t="s">
        <v>5035</v>
      </c>
      <c r="B1326" s="3" t="s">
        <v>1922</v>
      </c>
      <c r="C1326" s="5" t="s">
        <v>614</v>
      </c>
      <c r="D1326" s="3" t="s">
        <v>206</v>
      </c>
      <c r="E1326" s="3" t="s">
        <v>100</v>
      </c>
      <c r="F1326" s="7">
        <v>45776.755711054095</v>
      </c>
      <c r="G1326" s="3" t="s">
        <v>5037</v>
      </c>
    </row>
    <row r="1327">
      <c r="A1327" s="3" t="s">
        <v>5038</v>
      </c>
      <c r="B1327" s="3" t="s">
        <v>1922</v>
      </c>
      <c r="C1327" s="5" t="s">
        <v>206</v>
      </c>
      <c r="D1327" s="3" t="s">
        <v>68</v>
      </c>
      <c r="E1327" s="3" t="s">
        <v>100</v>
      </c>
      <c r="F1327" s="7">
        <v>45776.759183276314</v>
      </c>
      <c r="G1327" s="3" t="s">
        <v>5040</v>
      </c>
    </row>
    <row r="1328">
      <c r="A1328" s="3" t="s">
        <v>5041</v>
      </c>
      <c r="B1328" s="3" t="s">
        <v>1926</v>
      </c>
      <c r="C1328" s="5" t="s">
        <v>45</v>
      </c>
      <c r="D1328" s="3" t="s">
        <v>221</v>
      </c>
      <c r="E1328" s="3" t="s">
        <v>539</v>
      </c>
      <c r="F1328" s="7">
        <v>45776.81994145507</v>
      </c>
      <c r="G1328" s="3" t="s">
        <v>5043</v>
      </c>
    </row>
    <row r="1329">
      <c r="A1329" s="3" t="s">
        <v>5044</v>
      </c>
      <c r="B1329" s="3" t="s">
        <v>1926</v>
      </c>
      <c r="C1329" s="5" t="s">
        <v>221</v>
      </c>
      <c r="D1329" s="3" t="s">
        <v>614</v>
      </c>
      <c r="E1329" s="3" t="s">
        <v>118</v>
      </c>
      <c r="F1329" s="7">
        <v>45776.82341367729</v>
      </c>
      <c r="G1329" s="3" t="s">
        <v>5046</v>
      </c>
    </row>
    <row r="1330">
      <c r="A1330" s="3" t="s">
        <v>5047</v>
      </c>
      <c r="B1330" s="3" t="s">
        <v>1926</v>
      </c>
      <c r="C1330" s="5" t="s">
        <v>614</v>
      </c>
      <c r="D1330" s="3" t="s">
        <v>206</v>
      </c>
      <c r="E1330" s="3" t="s">
        <v>100</v>
      </c>
      <c r="F1330" s="7">
        <v>45776.826885899514</v>
      </c>
      <c r="G1330" s="3" t="s">
        <v>5049</v>
      </c>
    </row>
    <row r="1331">
      <c r="A1331" s="3" t="s">
        <v>5050</v>
      </c>
      <c r="B1331" s="3" t="s">
        <v>1926</v>
      </c>
      <c r="C1331" s="5" t="s">
        <v>206</v>
      </c>
      <c r="D1331" s="3" t="s">
        <v>68</v>
      </c>
      <c r="E1331" s="3" t="s">
        <v>100</v>
      </c>
      <c r="F1331" s="7">
        <v>45776.83035812173</v>
      </c>
      <c r="G1331" s="3" t="s">
        <v>5052</v>
      </c>
    </row>
    <row r="1332">
      <c r="A1332" s="3" t="s">
        <v>5053</v>
      </c>
      <c r="B1332" s="3" t="s">
        <v>1930</v>
      </c>
      <c r="C1332" s="5" t="s">
        <v>45</v>
      </c>
      <c r="D1332" s="3" t="s">
        <v>221</v>
      </c>
      <c r="E1332" s="3" t="s">
        <v>290</v>
      </c>
      <c r="F1332" s="7">
        <v>45776.89111630049</v>
      </c>
      <c r="G1332" s="3" t="s">
        <v>5055</v>
      </c>
    </row>
    <row r="1333">
      <c r="A1333" s="3" t="s">
        <v>5056</v>
      </c>
      <c r="B1333" s="3" t="s">
        <v>1930</v>
      </c>
      <c r="C1333" s="5" t="s">
        <v>221</v>
      </c>
      <c r="D1333" s="3" t="s">
        <v>614</v>
      </c>
      <c r="E1333" s="3" t="s">
        <v>118</v>
      </c>
      <c r="F1333" s="7">
        <v>45776.89458852271</v>
      </c>
      <c r="G1333" s="3" t="s">
        <v>5058</v>
      </c>
    </row>
    <row r="1334">
      <c r="A1334" s="3" t="s">
        <v>5059</v>
      </c>
      <c r="B1334" s="3" t="s">
        <v>1930</v>
      </c>
      <c r="C1334" s="5" t="s">
        <v>614</v>
      </c>
      <c r="D1334" s="3" t="s">
        <v>206</v>
      </c>
      <c r="E1334" s="3" t="s">
        <v>100</v>
      </c>
      <c r="F1334" s="7">
        <v>45776.898060744934</v>
      </c>
      <c r="G1334" s="3" t="s">
        <v>5060</v>
      </c>
    </row>
    <row r="1335">
      <c r="A1335" s="3" t="s">
        <v>5062</v>
      </c>
      <c r="B1335" s="3" t="s">
        <v>1930</v>
      </c>
      <c r="C1335" s="5" t="s">
        <v>206</v>
      </c>
      <c r="D1335" s="3" t="s">
        <v>68</v>
      </c>
      <c r="E1335" s="3" t="s">
        <v>100</v>
      </c>
      <c r="F1335" s="7">
        <v>45776.90153296715</v>
      </c>
      <c r="G1335" s="3" t="s">
        <v>5063</v>
      </c>
    </row>
    <row r="1336">
      <c r="A1336" s="3" t="s">
        <v>5064</v>
      </c>
      <c r="B1336" s="3" t="s">
        <v>1934</v>
      </c>
      <c r="C1336" s="5" t="s">
        <v>45</v>
      </c>
      <c r="D1336" s="3" t="s">
        <v>221</v>
      </c>
      <c r="E1336" s="3" t="s">
        <v>903</v>
      </c>
      <c r="F1336" s="7">
        <v>45776.962291145894</v>
      </c>
      <c r="G1336" s="3" t="s">
        <v>5066</v>
      </c>
    </row>
    <row r="1337">
      <c r="A1337" s="3" t="s">
        <v>5067</v>
      </c>
      <c r="B1337" s="3" t="s">
        <v>1934</v>
      </c>
      <c r="C1337" s="5" t="s">
        <v>221</v>
      </c>
      <c r="D1337" s="3" t="s">
        <v>614</v>
      </c>
      <c r="E1337" s="3" t="s">
        <v>118</v>
      </c>
      <c r="F1337" s="7">
        <v>45776.96576336811</v>
      </c>
      <c r="G1337" s="3" t="s">
        <v>5069</v>
      </c>
    </row>
    <row r="1338">
      <c r="A1338" s="3" t="s">
        <v>5070</v>
      </c>
      <c r="B1338" s="3" t="s">
        <v>1934</v>
      </c>
      <c r="C1338" s="5" t="s">
        <v>614</v>
      </c>
      <c r="D1338" s="3" t="s">
        <v>206</v>
      </c>
      <c r="E1338" s="3" t="s">
        <v>100</v>
      </c>
      <c r="F1338" s="7">
        <v>45776.96923559034</v>
      </c>
      <c r="G1338" s="3" t="s">
        <v>5072</v>
      </c>
    </row>
    <row r="1339">
      <c r="A1339" s="3" t="s">
        <v>5073</v>
      </c>
      <c r="B1339" s="3" t="s">
        <v>1934</v>
      </c>
      <c r="C1339" s="5" t="s">
        <v>206</v>
      </c>
      <c r="D1339" s="3" t="s">
        <v>68</v>
      </c>
      <c r="E1339" s="3" t="s">
        <v>100</v>
      </c>
      <c r="F1339" s="7">
        <v>45776.97270781256</v>
      </c>
      <c r="G1339" s="3" t="s">
        <v>5074</v>
      </c>
    </row>
    <row r="1340">
      <c r="A1340" s="3" t="s">
        <v>5076</v>
      </c>
      <c r="B1340" s="3" t="s">
        <v>1938</v>
      </c>
      <c r="C1340" s="5" t="s">
        <v>45</v>
      </c>
      <c r="D1340" s="3" t="s">
        <v>221</v>
      </c>
      <c r="E1340" s="3" t="s">
        <v>838</v>
      </c>
      <c r="F1340" s="7">
        <v>45777.03346599131</v>
      </c>
      <c r="G1340" s="3" t="s">
        <v>5077</v>
      </c>
    </row>
    <row r="1341">
      <c r="A1341" s="3" t="s">
        <v>5079</v>
      </c>
      <c r="B1341" s="3" t="s">
        <v>1938</v>
      </c>
      <c r="C1341" s="5" t="s">
        <v>221</v>
      </c>
      <c r="D1341" s="3" t="s">
        <v>614</v>
      </c>
      <c r="E1341" s="3" t="s">
        <v>118</v>
      </c>
      <c r="F1341" s="7">
        <v>45777.03693821353</v>
      </c>
      <c r="G1341" s="3" t="s">
        <v>5080</v>
      </c>
    </row>
    <row r="1342">
      <c r="A1342" s="3" t="s">
        <v>5082</v>
      </c>
      <c r="B1342" s="3" t="s">
        <v>1938</v>
      </c>
      <c r="C1342" s="5" t="s">
        <v>614</v>
      </c>
      <c r="D1342" s="3" t="s">
        <v>206</v>
      </c>
      <c r="E1342" s="3" t="s">
        <v>100</v>
      </c>
      <c r="F1342" s="7">
        <v>45777.04041043576</v>
      </c>
      <c r="G1342" s="3" t="s">
        <v>5083</v>
      </c>
    </row>
    <row r="1343">
      <c r="A1343" s="3" t="s">
        <v>5085</v>
      </c>
      <c r="B1343" s="3" t="s">
        <v>1938</v>
      </c>
      <c r="C1343" s="5" t="s">
        <v>206</v>
      </c>
      <c r="D1343" s="3" t="s">
        <v>68</v>
      </c>
      <c r="E1343" s="3" t="s">
        <v>100</v>
      </c>
      <c r="F1343" s="7">
        <v>45777.04388265798</v>
      </c>
      <c r="G1343" s="3" t="s">
        <v>5086</v>
      </c>
    </row>
    <row r="1344">
      <c r="A1344" s="3" t="s">
        <v>5088</v>
      </c>
      <c r="B1344" s="3" t="s">
        <v>1942</v>
      </c>
      <c r="C1344" s="5" t="s">
        <v>45</v>
      </c>
      <c r="D1344" s="3" t="s">
        <v>221</v>
      </c>
      <c r="E1344" s="3" t="s">
        <v>1026</v>
      </c>
      <c r="F1344" s="7">
        <v>45777.10464083673</v>
      </c>
      <c r="G1344" s="3" t="s">
        <v>2770</v>
      </c>
    </row>
    <row r="1345">
      <c r="A1345" s="3" t="s">
        <v>5090</v>
      </c>
      <c r="B1345" s="3" t="s">
        <v>1942</v>
      </c>
      <c r="C1345" s="5" t="s">
        <v>221</v>
      </c>
      <c r="D1345" s="3" t="s">
        <v>181</v>
      </c>
      <c r="E1345" s="3" t="s">
        <v>118</v>
      </c>
      <c r="F1345" s="7">
        <v>45777.10811305895</v>
      </c>
      <c r="G1345" s="3" t="s">
        <v>2774</v>
      </c>
    </row>
    <row r="1346">
      <c r="A1346" s="3" t="s">
        <v>5092</v>
      </c>
      <c r="B1346" s="3" t="s">
        <v>1945</v>
      </c>
      <c r="C1346" s="5" t="s">
        <v>45</v>
      </c>
      <c r="D1346" s="3" t="s">
        <v>221</v>
      </c>
      <c r="E1346" s="3" t="s">
        <v>168</v>
      </c>
      <c r="F1346" s="7">
        <v>45777.175815682145</v>
      </c>
      <c r="G1346" s="3" t="s">
        <v>4342</v>
      </c>
    </row>
    <row r="1347">
      <c r="A1347" s="3" t="s">
        <v>5093</v>
      </c>
      <c r="B1347" s="3" t="s">
        <v>1945</v>
      </c>
      <c r="C1347" s="5" t="s">
        <v>221</v>
      </c>
      <c r="D1347" s="3" t="s">
        <v>614</v>
      </c>
      <c r="E1347" s="3" t="s">
        <v>118</v>
      </c>
      <c r="F1347" s="7">
        <v>45777.179287904364</v>
      </c>
      <c r="G1347" s="3" t="s">
        <v>4345</v>
      </c>
    </row>
    <row r="1348">
      <c r="A1348" s="3" t="s">
        <v>5095</v>
      </c>
      <c r="B1348" s="3" t="s">
        <v>1945</v>
      </c>
      <c r="C1348" s="5" t="s">
        <v>614</v>
      </c>
      <c r="D1348" s="3" t="s">
        <v>206</v>
      </c>
      <c r="E1348" s="3" t="s">
        <v>100</v>
      </c>
      <c r="F1348" s="7">
        <v>45777.18276012659</v>
      </c>
      <c r="G1348" s="3" t="s">
        <v>4348</v>
      </c>
    </row>
    <row r="1349">
      <c r="A1349" s="3" t="s">
        <v>5097</v>
      </c>
      <c r="B1349" s="3" t="s">
        <v>1945</v>
      </c>
      <c r="C1349" s="5" t="s">
        <v>206</v>
      </c>
      <c r="D1349" s="3" t="s">
        <v>68</v>
      </c>
      <c r="E1349" s="3" t="s">
        <v>100</v>
      </c>
      <c r="F1349" s="7">
        <v>45777.18623234881</v>
      </c>
      <c r="G1349" s="3" t="s">
        <v>4350</v>
      </c>
    </row>
    <row r="1350">
      <c r="A1350" s="3" t="s">
        <v>5099</v>
      </c>
      <c r="B1350" s="3" t="s">
        <v>1949</v>
      </c>
      <c r="C1350" s="5" t="s">
        <v>45</v>
      </c>
      <c r="D1350" s="3" t="s">
        <v>221</v>
      </c>
      <c r="E1350" s="3" t="s">
        <v>550</v>
      </c>
      <c r="F1350" s="7">
        <v>45777.24699052756</v>
      </c>
      <c r="G1350" s="3" t="s">
        <v>5101</v>
      </c>
    </row>
    <row r="1351">
      <c r="A1351" s="3" t="s">
        <v>5102</v>
      </c>
      <c r="B1351" s="3" t="s">
        <v>1949</v>
      </c>
      <c r="C1351" s="5" t="s">
        <v>221</v>
      </c>
      <c r="D1351" s="3" t="s">
        <v>614</v>
      </c>
      <c r="E1351" s="3" t="s">
        <v>118</v>
      </c>
      <c r="F1351" s="7">
        <v>45777.25046274978</v>
      </c>
      <c r="G1351" s="3" t="s">
        <v>5104</v>
      </c>
    </row>
    <row r="1352">
      <c r="A1352" s="3" t="s">
        <v>5105</v>
      </c>
      <c r="B1352" s="3" t="s">
        <v>1949</v>
      </c>
      <c r="C1352" s="5" t="s">
        <v>614</v>
      </c>
      <c r="D1352" s="3" t="s">
        <v>206</v>
      </c>
      <c r="E1352" s="3" t="s">
        <v>100</v>
      </c>
      <c r="F1352" s="7">
        <v>45777.253934972</v>
      </c>
      <c r="G1352" s="3" t="s">
        <v>5107</v>
      </c>
    </row>
    <row r="1353">
      <c r="A1353" s="3" t="s">
        <v>5108</v>
      </c>
      <c r="B1353" s="3" t="s">
        <v>1949</v>
      </c>
      <c r="C1353" s="5" t="s">
        <v>206</v>
      </c>
      <c r="D1353" s="3" t="s">
        <v>68</v>
      </c>
      <c r="E1353" s="3" t="s">
        <v>100</v>
      </c>
      <c r="F1353" s="7">
        <v>45777.25740719422</v>
      </c>
      <c r="G1353" s="3" t="s">
        <v>5110</v>
      </c>
    </row>
    <row r="1354">
      <c r="A1354" s="3" t="s">
        <v>5111</v>
      </c>
      <c r="B1354" s="3" t="s">
        <v>1953</v>
      </c>
      <c r="C1354" s="5" t="s">
        <v>45</v>
      </c>
      <c r="D1354" s="3" t="s">
        <v>221</v>
      </c>
      <c r="E1354" s="3" t="s">
        <v>717</v>
      </c>
      <c r="F1354" s="7">
        <v>45777.31816537298</v>
      </c>
      <c r="G1354" s="3" t="s">
        <v>5113</v>
      </c>
    </row>
    <row r="1355">
      <c r="A1355" s="3" t="s">
        <v>5114</v>
      </c>
      <c r="B1355" s="3" t="s">
        <v>1953</v>
      </c>
      <c r="C1355" s="5" t="s">
        <v>221</v>
      </c>
      <c r="D1355" s="3" t="s">
        <v>614</v>
      </c>
      <c r="E1355" s="3" t="s">
        <v>118</v>
      </c>
      <c r="F1355" s="7">
        <v>45777.321637595196</v>
      </c>
      <c r="G1355" s="3" t="s">
        <v>5116</v>
      </c>
    </row>
    <row r="1356">
      <c r="A1356" s="3" t="s">
        <v>5117</v>
      </c>
      <c r="B1356" s="3" t="s">
        <v>1953</v>
      </c>
      <c r="C1356" s="5" t="s">
        <v>614</v>
      </c>
      <c r="D1356" s="3" t="s">
        <v>206</v>
      </c>
      <c r="E1356" s="3" t="s">
        <v>100</v>
      </c>
      <c r="F1356" s="7">
        <v>45777.32510981742</v>
      </c>
      <c r="G1356" s="3" t="s">
        <v>5119</v>
      </c>
    </row>
    <row r="1357">
      <c r="A1357" s="3" t="s">
        <v>5120</v>
      </c>
      <c r="B1357" s="3" t="s">
        <v>1953</v>
      </c>
      <c r="C1357" s="5" t="s">
        <v>206</v>
      </c>
      <c r="D1357" s="3" t="s">
        <v>68</v>
      </c>
      <c r="E1357" s="3" t="s">
        <v>100</v>
      </c>
      <c r="F1357" s="7">
        <v>45777.32858203964</v>
      </c>
      <c r="G1357" s="3" t="s">
        <v>5122</v>
      </c>
    </row>
    <row r="1358">
      <c r="A1358" s="3" t="s">
        <v>5123</v>
      </c>
      <c r="B1358" s="3" t="s">
        <v>1955</v>
      </c>
      <c r="C1358" s="5" t="s">
        <v>45</v>
      </c>
      <c r="D1358" s="3" t="s">
        <v>221</v>
      </c>
      <c r="E1358" s="3" t="s">
        <v>296</v>
      </c>
      <c r="F1358" s="7">
        <v>45777.38934021839</v>
      </c>
      <c r="G1358" s="3" t="s">
        <v>5125</v>
      </c>
    </row>
    <row r="1359">
      <c r="A1359" s="3" t="s">
        <v>5126</v>
      </c>
      <c r="B1359" s="3" t="s">
        <v>1955</v>
      </c>
      <c r="C1359" s="5" t="s">
        <v>221</v>
      </c>
      <c r="D1359" s="3" t="s">
        <v>614</v>
      </c>
      <c r="E1359" s="3" t="s">
        <v>118</v>
      </c>
      <c r="F1359" s="7">
        <v>45777.39281244061</v>
      </c>
      <c r="G1359" s="3" t="s">
        <v>5128</v>
      </c>
    </row>
    <row r="1360">
      <c r="A1360" s="3" t="s">
        <v>5129</v>
      </c>
      <c r="B1360" s="3" t="s">
        <v>1955</v>
      </c>
      <c r="C1360" s="5" t="s">
        <v>614</v>
      </c>
      <c r="D1360" s="3" t="s">
        <v>206</v>
      </c>
      <c r="E1360" s="3" t="s">
        <v>100</v>
      </c>
      <c r="F1360" s="7">
        <v>45777.396284662835</v>
      </c>
      <c r="G1360" s="3" t="s">
        <v>5131</v>
      </c>
    </row>
    <row r="1361">
      <c r="A1361" s="3" t="s">
        <v>5132</v>
      </c>
      <c r="B1361" s="3" t="s">
        <v>1955</v>
      </c>
      <c r="C1361" s="5" t="s">
        <v>206</v>
      </c>
      <c r="D1361" s="3" t="s">
        <v>68</v>
      </c>
      <c r="E1361" s="3" t="s">
        <v>100</v>
      </c>
      <c r="F1361" s="7">
        <v>45777.399756885054</v>
      </c>
      <c r="G1361" s="3" t="s">
        <v>5134</v>
      </c>
    </row>
    <row r="1362">
      <c r="A1362" s="3" t="s">
        <v>5135</v>
      </c>
      <c r="B1362" s="3" t="s">
        <v>1959</v>
      </c>
      <c r="C1362" s="5" t="s">
        <v>45</v>
      </c>
      <c r="D1362" s="3" t="s">
        <v>221</v>
      </c>
      <c r="E1362" s="3" t="s">
        <v>276</v>
      </c>
      <c r="F1362" s="7">
        <v>45777.4605150638</v>
      </c>
      <c r="G1362" s="3" t="s">
        <v>5136</v>
      </c>
    </row>
    <row r="1363">
      <c r="A1363" s="3" t="s">
        <v>5138</v>
      </c>
      <c r="B1363" s="3" t="s">
        <v>1959</v>
      </c>
      <c r="C1363" s="5" t="s">
        <v>221</v>
      </c>
      <c r="D1363" s="3" t="s">
        <v>614</v>
      </c>
      <c r="E1363" s="3" t="s">
        <v>118</v>
      </c>
      <c r="F1363" s="7">
        <v>45777.46398728602</v>
      </c>
      <c r="G1363" s="3" t="s">
        <v>5139</v>
      </c>
    </row>
    <row r="1364">
      <c r="A1364" s="3" t="s">
        <v>5140</v>
      </c>
      <c r="B1364" s="3" t="s">
        <v>1959</v>
      </c>
      <c r="C1364" s="5" t="s">
        <v>614</v>
      </c>
      <c r="D1364" s="3" t="s">
        <v>206</v>
      </c>
      <c r="E1364" s="3" t="s">
        <v>100</v>
      </c>
      <c r="F1364" s="7">
        <v>45777.46745950825</v>
      </c>
      <c r="G1364" s="3" t="s">
        <v>5142</v>
      </c>
    </row>
    <row r="1365">
      <c r="A1365" s="3" t="s">
        <v>5143</v>
      </c>
      <c r="B1365" s="3" t="s">
        <v>1959</v>
      </c>
      <c r="C1365" s="5" t="s">
        <v>206</v>
      </c>
      <c r="D1365" s="3" t="s">
        <v>68</v>
      </c>
      <c r="E1365" s="3" t="s">
        <v>100</v>
      </c>
      <c r="F1365" s="7">
        <v>45777.470931730466</v>
      </c>
      <c r="G1365" s="3" t="s">
        <v>5145</v>
      </c>
    </row>
    <row r="1366">
      <c r="A1366" s="3" t="s">
        <v>5146</v>
      </c>
      <c r="B1366" s="3" t="s">
        <v>1962</v>
      </c>
      <c r="C1366" s="5" t="s">
        <v>45</v>
      </c>
      <c r="D1366" s="3" t="s">
        <v>221</v>
      </c>
      <c r="E1366" s="3" t="s">
        <v>929</v>
      </c>
      <c r="F1366" s="7">
        <v>45777.53168990922</v>
      </c>
      <c r="G1366" s="3" t="s">
        <v>5148</v>
      </c>
    </row>
    <row r="1367">
      <c r="A1367" s="3" t="s">
        <v>5149</v>
      </c>
      <c r="B1367" s="3" t="s">
        <v>1962</v>
      </c>
      <c r="C1367" s="5" t="s">
        <v>221</v>
      </c>
      <c r="D1367" s="3" t="s">
        <v>614</v>
      </c>
      <c r="E1367" s="3" t="s">
        <v>118</v>
      </c>
      <c r="F1367" s="7">
        <v>45777.53516213144</v>
      </c>
      <c r="G1367" s="3" t="s">
        <v>5150</v>
      </c>
    </row>
    <row r="1368">
      <c r="A1368" s="3" t="s">
        <v>5152</v>
      </c>
      <c r="B1368" s="3" t="s">
        <v>1962</v>
      </c>
      <c r="C1368" s="5" t="s">
        <v>614</v>
      </c>
      <c r="D1368" s="3" t="s">
        <v>206</v>
      </c>
      <c r="E1368" s="3" t="s">
        <v>100</v>
      </c>
      <c r="F1368" s="7">
        <v>45777.53863435367</v>
      </c>
      <c r="G1368" s="3" t="s">
        <v>5153</v>
      </c>
    </row>
    <row r="1369">
      <c r="A1369" s="3" t="s">
        <v>5154</v>
      </c>
      <c r="B1369" s="3" t="s">
        <v>1962</v>
      </c>
      <c r="C1369" s="5" t="s">
        <v>206</v>
      </c>
      <c r="D1369" s="3" t="s">
        <v>68</v>
      </c>
      <c r="E1369" s="3" t="s">
        <v>100</v>
      </c>
      <c r="F1369" s="7">
        <v>45777.542106575886</v>
      </c>
      <c r="G1369" s="3" t="s">
        <v>5156</v>
      </c>
    </row>
    <row r="1370">
      <c r="A1370" s="3" t="s">
        <v>5157</v>
      </c>
      <c r="B1370" s="3" t="s">
        <v>1972</v>
      </c>
      <c r="C1370" s="5" t="s">
        <v>45</v>
      </c>
      <c r="D1370" s="3" t="s">
        <v>221</v>
      </c>
      <c r="E1370" s="3" t="s">
        <v>272</v>
      </c>
      <c r="F1370" s="7">
        <v>45777.60286475464</v>
      </c>
      <c r="G1370" s="3" t="s">
        <v>5159</v>
      </c>
    </row>
    <row r="1371">
      <c r="A1371" s="3" t="s">
        <v>5160</v>
      </c>
      <c r="B1371" s="3" t="s">
        <v>1972</v>
      </c>
      <c r="C1371" s="5" t="s">
        <v>221</v>
      </c>
      <c r="D1371" s="3" t="s">
        <v>614</v>
      </c>
      <c r="E1371" s="3" t="s">
        <v>118</v>
      </c>
      <c r="F1371" s="7">
        <v>45777.60633697686</v>
      </c>
      <c r="G1371" s="3" t="s">
        <v>5162</v>
      </c>
    </row>
    <row r="1372">
      <c r="A1372" s="3" t="s">
        <v>5163</v>
      </c>
      <c r="B1372" s="3" t="s">
        <v>1972</v>
      </c>
      <c r="C1372" s="5" t="s">
        <v>614</v>
      </c>
      <c r="D1372" s="3" t="s">
        <v>206</v>
      </c>
      <c r="E1372" s="3" t="s">
        <v>100</v>
      </c>
      <c r="F1372" s="7">
        <v>45777.609809199086</v>
      </c>
      <c r="G1372" s="3" t="s">
        <v>5165</v>
      </c>
    </row>
    <row r="1373">
      <c r="A1373" s="3" t="s">
        <v>5166</v>
      </c>
      <c r="B1373" s="3" t="s">
        <v>1972</v>
      </c>
      <c r="C1373" s="5" t="s">
        <v>206</v>
      </c>
      <c r="D1373" s="3" t="s">
        <v>68</v>
      </c>
      <c r="E1373" s="3" t="s">
        <v>100</v>
      </c>
      <c r="F1373" s="7">
        <v>45777.613281421305</v>
      </c>
      <c r="G1373" s="3" t="s">
        <v>5168</v>
      </c>
    </row>
    <row r="1374">
      <c r="A1374" s="3" t="s">
        <v>5169</v>
      </c>
      <c r="B1374" s="3" t="s">
        <v>1976</v>
      </c>
      <c r="C1374" s="5" t="s">
        <v>45</v>
      </c>
      <c r="D1374" s="3" t="s">
        <v>221</v>
      </c>
      <c r="E1374" s="3" t="s">
        <v>669</v>
      </c>
      <c r="F1374" s="7">
        <v>45777.674039600046</v>
      </c>
      <c r="G1374" s="3" t="s">
        <v>5171</v>
      </c>
    </row>
    <row r="1375">
      <c r="A1375" s="3" t="s">
        <v>5172</v>
      </c>
      <c r="B1375" s="3" t="s">
        <v>1976</v>
      </c>
      <c r="C1375" s="5" t="s">
        <v>221</v>
      </c>
      <c r="D1375" s="3" t="s">
        <v>181</v>
      </c>
      <c r="E1375" s="3" t="s">
        <v>118</v>
      </c>
      <c r="F1375" s="7">
        <v>45777.677511822265</v>
      </c>
      <c r="G1375" s="3" t="s">
        <v>5174</v>
      </c>
    </row>
    <row r="1376">
      <c r="A1376" s="3" t="s">
        <v>5175</v>
      </c>
      <c r="B1376" s="3" t="s">
        <v>1980</v>
      </c>
      <c r="C1376" s="5" t="s">
        <v>45</v>
      </c>
      <c r="D1376" s="3" t="s">
        <v>221</v>
      </c>
      <c r="E1376" s="3" t="s">
        <v>895</v>
      </c>
      <c r="F1376" s="7">
        <v>45777.745214445466</v>
      </c>
      <c r="G1376" s="3" t="s">
        <v>5177</v>
      </c>
    </row>
    <row r="1377">
      <c r="A1377" s="3" t="s">
        <v>5178</v>
      </c>
      <c r="B1377" s="3" t="s">
        <v>1980</v>
      </c>
      <c r="C1377" s="5" t="s">
        <v>221</v>
      </c>
      <c r="D1377" s="3" t="s">
        <v>614</v>
      </c>
      <c r="E1377" s="3" t="s">
        <v>118</v>
      </c>
      <c r="F1377" s="7">
        <v>45777.748686667685</v>
      </c>
      <c r="G1377" s="3" t="s">
        <v>5180</v>
      </c>
    </row>
    <row r="1378">
      <c r="A1378" s="3" t="s">
        <v>5181</v>
      </c>
      <c r="B1378" s="3" t="s">
        <v>1980</v>
      </c>
      <c r="C1378" s="5" t="s">
        <v>614</v>
      </c>
      <c r="D1378" s="3" t="s">
        <v>206</v>
      </c>
      <c r="E1378" s="3" t="s">
        <v>100</v>
      </c>
      <c r="F1378" s="7">
        <v>45777.75215888991</v>
      </c>
      <c r="G1378" s="3" t="s">
        <v>5183</v>
      </c>
    </row>
    <row r="1379">
      <c r="A1379" s="3" t="s">
        <v>5184</v>
      </c>
      <c r="B1379" s="3" t="s">
        <v>1980</v>
      </c>
      <c r="C1379" s="5" t="s">
        <v>206</v>
      </c>
      <c r="D1379" s="3" t="s">
        <v>68</v>
      </c>
      <c r="E1379" s="3" t="s">
        <v>100</v>
      </c>
      <c r="F1379" s="7">
        <v>45777.75563111213</v>
      </c>
      <c r="G1379" s="3" t="s">
        <v>5186</v>
      </c>
    </row>
    <row r="1380">
      <c r="A1380" s="3" t="s">
        <v>5187</v>
      </c>
      <c r="B1380" s="3" t="s">
        <v>1984</v>
      </c>
      <c r="C1380" s="5" t="s">
        <v>45</v>
      </c>
      <c r="D1380" s="3" t="s">
        <v>221</v>
      </c>
      <c r="E1380" s="3" t="s">
        <v>316</v>
      </c>
      <c r="F1380" s="7">
        <v>45777.81638929088</v>
      </c>
      <c r="G1380" s="3" t="s">
        <v>5189</v>
      </c>
    </row>
    <row r="1381">
      <c r="A1381" s="3" t="s">
        <v>5190</v>
      </c>
      <c r="B1381" s="3" t="s">
        <v>1984</v>
      </c>
      <c r="C1381" s="5" t="s">
        <v>221</v>
      </c>
      <c r="D1381" s="3" t="s">
        <v>614</v>
      </c>
      <c r="E1381" s="3" t="s">
        <v>118</v>
      </c>
      <c r="F1381" s="7">
        <v>45777.8198615131</v>
      </c>
      <c r="G1381" s="3" t="s">
        <v>5191</v>
      </c>
    </row>
    <row r="1382">
      <c r="A1382" s="3" t="s">
        <v>5193</v>
      </c>
      <c r="B1382" s="3" t="s">
        <v>1984</v>
      </c>
      <c r="C1382" s="5" t="s">
        <v>614</v>
      </c>
      <c r="D1382" s="3" t="s">
        <v>206</v>
      </c>
      <c r="E1382" s="3" t="s">
        <v>100</v>
      </c>
      <c r="F1382" s="7">
        <v>45777.82333373532</v>
      </c>
      <c r="G1382" s="3" t="s">
        <v>5194</v>
      </c>
    </row>
    <row r="1383">
      <c r="A1383" s="3" t="s">
        <v>5196</v>
      </c>
      <c r="B1383" s="3" t="s">
        <v>1984</v>
      </c>
      <c r="C1383" s="5" t="s">
        <v>206</v>
      </c>
      <c r="D1383" s="3" t="s">
        <v>68</v>
      </c>
      <c r="E1383" s="3" t="s">
        <v>100</v>
      </c>
      <c r="F1383" s="7">
        <v>45777.82680595754</v>
      </c>
      <c r="G1383" s="3" t="s">
        <v>5197</v>
      </c>
    </row>
    <row r="1384">
      <c r="A1384" s="3" t="s">
        <v>5198</v>
      </c>
      <c r="B1384" s="3" t="s">
        <v>1987</v>
      </c>
      <c r="C1384" s="5" t="s">
        <v>45</v>
      </c>
      <c r="D1384" s="3" t="s">
        <v>221</v>
      </c>
      <c r="E1384" s="3" t="s">
        <v>895</v>
      </c>
      <c r="F1384" s="7">
        <v>45777.8875641363</v>
      </c>
      <c r="G1384" s="3" t="s">
        <v>5200</v>
      </c>
    </row>
    <row r="1385">
      <c r="A1385" s="3" t="s">
        <v>5201</v>
      </c>
      <c r="B1385" s="3" t="s">
        <v>1987</v>
      </c>
      <c r="C1385" s="5" t="s">
        <v>221</v>
      </c>
      <c r="D1385" s="3" t="s">
        <v>614</v>
      </c>
      <c r="E1385" s="3" t="s">
        <v>118</v>
      </c>
      <c r="F1385" s="7">
        <v>45777.89103635852</v>
      </c>
      <c r="G1385" s="3" t="s">
        <v>5202</v>
      </c>
    </row>
    <row r="1386">
      <c r="A1386" s="3" t="s">
        <v>5203</v>
      </c>
      <c r="B1386" s="3" t="s">
        <v>1987</v>
      </c>
      <c r="C1386" s="5" t="s">
        <v>614</v>
      </c>
      <c r="D1386" s="3" t="s">
        <v>206</v>
      </c>
      <c r="E1386" s="3" t="s">
        <v>100</v>
      </c>
      <c r="F1386" s="7">
        <v>45777.89450858074</v>
      </c>
      <c r="G1386" s="3" t="s">
        <v>5204</v>
      </c>
    </row>
    <row r="1387">
      <c r="A1387" s="3" t="s">
        <v>5205</v>
      </c>
      <c r="B1387" s="3" t="s">
        <v>1987</v>
      </c>
      <c r="C1387" s="5" t="s">
        <v>206</v>
      </c>
      <c r="D1387" s="3" t="s">
        <v>68</v>
      </c>
      <c r="E1387" s="3" t="s">
        <v>100</v>
      </c>
      <c r="F1387" s="7">
        <v>45777.89798080296</v>
      </c>
      <c r="G1387" s="3" t="s">
        <v>5206</v>
      </c>
    </row>
    <row r="1388">
      <c r="A1388" s="3" t="s">
        <v>5208</v>
      </c>
      <c r="B1388" s="3" t="s">
        <v>1991</v>
      </c>
      <c r="C1388" s="5" t="s">
        <v>45</v>
      </c>
      <c r="D1388" s="3" t="s">
        <v>221</v>
      </c>
      <c r="E1388" s="3" t="s">
        <v>186</v>
      </c>
      <c r="F1388" s="7">
        <v>45777.95873898171</v>
      </c>
      <c r="G1388" s="3" t="s">
        <v>5209</v>
      </c>
    </row>
    <row r="1389">
      <c r="A1389" s="3" t="s">
        <v>5211</v>
      </c>
      <c r="B1389" s="3" t="s">
        <v>1991</v>
      </c>
      <c r="C1389" s="5" t="s">
        <v>221</v>
      </c>
      <c r="D1389" s="3" t="s">
        <v>614</v>
      </c>
      <c r="E1389" s="3" t="s">
        <v>118</v>
      </c>
      <c r="F1389" s="7">
        <v>45777.96221120393</v>
      </c>
      <c r="G1389" s="3" t="s">
        <v>5213</v>
      </c>
    </row>
    <row r="1390">
      <c r="A1390" s="3" t="s">
        <v>5214</v>
      </c>
      <c r="B1390" s="3" t="s">
        <v>1991</v>
      </c>
      <c r="C1390" s="5" t="s">
        <v>614</v>
      </c>
      <c r="D1390" s="3" t="s">
        <v>206</v>
      </c>
      <c r="E1390" s="3" t="s">
        <v>100</v>
      </c>
      <c r="F1390" s="7">
        <v>45777.965683426155</v>
      </c>
      <c r="G1390" s="3" t="s">
        <v>5215</v>
      </c>
    </row>
    <row r="1391">
      <c r="A1391" s="3" t="s">
        <v>5217</v>
      </c>
      <c r="B1391" s="3" t="s">
        <v>1991</v>
      </c>
      <c r="C1391" s="5" t="s">
        <v>206</v>
      </c>
      <c r="D1391" s="3" t="s">
        <v>68</v>
      </c>
      <c r="E1391" s="3" t="s">
        <v>100</v>
      </c>
      <c r="F1391" s="7">
        <v>45777.969155648374</v>
      </c>
      <c r="G1391" s="3" t="s">
        <v>5218</v>
      </c>
    </row>
    <row r="1392">
      <c r="A1392" s="3" t="s">
        <v>5219</v>
      </c>
      <c r="B1392" s="3" t="s">
        <v>1995</v>
      </c>
      <c r="C1392" s="5" t="s">
        <v>45</v>
      </c>
      <c r="D1392" s="3" t="s">
        <v>221</v>
      </c>
      <c r="E1392" s="3" t="s">
        <v>643</v>
      </c>
      <c r="F1392" s="7">
        <v>45778.02991382713</v>
      </c>
      <c r="G1392" s="3" t="s">
        <v>5221</v>
      </c>
    </row>
    <row r="1393">
      <c r="A1393" s="3" t="s">
        <v>5222</v>
      </c>
      <c r="B1393" s="3" t="s">
        <v>1995</v>
      </c>
      <c r="C1393" s="5" t="s">
        <v>221</v>
      </c>
      <c r="D1393" s="3" t="s">
        <v>614</v>
      </c>
      <c r="E1393" s="3" t="s">
        <v>118</v>
      </c>
      <c r="F1393" s="7">
        <v>45778.03338604935</v>
      </c>
      <c r="G1393" s="3" t="s">
        <v>5224</v>
      </c>
    </row>
    <row r="1394">
      <c r="A1394" s="3" t="s">
        <v>5225</v>
      </c>
      <c r="B1394" s="3" t="s">
        <v>1995</v>
      </c>
      <c r="C1394" s="5" t="s">
        <v>614</v>
      </c>
      <c r="D1394" s="3" t="s">
        <v>206</v>
      </c>
      <c r="E1394" s="3" t="s">
        <v>100</v>
      </c>
      <c r="F1394" s="7">
        <v>45778.036858271575</v>
      </c>
      <c r="G1394" s="3" t="s">
        <v>5226</v>
      </c>
    </row>
    <row r="1395">
      <c r="A1395" s="3" t="s">
        <v>5228</v>
      </c>
      <c r="B1395" s="3" t="s">
        <v>1995</v>
      </c>
      <c r="C1395" s="5" t="s">
        <v>206</v>
      </c>
      <c r="D1395" s="3" t="s">
        <v>68</v>
      </c>
      <c r="E1395" s="3" t="s">
        <v>100</v>
      </c>
      <c r="F1395" s="7">
        <v>45778.04033049379</v>
      </c>
      <c r="G1395" s="3" t="s">
        <v>5229</v>
      </c>
    </row>
    <row r="1396">
      <c r="A1396" s="3" t="s">
        <v>5230</v>
      </c>
      <c r="B1396" s="3" t="s">
        <v>1998</v>
      </c>
      <c r="C1396" s="5" t="s">
        <v>45</v>
      </c>
      <c r="D1396" s="3" t="s">
        <v>221</v>
      </c>
      <c r="E1396" s="3" t="s">
        <v>652</v>
      </c>
      <c r="F1396" s="7">
        <v>45778.101088672534</v>
      </c>
      <c r="G1396" s="3" t="s">
        <v>5232</v>
      </c>
    </row>
    <row r="1397">
      <c r="A1397" s="3" t="s">
        <v>5233</v>
      </c>
      <c r="B1397" s="3" t="s">
        <v>1998</v>
      </c>
      <c r="C1397" s="5" t="s">
        <v>221</v>
      </c>
      <c r="D1397" s="3" t="s">
        <v>614</v>
      </c>
      <c r="E1397" s="3" t="s">
        <v>118</v>
      </c>
      <c r="F1397" s="7">
        <v>45778.10456089475</v>
      </c>
      <c r="G1397" s="3" t="s">
        <v>5235</v>
      </c>
    </row>
    <row r="1398">
      <c r="A1398" s="3" t="s">
        <v>5236</v>
      </c>
      <c r="B1398" s="3" t="s">
        <v>1998</v>
      </c>
      <c r="C1398" s="5" t="s">
        <v>614</v>
      </c>
      <c r="D1398" s="3" t="s">
        <v>206</v>
      </c>
      <c r="E1398" s="3" t="s">
        <v>100</v>
      </c>
      <c r="F1398" s="7">
        <v>45778.10803311698</v>
      </c>
      <c r="G1398" s="3" t="s">
        <v>5238</v>
      </c>
    </row>
    <row r="1399">
      <c r="A1399" s="3" t="s">
        <v>5239</v>
      </c>
      <c r="B1399" s="3" t="s">
        <v>1998</v>
      </c>
      <c r="C1399" s="5" t="s">
        <v>206</v>
      </c>
      <c r="D1399" s="3" t="s">
        <v>68</v>
      </c>
      <c r="E1399" s="3" t="s">
        <v>100</v>
      </c>
      <c r="F1399" s="7">
        <v>45778.1115053392</v>
      </c>
      <c r="G1399" s="3" t="s">
        <v>5240</v>
      </c>
    </row>
    <row r="1400">
      <c r="A1400" s="3" t="s">
        <v>5242</v>
      </c>
      <c r="B1400" s="3" t="s">
        <v>2002</v>
      </c>
      <c r="C1400" s="5" t="s">
        <v>45</v>
      </c>
      <c r="D1400" s="3" t="s">
        <v>221</v>
      </c>
      <c r="E1400" s="3" t="s">
        <v>704</v>
      </c>
      <c r="F1400" s="7">
        <v>45778.172263517954</v>
      </c>
      <c r="G1400" s="3" t="s">
        <v>5244</v>
      </c>
    </row>
    <row r="1401">
      <c r="A1401" s="3" t="s">
        <v>5245</v>
      </c>
      <c r="B1401" s="3" t="s">
        <v>2002</v>
      </c>
      <c r="C1401" s="5" t="s">
        <v>221</v>
      </c>
      <c r="D1401" s="3" t="s">
        <v>614</v>
      </c>
      <c r="E1401" s="3" t="s">
        <v>118</v>
      </c>
      <c r="F1401" s="7">
        <v>45778.17573574017</v>
      </c>
      <c r="G1401" s="3" t="s">
        <v>5247</v>
      </c>
    </row>
    <row r="1402">
      <c r="A1402" s="3" t="s">
        <v>5248</v>
      </c>
      <c r="B1402" s="3" t="s">
        <v>2002</v>
      </c>
      <c r="C1402" s="5" t="s">
        <v>614</v>
      </c>
      <c r="D1402" s="3" t="s">
        <v>206</v>
      </c>
      <c r="E1402" s="3" t="s">
        <v>100</v>
      </c>
      <c r="F1402" s="7">
        <v>45778.1792079624</v>
      </c>
      <c r="G1402" s="3" t="s">
        <v>5250</v>
      </c>
    </row>
    <row r="1403">
      <c r="A1403" s="3" t="s">
        <v>5251</v>
      </c>
      <c r="B1403" s="3" t="s">
        <v>2002</v>
      </c>
      <c r="C1403" s="5" t="s">
        <v>206</v>
      </c>
      <c r="D1403" s="3" t="s">
        <v>68</v>
      </c>
      <c r="E1403" s="3" t="s">
        <v>100</v>
      </c>
      <c r="F1403" s="7">
        <v>45778.18268018462</v>
      </c>
      <c r="G1403" s="3" t="s">
        <v>5253</v>
      </c>
    </row>
    <row r="1404">
      <c r="A1404" s="3" t="s">
        <v>5254</v>
      </c>
      <c r="B1404" s="3" t="s">
        <v>2005</v>
      </c>
      <c r="C1404" s="5" t="s">
        <v>45</v>
      </c>
      <c r="D1404" s="3" t="s">
        <v>221</v>
      </c>
      <c r="E1404" s="3" t="s">
        <v>366</v>
      </c>
      <c r="F1404" s="7">
        <v>45778.24343836337</v>
      </c>
      <c r="G1404" s="3" t="s">
        <v>5256</v>
      </c>
    </row>
    <row r="1405">
      <c r="A1405" s="3" t="s">
        <v>5257</v>
      </c>
      <c r="B1405" s="3" t="s">
        <v>2005</v>
      </c>
      <c r="C1405" s="5" t="s">
        <v>221</v>
      </c>
      <c r="D1405" s="3" t="s">
        <v>614</v>
      </c>
      <c r="E1405" s="3" t="s">
        <v>118</v>
      </c>
      <c r="F1405" s="7">
        <v>45778.24691058559</v>
      </c>
      <c r="G1405" s="3" t="s">
        <v>5259</v>
      </c>
    </row>
    <row r="1406">
      <c r="A1406" s="3" t="s">
        <v>5260</v>
      </c>
      <c r="B1406" s="3" t="s">
        <v>2005</v>
      </c>
      <c r="C1406" s="5" t="s">
        <v>614</v>
      </c>
      <c r="D1406" s="3" t="s">
        <v>206</v>
      </c>
      <c r="E1406" s="3" t="s">
        <v>100</v>
      </c>
      <c r="F1406" s="7">
        <v>45778.25038280782</v>
      </c>
      <c r="G1406" s="3" t="s">
        <v>5262</v>
      </c>
    </row>
    <row r="1407">
      <c r="A1407" s="3" t="s">
        <v>5263</v>
      </c>
      <c r="B1407" s="3" t="s">
        <v>2005</v>
      </c>
      <c r="C1407" s="5" t="s">
        <v>206</v>
      </c>
      <c r="D1407" s="3" t="s">
        <v>68</v>
      </c>
      <c r="E1407" s="3" t="s">
        <v>100</v>
      </c>
      <c r="F1407" s="7">
        <v>45778.25385503004</v>
      </c>
      <c r="G1407" s="3" t="s">
        <v>5265</v>
      </c>
    </row>
    <row r="1408">
      <c r="A1408" s="3" t="s">
        <v>5266</v>
      </c>
      <c r="B1408" s="3" t="s">
        <v>2012</v>
      </c>
      <c r="C1408" s="5" t="s">
        <v>45</v>
      </c>
      <c r="D1408" s="3" t="s">
        <v>221</v>
      </c>
      <c r="E1408" s="3" t="s">
        <v>141</v>
      </c>
      <c r="F1408" s="7">
        <v>45778.314613208786</v>
      </c>
      <c r="G1408" s="3" t="s">
        <v>5268</v>
      </c>
    </row>
    <row r="1409">
      <c r="A1409" s="3" t="s">
        <v>5269</v>
      </c>
      <c r="B1409" s="3" t="s">
        <v>2012</v>
      </c>
      <c r="C1409" s="5" t="s">
        <v>221</v>
      </c>
      <c r="D1409" s="3" t="s">
        <v>614</v>
      </c>
      <c r="E1409" s="3" t="s">
        <v>118</v>
      </c>
      <c r="F1409" s="7">
        <v>45778.318085431005</v>
      </c>
      <c r="G1409" s="3" t="s">
        <v>5271</v>
      </c>
    </row>
    <row r="1410">
      <c r="A1410" s="3" t="s">
        <v>5272</v>
      </c>
      <c r="B1410" s="3" t="s">
        <v>2012</v>
      </c>
      <c r="C1410" s="5" t="s">
        <v>614</v>
      </c>
      <c r="D1410" s="3" t="s">
        <v>206</v>
      </c>
      <c r="E1410" s="3" t="s">
        <v>100</v>
      </c>
      <c r="F1410" s="7">
        <v>45778.32155765323</v>
      </c>
      <c r="G1410" s="3" t="s">
        <v>5274</v>
      </c>
    </row>
    <row r="1411">
      <c r="A1411" s="3" t="s">
        <v>5275</v>
      </c>
      <c r="B1411" s="3" t="s">
        <v>2012</v>
      </c>
      <c r="C1411" s="5" t="s">
        <v>206</v>
      </c>
      <c r="D1411" s="3" t="s">
        <v>68</v>
      </c>
      <c r="E1411" s="3" t="s">
        <v>100</v>
      </c>
      <c r="F1411" s="7">
        <v>45778.32502987545</v>
      </c>
      <c r="G1411" s="3" t="s">
        <v>5277</v>
      </c>
    </row>
    <row r="1412">
      <c r="A1412" s="3" t="s">
        <v>5278</v>
      </c>
      <c r="B1412" s="3" t="s">
        <v>2019</v>
      </c>
      <c r="C1412" s="5" t="s">
        <v>45</v>
      </c>
      <c r="D1412" s="3" t="s">
        <v>221</v>
      </c>
      <c r="E1412" s="3" t="s">
        <v>400</v>
      </c>
      <c r="F1412" s="7">
        <v>45778.3857880542</v>
      </c>
      <c r="G1412" s="3" t="s">
        <v>5280</v>
      </c>
    </row>
    <row r="1413">
      <c r="A1413" s="3" t="s">
        <v>5281</v>
      </c>
      <c r="B1413" s="3" t="s">
        <v>2019</v>
      </c>
      <c r="C1413" s="5" t="s">
        <v>221</v>
      </c>
      <c r="D1413" s="3" t="s">
        <v>614</v>
      </c>
      <c r="E1413" s="3" t="s">
        <v>118</v>
      </c>
      <c r="F1413" s="7">
        <v>45778.38926027642</v>
      </c>
      <c r="G1413" s="3" t="s">
        <v>5283</v>
      </c>
    </row>
    <row r="1414">
      <c r="A1414" s="3" t="s">
        <v>5284</v>
      </c>
      <c r="B1414" s="3" t="s">
        <v>2019</v>
      </c>
      <c r="C1414" s="5" t="s">
        <v>614</v>
      </c>
      <c r="D1414" s="3" t="s">
        <v>206</v>
      </c>
      <c r="E1414" s="3" t="s">
        <v>100</v>
      </c>
      <c r="F1414" s="7">
        <v>45778.39273249864</v>
      </c>
      <c r="G1414" s="3" t="s">
        <v>5286</v>
      </c>
    </row>
    <row r="1415">
      <c r="A1415" s="3" t="s">
        <v>5287</v>
      </c>
      <c r="B1415" s="3" t="s">
        <v>2019</v>
      </c>
      <c r="C1415" s="5" t="s">
        <v>206</v>
      </c>
      <c r="D1415" s="3" t="s">
        <v>68</v>
      </c>
      <c r="E1415" s="3" t="s">
        <v>100</v>
      </c>
      <c r="F1415" s="7">
        <v>45778.39620472086</v>
      </c>
      <c r="G1415" s="3" t="s">
        <v>5289</v>
      </c>
    </row>
    <row r="1416">
      <c r="A1416" s="3" t="s">
        <v>5290</v>
      </c>
      <c r="B1416" s="3" t="s">
        <v>2022</v>
      </c>
      <c r="C1416" s="5" t="s">
        <v>45</v>
      </c>
      <c r="D1416" s="3" t="s">
        <v>221</v>
      </c>
      <c r="E1416" s="3" t="s">
        <v>672</v>
      </c>
      <c r="F1416" s="7">
        <v>45778.45696289962</v>
      </c>
      <c r="G1416" s="3" t="s">
        <v>5291</v>
      </c>
    </row>
    <row r="1417">
      <c r="A1417" s="3" t="s">
        <v>5293</v>
      </c>
      <c r="B1417" s="3" t="s">
        <v>2022</v>
      </c>
      <c r="C1417" s="5" t="s">
        <v>221</v>
      </c>
      <c r="D1417" s="3" t="s">
        <v>614</v>
      </c>
      <c r="E1417" s="3" t="s">
        <v>118</v>
      </c>
      <c r="F1417" s="7">
        <v>45778.46043512184</v>
      </c>
      <c r="G1417" s="3" t="s">
        <v>5294</v>
      </c>
    </row>
    <row r="1418">
      <c r="A1418" s="3" t="s">
        <v>5295</v>
      </c>
      <c r="B1418" s="3" t="s">
        <v>2022</v>
      </c>
      <c r="C1418" s="5" t="s">
        <v>614</v>
      </c>
      <c r="D1418" s="3" t="s">
        <v>206</v>
      </c>
      <c r="E1418" s="3" t="s">
        <v>100</v>
      </c>
      <c r="F1418" s="7">
        <v>45778.46390734406</v>
      </c>
      <c r="G1418" s="3" t="s">
        <v>5297</v>
      </c>
    </row>
    <row r="1419">
      <c r="A1419" s="3" t="s">
        <v>5298</v>
      </c>
      <c r="B1419" s="3" t="s">
        <v>2022</v>
      </c>
      <c r="C1419" s="5" t="s">
        <v>206</v>
      </c>
      <c r="D1419" s="3" t="s">
        <v>68</v>
      </c>
      <c r="E1419" s="3" t="s">
        <v>100</v>
      </c>
      <c r="F1419" s="7">
        <v>45778.46737956628</v>
      </c>
      <c r="G1419" s="3" t="s">
        <v>5300</v>
      </c>
    </row>
    <row r="1420">
      <c r="A1420" s="3" t="s">
        <v>5301</v>
      </c>
      <c r="B1420" s="3" t="s">
        <v>2026</v>
      </c>
      <c r="C1420" s="5" t="s">
        <v>45</v>
      </c>
      <c r="D1420" s="3" t="s">
        <v>221</v>
      </c>
      <c r="E1420" s="3" t="s">
        <v>344</v>
      </c>
      <c r="F1420" s="7">
        <v>45778.52813774503</v>
      </c>
      <c r="G1420" s="3" t="s">
        <v>5303</v>
      </c>
    </row>
    <row r="1421">
      <c r="A1421" s="3" t="s">
        <v>5304</v>
      </c>
      <c r="B1421" s="3" t="s">
        <v>2026</v>
      </c>
      <c r="C1421" s="5" t="s">
        <v>221</v>
      </c>
      <c r="D1421" s="3" t="s">
        <v>614</v>
      </c>
      <c r="E1421" s="3" t="s">
        <v>118</v>
      </c>
      <c r="F1421" s="7">
        <v>45778.53160996725</v>
      </c>
      <c r="G1421" s="3" t="s">
        <v>5305</v>
      </c>
    </row>
    <row r="1422">
      <c r="A1422" s="3" t="s">
        <v>5307</v>
      </c>
      <c r="B1422" s="3" t="s">
        <v>2026</v>
      </c>
      <c r="C1422" s="5" t="s">
        <v>614</v>
      </c>
      <c r="D1422" s="3" t="s">
        <v>206</v>
      </c>
      <c r="E1422" s="3" t="s">
        <v>100</v>
      </c>
      <c r="F1422" s="7">
        <v>45778.535082189475</v>
      </c>
      <c r="G1422" s="3" t="s">
        <v>5308</v>
      </c>
    </row>
    <row r="1423">
      <c r="A1423" s="3" t="s">
        <v>5309</v>
      </c>
      <c r="B1423" s="3" t="s">
        <v>2026</v>
      </c>
      <c r="C1423" s="5" t="s">
        <v>206</v>
      </c>
      <c r="D1423" s="3" t="s">
        <v>68</v>
      </c>
      <c r="E1423" s="3" t="s">
        <v>100</v>
      </c>
      <c r="F1423" s="7">
        <v>45778.538554411694</v>
      </c>
      <c r="G1423" s="3" t="s">
        <v>5311</v>
      </c>
    </row>
    <row r="1424">
      <c r="A1424" s="3" t="s">
        <v>5312</v>
      </c>
      <c r="B1424" s="3" t="s">
        <v>2029</v>
      </c>
      <c r="C1424" s="5" t="s">
        <v>45</v>
      </c>
      <c r="D1424" s="3" t="s">
        <v>221</v>
      </c>
      <c r="E1424" s="3" t="s">
        <v>751</v>
      </c>
      <c r="F1424" s="7">
        <v>45778.59931259044</v>
      </c>
      <c r="G1424" s="3" t="s">
        <v>5314</v>
      </c>
    </row>
    <row r="1425">
      <c r="A1425" s="3" t="s">
        <v>5315</v>
      </c>
      <c r="B1425" s="3" t="s">
        <v>2029</v>
      </c>
      <c r="C1425" s="5" t="s">
        <v>221</v>
      </c>
      <c r="D1425" s="3" t="s">
        <v>614</v>
      </c>
      <c r="E1425" s="3" t="s">
        <v>118</v>
      </c>
      <c r="F1425" s="7">
        <v>45778.60278481266</v>
      </c>
      <c r="G1425" s="3" t="s">
        <v>5317</v>
      </c>
    </row>
    <row r="1426">
      <c r="A1426" s="3" t="s">
        <v>5318</v>
      </c>
      <c r="B1426" s="3" t="s">
        <v>2029</v>
      </c>
      <c r="C1426" s="5" t="s">
        <v>614</v>
      </c>
      <c r="D1426" s="3" t="s">
        <v>206</v>
      </c>
      <c r="E1426" s="3" t="s">
        <v>100</v>
      </c>
      <c r="F1426" s="7">
        <v>45778.60625703489</v>
      </c>
      <c r="G1426" s="3" t="s">
        <v>5320</v>
      </c>
    </row>
    <row r="1427">
      <c r="A1427" s="3" t="s">
        <v>5321</v>
      </c>
      <c r="B1427" s="3" t="s">
        <v>2029</v>
      </c>
      <c r="C1427" s="5" t="s">
        <v>206</v>
      </c>
      <c r="D1427" s="3" t="s">
        <v>68</v>
      </c>
      <c r="E1427" s="3" t="s">
        <v>100</v>
      </c>
      <c r="F1427" s="7">
        <v>45778.60972925711</v>
      </c>
      <c r="G1427" s="3" t="s">
        <v>5323</v>
      </c>
    </row>
    <row r="1428">
      <c r="A1428" s="3" t="s">
        <v>5324</v>
      </c>
      <c r="B1428" s="3" t="s">
        <v>2033</v>
      </c>
      <c r="C1428" s="5" t="s">
        <v>45</v>
      </c>
      <c r="D1428" s="3" t="s">
        <v>221</v>
      </c>
      <c r="E1428" s="3" t="s">
        <v>296</v>
      </c>
      <c r="F1428" s="7">
        <v>45778.67048743586</v>
      </c>
      <c r="G1428" s="3" t="s">
        <v>5326</v>
      </c>
    </row>
    <row r="1429">
      <c r="A1429" s="3" t="s">
        <v>5327</v>
      </c>
      <c r="B1429" s="3" t="s">
        <v>2033</v>
      </c>
      <c r="C1429" s="5" t="s">
        <v>221</v>
      </c>
      <c r="D1429" s="3" t="s">
        <v>614</v>
      </c>
      <c r="E1429" s="3" t="s">
        <v>118</v>
      </c>
      <c r="F1429" s="7">
        <v>45778.67395965808</v>
      </c>
      <c r="G1429" s="3" t="s">
        <v>5329</v>
      </c>
    </row>
    <row r="1430">
      <c r="A1430" s="3" t="s">
        <v>5330</v>
      </c>
      <c r="B1430" s="3" t="s">
        <v>2033</v>
      </c>
      <c r="C1430" s="5" t="s">
        <v>614</v>
      </c>
      <c r="D1430" s="3" t="s">
        <v>206</v>
      </c>
      <c r="E1430" s="3" t="s">
        <v>100</v>
      </c>
      <c r="F1430" s="7">
        <v>45778.67743188031</v>
      </c>
      <c r="G1430" s="3" t="s">
        <v>5332</v>
      </c>
    </row>
    <row r="1431">
      <c r="A1431" s="3" t="s">
        <v>5333</v>
      </c>
      <c r="B1431" s="3" t="s">
        <v>2033</v>
      </c>
      <c r="C1431" s="5" t="s">
        <v>206</v>
      </c>
      <c r="D1431" s="3" t="s">
        <v>68</v>
      </c>
      <c r="E1431" s="3" t="s">
        <v>100</v>
      </c>
      <c r="F1431" s="7">
        <v>45778.680904102526</v>
      </c>
      <c r="G1431" s="3" t="s">
        <v>5335</v>
      </c>
    </row>
    <row r="1432">
      <c r="A1432" s="3" t="s">
        <v>5336</v>
      </c>
      <c r="B1432" s="3" t="s">
        <v>2036</v>
      </c>
      <c r="C1432" s="5" t="s">
        <v>45</v>
      </c>
      <c r="D1432" s="3" t="s">
        <v>221</v>
      </c>
      <c r="E1432" s="3" t="s">
        <v>561</v>
      </c>
      <c r="F1432" s="7">
        <v>45778.74166228128</v>
      </c>
      <c r="G1432" s="3" t="s">
        <v>5338</v>
      </c>
    </row>
    <row r="1433">
      <c r="A1433" s="3" t="s">
        <v>5339</v>
      </c>
      <c r="B1433" s="3" t="s">
        <v>2036</v>
      </c>
      <c r="C1433" s="5" t="s">
        <v>221</v>
      </c>
      <c r="D1433" s="3" t="s">
        <v>614</v>
      </c>
      <c r="E1433" s="3" t="s">
        <v>118</v>
      </c>
      <c r="F1433" s="7">
        <v>45778.7451345035</v>
      </c>
      <c r="G1433" s="3" t="s">
        <v>5341</v>
      </c>
    </row>
    <row r="1434">
      <c r="A1434" s="3" t="s">
        <v>5342</v>
      </c>
      <c r="B1434" s="3" t="s">
        <v>2036</v>
      </c>
      <c r="C1434" s="5" t="s">
        <v>614</v>
      </c>
      <c r="D1434" s="3" t="s">
        <v>206</v>
      </c>
      <c r="E1434" s="3" t="s">
        <v>100</v>
      </c>
      <c r="F1434" s="7">
        <v>45778.74860672573</v>
      </c>
      <c r="G1434" s="3" t="s">
        <v>5343</v>
      </c>
    </row>
    <row r="1435">
      <c r="A1435" s="3" t="s">
        <v>5345</v>
      </c>
      <c r="B1435" s="3" t="s">
        <v>2036</v>
      </c>
      <c r="C1435" s="5" t="s">
        <v>206</v>
      </c>
      <c r="D1435" s="3" t="s">
        <v>68</v>
      </c>
      <c r="E1435" s="3" t="s">
        <v>100</v>
      </c>
      <c r="F1435" s="7">
        <v>45778.752078947946</v>
      </c>
      <c r="G1435" s="3" t="s">
        <v>5346</v>
      </c>
    </row>
    <row r="1436">
      <c r="A1436" s="3" t="s">
        <v>5347</v>
      </c>
      <c r="B1436" s="3" t="s">
        <v>2040</v>
      </c>
      <c r="C1436" s="5" t="s">
        <v>45</v>
      </c>
      <c r="D1436" s="3" t="s">
        <v>221</v>
      </c>
      <c r="E1436" s="3" t="s">
        <v>348</v>
      </c>
      <c r="F1436" s="7">
        <v>45778.81283712669</v>
      </c>
      <c r="G1436" s="3" t="s">
        <v>5349</v>
      </c>
    </row>
    <row r="1437">
      <c r="A1437" s="3" t="s">
        <v>5350</v>
      </c>
      <c r="B1437" s="3" t="s">
        <v>2040</v>
      </c>
      <c r="C1437" s="5" t="s">
        <v>221</v>
      </c>
      <c r="D1437" s="3" t="s">
        <v>614</v>
      </c>
      <c r="E1437" s="3" t="s">
        <v>118</v>
      </c>
      <c r="F1437" s="7">
        <v>45778.816309348906</v>
      </c>
      <c r="G1437" s="3" t="s">
        <v>5352</v>
      </c>
    </row>
    <row r="1438">
      <c r="A1438" s="3" t="s">
        <v>5353</v>
      </c>
      <c r="B1438" s="3" t="s">
        <v>2040</v>
      </c>
      <c r="C1438" s="5" t="s">
        <v>614</v>
      </c>
      <c r="D1438" s="3" t="s">
        <v>206</v>
      </c>
      <c r="E1438" s="3" t="s">
        <v>100</v>
      </c>
      <c r="F1438" s="7">
        <v>45778.81978157113</v>
      </c>
      <c r="G1438" s="3" t="s">
        <v>5355</v>
      </c>
    </row>
    <row r="1439">
      <c r="A1439" s="3" t="s">
        <v>5356</v>
      </c>
      <c r="B1439" s="3" t="s">
        <v>2040</v>
      </c>
      <c r="C1439" s="5" t="s">
        <v>206</v>
      </c>
      <c r="D1439" s="3" t="s">
        <v>68</v>
      </c>
      <c r="E1439" s="3" t="s">
        <v>100</v>
      </c>
      <c r="F1439" s="7">
        <v>45778.82325379335</v>
      </c>
      <c r="G1439" s="3" t="s">
        <v>5358</v>
      </c>
    </row>
    <row r="1440">
      <c r="A1440" s="3" t="s">
        <v>5359</v>
      </c>
      <c r="B1440" s="3" t="s">
        <v>2045</v>
      </c>
      <c r="C1440" s="5" t="s">
        <v>45</v>
      </c>
      <c r="D1440" s="3" t="s">
        <v>221</v>
      </c>
      <c r="E1440" s="3" t="s">
        <v>841</v>
      </c>
      <c r="F1440" s="7">
        <v>45778.884011972106</v>
      </c>
      <c r="G1440" s="3" t="s">
        <v>4500</v>
      </c>
    </row>
    <row r="1441">
      <c r="A1441" s="3" t="s">
        <v>5361</v>
      </c>
      <c r="B1441" s="3" t="s">
        <v>2045</v>
      </c>
      <c r="C1441" s="5" t="s">
        <v>221</v>
      </c>
      <c r="D1441" s="3" t="s">
        <v>181</v>
      </c>
      <c r="E1441" s="3" t="s">
        <v>118</v>
      </c>
      <c r="F1441" s="7">
        <v>45778.887484194325</v>
      </c>
      <c r="G1441" s="3" t="s">
        <v>5363</v>
      </c>
    </row>
    <row r="1442">
      <c r="A1442" s="3" t="s">
        <v>5364</v>
      </c>
      <c r="B1442" s="3" t="s">
        <v>2049</v>
      </c>
      <c r="C1442" s="5" t="s">
        <v>45</v>
      </c>
      <c r="D1442" s="3" t="s">
        <v>221</v>
      </c>
      <c r="E1442" s="3" t="s">
        <v>895</v>
      </c>
      <c r="F1442" s="7">
        <v>45778.955186817526</v>
      </c>
      <c r="G1442" s="3" t="s">
        <v>5366</v>
      </c>
    </row>
    <row r="1443">
      <c r="A1443" s="3" t="s">
        <v>5367</v>
      </c>
      <c r="B1443" s="3" t="s">
        <v>2049</v>
      </c>
      <c r="C1443" s="5" t="s">
        <v>221</v>
      </c>
      <c r="D1443" s="3" t="s">
        <v>614</v>
      </c>
      <c r="E1443" s="3" t="s">
        <v>118</v>
      </c>
      <c r="F1443" s="7">
        <v>45778.958659039745</v>
      </c>
      <c r="G1443" s="3" t="s">
        <v>5369</v>
      </c>
    </row>
    <row r="1444">
      <c r="A1444" s="3" t="s">
        <v>5370</v>
      </c>
      <c r="B1444" s="3" t="s">
        <v>2049</v>
      </c>
      <c r="C1444" s="5" t="s">
        <v>614</v>
      </c>
      <c r="D1444" s="3" t="s">
        <v>206</v>
      </c>
      <c r="E1444" s="3" t="s">
        <v>100</v>
      </c>
      <c r="F1444" s="7">
        <v>45778.96213126197</v>
      </c>
      <c r="G1444" s="3" t="s">
        <v>5372</v>
      </c>
    </row>
    <row r="1445">
      <c r="A1445" s="3" t="s">
        <v>5373</v>
      </c>
      <c r="B1445" s="3" t="s">
        <v>2049</v>
      </c>
      <c r="C1445" s="5" t="s">
        <v>206</v>
      </c>
      <c r="D1445" s="3" t="s">
        <v>68</v>
      </c>
      <c r="E1445" s="3" t="s">
        <v>100</v>
      </c>
      <c r="F1445" s="7">
        <v>45778.96560348419</v>
      </c>
      <c r="G1445" s="3" t="s">
        <v>5374</v>
      </c>
    </row>
    <row r="1446">
      <c r="A1446" s="3" t="s">
        <v>5376</v>
      </c>
      <c r="B1446" s="3" t="s">
        <v>2053</v>
      </c>
      <c r="C1446" s="5" t="s">
        <v>45</v>
      </c>
      <c r="D1446" s="3" t="s">
        <v>221</v>
      </c>
      <c r="E1446" s="3" t="s">
        <v>400</v>
      </c>
      <c r="F1446" s="7">
        <v>45779.02636166294</v>
      </c>
      <c r="G1446" s="3" t="s">
        <v>5377</v>
      </c>
    </row>
    <row r="1447">
      <c r="A1447" s="3" t="s">
        <v>5379</v>
      </c>
      <c r="B1447" s="3" t="s">
        <v>2053</v>
      </c>
      <c r="C1447" s="5" t="s">
        <v>221</v>
      </c>
      <c r="D1447" s="3" t="s">
        <v>614</v>
      </c>
      <c r="E1447" s="3" t="s">
        <v>118</v>
      </c>
      <c r="F1447" s="7">
        <v>45779.02983388516</v>
      </c>
      <c r="G1447" s="3" t="s">
        <v>5380</v>
      </c>
    </row>
    <row r="1448">
      <c r="A1448" s="3" t="s">
        <v>5381</v>
      </c>
      <c r="B1448" s="3" t="s">
        <v>2053</v>
      </c>
      <c r="C1448" s="5" t="s">
        <v>614</v>
      </c>
      <c r="D1448" s="3" t="s">
        <v>206</v>
      </c>
      <c r="E1448" s="3" t="s">
        <v>100</v>
      </c>
      <c r="F1448" s="7">
        <v>45779.03330610738</v>
      </c>
      <c r="G1448" s="3" t="s">
        <v>5383</v>
      </c>
    </row>
    <row r="1449">
      <c r="A1449" s="3" t="s">
        <v>5384</v>
      </c>
      <c r="B1449" s="3" t="s">
        <v>2053</v>
      </c>
      <c r="C1449" s="5" t="s">
        <v>206</v>
      </c>
      <c r="D1449" s="3" t="s">
        <v>68</v>
      </c>
      <c r="E1449" s="3" t="s">
        <v>100</v>
      </c>
      <c r="F1449" s="7">
        <v>45779.0367783296</v>
      </c>
      <c r="G1449" s="3" t="s">
        <v>5386</v>
      </c>
    </row>
    <row r="1450">
      <c r="A1450" s="3" t="s">
        <v>5387</v>
      </c>
      <c r="B1450" s="3" t="s">
        <v>2058</v>
      </c>
      <c r="C1450" s="5" t="s">
        <v>45</v>
      </c>
      <c r="D1450" s="3" t="s">
        <v>221</v>
      </c>
      <c r="E1450" s="3" t="s">
        <v>296</v>
      </c>
      <c r="F1450" s="7">
        <v>45779.09753650835</v>
      </c>
      <c r="G1450" s="3" t="s">
        <v>5326</v>
      </c>
    </row>
    <row r="1451">
      <c r="A1451" s="3" t="s">
        <v>5389</v>
      </c>
      <c r="B1451" s="3" t="s">
        <v>2058</v>
      </c>
      <c r="C1451" s="5" t="s">
        <v>221</v>
      </c>
      <c r="D1451" s="3" t="s">
        <v>195</v>
      </c>
      <c r="E1451" s="3" t="s">
        <v>296</v>
      </c>
      <c r="F1451" s="7">
        <v>45779.10100873057</v>
      </c>
      <c r="G1451" s="3" t="s">
        <v>5390</v>
      </c>
    </row>
    <row r="1452">
      <c r="A1452" s="3" t="s">
        <v>5391</v>
      </c>
      <c r="B1452" s="3" t="s">
        <v>2061</v>
      </c>
      <c r="C1452" s="5" t="s">
        <v>45</v>
      </c>
      <c r="D1452" s="3" t="s">
        <v>221</v>
      </c>
      <c r="E1452" s="3" t="s">
        <v>316</v>
      </c>
      <c r="F1452" s="7">
        <v>45779.16871135377</v>
      </c>
      <c r="G1452" s="3" t="s">
        <v>5393</v>
      </c>
    </row>
    <row r="1453">
      <c r="A1453" s="3" t="s">
        <v>5394</v>
      </c>
      <c r="B1453" s="3" t="s">
        <v>2061</v>
      </c>
      <c r="C1453" s="5" t="s">
        <v>221</v>
      </c>
      <c r="D1453" s="3" t="s">
        <v>614</v>
      </c>
      <c r="E1453" s="3" t="s">
        <v>118</v>
      </c>
      <c r="F1453" s="7">
        <v>45779.17218357599</v>
      </c>
      <c r="G1453" s="3" t="s">
        <v>5396</v>
      </c>
    </row>
    <row r="1454">
      <c r="A1454" s="3" t="s">
        <v>5397</v>
      </c>
      <c r="B1454" s="3" t="s">
        <v>2061</v>
      </c>
      <c r="C1454" s="5" t="s">
        <v>614</v>
      </c>
      <c r="D1454" s="3" t="s">
        <v>206</v>
      </c>
      <c r="E1454" s="3" t="s">
        <v>100</v>
      </c>
      <c r="F1454" s="7">
        <v>45779.175655798215</v>
      </c>
      <c r="G1454" s="3" t="s">
        <v>5399</v>
      </c>
    </row>
    <row r="1455">
      <c r="A1455" s="3" t="s">
        <v>5400</v>
      </c>
      <c r="B1455" s="3" t="s">
        <v>2061</v>
      </c>
      <c r="C1455" s="5" t="s">
        <v>206</v>
      </c>
      <c r="D1455" s="3" t="s">
        <v>68</v>
      </c>
      <c r="E1455" s="3" t="s">
        <v>100</v>
      </c>
      <c r="F1455" s="7">
        <v>45779.179128020434</v>
      </c>
      <c r="G1455" s="3" t="s">
        <v>5402</v>
      </c>
    </row>
    <row r="1456">
      <c r="A1456" s="3" t="s">
        <v>5403</v>
      </c>
      <c r="B1456" s="3" t="s">
        <v>2065</v>
      </c>
      <c r="C1456" s="5" t="s">
        <v>45</v>
      </c>
      <c r="D1456" s="3" t="s">
        <v>221</v>
      </c>
      <c r="E1456" s="3" t="s">
        <v>211</v>
      </c>
      <c r="F1456" s="7">
        <v>45779.23988619918</v>
      </c>
      <c r="G1456" s="3" t="s">
        <v>2770</v>
      </c>
    </row>
    <row r="1457">
      <c r="A1457" s="3" t="s">
        <v>5405</v>
      </c>
      <c r="B1457" s="3" t="s">
        <v>2065</v>
      </c>
      <c r="C1457" s="5" t="s">
        <v>221</v>
      </c>
      <c r="D1457" s="3" t="s">
        <v>181</v>
      </c>
      <c r="E1457" s="3" t="s">
        <v>118</v>
      </c>
      <c r="F1457" s="7">
        <v>45779.2433584214</v>
      </c>
      <c r="G1457" s="3" t="s">
        <v>2774</v>
      </c>
    </row>
    <row r="1458">
      <c r="A1458" s="3" t="s">
        <v>5407</v>
      </c>
      <c r="B1458" s="3" t="s">
        <v>2068</v>
      </c>
      <c r="C1458" s="5" t="s">
        <v>45</v>
      </c>
      <c r="D1458" s="3" t="s">
        <v>221</v>
      </c>
      <c r="E1458" s="3" t="s">
        <v>159</v>
      </c>
      <c r="F1458" s="7">
        <v>45779.311061044595</v>
      </c>
      <c r="G1458" s="3" t="s">
        <v>4782</v>
      </c>
    </row>
    <row r="1459">
      <c r="A1459" s="3" t="s">
        <v>5409</v>
      </c>
      <c r="B1459" s="3" t="s">
        <v>2068</v>
      </c>
      <c r="C1459" s="5" t="s">
        <v>221</v>
      </c>
      <c r="D1459" s="3" t="s">
        <v>614</v>
      </c>
      <c r="E1459" s="3" t="s">
        <v>118</v>
      </c>
      <c r="F1459" s="7">
        <v>45779.314533266814</v>
      </c>
      <c r="G1459" s="3" t="s">
        <v>5411</v>
      </c>
    </row>
    <row r="1460">
      <c r="A1460" s="3" t="s">
        <v>5412</v>
      </c>
      <c r="B1460" s="3" t="s">
        <v>2068</v>
      </c>
      <c r="C1460" s="5" t="s">
        <v>614</v>
      </c>
      <c r="D1460" s="3" t="s">
        <v>206</v>
      </c>
      <c r="E1460" s="3" t="s">
        <v>100</v>
      </c>
      <c r="F1460" s="7">
        <v>45779.31800548904</v>
      </c>
      <c r="G1460" s="3" t="s">
        <v>5413</v>
      </c>
    </row>
    <row r="1461">
      <c r="A1461" s="3" t="s">
        <v>5415</v>
      </c>
      <c r="B1461" s="3" t="s">
        <v>2068</v>
      </c>
      <c r="C1461" s="5" t="s">
        <v>206</v>
      </c>
      <c r="D1461" s="3" t="s">
        <v>68</v>
      </c>
      <c r="E1461" s="3" t="s">
        <v>100</v>
      </c>
      <c r="F1461" s="7">
        <v>45779.32147771126</v>
      </c>
      <c r="G1461" s="3" t="s">
        <v>5417</v>
      </c>
    </row>
    <row r="1462">
      <c r="A1462" s="3" t="s">
        <v>5418</v>
      </c>
      <c r="B1462" s="3" t="s">
        <v>2073</v>
      </c>
      <c r="C1462" s="5" t="s">
        <v>45</v>
      </c>
      <c r="D1462" s="3" t="s">
        <v>221</v>
      </c>
      <c r="E1462" s="3" t="s">
        <v>215</v>
      </c>
      <c r="F1462" s="7">
        <v>45779.382235890014</v>
      </c>
      <c r="G1462" s="3" t="s">
        <v>5420</v>
      </c>
    </row>
    <row r="1463">
      <c r="A1463" s="3" t="s">
        <v>5421</v>
      </c>
      <c r="B1463" s="3" t="s">
        <v>2073</v>
      </c>
      <c r="C1463" s="5" t="s">
        <v>221</v>
      </c>
      <c r="D1463" s="3" t="s">
        <v>614</v>
      </c>
      <c r="E1463" s="3" t="s">
        <v>118</v>
      </c>
      <c r="F1463" s="7">
        <v>45779.38570811223</v>
      </c>
      <c r="G1463" s="3" t="s">
        <v>5422</v>
      </c>
    </row>
    <row r="1464">
      <c r="A1464" s="3" t="s">
        <v>5423</v>
      </c>
      <c r="B1464" s="3" t="s">
        <v>2073</v>
      </c>
      <c r="C1464" s="5" t="s">
        <v>614</v>
      </c>
      <c r="D1464" s="3" t="s">
        <v>206</v>
      </c>
      <c r="E1464" s="3" t="s">
        <v>100</v>
      </c>
      <c r="F1464" s="7">
        <v>45779.38918033446</v>
      </c>
      <c r="G1464" s="3" t="s">
        <v>5425</v>
      </c>
    </row>
    <row r="1465">
      <c r="A1465" s="3" t="s">
        <v>5426</v>
      </c>
      <c r="B1465" s="3" t="s">
        <v>2073</v>
      </c>
      <c r="C1465" s="5" t="s">
        <v>206</v>
      </c>
      <c r="D1465" s="3" t="s">
        <v>68</v>
      </c>
      <c r="E1465" s="3" t="s">
        <v>100</v>
      </c>
      <c r="F1465" s="7">
        <v>45779.39265255668</v>
      </c>
      <c r="G1465" s="3" t="s">
        <v>5428</v>
      </c>
    </row>
    <row r="1466">
      <c r="A1466" s="3" t="s">
        <v>5429</v>
      </c>
      <c r="B1466" s="3" t="s">
        <v>2078</v>
      </c>
      <c r="C1466" s="5" t="s">
        <v>45</v>
      </c>
      <c r="D1466" s="3" t="s">
        <v>221</v>
      </c>
      <c r="E1466" s="3" t="s">
        <v>632</v>
      </c>
      <c r="F1466" s="7">
        <v>45779.45341073543</v>
      </c>
      <c r="G1466" s="3" t="s">
        <v>5431</v>
      </c>
    </row>
    <row r="1467">
      <c r="A1467" s="3" t="s">
        <v>5432</v>
      </c>
      <c r="B1467" s="3" t="s">
        <v>2078</v>
      </c>
      <c r="C1467" s="5" t="s">
        <v>221</v>
      </c>
      <c r="D1467" s="3" t="s">
        <v>614</v>
      </c>
      <c r="E1467" s="3" t="s">
        <v>118</v>
      </c>
      <c r="F1467" s="7">
        <v>45779.456882957646</v>
      </c>
      <c r="G1467" s="3" t="s">
        <v>5434</v>
      </c>
    </row>
    <row r="1468">
      <c r="A1468" s="3" t="s">
        <v>5435</v>
      </c>
      <c r="B1468" s="3" t="s">
        <v>2078</v>
      </c>
      <c r="C1468" s="5" t="s">
        <v>614</v>
      </c>
      <c r="D1468" s="3" t="s">
        <v>206</v>
      </c>
      <c r="E1468" s="3" t="s">
        <v>100</v>
      </c>
      <c r="F1468" s="7">
        <v>45779.46035517987</v>
      </c>
      <c r="G1468" s="3" t="s">
        <v>5437</v>
      </c>
    </row>
    <row r="1469">
      <c r="A1469" s="3" t="s">
        <v>5438</v>
      </c>
      <c r="B1469" s="3" t="s">
        <v>2078</v>
      </c>
      <c r="C1469" s="5" t="s">
        <v>206</v>
      </c>
      <c r="D1469" s="3" t="s">
        <v>68</v>
      </c>
      <c r="E1469" s="3" t="s">
        <v>100</v>
      </c>
      <c r="F1469" s="7">
        <v>45779.46382740209</v>
      </c>
      <c r="G1469" s="3" t="s">
        <v>5440</v>
      </c>
    </row>
    <row r="1470">
      <c r="A1470" s="3" t="s">
        <v>5441</v>
      </c>
      <c r="B1470" s="3" t="s">
        <v>2082</v>
      </c>
      <c r="C1470" s="5" t="s">
        <v>45</v>
      </c>
      <c r="D1470" s="3" t="s">
        <v>221</v>
      </c>
      <c r="E1470" s="3" t="s">
        <v>565</v>
      </c>
      <c r="F1470" s="7">
        <v>45779.52458558084</v>
      </c>
      <c r="G1470" s="3" t="s">
        <v>2770</v>
      </c>
    </row>
    <row r="1471">
      <c r="A1471" s="3" t="s">
        <v>5443</v>
      </c>
      <c r="B1471" s="3" t="s">
        <v>2082</v>
      </c>
      <c r="C1471" s="5" t="s">
        <v>221</v>
      </c>
      <c r="D1471" s="3" t="s">
        <v>181</v>
      </c>
      <c r="E1471" s="3" t="s">
        <v>118</v>
      </c>
      <c r="F1471" s="7">
        <v>45779.52805780306</v>
      </c>
      <c r="G1471" s="3" t="s">
        <v>2774</v>
      </c>
    </row>
    <row r="1472">
      <c r="A1472" s="3" t="s">
        <v>5445</v>
      </c>
      <c r="B1472" s="3" t="s">
        <v>2084</v>
      </c>
      <c r="C1472" s="5" t="s">
        <v>45</v>
      </c>
      <c r="D1472" s="3" t="s">
        <v>221</v>
      </c>
      <c r="E1472" s="3" t="s">
        <v>544</v>
      </c>
      <c r="F1472" s="7">
        <v>45779.59576042626</v>
      </c>
      <c r="G1472" s="3" t="s">
        <v>2770</v>
      </c>
    </row>
    <row r="1473">
      <c r="A1473" s="3" t="s">
        <v>5446</v>
      </c>
      <c r="B1473" s="3" t="s">
        <v>2084</v>
      </c>
      <c r="C1473" s="5" t="s">
        <v>221</v>
      </c>
      <c r="D1473" s="3" t="s">
        <v>181</v>
      </c>
      <c r="E1473" s="3" t="s">
        <v>118</v>
      </c>
      <c r="F1473" s="7">
        <v>45779.59923264848</v>
      </c>
      <c r="G1473" s="3" t="s">
        <v>2774</v>
      </c>
    </row>
    <row r="1474">
      <c r="A1474" s="3" t="s">
        <v>5448</v>
      </c>
      <c r="B1474" s="3" t="s">
        <v>2087</v>
      </c>
      <c r="C1474" s="5" t="s">
        <v>45</v>
      </c>
      <c r="D1474" s="3" t="s">
        <v>221</v>
      </c>
      <c r="E1474" s="3" t="s">
        <v>838</v>
      </c>
      <c r="F1474" s="7">
        <v>45779.66693527167</v>
      </c>
      <c r="G1474" s="3" t="s">
        <v>5450</v>
      </c>
    </row>
    <row r="1475">
      <c r="A1475" s="3" t="s">
        <v>5451</v>
      </c>
      <c r="B1475" s="3" t="s">
        <v>2087</v>
      </c>
      <c r="C1475" s="5" t="s">
        <v>221</v>
      </c>
      <c r="D1475" s="3" t="s">
        <v>181</v>
      </c>
      <c r="E1475" s="3" t="s">
        <v>118</v>
      </c>
      <c r="F1475" s="7">
        <v>45779.67040749389</v>
      </c>
      <c r="G1475" s="3" t="s">
        <v>5453</v>
      </c>
    </row>
    <row r="1476">
      <c r="A1476" s="3" t="s">
        <v>5454</v>
      </c>
      <c r="B1476" s="3" t="s">
        <v>2090</v>
      </c>
      <c r="C1476" s="5" t="s">
        <v>45</v>
      </c>
      <c r="D1476" s="3" t="s">
        <v>221</v>
      </c>
      <c r="E1476" s="3" t="s">
        <v>535</v>
      </c>
      <c r="F1476" s="7">
        <v>45779.73811011708</v>
      </c>
      <c r="G1476" s="3" t="s">
        <v>5456</v>
      </c>
    </row>
    <row r="1477">
      <c r="A1477" s="3" t="s">
        <v>5457</v>
      </c>
      <c r="B1477" s="3" t="s">
        <v>2090</v>
      </c>
      <c r="C1477" s="5" t="s">
        <v>221</v>
      </c>
      <c r="D1477" s="3" t="s">
        <v>614</v>
      </c>
      <c r="E1477" s="3" t="s">
        <v>118</v>
      </c>
      <c r="F1477" s="7">
        <v>45779.7415823393</v>
      </c>
      <c r="G1477" s="3" t="s">
        <v>5459</v>
      </c>
    </row>
    <row r="1478">
      <c r="A1478" s="3" t="s">
        <v>5460</v>
      </c>
      <c r="B1478" s="3" t="s">
        <v>2090</v>
      </c>
      <c r="C1478" s="5" t="s">
        <v>614</v>
      </c>
      <c r="D1478" s="3" t="s">
        <v>206</v>
      </c>
      <c r="E1478" s="3" t="s">
        <v>100</v>
      </c>
      <c r="F1478" s="7">
        <v>45779.74505456153</v>
      </c>
      <c r="G1478" s="3" t="s">
        <v>5461</v>
      </c>
    </row>
    <row r="1479">
      <c r="A1479" s="3" t="s">
        <v>5463</v>
      </c>
      <c r="B1479" s="3" t="s">
        <v>2090</v>
      </c>
      <c r="C1479" s="5" t="s">
        <v>206</v>
      </c>
      <c r="D1479" s="3" t="s">
        <v>68</v>
      </c>
      <c r="E1479" s="3" t="s">
        <v>100</v>
      </c>
      <c r="F1479" s="7">
        <v>45779.74852678375</v>
      </c>
      <c r="G1479" s="3" t="s">
        <v>5464</v>
      </c>
    </row>
    <row r="1480">
      <c r="A1480" s="3" t="s">
        <v>5465</v>
      </c>
      <c r="B1480" s="3" t="s">
        <v>2095</v>
      </c>
      <c r="C1480" s="5" t="s">
        <v>45</v>
      </c>
      <c r="D1480" s="3" t="s">
        <v>221</v>
      </c>
      <c r="E1480" s="3" t="s">
        <v>442</v>
      </c>
      <c r="F1480" s="7">
        <v>45779.8092849625</v>
      </c>
      <c r="G1480" s="3" t="s">
        <v>5467</v>
      </c>
    </row>
    <row r="1481">
      <c r="A1481" s="3" t="s">
        <v>5468</v>
      </c>
      <c r="B1481" s="3" t="s">
        <v>2095</v>
      </c>
      <c r="C1481" s="5" t="s">
        <v>221</v>
      </c>
      <c r="D1481" s="3" t="s">
        <v>614</v>
      </c>
      <c r="E1481" s="3" t="s">
        <v>118</v>
      </c>
      <c r="F1481" s="7">
        <v>45779.81275718472</v>
      </c>
      <c r="G1481" s="3" t="s">
        <v>5470</v>
      </c>
    </row>
    <row r="1482">
      <c r="A1482" s="3" t="s">
        <v>5471</v>
      </c>
      <c r="B1482" s="3" t="s">
        <v>2095</v>
      </c>
      <c r="C1482" s="5" t="s">
        <v>614</v>
      </c>
      <c r="D1482" s="3" t="s">
        <v>206</v>
      </c>
      <c r="E1482" s="3" t="s">
        <v>100</v>
      </c>
      <c r="F1482" s="7">
        <v>45779.81622940695</v>
      </c>
      <c r="G1482" s="3" t="s">
        <v>5473</v>
      </c>
    </row>
    <row r="1483">
      <c r="A1483" s="3" t="s">
        <v>5474</v>
      </c>
      <c r="B1483" s="3" t="s">
        <v>2095</v>
      </c>
      <c r="C1483" s="5" t="s">
        <v>206</v>
      </c>
      <c r="D1483" s="3" t="s">
        <v>68</v>
      </c>
      <c r="E1483" s="3" t="s">
        <v>100</v>
      </c>
      <c r="F1483" s="7">
        <v>45779.81970162917</v>
      </c>
      <c r="G1483" s="3" t="s">
        <v>5476</v>
      </c>
    </row>
    <row r="1484">
      <c r="A1484" s="3" t="s">
        <v>5477</v>
      </c>
      <c r="B1484" s="3" t="s">
        <v>2097</v>
      </c>
      <c r="C1484" s="5" t="s">
        <v>45</v>
      </c>
      <c r="D1484" s="3" t="s">
        <v>221</v>
      </c>
      <c r="E1484" s="3" t="s">
        <v>449</v>
      </c>
      <c r="F1484" s="7">
        <v>45779.88045980792</v>
      </c>
      <c r="G1484" s="3" t="s">
        <v>5479</v>
      </c>
    </row>
    <row r="1485">
      <c r="A1485" s="3" t="s">
        <v>5480</v>
      </c>
      <c r="B1485" s="3" t="s">
        <v>2097</v>
      </c>
      <c r="C1485" s="5" t="s">
        <v>221</v>
      </c>
      <c r="D1485" s="3" t="s">
        <v>614</v>
      </c>
      <c r="E1485" s="3" t="s">
        <v>118</v>
      </c>
      <c r="F1485" s="7">
        <v>45779.88393203014</v>
      </c>
      <c r="G1485" s="3" t="s">
        <v>5482</v>
      </c>
    </row>
    <row r="1486">
      <c r="A1486" s="3" t="s">
        <v>5483</v>
      </c>
      <c r="B1486" s="3" t="s">
        <v>2097</v>
      </c>
      <c r="C1486" s="5" t="s">
        <v>614</v>
      </c>
      <c r="D1486" s="3" t="s">
        <v>206</v>
      </c>
      <c r="E1486" s="3" t="s">
        <v>100</v>
      </c>
      <c r="F1486" s="7">
        <v>45779.88740425237</v>
      </c>
      <c r="G1486" s="3" t="s">
        <v>5484</v>
      </c>
    </row>
    <row r="1487">
      <c r="A1487" s="3" t="s">
        <v>5486</v>
      </c>
      <c r="B1487" s="3" t="s">
        <v>2097</v>
      </c>
      <c r="C1487" s="5" t="s">
        <v>206</v>
      </c>
      <c r="D1487" s="3" t="s">
        <v>68</v>
      </c>
      <c r="E1487" s="3" t="s">
        <v>100</v>
      </c>
      <c r="F1487" s="7">
        <v>45779.89087647459</v>
      </c>
      <c r="G1487" s="3" t="s">
        <v>5487</v>
      </c>
    </row>
    <row r="1488">
      <c r="A1488" s="3" t="s">
        <v>5489</v>
      </c>
      <c r="B1488" s="3" t="s">
        <v>2100</v>
      </c>
      <c r="C1488" s="5" t="s">
        <v>45</v>
      </c>
      <c r="D1488" s="3" t="s">
        <v>221</v>
      </c>
      <c r="E1488" s="3" t="s">
        <v>990</v>
      </c>
      <c r="F1488" s="7">
        <v>45779.95163465333</v>
      </c>
      <c r="G1488" s="3" t="s">
        <v>5490</v>
      </c>
    </row>
    <row r="1489">
      <c r="A1489" s="3" t="s">
        <v>5492</v>
      </c>
      <c r="B1489" s="3" t="s">
        <v>2100</v>
      </c>
      <c r="C1489" s="5" t="s">
        <v>221</v>
      </c>
      <c r="D1489" s="3" t="s">
        <v>614</v>
      </c>
      <c r="E1489" s="3" t="s">
        <v>118</v>
      </c>
      <c r="F1489" s="7">
        <v>45779.955106875546</v>
      </c>
      <c r="G1489" s="3" t="s">
        <v>5493</v>
      </c>
    </row>
    <row r="1490">
      <c r="A1490" s="3" t="s">
        <v>5494</v>
      </c>
      <c r="B1490" s="3" t="s">
        <v>2100</v>
      </c>
      <c r="C1490" s="5" t="s">
        <v>614</v>
      </c>
      <c r="D1490" s="3" t="s">
        <v>206</v>
      </c>
      <c r="E1490" s="3" t="s">
        <v>100</v>
      </c>
      <c r="F1490" s="7">
        <v>45779.95857909777</v>
      </c>
      <c r="G1490" s="3" t="s">
        <v>5496</v>
      </c>
    </row>
    <row r="1491">
      <c r="A1491" s="3" t="s">
        <v>5497</v>
      </c>
      <c r="B1491" s="3" t="s">
        <v>2100</v>
      </c>
      <c r="C1491" s="5" t="s">
        <v>206</v>
      </c>
      <c r="D1491" s="3" t="s">
        <v>68</v>
      </c>
      <c r="E1491" s="3" t="s">
        <v>100</v>
      </c>
      <c r="F1491" s="7">
        <v>45779.96205131999</v>
      </c>
      <c r="G1491" s="3" t="s">
        <v>5499</v>
      </c>
    </row>
    <row r="1492">
      <c r="A1492" s="3" t="s">
        <v>5500</v>
      </c>
      <c r="B1492" s="3" t="s">
        <v>2104</v>
      </c>
      <c r="C1492" s="5" t="s">
        <v>45</v>
      </c>
      <c r="D1492" s="3" t="s">
        <v>221</v>
      </c>
      <c r="E1492" s="3" t="s">
        <v>406</v>
      </c>
      <c r="F1492" s="7">
        <v>45780.02280949875</v>
      </c>
      <c r="G1492" s="3" t="s">
        <v>5502</v>
      </c>
    </row>
    <row r="1493">
      <c r="A1493" s="3" t="s">
        <v>5503</v>
      </c>
      <c r="B1493" s="3" t="s">
        <v>2104</v>
      </c>
      <c r="C1493" s="5" t="s">
        <v>221</v>
      </c>
      <c r="D1493" s="3" t="s">
        <v>614</v>
      </c>
      <c r="E1493" s="3" t="s">
        <v>118</v>
      </c>
      <c r="F1493" s="7">
        <v>45780.026281720966</v>
      </c>
      <c r="G1493" s="3" t="s">
        <v>5505</v>
      </c>
    </row>
    <row r="1494">
      <c r="A1494" s="3" t="s">
        <v>5506</v>
      </c>
      <c r="B1494" s="3" t="s">
        <v>2104</v>
      </c>
      <c r="C1494" s="5" t="s">
        <v>614</v>
      </c>
      <c r="D1494" s="3" t="s">
        <v>206</v>
      </c>
      <c r="E1494" s="3" t="s">
        <v>100</v>
      </c>
      <c r="F1494" s="7">
        <v>45780.02975394319</v>
      </c>
      <c r="G1494" s="3" t="s">
        <v>5508</v>
      </c>
    </row>
    <row r="1495">
      <c r="A1495" s="3" t="s">
        <v>5509</v>
      </c>
      <c r="B1495" s="3" t="s">
        <v>2104</v>
      </c>
      <c r="C1495" s="5" t="s">
        <v>206</v>
      </c>
      <c r="D1495" s="3" t="s">
        <v>68</v>
      </c>
      <c r="E1495" s="3" t="s">
        <v>100</v>
      </c>
      <c r="F1495" s="7">
        <v>45780.03322616541</v>
      </c>
      <c r="G1495" s="3" t="s">
        <v>5511</v>
      </c>
    </row>
    <row r="1496">
      <c r="A1496" s="3" t="s">
        <v>5512</v>
      </c>
      <c r="B1496" s="3" t="s">
        <v>2106</v>
      </c>
      <c r="C1496" s="5" t="s">
        <v>45</v>
      </c>
      <c r="D1496" s="3" t="s">
        <v>221</v>
      </c>
      <c r="E1496" s="3" t="s">
        <v>239</v>
      </c>
      <c r="F1496" s="7">
        <v>45780.09398434417</v>
      </c>
      <c r="G1496" s="3" t="s">
        <v>5514</v>
      </c>
    </row>
    <row r="1497">
      <c r="A1497" s="3" t="s">
        <v>5515</v>
      </c>
      <c r="B1497" s="3" t="s">
        <v>2106</v>
      </c>
      <c r="C1497" s="5" t="s">
        <v>221</v>
      </c>
      <c r="D1497" s="3" t="s">
        <v>614</v>
      </c>
      <c r="E1497" s="3" t="s">
        <v>118</v>
      </c>
      <c r="F1497" s="7">
        <v>45780.097456566386</v>
      </c>
      <c r="G1497" s="3" t="s">
        <v>5517</v>
      </c>
    </row>
    <row r="1498">
      <c r="A1498" s="3" t="s">
        <v>5518</v>
      </c>
      <c r="B1498" s="3" t="s">
        <v>2106</v>
      </c>
      <c r="C1498" s="5" t="s">
        <v>614</v>
      </c>
      <c r="D1498" s="3" t="s">
        <v>206</v>
      </c>
      <c r="E1498" s="3" t="s">
        <v>100</v>
      </c>
      <c r="F1498" s="7">
        <v>45780.10092878861</v>
      </c>
      <c r="G1498" s="3" t="s">
        <v>5520</v>
      </c>
    </row>
    <row r="1499">
      <c r="A1499" s="3" t="s">
        <v>5521</v>
      </c>
      <c r="B1499" s="3" t="s">
        <v>2106</v>
      </c>
      <c r="C1499" s="5" t="s">
        <v>206</v>
      </c>
      <c r="D1499" s="3" t="s">
        <v>68</v>
      </c>
      <c r="E1499" s="3" t="s">
        <v>100</v>
      </c>
      <c r="F1499" s="7">
        <v>45780.10440101083</v>
      </c>
      <c r="G1499" s="3" t="s">
        <v>5523</v>
      </c>
    </row>
    <row r="1500">
      <c r="A1500" s="3" t="s">
        <v>5524</v>
      </c>
      <c r="B1500" s="3" t="s">
        <v>2109</v>
      </c>
      <c r="C1500" s="5" t="s">
        <v>45</v>
      </c>
      <c r="D1500" s="3" t="s">
        <v>221</v>
      </c>
      <c r="E1500" s="3" t="s">
        <v>655</v>
      </c>
      <c r="F1500" s="7">
        <v>45780.16515918958</v>
      </c>
      <c r="G1500" s="3" t="s">
        <v>5525</v>
      </c>
    </row>
    <row r="1501">
      <c r="A1501" s="3" t="s">
        <v>5527</v>
      </c>
      <c r="B1501" s="3" t="s">
        <v>2109</v>
      </c>
      <c r="C1501" s="5" t="s">
        <v>221</v>
      </c>
      <c r="D1501" s="3" t="s">
        <v>614</v>
      </c>
      <c r="E1501" s="3" t="s">
        <v>118</v>
      </c>
      <c r="F1501" s="7">
        <v>45780.1686314118</v>
      </c>
      <c r="G1501" s="3" t="s">
        <v>5528</v>
      </c>
    </row>
    <row r="1502">
      <c r="A1502" s="3" t="s">
        <v>5529</v>
      </c>
      <c r="B1502" s="3" t="s">
        <v>2109</v>
      </c>
      <c r="C1502" s="5" t="s">
        <v>614</v>
      </c>
      <c r="D1502" s="3" t="s">
        <v>206</v>
      </c>
      <c r="E1502" s="3" t="s">
        <v>100</v>
      </c>
      <c r="F1502" s="7">
        <v>45780.172103634024</v>
      </c>
      <c r="G1502" s="3" t="s">
        <v>5531</v>
      </c>
    </row>
    <row r="1503">
      <c r="A1503" s="3" t="s">
        <v>5532</v>
      </c>
      <c r="B1503" s="3" t="s">
        <v>2109</v>
      </c>
      <c r="C1503" s="5" t="s">
        <v>206</v>
      </c>
      <c r="D1503" s="3" t="s">
        <v>68</v>
      </c>
      <c r="E1503" s="3" t="s">
        <v>100</v>
      </c>
      <c r="F1503" s="7">
        <v>45780.17557585624</v>
      </c>
      <c r="G1503" s="3" t="s">
        <v>5534</v>
      </c>
    </row>
    <row r="1504">
      <c r="A1504" s="3" t="s">
        <v>5535</v>
      </c>
      <c r="B1504" s="3" t="s">
        <v>2114</v>
      </c>
      <c r="C1504" s="5" t="s">
        <v>45</v>
      </c>
      <c r="D1504" s="3" t="s">
        <v>221</v>
      </c>
      <c r="E1504" s="3" t="s">
        <v>1008</v>
      </c>
      <c r="F1504" s="7">
        <v>45780.23633403499</v>
      </c>
      <c r="G1504" s="3" t="s">
        <v>5537</v>
      </c>
    </row>
    <row r="1505">
      <c r="A1505" s="3" t="s">
        <v>5538</v>
      </c>
      <c r="B1505" s="3" t="s">
        <v>2114</v>
      </c>
      <c r="C1505" s="5" t="s">
        <v>221</v>
      </c>
      <c r="D1505" s="3" t="s">
        <v>614</v>
      </c>
      <c r="E1505" s="3" t="s">
        <v>118</v>
      </c>
      <c r="F1505" s="7">
        <v>45780.23980625721</v>
      </c>
      <c r="G1505" s="3" t="s">
        <v>5539</v>
      </c>
    </row>
    <row r="1506">
      <c r="A1506" s="3" t="s">
        <v>5540</v>
      </c>
      <c r="B1506" s="3" t="s">
        <v>2114</v>
      </c>
      <c r="C1506" s="5" t="s">
        <v>614</v>
      </c>
      <c r="D1506" s="3" t="s">
        <v>206</v>
      </c>
      <c r="E1506" s="3" t="s">
        <v>100</v>
      </c>
      <c r="F1506" s="7">
        <v>45780.24327847944</v>
      </c>
      <c r="G1506" s="3" t="s">
        <v>5542</v>
      </c>
    </row>
    <row r="1507">
      <c r="A1507" s="3" t="s">
        <v>5543</v>
      </c>
      <c r="B1507" s="3" t="s">
        <v>2114</v>
      </c>
      <c r="C1507" s="5" t="s">
        <v>206</v>
      </c>
      <c r="D1507" s="3" t="s">
        <v>68</v>
      </c>
      <c r="E1507" s="3" t="s">
        <v>100</v>
      </c>
      <c r="F1507" s="7">
        <v>45780.246750701655</v>
      </c>
      <c r="G1507" s="3" t="s">
        <v>5545</v>
      </c>
    </row>
    <row r="1508">
      <c r="A1508" s="3" t="s">
        <v>5546</v>
      </c>
      <c r="B1508" s="3" t="s">
        <v>2117</v>
      </c>
      <c r="C1508" s="5" t="s">
        <v>45</v>
      </c>
      <c r="D1508" s="3" t="s">
        <v>221</v>
      </c>
      <c r="E1508" s="3" t="s">
        <v>600</v>
      </c>
      <c r="F1508" s="7">
        <v>45780.30750888041</v>
      </c>
      <c r="G1508" s="3" t="s">
        <v>5548</v>
      </c>
    </row>
    <row r="1509">
      <c r="A1509" s="3" t="s">
        <v>5549</v>
      </c>
      <c r="B1509" s="3" t="s">
        <v>2117</v>
      </c>
      <c r="C1509" s="5" t="s">
        <v>221</v>
      </c>
      <c r="D1509" s="3" t="s">
        <v>614</v>
      </c>
      <c r="E1509" s="3" t="s">
        <v>118</v>
      </c>
      <c r="F1509" s="7">
        <v>45780.31098110263</v>
      </c>
      <c r="G1509" s="3" t="s">
        <v>5551</v>
      </c>
    </row>
    <row r="1510">
      <c r="A1510" s="3" t="s">
        <v>5552</v>
      </c>
      <c r="B1510" s="3" t="s">
        <v>2117</v>
      </c>
      <c r="C1510" s="5" t="s">
        <v>614</v>
      </c>
      <c r="D1510" s="3" t="s">
        <v>206</v>
      </c>
      <c r="E1510" s="3" t="s">
        <v>100</v>
      </c>
      <c r="F1510" s="7">
        <v>45780.314453324856</v>
      </c>
      <c r="G1510" s="3" t="s">
        <v>5554</v>
      </c>
    </row>
    <row r="1511">
      <c r="A1511" s="3" t="s">
        <v>5555</v>
      </c>
      <c r="B1511" s="3" t="s">
        <v>2117</v>
      </c>
      <c r="C1511" s="5" t="s">
        <v>206</v>
      </c>
      <c r="D1511" s="3" t="s">
        <v>68</v>
      </c>
      <c r="E1511" s="3" t="s">
        <v>100</v>
      </c>
      <c r="F1511" s="7">
        <v>45780.317925547075</v>
      </c>
      <c r="G1511" s="3" t="s">
        <v>5556</v>
      </c>
    </row>
    <row r="1512">
      <c r="A1512" s="3" t="s">
        <v>5558</v>
      </c>
      <c r="B1512" s="3" t="s">
        <v>2119</v>
      </c>
      <c r="C1512" s="5" t="s">
        <v>45</v>
      </c>
      <c r="D1512" s="3" t="s">
        <v>221</v>
      </c>
      <c r="E1512" s="3" t="s">
        <v>596</v>
      </c>
      <c r="F1512" s="7">
        <v>45780.37868372582</v>
      </c>
      <c r="G1512" s="3" t="s">
        <v>5559</v>
      </c>
    </row>
    <row r="1513">
      <c r="A1513" s="3" t="s">
        <v>5561</v>
      </c>
      <c r="B1513" s="3" t="s">
        <v>2119</v>
      </c>
      <c r="C1513" s="5" t="s">
        <v>221</v>
      </c>
      <c r="D1513" s="3" t="s">
        <v>614</v>
      </c>
      <c r="E1513" s="3" t="s">
        <v>118</v>
      </c>
      <c r="F1513" s="7">
        <v>45780.38215594804</v>
      </c>
      <c r="G1513" s="3" t="s">
        <v>5562</v>
      </c>
    </row>
    <row r="1514">
      <c r="A1514" s="3" t="s">
        <v>5563</v>
      </c>
      <c r="B1514" s="3" t="s">
        <v>2119</v>
      </c>
      <c r="C1514" s="5" t="s">
        <v>614</v>
      </c>
      <c r="D1514" s="3" t="s">
        <v>206</v>
      </c>
      <c r="E1514" s="3" t="s">
        <v>100</v>
      </c>
      <c r="F1514" s="7">
        <v>45780.38562817027</v>
      </c>
      <c r="G1514" s="3" t="s">
        <v>5565</v>
      </c>
    </row>
    <row r="1515">
      <c r="A1515" s="3" t="s">
        <v>5566</v>
      </c>
      <c r="B1515" s="3" t="s">
        <v>2119</v>
      </c>
      <c r="C1515" s="5" t="s">
        <v>206</v>
      </c>
      <c r="D1515" s="3" t="s">
        <v>68</v>
      </c>
      <c r="E1515" s="3" t="s">
        <v>100</v>
      </c>
      <c r="F1515" s="7">
        <v>45780.38910039249</v>
      </c>
      <c r="G1515" s="3" t="s">
        <v>5568</v>
      </c>
    </row>
    <row r="1516">
      <c r="A1516" s="3" t="s">
        <v>5569</v>
      </c>
      <c r="B1516" s="3" t="s">
        <v>2122</v>
      </c>
      <c r="C1516" s="5" t="s">
        <v>45</v>
      </c>
      <c r="D1516" s="3" t="s">
        <v>221</v>
      </c>
      <c r="E1516" s="3" t="s">
        <v>554</v>
      </c>
      <c r="F1516" s="7">
        <v>45780.449858571235</v>
      </c>
      <c r="G1516" s="3" t="s">
        <v>5571</v>
      </c>
    </row>
    <row r="1517">
      <c r="A1517" s="3" t="s">
        <v>5572</v>
      </c>
      <c r="B1517" s="3" t="s">
        <v>2122</v>
      </c>
      <c r="C1517" s="5" t="s">
        <v>221</v>
      </c>
      <c r="D1517" s="3" t="s">
        <v>614</v>
      </c>
      <c r="E1517" s="3" t="s">
        <v>118</v>
      </c>
      <c r="F1517" s="7">
        <v>45780.453330793454</v>
      </c>
      <c r="G1517" s="3" t="s">
        <v>5574</v>
      </c>
    </row>
    <row r="1518">
      <c r="A1518" s="3" t="s">
        <v>5575</v>
      </c>
      <c r="B1518" s="3" t="s">
        <v>2122</v>
      </c>
      <c r="C1518" s="5" t="s">
        <v>614</v>
      </c>
      <c r="D1518" s="3" t="s">
        <v>206</v>
      </c>
      <c r="E1518" s="3" t="s">
        <v>100</v>
      </c>
      <c r="F1518" s="7">
        <v>45780.45680301568</v>
      </c>
      <c r="G1518" s="3" t="s">
        <v>5577</v>
      </c>
    </row>
    <row r="1519">
      <c r="A1519" s="3" t="s">
        <v>5578</v>
      </c>
      <c r="B1519" s="3" t="s">
        <v>2122</v>
      </c>
      <c r="C1519" s="5" t="s">
        <v>206</v>
      </c>
      <c r="D1519" s="3" t="s">
        <v>68</v>
      </c>
      <c r="E1519" s="3" t="s">
        <v>100</v>
      </c>
      <c r="F1519" s="7">
        <v>45780.4602752379</v>
      </c>
      <c r="G1519" s="3" t="s">
        <v>5580</v>
      </c>
    </row>
    <row r="1520">
      <c r="A1520" s="3" t="s">
        <v>5581</v>
      </c>
      <c r="B1520" s="3" t="s">
        <v>2125</v>
      </c>
      <c r="C1520" s="5" t="s">
        <v>45</v>
      </c>
      <c r="D1520" s="3" t="s">
        <v>221</v>
      </c>
      <c r="E1520" s="3" t="s">
        <v>751</v>
      </c>
      <c r="F1520" s="7">
        <v>45780.521033416655</v>
      </c>
      <c r="G1520" s="3" t="s">
        <v>5582</v>
      </c>
    </row>
    <row r="1521">
      <c r="A1521" s="3" t="s">
        <v>5584</v>
      </c>
      <c r="B1521" s="3" t="s">
        <v>2125</v>
      </c>
      <c r="C1521" s="5" t="s">
        <v>221</v>
      </c>
      <c r="D1521" s="3" t="s">
        <v>614</v>
      </c>
      <c r="E1521" s="3" t="s">
        <v>118</v>
      </c>
      <c r="F1521" s="7">
        <v>45780.524505638874</v>
      </c>
      <c r="G1521" s="3" t="s">
        <v>5585</v>
      </c>
    </row>
    <row r="1522">
      <c r="A1522" s="3" t="s">
        <v>5587</v>
      </c>
      <c r="B1522" s="3" t="s">
        <v>2125</v>
      </c>
      <c r="C1522" s="5" t="s">
        <v>614</v>
      </c>
      <c r="D1522" s="3" t="s">
        <v>206</v>
      </c>
      <c r="E1522" s="3" t="s">
        <v>100</v>
      </c>
      <c r="F1522" s="7">
        <v>45780.5279778611</v>
      </c>
      <c r="G1522" s="3" t="s">
        <v>5588</v>
      </c>
    </row>
    <row r="1523">
      <c r="A1523" s="3" t="s">
        <v>5589</v>
      </c>
      <c r="B1523" s="3" t="s">
        <v>2125</v>
      </c>
      <c r="C1523" s="5" t="s">
        <v>206</v>
      </c>
      <c r="D1523" s="3" t="s">
        <v>68</v>
      </c>
      <c r="E1523" s="3" t="s">
        <v>100</v>
      </c>
      <c r="F1523" s="7">
        <v>45780.53145008332</v>
      </c>
      <c r="G1523" s="3" t="s">
        <v>5591</v>
      </c>
    </row>
    <row r="1524">
      <c r="A1524" s="3" t="s">
        <v>5592</v>
      </c>
      <c r="B1524" s="3" t="s">
        <v>2129</v>
      </c>
      <c r="C1524" s="5" t="s">
        <v>45</v>
      </c>
      <c r="D1524" s="3" t="s">
        <v>221</v>
      </c>
      <c r="E1524" s="3" t="s">
        <v>622</v>
      </c>
      <c r="F1524" s="7">
        <v>45780.592208262075</v>
      </c>
      <c r="G1524" s="3" t="s">
        <v>5594</v>
      </c>
    </row>
    <row r="1525">
      <c r="A1525" s="3" t="s">
        <v>5595</v>
      </c>
      <c r="B1525" s="3" t="s">
        <v>2129</v>
      </c>
      <c r="C1525" s="5" t="s">
        <v>221</v>
      </c>
      <c r="D1525" s="3" t="s">
        <v>614</v>
      </c>
      <c r="E1525" s="3" t="s">
        <v>118</v>
      </c>
      <c r="F1525" s="7">
        <v>45780.59568048429</v>
      </c>
      <c r="G1525" s="3" t="s">
        <v>5597</v>
      </c>
    </row>
    <row r="1526">
      <c r="A1526" s="3" t="s">
        <v>5598</v>
      </c>
      <c r="B1526" s="3" t="s">
        <v>2129</v>
      </c>
      <c r="C1526" s="5" t="s">
        <v>614</v>
      </c>
      <c r="D1526" s="3" t="s">
        <v>206</v>
      </c>
      <c r="E1526" s="3" t="s">
        <v>100</v>
      </c>
      <c r="F1526" s="7">
        <v>45780.59915270652</v>
      </c>
      <c r="G1526" s="3" t="s">
        <v>5600</v>
      </c>
    </row>
    <row r="1527">
      <c r="A1527" s="3" t="s">
        <v>5601</v>
      </c>
      <c r="B1527" s="3" t="s">
        <v>2129</v>
      </c>
      <c r="C1527" s="5" t="s">
        <v>206</v>
      </c>
      <c r="D1527" s="3" t="s">
        <v>68</v>
      </c>
      <c r="E1527" s="3" t="s">
        <v>100</v>
      </c>
      <c r="F1527" s="7">
        <v>45780.60262492874</v>
      </c>
      <c r="G1527" s="3" t="s">
        <v>5603</v>
      </c>
    </row>
    <row r="1528">
      <c r="A1528" s="3" t="s">
        <v>5604</v>
      </c>
      <c r="B1528" s="3" t="s">
        <v>2131</v>
      </c>
      <c r="C1528" s="5" t="s">
        <v>45</v>
      </c>
      <c r="D1528" s="3" t="s">
        <v>221</v>
      </c>
      <c r="E1528" s="3" t="s">
        <v>600</v>
      </c>
      <c r="F1528" s="7">
        <v>45780.66338310748</v>
      </c>
      <c r="G1528" s="3" t="s">
        <v>5606</v>
      </c>
    </row>
    <row r="1529">
      <c r="A1529" s="3" t="s">
        <v>5607</v>
      </c>
      <c r="B1529" s="3" t="s">
        <v>2131</v>
      </c>
      <c r="C1529" s="5" t="s">
        <v>221</v>
      </c>
      <c r="D1529" s="3" t="s">
        <v>614</v>
      </c>
      <c r="E1529" s="3" t="s">
        <v>118</v>
      </c>
      <c r="F1529" s="7">
        <v>45780.6668553297</v>
      </c>
      <c r="G1529" s="3" t="s">
        <v>5609</v>
      </c>
    </row>
    <row r="1530">
      <c r="A1530" s="3" t="s">
        <v>5610</v>
      </c>
      <c r="B1530" s="3" t="s">
        <v>2131</v>
      </c>
      <c r="C1530" s="5" t="s">
        <v>614</v>
      </c>
      <c r="D1530" s="3" t="s">
        <v>206</v>
      </c>
      <c r="E1530" s="3" t="s">
        <v>100</v>
      </c>
      <c r="F1530" s="7">
        <v>45780.670327551925</v>
      </c>
      <c r="G1530" s="3" t="s">
        <v>5612</v>
      </c>
    </row>
    <row r="1531">
      <c r="A1531" s="3" t="s">
        <v>5613</v>
      </c>
      <c r="B1531" s="3" t="s">
        <v>2131</v>
      </c>
      <c r="C1531" s="5" t="s">
        <v>206</v>
      </c>
      <c r="D1531" s="3" t="s">
        <v>68</v>
      </c>
      <c r="E1531" s="3" t="s">
        <v>100</v>
      </c>
      <c r="F1531" s="7">
        <v>45780.673799774144</v>
      </c>
      <c r="G1531" s="3" t="s">
        <v>5614</v>
      </c>
    </row>
    <row r="1532">
      <c r="A1532" s="3" t="s">
        <v>5615</v>
      </c>
      <c r="B1532" s="3" t="s">
        <v>2133</v>
      </c>
      <c r="C1532" s="5" t="s">
        <v>45</v>
      </c>
      <c r="D1532" s="3" t="s">
        <v>221</v>
      </c>
      <c r="E1532" s="3" t="s">
        <v>215</v>
      </c>
      <c r="F1532" s="7">
        <v>45780.7345579529</v>
      </c>
      <c r="G1532" s="3" t="s">
        <v>5617</v>
      </c>
    </row>
    <row r="1533">
      <c r="A1533" s="3" t="s">
        <v>5618</v>
      </c>
      <c r="B1533" s="3" t="s">
        <v>2133</v>
      </c>
      <c r="C1533" s="5" t="s">
        <v>221</v>
      </c>
      <c r="D1533" s="3" t="s">
        <v>181</v>
      </c>
      <c r="E1533" s="3" t="s">
        <v>118</v>
      </c>
      <c r="F1533" s="7">
        <v>45780.73803017512</v>
      </c>
      <c r="G1533" s="3" t="s">
        <v>5620</v>
      </c>
    </row>
    <row r="1534">
      <c r="A1534" s="3" t="s">
        <v>5621</v>
      </c>
      <c r="B1534" s="3" t="s">
        <v>2135</v>
      </c>
      <c r="C1534" s="5" t="s">
        <v>45</v>
      </c>
      <c r="D1534" s="3" t="s">
        <v>221</v>
      </c>
      <c r="E1534" s="3" t="s">
        <v>175</v>
      </c>
      <c r="F1534" s="7">
        <v>45780.80573279831</v>
      </c>
      <c r="G1534" s="3" t="s">
        <v>5623</v>
      </c>
    </row>
    <row r="1535">
      <c r="A1535" s="3" t="s">
        <v>5624</v>
      </c>
      <c r="B1535" s="3" t="s">
        <v>2135</v>
      </c>
      <c r="C1535" s="5" t="s">
        <v>221</v>
      </c>
      <c r="D1535" s="3" t="s">
        <v>181</v>
      </c>
      <c r="E1535" s="3" t="s">
        <v>118</v>
      </c>
      <c r="F1535" s="7">
        <v>45780.80920502053</v>
      </c>
      <c r="G1535" s="3" t="s">
        <v>5625</v>
      </c>
    </row>
    <row r="1536">
      <c r="A1536" s="3" t="s">
        <v>5626</v>
      </c>
      <c r="B1536" s="3" t="s">
        <v>2138</v>
      </c>
      <c r="C1536" s="5" t="s">
        <v>45</v>
      </c>
      <c r="D1536" s="3" t="s">
        <v>221</v>
      </c>
      <c r="E1536" s="3" t="s">
        <v>845</v>
      </c>
      <c r="F1536" s="7">
        <v>45780.87690764373</v>
      </c>
      <c r="G1536" s="3" t="s">
        <v>2770</v>
      </c>
    </row>
    <row r="1537">
      <c r="A1537" s="3" t="s">
        <v>5627</v>
      </c>
      <c r="B1537" s="3" t="s">
        <v>2138</v>
      </c>
      <c r="C1537" s="5" t="s">
        <v>221</v>
      </c>
      <c r="D1537" s="3" t="s">
        <v>195</v>
      </c>
      <c r="E1537" s="3" t="s">
        <v>845</v>
      </c>
      <c r="F1537" s="7">
        <v>45780.88037986595</v>
      </c>
      <c r="G1537" s="3" t="s">
        <v>3055</v>
      </c>
    </row>
    <row r="1538">
      <c r="A1538" s="3" t="s">
        <v>5629</v>
      </c>
      <c r="B1538" s="3" t="s">
        <v>2140</v>
      </c>
      <c r="C1538" s="5" t="s">
        <v>45</v>
      </c>
      <c r="D1538" s="3" t="s">
        <v>221</v>
      </c>
      <c r="E1538" s="3" t="s">
        <v>586</v>
      </c>
      <c r="F1538" s="7">
        <v>45780.94808248914</v>
      </c>
      <c r="G1538" s="3" t="s">
        <v>5631</v>
      </c>
    </row>
    <row r="1539">
      <c r="A1539" s="3" t="s">
        <v>5632</v>
      </c>
      <c r="B1539" s="3" t="s">
        <v>2140</v>
      </c>
      <c r="C1539" s="5" t="s">
        <v>221</v>
      </c>
      <c r="D1539" s="3" t="s">
        <v>614</v>
      </c>
      <c r="E1539" s="3" t="s">
        <v>118</v>
      </c>
      <c r="F1539" s="7">
        <v>45780.95155471136</v>
      </c>
      <c r="G1539" s="3" t="s">
        <v>5634</v>
      </c>
    </row>
    <row r="1540">
      <c r="A1540" s="3" t="s">
        <v>5635</v>
      </c>
      <c r="B1540" s="3" t="s">
        <v>2140</v>
      </c>
      <c r="C1540" s="5" t="s">
        <v>614</v>
      </c>
      <c r="D1540" s="3" t="s">
        <v>206</v>
      </c>
      <c r="E1540" s="3" t="s">
        <v>100</v>
      </c>
      <c r="F1540" s="7">
        <v>45780.95502693359</v>
      </c>
      <c r="G1540" s="3" t="s">
        <v>5636</v>
      </c>
    </row>
    <row r="1541">
      <c r="A1541" s="3" t="s">
        <v>5638</v>
      </c>
      <c r="B1541" s="3" t="s">
        <v>2140</v>
      </c>
      <c r="C1541" s="5" t="s">
        <v>206</v>
      </c>
      <c r="D1541" s="3" t="s">
        <v>68</v>
      </c>
      <c r="E1541" s="3" t="s">
        <v>100</v>
      </c>
      <c r="F1541" s="7">
        <v>45780.95849915581</v>
      </c>
      <c r="G1541" s="3" t="s">
        <v>5639</v>
      </c>
    </row>
    <row r="1542">
      <c r="A1542" s="3" t="s">
        <v>5641</v>
      </c>
      <c r="B1542" s="3" t="s">
        <v>2142</v>
      </c>
      <c r="C1542" s="5" t="s">
        <v>45</v>
      </c>
      <c r="D1542" s="3" t="s">
        <v>221</v>
      </c>
      <c r="E1542" s="3" t="s">
        <v>998</v>
      </c>
      <c r="F1542" s="7">
        <v>45781.01925733456</v>
      </c>
      <c r="G1542" s="3" t="s">
        <v>5642</v>
      </c>
    </row>
    <row r="1543">
      <c r="A1543" s="3" t="s">
        <v>5644</v>
      </c>
      <c r="B1543" s="3" t="s">
        <v>2142</v>
      </c>
      <c r="C1543" s="5" t="s">
        <v>221</v>
      </c>
      <c r="D1543" s="3" t="s">
        <v>614</v>
      </c>
      <c r="E1543" s="3" t="s">
        <v>118</v>
      </c>
      <c r="F1543" s="7">
        <v>45781.02272955678</v>
      </c>
      <c r="G1543" s="3" t="s">
        <v>5645</v>
      </c>
    </row>
    <row r="1544">
      <c r="A1544" s="3" t="s">
        <v>5646</v>
      </c>
      <c r="B1544" s="3" t="s">
        <v>2142</v>
      </c>
      <c r="C1544" s="5" t="s">
        <v>614</v>
      </c>
      <c r="D1544" s="3" t="s">
        <v>206</v>
      </c>
      <c r="E1544" s="3" t="s">
        <v>100</v>
      </c>
      <c r="F1544" s="7">
        <v>45781.02620177901</v>
      </c>
      <c r="G1544" s="3" t="s">
        <v>5648</v>
      </c>
    </row>
    <row r="1545">
      <c r="A1545" s="3" t="s">
        <v>5649</v>
      </c>
      <c r="B1545" s="3" t="s">
        <v>2142</v>
      </c>
      <c r="C1545" s="5" t="s">
        <v>206</v>
      </c>
      <c r="D1545" s="3" t="s">
        <v>68</v>
      </c>
      <c r="E1545" s="3" t="s">
        <v>100</v>
      </c>
      <c r="F1545" s="7">
        <v>45781.02967400123</v>
      </c>
      <c r="G1545" s="3" t="s">
        <v>5651</v>
      </c>
    </row>
    <row r="1546">
      <c r="A1546" s="3" t="s">
        <v>5652</v>
      </c>
      <c r="B1546" s="3" t="s">
        <v>2143</v>
      </c>
      <c r="C1546" s="5" t="s">
        <v>45</v>
      </c>
      <c r="D1546" s="3" t="s">
        <v>221</v>
      </c>
      <c r="E1546" s="3" t="s">
        <v>1049</v>
      </c>
      <c r="F1546" s="7">
        <v>45781.09043217997</v>
      </c>
      <c r="G1546" s="3" t="s">
        <v>4574</v>
      </c>
    </row>
    <row r="1547">
      <c r="A1547" s="3" t="s">
        <v>5654</v>
      </c>
      <c r="B1547" s="3" t="s">
        <v>2143</v>
      </c>
      <c r="C1547" s="5" t="s">
        <v>221</v>
      </c>
      <c r="D1547" s="3" t="s">
        <v>614</v>
      </c>
      <c r="E1547" s="3" t="s">
        <v>118</v>
      </c>
      <c r="F1547" s="7">
        <v>45781.09390440219</v>
      </c>
      <c r="G1547" s="3" t="s">
        <v>4576</v>
      </c>
    </row>
    <row r="1548">
      <c r="A1548" s="3" t="s">
        <v>5656</v>
      </c>
      <c r="B1548" s="3" t="s">
        <v>2143</v>
      </c>
      <c r="C1548" s="5" t="s">
        <v>614</v>
      </c>
      <c r="D1548" s="3" t="s">
        <v>206</v>
      </c>
      <c r="E1548" s="3" t="s">
        <v>100</v>
      </c>
      <c r="F1548" s="7">
        <v>45781.09737662441</v>
      </c>
      <c r="G1548" s="3" t="s">
        <v>4579</v>
      </c>
    </row>
    <row r="1549">
      <c r="A1549" s="3" t="s">
        <v>5658</v>
      </c>
      <c r="B1549" s="3" t="s">
        <v>2143</v>
      </c>
      <c r="C1549" s="5" t="s">
        <v>206</v>
      </c>
      <c r="D1549" s="3" t="s">
        <v>68</v>
      </c>
      <c r="E1549" s="3" t="s">
        <v>100</v>
      </c>
      <c r="F1549" s="7">
        <v>45781.10084884663</v>
      </c>
      <c r="G1549" s="3" t="s">
        <v>4582</v>
      </c>
    </row>
    <row r="1550">
      <c r="A1550" s="3" t="s">
        <v>5660</v>
      </c>
      <c r="B1550" s="3" t="s">
        <v>2147</v>
      </c>
      <c r="C1550" s="5" t="s">
        <v>45</v>
      </c>
      <c r="D1550" s="3" t="s">
        <v>221</v>
      </c>
      <c r="E1550" s="3" t="s">
        <v>141</v>
      </c>
      <c r="F1550" s="7">
        <v>45781.16160702539</v>
      </c>
      <c r="G1550" s="3" t="s">
        <v>5661</v>
      </c>
    </row>
    <row r="1551">
      <c r="A1551" s="3" t="s">
        <v>5663</v>
      </c>
      <c r="B1551" s="3" t="s">
        <v>2147</v>
      </c>
      <c r="C1551" s="5" t="s">
        <v>221</v>
      </c>
      <c r="D1551" s="3" t="s">
        <v>614</v>
      </c>
      <c r="E1551" s="3" t="s">
        <v>118</v>
      </c>
      <c r="F1551" s="7">
        <v>45781.16507924761</v>
      </c>
      <c r="G1551" s="3" t="s">
        <v>5664</v>
      </c>
    </row>
    <row r="1552">
      <c r="A1552" s="3" t="s">
        <v>5665</v>
      </c>
      <c r="B1552" s="3" t="s">
        <v>2147</v>
      </c>
      <c r="C1552" s="5" t="s">
        <v>614</v>
      </c>
      <c r="D1552" s="3" t="s">
        <v>206</v>
      </c>
      <c r="E1552" s="3" t="s">
        <v>100</v>
      </c>
      <c r="F1552" s="7">
        <v>45781.16855146983</v>
      </c>
      <c r="G1552" s="3" t="s">
        <v>5667</v>
      </c>
    </row>
    <row r="1553">
      <c r="A1553" s="3" t="s">
        <v>5668</v>
      </c>
      <c r="B1553" s="3" t="s">
        <v>2147</v>
      </c>
      <c r="C1553" s="5" t="s">
        <v>206</v>
      </c>
      <c r="D1553" s="3" t="s">
        <v>68</v>
      </c>
      <c r="E1553" s="3" t="s">
        <v>100</v>
      </c>
      <c r="F1553" s="7">
        <v>45781.17202369205</v>
      </c>
      <c r="G1553" s="3" t="s">
        <v>5670</v>
      </c>
    </row>
    <row r="1554">
      <c r="A1554" s="3" t="s">
        <v>5671</v>
      </c>
      <c r="B1554" s="3" t="s">
        <v>2149</v>
      </c>
      <c r="C1554" s="5" t="s">
        <v>45</v>
      </c>
      <c r="D1554" s="3" t="s">
        <v>221</v>
      </c>
      <c r="E1554" s="3" t="s">
        <v>230</v>
      </c>
      <c r="F1554" s="7">
        <v>45781.23278187081</v>
      </c>
      <c r="G1554" s="3" t="s">
        <v>5673</v>
      </c>
    </row>
    <row r="1555">
      <c r="A1555" s="3" t="s">
        <v>5674</v>
      </c>
      <c r="B1555" s="3" t="s">
        <v>2149</v>
      </c>
      <c r="C1555" s="5" t="s">
        <v>221</v>
      </c>
      <c r="D1555" s="3" t="s">
        <v>614</v>
      </c>
      <c r="E1555" s="3" t="s">
        <v>118</v>
      </c>
      <c r="F1555" s="7">
        <v>45781.236254093026</v>
      </c>
      <c r="G1555" s="3" t="s">
        <v>5676</v>
      </c>
    </row>
    <row r="1556">
      <c r="A1556" s="3" t="s">
        <v>5677</v>
      </c>
      <c r="B1556" s="3" t="s">
        <v>2149</v>
      </c>
      <c r="C1556" s="5" t="s">
        <v>614</v>
      </c>
      <c r="D1556" s="3" t="s">
        <v>206</v>
      </c>
      <c r="E1556" s="3" t="s">
        <v>100</v>
      </c>
      <c r="F1556" s="7">
        <v>45781.23972631525</v>
      </c>
      <c r="G1556" s="3" t="s">
        <v>5679</v>
      </c>
    </row>
    <row r="1557">
      <c r="A1557" s="3" t="s">
        <v>5680</v>
      </c>
      <c r="B1557" s="3" t="s">
        <v>2149</v>
      </c>
      <c r="C1557" s="5" t="s">
        <v>206</v>
      </c>
      <c r="D1557" s="3" t="s">
        <v>68</v>
      </c>
      <c r="E1557" s="3" t="s">
        <v>100</v>
      </c>
      <c r="F1557" s="7">
        <v>45781.24319853747</v>
      </c>
      <c r="G1557" s="3" t="s">
        <v>5682</v>
      </c>
    </row>
    <row r="1558">
      <c r="A1558" s="3" t="s">
        <v>5683</v>
      </c>
      <c r="B1558" s="3" t="s">
        <v>2151</v>
      </c>
      <c r="C1558" s="5" t="s">
        <v>45</v>
      </c>
      <c r="D1558" s="3" t="s">
        <v>221</v>
      </c>
      <c r="E1558" s="3" t="s">
        <v>609</v>
      </c>
      <c r="F1558" s="7">
        <v>45781.30395671622</v>
      </c>
      <c r="G1558" s="3" t="s">
        <v>5685</v>
      </c>
    </row>
    <row r="1559">
      <c r="A1559" s="3" t="s">
        <v>5686</v>
      </c>
      <c r="B1559" s="3" t="s">
        <v>2151</v>
      </c>
      <c r="C1559" s="5" t="s">
        <v>221</v>
      </c>
      <c r="D1559" s="3" t="s">
        <v>614</v>
      </c>
      <c r="E1559" s="3" t="s">
        <v>118</v>
      </c>
      <c r="F1559" s="7">
        <v>45781.30742893844</v>
      </c>
      <c r="G1559" s="3" t="s">
        <v>5687</v>
      </c>
    </row>
    <row r="1560">
      <c r="A1560" s="3" t="s">
        <v>5689</v>
      </c>
      <c r="B1560" s="3" t="s">
        <v>2151</v>
      </c>
      <c r="C1560" s="5" t="s">
        <v>614</v>
      </c>
      <c r="D1560" s="3" t="s">
        <v>206</v>
      </c>
      <c r="E1560" s="3" t="s">
        <v>100</v>
      </c>
      <c r="F1560" s="7">
        <v>45781.310901160665</v>
      </c>
      <c r="G1560" s="3" t="s">
        <v>5690</v>
      </c>
    </row>
    <row r="1561">
      <c r="A1561" s="3" t="s">
        <v>5691</v>
      </c>
      <c r="B1561" s="3" t="s">
        <v>2151</v>
      </c>
      <c r="C1561" s="5" t="s">
        <v>206</v>
      </c>
      <c r="D1561" s="3" t="s">
        <v>68</v>
      </c>
      <c r="E1561" s="3" t="s">
        <v>100</v>
      </c>
      <c r="F1561" s="7">
        <v>45781.314373382884</v>
      </c>
      <c r="G1561" s="3" t="s">
        <v>5693</v>
      </c>
    </row>
    <row r="1562">
      <c r="A1562" s="3" t="s">
        <v>5694</v>
      </c>
      <c r="B1562" s="3" t="s">
        <v>2153</v>
      </c>
      <c r="C1562" s="5" t="s">
        <v>45</v>
      </c>
      <c r="D1562" s="3" t="s">
        <v>221</v>
      </c>
      <c r="E1562" s="3" t="s">
        <v>920</v>
      </c>
      <c r="F1562" s="7">
        <v>45781.37513156163</v>
      </c>
      <c r="G1562" s="3" t="s">
        <v>5696</v>
      </c>
    </row>
    <row r="1563">
      <c r="A1563" s="3" t="s">
        <v>5697</v>
      </c>
      <c r="B1563" s="3" t="s">
        <v>2153</v>
      </c>
      <c r="C1563" s="5" t="s">
        <v>221</v>
      </c>
      <c r="D1563" s="3" t="s">
        <v>614</v>
      </c>
      <c r="E1563" s="3" t="s">
        <v>118</v>
      </c>
      <c r="F1563" s="7">
        <v>45781.37860378385</v>
      </c>
      <c r="G1563" s="3" t="s">
        <v>5699</v>
      </c>
    </row>
    <row r="1564">
      <c r="A1564" s="3" t="s">
        <v>5700</v>
      </c>
      <c r="B1564" s="3" t="s">
        <v>2153</v>
      </c>
      <c r="C1564" s="5" t="s">
        <v>614</v>
      </c>
      <c r="D1564" s="3" t="s">
        <v>206</v>
      </c>
      <c r="E1564" s="3" t="s">
        <v>100</v>
      </c>
      <c r="F1564" s="7">
        <v>45781.38207600608</v>
      </c>
      <c r="G1564" s="3" t="s">
        <v>5701</v>
      </c>
    </row>
    <row r="1565">
      <c r="A1565" s="3" t="s">
        <v>5703</v>
      </c>
      <c r="B1565" s="3" t="s">
        <v>2153</v>
      </c>
      <c r="C1565" s="5" t="s">
        <v>206</v>
      </c>
      <c r="D1565" s="3" t="s">
        <v>68</v>
      </c>
      <c r="E1565" s="3" t="s">
        <v>100</v>
      </c>
      <c r="F1565" s="7">
        <v>45781.385548228296</v>
      </c>
      <c r="G1565" s="3" t="s">
        <v>5704</v>
      </c>
    </row>
    <row r="1566">
      <c r="A1566" s="3" t="s">
        <v>5706</v>
      </c>
      <c r="B1566" s="3" t="s">
        <v>2154</v>
      </c>
      <c r="C1566" s="5" t="s">
        <v>45</v>
      </c>
      <c r="D1566" s="3" t="s">
        <v>221</v>
      </c>
      <c r="E1566" s="3" t="s">
        <v>662</v>
      </c>
      <c r="F1566" s="7">
        <v>45781.44630640705</v>
      </c>
      <c r="G1566" s="3" t="s">
        <v>5707</v>
      </c>
    </row>
    <row r="1567">
      <c r="A1567" s="3" t="s">
        <v>5709</v>
      </c>
      <c r="B1567" s="3" t="s">
        <v>2154</v>
      </c>
      <c r="C1567" s="5" t="s">
        <v>221</v>
      </c>
      <c r="D1567" s="3" t="s">
        <v>614</v>
      </c>
      <c r="E1567" s="3" t="s">
        <v>118</v>
      </c>
      <c r="F1567" s="7">
        <v>45781.44977862927</v>
      </c>
      <c r="G1567" s="3" t="s">
        <v>5710</v>
      </c>
    </row>
    <row r="1568">
      <c r="A1568" s="3" t="s">
        <v>5712</v>
      </c>
      <c r="B1568" s="3" t="s">
        <v>2154</v>
      </c>
      <c r="C1568" s="5" t="s">
        <v>614</v>
      </c>
      <c r="D1568" s="3" t="s">
        <v>206</v>
      </c>
      <c r="E1568" s="3" t="s">
        <v>100</v>
      </c>
      <c r="F1568" s="7">
        <v>45781.4532508515</v>
      </c>
      <c r="G1568" s="3" t="s">
        <v>5713</v>
      </c>
    </row>
    <row r="1569">
      <c r="A1569" s="3" t="s">
        <v>5714</v>
      </c>
      <c r="B1569" s="3" t="s">
        <v>2154</v>
      </c>
      <c r="C1569" s="5" t="s">
        <v>206</v>
      </c>
      <c r="D1569" s="3" t="s">
        <v>68</v>
      </c>
      <c r="E1569" s="3" t="s">
        <v>100</v>
      </c>
      <c r="F1569" s="7">
        <v>45781.456723073716</v>
      </c>
      <c r="G1569" s="3" t="s">
        <v>5716</v>
      </c>
    </row>
    <row r="1570">
      <c r="A1570" s="3" t="s">
        <v>5717</v>
      </c>
      <c r="B1570" s="3" t="s">
        <v>2156</v>
      </c>
      <c r="C1570" s="5" t="s">
        <v>45</v>
      </c>
      <c r="D1570" s="3" t="s">
        <v>221</v>
      </c>
      <c r="E1570" s="3" t="s">
        <v>290</v>
      </c>
      <c r="F1570" s="7">
        <v>45781.517481252464</v>
      </c>
      <c r="G1570" s="3" t="s">
        <v>5719</v>
      </c>
    </row>
    <row r="1571">
      <c r="A1571" s="3" t="s">
        <v>5721</v>
      </c>
      <c r="B1571" s="3" t="s">
        <v>2156</v>
      </c>
      <c r="C1571" s="5" t="s">
        <v>221</v>
      </c>
      <c r="D1571" s="3" t="s">
        <v>614</v>
      </c>
      <c r="E1571" s="3" t="s">
        <v>118</v>
      </c>
      <c r="F1571" s="7">
        <v>45781.52095347468</v>
      </c>
      <c r="G1571" s="3" t="s">
        <v>5723</v>
      </c>
    </row>
    <row r="1572">
      <c r="A1572" s="3" t="s">
        <v>5724</v>
      </c>
      <c r="B1572" s="3" t="s">
        <v>2156</v>
      </c>
      <c r="C1572" s="5" t="s">
        <v>614</v>
      </c>
      <c r="D1572" s="3" t="s">
        <v>206</v>
      </c>
      <c r="E1572" s="3" t="s">
        <v>100</v>
      </c>
      <c r="F1572" s="7">
        <v>45781.52442569691</v>
      </c>
      <c r="G1572" s="3" t="s">
        <v>5726</v>
      </c>
    </row>
    <row r="1573">
      <c r="A1573" s="3" t="s">
        <v>5727</v>
      </c>
      <c r="B1573" s="3" t="s">
        <v>2156</v>
      </c>
      <c r="C1573" s="5" t="s">
        <v>206</v>
      </c>
      <c r="D1573" s="3" t="s">
        <v>68</v>
      </c>
      <c r="E1573" s="3" t="s">
        <v>100</v>
      </c>
      <c r="F1573" s="7">
        <v>45781.52789791913</v>
      </c>
      <c r="G1573" s="3" t="s">
        <v>5729</v>
      </c>
    </row>
    <row r="1574">
      <c r="A1574" s="3" t="s">
        <v>5730</v>
      </c>
      <c r="B1574" s="3" t="s">
        <v>2158</v>
      </c>
      <c r="C1574" s="5" t="s">
        <v>45</v>
      </c>
      <c r="D1574" s="3" t="s">
        <v>221</v>
      </c>
      <c r="E1574" s="3" t="s">
        <v>735</v>
      </c>
      <c r="F1574" s="7">
        <v>45781.588656097876</v>
      </c>
      <c r="G1574" s="3" t="s">
        <v>5732</v>
      </c>
    </row>
    <row r="1575">
      <c r="A1575" s="3" t="s">
        <v>5733</v>
      </c>
      <c r="B1575" s="3" t="s">
        <v>2158</v>
      </c>
      <c r="C1575" s="5" t="s">
        <v>221</v>
      </c>
      <c r="D1575" s="3" t="s">
        <v>614</v>
      </c>
      <c r="E1575" s="3" t="s">
        <v>118</v>
      </c>
      <c r="F1575" s="7">
        <v>45781.592128320095</v>
      </c>
      <c r="G1575" s="3" t="s">
        <v>5735</v>
      </c>
    </row>
    <row r="1576">
      <c r="A1576" s="3" t="s">
        <v>5736</v>
      </c>
      <c r="B1576" s="3" t="s">
        <v>2158</v>
      </c>
      <c r="C1576" s="5" t="s">
        <v>614</v>
      </c>
      <c r="D1576" s="3" t="s">
        <v>206</v>
      </c>
      <c r="E1576" s="3" t="s">
        <v>100</v>
      </c>
      <c r="F1576" s="7">
        <v>45781.59560054232</v>
      </c>
      <c r="G1576" s="3" t="s">
        <v>5738</v>
      </c>
    </row>
    <row r="1577">
      <c r="A1577" s="3" t="s">
        <v>5739</v>
      </c>
      <c r="B1577" s="3" t="s">
        <v>2158</v>
      </c>
      <c r="C1577" s="5" t="s">
        <v>206</v>
      </c>
      <c r="D1577" s="3" t="s">
        <v>68</v>
      </c>
      <c r="E1577" s="3" t="s">
        <v>100</v>
      </c>
      <c r="F1577" s="7">
        <v>45781.59907276454</v>
      </c>
      <c r="G1577" s="3" t="s">
        <v>5741</v>
      </c>
    </row>
    <row r="1578">
      <c r="A1578" s="3" t="s">
        <v>5742</v>
      </c>
      <c r="B1578" s="3" t="s">
        <v>2160</v>
      </c>
      <c r="C1578" s="5" t="s">
        <v>45</v>
      </c>
      <c r="D1578" s="3" t="s">
        <v>221</v>
      </c>
      <c r="E1578" s="3" t="s">
        <v>341</v>
      </c>
      <c r="F1578" s="7">
        <v>45781.659830943296</v>
      </c>
      <c r="G1578" s="3" t="s">
        <v>5744</v>
      </c>
    </row>
    <row r="1579">
      <c r="A1579" s="3" t="s">
        <v>5745</v>
      </c>
      <c r="B1579" s="3" t="s">
        <v>2160</v>
      </c>
      <c r="C1579" s="5" t="s">
        <v>221</v>
      </c>
      <c r="D1579" s="3" t="s">
        <v>614</v>
      </c>
      <c r="E1579" s="3" t="s">
        <v>118</v>
      </c>
      <c r="F1579" s="7">
        <v>45781.663303165515</v>
      </c>
      <c r="G1579" s="3" t="s">
        <v>5747</v>
      </c>
    </row>
    <row r="1580">
      <c r="A1580" s="3" t="s">
        <v>5748</v>
      </c>
      <c r="B1580" s="3" t="s">
        <v>2160</v>
      </c>
      <c r="C1580" s="5" t="s">
        <v>614</v>
      </c>
      <c r="D1580" s="3" t="s">
        <v>206</v>
      </c>
      <c r="E1580" s="3" t="s">
        <v>100</v>
      </c>
      <c r="F1580" s="7">
        <v>45781.66677538774</v>
      </c>
      <c r="G1580" s="3" t="s">
        <v>5750</v>
      </c>
    </row>
    <row r="1581">
      <c r="A1581" s="3" t="s">
        <v>5751</v>
      </c>
      <c r="B1581" s="3" t="s">
        <v>2160</v>
      </c>
      <c r="C1581" s="5" t="s">
        <v>206</v>
      </c>
      <c r="D1581" s="3" t="s">
        <v>68</v>
      </c>
      <c r="E1581" s="3" t="s">
        <v>100</v>
      </c>
      <c r="F1581" s="7">
        <v>45781.67024760996</v>
      </c>
      <c r="G1581" s="3" t="s">
        <v>5753</v>
      </c>
    </row>
    <row r="1582">
      <c r="A1582" s="3" t="s">
        <v>5754</v>
      </c>
      <c r="B1582" s="3" t="s">
        <v>2162</v>
      </c>
      <c r="C1582" s="5" t="s">
        <v>45</v>
      </c>
      <c r="D1582" s="3" t="s">
        <v>221</v>
      </c>
      <c r="E1582" s="3" t="s">
        <v>462</v>
      </c>
      <c r="F1582" s="7">
        <v>45781.731005788715</v>
      </c>
      <c r="G1582" s="3" t="s">
        <v>5755</v>
      </c>
    </row>
    <row r="1583">
      <c r="A1583" s="3" t="s">
        <v>5757</v>
      </c>
      <c r="B1583" s="3" t="s">
        <v>2162</v>
      </c>
      <c r="C1583" s="5" t="s">
        <v>221</v>
      </c>
      <c r="D1583" s="3" t="s">
        <v>614</v>
      </c>
      <c r="E1583" s="3" t="s">
        <v>118</v>
      </c>
      <c r="F1583" s="7">
        <v>45781.734478010934</v>
      </c>
      <c r="G1583" s="3" t="s">
        <v>5758</v>
      </c>
    </row>
    <row r="1584">
      <c r="A1584" s="3" t="s">
        <v>5760</v>
      </c>
      <c r="B1584" s="3" t="s">
        <v>2162</v>
      </c>
      <c r="C1584" s="5" t="s">
        <v>614</v>
      </c>
      <c r="D1584" s="3" t="s">
        <v>206</v>
      </c>
      <c r="E1584" s="3" t="s">
        <v>100</v>
      </c>
      <c r="F1584" s="7">
        <v>45781.73795023316</v>
      </c>
      <c r="G1584" s="3" t="s">
        <v>5761</v>
      </c>
    </row>
    <row r="1585">
      <c r="A1585" s="3" t="s">
        <v>5762</v>
      </c>
      <c r="B1585" s="3" t="s">
        <v>2162</v>
      </c>
      <c r="C1585" s="5" t="s">
        <v>206</v>
      </c>
      <c r="D1585" s="3" t="s">
        <v>68</v>
      </c>
      <c r="E1585" s="3" t="s">
        <v>100</v>
      </c>
      <c r="F1585" s="7">
        <v>45781.74142245538</v>
      </c>
      <c r="G1585" s="3" t="s">
        <v>5764</v>
      </c>
    </row>
    <row r="1586">
      <c r="A1586" s="3" t="s">
        <v>5765</v>
      </c>
      <c r="B1586" s="3" t="s">
        <v>2163</v>
      </c>
      <c r="C1586" s="5" t="s">
        <v>45</v>
      </c>
      <c r="D1586" s="3" t="s">
        <v>221</v>
      </c>
      <c r="E1586" s="3" t="s">
        <v>561</v>
      </c>
      <c r="F1586" s="7">
        <v>45781.80218063412</v>
      </c>
      <c r="G1586" s="3" t="s">
        <v>5338</v>
      </c>
    </row>
    <row r="1587">
      <c r="A1587" s="3" t="s">
        <v>5767</v>
      </c>
      <c r="B1587" s="3" t="s">
        <v>2163</v>
      </c>
      <c r="C1587" s="5" t="s">
        <v>221</v>
      </c>
      <c r="D1587" s="3" t="s">
        <v>614</v>
      </c>
      <c r="E1587" s="3" t="s">
        <v>118</v>
      </c>
      <c r="F1587" s="7">
        <v>45781.80565285634</v>
      </c>
      <c r="G1587" s="3" t="s">
        <v>5341</v>
      </c>
    </row>
    <row r="1588">
      <c r="A1588" s="3" t="s">
        <v>5769</v>
      </c>
      <c r="B1588" s="3" t="s">
        <v>2163</v>
      </c>
      <c r="C1588" s="5" t="s">
        <v>614</v>
      </c>
      <c r="D1588" s="3" t="s">
        <v>206</v>
      </c>
      <c r="E1588" s="3" t="s">
        <v>100</v>
      </c>
      <c r="F1588" s="7">
        <v>45781.809125078566</v>
      </c>
      <c r="G1588" s="3" t="s">
        <v>5343</v>
      </c>
    </row>
    <row r="1589">
      <c r="A1589" s="3" t="s">
        <v>5771</v>
      </c>
      <c r="B1589" s="3" t="s">
        <v>2163</v>
      </c>
      <c r="C1589" s="5" t="s">
        <v>206</v>
      </c>
      <c r="D1589" s="3" t="s">
        <v>68</v>
      </c>
      <c r="E1589" s="3" t="s">
        <v>100</v>
      </c>
      <c r="F1589" s="7">
        <v>45781.812597300785</v>
      </c>
      <c r="G1589" s="3" t="s">
        <v>5346</v>
      </c>
    </row>
    <row r="1590">
      <c r="A1590" s="3" t="s">
        <v>5773</v>
      </c>
      <c r="B1590" s="3" t="s">
        <v>2165</v>
      </c>
      <c r="C1590" s="5" t="s">
        <v>45</v>
      </c>
      <c r="D1590" s="3" t="s">
        <v>221</v>
      </c>
      <c r="E1590" s="3" t="s">
        <v>319</v>
      </c>
      <c r="F1590" s="7">
        <v>45781.87335547954</v>
      </c>
      <c r="G1590" s="3" t="s">
        <v>5774</v>
      </c>
    </row>
    <row r="1591">
      <c r="A1591" s="3" t="s">
        <v>5776</v>
      </c>
      <c r="B1591" s="3" t="s">
        <v>2165</v>
      </c>
      <c r="C1591" s="5" t="s">
        <v>221</v>
      </c>
      <c r="D1591" s="3" t="s">
        <v>614</v>
      </c>
      <c r="E1591" s="3" t="s">
        <v>118</v>
      </c>
      <c r="F1591" s="7">
        <v>45781.87682770176</v>
      </c>
      <c r="G1591" s="3" t="s">
        <v>5777</v>
      </c>
    </row>
    <row r="1592">
      <c r="A1592" s="3" t="s">
        <v>5778</v>
      </c>
      <c r="B1592" s="3" t="s">
        <v>2165</v>
      </c>
      <c r="C1592" s="5" t="s">
        <v>614</v>
      </c>
      <c r="D1592" s="3" t="s">
        <v>206</v>
      </c>
      <c r="E1592" s="3" t="s">
        <v>100</v>
      </c>
      <c r="F1592" s="7">
        <v>45781.880299923985</v>
      </c>
      <c r="G1592" s="3" t="s">
        <v>5780</v>
      </c>
    </row>
    <row r="1593">
      <c r="A1593" s="3" t="s">
        <v>5781</v>
      </c>
      <c r="B1593" s="3" t="s">
        <v>2165</v>
      </c>
      <c r="C1593" s="5" t="s">
        <v>206</v>
      </c>
      <c r="D1593" s="3" t="s">
        <v>68</v>
      </c>
      <c r="E1593" s="3" t="s">
        <v>100</v>
      </c>
      <c r="F1593" s="7">
        <v>45781.883772146204</v>
      </c>
      <c r="G1593" s="3" t="s">
        <v>5783</v>
      </c>
    </row>
    <row r="1594">
      <c r="A1594" s="3" t="s">
        <v>5784</v>
      </c>
      <c r="B1594" s="3" t="s">
        <v>2167</v>
      </c>
      <c r="C1594" s="5" t="s">
        <v>45</v>
      </c>
      <c r="D1594" s="3" t="s">
        <v>221</v>
      </c>
      <c r="E1594" s="3" t="s">
        <v>822</v>
      </c>
      <c r="F1594" s="7">
        <v>45781.94453032496</v>
      </c>
      <c r="G1594" s="3" t="s">
        <v>5786</v>
      </c>
    </row>
    <row r="1595">
      <c r="A1595" s="3" t="s">
        <v>5787</v>
      </c>
      <c r="B1595" s="3" t="s">
        <v>2167</v>
      </c>
      <c r="C1595" s="5" t="s">
        <v>221</v>
      </c>
      <c r="D1595" s="3" t="s">
        <v>614</v>
      </c>
      <c r="E1595" s="3" t="s">
        <v>118</v>
      </c>
      <c r="F1595" s="7">
        <v>45781.94800254718</v>
      </c>
      <c r="G1595" s="3" t="s">
        <v>5789</v>
      </c>
    </row>
    <row r="1596">
      <c r="A1596" s="3" t="s">
        <v>5790</v>
      </c>
      <c r="B1596" s="3" t="s">
        <v>2167</v>
      </c>
      <c r="C1596" s="5" t="s">
        <v>614</v>
      </c>
      <c r="D1596" s="3" t="s">
        <v>206</v>
      </c>
      <c r="E1596" s="3" t="s">
        <v>100</v>
      </c>
      <c r="F1596" s="7">
        <v>45781.951474769405</v>
      </c>
      <c r="G1596" s="3" t="s">
        <v>5792</v>
      </c>
    </row>
    <row r="1597">
      <c r="A1597" s="3" t="s">
        <v>5793</v>
      </c>
      <c r="B1597" s="3" t="s">
        <v>2167</v>
      </c>
      <c r="C1597" s="5" t="s">
        <v>206</v>
      </c>
      <c r="D1597" s="3" t="s">
        <v>68</v>
      </c>
      <c r="E1597" s="3" t="s">
        <v>100</v>
      </c>
      <c r="F1597" s="7">
        <v>45781.954946991624</v>
      </c>
      <c r="G1597" s="3" t="s">
        <v>5795</v>
      </c>
    </row>
    <row r="1598">
      <c r="A1598" s="3" t="s">
        <v>5796</v>
      </c>
      <c r="B1598" s="3" t="s">
        <v>2169</v>
      </c>
      <c r="C1598" s="5" t="s">
        <v>45</v>
      </c>
      <c r="D1598" s="3" t="s">
        <v>221</v>
      </c>
      <c r="E1598" s="3" t="s">
        <v>536</v>
      </c>
      <c r="F1598" s="7">
        <v>45782.01570517037</v>
      </c>
      <c r="G1598" s="3" t="s">
        <v>5798</v>
      </c>
    </row>
    <row r="1599">
      <c r="A1599" s="3" t="s">
        <v>5799</v>
      </c>
      <c r="B1599" s="3" t="s">
        <v>2169</v>
      </c>
      <c r="C1599" s="5" t="s">
        <v>221</v>
      </c>
      <c r="D1599" s="3" t="s">
        <v>614</v>
      </c>
      <c r="E1599" s="3" t="s">
        <v>118</v>
      </c>
      <c r="F1599" s="7">
        <v>45782.01917739259</v>
      </c>
      <c r="G1599" s="3" t="s">
        <v>5801</v>
      </c>
    </row>
    <row r="1600">
      <c r="A1600" s="3" t="s">
        <v>5802</v>
      </c>
      <c r="B1600" s="3" t="s">
        <v>2169</v>
      </c>
      <c r="C1600" s="5" t="s">
        <v>614</v>
      </c>
      <c r="D1600" s="3" t="s">
        <v>206</v>
      </c>
      <c r="E1600" s="3" t="s">
        <v>100</v>
      </c>
      <c r="F1600" s="7">
        <v>45782.02264961482</v>
      </c>
      <c r="G1600" s="3" t="s">
        <v>5803</v>
      </c>
    </row>
    <row r="1601">
      <c r="A1601" s="3" t="s">
        <v>5805</v>
      </c>
      <c r="B1601" s="3" t="s">
        <v>2169</v>
      </c>
      <c r="C1601" s="5" t="s">
        <v>206</v>
      </c>
      <c r="D1601" s="3" t="s">
        <v>68</v>
      </c>
      <c r="E1601" s="3" t="s">
        <v>100</v>
      </c>
      <c r="F1601" s="7">
        <v>45782.026121837036</v>
      </c>
      <c r="G1601" s="3" t="s">
        <v>5807</v>
      </c>
    </row>
    <row r="1602">
      <c r="A1602" s="3" t="s">
        <v>5808</v>
      </c>
      <c r="B1602" s="3" t="s">
        <v>2171</v>
      </c>
      <c r="C1602" s="5" t="s">
        <v>45</v>
      </c>
      <c r="D1602" s="3" t="s">
        <v>221</v>
      </c>
      <c r="E1602" s="3" t="s">
        <v>612</v>
      </c>
      <c r="F1602" s="7">
        <v>45782.086880015784</v>
      </c>
      <c r="G1602" s="3" t="s">
        <v>5810</v>
      </c>
    </row>
    <row r="1603">
      <c r="A1603" s="3" t="s">
        <v>5811</v>
      </c>
      <c r="B1603" s="3" t="s">
        <v>2171</v>
      </c>
      <c r="C1603" s="5" t="s">
        <v>221</v>
      </c>
      <c r="D1603" s="3" t="s">
        <v>614</v>
      </c>
      <c r="E1603" s="3" t="s">
        <v>118</v>
      </c>
      <c r="F1603" s="7">
        <v>45782.090352238</v>
      </c>
      <c r="G1603" s="3" t="s">
        <v>5813</v>
      </c>
    </row>
    <row r="1604">
      <c r="A1604" s="3" t="s">
        <v>5814</v>
      </c>
      <c r="B1604" s="3" t="s">
        <v>2171</v>
      </c>
      <c r="C1604" s="5" t="s">
        <v>614</v>
      </c>
      <c r="D1604" s="3" t="s">
        <v>206</v>
      </c>
      <c r="E1604" s="3" t="s">
        <v>100</v>
      </c>
      <c r="F1604" s="7">
        <v>45782.09382446023</v>
      </c>
      <c r="G1604" s="3" t="s">
        <v>5815</v>
      </c>
    </row>
    <row r="1605">
      <c r="A1605" s="3" t="s">
        <v>5817</v>
      </c>
      <c r="B1605" s="3" t="s">
        <v>2171</v>
      </c>
      <c r="C1605" s="5" t="s">
        <v>206</v>
      </c>
      <c r="D1605" s="3" t="s">
        <v>68</v>
      </c>
      <c r="E1605" s="3" t="s">
        <v>100</v>
      </c>
      <c r="F1605" s="7">
        <v>45782.09729668245</v>
      </c>
      <c r="G1605" s="3" t="s">
        <v>5818</v>
      </c>
    </row>
    <row r="1606">
      <c r="A1606" s="3" t="s">
        <v>5820</v>
      </c>
      <c r="B1606" s="3" t="s">
        <v>2173</v>
      </c>
      <c r="C1606" s="5" t="s">
        <v>45</v>
      </c>
      <c r="D1606" s="3" t="s">
        <v>221</v>
      </c>
      <c r="E1606" s="3" t="s">
        <v>1040</v>
      </c>
      <c r="F1606" s="7">
        <v>45782.158054861204</v>
      </c>
      <c r="G1606" s="3" t="s">
        <v>5821</v>
      </c>
    </row>
    <row r="1607">
      <c r="A1607" s="3" t="s">
        <v>5823</v>
      </c>
      <c r="B1607" s="3" t="s">
        <v>2173</v>
      </c>
      <c r="C1607" s="5" t="s">
        <v>221</v>
      </c>
      <c r="D1607" s="3" t="s">
        <v>614</v>
      </c>
      <c r="E1607" s="3" t="s">
        <v>118</v>
      </c>
      <c r="F1607" s="7">
        <v>45782.16152708342</v>
      </c>
      <c r="G1607" s="3" t="s">
        <v>5824</v>
      </c>
    </row>
    <row r="1608">
      <c r="A1608" s="3" t="s">
        <v>5826</v>
      </c>
      <c r="B1608" s="3" t="s">
        <v>2173</v>
      </c>
      <c r="C1608" s="5" t="s">
        <v>614</v>
      </c>
      <c r="D1608" s="3" t="s">
        <v>206</v>
      </c>
      <c r="E1608" s="3" t="s">
        <v>100</v>
      </c>
      <c r="F1608" s="7">
        <v>45782.16499930565</v>
      </c>
      <c r="G1608" s="3" t="s">
        <v>5827</v>
      </c>
    </row>
    <row r="1609">
      <c r="A1609" s="3" t="s">
        <v>5829</v>
      </c>
      <c r="B1609" s="3" t="s">
        <v>2173</v>
      </c>
      <c r="C1609" s="5" t="s">
        <v>206</v>
      </c>
      <c r="D1609" s="3" t="s">
        <v>68</v>
      </c>
      <c r="E1609" s="3" t="s">
        <v>100</v>
      </c>
      <c r="F1609" s="7">
        <v>45782.16847152787</v>
      </c>
      <c r="G1609" s="3" t="s">
        <v>5831</v>
      </c>
    </row>
    <row r="1610">
      <c r="A1610" s="3" t="s">
        <v>5832</v>
      </c>
      <c r="B1610" s="3" t="s">
        <v>2175</v>
      </c>
      <c r="C1610" s="5" t="s">
        <v>45</v>
      </c>
      <c r="D1610" s="3" t="s">
        <v>221</v>
      </c>
      <c r="E1610" s="3" t="s">
        <v>239</v>
      </c>
      <c r="F1610" s="7">
        <v>45782.229229706616</v>
      </c>
      <c r="G1610" s="3" t="s">
        <v>5833</v>
      </c>
    </row>
    <row r="1611">
      <c r="A1611" s="3" t="s">
        <v>5834</v>
      </c>
      <c r="B1611" s="3" t="s">
        <v>2175</v>
      </c>
      <c r="C1611" s="5" t="s">
        <v>221</v>
      </c>
      <c r="D1611" s="3" t="s">
        <v>614</v>
      </c>
      <c r="E1611" s="3" t="s">
        <v>118</v>
      </c>
      <c r="F1611" s="7">
        <v>45782.232701928835</v>
      </c>
      <c r="G1611" s="3" t="s">
        <v>5836</v>
      </c>
    </row>
    <row r="1612">
      <c r="A1612" s="3" t="s">
        <v>5837</v>
      </c>
      <c r="B1612" s="3" t="s">
        <v>2175</v>
      </c>
      <c r="C1612" s="5" t="s">
        <v>614</v>
      </c>
      <c r="D1612" s="3" t="s">
        <v>206</v>
      </c>
      <c r="E1612" s="3" t="s">
        <v>100</v>
      </c>
      <c r="F1612" s="7">
        <v>45782.23617415106</v>
      </c>
      <c r="G1612" s="3" t="s">
        <v>5839</v>
      </c>
    </row>
    <row r="1613">
      <c r="A1613" s="3" t="s">
        <v>5840</v>
      </c>
      <c r="B1613" s="3" t="s">
        <v>2175</v>
      </c>
      <c r="C1613" s="5" t="s">
        <v>206</v>
      </c>
      <c r="D1613" s="3" t="s">
        <v>68</v>
      </c>
      <c r="E1613" s="3" t="s">
        <v>100</v>
      </c>
      <c r="F1613" s="7">
        <v>45782.23964637328</v>
      </c>
      <c r="G1613" s="3" t="s">
        <v>5842</v>
      </c>
    </row>
    <row r="1614">
      <c r="A1614" s="3" t="s">
        <v>5843</v>
      </c>
      <c r="B1614" s="3" t="s">
        <v>2178</v>
      </c>
      <c r="C1614" s="5" t="s">
        <v>45</v>
      </c>
      <c r="D1614" s="3" t="s">
        <v>221</v>
      </c>
      <c r="E1614" s="3" t="s">
        <v>440</v>
      </c>
      <c r="F1614" s="7">
        <v>45782.30040455203</v>
      </c>
      <c r="G1614" s="3" t="s">
        <v>2770</v>
      </c>
    </row>
    <row r="1615">
      <c r="A1615" s="3" t="s">
        <v>5845</v>
      </c>
      <c r="B1615" s="3" t="s">
        <v>2178</v>
      </c>
      <c r="C1615" s="5" t="s">
        <v>221</v>
      </c>
      <c r="D1615" s="3" t="s">
        <v>195</v>
      </c>
      <c r="E1615" s="3" t="s">
        <v>440</v>
      </c>
      <c r="F1615" s="7">
        <v>45782.30387677425</v>
      </c>
      <c r="G1615" s="3" t="s">
        <v>3055</v>
      </c>
    </row>
    <row r="1616">
      <c r="A1616" s="3" t="s">
        <v>5847</v>
      </c>
      <c r="B1616" s="3" t="s">
        <v>2181</v>
      </c>
      <c r="C1616" s="5" t="s">
        <v>45</v>
      </c>
      <c r="D1616" s="3" t="s">
        <v>221</v>
      </c>
      <c r="E1616" s="3" t="s">
        <v>130</v>
      </c>
      <c r="F1616" s="7">
        <v>45782.37157939745</v>
      </c>
      <c r="G1616" s="3" t="s">
        <v>5848</v>
      </c>
    </row>
    <row r="1617">
      <c r="A1617" s="3" t="s">
        <v>5850</v>
      </c>
      <c r="B1617" s="3" t="s">
        <v>2181</v>
      </c>
      <c r="C1617" s="5" t="s">
        <v>221</v>
      </c>
      <c r="D1617" s="3" t="s">
        <v>614</v>
      </c>
      <c r="E1617" s="3" t="s">
        <v>118</v>
      </c>
      <c r="F1617" s="7">
        <v>45782.37505161967</v>
      </c>
      <c r="G1617" s="3" t="s">
        <v>5851</v>
      </c>
    </row>
    <row r="1618">
      <c r="A1618" s="3" t="s">
        <v>5853</v>
      </c>
      <c r="B1618" s="3" t="s">
        <v>2181</v>
      </c>
      <c r="C1618" s="5" t="s">
        <v>614</v>
      </c>
      <c r="D1618" s="3" t="s">
        <v>206</v>
      </c>
      <c r="E1618" s="3" t="s">
        <v>100</v>
      </c>
      <c r="F1618" s="7">
        <v>45782.37852384189</v>
      </c>
      <c r="G1618" s="3" t="s">
        <v>5854</v>
      </c>
    </row>
    <row r="1619">
      <c r="A1619" s="3" t="s">
        <v>5856</v>
      </c>
      <c r="B1619" s="3" t="s">
        <v>2181</v>
      </c>
      <c r="C1619" s="5" t="s">
        <v>206</v>
      </c>
      <c r="D1619" s="3" t="s">
        <v>68</v>
      </c>
      <c r="E1619" s="3" t="s">
        <v>100</v>
      </c>
      <c r="F1619" s="7">
        <v>45782.38199606411</v>
      </c>
      <c r="G1619" s="3" t="s">
        <v>5857</v>
      </c>
    </row>
    <row r="1620">
      <c r="A1620" s="3" t="s">
        <v>5859</v>
      </c>
      <c r="B1620" s="3" t="s">
        <v>2183</v>
      </c>
      <c r="C1620" s="5" t="s">
        <v>45</v>
      </c>
      <c r="D1620" s="3" t="s">
        <v>221</v>
      </c>
      <c r="E1620" s="3" t="s">
        <v>600</v>
      </c>
      <c r="F1620" s="7">
        <v>45782.44275424286</v>
      </c>
      <c r="G1620" s="3" t="s">
        <v>5860</v>
      </c>
    </row>
    <row r="1621">
      <c r="A1621" s="3" t="s">
        <v>5861</v>
      </c>
      <c r="B1621" s="3" t="s">
        <v>2183</v>
      </c>
      <c r="C1621" s="5" t="s">
        <v>221</v>
      </c>
      <c r="D1621" s="3" t="s">
        <v>614</v>
      </c>
      <c r="E1621" s="3" t="s">
        <v>118</v>
      </c>
      <c r="F1621" s="7">
        <v>45782.44622646508</v>
      </c>
      <c r="G1621" s="3" t="s">
        <v>5863</v>
      </c>
    </row>
    <row r="1622">
      <c r="A1622" s="3" t="s">
        <v>5864</v>
      </c>
      <c r="B1622" s="3" t="s">
        <v>2183</v>
      </c>
      <c r="C1622" s="5" t="s">
        <v>614</v>
      </c>
      <c r="D1622" s="3" t="s">
        <v>206</v>
      </c>
      <c r="E1622" s="3" t="s">
        <v>100</v>
      </c>
      <c r="F1622" s="7">
        <v>45782.449698687305</v>
      </c>
      <c r="G1622" s="3" t="s">
        <v>5866</v>
      </c>
    </row>
    <row r="1623">
      <c r="A1623" s="3" t="s">
        <v>5867</v>
      </c>
      <c r="B1623" s="3" t="s">
        <v>2183</v>
      </c>
      <c r="C1623" s="5" t="s">
        <v>206</v>
      </c>
      <c r="D1623" s="3" t="s">
        <v>68</v>
      </c>
      <c r="E1623" s="3" t="s">
        <v>100</v>
      </c>
      <c r="F1623" s="7">
        <v>45782.453170909524</v>
      </c>
      <c r="G1623" s="3" t="s">
        <v>5869</v>
      </c>
    </row>
    <row r="1624">
      <c r="A1624" s="3" t="s">
        <v>5870</v>
      </c>
      <c r="B1624" s="3" t="s">
        <v>2185</v>
      </c>
      <c r="C1624" s="5" t="s">
        <v>45</v>
      </c>
      <c r="D1624" s="3" t="s">
        <v>221</v>
      </c>
      <c r="E1624" s="3" t="s">
        <v>333</v>
      </c>
      <c r="F1624" s="7">
        <v>45782.51392908827</v>
      </c>
      <c r="G1624" s="3" t="s">
        <v>5872</v>
      </c>
    </row>
    <row r="1625">
      <c r="A1625" s="3" t="s">
        <v>5873</v>
      </c>
      <c r="B1625" s="3" t="s">
        <v>2185</v>
      </c>
      <c r="C1625" s="5" t="s">
        <v>221</v>
      </c>
      <c r="D1625" s="3" t="s">
        <v>614</v>
      </c>
      <c r="E1625" s="3" t="s">
        <v>118</v>
      </c>
      <c r="F1625" s="7">
        <v>45782.51740131049</v>
      </c>
      <c r="G1625" s="3" t="s">
        <v>5875</v>
      </c>
    </row>
    <row r="1626">
      <c r="A1626" s="3" t="s">
        <v>5876</v>
      </c>
      <c r="B1626" s="3" t="s">
        <v>2185</v>
      </c>
      <c r="C1626" s="5" t="s">
        <v>614</v>
      </c>
      <c r="D1626" s="3" t="s">
        <v>206</v>
      </c>
      <c r="E1626" s="3" t="s">
        <v>100</v>
      </c>
      <c r="F1626" s="7">
        <v>45782.52087353272</v>
      </c>
      <c r="G1626" s="3" t="s">
        <v>5878</v>
      </c>
    </row>
    <row r="1627">
      <c r="A1627" s="3" t="s">
        <v>5879</v>
      </c>
      <c r="B1627" s="3" t="s">
        <v>2185</v>
      </c>
      <c r="C1627" s="5" t="s">
        <v>206</v>
      </c>
      <c r="D1627" s="3" t="s">
        <v>68</v>
      </c>
      <c r="E1627" s="3" t="s">
        <v>100</v>
      </c>
      <c r="F1627" s="7">
        <v>45782.52434575494</v>
      </c>
      <c r="G1627" s="3" t="s">
        <v>5881</v>
      </c>
    </row>
    <row r="1628">
      <c r="A1628" s="3" t="s">
        <v>5882</v>
      </c>
      <c r="B1628" s="3" t="s">
        <v>2187</v>
      </c>
      <c r="C1628" s="5" t="s">
        <v>45</v>
      </c>
      <c r="D1628" s="3" t="s">
        <v>221</v>
      </c>
      <c r="E1628" s="3" t="s">
        <v>781</v>
      </c>
      <c r="F1628" s="7">
        <v>45782.58510393369</v>
      </c>
      <c r="G1628" s="3" t="s">
        <v>5884</v>
      </c>
    </row>
    <row r="1629">
      <c r="A1629" s="3" t="s">
        <v>5885</v>
      </c>
      <c r="B1629" s="3" t="s">
        <v>2187</v>
      </c>
      <c r="C1629" s="5" t="s">
        <v>221</v>
      </c>
      <c r="D1629" s="3" t="s">
        <v>614</v>
      </c>
      <c r="E1629" s="3" t="s">
        <v>118</v>
      </c>
      <c r="F1629" s="7">
        <v>45782.58857615591</v>
      </c>
      <c r="G1629" s="3" t="s">
        <v>5887</v>
      </c>
    </row>
    <row r="1630">
      <c r="A1630" s="3" t="s">
        <v>5888</v>
      </c>
      <c r="B1630" s="3" t="s">
        <v>2187</v>
      </c>
      <c r="C1630" s="5" t="s">
        <v>614</v>
      </c>
      <c r="D1630" s="3" t="s">
        <v>206</v>
      </c>
      <c r="E1630" s="3" t="s">
        <v>100</v>
      </c>
      <c r="F1630" s="7">
        <v>45782.59204837814</v>
      </c>
      <c r="G1630" s="3" t="s">
        <v>5889</v>
      </c>
    </row>
    <row r="1631">
      <c r="A1631" s="3" t="s">
        <v>5891</v>
      </c>
      <c r="B1631" s="3" t="s">
        <v>2187</v>
      </c>
      <c r="C1631" s="5" t="s">
        <v>206</v>
      </c>
      <c r="D1631" s="3" t="s">
        <v>68</v>
      </c>
      <c r="E1631" s="3" t="s">
        <v>100</v>
      </c>
      <c r="F1631" s="7">
        <v>45782.59552060036</v>
      </c>
      <c r="G1631" s="3" t="s">
        <v>5892</v>
      </c>
    </row>
    <row r="1632">
      <c r="A1632" s="3" t="s">
        <v>5894</v>
      </c>
      <c r="B1632" s="3" t="s">
        <v>2190</v>
      </c>
      <c r="C1632" s="5" t="s">
        <v>45</v>
      </c>
      <c r="D1632" s="3" t="s">
        <v>221</v>
      </c>
      <c r="E1632" s="3" t="s">
        <v>848</v>
      </c>
      <c r="F1632" s="7">
        <v>45782.656278779104</v>
      </c>
      <c r="G1632" s="3" t="s">
        <v>3899</v>
      </c>
    </row>
    <row r="1633">
      <c r="A1633" s="3" t="s">
        <v>5895</v>
      </c>
      <c r="B1633" s="3" t="s">
        <v>2190</v>
      </c>
      <c r="C1633" s="5" t="s">
        <v>221</v>
      </c>
      <c r="D1633" s="3" t="s">
        <v>614</v>
      </c>
      <c r="E1633" s="3" t="s">
        <v>118</v>
      </c>
      <c r="F1633" s="7">
        <v>45782.65975100132</v>
      </c>
      <c r="G1633" s="3" t="s">
        <v>3902</v>
      </c>
    </row>
    <row r="1634">
      <c r="A1634" s="3" t="s">
        <v>5897</v>
      </c>
      <c r="B1634" s="3" t="s">
        <v>2190</v>
      </c>
      <c r="C1634" s="5" t="s">
        <v>614</v>
      </c>
      <c r="D1634" s="3" t="s">
        <v>206</v>
      </c>
      <c r="E1634" s="3" t="s">
        <v>100</v>
      </c>
      <c r="F1634" s="7">
        <v>45782.66322322355</v>
      </c>
      <c r="G1634" s="3" t="s">
        <v>3905</v>
      </c>
    </row>
    <row r="1635">
      <c r="A1635" s="3" t="s">
        <v>5899</v>
      </c>
      <c r="B1635" s="3" t="s">
        <v>2190</v>
      </c>
      <c r="C1635" s="5" t="s">
        <v>206</v>
      </c>
      <c r="D1635" s="3" t="s">
        <v>68</v>
      </c>
      <c r="E1635" s="3" t="s">
        <v>100</v>
      </c>
      <c r="F1635" s="7">
        <v>45782.66669544577</v>
      </c>
      <c r="G1635" s="3" t="s">
        <v>3908</v>
      </c>
    </row>
    <row r="1636">
      <c r="A1636" s="3" t="s">
        <v>5901</v>
      </c>
      <c r="B1636" s="3" t="s">
        <v>2192</v>
      </c>
      <c r="C1636" s="5" t="s">
        <v>45</v>
      </c>
      <c r="D1636" s="3" t="s">
        <v>221</v>
      </c>
      <c r="E1636" s="3" t="s">
        <v>691</v>
      </c>
      <c r="F1636" s="7">
        <v>45782.72745362452</v>
      </c>
      <c r="G1636" s="3" t="s">
        <v>5902</v>
      </c>
    </row>
    <row r="1637">
      <c r="A1637" s="3" t="s">
        <v>5904</v>
      </c>
      <c r="B1637" s="3" t="s">
        <v>2192</v>
      </c>
      <c r="C1637" s="5" t="s">
        <v>221</v>
      </c>
      <c r="D1637" s="3" t="s">
        <v>614</v>
      </c>
      <c r="E1637" s="3" t="s">
        <v>118</v>
      </c>
      <c r="F1637" s="7">
        <v>45782.730925846736</v>
      </c>
      <c r="G1637" s="3" t="s">
        <v>5906</v>
      </c>
    </row>
    <row r="1638">
      <c r="A1638" s="3" t="s">
        <v>5907</v>
      </c>
      <c r="B1638" s="3" t="s">
        <v>2192</v>
      </c>
      <c r="C1638" s="5" t="s">
        <v>614</v>
      </c>
      <c r="D1638" s="3" t="s">
        <v>206</v>
      </c>
      <c r="E1638" s="3" t="s">
        <v>100</v>
      </c>
      <c r="F1638" s="7">
        <v>45782.73439806896</v>
      </c>
      <c r="G1638" s="3" t="s">
        <v>5909</v>
      </c>
    </row>
    <row r="1639">
      <c r="A1639" s="3" t="s">
        <v>5910</v>
      </c>
      <c r="B1639" s="3" t="s">
        <v>2192</v>
      </c>
      <c r="C1639" s="5" t="s">
        <v>206</v>
      </c>
      <c r="D1639" s="3" t="s">
        <v>68</v>
      </c>
      <c r="E1639" s="3" t="s">
        <v>100</v>
      </c>
      <c r="F1639" s="7">
        <v>45782.73787029118</v>
      </c>
      <c r="G1639" s="3" t="s">
        <v>5912</v>
      </c>
    </row>
    <row r="1640">
      <c r="A1640" s="3" t="s">
        <v>5913</v>
      </c>
      <c r="B1640" s="3" t="s">
        <v>2194</v>
      </c>
      <c r="C1640" s="5" t="s">
        <v>45</v>
      </c>
      <c r="D1640" s="3" t="s">
        <v>221</v>
      </c>
      <c r="E1640" s="3" t="s">
        <v>269</v>
      </c>
      <c r="F1640" s="7">
        <v>45782.79862846994</v>
      </c>
      <c r="G1640" s="3" t="s">
        <v>5915</v>
      </c>
    </row>
    <row r="1641">
      <c r="A1641" s="3" t="s">
        <v>5916</v>
      </c>
      <c r="B1641" s="3" t="s">
        <v>2194</v>
      </c>
      <c r="C1641" s="5" t="s">
        <v>221</v>
      </c>
      <c r="D1641" s="3" t="s">
        <v>614</v>
      </c>
      <c r="E1641" s="3" t="s">
        <v>118</v>
      </c>
      <c r="F1641" s="7">
        <v>45782.802100692155</v>
      </c>
      <c r="G1641" s="3" t="s">
        <v>5918</v>
      </c>
    </row>
    <row r="1642">
      <c r="A1642" s="3" t="s">
        <v>5919</v>
      </c>
      <c r="B1642" s="3" t="s">
        <v>2194</v>
      </c>
      <c r="C1642" s="5" t="s">
        <v>614</v>
      </c>
      <c r="D1642" s="3" t="s">
        <v>206</v>
      </c>
      <c r="E1642" s="3" t="s">
        <v>100</v>
      </c>
      <c r="F1642" s="7">
        <v>45782.80557291438</v>
      </c>
      <c r="G1642" s="3" t="s">
        <v>5921</v>
      </c>
    </row>
    <row r="1643">
      <c r="A1643" s="3" t="s">
        <v>5922</v>
      </c>
      <c r="B1643" s="3" t="s">
        <v>2194</v>
      </c>
      <c r="C1643" s="5" t="s">
        <v>206</v>
      </c>
      <c r="D1643" s="3" t="s">
        <v>68</v>
      </c>
      <c r="E1643" s="3" t="s">
        <v>100</v>
      </c>
      <c r="F1643" s="7">
        <v>45782.8090451366</v>
      </c>
      <c r="G1643" s="3" t="s">
        <v>5924</v>
      </c>
    </row>
    <row r="1644">
      <c r="A1644" s="3" t="s">
        <v>5925</v>
      </c>
      <c r="B1644" s="3" t="s">
        <v>2195</v>
      </c>
      <c r="C1644" s="5" t="s">
        <v>45</v>
      </c>
      <c r="D1644" s="3" t="s">
        <v>221</v>
      </c>
      <c r="E1644" s="3" t="s">
        <v>848</v>
      </c>
      <c r="F1644" s="7">
        <v>45782.869803315356</v>
      </c>
      <c r="G1644" s="3" t="s">
        <v>5927</v>
      </c>
    </row>
    <row r="1645">
      <c r="A1645" s="3" t="s">
        <v>5928</v>
      </c>
      <c r="B1645" s="3" t="s">
        <v>2195</v>
      </c>
      <c r="C1645" s="5" t="s">
        <v>221</v>
      </c>
      <c r="D1645" s="3" t="s">
        <v>614</v>
      </c>
      <c r="E1645" s="3" t="s">
        <v>118</v>
      </c>
      <c r="F1645" s="7">
        <v>45782.873275537575</v>
      </c>
      <c r="G1645" s="3" t="s">
        <v>5930</v>
      </c>
    </row>
    <row r="1646">
      <c r="A1646" s="3" t="s">
        <v>5931</v>
      </c>
      <c r="B1646" s="3" t="s">
        <v>2195</v>
      </c>
      <c r="C1646" s="5" t="s">
        <v>614</v>
      </c>
      <c r="D1646" s="3" t="s">
        <v>206</v>
      </c>
      <c r="E1646" s="3" t="s">
        <v>100</v>
      </c>
      <c r="F1646" s="7">
        <v>45782.8767477598</v>
      </c>
      <c r="G1646" s="3" t="s">
        <v>5932</v>
      </c>
    </row>
    <row r="1647">
      <c r="A1647" s="3" t="s">
        <v>5933</v>
      </c>
      <c r="B1647" s="3" t="s">
        <v>2195</v>
      </c>
      <c r="C1647" s="5" t="s">
        <v>206</v>
      </c>
      <c r="D1647" s="3" t="s">
        <v>68</v>
      </c>
      <c r="E1647" s="3" t="s">
        <v>100</v>
      </c>
      <c r="F1647" s="7">
        <v>45782.88021998202</v>
      </c>
      <c r="G1647" s="3" t="s">
        <v>5935</v>
      </c>
    </row>
    <row r="1648">
      <c r="A1648" s="3" t="s">
        <v>5936</v>
      </c>
      <c r="B1648" s="3" t="s">
        <v>2197</v>
      </c>
      <c r="C1648" s="5" t="s">
        <v>45</v>
      </c>
      <c r="D1648" s="3" t="s">
        <v>221</v>
      </c>
      <c r="E1648" s="3" t="s">
        <v>972</v>
      </c>
      <c r="F1648" s="7">
        <v>45782.94097816076</v>
      </c>
      <c r="G1648" s="3" t="s">
        <v>5938</v>
      </c>
    </row>
    <row r="1649">
      <c r="A1649" s="3" t="s">
        <v>5939</v>
      </c>
      <c r="B1649" s="3" t="s">
        <v>2197</v>
      </c>
      <c r="C1649" s="5" t="s">
        <v>221</v>
      </c>
      <c r="D1649" s="3" t="s">
        <v>614</v>
      </c>
      <c r="E1649" s="3" t="s">
        <v>118</v>
      </c>
      <c r="F1649" s="7">
        <v>45782.94445038298</v>
      </c>
      <c r="G1649" s="3" t="s">
        <v>5941</v>
      </c>
    </row>
    <row r="1650">
      <c r="A1650" s="3" t="s">
        <v>5942</v>
      </c>
      <c r="B1650" s="3" t="s">
        <v>2197</v>
      </c>
      <c r="C1650" s="5" t="s">
        <v>614</v>
      </c>
      <c r="D1650" s="3" t="s">
        <v>206</v>
      </c>
      <c r="E1650" s="3" t="s">
        <v>100</v>
      </c>
      <c r="F1650" s="7">
        <v>45782.947922605206</v>
      </c>
      <c r="G1650" s="3" t="s">
        <v>5944</v>
      </c>
    </row>
    <row r="1651">
      <c r="A1651" s="3" t="s">
        <v>5945</v>
      </c>
      <c r="B1651" s="3" t="s">
        <v>2197</v>
      </c>
      <c r="C1651" s="5" t="s">
        <v>206</v>
      </c>
      <c r="D1651" s="3" t="s">
        <v>68</v>
      </c>
      <c r="E1651" s="3" t="s">
        <v>100</v>
      </c>
      <c r="F1651" s="7">
        <v>45782.951394827425</v>
      </c>
      <c r="G1651" s="3" t="s">
        <v>5947</v>
      </c>
    </row>
    <row r="1652">
      <c r="A1652" s="3" t="s">
        <v>5948</v>
      </c>
      <c r="B1652" s="3" t="s">
        <v>2198</v>
      </c>
      <c r="C1652" s="5" t="s">
        <v>45</v>
      </c>
      <c r="D1652" s="3" t="s">
        <v>221</v>
      </c>
      <c r="E1652" s="3" t="s">
        <v>515</v>
      </c>
      <c r="F1652" s="7">
        <v>45783.01215300618</v>
      </c>
      <c r="G1652" s="3" t="s">
        <v>5950</v>
      </c>
    </row>
    <row r="1653">
      <c r="A1653" s="3" t="s">
        <v>5951</v>
      </c>
      <c r="B1653" s="3" t="s">
        <v>2198</v>
      </c>
      <c r="C1653" s="5" t="s">
        <v>221</v>
      </c>
      <c r="D1653" s="3" t="s">
        <v>614</v>
      </c>
      <c r="E1653" s="3" t="s">
        <v>118</v>
      </c>
      <c r="F1653" s="7">
        <v>45783.0156252284</v>
      </c>
      <c r="G1653" s="3" t="s">
        <v>5953</v>
      </c>
    </row>
    <row r="1654">
      <c r="A1654" s="3" t="s">
        <v>5954</v>
      </c>
      <c r="B1654" s="3" t="s">
        <v>2198</v>
      </c>
      <c r="C1654" s="5" t="s">
        <v>614</v>
      </c>
      <c r="D1654" s="3" t="s">
        <v>206</v>
      </c>
      <c r="E1654" s="3" t="s">
        <v>100</v>
      </c>
      <c r="F1654" s="7">
        <v>45783.019097450626</v>
      </c>
      <c r="G1654" s="3" t="s">
        <v>5956</v>
      </c>
    </row>
    <row r="1655">
      <c r="A1655" s="3" t="s">
        <v>5957</v>
      </c>
      <c r="B1655" s="3" t="s">
        <v>2198</v>
      </c>
      <c r="C1655" s="5" t="s">
        <v>206</v>
      </c>
      <c r="D1655" s="3" t="s">
        <v>68</v>
      </c>
      <c r="E1655" s="3" t="s">
        <v>100</v>
      </c>
      <c r="F1655" s="7">
        <v>45783.022569672845</v>
      </c>
      <c r="G1655" s="3" t="s">
        <v>5958</v>
      </c>
    </row>
    <row r="1656">
      <c r="A1656" s="3" t="s">
        <v>5960</v>
      </c>
      <c r="B1656" s="3" t="s">
        <v>2201</v>
      </c>
      <c r="C1656" s="5" t="s">
        <v>45</v>
      </c>
      <c r="D1656" s="3" t="s">
        <v>221</v>
      </c>
      <c r="E1656" s="3" t="s">
        <v>395</v>
      </c>
      <c r="F1656" s="7">
        <v>45783.0833278516</v>
      </c>
      <c r="G1656" s="3" t="s">
        <v>5961</v>
      </c>
    </row>
    <row r="1657">
      <c r="A1657" s="3" t="s">
        <v>5963</v>
      </c>
      <c r="B1657" s="3" t="s">
        <v>2201</v>
      </c>
      <c r="C1657" s="5" t="s">
        <v>221</v>
      </c>
      <c r="D1657" s="3" t="s">
        <v>614</v>
      </c>
      <c r="E1657" s="3" t="s">
        <v>118</v>
      </c>
      <c r="F1657" s="7">
        <v>45783.08680007382</v>
      </c>
      <c r="G1657" s="3" t="s">
        <v>5964</v>
      </c>
    </row>
    <row r="1658">
      <c r="A1658" s="3" t="s">
        <v>5966</v>
      </c>
      <c r="B1658" s="3" t="s">
        <v>2201</v>
      </c>
      <c r="C1658" s="5" t="s">
        <v>614</v>
      </c>
      <c r="D1658" s="3" t="s">
        <v>206</v>
      </c>
      <c r="E1658" s="3" t="s">
        <v>100</v>
      </c>
      <c r="F1658" s="7">
        <v>45783.090272296045</v>
      </c>
      <c r="G1658" s="3" t="s">
        <v>5967</v>
      </c>
    </row>
    <row r="1659">
      <c r="A1659" s="3" t="s">
        <v>5968</v>
      </c>
      <c r="B1659" s="3" t="s">
        <v>2201</v>
      </c>
      <c r="C1659" s="5" t="s">
        <v>206</v>
      </c>
      <c r="D1659" s="3" t="s">
        <v>68</v>
      </c>
      <c r="E1659" s="3" t="s">
        <v>100</v>
      </c>
      <c r="F1659" s="7">
        <v>45783.093744518264</v>
      </c>
      <c r="G1659" s="3" t="s">
        <v>5970</v>
      </c>
    </row>
    <row r="1660">
      <c r="A1660" s="3" t="s">
        <v>5971</v>
      </c>
      <c r="B1660" s="3" t="s">
        <v>2205</v>
      </c>
      <c r="C1660" s="5" t="s">
        <v>45</v>
      </c>
      <c r="D1660" s="3" t="s">
        <v>221</v>
      </c>
      <c r="E1660" s="3" t="s">
        <v>280</v>
      </c>
      <c r="F1660" s="7">
        <v>45783.15450269701</v>
      </c>
      <c r="G1660" s="3" t="s">
        <v>5973</v>
      </c>
    </row>
    <row r="1661">
      <c r="A1661" s="3" t="s">
        <v>5974</v>
      </c>
      <c r="B1661" s="3" t="s">
        <v>2205</v>
      </c>
      <c r="C1661" s="5" t="s">
        <v>221</v>
      </c>
      <c r="D1661" s="3" t="s">
        <v>614</v>
      </c>
      <c r="E1661" s="3" t="s">
        <v>118</v>
      </c>
      <c r="F1661" s="7">
        <v>45783.15797491923</v>
      </c>
      <c r="G1661" s="3" t="s">
        <v>5976</v>
      </c>
    </row>
    <row r="1662">
      <c r="A1662" s="3" t="s">
        <v>5977</v>
      </c>
      <c r="B1662" s="3" t="s">
        <v>2205</v>
      </c>
      <c r="C1662" s="5" t="s">
        <v>614</v>
      </c>
      <c r="D1662" s="3" t="s">
        <v>206</v>
      </c>
      <c r="E1662" s="3" t="s">
        <v>100</v>
      </c>
      <c r="F1662" s="7">
        <v>45783.16144714146</v>
      </c>
      <c r="G1662" s="3" t="s">
        <v>5979</v>
      </c>
    </row>
    <row r="1663">
      <c r="A1663" s="3" t="s">
        <v>5980</v>
      </c>
      <c r="B1663" s="3" t="s">
        <v>2205</v>
      </c>
      <c r="C1663" s="5" t="s">
        <v>206</v>
      </c>
      <c r="D1663" s="3" t="s">
        <v>68</v>
      </c>
      <c r="E1663" s="3" t="s">
        <v>100</v>
      </c>
      <c r="F1663" s="7">
        <v>45783.16491936368</v>
      </c>
      <c r="G1663" s="3" t="s">
        <v>5982</v>
      </c>
    </row>
    <row r="1664">
      <c r="A1664" s="3" t="s">
        <v>5983</v>
      </c>
      <c r="B1664" s="3" t="s">
        <v>2207</v>
      </c>
      <c r="C1664" s="5" t="s">
        <v>45</v>
      </c>
      <c r="D1664" s="3" t="s">
        <v>221</v>
      </c>
      <c r="E1664" s="3" t="s">
        <v>920</v>
      </c>
      <c r="F1664" s="7">
        <v>45783.225677542425</v>
      </c>
      <c r="G1664" s="3" t="s">
        <v>5696</v>
      </c>
    </row>
    <row r="1665">
      <c r="A1665" s="3" t="s">
        <v>5985</v>
      </c>
      <c r="B1665" s="3" t="s">
        <v>2207</v>
      </c>
      <c r="C1665" s="5" t="s">
        <v>221</v>
      </c>
      <c r="D1665" s="3" t="s">
        <v>614</v>
      </c>
      <c r="E1665" s="3" t="s">
        <v>118</v>
      </c>
      <c r="F1665" s="7">
        <v>45783.229149764644</v>
      </c>
      <c r="G1665" s="3" t="s">
        <v>5699</v>
      </c>
    </row>
    <row r="1666">
      <c r="A1666" s="3" t="s">
        <v>5987</v>
      </c>
      <c r="B1666" s="3" t="s">
        <v>2207</v>
      </c>
      <c r="C1666" s="5" t="s">
        <v>614</v>
      </c>
      <c r="D1666" s="3" t="s">
        <v>206</v>
      </c>
      <c r="E1666" s="3" t="s">
        <v>100</v>
      </c>
      <c r="F1666" s="7">
        <v>45783.23262198687</v>
      </c>
      <c r="G1666" s="3" t="s">
        <v>5701</v>
      </c>
    </row>
    <row r="1667">
      <c r="A1667" s="3" t="s">
        <v>5989</v>
      </c>
      <c r="B1667" s="3" t="s">
        <v>2207</v>
      </c>
      <c r="C1667" s="5" t="s">
        <v>206</v>
      </c>
      <c r="D1667" s="3" t="s">
        <v>68</v>
      </c>
      <c r="E1667" s="3" t="s">
        <v>100</v>
      </c>
      <c r="F1667" s="7">
        <v>45783.23609420909</v>
      </c>
      <c r="G1667" s="3" t="s">
        <v>5704</v>
      </c>
    </row>
    <row r="1668">
      <c r="A1668" s="3" t="s">
        <v>5991</v>
      </c>
      <c r="B1668" s="3" t="s">
        <v>2209</v>
      </c>
      <c r="C1668" s="5" t="s">
        <v>45</v>
      </c>
      <c r="D1668" s="3" t="s">
        <v>221</v>
      </c>
      <c r="E1668" s="3" t="s">
        <v>584</v>
      </c>
      <c r="F1668" s="7">
        <v>45783.296852387844</v>
      </c>
      <c r="G1668" s="3" t="s">
        <v>5992</v>
      </c>
    </row>
    <row r="1669">
      <c r="A1669" s="3" t="s">
        <v>5994</v>
      </c>
      <c r="B1669" s="3" t="s">
        <v>2209</v>
      </c>
      <c r="C1669" s="5" t="s">
        <v>221</v>
      </c>
      <c r="D1669" s="3" t="s">
        <v>181</v>
      </c>
      <c r="E1669" s="3" t="s">
        <v>118</v>
      </c>
      <c r="F1669" s="7">
        <v>45783.30032461006</v>
      </c>
      <c r="G1669" s="3" t="s">
        <v>5995</v>
      </c>
    </row>
    <row r="1670">
      <c r="A1670" s="3" t="s">
        <v>5997</v>
      </c>
      <c r="B1670" s="3" t="s">
        <v>2212</v>
      </c>
      <c r="C1670" s="5" t="s">
        <v>45</v>
      </c>
      <c r="D1670" s="3" t="s">
        <v>221</v>
      </c>
      <c r="E1670" s="3" t="s">
        <v>900</v>
      </c>
      <c r="F1670" s="7">
        <v>45783.36802723326</v>
      </c>
      <c r="G1670" s="3" t="s">
        <v>5999</v>
      </c>
    </row>
    <row r="1671">
      <c r="A1671" s="3" t="s">
        <v>6000</v>
      </c>
      <c r="B1671" s="3" t="s">
        <v>2212</v>
      </c>
      <c r="C1671" s="5" t="s">
        <v>221</v>
      </c>
      <c r="D1671" s="3" t="s">
        <v>614</v>
      </c>
      <c r="E1671" s="3" t="s">
        <v>118</v>
      </c>
      <c r="F1671" s="7">
        <v>45783.371499455476</v>
      </c>
      <c r="G1671" s="3" t="s">
        <v>6001</v>
      </c>
    </row>
    <row r="1672">
      <c r="A1672" s="3" t="s">
        <v>6002</v>
      </c>
      <c r="B1672" s="3" t="s">
        <v>2212</v>
      </c>
      <c r="C1672" s="5" t="s">
        <v>614</v>
      </c>
      <c r="D1672" s="3" t="s">
        <v>206</v>
      </c>
      <c r="E1672" s="3" t="s">
        <v>100</v>
      </c>
      <c r="F1672" s="7">
        <v>45783.3749716777</v>
      </c>
      <c r="G1672" s="3" t="s">
        <v>6004</v>
      </c>
    </row>
    <row r="1673">
      <c r="A1673" s="3" t="s">
        <v>6005</v>
      </c>
      <c r="B1673" s="3" t="s">
        <v>2212</v>
      </c>
      <c r="C1673" s="5" t="s">
        <v>206</v>
      </c>
      <c r="D1673" s="3" t="s">
        <v>68</v>
      </c>
      <c r="E1673" s="3" t="s">
        <v>100</v>
      </c>
      <c r="F1673" s="7">
        <v>45783.37844389992</v>
      </c>
      <c r="G1673" s="3" t="s">
        <v>6007</v>
      </c>
    </row>
    <row r="1674">
      <c r="A1674" s="3" t="s">
        <v>6008</v>
      </c>
      <c r="B1674" s="3" t="s">
        <v>2214</v>
      </c>
      <c r="C1674" s="5" t="s">
        <v>45</v>
      </c>
      <c r="D1674" s="3" t="s">
        <v>221</v>
      </c>
      <c r="E1674" s="3" t="s">
        <v>344</v>
      </c>
      <c r="F1674" s="7">
        <v>45783.43920207867</v>
      </c>
      <c r="G1674" s="3" t="s">
        <v>6010</v>
      </c>
    </row>
    <row r="1675">
      <c r="A1675" s="3" t="s">
        <v>6011</v>
      </c>
      <c r="B1675" s="3" t="s">
        <v>2214</v>
      </c>
      <c r="C1675" s="5" t="s">
        <v>221</v>
      </c>
      <c r="D1675" s="3" t="s">
        <v>614</v>
      </c>
      <c r="E1675" s="3" t="s">
        <v>118</v>
      </c>
      <c r="F1675" s="7">
        <v>45783.44267430089</v>
      </c>
      <c r="G1675" s="3" t="s">
        <v>6013</v>
      </c>
    </row>
    <row r="1676">
      <c r="A1676" s="3" t="s">
        <v>6014</v>
      </c>
      <c r="B1676" s="3" t="s">
        <v>2214</v>
      </c>
      <c r="C1676" s="5" t="s">
        <v>614</v>
      </c>
      <c r="D1676" s="3" t="s">
        <v>206</v>
      </c>
      <c r="E1676" s="3" t="s">
        <v>100</v>
      </c>
      <c r="F1676" s="7">
        <v>45783.446146523114</v>
      </c>
      <c r="G1676" s="3" t="s">
        <v>6016</v>
      </c>
    </row>
    <row r="1677">
      <c r="A1677" s="3" t="s">
        <v>6017</v>
      </c>
      <c r="B1677" s="3" t="s">
        <v>2214</v>
      </c>
      <c r="C1677" s="5" t="s">
        <v>206</v>
      </c>
      <c r="D1677" s="3" t="s">
        <v>68</v>
      </c>
      <c r="E1677" s="3" t="s">
        <v>100</v>
      </c>
      <c r="F1677" s="7">
        <v>45783.44961874533</v>
      </c>
      <c r="G1677" s="3" t="s">
        <v>6019</v>
      </c>
    </row>
    <row r="1678">
      <c r="A1678" s="3" t="s">
        <v>6020</v>
      </c>
      <c r="B1678" s="3" t="s">
        <v>2216</v>
      </c>
      <c r="C1678" s="5" t="s">
        <v>45</v>
      </c>
      <c r="D1678" s="3" t="s">
        <v>221</v>
      </c>
      <c r="E1678" s="3" t="s">
        <v>886</v>
      </c>
      <c r="F1678" s="7">
        <v>45783.51037692409</v>
      </c>
      <c r="G1678" s="3" t="s">
        <v>6022</v>
      </c>
    </row>
    <row r="1679">
      <c r="A1679" s="3" t="s">
        <v>6023</v>
      </c>
      <c r="B1679" s="3" t="s">
        <v>2216</v>
      </c>
      <c r="C1679" s="5" t="s">
        <v>221</v>
      </c>
      <c r="D1679" s="3" t="s">
        <v>614</v>
      </c>
      <c r="E1679" s="3" t="s">
        <v>118</v>
      </c>
      <c r="F1679" s="7">
        <v>45783.51384914631</v>
      </c>
      <c r="G1679" s="3" t="s">
        <v>6025</v>
      </c>
    </row>
    <row r="1680">
      <c r="A1680" s="3" t="s">
        <v>6026</v>
      </c>
      <c r="B1680" s="3" t="s">
        <v>2216</v>
      </c>
      <c r="C1680" s="5" t="s">
        <v>614</v>
      </c>
      <c r="D1680" s="3" t="s">
        <v>206</v>
      </c>
      <c r="E1680" s="3" t="s">
        <v>100</v>
      </c>
      <c r="F1680" s="7">
        <v>45783.517321368534</v>
      </c>
      <c r="G1680" s="3" t="s">
        <v>6027</v>
      </c>
    </row>
    <row r="1681">
      <c r="A1681" s="3" t="s">
        <v>6029</v>
      </c>
      <c r="B1681" s="3" t="s">
        <v>2216</v>
      </c>
      <c r="C1681" s="5" t="s">
        <v>206</v>
      </c>
      <c r="D1681" s="3" t="s">
        <v>68</v>
      </c>
      <c r="E1681" s="3" t="s">
        <v>100</v>
      </c>
      <c r="F1681" s="7">
        <v>45783.52079359075</v>
      </c>
      <c r="G1681" s="3" t="s">
        <v>6030</v>
      </c>
    </row>
    <row r="1682">
      <c r="A1682" s="3" t="s">
        <v>6032</v>
      </c>
      <c r="B1682" s="3" t="s">
        <v>2218</v>
      </c>
      <c r="C1682" s="5" t="s">
        <v>45</v>
      </c>
      <c r="D1682" s="3" t="s">
        <v>221</v>
      </c>
      <c r="E1682" s="3" t="s">
        <v>587</v>
      </c>
      <c r="F1682" s="7">
        <v>45783.58155176951</v>
      </c>
      <c r="G1682" s="3" t="s">
        <v>6033</v>
      </c>
    </row>
    <row r="1683">
      <c r="A1683" s="3" t="s">
        <v>6035</v>
      </c>
      <c r="B1683" s="3" t="s">
        <v>2218</v>
      </c>
      <c r="C1683" s="5" t="s">
        <v>221</v>
      </c>
      <c r="D1683" s="3" t="s">
        <v>614</v>
      </c>
      <c r="E1683" s="3" t="s">
        <v>118</v>
      </c>
      <c r="F1683" s="7">
        <v>45783.58502399173</v>
      </c>
      <c r="G1683" s="3" t="s">
        <v>6036</v>
      </c>
    </row>
    <row r="1684">
      <c r="A1684" s="3" t="s">
        <v>6037</v>
      </c>
      <c r="B1684" s="3" t="s">
        <v>2218</v>
      </c>
      <c r="C1684" s="5" t="s">
        <v>614</v>
      </c>
      <c r="D1684" s="3" t="s">
        <v>206</v>
      </c>
      <c r="E1684" s="3" t="s">
        <v>100</v>
      </c>
      <c r="F1684" s="7">
        <v>45783.58849621395</v>
      </c>
      <c r="G1684" s="3" t="s">
        <v>6039</v>
      </c>
    </row>
    <row r="1685">
      <c r="A1685" s="3" t="s">
        <v>6040</v>
      </c>
      <c r="B1685" s="3" t="s">
        <v>2218</v>
      </c>
      <c r="C1685" s="5" t="s">
        <v>206</v>
      </c>
      <c r="D1685" s="3" t="s">
        <v>68</v>
      </c>
      <c r="E1685" s="3" t="s">
        <v>100</v>
      </c>
      <c r="F1685" s="7">
        <v>45783.59196843617</v>
      </c>
      <c r="G1685" s="3" t="s">
        <v>6042</v>
      </c>
    </row>
    <row r="1686">
      <c r="A1686" s="3" t="s">
        <v>6044</v>
      </c>
      <c r="B1686" s="3" t="s">
        <v>2220</v>
      </c>
      <c r="C1686" s="5" t="s">
        <v>45</v>
      </c>
      <c r="D1686" s="3" t="s">
        <v>221</v>
      </c>
      <c r="E1686" s="3" t="s">
        <v>204</v>
      </c>
      <c r="F1686" s="7">
        <v>45783.65272661491</v>
      </c>
      <c r="G1686" s="3" t="s">
        <v>6046</v>
      </c>
    </row>
    <row r="1687">
      <c r="A1687" s="3" t="s">
        <v>6047</v>
      </c>
      <c r="B1687" s="3" t="s">
        <v>2220</v>
      </c>
      <c r="C1687" s="5" t="s">
        <v>221</v>
      </c>
      <c r="D1687" s="3" t="s">
        <v>614</v>
      </c>
      <c r="E1687" s="3" t="s">
        <v>118</v>
      </c>
      <c r="F1687" s="7">
        <v>45783.65619883713</v>
      </c>
      <c r="G1687" s="3" t="s">
        <v>6050</v>
      </c>
    </row>
    <row r="1688">
      <c r="A1688" s="3" t="s">
        <v>6051</v>
      </c>
      <c r="B1688" s="3" t="s">
        <v>2220</v>
      </c>
      <c r="C1688" s="5" t="s">
        <v>614</v>
      </c>
      <c r="D1688" s="3" t="s">
        <v>206</v>
      </c>
      <c r="E1688" s="3" t="s">
        <v>100</v>
      </c>
      <c r="F1688" s="7">
        <v>45783.65967105936</v>
      </c>
      <c r="G1688" s="3" t="s">
        <v>6053</v>
      </c>
    </row>
    <row r="1689">
      <c r="A1689" s="3" t="s">
        <v>6054</v>
      </c>
      <c r="B1689" s="3" t="s">
        <v>2220</v>
      </c>
      <c r="C1689" s="5" t="s">
        <v>206</v>
      </c>
      <c r="D1689" s="3" t="s">
        <v>68</v>
      </c>
      <c r="E1689" s="3" t="s">
        <v>100</v>
      </c>
      <c r="F1689" s="7">
        <v>45783.66314328158</v>
      </c>
      <c r="G1689" s="3" t="s">
        <v>6057</v>
      </c>
    </row>
    <row r="1690">
      <c r="A1690" s="3" t="s">
        <v>6058</v>
      </c>
      <c r="B1690" s="3" t="s">
        <v>2222</v>
      </c>
      <c r="C1690" s="5" t="s">
        <v>45</v>
      </c>
      <c r="D1690" s="3" t="s">
        <v>221</v>
      </c>
      <c r="E1690" s="3" t="s">
        <v>557</v>
      </c>
      <c r="F1690" s="7">
        <v>45783.72390146033</v>
      </c>
      <c r="G1690" s="3" t="s">
        <v>6060</v>
      </c>
    </row>
    <row r="1691">
      <c r="A1691" s="3" t="s">
        <v>6061</v>
      </c>
      <c r="B1691" s="3" t="s">
        <v>2222</v>
      </c>
      <c r="C1691" s="5" t="s">
        <v>221</v>
      </c>
      <c r="D1691" s="3" t="s">
        <v>614</v>
      </c>
      <c r="E1691" s="3" t="s">
        <v>118</v>
      </c>
      <c r="F1691" s="7">
        <v>45783.72737368255</v>
      </c>
      <c r="G1691" s="3" t="s">
        <v>6063</v>
      </c>
    </row>
    <row r="1692">
      <c r="A1692" s="3" t="s">
        <v>6065</v>
      </c>
      <c r="B1692" s="3" t="s">
        <v>2222</v>
      </c>
      <c r="C1692" s="5" t="s">
        <v>614</v>
      </c>
      <c r="D1692" s="3" t="s">
        <v>206</v>
      </c>
      <c r="E1692" s="3" t="s">
        <v>100</v>
      </c>
      <c r="F1692" s="7">
        <v>45783.73084590478</v>
      </c>
      <c r="G1692" s="3" t="s">
        <v>6067</v>
      </c>
    </row>
    <row r="1693">
      <c r="A1693" s="3" t="s">
        <v>6068</v>
      </c>
      <c r="B1693" s="3" t="s">
        <v>2222</v>
      </c>
      <c r="C1693" s="5" t="s">
        <v>206</v>
      </c>
      <c r="D1693" s="3" t="s">
        <v>68</v>
      </c>
      <c r="E1693" s="3" t="s">
        <v>100</v>
      </c>
      <c r="F1693" s="7">
        <v>45783.734318127</v>
      </c>
      <c r="G1693" s="3" t="s">
        <v>6070</v>
      </c>
    </row>
    <row r="1694">
      <c r="A1694" s="3" t="s">
        <v>6071</v>
      </c>
      <c r="B1694" s="3" t="s">
        <v>2224</v>
      </c>
      <c r="C1694" s="5" t="s">
        <v>45</v>
      </c>
      <c r="D1694" s="3" t="s">
        <v>221</v>
      </c>
      <c r="E1694" s="3" t="s">
        <v>920</v>
      </c>
      <c r="F1694" s="7">
        <v>45783.795076305745</v>
      </c>
      <c r="G1694" s="3" t="s">
        <v>5696</v>
      </c>
    </row>
    <row r="1695">
      <c r="A1695" s="3" t="s">
        <v>6073</v>
      </c>
      <c r="B1695" s="3" t="s">
        <v>2224</v>
      </c>
      <c r="C1695" s="5" t="s">
        <v>221</v>
      </c>
      <c r="D1695" s="3" t="s">
        <v>614</v>
      </c>
      <c r="E1695" s="3" t="s">
        <v>118</v>
      </c>
      <c r="F1695" s="7">
        <v>45783.798548527964</v>
      </c>
      <c r="G1695" s="3" t="s">
        <v>5699</v>
      </c>
    </row>
    <row r="1696">
      <c r="A1696" s="3" t="s">
        <v>6076</v>
      </c>
      <c r="B1696" s="3" t="s">
        <v>2224</v>
      </c>
      <c r="C1696" s="5" t="s">
        <v>614</v>
      </c>
      <c r="D1696" s="3" t="s">
        <v>206</v>
      </c>
      <c r="E1696" s="3" t="s">
        <v>100</v>
      </c>
      <c r="F1696" s="7">
        <v>45783.80202075019</v>
      </c>
      <c r="G1696" s="3" t="s">
        <v>5701</v>
      </c>
    </row>
    <row r="1697">
      <c r="A1697" s="3" t="s">
        <v>6078</v>
      </c>
      <c r="B1697" s="3" t="s">
        <v>2224</v>
      </c>
      <c r="C1697" s="5" t="s">
        <v>206</v>
      </c>
      <c r="D1697" s="3" t="s">
        <v>68</v>
      </c>
      <c r="E1697" s="3" t="s">
        <v>100</v>
      </c>
      <c r="F1697" s="7">
        <v>45783.80549297241</v>
      </c>
      <c r="G1697" s="3" t="s">
        <v>5704</v>
      </c>
    </row>
    <row r="1698">
      <c r="A1698" s="3" t="s">
        <v>6080</v>
      </c>
      <c r="B1698" s="3" t="s">
        <v>2226</v>
      </c>
      <c r="C1698" s="5" t="s">
        <v>45</v>
      </c>
      <c r="D1698" s="3" t="s">
        <v>221</v>
      </c>
      <c r="E1698" s="3" t="s">
        <v>404</v>
      </c>
      <c r="F1698" s="7">
        <v>45783.866251151165</v>
      </c>
      <c r="G1698" s="3" t="s">
        <v>2770</v>
      </c>
    </row>
    <row r="1699">
      <c r="A1699" s="3" t="s">
        <v>6082</v>
      </c>
      <c r="B1699" s="3" t="s">
        <v>2226</v>
      </c>
      <c r="C1699" s="5" t="s">
        <v>221</v>
      </c>
      <c r="D1699" s="3" t="s">
        <v>181</v>
      </c>
      <c r="E1699" s="3" t="s">
        <v>118</v>
      </c>
      <c r="F1699" s="7">
        <v>45783.869723373384</v>
      </c>
      <c r="G1699" s="3" t="s">
        <v>2774</v>
      </c>
    </row>
    <row r="1700">
      <c r="A1700" s="3" t="s">
        <v>6084</v>
      </c>
      <c r="B1700" s="3" t="s">
        <v>2228</v>
      </c>
      <c r="C1700" s="5" t="s">
        <v>45</v>
      </c>
      <c r="D1700" s="3" t="s">
        <v>221</v>
      </c>
      <c r="E1700" s="3" t="s">
        <v>272</v>
      </c>
      <c r="F1700" s="7">
        <v>45783.93742599658</v>
      </c>
      <c r="G1700" s="3" t="s">
        <v>6086</v>
      </c>
    </row>
    <row r="1701">
      <c r="A1701" s="3" t="s">
        <v>6087</v>
      </c>
      <c r="B1701" s="3" t="s">
        <v>2228</v>
      </c>
      <c r="C1701" s="5" t="s">
        <v>221</v>
      </c>
      <c r="D1701" s="3" t="s">
        <v>614</v>
      </c>
      <c r="E1701" s="3" t="s">
        <v>118</v>
      </c>
      <c r="F1701" s="7">
        <v>45783.940898218796</v>
      </c>
      <c r="G1701" s="3" t="s">
        <v>6088</v>
      </c>
    </row>
    <row r="1702">
      <c r="A1702" s="3" t="s">
        <v>6090</v>
      </c>
      <c r="B1702" s="3" t="s">
        <v>2228</v>
      </c>
      <c r="C1702" s="5" t="s">
        <v>614</v>
      </c>
      <c r="D1702" s="3" t="s">
        <v>206</v>
      </c>
      <c r="E1702" s="3" t="s">
        <v>100</v>
      </c>
      <c r="F1702" s="7">
        <v>45783.94437044102</v>
      </c>
      <c r="G1702" s="3" t="s">
        <v>6091</v>
      </c>
    </row>
    <row r="1703">
      <c r="A1703" s="3" t="s">
        <v>6093</v>
      </c>
      <c r="B1703" s="3" t="s">
        <v>2228</v>
      </c>
      <c r="C1703" s="5" t="s">
        <v>206</v>
      </c>
      <c r="D1703" s="3" t="s">
        <v>68</v>
      </c>
      <c r="E1703" s="3" t="s">
        <v>100</v>
      </c>
      <c r="F1703" s="7">
        <v>45783.94784266324</v>
      </c>
      <c r="G1703" s="3" t="s">
        <v>6094</v>
      </c>
    </row>
    <row r="1704">
      <c r="A1704" s="3" t="s">
        <v>6095</v>
      </c>
      <c r="B1704" s="3" t="s">
        <v>2231</v>
      </c>
      <c r="C1704" s="5" t="s">
        <v>45</v>
      </c>
      <c r="D1704" s="3" t="s">
        <v>221</v>
      </c>
      <c r="E1704" s="3" t="s">
        <v>1034</v>
      </c>
      <c r="F1704" s="7">
        <v>45784.008600842</v>
      </c>
      <c r="G1704" s="3" t="s">
        <v>6097</v>
      </c>
    </row>
    <row r="1705">
      <c r="A1705" s="3" t="s">
        <v>6098</v>
      </c>
      <c r="B1705" s="3" t="s">
        <v>2231</v>
      </c>
      <c r="C1705" s="5" t="s">
        <v>221</v>
      </c>
      <c r="D1705" s="3" t="s">
        <v>614</v>
      </c>
      <c r="E1705" s="3" t="s">
        <v>118</v>
      </c>
      <c r="F1705" s="7">
        <v>45784.012073064216</v>
      </c>
      <c r="G1705" s="3" t="s">
        <v>6100</v>
      </c>
    </row>
    <row r="1706">
      <c r="A1706" s="3" t="s">
        <v>6101</v>
      </c>
      <c r="B1706" s="3" t="s">
        <v>2231</v>
      </c>
      <c r="C1706" s="5" t="s">
        <v>614</v>
      </c>
      <c r="D1706" s="3" t="s">
        <v>206</v>
      </c>
      <c r="E1706" s="3" t="s">
        <v>100</v>
      </c>
      <c r="F1706" s="7">
        <v>45784.01554528644</v>
      </c>
      <c r="G1706" s="3" t="s">
        <v>6103</v>
      </c>
    </row>
    <row r="1707">
      <c r="A1707" s="3" t="s">
        <v>6104</v>
      </c>
      <c r="B1707" s="3" t="s">
        <v>2231</v>
      </c>
      <c r="C1707" s="5" t="s">
        <v>206</v>
      </c>
      <c r="D1707" s="3" t="s">
        <v>68</v>
      </c>
      <c r="E1707" s="3" t="s">
        <v>100</v>
      </c>
      <c r="F1707" s="7">
        <v>45784.01901750866</v>
      </c>
      <c r="G1707" s="3" t="s">
        <v>6106</v>
      </c>
    </row>
    <row r="1708">
      <c r="A1708" s="3" t="s">
        <v>6107</v>
      </c>
      <c r="B1708" s="3" t="s">
        <v>2234</v>
      </c>
      <c r="C1708" s="5" t="s">
        <v>45</v>
      </c>
      <c r="D1708" s="3" t="s">
        <v>221</v>
      </c>
      <c r="E1708" s="3" t="s">
        <v>1037</v>
      </c>
      <c r="F1708" s="7">
        <v>45784.0797756874</v>
      </c>
      <c r="G1708" s="3" t="s">
        <v>6109</v>
      </c>
    </row>
    <row r="1709">
      <c r="A1709" s="3" t="s">
        <v>6111</v>
      </c>
      <c r="B1709" s="3" t="s">
        <v>2234</v>
      </c>
      <c r="C1709" s="5" t="s">
        <v>221</v>
      </c>
      <c r="D1709" s="3" t="s">
        <v>614</v>
      </c>
      <c r="E1709" s="3" t="s">
        <v>118</v>
      </c>
      <c r="F1709" s="7">
        <v>45784.08324790962</v>
      </c>
      <c r="G1709" s="3" t="s">
        <v>6113</v>
      </c>
    </row>
    <row r="1710">
      <c r="A1710" s="3" t="s">
        <v>6114</v>
      </c>
      <c r="B1710" s="3" t="s">
        <v>2234</v>
      </c>
      <c r="C1710" s="5" t="s">
        <v>614</v>
      </c>
      <c r="D1710" s="3" t="s">
        <v>206</v>
      </c>
      <c r="E1710" s="3" t="s">
        <v>100</v>
      </c>
      <c r="F1710" s="7">
        <v>45784.08672013185</v>
      </c>
      <c r="G1710" s="3" t="s">
        <v>6116</v>
      </c>
    </row>
    <row r="1711">
      <c r="A1711" s="3" t="s">
        <v>6118</v>
      </c>
      <c r="B1711" s="3" t="s">
        <v>2234</v>
      </c>
      <c r="C1711" s="5" t="s">
        <v>206</v>
      </c>
      <c r="D1711" s="3" t="s">
        <v>68</v>
      </c>
      <c r="E1711" s="3" t="s">
        <v>100</v>
      </c>
      <c r="F1711" s="7">
        <v>45784.090192354066</v>
      </c>
      <c r="G1711" s="3" t="s">
        <v>6120</v>
      </c>
    </row>
    <row r="1712">
      <c r="A1712" s="3" t="s">
        <v>6121</v>
      </c>
      <c r="B1712" s="3" t="s">
        <v>2237</v>
      </c>
      <c r="C1712" s="5" t="s">
        <v>45</v>
      </c>
      <c r="D1712" s="3" t="s">
        <v>221</v>
      </c>
      <c r="E1712" s="3" t="s">
        <v>341</v>
      </c>
      <c r="F1712" s="7">
        <v>45784.15095053282</v>
      </c>
      <c r="G1712" s="3" t="s">
        <v>6123</v>
      </c>
    </row>
    <row r="1713">
      <c r="A1713" s="3" t="s">
        <v>6124</v>
      </c>
      <c r="B1713" s="3" t="s">
        <v>2237</v>
      </c>
      <c r="C1713" s="5" t="s">
        <v>221</v>
      </c>
      <c r="D1713" s="3" t="s">
        <v>614</v>
      </c>
      <c r="E1713" s="3" t="s">
        <v>118</v>
      </c>
      <c r="F1713" s="7">
        <v>45784.15442275504</v>
      </c>
      <c r="G1713" s="3" t="s">
        <v>6127</v>
      </c>
    </row>
    <row r="1714">
      <c r="A1714" s="3" t="s">
        <v>6128</v>
      </c>
      <c r="B1714" s="3" t="s">
        <v>2237</v>
      </c>
      <c r="C1714" s="5" t="s">
        <v>614</v>
      </c>
      <c r="D1714" s="3" t="s">
        <v>206</v>
      </c>
      <c r="E1714" s="3" t="s">
        <v>100</v>
      </c>
      <c r="F1714" s="7">
        <v>45784.15789497727</v>
      </c>
      <c r="G1714" s="3" t="s">
        <v>6130</v>
      </c>
    </row>
    <row r="1715">
      <c r="A1715" s="3" t="s">
        <v>6131</v>
      </c>
      <c r="B1715" s="3" t="s">
        <v>2237</v>
      </c>
      <c r="C1715" s="5" t="s">
        <v>206</v>
      </c>
      <c r="D1715" s="3" t="s">
        <v>68</v>
      </c>
      <c r="E1715" s="3" t="s">
        <v>100</v>
      </c>
      <c r="F1715" s="7">
        <v>45784.161367199486</v>
      </c>
      <c r="G1715" s="3" t="s">
        <v>6133</v>
      </c>
    </row>
    <row r="1716">
      <c r="A1716" s="3" t="s">
        <v>6134</v>
      </c>
      <c r="B1716" s="3" t="s">
        <v>2239</v>
      </c>
      <c r="C1716" s="5" t="s">
        <v>45</v>
      </c>
      <c r="D1716" s="3" t="s">
        <v>221</v>
      </c>
      <c r="E1716" s="3" t="s">
        <v>678</v>
      </c>
      <c r="F1716" s="7">
        <v>45784.22212537824</v>
      </c>
      <c r="G1716" s="3" t="s">
        <v>3679</v>
      </c>
    </row>
    <row r="1717">
      <c r="A1717" s="3" t="s">
        <v>6137</v>
      </c>
      <c r="B1717" s="3" t="s">
        <v>2239</v>
      </c>
      <c r="C1717" s="5" t="s">
        <v>221</v>
      </c>
      <c r="D1717" s="3" t="s">
        <v>614</v>
      </c>
      <c r="E1717" s="3" t="s">
        <v>118</v>
      </c>
      <c r="F1717" s="7">
        <v>45784.22559760046</v>
      </c>
      <c r="G1717" s="3" t="s">
        <v>3682</v>
      </c>
    </row>
    <row r="1718">
      <c r="A1718" s="3" t="s">
        <v>6139</v>
      </c>
      <c r="B1718" s="3" t="s">
        <v>2239</v>
      </c>
      <c r="C1718" s="5" t="s">
        <v>614</v>
      </c>
      <c r="D1718" s="3" t="s">
        <v>206</v>
      </c>
      <c r="E1718" s="3" t="s">
        <v>100</v>
      </c>
      <c r="F1718" s="7">
        <v>45784.229069822686</v>
      </c>
      <c r="G1718" s="3" t="s">
        <v>3685</v>
      </c>
    </row>
    <row r="1719">
      <c r="A1719" s="3" t="s">
        <v>6141</v>
      </c>
      <c r="B1719" s="3" t="s">
        <v>2239</v>
      </c>
      <c r="C1719" s="5" t="s">
        <v>206</v>
      </c>
      <c r="D1719" s="3" t="s">
        <v>68</v>
      </c>
      <c r="E1719" s="3" t="s">
        <v>100</v>
      </c>
      <c r="F1719" s="7">
        <v>45784.232542044905</v>
      </c>
      <c r="G1719" s="3" t="s">
        <v>3688</v>
      </c>
    </row>
    <row r="1720">
      <c r="A1720" s="3" t="s">
        <v>6144</v>
      </c>
      <c r="B1720" s="3" t="s">
        <v>2241</v>
      </c>
      <c r="C1720" s="5" t="s">
        <v>45</v>
      </c>
      <c r="D1720" s="3" t="s">
        <v>221</v>
      </c>
      <c r="E1720" s="3" t="s">
        <v>475</v>
      </c>
      <c r="F1720" s="7">
        <v>45784.29330022365</v>
      </c>
      <c r="G1720" s="3" t="s">
        <v>6145</v>
      </c>
    </row>
    <row r="1721">
      <c r="A1721" s="3" t="s">
        <v>6146</v>
      </c>
      <c r="B1721" s="3" t="s">
        <v>2241</v>
      </c>
      <c r="C1721" s="5" t="s">
        <v>221</v>
      </c>
      <c r="D1721" s="3" t="s">
        <v>614</v>
      </c>
      <c r="E1721" s="3" t="s">
        <v>118</v>
      </c>
      <c r="F1721" s="7">
        <v>45784.29677244587</v>
      </c>
      <c r="G1721" s="3" t="s">
        <v>6147</v>
      </c>
    </row>
    <row r="1722">
      <c r="A1722" s="3" t="s">
        <v>6148</v>
      </c>
      <c r="B1722" s="3" t="s">
        <v>2241</v>
      </c>
      <c r="C1722" s="5" t="s">
        <v>614</v>
      </c>
      <c r="D1722" s="3" t="s">
        <v>206</v>
      </c>
      <c r="E1722" s="3" t="s">
        <v>100</v>
      </c>
      <c r="F1722" s="7">
        <v>45784.3002446681</v>
      </c>
      <c r="G1722" s="3" t="s">
        <v>6149</v>
      </c>
    </row>
    <row r="1723">
      <c r="A1723" s="3" t="s">
        <v>6150</v>
      </c>
      <c r="B1723" s="3" t="s">
        <v>2241</v>
      </c>
      <c r="C1723" s="5" t="s">
        <v>206</v>
      </c>
      <c r="D1723" s="3" t="s">
        <v>68</v>
      </c>
      <c r="E1723" s="3" t="s">
        <v>100</v>
      </c>
      <c r="F1723" s="7">
        <v>45784.30371689032</v>
      </c>
      <c r="G1723" s="3" t="s">
        <v>6152</v>
      </c>
    </row>
    <row r="1724">
      <c r="A1724" s="3" t="s">
        <v>6153</v>
      </c>
      <c r="B1724" s="3" t="s">
        <v>2243</v>
      </c>
      <c r="C1724" s="5" t="s">
        <v>45</v>
      </c>
      <c r="D1724" s="3" t="s">
        <v>221</v>
      </c>
      <c r="E1724" s="3" t="s">
        <v>541</v>
      </c>
      <c r="F1724" s="7">
        <v>45784.364475069066</v>
      </c>
      <c r="G1724" s="3" t="s">
        <v>6155</v>
      </c>
    </row>
    <row r="1725">
      <c r="A1725" s="3" t="s">
        <v>6156</v>
      </c>
      <c r="B1725" s="3" t="s">
        <v>2243</v>
      </c>
      <c r="C1725" s="5" t="s">
        <v>221</v>
      </c>
      <c r="D1725" s="3" t="s">
        <v>614</v>
      </c>
      <c r="E1725" s="3" t="s">
        <v>118</v>
      </c>
      <c r="F1725" s="7">
        <v>45784.367947291285</v>
      </c>
      <c r="G1725" s="3" t="s">
        <v>6158</v>
      </c>
    </row>
    <row r="1726">
      <c r="A1726" s="3" t="s">
        <v>6159</v>
      </c>
      <c r="B1726" s="3" t="s">
        <v>2243</v>
      </c>
      <c r="C1726" s="5" t="s">
        <v>614</v>
      </c>
      <c r="D1726" s="3" t="s">
        <v>206</v>
      </c>
      <c r="E1726" s="3" t="s">
        <v>100</v>
      </c>
      <c r="F1726" s="7">
        <v>45784.37141951351</v>
      </c>
      <c r="G1726" s="3" t="s">
        <v>6160</v>
      </c>
    </row>
    <row r="1727">
      <c r="A1727" s="3" t="s">
        <v>6162</v>
      </c>
      <c r="B1727" s="3" t="s">
        <v>2243</v>
      </c>
      <c r="C1727" s="5" t="s">
        <v>206</v>
      </c>
      <c r="D1727" s="3" t="s">
        <v>68</v>
      </c>
      <c r="E1727" s="3" t="s">
        <v>100</v>
      </c>
      <c r="F1727" s="7">
        <v>45784.37489173573</v>
      </c>
      <c r="G1727" s="3" t="s">
        <v>6163</v>
      </c>
    </row>
    <row r="1728">
      <c r="A1728" s="3" t="s">
        <v>6164</v>
      </c>
      <c r="B1728" s="3" t="s">
        <v>2244</v>
      </c>
      <c r="C1728" s="5" t="s">
        <v>45</v>
      </c>
      <c r="D1728" s="3" t="s">
        <v>221</v>
      </c>
      <c r="E1728" s="3" t="s">
        <v>662</v>
      </c>
      <c r="F1728" s="7">
        <v>45784.435649914485</v>
      </c>
      <c r="G1728" s="3" t="s">
        <v>6166</v>
      </c>
    </row>
    <row r="1729">
      <c r="A1729" s="3" t="s">
        <v>6167</v>
      </c>
      <c r="B1729" s="3" t="s">
        <v>2244</v>
      </c>
      <c r="C1729" s="5" t="s">
        <v>221</v>
      </c>
      <c r="D1729" s="3" t="s">
        <v>614</v>
      </c>
      <c r="E1729" s="3" t="s">
        <v>118</v>
      </c>
      <c r="F1729" s="7">
        <v>45784.439122136704</v>
      </c>
      <c r="G1729" s="3" t="s">
        <v>6169</v>
      </c>
    </row>
    <row r="1730">
      <c r="A1730" s="3" t="s">
        <v>6170</v>
      </c>
      <c r="B1730" s="3" t="s">
        <v>2244</v>
      </c>
      <c r="C1730" s="5" t="s">
        <v>614</v>
      </c>
      <c r="D1730" s="3" t="s">
        <v>206</v>
      </c>
      <c r="E1730" s="3" t="s">
        <v>100</v>
      </c>
      <c r="F1730" s="7">
        <v>45784.44259435893</v>
      </c>
      <c r="G1730" s="3" t="s">
        <v>6171</v>
      </c>
    </row>
    <row r="1731">
      <c r="A1731" s="3" t="s">
        <v>6172</v>
      </c>
      <c r="B1731" s="3" t="s">
        <v>2244</v>
      </c>
      <c r="C1731" s="5" t="s">
        <v>206</v>
      </c>
      <c r="D1731" s="3" t="s">
        <v>68</v>
      </c>
      <c r="E1731" s="3" t="s">
        <v>100</v>
      </c>
      <c r="F1731" s="7">
        <v>45784.44606658115</v>
      </c>
      <c r="G1731" s="3" t="s">
        <v>6174</v>
      </c>
    </row>
    <row r="1732">
      <c r="A1732" s="3" t="s">
        <v>6175</v>
      </c>
      <c r="B1732" s="3" t="s">
        <v>2246</v>
      </c>
      <c r="C1732" s="5" t="s">
        <v>45</v>
      </c>
      <c r="D1732" s="3" t="s">
        <v>221</v>
      </c>
      <c r="E1732" s="3" t="s">
        <v>468</v>
      </c>
      <c r="F1732" s="7">
        <v>45784.5068247599</v>
      </c>
      <c r="G1732" s="3" t="s">
        <v>6177</v>
      </c>
    </row>
    <row r="1733">
      <c r="A1733" s="3" t="s">
        <v>6178</v>
      </c>
      <c r="B1733" s="3" t="s">
        <v>2246</v>
      </c>
      <c r="C1733" s="5" t="s">
        <v>221</v>
      </c>
      <c r="D1733" s="3" t="s">
        <v>614</v>
      </c>
      <c r="E1733" s="3" t="s">
        <v>118</v>
      </c>
      <c r="F1733" s="7">
        <v>45784.51029698212</v>
      </c>
      <c r="G1733" s="3" t="s">
        <v>6180</v>
      </c>
    </row>
    <row r="1734">
      <c r="A1734" s="3" t="s">
        <v>6181</v>
      </c>
      <c r="B1734" s="3" t="s">
        <v>2246</v>
      </c>
      <c r="C1734" s="5" t="s">
        <v>614</v>
      </c>
      <c r="D1734" s="3" t="s">
        <v>206</v>
      </c>
      <c r="E1734" s="3" t="s">
        <v>100</v>
      </c>
      <c r="F1734" s="7">
        <v>45784.51376920434</v>
      </c>
      <c r="G1734" s="3" t="s">
        <v>6183</v>
      </c>
    </row>
    <row r="1735">
      <c r="A1735" s="3" t="s">
        <v>6184</v>
      </c>
      <c r="B1735" s="3" t="s">
        <v>2246</v>
      </c>
      <c r="C1735" s="5" t="s">
        <v>206</v>
      </c>
      <c r="D1735" s="3" t="s">
        <v>68</v>
      </c>
      <c r="E1735" s="3" t="s">
        <v>100</v>
      </c>
      <c r="F1735" s="7">
        <v>45784.51724142656</v>
      </c>
      <c r="G1735" s="3" t="s">
        <v>6186</v>
      </c>
    </row>
    <row r="1736">
      <c r="A1736" s="3" t="s">
        <v>6187</v>
      </c>
      <c r="B1736" s="3" t="s">
        <v>2248</v>
      </c>
      <c r="C1736" s="5" t="s">
        <v>45</v>
      </c>
      <c r="D1736" s="3" t="s">
        <v>221</v>
      </c>
      <c r="E1736" s="3" t="s">
        <v>622</v>
      </c>
      <c r="F1736" s="7">
        <v>45784.57799960531</v>
      </c>
      <c r="G1736" s="3" t="s">
        <v>6189</v>
      </c>
    </row>
    <row r="1737">
      <c r="A1737" s="3" t="s">
        <v>6190</v>
      </c>
      <c r="B1737" s="3" t="s">
        <v>2248</v>
      </c>
      <c r="C1737" s="5" t="s">
        <v>221</v>
      </c>
      <c r="D1737" s="3" t="s">
        <v>195</v>
      </c>
      <c r="E1737" s="3" t="s">
        <v>622</v>
      </c>
      <c r="F1737" s="7">
        <v>45784.58147182753</v>
      </c>
      <c r="G1737" s="3" t="s">
        <v>6192</v>
      </c>
    </row>
    <row r="1738">
      <c r="A1738" s="3" t="s">
        <v>6193</v>
      </c>
      <c r="B1738" s="3" t="s">
        <v>2250</v>
      </c>
      <c r="C1738" s="5" t="s">
        <v>45</v>
      </c>
      <c r="D1738" s="3" t="s">
        <v>221</v>
      </c>
      <c r="E1738" s="3" t="s">
        <v>1037</v>
      </c>
      <c r="F1738" s="7">
        <v>45784.64917445073</v>
      </c>
      <c r="G1738" s="3" t="s">
        <v>6195</v>
      </c>
    </row>
    <row r="1739">
      <c r="A1739" s="3" t="s">
        <v>6196</v>
      </c>
      <c r="B1739" s="3" t="s">
        <v>2250</v>
      </c>
      <c r="C1739" s="5" t="s">
        <v>221</v>
      </c>
      <c r="D1739" s="3" t="s">
        <v>614</v>
      </c>
      <c r="E1739" s="3" t="s">
        <v>118</v>
      </c>
      <c r="F1739" s="7">
        <v>45784.65264667295</v>
      </c>
      <c r="G1739" s="3" t="s">
        <v>6198</v>
      </c>
    </row>
    <row r="1740">
      <c r="A1740" s="3" t="s">
        <v>6199</v>
      </c>
      <c r="B1740" s="3" t="s">
        <v>2250</v>
      </c>
      <c r="C1740" s="5" t="s">
        <v>614</v>
      </c>
      <c r="D1740" s="3" t="s">
        <v>206</v>
      </c>
      <c r="E1740" s="3" t="s">
        <v>100</v>
      </c>
      <c r="F1740" s="7">
        <v>45784.656118895175</v>
      </c>
      <c r="G1740" s="3" t="s">
        <v>6201</v>
      </c>
    </row>
    <row r="1741">
      <c r="A1741" s="3" t="s">
        <v>6202</v>
      </c>
      <c r="B1741" s="3" t="s">
        <v>2250</v>
      </c>
      <c r="C1741" s="5" t="s">
        <v>206</v>
      </c>
      <c r="D1741" s="3" t="s">
        <v>68</v>
      </c>
      <c r="E1741" s="3" t="s">
        <v>100</v>
      </c>
      <c r="F1741" s="7">
        <v>45784.65959111739</v>
      </c>
      <c r="G1741" s="3" t="s">
        <v>6203</v>
      </c>
    </row>
    <row r="1742">
      <c r="A1742" s="3" t="s">
        <v>6205</v>
      </c>
      <c r="B1742" s="3" t="s">
        <v>2253</v>
      </c>
      <c r="C1742" s="5" t="s">
        <v>45</v>
      </c>
      <c r="D1742" s="3" t="s">
        <v>221</v>
      </c>
      <c r="E1742" s="3" t="s">
        <v>622</v>
      </c>
      <c r="F1742" s="7">
        <v>45784.72034929615</v>
      </c>
      <c r="G1742" s="3" t="s">
        <v>5594</v>
      </c>
    </row>
    <row r="1743">
      <c r="A1743" s="3" t="s">
        <v>6207</v>
      </c>
      <c r="B1743" s="3" t="s">
        <v>2253</v>
      </c>
      <c r="C1743" s="5" t="s">
        <v>221</v>
      </c>
      <c r="D1743" s="3" t="s">
        <v>614</v>
      </c>
      <c r="E1743" s="3" t="s">
        <v>118</v>
      </c>
      <c r="F1743" s="7">
        <v>45784.72382151837</v>
      </c>
      <c r="G1743" s="3" t="s">
        <v>5597</v>
      </c>
    </row>
    <row r="1744">
      <c r="A1744" s="3" t="s">
        <v>6208</v>
      </c>
      <c r="B1744" s="3" t="s">
        <v>2253</v>
      </c>
      <c r="C1744" s="5" t="s">
        <v>614</v>
      </c>
      <c r="D1744" s="3" t="s">
        <v>206</v>
      </c>
      <c r="E1744" s="3" t="s">
        <v>100</v>
      </c>
      <c r="F1744" s="7">
        <v>45784.727293740594</v>
      </c>
      <c r="G1744" s="3" t="s">
        <v>5600</v>
      </c>
    </row>
    <row r="1745">
      <c r="A1745" s="3" t="s">
        <v>6210</v>
      </c>
      <c r="B1745" s="3" t="s">
        <v>2253</v>
      </c>
      <c r="C1745" s="5" t="s">
        <v>206</v>
      </c>
      <c r="D1745" s="3" t="s">
        <v>68</v>
      </c>
      <c r="E1745" s="3" t="s">
        <v>100</v>
      </c>
      <c r="F1745" s="7">
        <v>45784.73076596281</v>
      </c>
      <c r="G1745" s="3" t="s">
        <v>5603</v>
      </c>
    </row>
    <row r="1746">
      <c r="A1746" s="3" t="s">
        <v>6212</v>
      </c>
      <c r="B1746" s="3" t="s">
        <v>2255</v>
      </c>
      <c r="C1746" s="5" t="s">
        <v>45</v>
      </c>
      <c r="D1746" s="3" t="s">
        <v>221</v>
      </c>
      <c r="E1746" s="3" t="s">
        <v>186</v>
      </c>
      <c r="F1746" s="7">
        <v>45784.791524141554</v>
      </c>
      <c r="G1746" s="3" t="s">
        <v>6214</v>
      </c>
    </row>
    <row r="1747">
      <c r="A1747" s="3" t="s">
        <v>6217</v>
      </c>
      <c r="B1747" s="3" t="s">
        <v>2255</v>
      </c>
      <c r="C1747" s="5" t="s">
        <v>221</v>
      </c>
      <c r="D1747" s="3" t="s">
        <v>614</v>
      </c>
      <c r="E1747" s="3" t="s">
        <v>118</v>
      </c>
      <c r="F1747" s="7">
        <v>45784.79499636377</v>
      </c>
      <c r="G1747" s="3" t="s">
        <v>6219</v>
      </c>
    </row>
    <row r="1748">
      <c r="A1748" s="3" t="s">
        <v>6220</v>
      </c>
      <c r="B1748" s="3" t="s">
        <v>2255</v>
      </c>
      <c r="C1748" s="5" t="s">
        <v>614</v>
      </c>
      <c r="D1748" s="3" t="s">
        <v>206</v>
      </c>
      <c r="E1748" s="3" t="s">
        <v>100</v>
      </c>
      <c r="F1748" s="7">
        <v>45784.798468586</v>
      </c>
      <c r="G1748" s="3" t="s">
        <v>6222</v>
      </c>
    </row>
    <row r="1749">
      <c r="A1749" s="3" t="s">
        <v>6223</v>
      </c>
      <c r="B1749" s="3" t="s">
        <v>2255</v>
      </c>
      <c r="C1749" s="5" t="s">
        <v>206</v>
      </c>
      <c r="D1749" s="3" t="s">
        <v>68</v>
      </c>
      <c r="E1749" s="3" t="s">
        <v>100</v>
      </c>
      <c r="F1749" s="7">
        <v>45784.80194080822</v>
      </c>
      <c r="G1749" s="3" t="s">
        <v>6224</v>
      </c>
    </row>
    <row r="1750">
      <c r="A1750" s="3" t="s">
        <v>6226</v>
      </c>
      <c r="B1750" s="3" t="s">
        <v>2257</v>
      </c>
      <c r="C1750" s="5" t="s">
        <v>45</v>
      </c>
      <c r="D1750" s="3" t="s">
        <v>221</v>
      </c>
      <c r="E1750" s="3" t="s">
        <v>290</v>
      </c>
      <c r="F1750" s="7">
        <v>45784.86269898697</v>
      </c>
      <c r="G1750" s="3" t="s">
        <v>2770</v>
      </c>
    </row>
    <row r="1751">
      <c r="A1751" s="3" t="s">
        <v>6227</v>
      </c>
      <c r="B1751" s="3" t="s">
        <v>2257</v>
      </c>
      <c r="C1751" s="5" t="s">
        <v>221</v>
      </c>
      <c r="D1751" s="3" t="s">
        <v>181</v>
      </c>
      <c r="E1751" s="3" t="s">
        <v>118</v>
      </c>
      <c r="F1751" s="7">
        <v>45784.86617120919</v>
      </c>
      <c r="G1751" s="3" t="s">
        <v>2774</v>
      </c>
    </row>
    <row r="1752">
      <c r="A1752" s="3" t="s">
        <v>6229</v>
      </c>
      <c r="B1752" s="3" t="s">
        <v>2260</v>
      </c>
      <c r="C1752" s="5" t="s">
        <v>45</v>
      </c>
      <c r="D1752" s="3" t="s">
        <v>221</v>
      </c>
      <c r="E1752" s="3" t="s">
        <v>539</v>
      </c>
      <c r="F1752" s="7">
        <v>45784.93387383239</v>
      </c>
      <c r="G1752" s="3" t="s">
        <v>6231</v>
      </c>
    </row>
    <row r="1753">
      <c r="A1753" s="3" t="s">
        <v>6232</v>
      </c>
      <c r="B1753" s="3" t="s">
        <v>2260</v>
      </c>
      <c r="C1753" s="5" t="s">
        <v>221</v>
      </c>
      <c r="D1753" s="3" t="s">
        <v>614</v>
      </c>
      <c r="E1753" s="3" t="s">
        <v>118</v>
      </c>
      <c r="F1753" s="7">
        <v>45784.93734605461</v>
      </c>
      <c r="G1753" s="3" t="s">
        <v>6234</v>
      </c>
    </row>
    <row r="1754">
      <c r="A1754" s="3" t="s">
        <v>6235</v>
      </c>
      <c r="B1754" s="3" t="s">
        <v>2260</v>
      </c>
      <c r="C1754" s="5" t="s">
        <v>614</v>
      </c>
      <c r="D1754" s="3" t="s">
        <v>206</v>
      </c>
      <c r="E1754" s="3" t="s">
        <v>100</v>
      </c>
      <c r="F1754" s="7">
        <v>45784.94081827684</v>
      </c>
      <c r="G1754" s="3" t="s">
        <v>6237</v>
      </c>
    </row>
    <row r="1755">
      <c r="A1755" s="3" t="s">
        <v>6238</v>
      </c>
      <c r="B1755" s="3" t="s">
        <v>2260</v>
      </c>
      <c r="C1755" s="5" t="s">
        <v>206</v>
      </c>
      <c r="D1755" s="3" t="s">
        <v>68</v>
      </c>
      <c r="E1755" s="3" t="s">
        <v>100</v>
      </c>
      <c r="F1755" s="7">
        <v>45784.94429049906</v>
      </c>
      <c r="G1755" s="3" t="s">
        <v>6240</v>
      </c>
    </row>
    <row r="1756">
      <c r="A1756" s="3" t="s">
        <v>6241</v>
      </c>
      <c r="B1756" s="3" t="s">
        <v>2263</v>
      </c>
      <c r="C1756" s="5" t="s">
        <v>45</v>
      </c>
      <c r="D1756" s="3" t="s">
        <v>221</v>
      </c>
      <c r="E1756" s="3" t="s">
        <v>922</v>
      </c>
      <c r="F1756" s="7">
        <v>45785.005048677805</v>
      </c>
      <c r="G1756" s="3" t="s">
        <v>6243</v>
      </c>
    </row>
    <row r="1757">
      <c r="A1757" s="3" t="s">
        <v>6244</v>
      </c>
      <c r="B1757" s="3" t="s">
        <v>2263</v>
      </c>
      <c r="C1757" s="5" t="s">
        <v>221</v>
      </c>
      <c r="D1757" s="3" t="s">
        <v>614</v>
      </c>
      <c r="E1757" s="3" t="s">
        <v>118</v>
      </c>
      <c r="F1757" s="7">
        <v>45785.008520900024</v>
      </c>
      <c r="G1757" s="3" t="s">
        <v>6246</v>
      </c>
    </row>
    <row r="1758">
      <c r="A1758" s="3" t="s">
        <v>6247</v>
      </c>
      <c r="B1758" s="3" t="s">
        <v>2263</v>
      </c>
      <c r="C1758" s="5" t="s">
        <v>614</v>
      </c>
      <c r="D1758" s="3" t="s">
        <v>206</v>
      </c>
      <c r="E1758" s="3" t="s">
        <v>100</v>
      </c>
      <c r="F1758" s="7">
        <v>45785.01199312225</v>
      </c>
      <c r="G1758" s="3" t="s">
        <v>6248</v>
      </c>
    </row>
    <row r="1759">
      <c r="A1759" s="3" t="s">
        <v>6250</v>
      </c>
      <c r="B1759" s="3" t="s">
        <v>2263</v>
      </c>
      <c r="C1759" s="5" t="s">
        <v>206</v>
      </c>
      <c r="D1759" s="3" t="s">
        <v>68</v>
      </c>
      <c r="E1759" s="3" t="s">
        <v>100</v>
      </c>
      <c r="F1759" s="7">
        <v>45785.01546534447</v>
      </c>
      <c r="G1759" s="3" t="s">
        <v>6251</v>
      </c>
    </row>
    <row r="1760">
      <c r="A1760" s="3" t="s">
        <v>6253</v>
      </c>
      <c r="B1760" s="3" t="s">
        <v>2265</v>
      </c>
      <c r="C1760" s="5" t="s">
        <v>45</v>
      </c>
      <c r="D1760" s="3" t="s">
        <v>221</v>
      </c>
      <c r="E1760" s="3" t="s">
        <v>830</v>
      </c>
      <c r="F1760" s="7">
        <v>45785.07622352322</v>
      </c>
      <c r="G1760" s="3" t="s">
        <v>6254</v>
      </c>
    </row>
    <row r="1761">
      <c r="A1761" s="3" t="s">
        <v>6256</v>
      </c>
      <c r="B1761" s="3" t="s">
        <v>2265</v>
      </c>
      <c r="C1761" s="5" t="s">
        <v>221</v>
      </c>
      <c r="D1761" s="3" t="s">
        <v>614</v>
      </c>
      <c r="E1761" s="3" t="s">
        <v>118</v>
      </c>
      <c r="F1761" s="7">
        <v>45785.07969574544</v>
      </c>
      <c r="G1761" s="3" t="s">
        <v>6257</v>
      </c>
    </row>
    <row r="1762">
      <c r="A1762" s="3" t="s">
        <v>6259</v>
      </c>
      <c r="B1762" s="3" t="s">
        <v>2265</v>
      </c>
      <c r="C1762" s="5" t="s">
        <v>614</v>
      </c>
      <c r="D1762" s="3" t="s">
        <v>206</v>
      </c>
      <c r="E1762" s="3" t="s">
        <v>100</v>
      </c>
      <c r="F1762" s="7">
        <v>45785.08316796766</v>
      </c>
      <c r="G1762" s="3" t="s">
        <v>6260</v>
      </c>
    </row>
    <row r="1763">
      <c r="A1763" s="3" t="s">
        <v>6261</v>
      </c>
      <c r="B1763" s="3" t="s">
        <v>2265</v>
      </c>
      <c r="C1763" s="5" t="s">
        <v>206</v>
      </c>
      <c r="D1763" s="3" t="s">
        <v>68</v>
      </c>
      <c r="E1763" s="3" t="s">
        <v>100</v>
      </c>
      <c r="F1763" s="7">
        <v>45785.08664018988</v>
      </c>
      <c r="G1763" s="3" t="s">
        <v>6263</v>
      </c>
    </row>
    <row r="1764">
      <c r="A1764" s="3" t="s">
        <v>6264</v>
      </c>
      <c r="B1764" s="3" t="s">
        <v>2269</v>
      </c>
      <c r="C1764" s="5" t="s">
        <v>45</v>
      </c>
      <c r="D1764" s="3" t="s">
        <v>221</v>
      </c>
      <c r="E1764" s="3" t="s">
        <v>472</v>
      </c>
      <c r="F1764" s="7">
        <v>45785.14739836864</v>
      </c>
      <c r="G1764" s="3" t="s">
        <v>6266</v>
      </c>
    </row>
    <row r="1765">
      <c r="A1765" s="3" t="s">
        <v>6267</v>
      </c>
      <c r="B1765" s="3" t="s">
        <v>2269</v>
      </c>
      <c r="C1765" s="5" t="s">
        <v>221</v>
      </c>
      <c r="D1765" s="3" t="s">
        <v>614</v>
      </c>
      <c r="E1765" s="3" t="s">
        <v>118</v>
      </c>
      <c r="F1765" s="7">
        <v>45785.150870590856</v>
      </c>
      <c r="G1765" s="3" t="s">
        <v>6269</v>
      </c>
    </row>
    <row r="1766">
      <c r="A1766" s="3" t="s">
        <v>6270</v>
      </c>
      <c r="B1766" s="3" t="s">
        <v>2269</v>
      </c>
      <c r="C1766" s="5" t="s">
        <v>614</v>
      </c>
      <c r="D1766" s="3" t="s">
        <v>206</v>
      </c>
      <c r="E1766" s="3" t="s">
        <v>100</v>
      </c>
      <c r="F1766" s="7">
        <v>45785.15434281308</v>
      </c>
      <c r="G1766" s="3" t="s">
        <v>6272</v>
      </c>
    </row>
    <row r="1767">
      <c r="A1767" s="3" t="s">
        <v>6273</v>
      </c>
      <c r="B1767" s="3" t="s">
        <v>2269</v>
      </c>
      <c r="C1767" s="5" t="s">
        <v>206</v>
      </c>
      <c r="D1767" s="3" t="s">
        <v>68</v>
      </c>
      <c r="E1767" s="3" t="s">
        <v>100</v>
      </c>
      <c r="F1767" s="7">
        <v>45785.1578150353</v>
      </c>
      <c r="G1767" s="3" t="s">
        <v>6275</v>
      </c>
    </row>
    <row r="1768">
      <c r="A1768" s="3" t="s">
        <v>6276</v>
      </c>
      <c r="B1768" s="3" t="s">
        <v>2273</v>
      </c>
      <c r="C1768" s="5" t="s">
        <v>45</v>
      </c>
      <c r="D1768" s="3" t="s">
        <v>221</v>
      </c>
      <c r="E1768" s="3" t="s">
        <v>541</v>
      </c>
      <c r="F1768" s="7">
        <v>45785.21857321405</v>
      </c>
      <c r="G1768" s="3" t="s">
        <v>6277</v>
      </c>
    </row>
    <row r="1769">
      <c r="A1769" s="3" t="s">
        <v>6279</v>
      </c>
      <c r="B1769" s="3" t="s">
        <v>2273</v>
      </c>
      <c r="C1769" s="5" t="s">
        <v>221</v>
      </c>
      <c r="D1769" s="3" t="s">
        <v>614</v>
      </c>
      <c r="E1769" s="3" t="s">
        <v>118</v>
      </c>
      <c r="F1769" s="7">
        <v>45785.22204543627</v>
      </c>
      <c r="G1769" s="3" t="s">
        <v>6280</v>
      </c>
    </row>
    <row r="1770">
      <c r="A1770" s="3" t="s">
        <v>6282</v>
      </c>
      <c r="B1770" s="3" t="s">
        <v>2273</v>
      </c>
      <c r="C1770" s="5" t="s">
        <v>614</v>
      </c>
      <c r="D1770" s="3" t="s">
        <v>206</v>
      </c>
      <c r="E1770" s="3" t="s">
        <v>100</v>
      </c>
      <c r="F1770" s="7">
        <v>45785.225517658495</v>
      </c>
      <c r="G1770" s="3" t="s">
        <v>6283</v>
      </c>
    </row>
    <row r="1771">
      <c r="A1771" s="3" t="s">
        <v>6284</v>
      </c>
      <c r="B1771" s="3" t="s">
        <v>2273</v>
      </c>
      <c r="C1771" s="5" t="s">
        <v>206</v>
      </c>
      <c r="D1771" s="3" t="s">
        <v>68</v>
      </c>
      <c r="E1771" s="3" t="s">
        <v>100</v>
      </c>
      <c r="F1771" s="7">
        <v>45785.228989880714</v>
      </c>
      <c r="G1771" s="3" t="s">
        <v>6286</v>
      </c>
    </row>
    <row r="1772">
      <c r="A1772" s="3" t="s">
        <v>6287</v>
      </c>
      <c r="B1772" s="3" t="s">
        <v>2276</v>
      </c>
      <c r="C1772" s="5" t="s">
        <v>45</v>
      </c>
      <c r="D1772" s="3" t="s">
        <v>221</v>
      </c>
      <c r="E1772" s="3" t="s">
        <v>507</v>
      </c>
      <c r="F1772" s="7">
        <v>45785.28974805946</v>
      </c>
      <c r="G1772" s="3" t="s">
        <v>6289</v>
      </c>
    </row>
    <row r="1773">
      <c r="A1773" s="3" t="s">
        <v>6290</v>
      </c>
      <c r="B1773" s="3" t="s">
        <v>2276</v>
      </c>
      <c r="C1773" s="5" t="s">
        <v>221</v>
      </c>
      <c r="D1773" s="3" t="s">
        <v>614</v>
      </c>
      <c r="E1773" s="3" t="s">
        <v>118</v>
      </c>
      <c r="F1773" s="7">
        <v>45785.29322028168</v>
      </c>
      <c r="G1773" s="3" t="s">
        <v>6292</v>
      </c>
    </row>
    <row r="1774">
      <c r="A1774" s="3" t="s">
        <v>6293</v>
      </c>
      <c r="B1774" s="3" t="s">
        <v>2276</v>
      </c>
      <c r="C1774" s="5" t="s">
        <v>614</v>
      </c>
      <c r="D1774" s="3" t="s">
        <v>206</v>
      </c>
      <c r="E1774" s="3" t="s">
        <v>100</v>
      </c>
      <c r="F1774" s="7">
        <v>45785.29669250391</v>
      </c>
      <c r="G1774" s="3" t="s">
        <v>6295</v>
      </c>
    </row>
    <row r="1775">
      <c r="A1775" s="3" t="s">
        <v>6296</v>
      </c>
      <c r="B1775" s="3" t="s">
        <v>2276</v>
      </c>
      <c r="C1775" s="5" t="s">
        <v>206</v>
      </c>
      <c r="D1775" s="3" t="s">
        <v>68</v>
      </c>
      <c r="E1775" s="3" t="s">
        <v>100</v>
      </c>
      <c r="F1775" s="7">
        <v>45785.300164726126</v>
      </c>
      <c r="G1775" s="3" t="s">
        <v>6298</v>
      </c>
    </row>
    <row r="1776">
      <c r="A1776" s="3" t="s">
        <v>6299</v>
      </c>
      <c r="B1776" s="3" t="s">
        <v>2278</v>
      </c>
      <c r="C1776" s="5" t="s">
        <v>45</v>
      </c>
      <c r="D1776" s="3" t="s">
        <v>221</v>
      </c>
      <c r="E1776" s="3" t="s">
        <v>554</v>
      </c>
      <c r="F1776" s="7">
        <v>45785.36092290488</v>
      </c>
      <c r="G1776" s="3" t="s">
        <v>6300</v>
      </c>
    </row>
    <row r="1777">
      <c r="A1777" s="3" t="s">
        <v>6301</v>
      </c>
      <c r="B1777" s="3" t="s">
        <v>2278</v>
      </c>
      <c r="C1777" s="5" t="s">
        <v>221</v>
      </c>
      <c r="D1777" s="3" t="s">
        <v>614</v>
      </c>
      <c r="E1777" s="3" t="s">
        <v>118</v>
      </c>
      <c r="F1777" s="7">
        <v>45785.3643951271</v>
      </c>
      <c r="G1777" s="3" t="s">
        <v>6303</v>
      </c>
    </row>
    <row r="1778">
      <c r="A1778" s="3" t="s">
        <v>6304</v>
      </c>
      <c r="B1778" s="3" t="s">
        <v>2278</v>
      </c>
      <c r="C1778" s="5" t="s">
        <v>614</v>
      </c>
      <c r="D1778" s="3" t="s">
        <v>206</v>
      </c>
      <c r="E1778" s="3" t="s">
        <v>100</v>
      </c>
      <c r="F1778" s="7">
        <v>45785.36786734933</v>
      </c>
      <c r="G1778" s="3" t="s">
        <v>6305</v>
      </c>
    </row>
    <row r="1779">
      <c r="A1779" s="3" t="s">
        <v>6307</v>
      </c>
      <c r="B1779" s="3" t="s">
        <v>2278</v>
      </c>
      <c r="C1779" s="5" t="s">
        <v>206</v>
      </c>
      <c r="D1779" s="3" t="s">
        <v>68</v>
      </c>
      <c r="E1779" s="3" t="s">
        <v>100</v>
      </c>
      <c r="F1779" s="7">
        <v>45785.371339571546</v>
      </c>
      <c r="G1779" s="3" t="s">
        <v>6308</v>
      </c>
    </row>
    <row r="1780">
      <c r="A1780" s="3" t="s">
        <v>6309</v>
      </c>
      <c r="B1780" s="3" t="s">
        <v>2281</v>
      </c>
      <c r="C1780" s="5" t="s">
        <v>45</v>
      </c>
      <c r="D1780" s="3" t="s">
        <v>221</v>
      </c>
      <c r="E1780" s="3" t="s">
        <v>536</v>
      </c>
      <c r="F1780" s="7">
        <v>45785.432097750294</v>
      </c>
      <c r="G1780" s="3" t="s">
        <v>6311</v>
      </c>
    </row>
    <row r="1781">
      <c r="A1781" s="3" t="s">
        <v>6312</v>
      </c>
      <c r="B1781" s="3" t="s">
        <v>2281</v>
      </c>
      <c r="C1781" s="5" t="s">
        <v>221</v>
      </c>
      <c r="D1781" s="3" t="s">
        <v>181</v>
      </c>
      <c r="E1781" s="3" t="s">
        <v>118</v>
      </c>
      <c r="F1781" s="7">
        <v>45785.43556997251</v>
      </c>
      <c r="G1781" s="3" t="s">
        <v>6314</v>
      </c>
    </row>
    <row r="1782">
      <c r="A1782" s="3" t="s">
        <v>6315</v>
      </c>
      <c r="B1782" s="3" t="s">
        <v>2284</v>
      </c>
      <c r="C1782" s="5" t="s">
        <v>45</v>
      </c>
      <c r="D1782" s="3" t="s">
        <v>221</v>
      </c>
      <c r="E1782" s="3" t="s">
        <v>137</v>
      </c>
      <c r="F1782" s="7">
        <v>45785.503272595706</v>
      </c>
      <c r="G1782" s="3" t="s">
        <v>6317</v>
      </c>
    </row>
    <row r="1783">
      <c r="A1783" s="3" t="s">
        <v>6318</v>
      </c>
      <c r="B1783" s="3" t="s">
        <v>2284</v>
      </c>
      <c r="C1783" s="5" t="s">
        <v>221</v>
      </c>
      <c r="D1783" s="3" t="s">
        <v>614</v>
      </c>
      <c r="E1783" s="3" t="s">
        <v>118</v>
      </c>
      <c r="F1783" s="7">
        <v>45785.506744817925</v>
      </c>
      <c r="G1783" s="3" t="s">
        <v>6320</v>
      </c>
    </row>
    <row r="1784">
      <c r="A1784" s="3" t="s">
        <v>6321</v>
      </c>
      <c r="B1784" s="3" t="s">
        <v>2284</v>
      </c>
      <c r="C1784" s="5" t="s">
        <v>614</v>
      </c>
      <c r="D1784" s="3" t="s">
        <v>206</v>
      </c>
      <c r="E1784" s="3" t="s">
        <v>100</v>
      </c>
      <c r="F1784" s="7">
        <v>45785.51021704015</v>
      </c>
      <c r="G1784" s="3" t="s">
        <v>6322</v>
      </c>
    </row>
    <row r="1785">
      <c r="A1785" s="3" t="s">
        <v>6324</v>
      </c>
      <c r="B1785" s="3" t="s">
        <v>2284</v>
      </c>
      <c r="C1785" s="5" t="s">
        <v>206</v>
      </c>
      <c r="D1785" s="3" t="s">
        <v>68</v>
      </c>
      <c r="E1785" s="3" t="s">
        <v>100</v>
      </c>
      <c r="F1785" s="7">
        <v>45785.51368926237</v>
      </c>
      <c r="G1785" s="3" t="s">
        <v>6325</v>
      </c>
    </row>
    <row r="1786">
      <c r="A1786" s="3" t="s">
        <v>6326</v>
      </c>
      <c r="B1786" s="3" t="s">
        <v>2287</v>
      </c>
      <c r="C1786" s="5" t="s">
        <v>45</v>
      </c>
      <c r="D1786" s="3" t="s">
        <v>221</v>
      </c>
      <c r="E1786" s="3" t="s">
        <v>939</v>
      </c>
      <c r="F1786" s="7">
        <v>45785.574447441126</v>
      </c>
      <c r="G1786" s="3" t="s">
        <v>6328</v>
      </c>
    </row>
    <row r="1787">
      <c r="A1787" s="3" t="s">
        <v>6329</v>
      </c>
      <c r="B1787" s="3" t="s">
        <v>2287</v>
      </c>
      <c r="C1787" s="5" t="s">
        <v>221</v>
      </c>
      <c r="D1787" s="3" t="s">
        <v>614</v>
      </c>
      <c r="E1787" s="3" t="s">
        <v>118</v>
      </c>
      <c r="F1787" s="7">
        <v>45785.577919663345</v>
      </c>
      <c r="G1787" s="3" t="s">
        <v>6331</v>
      </c>
    </row>
    <row r="1788">
      <c r="A1788" s="3" t="s">
        <v>6332</v>
      </c>
      <c r="B1788" s="3" t="s">
        <v>2287</v>
      </c>
      <c r="C1788" s="5" t="s">
        <v>614</v>
      </c>
      <c r="D1788" s="3" t="s">
        <v>206</v>
      </c>
      <c r="E1788" s="3" t="s">
        <v>100</v>
      </c>
      <c r="F1788" s="7">
        <v>45785.58139188557</v>
      </c>
      <c r="G1788" s="3" t="s">
        <v>6334</v>
      </c>
    </row>
    <row r="1789">
      <c r="A1789" s="3" t="s">
        <v>6335</v>
      </c>
      <c r="B1789" s="3" t="s">
        <v>2287</v>
      </c>
      <c r="C1789" s="5" t="s">
        <v>206</v>
      </c>
      <c r="D1789" s="3" t="s">
        <v>68</v>
      </c>
      <c r="E1789" s="3" t="s">
        <v>100</v>
      </c>
      <c r="F1789" s="7">
        <v>45785.58486410779</v>
      </c>
      <c r="G1789" s="3" t="s">
        <v>6337</v>
      </c>
    </row>
    <row r="1790">
      <c r="A1790" s="3" t="s">
        <v>6338</v>
      </c>
      <c r="B1790" s="3" t="s">
        <v>2289</v>
      </c>
      <c r="C1790" s="5" t="s">
        <v>45</v>
      </c>
      <c r="D1790" s="3" t="s">
        <v>221</v>
      </c>
      <c r="E1790" s="3" t="s">
        <v>159</v>
      </c>
      <c r="F1790" s="7">
        <v>45785.64562228654</v>
      </c>
      <c r="G1790" s="3" t="s">
        <v>6340</v>
      </c>
    </row>
    <row r="1791">
      <c r="A1791" s="3" t="s">
        <v>6341</v>
      </c>
      <c r="B1791" s="3" t="s">
        <v>2289</v>
      </c>
      <c r="C1791" s="5" t="s">
        <v>221</v>
      </c>
      <c r="D1791" s="3" t="s">
        <v>614</v>
      </c>
      <c r="E1791" s="3" t="s">
        <v>118</v>
      </c>
      <c r="F1791" s="7">
        <v>45785.64909450876</v>
      </c>
      <c r="G1791" s="3" t="s">
        <v>6342</v>
      </c>
    </row>
    <row r="1792">
      <c r="A1792" s="3" t="s">
        <v>6343</v>
      </c>
      <c r="B1792" s="3" t="s">
        <v>2289</v>
      </c>
      <c r="C1792" s="5" t="s">
        <v>614</v>
      </c>
      <c r="D1792" s="3" t="s">
        <v>206</v>
      </c>
      <c r="E1792" s="3" t="s">
        <v>100</v>
      </c>
      <c r="F1792" s="7">
        <v>45785.65256673098</v>
      </c>
      <c r="G1792" s="3" t="s">
        <v>6345</v>
      </c>
    </row>
    <row r="1793">
      <c r="A1793" s="3" t="s">
        <v>6346</v>
      </c>
      <c r="B1793" s="3" t="s">
        <v>2289</v>
      </c>
      <c r="C1793" s="5" t="s">
        <v>206</v>
      </c>
      <c r="D1793" s="3" t="s">
        <v>68</v>
      </c>
      <c r="E1793" s="3" t="s">
        <v>100</v>
      </c>
      <c r="F1793" s="7">
        <v>45785.6560389532</v>
      </c>
      <c r="G1793" s="3" t="s">
        <v>6348</v>
      </c>
    </row>
    <row r="1794">
      <c r="A1794" s="3" t="s">
        <v>6349</v>
      </c>
      <c r="B1794" s="3" t="s">
        <v>2293</v>
      </c>
      <c r="C1794" s="5" t="s">
        <v>45</v>
      </c>
      <c r="D1794" s="3" t="s">
        <v>221</v>
      </c>
      <c r="E1794" s="3" t="s">
        <v>838</v>
      </c>
      <c r="F1794" s="7">
        <v>45785.71679713195</v>
      </c>
      <c r="G1794" s="3" t="s">
        <v>6351</v>
      </c>
    </row>
    <row r="1795">
      <c r="A1795" s="3" t="s">
        <v>6352</v>
      </c>
      <c r="B1795" s="3" t="s">
        <v>2293</v>
      </c>
      <c r="C1795" s="5" t="s">
        <v>221</v>
      </c>
      <c r="D1795" s="3" t="s">
        <v>614</v>
      </c>
      <c r="E1795" s="3" t="s">
        <v>118</v>
      </c>
      <c r="F1795" s="7">
        <v>45785.72026935417</v>
      </c>
      <c r="G1795" s="3" t="s">
        <v>6354</v>
      </c>
    </row>
    <row r="1796">
      <c r="A1796" s="3" t="s">
        <v>6355</v>
      </c>
      <c r="B1796" s="3" t="s">
        <v>2293</v>
      </c>
      <c r="C1796" s="5" t="s">
        <v>614</v>
      </c>
      <c r="D1796" s="3" t="s">
        <v>206</v>
      </c>
      <c r="E1796" s="3" t="s">
        <v>100</v>
      </c>
      <c r="F1796" s="7">
        <v>45785.723741576396</v>
      </c>
      <c r="G1796" s="3" t="s">
        <v>6357</v>
      </c>
    </row>
    <row r="1797">
      <c r="A1797" s="3" t="s">
        <v>6358</v>
      </c>
      <c r="B1797" s="3" t="s">
        <v>2293</v>
      </c>
      <c r="C1797" s="5" t="s">
        <v>206</v>
      </c>
      <c r="D1797" s="3" t="s">
        <v>68</v>
      </c>
      <c r="E1797" s="3" t="s">
        <v>100</v>
      </c>
      <c r="F1797" s="7">
        <v>45785.727213798615</v>
      </c>
      <c r="G1797" s="3" t="s">
        <v>6360</v>
      </c>
    </row>
    <row r="1798">
      <c r="A1798" s="3" t="s">
        <v>6361</v>
      </c>
      <c r="B1798" s="3" t="s">
        <v>2295</v>
      </c>
      <c r="C1798" s="5" t="s">
        <v>45</v>
      </c>
      <c r="D1798" s="3" t="s">
        <v>221</v>
      </c>
      <c r="E1798" s="3" t="s">
        <v>430</v>
      </c>
      <c r="F1798" s="7">
        <v>45785.78797197737</v>
      </c>
      <c r="G1798" s="3" t="s">
        <v>6363</v>
      </c>
    </row>
    <row r="1799">
      <c r="A1799" s="3" t="s">
        <v>6364</v>
      </c>
      <c r="B1799" s="3" t="s">
        <v>2295</v>
      </c>
      <c r="C1799" s="5" t="s">
        <v>221</v>
      </c>
      <c r="D1799" s="3" t="s">
        <v>614</v>
      </c>
      <c r="E1799" s="3" t="s">
        <v>118</v>
      </c>
      <c r="F1799" s="7">
        <v>45785.79144419959</v>
      </c>
      <c r="G1799" s="3" t="s">
        <v>6365</v>
      </c>
    </row>
    <row r="1800">
      <c r="A1800" s="3" t="s">
        <v>6367</v>
      </c>
      <c r="B1800" s="3" t="s">
        <v>2295</v>
      </c>
      <c r="C1800" s="5" t="s">
        <v>614</v>
      </c>
      <c r="D1800" s="3" t="s">
        <v>206</v>
      </c>
      <c r="E1800" s="3" t="s">
        <v>100</v>
      </c>
      <c r="F1800" s="7">
        <v>45785.794916421815</v>
      </c>
      <c r="G1800" s="3" t="s">
        <v>6368</v>
      </c>
    </row>
    <row r="1801">
      <c r="A1801" s="3" t="s">
        <v>6369</v>
      </c>
      <c r="B1801" s="3" t="s">
        <v>2295</v>
      </c>
      <c r="C1801" s="5" t="s">
        <v>206</v>
      </c>
      <c r="D1801" s="3" t="s">
        <v>68</v>
      </c>
      <c r="E1801" s="3" t="s">
        <v>100</v>
      </c>
      <c r="F1801" s="7">
        <v>45785.798388644034</v>
      </c>
      <c r="G1801" s="3" t="s">
        <v>6371</v>
      </c>
    </row>
    <row r="1802">
      <c r="A1802" s="3" t="s">
        <v>6372</v>
      </c>
      <c r="B1802" s="3" t="s">
        <v>2297</v>
      </c>
      <c r="C1802" s="5" t="s">
        <v>45</v>
      </c>
      <c r="D1802" s="3" t="s">
        <v>221</v>
      </c>
      <c r="E1802" s="3" t="s">
        <v>472</v>
      </c>
      <c r="F1802" s="7">
        <v>45785.85914682279</v>
      </c>
      <c r="G1802" s="3" t="s">
        <v>6374</v>
      </c>
    </row>
    <row r="1803">
      <c r="A1803" s="3" t="s">
        <v>6375</v>
      </c>
      <c r="B1803" s="3" t="s">
        <v>2297</v>
      </c>
      <c r="C1803" s="5" t="s">
        <v>221</v>
      </c>
      <c r="D1803" s="3" t="s">
        <v>195</v>
      </c>
      <c r="E1803" s="3" t="s">
        <v>472</v>
      </c>
      <c r="F1803" s="7">
        <v>45785.86261904501</v>
      </c>
      <c r="G1803" s="3" t="s">
        <v>6377</v>
      </c>
    </row>
    <row r="1804">
      <c r="A1804" s="3" t="s">
        <v>6378</v>
      </c>
      <c r="B1804" s="3" t="s">
        <v>2300</v>
      </c>
      <c r="C1804" s="5" t="s">
        <v>45</v>
      </c>
      <c r="D1804" s="3" t="s">
        <v>221</v>
      </c>
      <c r="E1804" s="3" t="s">
        <v>575</v>
      </c>
      <c r="F1804" s="7">
        <v>45785.930321668195</v>
      </c>
      <c r="G1804" s="3" t="s">
        <v>6380</v>
      </c>
    </row>
    <row r="1805">
      <c r="A1805" s="3" t="s">
        <v>6381</v>
      </c>
      <c r="B1805" s="3" t="s">
        <v>2300</v>
      </c>
      <c r="C1805" s="5" t="s">
        <v>221</v>
      </c>
      <c r="D1805" s="3" t="s">
        <v>614</v>
      </c>
      <c r="E1805" s="3" t="s">
        <v>118</v>
      </c>
      <c r="F1805" s="7">
        <v>45785.933793890414</v>
      </c>
      <c r="G1805" s="3" t="s">
        <v>6383</v>
      </c>
    </row>
    <row r="1806">
      <c r="A1806" s="3" t="s">
        <v>6384</v>
      </c>
      <c r="B1806" s="3" t="s">
        <v>2300</v>
      </c>
      <c r="C1806" s="5" t="s">
        <v>614</v>
      </c>
      <c r="D1806" s="3" t="s">
        <v>206</v>
      </c>
      <c r="E1806" s="3" t="s">
        <v>100</v>
      </c>
      <c r="F1806" s="7">
        <v>45785.93726611264</v>
      </c>
      <c r="G1806" s="3" t="s">
        <v>6386</v>
      </c>
    </row>
    <row r="1807">
      <c r="A1807" s="3" t="s">
        <v>6387</v>
      </c>
      <c r="B1807" s="3" t="s">
        <v>2300</v>
      </c>
      <c r="C1807" s="5" t="s">
        <v>206</v>
      </c>
      <c r="D1807" s="3" t="s">
        <v>68</v>
      </c>
      <c r="E1807" s="3" t="s">
        <v>100</v>
      </c>
      <c r="F1807" s="7">
        <v>45785.94073833486</v>
      </c>
      <c r="G1807" s="3" t="s">
        <v>6389</v>
      </c>
    </row>
    <row r="1808">
      <c r="A1808" s="3" t="s">
        <v>6390</v>
      </c>
      <c r="B1808" s="3" t="s">
        <v>2303</v>
      </c>
      <c r="C1808" s="5" t="s">
        <v>45</v>
      </c>
      <c r="D1808" s="3" t="s">
        <v>221</v>
      </c>
      <c r="E1808" s="3" t="s">
        <v>488</v>
      </c>
      <c r="F1808" s="7">
        <v>45786.001496513614</v>
      </c>
      <c r="G1808" s="3" t="s">
        <v>2770</v>
      </c>
    </row>
    <row r="1809">
      <c r="A1809" s="3" t="s">
        <v>6392</v>
      </c>
      <c r="B1809" s="3" t="s">
        <v>2303</v>
      </c>
      <c r="C1809" s="5" t="s">
        <v>221</v>
      </c>
      <c r="D1809" s="3" t="s">
        <v>181</v>
      </c>
      <c r="E1809" s="3" t="s">
        <v>118</v>
      </c>
      <c r="F1809" s="7">
        <v>45786.00496873583</v>
      </c>
      <c r="G1809" s="3" t="s">
        <v>2774</v>
      </c>
    </row>
    <row r="1810">
      <c r="A1810" s="3" t="s">
        <v>6394</v>
      </c>
      <c r="B1810" s="3" t="s">
        <v>2305</v>
      </c>
      <c r="C1810" s="5" t="s">
        <v>45</v>
      </c>
      <c r="D1810" s="3" t="s">
        <v>221</v>
      </c>
      <c r="E1810" s="3" t="s">
        <v>414</v>
      </c>
      <c r="F1810" s="7">
        <v>45786.072671359034</v>
      </c>
      <c r="G1810" s="3" t="s">
        <v>6396</v>
      </c>
    </row>
    <row r="1811">
      <c r="A1811" s="3" t="s">
        <v>6397</v>
      </c>
      <c r="B1811" s="3" t="s">
        <v>2305</v>
      </c>
      <c r="C1811" s="5" t="s">
        <v>221</v>
      </c>
      <c r="D1811" s="3" t="s">
        <v>614</v>
      </c>
      <c r="E1811" s="3" t="s">
        <v>118</v>
      </c>
      <c r="F1811" s="7">
        <v>45786.07614358125</v>
      </c>
      <c r="G1811" s="3" t="s">
        <v>6399</v>
      </c>
    </row>
    <row r="1812">
      <c r="A1812" s="3" t="s">
        <v>6400</v>
      </c>
      <c r="B1812" s="3" t="s">
        <v>2305</v>
      </c>
      <c r="C1812" s="5" t="s">
        <v>614</v>
      </c>
      <c r="D1812" s="3" t="s">
        <v>206</v>
      </c>
      <c r="E1812" s="3" t="s">
        <v>100</v>
      </c>
      <c r="F1812" s="7">
        <v>45786.07961580348</v>
      </c>
      <c r="G1812" s="3" t="s">
        <v>6402</v>
      </c>
    </row>
    <row r="1813">
      <c r="A1813" s="3" t="s">
        <v>6403</v>
      </c>
      <c r="B1813" s="3" t="s">
        <v>2305</v>
      </c>
      <c r="C1813" s="5" t="s">
        <v>206</v>
      </c>
      <c r="D1813" s="3" t="s">
        <v>68</v>
      </c>
      <c r="E1813" s="3" t="s">
        <v>100</v>
      </c>
      <c r="F1813" s="7">
        <v>45786.0830880257</v>
      </c>
      <c r="G1813" s="3" t="s">
        <v>6405</v>
      </c>
    </row>
    <row r="1814">
      <c r="A1814" s="3" t="s">
        <v>6406</v>
      </c>
      <c r="B1814" s="3" t="s">
        <v>2307</v>
      </c>
      <c r="C1814" s="5" t="s">
        <v>45</v>
      </c>
      <c r="D1814" s="3" t="s">
        <v>221</v>
      </c>
      <c r="E1814" s="3" t="s">
        <v>472</v>
      </c>
      <c r="F1814" s="7">
        <v>45786.143846204446</v>
      </c>
      <c r="G1814" s="3" t="s">
        <v>6408</v>
      </c>
    </row>
    <row r="1815">
      <c r="A1815" s="3" t="s">
        <v>6409</v>
      </c>
      <c r="B1815" s="3" t="s">
        <v>2307</v>
      </c>
      <c r="C1815" s="5" t="s">
        <v>221</v>
      </c>
      <c r="D1815" s="3" t="s">
        <v>614</v>
      </c>
      <c r="E1815" s="3" t="s">
        <v>118</v>
      </c>
      <c r="F1815" s="7">
        <v>45786.147318426665</v>
      </c>
      <c r="G1815" s="3" t="s">
        <v>6410</v>
      </c>
    </row>
    <row r="1816">
      <c r="A1816" s="3" t="s">
        <v>6412</v>
      </c>
      <c r="B1816" s="3" t="s">
        <v>2307</v>
      </c>
      <c r="C1816" s="5" t="s">
        <v>614</v>
      </c>
      <c r="D1816" s="3" t="s">
        <v>206</v>
      </c>
      <c r="E1816" s="3" t="s">
        <v>100</v>
      </c>
      <c r="F1816" s="7">
        <v>45786.15079064889</v>
      </c>
      <c r="G1816" s="3" t="s">
        <v>6413</v>
      </c>
    </row>
    <row r="1817">
      <c r="A1817" s="3" t="s">
        <v>6414</v>
      </c>
      <c r="B1817" s="3" t="s">
        <v>2307</v>
      </c>
      <c r="C1817" s="5" t="s">
        <v>206</v>
      </c>
      <c r="D1817" s="3" t="s">
        <v>68</v>
      </c>
      <c r="E1817" s="3" t="s">
        <v>100</v>
      </c>
      <c r="F1817" s="7">
        <v>45786.15426287111</v>
      </c>
      <c r="G1817" s="3" t="s">
        <v>6416</v>
      </c>
    </row>
    <row r="1818">
      <c r="A1818" s="3" t="s">
        <v>6417</v>
      </c>
      <c r="B1818" s="3" t="s">
        <v>2310</v>
      </c>
      <c r="C1818" s="5" t="s">
        <v>45</v>
      </c>
      <c r="D1818" s="3" t="s">
        <v>221</v>
      </c>
      <c r="E1818" s="3" t="s">
        <v>993</v>
      </c>
      <c r="F1818" s="7">
        <v>45786.21502104986</v>
      </c>
      <c r="G1818" s="3" t="s">
        <v>6419</v>
      </c>
    </row>
    <row r="1819">
      <c r="A1819" s="3" t="s">
        <v>6420</v>
      </c>
      <c r="B1819" s="3" t="s">
        <v>2310</v>
      </c>
      <c r="C1819" s="5" t="s">
        <v>221</v>
      </c>
      <c r="D1819" s="3" t="s">
        <v>614</v>
      </c>
      <c r="E1819" s="3" t="s">
        <v>118</v>
      </c>
      <c r="F1819" s="7">
        <v>45786.21849327208</v>
      </c>
      <c r="G1819" s="3" t="s">
        <v>6422</v>
      </c>
    </row>
    <row r="1820">
      <c r="A1820" s="3" t="s">
        <v>6423</v>
      </c>
      <c r="B1820" s="3" t="s">
        <v>2310</v>
      </c>
      <c r="C1820" s="5" t="s">
        <v>614</v>
      </c>
      <c r="D1820" s="3" t="s">
        <v>206</v>
      </c>
      <c r="E1820" s="3" t="s">
        <v>100</v>
      </c>
      <c r="F1820" s="7">
        <v>45786.221965494304</v>
      </c>
      <c r="G1820" s="3" t="s">
        <v>6425</v>
      </c>
    </row>
    <row r="1821">
      <c r="A1821" s="3" t="s">
        <v>6426</v>
      </c>
      <c r="B1821" s="3" t="s">
        <v>2310</v>
      </c>
      <c r="C1821" s="5" t="s">
        <v>206</v>
      </c>
      <c r="D1821" s="3" t="s">
        <v>68</v>
      </c>
      <c r="E1821" s="3" t="s">
        <v>100</v>
      </c>
      <c r="F1821" s="7">
        <v>45786.22543771652</v>
      </c>
      <c r="G1821" s="3" t="s">
        <v>6427</v>
      </c>
    </row>
    <row r="1822">
      <c r="A1822" s="3" t="s">
        <v>6429</v>
      </c>
      <c r="B1822" s="3" t="s">
        <v>2313</v>
      </c>
      <c r="C1822" s="5" t="s">
        <v>45</v>
      </c>
      <c r="D1822" s="3" t="s">
        <v>221</v>
      </c>
      <c r="E1822" s="3" t="s">
        <v>691</v>
      </c>
      <c r="F1822" s="7">
        <v>45786.28619589528</v>
      </c>
      <c r="G1822" s="3" t="s">
        <v>6430</v>
      </c>
    </row>
    <row r="1823">
      <c r="A1823" s="3" t="s">
        <v>6432</v>
      </c>
      <c r="B1823" s="3" t="s">
        <v>2313</v>
      </c>
      <c r="C1823" s="5" t="s">
        <v>221</v>
      </c>
      <c r="D1823" s="3" t="s">
        <v>614</v>
      </c>
      <c r="E1823" s="3" t="s">
        <v>118</v>
      </c>
      <c r="F1823" s="7">
        <v>45786.2896681175</v>
      </c>
      <c r="G1823" s="3" t="s">
        <v>6433</v>
      </c>
    </row>
    <row r="1824">
      <c r="A1824" s="3" t="s">
        <v>6434</v>
      </c>
      <c r="B1824" s="3" t="s">
        <v>2313</v>
      </c>
      <c r="C1824" s="5" t="s">
        <v>614</v>
      </c>
      <c r="D1824" s="3" t="s">
        <v>206</v>
      </c>
      <c r="E1824" s="3" t="s">
        <v>100</v>
      </c>
      <c r="F1824" s="7">
        <v>45786.29314033972</v>
      </c>
      <c r="G1824" s="3" t="s">
        <v>6436</v>
      </c>
    </row>
    <row r="1825">
      <c r="A1825" s="3" t="s">
        <v>6437</v>
      </c>
      <c r="B1825" s="3" t="s">
        <v>2313</v>
      </c>
      <c r="C1825" s="5" t="s">
        <v>206</v>
      </c>
      <c r="D1825" s="3" t="s">
        <v>68</v>
      </c>
      <c r="E1825" s="3" t="s">
        <v>100</v>
      </c>
      <c r="F1825" s="7">
        <v>45786.29661256194</v>
      </c>
      <c r="G1825" s="3" t="s">
        <v>6439</v>
      </c>
    </row>
    <row r="1826">
      <c r="A1826" s="3" t="s">
        <v>6440</v>
      </c>
      <c r="B1826" s="3" t="s">
        <v>2315</v>
      </c>
      <c r="C1826" s="5" t="s">
        <v>45</v>
      </c>
      <c r="D1826" s="3" t="s">
        <v>221</v>
      </c>
      <c r="E1826" s="3" t="s">
        <v>260</v>
      </c>
      <c r="F1826" s="7">
        <v>45786.35737074069</v>
      </c>
      <c r="G1826" s="3" t="s">
        <v>6442</v>
      </c>
    </row>
    <row r="1827">
      <c r="A1827" s="3" t="s">
        <v>6443</v>
      </c>
      <c r="B1827" s="3" t="s">
        <v>2315</v>
      </c>
      <c r="C1827" s="5" t="s">
        <v>221</v>
      </c>
      <c r="D1827" s="3" t="s">
        <v>614</v>
      </c>
      <c r="E1827" s="3" t="s">
        <v>118</v>
      </c>
      <c r="F1827" s="7">
        <v>45786.36084296291</v>
      </c>
      <c r="G1827" s="3" t="s">
        <v>6445</v>
      </c>
    </row>
    <row r="1828">
      <c r="A1828" s="3" t="s">
        <v>6446</v>
      </c>
      <c r="B1828" s="3" t="s">
        <v>2315</v>
      </c>
      <c r="C1828" s="5" t="s">
        <v>614</v>
      </c>
      <c r="D1828" s="3" t="s">
        <v>206</v>
      </c>
      <c r="E1828" s="3" t="s">
        <v>100</v>
      </c>
      <c r="F1828" s="7">
        <v>45786.364315185136</v>
      </c>
      <c r="G1828" s="3" t="s">
        <v>6448</v>
      </c>
    </row>
    <row r="1829">
      <c r="A1829" s="3" t="s">
        <v>6449</v>
      </c>
      <c r="B1829" s="3" t="s">
        <v>2315</v>
      </c>
      <c r="C1829" s="5" t="s">
        <v>206</v>
      </c>
      <c r="D1829" s="3" t="s">
        <v>68</v>
      </c>
      <c r="E1829" s="3" t="s">
        <v>100</v>
      </c>
      <c r="F1829" s="7">
        <v>45786.367787407355</v>
      </c>
      <c r="G1829" s="3" t="s">
        <v>6451</v>
      </c>
    </row>
    <row r="1830">
      <c r="A1830" s="3" t="s">
        <v>6452</v>
      </c>
      <c r="B1830" s="3" t="s">
        <v>2318</v>
      </c>
      <c r="C1830" s="5" t="s">
        <v>45</v>
      </c>
      <c r="D1830" s="3" t="s">
        <v>221</v>
      </c>
      <c r="E1830" s="3" t="s">
        <v>472</v>
      </c>
      <c r="F1830" s="7">
        <v>45786.4285455861</v>
      </c>
      <c r="G1830" s="3" t="s">
        <v>6374</v>
      </c>
    </row>
    <row r="1831">
      <c r="A1831" s="3" t="s">
        <v>6454</v>
      </c>
      <c r="B1831" s="3" t="s">
        <v>2318</v>
      </c>
      <c r="C1831" s="5" t="s">
        <v>221</v>
      </c>
      <c r="D1831" s="3" t="s">
        <v>614</v>
      </c>
      <c r="E1831" s="3" t="s">
        <v>118</v>
      </c>
      <c r="F1831" s="7">
        <v>45786.43201780832</v>
      </c>
      <c r="G1831" s="3" t="s">
        <v>6456</v>
      </c>
    </row>
    <row r="1832">
      <c r="A1832" s="3" t="s">
        <v>6457</v>
      </c>
      <c r="B1832" s="3" t="s">
        <v>2318</v>
      </c>
      <c r="C1832" s="5" t="s">
        <v>614</v>
      </c>
      <c r="D1832" s="3" t="s">
        <v>206</v>
      </c>
      <c r="E1832" s="3" t="s">
        <v>100</v>
      </c>
      <c r="F1832" s="7">
        <v>45786.43549003055</v>
      </c>
      <c r="G1832" s="3" t="s">
        <v>6458</v>
      </c>
    </row>
    <row r="1833">
      <c r="A1833" s="3" t="s">
        <v>6460</v>
      </c>
      <c r="B1833" s="3" t="s">
        <v>2318</v>
      </c>
      <c r="C1833" s="5" t="s">
        <v>206</v>
      </c>
      <c r="D1833" s="3" t="s">
        <v>68</v>
      </c>
      <c r="E1833" s="3" t="s">
        <v>100</v>
      </c>
      <c r="F1833" s="7">
        <v>45786.43896225277</v>
      </c>
      <c r="G1833" s="3" t="s">
        <v>6461</v>
      </c>
    </row>
    <row r="1834">
      <c r="A1834" s="3" t="s">
        <v>6462</v>
      </c>
      <c r="B1834" s="3" t="s">
        <v>2320</v>
      </c>
      <c r="C1834" s="5" t="s">
        <v>45</v>
      </c>
      <c r="D1834" s="3" t="s">
        <v>221</v>
      </c>
      <c r="E1834" s="3" t="s">
        <v>243</v>
      </c>
      <c r="F1834" s="7">
        <v>45786.49972043152</v>
      </c>
      <c r="G1834" s="3" t="s">
        <v>6464</v>
      </c>
    </row>
    <row r="1835">
      <c r="A1835" s="3" t="s">
        <v>6465</v>
      </c>
      <c r="B1835" s="3" t="s">
        <v>2320</v>
      </c>
      <c r="C1835" s="5" t="s">
        <v>221</v>
      </c>
      <c r="D1835" s="3" t="s">
        <v>614</v>
      </c>
      <c r="E1835" s="3" t="s">
        <v>118</v>
      </c>
      <c r="F1835" s="7">
        <v>45786.50319265374</v>
      </c>
      <c r="G1835" s="3" t="s">
        <v>6467</v>
      </c>
    </row>
    <row r="1836">
      <c r="A1836" s="3" t="s">
        <v>6469</v>
      </c>
      <c r="B1836" s="3" t="s">
        <v>2320</v>
      </c>
      <c r="C1836" s="5" t="s">
        <v>614</v>
      </c>
      <c r="D1836" s="3" t="s">
        <v>206</v>
      </c>
      <c r="E1836" s="3" t="s">
        <v>100</v>
      </c>
      <c r="F1836" s="7">
        <v>45786.50666487597</v>
      </c>
      <c r="G1836" s="3" t="s">
        <v>6470</v>
      </c>
    </row>
    <row r="1837">
      <c r="A1837" s="3" t="s">
        <v>6471</v>
      </c>
      <c r="B1837" s="3" t="s">
        <v>2320</v>
      </c>
      <c r="C1837" s="5" t="s">
        <v>206</v>
      </c>
      <c r="D1837" s="3" t="s">
        <v>68</v>
      </c>
      <c r="E1837" s="3" t="s">
        <v>100</v>
      </c>
      <c r="F1837" s="7">
        <v>45786.51013709819</v>
      </c>
      <c r="G1837" s="3" t="s">
        <v>6473</v>
      </c>
    </row>
    <row r="1838">
      <c r="A1838" s="3" t="s">
        <v>6474</v>
      </c>
      <c r="B1838" s="3" t="s">
        <v>2323</v>
      </c>
      <c r="C1838" s="5" t="s">
        <v>45</v>
      </c>
      <c r="D1838" s="3" t="s">
        <v>221</v>
      </c>
      <c r="E1838" s="3" t="s">
        <v>586</v>
      </c>
      <c r="F1838" s="7">
        <v>45786.570895276935</v>
      </c>
      <c r="G1838" s="3" t="s">
        <v>6476</v>
      </c>
    </row>
    <row r="1839">
      <c r="A1839" s="3" t="s">
        <v>6477</v>
      </c>
      <c r="B1839" s="3" t="s">
        <v>2323</v>
      </c>
      <c r="C1839" s="5" t="s">
        <v>221</v>
      </c>
      <c r="D1839" s="3" t="s">
        <v>614</v>
      </c>
      <c r="E1839" s="3" t="s">
        <v>118</v>
      </c>
      <c r="F1839" s="7">
        <v>45786.57436749915</v>
      </c>
      <c r="G1839" s="3" t="s">
        <v>6479</v>
      </c>
    </row>
    <row r="1840">
      <c r="A1840" s="3" t="s">
        <v>6480</v>
      </c>
      <c r="B1840" s="3" t="s">
        <v>2323</v>
      </c>
      <c r="C1840" s="5" t="s">
        <v>614</v>
      </c>
      <c r="D1840" s="3" t="s">
        <v>206</v>
      </c>
      <c r="E1840" s="3" t="s">
        <v>100</v>
      </c>
      <c r="F1840" s="7">
        <v>45786.57783972138</v>
      </c>
      <c r="G1840" s="3" t="s">
        <v>6482</v>
      </c>
    </row>
    <row r="1841">
      <c r="A1841" s="3" t="s">
        <v>6483</v>
      </c>
      <c r="B1841" s="3" t="s">
        <v>2323</v>
      </c>
      <c r="C1841" s="5" t="s">
        <v>206</v>
      </c>
      <c r="D1841" s="3" t="s">
        <v>68</v>
      </c>
      <c r="E1841" s="3" t="s">
        <v>100</v>
      </c>
      <c r="F1841" s="7">
        <v>45786.5813119436</v>
      </c>
      <c r="G1841" s="3" t="s">
        <v>6485</v>
      </c>
    </row>
    <row r="1842">
      <c r="A1842" s="3" t="s">
        <v>6486</v>
      </c>
      <c r="B1842" s="3" t="s">
        <v>2327</v>
      </c>
      <c r="C1842" s="5" t="s">
        <v>45</v>
      </c>
      <c r="D1842" s="3" t="s">
        <v>221</v>
      </c>
      <c r="E1842" s="3" t="s">
        <v>1021</v>
      </c>
      <c r="F1842" s="7">
        <v>45786.64207012235</v>
      </c>
      <c r="G1842" s="3" t="s">
        <v>6488</v>
      </c>
    </row>
    <row r="1843">
      <c r="A1843" s="3" t="s">
        <v>6489</v>
      </c>
      <c r="B1843" s="3" t="s">
        <v>2327</v>
      </c>
      <c r="C1843" s="5" t="s">
        <v>221</v>
      </c>
      <c r="D1843" s="3" t="s">
        <v>614</v>
      </c>
      <c r="E1843" s="3" t="s">
        <v>118</v>
      </c>
      <c r="F1843" s="7">
        <v>45786.645542344566</v>
      </c>
      <c r="G1843" s="3" t="s">
        <v>6490</v>
      </c>
    </row>
    <row r="1844">
      <c r="A1844" s="3" t="s">
        <v>6491</v>
      </c>
      <c r="B1844" s="3" t="s">
        <v>2327</v>
      </c>
      <c r="C1844" s="5" t="s">
        <v>614</v>
      </c>
      <c r="D1844" s="3" t="s">
        <v>206</v>
      </c>
      <c r="E1844" s="3" t="s">
        <v>100</v>
      </c>
      <c r="F1844" s="7">
        <v>45786.64901456679</v>
      </c>
      <c r="G1844" s="3" t="s">
        <v>6493</v>
      </c>
    </row>
    <row r="1845">
      <c r="A1845" s="3" t="s">
        <v>6494</v>
      </c>
      <c r="B1845" s="3" t="s">
        <v>2327</v>
      </c>
      <c r="C1845" s="5" t="s">
        <v>206</v>
      </c>
      <c r="D1845" s="3" t="s">
        <v>68</v>
      </c>
      <c r="E1845" s="3" t="s">
        <v>100</v>
      </c>
      <c r="F1845" s="7">
        <v>45786.65248678901</v>
      </c>
      <c r="G1845" s="3" t="s">
        <v>6496</v>
      </c>
    </row>
    <row r="1846">
      <c r="A1846" s="3" t="s">
        <v>6497</v>
      </c>
      <c r="B1846" s="3" t="s">
        <v>2331</v>
      </c>
      <c r="C1846" s="5" t="s">
        <v>45</v>
      </c>
      <c r="D1846" s="3" t="s">
        <v>221</v>
      </c>
      <c r="E1846" s="3" t="s">
        <v>406</v>
      </c>
      <c r="F1846" s="7">
        <v>45786.71324496777</v>
      </c>
      <c r="G1846" s="3" t="s">
        <v>6498</v>
      </c>
    </row>
    <row r="1847">
      <c r="A1847" s="3" t="s">
        <v>6500</v>
      </c>
      <c r="B1847" s="3" t="s">
        <v>2331</v>
      </c>
      <c r="C1847" s="5" t="s">
        <v>221</v>
      </c>
      <c r="D1847" s="3" t="s">
        <v>614</v>
      </c>
      <c r="E1847" s="3" t="s">
        <v>118</v>
      </c>
      <c r="F1847" s="7">
        <v>45786.716717189986</v>
      </c>
      <c r="G1847" s="3" t="s">
        <v>6501</v>
      </c>
    </row>
    <row r="1848">
      <c r="A1848" s="3" t="s">
        <v>6503</v>
      </c>
      <c r="B1848" s="3" t="s">
        <v>2331</v>
      </c>
      <c r="C1848" s="5" t="s">
        <v>614</v>
      </c>
      <c r="D1848" s="3" t="s">
        <v>206</v>
      </c>
      <c r="E1848" s="3" t="s">
        <v>100</v>
      </c>
      <c r="F1848" s="7">
        <v>45786.72018941221</v>
      </c>
      <c r="G1848" s="3" t="s">
        <v>6504</v>
      </c>
    </row>
    <row r="1849">
      <c r="A1849" s="3" t="s">
        <v>6505</v>
      </c>
      <c r="B1849" s="3" t="s">
        <v>2331</v>
      </c>
      <c r="C1849" s="5" t="s">
        <v>206</v>
      </c>
      <c r="D1849" s="3" t="s">
        <v>68</v>
      </c>
      <c r="E1849" s="3" t="s">
        <v>100</v>
      </c>
      <c r="F1849" s="7">
        <v>45786.72366163443</v>
      </c>
      <c r="G1849" s="3" t="s">
        <v>6507</v>
      </c>
    </row>
    <row r="1850">
      <c r="A1850" s="3" t="s">
        <v>6508</v>
      </c>
      <c r="B1850" s="3" t="s">
        <v>2334</v>
      </c>
      <c r="C1850" s="5" t="s">
        <v>45</v>
      </c>
      <c r="D1850" s="3" t="s">
        <v>221</v>
      </c>
      <c r="E1850" s="3" t="s">
        <v>911</v>
      </c>
      <c r="F1850" s="7">
        <v>45786.78441981318</v>
      </c>
      <c r="G1850" s="3" t="s">
        <v>6510</v>
      </c>
    </row>
    <row r="1851">
      <c r="A1851" s="3" t="s">
        <v>6511</v>
      </c>
      <c r="B1851" s="3" t="s">
        <v>2334</v>
      </c>
      <c r="C1851" s="5" t="s">
        <v>221</v>
      </c>
      <c r="D1851" s="3" t="s">
        <v>614</v>
      </c>
      <c r="E1851" s="3" t="s">
        <v>118</v>
      </c>
      <c r="F1851" s="7">
        <v>45786.7878920354</v>
      </c>
      <c r="G1851" s="3" t="s">
        <v>6513</v>
      </c>
    </row>
    <row r="1852">
      <c r="A1852" s="3" t="s">
        <v>6514</v>
      </c>
      <c r="B1852" s="3" t="s">
        <v>2334</v>
      </c>
      <c r="C1852" s="5" t="s">
        <v>614</v>
      </c>
      <c r="D1852" s="3" t="s">
        <v>206</v>
      </c>
      <c r="E1852" s="3" t="s">
        <v>100</v>
      </c>
      <c r="F1852" s="7">
        <v>45786.791364257624</v>
      </c>
      <c r="G1852" s="3" t="s">
        <v>6516</v>
      </c>
    </row>
    <row r="1853">
      <c r="A1853" s="3" t="s">
        <v>6517</v>
      </c>
      <c r="B1853" s="3" t="s">
        <v>2334</v>
      </c>
      <c r="C1853" s="5" t="s">
        <v>206</v>
      </c>
      <c r="D1853" s="3" t="s">
        <v>68</v>
      </c>
      <c r="E1853" s="3" t="s">
        <v>100</v>
      </c>
      <c r="F1853" s="7">
        <v>45786.79483647984</v>
      </c>
      <c r="G1853" s="3" t="s">
        <v>6519</v>
      </c>
    </row>
    <row r="1854">
      <c r="A1854" s="3" t="s">
        <v>6520</v>
      </c>
      <c r="B1854" s="3" t="s">
        <v>2336</v>
      </c>
      <c r="C1854" s="5" t="s">
        <v>45</v>
      </c>
      <c r="D1854" s="3" t="s">
        <v>221</v>
      </c>
      <c r="E1854" s="3" t="s">
        <v>208</v>
      </c>
      <c r="F1854" s="7">
        <v>45786.85559465859</v>
      </c>
      <c r="G1854" s="3" t="s">
        <v>6522</v>
      </c>
    </row>
    <row r="1855">
      <c r="A1855" s="3" t="s">
        <v>6523</v>
      </c>
      <c r="B1855" s="3" t="s">
        <v>2336</v>
      </c>
      <c r="C1855" s="5" t="s">
        <v>221</v>
      </c>
      <c r="D1855" s="3" t="s">
        <v>614</v>
      </c>
      <c r="E1855" s="3" t="s">
        <v>118</v>
      </c>
      <c r="F1855" s="7">
        <v>45786.85906688081</v>
      </c>
      <c r="G1855" s="3" t="s">
        <v>6524</v>
      </c>
    </row>
    <row r="1856">
      <c r="A1856" s="3" t="s">
        <v>6526</v>
      </c>
      <c r="B1856" s="3" t="s">
        <v>2336</v>
      </c>
      <c r="C1856" s="5" t="s">
        <v>614</v>
      </c>
      <c r="D1856" s="3" t="s">
        <v>206</v>
      </c>
      <c r="E1856" s="3" t="s">
        <v>100</v>
      </c>
      <c r="F1856" s="7">
        <v>45786.86253910304</v>
      </c>
      <c r="G1856" s="3" t="s">
        <v>6527</v>
      </c>
    </row>
    <row r="1857">
      <c r="A1857" s="3" t="s">
        <v>6529</v>
      </c>
      <c r="B1857" s="3" t="s">
        <v>2336</v>
      </c>
      <c r="C1857" s="5" t="s">
        <v>206</v>
      </c>
      <c r="D1857" s="3" t="s">
        <v>68</v>
      </c>
      <c r="E1857" s="3" t="s">
        <v>100</v>
      </c>
      <c r="F1857" s="7">
        <v>45786.866011325255</v>
      </c>
      <c r="G1857" s="3" t="s">
        <v>6530</v>
      </c>
    </row>
    <row r="1858">
      <c r="A1858" s="3" t="s">
        <v>6531</v>
      </c>
      <c r="B1858" s="3" t="s">
        <v>2340</v>
      </c>
      <c r="C1858" s="5" t="s">
        <v>45</v>
      </c>
      <c r="D1858" s="3" t="s">
        <v>221</v>
      </c>
      <c r="E1858" s="3" t="s">
        <v>689</v>
      </c>
      <c r="F1858" s="7">
        <v>45786.92676950401</v>
      </c>
      <c r="G1858" s="3" t="s">
        <v>6533</v>
      </c>
    </row>
    <row r="1859">
      <c r="A1859" s="3" t="s">
        <v>6534</v>
      </c>
      <c r="B1859" s="3" t="s">
        <v>2340</v>
      </c>
      <c r="C1859" s="5" t="s">
        <v>221</v>
      </c>
      <c r="D1859" s="3" t="s">
        <v>614</v>
      </c>
      <c r="E1859" s="3" t="s">
        <v>118</v>
      </c>
      <c r="F1859" s="7">
        <v>45786.93024172623</v>
      </c>
      <c r="G1859" s="3" t="s">
        <v>6536</v>
      </c>
    </row>
    <row r="1860">
      <c r="A1860" s="3" t="s">
        <v>6537</v>
      </c>
      <c r="B1860" s="3" t="s">
        <v>2340</v>
      </c>
      <c r="C1860" s="5" t="s">
        <v>614</v>
      </c>
      <c r="D1860" s="3" t="s">
        <v>206</v>
      </c>
      <c r="E1860" s="3" t="s">
        <v>100</v>
      </c>
      <c r="F1860" s="7">
        <v>45786.933713948456</v>
      </c>
      <c r="G1860" s="3" t="s">
        <v>6539</v>
      </c>
    </row>
    <row r="1861">
      <c r="A1861" s="3" t="s">
        <v>6540</v>
      </c>
      <c r="B1861" s="3" t="s">
        <v>2340</v>
      </c>
      <c r="C1861" s="5" t="s">
        <v>206</v>
      </c>
      <c r="D1861" s="3" t="s">
        <v>68</v>
      </c>
      <c r="E1861" s="3" t="s">
        <v>100</v>
      </c>
      <c r="F1861" s="7">
        <v>45786.937186170675</v>
      </c>
      <c r="G1861" s="3" t="s">
        <v>6542</v>
      </c>
    </row>
    <row r="1862">
      <c r="A1862" s="3" t="s">
        <v>6543</v>
      </c>
      <c r="B1862" s="3" t="s">
        <v>2343</v>
      </c>
      <c r="C1862" s="5" t="s">
        <v>45</v>
      </c>
      <c r="D1862" s="3" t="s">
        <v>221</v>
      </c>
      <c r="E1862" s="3" t="s">
        <v>290</v>
      </c>
      <c r="F1862" s="7">
        <v>45786.99794434943</v>
      </c>
      <c r="G1862" s="3" t="s">
        <v>6545</v>
      </c>
    </row>
    <row r="1863">
      <c r="A1863" s="3" t="s">
        <v>6546</v>
      </c>
      <c r="B1863" s="3" t="s">
        <v>2343</v>
      </c>
      <c r="C1863" s="5" t="s">
        <v>221</v>
      </c>
      <c r="D1863" s="3" t="s">
        <v>614</v>
      </c>
      <c r="E1863" s="3" t="s">
        <v>118</v>
      </c>
      <c r="F1863" s="7">
        <v>45787.00141657165</v>
      </c>
      <c r="G1863" s="3" t="s">
        <v>6548</v>
      </c>
    </row>
    <row r="1864">
      <c r="A1864" s="3" t="s">
        <v>6549</v>
      </c>
      <c r="B1864" s="3" t="s">
        <v>2343</v>
      </c>
      <c r="C1864" s="5" t="s">
        <v>614</v>
      </c>
      <c r="D1864" s="3" t="s">
        <v>206</v>
      </c>
      <c r="E1864" s="3" t="s">
        <v>100</v>
      </c>
      <c r="F1864" s="7">
        <v>45787.004888793876</v>
      </c>
      <c r="G1864" s="3" t="s">
        <v>6550</v>
      </c>
    </row>
    <row r="1865">
      <c r="A1865" s="3" t="s">
        <v>6552</v>
      </c>
      <c r="B1865" s="3" t="s">
        <v>2343</v>
      </c>
      <c r="C1865" s="5" t="s">
        <v>206</v>
      </c>
      <c r="D1865" s="3" t="s">
        <v>68</v>
      </c>
      <c r="E1865" s="3" t="s">
        <v>100</v>
      </c>
      <c r="F1865" s="7">
        <v>45787.008361016095</v>
      </c>
      <c r="G1865" s="3" t="s">
        <v>6553</v>
      </c>
    </row>
    <row r="1866">
      <c r="A1866" s="3" t="s">
        <v>6554</v>
      </c>
      <c r="B1866" s="3" t="s">
        <v>2345</v>
      </c>
      <c r="C1866" s="5" t="s">
        <v>45</v>
      </c>
      <c r="D1866" s="3" t="s">
        <v>221</v>
      </c>
      <c r="E1866" s="3" t="s">
        <v>682</v>
      </c>
      <c r="F1866" s="7">
        <v>45787.069119194835</v>
      </c>
      <c r="G1866" s="3" t="s">
        <v>6556</v>
      </c>
    </row>
    <row r="1867">
      <c r="A1867" s="3" t="s">
        <v>6557</v>
      </c>
      <c r="B1867" s="3" t="s">
        <v>2345</v>
      </c>
      <c r="C1867" s="5" t="s">
        <v>221</v>
      </c>
      <c r="D1867" s="3" t="s">
        <v>614</v>
      </c>
      <c r="E1867" s="3" t="s">
        <v>118</v>
      </c>
      <c r="F1867" s="7">
        <v>45787.072591417054</v>
      </c>
      <c r="G1867" s="3" t="s">
        <v>6559</v>
      </c>
    </row>
    <row r="1868">
      <c r="A1868" s="3" t="s">
        <v>6560</v>
      </c>
      <c r="B1868" s="3" t="s">
        <v>2345</v>
      </c>
      <c r="C1868" s="5" t="s">
        <v>614</v>
      </c>
      <c r="D1868" s="3" t="s">
        <v>206</v>
      </c>
      <c r="E1868" s="3" t="s">
        <v>100</v>
      </c>
      <c r="F1868" s="7">
        <v>45787.07606363928</v>
      </c>
      <c r="G1868" s="3" t="s">
        <v>6562</v>
      </c>
    </row>
    <row r="1869">
      <c r="A1869" s="3" t="s">
        <v>6563</v>
      </c>
      <c r="B1869" s="3" t="s">
        <v>2345</v>
      </c>
      <c r="C1869" s="5" t="s">
        <v>206</v>
      </c>
      <c r="D1869" s="3" t="s">
        <v>68</v>
      </c>
      <c r="E1869" s="3" t="s">
        <v>100</v>
      </c>
      <c r="F1869" s="7">
        <v>45787.0795358615</v>
      </c>
      <c r="G1869" s="3" t="s">
        <v>6565</v>
      </c>
    </row>
    <row r="1870">
      <c r="A1870" s="3" t="s">
        <v>6566</v>
      </c>
      <c r="B1870" s="3" t="s">
        <v>2349</v>
      </c>
      <c r="C1870" s="5" t="s">
        <v>45</v>
      </c>
      <c r="D1870" s="3" t="s">
        <v>221</v>
      </c>
      <c r="E1870" s="3" t="s">
        <v>713</v>
      </c>
      <c r="F1870" s="7">
        <v>45787.140294040255</v>
      </c>
      <c r="G1870" s="3" t="s">
        <v>6568</v>
      </c>
    </row>
    <row r="1871">
      <c r="A1871" s="3" t="s">
        <v>6569</v>
      </c>
      <c r="B1871" s="3" t="s">
        <v>2349</v>
      </c>
      <c r="C1871" s="5" t="s">
        <v>221</v>
      </c>
      <c r="D1871" s="3" t="s">
        <v>614</v>
      </c>
      <c r="E1871" s="3" t="s">
        <v>118</v>
      </c>
      <c r="F1871" s="7">
        <v>45787.143766262474</v>
      </c>
      <c r="G1871" s="3" t="s">
        <v>6570</v>
      </c>
    </row>
    <row r="1872">
      <c r="A1872" s="3" t="s">
        <v>6572</v>
      </c>
      <c r="B1872" s="3" t="s">
        <v>2349</v>
      </c>
      <c r="C1872" s="5" t="s">
        <v>614</v>
      </c>
      <c r="D1872" s="3" t="s">
        <v>206</v>
      </c>
      <c r="E1872" s="3" t="s">
        <v>100</v>
      </c>
      <c r="F1872" s="7">
        <v>45787.1472384847</v>
      </c>
      <c r="G1872" s="3" t="s">
        <v>6573</v>
      </c>
    </row>
    <row r="1873">
      <c r="A1873" s="3" t="s">
        <v>6575</v>
      </c>
      <c r="B1873" s="3" t="s">
        <v>2349</v>
      </c>
      <c r="C1873" s="5" t="s">
        <v>206</v>
      </c>
      <c r="D1873" s="3" t="s">
        <v>68</v>
      </c>
      <c r="E1873" s="3" t="s">
        <v>100</v>
      </c>
      <c r="F1873" s="7">
        <v>45787.15071070692</v>
      </c>
      <c r="G1873" s="3" t="s">
        <v>6576</v>
      </c>
    </row>
    <row r="1874">
      <c r="A1874" s="3" t="s">
        <v>6577</v>
      </c>
      <c r="B1874" s="3" t="s">
        <v>2352</v>
      </c>
      <c r="C1874" s="5" t="s">
        <v>45</v>
      </c>
      <c r="D1874" s="3" t="s">
        <v>221</v>
      </c>
      <c r="E1874" s="3" t="s">
        <v>900</v>
      </c>
      <c r="F1874" s="7">
        <v>45787.211468885675</v>
      </c>
      <c r="G1874" s="3" t="s">
        <v>6579</v>
      </c>
    </row>
    <row r="1875">
      <c r="A1875" s="3" t="s">
        <v>6581</v>
      </c>
      <c r="B1875" s="3" t="s">
        <v>2352</v>
      </c>
      <c r="C1875" s="5" t="s">
        <v>221</v>
      </c>
      <c r="D1875" s="3" t="s">
        <v>614</v>
      </c>
      <c r="E1875" s="3" t="s">
        <v>118</v>
      </c>
      <c r="F1875" s="7">
        <v>45787.21494110789</v>
      </c>
      <c r="G1875" s="3" t="s">
        <v>6582</v>
      </c>
    </row>
    <row r="1876">
      <c r="A1876" s="3" t="s">
        <v>6583</v>
      </c>
      <c r="B1876" s="3" t="s">
        <v>2352</v>
      </c>
      <c r="C1876" s="5" t="s">
        <v>614</v>
      </c>
      <c r="D1876" s="3" t="s">
        <v>206</v>
      </c>
      <c r="E1876" s="3" t="s">
        <v>100</v>
      </c>
      <c r="F1876" s="7">
        <v>45787.21841333012</v>
      </c>
      <c r="G1876" s="3" t="s">
        <v>6585</v>
      </c>
    </row>
    <row r="1877">
      <c r="A1877" s="3" t="s">
        <v>6586</v>
      </c>
      <c r="B1877" s="3" t="s">
        <v>2352</v>
      </c>
      <c r="C1877" s="5" t="s">
        <v>206</v>
      </c>
      <c r="D1877" s="3" t="s">
        <v>68</v>
      </c>
      <c r="E1877" s="3" t="s">
        <v>100</v>
      </c>
      <c r="F1877" s="7">
        <v>45787.22188555234</v>
      </c>
      <c r="G1877" s="3" t="s">
        <v>6588</v>
      </c>
    </row>
    <row r="1878">
      <c r="A1878" s="3" t="s">
        <v>6589</v>
      </c>
      <c r="B1878" s="3" t="s">
        <v>2355</v>
      </c>
      <c r="C1878" s="5" t="s">
        <v>45</v>
      </c>
      <c r="D1878" s="3" t="s">
        <v>221</v>
      </c>
      <c r="E1878" s="3" t="s">
        <v>250</v>
      </c>
      <c r="F1878" s="7">
        <v>45787.28264373109</v>
      </c>
      <c r="G1878" s="3" t="s">
        <v>6591</v>
      </c>
    </row>
    <row r="1879">
      <c r="A1879" s="3" t="s">
        <v>6592</v>
      </c>
      <c r="B1879" s="3" t="s">
        <v>2355</v>
      </c>
      <c r="C1879" s="5" t="s">
        <v>221</v>
      </c>
      <c r="D1879" s="3" t="s">
        <v>614</v>
      </c>
      <c r="E1879" s="3" t="s">
        <v>118</v>
      </c>
      <c r="F1879" s="7">
        <v>45787.286115953306</v>
      </c>
      <c r="G1879" s="3" t="s">
        <v>6594</v>
      </c>
    </row>
    <row r="1880">
      <c r="A1880" s="3" t="s">
        <v>6595</v>
      </c>
      <c r="B1880" s="3" t="s">
        <v>2355</v>
      </c>
      <c r="C1880" s="5" t="s">
        <v>614</v>
      </c>
      <c r="D1880" s="3" t="s">
        <v>206</v>
      </c>
      <c r="E1880" s="3" t="s">
        <v>100</v>
      </c>
      <c r="F1880" s="7">
        <v>45787.28958817553</v>
      </c>
      <c r="G1880" s="3" t="s">
        <v>6597</v>
      </c>
    </row>
    <row r="1881">
      <c r="A1881" s="3" t="s">
        <v>6598</v>
      </c>
      <c r="B1881" s="3" t="s">
        <v>2355</v>
      </c>
      <c r="C1881" s="5" t="s">
        <v>206</v>
      </c>
      <c r="D1881" s="3" t="s">
        <v>68</v>
      </c>
      <c r="E1881" s="3" t="s">
        <v>100</v>
      </c>
      <c r="F1881" s="7">
        <v>45787.29306039775</v>
      </c>
      <c r="G1881" s="3" t="s">
        <v>6599</v>
      </c>
    </row>
    <row r="1882">
      <c r="A1882" s="3" t="s">
        <v>6601</v>
      </c>
      <c r="B1882" s="3" t="s">
        <v>2357</v>
      </c>
      <c r="C1882" s="5" t="s">
        <v>45</v>
      </c>
      <c r="D1882" s="3" t="s">
        <v>221</v>
      </c>
      <c r="E1882" s="3" t="s">
        <v>565</v>
      </c>
      <c r="F1882" s="7">
        <v>45787.3538185765</v>
      </c>
      <c r="G1882" s="3" t="s">
        <v>6602</v>
      </c>
    </row>
    <row r="1883">
      <c r="A1883" s="3" t="s">
        <v>6604</v>
      </c>
      <c r="B1883" s="3" t="s">
        <v>2357</v>
      </c>
      <c r="C1883" s="5" t="s">
        <v>221</v>
      </c>
      <c r="D1883" s="3" t="s">
        <v>614</v>
      </c>
      <c r="E1883" s="3" t="s">
        <v>118</v>
      </c>
      <c r="F1883" s="7">
        <v>45787.35729079872</v>
      </c>
      <c r="G1883" s="3" t="s">
        <v>6605</v>
      </c>
    </row>
    <row r="1884">
      <c r="A1884" s="3" t="s">
        <v>6607</v>
      </c>
      <c r="B1884" s="3" t="s">
        <v>2357</v>
      </c>
      <c r="C1884" s="5" t="s">
        <v>614</v>
      </c>
      <c r="D1884" s="3" t="s">
        <v>206</v>
      </c>
      <c r="E1884" s="3" t="s">
        <v>100</v>
      </c>
      <c r="F1884" s="7">
        <v>45787.360763020944</v>
      </c>
      <c r="G1884" s="3" t="s">
        <v>6608</v>
      </c>
    </row>
    <row r="1885">
      <c r="A1885" s="3" t="s">
        <v>6609</v>
      </c>
      <c r="B1885" s="3" t="s">
        <v>2357</v>
      </c>
      <c r="C1885" s="5" t="s">
        <v>206</v>
      </c>
      <c r="D1885" s="3" t="s">
        <v>68</v>
      </c>
      <c r="E1885" s="3" t="s">
        <v>100</v>
      </c>
      <c r="F1885" s="7">
        <v>45787.36423524316</v>
      </c>
      <c r="G1885" s="3" t="s">
        <v>6611</v>
      </c>
    </row>
    <row r="1886">
      <c r="A1886" s="3" t="s">
        <v>6612</v>
      </c>
      <c r="B1886" s="3" t="s">
        <v>2361</v>
      </c>
      <c r="C1886" s="5" t="s">
        <v>45</v>
      </c>
      <c r="D1886" s="3" t="s">
        <v>221</v>
      </c>
      <c r="E1886" s="3" t="s">
        <v>929</v>
      </c>
      <c r="F1886" s="7">
        <v>45787.42499342192</v>
      </c>
      <c r="G1886" s="3" t="s">
        <v>6614</v>
      </c>
    </row>
    <row r="1887">
      <c r="A1887" s="3" t="s">
        <v>6615</v>
      </c>
      <c r="B1887" s="3" t="s">
        <v>2361</v>
      </c>
      <c r="C1887" s="5" t="s">
        <v>221</v>
      </c>
      <c r="D1887" s="3" t="s">
        <v>614</v>
      </c>
      <c r="E1887" s="3" t="s">
        <v>118</v>
      </c>
      <c r="F1887" s="7">
        <v>45787.42846564414</v>
      </c>
      <c r="G1887" s="3" t="s">
        <v>6617</v>
      </c>
    </row>
    <row r="1888">
      <c r="A1888" s="3" t="s">
        <v>6618</v>
      </c>
      <c r="B1888" s="3" t="s">
        <v>2361</v>
      </c>
      <c r="C1888" s="5" t="s">
        <v>614</v>
      </c>
      <c r="D1888" s="3" t="s">
        <v>206</v>
      </c>
      <c r="E1888" s="3" t="s">
        <v>100</v>
      </c>
      <c r="F1888" s="7">
        <v>45787.431937866364</v>
      </c>
      <c r="G1888" s="3" t="s">
        <v>6619</v>
      </c>
    </row>
    <row r="1889">
      <c r="A1889" s="3" t="s">
        <v>6620</v>
      </c>
      <c r="B1889" s="3" t="s">
        <v>2361</v>
      </c>
      <c r="C1889" s="5" t="s">
        <v>206</v>
      </c>
      <c r="D1889" s="3" t="s">
        <v>68</v>
      </c>
      <c r="E1889" s="3" t="s">
        <v>100</v>
      </c>
      <c r="F1889" s="7">
        <v>45787.43541008858</v>
      </c>
      <c r="G1889" s="3" t="s">
        <v>6622</v>
      </c>
    </row>
    <row r="1890">
      <c r="A1890" s="3" t="s">
        <v>6623</v>
      </c>
      <c r="B1890" s="3" t="s">
        <v>2366</v>
      </c>
      <c r="C1890" s="5" t="s">
        <v>45</v>
      </c>
      <c r="D1890" s="3" t="s">
        <v>221</v>
      </c>
      <c r="E1890" s="3" t="s">
        <v>717</v>
      </c>
      <c r="F1890" s="7">
        <v>45787.49616826733</v>
      </c>
      <c r="G1890" s="3" t="s">
        <v>6625</v>
      </c>
    </row>
    <row r="1891">
      <c r="A1891" s="3" t="s">
        <v>6626</v>
      </c>
      <c r="B1891" s="3" t="s">
        <v>2366</v>
      </c>
      <c r="C1891" s="5" t="s">
        <v>221</v>
      </c>
      <c r="D1891" s="3" t="s">
        <v>614</v>
      </c>
      <c r="E1891" s="3" t="s">
        <v>118</v>
      </c>
      <c r="F1891" s="7">
        <v>45787.49964048955</v>
      </c>
      <c r="G1891" s="3" t="s">
        <v>6628</v>
      </c>
    </row>
    <row r="1892">
      <c r="A1892" s="3" t="s">
        <v>6629</v>
      </c>
      <c r="B1892" s="3" t="s">
        <v>2366</v>
      </c>
      <c r="C1892" s="5" t="s">
        <v>614</v>
      </c>
      <c r="D1892" s="3" t="s">
        <v>206</v>
      </c>
      <c r="E1892" s="3" t="s">
        <v>100</v>
      </c>
      <c r="F1892" s="7">
        <v>45787.503112711776</v>
      </c>
      <c r="G1892" s="3" t="s">
        <v>6631</v>
      </c>
    </row>
    <row r="1893">
      <c r="A1893" s="3" t="s">
        <v>6632</v>
      </c>
      <c r="B1893" s="3" t="s">
        <v>2366</v>
      </c>
      <c r="C1893" s="5" t="s">
        <v>206</v>
      </c>
      <c r="D1893" s="3" t="s">
        <v>68</v>
      </c>
      <c r="E1893" s="3" t="s">
        <v>100</v>
      </c>
      <c r="F1893" s="7">
        <v>45787.506584933995</v>
      </c>
      <c r="G1893" s="3" t="s">
        <v>6634</v>
      </c>
    </row>
    <row r="1894">
      <c r="A1894" s="3" t="s">
        <v>6635</v>
      </c>
      <c r="B1894" s="3" t="s">
        <v>2368</v>
      </c>
      <c r="C1894" s="5" t="s">
        <v>45</v>
      </c>
      <c r="D1894" s="3" t="s">
        <v>221</v>
      </c>
      <c r="E1894" s="3" t="s">
        <v>811</v>
      </c>
      <c r="F1894" s="7">
        <v>45787.56734311274</v>
      </c>
      <c r="G1894" s="3" t="s">
        <v>6637</v>
      </c>
    </row>
    <row r="1895">
      <c r="A1895" s="3" t="s">
        <v>6638</v>
      </c>
      <c r="B1895" s="3" t="s">
        <v>2368</v>
      </c>
      <c r="C1895" s="5" t="s">
        <v>221</v>
      </c>
      <c r="D1895" s="3" t="s">
        <v>614</v>
      </c>
      <c r="E1895" s="3" t="s">
        <v>118</v>
      </c>
      <c r="F1895" s="7">
        <v>45787.57081533496</v>
      </c>
      <c r="G1895" s="3" t="s">
        <v>6640</v>
      </c>
    </row>
    <row r="1896">
      <c r="A1896" s="3" t="s">
        <v>6641</v>
      </c>
      <c r="B1896" s="3" t="s">
        <v>2368</v>
      </c>
      <c r="C1896" s="5" t="s">
        <v>614</v>
      </c>
      <c r="D1896" s="3" t="s">
        <v>206</v>
      </c>
      <c r="E1896" s="3" t="s">
        <v>100</v>
      </c>
      <c r="F1896" s="7">
        <v>45787.57428755719</v>
      </c>
      <c r="G1896" s="3" t="s">
        <v>6642</v>
      </c>
    </row>
    <row r="1897">
      <c r="A1897" s="3" t="s">
        <v>6644</v>
      </c>
      <c r="B1897" s="3" t="s">
        <v>2368</v>
      </c>
      <c r="C1897" s="5" t="s">
        <v>206</v>
      </c>
      <c r="D1897" s="3" t="s">
        <v>68</v>
      </c>
      <c r="E1897" s="3" t="s">
        <v>100</v>
      </c>
      <c r="F1897" s="7">
        <v>45787.57775977941</v>
      </c>
      <c r="G1897" s="3" t="s">
        <v>6645</v>
      </c>
    </row>
    <row r="1898">
      <c r="A1898" s="3" t="s">
        <v>6646</v>
      </c>
      <c r="B1898" s="3" t="s">
        <v>2370</v>
      </c>
      <c r="C1898" s="5" t="s">
        <v>45</v>
      </c>
      <c r="D1898" s="3" t="s">
        <v>221</v>
      </c>
      <c r="E1898" s="3" t="s">
        <v>554</v>
      </c>
      <c r="F1898" s="7">
        <v>45787.63851795816</v>
      </c>
      <c r="G1898" s="3" t="s">
        <v>6300</v>
      </c>
    </row>
    <row r="1899">
      <c r="A1899" s="3" t="s">
        <v>6648</v>
      </c>
      <c r="B1899" s="3" t="s">
        <v>2370</v>
      </c>
      <c r="C1899" s="5" t="s">
        <v>221</v>
      </c>
      <c r="D1899" s="3" t="s">
        <v>614</v>
      </c>
      <c r="E1899" s="3" t="s">
        <v>118</v>
      </c>
      <c r="F1899" s="7">
        <v>45787.64199018038</v>
      </c>
      <c r="G1899" s="3" t="s">
        <v>6303</v>
      </c>
    </row>
    <row r="1900">
      <c r="A1900" s="3" t="s">
        <v>6650</v>
      </c>
      <c r="B1900" s="3" t="s">
        <v>2370</v>
      </c>
      <c r="C1900" s="5" t="s">
        <v>614</v>
      </c>
      <c r="D1900" s="3" t="s">
        <v>206</v>
      </c>
      <c r="E1900" s="3" t="s">
        <v>100</v>
      </c>
      <c r="F1900" s="7">
        <v>45787.64546240261</v>
      </c>
      <c r="G1900" s="3" t="s">
        <v>6305</v>
      </c>
    </row>
    <row r="1901">
      <c r="A1901" s="3" t="s">
        <v>6652</v>
      </c>
      <c r="B1901" s="3" t="s">
        <v>2370</v>
      </c>
      <c r="C1901" s="5" t="s">
        <v>206</v>
      </c>
      <c r="D1901" s="3" t="s">
        <v>68</v>
      </c>
      <c r="E1901" s="3" t="s">
        <v>100</v>
      </c>
      <c r="F1901" s="7">
        <v>45787.64893462483</v>
      </c>
      <c r="G1901" s="3" t="s">
        <v>6308</v>
      </c>
    </row>
    <row r="1902">
      <c r="A1902" s="3" t="s">
        <v>6654</v>
      </c>
      <c r="B1902" s="3" t="s">
        <v>2372</v>
      </c>
      <c r="C1902" s="5" t="s">
        <v>45</v>
      </c>
      <c r="D1902" s="3" t="s">
        <v>221</v>
      </c>
      <c r="E1902" s="3" t="s">
        <v>908</v>
      </c>
      <c r="F1902" s="7">
        <v>45787.709692803575</v>
      </c>
      <c r="G1902" s="3" t="s">
        <v>6656</v>
      </c>
    </row>
    <row r="1903">
      <c r="A1903" s="3" t="s">
        <v>6657</v>
      </c>
      <c r="B1903" s="3" t="s">
        <v>2372</v>
      </c>
      <c r="C1903" s="5" t="s">
        <v>221</v>
      </c>
      <c r="D1903" s="3" t="s">
        <v>614</v>
      </c>
      <c r="E1903" s="3" t="s">
        <v>118</v>
      </c>
      <c r="F1903" s="7">
        <v>45787.713165025794</v>
      </c>
      <c r="G1903" s="3" t="s">
        <v>6659</v>
      </c>
    </row>
    <row r="1904">
      <c r="A1904" s="3" t="s">
        <v>6660</v>
      </c>
      <c r="B1904" s="3" t="s">
        <v>2372</v>
      </c>
      <c r="C1904" s="5" t="s">
        <v>614</v>
      </c>
      <c r="D1904" s="3" t="s">
        <v>206</v>
      </c>
      <c r="E1904" s="3" t="s">
        <v>100</v>
      </c>
      <c r="F1904" s="7">
        <v>45787.71663724802</v>
      </c>
      <c r="G1904" s="3" t="s">
        <v>6662</v>
      </c>
    </row>
    <row r="1905">
      <c r="A1905" s="3" t="s">
        <v>6663</v>
      </c>
      <c r="B1905" s="3" t="s">
        <v>2372</v>
      </c>
      <c r="C1905" s="5" t="s">
        <v>206</v>
      </c>
      <c r="D1905" s="3" t="s">
        <v>68</v>
      </c>
      <c r="E1905" s="3" t="s">
        <v>100</v>
      </c>
      <c r="F1905" s="7">
        <v>45787.72010947024</v>
      </c>
      <c r="G1905" s="3" t="s">
        <v>6664</v>
      </c>
    </row>
    <row r="1906">
      <c r="A1906" s="3" t="s">
        <v>6666</v>
      </c>
      <c r="B1906" s="3" t="s">
        <v>2374</v>
      </c>
      <c r="C1906" s="5" t="s">
        <v>45</v>
      </c>
      <c r="D1906" s="3" t="s">
        <v>221</v>
      </c>
      <c r="E1906" s="3" t="s">
        <v>655</v>
      </c>
      <c r="F1906" s="7">
        <v>45787.78086764899</v>
      </c>
      <c r="G1906" s="3" t="s">
        <v>6667</v>
      </c>
    </row>
    <row r="1907">
      <c r="A1907" s="3" t="s">
        <v>6668</v>
      </c>
      <c r="B1907" s="3" t="s">
        <v>2374</v>
      </c>
      <c r="C1907" s="5" t="s">
        <v>221</v>
      </c>
      <c r="D1907" s="3" t="s">
        <v>614</v>
      </c>
      <c r="E1907" s="3" t="s">
        <v>118</v>
      </c>
      <c r="F1907" s="7">
        <v>45787.78433987121</v>
      </c>
      <c r="G1907" s="3" t="s">
        <v>6670</v>
      </c>
    </row>
    <row r="1908">
      <c r="A1908" s="3" t="s">
        <v>6671</v>
      </c>
      <c r="B1908" s="3" t="s">
        <v>2374</v>
      </c>
      <c r="C1908" s="5" t="s">
        <v>614</v>
      </c>
      <c r="D1908" s="3" t="s">
        <v>206</v>
      </c>
      <c r="E1908" s="3" t="s">
        <v>100</v>
      </c>
      <c r="F1908" s="7">
        <v>45787.78781209343</v>
      </c>
      <c r="G1908" s="3" t="s">
        <v>6673</v>
      </c>
    </row>
    <row r="1909">
      <c r="A1909" s="3" t="s">
        <v>6674</v>
      </c>
      <c r="B1909" s="3" t="s">
        <v>2374</v>
      </c>
      <c r="C1909" s="5" t="s">
        <v>206</v>
      </c>
      <c r="D1909" s="3" t="s">
        <v>68</v>
      </c>
      <c r="E1909" s="3" t="s">
        <v>100</v>
      </c>
      <c r="F1909" s="7">
        <v>45787.79128431565</v>
      </c>
      <c r="G1909" s="3" t="s">
        <v>6676</v>
      </c>
    </row>
    <row r="1910">
      <c r="A1910" s="3" t="s">
        <v>6677</v>
      </c>
      <c r="B1910" s="3" t="s">
        <v>2378</v>
      </c>
      <c r="C1910" s="5" t="s">
        <v>45</v>
      </c>
      <c r="D1910" s="3" t="s">
        <v>221</v>
      </c>
      <c r="E1910" s="3" t="s">
        <v>440</v>
      </c>
      <c r="F1910" s="7">
        <v>45787.85204249441</v>
      </c>
      <c r="G1910" s="3" t="s">
        <v>6679</v>
      </c>
    </row>
    <row r="1911">
      <c r="A1911" s="3" t="s">
        <v>6680</v>
      </c>
      <c r="B1911" s="3" t="s">
        <v>2378</v>
      </c>
      <c r="C1911" s="5" t="s">
        <v>221</v>
      </c>
      <c r="D1911" s="3" t="s">
        <v>614</v>
      </c>
      <c r="E1911" s="3" t="s">
        <v>118</v>
      </c>
      <c r="F1911" s="7">
        <v>45787.855514716626</v>
      </c>
      <c r="G1911" s="3" t="s">
        <v>6681</v>
      </c>
    </row>
    <row r="1912">
      <c r="A1912" s="3" t="s">
        <v>6683</v>
      </c>
      <c r="B1912" s="3" t="s">
        <v>2378</v>
      </c>
      <c r="C1912" s="5" t="s">
        <v>614</v>
      </c>
      <c r="D1912" s="3" t="s">
        <v>206</v>
      </c>
      <c r="E1912" s="3" t="s">
        <v>100</v>
      </c>
      <c r="F1912" s="7">
        <v>45787.85898693885</v>
      </c>
      <c r="G1912" s="3" t="s">
        <v>6684</v>
      </c>
    </row>
    <row r="1913">
      <c r="A1913" s="3" t="s">
        <v>6686</v>
      </c>
      <c r="B1913" s="3" t="s">
        <v>2378</v>
      </c>
      <c r="C1913" s="5" t="s">
        <v>206</v>
      </c>
      <c r="D1913" s="3" t="s">
        <v>68</v>
      </c>
      <c r="E1913" s="3" t="s">
        <v>100</v>
      </c>
      <c r="F1913" s="7">
        <v>45787.86245916107</v>
      </c>
      <c r="G1913" s="3" t="s">
        <v>6687</v>
      </c>
    </row>
    <row r="1914">
      <c r="A1914" s="3" t="s">
        <v>6689</v>
      </c>
      <c r="B1914" s="3" t="s">
        <v>2379</v>
      </c>
      <c r="C1914" s="5" t="s">
        <v>45</v>
      </c>
      <c r="D1914" s="3" t="s">
        <v>221</v>
      </c>
      <c r="E1914" s="3" t="s">
        <v>830</v>
      </c>
      <c r="F1914" s="7">
        <v>45787.92321733983</v>
      </c>
      <c r="G1914" s="3" t="s">
        <v>6690</v>
      </c>
    </row>
    <row r="1915">
      <c r="A1915" s="3" t="s">
        <v>6691</v>
      </c>
      <c r="B1915" s="3" t="s">
        <v>2379</v>
      </c>
      <c r="C1915" s="5" t="s">
        <v>221</v>
      </c>
      <c r="D1915" s="3" t="s">
        <v>614</v>
      </c>
      <c r="E1915" s="3" t="s">
        <v>118</v>
      </c>
      <c r="F1915" s="7">
        <v>45787.926689562046</v>
      </c>
      <c r="G1915" s="3" t="s">
        <v>6693</v>
      </c>
    </row>
    <row r="1916">
      <c r="A1916" s="3" t="s">
        <v>6694</v>
      </c>
      <c r="B1916" s="3" t="s">
        <v>2379</v>
      </c>
      <c r="C1916" s="5" t="s">
        <v>614</v>
      </c>
      <c r="D1916" s="3" t="s">
        <v>206</v>
      </c>
      <c r="E1916" s="3" t="s">
        <v>100</v>
      </c>
      <c r="F1916" s="7">
        <v>45787.93016178427</v>
      </c>
      <c r="G1916" s="3" t="s">
        <v>6696</v>
      </c>
    </row>
    <row r="1917">
      <c r="A1917" s="3" t="s">
        <v>6697</v>
      </c>
      <c r="B1917" s="3" t="s">
        <v>2379</v>
      </c>
      <c r="C1917" s="5" t="s">
        <v>206</v>
      </c>
      <c r="D1917" s="3" t="s">
        <v>68</v>
      </c>
      <c r="E1917" s="3" t="s">
        <v>100</v>
      </c>
      <c r="F1917" s="7">
        <v>45787.93363400649</v>
      </c>
      <c r="G1917" s="3" t="s">
        <v>6699</v>
      </c>
    </row>
    <row r="1918">
      <c r="A1918" s="3" t="s">
        <v>6700</v>
      </c>
      <c r="B1918" s="3" t="s">
        <v>2381</v>
      </c>
      <c r="C1918" s="5" t="s">
        <v>45</v>
      </c>
      <c r="D1918" s="3" t="s">
        <v>221</v>
      </c>
      <c r="E1918" s="3" t="s">
        <v>593</v>
      </c>
      <c r="F1918" s="7">
        <v>45787.99439218523</v>
      </c>
      <c r="G1918" s="3" t="s">
        <v>2770</v>
      </c>
    </row>
    <row r="1919">
      <c r="A1919" s="3" t="s">
        <v>6702</v>
      </c>
      <c r="B1919" s="3" t="s">
        <v>2381</v>
      </c>
      <c r="C1919" s="5" t="s">
        <v>221</v>
      </c>
      <c r="D1919" s="3" t="s">
        <v>195</v>
      </c>
      <c r="E1919" s="3" t="s">
        <v>593</v>
      </c>
      <c r="F1919" s="7">
        <v>45787.99786440745</v>
      </c>
      <c r="G1919" s="3" t="s">
        <v>3055</v>
      </c>
    </row>
    <row r="1920">
      <c r="A1920" s="3" t="s">
        <v>6704</v>
      </c>
      <c r="B1920" s="3" t="s">
        <v>2384</v>
      </c>
      <c r="C1920" s="5" t="s">
        <v>45</v>
      </c>
      <c r="D1920" s="3" t="s">
        <v>221</v>
      </c>
      <c r="E1920" s="3" t="s">
        <v>171</v>
      </c>
      <c r="F1920" s="7">
        <v>45788.06556703065</v>
      </c>
      <c r="G1920" s="3" t="s">
        <v>6706</v>
      </c>
    </row>
    <row r="1921">
      <c r="A1921" s="3" t="s">
        <v>6707</v>
      </c>
      <c r="B1921" s="3" t="s">
        <v>2384</v>
      </c>
      <c r="C1921" s="5" t="s">
        <v>221</v>
      </c>
      <c r="D1921" s="3" t="s">
        <v>614</v>
      </c>
      <c r="E1921" s="3" t="s">
        <v>118</v>
      </c>
      <c r="F1921" s="7">
        <v>45788.06903925287</v>
      </c>
      <c r="G1921" s="3" t="s">
        <v>6708</v>
      </c>
    </row>
    <row r="1922">
      <c r="A1922" s="3" t="s">
        <v>6710</v>
      </c>
      <c r="B1922" s="3" t="s">
        <v>2384</v>
      </c>
      <c r="C1922" s="5" t="s">
        <v>614</v>
      </c>
      <c r="D1922" s="3" t="s">
        <v>206</v>
      </c>
      <c r="E1922" s="3" t="s">
        <v>100</v>
      </c>
      <c r="F1922" s="7">
        <v>45788.0725114751</v>
      </c>
      <c r="G1922" s="3" t="s">
        <v>6711</v>
      </c>
    </row>
    <row r="1923">
      <c r="A1923" s="3" t="s">
        <v>6712</v>
      </c>
      <c r="B1923" s="3" t="s">
        <v>2384</v>
      </c>
      <c r="C1923" s="5" t="s">
        <v>206</v>
      </c>
      <c r="D1923" s="3" t="s">
        <v>68</v>
      </c>
      <c r="E1923" s="3" t="s">
        <v>100</v>
      </c>
      <c r="F1923" s="7">
        <v>45788.075983697316</v>
      </c>
      <c r="G1923" s="3" t="s">
        <v>6713</v>
      </c>
    </row>
    <row r="1924">
      <c r="A1924" s="3" t="s">
        <v>6715</v>
      </c>
      <c r="B1924" s="3" t="s">
        <v>2387</v>
      </c>
      <c r="C1924" s="5" t="s">
        <v>45</v>
      </c>
      <c r="D1924" s="3" t="s">
        <v>221</v>
      </c>
      <c r="E1924" s="3" t="s">
        <v>406</v>
      </c>
      <c r="F1924" s="7">
        <v>45788.13674187607</v>
      </c>
      <c r="G1924" s="3" t="s">
        <v>6717</v>
      </c>
    </row>
    <row r="1925">
      <c r="A1925" s="3" t="s">
        <v>6718</v>
      </c>
      <c r="B1925" s="3" t="s">
        <v>2387</v>
      </c>
      <c r="C1925" s="5" t="s">
        <v>221</v>
      </c>
      <c r="D1925" s="3" t="s">
        <v>614</v>
      </c>
      <c r="E1925" s="3" t="s">
        <v>118</v>
      </c>
      <c r="F1925" s="7">
        <v>45788.14021409829</v>
      </c>
      <c r="G1925" s="3" t="s">
        <v>6719</v>
      </c>
    </row>
    <row r="1926">
      <c r="A1926" s="3" t="s">
        <v>6721</v>
      </c>
      <c r="B1926" s="3" t="s">
        <v>2387</v>
      </c>
      <c r="C1926" s="5" t="s">
        <v>614</v>
      </c>
      <c r="D1926" s="3" t="s">
        <v>206</v>
      </c>
      <c r="E1926" s="3" t="s">
        <v>100</v>
      </c>
      <c r="F1926" s="7">
        <v>45788.143686320516</v>
      </c>
      <c r="G1926" s="3" t="s">
        <v>6722</v>
      </c>
    </row>
    <row r="1927">
      <c r="A1927" s="3" t="s">
        <v>6723</v>
      </c>
      <c r="B1927" s="3" t="s">
        <v>2387</v>
      </c>
      <c r="C1927" s="5" t="s">
        <v>206</v>
      </c>
      <c r="D1927" s="3" t="s">
        <v>68</v>
      </c>
      <c r="E1927" s="3" t="s">
        <v>100</v>
      </c>
      <c r="F1927" s="7">
        <v>45788.147158542735</v>
      </c>
      <c r="G1927" s="3" t="s">
        <v>6724</v>
      </c>
    </row>
    <row r="1928">
      <c r="A1928" s="3" t="s">
        <v>6725</v>
      </c>
      <c r="B1928" s="3" t="s">
        <v>2390</v>
      </c>
      <c r="C1928" s="5" t="s">
        <v>45</v>
      </c>
      <c r="D1928" s="3" t="s">
        <v>221</v>
      </c>
      <c r="E1928" s="3" t="s">
        <v>189</v>
      </c>
      <c r="F1928" s="7">
        <v>45788.20791672148</v>
      </c>
      <c r="G1928" s="3" t="s">
        <v>6726</v>
      </c>
    </row>
    <row r="1929">
      <c r="A1929" s="3" t="s">
        <v>6727</v>
      </c>
      <c r="B1929" s="3" t="s">
        <v>2390</v>
      </c>
      <c r="C1929" s="5" t="s">
        <v>221</v>
      </c>
      <c r="D1929" s="3" t="s">
        <v>614</v>
      </c>
      <c r="E1929" s="3" t="s">
        <v>118</v>
      </c>
      <c r="F1929" s="7">
        <v>45788.2113889437</v>
      </c>
      <c r="G1929" s="3" t="s">
        <v>6729</v>
      </c>
    </row>
    <row r="1930">
      <c r="A1930" s="3" t="s">
        <v>6730</v>
      </c>
      <c r="B1930" s="3" t="s">
        <v>2390</v>
      </c>
      <c r="C1930" s="5" t="s">
        <v>614</v>
      </c>
      <c r="D1930" s="3" t="s">
        <v>206</v>
      </c>
      <c r="E1930" s="3" t="s">
        <v>100</v>
      </c>
      <c r="F1930" s="7">
        <v>45788.21486116593</v>
      </c>
      <c r="G1930" s="3" t="s">
        <v>6732</v>
      </c>
    </row>
    <row r="1931">
      <c r="A1931" s="3" t="s">
        <v>6733</v>
      </c>
      <c r="B1931" s="3" t="s">
        <v>2390</v>
      </c>
      <c r="C1931" s="5" t="s">
        <v>206</v>
      </c>
      <c r="D1931" s="3" t="s">
        <v>68</v>
      </c>
      <c r="E1931" s="3" t="s">
        <v>100</v>
      </c>
      <c r="F1931" s="7">
        <v>45788.21833338815</v>
      </c>
      <c r="G1931" s="3" t="s">
        <v>6735</v>
      </c>
    </row>
    <row r="1932">
      <c r="A1932" s="3" t="s">
        <v>6736</v>
      </c>
      <c r="B1932" s="3" t="s">
        <v>2393</v>
      </c>
      <c r="C1932" s="5" t="s">
        <v>45</v>
      </c>
      <c r="D1932" s="3" t="s">
        <v>221</v>
      </c>
      <c r="E1932" s="3" t="s">
        <v>148</v>
      </c>
      <c r="F1932" s="7">
        <v>45788.279091566896</v>
      </c>
      <c r="G1932" s="3" t="s">
        <v>6737</v>
      </c>
    </row>
    <row r="1933">
      <c r="A1933" s="3" t="s">
        <v>6738</v>
      </c>
      <c r="B1933" s="3" t="s">
        <v>2393</v>
      </c>
      <c r="C1933" s="5" t="s">
        <v>221</v>
      </c>
      <c r="D1933" s="3" t="s">
        <v>614</v>
      </c>
      <c r="E1933" s="3" t="s">
        <v>118</v>
      </c>
      <c r="F1933" s="7">
        <v>45788.282563789115</v>
      </c>
      <c r="G1933" s="3" t="s">
        <v>6740</v>
      </c>
    </row>
    <row r="1934">
      <c r="A1934" s="3" t="s">
        <v>6741</v>
      </c>
      <c r="B1934" s="3" t="s">
        <v>2393</v>
      </c>
      <c r="C1934" s="5" t="s">
        <v>614</v>
      </c>
      <c r="D1934" s="3" t="s">
        <v>206</v>
      </c>
      <c r="E1934" s="3" t="s">
        <v>100</v>
      </c>
      <c r="F1934" s="7">
        <v>45788.28603601134</v>
      </c>
      <c r="G1934" s="3" t="s">
        <v>6743</v>
      </c>
    </row>
    <row r="1935">
      <c r="A1935" s="3" t="s">
        <v>6744</v>
      </c>
      <c r="B1935" s="3" t="s">
        <v>2393</v>
      </c>
      <c r="C1935" s="5" t="s">
        <v>206</v>
      </c>
      <c r="D1935" s="3" t="s">
        <v>68</v>
      </c>
      <c r="E1935" s="3" t="s">
        <v>100</v>
      </c>
      <c r="F1935" s="7">
        <v>45788.28950823356</v>
      </c>
      <c r="G1935" s="3" t="s">
        <v>6746</v>
      </c>
    </row>
    <row r="1936">
      <c r="A1936" s="3" t="s">
        <v>6747</v>
      </c>
      <c r="B1936" s="3" t="s">
        <v>2396</v>
      </c>
      <c r="C1936" s="5" t="s">
        <v>45</v>
      </c>
      <c r="D1936" s="3" t="s">
        <v>221</v>
      </c>
      <c r="E1936" s="3" t="s">
        <v>708</v>
      </c>
      <c r="F1936" s="7">
        <v>45788.350266412315</v>
      </c>
      <c r="G1936" s="3" t="s">
        <v>6749</v>
      </c>
    </row>
    <row r="1937">
      <c r="A1937" s="3" t="s">
        <v>6750</v>
      </c>
      <c r="B1937" s="3" t="s">
        <v>2396</v>
      </c>
      <c r="C1937" s="5" t="s">
        <v>221</v>
      </c>
      <c r="D1937" s="3" t="s">
        <v>614</v>
      </c>
      <c r="E1937" s="3" t="s">
        <v>118</v>
      </c>
      <c r="F1937" s="7">
        <v>45788.353738634534</v>
      </c>
      <c r="G1937" s="3" t="s">
        <v>6752</v>
      </c>
    </row>
    <row r="1938">
      <c r="A1938" s="3" t="s">
        <v>6753</v>
      </c>
      <c r="B1938" s="3" t="s">
        <v>2396</v>
      </c>
      <c r="C1938" s="5" t="s">
        <v>614</v>
      </c>
      <c r="D1938" s="3" t="s">
        <v>206</v>
      </c>
      <c r="E1938" s="3" t="s">
        <v>100</v>
      </c>
      <c r="F1938" s="7">
        <v>45788.35721085676</v>
      </c>
      <c r="G1938" s="3" t="s">
        <v>6755</v>
      </c>
    </row>
    <row r="1939">
      <c r="A1939" s="3" t="s">
        <v>6756</v>
      </c>
      <c r="B1939" s="3" t="s">
        <v>2396</v>
      </c>
      <c r="C1939" s="5" t="s">
        <v>206</v>
      </c>
      <c r="D1939" s="3" t="s">
        <v>68</v>
      </c>
      <c r="E1939" s="3" t="s">
        <v>100</v>
      </c>
      <c r="F1939" s="7">
        <v>45788.36068307898</v>
      </c>
      <c r="G1939" s="3" t="s">
        <v>6758</v>
      </c>
    </row>
    <row r="1940">
      <c r="A1940" s="3" t="s">
        <v>6759</v>
      </c>
      <c r="B1940" s="3" t="s">
        <v>2398</v>
      </c>
      <c r="C1940" s="5" t="s">
        <v>45</v>
      </c>
      <c r="D1940" s="3" t="s">
        <v>221</v>
      </c>
      <c r="E1940" s="3" t="s">
        <v>533</v>
      </c>
      <c r="F1940" s="7">
        <v>45788.42144125773</v>
      </c>
      <c r="G1940" s="3" t="s">
        <v>6761</v>
      </c>
    </row>
    <row r="1941">
      <c r="A1941" s="3" t="s">
        <v>6762</v>
      </c>
      <c r="B1941" s="3" t="s">
        <v>2398</v>
      </c>
      <c r="C1941" s="5" t="s">
        <v>221</v>
      </c>
      <c r="D1941" s="3" t="s">
        <v>614</v>
      </c>
      <c r="E1941" s="3" t="s">
        <v>118</v>
      </c>
      <c r="F1941" s="7">
        <v>45788.42491347995</v>
      </c>
      <c r="G1941" s="3" t="s">
        <v>6763</v>
      </c>
    </row>
    <row r="1942">
      <c r="A1942" s="3" t="s">
        <v>6765</v>
      </c>
      <c r="B1942" s="3" t="s">
        <v>2398</v>
      </c>
      <c r="C1942" s="5" t="s">
        <v>614</v>
      </c>
      <c r="D1942" s="3" t="s">
        <v>206</v>
      </c>
      <c r="E1942" s="3" t="s">
        <v>100</v>
      </c>
      <c r="F1942" s="7">
        <v>45788.42838570217</v>
      </c>
      <c r="G1942" s="3" t="s">
        <v>6766</v>
      </c>
    </row>
    <row r="1943">
      <c r="A1943" s="3" t="s">
        <v>6767</v>
      </c>
      <c r="B1943" s="3" t="s">
        <v>2398</v>
      </c>
      <c r="C1943" s="5" t="s">
        <v>206</v>
      </c>
      <c r="D1943" s="3" t="s">
        <v>68</v>
      </c>
      <c r="E1943" s="3" t="s">
        <v>100</v>
      </c>
      <c r="F1943" s="7">
        <v>45788.43185792439</v>
      </c>
      <c r="G1943" s="3" t="s">
        <v>6769</v>
      </c>
    </row>
    <row r="1944">
      <c r="A1944" s="3" t="s">
        <v>6770</v>
      </c>
      <c r="B1944" s="3" t="s">
        <v>2401</v>
      </c>
      <c r="C1944" s="5" t="s">
        <v>45</v>
      </c>
      <c r="D1944" s="3" t="s">
        <v>221</v>
      </c>
      <c r="E1944" s="3" t="s">
        <v>1011</v>
      </c>
      <c r="F1944" s="7">
        <v>45788.49261610314</v>
      </c>
      <c r="G1944" s="3" t="s">
        <v>6772</v>
      </c>
    </row>
    <row r="1945">
      <c r="A1945" s="3" t="s">
        <v>6773</v>
      </c>
      <c r="B1945" s="3" t="s">
        <v>2401</v>
      </c>
      <c r="C1945" s="5" t="s">
        <v>221</v>
      </c>
      <c r="D1945" s="3" t="s">
        <v>614</v>
      </c>
      <c r="E1945" s="3" t="s">
        <v>118</v>
      </c>
      <c r="F1945" s="7">
        <v>45788.49608832536</v>
      </c>
      <c r="G1945" s="3" t="s">
        <v>6775</v>
      </c>
    </row>
    <row r="1946">
      <c r="A1946" s="3" t="s">
        <v>6776</v>
      </c>
      <c r="B1946" s="3" t="s">
        <v>2401</v>
      </c>
      <c r="C1946" s="5" t="s">
        <v>614</v>
      </c>
      <c r="D1946" s="3" t="s">
        <v>206</v>
      </c>
      <c r="E1946" s="3" t="s">
        <v>100</v>
      </c>
      <c r="F1946" s="7">
        <v>45788.499560547585</v>
      </c>
      <c r="G1946" s="3" t="s">
        <v>6778</v>
      </c>
    </row>
    <row r="1947">
      <c r="A1947" s="3" t="s">
        <v>6779</v>
      </c>
      <c r="B1947" s="3" t="s">
        <v>2401</v>
      </c>
      <c r="C1947" s="5" t="s">
        <v>206</v>
      </c>
      <c r="D1947" s="3" t="s">
        <v>68</v>
      </c>
      <c r="E1947" s="3" t="s">
        <v>100</v>
      </c>
      <c r="F1947" s="7">
        <v>45788.503032769804</v>
      </c>
      <c r="G1947" s="3" t="s">
        <v>6780</v>
      </c>
    </row>
    <row r="1948">
      <c r="A1948" s="3" t="s">
        <v>6782</v>
      </c>
      <c r="B1948" s="3" t="s">
        <v>2404</v>
      </c>
      <c r="C1948" s="5" t="s">
        <v>45</v>
      </c>
      <c r="D1948" s="3" t="s">
        <v>221</v>
      </c>
      <c r="E1948" s="3" t="s">
        <v>243</v>
      </c>
      <c r="F1948" s="7">
        <v>45788.56379094856</v>
      </c>
      <c r="G1948" s="3" t="s">
        <v>6783</v>
      </c>
    </row>
    <row r="1949">
      <c r="A1949" s="3" t="s">
        <v>6784</v>
      </c>
      <c r="B1949" s="3" t="s">
        <v>2404</v>
      </c>
      <c r="C1949" s="5" t="s">
        <v>221</v>
      </c>
      <c r="D1949" s="3" t="s">
        <v>614</v>
      </c>
      <c r="E1949" s="3" t="s">
        <v>118</v>
      </c>
      <c r="F1949" s="7">
        <v>45788.56726317078</v>
      </c>
      <c r="G1949" s="3" t="s">
        <v>6786</v>
      </c>
    </row>
    <row r="1950">
      <c r="A1950" s="3" t="s">
        <v>6787</v>
      </c>
      <c r="B1950" s="3" t="s">
        <v>2404</v>
      </c>
      <c r="C1950" s="5" t="s">
        <v>614</v>
      </c>
      <c r="D1950" s="3" t="s">
        <v>206</v>
      </c>
      <c r="E1950" s="3" t="s">
        <v>100</v>
      </c>
      <c r="F1950" s="7">
        <v>45788.570735393005</v>
      </c>
      <c r="G1950" s="3" t="s">
        <v>6789</v>
      </c>
    </row>
    <row r="1951">
      <c r="A1951" s="3" t="s">
        <v>6790</v>
      </c>
      <c r="B1951" s="3" t="s">
        <v>2404</v>
      </c>
      <c r="C1951" s="5" t="s">
        <v>206</v>
      </c>
      <c r="D1951" s="3" t="s">
        <v>68</v>
      </c>
      <c r="E1951" s="3" t="s">
        <v>100</v>
      </c>
      <c r="F1951" s="7">
        <v>45788.574207615224</v>
      </c>
      <c r="G1951" s="3" t="s">
        <v>6792</v>
      </c>
    </row>
    <row r="1952">
      <c r="A1952" s="3" t="s">
        <v>6793</v>
      </c>
      <c r="B1952" s="3" t="s">
        <v>2406</v>
      </c>
      <c r="C1952" s="5" t="s">
        <v>45</v>
      </c>
      <c r="D1952" s="3" t="s">
        <v>221</v>
      </c>
      <c r="E1952" s="3" t="s">
        <v>609</v>
      </c>
      <c r="F1952" s="7">
        <v>45788.63496579397</v>
      </c>
      <c r="G1952" s="3" t="s">
        <v>5685</v>
      </c>
    </row>
    <row r="1953">
      <c r="A1953" s="3" t="s">
        <v>6795</v>
      </c>
      <c r="B1953" s="3" t="s">
        <v>2406</v>
      </c>
      <c r="C1953" s="5" t="s">
        <v>221</v>
      </c>
      <c r="D1953" s="3" t="s">
        <v>181</v>
      </c>
      <c r="E1953" s="3" t="s">
        <v>118</v>
      </c>
      <c r="F1953" s="7">
        <v>45788.63843801619</v>
      </c>
      <c r="G1953" s="3" t="s">
        <v>6797</v>
      </c>
    </row>
    <row r="1954">
      <c r="A1954" s="3" t="s">
        <v>6798</v>
      </c>
      <c r="B1954" s="3" t="s">
        <v>2409</v>
      </c>
      <c r="C1954" s="5" t="s">
        <v>45</v>
      </c>
      <c r="D1954" s="3" t="s">
        <v>221</v>
      </c>
      <c r="E1954" s="3" t="s">
        <v>179</v>
      </c>
      <c r="F1954" s="7">
        <v>45788.706140639384</v>
      </c>
      <c r="G1954" s="3" t="s">
        <v>6800</v>
      </c>
    </row>
    <row r="1955">
      <c r="A1955" s="3" t="s">
        <v>6801</v>
      </c>
      <c r="B1955" s="3" t="s">
        <v>2409</v>
      </c>
      <c r="C1955" s="5" t="s">
        <v>221</v>
      </c>
      <c r="D1955" s="3" t="s">
        <v>614</v>
      </c>
      <c r="E1955" s="3" t="s">
        <v>118</v>
      </c>
      <c r="F1955" s="7">
        <v>45788.7096128616</v>
      </c>
      <c r="G1955" s="3" t="s">
        <v>6803</v>
      </c>
    </row>
    <row r="1956">
      <c r="A1956" s="3" t="s">
        <v>6804</v>
      </c>
      <c r="B1956" s="3" t="s">
        <v>2409</v>
      </c>
      <c r="C1956" s="5" t="s">
        <v>614</v>
      </c>
      <c r="D1956" s="3" t="s">
        <v>206</v>
      </c>
      <c r="E1956" s="3" t="s">
        <v>100</v>
      </c>
      <c r="F1956" s="7">
        <v>45788.71308508383</v>
      </c>
      <c r="G1956" s="3" t="s">
        <v>6806</v>
      </c>
    </row>
    <row r="1957">
      <c r="A1957" s="3" t="s">
        <v>6807</v>
      </c>
      <c r="B1957" s="3" t="s">
        <v>2409</v>
      </c>
      <c r="C1957" s="5" t="s">
        <v>206</v>
      </c>
      <c r="D1957" s="3" t="s">
        <v>68</v>
      </c>
      <c r="E1957" s="3" t="s">
        <v>100</v>
      </c>
      <c r="F1957" s="7">
        <v>45788.71655730605</v>
      </c>
      <c r="G1957" s="3" t="s">
        <v>6808</v>
      </c>
    </row>
    <row r="1958">
      <c r="A1958" s="3" t="s">
        <v>6810</v>
      </c>
      <c r="B1958" s="3" t="s">
        <v>2412</v>
      </c>
      <c r="C1958" s="5" t="s">
        <v>45</v>
      </c>
      <c r="D1958" s="3" t="s">
        <v>221</v>
      </c>
      <c r="E1958" s="3" t="s">
        <v>527</v>
      </c>
      <c r="F1958" s="7">
        <v>45788.777315484804</v>
      </c>
      <c r="G1958" s="3" t="s">
        <v>2770</v>
      </c>
    </row>
    <row r="1959">
      <c r="A1959" s="3" t="s">
        <v>6812</v>
      </c>
      <c r="B1959" s="3" t="s">
        <v>2412</v>
      </c>
      <c r="C1959" s="5" t="s">
        <v>221</v>
      </c>
      <c r="D1959" s="3" t="s">
        <v>195</v>
      </c>
      <c r="E1959" s="3" t="s">
        <v>527</v>
      </c>
      <c r="F1959" s="7">
        <v>45788.78078770702</v>
      </c>
      <c r="G1959" s="3" t="s">
        <v>3055</v>
      </c>
    </row>
    <row r="1960">
      <c r="A1960" s="3" t="s">
        <v>6814</v>
      </c>
      <c r="B1960" s="3" t="s">
        <v>2414</v>
      </c>
      <c r="C1960" s="5" t="s">
        <v>45</v>
      </c>
      <c r="D1960" s="3" t="s">
        <v>221</v>
      </c>
      <c r="E1960" s="3" t="s">
        <v>130</v>
      </c>
      <c r="F1960" s="7">
        <v>45788.848490330216</v>
      </c>
      <c r="G1960" s="3" t="s">
        <v>6815</v>
      </c>
    </row>
    <row r="1961">
      <c r="A1961" s="3" t="s">
        <v>6816</v>
      </c>
      <c r="B1961" s="3" t="s">
        <v>2414</v>
      </c>
      <c r="C1961" s="5" t="s">
        <v>221</v>
      </c>
      <c r="D1961" s="3" t="s">
        <v>614</v>
      </c>
      <c r="E1961" s="3" t="s">
        <v>118</v>
      </c>
      <c r="F1961" s="7">
        <v>45788.851962552435</v>
      </c>
      <c r="G1961" s="3" t="s">
        <v>6818</v>
      </c>
    </row>
    <row r="1962">
      <c r="A1962" s="3" t="s">
        <v>6819</v>
      </c>
      <c r="B1962" s="3" t="s">
        <v>2414</v>
      </c>
      <c r="C1962" s="5" t="s">
        <v>614</v>
      </c>
      <c r="D1962" s="3" t="s">
        <v>206</v>
      </c>
      <c r="E1962" s="3" t="s">
        <v>100</v>
      </c>
      <c r="F1962" s="7">
        <v>45788.85543477466</v>
      </c>
      <c r="G1962" s="3" t="s">
        <v>6821</v>
      </c>
    </row>
    <row r="1963">
      <c r="A1963" s="3" t="s">
        <v>6822</v>
      </c>
      <c r="B1963" s="3" t="s">
        <v>2414</v>
      </c>
      <c r="C1963" s="5" t="s">
        <v>206</v>
      </c>
      <c r="D1963" s="3" t="s">
        <v>68</v>
      </c>
      <c r="E1963" s="3" t="s">
        <v>100</v>
      </c>
      <c r="F1963" s="7">
        <v>45788.85890699688</v>
      </c>
      <c r="G1963" s="3" t="s">
        <v>6824</v>
      </c>
    </row>
    <row r="1964">
      <c r="A1964" s="3" t="s">
        <v>6825</v>
      </c>
      <c r="B1964" s="3" t="s">
        <v>2417</v>
      </c>
      <c r="C1964" s="5" t="s">
        <v>45</v>
      </c>
      <c r="D1964" s="3" t="s">
        <v>221</v>
      </c>
      <c r="E1964" s="3" t="s">
        <v>168</v>
      </c>
      <c r="F1964" s="7">
        <v>45788.91966517563</v>
      </c>
      <c r="G1964" s="3" t="s">
        <v>4342</v>
      </c>
    </row>
    <row r="1965">
      <c r="A1965" s="3" t="s">
        <v>6827</v>
      </c>
      <c r="B1965" s="3" t="s">
        <v>2417</v>
      </c>
      <c r="C1965" s="5" t="s">
        <v>221</v>
      </c>
      <c r="D1965" s="3" t="s">
        <v>614</v>
      </c>
      <c r="E1965" s="3" t="s">
        <v>118</v>
      </c>
      <c r="F1965" s="7">
        <v>45788.92313739785</v>
      </c>
      <c r="G1965" s="3" t="s">
        <v>4345</v>
      </c>
    </row>
    <row r="1966">
      <c r="A1966" s="3" t="s">
        <v>6828</v>
      </c>
      <c r="B1966" s="3" t="s">
        <v>2417</v>
      </c>
      <c r="C1966" s="5" t="s">
        <v>614</v>
      </c>
      <c r="D1966" s="3" t="s">
        <v>206</v>
      </c>
      <c r="E1966" s="3" t="s">
        <v>100</v>
      </c>
      <c r="F1966" s="7">
        <v>45788.92660962007</v>
      </c>
      <c r="G1966" s="3" t="s">
        <v>4348</v>
      </c>
    </row>
    <row r="1967">
      <c r="A1967" s="3" t="s">
        <v>6830</v>
      </c>
      <c r="B1967" s="3" t="s">
        <v>2417</v>
      </c>
      <c r="C1967" s="5" t="s">
        <v>206</v>
      </c>
      <c r="D1967" s="3" t="s">
        <v>68</v>
      </c>
      <c r="E1967" s="3" t="s">
        <v>100</v>
      </c>
      <c r="F1967" s="7">
        <v>45788.93008184229</v>
      </c>
      <c r="G1967" s="3" t="s">
        <v>4350</v>
      </c>
    </row>
    <row r="1968">
      <c r="A1968" s="3" t="s">
        <v>6832</v>
      </c>
      <c r="B1968" s="3" t="s">
        <v>2420</v>
      </c>
      <c r="C1968" s="5" t="s">
        <v>45</v>
      </c>
      <c r="D1968" s="3" t="s">
        <v>221</v>
      </c>
      <c r="E1968" s="3" t="s">
        <v>756</v>
      </c>
      <c r="F1968" s="7">
        <v>45788.99084002105</v>
      </c>
      <c r="G1968" s="3" t="s">
        <v>6834</v>
      </c>
    </row>
    <row r="1969">
      <c r="A1969" s="3" t="s">
        <v>6835</v>
      </c>
      <c r="B1969" s="3" t="s">
        <v>2420</v>
      </c>
      <c r="C1969" s="5" t="s">
        <v>221</v>
      </c>
      <c r="D1969" s="3" t="s">
        <v>614</v>
      </c>
      <c r="E1969" s="3" t="s">
        <v>118</v>
      </c>
      <c r="F1969" s="7">
        <v>45788.99431224327</v>
      </c>
      <c r="G1969" s="3" t="s">
        <v>6836</v>
      </c>
    </row>
    <row r="1970">
      <c r="A1970" s="3" t="s">
        <v>6838</v>
      </c>
      <c r="B1970" s="3" t="s">
        <v>2420</v>
      </c>
      <c r="C1970" s="5" t="s">
        <v>614</v>
      </c>
      <c r="D1970" s="3" t="s">
        <v>206</v>
      </c>
      <c r="E1970" s="3" t="s">
        <v>100</v>
      </c>
      <c r="F1970" s="7">
        <v>45788.99778446549</v>
      </c>
      <c r="G1970" s="3" t="s">
        <v>6839</v>
      </c>
    </row>
    <row r="1971">
      <c r="A1971" s="3" t="s">
        <v>6840</v>
      </c>
      <c r="B1971" s="3" t="s">
        <v>2420</v>
      </c>
      <c r="C1971" s="5" t="s">
        <v>206</v>
      </c>
      <c r="D1971" s="3" t="s">
        <v>68</v>
      </c>
      <c r="E1971" s="3" t="s">
        <v>100</v>
      </c>
      <c r="F1971" s="7">
        <v>45789.00125668771</v>
      </c>
      <c r="G1971" s="3" t="s">
        <v>6842</v>
      </c>
    </row>
    <row r="1972">
      <c r="A1972" s="3" t="s">
        <v>6843</v>
      </c>
      <c r="B1972" s="3" t="s">
        <v>2423</v>
      </c>
      <c r="C1972" s="5" t="s">
        <v>45</v>
      </c>
      <c r="D1972" s="3" t="s">
        <v>221</v>
      </c>
      <c r="E1972" s="3" t="s">
        <v>462</v>
      </c>
      <c r="F1972" s="7">
        <v>45789.06201486647</v>
      </c>
      <c r="G1972" s="3" t="s">
        <v>6845</v>
      </c>
    </row>
    <row r="1973">
      <c r="A1973" s="3" t="s">
        <v>6846</v>
      </c>
      <c r="B1973" s="3" t="s">
        <v>2423</v>
      </c>
      <c r="C1973" s="5" t="s">
        <v>221</v>
      </c>
      <c r="D1973" s="3" t="s">
        <v>614</v>
      </c>
      <c r="E1973" s="3" t="s">
        <v>118</v>
      </c>
      <c r="F1973" s="7">
        <v>45789.06548708869</v>
      </c>
      <c r="G1973" s="3" t="s">
        <v>6848</v>
      </c>
    </row>
    <row r="1974">
      <c r="A1974" s="3" t="s">
        <v>6849</v>
      </c>
      <c r="B1974" s="3" t="s">
        <v>2423</v>
      </c>
      <c r="C1974" s="5" t="s">
        <v>614</v>
      </c>
      <c r="D1974" s="3" t="s">
        <v>206</v>
      </c>
      <c r="E1974" s="3" t="s">
        <v>100</v>
      </c>
      <c r="F1974" s="7">
        <v>45789.06895931091</v>
      </c>
      <c r="G1974" s="3" t="s">
        <v>6851</v>
      </c>
    </row>
    <row r="1975">
      <c r="A1975" s="3" t="s">
        <v>6852</v>
      </c>
      <c r="B1975" s="3" t="s">
        <v>2423</v>
      </c>
      <c r="C1975" s="5" t="s">
        <v>206</v>
      </c>
      <c r="D1975" s="3" t="s">
        <v>68</v>
      </c>
      <c r="E1975" s="3" t="s">
        <v>100</v>
      </c>
      <c r="F1975" s="7">
        <v>45789.07243153313</v>
      </c>
      <c r="G1975" s="3" t="s">
        <v>6854</v>
      </c>
    </row>
    <row r="1976">
      <c r="A1976" s="3" t="s">
        <v>6855</v>
      </c>
      <c r="B1976" s="3" t="s">
        <v>2425</v>
      </c>
      <c r="C1976" s="5" t="s">
        <v>45</v>
      </c>
      <c r="D1976" s="3" t="s">
        <v>221</v>
      </c>
      <c r="E1976" s="3" t="s">
        <v>908</v>
      </c>
      <c r="F1976" s="7">
        <v>45789.13318971187</v>
      </c>
      <c r="G1976" s="3" t="s">
        <v>6857</v>
      </c>
    </row>
    <row r="1977">
      <c r="A1977" s="3" t="s">
        <v>6858</v>
      </c>
      <c r="B1977" s="3" t="s">
        <v>2425</v>
      </c>
      <c r="C1977" s="5" t="s">
        <v>221</v>
      </c>
      <c r="D1977" s="3" t="s">
        <v>614</v>
      </c>
      <c r="E1977" s="3" t="s">
        <v>118</v>
      </c>
      <c r="F1977" s="7">
        <v>45789.13666193409</v>
      </c>
      <c r="G1977" s="3" t="s">
        <v>6859</v>
      </c>
    </row>
    <row r="1978">
      <c r="A1978" s="3" t="s">
        <v>6861</v>
      </c>
      <c r="B1978" s="3" t="s">
        <v>2425</v>
      </c>
      <c r="C1978" s="5" t="s">
        <v>614</v>
      </c>
      <c r="D1978" s="3" t="s">
        <v>206</v>
      </c>
      <c r="E1978" s="3" t="s">
        <v>100</v>
      </c>
      <c r="F1978" s="7">
        <v>45789.14013415632</v>
      </c>
      <c r="G1978" s="3" t="s">
        <v>6862</v>
      </c>
    </row>
    <row r="1979">
      <c r="A1979" s="3" t="s">
        <v>6863</v>
      </c>
      <c r="B1979" s="3" t="s">
        <v>2425</v>
      </c>
      <c r="C1979" s="5" t="s">
        <v>206</v>
      </c>
      <c r="D1979" s="3" t="s">
        <v>68</v>
      </c>
      <c r="E1979" s="3" t="s">
        <v>100</v>
      </c>
      <c r="F1979" s="7">
        <v>45789.14360637854</v>
      </c>
      <c r="G1979" s="3" t="s">
        <v>6865</v>
      </c>
    </row>
    <row r="1980">
      <c r="A1980" s="3" t="s">
        <v>6866</v>
      </c>
      <c r="B1980" s="3" t="s">
        <v>2426</v>
      </c>
      <c r="C1980" s="5" t="s">
        <v>45</v>
      </c>
      <c r="D1980" s="3" t="s">
        <v>221</v>
      </c>
      <c r="E1980" s="3" t="s">
        <v>527</v>
      </c>
      <c r="F1980" s="7">
        <v>45789.20436455729</v>
      </c>
      <c r="G1980" s="3" t="s">
        <v>6868</v>
      </c>
    </row>
    <row r="1981">
      <c r="A1981" s="3" t="s">
        <v>6869</v>
      </c>
      <c r="B1981" s="3" t="s">
        <v>2426</v>
      </c>
      <c r="C1981" s="5" t="s">
        <v>221</v>
      </c>
      <c r="D1981" s="3" t="s">
        <v>614</v>
      </c>
      <c r="E1981" s="3" t="s">
        <v>118</v>
      </c>
      <c r="F1981" s="7">
        <v>45789.20783677951</v>
      </c>
      <c r="G1981" s="3" t="s">
        <v>6871</v>
      </c>
    </row>
    <row r="1982">
      <c r="A1982" s="3" t="s">
        <v>6872</v>
      </c>
      <c r="B1982" s="3" t="s">
        <v>2426</v>
      </c>
      <c r="C1982" s="5" t="s">
        <v>614</v>
      </c>
      <c r="D1982" s="3" t="s">
        <v>206</v>
      </c>
      <c r="E1982" s="3" t="s">
        <v>100</v>
      </c>
      <c r="F1982" s="7">
        <v>45789.21130900174</v>
      </c>
      <c r="G1982" s="3" t="s">
        <v>6874</v>
      </c>
    </row>
    <row r="1983">
      <c r="A1983" s="3" t="s">
        <v>6875</v>
      </c>
      <c r="B1983" s="3" t="s">
        <v>2426</v>
      </c>
      <c r="C1983" s="5" t="s">
        <v>206</v>
      </c>
      <c r="D1983" s="3" t="s">
        <v>68</v>
      </c>
      <c r="E1983" s="3" t="s">
        <v>100</v>
      </c>
      <c r="F1983" s="7">
        <v>45789.21478122396</v>
      </c>
      <c r="G1983" s="3" t="s">
        <v>6877</v>
      </c>
    </row>
    <row r="1984">
      <c r="A1984" s="3" t="s">
        <v>6878</v>
      </c>
      <c r="B1984" s="3" t="s">
        <v>2430</v>
      </c>
      <c r="C1984" s="5" t="s">
        <v>45</v>
      </c>
      <c r="D1984" s="3" t="s">
        <v>221</v>
      </c>
      <c r="E1984" s="3" t="s">
        <v>980</v>
      </c>
      <c r="F1984" s="7">
        <v>45789.27553940271</v>
      </c>
      <c r="G1984" s="3" t="s">
        <v>6879</v>
      </c>
    </row>
    <row r="1985">
      <c r="A1985" s="3" t="s">
        <v>6881</v>
      </c>
      <c r="B1985" s="3" t="s">
        <v>2430</v>
      </c>
      <c r="C1985" s="5" t="s">
        <v>221</v>
      </c>
      <c r="D1985" s="3" t="s">
        <v>614</v>
      </c>
      <c r="E1985" s="3" t="s">
        <v>118</v>
      </c>
      <c r="F1985" s="7">
        <v>45789.27901162493</v>
      </c>
      <c r="G1985" s="3" t="s">
        <v>6882</v>
      </c>
    </row>
    <row r="1986">
      <c r="A1986" s="3" t="s">
        <v>6883</v>
      </c>
      <c r="B1986" s="3" t="s">
        <v>2430</v>
      </c>
      <c r="C1986" s="5" t="s">
        <v>614</v>
      </c>
      <c r="D1986" s="3" t="s">
        <v>206</v>
      </c>
      <c r="E1986" s="3" t="s">
        <v>100</v>
      </c>
      <c r="F1986" s="7">
        <v>45789.28248384716</v>
      </c>
      <c r="G1986" s="3" t="s">
        <v>6885</v>
      </c>
    </row>
    <row r="1987">
      <c r="A1987" s="3" t="s">
        <v>6886</v>
      </c>
      <c r="B1987" s="3" t="s">
        <v>2430</v>
      </c>
      <c r="C1987" s="5" t="s">
        <v>206</v>
      </c>
      <c r="D1987" s="3" t="s">
        <v>68</v>
      </c>
      <c r="E1987" s="3" t="s">
        <v>100</v>
      </c>
      <c r="F1987" s="7">
        <v>45789.285956069376</v>
      </c>
      <c r="G1987" s="3" t="s">
        <v>6888</v>
      </c>
    </row>
    <row r="1988">
      <c r="A1988" s="3" t="s">
        <v>6889</v>
      </c>
      <c r="B1988" s="3" t="s">
        <v>2433</v>
      </c>
      <c r="C1988" s="5" t="s">
        <v>45</v>
      </c>
      <c r="D1988" s="3" t="s">
        <v>221</v>
      </c>
      <c r="E1988" s="3" t="s">
        <v>655</v>
      </c>
      <c r="F1988" s="7">
        <v>45789.346714248124</v>
      </c>
      <c r="G1988" s="3" t="s">
        <v>6667</v>
      </c>
    </row>
    <row r="1989">
      <c r="A1989" s="3" t="s">
        <v>6891</v>
      </c>
      <c r="B1989" s="3" t="s">
        <v>2433</v>
      </c>
      <c r="C1989" s="5" t="s">
        <v>221</v>
      </c>
      <c r="D1989" s="3" t="s">
        <v>614</v>
      </c>
      <c r="E1989" s="3" t="s">
        <v>118</v>
      </c>
      <c r="F1989" s="7">
        <v>45789.35018647034</v>
      </c>
      <c r="G1989" s="3" t="s">
        <v>6670</v>
      </c>
    </row>
    <row r="1990">
      <c r="A1990" s="3" t="s">
        <v>6892</v>
      </c>
      <c r="B1990" s="3" t="s">
        <v>2433</v>
      </c>
      <c r="C1990" s="5" t="s">
        <v>614</v>
      </c>
      <c r="D1990" s="3" t="s">
        <v>206</v>
      </c>
      <c r="E1990" s="3" t="s">
        <v>100</v>
      </c>
      <c r="F1990" s="7">
        <v>45789.35365869257</v>
      </c>
      <c r="G1990" s="3" t="s">
        <v>6673</v>
      </c>
    </row>
    <row r="1991">
      <c r="A1991" s="3" t="s">
        <v>6894</v>
      </c>
      <c r="B1991" s="3" t="s">
        <v>2433</v>
      </c>
      <c r="C1991" s="5" t="s">
        <v>206</v>
      </c>
      <c r="D1991" s="3" t="s">
        <v>68</v>
      </c>
      <c r="E1991" s="3" t="s">
        <v>100</v>
      </c>
      <c r="F1991" s="7">
        <v>45789.35713091479</v>
      </c>
      <c r="G1991" s="3" t="s">
        <v>6676</v>
      </c>
    </row>
    <row r="1992">
      <c r="A1992" s="3" t="s">
        <v>6896</v>
      </c>
      <c r="B1992" s="3" t="s">
        <v>2435</v>
      </c>
      <c r="C1992" s="5" t="s">
        <v>45</v>
      </c>
      <c r="D1992" s="3" t="s">
        <v>221</v>
      </c>
      <c r="E1992" s="3" t="s">
        <v>296</v>
      </c>
      <c r="F1992" s="7">
        <v>45789.417889093536</v>
      </c>
      <c r="G1992" s="3" t="s">
        <v>5326</v>
      </c>
    </row>
    <row r="1993">
      <c r="A1993" s="3" t="s">
        <v>6898</v>
      </c>
      <c r="B1993" s="3" t="s">
        <v>2435</v>
      </c>
      <c r="C1993" s="5" t="s">
        <v>221</v>
      </c>
      <c r="D1993" s="3" t="s">
        <v>614</v>
      </c>
      <c r="E1993" s="3" t="s">
        <v>118</v>
      </c>
      <c r="F1993" s="7">
        <v>45789.421361315755</v>
      </c>
      <c r="G1993" s="3" t="s">
        <v>5329</v>
      </c>
    </row>
    <row r="1994">
      <c r="A1994" s="3" t="s">
        <v>6900</v>
      </c>
      <c r="B1994" s="3" t="s">
        <v>2435</v>
      </c>
      <c r="C1994" s="5" t="s">
        <v>614</v>
      </c>
      <c r="D1994" s="3" t="s">
        <v>206</v>
      </c>
      <c r="E1994" s="3" t="s">
        <v>100</v>
      </c>
      <c r="F1994" s="7">
        <v>45789.42483353798</v>
      </c>
      <c r="G1994" s="3" t="s">
        <v>5332</v>
      </c>
    </row>
    <row r="1995">
      <c r="A1995" s="3" t="s">
        <v>6902</v>
      </c>
      <c r="B1995" s="3" t="s">
        <v>2435</v>
      </c>
      <c r="C1995" s="5" t="s">
        <v>206</v>
      </c>
      <c r="D1995" s="3" t="s">
        <v>68</v>
      </c>
      <c r="E1995" s="3" t="s">
        <v>100</v>
      </c>
      <c r="F1995" s="7">
        <v>45789.4283057602</v>
      </c>
      <c r="G1995" s="3" t="s">
        <v>5335</v>
      </c>
    </row>
    <row r="1996">
      <c r="A1996" s="3" t="s">
        <v>6904</v>
      </c>
      <c r="B1996" s="3" t="s">
        <v>2437</v>
      </c>
      <c r="C1996" s="5" t="s">
        <v>45</v>
      </c>
      <c r="D1996" s="3" t="s">
        <v>221</v>
      </c>
      <c r="E1996" s="3" t="s">
        <v>972</v>
      </c>
      <c r="F1996" s="7">
        <v>45789.489063938956</v>
      </c>
      <c r="G1996" s="3" t="s">
        <v>6905</v>
      </c>
    </row>
    <row r="1997">
      <c r="A1997" s="3" t="s">
        <v>6906</v>
      </c>
      <c r="B1997" s="3" t="s">
        <v>2437</v>
      </c>
      <c r="C1997" s="5" t="s">
        <v>221</v>
      </c>
      <c r="D1997" s="3" t="s">
        <v>614</v>
      </c>
      <c r="E1997" s="3" t="s">
        <v>118</v>
      </c>
      <c r="F1997" s="7">
        <v>45789.492536161175</v>
      </c>
      <c r="G1997" s="3" t="s">
        <v>6908</v>
      </c>
    </row>
    <row r="1998">
      <c r="A1998" s="3" t="s">
        <v>6910</v>
      </c>
      <c r="B1998" s="3" t="s">
        <v>2437</v>
      </c>
      <c r="C1998" s="5" t="s">
        <v>614</v>
      </c>
      <c r="D1998" s="3" t="s">
        <v>206</v>
      </c>
      <c r="E1998" s="3" t="s">
        <v>100</v>
      </c>
      <c r="F1998" s="7">
        <v>45789.4960083834</v>
      </c>
      <c r="G1998" s="3" t="s">
        <v>6911</v>
      </c>
    </row>
    <row r="1999">
      <c r="A1999" s="3" t="s">
        <v>6912</v>
      </c>
      <c r="B1999" s="3" t="s">
        <v>2437</v>
      </c>
      <c r="C1999" s="5" t="s">
        <v>206</v>
      </c>
      <c r="D1999" s="3" t="s">
        <v>68</v>
      </c>
      <c r="E1999" s="3" t="s">
        <v>100</v>
      </c>
      <c r="F1999" s="7">
        <v>45789.49948060562</v>
      </c>
      <c r="G1999" s="3" t="s">
        <v>6914</v>
      </c>
    </row>
    <row r="2000">
      <c r="A2000" s="3" t="s">
        <v>6915</v>
      </c>
      <c r="B2000" s="3" t="s">
        <v>2440</v>
      </c>
      <c r="C2000" s="5" t="s">
        <v>45</v>
      </c>
      <c r="D2000" s="3" t="s">
        <v>221</v>
      </c>
      <c r="E2000" s="3" t="s">
        <v>554</v>
      </c>
      <c r="F2000" s="7">
        <v>45789.56023878437</v>
      </c>
      <c r="G2000" s="3" t="s">
        <v>6300</v>
      </c>
    </row>
    <row r="2001">
      <c r="A2001" s="3" t="s">
        <v>6917</v>
      </c>
      <c r="B2001" s="3" t="s">
        <v>2440</v>
      </c>
      <c r="C2001" s="5" t="s">
        <v>221</v>
      </c>
      <c r="D2001" s="3" t="s">
        <v>614</v>
      </c>
      <c r="E2001" s="3" t="s">
        <v>118</v>
      </c>
      <c r="F2001" s="7">
        <v>45789.56371100659</v>
      </c>
      <c r="G2001" s="3" t="s">
        <v>6303</v>
      </c>
    </row>
    <row r="2002">
      <c r="A2002" s="3" t="s">
        <v>6919</v>
      </c>
      <c r="B2002" s="3" t="s">
        <v>2440</v>
      </c>
      <c r="C2002" s="5" t="s">
        <v>614</v>
      </c>
      <c r="D2002" s="3" t="s">
        <v>206</v>
      </c>
      <c r="E2002" s="3" t="s">
        <v>100</v>
      </c>
      <c r="F2002" s="7">
        <v>45789.56718322881</v>
      </c>
      <c r="G2002" s="3" t="s">
        <v>6305</v>
      </c>
    </row>
    <row r="2003">
      <c r="A2003" s="3" t="s">
        <v>6921</v>
      </c>
      <c r="B2003" s="3" t="s">
        <v>2440</v>
      </c>
      <c r="C2003" s="5" t="s">
        <v>206</v>
      </c>
      <c r="D2003" s="3" t="s">
        <v>68</v>
      </c>
      <c r="E2003" s="3" t="s">
        <v>100</v>
      </c>
      <c r="F2003" s="7">
        <v>45789.57065545103</v>
      </c>
      <c r="G2003" s="3" t="s">
        <v>6308</v>
      </c>
    </row>
    <row r="2004">
      <c r="A2004" s="3" t="s">
        <v>6922</v>
      </c>
      <c r="B2004" s="3" t="s">
        <v>2443</v>
      </c>
      <c r="C2004" s="5" t="s">
        <v>45</v>
      </c>
      <c r="D2004" s="3" t="s">
        <v>221</v>
      </c>
      <c r="E2004" s="3" t="s">
        <v>678</v>
      </c>
      <c r="F2004" s="7">
        <v>45789.63141362978</v>
      </c>
      <c r="G2004" s="3" t="s">
        <v>3679</v>
      </c>
    </row>
    <row r="2005">
      <c r="A2005" s="3" t="s">
        <v>6923</v>
      </c>
      <c r="B2005" s="3" t="s">
        <v>2443</v>
      </c>
      <c r="C2005" s="5" t="s">
        <v>221</v>
      </c>
      <c r="D2005" s="3" t="s">
        <v>614</v>
      </c>
      <c r="E2005" s="3" t="s">
        <v>118</v>
      </c>
      <c r="F2005" s="7">
        <v>45789.634885852</v>
      </c>
      <c r="G2005" s="3" t="s">
        <v>3682</v>
      </c>
    </row>
    <row r="2006">
      <c r="A2006" s="3" t="s">
        <v>6925</v>
      </c>
      <c r="B2006" s="3" t="s">
        <v>2443</v>
      </c>
      <c r="C2006" s="5" t="s">
        <v>614</v>
      </c>
      <c r="D2006" s="3" t="s">
        <v>206</v>
      </c>
      <c r="E2006" s="3" t="s">
        <v>100</v>
      </c>
      <c r="F2006" s="7">
        <v>45789.638358074226</v>
      </c>
      <c r="G2006" s="3" t="s">
        <v>3685</v>
      </c>
    </row>
    <row r="2007">
      <c r="A2007" s="3" t="s">
        <v>6927</v>
      </c>
      <c r="B2007" s="3" t="s">
        <v>2443</v>
      </c>
      <c r="C2007" s="5" t="s">
        <v>206</v>
      </c>
      <c r="D2007" s="3" t="s">
        <v>68</v>
      </c>
      <c r="E2007" s="3" t="s">
        <v>100</v>
      </c>
      <c r="F2007" s="7">
        <v>45789.641830296445</v>
      </c>
      <c r="G2007" s="3" t="s">
        <v>3688</v>
      </c>
    </row>
    <row r="2008">
      <c r="A2008" s="3" t="s">
        <v>6929</v>
      </c>
      <c r="B2008" s="3" t="s">
        <v>2445</v>
      </c>
      <c r="C2008" s="5" t="s">
        <v>45</v>
      </c>
      <c r="D2008" s="3" t="s">
        <v>221</v>
      </c>
      <c r="E2008" s="3" t="s">
        <v>557</v>
      </c>
      <c r="F2008" s="7">
        <v>45789.7025884752</v>
      </c>
      <c r="G2008" s="3" t="s">
        <v>6931</v>
      </c>
    </row>
    <row r="2009">
      <c r="A2009" s="3" t="s">
        <v>6932</v>
      </c>
      <c r="B2009" s="3" t="s">
        <v>2445</v>
      </c>
      <c r="C2009" s="5" t="s">
        <v>221</v>
      </c>
      <c r="D2009" s="3" t="s">
        <v>614</v>
      </c>
      <c r="E2009" s="3" t="s">
        <v>118</v>
      </c>
      <c r="F2009" s="7">
        <v>45789.70606069742</v>
      </c>
      <c r="G2009" s="3" t="s">
        <v>6934</v>
      </c>
    </row>
    <row r="2010">
      <c r="A2010" s="3" t="s">
        <v>6935</v>
      </c>
      <c r="B2010" s="3" t="s">
        <v>2445</v>
      </c>
      <c r="C2010" s="5" t="s">
        <v>614</v>
      </c>
      <c r="D2010" s="3" t="s">
        <v>206</v>
      </c>
      <c r="E2010" s="3" t="s">
        <v>100</v>
      </c>
      <c r="F2010" s="7">
        <v>45789.709532919645</v>
      </c>
      <c r="G2010" s="3" t="s">
        <v>6937</v>
      </c>
    </row>
    <row r="2011">
      <c r="A2011" s="3" t="s">
        <v>6938</v>
      </c>
      <c r="B2011" s="3" t="s">
        <v>2445</v>
      </c>
      <c r="C2011" s="5" t="s">
        <v>206</v>
      </c>
      <c r="D2011" s="3" t="s">
        <v>68</v>
      </c>
      <c r="E2011" s="3" t="s">
        <v>100</v>
      </c>
      <c r="F2011" s="7">
        <v>45789.713005141864</v>
      </c>
      <c r="G2011" s="3" t="s">
        <v>6940</v>
      </c>
    </row>
    <row r="2012">
      <c r="A2012" s="3" t="s">
        <v>6941</v>
      </c>
      <c r="B2012" s="3" t="s">
        <v>2447</v>
      </c>
      <c r="C2012" s="5" t="s">
        <v>45</v>
      </c>
      <c r="D2012" s="3" t="s">
        <v>221</v>
      </c>
      <c r="E2012" s="3" t="s">
        <v>544</v>
      </c>
      <c r="F2012" s="7">
        <v>45789.77376332061</v>
      </c>
      <c r="G2012" s="3" t="s">
        <v>6942</v>
      </c>
    </row>
    <row r="2013">
      <c r="A2013" s="3" t="s">
        <v>6944</v>
      </c>
      <c r="B2013" s="3" t="s">
        <v>2447</v>
      </c>
      <c r="C2013" s="5" t="s">
        <v>221</v>
      </c>
      <c r="D2013" s="3" t="s">
        <v>614</v>
      </c>
      <c r="E2013" s="3" t="s">
        <v>118</v>
      </c>
      <c r="F2013" s="7">
        <v>45789.77723554283</v>
      </c>
      <c r="G2013" s="3" t="s">
        <v>6945</v>
      </c>
    </row>
    <row r="2014">
      <c r="A2014" s="3" t="s">
        <v>6946</v>
      </c>
      <c r="B2014" s="3" t="s">
        <v>2447</v>
      </c>
      <c r="C2014" s="5" t="s">
        <v>614</v>
      </c>
      <c r="D2014" s="3" t="s">
        <v>206</v>
      </c>
      <c r="E2014" s="3" t="s">
        <v>100</v>
      </c>
      <c r="F2014" s="7">
        <v>45789.78070776506</v>
      </c>
      <c r="G2014" s="3" t="s">
        <v>6948</v>
      </c>
    </row>
    <row r="2015">
      <c r="A2015" s="3" t="s">
        <v>6949</v>
      </c>
      <c r="B2015" s="3" t="s">
        <v>2447</v>
      </c>
      <c r="C2015" s="5" t="s">
        <v>206</v>
      </c>
      <c r="D2015" s="3" t="s">
        <v>68</v>
      </c>
      <c r="E2015" s="3" t="s">
        <v>100</v>
      </c>
      <c r="F2015" s="7">
        <v>45789.78417998728</v>
      </c>
      <c r="G2015" s="3" t="s">
        <v>6951</v>
      </c>
    </row>
    <row r="2016">
      <c r="A2016" s="3" t="s">
        <v>6952</v>
      </c>
      <c r="B2016" s="3" t="s">
        <v>2450</v>
      </c>
      <c r="C2016" s="5" t="s">
        <v>45</v>
      </c>
      <c r="D2016" s="3" t="s">
        <v>221</v>
      </c>
      <c r="E2016" s="3" t="s">
        <v>559</v>
      </c>
      <c r="F2016" s="7">
        <v>45789.844938166025</v>
      </c>
      <c r="G2016" s="3" t="s">
        <v>6954</v>
      </c>
    </row>
    <row r="2017">
      <c r="A2017" s="3" t="s">
        <v>6955</v>
      </c>
      <c r="B2017" s="3" t="s">
        <v>2450</v>
      </c>
      <c r="C2017" s="5" t="s">
        <v>221</v>
      </c>
      <c r="D2017" s="3" t="s">
        <v>614</v>
      </c>
      <c r="E2017" s="3" t="s">
        <v>118</v>
      </c>
      <c r="F2017" s="7">
        <v>45789.848410388244</v>
      </c>
      <c r="G2017" s="3" t="s">
        <v>6957</v>
      </c>
    </row>
    <row r="2018">
      <c r="A2018" s="3" t="s">
        <v>6958</v>
      </c>
      <c r="B2018" s="3" t="s">
        <v>2450</v>
      </c>
      <c r="C2018" s="5" t="s">
        <v>614</v>
      </c>
      <c r="D2018" s="3" t="s">
        <v>206</v>
      </c>
      <c r="E2018" s="3" t="s">
        <v>100</v>
      </c>
      <c r="F2018" s="7">
        <v>45789.85188261047</v>
      </c>
      <c r="G2018" s="3" t="s">
        <v>6959</v>
      </c>
    </row>
    <row r="2019">
      <c r="A2019" s="3" t="s">
        <v>6961</v>
      </c>
      <c r="B2019" s="3" t="s">
        <v>2450</v>
      </c>
      <c r="C2019" s="5" t="s">
        <v>206</v>
      </c>
      <c r="D2019" s="3" t="s">
        <v>68</v>
      </c>
      <c r="E2019" s="3" t="s">
        <v>100</v>
      </c>
      <c r="F2019" s="7">
        <v>45789.85535483269</v>
      </c>
      <c r="G2019" s="3" t="s">
        <v>6962</v>
      </c>
    </row>
    <row r="2020">
      <c r="A2020" s="3" t="s">
        <v>6964</v>
      </c>
      <c r="B2020" s="3" t="s">
        <v>2453</v>
      </c>
      <c r="C2020" s="5" t="s">
        <v>45</v>
      </c>
      <c r="D2020" s="3" t="s">
        <v>221</v>
      </c>
      <c r="E2020" s="3" t="s">
        <v>682</v>
      </c>
      <c r="F2020" s="7">
        <v>45789.916113011444</v>
      </c>
      <c r="G2020" s="3" t="s">
        <v>6556</v>
      </c>
    </row>
    <row r="2021">
      <c r="A2021" s="3" t="s">
        <v>6966</v>
      </c>
      <c r="B2021" s="3" t="s">
        <v>2453</v>
      </c>
      <c r="C2021" s="5" t="s">
        <v>221</v>
      </c>
      <c r="D2021" s="3" t="s">
        <v>614</v>
      </c>
      <c r="E2021" s="3" t="s">
        <v>118</v>
      </c>
      <c r="F2021" s="7">
        <v>45789.91958523366</v>
      </c>
      <c r="G2021" s="3" t="s">
        <v>6559</v>
      </c>
    </row>
    <row r="2022">
      <c r="A2022" s="3" t="s">
        <v>6967</v>
      </c>
      <c r="B2022" s="3" t="s">
        <v>2453</v>
      </c>
      <c r="C2022" s="5" t="s">
        <v>614</v>
      </c>
      <c r="D2022" s="3" t="s">
        <v>206</v>
      </c>
      <c r="E2022" s="3" t="s">
        <v>100</v>
      </c>
      <c r="F2022" s="7">
        <v>45789.92305745589</v>
      </c>
      <c r="G2022" s="3" t="s">
        <v>6562</v>
      </c>
    </row>
    <row r="2023">
      <c r="A2023" s="3" t="s">
        <v>6969</v>
      </c>
      <c r="B2023" s="3" t="s">
        <v>2453</v>
      </c>
      <c r="C2023" s="5" t="s">
        <v>206</v>
      </c>
      <c r="D2023" s="3" t="s">
        <v>68</v>
      </c>
      <c r="E2023" s="3" t="s">
        <v>100</v>
      </c>
      <c r="F2023" s="7">
        <v>45789.92652967811</v>
      </c>
      <c r="G2023" s="3" t="s">
        <v>6565</v>
      </c>
    </row>
    <row r="2024">
      <c r="A2024" s="3" t="s">
        <v>6971</v>
      </c>
      <c r="B2024" s="3" t="s">
        <v>2456</v>
      </c>
      <c r="C2024" s="5" t="s">
        <v>45</v>
      </c>
      <c r="D2024" s="3" t="s">
        <v>221</v>
      </c>
      <c r="E2024" s="3" t="s">
        <v>575</v>
      </c>
      <c r="F2024" s="7">
        <v>45789.98728785686</v>
      </c>
      <c r="G2024" s="3" t="s">
        <v>6973</v>
      </c>
    </row>
    <row r="2025">
      <c r="A2025" s="3" t="s">
        <v>6974</v>
      </c>
      <c r="B2025" s="3" t="s">
        <v>2456</v>
      </c>
      <c r="C2025" s="5" t="s">
        <v>221</v>
      </c>
      <c r="D2025" s="3" t="s">
        <v>614</v>
      </c>
      <c r="E2025" s="3" t="s">
        <v>118</v>
      </c>
      <c r="F2025" s="7">
        <v>45789.990760079076</v>
      </c>
      <c r="G2025" s="3" t="s">
        <v>6976</v>
      </c>
    </row>
    <row r="2026">
      <c r="A2026" s="3" t="s">
        <v>6977</v>
      </c>
      <c r="B2026" s="3" t="s">
        <v>2456</v>
      </c>
      <c r="C2026" s="5" t="s">
        <v>614</v>
      </c>
      <c r="D2026" s="3" t="s">
        <v>206</v>
      </c>
      <c r="E2026" s="3" t="s">
        <v>100</v>
      </c>
      <c r="F2026" s="7">
        <v>45789.9942323013</v>
      </c>
      <c r="G2026" s="3" t="s">
        <v>6979</v>
      </c>
    </row>
    <row r="2027">
      <c r="A2027" s="3" t="s">
        <v>6980</v>
      </c>
      <c r="B2027" s="3" t="s">
        <v>2456</v>
      </c>
      <c r="C2027" s="5" t="s">
        <v>206</v>
      </c>
      <c r="D2027" s="3" t="s">
        <v>68</v>
      </c>
      <c r="E2027" s="3" t="s">
        <v>100</v>
      </c>
      <c r="F2027" s="7">
        <v>45789.99770452352</v>
      </c>
      <c r="G2027" s="3" t="s">
        <v>6982</v>
      </c>
    </row>
    <row r="2028">
      <c r="A2028" s="3" t="s">
        <v>6983</v>
      </c>
      <c r="B2028" s="3" t="s">
        <v>2459</v>
      </c>
      <c r="C2028" s="5" t="s">
        <v>45</v>
      </c>
      <c r="D2028" s="3" t="s">
        <v>221</v>
      </c>
      <c r="E2028" s="3" t="s">
        <v>313</v>
      </c>
      <c r="F2028" s="7">
        <v>45790.05846270227</v>
      </c>
      <c r="G2028" s="3" t="s">
        <v>6985</v>
      </c>
    </row>
    <row r="2029">
      <c r="A2029" s="3" t="s">
        <v>6986</v>
      </c>
      <c r="B2029" s="3" t="s">
        <v>2459</v>
      </c>
      <c r="C2029" s="5" t="s">
        <v>221</v>
      </c>
      <c r="D2029" s="3" t="s">
        <v>614</v>
      </c>
      <c r="E2029" s="3" t="s">
        <v>118</v>
      </c>
      <c r="F2029" s="7">
        <v>45790.06193492449</v>
      </c>
      <c r="G2029" s="3" t="s">
        <v>6987</v>
      </c>
    </row>
    <row r="2030">
      <c r="A2030" s="3" t="s">
        <v>6989</v>
      </c>
      <c r="B2030" s="3" t="s">
        <v>2459</v>
      </c>
      <c r="C2030" s="5" t="s">
        <v>614</v>
      </c>
      <c r="D2030" s="3" t="s">
        <v>206</v>
      </c>
      <c r="E2030" s="3" t="s">
        <v>100</v>
      </c>
      <c r="F2030" s="7">
        <v>45790.065407146714</v>
      </c>
      <c r="G2030" s="3" t="s">
        <v>6990</v>
      </c>
    </row>
    <row r="2031">
      <c r="A2031" s="3" t="s">
        <v>6991</v>
      </c>
      <c r="B2031" s="3" t="s">
        <v>2459</v>
      </c>
      <c r="C2031" s="5" t="s">
        <v>206</v>
      </c>
      <c r="D2031" s="3" t="s">
        <v>68</v>
      </c>
      <c r="E2031" s="3" t="s">
        <v>100</v>
      </c>
      <c r="F2031" s="7">
        <v>45790.06887936893</v>
      </c>
      <c r="G2031" s="3" t="s">
        <v>6993</v>
      </c>
    </row>
    <row r="2032">
      <c r="A2032" s="3" t="s">
        <v>6994</v>
      </c>
      <c r="B2032" s="3" t="s">
        <v>2463</v>
      </c>
      <c r="C2032" s="5" t="s">
        <v>45</v>
      </c>
      <c r="D2032" s="3" t="s">
        <v>221</v>
      </c>
      <c r="E2032" s="3" t="s">
        <v>1037</v>
      </c>
      <c r="F2032" s="7">
        <v>45790.12963754769</v>
      </c>
      <c r="G2032" s="3" t="s">
        <v>6996</v>
      </c>
    </row>
    <row r="2033">
      <c r="A2033" s="3" t="s">
        <v>6997</v>
      </c>
      <c r="B2033" s="3" t="s">
        <v>2463</v>
      </c>
      <c r="C2033" s="5" t="s">
        <v>221</v>
      </c>
      <c r="D2033" s="3" t="s">
        <v>614</v>
      </c>
      <c r="E2033" s="3" t="s">
        <v>118</v>
      </c>
      <c r="F2033" s="7">
        <v>45790.13310976991</v>
      </c>
      <c r="G2033" s="3" t="s">
        <v>6999</v>
      </c>
    </row>
    <row r="2034">
      <c r="A2034" s="3" t="s">
        <v>7000</v>
      </c>
      <c r="B2034" s="3" t="s">
        <v>2463</v>
      </c>
      <c r="C2034" s="5" t="s">
        <v>614</v>
      </c>
      <c r="D2034" s="3" t="s">
        <v>206</v>
      </c>
      <c r="E2034" s="3" t="s">
        <v>100</v>
      </c>
      <c r="F2034" s="7">
        <v>45790.136581992134</v>
      </c>
      <c r="G2034" s="3" t="s">
        <v>7002</v>
      </c>
    </row>
    <row r="2035">
      <c r="A2035" s="3" t="s">
        <v>7003</v>
      </c>
      <c r="B2035" s="3" t="s">
        <v>2463</v>
      </c>
      <c r="C2035" s="5" t="s">
        <v>206</v>
      </c>
      <c r="D2035" s="3" t="s">
        <v>68</v>
      </c>
      <c r="E2035" s="3" t="s">
        <v>100</v>
      </c>
      <c r="F2035" s="7">
        <v>45790.14005421435</v>
      </c>
      <c r="G2035" s="3" t="s">
        <v>7005</v>
      </c>
    </row>
    <row r="2036">
      <c r="A2036" s="3" t="s">
        <v>7007</v>
      </c>
      <c r="B2036" s="3" t="s">
        <v>2465</v>
      </c>
      <c r="C2036" s="5" t="s">
        <v>45</v>
      </c>
      <c r="D2036" s="3" t="s">
        <v>221</v>
      </c>
      <c r="E2036" s="3" t="s">
        <v>224</v>
      </c>
      <c r="F2036" s="7">
        <v>45790.20081239311</v>
      </c>
      <c r="G2036" s="3" t="s">
        <v>7009</v>
      </c>
    </row>
    <row r="2037">
      <c r="A2037" s="3" t="s">
        <v>7010</v>
      </c>
      <c r="B2037" s="3" t="s">
        <v>2465</v>
      </c>
      <c r="C2037" s="5" t="s">
        <v>221</v>
      </c>
      <c r="D2037" s="3" t="s">
        <v>614</v>
      </c>
      <c r="E2037" s="3" t="s">
        <v>118</v>
      </c>
      <c r="F2037" s="7">
        <v>45790.20428461533</v>
      </c>
      <c r="G2037" s="3" t="s">
        <v>7012</v>
      </c>
    </row>
    <row r="2038">
      <c r="A2038" s="3" t="s">
        <v>7014</v>
      </c>
      <c r="B2038" s="3" t="s">
        <v>2465</v>
      </c>
      <c r="C2038" s="5" t="s">
        <v>614</v>
      </c>
      <c r="D2038" s="3" t="s">
        <v>206</v>
      </c>
      <c r="E2038" s="3" t="s">
        <v>100</v>
      </c>
      <c r="F2038" s="7">
        <v>45790.20775683755</v>
      </c>
      <c r="G2038" s="3" t="s">
        <v>7015</v>
      </c>
    </row>
    <row r="2039">
      <c r="A2039" s="3" t="s">
        <v>7017</v>
      </c>
      <c r="B2039" s="3" t="s">
        <v>2465</v>
      </c>
      <c r="C2039" s="5" t="s">
        <v>206</v>
      </c>
      <c r="D2039" s="3" t="s">
        <v>68</v>
      </c>
      <c r="E2039" s="3" t="s">
        <v>100</v>
      </c>
      <c r="F2039" s="7">
        <v>45790.21122905977</v>
      </c>
      <c r="G2039" s="3" t="s">
        <v>7018</v>
      </c>
    </row>
    <row r="2040">
      <c r="A2040" s="3" t="s">
        <v>7019</v>
      </c>
      <c r="B2040" s="3" t="s">
        <v>2467</v>
      </c>
      <c r="C2040" s="5" t="s">
        <v>45</v>
      </c>
      <c r="D2040" s="3" t="s">
        <v>221</v>
      </c>
      <c r="E2040" s="3" t="s">
        <v>436</v>
      </c>
      <c r="F2040" s="7">
        <v>45790.27198723851</v>
      </c>
      <c r="G2040" s="3" t="s">
        <v>7021</v>
      </c>
    </row>
    <row r="2041">
      <c r="A2041" s="3" t="s">
        <v>7022</v>
      </c>
      <c r="B2041" s="3" t="s">
        <v>2467</v>
      </c>
      <c r="C2041" s="5" t="s">
        <v>221</v>
      </c>
      <c r="D2041" s="3" t="s">
        <v>614</v>
      </c>
      <c r="E2041" s="3" t="s">
        <v>118</v>
      </c>
      <c r="F2041" s="7">
        <v>45790.27545946073</v>
      </c>
      <c r="G2041" s="3" t="s">
        <v>7024</v>
      </c>
    </row>
    <row r="2042">
      <c r="A2042" s="3" t="s">
        <v>7025</v>
      </c>
      <c r="B2042" s="3" t="s">
        <v>2467</v>
      </c>
      <c r="C2042" s="5" t="s">
        <v>614</v>
      </c>
      <c r="D2042" s="3" t="s">
        <v>206</v>
      </c>
      <c r="E2042" s="3" t="s">
        <v>100</v>
      </c>
      <c r="F2042" s="7">
        <v>45790.27893168296</v>
      </c>
      <c r="G2042" s="3" t="s">
        <v>7027</v>
      </c>
    </row>
    <row r="2043">
      <c r="A2043" s="3" t="s">
        <v>7028</v>
      </c>
      <c r="B2043" s="3" t="s">
        <v>2467</v>
      </c>
      <c r="C2043" s="5" t="s">
        <v>206</v>
      </c>
      <c r="D2043" s="3" t="s">
        <v>68</v>
      </c>
      <c r="E2043" s="3" t="s">
        <v>100</v>
      </c>
      <c r="F2043" s="7">
        <v>45790.28240390518</v>
      </c>
      <c r="G2043" s="3" t="s">
        <v>7030</v>
      </c>
    </row>
    <row r="2044">
      <c r="A2044" s="3" t="s">
        <v>7031</v>
      </c>
      <c r="B2044" s="3" t="s">
        <v>2470</v>
      </c>
      <c r="C2044" s="5" t="s">
        <v>45</v>
      </c>
      <c r="D2044" s="3" t="s">
        <v>221</v>
      </c>
      <c r="E2044" s="3" t="s">
        <v>189</v>
      </c>
      <c r="F2044" s="7">
        <v>45790.34316208393</v>
      </c>
      <c r="G2044" s="3" t="s">
        <v>7033</v>
      </c>
    </row>
    <row r="2045">
      <c r="A2045" s="3" t="s">
        <v>7034</v>
      </c>
      <c r="B2045" s="3" t="s">
        <v>2470</v>
      </c>
      <c r="C2045" s="5" t="s">
        <v>221</v>
      </c>
      <c r="D2045" s="3" t="s">
        <v>614</v>
      </c>
      <c r="E2045" s="3" t="s">
        <v>118</v>
      </c>
      <c r="F2045" s="7">
        <v>45790.34663430615</v>
      </c>
      <c r="G2045" s="3" t="s">
        <v>7036</v>
      </c>
    </row>
    <row r="2046">
      <c r="A2046" s="3" t="s">
        <v>7037</v>
      </c>
      <c r="B2046" s="3" t="s">
        <v>2470</v>
      </c>
      <c r="C2046" s="5" t="s">
        <v>614</v>
      </c>
      <c r="D2046" s="3" t="s">
        <v>206</v>
      </c>
      <c r="E2046" s="3" t="s">
        <v>100</v>
      </c>
      <c r="F2046" s="7">
        <v>45790.35010652838</v>
      </c>
      <c r="G2046" s="3" t="s">
        <v>7039</v>
      </c>
    </row>
    <row r="2047">
      <c r="A2047" s="3" t="s">
        <v>7040</v>
      </c>
      <c r="B2047" s="3" t="s">
        <v>2470</v>
      </c>
      <c r="C2047" s="5" t="s">
        <v>206</v>
      </c>
      <c r="D2047" s="3" t="s">
        <v>68</v>
      </c>
      <c r="E2047" s="3" t="s">
        <v>100</v>
      </c>
      <c r="F2047" s="7">
        <v>45790.3535787506</v>
      </c>
      <c r="G2047" s="3" t="s">
        <v>7042</v>
      </c>
    </row>
    <row r="2048">
      <c r="A2048" s="3" t="s">
        <v>7043</v>
      </c>
      <c r="B2048" s="3" t="s">
        <v>2472</v>
      </c>
      <c r="C2048" s="5" t="s">
        <v>45</v>
      </c>
      <c r="D2048" s="3" t="s">
        <v>221</v>
      </c>
      <c r="E2048" s="3" t="s">
        <v>883</v>
      </c>
      <c r="F2048" s="7">
        <v>45790.41433692935</v>
      </c>
      <c r="G2048" s="3" t="s">
        <v>7044</v>
      </c>
    </row>
    <row r="2049">
      <c r="A2049" s="3" t="s">
        <v>7045</v>
      </c>
      <c r="B2049" s="3" t="s">
        <v>2472</v>
      </c>
      <c r="C2049" s="5" t="s">
        <v>221</v>
      </c>
      <c r="D2049" s="3" t="s">
        <v>614</v>
      </c>
      <c r="E2049" s="3" t="s">
        <v>118</v>
      </c>
      <c r="F2049" s="7">
        <v>45790.41780915157</v>
      </c>
      <c r="G2049" s="3" t="s">
        <v>7047</v>
      </c>
    </row>
    <row r="2050">
      <c r="A2050" s="3" t="s">
        <v>7048</v>
      </c>
      <c r="B2050" s="3" t="s">
        <v>2472</v>
      </c>
      <c r="C2050" s="5" t="s">
        <v>614</v>
      </c>
      <c r="D2050" s="3" t="s">
        <v>206</v>
      </c>
      <c r="E2050" s="3" t="s">
        <v>100</v>
      </c>
      <c r="F2050" s="7">
        <v>45790.4212813738</v>
      </c>
      <c r="G2050" s="3" t="s">
        <v>7050</v>
      </c>
    </row>
    <row r="2051">
      <c r="A2051" s="3" t="s">
        <v>7051</v>
      </c>
      <c r="B2051" s="3" t="s">
        <v>2472</v>
      </c>
      <c r="C2051" s="5" t="s">
        <v>206</v>
      </c>
      <c r="D2051" s="3" t="s">
        <v>68</v>
      </c>
      <c r="E2051" s="3" t="s">
        <v>100</v>
      </c>
      <c r="F2051" s="7">
        <v>45790.42475359602</v>
      </c>
      <c r="G2051" s="3" t="s">
        <v>7053</v>
      </c>
    </row>
    <row r="2052">
      <c r="A2052" s="3" t="s">
        <v>7054</v>
      </c>
      <c r="B2052" s="3" t="s">
        <v>2474</v>
      </c>
      <c r="C2052" s="5" t="s">
        <v>45</v>
      </c>
      <c r="D2052" s="3" t="s">
        <v>221</v>
      </c>
      <c r="E2052" s="3" t="s">
        <v>530</v>
      </c>
      <c r="F2052" s="7">
        <v>45790.485511774765</v>
      </c>
      <c r="G2052" s="3" t="s">
        <v>7056</v>
      </c>
    </row>
    <row r="2053">
      <c r="A2053" s="3" t="s">
        <v>7057</v>
      </c>
      <c r="B2053" s="3" t="s">
        <v>2474</v>
      </c>
      <c r="C2053" s="5" t="s">
        <v>221</v>
      </c>
      <c r="D2053" s="3" t="s">
        <v>614</v>
      </c>
      <c r="E2053" s="3" t="s">
        <v>118</v>
      </c>
      <c r="F2053" s="7">
        <v>45790.488983996984</v>
      </c>
      <c r="G2053" s="3" t="s">
        <v>7059</v>
      </c>
    </row>
    <row r="2054">
      <c r="A2054" s="3" t="s">
        <v>7060</v>
      </c>
      <c r="B2054" s="3" t="s">
        <v>2474</v>
      </c>
      <c r="C2054" s="5" t="s">
        <v>614</v>
      </c>
      <c r="D2054" s="3" t="s">
        <v>206</v>
      </c>
      <c r="E2054" s="3" t="s">
        <v>100</v>
      </c>
      <c r="F2054" s="7">
        <v>45790.49245621921</v>
      </c>
      <c r="G2054" s="3" t="s">
        <v>7062</v>
      </c>
    </row>
    <row r="2055">
      <c r="A2055" s="3" t="s">
        <v>7063</v>
      </c>
      <c r="B2055" s="3" t="s">
        <v>2474</v>
      </c>
      <c r="C2055" s="5" t="s">
        <v>206</v>
      </c>
      <c r="D2055" s="3" t="s">
        <v>68</v>
      </c>
      <c r="E2055" s="3" t="s">
        <v>100</v>
      </c>
      <c r="F2055" s="7">
        <v>45790.49592844143</v>
      </c>
      <c r="G2055" s="3" t="s">
        <v>7064</v>
      </c>
    </row>
    <row r="2056">
      <c r="A2056" s="3" t="s">
        <v>7066</v>
      </c>
      <c r="B2056" s="3" t="s">
        <v>2476</v>
      </c>
      <c r="C2056" s="5" t="s">
        <v>45</v>
      </c>
      <c r="D2056" s="3" t="s">
        <v>221</v>
      </c>
      <c r="E2056" s="3" t="s">
        <v>272</v>
      </c>
      <c r="F2056" s="7">
        <v>45790.55668662018</v>
      </c>
      <c r="G2056" s="3" t="s">
        <v>6086</v>
      </c>
    </row>
    <row r="2057">
      <c r="A2057" s="3" t="s">
        <v>7068</v>
      </c>
      <c r="B2057" s="3" t="s">
        <v>2476</v>
      </c>
      <c r="C2057" s="5" t="s">
        <v>221</v>
      </c>
      <c r="D2057" s="3" t="s">
        <v>614</v>
      </c>
      <c r="E2057" s="3" t="s">
        <v>118</v>
      </c>
      <c r="F2057" s="7">
        <v>45790.560158842396</v>
      </c>
      <c r="G2057" s="3" t="s">
        <v>6088</v>
      </c>
    </row>
    <row r="2058">
      <c r="A2058" s="3" t="s">
        <v>7069</v>
      </c>
      <c r="B2058" s="3" t="s">
        <v>2476</v>
      </c>
      <c r="C2058" s="5" t="s">
        <v>614</v>
      </c>
      <c r="D2058" s="3" t="s">
        <v>206</v>
      </c>
      <c r="E2058" s="3" t="s">
        <v>100</v>
      </c>
      <c r="F2058" s="7">
        <v>45790.56363106462</v>
      </c>
      <c r="G2058" s="3" t="s">
        <v>6091</v>
      </c>
    </row>
    <row r="2059">
      <c r="A2059" s="3" t="s">
        <v>7071</v>
      </c>
      <c r="B2059" s="3" t="s">
        <v>2476</v>
      </c>
      <c r="C2059" s="5" t="s">
        <v>206</v>
      </c>
      <c r="D2059" s="3" t="s">
        <v>68</v>
      </c>
      <c r="E2059" s="3" t="s">
        <v>100</v>
      </c>
      <c r="F2059" s="7">
        <v>45790.56710328684</v>
      </c>
      <c r="G2059" s="3" t="s">
        <v>6094</v>
      </c>
    </row>
    <row r="2060">
      <c r="A2060" s="3" t="s">
        <v>7073</v>
      </c>
      <c r="B2060" s="3" t="s">
        <v>2478</v>
      </c>
      <c r="C2060" s="5" t="s">
        <v>45</v>
      </c>
      <c r="D2060" s="3" t="s">
        <v>221</v>
      </c>
      <c r="E2060" s="3" t="s">
        <v>406</v>
      </c>
      <c r="F2060" s="7">
        <v>45790.6278614656</v>
      </c>
      <c r="G2060" s="3" t="s">
        <v>7075</v>
      </c>
    </row>
    <row r="2061">
      <c r="A2061" s="3" t="s">
        <v>7076</v>
      </c>
      <c r="B2061" s="3" t="s">
        <v>2478</v>
      </c>
      <c r="C2061" s="5" t="s">
        <v>221</v>
      </c>
      <c r="D2061" s="3" t="s">
        <v>614</v>
      </c>
      <c r="E2061" s="3" t="s">
        <v>118</v>
      </c>
      <c r="F2061" s="7">
        <v>45790.631333687816</v>
      </c>
      <c r="G2061" s="3" t="s">
        <v>7078</v>
      </c>
    </row>
    <row r="2062">
      <c r="A2062" s="3" t="s">
        <v>7079</v>
      </c>
      <c r="B2062" s="3" t="s">
        <v>2478</v>
      </c>
      <c r="C2062" s="5" t="s">
        <v>614</v>
      </c>
      <c r="D2062" s="3" t="s">
        <v>206</v>
      </c>
      <c r="E2062" s="3" t="s">
        <v>100</v>
      </c>
      <c r="F2062" s="7">
        <v>45790.63480591004</v>
      </c>
      <c r="G2062" s="3" t="s">
        <v>7081</v>
      </c>
    </row>
    <row r="2063">
      <c r="A2063" s="3" t="s">
        <v>7082</v>
      </c>
      <c r="B2063" s="3" t="s">
        <v>2478</v>
      </c>
      <c r="C2063" s="5" t="s">
        <v>206</v>
      </c>
      <c r="D2063" s="3" t="s">
        <v>68</v>
      </c>
      <c r="E2063" s="3" t="s">
        <v>100</v>
      </c>
      <c r="F2063" s="7">
        <v>45790.63827813226</v>
      </c>
      <c r="G2063" s="3" t="s">
        <v>7084</v>
      </c>
    </row>
    <row r="2064">
      <c r="A2064" s="3" t="s">
        <v>7085</v>
      </c>
      <c r="B2064" s="3" t="s">
        <v>2481</v>
      </c>
      <c r="C2064" s="5" t="s">
        <v>45</v>
      </c>
      <c r="D2064" s="3" t="s">
        <v>221</v>
      </c>
      <c r="E2064" s="3" t="s">
        <v>678</v>
      </c>
      <c r="F2064" s="7">
        <v>45790.69903631101</v>
      </c>
      <c r="G2064" s="3" t="s">
        <v>3679</v>
      </c>
    </row>
    <row r="2065">
      <c r="A2065" s="3" t="s">
        <v>7087</v>
      </c>
      <c r="B2065" s="3" t="s">
        <v>2481</v>
      </c>
      <c r="C2065" s="5" t="s">
        <v>221</v>
      </c>
      <c r="D2065" s="3" t="s">
        <v>614</v>
      </c>
      <c r="E2065" s="3" t="s">
        <v>118</v>
      </c>
      <c r="F2065" s="7">
        <v>45790.70250853323</v>
      </c>
      <c r="G2065" s="3" t="s">
        <v>3682</v>
      </c>
    </row>
    <row r="2066">
      <c r="A2066" s="3" t="s">
        <v>7089</v>
      </c>
      <c r="B2066" s="3" t="s">
        <v>2481</v>
      </c>
      <c r="C2066" s="5" t="s">
        <v>614</v>
      </c>
      <c r="D2066" s="3" t="s">
        <v>206</v>
      </c>
      <c r="E2066" s="3" t="s">
        <v>100</v>
      </c>
      <c r="F2066" s="7">
        <v>45790.705980755454</v>
      </c>
      <c r="G2066" s="3" t="s">
        <v>3685</v>
      </c>
    </row>
    <row r="2067">
      <c r="A2067" s="3" t="s">
        <v>7091</v>
      </c>
      <c r="B2067" s="3" t="s">
        <v>2481</v>
      </c>
      <c r="C2067" s="5" t="s">
        <v>206</v>
      </c>
      <c r="D2067" s="3" t="s">
        <v>68</v>
      </c>
      <c r="E2067" s="3" t="s">
        <v>100</v>
      </c>
      <c r="F2067" s="7">
        <v>45790.70945297767</v>
      </c>
      <c r="G2067" s="3" t="s">
        <v>3688</v>
      </c>
    </row>
    <row r="2068">
      <c r="A2068" s="3" t="s">
        <v>7092</v>
      </c>
      <c r="B2068" s="3" t="s">
        <v>2484</v>
      </c>
      <c r="C2068" s="5" t="s">
        <v>45</v>
      </c>
      <c r="D2068" s="3" t="s">
        <v>221</v>
      </c>
      <c r="E2068" s="3" t="s">
        <v>430</v>
      </c>
      <c r="F2068" s="7">
        <v>45790.77021115642</v>
      </c>
      <c r="G2068" s="3" t="s">
        <v>7094</v>
      </c>
    </row>
    <row r="2069">
      <c r="A2069" s="3" t="s">
        <v>7095</v>
      </c>
      <c r="B2069" s="3" t="s">
        <v>2484</v>
      </c>
      <c r="C2069" s="5" t="s">
        <v>221</v>
      </c>
      <c r="D2069" s="3" t="s">
        <v>614</v>
      </c>
      <c r="E2069" s="3" t="s">
        <v>118</v>
      </c>
      <c r="F2069" s="7">
        <v>45790.77368337864</v>
      </c>
      <c r="G2069" s="3" t="s">
        <v>7096</v>
      </c>
    </row>
    <row r="2070">
      <c r="A2070" s="3" t="s">
        <v>7098</v>
      </c>
      <c r="B2070" s="3" t="s">
        <v>2484</v>
      </c>
      <c r="C2070" s="5" t="s">
        <v>614</v>
      </c>
      <c r="D2070" s="3" t="s">
        <v>206</v>
      </c>
      <c r="E2070" s="3" t="s">
        <v>100</v>
      </c>
      <c r="F2070" s="7">
        <v>45790.77715560087</v>
      </c>
      <c r="G2070" s="3" t="s">
        <v>7099</v>
      </c>
    </row>
    <row r="2071">
      <c r="A2071" s="3" t="s">
        <v>7101</v>
      </c>
      <c r="B2071" s="3" t="s">
        <v>2484</v>
      </c>
      <c r="C2071" s="5" t="s">
        <v>206</v>
      </c>
      <c r="D2071" s="3" t="s">
        <v>68</v>
      </c>
      <c r="E2071" s="3" t="s">
        <v>100</v>
      </c>
      <c r="F2071" s="7">
        <v>45790.780627823086</v>
      </c>
      <c r="G2071" s="3" t="s">
        <v>7103</v>
      </c>
    </row>
    <row r="2072">
      <c r="A2072" s="3" t="s">
        <v>7104</v>
      </c>
      <c r="B2072" s="3" t="s">
        <v>2486</v>
      </c>
      <c r="C2072" s="5" t="s">
        <v>45</v>
      </c>
      <c r="D2072" s="3" t="s">
        <v>221</v>
      </c>
      <c r="E2072" s="3" t="s">
        <v>691</v>
      </c>
      <c r="F2072" s="7">
        <v>45790.84138600184</v>
      </c>
      <c r="G2072" s="3" t="s">
        <v>7106</v>
      </c>
    </row>
    <row r="2073">
      <c r="A2073" s="3" t="s">
        <v>7107</v>
      </c>
      <c r="B2073" s="3" t="s">
        <v>2486</v>
      </c>
      <c r="C2073" s="5" t="s">
        <v>221</v>
      </c>
      <c r="D2073" s="3" t="s">
        <v>614</v>
      </c>
      <c r="E2073" s="3" t="s">
        <v>118</v>
      </c>
      <c r="F2073" s="7">
        <v>45790.84485822406</v>
      </c>
      <c r="G2073" s="3" t="s">
        <v>7109</v>
      </c>
    </row>
    <row r="2074">
      <c r="A2074" s="3" t="s">
        <v>7110</v>
      </c>
      <c r="B2074" s="3" t="s">
        <v>2486</v>
      </c>
      <c r="C2074" s="5" t="s">
        <v>614</v>
      </c>
      <c r="D2074" s="3" t="s">
        <v>206</v>
      </c>
      <c r="E2074" s="3" t="s">
        <v>100</v>
      </c>
      <c r="F2074" s="7">
        <v>45790.848330446286</v>
      </c>
      <c r="G2074" s="3" t="s">
        <v>7112</v>
      </c>
    </row>
    <row r="2075">
      <c r="A2075" s="3" t="s">
        <v>7113</v>
      </c>
      <c r="B2075" s="3" t="s">
        <v>2486</v>
      </c>
      <c r="C2075" s="5" t="s">
        <v>206</v>
      </c>
      <c r="D2075" s="3" t="s">
        <v>68</v>
      </c>
      <c r="E2075" s="3" t="s">
        <v>100</v>
      </c>
      <c r="F2075" s="7">
        <v>45790.851802668505</v>
      </c>
      <c r="G2075" s="3" t="s">
        <v>7114</v>
      </c>
    </row>
    <row r="2076">
      <c r="A2076" s="3" t="s">
        <v>7116</v>
      </c>
      <c r="B2076" s="3" t="s">
        <v>2488</v>
      </c>
      <c r="C2076" s="5" t="s">
        <v>45</v>
      </c>
      <c r="D2076" s="3" t="s">
        <v>221</v>
      </c>
      <c r="E2076" s="3" t="s">
        <v>126</v>
      </c>
      <c r="F2076" s="7">
        <v>45790.91256084725</v>
      </c>
      <c r="G2076" s="3" t="s">
        <v>7117</v>
      </c>
    </row>
    <row r="2077">
      <c r="A2077" s="3" t="s">
        <v>7119</v>
      </c>
      <c r="B2077" s="3" t="s">
        <v>2488</v>
      </c>
      <c r="C2077" s="5" t="s">
        <v>221</v>
      </c>
      <c r="D2077" s="3" t="s">
        <v>614</v>
      </c>
      <c r="E2077" s="3" t="s">
        <v>118</v>
      </c>
      <c r="F2077" s="7">
        <v>45790.91603306947</v>
      </c>
      <c r="G2077" s="3" t="s">
        <v>7120</v>
      </c>
    </row>
    <row r="2078">
      <c r="A2078" s="3" t="s">
        <v>7122</v>
      </c>
      <c r="B2078" s="3" t="s">
        <v>2488</v>
      </c>
      <c r="C2078" s="5" t="s">
        <v>614</v>
      </c>
      <c r="D2078" s="3" t="s">
        <v>206</v>
      </c>
      <c r="E2078" s="3" t="s">
        <v>100</v>
      </c>
      <c r="F2078" s="7">
        <v>45790.9195052917</v>
      </c>
      <c r="G2078" s="3" t="s">
        <v>7123</v>
      </c>
    </row>
    <row r="2079">
      <c r="A2079" s="3" t="s">
        <v>7124</v>
      </c>
      <c r="B2079" s="3" t="s">
        <v>2488</v>
      </c>
      <c r="C2079" s="5" t="s">
        <v>206</v>
      </c>
      <c r="D2079" s="3" t="s">
        <v>68</v>
      </c>
      <c r="E2079" s="3" t="s">
        <v>100</v>
      </c>
      <c r="F2079" s="7">
        <v>45790.92297751392</v>
      </c>
      <c r="G2079" s="3" t="s">
        <v>7126</v>
      </c>
    </row>
    <row r="2080">
      <c r="A2080" s="3" t="s">
        <v>7127</v>
      </c>
      <c r="B2080" s="3" t="s">
        <v>2491</v>
      </c>
      <c r="C2080" s="5" t="s">
        <v>45</v>
      </c>
      <c r="D2080" s="3" t="s">
        <v>221</v>
      </c>
      <c r="E2080" s="3" t="s">
        <v>535</v>
      </c>
      <c r="F2080" s="7">
        <v>45790.983735692666</v>
      </c>
      <c r="G2080" s="3" t="s">
        <v>7129</v>
      </c>
    </row>
    <row r="2081">
      <c r="A2081" s="3" t="s">
        <v>7130</v>
      </c>
      <c r="B2081" s="3" t="s">
        <v>2491</v>
      </c>
      <c r="C2081" s="5" t="s">
        <v>221</v>
      </c>
      <c r="D2081" s="3" t="s">
        <v>614</v>
      </c>
      <c r="E2081" s="3" t="s">
        <v>118</v>
      </c>
      <c r="F2081" s="7">
        <v>45790.987207914884</v>
      </c>
      <c r="G2081" s="3" t="s">
        <v>7132</v>
      </c>
    </row>
    <row r="2082">
      <c r="A2082" s="3" t="s">
        <v>7133</v>
      </c>
      <c r="B2082" s="3" t="s">
        <v>2491</v>
      </c>
      <c r="C2082" s="5" t="s">
        <v>614</v>
      </c>
      <c r="D2082" s="3" t="s">
        <v>206</v>
      </c>
      <c r="E2082" s="3" t="s">
        <v>100</v>
      </c>
      <c r="F2082" s="7">
        <v>45790.99068013711</v>
      </c>
      <c r="G2082" s="3" t="s">
        <v>7135</v>
      </c>
    </row>
    <row r="2083">
      <c r="A2083" s="3" t="s">
        <v>7136</v>
      </c>
      <c r="B2083" s="3" t="s">
        <v>2491</v>
      </c>
      <c r="C2083" s="5" t="s">
        <v>206</v>
      </c>
      <c r="D2083" s="3" t="s">
        <v>68</v>
      </c>
      <c r="E2083" s="3" t="s">
        <v>100</v>
      </c>
      <c r="F2083" s="7">
        <v>45790.99415235933</v>
      </c>
      <c r="G2083" s="3" t="s">
        <v>7138</v>
      </c>
    </row>
    <row r="2084">
      <c r="A2084" s="3" t="s">
        <v>7139</v>
      </c>
      <c r="B2084" s="3" t="s">
        <v>2494</v>
      </c>
      <c r="C2084" s="5" t="s">
        <v>45</v>
      </c>
      <c r="D2084" s="3" t="s">
        <v>221</v>
      </c>
      <c r="E2084" s="3" t="s">
        <v>725</v>
      </c>
      <c r="F2084" s="7">
        <v>45791.054910538085</v>
      </c>
      <c r="G2084" s="3" t="s">
        <v>7141</v>
      </c>
    </row>
    <row r="2085">
      <c r="A2085" s="3" t="s">
        <v>7142</v>
      </c>
      <c r="B2085" s="3" t="s">
        <v>2494</v>
      </c>
      <c r="C2085" s="5" t="s">
        <v>221</v>
      </c>
      <c r="D2085" s="3" t="s">
        <v>614</v>
      </c>
      <c r="E2085" s="3" t="s">
        <v>118</v>
      </c>
      <c r="F2085" s="7">
        <v>45791.058382760304</v>
      </c>
      <c r="G2085" s="3" t="s">
        <v>7144</v>
      </c>
    </row>
    <row r="2086">
      <c r="A2086" s="3" t="s">
        <v>7145</v>
      </c>
      <c r="B2086" s="3" t="s">
        <v>2494</v>
      </c>
      <c r="C2086" s="5" t="s">
        <v>614</v>
      </c>
      <c r="D2086" s="3" t="s">
        <v>206</v>
      </c>
      <c r="E2086" s="3" t="s">
        <v>100</v>
      </c>
      <c r="F2086" s="7">
        <v>45791.06185498253</v>
      </c>
      <c r="G2086" s="3" t="s">
        <v>7147</v>
      </c>
    </row>
    <row r="2087">
      <c r="A2087" s="3" t="s">
        <v>7148</v>
      </c>
      <c r="B2087" s="3" t="s">
        <v>2494</v>
      </c>
      <c r="C2087" s="5" t="s">
        <v>206</v>
      </c>
      <c r="D2087" s="3" t="s">
        <v>68</v>
      </c>
      <c r="E2087" s="3" t="s">
        <v>100</v>
      </c>
      <c r="F2087" s="7">
        <v>45791.06532720475</v>
      </c>
      <c r="G2087" s="3" t="s">
        <v>7149</v>
      </c>
    </row>
    <row r="2088">
      <c r="A2088" s="3" t="s">
        <v>7151</v>
      </c>
      <c r="B2088" s="3" t="s">
        <v>2496</v>
      </c>
      <c r="C2088" s="5" t="s">
        <v>45</v>
      </c>
      <c r="D2088" s="3" t="s">
        <v>221</v>
      </c>
      <c r="E2088" s="3" t="s">
        <v>939</v>
      </c>
      <c r="F2088" s="7">
        <v>45791.1260853835</v>
      </c>
      <c r="G2088" s="3" t="s">
        <v>7152</v>
      </c>
    </row>
    <row r="2089">
      <c r="A2089" s="3" t="s">
        <v>7154</v>
      </c>
      <c r="B2089" s="3" t="s">
        <v>2496</v>
      </c>
      <c r="C2089" s="5" t="s">
        <v>221</v>
      </c>
      <c r="D2089" s="3" t="s">
        <v>614</v>
      </c>
      <c r="E2089" s="3" t="s">
        <v>118</v>
      </c>
      <c r="F2089" s="7">
        <v>45791.12955760572</v>
      </c>
      <c r="G2089" s="3" t="s">
        <v>7155</v>
      </c>
    </row>
    <row r="2090">
      <c r="A2090" s="3" t="s">
        <v>7156</v>
      </c>
      <c r="B2090" s="3" t="s">
        <v>2496</v>
      </c>
      <c r="C2090" s="5" t="s">
        <v>614</v>
      </c>
      <c r="D2090" s="3" t="s">
        <v>206</v>
      </c>
      <c r="E2090" s="3" t="s">
        <v>100</v>
      </c>
      <c r="F2090" s="7">
        <v>45791.13302982794</v>
      </c>
      <c r="G2090" s="3" t="s">
        <v>7158</v>
      </c>
    </row>
    <row r="2091">
      <c r="A2091" s="3" t="s">
        <v>7159</v>
      </c>
      <c r="B2091" s="3" t="s">
        <v>2496</v>
      </c>
      <c r="C2091" s="5" t="s">
        <v>206</v>
      </c>
      <c r="D2091" s="3" t="s">
        <v>68</v>
      </c>
      <c r="E2091" s="3" t="s">
        <v>100</v>
      </c>
      <c r="F2091" s="7">
        <v>45791.13650205016</v>
      </c>
      <c r="G2091" s="3" t="s">
        <v>7161</v>
      </c>
    </row>
    <row r="2092">
      <c r="A2092" s="3" t="s">
        <v>7162</v>
      </c>
      <c r="B2092" s="3" t="s">
        <v>2500</v>
      </c>
      <c r="C2092" s="5" t="s">
        <v>45</v>
      </c>
      <c r="D2092" s="3" t="s">
        <v>221</v>
      </c>
      <c r="E2092" s="3" t="s">
        <v>822</v>
      </c>
      <c r="F2092" s="7">
        <v>45791.19726022892</v>
      </c>
      <c r="G2092" s="3" t="s">
        <v>7164</v>
      </c>
    </row>
    <row r="2093">
      <c r="A2093" s="3" t="s">
        <v>7165</v>
      </c>
      <c r="B2093" s="3" t="s">
        <v>2500</v>
      </c>
      <c r="C2093" s="5" t="s">
        <v>221</v>
      </c>
      <c r="D2093" s="3" t="s">
        <v>614</v>
      </c>
      <c r="E2093" s="3" t="s">
        <v>118</v>
      </c>
      <c r="F2093" s="7">
        <v>45791.200732451136</v>
      </c>
      <c r="G2093" s="3" t="s">
        <v>7166</v>
      </c>
    </row>
    <row r="2094">
      <c r="A2094" s="3" t="s">
        <v>7167</v>
      </c>
      <c r="B2094" s="3" t="s">
        <v>2500</v>
      </c>
      <c r="C2094" s="5" t="s">
        <v>614</v>
      </c>
      <c r="D2094" s="3" t="s">
        <v>206</v>
      </c>
      <c r="E2094" s="3" t="s">
        <v>100</v>
      </c>
      <c r="F2094" s="7">
        <v>45791.20420467336</v>
      </c>
      <c r="G2094" s="3" t="s">
        <v>7169</v>
      </c>
    </row>
    <row r="2095">
      <c r="A2095" s="3" t="s">
        <v>7170</v>
      </c>
      <c r="B2095" s="3" t="s">
        <v>2500</v>
      </c>
      <c r="C2095" s="5" t="s">
        <v>206</v>
      </c>
      <c r="D2095" s="3" t="s">
        <v>68</v>
      </c>
      <c r="E2095" s="3" t="s">
        <v>100</v>
      </c>
      <c r="F2095" s="7">
        <v>45791.20767689558</v>
      </c>
      <c r="G2095" s="3" t="s">
        <v>7172</v>
      </c>
    </row>
    <row r="2096">
      <c r="A2096" s="3" t="s">
        <v>7173</v>
      </c>
      <c r="B2096" s="3" t="s">
        <v>2503</v>
      </c>
      <c r="C2096" s="5" t="s">
        <v>45</v>
      </c>
      <c r="D2096" s="3" t="s">
        <v>221</v>
      </c>
      <c r="E2096" s="3" t="s">
        <v>523</v>
      </c>
      <c r="F2096" s="7">
        <v>45791.26843507433</v>
      </c>
      <c r="G2096" s="3" t="s">
        <v>7174</v>
      </c>
    </row>
    <row r="2097">
      <c r="A2097" s="3" t="s">
        <v>7175</v>
      </c>
      <c r="B2097" s="3" t="s">
        <v>2503</v>
      </c>
      <c r="C2097" s="5" t="s">
        <v>221</v>
      </c>
      <c r="D2097" s="3" t="s">
        <v>614</v>
      </c>
      <c r="E2097" s="3" t="s">
        <v>118</v>
      </c>
      <c r="F2097" s="7">
        <v>45791.27190729655</v>
      </c>
      <c r="G2097" s="3" t="s">
        <v>7177</v>
      </c>
    </row>
    <row r="2098">
      <c r="A2098" s="3" t="s">
        <v>7178</v>
      </c>
      <c r="B2098" s="3" t="s">
        <v>2503</v>
      </c>
      <c r="C2098" s="5" t="s">
        <v>614</v>
      </c>
      <c r="D2098" s="3" t="s">
        <v>206</v>
      </c>
      <c r="E2098" s="3" t="s">
        <v>100</v>
      </c>
      <c r="F2098" s="7">
        <v>45791.275379518775</v>
      </c>
      <c r="G2098" s="3" t="s">
        <v>7180</v>
      </c>
    </row>
    <row r="2099">
      <c r="A2099" s="3" t="s">
        <v>7181</v>
      </c>
      <c r="B2099" s="3" t="s">
        <v>2503</v>
      </c>
      <c r="C2099" s="5" t="s">
        <v>206</v>
      </c>
      <c r="D2099" s="3" t="s">
        <v>68</v>
      </c>
      <c r="E2099" s="3" t="s">
        <v>100</v>
      </c>
      <c r="F2099" s="7">
        <v>45791.27885174099</v>
      </c>
      <c r="G2099" s="3" t="s">
        <v>7182</v>
      </c>
    </row>
    <row r="2100">
      <c r="A2100" s="3" t="s">
        <v>7183</v>
      </c>
      <c r="B2100" s="3" t="s">
        <v>2505</v>
      </c>
      <c r="C2100" s="5" t="s">
        <v>45</v>
      </c>
      <c r="D2100" s="3" t="s">
        <v>221</v>
      </c>
      <c r="E2100" s="3" t="s">
        <v>165</v>
      </c>
      <c r="F2100" s="7">
        <v>45791.33960991975</v>
      </c>
      <c r="G2100" s="3" t="s">
        <v>2770</v>
      </c>
    </row>
    <row r="2101">
      <c r="A2101" s="3" t="s">
        <v>7185</v>
      </c>
      <c r="B2101" s="3" t="s">
        <v>2505</v>
      </c>
      <c r="C2101" s="5" t="s">
        <v>221</v>
      </c>
      <c r="D2101" s="3" t="s">
        <v>181</v>
      </c>
      <c r="E2101" s="3" t="s">
        <v>118</v>
      </c>
      <c r="F2101" s="7">
        <v>45791.34308214197</v>
      </c>
      <c r="G2101" s="3" t="s">
        <v>2774</v>
      </c>
    </row>
    <row r="2102">
      <c r="A2102" s="3" t="s">
        <v>7187</v>
      </c>
      <c r="B2102" s="3" t="s">
        <v>2509</v>
      </c>
      <c r="C2102" s="5" t="s">
        <v>45</v>
      </c>
      <c r="D2102" s="3" t="s">
        <v>221</v>
      </c>
      <c r="E2102" s="3" t="s">
        <v>609</v>
      </c>
      <c r="F2102" s="7">
        <v>45791.410784765154</v>
      </c>
      <c r="G2102" s="3" t="s">
        <v>5685</v>
      </c>
    </row>
    <row r="2103">
      <c r="A2103" s="3" t="s">
        <v>7189</v>
      </c>
      <c r="B2103" s="3" t="s">
        <v>2509</v>
      </c>
      <c r="C2103" s="5" t="s">
        <v>221</v>
      </c>
      <c r="D2103" s="3" t="s">
        <v>614</v>
      </c>
      <c r="E2103" s="3" t="s">
        <v>118</v>
      </c>
      <c r="F2103" s="7">
        <v>45791.41425698737</v>
      </c>
      <c r="G2103" s="3" t="s">
        <v>5687</v>
      </c>
    </row>
    <row r="2104">
      <c r="A2104" s="3" t="s">
        <v>7191</v>
      </c>
      <c r="B2104" s="3" t="s">
        <v>2509</v>
      </c>
      <c r="C2104" s="5" t="s">
        <v>614</v>
      </c>
      <c r="D2104" s="3" t="s">
        <v>206</v>
      </c>
      <c r="E2104" s="3" t="s">
        <v>100</v>
      </c>
      <c r="F2104" s="7">
        <v>45791.4177292096</v>
      </c>
      <c r="G2104" s="3" t="s">
        <v>5690</v>
      </c>
    </row>
    <row r="2105">
      <c r="A2105" s="3" t="s">
        <v>7193</v>
      </c>
      <c r="B2105" s="3" t="s">
        <v>2509</v>
      </c>
      <c r="C2105" s="5" t="s">
        <v>206</v>
      </c>
      <c r="D2105" s="3" t="s">
        <v>68</v>
      </c>
      <c r="E2105" s="3" t="s">
        <v>100</v>
      </c>
      <c r="F2105" s="7">
        <v>45791.42120143182</v>
      </c>
      <c r="G2105" s="3" t="s">
        <v>5693</v>
      </c>
    </row>
    <row r="2106">
      <c r="A2106" s="3" t="s">
        <v>7195</v>
      </c>
      <c r="B2106" s="3" t="s">
        <v>2512</v>
      </c>
      <c r="C2106" s="5" t="s">
        <v>45</v>
      </c>
      <c r="D2106" s="3" t="s">
        <v>221</v>
      </c>
      <c r="E2106" s="3" t="s">
        <v>175</v>
      </c>
      <c r="F2106" s="7">
        <v>45791.48195961057</v>
      </c>
      <c r="G2106" s="3" t="s">
        <v>5623</v>
      </c>
    </row>
    <row r="2107">
      <c r="A2107" s="3" t="s">
        <v>7197</v>
      </c>
      <c r="B2107" s="3" t="s">
        <v>2512</v>
      </c>
      <c r="C2107" s="5" t="s">
        <v>221</v>
      </c>
      <c r="D2107" s="3" t="s">
        <v>614</v>
      </c>
      <c r="E2107" s="3" t="s">
        <v>118</v>
      </c>
      <c r="F2107" s="7">
        <v>45791.48543183279</v>
      </c>
      <c r="G2107" s="3" t="s">
        <v>7199</v>
      </c>
    </row>
    <row r="2108">
      <c r="A2108" s="3" t="s">
        <v>7200</v>
      </c>
      <c r="B2108" s="3" t="s">
        <v>2512</v>
      </c>
      <c r="C2108" s="5" t="s">
        <v>614</v>
      </c>
      <c r="D2108" s="3" t="s">
        <v>206</v>
      </c>
      <c r="E2108" s="3" t="s">
        <v>100</v>
      </c>
      <c r="F2108" s="7">
        <v>45791.48890405502</v>
      </c>
      <c r="G2108" s="3" t="s">
        <v>7201</v>
      </c>
    </row>
    <row r="2109">
      <c r="A2109" s="3" t="s">
        <v>7203</v>
      </c>
      <c r="B2109" s="3" t="s">
        <v>2512</v>
      </c>
      <c r="C2109" s="5" t="s">
        <v>206</v>
      </c>
      <c r="D2109" s="3" t="s">
        <v>68</v>
      </c>
      <c r="E2109" s="3" t="s">
        <v>100</v>
      </c>
      <c r="F2109" s="7">
        <v>45791.49237627724</v>
      </c>
      <c r="G2109" s="3" t="s">
        <v>7204</v>
      </c>
    </row>
    <row r="2110">
      <c r="A2110" s="3" t="s">
        <v>7205</v>
      </c>
      <c r="B2110" s="3" t="s">
        <v>2513</v>
      </c>
      <c r="C2110" s="5" t="s">
        <v>45</v>
      </c>
      <c r="D2110" s="3" t="s">
        <v>221</v>
      </c>
      <c r="E2110" s="3" t="s">
        <v>708</v>
      </c>
      <c r="F2110" s="7">
        <v>45791.55313445599</v>
      </c>
      <c r="G2110" s="3" t="s">
        <v>6749</v>
      </c>
    </row>
    <row r="2111">
      <c r="A2111" s="3" t="s">
        <v>7207</v>
      </c>
      <c r="B2111" s="3" t="s">
        <v>2513</v>
      </c>
      <c r="C2111" s="5" t="s">
        <v>221</v>
      </c>
      <c r="D2111" s="3" t="s">
        <v>614</v>
      </c>
      <c r="E2111" s="3" t="s">
        <v>118</v>
      </c>
      <c r="F2111" s="7">
        <v>45791.55660667821</v>
      </c>
      <c r="G2111" s="3" t="s">
        <v>6752</v>
      </c>
    </row>
    <row r="2112">
      <c r="A2112" s="3" t="s">
        <v>7209</v>
      </c>
      <c r="B2112" s="3" t="s">
        <v>2513</v>
      </c>
      <c r="C2112" s="5" t="s">
        <v>614</v>
      </c>
      <c r="D2112" s="3" t="s">
        <v>206</v>
      </c>
      <c r="E2112" s="3" t="s">
        <v>100</v>
      </c>
      <c r="F2112" s="7">
        <v>45791.56007890044</v>
      </c>
      <c r="G2112" s="3" t="s">
        <v>6755</v>
      </c>
    </row>
    <row r="2113">
      <c r="A2113" s="3" t="s">
        <v>7211</v>
      </c>
      <c r="B2113" s="3" t="s">
        <v>2513</v>
      </c>
      <c r="C2113" s="5" t="s">
        <v>206</v>
      </c>
      <c r="D2113" s="3" t="s">
        <v>68</v>
      </c>
      <c r="E2113" s="3" t="s">
        <v>100</v>
      </c>
      <c r="F2113" s="7">
        <v>45791.56355112266</v>
      </c>
      <c r="G2113" s="3" t="s">
        <v>6758</v>
      </c>
    </row>
    <row r="2114">
      <c r="A2114" s="3" t="s">
        <v>7213</v>
      </c>
      <c r="B2114" s="3" t="s">
        <v>2515</v>
      </c>
      <c r="C2114" s="5" t="s">
        <v>45</v>
      </c>
      <c r="D2114" s="3" t="s">
        <v>221</v>
      </c>
      <c r="E2114" s="3" t="s">
        <v>502</v>
      </c>
      <c r="F2114" s="7">
        <v>45791.624309301405</v>
      </c>
      <c r="G2114" s="3" t="s">
        <v>7214</v>
      </c>
    </row>
    <row r="2115">
      <c r="A2115" s="3" t="s">
        <v>7216</v>
      </c>
      <c r="B2115" s="3" t="s">
        <v>2515</v>
      </c>
      <c r="C2115" s="5" t="s">
        <v>221</v>
      </c>
      <c r="D2115" s="3" t="s">
        <v>614</v>
      </c>
      <c r="E2115" s="3" t="s">
        <v>118</v>
      </c>
      <c r="F2115" s="7">
        <v>45791.627781523624</v>
      </c>
      <c r="G2115" s="3" t="s">
        <v>7217</v>
      </c>
    </row>
    <row r="2116">
      <c r="A2116" s="3" t="s">
        <v>7218</v>
      </c>
      <c r="B2116" s="3" t="s">
        <v>2515</v>
      </c>
      <c r="C2116" s="5" t="s">
        <v>614</v>
      </c>
      <c r="D2116" s="3" t="s">
        <v>206</v>
      </c>
      <c r="E2116" s="3" t="s">
        <v>100</v>
      </c>
      <c r="F2116" s="7">
        <v>45791.63125374585</v>
      </c>
      <c r="G2116" s="3" t="s">
        <v>7220</v>
      </c>
    </row>
    <row r="2117">
      <c r="A2117" s="3" t="s">
        <v>7221</v>
      </c>
      <c r="B2117" s="3" t="s">
        <v>2515</v>
      </c>
      <c r="C2117" s="5" t="s">
        <v>206</v>
      </c>
      <c r="D2117" s="3" t="s">
        <v>68</v>
      </c>
      <c r="E2117" s="3" t="s">
        <v>100</v>
      </c>
      <c r="F2117" s="7">
        <v>45791.63472596807</v>
      </c>
      <c r="G2117" s="3" t="s">
        <v>7223</v>
      </c>
    </row>
    <row r="2118">
      <c r="A2118" s="3" t="s">
        <v>7224</v>
      </c>
      <c r="B2118" s="3" t="s">
        <v>2517</v>
      </c>
      <c r="C2118" s="5" t="s">
        <v>45</v>
      </c>
      <c r="D2118" s="3" t="s">
        <v>221</v>
      </c>
      <c r="E2118" s="3" t="s">
        <v>976</v>
      </c>
      <c r="F2118" s="7">
        <v>45791.69548414682</v>
      </c>
      <c r="G2118" s="3" t="s">
        <v>7226</v>
      </c>
    </row>
    <row r="2119">
      <c r="A2119" s="3" t="s">
        <v>7227</v>
      </c>
      <c r="B2119" s="3" t="s">
        <v>2517</v>
      </c>
      <c r="C2119" s="5" t="s">
        <v>221</v>
      </c>
      <c r="D2119" s="3" t="s">
        <v>614</v>
      </c>
      <c r="E2119" s="3" t="s">
        <v>118</v>
      </c>
      <c r="F2119" s="7">
        <v>45791.69895636904</v>
      </c>
      <c r="G2119" s="3" t="s">
        <v>7229</v>
      </c>
    </row>
    <row r="2120">
      <c r="A2120" s="3" t="s">
        <v>7230</v>
      </c>
      <c r="B2120" s="3" t="s">
        <v>2517</v>
      </c>
      <c r="C2120" s="5" t="s">
        <v>614</v>
      </c>
      <c r="D2120" s="3" t="s">
        <v>206</v>
      </c>
      <c r="E2120" s="3" t="s">
        <v>100</v>
      </c>
      <c r="F2120" s="7">
        <v>45791.70242859126</v>
      </c>
      <c r="G2120" s="3" t="s">
        <v>7232</v>
      </c>
    </row>
    <row r="2121">
      <c r="A2121" s="3" t="s">
        <v>7233</v>
      </c>
      <c r="B2121" s="3" t="s">
        <v>2517</v>
      </c>
      <c r="C2121" s="5" t="s">
        <v>206</v>
      </c>
      <c r="D2121" s="3" t="s">
        <v>68</v>
      </c>
      <c r="E2121" s="3" t="s">
        <v>100</v>
      </c>
      <c r="F2121" s="7">
        <v>45791.70590081348</v>
      </c>
      <c r="G2121" s="3" t="s">
        <v>7235</v>
      </c>
    </row>
    <row r="2122">
      <c r="A2122" s="3" t="s">
        <v>7236</v>
      </c>
      <c r="B2122" s="3" t="s">
        <v>2520</v>
      </c>
      <c r="C2122" s="5" t="s">
        <v>45</v>
      </c>
      <c r="D2122" s="3" t="s">
        <v>221</v>
      </c>
      <c r="E2122" s="3" t="s">
        <v>535</v>
      </c>
      <c r="F2122" s="7">
        <v>45791.76665899224</v>
      </c>
      <c r="G2122" s="3" t="s">
        <v>7238</v>
      </c>
    </row>
    <row r="2123">
      <c r="A2123" s="3" t="s">
        <v>7239</v>
      </c>
      <c r="B2123" s="3" t="s">
        <v>2520</v>
      </c>
      <c r="C2123" s="5" t="s">
        <v>221</v>
      </c>
      <c r="D2123" s="3" t="s">
        <v>614</v>
      </c>
      <c r="E2123" s="3" t="s">
        <v>118</v>
      </c>
      <c r="F2123" s="7">
        <v>45791.770131214456</v>
      </c>
      <c r="G2123" s="3" t="s">
        <v>7241</v>
      </c>
    </row>
    <row r="2124">
      <c r="A2124" s="3" t="s">
        <v>7242</v>
      </c>
      <c r="B2124" s="3" t="s">
        <v>2520</v>
      </c>
      <c r="C2124" s="5" t="s">
        <v>614</v>
      </c>
      <c r="D2124" s="3" t="s">
        <v>206</v>
      </c>
      <c r="E2124" s="3" t="s">
        <v>100</v>
      </c>
      <c r="F2124" s="7">
        <v>45791.77360343668</v>
      </c>
      <c r="G2124" s="3" t="s">
        <v>7244</v>
      </c>
    </row>
    <row r="2125">
      <c r="A2125" s="3" t="s">
        <v>7245</v>
      </c>
      <c r="B2125" s="3" t="s">
        <v>2520</v>
      </c>
      <c r="C2125" s="5" t="s">
        <v>206</v>
      </c>
      <c r="D2125" s="3" t="s">
        <v>68</v>
      </c>
      <c r="E2125" s="3" t="s">
        <v>100</v>
      </c>
      <c r="F2125" s="7">
        <v>45791.7770756589</v>
      </c>
      <c r="G2125" s="3" t="s">
        <v>7246</v>
      </c>
    </row>
    <row r="2126">
      <c r="A2126" s="3" t="s">
        <v>7248</v>
      </c>
      <c r="B2126" s="3" t="s">
        <v>2523</v>
      </c>
      <c r="C2126" s="5" t="s">
        <v>45</v>
      </c>
      <c r="D2126" s="3" t="s">
        <v>221</v>
      </c>
      <c r="E2126" s="3" t="s">
        <v>1049</v>
      </c>
      <c r="F2126" s="7">
        <v>45791.83783383765</v>
      </c>
      <c r="G2126" s="3" t="s">
        <v>7249</v>
      </c>
    </row>
    <row r="2127">
      <c r="A2127" s="3" t="s">
        <v>7251</v>
      </c>
      <c r="B2127" s="3" t="s">
        <v>2523</v>
      </c>
      <c r="C2127" s="5" t="s">
        <v>221</v>
      </c>
      <c r="D2127" s="3" t="s">
        <v>614</v>
      </c>
      <c r="E2127" s="3" t="s">
        <v>118</v>
      </c>
      <c r="F2127" s="7">
        <v>45791.84130605987</v>
      </c>
      <c r="G2127" s="3" t="s">
        <v>7252</v>
      </c>
    </row>
    <row r="2128">
      <c r="A2128" s="3" t="s">
        <v>7253</v>
      </c>
      <c r="B2128" s="3" t="s">
        <v>2523</v>
      </c>
      <c r="C2128" s="5" t="s">
        <v>614</v>
      </c>
      <c r="D2128" s="3" t="s">
        <v>206</v>
      </c>
      <c r="E2128" s="3" t="s">
        <v>100</v>
      </c>
      <c r="F2128" s="7">
        <v>45791.844778282095</v>
      </c>
      <c r="G2128" s="3" t="s">
        <v>7255</v>
      </c>
    </row>
    <row r="2129">
      <c r="A2129" s="3" t="s">
        <v>7256</v>
      </c>
      <c r="B2129" s="3" t="s">
        <v>2523</v>
      </c>
      <c r="C2129" s="5" t="s">
        <v>206</v>
      </c>
      <c r="D2129" s="3" t="s">
        <v>68</v>
      </c>
      <c r="E2129" s="3" t="s">
        <v>100</v>
      </c>
      <c r="F2129" s="7">
        <v>45791.848250504314</v>
      </c>
      <c r="G2129" s="3" t="s">
        <v>7258</v>
      </c>
    </row>
    <row r="2130">
      <c r="A2130" s="3" t="s">
        <v>7259</v>
      </c>
      <c r="B2130" s="3" t="s">
        <v>2525</v>
      </c>
      <c r="C2130" s="5" t="s">
        <v>45</v>
      </c>
      <c r="D2130" s="3" t="s">
        <v>221</v>
      </c>
      <c r="E2130" s="3" t="s">
        <v>326</v>
      </c>
      <c r="F2130" s="7">
        <v>45791.90900868306</v>
      </c>
      <c r="G2130" s="3" t="s">
        <v>7261</v>
      </c>
    </row>
    <row r="2131">
      <c r="A2131" s="3" t="s">
        <v>7262</v>
      </c>
      <c r="B2131" s="3" t="s">
        <v>2525</v>
      </c>
      <c r="C2131" s="5" t="s">
        <v>221</v>
      </c>
      <c r="D2131" s="3" t="s">
        <v>614</v>
      </c>
      <c r="E2131" s="3" t="s">
        <v>118</v>
      </c>
      <c r="F2131" s="7">
        <v>45791.91248090528</v>
      </c>
      <c r="G2131" s="3" t="s">
        <v>7264</v>
      </c>
    </row>
    <row r="2132">
      <c r="A2132" s="3" t="s">
        <v>7265</v>
      </c>
      <c r="B2132" s="3" t="s">
        <v>2525</v>
      </c>
      <c r="C2132" s="5" t="s">
        <v>614</v>
      </c>
      <c r="D2132" s="3" t="s">
        <v>206</v>
      </c>
      <c r="E2132" s="3" t="s">
        <v>100</v>
      </c>
      <c r="F2132" s="7">
        <v>45791.91595312751</v>
      </c>
      <c r="G2132" s="3" t="s">
        <v>7266</v>
      </c>
    </row>
    <row r="2133">
      <c r="A2133" s="3" t="s">
        <v>7268</v>
      </c>
      <c r="B2133" s="3" t="s">
        <v>2525</v>
      </c>
      <c r="C2133" s="5" t="s">
        <v>206</v>
      </c>
      <c r="D2133" s="3" t="s">
        <v>68</v>
      </c>
      <c r="E2133" s="3" t="s">
        <v>100</v>
      </c>
      <c r="F2133" s="7">
        <v>45791.919425349726</v>
      </c>
      <c r="G2133" s="3" t="s">
        <v>7269</v>
      </c>
    </row>
    <row r="2134">
      <c r="A2134" s="3" t="s">
        <v>7271</v>
      </c>
      <c r="B2134" s="3" t="s">
        <v>2528</v>
      </c>
      <c r="C2134" s="5" t="s">
        <v>45</v>
      </c>
      <c r="D2134" s="3" t="s">
        <v>221</v>
      </c>
      <c r="E2134" s="3" t="s">
        <v>1008</v>
      </c>
      <c r="F2134" s="7">
        <v>45791.98018352848</v>
      </c>
      <c r="G2134" s="3" t="s">
        <v>7272</v>
      </c>
    </row>
    <row r="2135">
      <c r="A2135" s="3" t="s">
        <v>7274</v>
      </c>
      <c r="B2135" s="3" t="s">
        <v>2528</v>
      </c>
      <c r="C2135" s="5" t="s">
        <v>221</v>
      </c>
      <c r="D2135" s="3" t="s">
        <v>614</v>
      </c>
      <c r="E2135" s="3" t="s">
        <v>118</v>
      </c>
      <c r="F2135" s="7">
        <v>45791.9836557507</v>
      </c>
      <c r="G2135" s="3" t="s">
        <v>7275</v>
      </c>
    </row>
    <row r="2136">
      <c r="A2136" s="3" t="s">
        <v>7277</v>
      </c>
      <c r="B2136" s="3" t="s">
        <v>2528</v>
      </c>
      <c r="C2136" s="5" t="s">
        <v>614</v>
      </c>
      <c r="D2136" s="3" t="s">
        <v>206</v>
      </c>
      <c r="E2136" s="3" t="s">
        <v>100</v>
      </c>
      <c r="F2136" s="7">
        <v>45791.98712797293</v>
      </c>
      <c r="G2136" s="3" t="s">
        <v>7278</v>
      </c>
    </row>
    <row r="2137">
      <c r="A2137" s="3" t="s">
        <v>7279</v>
      </c>
      <c r="B2137" s="3" t="s">
        <v>2528</v>
      </c>
      <c r="C2137" s="5" t="s">
        <v>206</v>
      </c>
      <c r="D2137" s="3" t="s">
        <v>68</v>
      </c>
      <c r="E2137" s="3" t="s">
        <v>100</v>
      </c>
      <c r="F2137" s="7">
        <v>45791.990600195146</v>
      </c>
      <c r="G2137" s="3" t="s">
        <v>7281</v>
      </c>
    </row>
    <row r="2138">
      <c r="A2138" s="3" t="s">
        <v>7282</v>
      </c>
      <c r="B2138" s="3" t="s">
        <v>2531</v>
      </c>
      <c r="C2138" s="5" t="s">
        <v>45</v>
      </c>
      <c r="D2138" s="3" t="s">
        <v>221</v>
      </c>
      <c r="E2138" s="3" t="s">
        <v>398</v>
      </c>
      <c r="F2138" s="7">
        <v>45792.0513583739</v>
      </c>
      <c r="G2138" s="3" t="s">
        <v>7284</v>
      </c>
    </row>
    <row r="2139">
      <c r="A2139" s="3" t="s">
        <v>7285</v>
      </c>
      <c r="B2139" s="3" t="s">
        <v>2531</v>
      </c>
      <c r="C2139" s="5" t="s">
        <v>221</v>
      </c>
      <c r="D2139" s="3" t="s">
        <v>614</v>
      </c>
      <c r="E2139" s="3" t="s">
        <v>118</v>
      </c>
      <c r="F2139" s="7">
        <v>45792.05483059612</v>
      </c>
      <c r="G2139" s="3" t="s">
        <v>7287</v>
      </c>
    </row>
    <row r="2140">
      <c r="A2140" s="3" t="s">
        <v>7288</v>
      </c>
      <c r="B2140" s="3" t="s">
        <v>2531</v>
      </c>
      <c r="C2140" s="5" t="s">
        <v>614</v>
      </c>
      <c r="D2140" s="3" t="s">
        <v>206</v>
      </c>
      <c r="E2140" s="3" t="s">
        <v>100</v>
      </c>
      <c r="F2140" s="7">
        <v>45792.05830281835</v>
      </c>
      <c r="G2140" s="3" t="s">
        <v>7290</v>
      </c>
    </row>
    <row r="2141">
      <c r="A2141" s="3" t="s">
        <v>7291</v>
      </c>
      <c r="B2141" s="3" t="s">
        <v>2531</v>
      </c>
      <c r="C2141" s="5" t="s">
        <v>206</v>
      </c>
      <c r="D2141" s="3" t="s">
        <v>68</v>
      </c>
      <c r="E2141" s="3" t="s">
        <v>100</v>
      </c>
      <c r="F2141" s="7">
        <v>45792.061775040565</v>
      </c>
      <c r="G2141" s="3" t="s">
        <v>7293</v>
      </c>
    </row>
    <row r="2142">
      <c r="A2142" s="3" t="s">
        <v>7294</v>
      </c>
      <c r="B2142" s="3" t="s">
        <v>2534</v>
      </c>
      <c r="C2142" s="5" t="s">
        <v>45</v>
      </c>
      <c r="D2142" s="3" t="s">
        <v>221</v>
      </c>
      <c r="E2142" s="3" t="s">
        <v>523</v>
      </c>
      <c r="F2142" s="7">
        <v>45792.122533219306</v>
      </c>
      <c r="G2142" s="3" t="s">
        <v>7296</v>
      </c>
    </row>
    <row r="2143">
      <c r="A2143" s="3" t="s">
        <v>7297</v>
      </c>
      <c r="B2143" s="3" t="s">
        <v>2534</v>
      </c>
      <c r="C2143" s="5" t="s">
        <v>221</v>
      </c>
      <c r="D2143" s="3" t="s">
        <v>614</v>
      </c>
      <c r="E2143" s="3" t="s">
        <v>118</v>
      </c>
      <c r="F2143" s="7">
        <v>45792.126005441525</v>
      </c>
      <c r="G2143" s="3" t="s">
        <v>7299</v>
      </c>
    </row>
    <row r="2144">
      <c r="A2144" s="3" t="s">
        <v>7300</v>
      </c>
      <c r="B2144" s="3" t="s">
        <v>2534</v>
      </c>
      <c r="C2144" s="5" t="s">
        <v>614</v>
      </c>
      <c r="D2144" s="3" t="s">
        <v>206</v>
      </c>
      <c r="E2144" s="3" t="s">
        <v>100</v>
      </c>
      <c r="F2144" s="7">
        <v>45792.12947766375</v>
      </c>
      <c r="G2144" s="3" t="s">
        <v>7301</v>
      </c>
    </row>
    <row r="2145">
      <c r="A2145" s="3" t="s">
        <v>7303</v>
      </c>
      <c r="B2145" s="3" t="s">
        <v>2534</v>
      </c>
      <c r="C2145" s="5" t="s">
        <v>206</v>
      </c>
      <c r="D2145" s="3" t="s">
        <v>68</v>
      </c>
      <c r="E2145" s="3" t="s">
        <v>100</v>
      </c>
      <c r="F2145" s="7">
        <v>45792.13294988597</v>
      </c>
      <c r="G2145" s="3" t="s">
        <v>7304</v>
      </c>
    </row>
    <row r="2146">
      <c r="A2146" s="3" t="s">
        <v>7306</v>
      </c>
      <c r="B2146" s="3" t="s">
        <v>2536</v>
      </c>
      <c r="C2146" s="5" t="s">
        <v>45</v>
      </c>
      <c r="D2146" s="3" t="s">
        <v>221</v>
      </c>
      <c r="E2146" s="3" t="s">
        <v>233</v>
      </c>
      <c r="F2146" s="7">
        <v>45792.193708064726</v>
      </c>
      <c r="G2146" s="3" t="s">
        <v>7307</v>
      </c>
    </row>
    <row r="2147">
      <c r="A2147" s="3" t="s">
        <v>7308</v>
      </c>
      <c r="B2147" s="3" t="s">
        <v>2536</v>
      </c>
      <c r="C2147" s="5" t="s">
        <v>221</v>
      </c>
      <c r="D2147" s="3" t="s">
        <v>614</v>
      </c>
      <c r="E2147" s="3" t="s">
        <v>118</v>
      </c>
      <c r="F2147" s="7">
        <v>45792.197180286945</v>
      </c>
      <c r="G2147" s="3" t="s">
        <v>7310</v>
      </c>
    </row>
    <row r="2148">
      <c r="A2148" s="3" t="s">
        <v>7311</v>
      </c>
      <c r="B2148" s="3" t="s">
        <v>2536</v>
      </c>
      <c r="C2148" s="5" t="s">
        <v>614</v>
      </c>
      <c r="D2148" s="3" t="s">
        <v>206</v>
      </c>
      <c r="E2148" s="3" t="s">
        <v>100</v>
      </c>
      <c r="F2148" s="7">
        <v>45792.20065250917</v>
      </c>
      <c r="G2148" s="3" t="s">
        <v>7313</v>
      </c>
    </row>
    <row r="2149">
      <c r="A2149" s="3" t="s">
        <v>7314</v>
      </c>
      <c r="B2149" s="3" t="s">
        <v>2536</v>
      </c>
      <c r="C2149" s="5" t="s">
        <v>206</v>
      </c>
      <c r="D2149" s="3" t="s">
        <v>68</v>
      </c>
      <c r="E2149" s="3" t="s">
        <v>100</v>
      </c>
      <c r="F2149" s="7">
        <v>45792.20412473139</v>
      </c>
      <c r="G2149" s="3" t="s">
        <v>7316</v>
      </c>
    </row>
    <row r="2150">
      <c r="A2150" s="3" t="s">
        <v>7317</v>
      </c>
      <c r="B2150" s="3" t="s">
        <v>2539</v>
      </c>
      <c r="C2150" s="5" t="s">
        <v>45</v>
      </c>
      <c r="D2150" s="3" t="s">
        <v>221</v>
      </c>
      <c r="E2150" s="3" t="s">
        <v>186</v>
      </c>
      <c r="F2150" s="7">
        <v>45792.26488291014</v>
      </c>
      <c r="G2150" s="3" t="s">
        <v>7319</v>
      </c>
    </row>
    <row r="2151">
      <c r="A2151" s="3" t="s">
        <v>7320</v>
      </c>
      <c r="B2151" s="3" t="s">
        <v>2539</v>
      </c>
      <c r="C2151" s="5" t="s">
        <v>221</v>
      </c>
      <c r="D2151" s="3" t="s">
        <v>614</v>
      </c>
      <c r="E2151" s="3" t="s">
        <v>118</v>
      </c>
      <c r="F2151" s="7">
        <v>45792.26835513236</v>
      </c>
      <c r="G2151" s="3" t="s">
        <v>7322</v>
      </c>
    </row>
    <row r="2152">
      <c r="A2152" s="3" t="s">
        <v>7323</v>
      </c>
      <c r="B2152" s="3" t="s">
        <v>2539</v>
      </c>
      <c r="C2152" s="5" t="s">
        <v>614</v>
      </c>
      <c r="D2152" s="3" t="s">
        <v>206</v>
      </c>
      <c r="E2152" s="3" t="s">
        <v>100</v>
      </c>
      <c r="F2152" s="7">
        <v>45792.27182735458</v>
      </c>
      <c r="G2152" s="3" t="s">
        <v>7324</v>
      </c>
    </row>
    <row r="2153">
      <c r="A2153" s="3" t="s">
        <v>7326</v>
      </c>
      <c r="B2153" s="3" t="s">
        <v>2539</v>
      </c>
      <c r="C2153" s="5" t="s">
        <v>206</v>
      </c>
      <c r="D2153" s="3" t="s">
        <v>68</v>
      </c>
      <c r="E2153" s="3" t="s">
        <v>100</v>
      </c>
      <c r="F2153" s="7">
        <v>45792.2752995768</v>
      </c>
      <c r="G2153" s="3" t="s">
        <v>7327</v>
      </c>
    </row>
    <row r="2154">
      <c r="A2154" s="3" t="s">
        <v>7328</v>
      </c>
      <c r="B2154" s="3" t="s">
        <v>2542</v>
      </c>
      <c r="C2154" s="5" t="s">
        <v>45</v>
      </c>
      <c r="D2154" s="3" t="s">
        <v>221</v>
      </c>
      <c r="E2154" s="3" t="s">
        <v>282</v>
      </c>
      <c r="F2154" s="7">
        <v>45792.33605775556</v>
      </c>
      <c r="G2154" s="3" t="s">
        <v>7330</v>
      </c>
    </row>
    <row r="2155">
      <c r="A2155" s="3" t="s">
        <v>7331</v>
      </c>
      <c r="B2155" s="3" t="s">
        <v>2542</v>
      </c>
      <c r="C2155" s="5" t="s">
        <v>221</v>
      </c>
      <c r="D2155" s="3" t="s">
        <v>614</v>
      </c>
      <c r="E2155" s="3" t="s">
        <v>118</v>
      </c>
      <c r="F2155" s="7">
        <v>45792.33952997778</v>
      </c>
      <c r="G2155" s="3" t="s">
        <v>7333</v>
      </c>
    </row>
    <row r="2156">
      <c r="A2156" s="3" t="s">
        <v>7334</v>
      </c>
      <c r="B2156" s="3" t="s">
        <v>2542</v>
      </c>
      <c r="C2156" s="5" t="s">
        <v>614</v>
      </c>
      <c r="D2156" s="3" t="s">
        <v>206</v>
      </c>
      <c r="E2156" s="3" t="s">
        <v>100</v>
      </c>
      <c r="F2156" s="7">
        <v>45792.3430022</v>
      </c>
      <c r="G2156" s="3" t="s">
        <v>7336</v>
      </c>
    </row>
    <row r="2157">
      <c r="A2157" s="3" t="s">
        <v>7337</v>
      </c>
      <c r="B2157" s="3" t="s">
        <v>2542</v>
      </c>
      <c r="C2157" s="5" t="s">
        <v>206</v>
      </c>
      <c r="D2157" s="3" t="s">
        <v>68</v>
      </c>
      <c r="E2157" s="3" t="s">
        <v>100</v>
      </c>
      <c r="F2157" s="7">
        <v>45792.34647442222</v>
      </c>
      <c r="G2157" s="3" t="s">
        <v>7339</v>
      </c>
    </row>
    <row r="2158">
      <c r="A2158" s="3" t="s">
        <v>7340</v>
      </c>
      <c r="B2158" s="3" t="s">
        <v>2544</v>
      </c>
      <c r="C2158" s="5" t="s">
        <v>45</v>
      </c>
      <c r="D2158" s="3" t="s">
        <v>221</v>
      </c>
      <c r="E2158" s="3" t="s">
        <v>148</v>
      </c>
      <c r="F2158" s="7">
        <v>45792.40723260097</v>
      </c>
      <c r="G2158" s="3" t="s">
        <v>7342</v>
      </c>
    </row>
    <row r="2159">
      <c r="A2159" s="3" t="s">
        <v>7343</v>
      </c>
      <c r="B2159" s="3" t="s">
        <v>2544</v>
      </c>
      <c r="C2159" s="5" t="s">
        <v>221</v>
      </c>
      <c r="D2159" s="3" t="s">
        <v>614</v>
      </c>
      <c r="E2159" s="3" t="s">
        <v>118</v>
      </c>
      <c r="F2159" s="7">
        <v>45792.41070482319</v>
      </c>
      <c r="G2159" s="3" t="s">
        <v>7345</v>
      </c>
    </row>
    <row r="2160">
      <c r="A2160" s="3" t="s">
        <v>7346</v>
      </c>
      <c r="B2160" s="3" t="s">
        <v>2544</v>
      </c>
      <c r="C2160" s="5" t="s">
        <v>614</v>
      </c>
      <c r="D2160" s="3" t="s">
        <v>206</v>
      </c>
      <c r="E2160" s="3" t="s">
        <v>100</v>
      </c>
      <c r="F2160" s="7">
        <v>45792.414177045415</v>
      </c>
      <c r="G2160" s="3" t="s">
        <v>7348</v>
      </c>
    </row>
    <row r="2161">
      <c r="A2161" s="3" t="s">
        <v>7349</v>
      </c>
      <c r="B2161" s="3" t="s">
        <v>2544</v>
      </c>
      <c r="C2161" s="5" t="s">
        <v>206</v>
      </c>
      <c r="D2161" s="3" t="s">
        <v>68</v>
      </c>
      <c r="E2161" s="3" t="s">
        <v>100</v>
      </c>
      <c r="F2161" s="7">
        <v>45792.417649267634</v>
      </c>
      <c r="G2161" s="3" t="s">
        <v>7351</v>
      </c>
    </row>
    <row r="2162">
      <c r="A2162" s="3" t="s">
        <v>7352</v>
      </c>
      <c r="B2162" s="3" t="s">
        <v>2546</v>
      </c>
      <c r="C2162" s="5" t="s">
        <v>45</v>
      </c>
      <c r="D2162" s="3" t="s">
        <v>221</v>
      </c>
      <c r="E2162" s="3" t="s">
        <v>987</v>
      </c>
      <c r="F2162" s="7">
        <v>45792.47840744639</v>
      </c>
      <c r="G2162" s="3" t="s">
        <v>7354</v>
      </c>
    </row>
    <row r="2163">
      <c r="A2163" s="3" t="s">
        <v>7355</v>
      </c>
      <c r="B2163" s="3" t="s">
        <v>2546</v>
      </c>
      <c r="C2163" s="5" t="s">
        <v>221</v>
      </c>
      <c r="D2163" s="3" t="s">
        <v>614</v>
      </c>
      <c r="E2163" s="3" t="s">
        <v>118</v>
      </c>
      <c r="F2163" s="7">
        <v>45792.48187966861</v>
      </c>
      <c r="G2163" s="3" t="s">
        <v>7357</v>
      </c>
    </row>
    <row r="2164">
      <c r="A2164" s="3" t="s">
        <v>7358</v>
      </c>
      <c r="B2164" s="3" t="s">
        <v>2546</v>
      </c>
      <c r="C2164" s="5" t="s">
        <v>614</v>
      </c>
      <c r="D2164" s="3" t="s">
        <v>206</v>
      </c>
      <c r="E2164" s="3" t="s">
        <v>100</v>
      </c>
      <c r="F2164" s="7">
        <v>45792.485351890835</v>
      </c>
      <c r="G2164" s="3" t="s">
        <v>7359</v>
      </c>
    </row>
    <row r="2165">
      <c r="A2165" s="3" t="s">
        <v>7361</v>
      </c>
      <c r="B2165" s="3" t="s">
        <v>2546</v>
      </c>
      <c r="C2165" s="5" t="s">
        <v>206</v>
      </c>
      <c r="D2165" s="3" t="s">
        <v>68</v>
      </c>
      <c r="E2165" s="3" t="s">
        <v>100</v>
      </c>
      <c r="F2165" s="7">
        <v>45792.488824113054</v>
      </c>
      <c r="G2165" s="3" t="s">
        <v>7362</v>
      </c>
    </row>
    <row r="2166">
      <c r="A2166" s="3" t="s">
        <v>7364</v>
      </c>
      <c r="B2166" s="3" t="s">
        <v>2550</v>
      </c>
      <c r="C2166" s="5" t="s">
        <v>45</v>
      </c>
      <c r="D2166" s="3" t="s">
        <v>221</v>
      </c>
      <c r="E2166" s="3" t="s">
        <v>934</v>
      </c>
      <c r="F2166" s="7">
        <v>45792.549582291795</v>
      </c>
      <c r="G2166" s="3" t="s">
        <v>7365</v>
      </c>
    </row>
    <row r="2167">
      <c r="A2167" s="3" t="s">
        <v>7366</v>
      </c>
      <c r="B2167" s="3" t="s">
        <v>2550</v>
      </c>
      <c r="C2167" s="5" t="s">
        <v>221</v>
      </c>
      <c r="D2167" s="3" t="s">
        <v>614</v>
      </c>
      <c r="E2167" s="3" t="s">
        <v>118</v>
      </c>
      <c r="F2167" s="7">
        <v>45792.553054514014</v>
      </c>
      <c r="G2167" s="3" t="s">
        <v>7368</v>
      </c>
    </row>
    <row r="2168">
      <c r="A2168" s="3" t="s">
        <v>7369</v>
      </c>
      <c r="B2168" s="3" t="s">
        <v>2550</v>
      </c>
      <c r="C2168" s="5" t="s">
        <v>614</v>
      </c>
      <c r="D2168" s="3" t="s">
        <v>206</v>
      </c>
      <c r="E2168" s="3" t="s">
        <v>100</v>
      </c>
      <c r="F2168" s="7">
        <v>45792.55652673624</v>
      </c>
      <c r="G2168" s="3" t="s">
        <v>7371</v>
      </c>
    </row>
    <row r="2169">
      <c r="A2169" s="3" t="s">
        <v>7372</v>
      </c>
      <c r="B2169" s="3" t="s">
        <v>2550</v>
      </c>
      <c r="C2169" s="5" t="s">
        <v>206</v>
      </c>
      <c r="D2169" s="3" t="s">
        <v>68</v>
      </c>
      <c r="E2169" s="3" t="s">
        <v>100</v>
      </c>
      <c r="F2169" s="7">
        <v>45792.55999895846</v>
      </c>
      <c r="G2169" s="3" t="s">
        <v>7374</v>
      </c>
    </row>
    <row r="2170">
      <c r="A2170" s="3" t="s">
        <v>7375</v>
      </c>
      <c r="B2170" s="3" t="s">
        <v>2553</v>
      </c>
      <c r="C2170" s="5" t="s">
        <v>45</v>
      </c>
      <c r="D2170" s="3" t="s">
        <v>221</v>
      </c>
      <c r="E2170" s="3" t="s">
        <v>717</v>
      </c>
      <c r="F2170" s="7">
        <v>45792.620757137214</v>
      </c>
      <c r="G2170" s="3" t="s">
        <v>7377</v>
      </c>
    </row>
    <row r="2171">
      <c r="A2171" s="3" t="s">
        <v>7378</v>
      </c>
      <c r="B2171" s="3" t="s">
        <v>2553</v>
      </c>
      <c r="C2171" s="5" t="s">
        <v>221</v>
      </c>
      <c r="D2171" s="3" t="s">
        <v>614</v>
      </c>
      <c r="E2171" s="3" t="s">
        <v>118</v>
      </c>
      <c r="F2171" s="7">
        <v>45792.62422935943</v>
      </c>
      <c r="G2171" s="3" t="s">
        <v>7380</v>
      </c>
    </row>
    <row r="2172">
      <c r="A2172" s="3" t="s">
        <v>7381</v>
      </c>
      <c r="B2172" s="3" t="s">
        <v>2553</v>
      </c>
      <c r="C2172" s="5" t="s">
        <v>614</v>
      </c>
      <c r="D2172" s="3" t="s">
        <v>206</v>
      </c>
      <c r="E2172" s="3" t="s">
        <v>100</v>
      </c>
      <c r="F2172" s="7">
        <v>45792.62770158166</v>
      </c>
      <c r="G2172" s="3" t="s">
        <v>7382</v>
      </c>
    </row>
    <row r="2173">
      <c r="A2173" s="3" t="s">
        <v>7383</v>
      </c>
      <c r="B2173" s="3" t="s">
        <v>2553</v>
      </c>
      <c r="C2173" s="5" t="s">
        <v>206</v>
      </c>
      <c r="D2173" s="3" t="s">
        <v>68</v>
      </c>
      <c r="E2173" s="3" t="s">
        <v>100</v>
      </c>
      <c r="F2173" s="7">
        <v>45792.63117380388</v>
      </c>
      <c r="G2173" s="3" t="s">
        <v>7385</v>
      </c>
    </row>
    <row r="2174">
      <c r="A2174" s="3" t="s">
        <v>7386</v>
      </c>
      <c r="B2174" s="3" t="s">
        <v>2555</v>
      </c>
      <c r="C2174" s="5" t="s">
        <v>45</v>
      </c>
      <c r="D2174" s="3" t="s">
        <v>221</v>
      </c>
      <c r="E2174" s="3" t="s">
        <v>725</v>
      </c>
      <c r="F2174" s="7">
        <v>45792.691931982634</v>
      </c>
      <c r="G2174" s="3" t="s">
        <v>7388</v>
      </c>
    </row>
    <row r="2175">
      <c r="A2175" s="3" t="s">
        <v>7389</v>
      </c>
      <c r="B2175" s="3" t="s">
        <v>2555</v>
      </c>
      <c r="C2175" s="5" t="s">
        <v>221</v>
      </c>
      <c r="D2175" s="3" t="s">
        <v>181</v>
      </c>
      <c r="E2175" s="3" t="s">
        <v>118</v>
      </c>
      <c r="F2175" s="7">
        <v>45792.69540420485</v>
      </c>
      <c r="G2175" s="3" t="s">
        <v>7390</v>
      </c>
    </row>
    <row r="2176">
      <c r="A2176" s="3" t="s">
        <v>7392</v>
      </c>
      <c r="B2176" s="3" t="s">
        <v>2558</v>
      </c>
      <c r="C2176" s="5" t="s">
        <v>45</v>
      </c>
      <c r="D2176" s="3" t="s">
        <v>221</v>
      </c>
      <c r="E2176" s="3" t="s">
        <v>934</v>
      </c>
      <c r="F2176" s="7">
        <v>45792.763106828046</v>
      </c>
      <c r="G2176" s="3" t="s">
        <v>7393</v>
      </c>
    </row>
    <row r="2177">
      <c r="A2177" s="3" t="s">
        <v>7395</v>
      </c>
      <c r="B2177" s="3" t="s">
        <v>2558</v>
      </c>
      <c r="C2177" s="5" t="s">
        <v>221</v>
      </c>
      <c r="D2177" s="3" t="s">
        <v>614</v>
      </c>
      <c r="E2177" s="3" t="s">
        <v>118</v>
      </c>
      <c r="F2177" s="7">
        <v>45792.766579050265</v>
      </c>
      <c r="G2177" s="3" t="s">
        <v>7396</v>
      </c>
    </row>
    <row r="2178">
      <c r="A2178" s="3" t="s">
        <v>7398</v>
      </c>
      <c r="B2178" s="3" t="s">
        <v>2558</v>
      </c>
      <c r="C2178" s="5" t="s">
        <v>614</v>
      </c>
      <c r="D2178" s="3" t="s">
        <v>206</v>
      </c>
      <c r="E2178" s="3" t="s">
        <v>100</v>
      </c>
      <c r="F2178" s="7">
        <v>45792.77005127249</v>
      </c>
      <c r="G2178" s="3" t="s">
        <v>7399</v>
      </c>
    </row>
    <row r="2179">
      <c r="A2179" s="3" t="s">
        <v>7401</v>
      </c>
      <c r="B2179" s="3" t="s">
        <v>2558</v>
      </c>
      <c r="C2179" s="5" t="s">
        <v>206</v>
      </c>
      <c r="D2179" s="3" t="s">
        <v>68</v>
      </c>
      <c r="E2179" s="3" t="s">
        <v>100</v>
      </c>
      <c r="F2179" s="7">
        <v>45792.77352349471</v>
      </c>
      <c r="G2179" s="3" t="s">
        <v>7402</v>
      </c>
    </row>
    <row r="2180">
      <c r="A2180" s="3" t="s">
        <v>7403</v>
      </c>
      <c r="B2180" s="3" t="s">
        <v>2561</v>
      </c>
      <c r="C2180" s="5" t="s">
        <v>45</v>
      </c>
      <c r="D2180" s="3" t="s">
        <v>221</v>
      </c>
      <c r="E2180" s="3" t="s">
        <v>1030</v>
      </c>
      <c r="F2180" s="7">
        <v>45792.83428167346</v>
      </c>
      <c r="G2180" s="3" t="s">
        <v>4871</v>
      </c>
    </row>
    <row r="2181">
      <c r="A2181" s="3" t="s">
        <v>7405</v>
      </c>
      <c r="B2181" s="3" t="s">
        <v>2561</v>
      </c>
      <c r="C2181" s="5" t="s">
        <v>221</v>
      </c>
      <c r="D2181" s="3" t="s">
        <v>614</v>
      </c>
      <c r="E2181" s="3" t="s">
        <v>118</v>
      </c>
      <c r="F2181" s="7">
        <v>45792.83775389568</v>
      </c>
      <c r="G2181" s="3" t="s">
        <v>4874</v>
      </c>
    </row>
    <row r="2182">
      <c r="A2182" s="3" t="s">
        <v>7407</v>
      </c>
      <c r="B2182" s="3" t="s">
        <v>2561</v>
      </c>
      <c r="C2182" s="5" t="s">
        <v>614</v>
      </c>
      <c r="D2182" s="3" t="s">
        <v>206</v>
      </c>
      <c r="E2182" s="3" t="s">
        <v>100</v>
      </c>
      <c r="F2182" s="7">
        <v>45792.841226117904</v>
      </c>
      <c r="G2182" s="3" t="s">
        <v>4877</v>
      </c>
    </row>
    <row r="2183">
      <c r="A2183" s="3" t="s">
        <v>7409</v>
      </c>
      <c r="B2183" s="3" t="s">
        <v>2561</v>
      </c>
      <c r="C2183" s="5" t="s">
        <v>206</v>
      </c>
      <c r="D2183" s="3" t="s">
        <v>68</v>
      </c>
      <c r="E2183" s="3" t="s">
        <v>100</v>
      </c>
      <c r="F2183" s="7">
        <v>45792.84469834012</v>
      </c>
      <c r="G2183" s="3" t="s">
        <v>4880</v>
      </c>
    </row>
    <row r="2184">
      <c r="A2184" s="3" t="s">
        <v>7411</v>
      </c>
      <c r="B2184" s="3" t="s">
        <v>2563</v>
      </c>
      <c r="C2184" s="5" t="s">
        <v>45</v>
      </c>
      <c r="D2184" s="3" t="s">
        <v>221</v>
      </c>
      <c r="E2184" s="3" t="s">
        <v>226</v>
      </c>
      <c r="F2184" s="7">
        <v>45792.90545651888</v>
      </c>
      <c r="G2184" s="3" t="s">
        <v>7413</v>
      </c>
    </row>
    <row r="2185">
      <c r="A2185" s="3" t="s">
        <v>7414</v>
      </c>
      <c r="B2185" s="3" t="s">
        <v>2563</v>
      </c>
      <c r="C2185" s="5" t="s">
        <v>221</v>
      </c>
      <c r="D2185" s="3" t="s">
        <v>614</v>
      </c>
      <c r="E2185" s="3" t="s">
        <v>118</v>
      </c>
      <c r="F2185" s="7">
        <v>45792.9089287411</v>
      </c>
      <c r="G2185" s="3" t="s">
        <v>7416</v>
      </c>
    </row>
    <row r="2186">
      <c r="A2186" s="3" t="s">
        <v>7417</v>
      </c>
      <c r="B2186" s="3" t="s">
        <v>2563</v>
      </c>
      <c r="C2186" s="5" t="s">
        <v>614</v>
      </c>
      <c r="D2186" s="3" t="s">
        <v>206</v>
      </c>
      <c r="E2186" s="3" t="s">
        <v>100</v>
      </c>
      <c r="F2186" s="7">
        <v>45792.91240096332</v>
      </c>
      <c r="G2186" s="3" t="s">
        <v>7418</v>
      </c>
    </row>
    <row r="2187">
      <c r="A2187" s="3" t="s">
        <v>7419</v>
      </c>
      <c r="B2187" s="3" t="s">
        <v>2563</v>
      </c>
      <c r="C2187" s="5" t="s">
        <v>206</v>
      </c>
      <c r="D2187" s="3" t="s">
        <v>68</v>
      </c>
      <c r="E2187" s="3" t="s">
        <v>100</v>
      </c>
      <c r="F2187" s="7">
        <v>45792.91587318554</v>
      </c>
      <c r="G2187" s="3" t="s">
        <v>7421</v>
      </c>
    </row>
    <row r="2188">
      <c r="A2188" s="3" t="s">
        <v>7422</v>
      </c>
      <c r="B2188" s="3" t="s">
        <v>2567</v>
      </c>
      <c r="C2188" s="5" t="s">
        <v>45</v>
      </c>
      <c r="D2188" s="3" t="s">
        <v>221</v>
      </c>
      <c r="E2188" s="3" t="s">
        <v>247</v>
      </c>
      <c r="F2188" s="7">
        <v>45792.97663136429</v>
      </c>
      <c r="G2188" s="3" t="s">
        <v>7424</v>
      </c>
    </row>
    <row r="2189">
      <c r="A2189" s="3" t="s">
        <v>7425</v>
      </c>
      <c r="B2189" s="3" t="s">
        <v>2567</v>
      </c>
      <c r="C2189" s="5" t="s">
        <v>221</v>
      </c>
      <c r="D2189" s="3" t="s">
        <v>614</v>
      </c>
      <c r="E2189" s="3" t="s">
        <v>118</v>
      </c>
      <c r="F2189" s="7">
        <v>45792.98010358651</v>
      </c>
      <c r="G2189" s="3" t="s">
        <v>7427</v>
      </c>
    </row>
    <row r="2190">
      <c r="A2190" s="3" t="s">
        <v>7428</v>
      </c>
      <c r="B2190" s="3" t="s">
        <v>2567</v>
      </c>
      <c r="C2190" s="5" t="s">
        <v>614</v>
      </c>
      <c r="D2190" s="3" t="s">
        <v>206</v>
      </c>
      <c r="E2190" s="3" t="s">
        <v>100</v>
      </c>
      <c r="F2190" s="7">
        <v>45792.983575808736</v>
      </c>
      <c r="G2190" s="3" t="s">
        <v>7430</v>
      </c>
    </row>
    <row r="2191">
      <c r="A2191" s="3" t="s">
        <v>7431</v>
      </c>
      <c r="B2191" s="3" t="s">
        <v>2567</v>
      </c>
      <c r="C2191" s="5" t="s">
        <v>206</v>
      </c>
      <c r="D2191" s="3" t="s">
        <v>68</v>
      </c>
      <c r="E2191" s="3" t="s">
        <v>100</v>
      </c>
      <c r="F2191" s="7">
        <v>45792.987048030955</v>
      </c>
      <c r="G2191" s="3" t="s">
        <v>7433</v>
      </c>
    </row>
    <row r="2192">
      <c r="A2192" s="3" t="s">
        <v>7434</v>
      </c>
      <c r="B2192" s="3" t="s">
        <v>2570</v>
      </c>
      <c r="C2192" s="5" t="s">
        <v>45</v>
      </c>
      <c r="D2192" s="3" t="s">
        <v>221</v>
      </c>
      <c r="E2192" s="3" t="s">
        <v>436</v>
      </c>
      <c r="F2192" s="7">
        <v>45793.0478062097</v>
      </c>
      <c r="G2192" s="3" t="s">
        <v>7435</v>
      </c>
    </row>
    <row r="2193">
      <c r="A2193" s="3" t="s">
        <v>7437</v>
      </c>
      <c r="B2193" s="3" t="s">
        <v>2570</v>
      </c>
      <c r="C2193" s="5" t="s">
        <v>221</v>
      </c>
      <c r="D2193" s="3" t="s">
        <v>614</v>
      </c>
      <c r="E2193" s="3" t="s">
        <v>118</v>
      </c>
      <c r="F2193" s="7">
        <v>45793.05127843192</v>
      </c>
      <c r="G2193" s="3" t="s">
        <v>7438</v>
      </c>
    </row>
    <row r="2194">
      <c r="A2194" s="3" t="s">
        <v>7440</v>
      </c>
      <c r="B2194" s="3" t="s">
        <v>2570</v>
      </c>
      <c r="C2194" s="5" t="s">
        <v>614</v>
      </c>
      <c r="D2194" s="3" t="s">
        <v>206</v>
      </c>
      <c r="E2194" s="3" t="s">
        <v>100</v>
      </c>
      <c r="F2194" s="7">
        <v>45793.05475065415</v>
      </c>
      <c r="G2194" s="3" t="s">
        <v>7441</v>
      </c>
    </row>
    <row r="2195">
      <c r="A2195" s="3" t="s">
        <v>7442</v>
      </c>
      <c r="B2195" s="3" t="s">
        <v>2570</v>
      </c>
      <c r="C2195" s="5" t="s">
        <v>206</v>
      </c>
      <c r="D2195" s="3" t="s">
        <v>68</v>
      </c>
      <c r="E2195" s="3" t="s">
        <v>100</v>
      </c>
      <c r="F2195" s="7">
        <v>45793.05822287637</v>
      </c>
      <c r="G2195" s="3" t="s">
        <v>7444</v>
      </c>
    </row>
    <row r="2196">
      <c r="A2196" s="3" t="s">
        <v>7445</v>
      </c>
      <c r="B2196" s="3" t="s">
        <v>2572</v>
      </c>
      <c r="C2196" s="5" t="s">
        <v>45</v>
      </c>
      <c r="D2196" s="3" t="s">
        <v>221</v>
      </c>
      <c r="E2196" s="3" t="s">
        <v>424</v>
      </c>
      <c r="F2196" s="7">
        <v>45793.11898105512</v>
      </c>
      <c r="G2196" s="3" t="s">
        <v>7447</v>
      </c>
    </row>
    <row r="2197">
      <c r="A2197" s="3" t="s">
        <v>7448</v>
      </c>
      <c r="B2197" s="3" t="s">
        <v>2572</v>
      </c>
      <c r="C2197" s="5" t="s">
        <v>221</v>
      </c>
      <c r="D2197" s="3" t="s">
        <v>614</v>
      </c>
      <c r="E2197" s="3" t="s">
        <v>118</v>
      </c>
      <c r="F2197" s="7">
        <v>45793.12245327734</v>
      </c>
      <c r="G2197" s="3" t="s">
        <v>7450</v>
      </c>
    </row>
    <row r="2198">
      <c r="A2198" s="3" t="s">
        <v>7451</v>
      </c>
      <c r="B2198" s="3" t="s">
        <v>2572</v>
      </c>
      <c r="C2198" s="5" t="s">
        <v>614</v>
      </c>
      <c r="D2198" s="3" t="s">
        <v>206</v>
      </c>
      <c r="E2198" s="3" t="s">
        <v>100</v>
      </c>
      <c r="F2198" s="7">
        <v>45793.12592549957</v>
      </c>
      <c r="G2198" s="3" t="s">
        <v>7453</v>
      </c>
    </row>
    <row r="2199">
      <c r="A2199" s="3" t="s">
        <v>7454</v>
      </c>
      <c r="B2199" s="3" t="s">
        <v>2572</v>
      </c>
      <c r="C2199" s="5" t="s">
        <v>206</v>
      </c>
      <c r="D2199" s="3" t="s">
        <v>68</v>
      </c>
      <c r="E2199" s="3" t="s">
        <v>100</v>
      </c>
      <c r="F2199" s="7">
        <v>45793.12939772179</v>
      </c>
      <c r="G2199" s="3" t="s">
        <v>7456</v>
      </c>
    </row>
    <row r="2200">
      <c r="A2200" s="3" t="s">
        <v>7457</v>
      </c>
      <c r="B2200" s="3" t="s">
        <v>2574</v>
      </c>
      <c r="C2200" s="5" t="s">
        <v>45</v>
      </c>
      <c r="D2200" s="3" t="s">
        <v>221</v>
      </c>
      <c r="E2200" s="3" t="s">
        <v>631</v>
      </c>
      <c r="F2200" s="7">
        <v>45793.19015590054</v>
      </c>
      <c r="G2200" s="3" t="s">
        <v>7459</v>
      </c>
    </row>
    <row r="2201">
      <c r="A2201" s="3" t="s">
        <v>7460</v>
      </c>
      <c r="B2201" s="3" t="s">
        <v>2574</v>
      </c>
      <c r="C2201" s="5" t="s">
        <v>221</v>
      </c>
      <c r="D2201" s="3" t="s">
        <v>181</v>
      </c>
      <c r="E2201" s="3" t="s">
        <v>118</v>
      </c>
      <c r="F2201" s="7">
        <v>45793.19362812276</v>
      </c>
      <c r="G2201" s="3" t="s">
        <v>7461</v>
      </c>
    </row>
    <row r="2202">
      <c r="A2202" s="3" t="s">
        <v>7463</v>
      </c>
      <c r="B2202" s="3" t="s">
        <v>2579</v>
      </c>
      <c r="C2202" s="5" t="s">
        <v>45</v>
      </c>
      <c r="D2202" s="3" t="s">
        <v>221</v>
      </c>
      <c r="E2202" s="3" t="s">
        <v>236</v>
      </c>
      <c r="F2202" s="7">
        <v>45793.26133074595</v>
      </c>
      <c r="G2202" s="3" t="s">
        <v>7464</v>
      </c>
    </row>
    <row r="2203">
      <c r="A2203" s="3" t="s">
        <v>7466</v>
      </c>
      <c r="B2203" s="3" t="s">
        <v>2579</v>
      </c>
      <c r="C2203" s="5" t="s">
        <v>221</v>
      </c>
      <c r="D2203" s="3" t="s">
        <v>614</v>
      </c>
      <c r="E2203" s="3" t="s">
        <v>118</v>
      </c>
      <c r="F2203" s="7">
        <v>45793.264802968166</v>
      </c>
      <c r="G2203" s="3" t="s">
        <v>7467</v>
      </c>
    </row>
    <row r="2204">
      <c r="A2204" s="3" t="s">
        <v>7469</v>
      </c>
      <c r="B2204" s="3" t="s">
        <v>2579</v>
      </c>
      <c r="C2204" s="5" t="s">
        <v>614</v>
      </c>
      <c r="D2204" s="3" t="s">
        <v>206</v>
      </c>
      <c r="E2204" s="3" t="s">
        <v>100</v>
      </c>
      <c r="F2204" s="7">
        <v>45793.26827519039</v>
      </c>
      <c r="G2204" s="3" t="s">
        <v>7470</v>
      </c>
    </row>
    <row r="2205">
      <c r="A2205" s="3" t="s">
        <v>7471</v>
      </c>
      <c r="B2205" s="3" t="s">
        <v>2579</v>
      </c>
      <c r="C2205" s="5" t="s">
        <v>206</v>
      </c>
      <c r="D2205" s="3" t="s">
        <v>68</v>
      </c>
      <c r="E2205" s="3" t="s">
        <v>100</v>
      </c>
      <c r="F2205" s="7">
        <v>45793.27174741261</v>
      </c>
      <c r="G2205" s="3" t="s">
        <v>7473</v>
      </c>
    </row>
    <row r="2206">
      <c r="A2206" s="3" t="s">
        <v>7474</v>
      </c>
      <c r="B2206" s="3" t="s">
        <v>2581</v>
      </c>
      <c r="C2206" s="5" t="s">
        <v>45</v>
      </c>
      <c r="D2206" s="3" t="s">
        <v>221</v>
      </c>
      <c r="E2206" s="3" t="s">
        <v>336</v>
      </c>
      <c r="F2206" s="7">
        <v>45793.33250559137</v>
      </c>
      <c r="G2206" s="3" t="s">
        <v>7476</v>
      </c>
    </row>
    <row r="2207">
      <c r="A2207" s="3" t="s">
        <v>7477</v>
      </c>
      <c r="B2207" s="3" t="s">
        <v>2581</v>
      </c>
      <c r="C2207" s="5" t="s">
        <v>221</v>
      </c>
      <c r="D2207" s="3" t="s">
        <v>614</v>
      </c>
      <c r="E2207" s="3" t="s">
        <v>118</v>
      </c>
      <c r="F2207" s="7">
        <v>45793.335977813585</v>
      </c>
      <c r="G2207" s="3" t="s">
        <v>7479</v>
      </c>
    </row>
    <row r="2208">
      <c r="A2208" s="3" t="s">
        <v>7480</v>
      </c>
      <c r="B2208" s="3" t="s">
        <v>2581</v>
      </c>
      <c r="C2208" s="5" t="s">
        <v>614</v>
      </c>
      <c r="D2208" s="3" t="s">
        <v>206</v>
      </c>
      <c r="E2208" s="3" t="s">
        <v>100</v>
      </c>
      <c r="F2208" s="7">
        <v>45793.33945003581</v>
      </c>
      <c r="G2208" s="3" t="s">
        <v>7482</v>
      </c>
    </row>
    <row r="2209">
      <c r="A2209" s="3" t="s">
        <v>7483</v>
      </c>
      <c r="B2209" s="3" t="s">
        <v>2581</v>
      </c>
      <c r="C2209" s="5" t="s">
        <v>206</v>
      </c>
      <c r="D2209" s="3" t="s">
        <v>68</v>
      </c>
      <c r="E2209" s="3" t="s">
        <v>100</v>
      </c>
      <c r="F2209" s="7">
        <v>45793.34292225803</v>
      </c>
      <c r="G2209" s="3" t="s">
        <v>7485</v>
      </c>
    </row>
    <row r="2210">
      <c r="A2210" s="3" t="s">
        <v>7486</v>
      </c>
      <c r="B2210" s="3" t="s">
        <v>2582</v>
      </c>
      <c r="C2210" s="5" t="s">
        <v>45</v>
      </c>
      <c r="D2210" s="3" t="s">
        <v>221</v>
      </c>
      <c r="E2210" s="3" t="s">
        <v>734</v>
      </c>
      <c r="F2210" s="7">
        <v>45793.403680436786</v>
      </c>
      <c r="G2210" s="3" t="s">
        <v>7488</v>
      </c>
    </row>
    <row r="2211">
      <c r="A2211" s="3" t="s">
        <v>7489</v>
      </c>
      <c r="B2211" s="3" t="s">
        <v>2582</v>
      </c>
      <c r="C2211" s="5" t="s">
        <v>221</v>
      </c>
      <c r="D2211" s="3" t="s">
        <v>614</v>
      </c>
      <c r="E2211" s="3" t="s">
        <v>118</v>
      </c>
      <c r="F2211" s="7">
        <v>45793.407152659005</v>
      </c>
      <c r="G2211" s="3" t="s">
        <v>7491</v>
      </c>
    </row>
    <row r="2212">
      <c r="A2212" s="3" t="s">
        <v>7492</v>
      </c>
      <c r="B2212" s="3" t="s">
        <v>2582</v>
      </c>
      <c r="C2212" s="5" t="s">
        <v>614</v>
      </c>
      <c r="D2212" s="3" t="s">
        <v>206</v>
      </c>
      <c r="E2212" s="3" t="s">
        <v>100</v>
      </c>
      <c r="F2212" s="7">
        <v>45793.41062488123</v>
      </c>
      <c r="G2212" s="3" t="s">
        <v>7494</v>
      </c>
    </row>
    <row r="2213">
      <c r="A2213" s="3" t="s">
        <v>7495</v>
      </c>
      <c r="B2213" s="3" t="s">
        <v>2582</v>
      </c>
      <c r="C2213" s="5" t="s">
        <v>206</v>
      </c>
      <c r="D2213" s="3" t="s">
        <v>68</v>
      </c>
      <c r="E2213" s="3" t="s">
        <v>100</v>
      </c>
      <c r="F2213" s="7">
        <v>45793.41409710345</v>
      </c>
      <c r="G2213" s="3" t="s">
        <v>7496</v>
      </c>
    </row>
    <row r="2214">
      <c r="A2214" s="3" t="s">
        <v>7497</v>
      </c>
      <c r="B2214" s="3" t="s">
        <v>2585</v>
      </c>
      <c r="C2214" s="5" t="s">
        <v>45</v>
      </c>
      <c r="D2214" s="3" t="s">
        <v>221</v>
      </c>
      <c r="E2214" s="3" t="s">
        <v>488</v>
      </c>
      <c r="F2214" s="7">
        <v>45793.4748552822</v>
      </c>
      <c r="G2214" s="3" t="s">
        <v>7499</v>
      </c>
    </row>
    <row r="2215">
      <c r="A2215" s="3" t="s">
        <v>7500</v>
      </c>
      <c r="B2215" s="3" t="s">
        <v>2585</v>
      </c>
      <c r="C2215" s="5" t="s">
        <v>221</v>
      </c>
      <c r="D2215" s="3" t="s">
        <v>614</v>
      </c>
      <c r="E2215" s="3" t="s">
        <v>118</v>
      </c>
      <c r="F2215" s="7">
        <v>45793.47832750442</v>
      </c>
      <c r="G2215" s="3" t="s">
        <v>7502</v>
      </c>
    </row>
    <row r="2216">
      <c r="A2216" s="3" t="s">
        <v>7503</v>
      </c>
      <c r="B2216" s="3" t="s">
        <v>2585</v>
      </c>
      <c r="C2216" s="5" t="s">
        <v>614</v>
      </c>
      <c r="D2216" s="3" t="s">
        <v>206</v>
      </c>
      <c r="E2216" s="3" t="s">
        <v>100</v>
      </c>
      <c r="F2216" s="7">
        <v>45793.481799726644</v>
      </c>
      <c r="G2216" s="3" t="s">
        <v>7505</v>
      </c>
    </row>
    <row r="2217">
      <c r="A2217" s="3" t="s">
        <v>7506</v>
      </c>
      <c r="B2217" s="3" t="s">
        <v>2585</v>
      </c>
      <c r="C2217" s="5" t="s">
        <v>206</v>
      </c>
      <c r="D2217" s="3" t="s">
        <v>68</v>
      </c>
      <c r="E2217" s="3" t="s">
        <v>100</v>
      </c>
      <c r="F2217" s="7">
        <v>45793.48527194886</v>
      </c>
      <c r="G2217" s="3" t="s">
        <v>7508</v>
      </c>
    </row>
    <row r="2218">
      <c r="A2218" s="3" t="s">
        <v>7509</v>
      </c>
      <c r="B2218" s="3" t="s">
        <v>2587</v>
      </c>
      <c r="C2218" s="5" t="s">
        <v>45</v>
      </c>
      <c r="D2218" s="3" t="s">
        <v>221</v>
      </c>
      <c r="E2218" s="3" t="s">
        <v>479</v>
      </c>
      <c r="F2218" s="7">
        <v>45793.54603012761</v>
      </c>
      <c r="G2218" s="3" t="s">
        <v>7511</v>
      </c>
    </row>
    <row r="2219">
      <c r="A2219" s="3" t="s">
        <v>7512</v>
      </c>
      <c r="B2219" s="3" t="s">
        <v>2587</v>
      </c>
      <c r="C2219" s="5" t="s">
        <v>221</v>
      </c>
      <c r="D2219" s="3" t="s">
        <v>614</v>
      </c>
      <c r="E2219" s="3" t="s">
        <v>118</v>
      </c>
      <c r="F2219" s="7">
        <v>45793.54950234983</v>
      </c>
      <c r="G2219" s="3" t="s">
        <v>7514</v>
      </c>
    </row>
    <row r="2220">
      <c r="A2220" s="3" t="s">
        <v>7515</v>
      </c>
      <c r="B2220" s="3" t="s">
        <v>2587</v>
      </c>
      <c r="C2220" s="5" t="s">
        <v>614</v>
      </c>
      <c r="D2220" s="3" t="s">
        <v>206</v>
      </c>
      <c r="E2220" s="3" t="s">
        <v>100</v>
      </c>
      <c r="F2220" s="7">
        <v>45793.552974572056</v>
      </c>
      <c r="G2220" s="3" t="s">
        <v>7516</v>
      </c>
    </row>
    <row r="2221">
      <c r="A2221" s="3" t="s">
        <v>7517</v>
      </c>
      <c r="B2221" s="3" t="s">
        <v>2587</v>
      </c>
      <c r="C2221" s="5" t="s">
        <v>206</v>
      </c>
      <c r="D2221" s="3" t="s">
        <v>68</v>
      </c>
      <c r="E2221" s="3" t="s">
        <v>100</v>
      </c>
      <c r="F2221" s="7">
        <v>45793.556446794275</v>
      </c>
      <c r="G2221" s="3" t="s">
        <v>7519</v>
      </c>
    </row>
    <row r="2222">
      <c r="A2222" s="3" t="s">
        <v>7520</v>
      </c>
      <c r="B2222" s="3" t="s">
        <v>2590</v>
      </c>
      <c r="C2222" s="5" t="s">
        <v>45</v>
      </c>
      <c r="D2222" s="3" t="s">
        <v>221</v>
      </c>
      <c r="E2222" s="3" t="s">
        <v>961</v>
      </c>
      <c r="F2222" s="7">
        <v>45793.61720497303</v>
      </c>
      <c r="G2222" s="3" t="s">
        <v>7522</v>
      </c>
    </row>
    <row r="2223">
      <c r="A2223" s="3" t="s">
        <v>7523</v>
      </c>
      <c r="B2223" s="3" t="s">
        <v>2590</v>
      </c>
      <c r="C2223" s="5" t="s">
        <v>221</v>
      </c>
      <c r="D2223" s="3" t="s">
        <v>614</v>
      </c>
      <c r="E2223" s="3" t="s">
        <v>118</v>
      </c>
      <c r="F2223" s="7">
        <v>45793.62067719525</v>
      </c>
      <c r="G2223" s="3" t="s">
        <v>7525</v>
      </c>
    </row>
    <row r="2224">
      <c r="A2224" s="3" t="s">
        <v>7526</v>
      </c>
      <c r="B2224" s="3" t="s">
        <v>2590</v>
      </c>
      <c r="C2224" s="5" t="s">
        <v>614</v>
      </c>
      <c r="D2224" s="3" t="s">
        <v>206</v>
      </c>
      <c r="E2224" s="3" t="s">
        <v>100</v>
      </c>
      <c r="F2224" s="7">
        <v>45793.624149417476</v>
      </c>
      <c r="G2224" s="3" t="s">
        <v>7528</v>
      </c>
    </row>
    <row r="2225">
      <c r="A2225" s="3" t="s">
        <v>7529</v>
      </c>
      <c r="B2225" s="3" t="s">
        <v>2590</v>
      </c>
      <c r="C2225" s="5" t="s">
        <v>206</v>
      </c>
      <c r="D2225" s="3" t="s">
        <v>68</v>
      </c>
      <c r="E2225" s="3" t="s">
        <v>100</v>
      </c>
      <c r="F2225" s="7">
        <v>45793.627621639695</v>
      </c>
      <c r="G2225" s="3" t="s">
        <v>7531</v>
      </c>
    </row>
    <row r="2226">
      <c r="A2226" s="3" t="s">
        <v>7532</v>
      </c>
      <c r="B2226" s="3" t="s">
        <v>2592</v>
      </c>
      <c r="C2226" s="5" t="s">
        <v>45</v>
      </c>
      <c r="D2226" s="3" t="s">
        <v>221</v>
      </c>
      <c r="E2226" s="3" t="s">
        <v>760</v>
      </c>
      <c r="F2226" s="7">
        <v>45793.68837981844</v>
      </c>
      <c r="G2226" s="3" t="s">
        <v>2770</v>
      </c>
    </row>
    <row r="2227">
      <c r="A2227" s="3" t="s">
        <v>7534</v>
      </c>
      <c r="B2227" s="3" t="s">
        <v>2592</v>
      </c>
      <c r="C2227" s="5" t="s">
        <v>221</v>
      </c>
      <c r="D2227" s="3" t="s">
        <v>181</v>
      </c>
      <c r="E2227" s="3" t="s">
        <v>118</v>
      </c>
      <c r="F2227" s="7">
        <v>45793.69185204066</v>
      </c>
      <c r="G2227" s="3" t="s">
        <v>2774</v>
      </c>
    </row>
    <row r="2228">
      <c r="A2228" s="3" t="s">
        <v>7535</v>
      </c>
      <c r="B2228" s="3" t="s">
        <v>2595</v>
      </c>
      <c r="C2228" s="5" t="s">
        <v>45</v>
      </c>
      <c r="D2228" s="3" t="s">
        <v>221</v>
      </c>
      <c r="E2228" s="3" t="s">
        <v>462</v>
      </c>
      <c r="F2228" s="7">
        <v>45793.759554663855</v>
      </c>
      <c r="G2228" s="3" t="s">
        <v>6845</v>
      </c>
    </row>
    <row r="2229">
      <c r="A2229" s="3" t="s">
        <v>7538</v>
      </c>
      <c r="B2229" s="3" t="s">
        <v>2595</v>
      </c>
      <c r="C2229" s="5" t="s">
        <v>221</v>
      </c>
      <c r="D2229" s="3" t="s">
        <v>614</v>
      </c>
      <c r="E2229" s="3" t="s">
        <v>118</v>
      </c>
      <c r="F2229" s="7">
        <v>45793.763026886074</v>
      </c>
      <c r="G2229" s="3" t="s">
        <v>6848</v>
      </c>
    </row>
    <row r="2230">
      <c r="A2230" s="3" t="s">
        <v>7540</v>
      </c>
      <c r="B2230" s="3" t="s">
        <v>2595</v>
      </c>
      <c r="C2230" s="5" t="s">
        <v>614</v>
      </c>
      <c r="D2230" s="3" t="s">
        <v>206</v>
      </c>
      <c r="E2230" s="3" t="s">
        <v>100</v>
      </c>
      <c r="F2230" s="7">
        <v>45793.7664991083</v>
      </c>
      <c r="G2230" s="3" t="s">
        <v>6851</v>
      </c>
    </row>
    <row r="2231">
      <c r="A2231" s="3" t="s">
        <v>7542</v>
      </c>
      <c r="B2231" s="3" t="s">
        <v>2595</v>
      </c>
      <c r="C2231" s="5" t="s">
        <v>206</v>
      </c>
      <c r="D2231" s="3" t="s">
        <v>68</v>
      </c>
      <c r="E2231" s="3" t="s">
        <v>100</v>
      </c>
      <c r="F2231" s="7">
        <v>45793.76997133052</v>
      </c>
      <c r="G2231" s="3" t="s">
        <v>6854</v>
      </c>
    </row>
    <row r="2232">
      <c r="A2232" s="3" t="s">
        <v>7544</v>
      </c>
      <c r="B2232" s="3" t="s">
        <v>2598</v>
      </c>
      <c r="C2232" s="5" t="s">
        <v>45</v>
      </c>
      <c r="D2232" s="3" t="s">
        <v>221</v>
      </c>
      <c r="E2232" s="3" t="s">
        <v>293</v>
      </c>
      <c r="F2232" s="7">
        <v>45793.830729509275</v>
      </c>
      <c r="G2232" s="3" t="s">
        <v>7546</v>
      </c>
    </row>
    <row r="2233">
      <c r="A2233" s="3" t="s">
        <v>7547</v>
      </c>
      <c r="B2233" s="3" t="s">
        <v>2598</v>
      </c>
      <c r="C2233" s="5" t="s">
        <v>221</v>
      </c>
      <c r="D2233" s="3" t="s">
        <v>614</v>
      </c>
      <c r="E2233" s="3" t="s">
        <v>118</v>
      </c>
      <c r="F2233" s="7">
        <v>45793.83420173149</v>
      </c>
      <c r="G2233" s="3" t="s">
        <v>7549</v>
      </c>
    </row>
    <row r="2234">
      <c r="A2234" s="3" t="s">
        <v>7550</v>
      </c>
      <c r="B2234" s="3" t="s">
        <v>2598</v>
      </c>
      <c r="C2234" s="5" t="s">
        <v>614</v>
      </c>
      <c r="D2234" s="3" t="s">
        <v>206</v>
      </c>
      <c r="E2234" s="3" t="s">
        <v>100</v>
      </c>
      <c r="F2234" s="7">
        <v>45793.83767395372</v>
      </c>
      <c r="G2234" s="3" t="s">
        <v>7552</v>
      </c>
    </row>
    <row r="2235">
      <c r="A2235" s="3" t="s">
        <v>7553</v>
      </c>
      <c r="B2235" s="3" t="s">
        <v>2598</v>
      </c>
      <c r="C2235" s="5" t="s">
        <v>206</v>
      </c>
      <c r="D2235" s="3" t="s">
        <v>68</v>
      </c>
      <c r="E2235" s="3" t="s">
        <v>100</v>
      </c>
      <c r="F2235" s="7">
        <v>45793.84114617594</v>
      </c>
      <c r="G2235" s="3" t="s">
        <v>7555</v>
      </c>
    </row>
    <row r="2236">
      <c r="A2236" s="3" t="s">
        <v>7556</v>
      </c>
      <c r="B2236" s="3" t="s">
        <v>2601</v>
      </c>
      <c r="C2236" s="5" t="s">
        <v>45</v>
      </c>
      <c r="D2236" s="3" t="s">
        <v>221</v>
      </c>
      <c r="E2236" s="3" t="s">
        <v>760</v>
      </c>
      <c r="F2236" s="7">
        <v>45793.90190435469</v>
      </c>
      <c r="G2236" s="3" t="s">
        <v>7557</v>
      </c>
    </row>
    <row r="2237">
      <c r="A2237" s="3" t="s">
        <v>7559</v>
      </c>
      <c r="B2237" s="3" t="s">
        <v>2601</v>
      </c>
      <c r="C2237" s="5" t="s">
        <v>221</v>
      </c>
      <c r="D2237" s="3" t="s">
        <v>614</v>
      </c>
      <c r="E2237" s="3" t="s">
        <v>118</v>
      </c>
      <c r="F2237" s="7">
        <v>45793.905376576906</v>
      </c>
      <c r="G2237" s="3" t="s">
        <v>7560</v>
      </c>
    </row>
    <row r="2238">
      <c r="A2238" s="3" t="s">
        <v>7561</v>
      </c>
      <c r="B2238" s="3" t="s">
        <v>2601</v>
      </c>
      <c r="C2238" s="5" t="s">
        <v>614</v>
      </c>
      <c r="D2238" s="3" t="s">
        <v>206</v>
      </c>
      <c r="E2238" s="3" t="s">
        <v>100</v>
      </c>
      <c r="F2238" s="7">
        <v>45793.90884879913</v>
      </c>
      <c r="G2238" s="3" t="s">
        <v>7563</v>
      </c>
    </row>
    <row r="2239">
      <c r="A2239" s="3" t="s">
        <v>7564</v>
      </c>
      <c r="B2239" s="3" t="s">
        <v>2601</v>
      </c>
      <c r="C2239" s="5" t="s">
        <v>206</v>
      </c>
      <c r="D2239" s="3" t="s">
        <v>68</v>
      </c>
      <c r="E2239" s="3" t="s">
        <v>100</v>
      </c>
      <c r="F2239" s="7">
        <v>45793.91232102135</v>
      </c>
      <c r="G2239" s="3" t="s">
        <v>7566</v>
      </c>
    </row>
    <row r="2240">
      <c r="A2240" s="3" t="s">
        <v>7567</v>
      </c>
      <c r="B2240" s="3" t="s">
        <v>2604</v>
      </c>
      <c r="C2240" s="5" t="s">
        <v>45</v>
      </c>
      <c r="D2240" s="3" t="s">
        <v>221</v>
      </c>
      <c r="E2240" s="3" t="s">
        <v>864</v>
      </c>
      <c r="F2240" s="7">
        <v>45793.9730792001</v>
      </c>
      <c r="G2240" s="3" t="s">
        <v>7569</v>
      </c>
    </row>
    <row r="2241">
      <c r="A2241" s="3" t="s">
        <v>7570</v>
      </c>
      <c r="B2241" s="3" t="s">
        <v>2604</v>
      </c>
      <c r="C2241" s="5" t="s">
        <v>221</v>
      </c>
      <c r="D2241" s="3" t="s">
        <v>614</v>
      </c>
      <c r="E2241" s="3" t="s">
        <v>118</v>
      </c>
      <c r="F2241" s="7">
        <v>45793.97655142232</v>
      </c>
      <c r="G2241" s="3" t="s">
        <v>7572</v>
      </c>
    </row>
    <row r="2242">
      <c r="A2242" s="3" t="s">
        <v>7573</v>
      </c>
      <c r="B2242" s="3" t="s">
        <v>2604</v>
      </c>
      <c r="C2242" s="5" t="s">
        <v>614</v>
      </c>
      <c r="D2242" s="3" t="s">
        <v>206</v>
      </c>
      <c r="E2242" s="3" t="s">
        <v>100</v>
      </c>
      <c r="F2242" s="7">
        <v>45793.980023644544</v>
      </c>
      <c r="G2242" s="3" t="s">
        <v>7575</v>
      </c>
    </row>
    <row r="2243">
      <c r="A2243" s="3" t="s">
        <v>7576</v>
      </c>
      <c r="B2243" s="3" t="s">
        <v>2604</v>
      </c>
      <c r="C2243" s="5" t="s">
        <v>206</v>
      </c>
      <c r="D2243" s="3" t="s">
        <v>68</v>
      </c>
      <c r="E2243" s="3" t="s">
        <v>100</v>
      </c>
      <c r="F2243" s="7">
        <v>45793.98349586676</v>
      </c>
      <c r="G2243" s="3" t="s">
        <v>7578</v>
      </c>
    </row>
    <row r="2244">
      <c r="A2244" s="3" t="s">
        <v>7579</v>
      </c>
      <c r="B2244" s="3" t="s">
        <v>2607</v>
      </c>
      <c r="C2244" s="5" t="s">
        <v>45</v>
      </c>
      <c r="D2244" s="3" t="s">
        <v>221</v>
      </c>
      <c r="E2244" s="3" t="s">
        <v>581</v>
      </c>
      <c r="F2244" s="7">
        <v>45794.04425404552</v>
      </c>
      <c r="G2244" s="3" t="s">
        <v>7581</v>
      </c>
    </row>
    <row r="2245">
      <c r="A2245" s="3" t="s">
        <v>7582</v>
      </c>
      <c r="B2245" s="3" t="s">
        <v>2607</v>
      </c>
      <c r="C2245" s="5" t="s">
        <v>221</v>
      </c>
      <c r="D2245" s="3" t="s">
        <v>614</v>
      </c>
      <c r="E2245" s="3" t="s">
        <v>118</v>
      </c>
      <c r="F2245" s="7">
        <v>45794.04772626774</v>
      </c>
      <c r="G2245" s="3" t="s">
        <v>7584</v>
      </c>
    </row>
    <row r="2246">
      <c r="A2246" s="3" t="s">
        <v>7585</v>
      </c>
      <c r="B2246" s="3" t="s">
        <v>2607</v>
      </c>
      <c r="C2246" s="5" t="s">
        <v>614</v>
      </c>
      <c r="D2246" s="3" t="s">
        <v>206</v>
      </c>
      <c r="E2246" s="3" t="s">
        <v>100</v>
      </c>
      <c r="F2246" s="7">
        <v>45794.051198489964</v>
      </c>
      <c r="G2246" s="3" t="s">
        <v>7586</v>
      </c>
    </row>
    <row r="2247">
      <c r="A2247" s="3" t="s">
        <v>7587</v>
      </c>
      <c r="B2247" s="3" t="s">
        <v>2607</v>
      </c>
      <c r="C2247" s="5" t="s">
        <v>206</v>
      </c>
      <c r="D2247" s="3" t="s">
        <v>68</v>
      </c>
      <c r="E2247" s="3" t="s">
        <v>100</v>
      </c>
      <c r="F2247" s="7">
        <v>45794.05467071218</v>
      </c>
      <c r="G2247" s="3" t="s">
        <v>7589</v>
      </c>
    </row>
    <row r="2248">
      <c r="A2248" s="3" t="s">
        <v>7590</v>
      </c>
      <c r="B2248" s="3" t="s">
        <v>2609</v>
      </c>
      <c r="C2248" s="5" t="s">
        <v>45</v>
      </c>
      <c r="D2248" s="3" t="s">
        <v>221</v>
      </c>
      <c r="E2248" s="3" t="s">
        <v>805</v>
      </c>
      <c r="F2248" s="7">
        <v>45794.11542889093</v>
      </c>
      <c r="G2248" s="3" t="s">
        <v>7592</v>
      </c>
    </row>
    <row r="2249">
      <c r="A2249" s="3" t="s">
        <v>7593</v>
      </c>
      <c r="B2249" s="3" t="s">
        <v>2609</v>
      </c>
      <c r="C2249" s="5" t="s">
        <v>221</v>
      </c>
      <c r="D2249" s="3" t="s">
        <v>614</v>
      </c>
      <c r="E2249" s="3" t="s">
        <v>118</v>
      </c>
      <c r="F2249" s="7">
        <v>45794.11890111315</v>
      </c>
      <c r="G2249" s="3" t="s">
        <v>7595</v>
      </c>
    </row>
    <row r="2250">
      <c r="A2250" s="3" t="s">
        <v>7596</v>
      </c>
      <c r="B2250" s="3" t="s">
        <v>2609</v>
      </c>
      <c r="C2250" s="5" t="s">
        <v>614</v>
      </c>
      <c r="D2250" s="3" t="s">
        <v>206</v>
      </c>
      <c r="E2250" s="3" t="s">
        <v>100</v>
      </c>
      <c r="F2250" s="7">
        <v>45794.122373335376</v>
      </c>
      <c r="G2250" s="3" t="s">
        <v>7598</v>
      </c>
    </row>
    <row r="2251">
      <c r="A2251" s="3" t="s">
        <v>7599</v>
      </c>
      <c r="B2251" s="3" t="s">
        <v>2609</v>
      </c>
      <c r="C2251" s="5" t="s">
        <v>206</v>
      </c>
      <c r="D2251" s="3" t="s">
        <v>68</v>
      </c>
      <c r="E2251" s="3" t="s">
        <v>100</v>
      </c>
      <c r="F2251" s="7">
        <v>45794.125845557595</v>
      </c>
      <c r="G2251" s="3" t="s">
        <v>7600</v>
      </c>
    </row>
    <row r="2252">
      <c r="A2252" s="3" t="s">
        <v>7602</v>
      </c>
      <c r="B2252" s="3" t="s">
        <v>2612</v>
      </c>
      <c r="C2252" s="5" t="s">
        <v>45</v>
      </c>
      <c r="D2252" s="3" t="s">
        <v>221</v>
      </c>
      <c r="E2252" s="3" t="s">
        <v>747</v>
      </c>
      <c r="F2252" s="7">
        <v>45794.18660373635</v>
      </c>
      <c r="G2252" s="3" t="s">
        <v>7604</v>
      </c>
    </row>
    <row r="2253">
      <c r="A2253" s="3" t="s">
        <v>7605</v>
      </c>
      <c r="B2253" s="3" t="s">
        <v>2612</v>
      </c>
      <c r="C2253" s="5" t="s">
        <v>221</v>
      </c>
      <c r="D2253" s="3" t="s">
        <v>614</v>
      </c>
      <c r="E2253" s="3" t="s">
        <v>118</v>
      </c>
      <c r="F2253" s="7">
        <v>45794.19007595857</v>
      </c>
      <c r="G2253" s="3" t="s">
        <v>7606</v>
      </c>
    </row>
    <row r="2254">
      <c r="A2254" s="3" t="s">
        <v>7608</v>
      </c>
      <c r="B2254" s="3" t="s">
        <v>2612</v>
      </c>
      <c r="C2254" s="5" t="s">
        <v>614</v>
      </c>
      <c r="D2254" s="3" t="s">
        <v>206</v>
      </c>
      <c r="E2254" s="3" t="s">
        <v>100</v>
      </c>
      <c r="F2254" s="7">
        <v>45794.193548180796</v>
      </c>
      <c r="G2254" s="3" t="s">
        <v>7609</v>
      </c>
    </row>
    <row r="2255">
      <c r="A2255" s="3" t="s">
        <v>7611</v>
      </c>
      <c r="B2255" s="3" t="s">
        <v>2612</v>
      </c>
      <c r="C2255" s="5" t="s">
        <v>206</v>
      </c>
      <c r="D2255" s="3" t="s">
        <v>68</v>
      </c>
      <c r="E2255" s="3" t="s">
        <v>100</v>
      </c>
      <c r="F2255" s="7">
        <v>45794.197020403015</v>
      </c>
      <c r="G2255" s="3" t="s">
        <v>7612</v>
      </c>
    </row>
    <row r="2256">
      <c r="A2256" s="3" t="s">
        <v>7613</v>
      </c>
      <c r="B2256" s="3" t="s">
        <v>2615</v>
      </c>
      <c r="C2256" s="5" t="s">
        <v>45</v>
      </c>
      <c r="D2256" s="3" t="s">
        <v>221</v>
      </c>
      <c r="E2256" s="3" t="s">
        <v>527</v>
      </c>
      <c r="F2256" s="7">
        <v>45794.25777858176</v>
      </c>
      <c r="G2256" s="3" t="s">
        <v>7615</v>
      </c>
    </row>
    <row r="2257">
      <c r="A2257" s="3" t="s">
        <v>7616</v>
      </c>
      <c r="B2257" s="3" t="s">
        <v>2615</v>
      </c>
      <c r="C2257" s="5" t="s">
        <v>221</v>
      </c>
      <c r="D2257" s="3" t="s">
        <v>614</v>
      </c>
      <c r="E2257" s="3" t="s">
        <v>118</v>
      </c>
      <c r="F2257" s="7">
        <v>45794.26125080398</v>
      </c>
      <c r="G2257" s="3" t="s">
        <v>7618</v>
      </c>
    </row>
    <row r="2258">
      <c r="A2258" s="3" t="s">
        <v>7619</v>
      </c>
      <c r="B2258" s="3" t="s">
        <v>2615</v>
      </c>
      <c r="C2258" s="5" t="s">
        <v>614</v>
      </c>
      <c r="D2258" s="3" t="s">
        <v>206</v>
      </c>
      <c r="E2258" s="3" t="s">
        <v>100</v>
      </c>
      <c r="F2258" s="7">
        <v>45794.26472302621</v>
      </c>
      <c r="G2258" s="3" t="s">
        <v>7621</v>
      </c>
    </row>
    <row r="2259">
      <c r="A2259" s="3" t="s">
        <v>7622</v>
      </c>
      <c r="B2259" s="3" t="s">
        <v>2615</v>
      </c>
      <c r="C2259" s="5" t="s">
        <v>206</v>
      </c>
      <c r="D2259" s="3" t="s">
        <v>68</v>
      </c>
      <c r="E2259" s="3" t="s">
        <v>100</v>
      </c>
      <c r="F2259" s="7">
        <v>45794.26819524843</v>
      </c>
      <c r="G2259" s="3" t="s">
        <v>7624</v>
      </c>
    </row>
    <row r="2260">
      <c r="A2260" s="3" t="s">
        <v>7625</v>
      </c>
      <c r="B2260" s="3" t="s">
        <v>2618</v>
      </c>
      <c r="C2260" s="5" t="s">
        <v>45</v>
      </c>
      <c r="D2260" s="3" t="s">
        <v>221</v>
      </c>
      <c r="E2260" s="3" t="s">
        <v>669</v>
      </c>
      <c r="F2260" s="7">
        <v>45794.32895342718</v>
      </c>
      <c r="G2260" s="3" t="s">
        <v>7627</v>
      </c>
    </row>
    <row r="2261">
      <c r="A2261" s="3" t="s">
        <v>7628</v>
      </c>
      <c r="B2261" s="3" t="s">
        <v>2618</v>
      </c>
      <c r="C2261" s="5" t="s">
        <v>221</v>
      </c>
      <c r="D2261" s="3" t="s">
        <v>195</v>
      </c>
      <c r="E2261" s="3" t="s">
        <v>669</v>
      </c>
      <c r="F2261" s="7">
        <v>45794.3324256494</v>
      </c>
      <c r="G2261" s="3" t="s">
        <v>7629</v>
      </c>
    </row>
    <row r="2262">
      <c r="A2262" s="3" t="s">
        <v>7631</v>
      </c>
      <c r="B2262" s="3" t="s">
        <v>2620</v>
      </c>
      <c r="C2262" s="5" t="s">
        <v>45</v>
      </c>
      <c r="D2262" s="3" t="s">
        <v>221</v>
      </c>
      <c r="E2262" s="3" t="s">
        <v>920</v>
      </c>
      <c r="F2262" s="7">
        <v>45794.40012827259</v>
      </c>
      <c r="G2262" s="3" t="s">
        <v>5696</v>
      </c>
    </row>
    <row r="2263">
      <c r="A2263" s="3" t="s">
        <v>7633</v>
      </c>
      <c r="B2263" s="3" t="s">
        <v>2620</v>
      </c>
      <c r="C2263" s="5" t="s">
        <v>221</v>
      </c>
      <c r="D2263" s="3" t="s">
        <v>614</v>
      </c>
      <c r="E2263" s="3" t="s">
        <v>118</v>
      </c>
      <c r="F2263" s="7">
        <v>45794.40360049481</v>
      </c>
      <c r="G2263" s="3" t="s">
        <v>5699</v>
      </c>
    </row>
    <row r="2264">
      <c r="A2264" s="3" t="s">
        <v>7634</v>
      </c>
      <c r="B2264" s="3" t="s">
        <v>2620</v>
      </c>
      <c r="C2264" s="5" t="s">
        <v>614</v>
      </c>
      <c r="D2264" s="3" t="s">
        <v>206</v>
      </c>
      <c r="E2264" s="3" t="s">
        <v>100</v>
      </c>
      <c r="F2264" s="7">
        <v>45794.40707271703</v>
      </c>
      <c r="G2264" s="3" t="s">
        <v>5701</v>
      </c>
    </row>
    <row r="2265">
      <c r="A2265" s="3" t="s">
        <v>7636</v>
      </c>
      <c r="B2265" s="3" t="s">
        <v>2620</v>
      </c>
      <c r="C2265" s="5" t="s">
        <v>206</v>
      </c>
      <c r="D2265" s="3" t="s">
        <v>68</v>
      </c>
      <c r="E2265" s="3" t="s">
        <v>100</v>
      </c>
      <c r="F2265" s="7">
        <v>45794.41054493925</v>
      </c>
      <c r="G2265" s="3" t="s">
        <v>5704</v>
      </c>
    </row>
    <row r="2266">
      <c r="A2266" s="3" t="s">
        <v>7638</v>
      </c>
      <c r="B2266" s="3" t="s">
        <v>2622</v>
      </c>
      <c r="C2266" s="5" t="s">
        <v>45</v>
      </c>
      <c r="D2266" s="3" t="s">
        <v>221</v>
      </c>
      <c r="E2266" s="3" t="s">
        <v>758</v>
      </c>
      <c r="F2266" s="7">
        <v>45794.47130311801</v>
      </c>
      <c r="G2266" s="3" t="s">
        <v>7639</v>
      </c>
    </row>
    <row r="2267">
      <c r="A2267" s="3" t="s">
        <v>7641</v>
      </c>
      <c r="B2267" s="3" t="s">
        <v>2622</v>
      </c>
      <c r="C2267" s="5" t="s">
        <v>221</v>
      </c>
      <c r="D2267" s="3" t="s">
        <v>614</v>
      </c>
      <c r="E2267" s="3" t="s">
        <v>118</v>
      </c>
      <c r="F2267" s="7">
        <v>45794.474775340226</v>
      </c>
      <c r="G2267" s="3" t="s">
        <v>7642</v>
      </c>
    </row>
    <row r="2268">
      <c r="A2268" s="3" t="s">
        <v>7644</v>
      </c>
      <c r="B2268" s="3" t="s">
        <v>2622</v>
      </c>
      <c r="C2268" s="5" t="s">
        <v>614</v>
      </c>
      <c r="D2268" s="3" t="s">
        <v>206</v>
      </c>
      <c r="E2268" s="3" t="s">
        <v>100</v>
      </c>
      <c r="F2268" s="7">
        <v>45794.47824756245</v>
      </c>
      <c r="G2268" s="3" t="s">
        <v>7645</v>
      </c>
    </row>
    <row r="2269">
      <c r="A2269" s="3" t="s">
        <v>7647</v>
      </c>
      <c r="B2269" s="3" t="s">
        <v>2622</v>
      </c>
      <c r="C2269" s="5" t="s">
        <v>206</v>
      </c>
      <c r="D2269" s="3" t="s">
        <v>68</v>
      </c>
      <c r="E2269" s="3" t="s">
        <v>100</v>
      </c>
      <c r="F2269" s="7">
        <v>45794.48171978467</v>
      </c>
      <c r="G2269" s="3" t="s">
        <v>7648</v>
      </c>
    </row>
    <row r="2270">
      <c r="A2270" s="3" t="s">
        <v>7650</v>
      </c>
      <c r="B2270" s="3" t="s">
        <v>2625</v>
      </c>
      <c r="C2270" s="5" t="s">
        <v>45</v>
      </c>
      <c r="D2270" s="3" t="s">
        <v>221</v>
      </c>
      <c r="E2270" s="3" t="s">
        <v>957</v>
      </c>
      <c r="F2270" s="7">
        <v>45794.54247796343</v>
      </c>
      <c r="G2270" s="3" t="s">
        <v>4646</v>
      </c>
    </row>
    <row r="2271">
      <c r="A2271" s="3" t="s">
        <v>7652</v>
      </c>
      <c r="B2271" s="3" t="s">
        <v>2625</v>
      </c>
      <c r="C2271" s="5" t="s">
        <v>221</v>
      </c>
      <c r="D2271" s="3" t="s">
        <v>614</v>
      </c>
      <c r="E2271" s="3" t="s">
        <v>118</v>
      </c>
      <c r="F2271" s="7">
        <v>45794.545950185646</v>
      </c>
      <c r="G2271" s="3" t="s">
        <v>4649</v>
      </c>
    </row>
    <row r="2272">
      <c r="A2272" s="3" t="s">
        <v>7653</v>
      </c>
      <c r="B2272" s="3" t="s">
        <v>2625</v>
      </c>
      <c r="C2272" s="5" t="s">
        <v>614</v>
      </c>
      <c r="D2272" s="3" t="s">
        <v>206</v>
      </c>
      <c r="E2272" s="3" t="s">
        <v>100</v>
      </c>
      <c r="F2272" s="7">
        <v>45794.54942240787</v>
      </c>
      <c r="G2272" s="3" t="s">
        <v>4652</v>
      </c>
    </row>
    <row r="2273">
      <c r="A2273" s="3" t="s">
        <v>7655</v>
      </c>
      <c r="B2273" s="3" t="s">
        <v>2625</v>
      </c>
      <c r="C2273" s="5" t="s">
        <v>206</v>
      </c>
      <c r="D2273" s="3" t="s">
        <v>68</v>
      </c>
      <c r="E2273" s="3" t="s">
        <v>100</v>
      </c>
      <c r="F2273" s="7">
        <v>45794.55289463009</v>
      </c>
      <c r="G2273" s="3" t="s">
        <v>4655</v>
      </c>
    </row>
    <row r="2274">
      <c r="A2274" s="3" t="s">
        <v>7657</v>
      </c>
      <c r="B2274" s="3" t="s">
        <v>2628</v>
      </c>
      <c r="C2274" s="5" t="s">
        <v>45</v>
      </c>
      <c r="D2274" s="3" t="s">
        <v>221</v>
      </c>
      <c r="E2274" s="3" t="s">
        <v>953</v>
      </c>
      <c r="F2274" s="7">
        <v>45794.61365280884</v>
      </c>
      <c r="G2274" s="3" t="s">
        <v>7659</v>
      </c>
    </row>
    <row r="2275">
      <c r="A2275" s="3" t="s">
        <v>7660</v>
      </c>
      <c r="B2275" s="3" t="s">
        <v>2628</v>
      </c>
      <c r="C2275" s="5" t="s">
        <v>221</v>
      </c>
      <c r="D2275" s="3" t="s">
        <v>614</v>
      </c>
      <c r="E2275" s="3" t="s">
        <v>118</v>
      </c>
      <c r="F2275" s="7">
        <v>45794.61712503106</v>
      </c>
      <c r="G2275" s="3" t="s">
        <v>7662</v>
      </c>
    </row>
    <row r="2276">
      <c r="A2276" s="3" t="s">
        <v>7663</v>
      </c>
      <c r="B2276" s="3" t="s">
        <v>2628</v>
      </c>
      <c r="C2276" s="5" t="s">
        <v>614</v>
      </c>
      <c r="D2276" s="3" t="s">
        <v>206</v>
      </c>
      <c r="E2276" s="3" t="s">
        <v>100</v>
      </c>
      <c r="F2276" s="7">
        <v>45794.620597253284</v>
      </c>
      <c r="G2276" s="3" t="s">
        <v>7664</v>
      </c>
    </row>
    <row r="2277">
      <c r="A2277" s="3" t="s">
        <v>7666</v>
      </c>
      <c r="B2277" s="3" t="s">
        <v>2628</v>
      </c>
      <c r="C2277" s="5" t="s">
        <v>206</v>
      </c>
      <c r="D2277" s="3" t="s">
        <v>68</v>
      </c>
      <c r="E2277" s="3" t="s">
        <v>100</v>
      </c>
      <c r="F2277" s="7">
        <v>45794.6240694755</v>
      </c>
      <c r="G2277" s="3" t="s">
        <v>7667</v>
      </c>
    </row>
    <row r="2278">
      <c r="A2278" s="3" t="s">
        <v>7669</v>
      </c>
      <c r="B2278" s="3" t="s">
        <v>2630</v>
      </c>
      <c r="C2278" s="5" t="s">
        <v>45</v>
      </c>
      <c r="D2278" s="3" t="s">
        <v>221</v>
      </c>
      <c r="E2278" s="3" t="s">
        <v>466</v>
      </c>
      <c r="F2278" s="7">
        <v>45794.68482765425</v>
      </c>
      <c r="G2278" s="3" t="s">
        <v>7670</v>
      </c>
    </row>
    <row r="2279">
      <c r="A2279" s="3" t="s">
        <v>7671</v>
      </c>
      <c r="B2279" s="3" t="s">
        <v>2630</v>
      </c>
      <c r="C2279" s="5" t="s">
        <v>221</v>
      </c>
      <c r="D2279" s="3" t="s">
        <v>614</v>
      </c>
      <c r="E2279" s="3" t="s">
        <v>118</v>
      </c>
      <c r="F2279" s="7">
        <v>45794.68829987647</v>
      </c>
      <c r="G2279" s="3" t="s">
        <v>7673</v>
      </c>
    </row>
    <row r="2280">
      <c r="A2280" s="3" t="s">
        <v>7674</v>
      </c>
      <c r="B2280" s="3" t="s">
        <v>2630</v>
      </c>
      <c r="C2280" s="5" t="s">
        <v>614</v>
      </c>
      <c r="D2280" s="3" t="s">
        <v>206</v>
      </c>
      <c r="E2280" s="3" t="s">
        <v>100</v>
      </c>
      <c r="F2280" s="7">
        <v>45794.6917720987</v>
      </c>
      <c r="G2280" s="3" t="s">
        <v>7676</v>
      </c>
    </row>
    <row r="2281">
      <c r="A2281" s="3" t="s">
        <v>7677</v>
      </c>
      <c r="B2281" s="3" t="s">
        <v>2630</v>
      </c>
      <c r="C2281" s="5" t="s">
        <v>206</v>
      </c>
      <c r="D2281" s="3" t="s">
        <v>68</v>
      </c>
      <c r="E2281" s="3" t="s">
        <v>100</v>
      </c>
      <c r="F2281" s="7">
        <v>45794.695244320916</v>
      </c>
      <c r="G2281" s="3" t="s">
        <v>7679</v>
      </c>
    </row>
    <row r="2282">
      <c r="A2282" s="3" t="s">
        <v>7680</v>
      </c>
      <c r="B2282" s="3" t="s">
        <v>2633</v>
      </c>
      <c r="C2282" s="5" t="s">
        <v>45</v>
      </c>
      <c r="D2282" s="3" t="s">
        <v>221</v>
      </c>
      <c r="E2282" s="3" t="s">
        <v>800</v>
      </c>
      <c r="F2282" s="7">
        <v>45794.75600249967</v>
      </c>
      <c r="G2282" s="3" t="s">
        <v>7682</v>
      </c>
    </row>
    <row r="2283">
      <c r="A2283" s="3" t="s">
        <v>7683</v>
      </c>
      <c r="B2283" s="3" t="s">
        <v>2633</v>
      </c>
      <c r="C2283" s="5" t="s">
        <v>221</v>
      </c>
      <c r="D2283" s="3" t="s">
        <v>614</v>
      </c>
      <c r="E2283" s="3" t="s">
        <v>118</v>
      </c>
      <c r="F2283" s="7">
        <v>45794.75947472189</v>
      </c>
      <c r="G2283" s="3" t="s">
        <v>7684</v>
      </c>
    </row>
    <row r="2284">
      <c r="A2284" s="3" t="s">
        <v>7686</v>
      </c>
      <c r="B2284" s="3" t="s">
        <v>2633</v>
      </c>
      <c r="C2284" s="5" t="s">
        <v>614</v>
      </c>
      <c r="D2284" s="3" t="s">
        <v>206</v>
      </c>
      <c r="E2284" s="3" t="s">
        <v>100</v>
      </c>
      <c r="F2284" s="7">
        <v>45794.762946944116</v>
      </c>
      <c r="G2284" s="3" t="s">
        <v>7687</v>
      </c>
    </row>
    <row r="2285">
      <c r="A2285" s="3" t="s">
        <v>7688</v>
      </c>
      <c r="B2285" s="3" t="s">
        <v>2633</v>
      </c>
      <c r="C2285" s="5" t="s">
        <v>206</v>
      </c>
      <c r="D2285" s="3" t="s">
        <v>68</v>
      </c>
      <c r="E2285" s="3" t="s">
        <v>100</v>
      </c>
      <c r="F2285" s="7">
        <v>45794.766419166335</v>
      </c>
      <c r="G2285" s="3" t="s">
        <v>7690</v>
      </c>
    </row>
    <row r="2286">
      <c r="A2286" s="3" t="s">
        <v>7691</v>
      </c>
      <c r="B2286" s="3" t="s">
        <v>2636</v>
      </c>
      <c r="C2286" s="5" t="s">
        <v>45</v>
      </c>
      <c r="D2286" s="3" t="s">
        <v>221</v>
      </c>
      <c r="E2286" s="3" t="s">
        <v>519</v>
      </c>
      <c r="F2286" s="7">
        <v>45794.82717734508</v>
      </c>
      <c r="G2286" s="3" t="s">
        <v>2770</v>
      </c>
    </row>
    <row r="2287">
      <c r="A2287" s="3" t="s">
        <v>7693</v>
      </c>
      <c r="B2287" s="3" t="s">
        <v>2636</v>
      </c>
      <c r="C2287" s="5" t="s">
        <v>221</v>
      </c>
      <c r="D2287" s="3" t="s">
        <v>195</v>
      </c>
      <c r="E2287" s="3" t="s">
        <v>519</v>
      </c>
      <c r="F2287" s="7">
        <v>45794.8306495673</v>
      </c>
      <c r="G2287" s="3" t="s">
        <v>3055</v>
      </c>
    </row>
    <row r="2288">
      <c r="A2288" s="3" t="s">
        <v>7695</v>
      </c>
      <c r="B2288" s="3" t="s">
        <v>2638</v>
      </c>
      <c r="C2288" s="5" t="s">
        <v>45</v>
      </c>
      <c r="D2288" s="3" t="s">
        <v>221</v>
      </c>
      <c r="E2288" s="3" t="s">
        <v>708</v>
      </c>
      <c r="F2288" s="7">
        <v>45794.898352190496</v>
      </c>
      <c r="G2288" s="3" t="s">
        <v>7697</v>
      </c>
    </row>
    <row r="2289">
      <c r="A2289" s="3" t="s">
        <v>7698</v>
      </c>
      <c r="B2289" s="3" t="s">
        <v>2638</v>
      </c>
      <c r="C2289" s="5" t="s">
        <v>221</v>
      </c>
      <c r="D2289" s="3" t="s">
        <v>614</v>
      </c>
      <c r="E2289" s="3" t="s">
        <v>118</v>
      </c>
      <c r="F2289" s="7">
        <v>45794.901824412715</v>
      </c>
      <c r="G2289" s="3" t="s">
        <v>7700</v>
      </c>
    </row>
    <row r="2290">
      <c r="A2290" s="3" t="s">
        <v>7701</v>
      </c>
      <c r="B2290" s="3" t="s">
        <v>2638</v>
      </c>
      <c r="C2290" s="5" t="s">
        <v>614</v>
      </c>
      <c r="D2290" s="3" t="s">
        <v>206</v>
      </c>
      <c r="E2290" s="3" t="s">
        <v>100</v>
      </c>
      <c r="F2290" s="7">
        <v>45794.90529663494</v>
      </c>
      <c r="G2290" s="3" t="s">
        <v>7703</v>
      </c>
    </row>
    <row r="2291">
      <c r="A2291" s="3" t="s">
        <v>7704</v>
      </c>
      <c r="B2291" s="3" t="s">
        <v>2638</v>
      </c>
      <c r="C2291" s="5" t="s">
        <v>206</v>
      </c>
      <c r="D2291" s="3" t="s">
        <v>68</v>
      </c>
      <c r="E2291" s="3" t="s">
        <v>100</v>
      </c>
      <c r="F2291" s="7">
        <v>45794.90876885716</v>
      </c>
      <c r="G2291" s="3" t="s">
        <v>7706</v>
      </c>
    </row>
    <row r="2292">
      <c r="A2292" s="3" t="s">
        <v>7707</v>
      </c>
      <c r="B2292" s="3" t="s">
        <v>2640</v>
      </c>
      <c r="C2292" s="5" t="s">
        <v>45</v>
      </c>
      <c r="D2292" s="3" t="s">
        <v>221</v>
      </c>
      <c r="E2292" s="3" t="s">
        <v>678</v>
      </c>
      <c r="F2292" s="7">
        <v>45794.969527035915</v>
      </c>
      <c r="G2292" s="3" t="s">
        <v>3679</v>
      </c>
    </row>
    <row r="2293">
      <c r="A2293" s="3" t="s">
        <v>7709</v>
      </c>
      <c r="B2293" s="3" t="s">
        <v>2640</v>
      </c>
      <c r="C2293" s="5" t="s">
        <v>221</v>
      </c>
      <c r="D2293" s="3" t="s">
        <v>614</v>
      </c>
      <c r="E2293" s="3" t="s">
        <v>118</v>
      </c>
      <c r="F2293" s="7">
        <v>45794.972999258134</v>
      </c>
      <c r="G2293" s="3" t="s">
        <v>3682</v>
      </c>
    </row>
    <row r="2294">
      <c r="A2294" s="3" t="s">
        <v>7711</v>
      </c>
      <c r="B2294" s="3" t="s">
        <v>2640</v>
      </c>
      <c r="C2294" s="5" t="s">
        <v>614</v>
      </c>
      <c r="D2294" s="3" t="s">
        <v>206</v>
      </c>
      <c r="E2294" s="3" t="s">
        <v>100</v>
      </c>
      <c r="F2294" s="7">
        <v>45794.97647148036</v>
      </c>
      <c r="G2294" s="3" t="s">
        <v>3685</v>
      </c>
    </row>
    <row r="2295">
      <c r="A2295" s="3" t="s">
        <v>7713</v>
      </c>
      <c r="B2295" s="3" t="s">
        <v>2640</v>
      </c>
      <c r="C2295" s="5" t="s">
        <v>206</v>
      </c>
      <c r="D2295" s="3" t="s">
        <v>68</v>
      </c>
      <c r="E2295" s="3" t="s">
        <v>100</v>
      </c>
      <c r="F2295" s="7">
        <v>45794.97994370258</v>
      </c>
      <c r="G2295" s="3" t="s">
        <v>3688</v>
      </c>
    </row>
    <row r="2296">
      <c r="A2296" s="3" t="s">
        <v>7715</v>
      </c>
      <c r="B2296" s="3" t="s">
        <v>2642</v>
      </c>
      <c r="C2296" s="5" t="s">
        <v>45</v>
      </c>
      <c r="D2296" s="3" t="s">
        <v>221</v>
      </c>
      <c r="E2296" s="3" t="s">
        <v>527</v>
      </c>
      <c r="F2296" s="7">
        <v>45795.040701881335</v>
      </c>
      <c r="G2296" s="3" t="s">
        <v>7615</v>
      </c>
    </row>
    <row r="2297">
      <c r="A2297" s="3" t="s">
        <v>7717</v>
      </c>
      <c r="B2297" s="3" t="s">
        <v>2642</v>
      </c>
      <c r="C2297" s="5" t="s">
        <v>221</v>
      </c>
      <c r="D2297" s="3" t="s">
        <v>181</v>
      </c>
      <c r="E2297" s="3" t="s">
        <v>118</v>
      </c>
      <c r="F2297" s="7">
        <v>45795.044174103554</v>
      </c>
      <c r="G2297" s="3" t="s">
        <v>7719</v>
      </c>
    </row>
    <row r="2298">
      <c r="A2298" s="3" t="s">
        <v>7720</v>
      </c>
      <c r="B2298" s="3" t="s">
        <v>2645</v>
      </c>
      <c r="C2298" s="5" t="s">
        <v>45</v>
      </c>
      <c r="D2298" s="3" t="s">
        <v>221</v>
      </c>
      <c r="E2298" s="3" t="s">
        <v>770</v>
      </c>
      <c r="F2298" s="7">
        <v>45795.11187672674</v>
      </c>
      <c r="G2298" s="3" t="s">
        <v>7721</v>
      </c>
    </row>
    <row r="2299">
      <c r="A2299" s="3" t="s">
        <v>7722</v>
      </c>
      <c r="B2299" s="3" t="s">
        <v>2645</v>
      </c>
      <c r="C2299" s="5" t="s">
        <v>221</v>
      </c>
      <c r="D2299" s="3" t="s">
        <v>614</v>
      </c>
      <c r="E2299" s="3" t="s">
        <v>118</v>
      </c>
      <c r="F2299" s="7">
        <v>45795.11534894896</v>
      </c>
      <c r="G2299" s="3" t="s">
        <v>7724</v>
      </c>
    </row>
    <row r="2300">
      <c r="A2300" s="3" t="s">
        <v>7725</v>
      </c>
      <c r="B2300" s="3" t="s">
        <v>2645</v>
      </c>
      <c r="C2300" s="5" t="s">
        <v>614</v>
      </c>
      <c r="D2300" s="3" t="s">
        <v>206</v>
      </c>
      <c r="E2300" s="3" t="s">
        <v>100</v>
      </c>
      <c r="F2300" s="7">
        <v>45795.118821171185</v>
      </c>
      <c r="G2300" s="3" t="s">
        <v>7727</v>
      </c>
    </row>
    <row r="2301">
      <c r="A2301" s="3" t="s">
        <v>7728</v>
      </c>
      <c r="B2301" s="3" t="s">
        <v>2645</v>
      </c>
      <c r="C2301" s="5" t="s">
        <v>206</v>
      </c>
      <c r="D2301" s="3" t="s">
        <v>68</v>
      </c>
      <c r="E2301" s="3" t="s">
        <v>100</v>
      </c>
      <c r="F2301" s="7">
        <v>45795.122293393404</v>
      </c>
      <c r="G2301" s="3" t="s">
        <v>7730</v>
      </c>
    </row>
    <row r="2302">
      <c r="A2302" s="3" t="s">
        <v>7731</v>
      </c>
      <c r="B2302" s="3" t="s">
        <v>2648</v>
      </c>
      <c r="C2302" s="5" t="s">
        <v>45</v>
      </c>
      <c r="D2302" s="3" t="s">
        <v>221</v>
      </c>
      <c r="E2302" s="3" t="s">
        <v>870</v>
      </c>
      <c r="F2302" s="7">
        <v>45795.18305157216</v>
      </c>
      <c r="G2302" s="3" t="s">
        <v>7732</v>
      </c>
    </row>
    <row r="2303">
      <c r="A2303" s="3" t="s">
        <v>7734</v>
      </c>
      <c r="B2303" s="3" t="s">
        <v>2648</v>
      </c>
      <c r="C2303" s="5" t="s">
        <v>221</v>
      </c>
      <c r="D2303" s="3" t="s">
        <v>614</v>
      </c>
      <c r="E2303" s="3" t="s">
        <v>118</v>
      </c>
      <c r="F2303" s="7">
        <v>45795.18652379438</v>
      </c>
      <c r="G2303" s="3" t="s">
        <v>7735</v>
      </c>
    </row>
    <row r="2304">
      <c r="A2304" s="3" t="s">
        <v>7736</v>
      </c>
      <c r="B2304" s="3" t="s">
        <v>2648</v>
      </c>
      <c r="C2304" s="5" t="s">
        <v>614</v>
      </c>
      <c r="D2304" s="3" t="s">
        <v>206</v>
      </c>
      <c r="E2304" s="3" t="s">
        <v>100</v>
      </c>
      <c r="F2304" s="7">
        <v>45795.189996016605</v>
      </c>
      <c r="G2304" s="3" t="s">
        <v>7738</v>
      </c>
    </row>
    <row r="2305">
      <c r="A2305" s="3" t="s">
        <v>7739</v>
      </c>
      <c r="B2305" s="3" t="s">
        <v>2648</v>
      </c>
      <c r="C2305" s="5" t="s">
        <v>206</v>
      </c>
      <c r="D2305" s="3" t="s">
        <v>68</v>
      </c>
      <c r="E2305" s="3" t="s">
        <v>100</v>
      </c>
      <c r="F2305" s="7">
        <v>45795.193468238824</v>
      </c>
      <c r="G2305" s="3" t="s">
        <v>7741</v>
      </c>
    </row>
    <row r="2306">
      <c r="A2306" s="3" t="s">
        <v>7742</v>
      </c>
      <c r="B2306" s="3" t="s">
        <v>2650</v>
      </c>
      <c r="C2306" s="5" t="s">
        <v>45</v>
      </c>
      <c r="D2306" s="3" t="s">
        <v>221</v>
      </c>
      <c r="E2306" s="3" t="s">
        <v>845</v>
      </c>
      <c r="F2306" s="7">
        <v>45795.25422641757</v>
      </c>
      <c r="G2306" s="3" t="s">
        <v>7744</v>
      </c>
    </row>
    <row r="2307">
      <c r="A2307" s="3" t="s">
        <v>7745</v>
      </c>
      <c r="B2307" s="3" t="s">
        <v>2650</v>
      </c>
      <c r="C2307" s="5" t="s">
        <v>221</v>
      </c>
      <c r="D2307" s="3" t="s">
        <v>614</v>
      </c>
      <c r="E2307" s="3" t="s">
        <v>118</v>
      </c>
      <c r="F2307" s="7">
        <v>45795.25769863979</v>
      </c>
      <c r="G2307" s="3" t="s">
        <v>7747</v>
      </c>
    </row>
    <row r="2308">
      <c r="A2308" s="3" t="s">
        <v>7748</v>
      </c>
      <c r="B2308" s="3" t="s">
        <v>2650</v>
      </c>
      <c r="C2308" s="5" t="s">
        <v>614</v>
      </c>
      <c r="D2308" s="3" t="s">
        <v>206</v>
      </c>
      <c r="E2308" s="3" t="s">
        <v>100</v>
      </c>
      <c r="F2308" s="7">
        <v>45795.26117086202</v>
      </c>
      <c r="G2308" s="3" t="s">
        <v>7750</v>
      </c>
    </row>
    <row r="2309">
      <c r="A2309" s="3" t="s">
        <v>7751</v>
      </c>
      <c r="B2309" s="3" t="s">
        <v>2650</v>
      </c>
      <c r="C2309" s="5" t="s">
        <v>206</v>
      </c>
      <c r="D2309" s="3" t="s">
        <v>68</v>
      </c>
      <c r="E2309" s="3" t="s">
        <v>100</v>
      </c>
      <c r="F2309" s="7">
        <v>45795.264643084236</v>
      </c>
      <c r="G2309" s="3" t="s">
        <v>7753</v>
      </c>
    </row>
    <row r="2310">
      <c r="A2310" s="3" t="s">
        <v>7754</v>
      </c>
      <c r="B2310" s="3" t="s">
        <v>2653</v>
      </c>
      <c r="C2310" s="5" t="s">
        <v>45</v>
      </c>
      <c r="D2310" s="3" t="s">
        <v>221</v>
      </c>
      <c r="E2310" s="3" t="s">
        <v>356</v>
      </c>
      <c r="F2310" s="7">
        <v>45795.32540126299</v>
      </c>
      <c r="G2310" s="3" t="s">
        <v>7756</v>
      </c>
    </row>
    <row r="2311">
      <c r="A2311" s="3" t="s">
        <v>7757</v>
      </c>
      <c r="B2311" s="3" t="s">
        <v>2653</v>
      </c>
      <c r="C2311" s="5" t="s">
        <v>221</v>
      </c>
      <c r="D2311" s="3" t="s">
        <v>614</v>
      </c>
      <c r="E2311" s="3" t="s">
        <v>118</v>
      </c>
      <c r="F2311" s="7">
        <v>45795.32887348521</v>
      </c>
      <c r="G2311" s="3" t="s">
        <v>7759</v>
      </c>
    </row>
    <row r="2312">
      <c r="A2312" s="3" t="s">
        <v>7760</v>
      </c>
      <c r="B2312" s="3" t="s">
        <v>2653</v>
      </c>
      <c r="C2312" s="5" t="s">
        <v>614</v>
      </c>
      <c r="D2312" s="3" t="s">
        <v>206</v>
      </c>
      <c r="E2312" s="3" t="s">
        <v>100</v>
      </c>
      <c r="F2312" s="7">
        <v>45795.33234570744</v>
      </c>
      <c r="G2312" s="3" t="s">
        <v>7762</v>
      </c>
    </row>
    <row r="2313">
      <c r="A2313" s="3" t="s">
        <v>7763</v>
      </c>
      <c r="B2313" s="3" t="s">
        <v>2653</v>
      </c>
      <c r="C2313" s="5" t="s">
        <v>206</v>
      </c>
      <c r="D2313" s="3" t="s">
        <v>68</v>
      </c>
      <c r="E2313" s="3" t="s">
        <v>100</v>
      </c>
      <c r="F2313" s="7">
        <v>45795.335817929656</v>
      </c>
      <c r="G2313" s="3" t="s">
        <v>7765</v>
      </c>
    </row>
    <row r="2314">
      <c r="A2314" s="3" t="s">
        <v>7766</v>
      </c>
      <c r="B2314" s="3" t="s">
        <v>2656</v>
      </c>
      <c r="C2314" s="5" t="s">
        <v>45</v>
      </c>
      <c r="D2314" s="3" t="s">
        <v>221</v>
      </c>
      <c r="E2314" s="3" t="s">
        <v>197</v>
      </c>
      <c r="F2314" s="7">
        <v>45795.396576108404</v>
      </c>
      <c r="G2314" s="3" t="s">
        <v>7768</v>
      </c>
    </row>
    <row r="2315">
      <c r="A2315" s="3" t="s">
        <v>7769</v>
      </c>
      <c r="B2315" s="3" t="s">
        <v>2656</v>
      </c>
      <c r="C2315" s="5" t="s">
        <v>221</v>
      </c>
      <c r="D2315" s="3" t="s">
        <v>614</v>
      </c>
      <c r="E2315" s="3" t="s">
        <v>118</v>
      </c>
      <c r="F2315" s="7">
        <v>45795.40004833062</v>
      </c>
      <c r="G2315" s="3" t="s">
        <v>7771</v>
      </c>
    </row>
    <row r="2316">
      <c r="A2316" s="3" t="s">
        <v>7772</v>
      </c>
      <c r="B2316" s="3" t="s">
        <v>2656</v>
      </c>
      <c r="C2316" s="5" t="s">
        <v>614</v>
      </c>
      <c r="D2316" s="3" t="s">
        <v>206</v>
      </c>
      <c r="E2316" s="3" t="s">
        <v>100</v>
      </c>
      <c r="F2316" s="7">
        <v>45795.40352055285</v>
      </c>
      <c r="G2316" s="3" t="s">
        <v>7773</v>
      </c>
    </row>
    <row r="2317">
      <c r="A2317" s="3" t="s">
        <v>7775</v>
      </c>
      <c r="B2317" s="3" t="s">
        <v>2656</v>
      </c>
      <c r="C2317" s="5" t="s">
        <v>206</v>
      </c>
      <c r="D2317" s="3" t="s">
        <v>68</v>
      </c>
      <c r="E2317" s="3" t="s">
        <v>100</v>
      </c>
      <c r="F2317" s="7">
        <v>45795.40699277507</v>
      </c>
      <c r="G2317" s="3" t="s">
        <v>7776</v>
      </c>
    </row>
    <row r="2318">
      <c r="A2318" s="3" t="s">
        <v>7777</v>
      </c>
      <c r="B2318" s="3" t="s">
        <v>2659</v>
      </c>
      <c r="C2318" s="5" t="s">
        <v>45</v>
      </c>
      <c r="D2318" s="3" t="s">
        <v>221</v>
      </c>
      <c r="E2318" s="3" t="s">
        <v>587</v>
      </c>
      <c r="F2318" s="7">
        <v>45795.46775095382</v>
      </c>
      <c r="G2318" s="3" t="s">
        <v>7779</v>
      </c>
    </row>
    <row r="2319">
      <c r="A2319" s="3" t="s">
        <v>7780</v>
      </c>
      <c r="B2319" s="3" t="s">
        <v>2659</v>
      </c>
      <c r="C2319" s="5" t="s">
        <v>221</v>
      </c>
      <c r="D2319" s="3" t="s">
        <v>614</v>
      </c>
      <c r="E2319" s="3" t="s">
        <v>118</v>
      </c>
      <c r="F2319" s="7">
        <v>45795.47122317604</v>
      </c>
      <c r="G2319" s="3" t="s">
        <v>7782</v>
      </c>
    </row>
    <row r="2320">
      <c r="A2320" s="3" t="s">
        <v>7783</v>
      </c>
      <c r="B2320" s="3" t="s">
        <v>2659</v>
      </c>
      <c r="C2320" s="5" t="s">
        <v>614</v>
      </c>
      <c r="D2320" s="3" t="s">
        <v>206</v>
      </c>
      <c r="E2320" s="3" t="s">
        <v>100</v>
      </c>
      <c r="F2320" s="7">
        <v>45795.47469539827</v>
      </c>
      <c r="G2320" s="3" t="s">
        <v>7785</v>
      </c>
    </row>
    <row r="2321">
      <c r="A2321" s="3" t="s">
        <v>7786</v>
      </c>
      <c r="B2321" s="3" t="s">
        <v>2659</v>
      </c>
      <c r="C2321" s="5" t="s">
        <v>206</v>
      </c>
      <c r="D2321" s="3" t="s">
        <v>68</v>
      </c>
      <c r="E2321" s="3" t="s">
        <v>100</v>
      </c>
      <c r="F2321" s="7">
        <v>45795.47816762049</v>
      </c>
      <c r="G2321" s="3" t="s">
        <v>7787</v>
      </c>
    </row>
    <row r="2322">
      <c r="A2322" s="3" t="s">
        <v>7789</v>
      </c>
      <c r="B2322" s="3" t="s">
        <v>2661</v>
      </c>
      <c r="C2322" s="5" t="s">
        <v>45</v>
      </c>
      <c r="D2322" s="3" t="s">
        <v>221</v>
      </c>
      <c r="E2322" s="3" t="s">
        <v>424</v>
      </c>
      <c r="F2322" s="7">
        <v>45795.53892579923</v>
      </c>
      <c r="G2322" s="3" t="s">
        <v>7447</v>
      </c>
    </row>
    <row r="2323">
      <c r="A2323" s="3" t="s">
        <v>7791</v>
      </c>
      <c r="B2323" s="3" t="s">
        <v>2661</v>
      </c>
      <c r="C2323" s="5" t="s">
        <v>221</v>
      </c>
      <c r="D2323" s="3" t="s">
        <v>614</v>
      </c>
      <c r="E2323" s="3" t="s">
        <v>118</v>
      </c>
      <c r="F2323" s="7">
        <v>45795.54239802145</v>
      </c>
      <c r="G2323" s="3" t="s">
        <v>7450</v>
      </c>
    </row>
    <row r="2324">
      <c r="A2324" s="3" t="s">
        <v>7792</v>
      </c>
      <c r="B2324" s="3" t="s">
        <v>2661</v>
      </c>
      <c r="C2324" s="5" t="s">
        <v>614</v>
      </c>
      <c r="D2324" s="3" t="s">
        <v>206</v>
      </c>
      <c r="E2324" s="3" t="s">
        <v>100</v>
      </c>
      <c r="F2324" s="7">
        <v>45795.54587024367</v>
      </c>
      <c r="G2324" s="3" t="s">
        <v>7453</v>
      </c>
    </row>
    <row r="2325">
      <c r="A2325" s="3" t="s">
        <v>7794</v>
      </c>
      <c r="B2325" s="3" t="s">
        <v>2661</v>
      </c>
      <c r="C2325" s="5" t="s">
        <v>206</v>
      </c>
      <c r="D2325" s="3" t="s">
        <v>68</v>
      </c>
      <c r="E2325" s="3" t="s">
        <v>100</v>
      </c>
      <c r="F2325" s="7">
        <v>45795.54934246589</v>
      </c>
      <c r="G2325" s="3" t="s">
        <v>7456</v>
      </c>
    </row>
    <row r="2326">
      <c r="A2326" s="3" t="s">
        <v>7796</v>
      </c>
      <c r="B2326" s="3" t="s">
        <v>2664</v>
      </c>
      <c r="C2326" s="5" t="s">
        <v>45</v>
      </c>
      <c r="D2326" s="3" t="s">
        <v>221</v>
      </c>
      <c r="E2326" s="3" t="s">
        <v>299</v>
      </c>
      <c r="F2326" s="7">
        <v>45795.61010064465</v>
      </c>
      <c r="G2326" s="3" t="s">
        <v>7798</v>
      </c>
    </row>
    <row r="2327">
      <c r="A2327" s="3" t="s">
        <v>7799</v>
      </c>
      <c r="B2327" s="3" t="s">
        <v>2664</v>
      </c>
      <c r="C2327" s="5" t="s">
        <v>221</v>
      </c>
      <c r="D2327" s="3" t="s">
        <v>614</v>
      </c>
      <c r="E2327" s="3" t="s">
        <v>118</v>
      </c>
      <c r="F2327" s="7">
        <v>45795.61357286687</v>
      </c>
      <c r="G2327" s="3" t="s">
        <v>7801</v>
      </c>
    </row>
    <row r="2328">
      <c r="A2328" s="3" t="s">
        <v>7802</v>
      </c>
      <c r="B2328" s="3" t="s">
        <v>2664</v>
      </c>
      <c r="C2328" s="5" t="s">
        <v>614</v>
      </c>
      <c r="D2328" s="3" t="s">
        <v>206</v>
      </c>
      <c r="E2328" s="3" t="s">
        <v>100</v>
      </c>
      <c r="F2328" s="7">
        <v>45795.61704508909</v>
      </c>
      <c r="G2328" s="3" t="s">
        <v>7804</v>
      </c>
    </row>
    <row r="2329">
      <c r="A2329" s="3" t="s">
        <v>7805</v>
      </c>
      <c r="B2329" s="3" t="s">
        <v>2664</v>
      </c>
      <c r="C2329" s="5" t="s">
        <v>206</v>
      </c>
      <c r="D2329" s="3" t="s">
        <v>68</v>
      </c>
      <c r="E2329" s="3" t="s">
        <v>100</v>
      </c>
      <c r="F2329" s="7">
        <v>45795.62051731131</v>
      </c>
      <c r="G2329" s="3" t="s">
        <v>7806</v>
      </c>
    </row>
    <row r="2330">
      <c r="A2330" s="3" t="s">
        <v>7808</v>
      </c>
      <c r="B2330" s="3" t="s">
        <v>2667</v>
      </c>
      <c r="C2330" s="5" t="s">
        <v>45</v>
      </c>
      <c r="D2330" s="3" t="s">
        <v>221</v>
      </c>
      <c r="E2330" s="3" t="s">
        <v>961</v>
      </c>
      <c r="F2330" s="7">
        <v>45795.68127549007</v>
      </c>
      <c r="G2330" s="3" t="s">
        <v>7809</v>
      </c>
    </row>
    <row r="2331">
      <c r="A2331" s="3" t="s">
        <v>7811</v>
      </c>
      <c r="B2331" s="3" t="s">
        <v>2667</v>
      </c>
      <c r="C2331" s="5" t="s">
        <v>221</v>
      </c>
      <c r="D2331" s="3" t="s">
        <v>614</v>
      </c>
      <c r="E2331" s="3" t="s">
        <v>118</v>
      </c>
      <c r="F2331" s="7">
        <v>45795.68474771229</v>
      </c>
      <c r="G2331" s="3" t="s">
        <v>7812</v>
      </c>
    </row>
    <row r="2332">
      <c r="A2332" s="3" t="s">
        <v>7814</v>
      </c>
      <c r="B2332" s="3" t="s">
        <v>2667</v>
      </c>
      <c r="C2332" s="5" t="s">
        <v>614</v>
      </c>
      <c r="D2332" s="3" t="s">
        <v>206</v>
      </c>
      <c r="E2332" s="3" t="s">
        <v>100</v>
      </c>
      <c r="F2332" s="7">
        <v>45795.68821993451</v>
      </c>
      <c r="G2332" s="3" t="s">
        <v>7815</v>
      </c>
    </row>
    <row r="2333">
      <c r="A2333" s="3" t="s">
        <v>7817</v>
      </c>
      <c r="B2333" s="3" t="s">
        <v>2667</v>
      </c>
      <c r="C2333" s="5" t="s">
        <v>206</v>
      </c>
      <c r="D2333" s="3" t="s">
        <v>68</v>
      </c>
      <c r="E2333" s="3" t="s">
        <v>100</v>
      </c>
      <c r="F2333" s="7">
        <v>45795.69169215673</v>
      </c>
      <c r="G2333" s="3" t="s">
        <v>7818</v>
      </c>
    </row>
    <row r="2334">
      <c r="A2334" s="3" t="s">
        <v>7819</v>
      </c>
      <c r="B2334" s="3" t="s">
        <v>2669</v>
      </c>
      <c r="C2334" s="5" t="s">
        <v>45</v>
      </c>
      <c r="D2334" s="3" t="s">
        <v>221</v>
      </c>
      <c r="E2334" s="3" t="s">
        <v>168</v>
      </c>
      <c r="F2334" s="7">
        <v>45795.75245033548</v>
      </c>
      <c r="G2334" s="3" t="s">
        <v>4342</v>
      </c>
    </row>
    <row r="2335">
      <c r="A2335" s="3" t="s">
        <v>7821</v>
      </c>
      <c r="B2335" s="3" t="s">
        <v>2669</v>
      </c>
      <c r="C2335" s="5" t="s">
        <v>221</v>
      </c>
      <c r="D2335" s="3" t="s">
        <v>614</v>
      </c>
      <c r="E2335" s="3" t="s">
        <v>118</v>
      </c>
      <c r="F2335" s="7">
        <v>45795.7559225577</v>
      </c>
      <c r="G2335" s="3" t="s">
        <v>4345</v>
      </c>
    </row>
    <row r="2336">
      <c r="A2336" s="3" t="s">
        <v>7823</v>
      </c>
      <c r="B2336" s="3" t="s">
        <v>2669</v>
      </c>
      <c r="C2336" s="5" t="s">
        <v>614</v>
      </c>
      <c r="D2336" s="3" t="s">
        <v>206</v>
      </c>
      <c r="E2336" s="3" t="s">
        <v>100</v>
      </c>
      <c r="F2336" s="7">
        <v>45795.759394779925</v>
      </c>
      <c r="G2336" s="3" t="s">
        <v>4348</v>
      </c>
    </row>
    <row r="2337">
      <c r="A2337" s="3" t="s">
        <v>7825</v>
      </c>
      <c r="B2337" s="3" t="s">
        <v>2669</v>
      </c>
      <c r="C2337" s="5" t="s">
        <v>206</v>
      </c>
      <c r="D2337" s="3" t="s">
        <v>68</v>
      </c>
      <c r="E2337" s="3" t="s">
        <v>100</v>
      </c>
      <c r="F2337" s="7">
        <v>45795.762867002144</v>
      </c>
      <c r="G2337" s="3" t="s">
        <v>4350</v>
      </c>
    </row>
    <row r="2338">
      <c r="A2338" s="3" t="s">
        <v>7827</v>
      </c>
      <c r="B2338" s="3" t="s">
        <v>2671</v>
      </c>
      <c r="C2338" s="5" t="s">
        <v>45</v>
      </c>
      <c r="D2338" s="3" t="s">
        <v>221</v>
      </c>
      <c r="E2338" s="3" t="s">
        <v>742</v>
      </c>
      <c r="F2338" s="7">
        <v>45795.82362518089</v>
      </c>
      <c r="G2338" s="3" t="s">
        <v>7828</v>
      </c>
    </row>
    <row r="2339">
      <c r="A2339" s="3" t="s">
        <v>7829</v>
      </c>
      <c r="B2339" s="3" t="s">
        <v>2671</v>
      </c>
      <c r="C2339" s="5" t="s">
        <v>221</v>
      </c>
      <c r="D2339" s="3" t="s">
        <v>614</v>
      </c>
      <c r="E2339" s="3" t="s">
        <v>118</v>
      </c>
      <c r="F2339" s="7">
        <v>45795.82709740311</v>
      </c>
      <c r="G2339" s="3" t="s">
        <v>7831</v>
      </c>
    </row>
    <row r="2340">
      <c r="A2340" s="3" t="s">
        <v>7832</v>
      </c>
      <c r="B2340" s="3" t="s">
        <v>2671</v>
      </c>
      <c r="C2340" s="5" t="s">
        <v>614</v>
      </c>
      <c r="D2340" s="3" t="s">
        <v>206</v>
      </c>
      <c r="E2340" s="3" t="s">
        <v>100</v>
      </c>
      <c r="F2340" s="7">
        <v>45795.83056962534</v>
      </c>
      <c r="G2340" s="3" t="s">
        <v>7834</v>
      </c>
    </row>
    <row r="2341">
      <c r="A2341" s="3" t="s">
        <v>7835</v>
      </c>
      <c r="B2341" s="3" t="s">
        <v>2671</v>
      </c>
      <c r="C2341" s="5" t="s">
        <v>206</v>
      </c>
      <c r="D2341" s="3" t="s">
        <v>68</v>
      </c>
      <c r="E2341" s="3" t="s">
        <v>100</v>
      </c>
      <c r="F2341" s="7">
        <v>45795.83404184756</v>
      </c>
      <c r="G2341" s="3" t="s">
        <v>7837</v>
      </c>
    </row>
    <row r="2342">
      <c r="A2342" s="3" t="s">
        <v>7838</v>
      </c>
      <c r="B2342" s="3" t="s">
        <v>2674</v>
      </c>
      <c r="C2342" s="5" t="s">
        <v>45</v>
      </c>
      <c r="D2342" s="3" t="s">
        <v>221</v>
      </c>
      <c r="E2342" s="3" t="s">
        <v>770</v>
      </c>
      <c r="F2342" s="7">
        <v>45795.89480002631</v>
      </c>
      <c r="G2342" s="3" t="s">
        <v>7840</v>
      </c>
    </row>
    <row r="2343">
      <c r="A2343" s="3" t="s">
        <v>7841</v>
      </c>
      <c r="B2343" s="3" t="s">
        <v>2674</v>
      </c>
      <c r="C2343" s="5" t="s">
        <v>221</v>
      </c>
      <c r="D2343" s="3" t="s">
        <v>614</v>
      </c>
      <c r="E2343" s="3" t="s">
        <v>118</v>
      </c>
      <c r="F2343" s="7">
        <v>45795.89827224853</v>
      </c>
      <c r="G2343" s="3" t="s">
        <v>7843</v>
      </c>
    </row>
    <row r="2344">
      <c r="A2344" s="3" t="s">
        <v>7844</v>
      </c>
      <c r="B2344" s="3" t="s">
        <v>2674</v>
      </c>
      <c r="C2344" s="5" t="s">
        <v>614</v>
      </c>
      <c r="D2344" s="3" t="s">
        <v>206</v>
      </c>
      <c r="E2344" s="3" t="s">
        <v>100</v>
      </c>
      <c r="F2344" s="7">
        <v>45795.90174447076</v>
      </c>
      <c r="G2344" s="3" t="s">
        <v>7846</v>
      </c>
    </row>
    <row r="2345">
      <c r="A2345" s="3" t="s">
        <v>7847</v>
      </c>
      <c r="B2345" s="3" t="s">
        <v>2674</v>
      </c>
      <c r="C2345" s="5" t="s">
        <v>206</v>
      </c>
      <c r="D2345" s="3" t="s">
        <v>68</v>
      </c>
      <c r="E2345" s="3" t="s">
        <v>100</v>
      </c>
      <c r="F2345" s="7">
        <v>45795.905216692976</v>
      </c>
      <c r="G2345" s="3" t="s">
        <v>7849</v>
      </c>
    </row>
    <row r="2346">
      <c r="A2346" s="3" t="s">
        <v>7850</v>
      </c>
      <c r="B2346" s="3" t="s">
        <v>2677</v>
      </c>
      <c r="C2346" s="5" t="s">
        <v>45</v>
      </c>
      <c r="D2346" s="3" t="s">
        <v>221</v>
      </c>
      <c r="E2346" s="3" t="s">
        <v>388</v>
      </c>
      <c r="F2346" s="7">
        <v>45795.965974871724</v>
      </c>
      <c r="G2346" s="3" t="s">
        <v>7852</v>
      </c>
    </row>
    <row r="2347">
      <c r="A2347" s="3" t="s">
        <v>7853</v>
      </c>
      <c r="B2347" s="3" t="s">
        <v>2677</v>
      </c>
      <c r="C2347" s="5" t="s">
        <v>221</v>
      </c>
      <c r="D2347" s="3" t="s">
        <v>614</v>
      </c>
      <c r="E2347" s="3" t="s">
        <v>118</v>
      </c>
      <c r="F2347" s="7">
        <v>45795.96944709394</v>
      </c>
      <c r="G2347" s="3" t="s">
        <v>7855</v>
      </c>
    </row>
    <row r="2348">
      <c r="A2348" s="3" t="s">
        <v>7856</v>
      </c>
      <c r="B2348" s="3" t="s">
        <v>2677</v>
      </c>
      <c r="C2348" s="5" t="s">
        <v>614</v>
      </c>
      <c r="D2348" s="3" t="s">
        <v>206</v>
      </c>
      <c r="E2348" s="3" t="s">
        <v>100</v>
      </c>
      <c r="F2348" s="7">
        <v>45795.97291931617</v>
      </c>
      <c r="G2348" s="3" t="s">
        <v>7860</v>
      </c>
    </row>
    <row r="2349">
      <c r="A2349" s="3" t="s">
        <v>7861</v>
      </c>
      <c r="B2349" s="3" t="s">
        <v>2677</v>
      </c>
      <c r="C2349" s="5" t="s">
        <v>206</v>
      </c>
      <c r="D2349" s="3" t="s">
        <v>68</v>
      </c>
      <c r="E2349" s="3" t="s">
        <v>100</v>
      </c>
      <c r="F2349" s="7">
        <v>45795.97639153839</v>
      </c>
      <c r="G2349" s="3" t="s">
        <v>7863</v>
      </c>
    </row>
    <row r="2350">
      <c r="A2350" s="3" t="s">
        <v>7864</v>
      </c>
      <c r="B2350" s="3" t="s">
        <v>2679</v>
      </c>
      <c r="C2350" s="5" t="s">
        <v>45</v>
      </c>
      <c r="D2350" s="3" t="s">
        <v>221</v>
      </c>
      <c r="E2350" s="3" t="s">
        <v>380</v>
      </c>
      <c r="F2350" s="7">
        <v>45796.037149717136</v>
      </c>
      <c r="G2350" s="3" t="s">
        <v>7866</v>
      </c>
    </row>
    <row r="2351">
      <c r="A2351" s="3" t="s">
        <v>7867</v>
      </c>
      <c r="B2351" s="3" t="s">
        <v>2679</v>
      </c>
      <c r="C2351" s="5" t="s">
        <v>221</v>
      </c>
      <c r="D2351" s="3" t="s">
        <v>614</v>
      </c>
      <c r="E2351" s="3" t="s">
        <v>118</v>
      </c>
      <c r="F2351" s="7">
        <v>45796.040621939355</v>
      </c>
      <c r="G2351" s="3" t="s">
        <v>7869</v>
      </c>
    </row>
    <row r="2352">
      <c r="A2352" s="3" t="s">
        <v>7870</v>
      </c>
      <c r="B2352" s="3" t="s">
        <v>2679</v>
      </c>
      <c r="C2352" s="5" t="s">
        <v>614</v>
      </c>
      <c r="D2352" s="3" t="s">
        <v>206</v>
      </c>
      <c r="E2352" s="3" t="s">
        <v>100</v>
      </c>
      <c r="F2352" s="7">
        <v>45796.04409416158</v>
      </c>
      <c r="G2352" s="3" t="s">
        <v>7871</v>
      </c>
    </row>
    <row r="2353">
      <c r="A2353" s="3" t="s">
        <v>7873</v>
      </c>
      <c r="B2353" s="3" t="s">
        <v>2679</v>
      </c>
      <c r="C2353" s="5" t="s">
        <v>206</v>
      </c>
      <c r="D2353" s="3" t="s">
        <v>68</v>
      </c>
      <c r="E2353" s="3" t="s">
        <v>100</v>
      </c>
      <c r="F2353" s="7">
        <v>45796.0475663838</v>
      </c>
      <c r="G2353" s="3" t="s">
        <v>7874</v>
      </c>
    </row>
    <row r="2354">
      <c r="A2354" s="3" t="s">
        <v>7875</v>
      </c>
      <c r="B2354" s="3" t="s">
        <v>2682</v>
      </c>
      <c r="C2354" s="5" t="s">
        <v>45</v>
      </c>
      <c r="D2354" s="3" t="s">
        <v>221</v>
      </c>
      <c r="E2354" s="3" t="s">
        <v>622</v>
      </c>
      <c r="F2354" s="7">
        <v>45796.108324562556</v>
      </c>
      <c r="G2354" s="3" t="s">
        <v>5594</v>
      </c>
    </row>
    <row r="2355">
      <c r="A2355" s="3" t="s">
        <v>7877</v>
      </c>
      <c r="B2355" s="3" t="s">
        <v>2682</v>
      </c>
      <c r="C2355" s="5" t="s">
        <v>221</v>
      </c>
      <c r="D2355" s="3" t="s">
        <v>614</v>
      </c>
      <c r="E2355" s="3" t="s">
        <v>118</v>
      </c>
      <c r="F2355" s="7">
        <v>45796.111796784775</v>
      </c>
      <c r="G2355" s="3" t="s">
        <v>5597</v>
      </c>
    </row>
    <row r="2356">
      <c r="A2356" s="3" t="s">
        <v>7879</v>
      </c>
      <c r="B2356" s="3" t="s">
        <v>2682</v>
      </c>
      <c r="C2356" s="5" t="s">
        <v>614</v>
      </c>
      <c r="D2356" s="3" t="s">
        <v>206</v>
      </c>
      <c r="E2356" s="3" t="s">
        <v>100</v>
      </c>
      <c r="F2356" s="7">
        <v>45796.115269007</v>
      </c>
      <c r="G2356" s="3" t="s">
        <v>5600</v>
      </c>
    </row>
    <row r="2357">
      <c r="A2357" s="3" t="s">
        <v>7880</v>
      </c>
      <c r="B2357" s="3" t="s">
        <v>2682</v>
      </c>
      <c r="C2357" s="5" t="s">
        <v>206</v>
      </c>
      <c r="D2357" s="3" t="s">
        <v>68</v>
      </c>
      <c r="E2357" s="3" t="s">
        <v>100</v>
      </c>
      <c r="F2357" s="7">
        <v>45796.11874122922</v>
      </c>
      <c r="G2357" s="3" t="s">
        <v>5603</v>
      </c>
    </row>
    <row r="2358">
      <c r="A2358" s="3" t="s">
        <v>7882</v>
      </c>
      <c r="B2358" s="3" t="s">
        <v>2685</v>
      </c>
      <c r="C2358" s="5" t="s">
        <v>45</v>
      </c>
      <c r="D2358" s="3" t="s">
        <v>221</v>
      </c>
      <c r="E2358" s="3" t="s">
        <v>911</v>
      </c>
      <c r="F2358" s="7">
        <v>45796.179499407976</v>
      </c>
      <c r="G2358" s="3" t="s">
        <v>7884</v>
      </c>
    </row>
    <row r="2359">
      <c r="A2359" s="3" t="s">
        <v>7885</v>
      </c>
      <c r="B2359" s="3" t="s">
        <v>2685</v>
      </c>
      <c r="C2359" s="5" t="s">
        <v>221</v>
      </c>
      <c r="D2359" s="3" t="s">
        <v>614</v>
      </c>
      <c r="E2359" s="3" t="s">
        <v>118</v>
      </c>
      <c r="F2359" s="7">
        <v>45796.182971630195</v>
      </c>
      <c r="G2359" s="3" t="s">
        <v>7887</v>
      </c>
    </row>
    <row r="2360">
      <c r="A2360" s="3" t="s">
        <v>7888</v>
      </c>
      <c r="B2360" s="3" t="s">
        <v>2685</v>
      </c>
      <c r="C2360" s="5" t="s">
        <v>614</v>
      </c>
      <c r="D2360" s="3" t="s">
        <v>206</v>
      </c>
      <c r="E2360" s="3" t="s">
        <v>100</v>
      </c>
      <c r="F2360" s="7">
        <v>45796.18644385242</v>
      </c>
      <c r="G2360" s="3" t="s">
        <v>7889</v>
      </c>
    </row>
    <row r="2361">
      <c r="A2361" s="3" t="s">
        <v>7891</v>
      </c>
      <c r="B2361" s="3" t="s">
        <v>2685</v>
      </c>
      <c r="C2361" s="5" t="s">
        <v>206</v>
      </c>
      <c r="D2361" s="3" t="s">
        <v>68</v>
      </c>
      <c r="E2361" s="3" t="s">
        <v>100</v>
      </c>
      <c r="F2361" s="7">
        <v>45796.18991607464</v>
      </c>
      <c r="G2361" s="3" t="s">
        <v>7892</v>
      </c>
    </row>
    <row r="2362">
      <c r="A2362" s="3" t="s">
        <v>7894</v>
      </c>
      <c r="B2362" s="3" t="s">
        <v>2687</v>
      </c>
      <c r="C2362" s="5" t="s">
        <v>45</v>
      </c>
      <c r="D2362" s="3" t="s">
        <v>221</v>
      </c>
      <c r="E2362" s="3" t="s">
        <v>544</v>
      </c>
      <c r="F2362" s="7">
        <v>45796.25067425338</v>
      </c>
      <c r="G2362" s="3" t="s">
        <v>7895</v>
      </c>
    </row>
    <row r="2363">
      <c r="A2363" s="3" t="s">
        <v>7896</v>
      </c>
      <c r="B2363" s="3" t="s">
        <v>2687</v>
      </c>
      <c r="C2363" s="5" t="s">
        <v>221</v>
      </c>
      <c r="D2363" s="3" t="s">
        <v>614</v>
      </c>
      <c r="E2363" s="3" t="s">
        <v>118</v>
      </c>
      <c r="F2363" s="7">
        <v>45796.2541464756</v>
      </c>
      <c r="G2363" s="3" t="s">
        <v>7898</v>
      </c>
    </row>
    <row r="2364">
      <c r="A2364" s="3" t="s">
        <v>7899</v>
      </c>
      <c r="B2364" s="3" t="s">
        <v>2687</v>
      </c>
      <c r="C2364" s="5" t="s">
        <v>614</v>
      </c>
      <c r="D2364" s="3" t="s">
        <v>206</v>
      </c>
      <c r="E2364" s="3" t="s">
        <v>100</v>
      </c>
      <c r="F2364" s="7">
        <v>45796.257618697826</v>
      </c>
      <c r="G2364" s="3" t="s">
        <v>7901</v>
      </c>
    </row>
    <row r="2365">
      <c r="A2365" s="3" t="s">
        <v>7902</v>
      </c>
      <c r="B2365" s="3" t="s">
        <v>2687</v>
      </c>
      <c r="C2365" s="5" t="s">
        <v>206</v>
      </c>
      <c r="D2365" s="3" t="s">
        <v>68</v>
      </c>
      <c r="E2365" s="3" t="s">
        <v>100</v>
      </c>
      <c r="F2365" s="7">
        <v>45796.261090920045</v>
      </c>
      <c r="G2365" s="3" t="s">
        <v>7904</v>
      </c>
    </row>
    <row r="2366">
      <c r="A2366" s="3" t="s">
        <v>7905</v>
      </c>
      <c r="B2366" s="3" t="s">
        <v>2689</v>
      </c>
      <c r="C2366" s="5" t="s">
        <v>45</v>
      </c>
      <c r="D2366" s="3" t="s">
        <v>221</v>
      </c>
      <c r="E2366" s="3" t="s">
        <v>770</v>
      </c>
      <c r="F2366" s="7">
        <v>45796.3218490988</v>
      </c>
      <c r="G2366" s="3" t="s">
        <v>7907</v>
      </c>
    </row>
    <row r="2367">
      <c r="A2367" s="3" t="s">
        <v>7908</v>
      </c>
      <c r="B2367" s="3" t="s">
        <v>2689</v>
      </c>
      <c r="C2367" s="5" t="s">
        <v>221</v>
      </c>
      <c r="D2367" s="3" t="s">
        <v>614</v>
      </c>
      <c r="E2367" s="3" t="s">
        <v>118</v>
      </c>
      <c r="F2367" s="7">
        <v>45796.32532132102</v>
      </c>
      <c r="G2367" s="3" t="s">
        <v>7910</v>
      </c>
    </row>
    <row r="2368">
      <c r="A2368" s="3" t="s">
        <v>7911</v>
      </c>
      <c r="B2368" s="3" t="s">
        <v>2689</v>
      </c>
      <c r="C2368" s="5" t="s">
        <v>614</v>
      </c>
      <c r="D2368" s="3" t="s">
        <v>206</v>
      </c>
      <c r="E2368" s="3" t="s">
        <v>100</v>
      </c>
      <c r="F2368" s="7">
        <v>45796.328793543245</v>
      </c>
      <c r="G2368" s="3" t="s">
        <v>7913</v>
      </c>
    </row>
    <row r="2369">
      <c r="A2369" s="3" t="s">
        <v>7914</v>
      </c>
      <c r="B2369" s="3" t="s">
        <v>2689</v>
      </c>
      <c r="C2369" s="5" t="s">
        <v>206</v>
      </c>
      <c r="D2369" s="3" t="s">
        <v>68</v>
      </c>
      <c r="E2369" s="3" t="s">
        <v>100</v>
      </c>
      <c r="F2369" s="7">
        <v>45796.332265765464</v>
      </c>
      <c r="G2369" s="3" t="s">
        <v>7916</v>
      </c>
    </row>
    <row r="2370">
      <c r="A2370" s="3" t="s">
        <v>7917</v>
      </c>
      <c r="B2370" s="3" t="s">
        <v>2691</v>
      </c>
      <c r="C2370" s="5" t="s">
        <v>45</v>
      </c>
      <c r="D2370" s="3" t="s">
        <v>221</v>
      </c>
      <c r="E2370" s="3" t="s">
        <v>280</v>
      </c>
      <c r="F2370" s="7">
        <v>45796.39302394422</v>
      </c>
      <c r="G2370" s="3" t="s">
        <v>7919</v>
      </c>
    </row>
    <row r="2371">
      <c r="A2371" s="3" t="s">
        <v>7920</v>
      </c>
      <c r="B2371" s="3" t="s">
        <v>2691</v>
      </c>
      <c r="C2371" s="5" t="s">
        <v>221</v>
      </c>
      <c r="D2371" s="3" t="s">
        <v>614</v>
      </c>
      <c r="E2371" s="3" t="s">
        <v>118</v>
      </c>
      <c r="F2371" s="7">
        <v>45796.39649616644</v>
      </c>
      <c r="G2371" s="3" t="s">
        <v>7922</v>
      </c>
    </row>
    <row r="2372">
      <c r="A2372" s="3" t="s">
        <v>7923</v>
      </c>
      <c r="B2372" s="3" t="s">
        <v>2691</v>
      </c>
      <c r="C2372" s="5" t="s">
        <v>614</v>
      </c>
      <c r="D2372" s="3" t="s">
        <v>206</v>
      </c>
      <c r="E2372" s="3" t="s">
        <v>100</v>
      </c>
      <c r="F2372" s="7">
        <v>45796.399968388665</v>
      </c>
      <c r="G2372" s="3" t="s">
        <v>7925</v>
      </c>
    </row>
    <row r="2373">
      <c r="A2373" s="3" t="s">
        <v>7926</v>
      </c>
      <c r="B2373" s="3" t="s">
        <v>2691</v>
      </c>
      <c r="C2373" s="5" t="s">
        <v>206</v>
      </c>
      <c r="D2373" s="3" t="s">
        <v>68</v>
      </c>
      <c r="E2373" s="3" t="s">
        <v>100</v>
      </c>
      <c r="F2373" s="7">
        <v>45796.403440610884</v>
      </c>
      <c r="G2373" s="3" t="s">
        <v>7928</v>
      </c>
    </row>
    <row r="2374">
      <c r="A2374" s="3" t="s">
        <v>7929</v>
      </c>
      <c r="B2374" s="3" t="s">
        <v>2693</v>
      </c>
      <c r="C2374" s="5" t="s">
        <v>45</v>
      </c>
      <c r="D2374" s="3" t="s">
        <v>221</v>
      </c>
      <c r="E2374" s="3" t="s">
        <v>446</v>
      </c>
      <c r="F2374" s="7">
        <v>45796.46419878963</v>
      </c>
      <c r="G2374" s="3" t="s">
        <v>7931</v>
      </c>
    </row>
    <row r="2375">
      <c r="A2375" s="3" t="s">
        <v>7932</v>
      </c>
      <c r="B2375" s="3" t="s">
        <v>2693</v>
      </c>
      <c r="C2375" s="5" t="s">
        <v>221</v>
      </c>
      <c r="D2375" s="3" t="s">
        <v>614</v>
      </c>
      <c r="E2375" s="3" t="s">
        <v>118</v>
      </c>
      <c r="F2375" s="7">
        <v>45796.46767101185</v>
      </c>
      <c r="G2375" s="3" t="s">
        <v>7934</v>
      </c>
    </row>
    <row r="2376">
      <c r="A2376" s="3" t="s">
        <v>7935</v>
      </c>
      <c r="B2376" s="3" t="s">
        <v>2693</v>
      </c>
      <c r="C2376" s="5" t="s">
        <v>614</v>
      </c>
      <c r="D2376" s="3" t="s">
        <v>206</v>
      </c>
      <c r="E2376" s="3" t="s">
        <v>100</v>
      </c>
      <c r="F2376" s="7">
        <v>45796.47114323408</v>
      </c>
      <c r="G2376" s="3" t="s">
        <v>7936</v>
      </c>
    </row>
    <row r="2377">
      <c r="A2377" s="3" t="s">
        <v>7937</v>
      </c>
      <c r="B2377" s="3" t="s">
        <v>2693</v>
      </c>
      <c r="C2377" s="5" t="s">
        <v>206</v>
      </c>
      <c r="D2377" s="3" t="s">
        <v>68</v>
      </c>
      <c r="E2377" s="3" t="s">
        <v>100</v>
      </c>
      <c r="F2377" s="7">
        <v>45796.474615456296</v>
      </c>
      <c r="G2377" s="3" t="s">
        <v>7939</v>
      </c>
    </row>
    <row r="2378">
      <c r="A2378" s="3" t="s">
        <v>7940</v>
      </c>
      <c r="B2378" s="3" t="s">
        <v>2695</v>
      </c>
      <c r="C2378" s="5" t="s">
        <v>45</v>
      </c>
      <c r="D2378" s="3" t="s">
        <v>221</v>
      </c>
      <c r="E2378" s="3" t="s">
        <v>713</v>
      </c>
      <c r="F2378" s="7">
        <v>45796.535373635044</v>
      </c>
      <c r="G2378" s="3" t="s">
        <v>7941</v>
      </c>
    </row>
    <row r="2379">
      <c r="A2379" s="3" t="s">
        <v>7942</v>
      </c>
      <c r="B2379" s="3" t="s">
        <v>2695</v>
      </c>
      <c r="C2379" s="5" t="s">
        <v>221</v>
      </c>
      <c r="D2379" s="3" t="s">
        <v>614</v>
      </c>
      <c r="E2379" s="3" t="s">
        <v>118</v>
      </c>
      <c r="F2379" s="7">
        <v>45796.53884585726</v>
      </c>
      <c r="G2379" s="3" t="s">
        <v>7944</v>
      </c>
    </row>
    <row r="2380">
      <c r="A2380" s="3" t="s">
        <v>7945</v>
      </c>
      <c r="B2380" s="3" t="s">
        <v>2695</v>
      </c>
      <c r="C2380" s="5" t="s">
        <v>614</v>
      </c>
      <c r="D2380" s="3" t="s">
        <v>206</v>
      </c>
      <c r="E2380" s="3" t="s">
        <v>100</v>
      </c>
      <c r="F2380" s="7">
        <v>45796.54231807949</v>
      </c>
      <c r="G2380" s="3" t="s">
        <v>7947</v>
      </c>
    </row>
    <row r="2381">
      <c r="A2381" s="3" t="s">
        <v>7948</v>
      </c>
      <c r="B2381" s="3" t="s">
        <v>2695</v>
      </c>
      <c r="C2381" s="5" t="s">
        <v>206</v>
      </c>
      <c r="D2381" s="3" t="s">
        <v>68</v>
      </c>
      <c r="E2381" s="3" t="s">
        <v>100</v>
      </c>
      <c r="F2381" s="7">
        <v>45796.54579030171</v>
      </c>
      <c r="G2381" s="3" t="s">
        <v>7950</v>
      </c>
    </row>
    <row r="2382">
      <c r="A2382" s="3" t="s">
        <v>7951</v>
      </c>
      <c r="B2382" s="3" t="s">
        <v>2698</v>
      </c>
      <c r="C2382" s="5" t="s">
        <v>45</v>
      </c>
      <c r="D2382" s="3" t="s">
        <v>221</v>
      </c>
      <c r="E2382" s="3" t="s">
        <v>496</v>
      </c>
      <c r="F2382" s="7">
        <v>45796.606548480464</v>
      </c>
      <c r="G2382" s="3" t="s">
        <v>3807</v>
      </c>
    </row>
    <row r="2383">
      <c r="A2383" s="3" t="s">
        <v>7953</v>
      </c>
      <c r="B2383" s="3" t="s">
        <v>2698</v>
      </c>
      <c r="C2383" s="5" t="s">
        <v>221</v>
      </c>
      <c r="D2383" s="3" t="s">
        <v>614</v>
      </c>
      <c r="E2383" s="3" t="s">
        <v>118</v>
      </c>
      <c r="F2383" s="7">
        <v>45796.61002070268</v>
      </c>
      <c r="G2383" s="3" t="s">
        <v>3810</v>
      </c>
    </row>
    <row r="2384">
      <c r="A2384" s="3" t="s">
        <v>7955</v>
      </c>
      <c r="B2384" s="3" t="s">
        <v>2698</v>
      </c>
      <c r="C2384" s="5" t="s">
        <v>614</v>
      </c>
      <c r="D2384" s="3" t="s">
        <v>206</v>
      </c>
      <c r="E2384" s="3" t="s">
        <v>100</v>
      </c>
      <c r="F2384" s="7">
        <v>45796.61349292491</v>
      </c>
      <c r="G2384" s="3" t="s">
        <v>3812</v>
      </c>
    </row>
    <row r="2385">
      <c r="A2385" s="3" t="s">
        <v>7957</v>
      </c>
      <c r="B2385" s="3" t="s">
        <v>2698</v>
      </c>
      <c r="C2385" s="5" t="s">
        <v>206</v>
      </c>
      <c r="D2385" s="3" t="s">
        <v>68</v>
      </c>
      <c r="E2385" s="3" t="s">
        <v>100</v>
      </c>
      <c r="F2385" s="7">
        <v>45796.61696514713</v>
      </c>
      <c r="G2385" s="3" t="s">
        <v>3815</v>
      </c>
    </row>
    <row r="2386">
      <c r="A2386" s="3" t="s">
        <v>7959</v>
      </c>
      <c r="B2386" s="3" t="s">
        <v>2700</v>
      </c>
      <c r="C2386" s="5" t="s">
        <v>45</v>
      </c>
      <c r="D2386" s="3" t="s">
        <v>221</v>
      </c>
      <c r="E2386" s="3" t="s">
        <v>280</v>
      </c>
      <c r="F2386" s="7">
        <v>45796.677723325876</v>
      </c>
      <c r="G2386" s="3" t="s">
        <v>7960</v>
      </c>
    </row>
    <row r="2387">
      <c r="A2387" s="3" t="s">
        <v>7962</v>
      </c>
      <c r="B2387" s="3" t="s">
        <v>2700</v>
      </c>
      <c r="C2387" s="5" t="s">
        <v>221</v>
      </c>
      <c r="D2387" s="3" t="s">
        <v>614</v>
      </c>
      <c r="E2387" s="3" t="s">
        <v>118</v>
      </c>
      <c r="F2387" s="7">
        <v>45796.681195548095</v>
      </c>
      <c r="G2387" s="3" t="s">
        <v>7963</v>
      </c>
    </row>
    <row r="2388">
      <c r="A2388" s="3" t="s">
        <v>7964</v>
      </c>
      <c r="B2388" s="3" t="s">
        <v>2700</v>
      </c>
      <c r="C2388" s="5" t="s">
        <v>614</v>
      </c>
      <c r="D2388" s="3" t="s">
        <v>206</v>
      </c>
      <c r="E2388" s="3" t="s">
        <v>100</v>
      </c>
      <c r="F2388" s="7">
        <v>45796.68466777032</v>
      </c>
      <c r="G2388" s="3" t="s">
        <v>7966</v>
      </c>
    </row>
    <row r="2389">
      <c r="A2389" s="3" t="s">
        <v>7967</v>
      </c>
      <c r="B2389" s="3" t="s">
        <v>2700</v>
      </c>
      <c r="C2389" s="5" t="s">
        <v>206</v>
      </c>
      <c r="D2389" s="3" t="s">
        <v>68</v>
      </c>
      <c r="E2389" s="3" t="s">
        <v>100</v>
      </c>
      <c r="F2389" s="7">
        <v>45796.68813999254</v>
      </c>
      <c r="G2389" s="3" t="s">
        <v>7969</v>
      </c>
    </row>
    <row r="2390">
      <c r="A2390" s="3" t="s">
        <v>7970</v>
      </c>
      <c r="B2390" s="3" t="s">
        <v>2702</v>
      </c>
      <c r="C2390" s="5" t="s">
        <v>45</v>
      </c>
      <c r="D2390" s="3" t="s">
        <v>221</v>
      </c>
      <c r="E2390" s="3" t="s">
        <v>400</v>
      </c>
      <c r="F2390" s="7">
        <v>45796.74889817129</v>
      </c>
      <c r="G2390" s="3" t="s">
        <v>7972</v>
      </c>
    </row>
    <row r="2391">
      <c r="A2391" s="3" t="s">
        <v>7973</v>
      </c>
      <c r="B2391" s="3" t="s">
        <v>2702</v>
      </c>
      <c r="C2391" s="5" t="s">
        <v>221</v>
      </c>
      <c r="D2391" s="3" t="s">
        <v>614</v>
      </c>
      <c r="E2391" s="3" t="s">
        <v>118</v>
      </c>
      <c r="F2391" s="7">
        <v>45796.75237039351</v>
      </c>
      <c r="G2391" s="3" t="s">
        <v>7974</v>
      </c>
    </row>
    <row r="2392">
      <c r="A2392" s="3" t="s">
        <v>7976</v>
      </c>
      <c r="B2392" s="3" t="s">
        <v>2702</v>
      </c>
      <c r="C2392" s="5" t="s">
        <v>614</v>
      </c>
      <c r="D2392" s="3" t="s">
        <v>206</v>
      </c>
      <c r="E2392" s="3" t="s">
        <v>100</v>
      </c>
      <c r="F2392" s="7">
        <v>45796.755842615734</v>
      </c>
      <c r="G2392" s="3" t="s">
        <v>7977</v>
      </c>
    </row>
    <row r="2393">
      <c r="A2393" s="3" t="s">
        <v>7978</v>
      </c>
      <c r="B2393" s="3" t="s">
        <v>2702</v>
      </c>
      <c r="C2393" s="5" t="s">
        <v>206</v>
      </c>
      <c r="D2393" s="3" t="s">
        <v>68</v>
      </c>
      <c r="E2393" s="3" t="s">
        <v>100</v>
      </c>
      <c r="F2393" s="7">
        <v>45796.75931483795</v>
      </c>
      <c r="G2393" s="3" t="s">
        <v>7980</v>
      </c>
    </row>
    <row r="2394">
      <c r="A2394" s="3" t="s">
        <v>7981</v>
      </c>
      <c r="B2394" s="3" t="s">
        <v>2706</v>
      </c>
      <c r="C2394" s="5" t="s">
        <v>45</v>
      </c>
      <c r="D2394" s="3" t="s">
        <v>221</v>
      </c>
      <c r="E2394" s="3" t="s">
        <v>848</v>
      </c>
      <c r="F2394" s="7">
        <v>45796.82007301671</v>
      </c>
      <c r="G2394" s="3" t="s">
        <v>7983</v>
      </c>
    </row>
    <row r="2395">
      <c r="A2395" s="3" t="s">
        <v>7984</v>
      </c>
      <c r="B2395" s="3" t="s">
        <v>2706</v>
      </c>
      <c r="C2395" s="5" t="s">
        <v>221</v>
      </c>
      <c r="D2395" s="3" t="s">
        <v>614</v>
      </c>
      <c r="E2395" s="3" t="s">
        <v>118</v>
      </c>
      <c r="F2395" s="7">
        <v>45796.82354523893</v>
      </c>
      <c r="G2395" s="3" t="s">
        <v>7986</v>
      </c>
    </row>
    <row r="2396">
      <c r="A2396" s="3" t="s">
        <v>7987</v>
      </c>
      <c r="B2396" s="3" t="s">
        <v>2706</v>
      </c>
      <c r="C2396" s="5" t="s">
        <v>614</v>
      </c>
      <c r="D2396" s="3" t="s">
        <v>206</v>
      </c>
      <c r="E2396" s="3" t="s">
        <v>100</v>
      </c>
      <c r="F2396" s="7">
        <v>45796.82701746115</v>
      </c>
      <c r="G2396" s="3" t="s">
        <v>7988</v>
      </c>
    </row>
    <row r="2397">
      <c r="A2397" s="3" t="s">
        <v>7990</v>
      </c>
      <c r="B2397" s="3" t="s">
        <v>2706</v>
      </c>
      <c r="C2397" s="5" t="s">
        <v>206</v>
      </c>
      <c r="D2397" s="3" t="s">
        <v>68</v>
      </c>
      <c r="E2397" s="3" t="s">
        <v>100</v>
      </c>
      <c r="F2397" s="7">
        <v>45796.83048968337</v>
      </c>
      <c r="G2397" s="3" t="s">
        <v>7991</v>
      </c>
    </row>
    <row r="2398">
      <c r="A2398" s="3" t="s">
        <v>7993</v>
      </c>
      <c r="B2398" s="3" t="s">
        <v>2709</v>
      </c>
      <c r="C2398" s="5" t="s">
        <v>45</v>
      </c>
      <c r="D2398" s="3" t="s">
        <v>221</v>
      </c>
      <c r="E2398" s="3" t="s">
        <v>838</v>
      </c>
      <c r="F2398" s="7">
        <v>45796.89124786212</v>
      </c>
      <c r="G2398" s="3" t="s">
        <v>6351</v>
      </c>
    </row>
    <row r="2399">
      <c r="A2399" s="3" t="s">
        <v>7995</v>
      </c>
      <c r="B2399" s="3" t="s">
        <v>2709</v>
      </c>
      <c r="C2399" s="5" t="s">
        <v>221</v>
      </c>
      <c r="D2399" s="3" t="s">
        <v>614</v>
      </c>
      <c r="E2399" s="3" t="s">
        <v>118</v>
      </c>
      <c r="F2399" s="7">
        <v>45796.89472008434</v>
      </c>
      <c r="G2399" s="3" t="s">
        <v>6354</v>
      </c>
    </row>
    <row r="2400">
      <c r="A2400" s="3" t="s">
        <v>7997</v>
      </c>
      <c r="B2400" s="3" t="s">
        <v>2709</v>
      </c>
      <c r="C2400" s="5" t="s">
        <v>614</v>
      </c>
      <c r="D2400" s="3" t="s">
        <v>206</v>
      </c>
      <c r="E2400" s="3" t="s">
        <v>100</v>
      </c>
      <c r="F2400" s="7">
        <v>45796.898192306566</v>
      </c>
      <c r="G2400" s="3" t="s">
        <v>6357</v>
      </c>
    </row>
    <row r="2401">
      <c r="A2401" s="3" t="s">
        <v>7999</v>
      </c>
      <c r="B2401" s="3" t="s">
        <v>2709</v>
      </c>
      <c r="C2401" s="5" t="s">
        <v>206</v>
      </c>
      <c r="D2401" s="3" t="s">
        <v>68</v>
      </c>
      <c r="E2401" s="3" t="s">
        <v>100</v>
      </c>
      <c r="F2401" s="7">
        <v>45796.901664528785</v>
      </c>
      <c r="G2401" s="3" t="s">
        <v>6360</v>
      </c>
    </row>
    <row r="2402">
      <c r="A2402" s="3" t="s">
        <v>8001</v>
      </c>
      <c r="B2402" s="3" t="s">
        <v>2711</v>
      </c>
      <c r="C2402" s="5" t="s">
        <v>45</v>
      </c>
      <c r="D2402" s="3" t="s">
        <v>221</v>
      </c>
      <c r="E2402" s="3" t="s">
        <v>411</v>
      </c>
      <c r="F2402" s="7">
        <v>45796.96242270753</v>
      </c>
      <c r="G2402" s="3" t="s">
        <v>8002</v>
      </c>
    </row>
    <row r="2403">
      <c r="A2403" s="3" t="s">
        <v>8004</v>
      </c>
      <c r="B2403" s="3" t="s">
        <v>2711</v>
      </c>
      <c r="C2403" s="5" t="s">
        <v>221</v>
      </c>
      <c r="D2403" s="3" t="s">
        <v>614</v>
      </c>
      <c r="E2403" s="3" t="s">
        <v>118</v>
      </c>
      <c r="F2403" s="7">
        <v>45796.96589492975</v>
      </c>
      <c r="G2403" s="3" t="s">
        <v>8005</v>
      </c>
    </row>
    <row r="2404">
      <c r="A2404" s="3" t="s">
        <v>8006</v>
      </c>
      <c r="B2404" s="3" t="s">
        <v>2711</v>
      </c>
      <c r="C2404" s="5" t="s">
        <v>614</v>
      </c>
      <c r="D2404" s="3" t="s">
        <v>206</v>
      </c>
      <c r="E2404" s="3" t="s">
        <v>100</v>
      </c>
      <c r="F2404" s="7">
        <v>45796.96936715198</v>
      </c>
      <c r="G2404" s="3" t="s">
        <v>8008</v>
      </c>
    </row>
    <row r="2405">
      <c r="A2405" s="3" t="s">
        <v>8009</v>
      </c>
      <c r="B2405" s="3" t="s">
        <v>2711</v>
      </c>
      <c r="C2405" s="5" t="s">
        <v>206</v>
      </c>
      <c r="D2405" s="3" t="s">
        <v>68</v>
      </c>
      <c r="E2405" s="3" t="s">
        <v>100</v>
      </c>
      <c r="F2405" s="7">
        <v>45796.9728393742</v>
      </c>
      <c r="G2405" s="3" t="s">
        <v>8011</v>
      </c>
    </row>
    <row r="2406">
      <c r="A2406" s="3" t="s">
        <v>8012</v>
      </c>
      <c r="B2406" s="3" t="s">
        <v>2714</v>
      </c>
      <c r="C2406" s="5" t="s">
        <v>45</v>
      </c>
      <c r="D2406" s="3" t="s">
        <v>221</v>
      </c>
      <c r="E2406" s="3" t="s">
        <v>226</v>
      </c>
      <c r="F2406" s="7">
        <v>45797.03359755295</v>
      </c>
      <c r="G2406" s="3" t="s">
        <v>8014</v>
      </c>
    </row>
    <row r="2407">
      <c r="A2407" s="3" t="s">
        <v>8015</v>
      </c>
      <c r="B2407" s="3" t="s">
        <v>2714</v>
      </c>
      <c r="C2407" s="5" t="s">
        <v>221</v>
      </c>
      <c r="D2407" s="3" t="s">
        <v>614</v>
      </c>
      <c r="E2407" s="3" t="s">
        <v>118</v>
      </c>
      <c r="F2407" s="7">
        <v>45797.03706977517</v>
      </c>
      <c r="G2407" s="3" t="s">
        <v>8017</v>
      </c>
    </row>
    <row r="2408">
      <c r="A2408" s="3" t="s">
        <v>8018</v>
      </c>
      <c r="B2408" s="3" t="s">
        <v>2714</v>
      </c>
      <c r="C2408" s="5" t="s">
        <v>614</v>
      </c>
      <c r="D2408" s="3" t="s">
        <v>206</v>
      </c>
      <c r="E2408" s="3" t="s">
        <v>100</v>
      </c>
      <c r="F2408" s="7">
        <v>45797.0405419974</v>
      </c>
      <c r="G2408" s="3" t="s">
        <v>8020</v>
      </c>
    </row>
    <row r="2409">
      <c r="A2409" s="3" t="s">
        <v>8021</v>
      </c>
      <c r="B2409" s="3" t="s">
        <v>2714</v>
      </c>
      <c r="C2409" s="5" t="s">
        <v>206</v>
      </c>
      <c r="D2409" s="3" t="s">
        <v>68</v>
      </c>
      <c r="E2409" s="3" t="s">
        <v>100</v>
      </c>
      <c r="F2409" s="7">
        <v>45797.04401421962</v>
      </c>
      <c r="G2409" s="3" t="s">
        <v>8024</v>
      </c>
    </row>
    <row r="2410">
      <c r="A2410" s="3" t="s">
        <v>8025</v>
      </c>
      <c r="B2410" s="3" t="s">
        <v>2717</v>
      </c>
      <c r="C2410" s="5" t="s">
        <v>45</v>
      </c>
      <c r="D2410" s="3" t="s">
        <v>221</v>
      </c>
      <c r="E2410" s="3" t="s">
        <v>515</v>
      </c>
      <c r="F2410" s="7">
        <v>45797.104772398365</v>
      </c>
      <c r="G2410" s="3" t="s">
        <v>8027</v>
      </c>
    </row>
    <row r="2411">
      <c r="A2411" s="3" t="s">
        <v>8028</v>
      </c>
      <c r="B2411" s="3" t="s">
        <v>2717</v>
      </c>
      <c r="C2411" s="5" t="s">
        <v>221</v>
      </c>
      <c r="D2411" s="3" t="s">
        <v>614</v>
      </c>
      <c r="E2411" s="3" t="s">
        <v>118</v>
      </c>
      <c r="F2411" s="7">
        <v>45797.108244620584</v>
      </c>
      <c r="G2411" s="3" t="s">
        <v>8030</v>
      </c>
    </row>
    <row r="2412">
      <c r="A2412" s="3" t="s">
        <v>8031</v>
      </c>
      <c r="B2412" s="3" t="s">
        <v>2717</v>
      </c>
      <c r="C2412" s="5" t="s">
        <v>614</v>
      </c>
      <c r="D2412" s="3" t="s">
        <v>206</v>
      </c>
      <c r="E2412" s="3" t="s">
        <v>100</v>
      </c>
      <c r="F2412" s="7">
        <v>45797.11171684281</v>
      </c>
      <c r="G2412" s="3" t="s">
        <v>8032</v>
      </c>
    </row>
    <row r="2413">
      <c r="A2413" s="3" t="s">
        <v>8034</v>
      </c>
      <c r="B2413" s="3" t="s">
        <v>2717</v>
      </c>
      <c r="C2413" s="5" t="s">
        <v>206</v>
      </c>
      <c r="D2413" s="3" t="s">
        <v>68</v>
      </c>
      <c r="E2413" s="3" t="s">
        <v>100</v>
      </c>
      <c r="F2413" s="7">
        <v>45797.11518906503</v>
      </c>
      <c r="G2413" s="3" t="s">
        <v>8035</v>
      </c>
    </row>
    <row r="2414">
      <c r="A2414" s="3" t="s">
        <v>8036</v>
      </c>
      <c r="B2414" s="3" t="s">
        <v>2719</v>
      </c>
      <c r="C2414" s="5" t="s">
        <v>45</v>
      </c>
      <c r="D2414" s="3" t="s">
        <v>221</v>
      </c>
      <c r="E2414" s="3" t="s">
        <v>475</v>
      </c>
      <c r="F2414" s="7">
        <v>45797.17594724378</v>
      </c>
      <c r="G2414" s="3" t="s">
        <v>8038</v>
      </c>
    </row>
    <row r="2415">
      <c r="A2415" s="3" t="s">
        <v>8039</v>
      </c>
      <c r="B2415" s="3" t="s">
        <v>2719</v>
      </c>
      <c r="C2415" s="5" t="s">
        <v>221</v>
      </c>
      <c r="D2415" s="3" t="s">
        <v>195</v>
      </c>
      <c r="E2415" s="3" t="s">
        <v>475</v>
      </c>
      <c r="F2415" s="7">
        <v>45797.179419465996</v>
      </c>
      <c r="G2415" s="3" t="s">
        <v>8041</v>
      </c>
    </row>
    <row r="2416">
      <c r="A2416" s="3" t="s">
        <v>8042</v>
      </c>
      <c r="B2416" s="3" t="s">
        <v>2721</v>
      </c>
      <c r="C2416" s="5" t="s">
        <v>45</v>
      </c>
      <c r="D2416" s="3" t="s">
        <v>221</v>
      </c>
      <c r="E2416" s="3" t="s">
        <v>453</v>
      </c>
      <c r="F2416" s="7">
        <v>45797.2471220892</v>
      </c>
      <c r="G2416" s="3" t="s">
        <v>4448</v>
      </c>
    </row>
    <row r="2417">
      <c r="A2417" s="3" t="s">
        <v>8044</v>
      </c>
      <c r="B2417" s="3" t="s">
        <v>2721</v>
      </c>
      <c r="C2417" s="5" t="s">
        <v>221</v>
      </c>
      <c r="D2417" s="3" t="s">
        <v>614</v>
      </c>
      <c r="E2417" s="3" t="s">
        <v>118</v>
      </c>
      <c r="F2417" s="7">
        <v>45797.250594311416</v>
      </c>
      <c r="G2417" s="3" t="s">
        <v>4451</v>
      </c>
    </row>
    <row r="2418">
      <c r="A2418" s="3" t="s">
        <v>8046</v>
      </c>
      <c r="B2418" s="3" t="s">
        <v>2721</v>
      </c>
      <c r="C2418" s="5" t="s">
        <v>614</v>
      </c>
      <c r="D2418" s="3" t="s">
        <v>206</v>
      </c>
      <c r="E2418" s="3" t="s">
        <v>100</v>
      </c>
      <c r="F2418" s="7">
        <v>45797.25406653364</v>
      </c>
      <c r="G2418" s="3" t="s">
        <v>4454</v>
      </c>
    </row>
    <row r="2419">
      <c r="A2419" s="3" t="s">
        <v>8048</v>
      </c>
      <c r="B2419" s="3" t="s">
        <v>2721</v>
      </c>
      <c r="C2419" s="5" t="s">
        <v>206</v>
      </c>
      <c r="D2419" s="3" t="s">
        <v>68</v>
      </c>
      <c r="E2419" s="3" t="s">
        <v>100</v>
      </c>
      <c r="F2419" s="7">
        <v>45797.25753875586</v>
      </c>
      <c r="G2419" s="3" t="s">
        <v>4457</v>
      </c>
    </row>
    <row r="2420">
      <c r="A2420" s="3" t="s">
        <v>8050</v>
      </c>
      <c r="B2420" s="3" t="s">
        <v>2724</v>
      </c>
      <c r="C2420" s="5" t="s">
        <v>45</v>
      </c>
      <c r="D2420" s="3" t="s">
        <v>221</v>
      </c>
      <c r="E2420" s="3" t="s">
        <v>322</v>
      </c>
      <c r="F2420" s="7">
        <v>45797.318296934616</v>
      </c>
      <c r="G2420" s="3" t="s">
        <v>8052</v>
      </c>
    </row>
    <row r="2421">
      <c r="A2421" s="3" t="s">
        <v>8053</v>
      </c>
      <c r="B2421" s="3" t="s">
        <v>2724</v>
      </c>
      <c r="C2421" s="5" t="s">
        <v>221</v>
      </c>
      <c r="D2421" s="3" t="s">
        <v>614</v>
      </c>
      <c r="E2421" s="3" t="s">
        <v>118</v>
      </c>
      <c r="F2421" s="7">
        <v>45797.321769156835</v>
      </c>
      <c r="G2421" s="3" t="s">
        <v>8055</v>
      </c>
    </row>
    <row r="2422">
      <c r="A2422" s="3" t="s">
        <v>8057</v>
      </c>
      <c r="B2422" s="3" t="s">
        <v>2724</v>
      </c>
      <c r="C2422" s="5" t="s">
        <v>614</v>
      </c>
      <c r="D2422" s="3" t="s">
        <v>206</v>
      </c>
      <c r="E2422" s="3" t="s">
        <v>100</v>
      </c>
      <c r="F2422" s="7">
        <v>45797.32524137906</v>
      </c>
      <c r="G2422" s="3" t="s">
        <v>8059</v>
      </c>
    </row>
    <row r="2423">
      <c r="A2423" s="3" t="s">
        <v>8060</v>
      </c>
      <c r="B2423" s="3" t="s">
        <v>2724</v>
      </c>
      <c r="C2423" s="5" t="s">
        <v>206</v>
      </c>
      <c r="D2423" s="3" t="s">
        <v>68</v>
      </c>
      <c r="E2423" s="3" t="s">
        <v>100</v>
      </c>
      <c r="F2423" s="7">
        <v>45797.32871360128</v>
      </c>
      <c r="G2423" s="3" t="s">
        <v>8062</v>
      </c>
    </row>
    <row r="2424">
      <c r="A2424" s="3" t="s">
        <v>8063</v>
      </c>
      <c r="B2424" s="3" t="s">
        <v>2727</v>
      </c>
      <c r="C2424" s="5" t="s">
        <v>45</v>
      </c>
      <c r="D2424" s="3" t="s">
        <v>221</v>
      </c>
      <c r="E2424" s="3" t="s">
        <v>579</v>
      </c>
      <c r="F2424" s="7">
        <v>45797.38947178002</v>
      </c>
      <c r="G2424" s="3" t="s">
        <v>8065</v>
      </c>
    </row>
    <row r="2425">
      <c r="A2425" s="3" t="s">
        <v>8066</v>
      </c>
      <c r="B2425" s="3" t="s">
        <v>2727</v>
      </c>
      <c r="C2425" s="5" t="s">
        <v>221</v>
      </c>
      <c r="D2425" s="3" t="s">
        <v>181</v>
      </c>
      <c r="E2425" s="3" t="s">
        <v>118</v>
      </c>
      <c r="F2425" s="7">
        <v>45797.39294400224</v>
      </c>
      <c r="G2425" s="3" t="s">
        <v>8068</v>
      </c>
    </row>
    <row r="2426">
      <c r="A2426" s="3" t="s">
        <v>8070</v>
      </c>
      <c r="B2426" s="3" t="s">
        <v>2729</v>
      </c>
      <c r="C2426" s="5" t="s">
        <v>45</v>
      </c>
      <c r="D2426" s="3" t="s">
        <v>221</v>
      </c>
      <c r="E2426" s="3" t="s">
        <v>269</v>
      </c>
      <c r="F2426" s="7">
        <v>45797.46064662544</v>
      </c>
      <c r="G2426" s="3" t="s">
        <v>8072</v>
      </c>
    </row>
    <row r="2427">
      <c r="A2427" s="3" t="s">
        <v>8073</v>
      </c>
      <c r="B2427" s="3" t="s">
        <v>2729</v>
      </c>
      <c r="C2427" s="5" t="s">
        <v>221</v>
      </c>
      <c r="D2427" s="3" t="s">
        <v>614</v>
      </c>
      <c r="E2427" s="3" t="s">
        <v>118</v>
      </c>
      <c r="F2427" s="7">
        <v>45797.46411884766</v>
      </c>
      <c r="G2427" s="3" t="s">
        <v>8076</v>
      </c>
    </row>
    <row r="2428">
      <c r="A2428" s="3" t="s">
        <v>8077</v>
      </c>
      <c r="B2428" s="3" t="s">
        <v>2729</v>
      </c>
      <c r="C2428" s="5" t="s">
        <v>614</v>
      </c>
      <c r="D2428" s="3" t="s">
        <v>206</v>
      </c>
      <c r="E2428" s="3" t="s">
        <v>100</v>
      </c>
      <c r="F2428" s="7">
        <v>45797.467591069886</v>
      </c>
      <c r="G2428" s="3" t="s">
        <v>8079</v>
      </c>
    </row>
    <row r="2429">
      <c r="A2429" s="3" t="s">
        <v>8080</v>
      </c>
      <c r="B2429" s="3" t="s">
        <v>2729</v>
      </c>
      <c r="C2429" s="5" t="s">
        <v>206</v>
      </c>
      <c r="D2429" s="3" t="s">
        <v>68</v>
      </c>
      <c r="E2429" s="3" t="s">
        <v>100</v>
      </c>
      <c r="F2429" s="7">
        <v>45797.471063292105</v>
      </c>
      <c r="G2429" s="3" t="s">
        <v>8082</v>
      </c>
    </row>
    <row r="2430">
      <c r="A2430" s="3" t="s">
        <v>8083</v>
      </c>
      <c r="B2430" s="3" t="s">
        <v>2731</v>
      </c>
      <c r="C2430" s="5" t="s">
        <v>45</v>
      </c>
      <c r="D2430" s="3" t="s">
        <v>221</v>
      </c>
      <c r="E2430" s="3" t="s">
        <v>760</v>
      </c>
      <c r="F2430" s="7">
        <v>45797.53182147086</v>
      </c>
      <c r="G2430" s="3" t="s">
        <v>8085</v>
      </c>
    </row>
    <row r="2431">
      <c r="A2431" s="3" t="s">
        <v>8086</v>
      </c>
      <c r="B2431" s="3" t="s">
        <v>2731</v>
      </c>
      <c r="C2431" s="5" t="s">
        <v>221</v>
      </c>
      <c r="D2431" s="3" t="s">
        <v>614</v>
      </c>
      <c r="E2431" s="3" t="s">
        <v>118</v>
      </c>
      <c r="F2431" s="7">
        <v>45797.53529369308</v>
      </c>
      <c r="G2431" s="3" t="s">
        <v>8088</v>
      </c>
    </row>
    <row r="2432">
      <c r="A2432" s="3" t="s">
        <v>8089</v>
      </c>
      <c r="B2432" s="3" t="s">
        <v>2731</v>
      </c>
      <c r="C2432" s="5" t="s">
        <v>614</v>
      </c>
      <c r="D2432" s="3" t="s">
        <v>206</v>
      </c>
      <c r="E2432" s="3" t="s">
        <v>100</v>
      </c>
      <c r="F2432" s="7">
        <v>45797.538765915306</v>
      </c>
      <c r="G2432" s="3" t="s">
        <v>8091</v>
      </c>
    </row>
    <row r="2433">
      <c r="A2433" s="3" t="s">
        <v>8092</v>
      </c>
      <c r="B2433" s="3" t="s">
        <v>2731</v>
      </c>
      <c r="C2433" s="5" t="s">
        <v>206</v>
      </c>
      <c r="D2433" s="3" t="s">
        <v>68</v>
      </c>
      <c r="E2433" s="3" t="s">
        <v>100</v>
      </c>
      <c r="F2433" s="7">
        <v>45797.542238137525</v>
      </c>
      <c r="G2433" s="3" t="s">
        <v>8094</v>
      </c>
    </row>
    <row r="2434">
      <c r="A2434" s="3" t="s">
        <v>8095</v>
      </c>
      <c r="B2434" s="3" t="s">
        <v>2734</v>
      </c>
      <c r="C2434" s="5" t="s">
        <v>45</v>
      </c>
      <c r="D2434" s="3" t="s">
        <v>221</v>
      </c>
      <c r="E2434" s="3" t="s">
        <v>547</v>
      </c>
      <c r="F2434" s="7">
        <v>45797.60299631627</v>
      </c>
      <c r="G2434" s="3" t="s">
        <v>8097</v>
      </c>
    </row>
    <row r="2435">
      <c r="A2435" s="3" t="s">
        <v>8098</v>
      </c>
      <c r="B2435" s="3" t="s">
        <v>2734</v>
      </c>
      <c r="C2435" s="5" t="s">
        <v>221</v>
      </c>
      <c r="D2435" s="3" t="s">
        <v>614</v>
      </c>
      <c r="E2435" s="3" t="s">
        <v>118</v>
      </c>
      <c r="F2435" s="7">
        <v>45797.60646853849</v>
      </c>
      <c r="G2435" s="3" t="s">
        <v>8099</v>
      </c>
    </row>
    <row r="2436">
      <c r="A2436" s="3" t="s">
        <v>8101</v>
      </c>
      <c r="B2436" s="3" t="s">
        <v>2734</v>
      </c>
      <c r="C2436" s="5" t="s">
        <v>614</v>
      </c>
      <c r="D2436" s="3" t="s">
        <v>206</v>
      </c>
      <c r="E2436" s="3" t="s">
        <v>100</v>
      </c>
      <c r="F2436" s="7">
        <v>45797.60994076072</v>
      </c>
      <c r="G2436" s="3" t="s">
        <v>8102</v>
      </c>
    </row>
    <row r="2437">
      <c r="A2437" s="3" t="s">
        <v>8104</v>
      </c>
      <c r="B2437" s="3" t="s">
        <v>2734</v>
      </c>
      <c r="C2437" s="5" t="s">
        <v>206</v>
      </c>
      <c r="D2437" s="3" t="s">
        <v>68</v>
      </c>
      <c r="E2437" s="3" t="s">
        <v>100</v>
      </c>
      <c r="F2437" s="7">
        <v>45797.61341298294</v>
      </c>
      <c r="G2437" s="3" t="s">
        <v>8105</v>
      </c>
    </row>
    <row r="2438">
      <c r="A2438" s="3" t="s">
        <v>8106</v>
      </c>
      <c r="B2438" s="3" t="s">
        <v>2738</v>
      </c>
      <c r="C2438" s="5" t="s">
        <v>45</v>
      </c>
      <c r="D2438" s="3" t="s">
        <v>221</v>
      </c>
      <c r="E2438" s="3" t="s">
        <v>523</v>
      </c>
      <c r="F2438" s="7">
        <v>45797.674171161685</v>
      </c>
      <c r="G2438" s="3" t="s">
        <v>8108</v>
      </c>
    </row>
    <row r="2439">
      <c r="A2439" s="3" t="s">
        <v>8109</v>
      </c>
      <c r="B2439" s="3" t="s">
        <v>2738</v>
      </c>
      <c r="C2439" s="5" t="s">
        <v>221</v>
      </c>
      <c r="D2439" s="3" t="s">
        <v>614</v>
      </c>
      <c r="E2439" s="3" t="s">
        <v>118</v>
      </c>
      <c r="F2439" s="7">
        <v>45797.677643383904</v>
      </c>
      <c r="G2439" s="3" t="s">
        <v>8111</v>
      </c>
    </row>
    <row r="2440">
      <c r="A2440" s="3" t="s">
        <v>8112</v>
      </c>
      <c r="B2440" s="3" t="s">
        <v>2738</v>
      </c>
      <c r="C2440" s="5" t="s">
        <v>614</v>
      </c>
      <c r="D2440" s="3" t="s">
        <v>206</v>
      </c>
      <c r="E2440" s="3" t="s">
        <v>100</v>
      </c>
      <c r="F2440" s="7">
        <v>45797.68111560613</v>
      </c>
      <c r="G2440" s="3" t="s">
        <v>8114</v>
      </c>
    </row>
    <row r="2441">
      <c r="A2441" s="3" t="s">
        <v>8115</v>
      </c>
      <c r="B2441" s="3" t="s">
        <v>2738</v>
      </c>
      <c r="C2441" s="5" t="s">
        <v>206</v>
      </c>
      <c r="D2441" s="3" t="s">
        <v>68</v>
      </c>
      <c r="E2441" s="3" t="s">
        <v>100</v>
      </c>
      <c r="F2441" s="7">
        <v>45797.68458782835</v>
      </c>
      <c r="G2441" s="3" t="s">
        <v>8117</v>
      </c>
    </row>
    <row r="2442">
      <c r="A2442" s="3" t="s">
        <v>8118</v>
      </c>
      <c r="B2442" s="3" t="s">
        <v>2741</v>
      </c>
      <c r="C2442" s="5" t="s">
        <v>45</v>
      </c>
      <c r="D2442" s="3" t="s">
        <v>221</v>
      </c>
      <c r="E2442" s="3" t="s">
        <v>632</v>
      </c>
      <c r="F2442" s="7">
        <v>45797.745346007105</v>
      </c>
      <c r="G2442" s="3" t="s">
        <v>8120</v>
      </c>
    </row>
    <row r="2443">
      <c r="A2443" s="3" t="s">
        <v>8121</v>
      </c>
      <c r="B2443" s="3" t="s">
        <v>2741</v>
      </c>
      <c r="C2443" s="5" t="s">
        <v>221</v>
      </c>
      <c r="D2443" s="3" t="s">
        <v>614</v>
      </c>
      <c r="E2443" s="3" t="s">
        <v>118</v>
      </c>
      <c r="F2443" s="7">
        <v>45797.748818229324</v>
      </c>
      <c r="G2443" s="3" t="s">
        <v>8123</v>
      </c>
    </row>
    <row r="2444">
      <c r="A2444" s="3" t="s">
        <v>8124</v>
      </c>
      <c r="B2444" s="3" t="s">
        <v>2741</v>
      </c>
      <c r="C2444" s="5" t="s">
        <v>614</v>
      </c>
      <c r="D2444" s="3" t="s">
        <v>206</v>
      </c>
      <c r="E2444" s="3" t="s">
        <v>100</v>
      </c>
      <c r="F2444" s="7">
        <v>45797.75229045155</v>
      </c>
      <c r="G2444" s="3" t="s">
        <v>8125</v>
      </c>
    </row>
    <row r="2445">
      <c r="A2445" s="3" t="s">
        <v>8127</v>
      </c>
      <c r="B2445" s="3" t="s">
        <v>2741</v>
      </c>
      <c r="C2445" s="5" t="s">
        <v>206</v>
      </c>
      <c r="D2445" s="3" t="s">
        <v>68</v>
      </c>
      <c r="E2445" s="3" t="s">
        <v>100</v>
      </c>
      <c r="F2445" s="7">
        <v>45797.75576267377</v>
      </c>
      <c r="G2445" s="3" t="s">
        <v>8128</v>
      </c>
    </row>
    <row r="2446">
      <c r="A2446" s="3" t="s">
        <v>8130</v>
      </c>
      <c r="B2446" s="3" t="s">
        <v>2744</v>
      </c>
      <c r="C2446" s="5" t="s">
        <v>45</v>
      </c>
      <c r="D2446" s="3" t="s">
        <v>221</v>
      </c>
      <c r="E2446" s="3" t="s">
        <v>239</v>
      </c>
      <c r="F2446" s="7">
        <v>45797.81652085252</v>
      </c>
      <c r="G2446" s="3" t="s">
        <v>5833</v>
      </c>
    </row>
    <row r="2447">
      <c r="A2447" s="3" t="s">
        <v>8132</v>
      </c>
      <c r="B2447" s="3" t="s">
        <v>2744</v>
      </c>
      <c r="C2447" s="5" t="s">
        <v>221</v>
      </c>
      <c r="D2447" s="3" t="s">
        <v>614</v>
      </c>
      <c r="E2447" s="3" t="s">
        <v>118</v>
      </c>
      <c r="F2447" s="7">
        <v>45797.819993074736</v>
      </c>
      <c r="G2447" s="3" t="s">
        <v>5836</v>
      </c>
    </row>
    <row r="2448">
      <c r="A2448" s="3" t="s">
        <v>8134</v>
      </c>
      <c r="B2448" s="3" t="s">
        <v>2744</v>
      </c>
      <c r="C2448" s="5" t="s">
        <v>614</v>
      </c>
      <c r="D2448" s="3" t="s">
        <v>206</v>
      </c>
      <c r="E2448" s="3" t="s">
        <v>100</v>
      </c>
      <c r="F2448" s="7">
        <v>45797.82346529696</v>
      </c>
      <c r="G2448" s="3" t="s">
        <v>5839</v>
      </c>
    </row>
    <row r="2449">
      <c r="A2449" s="3" t="s">
        <v>8136</v>
      </c>
      <c r="B2449" s="3" t="s">
        <v>2744</v>
      </c>
      <c r="C2449" s="5" t="s">
        <v>206</v>
      </c>
      <c r="D2449" s="3" t="s">
        <v>68</v>
      </c>
      <c r="E2449" s="3" t="s">
        <v>100</v>
      </c>
      <c r="F2449" s="7">
        <v>45797.82693751918</v>
      </c>
      <c r="G2449" s="3" t="s">
        <v>5842</v>
      </c>
    </row>
    <row r="2450">
      <c r="A2450" s="3" t="s">
        <v>8138</v>
      </c>
      <c r="B2450" s="3" t="s">
        <v>2747</v>
      </c>
      <c r="C2450" s="5" t="s">
        <v>45</v>
      </c>
      <c r="D2450" s="3" t="s">
        <v>221</v>
      </c>
      <c r="E2450" s="3" t="s">
        <v>672</v>
      </c>
      <c r="F2450" s="7">
        <v>45797.88769569793</v>
      </c>
      <c r="G2450" s="3" t="s">
        <v>8139</v>
      </c>
    </row>
    <row r="2451">
      <c r="A2451" s="3" t="s">
        <v>8140</v>
      </c>
      <c r="B2451" s="3" t="s">
        <v>2747</v>
      </c>
      <c r="C2451" s="5" t="s">
        <v>221</v>
      </c>
      <c r="D2451" s="3" t="s">
        <v>614</v>
      </c>
      <c r="E2451" s="3" t="s">
        <v>118</v>
      </c>
      <c r="F2451" s="7">
        <v>45797.89116792015</v>
      </c>
      <c r="G2451" s="3" t="s">
        <v>8142</v>
      </c>
    </row>
    <row r="2452">
      <c r="A2452" s="3" t="s">
        <v>8143</v>
      </c>
      <c r="B2452" s="3" t="s">
        <v>2747</v>
      </c>
      <c r="C2452" s="5" t="s">
        <v>614</v>
      </c>
      <c r="D2452" s="3" t="s">
        <v>206</v>
      </c>
      <c r="E2452" s="3" t="s">
        <v>100</v>
      </c>
      <c r="F2452" s="7">
        <v>45797.894640142375</v>
      </c>
      <c r="G2452" s="3" t="s">
        <v>8145</v>
      </c>
    </row>
    <row r="2453">
      <c r="A2453" s="3" t="s">
        <v>8146</v>
      </c>
      <c r="B2453" s="3" t="s">
        <v>2747</v>
      </c>
      <c r="C2453" s="5" t="s">
        <v>206</v>
      </c>
      <c r="D2453" s="3" t="s">
        <v>68</v>
      </c>
      <c r="E2453" s="3" t="s">
        <v>100</v>
      </c>
      <c r="F2453" s="7">
        <v>45797.89811236459</v>
      </c>
      <c r="G2453" s="3" t="s">
        <v>8148</v>
      </c>
    </row>
    <row r="2454">
      <c r="A2454" s="3" t="s">
        <v>8149</v>
      </c>
      <c r="B2454" s="3" t="s">
        <v>2751</v>
      </c>
      <c r="C2454" s="5" t="s">
        <v>45</v>
      </c>
      <c r="D2454" s="3" t="s">
        <v>221</v>
      </c>
      <c r="E2454" s="3" t="s">
        <v>943</v>
      </c>
      <c r="F2454" s="7">
        <v>45797.95887054335</v>
      </c>
      <c r="G2454" s="3" t="s">
        <v>8151</v>
      </c>
    </row>
    <row r="2455">
      <c r="A2455" s="3" t="s">
        <v>8152</v>
      </c>
      <c r="B2455" s="3" t="s">
        <v>2751</v>
      </c>
      <c r="C2455" s="5" t="s">
        <v>221</v>
      </c>
      <c r="D2455" s="3" t="s">
        <v>614</v>
      </c>
      <c r="E2455" s="3" t="s">
        <v>118</v>
      </c>
      <c r="F2455" s="7">
        <v>45797.96234276557</v>
      </c>
      <c r="G2455" s="3" t="s">
        <v>8154</v>
      </c>
    </row>
    <row r="2456">
      <c r="A2456" s="3" t="s">
        <v>8155</v>
      </c>
      <c r="B2456" s="3" t="s">
        <v>2751</v>
      </c>
      <c r="C2456" s="5" t="s">
        <v>614</v>
      </c>
      <c r="D2456" s="3" t="s">
        <v>206</v>
      </c>
      <c r="E2456" s="3" t="s">
        <v>100</v>
      </c>
      <c r="F2456" s="7">
        <v>45797.965814987794</v>
      </c>
      <c r="G2456" s="3" t="s">
        <v>8157</v>
      </c>
    </row>
    <row r="2457">
      <c r="A2457" s="3" t="s">
        <v>8158</v>
      </c>
      <c r="B2457" s="3" t="s">
        <v>2751</v>
      </c>
      <c r="C2457" s="5" t="s">
        <v>206</v>
      </c>
      <c r="D2457" s="3" t="s">
        <v>68</v>
      </c>
      <c r="E2457" s="3" t="s">
        <v>100</v>
      </c>
      <c r="F2457" s="7">
        <v>45797.96928721001</v>
      </c>
      <c r="G2457" s="3" t="s">
        <v>8160</v>
      </c>
    </row>
    <row r="2458">
      <c r="A2458" s="3" t="s">
        <v>8161</v>
      </c>
      <c r="B2458" s="3" t="s">
        <v>2754</v>
      </c>
      <c r="C2458" s="5" t="s">
        <v>45</v>
      </c>
      <c r="D2458" s="3" t="s">
        <v>221</v>
      </c>
      <c r="E2458" s="3" t="s">
        <v>980</v>
      </c>
      <c r="F2458" s="7">
        <v>45798.03004538877</v>
      </c>
      <c r="G2458" s="3" t="s">
        <v>6879</v>
      </c>
    </row>
    <row r="2459">
      <c r="A2459" s="3" t="s">
        <v>8162</v>
      </c>
      <c r="B2459" s="3" t="s">
        <v>2754</v>
      </c>
      <c r="C2459" s="5" t="s">
        <v>221</v>
      </c>
      <c r="D2459" s="3" t="s">
        <v>614</v>
      </c>
      <c r="E2459" s="3" t="s">
        <v>118</v>
      </c>
      <c r="F2459" s="7">
        <v>45798.03351761099</v>
      </c>
      <c r="G2459" s="3" t="s">
        <v>6882</v>
      </c>
    </row>
    <row r="2460">
      <c r="A2460" s="3" t="s">
        <v>8164</v>
      </c>
      <c r="B2460" s="3" t="s">
        <v>2754</v>
      </c>
      <c r="C2460" s="5" t="s">
        <v>614</v>
      </c>
      <c r="D2460" s="3" t="s">
        <v>206</v>
      </c>
      <c r="E2460" s="3" t="s">
        <v>100</v>
      </c>
      <c r="F2460" s="7">
        <v>45798.036989833214</v>
      </c>
      <c r="G2460" s="3" t="s">
        <v>6885</v>
      </c>
    </row>
    <row r="2461">
      <c r="A2461" s="3" t="s">
        <v>8166</v>
      </c>
      <c r="B2461" s="3" t="s">
        <v>2754</v>
      </c>
      <c r="C2461" s="5" t="s">
        <v>206</v>
      </c>
      <c r="D2461" s="3" t="s">
        <v>68</v>
      </c>
      <c r="E2461" s="3" t="s">
        <v>100</v>
      </c>
      <c r="F2461" s="7">
        <v>45798.04046205543</v>
      </c>
      <c r="G2461" s="3" t="s">
        <v>6888</v>
      </c>
    </row>
    <row r="2462">
      <c r="A2462" s="3" t="s">
        <v>8168</v>
      </c>
      <c r="B2462" s="3" t="s">
        <v>2757</v>
      </c>
      <c r="C2462" s="5" t="s">
        <v>45</v>
      </c>
      <c r="D2462" s="3" t="s">
        <v>221</v>
      </c>
      <c r="E2462" s="3" t="s">
        <v>569</v>
      </c>
      <c r="F2462" s="7">
        <v>45798.10122023417</v>
      </c>
      <c r="G2462" s="3" t="s">
        <v>8169</v>
      </c>
    </row>
    <row r="2463">
      <c r="A2463" s="3" t="s">
        <v>8171</v>
      </c>
      <c r="B2463" s="3" t="s">
        <v>2757</v>
      </c>
      <c r="C2463" s="5" t="s">
        <v>221</v>
      </c>
      <c r="D2463" s="3" t="s">
        <v>614</v>
      </c>
      <c r="E2463" s="3" t="s">
        <v>118</v>
      </c>
      <c r="F2463" s="7">
        <v>45798.10469245639</v>
      </c>
      <c r="G2463" s="3" t="s">
        <v>8172</v>
      </c>
    </row>
    <row r="2464">
      <c r="A2464" s="3" t="s">
        <v>8173</v>
      </c>
      <c r="B2464" s="3" t="s">
        <v>2757</v>
      </c>
      <c r="C2464" s="5" t="s">
        <v>614</v>
      </c>
      <c r="D2464" s="3" t="s">
        <v>206</v>
      </c>
      <c r="E2464" s="3" t="s">
        <v>100</v>
      </c>
      <c r="F2464" s="7">
        <v>45798.10816467862</v>
      </c>
      <c r="G2464" s="3" t="s">
        <v>8175</v>
      </c>
    </row>
    <row r="2465">
      <c r="A2465" s="3" t="s">
        <v>8176</v>
      </c>
      <c r="B2465" s="3" t="s">
        <v>2757</v>
      </c>
      <c r="C2465" s="5" t="s">
        <v>206</v>
      </c>
      <c r="D2465" s="3" t="s">
        <v>68</v>
      </c>
      <c r="E2465" s="3" t="s">
        <v>100</v>
      </c>
      <c r="F2465" s="7">
        <v>45798.11163690084</v>
      </c>
      <c r="G2465" s="3" t="s">
        <v>8178</v>
      </c>
    </row>
    <row r="2466">
      <c r="A2466" s="3" t="s">
        <v>8179</v>
      </c>
      <c r="B2466" s="3" t="s">
        <v>2759</v>
      </c>
      <c r="C2466" s="5" t="s">
        <v>45</v>
      </c>
      <c r="D2466" s="3" t="s">
        <v>221</v>
      </c>
      <c r="E2466" s="3" t="s">
        <v>1040</v>
      </c>
      <c r="F2466" s="7">
        <v>45798.17239507959</v>
      </c>
      <c r="G2466" s="3" t="s">
        <v>8181</v>
      </c>
    </row>
    <row r="2467">
      <c r="A2467" s="3" t="s">
        <v>8182</v>
      </c>
      <c r="B2467" s="3" t="s">
        <v>2759</v>
      </c>
      <c r="C2467" s="5" t="s">
        <v>221</v>
      </c>
      <c r="D2467" s="3" t="s">
        <v>181</v>
      </c>
      <c r="E2467" s="3" t="s">
        <v>118</v>
      </c>
      <c r="F2467" s="7">
        <v>45798.17586730181</v>
      </c>
      <c r="G2467" s="3" t="s">
        <v>8184</v>
      </c>
    </row>
    <row r="2468">
      <c r="A2468" s="3" t="s">
        <v>8185</v>
      </c>
      <c r="B2468" s="3" t="s">
        <v>2761</v>
      </c>
      <c r="C2468" s="5" t="s">
        <v>45</v>
      </c>
      <c r="D2468" s="3" t="s">
        <v>221</v>
      </c>
      <c r="E2468" s="3" t="s">
        <v>243</v>
      </c>
      <c r="F2468" s="7">
        <v>45798.243569925005</v>
      </c>
      <c r="G2468" s="3" t="s">
        <v>8187</v>
      </c>
    </row>
    <row r="2469">
      <c r="A2469" s="3" t="s">
        <v>8188</v>
      </c>
      <c r="B2469" s="3" t="s">
        <v>2761</v>
      </c>
      <c r="C2469" s="5" t="s">
        <v>221</v>
      </c>
      <c r="D2469" s="3" t="s">
        <v>614</v>
      </c>
      <c r="E2469" s="3" t="s">
        <v>118</v>
      </c>
      <c r="F2469" s="7">
        <v>45798.247042147224</v>
      </c>
      <c r="G2469" s="3" t="s">
        <v>8190</v>
      </c>
    </row>
    <row r="2470">
      <c r="A2470" s="3" t="s">
        <v>8191</v>
      </c>
      <c r="B2470" s="3" t="s">
        <v>2761</v>
      </c>
      <c r="C2470" s="5" t="s">
        <v>614</v>
      </c>
      <c r="D2470" s="3" t="s">
        <v>206</v>
      </c>
      <c r="E2470" s="3" t="s">
        <v>100</v>
      </c>
      <c r="F2470" s="7">
        <v>45798.25051436945</v>
      </c>
      <c r="G2470" s="3" t="s">
        <v>8193</v>
      </c>
    </row>
    <row r="2471">
      <c r="A2471" s="3" t="s">
        <v>8194</v>
      </c>
      <c r="B2471" s="3" t="s">
        <v>2761</v>
      </c>
      <c r="C2471" s="5" t="s">
        <v>206</v>
      </c>
      <c r="D2471" s="3" t="s">
        <v>68</v>
      </c>
      <c r="E2471" s="3" t="s">
        <v>100</v>
      </c>
      <c r="F2471" s="7">
        <v>45798.25398659167</v>
      </c>
      <c r="G2471" s="3" t="s">
        <v>8196</v>
      </c>
    </row>
    <row r="2472">
      <c r="A2472" s="3" t="s">
        <v>8197</v>
      </c>
      <c r="B2472" s="3" t="s">
        <v>2764</v>
      </c>
      <c r="C2472" s="5" t="s">
        <v>45</v>
      </c>
      <c r="D2472" s="3" t="s">
        <v>221</v>
      </c>
      <c r="E2472" s="3" t="s">
        <v>581</v>
      </c>
      <c r="F2472" s="7">
        <v>45798.314744770425</v>
      </c>
      <c r="G2472" s="3" t="s">
        <v>8198</v>
      </c>
    </row>
    <row r="2473">
      <c r="A2473" s="3" t="s">
        <v>8200</v>
      </c>
      <c r="B2473" s="3" t="s">
        <v>2764</v>
      </c>
      <c r="C2473" s="5" t="s">
        <v>221</v>
      </c>
      <c r="D2473" s="3" t="s">
        <v>614</v>
      </c>
      <c r="E2473" s="3" t="s">
        <v>118</v>
      </c>
      <c r="F2473" s="7">
        <v>45798.318216992644</v>
      </c>
      <c r="G2473" s="3" t="s">
        <v>8201</v>
      </c>
    </row>
    <row r="2474">
      <c r="A2474" s="3" t="s">
        <v>8202</v>
      </c>
      <c r="B2474" s="3" t="s">
        <v>2764</v>
      </c>
      <c r="C2474" s="5" t="s">
        <v>614</v>
      </c>
      <c r="D2474" s="3" t="s">
        <v>206</v>
      </c>
      <c r="E2474" s="3" t="s">
        <v>100</v>
      </c>
      <c r="F2474" s="7">
        <v>45798.32168921487</v>
      </c>
      <c r="G2474" s="3" t="s">
        <v>8204</v>
      </c>
    </row>
    <row r="2475">
      <c r="A2475" s="3" t="s">
        <v>8205</v>
      </c>
      <c r="B2475" s="3" t="s">
        <v>2764</v>
      </c>
      <c r="C2475" s="5" t="s">
        <v>206</v>
      </c>
      <c r="D2475" s="3" t="s">
        <v>68</v>
      </c>
      <c r="E2475" s="3" t="s">
        <v>100</v>
      </c>
      <c r="F2475" s="7">
        <v>45798.32516143709</v>
      </c>
      <c r="G2475" s="3" t="s">
        <v>8207</v>
      </c>
    </row>
    <row r="2476">
      <c r="A2476" s="3" t="s">
        <v>8208</v>
      </c>
      <c r="B2476" s="3" t="s">
        <v>2768</v>
      </c>
      <c r="C2476" s="5" t="s">
        <v>45</v>
      </c>
      <c r="D2476" s="3" t="s">
        <v>221</v>
      </c>
      <c r="E2476" s="3" t="s">
        <v>961</v>
      </c>
      <c r="F2476" s="7">
        <v>45798.38591961584</v>
      </c>
      <c r="G2476" s="3" t="s">
        <v>7809</v>
      </c>
    </row>
    <row r="2477">
      <c r="A2477" s="3" t="s">
        <v>8210</v>
      </c>
      <c r="B2477" s="3" t="s">
        <v>2768</v>
      </c>
      <c r="C2477" s="5" t="s">
        <v>221</v>
      </c>
      <c r="D2477" s="3" t="s">
        <v>614</v>
      </c>
      <c r="E2477" s="3" t="s">
        <v>118</v>
      </c>
      <c r="F2477" s="7">
        <v>45798.389391838056</v>
      </c>
      <c r="G2477" s="3" t="s">
        <v>7812</v>
      </c>
    </row>
    <row r="2478">
      <c r="A2478" s="3" t="s">
        <v>8212</v>
      </c>
      <c r="B2478" s="3" t="s">
        <v>2768</v>
      </c>
      <c r="C2478" s="5" t="s">
        <v>614</v>
      </c>
      <c r="D2478" s="3" t="s">
        <v>206</v>
      </c>
      <c r="E2478" s="3" t="s">
        <v>100</v>
      </c>
      <c r="F2478" s="7">
        <v>45798.39286406028</v>
      </c>
      <c r="G2478" s="3" t="s">
        <v>7815</v>
      </c>
    </row>
    <row r="2479">
      <c r="A2479" s="3" t="s">
        <v>8214</v>
      </c>
      <c r="B2479" s="3" t="s">
        <v>2768</v>
      </c>
      <c r="C2479" s="5" t="s">
        <v>206</v>
      </c>
      <c r="D2479" s="3" t="s">
        <v>68</v>
      </c>
      <c r="E2479" s="3" t="s">
        <v>100</v>
      </c>
      <c r="F2479" s="7">
        <v>45798.3963362825</v>
      </c>
      <c r="G2479" s="3" t="s">
        <v>7818</v>
      </c>
    </row>
    <row r="2480">
      <c r="A2480" s="3" t="s">
        <v>8215</v>
      </c>
      <c r="B2480" s="3" t="s">
        <v>2771</v>
      </c>
      <c r="C2480" s="5" t="s">
        <v>45</v>
      </c>
      <c r="D2480" s="3" t="s">
        <v>221</v>
      </c>
      <c r="E2480" s="3" t="s">
        <v>763</v>
      </c>
      <c r="F2480" s="7">
        <v>45798.45709446126</v>
      </c>
      <c r="G2480" s="3" t="s">
        <v>8217</v>
      </c>
    </row>
    <row r="2481">
      <c r="A2481" s="3" t="s">
        <v>8218</v>
      </c>
      <c r="B2481" s="3" t="s">
        <v>2771</v>
      </c>
      <c r="C2481" s="5" t="s">
        <v>221</v>
      </c>
      <c r="D2481" s="3" t="s">
        <v>614</v>
      </c>
      <c r="E2481" s="3" t="s">
        <v>118</v>
      </c>
      <c r="F2481" s="7">
        <v>45798.460566683476</v>
      </c>
      <c r="G2481" s="3" t="s">
        <v>8220</v>
      </c>
    </row>
    <row r="2482">
      <c r="A2482" s="3" t="s">
        <v>8221</v>
      </c>
      <c r="B2482" s="3" t="s">
        <v>2771</v>
      </c>
      <c r="C2482" s="5" t="s">
        <v>614</v>
      </c>
      <c r="D2482" s="3" t="s">
        <v>206</v>
      </c>
      <c r="E2482" s="3" t="s">
        <v>100</v>
      </c>
      <c r="F2482" s="7">
        <v>45798.4640389057</v>
      </c>
      <c r="G2482" s="3" t="s">
        <v>8223</v>
      </c>
    </row>
    <row r="2483">
      <c r="A2483" s="3" t="s">
        <v>8224</v>
      </c>
      <c r="B2483" s="3" t="s">
        <v>2771</v>
      </c>
      <c r="C2483" s="5" t="s">
        <v>206</v>
      </c>
      <c r="D2483" s="3" t="s">
        <v>68</v>
      </c>
      <c r="E2483" s="3" t="s">
        <v>100</v>
      </c>
      <c r="F2483" s="7">
        <v>45798.46751112792</v>
      </c>
      <c r="G2483" s="3" t="s">
        <v>8226</v>
      </c>
    </row>
    <row r="2484">
      <c r="A2484" s="3" t="s">
        <v>8227</v>
      </c>
      <c r="B2484" s="3" t="s">
        <v>2773</v>
      </c>
      <c r="C2484" s="5" t="s">
        <v>45</v>
      </c>
      <c r="D2484" s="3" t="s">
        <v>221</v>
      </c>
      <c r="E2484" s="3" t="s">
        <v>763</v>
      </c>
      <c r="F2484" s="7">
        <v>45798.52826930666</v>
      </c>
      <c r="G2484" s="3" t="s">
        <v>8229</v>
      </c>
    </row>
    <row r="2485">
      <c r="A2485" s="3" t="s">
        <v>8230</v>
      </c>
      <c r="B2485" s="3" t="s">
        <v>2773</v>
      </c>
      <c r="C2485" s="5" t="s">
        <v>221</v>
      </c>
      <c r="D2485" s="3" t="s">
        <v>614</v>
      </c>
      <c r="E2485" s="3" t="s">
        <v>118</v>
      </c>
      <c r="F2485" s="7">
        <v>45798.53174152888</v>
      </c>
      <c r="G2485" s="3" t="s">
        <v>8231</v>
      </c>
    </row>
    <row r="2486">
      <c r="A2486" s="3" t="s">
        <v>8233</v>
      </c>
      <c r="B2486" s="3" t="s">
        <v>2773</v>
      </c>
      <c r="C2486" s="5" t="s">
        <v>614</v>
      </c>
      <c r="D2486" s="3" t="s">
        <v>206</v>
      </c>
      <c r="E2486" s="3" t="s">
        <v>100</v>
      </c>
      <c r="F2486" s="7">
        <v>45798.53521375111</v>
      </c>
      <c r="G2486" s="3" t="s">
        <v>8234</v>
      </c>
    </row>
    <row r="2487">
      <c r="A2487" s="3" t="s">
        <v>8235</v>
      </c>
      <c r="B2487" s="3" t="s">
        <v>2773</v>
      </c>
      <c r="C2487" s="5" t="s">
        <v>206</v>
      </c>
      <c r="D2487" s="3" t="s">
        <v>68</v>
      </c>
      <c r="E2487" s="3" t="s">
        <v>100</v>
      </c>
      <c r="F2487" s="7">
        <v>45798.538685973326</v>
      </c>
      <c r="G2487" s="3" t="s">
        <v>8237</v>
      </c>
    </row>
    <row r="2488">
      <c r="A2488" s="3" t="s">
        <v>8238</v>
      </c>
      <c r="B2488" s="3" t="s">
        <v>2776</v>
      </c>
      <c r="C2488" s="5" t="s">
        <v>45</v>
      </c>
      <c r="D2488" s="3" t="s">
        <v>221</v>
      </c>
      <c r="E2488" s="3" t="s">
        <v>250</v>
      </c>
      <c r="F2488" s="7">
        <v>45798.59944415208</v>
      </c>
      <c r="G2488" s="3" t="s">
        <v>8240</v>
      </c>
    </row>
    <row r="2489">
      <c r="A2489" s="3" t="s">
        <v>8241</v>
      </c>
      <c r="B2489" s="3" t="s">
        <v>2776</v>
      </c>
      <c r="C2489" s="5" t="s">
        <v>221</v>
      </c>
      <c r="D2489" s="3" t="s">
        <v>614</v>
      </c>
      <c r="E2489" s="3" t="s">
        <v>118</v>
      </c>
      <c r="F2489" s="7">
        <v>45798.6029163743</v>
      </c>
      <c r="G2489" s="3" t="s">
        <v>8243</v>
      </c>
    </row>
    <row r="2490">
      <c r="A2490" s="3" t="s">
        <v>8244</v>
      </c>
      <c r="B2490" s="3" t="s">
        <v>2776</v>
      </c>
      <c r="C2490" s="5" t="s">
        <v>614</v>
      </c>
      <c r="D2490" s="3" t="s">
        <v>206</v>
      </c>
      <c r="E2490" s="3" t="s">
        <v>100</v>
      </c>
      <c r="F2490" s="7">
        <v>45798.60638859653</v>
      </c>
      <c r="G2490" s="3" t="s">
        <v>8246</v>
      </c>
    </row>
    <row r="2491">
      <c r="A2491" s="3" t="s">
        <v>8247</v>
      </c>
      <c r="B2491" s="3" t="s">
        <v>2776</v>
      </c>
      <c r="C2491" s="5" t="s">
        <v>206</v>
      </c>
      <c r="D2491" s="3" t="s">
        <v>68</v>
      </c>
      <c r="E2491" s="3" t="s">
        <v>100</v>
      </c>
      <c r="F2491" s="7">
        <v>45798.609860818746</v>
      </c>
      <c r="G2491" s="3" t="s">
        <v>8249</v>
      </c>
    </row>
    <row r="2492">
      <c r="A2492" s="3" t="s">
        <v>8250</v>
      </c>
      <c r="B2492" s="3" t="s">
        <v>2778</v>
      </c>
      <c r="C2492" s="5" t="s">
        <v>45</v>
      </c>
      <c r="D2492" s="3" t="s">
        <v>221</v>
      </c>
      <c r="E2492" s="3" t="s">
        <v>230</v>
      </c>
      <c r="F2492" s="7">
        <v>45798.6706189975</v>
      </c>
      <c r="G2492" s="3" t="s">
        <v>8252</v>
      </c>
    </row>
    <row r="2493">
      <c r="A2493" s="3" t="s">
        <v>8253</v>
      </c>
      <c r="B2493" s="3" t="s">
        <v>2778</v>
      </c>
      <c r="C2493" s="5" t="s">
        <v>221</v>
      </c>
      <c r="D2493" s="3" t="s">
        <v>614</v>
      </c>
      <c r="E2493" s="3" t="s">
        <v>118</v>
      </c>
      <c r="F2493" s="7">
        <v>45798.67409121972</v>
      </c>
      <c r="G2493" s="3" t="s">
        <v>8255</v>
      </c>
    </row>
    <row r="2494">
      <c r="A2494" s="3" t="s">
        <v>8256</v>
      </c>
      <c r="B2494" s="3" t="s">
        <v>2778</v>
      </c>
      <c r="C2494" s="5" t="s">
        <v>614</v>
      </c>
      <c r="D2494" s="3" t="s">
        <v>206</v>
      </c>
      <c r="E2494" s="3" t="s">
        <v>100</v>
      </c>
      <c r="F2494" s="7">
        <v>45798.67756344195</v>
      </c>
      <c r="G2494" s="3" t="s">
        <v>8257</v>
      </c>
    </row>
    <row r="2495">
      <c r="A2495" s="3" t="s">
        <v>8259</v>
      </c>
      <c r="B2495" s="3" t="s">
        <v>2778</v>
      </c>
      <c r="C2495" s="5" t="s">
        <v>206</v>
      </c>
      <c r="D2495" s="3" t="s">
        <v>68</v>
      </c>
      <c r="E2495" s="3" t="s">
        <v>100</v>
      </c>
      <c r="F2495" s="7">
        <v>45798.681035664165</v>
      </c>
      <c r="G2495" s="3" t="s">
        <v>8260</v>
      </c>
    </row>
    <row r="2496">
      <c r="A2496" s="3" t="s">
        <v>8261</v>
      </c>
      <c r="B2496" s="3" t="s">
        <v>2780</v>
      </c>
      <c r="C2496" s="5" t="s">
        <v>45</v>
      </c>
      <c r="D2496" s="3" t="s">
        <v>221</v>
      </c>
      <c r="E2496" s="3" t="s">
        <v>521</v>
      </c>
      <c r="F2496" s="7">
        <v>45798.74179384291</v>
      </c>
      <c r="G2496" s="3" t="s">
        <v>8262</v>
      </c>
    </row>
    <row r="2497">
      <c r="A2497" s="3" t="s">
        <v>8263</v>
      </c>
      <c r="B2497" s="3" t="s">
        <v>2780</v>
      </c>
      <c r="C2497" s="5" t="s">
        <v>221</v>
      </c>
      <c r="D2497" s="3" t="s">
        <v>614</v>
      </c>
      <c r="E2497" s="3" t="s">
        <v>118</v>
      </c>
      <c r="F2497" s="7">
        <v>45798.74526606513</v>
      </c>
      <c r="G2497" s="3" t="s">
        <v>8265</v>
      </c>
    </row>
    <row r="2498">
      <c r="A2498" s="3" t="s">
        <v>8266</v>
      </c>
      <c r="B2498" s="3" t="s">
        <v>2780</v>
      </c>
      <c r="C2498" s="5" t="s">
        <v>614</v>
      </c>
      <c r="D2498" s="3" t="s">
        <v>206</v>
      </c>
      <c r="E2498" s="3" t="s">
        <v>100</v>
      </c>
      <c r="F2498" s="7">
        <v>45798.74873828736</v>
      </c>
      <c r="G2498" s="3" t="s">
        <v>8268</v>
      </c>
    </row>
    <row r="2499">
      <c r="A2499" s="3" t="s">
        <v>8269</v>
      </c>
      <c r="B2499" s="3" t="s">
        <v>2780</v>
      </c>
      <c r="C2499" s="5" t="s">
        <v>206</v>
      </c>
      <c r="D2499" s="3" t="s">
        <v>68</v>
      </c>
      <c r="E2499" s="3" t="s">
        <v>100</v>
      </c>
      <c r="F2499" s="7">
        <v>45798.75221050958</v>
      </c>
      <c r="G2499" s="3" t="s">
        <v>8271</v>
      </c>
    </row>
    <row r="2500">
      <c r="A2500" s="3" t="s">
        <v>8272</v>
      </c>
      <c r="B2500" s="3" t="s">
        <v>2783</v>
      </c>
      <c r="C2500" s="5" t="s">
        <v>45</v>
      </c>
      <c r="D2500" s="3" t="s">
        <v>221</v>
      </c>
      <c r="E2500" s="3" t="s">
        <v>785</v>
      </c>
      <c r="F2500" s="7">
        <v>45798.812968688326</v>
      </c>
      <c r="G2500" s="3" t="s">
        <v>4187</v>
      </c>
    </row>
    <row r="2501">
      <c r="A2501" s="3" t="s">
        <v>8274</v>
      </c>
      <c r="B2501" s="3" t="s">
        <v>2783</v>
      </c>
      <c r="C2501" s="5" t="s">
        <v>221</v>
      </c>
      <c r="D2501" s="3" t="s">
        <v>614</v>
      </c>
      <c r="E2501" s="3" t="s">
        <v>118</v>
      </c>
      <c r="F2501" s="7">
        <v>45798.816440910545</v>
      </c>
      <c r="G2501" s="3" t="s">
        <v>8275</v>
      </c>
    </row>
    <row r="2502">
      <c r="A2502" s="3" t="s">
        <v>8277</v>
      </c>
      <c r="B2502" s="3" t="s">
        <v>2783</v>
      </c>
      <c r="C2502" s="5" t="s">
        <v>614</v>
      </c>
      <c r="D2502" s="3" t="s">
        <v>206</v>
      </c>
      <c r="E2502" s="3" t="s">
        <v>100</v>
      </c>
      <c r="F2502" s="7">
        <v>45798.81991313277</v>
      </c>
      <c r="G2502" s="3" t="s">
        <v>8278</v>
      </c>
    </row>
    <row r="2503">
      <c r="A2503" s="3" t="s">
        <v>8279</v>
      </c>
      <c r="B2503" s="3" t="s">
        <v>2783</v>
      </c>
      <c r="C2503" s="5" t="s">
        <v>206</v>
      </c>
      <c r="D2503" s="3" t="s">
        <v>68</v>
      </c>
      <c r="E2503" s="3" t="s">
        <v>100</v>
      </c>
      <c r="F2503" s="7">
        <v>45798.82338535499</v>
      </c>
      <c r="G2503" s="3" t="s">
        <v>8281</v>
      </c>
    </row>
    <row r="2504">
      <c r="A2504" s="3" t="s">
        <v>8282</v>
      </c>
      <c r="B2504" s="3" t="s">
        <v>2786</v>
      </c>
      <c r="C2504" s="5" t="s">
        <v>45</v>
      </c>
      <c r="D2504" s="3" t="s">
        <v>221</v>
      </c>
      <c r="E2504" s="3" t="s">
        <v>219</v>
      </c>
      <c r="F2504" s="7">
        <v>45798.884143533745</v>
      </c>
      <c r="G2504" s="3" t="s">
        <v>4770</v>
      </c>
    </row>
    <row r="2505">
      <c r="A2505" s="3" t="s">
        <v>8284</v>
      </c>
      <c r="B2505" s="3" t="s">
        <v>2786</v>
      </c>
      <c r="C2505" s="5" t="s">
        <v>221</v>
      </c>
      <c r="D2505" s="3" t="s">
        <v>614</v>
      </c>
      <c r="E2505" s="3" t="s">
        <v>118</v>
      </c>
      <c r="F2505" s="7">
        <v>45798.887615755964</v>
      </c>
      <c r="G2505" s="3" t="s">
        <v>4773</v>
      </c>
    </row>
    <row r="2506">
      <c r="A2506" s="3" t="s">
        <v>8286</v>
      </c>
      <c r="B2506" s="3" t="s">
        <v>2786</v>
      </c>
      <c r="C2506" s="5" t="s">
        <v>614</v>
      </c>
      <c r="D2506" s="3" t="s">
        <v>206</v>
      </c>
      <c r="E2506" s="3" t="s">
        <v>100</v>
      </c>
      <c r="F2506" s="7">
        <v>45798.89108797819</v>
      </c>
      <c r="G2506" s="3" t="s">
        <v>4776</v>
      </c>
    </row>
    <row r="2507">
      <c r="A2507" s="3" t="s">
        <v>8288</v>
      </c>
      <c r="B2507" s="3" t="s">
        <v>2786</v>
      </c>
      <c r="C2507" s="5" t="s">
        <v>206</v>
      </c>
      <c r="D2507" s="3" t="s">
        <v>68</v>
      </c>
      <c r="E2507" s="3" t="s">
        <v>100</v>
      </c>
      <c r="F2507" s="7">
        <v>45798.89456020041</v>
      </c>
      <c r="G2507" s="3" t="s">
        <v>4779</v>
      </c>
    </row>
    <row r="2508">
      <c r="A2508" s="3" t="s">
        <v>8290</v>
      </c>
      <c r="B2508" s="3" t="s">
        <v>2789</v>
      </c>
      <c r="C2508" s="5" t="s">
        <v>45</v>
      </c>
      <c r="D2508" s="3" t="s">
        <v>221</v>
      </c>
      <c r="E2508" s="3" t="s">
        <v>886</v>
      </c>
      <c r="F2508" s="7">
        <v>45798.95531837916</v>
      </c>
      <c r="G2508" s="3" t="s">
        <v>8292</v>
      </c>
    </row>
    <row r="2509">
      <c r="A2509" s="3" t="s">
        <v>8293</v>
      </c>
      <c r="B2509" s="3" t="s">
        <v>2789</v>
      </c>
      <c r="C2509" s="5" t="s">
        <v>221</v>
      </c>
      <c r="D2509" s="3" t="s">
        <v>614</v>
      </c>
      <c r="E2509" s="3" t="s">
        <v>118</v>
      </c>
      <c r="F2509" s="7">
        <v>45798.95879060138</v>
      </c>
      <c r="G2509" s="3" t="s">
        <v>8294</v>
      </c>
    </row>
    <row r="2510">
      <c r="A2510" s="3" t="s">
        <v>8296</v>
      </c>
      <c r="B2510" s="3" t="s">
        <v>2789</v>
      </c>
      <c r="C2510" s="5" t="s">
        <v>614</v>
      </c>
      <c r="D2510" s="3" t="s">
        <v>206</v>
      </c>
      <c r="E2510" s="3" t="s">
        <v>100</v>
      </c>
      <c r="F2510" s="7">
        <v>45798.9622628236</v>
      </c>
      <c r="G2510" s="3" t="s">
        <v>8297</v>
      </c>
    </row>
    <row r="2511">
      <c r="A2511" s="3" t="s">
        <v>8298</v>
      </c>
      <c r="B2511" s="3" t="s">
        <v>2789</v>
      </c>
      <c r="C2511" s="5" t="s">
        <v>206</v>
      </c>
      <c r="D2511" s="3" t="s">
        <v>68</v>
      </c>
      <c r="E2511" s="3" t="s">
        <v>100</v>
      </c>
      <c r="F2511" s="7">
        <v>45798.96573504582</v>
      </c>
      <c r="G2511" s="3" t="s">
        <v>8300</v>
      </c>
    </row>
    <row r="2512">
      <c r="A2512" s="3" t="s">
        <v>8301</v>
      </c>
      <c r="B2512" s="3" t="s">
        <v>2792</v>
      </c>
      <c r="C2512" s="5" t="s">
        <v>45</v>
      </c>
      <c r="D2512" s="3" t="s">
        <v>221</v>
      </c>
      <c r="E2512" s="3" t="s">
        <v>515</v>
      </c>
      <c r="F2512" s="7">
        <v>45799.02649322457</v>
      </c>
      <c r="G2512" s="3" t="s">
        <v>8303</v>
      </c>
    </row>
    <row r="2513">
      <c r="A2513" s="3" t="s">
        <v>8304</v>
      </c>
      <c r="B2513" s="3" t="s">
        <v>2792</v>
      </c>
      <c r="C2513" s="5" t="s">
        <v>221</v>
      </c>
      <c r="D2513" s="3" t="s">
        <v>614</v>
      </c>
      <c r="E2513" s="3" t="s">
        <v>118</v>
      </c>
      <c r="F2513" s="7">
        <v>45799.02996544679</v>
      </c>
      <c r="G2513" s="3" t="s">
        <v>8306</v>
      </c>
    </row>
    <row r="2514">
      <c r="A2514" s="3" t="s">
        <v>8307</v>
      </c>
      <c r="B2514" s="3" t="s">
        <v>2792</v>
      </c>
      <c r="C2514" s="5" t="s">
        <v>614</v>
      </c>
      <c r="D2514" s="3" t="s">
        <v>206</v>
      </c>
      <c r="E2514" s="3" t="s">
        <v>100</v>
      </c>
      <c r="F2514" s="7">
        <v>45799.033437669015</v>
      </c>
      <c r="G2514" s="3" t="s">
        <v>8309</v>
      </c>
    </row>
    <row r="2515">
      <c r="A2515" s="3" t="s">
        <v>8310</v>
      </c>
      <c r="B2515" s="3" t="s">
        <v>2792</v>
      </c>
      <c r="C2515" s="5" t="s">
        <v>206</v>
      </c>
      <c r="D2515" s="3" t="s">
        <v>68</v>
      </c>
      <c r="E2515" s="3" t="s">
        <v>100</v>
      </c>
      <c r="F2515" s="7">
        <v>45799.036909891234</v>
      </c>
      <c r="G2515" s="3" t="s">
        <v>8312</v>
      </c>
    </row>
    <row r="2516">
      <c r="A2516" s="3" t="s">
        <v>8313</v>
      </c>
      <c r="B2516" s="3" t="s">
        <v>2795</v>
      </c>
      <c r="C2516" s="5" t="s">
        <v>45</v>
      </c>
      <c r="D2516" s="3" t="s">
        <v>221</v>
      </c>
      <c r="E2516" s="3" t="s">
        <v>796</v>
      </c>
      <c r="F2516" s="7">
        <v>45799.09766806999</v>
      </c>
      <c r="G2516" s="3" t="s">
        <v>8315</v>
      </c>
    </row>
    <row r="2517">
      <c r="A2517" s="3" t="s">
        <v>8316</v>
      </c>
      <c r="B2517" s="3" t="s">
        <v>2795</v>
      </c>
      <c r="C2517" s="5" t="s">
        <v>221</v>
      </c>
      <c r="D2517" s="3" t="s">
        <v>614</v>
      </c>
      <c r="E2517" s="3" t="s">
        <v>118</v>
      </c>
      <c r="F2517" s="7">
        <v>45799.10114029221</v>
      </c>
      <c r="G2517" s="3" t="s">
        <v>8318</v>
      </c>
    </row>
    <row r="2518">
      <c r="A2518" s="3" t="s">
        <v>8319</v>
      </c>
      <c r="B2518" s="3" t="s">
        <v>2795</v>
      </c>
      <c r="C2518" s="5" t="s">
        <v>614</v>
      </c>
      <c r="D2518" s="3" t="s">
        <v>206</v>
      </c>
      <c r="E2518" s="3" t="s">
        <v>100</v>
      </c>
      <c r="F2518" s="7">
        <v>45799.104612514435</v>
      </c>
      <c r="G2518" s="3" t="s">
        <v>8321</v>
      </c>
    </row>
    <row r="2519">
      <c r="A2519" s="3" t="s">
        <v>8322</v>
      </c>
      <c r="B2519" s="3" t="s">
        <v>2795</v>
      </c>
      <c r="C2519" s="5" t="s">
        <v>206</v>
      </c>
      <c r="D2519" s="3" t="s">
        <v>68</v>
      </c>
      <c r="E2519" s="3" t="s">
        <v>100</v>
      </c>
      <c r="F2519" s="7">
        <v>45799.108084736654</v>
      </c>
      <c r="G2519" s="3" t="s">
        <v>8324</v>
      </c>
    </row>
    <row r="2520">
      <c r="A2520" s="3" t="s">
        <v>8325</v>
      </c>
      <c r="B2520" s="3" t="s">
        <v>2798</v>
      </c>
      <c r="C2520" s="5" t="s">
        <v>45</v>
      </c>
      <c r="D2520" s="3" t="s">
        <v>221</v>
      </c>
      <c r="E2520" s="3" t="s">
        <v>547</v>
      </c>
      <c r="F2520" s="7">
        <v>45799.16884291541</v>
      </c>
      <c r="G2520" s="3" t="s">
        <v>8327</v>
      </c>
    </row>
    <row r="2521">
      <c r="A2521" s="3" t="s">
        <v>8328</v>
      </c>
      <c r="B2521" s="3" t="s">
        <v>2798</v>
      </c>
      <c r="C2521" s="5" t="s">
        <v>221</v>
      </c>
      <c r="D2521" s="3" t="s">
        <v>195</v>
      </c>
      <c r="E2521" s="3" t="s">
        <v>547</v>
      </c>
      <c r="F2521" s="7">
        <v>45799.17231513763</v>
      </c>
      <c r="G2521" s="3" t="s">
        <v>8330</v>
      </c>
    </row>
    <row r="2522">
      <c r="A2522" s="3" t="s">
        <v>8331</v>
      </c>
      <c r="B2522" s="3" t="s">
        <v>2802</v>
      </c>
      <c r="C2522" s="5" t="s">
        <v>45</v>
      </c>
      <c r="D2522" s="3" t="s">
        <v>221</v>
      </c>
      <c r="E2522" s="3" t="s">
        <v>352</v>
      </c>
      <c r="F2522" s="7">
        <v>45799.240017760814</v>
      </c>
      <c r="G2522" s="3" t="s">
        <v>8332</v>
      </c>
    </row>
    <row r="2523">
      <c r="A2523" s="3" t="s">
        <v>8334</v>
      </c>
      <c r="B2523" s="3" t="s">
        <v>2802</v>
      </c>
      <c r="C2523" s="5" t="s">
        <v>221</v>
      </c>
      <c r="D2523" s="3" t="s">
        <v>614</v>
      </c>
      <c r="E2523" s="3" t="s">
        <v>118</v>
      </c>
      <c r="F2523" s="7">
        <v>45799.24348998303</v>
      </c>
      <c r="G2523" s="3" t="s">
        <v>8335</v>
      </c>
    </row>
    <row r="2524">
      <c r="A2524" s="3" t="s">
        <v>8337</v>
      </c>
      <c r="B2524" s="3" t="s">
        <v>2802</v>
      </c>
      <c r="C2524" s="5" t="s">
        <v>614</v>
      </c>
      <c r="D2524" s="3" t="s">
        <v>206</v>
      </c>
      <c r="E2524" s="3" t="s">
        <v>100</v>
      </c>
      <c r="F2524" s="7">
        <v>45799.24696220526</v>
      </c>
      <c r="G2524" s="3" t="s">
        <v>8338</v>
      </c>
    </row>
    <row r="2525">
      <c r="A2525" s="3" t="s">
        <v>8339</v>
      </c>
      <c r="B2525" s="3" t="s">
        <v>2802</v>
      </c>
      <c r="C2525" s="5" t="s">
        <v>206</v>
      </c>
      <c r="D2525" s="3" t="s">
        <v>68</v>
      </c>
      <c r="E2525" s="3" t="s">
        <v>100</v>
      </c>
      <c r="F2525" s="7">
        <v>45799.25043442748</v>
      </c>
      <c r="G2525" s="3" t="s">
        <v>8341</v>
      </c>
    </row>
    <row r="2526">
      <c r="A2526" s="3" t="s">
        <v>8342</v>
      </c>
      <c r="B2526" s="3" t="s">
        <v>2805</v>
      </c>
      <c r="C2526" s="5" t="s">
        <v>45</v>
      </c>
      <c r="D2526" s="3" t="s">
        <v>221</v>
      </c>
      <c r="E2526" s="3" t="s">
        <v>622</v>
      </c>
      <c r="F2526" s="7">
        <v>45799.311192606234</v>
      </c>
      <c r="G2526" s="3" t="s">
        <v>6189</v>
      </c>
    </row>
    <row r="2527">
      <c r="A2527" s="3" t="s">
        <v>8344</v>
      </c>
      <c r="B2527" s="3" t="s">
        <v>2805</v>
      </c>
      <c r="C2527" s="5" t="s">
        <v>221</v>
      </c>
      <c r="D2527" s="3" t="s">
        <v>181</v>
      </c>
      <c r="E2527" s="3" t="s">
        <v>118</v>
      </c>
      <c r="F2527" s="7">
        <v>45799.31466482845</v>
      </c>
      <c r="G2527" s="3" t="s">
        <v>8346</v>
      </c>
    </row>
    <row r="2528">
      <c r="A2528" s="3" t="s">
        <v>8347</v>
      </c>
      <c r="B2528" s="3" t="s">
        <v>2807</v>
      </c>
      <c r="C2528" s="5" t="s">
        <v>45</v>
      </c>
      <c r="D2528" s="3" t="s">
        <v>221</v>
      </c>
      <c r="E2528" s="3" t="s">
        <v>550</v>
      </c>
      <c r="F2528" s="7">
        <v>45799.38236745165</v>
      </c>
      <c r="G2528" s="3" t="s">
        <v>8349</v>
      </c>
    </row>
    <row r="2529">
      <c r="A2529" s="3" t="s">
        <v>8350</v>
      </c>
      <c r="B2529" s="3" t="s">
        <v>2807</v>
      </c>
      <c r="C2529" s="5" t="s">
        <v>221</v>
      </c>
      <c r="D2529" s="3" t="s">
        <v>614</v>
      </c>
      <c r="E2529" s="3" t="s">
        <v>118</v>
      </c>
      <c r="F2529" s="7">
        <v>45799.38583967387</v>
      </c>
      <c r="G2529" s="3" t="s">
        <v>8351</v>
      </c>
    </row>
    <row r="2530">
      <c r="A2530" s="3" t="s">
        <v>8353</v>
      </c>
      <c r="B2530" s="3" t="s">
        <v>2807</v>
      </c>
      <c r="C2530" s="5" t="s">
        <v>614</v>
      </c>
      <c r="D2530" s="3" t="s">
        <v>206</v>
      </c>
      <c r="E2530" s="3" t="s">
        <v>100</v>
      </c>
      <c r="F2530" s="7">
        <v>45799.3893118961</v>
      </c>
      <c r="G2530" s="3" t="s">
        <v>8354</v>
      </c>
    </row>
    <row r="2531">
      <c r="A2531" s="3" t="s">
        <v>8355</v>
      </c>
      <c r="B2531" s="3" t="s">
        <v>2807</v>
      </c>
      <c r="C2531" s="5" t="s">
        <v>206</v>
      </c>
      <c r="D2531" s="3" t="s">
        <v>68</v>
      </c>
      <c r="E2531" s="3" t="s">
        <v>100</v>
      </c>
      <c r="F2531" s="7">
        <v>45799.39278411832</v>
      </c>
      <c r="G2531" s="3" t="s">
        <v>8357</v>
      </c>
    </row>
    <row r="2532">
      <c r="A2532" s="3" t="s">
        <v>8358</v>
      </c>
      <c r="B2532" s="3" t="s">
        <v>2810</v>
      </c>
      <c r="C2532" s="5" t="s">
        <v>45</v>
      </c>
      <c r="D2532" s="3" t="s">
        <v>221</v>
      </c>
      <c r="E2532" s="3" t="s">
        <v>380</v>
      </c>
      <c r="F2532" s="7">
        <v>45799.453542297066</v>
      </c>
      <c r="G2532" s="3" t="s">
        <v>7866</v>
      </c>
    </row>
    <row r="2533">
      <c r="A2533" s="3" t="s">
        <v>8360</v>
      </c>
      <c r="B2533" s="3" t="s">
        <v>2810</v>
      </c>
      <c r="C2533" s="5" t="s">
        <v>221</v>
      </c>
      <c r="D2533" s="3" t="s">
        <v>614</v>
      </c>
      <c r="E2533" s="3" t="s">
        <v>118</v>
      </c>
      <c r="F2533" s="7">
        <v>45799.457014519285</v>
      </c>
      <c r="G2533" s="3" t="s">
        <v>7869</v>
      </c>
    </row>
    <row r="2534">
      <c r="A2534" s="3" t="s">
        <v>8362</v>
      </c>
      <c r="B2534" s="3" t="s">
        <v>2810</v>
      </c>
      <c r="C2534" s="5" t="s">
        <v>614</v>
      </c>
      <c r="D2534" s="3" t="s">
        <v>206</v>
      </c>
      <c r="E2534" s="3" t="s">
        <v>100</v>
      </c>
      <c r="F2534" s="7">
        <v>45799.46048674151</v>
      </c>
      <c r="G2534" s="3" t="s">
        <v>7871</v>
      </c>
    </row>
    <row r="2535">
      <c r="A2535" s="3" t="s">
        <v>8364</v>
      </c>
      <c r="B2535" s="3" t="s">
        <v>2810</v>
      </c>
      <c r="C2535" s="5" t="s">
        <v>206</v>
      </c>
      <c r="D2535" s="3" t="s">
        <v>68</v>
      </c>
      <c r="E2535" s="3" t="s">
        <v>100</v>
      </c>
      <c r="F2535" s="7">
        <v>45799.46395896373</v>
      </c>
      <c r="G2535" s="3" t="s">
        <v>7874</v>
      </c>
    </row>
    <row r="2536">
      <c r="A2536" s="3" t="s">
        <v>8366</v>
      </c>
      <c r="B2536" s="3" t="s">
        <v>2813</v>
      </c>
      <c r="C2536" s="5" t="s">
        <v>45</v>
      </c>
      <c r="D2536" s="3" t="s">
        <v>221</v>
      </c>
      <c r="E2536" s="3" t="s">
        <v>830</v>
      </c>
      <c r="F2536" s="7">
        <v>45799.52471714248</v>
      </c>
      <c r="G2536" s="3" t="s">
        <v>8368</v>
      </c>
    </row>
    <row r="2537">
      <c r="A2537" s="3" t="s">
        <v>8369</v>
      </c>
      <c r="B2537" s="3" t="s">
        <v>2813</v>
      </c>
      <c r="C2537" s="5" t="s">
        <v>221</v>
      </c>
      <c r="D2537" s="3" t="s">
        <v>614</v>
      </c>
      <c r="E2537" s="3" t="s">
        <v>118</v>
      </c>
      <c r="F2537" s="7">
        <v>45799.5281893647</v>
      </c>
      <c r="G2537" s="3" t="s">
        <v>8371</v>
      </c>
    </row>
    <row r="2538">
      <c r="A2538" s="3" t="s">
        <v>8372</v>
      </c>
      <c r="B2538" s="3" t="s">
        <v>2813</v>
      </c>
      <c r="C2538" s="5" t="s">
        <v>614</v>
      </c>
      <c r="D2538" s="3" t="s">
        <v>206</v>
      </c>
      <c r="E2538" s="3" t="s">
        <v>100</v>
      </c>
      <c r="F2538" s="7">
        <v>45799.53166158692</v>
      </c>
      <c r="G2538" s="3" t="s">
        <v>8374</v>
      </c>
    </row>
    <row r="2539">
      <c r="A2539" s="3" t="s">
        <v>8375</v>
      </c>
      <c r="B2539" s="3" t="s">
        <v>2813</v>
      </c>
      <c r="C2539" s="5" t="s">
        <v>206</v>
      </c>
      <c r="D2539" s="3" t="s">
        <v>68</v>
      </c>
      <c r="E2539" s="3" t="s">
        <v>100</v>
      </c>
      <c r="F2539" s="7">
        <v>45799.53513380914</v>
      </c>
      <c r="G2539" s="3" t="s">
        <v>8377</v>
      </c>
    </row>
    <row r="2540">
      <c r="A2540" s="3" t="s">
        <v>8378</v>
      </c>
      <c r="B2540" s="3" t="s">
        <v>2816</v>
      </c>
      <c r="C2540" s="5" t="s">
        <v>45</v>
      </c>
      <c r="D2540" s="3" t="s">
        <v>221</v>
      </c>
      <c r="E2540" s="3" t="s">
        <v>400</v>
      </c>
      <c r="F2540" s="7">
        <v>45799.5958919879</v>
      </c>
      <c r="G2540" s="3" t="s">
        <v>8379</v>
      </c>
    </row>
    <row r="2541">
      <c r="A2541" s="3" t="s">
        <v>8381</v>
      </c>
      <c r="B2541" s="3" t="s">
        <v>2816</v>
      </c>
      <c r="C2541" s="5" t="s">
        <v>221</v>
      </c>
      <c r="D2541" s="3" t="s">
        <v>614</v>
      </c>
      <c r="E2541" s="3" t="s">
        <v>118</v>
      </c>
      <c r="F2541" s="7">
        <v>45799.59936421012</v>
      </c>
      <c r="G2541" s="3" t="s">
        <v>8382</v>
      </c>
    </row>
    <row r="2542">
      <c r="A2542" s="3" t="s">
        <v>8383</v>
      </c>
      <c r="B2542" s="3" t="s">
        <v>2816</v>
      </c>
      <c r="C2542" s="5" t="s">
        <v>614</v>
      </c>
      <c r="D2542" s="3" t="s">
        <v>206</v>
      </c>
      <c r="E2542" s="3" t="s">
        <v>100</v>
      </c>
      <c r="F2542" s="7">
        <v>45799.60283643234</v>
      </c>
      <c r="G2542" s="3" t="s">
        <v>8385</v>
      </c>
    </row>
    <row r="2543">
      <c r="A2543" s="3" t="s">
        <v>8386</v>
      </c>
      <c r="B2543" s="3" t="s">
        <v>2816</v>
      </c>
      <c r="C2543" s="5" t="s">
        <v>206</v>
      </c>
      <c r="D2543" s="3" t="s">
        <v>68</v>
      </c>
      <c r="E2543" s="3" t="s">
        <v>100</v>
      </c>
      <c r="F2543" s="7">
        <v>45799.60630865456</v>
      </c>
      <c r="G2543" s="3" t="s">
        <v>8388</v>
      </c>
    </row>
    <row r="2544">
      <c r="A2544" s="3" t="s">
        <v>8389</v>
      </c>
      <c r="B2544" s="3" t="s">
        <v>2819</v>
      </c>
      <c r="C2544" s="5" t="s">
        <v>45</v>
      </c>
      <c r="D2544" s="3" t="s">
        <v>221</v>
      </c>
      <c r="E2544" s="3" t="s">
        <v>197</v>
      </c>
      <c r="F2544" s="7">
        <v>45799.66706683331</v>
      </c>
      <c r="G2544" s="3" t="s">
        <v>8391</v>
      </c>
    </row>
    <row r="2545">
      <c r="A2545" s="3" t="s">
        <v>8392</v>
      </c>
      <c r="B2545" s="3" t="s">
        <v>2819</v>
      </c>
      <c r="C2545" s="5" t="s">
        <v>221</v>
      </c>
      <c r="D2545" s="3" t="s">
        <v>614</v>
      </c>
      <c r="E2545" s="3" t="s">
        <v>118</v>
      </c>
      <c r="F2545" s="7">
        <v>45799.67053905553</v>
      </c>
      <c r="G2545" s="3" t="s">
        <v>8394</v>
      </c>
    </row>
    <row r="2546">
      <c r="A2546" s="3" t="s">
        <v>8395</v>
      </c>
      <c r="B2546" s="3" t="s">
        <v>2819</v>
      </c>
      <c r="C2546" s="5" t="s">
        <v>614</v>
      </c>
      <c r="D2546" s="3" t="s">
        <v>206</v>
      </c>
      <c r="E2546" s="3" t="s">
        <v>100</v>
      </c>
      <c r="F2546" s="7">
        <v>45799.674011277755</v>
      </c>
      <c r="G2546" s="3" t="s">
        <v>8396</v>
      </c>
    </row>
    <row r="2547">
      <c r="A2547" s="3" t="s">
        <v>8398</v>
      </c>
      <c r="B2547" s="3" t="s">
        <v>2819</v>
      </c>
      <c r="C2547" s="5" t="s">
        <v>206</v>
      </c>
      <c r="D2547" s="3" t="s">
        <v>68</v>
      </c>
      <c r="E2547" s="3" t="s">
        <v>100</v>
      </c>
      <c r="F2547" s="7">
        <v>45799.677483499974</v>
      </c>
      <c r="G2547" s="3" t="s">
        <v>8399</v>
      </c>
    </row>
    <row r="2548">
      <c r="A2548" s="3" t="s">
        <v>8401</v>
      </c>
      <c r="B2548" s="3" t="s">
        <v>2822</v>
      </c>
      <c r="C2548" s="5" t="s">
        <v>45</v>
      </c>
      <c r="D2548" s="3" t="s">
        <v>221</v>
      </c>
      <c r="E2548" s="3" t="s">
        <v>789</v>
      </c>
      <c r="F2548" s="7">
        <v>45799.73824167872</v>
      </c>
      <c r="G2548" s="3" t="s">
        <v>8402</v>
      </c>
    </row>
    <row r="2549">
      <c r="A2549" s="3" t="s">
        <v>8403</v>
      </c>
      <c r="B2549" s="3" t="s">
        <v>2822</v>
      </c>
      <c r="C2549" s="5" t="s">
        <v>221</v>
      </c>
      <c r="D2549" s="3" t="s">
        <v>614</v>
      </c>
      <c r="E2549" s="3" t="s">
        <v>118</v>
      </c>
      <c r="F2549" s="7">
        <v>45799.74171390094</v>
      </c>
      <c r="G2549" s="3" t="s">
        <v>8405</v>
      </c>
    </row>
    <row r="2550">
      <c r="A2550" s="3" t="s">
        <v>8406</v>
      </c>
      <c r="B2550" s="3" t="s">
        <v>2822</v>
      </c>
      <c r="C2550" s="5" t="s">
        <v>614</v>
      </c>
      <c r="D2550" s="3" t="s">
        <v>206</v>
      </c>
      <c r="E2550" s="3" t="s">
        <v>100</v>
      </c>
      <c r="F2550" s="7">
        <v>45799.74518612317</v>
      </c>
      <c r="G2550" s="3" t="s">
        <v>8408</v>
      </c>
    </row>
    <row r="2551">
      <c r="A2551" s="3" t="s">
        <v>8409</v>
      </c>
      <c r="B2551" s="3" t="s">
        <v>2822</v>
      </c>
      <c r="C2551" s="5" t="s">
        <v>206</v>
      </c>
      <c r="D2551" s="3" t="s">
        <v>68</v>
      </c>
      <c r="E2551" s="3" t="s">
        <v>100</v>
      </c>
      <c r="F2551" s="7">
        <v>45799.74865834539</v>
      </c>
      <c r="G2551" s="3" t="s">
        <v>8411</v>
      </c>
    </row>
    <row r="2552">
      <c r="A2552" s="3" t="s">
        <v>8412</v>
      </c>
      <c r="B2552" s="3" t="s">
        <v>2825</v>
      </c>
      <c r="C2552" s="5" t="s">
        <v>45</v>
      </c>
      <c r="D2552" s="3" t="s">
        <v>221</v>
      </c>
      <c r="E2552" s="3" t="s">
        <v>287</v>
      </c>
      <c r="F2552" s="7">
        <v>45799.80941652414</v>
      </c>
      <c r="G2552" s="3" t="s">
        <v>8414</v>
      </c>
    </row>
    <row r="2553">
      <c r="A2553" s="3" t="s">
        <v>8415</v>
      </c>
      <c r="B2553" s="3" t="s">
        <v>2825</v>
      </c>
      <c r="C2553" s="5" t="s">
        <v>221</v>
      </c>
      <c r="D2553" s="3" t="s">
        <v>614</v>
      </c>
      <c r="E2553" s="3" t="s">
        <v>118</v>
      </c>
      <c r="F2553" s="7">
        <v>45799.81288874636</v>
      </c>
      <c r="G2553" s="3" t="s">
        <v>8416</v>
      </c>
    </row>
    <row r="2554">
      <c r="A2554" s="3" t="s">
        <v>8417</v>
      </c>
      <c r="B2554" s="3" t="s">
        <v>2825</v>
      </c>
      <c r="C2554" s="5" t="s">
        <v>614</v>
      </c>
      <c r="D2554" s="3" t="s">
        <v>206</v>
      </c>
      <c r="E2554" s="3" t="s">
        <v>100</v>
      </c>
      <c r="F2554" s="7">
        <v>45799.81636096859</v>
      </c>
      <c r="G2554" s="3" t="s">
        <v>8419</v>
      </c>
    </row>
    <row r="2555">
      <c r="A2555" s="3" t="s">
        <v>8420</v>
      </c>
      <c r="B2555" s="3" t="s">
        <v>2825</v>
      </c>
      <c r="C2555" s="5" t="s">
        <v>206</v>
      </c>
      <c r="D2555" s="3" t="s">
        <v>68</v>
      </c>
      <c r="E2555" s="3" t="s">
        <v>100</v>
      </c>
      <c r="F2555" s="7">
        <v>45799.819833190806</v>
      </c>
      <c r="G2555" s="3" t="s">
        <v>8422</v>
      </c>
    </row>
    <row r="2556">
      <c r="A2556" s="3" t="s">
        <v>8423</v>
      </c>
      <c r="B2556" s="3" t="s">
        <v>2828</v>
      </c>
      <c r="C2556" s="5" t="s">
        <v>45</v>
      </c>
      <c r="D2556" s="3" t="s">
        <v>221</v>
      </c>
      <c r="E2556" s="3" t="s">
        <v>811</v>
      </c>
      <c r="F2556" s="7">
        <v>45799.880591369554</v>
      </c>
      <c r="G2556" s="3" t="s">
        <v>8424</v>
      </c>
    </row>
    <row r="2557">
      <c r="A2557" s="3" t="s">
        <v>8425</v>
      </c>
      <c r="B2557" s="3" t="s">
        <v>2828</v>
      </c>
      <c r="C2557" s="5" t="s">
        <v>221</v>
      </c>
      <c r="D2557" s="3" t="s">
        <v>614</v>
      </c>
      <c r="E2557" s="3" t="s">
        <v>118</v>
      </c>
      <c r="F2557" s="7">
        <v>45799.88406359177</v>
      </c>
      <c r="G2557" s="3" t="s">
        <v>8427</v>
      </c>
    </row>
    <row r="2558">
      <c r="A2558" s="3" t="s">
        <v>8428</v>
      </c>
      <c r="B2558" s="3" t="s">
        <v>2828</v>
      </c>
      <c r="C2558" s="5" t="s">
        <v>614</v>
      </c>
      <c r="D2558" s="3" t="s">
        <v>206</v>
      </c>
      <c r="E2558" s="3" t="s">
        <v>100</v>
      </c>
      <c r="F2558" s="7">
        <v>45799.887535814</v>
      </c>
      <c r="G2558" s="3" t="s">
        <v>8430</v>
      </c>
    </row>
    <row r="2559">
      <c r="A2559" s="3" t="s">
        <v>8431</v>
      </c>
      <c r="B2559" s="3" t="s">
        <v>2828</v>
      </c>
      <c r="C2559" s="5" t="s">
        <v>206</v>
      </c>
      <c r="D2559" s="3" t="s">
        <v>68</v>
      </c>
      <c r="E2559" s="3" t="s">
        <v>100</v>
      </c>
      <c r="F2559" s="7">
        <v>45799.89100803622</v>
      </c>
      <c r="G2559" s="3" t="s">
        <v>8433</v>
      </c>
    </row>
    <row r="2560">
      <c r="A2560" s="3" t="s">
        <v>8434</v>
      </c>
      <c r="B2560" s="3" t="s">
        <v>2833</v>
      </c>
      <c r="C2560" s="5" t="s">
        <v>45</v>
      </c>
      <c r="D2560" s="3" t="s">
        <v>221</v>
      </c>
      <c r="E2560" s="3" t="s">
        <v>691</v>
      </c>
      <c r="F2560" s="7">
        <v>45799.95176621497</v>
      </c>
      <c r="G2560" s="3" t="s">
        <v>8436</v>
      </c>
    </row>
    <row r="2561">
      <c r="A2561" s="3" t="s">
        <v>8437</v>
      </c>
      <c r="B2561" s="3" t="s">
        <v>2833</v>
      </c>
      <c r="C2561" s="5" t="s">
        <v>221</v>
      </c>
      <c r="D2561" s="3" t="s">
        <v>614</v>
      </c>
      <c r="E2561" s="3" t="s">
        <v>118</v>
      </c>
      <c r="F2561" s="7">
        <v>45799.955238437185</v>
      </c>
      <c r="G2561" s="3" t="s">
        <v>8439</v>
      </c>
    </row>
    <row r="2562">
      <c r="A2562" s="3" t="s">
        <v>8440</v>
      </c>
      <c r="B2562" s="3" t="s">
        <v>2833</v>
      </c>
      <c r="C2562" s="5" t="s">
        <v>614</v>
      </c>
      <c r="D2562" s="3" t="s">
        <v>206</v>
      </c>
      <c r="E2562" s="3" t="s">
        <v>100</v>
      </c>
      <c r="F2562" s="7">
        <v>45799.95871065941</v>
      </c>
      <c r="G2562" s="3" t="s">
        <v>8442</v>
      </c>
    </row>
    <row r="2563">
      <c r="A2563" s="3" t="s">
        <v>8443</v>
      </c>
      <c r="B2563" s="3" t="s">
        <v>2833</v>
      </c>
      <c r="C2563" s="5" t="s">
        <v>206</v>
      </c>
      <c r="D2563" s="3" t="s">
        <v>68</v>
      </c>
      <c r="E2563" s="3" t="s">
        <v>100</v>
      </c>
      <c r="F2563" s="7">
        <v>45799.96218288163</v>
      </c>
      <c r="G2563" s="3" t="s">
        <v>8444</v>
      </c>
    </row>
    <row r="2564">
      <c r="A2564" s="3" t="s">
        <v>8446</v>
      </c>
      <c r="B2564" s="3" t="s">
        <v>2836</v>
      </c>
      <c r="C2564" s="5" t="s">
        <v>45</v>
      </c>
      <c r="D2564" s="3" t="s">
        <v>221</v>
      </c>
      <c r="E2564" s="3" t="s">
        <v>344</v>
      </c>
      <c r="F2564" s="7">
        <v>45800.022941060386</v>
      </c>
      <c r="G2564" s="3" t="s">
        <v>8447</v>
      </c>
    </row>
    <row r="2565">
      <c r="A2565" s="3" t="s">
        <v>8448</v>
      </c>
      <c r="B2565" s="3" t="s">
        <v>2836</v>
      </c>
      <c r="C2565" s="5" t="s">
        <v>221</v>
      </c>
      <c r="D2565" s="3" t="s">
        <v>614</v>
      </c>
      <c r="E2565" s="3" t="s">
        <v>118</v>
      </c>
      <c r="F2565" s="7">
        <v>45800.026413282605</v>
      </c>
      <c r="G2565" s="3" t="s">
        <v>8450</v>
      </c>
    </row>
    <row r="2566">
      <c r="A2566" s="3" t="s">
        <v>8451</v>
      </c>
      <c r="B2566" s="3" t="s">
        <v>2836</v>
      </c>
      <c r="C2566" s="5" t="s">
        <v>614</v>
      </c>
      <c r="D2566" s="3" t="s">
        <v>206</v>
      </c>
      <c r="E2566" s="3" t="s">
        <v>100</v>
      </c>
      <c r="F2566" s="7">
        <v>45800.02988550483</v>
      </c>
      <c r="G2566" s="3" t="s">
        <v>8453</v>
      </c>
    </row>
    <row r="2567">
      <c r="A2567" s="3" t="s">
        <v>8454</v>
      </c>
      <c r="B2567" s="3" t="s">
        <v>2836</v>
      </c>
      <c r="C2567" s="5" t="s">
        <v>206</v>
      </c>
      <c r="D2567" s="3" t="s">
        <v>68</v>
      </c>
      <c r="E2567" s="3" t="s">
        <v>100</v>
      </c>
      <c r="F2567" s="7">
        <v>45800.03335772705</v>
      </c>
      <c r="G2567" s="3" t="s">
        <v>8456</v>
      </c>
    </row>
    <row r="2568">
      <c r="A2568" s="3" t="s">
        <v>8457</v>
      </c>
      <c r="B2568" s="3" t="s">
        <v>2839</v>
      </c>
      <c r="C2568" s="5" t="s">
        <v>45</v>
      </c>
      <c r="D2568" s="3" t="s">
        <v>221</v>
      </c>
      <c r="E2568" s="3" t="s">
        <v>691</v>
      </c>
      <c r="F2568" s="7">
        <v>45800.0941159058</v>
      </c>
      <c r="G2568" s="3" t="s">
        <v>8459</v>
      </c>
    </row>
    <row r="2569">
      <c r="A2569" s="3" t="s">
        <v>8460</v>
      </c>
      <c r="B2569" s="3" t="s">
        <v>2839</v>
      </c>
      <c r="C2569" s="5" t="s">
        <v>221</v>
      </c>
      <c r="D2569" s="3" t="s">
        <v>614</v>
      </c>
      <c r="E2569" s="3" t="s">
        <v>118</v>
      </c>
      <c r="F2569" s="7">
        <v>45800.09758812802</v>
      </c>
      <c r="G2569" s="3" t="s">
        <v>8462</v>
      </c>
    </row>
    <row r="2570">
      <c r="A2570" s="3" t="s">
        <v>8463</v>
      </c>
      <c r="B2570" s="3" t="s">
        <v>2839</v>
      </c>
      <c r="C2570" s="5" t="s">
        <v>614</v>
      </c>
      <c r="D2570" s="3" t="s">
        <v>206</v>
      </c>
      <c r="E2570" s="3" t="s">
        <v>100</v>
      </c>
      <c r="F2570" s="7">
        <v>45800.101060350244</v>
      </c>
      <c r="G2570" s="3" t="s">
        <v>8465</v>
      </c>
    </row>
    <row r="2571">
      <c r="A2571" s="3" t="s">
        <v>8466</v>
      </c>
      <c r="B2571" s="3" t="s">
        <v>2839</v>
      </c>
      <c r="C2571" s="5" t="s">
        <v>206</v>
      </c>
      <c r="D2571" s="3" t="s">
        <v>68</v>
      </c>
      <c r="E2571" s="3" t="s">
        <v>100</v>
      </c>
      <c r="F2571" s="7">
        <v>45800.10453257246</v>
      </c>
      <c r="G2571" s="3" t="s">
        <v>8468</v>
      </c>
    </row>
    <row r="2572">
      <c r="A2572" s="3" t="s">
        <v>8469</v>
      </c>
      <c r="B2572" s="3" t="s">
        <v>2842</v>
      </c>
      <c r="C2572" s="5" t="s">
        <v>45</v>
      </c>
      <c r="D2572" s="3" t="s">
        <v>221</v>
      </c>
      <c r="E2572" s="3" t="s">
        <v>193</v>
      </c>
      <c r="F2572" s="7">
        <v>45800.16529075121</v>
      </c>
      <c r="G2572" s="3" t="s">
        <v>4823</v>
      </c>
    </row>
    <row r="2573">
      <c r="A2573" s="3" t="s">
        <v>8471</v>
      </c>
      <c r="B2573" s="3" t="s">
        <v>2842</v>
      </c>
      <c r="C2573" s="5" t="s">
        <v>221</v>
      </c>
      <c r="D2573" s="3" t="s">
        <v>614</v>
      </c>
      <c r="E2573" s="3" t="s">
        <v>118</v>
      </c>
      <c r="F2573" s="7">
        <v>45800.16876297343</v>
      </c>
      <c r="G2573" s="3" t="s">
        <v>4826</v>
      </c>
    </row>
    <row r="2574">
      <c r="A2574" s="3" t="s">
        <v>8473</v>
      </c>
      <c r="B2574" s="3" t="s">
        <v>2842</v>
      </c>
      <c r="C2574" s="5" t="s">
        <v>614</v>
      </c>
      <c r="D2574" s="3" t="s">
        <v>206</v>
      </c>
      <c r="E2574" s="3" t="s">
        <v>100</v>
      </c>
      <c r="F2574" s="7">
        <v>45800.172235195656</v>
      </c>
      <c r="G2574" s="3" t="s">
        <v>4829</v>
      </c>
    </row>
    <row r="2575">
      <c r="A2575" s="3" t="s">
        <v>8475</v>
      </c>
      <c r="B2575" s="3" t="s">
        <v>2842</v>
      </c>
      <c r="C2575" s="5" t="s">
        <v>206</v>
      </c>
      <c r="D2575" s="3" t="s">
        <v>68</v>
      </c>
      <c r="E2575" s="3" t="s">
        <v>100</v>
      </c>
      <c r="F2575" s="7">
        <v>45800.175707417875</v>
      </c>
      <c r="G2575" s="3" t="s">
        <v>4832</v>
      </c>
    </row>
    <row r="2576">
      <c r="A2576" s="3" t="s">
        <v>8477</v>
      </c>
      <c r="B2576" s="3" t="s">
        <v>2845</v>
      </c>
      <c r="C2576" s="5" t="s">
        <v>45</v>
      </c>
      <c r="D2576" s="3" t="s">
        <v>221</v>
      </c>
      <c r="E2576" s="3" t="s">
        <v>491</v>
      </c>
      <c r="F2576" s="7">
        <v>45800.23646559663</v>
      </c>
      <c r="G2576" s="3" t="s">
        <v>8478</v>
      </c>
    </row>
    <row r="2577">
      <c r="A2577" s="3" t="s">
        <v>8479</v>
      </c>
      <c r="B2577" s="3" t="s">
        <v>2845</v>
      </c>
      <c r="C2577" s="5" t="s">
        <v>221</v>
      </c>
      <c r="D2577" s="3" t="s">
        <v>614</v>
      </c>
      <c r="E2577" s="3" t="s">
        <v>118</v>
      </c>
      <c r="F2577" s="7">
        <v>45800.23993781885</v>
      </c>
      <c r="G2577" s="3" t="s">
        <v>8481</v>
      </c>
    </row>
    <row r="2578">
      <c r="A2578" s="3" t="s">
        <v>8482</v>
      </c>
      <c r="B2578" s="3" t="s">
        <v>2845</v>
      </c>
      <c r="C2578" s="5" t="s">
        <v>614</v>
      </c>
      <c r="D2578" s="3" t="s">
        <v>206</v>
      </c>
      <c r="E2578" s="3" t="s">
        <v>100</v>
      </c>
      <c r="F2578" s="7">
        <v>45800.243410041076</v>
      </c>
      <c r="G2578" s="3" t="s">
        <v>8484</v>
      </c>
    </row>
    <row r="2579">
      <c r="A2579" s="3" t="s">
        <v>8485</v>
      </c>
      <c r="B2579" s="3" t="s">
        <v>2845</v>
      </c>
      <c r="C2579" s="5" t="s">
        <v>206</v>
      </c>
      <c r="D2579" s="3" t="s">
        <v>68</v>
      </c>
      <c r="E2579" s="3" t="s">
        <v>100</v>
      </c>
      <c r="F2579" s="7">
        <v>45800.246882263295</v>
      </c>
      <c r="G2579" s="3" t="s">
        <v>8487</v>
      </c>
    </row>
    <row r="2580">
      <c r="A2580" s="3" t="s">
        <v>8488</v>
      </c>
      <c r="B2580" s="3" t="s">
        <v>2848</v>
      </c>
      <c r="C2580" s="5" t="s">
        <v>45</v>
      </c>
      <c r="D2580" s="3" t="s">
        <v>221</v>
      </c>
      <c r="E2580" s="3" t="s">
        <v>135</v>
      </c>
      <c r="F2580" s="7">
        <v>45800.30764044205</v>
      </c>
      <c r="G2580" s="3" t="s">
        <v>8489</v>
      </c>
    </row>
    <row r="2581">
      <c r="A2581" s="3" t="s">
        <v>8491</v>
      </c>
      <c r="B2581" s="3" t="s">
        <v>2848</v>
      </c>
      <c r="C2581" s="5" t="s">
        <v>221</v>
      </c>
      <c r="D2581" s="3" t="s">
        <v>614</v>
      </c>
      <c r="E2581" s="3" t="s">
        <v>118</v>
      </c>
      <c r="F2581" s="7">
        <v>45800.31111266427</v>
      </c>
      <c r="G2581" s="3" t="s">
        <v>8492</v>
      </c>
    </row>
    <row r="2582">
      <c r="A2582" s="3" t="s">
        <v>8494</v>
      </c>
      <c r="B2582" s="3" t="s">
        <v>2848</v>
      </c>
      <c r="C2582" s="5" t="s">
        <v>614</v>
      </c>
      <c r="D2582" s="3" t="s">
        <v>206</v>
      </c>
      <c r="E2582" s="3" t="s">
        <v>100</v>
      </c>
      <c r="F2582" s="7">
        <v>45800.314584886495</v>
      </c>
      <c r="G2582" s="3" t="s">
        <v>8495</v>
      </c>
    </row>
    <row r="2583">
      <c r="A2583" s="3" t="s">
        <v>8496</v>
      </c>
      <c r="B2583" s="3" t="s">
        <v>2848</v>
      </c>
      <c r="C2583" s="5" t="s">
        <v>206</v>
      </c>
      <c r="D2583" s="3" t="s">
        <v>68</v>
      </c>
      <c r="E2583" s="3" t="s">
        <v>100</v>
      </c>
      <c r="F2583" s="7">
        <v>45800.318057108714</v>
      </c>
      <c r="G2583" s="3" t="s">
        <v>8498</v>
      </c>
    </row>
    <row r="2584">
      <c r="A2584" s="3" t="s">
        <v>8499</v>
      </c>
      <c r="B2584" s="3" t="s">
        <v>2851</v>
      </c>
      <c r="C2584" s="5" t="s">
        <v>45</v>
      </c>
      <c r="D2584" s="3" t="s">
        <v>221</v>
      </c>
      <c r="E2584" s="3" t="s">
        <v>183</v>
      </c>
      <c r="F2584" s="7">
        <v>45800.378815287455</v>
      </c>
      <c r="G2584" s="3" t="s">
        <v>8501</v>
      </c>
    </row>
    <row r="2585">
      <c r="A2585" s="3" t="s">
        <v>8502</v>
      </c>
      <c r="B2585" s="3" t="s">
        <v>2851</v>
      </c>
      <c r="C2585" s="5" t="s">
        <v>221</v>
      </c>
      <c r="D2585" s="3" t="s">
        <v>614</v>
      </c>
      <c r="E2585" s="3" t="s">
        <v>118</v>
      </c>
      <c r="F2585" s="7">
        <v>45800.382287509674</v>
      </c>
      <c r="G2585" s="3" t="s">
        <v>8503</v>
      </c>
    </row>
    <row r="2586">
      <c r="A2586" s="3" t="s">
        <v>8504</v>
      </c>
      <c r="B2586" s="3" t="s">
        <v>2851</v>
      </c>
      <c r="C2586" s="5" t="s">
        <v>614</v>
      </c>
      <c r="D2586" s="3" t="s">
        <v>206</v>
      </c>
      <c r="E2586" s="3" t="s">
        <v>100</v>
      </c>
      <c r="F2586" s="7">
        <v>45800.3857597319</v>
      </c>
      <c r="G2586" s="3" t="s">
        <v>8506</v>
      </c>
    </row>
    <row r="2587">
      <c r="A2587" s="3" t="s">
        <v>8507</v>
      </c>
      <c r="B2587" s="3" t="s">
        <v>2851</v>
      </c>
      <c r="C2587" s="5" t="s">
        <v>206</v>
      </c>
      <c r="D2587" s="3" t="s">
        <v>68</v>
      </c>
      <c r="E2587" s="3" t="s">
        <v>100</v>
      </c>
      <c r="F2587" s="7">
        <v>45800.38923195412</v>
      </c>
      <c r="G2587" s="3" t="s">
        <v>8509</v>
      </c>
    </row>
    <row r="2588">
      <c r="A2588" s="3" t="s">
        <v>8510</v>
      </c>
      <c r="B2588" s="3" t="s">
        <v>2855</v>
      </c>
      <c r="C2588" s="5" t="s">
        <v>45</v>
      </c>
      <c r="D2588" s="3" t="s">
        <v>221</v>
      </c>
      <c r="E2588" s="3" t="s">
        <v>269</v>
      </c>
      <c r="F2588" s="7">
        <v>45800.449990132875</v>
      </c>
      <c r="G2588" s="3" t="s">
        <v>8512</v>
      </c>
    </row>
    <row r="2589">
      <c r="A2589" s="3" t="s">
        <v>8513</v>
      </c>
      <c r="B2589" s="3" t="s">
        <v>2855</v>
      </c>
      <c r="C2589" s="5" t="s">
        <v>221</v>
      </c>
      <c r="D2589" s="3" t="s">
        <v>614</v>
      </c>
      <c r="E2589" s="3" t="s">
        <v>118</v>
      </c>
      <c r="F2589" s="7">
        <v>45800.45346235509</v>
      </c>
      <c r="G2589" s="3" t="s">
        <v>8515</v>
      </c>
    </row>
    <row r="2590">
      <c r="A2590" s="3" t="s">
        <v>8516</v>
      </c>
      <c r="B2590" s="3" t="s">
        <v>2855</v>
      </c>
      <c r="C2590" s="5" t="s">
        <v>614</v>
      </c>
      <c r="D2590" s="3" t="s">
        <v>206</v>
      </c>
      <c r="E2590" s="3" t="s">
        <v>100</v>
      </c>
      <c r="F2590" s="7">
        <v>45800.45693457732</v>
      </c>
      <c r="G2590" s="3" t="s">
        <v>8517</v>
      </c>
    </row>
    <row r="2591">
      <c r="A2591" s="3" t="s">
        <v>8519</v>
      </c>
      <c r="B2591" s="3" t="s">
        <v>2855</v>
      </c>
      <c r="C2591" s="5" t="s">
        <v>206</v>
      </c>
      <c r="D2591" s="3" t="s">
        <v>68</v>
      </c>
      <c r="E2591" s="3" t="s">
        <v>100</v>
      </c>
      <c r="F2591" s="7">
        <v>45800.46040679954</v>
      </c>
      <c r="G2591" s="3" t="s">
        <v>8520</v>
      </c>
    </row>
    <row r="2592">
      <c r="A2592" s="3" t="s">
        <v>8521</v>
      </c>
      <c r="B2592" s="3" t="s">
        <v>2858</v>
      </c>
      <c r="C2592" s="5" t="s">
        <v>45</v>
      </c>
      <c r="D2592" s="3" t="s">
        <v>221</v>
      </c>
      <c r="E2592" s="3" t="s">
        <v>302</v>
      </c>
      <c r="F2592" s="7">
        <v>45800.521164978294</v>
      </c>
      <c r="G2592" s="3" t="s">
        <v>8523</v>
      </c>
    </row>
    <row r="2593">
      <c r="A2593" s="3" t="s">
        <v>8524</v>
      </c>
      <c r="B2593" s="3" t="s">
        <v>2858</v>
      </c>
      <c r="C2593" s="5" t="s">
        <v>221</v>
      </c>
      <c r="D2593" s="3" t="s">
        <v>614</v>
      </c>
      <c r="E2593" s="3" t="s">
        <v>118</v>
      </c>
      <c r="F2593" s="7">
        <v>45800.52463720051</v>
      </c>
      <c r="G2593" s="3" t="s">
        <v>8526</v>
      </c>
    </row>
    <row r="2594">
      <c r="A2594" s="3" t="s">
        <v>8527</v>
      </c>
      <c r="B2594" s="3" t="s">
        <v>2858</v>
      </c>
      <c r="C2594" s="5" t="s">
        <v>614</v>
      </c>
      <c r="D2594" s="3" t="s">
        <v>206</v>
      </c>
      <c r="E2594" s="3" t="s">
        <v>100</v>
      </c>
      <c r="F2594" s="7">
        <v>45800.52810942274</v>
      </c>
      <c r="G2594" s="3" t="s">
        <v>8529</v>
      </c>
    </row>
    <row r="2595">
      <c r="A2595" s="3" t="s">
        <v>8530</v>
      </c>
      <c r="B2595" s="3" t="s">
        <v>2858</v>
      </c>
      <c r="C2595" s="5" t="s">
        <v>206</v>
      </c>
      <c r="D2595" s="3" t="s">
        <v>68</v>
      </c>
      <c r="E2595" s="3" t="s">
        <v>100</v>
      </c>
      <c r="F2595" s="7">
        <v>45800.53158164496</v>
      </c>
      <c r="G2595" s="3" t="s">
        <v>8532</v>
      </c>
    </row>
    <row r="2596">
      <c r="A2596" s="3" t="s">
        <v>8533</v>
      </c>
      <c r="B2596" s="3" t="s">
        <v>2862</v>
      </c>
      <c r="C2596" s="5" t="s">
        <v>45</v>
      </c>
      <c r="D2596" s="3" t="s">
        <v>221</v>
      </c>
      <c r="E2596" s="3" t="s">
        <v>1011</v>
      </c>
      <c r="F2596" s="7">
        <v>45800.59233982371</v>
      </c>
      <c r="G2596" s="3" t="s">
        <v>8535</v>
      </c>
    </row>
    <row r="2597">
      <c r="A2597" s="3" t="s">
        <v>8536</v>
      </c>
      <c r="B2597" s="3" t="s">
        <v>2862</v>
      </c>
      <c r="C2597" s="5" t="s">
        <v>221</v>
      </c>
      <c r="D2597" s="3" t="s">
        <v>614</v>
      </c>
      <c r="E2597" s="3" t="s">
        <v>118</v>
      </c>
      <c r="F2597" s="7">
        <v>45800.595812045925</v>
      </c>
      <c r="G2597" s="3" t="s">
        <v>8537</v>
      </c>
    </row>
    <row r="2598">
      <c r="A2598" s="3" t="s">
        <v>8538</v>
      </c>
      <c r="B2598" s="3" t="s">
        <v>2862</v>
      </c>
      <c r="C2598" s="5" t="s">
        <v>614</v>
      </c>
      <c r="D2598" s="3" t="s">
        <v>206</v>
      </c>
      <c r="E2598" s="3" t="s">
        <v>100</v>
      </c>
      <c r="F2598" s="7">
        <v>45800.59928426815</v>
      </c>
      <c r="G2598" s="3" t="s">
        <v>8540</v>
      </c>
    </row>
    <row r="2599">
      <c r="A2599" s="3" t="s">
        <v>8541</v>
      </c>
      <c r="B2599" s="3" t="s">
        <v>2862</v>
      </c>
      <c r="C2599" s="5" t="s">
        <v>206</v>
      </c>
      <c r="D2599" s="3" t="s">
        <v>68</v>
      </c>
      <c r="E2599" s="3" t="s">
        <v>100</v>
      </c>
      <c r="F2599" s="7">
        <v>45800.60275649037</v>
      </c>
      <c r="G2599" s="3" t="s">
        <v>8543</v>
      </c>
    </row>
    <row r="2600">
      <c r="A2600" s="3" t="s">
        <v>8544</v>
      </c>
      <c r="B2600" s="3" t="s">
        <v>2865</v>
      </c>
      <c r="C2600" s="5" t="s">
        <v>45</v>
      </c>
      <c r="D2600" s="3" t="s">
        <v>221</v>
      </c>
      <c r="E2600" s="3" t="s">
        <v>845</v>
      </c>
      <c r="F2600" s="7">
        <v>45800.66351466912</v>
      </c>
      <c r="G2600" s="3" t="s">
        <v>8546</v>
      </c>
    </row>
    <row r="2601">
      <c r="A2601" s="3" t="s">
        <v>8547</v>
      </c>
      <c r="B2601" s="3" t="s">
        <v>2865</v>
      </c>
      <c r="C2601" s="5" t="s">
        <v>221</v>
      </c>
      <c r="D2601" s="3" t="s">
        <v>614</v>
      </c>
      <c r="E2601" s="3" t="s">
        <v>118</v>
      </c>
      <c r="F2601" s="7">
        <v>45800.66698689134</v>
      </c>
      <c r="G2601" s="3" t="s">
        <v>8549</v>
      </c>
    </row>
    <row r="2602">
      <c r="A2602" s="3" t="s">
        <v>8550</v>
      </c>
      <c r="B2602" s="3" t="s">
        <v>2865</v>
      </c>
      <c r="C2602" s="5" t="s">
        <v>614</v>
      </c>
      <c r="D2602" s="3" t="s">
        <v>206</v>
      </c>
      <c r="E2602" s="3" t="s">
        <v>100</v>
      </c>
      <c r="F2602" s="7">
        <v>45800.670459113564</v>
      </c>
      <c r="G2602" s="3" t="s">
        <v>8551</v>
      </c>
    </row>
    <row r="2603">
      <c r="A2603" s="3" t="s">
        <v>8553</v>
      </c>
      <c r="B2603" s="3" t="s">
        <v>2865</v>
      </c>
      <c r="C2603" s="5" t="s">
        <v>206</v>
      </c>
      <c r="D2603" s="3" t="s">
        <v>68</v>
      </c>
      <c r="E2603" s="3" t="s">
        <v>100</v>
      </c>
      <c r="F2603" s="7">
        <v>45800.67393133578</v>
      </c>
      <c r="G2603" s="3" t="s">
        <v>8554</v>
      </c>
    </row>
    <row r="2604">
      <c r="A2604" s="3" t="s">
        <v>8555</v>
      </c>
      <c r="B2604" s="3" t="s">
        <v>2868</v>
      </c>
      <c r="C2604" s="5" t="s">
        <v>45</v>
      </c>
      <c r="D2604" s="3" t="s">
        <v>221</v>
      </c>
      <c r="E2604" s="3" t="s">
        <v>615</v>
      </c>
      <c r="F2604" s="7">
        <v>45800.73468951454</v>
      </c>
      <c r="G2604" s="3" t="s">
        <v>8557</v>
      </c>
    </row>
    <row r="2605">
      <c r="A2605" s="3" t="s">
        <v>8558</v>
      </c>
      <c r="B2605" s="3" t="s">
        <v>2868</v>
      </c>
      <c r="C2605" s="5" t="s">
        <v>221</v>
      </c>
      <c r="D2605" s="3" t="s">
        <v>614</v>
      </c>
      <c r="E2605" s="3" t="s">
        <v>118</v>
      </c>
      <c r="F2605" s="7">
        <v>45800.73816173676</v>
      </c>
      <c r="G2605" s="3" t="s">
        <v>8560</v>
      </c>
    </row>
    <row r="2606">
      <c r="A2606" s="3" t="s">
        <v>8561</v>
      </c>
      <c r="B2606" s="3" t="s">
        <v>2868</v>
      </c>
      <c r="C2606" s="5" t="s">
        <v>614</v>
      </c>
      <c r="D2606" s="3" t="s">
        <v>206</v>
      </c>
      <c r="E2606" s="3" t="s">
        <v>100</v>
      </c>
      <c r="F2606" s="7">
        <v>45800.74163395898</v>
      </c>
      <c r="G2606" s="3" t="s">
        <v>8563</v>
      </c>
    </row>
    <row r="2607">
      <c r="A2607" s="3" t="s">
        <v>8564</v>
      </c>
      <c r="B2607" s="3" t="s">
        <v>2868</v>
      </c>
      <c r="C2607" s="5" t="s">
        <v>206</v>
      </c>
      <c r="D2607" s="3" t="s">
        <v>68</v>
      </c>
      <c r="E2607" s="3" t="s">
        <v>100</v>
      </c>
      <c r="F2607" s="7">
        <v>45800.7451061812</v>
      </c>
      <c r="G2607" s="3" t="s">
        <v>8566</v>
      </c>
    </row>
    <row r="2608">
      <c r="A2608" s="3" t="s">
        <v>8567</v>
      </c>
      <c r="B2608" s="3" t="s">
        <v>2871</v>
      </c>
      <c r="C2608" s="5" t="s">
        <v>45</v>
      </c>
      <c r="D2608" s="3" t="s">
        <v>221</v>
      </c>
      <c r="E2608" s="3" t="s">
        <v>922</v>
      </c>
      <c r="F2608" s="7">
        <v>45800.80586435995</v>
      </c>
      <c r="G2608" s="3" t="s">
        <v>8568</v>
      </c>
    </row>
    <row r="2609">
      <c r="A2609" s="3" t="s">
        <v>8570</v>
      </c>
      <c r="B2609" s="3" t="s">
        <v>2871</v>
      </c>
      <c r="C2609" s="5" t="s">
        <v>221</v>
      </c>
      <c r="D2609" s="3" t="s">
        <v>614</v>
      </c>
      <c r="E2609" s="3" t="s">
        <v>118</v>
      </c>
      <c r="F2609" s="7">
        <v>45800.80933658217</v>
      </c>
      <c r="G2609" s="3" t="s">
        <v>8571</v>
      </c>
    </row>
    <row r="2610">
      <c r="A2610" s="3" t="s">
        <v>8573</v>
      </c>
      <c r="B2610" s="3" t="s">
        <v>2871</v>
      </c>
      <c r="C2610" s="5" t="s">
        <v>614</v>
      </c>
      <c r="D2610" s="3" t="s">
        <v>206</v>
      </c>
      <c r="E2610" s="3" t="s">
        <v>100</v>
      </c>
      <c r="F2610" s="7">
        <v>45800.812808804396</v>
      </c>
      <c r="G2610" s="3" t="s">
        <v>8574</v>
      </c>
    </row>
    <row r="2611">
      <c r="A2611" s="3" t="s">
        <v>8575</v>
      </c>
      <c r="B2611" s="3" t="s">
        <v>2871</v>
      </c>
      <c r="C2611" s="5" t="s">
        <v>206</v>
      </c>
      <c r="D2611" s="3" t="s">
        <v>68</v>
      </c>
      <c r="E2611" s="3" t="s">
        <v>100</v>
      </c>
      <c r="F2611" s="7">
        <v>45800.816281026615</v>
      </c>
      <c r="G2611" s="3" t="s">
        <v>8577</v>
      </c>
    </row>
    <row r="2612">
      <c r="A2612" s="3" t="s">
        <v>8578</v>
      </c>
      <c r="B2612" s="3" t="s">
        <v>2874</v>
      </c>
      <c r="C2612" s="5" t="s">
        <v>45</v>
      </c>
      <c r="D2612" s="3" t="s">
        <v>221</v>
      </c>
      <c r="E2612" s="3" t="s">
        <v>363</v>
      </c>
      <c r="F2612" s="7">
        <v>45800.87703920536</v>
      </c>
      <c r="G2612" s="3" t="s">
        <v>8580</v>
      </c>
    </row>
    <row r="2613">
      <c r="A2613" s="3" t="s">
        <v>8581</v>
      </c>
      <c r="B2613" s="3" t="s">
        <v>2874</v>
      </c>
      <c r="C2613" s="5" t="s">
        <v>221</v>
      </c>
      <c r="D2613" s="3" t="s">
        <v>614</v>
      </c>
      <c r="E2613" s="3" t="s">
        <v>118</v>
      </c>
      <c r="F2613" s="7">
        <v>45800.88051142758</v>
      </c>
      <c r="G2613" s="3" t="s">
        <v>8583</v>
      </c>
    </row>
    <row r="2614">
      <c r="A2614" s="3" t="s">
        <v>8584</v>
      </c>
      <c r="B2614" s="3" t="s">
        <v>2874</v>
      </c>
      <c r="C2614" s="5" t="s">
        <v>614</v>
      </c>
      <c r="D2614" s="3" t="s">
        <v>206</v>
      </c>
      <c r="E2614" s="3" t="s">
        <v>100</v>
      </c>
      <c r="F2614" s="7">
        <v>45800.88398364981</v>
      </c>
      <c r="G2614" s="3" t="s">
        <v>8586</v>
      </c>
    </row>
    <row r="2615">
      <c r="A2615" s="3" t="s">
        <v>8587</v>
      </c>
      <c r="B2615" s="3" t="s">
        <v>2874</v>
      </c>
      <c r="C2615" s="5" t="s">
        <v>206</v>
      </c>
      <c r="D2615" s="3" t="s">
        <v>68</v>
      </c>
      <c r="E2615" s="3" t="s">
        <v>100</v>
      </c>
      <c r="F2615" s="7">
        <v>45800.88745587203</v>
      </c>
      <c r="G2615" s="3" t="s">
        <v>8589</v>
      </c>
    </row>
    <row r="2616">
      <c r="A2616" s="3" t="s">
        <v>8590</v>
      </c>
      <c r="B2616" s="3" t="s">
        <v>2877</v>
      </c>
      <c r="C2616" s="5" t="s">
        <v>45</v>
      </c>
      <c r="D2616" s="3" t="s">
        <v>221</v>
      </c>
      <c r="E2616" s="3" t="s">
        <v>845</v>
      </c>
      <c r="F2616" s="7">
        <v>45800.94821405078</v>
      </c>
      <c r="G2616" s="3" t="s">
        <v>8546</v>
      </c>
    </row>
    <row r="2617">
      <c r="A2617" s="3" t="s">
        <v>8592</v>
      </c>
      <c r="B2617" s="3" t="s">
        <v>2877</v>
      </c>
      <c r="C2617" s="5" t="s">
        <v>221</v>
      </c>
      <c r="D2617" s="3" t="s">
        <v>614</v>
      </c>
      <c r="E2617" s="3" t="s">
        <v>118</v>
      </c>
      <c r="F2617" s="7">
        <v>45800.951686273</v>
      </c>
      <c r="G2617" s="3" t="s">
        <v>8549</v>
      </c>
    </row>
    <row r="2618">
      <c r="A2618" s="3" t="s">
        <v>8594</v>
      </c>
      <c r="B2618" s="3" t="s">
        <v>2877</v>
      </c>
      <c r="C2618" s="5" t="s">
        <v>614</v>
      </c>
      <c r="D2618" s="3" t="s">
        <v>206</v>
      </c>
      <c r="E2618" s="3" t="s">
        <v>100</v>
      </c>
      <c r="F2618" s="7">
        <v>45800.95515849523</v>
      </c>
      <c r="G2618" s="3" t="s">
        <v>8551</v>
      </c>
    </row>
    <row r="2619">
      <c r="A2619" s="3" t="s">
        <v>8595</v>
      </c>
      <c r="B2619" s="3" t="s">
        <v>2877</v>
      </c>
      <c r="C2619" s="5" t="s">
        <v>206</v>
      </c>
      <c r="D2619" s="3" t="s">
        <v>68</v>
      </c>
      <c r="E2619" s="3" t="s">
        <v>100</v>
      </c>
      <c r="F2619" s="7">
        <v>45800.95863071745</v>
      </c>
      <c r="G2619" s="3" t="s">
        <v>8554</v>
      </c>
    </row>
    <row r="2620">
      <c r="A2620" s="3" t="s">
        <v>8597</v>
      </c>
      <c r="B2620" s="3" t="s">
        <v>2880</v>
      </c>
      <c r="C2620" s="5" t="s">
        <v>45</v>
      </c>
      <c r="D2620" s="3" t="s">
        <v>221</v>
      </c>
      <c r="E2620" s="3" t="s">
        <v>601</v>
      </c>
      <c r="F2620" s="7">
        <v>45801.019388896195</v>
      </c>
      <c r="G2620" s="3" t="s">
        <v>8599</v>
      </c>
    </row>
    <row r="2621">
      <c r="A2621" s="3" t="s">
        <v>8600</v>
      </c>
      <c r="B2621" s="3" t="s">
        <v>2880</v>
      </c>
      <c r="C2621" s="5" t="s">
        <v>221</v>
      </c>
      <c r="D2621" s="3" t="s">
        <v>614</v>
      </c>
      <c r="E2621" s="3" t="s">
        <v>118</v>
      </c>
      <c r="F2621" s="7">
        <v>45801.022861118414</v>
      </c>
      <c r="G2621" s="3" t="s">
        <v>8602</v>
      </c>
    </row>
    <row r="2622">
      <c r="A2622" s="3" t="s">
        <v>8603</v>
      </c>
      <c r="B2622" s="3" t="s">
        <v>2880</v>
      </c>
      <c r="C2622" s="5" t="s">
        <v>614</v>
      </c>
      <c r="D2622" s="3" t="s">
        <v>206</v>
      </c>
      <c r="E2622" s="3" t="s">
        <v>100</v>
      </c>
      <c r="F2622" s="7">
        <v>45801.02633334064</v>
      </c>
      <c r="G2622" s="3" t="s">
        <v>8605</v>
      </c>
    </row>
    <row r="2623">
      <c r="A2623" s="3" t="s">
        <v>8606</v>
      </c>
      <c r="B2623" s="3" t="s">
        <v>2880</v>
      </c>
      <c r="C2623" s="5" t="s">
        <v>206</v>
      </c>
      <c r="D2623" s="3" t="s">
        <v>68</v>
      </c>
      <c r="E2623" s="3" t="s">
        <v>100</v>
      </c>
      <c r="F2623" s="7">
        <v>45801.02980556286</v>
      </c>
      <c r="G2623" s="3" t="s">
        <v>8607</v>
      </c>
    </row>
    <row r="2624">
      <c r="A2624" s="3" t="s">
        <v>8609</v>
      </c>
      <c r="B2624" s="3" t="s">
        <v>2883</v>
      </c>
      <c r="C2624" s="5" t="s">
        <v>45</v>
      </c>
      <c r="D2624" s="3" t="s">
        <v>221</v>
      </c>
      <c r="E2624" s="3" t="s">
        <v>864</v>
      </c>
      <c r="F2624" s="7">
        <v>45801.09056374161</v>
      </c>
      <c r="G2624" s="3" t="s">
        <v>8610</v>
      </c>
    </row>
    <row r="2625">
      <c r="A2625" s="3" t="s">
        <v>8611</v>
      </c>
      <c r="B2625" s="3" t="s">
        <v>2883</v>
      </c>
      <c r="C2625" s="5" t="s">
        <v>221</v>
      </c>
      <c r="D2625" s="3" t="s">
        <v>181</v>
      </c>
      <c r="E2625" s="3" t="s">
        <v>118</v>
      </c>
      <c r="F2625" s="7">
        <v>45801.094035963826</v>
      </c>
      <c r="G2625" s="3" t="s">
        <v>8613</v>
      </c>
    </row>
    <row r="2626">
      <c r="A2626" s="3" t="s">
        <v>8614</v>
      </c>
      <c r="B2626" s="3" t="s">
        <v>2886</v>
      </c>
      <c r="C2626" s="5" t="s">
        <v>45</v>
      </c>
      <c r="D2626" s="3" t="s">
        <v>221</v>
      </c>
      <c r="E2626" s="3" t="s">
        <v>965</v>
      </c>
      <c r="F2626" s="7">
        <v>45801.16173858703</v>
      </c>
      <c r="G2626" s="3" t="s">
        <v>8616</v>
      </c>
    </row>
    <row r="2627">
      <c r="A2627" s="3" t="s">
        <v>8617</v>
      </c>
      <c r="B2627" s="3" t="s">
        <v>2886</v>
      </c>
      <c r="C2627" s="5" t="s">
        <v>221</v>
      </c>
      <c r="D2627" s="3" t="s">
        <v>614</v>
      </c>
      <c r="E2627" s="3" t="s">
        <v>118</v>
      </c>
      <c r="F2627" s="7">
        <v>45801.165210809246</v>
      </c>
      <c r="G2627" s="3" t="s">
        <v>8619</v>
      </c>
    </row>
    <row r="2628">
      <c r="A2628" s="3" t="s">
        <v>8620</v>
      </c>
      <c r="B2628" s="3" t="s">
        <v>2886</v>
      </c>
      <c r="C2628" s="5" t="s">
        <v>614</v>
      </c>
      <c r="D2628" s="3" t="s">
        <v>206</v>
      </c>
      <c r="E2628" s="3" t="s">
        <v>100</v>
      </c>
      <c r="F2628" s="7">
        <v>45801.16868303147</v>
      </c>
      <c r="G2628" s="3" t="s">
        <v>8622</v>
      </c>
    </row>
    <row r="2629">
      <c r="A2629" s="3" t="s">
        <v>8623</v>
      </c>
      <c r="B2629" s="3" t="s">
        <v>2886</v>
      </c>
      <c r="C2629" s="5" t="s">
        <v>206</v>
      </c>
      <c r="D2629" s="3" t="s">
        <v>68</v>
      </c>
      <c r="E2629" s="3" t="s">
        <v>100</v>
      </c>
      <c r="F2629" s="7">
        <v>45801.17215525369</v>
      </c>
      <c r="G2629" s="3" t="s">
        <v>8624</v>
      </c>
    </row>
    <row r="2630">
      <c r="A2630" s="3" t="s">
        <v>8626</v>
      </c>
      <c r="B2630" s="3" t="s">
        <v>2889</v>
      </c>
      <c r="C2630" s="5" t="s">
        <v>45</v>
      </c>
      <c r="D2630" s="3" t="s">
        <v>221</v>
      </c>
      <c r="E2630" s="3" t="s">
        <v>767</v>
      </c>
      <c r="F2630" s="7">
        <v>45801.23291343244</v>
      </c>
      <c r="G2630" s="3" t="s">
        <v>8627</v>
      </c>
    </row>
    <row r="2631">
      <c r="A2631" s="3" t="s">
        <v>8629</v>
      </c>
      <c r="B2631" s="3" t="s">
        <v>2889</v>
      </c>
      <c r="C2631" s="5" t="s">
        <v>221</v>
      </c>
      <c r="D2631" s="3" t="s">
        <v>614</v>
      </c>
      <c r="E2631" s="3" t="s">
        <v>118</v>
      </c>
      <c r="F2631" s="7">
        <v>45801.23638565466</v>
      </c>
      <c r="G2631" s="3" t="s">
        <v>8630</v>
      </c>
    </row>
    <row r="2632">
      <c r="A2632" s="3" t="s">
        <v>8631</v>
      </c>
      <c r="B2632" s="3" t="s">
        <v>2889</v>
      </c>
      <c r="C2632" s="5" t="s">
        <v>614</v>
      </c>
      <c r="D2632" s="3" t="s">
        <v>206</v>
      </c>
      <c r="E2632" s="3" t="s">
        <v>100</v>
      </c>
      <c r="F2632" s="7">
        <v>45801.239857876884</v>
      </c>
      <c r="G2632" s="3" t="s">
        <v>8633</v>
      </c>
    </row>
    <row r="2633">
      <c r="A2633" s="3" t="s">
        <v>8634</v>
      </c>
      <c r="B2633" s="3" t="s">
        <v>2889</v>
      </c>
      <c r="C2633" s="5" t="s">
        <v>206</v>
      </c>
      <c r="D2633" s="3" t="s">
        <v>68</v>
      </c>
      <c r="E2633" s="3" t="s">
        <v>100</v>
      </c>
      <c r="F2633" s="7">
        <v>45801.2433300991</v>
      </c>
      <c r="G2633" s="3" t="s">
        <v>8636</v>
      </c>
    </row>
    <row r="2634">
      <c r="A2634" s="3" t="s">
        <v>8637</v>
      </c>
      <c r="B2634" s="3" t="s">
        <v>2891</v>
      </c>
      <c r="C2634" s="5" t="s">
        <v>45</v>
      </c>
      <c r="D2634" s="3" t="s">
        <v>221</v>
      </c>
      <c r="E2634" s="3" t="s">
        <v>472</v>
      </c>
      <c r="F2634" s="7">
        <v>45801.30408827785</v>
      </c>
      <c r="G2634" s="3" t="s">
        <v>8639</v>
      </c>
    </row>
    <row r="2635">
      <c r="A2635" s="3" t="s">
        <v>8640</v>
      </c>
      <c r="B2635" s="3" t="s">
        <v>2891</v>
      </c>
      <c r="C2635" s="5" t="s">
        <v>221</v>
      </c>
      <c r="D2635" s="3" t="s">
        <v>614</v>
      </c>
      <c r="E2635" s="3" t="s">
        <v>118</v>
      </c>
      <c r="F2635" s="7">
        <v>45801.30756050007</v>
      </c>
      <c r="G2635" s="3" t="s">
        <v>8642</v>
      </c>
    </row>
    <row r="2636">
      <c r="A2636" s="3" t="s">
        <v>8643</v>
      </c>
      <c r="B2636" s="3" t="s">
        <v>2891</v>
      </c>
      <c r="C2636" s="5" t="s">
        <v>614</v>
      </c>
      <c r="D2636" s="3" t="s">
        <v>206</v>
      </c>
      <c r="E2636" s="3" t="s">
        <v>100</v>
      </c>
      <c r="F2636" s="7">
        <v>45801.3110327223</v>
      </c>
      <c r="G2636" s="3" t="s">
        <v>8645</v>
      </c>
    </row>
    <row r="2637">
      <c r="A2637" s="3" t="s">
        <v>8646</v>
      </c>
      <c r="B2637" s="3" t="s">
        <v>2891</v>
      </c>
      <c r="C2637" s="5" t="s">
        <v>206</v>
      </c>
      <c r="D2637" s="3" t="s">
        <v>68</v>
      </c>
      <c r="E2637" s="3" t="s">
        <v>100</v>
      </c>
      <c r="F2637" s="7">
        <v>45801.314504944516</v>
      </c>
      <c r="G2637" s="3" t="s">
        <v>8648</v>
      </c>
    </row>
    <row r="2638">
      <c r="A2638" s="3" t="s">
        <v>8649</v>
      </c>
      <c r="B2638" s="3" t="s">
        <v>2894</v>
      </c>
      <c r="C2638" s="5" t="s">
        <v>45</v>
      </c>
      <c r="D2638" s="3" t="s">
        <v>221</v>
      </c>
      <c r="E2638" s="3" t="s">
        <v>373</v>
      </c>
      <c r="F2638" s="7">
        <v>45801.37526312327</v>
      </c>
      <c r="G2638" s="3" t="s">
        <v>2770</v>
      </c>
    </row>
    <row r="2639">
      <c r="A2639" s="3" t="s">
        <v>8650</v>
      </c>
      <c r="B2639" s="3" t="s">
        <v>2894</v>
      </c>
      <c r="C2639" s="5" t="s">
        <v>221</v>
      </c>
      <c r="D2639" s="3" t="s">
        <v>195</v>
      </c>
      <c r="E2639" s="3" t="s">
        <v>373</v>
      </c>
      <c r="F2639" s="7">
        <v>45801.37873534549</v>
      </c>
      <c r="G2639" s="3" t="s">
        <v>3055</v>
      </c>
    </row>
    <row r="2640">
      <c r="A2640" s="3" t="s">
        <v>8652</v>
      </c>
      <c r="B2640" s="3" t="s">
        <v>2897</v>
      </c>
      <c r="C2640" s="5" t="s">
        <v>45</v>
      </c>
      <c r="D2640" s="3" t="s">
        <v>221</v>
      </c>
      <c r="E2640" s="3" t="s">
        <v>148</v>
      </c>
      <c r="F2640" s="7">
        <v>45801.44643796869</v>
      </c>
      <c r="G2640" s="3" t="s">
        <v>8654</v>
      </c>
    </row>
    <row r="2641">
      <c r="A2641" s="3" t="s">
        <v>8655</v>
      </c>
      <c r="B2641" s="3" t="s">
        <v>2897</v>
      </c>
      <c r="C2641" s="5" t="s">
        <v>221</v>
      </c>
      <c r="D2641" s="3" t="s">
        <v>614</v>
      </c>
      <c r="E2641" s="3" t="s">
        <v>118</v>
      </c>
      <c r="F2641" s="7">
        <v>45801.44991019091</v>
      </c>
      <c r="G2641" s="3" t="s">
        <v>8657</v>
      </c>
    </row>
    <row r="2642">
      <c r="A2642" s="3" t="s">
        <v>8658</v>
      </c>
      <c r="B2642" s="3" t="s">
        <v>2897</v>
      </c>
      <c r="C2642" s="5" t="s">
        <v>614</v>
      </c>
      <c r="D2642" s="3" t="s">
        <v>206</v>
      </c>
      <c r="E2642" s="3" t="s">
        <v>100</v>
      </c>
      <c r="F2642" s="7">
        <v>45801.453382413136</v>
      </c>
      <c r="G2642" s="3" t="s">
        <v>8659</v>
      </c>
    </row>
    <row r="2643">
      <c r="A2643" s="3" t="s">
        <v>8660</v>
      </c>
      <c r="B2643" s="3" t="s">
        <v>2897</v>
      </c>
      <c r="C2643" s="5" t="s">
        <v>206</v>
      </c>
      <c r="D2643" s="3" t="s">
        <v>68</v>
      </c>
      <c r="E2643" s="3" t="s">
        <v>100</v>
      </c>
      <c r="F2643" s="7">
        <v>45801.456854635355</v>
      </c>
      <c r="G2643" s="3" t="s">
        <v>8662</v>
      </c>
    </row>
    <row r="2644">
      <c r="A2644" s="3" t="s">
        <v>8663</v>
      </c>
      <c r="B2644" s="3" t="s">
        <v>2901</v>
      </c>
      <c r="C2644" s="5" t="s">
        <v>45</v>
      </c>
      <c r="D2644" s="3" t="s">
        <v>221</v>
      </c>
      <c r="E2644" s="3" t="s">
        <v>479</v>
      </c>
      <c r="F2644" s="7">
        <v>45801.517612814096</v>
      </c>
      <c r="G2644" s="3" t="s">
        <v>8665</v>
      </c>
    </row>
    <row r="2645">
      <c r="A2645" s="3" t="s">
        <v>8666</v>
      </c>
      <c r="B2645" s="3" t="s">
        <v>2901</v>
      </c>
      <c r="C2645" s="5" t="s">
        <v>221</v>
      </c>
      <c r="D2645" s="3" t="s">
        <v>614</v>
      </c>
      <c r="E2645" s="3" t="s">
        <v>118</v>
      </c>
      <c r="F2645" s="7">
        <v>45801.521085036315</v>
      </c>
      <c r="G2645" s="3" t="s">
        <v>8668</v>
      </c>
    </row>
    <row r="2646">
      <c r="A2646" s="3" t="s">
        <v>8669</v>
      </c>
      <c r="B2646" s="3" t="s">
        <v>2901</v>
      </c>
      <c r="C2646" s="5" t="s">
        <v>614</v>
      </c>
      <c r="D2646" s="3" t="s">
        <v>206</v>
      </c>
      <c r="E2646" s="3" t="s">
        <v>100</v>
      </c>
      <c r="F2646" s="7">
        <v>45801.52455725854</v>
      </c>
      <c r="G2646" s="3" t="s">
        <v>8670</v>
      </c>
    </row>
    <row r="2647">
      <c r="A2647" s="3" t="s">
        <v>8672</v>
      </c>
      <c r="B2647" s="3" t="s">
        <v>2901</v>
      </c>
      <c r="C2647" s="5" t="s">
        <v>206</v>
      </c>
      <c r="D2647" s="3" t="s">
        <v>68</v>
      </c>
      <c r="E2647" s="3" t="s">
        <v>100</v>
      </c>
      <c r="F2647" s="7">
        <v>45801.52802948076</v>
      </c>
      <c r="G2647" s="3" t="s">
        <v>8673</v>
      </c>
    </row>
    <row r="2648">
      <c r="A2648" s="3" t="s">
        <v>8674</v>
      </c>
      <c r="B2648" s="3" t="s">
        <v>2904</v>
      </c>
      <c r="C2648" s="5" t="s">
        <v>45</v>
      </c>
      <c r="D2648" s="3" t="s">
        <v>221</v>
      </c>
      <c r="E2648" s="3" t="s">
        <v>243</v>
      </c>
      <c r="F2648" s="7">
        <v>45801.588787659515</v>
      </c>
      <c r="G2648" s="3" t="s">
        <v>8676</v>
      </c>
    </row>
    <row r="2649">
      <c r="A2649" s="3" t="s">
        <v>8677</v>
      </c>
      <c r="B2649" s="3" t="s">
        <v>2904</v>
      </c>
      <c r="C2649" s="5" t="s">
        <v>221</v>
      </c>
      <c r="D2649" s="3" t="s">
        <v>614</v>
      </c>
      <c r="E2649" s="3" t="s">
        <v>118</v>
      </c>
      <c r="F2649" s="7">
        <v>45801.592259881734</v>
      </c>
      <c r="G2649" s="3" t="s">
        <v>8679</v>
      </c>
    </row>
    <row r="2650">
      <c r="A2650" s="3" t="s">
        <v>8680</v>
      </c>
      <c r="B2650" s="3" t="s">
        <v>2904</v>
      </c>
      <c r="C2650" s="5" t="s">
        <v>614</v>
      </c>
      <c r="D2650" s="3" t="s">
        <v>206</v>
      </c>
      <c r="E2650" s="3" t="s">
        <v>100</v>
      </c>
      <c r="F2650" s="7">
        <v>45801.59573210396</v>
      </c>
      <c r="G2650" s="3" t="s">
        <v>8682</v>
      </c>
    </row>
    <row r="2651">
      <c r="A2651" s="3" t="s">
        <v>8683</v>
      </c>
      <c r="B2651" s="3" t="s">
        <v>2904</v>
      </c>
      <c r="C2651" s="5" t="s">
        <v>206</v>
      </c>
      <c r="D2651" s="3" t="s">
        <v>68</v>
      </c>
      <c r="E2651" s="3" t="s">
        <v>100</v>
      </c>
      <c r="F2651" s="7">
        <v>45801.59920432618</v>
      </c>
      <c r="G2651" s="3" t="s">
        <v>8685</v>
      </c>
    </row>
    <row r="2652">
      <c r="A2652" s="3" t="s">
        <v>8686</v>
      </c>
      <c r="B2652" s="3" t="s">
        <v>2907</v>
      </c>
      <c r="C2652" s="5" t="s">
        <v>45</v>
      </c>
      <c r="D2652" s="3" t="s">
        <v>221</v>
      </c>
      <c r="E2652" s="3" t="s">
        <v>455</v>
      </c>
      <c r="F2652" s="7">
        <v>45801.659962504935</v>
      </c>
      <c r="G2652" s="3" t="s">
        <v>2770</v>
      </c>
    </row>
    <row r="2653">
      <c r="A2653" s="3" t="s">
        <v>8688</v>
      </c>
      <c r="B2653" s="3" t="s">
        <v>2907</v>
      </c>
      <c r="C2653" s="5" t="s">
        <v>221</v>
      </c>
      <c r="D2653" s="3" t="s">
        <v>181</v>
      </c>
      <c r="E2653" s="3" t="s">
        <v>118</v>
      </c>
      <c r="F2653" s="7">
        <v>45801.663434727154</v>
      </c>
      <c r="G2653" s="3" t="s">
        <v>2774</v>
      </c>
    </row>
    <row r="2654">
      <c r="A2654" s="3" t="s">
        <v>8690</v>
      </c>
      <c r="B2654" s="3" t="s">
        <v>2910</v>
      </c>
      <c r="C2654" s="5" t="s">
        <v>45</v>
      </c>
      <c r="D2654" s="3" t="s">
        <v>221</v>
      </c>
      <c r="E2654" s="3" t="s">
        <v>550</v>
      </c>
      <c r="F2654" s="7">
        <v>45801.73113735035</v>
      </c>
      <c r="G2654" s="3" t="s">
        <v>8349</v>
      </c>
    </row>
    <row r="2655">
      <c r="A2655" s="3" t="s">
        <v>8692</v>
      </c>
      <c r="B2655" s="3" t="s">
        <v>2910</v>
      </c>
      <c r="C2655" s="5" t="s">
        <v>221</v>
      </c>
      <c r="D2655" s="3" t="s">
        <v>614</v>
      </c>
      <c r="E2655" s="3" t="s">
        <v>118</v>
      </c>
      <c r="F2655" s="7">
        <v>45801.734609572566</v>
      </c>
      <c r="G2655" s="3" t="s">
        <v>8351</v>
      </c>
    </row>
    <row r="2656">
      <c r="A2656" s="3" t="s">
        <v>8693</v>
      </c>
      <c r="B2656" s="3" t="s">
        <v>2910</v>
      </c>
      <c r="C2656" s="5" t="s">
        <v>614</v>
      </c>
      <c r="D2656" s="3" t="s">
        <v>206</v>
      </c>
      <c r="E2656" s="3" t="s">
        <v>100</v>
      </c>
      <c r="F2656" s="7">
        <v>45801.73808179479</v>
      </c>
      <c r="G2656" s="3" t="s">
        <v>8354</v>
      </c>
    </row>
    <row r="2657">
      <c r="A2657" s="3" t="s">
        <v>8695</v>
      </c>
      <c r="B2657" s="3" t="s">
        <v>2910</v>
      </c>
      <c r="C2657" s="5" t="s">
        <v>206</v>
      </c>
      <c r="D2657" s="3" t="s">
        <v>68</v>
      </c>
      <c r="E2657" s="3" t="s">
        <v>100</v>
      </c>
      <c r="F2657" s="7">
        <v>45801.74155401701</v>
      </c>
      <c r="G2657" s="3" t="s">
        <v>8357</v>
      </c>
    </row>
    <row r="2658">
      <c r="A2658" s="3" t="s">
        <v>8697</v>
      </c>
      <c r="B2658" s="3" t="s">
        <v>2913</v>
      </c>
      <c r="C2658" s="5" t="s">
        <v>45</v>
      </c>
      <c r="D2658" s="3" t="s">
        <v>221</v>
      </c>
      <c r="E2658" s="3" t="s">
        <v>462</v>
      </c>
      <c r="F2658" s="7">
        <v>45801.80231219576</v>
      </c>
      <c r="G2658" s="3" t="s">
        <v>8698</v>
      </c>
    </row>
    <row r="2659">
      <c r="A2659" s="3" t="s">
        <v>8700</v>
      </c>
      <c r="B2659" s="3" t="s">
        <v>2913</v>
      </c>
      <c r="C2659" s="5" t="s">
        <v>221</v>
      </c>
      <c r="D2659" s="3" t="s">
        <v>614</v>
      </c>
      <c r="E2659" s="3" t="s">
        <v>118</v>
      </c>
      <c r="F2659" s="7">
        <v>45801.80578441798</v>
      </c>
      <c r="G2659" s="3" t="s">
        <v>8701</v>
      </c>
    </row>
    <row r="2660">
      <c r="A2660" s="3" t="s">
        <v>8702</v>
      </c>
      <c r="B2660" s="3" t="s">
        <v>2913</v>
      </c>
      <c r="C2660" s="5" t="s">
        <v>614</v>
      </c>
      <c r="D2660" s="3" t="s">
        <v>206</v>
      </c>
      <c r="E2660" s="3" t="s">
        <v>100</v>
      </c>
      <c r="F2660" s="7">
        <v>45801.809256640205</v>
      </c>
      <c r="G2660" s="3" t="s">
        <v>8704</v>
      </c>
    </row>
    <row r="2661">
      <c r="A2661" s="3" t="s">
        <v>8705</v>
      </c>
      <c r="B2661" s="3" t="s">
        <v>2913</v>
      </c>
      <c r="C2661" s="5" t="s">
        <v>206</v>
      </c>
      <c r="D2661" s="3" t="s">
        <v>68</v>
      </c>
      <c r="E2661" s="3" t="s">
        <v>100</v>
      </c>
      <c r="F2661" s="7">
        <v>45801.812728862424</v>
      </c>
      <c r="G2661" s="3" t="s">
        <v>8707</v>
      </c>
    </row>
    <row r="2662">
      <c r="A2662" s="3" t="s">
        <v>8708</v>
      </c>
      <c r="B2662" s="3" t="s">
        <v>2917</v>
      </c>
      <c r="C2662" s="5" t="s">
        <v>45</v>
      </c>
      <c r="D2662" s="3" t="s">
        <v>221</v>
      </c>
      <c r="E2662" s="3" t="s">
        <v>282</v>
      </c>
      <c r="F2662" s="7">
        <v>45801.87348704118</v>
      </c>
      <c r="G2662" s="3" t="s">
        <v>8710</v>
      </c>
    </row>
    <row r="2663">
      <c r="A2663" s="3" t="s">
        <v>8711</v>
      </c>
      <c r="B2663" s="3" t="s">
        <v>2917</v>
      </c>
      <c r="C2663" s="5" t="s">
        <v>221</v>
      </c>
      <c r="D2663" s="3" t="s">
        <v>614</v>
      </c>
      <c r="E2663" s="3" t="s">
        <v>118</v>
      </c>
      <c r="F2663" s="7">
        <v>45801.8769592634</v>
      </c>
      <c r="G2663" s="3" t="s">
        <v>8713</v>
      </c>
    </row>
    <row r="2664">
      <c r="A2664" s="3" t="s">
        <v>8714</v>
      </c>
      <c r="B2664" s="3" t="s">
        <v>2917</v>
      </c>
      <c r="C2664" s="5" t="s">
        <v>614</v>
      </c>
      <c r="D2664" s="3" t="s">
        <v>206</v>
      </c>
      <c r="E2664" s="3" t="s">
        <v>100</v>
      </c>
      <c r="F2664" s="7">
        <v>45801.880431485624</v>
      </c>
      <c r="G2664" s="3" t="s">
        <v>8715</v>
      </c>
    </row>
    <row r="2665">
      <c r="A2665" s="3" t="s">
        <v>8717</v>
      </c>
      <c r="B2665" s="3" t="s">
        <v>2917</v>
      </c>
      <c r="C2665" s="5" t="s">
        <v>206</v>
      </c>
      <c r="D2665" s="3" t="s">
        <v>68</v>
      </c>
      <c r="E2665" s="3" t="s">
        <v>100</v>
      </c>
      <c r="F2665" s="7">
        <v>45801.88390370784</v>
      </c>
      <c r="G2665" s="3" t="s">
        <v>8718</v>
      </c>
    </row>
    <row r="2666">
      <c r="A2666" s="3" t="s">
        <v>8719</v>
      </c>
      <c r="B2666" s="3" t="s">
        <v>2920</v>
      </c>
      <c r="C2666" s="5" t="s">
        <v>45</v>
      </c>
      <c r="D2666" s="3" t="s">
        <v>221</v>
      </c>
      <c r="E2666" s="3" t="s">
        <v>767</v>
      </c>
      <c r="F2666" s="7">
        <v>45801.94466188659</v>
      </c>
      <c r="G2666" s="3" t="s">
        <v>8627</v>
      </c>
    </row>
    <row r="2667">
      <c r="A2667" s="3" t="s">
        <v>8721</v>
      </c>
      <c r="B2667" s="3" t="s">
        <v>2920</v>
      </c>
      <c r="C2667" s="5" t="s">
        <v>221</v>
      </c>
      <c r="D2667" s="3" t="s">
        <v>614</v>
      </c>
      <c r="E2667" s="3" t="s">
        <v>118</v>
      </c>
      <c r="F2667" s="7">
        <v>45801.94813410881</v>
      </c>
      <c r="G2667" s="3" t="s">
        <v>8630</v>
      </c>
    </row>
    <row r="2668">
      <c r="A2668" s="3" t="s">
        <v>8723</v>
      </c>
      <c r="B2668" s="3" t="s">
        <v>2920</v>
      </c>
      <c r="C2668" s="5" t="s">
        <v>614</v>
      </c>
      <c r="D2668" s="3" t="s">
        <v>206</v>
      </c>
      <c r="E2668" s="3" t="s">
        <v>100</v>
      </c>
      <c r="F2668" s="7">
        <v>45801.95160633104</v>
      </c>
      <c r="G2668" s="3" t="s">
        <v>8633</v>
      </c>
    </row>
    <row r="2669">
      <c r="A2669" s="3" t="s">
        <v>8725</v>
      </c>
      <c r="B2669" s="3" t="s">
        <v>2920</v>
      </c>
      <c r="C2669" s="5" t="s">
        <v>206</v>
      </c>
      <c r="D2669" s="3" t="s">
        <v>68</v>
      </c>
      <c r="E2669" s="3" t="s">
        <v>100</v>
      </c>
      <c r="F2669" s="7">
        <v>45801.955078553256</v>
      </c>
      <c r="G2669" s="3" t="s">
        <v>8636</v>
      </c>
    </row>
    <row r="2670">
      <c r="A2670" s="3" t="s">
        <v>8727</v>
      </c>
      <c r="B2670" s="3" t="s">
        <v>2922</v>
      </c>
      <c r="C2670" s="5" t="s">
        <v>45</v>
      </c>
      <c r="D2670" s="3" t="s">
        <v>221</v>
      </c>
      <c r="E2670" s="3" t="s">
        <v>299</v>
      </c>
      <c r="F2670" s="7">
        <v>45802.015836732004</v>
      </c>
      <c r="G2670" s="3" t="s">
        <v>8729</v>
      </c>
    </row>
    <row r="2671">
      <c r="A2671" s="3" t="s">
        <v>8730</v>
      </c>
      <c r="B2671" s="3" t="s">
        <v>2922</v>
      </c>
      <c r="C2671" s="5" t="s">
        <v>221</v>
      </c>
      <c r="D2671" s="3" t="s">
        <v>195</v>
      </c>
      <c r="E2671" s="3" t="s">
        <v>299</v>
      </c>
      <c r="F2671" s="7">
        <v>45802.01930895422</v>
      </c>
      <c r="G2671" s="3" t="s">
        <v>8731</v>
      </c>
    </row>
    <row r="2672">
      <c r="A2672" s="3" t="s">
        <v>8733</v>
      </c>
      <c r="B2672" s="3" t="s">
        <v>2925</v>
      </c>
      <c r="C2672" s="5" t="s">
        <v>45</v>
      </c>
      <c r="D2672" s="3" t="s">
        <v>221</v>
      </c>
      <c r="E2672" s="3" t="s">
        <v>126</v>
      </c>
      <c r="F2672" s="7">
        <v>45802.08701157742</v>
      </c>
      <c r="G2672" s="3" t="s">
        <v>8734</v>
      </c>
    </row>
    <row r="2673">
      <c r="A2673" s="3" t="s">
        <v>8736</v>
      </c>
      <c r="B2673" s="3" t="s">
        <v>2925</v>
      </c>
      <c r="C2673" s="5" t="s">
        <v>221</v>
      </c>
      <c r="D2673" s="3" t="s">
        <v>614</v>
      </c>
      <c r="E2673" s="3" t="s">
        <v>118</v>
      </c>
      <c r="F2673" s="7">
        <v>45802.09048379964</v>
      </c>
      <c r="G2673" s="3" t="s">
        <v>8737</v>
      </c>
    </row>
    <row r="2674">
      <c r="A2674" s="3" t="s">
        <v>8739</v>
      </c>
      <c r="B2674" s="3" t="s">
        <v>2925</v>
      </c>
      <c r="C2674" s="5" t="s">
        <v>614</v>
      </c>
      <c r="D2674" s="3" t="s">
        <v>206</v>
      </c>
      <c r="E2674" s="3" t="s">
        <v>100</v>
      </c>
      <c r="F2674" s="7">
        <v>45802.09395602187</v>
      </c>
      <c r="G2674" s="3" t="s">
        <v>8740</v>
      </c>
    </row>
    <row r="2675">
      <c r="A2675" s="3" t="s">
        <v>8741</v>
      </c>
      <c r="B2675" s="3" t="s">
        <v>2925</v>
      </c>
      <c r="C2675" s="5" t="s">
        <v>206</v>
      </c>
      <c r="D2675" s="3" t="s">
        <v>68</v>
      </c>
      <c r="E2675" s="3" t="s">
        <v>100</v>
      </c>
      <c r="F2675" s="7">
        <v>45802.09742824409</v>
      </c>
      <c r="G2675" s="3" t="s">
        <v>8743</v>
      </c>
    </row>
    <row r="2676">
      <c r="A2676" s="3" t="s">
        <v>8744</v>
      </c>
      <c r="B2676" s="3" t="s">
        <v>2928</v>
      </c>
      <c r="C2676" s="5" t="s">
        <v>45</v>
      </c>
      <c r="D2676" s="3" t="s">
        <v>221</v>
      </c>
      <c r="E2676" s="3" t="s">
        <v>913</v>
      </c>
      <c r="F2676" s="7">
        <v>45802.158186422836</v>
      </c>
      <c r="G2676" s="3" t="s">
        <v>8746</v>
      </c>
    </row>
    <row r="2677">
      <c r="A2677" s="3" t="s">
        <v>8747</v>
      </c>
      <c r="B2677" s="3" t="s">
        <v>2928</v>
      </c>
      <c r="C2677" s="5" t="s">
        <v>221</v>
      </c>
      <c r="D2677" s="3" t="s">
        <v>614</v>
      </c>
      <c r="E2677" s="3" t="s">
        <v>118</v>
      </c>
      <c r="F2677" s="7">
        <v>45802.161658645055</v>
      </c>
      <c r="G2677" s="3" t="s">
        <v>8749</v>
      </c>
    </row>
    <row r="2678">
      <c r="A2678" s="3" t="s">
        <v>8750</v>
      </c>
      <c r="B2678" s="3" t="s">
        <v>2928</v>
      </c>
      <c r="C2678" s="5" t="s">
        <v>614</v>
      </c>
      <c r="D2678" s="3" t="s">
        <v>206</v>
      </c>
      <c r="E2678" s="3" t="s">
        <v>100</v>
      </c>
      <c r="F2678" s="7">
        <v>45802.16513086728</v>
      </c>
      <c r="G2678" s="3" t="s">
        <v>8752</v>
      </c>
    </row>
    <row r="2679">
      <c r="A2679" s="3" t="s">
        <v>8753</v>
      </c>
      <c r="B2679" s="3" t="s">
        <v>2928</v>
      </c>
      <c r="C2679" s="5" t="s">
        <v>206</v>
      </c>
      <c r="D2679" s="3" t="s">
        <v>68</v>
      </c>
      <c r="E2679" s="3" t="s">
        <v>100</v>
      </c>
      <c r="F2679" s="7">
        <v>45802.1686030895</v>
      </c>
      <c r="G2679" s="3" t="s">
        <v>8754</v>
      </c>
    </row>
    <row r="2680">
      <c r="A2680" s="3" t="s">
        <v>8756</v>
      </c>
      <c r="B2680" s="3" t="s">
        <v>2932</v>
      </c>
      <c r="C2680" s="5" t="s">
        <v>45</v>
      </c>
      <c r="D2680" s="3" t="s">
        <v>221</v>
      </c>
      <c r="E2680" s="3" t="s">
        <v>657</v>
      </c>
      <c r="F2680" s="7">
        <v>45802.22936126825</v>
      </c>
      <c r="G2680" s="3" t="s">
        <v>8757</v>
      </c>
    </row>
    <row r="2681">
      <c r="A2681" s="3" t="s">
        <v>8758</v>
      </c>
      <c r="B2681" s="3" t="s">
        <v>2932</v>
      </c>
      <c r="C2681" s="5" t="s">
        <v>221</v>
      </c>
      <c r="D2681" s="3" t="s">
        <v>195</v>
      </c>
      <c r="E2681" s="3" t="s">
        <v>657</v>
      </c>
      <c r="F2681" s="7">
        <v>45802.23283349047</v>
      </c>
      <c r="G2681" s="3" t="s">
        <v>8760</v>
      </c>
    </row>
    <row r="2682">
      <c r="A2682" s="3" t="s">
        <v>8761</v>
      </c>
      <c r="B2682" s="3" t="s">
        <v>2935</v>
      </c>
      <c r="C2682" s="5" t="s">
        <v>45</v>
      </c>
      <c r="D2682" s="3" t="s">
        <v>221</v>
      </c>
      <c r="E2682" s="3" t="s">
        <v>587</v>
      </c>
      <c r="F2682" s="7">
        <v>45802.30053611367</v>
      </c>
      <c r="G2682" s="3" t="s">
        <v>8763</v>
      </c>
    </row>
    <row r="2683">
      <c r="A2683" s="3" t="s">
        <v>8764</v>
      </c>
      <c r="B2683" s="3" t="s">
        <v>2935</v>
      </c>
      <c r="C2683" s="5" t="s">
        <v>221</v>
      </c>
      <c r="D2683" s="3" t="s">
        <v>181</v>
      </c>
      <c r="E2683" s="3" t="s">
        <v>118</v>
      </c>
      <c r="F2683" s="7">
        <v>45802.30400833589</v>
      </c>
      <c r="G2683" s="3" t="s">
        <v>8766</v>
      </c>
    </row>
    <row r="2684">
      <c r="A2684" s="3" t="s">
        <v>8767</v>
      </c>
      <c r="B2684" s="3" t="s">
        <v>2938</v>
      </c>
      <c r="C2684" s="5" t="s">
        <v>45</v>
      </c>
      <c r="D2684" s="3" t="s">
        <v>221</v>
      </c>
      <c r="E2684" s="3" t="s">
        <v>369</v>
      </c>
      <c r="F2684" s="7">
        <v>45802.37171095909</v>
      </c>
      <c r="G2684" s="3" t="s">
        <v>8769</v>
      </c>
    </row>
    <row r="2685">
      <c r="A2685" s="3" t="s">
        <v>8770</v>
      </c>
      <c r="B2685" s="3" t="s">
        <v>2938</v>
      </c>
      <c r="C2685" s="5" t="s">
        <v>221</v>
      </c>
      <c r="D2685" s="3" t="s">
        <v>614</v>
      </c>
      <c r="E2685" s="3" t="s">
        <v>118</v>
      </c>
      <c r="F2685" s="7">
        <v>45802.375183181306</v>
      </c>
      <c r="G2685" s="3" t="s">
        <v>8772</v>
      </c>
    </row>
    <row r="2686">
      <c r="A2686" s="3" t="s">
        <v>8773</v>
      </c>
      <c r="B2686" s="3" t="s">
        <v>2938</v>
      </c>
      <c r="C2686" s="5" t="s">
        <v>614</v>
      </c>
      <c r="D2686" s="3" t="s">
        <v>206</v>
      </c>
      <c r="E2686" s="3" t="s">
        <v>100</v>
      </c>
      <c r="F2686" s="7">
        <v>45802.37865540353</v>
      </c>
      <c r="G2686" s="3" t="s">
        <v>8775</v>
      </c>
    </row>
    <row r="2687">
      <c r="A2687" s="3" t="s">
        <v>8776</v>
      </c>
      <c r="B2687" s="3" t="s">
        <v>2938</v>
      </c>
      <c r="C2687" s="5" t="s">
        <v>206</v>
      </c>
      <c r="D2687" s="3" t="s">
        <v>68</v>
      </c>
      <c r="E2687" s="3" t="s">
        <v>100</v>
      </c>
      <c r="F2687" s="7">
        <v>45802.38212762575</v>
      </c>
      <c r="G2687" s="3" t="s">
        <v>8778</v>
      </c>
    </row>
    <row r="2688">
      <c r="A2688" s="3" t="s">
        <v>8779</v>
      </c>
      <c r="B2688" s="3" t="s">
        <v>2940</v>
      </c>
      <c r="C2688" s="5" t="s">
        <v>45</v>
      </c>
      <c r="D2688" s="3" t="s">
        <v>221</v>
      </c>
      <c r="E2688" s="3" t="s">
        <v>631</v>
      </c>
      <c r="F2688" s="7">
        <v>45802.44288580449</v>
      </c>
      <c r="G2688" s="3" t="s">
        <v>8780</v>
      </c>
    </row>
    <row r="2689">
      <c r="A2689" s="3" t="s">
        <v>8782</v>
      </c>
      <c r="B2689" s="3" t="s">
        <v>2940</v>
      </c>
      <c r="C2689" s="5" t="s">
        <v>221</v>
      </c>
      <c r="D2689" s="3" t="s">
        <v>195</v>
      </c>
      <c r="E2689" s="3" t="s">
        <v>631</v>
      </c>
      <c r="F2689" s="7">
        <v>45802.44635802671</v>
      </c>
      <c r="G2689" s="3" t="s">
        <v>8783</v>
      </c>
    </row>
    <row r="2690">
      <c r="A2690" s="3" t="s">
        <v>8784</v>
      </c>
      <c r="B2690" s="3" t="s">
        <v>2942</v>
      </c>
      <c r="C2690" s="5" t="s">
        <v>45</v>
      </c>
      <c r="D2690" s="3" t="s">
        <v>221</v>
      </c>
      <c r="E2690" s="3" t="s">
        <v>870</v>
      </c>
      <c r="F2690" s="7">
        <v>45802.51406064991</v>
      </c>
      <c r="G2690" s="3" t="s">
        <v>7732</v>
      </c>
    </row>
    <row r="2691">
      <c r="A2691" s="3" t="s">
        <v>8786</v>
      </c>
      <c r="B2691" s="3" t="s">
        <v>2942</v>
      </c>
      <c r="C2691" s="5" t="s">
        <v>221</v>
      </c>
      <c r="D2691" s="3" t="s">
        <v>614</v>
      </c>
      <c r="E2691" s="3" t="s">
        <v>118</v>
      </c>
      <c r="F2691" s="7">
        <v>45802.51753287213</v>
      </c>
      <c r="G2691" s="3" t="s">
        <v>7735</v>
      </c>
    </row>
    <row r="2692">
      <c r="A2692" s="3" t="s">
        <v>8788</v>
      </c>
      <c r="B2692" s="3" t="s">
        <v>2942</v>
      </c>
      <c r="C2692" s="5" t="s">
        <v>614</v>
      </c>
      <c r="D2692" s="3" t="s">
        <v>206</v>
      </c>
      <c r="E2692" s="3" t="s">
        <v>100</v>
      </c>
      <c r="F2692" s="7">
        <v>45802.52100509436</v>
      </c>
      <c r="G2692" s="3" t="s">
        <v>7738</v>
      </c>
    </row>
    <row r="2693">
      <c r="A2693" s="3" t="s">
        <v>8790</v>
      </c>
      <c r="B2693" s="3" t="s">
        <v>2942</v>
      </c>
      <c r="C2693" s="5" t="s">
        <v>206</v>
      </c>
      <c r="D2693" s="3" t="s">
        <v>68</v>
      </c>
      <c r="E2693" s="3" t="s">
        <v>100</v>
      </c>
      <c r="F2693" s="7">
        <v>45802.524477316576</v>
      </c>
      <c r="G2693" s="3" t="s">
        <v>7741</v>
      </c>
    </row>
    <row r="2694">
      <c r="A2694" s="3" t="s">
        <v>8792</v>
      </c>
      <c r="B2694" s="3" t="s">
        <v>2945</v>
      </c>
      <c r="C2694" s="5" t="s">
        <v>45</v>
      </c>
      <c r="D2694" s="3" t="s">
        <v>221</v>
      </c>
      <c r="E2694" s="3" t="s">
        <v>296</v>
      </c>
      <c r="F2694" s="7">
        <v>45802.58523549533</v>
      </c>
      <c r="G2694" s="3" t="s">
        <v>8794</v>
      </c>
    </row>
    <row r="2695">
      <c r="A2695" s="3" t="s">
        <v>8795</v>
      </c>
      <c r="B2695" s="3" t="s">
        <v>2945</v>
      </c>
      <c r="C2695" s="5" t="s">
        <v>221</v>
      </c>
      <c r="D2695" s="3" t="s">
        <v>614</v>
      </c>
      <c r="E2695" s="3" t="s">
        <v>118</v>
      </c>
      <c r="F2695" s="7">
        <v>45802.58870771755</v>
      </c>
      <c r="G2695" s="3" t="s">
        <v>8796</v>
      </c>
    </row>
    <row r="2696">
      <c r="A2696" s="3" t="s">
        <v>8798</v>
      </c>
      <c r="B2696" s="3" t="s">
        <v>2945</v>
      </c>
      <c r="C2696" s="5" t="s">
        <v>614</v>
      </c>
      <c r="D2696" s="3" t="s">
        <v>206</v>
      </c>
      <c r="E2696" s="3" t="s">
        <v>100</v>
      </c>
      <c r="F2696" s="7">
        <v>45802.59217993978</v>
      </c>
      <c r="G2696" s="3" t="s">
        <v>8799</v>
      </c>
    </row>
    <row r="2697">
      <c r="A2697" s="3" t="s">
        <v>8800</v>
      </c>
      <c r="B2697" s="3" t="s">
        <v>2945</v>
      </c>
      <c r="C2697" s="5" t="s">
        <v>206</v>
      </c>
      <c r="D2697" s="3" t="s">
        <v>68</v>
      </c>
      <c r="E2697" s="3" t="s">
        <v>100</v>
      </c>
      <c r="F2697" s="7">
        <v>45802.595652161996</v>
      </c>
      <c r="G2697" s="3" t="s">
        <v>8802</v>
      </c>
    </row>
    <row r="2698">
      <c r="A2698" s="3" t="s">
        <v>8803</v>
      </c>
      <c r="B2698" s="3" t="s">
        <v>2947</v>
      </c>
      <c r="C2698" s="5" t="s">
        <v>45</v>
      </c>
      <c r="D2698" s="3" t="s">
        <v>221</v>
      </c>
      <c r="E2698" s="3" t="s">
        <v>287</v>
      </c>
      <c r="F2698" s="7">
        <v>45802.65641034074</v>
      </c>
      <c r="G2698" s="3" t="s">
        <v>8805</v>
      </c>
    </row>
    <row r="2699">
      <c r="A2699" s="3" t="s">
        <v>8806</v>
      </c>
      <c r="B2699" s="3" t="s">
        <v>2947</v>
      </c>
      <c r="C2699" s="5" t="s">
        <v>221</v>
      </c>
      <c r="D2699" s="3" t="s">
        <v>614</v>
      </c>
      <c r="E2699" s="3" t="s">
        <v>118</v>
      </c>
      <c r="F2699" s="7">
        <v>45802.65988256296</v>
      </c>
      <c r="G2699" s="3" t="s">
        <v>8808</v>
      </c>
    </row>
    <row r="2700">
      <c r="A2700" s="3" t="s">
        <v>8809</v>
      </c>
      <c r="B2700" s="3" t="s">
        <v>2947</v>
      </c>
      <c r="C2700" s="5" t="s">
        <v>614</v>
      </c>
      <c r="D2700" s="3" t="s">
        <v>206</v>
      </c>
      <c r="E2700" s="3" t="s">
        <v>100</v>
      </c>
      <c r="F2700" s="7">
        <v>45802.66335478519</v>
      </c>
      <c r="G2700" s="3" t="s">
        <v>8811</v>
      </c>
    </row>
    <row r="2701">
      <c r="A2701" s="3" t="s">
        <v>8812</v>
      </c>
      <c r="B2701" s="3" t="s">
        <v>2947</v>
      </c>
      <c r="C2701" s="5" t="s">
        <v>206</v>
      </c>
      <c r="D2701" s="3" t="s">
        <v>68</v>
      </c>
      <c r="E2701" s="3" t="s">
        <v>100</v>
      </c>
      <c r="F2701" s="7">
        <v>45802.66682700741</v>
      </c>
      <c r="G2701" s="3" t="s">
        <v>8813</v>
      </c>
    </row>
    <row r="2702">
      <c r="A2702" s="3" t="s">
        <v>8814</v>
      </c>
      <c r="B2702" s="3" t="s">
        <v>2951</v>
      </c>
      <c r="C2702" s="5" t="s">
        <v>45</v>
      </c>
      <c r="D2702" s="3" t="s">
        <v>221</v>
      </c>
      <c r="E2702" s="3" t="s">
        <v>763</v>
      </c>
      <c r="F2702" s="7">
        <v>45802.727585186156</v>
      </c>
      <c r="G2702" s="3" t="s">
        <v>8816</v>
      </c>
    </row>
    <row r="2703">
      <c r="A2703" s="3" t="s">
        <v>8817</v>
      </c>
      <c r="B2703" s="3" t="s">
        <v>2951</v>
      </c>
      <c r="C2703" s="5" t="s">
        <v>221</v>
      </c>
      <c r="D2703" s="3" t="s">
        <v>614</v>
      </c>
      <c r="E2703" s="3" t="s">
        <v>118</v>
      </c>
      <c r="F2703" s="7">
        <v>45802.731057408375</v>
      </c>
      <c r="G2703" s="3" t="s">
        <v>8819</v>
      </c>
    </row>
    <row r="2704">
      <c r="A2704" s="3" t="s">
        <v>8820</v>
      </c>
      <c r="B2704" s="3" t="s">
        <v>2951</v>
      </c>
      <c r="C2704" s="5" t="s">
        <v>614</v>
      </c>
      <c r="D2704" s="3" t="s">
        <v>206</v>
      </c>
      <c r="E2704" s="3" t="s">
        <v>100</v>
      </c>
      <c r="F2704" s="7">
        <v>45802.7345296306</v>
      </c>
      <c r="G2704" s="3" t="s">
        <v>8822</v>
      </c>
    </row>
    <row r="2705">
      <c r="A2705" s="3" t="s">
        <v>8823</v>
      </c>
      <c r="B2705" s="3" t="s">
        <v>2951</v>
      </c>
      <c r="C2705" s="5" t="s">
        <v>206</v>
      </c>
      <c r="D2705" s="3" t="s">
        <v>68</v>
      </c>
      <c r="E2705" s="3" t="s">
        <v>100</v>
      </c>
      <c r="F2705" s="7">
        <v>45802.73800185282</v>
      </c>
      <c r="G2705" s="3" t="s">
        <v>8825</v>
      </c>
    </row>
    <row r="2706">
      <c r="A2706" s="3" t="s">
        <v>8826</v>
      </c>
      <c r="B2706" s="3" t="s">
        <v>2954</v>
      </c>
      <c r="C2706" s="5" t="s">
        <v>45</v>
      </c>
      <c r="D2706" s="3" t="s">
        <v>221</v>
      </c>
      <c r="E2706" s="3" t="s">
        <v>546</v>
      </c>
      <c r="F2706" s="7">
        <v>45802.798760031576</v>
      </c>
      <c r="G2706" s="3" t="s">
        <v>8827</v>
      </c>
    </row>
    <row r="2707">
      <c r="A2707" s="3" t="s">
        <v>8829</v>
      </c>
      <c r="B2707" s="3" t="s">
        <v>2954</v>
      </c>
      <c r="C2707" s="5" t="s">
        <v>221</v>
      </c>
      <c r="D2707" s="3" t="s">
        <v>614</v>
      </c>
      <c r="E2707" s="3" t="s">
        <v>118</v>
      </c>
      <c r="F2707" s="7">
        <v>45802.802232253795</v>
      </c>
      <c r="G2707" s="3" t="s">
        <v>8830</v>
      </c>
    </row>
    <row r="2708">
      <c r="A2708" s="3" t="s">
        <v>8832</v>
      </c>
      <c r="B2708" s="3" t="s">
        <v>2954</v>
      </c>
      <c r="C2708" s="5" t="s">
        <v>614</v>
      </c>
      <c r="D2708" s="3" t="s">
        <v>206</v>
      </c>
      <c r="E2708" s="3" t="s">
        <v>100</v>
      </c>
      <c r="F2708" s="7">
        <v>45802.80570447602</v>
      </c>
      <c r="G2708" s="3" t="s">
        <v>8833</v>
      </c>
    </row>
    <row r="2709">
      <c r="A2709" s="3" t="s">
        <v>8834</v>
      </c>
      <c r="B2709" s="3" t="s">
        <v>2954</v>
      </c>
      <c r="C2709" s="5" t="s">
        <v>206</v>
      </c>
      <c r="D2709" s="3" t="s">
        <v>68</v>
      </c>
      <c r="E2709" s="3" t="s">
        <v>100</v>
      </c>
      <c r="F2709" s="7">
        <v>45802.80917669824</v>
      </c>
      <c r="G2709" s="3" t="s">
        <v>8836</v>
      </c>
    </row>
    <row r="2710">
      <c r="A2710" s="3" t="s">
        <v>8837</v>
      </c>
      <c r="B2710" s="3" t="s">
        <v>2957</v>
      </c>
      <c r="C2710" s="5" t="s">
        <v>45</v>
      </c>
      <c r="D2710" s="3" t="s">
        <v>221</v>
      </c>
      <c r="E2710" s="3" t="s">
        <v>189</v>
      </c>
      <c r="F2710" s="7">
        <v>45802.86993487699</v>
      </c>
      <c r="G2710" s="3" t="s">
        <v>8839</v>
      </c>
    </row>
    <row r="2711">
      <c r="A2711" s="3" t="s">
        <v>8840</v>
      </c>
      <c r="B2711" s="3" t="s">
        <v>2957</v>
      </c>
      <c r="C2711" s="5" t="s">
        <v>221</v>
      </c>
      <c r="D2711" s="3" t="s">
        <v>614</v>
      </c>
      <c r="E2711" s="3" t="s">
        <v>118</v>
      </c>
      <c r="F2711" s="7">
        <v>45802.87340709921</v>
      </c>
      <c r="G2711" s="3" t="s">
        <v>8842</v>
      </c>
    </row>
    <row r="2712">
      <c r="A2712" s="3" t="s">
        <v>8843</v>
      </c>
      <c r="B2712" s="3" t="s">
        <v>2957</v>
      </c>
      <c r="C2712" s="5" t="s">
        <v>614</v>
      </c>
      <c r="D2712" s="3" t="s">
        <v>206</v>
      </c>
      <c r="E2712" s="3" t="s">
        <v>100</v>
      </c>
      <c r="F2712" s="7">
        <v>45802.87687932143</v>
      </c>
      <c r="G2712" s="3" t="s">
        <v>8845</v>
      </c>
    </row>
    <row r="2713">
      <c r="A2713" s="3" t="s">
        <v>8846</v>
      </c>
      <c r="B2713" s="3" t="s">
        <v>2957</v>
      </c>
      <c r="C2713" s="5" t="s">
        <v>206</v>
      </c>
      <c r="D2713" s="3" t="s">
        <v>68</v>
      </c>
      <c r="E2713" s="3" t="s">
        <v>100</v>
      </c>
      <c r="F2713" s="7">
        <v>45802.88035154365</v>
      </c>
      <c r="G2713" s="3" t="s">
        <v>8848</v>
      </c>
    </row>
    <row r="2714">
      <c r="A2714" s="3" t="s">
        <v>8849</v>
      </c>
      <c r="B2714" s="3" t="s">
        <v>2961</v>
      </c>
      <c r="C2714" s="5" t="s">
        <v>45</v>
      </c>
      <c r="D2714" s="3" t="s">
        <v>221</v>
      </c>
      <c r="E2714" s="3" t="s">
        <v>493</v>
      </c>
      <c r="F2714" s="7">
        <v>45802.9411097224</v>
      </c>
      <c r="G2714" s="3" t="s">
        <v>8850</v>
      </c>
    </row>
    <row r="2715">
      <c r="A2715" s="3" t="s">
        <v>8852</v>
      </c>
      <c r="B2715" s="3" t="s">
        <v>2961</v>
      </c>
      <c r="C2715" s="5" t="s">
        <v>221</v>
      </c>
      <c r="D2715" s="3" t="s">
        <v>614</v>
      </c>
      <c r="E2715" s="3" t="s">
        <v>118</v>
      </c>
      <c r="F2715" s="7">
        <v>45802.94458194462</v>
      </c>
      <c r="G2715" s="3" t="s">
        <v>8853</v>
      </c>
    </row>
    <row r="2716">
      <c r="A2716" s="3" t="s">
        <v>8855</v>
      </c>
      <c r="B2716" s="3" t="s">
        <v>2961</v>
      </c>
      <c r="C2716" s="5" t="s">
        <v>614</v>
      </c>
      <c r="D2716" s="3" t="s">
        <v>206</v>
      </c>
      <c r="E2716" s="3" t="s">
        <v>100</v>
      </c>
      <c r="F2716" s="7">
        <v>45802.948054166845</v>
      </c>
      <c r="G2716" s="3" t="s">
        <v>8856</v>
      </c>
    </row>
    <row r="2717">
      <c r="A2717" s="3" t="s">
        <v>8857</v>
      </c>
      <c r="B2717" s="3" t="s">
        <v>2961</v>
      </c>
      <c r="C2717" s="5" t="s">
        <v>206</v>
      </c>
      <c r="D2717" s="3" t="s">
        <v>68</v>
      </c>
      <c r="E2717" s="3" t="s">
        <v>100</v>
      </c>
      <c r="F2717" s="7">
        <v>45802.951526389064</v>
      </c>
      <c r="G2717" s="3" t="s">
        <v>8859</v>
      </c>
    </row>
    <row r="2718">
      <c r="A2718" s="3" t="s">
        <v>8860</v>
      </c>
      <c r="B2718" s="3" t="s">
        <v>2964</v>
      </c>
      <c r="C2718" s="5" t="s">
        <v>45</v>
      </c>
      <c r="D2718" s="3" t="s">
        <v>221</v>
      </c>
      <c r="E2718" s="3" t="s">
        <v>747</v>
      </c>
      <c r="F2718" s="7">
        <v>45803.01228456782</v>
      </c>
      <c r="G2718" s="3" t="s">
        <v>8862</v>
      </c>
    </row>
    <row r="2719">
      <c r="A2719" s="3" t="s">
        <v>8864</v>
      </c>
      <c r="B2719" s="3" t="s">
        <v>2964</v>
      </c>
      <c r="C2719" s="5" t="s">
        <v>221</v>
      </c>
      <c r="D2719" s="3" t="s">
        <v>614</v>
      </c>
      <c r="E2719" s="3" t="s">
        <v>118</v>
      </c>
      <c r="F2719" s="7">
        <v>45803.01575679004</v>
      </c>
      <c r="G2719" s="3" t="s">
        <v>8865</v>
      </c>
    </row>
    <row r="2720">
      <c r="A2720" s="3" t="s">
        <v>8866</v>
      </c>
      <c r="B2720" s="3" t="s">
        <v>2964</v>
      </c>
      <c r="C2720" s="5" t="s">
        <v>614</v>
      </c>
      <c r="D2720" s="3" t="s">
        <v>206</v>
      </c>
      <c r="E2720" s="3" t="s">
        <v>100</v>
      </c>
      <c r="F2720" s="7">
        <v>45803.019229012265</v>
      </c>
      <c r="G2720" s="3" t="s">
        <v>8868</v>
      </c>
    </row>
    <row r="2721">
      <c r="A2721" s="3" t="s">
        <v>8869</v>
      </c>
      <c r="B2721" s="3" t="s">
        <v>2964</v>
      </c>
      <c r="C2721" s="5" t="s">
        <v>206</v>
      </c>
      <c r="D2721" s="3" t="s">
        <v>68</v>
      </c>
      <c r="E2721" s="3" t="s">
        <v>100</v>
      </c>
      <c r="F2721" s="7">
        <v>45803.022701234484</v>
      </c>
      <c r="G2721" s="3" t="s">
        <v>8871</v>
      </c>
    </row>
    <row r="2722">
      <c r="A2722" s="3" t="s">
        <v>8872</v>
      </c>
      <c r="B2722" s="3" t="s">
        <v>2967</v>
      </c>
      <c r="C2722" s="5" t="s">
        <v>45</v>
      </c>
      <c r="D2722" s="3" t="s">
        <v>221</v>
      </c>
      <c r="E2722" s="3" t="s">
        <v>330</v>
      </c>
      <c r="F2722" s="7">
        <v>45803.08345941323</v>
      </c>
      <c r="G2722" s="3" t="s">
        <v>8874</v>
      </c>
    </row>
    <row r="2723">
      <c r="A2723" s="3" t="s">
        <v>8875</v>
      </c>
      <c r="B2723" s="3" t="s">
        <v>2967</v>
      </c>
      <c r="C2723" s="5" t="s">
        <v>221</v>
      </c>
      <c r="D2723" s="3" t="s">
        <v>614</v>
      </c>
      <c r="E2723" s="3" t="s">
        <v>118</v>
      </c>
      <c r="F2723" s="7">
        <v>45803.08693163545</v>
      </c>
      <c r="G2723" s="3" t="s">
        <v>8877</v>
      </c>
    </row>
    <row r="2724">
      <c r="A2724" s="3" t="s">
        <v>8878</v>
      </c>
      <c r="B2724" s="3" t="s">
        <v>2967</v>
      </c>
      <c r="C2724" s="5" t="s">
        <v>614</v>
      </c>
      <c r="D2724" s="3" t="s">
        <v>206</v>
      </c>
      <c r="E2724" s="3" t="s">
        <v>100</v>
      </c>
      <c r="F2724" s="7">
        <v>45803.09040385768</v>
      </c>
      <c r="G2724" s="3" t="s">
        <v>8880</v>
      </c>
    </row>
    <row r="2725">
      <c r="A2725" s="3" t="s">
        <v>8881</v>
      </c>
      <c r="B2725" s="3" t="s">
        <v>2967</v>
      </c>
      <c r="C2725" s="5" t="s">
        <v>206</v>
      </c>
      <c r="D2725" s="3" t="s">
        <v>68</v>
      </c>
      <c r="E2725" s="3" t="s">
        <v>100</v>
      </c>
      <c r="F2725" s="7">
        <v>45803.093876079896</v>
      </c>
      <c r="G2725" s="3" t="s">
        <v>8883</v>
      </c>
    </row>
    <row r="2726">
      <c r="A2726" s="3" t="s">
        <v>8884</v>
      </c>
      <c r="B2726" s="3" t="s">
        <v>2970</v>
      </c>
      <c r="C2726" s="5" t="s">
        <v>45</v>
      </c>
      <c r="D2726" s="3" t="s">
        <v>221</v>
      </c>
      <c r="E2726" s="3" t="s">
        <v>316</v>
      </c>
      <c r="F2726" s="7">
        <v>45803.154634258644</v>
      </c>
      <c r="G2726" s="3" t="s">
        <v>2770</v>
      </c>
    </row>
    <row r="2727">
      <c r="A2727" s="3" t="s">
        <v>8886</v>
      </c>
      <c r="B2727" s="3" t="s">
        <v>2970</v>
      </c>
      <c r="C2727" s="5" t="s">
        <v>221</v>
      </c>
      <c r="D2727" s="3" t="s">
        <v>195</v>
      </c>
      <c r="E2727" s="3" t="s">
        <v>316</v>
      </c>
      <c r="F2727" s="7">
        <v>45803.15810648086</v>
      </c>
      <c r="G2727" s="3" t="s">
        <v>3055</v>
      </c>
    </row>
    <row r="2728">
      <c r="A2728" s="3" t="s">
        <v>8888</v>
      </c>
      <c r="B2728" s="3" t="s">
        <v>2973</v>
      </c>
      <c r="C2728" s="5" t="s">
        <v>45</v>
      </c>
      <c r="D2728" s="3" t="s">
        <v>221</v>
      </c>
      <c r="E2728" s="3" t="s">
        <v>414</v>
      </c>
      <c r="F2728" s="7">
        <v>45803.225809104064</v>
      </c>
      <c r="G2728" s="3" t="s">
        <v>8889</v>
      </c>
    </row>
    <row r="2729">
      <c r="A2729" s="3" t="s">
        <v>8891</v>
      </c>
      <c r="B2729" s="3" t="s">
        <v>2973</v>
      </c>
      <c r="C2729" s="5" t="s">
        <v>221</v>
      </c>
      <c r="D2729" s="3" t="s">
        <v>614</v>
      </c>
      <c r="E2729" s="3" t="s">
        <v>118</v>
      </c>
      <c r="F2729" s="7">
        <v>45803.22928132628</v>
      </c>
      <c r="G2729" s="3" t="s">
        <v>8892</v>
      </c>
    </row>
    <row r="2730">
      <c r="A2730" s="3" t="s">
        <v>8894</v>
      </c>
      <c r="B2730" s="3" t="s">
        <v>2973</v>
      </c>
      <c r="C2730" s="5" t="s">
        <v>614</v>
      </c>
      <c r="D2730" s="3" t="s">
        <v>206</v>
      </c>
      <c r="E2730" s="3" t="s">
        <v>100</v>
      </c>
      <c r="F2730" s="7">
        <v>45803.23275354851</v>
      </c>
      <c r="G2730" s="3" t="s">
        <v>8895</v>
      </c>
    </row>
    <row r="2731">
      <c r="A2731" s="3" t="s">
        <v>8896</v>
      </c>
      <c r="B2731" s="3" t="s">
        <v>2973</v>
      </c>
      <c r="C2731" s="5" t="s">
        <v>206</v>
      </c>
      <c r="D2731" s="3" t="s">
        <v>68</v>
      </c>
      <c r="E2731" s="3" t="s">
        <v>100</v>
      </c>
      <c r="F2731" s="7">
        <v>45803.23622577073</v>
      </c>
      <c r="G2731" s="3" t="s">
        <v>8898</v>
      </c>
    </row>
    <row r="2732">
      <c r="A2732" s="3" t="s">
        <v>8899</v>
      </c>
      <c r="B2732" s="3" t="s">
        <v>2978</v>
      </c>
      <c r="C2732" s="5" t="s">
        <v>45</v>
      </c>
      <c r="D2732" s="3" t="s">
        <v>221</v>
      </c>
      <c r="E2732" s="3" t="s">
        <v>159</v>
      </c>
      <c r="F2732" s="7">
        <v>45803.296983949476</v>
      </c>
      <c r="G2732" s="3" t="s">
        <v>8901</v>
      </c>
    </row>
    <row r="2733">
      <c r="A2733" s="3" t="s">
        <v>8902</v>
      </c>
      <c r="B2733" s="3" t="s">
        <v>2978</v>
      </c>
      <c r="C2733" s="5" t="s">
        <v>221</v>
      </c>
      <c r="D2733" s="3" t="s">
        <v>614</v>
      </c>
      <c r="E2733" s="3" t="s">
        <v>118</v>
      </c>
      <c r="F2733" s="7">
        <v>45803.300456171695</v>
      </c>
      <c r="G2733" s="3" t="s">
        <v>8904</v>
      </c>
    </row>
    <row r="2734">
      <c r="A2734" s="3" t="s">
        <v>8905</v>
      </c>
      <c r="B2734" s="3" t="s">
        <v>2978</v>
      </c>
      <c r="C2734" s="5" t="s">
        <v>614</v>
      </c>
      <c r="D2734" s="3" t="s">
        <v>206</v>
      </c>
      <c r="E2734" s="3" t="s">
        <v>100</v>
      </c>
      <c r="F2734" s="7">
        <v>45803.30392839392</v>
      </c>
      <c r="G2734" s="3" t="s">
        <v>8907</v>
      </c>
    </row>
    <row r="2735">
      <c r="A2735" s="3" t="s">
        <v>8908</v>
      </c>
      <c r="B2735" s="3" t="s">
        <v>2978</v>
      </c>
      <c r="C2735" s="5" t="s">
        <v>206</v>
      </c>
      <c r="D2735" s="3" t="s">
        <v>68</v>
      </c>
      <c r="E2735" s="3" t="s">
        <v>100</v>
      </c>
      <c r="F2735" s="7">
        <v>45803.30740061614</v>
      </c>
      <c r="G2735" s="3" t="s">
        <v>8910</v>
      </c>
    </row>
    <row r="2736">
      <c r="A2736" s="3" t="s">
        <v>8911</v>
      </c>
      <c r="B2736" s="3" t="s">
        <v>2981</v>
      </c>
      <c r="C2736" s="5" t="s">
        <v>45</v>
      </c>
      <c r="D2736" s="3" t="s">
        <v>221</v>
      </c>
      <c r="E2736" s="3" t="s">
        <v>488</v>
      </c>
      <c r="F2736" s="7">
        <v>45803.36815879489</v>
      </c>
      <c r="G2736" s="3" t="s">
        <v>8912</v>
      </c>
    </row>
    <row r="2737">
      <c r="A2737" s="3" t="s">
        <v>8913</v>
      </c>
      <c r="B2737" s="3" t="s">
        <v>2981</v>
      </c>
      <c r="C2737" s="5" t="s">
        <v>221</v>
      </c>
      <c r="D2737" s="3" t="s">
        <v>614</v>
      </c>
      <c r="E2737" s="3" t="s">
        <v>118</v>
      </c>
      <c r="F2737" s="7">
        <v>45803.37163101711</v>
      </c>
      <c r="G2737" s="3" t="s">
        <v>8915</v>
      </c>
    </row>
    <row r="2738">
      <c r="A2738" s="3" t="s">
        <v>8916</v>
      </c>
      <c r="B2738" s="3" t="s">
        <v>2981</v>
      </c>
      <c r="C2738" s="5" t="s">
        <v>614</v>
      </c>
      <c r="D2738" s="3" t="s">
        <v>206</v>
      </c>
      <c r="E2738" s="3" t="s">
        <v>100</v>
      </c>
      <c r="F2738" s="7">
        <v>45803.375103239334</v>
      </c>
      <c r="G2738" s="3" t="s">
        <v>8918</v>
      </c>
    </row>
    <row r="2739">
      <c r="A2739" s="3" t="s">
        <v>8919</v>
      </c>
      <c r="B2739" s="3" t="s">
        <v>2981</v>
      </c>
      <c r="C2739" s="5" t="s">
        <v>206</v>
      </c>
      <c r="D2739" s="3" t="s">
        <v>68</v>
      </c>
      <c r="E2739" s="3" t="s">
        <v>100</v>
      </c>
      <c r="F2739" s="7">
        <v>45803.37857546155</v>
      </c>
      <c r="G2739" s="3" t="s">
        <v>8921</v>
      </c>
    </row>
    <row r="2740">
      <c r="A2740" s="3" t="s">
        <v>8922</v>
      </c>
      <c r="B2740" s="3" t="s">
        <v>2984</v>
      </c>
      <c r="C2740" s="5" t="s">
        <v>45</v>
      </c>
      <c r="D2740" s="3" t="s">
        <v>221</v>
      </c>
      <c r="E2740" s="3" t="s">
        <v>819</v>
      </c>
      <c r="F2740" s="7">
        <v>45803.43933364031</v>
      </c>
      <c r="G2740" s="3" t="s">
        <v>2770</v>
      </c>
    </row>
    <row r="2741">
      <c r="A2741" s="3" t="s">
        <v>8924</v>
      </c>
      <c r="B2741" s="3" t="s">
        <v>2984</v>
      </c>
      <c r="C2741" s="5" t="s">
        <v>221</v>
      </c>
      <c r="D2741" s="3" t="s">
        <v>181</v>
      </c>
      <c r="E2741" s="3" t="s">
        <v>118</v>
      </c>
      <c r="F2741" s="7">
        <v>45803.44280586253</v>
      </c>
      <c r="G2741" s="3" t="s">
        <v>2774</v>
      </c>
    </row>
    <row r="2742">
      <c r="A2742" s="3" t="s">
        <v>8926</v>
      </c>
      <c r="B2742" s="3" t="s">
        <v>2987</v>
      </c>
      <c r="C2742" s="5" t="s">
        <v>45</v>
      </c>
      <c r="D2742" s="3" t="s">
        <v>221</v>
      </c>
      <c r="E2742" s="3" t="s">
        <v>669</v>
      </c>
      <c r="F2742" s="7">
        <v>45803.51050848573</v>
      </c>
      <c r="G2742" s="3" t="s">
        <v>7627</v>
      </c>
    </row>
    <row r="2743">
      <c r="A2743" s="3" t="s">
        <v>8928</v>
      </c>
      <c r="B2743" s="3" t="s">
        <v>2987</v>
      </c>
      <c r="C2743" s="5" t="s">
        <v>221</v>
      </c>
      <c r="D2743" s="3" t="s">
        <v>614</v>
      </c>
      <c r="E2743" s="3" t="s">
        <v>118</v>
      </c>
      <c r="F2743" s="7">
        <v>45803.51398070795</v>
      </c>
      <c r="G2743" s="3" t="s">
        <v>8929</v>
      </c>
    </row>
    <row r="2744">
      <c r="A2744" s="3" t="s">
        <v>8930</v>
      </c>
      <c r="B2744" s="3" t="s">
        <v>2987</v>
      </c>
      <c r="C2744" s="5" t="s">
        <v>614</v>
      </c>
      <c r="D2744" s="3" t="s">
        <v>206</v>
      </c>
      <c r="E2744" s="3" t="s">
        <v>100</v>
      </c>
      <c r="F2744" s="7">
        <v>45803.51745293017</v>
      </c>
      <c r="G2744" s="3" t="s">
        <v>8932</v>
      </c>
    </row>
    <row r="2745">
      <c r="A2745" s="3" t="s">
        <v>8933</v>
      </c>
      <c r="B2745" s="3" t="s">
        <v>2987</v>
      </c>
      <c r="C2745" s="5" t="s">
        <v>206</v>
      </c>
      <c r="D2745" s="3" t="s">
        <v>68</v>
      </c>
      <c r="E2745" s="3" t="s">
        <v>100</v>
      </c>
      <c r="F2745" s="7">
        <v>45803.52092515239</v>
      </c>
      <c r="G2745" s="3" t="s">
        <v>8935</v>
      </c>
    </row>
    <row r="2746">
      <c r="A2746" s="3" t="s">
        <v>8936</v>
      </c>
      <c r="B2746" s="3" t="s">
        <v>2990</v>
      </c>
      <c r="C2746" s="5" t="s">
        <v>45</v>
      </c>
      <c r="D2746" s="3" t="s">
        <v>221</v>
      </c>
      <c r="E2746" s="3" t="s">
        <v>913</v>
      </c>
      <c r="F2746" s="7">
        <v>45803.58168333113</v>
      </c>
      <c r="G2746" s="3" t="s">
        <v>8938</v>
      </c>
    </row>
    <row r="2747">
      <c r="A2747" s="3" t="s">
        <v>8939</v>
      </c>
      <c r="B2747" s="3" t="s">
        <v>2990</v>
      </c>
      <c r="C2747" s="5" t="s">
        <v>221</v>
      </c>
      <c r="D2747" s="3" t="s">
        <v>614</v>
      </c>
      <c r="E2747" s="3" t="s">
        <v>118</v>
      </c>
      <c r="F2747" s="7">
        <v>45803.58515555335</v>
      </c>
      <c r="G2747" s="3" t="s">
        <v>8940</v>
      </c>
    </row>
    <row r="2748">
      <c r="A2748" s="3" t="s">
        <v>8942</v>
      </c>
      <c r="B2748" s="3" t="s">
        <v>2990</v>
      </c>
      <c r="C2748" s="5" t="s">
        <v>614</v>
      </c>
      <c r="D2748" s="3" t="s">
        <v>206</v>
      </c>
      <c r="E2748" s="3" t="s">
        <v>100</v>
      </c>
      <c r="F2748" s="7">
        <v>45803.58862777558</v>
      </c>
      <c r="G2748" s="3" t="s">
        <v>8943</v>
      </c>
    </row>
    <row r="2749">
      <c r="A2749" s="3" t="s">
        <v>8944</v>
      </c>
      <c r="B2749" s="3" t="s">
        <v>2990</v>
      </c>
      <c r="C2749" s="5" t="s">
        <v>206</v>
      </c>
      <c r="D2749" s="3" t="s">
        <v>68</v>
      </c>
      <c r="E2749" s="3" t="s">
        <v>100</v>
      </c>
      <c r="F2749" s="7">
        <v>45803.5920999978</v>
      </c>
      <c r="G2749" s="3" t="s">
        <v>8946</v>
      </c>
    </row>
    <row r="2750">
      <c r="A2750" s="3" t="s">
        <v>8947</v>
      </c>
      <c r="B2750" s="3" t="s">
        <v>2993</v>
      </c>
      <c r="C2750" s="5" t="s">
        <v>45</v>
      </c>
      <c r="D2750" s="3" t="s">
        <v>221</v>
      </c>
      <c r="E2750" s="3" t="s">
        <v>575</v>
      </c>
      <c r="F2750" s="7">
        <v>45803.65285817655</v>
      </c>
      <c r="G2750" s="3" t="s">
        <v>8949</v>
      </c>
    </row>
    <row r="2751">
      <c r="A2751" s="3" t="s">
        <v>8950</v>
      </c>
      <c r="B2751" s="3" t="s">
        <v>2993</v>
      </c>
      <c r="C2751" s="5" t="s">
        <v>221</v>
      </c>
      <c r="D2751" s="3" t="s">
        <v>614</v>
      </c>
      <c r="E2751" s="3" t="s">
        <v>118</v>
      </c>
      <c r="F2751" s="7">
        <v>45803.65633039877</v>
      </c>
      <c r="G2751" s="3" t="s">
        <v>8952</v>
      </c>
    </row>
    <row r="2752">
      <c r="A2752" s="3" t="s">
        <v>8953</v>
      </c>
      <c r="B2752" s="3" t="s">
        <v>2993</v>
      </c>
      <c r="C2752" s="5" t="s">
        <v>614</v>
      </c>
      <c r="D2752" s="3" t="s">
        <v>206</v>
      </c>
      <c r="E2752" s="3" t="s">
        <v>100</v>
      </c>
      <c r="F2752" s="7">
        <v>45803.659802621</v>
      </c>
      <c r="G2752" s="3" t="s">
        <v>8954</v>
      </c>
    </row>
    <row r="2753">
      <c r="A2753" s="3" t="s">
        <v>8956</v>
      </c>
      <c r="B2753" s="3" t="s">
        <v>2993</v>
      </c>
      <c r="C2753" s="5" t="s">
        <v>206</v>
      </c>
      <c r="D2753" s="3" t="s">
        <v>68</v>
      </c>
      <c r="E2753" s="3" t="s">
        <v>100</v>
      </c>
      <c r="F2753" s="7">
        <v>45803.66327484322</v>
      </c>
      <c r="G2753" s="3" t="s">
        <v>8957</v>
      </c>
    </row>
    <row r="2754">
      <c r="A2754" s="3" t="s">
        <v>8958</v>
      </c>
      <c r="B2754" s="3" t="s">
        <v>2998</v>
      </c>
      <c r="C2754" s="5" t="s">
        <v>45</v>
      </c>
      <c r="D2754" s="3" t="s">
        <v>221</v>
      </c>
      <c r="E2754" s="3" t="s">
        <v>612</v>
      </c>
      <c r="F2754" s="7">
        <v>45803.72403302197</v>
      </c>
      <c r="G2754" s="3" t="s">
        <v>5810</v>
      </c>
    </row>
    <row r="2755">
      <c r="A2755" s="3" t="s">
        <v>8960</v>
      </c>
      <c r="B2755" s="3" t="s">
        <v>2998</v>
      </c>
      <c r="C2755" s="5" t="s">
        <v>221</v>
      </c>
      <c r="D2755" s="3" t="s">
        <v>614</v>
      </c>
      <c r="E2755" s="3" t="s">
        <v>118</v>
      </c>
      <c r="F2755" s="7">
        <v>45803.72750524419</v>
      </c>
      <c r="G2755" s="3" t="s">
        <v>5813</v>
      </c>
    </row>
    <row r="2756">
      <c r="A2756" s="3" t="s">
        <v>8962</v>
      </c>
      <c r="B2756" s="3" t="s">
        <v>2998</v>
      </c>
      <c r="C2756" s="5" t="s">
        <v>614</v>
      </c>
      <c r="D2756" s="3" t="s">
        <v>206</v>
      </c>
      <c r="E2756" s="3" t="s">
        <v>100</v>
      </c>
      <c r="F2756" s="7">
        <v>45803.73097746642</v>
      </c>
      <c r="G2756" s="3" t="s">
        <v>5815</v>
      </c>
    </row>
    <row r="2757">
      <c r="A2757" s="3" t="s">
        <v>8964</v>
      </c>
      <c r="B2757" s="3" t="s">
        <v>2998</v>
      </c>
      <c r="C2757" s="5" t="s">
        <v>206</v>
      </c>
      <c r="D2757" s="3" t="s">
        <v>68</v>
      </c>
      <c r="E2757" s="3" t="s">
        <v>100</v>
      </c>
      <c r="F2757" s="7">
        <v>45803.734449688636</v>
      </c>
      <c r="G2757" s="3" t="s">
        <v>5818</v>
      </c>
    </row>
    <row r="2758">
      <c r="A2758" s="3" t="s">
        <v>8966</v>
      </c>
      <c r="B2758" s="3" t="s">
        <v>3001</v>
      </c>
      <c r="C2758" s="5" t="s">
        <v>45</v>
      </c>
      <c r="D2758" s="3" t="s">
        <v>221</v>
      </c>
      <c r="E2758" s="3" t="s">
        <v>263</v>
      </c>
      <c r="F2758" s="7">
        <v>45803.795207867384</v>
      </c>
      <c r="G2758" s="3" t="s">
        <v>8968</v>
      </c>
    </row>
    <row r="2759">
      <c r="A2759" s="3" t="s">
        <v>8969</v>
      </c>
      <c r="B2759" s="3" t="s">
        <v>3001</v>
      </c>
      <c r="C2759" s="5" t="s">
        <v>221</v>
      </c>
      <c r="D2759" s="3" t="s">
        <v>614</v>
      </c>
      <c r="E2759" s="3" t="s">
        <v>118</v>
      </c>
      <c r="F2759" s="7">
        <v>45803.7986800896</v>
      </c>
      <c r="G2759" s="3" t="s">
        <v>8971</v>
      </c>
    </row>
    <row r="2760">
      <c r="A2760" s="3" t="s">
        <v>8972</v>
      </c>
      <c r="B2760" s="3" t="s">
        <v>3001</v>
      </c>
      <c r="C2760" s="5" t="s">
        <v>614</v>
      </c>
      <c r="D2760" s="3" t="s">
        <v>206</v>
      </c>
      <c r="E2760" s="3" t="s">
        <v>100</v>
      </c>
      <c r="F2760" s="7">
        <v>45803.80215231183</v>
      </c>
      <c r="G2760" s="3" t="s">
        <v>8974</v>
      </c>
    </row>
    <row r="2761">
      <c r="A2761" s="3" t="s">
        <v>8975</v>
      </c>
      <c r="B2761" s="3" t="s">
        <v>3001</v>
      </c>
      <c r="C2761" s="5" t="s">
        <v>206</v>
      </c>
      <c r="D2761" s="3" t="s">
        <v>68</v>
      </c>
      <c r="E2761" s="3" t="s">
        <v>100</v>
      </c>
      <c r="F2761" s="7">
        <v>45803.80562453405</v>
      </c>
      <c r="G2761" s="3" t="s">
        <v>8977</v>
      </c>
    </row>
    <row r="2762">
      <c r="A2762" s="3" t="s">
        <v>8978</v>
      </c>
      <c r="B2762" s="3" t="s">
        <v>3003</v>
      </c>
      <c r="C2762" s="5" t="s">
        <v>45</v>
      </c>
      <c r="D2762" s="3" t="s">
        <v>221</v>
      </c>
      <c r="E2762" s="3" t="s">
        <v>669</v>
      </c>
      <c r="F2762" s="7">
        <v>45803.8663827128</v>
      </c>
      <c r="G2762" s="3" t="s">
        <v>7627</v>
      </c>
    </row>
    <row r="2763">
      <c r="A2763" s="3" t="s">
        <v>8980</v>
      </c>
      <c r="B2763" s="3" t="s">
        <v>3003</v>
      </c>
      <c r="C2763" s="5" t="s">
        <v>221</v>
      </c>
      <c r="D2763" s="3" t="s">
        <v>614</v>
      </c>
      <c r="E2763" s="3" t="s">
        <v>118</v>
      </c>
      <c r="F2763" s="7">
        <v>45803.869854935016</v>
      </c>
      <c r="G2763" s="3" t="s">
        <v>8929</v>
      </c>
    </row>
    <row r="2764">
      <c r="A2764" s="3" t="s">
        <v>8982</v>
      </c>
      <c r="B2764" s="3" t="s">
        <v>3003</v>
      </c>
      <c r="C2764" s="5" t="s">
        <v>614</v>
      </c>
      <c r="D2764" s="3" t="s">
        <v>206</v>
      </c>
      <c r="E2764" s="3" t="s">
        <v>100</v>
      </c>
      <c r="F2764" s="7">
        <v>45803.87332715724</v>
      </c>
      <c r="G2764" s="3" t="s">
        <v>8932</v>
      </c>
    </row>
    <row r="2765">
      <c r="A2765" s="3" t="s">
        <v>8983</v>
      </c>
      <c r="B2765" s="3" t="s">
        <v>3003</v>
      </c>
      <c r="C2765" s="5" t="s">
        <v>206</v>
      </c>
      <c r="D2765" s="3" t="s">
        <v>68</v>
      </c>
      <c r="E2765" s="3" t="s">
        <v>100</v>
      </c>
      <c r="F2765" s="7">
        <v>45803.87679937946</v>
      </c>
      <c r="G2765" s="3" t="s">
        <v>8935</v>
      </c>
    </row>
    <row r="2766">
      <c r="A2766" s="3" t="s">
        <v>8985</v>
      </c>
      <c r="B2766" s="3" t="s">
        <v>3005</v>
      </c>
      <c r="C2766" s="5" t="s">
        <v>45</v>
      </c>
      <c r="D2766" s="3" t="s">
        <v>221</v>
      </c>
      <c r="E2766" s="3" t="s">
        <v>800</v>
      </c>
      <c r="F2766" s="7">
        <v>45803.937557558216</v>
      </c>
      <c r="G2766" s="3" t="s">
        <v>8987</v>
      </c>
    </row>
    <row r="2767">
      <c r="A2767" s="3" t="s">
        <v>8988</v>
      </c>
      <c r="B2767" s="3" t="s">
        <v>3005</v>
      </c>
      <c r="C2767" s="5" t="s">
        <v>221</v>
      </c>
      <c r="D2767" s="3" t="s">
        <v>614</v>
      </c>
      <c r="E2767" s="3" t="s">
        <v>118</v>
      </c>
      <c r="F2767" s="7">
        <v>45803.941029780435</v>
      </c>
      <c r="G2767" s="3" t="s">
        <v>8990</v>
      </c>
    </row>
    <row r="2768">
      <c r="A2768" s="3" t="s">
        <v>8991</v>
      </c>
      <c r="B2768" s="3" t="s">
        <v>3005</v>
      </c>
      <c r="C2768" s="5" t="s">
        <v>614</v>
      </c>
      <c r="D2768" s="3" t="s">
        <v>206</v>
      </c>
      <c r="E2768" s="3" t="s">
        <v>100</v>
      </c>
      <c r="F2768" s="7">
        <v>45803.94450200266</v>
      </c>
      <c r="G2768" s="3" t="s">
        <v>8993</v>
      </c>
    </row>
    <row r="2769">
      <c r="A2769" s="3" t="s">
        <v>8994</v>
      </c>
      <c r="B2769" s="3" t="s">
        <v>3005</v>
      </c>
      <c r="C2769" s="5" t="s">
        <v>206</v>
      </c>
      <c r="D2769" s="3" t="s">
        <v>68</v>
      </c>
      <c r="E2769" s="3" t="s">
        <v>100</v>
      </c>
      <c r="F2769" s="7">
        <v>45803.94797422488</v>
      </c>
      <c r="G2769" s="3" t="s">
        <v>8996</v>
      </c>
    </row>
    <row r="2770">
      <c r="A2770" s="3" t="s">
        <v>8997</v>
      </c>
      <c r="B2770" s="3" t="s">
        <v>3008</v>
      </c>
      <c r="C2770" s="5" t="s">
        <v>45</v>
      </c>
      <c r="D2770" s="3" t="s">
        <v>221</v>
      </c>
      <c r="E2770" s="3" t="s">
        <v>822</v>
      </c>
      <c r="F2770" s="7">
        <v>45804.00873240363</v>
      </c>
      <c r="G2770" s="3" t="s">
        <v>7164</v>
      </c>
    </row>
    <row r="2771">
      <c r="A2771" s="3" t="s">
        <v>8999</v>
      </c>
      <c r="B2771" s="3" t="s">
        <v>3008</v>
      </c>
      <c r="C2771" s="5" t="s">
        <v>221</v>
      </c>
      <c r="D2771" s="3" t="s">
        <v>181</v>
      </c>
      <c r="E2771" s="3" t="s">
        <v>118</v>
      </c>
      <c r="F2771" s="7">
        <v>45804.01220462585</v>
      </c>
      <c r="G2771" s="3" t="s">
        <v>9001</v>
      </c>
    </row>
    <row r="2772">
      <c r="A2772" s="3" t="s">
        <v>9002</v>
      </c>
      <c r="B2772" s="3" t="s">
        <v>3011</v>
      </c>
      <c r="C2772" s="5" t="s">
        <v>45</v>
      </c>
      <c r="D2772" s="3" t="s">
        <v>221</v>
      </c>
      <c r="E2772" s="3" t="s">
        <v>643</v>
      </c>
      <c r="F2772" s="7">
        <v>45804.07990724904</v>
      </c>
      <c r="G2772" s="3" t="s">
        <v>9004</v>
      </c>
    </row>
    <row r="2773">
      <c r="A2773" s="3" t="s">
        <v>9005</v>
      </c>
      <c r="B2773" s="3" t="s">
        <v>3011</v>
      </c>
      <c r="C2773" s="5" t="s">
        <v>221</v>
      </c>
      <c r="D2773" s="3" t="s">
        <v>614</v>
      </c>
      <c r="E2773" s="3" t="s">
        <v>118</v>
      </c>
      <c r="F2773" s="7">
        <v>45804.08337947126</v>
      </c>
      <c r="G2773" s="3" t="s">
        <v>9006</v>
      </c>
    </row>
    <row r="2774">
      <c r="A2774" s="3" t="s">
        <v>9008</v>
      </c>
      <c r="B2774" s="3" t="s">
        <v>3011</v>
      </c>
      <c r="C2774" s="5" t="s">
        <v>614</v>
      </c>
      <c r="D2774" s="3" t="s">
        <v>206</v>
      </c>
      <c r="E2774" s="3" t="s">
        <v>100</v>
      </c>
      <c r="F2774" s="7">
        <v>45804.086851693486</v>
      </c>
      <c r="G2774" s="3" t="s">
        <v>9009</v>
      </c>
    </row>
    <row r="2775">
      <c r="A2775" s="3" t="s">
        <v>9010</v>
      </c>
      <c r="B2775" s="3" t="s">
        <v>3011</v>
      </c>
      <c r="C2775" s="5" t="s">
        <v>206</v>
      </c>
      <c r="D2775" s="3" t="s">
        <v>68</v>
      </c>
      <c r="E2775" s="3" t="s">
        <v>100</v>
      </c>
      <c r="F2775" s="7">
        <v>45804.090323915705</v>
      </c>
      <c r="G2775" s="3" t="s">
        <v>9012</v>
      </c>
    </row>
    <row r="2776">
      <c r="A2776" s="3" t="s">
        <v>9013</v>
      </c>
      <c r="B2776" s="3" t="s">
        <v>3014</v>
      </c>
      <c r="C2776" s="5" t="s">
        <v>45</v>
      </c>
      <c r="D2776" s="3" t="s">
        <v>221</v>
      </c>
      <c r="E2776" s="3" t="s">
        <v>247</v>
      </c>
      <c r="F2776" s="7">
        <v>45804.15108209446</v>
      </c>
      <c r="G2776" s="3" t="s">
        <v>9015</v>
      </c>
    </row>
    <row r="2777">
      <c r="A2777" s="3" t="s">
        <v>9016</v>
      </c>
      <c r="B2777" s="3" t="s">
        <v>3014</v>
      </c>
      <c r="C2777" s="5" t="s">
        <v>221</v>
      </c>
      <c r="D2777" s="3" t="s">
        <v>195</v>
      </c>
      <c r="E2777" s="3" t="s">
        <v>247</v>
      </c>
      <c r="F2777" s="7">
        <v>45804.15455431668</v>
      </c>
      <c r="G2777" s="3" t="s">
        <v>9017</v>
      </c>
    </row>
    <row r="2778">
      <c r="A2778" s="3" t="s">
        <v>9019</v>
      </c>
      <c r="B2778" s="3" t="s">
        <v>3017</v>
      </c>
      <c r="C2778" s="5" t="s">
        <v>45</v>
      </c>
      <c r="D2778" s="3" t="s">
        <v>221</v>
      </c>
      <c r="E2778" s="3" t="s">
        <v>148</v>
      </c>
      <c r="F2778" s="7">
        <v>45804.22225693987</v>
      </c>
      <c r="G2778" s="3" t="s">
        <v>9020</v>
      </c>
    </row>
    <row r="2779">
      <c r="A2779" s="3" t="s">
        <v>9022</v>
      </c>
      <c r="B2779" s="3" t="s">
        <v>3017</v>
      </c>
      <c r="C2779" s="5" t="s">
        <v>221</v>
      </c>
      <c r="D2779" s="3" t="s">
        <v>614</v>
      </c>
      <c r="E2779" s="3" t="s">
        <v>118</v>
      </c>
      <c r="F2779" s="7">
        <v>45804.22572916209</v>
      </c>
      <c r="G2779" s="3" t="s">
        <v>9023</v>
      </c>
    </row>
    <row r="2780">
      <c r="A2780" s="3" t="s">
        <v>9024</v>
      </c>
      <c r="B2780" s="3" t="s">
        <v>3017</v>
      </c>
      <c r="C2780" s="5" t="s">
        <v>614</v>
      </c>
      <c r="D2780" s="3" t="s">
        <v>206</v>
      </c>
      <c r="E2780" s="3" t="s">
        <v>100</v>
      </c>
      <c r="F2780" s="7">
        <v>45804.22920138432</v>
      </c>
      <c r="G2780" s="3" t="s">
        <v>9026</v>
      </c>
    </row>
    <row r="2781">
      <c r="A2781" s="3" t="s">
        <v>9027</v>
      </c>
      <c r="B2781" s="3" t="s">
        <v>3017</v>
      </c>
      <c r="C2781" s="5" t="s">
        <v>206</v>
      </c>
      <c r="D2781" s="3" t="s">
        <v>68</v>
      </c>
      <c r="E2781" s="3" t="s">
        <v>100</v>
      </c>
      <c r="F2781" s="7">
        <v>45804.23267360654</v>
      </c>
      <c r="G2781" s="3" t="s">
        <v>9029</v>
      </c>
    </row>
    <row r="2782">
      <c r="A2782" s="3" t="s">
        <v>9030</v>
      </c>
      <c r="B2782" s="3" t="s">
        <v>3020</v>
      </c>
      <c r="C2782" s="5" t="s">
        <v>45</v>
      </c>
      <c r="D2782" s="3" t="s">
        <v>221</v>
      </c>
      <c r="E2782" s="3" t="s">
        <v>219</v>
      </c>
      <c r="F2782" s="7">
        <v>45804.293431785285</v>
      </c>
      <c r="G2782" s="3" t="s">
        <v>3690</v>
      </c>
    </row>
    <row r="2783">
      <c r="A2783" s="3" t="s">
        <v>9032</v>
      </c>
      <c r="B2783" s="3" t="s">
        <v>3020</v>
      </c>
      <c r="C2783" s="5" t="s">
        <v>221</v>
      </c>
      <c r="D2783" s="3" t="s">
        <v>614</v>
      </c>
      <c r="E2783" s="3" t="s">
        <v>118</v>
      </c>
      <c r="F2783" s="7">
        <v>45804.296904007504</v>
      </c>
      <c r="G2783" s="3" t="s">
        <v>9034</v>
      </c>
    </row>
    <row r="2784">
      <c r="A2784" s="3" t="s">
        <v>9035</v>
      </c>
      <c r="B2784" s="3" t="s">
        <v>3020</v>
      </c>
      <c r="C2784" s="5" t="s">
        <v>614</v>
      </c>
      <c r="D2784" s="3" t="s">
        <v>206</v>
      </c>
      <c r="E2784" s="3" t="s">
        <v>100</v>
      </c>
      <c r="F2784" s="7">
        <v>45804.30037622973</v>
      </c>
      <c r="G2784" s="3" t="s">
        <v>9037</v>
      </c>
    </row>
    <row r="2785">
      <c r="A2785" s="3" t="s">
        <v>9038</v>
      </c>
      <c r="B2785" s="3" t="s">
        <v>3020</v>
      </c>
      <c r="C2785" s="5" t="s">
        <v>206</v>
      </c>
      <c r="D2785" s="3" t="s">
        <v>68</v>
      </c>
      <c r="E2785" s="3" t="s">
        <v>100</v>
      </c>
      <c r="F2785" s="7">
        <v>45804.30384845195</v>
      </c>
      <c r="G2785" s="3" t="s">
        <v>9040</v>
      </c>
    </row>
    <row r="2786">
      <c r="A2786" s="3" t="s">
        <v>9041</v>
      </c>
      <c r="B2786" s="3" t="s">
        <v>3023</v>
      </c>
      <c r="C2786" s="5" t="s">
        <v>45</v>
      </c>
      <c r="D2786" s="3" t="s">
        <v>221</v>
      </c>
      <c r="E2786" s="3" t="s">
        <v>123</v>
      </c>
      <c r="F2786" s="7">
        <v>45804.364606630705</v>
      </c>
      <c r="G2786" s="3" t="s">
        <v>9043</v>
      </c>
    </row>
    <row r="2787">
      <c r="A2787" s="3" t="s">
        <v>9044</v>
      </c>
      <c r="B2787" s="3" t="s">
        <v>3023</v>
      </c>
      <c r="C2787" s="5" t="s">
        <v>221</v>
      </c>
      <c r="D2787" s="3" t="s">
        <v>614</v>
      </c>
      <c r="E2787" s="3" t="s">
        <v>118</v>
      </c>
      <c r="F2787" s="7">
        <v>45804.368078852924</v>
      </c>
      <c r="G2787" s="3" t="s">
        <v>9046</v>
      </c>
    </row>
    <row r="2788">
      <c r="A2788" s="3" t="s">
        <v>9047</v>
      </c>
      <c r="B2788" s="3" t="s">
        <v>3023</v>
      </c>
      <c r="C2788" s="5" t="s">
        <v>614</v>
      </c>
      <c r="D2788" s="3" t="s">
        <v>206</v>
      </c>
      <c r="E2788" s="3" t="s">
        <v>100</v>
      </c>
      <c r="F2788" s="7">
        <v>45804.37155107515</v>
      </c>
      <c r="G2788" s="3" t="s">
        <v>9049</v>
      </c>
    </row>
    <row r="2789">
      <c r="A2789" s="3" t="s">
        <v>9050</v>
      </c>
      <c r="B2789" s="3" t="s">
        <v>3023</v>
      </c>
      <c r="C2789" s="5" t="s">
        <v>206</v>
      </c>
      <c r="D2789" s="3" t="s">
        <v>68</v>
      </c>
      <c r="E2789" s="3" t="s">
        <v>100</v>
      </c>
      <c r="F2789" s="7">
        <v>45804.37502329737</v>
      </c>
      <c r="G2789" s="3" t="s">
        <v>9051</v>
      </c>
    </row>
    <row r="2790">
      <c r="A2790" s="3" t="s">
        <v>9053</v>
      </c>
      <c r="B2790" s="3" t="s">
        <v>3026</v>
      </c>
      <c r="C2790" s="5" t="s">
        <v>45</v>
      </c>
      <c r="D2790" s="3" t="s">
        <v>221</v>
      </c>
      <c r="E2790" s="3" t="s">
        <v>669</v>
      </c>
      <c r="F2790" s="7">
        <v>45804.43578147612</v>
      </c>
      <c r="G2790" s="3" t="s">
        <v>5171</v>
      </c>
    </row>
    <row r="2791">
      <c r="A2791" s="3" t="s">
        <v>9054</v>
      </c>
      <c r="B2791" s="3" t="s">
        <v>3026</v>
      </c>
      <c r="C2791" s="5" t="s">
        <v>221</v>
      </c>
      <c r="D2791" s="3" t="s">
        <v>181</v>
      </c>
      <c r="E2791" s="3" t="s">
        <v>118</v>
      </c>
      <c r="F2791" s="7">
        <v>45804.439253698336</v>
      </c>
      <c r="G2791" s="3" t="s">
        <v>5174</v>
      </c>
    </row>
    <row r="2792">
      <c r="A2792" s="3" t="s">
        <v>9057</v>
      </c>
      <c r="B2792" s="3" t="s">
        <v>3029</v>
      </c>
      <c r="C2792" s="5" t="s">
        <v>45</v>
      </c>
      <c r="D2792" s="3" t="s">
        <v>221</v>
      </c>
      <c r="E2792" s="3" t="s">
        <v>466</v>
      </c>
      <c r="F2792" s="7">
        <v>45804.50695632153</v>
      </c>
      <c r="G2792" s="3" t="s">
        <v>7670</v>
      </c>
    </row>
    <row r="2793">
      <c r="A2793" s="3" t="s">
        <v>9059</v>
      </c>
      <c r="B2793" s="3" t="s">
        <v>3029</v>
      </c>
      <c r="C2793" s="5" t="s">
        <v>221</v>
      </c>
      <c r="D2793" s="3" t="s">
        <v>181</v>
      </c>
      <c r="E2793" s="3" t="s">
        <v>118</v>
      </c>
      <c r="F2793" s="7">
        <v>45804.51042854375</v>
      </c>
      <c r="G2793" s="3" t="s">
        <v>9061</v>
      </c>
    </row>
    <row r="2794">
      <c r="A2794" s="3" t="s">
        <v>9062</v>
      </c>
      <c r="B2794" s="3" t="s">
        <v>3032</v>
      </c>
      <c r="C2794" s="5" t="s">
        <v>45</v>
      </c>
      <c r="D2794" s="3" t="s">
        <v>221</v>
      </c>
      <c r="E2794" s="3" t="s">
        <v>383</v>
      </c>
      <c r="F2794" s="7">
        <v>45804.57813116695</v>
      </c>
      <c r="G2794" s="3" t="s">
        <v>3139</v>
      </c>
    </row>
    <row r="2795">
      <c r="A2795" s="3" t="s">
        <v>9064</v>
      </c>
      <c r="B2795" s="3" t="s">
        <v>3032</v>
      </c>
      <c r="C2795" s="5" t="s">
        <v>221</v>
      </c>
      <c r="D2795" s="3" t="s">
        <v>614</v>
      </c>
      <c r="E2795" s="3" t="s">
        <v>118</v>
      </c>
      <c r="F2795" s="7">
        <v>45804.58160338917</v>
      </c>
      <c r="G2795" s="3" t="s">
        <v>3142</v>
      </c>
    </row>
    <row r="2796">
      <c r="A2796" s="3" t="s">
        <v>9066</v>
      </c>
      <c r="B2796" s="3" t="s">
        <v>3032</v>
      </c>
      <c r="C2796" s="5" t="s">
        <v>614</v>
      </c>
      <c r="D2796" s="3" t="s">
        <v>206</v>
      </c>
      <c r="E2796" s="3" t="s">
        <v>100</v>
      </c>
      <c r="F2796" s="7">
        <v>45804.585075611394</v>
      </c>
      <c r="G2796" s="3" t="s">
        <v>3144</v>
      </c>
    </row>
    <row r="2797">
      <c r="A2797" s="3" t="s">
        <v>9068</v>
      </c>
      <c r="B2797" s="3" t="s">
        <v>3032</v>
      </c>
      <c r="C2797" s="5" t="s">
        <v>206</v>
      </c>
      <c r="D2797" s="3" t="s">
        <v>68</v>
      </c>
      <c r="E2797" s="3" t="s">
        <v>100</v>
      </c>
      <c r="F2797" s="7">
        <v>45804.58854783361</v>
      </c>
      <c r="G2797" s="3" t="s">
        <v>3149</v>
      </c>
    </row>
    <row r="2798">
      <c r="A2798" s="3" t="s">
        <v>9070</v>
      </c>
      <c r="B2798" s="3" t="s">
        <v>3035</v>
      </c>
      <c r="C2798" s="5" t="s">
        <v>45</v>
      </c>
      <c r="D2798" s="3" t="s">
        <v>221</v>
      </c>
      <c r="E2798" s="3" t="s">
        <v>747</v>
      </c>
      <c r="F2798" s="7">
        <v>45804.64930601237</v>
      </c>
      <c r="G2798" s="3" t="s">
        <v>9071</v>
      </c>
    </row>
    <row r="2799">
      <c r="A2799" s="3" t="s">
        <v>9073</v>
      </c>
      <c r="B2799" s="3" t="s">
        <v>3035</v>
      </c>
      <c r="C2799" s="5" t="s">
        <v>221</v>
      </c>
      <c r="D2799" s="3" t="s">
        <v>614</v>
      </c>
      <c r="E2799" s="3" t="s">
        <v>118</v>
      </c>
      <c r="F2799" s="7">
        <v>45804.65277823459</v>
      </c>
      <c r="G2799" s="3" t="s">
        <v>9074</v>
      </c>
    </row>
    <row r="2800">
      <c r="A2800" s="3" t="s">
        <v>9075</v>
      </c>
      <c r="B2800" s="3" t="s">
        <v>3035</v>
      </c>
      <c r="C2800" s="5" t="s">
        <v>614</v>
      </c>
      <c r="D2800" s="3" t="s">
        <v>206</v>
      </c>
      <c r="E2800" s="3" t="s">
        <v>100</v>
      </c>
      <c r="F2800" s="7">
        <v>45804.656250456814</v>
      </c>
      <c r="G2800" s="3" t="s">
        <v>9077</v>
      </c>
    </row>
    <row r="2801">
      <c r="A2801" s="3" t="s">
        <v>9078</v>
      </c>
      <c r="B2801" s="3" t="s">
        <v>3035</v>
      </c>
      <c r="C2801" s="5" t="s">
        <v>206</v>
      </c>
      <c r="D2801" s="3" t="s">
        <v>68</v>
      </c>
      <c r="E2801" s="3" t="s">
        <v>100</v>
      </c>
      <c r="F2801" s="7">
        <v>45804.65972267903</v>
      </c>
      <c r="G2801" s="3" t="s">
        <v>9080</v>
      </c>
    </row>
    <row r="2802">
      <c r="A2802" s="3" t="s">
        <v>9081</v>
      </c>
      <c r="B2802" s="3" t="s">
        <v>3038</v>
      </c>
      <c r="C2802" s="5" t="s">
        <v>45</v>
      </c>
      <c r="D2802" s="3" t="s">
        <v>221</v>
      </c>
      <c r="E2802" s="3" t="s">
        <v>159</v>
      </c>
      <c r="F2802" s="7">
        <v>45804.72048085777</v>
      </c>
      <c r="G2802" s="3" t="s">
        <v>8901</v>
      </c>
    </row>
    <row r="2803">
      <c r="A2803" s="3" t="s">
        <v>9083</v>
      </c>
      <c r="B2803" s="3" t="s">
        <v>3038</v>
      </c>
      <c r="C2803" s="5" t="s">
        <v>221</v>
      </c>
      <c r="D2803" s="3" t="s">
        <v>614</v>
      </c>
      <c r="E2803" s="3" t="s">
        <v>118</v>
      </c>
      <c r="F2803" s="7">
        <v>45804.72395307999</v>
      </c>
      <c r="G2803" s="3" t="s">
        <v>8904</v>
      </c>
    </row>
    <row r="2804">
      <c r="A2804" s="3" t="s">
        <v>9085</v>
      </c>
      <c r="B2804" s="3" t="s">
        <v>3038</v>
      </c>
      <c r="C2804" s="5" t="s">
        <v>614</v>
      </c>
      <c r="D2804" s="3" t="s">
        <v>206</v>
      </c>
      <c r="E2804" s="3" t="s">
        <v>100</v>
      </c>
      <c r="F2804" s="7">
        <v>45804.72742530222</v>
      </c>
      <c r="G2804" s="3" t="s">
        <v>8907</v>
      </c>
    </row>
    <row r="2805">
      <c r="A2805" s="3" t="s">
        <v>9087</v>
      </c>
      <c r="B2805" s="3" t="s">
        <v>3038</v>
      </c>
      <c r="C2805" s="5" t="s">
        <v>206</v>
      </c>
      <c r="D2805" s="3" t="s">
        <v>68</v>
      </c>
      <c r="E2805" s="3" t="s">
        <v>100</v>
      </c>
      <c r="F2805" s="7">
        <v>45804.73089752444</v>
      </c>
      <c r="G2805" s="3" t="s">
        <v>8910</v>
      </c>
    </row>
    <row r="2806">
      <c r="A2806" s="3" t="s">
        <v>9089</v>
      </c>
      <c r="B2806" s="3" t="s">
        <v>3041</v>
      </c>
      <c r="C2806" s="5" t="s">
        <v>45</v>
      </c>
      <c r="D2806" s="3" t="s">
        <v>221</v>
      </c>
      <c r="E2806" s="3" t="s">
        <v>302</v>
      </c>
      <c r="F2806" s="7">
        <v>45804.79165570319</v>
      </c>
      <c r="G2806" s="3" t="s">
        <v>9090</v>
      </c>
    </row>
    <row r="2807">
      <c r="A2807" s="3" t="s">
        <v>9092</v>
      </c>
      <c r="B2807" s="3" t="s">
        <v>3041</v>
      </c>
      <c r="C2807" s="5" t="s">
        <v>221</v>
      </c>
      <c r="D2807" s="3" t="s">
        <v>181</v>
      </c>
      <c r="E2807" s="3" t="s">
        <v>118</v>
      </c>
      <c r="F2807" s="7">
        <v>45804.79512792541</v>
      </c>
      <c r="G2807" s="3" t="s">
        <v>9093</v>
      </c>
    </row>
    <row r="2808">
      <c r="A2808" s="3" t="s">
        <v>9095</v>
      </c>
      <c r="B2808" s="3" t="s">
        <v>3044</v>
      </c>
      <c r="C2808" s="5" t="s">
        <v>45</v>
      </c>
      <c r="D2808" s="3" t="s">
        <v>221</v>
      </c>
      <c r="E2808" s="3" t="s">
        <v>524</v>
      </c>
      <c r="F2808" s="7">
        <v>45804.86283054861</v>
      </c>
      <c r="G2808" s="3" t="s">
        <v>9096</v>
      </c>
    </row>
    <row r="2809">
      <c r="A2809" s="3" t="s">
        <v>9098</v>
      </c>
      <c r="B2809" s="3" t="s">
        <v>3044</v>
      </c>
      <c r="C2809" s="5" t="s">
        <v>221</v>
      </c>
      <c r="D2809" s="3" t="s">
        <v>614</v>
      </c>
      <c r="E2809" s="3" t="s">
        <v>118</v>
      </c>
      <c r="F2809" s="7">
        <v>45804.86630277083</v>
      </c>
      <c r="G2809" s="3" t="s">
        <v>9099</v>
      </c>
    </row>
    <row r="2810">
      <c r="A2810" s="3" t="s">
        <v>9100</v>
      </c>
      <c r="B2810" s="3" t="s">
        <v>3044</v>
      </c>
      <c r="C2810" s="5" t="s">
        <v>614</v>
      </c>
      <c r="D2810" s="3" t="s">
        <v>206</v>
      </c>
      <c r="E2810" s="3" t="s">
        <v>100</v>
      </c>
      <c r="F2810" s="7">
        <v>45804.86977499306</v>
      </c>
      <c r="G2810" s="3" t="s">
        <v>9102</v>
      </c>
    </row>
    <row r="2811">
      <c r="A2811" s="3" t="s">
        <v>9103</v>
      </c>
      <c r="B2811" s="3" t="s">
        <v>3044</v>
      </c>
      <c r="C2811" s="5" t="s">
        <v>206</v>
      </c>
      <c r="D2811" s="3" t="s">
        <v>68</v>
      </c>
      <c r="E2811" s="3" t="s">
        <v>100</v>
      </c>
      <c r="F2811" s="7">
        <v>45804.87324721528</v>
      </c>
      <c r="G2811" s="3" t="s">
        <v>9105</v>
      </c>
    </row>
    <row r="2812">
      <c r="A2812" s="3" t="s">
        <v>9107</v>
      </c>
      <c r="B2812" s="3" t="s">
        <v>3047</v>
      </c>
      <c r="C2812" s="5" t="s">
        <v>45</v>
      </c>
      <c r="D2812" s="3" t="s">
        <v>221</v>
      </c>
      <c r="E2812" s="3" t="s">
        <v>760</v>
      </c>
      <c r="F2812" s="7">
        <v>45804.934005394025</v>
      </c>
      <c r="G2812" s="3" t="s">
        <v>8085</v>
      </c>
    </row>
    <row r="2813">
      <c r="A2813" s="3" t="s">
        <v>9109</v>
      </c>
      <c r="B2813" s="3" t="s">
        <v>3047</v>
      </c>
      <c r="C2813" s="5" t="s">
        <v>221</v>
      </c>
      <c r="D2813" s="3" t="s">
        <v>614</v>
      </c>
      <c r="E2813" s="3" t="s">
        <v>118</v>
      </c>
      <c r="F2813" s="7">
        <v>45804.937477616244</v>
      </c>
      <c r="G2813" s="3" t="s">
        <v>8088</v>
      </c>
    </row>
    <row r="2814">
      <c r="A2814" s="3" t="s">
        <v>9112</v>
      </c>
      <c r="B2814" s="3" t="s">
        <v>3047</v>
      </c>
      <c r="C2814" s="5" t="s">
        <v>614</v>
      </c>
      <c r="D2814" s="3" t="s">
        <v>206</v>
      </c>
      <c r="E2814" s="3" t="s">
        <v>100</v>
      </c>
      <c r="F2814" s="7">
        <v>45804.94094983847</v>
      </c>
      <c r="G2814" s="3" t="s">
        <v>8091</v>
      </c>
    </row>
    <row r="2815">
      <c r="A2815" s="3" t="s">
        <v>9113</v>
      </c>
      <c r="B2815" s="3" t="s">
        <v>3047</v>
      </c>
      <c r="C2815" s="5" t="s">
        <v>206</v>
      </c>
      <c r="D2815" s="3" t="s">
        <v>68</v>
      </c>
      <c r="E2815" s="3" t="s">
        <v>100</v>
      </c>
      <c r="F2815" s="7">
        <v>45804.94442206069</v>
      </c>
      <c r="G2815" s="3" t="s">
        <v>8094</v>
      </c>
    </row>
    <row r="2816">
      <c r="A2816" s="3" t="s">
        <v>9115</v>
      </c>
      <c r="B2816" s="3" t="s">
        <v>3050</v>
      </c>
      <c r="C2816" s="5" t="s">
        <v>45</v>
      </c>
      <c r="D2816" s="3" t="s">
        <v>221</v>
      </c>
      <c r="E2816" s="3" t="s">
        <v>717</v>
      </c>
      <c r="F2816" s="7">
        <v>45805.00518023944</v>
      </c>
      <c r="G2816" s="3" t="s">
        <v>9117</v>
      </c>
    </row>
    <row r="2817">
      <c r="A2817" s="3" t="s">
        <v>9118</v>
      </c>
      <c r="B2817" s="3" t="s">
        <v>3050</v>
      </c>
      <c r="C2817" s="5" t="s">
        <v>221</v>
      </c>
      <c r="D2817" s="3" t="s">
        <v>614</v>
      </c>
      <c r="E2817" s="3" t="s">
        <v>118</v>
      </c>
      <c r="F2817" s="7">
        <v>45805.008652461656</v>
      </c>
      <c r="G2817" s="3" t="s">
        <v>9120</v>
      </c>
    </row>
    <row r="2818">
      <c r="A2818" s="3" t="s">
        <v>9121</v>
      </c>
      <c r="B2818" s="3" t="s">
        <v>3050</v>
      </c>
      <c r="C2818" s="5" t="s">
        <v>614</v>
      </c>
      <c r="D2818" s="3" t="s">
        <v>206</v>
      </c>
      <c r="E2818" s="3" t="s">
        <v>100</v>
      </c>
      <c r="F2818" s="7">
        <v>45805.01212468388</v>
      </c>
      <c r="G2818" s="3" t="s">
        <v>9122</v>
      </c>
    </row>
    <row r="2819">
      <c r="A2819" s="3" t="s">
        <v>9124</v>
      </c>
      <c r="B2819" s="3" t="s">
        <v>3050</v>
      </c>
      <c r="C2819" s="5" t="s">
        <v>206</v>
      </c>
      <c r="D2819" s="3" t="s">
        <v>68</v>
      </c>
      <c r="E2819" s="3" t="s">
        <v>100</v>
      </c>
      <c r="F2819" s="7">
        <v>45805.0155969061</v>
      </c>
      <c r="G2819" s="3" t="s">
        <v>9125</v>
      </c>
    </row>
    <row r="2820">
      <c r="A2820" s="3" t="s">
        <v>9127</v>
      </c>
      <c r="B2820" s="3" t="s">
        <v>3053</v>
      </c>
      <c r="C2820" s="5" t="s">
        <v>45</v>
      </c>
      <c r="D2820" s="3" t="s">
        <v>221</v>
      </c>
      <c r="E2820" s="3" t="s">
        <v>731</v>
      </c>
      <c r="F2820" s="7">
        <v>45805.07635508486</v>
      </c>
      <c r="G2820" s="3" t="s">
        <v>9128</v>
      </c>
    </row>
    <row r="2821">
      <c r="A2821" s="3" t="s">
        <v>9130</v>
      </c>
      <c r="B2821" s="3" t="s">
        <v>3053</v>
      </c>
      <c r="C2821" s="5" t="s">
        <v>221</v>
      </c>
      <c r="D2821" s="3" t="s">
        <v>614</v>
      </c>
      <c r="E2821" s="3" t="s">
        <v>118</v>
      </c>
      <c r="F2821" s="7">
        <v>45805.079827307076</v>
      </c>
      <c r="G2821" s="3" t="s">
        <v>9131</v>
      </c>
    </row>
    <row r="2822">
      <c r="A2822" s="3" t="s">
        <v>9133</v>
      </c>
      <c r="B2822" s="3" t="s">
        <v>3053</v>
      </c>
      <c r="C2822" s="5" t="s">
        <v>614</v>
      </c>
      <c r="D2822" s="3" t="s">
        <v>206</v>
      </c>
      <c r="E2822" s="3" t="s">
        <v>100</v>
      </c>
      <c r="F2822" s="7">
        <v>45805.0832995293</v>
      </c>
      <c r="G2822" s="3" t="s">
        <v>9134</v>
      </c>
    </row>
    <row r="2823">
      <c r="A2823" s="3" t="s">
        <v>9135</v>
      </c>
      <c r="B2823" s="3" t="s">
        <v>3053</v>
      </c>
      <c r="C2823" s="5" t="s">
        <v>206</v>
      </c>
      <c r="D2823" s="3" t="s">
        <v>68</v>
      </c>
      <c r="E2823" s="3" t="s">
        <v>100</v>
      </c>
      <c r="F2823" s="7">
        <v>45805.08677175152</v>
      </c>
      <c r="G2823" s="3" t="s">
        <v>9137</v>
      </c>
    </row>
    <row r="2824">
      <c r="A2824" s="3" t="s">
        <v>9138</v>
      </c>
      <c r="B2824" s="3" t="s">
        <v>3057</v>
      </c>
      <c r="C2824" s="5" t="s">
        <v>45</v>
      </c>
      <c r="D2824" s="3" t="s">
        <v>221</v>
      </c>
      <c r="E2824" s="3" t="s">
        <v>830</v>
      </c>
      <c r="F2824" s="7">
        <v>45805.14752993027</v>
      </c>
      <c r="G2824" s="3" t="s">
        <v>9140</v>
      </c>
    </row>
    <row r="2825">
      <c r="A2825" s="3" t="s">
        <v>9141</v>
      </c>
      <c r="B2825" s="3" t="s">
        <v>3057</v>
      </c>
      <c r="C2825" s="5" t="s">
        <v>221</v>
      </c>
      <c r="D2825" s="3" t="s">
        <v>181</v>
      </c>
      <c r="E2825" s="3" t="s">
        <v>118</v>
      </c>
      <c r="F2825" s="7">
        <v>45805.15100215249</v>
      </c>
      <c r="G2825" s="3" t="s">
        <v>9143</v>
      </c>
    </row>
    <row r="2826">
      <c r="A2826" s="3" t="s">
        <v>9144</v>
      </c>
      <c r="B2826" s="3" t="s">
        <v>3060</v>
      </c>
      <c r="C2826" s="5" t="s">
        <v>45</v>
      </c>
      <c r="D2826" s="3" t="s">
        <v>221</v>
      </c>
      <c r="E2826" s="3" t="s">
        <v>550</v>
      </c>
      <c r="F2826" s="7">
        <v>45805.21870477568</v>
      </c>
      <c r="G2826" s="3" t="s">
        <v>9146</v>
      </c>
    </row>
    <row r="2827">
      <c r="A2827" s="3" t="s">
        <v>9147</v>
      </c>
      <c r="B2827" s="3" t="s">
        <v>3060</v>
      </c>
      <c r="C2827" s="5" t="s">
        <v>221</v>
      </c>
      <c r="D2827" s="3" t="s">
        <v>614</v>
      </c>
      <c r="E2827" s="3" t="s">
        <v>118</v>
      </c>
      <c r="F2827" s="7">
        <v>45805.2221769979</v>
      </c>
      <c r="G2827" s="3" t="s">
        <v>9149</v>
      </c>
    </row>
    <row r="2828">
      <c r="A2828" s="3" t="s">
        <v>9150</v>
      </c>
      <c r="B2828" s="3" t="s">
        <v>3060</v>
      </c>
      <c r="C2828" s="5" t="s">
        <v>614</v>
      </c>
      <c r="D2828" s="3" t="s">
        <v>206</v>
      </c>
      <c r="E2828" s="3" t="s">
        <v>100</v>
      </c>
      <c r="F2828" s="7">
        <v>45805.22564922013</v>
      </c>
      <c r="G2828" s="3" t="s">
        <v>9151</v>
      </c>
    </row>
    <row r="2829">
      <c r="A2829" s="3" t="s">
        <v>9153</v>
      </c>
      <c r="B2829" s="3" t="s">
        <v>3060</v>
      </c>
      <c r="C2829" s="5" t="s">
        <v>206</v>
      </c>
      <c r="D2829" s="3" t="s">
        <v>68</v>
      </c>
      <c r="E2829" s="3" t="s">
        <v>100</v>
      </c>
      <c r="F2829" s="7">
        <v>45805.229121442346</v>
      </c>
      <c r="G2829" s="3" t="s">
        <v>9154</v>
      </c>
    </row>
    <row r="2830">
      <c r="A2830" s="3" t="s">
        <v>9156</v>
      </c>
      <c r="B2830" s="3" t="s">
        <v>3063</v>
      </c>
      <c r="C2830" s="5" t="s">
        <v>45</v>
      </c>
      <c r="D2830" s="3" t="s">
        <v>221</v>
      </c>
      <c r="E2830" s="3" t="s">
        <v>344</v>
      </c>
      <c r="F2830" s="7">
        <v>45805.2898796211</v>
      </c>
      <c r="G2830" s="3" t="s">
        <v>9157</v>
      </c>
    </row>
    <row r="2831">
      <c r="A2831" s="3" t="s">
        <v>9159</v>
      </c>
      <c r="B2831" s="3" t="s">
        <v>3063</v>
      </c>
      <c r="C2831" s="5" t="s">
        <v>221</v>
      </c>
      <c r="D2831" s="3" t="s">
        <v>614</v>
      </c>
      <c r="E2831" s="3" t="s">
        <v>118</v>
      </c>
      <c r="F2831" s="7">
        <v>45805.29335184332</v>
      </c>
      <c r="G2831" s="3" t="s">
        <v>9160</v>
      </c>
    </row>
    <row r="2832">
      <c r="A2832" s="3" t="s">
        <v>9161</v>
      </c>
      <c r="B2832" s="3" t="s">
        <v>3063</v>
      </c>
      <c r="C2832" s="5" t="s">
        <v>614</v>
      </c>
      <c r="D2832" s="3" t="s">
        <v>206</v>
      </c>
      <c r="E2832" s="3" t="s">
        <v>100</v>
      </c>
      <c r="F2832" s="7">
        <v>45805.29682406555</v>
      </c>
      <c r="G2832" s="3" t="s">
        <v>9163</v>
      </c>
    </row>
    <row r="2833">
      <c r="A2833" s="3" t="s">
        <v>9164</v>
      </c>
      <c r="B2833" s="3" t="s">
        <v>3063</v>
      </c>
      <c r="C2833" s="5" t="s">
        <v>206</v>
      </c>
      <c r="D2833" s="3" t="s">
        <v>68</v>
      </c>
      <c r="E2833" s="3" t="s">
        <v>100</v>
      </c>
      <c r="F2833" s="7">
        <v>45805.300296287765</v>
      </c>
      <c r="G2833" s="3" t="s">
        <v>9166</v>
      </c>
    </row>
    <row r="2834">
      <c r="A2834" s="3" t="s">
        <v>9167</v>
      </c>
      <c r="B2834" s="3" t="s">
        <v>3066</v>
      </c>
      <c r="C2834" s="5" t="s">
        <v>45</v>
      </c>
      <c r="D2834" s="3" t="s">
        <v>221</v>
      </c>
      <c r="E2834" s="3" t="s">
        <v>233</v>
      </c>
      <c r="F2834" s="7">
        <v>45805.36105446652</v>
      </c>
      <c r="G2834" s="3" t="s">
        <v>9168</v>
      </c>
    </row>
    <row r="2835">
      <c r="A2835" s="3" t="s">
        <v>9170</v>
      </c>
      <c r="B2835" s="3" t="s">
        <v>3066</v>
      </c>
      <c r="C2835" s="5" t="s">
        <v>221</v>
      </c>
      <c r="D2835" s="3" t="s">
        <v>614</v>
      </c>
      <c r="E2835" s="3" t="s">
        <v>118</v>
      </c>
      <c r="F2835" s="7">
        <v>45805.36452668874</v>
      </c>
      <c r="G2835" s="3" t="s">
        <v>9171</v>
      </c>
    </row>
    <row r="2836">
      <c r="A2836" s="3" t="s">
        <v>9173</v>
      </c>
      <c r="B2836" s="3" t="s">
        <v>3066</v>
      </c>
      <c r="C2836" s="5" t="s">
        <v>614</v>
      </c>
      <c r="D2836" s="3" t="s">
        <v>206</v>
      </c>
      <c r="E2836" s="3" t="s">
        <v>100</v>
      </c>
      <c r="F2836" s="7">
        <v>45805.367998910966</v>
      </c>
      <c r="G2836" s="3" t="s">
        <v>9174</v>
      </c>
    </row>
    <row r="2837">
      <c r="A2837" s="3" t="s">
        <v>9175</v>
      </c>
      <c r="B2837" s="3" t="s">
        <v>3066</v>
      </c>
      <c r="C2837" s="5" t="s">
        <v>206</v>
      </c>
      <c r="D2837" s="3" t="s">
        <v>68</v>
      </c>
      <c r="E2837" s="3" t="s">
        <v>100</v>
      </c>
      <c r="F2837" s="7">
        <v>45805.371471133185</v>
      </c>
      <c r="G2837" s="3" t="s">
        <v>9177</v>
      </c>
    </row>
    <row r="2838">
      <c r="A2838" s="3" t="s">
        <v>9178</v>
      </c>
      <c r="B2838" s="3" t="s">
        <v>3069</v>
      </c>
      <c r="C2838" s="5" t="s">
        <v>45</v>
      </c>
      <c r="D2838" s="3" t="s">
        <v>221</v>
      </c>
      <c r="E2838" s="3" t="s">
        <v>453</v>
      </c>
      <c r="F2838" s="7">
        <v>45805.432229311926</v>
      </c>
      <c r="G2838" s="3" t="s">
        <v>4448</v>
      </c>
    </row>
    <row r="2839">
      <c r="A2839" s="3" t="s">
        <v>9180</v>
      </c>
      <c r="B2839" s="3" t="s">
        <v>3069</v>
      </c>
      <c r="C2839" s="5" t="s">
        <v>221</v>
      </c>
      <c r="D2839" s="3" t="s">
        <v>614</v>
      </c>
      <c r="E2839" s="3" t="s">
        <v>118</v>
      </c>
      <c r="F2839" s="7">
        <v>45805.435701534145</v>
      </c>
      <c r="G2839" s="3" t="s">
        <v>4451</v>
      </c>
    </row>
    <row r="2840">
      <c r="A2840" s="3" t="s">
        <v>9182</v>
      </c>
      <c r="B2840" s="3" t="s">
        <v>3069</v>
      </c>
      <c r="C2840" s="5" t="s">
        <v>614</v>
      </c>
      <c r="D2840" s="3" t="s">
        <v>206</v>
      </c>
      <c r="E2840" s="3" t="s">
        <v>100</v>
      </c>
      <c r="F2840" s="7">
        <v>45805.43917375637</v>
      </c>
      <c r="G2840" s="3" t="s">
        <v>4454</v>
      </c>
    </row>
    <row r="2841">
      <c r="A2841" s="3" t="s">
        <v>9184</v>
      </c>
      <c r="B2841" s="3" t="s">
        <v>3069</v>
      </c>
      <c r="C2841" s="5" t="s">
        <v>206</v>
      </c>
      <c r="D2841" s="3" t="s">
        <v>68</v>
      </c>
      <c r="E2841" s="3" t="s">
        <v>100</v>
      </c>
      <c r="F2841" s="7">
        <v>45805.44264597859</v>
      </c>
      <c r="G2841" s="3" t="s">
        <v>4457</v>
      </c>
    </row>
    <row r="2842">
      <c r="A2842" s="3" t="s">
        <v>9186</v>
      </c>
      <c r="B2842" s="3" t="s">
        <v>3071</v>
      </c>
      <c r="C2842" s="5" t="s">
        <v>45</v>
      </c>
      <c r="D2842" s="3" t="s">
        <v>221</v>
      </c>
      <c r="E2842" s="3" t="s">
        <v>725</v>
      </c>
      <c r="F2842" s="7">
        <v>45805.503404157345</v>
      </c>
      <c r="G2842" s="3" t="s">
        <v>9188</v>
      </c>
    </row>
    <row r="2843">
      <c r="A2843" s="3" t="s">
        <v>9189</v>
      </c>
      <c r="B2843" s="3" t="s">
        <v>3071</v>
      </c>
      <c r="C2843" s="5" t="s">
        <v>221</v>
      </c>
      <c r="D2843" s="3" t="s">
        <v>614</v>
      </c>
      <c r="E2843" s="3" t="s">
        <v>118</v>
      </c>
      <c r="F2843" s="7">
        <v>45805.506876379564</v>
      </c>
      <c r="G2843" s="3" t="s">
        <v>9191</v>
      </c>
    </row>
    <row r="2844">
      <c r="A2844" s="3" t="s">
        <v>9192</v>
      </c>
      <c r="B2844" s="3" t="s">
        <v>3071</v>
      </c>
      <c r="C2844" s="5" t="s">
        <v>614</v>
      </c>
      <c r="D2844" s="3" t="s">
        <v>206</v>
      </c>
      <c r="E2844" s="3" t="s">
        <v>100</v>
      </c>
      <c r="F2844" s="7">
        <v>45805.51034860179</v>
      </c>
      <c r="G2844" s="3" t="s">
        <v>9194</v>
      </c>
    </row>
    <row r="2845">
      <c r="A2845" s="3" t="s">
        <v>9195</v>
      </c>
      <c r="B2845" s="3" t="s">
        <v>3071</v>
      </c>
      <c r="C2845" s="5" t="s">
        <v>206</v>
      </c>
      <c r="D2845" s="3" t="s">
        <v>68</v>
      </c>
      <c r="E2845" s="3" t="s">
        <v>100</v>
      </c>
      <c r="F2845" s="7">
        <v>45805.51382082401</v>
      </c>
      <c r="G2845" s="3" t="s">
        <v>9196</v>
      </c>
    </row>
    <row r="2846">
      <c r="A2846" s="3" t="s">
        <v>9197</v>
      </c>
      <c r="B2846" s="3" t="s">
        <v>3075</v>
      </c>
      <c r="C2846" s="5" t="s">
        <v>45</v>
      </c>
      <c r="D2846" s="3" t="s">
        <v>221</v>
      </c>
      <c r="E2846" s="3" t="s">
        <v>581</v>
      </c>
      <c r="F2846" s="7">
        <v>45805.57457900276</v>
      </c>
      <c r="G2846" s="3" t="s">
        <v>9199</v>
      </c>
    </row>
    <row r="2847">
      <c r="A2847" s="3" t="s">
        <v>9200</v>
      </c>
      <c r="B2847" s="3" t="s">
        <v>3075</v>
      </c>
      <c r="C2847" s="5" t="s">
        <v>221</v>
      </c>
      <c r="D2847" s="3" t="s">
        <v>614</v>
      </c>
      <c r="E2847" s="3" t="s">
        <v>118</v>
      </c>
      <c r="F2847" s="7">
        <v>45805.57805122498</v>
      </c>
      <c r="G2847" s="3" t="s">
        <v>9202</v>
      </c>
    </row>
    <row r="2848">
      <c r="A2848" s="3" t="s">
        <v>9203</v>
      </c>
      <c r="B2848" s="3" t="s">
        <v>3075</v>
      </c>
      <c r="C2848" s="5" t="s">
        <v>614</v>
      </c>
      <c r="D2848" s="3" t="s">
        <v>206</v>
      </c>
      <c r="E2848" s="3" t="s">
        <v>100</v>
      </c>
      <c r="F2848" s="7">
        <v>45805.5815234472</v>
      </c>
      <c r="G2848" s="3" t="s">
        <v>9205</v>
      </c>
    </row>
    <row r="2849">
      <c r="A2849" s="3" t="s">
        <v>9206</v>
      </c>
      <c r="B2849" s="3" t="s">
        <v>3075</v>
      </c>
      <c r="C2849" s="5" t="s">
        <v>206</v>
      </c>
      <c r="D2849" s="3" t="s">
        <v>68</v>
      </c>
      <c r="E2849" s="3" t="s">
        <v>100</v>
      </c>
      <c r="F2849" s="7">
        <v>45805.58499566942</v>
      </c>
      <c r="G2849" s="3" t="s">
        <v>9208</v>
      </c>
    </row>
    <row r="2850">
      <c r="A2850" s="3" t="s">
        <v>9209</v>
      </c>
      <c r="B2850" s="3" t="s">
        <v>3079</v>
      </c>
      <c r="C2850" s="5" t="s">
        <v>45</v>
      </c>
      <c r="D2850" s="3" t="s">
        <v>221</v>
      </c>
      <c r="E2850" s="3" t="s">
        <v>359</v>
      </c>
      <c r="F2850" s="7">
        <v>45805.64575384818</v>
      </c>
      <c r="G2850" s="3" t="s">
        <v>9211</v>
      </c>
    </row>
    <row r="2851">
      <c r="A2851" s="3" t="s">
        <v>9212</v>
      </c>
      <c r="B2851" s="3" t="s">
        <v>3079</v>
      </c>
      <c r="C2851" s="5" t="s">
        <v>221</v>
      </c>
      <c r="D2851" s="3" t="s">
        <v>614</v>
      </c>
      <c r="E2851" s="3" t="s">
        <v>118</v>
      </c>
      <c r="F2851" s="7">
        <v>45805.649226070396</v>
      </c>
      <c r="G2851" s="3" t="s">
        <v>9213</v>
      </c>
    </row>
    <row r="2852">
      <c r="A2852" s="3" t="s">
        <v>9214</v>
      </c>
      <c r="B2852" s="3" t="s">
        <v>3079</v>
      </c>
      <c r="C2852" s="5" t="s">
        <v>614</v>
      </c>
      <c r="D2852" s="3" t="s">
        <v>206</v>
      </c>
      <c r="E2852" s="3" t="s">
        <v>100</v>
      </c>
      <c r="F2852" s="7">
        <v>45805.65269829262</v>
      </c>
      <c r="G2852" s="3" t="s">
        <v>9216</v>
      </c>
    </row>
    <row r="2853">
      <c r="A2853" s="3" t="s">
        <v>9217</v>
      </c>
      <c r="B2853" s="3" t="s">
        <v>3079</v>
      </c>
      <c r="C2853" s="5" t="s">
        <v>206</v>
      </c>
      <c r="D2853" s="3" t="s">
        <v>68</v>
      </c>
      <c r="E2853" s="3" t="s">
        <v>100</v>
      </c>
      <c r="F2853" s="7">
        <v>45805.65617051484</v>
      </c>
      <c r="G2853" s="3" t="s">
        <v>9219</v>
      </c>
    </row>
    <row r="2854">
      <c r="A2854" s="3" t="s">
        <v>9220</v>
      </c>
      <c r="B2854" s="3" t="s">
        <v>3082</v>
      </c>
      <c r="C2854" s="5" t="s">
        <v>45</v>
      </c>
      <c r="D2854" s="3" t="s">
        <v>221</v>
      </c>
      <c r="E2854" s="3" t="s">
        <v>168</v>
      </c>
      <c r="F2854" s="7">
        <v>45805.71692869359</v>
      </c>
      <c r="G2854" s="3" t="s">
        <v>4342</v>
      </c>
    </row>
    <row r="2855">
      <c r="A2855" s="3" t="s">
        <v>9222</v>
      </c>
      <c r="B2855" s="3" t="s">
        <v>3082</v>
      </c>
      <c r="C2855" s="5" t="s">
        <v>221</v>
      </c>
      <c r="D2855" s="3" t="s">
        <v>614</v>
      </c>
      <c r="E2855" s="3" t="s">
        <v>118</v>
      </c>
      <c r="F2855" s="7">
        <v>45805.72040091581</v>
      </c>
      <c r="G2855" s="3" t="s">
        <v>4345</v>
      </c>
    </row>
    <row r="2856">
      <c r="A2856" s="3" t="s">
        <v>9224</v>
      </c>
      <c r="B2856" s="3" t="s">
        <v>3082</v>
      </c>
      <c r="C2856" s="5" t="s">
        <v>614</v>
      </c>
      <c r="D2856" s="3" t="s">
        <v>206</v>
      </c>
      <c r="E2856" s="3" t="s">
        <v>100</v>
      </c>
      <c r="F2856" s="7">
        <v>45805.723873138035</v>
      </c>
      <c r="G2856" s="3" t="s">
        <v>4348</v>
      </c>
    </row>
    <row r="2857">
      <c r="A2857" s="3" t="s">
        <v>9225</v>
      </c>
      <c r="B2857" s="3" t="s">
        <v>3082</v>
      </c>
      <c r="C2857" s="5" t="s">
        <v>206</v>
      </c>
      <c r="D2857" s="3" t="s">
        <v>68</v>
      </c>
      <c r="E2857" s="3" t="s">
        <v>100</v>
      </c>
      <c r="F2857" s="7">
        <v>45805.727345360254</v>
      </c>
      <c r="G2857" s="3" t="s">
        <v>4350</v>
      </c>
    </row>
    <row r="2858">
      <c r="A2858" s="3" t="s">
        <v>9227</v>
      </c>
      <c r="B2858" s="3" t="s">
        <v>3085</v>
      </c>
      <c r="C2858" s="5" t="s">
        <v>45</v>
      </c>
      <c r="D2858" s="3" t="s">
        <v>221</v>
      </c>
      <c r="E2858" s="3" t="s">
        <v>1043</v>
      </c>
      <c r="F2858" s="7">
        <v>45805.78810353901</v>
      </c>
      <c r="G2858" s="3" t="s">
        <v>2770</v>
      </c>
    </row>
    <row r="2859">
      <c r="A2859" s="3" t="s">
        <v>9229</v>
      </c>
      <c r="B2859" s="3" t="s">
        <v>3085</v>
      </c>
      <c r="C2859" s="5" t="s">
        <v>221</v>
      </c>
      <c r="D2859" s="3" t="s">
        <v>181</v>
      </c>
      <c r="E2859" s="3" t="s">
        <v>118</v>
      </c>
      <c r="F2859" s="7">
        <v>45805.79157576123</v>
      </c>
      <c r="G2859" s="3" t="s">
        <v>2774</v>
      </c>
    </row>
    <row r="2860">
      <c r="A2860" s="3" t="s">
        <v>9231</v>
      </c>
      <c r="B2860" s="3" t="s">
        <v>3089</v>
      </c>
      <c r="C2860" s="5" t="s">
        <v>45</v>
      </c>
      <c r="D2860" s="3" t="s">
        <v>221</v>
      </c>
      <c r="E2860" s="3" t="s">
        <v>1008</v>
      </c>
      <c r="F2860" s="7">
        <v>45805.859278384414</v>
      </c>
      <c r="G2860" s="3" t="s">
        <v>7272</v>
      </c>
    </row>
    <row r="2861">
      <c r="A2861" s="3" t="s">
        <v>9233</v>
      </c>
      <c r="B2861" s="3" t="s">
        <v>3089</v>
      </c>
      <c r="C2861" s="5" t="s">
        <v>221</v>
      </c>
      <c r="D2861" s="3" t="s">
        <v>181</v>
      </c>
      <c r="E2861" s="3" t="s">
        <v>118</v>
      </c>
      <c r="F2861" s="7">
        <v>45805.86275060663</v>
      </c>
      <c r="G2861" s="3" t="s">
        <v>9235</v>
      </c>
    </row>
    <row r="2862">
      <c r="A2862" s="3" t="s">
        <v>9236</v>
      </c>
      <c r="B2862" s="3" t="s">
        <v>3092</v>
      </c>
      <c r="C2862" s="5" t="s">
        <v>45</v>
      </c>
      <c r="D2862" s="3" t="s">
        <v>221</v>
      </c>
      <c r="E2862" s="3" t="s">
        <v>135</v>
      </c>
      <c r="F2862" s="7">
        <v>45805.930453229834</v>
      </c>
      <c r="G2862" s="3" t="s">
        <v>9238</v>
      </c>
    </row>
    <row r="2863">
      <c r="A2863" s="3" t="s">
        <v>9239</v>
      </c>
      <c r="B2863" s="3" t="s">
        <v>3092</v>
      </c>
      <c r="C2863" s="5" t="s">
        <v>221</v>
      </c>
      <c r="D2863" s="3" t="s">
        <v>195</v>
      </c>
      <c r="E2863" s="3" t="s">
        <v>135</v>
      </c>
      <c r="F2863" s="7">
        <v>45805.93392545205</v>
      </c>
      <c r="G2863" s="3" t="s">
        <v>9241</v>
      </c>
    </row>
    <row r="2864">
      <c r="A2864" s="3" t="s">
        <v>9242</v>
      </c>
      <c r="B2864" s="3" t="s">
        <v>3095</v>
      </c>
      <c r="C2864" s="5" t="s">
        <v>45</v>
      </c>
      <c r="D2864" s="3" t="s">
        <v>221</v>
      </c>
      <c r="E2864" s="3" t="s">
        <v>208</v>
      </c>
      <c r="F2864" s="7">
        <v>45806.00162807525</v>
      </c>
      <c r="G2864" s="3" t="s">
        <v>9244</v>
      </c>
    </row>
    <row r="2865">
      <c r="A2865" s="3" t="s">
        <v>9245</v>
      </c>
      <c r="B2865" s="3" t="s">
        <v>3095</v>
      </c>
      <c r="C2865" s="5" t="s">
        <v>221</v>
      </c>
      <c r="D2865" s="3" t="s">
        <v>614</v>
      </c>
      <c r="E2865" s="3" t="s">
        <v>118</v>
      </c>
      <c r="F2865" s="7">
        <v>45806.00510029747</v>
      </c>
      <c r="G2865" s="3" t="s">
        <v>9247</v>
      </c>
    </row>
    <row r="2866">
      <c r="A2866" s="3" t="s">
        <v>9248</v>
      </c>
      <c r="B2866" s="3" t="s">
        <v>3095</v>
      </c>
      <c r="C2866" s="5" t="s">
        <v>614</v>
      </c>
      <c r="D2866" s="3" t="s">
        <v>206</v>
      </c>
      <c r="E2866" s="3" t="s">
        <v>100</v>
      </c>
      <c r="F2866" s="7">
        <v>45806.0085725197</v>
      </c>
      <c r="G2866" s="3" t="s">
        <v>9250</v>
      </c>
    </row>
    <row r="2867">
      <c r="A2867" s="3" t="s">
        <v>9251</v>
      </c>
      <c r="B2867" s="3" t="s">
        <v>3095</v>
      </c>
      <c r="C2867" s="5" t="s">
        <v>206</v>
      </c>
      <c r="D2867" s="3" t="s">
        <v>68</v>
      </c>
      <c r="E2867" s="3" t="s">
        <v>100</v>
      </c>
      <c r="F2867" s="7">
        <v>45806.01204474192</v>
      </c>
      <c r="G2867" s="3" t="s">
        <v>9253</v>
      </c>
    </row>
    <row r="2868">
      <c r="A2868" s="3" t="s">
        <v>9254</v>
      </c>
      <c r="B2868" s="3" t="s">
        <v>3097</v>
      </c>
      <c r="C2868" s="5" t="s">
        <v>45</v>
      </c>
      <c r="D2868" s="3" t="s">
        <v>221</v>
      </c>
      <c r="E2868" s="3" t="s">
        <v>226</v>
      </c>
      <c r="F2868" s="7">
        <v>45806.072802920666</v>
      </c>
      <c r="G2868" s="3" t="s">
        <v>9256</v>
      </c>
    </row>
    <row r="2869">
      <c r="A2869" s="3" t="s">
        <v>9257</v>
      </c>
      <c r="B2869" s="3" t="s">
        <v>3097</v>
      </c>
      <c r="C2869" s="5" t="s">
        <v>221</v>
      </c>
      <c r="D2869" s="3" t="s">
        <v>614</v>
      </c>
      <c r="E2869" s="3" t="s">
        <v>118</v>
      </c>
      <c r="F2869" s="7">
        <v>45806.076275142885</v>
      </c>
      <c r="G2869" s="3" t="s">
        <v>9259</v>
      </c>
    </row>
    <row r="2870">
      <c r="A2870" s="3" t="s">
        <v>9260</v>
      </c>
      <c r="B2870" s="3" t="s">
        <v>3097</v>
      </c>
      <c r="C2870" s="5" t="s">
        <v>614</v>
      </c>
      <c r="D2870" s="3" t="s">
        <v>206</v>
      </c>
      <c r="E2870" s="3" t="s">
        <v>100</v>
      </c>
      <c r="F2870" s="7">
        <v>45806.07974736511</v>
      </c>
      <c r="G2870" s="3" t="s">
        <v>9261</v>
      </c>
    </row>
    <row r="2871">
      <c r="A2871" s="3" t="s">
        <v>9263</v>
      </c>
      <c r="B2871" s="3" t="s">
        <v>3097</v>
      </c>
      <c r="C2871" s="5" t="s">
        <v>206</v>
      </c>
      <c r="D2871" s="3" t="s">
        <v>68</v>
      </c>
      <c r="E2871" s="3" t="s">
        <v>100</v>
      </c>
      <c r="F2871" s="7">
        <v>45806.08321958733</v>
      </c>
      <c r="G2871" s="3" t="s">
        <v>9264</v>
      </c>
    </row>
    <row r="2872">
      <c r="A2872" s="3" t="s">
        <v>9265</v>
      </c>
      <c r="B2872" s="3" t="s">
        <v>3100</v>
      </c>
      <c r="C2872" s="5" t="s">
        <v>45</v>
      </c>
      <c r="D2872" s="3" t="s">
        <v>221</v>
      </c>
      <c r="E2872" s="3" t="s">
        <v>734</v>
      </c>
      <c r="F2872" s="7">
        <v>45806.14397776608</v>
      </c>
      <c r="G2872" s="3" t="s">
        <v>9267</v>
      </c>
    </row>
    <row r="2873">
      <c r="A2873" s="3" t="s">
        <v>9268</v>
      </c>
      <c r="B2873" s="3" t="s">
        <v>3100</v>
      </c>
      <c r="C2873" s="5" t="s">
        <v>221</v>
      </c>
      <c r="D2873" s="3" t="s">
        <v>614</v>
      </c>
      <c r="E2873" s="3" t="s">
        <v>118</v>
      </c>
      <c r="F2873" s="7">
        <v>45806.1474499883</v>
      </c>
      <c r="G2873" s="3" t="s">
        <v>9270</v>
      </c>
    </row>
    <row r="2874">
      <c r="A2874" s="3" t="s">
        <v>9271</v>
      </c>
      <c r="B2874" s="3" t="s">
        <v>3100</v>
      </c>
      <c r="C2874" s="5" t="s">
        <v>614</v>
      </c>
      <c r="D2874" s="3" t="s">
        <v>206</v>
      </c>
      <c r="E2874" s="3" t="s">
        <v>100</v>
      </c>
      <c r="F2874" s="7">
        <v>45806.15092221052</v>
      </c>
      <c r="G2874" s="3" t="s">
        <v>9272</v>
      </c>
    </row>
    <row r="2875">
      <c r="A2875" s="3" t="s">
        <v>9274</v>
      </c>
      <c r="B2875" s="3" t="s">
        <v>3100</v>
      </c>
      <c r="C2875" s="5" t="s">
        <v>206</v>
      </c>
      <c r="D2875" s="3" t="s">
        <v>68</v>
      </c>
      <c r="E2875" s="3" t="s">
        <v>100</v>
      </c>
      <c r="F2875" s="7">
        <v>45806.15439443274</v>
      </c>
      <c r="G2875" s="3" t="s">
        <v>9275</v>
      </c>
    </row>
    <row r="2876">
      <c r="A2876" s="3" t="s">
        <v>9276</v>
      </c>
      <c r="B2876" s="3" t="s">
        <v>3103</v>
      </c>
      <c r="C2876" s="5" t="s">
        <v>45</v>
      </c>
      <c r="D2876" s="3" t="s">
        <v>221</v>
      </c>
      <c r="E2876" s="3" t="s">
        <v>400</v>
      </c>
      <c r="F2876" s="7">
        <v>45806.2151526115</v>
      </c>
      <c r="G2876" s="3" t="s">
        <v>9278</v>
      </c>
    </row>
    <row r="2877">
      <c r="A2877" s="3" t="s">
        <v>9279</v>
      </c>
      <c r="B2877" s="3" t="s">
        <v>3103</v>
      </c>
      <c r="C2877" s="5" t="s">
        <v>221</v>
      </c>
      <c r="D2877" s="3" t="s">
        <v>614</v>
      </c>
      <c r="E2877" s="3" t="s">
        <v>118</v>
      </c>
      <c r="F2877" s="7">
        <v>45806.21862483372</v>
      </c>
      <c r="G2877" s="3" t="s">
        <v>9281</v>
      </c>
    </row>
    <row r="2878">
      <c r="A2878" s="3" t="s">
        <v>9282</v>
      </c>
      <c r="B2878" s="3" t="s">
        <v>3103</v>
      </c>
      <c r="C2878" s="5" t="s">
        <v>614</v>
      </c>
      <c r="D2878" s="3" t="s">
        <v>206</v>
      </c>
      <c r="E2878" s="3" t="s">
        <v>100</v>
      </c>
      <c r="F2878" s="7">
        <v>45806.22209705594</v>
      </c>
      <c r="G2878" s="3" t="s">
        <v>9284</v>
      </c>
    </row>
    <row r="2879">
      <c r="A2879" s="3" t="s">
        <v>9286</v>
      </c>
      <c r="B2879" s="3" t="s">
        <v>3103</v>
      </c>
      <c r="C2879" s="5" t="s">
        <v>206</v>
      </c>
      <c r="D2879" s="3" t="s">
        <v>68</v>
      </c>
      <c r="E2879" s="3" t="s">
        <v>100</v>
      </c>
      <c r="F2879" s="7">
        <v>45806.22556927816</v>
      </c>
      <c r="G2879" s="3" t="s">
        <v>9288</v>
      </c>
    </row>
    <row r="2880">
      <c r="A2880" s="3" t="s">
        <v>9289</v>
      </c>
      <c r="B2880" s="3" t="s">
        <v>3107</v>
      </c>
      <c r="C2880" s="5" t="s">
        <v>45</v>
      </c>
      <c r="D2880" s="3" t="s">
        <v>221</v>
      </c>
      <c r="E2880" s="3" t="s">
        <v>622</v>
      </c>
      <c r="F2880" s="7">
        <v>45806.28632745691</v>
      </c>
      <c r="G2880" s="3" t="s">
        <v>5594</v>
      </c>
    </row>
    <row r="2881">
      <c r="A2881" s="3" t="s">
        <v>9291</v>
      </c>
      <c r="B2881" s="3" t="s">
        <v>3107</v>
      </c>
      <c r="C2881" s="5" t="s">
        <v>221</v>
      </c>
      <c r="D2881" s="3" t="s">
        <v>614</v>
      </c>
      <c r="E2881" s="3" t="s">
        <v>118</v>
      </c>
      <c r="F2881" s="7">
        <v>45806.28979967913</v>
      </c>
      <c r="G2881" s="3" t="s">
        <v>5597</v>
      </c>
    </row>
    <row r="2882">
      <c r="A2882" s="3" t="s">
        <v>9293</v>
      </c>
      <c r="B2882" s="3" t="s">
        <v>3107</v>
      </c>
      <c r="C2882" s="5" t="s">
        <v>614</v>
      </c>
      <c r="D2882" s="3" t="s">
        <v>206</v>
      </c>
      <c r="E2882" s="3" t="s">
        <v>100</v>
      </c>
      <c r="F2882" s="7">
        <v>45806.293271901355</v>
      </c>
      <c r="G2882" s="3" t="s">
        <v>5600</v>
      </c>
    </row>
    <row r="2883">
      <c r="A2883" s="3" t="s">
        <v>9294</v>
      </c>
      <c r="B2883" s="3" t="s">
        <v>3107</v>
      </c>
      <c r="C2883" s="5" t="s">
        <v>206</v>
      </c>
      <c r="D2883" s="3" t="s">
        <v>68</v>
      </c>
      <c r="E2883" s="3" t="s">
        <v>100</v>
      </c>
      <c r="F2883" s="7">
        <v>45806.296744123574</v>
      </c>
      <c r="G2883" s="3" t="s">
        <v>5603</v>
      </c>
    </row>
    <row r="2884">
      <c r="A2884" s="3" t="s">
        <v>9296</v>
      </c>
      <c r="B2884" s="3" t="s">
        <v>3110</v>
      </c>
      <c r="C2884" s="5" t="s">
        <v>45</v>
      </c>
      <c r="D2884" s="3" t="s">
        <v>221</v>
      </c>
      <c r="E2884" s="3" t="s">
        <v>796</v>
      </c>
      <c r="F2884" s="7">
        <v>45806.35750230232</v>
      </c>
      <c r="G2884" s="3" t="s">
        <v>8315</v>
      </c>
    </row>
    <row r="2885">
      <c r="A2885" s="3" t="s">
        <v>9298</v>
      </c>
      <c r="B2885" s="3" t="s">
        <v>3110</v>
      </c>
      <c r="C2885" s="5" t="s">
        <v>221</v>
      </c>
      <c r="D2885" s="3" t="s">
        <v>614</v>
      </c>
      <c r="E2885" s="3" t="s">
        <v>118</v>
      </c>
      <c r="F2885" s="7">
        <v>45806.36097452454</v>
      </c>
      <c r="G2885" s="3" t="s">
        <v>8318</v>
      </c>
    </row>
    <row r="2886">
      <c r="A2886" s="3" t="s">
        <v>9300</v>
      </c>
      <c r="B2886" s="3" t="s">
        <v>3110</v>
      </c>
      <c r="C2886" s="5" t="s">
        <v>614</v>
      </c>
      <c r="D2886" s="3" t="s">
        <v>206</v>
      </c>
      <c r="E2886" s="3" t="s">
        <v>100</v>
      </c>
      <c r="F2886" s="7">
        <v>45806.36444674677</v>
      </c>
      <c r="G2886" s="3" t="s">
        <v>8321</v>
      </c>
    </row>
    <row r="2887">
      <c r="A2887" s="3" t="s">
        <v>9302</v>
      </c>
      <c r="B2887" s="3" t="s">
        <v>3110</v>
      </c>
      <c r="C2887" s="5" t="s">
        <v>206</v>
      </c>
      <c r="D2887" s="3" t="s">
        <v>68</v>
      </c>
      <c r="E2887" s="3" t="s">
        <v>100</v>
      </c>
      <c r="F2887" s="7">
        <v>45806.36791896899</v>
      </c>
      <c r="G2887" s="3" t="s">
        <v>8324</v>
      </c>
    </row>
    <row r="2888">
      <c r="A2888" s="3" t="s">
        <v>9304</v>
      </c>
      <c r="B2888" s="3" t="s">
        <v>3113</v>
      </c>
      <c r="C2888" s="5" t="s">
        <v>45</v>
      </c>
      <c r="D2888" s="3" t="s">
        <v>221</v>
      </c>
      <c r="E2888" s="3" t="s">
        <v>341</v>
      </c>
      <c r="F2888" s="7">
        <v>45806.42867714774</v>
      </c>
      <c r="G2888" s="3" t="s">
        <v>9305</v>
      </c>
    </row>
    <row r="2889">
      <c r="A2889" s="3" t="s">
        <v>9307</v>
      </c>
      <c r="B2889" s="3" t="s">
        <v>3113</v>
      </c>
      <c r="C2889" s="5" t="s">
        <v>221</v>
      </c>
      <c r="D2889" s="3" t="s">
        <v>614</v>
      </c>
      <c r="E2889" s="3" t="s">
        <v>118</v>
      </c>
      <c r="F2889" s="7">
        <v>45806.43214936996</v>
      </c>
      <c r="G2889" s="3" t="s">
        <v>9308</v>
      </c>
    </row>
    <row r="2890">
      <c r="A2890" s="3" t="s">
        <v>9310</v>
      </c>
      <c r="B2890" s="3" t="s">
        <v>3113</v>
      </c>
      <c r="C2890" s="5" t="s">
        <v>614</v>
      </c>
      <c r="D2890" s="3" t="s">
        <v>206</v>
      </c>
      <c r="E2890" s="3" t="s">
        <v>100</v>
      </c>
      <c r="F2890" s="7">
        <v>45806.43562159219</v>
      </c>
      <c r="G2890" s="3" t="s">
        <v>9311</v>
      </c>
    </row>
    <row r="2891">
      <c r="A2891" s="3" t="s">
        <v>9312</v>
      </c>
      <c r="B2891" s="3" t="s">
        <v>3113</v>
      </c>
      <c r="C2891" s="5" t="s">
        <v>206</v>
      </c>
      <c r="D2891" s="3" t="s">
        <v>68</v>
      </c>
      <c r="E2891" s="3" t="s">
        <v>100</v>
      </c>
      <c r="F2891" s="7">
        <v>45806.439093814406</v>
      </c>
      <c r="G2891" s="3" t="s">
        <v>9314</v>
      </c>
    </row>
    <row r="2892">
      <c r="A2892" s="3" t="s">
        <v>9315</v>
      </c>
      <c r="B2892" s="3" t="s">
        <v>3116</v>
      </c>
      <c r="C2892" s="5" t="s">
        <v>45</v>
      </c>
      <c r="D2892" s="3" t="s">
        <v>221</v>
      </c>
      <c r="E2892" s="3" t="s">
        <v>1037</v>
      </c>
      <c r="F2892" s="7">
        <v>45806.49985199316</v>
      </c>
      <c r="G2892" s="3" t="s">
        <v>6996</v>
      </c>
    </row>
    <row r="2893">
      <c r="A2893" s="3" t="s">
        <v>9317</v>
      </c>
      <c r="B2893" s="3" t="s">
        <v>3116</v>
      </c>
      <c r="C2893" s="5" t="s">
        <v>221</v>
      </c>
      <c r="D2893" s="3" t="s">
        <v>614</v>
      </c>
      <c r="E2893" s="3" t="s">
        <v>118</v>
      </c>
      <c r="F2893" s="7">
        <v>45806.50332421538</v>
      </c>
      <c r="G2893" s="3" t="s">
        <v>6999</v>
      </c>
    </row>
    <row r="2894">
      <c r="A2894" s="3" t="s">
        <v>9319</v>
      </c>
      <c r="B2894" s="3" t="s">
        <v>3116</v>
      </c>
      <c r="C2894" s="5" t="s">
        <v>614</v>
      </c>
      <c r="D2894" s="3" t="s">
        <v>206</v>
      </c>
      <c r="E2894" s="3" t="s">
        <v>100</v>
      </c>
      <c r="F2894" s="7">
        <v>45806.50679643761</v>
      </c>
      <c r="G2894" s="3" t="s">
        <v>7002</v>
      </c>
    </row>
    <row r="2895">
      <c r="A2895" s="3" t="s">
        <v>9321</v>
      </c>
      <c r="B2895" s="3" t="s">
        <v>3116</v>
      </c>
      <c r="C2895" s="5" t="s">
        <v>206</v>
      </c>
      <c r="D2895" s="3" t="s">
        <v>68</v>
      </c>
      <c r="E2895" s="3" t="s">
        <v>100</v>
      </c>
      <c r="F2895" s="7">
        <v>45806.510268659826</v>
      </c>
      <c r="G2895" s="3" t="s">
        <v>7005</v>
      </c>
    </row>
    <row r="2896">
      <c r="A2896" s="3" t="s">
        <v>9323</v>
      </c>
      <c r="B2896" s="3" t="s">
        <v>3119</v>
      </c>
      <c r="C2896" s="5" t="s">
        <v>45</v>
      </c>
      <c r="D2896" s="3" t="s">
        <v>221</v>
      </c>
      <c r="E2896" s="3" t="s">
        <v>800</v>
      </c>
      <c r="F2896" s="7">
        <v>45806.57102683857</v>
      </c>
      <c r="G2896" s="3" t="s">
        <v>8987</v>
      </c>
    </row>
    <row r="2897">
      <c r="A2897" s="3" t="s">
        <v>9325</v>
      </c>
      <c r="B2897" s="3" t="s">
        <v>3119</v>
      </c>
      <c r="C2897" s="5" t="s">
        <v>221</v>
      </c>
      <c r="D2897" s="3" t="s">
        <v>614</v>
      </c>
      <c r="E2897" s="3" t="s">
        <v>118</v>
      </c>
      <c r="F2897" s="7">
        <v>45806.574499060785</v>
      </c>
      <c r="G2897" s="3" t="s">
        <v>8990</v>
      </c>
    </row>
    <row r="2898">
      <c r="A2898" s="3" t="s">
        <v>9326</v>
      </c>
      <c r="B2898" s="3" t="s">
        <v>3119</v>
      </c>
      <c r="C2898" s="5" t="s">
        <v>614</v>
      </c>
      <c r="D2898" s="3" t="s">
        <v>206</v>
      </c>
      <c r="E2898" s="3" t="s">
        <v>100</v>
      </c>
      <c r="F2898" s="7">
        <v>45806.57797128301</v>
      </c>
      <c r="G2898" s="3" t="s">
        <v>8993</v>
      </c>
    </row>
    <row r="2899">
      <c r="A2899" s="3" t="s">
        <v>9328</v>
      </c>
      <c r="B2899" s="3" t="s">
        <v>3119</v>
      </c>
      <c r="C2899" s="5" t="s">
        <v>206</v>
      </c>
      <c r="D2899" s="3" t="s">
        <v>68</v>
      </c>
      <c r="E2899" s="3" t="s">
        <v>100</v>
      </c>
      <c r="F2899" s="7">
        <v>45806.58144350523</v>
      </c>
      <c r="G2899" s="3" t="s">
        <v>8996</v>
      </c>
    </row>
    <row r="2900">
      <c r="A2900" s="3" t="s">
        <v>9330</v>
      </c>
      <c r="B2900" s="3" t="s">
        <v>3122</v>
      </c>
      <c r="C2900" s="5" t="s">
        <v>45</v>
      </c>
      <c r="D2900" s="3" t="s">
        <v>221</v>
      </c>
      <c r="E2900" s="3" t="s">
        <v>256</v>
      </c>
      <c r="F2900" s="7">
        <v>45806.642201683986</v>
      </c>
      <c r="G2900" s="3" t="s">
        <v>9332</v>
      </c>
    </row>
    <row r="2901">
      <c r="A2901" s="3" t="s">
        <v>9333</v>
      </c>
      <c r="B2901" s="3" t="s">
        <v>3122</v>
      </c>
      <c r="C2901" s="5" t="s">
        <v>221</v>
      </c>
      <c r="D2901" s="3" t="s">
        <v>614</v>
      </c>
      <c r="E2901" s="3" t="s">
        <v>118</v>
      </c>
      <c r="F2901" s="7">
        <v>45806.645673906205</v>
      </c>
      <c r="G2901" s="3" t="s">
        <v>9335</v>
      </c>
    </row>
    <row r="2902">
      <c r="A2902" s="3" t="s">
        <v>9336</v>
      </c>
      <c r="B2902" s="3" t="s">
        <v>3122</v>
      </c>
      <c r="C2902" s="5" t="s">
        <v>614</v>
      </c>
      <c r="D2902" s="3" t="s">
        <v>206</v>
      </c>
      <c r="E2902" s="3" t="s">
        <v>100</v>
      </c>
      <c r="F2902" s="7">
        <v>45806.64914612843</v>
      </c>
      <c r="G2902" s="3" t="s">
        <v>9337</v>
      </c>
    </row>
    <row r="2903">
      <c r="A2903" s="3" t="s">
        <v>9339</v>
      </c>
      <c r="B2903" s="3" t="s">
        <v>3122</v>
      </c>
      <c r="C2903" s="5" t="s">
        <v>206</v>
      </c>
      <c r="D2903" s="3" t="s">
        <v>68</v>
      </c>
      <c r="E2903" s="3" t="s">
        <v>100</v>
      </c>
      <c r="F2903" s="7">
        <v>45806.65261835065</v>
      </c>
      <c r="G2903" s="3" t="s">
        <v>9340</v>
      </c>
    </row>
    <row r="2904">
      <c r="A2904" s="3" t="s">
        <v>9342</v>
      </c>
      <c r="B2904" s="3" t="s">
        <v>3124</v>
      </c>
      <c r="C2904" s="5" t="s">
        <v>45</v>
      </c>
      <c r="D2904" s="3" t="s">
        <v>221</v>
      </c>
      <c r="E2904" s="3" t="s">
        <v>704</v>
      </c>
      <c r="F2904" s="7">
        <v>45806.713376529406</v>
      </c>
      <c r="G2904" s="3" t="s">
        <v>9343</v>
      </c>
    </row>
    <row r="2905">
      <c r="A2905" s="3" t="s">
        <v>9344</v>
      </c>
      <c r="B2905" s="3" t="s">
        <v>3124</v>
      </c>
      <c r="C2905" s="5" t="s">
        <v>221</v>
      </c>
      <c r="D2905" s="3" t="s">
        <v>614</v>
      </c>
      <c r="E2905" s="3" t="s">
        <v>118</v>
      </c>
      <c r="F2905" s="7">
        <v>45806.716848751625</v>
      </c>
      <c r="G2905" s="3" t="s">
        <v>9346</v>
      </c>
    </row>
    <row r="2906">
      <c r="A2906" s="3" t="s">
        <v>9347</v>
      </c>
      <c r="B2906" s="3" t="s">
        <v>3124</v>
      </c>
      <c r="C2906" s="5" t="s">
        <v>614</v>
      </c>
      <c r="D2906" s="3" t="s">
        <v>206</v>
      </c>
      <c r="E2906" s="3" t="s">
        <v>100</v>
      </c>
      <c r="F2906" s="7">
        <v>45806.72032097385</v>
      </c>
      <c r="G2906" s="3" t="s">
        <v>9349</v>
      </c>
    </row>
    <row r="2907">
      <c r="A2907" s="3" t="s">
        <v>9350</v>
      </c>
      <c r="B2907" s="3" t="s">
        <v>3124</v>
      </c>
      <c r="C2907" s="5" t="s">
        <v>206</v>
      </c>
      <c r="D2907" s="3" t="s">
        <v>68</v>
      </c>
      <c r="E2907" s="3" t="s">
        <v>100</v>
      </c>
      <c r="F2907" s="7">
        <v>45806.72379319607</v>
      </c>
      <c r="G2907" s="3" t="s">
        <v>9352</v>
      </c>
    </row>
    <row r="2908">
      <c r="A2908" s="3" t="s">
        <v>9353</v>
      </c>
      <c r="B2908" s="3" t="s">
        <v>3126</v>
      </c>
      <c r="C2908" s="5" t="s">
        <v>45</v>
      </c>
      <c r="D2908" s="3" t="s">
        <v>221</v>
      </c>
      <c r="E2908" s="3" t="s">
        <v>219</v>
      </c>
      <c r="F2908" s="7">
        <v>45806.78455137482</v>
      </c>
      <c r="G2908" s="3" t="s">
        <v>9355</v>
      </c>
    </row>
    <row r="2909">
      <c r="A2909" s="3" t="s">
        <v>9356</v>
      </c>
      <c r="B2909" s="3" t="s">
        <v>3126</v>
      </c>
      <c r="C2909" s="5" t="s">
        <v>221</v>
      </c>
      <c r="D2909" s="3" t="s">
        <v>614</v>
      </c>
      <c r="E2909" s="3" t="s">
        <v>118</v>
      </c>
      <c r="F2909" s="7">
        <v>45806.78802359704</v>
      </c>
      <c r="G2909" s="3" t="s">
        <v>9358</v>
      </c>
    </row>
    <row r="2910">
      <c r="A2910" s="3" t="s">
        <v>9359</v>
      </c>
      <c r="B2910" s="3" t="s">
        <v>3126</v>
      </c>
      <c r="C2910" s="5" t="s">
        <v>614</v>
      </c>
      <c r="D2910" s="3" t="s">
        <v>206</v>
      </c>
      <c r="E2910" s="3" t="s">
        <v>100</v>
      </c>
      <c r="F2910" s="7">
        <v>45806.79149581926</v>
      </c>
      <c r="G2910" s="3" t="s">
        <v>9361</v>
      </c>
    </row>
    <row r="2911">
      <c r="A2911" s="3" t="s">
        <v>9362</v>
      </c>
      <c r="B2911" s="3" t="s">
        <v>3126</v>
      </c>
      <c r="C2911" s="5" t="s">
        <v>206</v>
      </c>
      <c r="D2911" s="3" t="s">
        <v>68</v>
      </c>
      <c r="E2911" s="3" t="s">
        <v>100</v>
      </c>
      <c r="F2911" s="7">
        <v>45806.79496804148</v>
      </c>
      <c r="G2911" s="3" t="s">
        <v>9363</v>
      </c>
    </row>
    <row r="2912">
      <c r="A2912" s="3" t="s">
        <v>9365</v>
      </c>
      <c r="B2912" s="3" t="s">
        <v>3129</v>
      </c>
      <c r="C2912" s="5" t="s">
        <v>45</v>
      </c>
      <c r="D2912" s="3" t="s">
        <v>221</v>
      </c>
      <c r="E2912" s="3" t="s">
        <v>260</v>
      </c>
      <c r="F2912" s="7">
        <v>45806.85572622023</v>
      </c>
      <c r="G2912" s="3" t="s">
        <v>9366</v>
      </c>
    </row>
    <row r="2913">
      <c r="A2913" s="3" t="s">
        <v>9368</v>
      </c>
      <c r="B2913" s="3" t="s">
        <v>3129</v>
      </c>
      <c r="C2913" s="5" t="s">
        <v>221</v>
      </c>
      <c r="D2913" s="3" t="s">
        <v>614</v>
      </c>
      <c r="E2913" s="3" t="s">
        <v>118</v>
      </c>
      <c r="F2913" s="7">
        <v>45806.85919844245</v>
      </c>
      <c r="G2913" s="3" t="s">
        <v>9369</v>
      </c>
    </row>
    <row r="2914">
      <c r="A2914" s="3" t="s">
        <v>9370</v>
      </c>
      <c r="B2914" s="3" t="s">
        <v>3129</v>
      </c>
      <c r="C2914" s="5" t="s">
        <v>614</v>
      </c>
      <c r="D2914" s="3" t="s">
        <v>206</v>
      </c>
      <c r="E2914" s="3" t="s">
        <v>100</v>
      </c>
      <c r="F2914" s="7">
        <v>45806.862670664676</v>
      </c>
      <c r="G2914" s="3" t="s">
        <v>9372</v>
      </c>
    </row>
    <row r="2915">
      <c r="A2915" s="3" t="s">
        <v>9373</v>
      </c>
      <c r="B2915" s="3" t="s">
        <v>3129</v>
      </c>
      <c r="C2915" s="5" t="s">
        <v>206</v>
      </c>
      <c r="D2915" s="3" t="s">
        <v>68</v>
      </c>
      <c r="E2915" s="3" t="s">
        <v>100</v>
      </c>
      <c r="F2915" s="7">
        <v>45806.866142886895</v>
      </c>
      <c r="G2915" s="3" t="s">
        <v>9375</v>
      </c>
    </row>
    <row r="2916">
      <c r="A2916" s="3" t="s">
        <v>9376</v>
      </c>
      <c r="B2916" s="3" t="s">
        <v>3132</v>
      </c>
      <c r="C2916" s="5" t="s">
        <v>45</v>
      </c>
      <c r="D2916" s="3" t="s">
        <v>221</v>
      </c>
      <c r="E2916" s="3" t="s">
        <v>373</v>
      </c>
      <c r="F2916" s="7">
        <v>45806.92690106565</v>
      </c>
      <c r="G2916" s="3" t="s">
        <v>9378</v>
      </c>
    </row>
    <row r="2917">
      <c r="A2917" s="3" t="s">
        <v>9379</v>
      </c>
      <c r="B2917" s="3" t="s">
        <v>3132</v>
      </c>
      <c r="C2917" s="5" t="s">
        <v>221</v>
      </c>
      <c r="D2917" s="3" t="s">
        <v>614</v>
      </c>
      <c r="E2917" s="3" t="s">
        <v>118</v>
      </c>
      <c r="F2917" s="7">
        <v>45806.93037328787</v>
      </c>
      <c r="G2917" s="3" t="s">
        <v>9380</v>
      </c>
    </row>
    <row r="2918">
      <c r="A2918" s="3" t="s">
        <v>9381</v>
      </c>
      <c r="B2918" s="3" t="s">
        <v>3132</v>
      </c>
      <c r="C2918" s="5" t="s">
        <v>614</v>
      </c>
      <c r="D2918" s="3" t="s">
        <v>206</v>
      </c>
      <c r="E2918" s="3" t="s">
        <v>100</v>
      </c>
      <c r="F2918" s="7">
        <v>45806.933845510095</v>
      </c>
      <c r="G2918" s="3" t="s">
        <v>9383</v>
      </c>
    </row>
    <row r="2919">
      <c r="A2919" s="3" t="s">
        <v>9384</v>
      </c>
      <c r="B2919" s="3" t="s">
        <v>3132</v>
      </c>
      <c r="C2919" s="5" t="s">
        <v>206</v>
      </c>
      <c r="D2919" s="3" t="s">
        <v>68</v>
      </c>
      <c r="E2919" s="3" t="s">
        <v>100</v>
      </c>
      <c r="F2919" s="7">
        <v>45806.937317732314</v>
      </c>
      <c r="G2919" s="3" t="s">
        <v>9386</v>
      </c>
    </row>
    <row r="2920">
      <c r="A2920" s="3" t="s">
        <v>9387</v>
      </c>
      <c r="B2920" s="3" t="s">
        <v>3135</v>
      </c>
      <c r="C2920" s="5" t="s">
        <v>45</v>
      </c>
      <c r="D2920" s="3" t="s">
        <v>221</v>
      </c>
      <c r="E2920" s="3" t="s">
        <v>313</v>
      </c>
      <c r="F2920" s="7">
        <v>45806.99807591106</v>
      </c>
      <c r="G2920" s="3" t="s">
        <v>6985</v>
      </c>
    </row>
    <row r="2921">
      <c r="A2921" s="3" t="s">
        <v>9389</v>
      </c>
      <c r="B2921" s="3" t="s">
        <v>3135</v>
      </c>
      <c r="C2921" s="5" t="s">
        <v>221</v>
      </c>
      <c r="D2921" s="3" t="s">
        <v>614</v>
      </c>
      <c r="E2921" s="3" t="s">
        <v>118</v>
      </c>
      <c r="F2921" s="7">
        <v>45807.00154813328</v>
      </c>
      <c r="G2921" s="3" t="s">
        <v>6987</v>
      </c>
    </row>
    <row r="2922">
      <c r="A2922" s="3" t="s">
        <v>9391</v>
      </c>
      <c r="B2922" s="3" t="s">
        <v>3135</v>
      </c>
      <c r="C2922" s="5" t="s">
        <v>614</v>
      </c>
      <c r="D2922" s="3" t="s">
        <v>206</v>
      </c>
      <c r="E2922" s="3" t="s">
        <v>100</v>
      </c>
      <c r="F2922" s="7">
        <v>45807.00502035551</v>
      </c>
      <c r="G2922" s="3" t="s">
        <v>6990</v>
      </c>
    </row>
    <row r="2923">
      <c r="A2923" s="3" t="s">
        <v>9393</v>
      </c>
      <c r="B2923" s="3" t="s">
        <v>3135</v>
      </c>
      <c r="C2923" s="5" t="s">
        <v>206</v>
      </c>
      <c r="D2923" s="3" t="s">
        <v>68</v>
      </c>
      <c r="E2923" s="3" t="s">
        <v>100</v>
      </c>
      <c r="F2923" s="7">
        <v>45807.00849257773</v>
      </c>
      <c r="G2923" s="3" t="s">
        <v>6993</v>
      </c>
    </row>
    <row r="2924">
      <c r="A2924" s="3" t="s">
        <v>9395</v>
      </c>
      <c r="B2924" s="3" t="s">
        <v>3138</v>
      </c>
      <c r="C2924" s="5" t="s">
        <v>45</v>
      </c>
      <c r="D2924" s="3" t="s">
        <v>221</v>
      </c>
      <c r="E2924" s="3" t="s">
        <v>596</v>
      </c>
      <c r="F2924" s="7">
        <v>45807.069250756475</v>
      </c>
      <c r="G2924" s="3" t="s">
        <v>9397</v>
      </c>
    </row>
    <row r="2925">
      <c r="A2925" s="3" t="s">
        <v>9398</v>
      </c>
      <c r="B2925" s="3" t="s">
        <v>3138</v>
      </c>
      <c r="C2925" s="5" t="s">
        <v>221</v>
      </c>
      <c r="D2925" s="3" t="s">
        <v>614</v>
      </c>
      <c r="E2925" s="3" t="s">
        <v>118</v>
      </c>
      <c r="F2925" s="7">
        <v>45807.07272297869</v>
      </c>
      <c r="G2925" s="3" t="s">
        <v>9399</v>
      </c>
    </row>
    <row r="2926">
      <c r="A2926" s="3" t="s">
        <v>9401</v>
      </c>
      <c r="B2926" s="3" t="s">
        <v>3138</v>
      </c>
      <c r="C2926" s="5" t="s">
        <v>614</v>
      </c>
      <c r="D2926" s="3" t="s">
        <v>206</v>
      </c>
      <c r="E2926" s="3" t="s">
        <v>100</v>
      </c>
      <c r="F2926" s="7">
        <v>45807.07619520092</v>
      </c>
      <c r="G2926" s="3" t="s">
        <v>9402</v>
      </c>
    </row>
    <row r="2927">
      <c r="A2927" s="3" t="s">
        <v>9403</v>
      </c>
      <c r="B2927" s="3" t="s">
        <v>3138</v>
      </c>
      <c r="C2927" s="5" t="s">
        <v>206</v>
      </c>
      <c r="D2927" s="3" t="s">
        <v>68</v>
      </c>
      <c r="E2927" s="3" t="s">
        <v>100</v>
      </c>
      <c r="F2927" s="7">
        <v>45807.07966742314</v>
      </c>
      <c r="G2927" s="3" t="s">
        <v>9405</v>
      </c>
    </row>
    <row r="2928">
      <c r="A2928" s="3" t="s">
        <v>9406</v>
      </c>
      <c r="B2928" s="3" t="s">
        <v>3141</v>
      </c>
      <c r="C2928" s="5" t="s">
        <v>45</v>
      </c>
      <c r="D2928" s="3" t="s">
        <v>221</v>
      </c>
      <c r="E2928" s="3" t="s">
        <v>883</v>
      </c>
      <c r="F2928" s="7">
        <v>45807.140425601894</v>
      </c>
      <c r="G2928" s="3" t="s">
        <v>9408</v>
      </c>
    </row>
    <row r="2929">
      <c r="A2929" s="3" t="s">
        <v>9409</v>
      </c>
      <c r="B2929" s="3" t="s">
        <v>3141</v>
      </c>
      <c r="C2929" s="5" t="s">
        <v>221</v>
      </c>
      <c r="D2929" s="3" t="s">
        <v>614</v>
      </c>
      <c r="E2929" s="3" t="s">
        <v>118</v>
      </c>
      <c r="F2929" s="7">
        <v>45807.14389782411</v>
      </c>
      <c r="G2929" s="3" t="s">
        <v>9411</v>
      </c>
    </row>
    <row r="2930">
      <c r="A2930" s="3" t="s">
        <v>9412</v>
      </c>
      <c r="B2930" s="3" t="s">
        <v>3141</v>
      </c>
      <c r="C2930" s="5" t="s">
        <v>614</v>
      </c>
      <c r="D2930" s="3" t="s">
        <v>206</v>
      </c>
      <c r="E2930" s="3" t="s">
        <v>100</v>
      </c>
      <c r="F2930" s="7">
        <v>45807.14737004634</v>
      </c>
      <c r="G2930" s="3" t="s">
        <v>9414</v>
      </c>
    </row>
    <row r="2931">
      <c r="A2931" s="3" t="s">
        <v>9415</v>
      </c>
      <c r="B2931" s="3" t="s">
        <v>3141</v>
      </c>
      <c r="C2931" s="5" t="s">
        <v>206</v>
      </c>
      <c r="D2931" s="3" t="s">
        <v>68</v>
      </c>
      <c r="E2931" s="3" t="s">
        <v>100</v>
      </c>
      <c r="F2931" s="7">
        <v>45807.15084226856</v>
      </c>
      <c r="G2931" s="3" t="s">
        <v>9417</v>
      </c>
    </row>
    <row r="2932">
      <c r="A2932" s="3" t="s">
        <v>9418</v>
      </c>
      <c r="B2932" s="3" t="s">
        <v>3146</v>
      </c>
      <c r="C2932" s="5" t="s">
        <v>45</v>
      </c>
      <c r="D2932" s="3" t="s">
        <v>221</v>
      </c>
      <c r="E2932" s="3" t="s">
        <v>581</v>
      </c>
      <c r="F2932" s="7">
        <v>45807.21160044731</v>
      </c>
      <c r="G2932" s="3" t="s">
        <v>9419</v>
      </c>
    </row>
    <row r="2933">
      <c r="A2933" s="3" t="s">
        <v>9420</v>
      </c>
      <c r="B2933" s="3" t="s">
        <v>3146</v>
      </c>
      <c r="C2933" s="5" t="s">
        <v>221</v>
      </c>
      <c r="D2933" s="3" t="s">
        <v>195</v>
      </c>
      <c r="E2933" s="3" t="s">
        <v>581</v>
      </c>
      <c r="F2933" s="7">
        <v>45807.215072669525</v>
      </c>
      <c r="G2933" s="3" t="s">
        <v>9422</v>
      </c>
    </row>
    <row r="2934">
      <c r="A2934" s="3" t="s">
        <v>9423</v>
      </c>
      <c r="B2934" s="3" t="s">
        <v>3147</v>
      </c>
      <c r="C2934" s="5" t="s">
        <v>45</v>
      </c>
      <c r="D2934" s="3" t="s">
        <v>221</v>
      </c>
      <c r="E2934" s="3" t="s">
        <v>822</v>
      </c>
      <c r="F2934" s="7">
        <v>45807.28277529272</v>
      </c>
      <c r="G2934" s="3" t="s">
        <v>9425</v>
      </c>
    </row>
    <row r="2935">
      <c r="A2935" s="3" t="s">
        <v>9427</v>
      </c>
      <c r="B2935" s="3" t="s">
        <v>3147</v>
      </c>
      <c r="C2935" s="5" t="s">
        <v>221</v>
      </c>
      <c r="D2935" s="3" t="s">
        <v>614</v>
      </c>
      <c r="E2935" s="3" t="s">
        <v>118</v>
      </c>
      <c r="F2935" s="7">
        <v>45807.28624751494</v>
      </c>
      <c r="G2935" s="3" t="s">
        <v>9428</v>
      </c>
    </row>
    <row r="2936">
      <c r="A2936" s="3" t="s">
        <v>9430</v>
      </c>
      <c r="B2936" s="3" t="s">
        <v>3147</v>
      </c>
      <c r="C2936" s="5" t="s">
        <v>614</v>
      </c>
      <c r="D2936" s="3" t="s">
        <v>206</v>
      </c>
      <c r="E2936" s="3" t="s">
        <v>100</v>
      </c>
      <c r="F2936" s="7">
        <v>45807.289719737164</v>
      </c>
      <c r="G2936" s="3" t="s">
        <v>9431</v>
      </c>
    </row>
    <row r="2937">
      <c r="A2937" s="3" t="s">
        <v>9432</v>
      </c>
      <c r="B2937" s="3" t="s">
        <v>3147</v>
      </c>
      <c r="C2937" s="5" t="s">
        <v>206</v>
      </c>
      <c r="D2937" s="3" t="s">
        <v>68</v>
      </c>
      <c r="E2937" s="3" t="s">
        <v>100</v>
      </c>
      <c r="F2937" s="7">
        <v>45807.29319195938</v>
      </c>
      <c r="G2937" s="3" t="s">
        <v>9434</v>
      </c>
    </row>
    <row r="2938">
      <c r="A2938" s="3" t="s">
        <v>9435</v>
      </c>
      <c r="B2938" s="3" t="s">
        <v>3148</v>
      </c>
      <c r="C2938" s="5" t="s">
        <v>45</v>
      </c>
      <c r="D2938" s="3" t="s">
        <v>221</v>
      </c>
      <c r="E2938" s="3" t="s">
        <v>326</v>
      </c>
      <c r="F2938" s="7">
        <v>45807.35395013814</v>
      </c>
      <c r="G2938" s="3" t="s">
        <v>9437</v>
      </c>
    </row>
    <row r="2939">
      <c r="A2939" s="3" t="s">
        <v>9438</v>
      </c>
      <c r="B2939" s="3" t="s">
        <v>3148</v>
      </c>
      <c r="C2939" s="5" t="s">
        <v>221</v>
      </c>
      <c r="D2939" s="3" t="s">
        <v>614</v>
      </c>
      <c r="E2939" s="3" t="s">
        <v>118</v>
      </c>
      <c r="F2939" s="7">
        <v>45807.35742236036</v>
      </c>
      <c r="G2939" s="3" t="s">
        <v>9440</v>
      </c>
    </row>
    <row r="2940">
      <c r="A2940" s="3" t="s">
        <v>9441</v>
      </c>
      <c r="B2940" s="3" t="s">
        <v>3148</v>
      </c>
      <c r="C2940" s="5" t="s">
        <v>614</v>
      </c>
      <c r="D2940" s="3" t="s">
        <v>206</v>
      </c>
      <c r="E2940" s="3" t="s">
        <v>100</v>
      </c>
      <c r="F2940" s="7">
        <v>45807.36089458258</v>
      </c>
      <c r="G2940" s="3" t="s">
        <v>9442</v>
      </c>
    </row>
    <row r="2941">
      <c r="A2941" s="3" t="s">
        <v>9444</v>
      </c>
      <c r="B2941" s="3" t="s">
        <v>3148</v>
      </c>
      <c r="C2941" s="5" t="s">
        <v>206</v>
      </c>
      <c r="D2941" s="3" t="s">
        <v>68</v>
      </c>
      <c r="E2941" s="3" t="s">
        <v>100</v>
      </c>
      <c r="F2941" s="7">
        <v>45807.3643668048</v>
      </c>
      <c r="G2941" s="3" t="s">
        <v>9445</v>
      </c>
    </row>
    <row r="2942">
      <c r="A2942" s="3" t="s">
        <v>9446</v>
      </c>
      <c r="B2942" s="3" t="s">
        <v>3151</v>
      </c>
      <c r="C2942" s="5" t="s">
        <v>45</v>
      </c>
      <c r="D2942" s="3" t="s">
        <v>221</v>
      </c>
      <c r="E2942" s="3" t="s">
        <v>682</v>
      </c>
      <c r="F2942" s="7">
        <v>45807.42512498355</v>
      </c>
      <c r="G2942" s="3" t="s">
        <v>6556</v>
      </c>
    </row>
    <row r="2943">
      <c r="A2943" s="3" t="s">
        <v>9448</v>
      </c>
      <c r="B2943" s="3" t="s">
        <v>3151</v>
      </c>
      <c r="C2943" s="5" t="s">
        <v>221</v>
      </c>
      <c r="D2943" s="3" t="s">
        <v>614</v>
      </c>
      <c r="E2943" s="3" t="s">
        <v>118</v>
      </c>
      <c r="F2943" s="7">
        <v>45807.42859720577</v>
      </c>
      <c r="G2943" s="3" t="s">
        <v>6559</v>
      </c>
    </row>
    <row r="2944">
      <c r="A2944" s="3" t="s">
        <v>9450</v>
      </c>
      <c r="B2944" s="3" t="s">
        <v>3151</v>
      </c>
      <c r="C2944" s="5" t="s">
        <v>614</v>
      </c>
      <c r="D2944" s="3" t="s">
        <v>206</v>
      </c>
      <c r="E2944" s="3" t="s">
        <v>100</v>
      </c>
      <c r="F2944" s="7">
        <v>45807.432069427996</v>
      </c>
      <c r="G2944" s="3" t="s">
        <v>6562</v>
      </c>
    </row>
    <row r="2945">
      <c r="A2945" s="3" t="s">
        <v>9452</v>
      </c>
      <c r="B2945" s="3" t="s">
        <v>3151</v>
      </c>
      <c r="C2945" s="5" t="s">
        <v>206</v>
      </c>
      <c r="D2945" s="3" t="s">
        <v>68</v>
      </c>
      <c r="E2945" s="3" t="s">
        <v>100</v>
      </c>
      <c r="F2945" s="7">
        <v>45807.435541650215</v>
      </c>
      <c r="G2945" s="3" t="s">
        <v>6565</v>
      </c>
    </row>
    <row r="2946">
      <c r="A2946" s="3" t="s">
        <v>9454</v>
      </c>
      <c r="B2946" s="3" t="s">
        <v>3154</v>
      </c>
      <c r="C2946" s="5" t="s">
        <v>45</v>
      </c>
      <c r="D2946" s="3" t="s">
        <v>221</v>
      </c>
      <c r="E2946" s="3" t="s">
        <v>130</v>
      </c>
      <c r="F2946" s="7">
        <v>45807.49629982896</v>
      </c>
      <c r="G2946" s="3" t="s">
        <v>9456</v>
      </c>
    </row>
    <row r="2947">
      <c r="A2947" s="3" t="s">
        <v>9457</v>
      </c>
      <c r="B2947" s="3" t="s">
        <v>3154</v>
      </c>
      <c r="C2947" s="5" t="s">
        <v>221</v>
      </c>
      <c r="D2947" s="3" t="s">
        <v>614</v>
      </c>
      <c r="E2947" s="3" t="s">
        <v>118</v>
      </c>
      <c r="F2947" s="7">
        <v>45807.49977205118</v>
      </c>
      <c r="G2947" s="3" t="s">
        <v>9460</v>
      </c>
    </row>
    <row r="2948">
      <c r="A2948" s="3" t="s">
        <v>9461</v>
      </c>
      <c r="B2948" s="3" t="s">
        <v>3154</v>
      </c>
      <c r="C2948" s="5" t="s">
        <v>614</v>
      </c>
      <c r="D2948" s="3" t="s">
        <v>206</v>
      </c>
      <c r="E2948" s="3" t="s">
        <v>100</v>
      </c>
      <c r="F2948" s="7">
        <v>45807.50324427341</v>
      </c>
      <c r="G2948" s="3" t="s">
        <v>9462</v>
      </c>
    </row>
    <row r="2949">
      <c r="A2949" s="3" t="s">
        <v>9463</v>
      </c>
      <c r="B2949" s="3" t="s">
        <v>3154</v>
      </c>
      <c r="C2949" s="5" t="s">
        <v>206</v>
      </c>
      <c r="D2949" s="3" t="s">
        <v>68</v>
      </c>
      <c r="E2949" s="3" t="s">
        <v>100</v>
      </c>
      <c r="F2949" s="7">
        <v>45807.50671649563</v>
      </c>
      <c r="G2949" s="3" t="s">
        <v>9465</v>
      </c>
    </row>
    <row r="2950">
      <c r="A2950" s="3" t="s">
        <v>9466</v>
      </c>
      <c r="B2950" s="3" t="s">
        <v>3157</v>
      </c>
      <c r="C2950" s="5" t="s">
        <v>45</v>
      </c>
      <c r="D2950" s="3" t="s">
        <v>221</v>
      </c>
      <c r="E2950" s="3" t="s">
        <v>168</v>
      </c>
      <c r="F2950" s="7">
        <v>45807.56747467438</v>
      </c>
      <c r="G2950" s="3" t="s">
        <v>9468</v>
      </c>
    </row>
    <row r="2951">
      <c r="A2951" s="3" t="s">
        <v>9469</v>
      </c>
      <c r="B2951" s="3" t="s">
        <v>3157</v>
      </c>
      <c r="C2951" s="5" t="s">
        <v>221</v>
      </c>
      <c r="D2951" s="3" t="s">
        <v>614</v>
      </c>
      <c r="E2951" s="3" t="s">
        <v>118</v>
      </c>
      <c r="F2951" s="7">
        <v>45807.5709468966</v>
      </c>
      <c r="G2951" s="3" t="s">
        <v>9472</v>
      </c>
    </row>
    <row r="2952">
      <c r="A2952" s="3" t="s">
        <v>9473</v>
      </c>
      <c r="B2952" s="3" t="s">
        <v>3157</v>
      </c>
      <c r="C2952" s="5" t="s">
        <v>614</v>
      </c>
      <c r="D2952" s="3" t="s">
        <v>206</v>
      </c>
      <c r="E2952" s="3" t="s">
        <v>100</v>
      </c>
      <c r="F2952" s="7">
        <v>45807.57441911883</v>
      </c>
      <c r="G2952" s="3" t="s">
        <v>9475</v>
      </c>
    </row>
    <row r="2953">
      <c r="A2953" s="3" t="s">
        <v>9476</v>
      </c>
      <c r="B2953" s="3" t="s">
        <v>3157</v>
      </c>
      <c r="C2953" s="5" t="s">
        <v>206</v>
      </c>
      <c r="D2953" s="3" t="s">
        <v>68</v>
      </c>
      <c r="E2953" s="3" t="s">
        <v>100</v>
      </c>
      <c r="F2953" s="7">
        <v>45807.57789134105</v>
      </c>
      <c r="G2953" s="3" t="s">
        <v>9478</v>
      </c>
    </row>
    <row r="2954">
      <c r="A2954" s="3" t="s">
        <v>9479</v>
      </c>
      <c r="B2954" s="3" t="s">
        <v>3160</v>
      </c>
      <c r="C2954" s="5" t="s">
        <v>45</v>
      </c>
      <c r="D2954" s="3" t="s">
        <v>221</v>
      </c>
      <c r="E2954" s="3" t="s">
        <v>763</v>
      </c>
      <c r="F2954" s="7">
        <v>45807.6386495198</v>
      </c>
      <c r="G2954" s="3" t="s">
        <v>2770</v>
      </c>
    </row>
    <row r="2955">
      <c r="A2955" s="3" t="s">
        <v>9480</v>
      </c>
      <c r="B2955" s="3" t="s">
        <v>3160</v>
      </c>
      <c r="C2955" s="5" t="s">
        <v>221</v>
      </c>
      <c r="D2955" s="3" t="s">
        <v>181</v>
      </c>
      <c r="E2955" s="3" t="s">
        <v>118</v>
      </c>
      <c r="F2955" s="7">
        <v>45807.64212174202</v>
      </c>
      <c r="G2955" s="3" t="s">
        <v>2774</v>
      </c>
    </row>
    <row r="2956">
      <c r="A2956" s="3" t="s">
        <v>9482</v>
      </c>
      <c r="B2956" s="3" t="s">
        <v>3163</v>
      </c>
      <c r="C2956" s="5" t="s">
        <v>45</v>
      </c>
      <c r="D2956" s="3" t="s">
        <v>221</v>
      </c>
      <c r="E2956" s="3" t="s">
        <v>735</v>
      </c>
      <c r="F2956" s="7">
        <v>45807.70982436521</v>
      </c>
      <c r="G2956" s="3" t="s">
        <v>9484</v>
      </c>
    </row>
    <row r="2957">
      <c r="A2957" s="3" t="s">
        <v>9485</v>
      </c>
      <c r="B2957" s="3" t="s">
        <v>3163</v>
      </c>
      <c r="C2957" s="5" t="s">
        <v>221</v>
      </c>
      <c r="D2957" s="3" t="s">
        <v>614</v>
      </c>
      <c r="E2957" s="3" t="s">
        <v>118</v>
      </c>
      <c r="F2957" s="7">
        <v>45807.713296587426</v>
      </c>
      <c r="G2957" s="3" t="s">
        <v>9487</v>
      </c>
    </row>
    <row r="2958">
      <c r="A2958" s="3" t="s">
        <v>9488</v>
      </c>
      <c r="B2958" s="3" t="s">
        <v>3163</v>
      </c>
      <c r="C2958" s="5" t="s">
        <v>614</v>
      </c>
      <c r="D2958" s="3" t="s">
        <v>206</v>
      </c>
      <c r="E2958" s="3" t="s">
        <v>100</v>
      </c>
      <c r="F2958" s="7">
        <v>45807.71676880965</v>
      </c>
      <c r="G2958" s="3" t="s">
        <v>9489</v>
      </c>
    </row>
    <row r="2959">
      <c r="A2959" s="3" t="s">
        <v>9491</v>
      </c>
      <c r="B2959" s="3" t="s">
        <v>3163</v>
      </c>
      <c r="C2959" s="5" t="s">
        <v>206</v>
      </c>
      <c r="D2959" s="3" t="s">
        <v>68</v>
      </c>
      <c r="E2959" s="3" t="s">
        <v>100</v>
      </c>
      <c r="F2959" s="7">
        <v>45807.72024103187</v>
      </c>
      <c r="G2959" s="3" t="s">
        <v>9492</v>
      </c>
    </row>
    <row r="2960">
      <c r="A2960" s="3" t="s">
        <v>9493</v>
      </c>
      <c r="B2960" s="3" t="s">
        <v>3166</v>
      </c>
      <c r="C2960" s="5" t="s">
        <v>45</v>
      </c>
      <c r="D2960" s="3" t="s">
        <v>221</v>
      </c>
      <c r="E2960" s="3" t="s">
        <v>290</v>
      </c>
      <c r="F2960" s="7">
        <v>45807.78099921063</v>
      </c>
      <c r="G2960" s="3" t="s">
        <v>9495</v>
      </c>
    </row>
    <row r="2961">
      <c r="A2961" s="3" t="s">
        <v>9496</v>
      </c>
      <c r="B2961" s="3" t="s">
        <v>3166</v>
      </c>
      <c r="C2961" s="5" t="s">
        <v>221</v>
      </c>
      <c r="D2961" s="3" t="s">
        <v>614</v>
      </c>
      <c r="E2961" s="3" t="s">
        <v>118</v>
      </c>
      <c r="F2961" s="7">
        <v>45807.784471432846</v>
      </c>
      <c r="G2961" s="3" t="s">
        <v>9498</v>
      </c>
    </row>
    <row r="2962">
      <c r="A2962" s="3" t="s">
        <v>9499</v>
      </c>
      <c r="B2962" s="3" t="s">
        <v>3166</v>
      </c>
      <c r="C2962" s="5" t="s">
        <v>614</v>
      </c>
      <c r="D2962" s="3" t="s">
        <v>206</v>
      </c>
      <c r="E2962" s="3" t="s">
        <v>100</v>
      </c>
      <c r="F2962" s="7">
        <v>45807.78794365507</v>
      </c>
      <c r="G2962" s="3" t="s">
        <v>9501</v>
      </c>
    </row>
    <row r="2963">
      <c r="A2963" s="3" t="s">
        <v>9502</v>
      </c>
      <c r="B2963" s="3" t="s">
        <v>3166</v>
      </c>
      <c r="C2963" s="5" t="s">
        <v>206</v>
      </c>
      <c r="D2963" s="3" t="s">
        <v>68</v>
      </c>
      <c r="E2963" s="3" t="s">
        <v>100</v>
      </c>
      <c r="F2963" s="7">
        <v>45807.79141587729</v>
      </c>
      <c r="G2963" s="3" t="s">
        <v>9503</v>
      </c>
    </row>
    <row r="2964">
      <c r="A2964" s="3" t="s">
        <v>9505</v>
      </c>
      <c r="B2964" s="3" t="s">
        <v>3169</v>
      </c>
      <c r="C2964" s="5" t="s">
        <v>45</v>
      </c>
      <c r="D2964" s="3" t="s">
        <v>221</v>
      </c>
      <c r="E2964" s="3" t="s">
        <v>632</v>
      </c>
      <c r="F2964" s="7">
        <v>45807.852174056046</v>
      </c>
      <c r="G2964" s="3" t="s">
        <v>9506</v>
      </c>
    </row>
    <row r="2965">
      <c r="A2965" s="3" t="s">
        <v>9508</v>
      </c>
      <c r="B2965" s="3" t="s">
        <v>3169</v>
      </c>
      <c r="C2965" s="5" t="s">
        <v>221</v>
      </c>
      <c r="D2965" s="3" t="s">
        <v>614</v>
      </c>
      <c r="E2965" s="3" t="s">
        <v>118</v>
      </c>
      <c r="F2965" s="7">
        <v>45807.855646278265</v>
      </c>
      <c r="G2965" s="3" t="s">
        <v>9509</v>
      </c>
    </row>
    <row r="2966">
      <c r="A2966" s="3" t="s">
        <v>9510</v>
      </c>
      <c r="B2966" s="3" t="s">
        <v>3169</v>
      </c>
      <c r="C2966" s="5" t="s">
        <v>614</v>
      </c>
      <c r="D2966" s="3" t="s">
        <v>206</v>
      </c>
      <c r="E2966" s="3" t="s">
        <v>100</v>
      </c>
      <c r="F2966" s="7">
        <v>45807.85911850049</v>
      </c>
      <c r="G2966" s="3" t="s">
        <v>9512</v>
      </c>
    </row>
    <row r="2967">
      <c r="A2967" s="3" t="s">
        <v>9513</v>
      </c>
      <c r="B2967" s="3" t="s">
        <v>3169</v>
      </c>
      <c r="C2967" s="5" t="s">
        <v>206</v>
      </c>
      <c r="D2967" s="3" t="s">
        <v>68</v>
      </c>
      <c r="E2967" s="3" t="s">
        <v>100</v>
      </c>
      <c r="F2967" s="7">
        <v>45807.86259072271</v>
      </c>
      <c r="G2967" s="3" t="s">
        <v>9515</v>
      </c>
    </row>
    <row r="2968">
      <c r="A2968" s="3" t="s">
        <v>9516</v>
      </c>
      <c r="B2968" s="3" t="s">
        <v>3173</v>
      </c>
      <c r="C2968" s="5" t="s">
        <v>45</v>
      </c>
      <c r="D2968" s="3" t="s">
        <v>221</v>
      </c>
      <c r="E2968" s="3" t="s">
        <v>282</v>
      </c>
      <c r="F2968" s="7">
        <v>45807.92334890146</v>
      </c>
      <c r="G2968" s="3" t="s">
        <v>2770</v>
      </c>
    </row>
    <row r="2969">
      <c r="A2969" s="3" t="s">
        <v>9518</v>
      </c>
      <c r="B2969" s="3" t="s">
        <v>3173</v>
      </c>
      <c r="C2969" s="5" t="s">
        <v>221</v>
      </c>
      <c r="D2969" s="3" t="s">
        <v>181</v>
      </c>
      <c r="E2969" s="3" t="s">
        <v>118</v>
      </c>
      <c r="F2969" s="7">
        <v>45807.92682112368</v>
      </c>
      <c r="G2969" s="3" t="s">
        <v>2774</v>
      </c>
    </row>
    <row r="2970">
      <c r="A2970" s="3" t="s">
        <v>9521</v>
      </c>
      <c r="B2970" s="3" t="s">
        <v>3177</v>
      </c>
      <c r="C2970" s="5" t="s">
        <v>45</v>
      </c>
      <c r="D2970" s="3" t="s">
        <v>221</v>
      </c>
      <c r="E2970" s="3" t="s">
        <v>760</v>
      </c>
      <c r="F2970" s="7">
        <v>45807.99452374687</v>
      </c>
      <c r="G2970" s="3" t="s">
        <v>9523</v>
      </c>
    </row>
    <row r="2971">
      <c r="A2971" s="3" t="s">
        <v>9524</v>
      </c>
      <c r="B2971" s="3" t="s">
        <v>3177</v>
      </c>
      <c r="C2971" s="5" t="s">
        <v>221</v>
      </c>
      <c r="D2971" s="3" t="s">
        <v>614</v>
      </c>
      <c r="E2971" s="3" t="s">
        <v>118</v>
      </c>
      <c r="F2971" s="7">
        <v>45807.99799596909</v>
      </c>
      <c r="G2971" s="3" t="s">
        <v>9526</v>
      </c>
    </row>
    <row r="2972">
      <c r="A2972" s="3" t="s">
        <v>9527</v>
      </c>
      <c r="B2972" s="3" t="s">
        <v>3177</v>
      </c>
      <c r="C2972" s="5" t="s">
        <v>614</v>
      </c>
      <c r="D2972" s="3" t="s">
        <v>206</v>
      </c>
      <c r="E2972" s="3" t="s">
        <v>100</v>
      </c>
      <c r="F2972" s="7">
        <v>45808.001468191316</v>
      </c>
      <c r="G2972" s="3" t="s">
        <v>9529</v>
      </c>
    </row>
    <row r="2973">
      <c r="A2973" s="3" t="s">
        <v>9530</v>
      </c>
      <c r="B2973" s="3" t="s">
        <v>3177</v>
      </c>
      <c r="C2973" s="5" t="s">
        <v>206</v>
      </c>
      <c r="D2973" s="3" t="s">
        <v>68</v>
      </c>
      <c r="E2973" s="3" t="s">
        <v>100</v>
      </c>
      <c r="F2973" s="7">
        <v>45808.004940413535</v>
      </c>
      <c r="G2973" s="3" t="s">
        <v>9532</v>
      </c>
    </row>
    <row r="2974">
      <c r="A2974" s="3" t="s">
        <v>9534</v>
      </c>
      <c r="B2974" s="3" t="s">
        <v>3179</v>
      </c>
      <c r="C2974" s="5" t="s">
        <v>45</v>
      </c>
      <c r="D2974" s="3" t="s">
        <v>221</v>
      </c>
      <c r="E2974" s="3" t="s">
        <v>462</v>
      </c>
      <c r="F2974" s="7">
        <v>45808.06569859229</v>
      </c>
      <c r="G2974" s="3" t="s">
        <v>9536</v>
      </c>
    </row>
    <row r="2975">
      <c r="A2975" s="3" t="s">
        <v>9537</v>
      </c>
      <c r="B2975" s="3" t="s">
        <v>3179</v>
      </c>
      <c r="C2975" s="5" t="s">
        <v>221</v>
      </c>
      <c r="D2975" s="3" t="s">
        <v>614</v>
      </c>
      <c r="E2975" s="3" t="s">
        <v>118</v>
      </c>
      <c r="F2975" s="7">
        <v>45808.06917081451</v>
      </c>
      <c r="G2975" s="3" t="s">
        <v>9539</v>
      </c>
    </row>
    <row r="2976">
      <c r="A2976" s="3" t="s">
        <v>9540</v>
      </c>
      <c r="B2976" s="3" t="s">
        <v>3179</v>
      </c>
      <c r="C2976" s="5" t="s">
        <v>614</v>
      </c>
      <c r="D2976" s="3" t="s">
        <v>206</v>
      </c>
      <c r="E2976" s="3" t="s">
        <v>100</v>
      </c>
      <c r="F2976" s="7">
        <v>45808.072643036736</v>
      </c>
      <c r="G2976" s="3" t="s">
        <v>9542</v>
      </c>
    </row>
    <row r="2977">
      <c r="A2977" s="3" t="s">
        <v>9544</v>
      </c>
      <c r="B2977" s="3" t="s">
        <v>3179</v>
      </c>
      <c r="C2977" s="5" t="s">
        <v>206</v>
      </c>
      <c r="D2977" s="3" t="s">
        <v>68</v>
      </c>
      <c r="E2977" s="3" t="s">
        <v>100</v>
      </c>
      <c r="F2977" s="7">
        <v>45808.076115258955</v>
      </c>
      <c r="G2977" s="3" t="s">
        <v>9545</v>
      </c>
    </row>
    <row r="2978">
      <c r="A2978" s="3" t="s">
        <v>9547</v>
      </c>
      <c r="B2978" s="3" t="s">
        <v>3183</v>
      </c>
      <c r="C2978" s="5" t="s">
        <v>45</v>
      </c>
      <c r="D2978" s="3" t="s">
        <v>221</v>
      </c>
      <c r="E2978" s="3" t="s">
        <v>615</v>
      </c>
      <c r="F2978" s="7">
        <v>45808.1368734377</v>
      </c>
      <c r="G2978" s="3" t="s">
        <v>9548</v>
      </c>
    </row>
    <row r="2979">
      <c r="A2979" s="3" t="s">
        <v>9550</v>
      </c>
      <c r="B2979" s="3" t="s">
        <v>3183</v>
      </c>
      <c r="C2979" s="5" t="s">
        <v>221</v>
      </c>
      <c r="D2979" s="3" t="s">
        <v>614</v>
      </c>
      <c r="E2979" s="3" t="s">
        <v>118</v>
      </c>
      <c r="F2979" s="7">
        <v>45808.14034565992</v>
      </c>
      <c r="G2979" s="3" t="s">
        <v>9551</v>
      </c>
    </row>
    <row r="2980">
      <c r="A2980" s="3" t="s">
        <v>9552</v>
      </c>
      <c r="B2980" s="3" t="s">
        <v>3183</v>
      </c>
      <c r="C2980" s="5" t="s">
        <v>614</v>
      </c>
      <c r="D2980" s="3" t="s">
        <v>206</v>
      </c>
      <c r="E2980" s="3" t="s">
        <v>100</v>
      </c>
      <c r="F2980" s="7">
        <v>45808.14381788215</v>
      </c>
      <c r="G2980" s="3" t="s">
        <v>9553</v>
      </c>
    </row>
    <row r="2981">
      <c r="A2981" s="3" t="s">
        <v>9554</v>
      </c>
      <c r="B2981" s="3" t="s">
        <v>3183</v>
      </c>
      <c r="C2981" s="5" t="s">
        <v>206</v>
      </c>
      <c r="D2981" s="3" t="s">
        <v>68</v>
      </c>
      <c r="E2981" s="3" t="s">
        <v>100</v>
      </c>
      <c r="F2981" s="7">
        <v>45808.14729010437</v>
      </c>
      <c r="G2981" s="3" t="s">
        <v>9555</v>
      </c>
    </row>
    <row r="2982">
      <c r="A2982" s="3" t="s">
        <v>9557</v>
      </c>
      <c r="B2982" s="3" t="s">
        <v>3186</v>
      </c>
      <c r="C2982" s="5" t="s">
        <v>45</v>
      </c>
      <c r="D2982" s="3" t="s">
        <v>221</v>
      </c>
      <c r="E2982" s="3" t="s">
        <v>601</v>
      </c>
      <c r="F2982" s="7">
        <v>45808.208048283115</v>
      </c>
      <c r="G2982" s="3" t="s">
        <v>9558</v>
      </c>
    </row>
    <row r="2983">
      <c r="A2983" s="3" t="s">
        <v>9560</v>
      </c>
      <c r="B2983" s="3" t="s">
        <v>3186</v>
      </c>
      <c r="C2983" s="5" t="s">
        <v>221</v>
      </c>
      <c r="D2983" s="3" t="s">
        <v>614</v>
      </c>
      <c r="E2983" s="3" t="s">
        <v>118</v>
      </c>
      <c r="F2983" s="7">
        <v>45808.211520505334</v>
      </c>
      <c r="G2983" s="3" t="s">
        <v>9561</v>
      </c>
    </row>
    <row r="2984">
      <c r="A2984" s="3" t="s">
        <v>9562</v>
      </c>
      <c r="B2984" s="3" t="s">
        <v>3186</v>
      </c>
      <c r="C2984" s="5" t="s">
        <v>614</v>
      </c>
      <c r="D2984" s="3" t="s">
        <v>206</v>
      </c>
      <c r="E2984" s="3" t="s">
        <v>100</v>
      </c>
      <c r="F2984" s="7">
        <v>45808.21499272756</v>
      </c>
      <c r="G2984" s="3" t="s">
        <v>9564</v>
      </c>
    </row>
    <row r="2985">
      <c r="A2985" s="3" t="s">
        <v>9565</v>
      </c>
      <c r="B2985" s="3" t="s">
        <v>3186</v>
      </c>
      <c r="C2985" s="5" t="s">
        <v>206</v>
      </c>
      <c r="D2985" s="3" t="s">
        <v>68</v>
      </c>
      <c r="E2985" s="3" t="s">
        <v>100</v>
      </c>
      <c r="F2985" s="7">
        <v>45808.21846494978</v>
      </c>
      <c r="G2985" s="3" t="s">
        <v>9567</v>
      </c>
    </row>
    <row r="2986">
      <c r="A2986" s="3" t="s">
        <v>9568</v>
      </c>
      <c r="B2986" s="3" t="s">
        <v>3189</v>
      </c>
      <c r="C2986" s="5" t="s">
        <v>45</v>
      </c>
      <c r="D2986" s="3" t="s">
        <v>221</v>
      </c>
      <c r="E2986" s="3" t="s">
        <v>976</v>
      </c>
      <c r="F2986" s="7">
        <v>45808.279223128535</v>
      </c>
      <c r="G2986" s="3" t="s">
        <v>9570</v>
      </c>
    </row>
    <row r="2987">
      <c r="A2987" s="3" t="s">
        <v>9571</v>
      </c>
      <c r="B2987" s="3" t="s">
        <v>3189</v>
      </c>
      <c r="C2987" s="5" t="s">
        <v>221</v>
      </c>
      <c r="D2987" s="3" t="s">
        <v>614</v>
      </c>
      <c r="E2987" s="3" t="s">
        <v>118</v>
      </c>
      <c r="F2987" s="7">
        <v>45808.282695350754</v>
      </c>
      <c r="G2987" s="3" t="s">
        <v>9572</v>
      </c>
    </row>
    <row r="2988">
      <c r="A2988" s="3" t="s">
        <v>9574</v>
      </c>
      <c r="B2988" s="3" t="s">
        <v>3189</v>
      </c>
      <c r="C2988" s="5" t="s">
        <v>614</v>
      </c>
      <c r="D2988" s="3" t="s">
        <v>206</v>
      </c>
      <c r="E2988" s="3" t="s">
        <v>100</v>
      </c>
      <c r="F2988" s="7">
        <v>45808.28616757298</v>
      </c>
      <c r="G2988" s="3" t="s">
        <v>9575</v>
      </c>
    </row>
    <row r="2989">
      <c r="A2989" s="3" t="s">
        <v>9576</v>
      </c>
      <c r="B2989" s="3" t="s">
        <v>3189</v>
      </c>
      <c r="C2989" s="5" t="s">
        <v>206</v>
      </c>
      <c r="D2989" s="3" t="s">
        <v>68</v>
      </c>
      <c r="E2989" s="3" t="s">
        <v>100</v>
      </c>
      <c r="F2989" s="7">
        <v>45808.2896397952</v>
      </c>
      <c r="G2989" s="3" t="s">
        <v>9578</v>
      </c>
    </row>
    <row r="2990">
      <c r="A2990" s="3" t="s">
        <v>9579</v>
      </c>
      <c r="B2990" s="3" t="s">
        <v>3192</v>
      </c>
      <c r="C2990" s="5" t="s">
        <v>45</v>
      </c>
      <c r="D2990" s="3" t="s">
        <v>221</v>
      </c>
      <c r="E2990" s="3" t="s">
        <v>796</v>
      </c>
      <c r="F2990" s="7">
        <v>45808.350397973954</v>
      </c>
      <c r="G2990" s="3" t="s">
        <v>8315</v>
      </c>
    </row>
    <row r="2991">
      <c r="A2991" s="3" t="s">
        <v>9581</v>
      </c>
      <c r="B2991" s="3" t="s">
        <v>3192</v>
      </c>
      <c r="C2991" s="5" t="s">
        <v>221</v>
      </c>
      <c r="D2991" s="3" t="s">
        <v>614</v>
      </c>
      <c r="E2991" s="3" t="s">
        <v>118</v>
      </c>
      <c r="F2991" s="7">
        <v>45808.35387019617</v>
      </c>
      <c r="G2991" s="3" t="s">
        <v>8318</v>
      </c>
    </row>
    <row r="2992">
      <c r="A2992" s="3" t="s">
        <v>9583</v>
      </c>
      <c r="B2992" s="3" t="s">
        <v>3192</v>
      </c>
      <c r="C2992" s="5" t="s">
        <v>614</v>
      </c>
      <c r="D2992" s="3" t="s">
        <v>206</v>
      </c>
      <c r="E2992" s="3" t="s">
        <v>100</v>
      </c>
      <c r="F2992" s="7">
        <v>45808.3573424184</v>
      </c>
      <c r="G2992" s="3" t="s">
        <v>8321</v>
      </c>
    </row>
    <row r="2993">
      <c r="A2993" s="3" t="s">
        <v>9585</v>
      </c>
      <c r="B2993" s="3" t="s">
        <v>3192</v>
      </c>
      <c r="C2993" s="5" t="s">
        <v>206</v>
      </c>
      <c r="D2993" s="3" t="s">
        <v>68</v>
      </c>
      <c r="E2993" s="3" t="s">
        <v>100</v>
      </c>
      <c r="F2993" s="7">
        <v>45808.36081464062</v>
      </c>
      <c r="G2993" s="3" t="s">
        <v>8324</v>
      </c>
    </row>
    <row r="2994">
      <c r="A2994" s="3" t="s">
        <v>9587</v>
      </c>
      <c r="B2994" s="3" t="s">
        <v>3195</v>
      </c>
      <c r="C2994" s="5" t="s">
        <v>45</v>
      </c>
      <c r="D2994" s="3" t="s">
        <v>221</v>
      </c>
      <c r="E2994" s="3" t="s">
        <v>731</v>
      </c>
      <c r="F2994" s="7">
        <v>45808.42157281936</v>
      </c>
      <c r="G2994" s="3" t="s">
        <v>9589</v>
      </c>
    </row>
    <row r="2995">
      <c r="A2995" s="3" t="s">
        <v>9590</v>
      </c>
      <c r="B2995" s="3" t="s">
        <v>3195</v>
      </c>
      <c r="C2995" s="5" t="s">
        <v>221</v>
      </c>
      <c r="D2995" s="3" t="s">
        <v>181</v>
      </c>
      <c r="E2995" s="3" t="s">
        <v>118</v>
      </c>
      <c r="F2995" s="7">
        <v>45808.42504504158</v>
      </c>
      <c r="G2995" s="3" t="s">
        <v>9592</v>
      </c>
    </row>
    <row r="2996">
      <c r="A2996" s="3" t="s">
        <v>9594</v>
      </c>
      <c r="B2996" s="3" t="s">
        <v>3198</v>
      </c>
      <c r="C2996" s="5" t="s">
        <v>45</v>
      </c>
      <c r="D2996" s="3" t="s">
        <v>221</v>
      </c>
      <c r="E2996" s="3" t="s">
        <v>596</v>
      </c>
      <c r="F2996" s="7">
        <v>45808.49274766478</v>
      </c>
      <c r="G2996" s="3" t="s">
        <v>9596</v>
      </c>
    </row>
    <row r="2997">
      <c r="A2997" s="3" t="s">
        <v>9597</v>
      </c>
      <c r="B2997" s="3" t="s">
        <v>3198</v>
      </c>
      <c r="C2997" s="5" t="s">
        <v>221</v>
      </c>
      <c r="D2997" s="3" t="s">
        <v>614</v>
      </c>
      <c r="E2997" s="3" t="s">
        <v>118</v>
      </c>
      <c r="F2997" s="7">
        <v>45808.496219887</v>
      </c>
      <c r="G2997" s="3" t="s">
        <v>9599</v>
      </c>
    </row>
    <row r="2998">
      <c r="A2998" s="3" t="s">
        <v>9600</v>
      </c>
      <c r="B2998" s="3" t="s">
        <v>3198</v>
      </c>
      <c r="C2998" s="5" t="s">
        <v>614</v>
      </c>
      <c r="D2998" s="3" t="s">
        <v>206</v>
      </c>
      <c r="E2998" s="3" t="s">
        <v>100</v>
      </c>
      <c r="F2998" s="7">
        <v>45808.499692109224</v>
      </c>
      <c r="G2998" s="3" t="s">
        <v>9602</v>
      </c>
    </row>
    <row r="2999">
      <c r="A2999" s="3" t="s">
        <v>9604</v>
      </c>
      <c r="B2999" s="3" t="s">
        <v>3198</v>
      </c>
      <c r="C2999" s="5" t="s">
        <v>206</v>
      </c>
      <c r="D2999" s="3" t="s">
        <v>68</v>
      </c>
      <c r="E2999" s="3" t="s">
        <v>100</v>
      </c>
      <c r="F2999" s="7">
        <v>45808.50316433144</v>
      </c>
      <c r="G2999" s="3" t="s">
        <v>9606</v>
      </c>
    </row>
    <row r="3000">
      <c r="A3000" s="3" t="s">
        <v>9607</v>
      </c>
      <c r="B3000" s="3" t="s">
        <v>3201</v>
      </c>
      <c r="C3000" s="5" t="s">
        <v>45</v>
      </c>
      <c r="D3000" s="3" t="s">
        <v>221</v>
      </c>
      <c r="E3000" s="3" t="s">
        <v>322</v>
      </c>
      <c r="F3000" s="7">
        <v>45808.56392251019</v>
      </c>
      <c r="G3000" s="3" t="s">
        <v>9609</v>
      </c>
    </row>
    <row r="3001">
      <c r="A3001" s="3" t="s">
        <v>9610</v>
      </c>
      <c r="B3001" s="3" t="s">
        <v>3201</v>
      </c>
      <c r="C3001" s="5" t="s">
        <v>221</v>
      </c>
      <c r="D3001" s="3" t="s">
        <v>181</v>
      </c>
      <c r="E3001" s="3" t="s">
        <v>118</v>
      </c>
      <c r="F3001" s="7">
        <v>45808.56739473241</v>
      </c>
      <c r="G3001" s="3" t="s">
        <v>9612</v>
      </c>
    </row>
    <row r="3002">
      <c r="A3002" s="3" t="s">
        <v>9614</v>
      </c>
      <c r="B3002" s="3" t="s">
        <v>3206</v>
      </c>
      <c r="C3002" s="5" t="s">
        <v>45</v>
      </c>
      <c r="D3002" s="3" t="s">
        <v>221</v>
      </c>
      <c r="E3002" s="3" t="s">
        <v>713</v>
      </c>
      <c r="F3002" s="7">
        <v>45808.63509735561</v>
      </c>
      <c r="G3002" s="3" t="s">
        <v>9616</v>
      </c>
    </row>
    <row r="3003">
      <c r="A3003" s="3" t="s">
        <v>9617</v>
      </c>
      <c r="B3003" s="3" t="s">
        <v>3206</v>
      </c>
      <c r="C3003" s="5" t="s">
        <v>221</v>
      </c>
      <c r="D3003" s="3" t="s">
        <v>614</v>
      </c>
      <c r="E3003" s="3" t="s">
        <v>118</v>
      </c>
      <c r="F3003" s="7">
        <v>45808.63856957783</v>
      </c>
      <c r="G3003" s="3" t="s">
        <v>9619</v>
      </c>
    </row>
    <row r="3004">
      <c r="A3004" s="3" t="s">
        <v>9620</v>
      </c>
      <c r="B3004" s="3" t="s">
        <v>3206</v>
      </c>
      <c r="C3004" s="5" t="s">
        <v>614</v>
      </c>
      <c r="D3004" s="3" t="s">
        <v>206</v>
      </c>
      <c r="E3004" s="3" t="s">
        <v>100</v>
      </c>
      <c r="F3004" s="7">
        <v>45808.642041800056</v>
      </c>
      <c r="G3004" s="3" t="s">
        <v>9622</v>
      </c>
    </row>
    <row r="3005">
      <c r="A3005" s="3" t="s">
        <v>9623</v>
      </c>
      <c r="B3005" s="3" t="s">
        <v>3206</v>
      </c>
      <c r="C3005" s="5" t="s">
        <v>206</v>
      </c>
      <c r="D3005" s="3" t="s">
        <v>68</v>
      </c>
      <c r="E3005" s="3" t="s">
        <v>100</v>
      </c>
      <c r="F3005" s="7">
        <v>45808.645514022275</v>
      </c>
      <c r="G3005" s="3" t="s">
        <v>9625</v>
      </c>
    </row>
    <row r="3006">
      <c r="A3006" s="3" t="s">
        <v>9627</v>
      </c>
      <c r="B3006" s="3" t="s">
        <v>3209</v>
      </c>
      <c r="C3006" s="5" t="s">
        <v>45</v>
      </c>
      <c r="D3006" s="3" t="s">
        <v>221</v>
      </c>
      <c r="E3006" s="3" t="s">
        <v>637</v>
      </c>
      <c r="F3006" s="7">
        <v>45808.70627220102</v>
      </c>
      <c r="G3006" s="3" t="s">
        <v>9629</v>
      </c>
    </row>
    <row r="3007">
      <c r="A3007" s="3" t="s">
        <v>9630</v>
      </c>
      <c r="B3007" s="3" t="s">
        <v>3209</v>
      </c>
      <c r="C3007" s="5" t="s">
        <v>221</v>
      </c>
      <c r="D3007" s="3" t="s">
        <v>614</v>
      </c>
      <c r="E3007" s="3" t="s">
        <v>118</v>
      </c>
      <c r="F3007" s="7">
        <v>45808.70974442324</v>
      </c>
      <c r="G3007" s="3" t="s">
        <v>9632</v>
      </c>
    </row>
    <row r="3008">
      <c r="A3008" s="3" t="s">
        <v>9634</v>
      </c>
      <c r="B3008" s="3" t="s">
        <v>3209</v>
      </c>
      <c r="C3008" s="5" t="s">
        <v>614</v>
      </c>
      <c r="D3008" s="3" t="s">
        <v>206</v>
      </c>
      <c r="E3008" s="3" t="s">
        <v>100</v>
      </c>
      <c r="F3008" s="7">
        <v>45808.71321664547</v>
      </c>
      <c r="G3008" s="3" t="s">
        <v>9636</v>
      </c>
    </row>
    <row r="3009">
      <c r="A3009" s="3" t="s">
        <v>9637</v>
      </c>
      <c r="B3009" s="3" t="s">
        <v>3209</v>
      </c>
      <c r="C3009" s="5" t="s">
        <v>206</v>
      </c>
      <c r="D3009" s="3" t="s">
        <v>68</v>
      </c>
      <c r="E3009" s="3" t="s">
        <v>100</v>
      </c>
      <c r="F3009" s="7">
        <v>45808.71668886769</v>
      </c>
      <c r="G3009" s="3" t="s">
        <v>9639</v>
      </c>
    </row>
    <row r="3010">
      <c r="A3010" s="3" t="s">
        <v>9640</v>
      </c>
      <c r="B3010" s="3" t="s">
        <v>3212</v>
      </c>
      <c r="C3010" s="5" t="s">
        <v>45</v>
      </c>
      <c r="D3010" s="3" t="s">
        <v>221</v>
      </c>
      <c r="E3010" s="3" t="s">
        <v>373</v>
      </c>
      <c r="F3010" s="7">
        <v>45808.77744704644</v>
      </c>
      <c r="G3010" s="3" t="s">
        <v>9643</v>
      </c>
    </row>
    <row r="3011">
      <c r="A3011" s="3" t="s">
        <v>9644</v>
      </c>
      <c r="B3011" s="3" t="s">
        <v>3212</v>
      </c>
      <c r="C3011" s="5" t="s">
        <v>221</v>
      </c>
      <c r="D3011" s="3" t="s">
        <v>614</v>
      </c>
      <c r="E3011" s="3" t="s">
        <v>118</v>
      </c>
      <c r="F3011" s="7">
        <v>45808.78091926866</v>
      </c>
      <c r="G3011" s="3" t="s">
        <v>9646</v>
      </c>
    </row>
    <row r="3012">
      <c r="A3012" s="3" t="s">
        <v>9647</v>
      </c>
      <c r="B3012" s="3" t="s">
        <v>3212</v>
      </c>
      <c r="C3012" s="5" t="s">
        <v>614</v>
      </c>
      <c r="D3012" s="3" t="s">
        <v>206</v>
      </c>
      <c r="E3012" s="3" t="s">
        <v>100</v>
      </c>
      <c r="F3012" s="7">
        <v>45808.78439149089</v>
      </c>
      <c r="G3012" s="3" t="s">
        <v>9649</v>
      </c>
    </row>
    <row r="3013">
      <c r="A3013" s="3" t="s">
        <v>9651</v>
      </c>
      <c r="B3013" s="3" t="s">
        <v>3212</v>
      </c>
      <c r="C3013" s="5" t="s">
        <v>206</v>
      </c>
      <c r="D3013" s="3" t="s">
        <v>68</v>
      </c>
      <c r="E3013" s="3" t="s">
        <v>100</v>
      </c>
      <c r="F3013" s="7">
        <v>45808.78786371311</v>
      </c>
      <c r="G3013" s="3" t="s">
        <v>9653</v>
      </c>
    </row>
    <row r="3014">
      <c r="A3014" s="3" t="s">
        <v>9654</v>
      </c>
      <c r="B3014" s="3" t="s">
        <v>3216</v>
      </c>
      <c r="C3014" s="5" t="s">
        <v>45</v>
      </c>
      <c r="D3014" s="3" t="s">
        <v>221</v>
      </c>
      <c r="E3014" s="3" t="s">
        <v>126</v>
      </c>
      <c r="F3014" s="7">
        <v>45808.84862189185</v>
      </c>
      <c r="G3014" s="3" t="s">
        <v>9656</v>
      </c>
    </row>
    <row r="3015">
      <c r="A3015" s="3" t="s">
        <v>9657</v>
      </c>
      <c r="B3015" s="3" t="s">
        <v>3216</v>
      </c>
      <c r="C3015" s="5" t="s">
        <v>221</v>
      </c>
      <c r="D3015" s="3" t="s">
        <v>614</v>
      </c>
      <c r="E3015" s="3" t="s">
        <v>118</v>
      </c>
      <c r="F3015" s="7">
        <v>45808.85209411407</v>
      </c>
      <c r="G3015" s="3" t="s">
        <v>9660</v>
      </c>
    </row>
    <row r="3016">
      <c r="A3016" s="3" t="s">
        <v>9661</v>
      </c>
      <c r="B3016" s="3" t="s">
        <v>3216</v>
      </c>
      <c r="C3016" s="5" t="s">
        <v>614</v>
      </c>
      <c r="D3016" s="3" t="s">
        <v>206</v>
      </c>
      <c r="E3016" s="3" t="s">
        <v>100</v>
      </c>
      <c r="F3016" s="7">
        <v>45808.85556633629</v>
      </c>
      <c r="G3016" s="3" t="s">
        <v>9663</v>
      </c>
    </row>
    <row r="3017">
      <c r="A3017" s="3" t="s">
        <v>9664</v>
      </c>
      <c r="B3017" s="3" t="s">
        <v>3216</v>
      </c>
      <c r="C3017" s="5" t="s">
        <v>206</v>
      </c>
      <c r="D3017" s="3" t="s">
        <v>68</v>
      </c>
      <c r="E3017" s="3" t="s">
        <v>100</v>
      </c>
      <c r="F3017" s="7">
        <v>45808.85903855851</v>
      </c>
      <c r="G3017" s="3" t="s">
        <v>9667</v>
      </c>
    </row>
    <row r="3018">
      <c r="A3018" s="3" t="s">
        <v>9668</v>
      </c>
      <c r="B3018" s="3" t="s">
        <v>3220</v>
      </c>
      <c r="C3018" s="5" t="s">
        <v>45</v>
      </c>
      <c r="D3018" s="3" t="s">
        <v>221</v>
      </c>
      <c r="E3018" s="3" t="s">
        <v>770</v>
      </c>
      <c r="F3018" s="7">
        <v>45808.91979673727</v>
      </c>
      <c r="G3018" s="3" t="s">
        <v>9670</v>
      </c>
    </row>
    <row r="3019">
      <c r="A3019" s="3" t="s">
        <v>9672</v>
      </c>
      <c r="B3019" s="3" t="s">
        <v>3220</v>
      </c>
      <c r="C3019" s="5" t="s">
        <v>221</v>
      </c>
      <c r="D3019" s="3" t="s">
        <v>614</v>
      </c>
      <c r="E3019" s="3" t="s">
        <v>118</v>
      </c>
      <c r="F3019" s="7">
        <v>45808.92326895949</v>
      </c>
      <c r="G3019" s="3" t="s">
        <v>9674</v>
      </c>
    </row>
    <row r="3020">
      <c r="A3020" s="3" t="s">
        <v>9675</v>
      </c>
      <c r="B3020" s="3" t="s">
        <v>3220</v>
      </c>
      <c r="C3020" s="5" t="s">
        <v>614</v>
      </c>
      <c r="D3020" s="3" t="s">
        <v>206</v>
      </c>
      <c r="E3020" s="3" t="s">
        <v>100</v>
      </c>
      <c r="F3020" s="7">
        <v>45808.92674118171</v>
      </c>
      <c r="G3020" s="3" t="s">
        <v>9677</v>
      </c>
    </row>
    <row r="3021">
      <c r="A3021" s="3" t="s">
        <v>9678</v>
      </c>
      <c r="B3021" s="3" t="s">
        <v>3220</v>
      </c>
      <c r="C3021" s="5" t="s">
        <v>206</v>
      </c>
      <c r="D3021" s="3" t="s">
        <v>68</v>
      </c>
      <c r="E3021" s="3" t="s">
        <v>100</v>
      </c>
      <c r="F3021" s="7">
        <v>45808.93021340393</v>
      </c>
      <c r="G3021" s="3" t="s">
        <v>9680</v>
      </c>
    </row>
    <row r="3022">
      <c r="A3022" s="3" t="s">
        <v>9682</v>
      </c>
      <c r="B3022" s="3" t="s">
        <v>3223</v>
      </c>
      <c r="C3022" s="5" t="s">
        <v>45</v>
      </c>
      <c r="D3022" s="3" t="s">
        <v>221</v>
      </c>
      <c r="E3022" s="3" t="s">
        <v>530</v>
      </c>
      <c r="F3022" s="7">
        <v>45808.99097158269</v>
      </c>
      <c r="G3022" s="3" t="s">
        <v>9684</v>
      </c>
    </row>
    <row r="3023">
      <c r="A3023" s="3" t="s">
        <v>9685</v>
      </c>
      <c r="B3023" s="3" t="s">
        <v>3223</v>
      </c>
      <c r="C3023" s="5" t="s">
        <v>221</v>
      </c>
      <c r="D3023" s="3" t="s">
        <v>614</v>
      </c>
      <c r="E3023" s="3" t="s">
        <v>118</v>
      </c>
      <c r="F3023" s="7">
        <v>45808.994443804906</v>
      </c>
      <c r="G3023" s="3" t="s">
        <v>9687</v>
      </c>
    </row>
    <row r="3024">
      <c r="A3024" s="3" t="s">
        <v>9689</v>
      </c>
      <c r="B3024" s="3" t="s">
        <v>3223</v>
      </c>
      <c r="C3024" s="5" t="s">
        <v>614</v>
      </c>
      <c r="D3024" s="3" t="s">
        <v>206</v>
      </c>
      <c r="E3024" s="3" t="s">
        <v>100</v>
      </c>
      <c r="F3024" s="7">
        <v>45808.99791602713</v>
      </c>
      <c r="G3024" s="3" t="s">
        <v>9691</v>
      </c>
    </row>
    <row r="3025">
      <c r="A3025" s="3" t="s">
        <v>9692</v>
      </c>
      <c r="B3025" s="3" t="s">
        <v>3223</v>
      </c>
      <c r="C3025" s="5" t="s">
        <v>206</v>
      </c>
      <c r="D3025" s="3" t="s">
        <v>68</v>
      </c>
      <c r="E3025" s="3" t="s">
        <v>100</v>
      </c>
      <c r="F3025" s="7">
        <v>45809.00138824935</v>
      </c>
      <c r="G3025" s="3" t="s">
        <v>9694</v>
      </c>
    </row>
    <row r="3026">
      <c r="A3026" s="3" t="s">
        <v>9695</v>
      </c>
      <c r="B3026" s="3" t="s">
        <v>3226</v>
      </c>
      <c r="C3026" s="5" t="s">
        <v>45</v>
      </c>
      <c r="D3026" s="3" t="s">
        <v>221</v>
      </c>
      <c r="E3026" s="3" t="s">
        <v>336</v>
      </c>
      <c r="F3026" s="7">
        <v>45809.0621464281</v>
      </c>
      <c r="G3026" s="3" t="s">
        <v>9697</v>
      </c>
    </row>
    <row r="3027">
      <c r="A3027" s="3" t="s">
        <v>9699</v>
      </c>
      <c r="B3027" s="3" t="s">
        <v>3226</v>
      </c>
      <c r="C3027" s="5" t="s">
        <v>221</v>
      </c>
      <c r="D3027" s="3" t="s">
        <v>614</v>
      </c>
      <c r="E3027" s="3" t="s">
        <v>118</v>
      </c>
      <c r="F3027" s="7">
        <v>45809.06561865032</v>
      </c>
      <c r="G3027" s="3" t="s">
        <v>9700</v>
      </c>
    </row>
    <row r="3028">
      <c r="A3028" s="3" t="s">
        <v>9702</v>
      </c>
      <c r="B3028" s="3" t="s">
        <v>3226</v>
      </c>
      <c r="C3028" s="5" t="s">
        <v>614</v>
      </c>
      <c r="D3028" s="3" t="s">
        <v>206</v>
      </c>
      <c r="E3028" s="3" t="s">
        <v>100</v>
      </c>
      <c r="F3028" s="7">
        <v>45809.069090872545</v>
      </c>
      <c r="G3028" s="3" t="s">
        <v>9704</v>
      </c>
    </row>
    <row r="3029">
      <c r="A3029" s="3" t="s">
        <v>9705</v>
      </c>
      <c r="B3029" s="3" t="s">
        <v>3226</v>
      </c>
      <c r="C3029" s="5" t="s">
        <v>206</v>
      </c>
      <c r="D3029" s="3" t="s">
        <v>68</v>
      </c>
      <c r="E3029" s="3" t="s">
        <v>100</v>
      </c>
      <c r="F3029" s="7">
        <v>45809.07256309476</v>
      </c>
      <c r="G3029" s="3" t="s">
        <v>9707</v>
      </c>
    </row>
    <row r="3030">
      <c r="A3030" s="3" t="s">
        <v>9708</v>
      </c>
      <c r="B3030" s="3" t="s">
        <v>3229</v>
      </c>
      <c r="C3030" s="5" t="s">
        <v>45</v>
      </c>
      <c r="D3030" s="3" t="s">
        <v>221</v>
      </c>
      <c r="E3030" s="3" t="s">
        <v>266</v>
      </c>
      <c r="F3030" s="7">
        <v>45809.13332127351</v>
      </c>
      <c r="G3030" s="3" t="s">
        <v>9710</v>
      </c>
    </row>
    <row r="3031">
      <c r="A3031" s="3" t="s">
        <v>9712</v>
      </c>
      <c r="B3031" s="3" t="s">
        <v>3229</v>
      </c>
      <c r="C3031" s="5" t="s">
        <v>221</v>
      </c>
      <c r="D3031" s="3" t="s">
        <v>181</v>
      </c>
      <c r="E3031" s="3" t="s">
        <v>118</v>
      </c>
      <c r="F3031" s="7">
        <v>45809.13679349573</v>
      </c>
      <c r="G3031" s="3" t="s">
        <v>9714</v>
      </c>
    </row>
    <row r="3032">
      <c r="A3032" s="3" t="s">
        <v>9715</v>
      </c>
      <c r="B3032" s="3" t="s">
        <v>3232</v>
      </c>
      <c r="C3032" s="5" t="s">
        <v>45</v>
      </c>
      <c r="D3032" s="3" t="s">
        <v>221</v>
      </c>
      <c r="E3032" s="3" t="s">
        <v>1043</v>
      </c>
      <c r="F3032" s="7">
        <v>45809.20449611893</v>
      </c>
      <c r="G3032" s="3" t="s">
        <v>9717</v>
      </c>
    </row>
    <row r="3033">
      <c r="A3033" s="3" t="s">
        <v>9718</v>
      </c>
      <c r="B3033" s="3" t="s">
        <v>3232</v>
      </c>
      <c r="C3033" s="5" t="s">
        <v>221</v>
      </c>
      <c r="D3033" s="3" t="s">
        <v>614</v>
      </c>
      <c r="E3033" s="3" t="s">
        <v>118</v>
      </c>
      <c r="F3033" s="7">
        <v>45809.20796834115</v>
      </c>
      <c r="G3033" s="3" t="s">
        <v>9720</v>
      </c>
    </row>
    <row r="3034">
      <c r="A3034" s="3" t="s">
        <v>9722</v>
      </c>
      <c r="B3034" s="3" t="s">
        <v>3232</v>
      </c>
      <c r="C3034" s="5" t="s">
        <v>614</v>
      </c>
      <c r="D3034" s="3" t="s">
        <v>206</v>
      </c>
      <c r="E3034" s="3" t="s">
        <v>100</v>
      </c>
      <c r="F3034" s="7">
        <v>45809.21144056338</v>
      </c>
      <c r="G3034" s="3" t="s">
        <v>9724</v>
      </c>
    </row>
    <row r="3035">
      <c r="A3035" s="3" t="s">
        <v>9725</v>
      </c>
      <c r="B3035" s="3" t="s">
        <v>3232</v>
      </c>
      <c r="C3035" s="5" t="s">
        <v>206</v>
      </c>
      <c r="D3035" s="3" t="s">
        <v>68</v>
      </c>
      <c r="E3035" s="3" t="s">
        <v>100</v>
      </c>
      <c r="F3035" s="7">
        <v>45809.214912785596</v>
      </c>
      <c r="G3035" s="3" t="s">
        <v>9727</v>
      </c>
    </row>
    <row r="3036">
      <c r="A3036" s="3" t="s">
        <v>9728</v>
      </c>
      <c r="B3036" s="3" t="s">
        <v>3234</v>
      </c>
      <c r="C3036" s="5" t="s">
        <v>45</v>
      </c>
      <c r="D3036" s="3" t="s">
        <v>221</v>
      </c>
      <c r="E3036" s="3" t="s">
        <v>629</v>
      </c>
      <c r="F3036" s="7">
        <v>45809.27567096434</v>
      </c>
      <c r="G3036" s="3" t="s">
        <v>9730</v>
      </c>
    </row>
    <row r="3037">
      <c r="A3037" s="3" t="s">
        <v>9732</v>
      </c>
      <c r="B3037" s="3" t="s">
        <v>3234</v>
      </c>
      <c r="C3037" s="5" t="s">
        <v>221</v>
      </c>
      <c r="D3037" s="3" t="s">
        <v>614</v>
      </c>
      <c r="E3037" s="3" t="s">
        <v>118</v>
      </c>
      <c r="F3037" s="7">
        <v>45809.27914318656</v>
      </c>
      <c r="G3037" s="3" t="s">
        <v>9734</v>
      </c>
    </row>
    <row r="3038">
      <c r="A3038" s="3" t="s">
        <v>9735</v>
      </c>
      <c r="B3038" s="3" t="s">
        <v>3234</v>
      </c>
      <c r="C3038" s="5" t="s">
        <v>614</v>
      </c>
      <c r="D3038" s="3" t="s">
        <v>206</v>
      </c>
      <c r="E3038" s="3" t="s">
        <v>100</v>
      </c>
      <c r="F3038" s="7">
        <v>45809.28261540879</v>
      </c>
      <c r="G3038" s="3" t="s">
        <v>9737</v>
      </c>
    </row>
    <row r="3039">
      <c r="A3039" s="3" t="s">
        <v>9738</v>
      </c>
      <c r="B3039" s="3" t="s">
        <v>3234</v>
      </c>
      <c r="C3039" s="5" t="s">
        <v>206</v>
      </c>
      <c r="D3039" s="3" t="s">
        <v>68</v>
      </c>
      <c r="E3039" s="3" t="s">
        <v>100</v>
      </c>
      <c r="F3039" s="7">
        <v>45809.28608763101</v>
      </c>
      <c r="G3039" s="3" t="s">
        <v>9740</v>
      </c>
    </row>
    <row r="3040">
      <c r="A3040" s="3" t="s">
        <v>9741</v>
      </c>
      <c r="B3040" s="3" t="s">
        <v>3238</v>
      </c>
      <c r="C3040" s="5" t="s">
        <v>45</v>
      </c>
      <c r="D3040" s="3" t="s">
        <v>221</v>
      </c>
      <c r="E3040" s="3" t="s">
        <v>993</v>
      </c>
      <c r="F3040" s="7">
        <v>45809.346845809756</v>
      </c>
      <c r="G3040" s="3" t="s">
        <v>9744</v>
      </c>
    </row>
    <row r="3041">
      <c r="A3041" s="3" t="s">
        <v>9745</v>
      </c>
      <c r="B3041" s="3" t="s">
        <v>3238</v>
      </c>
      <c r="C3041" s="5" t="s">
        <v>221</v>
      </c>
      <c r="D3041" s="3" t="s">
        <v>614</v>
      </c>
      <c r="E3041" s="3" t="s">
        <v>118</v>
      </c>
      <c r="F3041" s="7">
        <v>45809.350318031975</v>
      </c>
      <c r="G3041" s="3" t="s">
        <v>9747</v>
      </c>
    </row>
    <row r="3042">
      <c r="A3042" s="3" t="s">
        <v>9748</v>
      </c>
      <c r="B3042" s="3" t="s">
        <v>3238</v>
      </c>
      <c r="C3042" s="5" t="s">
        <v>614</v>
      </c>
      <c r="D3042" s="3" t="s">
        <v>206</v>
      </c>
      <c r="E3042" s="3" t="s">
        <v>100</v>
      </c>
      <c r="F3042" s="7">
        <v>45809.3537902542</v>
      </c>
      <c r="G3042" s="3" t="s">
        <v>9750</v>
      </c>
    </row>
    <row r="3043">
      <c r="A3043" s="3" t="s">
        <v>9751</v>
      </c>
      <c r="B3043" s="3" t="s">
        <v>3238</v>
      </c>
      <c r="C3043" s="5" t="s">
        <v>206</v>
      </c>
      <c r="D3043" s="3" t="s">
        <v>68</v>
      </c>
      <c r="E3043" s="3" t="s">
        <v>100</v>
      </c>
      <c r="F3043" s="7">
        <v>45809.35726247642</v>
      </c>
      <c r="G3043" s="3" t="s">
        <v>9753</v>
      </c>
    </row>
    <row r="3044">
      <c r="A3044" s="3" t="s">
        <v>9755</v>
      </c>
      <c r="B3044" s="3" t="s">
        <v>3241</v>
      </c>
      <c r="C3044" s="5" t="s">
        <v>45</v>
      </c>
      <c r="D3044" s="3" t="s">
        <v>221</v>
      </c>
      <c r="E3044" s="3" t="s">
        <v>455</v>
      </c>
      <c r="F3044" s="7">
        <v>45809.418020655175</v>
      </c>
      <c r="G3044" s="3" t="s">
        <v>9757</v>
      </c>
    </row>
    <row r="3045">
      <c r="A3045" s="3" t="s">
        <v>9758</v>
      </c>
      <c r="B3045" s="3" t="s">
        <v>3241</v>
      </c>
      <c r="C3045" s="5" t="s">
        <v>221</v>
      </c>
      <c r="D3045" s="3" t="s">
        <v>614</v>
      </c>
      <c r="E3045" s="3" t="s">
        <v>118</v>
      </c>
      <c r="F3045" s="7">
        <v>45809.421492877394</v>
      </c>
      <c r="G3045" s="3" t="s">
        <v>9760</v>
      </c>
    </row>
    <row r="3046">
      <c r="A3046" s="3" t="s">
        <v>9761</v>
      </c>
      <c r="B3046" s="3" t="s">
        <v>3241</v>
      </c>
      <c r="C3046" s="5" t="s">
        <v>614</v>
      </c>
      <c r="D3046" s="3" t="s">
        <v>206</v>
      </c>
      <c r="E3046" s="3" t="s">
        <v>100</v>
      </c>
      <c r="F3046" s="7">
        <v>45809.42496509962</v>
      </c>
      <c r="G3046" s="3" t="s">
        <v>9763</v>
      </c>
    </row>
    <row r="3047">
      <c r="A3047" s="3" t="s">
        <v>9765</v>
      </c>
      <c r="B3047" s="3" t="s">
        <v>3241</v>
      </c>
      <c r="C3047" s="5" t="s">
        <v>206</v>
      </c>
      <c r="D3047" s="3" t="s">
        <v>68</v>
      </c>
      <c r="E3047" s="3" t="s">
        <v>100</v>
      </c>
      <c r="F3047" s="7">
        <v>45809.42843732184</v>
      </c>
      <c r="G3047" s="3" t="s">
        <v>9767</v>
      </c>
    </row>
    <row r="3048">
      <c r="A3048" s="3" t="s">
        <v>9768</v>
      </c>
      <c r="B3048" s="3" t="s">
        <v>3244</v>
      </c>
      <c r="C3048" s="5" t="s">
        <v>45</v>
      </c>
      <c r="D3048" s="3" t="s">
        <v>221</v>
      </c>
      <c r="E3048" s="3" t="s">
        <v>175</v>
      </c>
      <c r="F3048" s="7">
        <v>45809.489195500595</v>
      </c>
      <c r="G3048" s="3" t="s">
        <v>9770</v>
      </c>
    </row>
    <row r="3049">
      <c r="A3049" s="3" t="s">
        <v>9771</v>
      </c>
      <c r="B3049" s="3" t="s">
        <v>3244</v>
      </c>
      <c r="C3049" s="5" t="s">
        <v>221</v>
      </c>
      <c r="D3049" s="3" t="s">
        <v>614</v>
      </c>
      <c r="E3049" s="3" t="s">
        <v>118</v>
      </c>
      <c r="F3049" s="7">
        <v>45809.492667722814</v>
      </c>
      <c r="G3049" s="3" t="s">
        <v>9773</v>
      </c>
    </row>
    <row r="3050">
      <c r="A3050" s="3" t="s">
        <v>9774</v>
      </c>
      <c r="B3050" s="3" t="s">
        <v>3244</v>
      </c>
      <c r="C3050" s="5" t="s">
        <v>614</v>
      </c>
      <c r="D3050" s="3" t="s">
        <v>206</v>
      </c>
      <c r="E3050" s="3" t="s">
        <v>100</v>
      </c>
      <c r="F3050" s="7">
        <v>45809.49613994504</v>
      </c>
      <c r="G3050" s="3" t="s">
        <v>9776</v>
      </c>
    </row>
    <row r="3051">
      <c r="A3051" s="3" t="s">
        <v>9777</v>
      </c>
      <c r="B3051" s="3" t="s">
        <v>3244</v>
      </c>
      <c r="C3051" s="5" t="s">
        <v>206</v>
      </c>
      <c r="D3051" s="3" t="s">
        <v>68</v>
      </c>
      <c r="E3051" s="3" t="s">
        <v>100</v>
      </c>
      <c r="F3051" s="7">
        <v>45809.49961216726</v>
      </c>
      <c r="G3051" s="3" t="s">
        <v>9779</v>
      </c>
    </row>
    <row r="3052">
      <c r="A3052" s="3" t="s">
        <v>9781</v>
      </c>
      <c r="B3052" s="3" t="s">
        <v>3247</v>
      </c>
      <c r="C3052" s="5" t="s">
        <v>45</v>
      </c>
      <c r="D3052" s="3" t="s">
        <v>221</v>
      </c>
      <c r="E3052" s="3" t="s">
        <v>507</v>
      </c>
      <c r="F3052" s="7">
        <v>45809.560370346</v>
      </c>
      <c r="G3052" s="3" t="s">
        <v>9783</v>
      </c>
    </row>
    <row r="3053">
      <c r="A3053" s="3" t="s">
        <v>9784</v>
      </c>
      <c r="B3053" s="3" t="s">
        <v>3247</v>
      </c>
      <c r="C3053" s="5" t="s">
        <v>221</v>
      </c>
      <c r="D3053" s="3" t="s">
        <v>614</v>
      </c>
      <c r="E3053" s="3" t="s">
        <v>118</v>
      </c>
      <c r="F3053" s="7">
        <v>45809.56384256822</v>
      </c>
      <c r="G3053" s="3" t="s">
        <v>9786</v>
      </c>
    </row>
    <row r="3054">
      <c r="A3054" s="3" t="s">
        <v>9788</v>
      </c>
      <c r="B3054" s="3" t="s">
        <v>3247</v>
      </c>
      <c r="C3054" s="5" t="s">
        <v>614</v>
      </c>
      <c r="D3054" s="3" t="s">
        <v>206</v>
      </c>
      <c r="E3054" s="3" t="s">
        <v>100</v>
      </c>
      <c r="F3054" s="7">
        <v>45809.567314790445</v>
      </c>
      <c r="G3054" s="3" t="s">
        <v>9790</v>
      </c>
    </row>
    <row r="3055">
      <c r="A3055" s="3" t="s">
        <v>9791</v>
      </c>
      <c r="B3055" s="3" t="s">
        <v>3247</v>
      </c>
      <c r="C3055" s="5" t="s">
        <v>206</v>
      </c>
      <c r="D3055" s="3" t="s">
        <v>68</v>
      </c>
      <c r="E3055" s="3" t="s">
        <v>100</v>
      </c>
      <c r="F3055" s="7">
        <v>45809.570787012664</v>
      </c>
      <c r="G3055" s="3" t="s">
        <v>9793</v>
      </c>
    </row>
    <row r="3056">
      <c r="A3056" s="3" t="s">
        <v>9794</v>
      </c>
      <c r="B3056" s="3" t="s">
        <v>3250</v>
      </c>
      <c r="C3056" s="5" t="s">
        <v>45</v>
      </c>
      <c r="D3056" s="3" t="s">
        <v>221</v>
      </c>
      <c r="E3056" s="3" t="s">
        <v>746</v>
      </c>
      <c r="F3056" s="7">
        <v>45809.63154519142</v>
      </c>
      <c r="G3056" s="3" t="s">
        <v>9796</v>
      </c>
    </row>
    <row r="3057">
      <c r="A3057" s="3" t="s">
        <v>9798</v>
      </c>
      <c r="B3057" s="3" t="s">
        <v>3250</v>
      </c>
      <c r="C3057" s="5" t="s">
        <v>221</v>
      </c>
      <c r="D3057" s="3" t="s">
        <v>614</v>
      </c>
      <c r="E3057" s="3" t="s">
        <v>118</v>
      </c>
      <c r="F3057" s="7">
        <v>45809.63501741364</v>
      </c>
      <c r="G3057" s="3" t="s">
        <v>9800</v>
      </c>
    </row>
    <row r="3058">
      <c r="A3058" s="3" t="s">
        <v>9801</v>
      </c>
      <c r="B3058" s="3" t="s">
        <v>3250</v>
      </c>
      <c r="C3058" s="5" t="s">
        <v>614</v>
      </c>
      <c r="D3058" s="3" t="s">
        <v>206</v>
      </c>
      <c r="E3058" s="3" t="s">
        <v>100</v>
      </c>
      <c r="F3058" s="7">
        <v>45809.638489635865</v>
      </c>
      <c r="G3058" s="3" t="s">
        <v>9803</v>
      </c>
    </row>
    <row r="3059">
      <c r="A3059" s="3" t="s">
        <v>9804</v>
      </c>
      <c r="B3059" s="3" t="s">
        <v>3250</v>
      </c>
      <c r="C3059" s="5" t="s">
        <v>206</v>
      </c>
      <c r="D3059" s="3" t="s">
        <v>68</v>
      </c>
      <c r="E3059" s="3" t="s">
        <v>100</v>
      </c>
      <c r="F3059" s="7">
        <v>45809.641961858084</v>
      </c>
      <c r="G3059" s="3" t="s">
        <v>9806</v>
      </c>
    </row>
    <row r="3060">
      <c r="A3060" s="3" t="s">
        <v>9807</v>
      </c>
      <c r="B3060" s="3" t="s">
        <v>3253</v>
      </c>
      <c r="C3060" s="5" t="s">
        <v>45</v>
      </c>
      <c r="D3060" s="3" t="s">
        <v>221</v>
      </c>
      <c r="E3060" s="3" t="s">
        <v>746</v>
      </c>
      <c r="F3060" s="7">
        <v>45809.70272003683</v>
      </c>
      <c r="G3060" s="3" t="s">
        <v>9809</v>
      </c>
    </row>
    <row r="3061">
      <c r="A3061" s="3" t="s">
        <v>9811</v>
      </c>
      <c r="B3061" s="3" t="s">
        <v>3253</v>
      </c>
      <c r="C3061" s="5" t="s">
        <v>221</v>
      </c>
      <c r="D3061" s="3" t="s">
        <v>614</v>
      </c>
      <c r="E3061" s="3" t="s">
        <v>118</v>
      </c>
      <c r="F3061" s="7">
        <v>45809.70619225905</v>
      </c>
      <c r="G3061" s="3" t="s">
        <v>9813</v>
      </c>
    </row>
    <row r="3062">
      <c r="A3062" s="3" t="s">
        <v>9814</v>
      </c>
      <c r="B3062" s="3" t="s">
        <v>3253</v>
      </c>
      <c r="C3062" s="5" t="s">
        <v>614</v>
      </c>
      <c r="D3062" s="3" t="s">
        <v>206</v>
      </c>
      <c r="E3062" s="3" t="s">
        <v>100</v>
      </c>
      <c r="F3062" s="7">
        <v>45809.70966448128</v>
      </c>
      <c r="G3062" s="3" t="s">
        <v>9816</v>
      </c>
    </row>
    <row r="3063">
      <c r="A3063" s="3" t="s">
        <v>9817</v>
      </c>
      <c r="B3063" s="3" t="s">
        <v>3253</v>
      </c>
      <c r="C3063" s="5" t="s">
        <v>206</v>
      </c>
      <c r="D3063" s="3" t="s">
        <v>68</v>
      </c>
      <c r="E3063" s="3" t="s">
        <v>100</v>
      </c>
      <c r="F3063" s="7">
        <v>45809.713136703496</v>
      </c>
      <c r="G3063" s="3" t="s">
        <v>9819</v>
      </c>
    </row>
    <row r="3064">
      <c r="A3064" s="3" t="s">
        <v>9820</v>
      </c>
      <c r="B3064" s="3" t="s">
        <v>3256</v>
      </c>
      <c r="C3064" s="5" t="s">
        <v>45</v>
      </c>
      <c r="D3064" s="3" t="s">
        <v>221</v>
      </c>
      <c r="E3064" s="3" t="s">
        <v>442</v>
      </c>
      <c r="F3064" s="7">
        <v>45809.77389488225</v>
      </c>
      <c r="G3064" s="3" t="s">
        <v>5467</v>
      </c>
    </row>
    <row r="3065">
      <c r="A3065" s="3" t="s">
        <v>9823</v>
      </c>
      <c r="B3065" s="3" t="s">
        <v>3256</v>
      </c>
      <c r="C3065" s="5" t="s">
        <v>221</v>
      </c>
      <c r="D3065" s="3" t="s">
        <v>614</v>
      </c>
      <c r="E3065" s="3" t="s">
        <v>118</v>
      </c>
      <c r="F3065" s="7">
        <v>45809.77736710447</v>
      </c>
      <c r="G3065" s="3" t="s">
        <v>5470</v>
      </c>
    </row>
    <row r="3066">
      <c r="A3066" s="3" t="s">
        <v>9825</v>
      </c>
      <c r="B3066" s="3" t="s">
        <v>3256</v>
      </c>
      <c r="C3066" s="5" t="s">
        <v>614</v>
      </c>
      <c r="D3066" s="3" t="s">
        <v>206</v>
      </c>
      <c r="E3066" s="3" t="s">
        <v>100</v>
      </c>
      <c r="F3066" s="7">
        <v>45809.7808393267</v>
      </c>
      <c r="G3066" s="3" t="s">
        <v>5473</v>
      </c>
    </row>
    <row r="3067">
      <c r="A3067" s="3" t="s">
        <v>9828</v>
      </c>
      <c r="B3067" s="3" t="s">
        <v>3256</v>
      </c>
      <c r="C3067" s="5" t="s">
        <v>206</v>
      </c>
      <c r="D3067" s="3" t="s">
        <v>68</v>
      </c>
      <c r="E3067" s="3" t="s">
        <v>100</v>
      </c>
      <c r="F3067" s="7">
        <v>45809.784311548916</v>
      </c>
      <c r="G3067" s="3" t="s">
        <v>5476</v>
      </c>
    </row>
    <row r="3068">
      <c r="A3068" s="3" t="s">
        <v>9831</v>
      </c>
      <c r="B3068" s="3" t="s">
        <v>3259</v>
      </c>
      <c r="C3068" s="5" t="s">
        <v>45</v>
      </c>
      <c r="D3068" s="3" t="s">
        <v>221</v>
      </c>
      <c r="E3068" s="3" t="s">
        <v>785</v>
      </c>
      <c r="F3068" s="7">
        <v>45809.845069727664</v>
      </c>
      <c r="G3068" s="3" t="s">
        <v>4187</v>
      </c>
    </row>
    <row r="3069">
      <c r="A3069" s="3" t="s">
        <v>9833</v>
      </c>
      <c r="B3069" s="3" t="s">
        <v>3259</v>
      </c>
      <c r="C3069" s="5" t="s">
        <v>221</v>
      </c>
      <c r="D3069" s="3" t="s">
        <v>614</v>
      </c>
      <c r="E3069" s="3" t="s">
        <v>118</v>
      </c>
      <c r="F3069" s="7">
        <v>45809.84854194988</v>
      </c>
      <c r="G3069" s="3" t="s">
        <v>8275</v>
      </c>
    </row>
    <row r="3070">
      <c r="A3070" s="3" t="s">
        <v>9836</v>
      </c>
      <c r="B3070" s="3" t="s">
        <v>3259</v>
      </c>
      <c r="C3070" s="5" t="s">
        <v>614</v>
      </c>
      <c r="D3070" s="3" t="s">
        <v>206</v>
      </c>
      <c r="E3070" s="3" t="s">
        <v>100</v>
      </c>
      <c r="F3070" s="7">
        <v>45809.85201417211</v>
      </c>
      <c r="G3070" s="3" t="s">
        <v>8278</v>
      </c>
    </row>
    <row r="3071">
      <c r="A3071" s="3" t="s">
        <v>9838</v>
      </c>
      <c r="B3071" s="3" t="s">
        <v>3259</v>
      </c>
      <c r="C3071" s="5" t="s">
        <v>206</v>
      </c>
      <c r="D3071" s="3" t="s">
        <v>68</v>
      </c>
      <c r="E3071" s="3" t="s">
        <v>100</v>
      </c>
      <c r="F3071" s="7">
        <v>45809.85548639433</v>
      </c>
      <c r="G3071" s="3" t="s">
        <v>8281</v>
      </c>
    </row>
    <row r="3072">
      <c r="A3072" s="3" t="s">
        <v>9841</v>
      </c>
      <c r="B3072" s="3" t="s">
        <v>3262</v>
      </c>
      <c r="C3072" s="5" t="s">
        <v>45</v>
      </c>
      <c r="D3072" s="3" t="s">
        <v>221</v>
      </c>
      <c r="E3072" s="3" t="s">
        <v>468</v>
      </c>
      <c r="F3072" s="7">
        <v>45809.91624457308</v>
      </c>
      <c r="G3072" s="3" t="s">
        <v>9843</v>
      </c>
    </row>
    <row r="3073">
      <c r="A3073" s="3" t="s">
        <v>9844</v>
      </c>
      <c r="B3073" s="3" t="s">
        <v>3262</v>
      </c>
      <c r="C3073" s="5" t="s">
        <v>221</v>
      </c>
      <c r="D3073" s="3" t="s">
        <v>614</v>
      </c>
      <c r="E3073" s="3" t="s">
        <v>118</v>
      </c>
      <c r="F3073" s="7">
        <v>45809.9197167953</v>
      </c>
      <c r="G3073" s="3" t="s">
        <v>9846</v>
      </c>
    </row>
    <row r="3074">
      <c r="A3074" s="3" t="s">
        <v>9847</v>
      </c>
      <c r="B3074" s="3" t="s">
        <v>3262</v>
      </c>
      <c r="C3074" s="5" t="s">
        <v>614</v>
      </c>
      <c r="D3074" s="3" t="s">
        <v>206</v>
      </c>
      <c r="E3074" s="3" t="s">
        <v>100</v>
      </c>
      <c r="F3074" s="7">
        <v>45809.92318901753</v>
      </c>
      <c r="G3074" s="3" t="s">
        <v>9849</v>
      </c>
    </row>
    <row r="3075">
      <c r="A3075" s="3" t="s">
        <v>9851</v>
      </c>
      <c r="B3075" s="3" t="s">
        <v>3262</v>
      </c>
      <c r="C3075" s="5" t="s">
        <v>206</v>
      </c>
      <c r="D3075" s="3" t="s">
        <v>68</v>
      </c>
      <c r="E3075" s="3" t="s">
        <v>100</v>
      </c>
      <c r="F3075" s="7">
        <v>45809.92666123975</v>
      </c>
      <c r="G3075" s="3" t="s">
        <v>9853</v>
      </c>
    </row>
    <row r="3076">
      <c r="A3076" s="3" t="s">
        <v>9854</v>
      </c>
      <c r="B3076" s="3" t="s">
        <v>3265</v>
      </c>
      <c r="C3076" s="5" t="s">
        <v>45</v>
      </c>
      <c r="D3076" s="3" t="s">
        <v>221</v>
      </c>
      <c r="E3076" s="3" t="s">
        <v>903</v>
      </c>
      <c r="F3076" s="7">
        <v>45809.987419418496</v>
      </c>
      <c r="G3076" s="3" t="s">
        <v>9856</v>
      </c>
    </row>
    <row r="3077">
      <c r="A3077" s="3" t="s">
        <v>9857</v>
      </c>
      <c r="B3077" s="3" t="s">
        <v>3265</v>
      </c>
      <c r="C3077" s="5" t="s">
        <v>221</v>
      </c>
      <c r="D3077" s="3" t="s">
        <v>614</v>
      </c>
      <c r="E3077" s="3" t="s">
        <v>118</v>
      </c>
      <c r="F3077" s="7">
        <v>45809.990891640715</v>
      </c>
      <c r="G3077" s="3" t="s">
        <v>9859</v>
      </c>
    </row>
    <row r="3078">
      <c r="A3078" s="3" t="s">
        <v>9860</v>
      </c>
      <c r="B3078" s="3" t="s">
        <v>3265</v>
      </c>
      <c r="C3078" s="5" t="s">
        <v>614</v>
      </c>
      <c r="D3078" s="3" t="s">
        <v>206</v>
      </c>
      <c r="E3078" s="3" t="s">
        <v>100</v>
      </c>
      <c r="F3078" s="7">
        <v>45809.99436386294</v>
      </c>
      <c r="G3078" s="3" t="s">
        <v>9862</v>
      </c>
    </row>
    <row r="3079">
      <c r="A3079" s="3" t="s">
        <v>9864</v>
      </c>
      <c r="B3079" s="3" t="s">
        <v>3265</v>
      </c>
      <c r="C3079" s="5" t="s">
        <v>206</v>
      </c>
      <c r="D3079" s="3" t="s">
        <v>68</v>
      </c>
      <c r="E3079" s="3" t="s">
        <v>100</v>
      </c>
      <c r="F3079" s="7">
        <v>45809.99783608516</v>
      </c>
      <c r="G3079" s="3" t="s">
        <v>9866</v>
      </c>
    </row>
    <row r="3080">
      <c r="A3080" s="3" t="s">
        <v>9867</v>
      </c>
      <c r="B3080" s="3" t="s">
        <v>3270</v>
      </c>
      <c r="C3080" s="5" t="s">
        <v>45</v>
      </c>
      <c r="D3080" s="3" t="s">
        <v>221</v>
      </c>
      <c r="E3080" s="3" t="s">
        <v>546</v>
      </c>
      <c r="F3080" s="7">
        <v>45810.05859426391</v>
      </c>
      <c r="G3080" s="3" t="s">
        <v>9869</v>
      </c>
    </row>
    <row r="3081">
      <c r="A3081" s="3" t="s">
        <v>9870</v>
      </c>
      <c r="B3081" s="3" t="s">
        <v>3270</v>
      </c>
      <c r="C3081" s="5" t="s">
        <v>221</v>
      </c>
      <c r="D3081" s="3" t="s">
        <v>614</v>
      </c>
      <c r="E3081" s="3" t="s">
        <v>118</v>
      </c>
      <c r="F3081" s="7">
        <v>45810.06206648613</v>
      </c>
      <c r="G3081" s="3" t="s">
        <v>9873</v>
      </c>
    </row>
    <row r="3082">
      <c r="A3082" s="3" t="s">
        <v>9874</v>
      </c>
      <c r="B3082" s="3" t="s">
        <v>3270</v>
      </c>
      <c r="C3082" s="5" t="s">
        <v>614</v>
      </c>
      <c r="D3082" s="3" t="s">
        <v>206</v>
      </c>
      <c r="E3082" s="3" t="s">
        <v>100</v>
      </c>
      <c r="F3082" s="7">
        <v>45810.06553870835</v>
      </c>
      <c r="G3082" s="3" t="s">
        <v>9876</v>
      </c>
    </row>
    <row r="3083">
      <c r="A3083" s="3" t="s">
        <v>9877</v>
      </c>
      <c r="B3083" s="3" t="s">
        <v>3270</v>
      </c>
      <c r="C3083" s="5" t="s">
        <v>206</v>
      </c>
      <c r="D3083" s="3" t="s">
        <v>68</v>
      </c>
      <c r="E3083" s="3" t="s">
        <v>100</v>
      </c>
      <c r="F3083" s="7">
        <v>45810.06901093057</v>
      </c>
      <c r="G3083" s="3" t="s">
        <v>9879</v>
      </c>
    </row>
    <row r="3084">
      <c r="A3084" s="3" t="s">
        <v>9881</v>
      </c>
      <c r="B3084" s="3" t="s">
        <v>3273</v>
      </c>
      <c r="C3084" s="5" t="s">
        <v>45</v>
      </c>
      <c r="D3084" s="3" t="s">
        <v>221</v>
      </c>
      <c r="E3084" s="3" t="s">
        <v>672</v>
      </c>
      <c r="F3084" s="7">
        <v>45810.12976910933</v>
      </c>
      <c r="G3084" s="3" t="s">
        <v>9883</v>
      </c>
    </row>
    <row r="3085">
      <c r="A3085" s="3" t="s">
        <v>9884</v>
      </c>
      <c r="B3085" s="3" t="s">
        <v>3273</v>
      </c>
      <c r="C3085" s="5" t="s">
        <v>221</v>
      </c>
      <c r="D3085" s="3" t="s">
        <v>614</v>
      </c>
      <c r="E3085" s="3" t="s">
        <v>118</v>
      </c>
      <c r="F3085" s="7">
        <v>45810.13324133155</v>
      </c>
      <c r="G3085" s="3" t="s">
        <v>9886</v>
      </c>
    </row>
    <row r="3086">
      <c r="A3086" s="3" t="s">
        <v>9888</v>
      </c>
      <c r="B3086" s="3" t="s">
        <v>3273</v>
      </c>
      <c r="C3086" s="5" t="s">
        <v>614</v>
      </c>
      <c r="D3086" s="3" t="s">
        <v>206</v>
      </c>
      <c r="E3086" s="3" t="s">
        <v>100</v>
      </c>
      <c r="F3086" s="7">
        <v>45810.13671355377</v>
      </c>
      <c r="G3086" s="3" t="s">
        <v>9890</v>
      </c>
    </row>
    <row r="3087">
      <c r="A3087" s="3" t="s">
        <v>9891</v>
      </c>
      <c r="B3087" s="3" t="s">
        <v>3273</v>
      </c>
      <c r="C3087" s="5" t="s">
        <v>206</v>
      </c>
      <c r="D3087" s="3" t="s">
        <v>68</v>
      </c>
      <c r="E3087" s="3" t="s">
        <v>100</v>
      </c>
      <c r="F3087" s="7">
        <v>45810.14018577599</v>
      </c>
      <c r="G3087" s="3" t="s">
        <v>9893</v>
      </c>
    </row>
    <row r="3088">
      <c r="A3088" s="3" t="s">
        <v>9894</v>
      </c>
      <c r="B3088" s="3" t="s">
        <v>3276</v>
      </c>
      <c r="C3088" s="5" t="s">
        <v>45</v>
      </c>
      <c r="D3088" s="3" t="s">
        <v>221</v>
      </c>
      <c r="E3088" s="3" t="s">
        <v>796</v>
      </c>
      <c r="F3088" s="7">
        <v>45810.20094395474</v>
      </c>
      <c r="G3088" s="3" t="s">
        <v>8315</v>
      </c>
    </row>
    <row r="3089">
      <c r="A3089" s="3" t="s">
        <v>9897</v>
      </c>
      <c r="B3089" s="3" t="s">
        <v>3276</v>
      </c>
      <c r="C3089" s="5" t="s">
        <v>221</v>
      </c>
      <c r="D3089" s="3" t="s">
        <v>614</v>
      </c>
      <c r="E3089" s="3" t="s">
        <v>118</v>
      </c>
      <c r="F3089" s="7">
        <v>45810.20441617696</v>
      </c>
      <c r="G3089" s="3" t="s">
        <v>8318</v>
      </c>
    </row>
    <row r="3090">
      <c r="A3090" s="3" t="s">
        <v>9899</v>
      </c>
      <c r="B3090" s="3" t="s">
        <v>3276</v>
      </c>
      <c r="C3090" s="5" t="s">
        <v>614</v>
      </c>
      <c r="D3090" s="3" t="s">
        <v>206</v>
      </c>
      <c r="E3090" s="3" t="s">
        <v>100</v>
      </c>
      <c r="F3090" s="7">
        <v>45810.207888399185</v>
      </c>
      <c r="G3090" s="3" t="s">
        <v>8321</v>
      </c>
    </row>
    <row r="3091">
      <c r="A3091" s="3" t="s">
        <v>9901</v>
      </c>
      <c r="B3091" s="3" t="s">
        <v>3276</v>
      </c>
      <c r="C3091" s="5" t="s">
        <v>206</v>
      </c>
      <c r="D3091" s="3" t="s">
        <v>68</v>
      </c>
      <c r="E3091" s="3" t="s">
        <v>100</v>
      </c>
      <c r="F3091" s="7">
        <v>45810.211360621404</v>
      </c>
      <c r="G3091" s="3" t="s">
        <v>8324</v>
      </c>
    </row>
    <row r="3092">
      <c r="A3092" s="3" t="s">
        <v>9904</v>
      </c>
      <c r="B3092" s="3" t="s">
        <v>3280</v>
      </c>
      <c r="C3092" s="5" t="s">
        <v>45</v>
      </c>
      <c r="D3092" s="3" t="s">
        <v>221</v>
      </c>
      <c r="E3092" s="3" t="s">
        <v>527</v>
      </c>
      <c r="F3092" s="7">
        <v>45810.27211880015</v>
      </c>
      <c r="G3092" s="3" t="s">
        <v>7615</v>
      </c>
    </row>
    <row r="3093">
      <c r="A3093" s="3" t="s">
        <v>9906</v>
      </c>
      <c r="B3093" s="3" t="s">
        <v>3280</v>
      </c>
      <c r="C3093" s="5" t="s">
        <v>221</v>
      </c>
      <c r="D3093" s="3" t="s">
        <v>614</v>
      </c>
      <c r="E3093" s="3" t="s">
        <v>118</v>
      </c>
      <c r="F3093" s="7">
        <v>45810.27559102237</v>
      </c>
      <c r="G3093" s="3" t="s">
        <v>7618</v>
      </c>
    </row>
    <row r="3094">
      <c r="A3094" s="3" t="s">
        <v>9909</v>
      </c>
      <c r="B3094" s="3" t="s">
        <v>3280</v>
      </c>
      <c r="C3094" s="5" t="s">
        <v>614</v>
      </c>
      <c r="D3094" s="3" t="s">
        <v>206</v>
      </c>
      <c r="E3094" s="3" t="s">
        <v>100</v>
      </c>
      <c r="F3094" s="7">
        <v>45810.2790632446</v>
      </c>
      <c r="G3094" s="3" t="s">
        <v>7621</v>
      </c>
    </row>
    <row r="3095">
      <c r="A3095" s="3" t="s">
        <v>9911</v>
      </c>
      <c r="B3095" s="3" t="s">
        <v>3280</v>
      </c>
      <c r="C3095" s="5" t="s">
        <v>206</v>
      </c>
      <c r="D3095" s="3" t="s">
        <v>68</v>
      </c>
      <c r="E3095" s="3" t="s">
        <v>100</v>
      </c>
      <c r="F3095" s="7">
        <v>45810.28253546682</v>
      </c>
      <c r="G3095" s="3" t="s">
        <v>7624</v>
      </c>
    </row>
    <row r="3096">
      <c r="A3096" s="3" t="s">
        <v>9913</v>
      </c>
      <c r="B3096" s="3" t="s">
        <v>3283</v>
      </c>
      <c r="C3096" s="5" t="s">
        <v>45</v>
      </c>
      <c r="D3096" s="3" t="s">
        <v>221</v>
      </c>
      <c r="E3096" s="3" t="s">
        <v>488</v>
      </c>
      <c r="F3096" s="7">
        <v>45810.34329364557</v>
      </c>
      <c r="G3096" s="3" t="s">
        <v>9915</v>
      </c>
    </row>
    <row r="3097">
      <c r="A3097" s="3" t="s">
        <v>9917</v>
      </c>
      <c r="B3097" s="3" t="s">
        <v>3283</v>
      </c>
      <c r="C3097" s="5" t="s">
        <v>221</v>
      </c>
      <c r="D3097" s="3" t="s">
        <v>614</v>
      </c>
      <c r="E3097" s="3" t="s">
        <v>118</v>
      </c>
      <c r="F3097" s="7">
        <v>45810.34676586779</v>
      </c>
      <c r="G3097" s="3" t="s">
        <v>9919</v>
      </c>
    </row>
    <row r="3098">
      <c r="A3098" s="3" t="s">
        <v>9920</v>
      </c>
      <c r="B3098" s="3" t="s">
        <v>3283</v>
      </c>
      <c r="C3098" s="5" t="s">
        <v>614</v>
      </c>
      <c r="D3098" s="3" t="s">
        <v>206</v>
      </c>
      <c r="E3098" s="3" t="s">
        <v>100</v>
      </c>
      <c r="F3098" s="7">
        <v>45810.35023809002</v>
      </c>
      <c r="G3098" s="3" t="s">
        <v>9922</v>
      </c>
    </row>
    <row r="3099">
      <c r="A3099" s="3" t="s">
        <v>9923</v>
      </c>
      <c r="B3099" s="3" t="s">
        <v>3283</v>
      </c>
      <c r="C3099" s="5" t="s">
        <v>206</v>
      </c>
      <c r="D3099" s="3" t="s">
        <v>68</v>
      </c>
      <c r="E3099" s="3" t="s">
        <v>100</v>
      </c>
      <c r="F3099" s="7">
        <v>45810.353710312236</v>
      </c>
      <c r="G3099" s="3" t="s">
        <v>9925</v>
      </c>
    </row>
    <row r="3100">
      <c r="A3100" s="3" t="s">
        <v>9927</v>
      </c>
      <c r="B3100" s="3" t="s">
        <v>3286</v>
      </c>
      <c r="C3100" s="5" t="s">
        <v>45</v>
      </c>
      <c r="D3100" s="3" t="s">
        <v>221</v>
      </c>
      <c r="E3100" s="3" t="s">
        <v>822</v>
      </c>
      <c r="F3100" s="7">
        <v>45810.414468490984</v>
      </c>
      <c r="G3100" s="3" t="s">
        <v>9929</v>
      </c>
    </row>
    <row r="3101">
      <c r="A3101" s="3" t="s">
        <v>9930</v>
      </c>
      <c r="B3101" s="3" t="s">
        <v>3286</v>
      </c>
      <c r="C3101" s="5" t="s">
        <v>221</v>
      </c>
      <c r="D3101" s="3" t="s">
        <v>614</v>
      </c>
      <c r="E3101" s="3" t="s">
        <v>118</v>
      </c>
      <c r="F3101" s="7">
        <v>45810.4179407132</v>
      </c>
      <c r="G3101" s="3" t="s">
        <v>9932</v>
      </c>
    </row>
    <row r="3102">
      <c r="A3102" s="3" t="s">
        <v>9933</v>
      </c>
      <c r="B3102" s="3" t="s">
        <v>3286</v>
      </c>
      <c r="C3102" s="5" t="s">
        <v>614</v>
      </c>
      <c r="D3102" s="3" t="s">
        <v>206</v>
      </c>
      <c r="E3102" s="3" t="s">
        <v>100</v>
      </c>
      <c r="F3102" s="7">
        <v>45810.42141293543</v>
      </c>
      <c r="G3102" s="3" t="s">
        <v>9935</v>
      </c>
    </row>
    <row r="3103">
      <c r="A3103" s="3" t="s">
        <v>9937</v>
      </c>
      <c r="B3103" s="3" t="s">
        <v>3286</v>
      </c>
      <c r="C3103" s="5" t="s">
        <v>206</v>
      </c>
      <c r="D3103" s="3" t="s">
        <v>68</v>
      </c>
      <c r="E3103" s="3" t="s">
        <v>100</v>
      </c>
      <c r="F3103" s="7">
        <v>45810.42488515765</v>
      </c>
      <c r="G3103" s="3" t="s">
        <v>9939</v>
      </c>
    </row>
    <row r="3104">
      <c r="A3104" s="3" t="s">
        <v>9940</v>
      </c>
      <c r="B3104" s="3" t="s">
        <v>3290</v>
      </c>
      <c r="C3104" s="5" t="s">
        <v>45</v>
      </c>
      <c r="D3104" s="3" t="s">
        <v>221</v>
      </c>
      <c r="E3104" s="3" t="s">
        <v>356</v>
      </c>
      <c r="F3104" s="7">
        <v>45810.4856433364</v>
      </c>
      <c r="G3104" s="3" t="s">
        <v>9943</v>
      </c>
    </row>
    <row r="3105">
      <c r="A3105" s="3" t="s">
        <v>9944</v>
      </c>
      <c r="B3105" s="3" t="s">
        <v>3290</v>
      </c>
      <c r="C3105" s="5" t="s">
        <v>221</v>
      </c>
      <c r="D3105" s="3" t="s">
        <v>614</v>
      </c>
      <c r="E3105" s="3" t="s">
        <v>118</v>
      </c>
      <c r="F3105" s="7">
        <v>45810.489115558616</v>
      </c>
      <c r="G3105" s="3" t="s">
        <v>9946</v>
      </c>
    </row>
    <row r="3106">
      <c r="A3106" s="3" t="s">
        <v>9947</v>
      </c>
      <c r="B3106" s="3" t="s">
        <v>3290</v>
      </c>
      <c r="C3106" s="5" t="s">
        <v>614</v>
      </c>
      <c r="D3106" s="3" t="s">
        <v>206</v>
      </c>
      <c r="E3106" s="3" t="s">
        <v>100</v>
      </c>
      <c r="F3106" s="7">
        <v>45810.49258778084</v>
      </c>
      <c r="G3106" s="3" t="s">
        <v>9949</v>
      </c>
    </row>
    <row r="3107">
      <c r="A3107" s="3" t="s">
        <v>9951</v>
      </c>
      <c r="B3107" s="3" t="s">
        <v>3290</v>
      </c>
      <c r="C3107" s="5" t="s">
        <v>206</v>
      </c>
      <c r="D3107" s="3" t="s">
        <v>68</v>
      </c>
      <c r="E3107" s="3" t="s">
        <v>100</v>
      </c>
      <c r="F3107" s="7">
        <v>45810.49606000306</v>
      </c>
      <c r="G3107" s="3" t="s">
        <v>9953</v>
      </c>
    </row>
    <row r="3108">
      <c r="A3108" s="3" t="s">
        <v>9954</v>
      </c>
      <c r="B3108" s="3" t="s">
        <v>3293</v>
      </c>
      <c r="C3108" s="5" t="s">
        <v>45</v>
      </c>
      <c r="D3108" s="3" t="s">
        <v>221</v>
      </c>
      <c r="E3108" s="3" t="s">
        <v>204</v>
      </c>
      <c r="F3108" s="7">
        <v>45810.556818181816</v>
      </c>
      <c r="G3108" s="3" t="s">
        <v>9956</v>
      </c>
    </row>
    <row r="3109">
      <c r="A3109" s="3" t="s">
        <v>9957</v>
      </c>
      <c r="B3109" s="3" t="s">
        <v>3293</v>
      </c>
      <c r="C3109" s="5" t="s">
        <v>221</v>
      </c>
      <c r="D3109" s="3" t="s">
        <v>614</v>
      </c>
      <c r="E3109" s="3" t="s">
        <v>118</v>
      </c>
      <c r="F3109" s="7">
        <v>45810.560290404035</v>
      </c>
      <c r="G3109" s="3" t="s">
        <v>9960</v>
      </c>
    </row>
    <row r="3110">
      <c r="A3110" s="3" t="s">
        <v>9961</v>
      </c>
      <c r="B3110" s="3" t="s">
        <v>3293</v>
      </c>
      <c r="C3110" s="5" t="s">
        <v>614</v>
      </c>
      <c r="D3110" s="3" t="s">
        <v>206</v>
      </c>
      <c r="E3110" s="3" t="s">
        <v>100</v>
      </c>
      <c r="F3110" s="7">
        <v>45810.56376262626</v>
      </c>
      <c r="G3110" s="3" t="s">
        <v>9963</v>
      </c>
    </row>
    <row r="3111">
      <c r="A3111" s="3" t="s">
        <v>9964</v>
      </c>
      <c r="B3111" s="3" t="s">
        <v>3293</v>
      </c>
      <c r="C3111" s="5" t="s">
        <v>206</v>
      </c>
      <c r="D3111" s="3" t="s">
        <v>68</v>
      </c>
      <c r="E3111" s="3" t="s">
        <v>100</v>
      </c>
      <c r="F3111" s="7">
        <v>45810.56723484848</v>
      </c>
      <c r="G3111" s="3" t="s">
        <v>9966</v>
      </c>
    </row>
    <row r="3112">
      <c r="A3112" s="3" t="s">
        <v>9968</v>
      </c>
      <c r="B3112" s="3" t="s">
        <v>3296</v>
      </c>
      <c r="C3112" s="5" t="s">
        <v>45</v>
      </c>
      <c r="D3112" s="3" t="s">
        <v>221</v>
      </c>
      <c r="E3112" s="3" t="s">
        <v>282</v>
      </c>
      <c r="F3112" s="7">
        <v>45810.627993027236</v>
      </c>
      <c r="G3112" s="3" t="s">
        <v>9970</v>
      </c>
    </row>
    <row r="3113">
      <c r="A3113" s="3" t="s">
        <v>9971</v>
      </c>
      <c r="B3113" s="3" t="s">
        <v>3296</v>
      </c>
      <c r="C3113" s="5" t="s">
        <v>221</v>
      </c>
      <c r="D3113" s="3" t="s">
        <v>614</v>
      </c>
      <c r="E3113" s="3" t="s">
        <v>118</v>
      </c>
      <c r="F3113" s="7">
        <v>45810.631465249455</v>
      </c>
      <c r="G3113" s="3" t="s">
        <v>9973</v>
      </c>
    </row>
    <row r="3114">
      <c r="A3114" s="3" t="s">
        <v>9974</v>
      </c>
      <c r="B3114" s="3" t="s">
        <v>3296</v>
      </c>
      <c r="C3114" s="5" t="s">
        <v>614</v>
      </c>
      <c r="D3114" s="3" t="s">
        <v>206</v>
      </c>
      <c r="E3114" s="3" t="s">
        <v>100</v>
      </c>
      <c r="F3114" s="7">
        <v>45810.63493747168</v>
      </c>
      <c r="G3114" s="3" t="s">
        <v>9976</v>
      </c>
    </row>
    <row r="3115">
      <c r="A3115" s="3" t="s">
        <v>9978</v>
      </c>
      <c r="B3115" s="3" t="s">
        <v>3296</v>
      </c>
      <c r="C3115" s="5" t="s">
        <v>206</v>
      </c>
      <c r="D3115" s="3" t="s">
        <v>68</v>
      </c>
      <c r="E3115" s="3" t="s">
        <v>100</v>
      </c>
      <c r="F3115" s="7">
        <v>45810.6384096939</v>
      </c>
      <c r="G3115" s="3" t="s">
        <v>9980</v>
      </c>
    </row>
    <row r="3116">
      <c r="A3116" s="3" t="s">
        <v>9981</v>
      </c>
      <c r="B3116" s="3" t="s">
        <v>3299</v>
      </c>
      <c r="C3116" s="5" t="s">
        <v>45</v>
      </c>
      <c r="D3116" s="3" t="s">
        <v>221</v>
      </c>
      <c r="E3116" s="3" t="s">
        <v>148</v>
      </c>
      <c r="F3116" s="7">
        <v>45810.69916787264</v>
      </c>
      <c r="G3116" s="3" t="s">
        <v>9983</v>
      </c>
    </row>
    <row r="3117">
      <c r="A3117" s="3" t="s">
        <v>9984</v>
      </c>
      <c r="B3117" s="3" t="s">
        <v>3299</v>
      </c>
      <c r="C3117" s="5" t="s">
        <v>221</v>
      </c>
      <c r="D3117" s="3" t="s">
        <v>614</v>
      </c>
      <c r="E3117" s="3" t="s">
        <v>118</v>
      </c>
      <c r="F3117" s="7">
        <v>45810.70264009486</v>
      </c>
      <c r="G3117" s="3" t="s">
        <v>9986</v>
      </c>
    </row>
    <row r="3118">
      <c r="A3118" s="3" t="s">
        <v>9988</v>
      </c>
      <c r="B3118" s="3" t="s">
        <v>3299</v>
      </c>
      <c r="C3118" s="5" t="s">
        <v>614</v>
      </c>
      <c r="D3118" s="3" t="s">
        <v>206</v>
      </c>
      <c r="E3118" s="3" t="s">
        <v>100</v>
      </c>
      <c r="F3118" s="7">
        <v>45810.706112317086</v>
      </c>
      <c r="G3118" s="3" t="s">
        <v>9990</v>
      </c>
    </row>
    <row r="3119">
      <c r="A3119" s="3" t="s">
        <v>9991</v>
      </c>
      <c r="B3119" s="3" t="s">
        <v>3299</v>
      </c>
      <c r="C3119" s="5" t="s">
        <v>206</v>
      </c>
      <c r="D3119" s="3" t="s">
        <v>68</v>
      </c>
      <c r="E3119" s="3" t="s">
        <v>100</v>
      </c>
      <c r="F3119" s="7">
        <v>45810.709584539305</v>
      </c>
      <c r="G3119" s="3" t="s">
        <v>9993</v>
      </c>
    </row>
    <row r="3120">
      <c r="A3120" s="3" t="s">
        <v>9994</v>
      </c>
      <c r="B3120" s="3" t="s">
        <v>3302</v>
      </c>
      <c r="C3120" s="5" t="s">
        <v>45</v>
      </c>
      <c r="D3120" s="3" t="s">
        <v>221</v>
      </c>
      <c r="E3120" s="3" t="s">
        <v>373</v>
      </c>
      <c r="F3120" s="7">
        <v>45810.77034271806</v>
      </c>
      <c r="G3120" s="3" t="s">
        <v>9996</v>
      </c>
    </row>
    <row r="3121">
      <c r="A3121" s="3" t="s">
        <v>9998</v>
      </c>
      <c r="B3121" s="3" t="s">
        <v>3302</v>
      </c>
      <c r="C3121" s="5" t="s">
        <v>221</v>
      </c>
      <c r="D3121" s="3" t="s">
        <v>181</v>
      </c>
      <c r="E3121" s="3" t="s">
        <v>118</v>
      </c>
      <c r="F3121" s="7">
        <v>45810.77381494028</v>
      </c>
      <c r="G3121" s="3" t="s">
        <v>10000</v>
      </c>
    </row>
    <row r="3122">
      <c r="A3122" s="3" t="s">
        <v>10001</v>
      </c>
      <c r="B3122" s="3" t="s">
        <v>3305</v>
      </c>
      <c r="C3122" s="5" t="s">
        <v>45</v>
      </c>
      <c r="D3122" s="3" t="s">
        <v>221</v>
      </c>
      <c r="E3122" s="3" t="s">
        <v>662</v>
      </c>
      <c r="F3122" s="7">
        <v>45810.84151756348</v>
      </c>
      <c r="G3122" s="3" t="s">
        <v>10003</v>
      </c>
    </row>
    <row r="3123">
      <c r="A3123" s="3" t="s">
        <v>10005</v>
      </c>
      <c r="B3123" s="3" t="s">
        <v>3305</v>
      </c>
      <c r="C3123" s="5" t="s">
        <v>221</v>
      </c>
      <c r="D3123" s="3" t="s">
        <v>614</v>
      </c>
      <c r="E3123" s="3" t="s">
        <v>118</v>
      </c>
      <c r="F3123" s="7">
        <v>45810.8449897857</v>
      </c>
      <c r="G3123" s="3" t="s">
        <v>10007</v>
      </c>
    </row>
    <row r="3124">
      <c r="A3124" s="3" t="s">
        <v>10008</v>
      </c>
      <c r="B3124" s="3" t="s">
        <v>3305</v>
      </c>
      <c r="C3124" s="5" t="s">
        <v>614</v>
      </c>
      <c r="D3124" s="3" t="s">
        <v>206</v>
      </c>
      <c r="E3124" s="3" t="s">
        <v>100</v>
      </c>
      <c r="F3124" s="7">
        <v>45810.848462007925</v>
      </c>
      <c r="G3124" s="3" t="s">
        <v>10010</v>
      </c>
    </row>
    <row r="3125">
      <c r="A3125" s="3" t="s">
        <v>10011</v>
      </c>
      <c r="B3125" s="3" t="s">
        <v>3305</v>
      </c>
      <c r="C3125" s="5" t="s">
        <v>206</v>
      </c>
      <c r="D3125" s="3" t="s">
        <v>68</v>
      </c>
      <c r="E3125" s="3" t="s">
        <v>100</v>
      </c>
      <c r="F3125" s="7">
        <v>45810.851934230144</v>
      </c>
      <c r="G3125" s="3" t="s">
        <v>10013</v>
      </c>
    </row>
    <row r="3126">
      <c r="A3126" s="3" t="s">
        <v>10015</v>
      </c>
      <c r="B3126" s="3" t="s">
        <v>3308</v>
      </c>
      <c r="C3126" s="5" t="s">
        <v>45</v>
      </c>
      <c r="D3126" s="3" t="s">
        <v>221</v>
      </c>
      <c r="E3126" s="3" t="s">
        <v>658</v>
      </c>
      <c r="F3126" s="7">
        <v>45810.91269240889</v>
      </c>
      <c r="G3126" s="3" t="s">
        <v>10017</v>
      </c>
    </row>
    <row r="3127">
      <c r="A3127" s="3" t="s">
        <v>10018</v>
      </c>
      <c r="B3127" s="3" t="s">
        <v>3308</v>
      </c>
      <c r="C3127" s="5" t="s">
        <v>221</v>
      </c>
      <c r="D3127" s="3" t="s">
        <v>614</v>
      </c>
      <c r="E3127" s="3" t="s">
        <v>118</v>
      </c>
      <c r="F3127" s="7">
        <v>45810.91616463111</v>
      </c>
      <c r="G3127" s="3" t="s">
        <v>10020</v>
      </c>
    </row>
    <row r="3128">
      <c r="A3128" s="3" t="s">
        <v>10021</v>
      </c>
      <c r="B3128" s="3" t="s">
        <v>3308</v>
      </c>
      <c r="C3128" s="5" t="s">
        <v>614</v>
      </c>
      <c r="D3128" s="3" t="s">
        <v>206</v>
      </c>
      <c r="E3128" s="3" t="s">
        <v>100</v>
      </c>
      <c r="F3128" s="7">
        <v>45810.91963685334</v>
      </c>
      <c r="G3128" s="3" t="s">
        <v>10023</v>
      </c>
    </row>
    <row r="3129">
      <c r="A3129" s="3" t="s">
        <v>10025</v>
      </c>
      <c r="B3129" s="3" t="s">
        <v>3308</v>
      </c>
      <c r="C3129" s="5" t="s">
        <v>206</v>
      </c>
      <c r="D3129" s="3" t="s">
        <v>68</v>
      </c>
      <c r="E3129" s="3" t="s">
        <v>100</v>
      </c>
      <c r="F3129" s="7">
        <v>45810.92310907556</v>
      </c>
      <c r="G3129" s="3" t="s">
        <v>10027</v>
      </c>
    </row>
    <row r="3130">
      <c r="A3130" s="3" t="s">
        <v>10028</v>
      </c>
      <c r="B3130" s="3" t="s">
        <v>3311</v>
      </c>
      <c r="C3130" s="5" t="s">
        <v>45</v>
      </c>
      <c r="D3130" s="3" t="s">
        <v>221</v>
      </c>
      <c r="E3130" s="3" t="s">
        <v>186</v>
      </c>
      <c r="F3130" s="7">
        <v>45810.983867254305</v>
      </c>
      <c r="G3130" s="3" t="s">
        <v>7319</v>
      </c>
    </row>
    <row r="3131">
      <c r="A3131" s="3" t="s">
        <v>10031</v>
      </c>
      <c r="B3131" s="3" t="s">
        <v>3311</v>
      </c>
      <c r="C3131" s="5" t="s">
        <v>221</v>
      </c>
      <c r="D3131" s="3" t="s">
        <v>614</v>
      </c>
      <c r="E3131" s="3" t="s">
        <v>118</v>
      </c>
      <c r="F3131" s="7">
        <v>45810.98733947652</v>
      </c>
      <c r="G3131" s="3" t="s">
        <v>7322</v>
      </c>
    </row>
    <row r="3132">
      <c r="A3132" s="3" t="s">
        <v>10033</v>
      </c>
      <c r="B3132" s="3" t="s">
        <v>3311</v>
      </c>
      <c r="C3132" s="5" t="s">
        <v>614</v>
      </c>
      <c r="D3132" s="3" t="s">
        <v>206</v>
      </c>
      <c r="E3132" s="3" t="s">
        <v>100</v>
      </c>
      <c r="F3132" s="7">
        <v>45810.99081169875</v>
      </c>
      <c r="G3132" s="3" t="s">
        <v>7324</v>
      </c>
    </row>
    <row r="3133">
      <c r="A3133" s="3" t="s">
        <v>10035</v>
      </c>
      <c r="B3133" s="3" t="s">
        <v>3311</v>
      </c>
      <c r="C3133" s="5" t="s">
        <v>206</v>
      </c>
      <c r="D3133" s="3" t="s">
        <v>68</v>
      </c>
      <c r="E3133" s="3" t="s">
        <v>100</v>
      </c>
      <c r="F3133" s="7">
        <v>45810.99428392097</v>
      </c>
      <c r="G3133" s="3" t="s">
        <v>7327</v>
      </c>
    </row>
    <row r="3134">
      <c r="A3134" s="3" t="s">
        <v>10038</v>
      </c>
      <c r="B3134" s="3" t="s">
        <v>3314</v>
      </c>
      <c r="C3134" s="5" t="s">
        <v>45</v>
      </c>
      <c r="D3134" s="3" t="s">
        <v>221</v>
      </c>
      <c r="E3134" s="3" t="s">
        <v>632</v>
      </c>
      <c r="F3134" s="7">
        <v>45811.055042099724</v>
      </c>
      <c r="G3134" s="3" t="s">
        <v>10040</v>
      </c>
    </row>
    <row r="3135">
      <c r="A3135" s="3" t="s">
        <v>10041</v>
      </c>
      <c r="B3135" s="3" t="s">
        <v>3314</v>
      </c>
      <c r="C3135" s="5" t="s">
        <v>221</v>
      </c>
      <c r="D3135" s="3" t="s">
        <v>614</v>
      </c>
      <c r="E3135" s="3" t="s">
        <v>118</v>
      </c>
      <c r="F3135" s="7">
        <v>45811.05851432194</v>
      </c>
      <c r="G3135" s="3" t="s">
        <v>10043</v>
      </c>
    </row>
    <row r="3136">
      <c r="A3136" s="3" t="s">
        <v>10045</v>
      </c>
      <c r="B3136" s="3" t="s">
        <v>3314</v>
      </c>
      <c r="C3136" s="5" t="s">
        <v>614</v>
      </c>
      <c r="D3136" s="3" t="s">
        <v>206</v>
      </c>
      <c r="E3136" s="3" t="s">
        <v>100</v>
      </c>
      <c r="F3136" s="7">
        <v>45811.06198654417</v>
      </c>
      <c r="G3136" s="3" t="s">
        <v>10047</v>
      </c>
    </row>
    <row r="3137">
      <c r="A3137" s="3" t="s">
        <v>10048</v>
      </c>
      <c r="B3137" s="3" t="s">
        <v>3314</v>
      </c>
      <c r="C3137" s="5" t="s">
        <v>206</v>
      </c>
      <c r="D3137" s="3" t="s">
        <v>68</v>
      </c>
      <c r="E3137" s="3" t="s">
        <v>100</v>
      </c>
      <c r="F3137" s="7">
        <v>45811.06545876639</v>
      </c>
      <c r="G3137" s="3" t="s">
        <v>10050</v>
      </c>
    </row>
    <row r="3138">
      <c r="A3138" s="3" t="s">
        <v>10051</v>
      </c>
      <c r="B3138" s="3" t="s">
        <v>3317</v>
      </c>
      <c r="C3138" s="5" t="s">
        <v>45</v>
      </c>
      <c r="D3138" s="3" t="s">
        <v>221</v>
      </c>
      <c r="E3138" s="3" t="s">
        <v>717</v>
      </c>
      <c r="F3138" s="7">
        <v>45811.12621694514</v>
      </c>
      <c r="G3138" s="3" t="s">
        <v>10054</v>
      </c>
    </row>
    <row r="3139">
      <c r="A3139" s="3" t="s">
        <v>10055</v>
      </c>
      <c r="B3139" s="3" t="s">
        <v>3317</v>
      </c>
      <c r="C3139" s="5" t="s">
        <v>221</v>
      </c>
      <c r="D3139" s="3" t="s">
        <v>614</v>
      </c>
      <c r="E3139" s="3" t="s">
        <v>118</v>
      </c>
      <c r="F3139" s="7">
        <v>45811.129689167356</v>
      </c>
      <c r="G3139" s="3" t="s">
        <v>10057</v>
      </c>
    </row>
    <row r="3140">
      <c r="A3140" s="3" t="s">
        <v>10058</v>
      </c>
      <c r="B3140" s="3" t="s">
        <v>3317</v>
      </c>
      <c r="C3140" s="5" t="s">
        <v>614</v>
      </c>
      <c r="D3140" s="3" t="s">
        <v>206</v>
      </c>
      <c r="E3140" s="3" t="s">
        <v>100</v>
      </c>
      <c r="F3140" s="7">
        <v>45811.13316138958</v>
      </c>
      <c r="G3140" s="3" t="s">
        <v>10060</v>
      </c>
    </row>
    <row r="3141">
      <c r="A3141" s="3" t="s">
        <v>10061</v>
      </c>
      <c r="B3141" s="3" t="s">
        <v>3317</v>
      </c>
      <c r="C3141" s="5" t="s">
        <v>206</v>
      </c>
      <c r="D3141" s="3" t="s">
        <v>68</v>
      </c>
      <c r="E3141" s="3" t="s">
        <v>100</v>
      </c>
      <c r="F3141" s="7">
        <v>45811.1366336118</v>
      </c>
      <c r="G3141" s="3" t="s">
        <v>10063</v>
      </c>
    </row>
    <row r="3142">
      <c r="A3142" s="3" t="s">
        <v>10064</v>
      </c>
      <c r="B3142" s="3" t="s">
        <v>3320</v>
      </c>
      <c r="C3142" s="5" t="s">
        <v>45</v>
      </c>
      <c r="D3142" s="3" t="s">
        <v>221</v>
      </c>
      <c r="E3142" s="3" t="s">
        <v>475</v>
      </c>
      <c r="F3142" s="7">
        <v>45811.19739179055</v>
      </c>
      <c r="G3142" s="3" t="s">
        <v>8038</v>
      </c>
    </row>
    <row r="3143">
      <c r="A3143" s="3" t="s">
        <v>10066</v>
      </c>
      <c r="B3143" s="3" t="s">
        <v>3320</v>
      </c>
      <c r="C3143" s="5" t="s">
        <v>221</v>
      </c>
      <c r="D3143" s="3" t="s">
        <v>614</v>
      </c>
      <c r="E3143" s="3" t="s">
        <v>118</v>
      </c>
      <c r="F3143" s="7">
        <v>45811.20086401277</v>
      </c>
      <c r="G3143" s="3" t="s">
        <v>10068</v>
      </c>
    </row>
    <row r="3144">
      <c r="A3144" s="3" t="s">
        <v>10069</v>
      </c>
      <c r="B3144" s="3" t="s">
        <v>3320</v>
      </c>
      <c r="C3144" s="5" t="s">
        <v>614</v>
      </c>
      <c r="D3144" s="3" t="s">
        <v>206</v>
      </c>
      <c r="E3144" s="3" t="s">
        <v>100</v>
      </c>
      <c r="F3144" s="7">
        <v>45811.204336234994</v>
      </c>
      <c r="G3144" s="3" t="s">
        <v>10071</v>
      </c>
    </row>
    <row r="3145">
      <c r="A3145" s="3" t="s">
        <v>10073</v>
      </c>
      <c r="B3145" s="3" t="s">
        <v>3320</v>
      </c>
      <c r="C3145" s="5" t="s">
        <v>206</v>
      </c>
      <c r="D3145" s="3" t="s">
        <v>68</v>
      </c>
      <c r="E3145" s="3" t="s">
        <v>100</v>
      </c>
      <c r="F3145" s="7">
        <v>45811.20780845721</v>
      </c>
      <c r="G3145" s="3" t="s">
        <v>10075</v>
      </c>
    </row>
    <row r="3146">
      <c r="A3146" s="3" t="s">
        <v>10076</v>
      </c>
      <c r="B3146" s="3" t="s">
        <v>3323</v>
      </c>
      <c r="C3146" s="5" t="s">
        <v>45</v>
      </c>
      <c r="D3146" s="3" t="s">
        <v>221</v>
      </c>
      <c r="E3146" s="3" t="s">
        <v>591</v>
      </c>
      <c r="F3146" s="7">
        <v>45811.26856663597</v>
      </c>
      <c r="G3146" s="3" t="s">
        <v>10078</v>
      </c>
    </row>
    <row r="3147">
      <c r="A3147" s="3" t="s">
        <v>10080</v>
      </c>
      <c r="B3147" s="3" t="s">
        <v>3323</v>
      </c>
      <c r="C3147" s="5" t="s">
        <v>221</v>
      </c>
      <c r="D3147" s="3" t="s">
        <v>614</v>
      </c>
      <c r="E3147" s="3" t="s">
        <v>118</v>
      </c>
      <c r="F3147" s="7">
        <v>45811.27203885819</v>
      </c>
      <c r="G3147" s="3" t="s">
        <v>10082</v>
      </c>
    </row>
    <row r="3148">
      <c r="A3148" s="3" t="s">
        <v>10083</v>
      </c>
      <c r="B3148" s="3" t="s">
        <v>3323</v>
      </c>
      <c r="C3148" s="5" t="s">
        <v>614</v>
      </c>
      <c r="D3148" s="3" t="s">
        <v>206</v>
      </c>
      <c r="E3148" s="3" t="s">
        <v>100</v>
      </c>
      <c r="F3148" s="7">
        <v>45811.275511080414</v>
      </c>
      <c r="G3148" s="3" t="s">
        <v>10085</v>
      </c>
    </row>
    <row r="3149">
      <c r="A3149" s="3" t="s">
        <v>10086</v>
      </c>
      <c r="B3149" s="3" t="s">
        <v>3323</v>
      </c>
      <c r="C3149" s="5" t="s">
        <v>206</v>
      </c>
      <c r="D3149" s="3" t="s">
        <v>68</v>
      </c>
      <c r="E3149" s="3" t="s">
        <v>100</v>
      </c>
      <c r="F3149" s="7">
        <v>45811.27898330263</v>
      </c>
      <c r="G3149" s="3" t="s">
        <v>10088</v>
      </c>
    </row>
    <row r="3150">
      <c r="A3150" s="3" t="s">
        <v>10090</v>
      </c>
      <c r="B3150" s="3" t="s">
        <v>3327</v>
      </c>
      <c r="C3150" s="5" t="s">
        <v>45</v>
      </c>
      <c r="D3150" s="3" t="s">
        <v>221</v>
      </c>
      <c r="E3150" s="3" t="s">
        <v>742</v>
      </c>
      <c r="F3150" s="7">
        <v>45811.33974148139</v>
      </c>
      <c r="G3150" s="3" t="s">
        <v>10092</v>
      </c>
    </row>
    <row r="3151">
      <c r="A3151" s="3" t="s">
        <v>10093</v>
      </c>
      <c r="B3151" s="3" t="s">
        <v>3327</v>
      </c>
      <c r="C3151" s="5" t="s">
        <v>221</v>
      </c>
      <c r="D3151" s="3" t="s">
        <v>614</v>
      </c>
      <c r="E3151" s="3" t="s">
        <v>118</v>
      </c>
      <c r="F3151" s="7">
        <v>45811.34321370361</v>
      </c>
      <c r="G3151" s="3" t="s">
        <v>10095</v>
      </c>
    </row>
    <row r="3152">
      <c r="A3152" s="3" t="s">
        <v>10097</v>
      </c>
      <c r="B3152" s="3" t="s">
        <v>3327</v>
      </c>
      <c r="C3152" s="5" t="s">
        <v>614</v>
      </c>
      <c r="D3152" s="3" t="s">
        <v>206</v>
      </c>
      <c r="E3152" s="3" t="s">
        <v>100</v>
      </c>
      <c r="F3152" s="7">
        <v>45811.34668592583</v>
      </c>
      <c r="G3152" s="3" t="s">
        <v>10099</v>
      </c>
    </row>
    <row r="3153">
      <c r="A3153" s="3" t="s">
        <v>10100</v>
      </c>
      <c r="B3153" s="3" t="s">
        <v>3327</v>
      </c>
      <c r="C3153" s="5" t="s">
        <v>206</v>
      </c>
      <c r="D3153" s="3" t="s">
        <v>68</v>
      </c>
      <c r="E3153" s="3" t="s">
        <v>100</v>
      </c>
      <c r="F3153" s="7">
        <v>45811.35015814805</v>
      </c>
      <c r="G3153" s="3" t="s">
        <v>10102</v>
      </c>
    </row>
    <row r="3154">
      <c r="A3154" s="3" t="s">
        <v>10103</v>
      </c>
      <c r="B3154" s="3" t="s">
        <v>3329</v>
      </c>
      <c r="C3154" s="5" t="s">
        <v>45</v>
      </c>
      <c r="D3154" s="3" t="s">
        <v>221</v>
      </c>
      <c r="E3154" s="3" t="s">
        <v>579</v>
      </c>
      <c r="F3154" s="7">
        <v>45811.41091632679</v>
      </c>
      <c r="G3154" s="3" t="s">
        <v>10105</v>
      </c>
    </row>
    <row r="3155">
      <c r="A3155" s="3" t="s">
        <v>10107</v>
      </c>
      <c r="B3155" s="3" t="s">
        <v>3329</v>
      </c>
      <c r="C3155" s="5" t="s">
        <v>221</v>
      </c>
      <c r="D3155" s="3" t="s">
        <v>614</v>
      </c>
      <c r="E3155" s="3" t="s">
        <v>118</v>
      </c>
      <c r="F3155" s="7">
        <v>45811.41438854901</v>
      </c>
      <c r="G3155" s="3" t="s">
        <v>10109</v>
      </c>
    </row>
    <row r="3156">
      <c r="A3156" s="3" t="s">
        <v>10110</v>
      </c>
      <c r="B3156" s="3" t="s">
        <v>3329</v>
      </c>
      <c r="C3156" s="5" t="s">
        <v>614</v>
      </c>
      <c r="D3156" s="3" t="s">
        <v>206</v>
      </c>
      <c r="E3156" s="3" t="s">
        <v>100</v>
      </c>
      <c r="F3156" s="7">
        <v>45811.41786077124</v>
      </c>
      <c r="G3156" s="3" t="s">
        <v>10112</v>
      </c>
    </row>
    <row r="3157">
      <c r="A3157" s="3" t="s">
        <v>10114</v>
      </c>
      <c r="B3157" s="3" t="s">
        <v>3329</v>
      </c>
      <c r="C3157" s="5" t="s">
        <v>206</v>
      </c>
      <c r="D3157" s="3" t="s">
        <v>68</v>
      </c>
      <c r="E3157" s="3" t="s">
        <v>100</v>
      </c>
      <c r="F3157" s="7">
        <v>45811.42133299346</v>
      </c>
      <c r="G3157" s="3" t="s">
        <v>10116</v>
      </c>
    </row>
    <row r="3158">
      <c r="A3158" s="3" t="s">
        <v>10117</v>
      </c>
      <c r="B3158" s="3" t="s">
        <v>3331</v>
      </c>
      <c r="C3158" s="5" t="s">
        <v>45</v>
      </c>
      <c r="D3158" s="3" t="s">
        <v>221</v>
      </c>
      <c r="E3158" s="3" t="s">
        <v>961</v>
      </c>
      <c r="F3158" s="7">
        <v>45811.48209117221</v>
      </c>
      <c r="G3158" s="3" t="s">
        <v>10119</v>
      </c>
    </row>
    <row r="3159">
      <c r="A3159" s="3" t="s">
        <v>10120</v>
      </c>
      <c r="B3159" s="3" t="s">
        <v>3331</v>
      </c>
      <c r="C3159" s="5" t="s">
        <v>221</v>
      </c>
      <c r="D3159" s="3" t="s">
        <v>614</v>
      </c>
      <c r="E3159" s="3" t="s">
        <v>118</v>
      </c>
      <c r="F3159" s="7">
        <v>45811.48556339443</v>
      </c>
      <c r="G3159" s="3" t="s">
        <v>10122</v>
      </c>
    </row>
    <row r="3160">
      <c r="A3160" s="3" t="s">
        <v>10123</v>
      </c>
      <c r="B3160" s="3" t="s">
        <v>3331</v>
      </c>
      <c r="C3160" s="5" t="s">
        <v>614</v>
      </c>
      <c r="D3160" s="3" t="s">
        <v>206</v>
      </c>
      <c r="E3160" s="3" t="s">
        <v>100</v>
      </c>
      <c r="F3160" s="7">
        <v>45811.48903561666</v>
      </c>
      <c r="G3160" s="3" t="s">
        <v>10125</v>
      </c>
    </row>
    <row r="3161">
      <c r="A3161" s="3" t="s">
        <v>10126</v>
      </c>
      <c r="B3161" s="3" t="s">
        <v>3331</v>
      </c>
      <c r="C3161" s="5" t="s">
        <v>206</v>
      </c>
      <c r="D3161" s="3" t="s">
        <v>68</v>
      </c>
      <c r="E3161" s="3" t="s">
        <v>100</v>
      </c>
      <c r="F3161" s="7">
        <v>45811.49250783888</v>
      </c>
      <c r="G3161" s="3" t="s">
        <v>10128</v>
      </c>
    </row>
    <row r="3162">
      <c r="A3162" s="3" t="s">
        <v>10129</v>
      </c>
      <c r="B3162" s="3" t="s">
        <v>3333</v>
      </c>
      <c r="C3162" s="5" t="s">
        <v>45</v>
      </c>
      <c r="D3162" s="3" t="s">
        <v>221</v>
      </c>
      <c r="E3162" s="3" t="s">
        <v>519</v>
      </c>
      <c r="F3162" s="7">
        <v>45811.553266017625</v>
      </c>
      <c r="G3162" s="3" t="s">
        <v>10131</v>
      </c>
    </row>
    <row r="3163">
      <c r="A3163" s="3" t="s">
        <v>10132</v>
      </c>
      <c r="B3163" s="3" t="s">
        <v>3333</v>
      </c>
      <c r="C3163" s="5" t="s">
        <v>221</v>
      </c>
      <c r="D3163" s="3" t="s">
        <v>614</v>
      </c>
      <c r="E3163" s="3" t="s">
        <v>118</v>
      </c>
      <c r="F3163" s="7">
        <v>45811.556738239844</v>
      </c>
      <c r="G3163" s="3" t="s">
        <v>10134</v>
      </c>
    </row>
    <row r="3164">
      <c r="A3164" s="3" t="s">
        <v>10135</v>
      </c>
      <c r="B3164" s="3" t="s">
        <v>3333</v>
      </c>
      <c r="C3164" s="5" t="s">
        <v>614</v>
      </c>
      <c r="D3164" s="3" t="s">
        <v>206</v>
      </c>
      <c r="E3164" s="3" t="s">
        <v>100</v>
      </c>
      <c r="F3164" s="7">
        <v>45811.56021046207</v>
      </c>
      <c r="G3164" s="3" t="s">
        <v>10136</v>
      </c>
    </row>
    <row r="3165">
      <c r="A3165" s="3" t="s">
        <v>10137</v>
      </c>
      <c r="B3165" s="3" t="s">
        <v>3333</v>
      </c>
      <c r="C3165" s="5" t="s">
        <v>206</v>
      </c>
      <c r="D3165" s="3" t="s">
        <v>68</v>
      </c>
      <c r="E3165" s="3" t="s">
        <v>100</v>
      </c>
      <c r="F3165" s="7">
        <v>45811.56368268429</v>
      </c>
      <c r="G3165" s="3" t="s">
        <v>10139</v>
      </c>
    </row>
    <row r="3166">
      <c r="A3166" s="3" t="s">
        <v>10140</v>
      </c>
      <c r="B3166" s="3" t="s">
        <v>3336</v>
      </c>
      <c r="C3166" s="5" t="s">
        <v>45</v>
      </c>
      <c r="D3166" s="3" t="s">
        <v>221</v>
      </c>
      <c r="E3166" s="3" t="s">
        <v>990</v>
      </c>
      <c r="F3166" s="7">
        <v>45811.624440863045</v>
      </c>
      <c r="G3166" s="3" t="s">
        <v>10142</v>
      </c>
    </row>
    <row r="3167">
      <c r="A3167" s="3" t="s">
        <v>10143</v>
      </c>
      <c r="B3167" s="3" t="s">
        <v>3336</v>
      </c>
      <c r="C3167" s="5" t="s">
        <v>221</v>
      </c>
      <c r="D3167" s="3" t="s">
        <v>614</v>
      </c>
      <c r="E3167" s="3" t="s">
        <v>118</v>
      </c>
      <c r="F3167" s="7">
        <v>45811.62791308526</v>
      </c>
      <c r="G3167" s="3" t="s">
        <v>10145</v>
      </c>
    </row>
    <row r="3168">
      <c r="A3168" s="3" t="s">
        <v>10146</v>
      </c>
      <c r="B3168" s="3" t="s">
        <v>3336</v>
      </c>
      <c r="C3168" s="5" t="s">
        <v>614</v>
      </c>
      <c r="D3168" s="3" t="s">
        <v>206</v>
      </c>
      <c r="E3168" s="3" t="s">
        <v>100</v>
      </c>
      <c r="F3168" s="7">
        <v>45811.63138530749</v>
      </c>
      <c r="G3168" s="3" t="s">
        <v>10148</v>
      </c>
    </row>
    <row r="3169">
      <c r="A3169" s="3" t="s">
        <v>10149</v>
      </c>
      <c r="B3169" s="3" t="s">
        <v>3336</v>
      </c>
      <c r="C3169" s="5" t="s">
        <v>206</v>
      </c>
      <c r="D3169" s="3" t="s">
        <v>68</v>
      </c>
      <c r="E3169" s="3" t="s">
        <v>100</v>
      </c>
      <c r="F3169" s="7">
        <v>45811.63485752971</v>
      </c>
      <c r="G3169" s="3" t="s">
        <v>10151</v>
      </c>
    </row>
    <row r="3170">
      <c r="A3170" s="3" t="s">
        <v>10153</v>
      </c>
      <c r="B3170" s="3" t="s">
        <v>3339</v>
      </c>
      <c r="C3170" s="5" t="s">
        <v>45</v>
      </c>
      <c r="D3170" s="3" t="s">
        <v>221</v>
      </c>
      <c r="E3170" s="3" t="s">
        <v>472</v>
      </c>
      <c r="F3170" s="7">
        <v>45811.69561570846</v>
      </c>
      <c r="G3170" s="3" t="s">
        <v>10155</v>
      </c>
    </row>
    <row r="3171">
      <c r="A3171" s="3" t="s">
        <v>10156</v>
      </c>
      <c r="B3171" s="3" t="s">
        <v>3339</v>
      </c>
      <c r="C3171" s="5" t="s">
        <v>221</v>
      </c>
      <c r="D3171" s="3" t="s">
        <v>195</v>
      </c>
      <c r="E3171" s="3" t="s">
        <v>472</v>
      </c>
      <c r="F3171" s="7">
        <v>45811.699087930676</v>
      </c>
      <c r="G3171" s="3" t="s">
        <v>10158</v>
      </c>
    </row>
    <row r="3172">
      <c r="A3172" s="3" t="s">
        <v>10159</v>
      </c>
      <c r="B3172" s="3" t="s">
        <v>3342</v>
      </c>
      <c r="C3172" s="5" t="s">
        <v>45</v>
      </c>
      <c r="D3172" s="3" t="s">
        <v>221</v>
      </c>
      <c r="E3172" s="3" t="s">
        <v>462</v>
      </c>
      <c r="F3172" s="7">
        <v>45811.76679055388</v>
      </c>
      <c r="G3172" s="3" t="s">
        <v>10161</v>
      </c>
    </row>
    <row r="3173">
      <c r="A3173" s="3" t="s">
        <v>10162</v>
      </c>
      <c r="B3173" s="3" t="s">
        <v>3342</v>
      </c>
      <c r="C3173" s="5" t="s">
        <v>221</v>
      </c>
      <c r="D3173" s="3" t="s">
        <v>614</v>
      </c>
      <c r="E3173" s="3" t="s">
        <v>118</v>
      </c>
      <c r="F3173" s="7">
        <v>45811.770262776095</v>
      </c>
      <c r="G3173" s="3" t="s">
        <v>10164</v>
      </c>
    </row>
    <row r="3174">
      <c r="A3174" s="3" t="s">
        <v>10165</v>
      </c>
      <c r="B3174" s="3" t="s">
        <v>3342</v>
      </c>
      <c r="C3174" s="5" t="s">
        <v>614</v>
      </c>
      <c r="D3174" s="3" t="s">
        <v>206</v>
      </c>
      <c r="E3174" s="3" t="s">
        <v>100</v>
      </c>
      <c r="F3174" s="7">
        <v>45811.77373499832</v>
      </c>
      <c r="G3174" s="3" t="s">
        <v>10167</v>
      </c>
    </row>
    <row r="3175">
      <c r="A3175" s="3" t="s">
        <v>10168</v>
      </c>
      <c r="B3175" s="3" t="s">
        <v>3342</v>
      </c>
      <c r="C3175" s="5" t="s">
        <v>206</v>
      </c>
      <c r="D3175" s="3" t="s">
        <v>68</v>
      </c>
      <c r="E3175" s="3" t="s">
        <v>100</v>
      </c>
      <c r="F3175" s="7">
        <v>45811.77720722054</v>
      </c>
      <c r="G3175" s="3" t="s">
        <v>10170</v>
      </c>
    </row>
    <row r="3176">
      <c r="A3176" s="3" t="s">
        <v>10171</v>
      </c>
      <c r="B3176" s="3" t="s">
        <v>3347</v>
      </c>
      <c r="C3176" s="5" t="s">
        <v>45</v>
      </c>
      <c r="D3176" s="3" t="s">
        <v>221</v>
      </c>
      <c r="E3176" s="3" t="s">
        <v>682</v>
      </c>
      <c r="F3176" s="7">
        <v>45811.83796539928</v>
      </c>
      <c r="G3176" s="3" t="s">
        <v>10173</v>
      </c>
    </row>
    <row r="3177">
      <c r="A3177" s="3" t="s">
        <v>10174</v>
      </c>
      <c r="B3177" s="3" t="s">
        <v>3347</v>
      </c>
      <c r="C3177" s="5" t="s">
        <v>221</v>
      </c>
      <c r="D3177" s="3" t="s">
        <v>195</v>
      </c>
      <c r="E3177" s="3" t="s">
        <v>682</v>
      </c>
      <c r="F3177" s="7">
        <v>45811.8414376215</v>
      </c>
      <c r="G3177" s="3" t="s">
        <v>10175</v>
      </c>
    </row>
    <row r="3178">
      <c r="A3178" s="3" t="s">
        <v>10177</v>
      </c>
      <c r="B3178" s="3" t="s">
        <v>3350</v>
      </c>
      <c r="C3178" s="5" t="s">
        <v>45</v>
      </c>
      <c r="D3178" s="3" t="s">
        <v>221</v>
      </c>
      <c r="E3178" s="3" t="s">
        <v>773</v>
      </c>
      <c r="F3178" s="7">
        <v>45811.9091402447</v>
      </c>
      <c r="G3178" s="3" t="s">
        <v>10179</v>
      </c>
    </row>
    <row r="3179">
      <c r="A3179" s="3" t="s">
        <v>10180</v>
      </c>
      <c r="B3179" s="3" t="s">
        <v>3350</v>
      </c>
      <c r="C3179" s="5" t="s">
        <v>221</v>
      </c>
      <c r="D3179" s="3" t="s">
        <v>614</v>
      </c>
      <c r="E3179" s="3" t="s">
        <v>118</v>
      </c>
      <c r="F3179" s="7">
        <v>45811.91261246692</v>
      </c>
      <c r="G3179" s="3" t="s">
        <v>10182</v>
      </c>
    </row>
    <row r="3180">
      <c r="A3180" s="3" t="s">
        <v>10183</v>
      </c>
      <c r="B3180" s="3" t="s">
        <v>3350</v>
      </c>
      <c r="C3180" s="5" t="s">
        <v>614</v>
      </c>
      <c r="D3180" s="3" t="s">
        <v>206</v>
      </c>
      <c r="E3180" s="3" t="s">
        <v>100</v>
      </c>
      <c r="F3180" s="7">
        <v>45811.91608468915</v>
      </c>
      <c r="G3180" s="3" t="s">
        <v>10185</v>
      </c>
    </row>
    <row r="3181">
      <c r="A3181" s="3" t="s">
        <v>10187</v>
      </c>
      <c r="B3181" s="3" t="s">
        <v>3350</v>
      </c>
      <c r="C3181" s="5" t="s">
        <v>206</v>
      </c>
      <c r="D3181" s="3" t="s">
        <v>68</v>
      </c>
      <c r="E3181" s="3" t="s">
        <v>100</v>
      </c>
      <c r="F3181" s="7">
        <v>45811.919556911365</v>
      </c>
      <c r="G3181" s="3" t="s">
        <v>10189</v>
      </c>
    </row>
    <row r="3182">
      <c r="A3182" s="3" t="s">
        <v>10190</v>
      </c>
      <c r="B3182" s="3" t="s">
        <v>3354</v>
      </c>
      <c r="C3182" s="5" t="s">
        <v>45</v>
      </c>
      <c r="D3182" s="3" t="s">
        <v>221</v>
      </c>
      <c r="E3182" s="3" t="s">
        <v>601</v>
      </c>
      <c r="F3182" s="7">
        <v>45811.98031509012</v>
      </c>
      <c r="G3182" s="3" t="s">
        <v>10192</v>
      </c>
    </row>
    <row r="3183">
      <c r="A3183" s="3" t="s">
        <v>10194</v>
      </c>
      <c r="B3183" s="3" t="s">
        <v>3354</v>
      </c>
      <c r="C3183" s="5" t="s">
        <v>221</v>
      </c>
      <c r="D3183" s="3" t="s">
        <v>614</v>
      </c>
      <c r="E3183" s="3" t="s">
        <v>118</v>
      </c>
      <c r="F3183" s="7">
        <v>45811.98378731234</v>
      </c>
      <c r="G3183" s="3" t="s">
        <v>10196</v>
      </c>
    </row>
    <row r="3184">
      <c r="A3184" s="3" t="s">
        <v>10197</v>
      </c>
      <c r="B3184" s="3" t="s">
        <v>3354</v>
      </c>
      <c r="C3184" s="5" t="s">
        <v>614</v>
      </c>
      <c r="D3184" s="3" t="s">
        <v>206</v>
      </c>
      <c r="E3184" s="3" t="s">
        <v>100</v>
      </c>
      <c r="F3184" s="7">
        <v>45811.987259534566</v>
      </c>
      <c r="G3184" s="3" t="s">
        <v>10199</v>
      </c>
    </row>
    <row r="3185">
      <c r="A3185" s="3" t="s">
        <v>10200</v>
      </c>
      <c r="B3185" s="3" t="s">
        <v>3354</v>
      </c>
      <c r="C3185" s="5" t="s">
        <v>206</v>
      </c>
      <c r="D3185" s="3" t="s">
        <v>68</v>
      </c>
      <c r="E3185" s="3" t="s">
        <v>100</v>
      </c>
      <c r="F3185" s="7">
        <v>45811.990731756785</v>
      </c>
      <c r="G3185" s="3" t="s">
        <v>10203</v>
      </c>
    </row>
    <row r="3186">
      <c r="A3186" s="3" t="s">
        <v>10204</v>
      </c>
      <c r="B3186" s="3" t="s">
        <v>3357</v>
      </c>
      <c r="C3186" s="5" t="s">
        <v>45</v>
      </c>
      <c r="D3186" s="3" t="s">
        <v>221</v>
      </c>
      <c r="E3186" s="3" t="s">
        <v>547</v>
      </c>
      <c r="F3186" s="7">
        <v>45812.05148993553</v>
      </c>
      <c r="G3186" s="3" t="s">
        <v>8327</v>
      </c>
    </row>
    <row r="3187">
      <c r="A3187" s="3" t="s">
        <v>10206</v>
      </c>
      <c r="B3187" s="3" t="s">
        <v>3357</v>
      </c>
      <c r="C3187" s="5" t="s">
        <v>221</v>
      </c>
      <c r="D3187" s="3" t="s">
        <v>614</v>
      </c>
      <c r="E3187" s="3" t="s">
        <v>118</v>
      </c>
      <c r="F3187" s="7">
        <v>45812.05496215775</v>
      </c>
      <c r="G3187" s="3" t="s">
        <v>10208</v>
      </c>
    </row>
    <row r="3188">
      <c r="A3188" s="3" t="s">
        <v>10209</v>
      </c>
      <c r="B3188" s="3" t="s">
        <v>3357</v>
      </c>
      <c r="C3188" s="5" t="s">
        <v>614</v>
      </c>
      <c r="D3188" s="3" t="s">
        <v>206</v>
      </c>
      <c r="E3188" s="3" t="s">
        <v>100</v>
      </c>
      <c r="F3188" s="7">
        <v>45812.05843437998</v>
      </c>
      <c r="G3188" s="3" t="s">
        <v>10211</v>
      </c>
    </row>
    <row r="3189">
      <c r="A3189" s="3" t="s">
        <v>10212</v>
      </c>
      <c r="B3189" s="3" t="s">
        <v>3357</v>
      </c>
      <c r="C3189" s="5" t="s">
        <v>206</v>
      </c>
      <c r="D3189" s="3" t="s">
        <v>68</v>
      </c>
      <c r="E3189" s="3" t="s">
        <v>100</v>
      </c>
      <c r="F3189" s="7">
        <v>45812.0619066022</v>
      </c>
      <c r="G3189" s="3" t="s">
        <v>10213</v>
      </c>
    </row>
    <row r="3190">
      <c r="A3190" s="3" t="s">
        <v>10215</v>
      </c>
      <c r="B3190" s="3" t="s">
        <v>3360</v>
      </c>
      <c r="C3190" s="5" t="s">
        <v>45</v>
      </c>
      <c r="D3190" s="3" t="s">
        <v>221</v>
      </c>
      <c r="E3190" s="3" t="s">
        <v>330</v>
      </c>
      <c r="F3190" s="7">
        <v>45812.122664780945</v>
      </c>
      <c r="G3190" s="3" t="s">
        <v>10216</v>
      </c>
    </row>
    <row r="3191">
      <c r="A3191" s="3" t="s">
        <v>10217</v>
      </c>
      <c r="B3191" s="3" t="s">
        <v>3360</v>
      </c>
      <c r="C3191" s="5" t="s">
        <v>221</v>
      </c>
      <c r="D3191" s="3" t="s">
        <v>614</v>
      </c>
      <c r="E3191" s="3" t="s">
        <v>118</v>
      </c>
      <c r="F3191" s="7">
        <v>45812.126137003164</v>
      </c>
      <c r="G3191" s="3" t="s">
        <v>10219</v>
      </c>
    </row>
    <row r="3192">
      <c r="A3192" s="3" t="s">
        <v>10220</v>
      </c>
      <c r="B3192" s="3" t="s">
        <v>3360</v>
      </c>
      <c r="C3192" s="5" t="s">
        <v>614</v>
      </c>
      <c r="D3192" s="3" t="s">
        <v>206</v>
      </c>
      <c r="E3192" s="3" t="s">
        <v>100</v>
      </c>
      <c r="F3192" s="7">
        <v>45812.12960922539</v>
      </c>
      <c r="G3192" s="3" t="s">
        <v>10222</v>
      </c>
    </row>
    <row r="3193">
      <c r="A3193" s="3" t="s">
        <v>10223</v>
      </c>
      <c r="B3193" s="3" t="s">
        <v>3360</v>
      </c>
      <c r="C3193" s="5" t="s">
        <v>206</v>
      </c>
      <c r="D3193" s="3" t="s">
        <v>68</v>
      </c>
      <c r="E3193" s="3" t="s">
        <v>100</v>
      </c>
      <c r="F3193" s="7">
        <v>45812.13308144761</v>
      </c>
      <c r="G3193" s="3" t="s">
        <v>10225</v>
      </c>
    </row>
    <row r="3194">
      <c r="A3194" s="3" t="s">
        <v>10226</v>
      </c>
      <c r="B3194" s="3" t="s">
        <v>3364</v>
      </c>
      <c r="C3194" s="5" t="s">
        <v>45</v>
      </c>
      <c r="D3194" s="3" t="s">
        <v>221</v>
      </c>
      <c r="E3194" s="3" t="s">
        <v>615</v>
      </c>
      <c r="F3194" s="7">
        <v>45812.193839626365</v>
      </c>
      <c r="G3194" s="3" t="s">
        <v>9548</v>
      </c>
    </row>
    <row r="3195">
      <c r="A3195" s="3" t="s">
        <v>10228</v>
      </c>
      <c r="B3195" s="3" t="s">
        <v>3364</v>
      </c>
      <c r="C3195" s="5" t="s">
        <v>221</v>
      </c>
      <c r="D3195" s="3" t="s">
        <v>614</v>
      </c>
      <c r="E3195" s="3" t="s">
        <v>118</v>
      </c>
      <c r="F3195" s="7">
        <v>45812.197311848584</v>
      </c>
      <c r="G3195" s="3" t="s">
        <v>9551</v>
      </c>
    </row>
    <row r="3196">
      <c r="A3196" s="3" t="s">
        <v>10229</v>
      </c>
      <c r="B3196" s="3" t="s">
        <v>3364</v>
      </c>
      <c r="C3196" s="5" t="s">
        <v>614</v>
      </c>
      <c r="D3196" s="3" t="s">
        <v>206</v>
      </c>
      <c r="E3196" s="3" t="s">
        <v>100</v>
      </c>
      <c r="F3196" s="7">
        <v>45812.20078407081</v>
      </c>
      <c r="G3196" s="3" t="s">
        <v>9553</v>
      </c>
    </row>
    <row r="3197">
      <c r="A3197" s="3" t="s">
        <v>10231</v>
      </c>
      <c r="B3197" s="3" t="s">
        <v>3364</v>
      </c>
      <c r="C3197" s="5" t="s">
        <v>206</v>
      </c>
      <c r="D3197" s="3" t="s">
        <v>68</v>
      </c>
      <c r="E3197" s="3" t="s">
        <v>100</v>
      </c>
      <c r="F3197" s="7">
        <v>45812.20425629303</v>
      </c>
      <c r="G3197" s="3" t="s">
        <v>9555</v>
      </c>
    </row>
    <row r="3198">
      <c r="A3198" s="3" t="s">
        <v>10234</v>
      </c>
      <c r="B3198" s="3" t="s">
        <v>3367</v>
      </c>
      <c r="C3198" s="5" t="s">
        <v>45</v>
      </c>
      <c r="D3198" s="3" t="s">
        <v>221</v>
      </c>
      <c r="E3198" s="3" t="s">
        <v>137</v>
      </c>
      <c r="F3198" s="7">
        <v>45812.26501447178</v>
      </c>
      <c r="G3198" s="3" t="s">
        <v>10236</v>
      </c>
    </row>
    <row r="3199">
      <c r="A3199" s="3" t="s">
        <v>10237</v>
      </c>
      <c r="B3199" s="3" t="s">
        <v>3367</v>
      </c>
      <c r="C3199" s="5" t="s">
        <v>221</v>
      </c>
      <c r="D3199" s="3" t="s">
        <v>614</v>
      </c>
      <c r="E3199" s="3" t="s">
        <v>118</v>
      </c>
      <c r="F3199" s="7">
        <v>45812.268486693996</v>
      </c>
      <c r="G3199" s="3" t="s">
        <v>10240</v>
      </c>
    </row>
    <row r="3200">
      <c r="A3200" s="3" t="s">
        <v>10241</v>
      </c>
      <c r="B3200" s="3" t="s">
        <v>3367</v>
      </c>
      <c r="C3200" s="5" t="s">
        <v>614</v>
      </c>
      <c r="D3200" s="3" t="s">
        <v>206</v>
      </c>
      <c r="E3200" s="3" t="s">
        <v>100</v>
      </c>
      <c r="F3200" s="7">
        <v>45812.27195891622</v>
      </c>
      <c r="G3200" s="3" t="s">
        <v>10243</v>
      </c>
    </row>
    <row r="3201">
      <c r="A3201" s="3" t="s">
        <v>10244</v>
      </c>
      <c r="B3201" s="3" t="s">
        <v>3367</v>
      </c>
      <c r="C3201" s="5" t="s">
        <v>206</v>
      </c>
      <c r="D3201" s="3" t="s">
        <v>68</v>
      </c>
      <c r="E3201" s="3" t="s">
        <v>100</v>
      </c>
      <c r="F3201" s="7">
        <v>45812.27543113844</v>
      </c>
      <c r="G3201" s="3" t="s">
        <v>10247</v>
      </c>
    </row>
    <row r="3202">
      <c r="A3202" s="3" t="s">
        <v>10248</v>
      </c>
      <c r="B3202" s="3" t="s">
        <v>3370</v>
      </c>
      <c r="C3202" s="5" t="s">
        <v>45</v>
      </c>
      <c r="D3202" s="3" t="s">
        <v>221</v>
      </c>
      <c r="E3202" s="3" t="s">
        <v>485</v>
      </c>
      <c r="F3202" s="7">
        <v>45812.33618931719</v>
      </c>
      <c r="G3202" s="3" t="s">
        <v>10250</v>
      </c>
    </row>
    <row r="3203">
      <c r="A3203" s="3" t="s">
        <v>10251</v>
      </c>
      <c r="B3203" s="3" t="s">
        <v>3370</v>
      </c>
      <c r="C3203" s="5" t="s">
        <v>221</v>
      </c>
      <c r="D3203" s="3" t="s">
        <v>614</v>
      </c>
      <c r="E3203" s="3" t="s">
        <v>118</v>
      </c>
      <c r="F3203" s="7">
        <v>45812.33966153941</v>
      </c>
      <c r="G3203" s="3" t="s">
        <v>10254</v>
      </c>
    </row>
    <row r="3204">
      <c r="A3204" s="3" t="s">
        <v>10255</v>
      </c>
      <c r="B3204" s="3" t="s">
        <v>3370</v>
      </c>
      <c r="C3204" s="5" t="s">
        <v>614</v>
      </c>
      <c r="D3204" s="3" t="s">
        <v>206</v>
      </c>
      <c r="E3204" s="3" t="s">
        <v>100</v>
      </c>
      <c r="F3204" s="7">
        <v>45812.343133761635</v>
      </c>
      <c r="G3204" s="3" t="s">
        <v>10257</v>
      </c>
    </row>
    <row r="3205">
      <c r="A3205" s="3" t="s">
        <v>10258</v>
      </c>
      <c r="B3205" s="3" t="s">
        <v>3370</v>
      </c>
      <c r="C3205" s="5" t="s">
        <v>206</v>
      </c>
      <c r="D3205" s="3" t="s">
        <v>68</v>
      </c>
      <c r="E3205" s="3" t="s">
        <v>100</v>
      </c>
      <c r="F3205" s="7">
        <v>45812.346605983854</v>
      </c>
      <c r="G3205" s="3" t="s">
        <v>10260</v>
      </c>
    </row>
    <row r="3206">
      <c r="A3206" s="3" t="s">
        <v>10262</v>
      </c>
      <c r="B3206" s="3" t="s">
        <v>3373</v>
      </c>
      <c r="C3206" s="5" t="s">
        <v>45</v>
      </c>
      <c r="D3206" s="3" t="s">
        <v>221</v>
      </c>
      <c r="E3206" s="3" t="s">
        <v>767</v>
      </c>
      <c r="F3206" s="7">
        <v>45812.40736416261</v>
      </c>
      <c r="G3206" s="3" t="s">
        <v>8627</v>
      </c>
    </row>
    <row r="3207">
      <c r="A3207" s="3" t="s">
        <v>10264</v>
      </c>
      <c r="B3207" s="3" t="s">
        <v>3373</v>
      </c>
      <c r="C3207" s="5" t="s">
        <v>221</v>
      </c>
      <c r="D3207" s="3" t="s">
        <v>614</v>
      </c>
      <c r="E3207" s="3" t="s">
        <v>118</v>
      </c>
      <c r="F3207" s="7">
        <v>45812.41083638483</v>
      </c>
      <c r="G3207" s="3" t="s">
        <v>8630</v>
      </c>
    </row>
    <row r="3208">
      <c r="A3208" s="3" t="s">
        <v>10267</v>
      </c>
      <c r="B3208" s="3" t="s">
        <v>3373</v>
      </c>
      <c r="C3208" s="5" t="s">
        <v>614</v>
      </c>
      <c r="D3208" s="3" t="s">
        <v>206</v>
      </c>
      <c r="E3208" s="3" t="s">
        <v>100</v>
      </c>
      <c r="F3208" s="7">
        <v>45812.414308607054</v>
      </c>
      <c r="G3208" s="3" t="s">
        <v>8633</v>
      </c>
    </row>
    <row r="3209">
      <c r="A3209" s="3" t="s">
        <v>10269</v>
      </c>
      <c r="B3209" s="3" t="s">
        <v>3373</v>
      </c>
      <c r="C3209" s="5" t="s">
        <v>206</v>
      </c>
      <c r="D3209" s="3" t="s">
        <v>68</v>
      </c>
      <c r="E3209" s="3" t="s">
        <v>100</v>
      </c>
      <c r="F3209" s="7">
        <v>45812.41778082927</v>
      </c>
      <c r="G3209" s="3" t="s">
        <v>8636</v>
      </c>
    </row>
    <row r="3210">
      <c r="A3210" s="3" t="s">
        <v>10272</v>
      </c>
      <c r="B3210" s="3" t="s">
        <v>3376</v>
      </c>
      <c r="C3210" s="5" t="s">
        <v>45</v>
      </c>
      <c r="D3210" s="3" t="s">
        <v>221</v>
      </c>
      <c r="E3210" s="3" t="s">
        <v>557</v>
      </c>
      <c r="F3210" s="7">
        <v>45812.47853900803</v>
      </c>
      <c r="G3210" s="3" t="s">
        <v>10273</v>
      </c>
    </row>
    <row r="3211">
      <c r="A3211" s="3" t="s">
        <v>10275</v>
      </c>
      <c r="B3211" s="3" t="s">
        <v>3376</v>
      </c>
      <c r="C3211" s="5" t="s">
        <v>221</v>
      </c>
      <c r="D3211" s="3" t="s">
        <v>181</v>
      </c>
      <c r="E3211" s="3" t="s">
        <v>118</v>
      </c>
      <c r="F3211" s="7">
        <v>45812.48201123025</v>
      </c>
      <c r="G3211" s="3" t="s">
        <v>10276</v>
      </c>
    </row>
    <row r="3212">
      <c r="A3212" s="3" t="s">
        <v>10277</v>
      </c>
      <c r="B3212" s="3" t="s">
        <v>3379</v>
      </c>
      <c r="C3212" s="5" t="s">
        <v>45</v>
      </c>
      <c r="D3212" s="3" t="s">
        <v>221</v>
      </c>
      <c r="E3212" s="3" t="s">
        <v>619</v>
      </c>
      <c r="F3212" s="7">
        <v>45812.549713853434</v>
      </c>
      <c r="G3212" s="3" t="s">
        <v>10279</v>
      </c>
    </row>
    <row r="3213">
      <c r="A3213" s="3" t="s">
        <v>10280</v>
      </c>
      <c r="B3213" s="3" t="s">
        <v>3379</v>
      </c>
      <c r="C3213" s="5" t="s">
        <v>221</v>
      </c>
      <c r="D3213" s="3" t="s">
        <v>614</v>
      </c>
      <c r="E3213" s="3" t="s">
        <v>118</v>
      </c>
      <c r="F3213" s="7">
        <v>45812.55318607565</v>
      </c>
      <c r="G3213" s="3" t="s">
        <v>10282</v>
      </c>
    </row>
    <row r="3214">
      <c r="A3214" s="3" t="s">
        <v>10283</v>
      </c>
      <c r="B3214" s="3" t="s">
        <v>3379</v>
      </c>
      <c r="C3214" s="5" t="s">
        <v>614</v>
      </c>
      <c r="D3214" s="3" t="s">
        <v>206</v>
      </c>
      <c r="E3214" s="3" t="s">
        <v>100</v>
      </c>
      <c r="F3214" s="7">
        <v>45812.55665829788</v>
      </c>
      <c r="G3214" s="3" t="s">
        <v>10285</v>
      </c>
    </row>
    <row r="3215">
      <c r="A3215" s="3" t="s">
        <v>10286</v>
      </c>
      <c r="B3215" s="3" t="s">
        <v>3379</v>
      </c>
      <c r="C3215" s="5" t="s">
        <v>206</v>
      </c>
      <c r="D3215" s="3" t="s">
        <v>68</v>
      </c>
      <c r="E3215" s="3" t="s">
        <v>100</v>
      </c>
      <c r="F3215" s="7">
        <v>45812.5601305201</v>
      </c>
      <c r="G3215" s="3" t="s">
        <v>10288</v>
      </c>
    </row>
    <row r="3216">
      <c r="A3216" s="3" t="s">
        <v>10289</v>
      </c>
      <c r="B3216" s="3" t="s">
        <v>3382</v>
      </c>
      <c r="C3216" s="5" t="s">
        <v>45</v>
      </c>
      <c r="D3216" s="3" t="s">
        <v>221</v>
      </c>
      <c r="E3216" s="3" t="s">
        <v>972</v>
      </c>
      <c r="F3216" s="7">
        <v>45812.62088869885</v>
      </c>
      <c r="G3216" s="3" t="s">
        <v>10291</v>
      </c>
    </row>
    <row r="3217">
      <c r="A3217" s="3" t="s">
        <v>10292</v>
      </c>
      <c r="B3217" s="3" t="s">
        <v>3382</v>
      </c>
      <c r="C3217" s="5" t="s">
        <v>221</v>
      </c>
      <c r="D3217" s="3" t="s">
        <v>614</v>
      </c>
      <c r="E3217" s="3" t="s">
        <v>118</v>
      </c>
      <c r="F3217" s="7">
        <v>45812.62436092107</v>
      </c>
      <c r="G3217" s="3" t="s">
        <v>10294</v>
      </c>
    </row>
    <row r="3218">
      <c r="A3218" s="3" t="s">
        <v>10295</v>
      </c>
      <c r="B3218" s="3" t="s">
        <v>3382</v>
      </c>
      <c r="C3218" s="5" t="s">
        <v>614</v>
      </c>
      <c r="D3218" s="3" t="s">
        <v>206</v>
      </c>
      <c r="E3218" s="3" t="s">
        <v>100</v>
      </c>
      <c r="F3218" s="7">
        <v>45812.6278331433</v>
      </c>
      <c r="G3218" s="3" t="s">
        <v>10296</v>
      </c>
    </row>
    <row r="3219">
      <c r="A3219" s="3" t="s">
        <v>10297</v>
      </c>
      <c r="B3219" s="3" t="s">
        <v>3382</v>
      </c>
      <c r="C3219" s="5" t="s">
        <v>206</v>
      </c>
      <c r="D3219" s="3" t="s">
        <v>68</v>
      </c>
      <c r="E3219" s="3" t="s">
        <v>100</v>
      </c>
      <c r="F3219" s="7">
        <v>45812.63130536552</v>
      </c>
      <c r="G3219" s="3" t="s">
        <v>10299</v>
      </c>
    </row>
    <row r="3220">
      <c r="A3220" s="3" t="s">
        <v>10300</v>
      </c>
      <c r="B3220" s="3" t="s">
        <v>3385</v>
      </c>
      <c r="C3220" s="5" t="s">
        <v>45</v>
      </c>
      <c r="D3220" s="3" t="s">
        <v>221</v>
      </c>
      <c r="E3220" s="3" t="s">
        <v>922</v>
      </c>
      <c r="F3220" s="7">
        <v>45812.692063544266</v>
      </c>
      <c r="G3220" s="3" t="s">
        <v>2770</v>
      </c>
    </row>
    <row r="3221">
      <c r="A3221" s="3" t="s">
        <v>10302</v>
      </c>
      <c r="B3221" s="3" t="s">
        <v>3385</v>
      </c>
      <c r="C3221" s="5" t="s">
        <v>221</v>
      </c>
      <c r="D3221" s="3" t="s">
        <v>181</v>
      </c>
      <c r="E3221" s="3" t="s">
        <v>118</v>
      </c>
      <c r="F3221" s="7">
        <v>45812.695535766485</v>
      </c>
      <c r="G3221" s="3" t="s">
        <v>2774</v>
      </c>
    </row>
    <row r="3222">
      <c r="A3222" s="3" t="s">
        <v>10304</v>
      </c>
      <c r="B3222" s="3" t="s">
        <v>3388</v>
      </c>
      <c r="C3222" s="5" t="s">
        <v>45</v>
      </c>
      <c r="D3222" s="3" t="s">
        <v>221</v>
      </c>
      <c r="E3222" s="3" t="s">
        <v>533</v>
      </c>
      <c r="F3222" s="7">
        <v>45812.763238389685</v>
      </c>
      <c r="G3222" s="3" t="s">
        <v>10306</v>
      </c>
    </row>
    <row r="3223">
      <c r="A3223" s="3" t="s">
        <v>10308</v>
      </c>
      <c r="B3223" s="3" t="s">
        <v>3388</v>
      </c>
      <c r="C3223" s="5" t="s">
        <v>221</v>
      </c>
      <c r="D3223" s="3" t="s">
        <v>614</v>
      </c>
      <c r="E3223" s="3" t="s">
        <v>118</v>
      </c>
      <c r="F3223" s="7">
        <v>45812.766710611904</v>
      </c>
      <c r="G3223" s="3" t="s">
        <v>10309</v>
      </c>
    </row>
    <row r="3224">
      <c r="A3224" s="3" t="s">
        <v>10310</v>
      </c>
      <c r="B3224" s="3" t="s">
        <v>3388</v>
      </c>
      <c r="C3224" s="5" t="s">
        <v>614</v>
      </c>
      <c r="D3224" s="3" t="s">
        <v>206</v>
      </c>
      <c r="E3224" s="3" t="s">
        <v>100</v>
      </c>
      <c r="F3224" s="7">
        <v>45812.77018283413</v>
      </c>
      <c r="G3224" s="3" t="s">
        <v>10312</v>
      </c>
    </row>
    <row r="3225">
      <c r="A3225" s="3" t="s">
        <v>10313</v>
      </c>
      <c r="B3225" s="3" t="s">
        <v>3388</v>
      </c>
      <c r="C3225" s="5" t="s">
        <v>206</v>
      </c>
      <c r="D3225" s="3" t="s">
        <v>68</v>
      </c>
      <c r="E3225" s="3" t="s">
        <v>100</v>
      </c>
      <c r="F3225" s="7">
        <v>45812.77365505635</v>
      </c>
      <c r="G3225" s="3" t="s">
        <v>10315</v>
      </c>
    </row>
    <row r="3226">
      <c r="A3226" s="3" t="s">
        <v>10316</v>
      </c>
      <c r="B3226" s="3" t="s">
        <v>3391</v>
      </c>
      <c r="C3226" s="5" t="s">
        <v>45</v>
      </c>
      <c r="D3226" s="3" t="s">
        <v>221</v>
      </c>
      <c r="E3226" s="3" t="s">
        <v>789</v>
      </c>
      <c r="F3226" s="7">
        <v>45812.8344132351</v>
      </c>
      <c r="G3226" s="3" t="s">
        <v>10318</v>
      </c>
    </row>
    <row r="3227">
      <c r="A3227" s="3" t="s">
        <v>10319</v>
      </c>
      <c r="B3227" s="3" t="s">
        <v>3391</v>
      </c>
      <c r="C3227" s="5" t="s">
        <v>221</v>
      </c>
      <c r="D3227" s="3" t="s">
        <v>614</v>
      </c>
      <c r="E3227" s="3" t="s">
        <v>118</v>
      </c>
      <c r="F3227" s="7">
        <v>45812.83788545732</v>
      </c>
      <c r="G3227" s="3" t="s">
        <v>10321</v>
      </c>
    </row>
    <row r="3228">
      <c r="A3228" s="3" t="s">
        <v>10322</v>
      </c>
      <c r="B3228" s="3" t="s">
        <v>3391</v>
      </c>
      <c r="C3228" s="5" t="s">
        <v>614</v>
      </c>
      <c r="D3228" s="3" t="s">
        <v>206</v>
      </c>
      <c r="E3228" s="3" t="s">
        <v>100</v>
      </c>
      <c r="F3228" s="7">
        <v>45812.84135767954</v>
      </c>
      <c r="G3228" s="3" t="s">
        <v>10324</v>
      </c>
    </row>
    <row r="3229">
      <c r="A3229" s="3" t="s">
        <v>10325</v>
      </c>
      <c r="B3229" s="3" t="s">
        <v>3391</v>
      </c>
      <c r="C3229" s="5" t="s">
        <v>206</v>
      </c>
      <c r="D3229" s="3" t="s">
        <v>68</v>
      </c>
      <c r="E3229" s="3" t="s">
        <v>100</v>
      </c>
      <c r="F3229" s="7">
        <v>45812.84482990176</v>
      </c>
      <c r="G3229" s="3" t="s">
        <v>10327</v>
      </c>
    </row>
    <row r="3230">
      <c r="A3230" s="3" t="s">
        <v>10328</v>
      </c>
      <c r="B3230" s="3" t="s">
        <v>3394</v>
      </c>
      <c r="C3230" s="5" t="s">
        <v>45</v>
      </c>
      <c r="D3230" s="3" t="s">
        <v>221</v>
      </c>
      <c r="E3230" s="3" t="s">
        <v>746</v>
      </c>
      <c r="F3230" s="7">
        <v>45812.90558808052</v>
      </c>
      <c r="G3230" s="3" t="s">
        <v>10330</v>
      </c>
    </row>
    <row r="3231">
      <c r="A3231" s="3" t="s">
        <v>10331</v>
      </c>
      <c r="B3231" s="3" t="s">
        <v>3394</v>
      </c>
      <c r="C3231" s="5" t="s">
        <v>221</v>
      </c>
      <c r="D3231" s="3" t="s">
        <v>614</v>
      </c>
      <c r="E3231" s="3" t="s">
        <v>118</v>
      </c>
      <c r="F3231" s="7">
        <v>45812.909060302736</v>
      </c>
      <c r="G3231" s="3" t="s">
        <v>10333</v>
      </c>
    </row>
    <row r="3232">
      <c r="A3232" s="3" t="s">
        <v>10334</v>
      </c>
      <c r="B3232" s="3" t="s">
        <v>3394</v>
      </c>
      <c r="C3232" s="5" t="s">
        <v>614</v>
      </c>
      <c r="D3232" s="3" t="s">
        <v>206</v>
      </c>
      <c r="E3232" s="3" t="s">
        <v>100</v>
      </c>
      <c r="F3232" s="7">
        <v>45812.91253252496</v>
      </c>
      <c r="G3232" s="3" t="s">
        <v>10335</v>
      </c>
    </row>
    <row r="3233">
      <c r="A3233" s="3" t="s">
        <v>10337</v>
      </c>
      <c r="B3233" s="3" t="s">
        <v>3394</v>
      </c>
      <c r="C3233" s="5" t="s">
        <v>206</v>
      </c>
      <c r="D3233" s="3" t="s">
        <v>68</v>
      </c>
      <c r="E3233" s="3" t="s">
        <v>100</v>
      </c>
      <c r="F3233" s="7">
        <v>45812.91600474718</v>
      </c>
      <c r="G3233" s="3" t="s">
        <v>10338</v>
      </c>
    </row>
    <row r="3234">
      <c r="A3234" s="3" t="s">
        <v>10339</v>
      </c>
      <c r="B3234" s="3" t="s">
        <v>3397</v>
      </c>
      <c r="C3234" s="5" t="s">
        <v>45</v>
      </c>
      <c r="D3234" s="3" t="s">
        <v>221</v>
      </c>
      <c r="E3234" s="3" t="s">
        <v>369</v>
      </c>
      <c r="F3234" s="7">
        <v>45812.97676292593</v>
      </c>
      <c r="G3234" s="3" t="s">
        <v>10341</v>
      </c>
    </row>
    <row r="3235">
      <c r="A3235" s="3" t="s">
        <v>10342</v>
      </c>
      <c r="B3235" s="3" t="s">
        <v>3397</v>
      </c>
      <c r="C3235" s="5" t="s">
        <v>221</v>
      </c>
      <c r="D3235" s="3" t="s">
        <v>614</v>
      </c>
      <c r="E3235" s="3" t="s">
        <v>118</v>
      </c>
      <c r="F3235" s="7">
        <v>45812.98023514815</v>
      </c>
      <c r="G3235" s="3" t="s">
        <v>10344</v>
      </c>
    </row>
    <row r="3236">
      <c r="A3236" s="3" t="s">
        <v>10345</v>
      </c>
      <c r="B3236" s="3" t="s">
        <v>3397</v>
      </c>
      <c r="C3236" s="5" t="s">
        <v>614</v>
      </c>
      <c r="D3236" s="3" t="s">
        <v>206</v>
      </c>
      <c r="E3236" s="3" t="s">
        <v>100</v>
      </c>
      <c r="F3236" s="7">
        <v>45812.983707370375</v>
      </c>
      <c r="G3236" s="3" t="s">
        <v>10346</v>
      </c>
    </row>
    <row r="3237">
      <c r="A3237" s="3" t="s">
        <v>10347</v>
      </c>
      <c r="B3237" s="3" t="s">
        <v>3397</v>
      </c>
      <c r="C3237" s="5" t="s">
        <v>206</v>
      </c>
      <c r="D3237" s="3" t="s">
        <v>68</v>
      </c>
      <c r="E3237" s="3" t="s">
        <v>100</v>
      </c>
      <c r="F3237" s="7">
        <v>45812.987179592594</v>
      </c>
      <c r="G3237" s="3" t="s">
        <v>10349</v>
      </c>
    </row>
    <row r="3238">
      <c r="A3238" s="3" t="s">
        <v>10351</v>
      </c>
      <c r="B3238" s="3" t="s">
        <v>3400</v>
      </c>
      <c r="C3238" s="5" t="s">
        <v>45</v>
      </c>
      <c r="D3238" s="3" t="s">
        <v>221</v>
      </c>
      <c r="E3238" s="3" t="s">
        <v>219</v>
      </c>
      <c r="F3238" s="7">
        <v>45813.04793777134</v>
      </c>
      <c r="G3238" s="3" t="s">
        <v>10352</v>
      </c>
    </row>
    <row r="3239">
      <c r="A3239" s="3" t="s">
        <v>10353</v>
      </c>
      <c r="B3239" s="3" t="s">
        <v>3400</v>
      </c>
      <c r="C3239" s="5" t="s">
        <v>221</v>
      </c>
      <c r="D3239" s="3" t="s">
        <v>614</v>
      </c>
      <c r="E3239" s="3" t="s">
        <v>118</v>
      </c>
      <c r="F3239" s="7">
        <v>45813.05140999356</v>
      </c>
      <c r="G3239" s="3" t="s">
        <v>10355</v>
      </c>
    </row>
    <row r="3240">
      <c r="A3240" s="3" t="s">
        <v>10356</v>
      </c>
      <c r="B3240" s="3" t="s">
        <v>3400</v>
      </c>
      <c r="C3240" s="5" t="s">
        <v>614</v>
      </c>
      <c r="D3240" s="3" t="s">
        <v>206</v>
      </c>
      <c r="E3240" s="3" t="s">
        <v>100</v>
      </c>
      <c r="F3240" s="7">
        <v>45813.05488221579</v>
      </c>
      <c r="G3240" s="3" t="s">
        <v>10358</v>
      </c>
    </row>
    <row r="3241">
      <c r="A3241" s="3" t="s">
        <v>10359</v>
      </c>
      <c r="B3241" s="3" t="s">
        <v>3400</v>
      </c>
      <c r="C3241" s="5" t="s">
        <v>206</v>
      </c>
      <c r="D3241" s="3" t="s">
        <v>68</v>
      </c>
      <c r="E3241" s="3" t="s">
        <v>100</v>
      </c>
      <c r="F3241" s="7">
        <v>45813.058354438006</v>
      </c>
      <c r="G3241" s="3" t="s">
        <v>10361</v>
      </c>
    </row>
    <row r="3242">
      <c r="A3242" s="3" t="s">
        <v>10362</v>
      </c>
      <c r="B3242" s="3" t="s">
        <v>3403</v>
      </c>
      <c r="C3242" s="5" t="s">
        <v>45</v>
      </c>
      <c r="D3242" s="3" t="s">
        <v>221</v>
      </c>
      <c r="E3242" s="3" t="s">
        <v>778</v>
      </c>
      <c r="F3242" s="7">
        <v>45813.11911261676</v>
      </c>
      <c r="G3242" s="3" t="s">
        <v>10364</v>
      </c>
    </row>
    <row r="3243">
      <c r="A3243" s="3" t="s">
        <v>10365</v>
      </c>
      <c r="B3243" s="3" t="s">
        <v>3403</v>
      </c>
      <c r="C3243" s="5" t="s">
        <v>221</v>
      </c>
      <c r="D3243" s="3" t="s">
        <v>614</v>
      </c>
      <c r="E3243" s="3" t="s">
        <v>118</v>
      </c>
      <c r="F3243" s="7">
        <v>45813.12258483898</v>
      </c>
      <c r="G3243" s="3" t="s">
        <v>10366</v>
      </c>
    </row>
    <row r="3244">
      <c r="A3244" s="3" t="s">
        <v>10368</v>
      </c>
      <c r="B3244" s="3" t="s">
        <v>3403</v>
      </c>
      <c r="C3244" s="5" t="s">
        <v>614</v>
      </c>
      <c r="D3244" s="3" t="s">
        <v>206</v>
      </c>
      <c r="E3244" s="3" t="s">
        <v>100</v>
      </c>
      <c r="F3244" s="7">
        <v>45813.12605706121</v>
      </c>
      <c r="G3244" s="3" t="s">
        <v>10369</v>
      </c>
    </row>
    <row r="3245">
      <c r="A3245" s="3" t="s">
        <v>10370</v>
      </c>
      <c r="B3245" s="3" t="s">
        <v>3403</v>
      </c>
      <c r="C3245" s="5" t="s">
        <v>206</v>
      </c>
      <c r="D3245" s="3" t="s">
        <v>68</v>
      </c>
      <c r="E3245" s="3" t="s">
        <v>100</v>
      </c>
      <c r="F3245" s="7">
        <v>45813.129529283426</v>
      </c>
      <c r="G3245" s="3" t="s">
        <v>10372</v>
      </c>
    </row>
    <row r="3246">
      <c r="A3246" s="3" t="s">
        <v>10373</v>
      </c>
      <c r="B3246" s="3" t="s">
        <v>3406</v>
      </c>
      <c r="C3246" s="5" t="s">
        <v>45</v>
      </c>
      <c r="D3246" s="3" t="s">
        <v>221</v>
      </c>
      <c r="E3246" s="3" t="s">
        <v>269</v>
      </c>
      <c r="F3246" s="7">
        <v>45813.190287462174</v>
      </c>
      <c r="G3246" s="3" t="s">
        <v>2770</v>
      </c>
    </row>
    <row r="3247">
      <c r="A3247" s="3" t="s">
        <v>10375</v>
      </c>
      <c r="B3247" s="3" t="s">
        <v>3406</v>
      </c>
      <c r="C3247" s="5" t="s">
        <v>221</v>
      </c>
      <c r="D3247" s="3" t="s">
        <v>195</v>
      </c>
      <c r="E3247" s="3" t="s">
        <v>269</v>
      </c>
      <c r="F3247" s="7">
        <v>45813.19375968439</v>
      </c>
      <c r="G3247" s="3" t="s">
        <v>3055</v>
      </c>
    </row>
    <row r="3248">
      <c r="A3248" s="3" t="s">
        <v>10377</v>
      </c>
      <c r="B3248" s="3" t="s">
        <v>3409</v>
      </c>
      <c r="C3248" s="5" t="s">
        <v>45</v>
      </c>
      <c r="D3248" s="3" t="s">
        <v>221</v>
      </c>
      <c r="E3248" s="3" t="s">
        <v>870</v>
      </c>
      <c r="F3248" s="7">
        <v>45813.261462307586</v>
      </c>
      <c r="G3248" s="3" t="s">
        <v>10379</v>
      </c>
    </row>
    <row r="3249">
      <c r="A3249" s="3" t="s">
        <v>10381</v>
      </c>
      <c r="B3249" s="3" t="s">
        <v>3409</v>
      </c>
      <c r="C3249" s="5" t="s">
        <v>221</v>
      </c>
      <c r="D3249" s="3" t="s">
        <v>614</v>
      </c>
      <c r="E3249" s="3" t="s">
        <v>118</v>
      </c>
      <c r="F3249" s="7">
        <v>45813.264934529805</v>
      </c>
      <c r="G3249" s="3" t="s">
        <v>10383</v>
      </c>
    </row>
    <row r="3250">
      <c r="A3250" s="3" t="s">
        <v>10384</v>
      </c>
      <c r="B3250" s="3" t="s">
        <v>3409</v>
      </c>
      <c r="C3250" s="5" t="s">
        <v>614</v>
      </c>
      <c r="D3250" s="3" t="s">
        <v>206</v>
      </c>
      <c r="E3250" s="3" t="s">
        <v>100</v>
      </c>
      <c r="F3250" s="7">
        <v>45813.26840675203</v>
      </c>
      <c r="G3250" s="3" t="s">
        <v>10386</v>
      </c>
    </row>
    <row r="3251">
      <c r="A3251" s="3" t="s">
        <v>10388</v>
      </c>
      <c r="B3251" s="3" t="s">
        <v>3409</v>
      </c>
      <c r="C3251" s="5" t="s">
        <v>206</v>
      </c>
      <c r="D3251" s="3" t="s">
        <v>68</v>
      </c>
      <c r="E3251" s="3" t="s">
        <v>100</v>
      </c>
      <c r="F3251" s="7">
        <v>45813.27187897425</v>
      </c>
      <c r="G3251" s="3" t="s">
        <v>10390</v>
      </c>
    </row>
    <row r="3252">
      <c r="A3252" s="3" t="s">
        <v>10391</v>
      </c>
      <c r="B3252" s="3" t="s">
        <v>3412</v>
      </c>
      <c r="C3252" s="5" t="s">
        <v>45</v>
      </c>
      <c r="D3252" s="3" t="s">
        <v>221</v>
      </c>
      <c r="E3252" s="3" t="s">
        <v>682</v>
      </c>
      <c r="F3252" s="7">
        <v>45813.332637153006</v>
      </c>
      <c r="G3252" s="3" t="s">
        <v>6556</v>
      </c>
    </row>
    <row r="3253">
      <c r="A3253" s="3" t="s">
        <v>10394</v>
      </c>
      <c r="B3253" s="3" t="s">
        <v>3412</v>
      </c>
      <c r="C3253" s="5" t="s">
        <v>221</v>
      </c>
      <c r="D3253" s="3" t="s">
        <v>614</v>
      </c>
      <c r="E3253" s="3" t="s">
        <v>118</v>
      </c>
      <c r="F3253" s="7">
        <v>45813.336109375225</v>
      </c>
      <c r="G3253" s="3" t="s">
        <v>6559</v>
      </c>
    </row>
    <row r="3254">
      <c r="A3254" s="3" t="s">
        <v>10396</v>
      </c>
      <c r="B3254" s="3" t="s">
        <v>3412</v>
      </c>
      <c r="C3254" s="5" t="s">
        <v>614</v>
      </c>
      <c r="D3254" s="3" t="s">
        <v>206</v>
      </c>
      <c r="E3254" s="3" t="s">
        <v>100</v>
      </c>
      <c r="F3254" s="7">
        <v>45813.33958159745</v>
      </c>
      <c r="G3254" s="3" t="s">
        <v>6562</v>
      </c>
    </row>
    <row r="3255">
      <c r="A3255" s="3" t="s">
        <v>10398</v>
      </c>
      <c r="B3255" s="3" t="s">
        <v>3412</v>
      </c>
      <c r="C3255" s="5" t="s">
        <v>206</v>
      </c>
      <c r="D3255" s="3" t="s">
        <v>68</v>
      </c>
      <c r="E3255" s="3" t="s">
        <v>100</v>
      </c>
      <c r="F3255" s="7">
        <v>45813.34305381967</v>
      </c>
      <c r="G3255" s="3" t="s">
        <v>6565</v>
      </c>
    </row>
    <row r="3256">
      <c r="A3256" s="3" t="s">
        <v>10401</v>
      </c>
      <c r="B3256" s="3" t="s">
        <v>3415</v>
      </c>
      <c r="C3256" s="5" t="s">
        <v>45</v>
      </c>
      <c r="D3256" s="3" t="s">
        <v>221</v>
      </c>
      <c r="E3256" s="3" t="s">
        <v>593</v>
      </c>
      <c r="F3256" s="7">
        <v>45813.40381199842</v>
      </c>
      <c r="G3256" s="3" t="s">
        <v>10403</v>
      </c>
    </row>
    <row r="3257">
      <c r="A3257" s="3" t="s">
        <v>10404</v>
      </c>
      <c r="B3257" s="3" t="s">
        <v>3415</v>
      </c>
      <c r="C3257" s="5" t="s">
        <v>221</v>
      </c>
      <c r="D3257" s="3" t="s">
        <v>614</v>
      </c>
      <c r="E3257" s="3" t="s">
        <v>118</v>
      </c>
      <c r="F3257" s="7">
        <v>45813.40728422064</v>
      </c>
      <c r="G3257" s="3" t="s">
        <v>10406</v>
      </c>
    </row>
    <row r="3258">
      <c r="A3258" s="3" t="s">
        <v>10407</v>
      </c>
      <c r="B3258" s="3" t="s">
        <v>3415</v>
      </c>
      <c r="C3258" s="5" t="s">
        <v>614</v>
      </c>
      <c r="D3258" s="3" t="s">
        <v>206</v>
      </c>
      <c r="E3258" s="3" t="s">
        <v>100</v>
      </c>
      <c r="F3258" s="7">
        <v>45813.41075644286</v>
      </c>
      <c r="G3258" s="3" t="s">
        <v>10409</v>
      </c>
    </row>
    <row r="3259">
      <c r="A3259" s="3" t="s">
        <v>10410</v>
      </c>
      <c r="B3259" s="3" t="s">
        <v>3415</v>
      </c>
      <c r="C3259" s="5" t="s">
        <v>206</v>
      </c>
      <c r="D3259" s="3" t="s">
        <v>68</v>
      </c>
      <c r="E3259" s="3" t="s">
        <v>100</v>
      </c>
      <c r="F3259" s="7">
        <v>45813.41422866508</v>
      </c>
      <c r="G3259" s="3" t="s">
        <v>10412</v>
      </c>
    </row>
    <row r="3260">
      <c r="A3260" s="3" t="s">
        <v>10413</v>
      </c>
      <c r="B3260" s="3" t="s">
        <v>3419</v>
      </c>
      <c r="C3260" s="5" t="s">
        <v>45</v>
      </c>
      <c r="D3260" s="3" t="s">
        <v>221</v>
      </c>
      <c r="E3260" s="3" t="s">
        <v>600</v>
      </c>
      <c r="F3260" s="7">
        <v>45813.47498684383</v>
      </c>
      <c r="G3260" s="3" t="s">
        <v>10415</v>
      </c>
    </row>
    <row r="3261">
      <c r="A3261" s="3" t="s">
        <v>10416</v>
      </c>
      <c r="B3261" s="3" t="s">
        <v>3419</v>
      </c>
      <c r="C3261" s="5" t="s">
        <v>221</v>
      </c>
      <c r="D3261" s="3" t="s">
        <v>614</v>
      </c>
      <c r="E3261" s="3" t="s">
        <v>118</v>
      </c>
      <c r="F3261" s="7">
        <v>45813.47845906605</v>
      </c>
      <c r="G3261" s="3" t="s">
        <v>10417</v>
      </c>
    </row>
    <row r="3262">
      <c r="A3262" s="3" t="s">
        <v>10419</v>
      </c>
      <c r="B3262" s="3" t="s">
        <v>3419</v>
      </c>
      <c r="C3262" s="5" t="s">
        <v>614</v>
      </c>
      <c r="D3262" s="3" t="s">
        <v>206</v>
      </c>
      <c r="E3262" s="3" t="s">
        <v>100</v>
      </c>
      <c r="F3262" s="7">
        <v>45813.481931288276</v>
      </c>
      <c r="G3262" s="3" t="s">
        <v>10420</v>
      </c>
    </row>
    <row r="3263">
      <c r="A3263" s="3" t="s">
        <v>10422</v>
      </c>
      <c r="B3263" s="3" t="s">
        <v>3419</v>
      </c>
      <c r="C3263" s="5" t="s">
        <v>206</v>
      </c>
      <c r="D3263" s="3" t="s">
        <v>68</v>
      </c>
      <c r="E3263" s="3" t="s">
        <v>100</v>
      </c>
      <c r="F3263" s="7">
        <v>45813.485403510495</v>
      </c>
      <c r="G3263" s="3" t="s">
        <v>10423</v>
      </c>
    </row>
    <row r="3264">
      <c r="A3264" s="3" t="s">
        <v>10425</v>
      </c>
      <c r="B3264" s="3" t="s">
        <v>3423</v>
      </c>
      <c r="C3264" s="5" t="s">
        <v>45</v>
      </c>
      <c r="D3264" s="3" t="s">
        <v>221</v>
      </c>
      <c r="E3264" s="3" t="s">
        <v>344</v>
      </c>
      <c r="F3264" s="7">
        <v>45813.54616168925</v>
      </c>
      <c r="G3264" s="3" t="s">
        <v>2770</v>
      </c>
    </row>
    <row r="3265">
      <c r="A3265" s="3" t="s">
        <v>10427</v>
      </c>
      <c r="B3265" s="3" t="s">
        <v>3423</v>
      </c>
      <c r="C3265" s="5" t="s">
        <v>221</v>
      </c>
      <c r="D3265" s="3" t="s">
        <v>181</v>
      </c>
      <c r="E3265" s="3" t="s">
        <v>118</v>
      </c>
      <c r="F3265" s="7">
        <v>45813.54963391147</v>
      </c>
      <c r="G3265" s="3" t="s">
        <v>2774</v>
      </c>
    </row>
    <row r="3266">
      <c r="A3266" s="3" t="s">
        <v>10428</v>
      </c>
      <c r="B3266" s="3" t="s">
        <v>3426</v>
      </c>
      <c r="C3266" s="5" t="s">
        <v>45</v>
      </c>
      <c r="D3266" s="3" t="s">
        <v>221</v>
      </c>
      <c r="E3266" s="3" t="s">
        <v>411</v>
      </c>
      <c r="F3266" s="7">
        <v>45813.61733653467</v>
      </c>
      <c r="G3266" s="3" t="s">
        <v>10430</v>
      </c>
    </row>
    <row r="3267">
      <c r="A3267" s="3" t="s">
        <v>10431</v>
      </c>
      <c r="B3267" s="3" t="s">
        <v>3426</v>
      </c>
      <c r="C3267" s="5" t="s">
        <v>221</v>
      </c>
      <c r="D3267" s="3" t="s">
        <v>614</v>
      </c>
      <c r="E3267" s="3" t="s">
        <v>118</v>
      </c>
      <c r="F3267" s="7">
        <v>45813.62080875689</v>
      </c>
      <c r="G3267" s="3" t="s">
        <v>10433</v>
      </c>
    </row>
    <row r="3268">
      <c r="A3268" s="3" t="s">
        <v>10434</v>
      </c>
      <c r="B3268" s="3" t="s">
        <v>3426</v>
      </c>
      <c r="C3268" s="5" t="s">
        <v>614</v>
      </c>
      <c r="D3268" s="3" t="s">
        <v>206</v>
      </c>
      <c r="E3268" s="3" t="s">
        <v>100</v>
      </c>
      <c r="F3268" s="7">
        <v>45813.624280979115</v>
      </c>
      <c r="G3268" s="3" t="s">
        <v>10436</v>
      </c>
    </row>
    <row r="3269">
      <c r="A3269" s="3" t="s">
        <v>10437</v>
      </c>
      <c r="B3269" s="3" t="s">
        <v>3426</v>
      </c>
      <c r="C3269" s="5" t="s">
        <v>206</v>
      </c>
      <c r="D3269" s="3" t="s">
        <v>68</v>
      </c>
      <c r="E3269" s="3" t="s">
        <v>100</v>
      </c>
      <c r="F3269" s="7">
        <v>45813.627753201334</v>
      </c>
      <c r="G3269" s="3" t="s">
        <v>10439</v>
      </c>
    </row>
    <row r="3270">
      <c r="A3270" s="3" t="s">
        <v>10440</v>
      </c>
      <c r="B3270" s="3" t="s">
        <v>3429</v>
      </c>
      <c r="C3270" s="5" t="s">
        <v>45</v>
      </c>
      <c r="D3270" s="3" t="s">
        <v>221</v>
      </c>
      <c r="E3270" s="3" t="s">
        <v>883</v>
      </c>
      <c r="F3270" s="7">
        <v>45813.688511380074</v>
      </c>
      <c r="G3270" s="3" t="s">
        <v>10442</v>
      </c>
    </row>
    <row r="3271">
      <c r="A3271" s="3" t="s">
        <v>10443</v>
      </c>
      <c r="B3271" s="3" t="s">
        <v>3429</v>
      </c>
      <c r="C3271" s="5" t="s">
        <v>221</v>
      </c>
      <c r="D3271" s="3" t="s">
        <v>614</v>
      </c>
      <c r="E3271" s="3" t="s">
        <v>118</v>
      </c>
      <c r="F3271" s="7">
        <v>45813.69198360229</v>
      </c>
      <c r="G3271" s="3" t="s">
        <v>10444</v>
      </c>
    </row>
    <row r="3272">
      <c r="A3272" s="3" t="s">
        <v>10446</v>
      </c>
      <c r="B3272" s="3" t="s">
        <v>3429</v>
      </c>
      <c r="C3272" s="5" t="s">
        <v>614</v>
      </c>
      <c r="D3272" s="3" t="s">
        <v>206</v>
      </c>
      <c r="E3272" s="3" t="s">
        <v>100</v>
      </c>
      <c r="F3272" s="7">
        <v>45813.69545582452</v>
      </c>
      <c r="G3272" s="3" t="s">
        <v>10447</v>
      </c>
    </row>
    <row r="3273">
      <c r="A3273" s="3" t="s">
        <v>10448</v>
      </c>
      <c r="B3273" s="3" t="s">
        <v>3429</v>
      </c>
      <c r="C3273" s="5" t="s">
        <v>206</v>
      </c>
      <c r="D3273" s="3" t="s">
        <v>68</v>
      </c>
      <c r="E3273" s="3" t="s">
        <v>100</v>
      </c>
      <c r="F3273" s="7">
        <v>45813.69892804674</v>
      </c>
      <c r="G3273" s="3" t="s">
        <v>10450</v>
      </c>
    </row>
    <row r="3274">
      <c r="A3274" s="3" t="s">
        <v>10451</v>
      </c>
      <c r="B3274" s="3" t="s">
        <v>3432</v>
      </c>
      <c r="C3274" s="5" t="s">
        <v>45</v>
      </c>
      <c r="D3274" s="3" t="s">
        <v>221</v>
      </c>
      <c r="E3274" s="3" t="s">
        <v>622</v>
      </c>
      <c r="F3274" s="7">
        <v>45813.759686225494</v>
      </c>
      <c r="G3274" s="3" t="s">
        <v>6189</v>
      </c>
    </row>
    <row r="3275">
      <c r="A3275" s="3" t="s">
        <v>10453</v>
      </c>
      <c r="B3275" s="3" t="s">
        <v>3432</v>
      </c>
      <c r="C3275" s="5" t="s">
        <v>221</v>
      </c>
      <c r="D3275" s="3" t="s">
        <v>614</v>
      </c>
      <c r="E3275" s="3" t="s">
        <v>118</v>
      </c>
      <c r="F3275" s="7">
        <v>45813.76315844771</v>
      </c>
      <c r="G3275" s="3" t="s">
        <v>10455</v>
      </c>
    </row>
    <row r="3276">
      <c r="A3276" s="3" t="s">
        <v>10456</v>
      </c>
      <c r="B3276" s="3" t="s">
        <v>3432</v>
      </c>
      <c r="C3276" s="5" t="s">
        <v>614</v>
      </c>
      <c r="D3276" s="3" t="s">
        <v>206</v>
      </c>
      <c r="E3276" s="3" t="s">
        <v>100</v>
      </c>
      <c r="F3276" s="7">
        <v>45813.76663066994</v>
      </c>
      <c r="G3276" s="3" t="s">
        <v>10457</v>
      </c>
    </row>
    <row r="3277">
      <c r="A3277" s="3" t="s">
        <v>10458</v>
      </c>
      <c r="B3277" s="3" t="s">
        <v>3432</v>
      </c>
      <c r="C3277" s="5" t="s">
        <v>206</v>
      </c>
      <c r="D3277" s="3" t="s">
        <v>68</v>
      </c>
      <c r="E3277" s="3" t="s">
        <v>100</v>
      </c>
      <c r="F3277" s="7">
        <v>45813.77010289216</v>
      </c>
      <c r="G3277" s="3" t="s">
        <v>10460</v>
      </c>
    </row>
    <row r="3278">
      <c r="A3278" s="3" t="s">
        <v>10461</v>
      </c>
      <c r="B3278" s="3" t="s">
        <v>3435</v>
      </c>
      <c r="C3278" s="5" t="s">
        <v>45</v>
      </c>
      <c r="D3278" s="3" t="s">
        <v>221</v>
      </c>
      <c r="E3278" s="3" t="s">
        <v>569</v>
      </c>
      <c r="F3278" s="7">
        <v>45813.830861070914</v>
      </c>
      <c r="G3278" s="3" t="s">
        <v>2770</v>
      </c>
    </row>
    <row r="3279">
      <c r="A3279" s="3" t="s">
        <v>10463</v>
      </c>
      <c r="B3279" s="3" t="s">
        <v>3435</v>
      </c>
      <c r="C3279" s="5" t="s">
        <v>221</v>
      </c>
      <c r="D3279" s="3" t="s">
        <v>195</v>
      </c>
      <c r="E3279" s="3" t="s">
        <v>569</v>
      </c>
      <c r="F3279" s="7">
        <v>45813.83433329313</v>
      </c>
      <c r="G3279" s="3" t="s">
        <v>3055</v>
      </c>
    </row>
    <row r="3280">
      <c r="A3280" s="3" t="s">
        <v>10465</v>
      </c>
      <c r="B3280" s="3" t="s">
        <v>3438</v>
      </c>
      <c r="C3280" s="5" t="s">
        <v>45</v>
      </c>
      <c r="D3280" s="3" t="s">
        <v>221</v>
      </c>
      <c r="E3280" s="3" t="s">
        <v>816</v>
      </c>
      <c r="F3280" s="7">
        <v>45813.902035916326</v>
      </c>
      <c r="G3280" s="3" t="s">
        <v>10467</v>
      </c>
    </row>
    <row r="3281">
      <c r="A3281" s="3" t="s">
        <v>10468</v>
      </c>
      <c r="B3281" s="3" t="s">
        <v>3438</v>
      </c>
      <c r="C3281" s="5" t="s">
        <v>221</v>
      </c>
      <c r="D3281" s="3" t="s">
        <v>614</v>
      </c>
      <c r="E3281" s="3" t="s">
        <v>118</v>
      </c>
      <c r="F3281" s="7">
        <v>45813.905508138545</v>
      </c>
      <c r="G3281" s="3" t="s">
        <v>10470</v>
      </c>
    </row>
    <row r="3282">
      <c r="A3282" s="3" t="s">
        <v>10471</v>
      </c>
      <c r="B3282" s="3" t="s">
        <v>3438</v>
      </c>
      <c r="C3282" s="5" t="s">
        <v>614</v>
      </c>
      <c r="D3282" s="3" t="s">
        <v>206</v>
      </c>
      <c r="E3282" s="3" t="s">
        <v>100</v>
      </c>
      <c r="F3282" s="7">
        <v>45813.90898036077</v>
      </c>
      <c r="G3282" s="3" t="s">
        <v>10473</v>
      </c>
    </row>
    <row r="3283">
      <c r="A3283" s="3" t="s">
        <v>10474</v>
      </c>
      <c r="B3283" s="3" t="s">
        <v>3438</v>
      </c>
      <c r="C3283" s="5" t="s">
        <v>206</v>
      </c>
      <c r="D3283" s="3" t="s">
        <v>68</v>
      </c>
      <c r="E3283" s="3" t="s">
        <v>100</v>
      </c>
      <c r="F3283" s="7">
        <v>45813.91245258299</v>
      </c>
      <c r="G3283" s="3" t="s">
        <v>10475</v>
      </c>
    </row>
    <row r="3284">
      <c r="A3284" s="3" t="s">
        <v>10477</v>
      </c>
      <c r="B3284" s="3" t="s">
        <v>3441</v>
      </c>
      <c r="C3284" s="5" t="s">
        <v>45</v>
      </c>
      <c r="D3284" s="3" t="s">
        <v>221</v>
      </c>
      <c r="E3284" s="3" t="s">
        <v>430</v>
      </c>
      <c r="F3284" s="7">
        <v>45813.97321076174</v>
      </c>
      <c r="G3284" s="3" t="s">
        <v>7094</v>
      </c>
    </row>
    <row r="3285">
      <c r="A3285" s="3" t="s">
        <v>10479</v>
      </c>
      <c r="B3285" s="3" t="s">
        <v>3441</v>
      </c>
      <c r="C3285" s="5" t="s">
        <v>221</v>
      </c>
      <c r="D3285" s="3" t="s">
        <v>614</v>
      </c>
      <c r="E3285" s="3" t="s">
        <v>118</v>
      </c>
      <c r="F3285" s="7">
        <v>45813.97668298396</v>
      </c>
      <c r="G3285" s="3" t="s">
        <v>7096</v>
      </c>
    </row>
    <row r="3286">
      <c r="A3286" s="3" t="s">
        <v>10480</v>
      </c>
      <c r="B3286" s="3" t="s">
        <v>3441</v>
      </c>
      <c r="C3286" s="5" t="s">
        <v>614</v>
      </c>
      <c r="D3286" s="3" t="s">
        <v>206</v>
      </c>
      <c r="E3286" s="3" t="s">
        <v>100</v>
      </c>
      <c r="F3286" s="7">
        <v>45813.98015520618</v>
      </c>
      <c r="G3286" s="3" t="s">
        <v>7099</v>
      </c>
    </row>
    <row r="3287">
      <c r="A3287" s="3" t="s">
        <v>10482</v>
      </c>
      <c r="B3287" s="3" t="s">
        <v>3441</v>
      </c>
      <c r="C3287" s="5" t="s">
        <v>206</v>
      </c>
      <c r="D3287" s="3" t="s">
        <v>68</v>
      </c>
      <c r="E3287" s="3" t="s">
        <v>100</v>
      </c>
      <c r="F3287" s="7">
        <v>45813.9836274284</v>
      </c>
      <c r="G3287" s="3" t="s">
        <v>7103</v>
      </c>
    </row>
    <row r="3288">
      <c r="A3288" s="3" t="s">
        <v>10485</v>
      </c>
      <c r="B3288" s="3" t="s">
        <v>3444</v>
      </c>
      <c r="C3288" s="5" t="s">
        <v>45</v>
      </c>
      <c r="D3288" s="3" t="s">
        <v>221</v>
      </c>
      <c r="E3288" s="3" t="s">
        <v>704</v>
      </c>
      <c r="F3288" s="7">
        <v>45814.04438560716</v>
      </c>
      <c r="G3288" s="3" t="s">
        <v>9343</v>
      </c>
    </row>
    <row r="3289">
      <c r="A3289" s="3" t="s">
        <v>10487</v>
      </c>
      <c r="B3289" s="3" t="s">
        <v>3444</v>
      </c>
      <c r="C3289" s="5" t="s">
        <v>221</v>
      </c>
      <c r="D3289" s="3" t="s">
        <v>614</v>
      </c>
      <c r="E3289" s="3" t="s">
        <v>118</v>
      </c>
      <c r="F3289" s="7">
        <v>45814.04785782938</v>
      </c>
      <c r="G3289" s="3" t="s">
        <v>9346</v>
      </c>
    </row>
    <row r="3290">
      <c r="A3290" s="3" t="s">
        <v>10490</v>
      </c>
      <c r="B3290" s="3" t="s">
        <v>3444</v>
      </c>
      <c r="C3290" s="5" t="s">
        <v>614</v>
      </c>
      <c r="D3290" s="3" t="s">
        <v>206</v>
      </c>
      <c r="E3290" s="3" t="s">
        <v>100</v>
      </c>
      <c r="F3290" s="7">
        <v>45814.0513300516</v>
      </c>
      <c r="G3290" s="3" t="s">
        <v>9349</v>
      </c>
    </row>
    <row r="3291">
      <c r="A3291" s="3" t="s">
        <v>10492</v>
      </c>
      <c r="B3291" s="3" t="s">
        <v>3444</v>
      </c>
      <c r="C3291" s="5" t="s">
        <v>206</v>
      </c>
      <c r="D3291" s="3" t="s">
        <v>68</v>
      </c>
      <c r="E3291" s="3" t="s">
        <v>100</v>
      </c>
      <c r="F3291" s="7">
        <v>45814.05480227382</v>
      </c>
      <c r="G3291" s="3" t="s">
        <v>9352</v>
      </c>
    </row>
    <row r="3292">
      <c r="A3292" s="3" t="s">
        <v>10494</v>
      </c>
      <c r="B3292" s="3" t="s">
        <v>3448</v>
      </c>
      <c r="C3292" s="5" t="s">
        <v>45</v>
      </c>
      <c r="D3292" s="3" t="s">
        <v>221</v>
      </c>
      <c r="E3292" s="3" t="s">
        <v>1034</v>
      </c>
      <c r="F3292" s="7">
        <v>45814.11556045257</v>
      </c>
      <c r="G3292" s="3" t="s">
        <v>10495</v>
      </c>
    </row>
    <row r="3293">
      <c r="A3293" s="3" t="s">
        <v>10496</v>
      </c>
      <c r="B3293" s="3" t="s">
        <v>3448</v>
      </c>
      <c r="C3293" s="5" t="s">
        <v>221</v>
      </c>
      <c r="D3293" s="3" t="s">
        <v>614</v>
      </c>
      <c r="E3293" s="3" t="s">
        <v>118</v>
      </c>
      <c r="F3293" s="7">
        <v>45814.11903267479</v>
      </c>
      <c r="G3293" s="3" t="s">
        <v>10498</v>
      </c>
    </row>
    <row r="3294">
      <c r="A3294" s="3" t="s">
        <v>10499</v>
      </c>
      <c r="B3294" s="3" t="s">
        <v>3448</v>
      </c>
      <c r="C3294" s="5" t="s">
        <v>614</v>
      </c>
      <c r="D3294" s="3" t="s">
        <v>206</v>
      </c>
      <c r="E3294" s="3" t="s">
        <v>100</v>
      </c>
      <c r="F3294" s="7">
        <v>45814.122504897015</v>
      </c>
      <c r="G3294" s="3" t="s">
        <v>10500</v>
      </c>
    </row>
    <row r="3295">
      <c r="A3295" s="3" t="s">
        <v>10502</v>
      </c>
      <c r="B3295" s="3" t="s">
        <v>3448</v>
      </c>
      <c r="C3295" s="5" t="s">
        <v>206</v>
      </c>
      <c r="D3295" s="3" t="s">
        <v>68</v>
      </c>
      <c r="E3295" s="3" t="s">
        <v>100</v>
      </c>
      <c r="F3295" s="7">
        <v>45814.125977119234</v>
      </c>
      <c r="G3295" s="3" t="s">
        <v>10503</v>
      </c>
    </row>
    <row r="3296">
      <c r="A3296" s="3" t="s">
        <v>10504</v>
      </c>
      <c r="B3296" s="3" t="s">
        <v>3452</v>
      </c>
      <c r="C3296" s="5" t="s">
        <v>45</v>
      </c>
      <c r="D3296" s="3" t="s">
        <v>221</v>
      </c>
      <c r="E3296" s="3" t="s">
        <v>662</v>
      </c>
      <c r="F3296" s="7">
        <v>45814.18673529798</v>
      </c>
      <c r="G3296" s="3" t="s">
        <v>10003</v>
      </c>
    </row>
    <row r="3297">
      <c r="A3297" s="3" t="s">
        <v>10506</v>
      </c>
      <c r="B3297" s="3" t="s">
        <v>3452</v>
      </c>
      <c r="C3297" s="5" t="s">
        <v>221</v>
      </c>
      <c r="D3297" s="3" t="s">
        <v>614</v>
      </c>
      <c r="E3297" s="3" t="s">
        <v>118</v>
      </c>
      <c r="F3297" s="7">
        <v>45814.1902075202</v>
      </c>
      <c r="G3297" s="3" t="s">
        <v>10007</v>
      </c>
    </row>
    <row r="3298">
      <c r="A3298" s="3" t="s">
        <v>10508</v>
      </c>
      <c r="B3298" s="3" t="s">
        <v>3452</v>
      </c>
      <c r="C3298" s="5" t="s">
        <v>614</v>
      </c>
      <c r="D3298" s="3" t="s">
        <v>206</v>
      </c>
      <c r="E3298" s="3" t="s">
        <v>100</v>
      </c>
      <c r="F3298" s="7">
        <v>45814.19367974243</v>
      </c>
      <c r="G3298" s="3" t="s">
        <v>10010</v>
      </c>
    </row>
    <row r="3299">
      <c r="A3299" s="3" t="s">
        <v>10510</v>
      </c>
      <c r="B3299" s="3" t="s">
        <v>3452</v>
      </c>
      <c r="C3299" s="5" t="s">
        <v>206</v>
      </c>
      <c r="D3299" s="3" t="s">
        <v>68</v>
      </c>
      <c r="E3299" s="3" t="s">
        <v>100</v>
      </c>
      <c r="F3299" s="7">
        <v>45814.19715196465</v>
      </c>
      <c r="G3299" s="3" t="s">
        <v>10013</v>
      </c>
    </row>
    <row r="3300">
      <c r="A3300" s="3" t="s">
        <v>10512</v>
      </c>
      <c r="B3300" s="3" t="s">
        <v>3455</v>
      </c>
      <c r="C3300" s="5" t="s">
        <v>45</v>
      </c>
      <c r="D3300" s="3" t="s">
        <v>221</v>
      </c>
      <c r="E3300" s="3" t="s">
        <v>848</v>
      </c>
      <c r="F3300" s="7">
        <v>45814.2579101434</v>
      </c>
      <c r="G3300" s="3" t="s">
        <v>10513</v>
      </c>
    </row>
    <row r="3301">
      <c r="A3301" s="3" t="s">
        <v>10514</v>
      </c>
      <c r="B3301" s="3" t="s">
        <v>3455</v>
      </c>
      <c r="C3301" s="5" t="s">
        <v>221</v>
      </c>
      <c r="D3301" s="3" t="s">
        <v>614</v>
      </c>
      <c r="E3301" s="3" t="s">
        <v>118</v>
      </c>
      <c r="F3301" s="7">
        <v>45814.26138236562</v>
      </c>
      <c r="G3301" s="3" t="s">
        <v>10516</v>
      </c>
    </row>
    <row r="3302">
      <c r="A3302" s="3" t="s">
        <v>10517</v>
      </c>
      <c r="B3302" s="3" t="s">
        <v>3455</v>
      </c>
      <c r="C3302" s="5" t="s">
        <v>614</v>
      </c>
      <c r="D3302" s="3" t="s">
        <v>206</v>
      </c>
      <c r="E3302" s="3" t="s">
        <v>100</v>
      </c>
      <c r="F3302" s="7">
        <v>45814.26485458785</v>
      </c>
      <c r="G3302" s="3" t="s">
        <v>10519</v>
      </c>
    </row>
    <row r="3303">
      <c r="A3303" s="3" t="s">
        <v>10520</v>
      </c>
      <c r="B3303" s="3" t="s">
        <v>3455</v>
      </c>
      <c r="C3303" s="5" t="s">
        <v>206</v>
      </c>
      <c r="D3303" s="3" t="s">
        <v>68</v>
      </c>
      <c r="E3303" s="3" t="s">
        <v>100</v>
      </c>
      <c r="F3303" s="7">
        <v>45814.268326810066</v>
      </c>
      <c r="G3303" s="3" t="s">
        <v>10522</v>
      </c>
    </row>
    <row r="3304">
      <c r="A3304" s="3" t="s">
        <v>10523</v>
      </c>
      <c r="B3304" s="3" t="s">
        <v>3458</v>
      </c>
      <c r="C3304" s="5" t="s">
        <v>45</v>
      </c>
      <c r="D3304" s="3" t="s">
        <v>221</v>
      </c>
      <c r="E3304" s="3" t="s">
        <v>575</v>
      </c>
      <c r="F3304" s="7">
        <v>45814.329084988814</v>
      </c>
      <c r="G3304" s="3" t="s">
        <v>10525</v>
      </c>
    </row>
    <row r="3305">
      <c r="A3305" s="3" t="s">
        <v>10526</v>
      </c>
      <c r="B3305" s="3" t="s">
        <v>3458</v>
      </c>
      <c r="C3305" s="5" t="s">
        <v>221</v>
      </c>
      <c r="D3305" s="3" t="s">
        <v>614</v>
      </c>
      <c r="E3305" s="3" t="s">
        <v>118</v>
      </c>
      <c r="F3305" s="7">
        <v>45814.33255721103</v>
      </c>
      <c r="G3305" s="3" t="s">
        <v>10527</v>
      </c>
    </row>
    <row r="3306">
      <c r="A3306" s="3" t="s">
        <v>10529</v>
      </c>
      <c r="B3306" s="3" t="s">
        <v>3458</v>
      </c>
      <c r="C3306" s="5" t="s">
        <v>614</v>
      </c>
      <c r="D3306" s="3" t="s">
        <v>206</v>
      </c>
      <c r="E3306" s="3" t="s">
        <v>100</v>
      </c>
      <c r="F3306" s="7">
        <v>45814.33602943326</v>
      </c>
      <c r="G3306" s="3" t="s">
        <v>10530</v>
      </c>
    </row>
    <row r="3307">
      <c r="A3307" s="3" t="s">
        <v>10531</v>
      </c>
      <c r="B3307" s="3" t="s">
        <v>3458</v>
      </c>
      <c r="C3307" s="5" t="s">
        <v>206</v>
      </c>
      <c r="D3307" s="3" t="s">
        <v>68</v>
      </c>
      <c r="E3307" s="3" t="s">
        <v>100</v>
      </c>
      <c r="F3307" s="7">
        <v>45814.33950165548</v>
      </c>
      <c r="G3307" s="3" t="s">
        <v>10533</v>
      </c>
    </row>
    <row r="3308">
      <c r="A3308" s="3" t="s">
        <v>10534</v>
      </c>
      <c r="B3308" s="3" t="s">
        <v>3461</v>
      </c>
      <c r="C3308" s="5" t="s">
        <v>45</v>
      </c>
      <c r="D3308" s="3" t="s">
        <v>221</v>
      </c>
      <c r="E3308" s="3" t="s">
        <v>727</v>
      </c>
      <c r="F3308" s="7">
        <v>45814.40025983423</v>
      </c>
      <c r="G3308" s="3" t="s">
        <v>10536</v>
      </c>
    </row>
    <row r="3309">
      <c r="A3309" s="3" t="s">
        <v>10537</v>
      </c>
      <c r="B3309" s="3" t="s">
        <v>3461</v>
      </c>
      <c r="C3309" s="5" t="s">
        <v>221</v>
      </c>
      <c r="D3309" s="3" t="s">
        <v>614</v>
      </c>
      <c r="E3309" s="3" t="s">
        <v>118</v>
      </c>
      <c r="F3309" s="7">
        <v>45814.403732056446</v>
      </c>
      <c r="G3309" s="3" t="s">
        <v>10539</v>
      </c>
    </row>
    <row r="3310">
      <c r="A3310" s="3" t="s">
        <v>10540</v>
      </c>
      <c r="B3310" s="3" t="s">
        <v>3461</v>
      </c>
      <c r="C3310" s="5" t="s">
        <v>614</v>
      </c>
      <c r="D3310" s="3" t="s">
        <v>206</v>
      </c>
      <c r="E3310" s="3" t="s">
        <v>100</v>
      </c>
      <c r="F3310" s="7">
        <v>45814.40720427867</v>
      </c>
      <c r="G3310" s="3" t="s">
        <v>10541</v>
      </c>
    </row>
    <row r="3311">
      <c r="A3311" s="3" t="s">
        <v>10543</v>
      </c>
      <c r="B3311" s="3" t="s">
        <v>3461</v>
      </c>
      <c r="C3311" s="5" t="s">
        <v>206</v>
      </c>
      <c r="D3311" s="3" t="s">
        <v>68</v>
      </c>
      <c r="E3311" s="3" t="s">
        <v>100</v>
      </c>
      <c r="F3311" s="7">
        <v>45814.41067650089</v>
      </c>
      <c r="G3311" s="3" t="s">
        <v>10544</v>
      </c>
    </row>
    <row r="3312">
      <c r="A3312" s="3" t="s">
        <v>10545</v>
      </c>
      <c r="B3312" s="3" t="s">
        <v>3465</v>
      </c>
      <c r="C3312" s="5" t="s">
        <v>45</v>
      </c>
      <c r="D3312" s="3" t="s">
        <v>221</v>
      </c>
      <c r="E3312" s="3" t="s">
        <v>662</v>
      </c>
      <c r="F3312" s="7">
        <v>45814.471434679646</v>
      </c>
      <c r="G3312" s="3" t="s">
        <v>10547</v>
      </c>
    </row>
    <row r="3313">
      <c r="A3313" s="3" t="s">
        <v>10548</v>
      </c>
      <c r="B3313" s="3" t="s">
        <v>3465</v>
      </c>
      <c r="C3313" s="5" t="s">
        <v>221</v>
      </c>
      <c r="D3313" s="3" t="s">
        <v>614</v>
      </c>
      <c r="E3313" s="3" t="s">
        <v>118</v>
      </c>
      <c r="F3313" s="7">
        <v>45814.474906901865</v>
      </c>
      <c r="G3313" s="3" t="s">
        <v>10550</v>
      </c>
    </row>
    <row r="3314">
      <c r="A3314" s="3" t="s">
        <v>10551</v>
      </c>
      <c r="B3314" s="3" t="s">
        <v>3465</v>
      </c>
      <c r="C3314" s="5" t="s">
        <v>614</v>
      </c>
      <c r="D3314" s="3" t="s">
        <v>206</v>
      </c>
      <c r="E3314" s="3" t="s">
        <v>100</v>
      </c>
      <c r="F3314" s="7">
        <v>45814.47837912409</v>
      </c>
      <c r="G3314" s="3" t="s">
        <v>10553</v>
      </c>
    </row>
    <row r="3315">
      <c r="A3315" s="3" t="s">
        <v>10554</v>
      </c>
      <c r="B3315" s="3" t="s">
        <v>3465</v>
      </c>
      <c r="C3315" s="5" t="s">
        <v>206</v>
      </c>
      <c r="D3315" s="3" t="s">
        <v>68</v>
      </c>
      <c r="E3315" s="3" t="s">
        <v>100</v>
      </c>
      <c r="F3315" s="7">
        <v>45814.48185134631</v>
      </c>
      <c r="G3315" s="3" t="s">
        <v>10555</v>
      </c>
    </row>
    <row r="3316">
      <c r="A3316" s="3" t="s">
        <v>10557</v>
      </c>
      <c r="B3316" s="3" t="s">
        <v>3468</v>
      </c>
      <c r="C3316" s="5" t="s">
        <v>45</v>
      </c>
      <c r="D3316" s="3" t="s">
        <v>221</v>
      </c>
      <c r="E3316" s="3" t="s">
        <v>559</v>
      </c>
      <c r="F3316" s="7">
        <v>45814.54260952506</v>
      </c>
      <c r="G3316" s="3" t="s">
        <v>10558</v>
      </c>
    </row>
    <row r="3317">
      <c r="A3317" s="3" t="s">
        <v>10559</v>
      </c>
      <c r="B3317" s="3" t="s">
        <v>3468</v>
      </c>
      <c r="C3317" s="5" t="s">
        <v>221</v>
      </c>
      <c r="D3317" s="3" t="s">
        <v>614</v>
      </c>
      <c r="E3317" s="3" t="s">
        <v>118</v>
      </c>
      <c r="F3317" s="7">
        <v>45814.54608174728</v>
      </c>
      <c r="G3317" s="3" t="s">
        <v>10561</v>
      </c>
    </row>
    <row r="3318">
      <c r="A3318" s="3" t="s">
        <v>10562</v>
      </c>
      <c r="B3318" s="3" t="s">
        <v>3468</v>
      </c>
      <c r="C3318" s="5" t="s">
        <v>614</v>
      </c>
      <c r="D3318" s="3" t="s">
        <v>206</v>
      </c>
      <c r="E3318" s="3" t="s">
        <v>100</v>
      </c>
      <c r="F3318" s="7">
        <v>45814.549553969504</v>
      </c>
      <c r="G3318" s="3" t="s">
        <v>10564</v>
      </c>
    </row>
    <row r="3319">
      <c r="A3319" s="3" t="s">
        <v>10565</v>
      </c>
      <c r="B3319" s="3" t="s">
        <v>3468</v>
      </c>
      <c r="C3319" s="5" t="s">
        <v>206</v>
      </c>
      <c r="D3319" s="3" t="s">
        <v>68</v>
      </c>
      <c r="E3319" s="3" t="s">
        <v>100</v>
      </c>
      <c r="F3319" s="7">
        <v>45814.55302619172</v>
      </c>
      <c r="G3319" s="3" t="s">
        <v>10567</v>
      </c>
    </row>
    <row r="3320">
      <c r="A3320" s="3" t="s">
        <v>10568</v>
      </c>
      <c r="B3320" s="3" t="s">
        <v>3471</v>
      </c>
      <c r="C3320" s="5" t="s">
        <v>45</v>
      </c>
      <c r="D3320" s="3" t="s">
        <v>221</v>
      </c>
      <c r="E3320" s="3" t="s">
        <v>742</v>
      </c>
      <c r="F3320" s="7">
        <v>45814.61378437048</v>
      </c>
      <c r="G3320" s="3" t="s">
        <v>10570</v>
      </c>
    </row>
    <row r="3321">
      <c r="A3321" s="3" t="s">
        <v>10571</v>
      </c>
      <c r="B3321" s="3" t="s">
        <v>3471</v>
      </c>
      <c r="C3321" s="5" t="s">
        <v>221</v>
      </c>
      <c r="D3321" s="3" t="s">
        <v>614</v>
      </c>
      <c r="E3321" s="3" t="s">
        <v>118</v>
      </c>
      <c r="F3321" s="7">
        <v>45814.6172565927</v>
      </c>
      <c r="G3321" s="3" t="s">
        <v>10572</v>
      </c>
    </row>
    <row r="3322">
      <c r="A3322" s="3" t="s">
        <v>10573</v>
      </c>
      <c r="B3322" s="3" t="s">
        <v>3471</v>
      </c>
      <c r="C3322" s="5" t="s">
        <v>614</v>
      </c>
      <c r="D3322" s="3" t="s">
        <v>206</v>
      </c>
      <c r="E3322" s="3" t="s">
        <v>100</v>
      </c>
      <c r="F3322" s="7">
        <v>45814.62072881492</v>
      </c>
      <c r="G3322" s="3" t="s">
        <v>10575</v>
      </c>
    </row>
    <row r="3323">
      <c r="A3323" s="3" t="s">
        <v>10576</v>
      </c>
      <c r="B3323" s="3" t="s">
        <v>3471</v>
      </c>
      <c r="C3323" s="5" t="s">
        <v>206</v>
      </c>
      <c r="D3323" s="3" t="s">
        <v>68</v>
      </c>
      <c r="E3323" s="3" t="s">
        <v>100</v>
      </c>
      <c r="F3323" s="7">
        <v>45814.62420103714</v>
      </c>
      <c r="G3323" s="3" t="s">
        <v>10578</v>
      </c>
    </row>
    <row r="3324">
      <c r="A3324" s="3" t="s">
        <v>10579</v>
      </c>
      <c r="B3324" s="3" t="s">
        <v>3475</v>
      </c>
      <c r="C3324" s="5" t="s">
        <v>45</v>
      </c>
      <c r="D3324" s="3" t="s">
        <v>221</v>
      </c>
      <c r="E3324" s="3" t="s">
        <v>969</v>
      </c>
      <c r="F3324" s="7">
        <v>45814.68495921589</v>
      </c>
      <c r="G3324" s="3" t="s">
        <v>2770</v>
      </c>
    </row>
    <row r="3325">
      <c r="A3325" s="3" t="s">
        <v>10581</v>
      </c>
      <c r="B3325" s="3" t="s">
        <v>3475</v>
      </c>
      <c r="C3325" s="5" t="s">
        <v>221</v>
      </c>
      <c r="D3325" s="3" t="s">
        <v>195</v>
      </c>
      <c r="E3325" s="3" t="s">
        <v>969</v>
      </c>
      <c r="F3325" s="7">
        <v>45814.68843143811</v>
      </c>
      <c r="G3325" s="3" t="s">
        <v>3055</v>
      </c>
    </row>
    <row r="3326">
      <c r="A3326" s="3" t="s">
        <v>10582</v>
      </c>
      <c r="B3326" s="3" t="s">
        <v>3478</v>
      </c>
      <c r="C3326" s="5" t="s">
        <v>45</v>
      </c>
      <c r="D3326" s="3" t="s">
        <v>221</v>
      </c>
      <c r="E3326" s="3" t="s">
        <v>601</v>
      </c>
      <c r="F3326" s="7">
        <v>45814.75613406131</v>
      </c>
      <c r="G3326" s="3" t="s">
        <v>10584</v>
      </c>
    </row>
    <row r="3327">
      <c r="A3327" s="3" t="s">
        <v>10585</v>
      </c>
      <c r="B3327" s="3" t="s">
        <v>3478</v>
      </c>
      <c r="C3327" s="5" t="s">
        <v>221</v>
      </c>
      <c r="D3327" s="3" t="s">
        <v>181</v>
      </c>
      <c r="E3327" s="3" t="s">
        <v>118</v>
      </c>
      <c r="F3327" s="7">
        <v>45814.75960628353</v>
      </c>
      <c r="G3327" s="3" t="s">
        <v>10587</v>
      </c>
    </row>
    <row r="3328">
      <c r="A3328" s="3" t="s">
        <v>10588</v>
      </c>
      <c r="B3328" s="3" t="s">
        <v>3481</v>
      </c>
      <c r="C3328" s="5" t="s">
        <v>45</v>
      </c>
      <c r="D3328" s="3" t="s">
        <v>221</v>
      </c>
      <c r="E3328" s="3" t="s">
        <v>557</v>
      </c>
      <c r="F3328" s="7">
        <v>45814.827308906715</v>
      </c>
      <c r="G3328" s="3" t="s">
        <v>10273</v>
      </c>
    </row>
    <row r="3329">
      <c r="A3329" s="3" t="s">
        <v>10590</v>
      </c>
      <c r="B3329" s="3" t="s">
        <v>3481</v>
      </c>
      <c r="C3329" s="5" t="s">
        <v>221</v>
      </c>
      <c r="D3329" s="3" t="s">
        <v>614</v>
      </c>
      <c r="E3329" s="3" t="s">
        <v>118</v>
      </c>
      <c r="F3329" s="7">
        <v>45814.830781128934</v>
      </c>
      <c r="G3329" s="3" t="s">
        <v>10592</v>
      </c>
    </row>
    <row r="3330">
      <c r="A3330" s="3" t="s">
        <v>10593</v>
      </c>
      <c r="B3330" s="3" t="s">
        <v>3481</v>
      </c>
      <c r="C3330" s="5" t="s">
        <v>614</v>
      </c>
      <c r="D3330" s="3" t="s">
        <v>206</v>
      </c>
      <c r="E3330" s="3" t="s">
        <v>100</v>
      </c>
      <c r="F3330" s="7">
        <v>45814.83425335116</v>
      </c>
      <c r="G3330" s="3" t="s">
        <v>10595</v>
      </c>
    </row>
    <row r="3331">
      <c r="A3331" s="3" t="s">
        <v>10596</v>
      </c>
      <c r="B3331" s="3" t="s">
        <v>3481</v>
      </c>
      <c r="C3331" s="5" t="s">
        <v>206</v>
      </c>
      <c r="D3331" s="3" t="s">
        <v>68</v>
      </c>
      <c r="E3331" s="3" t="s">
        <v>100</v>
      </c>
      <c r="F3331" s="7">
        <v>45814.83772557338</v>
      </c>
      <c r="G3331" s="3" t="s">
        <v>10597</v>
      </c>
    </row>
    <row r="3332">
      <c r="A3332" s="3" t="s">
        <v>10598</v>
      </c>
      <c r="B3332" s="3" t="s">
        <v>3484</v>
      </c>
      <c r="C3332" s="5" t="s">
        <v>45</v>
      </c>
      <c r="D3332" s="3" t="s">
        <v>221</v>
      </c>
      <c r="E3332" s="3" t="s">
        <v>591</v>
      </c>
      <c r="F3332" s="7">
        <v>45814.898483752135</v>
      </c>
      <c r="G3332" s="3" t="s">
        <v>10600</v>
      </c>
    </row>
    <row r="3333">
      <c r="A3333" s="3" t="s">
        <v>10601</v>
      </c>
      <c r="B3333" s="3" t="s">
        <v>3484</v>
      </c>
      <c r="C3333" s="5" t="s">
        <v>221</v>
      </c>
      <c r="D3333" s="3" t="s">
        <v>614</v>
      </c>
      <c r="E3333" s="3" t="s">
        <v>118</v>
      </c>
      <c r="F3333" s="7">
        <v>45814.901955974354</v>
      </c>
      <c r="G3333" s="3" t="s">
        <v>10603</v>
      </c>
    </row>
    <row r="3334">
      <c r="A3334" s="3" t="s">
        <v>10604</v>
      </c>
      <c r="B3334" s="3" t="s">
        <v>3484</v>
      </c>
      <c r="C3334" s="5" t="s">
        <v>614</v>
      </c>
      <c r="D3334" s="3" t="s">
        <v>206</v>
      </c>
      <c r="E3334" s="3" t="s">
        <v>100</v>
      </c>
      <c r="F3334" s="7">
        <v>45814.90542819658</v>
      </c>
      <c r="G3334" s="3" t="s">
        <v>10606</v>
      </c>
    </row>
    <row r="3335">
      <c r="A3335" s="3" t="s">
        <v>10607</v>
      </c>
      <c r="B3335" s="3" t="s">
        <v>3484</v>
      </c>
      <c r="C3335" s="5" t="s">
        <v>206</v>
      </c>
      <c r="D3335" s="3" t="s">
        <v>68</v>
      </c>
      <c r="E3335" s="3" t="s">
        <v>100</v>
      </c>
      <c r="F3335" s="7">
        <v>45814.9089004188</v>
      </c>
      <c r="G3335" s="3" t="s">
        <v>10608</v>
      </c>
    </row>
    <row r="3336">
      <c r="A3336" s="3" t="s">
        <v>10610</v>
      </c>
      <c r="B3336" s="3" t="s">
        <v>3487</v>
      </c>
      <c r="C3336" s="5" t="s">
        <v>45</v>
      </c>
      <c r="D3336" s="3" t="s">
        <v>221</v>
      </c>
      <c r="E3336" s="3" t="s">
        <v>637</v>
      </c>
      <c r="F3336" s="7">
        <v>45814.969658597554</v>
      </c>
      <c r="G3336" s="3" t="s">
        <v>10611</v>
      </c>
    </row>
    <row r="3337">
      <c r="A3337" s="3" t="s">
        <v>10612</v>
      </c>
      <c r="B3337" s="3" t="s">
        <v>3487</v>
      </c>
      <c r="C3337" s="5" t="s">
        <v>221</v>
      </c>
      <c r="D3337" s="3" t="s">
        <v>614</v>
      </c>
      <c r="E3337" s="3" t="s">
        <v>118</v>
      </c>
      <c r="F3337" s="7">
        <v>45814.97313081977</v>
      </c>
      <c r="G3337" s="3" t="s">
        <v>10614</v>
      </c>
    </row>
    <row r="3338">
      <c r="A3338" s="3" t="s">
        <v>10615</v>
      </c>
      <c r="B3338" s="3" t="s">
        <v>3487</v>
      </c>
      <c r="C3338" s="5" t="s">
        <v>614</v>
      </c>
      <c r="D3338" s="3" t="s">
        <v>206</v>
      </c>
      <c r="E3338" s="3" t="s">
        <v>100</v>
      </c>
      <c r="F3338" s="7">
        <v>45814.976603042</v>
      </c>
      <c r="G3338" s="3" t="s">
        <v>10617</v>
      </c>
    </row>
    <row r="3339">
      <c r="A3339" s="3" t="s">
        <v>10618</v>
      </c>
      <c r="B3339" s="3" t="s">
        <v>3487</v>
      </c>
      <c r="C3339" s="5" t="s">
        <v>206</v>
      </c>
      <c r="D3339" s="3" t="s">
        <v>68</v>
      </c>
      <c r="E3339" s="3" t="s">
        <v>100</v>
      </c>
      <c r="F3339" s="7">
        <v>45814.98007526422</v>
      </c>
      <c r="G3339" s="3" t="s">
        <v>10620</v>
      </c>
    </row>
    <row r="3340">
      <c r="A3340" s="3" t="s">
        <v>10621</v>
      </c>
      <c r="B3340" s="3" t="s">
        <v>3490</v>
      </c>
      <c r="C3340" s="5" t="s">
        <v>45</v>
      </c>
      <c r="D3340" s="3" t="s">
        <v>221</v>
      </c>
      <c r="E3340" s="3" t="s">
        <v>377</v>
      </c>
      <c r="F3340" s="7">
        <v>45815.04083344297</v>
      </c>
      <c r="G3340" s="3" t="s">
        <v>10623</v>
      </c>
    </row>
    <row r="3341">
      <c r="A3341" s="3" t="s">
        <v>10624</v>
      </c>
      <c r="B3341" s="3" t="s">
        <v>3490</v>
      </c>
      <c r="C3341" s="5" t="s">
        <v>221</v>
      </c>
      <c r="D3341" s="3" t="s">
        <v>614</v>
      </c>
      <c r="E3341" s="3" t="s">
        <v>118</v>
      </c>
      <c r="F3341" s="7">
        <v>45815.044305665186</v>
      </c>
      <c r="G3341" s="3" t="s">
        <v>10625</v>
      </c>
    </row>
    <row r="3342">
      <c r="A3342" s="3" t="s">
        <v>10627</v>
      </c>
      <c r="B3342" s="3" t="s">
        <v>3490</v>
      </c>
      <c r="C3342" s="5" t="s">
        <v>614</v>
      </c>
      <c r="D3342" s="3" t="s">
        <v>206</v>
      </c>
      <c r="E3342" s="3" t="s">
        <v>100</v>
      </c>
      <c r="F3342" s="7">
        <v>45815.04777788741</v>
      </c>
      <c r="G3342" s="3" t="s">
        <v>10628</v>
      </c>
    </row>
    <row r="3343">
      <c r="A3343" s="3" t="s">
        <v>10629</v>
      </c>
      <c r="B3343" s="3" t="s">
        <v>3490</v>
      </c>
      <c r="C3343" s="5" t="s">
        <v>206</v>
      </c>
      <c r="D3343" s="3" t="s">
        <v>68</v>
      </c>
      <c r="E3343" s="3" t="s">
        <v>100</v>
      </c>
      <c r="F3343" s="7">
        <v>45815.05125010963</v>
      </c>
      <c r="G3343" s="3" t="s">
        <v>10631</v>
      </c>
    </row>
    <row r="3344">
      <c r="A3344" s="3" t="s">
        <v>10632</v>
      </c>
      <c r="B3344" s="3" t="s">
        <v>3493</v>
      </c>
      <c r="C3344" s="5" t="s">
        <v>45</v>
      </c>
      <c r="D3344" s="3" t="s">
        <v>221</v>
      </c>
      <c r="E3344" s="3" t="s">
        <v>479</v>
      </c>
      <c r="F3344" s="7">
        <v>45815.11200828838</v>
      </c>
      <c r="G3344" s="3" t="s">
        <v>10634</v>
      </c>
    </row>
    <row r="3345">
      <c r="A3345" s="3" t="s">
        <v>10635</v>
      </c>
      <c r="B3345" s="3" t="s">
        <v>3493</v>
      </c>
      <c r="C3345" s="5" t="s">
        <v>221</v>
      </c>
      <c r="D3345" s="3" t="s">
        <v>614</v>
      </c>
      <c r="E3345" s="3" t="s">
        <v>118</v>
      </c>
      <c r="F3345" s="7">
        <v>45815.1154805106</v>
      </c>
      <c r="G3345" s="3" t="s">
        <v>10637</v>
      </c>
    </row>
    <row r="3346">
      <c r="A3346" s="3" t="s">
        <v>10638</v>
      </c>
      <c r="B3346" s="3" t="s">
        <v>3493</v>
      </c>
      <c r="C3346" s="5" t="s">
        <v>614</v>
      </c>
      <c r="D3346" s="3" t="s">
        <v>206</v>
      </c>
      <c r="E3346" s="3" t="s">
        <v>100</v>
      </c>
      <c r="F3346" s="7">
        <v>45815.118952732824</v>
      </c>
      <c r="G3346" s="3" t="s">
        <v>10639</v>
      </c>
    </row>
    <row r="3347">
      <c r="A3347" s="3" t="s">
        <v>10641</v>
      </c>
      <c r="B3347" s="3" t="s">
        <v>3493</v>
      </c>
      <c r="C3347" s="5" t="s">
        <v>206</v>
      </c>
      <c r="D3347" s="3" t="s">
        <v>68</v>
      </c>
      <c r="E3347" s="3" t="s">
        <v>100</v>
      </c>
      <c r="F3347" s="7">
        <v>45815.12242495504</v>
      </c>
      <c r="G3347" s="3" t="s">
        <v>10642</v>
      </c>
    </row>
    <row r="3348">
      <c r="A3348" s="3" t="s">
        <v>10643</v>
      </c>
      <c r="B3348" s="3" t="s">
        <v>3497</v>
      </c>
      <c r="C3348" s="5" t="s">
        <v>45</v>
      </c>
      <c r="D3348" s="3" t="s">
        <v>221</v>
      </c>
      <c r="E3348" s="3" t="s">
        <v>123</v>
      </c>
      <c r="F3348" s="7">
        <v>45815.1831831338</v>
      </c>
      <c r="G3348" s="3" t="s">
        <v>10645</v>
      </c>
    </row>
    <row r="3349">
      <c r="A3349" s="3" t="s">
        <v>10646</v>
      </c>
      <c r="B3349" s="3" t="s">
        <v>3497</v>
      </c>
      <c r="C3349" s="5" t="s">
        <v>221</v>
      </c>
      <c r="D3349" s="3" t="s">
        <v>614</v>
      </c>
      <c r="E3349" s="3" t="s">
        <v>118</v>
      </c>
      <c r="F3349" s="7">
        <v>45815.18665535602</v>
      </c>
      <c r="G3349" s="3" t="s">
        <v>10648</v>
      </c>
    </row>
    <row r="3350">
      <c r="A3350" s="3" t="s">
        <v>10649</v>
      </c>
      <c r="B3350" s="3" t="s">
        <v>3497</v>
      </c>
      <c r="C3350" s="5" t="s">
        <v>614</v>
      </c>
      <c r="D3350" s="3" t="s">
        <v>206</v>
      </c>
      <c r="E3350" s="3" t="s">
        <v>100</v>
      </c>
      <c r="F3350" s="7">
        <v>45815.190127578244</v>
      </c>
      <c r="G3350" s="3" t="s">
        <v>10651</v>
      </c>
    </row>
    <row r="3351">
      <c r="A3351" s="3" t="s">
        <v>10652</v>
      </c>
      <c r="B3351" s="3" t="s">
        <v>3497</v>
      </c>
      <c r="C3351" s="5" t="s">
        <v>206</v>
      </c>
      <c r="D3351" s="3" t="s">
        <v>68</v>
      </c>
      <c r="E3351" s="3" t="s">
        <v>100</v>
      </c>
      <c r="F3351" s="7">
        <v>45815.19359980046</v>
      </c>
      <c r="G3351" s="3" t="s">
        <v>10653</v>
      </c>
    </row>
    <row r="3352">
      <c r="A3352" s="3" t="s">
        <v>10654</v>
      </c>
      <c r="B3352" s="3" t="s">
        <v>3500</v>
      </c>
      <c r="C3352" s="5" t="s">
        <v>45</v>
      </c>
      <c r="D3352" s="3" t="s">
        <v>221</v>
      </c>
      <c r="E3352" s="3" t="s">
        <v>965</v>
      </c>
      <c r="F3352" s="7">
        <v>45815.25435797921</v>
      </c>
      <c r="G3352" s="3" t="s">
        <v>8616</v>
      </c>
    </row>
    <row r="3353">
      <c r="A3353" s="3" t="s">
        <v>10656</v>
      </c>
      <c r="B3353" s="3" t="s">
        <v>3500</v>
      </c>
      <c r="C3353" s="5" t="s">
        <v>221</v>
      </c>
      <c r="D3353" s="3" t="s">
        <v>181</v>
      </c>
      <c r="E3353" s="3" t="s">
        <v>118</v>
      </c>
      <c r="F3353" s="7">
        <v>45815.25783020143</v>
      </c>
      <c r="G3353" s="3" t="s">
        <v>10658</v>
      </c>
    </row>
    <row r="3354">
      <c r="A3354" s="3" t="s">
        <v>10659</v>
      </c>
      <c r="B3354" s="3" t="s">
        <v>3503</v>
      </c>
      <c r="C3354" s="5" t="s">
        <v>45</v>
      </c>
      <c r="D3354" s="3" t="s">
        <v>221</v>
      </c>
      <c r="E3354" s="3" t="s">
        <v>175</v>
      </c>
      <c r="F3354" s="7">
        <v>45815.32553282462</v>
      </c>
      <c r="G3354" s="3" t="s">
        <v>10661</v>
      </c>
    </row>
    <row r="3355">
      <c r="A3355" s="3" t="s">
        <v>10662</v>
      </c>
      <c r="B3355" s="3" t="s">
        <v>3503</v>
      </c>
      <c r="C3355" s="5" t="s">
        <v>221</v>
      </c>
      <c r="D3355" s="3" t="s">
        <v>614</v>
      </c>
      <c r="E3355" s="3" t="s">
        <v>118</v>
      </c>
      <c r="F3355" s="7">
        <v>45815.32900504684</v>
      </c>
      <c r="G3355" s="3" t="s">
        <v>10664</v>
      </c>
    </row>
    <row r="3356">
      <c r="A3356" s="3" t="s">
        <v>10665</v>
      </c>
      <c r="B3356" s="3" t="s">
        <v>3503</v>
      </c>
      <c r="C3356" s="5" t="s">
        <v>614</v>
      </c>
      <c r="D3356" s="3" t="s">
        <v>206</v>
      </c>
      <c r="E3356" s="3" t="s">
        <v>100</v>
      </c>
      <c r="F3356" s="7">
        <v>45815.33247726907</v>
      </c>
      <c r="G3356" s="3" t="s">
        <v>10667</v>
      </c>
    </row>
    <row r="3357">
      <c r="A3357" s="3" t="s">
        <v>10668</v>
      </c>
      <c r="B3357" s="3" t="s">
        <v>3503</v>
      </c>
      <c r="C3357" s="5" t="s">
        <v>206</v>
      </c>
      <c r="D3357" s="3" t="s">
        <v>68</v>
      </c>
      <c r="E3357" s="3" t="s">
        <v>100</v>
      </c>
      <c r="F3357" s="7">
        <v>45815.33594949129</v>
      </c>
      <c r="G3357" s="3" t="s">
        <v>10670</v>
      </c>
    </row>
    <row r="3358">
      <c r="A3358" s="3" t="s">
        <v>10671</v>
      </c>
      <c r="B3358" s="3" t="s">
        <v>3506</v>
      </c>
      <c r="C3358" s="5" t="s">
        <v>45</v>
      </c>
      <c r="D3358" s="3" t="s">
        <v>221</v>
      </c>
      <c r="E3358" s="3" t="s">
        <v>356</v>
      </c>
      <c r="F3358" s="7">
        <v>45815.39670767004</v>
      </c>
      <c r="G3358" s="3" t="s">
        <v>10673</v>
      </c>
    </row>
    <row r="3359">
      <c r="A3359" s="3" t="s">
        <v>10674</v>
      </c>
      <c r="B3359" s="3" t="s">
        <v>3506</v>
      </c>
      <c r="C3359" s="5" t="s">
        <v>221</v>
      </c>
      <c r="D3359" s="3" t="s">
        <v>614</v>
      </c>
      <c r="E3359" s="3" t="s">
        <v>118</v>
      </c>
      <c r="F3359" s="7">
        <v>45815.40017989226</v>
      </c>
      <c r="G3359" s="3" t="s">
        <v>10676</v>
      </c>
    </row>
    <row r="3360">
      <c r="A3360" s="3" t="s">
        <v>10677</v>
      </c>
      <c r="B3360" s="3" t="s">
        <v>3506</v>
      </c>
      <c r="C3360" s="5" t="s">
        <v>614</v>
      </c>
      <c r="D3360" s="3" t="s">
        <v>206</v>
      </c>
      <c r="E3360" s="3" t="s">
        <v>100</v>
      </c>
      <c r="F3360" s="7">
        <v>45815.40365211449</v>
      </c>
      <c r="G3360" s="3" t="s">
        <v>10679</v>
      </c>
    </row>
    <row r="3361">
      <c r="A3361" s="3" t="s">
        <v>10680</v>
      </c>
      <c r="B3361" s="3" t="s">
        <v>3506</v>
      </c>
      <c r="C3361" s="5" t="s">
        <v>206</v>
      </c>
      <c r="D3361" s="3" t="s">
        <v>68</v>
      </c>
      <c r="E3361" s="3" t="s">
        <v>100</v>
      </c>
      <c r="F3361" s="7">
        <v>45815.40712433671</v>
      </c>
      <c r="G3361" s="3" t="s">
        <v>10682</v>
      </c>
    </row>
    <row r="3362">
      <c r="A3362" s="3" t="s">
        <v>10683</v>
      </c>
      <c r="B3362" s="3" t="s">
        <v>3510</v>
      </c>
      <c r="C3362" s="5" t="s">
        <v>45</v>
      </c>
      <c r="D3362" s="3" t="s">
        <v>221</v>
      </c>
      <c r="E3362" s="3" t="s">
        <v>903</v>
      </c>
      <c r="F3362" s="7">
        <v>45815.46788251546</v>
      </c>
      <c r="G3362" s="3" t="s">
        <v>2770</v>
      </c>
    </row>
    <row r="3363">
      <c r="A3363" s="3" t="s">
        <v>10685</v>
      </c>
      <c r="B3363" s="3" t="s">
        <v>3510</v>
      </c>
      <c r="C3363" s="5" t="s">
        <v>221</v>
      </c>
      <c r="D3363" s="3" t="s">
        <v>181</v>
      </c>
      <c r="E3363" s="3" t="s">
        <v>118</v>
      </c>
      <c r="F3363" s="7">
        <v>45815.47135473768</v>
      </c>
      <c r="G3363" s="3" t="s">
        <v>2774</v>
      </c>
    </row>
    <row r="3364">
      <c r="A3364" s="3" t="s">
        <v>10687</v>
      </c>
      <c r="B3364" s="3" t="s">
        <v>3513</v>
      </c>
      <c r="C3364" s="5" t="s">
        <v>45</v>
      </c>
      <c r="D3364" s="3" t="s">
        <v>221</v>
      </c>
      <c r="E3364" s="3" t="s">
        <v>756</v>
      </c>
      <c r="F3364" s="7">
        <v>45815.53905736087</v>
      </c>
      <c r="G3364" s="3" t="s">
        <v>10689</v>
      </c>
    </row>
    <row r="3365">
      <c r="A3365" s="3" t="s">
        <v>10690</v>
      </c>
      <c r="B3365" s="3" t="s">
        <v>3513</v>
      </c>
      <c r="C3365" s="5" t="s">
        <v>221</v>
      </c>
      <c r="D3365" s="3" t="s">
        <v>614</v>
      </c>
      <c r="E3365" s="3" t="s">
        <v>118</v>
      </c>
      <c r="F3365" s="7">
        <v>45815.54252958309</v>
      </c>
      <c r="G3365" s="3" t="s">
        <v>10692</v>
      </c>
    </row>
    <row r="3366">
      <c r="A3366" s="3" t="s">
        <v>10693</v>
      </c>
      <c r="B3366" s="3" t="s">
        <v>3513</v>
      </c>
      <c r="C3366" s="5" t="s">
        <v>614</v>
      </c>
      <c r="D3366" s="3" t="s">
        <v>206</v>
      </c>
      <c r="E3366" s="3" t="s">
        <v>100</v>
      </c>
      <c r="F3366" s="7">
        <v>45815.54600180531</v>
      </c>
      <c r="G3366" s="3" t="s">
        <v>10695</v>
      </c>
    </row>
    <row r="3367">
      <c r="A3367" s="3" t="s">
        <v>10696</v>
      </c>
      <c r="B3367" s="3" t="s">
        <v>3513</v>
      </c>
      <c r="C3367" s="5" t="s">
        <v>206</v>
      </c>
      <c r="D3367" s="3" t="s">
        <v>68</v>
      </c>
      <c r="E3367" s="3" t="s">
        <v>100</v>
      </c>
      <c r="F3367" s="7">
        <v>45815.54947402753</v>
      </c>
      <c r="G3367" s="3" t="s">
        <v>10698</v>
      </c>
    </row>
    <row r="3368">
      <c r="A3368" s="3" t="s">
        <v>10699</v>
      </c>
      <c r="B3368" s="3" t="s">
        <v>3516</v>
      </c>
      <c r="C3368" s="5" t="s">
        <v>45</v>
      </c>
      <c r="D3368" s="3" t="s">
        <v>221</v>
      </c>
      <c r="E3368" s="3" t="s">
        <v>760</v>
      </c>
      <c r="F3368" s="7">
        <v>45815.61023220629</v>
      </c>
      <c r="G3368" s="3" t="s">
        <v>10701</v>
      </c>
    </row>
    <row r="3369">
      <c r="A3369" s="3" t="s">
        <v>10702</v>
      </c>
      <c r="B3369" s="3" t="s">
        <v>3516</v>
      </c>
      <c r="C3369" s="5" t="s">
        <v>221</v>
      </c>
      <c r="D3369" s="3" t="s">
        <v>614</v>
      </c>
      <c r="E3369" s="3" t="s">
        <v>118</v>
      </c>
      <c r="F3369" s="7">
        <v>45815.613704428506</v>
      </c>
      <c r="G3369" s="3" t="s">
        <v>10703</v>
      </c>
    </row>
    <row r="3370">
      <c r="A3370" s="3" t="s">
        <v>10704</v>
      </c>
      <c r="B3370" s="3" t="s">
        <v>3516</v>
      </c>
      <c r="C3370" s="5" t="s">
        <v>614</v>
      </c>
      <c r="D3370" s="3" t="s">
        <v>206</v>
      </c>
      <c r="E3370" s="3" t="s">
        <v>100</v>
      </c>
      <c r="F3370" s="7">
        <v>45815.61717665073</v>
      </c>
      <c r="G3370" s="3" t="s">
        <v>10706</v>
      </c>
    </row>
    <row r="3371">
      <c r="A3371" s="3" t="s">
        <v>10707</v>
      </c>
      <c r="B3371" s="3" t="s">
        <v>3516</v>
      </c>
      <c r="C3371" s="5" t="s">
        <v>206</v>
      </c>
      <c r="D3371" s="3" t="s">
        <v>68</v>
      </c>
      <c r="E3371" s="3" t="s">
        <v>100</v>
      </c>
      <c r="F3371" s="7">
        <v>45815.62064887295</v>
      </c>
      <c r="G3371" s="3" t="s">
        <v>10709</v>
      </c>
    </row>
    <row r="3372">
      <c r="A3372" s="3" t="s">
        <v>10710</v>
      </c>
      <c r="B3372" s="3" t="s">
        <v>3519</v>
      </c>
      <c r="C3372" s="5" t="s">
        <v>45</v>
      </c>
      <c r="D3372" s="3" t="s">
        <v>221</v>
      </c>
      <c r="E3372" s="3" t="s">
        <v>949</v>
      </c>
      <c r="F3372" s="7">
        <v>45815.6814070517</v>
      </c>
      <c r="G3372" s="3" t="s">
        <v>10712</v>
      </c>
    </row>
    <row r="3373">
      <c r="A3373" s="3" t="s">
        <v>10713</v>
      </c>
      <c r="B3373" s="3" t="s">
        <v>3519</v>
      </c>
      <c r="C3373" s="5" t="s">
        <v>221</v>
      </c>
      <c r="D3373" s="3" t="s">
        <v>614</v>
      </c>
      <c r="E3373" s="3" t="s">
        <v>118</v>
      </c>
      <c r="F3373" s="7">
        <v>45815.68487927392</v>
      </c>
      <c r="G3373" s="3" t="s">
        <v>10714</v>
      </c>
    </row>
    <row r="3374">
      <c r="A3374" s="3" t="s">
        <v>10716</v>
      </c>
      <c r="B3374" s="3" t="s">
        <v>3519</v>
      </c>
      <c r="C3374" s="5" t="s">
        <v>614</v>
      </c>
      <c r="D3374" s="3" t="s">
        <v>206</v>
      </c>
      <c r="E3374" s="3" t="s">
        <v>100</v>
      </c>
      <c r="F3374" s="7">
        <v>45815.688351496145</v>
      </c>
      <c r="G3374" s="3" t="s">
        <v>10717</v>
      </c>
    </row>
    <row r="3375">
      <c r="A3375" s="3" t="s">
        <v>10718</v>
      </c>
      <c r="B3375" s="3" t="s">
        <v>3519</v>
      </c>
      <c r="C3375" s="5" t="s">
        <v>206</v>
      </c>
      <c r="D3375" s="3" t="s">
        <v>68</v>
      </c>
      <c r="E3375" s="3" t="s">
        <v>100</v>
      </c>
      <c r="F3375" s="7">
        <v>45815.69182371836</v>
      </c>
      <c r="G3375" s="3" t="s">
        <v>10721</v>
      </c>
    </row>
    <row r="3376">
      <c r="A3376" s="3" t="s">
        <v>10722</v>
      </c>
      <c r="B3376" s="3" t="s">
        <v>3522</v>
      </c>
      <c r="C3376" s="5" t="s">
        <v>45</v>
      </c>
      <c r="D3376" s="3" t="s">
        <v>221</v>
      </c>
      <c r="E3376" s="3" t="s">
        <v>159</v>
      </c>
      <c r="F3376" s="7">
        <v>45815.75258189712</v>
      </c>
      <c r="G3376" s="3" t="s">
        <v>8901</v>
      </c>
    </row>
    <row r="3377">
      <c r="A3377" s="3" t="s">
        <v>10725</v>
      </c>
      <c r="B3377" s="3" t="s">
        <v>3522</v>
      </c>
      <c r="C3377" s="5" t="s">
        <v>221</v>
      </c>
      <c r="D3377" s="3" t="s">
        <v>614</v>
      </c>
      <c r="E3377" s="3" t="s">
        <v>118</v>
      </c>
      <c r="F3377" s="7">
        <v>45815.75605411934</v>
      </c>
      <c r="G3377" s="3" t="s">
        <v>8904</v>
      </c>
    </row>
    <row r="3378">
      <c r="A3378" s="3" t="s">
        <v>10726</v>
      </c>
      <c r="B3378" s="3" t="s">
        <v>3522</v>
      </c>
      <c r="C3378" s="5" t="s">
        <v>614</v>
      </c>
      <c r="D3378" s="3" t="s">
        <v>206</v>
      </c>
      <c r="E3378" s="3" t="s">
        <v>100</v>
      </c>
      <c r="F3378" s="7">
        <v>45815.759526341564</v>
      </c>
      <c r="G3378" s="3" t="s">
        <v>8907</v>
      </c>
    </row>
    <row r="3379">
      <c r="A3379" s="3" t="s">
        <v>10728</v>
      </c>
      <c r="B3379" s="3" t="s">
        <v>3522</v>
      </c>
      <c r="C3379" s="5" t="s">
        <v>206</v>
      </c>
      <c r="D3379" s="3" t="s">
        <v>68</v>
      </c>
      <c r="E3379" s="3" t="s">
        <v>100</v>
      </c>
      <c r="F3379" s="7">
        <v>45815.76299856378</v>
      </c>
      <c r="G3379" s="3" t="s">
        <v>8910</v>
      </c>
    </row>
    <row r="3380">
      <c r="A3380" s="3" t="s">
        <v>10730</v>
      </c>
      <c r="B3380" s="3" t="s">
        <v>3525</v>
      </c>
      <c r="C3380" s="5" t="s">
        <v>45</v>
      </c>
      <c r="D3380" s="3" t="s">
        <v>221</v>
      </c>
      <c r="E3380" s="3" t="s">
        <v>293</v>
      </c>
      <c r="F3380" s="7">
        <v>45815.82375674253</v>
      </c>
      <c r="G3380" s="3" t="s">
        <v>10732</v>
      </c>
    </row>
    <row r="3381">
      <c r="A3381" s="3" t="s">
        <v>10733</v>
      </c>
      <c r="B3381" s="3" t="s">
        <v>3525</v>
      </c>
      <c r="C3381" s="5" t="s">
        <v>221</v>
      </c>
      <c r="D3381" s="3" t="s">
        <v>195</v>
      </c>
      <c r="E3381" s="3" t="s">
        <v>293</v>
      </c>
      <c r="F3381" s="7">
        <v>45815.82722896475</v>
      </c>
      <c r="G3381" s="3" t="s">
        <v>10735</v>
      </c>
    </row>
    <row r="3382">
      <c r="A3382" s="3" t="s">
        <v>10736</v>
      </c>
      <c r="B3382" s="3" t="s">
        <v>3529</v>
      </c>
      <c r="C3382" s="5" t="s">
        <v>45</v>
      </c>
      <c r="D3382" s="3" t="s">
        <v>221</v>
      </c>
      <c r="E3382" s="3" t="s">
        <v>713</v>
      </c>
      <c r="F3382" s="7">
        <v>45815.89493158795</v>
      </c>
      <c r="G3382" s="3" t="s">
        <v>10738</v>
      </c>
    </row>
    <row r="3383">
      <c r="A3383" s="3" t="s">
        <v>10739</v>
      </c>
      <c r="B3383" s="3" t="s">
        <v>3529</v>
      </c>
      <c r="C3383" s="5" t="s">
        <v>221</v>
      </c>
      <c r="D3383" s="3" t="s">
        <v>195</v>
      </c>
      <c r="E3383" s="3" t="s">
        <v>713</v>
      </c>
      <c r="F3383" s="7">
        <v>45815.89840381017</v>
      </c>
      <c r="G3383" s="3" t="s">
        <v>10740</v>
      </c>
    </row>
    <row r="3384">
      <c r="A3384" s="3" t="s">
        <v>10742</v>
      </c>
      <c r="B3384" s="3" t="s">
        <v>3533</v>
      </c>
      <c r="C3384" s="5" t="s">
        <v>45</v>
      </c>
      <c r="D3384" s="3" t="s">
        <v>221</v>
      </c>
      <c r="E3384" s="3" t="s">
        <v>722</v>
      </c>
      <c r="F3384" s="7">
        <v>45815.96610643336</v>
      </c>
      <c r="G3384" s="3" t="s">
        <v>10743</v>
      </c>
    </row>
    <row r="3385">
      <c r="A3385" s="3" t="s">
        <v>10744</v>
      </c>
      <c r="B3385" s="3" t="s">
        <v>3533</v>
      </c>
      <c r="C3385" s="5" t="s">
        <v>221</v>
      </c>
      <c r="D3385" s="3" t="s">
        <v>614</v>
      </c>
      <c r="E3385" s="3" t="s">
        <v>118</v>
      </c>
      <c r="F3385" s="7">
        <v>45815.96957865558</v>
      </c>
      <c r="G3385" s="3" t="s">
        <v>10746</v>
      </c>
    </row>
    <row r="3386">
      <c r="A3386" s="3" t="s">
        <v>10747</v>
      </c>
      <c r="B3386" s="3" t="s">
        <v>3533</v>
      </c>
      <c r="C3386" s="5" t="s">
        <v>614</v>
      </c>
      <c r="D3386" s="3" t="s">
        <v>206</v>
      </c>
      <c r="E3386" s="3" t="s">
        <v>100</v>
      </c>
      <c r="F3386" s="7">
        <v>45815.97305087781</v>
      </c>
      <c r="G3386" s="3" t="s">
        <v>10749</v>
      </c>
    </row>
    <row r="3387">
      <c r="A3387" s="3" t="s">
        <v>10750</v>
      </c>
      <c r="B3387" s="3" t="s">
        <v>3533</v>
      </c>
      <c r="C3387" s="5" t="s">
        <v>206</v>
      </c>
      <c r="D3387" s="3" t="s">
        <v>68</v>
      </c>
      <c r="E3387" s="3" t="s">
        <v>100</v>
      </c>
      <c r="F3387" s="7">
        <v>45815.97652310003</v>
      </c>
      <c r="G3387" s="3" t="s">
        <v>10751</v>
      </c>
    </row>
    <row r="3388">
      <c r="A3388" s="3" t="s">
        <v>10752</v>
      </c>
      <c r="B3388" s="3" t="s">
        <v>3536</v>
      </c>
      <c r="C3388" s="5" t="s">
        <v>45</v>
      </c>
      <c r="D3388" s="3" t="s">
        <v>221</v>
      </c>
      <c r="E3388" s="3" t="s">
        <v>943</v>
      </c>
      <c r="F3388" s="7">
        <v>45816.037281278775</v>
      </c>
      <c r="G3388" s="3" t="s">
        <v>8151</v>
      </c>
    </row>
    <row r="3389">
      <c r="A3389" s="3" t="s">
        <v>10753</v>
      </c>
      <c r="B3389" s="3" t="s">
        <v>3536</v>
      </c>
      <c r="C3389" s="5" t="s">
        <v>221</v>
      </c>
      <c r="D3389" s="3" t="s">
        <v>195</v>
      </c>
      <c r="E3389" s="3" t="s">
        <v>943</v>
      </c>
      <c r="F3389" s="7">
        <v>45816.040753500994</v>
      </c>
      <c r="G3389" s="3" t="s">
        <v>10755</v>
      </c>
    </row>
    <row r="3390">
      <c r="A3390" s="3" t="s">
        <v>10756</v>
      </c>
      <c r="B3390" s="3" t="s">
        <v>3539</v>
      </c>
      <c r="C3390" s="5" t="s">
        <v>45</v>
      </c>
      <c r="D3390" s="3" t="s">
        <v>221</v>
      </c>
      <c r="E3390" s="3" t="s">
        <v>895</v>
      </c>
      <c r="F3390" s="7">
        <v>45816.108456124195</v>
      </c>
      <c r="G3390" s="3" t="s">
        <v>10758</v>
      </c>
    </row>
    <row r="3391">
      <c r="A3391" s="3" t="s">
        <v>10759</v>
      </c>
      <c r="B3391" s="3" t="s">
        <v>3539</v>
      </c>
      <c r="C3391" s="5" t="s">
        <v>221</v>
      </c>
      <c r="D3391" s="3" t="s">
        <v>614</v>
      </c>
      <c r="E3391" s="3" t="s">
        <v>118</v>
      </c>
      <c r="F3391" s="7">
        <v>45816.111928346414</v>
      </c>
      <c r="G3391" s="3" t="s">
        <v>10761</v>
      </c>
    </row>
    <row r="3392">
      <c r="A3392" s="3" t="s">
        <v>10762</v>
      </c>
      <c r="B3392" s="3" t="s">
        <v>3539</v>
      </c>
      <c r="C3392" s="5" t="s">
        <v>614</v>
      </c>
      <c r="D3392" s="3" t="s">
        <v>206</v>
      </c>
      <c r="E3392" s="3" t="s">
        <v>100</v>
      </c>
      <c r="F3392" s="7">
        <v>45816.11540056864</v>
      </c>
      <c r="G3392" s="3" t="s">
        <v>10763</v>
      </c>
    </row>
    <row r="3393">
      <c r="A3393" s="3" t="s">
        <v>10765</v>
      </c>
      <c r="B3393" s="3" t="s">
        <v>3539</v>
      </c>
      <c r="C3393" s="5" t="s">
        <v>206</v>
      </c>
      <c r="D3393" s="3" t="s">
        <v>68</v>
      </c>
      <c r="E3393" s="3" t="s">
        <v>100</v>
      </c>
      <c r="F3393" s="7">
        <v>45816.11887279086</v>
      </c>
      <c r="G3393" s="3" t="s">
        <v>10766</v>
      </c>
    </row>
    <row r="3394">
      <c r="A3394" s="3" t="s">
        <v>10767</v>
      </c>
      <c r="B3394" s="3" t="s">
        <v>3542</v>
      </c>
      <c r="C3394" s="5" t="s">
        <v>45</v>
      </c>
      <c r="D3394" s="3" t="s">
        <v>221</v>
      </c>
      <c r="E3394" s="3" t="s">
        <v>574</v>
      </c>
      <c r="F3394" s="7">
        <v>45816.17963096961</v>
      </c>
      <c r="G3394" s="3" t="s">
        <v>10769</v>
      </c>
    </row>
    <row r="3395">
      <c r="A3395" s="3" t="s">
        <v>10770</v>
      </c>
      <c r="B3395" s="3" t="s">
        <v>3542</v>
      </c>
      <c r="C3395" s="5" t="s">
        <v>221</v>
      </c>
      <c r="D3395" s="3" t="s">
        <v>614</v>
      </c>
      <c r="E3395" s="3" t="s">
        <v>118</v>
      </c>
      <c r="F3395" s="7">
        <v>45816.18310319183</v>
      </c>
      <c r="G3395" s="3" t="s">
        <v>10772</v>
      </c>
    </row>
    <row r="3396">
      <c r="A3396" s="3" t="s">
        <v>10773</v>
      </c>
      <c r="B3396" s="3" t="s">
        <v>3542</v>
      </c>
      <c r="C3396" s="5" t="s">
        <v>614</v>
      </c>
      <c r="D3396" s="3" t="s">
        <v>206</v>
      </c>
      <c r="E3396" s="3" t="s">
        <v>100</v>
      </c>
      <c r="F3396" s="7">
        <v>45816.18657541405</v>
      </c>
      <c r="G3396" s="3" t="s">
        <v>10775</v>
      </c>
    </row>
    <row r="3397">
      <c r="A3397" s="3" t="s">
        <v>10776</v>
      </c>
      <c r="B3397" s="3" t="s">
        <v>3542</v>
      </c>
      <c r="C3397" s="5" t="s">
        <v>206</v>
      </c>
      <c r="D3397" s="3" t="s">
        <v>68</v>
      </c>
      <c r="E3397" s="3" t="s">
        <v>100</v>
      </c>
      <c r="F3397" s="7">
        <v>45816.19004763627</v>
      </c>
      <c r="G3397" s="3" t="s">
        <v>10778</v>
      </c>
    </row>
    <row r="3398">
      <c r="A3398" s="3" t="s">
        <v>10779</v>
      </c>
      <c r="B3398" s="3" t="s">
        <v>3546</v>
      </c>
      <c r="C3398" s="5" t="s">
        <v>45</v>
      </c>
      <c r="D3398" s="3" t="s">
        <v>221</v>
      </c>
      <c r="E3398" s="3" t="s">
        <v>491</v>
      </c>
      <c r="F3398" s="7">
        <v>45816.25080581502</v>
      </c>
      <c r="G3398" s="3" t="s">
        <v>10781</v>
      </c>
    </row>
    <row r="3399">
      <c r="A3399" s="3" t="s">
        <v>10782</v>
      </c>
      <c r="B3399" s="3" t="s">
        <v>3546</v>
      </c>
      <c r="C3399" s="5" t="s">
        <v>221</v>
      </c>
      <c r="D3399" s="3" t="s">
        <v>614</v>
      </c>
      <c r="E3399" s="3" t="s">
        <v>118</v>
      </c>
      <c r="F3399" s="7">
        <v>45816.25427803724</v>
      </c>
      <c r="G3399" s="3" t="s">
        <v>10784</v>
      </c>
    </row>
    <row r="3400">
      <c r="A3400" s="3" t="s">
        <v>10785</v>
      </c>
      <c r="B3400" s="3" t="s">
        <v>3546</v>
      </c>
      <c r="C3400" s="5" t="s">
        <v>614</v>
      </c>
      <c r="D3400" s="3" t="s">
        <v>206</v>
      </c>
      <c r="E3400" s="3" t="s">
        <v>100</v>
      </c>
      <c r="F3400" s="7">
        <v>45816.257750259465</v>
      </c>
      <c r="G3400" s="3" t="s">
        <v>10786</v>
      </c>
    </row>
    <row r="3401">
      <c r="A3401" s="3" t="s">
        <v>10788</v>
      </c>
      <c r="B3401" s="3" t="s">
        <v>3546</v>
      </c>
      <c r="C3401" s="5" t="s">
        <v>206</v>
      </c>
      <c r="D3401" s="3" t="s">
        <v>68</v>
      </c>
      <c r="E3401" s="3" t="s">
        <v>100</v>
      </c>
      <c r="F3401" s="7">
        <v>45816.261222481684</v>
      </c>
      <c r="G3401" s="3" t="s">
        <v>10789</v>
      </c>
    </row>
    <row r="3402">
      <c r="A3402" s="3" t="s">
        <v>10791</v>
      </c>
      <c r="B3402" s="3" t="s">
        <v>3549</v>
      </c>
      <c r="C3402" s="5" t="s">
        <v>45</v>
      </c>
      <c r="D3402" s="3" t="s">
        <v>221</v>
      </c>
      <c r="E3402" s="3" t="s">
        <v>524</v>
      </c>
      <c r="F3402" s="7">
        <v>45816.32198066044</v>
      </c>
      <c r="G3402" s="3" t="s">
        <v>10793</v>
      </c>
    </row>
    <row r="3403">
      <c r="A3403" s="3" t="s">
        <v>10794</v>
      </c>
      <c r="B3403" s="3" t="s">
        <v>3549</v>
      </c>
      <c r="C3403" s="5" t="s">
        <v>221</v>
      </c>
      <c r="D3403" s="3" t="s">
        <v>614</v>
      </c>
      <c r="E3403" s="3" t="s">
        <v>118</v>
      </c>
      <c r="F3403" s="7">
        <v>45816.32545288266</v>
      </c>
      <c r="G3403" s="3" t="s">
        <v>10796</v>
      </c>
    </row>
    <row r="3404">
      <c r="A3404" s="3" t="s">
        <v>10797</v>
      </c>
      <c r="B3404" s="3" t="s">
        <v>3549</v>
      </c>
      <c r="C3404" s="5" t="s">
        <v>614</v>
      </c>
      <c r="D3404" s="3" t="s">
        <v>206</v>
      </c>
      <c r="E3404" s="3" t="s">
        <v>100</v>
      </c>
      <c r="F3404" s="7">
        <v>45816.328925104885</v>
      </c>
      <c r="G3404" s="3" t="s">
        <v>10799</v>
      </c>
    </row>
    <row r="3405">
      <c r="A3405" s="3" t="s">
        <v>10800</v>
      </c>
      <c r="B3405" s="3" t="s">
        <v>3549</v>
      </c>
      <c r="C3405" s="5" t="s">
        <v>206</v>
      </c>
      <c r="D3405" s="3" t="s">
        <v>68</v>
      </c>
      <c r="E3405" s="3" t="s">
        <v>100</v>
      </c>
      <c r="F3405" s="7">
        <v>45816.3323973271</v>
      </c>
      <c r="G3405" s="3" t="s">
        <v>10802</v>
      </c>
    </row>
    <row r="3406">
      <c r="A3406" s="3" t="s">
        <v>10803</v>
      </c>
      <c r="B3406" s="3" t="s">
        <v>3552</v>
      </c>
      <c r="C3406" s="5" t="s">
        <v>45</v>
      </c>
      <c r="D3406" s="3" t="s">
        <v>221</v>
      </c>
      <c r="E3406" s="3" t="s">
        <v>230</v>
      </c>
      <c r="F3406" s="7">
        <v>45816.39315550585</v>
      </c>
      <c r="G3406" s="3" t="s">
        <v>10805</v>
      </c>
    </row>
    <row r="3407">
      <c r="A3407" s="3" t="s">
        <v>10806</v>
      </c>
      <c r="B3407" s="3" t="s">
        <v>3552</v>
      </c>
      <c r="C3407" s="5" t="s">
        <v>221</v>
      </c>
      <c r="D3407" s="3" t="s">
        <v>181</v>
      </c>
      <c r="E3407" s="3" t="s">
        <v>118</v>
      </c>
      <c r="F3407" s="7">
        <v>45816.39662772807</v>
      </c>
      <c r="G3407" s="3" t="s">
        <v>10807</v>
      </c>
    </row>
    <row r="3408">
      <c r="A3408" s="3" t="s">
        <v>10809</v>
      </c>
      <c r="B3408" s="3" t="s">
        <v>3555</v>
      </c>
      <c r="C3408" s="5" t="s">
        <v>45</v>
      </c>
      <c r="D3408" s="3" t="s">
        <v>221</v>
      </c>
      <c r="E3408" s="3" t="s">
        <v>226</v>
      </c>
      <c r="F3408" s="7">
        <v>45816.464330351264</v>
      </c>
      <c r="G3408" s="3" t="s">
        <v>10810</v>
      </c>
    </row>
    <row r="3409">
      <c r="A3409" s="3" t="s">
        <v>10812</v>
      </c>
      <c r="B3409" s="3" t="s">
        <v>3555</v>
      </c>
      <c r="C3409" s="5" t="s">
        <v>221</v>
      </c>
      <c r="D3409" s="3" t="s">
        <v>614</v>
      </c>
      <c r="E3409" s="3" t="s">
        <v>118</v>
      </c>
      <c r="F3409" s="7">
        <v>45816.46780257348</v>
      </c>
      <c r="G3409" s="3" t="s">
        <v>10813</v>
      </c>
    </row>
    <row r="3410">
      <c r="A3410" s="3" t="s">
        <v>10814</v>
      </c>
      <c r="B3410" s="3" t="s">
        <v>3555</v>
      </c>
      <c r="C3410" s="5" t="s">
        <v>614</v>
      </c>
      <c r="D3410" s="3" t="s">
        <v>206</v>
      </c>
      <c r="E3410" s="3" t="s">
        <v>100</v>
      </c>
      <c r="F3410" s="7">
        <v>45816.47127479571</v>
      </c>
      <c r="G3410" s="3" t="s">
        <v>10816</v>
      </c>
    </row>
    <row r="3411">
      <c r="A3411" s="3" t="s">
        <v>10817</v>
      </c>
      <c r="B3411" s="3" t="s">
        <v>3555</v>
      </c>
      <c r="C3411" s="5" t="s">
        <v>206</v>
      </c>
      <c r="D3411" s="3" t="s">
        <v>68</v>
      </c>
      <c r="E3411" s="3" t="s">
        <v>100</v>
      </c>
      <c r="F3411" s="7">
        <v>45816.47474701793</v>
      </c>
      <c r="G3411" s="3" t="s">
        <v>10819</v>
      </c>
    </row>
    <row r="3412">
      <c r="A3412" s="3" t="s">
        <v>10820</v>
      </c>
      <c r="B3412" s="3" t="s">
        <v>3558</v>
      </c>
      <c r="C3412" s="5" t="s">
        <v>45</v>
      </c>
      <c r="D3412" s="3" t="s">
        <v>221</v>
      </c>
      <c r="E3412" s="3" t="s">
        <v>330</v>
      </c>
      <c r="F3412" s="7">
        <v>45816.53550519668</v>
      </c>
      <c r="G3412" s="3" t="s">
        <v>10822</v>
      </c>
    </row>
    <row r="3413">
      <c r="A3413" s="3" t="s">
        <v>10823</v>
      </c>
      <c r="B3413" s="3" t="s">
        <v>3558</v>
      </c>
      <c r="C3413" s="5" t="s">
        <v>221</v>
      </c>
      <c r="D3413" s="3" t="s">
        <v>614</v>
      </c>
      <c r="E3413" s="3" t="s">
        <v>118</v>
      </c>
      <c r="F3413" s="7">
        <v>45816.5389774189</v>
      </c>
      <c r="G3413" s="3" t="s">
        <v>10824</v>
      </c>
    </row>
    <row r="3414">
      <c r="A3414" s="3" t="s">
        <v>10825</v>
      </c>
      <c r="B3414" s="3" t="s">
        <v>3558</v>
      </c>
      <c r="C3414" s="5" t="s">
        <v>614</v>
      </c>
      <c r="D3414" s="3" t="s">
        <v>206</v>
      </c>
      <c r="E3414" s="3" t="s">
        <v>100</v>
      </c>
      <c r="F3414" s="7">
        <v>45816.54244964113</v>
      </c>
      <c r="G3414" s="3" t="s">
        <v>10827</v>
      </c>
    </row>
    <row r="3415">
      <c r="A3415" s="3" t="s">
        <v>10828</v>
      </c>
      <c r="B3415" s="3" t="s">
        <v>3558</v>
      </c>
      <c r="C3415" s="5" t="s">
        <v>206</v>
      </c>
      <c r="D3415" s="3" t="s">
        <v>68</v>
      </c>
      <c r="E3415" s="3" t="s">
        <v>100</v>
      </c>
      <c r="F3415" s="7">
        <v>45816.54592186335</v>
      </c>
      <c r="G3415" s="3" t="s">
        <v>10830</v>
      </c>
    </row>
    <row r="3416">
      <c r="A3416" s="3" t="s">
        <v>10831</v>
      </c>
      <c r="B3416" s="3" t="s">
        <v>3559</v>
      </c>
      <c r="C3416" s="5" t="s">
        <v>45</v>
      </c>
      <c r="D3416" s="3" t="s">
        <v>221</v>
      </c>
      <c r="E3416" s="3" t="s">
        <v>411</v>
      </c>
      <c r="F3416" s="7">
        <v>45816.6066800421</v>
      </c>
      <c r="G3416" s="3" t="s">
        <v>10833</v>
      </c>
    </row>
    <row r="3417">
      <c r="A3417" s="3" t="s">
        <v>10834</v>
      </c>
      <c r="B3417" s="3" t="s">
        <v>3559</v>
      </c>
      <c r="C3417" s="5" t="s">
        <v>221</v>
      </c>
      <c r="D3417" s="3" t="s">
        <v>614</v>
      </c>
      <c r="E3417" s="3" t="s">
        <v>118</v>
      </c>
      <c r="F3417" s="7">
        <v>45816.61015226432</v>
      </c>
      <c r="G3417" s="3" t="s">
        <v>10836</v>
      </c>
    </row>
    <row r="3418">
      <c r="A3418" s="3" t="s">
        <v>10837</v>
      </c>
      <c r="B3418" s="3" t="s">
        <v>3559</v>
      </c>
      <c r="C3418" s="5" t="s">
        <v>614</v>
      </c>
      <c r="D3418" s="3" t="s">
        <v>206</v>
      </c>
      <c r="E3418" s="3" t="s">
        <v>100</v>
      </c>
      <c r="F3418" s="7">
        <v>45816.61362448655</v>
      </c>
      <c r="G3418" s="3" t="s">
        <v>10838</v>
      </c>
    </row>
    <row r="3419">
      <c r="A3419" s="3" t="s">
        <v>10840</v>
      </c>
      <c r="B3419" s="3" t="s">
        <v>3559</v>
      </c>
      <c r="C3419" s="5" t="s">
        <v>206</v>
      </c>
      <c r="D3419" s="3" t="s">
        <v>68</v>
      </c>
      <c r="E3419" s="3" t="s">
        <v>100</v>
      </c>
      <c r="F3419" s="7">
        <v>45816.61709670877</v>
      </c>
      <c r="G3419" s="3" t="s">
        <v>10841</v>
      </c>
    </row>
    <row r="3420">
      <c r="A3420" s="3" t="s">
        <v>10842</v>
      </c>
      <c r="B3420" s="3" t="s">
        <v>3561</v>
      </c>
      <c r="C3420" s="5" t="s">
        <v>45</v>
      </c>
      <c r="D3420" s="3" t="s">
        <v>221</v>
      </c>
      <c r="E3420" s="3" t="s">
        <v>440</v>
      </c>
      <c r="F3420" s="7">
        <v>45816.67785488751</v>
      </c>
      <c r="G3420" s="3" t="s">
        <v>10844</v>
      </c>
    </row>
    <row r="3421">
      <c r="A3421" s="3" t="s">
        <v>10845</v>
      </c>
      <c r="B3421" s="3" t="s">
        <v>3561</v>
      </c>
      <c r="C3421" s="5" t="s">
        <v>221</v>
      </c>
      <c r="D3421" s="3" t="s">
        <v>614</v>
      </c>
      <c r="E3421" s="3" t="s">
        <v>118</v>
      </c>
      <c r="F3421" s="7">
        <v>45816.68132710973</v>
      </c>
      <c r="G3421" s="3" t="s">
        <v>10847</v>
      </c>
    </row>
    <row r="3422">
      <c r="A3422" s="3" t="s">
        <v>10848</v>
      </c>
      <c r="B3422" s="3" t="s">
        <v>3561</v>
      </c>
      <c r="C3422" s="5" t="s">
        <v>614</v>
      </c>
      <c r="D3422" s="3" t="s">
        <v>206</v>
      </c>
      <c r="E3422" s="3" t="s">
        <v>100</v>
      </c>
      <c r="F3422" s="7">
        <v>45816.68479933195</v>
      </c>
      <c r="G3422" s="3" t="s">
        <v>10850</v>
      </c>
    </row>
    <row r="3423">
      <c r="A3423" s="3" t="s">
        <v>10851</v>
      </c>
      <c r="B3423" s="3" t="s">
        <v>3561</v>
      </c>
      <c r="C3423" s="5" t="s">
        <v>206</v>
      </c>
      <c r="D3423" s="3" t="s">
        <v>68</v>
      </c>
      <c r="E3423" s="3" t="s">
        <v>100</v>
      </c>
      <c r="F3423" s="7">
        <v>45816.68827155417</v>
      </c>
      <c r="G3423" s="3" t="s">
        <v>10853</v>
      </c>
    </row>
    <row r="3424">
      <c r="A3424" s="3" t="s">
        <v>10854</v>
      </c>
      <c r="B3424" s="3" t="s">
        <v>3565</v>
      </c>
      <c r="C3424" s="5" t="s">
        <v>45</v>
      </c>
      <c r="D3424" s="3" t="s">
        <v>221</v>
      </c>
      <c r="E3424" s="3" t="s">
        <v>569</v>
      </c>
      <c r="F3424" s="7">
        <v>45816.74902973293</v>
      </c>
      <c r="G3424" s="3" t="s">
        <v>10855</v>
      </c>
    </row>
    <row r="3425">
      <c r="A3425" s="3" t="s">
        <v>10856</v>
      </c>
      <c r="B3425" s="3" t="s">
        <v>3565</v>
      </c>
      <c r="C3425" s="5" t="s">
        <v>221</v>
      </c>
      <c r="D3425" s="3" t="s">
        <v>614</v>
      </c>
      <c r="E3425" s="3" t="s">
        <v>118</v>
      </c>
      <c r="F3425" s="7">
        <v>45816.75250195515</v>
      </c>
      <c r="G3425" s="3" t="s">
        <v>10858</v>
      </c>
    </row>
    <row r="3426">
      <c r="A3426" s="3" t="s">
        <v>10859</v>
      </c>
      <c r="B3426" s="3" t="s">
        <v>3565</v>
      </c>
      <c r="C3426" s="5" t="s">
        <v>614</v>
      </c>
      <c r="D3426" s="3" t="s">
        <v>206</v>
      </c>
      <c r="E3426" s="3" t="s">
        <v>100</v>
      </c>
      <c r="F3426" s="7">
        <v>45816.75597417737</v>
      </c>
      <c r="G3426" s="3" t="s">
        <v>10861</v>
      </c>
    </row>
    <row r="3427">
      <c r="A3427" s="3" t="s">
        <v>10862</v>
      </c>
      <c r="B3427" s="3" t="s">
        <v>3565</v>
      </c>
      <c r="C3427" s="5" t="s">
        <v>206</v>
      </c>
      <c r="D3427" s="3" t="s">
        <v>68</v>
      </c>
      <c r="E3427" s="3" t="s">
        <v>100</v>
      </c>
      <c r="F3427" s="7">
        <v>45816.75944639959</v>
      </c>
      <c r="G3427" s="3" t="s">
        <v>10864</v>
      </c>
    </row>
    <row r="3428">
      <c r="A3428" s="3" t="s">
        <v>10865</v>
      </c>
      <c r="B3428" s="3" t="s">
        <v>3568</v>
      </c>
      <c r="C3428" s="5" t="s">
        <v>45</v>
      </c>
      <c r="D3428" s="3" t="s">
        <v>221</v>
      </c>
      <c r="E3428" s="3" t="s">
        <v>453</v>
      </c>
      <c r="F3428" s="7">
        <v>45816.82020457835</v>
      </c>
      <c r="G3428" s="3" t="s">
        <v>4448</v>
      </c>
    </row>
    <row r="3429">
      <c r="A3429" s="3" t="s">
        <v>10867</v>
      </c>
      <c r="B3429" s="3" t="s">
        <v>3568</v>
      </c>
      <c r="C3429" s="5" t="s">
        <v>221</v>
      </c>
      <c r="D3429" s="3" t="s">
        <v>614</v>
      </c>
      <c r="E3429" s="3" t="s">
        <v>118</v>
      </c>
      <c r="F3429" s="7">
        <v>45816.823676800566</v>
      </c>
      <c r="G3429" s="3" t="s">
        <v>4451</v>
      </c>
    </row>
    <row r="3430">
      <c r="A3430" s="3" t="s">
        <v>10869</v>
      </c>
      <c r="B3430" s="3" t="s">
        <v>3568</v>
      </c>
      <c r="C3430" s="5" t="s">
        <v>614</v>
      </c>
      <c r="D3430" s="3" t="s">
        <v>206</v>
      </c>
      <c r="E3430" s="3" t="s">
        <v>100</v>
      </c>
      <c r="F3430" s="7">
        <v>45816.82714902279</v>
      </c>
      <c r="G3430" s="3" t="s">
        <v>4454</v>
      </c>
    </row>
    <row r="3431">
      <c r="A3431" s="3" t="s">
        <v>10870</v>
      </c>
      <c r="B3431" s="3" t="s">
        <v>3568</v>
      </c>
      <c r="C3431" s="5" t="s">
        <v>206</v>
      </c>
      <c r="D3431" s="3" t="s">
        <v>68</v>
      </c>
      <c r="E3431" s="3" t="s">
        <v>100</v>
      </c>
      <c r="F3431" s="7">
        <v>45816.83062124501</v>
      </c>
      <c r="G3431" s="3" t="s">
        <v>4457</v>
      </c>
    </row>
    <row r="3432">
      <c r="A3432" s="3" t="s">
        <v>10872</v>
      </c>
      <c r="B3432" s="3" t="s">
        <v>3571</v>
      </c>
      <c r="C3432" s="5" t="s">
        <v>45</v>
      </c>
      <c r="D3432" s="3" t="s">
        <v>221</v>
      </c>
      <c r="E3432" s="3" t="s">
        <v>436</v>
      </c>
      <c r="F3432" s="7">
        <v>45816.89137942376</v>
      </c>
      <c r="G3432" s="3" t="s">
        <v>10874</v>
      </c>
    </row>
    <row r="3433">
      <c r="A3433" s="3" t="s">
        <v>10875</v>
      </c>
      <c r="B3433" s="3" t="s">
        <v>3571</v>
      </c>
      <c r="C3433" s="5" t="s">
        <v>221</v>
      </c>
      <c r="D3433" s="3" t="s">
        <v>614</v>
      </c>
      <c r="E3433" s="3" t="s">
        <v>118</v>
      </c>
      <c r="F3433" s="7">
        <v>45816.89485164598</v>
      </c>
      <c r="G3433" s="3" t="s">
        <v>10877</v>
      </c>
    </row>
    <row r="3434">
      <c r="A3434" s="3" t="s">
        <v>10879</v>
      </c>
      <c r="B3434" s="3" t="s">
        <v>3571</v>
      </c>
      <c r="C3434" s="5" t="s">
        <v>614</v>
      </c>
      <c r="D3434" s="3" t="s">
        <v>206</v>
      </c>
      <c r="E3434" s="3" t="s">
        <v>100</v>
      </c>
      <c r="F3434" s="7">
        <v>45816.898323868205</v>
      </c>
      <c r="G3434" s="3" t="s">
        <v>10881</v>
      </c>
    </row>
    <row r="3435">
      <c r="A3435" s="3" t="s">
        <v>10882</v>
      </c>
      <c r="B3435" s="3" t="s">
        <v>3571</v>
      </c>
      <c r="C3435" s="5" t="s">
        <v>206</v>
      </c>
      <c r="D3435" s="3" t="s">
        <v>68</v>
      </c>
      <c r="E3435" s="3" t="s">
        <v>100</v>
      </c>
      <c r="F3435" s="7">
        <v>45816.901796090424</v>
      </c>
      <c r="G3435" s="3" t="s">
        <v>10884</v>
      </c>
    </row>
    <row r="3436">
      <c r="A3436" s="3" t="s">
        <v>10885</v>
      </c>
      <c r="B3436" s="3" t="s">
        <v>3574</v>
      </c>
      <c r="C3436" s="5" t="s">
        <v>45</v>
      </c>
      <c r="D3436" s="3" t="s">
        <v>221</v>
      </c>
      <c r="E3436" s="3" t="s">
        <v>584</v>
      </c>
      <c r="F3436" s="7">
        <v>45816.96255426917</v>
      </c>
      <c r="G3436" s="3" t="s">
        <v>10887</v>
      </c>
    </row>
    <row r="3437">
      <c r="A3437" s="3" t="s">
        <v>10888</v>
      </c>
      <c r="B3437" s="3" t="s">
        <v>3574</v>
      </c>
      <c r="C3437" s="5" t="s">
        <v>221</v>
      </c>
      <c r="D3437" s="3" t="s">
        <v>614</v>
      </c>
      <c r="E3437" s="3" t="s">
        <v>118</v>
      </c>
      <c r="F3437" s="7">
        <v>45816.96602649139</v>
      </c>
      <c r="G3437" s="3" t="s">
        <v>10890</v>
      </c>
    </row>
    <row r="3438">
      <c r="A3438" s="3" t="s">
        <v>10891</v>
      </c>
      <c r="B3438" s="3" t="s">
        <v>3574</v>
      </c>
      <c r="C3438" s="5" t="s">
        <v>614</v>
      </c>
      <c r="D3438" s="3" t="s">
        <v>206</v>
      </c>
      <c r="E3438" s="3" t="s">
        <v>100</v>
      </c>
      <c r="F3438" s="7">
        <v>45816.96949871362</v>
      </c>
      <c r="G3438" s="3" t="s">
        <v>10892</v>
      </c>
    </row>
    <row r="3439">
      <c r="A3439" s="3" t="s">
        <v>10894</v>
      </c>
      <c r="B3439" s="3" t="s">
        <v>3574</v>
      </c>
      <c r="C3439" s="5" t="s">
        <v>206</v>
      </c>
      <c r="D3439" s="3" t="s">
        <v>68</v>
      </c>
      <c r="E3439" s="3" t="s">
        <v>100</v>
      </c>
      <c r="F3439" s="7">
        <v>45816.972970935836</v>
      </c>
      <c r="G3439" s="3" t="s">
        <v>10895</v>
      </c>
    </row>
    <row r="3440">
      <c r="A3440" s="3" t="s">
        <v>10897</v>
      </c>
      <c r="B3440" s="3" t="s">
        <v>3578</v>
      </c>
      <c r="C3440" s="5" t="s">
        <v>45</v>
      </c>
      <c r="D3440" s="3" t="s">
        <v>221</v>
      </c>
      <c r="E3440" s="3" t="s">
        <v>746</v>
      </c>
      <c r="F3440" s="7">
        <v>45817.03372911459</v>
      </c>
      <c r="G3440" s="3" t="s">
        <v>10898</v>
      </c>
    </row>
    <row r="3441">
      <c r="A3441" s="3" t="s">
        <v>10900</v>
      </c>
      <c r="B3441" s="3" t="s">
        <v>3578</v>
      </c>
      <c r="C3441" s="5" t="s">
        <v>221</v>
      </c>
      <c r="D3441" s="3" t="s">
        <v>614</v>
      </c>
      <c r="E3441" s="3" t="s">
        <v>118</v>
      </c>
      <c r="F3441" s="7">
        <v>45817.03720133681</v>
      </c>
      <c r="G3441" s="3" t="s">
        <v>10902</v>
      </c>
    </row>
    <row r="3442">
      <c r="A3442" s="3" t="s">
        <v>10903</v>
      </c>
      <c r="B3442" s="3" t="s">
        <v>3578</v>
      </c>
      <c r="C3442" s="5" t="s">
        <v>614</v>
      </c>
      <c r="D3442" s="3" t="s">
        <v>206</v>
      </c>
      <c r="E3442" s="3" t="s">
        <v>100</v>
      </c>
      <c r="F3442" s="7">
        <v>45817.04067355904</v>
      </c>
      <c r="G3442" s="3" t="s">
        <v>10904</v>
      </c>
    </row>
    <row r="3443">
      <c r="A3443" s="3" t="s">
        <v>10906</v>
      </c>
      <c r="B3443" s="3" t="s">
        <v>3578</v>
      </c>
      <c r="C3443" s="5" t="s">
        <v>206</v>
      </c>
      <c r="D3443" s="3" t="s">
        <v>68</v>
      </c>
      <c r="E3443" s="3" t="s">
        <v>100</v>
      </c>
      <c r="F3443" s="7">
        <v>45817.044145781256</v>
      </c>
      <c r="G3443" s="3" t="s">
        <v>10907</v>
      </c>
    </row>
    <row r="3444">
      <c r="A3444" s="3" t="s">
        <v>10908</v>
      </c>
      <c r="B3444" s="3" t="s">
        <v>3581</v>
      </c>
      <c r="C3444" s="5" t="s">
        <v>45</v>
      </c>
      <c r="D3444" s="3" t="s">
        <v>221</v>
      </c>
      <c r="E3444" s="3" t="s">
        <v>521</v>
      </c>
      <c r="F3444" s="7">
        <v>45817.104903960004</v>
      </c>
      <c r="G3444" s="3" t="s">
        <v>10910</v>
      </c>
    </row>
    <row r="3445">
      <c r="A3445" s="3" t="s">
        <v>10911</v>
      </c>
      <c r="B3445" s="3" t="s">
        <v>3581</v>
      </c>
      <c r="C3445" s="5" t="s">
        <v>221</v>
      </c>
      <c r="D3445" s="3" t="s">
        <v>195</v>
      </c>
      <c r="E3445" s="3" t="s">
        <v>521</v>
      </c>
      <c r="F3445" s="7">
        <v>45817.10837618222</v>
      </c>
      <c r="G3445" s="3" t="s">
        <v>10913</v>
      </c>
    </row>
    <row r="3446">
      <c r="A3446" s="3" t="s">
        <v>10915</v>
      </c>
      <c r="B3446" s="3" t="s">
        <v>3584</v>
      </c>
      <c r="C3446" s="5" t="s">
        <v>45</v>
      </c>
      <c r="D3446" s="3" t="s">
        <v>221</v>
      </c>
      <c r="E3446" s="3" t="s">
        <v>640</v>
      </c>
      <c r="F3446" s="7">
        <v>45817.176078805416</v>
      </c>
      <c r="G3446" s="3" t="s">
        <v>10917</v>
      </c>
    </row>
    <row r="3447">
      <c r="A3447" s="3" t="s">
        <v>10918</v>
      </c>
      <c r="B3447" s="3" t="s">
        <v>3584</v>
      </c>
      <c r="C3447" s="5" t="s">
        <v>221</v>
      </c>
      <c r="D3447" s="3" t="s">
        <v>614</v>
      </c>
      <c r="E3447" s="3" t="s">
        <v>118</v>
      </c>
      <c r="F3447" s="7">
        <v>45817.179551027635</v>
      </c>
      <c r="G3447" s="3" t="s">
        <v>10920</v>
      </c>
    </row>
    <row r="3448">
      <c r="A3448" s="3" t="s">
        <v>10921</v>
      </c>
      <c r="B3448" s="3" t="s">
        <v>3584</v>
      </c>
      <c r="C3448" s="5" t="s">
        <v>614</v>
      </c>
      <c r="D3448" s="3" t="s">
        <v>206</v>
      </c>
      <c r="E3448" s="3" t="s">
        <v>100</v>
      </c>
      <c r="F3448" s="7">
        <v>45817.18302324986</v>
      </c>
      <c r="G3448" s="3" t="s">
        <v>10923</v>
      </c>
    </row>
    <row r="3449">
      <c r="A3449" s="3" t="s">
        <v>10924</v>
      </c>
      <c r="B3449" s="3" t="s">
        <v>3584</v>
      </c>
      <c r="C3449" s="5" t="s">
        <v>206</v>
      </c>
      <c r="D3449" s="3" t="s">
        <v>68</v>
      </c>
      <c r="E3449" s="3" t="s">
        <v>100</v>
      </c>
      <c r="F3449" s="7">
        <v>45817.18649547208</v>
      </c>
      <c r="G3449" s="3" t="s">
        <v>10926</v>
      </c>
    </row>
    <row r="3450">
      <c r="A3450" s="3" t="s">
        <v>10927</v>
      </c>
      <c r="B3450" s="3" t="s">
        <v>3587</v>
      </c>
      <c r="C3450" s="5" t="s">
        <v>45</v>
      </c>
      <c r="D3450" s="3" t="s">
        <v>221</v>
      </c>
      <c r="E3450" s="3" t="s">
        <v>440</v>
      </c>
      <c r="F3450" s="7">
        <v>45817.247253650836</v>
      </c>
      <c r="G3450" s="3" t="s">
        <v>10929</v>
      </c>
    </row>
    <row r="3451">
      <c r="A3451" s="3" t="s">
        <v>10930</v>
      </c>
      <c r="B3451" s="3" t="s">
        <v>3587</v>
      </c>
      <c r="C3451" s="5" t="s">
        <v>221</v>
      </c>
      <c r="D3451" s="3" t="s">
        <v>614</v>
      </c>
      <c r="E3451" s="3" t="s">
        <v>118</v>
      </c>
      <c r="F3451" s="7">
        <v>45817.250725873055</v>
      </c>
      <c r="G3451" s="3" t="s">
        <v>10931</v>
      </c>
    </row>
    <row r="3452">
      <c r="A3452" s="3" t="s">
        <v>10933</v>
      </c>
      <c r="B3452" s="3" t="s">
        <v>3587</v>
      </c>
      <c r="C3452" s="5" t="s">
        <v>614</v>
      </c>
      <c r="D3452" s="3" t="s">
        <v>206</v>
      </c>
      <c r="E3452" s="3" t="s">
        <v>100</v>
      </c>
      <c r="F3452" s="7">
        <v>45817.25419809528</v>
      </c>
      <c r="G3452" s="3" t="s">
        <v>10934</v>
      </c>
    </row>
    <row r="3453">
      <c r="A3453" s="3" t="s">
        <v>10936</v>
      </c>
      <c r="B3453" s="3" t="s">
        <v>3587</v>
      </c>
      <c r="C3453" s="5" t="s">
        <v>206</v>
      </c>
      <c r="D3453" s="3" t="s">
        <v>68</v>
      </c>
      <c r="E3453" s="3" t="s">
        <v>100</v>
      </c>
      <c r="F3453" s="7">
        <v>45817.2576703175</v>
      </c>
      <c r="G3453" s="3" t="s">
        <v>10937</v>
      </c>
    </row>
    <row r="3454">
      <c r="A3454" s="3" t="s">
        <v>10938</v>
      </c>
      <c r="B3454" s="3" t="s">
        <v>3590</v>
      </c>
      <c r="C3454" s="5" t="s">
        <v>45</v>
      </c>
      <c r="D3454" s="3" t="s">
        <v>221</v>
      </c>
      <c r="E3454" s="3" t="s">
        <v>561</v>
      </c>
      <c r="F3454" s="7">
        <v>45817.31842849625</v>
      </c>
      <c r="G3454" s="3" t="s">
        <v>10940</v>
      </c>
    </row>
    <row r="3455">
      <c r="A3455" s="3" t="s">
        <v>10941</v>
      </c>
      <c r="B3455" s="3" t="s">
        <v>3590</v>
      </c>
      <c r="C3455" s="5" t="s">
        <v>221</v>
      </c>
      <c r="D3455" s="3" t="s">
        <v>614</v>
      </c>
      <c r="E3455" s="3" t="s">
        <v>118</v>
      </c>
      <c r="F3455" s="7">
        <v>45817.32190071847</v>
      </c>
      <c r="G3455" s="3" t="s">
        <v>10943</v>
      </c>
    </row>
    <row r="3456">
      <c r="A3456" s="3" t="s">
        <v>10944</v>
      </c>
      <c r="B3456" s="3" t="s">
        <v>3590</v>
      </c>
      <c r="C3456" s="5" t="s">
        <v>614</v>
      </c>
      <c r="D3456" s="3" t="s">
        <v>206</v>
      </c>
      <c r="E3456" s="3" t="s">
        <v>100</v>
      </c>
      <c r="F3456" s="7">
        <v>45817.32537294069</v>
      </c>
      <c r="G3456" s="3" t="s">
        <v>10946</v>
      </c>
    </row>
    <row r="3457">
      <c r="A3457" s="3" t="s">
        <v>10947</v>
      </c>
      <c r="B3457" s="3" t="s">
        <v>3590</v>
      </c>
      <c r="C3457" s="5" t="s">
        <v>206</v>
      </c>
      <c r="D3457" s="3" t="s">
        <v>68</v>
      </c>
      <c r="E3457" s="3" t="s">
        <v>100</v>
      </c>
      <c r="F3457" s="7">
        <v>45817.32884516291</v>
      </c>
      <c r="G3457" s="3" t="s">
        <v>10949</v>
      </c>
    </row>
    <row r="3458">
      <c r="A3458" s="3" t="s">
        <v>10951</v>
      </c>
      <c r="B3458" s="3" t="s">
        <v>3593</v>
      </c>
      <c r="C3458" s="5" t="s">
        <v>45</v>
      </c>
      <c r="D3458" s="3" t="s">
        <v>221</v>
      </c>
      <c r="E3458" s="3" t="s">
        <v>725</v>
      </c>
      <c r="F3458" s="7">
        <v>45817.38960334166</v>
      </c>
      <c r="G3458" s="3" t="s">
        <v>10953</v>
      </c>
    </row>
    <row r="3459">
      <c r="A3459" s="3" t="s">
        <v>10954</v>
      </c>
      <c r="B3459" s="3" t="s">
        <v>3593</v>
      </c>
      <c r="C3459" s="5" t="s">
        <v>221</v>
      </c>
      <c r="D3459" s="3" t="s">
        <v>614</v>
      </c>
      <c r="E3459" s="3" t="s">
        <v>118</v>
      </c>
      <c r="F3459" s="7">
        <v>45817.39307556388</v>
      </c>
      <c r="G3459" s="3" t="s">
        <v>10956</v>
      </c>
    </row>
    <row r="3460">
      <c r="A3460" s="3" t="s">
        <v>10957</v>
      </c>
      <c r="B3460" s="3" t="s">
        <v>3593</v>
      </c>
      <c r="C3460" s="5" t="s">
        <v>614</v>
      </c>
      <c r="D3460" s="3" t="s">
        <v>206</v>
      </c>
      <c r="E3460" s="3" t="s">
        <v>100</v>
      </c>
      <c r="F3460" s="7">
        <v>45817.396547786106</v>
      </c>
      <c r="G3460" s="3" t="s">
        <v>10958</v>
      </c>
    </row>
    <row r="3461">
      <c r="A3461" s="3" t="s">
        <v>10960</v>
      </c>
      <c r="B3461" s="3" t="s">
        <v>3593</v>
      </c>
      <c r="C3461" s="5" t="s">
        <v>206</v>
      </c>
      <c r="D3461" s="3" t="s">
        <v>68</v>
      </c>
      <c r="E3461" s="3" t="s">
        <v>100</v>
      </c>
      <c r="F3461" s="7">
        <v>45817.400020008325</v>
      </c>
      <c r="G3461" s="3" t="s">
        <v>10961</v>
      </c>
    </row>
    <row r="3462">
      <c r="A3462" s="3" t="s">
        <v>10962</v>
      </c>
      <c r="B3462" s="3" t="s">
        <v>3596</v>
      </c>
      <c r="C3462" s="5" t="s">
        <v>45</v>
      </c>
      <c r="D3462" s="3" t="s">
        <v>221</v>
      </c>
      <c r="E3462" s="3" t="s">
        <v>145</v>
      </c>
      <c r="F3462" s="7">
        <v>45817.46077818708</v>
      </c>
      <c r="G3462" s="3" t="s">
        <v>10964</v>
      </c>
    </row>
    <row r="3463">
      <c r="A3463" s="3" t="s">
        <v>10965</v>
      </c>
      <c r="B3463" s="3" t="s">
        <v>3596</v>
      </c>
      <c r="C3463" s="5" t="s">
        <v>221</v>
      </c>
      <c r="D3463" s="3" t="s">
        <v>614</v>
      </c>
      <c r="E3463" s="3" t="s">
        <v>118</v>
      </c>
      <c r="F3463" s="7">
        <v>45817.4642504093</v>
      </c>
      <c r="G3463" s="3" t="s">
        <v>10967</v>
      </c>
    </row>
    <row r="3464">
      <c r="A3464" s="3" t="s">
        <v>10968</v>
      </c>
      <c r="B3464" s="3" t="s">
        <v>3596</v>
      </c>
      <c r="C3464" s="5" t="s">
        <v>614</v>
      </c>
      <c r="D3464" s="3" t="s">
        <v>206</v>
      </c>
      <c r="E3464" s="3" t="s">
        <v>100</v>
      </c>
      <c r="F3464" s="7">
        <v>45817.467722631525</v>
      </c>
      <c r="G3464" s="3" t="s">
        <v>10970</v>
      </c>
    </row>
    <row r="3465">
      <c r="A3465" s="3" t="s">
        <v>10971</v>
      </c>
      <c r="B3465" s="3" t="s">
        <v>3596</v>
      </c>
      <c r="C3465" s="5" t="s">
        <v>206</v>
      </c>
      <c r="D3465" s="3" t="s">
        <v>68</v>
      </c>
      <c r="E3465" s="3" t="s">
        <v>100</v>
      </c>
      <c r="F3465" s="7">
        <v>45817.471194853744</v>
      </c>
      <c r="G3465" s="3" t="s">
        <v>10973</v>
      </c>
    </row>
    <row r="3466">
      <c r="A3466" s="3" t="s">
        <v>10974</v>
      </c>
      <c r="B3466" s="3" t="s">
        <v>3599</v>
      </c>
      <c r="C3466" s="5" t="s">
        <v>45</v>
      </c>
      <c r="D3466" s="3" t="s">
        <v>221</v>
      </c>
      <c r="E3466" s="3" t="s">
        <v>468</v>
      </c>
      <c r="F3466" s="7">
        <v>45817.53195303249</v>
      </c>
      <c r="G3466" s="3" t="s">
        <v>10975</v>
      </c>
    </row>
    <row r="3467">
      <c r="A3467" s="3" t="s">
        <v>10977</v>
      </c>
      <c r="B3467" s="3" t="s">
        <v>3599</v>
      </c>
      <c r="C3467" s="5" t="s">
        <v>221</v>
      </c>
      <c r="D3467" s="3" t="s">
        <v>614</v>
      </c>
      <c r="E3467" s="3" t="s">
        <v>118</v>
      </c>
      <c r="F3467" s="7">
        <v>45817.53542525471</v>
      </c>
      <c r="G3467" s="3" t="s">
        <v>10978</v>
      </c>
    </row>
    <row r="3468">
      <c r="A3468" s="3" t="s">
        <v>10979</v>
      </c>
      <c r="B3468" s="3" t="s">
        <v>3599</v>
      </c>
      <c r="C3468" s="5" t="s">
        <v>614</v>
      </c>
      <c r="D3468" s="3" t="s">
        <v>206</v>
      </c>
      <c r="E3468" s="3" t="s">
        <v>100</v>
      </c>
      <c r="F3468" s="7">
        <v>45817.53889747694</v>
      </c>
      <c r="G3468" s="3" t="s">
        <v>10981</v>
      </c>
    </row>
    <row r="3469">
      <c r="A3469" s="3" t="s">
        <v>10982</v>
      </c>
      <c r="B3469" s="3" t="s">
        <v>3599</v>
      </c>
      <c r="C3469" s="5" t="s">
        <v>206</v>
      </c>
      <c r="D3469" s="3" t="s">
        <v>68</v>
      </c>
      <c r="E3469" s="3" t="s">
        <v>100</v>
      </c>
      <c r="F3469" s="7">
        <v>45817.54236969916</v>
      </c>
      <c r="G3469" s="3" t="s">
        <v>10984</v>
      </c>
    </row>
    <row r="3470">
      <c r="A3470" s="3" t="s">
        <v>10985</v>
      </c>
      <c r="B3470" s="3" t="s">
        <v>3602</v>
      </c>
      <c r="C3470" s="5" t="s">
        <v>45</v>
      </c>
      <c r="D3470" s="3" t="s">
        <v>221</v>
      </c>
      <c r="E3470" s="3" t="s">
        <v>853</v>
      </c>
      <c r="F3470" s="7">
        <v>45817.603127877905</v>
      </c>
      <c r="G3470" s="3" t="s">
        <v>10987</v>
      </c>
    </row>
    <row r="3471">
      <c r="A3471" s="3" t="s">
        <v>10988</v>
      </c>
      <c r="B3471" s="3" t="s">
        <v>3602</v>
      </c>
      <c r="C3471" s="5" t="s">
        <v>221</v>
      </c>
      <c r="D3471" s="3" t="s">
        <v>614</v>
      </c>
      <c r="E3471" s="3" t="s">
        <v>118</v>
      </c>
      <c r="F3471" s="7">
        <v>45817.60660010012</v>
      </c>
      <c r="G3471" s="3" t="s">
        <v>10989</v>
      </c>
    </row>
    <row r="3472">
      <c r="A3472" s="3" t="s">
        <v>10991</v>
      </c>
      <c r="B3472" s="3" t="s">
        <v>3602</v>
      </c>
      <c r="C3472" s="5" t="s">
        <v>614</v>
      </c>
      <c r="D3472" s="3" t="s">
        <v>206</v>
      </c>
      <c r="E3472" s="3" t="s">
        <v>100</v>
      </c>
      <c r="F3472" s="7">
        <v>45817.61007232235</v>
      </c>
      <c r="G3472" s="3" t="s">
        <v>10992</v>
      </c>
    </row>
    <row r="3473">
      <c r="A3473" s="3" t="s">
        <v>10993</v>
      </c>
      <c r="B3473" s="3" t="s">
        <v>3602</v>
      </c>
      <c r="C3473" s="5" t="s">
        <v>206</v>
      </c>
      <c r="D3473" s="3" t="s">
        <v>68</v>
      </c>
      <c r="E3473" s="3" t="s">
        <v>100</v>
      </c>
      <c r="F3473" s="7">
        <v>45817.61354454457</v>
      </c>
      <c r="G3473" s="3" t="s">
        <v>10995</v>
      </c>
    </row>
    <row r="3474">
      <c r="A3474" s="3" t="s">
        <v>10996</v>
      </c>
      <c r="B3474" s="3" t="s">
        <v>3606</v>
      </c>
      <c r="C3474" s="5" t="s">
        <v>45</v>
      </c>
      <c r="D3474" s="3" t="s">
        <v>221</v>
      </c>
      <c r="E3474" s="3" t="s">
        <v>586</v>
      </c>
      <c r="F3474" s="7">
        <v>45817.674302723324</v>
      </c>
      <c r="G3474" s="3" t="s">
        <v>10997</v>
      </c>
    </row>
    <row r="3475">
      <c r="A3475" s="3" t="s">
        <v>10999</v>
      </c>
      <c r="B3475" s="3" t="s">
        <v>3606</v>
      </c>
      <c r="C3475" s="5" t="s">
        <v>221</v>
      </c>
      <c r="D3475" s="3" t="s">
        <v>614</v>
      </c>
      <c r="E3475" s="3" t="s">
        <v>118</v>
      </c>
      <c r="F3475" s="7">
        <v>45817.67777494554</v>
      </c>
      <c r="G3475" s="3" t="s">
        <v>11000</v>
      </c>
    </row>
    <row r="3476">
      <c r="A3476" s="3" t="s">
        <v>11001</v>
      </c>
      <c r="B3476" s="3" t="s">
        <v>3606</v>
      </c>
      <c r="C3476" s="5" t="s">
        <v>614</v>
      </c>
      <c r="D3476" s="3" t="s">
        <v>206</v>
      </c>
      <c r="E3476" s="3" t="s">
        <v>100</v>
      </c>
      <c r="F3476" s="7">
        <v>45817.68124716777</v>
      </c>
      <c r="G3476" s="3" t="s">
        <v>11003</v>
      </c>
    </row>
    <row r="3477">
      <c r="A3477" s="3" t="s">
        <v>11004</v>
      </c>
      <c r="B3477" s="3" t="s">
        <v>3606</v>
      </c>
      <c r="C3477" s="5" t="s">
        <v>206</v>
      </c>
      <c r="D3477" s="3" t="s">
        <v>68</v>
      </c>
      <c r="E3477" s="3" t="s">
        <v>100</v>
      </c>
      <c r="F3477" s="7">
        <v>45817.68471938999</v>
      </c>
      <c r="G3477" s="3" t="s">
        <v>11006</v>
      </c>
    </row>
    <row r="3478">
      <c r="A3478" s="3" t="s">
        <v>11007</v>
      </c>
      <c r="B3478" s="3" t="s">
        <v>3609</v>
      </c>
      <c r="C3478" s="5" t="s">
        <v>45</v>
      </c>
      <c r="D3478" s="3" t="s">
        <v>221</v>
      </c>
      <c r="E3478" s="3" t="s">
        <v>502</v>
      </c>
      <c r="F3478" s="7">
        <v>45817.745477568744</v>
      </c>
      <c r="G3478" s="3" t="s">
        <v>11009</v>
      </c>
    </row>
    <row r="3479">
      <c r="A3479" s="3" t="s">
        <v>11010</v>
      </c>
      <c r="B3479" s="3" t="s">
        <v>3609</v>
      </c>
      <c r="C3479" s="5" t="s">
        <v>221</v>
      </c>
      <c r="D3479" s="3" t="s">
        <v>614</v>
      </c>
      <c r="E3479" s="3" t="s">
        <v>118</v>
      </c>
      <c r="F3479" s="7">
        <v>45817.74894979096</v>
      </c>
      <c r="G3479" s="3" t="s">
        <v>11012</v>
      </c>
    </row>
    <row r="3480">
      <c r="A3480" s="3" t="s">
        <v>11013</v>
      </c>
      <c r="B3480" s="3" t="s">
        <v>3609</v>
      </c>
      <c r="C3480" s="5" t="s">
        <v>614</v>
      </c>
      <c r="D3480" s="3" t="s">
        <v>206</v>
      </c>
      <c r="E3480" s="3" t="s">
        <v>100</v>
      </c>
      <c r="F3480" s="7">
        <v>45817.75242201319</v>
      </c>
      <c r="G3480" s="3" t="s">
        <v>11014</v>
      </c>
    </row>
    <row r="3481">
      <c r="A3481" s="3" t="s">
        <v>11015</v>
      </c>
      <c r="B3481" s="3" t="s">
        <v>3609</v>
      </c>
      <c r="C3481" s="5" t="s">
        <v>206</v>
      </c>
      <c r="D3481" s="3" t="s">
        <v>68</v>
      </c>
      <c r="E3481" s="3" t="s">
        <v>100</v>
      </c>
      <c r="F3481" s="7">
        <v>45817.75589423541</v>
      </c>
      <c r="G3481" s="3" t="s">
        <v>11017</v>
      </c>
    </row>
    <row r="3482">
      <c r="A3482" s="3" t="s">
        <v>11018</v>
      </c>
      <c r="B3482" s="3" t="s">
        <v>3613</v>
      </c>
      <c r="C3482" s="5" t="s">
        <v>45</v>
      </c>
      <c r="D3482" s="3" t="s">
        <v>221</v>
      </c>
      <c r="E3482" s="3" t="s">
        <v>168</v>
      </c>
      <c r="F3482" s="7">
        <v>45817.81665241415</v>
      </c>
      <c r="G3482" s="3" t="s">
        <v>11020</v>
      </c>
    </row>
    <row r="3483">
      <c r="A3483" s="3" t="s">
        <v>11021</v>
      </c>
      <c r="B3483" s="3" t="s">
        <v>3613</v>
      </c>
      <c r="C3483" s="5" t="s">
        <v>221</v>
      </c>
      <c r="D3483" s="3" t="s">
        <v>614</v>
      </c>
      <c r="E3483" s="3" t="s">
        <v>118</v>
      </c>
      <c r="F3483" s="7">
        <v>45817.82012463637</v>
      </c>
      <c r="G3483" s="3" t="s">
        <v>11022</v>
      </c>
    </row>
    <row r="3484">
      <c r="A3484" s="3" t="s">
        <v>11023</v>
      </c>
      <c r="B3484" s="3" t="s">
        <v>3613</v>
      </c>
      <c r="C3484" s="5" t="s">
        <v>614</v>
      </c>
      <c r="D3484" s="3" t="s">
        <v>206</v>
      </c>
      <c r="E3484" s="3" t="s">
        <v>100</v>
      </c>
      <c r="F3484" s="7">
        <v>45817.823596858594</v>
      </c>
      <c r="G3484" s="3" t="s">
        <v>11025</v>
      </c>
    </row>
    <row r="3485">
      <c r="A3485" s="3" t="s">
        <v>11027</v>
      </c>
      <c r="B3485" s="3" t="s">
        <v>3613</v>
      </c>
      <c r="C3485" s="5" t="s">
        <v>206</v>
      </c>
      <c r="D3485" s="3" t="s">
        <v>68</v>
      </c>
      <c r="E3485" s="3" t="s">
        <v>100</v>
      </c>
      <c r="F3485" s="7">
        <v>45817.82706908081</v>
      </c>
      <c r="G3485" s="3" t="s">
        <v>11029</v>
      </c>
    </row>
    <row r="3486">
      <c r="A3486" s="3" t="s">
        <v>11030</v>
      </c>
      <c r="B3486" s="3" t="s">
        <v>3616</v>
      </c>
      <c r="C3486" s="5" t="s">
        <v>45</v>
      </c>
      <c r="D3486" s="3" t="s">
        <v>221</v>
      </c>
      <c r="E3486" s="3" t="s">
        <v>208</v>
      </c>
      <c r="F3486" s="7">
        <v>45817.88782725957</v>
      </c>
      <c r="G3486" s="3" t="s">
        <v>11032</v>
      </c>
    </row>
    <row r="3487">
      <c r="A3487" s="3" t="s">
        <v>11033</v>
      </c>
      <c r="B3487" s="3" t="s">
        <v>3616</v>
      </c>
      <c r="C3487" s="5" t="s">
        <v>221</v>
      </c>
      <c r="D3487" s="3" t="s">
        <v>614</v>
      </c>
      <c r="E3487" s="3" t="s">
        <v>118</v>
      </c>
      <c r="F3487" s="7">
        <v>45817.89129948179</v>
      </c>
      <c r="G3487" s="3" t="s">
        <v>11035</v>
      </c>
    </row>
    <row r="3488">
      <c r="A3488" s="3" t="s">
        <v>11036</v>
      </c>
      <c r="B3488" s="3" t="s">
        <v>3616</v>
      </c>
      <c r="C3488" s="5" t="s">
        <v>614</v>
      </c>
      <c r="D3488" s="3" t="s">
        <v>206</v>
      </c>
      <c r="E3488" s="3" t="s">
        <v>100</v>
      </c>
      <c r="F3488" s="7">
        <v>45817.894771704014</v>
      </c>
      <c r="G3488" s="3" t="s">
        <v>11038</v>
      </c>
    </row>
    <row r="3489">
      <c r="A3489" s="3" t="s">
        <v>11039</v>
      </c>
      <c r="B3489" s="3" t="s">
        <v>3616</v>
      </c>
      <c r="C3489" s="5" t="s">
        <v>206</v>
      </c>
      <c r="D3489" s="3" t="s">
        <v>68</v>
      </c>
      <c r="E3489" s="3" t="s">
        <v>100</v>
      </c>
      <c r="F3489" s="7">
        <v>45817.89824392623</v>
      </c>
      <c r="G3489" s="3" t="s">
        <v>11040</v>
      </c>
    </row>
    <row r="3490">
      <c r="A3490" s="3" t="s">
        <v>11041</v>
      </c>
      <c r="B3490" s="3" t="s">
        <v>3618</v>
      </c>
      <c r="C3490" s="5" t="s">
        <v>45</v>
      </c>
      <c r="D3490" s="3" t="s">
        <v>221</v>
      </c>
      <c r="E3490" s="3" t="s">
        <v>947</v>
      </c>
      <c r="F3490" s="7">
        <v>45817.95900210499</v>
      </c>
      <c r="G3490" s="3" t="s">
        <v>2770</v>
      </c>
    </row>
    <row r="3491">
      <c r="A3491" s="3" t="s">
        <v>11043</v>
      </c>
      <c r="B3491" s="3" t="s">
        <v>3618</v>
      </c>
      <c r="C3491" s="5" t="s">
        <v>221</v>
      </c>
      <c r="D3491" s="3" t="s">
        <v>181</v>
      </c>
      <c r="E3491" s="3" t="s">
        <v>118</v>
      </c>
      <c r="F3491" s="7">
        <v>45817.96247432721</v>
      </c>
      <c r="G3491" s="3" t="s">
        <v>2774</v>
      </c>
    </row>
    <row r="3492">
      <c r="A3492" s="3" t="s">
        <v>11045</v>
      </c>
      <c r="B3492" s="3" t="s">
        <v>3620</v>
      </c>
      <c r="C3492" s="5" t="s">
        <v>45</v>
      </c>
      <c r="D3492" s="3" t="s">
        <v>221</v>
      </c>
      <c r="E3492" s="3" t="s">
        <v>151</v>
      </c>
      <c r="F3492" s="7">
        <v>45818.0301769504</v>
      </c>
      <c r="G3492" s="3" t="s">
        <v>11049</v>
      </c>
    </row>
    <row r="3493">
      <c r="A3493" s="3" t="s">
        <v>11050</v>
      </c>
      <c r="B3493" s="3" t="s">
        <v>3620</v>
      </c>
      <c r="C3493" s="5" t="s">
        <v>221</v>
      </c>
      <c r="D3493" s="3" t="s">
        <v>614</v>
      </c>
      <c r="E3493" s="3" t="s">
        <v>118</v>
      </c>
      <c r="F3493" s="7">
        <v>45818.03364917262</v>
      </c>
      <c r="G3493" s="3" t="s">
        <v>11051</v>
      </c>
    </row>
    <row r="3494">
      <c r="A3494" s="3" t="s">
        <v>11052</v>
      </c>
      <c r="B3494" s="3" t="s">
        <v>3620</v>
      </c>
      <c r="C3494" s="5" t="s">
        <v>614</v>
      </c>
      <c r="D3494" s="3" t="s">
        <v>206</v>
      </c>
      <c r="E3494" s="3" t="s">
        <v>100</v>
      </c>
      <c r="F3494" s="7">
        <v>45818.037121394846</v>
      </c>
      <c r="G3494" s="3" t="s">
        <v>11054</v>
      </c>
    </row>
    <row r="3495">
      <c r="A3495" s="3" t="s">
        <v>11055</v>
      </c>
      <c r="B3495" s="3" t="s">
        <v>3620</v>
      </c>
      <c r="C3495" s="5" t="s">
        <v>206</v>
      </c>
      <c r="D3495" s="3" t="s">
        <v>68</v>
      </c>
      <c r="E3495" s="3" t="s">
        <v>100</v>
      </c>
      <c r="F3495" s="7">
        <v>45818.040593617065</v>
      </c>
      <c r="G3495" s="3" t="s">
        <v>11057</v>
      </c>
    </row>
    <row r="3496">
      <c r="A3496" s="3" t="s">
        <v>11058</v>
      </c>
      <c r="B3496" s="3" t="s">
        <v>3624</v>
      </c>
      <c r="C3496" s="5" t="s">
        <v>45</v>
      </c>
      <c r="D3496" s="3" t="s">
        <v>221</v>
      </c>
      <c r="E3496" s="3" t="s">
        <v>838</v>
      </c>
      <c r="F3496" s="7">
        <v>45818.10135179581</v>
      </c>
      <c r="G3496" s="3" t="s">
        <v>5450</v>
      </c>
    </row>
    <row r="3497">
      <c r="A3497" s="3" t="s">
        <v>11060</v>
      </c>
      <c r="B3497" s="3" t="s">
        <v>3624</v>
      </c>
      <c r="C3497" s="5" t="s">
        <v>221</v>
      </c>
      <c r="D3497" s="3" t="s">
        <v>614</v>
      </c>
      <c r="E3497" s="3" t="s">
        <v>118</v>
      </c>
      <c r="F3497" s="7">
        <v>45818.10482401803</v>
      </c>
      <c r="G3497" s="3" t="s">
        <v>11062</v>
      </c>
    </row>
    <row r="3498">
      <c r="A3498" s="3" t="s">
        <v>11063</v>
      </c>
      <c r="B3498" s="3" t="s">
        <v>3624</v>
      </c>
      <c r="C3498" s="5" t="s">
        <v>614</v>
      </c>
      <c r="D3498" s="3" t="s">
        <v>206</v>
      </c>
      <c r="E3498" s="3" t="s">
        <v>100</v>
      </c>
      <c r="F3498" s="7">
        <v>45818.10829624026</v>
      </c>
      <c r="G3498" s="3" t="s">
        <v>11064</v>
      </c>
    </row>
    <row r="3499">
      <c r="A3499" s="3" t="s">
        <v>11065</v>
      </c>
      <c r="B3499" s="3" t="s">
        <v>3624</v>
      </c>
      <c r="C3499" s="5" t="s">
        <v>206</v>
      </c>
      <c r="D3499" s="3" t="s">
        <v>68</v>
      </c>
      <c r="E3499" s="3" t="s">
        <v>100</v>
      </c>
      <c r="F3499" s="7">
        <v>45818.11176846248</v>
      </c>
      <c r="G3499" s="3" t="s">
        <v>11067</v>
      </c>
    </row>
    <row r="3500">
      <c r="A3500" s="3" t="s">
        <v>11068</v>
      </c>
      <c r="B3500" s="3" t="s">
        <v>3628</v>
      </c>
      <c r="C3500" s="5" t="s">
        <v>45</v>
      </c>
      <c r="D3500" s="3" t="s">
        <v>221</v>
      </c>
      <c r="E3500" s="3" t="s">
        <v>193</v>
      </c>
      <c r="F3500" s="7">
        <v>45818.17252664123</v>
      </c>
      <c r="G3500" s="3" t="s">
        <v>4823</v>
      </c>
    </row>
    <row r="3501">
      <c r="A3501" s="3" t="s">
        <v>11070</v>
      </c>
      <c r="B3501" s="3" t="s">
        <v>3628</v>
      </c>
      <c r="C3501" s="5" t="s">
        <v>221</v>
      </c>
      <c r="D3501" s="3" t="s">
        <v>614</v>
      </c>
      <c r="E3501" s="3" t="s">
        <v>118</v>
      </c>
      <c r="F3501" s="7">
        <v>45818.17599886345</v>
      </c>
      <c r="G3501" s="3" t="s">
        <v>4826</v>
      </c>
    </row>
    <row r="3502">
      <c r="A3502" s="3" t="s">
        <v>11072</v>
      </c>
      <c r="B3502" s="3" t="s">
        <v>3628</v>
      </c>
      <c r="C3502" s="5" t="s">
        <v>614</v>
      </c>
      <c r="D3502" s="3" t="s">
        <v>206</v>
      </c>
      <c r="E3502" s="3" t="s">
        <v>100</v>
      </c>
      <c r="F3502" s="7">
        <v>45818.17947108568</v>
      </c>
      <c r="G3502" s="3" t="s">
        <v>4829</v>
      </c>
    </row>
    <row r="3503">
      <c r="A3503" s="3" t="s">
        <v>11074</v>
      </c>
      <c r="B3503" s="3" t="s">
        <v>3628</v>
      </c>
      <c r="C3503" s="5" t="s">
        <v>206</v>
      </c>
      <c r="D3503" s="3" t="s">
        <v>68</v>
      </c>
      <c r="E3503" s="3" t="s">
        <v>100</v>
      </c>
      <c r="F3503" s="7">
        <v>45818.1829433079</v>
      </c>
      <c r="G3503" s="3" t="s">
        <v>4832</v>
      </c>
    </row>
    <row r="3504">
      <c r="A3504" s="3" t="s">
        <v>11075</v>
      </c>
      <c r="B3504" s="3" t="s">
        <v>3631</v>
      </c>
      <c r="C3504" s="5" t="s">
        <v>45</v>
      </c>
      <c r="D3504" s="3" t="s">
        <v>221</v>
      </c>
      <c r="E3504" s="3" t="s">
        <v>704</v>
      </c>
      <c r="F3504" s="7">
        <v>45818.243701486645</v>
      </c>
      <c r="G3504" s="3" t="s">
        <v>9343</v>
      </c>
    </row>
    <row r="3505">
      <c r="A3505" s="3" t="s">
        <v>11077</v>
      </c>
      <c r="B3505" s="3" t="s">
        <v>3631</v>
      </c>
      <c r="C3505" s="5" t="s">
        <v>221</v>
      </c>
      <c r="D3505" s="3" t="s">
        <v>614</v>
      </c>
      <c r="E3505" s="3" t="s">
        <v>118</v>
      </c>
      <c r="F3505" s="7">
        <v>45818.24717370886</v>
      </c>
      <c r="G3505" s="3" t="s">
        <v>9346</v>
      </c>
    </row>
    <row r="3506">
      <c r="A3506" s="3" t="s">
        <v>11079</v>
      </c>
      <c r="B3506" s="3" t="s">
        <v>3631</v>
      </c>
      <c r="C3506" s="5" t="s">
        <v>614</v>
      </c>
      <c r="D3506" s="3" t="s">
        <v>206</v>
      </c>
      <c r="E3506" s="3" t="s">
        <v>100</v>
      </c>
      <c r="F3506" s="7">
        <v>45818.25064593109</v>
      </c>
      <c r="G3506" s="3" t="s">
        <v>9349</v>
      </c>
    </row>
    <row r="3507">
      <c r="A3507" s="3" t="s">
        <v>11081</v>
      </c>
      <c r="B3507" s="3" t="s">
        <v>3631</v>
      </c>
      <c r="C3507" s="5" t="s">
        <v>206</v>
      </c>
      <c r="D3507" s="3" t="s">
        <v>68</v>
      </c>
      <c r="E3507" s="3" t="s">
        <v>100</v>
      </c>
      <c r="F3507" s="7">
        <v>45818.25411815331</v>
      </c>
      <c r="G3507" s="3" t="s">
        <v>9352</v>
      </c>
    </row>
    <row r="3508">
      <c r="A3508" s="3" t="s">
        <v>11083</v>
      </c>
      <c r="B3508" s="3" t="s">
        <v>3634</v>
      </c>
      <c r="C3508" s="5" t="s">
        <v>45</v>
      </c>
      <c r="D3508" s="3" t="s">
        <v>221</v>
      </c>
      <c r="E3508" s="3" t="s">
        <v>735</v>
      </c>
      <c r="F3508" s="7">
        <v>45818.31487633206</v>
      </c>
      <c r="G3508" s="3" t="s">
        <v>11084</v>
      </c>
    </row>
    <row r="3509">
      <c r="A3509" s="3" t="s">
        <v>11086</v>
      </c>
      <c r="B3509" s="3" t="s">
        <v>3634</v>
      </c>
      <c r="C3509" s="5" t="s">
        <v>221</v>
      </c>
      <c r="D3509" s="3" t="s">
        <v>614</v>
      </c>
      <c r="E3509" s="3" t="s">
        <v>118</v>
      </c>
      <c r="F3509" s="7">
        <v>45818.318348554276</v>
      </c>
      <c r="G3509" s="3" t="s">
        <v>11087</v>
      </c>
    </row>
    <row r="3510">
      <c r="A3510" s="3" t="s">
        <v>11088</v>
      </c>
      <c r="B3510" s="3" t="s">
        <v>3634</v>
      </c>
      <c r="C3510" s="5" t="s">
        <v>614</v>
      </c>
      <c r="D3510" s="3" t="s">
        <v>206</v>
      </c>
      <c r="E3510" s="3" t="s">
        <v>100</v>
      </c>
      <c r="F3510" s="7">
        <v>45818.3218207765</v>
      </c>
      <c r="G3510" s="3" t="s">
        <v>11090</v>
      </c>
    </row>
    <row r="3511">
      <c r="A3511" s="3" t="s">
        <v>11091</v>
      </c>
      <c r="B3511" s="3" t="s">
        <v>3634</v>
      </c>
      <c r="C3511" s="5" t="s">
        <v>206</v>
      </c>
      <c r="D3511" s="3" t="s">
        <v>68</v>
      </c>
      <c r="E3511" s="3" t="s">
        <v>100</v>
      </c>
      <c r="F3511" s="7">
        <v>45818.32529299872</v>
      </c>
      <c r="G3511" s="3" t="s">
        <v>11093</v>
      </c>
    </row>
    <row r="3512">
      <c r="A3512" s="3" t="s">
        <v>11094</v>
      </c>
      <c r="B3512" s="3" t="s">
        <v>3637</v>
      </c>
      <c r="C3512" s="5" t="s">
        <v>45</v>
      </c>
      <c r="D3512" s="3" t="s">
        <v>221</v>
      </c>
      <c r="E3512" s="3" t="s">
        <v>640</v>
      </c>
      <c r="F3512" s="7">
        <v>45818.38605117748</v>
      </c>
      <c r="G3512" s="3" t="s">
        <v>11096</v>
      </c>
    </row>
    <row r="3513">
      <c r="A3513" s="3" t="s">
        <v>11097</v>
      </c>
      <c r="B3513" s="3" t="s">
        <v>3637</v>
      </c>
      <c r="C3513" s="5" t="s">
        <v>221</v>
      </c>
      <c r="D3513" s="3" t="s">
        <v>614</v>
      </c>
      <c r="E3513" s="3" t="s">
        <v>118</v>
      </c>
      <c r="F3513" s="7">
        <v>45818.389523399695</v>
      </c>
      <c r="G3513" s="3" t="s">
        <v>11099</v>
      </c>
    </row>
    <row r="3514">
      <c r="A3514" s="3" t="s">
        <v>11100</v>
      </c>
      <c r="B3514" s="3" t="s">
        <v>3637</v>
      </c>
      <c r="C3514" s="5" t="s">
        <v>614</v>
      </c>
      <c r="D3514" s="3" t="s">
        <v>206</v>
      </c>
      <c r="E3514" s="3" t="s">
        <v>100</v>
      </c>
      <c r="F3514" s="7">
        <v>45818.39299562192</v>
      </c>
      <c r="G3514" s="3" t="s">
        <v>11101</v>
      </c>
    </row>
    <row r="3515">
      <c r="A3515" s="3" t="s">
        <v>11102</v>
      </c>
      <c r="B3515" s="3" t="s">
        <v>3637</v>
      </c>
      <c r="C3515" s="5" t="s">
        <v>206</v>
      </c>
      <c r="D3515" s="3" t="s">
        <v>68</v>
      </c>
      <c r="E3515" s="3" t="s">
        <v>100</v>
      </c>
      <c r="F3515" s="7">
        <v>45818.39646784414</v>
      </c>
      <c r="G3515" s="3" t="s">
        <v>11105</v>
      </c>
    </row>
    <row r="3516">
      <c r="A3516" s="3" t="s">
        <v>11106</v>
      </c>
      <c r="B3516" s="3" t="s">
        <v>3640</v>
      </c>
      <c r="C3516" s="5" t="s">
        <v>45</v>
      </c>
      <c r="D3516" s="3" t="s">
        <v>221</v>
      </c>
      <c r="E3516" s="3" t="s">
        <v>296</v>
      </c>
      <c r="F3516" s="7">
        <v>45818.45722602289</v>
      </c>
      <c r="G3516" s="3" t="s">
        <v>11108</v>
      </c>
    </row>
    <row r="3517">
      <c r="A3517" s="3" t="s">
        <v>11109</v>
      </c>
      <c r="B3517" s="3" t="s">
        <v>3640</v>
      </c>
      <c r="C3517" s="5" t="s">
        <v>221</v>
      </c>
      <c r="D3517" s="3" t="s">
        <v>614</v>
      </c>
      <c r="E3517" s="3" t="s">
        <v>118</v>
      </c>
      <c r="F3517" s="7">
        <v>45818.46069824511</v>
      </c>
      <c r="G3517" s="3" t="s">
        <v>11111</v>
      </c>
    </row>
    <row r="3518">
      <c r="A3518" s="3" t="s">
        <v>11112</v>
      </c>
      <c r="B3518" s="3" t="s">
        <v>3640</v>
      </c>
      <c r="C3518" s="5" t="s">
        <v>614</v>
      </c>
      <c r="D3518" s="3" t="s">
        <v>206</v>
      </c>
      <c r="E3518" s="3" t="s">
        <v>100</v>
      </c>
      <c r="F3518" s="7">
        <v>45818.464170467334</v>
      </c>
      <c r="G3518" s="3" t="s">
        <v>11114</v>
      </c>
    </row>
    <row r="3519">
      <c r="A3519" s="3" t="s">
        <v>11115</v>
      </c>
      <c r="B3519" s="3" t="s">
        <v>3640</v>
      </c>
      <c r="C3519" s="5" t="s">
        <v>206</v>
      </c>
      <c r="D3519" s="3" t="s">
        <v>68</v>
      </c>
      <c r="E3519" s="3" t="s">
        <v>100</v>
      </c>
      <c r="F3519" s="7">
        <v>45818.46764268955</v>
      </c>
      <c r="G3519" s="3" t="s">
        <v>11117</v>
      </c>
    </row>
    <row r="3520">
      <c r="A3520" s="3" t="s">
        <v>11118</v>
      </c>
      <c r="B3520" s="3" t="s">
        <v>3643</v>
      </c>
      <c r="C3520" s="5" t="s">
        <v>45</v>
      </c>
      <c r="D3520" s="3" t="s">
        <v>221</v>
      </c>
      <c r="E3520" s="3" t="s">
        <v>640</v>
      </c>
      <c r="F3520" s="7">
        <v>45818.5284008683</v>
      </c>
      <c r="G3520" s="3" t="s">
        <v>11120</v>
      </c>
    </row>
    <row r="3521">
      <c r="A3521" s="3" t="s">
        <v>11121</v>
      </c>
      <c r="B3521" s="3" t="s">
        <v>3643</v>
      </c>
      <c r="C3521" s="5" t="s">
        <v>221</v>
      </c>
      <c r="D3521" s="3" t="s">
        <v>614</v>
      </c>
      <c r="E3521" s="3" t="s">
        <v>118</v>
      </c>
      <c r="F3521" s="7">
        <v>45818.53187309052</v>
      </c>
      <c r="G3521" s="3" t="s">
        <v>11122</v>
      </c>
    </row>
    <row r="3522">
      <c r="A3522" s="3" t="s">
        <v>11124</v>
      </c>
      <c r="B3522" s="3" t="s">
        <v>3643</v>
      </c>
      <c r="C3522" s="5" t="s">
        <v>614</v>
      </c>
      <c r="D3522" s="3" t="s">
        <v>206</v>
      </c>
      <c r="E3522" s="3" t="s">
        <v>100</v>
      </c>
      <c r="F3522" s="7">
        <v>45818.535345312746</v>
      </c>
      <c r="G3522" s="3" t="s">
        <v>11125</v>
      </c>
    </row>
    <row r="3523">
      <c r="A3523" s="3" t="s">
        <v>11126</v>
      </c>
      <c r="B3523" s="3" t="s">
        <v>3643</v>
      </c>
      <c r="C3523" s="5" t="s">
        <v>206</v>
      </c>
      <c r="D3523" s="3" t="s">
        <v>68</v>
      </c>
      <c r="E3523" s="3" t="s">
        <v>100</v>
      </c>
      <c r="F3523" s="7">
        <v>45818.538817534965</v>
      </c>
      <c r="G3523" s="3" t="s">
        <v>11128</v>
      </c>
    </row>
    <row r="3524">
      <c r="A3524" s="3" t="s">
        <v>11129</v>
      </c>
      <c r="B3524" s="3" t="s">
        <v>3646</v>
      </c>
      <c r="C3524" s="5" t="s">
        <v>45</v>
      </c>
      <c r="D3524" s="3" t="s">
        <v>221</v>
      </c>
      <c r="E3524" s="3" t="s">
        <v>742</v>
      </c>
      <c r="F3524" s="7">
        <v>45818.59957571372</v>
      </c>
      <c r="G3524" s="3" t="s">
        <v>11131</v>
      </c>
    </row>
    <row r="3525">
      <c r="A3525" s="3" t="s">
        <v>11132</v>
      </c>
      <c r="B3525" s="3" t="s">
        <v>3646</v>
      </c>
      <c r="C3525" s="5" t="s">
        <v>221</v>
      </c>
      <c r="D3525" s="3" t="s">
        <v>195</v>
      </c>
      <c r="E3525" s="3" t="s">
        <v>742</v>
      </c>
      <c r="F3525" s="7">
        <v>45818.60304793594</v>
      </c>
      <c r="G3525" s="3" t="s">
        <v>11134</v>
      </c>
    </row>
    <row r="3526">
      <c r="A3526" s="3" t="s">
        <v>11135</v>
      </c>
      <c r="B3526" s="3" t="s">
        <v>3649</v>
      </c>
      <c r="C3526" s="5" t="s">
        <v>45</v>
      </c>
      <c r="D3526" s="3" t="s">
        <v>221</v>
      </c>
      <c r="E3526" s="3" t="s">
        <v>665</v>
      </c>
      <c r="F3526" s="7">
        <v>45818.67075055913</v>
      </c>
      <c r="G3526" s="3" t="s">
        <v>11137</v>
      </c>
    </row>
    <row r="3527">
      <c r="A3527" s="3" t="s">
        <v>11138</v>
      </c>
      <c r="B3527" s="3" t="s">
        <v>3649</v>
      </c>
      <c r="C3527" s="5" t="s">
        <v>221</v>
      </c>
      <c r="D3527" s="3" t="s">
        <v>614</v>
      </c>
      <c r="E3527" s="3" t="s">
        <v>118</v>
      </c>
      <c r="F3527" s="7">
        <v>45818.67422278135</v>
      </c>
      <c r="G3527" s="3" t="s">
        <v>11140</v>
      </c>
    </row>
    <row r="3528">
      <c r="A3528" s="3" t="s">
        <v>11141</v>
      </c>
      <c r="B3528" s="3" t="s">
        <v>3649</v>
      </c>
      <c r="C3528" s="5" t="s">
        <v>614</v>
      </c>
      <c r="D3528" s="3" t="s">
        <v>206</v>
      </c>
      <c r="E3528" s="3" t="s">
        <v>100</v>
      </c>
      <c r="F3528" s="7">
        <v>45818.67769500358</v>
      </c>
      <c r="G3528" s="3" t="s">
        <v>11143</v>
      </c>
    </row>
    <row r="3529">
      <c r="A3529" s="3" t="s">
        <v>11144</v>
      </c>
      <c r="B3529" s="3" t="s">
        <v>3649</v>
      </c>
      <c r="C3529" s="5" t="s">
        <v>206</v>
      </c>
      <c r="D3529" s="3" t="s">
        <v>68</v>
      </c>
      <c r="E3529" s="3" t="s">
        <v>100</v>
      </c>
      <c r="F3529" s="7">
        <v>45818.6811672258</v>
      </c>
      <c r="G3529" s="3" t="s">
        <v>11145</v>
      </c>
    </row>
    <row r="3530">
      <c r="A3530" s="3" t="s">
        <v>11146</v>
      </c>
      <c r="B3530" s="3" t="s">
        <v>3652</v>
      </c>
      <c r="C3530" s="5" t="s">
        <v>45</v>
      </c>
      <c r="D3530" s="3" t="s">
        <v>221</v>
      </c>
      <c r="E3530" s="3" t="s">
        <v>211</v>
      </c>
      <c r="F3530" s="7">
        <v>45818.741925404545</v>
      </c>
      <c r="G3530" s="3" t="s">
        <v>11148</v>
      </c>
    </row>
    <row r="3531">
      <c r="A3531" s="3" t="s">
        <v>11149</v>
      </c>
      <c r="B3531" s="3" t="s">
        <v>3652</v>
      </c>
      <c r="C3531" s="5" t="s">
        <v>221</v>
      </c>
      <c r="D3531" s="3" t="s">
        <v>614</v>
      </c>
      <c r="E3531" s="3" t="s">
        <v>118</v>
      </c>
      <c r="F3531" s="7">
        <v>45818.745397626764</v>
      </c>
      <c r="G3531" s="3" t="s">
        <v>11151</v>
      </c>
    </row>
    <row r="3532">
      <c r="A3532" s="3" t="s">
        <v>11152</v>
      </c>
      <c r="B3532" s="3" t="s">
        <v>3652</v>
      </c>
      <c r="C3532" s="5" t="s">
        <v>614</v>
      </c>
      <c r="D3532" s="3" t="s">
        <v>206</v>
      </c>
      <c r="E3532" s="3" t="s">
        <v>100</v>
      </c>
      <c r="F3532" s="7">
        <v>45818.74886984899</v>
      </c>
      <c r="G3532" s="3" t="s">
        <v>11154</v>
      </c>
    </row>
    <row r="3533">
      <c r="A3533" s="3" t="s">
        <v>11155</v>
      </c>
      <c r="B3533" s="3" t="s">
        <v>3652</v>
      </c>
      <c r="C3533" s="5" t="s">
        <v>206</v>
      </c>
      <c r="D3533" s="3" t="s">
        <v>68</v>
      </c>
      <c r="E3533" s="3" t="s">
        <v>100</v>
      </c>
      <c r="F3533" s="7">
        <v>45818.75234207121</v>
      </c>
      <c r="G3533" s="3" t="s">
        <v>11157</v>
      </c>
    </row>
    <row r="3534">
      <c r="A3534" s="3" t="s">
        <v>11158</v>
      </c>
      <c r="B3534" s="3" t="s">
        <v>3657</v>
      </c>
      <c r="C3534" s="5" t="s">
        <v>45</v>
      </c>
      <c r="D3534" s="3" t="s">
        <v>221</v>
      </c>
      <c r="E3534" s="3" t="s">
        <v>627</v>
      </c>
      <c r="F3534" s="7">
        <v>45818.813100249965</v>
      </c>
      <c r="G3534" s="3" t="s">
        <v>4460</v>
      </c>
    </row>
    <row r="3535">
      <c r="A3535" s="3" t="s">
        <v>11160</v>
      </c>
      <c r="B3535" s="3" t="s">
        <v>3657</v>
      </c>
      <c r="C3535" s="5" t="s">
        <v>221</v>
      </c>
      <c r="D3535" s="3" t="s">
        <v>195</v>
      </c>
      <c r="E3535" s="3" t="s">
        <v>627</v>
      </c>
      <c r="F3535" s="7">
        <v>45818.816572472184</v>
      </c>
      <c r="G3535" s="3" t="s">
        <v>11161</v>
      </c>
    </row>
    <row r="3536">
      <c r="A3536" s="3" t="s">
        <v>11162</v>
      </c>
      <c r="B3536" s="3" t="s">
        <v>3660</v>
      </c>
      <c r="C3536" s="5" t="s">
        <v>45</v>
      </c>
      <c r="D3536" s="3" t="s">
        <v>221</v>
      </c>
      <c r="E3536" s="3" t="s">
        <v>682</v>
      </c>
      <c r="F3536" s="7">
        <v>45818.884275095385</v>
      </c>
      <c r="G3536" s="3" t="s">
        <v>6556</v>
      </c>
    </row>
    <row r="3537">
      <c r="A3537" s="3" t="s">
        <v>11164</v>
      </c>
      <c r="B3537" s="3" t="s">
        <v>3660</v>
      </c>
      <c r="C3537" s="5" t="s">
        <v>221</v>
      </c>
      <c r="D3537" s="3" t="s">
        <v>614</v>
      </c>
      <c r="E3537" s="3" t="s">
        <v>118</v>
      </c>
      <c r="F3537" s="7">
        <v>45818.8877473176</v>
      </c>
      <c r="G3537" s="3" t="s">
        <v>6559</v>
      </c>
    </row>
    <row r="3538">
      <c r="A3538" s="3" t="s">
        <v>11166</v>
      </c>
      <c r="B3538" s="3" t="s">
        <v>3660</v>
      </c>
      <c r="C3538" s="5" t="s">
        <v>614</v>
      </c>
      <c r="D3538" s="3" t="s">
        <v>206</v>
      </c>
      <c r="E3538" s="3" t="s">
        <v>100</v>
      </c>
      <c r="F3538" s="7">
        <v>45818.89121953983</v>
      </c>
      <c r="G3538" s="3" t="s">
        <v>6562</v>
      </c>
    </row>
    <row r="3539">
      <c r="A3539" s="3" t="s">
        <v>11168</v>
      </c>
      <c r="B3539" s="3" t="s">
        <v>3660</v>
      </c>
      <c r="C3539" s="5" t="s">
        <v>206</v>
      </c>
      <c r="D3539" s="3" t="s">
        <v>68</v>
      </c>
      <c r="E3539" s="3" t="s">
        <v>100</v>
      </c>
      <c r="F3539" s="7">
        <v>45818.89469176205</v>
      </c>
      <c r="G3539" s="3" t="s">
        <v>6565</v>
      </c>
    </row>
    <row r="3540">
      <c r="A3540" s="3" t="s">
        <v>11170</v>
      </c>
      <c r="B3540" s="3" t="s">
        <v>3663</v>
      </c>
      <c r="C3540" s="5" t="s">
        <v>45</v>
      </c>
      <c r="D3540" s="3" t="s">
        <v>221</v>
      </c>
      <c r="E3540" s="3" t="s">
        <v>260</v>
      </c>
      <c r="F3540" s="7">
        <v>45818.95544994079</v>
      </c>
      <c r="G3540" s="3" t="s">
        <v>9366</v>
      </c>
    </row>
    <row r="3541">
      <c r="A3541" s="3" t="s">
        <v>11172</v>
      </c>
      <c r="B3541" s="3" t="s">
        <v>3663</v>
      </c>
      <c r="C3541" s="5" t="s">
        <v>221</v>
      </c>
      <c r="D3541" s="3" t="s">
        <v>614</v>
      </c>
      <c r="E3541" s="3" t="s">
        <v>118</v>
      </c>
      <c r="F3541" s="7">
        <v>45818.95892216301</v>
      </c>
      <c r="G3541" s="3" t="s">
        <v>9369</v>
      </c>
    </row>
    <row r="3542">
      <c r="A3542" s="3" t="s">
        <v>11174</v>
      </c>
      <c r="B3542" s="3" t="s">
        <v>3663</v>
      </c>
      <c r="C3542" s="5" t="s">
        <v>614</v>
      </c>
      <c r="D3542" s="3" t="s">
        <v>206</v>
      </c>
      <c r="E3542" s="3" t="s">
        <v>100</v>
      </c>
      <c r="F3542" s="7">
        <v>45818.962394385235</v>
      </c>
      <c r="G3542" s="3" t="s">
        <v>9372</v>
      </c>
    </row>
    <row r="3543">
      <c r="A3543" s="3" t="s">
        <v>11176</v>
      </c>
      <c r="B3543" s="3" t="s">
        <v>3663</v>
      </c>
      <c r="C3543" s="5" t="s">
        <v>206</v>
      </c>
      <c r="D3543" s="3" t="s">
        <v>68</v>
      </c>
      <c r="E3543" s="3" t="s">
        <v>100</v>
      </c>
      <c r="F3543" s="7">
        <v>45818.965866607454</v>
      </c>
      <c r="G3543" s="3" t="s">
        <v>9375</v>
      </c>
    </row>
    <row r="3544">
      <c r="A3544" s="3" t="s">
        <v>11178</v>
      </c>
      <c r="B3544" s="3" t="s">
        <v>3666</v>
      </c>
      <c r="C3544" s="5" t="s">
        <v>45</v>
      </c>
      <c r="D3544" s="3" t="s">
        <v>221</v>
      </c>
      <c r="E3544" s="3" t="s">
        <v>574</v>
      </c>
      <c r="F3544" s="7">
        <v>45819.02662478621</v>
      </c>
      <c r="G3544" s="3" t="s">
        <v>11180</v>
      </c>
    </row>
    <row r="3545">
      <c r="A3545" s="3" t="s">
        <v>11182</v>
      </c>
      <c r="B3545" s="3" t="s">
        <v>3666</v>
      </c>
      <c r="C3545" s="5" t="s">
        <v>221</v>
      </c>
      <c r="D3545" s="3" t="s">
        <v>614</v>
      </c>
      <c r="E3545" s="3" t="s">
        <v>118</v>
      </c>
      <c r="F3545" s="7">
        <v>45819.03009700843</v>
      </c>
      <c r="G3545" s="3" t="s">
        <v>11183</v>
      </c>
    </row>
    <row r="3546">
      <c r="A3546" s="3" t="s">
        <v>11184</v>
      </c>
      <c r="B3546" s="3" t="s">
        <v>3666</v>
      </c>
      <c r="C3546" s="5" t="s">
        <v>614</v>
      </c>
      <c r="D3546" s="3" t="s">
        <v>206</v>
      </c>
      <c r="E3546" s="3" t="s">
        <v>100</v>
      </c>
      <c r="F3546" s="7">
        <v>45819.033569230654</v>
      </c>
      <c r="G3546" s="3" t="s">
        <v>11186</v>
      </c>
    </row>
    <row r="3547">
      <c r="A3547" s="3" t="s">
        <v>11187</v>
      </c>
      <c r="B3547" s="3" t="s">
        <v>3666</v>
      </c>
      <c r="C3547" s="5" t="s">
        <v>206</v>
      </c>
      <c r="D3547" s="3" t="s">
        <v>68</v>
      </c>
      <c r="E3547" s="3" t="s">
        <v>100</v>
      </c>
      <c r="F3547" s="7">
        <v>45819.03704145287</v>
      </c>
      <c r="G3547" s="3" t="s">
        <v>11189</v>
      </c>
    </row>
    <row r="3548">
      <c r="A3548" s="3" t="s">
        <v>11190</v>
      </c>
      <c r="B3548" s="3" t="s">
        <v>3669</v>
      </c>
      <c r="C3548" s="5" t="s">
        <v>45</v>
      </c>
      <c r="D3548" s="3" t="s">
        <v>221</v>
      </c>
      <c r="E3548" s="3" t="s">
        <v>575</v>
      </c>
      <c r="F3548" s="7">
        <v>45819.09779963163</v>
      </c>
      <c r="G3548" s="3" t="s">
        <v>11192</v>
      </c>
    </row>
    <row r="3549">
      <c r="A3549" s="3" t="s">
        <v>11193</v>
      </c>
      <c r="B3549" s="3" t="s">
        <v>3669</v>
      </c>
      <c r="C3549" s="5" t="s">
        <v>221</v>
      </c>
      <c r="D3549" s="3" t="s">
        <v>614</v>
      </c>
      <c r="E3549" s="3" t="s">
        <v>118</v>
      </c>
      <c r="F3549" s="7">
        <v>45819.10127185385</v>
      </c>
      <c r="G3549" s="3" t="s">
        <v>11194</v>
      </c>
    </row>
    <row r="3550">
      <c r="A3550" s="3" t="s">
        <v>11196</v>
      </c>
      <c r="B3550" s="3" t="s">
        <v>3669</v>
      </c>
      <c r="C3550" s="5" t="s">
        <v>614</v>
      </c>
      <c r="D3550" s="3" t="s">
        <v>206</v>
      </c>
      <c r="E3550" s="3" t="s">
        <v>100</v>
      </c>
      <c r="F3550" s="7">
        <v>45819.104744076074</v>
      </c>
      <c r="G3550" s="3" t="s">
        <v>11197</v>
      </c>
    </row>
    <row r="3551">
      <c r="A3551" s="3" t="s">
        <v>11198</v>
      </c>
      <c r="B3551" s="3" t="s">
        <v>3669</v>
      </c>
      <c r="C3551" s="5" t="s">
        <v>206</v>
      </c>
      <c r="D3551" s="3" t="s">
        <v>68</v>
      </c>
      <c r="E3551" s="3" t="s">
        <v>100</v>
      </c>
      <c r="F3551" s="7">
        <v>45819.10821629829</v>
      </c>
      <c r="G3551" s="3" t="s">
        <v>11200</v>
      </c>
    </row>
    <row r="3552">
      <c r="A3552" s="3" t="s">
        <v>11201</v>
      </c>
      <c r="B3552" s="3" t="s">
        <v>3672</v>
      </c>
      <c r="C3552" s="5" t="s">
        <v>45</v>
      </c>
      <c r="D3552" s="3" t="s">
        <v>221</v>
      </c>
      <c r="E3552" s="3" t="s">
        <v>1040</v>
      </c>
      <c r="F3552" s="7">
        <v>45819.16897447704</v>
      </c>
      <c r="G3552" s="3" t="s">
        <v>8181</v>
      </c>
    </row>
    <row r="3553">
      <c r="A3553" s="3" t="s">
        <v>11203</v>
      </c>
      <c r="B3553" s="3" t="s">
        <v>3672</v>
      </c>
      <c r="C3553" s="5" t="s">
        <v>221</v>
      </c>
      <c r="D3553" s="3" t="s">
        <v>614</v>
      </c>
      <c r="E3553" s="3" t="s">
        <v>118</v>
      </c>
      <c r="F3553" s="7">
        <v>45819.17244669926</v>
      </c>
      <c r="G3553" s="3" t="s">
        <v>11205</v>
      </c>
    </row>
    <row r="3554">
      <c r="A3554" s="3" t="s">
        <v>11206</v>
      </c>
      <c r="B3554" s="3" t="s">
        <v>3672</v>
      </c>
      <c r="C3554" s="5" t="s">
        <v>614</v>
      </c>
      <c r="D3554" s="3" t="s">
        <v>206</v>
      </c>
      <c r="E3554" s="3" t="s">
        <v>100</v>
      </c>
      <c r="F3554" s="7">
        <v>45819.175918921486</v>
      </c>
      <c r="G3554" s="3" t="s">
        <v>11208</v>
      </c>
    </row>
    <row r="3555">
      <c r="A3555" s="3" t="s">
        <v>11209</v>
      </c>
      <c r="B3555" s="3" t="s">
        <v>3672</v>
      </c>
      <c r="C3555" s="5" t="s">
        <v>206</v>
      </c>
      <c r="D3555" s="3" t="s">
        <v>68</v>
      </c>
      <c r="E3555" s="3" t="s">
        <v>100</v>
      </c>
      <c r="F3555" s="7">
        <v>45819.179391143705</v>
      </c>
      <c r="G3555" s="3" t="s">
        <v>11211</v>
      </c>
    </row>
    <row r="3556">
      <c r="A3556" s="3" t="s">
        <v>11212</v>
      </c>
      <c r="B3556" s="3" t="s">
        <v>3675</v>
      </c>
      <c r="C3556" s="5" t="s">
        <v>45</v>
      </c>
      <c r="D3556" s="3" t="s">
        <v>221</v>
      </c>
      <c r="E3556" s="3" t="s">
        <v>758</v>
      </c>
      <c r="F3556" s="7">
        <v>45819.24014932245</v>
      </c>
      <c r="G3556" s="3" t="s">
        <v>11214</v>
      </c>
    </row>
    <row r="3557">
      <c r="A3557" s="3" t="s">
        <v>11215</v>
      </c>
      <c r="B3557" s="3" t="s">
        <v>3675</v>
      </c>
      <c r="C3557" s="5" t="s">
        <v>221</v>
      </c>
      <c r="D3557" s="3" t="s">
        <v>614</v>
      </c>
      <c r="E3557" s="3" t="s">
        <v>118</v>
      </c>
      <c r="F3557" s="7">
        <v>45819.24362154467</v>
      </c>
      <c r="G3557" s="3" t="s">
        <v>11216</v>
      </c>
    </row>
    <row r="3558">
      <c r="A3558" s="3" t="s">
        <v>11217</v>
      </c>
      <c r="B3558" s="3" t="s">
        <v>3675</v>
      </c>
      <c r="C3558" s="5" t="s">
        <v>614</v>
      </c>
      <c r="D3558" s="3" t="s">
        <v>206</v>
      </c>
      <c r="E3558" s="3" t="s">
        <v>100</v>
      </c>
      <c r="F3558" s="7">
        <v>45819.2470937669</v>
      </c>
      <c r="G3558" s="3" t="s">
        <v>11218</v>
      </c>
    </row>
    <row r="3559">
      <c r="A3559" s="3" t="s">
        <v>11219</v>
      </c>
      <c r="B3559" s="3" t="s">
        <v>3675</v>
      </c>
      <c r="C3559" s="5" t="s">
        <v>206</v>
      </c>
      <c r="D3559" s="3" t="s">
        <v>68</v>
      </c>
      <c r="E3559" s="3" t="s">
        <v>100</v>
      </c>
      <c r="F3559" s="7">
        <v>45819.25056598912</v>
      </c>
      <c r="G3559" s="3" t="s">
        <v>11221</v>
      </c>
    </row>
    <row r="3560">
      <c r="A3560" s="3" t="s">
        <v>11222</v>
      </c>
      <c r="B3560" s="3" t="s">
        <v>3678</v>
      </c>
      <c r="C3560" s="5" t="s">
        <v>45</v>
      </c>
      <c r="D3560" s="3" t="s">
        <v>221</v>
      </c>
      <c r="E3560" s="3" t="s">
        <v>993</v>
      </c>
      <c r="F3560" s="7">
        <v>45819.31132416787</v>
      </c>
      <c r="G3560" s="3" t="s">
        <v>11224</v>
      </c>
    </row>
    <row r="3561">
      <c r="A3561" s="3" t="s">
        <v>11225</v>
      </c>
      <c r="B3561" s="3" t="s">
        <v>3678</v>
      </c>
      <c r="C3561" s="5" t="s">
        <v>221</v>
      </c>
      <c r="D3561" s="3" t="s">
        <v>614</v>
      </c>
      <c r="E3561" s="3" t="s">
        <v>118</v>
      </c>
      <c r="F3561" s="7">
        <v>45819.31479639009</v>
      </c>
      <c r="G3561" s="3" t="s">
        <v>11226</v>
      </c>
    </row>
    <row r="3562">
      <c r="A3562" s="3" t="s">
        <v>11228</v>
      </c>
      <c r="B3562" s="3" t="s">
        <v>3678</v>
      </c>
      <c r="C3562" s="5" t="s">
        <v>614</v>
      </c>
      <c r="D3562" s="3" t="s">
        <v>206</v>
      </c>
      <c r="E3562" s="3" t="s">
        <v>100</v>
      </c>
      <c r="F3562" s="7">
        <v>45819.31826861232</v>
      </c>
      <c r="G3562" s="3" t="s">
        <v>11229</v>
      </c>
    </row>
    <row r="3563">
      <c r="A3563" s="3" t="s">
        <v>11231</v>
      </c>
      <c r="B3563" s="3" t="s">
        <v>3678</v>
      </c>
      <c r="C3563" s="5" t="s">
        <v>206</v>
      </c>
      <c r="D3563" s="3" t="s">
        <v>68</v>
      </c>
      <c r="E3563" s="3" t="s">
        <v>100</v>
      </c>
      <c r="F3563" s="7">
        <v>45819.32174083454</v>
      </c>
      <c r="G3563" s="3" t="s">
        <v>11232</v>
      </c>
    </row>
    <row r="3564">
      <c r="A3564" s="3" t="s">
        <v>11233</v>
      </c>
      <c r="B3564" s="3" t="s">
        <v>3681</v>
      </c>
      <c r="C3564" s="5" t="s">
        <v>45</v>
      </c>
      <c r="D3564" s="3" t="s">
        <v>221</v>
      </c>
      <c r="E3564" s="3" t="s">
        <v>455</v>
      </c>
      <c r="F3564" s="7">
        <v>45819.382499013285</v>
      </c>
      <c r="G3564" s="3" t="s">
        <v>11235</v>
      </c>
    </row>
    <row r="3565">
      <c r="A3565" s="3" t="s">
        <v>11236</v>
      </c>
      <c r="B3565" s="3" t="s">
        <v>3681</v>
      </c>
      <c r="C3565" s="5" t="s">
        <v>221</v>
      </c>
      <c r="D3565" s="3" t="s">
        <v>614</v>
      </c>
      <c r="E3565" s="3" t="s">
        <v>118</v>
      </c>
      <c r="F3565" s="7">
        <v>45819.385971235504</v>
      </c>
      <c r="G3565" s="3" t="s">
        <v>11238</v>
      </c>
    </row>
    <row r="3566">
      <c r="A3566" s="3" t="s">
        <v>11239</v>
      </c>
      <c r="B3566" s="3" t="s">
        <v>3681</v>
      </c>
      <c r="C3566" s="5" t="s">
        <v>614</v>
      </c>
      <c r="D3566" s="3" t="s">
        <v>206</v>
      </c>
      <c r="E3566" s="3" t="s">
        <v>100</v>
      </c>
      <c r="F3566" s="7">
        <v>45819.38944345773</v>
      </c>
      <c r="G3566" s="3" t="s">
        <v>11241</v>
      </c>
    </row>
    <row r="3567">
      <c r="A3567" s="3" t="s">
        <v>11242</v>
      </c>
      <c r="B3567" s="3" t="s">
        <v>3681</v>
      </c>
      <c r="C3567" s="5" t="s">
        <v>206</v>
      </c>
      <c r="D3567" s="3" t="s">
        <v>68</v>
      </c>
      <c r="E3567" s="3" t="s">
        <v>100</v>
      </c>
      <c r="F3567" s="7">
        <v>45819.39291567995</v>
      </c>
      <c r="G3567" s="3" t="s">
        <v>11244</v>
      </c>
    </row>
    <row r="3568">
      <c r="A3568" s="3" t="s">
        <v>11245</v>
      </c>
      <c r="B3568" s="3" t="s">
        <v>3684</v>
      </c>
      <c r="C3568" s="5" t="s">
        <v>45</v>
      </c>
      <c r="D3568" s="3" t="s">
        <v>221</v>
      </c>
      <c r="E3568" s="3" t="s">
        <v>282</v>
      </c>
      <c r="F3568" s="7">
        <v>45819.4536738587</v>
      </c>
      <c r="G3568" s="3" t="s">
        <v>11246</v>
      </c>
    </row>
    <row r="3569">
      <c r="A3569" s="3" t="s">
        <v>11248</v>
      </c>
      <c r="B3569" s="3" t="s">
        <v>3684</v>
      </c>
      <c r="C3569" s="5" t="s">
        <v>221</v>
      </c>
      <c r="D3569" s="3" t="s">
        <v>195</v>
      </c>
      <c r="E3569" s="3" t="s">
        <v>282</v>
      </c>
      <c r="F3569" s="7">
        <v>45819.45714608092</v>
      </c>
      <c r="G3569" s="3" t="s">
        <v>11249</v>
      </c>
    </row>
    <row r="3570">
      <c r="A3570" s="3" t="s">
        <v>11250</v>
      </c>
      <c r="B3570" s="3" t="s">
        <v>3687</v>
      </c>
      <c r="C3570" s="5" t="s">
        <v>45</v>
      </c>
      <c r="D3570" s="3" t="s">
        <v>221</v>
      </c>
      <c r="E3570" s="3" t="s">
        <v>616</v>
      </c>
      <c r="F3570" s="7">
        <v>45819.52484870412</v>
      </c>
      <c r="G3570" s="3" t="s">
        <v>11252</v>
      </c>
    </row>
    <row r="3571">
      <c r="A3571" s="3" t="s">
        <v>11253</v>
      </c>
      <c r="B3571" s="3" t="s">
        <v>3687</v>
      </c>
      <c r="C3571" s="5" t="s">
        <v>221</v>
      </c>
      <c r="D3571" s="3" t="s">
        <v>614</v>
      </c>
      <c r="E3571" s="3" t="s">
        <v>118</v>
      </c>
      <c r="F3571" s="7">
        <v>45819.528320926336</v>
      </c>
      <c r="G3571" s="3" t="s">
        <v>11255</v>
      </c>
    </row>
    <row r="3572">
      <c r="A3572" s="3" t="s">
        <v>11257</v>
      </c>
      <c r="B3572" s="3" t="s">
        <v>3687</v>
      </c>
      <c r="C3572" s="5" t="s">
        <v>614</v>
      </c>
      <c r="D3572" s="3" t="s">
        <v>206</v>
      </c>
      <c r="E3572" s="3" t="s">
        <v>100</v>
      </c>
      <c r="F3572" s="7">
        <v>45819.53179314856</v>
      </c>
      <c r="G3572" s="3" t="s">
        <v>11259</v>
      </c>
    </row>
    <row r="3573">
      <c r="A3573" s="3" t="s">
        <v>11260</v>
      </c>
      <c r="B3573" s="3" t="s">
        <v>3687</v>
      </c>
      <c r="C3573" s="5" t="s">
        <v>206</v>
      </c>
      <c r="D3573" s="3" t="s">
        <v>68</v>
      </c>
      <c r="E3573" s="3" t="s">
        <v>100</v>
      </c>
      <c r="F3573" s="7">
        <v>45819.53526537078</v>
      </c>
      <c r="G3573" s="3" t="s">
        <v>11262</v>
      </c>
    </row>
    <row r="3574">
      <c r="A3574" s="3" t="s">
        <v>11263</v>
      </c>
      <c r="B3574" s="3" t="s">
        <v>3691</v>
      </c>
      <c r="C3574" s="5" t="s">
        <v>45</v>
      </c>
      <c r="D3574" s="3" t="s">
        <v>221</v>
      </c>
      <c r="E3574" s="3" t="s">
        <v>838</v>
      </c>
      <c r="F3574" s="7">
        <v>45819.59602354953</v>
      </c>
      <c r="G3574" s="3" t="s">
        <v>11265</v>
      </c>
    </row>
    <row r="3575">
      <c r="A3575" s="3" t="s">
        <v>11266</v>
      </c>
      <c r="B3575" s="3" t="s">
        <v>3691</v>
      </c>
      <c r="C3575" s="5" t="s">
        <v>221</v>
      </c>
      <c r="D3575" s="3" t="s">
        <v>614</v>
      </c>
      <c r="E3575" s="3" t="s">
        <v>118</v>
      </c>
      <c r="F3575" s="7">
        <v>45819.59949577175</v>
      </c>
      <c r="G3575" s="3" t="s">
        <v>11268</v>
      </c>
    </row>
    <row r="3576">
      <c r="A3576" s="3" t="s">
        <v>11269</v>
      </c>
      <c r="B3576" s="3" t="s">
        <v>3691</v>
      </c>
      <c r="C3576" s="5" t="s">
        <v>614</v>
      </c>
      <c r="D3576" s="3" t="s">
        <v>206</v>
      </c>
      <c r="E3576" s="3" t="s">
        <v>100</v>
      </c>
      <c r="F3576" s="7">
        <v>45819.602967993975</v>
      </c>
      <c r="G3576" s="3" t="s">
        <v>11271</v>
      </c>
    </row>
    <row r="3577">
      <c r="A3577" s="3" t="s">
        <v>11272</v>
      </c>
      <c r="B3577" s="3" t="s">
        <v>3691</v>
      </c>
      <c r="C3577" s="5" t="s">
        <v>206</v>
      </c>
      <c r="D3577" s="3" t="s">
        <v>68</v>
      </c>
      <c r="E3577" s="3" t="s">
        <v>100</v>
      </c>
      <c r="F3577" s="7">
        <v>45819.606440216194</v>
      </c>
      <c r="G3577" s="3" t="s">
        <v>11273</v>
      </c>
    </row>
    <row r="3578">
      <c r="A3578" s="3" t="s">
        <v>11275</v>
      </c>
      <c r="B3578" s="3" t="s">
        <v>3694</v>
      </c>
      <c r="C3578" s="5" t="s">
        <v>45</v>
      </c>
      <c r="D3578" s="3" t="s">
        <v>221</v>
      </c>
      <c r="E3578" s="3" t="s">
        <v>269</v>
      </c>
      <c r="F3578" s="7">
        <v>45819.66719839494</v>
      </c>
      <c r="G3578" s="3" t="s">
        <v>11276</v>
      </c>
    </row>
    <row r="3579">
      <c r="A3579" s="3" t="s">
        <v>11277</v>
      </c>
      <c r="B3579" s="3" t="s">
        <v>3694</v>
      </c>
      <c r="C3579" s="5" t="s">
        <v>221</v>
      </c>
      <c r="D3579" s="3" t="s">
        <v>614</v>
      </c>
      <c r="E3579" s="3" t="s">
        <v>118</v>
      </c>
      <c r="F3579" s="7">
        <v>45819.67067061716</v>
      </c>
      <c r="G3579" s="3" t="s">
        <v>11279</v>
      </c>
    </row>
    <row r="3580">
      <c r="A3580" s="3" t="s">
        <v>11280</v>
      </c>
      <c r="B3580" s="3" t="s">
        <v>3694</v>
      </c>
      <c r="C3580" s="5" t="s">
        <v>614</v>
      </c>
      <c r="D3580" s="3" t="s">
        <v>206</v>
      </c>
      <c r="E3580" s="3" t="s">
        <v>100</v>
      </c>
      <c r="F3580" s="7">
        <v>45819.67414283939</v>
      </c>
      <c r="G3580" s="3" t="s">
        <v>11282</v>
      </c>
    </row>
    <row r="3581">
      <c r="A3581" s="3" t="s">
        <v>11283</v>
      </c>
      <c r="B3581" s="3" t="s">
        <v>3694</v>
      </c>
      <c r="C3581" s="5" t="s">
        <v>206</v>
      </c>
      <c r="D3581" s="3" t="s">
        <v>68</v>
      </c>
      <c r="E3581" s="3" t="s">
        <v>100</v>
      </c>
      <c r="F3581" s="7">
        <v>45819.677615061606</v>
      </c>
      <c r="G3581" s="3" t="s">
        <v>11284</v>
      </c>
    </row>
    <row r="3582">
      <c r="A3582" s="3" t="s">
        <v>11286</v>
      </c>
      <c r="B3582" s="3" t="s">
        <v>3697</v>
      </c>
      <c r="C3582" s="5" t="s">
        <v>45</v>
      </c>
      <c r="D3582" s="3" t="s">
        <v>221</v>
      </c>
      <c r="E3582" s="3" t="s">
        <v>233</v>
      </c>
      <c r="F3582" s="7">
        <v>45819.73837324036</v>
      </c>
      <c r="G3582" s="3" t="s">
        <v>11287</v>
      </c>
    </row>
    <row r="3583">
      <c r="A3583" s="3" t="s">
        <v>11289</v>
      </c>
      <c r="B3583" s="3" t="s">
        <v>3697</v>
      </c>
      <c r="C3583" s="5" t="s">
        <v>221</v>
      </c>
      <c r="D3583" s="3" t="s">
        <v>614</v>
      </c>
      <c r="E3583" s="3" t="s">
        <v>118</v>
      </c>
      <c r="F3583" s="7">
        <v>45819.74184546258</v>
      </c>
      <c r="G3583" s="3" t="s">
        <v>11290</v>
      </c>
    </row>
    <row r="3584">
      <c r="A3584" s="3" t="s">
        <v>11291</v>
      </c>
      <c r="B3584" s="3" t="s">
        <v>3697</v>
      </c>
      <c r="C3584" s="5" t="s">
        <v>614</v>
      </c>
      <c r="D3584" s="3" t="s">
        <v>206</v>
      </c>
      <c r="E3584" s="3" t="s">
        <v>100</v>
      </c>
      <c r="F3584" s="7">
        <v>45819.74531768481</v>
      </c>
      <c r="G3584" s="3" t="s">
        <v>11293</v>
      </c>
    </row>
    <row r="3585">
      <c r="A3585" s="3" t="s">
        <v>11294</v>
      </c>
      <c r="B3585" s="3" t="s">
        <v>3697</v>
      </c>
      <c r="C3585" s="5" t="s">
        <v>206</v>
      </c>
      <c r="D3585" s="3" t="s">
        <v>68</v>
      </c>
      <c r="E3585" s="3" t="s">
        <v>100</v>
      </c>
      <c r="F3585" s="7">
        <v>45819.748789907026</v>
      </c>
      <c r="G3585" s="3" t="s">
        <v>11296</v>
      </c>
    </row>
    <row r="3586">
      <c r="A3586" s="3" t="s">
        <v>11297</v>
      </c>
      <c r="B3586" s="3" t="s">
        <v>3701</v>
      </c>
      <c r="C3586" s="5" t="s">
        <v>45</v>
      </c>
      <c r="D3586" s="3" t="s">
        <v>221</v>
      </c>
      <c r="E3586" s="3" t="s">
        <v>903</v>
      </c>
      <c r="F3586" s="7">
        <v>45819.80954808578</v>
      </c>
      <c r="G3586" s="3" t="s">
        <v>11299</v>
      </c>
    </row>
    <row r="3587">
      <c r="A3587" s="3" t="s">
        <v>11300</v>
      </c>
      <c r="B3587" s="3" t="s">
        <v>3701</v>
      </c>
      <c r="C3587" s="5" t="s">
        <v>221</v>
      </c>
      <c r="D3587" s="3" t="s">
        <v>614</v>
      </c>
      <c r="E3587" s="3" t="s">
        <v>118</v>
      </c>
      <c r="F3587" s="7">
        <v>45819.813020308</v>
      </c>
      <c r="G3587" s="3" t="s">
        <v>11302</v>
      </c>
    </row>
    <row r="3588">
      <c r="A3588" s="3" t="s">
        <v>11303</v>
      </c>
      <c r="B3588" s="3" t="s">
        <v>3701</v>
      </c>
      <c r="C3588" s="5" t="s">
        <v>614</v>
      </c>
      <c r="D3588" s="3" t="s">
        <v>206</v>
      </c>
      <c r="E3588" s="3" t="s">
        <v>100</v>
      </c>
      <c r="F3588" s="7">
        <v>45819.816492530226</v>
      </c>
      <c r="G3588" s="3" t="s">
        <v>11304</v>
      </c>
    </row>
    <row r="3589">
      <c r="A3589" s="3" t="s">
        <v>11306</v>
      </c>
      <c r="B3589" s="3" t="s">
        <v>3701</v>
      </c>
      <c r="C3589" s="5" t="s">
        <v>206</v>
      </c>
      <c r="D3589" s="3" t="s">
        <v>68</v>
      </c>
      <c r="E3589" s="3" t="s">
        <v>100</v>
      </c>
      <c r="F3589" s="7">
        <v>45819.819964752445</v>
      </c>
      <c r="G3589" s="3" t="s">
        <v>11307</v>
      </c>
    </row>
    <row r="3590">
      <c r="A3590" s="3" t="s">
        <v>11308</v>
      </c>
      <c r="B3590" s="3" t="s">
        <v>3704</v>
      </c>
      <c r="C3590" s="5" t="s">
        <v>45</v>
      </c>
      <c r="D3590" s="3" t="s">
        <v>221</v>
      </c>
      <c r="E3590" s="3" t="s">
        <v>864</v>
      </c>
      <c r="F3590" s="7">
        <v>45819.880722931186</v>
      </c>
      <c r="G3590" s="3" t="s">
        <v>11310</v>
      </c>
    </row>
    <row r="3591">
      <c r="A3591" s="3" t="s">
        <v>11311</v>
      </c>
      <c r="B3591" s="3" t="s">
        <v>3704</v>
      </c>
      <c r="C3591" s="5" t="s">
        <v>221</v>
      </c>
      <c r="D3591" s="3" t="s">
        <v>181</v>
      </c>
      <c r="E3591" s="3" t="s">
        <v>118</v>
      </c>
      <c r="F3591" s="7">
        <v>45819.884195153405</v>
      </c>
      <c r="G3591" s="3" t="s">
        <v>11313</v>
      </c>
    </row>
    <row r="3592">
      <c r="A3592" s="3" t="s">
        <v>11314</v>
      </c>
      <c r="B3592" s="3" t="s">
        <v>3708</v>
      </c>
      <c r="C3592" s="5" t="s">
        <v>45</v>
      </c>
      <c r="D3592" s="3" t="s">
        <v>221</v>
      </c>
      <c r="E3592" s="3" t="s">
        <v>987</v>
      </c>
      <c r="F3592" s="7">
        <v>45819.951897776606</v>
      </c>
      <c r="G3592" s="3" t="s">
        <v>11316</v>
      </c>
    </row>
    <row r="3593">
      <c r="A3593" s="3" t="s">
        <v>11317</v>
      </c>
      <c r="B3593" s="3" t="s">
        <v>3708</v>
      </c>
      <c r="C3593" s="5" t="s">
        <v>221</v>
      </c>
      <c r="D3593" s="3" t="s">
        <v>614</v>
      </c>
      <c r="E3593" s="3" t="s">
        <v>118</v>
      </c>
      <c r="F3593" s="7">
        <v>45819.955369998825</v>
      </c>
      <c r="G3593" s="3" t="s">
        <v>11319</v>
      </c>
    </row>
    <row r="3594">
      <c r="A3594" s="3" t="s">
        <v>11320</v>
      </c>
      <c r="B3594" s="3" t="s">
        <v>3708</v>
      </c>
      <c r="C3594" s="5" t="s">
        <v>614</v>
      </c>
      <c r="D3594" s="3" t="s">
        <v>206</v>
      </c>
      <c r="E3594" s="3" t="s">
        <v>100</v>
      </c>
      <c r="F3594" s="7">
        <v>45819.95884222105</v>
      </c>
      <c r="G3594" s="3" t="s">
        <v>11321</v>
      </c>
    </row>
    <row r="3595">
      <c r="A3595" s="3" t="s">
        <v>11323</v>
      </c>
      <c r="B3595" s="3" t="s">
        <v>3708</v>
      </c>
      <c r="C3595" s="5" t="s">
        <v>206</v>
      </c>
      <c r="D3595" s="3" t="s">
        <v>68</v>
      </c>
      <c r="E3595" s="3" t="s">
        <v>100</v>
      </c>
      <c r="F3595" s="7">
        <v>45819.96231444327</v>
      </c>
      <c r="G3595" s="3" t="s">
        <v>11324</v>
      </c>
    </row>
    <row r="3596">
      <c r="A3596" s="3" t="s">
        <v>11325</v>
      </c>
      <c r="B3596" s="3" t="s">
        <v>3712</v>
      </c>
      <c r="C3596" s="5" t="s">
        <v>45</v>
      </c>
      <c r="D3596" s="3" t="s">
        <v>221</v>
      </c>
      <c r="E3596" s="3" t="s">
        <v>430</v>
      </c>
      <c r="F3596" s="7">
        <v>45820.023072622025</v>
      </c>
      <c r="G3596" s="3" t="s">
        <v>11327</v>
      </c>
    </row>
    <row r="3597">
      <c r="A3597" s="3" t="s">
        <v>11328</v>
      </c>
      <c r="B3597" s="3" t="s">
        <v>3712</v>
      </c>
      <c r="C3597" s="5" t="s">
        <v>221</v>
      </c>
      <c r="D3597" s="3" t="s">
        <v>614</v>
      </c>
      <c r="E3597" s="3" t="s">
        <v>118</v>
      </c>
      <c r="F3597" s="7">
        <v>45820.026544844244</v>
      </c>
      <c r="G3597" s="3" t="s">
        <v>11330</v>
      </c>
    </row>
    <row r="3598">
      <c r="A3598" s="3" t="s">
        <v>11331</v>
      </c>
      <c r="B3598" s="3" t="s">
        <v>3712</v>
      </c>
      <c r="C3598" s="5" t="s">
        <v>614</v>
      </c>
      <c r="D3598" s="3" t="s">
        <v>206</v>
      </c>
      <c r="E3598" s="3" t="s">
        <v>100</v>
      </c>
      <c r="F3598" s="7">
        <v>45820.03001706647</v>
      </c>
      <c r="G3598" s="3" t="s">
        <v>11333</v>
      </c>
    </row>
    <row r="3599">
      <c r="A3599" s="3" t="s">
        <v>11334</v>
      </c>
      <c r="B3599" s="3" t="s">
        <v>3712</v>
      </c>
      <c r="C3599" s="5" t="s">
        <v>206</v>
      </c>
      <c r="D3599" s="3" t="s">
        <v>68</v>
      </c>
      <c r="E3599" s="3" t="s">
        <v>100</v>
      </c>
      <c r="F3599" s="7">
        <v>45820.03348928869</v>
      </c>
      <c r="G3599" s="3" t="s">
        <v>11336</v>
      </c>
    </row>
    <row r="3600">
      <c r="A3600" s="3" t="s">
        <v>11337</v>
      </c>
      <c r="B3600" s="3" t="s">
        <v>3715</v>
      </c>
      <c r="C3600" s="5" t="s">
        <v>45</v>
      </c>
      <c r="D3600" s="3" t="s">
        <v>221</v>
      </c>
      <c r="E3600" s="3" t="s">
        <v>400</v>
      </c>
      <c r="F3600" s="7">
        <v>45820.09424746744</v>
      </c>
      <c r="G3600" s="3" t="s">
        <v>11339</v>
      </c>
    </row>
    <row r="3601">
      <c r="A3601" s="3" t="s">
        <v>11340</v>
      </c>
      <c r="B3601" s="3" t="s">
        <v>3715</v>
      </c>
      <c r="C3601" s="5" t="s">
        <v>221</v>
      </c>
      <c r="D3601" s="3" t="s">
        <v>614</v>
      </c>
      <c r="E3601" s="3" t="s">
        <v>118</v>
      </c>
      <c r="F3601" s="7">
        <v>45820.09771968966</v>
      </c>
      <c r="G3601" s="3" t="s">
        <v>11342</v>
      </c>
    </row>
    <row r="3602">
      <c r="A3602" s="3" t="s">
        <v>11344</v>
      </c>
      <c r="B3602" s="3" t="s">
        <v>3715</v>
      </c>
      <c r="C3602" s="5" t="s">
        <v>614</v>
      </c>
      <c r="D3602" s="3" t="s">
        <v>206</v>
      </c>
      <c r="E3602" s="3" t="s">
        <v>100</v>
      </c>
      <c r="F3602" s="7">
        <v>45820.10119191188</v>
      </c>
      <c r="G3602" s="3" t="s">
        <v>11345</v>
      </c>
    </row>
    <row r="3603">
      <c r="A3603" s="3" t="s">
        <v>11346</v>
      </c>
      <c r="B3603" s="3" t="s">
        <v>3715</v>
      </c>
      <c r="C3603" s="5" t="s">
        <v>206</v>
      </c>
      <c r="D3603" s="3" t="s">
        <v>68</v>
      </c>
      <c r="E3603" s="3" t="s">
        <v>100</v>
      </c>
      <c r="F3603" s="7">
        <v>45820.1046641341</v>
      </c>
      <c r="G3603" s="3" t="s">
        <v>11348</v>
      </c>
    </row>
    <row r="3604">
      <c r="A3604" s="3" t="s">
        <v>11349</v>
      </c>
      <c r="B3604" s="3" t="s">
        <v>3718</v>
      </c>
      <c r="C3604" s="5" t="s">
        <v>45</v>
      </c>
      <c r="D3604" s="3" t="s">
        <v>221</v>
      </c>
      <c r="E3604" s="3" t="s">
        <v>864</v>
      </c>
      <c r="F3604" s="7">
        <v>45820.16542231285</v>
      </c>
      <c r="G3604" s="3" t="s">
        <v>11310</v>
      </c>
    </row>
    <row r="3605">
      <c r="A3605" s="3" t="s">
        <v>11351</v>
      </c>
      <c r="B3605" s="3" t="s">
        <v>3718</v>
      </c>
      <c r="C3605" s="5" t="s">
        <v>221</v>
      </c>
      <c r="D3605" s="3" t="s">
        <v>614</v>
      </c>
      <c r="E3605" s="3" t="s">
        <v>118</v>
      </c>
      <c r="F3605" s="7">
        <v>45820.16889453507</v>
      </c>
      <c r="G3605" s="3" t="s">
        <v>11353</v>
      </c>
    </row>
    <row r="3606">
      <c r="A3606" s="3" t="s">
        <v>11354</v>
      </c>
      <c r="B3606" s="3" t="s">
        <v>3718</v>
      </c>
      <c r="C3606" s="5" t="s">
        <v>614</v>
      </c>
      <c r="D3606" s="3" t="s">
        <v>206</v>
      </c>
      <c r="E3606" s="3" t="s">
        <v>100</v>
      </c>
      <c r="F3606" s="7">
        <v>45820.172366757295</v>
      </c>
      <c r="G3606" s="3" t="s">
        <v>11355</v>
      </c>
    </row>
    <row r="3607">
      <c r="A3607" s="3" t="s">
        <v>11357</v>
      </c>
      <c r="B3607" s="3" t="s">
        <v>3718</v>
      </c>
      <c r="C3607" s="5" t="s">
        <v>206</v>
      </c>
      <c r="D3607" s="3" t="s">
        <v>68</v>
      </c>
      <c r="E3607" s="3" t="s">
        <v>100</v>
      </c>
      <c r="F3607" s="7">
        <v>45820.175838979514</v>
      </c>
      <c r="G3607" s="3" t="s">
        <v>11358</v>
      </c>
    </row>
    <row r="3608">
      <c r="A3608" s="3" t="s">
        <v>11359</v>
      </c>
      <c r="B3608" s="3" t="s">
        <v>3721</v>
      </c>
      <c r="C3608" s="5" t="s">
        <v>45</v>
      </c>
      <c r="D3608" s="3" t="s">
        <v>221</v>
      </c>
      <c r="E3608" s="3" t="s">
        <v>547</v>
      </c>
      <c r="F3608" s="7">
        <v>45820.23659715827</v>
      </c>
      <c r="G3608" s="3" t="s">
        <v>11361</v>
      </c>
    </row>
    <row r="3609">
      <c r="A3609" s="3" t="s">
        <v>11362</v>
      </c>
      <c r="B3609" s="3" t="s">
        <v>3721</v>
      </c>
      <c r="C3609" s="5" t="s">
        <v>221</v>
      </c>
      <c r="D3609" s="3" t="s">
        <v>614</v>
      </c>
      <c r="E3609" s="3" t="s">
        <v>118</v>
      </c>
      <c r="F3609" s="7">
        <v>45820.24006938049</v>
      </c>
      <c r="G3609" s="3" t="s">
        <v>11364</v>
      </c>
    </row>
    <row r="3610">
      <c r="A3610" s="3" t="s">
        <v>11365</v>
      </c>
      <c r="B3610" s="3" t="s">
        <v>3721</v>
      </c>
      <c r="C3610" s="5" t="s">
        <v>614</v>
      </c>
      <c r="D3610" s="3" t="s">
        <v>206</v>
      </c>
      <c r="E3610" s="3" t="s">
        <v>100</v>
      </c>
      <c r="F3610" s="7">
        <v>45820.243541602715</v>
      </c>
      <c r="G3610" s="3" t="s">
        <v>11367</v>
      </c>
    </row>
    <row r="3611">
      <c r="A3611" s="3" t="s">
        <v>11368</v>
      </c>
      <c r="B3611" s="3" t="s">
        <v>3721</v>
      </c>
      <c r="C3611" s="5" t="s">
        <v>206</v>
      </c>
      <c r="D3611" s="3" t="s">
        <v>68</v>
      </c>
      <c r="E3611" s="3" t="s">
        <v>100</v>
      </c>
      <c r="F3611" s="7">
        <v>45820.247013824934</v>
      </c>
      <c r="G3611" s="3" t="s">
        <v>11370</v>
      </c>
    </row>
    <row r="3612">
      <c r="A3612" s="3" t="s">
        <v>11371</v>
      </c>
      <c r="B3612" s="3" t="s">
        <v>3724</v>
      </c>
      <c r="C3612" s="5" t="s">
        <v>45</v>
      </c>
      <c r="D3612" s="3" t="s">
        <v>221</v>
      </c>
      <c r="E3612" s="3" t="s">
        <v>702</v>
      </c>
      <c r="F3612" s="7">
        <v>45820.30777200368</v>
      </c>
      <c r="G3612" s="3" t="s">
        <v>11373</v>
      </c>
    </row>
    <row r="3613">
      <c r="A3613" s="3" t="s">
        <v>11374</v>
      </c>
      <c r="B3613" s="3" t="s">
        <v>3724</v>
      </c>
      <c r="C3613" s="5" t="s">
        <v>221</v>
      </c>
      <c r="D3613" s="3" t="s">
        <v>614</v>
      </c>
      <c r="E3613" s="3" t="s">
        <v>118</v>
      </c>
      <c r="F3613" s="7">
        <v>45820.3112442259</v>
      </c>
      <c r="G3613" s="3" t="s">
        <v>11376</v>
      </c>
    </row>
    <row r="3614">
      <c r="A3614" s="3" t="s">
        <v>11377</v>
      </c>
      <c r="B3614" s="3" t="s">
        <v>3724</v>
      </c>
      <c r="C3614" s="5" t="s">
        <v>614</v>
      </c>
      <c r="D3614" s="3" t="s">
        <v>206</v>
      </c>
      <c r="E3614" s="3" t="s">
        <v>100</v>
      </c>
      <c r="F3614" s="7">
        <v>45820.31471644813</v>
      </c>
      <c r="G3614" s="3" t="s">
        <v>11378</v>
      </c>
    </row>
    <row r="3615">
      <c r="A3615" s="3" t="s">
        <v>11380</v>
      </c>
      <c r="B3615" s="3" t="s">
        <v>3724</v>
      </c>
      <c r="C3615" s="5" t="s">
        <v>206</v>
      </c>
      <c r="D3615" s="3" t="s">
        <v>68</v>
      </c>
      <c r="E3615" s="3" t="s">
        <v>100</v>
      </c>
      <c r="F3615" s="7">
        <v>45820.318188670346</v>
      </c>
      <c r="G3615" s="3" t="s">
        <v>11381</v>
      </c>
    </row>
    <row r="3616">
      <c r="A3616" s="3" t="s">
        <v>11382</v>
      </c>
      <c r="B3616" s="3" t="s">
        <v>3727</v>
      </c>
      <c r="C3616" s="5" t="s">
        <v>45</v>
      </c>
      <c r="D3616" s="3" t="s">
        <v>221</v>
      </c>
      <c r="E3616" s="3" t="s">
        <v>391</v>
      </c>
      <c r="F3616" s="7">
        <v>45820.378946849094</v>
      </c>
      <c r="G3616" s="3" t="s">
        <v>4712</v>
      </c>
    </row>
    <row r="3617">
      <c r="A3617" s="3" t="s">
        <v>11384</v>
      </c>
      <c r="B3617" s="3" t="s">
        <v>3727</v>
      </c>
      <c r="C3617" s="5" t="s">
        <v>221</v>
      </c>
      <c r="D3617" s="3" t="s">
        <v>614</v>
      </c>
      <c r="E3617" s="3" t="s">
        <v>118</v>
      </c>
      <c r="F3617" s="7">
        <v>45820.38241907131</v>
      </c>
      <c r="G3617" s="3" t="s">
        <v>4715</v>
      </c>
    </row>
    <row r="3618">
      <c r="A3618" s="3" t="s">
        <v>11386</v>
      </c>
      <c r="B3618" s="3" t="s">
        <v>3727</v>
      </c>
      <c r="C3618" s="5" t="s">
        <v>614</v>
      </c>
      <c r="D3618" s="3" t="s">
        <v>206</v>
      </c>
      <c r="E3618" s="3" t="s">
        <v>100</v>
      </c>
      <c r="F3618" s="7">
        <v>45820.38589129354</v>
      </c>
      <c r="G3618" s="3" t="s">
        <v>4718</v>
      </c>
    </row>
    <row r="3619">
      <c r="A3619" s="3" t="s">
        <v>11388</v>
      </c>
      <c r="B3619" s="3" t="s">
        <v>3727</v>
      </c>
      <c r="C3619" s="5" t="s">
        <v>206</v>
      </c>
      <c r="D3619" s="3" t="s">
        <v>68</v>
      </c>
      <c r="E3619" s="3" t="s">
        <v>100</v>
      </c>
      <c r="F3619" s="7">
        <v>45820.38936351576</v>
      </c>
      <c r="G3619" s="3" t="s">
        <v>4721</v>
      </c>
    </row>
    <row r="3620">
      <c r="A3620" s="3" t="s">
        <v>11390</v>
      </c>
      <c r="B3620" s="3" t="s">
        <v>3730</v>
      </c>
      <c r="C3620" s="5" t="s">
        <v>45</v>
      </c>
      <c r="D3620" s="3" t="s">
        <v>221</v>
      </c>
      <c r="E3620" s="3" t="s">
        <v>600</v>
      </c>
      <c r="F3620" s="7">
        <v>45820.450121694514</v>
      </c>
      <c r="G3620" s="3" t="s">
        <v>11392</v>
      </c>
    </row>
    <row r="3621">
      <c r="A3621" s="3" t="s">
        <v>11393</v>
      </c>
      <c r="B3621" s="3" t="s">
        <v>3730</v>
      </c>
      <c r="C3621" s="5" t="s">
        <v>221</v>
      </c>
      <c r="D3621" s="3" t="s">
        <v>614</v>
      </c>
      <c r="E3621" s="3" t="s">
        <v>118</v>
      </c>
      <c r="F3621" s="7">
        <v>45820.45359391673</v>
      </c>
      <c r="G3621" s="3" t="s">
        <v>11394</v>
      </c>
    </row>
    <row r="3622">
      <c r="A3622" s="3" t="s">
        <v>11396</v>
      </c>
      <c r="B3622" s="3" t="s">
        <v>3730</v>
      </c>
      <c r="C3622" s="5" t="s">
        <v>614</v>
      </c>
      <c r="D3622" s="3" t="s">
        <v>206</v>
      </c>
      <c r="E3622" s="3" t="s">
        <v>100</v>
      </c>
      <c r="F3622" s="7">
        <v>45820.45706613896</v>
      </c>
      <c r="G3622" s="3" t="s">
        <v>11397</v>
      </c>
    </row>
    <row r="3623">
      <c r="A3623" s="3" t="s">
        <v>11398</v>
      </c>
      <c r="B3623" s="3" t="s">
        <v>3730</v>
      </c>
      <c r="C3623" s="5" t="s">
        <v>206</v>
      </c>
      <c r="D3623" s="3" t="s">
        <v>68</v>
      </c>
      <c r="E3623" s="3" t="s">
        <v>100</v>
      </c>
      <c r="F3623" s="7">
        <v>45820.46053836118</v>
      </c>
      <c r="G3623" s="3" t="s">
        <v>11400</v>
      </c>
    </row>
    <row r="3624">
      <c r="A3624" s="3" t="s">
        <v>11402</v>
      </c>
      <c r="B3624" s="3" t="s">
        <v>3733</v>
      </c>
      <c r="C3624" s="5" t="s">
        <v>45</v>
      </c>
      <c r="D3624" s="3" t="s">
        <v>221</v>
      </c>
      <c r="E3624" s="3" t="s">
        <v>363</v>
      </c>
      <c r="F3624" s="7">
        <v>45820.521296539926</v>
      </c>
      <c r="G3624" s="3" t="s">
        <v>11404</v>
      </c>
    </row>
    <row r="3625">
      <c r="A3625" s="3" t="s">
        <v>11405</v>
      </c>
      <c r="B3625" s="3" t="s">
        <v>3733</v>
      </c>
      <c r="C3625" s="5" t="s">
        <v>221</v>
      </c>
      <c r="D3625" s="3" t="s">
        <v>614</v>
      </c>
      <c r="E3625" s="3" t="s">
        <v>118</v>
      </c>
      <c r="F3625" s="7">
        <v>45820.524768762145</v>
      </c>
      <c r="G3625" s="3" t="s">
        <v>11407</v>
      </c>
    </row>
    <row r="3626">
      <c r="A3626" s="3" t="s">
        <v>11408</v>
      </c>
      <c r="B3626" s="3" t="s">
        <v>3733</v>
      </c>
      <c r="C3626" s="5" t="s">
        <v>614</v>
      </c>
      <c r="D3626" s="3" t="s">
        <v>206</v>
      </c>
      <c r="E3626" s="3" t="s">
        <v>100</v>
      </c>
      <c r="F3626" s="7">
        <v>45820.52824098437</v>
      </c>
      <c r="G3626" s="3" t="s">
        <v>11410</v>
      </c>
    </row>
    <row r="3627">
      <c r="A3627" s="3" t="s">
        <v>11411</v>
      </c>
      <c r="B3627" s="3" t="s">
        <v>3733</v>
      </c>
      <c r="C3627" s="5" t="s">
        <v>206</v>
      </c>
      <c r="D3627" s="3" t="s">
        <v>68</v>
      </c>
      <c r="E3627" s="3" t="s">
        <v>100</v>
      </c>
      <c r="F3627" s="7">
        <v>45820.53171320659</v>
      </c>
      <c r="G3627" s="3" t="s">
        <v>11413</v>
      </c>
    </row>
    <row r="3628">
      <c r="A3628" s="3" t="s">
        <v>11414</v>
      </c>
      <c r="B3628" s="3" t="s">
        <v>3736</v>
      </c>
      <c r="C3628" s="5" t="s">
        <v>45</v>
      </c>
      <c r="D3628" s="3" t="s">
        <v>221</v>
      </c>
      <c r="E3628" s="3" t="s">
        <v>369</v>
      </c>
      <c r="F3628" s="7">
        <v>45820.59247138534</v>
      </c>
      <c r="G3628" s="3" t="s">
        <v>10341</v>
      </c>
    </row>
    <row r="3629">
      <c r="A3629" s="3" t="s">
        <v>11416</v>
      </c>
      <c r="B3629" s="3" t="s">
        <v>3736</v>
      </c>
      <c r="C3629" s="5" t="s">
        <v>221</v>
      </c>
      <c r="D3629" s="3" t="s">
        <v>614</v>
      </c>
      <c r="E3629" s="3" t="s">
        <v>118</v>
      </c>
      <c r="F3629" s="7">
        <v>45820.59594360756</v>
      </c>
      <c r="G3629" s="3" t="s">
        <v>10344</v>
      </c>
    </row>
    <row r="3630">
      <c r="A3630" s="3" t="s">
        <v>11418</v>
      </c>
      <c r="B3630" s="3" t="s">
        <v>3736</v>
      </c>
      <c r="C3630" s="5" t="s">
        <v>614</v>
      </c>
      <c r="D3630" s="3" t="s">
        <v>206</v>
      </c>
      <c r="E3630" s="3" t="s">
        <v>100</v>
      </c>
      <c r="F3630" s="7">
        <v>45820.59941582978</v>
      </c>
      <c r="G3630" s="3" t="s">
        <v>10346</v>
      </c>
    </row>
    <row r="3631">
      <c r="A3631" s="3" t="s">
        <v>11419</v>
      </c>
      <c r="B3631" s="3" t="s">
        <v>3736</v>
      </c>
      <c r="C3631" s="5" t="s">
        <v>206</v>
      </c>
      <c r="D3631" s="3" t="s">
        <v>68</v>
      </c>
      <c r="E3631" s="3" t="s">
        <v>100</v>
      </c>
      <c r="F3631" s="7">
        <v>45820.602888052</v>
      </c>
      <c r="G3631" s="3" t="s">
        <v>10349</v>
      </c>
    </row>
    <row r="3632">
      <c r="A3632" s="3" t="s">
        <v>11421</v>
      </c>
      <c r="B3632" s="3" t="s">
        <v>3739</v>
      </c>
      <c r="C3632" s="5" t="s">
        <v>45</v>
      </c>
      <c r="D3632" s="3" t="s">
        <v>221</v>
      </c>
      <c r="E3632" s="3" t="s">
        <v>380</v>
      </c>
      <c r="F3632" s="7">
        <v>45820.66364623076</v>
      </c>
      <c r="G3632" s="3" t="s">
        <v>11423</v>
      </c>
    </row>
    <row r="3633">
      <c r="A3633" s="3" t="s">
        <v>11424</v>
      </c>
      <c r="B3633" s="3" t="s">
        <v>3739</v>
      </c>
      <c r="C3633" s="5" t="s">
        <v>221</v>
      </c>
      <c r="D3633" s="3" t="s">
        <v>614</v>
      </c>
      <c r="E3633" s="3" t="s">
        <v>118</v>
      </c>
      <c r="F3633" s="7">
        <v>45820.66711845298</v>
      </c>
      <c r="G3633" s="3" t="s">
        <v>11426</v>
      </c>
    </row>
    <row r="3634">
      <c r="A3634" s="3" t="s">
        <v>11427</v>
      </c>
      <c r="B3634" s="3" t="s">
        <v>3739</v>
      </c>
      <c r="C3634" s="5" t="s">
        <v>614</v>
      </c>
      <c r="D3634" s="3" t="s">
        <v>206</v>
      </c>
      <c r="E3634" s="3" t="s">
        <v>100</v>
      </c>
      <c r="F3634" s="7">
        <v>45820.6705906752</v>
      </c>
      <c r="G3634" s="3" t="s">
        <v>11429</v>
      </c>
    </row>
    <row r="3635">
      <c r="A3635" s="3" t="s">
        <v>11430</v>
      </c>
      <c r="B3635" s="3" t="s">
        <v>3739</v>
      </c>
      <c r="C3635" s="5" t="s">
        <v>206</v>
      </c>
      <c r="D3635" s="3" t="s">
        <v>68</v>
      </c>
      <c r="E3635" s="3" t="s">
        <v>100</v>
      </c>
      <c r="F3635" s="7">
        <v>45820.67406289742</v>
      </c>
      <c r="G3635" s="3" t="s">
        <v>11432</v>
      </c>
    </row>
    <row r="3636">
      <c r="A3636" s="3" t="s">
        <v>11433</v>
      </c>
      <c r="B3636" s="3" t="s">
        <v>3742</v>
      </c>
      <c r="C3636" s="5" t="s">
        <v>45</v>
      </c>
      <c r="D3636" s="3" t="s">
        <v>221</v>
      </c>
      <c r="E3636" s="3" t="s">
        <v>440</v>
      </c>
      <c r="F3636" s="7">
        <v>45820.73482107617</v>
      </c>
      <c r="G3636" s="3" t="s">
        <v>11435</v>
      </c>
    </row>
    <row r="3637">
      <c r="A3637" s="3" t="s">
        <v>11436</v>
      </c>
      <c r="B3637" s="3" t="s">
        <v>3742</v>
      </c>
      <c r="C3637" s="5" t="s">
        <v>221</v>
      </c>
      <c r="D3637" s="3" t="s">
        <v>614</v>
      </c>
      <c r="E3637" s="3" t="s">
        <v>118</v>
      </c>
      <c r="F3637" s="7">
        <v>45820.73829329839</v>
      </c>
      <c r="G3637" s="3" t="s">
        <v>11437</v>
      </c>
    </row>
    <row r="3638">
      <c r="A3638" s="3" t="s">
        <v>11439</v>
      </c>
      <c r="B3638" s="3" t="s">
        <v>3742</v>
      </c>
      <c r="C3638" s="5" t="s">
        <v>614</v>
      </c>
      <c r="D3638" s="3" t="s">
        <v>206</v>
      </c>
      <c r="E3638" s="3" t="s">
        <v>100</v>
      </c>
      <c r="F3638" s="7">
        <v>45820.741765520615</v>
      </c>
      <c r="G3638" s="3" t="s">
        <v>11440</v>
      </c>
    </row>
    <row r="3639">
      <c r="A3639" s="3" t="s">
        <v>11441</v>
      </c>
      <c r="B3639" s="3" t="s">
        <v>3742</v>
      </c>
      <c r="C3639" s="5" t="s">
        <v>206</v>
      </c>
      <c r="D3639" s="3" t="s">
        <v>68</v>
      </c>
      <c r="E3639" s="3" t="s">
        <v>100</v>
      </c>
      <c r="F3639" s="7">
        <v>45820.745237742834</v>
      </c>
      <c r="G3639" s="3" t="s">
        <v>11443</v>
      </c>
    </row>
    <row r="3640">
      <c r="A3640" s="3" t="s">
        <v>11444</v>
      </c>
      <c r="B3640" s="3" t="s">
        <v>3746</v>
      </c>
      <c r="C3640" s="5" t="s">
        <v>45</v>
      </c>
      <c r="D3640" s="3" t="s">
        <v>221</v>
      </c>
      <c r="E3640" s="3" t="s">
        <v>655</v>
      </c>
      <c r="F3640" s="7">
        <v>45820.80599592158</v>
      </c>
      <c r="G3640" s="3" t="s">
        <v>6667</v>
      </c>
    </row>
    <row r="3641">
      <c r="A3641" s="3" t="s">
        <v>11446</v>
      </c>
      <c r="B3641" s="3" t="s">
        <v>3746</v>
      </c>
      <c r="C3641" s="5" t="s">
        <v>221</v>
      </c>
      <c r="D3641" s="3" t="s">
        <v>614</v>
      </c>
      <c r="E3641" s="3" t="s">
        <v>118</v>
      </c>
      <c r="F3641" s="7">
        <v>45820.8094681438</v>
      </c>
      <c r="G3641" s="3" t="s">
        <v>6670</v>
      </c>
    </row>
    <row r="3642">
      <c r="A3642" s="3" t="s">
        <v>11448</v>
      </c>
      <c r="B3642" s="3" t="s">
        <v>3746</v>
      </c>
      <c r="C3642" s="5" t="s">
        <v>614</v>
      </c>
      <c r="D3642" s="3" t="s">
        <v>206</v>
      </c>
      <c r="E3642" s="3" t="s">
        <v>100</v>
      </c>
      <c r="F3642" s="7">
        <v>45820.81294036603</v>
      </c>
      <c r="G3642" s="3" t="s">
        <v>6673</v>
      </c>
    </row>
    <row r="3643">
      <c r="A3643" s="3" t="s">
        <v>11449</v>
      </c>
      <c r="B3643" s="3" t="s">
        <v>3746</v>
      </c>
      <c r="C3643" s="5" t="s">
        <v>206</v>
      </c>
      <c r="D3643" s="3" t="s">
        <v>68</v>
      </c>
      <c r="E3643" s="3" t="s">
        <v>100</v>
      </c>
      <c r="F3643" s="7">
        <v>45820.81641258825</v>
      </c>
      <c r="G3643" s="3" t="s">
        <v>6676</v>
      </c>
    </row>
    <row r="3644">
      <c r="A3644" s="3" t="s">
        <v>11451</v>
      </c>
      <c r="B3644" s="3" t="s">
        <v>3749</v>
      </c>
      <c r="C3644" s="5" t="s">
        <v>45</v>
      </c>
      <c r="D3644" s="3" t="s">
        <v>221</v>
      </c>
      <c r="E3644" s="3" t="s">
        <v>622</v>
      </c>
      <c r="F3644" s="7">
        <v>45820.877170767</v>
      </c>
      <c r="G3644" s="3" t="s">
        <v>11453</v>
      </c>
    </row>
    <row r="3645">
      <c r="A3645" s="3" t="s">
        <v>11454</v>
      </c>
      <c r="B3645" s="3" t="s">
        <v>3749</v>
      </c>
      <c r="C3645" s="5" t="s">
        <v>221</v>
      </c>
      <c r="D3645" s="3" t="s">
        <v>614</v>
      </c>
      <c r="E3645" s="3" t="s">
        <v>118</v>
      </c>
      <c r="F3645" s="7">
        <v>45820.88064298922</v>
      </c>
      <c r="G3645" s="3" t="s">
        <v>11456</v>
      </c>
    </row>
    <row r="3646">
      <c r="A3646" s="3" t="s">
        <v>11457</v>
      </c>
      <c r="B3646" s="3" t="s">
        <v>3749</v>
      </c>
      <c r="C3646" s="5" t="s">
        <v>614</v>
      </c>
      <c r="D3646" s="3" t="s">
        <v>206</v>
      </c>
      <c r="E3646" s="3" t="s">
        <v>100</v>
      </c>
      <c r="F3646" s="7">
        <v>45820.88411521145</v>
      </c>
      <c r="G3646" s="3" t="s">
        <v>11459</v>
      </c>
    </row>
    <row r="3647">
      <c r="A3647" s="3" t="s">
        <v>11460</v>
      </c>
      <c r="B3647" s="3" t="s">
        <v>3749</v>
      </c>
      <c r="C3647" s="5" t="s">
        <v>206</v>
      </c>
      <c r="D3647" s="3" t="s">
        <v>68</v>
      </c>
      <c r="E3647" s="3" t="s">
        <v>100</v>
      </c>
      <c r="F3647" s="7">
        <v>45820.887587433666</v>
      </c>
      <c r="G3647" s="3" t="s">
        <v>11461</v>
      </c>
    </row>
    <row r="3648">
      <c r="A3648" s="3" t="s">
        <v>11463</v>
      </c>
      <c r="B3648" s="3" t="s">
        <v>3753</v>
      </c>
      <c r="C3648" s="5" t="s">
        <v>45</v>
      </c>
      <c r="D3648" s="3" t="s">
        <v>221</v>
      </c>
      <c r="E3648" s="3" t="s">
        <v>694</v>
      </c>
      <c r="F3648" s="7">
        <v>45820.94834561242</v>
      </c>
      <c r="G3648" s="3" t="s">
        <v>11464</v>
      </c>
    </row>
    <row r="3649">
      <c r="A3649" s="3" t="s">
        <v>11466</v>
      </c>
      <c r="B3649" s="3" t="s">
        <v>3753</v>
      </c>
      <c r="C3649" s="5" t="s">
        <v>221</v>
      </c>
      <c r="D3649" s="3" t="s">
        <v>614</v>
      </c>
      <c r="E3649" s="3" t="s">
        <v>118</v>
      </c>
      <c r="F3649" s="7">
        <v>45820.95181783464</v>
      </c>
      <c r="G3649" s="3" t="s">
        <v>11467</v>
      </c>
    </row>
    <row r="3650">
      <c r="A3650" s="3" t="s">
        <v>11468</v>
      </c>
      <c r="B3650" s="3" t="s">
        <v>3753</v>
      </c>
      <c r="C3650" s="5" t="s">
        <v>614</v>
      </c>
      <c r="D3650" s="3" t="s">
        <v>206</v>
      </c>
      <c r="E3650" s="3" t="s">
        <v>100</v>
      </c>
      <c r="F3650" s="7">
        <v>45820.95529005687</v>
      </c>
      <c r="G3650" s="3" t="s">
        <v>11470</v>
      </c>
    </row>
    <row r="3651">
      <c r="A3651" s="3" t="s">
        <v>11471</v>
      </c>
      <c r="B3651" s="3" t="s">
        <v>3753</v>
      </c>
      <c r="C3651" s="5" t="s">
        <v>206</v>
      </c>
      <c r="D3651" s="3" t="s">
        <v>68</v>
      </c>
      <c r="E3651" s="3" t="s">
        <v>100</v>
      </c>
      <c r="F3651" s="7">
        <v>45820.958762279086</v>
      </c>
      <c r="G3651" s="3" t="s">
        <v>11473</v>
      </c>
    </row>
    <row r="3652">
      <c r="A3652" s="3" t="s">
        <v>11474</v>
      </c>
      <c r="B3652" s="3" t="s">
        <v>3756</v>
      </c>
      <c r="C3652" s="5" t="s">
        <v>45</v>
      </c>
      <c r="D3652" s="3" t="s">
        <v>221</v>
      </c>
      <c r="E3652" s="3" t="s">
        <v>395</v>
      </c>
      <c r="F3652" s="7">
        <v>45821.01952045783</v>
      </c>
      <c r="G3652" s="3" t="s">
        <v>5961</v>
      </c>
    </row>
    <row r="3653">
      <c r="A3653" s="3" t="s">
        <v>11477</v>
      </c>
      <c r="B3653" s="3" t="s">
        <v>3756</v>
      </c>
      <c r="C3653" s="5" t="s">
        <v>221</v>
      </c>
      <c r="D3653" s="3" t="s">
        <v>181</v>
      </c>
      <c r="E3653" s="3" t="s">
        <v>118</v>
      </c>
      <c r="F3653" s="7">
        <v>45821.022992680046</v>
      </c>
      <c r="G3653" s="3" t="s">
        <v>11479</v>
      </c>
    </row>
    <row r="3654">
      <c r="A3654" s="3" t="s">
        <v>11480</v>
      </c>
      <c r="B3654" s="3" t="s">
        <v>3759</v>
      </c>
      <c r="C3654" s="5" t="s">
        <v>45</v>
      </c>
      <c r="D3654" s="3" t="s">
        <v>221</v>
      </c>
      <c r="E3654" s="3" t="s">
        <v>609</v>
      </c>
      <c r="F3654" s="7">
        <v>45821.090695303246</v>
      </c>
      <c r="G3654" s="3" t="s">
        <v>11481</v>
      </c>
    </row>
    <row r="3655">
      <c r="A3655" s="3" t="s">
        <v>11483</v>
      </c>
      <c r="B3655" s="3" t="s">
        <v>3759</v>
      </c>
      <c r="C3655" s="5" t="s">
        <v>221</v>
      </c>
      <c r="D3655" s="3" t="s">
        <v>614</v>
      </c>
      <c r="E3655" s="3" t="s">
        <v>118</v>
      </c>
      <c r="F3655" s="7">
        <v>45821.094167525465</v>
      </c>
      <c r="G3655" s="3" t="s">
        <v>11485</v>
      </c>
    </row>
    <row r="3656">
      <c r="A3656" s="3" t="s">
        <v>11486</v>
      </c>
      <c r="B3656" s="3" t="s">
        <v>3759</v>
      </c>
      <c r="C3656" s="5" t="s">
        <v>614</v>
      </c>
      <c r="D3656" s="3" t="s">
        <v>206</v>
      </c>
      <c r="E3656" s="3" t="s">
        <v>100</v>
      </c>
      <c r="F3656" s="7">
        <v>45821.09763974769</v>
      </c>
      <c r="G3656" s="3" t="s">
        <v>11487</v>
      </c>
    </row>
    <row r="3657">
      <c r="A3657" s="3" t="s">
        <v>11489</v>
      </c>
      <c r="B3657" s="3" t="s">
        <v>3759</v>
      </c>
      <c r="C3657" s="5" t="s">
        <v>206</v>
      </c>
      <c r="D3657" s="3" t="s">
        <v>68</v>
      </c>
      <c r="E3657" s="3" t="s">
        <v>100</v>
      </c>
      <c r="F3657" s="7">
        <v>45821.10111196991</v>
      </c>
      <c r="G3657" s="3" t="s">
        <v>11490</v>
      </c>
    </row>
    <row r="3658">
      <c r="A3658" s="3" t="s">
        <v>11491</v>
      </c>
      <c r="B3658" s="3" t="s">
        <v>3762</v>
      </c>
      <c r="C3658" s="5" t="s">
        <v>45</v>
      </c>
      <c r="D3658" s="3" t="s">
        <v>221</v>
      </c>
      <c r="E3658" s="3" t="s">
        <v>848</v>
      </c>
      <c r="F3658" s="7">
        <v>45821.161870148666</v>
      </c>
      <c r="G3658" s="3" t="s">
        <v>11493</v>
      </c>
    </row>
    <row r="3659">
      <c r="A3659" s="3" t="s">
        <v>11494</v>
      </c>
      <c r="B3659" s="3" t="s">
        <v>3762</v>
      </c>
      <c r="C3659" s="5" t="s">
        <v>221</v>
      </c>
      <c r="D3659" s="3" t="s">
        <v>614</v>
      </c>
      <c r="E3659" s="3" t="s">
        <v>118</v>
      </c>
      <c r="F3659" s="7">
        <v>45821.165342370885</v>
      </c>
      <c r="G3659" s="3" t="s">
        <v>11496</v>
      </c>
    </row>
    <row r="3660">
      <c r="A3660" s="3" t="s">
        <v>11497</v>
      </c>
      <c r="B3660" s="3" t="s">
        <v>3762</v>
      </c>
      <c r="C3660" s="5" t="s">
        <v>614</v>
      </c>
      <c r="D3660" s="3" t="s">
        <v>206</v>
      </c>
      <c r="E3660" s="3" t="s">
        <v>100</v>
      </c>
      <c r="F3660" s="7">
        <v>45821.16881459311</v>
      </c>
      <c r="G3660" s="3" t="s">
        <v>11499</v>
      </c>
    </row>
    <row r="3661">
      <c r="A3661" s="3" t="s">
        <v>11500</v>
      </c>
      <c r="B3661" s="3" t="s">
        <v>3762</v>
      </c>
      <c r="C3661" s="5" t="s">
        <v>206</v>
      </c>
      <c r="D3661" s="3" t="s">
        <v>68</v>
      </c>
      <c r="E3661" s="3" t="s">
        <v>100</v>
      </c>
      <c r="F3661" s="7">
        <v>45821.17228681533</v>
      </c>
      <c r="G3661" s="3" t="s">
        <v>11501</v>
      </c>
    </row>
    <row r="3662">
      <c r="A3662" s="3" t="s">
        <v>11503</v>
      </c>
      <c r="B3662" s="3" t="s">
        <v>3765</v>
      </c>
      <c r="C3662" s="5" t="s">
        <v>45</v>
      </c>
      <c r="D3662" s="3" t="s">
        <v>221</v>
      </c>
      <c r="E3662" s="3" t="s">
        <v>605</v>
      </c>
      <c r="F3662" s="7">
        <v>45821.23304499408</v>
      </c>
      <c r="G3662" s="3" t="s">
        <v>2770</v>
      </c>
    </row>
    <row r="3663">
      <c r="A3663" s="3" t="s">
        <v>11505</v>
      </c>
      <c r="B3663" s="3" t="s">
        <v>3765</v>
      </c>
      <c r="C3663" s="5" t="s">
        <v>221</v>
      </c>
      <c r="D3663" s="3" t="s">
        <v>195</v>
      </c>
      <c r="E3663" s="3" t="s">
        <v>605</v>
      </c>
      <c r="F3663" s="7">
        <v>45821.2365172163</v>
      </c>
      <c r="G3663" s="3" t="s">
        <v>3055</v>
      </c>
    </row>
    <row r="3664">
      <c r="A3664" s="3" t="s">
        <v>11506</v>
      </c>
      <c r="B3664" s="3" t="s">
        <v>3768</v>
      </c>
      <c r="C3664" s="5" t="s">
        <v>45</v>
      </c>
      <c r="D3664" s="3" t="s">
        <v>221</v>
      </c>
      <c r="E3664" s="3" t="s">
        <v>657</v>
      </c>
      <c r="F3664" s="7">
        <v>45821.30421983949</v>
      </c>
      <c r="G3664" s="3" t="s">
        <v>11508</v>
      </c>
    </row>
    <row r="3665">
      <c r="A3665" s="3" t="s">
        <v>11509</v>
      </c>
      <c r="B3665" s="3" t="s">
        <v>3768</v>
      </c>
      <c r="C3665" s="5" t="s">
        <v>221</v>
      </c>
      <c r="D3665" s="3" t="s">
        <v>614</v>
      </c>
      <c r="E3665" s="3" t="s">
        <v>118</v>
      </c>
      <c r="F3665" s="7">
        <v>45821.30769206171</v>
      </c>
      <c r="G3665" s="3" t="s">
        <v>11511</v>
      </c>
    </row>
    <row r="3666">
      <c r="A3666" s="3" t="s">
        <v>11512</v>
      </c>
      <c r="B3666" s="3" t="s">
        <v>3768</v>
      </c>
      <c r="C3666" s="5" t="s">
        <v>614</v>
      </c>
      <c r="D3666" s="3" t="s">
        <v>206</v>
      </c>
      <c r="E3666" s="3" t="s">
        <v>100</v>
      </c>
      <c r="F3666" s="7">
        <v>45821.311164283936</v>
      </c>
      <c r="G3666" s="3" t="s">
        <v>11513</v>
      </c>
    </row>
    <row r="3667">
      <c r="A3667" s="3" t="s">
        <v>11514</v>
      </c>
      <c r="B3667" s="3" t="s">
        <v>3768</v>
      </c>
      <c r="C3667" s="5" t="s">
        <v>206</v>
      </c>
      <c r="D3667" s="3" t="s">
        <v>68</v>
      </c>
      <c r="E3667" s="3" t="s">
        <v>100</v>
      </c>
      <c r="F3667" s="7">
        <v>45821.314636506155</v>
      </c>
      <c r="G3667" s="3" t="s">
        <v>11516</v>
      </c>
    </row>
    <row r="3668">
      <c r="A3668" s="3" t="s">
        <v>11517</v>
      </c>
      <c r="B3668" s="3" t="s">
        <v>3772</v>
      </c>
      <c r="C3668" s="5" t="s">
        <v>45</v>
      </c>
      <c r="D3668" s="3" t="s">
        <v>221</v>
      </c>
      <c r="E3668" s="3" t="s">
        <v>208</v>
      </c>
      <c r="F3668" s="7">
        <v>45821.37539468491</v>
      </c>
      <c r="G3668" s="3" t="s">
        <v>11519</v>
      </c>
    </row>
    <row r="3669">
      <c r="A3669" s="3" t="s">
        <v>11520</v>
      </c>
      <c r="B3669" s="3" t="s">
        <v>3772</v>
      </c>
      <c r="C3669" s="5" t="s">
        <v>221</v>
      </c>
      <c r="D3669" s="3" t="s">
        <v>195</v>
      </c>
      <c r="E3669" s="3" t="s">
        <v>208</v>
      </c>
      <c r="F3669" s="7">
        <v>45821.37886690713</v>
      </c>
      <c r="G3669" s="3" t="s">
        <v>11521</v>
      </c>
    </row>
    <row r="3670">
      <c r="A3670" s="3" t="s">
        <v>11523</v>
      </c>
      <c r="B3670" s="3" t="s">
        <v>3775</v>
      </c>
      <c r="C3670" s="5" t="s">
        <v>45</v>
      </c>
      <c r="D3670" s="3" t="s">
        <v>221</v>
      </c>
      <c r="E3670" s="3" t="s">
        <v>236</v>
      </c>
      <c r="F3670" s="7">
        <v>45821.44656953032</v>
      </c>
      <c r="G3670" s="3" t="s">
        <v>11524</v>
      </c>
    </row>
    <row r="3671">
      <c r="A3671" s="3" t="s">
        <v>11526</v>
      </c>
      <c r="B3671" s="3" t="s">
        <v>3775</v>
      </c>
      <c r="C3671" s="5" t="s">
        <v>221</v>
      </c>
      <c r="D3671" s="3" t="s">
        <v>614</v>
      </c>
      <c r="E3671" s="3" t="s">
        <v>118</v>
      </c>
      <c r="F3671" s="7">
        <v>45821.45004175254</v>
      </c>
      <c r="G3671" s="3" t="s">
        <v>11527</v>
      </c>
    </row>
    <row r="3672">
      <c r="A3672" s="3" t="s">
        <v>11528</v>
      </c>
      <c r="B3672" s="3" t="s">
        <v>3775</v>
      </c>
      <c r="C3672" s="5" t="s">
        <v>614</v>
      </c>
      <c r="D3672" s="3" t="s">
        <v>206</v>
      </c>
      <c r="E3672" s="3" t="s">
        <v>100</v>
      </c>
      <c r="F3672" s="7">
        <v>45821.45351397477</v>
      </c>
      <c r="G3672" s="3" t="s">
        <v>11530</v>
      </c>
    </row>
    <row r="3673">
      <c r="A3673" s="3" t="s">
        <v>11531</v>
      </c>
      <c r="B3673" s="3" t="s">
        <v>3775</v>
      </c>
      <c r="C3673" s="5" t="s">
        <v>206</v>
      </c>
      <c r="D3673" s="3" t="s">
        <v>68</v>
      </c>
      <c r="E3673" s="3" t="s">
        <v>100</v>
      </c>
      <c r="F3673" s="7">
        <v>45821.45698619699</v>
      </c>
      <c r="G3673" s="3" t="s">
        <v>11533</v>
      </c>
    </row>
    <row r="3674">
      <c r="A3674" s="3" t="s">
        <v>11534</v>
      </c>
      <c r="B3674" s="3" t="s">
        <v>3778</v>
      </c>
      <c r="C3674" s="5" t="s">
        <v>45</v>
      </c>
      <c r="D3674" s="3" t="s">
        <v>221</v>
      </c>
      <c r="E3674" s="3" t="s">
        <v>414</v>
      </c>
      <c r="F3674" s="7">
        <v>45821.517744375735</v>
      </c>
      <c r="G3674" s="3" t="s">
        <v>11536</v>
      </c>
    </row>
    <row r="3675">
      <c r="A3675" s="3" t="s">
        <v>11537</v>
      </c>
      <c r="B3675" s="3" t="s">
        <v>3778</v>
      </c>
      <c r="C3675" s="5" t="s">
        <v>221</v>
      </c>
      <c r="D3675" s="3" t="s">
        <v>614</v>
      </c>
      <c r="E3675" s="3" t="s">
        <v>118</v>
      </c>
      <c r="F3675" s="7">
        <v>45821.521216597954</v>
      </c>
      <c r="G3675" s="3" t="s">
        <v>11539</v>
      </c>
    </row>
    <row r="3676">
      <c r="A3676" s="3" t="s">
        <v>11540</v>
      </c>
      <c r="B3676" s="3" t="s">
        <v>3778</v>
      </c>
      <c r="C3676" s="5" t="s">
        <v>614</v>
      </c>
      <c r="D3676" s="3" t="s">
        <v>206</v>
      </c>
      <c r="E3676" s="3" t="s">
        <v>100</v>
      </c>
      <c r="F3676" s="7">
        <v>45821.52468882018</v>
      </c>
      <c r="G3676" s="3" t="s">
        <v>11542</v>
      </c>
    </row>
    <row r="3677">
      <c r="A3677" s="3" t="s">
        <v>11543</v>
      </c>
      <c r="B3677" s="3" t="s">
        <v>3778</v>
      </c>
      <c r="C3677" s="5" t="s">
        <v>206</v>
      </c>
      <c r="D3677" s="3" t="s">
        <v>68</v>
      </c>
      <c r="E3677" s="3" t="s">
        <v>100</v>
      </c>
      <c r="F3677" s="7">
        <v>45821.5281610424</v>
      </c>
      <c r="G3677" s="3" t="s">
        <v>11544</v>
      </c>
    </row>
    <row r="3678">
      <c r="A3678" s="3" t="s">
        <v>11545</v>
      </c>
      <c r="B3678" s="3" t="s">
        <v>3781</v>
      </c>
      <c r="C3678" s="5" t="s">
        <v>45</v>
      </c>
      <c r="D3678" s="3" t="s">
        <v>221</v>
      </c>
      <c r="E3678" s="3" t="s">
        <v>269</v>
      </c>
      <c r="F3678" s="7">
        <v>45821.588919221154</v>
      </c>
      <c r="G3678" s="3" t="s">
        <v>11547</v>
      </c>
    </row>
    <row r="3679">
      <c r="A3679" s="3" t="s">
        <v>11548</v>
      </c>
      <c r="B3679" s="3" t="s">
        <v>3781</v>
      </c>
      <c r="C3679" s="5" t="s">
        <v>221</v>
      </c>
      <c r="D3679" s="3" t="s">
        <v>614</v>
      </c>
      <c r="E3679" s="3" t="s">
        <v>118</v>
      </c>
      <c r="F3679" s="7">
        <v>45821.59239144337</v>
      </c>
      <c r="G3679" s="3" t="s">
        <v>11550</v>
      </c>
    </row>
    <row r="3680">
      <c r="A3680" s="3" t="s">
        <v>11551</v>
      </c>
      <c r="B3680" s="3" t="s">
        <v>3781</v>
      </c>
      <c r="C3680" s="5" t="s">
        <v>614</v>
      </c>
      <c r="D3680" s="3" t="s">
        <v>206</v>
      </c>
      <c r="E3680" s="3" t="s">
        <v>100</v>
      </c>
      <c r="F3680" s="7">
        <v>45821.5958636656</v>
      </c>
      <c r="G3680" s="3" t="s">
        <v>11553</v>
      </c>
    </row>
    <row r="3681">
      <c r="A3681" s="3" t="s">
        <v>11555</v>
      </c>
      <c r="B3681" s="3" t="s">
        <v>3781</v>
      </c>
      <c r="C3681" s="5" t="s">
        <v>206</v>
      </c>
      <c r="D3681" s="3" t="s">
        <v>68</v>
      </c>
      <c r="E3681" s="3" t="s">
        <v>100</v>
      </c>
      <c r="F3681" s="7">
        <v>45821.59933588782</v>
      </c>
      <c r="G3681" s="3" t="s">
        <v>11557</v>
      </c>
    </row>
    <row r="3682">
      <c r="A3682" s="3" t="s">
        <v>11558</v>
      </c>
      <c r="B3682" s="3" t="s">
        <v>3784</v>
      </c>
      <c r="C3682" s="5" t="s">
        <v>45</v>
      </c>
      <c r="D3682" s="3" t="s">
        <v>221</v>
      </c>
      <c r="E3682" s="3" t="s">
        <v>976</v>
      </c>
      <c r="F3682" s="7">
        <v>45821.66009406657</v>
      </c>
      <c r="G3682" s="3" t="s">
        <v>11560</v>
      </c>
    </row>
    <row r="3683">
      <c r="A3683" s="3" t="s">
        <v>11561</v>
      </c>
      <c r="B3683" s="3" t="s">
        <v>3784</v>
      </c>
      <c r="C3683" s="5" t="s">
        <v>221</v>
      </c>
      <c r="D3683" s="3" t="s">
        <v>614</v>
      </c>
      <c r="E3683" s="3" t="s">
        <v>118</v>
      </c>
      <c r="F3683" s="7">
        <v>45821.663566288786</v>
      </c>
      <c r="G3683" s="3" t="s">
        <v>11563</v>
      </c>
    </row>
    <row r="3684">
      <c r="A3684" s="3" t="s">
        <v>11564</v>
      </c>
      <c r="B3684" s="3" t="s">
        <v>3784</v>
      </c>
      <c r="C3684" s="5" t="s">
        <v>614</v>
      </c>
      <c r="D3684" s="3" t="s">
        <v>206</v>
      </c>
      <c r="E3684" s="3" t="s">
        <v>100</v>
      </c>
      <c r="F3684" s="7">
        <v>45821.66703851101</v>
      </c>
      <c r="G3684" s="3" t="s">
        <v>11566</v>
      </c>
    </row>
    <row r="3685">
      <c r="A3685" s="3" t="s">
        <v>11567</v>
      </c>
      <c r="B3685" s="3" t="s">
        <v>3784</v>
      </c>
      <c r="C3685" s="5" t="s">
        <v>206</v>
      </c>
      <c r="D3685" s="3" t="s">
        <v>68</v>
      </c>
      <c r="E3685" s="3" t="s">
        <v>100</v>
      </c>
      <c r="F3685" s="7">
        <v>45821.67051073323</v>
      </c>
      <c r="G3685" s="3" t="s">
        <v>11569</v>
      </c>
    </row>
    <row r="3686">
      <c r="A3686" s="3" t="s">
        <v>11570</v>
      </c>
      <c r="B3686" s="3" t="s">
        <v>3787</v>
      </c>
      <c r="C3686" s="5" t="s">
        <v>45</v>
      </c>
      <c r="D3686" s="3" t="s">
        <v>221</v>
      </c>
      <c r="E3686" s="3" t="s">
        <v>440</v>
      </c>
      <c r="F3686" s="7">
        <v>45821.73126891198</v>
      </c>
      <c r="G3686" s="3" t="s">
        <v>11571</v>
      </c>
    </row>
    <row r="3687">
      <c r="A3687" s="3" t="s">
        <v>11573</v>
      </c>
      <c r="B3687" s="3" t="s">
        <v>3787</v>
      </c>
      <c r="C3687" s="5" t="s">
        <v>221</v>
      </c>
      <c r="D3687" s="3" t="s">
        <v>181</v>
      </c>
      <c r="E3687" s="3" t="s">
        <v>118</v>
      </c>
      <c r="F3687" s="7">
        <v>45821.7347411342</v>
      </c>
      <c r="G3687" s="3" t="s">
        <v>11574</v>
      </c>
    </row>
    <row r="3688">
      <c r="A3688" s="3" t="s">
        <v>11575</v>
      </c>
      <c r="B3688" s="3" t="s">
        <v>3790</v>
      </c>
      <c r="C3688" s="5" t="s">
        <v>45</v>
      </c>
      <c r="D3688" s="3" t="s">
        <v>221</v>
      </c>
      <c r="E3688" s="3" t="s">
        <v>193</v>
      </c>
      <c r="F3688" s="7">
        <v>45821.8024437574</v>
      </c>
      <c r="G3688" s="3" t="s">
        <v>11577</v>
      </c>
    </row>
    <row r="3689">
      <c r="A3689" s="3" t="s">
        <v>11578</v>
      </c>
      <c r="B3689" s="3" t="s">
        <v>3790</v>
      </c>
      <c r="C3689" s="5" t="s">
        <v>221</v>
      </c>
      <c r="D3689" s="3" t="s">
        <v>614</v>
      </c>
      <c r="E3689" s="3" t="s">
        <v>118</v>
      </c>
      <c r="F3689" s="7">
        <v>45821.80591597962</v>
      </c>
      <c r="G3689" s="3" t="s">
        <v>11580</v>
      </c>
    </row>
    <row r="3690">
      <c r="A3690" s="3" t="s">
        <v>11581</v>
      </c>
      <c r="B3690" s="3" t="s">
        <v>3790</v>
      </c>
      <c r="C3690" s="5" t="s">
        <v>614</v>
      </c>
      <c r="D3690" s="3" t="s">
        <v>206</v>
      </c>
      <c r="E3690" s="3" t="s">
        <v>100</v>
      </c>
      <c r="F3690" s="7">
        <v>45821.809388201844</v>
      </c>
      <c r="G3690" s="3" t="s">
        <v>11583</v>
      </c>
    </row>
    <row r="3691">
      <c r="A3691" s="3" t="s">
        <v>11584</v>
      </c>
      <c r="B3691" s="3" t="s">
        <v>3790</v>
      </c>
      <c r="C3691" s="5" t="s">
        <v>206</v>
      </c>
      <c r="D3691" s="3" t="s">
        <v>68</v>
      </c>
      <c r="E3691" s="3" t="s">
        <v>100</v>
      </c>
      <c r="F3691" s="7">
        <v>45821.81286042406</v>
      </c>
      <c r="G3691" s="3" t="s">
        <v>11585</v>
      </c>
    </row>
    <row r="3692">
      <c r="A3692" s="3" t="s">
        <v>11587</v>
      </c>
      <c r="B3692" s="3" t="s">
        <v>3794</v>
      </c>
      <c r="C3692" s="5" t="s">
        <v>45</v>
      </c>
      <c r="D3692" s="3" t="s">
        <v>221</v>
      </c>
      <c r="E3692" s="3" t="s">
        <v>550</v>
      </c>
      <c r="F3692" s="7">
        <v>45821.87361860281</v>
      </c>
      <c r="G3692" s="3" t="s">
        <v>11588</v>
      </c>
    </row>
    <row r="3693">
      <c r="A3693" s="3" t="s">
        <v>11590</v>
      </c>
      <c r="B3693" s="3" t="s">
        <v>3794</v>
      </c>
      <c r="C3693" s="5" t="s">
        <v>221</v>
      </c>
      <c r="D3693" s="3" t="s">
        <v>614</v>
      </c>
      <c r="E3693" s="3" t="s">
        <v>118</v>
      </c>
      <c r="F3693" s="7">
        <v>45821.87709082503</v>
      </c>
      <c r="G3693" s="3" t="s">
        <v>11591</v>
      </c>
    </row>
    <row r="3694">
      <c r="A3694" s="3" t="s">
        <v>11592</v>
      </c>
      <c r="B3694" s="3" t="s">
        <v>3794</v>
      </c>
      <c r="C3694" s="5" t="s">
        <v>614</v>
      </c>
      <c r="D3694" s="3" t="s">
        <v>206</v>
      </c>
      <c r="E3694" s="3" t="s">
        <v>100</v>
      </c>
      <c r="F3694" s="7">
        <v>45821.880563047256</v>
      </c>
      <c r="G3694" s="3" t="s">
        <v>11594</v>
      </c>
    </row>
    <row r="3695">
      <c r="A3695" s="3" t="s">
        <v>11595</v>
      </c>
      <c r="B3695" s="3" t="s">
        <v>3794</v>
      </c>
      <c r="C3695" s="5" t="s">
        <v>206</v>
      </c>
      <c r="D3695" s="3" t="s">
        <v>68</v>
      </c>
      <c r="E3695" s="3" t="s">
        <v>100</v>
      </c>
      <c r="F3695" s="7">
        <v>45821.884035269475</v>
      </c>
      <c r="G3695" s="3" t="s">
        <v>11597</v>
      </c>
    </row>
    <row r="3696">
      <c r="A3696" s="3" t="s">
        <v>11598</v>
      </c>
      <c r="B3696" s="3" t="s">
        <v>3797</v>
      </c>
      <c r="C3696" s="5" t="s">
        <v>45</v>
      </c>
      <c r="D3696" s="3" t="s">
        <v>221</v>
      </c>
      <c r="E3696" s="3" t="s">
        <v>770</v>
      </c>
      <c r="F3696" s="7">
        <v>45821.94479344822</v>
      </c>
      <c r="G3696" s="3" t="s">
        <v>9670</v>
      </c>
    </row>
    <row r="3697">
      <c r="A3697" s="3" t="s">
        <v>11600</v>
      </c>
      <c r="B3697" s="3" t="s">
        <v>3797</v>
      </c>
      <c r="C3697" s="5" t="s">
        <v>221</v>
      </c>
      <c r="D3697" s="3" t="s">
        <v>614</v>
      </c>
      <c r="E3697" s="3" t="s">
        <v>118</v>
      </c>
      <c r="F3697" s="7">
        <v>45821.94826567044</v>
      </c>
      <c r="G3697" s="3" t="s">
        <v>9674</v>
      </c>
    </row>
    <row r="3698">
      <c r="A3698" s="3" t="s">
        <v>11602</v>
      </c>
      <c r="B3698" s="3" t="s">
        <v>3797</v>
      </c>
      <c r="C3698" s="5" t="s">
        <v>614</v>
      </c>
      <c r="D3698" s="3" t="s">
        <v>206</v>
      </c>
      <c r="E3698" s="3" t="s">
        <v>100</v>
      </c>
      <c r="F3698" s="7">
        <v>45821.95173789267</v>
      </c>
      <c r="G3698" s="3" t="s">
        <v>9677</v>
      </c>
    </row>
    <row r="3699">
      <c r="A3699" s="3" t="s">
        <v>11603</v>
      </c>
      <c r="B3699" s="3" t="s">
        <v>3797</v>
      </c>
      <c r="C3699" s="5" t="s">
        <v>206</v>
      </c>
      <c r="D3699" s="3" t="s">
        <v>68</v>
      </c>
      <c r="E3699" s="3" t="s">
        <v>100</v>
      </c>
      <c r="F3699" s="7">
        <v>45821.95521011489</v>
      </c>
      <c r="G3699" s="3" t="s">
        <v>9680</v>
      </c>
    </row>
    <row r="3700">
      <c r="A3700" s="3" t="s">
        <v>11605</v>
      </c>
      <c r="B3700" s="3" t="s">
        <v>3800</v>
      </c>
      <c r="C3700" s="5" t="s">
        <v>45</v>
      </c>
      <c r="D3700" s="3" t="s">
        <v>221</v>
      </c>
      <c r="E3700" s="3" t="s">
        <v>751</v>
      </c>
      <c r="F3700" s="7">
        <v>45822.01596829364</v>
      </c>
      <c r="G3700" s="3" t="s">
        <v>11607</v>
      </c>
    </row>
    <row r="3701">
      <c r="A3701" s="3" t="s">
        <v>11608</v>
      </c>
      <c r="B3701" s="3" t="s">
        <v>3800</v>
      </c>
      <c r="C3701" s="5" t="s">
        <v>221</v>
      </c>
      <c r="D3701" s="3" t="s">
        <v>614</v>
      </c>
      <c r="E3701" s="3" t="s">
        <v>118</v>
      </c>
      <c r="F3701" s="7">
        <v>45822.01944051586</v>
      </c>
      <c r="G3701" s="3" t="s">
        <v>11610</v>
      </c>
    </row>
    <row r="3702">
      <c r="A3702" s="3" t="s">
        <v>11611</v>
      </c>
      <c r="B3702" s="3" t="s">
        <v>3800</v>
      </c>
      <c r="C3702" s="5" t="s">
        <v>614</v>
      </c>
      <c r="D3702" s="3" t="s">
        <v>206</v>
      </c>
      <c r="E3702" s="3" t="s">
        <v>100</v>
      </c>
      <c r="F3702" s="7">
        <v>45822.02291273809</v>
      </c>
      <c r="G3702" s="3" t="s">
        <v>11613</v>
      </c>
    </row>
    <row r="3703">
      <c r="A3703" s="3" t="s">
        <v>11614</v>
      </c>
      <c r="B3703" s="3" t="s">
        <v>3800</v>
      </c>
      <c r="C3703" s="5" t="s">
        <v>206</v>
      </c>
      <c r="D3703" s="3" t="s">
        <v>68</v>
      </c>
      <c r="E3703" s="3" t="s">
        <v>100</v>
      </c>
      <c r="F3703" s="7">
        <v>45822.02638496031</v>
      </c>
      <c r="G3703" s="3" t="s">
        <v>11615</v>
      </c>
    </row>
    <row r="3704">
      <c r="A3704" s="3" t="s">
        <v>11616</v>
      </c>
      <c r="B3704" s="3" t="s">
        <v>3803</v>
      </c>
      <c r="C3704" s="5" t="s">
        <v>45</v>
      </c>
      <c r="D3704" s="3" t="s">
        <v>221</v>
      </c>
      <c r="E3704" s="3" t="s">
        <v>767</v>
      </c>
      <c r="F3704" s="7">
        <v>45822.08714313906</v>
      </c>
      <c r="G3704" s="3" t="s">
        <v>8627</v>
      </c>
    </row>
    <row r="3705">
      <c r="A3705" s="3" t="s">
        <v>11618</v>
      </c>
      <c r="B3705" s="3" t="s">
        <v>3803</v>
      </c>
      <c r="C3705" s="5" t="s">
        <v>221</v>
      </c>
      <c r="D3705" s="3" t="s">
        <v>614</v>
      </c>
      <c r="E3705" s="3" t="s">
        <v>118</v>
      </c>
      <c r="F3705" s="7">
        <v>45822.09061536128</v>
      </c>
      <c r="G3705" s="3" t="s">
        <v>8630</v>
      </c>
    </row>
    <row r="3706">
      <c r="A3706" s="3" t="s">
        <v>11620</v>
      </c>
      <c r="B3706" s="3" t="s">
        <v>3803</v>
      </c>
      <c r="C3706" s="5" t="s">
        <v>614</v>
      </c>
      <c r="D3706" s="3" t="s">
        <v>206</v>
      </c>
      <c r="E3706" s="3" t="s">
        <v>100</v>
      </c>
      <c r="F3706" s="7">
        <v>45822.09408758351</v>
      </c>
      <c r="G3706" s="3" t="s">
        <v>8633</v>
      </c>
    </row>
    <row r="3707">
      <c r="A3707" s="3" t="s">
        <v>11622</v>
      </c>
      <c r="B3707" s="3" t="s">
        <v>3803</v>
      </c>
      <c r="C3707" s="5" t="s">
        <v>206</v>
      </c>
      <c r="D3707" s="3" t="s">
        <v>68</v>
      </c>
      <c r="E3707" s="3" t="s">
        <v>100</v>
      </c>
      <c r="F3707" s="7">
        <v>45822.09755980573</v>
      </c>
      <c r="G3707" s="3" t="s">
        <v>8636</v>
      </c>
    </row>
    <row r="3708">
      <c r="A3708" s="3" t="s">
        <v>11624</v>
      </c>
      <c r="B3708" s="3" t="s">
        <v>3806</v>
      </c>
      <c r="C3708" s="5" t="s">
        <v>45</v>
      </c>
      <c r="D3708" s="3" t="s">
        <v>221</v>
      </c>
      <c r="E3708" s="3" t="s">
        <v>135</v>
      </c>
      <c r="F3708" s="7">
        <v>45822.15831798447</v>
      </c>
      <c r="G3708" s="3" t="s">
        <v>11626</v>
      </c>
    </row>
    <row r="3709">
      <c r="A3709" s="3" t="s">
        <v>11627</v>
      </c>
      <c r="B3709" s="3" t="s">
        <v>3806</v>
      </c>
      <c r="C3709" s="5" t="s">
        <v>221</v>
      </c>
      <c r="D3709" s="3" t="s">
        <v>614</v>
      </c>
      <c r="E3709" s="3" t="s">
        <v>118</v>
      </c>
      <c r="F3709" s="7">
        <v>45822.16179020669</v>
      </c>
      <c r="G3709" s="3" t="s">
        <v>11629</v>
      </c>
    </row>
    <row r="3710">
      <c r="A3710" s="3" t="s">
        <v>11630</v>
      </c>
      <c r="B3710" s="3" t="s">
        <v>3806</v>
      </c>
      <c r="C3710" s="5" t="s">
        <v>614</v>
      </c>
      <c r="D3710" s="3" t="s">
        <v>206</v>
      </c>
      <c r="E3710" s="3" t="s">
        <v>100</v>
      </c>
      <c r="F3710" s="7">
        <v>45822.16526242891</v>
      </c>
      <c r="G3710" s="3" t="s">
        <v>11633</v>
      </c>
    </row>
    <row r="3711">
      <c r="A3711" s="3" t="s">
        <v>11634</v>
      </c>
      <c r="B3711" s="3" t="s">
        <v>3806</v>
      </c>
      <c r="C3711" s="5" t="s">
        <v>206</v>
      </c>
      <c r="D3711" s="3" t="s">
        <v>68</v>
      </c>
      <c r="E3711" s="3" t="s">
        <v>100</v>
      </c>
      <c r="F3711" s="7">
        <v>45822.16873465113</v>
      </c>
      <c r="G3711" s="3" t="s">
        <v>11636</v>
      </c>
    </row>
    <row r="3712">
      <c r="A3712" s="3" t="s">
        <v>11637</v>
      </c>
      <c r="B3712" s="3" t="s">
        <v>3809</v>
      </c>
      <c r="C3712" s="5" t="s">
        <v>45</v>
      </c>
      <c r="D3712" s="3" t="s">
        <v>221</v>
      </c>
      <c r="E3712" s="3" t="s">
        <v>383</v>
      </c>
      <c r="F3712" s="7">
        <v>45822.22949282989</v>
      </c>
      <c r="G3712" s="3" t="s">
        <v>11640</v>
      </c>
    </row>
    <row r="3713">
      <c r="A3713" s="3" t="s">
        <v>11641</v>
      </c>
      <c r="B3713" s="3" t="s">
        <v>3809</v>
      </c>
      <c r="C3713" s="5" t="s">
        <v>221</v>
      </c>
      <c r="D3713" s="3" t="s">
        <v>614</v>
      </c>
      <c r="E3713" s="3" t="s">
        <v>118</v>
      </c>
      <c r="F3713" s="7">
        <v>45822.232965052106</v>
      </c>
      <c r="G3713" s="3" t="s">
        <v>11643</v>
      </c>
    </row>
    <row r="3714">
      <c r="A3714" s="3" t="s">
        <v>11644</v>
      </c>
      <c r="B3714" s="3" t="s">
        <v>3809</v>
      </c>
      <c r="C3714" s="5" t="s">
        <v>614</v>
      </c>
      <c r="D3714" s="3" t="s">
        <v>206</v>
      </c>
      <c r="E3714" s="3" t="s">
        <v>100</v>
      </c>
      <c r="F3714" s="7">
        <v>45822.23643727433</v>
      </c>
      <c r="G3714" s="3" t="s">
        <v>11647</v>
      </c>
    </row>
    <row r="3715">
      <c r="A3715" s="3" t="s">
        <v>11649</v>
      </c>
      <c r="B3715" s="3" t="s">
        <v>3809</v>
      </c>
      <c r="C3715" s="5" t="s">
        <v>206</v>
      </c>
      <c r="D3715" s="3" t="s">
        <v>68</v>
      </c>
      <c r="E3715" s="3" t="s">
        <v>100</v>
      </c>
      <c r="F3715" s="7">
        <v>45822.23990949655</v>
      </c>
      <c r="G3715" s="3" t="s">
        <v>11650</v>
      </c>
    </row>
    <row r="3716">
      <c r="A3716" s="3" t="s">
        <v>11651</v>
      </c>
      <c r="B3716" s="3" t="s">
        <v>3813</v>
      </c>
      <c r="C3716" s="5" t="s">
        <v>45</v>
      </c>
      <c r="D3716" s="3" t="s">
        <v>221</v>
      </c>
      <c r="E3716" s="3" t="s">
        <v>419</v>
      </c>
      <c r="F3716" s="7">
        <v>45822.30066767531</v>
      </c>
      <c r="G3716" s="3" t="s">
        <v>11653</v>
      </c>
    </row>
    <row r="3717">
      <c r="A3717" s="3" t="s">
        <v>11654</v>
      </c>
      <c r="B3717" s="3" t="s">
        <v>3813</v>
      </c>
      <c r="C3717" s="5" t="s">
        <v>221</v>
      </c>
      <c r="D3717" s="3" t="s">
        <v>614</v>
      </c>
      <c r="E3717" s="3" t="s">
        <v>118</v>
      </c>
      <c r="F3717" s="7">
        <v>45822.304139897526</v>
      </c>
      <c r="G3717" s="3" t="s">
        <v>11656</v>
      </c>
    </row>
    <row r="3718">
      <c r="A3718" s="3" t="s">
        <v>11657</v>
      </c>
      <c r="B3718" s="3" t="s">
        <v>3813</v>
      </c>
      <c r="C3718" s="5" t="s">
        <v>614</v>
      </c>
      <c r="D3718" s="3" t="s">
        <v>206</v>
      </c>
      <c r="E3718" s="3" t="s">
        <v>100</v>
      </c>
      <c r="F3718" s="7">
        <v>45822.30761211975</v>
      </c>
      <c r="G3718" s="3" t="s">
        <v>11659</v>
      </c>
    </row>
    <row r="3719">
      <c r="A3719" s="3" t="s">
        <v>11660</v>
      </c>
      <c r="B3719" s="3" t="s">
        <v>3813</v>
      </c>
      <c r="C3719" s="5" t="s">
        <v>206</v>
      </c>
      <c r="D3719" s="3" t="s">
        <v>68</v>
      </c>
      <c r="E3719" s="3" t="s">
        <v>100</v>
      </c>
      <c r="F3719" s="7">
        <v>45822.31108434197</v>
      </c>
      <c r="G3719" s="3" t="s">
        <v>11661</v>
      </c>
    </row>
    <row r="3720">
      <c r="A3720" s="3" t="s">
        <v>11662</v>
      </c>
      <c r="B3720" s="3" t="s">
        <v>3817</v>
      </c>
      <c r="C3720" s="5" t="s">
        <v>45</v>
      </c>
      <c r="D3720" s="3" t="s">
        <v>221</v>
      </c>
      <c r="E3720" s="3" t="s">
        <v>419</v>
      </c>
      <c r="F3720" s="7">
        <v>45822.37184252072</v>
      </c>
      <c r="G3720" s="3" t="s">
        <v>11664</v>
      </c>
    </row>
    <row r="3721">
      <c r="A3721" s="3" t="s">
        <v>11665</v>
      </c>
      <c r="B3721" s="3" t="s">
        <v>3817</v>
      </c>
      <c r="C3721" s="5" t="s">
        <v>221</v>
      </c>
      <c r="D3721" s="3" t="s">
        <v>614</v>
      </c>
      <c r="E3721" s="3" t="s">
        <v>118</v>
      </c>
      <c r="F3721" s="7">
        <v>45822.37531474294</v>
      </c>
      <c r="G3721" s="3" t="s">
        <v>11667</v>
      </c>
    </row>
    <row r="3722">
      <c r="A3722" s="3" t="s">
        <v>11668</v>
      </c>
      <c r="B3722" s="3" t="s">
        <v>3817</v>
      </c>
      <c r="C3722" s="5" t="s">
        <v>614</v>
      </c>
      <c r="D3722" s="3" t="s">
        <v>206</v>
      </c>
      <c r="E3722" s="3" t="s">
        <v>100</v>
      </c>
      <c r="F3722" s="7">
        <v>45822.378786965164</v>
      </c>
      <c r="G3722" s="3" t="s">
        <v>11670</v>
      </c>
    </row>
    <row r="3723">
      <c r="A3723" s="3" t="s">
        <v>11671</v>
      </c>
      <c r="B3723" s="3" t="s">
        <v>3817</v>
      </c>
      <c r="C3723" s="5" t="s">
        <v>206</v>
      </c>
      <c r="D3723" s="3" t="s">
        <v>68</v>
      </c>
      <c r="E3723" s="3" t="s">
        <v>100</v>
      </c>
      <c r="F3723" s="7">
        <v>45822.38225918738</v>
      </c>
      <c r="G3723" s="3" t="s">
        <v>11673</v>
      </c>
    </row>
    <row r="3724">
      <c r="A3724" s="3" t="s">
        <v>11674</v>
      </c>
      <c r="B3724" s="3" t="s">
        <v>3820</v>
      </c>
      <c r="C3724" s="5" t="s">
        <v>45</v>
      </c>
      <c r="D3724" s="3" t="s">
        <v>221</v>
      </c>
      <c r="E3724" s="3" t="s">
        <v>998</v>
      </c>
      <c r="F3724" s="7">
        <v>45822.44301736613</v>
      </c>
      <c r="G3724" s="3" t="s">
        <v>11676</v>
      </c>
    </row>
    <row r="3725">
      <c r="A3725" s="3" t="s">
        <v>11677</v>
      </c>
      <c r="B3725" s="3" t="s">
        <v>3820</v>
      </c>
      <c r="C3725" s="5" t="s">
        <v>221</v>
      </c>
      <c r="D3725" s="3" t="s">
        <v>614</v>
      </c>
      <c r="E3725" s="3" t="s">
        <v>118</v>
      </c>
      <c r="F3725" s="7">
        <v>45822.44648958835</v>
      </c>
      <c r="G3725" s="3" t="s">
        <v>11678</v>
      </c>
    </row>
    <row r="3726">
      <c r="A3726" s="3" t="s">
        <v>11680</v>
      </c>
      <c r="B3726" s="3" t="s">
        <v>3820</v>
      </c>
      <c r="C3726" s="5" t="s">
        <v>614</v>
      </c>
      <c r="D3726" s="3" t="s">
        <v>206</v>
      </c>
      <c r="E3726" s="3" t="s">
        <v>100</v>
      </c>
      <c r="F3726" s="7">
        <v>45822.44996181058</v>
      </c>
      <c r="G3726" s="3" t="s">
        <v>11681</v>
      </c>
    </row>
    <row r="3727">
      <c r="A3727" s="3" t="s">
        <v>11682</v>
      </c>
      <c r="B3727" s="3" t="s">
        <v>3820</v>
      </c>
      <c r="C3727" s="5" t="s">
        <v>206</v>
      </c>
      <c r="D3727" s="3" t="s">
        <v>68</v>
      </c>
      <c r="E3727" s="3" t="s">
        <v>100</v>
      </c>
      <c r="F3727" s="7">
        <v>45822.453434032795</v>
      </c>
      <c r="G3727" s="3" t="s">
        <v>11684</v>
      </c>
    </row>
    <row r="3728">
      <c r="A3728" s="3" t="s">
        <v>11685</v>
      </c>
      <c r="B3728" s="3" t="s">
        <v>3823</v>
      </c>
      <c r="C3728" s="5" t="s">
        <v>45</v>
      </c>
      <c r="D3728" s="3" t="s">
        <v>221</v>
      </c>
      <c r="E3728" s="3" t="s">
        <v>845</v>
      </c>
      <c r="F3728" s="7">
        <v>45822.51419221155</v>
      </c>
      <c r="G3728" s="3" t="s">
        <v>8546</v>
      </c>
    </row>
    <row r="3729">
      <c r="A3729" s="3" t="s">
        <v>11687</v>
      </c>
      <c r="B3729" s="3" t="s">
        <v>3823</v>
      </c>
      <c r="C3729" s="5" t="s">
        <v>221</v>
      </c>
      <c r="D3729" s="3" t="s">
        <v>614</v>
      </c>
      <c r="E3729" s="3" t="s">
        <v>118</v>
      </c>
      <c r="F3729" s="7">
        <v>45822.51766443377</v>
      </c>
      <c r="G3729" s="3" t="s">
        <v>8549</v>
      </c>
    </row>
    <row r="3730">
      <c r="A3730" s="3" t="s">
        <v>11689</v>
      </c>
      <c r="B3730" s="3" t="s">
        <v>3823</v>
      </c>
      <c r="C3730" s="5" t="s">
        <v>614</v>
      </c>
      <c r="D3730" s="3" t="s">
        <v>206</v>
      </c>
      <c r="E3730" s="3" t="s">
        <v>100</v>
      </c>
      <c r="F3730" s="7">
        <v>45822.521136655996</v>
      </c>
      <c r="G3730" s="3" t="s">
        <v>8551</v>
      </c>
    </row>
    <row r="3731">
      <c r="A3731" s="3" t="s">
        <v>11691</v>
      </c>
      <c r="B3731" s="3" t="s">
        <v>3823</v>
      </c>
      <c r="C3731" s="5" t="s">
        <v>206</v>
      </c>
      <c r="D3731" s="3" t="s">
        <v>68</v>
      </c>
      <c r="E3731" s="3" t="s">
        <v>100</v>
      </c>
      <c r="F3731" s="7">
        <v>45822.524608878215</v>
      </c>
      <c r="G3731" s="3" t="s">
        <v>8554</v>
      </c>
    </row>
    <row r="3732">
      <c r="A3732" s="3" t="s">
        <v>11693</v>
      </c>
      <c r="B3732" s="3" t="s">
        <v>3826</v>
      </c>
      <c r="C3732" s="5" t="s">
        <v>45</v>
      </c>
      <c r="D3732" s="3" t="s">
        <v>221</v>
      </c>
      <c r="E3732" s="3" t="s">
        <v>579</v>
      </c>
      <c r="F3732" s="7">
        <v>45822.58536705696</v>
      </c>
      <c r="G3732" s="3" t="s">
        <v>2770</v>
      </c>
    </row>
    <row r="3733">
      <c r="A3733" s="3" t="s">
        <v>11695</v>
      </c>
      <c r="B3733" s="3" t="s">
        <v>3826</v>
      </c>
      <c r="C3733" s="5" t="s">
        <v>221</v>
      </c>
      <c r="D3733" s="3" t="s">
        <v>195</v>
      </c>
      <c r="E3733" s="3" t="s">
        <v>579</v>
      </c>
      <c r="F3733" s="7">
        <v>45822.58883927918</v>
      </c>
      <c r="G3733" s="3" t="s">
        <v>3055</v>
      </c>
    </row>
    <row r="3734">
      <c r="A3734" s="3" t="s">
        <v>11698</v>
      </c>
      <c r="B3734" s="3" t="s">
        <v>3829</v>
      </c>
      <c r="C3734" s="5" t="s">
        <v>45</v>
      </c>
      <c r="D3734" s="3" t="s">
        <v>221</v>
      </c>
      <c r="E3734" s="3" t="s">
        <v>773</v>
      </c>
      <c r="F3734" s="7">
        <v>45822.656541902375</v>
      </c>
      <c r="G3734" s="3" t="s">
        <v>11700</v>
      </c>
    </row>
    <row r="3735">
      <c r="A3735" s="3" t="s">
        <v>11701</v>
      </c>
      <c r="B3735" s="3" t="s">
        <v>3829</v>
      </c>
      <c r="C3735" s="5" t="s">
        <v>221</v>
      </c>
      <c r="D3735" s="3" t="s">
        <v>614</v>
      </c>
      <c r="E3735" s="3" t="s">
        <v>118</v>
      </c>
      <c r="F3735" s="7">
        <v>45822.660014124594</v>
      </c>
      <c r="G3735" s="3" t="s">
        <v>11703</v>
      </c>
    </row>
    <row r="3736">
      <c r="A3736" s="3" t="s">
        <v>11704</v>
      </c>
      <c r="B3736" s="3" t="s">
        <v>3829</v>
      </c>
      <c r="C3736" s="5" t="s">
        <v>614</v>
      </c>
      <c r="D3736" s="3" t="s">
        <v>206</v>
      </c>
      <c r="E3736" s="3" t="s">
        <v>100</v>
      </c>
      <c r="F3736" s="7">
        <v>45822.66348634682</v>
      </c>
      <c r="G3736" s="3" t="s">
        <v>11706</v>
      </c>
    </row>
    <row r="3737">
      <c r="A3737" s="3" t="s">
        <v>11708</v>
      </c>
      <c r="B3737" s="3" t="s">
        <v>3829</v>
      </c>
      <c r="C3737" s="5" t="s">
        <v>206</v>
      </c>
      <c r="D3737" s="3" t="s">
        <v>68</v>
      </c>
      <c r="E3737" s="3" t="s">
        <v>100</v>
      </c>
      <c r="F3737" s="7">
        <v>45822.66695856904</v>
      </c>
      <c r="G3737" s="3" t="s">
        <v>11709</v>
      </c>
    </row>
    <row r="3738">
      <c r="A3738" s="3" t="s">
        <v>11710</v>
      </c>
      <c r="B3738" s="3" t="s">
        <v>3831</v>
      </c>
      <c r="C3738" s="5" t="s">
        <v>45</v>
      </c>
      <c r="D3738" s="3" t="s">
        <v>221</v>
      </c>
      <c r="E3738" s="3" t="s">
        <v>424</v>
      </c>
      <c r="F3738" s="7">
        <v>45822.727716747795</v>
      </c>
      <c r="G3738" s="3" t="s">
        <v>7447</v>
      </c>
    </row>
    <row r="3739">
      <c r="A3739" s="3" t="s">
        <v>11712</v>
      </c>
      <c r="B3739" s="3" t="s">
        <v>3831</v>
      </c>
      <c r="C3739" s="5" t="s">
        <v>221</v>
      </c>
      <c r="D3739" s="3" t="s">
        <v>195</v>
      </c>
      <c r="E3739" s="3" t="s">
        <v>424</v>
      </c>
      <c r="F3739" s="7">
        <v>45822.731188970014</v>
      </c>
      <c r="G3739" s="3" t="s">
        <v>11714</v>
      </c>
    </row>
    <row r="3740">
      <c r="A3740" s="3" t="s">
        <v>11715</v>
      </c>
      <c r="B3740" s="3" t="s">
        <v>3833</v>
      </c>
      <c r="C3740" s="5" t="s">
        <v>45</v>
      </c>
      <c r="D3740" s="3" t="s">
        <v>221</v>
      </c>
      <c r="E3740" s="3" t="s">
        <v>853</v>
      </c>
      <c r="F3740" s="7">
        <v>45822.798891593215</v>
      </c>
      <c r="G3740" s="3" t="s">
        <v>11717</v>
      </c>
    </row>
    <row r="3741">
      <c r="A3741" s="3" t="s">
        <v>11718</v>
      </c>
      <c r="B3741" s="3" t="s">
        <v>3833</v>
      </c>
      <c r="C3741" s="5" t="s">
        <v>221</v>
      </c>
      <c r="D3741" s="3" t="s">
        <v>181</v>
      </c>
      <c r="E3741" s="3" t="s">
        <v>118</v>
      </c>
      <c r="F3741" s="7">
        <v>45822.80236381543</v>
      </c>
      <c r="G3741" s="3" t="s">
        <v>11720</v>
      </c>
    </row>
    <row r="3742">
      <c r="A3742" s="3" t="s">
        <v>11721</v>
      </c>
      <c r="B3742" s="3" t="s">
        <v>3836</v>
      </c>
      <c r="C3742" s="5" t="s">
        <v>45</v>
      </c>
      <c r="D3742" s="3" t="s">
        <v>221</v>
      </c>
      <c r="E3742" s="3" t="s">
        <v>727</v>
      </c>
      <c r="F3742" s="7">
        <v>45822.87006643862</v>
      </c>
      <c r="G3742" s="3" t="s">
        <v>11723</v>
      </c>
    </row>
    <row r="3743">
      <c r="A3743" s="3" t="s">
        <v>11724</v>
      </c>
      <c r="B3743" s="3" t="s">
        <v>3836</v>
      </c>
      <c r="C3743" s="5" t="s">
        <v>221</v>
      </c>
      <c r="D3743" s="3" t="s">
        <v>614</v>
      </c>
      <c r="E3743" s="3" t="s">
        <v>118</v>
      </c>
      <c r="F3743" s="7">
        <v>45822.87353866084</v>
      </c>
      <c r="G3743" s="3" t="s">
        <v>11725</v>
      </c>
    </row>
    <row r="3744">
      <c r="A3744" s="3" t="s">
        <v>11726</v>
      </c>
      <c r="B3744" s="3" t="s">
        <v>3836</v>
      </c>
      <c r="C3744" s="5" t="s">
        <v>614</v>
      </c>
      <c r="D3744" s="3" t="s">
        <v>206</v>
      </c>
      <c r="E3744" s="3" t="s">
        <v>100</v>
      </c>
      <c r="F3744" s="7">
        <v>45822.877010883065</v>
      </c>
      <c r="G3744" s="3" t="s">
        <v>11728</v>
      </c>
    </row>
    <row r="3745">
      <c r="A3745" s="3" t="s">
        <v>11729</v>
      </c>
      <c r="B3745" s="3" t="s">
        <v>3836</v>
      </c>
      <c r="C3745" s="5" t="s">
        <v>206</v>
      </c>
      <c r="D3745" s="3" t="s">
        <v>68</v>
      </c>
      <c r="E3745" s="3" t="s">
        <v>100</v>
      </c>
      <c r="F3745" s="7">
        <v>45822.880483105284</v>
      </c>
      <c r="G3745" s="3" t="s">
        <v>11731</v>
      </c>
    </row>
    <row r="3746">
      <c r="A3746" s="3" t="s">
        <v>11732</v>
      </c>
      <c r="B3746" s="3" t="s">
        <v>3839</v>
      </c>
      <c r="C3746" s="5" t="s">
        <v>45</v>
      </c>
      <c r="D3746" s="3" t="s">
        <v>221</v>
      </c>
      <c r="E3746" s="3" t="s">
        <v>348</v>
      </c>
      <c r="F3746" s="7">
        <v>45822.94124128404</v>
      </c>
      <c r="G3746" s="3" t="s">
        <v>11734</v>
      </c>
    </row>
    <row r="3747">
      <c r="A3747" s="3" t="s">
        <v>11735</v>
      </c>
      <c r="B3747" s="3" t="s">
        <v>3839</v>
      </c>
      <c r="C3747" s="5" t="s">
        <v>221</v>
      </c>
      <c r="D3747" s="3" t="s">
        <v>614</v>
      </c>
      <c r="E3747" s="3" t="s">
        <v>118</v>
      </c>
      <c r="F3747" s="7">
        <v>45822.94471350626</v>
      </c>
      <c r="G3747" s="3" t="s">
        <v>11737</v>
      </c>
    </row>
    <row r="3748">
      <c r="A3748" s="3" t="s">
        <v>11738</v>
      </c>
      <c r="B3748" s="3" t="s">
        <v>3839</v>
      </c>
      <c r="C3748" s="5" t="s">
        <v>614</v>
      </c>
      <c r="D3748" s="3" t="s">
        <v>206</v>
      </c>
      <c r="E3748" s="3" t="s">
        <v>100</v>
      </c>
      <c r="F3748" s="7">
        <v>45822.948185728485</v>
      </c>
      <c r="G3748" s="3" t="s">
        <v>11740</v>
      </c>
    </row>
    <row r="3749">
      <c r="A3749" s="3" t="s">
        <v>11741</v>
      </c>
      <c r="B3749" s="3" t="s">
        <v>3839</v>
      </c>
      <c r="C3749" s="5" t="s">
        <v>206</v>
      </c>
      <c r="D3749" s="3" t="s">
        <v>68</v>
      </c>
      <c r="E3749" s="3" t="s">
        <v>100</v>
      </c>
      <c r="F3749" s="7">
        <v>45822.9516579507</v>
      </c>
      <c r="G3749" s="3" t="s">
        <v>11742</v>
      </c>
    </row>
    <row r="3750">
      <c r="A3750" s="3" t="s">
        <v>11744</v>
      </c>
      <c r="B3750" s="3" t="s">
        <v>3842</v>
      </c>
      <c r="C3750" s="5" t="s">
        <v>45</v>
      </c>
      <c r="D3750" s="3" t="s">
        <v>221</v>
      </c>
      <c r="E3750" s="3" t="s">
        <v>694</v>
      </c>
      <c r="F3750" s="7">
        <v>45823.01241612945</v>
      </c>
      <c r="G3750" s="3" t="s">
        <v>11745</v>
      </c>
    </row>
    <row r="3751">
      <c r="A3751" s="3" t="s">
        <v>11746</v>
      </c>
      <c r="B3751" s="3" t="s">
        <v>3842</v>
      </c>
      <c r="C3751" s="5" t="s">
        <v>221</v>
      </c>
      <c r="D3751" s="3" t="s">
        <v>614</v>
      </c>
      <c r="E3751" s="3" t="s">
        <v>118</v>
      </c>
      <c r="F3751" s="7">
        <v>45823.01588835167</v>
      </c>
      <c r="G3751" s="3" t="s">
        <v>11748</v>
      </c>
    </row>
    <row r="3752">
      <c r="A3752" s="3" t="s">
        <v>11749</v>
      </c>
      <c r="B3752" s="3" t="s">
        <v>3842</v>
      </c>
      <c r="C3752" s="5" t="s">
        <v>614</v>
      </c>
      <c r="D3752" s="3" t="s">
        <v>206</v>
      </c>
      <c r="E3752" s="3" t="s">
        <v>100</v>
      </c>
      <c r="F3752" s="7">
        <v>45823.0193605739</v>
      </c>
      <c r="G3752" s="3" t="s">
        <v>11751</v>
      </c>
    </row>
    <row r="3753">
      <c r="A3753" s="3" t="s">
        <v>11752</v>
      </c>
      <c r="B3753" s="3" t="s">
        <v>3842</v>
      </c>
      <c r="C3753" s="5" t="s">
        <v>206</v>
      </c>
      <c r="D3753" s="3" t="s">
        <v>68</v>
      </c>
      <c r="E3753" s="3" t="s">
        <v>100</v>
      </c>
      <c r="F3753" s="7">
        <v>45823.022832796116</v>
      </c>
      <c r="G3753" s="3" t="s">
        <v>11754</v>
      </c>
    </row>
    <row r="3754">
      <c r="A3754" s="3" t="s">
        <v>11755</v>
      </c>
      <c r="B3754" s="3" t="s">
        <v>3846</v>
      </c>
      <c r="C3754" s="5" t="s">
        <v>45</v>
      </c>
      <c r="D3754" s="3" t="s">
        <v>221</v>
      </c>
      <c r="E3754" s="3" t="s">
        <v>565</v>
      </c>
      <c r="F3754" s="7">
        <v>45823.08359097487</v>
      </c>
      <c r="G3754" s="3" t="s">
        <v>11756</v>
      </c>
    </row>
    <row r="3755">
      <c r="A3755" s="3" t="s">
        <v>11758</v>
      </c>
      <c r="B3755" s="3" t="s">
        <v>3846</v>
      </c>
      <c r="C3755" s="5" t="s">
        <v>221</v>
      </c>
      <c r="D3755" s="3" t="s">
        <v>614</v>
      </c>
      <c r="E3755" s="3" t="s">
        <v>118</v>
      </c>
      <c r="F3755" s="7">
        <v>45823.08706319709</v>
      </c>
      <c r="G3755" s="3" t="s">
        <v>11759</v>
      </c>
    </row>
    <row r="3756">
      <c r="A3756" s="3" t="s">
        <v>11761</v>
      </c>
      <c r="B3756" s="3" t="s">
        <v>3846</v>
      </c>
      <c r="C3756" s="5" t="s">
        <v>614</v>
      </c>
      <c r="D3756" s="3" t="s">
        <v>206</v>
      </c>
      <c r="E3756" s="3" t="s">
        <v>100</v>
      </c>
      <c r="F3756" s="7">
        <v>45823.09053541932</v>
      </c>
      <c r="G3756" s="3" t="s">
        <v>11762</v>
      </c>
    </row>
    <row r="3757">
      <c r="A3757" s="3" t="s">
        <v>11763</v>
      </c>
      <c r="B3757" s="3" t="s">
        <v>3846</v>
      </c>
      <c r="C3757" s="5" t="s">
        <v>206</v>
      </c>
      <c r="D3757" s="3" t="s">
        <v>68</v>
      </c>
      <c r="E3757" s="3" t="s">
        <v>100</v>
      </c>
      <c r="F3757" s="7">
        <v>45823.094007641535</v>
      </c>
      <c r="G3757" s="3" t="s">
        <v>11765</v>
      </c>
    </row>
    <row r="3758">
      <c r="A3758" s="3" t="s">
        <v>11766</v>
      </c>
      <c r="B3758" s="3" t="s">
        <v>3849</v>
      </c>
      <c r="C3758" s="5" t="s">
        <v>45</v>
      </c>
      <c r="D3758" s="3" t="s">
        <v>221</v>
      </c>
      <c r="E3758" s="3" t="s">
        <v>512</v>
      </c>
      <c r="F3758" s="7">
        <v>45823.15476582028</v>
      </c>
      <c r="G3758" s="3" t="s">
        <v>4957</v>
      </c>
    </row>
    <row r="3759">
      <c r="A3759" s="3" t="s">
        <v>11769</v>
      </c>
      <c r="B3759" s="3" t="s">
        <v>3849</v>
      </c>
      <c r="C3759" s="5" t="s">
        <v>221</v>
      </c>
      <c r="D3759" s="3" t="s">
        <v>614</v>
      </c>
      <c r="E3759" s="3" t="s">
        <v>118</v>
      </c>
      <c r="F3759" s="7">
        <v>45823.1582380425</v>
      </c>
      <c r="G3759" s="3" t="s">
        <v>4960</v>
      </c>
    </row>
    <row r="3760">
      <c r="A3760" s="3" t="s">
        <v>11771</v>
      </c>
      <c r="B3760" s="3" t="s">
        <v>3849</v>
      </c>
      <c r="C3760" s="5" t="s">
        <v>614</v>
      </c>
      <c r="D3760" s="3" t="s">
        <v>206</v>
      </c>
      <c r="E3760" s="3" t="s">
        <v>100</v>
      </c>
      <c r="F3760" s="7">
        <v>45823.16171026473</v>
      </c>
      <c r="G3760" s="3" t="s">
        <v>4963</v>
      </c>
    </row>
    <row r="3761">
      <c r="A3761" s="3" t="s">
        <v>11773</v>
      </c>
      <c r="B3761" s="3" t="s">
        <v>3849</v>
      </c>
      <c r="C3761" s="5" t="s">
        <v>206</v>
      </c>
      <c r="D3761" s="3" t="s">
        <v>68</v>
      </c>
      <c r="E3761" s="3" t="s">
        <v>100</v>
      </c>
      <c r="F3761" s="7">
        <v>45823.16518248695</v>
      </c>
      <c r="G3761" s="3" t="s">
        <v>4966</v>
      </c>
    </row>
    <row r="3762">
      <c r="A3762" s="3" t="s">
        <v>11775</v>
      </c>
      <c r="B3762" s="3" t="s">
        <v>3853</v>
      </c>
      <c r="C3762" s="5" t="s">
        <v>45</v>
      </c>
      <c r="D3762" s="3" t="s">
        <v>221</v>
      </c>
      <c r="E3762" s="3" t="s">
        <v>168</v>
      </c>
      <c r="F3762" s="7">
        <v>45823.2259406657</v>
      </c>
      <c r="G3762" s="3" t="s">
        <v>11776</v>
      </c>
    </row>
    <row r="3763">
      <c r="A3763" s="3" t="s">
        <v>11777</v>
      </c>
      <c r="B3763" s="3" t="s">
        <v>3853</v>
      </c>
      <c r="C3763" s="5" t="s">
        <v>221</v>
      </c>
      <c r="D3763" s="3" t="s">
        <v>614</v>
      </c>
      <c r="E3763" s="3" t="s">
        <v>118</v>
      </c>
      <c r="F3763" s="7">
        <v>45823.22941288792</v>
      </c>
      <c r="G3763" s="3" t="s">
        <v>11779</v>
      </c>
    </row>
    <row r="3764">
      <c r="A3764" s="3" t="s">
        <v>11780</v>
      </c>
      <c r="B3764" s="3" t="s">
        <v>3853</v>
      </c>
      <c r="C3764" s="5" t="s">
        <v>614</v>
      </c>
      <c r="D3764" s="3" t="s">
        <v>206</v>
      </c>
      <c r="E3764" s="3" t="s">
        <v>100</v>
      </c>
      <c r="F3764" s="7">
        <v>45823.23288511015</v>
      </c>
      <c r="G3764" s="3" t="s">
        <v>11782</v>
      </c>
    </row>
    <row r="3765">
      <c r="A3765" s="3" t="s">
        <v>11783</v>
      </c>
      <c r="B3765" s="3" t="s">
        <v>3853</v>
      </c>
      <c r="C3765" s="5" t="s">
        <v>206</v>
      </c>
      <c r="D3765" s="3" t="s">
        <v>68</v>
      </c>
      <c r="E3765" s="3" t="s">
        <v>100</v>
      </c>
      <c r="F3765" s="7">
        <v>45823.23635733237</v>
      </c>
      <c r="G3765" s="3" t="s">
        <v>11785</v>
      </c>
    </row>
    <row r="3766">
      <c r="A3766" s="3" t="s">
        <v>11786</v>
      </c>
      <c r="B3766" s="3" t="s">
        <v>3856</v>
      </c>
      <c r="C3766" s="5" t="s">
        <v>45</v>
      </c>
      <c r="D3766" s="3" t="s">
        <v>221</v>
      </c>
      <c r="E3766" s="3" t="s">
        <v>530</v>
      </c>
      <c r="F3766" s="7">
        <v>45823.29711551111</v>
      </c>
      <c r="G3766" s="3" t="s">
        <v>11787</v>
      </c>
    </row>
    <row r="3767">
      <c r="A3767" s="3" t="s">
        <v>11789</v>
      </c>
      <c r="B3767" s="3" t="s">
        <v>3856</v>
      </c>
      <c r="C3767" s="5" t="s">
        <v>221</v>
      </c>
      <c r="D3767" s="3" t="s">
        <v>614</v>
      </c>
      <c r="E3767" s="3" t="s">
        <v>118</v>
      </c>
      <c r="F3767" s="7">
        <v>45823.30058773333</v>
      </c>
      <c r="G3767" s="3" t="s">
        <v>11790</v>
      </c>
    </row>
    <row r="3768">
      <c r="A3768" s="3" t="s">
        <v>11792</v>
      </c>
      <c r="B3768" s="3" t="s">
        <v>3856</v>
      </c>
      <c r="C3768" s="5" t="s">
        <v>614</v>
      </c>
      <c r="D3768" s="3" t="s">
        <v>206</v>
      </c>
      <c r="E3768" s="3" t="s">
        <v>100</v>
      </c>
      <c r="F3768" s="7">
        <v>45823.30405995555</v>
      </c>
      <c r="G3768" s="3" t="s">
        <v>11795</v>
      </c>
    </row>
    <row r="3769">
      <c r="A3769" s="3" t="s">
        <v>11797</v>
      </c>
      <c r="B3769" s="3" t="s">
        <v>3856</v>
      </c>
      <c r="C3769" s="5" t="s">
        <v>206</v>
      </c>
      <c r="D3769" s="3" t="s">
        <v>68</v>
      </c>
      <c r="E3769" s="3" t="s">
        <v>100</v>
      </c>
      <c r="F3769" s="7">
        <v>45823.30753217777</v>
      </c>
      <c r="G3769" s="3" t="s">
        <v>11798</v>
      </c>
    </row>
    <row r="3770">
      <c r="A3770" s="3" t="s">
        <v>11799</v>
      </c>
      <c r="B3770" s="3" t="s">
        <v>3859</v>
      </c>
      <c r="C3770" s="5" t="s">
        <v>45</v>
      </c>
      <c r="D3770" s="3" t="s">
        <v>221</v>
      </c>
      <c r="E3770" s="3" t="s">
        <v>148</v>
      </c>
      <c r="F3770" s="7">
        <v>45823.36829035653</v>
      </c>
      <c r="G3770" s="3" t="s">
        <v>11801</v>
      </c>
    </row>
    <row r="3771">
      <c r="A3771" s="3" t="s">
        <v>11802</v>
      </c>
      <c r="B3771" s="3" t="s">
        <v>3859</v>
      </c>
      <c r="C3771" s="5" t="s">
        <v>221</v>
      </c>
      <c r="D3771" s="3" t="s">
        <v>614</v>
      </c>
      <c r="E3771" s="3" t="s">
        <v>118</v>
      </c>
      <c r="F3771" s="7">
        <v>45823.37176257875</v>
      </c>
      <c r="G3771" s="3" t="s">
        <v>11804</v>
      </c>
    </row>
    <row r="3772">
      <c r="A3772" s="3" t="s">
        <v>11805</v>
      </c>
      <c r="B3772" s="3" t="s">
        <v>3859</v>
      </c>
      <c r="C3772" s="5" t="s">
        <v>614</v>
      </c>
      <c r="D3772" s="3" t="s">
        <v>206</v>
      </c>
      <c r="E3772" s="3" t="s">
        <v>100</v>
      </c>
      <c r="F3772" s="7">
        <v>45823.37523480097</v>
      </c>
      <c r="G3772" s="3" t="s">
        <v>11807</v>
      </c>
    </row>
    <row r="3773">
      <c r="A3773" s="3" t="s">
        <v>11808</v>
      </c>
      <c r="B3773" s="3" t="s">
        <v>3859</v>
      </c>
      <c r="C3773" s="5" t="s">
        <v>206</v>
      </c>
      <c r="D3773" s="3" t="s">
        <v>68</v>
      </c>
      <c r="E3773" s="3" t="s">
        <v>100</v>
      </c>
      <c r="F3773" s="7">
        <v>45823.37870702319</v>
      </c>
      <c r="G3773" s="3" t="s">
        <v>11810</v>
      </c>
    </row>
    <row r="3774">
      <c r="A3774" s="3" t="s">
        <v>11811</v>
      </c>
      <c r="B3774" s="3" t="s">
        <v>3862</v>
      </c>
      <c r="C3774" s="5" t="s">
        <v>45</v>
      </c>
      <c r="D3774" s="3" t="s">
        <v>221</v>
      </c>
      <c r="E3774" s="3" t="s">
        <v>615</v>
      </c>
      <c r="F3774" s="7">
        <v>45823.43946520195</v>
      </c>
      <c r="G3774" s="3" t="s">
        <v>9548</v>
      </c>
    </row>
    <row r="3775">
      <c r="A3775" s="3" t="s">
        <v>11813</v>
      </c>
      <c r="B3775" s="3" t="s">
        <v>3862</v>
      </c>
      <c r="C3775" s="5" t="s">
        <v>221</v>
      </c>
      <c r="D3775" s="3" t="s">
        <v>614</v>
      </c>
      <c r="E3775" s="3" t="s">
        <v>118</v>
      </c>
      <c r="F3775" s="7">
        <v>45823.442937424166</v>
      </c>
      <c r="G3775" s="3" t="s">
        <v>9551</v>
      </c>
    </row>
    <row r="3776">
      <c r="A3776" s="3" t="s">
        <v>11815</v>
      </c>
      <c r="B3776" s="3" t="s">
        <v>3862</v>
      </c>
      <c r="C3776" s="5" t="s">
        <v>614</v>
      </c>
      <c r="D3776" s="3" t="s">
        <v>206</v>
      </c>
      <c r="E3776" s="3" t="s">
        <v>100</v>
      </c>
      <c r="F3776" s="7">
        <v>45823.44640964639</v>
      </c>
      <c r="G3776" s="3" t="s">
        <v>9553</v>
      </c>
    </row>
    <row r="3777">
      <c r="A3777" s="3" t="s">
        <v>11817</v>
      </c>
      <c r="B3777" s="3" t="s">
        <v>3862</v>
      </c>
      <c r="C3777" s="5" t="s">
        <v>206</v>
      </c>
      <c r="D3777" s="3" t="s">
        <v>68</v>
      </c>
      <c r="E3777" s="3" t="s">
        <v>100</v>
      </c>
      <c r="F3777" s="7">
        <v>45823.44988186861</v>
      </c>
      <c r="G3777" s="3" t="s">
        <v>9555</v>
      </c>
    </row>
    <row r="3778">
      <c r="A3778" s="3" t="s">
        <v>11819</v>
      </c>
      <c r="B3778" s="3" t="s">
        <v>3866</v>
      </c>
      <c r="C3778" s="5" t="s">
        <v>45</v>
      </c>
      <c r="D3778" s="3" t="s">
        <v>221</v>
      </c>
      <c r="E3778" s="3" t="s">
        <v>547</v>
      </c>
      <c r="F3778" s="7">
        <v>45823.51064004736</v>
      </c>
      <c r="G3778" s="3" t="s">
        <v>11821</v>
      </c>
    </row>
    <row r="3779">
      <c r="A3779" s="3" t="s">
        <v>11822</v>
      </c>
      <c r="B3779" s="3" t="s">
        <v>3866</v>
      </c>
      <c r="C3779" s="5" t="s">
        <v>221</v>
      </c>
      <c r="D3779" s="3" t="s">
        <v>614</v>
      </c>
      <c r="E3779" s="3" t="s">
        <v>118</v>
      </c>
      <c r="F3779" s="7">
        <v>45823.51411226958</v>
      </c>
      <c r="G3779" s="3" t="s">
        <v>11825</v>
      </c>
    </row>
    <row r="3780">
      <c r="A3780" s="3" t="s">
        <v>11826</v>
      </c>
      <c r="B3780" s="3" t="s">
        <v>3866</v>
      </c>
      <c r="C3780" s="5" t="s">
        <v>614</v>
      </c>
      <c r="D3780" s="3" t="s">
        <v>206</v>
      </c>
      <c r="E3780" s="3" t="s">
        <v>100</v>
      </c>
      <c r="F3780" s="7">
        <v>45823.517584491805</v>
      </c>
      <c r="G3780" s="3" t="s">
        <v>11828</v>
      </c>
    </row>
    <row r="3781">
      <c r="A3781" s="3" t="s">
        <v>11829</v>
      </c>
      <c r="B3781" s="3" t="s">
        <v>3866</v>
      </c>
      <c r="C3781" s="5" t="s">
        <v>206</v>
      </c>
      <c r="D3781" s="3" t="s">
        <v>68</v>
      </c>
      <c r="E3781" s="3" t="s">
        <v>100</v>
      </c>
      <c r="F3781" s="7">
        <v>45823.521056714024</v>
      </c>
      <c r="G3781" s="3" t="s">
        <v>11831</v>
      </c>
    </row>
    <row r="3782">
      <c r="A3782" s="3" t="s">
        <v>11833</v>
      </c>
      <c r="B3782" s="3" t="s">
        <v>3870</v>
      </c>
      <c r="C3782" s="5" t="s">
        <v>45</v>
      </c>
      <c r="D3782" s="3" t="s">
        <v>221</v>
      </c>
      <c r="E3782" s="3" t="s">
        <v>468</v>
      </c>
      <c r="F3782" s="7">
        <v>45823.58181489277</v>
      </c>
      <c r="G3782" s="3" t="s">
        <v>10975</v>
      </c>
    </row>
    <row r="3783">
      <c r="A3783" s="3" t="s">
        <v>11835</v>
      </c>
      <c r="B3783" s="3" t="s">
        <v>3870</v>
      </c>
      <c r="C3783" s="5" t="s">
        <v>221</v>
      </c>
      <c r="D3783" s="3" t="s">
        <v>181</v>
      </c>
      <c r="E3783" s="3" t="s">
        <v>118</v>
      </c>
      <c r="F3783" s="7">
        <v>45823.58528711499</v>
      </c>
      <c r="G3783" s="3" t="s">
        <v>11837</v>
      </c>
    </row>
    <row r="3784">
      <c r="A3784" s="3" t="s">
        <v>11838</v>
      </c>
      <c r="B3784" s="3" t="s">
        <v>3873</v>
      </c>
      <c r="C3784" s="5" t="s">
        <v>45</v>
      </c>
      <c r="D3784" s="3" t="s">
        <v>221</v>
      </c>
      <c r="E3784" s="3" t="s">
        <v>512</v>
      </c>
      <c r="F3784" s="7">
        <v>45823.65298973819</v>
      </c>
      <c r="G3784" s="3" t="s">
        <v>11839</v>
      </c>
    </row>
    <row r="3785">
      <c r="A3785" s="3" t="s">
        <v>11841</v>
      </c>
      <c r="B3785" s="3" t="s">
        <v>3873</v>
      </c>
      <c r="C3785" s="5" t="s">
        <v>221</v>
      </c>
      <c r="D3785" s="3" t="s">
        <v>614</v>
      </c>
      <c r="E3785" s="3" t="s">
        <v>118</v>
      </c>
      <c r="F3785" s="7">
        <v>45823.65646196041</v>
      </c>
      <c r="G3785" s="3" t="s">
        <v>11844</v>
      </c>
    </row>
    <row r="3786">
      <c r="A3786" s="3" t="s">
        <v>11846</v>
      </c>
      <c r="B3786" s="3" t="s">
        <v>3873</v>
      </c>
      <c r="C3786" s="5" t="s">
        <v>614</v>
      </c>
      <c r="D3786" s="3" t="s">
        <v>206</v>
      </c>
      <c r="E3786" s="3" t="s">
        <v>100</v>
      </c>
      <c r="F3786" s="7">
        <v>45823.65993418264</v>
      </c>
      <c r="G3786" s="3" t="s">
        <v>11848</v>
      </c>
    </row>
    <row r="3787">
      <c r="A3787" s="3" t="s">
        <v>11849</v>
      </c>
      <c r="B3787" s="3" t="s">
        <v>3873</v>
      </c>
      <c r="C3787" s="5" t="s">
        <v>206</v>
      </c>
      <c r="D3787" s="3" t="s">
        <v>68</v>
      </c>
      <c r="E3787" s="3" t="s">
        <v>100</v>
      </c>
      <c r="F3787" s="7">
        <v>45823.663406404856</v>
      </c>
      <c r="G3787" s="3" t="s">
        <v>11851</v>
      </c>
    </row>
    <row r="3788">
      <c r="A3788" s="3" t="s">
        <v>11853</v>
      </c>
      <c r="B3788" s="3" t="s">
        <v>3876</v>
      </c>
      <c r="C3788" s="5" t="s">
        <v>45</v>
      </c>
      <c r="D3788" s="3" t="s">
        <v>221</v>
      </c>
      <c r="E3788" s="3" t="s">
        <v>512</v>
      </c>
      <c r="F3788" s="7">
        <v>45823.724164583604</v>
      </c>
      <c r="G3788" s="3" t="s">
        <v>11855</v>
      </c>
    </row>
    <row r="3789">
      <c r="A3789" s="3" t="s">
        <v>11856</v>
      </c>
      <c r="B3789" s="3" t="s">
        <v>3876</v>
      </c>
      <c r="C3789" s="5" t="s">
        <v>221</v>
      </c>
      <c r="D3789" s="3" t="s">
        <v>614</v>
      </c>
      <c r="E3789" s="3" t="s">
        <v>118</v>
      </c>
      <c r="F3789" s="7">
        <v>45823.72763680582</v>
      </c>
      <c r="G3789" s="3" t="s">
        <v>11858</v>
      </c>
    </row>
    <row r="3790">
      <c r="A3790" s="3" t="s">
        <v>11859</v>
      </c>
      <c r="B3790" s="3" t="s">
        <v>3876</v>
      </c>
      <c r="C3790" s="5" t="s">
        <v>614</v>
      </c>
      <c r="D3790" s="3" t="s">
        <v>206</v>
      </c>
      <c r="E3790" s="3" t="s">
        <v>100</v>
      </c>
      <c r="F3790" s="7">
        <v>45823.73110902805</v>
      </c>
      <c r="G3790" s="3" t="s">
        <v>11861</v>
      </c>
    </row>
    <row r="3791">
      <c r="A3791" s="3" t="s">
        <v>11862</v>
      </c>
      <c r="B3791" s="3" t="s">
        <v>3876</v>
      </c>
      <c r="C3791" s="5" t="s">
        <v>206</v>
      </c>
      <c r="D3791" s="3" t="s">
        <v>68</v>
      </c>
      <c r="E3791" s="3" t="s">
        <v>100</v>
      </c>
      <c r="F3791" s="7">
        <v>45823.73458125027</v>
      </c>
      <c r="G3791" s="3" t="s">
        <v>11865</v>
      </c>
    </row>
    <row r="3792">
      <c r="A3792" s="3" t="s">
        <v>11866</v>
      </c>
      <c r="B3792" s="3" t="s">
        <v>3879</v>
      </c>
      <c r="C3792" s="5" t="s">
        <v>45</v>
      </c>
      <c r="D3792" s="3" t="s">
        <v>221</v>
      </c>
      <c r="E3792" s="3" t="s">
        <v>584</v>
      </c>
      <c r="F3792" s="7">
        <v>45823.795339429016</v>
      </c>
      <c r="G3792" s="3" t="s">
        <v>10887</v>
      </c>
    </row>
    <row r="3793">
      <c r="A3793" s="3" t="s">
        <v>11868</v>
      </c>
      <c r="B3793" s="3" t="s">
        <v>3879</v>
      </c>
      <c r="C3793" s="5" t="s">
        <v>221</v>
      </c>
      <c r="D3793" s="3" t="s">
        <v>614</v>
      </c>
      <c r="E3793" s="3" t="s">
        <v>118</v>
      </c>
      <c r="F3793" s="7">
        <v>45823.798811651235</v>
      </c>
      <c r="G3793" s="3" t="s">
        <v>10890</v>
      </c>
    </row>
    <row r="3794">
      <c r="A3794" s="3" t="s">
        <v>11870</v>
      </c>
      <c r="B3794" s="3" t="s">
        <v>3879</v>
      </c>
      <c r="C3794" s="5" t="s">
        <v>614</v>
      </c>
      <c r="D3794" s="3" t="s">
        <v>206</v>
      </c>
      <c r="E3794" s="3" t="s">
        <v>100</v>
      </c>
      <c r="F3794" s="7">
        <v>45823.80228387346</v>
      </c>
      <c r="G3794" s="3" t="s">
        <v>10892</v>
      </c>
    </row>
    <row r="3795">
      <c r="A3795" s="3" t="s">
        <v>11872</v>
      </c>
      <c r="B3795" s="3" t="s">
        <v>3879</v>
      </c>
      <c r="C3795" s="5" t="s">
        <v>206</v>
      </c>
      <c r="D3795" s="3" t="s">
        <v>68</v>
      </c>
      <c r="E3795" s="3" t="s">
        <v>100</v>
      </c>
      <c r="F3795" s="7">
        <v>45823.80575609568</v>
      </c>
      <c r="G3795" s="3" t="s">
        <v>10895</v>
      </c>
    </row>
    <row r="3796">
      <c r="A3796" s="3" t="s">
        <v>11875</v>
      </c>
      <c r="B3796" s="3" t="s">
        <v>3881</v>
      </c>
      <c r="C3796" s="5" t="s">
        <v>45</v>
      </c>
      <c r="D3796" s="3" t="s">
        <v>221</v>
      </c>
      <c r="E3796" s="3" t="s">
        <v>260</v>
      </c>
      <c r="F3796" s="7">
        <v>45823.866514274436</v>
      </c>
      <c r="G3796" s="3" t="s">
        <v>9366</v>
      </c>
    </row>
    <row r="3797">
      <c r="A3797" s="3" t="s">
        <v>11877</v>
      </c>
      <c r="B3797" s="3" t="s">
        <v>3881</v>
      </c>
      <c r="C3797" s="5" t="s">
        <v>221</v>
      </c>
      <c r="D3797" s="3" t="s">
        <v>614</v>
      </c>
      <c r="E3797" s="3" t="s">
        <v>118</v>
      </c>
      <c r="F3797" s="7">
        <v>45823.869986496655</v>
      </c>
      <c r="G3797" s="3" t="s">
        <v>9369</v>
      </c>
    </row>
    <row r="3798">
      <c r="A3798" s="3" t="s">
        <v>11879</v>
      </c>
      <c r="B3798" s="3" t="s">
        <v>3881</v>
      </c>
      <c r="C3798" s="5" t="s">
        <v>614</v>
      </c>
      <c r="D3798" s="3" t="s">
        <v>206</v>
      </c>
      <c r="E3798" s="3" t="s">
        <v>100</v>
      </c>
      <c r="F3798" s="7">
        <v>45823.87345871888</v>
      </c>
      <c r="G3798" s="3" t="s">
        <v>9372</v>
      </c>
    </row>
    <row r="3799">
      <c r="A3799" s="3" t="s">
        <v>11881</v>
      </c>
      <c r="B3799" s="3" t="s">
        <v>3881</v>
      </c>
      <c r="C3799" s="5" t="s">
        <v>206</v>
      </c>
      <c r="D3799" s="3" t="s">
        <v>68</v>
      </c>
      <c r="E3799" s="3" t="s">
        <v>100</v>
      </c>
      <c r="F3799" s="7">
        <v>45823.8769309411</v>
      </c>
      <c r="G3799" s="3" t="s">
        <v>9375</v>
      </c>
    </row>
    <row r="3800">
      <c r="A3800" s="3" t="s">
        <v>11883</v>
      </c>
      <c r="B3800" s="3" t="s">
        <v>3883</v>
      </c>
      <c r="C3800" s="5" t="s">
        <v>45</v>
      </c>
      <c r="D3800" s="3" t="s">
        <v>221</v>
      </c>
      <c r="E3800" s="3" t="s">
        <v>669</v>
      </c>
      <c r="F3800" s="7">
        <v>45823.937689119855</v>
      </c>
      <c r="G3800" s="3" t="s">
        <v>7627</v>
      </c>
    </row>
    <row r="3801">
      <c r="A3801" s="3" t="s">
        <v>11885</v>
      </c>
      <c r="B3801" s="3" t="s">
        <v>3883</v>
      </c>
      <c r="C3801" s="5" t="s">
        <v>221</v>
      </c>
      <c r="D3801" s="3" t="s">
        <v>614</v>
      </c>
      <c r="E3801" s="3" t="s">
        <v>118</v>
      </c>
      <c r="F3801" s="7">
        <v>45823.941161342074</v>
      </c>
      <c r="G3801" s="3" t="s">
        <v>8929</v>
      </c>
    </row>
    <row r="3802">
      <c r="A3802" s="3" t="s">
        <v>11887</v>
      </c>
      <c r="B3802" s="3" t="s">
        <v>3883</v>
      </c>
      <c r="C3802" s="5" t="s">
        <v>614</v>
      </c>
      <c r="D3802" s="3" t="s">
        <v>206</v>
      </c>
      <c r="E3802" s="3" t="s">
        <v>100</v>
      </c>
      <c r="F3802" s="7">
        <v>45823.9446335643</v>
      </c>
      <c r="G3802" s="3" t="s">
        <v>8932</v>
      </c>
    </row>
    <row r="3803">
      <c r="A3803" s="3" t="s">
        <v>11889</v>
      </c>
      <c r="B3803" s="3" t="s">
        <v>3883</v>
      </c>
      <c r="C3803" s="5" t="s">
        <v>206</v>
      </c>
      <c r="D3803" s="3" t="s">
        <v>68</v>
      </c>
      <c r="E3803" s="3" t="s">
        <v>100</v>
      </c>
      <c r="F3803" s="7">
        <v>45823.94810578652</v>
      </c>
      <c r="G3803" s="3" t="s">
        <v>8935</v>
      </c>
    </row>
    <row r="3804">
      <c r="A3804" s="3" t="s">
        <v>11890</v>
      </c>
      <c r="B3804" s="3" t="s">
        <v>3885</v>
      </c>
      <c r="C3804" s="5" t="s">
        <v>45</v>
      </c>
      <c r="D3804" s="3" t="s">
        <v>221</v>
      </c>
      <c r="E3804" s="3" t="s">
        <v>316</v>
      </c>
      <c r="F3804" s="7">
        <v>45824.00886396526</v>
      </c>
      <c r="G3804" s="3" t="s">
        <v>11892</v>
      </c>
    </row>
    <row r="3805">
      <c r="A3805" s="3" t="s">
        <v>11893</v>
      </c>
      <c r="B3805" s="3" t="s">
        <v>3885</v>
      </c>
      <c r="C3805" s="5" t="s">
        <v>221</v>
      </c>
      <c r="D3805" s="3" t="s">
        <v>614</v>
      </c>
      <c r="E3805" s="3" t="s">
        <v>118</v>
      </c>
      <c r="F3805" s="7">
        <v>45824.01233618748</v>
      </c>
      <c r="G3805" s="3" t="s">
        <v>11895</v>
      </c>
    </row>
    <row r="3806">
      <c r="A3806" s="3" t="s">
        <v>11896</v>
      </c>
      <c r="B3806" s="3" t="s">
        <v>3885</v>
      </c>
      <c r="C3806" s="5" t="s">
        <v>614</v>
      </c>
      <c r="D3806" s="3" t="s">
        <v>206</v>
      </c>
      <c r="E3806" s="3" t="s">
        <v>100</v>
      </c>
      <c r="F3806" s="7">
        <v>45824.015808409706</v>
      </c>
      <c r="G3806" s="3" t="s">
        <v>11898</v>
      </c>
    </row>
    <row r="3807">
      <c r="A3807" s="3" t="s">
        <v>11899</v>
      </c>
      <c r="B3807" s="3" t="s">
        <v>3885</v>
      </c>
      <c r="C3807" s="5" t="s">
        <v>206</v>
      </c>
      <c r="D3807" s="3" t="s">
        <v>68</v>
      </c>
      <c r="E3807" s="3" t="s">
        <v>100</v>
      </c>
      <c r="F3807" s="7">
        <v>45824.019280631925</v>
      </c>
      <c r="G3807" s="3" t="s">
        <v>11901</v>
      </c>
    </row>
    <row r="3808">
      <c r="A3808" s="3" t="s">
        <v>11902</v>
      </c>
      <c r="B3808" s="3" t="s">
        <v>3887</v>
      </c>
      <c r="C3808" s="5" t="s">
        <v>45</v>
      </c>
      <c r="D3808" s="3" t="s">
        <v>221</v>
      </c>
      <c r="E3808" s="3" t="s">
        <v>579</v>
      </c>
      <c r="F3808" s="7">
        <v>45824.08003881068</v>
      </c>
      <c r="G3808" s="3" t="s">
        <v>11903</v>
      </c>
    </row>
    <row r="3809">
      <c r="A3809" s="3" t="s">
        <v>11905</v>
      </c>
      <c r="B3809" s="3" t="s">
        <v>3887</v>
      </c>
      <c r="C3809" s="5" t="s">
        <v>221</v>
      </c>
      <c r="D3809" s="3" t="s">
        <v>614</v>
      </c>
      <c r="E3809" s="3" t="s">
        <v>118</v>
      </c>
      <c r="F3809" s="7">
        <v>45824.0835110329</v>
      </c>
      <c r="G3809" s="3" t="s">
        <v>11906</v>
      </c>
    </row>
    <row r="3810">
      <c r="A3810" s="3" t="s">
        <v>11907</v>
      </c>
      <c r="B3810" s="3" t="s">
        <v>3887</v>
      </c>
      <c r="C3810" s="5" t="s">
        <v>614</v>
      </c>
      <c r="D3810" s="3" t="s">
        <v>206</v>
      </c>
      <c r="E3810" s="3" t="s">
        <v>100</v>
      </c>
      <c r="F3810" s="7">
        <v>45824.086983255125</v>
      </c>
      <c r="G3810" s="3" t="s">
        <v>11909</v>
      </c>
    </row>
    <row r="3811">
      <c r="A3811" s="3" t="s">
        <v>11910</v>
      </c>
      <c r="B3811" s="3" t="s">
        <v>3887</v>
      </c>
      <c r="C3811" s="5" t="s">
        <v>206</v>
      </c>
      <c r="D3811" s="3" t="s">
        <v>68</v>
      </c>
      <c r="E3811" s="3" t="s">
        <v>100</v>
      </c>
      <c r="F3811" s="7">
        <v>45824.090455477344</v>
      </c>
      <c r="G3811" s="3" t="s">
        <v>11912</v>
      </c>
    </row>
    <row r="3812">
      <c r="A3812" s="3" t="s">
        <v>11913</v>
      </c>
      <c r="B3812" s="3" t="s">
        <v>3891</v>
      </c>
      <c r="C3812" s="5" t="s">
        <v>45</v>
      </c>
      <c r="D3812" s="3" t="s">
        <v>221</v>
      </c>
      <c r="E3812" s="3" t="s">
        <v>838</v>
      </c>
      <c r="F3812" s="7">
        <v>45824.1512136561</v>
      </c>
      <c r="G3812" s="3" t="s">
        <v>11915</v>
      </c>
    </row>
    <row r="3813">
      <c r="A3813" s="3" t="s">
        <v>11916</v>
      </c>
      <c r="B3813" s="3" t="s">
        <v>3891</v>
      </c>
      <c r="C3813" s="5" t="s">
        <v>221</v>
      </c>
      <c r="D3813" s="3" t="s">
        <v>614</v>
      </c>
      <c r="E3813" s="3" t="s">
        <v>118</v>
      </c>
      <c r="F3813" s="7">
        <v>45824.15468587832</v>
      </c>
      <c r="G3813" s="3" t="s">
        <v>11918</v>
      </c>
    </row>
    <row r="3814">
      <c r="A3814" s="3" t="s">
        <v>11919</v>
      </c>
      <c r="B3814" s="3" t="s">
        <v>3891</v>
      </c>
      <c r="C3814" s="5" t="s">
        <v>614</v>
      </c>
      <c r="D3814" s="3" t="s">
        <v>206</v>
      </c>
      <c r="E3814" s="3" t="s">
        <v>100</v>
      </c>
      <c r="F3814" s="7">
        <v>45824.158158100545</v>
      </c>
      <c r="G3814" s="3" t="s">
        <v>11921</v>
      </c>
    </row>
    <row r="3815">
      <c r="A3815" s="3" t="s">
        <v>11922</v>
      </c>
      <c r="B3815" s="3" t="s">
        <v>3891</v>
      </c>
      <c r="C3815" s="5" t="s">
        <v>206</v>
      </c>
      <c r="D3815" s="3" t="s">
        <v>68</v>
      </c>
      <c r="E3815" s="3" t="s">
        <v>100</v>
      </c>
      <c r="F3815" s="7">
        <v>45824.161630322764</v>
      </c>
      <c r="G3815" s="3" t="s">
        <v>11923</v>
      </c>
    </row>
    <row r="3816">
      <c r="A3816" s="3" t="s">
        <v>11924</v>
      </c>
      <c r="B3816" s="3" t="s">
        <v>3894</v>
      </c>
      <c r="C3816" s="5" t="s">
        <v>45</v>
      </c>
      <c r="D3816" s="3" t="s">
        <v>221</v>
      </c>
      <c r="E3816" s="3" t="s">
        <v>612</v>
      </c>
      <c r="F3816" s="7">
        <v>45824.22238850151</v>
      </c>
      <c r="G3816" s="3" t="s">
        <v>11926</v>
      </c>
    </row>
    <row r="3817">
      <c r="A3817" s="3" t="s">
        <v>11927</v>
      </c>
      <c r="B3817" s="3" t="s">
        <v>3894</v>
      </c>
      <c r="C3817" s="5" t="s">
        <v>221</v>
      </c>
      <c r="D3817" s="3" t="s">
        <v>614</v>
      </c>
      <c r="E3817" s="3" t="s">
        <v>118</v>
      </c>
      <c r="F3817" s="7">
        <v>45824.22586072373</v>
      </c>
      <c r="G3817" s="3" t="s">
        <v>11929</v>
      </c>
    </row>
    <row r="3818">
      <c r="A3818" s="3" t="s">
        <v>11930</v>
      </c>
      <c r="B3818" s="3" t="s">
        <v>3894</v>
      </c>
      <c r="C3818" s="5" t="s">
        <v>614</v>
      </c>
      <c r="D3818" s="3" t="s">
        <v>206</v>
      </c>
      <c r="E3818" s="3" t="s">
        <v>100</v>
      </c>
      <c r="F3818" s="7">
        <v>45824.22933294596</v>
      </c>
      <c r="G3818" s="3" t="s">
        <v>11932</v>
      </c>
    </row>
    <row r="3819">
      <c r="A3819" s="3" t="s">
        <v>11933</v>
      </c>
      <c r="B3819" s="3" t="s">
        <v>3894</v>
      </c>
      <c r="C3819" s="5" t="s">
        <v>206</v>
      </c>
      <c r="D3819" s="3" t="s">
        <v>68</v>
      </c>
      <c r="E3819" s="3" t="s">
        <v>100</v>
      </c>
      <c r="F3819" s="7">
        <v>45824.232805168176</v>
      </c>
      <c r="G3819" s="3" t="s">
        <v>11935</v>
      </c>
    </row>
    <row r="3820">
      <c r="A3820" s="3" t="s">
        <v>11936</v>
      </c>
      <c r="B3820" s="3" t="s">
        <v>3897</v>
      </c>
      <c r="C3820" s="5" t="s">
        <v>45</v>
      </c>
      <c r="D3820" s="3" t="s">
        <v>221</v>
      </c>
      <c r="E3820" s="3" t="s">
        <v>193</v>
      </c>
      <c r="F3820" s="7">
        <v>45824.293563346924</v>
      </c>
      <c r="G3820" s="3" t="s">
        <v>11938</v>
      </c>
    </row>
    <row r="3821">
      <c r="A3821" s="3" t="s">
        <v>11939</v>
      </c>
      <c r="B3821" s="3" t="s">
        <v>3897</v>
      </c>
      <c r="C3821" s="5" t="s">
        <v>221</v>
      </c>
      <c r="D3821" s="3" t="s">
        <v>614</v>
      </c>
      <c r="E3821" s="3" t="s">
        <v>118</v>
      </c>
      <c r="F3821" s="7">
        <v>45824.29703556914</v>
      </c>
      <c r="G3821" s="3" t="s">
        <v>11941</v>
      </c>
    </row>
    <row r="3822">
      <c r="A3822" s="3" t="s">
        <v>11942</v>
      </c>
      <c r="B3822" s="3" t="s">
        <v>3897</v>
      </c>
      <c r="C3822" s="5" t="s">
        <v>614</v>
      </c>
      <c r="D3822" s="3" t="s">
        <v>206</v>
      </c>
      <c r="E3822" s="3" t="s">
        <v>100</v>
      </c>
      <c r="F3822" s="7">
        <v>45824.30050779137</v>
      </c>
      <c r="G3822" s="3" t="s">
        <v>11944</v>
      </c>
    </row>
    <row r="3823">
      <c r="A3823" s="3" t="s">
        <v>11945</v>
      </c>
      <c r="B3823" s="3" t="s">
        <v>3897</v>
      </c>
      <c r="C3823" s="5" t="s">
        <v>206</v>
      </c>
      <c r="D3823" s="3" t="s">
        <v>68</v>
      </c>
      <c r="E3823" s="3" t="s">
        <v>100</v>
      </c>
      <c r="F3823" s="7">
        <v>45824.30398001359</v>
      </c>
      <c r="G3823" s="3" t="s">
        <v>11947</v>
      </c>
    </row>
    <row r="3824">
      <c r="A3824" s="3" t="s">
        <v>11948</v>
      </c>
      <c r="B3824" s="3" t="s">
        <v>3901</v>
      </c>
      <c r="C3824" s="5" t="s">
        <v>45</v>
      </c>
      <c r="D3824" s="3" t="s">
        <v>221</v>
      </c>
      <c r="E3824" s="3" t="s">
        <v>805</v>
      </c>
      <c r="F3824" s="7">
        <v>45824.364738192344</v>
      </c>
      <c r="G3824" s="3" t="s">
        <v>11950</v>
      </c>
    </row>
    <row r="3825">
      <c r="A3825" s="3" t="s">
        <v>11951</v>
      </c>
      <c r="B3825" s="3" t="s">
        <v>3901</v>
      </c>
      <c r="C3825" s="5" t="s">
        <v>221</v>
      </c>
      <c r="D3825" s="3" t="s">
        <v>614</v>
      </c>
      <c r="E3825" s="3" t="s">
        <v>118</v>
      </c>
      <c r="F3825" s="7">
        <v>45824.36821041456</v>
      </c>
      <c r="G3825" s="3" t="s">
        <v>11953</v>
      </c>
    </row>
    <row r="3826">
      <c r="A3826" s="3" t="s">
        <v>11954</v>
      </c>
      <c r="B3826" s="3" t="s">
        <v>3901</v>
      </c>
      <c r="C3826" s="5" t="s">
        <v>614</v>
      </c>
      <c r="D3826" s="3" t="s">
        <v>206</v>
      </c>
      <c r="E3826" s="3" t="s">
        <v>100</v>
      </c>
      <c r="F3826" s="7">
        <v>45824.37168263679</v>
      </c>
      <c r="G3826" s="3" t="s">
        <v>11956</v>
      </c>
    </row>
    <row r="3827">
      <c r="A3827" s="3" t="s">
        <v>11957</v>
      </c>
      <c r="B3827" s="3" t="s">
        <v>3901</v>
      </c>
      <c r="C3827" s="5" t="s">
        <v>206</v>
      </c>
      <c r="D3827" s="3" t="s">
        <v>68</v>
      </c>
      <c r="E3827" s="3" t="s">
        <v>100</v>
      </c>
      <c r="F3827" s="7">
        <v>45824.37515485901</v>
      </c>
      <c r="G3827" s="3" t="s">
        <v>11959</v>
      </c>
    </row>
    <row r="3828">
      <c r="A3828" s="3" t="s">
        <v>11960</v>
      </c>
      <c r="B3828" s="3" t="s">
        <v>3904</v>
      </c>
      <c r="C3828" s="5" t="s">
        <v>45</v>
      </c>
      <c r="D3828" s="3" t="s">
        <v>221</v>
      </c>
      <c r="E3828" s="3" t="s">
        <v>1008</v>
      </c>
      <c r="F3828" s="7">
        <v>45824.435913037756</v>
      </c>
      <c r="G3828" s="3" t="s">
        <v>7272</v>
      </c>
    </row>
    <row r="3829">
      <c r="A3829" s="3" t="s">
        <v>11963</v>
      </c>
      <c r="B3829" s="3" t="s">
        <v>3904</v>
      </c>
      <c r="C3829" s="5" t="s">
        <v>221</v>
      </c>
      <c r="D3829" s="3" t="s">
        <v>614</v>
      </c>
      <c r="E3829" s="3" t="s">
        <v>118</v>
      </c>
      <c r="F3829" s="7">
        <v>45824.439385259975</v>
      </c>
      <c r="G3829" s="3" t="s">
        <v>7275</v>
      </c>
    </row>
    <row r="3830">
      <c r="A3830" s="3" t="s">
        <v>11964</v>
      </c>
      <c r="B3830" s="3" t="s">
        <v>3904</v>
      </c>
      <c r="C3830" s="5" t="s">
        <v>614</v>
      </c>
      <c r="D3830" s="3" t="s">
        <v>206</v>
      </c>
      <c r="E3830" s="3" t="s">
        <v>100</v>
      </c>
      <c r="F3830" s="7">
        <v>45824.4428574822</v>
      </c>
      <c r="G3830" s="3" t="s">
        <v>7278</v>
      </c>
    </row>
    <row r="3831">
      <c r="A3831" s="3" t="s">
        <v>11967</v>
      </c>
      <c r="B3831" s="3" t="s">
        <v>3904</v>
      </c>
      <c r="C3831" s="5" t="s">
        <v>206</v>
      </c>
      <c r="D3831" s="3" t="s">
        <v>68</v>
      </c>
      <c r="E3831" s="3" t="s">
        <v>100</v>
      </c>
      <c r="F3831" s="7">
        <v>45824.44632970442</v>
      </c>
      <c r="G3831" s="3" t="s">
        <v>7281</v>
      </c>
    </row>
    <row r="3832">
      <c r="A3832" s="3" t="s">
        <v>11969</v>
      </c>
      <c r="B3832" s="3" t="s">
        <v>3907</v>
      </c>
      <c r="C3832" s="5" t="s">
        <v>45</v>
      </c>
      <c r="D3832" s="3" t="s">
        <v>221</v>
      </c>
      <c r="E3832" s="3" t="s">
        <v>156</v>
      </c>
      <c r="F3832" s="7">
        <v>45824.50708788317</v>
      </c>
      <c r="G3832" s="3" t="s">
        <v>11971</v>
      </c>
    </row>
    <row r="3833">
      <c r="A3833" s="3" t="s">
        <v>11972</v>
      </c>
      <c r="B3833" s="3" t="s">
        <v>3907</v>
      </c>
      <c r="C3833" s="5" t="s">
        <v>221</v>
      </c>
      <c r="D3833" s="3" t="s">
        <v>614</v>
      </c>
      <c r="E3833" s="3" t="s">
        <v>118</v>
      </c>
      <c r="F3833" s="7">
        <v>45824.51056010539</v>
      </c>
      <c r="G3833" s="3" t="s">
        <v>11974</v>
      </c>
    </row>
    <row r="3834">
      <c r="A3834" s="3" t="s">
        <v>11975</v>
      </c>
      <c r="B3834" s="3" t="s">
        <v>3907</v>
      </c>
      <c r="C3834" s="5" t="s">
        <v>614</v>
      </c>
      <c r="D3834" s="3" t="s">
        <v>206</v>
      </c>
      <c r="E3834" s="3" t="s">
        <v>100</v>
      </c>
      <c r="F3834" s="7">
        <v>45824.514032327614</v>
      </c>
      <c r="G3834" s="3" t="s">
        <v>11977</v>
      </c>
    </row>
    <row r="3835">
      <c r="A3835" s="3" t="s">
        <v>11978</v>
      </c>
      <c r="B3835" s="3" t="s">
        <v>3907</v>
      </c>
      <c r="C3835" s="5" t="s">
        <v>206</v>
      </c>
      <c r="D3835" s="3" t="s">
        <v>68</v>
      </c>
      <c r="E3835" s="3" t="s">
        <v>100</v>
      </c>
      <c r="F3835" s="7">
        <v>45824.51750454983</v>
      </c>
      <c r="G3835" s="3" t="s">
        <v>11980</v>
      </c>
    </row>
    <row r="3836">
      <c r="A3836" s="3" t="s">
        <v>11982</v>
      </c>
      <c r="B3836" s="3" t="s">
        <v>3910</v>
      </c>
      <c r="C3836" s="5" t="s">
        <v>45</v>
      </c>
      <c r="D3836" s="3" t="s">
        <v>221</v>
      </c>
      <c r="E3836" s="3" t="s">
        <v>359</v>
      </c>
      <c r="F3836" s="7">
        <v>45824.57826272859</v>
      </c>
      <c r="G3836" s="3" t="s">
        <v>11984</v>
      </c>
    </row>
    <row r="3837">
      <c r="A3837" s="3" t="s">
        <v>11985</v>
      </c>
      <c r="B3837" s="3" t="s">
        <v>3910</v>
      </c>
      <c r="C3837" s="5" t="s">
        <v>221</v>
      </c>
      <c r="D3837" s="3" t="s">
        <v>614</v>
      </c>
      <c r="E3837" s="3" t="s">
        <v>118</v>
      </c>
      <c r="F3837" s="7">
        <v>45824.58173495081</v>
      </c>
      <c r="G3837" s="3" t="s">
        <v>11987</v>
      </c>
    </row>
    <row r="3838">
      <c r="A3838" s="3" t="s">
        <v>11988</v>
      </c>
      <c r="B3838" s="3" t="s">
        <v>3910</v>
      </c>
      <c r="C3838" s="5" t="s">
        <v>614</v>
      </c>
      <c r="D3838" s="3" t="s">
        <v>206</v>
      </c>
      <c r="E3838" s="3" t="s">
        <v>100</v>
      </c>
      <c r="F3838" s="7">
        <v>45824.58520717303</v>
      </c>
      <c r="G3838" s="3" t="s">
        <v>11990</v>
      </c>
    </row>
    <row r="3839">
      <c r="A3839" s="3" t="s">
        <v>11991</v>
      </c>
      <c r="B3839" s="3" t="s">
        <v>3910</v>
      </c>
      <c r="C3839" s="5" t="s">
        <v>206</v>
      </c>
      <c r="D3839" s="3" t="s">
        <v>68</v>
      </c>
      <c r="E3839" s="3" t="s">
        <v>100</v>
      </c>
      <c r="F3839" s="7">
        <v>45824.58867939525</v>
      </c>
      <c r="G3839" s="3" t="s">
        <v>11993</v>
      </c>
    </row>
    <row r="3840">
      <c r="A3840" s="3" t="s">
        <v>11995</v>
      </c>
      <c r="B3840" s="3" t="s">
        <v>3913</v>
      </c>
      <c r="C3840" s="5" t="s">
        <v>45</v>
      </c>
      <c r="D3840" s="3" t="s">
        <v>221</v>
      </c>
      <c r="E3840" s="3" t="s">
        <v>665</v>
      </c>
      <c r="F3840" s="7">
        <v>45824.649437574</v>
      </c>
      <c r="G3840" s="3" t="s">
        <v>11997</v>
      </c>
    </row>
    <row r="3841">
      <c r="A3841" s="3" t="s">
        <v>11998</v>
      </c>
      <c r="B3841" s="3" t="s">
        <v>3913</v>
      </c>
      <c r="C3841" s="5" t="s">
        <v>221</v>
      </c>
      <c r="D3841" s="3" t="s">
        <v>614</v>
      </c>
      <c r="E3841" s="3" t="s">
        <v>118</v>
      </c>
      <c r="F3841" s="7">
        <v>45824.65290979622</v>
      </c>
      <c r="G3841" s="3" t="s">
        <v>12000</v>
      </c>
    </row>
    <row r="3842">
      <c r="A3842" s="3" t="s">
        <v>12001</v>
      </c>
      <c r="B3842" s="3" t="s">
        <v>3913</v>
      </c>
      <c r="C3842" s="5" t="s">
        <v>614</v>
      </c>
      <c r="D3842" s="3" t="s">
        <v>206</v>
      </c>
      <c r="E3842" s="3" t="s">
        <v>100</v>
      </c>
      <c r="F3842" s="7">
        <v>45824.656382018446</v>
      </c>
      <c r="G3842" s="3" t="s">
        <v>12003</v>
      </c>
    </row>
    <row r="3843">
      <c r="A3843" s="3" t="s">
        <v>12004</v>
      </c>
      <c r="B3843" s="3" t="s">
        <v>3913</v>
      </c>
      <c r="C3843" s="5" t="s">
        <v>206</v>
      </c>
      <c r="D3843" s="3" t="s">
        <v>68</v>
      </c>
      <c r="E3843" s="3" t="s">
        <v>100</v>
      </c>
      <c r="F3843" s="7">
        <v>45824.659854240665</v>
      </c>
      <c r="G3843" s="3" t="s">
        <v>12006</v>
      </c>
    </row>
    <row r="3844">
      <c r="A3844" s="3" t="s">
        <v>12008</v>
      </c>
      <c r="B3844" s="3" t="s">
        <v>3916</v>
      </c>
      <c r="C3844" s="5" t="s">
        <v>45</v>
      </c>
      <c r="D3844" s="3" t="s">
        <v>221</v>
      </c>
      <c r="E3844" s="3" t="s">
        <v>539</v>
      </c>
      <c r="F3844" s="7">
        <v>45824.72061241941</v>
      </c>
      <c r="G3844" s="3" t="s">
        <v>12010</v>
      </c>
    </row>
    <row r="3845">
      <c r="A3845" s="3" t="s">
        <v>12011</v>
      </c>
      <c r="B3845" s="3" t="s">
        <v>3916</v>
      </c>
      <c r="C3845" s="5" t="s">
        <v>221</v>
      </c>
      <c r="D3845" s="3" t="s">
        <v>614</v>
      </c>
      <c r="E3845" s="3" t="s">
        <v>118</v>
      </c>
      <c r="F3845" s="7">
        <v>45824.72408464163</v>
      </c>
      <c r="G3845" s="3" t="s">
        <v>12013</v>
      </c>
    </row>
    <row r="3846">
      <c r="A3846" s="3" t="s">
        <v>12014</v>
      </c>
      <c r="B3846" s="3" t="s">
        <v>3916</v>
      </c>
      <c r="C3846" s="5" t="s">
        <v>614</v>
      </c>
      <c r="D3846" s="3" t="s">
        <v>206</v>
      </c>
      <c r="E3846" s="3" t="s">
        <v>100</v>
      </c>
      <c r="F3846" s="7">
        <v>45824.72755686386</v>
      </c>
      <c r="G3846" s="3" t="s">
        <v>12016</v>
      </c>
    </row>
    <row r="3847">
      <c r="A3847" s="3" t="s">
        <v>12018</v>
      </c>
      <c r="B3847" s="3" t="s">
        <v>3916</v>
      </c>
      <c r="C3847" s="5" t="s">
        <v>206</v>
      </c>
      <c r="D3847" s="3" t="s">
        <v>68</v>
      </c>
      <c r="E3847" s="3" t="s">
        <v>100</v>
      </c>
      <c r="F3847" s="7">
        <v>45824.73102908608</v>
      </c>
      <c r="G3847" s="3" t="s">
        <v>12020</v>
      </c>
    </row>
    <row r="3848">
      <c r="A3848" s="3" t="s">
        <v>12021</v>
      </c>
      <c r="B3848" s="3" t="s">
        <v>3919</v>
      </c>
      <c r="C3848" s="5" t="s">
        <v>45</v>
      </c>
      <c r="D3848" s="3" t="s">
        <v>221</v>
      </c>
      <c r="E3848" s="3" t="s">
        <v>168</v>
      </c>
      <c r="F3848" s="7">
        <v>45824.79178726483</v>
      </c>
      <c r="G3848" s="3" t="s">
        <v>12023</v>
      </c>
    </row>
    <row r="3849">
      <c r="A3849" s="3" t="s">
        <v>12024</v>
      </c>
      <c r="B3849" s="3" t="s">
        <v>3919</v>
      </c>
      <c r="C3849" s="5" t="s">
        <v>221</v>
      </c>
      <c r="D3849" s="3" t="s">
        <v>614</v>
      </c>
      <c r="E3849" s="3" t="s">
        <v>118</v>
      </c>
      <c r="F3849" s="7">
        <v>45824.79525948705</v>
      </c>
      <c r="G3849" s="3" t="s">
        <v>12027</v>
      </c>
    </row>
    <row r="3850">
      <c r="A3850" s="3" t="s">
        <v>12028</v>
      </c>
      <c r="B3850" s="3" t="s">
        <v>3919</v>
      </c>
      <c r="C3850" s="5" t="s">
        <v>614</v>
      </c>
      <c r="D3850" s="3" t="s">
        <v>206</v>
      </c>
      <c r="E3850" s="3" t="s">
        <v>100</v>
      </c>
      <c r="F3850" s="7">
        <v>45824.79873170928</v>
      </c>
      <c r="G3850" s="3" t="s">
        <v>12030</v>
      </c>
    </row>
    <row r="3851">
      <c r="A3851" s="3" t="s">
        <v>12031</v>
      </c>
      <c r="B3851" s="3" t="s">
        <v>3919</v>
      </c>
      <c r="C3851" s="5" t="s">
        <v>206</v>
      </c>
      <c r="D3851" s="3" t="s">
        <v>68</v>
      </c>
      <c r="E3851" s="3" t="s">
        <v>100</v>
      </c>
      <c r="F3851" s="7">
        <v>45824.8022039315</v>
      </c>
      <c r="G3851" s="3" t="s">
        <v>12032</v>
      </c>
    </row>
    <row r="3852">
      <c r="A3852" s="3" t="s">
        <v>12033</v>
      </c>
      <c r="B3852" s="3" t="s">
        <v>3923</v>
      </c>
      <c r="C3852" s="5" t="s">
        <v>45</v>
      </c>
      <c r="D3852" s="3" t="s">
        <v>221</v>
      </c>
      <c r="E3852" s="3" t="s">
        <v>359</v>
      </c>
      <c r="F3852" s="7">
        <v>45824.862962110245</v>
      </c>
      <c r="G3852" s="3" t="s">
        <v>11984</v>
      </c>
    </row>
    <row r="3853">
      <c r="A3853" s="3" t="s">
        <v>12035</v>
      </c>
      <c r="B3853" s="3" t="s">
        <v>3923</v>
      </c>
      <c r="C3853" s="5" t="s">
        <v>221</v>
      </c>
      <c r="D3853" s="3" t="s">
        <v>614</v>
      </c>
      <c r="E3853" s="3" t="s">
        <v>118</v>
      </c>
      <c r="F3853" s="7">
        <v>45824.86643433246</v>
      </c>
      <c r="G3853" s="3" t="s">
        <v>11987</v>
      </c>
    </row>
    <row r="3854">
      <c r="A3854" s="3" t="s">
        <v>12037</v>
      </c>
      <c r="B3854" s="3" t="s">
        <v>3923</v>
      </c>
      <c r="C3854" s="5" t="s">
        <v>614</v>
      </c>
      <c r="D3854" s="3" t="s">
        <v>206</v>
      </c>
      <c r="E3854" s="3" t="s">
        <v>100</v>
      </c>
      <c r="F3854" s="7">
        <v>45824.86990655469</v>
      </c>
      <c r="G3854" s="3" t="s">
        <v>11990</v>
      </c>
    </row>
    <row r="3855">
      <c r="A3855" s="3" t="s">
        <v>12039</v>
      </c>
      <c r="B3855" s="3" t="s">
        <v>3923</v>
      </c>
      <c r="C3855" s="5" t="s">
        <v>206</v>
      </c>
      <c r="D3855" s="3" t="s">
        <v>68</v>
      </c>
      <c r="E3855" s="3" t="s">
        <v>100</v>
      </c>
      <c r="F3855" s="7">
        <v>45824.87337877691</v>
      </c>
      <c r="G3855" s="3" t="s">
        <v>11993</v>
      </c>
    </row>
    <row r="3856">
      <c r="A3856" s="3" t="s">
        <v>12041</v>
      </c>
      <c r="B3856" s="3" t="s">
        <v>3926</v>
      </c>
      <c r="C3856" s="5" t="s">
        <v>45</v>
      </c>
      <c r="D3856" s="3" t="s">
        <v>221</v>
      </c>
      <c r="E3856" s="3" t="s">
        <v>193</v>
      </c>
      <c r="F3856" s="7">
        <v>45824.93413695566</v>
      </c>
      <c r="G3856" s="3" t="s">
        <v>12042</v>
      </c>
    </row>
    <row r="3857">
      <c r="A3857" s="3" t="s">
        <v>12044</v>
      </c>
      <c r="B3857" s="3" t="s">
        <v>3926</v>
      </c>
      <c r="C3857" s="5" t="s">
        <v>221</v>
      </c>
      <c r="D3857" s="3" t="s">
        <v>614</v>
      </c>
      <c r="E3857" s="3" t="s">
        <v>118</v>
      </c>
      <c r="F3857" s="7">
        <v>45824.937609177876</v>
      </c>
      <c r="G3857" s="3" t="s">
        <v>12045</v>
      </c>
    </row>
    <row r="3858">
      <c r="A3858" s="3" t="s">
        <v>12046</v>
      </c>
      <c r="B3858" s="3" t="s">
        <v>3926</v>
      </c>
      <c r="C3858" s="5" t="s">
        <v>614</v>
      </c>
      <c r="D3858" s="3" t="s">
        <v>206</v>
      </c>
      <c r="E3858" s="3" t="s">
        <v>100</v>
      </c>
      <c r="F3858" s="7">
        <v>45824.9410814001</v>
      </c>
      <c r="G3858" s="3" t="s">
        <v>12048</v>
      </c>
    </row>
    <row r="3859">
      <c r="A3859" s="3" t="s">
        <v>12049</v>
      </c>
      <c r="B3859" s="3" t="s">
        <v>3926</v>
      </c>
      <c r="C3859" s="5" t="s">
        <v>206</v>
      </c>
      <c r="D3859" s="3" t="s">
        <v>68</v>
      </c>
      <c r="E3859" s="3" t="s">
        <v>100</v>
      </c>
      <c r="F3859" s="7">
        <v>45824.94455362232</v>
      </c>
      <c r="G3859" s="3" t="s">
        <v>12051</v>
      </c>
    </row>
    <row r="3860">
      <c r="A3860" s="3" t="s">
        <v>12052</v>
      </c>
      <c r="B3860" s="3" t="s">
        <v>3929</v>
      </c>
      <c r="C3860" s="5" t="s">
        <v>45</v>
      </c>
      <c r="D3860" s="3" t="s">
        <v>221</v>
      </c>
      <c r="E3860" s="3" t="s">
        <v>411</v>
      </c>
      <c r="F3860" s="7">
        <v>45825.00531180108</v>
      </c>
      <c r="G3860" s="3" t="s">
        <v>12054</v>
      </c>
    </row>
    <row r="3861">
      <c r="A3861" s="3" t="s">
        <v>12055</v>
      </c>
      <c r="B3861" s="3" t="s">
        <v>3929</v>
      </c>
      <c r="C3861" s="5" t="s">
        <v>221</v>
      </c>
      <c r="D3861" s="3" t="s">
        <v>614</v>
      </c>
      <c r="E3861" s="3" t="s">
        <v>118</v>
      </c>
      <c r="F3861" s="7">
        <v>45825.008784023295</v>
      </c>
      <c r="G3861" s="3" t="s">
        <v>12057</v>
      </c>
    </row>
    <row r="3862">
      <c r="A3862" s="3" t="s">
        <v>12058</v>
      </c>
      <c r="B3862" s="3" t="s">
        <v>3929</v>
      </c>
      <c r="C3862" s="5" t="s">
        <v>614</v>
      </c>
      <c r="D3862" s="3" t="s">
        <v>206</v>
      </c>
      <c r="E3862" s="3" t="s">
        <v>100</v>
      </c>
      <c r="F3862" s="7">
        <v>45825.01225624552</v>
      </c>
      <c r="G3862" s="3" t="s">
        <v>12059</v>
      </c>
    </row>
    <row r="3863">
      <c r="A3863" s="3" t="s">
        <v>12061</v>
      </c>
      <c r="B3863" s="3" t="s">
        <v>3929</v>
      </c>
      <c r="C3863" s="5" t="s">
        <v>206</v>
      </c>
      <c r="D3863" s="3" t="s">
        <v>68</v>
      </c>
      <c r="E3863" s="3" t="s">
        <v>100</v>
      </c>
      <c r="F3863" s="7">
        <v>45825.01572846774</v>
      </c>
      <c r="G3863" s="3" t="s">
        <v>12062</v>
      </c>
    </row>
    <row r="3864">
      <c r="A3864" s="3" t="s">
        <v>12063</v>
      </c>
      <c r="B3864" s="3" t="s">
        <v>3932</v>
      </c>
      <c r="C3864" s="5" t="s">
        <v>45</v>
      </c>
      <c r="D3864" s="3" t="s">
        <v>221</v>
      </c>
      <c r="E3864" s="3" t="s">
        <v>793</v>
      </c>
      <c r="F3864" s="7">
        <v>45825.076486646496</v>
      </c>
      <c r="G3864" s="3" t="s">
        <v>12065</v>
      </c>
    </row>
    <row r="3865">
      <c r="A3865" s="3" t="s">
        <v>12066</v>
      </c>
      <c r="B3865" s="3" t="s">
        <v>3932</v>
      </c>
      <c r="C3865" s="5" t="s">
        <v>221</v>
      </c>
      <c r="D3865" s="3" t="s">
        <v>614</v>
      </c>
      <c r="E3865" s="3" t="s">
        <v>118</v>
      </c>
      <c r="F3865" s="7">
        <v>45825.079958868715</v>
      </c>
      <c r="G3865" s="3" t="s">
        <v>12068</v>
      </c>
    </row>
    <row r="3866">
      <c r="A3866" s="3" t="s">
        <v>12069</v>
      </c>
      <c r="B3866" s="3" t="s">
        <v>3932</v>
      </c>
      <c r="C3866" s="5" t="s">
        <v>614</v>
      </c>
      <c r="D3866" s="3" t="s">
        <v>206</v>
      </c>
      <c r="E3866" s="3" t="s">
        <v>100</v>
      </c>
      <c r="F3866" s="7">
        <v>45825.08343109094</v>
      </c>
      <c r="G3866" s="3" t="s">
        <v>12071</v>
      </c>
    </row>
    <row r="3867">
      <c r="A3867" s="3" t="s">
        <v>12072</v>
      </c>
      <c r="B3867" s="3" t="s">
        <v>3932</v>
      </c>
      <c r="C3867" s="5" t="s">
        <v>206</v>
      </c>
      <c r="D3867" s="3" t="s">
        <v>68</v>
      </c>
      <c r="E3867" s="3" t="s">
        <v>100</v>
      </c>
      <c r="F3867" s="7">
        <v>45825.08690331316</v>
      </c>
      <c r="G3867" s="3" t="s">
        <v>12074</v>
      </c>
    </row>
    <row r="3868">
      <c r="A3868" s="3" t="s">
        <v>12075</v>
      </c>
      <c r="B3868" s="3" t="s">
        <v>3936</v>
      </c>
      <c r="C3868" s="5" t="s">
        <v>45</v>
      </c>
      <c r="D3868" s="3" t="s">
        <v>221</v>
      </c>
      <c r="E3868" s="3" t="s">
        <v>993</v>
      </c>
      <c r="F3868" s="7">
        <v>45825.1476614919</v>
      </c>
      <c r="G3868" s="3" t="s">
        <v>12076</v>
      </c>
    </row>
    <row r="3869">
      <c r="A3869" s="3" t="s">
        <v>12078</v>
      </c>
      <c r="B3869" s="3" t="s">
        <v>3936</v>
      </c>
      <c r="C3869" s="5" t="s">
        <v>221</v>
      </c>
      <c r="D3869" s="3" t="s">
        <v>614</v>
      </c>
      <c r="E3869" s="3" t="s">
        <v>118</v>
      </c>
      <c r="F3869" s="7">
        <v>45825.15113371412</v>
      </c>
      <c r="G3869" s="3" t="s">
        <v>12079</v>
      </c>
    </row>
    <row r="3870">
      <c r="A3870" s="3" t="s">
        <v>12080</v>
      </c>
      <c r="B3870" s="3" t="s">
        <v>3936</v>
      </c>
      <c r="C3870" s="5" t="s">
        <v>614</v>
      </c>
      <c r="D3870" s="3" t="s">
        <v>206</v>
      </c>
      <c r="E3870" s="3" t="s">
        <v>100</v>
      </c>
      <c r="F3870" s="7">
        <v>45825.154605936346</v>
      </c>
      <c r="G3870" s="3" t="s">
        <v>12082</v>
      </c>
    </row>
    <row r="3871">
      <c r="A3871" s="3" t="s">
        <v>12083</v>
      </c>
      <c r="B3871" s="3" t="s">
        <v>3936</v>
      </c>
      <c r="C3871" s="5" t="s">
        <v>206</v>
      </c>
      <c r="D3871" s="3" t="s">
        <v>68</v>
      </c>
      <c r="E3871" s="3" t="s">
        <v>100</v>
      </c>
      <c r="F3871" s="7">
        <v>45825.158078158565</v>
      </c>
      <c r="G3871" s="3" t="s">
        <v>12085</v>
      </c>
    </row>
    <row r="3872">
      <c r="A3872" s="3" t="s">
        <v>12086</v>
      </c>
      <c r="B3872" s="3" t="s">
        <v>3939</v>
      </c>
      <c r="C3872" s="5" t="s">
        <v>45</v>
      </c>
      <c r="D3872" s="3" t="s">
        <v>221</v>
      </c>
      <c r="E3872" s="3" t="s">
        <v>1043</v>
      </c>
      <c r="F3872" s="7">
        <v>45825.21883633732</v>
      </c>
      <c r="G3872" s="3" t="s">
        <v>12088</v>
      </c>
    </row>
    <row r="3873">
      <c r="A3873" s="3" t="s">
        <v>12089</v>
      </c>
      <c r="B3873" s="3" t="s">
        <v>3939</v>
      </c>
      <c r="C3873" s="5" t="s">
        <v>221</v>
      </c>
      <c r="D3873" s="3" t="s">
        <v>614</v>
      </c>
      <c r="E3873" s="3" t="s">
        <v>118</v>
      </c>
      <c r="F3873" s="7">
        <v>45825.22230855954</v>
      </c>
      <c r="G3873" s="3" t="s">
        <v>12091</v>
      </c>
    </row>
    <row r="3874">
      <c r="A3874" s="3" t="s">
        <v>12092</v>
      </c>
      <c r="B3874" s="3" t="s">
        <v>3939</v>
      </c>
      <c r="C3874" s="5" t="s">
        <v>614</v>
      </c>
      <c r="D3874" s="3" t="s">
        <v>206</v>
      </c>
      <c r="E3874" s="3" t="s">
        <v>100</v>
      </c>
      <c r="F3874" s="7">
        <v>45825.225780781766</v>
      </c>
      <c r="G3874" s="3" t="s">
        <v>12094</v>
      </c>
    </row>
    <row r="3875">
      <c r="A3875" s="3" t="s">
        <v>12095</v>
      </c>
      <c r="B3875" s="3" t="s">
        <v>3939</v>
      </c>
      <c r="C3875" s="5" t="s">
        <v>206</v>
      </c>
      <c r="D3875" s="3" t="s">
        <v>68</v>
      </c>
      <c r="E3875" s="3" t="s">
        <v>100</v>
      </c>
      <c r="F3875" s="7">
        <v>45825.229253003985</v>
      </c>
      <c r="G3875" s="3" t="s">
        <v>12097</v>
      </c>
    </row>
    <row r="3876">
      <c r="A3876" s="3" t="s">
        <v>12098</v>
      </c>
      <c r="B3876" s="3" t="s">
        <v>3943</v>
      </c>
      <c r="C3876" s="5" t="s">
        <v>45</v>
      </c>
      <c r="D3876" s="3" t="s">
        <v>221</v>
      </c>
      <c r="E3876" s="3" t="s">
        <v>746</v>
      </c>
      <c r="F3876" s="7">
        <v>45825.29001118274</v>
      </c>
      <c r="G3876" s="3" t="s">
        <v>12100</v>
      </c>
    </row>
    <row r="3877">
      <c r="A3877" s="3" t="s">
        <v>12101</v>
      </c>
      <c r="B3877" s="3" t="s">
        <v>3943</v>
      </c>
      <c r="C3877" s="5" t="s">
        <v>221</v>
      </c>
      <c r="D3877" s="3" t="s">
        <v>181</v>
      </c>
      <c r="E3877" s="3" t="s">
        <v>118</v>
      </c>
      <c r="F3877" s="7">
        <v>45825.29348340496</v>
      </c>
      <c r="G3877" s="3" t="s">
        <v>12103</v>
      </c>
    </row>
    <row r="3878">
      <c r="A3878" s="3" t="s">
        <v>12104</v>
      </c>
      <c r="B3878" s="3" t="s">
        <v>3947</v>
      </c>
      <c r="C3878" s="5" t="s">
        <v>45</v>
      </c>
      <c r="D3878" s="3" t="s">
        <v>221</v>
      </c>
      <c r="E3878" s="3" t="s">
        <v>752</v>
      </c>
      <c r="F3878" s="7">
        <v>45825.36118602815</v>
      </c>
      <c r="G3878" s="3" t="s">
        <v>12106</v>
      </c>
    </row>
    <row r="3879">
      <c r="A3879" s="3" t="s">
        <v>12107</v>
      </c>
      <c r="B3879" s="3" t="s">
        <v>3947</v>
      </c>
      <c r="C3879" s="5" t="s">
        <v>221</v>
      </c>
      <c r="D3879" s="3" t="s">
        <v>195</v>
      </c>
      <c r="E3879" s="3" t="s">
        <v>752</v>
      </c>
      <c r="F3879" s="7">
        <v>45825.36465825037</v>
      </c>
      <c r="G3879" s="3" t="s">
        <v>12109</v>
      </c>
    </row>
    <row r="3880">
      <c r="A3880" s="3" t="s">
        <v>12110</v>
      </c>
      <c r="B3880" s="3" t="s">
        <v>3950</v>
      </c>
      <c r="C3880" s="5" t="s">
        <v>45</v>
      </c>
      <c r="D3880" s="3" t="s">
        <v>221</v>
      </c>
      <c r="E3880" s="3" t="s">
        <v>135</v>
      </c>
      <c r="F3880" s="7">
        <v>45825.432360873565</v>
      </c>
      <c r="G3880" s="3" t="s">
        <v>11626</v>
      </c>
    </row>
    <row r="3881">
      <c r="A3881" s="3" t="s">
        <v>12112</v>
      </c>
      <c r="B3881" s="3" t="s">
        <v>3950</v>
      </c>
      <c r="C3881" s="5" t="s">
        <v>221</v>
      </c>
      <c r="D3881" s="3" t="s">
        <v>195</v>
      </c>
      <c r="E3881" s="3" t="s">
        <v>135</v>
      </c>
      <c r="F3881" s="7">
        <v>45825.435833095784</v>
      </c>
      <c r="G3881" s="3" t="s">
        <v>12114</v>
      </c>
    </row>
    <row r="3882">
      <c r="A3882" s="3" t="s">
        <v>12115</v>
      </c>
      <c r="B3882" s="3" t="s">
        <v>3954</v>
      </c>
      <c r="C3882" s="5" t="s">
        <v>45</v>
      </c>
      <c r="D3882" s="3" t="s">
        <v>221</v>
      </c>
      <c r="E3882" s="3" t="s">
        <v>175</v>
      </c>
      <c r="F3882" s="7">
        <v>45825.503535718984</v>
      </c>
      <c r="G3882" s="3" t="s">
        <v>12117</v>
      </c>
    </row>
    <row r="3883">
      <c r="A3883" s="3" t="s">
        <v>12119</v>
      </c>
      <c r="B3883" s="3" t="s">
        <v>3954</v>
      </c>
      <c r="C3883" s="5" t="s">
        <v>221</v>
      </c>
      <c r="D3883" s="3" t="s">
        <v>614</v>
      </c>
      <c r="E3883" s="3" t="s">
        <v>118</v>
      </c>
      <c r="F3883" s="7">
        <v>45825.5070079412</v>
      </c>
      <c r="G3883" s="3" t="s">
        <v>12121</v>
      </c>
    </row>
    <row r="3884">
      <c r="A3884" s="3" t="s">
        <v>12122</v>
      </c>
      <c r="B3884" s="3" t="s">
        <v>3954</v>
      </c>
      <c r="C3884" s="5" t="s">
        <v>614</v>
      </c>
      <c r="D3884" s="3" t="s">
        <v>206</v>
      </c>
      <c r="E3884" s="3" t="s">
        <v>100</v>
      </c>
      <c r="F3884" s="7">
        <v>45825.51048016343</v>
      </c>
      <c r="G3884" s="3" t="s">
        <v>12124</v>
      </c>
    </row>
    <row r="3885">
      <c r="A3885" s="3" t="s">
        <v>12126</v>
      </c>
      <c r="B3885" s="3" t="s">
        <v>3954</v>
      </c>
      <c r="C3885" s="5" t="s">
        <v>206</v>
      </c>
      <c r="D3885" s="3" t="s">
        <v>68</v>
      </c>
      <c r="E3885" s="3" t="s">
        <v>100</v>
      </c>
      <c r="F3885" s="7">
        <v>45825.51395238565</v>
      </c>
      <c r="G3885" s="3" t="s">
        <v>12128</v>
      </c>
    </row>
    <row r="3886">
      <c r="A3886" s="3" t="s">
        <v>12129</v>
      </c>
      <c r="B3886" s="3" t="s">
        <v>3956</v>
      </c>
      <c r="C3886" s="5" t="s">
        <v>45</v>
      </c>
      <c r="D3886" s="3" t="s">
        <v>221</v>
      </c>
      <c r="E3886" s="3" t="s">
        <v>937</v>
      </c>
      <c r="F3886" s="7">
        <v>45825.5747105644</v>
      </c>
      <c r="G3886" s="3" t="s">
        <v>12131</v>
      </c>
    </row>
    <row r="3887">
      <c r="A3887" s="3" t="s">
        <v>12132</v>
      </c>
      <c r="B3887" s="3" t="s">
        <v>3956</v>
      </c>
      <c r="C3887" s="5" t="s">
        <v>221</v>
      </c>
      <c r="D3887" s="3" t="s">
        <v>614</v>
      </c>
      <c r="E3887" s="3" t="s">
        <v>118</v>
      </c>
      <c r="F3887" s="7">
        <v>45825.578182786616</v>
      </c>
      <c r="G3887" s="3" t="s">
        <v>12133</v>
      </c>
    </row>
    <row r="3888">
      <c r="A3888" s="3" t="s">
        <v>12135</v>
      </c>
      <c r="B3888" s="3" t="s">
        <v>3956</v>
      </c>
      <c r="C3888" s="5" t="s">
        <v>614</v>
      </c>
      <c r="D3888" s="3" t="s">
        <v>206</v>
      </c>
      <c r="E3888" s="3" t="s">
        <v>100</v>
      </c>
      <c r="F3888" s="7">
        <v>45825.58165500884</v>
      </c>
      <c r="G3888" s="3" t="s">
        <v>12136</v>
      </c>
    </row>
    <row r="3889">
      <c r="A3889" s="3" t="s">
        <v>12138</v>
      </c>
      <c r="B3889" s="3" t="s">
        <v>3956</v>
      </c>
      <c r="C3889" s="5" t="s">
        <v>206</v>
      </c>
      <c r="D3889" s="3" t="s">
        <v>68</v>
      </c>
      <c r="E3889" s="3" t="s">
        <v>100</v>
      </c>
      <c r="F3889" s="7">
        <v>45825.58512723106</v>
      </c>
      <c r="G3889" s="3" t="s">
        <v>12139</v>
      </c>
    </row>
    <row r="3890">
      <c r="A3890" s="3" t="s">
        <v>12140</v>
      </c>
      <c r="B3890" s="3" t="s">
        <v>3959</v>
      </c>
      <c r="C3890" s="5" t="s">
        <v>45</v>
      </c>
      <c r="D3890" s="3" t="s">
        <v>221</v>
      </c>
      <c r="E3890" s="3" t="s">
        <v>734</v>
      </c>
      <c r="F3890" s="7">
        <v>45825.64588540981</v>
      </c>
      <c r="G3890" s="3" t="s">
        <v>12142</v>
      </c>
    </row>
    <row r="3891">
      <c r="A3891" s="3" t="s">
        <v>12143</v>
      </c>
      <c r="B3891" s="3" t="s">
        <v>3959</v>
      </c>
      <c r="C3891" s="5" t="s">
        <v>221</v>
      </c>
      <c r="D3891" s="3" t="s">
        <v>614</v>
      </c>
      <c r="E3891" s="3" t="s">
        <v>118</v>
      </c>
      <c r="F3891" s="7">
        <v>45825.64935763203</v>
      </c>
      <c r="G3891" s="3" t="s">
        <v>12145</v>
      </c>
    </row>
    <row r="3892">
      <c r="A3892" s="3" t="s">
        <v>12146</v>
      </c>
      <c r="B3892" s="3" t="s">
        <v>3959</v>
      </c>
      <c r="C3892" s="5" t="s">
        <v>614</v>
      </c>
      <c r="D3892" s="3" t="s">
        <v>206</v>
      </c>
      <c r="E3892" s="3" t="s">
        <v>100</v>
      </c>
      <c r="F3892" s="7">
        <v>45825.652829854254</v>
      </c>
      <c r="G3892" s="3" t="s">
        <v>12148</v>
      </c>
    </row>
    <row r="3893">
      <c r="A3893" s="3" t="s">
        <v>12149</v>
      </c>
      <c r="B3893" s="3" t="s">
        <v>3959</v>
      </c>
      <c r="C3893" s="5" t="s">
        <v>206</v>
      </c>
      <c r="D3893" s="3" t="s">
        <v>68</v>
      </c>
      <c r="E3893" s="3" t="s">
        <v>100</v>
      </c>
      <c r="F3893" s="7">
        <v>45825.65630207647</v>
      </c>
      <c r="G3893" s="3" t="s">
        <v>12151</v>
      </c>
    </row>
    <row r="3894">
      <c r="A3894" s="3" t="s">
        <v>12152</v>
      </c>
      <c r="B3894" s="3" t="s">
        <v>3962</v>
      </c>
      <c r="C3894" s="5" t="s">
        <v>45</v>
      </c>
      <c r="D3894" s="3" t="s">
        <v>221</v>
      </c>
      <c r="E3894" s="3" t="s">
        <v>643</v>
      </c>
      <c r="F3894" s="7">
        <v>45825.71706025523</v>
      </c>
      <c r="G3894" s="3" t="s">
        <v>12154</v>
      </c>
    </row>
    <row r="3895">
      <c r="A3895" s="3" t="s">
        <v>12155</v>
      </c>
      <c r="B3895" s="3" t="s">
        <v>3962</v>
      </c>
      <c r="C3895" s="5" t="s">
        <v>221</v>
      </c>
      <c r="D3895" s="3" t="s">
        <v>614</v>
      </c>
      <c r="E3895" s="3" t="s">
        <v>118</v>
      </c>
      <c r="F3895" s="7">
        <v>45825.72053247745</v>
      </c>
      <c r="G3895" s="3" t="s">
        <v>12157</v>
      </c>
    </row>
    <row r="3896">
      <c r="A3896" s="3" t="s">
        <v>12158</v>
      </c>
      <c r="B3896" s="3" t="s">
        <v>3962</v>
      </c>
      <c r="C3896" s="5" t="s">
        <v>614</v>
      </c>
      <c r="D3896" s="3" t="s">
        <v>206</v>
      </c>
      <c r="E3896" s="3" t="s">
        <v>100</v>
      </c>
      <c r="F3896" s="7">
        <v>45825.724004699674</v>
      </c>
      <c r="G3896" s="3" t="s">
        <v>12160</v>
      </c>
    </row>
    <row r="3897">
      <c r="A3897" s="3" t="s">
        <v>12162</v>
      </c>
      <c r="B3897" s="3" t="s">
        <v>3962</v>
      </c>
      <c r="C3897" s="5" t="s">
        <v>206</v>
      </c>
      <c r="D3897" s="3" t="s">
        <v>68</v>
      </c>
      <c r="E3897" s="3" t="s">
        <v>100</v>
      </c>
      <c r="F3897" s="7">
        <v>45825.72747692189</v>
      </c>
      <c r="G3897" s="3" t="s">
        <v>12164</v>
      </c>
    </row>
    <row r="3898">
      <c r="A3898" s="3" t="s">
        <v>12165</v>
      </c>
      <c r="B3898" s="3" t="s">
        <v>3965</v>
      </c>
      <c r="C3898" s="5" t="s">
        <v>45</v>
      </c>
      <c r="D3898" s="3" t="s">
        <v>221</v>
      </c>
      <c r="E3898" s="3" t="s">
        <v>1034</v>
      </c>
      <c r="F3898" s="7">
        <v>45825.78823510065</v>
      </c>
      <c r="G3898" s="3" t="s">
        <v>12167</v>
      </c>
    </row>
    <row r="3899">
      <c r="A3899" s="3" t="s">
        <v>12168</v>
      </c>
      <c r="B3899" s="3" t="s">
        <v>3965</v>
      </c>
      <c r="C3899" s="5" t="s">
        <v>221</v>
      </c>
      <c r="D3899" s="3" t="s">
        <v>614</v>
      </c>
      <c r="E3899" s="3" t="s">
        <v>118</v>
      </c>
      <c r="F3899" s="7">
        <v>45825.79170732287</v>
      </c>
      <c r="G3899" s="3" t="s">
        <v>12170</v>
      </c>
    </row>
    <row r="3900">
      <c r="A3900" s="3" t="s">
        <v>12172</v>
      </c>
      <c r="B3900" s="3" t="s">
        <v>3965</v>
      </c>
      <c r="C3900" s="5" t="s">
        <v>614</v>
      </c>
      <c r="D3900" s="3" t="s">
        <v>206</v>
      </c>
      <c r="E3900" s="3" t="s">
        <v>100</v>
      </c>
      <c r="F3900" s="7">
        <v>45825.79517954509</v>
      </c>
      <c r="G3900" s="3" t="s">
        <v>12173</v>
      </c>
    </row>
    <row r="3901">
      <c r="A3901" s="3" t="s">
        <v>12174</v>
      </c>
      <c r="B3901" s="3" t="s">
        <v>3965</v>
      </c>
      <c r="C3901" s="5" t="s">
        <v>206</v>
      </c>
      <c r="D3901" s="3" t="s">
        <v>68</v>
      </c>
      <c r="E3901" s="3" t="s">
        <v>100</v>
      </c>
      <c r="F3901" s="7">
        <v>45825.79865176731</v>
      </c>
      <c r="G3901" s="3" t="s">
        <v>12176</v>
      </c>
    </row>
    <row r="3902">
      <c r="A3902" s="3" t="s">
        <v>12177</v>
      </c>
      <c r="B3902" s="3" t="s">
        <v>3968</v>
      </c>
      <c r="C3902" s="5" t="s">
        <v>45</v>
      </c>
      <c r="D3902" s="3" t="s">
        <v>221</v>
      </c>
      <c r="E3902" s="3" t="s">
        <v>598</v>
      </c>
      <c r="F3902" s="7">
        <v>45825.85940994605</v>
      </c>
      <c r="G3902" s="3" t="s">
        <v>12179</v>
      </c>
    </row>
    <row r="3903">
      <c r="A3903" s="3" t="s">
        <v>12180</v>
      </c>
      <c r="B3903" s="3" t="s">
        <v>3968</v>
      </c>
      <c r="C3903" s="5" t="s">
        <v>221</v>
      </c>
      <c r="D3903" s="3" t="s">
        <v>614</v>
      </c>
      <c r="E3903" s="3" t="s">
        <v>118</v>
      </c>
      <c r="F3903" s="7">
        <v>45825.86288216827</v>
      </c>
      <c r="G3903" s="3" t="s">
        <v>12182</v>
      </c>
    </row>
    <row r="3904">
      <c r="A3904" s="3" t="s">
        <v>12183</v>
      </c>
      <c r="B3904" s="3" t="s">
        <v>3968</v>
      </c>
      <c r="C3904" s="5" t="s">
        <v>614</v>
      </c>
      <c r="D3904" s="3" t="s">
        <v>206</v>
      </c>
      <c r="E3904" s="3" t="s">
        <v>100</v>
      </c>
      <c r="F3904" s="7">
        <v>45825.8663543905</v>
      </c>
      <c r="G3904" s="3" t="s">
        <v>12185</v>
      </c>
    </row>
    <row r="3905">
      <c r="A3905" s="3" t="s">
        <v>12186</v>
      </c>
      <c r="B3905" s="3" t="s">
        <v>3968</v>
      </c>
      <c r="C3905" s="5" t="s">
        <v>206</v>
      </c>
      <c r="D3905" s="3" t="s">
        <v>68</v>
      </c>
      <c r="E3905" s="3" t="s">
        <v>100</v>
      </c>
      <c r="F3905" s="7">
        <v>45825.86982661272</v>
      </c>
      <c r="G3905" s="3" t="s">
        <v>12188</v>
      </c>
    </row>
    <row r="3906">
      <c r="A3906" s="3" t="s">
        <v>12189</v>
      </c>
      <c r="B3906" s="3" t="s">
        <v>3971</v>
      </c>
      <c r="C3906" s="5" t="s">
        <v>45</v>
      </c>
      <c r="D3906" s="3" t="s">
        <v>221</v>
      </c>
      <c r="E3906" s="3" t="s">
        <v>598</v>
      </c>
      <c r="F3906" s="7">
        <v>45825.93058479147</v>
      </c>
      <c r="G3906" s="3" t="s">
        <v>12191</v>
      </c>
    </row>
    <row r="3907">
      <c r="A3907" s="3" t="s">
        <v>12192</v>
      </c>
      <c r="B3907" s="3" t="s">
        <v>3971</v>
      </c>
      <c r="C3907" s="5" t="s">
        <v>221</v>
      </c>
      <c r="D3907" s="3" t="s">
        <v>614</v>
      </c>
      <c r="E3907" s="3" t="s">
        <v>118</v>
      </c>
      <c r="F3907" s="7">
        <v>45825.93405701369</v>
      </c>
      <c r="G3907" s="3" t="s">
        <v>12194</v>
      </c>
    </row>
    <row r="3908">
      <c r="A3908" s="3" t="s">
        <v>12195</v>
      </c>
      <c r="B3908" s="3" t="s">
        <v>3971</v>
      </c>
      <c r="C3908" s="5" t="s">
        <v>614</v>
      </c>
      <c r="D3908" s="3" t="s">
        <v>206</v>
      </c>
      <c r="E3908" s="3" t="s">
        <v>100</v>
      </c>
      <c r="F3908" s="7">
        <v>45825.93752923592</v>
      </c>
      <c r="G3908" s="3" t="s">
        <v>12197</v>
      </c>
    </row>
    <row r="3909">
      <c r="A3909" s="3" t="s">
        <v>12198</v>
      </c>
      <c r="B3909" s="3" t="s">
        <v>3971</v>
      </c>
      <c r="C3909" s="5" t="s">
        <v>206</v>
      </c>
      <c r="D3909" s="3" t="s">
        <v>68</v>
      </c>
      <c r="E3909" s="3" t="s">
        <v>100</v>
      </c>
      <c r="F3909" s="7">
        <v>45825.94100145814</v>
      </c>
      <c r="G3909" s="3" t="s">
        <v>12200</v>
      </c>
    </row>
    <row r="3910">
      <c r="A3910" s="3" t="s">
        <v>12201</v>
      </c>
      <c r="B3910" s="3" t="s">
        <v>3974</v>
      </c>
      <c r="C3910" s="5" t="s">
        <v>45</v>
      </c>
      <c r="D3910" s="3" t="s">
        <v>221</v>
      </c>
      <c r="E3910" s="3" t="s">
        <v>330</v>
      </c>
      <c r="F3910" s="7">
        <v>45826.001759636885</v>
      </c>
      <c r="G3910" s="3" t="s">
        <v>12203</v>
      </c>
    </row>
    <row r="3911">
      <c r="A3911" s="3" t="s">
        <v>12204</v>
      </c>
      <c r="B3911" s="3" t="s">
        <v>3974</v>
      </c>
      <c r="C3911" s="5" t="s">
        <v>221</v>
      </c>
      <c r="D3911" s="3" t="s">
        <v>614</v>
      </c>
      <c r="E3911" s="3" t="s">
        <v>118</v>
      </c>
      <c r="F3911" s="7">
        <v>45826.005231859104</v>
      </c>
      <c r="G3911" s="3" t="s">
        <v>12206</v>
      </c>
    </row>
    <row r="3912">
      <c r="A3912" s="3" t="s">
        <v>12207</v>
      </c>
      <c r="B3912" s="3" t="s">
        <v>3974</v>
      </c>
      <c r="C3912" s="5" t="s">
        <v>614</v>
      </c>
      <c r="D3912" s="3" t="s">
        <v>206</v>
      </c>
      <c r="E3912" s="3" t="s">
        <v>100</v>
      </c>
      <c r="F3912" s="7">
        <v>45826.00870408133</v>
      </c>
      <c r="G3912" s="3" t="s">
        <v>12209</v>
      </c>
    </row>
    <row r="3913">
      <c r="A3913" s="3" t="s">
        <v>12210</v>
      </c>
      <c r="B3913" s="3" t="s">
        <v>3974</v>
      </c>
      <c r="C3913" s="5" t="s">
        <v>206</v>
      </c>
      <c r="D3913" s="3" t="s">
        <v>68</v>
      </c>
      <c r="E3913" s="3" t="s">
        <v>100</v>
      </c>
      <c r="F3913" s="7">
        <v>45826.01217630355</v>
      </c>
      <c r="G3913" s="3" t="s">
        <v>12211</v>
      </c>
    </row>
    <row r="3914">
      <c r="A3914" s="3" t="s">
        <v>12212</v>
      </c>
      <c r="B3914" s="3" t="s">
        <v>3976</v>
      </c>
      <c r="C3914" s="5" t="s">
        <v>45</v>
      </c>
      <c r="D3914" s="3" t="s">
        <v>221</v>
      </c>
      <c r="E3914" s="3" t="s">
        <v>491</v>
      </c>
      <c r="F3914" s="7">
        <v>45826.072934482305</v>
      </c>
      <c r="G3914" s="3" t="s">
        <v>12214</v>
      </c>
    </row>
    <row r="3915">
      <c r="A3915" s="3" t="s">
        <v>12215</v>
      </c>
      <c r="B3915" s="3" t="s">
        <v>3976</v>
      </c>
      <c r="C3915" s="5" t="s">
        <v>221</v>
      </c>
      <c r="D3915" s="3" t="s">
        <v>614</v>
      </c>
      <c r="E3915" s="3" t="s">
        <v>118</v>
      </c>
      <c r="F3915" s="7">
        <v>45826.076406704524</v>
      </c>
      <c r="G3915" s="3" t="s">
        <v>12217</v>
      </c>
    </row>
    <row r="3916">
      <c r="A3916" s="3" t="s">
        <v>12218</v>
      </c>
      <c r="B3916" s="3" t="s">
        <v>3976</v>
      </c>
      <c r="C3916" s="5" t="s">
        <v>614</v>
      </c>
      <c r="D3916" s="3" t="s">
        <v>206</v>
      </c>
      <c r="E3916" s="3" t="s">
        <v>100</v>
      </c>
      <c r="F3916" s="7">
        <v>45826.07987892675</v>
      </c>
      <c r="G3916" s="3" t="s">
        <v>12220</v>
      </c>
    </row>
    <row r="3917">
      <c r="A3917" s="3" t="s">
        <v>12221</v>
      </c>
      <c r="B3917" s="3" t="s">
        <v>3976</v>
      </c>
      <c r="C3917" s="5" t="s">
        <v>206</v>
      </c>
      <c r="D3917" s="3" t="s">
        <v>68</v>
      </c>
      <c r="E3917" s="3" t="s">
        <v>100</v>
      </c>
      <c r="F3917" s="7">
        <v>45826.08335114897</v>
      </c>
      <c r="G3917" s="3" t="s">
        <v>12223</v>
      </c>
    </row>
    <row r="3918">
      <c r="A3918" s="3" t="s">
        <v>12224</v>
      </c>
      <c r="B3918" s="3" t="s">
        <v>3979</v>
      </c>
      <c r="C3918" s="5" t="s">
        <v>45</v>
      </c>
      <c r="D3918" s="3" t="s">
        <v>221</v>
      </c>
      <c r="E3918" s="3" t="s">
        <v>629</v>
      </c>
      <c r="F3918" s="7">
        <v>45826.14410932772</v>
      </c>
      <c r="G3918" s="3" t="s">
        <v>12226</v>
      </c>
    </row>
    <row r="3919">
      <c r="A3919" s="3" t="s">
        <v>12227</v>
      </c>
      <c r="B3919" s="3" t="s">
        <v>3979</v>
      </c>
      <c r="C3919" s="5" t="s">
        <v>221</v>
      </c>
      <c r="D3919" s="3" t="s">
        <v>614</v>
      </c>
      <c r="E3919" s="3" t="s">
        <v>118</v>
      </c>
      <c r="F3919" s="7">
        <v>45826.147581549936</v>
      </c>
      <c r="G3919" s="3" t="s">
        <v>12229</v>
      </c>
    </row>
    <row r="3920">
      <c r="A3920" s="3" t="s">
        <v>12230</v>
      </c>
      <c r="B3920" s="3" t="s">
        <v>3979</v>
      </c>
      <c r="C3920" s="5" t="s">
        <v>614</v>
      </c>
      <c r="D3920" s="3" t="s">
        <v>206</v>
      </c>
      <c r="E3920" s="3" t="s">
        <v>100</v>
      </c>
      <c r="F3920" s="7">
        <v>45826.15105377216</v>
      </c>
      <c r="G3920" s="3" t="s">
        <v>12232</v>
      </c>
    </row>
    <row r="3921">
      <c r="A3921" s="3" t="s">
        <v>12233</v>
      </c>
      <c r="B3921" s="3" t="s">
        <v>3979</v>
      </c>
      <c r="C3921" s="5" t="s">
        <v>206</v>
      </c>
      <c r="D3921" s="3" t="s">
        <v>68</v>
      </c>
      <c r="E3921" s="3" t="s">
        <v>100</v>
      </c>
      <c r="F3921" s="7">
        <v>45826.15452599438</v>
      </c>
      <c r="G3921" s="3" t="s">
        <v>12235</v>
      </c>
    </row>
    <row r="3922">
      <c r="A3922" s="3" t="s">
        <v>12236</v>
      </c>
      <c r="B3922" s="3" t="s">
        <v>3982</v>
      </c>
      <c r="C3922" s="5" t="s">
        <v>45</v>
      </c>
      <c r="D3922" s="3" t="s">
        <v>221</v>
      </c>
      <c r="E3922" s="3" t="s">
        <v>316</v>
      </c>
      <c r="F3922" s="7">
        <v>45826.21528417314</v>
      </c>
      <c r="G3922" s="3" t="s">
        <v>12238</v>
      </c>
    </row>
    <row r="3923">
      <c r="A3923" s="3" t="s">
        <v>12240</v>
      </c>
      <c r="B3923" s="3" t="s">
        <v>3982</v>
      </c>
      <c r="C3923" s="5" t="s">
        <v>221</v>
      </c>
      <c r="D3923" s="3" t="s">
        <v>614</v>
      </c>
      <c r="E3923" s="3" t="s">
        <v>118</v>
      </c>
      <c r="F3923" s="7">
        <v>45826.218756395356</v>
      </c>
      <c r="G3923" s="3" t="s">
        <v>12242</v>
      </c>
    </row>
    <row r="3924">
      <c r="A3924" s="3" t="s">
        <v>12243</v>
      </c>
      <c r="B3924" s="3" t="s">
        <v>3982</v>
      </c>
      <c r="C3924" s="5" t="s">
        <v>614</v>
      </c>
      <c r="D3924" s="3" t="s">
        <v>206</v>
      </c>
      <c r="E3924" s="3" t="s">
        <v>100</v>
      </c>
      <c r="F3924" s="7">
        <v>45826.22222861758</v>
      </c>
      <c r="G3924" s="3" t="s">
        <v>12245</v>
      </c>
    </row>
    <row r="3925">
      <c r="A3925" s="3" t="s">
        <v>12246</v>
      </c>
      <c r="B3925" s="3" t="s">
        <v>3982</v>
      </c>
      <c r="C3925" s="5" t="s">
        <v>206</v>
      </c>
      <c r="D3925" s="3" t="s">
        <v>68</v>
      </c>
      <c r="E3925" s="3" t="s">
        <v>100</v>
      </c>
      <c r="F3925" s="7">
        <v>45826.2257008398</v>
      </c>
      <c r="G3925" s="3" t="s">
        <v>12248</v>
      </c>
    </row>
    <row r="3926">
      <c r="A3926" s="3" t="s">
        <v>12250</v>
      </c>
      <c r="B3926" s="3" t="s">
        <v>3985</v>
      </c>
      <c r="C3926" s="5" t="s">
        <v>45</v>
      </c>
      <c r="D3926" s="3" t="s">
        <v>221</v>
      </c>
      <c r="E3926" s="3" t="s">
        <v>449</v>
      </c>
      <c r="F3926" s="7">
        <v>45826.28645901854</v>
      </c>
      <c r="G3926" s="3" t="s">
        <v>12252</v>
      </c>
    </row>
    <row r="3927">
      <c r="A3927" s="3" t="s">
        <v>12253</v>
      </c>
      <c r="B3927" s="3" t="s">
        <v>3985</v>
      </c>
      <c r="C3927" s="5" t="s">
        <v>221</v>
      </c>
      <c r="D3927" s="3" t="s">
        <v>614</v>
      </c>
      <c r="E3927" s="3" t="s">
        <v>118</v>
      </c>
      <c r="F3927" s="7">
        <v>45826.28993124076</v>
      </c>
      <c r="G3927" s="3" t="s">
        <v>12255</v>
      </c>
    </row>
    <row r="3928">
      <c r="A3928" s="3" t="s">
        <v>12257</v>
      </c>
      <c r="B3928" s="3" t="s">
        <v>3985</v>
      </c>
      <c r="C3928" s="5" t="s">
        <v>614</v>
      </c>
      <c r="D3928" s="3" t="s">
        <v>206</v>
      </c>
      <c r="E3928" s="3" t="s">
        <v>100</v>
      </c>
      <c r="F3928" s="7">
        <v>45826.29340346299</v>
      </c>
      <c r="G3928" s="3" t="s">
        <v>12259</v>
      </c>
    </row>
    <row r="3929">
      <c r="A3929" s="3" t="s">
        <v>12260</v>
      </c>
      <c r="B3929" s="3" t="s">
        <v>3985</v>
      </c>
      <c r="C3929" s="5" t="s">
        <v>206</v>
      </c>
      <c r="D3929" s="3" t="s">
        <v>68</v>
      </c>
      <c r="E3929" s="3" t="s">
        <v>100</v>
      </c>
      <c r="F3929" s="7">
        <v>45826.296875685206</v>
      </c>
      <c r="G3929" s="3" t="s">
        <v>12262</v>
      </c>
    </row>
    <row r="3930">
      <c r="A3930" s="3" t="s">
        <v>12264</v>
      </c>
      <c r="B3930" s="3" t="s">
        <v>3989</v>
      </c>
      <c r="C3930" s="5" t="s">
        <v>45</v>
      </c>
      <c r="D3930" s="3" t="s">
        <v>221</v>
      </c>
      <c r="E3930" s="3" t="s">
        <v>961</v>
      </c>
      <c r="F3930" s="7">
        <v>45826.35763386396</v>
      </c>
      <c r="G3930" s="3" t="s">
        <v>12266</v>
      </c>
    </row>
    <row r="3931">
      <c r="A3931" s="3" t="s">
        <v>12267</v>
      </c>
      <c r="B3931" s="3" t="s">
        <v>3989</v>
      </c>
      <c r="C3931" s="5" t="s">
        <v>221</v>
      </c>
      <c r="D3931" s="3" t="s">
        <v>614</v>
      </c>
      <c r="E3931" s="3" t="s">
        <v>118</v>
      </c>
      <c r="F3931" s="7">
        <v>45826.36110608618</v>
      </c>
      <c r="G3931" s="3" t="s">
        <v>12269</v>
      </c>
    </row>
    <row r="3932">
      <c r="A3932" s="3" t="s">
        <v>12270</v>
      </c>
      <c r="B3932" s="3" t="s">
        <v>3989</v>
      </c>
      <c r="C3932" s="5" t="s">
        <v>614</v>
      </c>
      <c r="D3932" s="3" t="s">
        <v>206</v>
      </c>
      <c r="E3932" s="3" t="s">
        <v>100</v>
      </c>
      <c r="F3932" s="7">
        <v>45826.36457830841</v>
      </c>
      <c r="G3932" s="3" t="s">
        <v>12272</v>
      </c>
    </row>
    <row r="3933">
      <c r="A3933" s="3" t="s">
        <v>12274</v>
      </c>
      <c r="B3933" s="3" t="s">
        <v>3989</v>
      </c>
      <c r="C3933" s="5" t="s">
        <v>206</v>
      </c>
      <c r="D3933" s="3" t="s">
        <v>68</v>
      </c>
      <c r="E3933" s="3" t="s">
        <v>100</v>
      </c>
      <c r="F3933" s="7">
        <v>45826.368050530626</v>
      </c>
      <c r="G3933" s="3" t="s">
        <v>12276</v>
      </c>
    </row>
    <row r="3934">
      <c r="A3934" s="3" t="s">
        <v>12277</v>
      </c>
      <c r="B3934" s="3" t="s">
        <v>3992</v>
      </c>
      <c r="C3934" s="5" t="s">
        <v>45</v>
      </c>
      <c r="D3934" s="3" t="s">
        <v>221</v>
      </c>
      <c r="E3934" s="3" t="s">
        <v>502</v>
      </c>
      <c r="F3934" s="7">
        <v>45826.42880870938</v>
      </c>
      <c r="G3934" s="3" t="s">
        <v>12279</v>
      </c>
    </row>
    <row r="3935">
      <c r="A3935" s="3" t="s">
        <v>12280</v>
      </c>
      <c r="B3935" s="3" t="s">
        <v>3992</v>
      </c>
      <c r="C3935" s="5" t="s">
        <v>221</v>
      </c>
      <c r="D3935" s="3" t="s">
        <v>614</v>
      </c>
      <c r="E3935" s="3" t="s">
        <v>118</v>
      </c>
      <c r="F3935" s="7">
        <v>45826.4322809316</v>
      </c>
      <c r="G3935" s="3" t="s">
        <v>12283</v>
      </c>
    </row>
    <row r="3936">
      <c r="A3936" s="3" t="s">
        <v>12284</v>
      </c>
      <c r="B3936" s="3" t="s">
        <v>3992</v>
      </c>
      <c r="C3936" s="5" t="s">
        <v>614</v>
      </c>
      <c r="D3936" s="3" t="s">
        <v>206</v>
      </c>
      <c r="E3936" s="3" t="s">
        <v>100</v>
      </c>
      <c r="F3936" s="7">
        <v>45826.435753153826</v>
      </c>
      <c r="G3936" s="3" t="s">
        <v>12286</v>
      </c>
    </row>
    <row r="3937">
      <c r="A3937" s="3" t="s">
        <v>12287</v>
      </c>
      <c r="B3937" s="3" t="s">
        <v>3992</v>
      </c>
      <c r="C3937" s="5" t="s">
        <v>206</v>
      </c>
      <c r="D3937" s="3" t="s">
        <v>68</v>
      </c>
      <c r="E3937" s="3" t="s">
        <v>100</v>
      </c>
      <c r="F3937" s="7">
        <v>45826.439225376045</v>
      </c>
      <c r="G3937" s="3" t="s">
        <v>12290</v>
      </c>
    </row>
    <row r="3938">
      <c r="A3938" s="3" t="s">
        <v>12292</v>
      </c>
      <c r="B3938" s="3" t="s">
        <v>3995</v>
      </c>
      <c r="C3938" s="5" t="s">
        <v>45</v>
      </c>
      <c r="D3938" s="3" t="s">
        <v>221</v>
      </c>
      <c r="E3938" s="3" t="s">
        <v>643</v>
      </c>
      <c r="F3938" s="7">
        <v>45826.49998355479</v>
      </c>
      <c r="G3938" s="3" t="s">
        <v>12294</v>
      </c>
    </row>
    <row r="3939">
      <c r="A3939" s="3" t="s">
        <v>12296</v>
      </c>
      <c r="B3939" s="3" t="s">
        <v>3995</v>
      </c>
      <c r="C3939" s="5" t="s">
        <v>221</v>
      </c>
      <c r="D3939" s="3" t="s">
        <v>195</v>
      </c>
      <c r="E3939" s="3" t="s">
        <v>643</v>
      </c>
      <c r="F3939" s="7">
        <v>45826.50345577701</v>
      </c>
      <c r="G3939" s="3" t="s">
        <v>12298</v>
      </c>
    </row>
    <row r="3940">
      <c r="A3940" s="3" t="s">
        <v>12299</v>
      </c>
      <c r="B3940" s="3" t="s">
        <v>3998</v>
      </c>
      <c r="C3940" s="5" t="s">
        <v>45</v>
      </c>
      <c r="D3940" s="3" t="s">
        <v>221</v>
      </c>
      <c r="E3940" s="3" t="s">
        <v>751</v>
      </c>
      <c r="F3940" s="7">
        <v>45826.571158400206</v>
      </c>
      <c r="G3940" s="3" t="s">
        <v>12301</v>
      </c>
    </row>
    <row r="3941">
      <c r="A3941" s="3" t="s">
        <v>12302</v>
      </c>
      <c r="B3941" s="3" t="s">
        <v>3998</v>
      </c>
      <c r="C3941" s="5" t="s">
        <v>221</v>
      </c>
      <c r="D3941" s="3" t="s">
        <v>614</v>
      </c>
      <c r="E3941" s="3" t="s">
        <v>118</v>
      </c>
      <c r="F3941" s="7">
        <v>45826.574630622425</v>
      </c>
      <c r="G3941" s="3" t="s">
        <v>12304</v>
      </c>
    </row>
    <row r="3942">
      <c r="A3942" s="3" t="s">
        <v>12305</v>
      </c>
      <c r="B3942" s="3" t="s">
        <v>3998</v>
      </c>
      <c r="C3942" s="5" t="s">
        <v>614</v>
      </c>
      <c r="D3942" s="3" t="s">
        <v>206</v>
      </c>
      <c r="E3942" s="3" t="s">
        <v>100</v>
      </c>
      <c r="F3942" s="7">
        <v>45826.57810284465</v>
      </c>
      <c r="G3942" s="3" t="s">
        <v>12307</v>
      </c>
    </row>
    <row r="3943">
      <c r="A3943" s="3" t="s">
        <v>12308</v>
      </c>
      <c r="B3943" s="3" t="s">
        <v>3998</v>
      </c>
      <c r="C3943" s="5" t="s">
        <v>206</v>
      </c>
      <c r="D3943" s="3" t="s">
        <v>68</v>
      </c>
      <c r="E3943" s="3" t="s">
        <v>100</v>
      </c>
      <c r="F3943" s="7">
        <v>45826.58157506687</v>
      </c>
      <c r="G3943" s="3" t="s">
        <v>12310</v>
      </c>
    </row>
    <row r="3944">
      <c r="A3944" s="3" t="s">
        <v>12311</v>
      </c>
      <c r="B3944" s="3" t="s">
        <v>4001</v>
      </c>
      <c r="C3944" s="5" t="s">
        <v>45</v>
      </c>
      <c r="D3944" s="3" t="s">
        <v>221</v>
      </c>
      <c r="E3944" s="3" t="s">
        <v>669</v>
      </c>
      <c r="F3944" s="7">
        <v>45826.642333245625</v>
      </c>
      <c r="G3944" s="3" t="s">
        <v>5171</v>
      </c>
    </row>
    <row r="3945">
      <c r="A3945" s="3" t="s">
        <v>12314</v>
      </c>
      <c r="B3945" s="3" t="s">
        <v>4001</v>
      </c>
      <c r="C3945" s="5" t="s">
        <v>221</v>
      </c>
      <c r="D3945" s="3" t="s">
        <v>614</v>
      </c>
      <c r="E3945" s="3" t="s">
        <v>118</v>
      </c>
      <c r="F3945" s="7">
        <v>45826.645805467844</v>
      </c>
      <c r="G3945" s="3" t="s">
        <v>12316</v>
      </c>
    </row>
    <row r="3946">
      <c r="A3946" s="3" t="s">
        <v>12317</v>
      </c>
      <c r="B3946" s="3" t="s">
        <v>4001</v>
      </c>
      <c r="C3946" s="5" t="s">
        <v>614</v>
      </c>
      <c r="D3946" s="3" t="s">
        <v>206</v>
      </c>
      <c r="E3946" s="3" t="s">
        <v>100</v>
      </c>
      <c r="F3946" s="7">
        <v>45826.64927769007</v>
      </c>
      <c r="G3946" s="3" t="s">
        <v>12319</v>
      </c>
    </row>
    <row r="3947">
      <c r="A3947" s="3" t="s">
        <v>12320</v>
      </c>
      <c r="B3947" s="3" t="s">
        <v>4001</v>
      </c>
      <c r="C3947" s="5" t="s">
        <v>206</v>
      </c>
      <c r="D3947" s="3" t="s">
        <v>68</v>
      </c>
      <c r="E3947" s="3" t="s">
        <v>100</v>
      </c>
      <c r="F3947" s="7">
        <v>45826.65274991229</v>
      </c>
      <c r="G3947" s="3" t="s">
        <v>12322</v>
      </c>
    </row>
    <row r="3948">
      <c r="A3948" s="3" t="s">
        <v>12323</v>
      </c>
      <c r="B3948" s="3" t="s">
        <v>4004</v>
      </c>
      <c r="C3948" s="5" t="s">
        <v>45</v>
      </c>
      <c r="D3948" s="3" t="s">
        <v>221</v>
      </c>
      <c r="E3948" s="3" t="s">
        <v>239</v>
      </c>
      <c r="F3948" s="7">
        <v>45826.71350809104</v>
      </c>
      <c r="G3948" s="3" t="s">
        <v>5833</v>
      </c>
    </row>
    <row r="3949">
      <c r="A3949" s="3" t="s">
        <v>12326</v>
      </c>
      <c r="B3949" s="3" t="s">
        <v>4004</v>
      </c>
      <c r="C3949" s="5" t="s">
        <v>221</v>
      </c>
      <c r="D3949" s="3" t="s">
        <v>614</v>
      </c>
      <c r="E3949" s="3" t="s">
        <v>118</v>
      </c>
      <c r="F3949" s="7">
        <v>45826.71698031326</v>
      </c>
      <c r="G3949" s="3" t="s">
        <v>5836</v>
      </c>
    </row>
    <row r="3950">
      <c r="A3950" s="3" t="s">
        <v>12328</v>
      </c>
      <c r="B3950" s="3" t="s">
        <v>4004</v>
      </c>
      <c r="C3950" s="5" t="s">
        <v>614</v>
      </c>
      <c r="D3950" s="3" t="s">
        <v>206</v>
      </c>
      <c r="E3950" s="3" t="s">
        <v>100</v>
      </c>
      <c r="F3950" s="7">
        <v>45826.72045253548</v>
      </c>
      <c r="G3950" s="3" t="s">
        <v>5839</v>
      </c>
    </row>
    <row r="3951">
      <c r="A3951" s="3" t="s">
        <v>12330</v>
      </c>
      <c r="B3951" s="3" t="s">
        <v>4004</v>
      </c>
      <c r="C3951" s="5" t="s">
        <v>206</v>
      </c>
      <c r="D3951" s="3" t="s">
        <v>68</v>
      </c>
      <c r="E3951" s="3" t="s">
        <v>100</v>
      </c>
      <c r="F3951" s="7">
        <v>45826.7239247577</v>
      </c>
      <c r="G3951" s="3" t="s">
        <v>5842</v>
      </c>
    </row>
    <row r="3952">
      <c r="A3952" s="3" t="s">
        <v>12332</v>
      </c>
      <c r="B3952" s="3" t="s">
        <v>4008</v>
      </c>
      <c r="C3952" s="5" t="s">
        <v>45</v>
      </c>
      <c r="D3952" s="3" t="s">
        <v>221</v>
      </c>
      <c r="E3952" s="3" t="s">
        <v>310</v>
      </c>
      <c r="F3952" s="7">
        <v>45826.78468293645</v>
      </c>
      <c r="G3952" s="3" t="s">
        <v>12334</v>
      </c>
    </row>
    <row r="3953">
      <c r="A3953" s="3" t="s">
        <v>12335</v>
      </c>
      <c r="B3953" s="3" t="s">
        <v>4008</v>
      </c>
      <c r="C3953" s="5" t="s">
        <v>221</v>
      </c>
      <c r="D3953" s="3" t="s">
        <v>614</v>
      </c>
      <c r="E3953" s="3" t="s">
        <v>118</v>
      </c>
      <c r="F3953" s="7">
        <v>45826.78815515867</v>
      </c>
      <c r="G3953" s="3" t="s">
        <v>12337</v>
      </c>
    </row>
    <row r="3954">
      <c r="A3954" s="3" t="s">
        <v>12338</v>
      </c>
      <c r="B3954" s="3" t="s">
        <v>4008</v>
      </c>
      <c r="C3954" s="5" t="s">
        <v>614</v>
      </c>
      <c r="D3954" s="3" t="s">
        <v>206</v>
      </c>
      <c r="E3954" s="3" t="s">
        <v>100</v>
      </c>
      <c r="F3954" s="7">
        <v>45826.791627380895</v>
      </c>
      <c r="G3954" s="3" t="s">
        <v>12340</v>
      </c>
    </row>
    <row r="3955">
      <c r="A3955" s="3" t="s">
        <v>12341</v>
      </c>
      <c r="B3955" s="3" t="s">
        <v>4008</v>
      </c>
      <c r="C3955" s="5" t="s">
        <v>206</v>
      </c>
      <c r="D3955" s="3" t="s">
        <v>68</v>
      </c>
      <c r="E3955" s="3" t="s">
        <v>100</v>
      </c>
      <c r="F3955" s="7">
        <v>45826.795099603114</v>
      </c>
      <c r="G3955" s="3" t="s">
        <v>12342</v>
      </c>
    </row>
    <row r="3956">
      <c r="A3956" s="3" t="s">
        <v>12344</v>
      </c>
      <c r="B3956" s="3" t="s">
        <v>4011</v>
      </c>
      <c r="C3956" s="5" t="s">
        <v>45</v>
      </c>
      <c r="D3956" s="3" t="s">
        <v>221</v>
      </c>
      <c r="E3956" s="3" t="s">
        <v>135</v>
      </c>
      <c r="F3956" s="7">
        <v>45826.85585778187</v>
      </c>
      <c r="G3956" s="3" t="s">
        <v>11626</v>
      </c>
    </row>
    <row r="3957">
      <c r="A3957" s="3" t="s">
        <v>12346</v>
      </c>
      <c r="B3957" s="3" t="s">
        <v>4011</v>
      </c>
      <c r="C3957" s="5" t="s">
        <v>221</v>
      </c>
      <c r="D3957" s="3" t="s">
        <v>614</v>
      </c>
      <c r="E3957" s="3" t="s">
        <v>118</v>
      </c>
      <c r="F3957" s="7">
        <v>45826.85933000409</v>
      </c>
      <c r="G3957" s="3" t="s">
        <v>11629</v>
      </c>
    </row>
    <row r="3958">
      <c r="A3958" s="3" t="s">
        <v>12347</v>
      </c>
      <c r="B3958" s="3" t="s">
        <v>4011</v>
      </c>
      <c r="C3958" s="5" t="s">
        <v>614</v>
      </c>
      <c r="D3958" s="3" t="s">
        <v>206</v>
      </c>
      <c r="E3958" s="3" t="s">
        <v>100</v>
      </c>
      <c r="F3958" s="7">
        <v>45826.862802226315</v>
      </c>
      <c r="G3958" s="3" t="s">
        <v>11633</v>
      </c>
    </row>
    <row r="3959">
      <c r="A3959" s="3" t="s">
        <v>12349</v>
      </c>
      <c r="B3959" s="3" t="s">
        <v>4011</v>
      </c>
      <c r="C3959" s="5" t="s">
        <v>206</v>
      </c>
      <c r="D3959" s="3" t="s">
        <v>68</v>
      </c>
      <c r="E3959" s="3" t="s">
        <v>100</v>
      </c>
      <c r="F3959" s="7">
        <v>45826.866274448534</v>
      </c>
      <c r="G3959" s="3" t="s">
        <v>11636</v>
      </c>
    </row>
    <row r="3960">
      <c r="A3960" s="3" t="s">
        <v>12351</v>
      </c>
      <c r="B3960" s="3" t="s">
        <v>4015</v>
      </c>
      <c r="C3960" s="5" t="s">
        <v>45</v>
      </c>
      <c r="D3960" s="3" t="s">
        <v>221</v>
      </c>
      <c r="E3960" s="3" t="s">
        <v>326</v>
      </c>
      <c r="F3960" s="7">
        <v>45826.92703262729</v>
      </c>
      <c r="G3960" s="3" t="s">
        <v>12353</v>
      </c>
    </row>
    <row r="3961">
      <c r="A3961" s="3" t="s">
        <v>12354</v>
      </c>
      <c r="B3961" s="3" t="s">
        <v>4015</v>
      </c>
      <c r="C3961" s="5" t="s">
        <v>221</v>
      </c>
      <c r="D3961" s="3" t="s">
        <v>614</v>
      </c>
      <c r="E3961" s="3" t="s">
        <v>118</v>
      </c>
      <c r="F3961" s="7">
        <v>45826.93050484951</v>
      </c>
      <c r="G3961" s="3" t="s">
        <v>12356</v>
      </c>
    </row>
    <row r="3962">
      <c r="A3962" s="3" t="s">
        <v>12357</v>
      </c>
      <c r="B3962" s="3" t="s">
        <v>4015</v>
      </c>
      <c r="C3962" s="5" t="s">
        <v>614</v>
      </c>
      <c r="D3962" s="3" t="s">
        <v>206</v>
      </c>
      <c r="E3962" s="3" t="s">
        <v>100</v>
      </c>
      <c r="F3962" s="7">
        <v>45826.933977071734</v>
      </c>
      <c r="G3962" s="3" t="s">
        <v>12358</v>
      </c>
    </row>
    <row r="3963">
      <c r="A3963" s="3" t="s">
        <v>12359</v>
      </c>
      <c r="B3963" s="3" t="s">
        <v>4015</v>
      </c>
      <c r="C3963" s="5" t="s">
        <v>206</v>
      </c>
      <c r="D3963" s="3" t="s">
        <v>68</v>
      </c>
      <c r="E3963" s="3" t="s">
        <v>100</v>
      </c>
      <c r="F3963" s="7">
        <v>45826.93744929395</v>
      </c>
      <c r="G3963" s="3" t="s">
        <v>12361</v>
      </c>
    </row>
    <row r="3964">
      <c r="A3964" s="3" t="s">
        <v>12362</v>
      </c>
      <c r="B3964" s="3" t="s">
        <v>4018</v>
      </c>
      <c r="C3964" s="5" t="s">
        <v>45</v>
      </c>
      <c r="D3964" s="3" t="s">
        <v>221</v>
      </c>
      <c r="E3964" s="3" t="s">
        <v>778</v>
      </c>
      <c r="F3964" s="7">
        <v>45826.998207472694</v>
      </c>
      <c r="G3964" s="3" t="s">
        <v>12364</v>
      </c>
    </row>
    <row r="3965">
      <c r="A3965" s="3" t="s">
        <v>12365</v>
      </c>
      <c r="B3965" s="3" t="s">
        <v>4018</v>
      </c>
      <c r="C3965" s="5" t="s">
        <v>221</v>
      </c>
      <c r="D3965" s="3" t="s">
        <v>614</v>
      </c>
      <c r="E3965" s="3" t="s">
        <v>118</v>
      </c>
      <c r="F3965" s="7">
        <v>45827.00167969491</v>
      </c>
      <c r="G3965" s="3" t="s">
        <v>12366</v>
      </c>
    </row>
    <row r="3966">
      <c r="A3966" s="3" t="s">
        <v>12368</v>
      </c>
      <c r="B3966" s="3" t="s">
        <v>4018</v>
      </c>
      <c r="C3966" s="5" t="s">
        <v>614</v>
      </c>
      <c r="D3966" s="3" t="s">
        <v>206</v>
      </c>
      <c r="E3966" s="3" t="s">
        <v>100</v>
      </c>
      <c r="F3966" s="7">
        <v>45827.00515191714</v>
      </c>
      <c r="G3966" s="3" t="s">
        <v>12369</v>
      </c>
    </row>
    <row r="3967">
      <c r="A3967" s="3" t="s">
        <v>12370</v>
      </c>
      <c r="B3967" s="3" t="s">
        <v>4018</v>
      </c>
      <c r="C3967" s="5" t="s">
        <v>206</v>
      </c>
      <c r="D3967" s="3" t="s">
        <v>68</v>
      </c>
      <c r="E3967" s="3" t="s">
        <v>100</v>
      </c>
      <c r="F3967" s="7">
        <v>45827.00862413936</v>
      </c>
      <c r="G3967" s="3" t="s">
        <v>12372</v>
      </c>
    </row>
    <row r="3968">
      <c r="A3968" s="3" t="s">
        <v>12373</v>
      </c>
      <c r="B3968" s="3" t="s">
        <v>4021</v>
      </c>
      <c r="C3968" s="5" t="s">
        <v>45</v>
      </c>
      <c r="D3968" s="3" t="s">
        <v>221</v>
      </c>
      <c r="E3968" s="3" t="s">
        <v>269</v>
      </c>
      <c r="F3968" s="7">
        <v>45827.069382318114</v>
      </c>
      <c r="G3968" s="3" t="s">
        <v>11547</v>
      </c>
    </row>
    <row r="3969">
      <c r="A3969" s="3" t="s">
        <v>12375</v>
      </c>
      <c r="B3969" s="3" t="s">
        <v>4021</v>
      </c>
      <c r="C3969" s="5" t="s">
        <v>221</v>
      </c>
      <c r="D3969" s="3" t="s">
        <v>614</v>
      </c>
      <c r="E3969" s="3" t="s">
        <v>118</v>
      </c>
      <c r="F3969" s="7">
        <v>45827.07285454033</v>
      </c>
      <c r="G3969" s="3" t="s">
        <v>11550</v>
      </c>
    </row>
    <row r="3970">
      <c r="A3970" s="3" t="s">
        <v>12377</v>
      </c>
      <c r="B3970" s="3" t="s">
        <v>4021</v>
      </c>
      <c r="C3970" s="5" t="s">
        <v>614</v>
      </c>
      <c r="D3970" s="3" t="s">
        <v>206</v>
      </c>
      <c r="E3970" s="3" t="s">
        <v>100</v>
      </c>
      <c r="F3970" s="7">
        <v>45827.07632676256</v>
      </c>
      <c r="G3970" s="3" t="s">
        <v>11553</v>
      </c>
    </row>
    <row r="3971">
      <c r="A3971" s="3" t="s">
        <v>12379</v>
      </c>
      <c r="B3971" s="3" t="s">
        <v>4021</v>
      </c>
      <c r="C3971" s="5" t="s">
        <v>206</v>
      </c>
      <c r="D3971" s="3" t="s">
        <v>68</v>
      </c>
      <c r="E3971" s="3" t="s">
        <v>100</v>
      </c>
      <c r="F3971" s="7">
        <v>45827.07979898478</v>
      </c>
      <c r="G3971" s="3" t="s">
        <v>11557</v>
      </c>
    </row>
    <row r="3972">
      <c r="A3972" s="3" t="s">
        <v>12381</v>
      </c>
      <c r="B3972" s="3" t="s">
        <v>4024</v>
      </c>
      <c r="C3972" s="5" t="s">
        <v>45</v>
      </c>
      <c r="D3972" s="3" t="s">
        <v>221</v>
      </c>
      <c r="E3972" s="3" t="s">
        <v>937</v>
      </c>
      <c r="F3972" s="7">
        <v>45827.14055716353</v>
      </c>
      <c r="G3972" s="3" t="s">
        <v>12383</v>
      </c>
    </row>
    <row r="3973">
      <c r="A3973" s="3" t="s">
        <v>12384</v>
      </c>
      <c r="B3973" s="3" t="s">
        <v>4024</v>
      </c>
      <c r="C3973" s="5" t="s">
        <v>221</v>
      </c>
      <c r="D3973" s="3" t="s">
        <v>614</v>
      </c>
      <c r="E3973" s="3" t="s">
        <v>118</v>
      </c>
      <c r="F3973" s="7">
        <v>45827.14402938575</v>
      </c>
      <c r="G3973" s="3" t="s">
        <v>12385</v>
      </c>
    </row>
    <row r="3974">
      <c r="A3974" s="3" t="s">
        <v>12387</v>
      </c>
      <c r="B3974" s="3" t="s">
        <v>4024</v>
      </c>
      <c r="C3974" s="5" t="s">
        <v>614</v>
      </c>
      <c r="D3974" s="3" t="s">
        <v>206</v>
      </c>
      <c r="E3974" s="3" t="s">
        <v>100</v>
      </c>
      <c r="F3974" s="7">
        <v>45827.14750160798</v>
      </c>
      <c r="G3974" s="3" t="s">
        <v>12388</v>
      </c>
    </row>
    <row r="3975">
      <c r="A3975" s="3" t="s">
        <v>12389</v>
      </c>
      <c r="B3975" s="3" t="s">
        <v>4024</v>
      </c>
      <c r="C3975" s="5" t="s">
        <v>206</v>
      </c>
      <c r="D3975" s="3" t="s">
        <v>68</v>
      </c>
      <c r="E3975" s="3" t="s">
        <v>100</v>
      </c>
      <c r="F3975" s="7">
        <v>45827.1509738302</v>
      </c>
      <c r="G3975" s="3" t="s">
        <v>12391</v>
      </c>
    </row>
    <row r="3976">
      <c r="A3976" s="3" t="s">
        <v>12392</v>
      </c>
      <c r="B3976" s="3" t="s">
        <v>4027</v>
      </c>
      <c r="C3976" s="5" t="s">
        <v>45</v>
      </c>
      <c r="D3976" s="3" t="s">
        <v>221</v>
      </c>
      <c r="E3976" s="3" t="s">
        <v>722</v>
      </c>
      <c r="F3976" s="7">
        <v>45827.211732008946</v>
      </c>
      <c r="G3976" s="3" t="s">
        <v>12394</v>
      </c>
    </row>
    <row r="3977">
      <c r="A3977" s="3" t="s">
        <v>12395</v>
      </c>
      <c r="B3977" s="3" t="s">
        <v>4027</v>
      </c>
      <c r="C3977" s="5" t="s">
        <v>221</v>
      </c>
      <c r="D3977" s="3" t="s">
        <v>614</v>
      </c>
      <c r="E3977" s="3" t="s">
        <v>118</v>
      </c>
      <c r="F3977" s="7">
        <v>45827.215204231165</v>
      </c>
      <c r="G3977" s="3" t="s">
        <v>12397</v>
      </c>
    </row>
    <row r="3978">
      <c r="A3978" s="3" t="s">
        <v>12398</v>
      </c>
      <c r="B3978" s="3" t="s">
        <v>4027</v>
      </c>
      <c r="C3978" s="5" t="s">
        <v>614</v>
      </c>
      <c r="D3978" s="3" t="s">
        <v>206</v>
      </c>
      <c r="E3978" s="3" t="s">
        <v>100</v>
      </c>
      <c r="F3978" s="7">
        <v>45827.21867645339</v>
      </c>
      <c r="G3978" s="3" t="s">
        <v>12400</v>
      </c>
    </row>
    <row r="3979">
      <c r="A3979" s="3" t="s">
        <v>12401</v>
      </c>
      <c r="B3979" s="3" t="s">
        <v>4027</v>
      </c>
      <c r="C3979" s="5" t="s">
        <v>206</v>
      </c>
      <c r="D3979" s="3" t="s">
        <v>68</v>
      </c>
      <c r="E3979" s="3" t="s">
        <v>100</v>
      </c>
      <c r="F3979" s="7">
        <v>45827.22214867561</v>
      </c>
      <c r="G3979" s="3" t="s">
        <v>12402</v>
      </c>
    </row>
    <row r="3980">
      <c r="A3980" s="3" t="s">
        <v>12403</v>
      </c>
      <c r="B3980" s="3" t="s">
        <v>4030</v>
      </c>
      <c r="C3980" s="5" t="s">
        <v>45</v>
      </c>
      <c r="D3980" s="3" t="s">
        <v>221</v>
      </c>
      <c r="E3980" s="3" t="s">
        <v>498</v>
      </c>
      <c r="F3980" s="7">
        <v>45827.28290685436</v>
      </c>
      <c r="G3980" s="3" t="s">
        <v>12405</v>
      </c>
    </row>
    <row r="3981">
      <c r="A3981" s="3" t="s">
        <v>12406</v>
      </c>
      <c r="B3981" s="3" t="s">
        <v>4030</v>
      </c>
      <c r="C3981" s="5" t="s">
        <v>221</v>
      </c>
      <c r="D3981" s="3" t="s">
        <v>614</v>
      </c>
      <c r="E3981" s="3" t="s">
        <v>118</v>
      </c>
      <c r="F3981" s="7">
        <v>45827.28637907658</v>
      </c>
      <c r="G3981" s="3" t="s">
        <v>12408</v>
      </c>
    </row>
    <row r="3982">
      <c r="A3982" s="3" t="s">
        <v>12409</v>
      </c>
      <c r="B3982" s="3" t="s">
        <v>4030</v>
      </c>
      <c r="C3982" s="5" t="s">
        <v>614</v>
      </c>
      <c r="D3982" s="3" t="s">
        <v>206</v>
      </c>
      <c r="E3982" s="3" t="s">
        <v>100</v>
      </c>
      <c r="F3982" s="7">
        <v>45827.2898512988</v>
      </c>
      <c r="G3982" s="3" t="s">
        <v>12411</v>
      </c>
    </row>
    <row r="3983">
      <c r="A3983" s="3" t="s">
        <v>12412</v>
      </c>
      <c r="B3983" s="3" t="s">
        <v>4030</v>
      </c>
      <c r="C3983" s="5" t="s">
        <v>206</v>
      </c>
      <c r="D3983" s="3" t="s">
        <v>68</v>
      </c>
      <c r="E3983" s="3" t="s">
        <v>100</v>
      </c>
      <c r="F3983" s="7">
        <v>45827.29332352102</v>
      </c>
      <c r="G3983" s="3" t="s">
        <v>12414</v>
      </c>
    </row>
    <row r="3984">
      <c r="A3984" s="3" t="s">
        <v>12415</v>
      </c>
      <c r="B3984" s="3" t="s">
        <v>4033</v>
      </c>
      <c r="C3984" s="5" t="s">
        <v>45</v>
      </c>
      <c r="D3984" s="3" t="s">
        <v>221</v>
      </c>
      <c r="E3984" s="3" t="s">
        <v>269</v>
      </c>
      <c r="F3984" s="7">
        <v>45827.35408169978</v>
      </c>
      <c r="G3984" s="3" t="s">
        <v>11547</v>
      </c>
    </row>
    <row r="3985">
      <c r="A3985" s="3" t="s">
        <v>12417</v>
      </c>
      <c r="B3985" s="3" t="s">
        <v>4033</v>
      </c>
      <c r="C3985" s="5" t="s">
        <v>221</v>
      </c>
      <c r="D3985" s="3" t="s">
        <v>195</v>
      </c>
      <c r="E3985" s="3" t="s">
        <v>269</v>
      </c>
      <c r="F3985" s="7">
        <v>45827.357553922</v>
      </c>
      <c r="G3985" s="3" t="s">
        <v>12419</v>
      </c>
    </row>
    <row r="3986">
      <c r="A3986" s="3" t="s">
        <v>12420</v>
      </c>
      <c r="B3986" s="3" t="s">
        <v>4036</v>
      </c>
      <c r="C3986" s="5" t="s">
        <v>45</v>
      </c>
      <c r="D3986" s="3" t="s">
        <v>221</v>
      </c>
      <c r="E3986" s="3" t="s">
        <v>541</v>
      </c>
      <c r="F3986" s="7">
        <v>45827.42525654519</v>
      </c>
      <c r="G3986" s="3" t="s">
        <v>12422</v>
      </c>
    </row>
    <row r="3987">
      <c r="A3987" s="3" t="s">
        <v>12423</v>
      </c>
      <c r="B3987" s="3" t="s">
        <v>4036</v>
      </c>
      <c r="C3987" s="5" t="s">
        <v>221</v>
      </c>
      <c r="D3987" s="3" t="s">
        <v>614</v>
      </c>
      <c r="E3987" s="3" t="s">
        <v>118</v>
      </c>
      <c r="F3987" s="7">
        <v>45827.42872876741</v>
      </c>
      <c r="G3987" s="3" t="s">
        <v>12424</v>
      </c>
    </row>
    <row r="3988">
      <c r="A3988" s="3" t="s">
        <v>12425</v>
      </c>
      <c r="B3988" s="3" t="s">
        <v>4036</v>
      </c>
      <c r="C3988" s="5" t="s">
        <v>614</v>
      </c>
      <c r="D3988" s="3" t="s">
        <v>206</v>
      </c>
      <c r="E3988" s="3" t="s">
        <v>100</v>
      </c>
      <c r="F3988" s="7">
        <v>45827.432200989635</v>
      </c>
      <c r="G3988" s="3" t="s">
        <v>12427</v>
      </c>
    </row>
    <row r="3989">
      <c r="A3989" s="3" t="s">
        <v>12429</v>
      </c>
      <c r="B3989" s="3" t="s">
        <v>4036</v>
      </c>
      <c r="C3989" s="5" t="s">
        <v>206</v>
      </c>
      <c r="D3989" s="3" t="s">
        <v>68</v>
      </c>
      <c r="E3989" s="3" t="s">
        <v>100</v>
      </c>
      <c r="F3989" s="7">
        <v>45827.435673211854</v>
      </c>
      <c r="G3989" s="3" t="s">
        <v>12431</v>
      </c>
    </row>
    <row r="3990">
      <c r="A3990" s="3" t="s">
        <v>12432</v>
      </c>
      <c r="B3990" s="3" t="s">
        <v>4039</v>
      </c>
      <c r="C3990" s="5" t="s">
        <v>45</v>
      </c>
      <c r="D3990" s="3" t="s">
        <v>221</v>
      </c>
      <c r="E3990" s="3" t="s">
        <v>179</v>
      </c>
      <c r="F3990" s="7">
        <v>45827.4964313906</v>
      </c>
      <c r="G3990" s="3" t="s">
        <v>2770</v>
      </c>
    </row>
    <row r="3991">
      <c r="A3991" s="3" t="s">
        <v>12434</v>
      </c>
      <c r="B3991" s="3" t="s">
        <v>4039</v>
      </c>
      <c r="C3991" s="5" t="s">
        <v>221</v>
      </c>
      <c r="D3991" s="3" t="s">
        <v>195</v>
      </c>
      <c r="E3991" s="3" t="s">
        <v>179</v>
      </c>
      <c r="F3991" s="7">
        <v>45827.49990361282</v>
      </c>
      <c r="G3991" s="3" t="s">
        <v>3055</v>
      </c>
    </row>
    <row r="3992">
      <c r="A3992" s="3" t="s">
        <v>12436</v>
      </c>
      <c r="B3992" s="3" t="s">
        <v>4042</v>
      </c>
      <c r="C3992" s="5" t="s">
        <v>45</v>
      </c>
      <c r="D3992" s="3" t="s">
        <v>221</v>
      </c>
      <c r="E3992" s="3" t="s">
        <v>126</v>
      </c>
      <c r="F3992" s="7">
        <v>45827.56760623602</v>
      </c>
      <c r="G3992" s="3" t="s">
        <v>12438</v>
      </c>
    </row>
    <row r="3993">
      <c r="A3993" s="3" t="s">
        <v>12439</v>
      </c>
      <c r="B3993" s="3" t="s">
        <v>4042</v>
      </c>
      <c r="C3993" s="5" t="s">
        <v>221</v>
      </c>
      <c r="D3993" s="3" t="s">
        <v>614</v>
      </c>
      <c r="E3993" s="3" t="s">
        <v>118</v>
      </c>
      <c r="F3993" s="7">
        <v>45827.57107845824</v>
      </c>
      <c r="G3993" s="3" t="s">
        <v>12440</v>
      </c>
    </row>
    <row r="3994">
      <c r="A3994" s="3" t="s">
        <v>12441</v>
      </c>
      <c r="B3994" s="3" t="s">
        <v>4042</v>
      </c>
      <c r="C3994" s="5" t="s">
        <v>614</v>
      </c>
      <c r="D3994" s="3" t="s">
        <v>206</v>
      </c>
      <c r="E3994" s="3" t="s">
        <v>100</v>
      </c>
      <c r="F3994" s="7">
        <v>45827.57455068047</v>
      </c>
      <c r="G3994" s="3" t="s">
        <v>12443</v>
      </c>
    </row>
    <row r="3995">
      <c r="A3995" s="3" t="s">
        <v>12444</v>
      </c>
      <c r="B3995" s="3" t="s">
        <v>4042</v>
      </c>
      <c r="C3995" s="5" t="s">
        <v>206</v>
      </c>
      <c r="D3995" s="3" t="s">
        <v>68</v>
      </c>
      <c r="E3995" s="3" t="s">
        <v>100</v>
      </c>
      <c r="F3995" s="7">
        <v>45827.578022902686</v>
      </c>
      <c r="G3995" s="3" t="s">
        <v>12446</v>
      </c>
    </row>
    <row r="3996">
      <c r="A3996" s="3" t="s">
        <v>12447</v>
      </c>
      <c r="B3996" s="3" t="s">
        <v>4045</v>
      </c>
      <c r="C3996" s="5" t="s">
        <v>45</v>
      </c>
      <c r="D3996" s="3" t="s">
        <v>221</v>
      </c>
      <c r="E3996" s="3" t="s">
        <v>1011</v>
      </c>
      <c r="F3996" s="7">
        <v>45827.638781081434</v>
      </c>
      <c r="G3996" s="3" t="s">
        <v>2770</v>
      </c>
    </row>
    <row r="3997">
      <c r="A3997" s="3" t="s">
        <v>12450</v>
      </c>
      <c r="B3997" s="3" t="s">
        <v>4045</v>
      </c>
      <c r="C3997" s="5" t="s">
        <v>221</v>
      </c>
      <c r="D3997" s="3" t="s">
        <v>181</v>
      </c>
      <c r="E3997" s="3" t="s">
        <v>118</v>
      </c>
      <c r="F3997" s="7">
        <v>45827.64225330365</v>
      </c>
      <c r="G3997" s="3" t="s">
        <v>2774</v>
      </c>
    </row>
    <row r="3998">
      <c r="A3998" s="3" t="s">
        <v>12452</v>
      </c>
      <c r="B3998" s="3" t="s">
        <v>4048</v>
      </c>
      <c r="C3998" s="5" t="s">
        <v>45</v>
      </c>
      <c r="D3998" s="3" t="s">
        <v>221</v>
      </c>
      <c r="E3998" s="3" t="s">
        <v>151</v>
      </c>
      <c r="F3998" s="7">
        <v>45827.709955926846</v>
      </c>
      <c r="G3998" s="3" t="s">
        <v>12454</v>
      </c>
    </row>
    <row r="3999">
      <c r="A3999" s="3" t="s">
        <v>12455</v>
      </c>
      <c r="B3999" s="3" t="s">
        <v>4048</v>
      </c>
      <c r="C3999" s="5" t="s">
        <v>221</v>
      </c>
      <c r="D3999" s="3" t="s">
        <v>614</v>
      </c>
      <c r="E3999" s="3" t="s">
        <v>118</v>
      </c>
      <c r="F3999" s="7">
        <v>45827.713428149065</v>
      </c>
      <c r="G3999" s="3" t="s">
        <v>12457</v>
      </c>
    </row>
    <row r="4000">
      <c r="A4000" s="3" t="s">
        <v>12458</v>
      </c>
      <c r="B4000" s="3" t="s">
        <v>4048</v>
      </c>
      <c r="C4000" s="5" t="s">
        <v>614</v>
      </c>
      <c r="D4000" s="3" t="s">
        <v>206</v>
      </c>
      <c r="E4000" s="3" t="s">
        <v>100</v>
      </c>
      <c r="F4000" s="7">
        <v>45827.71690037129</v>
      </c>
      <c r="G4000" s="3" t="s">
        <v>12460</v>
      </c>
    </row>
    <row r="4001">
      <c r="A4001" s="3" t="s">
        <v>12461</v>
      </c>
      <c r="B4001" s="3" t="s">
        <v>4048</v>
      </c>
      <c r="C4001" s="5" t="s">
        <v>206</v>
      </c>
      <c r="D4001" s="3" t="s">
        <v>68</v>
      </c>
      <c r="E4001" s="3" t="s">
        <v>100</v>
      </c>
      <c r="F4001" s="7">
        <v>45827.72037259351</v>
      </c>
      <c r="G4001" s="3" t="s">
        <v>12463</v>
      </c>
    </row>
    <row r="4002">
      <c r="A4002" s="3" t="s">
        <v>12465</v>
      </c>
      <c r="B4002" s="3" t="s">
        <v>4052</v>
      </c>
      <c r="C4002" s="5" t="s">
        <v>45</v>
      </c>
      <c r="D4002" s="3" t="s">
        <v>221</v>
      </c>
      <c r="E4002" s="3" t="s">
        <v>373</v>
      </c>
      <c r="F4002" s="7">
        <v>45827.781130772266</v>
      </c>
      <c r="G4002" s="3" t="s">
        <v>9996</v>
      </c>
    </row>
    <row r="4003">
      <c r="A4003" s="3" t="s">
        <v>12467</v>
      </c>
      <c r="B4003" s="3" t="s">
        <v>4052</v>
      </c>
      <c r="C4003" s="5" t="s">
        <v>221</v>
      </c>
      <c r="D4003" s="3" t="s">
        <v>614</v>
      </c>
      <c r="E4003" s="3" t="s">
        <v>118</v>
      </c>
      <c r="F4003" s="7">
        <v>45827.784602994485</v>
      </c>
      <c r="G4003" s="3" t="s">
        <v>12468</v>
      </c>
    </row>
    <row r="4004">
      <c r="A4004" s="3" t="s">
        <v>12469</v>
      </c>
      <c r="B4004" s="3" t="s">
        <v>4052</v>
      </c>
      <c r="C4004" s="5" t="s">
        <v>614</v>
      </c>
      <c r="D4004" s="3" t="s">
        <v>206</v>
      </c>
      <c r="E4004" s="3" t="s">
        <v>100</v>
      </c>
      <c r="F4004" s="7">
        <v>45827.78807521671</v>
      </c>
      <c r="G4004" s="3" t="s">
        <v>12471</v>
      </c>
    </row>
    <row r="4005">
      <c r="A4005" s="3" t="s">
        <v>12472</v>
      </c>
      <c r="B4005" s="3" t="s">
        <v>4052</v>
      </c>
      <c r="C4005" s="5" t="s">
        <v>206</v>
      </c>
      <c r="D4005" s="3" t="s">
        <v>68</v>
      </c>
      <c r="E4005" s="3" t="s">
        <v>100</v>
      </c>
      <c r="F4005" s="7">
        <v>45827.79154743893</v>
      </c>
      <c r="G4005" s="3" t="s">
        <v>12474</v>
      </c>
    </row>
    <row r="4006">
      <c r="A4006" s="3" t="s">
        <v>12475</v>
      </c>
      <c r="B4006" s="3" t="s">
        <v>4056</v>
      </c>
      <c r="C4006" s="5" t="s">
        <v>45</v>
      </c>
      <c r="D4006" s="3" t="s">
        <v>221</v>
      </c>
      <c r="E4006" s="3" t="s">
        <v>208</v>
      </c>
      <c r="F4006" s="7">
        <v>45827.85230561768</v>
      </c>
      <c r="G4006" s="3" t="s">
        <v>11519</v>
      </c>
    </row>
    <row r="4007">
      <c r="A4007" s="3" t="s">
        <v>12477</v>
      </c>
      <c r="B4007" s="3" t="s">
        <v>4056</v>
      </c>
      <c r="C4007" s="5" t="s">
        <v>221</v>
      </c>
      <c r="D4007" s="3" t="s">
        <v>614</v>
      </c>
      <c r="E4007" s="3" t="s">
        <v>118</v>
      </c>
      <c r="F4007" s="7">
        <v>45827.8557778399</v>
      </c>
      <c r="G4007" s="3" t="s">
        <v>12479</v>
      </c>
    </row>
    <row r="4008">
      <c r="A4008" s="3" t="s">
        <v>12480</v>
      </c>
      <c r="B4008" s="3" t="s">
        <v>4056</v>
      </c>
      <c r="C4008" s="5" t="s">
        <v>614</v>
      </c>
      <c r="D4008" s="3" t="s">
        <v>206</v>
      </c>
      <c r="E4008" s="3" t="s">
        <v>100</v>
      </c>
      <c r="F4008" s="7">
        <v>45827.85925006212</v>
      </c>
      <c r="G4008" s="3" t="s">
        <v>12481</v>
      </c>
    </row>
    <row r="4009">
      <c r="A4009" s="3" t="s">
        <v>12483</v>
      </c>
      <c r="B4009" s="3" t="s">
        <v>4056</v>
      </c>
      <c r="C4009" s="5" t="s">
        <v>206</v>
      </c>
      <c r="D4009" s="3" t="s">
        <v>68</v>
      </c>
      <c r="E4009" s="3" t="s">
        <v>100</v>
      </c>
      <c r="F4009" s="7">
        <v>45827.86272228434</v>
      </c>
      <c r="G4009" s="3" t="s">
        <v>12485</v>
      </c>
    </row>
    <row r="4010">
      <c r="A4010" s="3" t="s">
        <v>12486</v>
      </c>
      <c r="B4010" s="3" t="s">
        <v>4059</v>
      </c>
      <c r="C4010" s="5" t="s">
        <v>45</v>
      </c>
      <c r="D4010" s="3" t="s">
        <v>221</v>
      </c>
      <c r="E4010" s="3" t="s">
        <v>247</v>
      </c>
      <c r="F4010" s="7">
        <v>45827.92348046309</v>
      </c>
      <c r="G4010" s="3" t="s">
        <v>12488</v>
      </c>
    </row>
    <row r="4011">
      <c r="A4011" s="3" t="s">
        <v>12489</v>
      </c>
      <c r="B4011" s="3" t="s">
        <v>4059</v>
      </c>
      <c r="C4011" s="5" t="s">
        <v>221</v>
      </c>
      <c r="D4011" s="3" t="s">
        <v>614</v>
      </c>
      <c r="E4011" s="3" t="s">
        <v>118</v>
      </c>
      <c r="F4011" s="7">
        <v>45827.92695268531</v>
      </c>
      <c r="G4011" s="3" t="s">
        <v>12491</v>
      </c>
    </row>
    <row r="4012">
      <c r="A4012" s="3" t="s">
        <v>12492</v>
      </c>
      <c r="B4012" s="3" t="s">
        <v>4059</v>
      </c>
      <c r="C4012" s="5" t="s">
        <v>614</v>
      </c>
      <c r="D4012" s="3" t="s">
        <v>206</v>
      </c>
      <c r="E4012" s="3" t="s">
        <v>100</v>
      </c>
      <c r="F4012" s="7">
        <v>45827.930424907536</v>
      </c>
      <c r="G4012" s="3" t="s">
        <v>12494</v>
      </c>
    </row>
    <row r="4013">
      <c r="A4013" s="3" t="s">
        <v>12495</v>
      </c>
      <c r="B4013" s="3" t="s">
        <v>4059</v>
      </c>
      <c r="C4013" s="5" t="s">
        <v>206</v>
      </c>
      <c r="D4013" s="3" t="s">
        <v>68</v>
      </c>
      <c r="E4013" s="3" t="s">
        <v>100</v>
      </c>
      <c r="F4013" s="7">
        <v>45827.933897129755</v>
      </c>
      <c r="G4013" s="3" t="s">
        <v>12497</v>
      </c>
    </row>
    <row r="4014">
      <c r="A4014" s="3" t="s">
        <v>12498</v>
      </c>
      <c r="B4014" s="3" t="s">
        <v>4062</v>
      </c>
      <c r="C4014" s="5" t="s">
        <v>45</v>
      </c>
      <c r="D4014" s="3" t="s">
        <v>221</v>
      </c>
      <c r="E4014" s="3" t="s">
        <v>383</v>
      </c>
      <c r="F4014" s="7">
        <v>45827.99465530851</v>
      </c>
      <c r="G4014" s="3" t="s">
        <v>12500</v>
      </c>
    </row>
    <row r="4015">
      <c r="A4015" s="3" t="s">
        <v>12501</v>
      </c>
      <c r="B4015" s="3" t="s">
        <v>4062</v>
      </c>
      <c r="C4015" s="5" t="s">
        <v>221</v>
      </c>
      <c r="D4015" s="3" t="s">
        <v>614</v>
      </c>
      <c r="E4015" s="3" t="s">
        <v>118</v>
      </c>
      <c r="F4015" s="7">
        <v>45827.99812753073</v>
      </c>
      <c r="G4015" s="3" t="s">
        <v>12503</v>
      </c>
    </row>
    <row r="4016">
      <c r="A4016" s="3" t="s">
        <v>12505</v>
      </c>
      <c r="B4016" s="3" t="s">
        <v>4062</v>
      </c>
      <c r="C4016" s="5" t="s">
        <v>614</v>
      </c>
      <c r="D4016" s="3" t="s">
        <v>206</v>
      </c>
      <c r="E4016" s="3" t="s">
        <v>100</v>
      </c>
      <c r="F4016" s="7">
        <v>45828.001599752955</v>
      </c>
      <c r="G4016" s="3" t="s">
        <v>12507</v>
      </c>
    </row>
    <row r="4017">
      <c r="A4017" s="3" t="s">
        <v>12508</v>
      </c>
      <c r="B4017" s="3" t="s">
        <v>4062</v>
      </c>
      <c r="C4017" s="5" t="s">
        <v>206</v>
      </c>
      <c r="D4017" s="3" t="s">
        <v>68</v>
      </c>
      <c r="E4017" s="3" t="s">
        <v>100</v>
      </c>
      <c r="F4017" s="7">
        <v>45828.005071975174</v>
      </c>
      <c r="G4017" s="3" t="s">
        <v>12510</v>
      </c>
    </row>
    <row r="4018">
      <c r="A4018" s="3" t="s">
        <v>12511</v>
      </c>
      <c r="B4018" s="3" t="s">
        <v>4065</v>
      </c>
      <c r="C4018" s="5" t="s">
        <v>45</v>
      </c>
      <c r="D4018" s="3" t="s">
        <v>221</v>
      </c>
      <c r="E4018" s="3" t="s">
        <v>913</v>
      </c>
      <c r="F4018" s="7">
        <v>45828.06583015393</v>
      </c>
      <c r="G4018" s="3" t="s">
        <v>12513</v>
      </c>
    </row>
    <row r="4019">
      <c r="A4019" s="3" t="s">
        <v>12514</v>
      </c>
      <c r="B4019" s="3" t="s">
        <v>4065</v>
      </c>
      <c r="C4019" s="5" t="s">
        <v>221</v>
      </c>
      <c r="D4019" s="3" t="s">
        <v>614</v>
      </c>
      <c r="E4019" s="3" t="s">
        <v>118</v>
      </c>
      <c r="F4019" s="7">
        <v>45828.06930237615</v>
      </c>
      <c r="G4019" s="3" t="s">
        <v>12516</v>
      </c>
    </row>
    <row r="4020">
      <c r="A4020" s="3" t="s">
        <v>12517</v>
      </c>
      <c r="B4020" s="3" t="s">
        <v>4065</v>
      </c>
      <c r="C4020" s="5" t="s">
        <v>614</v>
      </c>
      <c r="D4020" s="3" t="s">
        <v>206</v>
      </c>
      <c r="E4020" s="3" t="s">
        <v>100</v>
      </c>
      <c r="F4020" s="7">
        <v>45828.072774598375</v>
      </c>
      <c r="G4020" s="3" t="s">
        <v>12519</v>
      </c>
    </row>
    <row r="4021">
      <c r="A4021" s="3" t="s">
        <v>12520</v>
      </c>
      <c r="B4021" s="3" t="s">
        <v>4065</v>
      </c>
      <c r="C4021" s="5" t="s">
        <v>206</v>
      </c>
      <c r="D4021" s="3" t="s">
        <v>68</v>
      </c>
      <c r="E4021" s="3" t="s">
        <v>100</v>
      </c>
      <c r="F4021" s="7">
        <v>45828.076246820594</v>
      </c>
      <c r="G4021" s="3" t="s">
        <v>12522</v>
      </c>
    </row>
    <row r="4022">
      <c r="A4022" s="3" t="s">
        <v>12523</v>
      </c>
      <c r="B4022" s="3" t="s">
        <v>4068</v>
      </c>
      <c r="C4022" s="5" t="s">
        <v>45</v>
      </c>
      <c r="D4022" s="3" t="s">
        <v>221</v>
      </c>
      <c r="E4022" s="3" t="s">
        <v>159</v>
      </c>
      <c r="F4022" s="7">
        <v>45828.137004999335</v>
      </c>
      <c r="G4022" s="3" t="s">
        <v>8901</v>
      </c>
    </row>
    <row r="4023">
      <c r="A4023" s="3" t="s">
        <v>12525</v>
      </c>
      <c r="B4023" s="3" t="s">
        <v>4068</v>
      </c>
      <c r="C4023" s="5" t="s">
        <v>221</v>
      </c>
      <c r="D4023" s="3" t="s">
        <v>614</v>
      </c>
      <c r="E4023" s="3" t="s">
        <v>118</v>
      </c>
      <c r="F4023" s="7">
        <v>45828.140477221554</v>
      </c>
      <c r="G4023" s="3" t="s">
        <v>8904</v>
      </c>
    </row>
    <row r="4024">
      <c r="A4024" s="3" t="s">
        <v>12527</v>
      </c>
      <c r="B4024" s="3" t="s">
        <v>4068</v>
      </c>
      <c r="C4024" s="5" t="s">
        <v>614</v>
      </c>
      <c r="D4024" s="3" t="s">
        <v>206</v>
      </c>
      <c r="E4024" s="3" t="s">
        <v>100</v>
      </c>
      <c r="F4024" s="7">
        <v>45828.14394944378</v>
      </c>
      <c r="G4024" s="3" t="s">
        <v>8907</v>
      </c>
    </row>
    <row r="4025">
      <c r="A4025" s="3" t="s">
        <v>12529</v>
      </c>
      <c r="B4025" s="3" t="s">
        <v>4068</v>
      </c>
      <c r="C4025" s="5" t="s">
        <v>206</v>
      </c>
      <c r="D4025" s="3" t="s">
        <v>68</v>
      </c>
      <c r="E4025" s="3" t="s">
        <v>100</v>
      </c>
      <c r="F4025" s="7">
        <v>45828.147421666</v>
      </c>
      <c r="G4025" s="3" t="s">
        <v>8910</v>
      </c>
    </row>
    <row r="4026">
      <c r="A4026" s="3" t="s">
        <v>12531</v>
      </c>
      <c r="B4026" s="3" t="s">
        <v>4071</v>
      </c>
      <c r="C4026" s="5" t="s">
        <v>45</v>
      </c>
      <c r="D4026" s="3" t="s">
        <v>221</v>
      </c>
      <c r="E4026" s="3" t="s">
        <v>685</v>
      </c>
      <c r="F4026" s="7">
        <v>45828.208179844754</v>
      </c>
      <c r="G4026" s="3" t="s">
        <v>5019</v>
      </c>
    </row>
    <row r="4027">
      <c r="A4027" s="3" t="s">
        <v>12534</v>
      </c>
      <c r="B4027" s="3" t="s">
        <v>4071</v>
      </c>
      <c r="C4027" s="5" t="s">
        <v>221</v>
      </c>
      <c r="D4027" s="3" t="s">
        <v>614</v>
      </c>
      <c r="E4027" s="3" t="s">
        <v>118</v>
      </c>
      <c r="F4027" s="7">
        <v>45828.21165206697</v>
      </c>
      <c r="G4027" s="3" t="s">
        <v>5022</v>
      </c>
    </row>
    <row r="4028">
      <c r="A4028" s="3" t="s">
        <v>12536</v>
      </c>
      <c r="B4028" s="3" t="s">
        <v>4071</v>
      </c>
      <c r="C4028" s="5" t="s">
        <v>614</v>
      </c>
      <c r="D4028" s="3" t="s">
        <v>206</v>
      </c>
      <c r="E4028" s="3" t="s">
        <v>100</v>
      </c>
      <c r="F4028" s="7">
        <v>45828.2151242892</v>
      </c>
      <c r="G4028" s="3" t="s">
        <v>5025</v>
      </c>
    </row>
    <row r="4029">
      <c r="A4029" s="3" t="s">
        <v>12538</v>
      </c>
      <c r="B4029" s="3" t="s">
        <v>4071</v>
      </c>
      <c r="C4029" s="5" t="s">
        <v>206</v>
      </c>
      <c r="D4029" s="3" t="s">
        <v>68</v>
      </c>
      <c r="E4029" s="3" t="s">
        <v>100</v>
      </c>
      <c r="F4029" s="7">
        <v>45828.21859651142</v>
      </c>
      <c r="G4029" s="3" t="s">
        <v>5028</v>
      </c>
    </row>
    <row r="4030">
      <c r="A4030" s="3" t="s">
        <v>12540</v>
      </c>
      <c r="B4030" s="3" t="s">
        <v>4074</v>
      </c>
      <c r="C4030" s="5" t="s">
        <v>45</v>
      </c>
      <c r="D4030" s="3" t="s">
        <v>221</v>
      </c>
      <c r="E4030" s="3" t="s">
        <v>233</v>
      </c>
      <c r="F4030" s="7">
        <v>45828.279354690174</v>
      </c>
      <c r="G4030" s="3" t="s">
        <v>12542</v>
      </c>
    </row>
    <row r="4031">
      <c r="A4031" s="3" t="s">
        <v>12543</v>
      </c>
      <c r="B4031" s="3" t="s">
        <v>4074</v>
      </c>
      <c r="C4031" s="5" t="s">
        <v>221</v>
      </c>
      <c r="D4031" s="3" t="s">
        <v>614</v>
      </c>
      <c r="E4031" s="3" t="s">
        <v>118</v>
      </c>
      <c r="F4031" s="7">
        <v>45828.28282691239</v>
      </c>
      <c r="G4031" s="3" t="s">
        <v>12545</v>
      </c>
    </row>
    <row r="4032">
      <c r="A4032" s="3" t="s">
        <v>12546</v>
      </c>
      <c r="B4032" s="3" t="s">
        <v>4074</v>
      </c>
      <c r="C4032" s="5" t="s">
        <v>614</v>
      </c>
      <c r="D4032" s="3" t="s">
        <v>206</v>
      </c>
      <c r="E4032" s="3" t="s">
        <v>100</v>
      </c>
      <c r="F4032" s="7">
        <v>45828.28629913462</v>
      </c>
      <c r="G4032" s="3" t="s">
        <v>12549</v>
      </c>
    </row>
    <row r="4033">
      <c r="A4033" s="3" t="s">
        <v>12550</v>
      </c>
      <c r="B4033" s="3" t="s">
        <v>4074</v>
      </c>
      <c r="C4033" s="5" t="s">
        <v>206</v>
      </c>
      <c r="D4033" s="3" t="s">
        <v>68</v>
      </c>
      <c r="E4033" s="3" t="s">
        <v>100</v>
      </c>
      <c r="F4033" s="7">
        <v>45828.28977135684</v>
      </c>
      <c r="G4033" s="3" t="s">
        <v>12552</v>
      </c>
    </row>
    <row r="4034">
      <c r="A4034" s="3" t="s">
        <v>12553</v>
      </c>
      <c r="B4034" s="3" t="s">
        <v>4077</v>
      </c>
      <c r="C4034" s="5" t="s">
        <v>45</v>
      </c>
      <c r="D4034" s="3" t="s">
        <v>221</v>
      </c>
      <c r="E4034" s="3" t="s">
        <v>383</v>
      </c>
      <c r="F4034" s="7">
        <v>45828.350529535586</v>
      </c>
      <c r="G4034" s="3" t="s">
        <v>12555</v>
      </c>
    </row>
    <row r="4035">
      <c r="A4035" s="3" t="s">
        <v>12557</v>
      </c>
      <c r="B4035" s="3" t="s">
        <v>4077</v>
      </c>
      <c r="C4035" s="5" t="s">
        <v>221</v>
      </c>
      <c r="D4035" s="3" t="s">
        <v>614</v>
      </c>
      <c r="E4035" s="3" t="s">
        <v>118</v>
      </c>
      <c r="F4035" s="7">
        <v>45828.354001757805</v>
      </c>
      <c r="G4035" s="3" t="s">
        <v>12559</v>
      </c>
    </row>
    <row r="4036">
      <c r="A4036" s="3" t="s">
        <v>12560</v>
      </c>
      <c r="B4036" s="3" t="s">
        <v>4077</v>
      </c>
      <c r="C4036" s="5" t="s">
        <v>614</v>
      </c>
      <c r="D4036" s="3" t="s">
        <v>206</v>
      </c>
      <c r="E4036" s="3" t="s">
        <v>100</v>
      </c>
      <c r="F4036" s="7">
        <v>45828.35747398003</v>
      </c>
      <c r="G4036" s="3" t="s">
        <v>12562</v>
      </c>
    </row>
    <row r="4037">
      <c r="A4037" s="3" t="s">
        <v>12564</v>
      </c>
      <c r="B4037" s="3" t="s">
        <v>4077</v>
      </c>
      <c r="C4037" s="5" t="s">
        <v>206</v>
      </c>
      <c r="D4037" s="3" t="s">
        <v>68</v>
      </c>
      <c r="E4037" s="3" t="s">
        <v>100</v>
      </c>
      <c r="F4037" s="7">
        <v>45828.36094620225</v>
      </c>
      <c r="G4037" s="3" t="s">
        <v>12566</v>
      </c>
    </row>
    <row r="4038">
      <c r="A4038" s="3" t="s">
        <v>12567</v>
      </c>
      <c r="B4038" s="3" t="s">
        <v>4081</v>
      </c>
      <c r="C4038" s="5" t="s">
        <v>45</v>
      </c>
      <c r="D4038" s="3" t="s">
        <v>221</v>
      </c>
      <c r="E4038" s="3" t="s">
        <v>145</v>
      </c>
      <c r="F4038" s="7">
        <v>45828.421704381</v>
      </c>
      <c r="G4038" s="3" t="s">
        <v>12570</v>
      </c>
    </row>
    <row r="4039">
      <c r="A4039" s="3" t="s">
        <v>12571</v>
      </c>
      <c r="B4039" s="3" t="s">
        <v>4081</v>
      </c>
      <c r="C4039" s="5" t="s">
        <v>221</v>
      </c>
      <c r="D4039" s="3" t="s">
        <v>614</v>
      </c>
      <c r="E4039" s="3" t="s">
        <v>118</v>
      </c>
      <c r="F4039" s="7">
        <v>45828.42517660322</v>
      </c>
      <c r="G4039" s="3" t="s">
        <v>12573</v>
      </c>
    </row>
    <row r="4040">
      <c r="A4040" s="3" t="s">
        <v>12574</v>
      </c>
      <c r="B4040" s="3" t="s">
        <v>4081</v>
      </c>
      <c r="C4040" s="5" t="s">
        <v>614</v>
      </c>
      <c r="D4040" s="3" t="s">
        <v>206</v>
      </c>
      <c r="E4040" s="3" t="s">
        <v>100</v>
      </c>
      <c r="F4040" s="7">
        <v>45828.428648825444</v>
      </c>
      <c r="G4040" s="3" t="s">
        <v>12576</v>
      </c>
    </row>
    <row r="4041">
      <c r="A4041" s="3" t="s">
        <v>12577</v>
      </c>
      <c r="B4041" s="3" t="s">
        <v>4081</v>
      </c>
      <c r="C4041" s="5" t="s">
        <v>206</v>
      </c>
      <c r="D4041" s="3" t="s">
        <v>68</v>
      </c>
      <c r="E4041" s="3" t="s">
        <v>100</v>
      </c>
      <c r="F4041" s="7">
        <v>45828.43212104766</v>
      </c>
      <c r="G4041" s="3" t="s">
        <v>12579</v>
      </c>
    </row>
    <row r="4042">
      <c r="A4042" s="3" t="s">
        <v>12580</v>
      </c>
      <c r="B4042" s="3" t="s">
        <v>4085</v>
      </c>
      <c r="C4042" s="5" t="s">
        <v>45</v>
      </c>
      <c r="D4042" s="3" t="s">
        <v>221</v>
      </c>
      <c r="E4042" s="3" t="s">
        <v>593</v>
      </c>
      <c r="F4042" s="7">
        <v>45828.49287922642</v>
      </c>
      <c r="G4042" s="3" t="s">
        <v>12582</v>
      </c>
    </row>
    <row r="4043">
      <c r="A4043" s="3" t="s">
        <v>12583</v>
      </c>
      <c r="B4043" s="3" t="s">
        <v>4085</v>
      </c>
      <c r="C4043" s="5" t="s">
        <v>221</v>
      </c>
      <c r="D4043" s="3" t="s">
        <v>614</v>
      </c>
      <c r="E4043" s="3" t="s">
        <v>118</v>
      </c>
      <c r="F4043" s="7">
        <v>45828.49635144864</v>
      </c>
      <c r="G4043" s="3" t="s">
        <v>12585</v>
      </c>
    </row>
    <row r="4044">
      <c r="A4044" s="3" t="s">
        <v>12586</v>
      </c>
      <c r="B4044" s="3" t="s">
        <v>4085</v>
      </c>
      <c r="C4044" s="5" t="s">
        <v>614</v>
      </c>
      <c r="D4044" s="3" t="s">
        <v>206</v>
      </c>
      <c r="E4044" s="3" t="s">
        <v>100</v>
      </c>
      <c r="F4044" s="7">
        <v>45828.49982367086</v>
      </c>
      <c r="G4044" s="3" t="s">
        <v>12588</v>
      </c>
    </row>
    <row r="4045">
      <c r="A4045" s="3" t="s">
        <v>12589</v>
      </c>
      <c r="B4045" s="3" t="s">
        <v>4085</v>
      </c>
      <c r="C4045" s="5" t="s">
        <v>206</v>
      </c>
      <c r="D4045" s="3" t="s">
        <v>68</v>
      </c>
      <c r="E4045" s="3" t="s">
        <v>100</v>
      </c>
      <c r="F4045" s="7">
        <v>45828.50329589308</v>
      </c>
      <c r="G4045" s="3" t="s">
        <v>12591</v>
      </c>
    </row>
    <row r="4046">
      <c r="A4046" s="3" t="s">
        <v>12592</v>
      </c>
      <c r="B4046" s="3" t="s">
        <v>4088</v>
      </c>
      <c r="C4046" s="5" t="s">
        <v>45</v>
      </c>
      <c r="D4046" s="3" t="s">
        <v>221</v>
      </c>
      <c r="E4046" s="3" t="s">
        <v>239</v>
      </c>
      <c r="F4046" s="7">
        <v>45828.56405407183</v>
      </c>
      <c r="G4046" s="3" t="s">
        <v>5833</v>
      </c>
    </row>
    <row r="4047">
      <c r="A4047" s="3" t="s">
        <v>12594</v>
      </c>
      <c r="B4047" s="3" t="s">
        <v>4088</v>
      </c>
      <c r="C4047" s="5" t="s">
        <v>221</v>
      </c>
      <c r="D4047" s="3" t="s">
        <v>195</v>
      </c>
      <c r="E4047" s="3" t="s">
        <v>239</v>
      </c>
      <c r="F4047" s="7">
        <v>45828.56752629405</v>
      </c>
      <c r="G4047" s="3" t="s">
        <v>12595</v>
      </c>
    </row>
    <row r="4048">
      <c r="A4048" s="3" t="s">
        <v>12596</v>
      </c>
      <c r="B4048" s="3" t="s">
        <v>4091</v>
      </c>
      <c r="C4048" s="5" t="s">
        <v>45</v>
      </c>
      <c r="D4048" s="3" t="s">
        <v>221</v>
      </c>
      <c r="E4048" s="3" t="s">
        <v>344</v>
      </c>
      <c r="F4048" s="7">
        <v>45828.63522891724</v>
      </c>
      <c r="G4048" s="3" t="s">
        <v>12598</v>
      </c>
    </row>
    <row r="4049">
      <c r="A4049" s="3" t="s">
        <v>12599</v>
      </c>
      <c r="B4049" s="3" t="s">
        <v>4091</v>
      </c>
      <c r="C4049" s="5" t="s">
        <v>221</v>
      </c>
      <c r="D4049" s="3" t="s">
        <v>614</v>
      </c>
      <c r="E4049" s="3" t="s">
        <v>118</v>
      </c>
      <c r="F4049" s="7">
        <v>45828.63870113946</v>
      </c>
      <c r="G4049" s="3" t="s">
        <v>12601</v>
      </c>
    </row>
    <row r="4050">
      <c r="A4050" s="3" t="s">
        <v>12602</v>
      </c>
      <c r="B4050" s="3" t="s">
        <v>4091</v>
      </c>
      <c r="C4050" s="5" t="s">
        <v>614</v>
      </c>
      <c r="D4050" s="3" t="s">
        <v>206</v>
      </c>
      <c r="E4050" s="3" t="s">
        <v>100</v>
      </c>
      <c r="F4050" s="7">
        <v>45828.64217336169</v>
      </c>
      <c r="G4050" s="3" t="s">
        <v>12604</v>
      </c>
    </row>
    <row r="4051">
      <c r="A4051" s="3" t="s">
        <v>12605</v>
      </c>
      <c r="B4051" s="3" t="s">
        <v>4091</v>
      </c>
      <c r="C4051" s="5" t="s">
        <v>206</v>
      </c>
      <c r="D4051" s="3" t="s">
        <v>68</v>
      </c>
      <c r="E4051" s="3" t="s">
        <v>100</v>
      </c>
      <c r="F4051" s="7">
        <v>45828.64564558391</v>
      </c>
      <c r="G4051" s="3" t="s">
        <v>12607</v>
      </c>
    </row>
    <row r="4052">
      <c r="A4052" s="3" t="s">
        <v>12608</v>
      </c>
      <c r="B4052" s="3" t="s">
        <v>4094</v>
      </c>
      <c r="C4052" s="5" t="s">
        <v>45</v>
      </c>
      <c r="D4052" s="3" t="s">
        <v>221</v>
      </c>
      <c r="E4052" s="3" t="s">
        <v>319</v>
      </c>
      <c r="F4052" s="7">
        <v>45828.70640376266</v>
      </c>
      <c r="G4052" s="3" t="s">
        <v>12609</v>
      </c>
    </row>
    <row r="4053">
      <c r="A4053" s="3" t="s">
        <v>12610</v>
      </c>
      <c r="B4053" s="3" t="s">
        <v>4094</v>
      </c>
      <c r="C4053" s="5" t="s">
        <v>221</v>
      </c>
      <c r="D4053" s="3" t="s">
        <v>614</v>
      </c>
      <c r="E4053" s="3" t="s">
        <v>118</v>
      </c>
      <c r="F4053" s="7">
        <v>45828.70987598488</v>
      </c>
      <c r="G4053" s="3" t="s">
        <v>12612</v>
      </c>
    </row>
    <row r="4054">
      <c r="A4054" s="3" t="s">
        <v>12613</v>
      </c>
      <c r="B4054" s="3" t="s">
        <v>4094</v>
      </c>
      <c r="C4054" s="5" t="s">
        <v>614</v>
      </c>
      <c r="D4054" s="3" t="s">
        <v>206</v>
      </c>
      <c r="E4054" s="3" t="s">
        <v>100</v>
      </c>
      <c r="F4054" s="7">
        <v>45828.71334820711</v>
      </c>
      <c r="G4054" s="3" t="s">
        <v>12616</v>
      </c>
    </row>
    <row r="4055">
      <c r="A4055" s="3" t="s">
        <v>12617</v>
      </c>
      <c r="B4055" s="3" t="s">
        <v>4094</v>
      </c>
      <c r="C4055" s="5" t="s">
        <v>206</v>
      </c>
      <c r="D4055" s="3" t="s">
        <v>68</v>
      </c>
      <c r="E4055" s="3" t="s">
        <v>100</v>
      </c>
      <c r="F4055" s="7">
        <v>45828.71682042933</v>
      </c>
      <c r="G4055" s="3" t="s">
        <v>12618</v>
      </c>
    </row>
    <row r="4056">
      <c r="A4056" s="3" t="s">
        <v>12619</v>
      </c>
      <c r="B4056" s="3" t="s">
        <v>4097</v>
      </c>
      <c r="C4056" s="5" t="s">
        <v>45</v>
      </c>
      <c r="D4056" s="3" t="s">
        <v>221</v>
      </c>
      <c r="E4056" s="3" t="s">
        <v>937</v>
      </c>
      <c r="F4056" s="7">
        <v>45828.77757860808</v>
      </c>
      <c r="G4056" s="3" t="s">
        <v>12383</v>
      </c>
    </row>
    <row r="4057">
      <c r="A4057" s="3" t="s">
        <v>12621</v>
      </c>
      <c r="B4057" s="3" t="s">
        <v>4097</v>
      </c>
      <c r="C4057" s="5" t="s">
        <v>221</v>
      </c>
      <c r="D4057" s="3" t="s">
        <v>614</v>
      </c>
      <c r="E4057" s="3" t="s">
        <v>118</v>
      </c>
      <c r="F4057" s="7">
        <v>45828.7810508303</v>
      </c>
      <c r="G4057" s="3" t="s">
        <v>12385</v>
      </c>
    </row>
    <row r="4058">
      <c r="A4058" s="3" t="s">
        <v>12624</v>
      </c>
      <c r="B4058" s="3" t="s">
        <v>4097</v>
      </c>
      <c r="C4058" s="5" t="s">
        <v>614</v>
      </c>
      <c r="D4058" s="3" t="s">
        <v>206</v>
      </c>
      <c r="E4058" s="3" t="s">
        <v>100</v>
      </c>
      <c r="F4058" s="7">
        <v>45828.78452305253</v>
      </c>
      <c r="G4058" s="3" t="s">
        <v>12388</v>
      </c>
    </row>
    <row r="4059">
      <c r="A4059" s="3" t="s">
        <v>12626</v>
      </c>
      <c r="B4059" s="3" t="s">
        <v>4097</v>
      </c>
      <c r="C4059" s="5" t="s">
        <v>206</v>
      </c>
      <c r="D4059" s="3" t="s">
        <v>68</v>
      </c>
      <c r="E4059" s="3" t="s">
        <v>100</v>
      </c>
      <c r="F4059" s="7">
        <v>45828.787995274746</v>
      </c>
      <c r="G4059" s="3" t="s">
        <v>12391</v>
      </c>
    </row>
    <row r="4060">
      <c r="A4060" s="3" t="s">
        <v>12628</v>
      </c>
      <c r="B4060" s="3" t="s">
        <v>4100</v>
      </c>
      <c r="C4060" s="5" t="s">
        <v>45</v>
      </c>
      <c r="D4060" s="3" t="s">
        <v>221</v>
      </c>
      <c r="E4060" s="3" t="s">
        <v>767</v>
      </c>
      <c r="F4060" s="7">
        <v>45828.84875345349</v>
      </c>
      <c r="G4060" s="3" t="s">
        <v>12630</v>
      </c>
    </row>
    <row r="4061">
      <c r="A4061" s="3" t="s">
        <v>12632</v>
      </c>
      <c r="B4061" s="3" t="s">
        <v>4100</v>
      </c>
      <c r="C4061" s="5" t="s">
        <v>221</v>
      </c>
      <c r="D4061" s="3" t="s">
        <v>614</v>
      </c>
      <c r="E4061" s="3" t="s">
        <v>118</v>
      </c>
      <c r="F4061" s="7">
        <v>45828.852225675706</v>
      </c>
      <c r="G4061" s="3" t="s">
        <v>12634</v>
      </c>
    </row>
    <row r="4062">
      <c r="A4062" s="3" t="s">
        <v>12635</v>
      </c>
      <c r="B4062" s="3" t="s">
        <v>4100</v>
      </c>
      <c r="C4062" s="5" t="s">
        <v>614</v>
      </c>
      <c r="D4062" s="3" t="s">
        <v>206</v>
      </c>
      <c r="E4062" s="3" t="s">
        <v>100</v>
      </c>
      <c r="F4062" s="7">
        <v>45828.85569789793</v>
      </c>
      <c r="G4062" s="3" t="s">
        <v>12637</v>
      </c>
    </row>
    <row r="4063">
      <c r="A4063" s="3" t="s">
        <v>12638</v>
      </c>
      <c r="B4063" s="3" t="s">
        <v>4100</v>
      </c>
      <c r="C4063" s="5" t="s">
        <v>206</v>
      </c>
      <c r="D4063" s="3" t="s">
        <v>68</v>
      </c>
      <c r="E4063" s="3" t="s">
        <v>100</v>
      </c>
      <c r="F4063" s="7">
        <v>45828.85917012015</v>
      </c>
      <c r="G4063" s="3" t="s">
        <v>12640</v>
      </c>
    </row>
    <row r="4064">
      <c r="A4064" s="3" t="s">
        <v>12642</v>
      </c>
      <c r="B4064" s="3" t="s">
        <v>4103</v>
      </c>
      <c r="C4064" s="5" t="s">
        <v>45</v>
      </c>
      <c r="D4064" s="3" t="s">
        <v>221</v>
      </c>
      <c r="E4064" s="3" t="s">
        <v>123</v>
      </c>
      <c r="F4064" s="7">
        <v>45828.91992829891</v>
      </c>
      <c r="G4064" s="3" t="s">
        <v>12644</v>
      </c>
    </row>
    <row r="4065">
      <c r="A4065" s="3" t="s">
        <v>12645</v>
      </c>
      <c r="B4065" s="3" t="s">
        <v>4103</v>
      </c>
      <c r="C4065" s="5" t="s">
        <v>221</v>
      </c>
      <c r="D4065" s="3" t="s">
        <v>614</v>
      </c>
      <c r="E4065" s="3" t="s">
        <v>118</v>
      </c>
      <c r="F4065" s="7">
        <v>45828.923400521126</v>
      </c>
      <c r="G4065" s="3" t="s">
        <v>12647</v>
      </c>
    </row>
    <row r="4066">
      <c r="A4066" s="3" t="s">
        <v>12648</v>
      </c>
      <c r="B4066" s="3" t="s">
        <v>4103</v>
      </c>
      <c r="C4066" s="5" t="s">
        <v>614</v>
      </c>
      <c r="D4066" s="3" t="s">
        <v>206</v>
      </c>
      <c r="E4066" s="3" t="s">
        <v>100</v>
      </c>
      <c r="F4066" s="7">
        <v>45828.92687274335</v>
      </c>
      <c r="G4066" s="3" t="s">
        <v>12650</v>
      </c>
    </row>
    <row r="4067">
      <c r="A4067" s="3" t="s">
        <v>12652</v>
      </c>
      <c r="B4067" s="3" t="s">
        <v>4103</v>
      </c>
      <c r="C4067" s="5" t="s">
        <v>206</v>
      </c>
      <c r="D4067" s="3" t="s">
        <v>68</v>
      </c>
      <c r="E4067" s="3" t="s">
        <v>100</v>
      </c>
      <c r="F4067" s="7">
        <v>45828.93034496557</v>
      </c>
      <c r="G4067" s="3" t="s">
        <v>12654</v>
      </c>
    </row>
    <row r="4068">
      <c r="A4068" s="3" t="s">
        <v>12655</v>
      </c>
      <c r="B4068" s="3" t="s">
        <v>4106</v>
      </c>
      <c r="C4068" s="5" t="s">
        <v>45</v>
      </c>
      <c r="D4068" s="3" t="s">
        <v>221</v>
      </c>
      <c r="E4068" s="3" t="s">
        <v>453</v>
      </c>
      <c r="F4068" s="7">
        <v>45828.99110314432</v>
      </c>
      <c r="G4068" s="3" t="s">
        <v>12657</v>
      </c>
    </row>
    <row r="4069">
      <c r="A4069" s="3" t="s">
        <v>12659</v>
      </c>
      <c r="B4069" s="3" t="s">
        <v>4106</v>
      </c>
      <c r="C4069" s="5" t="s">
        <v>221</v>
      </c>
      <c r="D4069" s="3" t="s">
        <v>614</v>
      </c>
      <c r="E4069" s="3" t="s">
        <v>118</v>
      </c>
      <c r="F4069" s="7">
        <v>45828.99457536654</v>
      </c>
      <c r="G4069" s="3" t="s">
        <v>12661</v>
      </c>
    </row>
    <row r="4070">
      <c r="A4070" s="3" t="s">
        <v>12662</v>
      </c>
      <c r="B4070" s="3" t="s">
        <v>4106</v>
      </c>
      <c r="C4070" s="5" t="s">
        <v>614</v>
      </c>
      <c r="D4070" s="3" t="s">
        <v>206</v>
      </c>
      <c r="E4070" s="3" t="s">
        <v>100</v>
      </c>
      <c r="F4070" s="7">
        <v>45828.998047588764</v>
      </c>
      <c r="G4070" s="3" t="s">
        <v>12664</v>
      </c>
    </row>
    <row r="4071">
      <c r="A4071" s="3" t="s">
        <v>12665</v>
      </c>
      <c r="B4071" s="3" t="s">
        <v>4106</v>
      </c>
      <c r="C4071" s="5" t="s">
        <v>206</v>
      </c>
      <c r="D4071" s="3" t="s">
        <v>68</v>
      </c>
      <c r="E4071" s="3" t="s">
        <v>100</v>
      </c>
      <c r="F4071" s="7">
        <v>45829.00151981098</v>
      </c>
      <c r="G4071" s="3" t="s">
        <v>12667</v>
      </c>
    </row>
    <row r="4072">
      <c r="A4072" s="3" t="s">
        <v>12669</v>
      </c>
      <c r="B4072" s="3" t="s">
        <v>4109</v>
      </c>
      <c r="C4072" s="5" t="s">
        <v>45</v>
      </c>
      <c r="D4072" s="3" t="s">
        <v>221</v>
      </c>
      <c r="E4072" s="3" t="s">
        <v>698</v>
      </c>
      <c r="F4072" s="7">
        <v>45829.06227798974</v>
      </c>
      <c r="G4072" s="3" t="s">
        <v>12671</v>
      </c>
    </row>
    <row r="4073">
      <c r="A4073" s="3" t="s">
        <v>12672</v>
      </c>
      <c r="B4073" s="3" t="s">
        <v>4109</v>
      </c>
      <c r="C4073" s="5" t="s">
        <v>221</v>
      </c>
      <c r="D4073" s="3" t="s">
        <v>614</v>
      </c>
      <c r="E4073" s="3" t="s">
        <v>118</v>
      </c>
      <c r="F4073" s="7">
        <v>45829.06575021196</v>
      </c>
      <c r="G4073" s="3" t="s">
        <v>12674</v>
      </c>
    </row>
    <row r="4074">
      <c r="A4074" s="3" t="s">
        <v>12675</v>
      </c>
      <c r="B4074" s="3" t="s">
        <v>4109</v>
      </c>
      <c r="C4074" s="5" t="s">
        <v>614</v>
      </c>
      <c r="D4074" s="3" t="s">
        <v>206</v>
      </c>
      <c r="E4074" s="3" t="s">
        <v>100</v>
      </c>
      <c r="F4074" s="7">
        <v>45829.069222434184</v>
      </c>
      <c r="G4074" s="3" t="s">
        <v>12677</v>
      </c>
    </row>
    <row r="4075">
      <c r="A4075" s="3" t="s">
        <v>12678</v>
      </c>
      <c r="B4075" s="3" t="s">
        <v>4109</v>
      </c>
      <c r="C4075" s="5" t="s">
        <v>206</v>
      </c>
      <c r="D4075" s="3" t="s">
        <v>68</v>
      </c>
      <c r="E4075" s="3" t="s">
        <v>100</v>
      </c>
      <c r="F4075" s="7">
        <v>45829.0726946564</v>
      </c>
      <c r="G4075" s="3" t="s">
        <v>12680</v>
      </c>
    </row>
    <row r="4076">
      <c r="A4076" s="3" t="s">
        <v>12682</v>
      </c>
      <c r="B4076" s="3" t="s">
        <v>4112</v>
      </c>
      <c r="C4076" s="5" t="s">
        <v>45</v>
      </c>
      <c r="D4076" s="3" t="s">
        <v>221</v>
      </c>
      <c r="E4076" s="3" t="s">
        <v>658</v>
      </c>
      <c r="F4076" s="7">
        <v>45829.13345283515</v>
      </c>
      <c r="G4076" s="3" t="s">
        <v>2770</v>
      </c>
    </row>
    <row r="4077">
      <c r="A4077" s="3" t="s">
        <v>12684</v>
      </c>
      <c r="B4077" s="3" t="s">
        <v>4112</v>
      </c>
      <c r="C4077" s="5" t="s">
        <v>221</v>
      </c>
      <c r="D4077" s="3" t="s">
        <v>181</v>
      </c>
      <c r="E4077" s="3" t="s">
        <v>118</v>
      </c>
      <c r="F4077" s="7">
        <v>45829.13692505737</v>
      </c>
      <c r="G4077" s="3" t="s">
        <v>2774</v>
      </c>
    </row>
    <row r="4078">
      <c r="A4078" s="3" t="s">
        <v>12687</v>
      </c>
      <c r="B4078" s="3" t="s">
        <v>4115</v>
      </c>
      <c r="C4078" s="5" t="s">
        <v>45</v>
      </c>
      <c r="D4078" s="3" t="s">
        <v>221</v>
      </c>
      <c r="E4078" s="3" t="s">
        <v>860</v>
      </c>
      <c r="F4078" s="7">
        <v>45829.20462768057</v>
      </c>
      <c r="G4078" s="3" t="s">
        <v>12689</v>
      </c>
    </row>
    <row r="4079">
      <c r="A4079" s="3" t="s">
        <v>12690</v>
      </c>
      <c r="B4079" s="3" t="s">
        <v>4115</v>
      </c>
      <c r="C4079" s="5" t="s">
        <v>221</v>
      </c>
      <c r="D4079" s="3" t="s">
        <v>614</v>
      </c>
      <c r="E4079" s="3" t="s">
        <v>118</v>
      </c>
      <c r="F4079" s="7">
        <v>45829.20809990279</v>
      </c>
      <c r="G4079" s="3" t="s">
        <v>12692</v>
      </c>
    </row>
    <row r="4080">
      <c r="A4080" s="3" t="s">
        <v>12693</v>
      </c>
      <c r="B4080" s="3" t="s">
        <v>4115</v>
      </c>
      <c r="C4080" s="5" t="s">
        <v>614</v>
      </c>
      <c r="D4080" s="3" t="s">
        <v>206</v>
      </c>
      <c r="E4080" s="3" t="s">
        <v>100</v>
      </c>
      <c r="F4080" s="7">
        <v>45829.211572125016</v>
      </c>
      <c r="G4080" s="3" t="s">
        <v>12695</v>
      </c>
    </row>
    <row r="4081">
      <c r="A4081" s="3" t="s">
        <v>12696</v>
      </c>
      <c r="B4081" s="3" t="s">
        <v>4115</v>
      </c>
      <c r="C4081" s="5" t="s">
        <v>206</v>
      </c>
      <c r="D4081" s="3" t="s">
        <v>68</v>
      </c>
      <c r="E4081" s="3" t="s">
        <v>100</v>
      </c>
      <c r="F4081" s="7">
        <v>45829.215044347235</v>
      </c>
      <c r="G4081" s="3" t="s">
        <v>12698</v>
      </c>
    </row>
    <row r="4082">
      <c r="A4082" s="3" t="s">
        <v>12699</v>
      </c>
      <c r="B4082" s="3" t="s">
        <v>4118</v>
      </c>
      <c r="C4082" s="5" t="s">
        <v>45</v>
      </c>
      <c r="D4082" s="3" t="s">
        <v>221</v>
      </c>
      <c r="E4082" s="3" t="s">
        <v>789</v>
      </c>
      <c r="F4082" s="7">
        <v>45829.275802525975</v>
      </c>
      <c r="G4082" s="3" t="s">
        <v>12701</v>
      </c>
    </row>
    <row r="4083">
      <c r="A4083" s="3" t="s">
        <v>12702</v>
      </c>
      <c r="B4083" s="3" t="s">
        <v>4118</v>
      </c>
      <c r="C4083" s="5" t="s">
        <v>221</v>
      </c>
      <c r="D4083" s="3" t="s">
        <v>614</v>
      </c>
      <c r="E4083" s="3" t="s">
        <v>118</v>
      </c>
      <c r="F4083" s="7">
        <v>45829.279274748194</v>
      </c>
      <c r="G4083" s="3" t="s">
        <v>12704</v>
      </c>
    </row>
    <row r="4084">
      <c r="A4084" s="3" t="s">
        <v>12705</v>
      </c>
      <c r="B4084" s="3" t="s">
        <v>4118</v>
      </c>
      <c r="C4084" s="5" t="s">
        <v>614</v>
      </c>
      <c r="D4084" s="3" t="s">
        <v>206</v>
      </c>
      <c r="E4084" s="3" t="s">
        <v>100</v>
      </c>
      <c r="F4084" s="7">
        <v>45829.28274697042</v>
      </c>
      <c r="G4084" s="3" t="s">
        <v>12707</v>
      </c>
    </row>
    <row r="4085">
      <c r="A4085" s="3" t="s">
        <v>12708</v>
      </c>
      <c r="B4085" s="3" t="s">
        <v>4118</v>
      </c>
      <c r="C4085" s="5" t="s">
        <v>206</v>
      </c>
      <c r="D4085" s="3" t="s">
        <v>68</v>
      </c>
      <c r="E4085" s="3" t="s">
        <v>100</v>
      </c>
      <c r="F4085" s="7">
        <v>45829.28621919264</v>
      </c>
      <c r="G4085" s="3" t="s">
        <v>12710</v>
      </c>
    </row>
    <row r="4086">
      <c r="A4086" s="3" t="s">
        <v>12711</v>
      </c>
      <c r="B4086" s="3" t="s">
        <v>4122</v>
      </c>
      <c r="C4086" s="5" t="s">
        <v>45</v>
      </c>
      <c r="D4086" s="3" t="s">
        <v>221</v>
      </c>
      <c r="E4086" s="3" t="s">
        <v>672</v>
      </c>
      <c r="F4086" s="7">
        <v>45829.346977371395</v>
      </c>
      <c r="G4086" s="3" t="s">
        <v>12713</v>
      </c>
    </row>
    <row r="4087">
      <c r="A4087" s="3" t="s">
        <v>12714</v>
      </c>
      <c r="B4087" s="3" t="s">
        <v>4122</v>
      </c>
      <c r="C4087" s="5" t="s">
        <v>221</v>
      </c>
      <c r="D4087" s="3" t="s">
        <v>614</v>
      </c>
      <c r="E4087" s="3" t="s">
        <v>118</v>
      </c>
      <c r="F4087" s="7">
        <v>45829.350449593614</v>
      </c>
      <c r="G4087" s="3" t="s">
        <v>12716</v>
      </c>
    </row>
    <row r="4088">
      <c r="A4088" s="3" t="s">
        <v>12717</v>
      </c>
      <c r="B4088" s="3" t="s">
        <v>4122</v>
      </c>
      <c r="C4088" s="5" t="s">
        <v>614</v>
      </c>
      <c r="D4088" s="3" t="s">
        <v>206</v>
      </c>
      <c r="E4088" s="3" t="s">
        <v>100</v>
      </c>
      <c r="F4088" s="7">
        <v>45829.35392181584</v>
      </c>
      <c r="G4088" s="3" t="s">
        <v>12718</v>
      </c>
    </row>
    <row r="4089">
      <c r="A4089" s="3" t="s">
        <v>12719</v>
      </c>
      <c r="B4089" s="3" t="s">
        <v>4122</v>
      </c>
      <c r="C4089" s="5" t="s">
        <v>206</v>
      </c>
      <c r="D4089" s="3" t="s">
        <v>68</v>
      </c>
      <c r="E4089" s="3" t="s">
        <v>100</v>
      </c>
      <c r="F4089" s="7">
        <v>45829.35739403806</v>
      </c>
      <c r="G4089" s="3" t="s">
        <v>12721</v>
      </c>
    </row>
    <row r="4090">
      <c r="A4090" s="3" t="s">
        <v>12723</v>
      </c>
      <c r="B4090" s="3" t="s">
        <v>4125</v>
      </c>
      <c r="C4090" s="5" t="s">
        <v>45</v>
      </c>
      <c r="D4090" s="3" t="s">
        <v>221</v>
      </c>
      <c r="E4090" s="3" t="s">
        <v>773</v>
      </c>
      <c r="F4090" s="7">
        <v>45829.418152216815</v>
      </c>
      <c r="G4090" s="3" t="s">
        <v>12725</v>
      </c>
    </row>
    <row r="4091">
      <c r="A4091" s="3" t="s">
        <v>12726</v>
      </c>
      <c r="B4091" s="3" t="s">
        <v>4125</v>
      </c>
      <c r="C4091" s="5" t="s">
        <v>221</v>
      </c>
      <c r="D4091" s="3" t="s">
        <v>614</v>
      </c>
      <c r="E4091" s="3" t="s">
        <v>118</v>
      </c>
      <c r="F4091" s="7">
        <v>45829.42162443903</v>
      </c>
      <c r="G4091" s="3" t="s">
        <v>12728</v>
      </c>
    </row>
    <row r="4092">
      <c r="A4092" s="3" t="s">
        <v>12729</v>
      </c>
      <c r="B4092" s="3" t="s">
        <v>4125</v>
      </c>
      <c r="C4092" s="5" t="s">
        <v>614</v>
      </c>
      <c r="D4092" s="3" t="s">
        <v>206</v>
      </c>
      <c r="E4092" s="3" t="s">
        <v>100</v>
      </c>
      <c r="F4092" s="7">
        <v>45829.42509666126</v>
      </c>
      <c r="G4092" s="3" t="s">
        <v>12732</v>
      </c>
    </row>
    <row r="4093">
      <c r="A4093" s="3" t="s">
        <v>12733</v>
      </c>
      <c r="B4093" s="3" t="s">
        <v>4125</v>
      </c>
      <c r="C4093" s="5" t="s">
        <v>206</v>
      </c>
      <c r="D4093" s="3" t="s">
        <v>68</v>
      </c>
      <c r="E4093" s="3" t="s">
        <v>100</v>
      </c>
      <c r="F4093" s="7">
        <v>45829.42856888348</v>
      </c>
      <c r="G4093" s="3" t="s">
        <v>12735</v>
      </c>
    </row>
    <row r="4094">
      <c r="A4094" s="3" t="s">
        <v>12736</v>
      </c>
      <c r="B4094" s="3" t="s">
        <v>4129</v>
      </c>
      <c r="C4094" s="5" t="s">
        <v>45</v>
      </c>
      <c r="D4094" s="3" t="s">
        <v>221</v>
      </c>
      <c r="E4094" s="3" t="s">
        <v>972</v>
      </c>
      <c r="F4094" s="7">
        <v>45829.48932706223</v>
      </c>
      <c r="G4094" s="3" t="s">
        <v>12738</v>
      </c>
    </row>
    <row r="4095">
      <c r="A4095" s="3" t="s">
        <v>12739</v>
      </c>
      <c r="B4095" s="3" t="s">
        <v>4129</v>
      </c>
      <c r="C4095" s="5" t="s">
        <v>221</v>
      </c>
      <c r="D4095" s="3" t="s">
        <v>614</v>
      </c>
      <c r="E4095" s="3" t="s">
        <v>118</v>
      </c>
      <c r="F4095" s="7">
        <v>45829.492799284446</v>
      </c>
      <c r="G4095" s="3" t="s">
        <v>12741</v>
      </c>
    </row>
    <row r="4096">
      <c r="A4096" s="3" t="s">
        <v>12742</v>
      </c>
      <c r="B4096" s="3" t="s">
        <v>4129</v>
      </c>
      <c r="C4096" s="5" t="s">
        <v>614</v>
      </c>
      <c r="D4096" s="3" t="s">
        <v>206</v>
      </c>
      <c r="E4096" s="3" t="s">
        <v>100</v>
      </c>
      <c r="F4096" s="7">
        <v>45829.49627150667</v>
      </c>
      <c r="G4096" s="3" t="s">
        <v>12744</v>
      </c>
    </row>
    <row r="4097">
      <c r="A4097" s="3" t="s">
        <v>12745</v>
      </c>
      <c r="B4097" s="3" t="s">
        <v>4129</v>
      </c>
      <c r="C4097" s="5" t="s">
        <v>206</v>
      </c>
      <c r="D4097" s="3" t="s">
        <v>68</v>
      </c>
      <c r="E4097" s="3" t="s">
        <v>100</v>
      </c>
      <c r="F4097" s="7">
        <v>45829.49974372889</v>
      </c>
      <c r="G4097" s="3" t="s">
        <v>12747</v>
      </c>
    </row>
    <row r="4098">
      <c r="A4098" s="3" t="s">
        <v>12748</v>
      </c>
      <c r="B4098" s="3" t="s">
        <v>4132</v>
      </c>
      <c r="C4098" s="5" t="s">
        <v>45</v>
      </c>
      <c r="D4098" s="3" t="s">
        <v>221</v>
      </c>
      <c r="E4098" s="3" t="s">
        <v>650</v>
      </c>
      <c r="F4098" s="7">
        <v>45829.56050190764</v>
      </c>
      <c r="G4098" s="3" t="s">
        <v>12750</v>
      </c>
    </row>
    <row r="4099">
      <c r="A4099" s="3" t="s">
        <v>12751</v>
      </c>
      <c r="B4099" s="3" t="s">
        <v>4132</v>
      </c>
      <c r="C4099" s="5" t="s">
        <v>221</v>
      </c>
      <c r="D4099" s="3" t="s">
        <v>614</v>
      </c>
      <c r="E4099" s="3" t="s">
        <v>118</v>
      </c>
      <c r="F4099" s="7">
        <v>45829.56397412986</v>
      </c>
      <c r="G4099" s="3" t="s">
        <v>12753</v>
      </c>
    </row>
    <row r="4100">
      <c r="A4100" s="3" t="s">
        <v>12754</v>
      </c>
      <c r="B4100" s="3" t="s">
        <v>4132</v>
      </c>
      <c r="C4100" s="5" t="s">
        <v>614</v>
      </c>
      <c r="D4100" s="3" t="s">
        <v>206</v>
      </c>
      <c r="E4100" s="3" t="s">
        <v>100</v>
      </c>
      <c r="F4100" s="7">
        <v>45829.567446352085</v>
      </c>
      <c r="G4100" s="3" t="s">
        <v>12755</v>
      </c>
    </row>
    <row r="4101">
      <c r="A4101" s="3" t="s">
        <v>12757</v>
      </c>
      <c r="B4101" s="3" t="s">
        <v>4132</v>
      </c>
      <c r="C4101" s="5" t="s">
        <v>206</v>
      </c>
      <c r="D4101" s="3" t="s">
        <v>68</v>
      </c>
      <c r="E4101" s="3" t="s">
        <v>100</v>
      </c>
      <c r="F4101" s="7">
        <v>45829.5709185743</v>
      </c>
      <c r="G4101" s="3" t="s">
        <v>12758</v>
      </c>
    </row>
    <row r="4102">
      <c r="A4102" s="3" t="s">
        <v>12759</v>
      </c>
      <c r="B4102" s="3" t="s">
        <v>4135</v>
      </c>
      <c r="C4102" s="5" t="s">
        <v>45</v>
      </c>
      <c r="D4102" s="3" t="s">
        <v>221</v>
      </c>
      <c r="E4102" s="3" t="s">
        <v>770</v>
      </c>
      <c r="F4102" s="7">
        <v>45829.63167675306</v>
      </c>
      <c r="G4102" s="3" t="s">
        <v>12761</v>
      </c>
    </row>
    <row r="4103">
      <c r="A4103" s="3" t="s">
        <v>12763</v>
      </c>
      <c r="B4103" s="3" t="s">
        <v>4135</v>
      </c>
      <c r="C4103" s="5" t="s">
        <v>221</v>
      </c>
      <c r="D4103" s="3" t="s">
        <v>181</v>
      </c>
      <c r="E4103" s="3" t="s">
        <v>118</v>
      </c>
      <c r="F4103" s="7">
        <v>45829.63514897528</v>
      </c>
      <c r="G4103" s="3" t="s">
        <v>12765</v>
      </c>
    </row>
    <row r="4104">
      <c r="A4104" s="3" t="s">
        <v>12766</v>
      </c>
      <c r="B4104" s="3" t="s">
        <v>4139</v>
      </c>
      <c r="C4104" s="5" t="s">
        <v>45</v>
      </c>
      <c r="D4104" s="3" t="s">
        <v>221</v>
      </c>
      <c r="E4104" s="3" t="s">
        <v>269</v>
      </c>
      <c r="F4104" s="7">
        <v>45829.70285159847</v>
      </c>
      <c r="G4104" s="3" t="s">
        <v>12768</v>
      </c>
    </row>
    <row r="4105">
      <c r="A4105" s="3" t="s">
        <v>12769</v>
      </c>
      <c r="B4105" s="3" t="s">
        <v>4139</v>
      </c>
      <c r="C4105" s="5" t="s">
        <v>221</v>
      </c>
      <c r="D4105" s="3" t="s">
        <v>614</v>
      </c>
      <c r="E4105" s="3" t="s">
        <v>118</v>
      </c>
      <c r="F4105" s="7">
        <v>45829.70632382069</v>
      </c>
      <c r="G4105" s="3" t="s">
        <v>12771</v>
      </c>
    </row>
    <row r="4106">
      <c r="A4106" s="3" t="s">
        <v>12772</v>
      </c>
      <c r="B4106" s="3" t="s">
        <v>4139</v>
      </c>
      <c r="C4106" s="5" t="s">
        <v>614</v>
      </c>
      <c r="D4106" s="3" t="s">
        <v>206</v>
      </c>
      <c r="E4106" s="3" t="s">
        <v>100</v>
      </c>
      <c r="F4106" s="7">
        <v>45829.70979604292</v>
      </c>
      <c r="G4106" s="3" t="s">
        <v>12774</v>
      </c>
    </row>
    <row r="4107">
      <c r="A4107" s="3" t="s">
        <v>12775</v>
      </c>
      <c r="B4107" s="3" t="s">
        <v>4139</v>
      </c>
      <c r="C4107" s="5" t="s">
        <v>206</v>
      </c>
      <c r="D4107" s="3" t="s">
        <v>68</v>
      </c>
      <c r="E4107" s="3" t="s">
        <v>100</v>
      </c>
      <c r="F4107" s="7">
        <v>45829.713268265135</v>
      </c>
      <c r="G4107" s="3" t="s">
        <v>12778</v>
      </c>
    </row>
    <row r="4108">
      <c r="A4108" s="3" t="s">
        <v>12779</v>
      </c>
      <c r="B4108" s="3" t="s">
        <v>4142</v>
      </c>
      <c r="C4108" s="5" t="s">
        <v>45</v>
      </c>
      <c r="D4108" s="3" t="s">
        <v>221</v>
      </c>
      <c r="E4108" s="3" t="s">
        <v>598</v>
      </c>
      <c r="F4108" s="7">
        <v>45829.77402644388</v>
      </c>
      <c r="G4108" s="3" t="s">
        <v>12781</v>
      </c>
    </row>
    <row r="4109">
      <c r="A4109" s="3" t="s">
        <v>12782</v>
      </c>
      <c r="B4109" s="3" t="s">
        <v>4142</v>
      </c>
      <c r="C4109" s="5" t="s">
        <v>221</v>
      </c>
      <c r="D4109" s="3" t="s">
        <v>614</v>
      </c>
      <c r="E4109" s="3" t="s">
        <v>118</v>
      </c>
      <c r="F4109" s="7">
        <v>45829.7774986661</v>
      </c>
      <c r="G4109" s="3" t="s">
        <v>12784</v>
      </c>
    </row>
    <row r="4110">
      <c r="A4110" s="3" t="s">
        <v>12786</v>
      </c>
      <c r="B4110" s="3" t="s">
        <v>4142</v>
      </c>
      <c r="C4110" s="5" t="s">
        <v>614</v>
      </c>
      <c r="D4110" s="3" t="s">
        <v>206</v>
      </c>
      <c r="E4110" s="3" t="s">
        <v>100</v>
      </c>
      <c r="F4110" s="7">
        <v>45829.78097088833</v>
      </c>
      <c r="G4110" s="3" t="s">
        <v>12787</v>
      </c>
    </row>
    <row r="4111">
      <c r="A4111" s="3" t="s">
        <v>12788</v>
      </c>
      <c r="B4111" s="3" t="s">
        <v>4142</v>
      </c>
      <c r="C4111" s="5" t="s">
        <v>206</v>
      </c>
      <c r="D4111" s="3" t="s">
        <v>68</v>
      </c>
      <c r="E4111" s="3" t="s">
        <v>100</v>
      </c>
      <c r="F4111" s="7">
        <v>45829.78444311055</v>
      </c>
      <c r="G4111" s="3" t="s">
        <v>12790</v>
      </c>
    </row>
    <row r="4112">
      <c r="A4112" s="3" t="s">
        <v>12791</v>
      </c>
      <c r="B4112" s="3" t="s">
        <v>4145</v>
      </c>
      <c r="C4112" s="5" t="s">
        <v>45</v>
      </c>
      <c r="D4112" s="3" t="s">
        <v>221</v>
      </c>
      <c r="E4112" s="3" t="s">
        <v>561</v>
      </c>
      <c r="F4112" s="7">
        <v>45829.8452012893</v>
      </c>
      <c r="G4112" s="3" t="s">
        <v>12793</v>
      </c>
    </row>
    <row r="4113">
      <c r="A4113" s="3" t="s">
        <v>12794</v>
      </c>
      <c r="B4113" s="3" t="s">
        <v>4145</v>
      </c>
      <c r="C4113" s="5" t="s">
        <v>221</v>
      </c>
      <c r="D4113" s="3" t="s">
        <v>614</v>
      </c>
      <c r="E4113" s="3" t="s">
        <v>118</v>
      </c>
      <c r="F4113" s="7">
        <v>45829.84867351152</v>
      </c>
      <c r="G4113" s="3" t="s">
        <v>12796</v>
      </c>
    </row>
    <row r="4114">
      <c r="A4114" s="3" t="s">
        <v>12797</v>
      </c>
      <c r="B4114" s="3" t="s">
        <v>4145</v>
      </c>
      <c r="C4114" s="5" t="s">
        <v>614</v>
      </c>
      <c r="D4114" s="3" t="s">
        <v>206</v>
      </c>
      <c r="E4114" s="3" t="s">
        <v>100</v>
      </c>
      <c r="F4114" s="7">
        <v>45829.85214573375</v>
      </c>
      <c r="G4114" s="3" t="s">
        <v>12798</v>
      </c>
    </row>
    <row r="4115">
      <c r="A4115" s="3" t="s">
        <v>12800</v>
      </c>
      <c r="B4115" s="3" t="s">
        <v>4145</v>
      </c>
      <c r="C4115" s="5" t="s">
        <v>206</v>
      </c>
      <c r="D4115" s="3" t="s">
        <v>68</v>
      </c>
      <c r="E4115" s="3" t="s">
        <v>100</v>
      </c>
      <c r="F4115" s="7">
        <v>45829.85561795597</v>
      </c>
      <c r="G4115" s="3" t="s">
        <v>12801</v>
      </c>
    </row>
    <row r="4116">
      <c r="A4116" s="3" t="s">
        <v>12802</v>
      </c>
      <c r="B4116" s="3" t="s">
        <v>4148</v>
      </c>
      <c r="C4116" s="5" t="s">
        <v>45</v>
      </c>
      <c r="D4116" s="3" t="s">
        <v>221</v>
      </c>
      <c r="E4116" s="3" t="s">
        <v>165</v>
      </c>
      <c r="F4116" s="7">
        <v>45829.91637613472</v>
      </c>
      <c r="G4116" s="3" t="s">
        <v>12804</v>
      </c>
    </row>
    <row r="4117">
      <c r="A4117" s="3" t="s">
        <v>12805</v>
      </c>
      <c r="B4117" s="3" t="s">
        <v>4148</v>
      </c>
      <c r="C4117" s="5" t="s">
        <v>221</v>
      </c>
      <c r="D4117" s="3" t="s">
        <v>614</v>
      </c>
      <c r="E4117" s="3" t="s">
        <v>118</v>
      </c>
      <c r="F4117" s="7">
        <v>45829.91984835694</v>
      </c>
      <c r="G4117" s="3" t="s">
        <v>12807</v>
      </c>
    </row>
    <row r="4118">
      <c r="A4118" s="3" t="s">
        <v>12808</v>
      </c>
      <c r="B4118" s="3" t="s">
        <v>4148</v>
      </c>
      <c r="C4118" s="5" t="s">
        <v>614</v>
      </c>
      <c r="D4118" s="3" t="s">
        <v>206</v>
      </c>
      <c r="E4118" s="3" t="s">
        <v>100</v>
      </c>
      <c r="F4118" s="7">
        <v>45829.92332057917</v>
      </c>
      <c r="G4118" s="3" t="s">
        <v>12810</v>
      </c>
    </row>
    <row r="4119">
      <c r="A4119" s="3" t="s">
        <v>12811</v>
      </c>
      <c r="B4119" s="3" t="s">
        <v>4148</v>
      </c>
      <c r="C4119" s="5" t="s">
        <v>206</v>
      </c>
      <c r="D4119" s="3" t="s">
        <v>68</v>
      </c>
      <c r="E4119" s="3" t="s">
        <v>100</v>
      </c>
      <c r="F4119" s="7">
        <v>45829.92679280139</v>
      </c>
      <c r="G4119" s="3" t="s">
        <v>12813</v>
      </c>
    </row>
    <row r="4120">
      <c r="A4120" s="3" t="s">
        <v>12814</v>
      </c>
      <c r="B4120" s="3" t="s">
        <v>4149</v>
      </c>
      <c r="C4120" s="5" t="s">
        <v>45</v>
      </c>
      <c r="D4120" s="3" t="s">
        <v>221</v>
      </c>
      <c r="E4120" s="3" t="s">
        <v>694</v>
      </c>
      <c r="F4120" s="7">
        <v>45829.98755098013</v>
      </c>
      <c r="G4120" s="3" t="s">
        <v>2770</v>
      </c>
    </row>
    <row r="4121">
      <c r="A4121" s="3" t="s">
        <v>12817</v>
      </c>
      <c r="B4121" s="3" t="s">
        <v>4149</v>
      </c>
      <c r="C4121" s="5" t="s">
        <v>221</v>
      </c>
      <c r="D4121" s="3" t="s">
        <v>195</v>
      </c>
      <c r="E4121" s="3" t="s">
        <v>694</v>
      </c>
      <c r="F4121" s="7">
        <v>45829.99102320235</v>
      </c>
      <c r="G4121" s="3" t="s">
        <v>3055</v>
      </c>
    </row>
    <row r="4122">
      <c r="A4122" s="3" t="s">
        <v>12818</v>
      </c>
      <c r="B4122" s="3" t="s">
        <v>4151</v>
      </c>
      <c r="C4122" s="5" t="s">
        <v>45</v>
      </c>
      <c r="D4122" s="3" t="s">
        <v>221</v>
      </c>
      <c r="E4122" s="3" t="s">
        <v>629</v>
      </c>
      <c r="F4122" s="7">
        <v>45830.05872582555</v>
      </c>
      <c r="G4122" s="3" t="s">
        <v>12820</v>
      </c>
    </row>
    <row r="4123">
      <c r="A4123" s="3" t="s">
        <v>12821</v>
      </c>
      <c r="B4123" s="3" t="s">
        <v>4151</v>
      </c>
      <c r="C4123" s="5" t="s">
        <v>221</v>
      </c>
      <c r="D4123" s="3" t="s">
        <v>181</v>
      </c>
      <c r="E4123" s="3" t="s">
        <v>118</v>
      </c>
      <c r="F4123" s="7">
        <v>45830.062198047766</v>
      </c>
      <c r="G4123" s="3" t="s">
        <v>12823</v>
      </c>
    </row>
    <row r="4124">
      <c r="A4124" s="3" t="s">
        <v>12824</v>
      </c>
      <c r="B4124" s="3" t="s">
        <v>4154</v>
      </c>
      <c r="C4124" s="5" t="s">
        <v>45</v>
      </c>
      <c r="D4124" s="3" t="s">
        <v>221</v>
      </c>
      <c r="E4124" s="3" t="s">
        <v>939</v>
      </c>
      <c r="F4124" s="7">
        <v>45830.12990067097</v>
      </c>
      <c r="G4124" s="3" t="s">
        <v>7152</v>
      </c>
    </row>
    <row r="4125">
      <c r="A4125" s="3" t="s">
        <v>12826</v>
      </c>
      <c r="B4125" s="3" t="s">
        <v>4154</v>
      </c>
      <c r="C4125" s="5" t="s">
        <v>221</v>
      </c>
      <c r="D4125" s="3" t="s">
        <v>614</v>
      </c>
      <c r="E4125" s="3" t="s">
        <v>118</v>
      </c>
      <c r="F4125" s="7">
        <v>45830.133372893186</v>
      </c>
      <c r="G4125" s="3" t="s">
        <v>7155</v>
      </c>
    </row>
    <row r="4126">
      <c r="A4126" s="3" t="s">
        <v>12829</v>
      </c>
      <c r="B4126" s="3" t="s">
        <v>4154</v>
      </c>
      <c r="C4126" s="5" t="s">
        <v>614</v>
      </c>
      <c r="D4126" s="3" t="s">
        <v>206</v>
      </c>
      <c r="E4126" s="3" t="s">
        <v>100</v>
      </c>
      <c r="F4126" s="7">
        <v>45830.13684511541</v>
      </c>
      <c r="G4126" s="3" t="s">
        <v>7158</v>
      </c>
    </row>
    <row r="4127">
      <c r="A4127" s="3" t="s">
        <v>12831</v>
      </c>
      <c r="B4127" s="3" t="s">
        <v>4154</v>
      </c>
      <c r="C4127" s="5" t="s">
        <v>206</v>
      </c>
      <c r="D4127" s="3" t="s">
        <v>68</v>
      </c>
      <c r="E4127" s="3" t="s">
        <v>100</v>
      </c>
      <c r="F4127" s="7">
        <v>45830.14031733763</v>
      </c>
      <c r="G4127" s="3" t="s">
        <v>7161</v>
      </c>
    </row>
    <row r="4128">
      <c r="A4128" s="3" t="s">
        <v>12833</v>
      </c>
      <c r="B4128" s="3" t="s">
        <v>4157</v>
      </c>
      <c r="C4128" s="5" t="s">
        <v>45</v>
      </c>
      <c r="D4128" s="3" t="s">
        <v>221</v>
      </c>
      <c r="E4128" s="3" t="s">
        <v>215</v>
      </c>
      <c r="F4128" s="7">
        <v>45830.20107551638</v>
      </c>
      <c r="G4128" s="3" t="s">
        <v>5617</v>
      </c>
    </row>
    <row r="4129">
      <c r="A4129" s="3" t="s">
        <v>12836</v>
      </c>
      <c r="B4129" s="3" t="s">
        <v>4157</v>
      </c>
      <c r="C4129" s="5" t="s">
        <v>221</v>
      </c>
      <c r="D4129" s="3" t="s">
        <v>614</v>
      </c>
      <c r="E4129" s="3" t="s">
        <v>118</v>
      </c>
      <c r="F4129" s="7">
        <v>45830.2045477386</v>
      </c>
      <c r="G4129" s="3" t="s">
        <v>12838</v>
      </c>
    </row>
    <row r="4130">
      <c r="A4130" s="3" t="s">
        <v>12839</v>
      </c>
      <c r="B4130" s="3" t="s">
        <v>4157</v>
      </c>
      <c r="C4130" s="5" t="s">
        <v>614</v>
      </c>
      <c r="D4130" s="3" t="s">
        <v>206</v>
      </c>
      <c r="E4130" s="3" t="s">
        <v>100</v>
      </c>
      <c r="F4130" s="7">
        <v>45830.208019960824</v>
      </c>
      <c r="G4130" s="3" t="s">
        <v>12841</v>
      </c>
    </row>
    <row r="4131">
      <c r="A4131" s="3" t="s">
        <v>12842</v>
      </c>
      <c r="B4131" s="3" t="s">
        <v>4157</v>
      </c>
      <c r="C4131" s="5" t="s">
        <v>206</v>
      </c>
      <c r="D4131" s="3" t="s">
        <v>68</v>
      </c>
      <c r="E4131" s="3" t="s">
        <v>100</v>
      </c>
      <c r="F4131" s="7">
        <v>45830.21149218304</v>
      </c>
      <c r="G4131" s="3" t="s">
        <v>12844</v>
      </c>
    </row>
    <row r="4132">
      <c r="A4132" s="3" t="s">
        <v>12846</v>
      </c>
      <c r="B4132" s="3" t="s">
        <v>4160</v>
      </c>
      <c r="C4132" s="5" t="s">
        <v>45</v>
      </c>
      <c r="D4132" s="3" t="s">
        <v>221</v>
      </c>
      <c r="E4132" s="3" t="s">
        <v>516</v>
      </c>
      <c r="F4132" s="7">
        <v>45830.27225036179</v>
      </c>
      <c r="G4132" s="3" t="s">
        <v>12848</v>
      </c>
    </row>
    <row r="4133">
      <c r="A4133" s="3" t="s">
        <v>12849</v>
      </c>
      <c r="B4133" s="3" t="s">
        <v>4160</v>
      </c>
      <c r="C4133" s="5" t="s">
        <v>221</v>
      </c>
      <c r="D4133" s="3" t="s">
        <v>614</v>
      </c>
      <c r="E4133" s="3" t="s">
        <v>118</v>
      </c>
      <c r="F4133" s="7">
        <v>45830.27572258401</v>
      </c>
      <c r="G4133" s="3" t="s">
        <v>12851</v>
      </c>
    </row>
    <row r="4134">
      <c r="A4134" s="3" t="s">
        <v>12852</v>
      </c>
      <c r="B4134" s="3" t="s">
        <v>4160</v>
      </c>
      <c r="C4134" s="5" t="s">
        <v>614</v>
      </c>
      <c r="D4134" s="3" t="s">
        <v>206</v>
      </c>
      <c r="E4134" s="3" t="s">
        <v>100</v>
      </c>
      <c r="F4134" s="7">
        <v>45830.27919480624</v>
      </c>
      <c r="G4134" s="3" t="s">
        <v>12854</v>
      </c>
    </row>
    <row r="4135">
      <c r="A4135" s="3" t="s">
        <v>12856</v>
      </c>
      <c r="B4135" s="3" t="s">
        <v>4160</v>
      </c>
      <c r="C4135" s="5" t="s">
        <v>206</v>
      </c>
      <c r="D4135" s="3" t="s">
        <v>68</v>
      </c>
      <c r="E4135" s="3" t="s">
        <v>100</v>
      </c>
      <c r="F4135" s="7">
        <v>45830.282667028456</v>
      </c>
      <c r="G4135" s="3" t="s">
        <v>12858</v>
      </c>
    </row>
    <row r="4136">
      <c r="A4136" s="3" t="s">
        <v>12859</v>
      </c>
      <c r="B4136" s="3" t="s">
        <v>4163</v>
      </c>
      <c r="C4136" s="5" t="s">
        <v>45</v>
      </c>
      <c r="D4136" s="3" t="s">
        <v>221</v>
      </c>
      <c r="E4136" s="3" t="s">
        <v>916</v>
      </c>
      <c r="F4136" s="7">
        <v>45830.34342520721</v>
      </c>
      <c r="G4136" s="3" t="s">
        <v>12861</v>
      </c>
    </row>
    <row r="4137">
      <c r="A4137" s="3" t="s">
        <v>12862</v>
      </c>
      <c r="B4137" s="3" t="s">
        <v>4163</v>
      </c>
      <c r="C4137" s="5" t="s">
        <v>221</v>
      </c>
      <c r="D4137" s="3" t="s">
        <v>614</v>
      </c>
      <c r="E4137" s="3" t="s">
        <v>118</v>
      </c>
      <c r="F4137" s="7">
        <v>45830.34689742943</v>
      </c>
      <c r="G4137" s="3" t="s">
        <v>12865</v>
      </c>
    </row>
    <row r="4138">
      <c r="A4138" s="3" t="s">
        <v>12866</v>
      </c>
      <c r="B4138" s="3" t="s">
        <v>4163</v>
      </c>
      <c r="C4138" s="5" t="s">
        <v>614</v>
      </c>
      <c r="D4138" s="3" t="s">
        <v>206</v>
      </c>
      <c r="E4138" s="3" t="s">
        <v>100</v>
      </c>
      <c r="F4138" s="7">
        <v>45830.35036965166</v>
      </c>
      <c r="G4138" s="3" t="s">
        <v>12868</v>
      </c>
    </row>
    <row r="4139">
      <c r="A4139" s="3" t="s">
        <v>12869</v>
      </c>
      <c r="B4139" s="3" t="s">
        <v>4163</v>
      </c>
      <c r="C4139" s="5" t="s">
        <v>206</v>
      </c>
      <c r="D4139" s="3" t="s">
        <v>68</v>
      </c>
      <c r="E4139" s="3" t="s">
        <v>100</v>
      </c>
      <c r="F4139" s="7">
        <v>45830.353841873875</v>
      </c>
      <c r="G4139" s="3" t="s">
        <v>12871</v>
      </c>
    </row>
    <row r="4140">
      <c r="A4140" s="3" t="s">
        <v>12873</v>
      </c>
      <c r="B4140" s="3" t="s">
        <v>4166</v>
      </c>
      <c r="C4140" s="5" t="s">
        <v>45</v>
      </c>
      <c r="D4140" s="3" t="s">
        <v>221</v>
      </c>
      <c r="E4140" s="3" t="s">
        <v>204</v>
      </c>
      <c r="F4140" s="7">
        <v>45830.41460005262</v>
      </c>
      <c r="G4140" s="3" t="s">
        <v>12875</v>
      </c>
    </row>
    <row r="4141">
      <c r="A4141" s="3" t="s">
        <v>12876</v>
      </c>
      <c r="B4141" s="3" t="s">
        <v>4166</v>
      </c>
      <c r="C4141" s="5" t="s">
        <v>221</v>
      </c>
      <c r="D4141" s="3" t="s">
        <v>614</v>
      </c>
      <c r="E4141" s="3" t="s">
        <v>118</v>
      </c>
      <c r="F4141" s="7">
        <v>45830.41807227484</v>
      </c>
      <c r="G4141" s="3" t="s">
        <v>12878</v>
      </c>
    </row>
    <row r="4142">
      <c r="A4142" s="3" t="s">
        <v>12879</v>
      </c>
      <c r="B4142" s="3" t="s">
        <v>4166</v>
      </c>
      <c r="C4142" s="5" t="s">
        <v>614</v>
      </c>
      <c r="D4142" s="3" t="s">
        <v>206</v>
      </c>
      <c r="E4142" s="3" t="s">
        <v>100</v>
      </c>
      <c r="F4142" s="7">
        <v>45830.42154449707</v>
      </c>
      <c r="G4142" s="3" t="s">
        <v>12881</v>
      </c>
    </row>
    <row r="4143">
      <c r="A4143" s="3" t="s">
        <v>12883</v>
      </c>
      <c r="B4143" s="3" t="s">
        <v>4166</v>
      </c>
      <c r="C4143" s="5" t="s">
        <v>206</v>
      </c>
      <c r="D4143" s="3" t="s">
        <v>68</v>
      </c>
      <c r="E4143" s="3" t="s">
        <v>100</v>
      </c>
      <c r="F4143" s="7">
        <v>45830.42501671929</v>
      </c>
      <c r="G4143" s="3" t="s">
        <v>12885</v>
      </c>
    </row>
    <row r="4144">
      <c r="A4144" s="3" t="s">
        <v>12886</v>
      </c>
      <c r="B4144" s="3" t="s">
        <v>4170</v>
      </c>
      <c r="C4144" s="5" t="s">
        <v>45</v>
      </c>
      <c r="D4144" s="3" t="s">
        <v>221</v>
      </c>
      <c r="E4144" s="3" t="s">
        <v>949</v>
      </c>
      <c r="F4144" s="7">
        <v>45830.485774898036</v>
      </c>
      <c r="G4144" s="3" t="s">
        <v>12888</v>
      </c>
    </row>
    <row r="4145">
      <c r="A4145" s="3" t="s">
        <v>12890</v>
      </c>
      <c r="B4145" s="3" t="s">
        <v>4170</v>
      </c>
      <c r="C4145" s="5" t="s">
        <v>221</v>
      </c>
      <c r="D4145" s="3" t="s">
        <v>614</v>
      </c>
      <c r="E4145" s="3" t="s">
        <v>118</v>
      </c>
      <c r="F4145" s="7">
        <v>45830.489247120255</v>
      </c>
      <c r="G4145" s="3" t="s">
        <v>12892</v>
      </c>
    </row>
    <row r="4146">
      <c r="A4146" s="3" t="s">
        <v>12893</v>
      </c>
      <c r="B4146" s="3" t="s">
        <v>4170</v>
      </c>
      <c r="C4146" s="5" t="s">
        <v>614</v>
      </c>
      <c r="D4146" s="3" t="s">
        <v>206</v>
      </c>
      <c r="E4146" s="3" t="s">
        <v>100</v>
      </c>
      <c r="F4146" s="7">
        <v>45830.49271934248</v>
      </c>
      <c r="G4146" s="3" t="s">
        <v>12895</v>
      </c>
    </row>
    <row r="4147">
      <c r="A4147" s="3" t="s">
        <v>12896</v>
      </c>
      <c r="B4147" s="3" t="s">
        <v>4170</v>
      </c>
      <c r="C4147" s="5" t="s">
        <v>206</v>
      </c>
      <c r="D4147" s="3" t="s">
        <v>68</v>
      </c>
      <c r="E4147" s="3" t="s">
        <v>100</v>
      </c>
      <c r="F4147" s="7">
        <v>45830.4961915647</v>
      </c>
      <c r="G4147" s="3" t="s">
        <v>12898</v>
      </c>
    </row>
    <row r="4148">
      <c r="A4148" s="3" t="s">
        <v>12899</v>
      </c>
      <c r="B4148" s="3" t="s">
        <v>4174</v>
      </c>
      <c r="C4148" s="5" t="s">
        <v>45</v>
      </c>
      <c r="D4148" s="3" t="s">
        <v>221</v>
      </c>
      <c r="E4148" s="3" t="s">
        <v>287</v>
      </c>
      <c r="F4148" s="7">
        <v>45830.556949743455</v>
      </c>
      <c r="G4148" s="3" t="s">
        <v>12901</v>
      </c>
    </row>
    <row r="4149">
      <c r="A4149" s="3" t="s">
        <v>12903</v>
      </c>
      <c r="B4149" s="3" t="s">
        <v>4174</v>
      </c>
      <c r="C4149" s="5" t="s">
        <v>221</v>
      </c>
      <c r="D4149" s="3" t="s">
        <v>614</v>
      </c>
      <c r="E4149" s="3" t="s">
        <v>118</v>
      </c>
      <c r="F4149" s="7">
        <v>45830.560421965674</v>
      </c>
      <c r="G4149" s="3" t="s">
        <v>12905</v>
      </c>
    </row>
    <row r="4150">
      <c r="A4150" s="3" t="s">
        <v>12906</v>
      </c>
      <c r="B4150" s="3" t="s">
        <v>4174</v>
      </c>
      <c r="C4150" s="5" t="s">
        <v>614</v>
      </c>
      <c r="D4150" s="3" t="s">
        <v>206</v>
      </c>
      <c r="E4150" s="3" t="s">
        <v>100</v>
      </c>
      <c r="F4150" s="7">
        <v>45830.5638941879</v>
      </c>
      <c r="G4150" s="3" t="s">
        <v>12908</v>
      </c>
    </row>
    <row r="4151">
      <c r="A4151" s="3" t="s">
        <v>12910</v>
      </c>
      <c r="B4151" s="3" t="s">
        <v>4174</v>
      </c>
      <c r="C4151" s="5" t="s">
        <v>206</v>
      </c>
      <c r="D4151" s="3" t="s">
        <v>68</v>
      </c>
      <c r="E4151" s="3" t="s">
        <v>100</v>
      </c>
      <c r="F4151" s="7">
        <v>45830.56736641012</v>
      </c>
      <c r="G4151" s="3" t="s">
        <v>12911</v>
      </c>
    </row>
    <row r="4152">
      <c r="A4152" s="3" t="s">
        <v>12913</v>
      </c>
      <c r="B4152" s="3" t="s">
        <v>4177</v>
      </c>
      <c r="C4152" s="5" t="s">
        <v>45</v>
      </c>
      <c r="D4152" s="3" t="s">
        <v>221</v>
      </c>
      <c r="E4152" s="3" t="s">
        <v>296</v>
      </c>
      <c r="F4152" s="7">
        <v>45830.62812458887</v>
      </c>
      <c r="G4152" s="3" t="s">
        <v>12915</v>
      </c>
    </row>
    <row r="4153">
      <c r="A4153" s="3" t="s">
        <v>12916</v>
      </c>
      <c r="B4153" s="3" t="s">
        <v>4177</v>
      </c>
      <c r="C4153" s="5" t="s">
        <v>221</v>
      </c>
      <c r="D4153" s="3" t="s">
        <v>614</v>
      </c>
      <c r="E4153" s="3" t="s">
        <v>118</v>
      </c>
      <c r="F4153" s="7">
        <v>45830.63159681109</v>
      </c>
      <c r="G4153" s="3" t="s">
        <v>12918</v>
      </c>
    </row>
    <row r="4154">
      <c r="A4154" s="3" t="s">
        <v>12919</v>
      </c>
      <c r="B4154" s="3" t="s">
        <v>4177</v>
      </c>
      <c r="C4154" s="5" t="s">
        <v>614</v>
      </c>
      <c r="D4154" s="3" t="s">
        <v>206</v>
      </c>
      <c r="E4154" s="3" t="s">
        <v>100</v>
      </c>
      <c r="F4154" s="7">
        <v>45830.63506903331</v>
      </c>
      <c r="G4154" s="3" t="s">
        <v>12922</v>
      </c>
    </row>
    <row r="4155">
      <c r="A4155" s="3" t="s">
        <v>12923</v>
      </c>
      <c r="B4155" s="3" t="s">
        <v>4177</v>
      </c>
      <c r="C4155" s="5" t="s">
        <v>206</v>
      </c>
      <c r="D4155" s="3" t="s">
        <v>68</v>
      </c>
      <c r="E4155" s="3" t="s">
        <v>100</v>
      </c>
      <c r="F4155" s="7">
        <v>45830.63854125553</v>
      </c>
      <c r="G4155" s="3" t="s">
        <v>12925</v>
      </c>
    </row>
    <row r="4156">
      <c r="A4156" s="3" t="s">
        <v>12927</v>
      </c>
      <c r="B4156" s="3" t="s">
        <v>4180</v>
      </c>
      <c r="C4156" s="5" t="s">
        <v>45</v>
      </c>
      <c r="D4156" s="3" t="s">
        <v>221</v>
      </c>
      <c r="E4156" s="3" t="s">
        <v>1008</v>
      </c>
      <c r="F4156" s="7">
        <v>45830.69929943428</v>
      </c>
      <c r="G4156" s="3" t="s">
        <v>12929</v>
      </c>
    </row>
    <row r="4157">
      <c r="A4157" s="3" t="s">
        <v>12930</v>
      </c>
      <c r="B4157" s="3" t="s">
        <v>4180</v>
      </c>
      <c r="C4157" s="5" t="s">
        <v>221</v>
      </c>
      <c r="D4157" s="3" t="s">
        <v>614</v>
      </c>
      <c r="E4157" s="3" t="s">
        <v>118</v>
      </c>
      <c r="F4157" s="7">
        <v>45830.7027716565</v>
      </c>
      <c r="G4157" s="3" t="s">
        <v>12932</v>
      </c>
    </row>
    <row r="4158">
      <c r="A4158" s="3" t="s">
        <v>12934</v>
      </c>
      <c r="B4158" s="3" t="s">
        <v>4180</v>
      </c>
      <c r="C4158" s="5" t="s">
        <v>614</v>
      </c>
      <c r="D4158" s="3" t="s">
        <v>206</v>
      </c>
      <c r="E4158" s="3" t="s">
        <v>100</v>
      </c>
      <c r="F4158" s="7">
        <v>45830.706243878725</v>
      </c>
      <c r="G4158" s="3" t="s">
        <v>12936</v>
      </c>
    </row>
    <row r="4159">
      <c r="A4159" s="3" t="s">
        <v>12937</v>
      </c>
      <c r="B4159" s="3" t="s">
        <v>4180</v>
      </c>
      <c r="C4159" s="5" t="s">
        <v>206</v>
      </c>
      <c r="D4159" s="3" t="s">
        <v>68</v>
      </c>
      <c r="E4159" s="3" t="s">
        <v>100</v>
      </c>
      <c r="F4159" s="7">
        <v>45830.709716100944</v>
      </c>
      <c r="G4159" s="3" t="s">
        <v>12939</v>
      </c>
    </row>
    <row r="4160">
      <c r="A4160" s="3" t="s">
        <v>12940</v>
      </c>
      <c r="B4160" s="3" t="s">
        <v>4183</v>
      </c>
      <c r="C4160" s="5" t="s">
        <v>45</v>
      </c>
      <c r="D4160" s="3" t="s">
        <v>221</v>
      </c>
      <c r="E4160" s="3" t="s">
        <v>485</v>
      </c>
      <c r="F4160" s="7">
        <v>45830.7704742797</v>
      </c>
      <c r="G4160" s="3" t="s">
        <v>12942</v>
      </c>
    </row>
    <row r="4161">
      <c r="A4161" s="3" t="s">
        <v>12944</v>
      </c>
      <c r="B4161" s="3" t="s">
        <v>4183</v>
      </c>
      <c r="C4161" s="5" t="s">
        <v>221</v>
      </c>
      <c r="D4161" s="3" t="s">
        <v>614</v>
      </c>
      <c r="E4161" s="3" t="s">
        <v>118</v>
      </c>
      <c r="F4161" s="7">
        <v>45830.77394650192</v>
      </c>
      <c r="G4161" s="3" t="s">
        <v>12946</v>
      </c>
    </row>
    <row r="4162">
      <c r="A4162" s="3" t="s">
        <v>12947</v>
      </c>
      <c r="B4162" s="3" t="s">
        <v>4183</v>
      </c>
      <c r="C4162" s="5" t="s">
        <v>614</v>
      </c>
      <c r="D4162" s="3" t="s">
        <v>206</v>
      </c>
      <c r="E4162" s="3" t="s">
        <v>100</v>
      </c>
      <c r="F4162" s="7">
        <v>45830.777418724145</v>
      </c>
      <c r="G4162" s="3" t="s">
        <v>12949</v>
      </c>
    </row>
    <row r="4163">
      <c r="A4163" s="3" t="s">
        <v>12950</v>
      </c>
      <c r="B4163" s="3" t="s">
        <v>4183</v>
      </c>
      <c r="C4163" s="5" t="s">
        <v>206</v>
      </c>
      <c r="D4163" s="3" t="s">
        <v>68</v>
      </c>
      <c r="E4163" s="3" t="s">
        <v>100</v>
      </c>
      <c r="F4163" s="7">
        <v>45830.780890946364</v>
      </c>
      <c r="G4163" s="3" t="s">
        <v>12952</v>
      </c>
    </row>
    <row r="4164">
      <c r="A4164" s="3" t="s">
        <v>12954</v>
      </c>
      <c r="B4164" s="3" t="s">
        <v>4186</v>
      </c>
      <c r="C4164" s="5" t="s">
        <v>45</v>
      </c>
      <c r="D4164" s="3" t="s">
        <v>221</v>
      </c>
      <c r="E4164" s="3" t="s">
        <v>333</v>
      </c>
      <c r="F4164" s="7">
        <v>45830.84164912511</v>
      </c>
      <c r="G4164" s="3" t="s">
        <v>12956</v>
      </c>
    </row>
    <row r="4165">
      <c r="A4165" s="3" t="s">
        <v>12957</v>
      </c>
      <c r="B4165" s="3" t="s">
        <v>4186</v>
      </c>
      <c r="C4165" s="5" t="s">
        <v>221</v>
      </c>
      <c r="D4165" s="3" t="s">
        <v>614</v>
      </c>
      <c r="E4165" s="3" t="s">
        <v>118</v>
      </c>
      <c r="F4165" s="7">
        <v>45830.84512134733</v>
      </c>
      <c r="G4165" s="3" t="s">
        <v>12959</v>
      </c>
    </row>
    <row r="4166">
      <c r="A4166" s="3" t="s">
        <v>12960</v>
      </c>
      <c r="B4166" s="3" t="s">
        <v>4186</v>
      </c>
      <c r="C4166" s="5" t="s">
        <v>614</v>
      </c>
      <c r="D4166" s="3" t="s">
        <v>206</v>
      </c>
      <c r="E4166" s="3" t="s">
        <v>100</v>
      </c>
      <c r="F4166" s="7">
        <v>45830.84859356956</v>
      </c>
      <c r="G4166" s="3" t="s">
        <v>12962</v>
      </c>
    </row>
    <row r="4167">
      <c r="A4167" s="3" t="s">
        <v>12963</v>
      </c>
      <c r="B4167" s="3" t="s">
        <v>4186</v>
      </c>
      <c r="C4167" s="5" t="s">
        <v>206</v>
      </c>
      <c r="D4167" s="3" t="s">
        <v>68</v>
      </c>
      <c r="E4167" s="3" t="s">
        <v>100</v>
      </c>
      <c r="F4167" s="7">
        <v>45830.852065791776</v>
      </c>
      <c r="G4167" s="3" t="s">
        <v>12965</v>
      </c>
    </row>
    <row r="4168">
      <c r="A4168" s="3" t="s">
        <v>12967</v>
      </c>
      <c r="B4168" s="3" t="s">
        <v>4189</v>
      </c>
      <c r="C4168" s="5" t="s">
        <v>45</v>
      </c>
      <c r="D4168" s="3" t="s">
        <v>221</v>
      </c>
      <c r="E4168" s="3" t="s">
        <v>521</v>
      </c>
      <c r="F4168" s="7">
        <v>45830.912823970524</v>
      </c>
      <c r="G4168" s="3" t="s">
        <v>12969</v>
      </c>
    </row>
    <row r="4169">
      <c r="A4169" s="3" t="s">
        <v>12970</v>
      </c>
      <c r="B4169" s="3" t="s">
        <v>4189</v>
      </c>
      <c r="C4169" s="5" t="s">
        <v>221</v>
      </c>
      <c r="D4169" s="3" t="s">
        <v>614</v>
      </c>
      <c r="E4169" s="3" t="s">
        <v>118</v>
      </c>
      <c r="F4169" s="7">
        <v>45830.91629619274</v>
      </c>
      <c r="G4169" s="3" t="s">
        <v>12972</v>
      </c>
    </row>
    <row r="4170">
      <c r="A4170" s="3" t="s">
        <v>12974</v>
      </c>
      <c r="B4170" s="3" t="s">
        <v>4189</v>
      </c>
      <c r="C4170" s="5" t="s">
        <v>614</v>
      </c>
      <c r="D4170" s="3" t="s">
        <v>206</v>
      </c>
      <c r="E4170" s="3" t="s">
        <v>100</v>
      </c>
      <c r="F4170" s="7">
        <v>45830.91976841497</v>
      </c>
      <c r="G4170" s="3" t="s">
        <v>12976</v>
      </c>
    </row>
    <row r="4171">
      <c r="A4171" s="3" t="s">
        <v>12977</v>
      </c>
      <c r="B4171" s="3" t="s">
        <v>4189</v>
      </c>
      <c r="C4171" s="5" t="s">
        <v>206</v>
      </c>
      <c r="D4171" s="3" t="s">
        <v>68</v>
      </c>
      <c r="E4171" s="3" t="s">
        <v>100</v>
      </c>
      <c r="F4171" s="7">
        <v>45830.92324063719</v>
      </c>
      <c r="G4171" s="3" t="s">
        <v>12979</v>
      </c>
    </row>
    <row r="4172">
      <c r="A4172" s="3" t="s">
        <v>12980</v>
      </c>
      <c r="B4172" s="3" t="s">
        <v>4191</v>
      </c>
      <c r="C4172" s="5" t="s">
        <v>45</v>
      </c>
      <c r="D4172" s="3" t="s">
        <v>221</v>
      </c>
      <c r="E4172" s="3" t="s">
        <v>527</v>
      </c>
      <c r="F4172" s="7">
        <v>45830.983998815944</v>
      </c>
      <c r="G4172" s="3" t="s">
        <v>12983</v>
      </c>
    </row>
    <row r="4173">
      <c r="A4173" s="3" t="s">
        <v>12984</v>
      </c>
      <c r="B4173" s="3" t="s">
        <v>4191</v>
      </c>
      <c r="C4173" s="5" t="s">
        <v>221</v>
      </c>
      <c r="D4173" s="3" t="s">
        <v>181</v>
      </c>
      <c r="E4173" s="3" t="s">
        <v>118</v>
      </c>
      <c r="F4173" s="7">
        <v>45830.98747103816</v>
      </c>
      <c r="G4173" s="3" t="s">
        <v>12986</v>
      </c>
    </row>
    <row r="4174">
      <c r="A4174" s="3" t="s">
        <v>12987</v>
      </c>
      <c r="B4174" s="3" t="s">
        <v>4194</v>
      </c>
      <c r="C4174" s="5" t="s">
        <v>45</v>
      </c>
      <c r="D4174" s="3" t="s">
        <v>221</v>
      </c>
      <c r="E4174" s="3" t="s">
        <v>746</v>
      </c>
      <c r="F4174" s="7">
        <v>45831.05517366136</v>
      </c>
      <c r="G4174" s="3" t="s">
        <v>12100</v>
      </c>
    </row>
    <row r="4175">
      <c r="A4175" s="3" t="s">
        <v>12990</v>
      </c>
      <c r="B4175" s="3" t="s">
        <v>4194</v>
      </c>
      <c r="C4175" s="5" t="s">
        <v>221</v>
      </c>
      <c r="D4175" s="3" t="s">
        <v>614</v>
      </c>
      <c r="E4175" s="3" t="s">
        <v>118</v>
      </c>
      <c r="F4175" s="7">
        <v>45831.05864588358</v>
      </c>
      <c r="G4175" s="3" t="s">
        <v>12992</v>
      </c>
    </row>
    <row r="4176">
      <c r="A4176" s="3" t="s">
        <v>12993</v>
      </c>
      <c r="B4176" s="3" t="s">
        <v>4194</v>
      </c>
      <c r="C4176" s="5" t="s">
        <v>614</v>
      </c>
      <c r="D4176" s="3" t="s">
        <v>206</v>
      </c>
      <c r="E4176" s="3" t="s">
        <v>100</v>
      </c>
      <c r="F4176" s="7">
        <v>45831.06211810581</v>
      </c>
      <c r="G4176" s="3" t="s">
        <v>12995</v>
      </c>
    </row>
    <row r="4177">
      <c r="A4177" s="3" t="s">
        <v>12996</v>
      </c>
      <c r="B4177" s="3" t="s">
        <v>4194</v>
      </c>
      <c r="C4177" s="5" t="s">
        <v>206</v>
      </c>
      <c r="D4177" s="3" t="s">
        <v>68</v>
      </c>
      <c r="E4177" s="3" t="s">
        <v>100</v>
      </c>
      <c r="F4177" s="7">
        <v>45831.06559032803</v>
      </c>
      <c r="G4177" s="3" t="s">
        <v>12998</v>
      </c>
    </row>
    <row r="4178">
      <c r="A4178" s="3" t="s">
        <v>12999</v>
      </c>
      <c r="B4178" s="3" t="s">
        <v>4198</v>
      </c>
      <c r="C4178" s="5" t="s">
        <v>45</v>
      </c>
      <c r="D4178" s="3" t="s">
        <v>221</v>
      </c>
      <c r="E4178" s="3" t="s">
        <v>735</v>
      </c>
      <c r="F4178" s="7">
        <v>45831.12634850677</v>
      </c>
      <c r="G4178" s="3" t="s">
        <v>13001</v>
      </c>
    </row>
    <row r="4179">
      <c r="A4179" s="3" t="s">
        <v>13003</v>
      </c>
      <c r="B4179" s="3" t="s">
        <v>4198</v>
      </c>
      <c r="C4179" s="5" t="s">
        <v>221</v>
      </c>
      <c r="D4179" s="3" t="s">
        <v>614</v>
      </c>
      <c r="E4179" s="3" t="s">
        <v>118</v>
      </c>
      <c r="F4179" s="7">
        <v>45831.12982072899</v>
      </c>
      <c r="G4179" s="3" t="s">
        <v>13005</v>
      </c>
    </row>
    <row r="4180">
      <c r="A4180" s="3" t="s">
        <v>13006</v>
      </c>
      <c r="B4180" s="3" t="s">
        <v>4198</v>
      </c>
      <c r="C4180" s="5" t="s">
        <v>614</v>
      </c>
      <c r="D4180" s="3" t="s">
        <v>206</v>
      </c>
      <c r="E4180" s="3" t="s">
        <v>100</v>
      </c>
      <c r="F4180" s="7">
        <v>45831.133292951214</v>
      </c>
      <c r="G4180" s="3" t="s">
        <v>13008</v>
      </c>
    </row>
    <row r="4181">
      <c r="A4181" s="3" t="s">
        <v>13009</v>
      </c>
      <c r="B4181" s="3" t="s">
        <v>4198</v>
      </c>
      <c r="C4181" s="5" t="s">
        <v>206</v>
      </c>
      <c r="D4181" s="3" t="s">
        <v>68</v>
      </c>
      <c r="E4181" s="3" t="s">
        <v>100</v>
      </c>
      <c r="F4181" s="7">
        <v>45831.13676517343</v>
      </c>
      <c r="G4181" s="3" t="s">
        <v>13011</v>
      </c>
    </row>
    <row r="4182">
      <c r="A4182" s="3" t="s">
        <v>13012</v>
      </c>
      <c r="B4182" s="3" t="s">
        <v>4201</v>
      </c>
      <c r="C4182" s="5" t="s">
        <v>45</v>
      </c>
      <c r="D4182" s="3" t="s">
        <v>221</v>
      </c>
      <c r="E4182" s="3" t="s">
        <v>197</v>
      </c>
      <c r="F4182" s="7">
        <v>45831.19752335219</v>
      </c>
      <c r="G4182" s="3" t="s">
        <v>13014</v>
      </c>
    </row>
    <row r="4183">
      <c r="A4183" s="3" t="s">
        <v>13016</v>
      </c>
      <c r="B4183" s="3" t="s">
        <v>4201</v>
      </c>
      <c r="C4183" s="5" t="s">
        <v>221</v>
      </c>
      <c r="D4183" s="3" t="s">
        <v>614</v>
      </c>
      <c r="E4183" s="3" t="s">
        <v>118</v>
      </c>
      <c r="F4183" s="7">
        <v>45831.20099557441</v>
      </c>
      <c r="G4183" s="3" t="s">
        <v>13017</v>
      </c>
    </row>
    <row r="4184">
      <c r="A4184" s="3" t="s">
        <v>13019</v>
      </c>
      <c r="B4184" s="3" t="s">
        <v>4201</v>
      </c>
      <c r="C4184" s="5" t="s">
        <v>614</v>
      </c>
      <c r="D4184" s="3" t="s">
        <v>206</v>
      </c>
      <c r="E4184" s="3" t="s">
        <v>100</v>
      </c>
      <c r="F4184" s="7">
        <v>45831.20446779663</v>
      </c>
      <c r="G4184" s="3" t="s">
        <v>13020</v>
      </c>
    </row>
    <row r="4185">
      <c r="A4185" s="3" t="s">
        <v>13022</v>
      </c>
      <c r="B4185" s="3" t="s">
        <v>4201</v>
      </c>
      <c r="C4185" s="5" t="s">
        <v>206</v>
      </c>
      <c r="D4185" s="3" t="s">
        <v>68</v>
      </c>
      <c r="E4185" s="3" t="s">
        <v>100</v>
      </c>
      <c r="F4185" s="7">
        <v>45831.20794001885</v>
      </c>
      <c r="G4185" s="3" t="s">
        <v>13024</v>
      </c>
    </row>
    <row r="4186">
      <c r="A4186" s="3" t="s">
        <v>13025</v>
      </c>
      <c r="B4186" s="3" t="s">
        <v>4204</v>
      </c>
      <c r="C4186" s="5" t="s">
        <v>45</v>
      </c>
      <c r="D4186" s="3" t="s">
        <v>221</v>
      </c>
      <c r="E4186" s="3" t="s">
        <v>601</v>
      </c>
      <c r="F4186" s="7">
        <v>45831.26869819761</v>
      </c>
      <c r="G4186" s="3" t="s">
        <v>10584</v>
      </c>
    </row>
    <row r="4187">
      <c r="A4187" s="3" t="s">
        <v>13027</v>
      </c>
      <c r="B4187" s="3" t="s">
        <v>4204</v>
      </c>
      <c r="C4187" s="5" t="s">
        <v>221</v>
      </c>
      <c r="D4187" s="3" t="s">
        <v>181</v>
      </c>
      <c r="E4187" s="3" t="s">
        <v>118</v>
      </c>
      <c r="F4187" s="7">
        <v>45831.27217041983</v>
      </c>
      <c r="G4187" s="3" t="s">
        <v>10587</v>
      </c>
    </row>
    <row r="4188">
      <c r="A4188" s="3" t="s">
        <v>13030</v>
      </c>
      <c r="B4188" s="3" t="s">
        <v>4207</v>
      </c>
      <c r="C4188" s="5" t="s">
        <v>45</v>
      </c>
      <c r="D4188" s="3" t="s">
        <v>221</v>
      </c>
      <c r="E4188" s="3" t="s">
        <v>498</v>
      </c>
      <c r="F4188" s="7">
        <v>45831.33987304302</v>
      </c>
      <c r="G4188" s="3" t="s">
        <v>13032</v>
      </c>
    </row>
    <row r="4189">
      <c r="A4189" s="3" t="s">
        <v>13033</v>
      </c>
      <c r="B4189" s="3" t="s">
        <v>4207</v>
      </c>
      <c r="C4189" s="5" t="s">
        <v>221</v>
      </c>
      <c r="D4189" s="3" t="s">
        <v>181</v>
      </c>
      <c r="E4189" s="3" t="s">
        <v>118</v>
      </c>
      <c r="F4189" s="7">
        <v>45831.34334526524</v>
      </c>
      <c r="G4189" s="3" t="s">
        <v>13035</v>
      </c>
    </row>
    <row r="4190">
      <c r="A4190" s="3" t="s">
        <v>13036</v>
      </c>
      <c r="B4190" s="3" t="s">
        <v>4210</v>
      </c>
      <c r="C4190" s="5" t="s">
        <v>45</v>
      </c>
      <c r="D4190" s="3" t="s">
        <v>221</v>
      </c>
      <c r="E4190" s="3" t="s">
        <v>579</v>
      </c>
      <c r="F4190" s="7">
        <v>45831.41104788843</v>
      </c>
      <c r="G4190" s="3" t="s">
        <v>13039</v>
      </c>
    </row>
    <row r="4191">
      <c r="A4191" s="3" t="s">
        <v>13040</v>
      </c>
      <c r="B4191" s="3" t="s">
        <v>4210</v>
      </c>
      <c r="C4191" s="5" t="s">
        <v>221</v>
      </c>
      <c r="D4191" s="3" t="s">
        <v>614</v>
      </c>
      <c r="E4191" s="3" t="s">
        <v>118</v>
      </c>
      <c r="F4191" s="7">
        <v>45831.41452011065</v>
      </c>
      <c r="G4191" s="3" t="s">
        <v>13042</v>
      </c>
    </row>
    <row r="4192">
      <c r="A4192" s="3" t="s">
        <v>13043</v>
      </c>
      <c r="B4192" s="3" t="s">
        <v>4210</v>
      </c>
      <c r="C4192" s="5" t="s">
        <v>614</v>
      </c>
      <c r="D4192" s="3" t="s">
        <v>206</v>
      </c>
      <c r="E4192" s="3" t="s">
        <v>100</v>
      </c>
      <c r="F4192" s="7">
        <v>45831.41799233288</v>
      </c>
      <c r="G4192" s="3" t="s">
        <v>13045</v>
      </c>
    </row>
    <row r="4193">
      <c r="A4193" s="3" t="s">
        <v>13047</v>
      </c>
      <c r="B4193" s="3" t="s">
        <v>4210</v>
      </c>
      <c r="C4193" s="5" t="s">
        <v>206</v>
      </c>
      <c r="D4193" s="3" t="s">
        <v>68</v>
      </c>
      <c r="E4193" s="3" t="s">
        <v>100</v>
      </c>
      <c r="F4193" s="7">
        <v>45831.4214645551</v>
      </c>
      <c r="G4193" s="3" t="s">
        <v>13049</v>
      </c>
    </row>
    <row r="4194">
      <c r="A4194" s="3" t="s">
        <v>13050</v>
      </c>
      <c r="B4194" s="3" t="s">
        <v>4213</v>
      </c>
      <c r="C4194" s="5" t="s">
        <v>45</v>
      </c>
      <c r="D4194" s="3" t="s">
        <v>221</v>
      </c>
      <c r="E4194" s="3" t="s">
        <v>239</v>
      </c>
      <c r="F4194" s="7">
        <v>45831.48222273385</v>
      </c>
      <c r="G4194" s="3" t="s">
        <v>5833</v>
      </c>
    </row>
    <row r="4195">
      <c r="A4195" s="3" t="s">
        <v>13053</v>
      </c>
      <c r="B4195" s="3" t="s">
        <v>4213</v>
      </c>
      <c r="C4195" s="5" t="s">
        <v>221</v>
      </c>
      <c r="D4195" s="3" t="s">
        <v>195</v>
      </c>
      <c r="E4195" s="3" t="s">
        <v>239</v>
      </c>
      <c r="F4195" s="7">
        <v>45831.48569495607</v>
      </c>
      <c r="G4195" s="3" t="s">
        <v>12595</v>
      </c>
    </row>
    <row r="4196">
      <c r="A4196" s="3" t="s">
        <v>13055</v>
      </c>
      <c r="B4196" s="3" t="s">
        <v>4216</v>
      </c>
      <c r="C4196" s="5" t="s">
        <v>45</v>
      </c>
      <c r="D4196" s="3" t="s">
        <v>221</v>
      </c>
      <c r="E4196" s="3" t="s">
        <v>559</v>
      </c>
      <c r="F4196" s="7">
        <v>45831.553397579264</v>
      </c>
      <c r="G4196" s="3" t="s">
        <v>13057</v>
      </c>
    </row>
    <row r="4197">
      <c r="A4197" s="3" t="s">
        <v>13059</v>
      </c>
      <c r="B4197" s="3" t="s">
        <v>4216</v>
      </c>
      <c r="C4197" s="5" t="s">
        <v>221</v>
      </c>
      <c r="D4197" s="3" t="s">
        <v>614</v>
      </c>
      <c r="E4197" s="3" t="s">
        <v>118</v>
      </c>
      <c r="F4197" s="7">
        <v>45831.55686980148</v>
      </c>
      <c r="G4197" s="3" t="s">
        <v>13061</v>
      </c>
    </row>
    <row r="4198">
      <c r="A4198" s="3" t="s">
        <v>13062</v>
      </c>
      <c r="B4198" s="3" t="s">
        <v>4216</v>
      </c>
      <c r="C4198" s="5" t="s">
        <v>614</v>
      </c>
      <c r="D4198" s="3" t="s">
        <v>206</v>
      </c>
      <c r="E4198" s="3" t="s">
        <v>100</v>
      </c>
      <c r="F4198" s="7">
        <v>45831.56034202371</v>
      </c>
      <c r="G4198" s="3" t="s">
        <v>13064</v>
      </c>
    </row>
    <row r="4199">
      <c r="A4199" s="3" t="s">
        <v>13065</v>
      </c>
      <c r="B4199" s="3" t="s">
        <v>4216</v>
      </c>
      <c r="C4199" s="5" t="s">
        <v>206</v>
      </c>
      <c r="D4199" s="3" t="s">
        <v>68</v>
      </c>
      <c r="E4199" s="3" t="s">
        <v>100</v>
      </c>
      <c r="F4199" s="7">
        <v>45831.56381424593</v>
      </c>
      <c r="G4199" s="3" t="s">
        <v>13068</v>
      </c>
    </row>
    <row r="4200">
      <c r="A4200" s="3" t="s">
        <v>13069</v>
      </c>
      <c r="B4200" s="3" t="s">
        <v>4219</v>
      </c>
      <c r="C4200" s="5" t="s">
        <v>45</v>
      </c>
      <c r="D4200" s="3" t="s">
        <v>221</v>
      </c>
      <c r="E4200" s="3" t="s">
        <v>903</v>
      </c>
      <c r="F4200" s="7">
        <v>45831.62457242468</v>
      </c>
      <c r="G4200" s="3" t="s">
        <v>13071</v>
      </c>
    </row>
    <row r="4201">
      <c r="A4201" s="3" t="s">
        <v>13072</v>
      </c>
      <c r="B4201" s="3" t="s">
        <v>4219</v>
      </c>
      <c r="C4201" s="5" t="s">
        <v>221</v>
      </c>
      <c r="D4201" s="3" t="s">
        <v>614</v>
      </c>
      <c r="E4201" s="3" t="s">
        <v>118</v>
      </c>
      <c r="F4201" s="7">
        <v>45831.628044646895</v>
      </c>
      <c r="G4201" s="3" t="s">
        <v>13074</v>
      </c>
    </row>
    <row r="4202">
      <c r="A4202" s="3" t="s">
        <v>13076</v>
      </c>
      <c r="B4202" s="3" t="s">
        <v>4219</v>
      </c>
      <c r="C4202" s="5" t="s">
        <v>614</v>
      </c>
      <c r="D4202" s="3" t="s">
        <v>206</v>
      </c>
      <c r="E4202" s="3" t="s">
        <v>100</v>
      </c>
      <c r="F4202" s="7">
        <v>45831.63151686912</v>
      </c>
      <c r="G4202" s="3" t="s">
        <v>13078</v>
      </c>
    </row>
    <row r="4203">
      <c r="A4203" s="3" t="s">
        <v>13079</v>
      </c>
      <c r="B4203" s="3" t="s">
        <v>4219</v>
      </c>
      <c r="C4203" s="5" t="s">
        <v>206</v>
      </c>
      <c r="D4203" s="3" t="s">
        <v>68</v>
      </c>
      <c r="E4203" s="3" t="s">
        <v>100</v>
      </c>
      <c r="F4203" s="7">
        <v>45831.63498909134</v>
      </c>
      <c r="G4203" s="3" t="s">
        <v>13081</v>
      </c>
    </row>
    <row r="4204">
      <c r="A4204" s="3" t="s">
        <v>13082</v>
      </c>
      <c r="B4204" s="3" t="s">
        <v>4223</v>
      </c>
      <c r="C4204" s="5" t="s">
        <v>45</v>
      </c>
      <c r="D4204" s="3" t="s">
        <v>221</v>
      </c>
      <c r="E4204" s="3" t="s">
        <v>756</v>
      </c>
      <c r="F4204" s="7">
        <v>45831.695747270096</v>
      </c>
      <c r="G4204" s="3" t="s">
        <v>13084</v>
      </c>
    </row>
    <row r="4205">
      <c r="A4205" s="3" t="s">
        <v>13086</v>
      </c>
      <c r="B4205" s="3" t="s">
        <v>4223</v>
      </c>
      <c r="C4205" s="5" t="s">
        <v>221</v>
      </c>
      <c r="D4205" s="3" t="s">
        <v>614</v>
      </c>
      <c r="E4205" s="3" t="s">
        <v>118</v>
      </c>
      <c r="F4205" s="7">
        <v>45831.699219492315</v>
      </c>
      <c r="G4205" s="3" t="s">
        <v>13088</v>
      </c>
    </row>
    <row r="4206">
      <c r="A4206" s="3" t="s">
        <v>13089</v>
      </c>
      <c r="B4206" s="3" t="s">
        <v>4223</v>
      </c>
      <c r="C4206" s="5" t="s">
        <v>614</v>
      </c>
      <c r="D4206" s="3" t="s">
        <v>206</v>
      </c>
      <c r="E4206" s="3" t="s">
        <v>100</v>
      </c>
      <c r="F4206" s="7">
        <v>45831.70269171454</v>
      </c>
      <c r="G4206" s="3" t="s">
        <v>13091</v>
      </c>
    </row>
    <row r="4207">
      <c r="A4207" s="3" t="s">
        <v>13092</v>
      </c>
      <c r="B4207" s="3" t="s">
        <v>4223</v>
      </c>
      <c r="C4207" s="5" t="s">
        <v>206</v>
      </c>
      <c r="D4207" s="3" t="s">
        <v>68</v>
      </c>
      <c r="E4207" s="3" t="s">
        <v>100</v>
      </c>
      <c r="F4207" s="7">
        <v>45831.70616393676</v>
      </c>
      <c r="G4207" s="3" t="s">
        <v>13094</v>
      </c>
    </row>
    <row r="4208">
      <c r="A4208" s="3" t="s">
        <v>13095</v>
      </c>
      <c r="B4208" s="3" t="s">
        <v>4226</v>
      </c>
      <c r="C4208" s="5" t="s">
        <v>45</v>
      </c>
      <c r="D4208" s="3" t="s">
        <v>221</v>
      </c>
      <c r="E4208" s="3" t="s">
        <v>587</v>
      </c>
      <c r="F4208" s="7">
        <v>45831.76692211551</v>
      </c>
      <c r="G4208" s="3" t="s">
        <v>8763</v>
      </c>
    </row>
    <row r="4209">
      <c r="A4209" s="3" t="s">
        <v>13098</v>
      </c>
      <c r="B4209" s="3" t="s">
        <v>4226</v>
      </c>
      <c r="C4209" s="5" t="s">
        <v>221</v>
      </c>
      <c r="D4209" s="3" t="s">
        <v>614</v>
      </c>
      <c r="E4209" s="3" t="s">
        <v>118</v>
      </c>
      <c r="F4209" s="7">
        <v>45831.77039433773</v>
      </c>
      <c r="G4209" s="3" t="s">
        <v>13100</v>
      </c>
    </row>
    <row r="4210">
      <c r="A4210" s="3" t="s">
        <v>13101</v>
      </c>
      <c r="B4210" s="3" t="s">
        <v>4226</v>
      </c>
      <c r="C4210" s="5" t="s">
        <v>614</v>
      </c>
      <c r="D4210" s="3" t="s">
        <v>206</v>
      </c>
      <c r="E4210" s="3" t="s">
        <v>100</v>
      </c>
      <c r="F4210" s="7">
        <v>45831.77386655995</v>
      </c>
      <c r="G4210" s="3" t="s">
        <v>13103</v>
      </c>
    </row>
    <row r="4211">
      <c r="A4211" s="3" t="s">
        <v>13104</v>
      </c>
      <c r="B4211" s="3" t="s">
        <v>4226</v>
      </c>
      <c r="C4211" s="5" t="s">
        <v>206</v>
      </c>
      <c r="D4211" s="3" t="s">
        <v>68</v>
      </c>
      <c r="E4211" s="3" t="s">
        <v>100</v>
      </c>
      <c r="F4211" s="7">
        <v>45831.77733878217</v>
      </c>
      <c r="G4211" s="3" t="s">
        <v>13107</v>
      </c>
    </row>
    <row r="4212">
      <c r="A4212" s="3" t="s">
        <v>13108</v>
      </c>
      <c r="B4212" s="3" t="s">
        <v>4229</v>
      </c>
      <c r="C4212" s="5" t="s">
        <v>45</v>
      </c>
      <c r="D4212" s="3" t="s">
        <v>221</v>
      </c>
      <c r="E4212" s="3" t="s">
        <v>276</v>
      </c>
      <c r="F4212" s="7">
        <v>45831.83809696092</v>
      </c>
      <c r="G4212" s="3" t="s">
        <v>13110</v>
      </c>
    </row>
    <row r="4213">
      <c r="A4213" s="3" t="s">
        <v>13112</v>
      </c>
      <c r="B4213" s="3" t="s">
        <v>4229</v>
      </c>
      <c r="C4213" s="5" t="s">
        <v>221</v>
      </c>
      <c r="D4213" s="3" t="s">
        <v>614</v>
      </c>
      <c r="E4213" s="3" t="s">
        <v>118</v>
      </c>
      <c r="F4213" s="7">
        <v>45831.84156918314</v>
      </c>
      <c r="G4213" s="3" t="s">
        <v>13114</v>
      </c>
    </row>
    <row r="4214">
      <c r="A4214" s="3" t="s">
        <v>13115</v>
      </c>
      <c r="B4214" s="3" t="s">
        <v>4229</v>
      </c>
      <c r="C4214" s="5" t="s">
        <v>614</v>
      </c>
      <c r="D4214" s="3" t="s">
        <v>206</v>
      </c>
      <c r="E4214" s="3" t="s">
        <v>100</v>
      </c>
      <c r="F4214" s="7">
        <v>45831.845041405366</v>
      </c>
      <c r="G4214" s="3" t="s">
        <v>13117</v>
      </c>
    </row>
    <row r="4215">
      <c r="A4215" s="3" t="s">
        <v>13119</v>
      </c>
      <c r="B4215" s="3" t="s">
        <v>4229</v>
      </c>
      <c r="C4215" s="5" t="s">
        <v>206</v>
      </c>
      <c r="D4215" s="3" t="s">
        <v>68</v>
      </c>
      <c r="E4215" s="3" t="s">
        <v>100</v>
      </c>
      <c r="F4215" s="7">
        <v>45831.848513627585</v>
      </c>
      <c r="G4215" s="3" t="s">
        <v>13121</v>
      </c>
    </row>
    <row r="4216">
      <c r="A4216" s="3" t="s">
        <v>13122</v>
      </c>
      <c r="B4216" s="3" t="s">
        <v>4233</v>
      </c>
      <c r="C4216" s="5" t="s">
        <v>45</v>
      </c>
      <c r="D4216" s="3" t="s">
        <v>221</v>
      </c>
      <c r="E4216" s="3" t="s">
        <v>581</v>
      </c>
      <c r="F4216" s="7">
        <v>45831.90927180634</v>
      </c>
      <c r="G4216" s="3" t="s">
        <v>9419</v>
      </c>
    </row>
    <row r="4217">
      <c r="A4217" s="3" t="s">
        <v>13125</v>
      </c>
      <c r="B4217" s="3" t="s">
        <v>4233</v>
      </c>
      <c r="C4217" s="5" t="s">
        <v>221</v>
      </c>
      <c r="D4217" s="3" t="s">
        <v>614</v>
      </c>
      <c r="E4217" s="3" t="s">
        <v>118</v>
      </c>
      <c r="F4217" s="7">
        <v>45831.91274402856</v>
      </c>
      <c r="G4217" s="3" t="s">
        <v>13127</v>
      </c>
    </row>
    <row r="4218">
      <c r="A4218" s="3" t="s">
        <v>13128</v>
      </c>
      <c r="B4218" s="3" t="s">
        <v>4233</v>
      </c>
      <c r="C4218" s="5" t="s">
        <v>614</v>
      </c>
      <c r="D4218" s="3" t="s">
        <v>206</v>
      </c>
      <c r="E4218" s="3" t="s">
        <v>100</v>
      </c>
      <c r="F4218" s="7">
        <v>45831.916216250786</v>
      </c>
      <c r="G4218" s="3" t="s">
        <v>13130</v>
      </c>
    </row>
    <row r="4219">
      <c r="A4219" s="3" t="s">
        <v>13131</v>
      </c>
      <c r="B4219" s="3" t="s">
        <v>4233</v>
      </c>
      <c r="C4219" s="5" t="s">
        <v>206</v>
      </c>
      <c r="D4219" s="3" t="s">
        <v>68</v>
      </c>
      <c r="E4219" s="3" t="s">
        <v>100</v>
      </c>
      <c r="F4219" s="7">
        <v>45831.919688473004</v>
      </c>
      <c r="G4219" s="3" t="s">
        <v>13133</v>
      </c>
    </row>
    <row r="4220">
      <c r="A4220" s="3" t="s">
        <v>13135</v>
      </c>
      <c r="B4220" s="3" t="s">
        <v>4236</v>
      </c>
      <c r="C4220" s="5" t="s">
        <v>45</v>
      </c>
      <c r="D4220" s="3" t="s">
        <v>221</v>
      </c>
      <c r="E4220" s="3" t="s">
        <v>256</v>
      </c>
      <c r="F4220" s="7">
        <v>45831.98044665175</v>
      </c>
      <c r="G4220" s="3" t="s">
        <v>13137</v>
      </c>
    </row>
    <row r="4221">
      <c r="A4221" s="3" t="s">
        <v>13138</v>
      </c>
      <c r="B4221" s="3" t="s">
        <v>4236</v>
      </c>
      <c r="C4221" s="5" t="s">
        <v>221</v>
      </c>
      <c r="D4221" s="3" t="s">
        <v>614</v>
      </c>
      <c r="E4221" s="3" t="s">
        <v>118</v>
      </c>
      <c r="F4221" s="7">
        <v>45831.98391887397</v>
      </c>
      <c r="G4221" s="3" t="s">
        <v>13140</v>
      </c>
    </row>
    <row r="4222">
      <c r="A4222" s="3" t="s">
        <v>13142</v>
      </c>
      <c r="B4222" s="3" t="s">
        <v>4236</v>
      </c>
      <c r="C4222" s="5" t="s">
        <v>614</v>
      </c>
      <c r="D4222" s="3" t="s">
        <v>206</v>
      </c>
      <c r="E4222" s="3" t="s">
        <v>100</v>
      </c>
      <c r="F4222" s="7">
        <v>45831.9873910962</v>
      </c>
      <c r="G4222" s="3" t="s">
        <v>13144</v>
      </c>
    </row>
    <row r="4223">
      <c r="A4223" s="3" t="s">
        <v>13145</v>
      </c>
      <c r="B4223" s="3" t="s">
        <v>4236</v>
      </c>
      <c r="C4223" s="5" t="s">
        <v>206</v>
      </c>
      <c r="D4223" s="3" t="s">
        <v>68</v>
      </c>
      <c r="E4223" s="3" t="s">
        <v>100</v>
      </c>
      <c r="F4223" s="7">
        <v>45831.99086331842</v>
      </c>
      <c r="G4223" s="3" t="s">
        <v>13147</v>
      </c>
    </row>
    <row r="4224">
      <c r="A4224" s="3" t="s">
        <v>13148</v>
      </c>
      <c r="B4224" s="3" t="s">
        <v>4239</v>
      </c>
      <c r="C4224" s="5" t="s">
        <v>45</v>
      </c>
      <c r="D4224" s="3" t="s">
        <v>221</v>
      </c>
      <c r="E4224" s="3" t="s">
        <v>796</v>
      </c>
      <c r="F4224" s="7">
        <v>45832.051621497165</v>
      </c>
      <c r="G4224" s="3" t="s">
        <v>8315</v>
      </c>
    </row>
    <row r="4225">
      <c r="A4225" s="3" t="s">
        <v>13151</v>
      </c>
      <c r="B4225" s="3" t="s">
        <v>4239</v>
      </c>
      <c r="C4225" s="5" t="s">
        <v>221</v>
      </c>
      <c r="D4225" s="3" t="s">
        <v>614</v>
      </c>
      <c r="E4225" s="3" t="s">
        <v>118</v>
      </c>
      <c r="F4225" s="7">
        <v>45832.055093719384</v>
      </c>
      <c r="G4225" s="3" t="s">
        <v>8318</v>
      </c>
    </row>
    <row r="4226">
      <c r="A4226" s="3" t="s">
        <v>13153</v>
      </c>
      <c r="B4226" s="3" t="s">
        <v>4239</v>
      </c>
      <c r="C4226" s="5" t="s">
        <v>614</v>
      </c>
      <c r="D4226" s="3" t="s">
        <v>206</v>
      </c>
      <c r="E4226" s="3" t="s">
        <v>100</v>
      </c>
      <c r="F4226" s="7">
        <v>45832.05856594161</v>
      </c>
      <c r="G4226" s="3" t="s">
        <v>8321</v>
      </c>
    </row>
    <row r="4227">
      <c r="A4227" s="3" t="s">
        <v>13155</v>
      </c>
      <c r="B4227" s="3" t="s">
        <v>4239</v>
      </c>
      <c r="C4227" s="5" t="s">
        <v>206</v>
      </c>
      <c r="D4227" s="3" t="s">
        <v>68</v>
      </c>
      <c r="E4227" s="3" t="s">
        <v>100</v>
      </c>
      <c r="F4227" s="7">
        <v>45832.06203816383</v>
      </c>
      <c r="G4227" s="3" t="s">
        <v>8324</v>
      </c>
    </row>
    <row r="4228">
      <c r="A4228" s="3" t="s">
        <v>13157</v>
      </c>
      <c r="B4228" s="3" t="s">
        <v>4242</v>
      </c>
      <c r="C4228" s="5" t="s">
        <v>45</v>
      </c>
      <c r="D4228" s="3" t="s">
        <v>221</v>
      </c>
      <c r="E4228" s="3" t="s">
        <v>1021</v>
      </c>
      <c r="F4228" s="7">
        <v>45832.122796342584</v>
      </c>
      <c r="G4228" s="3" t="s">
        <v>13159</v>
      </c>
    </row>
    <row r="4229">
      <c r="A4229" s="3" t="s">
        <v>13161</v>
      </c>
      <c r="B4229" s="3" t="s">
        <v>4242</v>
      </c>
      <c r="C4229" s="5" t="s">
        <v>221</v>
      </c>
      <c r="D4229" s="3" t="s">
        <v>614</v>
      </c>
      <c r="E4229" s="3" t="s">
        <v>118</v>
      </c>
      <c r="F4229" s="7">
        <v>45832.1262685648</v>
      </c>
      <c r="G4229" s="3" t="s">
        <v>13163</v>
      </c>
    </row>
    <row r="4230">
      <c r="A4230" s="3" t="s">
        <v>13164</v>
      </c>
      <c r="B4230" s="3" t="s">
        <v>4242</v>
      </c>
      <c r="C4230" s="5" t="s">
        <v>614</v>
      </c>
      <c r="D4230" s="3" t="s">
        <v>206</v>
      </c>
      <c r="E4230" s="3" t="s">
        <v>100</v>
      </c>
      <c r="F4230" s="7">
        <v>45832.12974078703</v>
      </c>
      <c r="G4230" s="3" t="s">
        <v>13166</v>
      </c>
    </row>
    <row r="4231">
      <c r="A4231" s="3" t="s">
        <v>13168</v>
      </c>
      <c r="B4231" s="3" t="s">
        <v>4242</v>
      </c>
      <c r="C4231" s="5" t="s">
        <v>206</v>
      </c>
      <c r="D4231" s="3" t="s">
        <v>68</v>
      </c>
      <c r="E4231" s="3" t="s">
        <v>100</v>
      </c>
      <c r="F4231" s="7">
        <v>45832.13321300925</v>
      </c>
      <c r="G4231" s="3" t="s">
        <v>13170</v>
      </c>
    </row>
    <row r="4232">
      <c r="A4232" s="3" t="s">
        <v>13171</v>
      </c>
      <c r="B4232" s="3" t="s">
        <v>4245</v>
      </c>
      <c r="C4232" s="5" t="s">
        <v>45</v>
      </c>
      <c r="D4232" s="3" t="s">
        <v>221</v>
      </c>
      <c r="E4232" s="3" t="s">
        <v>260</v>
      </c>
      <c r="F4232" s="7">
        <v>45832.193971188004</v>
      </c>
      <c r="G4232" s="3" t="s">
        <v>9366</v>
      </c>
    </row>
    <row r="4233">
      <c r="A4233" s="3" t="s">
        <v>13174</v>
      </c>
      <c r="B4233" s="3" t="s">
        <v>4245</v>
      </c>
      <c r="C4233" s="5" t="s">
        <v>221</v>
      </c>
      <c r="D4233" s="3" t="s">
        <v>614</v>
      </c>
      <c r="E4233" s="3" t="s">
        <v>118</v>
      </c>
      <c r="F4233" s="7">
        <v>45832.19744341022</v>
      </c>
      <c r="G4233" s="3" t="s">
        <v>9369</v>
      </c>
    </row>
    <row r="4234">
      <c r="A4234" s="3" t="s">
        <v>13176</v>
      </c>
      <c r="B4234" s="3" t="s">
        <v>4245</v>
      </c>
      <c r="C4234" s="5" t="s">
        <v>614</v>
      </c>
      <c r="D4234" s="3" t="s">
        <v>206</v>
      </c>
      <c r="E4234" s="3" t="s">
        <v>100</v>
      </c>
      <c r="F4234" s="7">
        <v>45832.20091563245</v>
      </c>
      <c r="G4234" s="3" t="s">
        <v>9372</v>
      </c>
    </row>
    <row r="4235">
      <c r="A4235" s="3" t="s">
        <v>13179</v>
      </c>
      <c r="B4235" s="3" t="s">
        <v>4245</v>
      </c>
      <c r="C4235" s="5" t="s">
        <v>206</v>
      </c>
      <c r="D4235" s="3" t="s">
        <v>68</v>
      </c>
      <c r="E4235" s="3" t="s">
        <v>100</v>
      </c>
      <c r="F4235" s="7">
        <v>45832.20438785467</v>
      </c>
      <c r="G4235" s="3" t="s">
        <v>9375</v>
      </c>
    </row>
    <row r="4236">
      <c r="A4236" s="3" t="s">
        <v>13181</v>
      </c>
      <c r="B4236" s="3" t="s">
        <v>4248</v>
      </c>
      <c r="C4236" s="5" t="s">
        <v>45</v>
      </c>
      <c r="D4236" s="3" t="s">
        <v>221</v>
      </c>
      <c r="E4236" s="3" t="s">
        <v>186</v>
      </c>
      <c r="F4236" s="7">
        <v>45832.26514603341</v>
      </c>
      <c r="G4236" s="3" t="s">
        <v>7319</v>
      </c>
    </row>
    <row r="4237">
      <c r="A4237" s="3" t="s">
        <v>13184</v>
      </c>
      <c r="B4237" s="3" t="s">
        <v>4248</v>
      </c>
      <c r="C4237" s="5" t="s">
        <v>221</v>
      </c>
      <c r="D4237" s="3" t="s">
        <v>181</v>
      </c>
      <c r="E4237" s="3" t="s">
        <v>118</v>
      </c>
      <c r="F4237" s="7">
        <v>45832.26861825563</v>
      </c>
      <c r="G4237" s="3" t="s">
        <v>13186</v>
      </c>
    </row>
    <row r="4238">
      <c r="A4238" s="3" t="s">
        <v>13187</v>
      </c>
      <c r="B4238" s="3" t="s">
        <v>4251</v>
      </c>
      <c r="C4238" s="5" t="s">
        <v>45</v>
      </c>
      <c r="D4238" s="3" t="s">
        <v>221</v>
      </c>
      <c r="E4238" s="3" t="s">
        <v>515</v>
      </c>
      <c r="F4238" s="7">
        <v>45832.33632087883</v>
      </c>
      <c r="G4238" s="3" t="s">
        <v>13189</v>
      </c>
    </row>
    <row r="4239">
      <c r="A4239" s="3" t="s">
        <v>13191</v>
      </c>
      <c r="B4239" s="3" t="s">
        <v>4251</v>
      </c>
      <c r="C4239" s="5" t="s">
        <v>221</v>
      </c>
      <c r="D4239" s="3" t="s">
        <v>614</v>
      </c>
      <c r="E4239" s="3" t="s">
        <v>118</v>
      </c>
      <c r="F4239" s="7">
        <v>45832.33979310105</v>
      </c>
      <c r="G4239" s="3" t="s">
        <v>13193</v>
      </c>
    </row>
    <row r="4240">
      <c r="A4240" s="3" t="s">
        <v>13194</v>
      </c>
      <c r="B4240" s="3" t="s">
        <v>4251</v>
      </c>
      <c r="C4240" s="5" t="s">
        <v>614</v>
      </c>
      <c r="D4240" s="3" t="s">
        <v>206</v>
      </c>
      <c r="E4240" s="3" t="s">
        <v>100</v>
      </c>
      <c r="F4240" s="7">
        <v>45832.343265323274</v>
      </c>
      <c r="G4240" s="3" t="s">
        <v>13197</v>
      </c>
    </row>
    <row r="4241">
      <c r="A4241" s="3" t="s">
        <v>13198</v>
      </c>
      <c r="B4241" s="3" t="s">
        <v>4251</v>
      </c>
      <c r="C4241" s="5" t="s">
        <v>206</v>
      </c>
      <c r="D4241" s="3" t="s">
        <v>68</v>
      </c>
      <c r="E4241" s="3" t="s">
        <v>100</v>
      </c>
      <c r="F4241" s="7">
        <v>45832.34673754549</v>
      </c>
      <c r="G4241" s="3" t="s">
        <v>13200</v>
      </c>
    </row>
    <row r="4242">
      <c r="A4242" s="3" t="s">
        <v>13201</v>
      </c>
      <c r="B4242" s="3" t="s">
        <v>4254</v>
      </c>
      <c r="C4242" s="5" t="s">
        <v>45</v>
      </c>
      <c r="D4242" s="3" t="s">
        <v>221</v>
      </c>
      <c r="E4242" s="3" t="s">
        <v>830</v>
      </c>
      <c r="F4242" s="7">
        <v>45832.40749572425</v>
      </c>
      <c r="G4242" s="3" t="s">
        <v>9140</v>
      </c>
    </row>
    <row r="4243">
      <c r="A4243" s="3" t="s">
        <v>13204</v>
      </c>
      <c r="B4243" s="3" t="s">
        <v>4254</v>
      </c>
      <c r="C4243" s="5" t="s">
        <v>221</v>
      </c>
      <c r="D4243" s="3" t="s">
        <v>614</v>
      </c>
      <c r="E4243" s="3" t="s">
        <v>118</v>
      </c>
      <c r="F4243" s="7">
        <v>45832.41096794647</v>
      </c>
      <c r="G4243" s="3" t="s">
        <v>13206</v>
      </c>
    </row>
    <row r="4244">
      <c r="A4244" s="3" t="s">
        <v>13208</v>
      </c>
      <c r="B4244" s="3" t="s">
        <v>4254</v>
      </c>
      <c r="C4244" s="5" t="s">
        <v>614</v>
      </c>
      <c r="D4244" s="3" t="s">
        <v>206</v>
      </c>
      <c r="E4244" s="3" t="s">
        <v>100</v>
      </c>
      <c r="F4244" s="7">
        <v>45832.41444016869</v>
      </c>
      <c r="G4244" s="3" t="s">
        <v>13210</v>
      </c>
    </row>
    <row r="4245">
      <c r="A4245" s="3" t="s">
        <v>13211</v>
      </c>
      <c r="B4245" s="3" t="s">
        <v>4254</v>
      </c>
      <c r="C4245" s="5" t="s">
        <v>206</v>
      </c>
      <c r="D4245" s="3" t="s">
        <v>68</v>
      </c>
      <c r="E4245" s="3" t="s">
        <v>100</v>
      </c>
      <c r="F4245" s="7">
        <v>45832.41791239091</v>
      </c>
      <c r="G4245" s="3" t="s">
        <v>13214</v>
      </c>
    </row>
    <row r="4246">
      <c r="A4246" s="3" t="s">
        <v>13215</v>
      </c>
      <c r="B4246" s="3" t="s">
        <v>4257</v>
      </c>
      <c r="C4246" s="5" t="s">
        <v>45</v>
      </c>
      <c r="D4246" s="3" t="s">
        <v>221</v>
      </c>
      <c r="E4246" s="3" t="s">
        <v>752</v>
      </c>
      <c r="F4246" s="7">
        <v>45832.47867056966</v>
      </c>
      <c r="G4246" s="3" t="s">
        <v>13217</v>
      </c>
    </row>
    <row r="4247">
      <c r="A4247" s="3" t="s">
        <v>13219</v>
      </c>
      <c r="B4247" s="3" t="s">
        <v>4257</v>
      </c>
      <c r="C4247" s="5" t="s">
        <v>221</v>
      </c>
      <c r="D4247" s="3" t="s">
        <v>614</v>
      </c>
      <c r="E4247" s="3" t="s">
        <v>118</v>
      </c>
      <c r="F4247" s="7">
        <v>45832.48214279188</v>
      </c>
      <c r="G4247" s="3" t="s">
        <v>13221</v>
      </c>
    </row>
    <row r="4248">
      <c r="A4248" s="3" t="s">
        <v>13222</v>
      </c>
      <c r="B4248" s="3" t="s">
        <v>4257</v>
      </c>
      <c r="C4248" s="5" t="s">
        <v>614</v>
      </c>
      <c r="D4248" s="3" t="s">
        <v>206</v>
      </c>
      <c r="E4248" s="3" t="s">
        <v>100</v>
      </c>
      <c r="F4248" s="7">
        <v>45832.485615014106</v>
      </c>
      <c r="G4248" s="3" t="s">
        <v>13224</v>
      </c>
    </row>
    <row r="4249">
      <c r="A4249" s="3" t="s">
        <v>13225</v>
      </c>
      <c r="B4249" s="3" t="s">
        <v>4257</v>
      </c>
      <c r="C4249" s="5" t="s">
        <v>206</v>
      </c>
      <c r="D4249" s="3" t="s">
        <v>68</v>
      </c>
      <c r="E4249" s="3" t="s">
        <v>100</v>
      </c>
      <c r="F4249" s="7">
        <v>45832.489087236325</v>
      </c>
      <c r="G4249" s="3" t="s">
        <v>13227</v>
      </c>
    </row>
    <row r="4250">
      <c r="A4250" s="3" t="s">
        <v>13229</v>
      </c>
      <c r="B4250" s="3" t="s">
        <v>4260</v>
      </c>
      <c r="C4250" s="5" t="s">
        <v>45</v>
      </c>
      <c r="D4250" s="3" t="s">
        <v>221</v>
      </c>
      <c r="E4250" s="3" t="s">
        <v>266</v>
      </c>
      <c r="F4250" s="7">
        <v>45832.54984541507</v>
      </c>
      <c r="G4250" s="3" t="s">
        <v>9710</v>
      </c>
    </row>
    <row r="4251">
      <c r="A4251" s="3" t="s">
        <v>13231</v>
      </c>
      <c r="B4251" s="3" t="s">
        <v>4260</v>
      </c>
      <c r="C4251" s="5" t="s">
        <v>221</v>
      </c>
      <c r="D4251" s="3" t="s">
        <v>614</v>
      </c>
      <c r="E4251" s="3" t="s">
        <v>118</v>
      </c>
      <c r="F4251" s="7">
        <v>45832.55331763729</v>
      </c>
      <c r="G4251" s="3" t="s">
        <v>13233</v>
      </c>
    </row>
    <row r="4252">
      <c r="A4252" s="3" t="s">
        <v>13235</v>
      </c>
      <c r="B4252" s="3" t="s">
        <v>4260</v>
      </c>
      <c r="C4252" s="5" t="s">
        <v>614</v>
      </c>
      <c r="D4252" s="3" t="s">
        <v>206</v>
      </c>
      <c r="E4252" s="3" t="s">
        <v>100</v>
      </c>
      <c r="F4252" s="7">
        <v>45832.55678985952</v>
      </c>
      <c r="G4252" s="3" t="s">
        <v>13237</v>
      </c>
    </row>
    <row r="4253">
      <c r="A4253" s="3" t="s">
        <v>13238</v>
      </c>
      <c r="B4253" s="3" t="s">
        <v>4260</v>
      </c>
      <c r="C4253" s="5" t="s">
        <v>206</v>
      </c>
      <c r="D4253" s="3" t="s">
        <v>68</v>
      </c>
      <c r="E4253" s="3" t="s">
        <v>100</v>
      </c>
      <c r="F4253" s="7">
        <v>45832.56026208174</v>
      </c>
      <c r="G4253" s="3" t="s">
        <v>13240</v>
      </c>
    </row>
    <row r="4254">
      <c r="A4254" s="3" t="s">
        <v>13241</v>
      </c>
      <c r="B4254" s="3" t="s">
        <v>4263</v>
      </c>
      <c r="C4254" s="5" t="s">
        <v>45</v>
      </c>
      <c r="D4254" s="3" t="s">
        <v>221</v>
      </c>
      <c r="E4254" s="3" t="s">
        <v>239</v>
      </c>
      <c r="F4254" s="7">
        <v>45832.62102026049</v>
      </c>
      <c r="G4254" s="3" t="s">
        <v>5833</v>
      </c>
    </row>
    <row r="4255">
      <c r="A4255" s="3" t="s">
        <v>13244</v>
      </c>
      <c r="B4255" s="3" t="s">
        <v>4263</v>
      </c>
      <c r="C4255" s="5" t="s">
        <v>221</v>
      </c>
      <c r="D4255" s="3" t="s">
        <v>614</v>
      </c>
      <c r="E4255" s="3" t="s">
        <v>118</v>
      </c>
      <c r="F4255" s="7">
        <v>45832.62449248271</v>
      </c>
      <c r="G4255" s="3" t="s">
        <v>5836</v>
      </c>
    </row>
    <row r="4256">
      <c r="A4256" s="3" t="s">
        <v>13246</v>
      </c>
      <c r="B4256" s="3" t="s">
        <v>4263</v>
      </c>
      <c r="C4256" s="5" t="s">
        <v>614</v>
      </c>
      <c r="D4256" s="3" t="s">
        <v>206</v>
      </c>
      <c r="E4256" s="3" t="s">
        <v>100</v>
      </c>
      <c r="F4256" s="7">
        <v>45832.62796470494</v>
      </c>
      <c r="G4256" s="3" t="s">
        <v>5839</v>
      </c>
    </row>
    <row r="4257">
      <c r="A4257" s="3" t="s">
        <v>13249</v>
      </c>
      <c r="B4257" s="3" t="s">
        <v>4263</v>
      </c>
      <c r="C4257" s="5" t="s">
        <v>206</v>
      </c>
      <c r="D4257" s="3" t="s">
        <v>68</v>
      </c>
      <c r="E4257" s="3" t="s">
        <v>100</v>
      </c>
      <c r="F4257" s="7">
        <v>45832.63143692716</v>
      </c>
      <c r="G4257" s="3" t="s">
        <v>5842</v>
      </c>
    </row>
    <row r="4258">
      <c r="A4258" s="3" t="s">
        <v>13251</v>
      </c>
      <c r="B4258" s="3" t="s">
        <v>4266</v>
      </c>
      <c r="C4258" s="5" t="s">
        <v>45</v>
      </c>
      <c r="D4258" s="3" t="s">
        <v>221</v>
      </c>
      <c r="E4258" s="3" t="s">
        <v>830</v>
      </c>
      <c r="F4258" s="7">
        <v>45832.692195105905</v>
      </c>
      <c r="G4258" s="3" t="s">
        <v>9140</v>
      </c>
    </row>
    <row r="4259">
      <c r="A4259" s="3" t="s">
        <v>13253</v>
      </c>
      <c r="B4259" s="3" t="s">
        <v>4266</v>
      </c>
      <c r="C4259" s="5" t="s">
        <v>221</v>
      </c>
      <c r="D4259" s="3" t="s">
        <v>614</v>
      </c>
      <c r="E4259" s="3" t="s">
        <v>118</v>
      </c>
      <c r="F4259" s="7">
        <v>45832.695667328124</v>
      </c>
      <c r="G4259" s="3" t="s">
        <v>13206</v>
      </c>
    </row>
    <row r="4260">
      <c r="A4260" s="3" t="s">
        <v>13256</v>
      </c>
      <c r="B4260" s="3" t="s">
        <v>4266</v>
      </c>
      <c r="C4260" s="5" t="s">
        <v>614</v>
      </c>
      <c r="D4260" s="3" t="s">
        <v>206</v>
      </c>
      <c r="E4260" s="3" t="s">
        <v>100</v>
      </c>
      <c r="F4260" s="7">
        <v>45832.69913955035</v>
      </c>
      <c r="G4260" s="3" t="s">
        <v>13210</v>
      </c>
    </row>
    <row r="4261">
      <c r="A4261" s="3" t="s">
        <v>13258</v>
      </c>
      <c r="B4261" s="3" t="s">
        <v>4266</v>
      </c>
      <c r="C4261" s="5" t="s">
        <v>206</v>
      </c>
      <c r="D4261" s="3" t="s">
        <v>68</v>
      </c>
      <c r="E4261" s="3" t="s">
        <v>100</v>
      </c>
      <c r="F4261" s="7">
        <v>45832.70261177257</v>
      </c>
      <c r="G4261" s="3" t="s">
        <v>13214</v>
      </c>
    </row>
    <row r="4262">
      <c r="A4262" s="3" t="s">
        <v>13261</v>
      </c>
      <c r="B4262" s="3" t="s">
        <v>4269</v>
      </c>
      <c r="C4262" s="5" t="s">
        <v>45</v>
      </c>
      <c r="D4262" s="3" t="s">
        <v>221</v>
      </c>
      <c r="E4262" s="3" t="s">
        <v>662</v>
      </c>
      <c r="F4262" s="7">
        <v>45832.76336995132</v>
      </c>
      <c r="G4262" s="3" t="s">
        <v>13263</v>
      </c>
    </row>
    <row r="4263">
      <c r="A4263" s="3" t="s">
        <v>13264</v>
      </c>
      <c r="B4263" s="3" t="s">
        <v>4269</v>
      </c>
      <c r="C4263" s="5" t="s">
        <v>221</v>
      </c>
      <c r="D4263" s="3" t="s">
        <v>614</v>
      </c>
      <c r="E4263" s="3" t="s">
        <v>118</v>
      </c>
      <c r="F4263" s="7">
        <v>45832.766842173536</v>
      </c>
      <c r="G4263" s="3" t="s">
        <v>13266</v>
      </c>
    </row>
    <row r="4264">
      <c r="A4264" s="3" t="s">
        <v>13268</v>
      </c>
      <c r="B4264" s="3" t="s">
        <v>4269</v>
      </c>
      <c r="C4264" s="5" t="s">
        <v>614</v>
      </c>
      <c r="D4264" s="3" t="s">
        <v>206</v>
      </c>
      <c r="E4264" s="3" t="s">
        <v>100</v>
      </c>
      <c r="F4264" s="7">
        <v>45832.77031439576</v>
      </c>
      <c r="G4264" s="3" t="s">
        <v>13270</v>
      </c>
    </row>
    <row r="4265">
      <c r="A4265" s="3" t="s">
        <v>13271</v>
      </c>
      <c r="B4265" s="3" t="s">
        <v>4269</v>
      </c>
      <c r="C4265" s="5" t="s">
        <v>206</v>
      </c>
      <c r="D4265" s="3" t="s">
        <v>68</v>
      </c>
      <c r="E4265" s="3" t="s">
        <v>100</v>
      </c>
      <c r="F4265" s="7">
        <v>45832.77378661798</v>
      </c>
      <c r="G4265" s="3" t="s">
        <v>13273</v>
      </c>
    </row>
    <row r="4266">
      <c r="A4266" s="3" t="s">
        <v>13274</v>
      </c>
      <c r="B4266" s="3" t="s">
        <v>4272</v>
      </c>
      <c r="C4266" s="5" t="s">
        <v>45</v>
      </c>
      <c r="D4266" s="3" t="s">
        <v>221</v>
      </c>
      <c r="E4266" s="3" t="s">
        <v>601</v>
      </c>
      <c r="F4266" s="7">
        <v>45832.83454479674</v>
      </c>
      <c r="G4266" s="3" t="s">
        <v>10584</v>
      </c>
    </row>
    <row r="4267">
      <c r="A4267" s="3" t="s">
        <v>13277</v>
      </c>
      <c r="B4267" s="3" t="s">
        <v>4272</v>
      </c>
      <c r="C4267" s="5" t="s">
        <v>221</v>
      </c>
      <c r="D4267" s="3" t="s">
        <v>614</v>
      </c>
      <c r="E4267" s="3" t="s">
        <v>118</v>
      </c>
      <c r="F4267" s="7">
        <v>45832.838017018956</v>
      </c>
      <c r="G4267" s="3" t="s">
        <v>13279</v>
      </c>
    </row>
    <row r="4268">
      <c r="A4268" s="3" t="s">
        <v>13280</v>
      </c>
      <c r="B4268" s="3" t="s">
        <v>4272</v>
      </c>
      <c r="C4268" s="5" t="s">
        <v>614</v>
      </c>
      <c r="D4268" s="3" t="s">
        <v>206</v>
      </c>
      <c r="E4268" s="3" t="s">
        <v>100</v>
      </c>
      <c r="F4268" s="7">
        <v>45832.84148924118</v>
      </c>
      <c r="G4268" s="3" t="s">
        <v>13282</v>
      </c>
    </row>
    <row r="4269">
      <c r="A4269" s="3" t="s">
        <v>13283</v>
      </c>
      <c r="B4269" s="3" t="s">
        <v>4272</v>
      </c>
      <c r="C4269" s="5" t="s">
        <v>206</v>
      </c>
      <c r="D4269" s="3" t="s">
        <v>68</v>
      </c>
      <c r="E4269" s="3" t="s">
        <v>100</v>
      </c>
      <c r="F4269" s="7">
        <v>45832.8449614634</v>
      </c>
      <c r="G4269" s="3" t="s">
        <v>13285</v>
      </c>
    </row>
    <row r="4270">
      <c r="A4270" s="3" t="s">
        <v>13287</v>
      </c>
      <c r="B4270" s="3" t="s">
        <v>4275</v>
      </c>
      <c r="C4270" s="5" t="s">
        <v>45</v>
      </c>
      <c r="D4270" s="3" t="s">
        <v>221</v>
      </c>
      <c r="E4270" s="3" t="s">
        <v>645</v>
      </c>
      <c r="F4270" s="7">
        <v>45832.90571964215</v>
      </c>
      <c r="G4270" s="3" t="s">
        <v>13289</v>
      </c>
    </row>
    <row r="4271">
      <c r="A4271" s="3" t="s">
        <v>13290</v>
      </c>
      <c r="B4271" s="3" t="s">
        <v>4275</v>
      </c>
      <c r="C4271" s="5" t="s">
        <v>221</v>
      </c>
      <c r="D4271" s="3" t="s">
        <v>614</v>
      </c>
      <c r="E4271" s="3" t="s">
        <v>118</v>
      </c>
      <c r="F4271" s="7">
        <v>45832.90919186437</v>
      </c>
      <c r="G4271" s="3" t="s">
        <v>13292</v>
      </c>
    </row>
    <row r="4272">
      <c r="A4272" s="3" t="s">
        <v>13293</v>
      </c>
      <c r="B4272" s="3" t="s">
        <v>4275</v>
      </c>
      <c r="C4272" s="5" t="s">
        <v>614</v>
      </c>
      <c r="D4272" s="3" t="s">
        <v>206</v>
      </c>
      <c r="E4272" s="3" t="s">
        <v>100</v>
      </c>
      <c r="F4272" s="7">
        <v>45832.912664086594</v>
      </c>
      <c r="G4272" s="3" t="s">
        <v>13295</v>
      </c>
    </row>
    <row r="4273">
      <c r="A4273" s="3" t="s">
        <v>13297</v>
      </c>
      <c r="B4273" s="3" t="s">
        <v>4275</v>
      </c>
      <c r="C4273" s="5" t="s">
        <v>206</v>
      </c>
      <c r="D4273" s="3" t="s">
        <v>68</v>
      </c>
      <c r="E4273" s="3" t="s">
        <v>100</v>
      </c>
      <c r="F4273" s="7">
        <v>45832.91613630881</v>
      </c>
      <c r="G4273" s="3" t="s">
        <v>13299</v>
      </c>
    </row>
    <row r="4274">
      <c r="A4274" s="3" t="s">
        <v>13300</v>
      </c>
      <c r="B4274" s="3" t="s">
        <v>4279</v>
      </c>
      <c r="C4274" s="5" t="s">
        <v>45</v>
      </c>
      <c r="D4274" s="3" t="s">
        <v>221</v>
      </c>
      <c r="E4274" s="3" t="s">
        <v>496</v>
      </c>
      <c r="F4274" s="7">
        <v>45832.97689448756</v>
      </c>
      <c r="G4274" s="3" t="s">
        <v>3807</v>
      </c>
    </row>
    <row r="4275">
      <c r="A4275" s="3" t="s">
        <v>13302</v>
      </c>
      <c r="B4275" s="3" t="s">
        <v>4279</v>
      </c>
      <c r="C4275" s="5" t="s">
        <v>221</v>
      </c>
      <c r="D4275" s="3" t="s">
        <v>614</v>
      </c>
      <c r="E4275" s="3" t="s">
        <v>118</v>
      </c>
      <c r="F4275" s="7">
        <v>45832.98036670978</v>
      </c>
      <c r="G4275" s="3" t="s">
        <v>3810</v>
      </c>
    </row>
    <row r="4276">
      <c r="A4276" s="3" t="s">
        <v>13305</v>
      </c>
      <c r="B4276" s="3" t="s">
        <v>4279</v>
      </c>
      <c r="C4276" s="5" t="s">
        <v>614</v>
      </c>
      <c r="D4276" s="3" t="s">
        <v>206</v>
      </c>
      <c r="E4276" s="3" t="s">
        <v>100</v>
      </c>
      <c r="F4276" s="7">
        <v>45832.98383893201</v>
      </c>
      <c r="G4276" s="3" t="s">
        <v>3812</v>
      </c>
    </row>
    <row r="4277">
      <c r="A4277" s="3" t="s">
        <v>13307</v>
      </c>
      <c r="B4277" s="3" t="s">
        <v>4279</v>
      </c>
      <c r="C4277" s="5" t="s">
        <v>206</v>
      </c>
      <c r="D4277" s="3" t="s">
        <v>68</v>
      </c>
      <c r="E4277" s="3" t="s">
        <v>100</v>
      </c>
      <c r="F4277" s="7">
        <v>45832.987311154226</v>
      </c>
      <c r="G4277" s="3" t="s">
        <v>3815</v>
      </c>
    </row>
    <row r="4278">
      <c r="A4278" s="3" t="s">
        <v>13310</v>
      </c>
      <c r="B4278" s="3" t="s">
        <v>4283</v>
      </c>
      <c r="C4278" s="5" t="s">
        <v>45</v>
      </c>
      <c r="D4278" s="3" t="s">
        <v>221</v>
      </c>
      <c r="E4278" s="3" t="s">
        <v>307</v>
      </c>
      <c r="F4278" s="7">
        <v>45833.04806933298</v>
      </c>
      <c r="G4278" s="3" t="s">
        <v>13312</v>
      </c>
    </row>
    <row r="4279">
      <c r="A4279" s="3" t="s">
        <v>13313</v>
      </c>
      <c r="B4279" s="3" t="s">
        <v>4283</v>
      </c>
      <c r="C4279" s="5" t="s">
        <v>221</v>
      </c>
      <c r="D4279" s="3" t="s">
        <v>614</v>
      </c>
      <c r="E4279" s="3" t="s">
        <v>118</v>
      </c>
      <c r="F4279" s="7">
        <v>45833.0515415552</v>
      </c>
      <c r="G4279" s="3" t="s">
        <v>13315</v>
      </c>
    </row>
    <row r="4280">
      <c r="A4280" s="3" t="s">
        <v>13317</v>
      </c>
      <c r="B4280" s="3" t="s">
        <v>4283</v>
      </c>
      <c r="C4280" s="5" t="s">
        <v>614</v>
      </c>
      <c r="D4280" s="3" t="s">
        <v>206</v>
      </c>
      <c r="E4280" s="3" t="s">
        <v>100</v>
      </c>
      <c r="F4280" s="7">
        <v>45833.055013777426</v>
      </c>
      <c r="G4280" s="3" t="s">
        <v>13319</v>
      </c>
    </row>
    <row r="4281">
      <c r="A4281" s="3" t="s">
        <v>13320</v>
      </c>
      <c r="B4281" s="3" t="s">
        <v>4283</v>
      </c>
      <c r="C4281" s="5" t="s">
        <v>206</v>
      </c>
      <c r="D4281" s="3" t="s">
        <v>68</v>
      </c>
      <c r="E4281" s="3" t="s">
        <v>100</v>
      </c>
      <c r="F4281" s="7">
        <v>45833.058485999645</v>
      </c>
      <c r="G4281" s="3" t="s">
        <v>13322</v>
      </c>
    </row>
    <row r="4282">
      <c r="A4282" s="3" t="s">
        <v>13324</v>
      </c>
      <c r="B4282" s="3" t="s">
        <v>4286</v>
      </c>
      <c r="C4282" s="5" t="s">
        <v>45</v>
      </c>
      <c r="D4282" s="3" t="s">
        <v>221</v>
      </c>
      <c r="E4282" s="3" t="s">
        <v>708</v>
      </c>
      <c r="F4282" s="7">
        <v>45833.1192441784</v>
      </c>
      <c r="G4282" s="3" t="s">
        <v>13326</v>
      </c>
    </row>
    <row r="4283">
      <c r="A4283" s="3" t="s">
        <v>13328</v>
      </c>
      <c r="B4283" s="3" t="s">
        <v>4286</v>
      </c>
      <c r="C4283" s="5" t="s">
        <v>221</v>
      </c>
      <c r="D4283" s="3" t="s">
        <v>614</v>
      </c>
      <c r="E4283" s="3" t="s">
        <v>118</v>
      </c>
      <c r="F4283" s="7">
        <v>45833.12271640062</v>
      </c>
      <c r="G4283" s="3" t="s">
        <v>13330</v>
      </c>
    </row>
    <row r="4284">
      <c r="A4284" s="3" t="s">
        <v>13331</v>
      </c>
      <c r="B4284" s="3" t="s">
        <v>4286</v>
      </c>
      <c r="C4284" s="5" t="s">
        <v>614</v>
      </c>
      <c r="D4284" s="3" t="s">
        <v>206</v>
      </c>
      <c r="E4284" s="3" t="s">
        <v>100</v>
      </c>
      <c r="F4284" s="7">
        <v>45833.126188622846</v>
      </c>
      <c r="G4284" s="3" t="s">
        <v>13333</v>
      </c>
    </row>
    <row r="4285">
      <c r="A4285" s="3" t="s">
        <v>13334</v>
      </c>
      <c r="B4285" s="3" t="s">
        <v>4286</v>
      </c>
      <c r="C4285" s="5" t="s">
        <v>206</v>
      </c>
      <c r="D4285" s="3" t="s">
        <v>68</v>
      </c>
      <c r="E4285" s="3" t="s">
        <v>100</v>
      </c>
      <c r="F4285" s="7">
        <v>45833.129660845065</v>
      </c>
      <c r="G4285" s="3" t="s">
        <v>13337</v>
      </c>
    </row>
    <row r="4286">
      <c r="A4286" s="3" t="s">
        <v>13338</v>
      </c>
      <c r="B4286" s="3" t="s">
        <v>4289</v>
      </c>
      <c r="C4286" s="5" t="s">
        <v>45</v>
      </c>
      <c r="D4286" s="3" t="s">
        <v>221</v>
      </c>
      <c r="E4286" s="3" t="s">
        <v>539</v>
      </c>
      <c r="F4286" s="7">
        <v>45833.190419023806</v>
      </c>
      <c r="G4286" s="3" t="s">
        <v>13340</v>
      </c>
    </row>
    <row r="4287">
      <c r="A4287" s="3" t="s">
        <v>13341</v>
      </c>
      <c r="B4287" s="3" t="s">
        <v>4289</v>
      </c>
      <c r="C4287" s="5" t="s">
        <v>221</v>
      </c>
      <c r="D4287" s="3" t="s">
        <v>614</v>
      </c>
      <c r="E4287" s="3" t="s">
        <v>118</v>
      </c>
      <c r="F4287" s="7">
        <v>45833.193891246025</v>
      </c>
      <c r="G4287" s="3" t="s">
        <v>13344</v>
      </c>
    </row>
    <row r="4288">
      <c r="A4288" s="3" t="s">
        <v>13345</v>
      </c>
      <c r="B4288" s="3" t="s">
        <v>4289</v>
      </c>
      <c r="C4288" s="5" t="s">
        <v>614</v>
      </c>
      <c r="D4288" s="3" t="s">
        <v>206</v>
      </c>
      <c r="E4288" s="3" t="s">
        <v>100</v>
      </c>
      <c r="F4288" s="7">
        <v>45833.19736346825</v>
      </c>
      <c r="G4288" s="3" t="s">
        <v>13347</v>
      </c>
    </row>
    <row r="4289">
      <c r="A4289" s="3" t="s">
        <v>13350</v>
      </c>
      <c r="B4289" s="3" t="s">
        <v>4289</v>
      </c>
      <c r="C4289" s="5" t="s">
        <v>206</v>
      </c>
      <c r="D4289" s="3" t="s">
        <v>68</v>
      </c>
      <c r="E4289" s="3" t="s">
        <v>100</v>
      </c>
      <c r="F4289" s="7">
        <v>45833.20083569047</v>
      </c>
      <c r="G4289" s="3" t="s">
        <v>13352</v>
      </c>
    </row>
    <row r="4290">
      <c r="A4290" s="3" t="s">
        <v>13353</v>
      </c>
      <c r="B4290" s="3" t="s">
        <v>4292</v>
      </c>
      <c r="C4290" s="5" t="s">
        <v>45</v>
      </c>
      <c r="D4290" s="3" t="s">
        <v>221</v>
      </c>
      <c r="E4290" s="3" t="s">
        <v>713</v>
      </c>
      <c r="F4290" s="7">
        <v>45833.261593869225</v>
      </c>
      <c r="G4290" s="3" t="s">
        <v>9616</v>
      </c>
    </row>
    <row r="4291">
      <c r="A4291" s="3" t="s">
        <v>13355</v>
      </c>
      <c r="B4291" s="3" t="s">
        <v>4292</v>
      </c>
      <c r="C4291" s="5" t="s">
        <v>221</v>
      </c>
      <c r="D4291" s="3" t="s">
        <v>181</v>
      </c>
      <c r="E4291" s="3" t="s">
        <v>118</v>
      </c>
      <c r="F4291" s="7">
        <v>45833.265066091444</v>
      </c>
      <c r="G4291" s="3" t="s">
        <v>13357</v>
      </c>
    </row>
    <row r="4292">
      <c r="A4292" s="3" t="s">
        <v>13358</v>
      </c>
      <c r="B4292" s="3" t="s">
        <v>4295</v>
      </c>
      <c r="C4292" s="5" t="s">
        <v>45</v>
      </c>
      <c r="D4292" s="3" t="s">
        <v>221</v>
      </c>
      <c r="E4292" s="3" t="s">
        <v>442</v>
      </c>
      <c r="F4292" s="7">
        <v>45833.332768714645</v>
      </c>
      <c r="G4292" s="3" t="s">
        <v>5467</v>
      </c>
    </row>
    <row r="4293">
      <c r="A4293" s="3" t="s">
        <v>13361</v>
      </c>
      <c r="B4293" s="3" t="s">
        <v>4295</v>
      </c>
      <c r="C4293" s="5" t="s">
        <v>221</v>
      </c>
      <c r="D4293" s="3" t="s">
        <v>614</v>
      </c>
      <c r="E4293" s="3" t="s">
        <v>118</v>
      </c>
      <c r="F4293" s="7">
        <v>45833.336240936864</v>
      </c>
      <c r="G4293" s="3" t="s">
        <v>5470</v>
      </c>
    </row>
    <row r="4294">
      <c r="A4294" s="3" t="s">
        <v>13362</v>
      </c>
      <c r="B4294" s="3" t="s">
        <v>4295</v>
      </c>
      <c r="C4294" s="5" t="s">
        <v>614</v>
      </c>
      <c r="D4294" s="3" t="s">
        <v>206</v>
      </c>
      <c r="E4294" s="3" t="s">
        <v>100</v>
      </c>
      <c r="F4294" s="7">
        <v>45833.33971315909</v>
      </c>
      <c r="G4294" s="3" t="s">
        <v>5473</v>
      </c>
    </row>
    <row r="4295">
      <c r="A4295" s="3" t="s">
        <v>13364</v>
      </c>
      <c r="B4295" s="3" t="s">
        <v>4295</v>
      </c>
      <c r="C4295" s="5" t="s">
        <v>206</v>
      </c>
      <c r="D4295" s="3" t="s">
        <v>68</v>
      </c>
      <c r="E4295" s="3" t="s">
        <v>100</v>
      </c>
      <c r="F4295" s="7">
        <v>45833.34318538131</v>
      </c>
      <c r="G4295" s="3" t="s">
        <v>5476</v>
      </c>
    </row>
    <row r="4296">
      <c r="A4296" s="3" t="s">
        <v>13366</v>
      </c>
      <c r="B4296" s="3" t="s">
        <v>4298</v>
      </c>
      <c r="C4296" s="5" t="s">
        <v>45</v>
      </c>
      <c r="D4296" s="3" t="s">
        <v>221</v>
      </c>
      <c r="E4296" s="3" t="s">
        <v>993</v>
      </c>
      <c r="F4296" s="7">
        <v>45833.40394356006</v>
      </c>
      <c r="G4296" s="3" t="s">
        <v>13368</v>
      </c>
    </row>
    <row r="4297">
      <c r="A4297" s="3" t="s">
        <v>13369</v>
      </c>
      <c r="B4297" s="3" t="s">
        <v>4298</v>
      </c>
      <c r="C4297" s="5" t="s">
        <v>221</v>
      </c>
      <c r="D4297" s="3" t="s">
        <v>614</v>
      </c>
      <c r="E4297" s="3" t="s">
        <v>118</v>
      </c>
      <c r="F4297" s="7">
        <v>45833.407415782276</v>
      </c>
      <c r="G4297" s="3" t="s">
        <v>13371</v>
      </c>
    </row>
    <row r="4298">
      <c r="A4298" s="3" t="s">
        <v>13372</v>
      </c>
      <c r="B4298" s="3" t="s">
        <v>4298</v>
      </c>
      <c r="C4298" s="5" t="s">
        <v>614</v>
      </c>
      <c r="D4298" s="3" t="s">
        <v>206</v>
      </c>
      <c r="E4298" s="3" t="s">
        <v>100</v>
      </c>
      <c r="F4298" s="7">
        <v>45833.4108880045</v>
      </c>
      <c r="G4298" s="3" t="s">
        <v>13373</v>
      </c>
    </row>
    <row r="4299">
      <c r="A4299" s="3" t="s">
        <v>13375</v>
      </c>
      <c r="B4299" s="3" t="s">
        <v>4298</v>
      </c>
      <c r="C4299" s="5" t="s">
        <v>206</v>
      </c>
      <c r="D4299" s="3" t="s">
        <v>68</v>
      </c>
      <c r="E4299" s="3" t="s">
        <v>100</v>
      </c>
      <c r="F4299" s="7">
        <v>45833.41436022672</v>
      </c>
      <c r="G4299" s="3" t="s">
        <v>13376</v>
      </c>
    </row>
    <row r="4300">
      <c r="A4300" s="3" t="s">
        <v>13377</v>
      </c>
      <c r="B4300" s="3" t="s">
        <v>4300</v>
      </c>
      <c r="C4300" s="5" t="s">
        <v>45</v>
      </c>
      <c r="D4300" s="3" t="s">
        <v>221</v>
      </c>
      <c r="E4300" s="3" t="s">
        <v>587</v>
      </c>
      <c r="F4300" s="7">
        <v>45833.47511840547</v>
      </c>
      <c r="G4300" s="3" t="s">
        <v>13379</v>
      </c>
    </row>
    <row r="4301">
      <c r="A4301" s="3" t="s">
        <v>13380</v>
      </c>
      <c r="B4301" s="3" t="s">
        <v>4300</v>
      </c>
      <c r="C4301" s="5" t="s">
        <v>221</v>
      </c>
      <c r="D4301" s="3" t="s">
        <v>614</v>
      </c>
      <c r="E4301" s="3" t="s">
        <v>118</v>
      </c>
      <c r="F4301" s="7">
        <v>45833.47859062769</v>
      </c>
      <c r="G4301" s="3" t="s">
        <v>13382</v>
      </c>
    </row>
    <row r="4302">
      <c r="A4302" s="3" t="s">
        <v>13384</v>
      </c>
      <c r="B4302" s="3" t="s">
        <v>4300</v>
      </c>
      <c r="C4302" s="5" t="s">
        <v>614</v>
      </c>
      <c r="D4302" s="3" t="s">
        <v>206</v>
      </c>
      <c r="E4302" s="3" t="s">
        <v>100</v>
      </c>
      <c r="F4302" s="7">
        <v>45833.482062849915</v>
      </c>
      <c r="G4302" s="3" t="s">
        <v>13386</v>
      </c>
    </row>
    <row r="4303">
      <c r="A4303" s="3" t="s">
        <v>13387</v>
      </c>
      <c r="B4303" s="3" t="s">
        <v>4300</v>
      </c>
      <c r="C4303" s="5" t="s">
        <v>206</v>
      </c>
      <c r="D4303" s="3" t="s">
        <v>68</v>
      </c>
      <c r="E4303" s="3" t="s">
        <v>100</v>
      </c>
      <c r="F4303" s="7">
        <v>45833.485535072134</v>
      </c>
      <c r="G4303" s="3" t="s">
        <v>13389</v>
      </c>
    </row>
    <row r="4304">
      <c r="A4304" s="3" t="s">
        <v>13390</v>
      </c>
      <c r="B4304" s="3" t="s">
        <v>4302</v>
      </c>
      <c r="C4304" s="5" t="s">
        <v>45</v>
      </c>
      <c r="D4304" s="3" t="s">
        <v>221</v>
      </c>
      <c r="E4304" s="3" t="s">
        <v>678</v>
      </c>
      <c r="F4304" s="7">
        <v>45833.54629325089</v>
      </c>
      <c r="G4304" s="3" t="s">
        <v>13392</v>
      </c>
    </row>
    <row r="4305">
      <c r="A4305" s="3" t="s">
        <v>13393</v>
      </c>
      <c r="B4305" s="3" t="s">
        <v>4302</v>
      </c>
      <c r="C4305" s="5" t="s">
        <v>221</v>
      </c>
      <c r="D4305" s="3" t="s">
        <v>614</v>
      </c>
      <c r="E4305" s="3" t="s">
        <v>118</v>
      </c>
      <c r="F4305" s="7">
        <v>45833.54976547311</v>
      </c>
      <c r="G4305" s="3" t="s">
        <v>13395</v>
      </c>
    </row>
    <row r="4306">
      <c r="A4306" s="3" t="s">
        <v>13396</v>
      </c>
      <c r="B4306" s="3" t="s">
        <v>4302</v>
      </c>
      <c r="C4306" s="5" t="s">
        <v>614</v>
      </c>
      <c r="D4306" s="3" t="s">
        <v>206</v>
      </c>
      <c r="E4306" s="3" t="s">
        <v>100</v>
      </c>
      <c r="F4306" s="7">
        <v>45833.553237695334</v>
      </c>
      <c r="G4306" s="3" t="s">
        <v>13398</v>
      </c>
    </row>
    <row r="4307">
      <c r="A4307" s="3" t="s">
        <v>13399</v>
      </c>
      <c r="B4307" s="3" t="s">
        <v>4302</v>
      </c>
      <c r="C4307" s="5" t="s">
        <v>206</v>
      </c>
      <c r="D4307" s="3" t="s">
        <v>68</v>
      </c>
      <c r="E4307" s="3" t="s">
        <v>100</v>
      </c>
      <c r="F4307" s="7">
        <v>45833.55670991755</v>
      </c>
      <c r="G4307" s="3" t="s">
        <v>13401</v>
      </c>
    </row>
    <row r="4308">
      <c r="A4308" s="3" t="s">
        <v>13402</v>
      </c>
      <c r="B4308" s="3" t="s">
        <v>4304</v>
      </c>
      <c r="C4308" s="5" t="s">
        <v>45</v>
      </c>
      <c r="D4308" s="3" t="s">
        <v>221</v>
      </c>
      <c r="E4308" s="3" t="s">
        <v>175</v>
      </c>
      <c r="F4308" s="7">
        <v>45833.6174680963</v>
      </c>
      <c r="G4308" s="3" t="s">
        <v>13404</v>
      </c>
    </row>
    <row r="4309">
      <c r="A4309" s="3" t="s">
        <v>13405</v>
      </c>
      <c r="B4309" s="3" t="s">
        <v>4304</v>
      </c>
      <c r="C4309" s="5" t="s">
        <v>221</v>
      </c>
      <c r="D4309" s="3" t="s">
        <v>614</v>
      </c>
      <c r="E4309" s="3" t="s">
        <v>118</v>
      </c>
      <c r="F4309" s="7">
        <v>45833.62094031852</v>
      </c>
      <c r="G4309" s="3" t="s">
        <v>13407</v>
      </c>
    </row>
    <row r="4310">
      <c r="A4310" s="3" t="s">
        <v>13408</v>
      </c>
      <c r="B4310" s="3" t="s">
        <v>4304</v>
      </c>
      <c r="C4310" s="5" t="s">
        <v>614</v>
      </c>
      <c r="D4310" s="3" t="s">
        <v>206</v>
      </c>
      <c r="E4310" s="3" t="s">
        <v>100</v>
      </c>
      <c r="F4310" s="7">
        <v>45833.62441254075</v>
      </c>
      <c r="G4310" s="3" t="s">
        <v>13409</v>
      </c>
    </row>
    <row r="4311">
      <c r="A4311" s="3" t="s">
        <v>13411</v>
      </c>
      <c r="B4311" s="3" t="s">
        <v>4304</v>
      </c>
      <c r="C4311" s="5" t="s">
        <v>206</v>
      </c>
      <c r="D4311" s="3" t="s">
        <v>68</v>
      </c>
      <c r="E4311" s="3" t="s">
        <v>100</v>
      </c>
      <c r="F4311" s="7">
        <v>45833.627884762966</v>
      </c>
      <c r="G4311" s="3" t="s">
        <v>13412</v>
      </c>
    </row>
    <row r="4312">
      <c r="A4312" s="3" t="s">
        <v>13413</v>
      </c>
      <c r="B4312" s="3" t="s">
        <v>4306</v>
      </c>
      <c r="C4312" s="5" t="s">
        <v>45</v>
      </c>
      <c r="D4312" s="3" t="s">
        <v>221</v>
      </c>
      <c r="E4312" s="3" t="s">
        <v>530</v>
      </c>
      <c r="F4312" s="7">
        <v>45833.68864294171</v>
      </c>
      <c r="G4312" s="3" t="s">
        <v>11787</v>
      </c>
    </row>
    <row r="4313">
      <c r="A4313" s="3" t="s">
        <v>13415</v>
      </c>
      <c r="B4313" s="3" t="s">
        <v>4306</v>
      </c>
      <c r="C4313" s="5" t="s">
        <v>221</v>
      </c>
      <c r="D4313" s="3" t="s">
        <v>614</v>
      </c>
      <c r="E4313" s="3" t="s">
        <v>118</v>
      </c>
      <c r="F4313" s="7">
        <v>45833.69211516393</v>
      </c>
      <c r="G4313" s="3" t="s">
        <v>11790</v>
      </c>
    </row>
    <row r="4314">
      <c r="A4314" s="3" t="s">
        <v>13417</v>
      </c>
      <c r="B4314" s="3" t="s">
        <v>4306</v>
      </c>
      <c r="C4314" s="5" t="s">
        <v>614</v>
      </c>
      <c r="D4314" s="3" t="s">
        <v>206</v>
      </c>
      <c r="E4314" s="3" t="s">
        <v>100</v>
      </c>
      <c r="F4314" s="7">
        <v>45833.69558738616</v>
      </c>
      <c r="G4314" s="3" t="s">
        <v>11795</v>
      </c>
    </row>
    <row r="4315">
      <c r="A4315" s="3" t="s">
        <v>13419</v>
      </c>
      <c r="B4315" s="3" t="s">
        <v>4306</v>
      </c>
      <c r="C4315" s="5" t="s">
        <v>206</v>
      </c>
      <c r="D4315" s="3" t="s">
        <v>68</v>
      </c>
      <c r="E4315" s="3" t="s">
        <v>100</v>
      </c>
      <c r="F4315" s="7">
        <v>45833.69905960838</v>
      </c>
      <c r="G4315" s="3" t="s">
        <v>11798</v>
      </c>
    </row>
    <row r="4316">
      <c r="A4316" s="3" t="s">
        <v>13421</v>
      </c>
      <c r="B4316" s="3" t="s">
        <v>4309</v>
      </c>
      <c r="C4316" s="5" t="s">
        <v>45</v>
      </c>
      <c r="D4316" s="3" t="s">
        <v>221</v>
      </c>
      <c r="E4316" s="3" t="s">
        <v>243</v>
      </c>
      <c r="F4316" s="7">
        <v>45833.75981778713</v>
      </c>
      <c r="G4316" s="3" t="s">
        <v>13423</v>
      </c>
    </row>
    <row r="4317">
      <c r="A4317" s="3" t="s">
        <v>13424</v>
      </c>
      <c r="B4317" s="3" t="s">
        <v>4309</v>
      </c>
      <c r="C4317" s="5" t="s">
        <v>221</v>
      </c>
      <c r="D4317" s="3" t="s">
        <v>614</v>
      </c>
      <c r="E4317" s="3" t="s">
        <v>118</v>
      </c>
      <c r="F4317" s="7">
        <v>45833.76329000935</v>
      </c>
      <c r="G4317" s="3" t="s">
        <v>13425</v>
      </c>
    </row>
    <row r="4318">
      <c r="A4318" s="3" t="s">
        <v>13427</v>
      </c>
      <c r="B4318" s="3" t="s">
        <v>4309</v>
      </c>
      <c r="C4318" s="5" t="s">
        <v>614</v>
      </c>
      <c r="D4318" s="3" t="s">
        <v>206</v>
      </c>
      <c r="E4318" s="3" t="s">
        <v>100</v>
      </c>
      <c r="F4318" s="7">
        <v>45833.76676223158</v>
      </c>
      <c r="G4318" s="3" t="s">
        <v>13428</v>
      </c>
    </row>
    <row r="4319">
      <c r="A4319" s="3" t="s">
        <v>13429</v>
      </c>
      <c r="B4319" s="3" t="s">
        <v>4309</v>
      </c>
      <c r="C4319" s="5" t="s">
        <v>206</v>
      </c>
      <c r="D4319" s="3" t="s">
        <v>68</v>
      </c>
      <c r="E4319" s="3" t="s">
        <v>100</v>
      </c>
      <c r="F4319" s="7">
        <v>45833.7702344538</v>
      </c>
      <c r="G4319" s="3" t="s">
        <v>13431</v>
      </c>
    </row>
    <row r="4320">
      <c r="A4320" s="3" t="s">
        <v>13432</v>
      </c>
      <c r="B4320" s="3" t="s">
        <v>4312</v>
      </c>
      <c r="C4320" s="5" t="s">
        <v>45</v>
      </c>
      <c r="D4320" s="3" t="s">
        <v>221</v>
      </c>
      <c r="E4320" s="3" t="s">
        <v>645</v>
      </c>
      <c r="F4320" s="7">
        <v>45833.830992632546</v>
      </c>
      <c r="G4320" s="3" t="s">
        <v>13434</v>
      </c>
    </row>
    <row r="4321">
      <c r="A4321" s="3" t="s">
        <v>13435</v>
      </c>
      <c r="B4321" s="3" t="s">
        <v>4312</v>
      </c>
      <c r="C4321" s="5" t="s">
        <v>221</v>
      </c>
      <c r="D4321" s="3" t="s">
        <v>614</v>
      </c>
      <c r="E4321" s="3" t="s">
        <v>118</v>
      </c>
      <c r="F4321" s="7">
        <v>45833.834464854765</v>
      </c>
      <c r="G4321" s="3" t="s">
        <v>13436</v>
      </c>
    </row>
    <row r="4322">
      <c r="A4322" s="3" t="s">
        <v>13437</v>
      </c>
      <c r="B4322" s="3" t="s">
        <v>4312</v>
      </c>
      <c r="C4322" s="5" t="s">
        <v>614</v>
      </c>
      <c r="D4322" s="3" t="s">
        <v>206</v>
      </c>
      <c r="E4322" s="3" t="s">
        <v>100</v>
      </c>
      <c r="F4322" s="7">
        <v>45833.83793707699</v>
      </c>
      <c r="G4322" s="3" t="s">
        <v>13439</v>
      </c>
    </row>
    <row r="4323">
      <c r="A4323" s="3" t="s">
        <v>13440</v>
      </c>
      <c r="B4323" s="3" t="s">
        <v>4312</v>
      </c>
      <c r="C4323" s="5" t="s">
        <v>206</v>
      </c>
      <c r="D4323" s="3" t="s">
        <v>68</v>
      </c>
      <c r="E4323" s="3" t="s">
        <v>100</v>
      </c>
      <c r="F4323" s="7">
        <v>45833.84140929921</v>
      </c>
      <c r="G4323" s="3" t="s">
        <v>13442</v>
      </c>
    </row>
    <row r="4324">
      <c r="A4324" s="3" t="s">
        <v>13443</v>
      </c>
      <c r="B4324" s="3" t="s">
        <v>4316</v>
      </c>
      <c r="C4324" s="5" t="s">
        <v>45</v>
      </c>
      <c r="D4324" s="3" t="s">
        <v>221</v>
      </c>
      <c r="E4324" s="3" t="s">
        <v>559</v>
      </c>
      <c r="F4324" s="7">
        <v>45833.90216747796</v>
      </c>
      <c r="G4324" s="3" t="s">
        <v>13445</v>
      </c>
    </row>
    <row r="4325">
      <c r="A4325" s="3" t="s">
        <v>13446</v>
      </c>
      <c r="B4325" s="3" t="s">
        <v>4316</v>
      </c>
      <c r="C4325" s="5" t="s">
        <v>221</v>
      </c>
      <c r="D4325" s="3" t="s">
        <v>614</v>
      </c>
      <c r="E4325" s="3" t="s">
        <v>118</v>
      </c>
      <c r="F4325" s="7">
        <v>45833.90563970018</v>
      </c>
      <c r="G4325" s="3" t="s">
        <v>13448</v>
      </c>
    </row>
    <row r="4326">
      <c r="A4326" s="3" t="s">
        <v>13449</v>
      </c>
      <c r="B4326" s="3" t="s">
        <v>4316</v>
      </c>
      <c r="C4326" s="5" t="s">
        <v>614</v>
      </c>
      <c r="D4326" s="3" t="s">
        <v>206</v>
      </c>
      <c r="E4326" s="3" t="s">
        <v>100</v>
      </c>
      <c r="F4326" s="7">
        <v>45833.9091119224</v>
      </c>
      <c r="G4326" s="3" t="s">
        <v>13450</v>
      </c>
    </row>
    <row r="4327">
      <c r="A4327" s="3" t="s">
        <v>13452</v>
      </c>
      <c r="B4327" s="3" t="s">
        <v>4316</v>
      </c>
      <c r="C4327" s="5" t="s">
        <v>206</v>
      </c>
      <c r="D4327" s="3" t="s">
        <v>68</v>
      </c>
      <c r="E4327" s="3" t="s">
        <v>100</v>
      </c>
      <c r="F4327" s="7">
        <v>45833.91258414462</v>
      </c>
      <c r="G4327" s="3" t="s">
        <v>13453</v>
      </c>
    </row>
    <row r="4328">
      <c r="A4328" s="3" t="s">
        <v>13455</v>
      </c>
      <c r="B4328" s="3" t="s">
        <v>4319</v>
      </c>
      <c r="C4328" s="5" t="s">
        <v>45</v>
      </c>
      <c r="D4328" s="3" t="s">
        <v>221</v>
      </c>
      <c r="E4328" s="3" t="s">
        <v>584</v>
      </c>
      <c r="F4328" s="7">
        <v>45833.97334232338</v>
      </c>
      <c r="G4328" s="3" t="s">
        <v>10887</v>
      </c>
    </row>
    <row r="4329">
      <c r="A4329" s="3" t="s">
        <v>13456</v>
      </c>
      <c r="B4329" s="3" t="s">
        <v>4319</v>
      </c>
      <c r="C4329" s="5" t="s">
        <v>221</v>
      </c>
      <c r="D4329" s="3" t="s">
        <v>614</v>
      </c>
      <c r="E4329" s="3" t="s">
        <v>118</v>
      </c>
      <c r="F4329" s="7">
        <v>45833.9768145456</v>
      </c>
      <c r="G4329" s="3" t="s">
        <v>10890</v>
      </c>
    </row>
    <row r="4330">
      <c r="A4330" s="3" t="s">
        <v>13458</v>
      </c>
      <c r="B4330" s="3" t="s">
        <v>4319</v>
      </c>
      <c r="C4330" s="5" t="s">
        <v>614</v>
      </c>
      <c r="D4330" s="3" t="s">
        <v>206</v>
      </c>
      <c r="E4330" s="3" t="s">
        <v>100</v>
      </c>
      <c r="F4330" s="7">
        <v>45833.98028676782</v>
      </c>
      <c r="G4330" s="3" t="s">
        <v>10892</v>
      </c>
    </row>
    <row r="4331">
      <c r="A4331" s="3" t="s">
        <v>13460</v>
      </c>
      <c r="B4331" s="3" t="s">
        <v>4319</v>
      </c>
      <c r="C4331" s="5" t="s">
        <v>206</v>
      </c>
      <c r="D4331" s="3" t="s">
        <v>68</v>
      </c>
      <c r="E4331" s="3" t="s">
        <v>100</v>
      </c>
      <c r="F4331" s="7">
        <v>45833.98375899004</v>
      </c>
      <c r="G4331" s="3" t="s">
        <v>10895</v>
      </c>
    </row>
    <row r="4332">
      <c r="A4332" s="3" t="s">
        <v>13462</v>
      </c>
      <c r="B4332" s="3" t="s">
        <v>4322</v>
      </c>
      <c r="C4332" s="5" t="s">
        <v>45</v>
      </c>
      <c r="D4332" s="3" t="s">
        <v>221</v>
      </c>
      <c r="E4332" s="3" t="s">
        <v>765</v>
      </c>
      <c r="F4332" s="7">
        <v>45834.04451716879</v>
      </c>
      <c r="G4332" s="3" t="s">
        <v>13464</v>
      </c>
    </row>
    <row r="4333">
      <c r="A4333" s="3" t="s">
        <v>13465</v>
      </c>
      <c r="B4333" s="3" t="s">
        <v>4322</v>
      </c>
      <c r="C4333" s="5" t="s">
        <v>221</v>
      </c>
      <c r="D4333" s="3" t="s">
        <v>614</v>
      </c>
      <c r="E4333" s="3" t="s">
        <v>118</v>
      </c>
      <c r="F4333" s="7">
        <v>45834.04798939101</v>
      </c>
      <c r="G4333" s="3" t="s">
        <v>13467</v>
      </c>
    </row>
    <row r="4334">
      <c r="A4334" s="3" t="s">
        <v>13468</v>
      </c>
      <c r="B4334" s="3" t="s">
        <v>4322</v>
      </c>
      <c r="C4334" s="5" t="s">
        <v>614</v>
      </c>
      <c r="D4334" s="3" t="s">
        <v>206</v>
      </c>
      <c r="E4334" s="3" t="s">
        <v>100</v>
      </c>
      <c r="F4334" s="7">
        <v>45834.051461613235</v>
      </c>
      <c r="G4334" s="3" t="s">
        <v>13470</v>
      </c>
    </row>
    <row r="4335">
      <c r="A4335" s="3" t="s">
        <v>13471</v>
      </c>
      <c r="B4335" s="3" t="s">
        <v>4322</v>
      </c>
      <c r="C4335" s="5" t="s">
        <v>206</v>
      </c>
      <c r="D4335" s="3" t="s">
        <v>68</v>
      </c>
      <c r="E4335" s="3" t="s">
        <v>100</v>
      </c>
      <c r="F4335" s="7">
        <v>45834.054933835454</v>
      </c>
      <c r="G4335" s="3" t="s">
        <v>13473</v>
      </c>
    </row>
    <row r="4336">
      <c r="A4336" s="3" t="s">
        <v>13474</v>
      </c>
      <c r="B4336" s="3" t="s">
        <v>4326</v>
      </c>
      <c r="C4336" s="5" t="s">
        <v>45</v>
      </c>
      <c r="D4336" s="3" t="s">
        <v>221</v>
      </c>
      <c r="E4336" s="3" t="s">
        <v>747</v>
      </c>
      <c r="F4336" s="7">
        <v>45834.1156920142</v>
      </c>
      <c r="G4336" s="3" t="s">
        <v>13476</v>
      </c>
    </row>
    <row r="4337">
      <c r="A4337" s="3" t="s">
        <v>13477</v>
      </c>
      <c r="B4337" s="3" t="s">
        <v>4326</v>
      </c>
      <c r="C4337" s="5" t="s">
        <v>221</v>
      </c>
      <c r="D4337" s="3" t="s">
        <v>614</v>
      </c>
      <c r="E4337" s="3" t="s">
        <v>118</v>
      </c>
      <c r="F4337" s="7">
        <v>45834.11916423642</v>
      </c>
      <c r="G4337" s="3" t="s">
        <v>13478</v>
      </c>
    </row>
    <row r="4338">
      <c r="A4338" s="3" t="s">
        <v>13480</v>
      </c>
      <c r="B4338" s="3" t="s">
        <v>4326</v>
      </c>
      <c r="C4338" s="5" t="s">
        <v>614</v>
      </c>
      <c r="D4338" s="3" t="s">
        <v>206</v>
      </c>
      <c r="E4338" s="3" t="s">
        <v>100</v>
      </c>
      <c r="F4338" s="7">
        <v>45834.12263645865</v>
      </c>
      <c r="G4338" s="3" t="s">
        <v>13481</v>
      </c>
    </row>
    <row r="4339">
      <c r="A4339" s="3" t="s">
        <v>13482</v>
      </c>
      <c r="B4339" s="3" t="s">
        <v>4326</v>
      </c>
      <c r="C4339" s="5" t="s">
        <v>206</v>
      </c>
      <c r="D4339" s="3" t="s">
        <v>68</v>
      </c>
      <c r="E4339" s="3" t="s">
        <v>100</v>
      </c>
      <c r="F4339" s="7">
        <v>45834.126108680866</v>
      </c>
      <c r="G4339" s="3" t="s">
        <v>13484</v>
      </c>
    </row>
    <row r="4340">
      <c r="A4340" s="3" t="s">
        <v>13485</v>
      </c>
      <c r="B4340" s="3" t="s">
        <v>4329</v>
      </c>
      <c r="C4340" s="5" t="s">
        <v>45</v>
      </c>
      <c r="D4340" s="3" t="s">
        <v>221</v>
      </c>
      <c r="E4340" s="3" t="s">
        <v>600</v>
      </c>
      <c r="F4340" s="7">
        <v>45834.18686685962</v>
      </c>
      <c r="G4340" s="3" t="s">
        <v>13487</v>
      </c>
    </row>
    <row r="4341">
      <c r="A4341" s="3" t="s">
        <v>13488</v>
      </c>
      <c r="B4341" s="3" t="s">
        <v>4329</v>
      </c>
      <c r="C4341" s="5" t="s">
        <v>221</v>
      </c>
      <c r="D4341" s="3" t="s">
        <v>614</v>
      </c>
      <c r="E4341" s="3" t="s">
        <v>118</v>
      </c>
      <c r="F4341" s="7">
        <v>45834.19033908184</v>
      </c>
      <c r="G4341" s="3" t="s">
        <v>13490</v>
      </c>
    </row>
    <row r="4342">
      <c r="A4342" s="3" t="s">
        <v>13491</v>
      </c>
      <c r="B4342" s="3" t="s">
        <v>4329</v>
      </c>
      <c r="C4342" s="5" t="s">
        <v>614</v>
      </c>
      <c r="D4342" s="3" t="s">
        <v>206</v>
      </c>
      <c r="E4342" s="3" t="s">
        <v>100</v>
      </c>
      <c r="F4342" s="7">
        <v>45834.19381130407</v>
      </c>
      <c r="G4342" s="3" t="s">
        <v>13493</v>
      </c>
    </row>
    <row r="4343">
      <c r="A4343" s="3" t="s">
        <v>13494</v>
      </c>
      <c r="B4343" s="3" t="s">
        <v>4329</v>
      </c>
      <c r="C4343" s="5" t="s">
        <v>206</v>
      </c>
      <c r="D4343" s="3" t="s">
        <v>68</v>
      </c>
      <c r="E4343" s="3" t="s">
        <v>100</v>
      </c>
      <c r="F4343" s="7">
        <v>45834.197283526286</v>
      </c>
      <c r="G4343" s="3" t="s">
        <v>13495</v>
      </c>
    </row>
    <row r="4344">
      <c r="A4344" s="3" t="s">
        <v>13497</v>
      </c>
      <c r="B4344" s="3" t="s">
        <v>4332</v>
      </c>
      <c r="C4344" s="5" t="s">
        <v>45</v>
      </c>
      <c r="D4344" s="3" t="s">
        <v>221</v>
      </c>
      <c r="E4344" s="3" t="s">
        <v>694</v>
      </c>
      <c r="F4344" s="7">
        <v>45834.25804170504</v>
      </c>
      <c r="G4344" s="3" t="s">
        <v>13498</v>
      </c>
    </row>
    <row r="4345">
      <c r="A4345" s="3" t="s">
        <v>13500</v>
      </c>
      <c r="B4345" s="3" t="s">
        <v>4332</v>
      </c>
      <c r="C4345" s="5" t="s">
        <v>221</v>
      </c>
      <c r="D4345" s="3" t="s">
        <v>614</v>
      </c>
      <c r="E4345" s="3" t="s">
        <v>118</v>
      </c>
      <c r="F4345" s="7">
        <v>45834.26151392726</v>
      </c>
      <c r="G4345" s="3" t="s">
        <v>13501</v>
      </c>
    </row>
    <row r="4346">
      <c r="A4346" s="3" t="s">
        <v>13502</v>
      </c>
      <c r="B4346" s="3" t="s">
        <v>4332</v>
      </c>
      <c r="C4346" s="5" t="s">
        <v>614</v>
      </c>
      <c r="D4346" s="3" t="s">
        <v>206</v>
      </c>
      <c r="E4346" s="3" t="s">
        <v>100</v>
      </c>
      <c r="F4346" s="7">
        <v>45834.26498614949</v>
      </c>
      <c r="G4346" s="3" t="s">
        <v>13504</v>
      </c>
    </row>
    <row r="4347">
      <c r="A4347" s="3" t="s">
        <v>13505</v>
      </c>
      <c r="B4347" s="3" t="s">
        <v>4332</v>
      </c>
      <c r="C4347" s="5" t="s">
        <v>206</v>
      </c>
      <c r="D4347" s="3" t="s">
        <v>68</v>
      </c>
      <c r="E4347" s="3" t="s">
        <v>100</v>
      </c>
      <c r="F4347" s="7">
        <v>45834.268458371705</v>
      </c>
      <c r="G4347" s="3" t="s">
        <v>13507</v>
      </c>
    </row>
    <row r="4348">
      <c r="A4348" s="3" t="s">
        <v>13508</v>
      </c>
      <c r="B4348" s="3" t="s">
        <v>4335</v>
      </c>
      <c r="C4348" s="5" t="s">
        <v>45</v>
      </c>
      <c r="D4348" s="3" t="s">
        <v>221</v>
      </c>
      <c r="E4348" s="3" t="s">
        <v>900</v>
      </c>
      <c r="F4348" s="7">
        <v>45834.329216550446</v>
      </c>
      <c r="G4348" s="3" t="s">
        <v>13510</v>
      </c>
    </row>
    <row r="4349">
      <c r="A4349" s="3" t="s">
        <v>13511</v>
      </c>
      <c r="B4349" s="3" t="s">
        <v>4335</v>
      </c>
      <c r="C4349" s="5" t="s">
        <v>221</v>
      </c>
      <c r="D4349" s="3" t="s">
        <v>614</v>
      </c>
      <c r="E4349" s="3" t="s">
        <v>118</v>
      </c>
      <c r="F4349" s="7">
        <v>45834.332688772665</v>
      </c>
      <c r="G4349" s="3" t="s">
        <v>13512</v>
      </c>
    </row>
    <row r="4350">
      <c r="A4350" s="3" t="s">
        <v>13514</v>
      </c>
      <c r="B4350" s="3" t="s">
        <v>4335</v>
      </c>
      <c r="C4350" s="5" t="s">
        <v>614</v>
      </c>
      <c r="D4350" s="3" t="s">
        <v>206</v>
      </c>
      <c r="E4350" s="3" t="s">
        <v>100</v>
      </c>
      <c r="F4350" s="7">
        <v>45834.33616099489</v>
      </c>
      <c r="G4350" s="3" t="s">
        <v>13515</v>
      </c>
    </row>
    <row r="4351">
      <c r="A4351" s="3" t="s">
        <v>13516</v>
      </c>
      <c r="B4351" s="3" t="s">
        <v>4335</v>
      </c>
      <c r="C4351" s="5" t="s">
        <v>206</v>
      </c>
      <c r="D4351" s="3" t="s">
        <v>68</v>
      </c>
      <c r="E4351" s="3" t="s">
        <v>100</v>
      </c>
      <c r="F4351" s="7">
        <v>45834.33963321711</v>
      </c>
      <c r="G4351" s="3" t="s">
        <v>13517</v>
      </c>
    </row>
    <row r="4352">
      <c r="A4352" s="3" t="s">
        <v>13519</v>
      </c>
      <c r="B4352" s="3" t="s">
        <v>4338</v>
      </c>
      <c r="C4352" s="5" t="s">
        <v>45</v>
      </c>
      <c r="D4352" s="3" t="s">
        <v>221</v>
      </c>
      <c r="E4352" s="3" t="s">
        <v>574</v>
      </c>
      <c r="F4352" s="7">
        <v>45834.400391395866</v>
      </c>
      <c r="G4352" s="3" t="s">
        <v>2770</v>
      </c>
    </row>
    <row r="4353">
      <c r="A4353" s="3" t="s">
        <v>13521</v>
      </c>
      <c r="B4353" s="3" t="s">
        <v>4338</v>
      </c>
      <c r="C4353" s="5" t="s">
        <v>221</v>
      </c>
      <c r="D4353" s="3" t="s">
        <v>181</v>
      </c>
      <c r="E4353" s="3" t="s">
        <v>118</v>
      </c>
      <c r="F4353" s="7">
        <v>45834.403863618085</v>
      </c>
      <c r="G4353" s="3" t="s">
        <v>2774</v>
      </c>
    </row>
    <row r="4354">
      <c r="A4354" s="3" t="s">
        <v>13522</v>
      </c>
      <c r="B4354" s="3" t="s">
        <v>4341</v>
      </c>
      <c r="C4354" s="5" t="s">
        <v>45</v>
      </c>
      <c r="D4354" s="3" t="s">
        <v>221</v>
      </c>
      <c r="E4354" s="3" t="s">
        <v>1021</v>
      </c>
      <c r="F4354" s="7">
        <v>45834.471566241285</v>
      </c>
      <c r="G4354" s="3" t="s">
        <v>2770</v>
      </c>
    </row>
    <row r="4355">
      <c r="A4355" s="3" t="s">
        <v>13524</v>
      </c>
      <c r="B4355" s="3" t="s">
        <v>4341</v>
      </c>
      <c r="C4355" s="5" t="s">
        <v>221</v>
      </c>
      <c r="D4355" s="3" t="s">
        <v>181</v>
      </c>
      <c r="E4355" s="3" t="s">
        <v>118</v>
      </c>
      <c r="F4355" s="7">
        <v>45834.475038463504</v>
      </c>
      <c r="G4355" s="3" t="s">
        <v>2774</v>
      </c>
    </row>
    <row r="4356">
      <c r="A4356" s="3" t="s">
        <v>13526</v>
      </c>
      <c r="B4356" s="3" t="s">
        <v>4344</v>
      </c>
      <c r="C4356" s="5" t="s">
        <v>45</v>
      </c>
      <c r="D4356" s="3" t="s">
        <v>221</v>
      </c>
      <c r="E4356" s="3" t="s">
        <v>853</v>
      </c>
      <c r="F4356" s="7">
        <v>45834.5427410867</v>
      </c>
      <c r="G4356" s="3" t="s">
        <v>11717</v>
      </c>
    </row>
    <row r="4357">
      <c r="A4357" s="3" t="s">
        <v>13528</v>
      </c>
      <c r="B4357" s="3" t="s">
        <v>4344</v>
      </c>
      <c r="C4357" s="5" t="s">
        <v>221</v>
      </c>
      <c r="D4357" s="3" t="s">
        <v>614</v>
      </c>
      <c r="E4357" s="3" t="s">
        <v>118</v>
      </c>
      <c r="F4357" s="7">
        <v>45834.54621330892</v>
      </c>
      <c r="G4357" s="3" t="s">
        <v>13530</v>
      </c>
    </row>
    <row r="4358">
      <c r="A4358" s="3" t="s">
        <v>13531</v>
      </c>
      <c r="B4358" s="3" t="s">
        <v>4344</v>
      </c>
      <c r="C4358" s="5" t="s">
        <v>614</v>
      </c>
      <c r="D4358" s="3" t="s">
        <v>206</v>
      </c>
      <c r="E4358" s="3" t="s">
        <v>100</v>
      </c>
      <c r="F4358" s="7">
        <v>45834.54968553114</v>
      </c>
      <c r="G4358" s="3" t="s">
        <v>13532</v>
      </c>
    </row>
    <row r="4359">
      <c r="A4359" s="3" t="s">
        <v>13534</v>
      </c>
      <c r="B4359" s="3" t="s">
        <v>4344</v>
      </c>
      <c r="C4359" s="5" t="s">
        <v>206</v>
      </c>
      <c r="D4359" s="3" t="s">
        <v>68</v>
      </c>
      <c r="E4359" s="3" t="s">
        <v>100</v>
      </c>
      <c r="F4359" s="7">
        <v>45834.55315775336</v>
      </c>
      <c r="G4359" s="3" t="s">
        <v>13535</v>
      </c>
    </row>
    <row r="4360">
      <c r="A4360" s="3" t="s">
        <v>13536</v>
      </c>
      <c r="B4360" s="3" t="s">
        <v>4347</v>
      </c>
      <c r="C4360" s="5" t="s">
        <v>45</v>
      </c>
      <c r="D4360" s="3" t="s">
        <v>221</v>
      </c>
      <c r="E4360" s="3" t="s">
        <v>669</v>
      </c>
      <c r="F4360" s="7">
        <v>45834.61391593211</v>
      </c>
      <c r="G4360" s="3" t="s">
        <v>13538</v>
      </c>
    </row>
    <row r="4361">
      <c r="A4361" s="3" t="s">
        <v>13539</v>
      </c>
      <c r="B4361" s="3" t="s">
        <v>4347</v>
      </c>
      <c r="C4361" s="5" t="s">
        <v>221</v>
      </c>
      <c r="D4361" s="3" t="s">
        <v>614</v>
      </c>
      <c r="E4361" s="3" t="s">
        <v>118</v>
      </c>
      <c r="F4361" s="7">
        <v>45834.61738815433</v>
      </c>
      <c r="G4361" s="3" t="s">
        <v>13541</v>
      </c>
    </row>
    <row r="4362">
      <c r="A4362" s="3" t="s">
        <v>13542</v>
      </c>
      <c r="B4362" s="3" t="s">
        <v>4347</v>
      </c>
      <c r="C4362" s="5" t="s">
        <v>614</v>
      </c>
      <c r="D4362" s="3" t="s">
        <v>206</v>
      </c>
      <c r="E4362" s="3" t="s">
        <v>100</v>
      </c>
      <c r="F4362" s="7">
        <v>45834.620860376555</v>
      </c>
      <c r="G4362" s="3" t="s">
        <v>13544</v>
      </c>
    </row>
    <row r="4363">
      <c r="A4363" s="3" t="s">
        <v>13545</v>
      </c>
      <c r="B4363" s="3" t="s">
        <v>4347</v>
      </c>
      <c r="C4363" s="5" t="s">
        <v>206</v>
      </c>
      <c r="D4363" s="3" t="s">
        <v>68</v>
      </c>
      <c r="E4363" s="3" t="s">
        <v>100</v>
      </c>
      <c r="F4363" s="7">
        <v>45834.624332598774</v>
      </c>
      <c r="G4363" s="3" t="s">
        <v>13547</v>
      </c>
    </row>
    <row r="4364">
      <c r="A4364" s="3" t="s">
        <v>13548</v>
      </c>
      <c r="B4364" s="3" t="s">
        <v>4351</v>
      </c>
      <c r="C4364" s="5" t="s">
        <v>45</v>
      </c>
      <c r="D4364" s="3" t="s">
        <v>221</v>
      </c>
      <c r="E4364" s="3" t="s">
        <v>939</v>
      </c>
      <c r="F4364" s="7">
        <v>45834.68509077753</v>
      </c>
      <c r="G4364" s="3" t="s">
        <v>7152</v>
      </c>
    </row>
    <row r="4365">
      <c r="A4365" s="3" t="s">
        <v>13550</v>
      </c>
      <c r="B4365" s="3" t="s">
        <v>4351</v>
      </c>
      <c r="C4365" s="5" t="s">
        <v>221</v>
      </c>
      <c r="D4365" s="3" t="s">
        <v>181</v>
      </c>
      <c r="E4365" s="3" t="s">
        <v>118</v>
      </c>
      <c r="F4365" s="7">
        <v>45834.68856299975</v>
      </c>
      <c r="G4365" s="3" t="s">
        <v>13551</v>
      </c>
    </row>
    <row r="4366">
      <c r="A4366" s="3" t="s">
        <v>13553</v>
      </c>
      <c r="B4366" s="3" t="s">
        <v>4355</v>
      </c>
      <c r="C4366" s="5" t="s">
        <v>45</v>
      </c>
      <c r="D4366" s="3" t="s">
        <v>221</v>
      </c>
      <c r="E4366" s="3" t="s">
        <v>341</v>
      </c>
      <c r="F4366" s="7">
        <v>45834.75626562294</v>
      </c>
      <c r="G4366" s="3" t="s">
        <v>13554</v>
      </c>
    </row>
    <row r="4367">
      <c r="A4367" s="3" t="s">
        <v>13556</v>
      </c>
      <c r="B4367" s="3" t="s">
        <v>4355</v>
      </c>
      <c r="C4367" s="5" t="s">
        <v>221</v>
      </c>
      <c r="D4367" s="3" t="s">
        <v>614</v>
      </c>
      <c r="E4367" s="3" t="s">
        <v>118</v>
      </c>
      <c r="F4367" s="7">
        <v>45834.75973784516</v>
      </c>
      <c r="G4367" s="3" t="s">
        <v>13557</v>
      </c>
    </row>
    <row r="4368">
      <c r="A4368" s="3" t="s">
        <v>13558</v>
      </c>
      <c r="B4368" s="3" t="s">
        <v>4355</v>
      </c>
      <c r="C4368" s="5" t="s">
        <v>614</v>
      </c>
      <c r="D4368" s="3" t="s">
        <v>206</v>
      </c>
      <c r="E4368" s="3" t="s">
        <v>100</v>
      </c>
      <c r="F4368" s="7">
        <v>45834.76321006739</v>
      </c>
      <c r="G4368" s="3" t="s">
        <v>13560</v>
      </c>
    </row>
    <row r="4369">
      <c r="A4369" s="3" t="s">
        <v>13561</v>
      </c>
      <c r="B4369" s="3" t="s">
        <v>4355</v>
      </c>
      <c r="C4369" s="5" t="s">
        <v>206</v>
      </c>
      <c r="D4369" s="3" t="s">
        <v>68</v>
      </c>
      <c r="E4369" s="3" t="s">
        <v>100</v>
      </c>
      <c r="F4369" s="7">
        <v>45834.766682289606</v>
      </c>
      <c r="G4369" s="3" t="s">
        <v>13563</v>
      </c>
    </row>
    <row r="4370">
      <c r="A4370" s="3" t="s">
        <v>13564</v>
      </c>
      <c r="B4370" s="3" t="s">
        <v>4358</v>
      </c>
      <c r="C4370" s="5" t="s">
        <v>45</v>
      </c>
      <c r="D4370" s="3" t="s">
        <v>221</v>
      </c>
      <c r="E4370" s="3" t="s">
        <v>678</v>
      </c>
      <c r="F4370" s="7">
        <v>45834.827440468354</v>
      </c>
      <c r="G4370" s="3" t="s">
        <v>13566</v>
      </c>
    </row>
    <row r="4371">
      <c r="A4371" s="3" t="s">
        <v>13567</v>
      </c>
      <c r="B4371" s="3" t="s">
        <v>4358</v>
      </c>
      <c r="C4371" s="5" t="s">
        <v>221</v>
      </c>
      <c r="D4371" s="3" t="s">
        <v>614</v>
      </c>
      <c r="E4371" s="3" t="s">
        <v>118</v>
      </c>
      <c r="F4371" s="7">
        <v>45834.83091269057</v>
      </c>
      <c r="G4371" s="3" t="s">
        <v>13568</v>
      </c>
    </row>
    <row r="4372">
      <c r="A4372" s="3" t="s">
        <v>13570</v>
      </c>
      <c r="B4372" s="3" t="s">
        <v>4358</v>
      </c>
      <c r="C4372" s="5" t="s">
        <v>614</v>
      </c>
      <c r="D4372" s="3" t="s">
        <v>206</v>
      </c>
      <c r="E4372" s="3" t="s">
        <v>100</v>
      </c>
      <c r="F4372" s="7">
        <v>45834.8343849128</v>
      </c>
      <c r="G4372" s="3" t="s">
        <v>13571</v>
      </c>
    </row>
    <row r="4373">
      <c r="A4373" s="3" t="s">
        <v>13572</v>
      </c>
      <c r="B4373" s="3" t="s">
        <v>4358</v>
      </c>
      <c r="C4373" s="5" t="s">
        <v>206</v>
      </c>
      <c r="D4373" s="3" t="s">
        <v>68</v>
      </c>
      <c r="E4373" s="3" t="s">
        <v>100</v>
      </c>
      <c r="F4373" s="7">
        <v>45834.83785713502</v>
      </c>
      <c r="G4373" s="3" t="s">
        <v>13574</v>
      </c>
    </row>
    <row r="4374">
      <c r="A4374" s="3" t="s">
        <v>13575</v>
      </c>
      <c r="B4374" s="3" t="s">
        <v>4361</v>
      </c>
      <c r="C4374" s="5" t="s">
        <v>45</v>
      </c>
      <c r="D4374" s="3" t="s">
        <v>221</v>
      </c>
      <c r="E4374" s="3" t="s">
        <v>175</v>
      </c>
      <c r="F4374" s="7">
        <v>45834.898615313774</v>
      </c>
      <c r="G4374" s="3" t="s">
        <v>13404</v>
      </c>
    </row>
    <row r="4375">
      <c r="A4375" s="3" t="s">
        <v>13577</v>
      </c>
      <c r="B4375" s="3" t="s">
        <v>4361</v>
      </c>
      <c r="C4375" s="5" t="s">
        <v>221</v>
      </c>
      <c r="D4375" s="3" t="s">
        <v>614</v>
      </c>
      <c r="E4375" s="3" t="s">
        <v>118</v>
      </c>
      <c r="F4375" s="7">
        <v>45834.90208753599</v>
      </c>
      <c r="G4375" s="3" t="s">
        <v>13407</v>
      </c>
    </row>
    <row r="4376">
      <c r="A4376" s="3" t="s">
        <v>13579</v>
      </c>
      <c r="B4376" s="3" t="s">
        <v>4361</v>
      </c>
      <c r="C4376" s="5" t="s">
        <v>614</v>
      </c>
      <c r="D4376" s="3" t="s">
        <v>206</v>
      </c>
      <c r="E4376" s="3" t="s">
        <v>100</v>
      </c>
      <c r="F4376" s="7">
        <v>45834.90555975822</v>
      </c>
      <c r="G4376" s="3" t="s">
        <v>13409</v>
      </c>
    </row>
    <row r="4377">
      <c r="A4377" s="3" t="s">
        <v>13581</v>
      </c>
      <c r="B4377" s="3" t="s">
        <v>4361</v>
      </c>
      <c r="C4377" s="5" t="s">
        <v>206</v>
      </c>
      <c r="D4377" s="3" t="s">
        <v>68</v>
      </c>
      <c r="E4377" s="3" t="s">
        <v>100</v>
      </c>
      <c r="F4377" s="7">
        <v>45834.90903198044</v>
      </c>
      <c r="G4377" s="3" t="s">
        <v>13412</v>
      </c>
    </row>
    <row r="4378">
      <c r="A4378" s="3" t="s">
        <v>13583</v>
      </c>
      <c r="B4378" s="3" t="s">
        <v>4365</v>
      </c>
      <c r="C4378" s="5" t="s">
        <v>45</v>
      </c>
      <c r="D4378" s="3" t="s">
        <v>221</v>
      </c>
      <c r="E4378" s="3" t="s">
        <v>550</v>
      </c>
      <c r="F4378" s="7">
        <v>45834.969790159186</v>
      </c>
      <c r="G4378" s="3" t="s">
        <v>13585</v>
      </c>
    </row>
    <row r="4379">
      <c r="A4379" s="3" t="s">
        <v>13586</v>
      </c>
      <c r="B4379" s="3" t="s">
        <v>4365</v>
      </c>
      <c r="C4379" s="5" t="s">
        <v>221</v>
      </c>
      <c r="D4379" s="3" t="s">
        <v>614</v>
      </c>
      <c r="E4379" s="3" t="s">
        <v>118</v>
      </c>
      <c r="F4379" s="7">
        <v>45834.973262381405</v>
      </c>
      <c r="G4379" s="3" t="s">
        <v>13587</v>
      </c>
    </row>
    <row r="4380">
      <c r="A4380" s="3" t="s">
        <v>13588</v>
      </c>
      <c r="B4380" s="3" t="s">
        <v>4365</v>
      </c>
      <c r="C4380" s="5" t="s">
        <v>614</v>
      </c>
      <c r="D4380" s="3" t="s">
        <v>206</v>
      </c>
      <c r="E4380" s="3" t="s">
        <v>100</v>
      </c>
      <c r="F4380" s="7">
        <v>45834.97673460363</v>
      </c>
      <c r="G4380" s="3" t="s">
        <v>13590</v>
      </c>
    </row>
    <row r="4381">
      <c r="A4381" s="3" t="s">
        <v>13591</v>
      </c>
      <c r="B4381" s="3" t="s">
        <v>4365</v>
      </c>
      <c r="C4381" s="5" t="s">
        <v>206</v>
      </c>
      <c r="D4381" s="3" t="s">
        <v>68</v>
      </c>
      <c r="E4381" s="3" t="s">
        <v>100</v>
      </c>
      <c r="F4381" s="7">
        <v>45834.98020682585</v>
      </c>
      <c r="G4381" s="3" t="s">
        <v>13593</v>
      </c>
    </row>
    <row r="4382">
      <c r="A4382" s="3" t="s">
        <v>13594</v>
      </c>
      <c r="B4382" s="3" t="s">
        <v>4369</v>
      </c>
      <c r="C4382" s="5" t="s">
        <v>45</v>
      </c>
      <c r="D4382" s="3" t="s">
        <v>221</v>
      </c>
      <c r="E4382" s="3" t="s">
        <v>785</v>
      </c>
      <c r="F4382" s="7">
        <v>45835.0409650046</v>
      </c>
      <c r="G4382" s="3" t="s">
        <v>13595</v>
      </c>
    </row>
    <row r="4383">
      <c r="A4383" s="3" t="s">
        <v>13597</v>
      </c>
      <c r="B4383" s="3" t="s">
        <v>4369</v>
      </c>
      <c r="C4383" s="5" t="s">
        <v>221</v>
      </c>
      <c r="D4383" s="3" t="s">
        <v>614</v>
      </c>
      <c r="E4383" s="3" t="s">
        <v>118</v>
      </c>
      <c r="F4383" s="7">
        <v>45835.04443722682</v>
      </c>
      <c r="G4383" s="3" t="s">
        <v>13598</v>
      </c>
    </row>
    <row r="4384">
      <c r="A4384" s="3" t="s">
        <v>13600</v>
      </c>
      <c r="B4384" s="3" t="s">
        <v>4369</v>
      </c>
      <c r="C4384" s="5" t="s">
        <v>614</v>
      </c>
      <c r="D4384" s="3" t="s">
        <v>206</v>
      </c>
      <c r="E4384" s="3" t="s">
        <v>100</v>
      </c>
      <c r="F4384" s="7">
        <v>45835.047909449044</v>
      </c>
      <c r="G4384" s="3" t="s">
        <v>13602</v>
      </c>
    </row>
    <row r="4385">
      <c r="A4385" s="3" t="s">
        <v>13603</v>
      </c>
      <c r="B4385" s="3" t="s">
        <v>4369</v>
      </c>
      <c r="C4385" s="5" t="s">
        <v>206</v>
      </c>
      <c r="D4385" s="3" t="s">
        <v>68</v>
      </c>
      <c r="E4385" s="3" t="s">
        <v>100</v>
      </c>
      <c r="F4385" s="7">
        <v>45835.05138167126</v>
      </c>
      <c r="G4385" s="3" t="s">
        <v>13605</v>
      </c>
    </row>
    <row r="4386">
      <c r="A4386" s="3" t="s">
        <v>13606</v>
      </c>
      <c r="B4386" s="3" t="s">
        <v>4371</v>
      </c>
      <c r="C4386" s="5" t="s">
        <v>45</v>
      </c>
      <c r="D4386" s="3" t="s">
        <v>221</v>
      </c>
      <c r="E4386" s="3" t="s">
        <v>512</v>
      </c>
      <c r="F4386" s="7">
        <v>45835.11213985002</v>
      </c>
      <c r="G4386" s="3" t="s">
        <v>13608</v>
      </c>
    </row>
    <row r="4387">
      <c r="A4387" s="3" t="s">
        <v>13609</v>
      </c>
      <c r="B4387" s="3" t="s">
        <v>4371</v>
      </c>
      <c r="C4387" s="5" t="s">
        <v>221</v>
      </c>
      <c r="D4387" s="3" t="s">
        <v>614</v>
      </c>
      <c r="E4387" s="3" t="s">
        <v>118</v>
      </c>
      <c r="F4387" s="7">
        <v>45835.11561207224</v>
      </c>
      <c r="G4387" s="3" t="s">
        <v>13611</v>
      </c>
    </row>
    <row r="4388">
      <c r="A4388" s="3" t="s">
        <v>13612</v>
      </c>
      <c r="B4388" s="3" t="s">
        <v>4371</v>
      </c>
      <c r="C4388" s="5" t="s">
        <v>614</v>
      </c>
      <c r="D4388" s="3" t="s">
        <v>206</v>
      </c>
      <c r="E4388" s="3" t="s">
        <v>100</v>
      </c>
      <c r="F4388" s="7">
        <v>45835.11908429446</v>
      </c>
      <c r="G4388" s="3" t="s">
        <v>13614</v>
      </c>
    </row>
    <row r="4389">
      <c r="A4389" s="3" t="s">
        <v>13615</v>
      </c>
      <c r="B4389" s="3" t="s">
        <v>4371</v>
      </c>
      <c r="C4389" s="5" t="s">
        <v>206</v>
      </c>
      <c r="D4389" s="3" t="s">
        <v>68</v>
      </c>
      <c r="E4389" s="3" t="s">
        <v>100</v>
      </c>
      <c r="F4389" s="7">
        <v>45835.12255651668</v>
      </c>
      <c r="G4389" s="3" t="s">
        <v>13617</v>
      </c>
    </row>
    <row r="4390">
      <c r="A4390" s="3" t="s">
        <v>13618</v>
      </c>
      <c r="B4390" s="3" t="s">
        <v>4375</v>
      </c>
      <c r="C4390" s="5" t="s">
        <v>45</v>
      </c>
      <c r="D4390" s="3" t="s">
        <v>221</v>
      </c>
      <c r="E4390" s="3" t="s">
        <v>1034</v>
      </c>
      <c r="F4390" s="7">
        <v>45835.18331469543</v>
      </c>
      <c r="G4390" s="3" t="s">
        <v>13620</v>
      </c>
    </row>
    <row r="4391">
      <c r="A4391" s="3" t="s">
        <v>13621</v>
      </c>
      <c r="B4391" s="3" t="s">
        <v>4375</v>
      </c>
      <c r="C4391" s="5" t="s">
        <v>221</v>
      </c>
      <c r="D4391" s="3" t="s">
        <v>614</v>
      </c>
      <c r="E4391" s="3" t="s">
        <v>118</v>
      </c>
      <c r="F4391" s="7">
        <v>45835.18678691765</v>
      </c>
      <c r="G4391" s="3" t="s">
        <v>13622</v>
      </c>
    </row>
    <row r="4392">
      <c r="A4392" s="3" t="s">
        <v>13624</v>
      </c>
      <c r="B4392" s="3" t="s">
        <v>4375</v>
      </c>
      <c r="C4392" s="5" t="s">
        <v>614</v>
      </c>
      <c r="D4392" s="3" t="s">
        <v>206</v>
      </c>
      <c r="E4392" s="3" t="s">
        <v>100</v>
      </c>
      <c r="F4392" s="7">
        <v>45835.190259139876</v>
      </c>
      <c r="G4392" s="3" t="s">
        <v>13625</v>
      </c>
    </row>
    <row r="4393">
      <c r="A4393" s="3" t="s">
        <v>13626</v>
      </c>
      <c r="B4393" s="3" t="s">
        <v>4375</v>
      </c>
      <c r="C4393" s="5" t="s">
        <v>206</v>
      </c>
      <c r="D4393" s="3" t="s">
        <v>68</v>
      </c>
      <c r="E4393" s="3" t="s">
        <v>100</v>
      </c>
      <c r="F4393" s="7">
        <v>45835.193731362095</v>
      </c>
      <c r="G4393" s="3" t="s">
        <v>13628</v>
      </c>
    </row>
    <row r="4394">
      <c r="A4394" s="3" t="s">
        <v>13629</v>
      </c>
      <c r="B4394" s="3" t="s">
        <v>4378</v>
      </c>
      <c r="C4394" s="5" t="s">
        <v>45</v>
      </c>
      <c r="D4394" s="3" t="s">
        <v>221</v>
      </c>
      <c r="E4394" s="3" t="s">
        <v>219</v>
      </c>
      <c r="F4394" s="7">
        <v>45835.25448954084</v>
      </c>
      <c r="G4394" s="3" t="s">
        <v>10352</v>
      </c>
    </row>
    <row r="4395">
      <c r="A4395" s="3" t="s">
        <v>13631</v>
      </c>
      <c r="B4395" s="3" t="s">
        <v>4378</v>
      </c>
      <c r="C4395" s="5" t="s">
        <v>221</v>
      </c>
      <c r="D4395" s="3" t="s">
        <v>614</v>
      </c>
      <c r="E4395" s="3" t="s">
        <v>118</v>
      </c>
      <c r="F4395" s="7">
        <v>45835.25796176306</v>
      </c>
      <c r="G4395" s="3" t="s">
        <v>10355</v>
      </c>
    </row>
    <row r="4396">
      <c r="A4396" s="3" t="s">
        <v>13633</v>
      </c>
      <c r="B4396" s="3" t="s">
        <v>4378</v>
      </c>
      <c r="C4396" s="5" t="s">
        <v>614</v>
      </c>
      <c r="D4396" s="3" t="s">
        <v>206</v>
      </c>
      <c r="E4396" s="3" t="s">
        <v>100</v>
      </c>
      <c r="F4396" s="7">
        <v>45835.26143398529</v>
      </c>
      <c r="G4396" s="3" t="s">
        <v>10358</v>
      </c>
    </row>
    <row r="4397">
      <c r="A4397" s="3" t="s">
        <v>13635</v>
      </c>
      <c r="B4397" s="3" t="s">
        <v>4378</v>
      </c>
      <c r="C4397" s="5" t="s">
        <v>206</v>
      </c>
      <c r="D4397" s="3" t="s">
        <v>68</v>
      </c>
      <c r="E4397" s="3" t="s">
        <v>100</v>
      </c>
      <c r="F4397" s="7">
        <v>45835.26490620751</v>
      </c>
      <c r="G4397" s="3" t="s">
        <v>10361</v>
      </c>
    </row>
    <row r="4398">
      <c r="A4398" s="3" t="s">
        <v>13637</v>
      </c>
      <c r="B4398" s="3" t="s">
        <v>4381</v>
      </c>
      <c r="C4398" s="5" t="s">
        <v>45</v>
      </c>
      <c r="D4398" s="3" t="s">
        <v>221</v>
      </c>
      <c r="E4398" s="3" t="s">
        <v>404</v>
      </c>
      <c r="F4398" s="7">
        <v>45835.32566438626</v>
      </c>
      <c r="G4398" s="3" t="s">
        <v>13639</v>
      </c>
    </row>
    <row r="4399">
      <c r="A4399" s="3" t="s">
        <v>13640</v>
      </c>
      <c r="B4399" s="3" t="s">
        <v>4381</v>
      </c>
      <c r="C4399" s="5" t="s">
        <v>221</v>
      </c>
      <c r="D4399" s="3" t="s">
        <v>614</v>
      </c>
      <c r="E4399" s="3" t="s">
        <v>118</v>
      </c>
      <c r="F4399" s="7">
        <v>45835.32913660848</v>
      </c>
      <c r="G4399" s="3" t="s">
        <v>13642</v>
      </c>
    </row>
    <row r="4400">
      <c r="A4400" s="3" t="s">
        <v>13643</v>
      </c>
      <c r="B4400" s="3" t="s">
        <v>4381</v>
      </c>
      <c r="C4400" s="5" t="s">
        <v>614</v>
      </c>
      <c r="D4400" s="3" t="s">
        <v>206</v>
      </c>
      <c r="E4400" s="3" t="s">
        <v>100</v>
      </c>
      <c r="F4400" s="7">
        <v>45835.33260883071</v>
      </c>
      <c r="G4400" s="3" t="s">
        <v>13644</v>
      </c>
    </row>
    <row r="4401">
      <c r="A4401" s="3" t="s">
        <v>13646</v>
      </c>
      <c r="B4401" s="3" t="s">
        <v>4381</v>
      </c>
      <c r="C4401" s="5" t="s">
        <v>206</v>
      </c>
      <c r="D4401" s="3" t="s">
        <v>68</v>
      </c>
      <c r="E4401" s="3" t="s">
        <v>100</v>
      </c>
      <c r="F4401" s="7">
        <v>45835.33608105293</v>
      </c>
      <c r="G4401" s="3" t="s">
        <v>13647</v>
      </c>
    </row>
    <row r="4402">
      <c r="A4402" s="3" t="s">
        <v>13648</v>
      </c>
      <c r="B4402" s="3" t="s">
        <v>4384</v>
      </c>
      <c r="C4402" s="5" t="s">
        <v>45</v>
      </c>
      <c r="D4402" s="3" t="s">
        <v>221</v>
      </c>
      <c r="E4402" s="3" t="s">
        <v>250</v>
      </c>
      <c r="F4402" s="7">
        <v>45835.39683923168</v>
      </c>
      <c r="G4402" s="3" t="s">
        <v>13651</v>
      </c>
    </row>
    <row r="4403">
      <c r="A4403" s="3" t="s">
        <v>13652</v>
      </c>
      <c r="B4403" s="3" t="s">
        <v>4384</v>
      </c>
      <c r="C4403" s="5" t="s">
        <v>221</v>
      </c>
      <c r="D4403" s="3" t="s">
        <v>614</v>
      </c>
      <c r="E4403" s="3" t="s">
        <v>118</v>
      </c>
      <c r="F4403" s="7">
        <v>45835.4003114539</v>
      </c>
      <c r="G4403" s="3" t="s">
        <v>13653</v>
      </c>
    </row>
    <row r="4404">
      <c r="A4404" s="3" t="s">
        <v>13655</v>
      </c>
      <c r="B4404" s="3" t="s">
        <v>4384</v>
      </c>
      <c r="C4404" s="5" t="s">
        <v>614</v>
      </c>
      <c r="D4404" s="3" t="s">
        <v>206</v>
      </c>
      <c r="E4404" s="3" t="s">
        <v>100</v>
      </c>
      <c r="F4404" s="7">
        <v>45835.40378367613</v>
      </c>
      <c r="G4404" s="3" t="s">
        <v>13656</v>
      </c>
    </row>
    <row r="4405">
      <c r="A4405" s="3" t="s">
        <v>13657</v>
      </c>
      <c r="B4405" s="3" t="s">
        <v>4384</v>
      </c>
      <c r="C4405" s="5" t="s">
        <v>206</v>
      </c>
      <c r="D4405" s="3" t="s">
        <v>68</v>
      </c>
      <c r="E4405" s="3" t="s">
        <v>100</v>
      </c>
      <c r="F4405" s="7">
        <v>45835.407255898346</v>
      </c>
      <c r="G4405" s="3" t="s">
        <v>13659</v>
      </c>
    </row>
    <row r="4406">
      <c r="A4406" s="3" t="s">
        <v>13660</v>
      </c>
      <c r="B4406" s="3" t="s">
        <v>4387</v>
      </c>
      <c r="C4406" s="5" t="s">
        <v>45</v>
      </c>
      <c r="D4406" s="3" t="s">
        <v>221</v>
      </c>
      <c r="E4406" s="3" t="s">
        <v>236</v>
      </c>
      <c r="F4406" s="7">
        <v>45835.46801407709</v>
      </c>
      <c r="G4406" s="3" t="s">
        <v>11524</v>
      </c>
    </row>
    <row r="4407">
      <c r="A4407" s="3" t="s">
        <v>13662</v>
      </c>
      <c r="B4407" s="3" t="s">
        <v>4387</v>
      </c>
      <c r="C4407" s="5" t="s">
        <v>221</v>
      </c>
      <c r="D4407" s="3" t="s">
        <v>614</v>
      </c>
      <c r="E4407" s="3" t="s">
        <v>118</v>
      </c>
      <c r="F4407" s="7">
        <v>45835.471486299306</v>
      </c>
      <c r="G4407" s="3" t="s">
        <v>11527</v>
      </c>
    </row>
    <row r="4408">
      <c r="A4408" s="3" t="s">
        <v>13664</v>
      </c>
      <c r="B4408" s="3" t="s">
        <v>4387</v>
      </c>
      <c r="C4408" s="5" t="s">
        <v>614</v>
      </c>
      <c r="D4408" s="3" t="s">
        <v>206</v>
      </c>
      <c r="E4408" s="3" t="s">
        <v>100</v>
      </c>
      <c r="F4408" s="7">
        <v>45835.47495852153</v>
      </c>
      <c r="G4408" s="3" t="s">
        <v>11530</v>
      </c>
    </row>
    <row r="4409">
      <c r="A4409" s="3" t="s">
        <v>13666</v>
      </c>
      <c r="B4409" s="3" t="s">
        <v>4387</v>
      </c>
      <c r="C4409" s="5" t="s">
        <v>206</v>
      </c>
      <c r="D4409" s="3" t="s">
        <v>68</v>
      </c>
      <c r="E4409" s="3" t="s">
        <v>100</v>
      </c>
      <c r="F4409" s="7">
        <v>45835.47843074375</v>
      </c>
      <c r="G4409" s="3" t="s">
        <v>11533</v>
      </c>
    </row>
    <row r="4410">
      <c r="A4410" s="3" t="s">
        <v>13668</v>
      </c>
      <c r="B4410" s="3" t="s">
        <v>4388</v>
      </c>
      <c r="C4410" s="5" t="s">
        <v>45</v>
      </c>
      <c r="D4410" s="3" t="s">
        <v>221</v>
      </c>
      <c r="E4410" s="3" t="s">
        <v>609</v>
      </c>
      <c r="F4410" s="7">
        <v>45835.53918892251</v>
      </c>
      <c r="G4410" s="3" t="s">
        <v>13669</v>
      </c>
    </row>
    <row r="4411">
      <c r="A4411" s="3" t="s">
        <v>13671</v>
      </c>
      <c r="B4411" s="3" t="s">
        <v>4388</v>
      </c>
      <c r="C4411" s="5" t="s">
        <v>221</v>
      </c>
      <c r="D4411" s="3" t="s">
        <v>614</v>
      </c>
      <c r="E4411" s="3" t="s">
        <v>118</v>
      </c>
      <c r="F4411" s="7">
        <v>45835.542661144726</v>
      </c>
      <c r="G4411" s="3" t="s">
        <v>13672</v>
      </c>
    </row>
    <row r="4412">
      <c r="A4412" s="3" t="s">
        <v>13673</v>
      </c>
      <c r="B4412" s="3" t="s">
        <v>4388</v>
      </c>
      <c r="C4412" s="5" t="s">
        <v>614</v>
      </c>
      <c r="D4412" s="3" t="s">
        <v>206</v>
      </c>
      <c r="E4412" s="3" t="s">
        <v>100</v>
      </c>
      <c r="F4412" s="7">
        <v>45835.54613336695</v>
      </c>
      <c r="G4412" s="3" t="s">
        <v>13675</v>
      </c>
    </row>
    <row r="4413">
      <c r="A4413" s="3" t="s">
        <v>13676</v>
      </c>
      <c r="B4413" s="3" t="s">
        <v>4388</v>
      </c>
      <c r="C4413" s="5" t="s">
        <v>206</v>
      </c>
      <c r="D4413" s="3" t="s">
        <v>68</v>
      </c>
      <c r="E4413" s="3" t="s">
        <v>100</v>
      </c>
      <c r="F4413" s="7">
        <v>45835.54960558917</v>
      </c>
      <c r="G4413" s="3" t="s">
        <v>13678</v>
      </c>
    </row>
    <row r="4414">
      <c r="A4414" s="3" t="s">
        <v>13679</v>
      </c>
      <c r="B4414" s="3" t="s">
        <v>4389</v>
      </c>
      <c r="C4414" s="5" t="s">
        <v>45</v>
      </c>
      <c r="D4414" s="3" t="s">
        <v>221</v>
      </c>
      <c r="E4414" s="3" t="s">
        <v>584</v>
      </c>
      <c r="F4414" s="7">
        <v>45835.610363767926</v>
      </c>
      <c r="G4414" s="3" t="s">
        <v>10887</v>
      </c>
    </row>
    <row r="4415">
      <c r="A4415" s="3" t="s">
        <v>13681</v>
      </c>
      <c r="B4415" s="3" t="s">
        <v>4389</v>
      </c>
      <c r="C4415" s="5" t="s">
        <v>221</v>
      </c>
      <c r="D4415" s="3" t="s">
        <v>614</v>
      </c>
      <c r="E4415" s="3" t="s">
        <v>118</v>
      </c>
      <c r="F4415" s="7">
        <v>45835.613835990145</v>
      </c>
      <c r="G4415" s="3" t="s">
        <v>10890</v>
      </c>
    </row>
    <row r="4416">
      <c r="A4416" s="3" t="s">
        <v>13682</v>
      </c>
      <c r="B4416" s="3" t="s">
        <v>4389</v>
      </c>
      <c r="C4416" s="5" t="s">
        <v>614</v>
      </c>
      <c r="D4416" s="3" t="s">
        <v>206</v>
      </c>
      <c r="E4416" s="3" t="s">
        <v>100</v>
      </c>
      <c r="F4416" s="7">
        <v>45835.61730821237</v>
      </c>
      <c r="G4416" s="3" t="s">
        <v>10892</v>
      </c>
    </row>
    <row r="4417">
      <c r="A4417" s="3" t="s">
        <v>13684</v>
      </c>
      <c r="B4417" s="3" t="s">
        <v>4389</v>
      </c>
      <c r="C4417" s="5" t="s">
        <v>206</v>
      </c>
      <c r="D4417" s="3" t="s">
        <v>68</v>
      </c>
      <c r="E4417" s="3" t="s">
        <v>100</v>
      </c>
      <c r="F4417" s="7">
        <v>45835.62078043459</v>
      </c>
      <c r="G4417" s="3" t="s">
        <v>10895</v>
      </c>
    </row>
    <row r="4418">
      <c r="A4418" s="3" t="s">
        <v>13686</v>
      </c>
      <c r="B4418" s="3" t="s">
        <v>4391</v>
      </c>
      <c r="C4418" s="5" t="s">
        <v>45</v>
      </c>
      <c r="D4418" s="3" t="s">
        <v>221</v>
      </c>
      <c r="E4418" s="3" t="s">
        <v>326</v>
      </c>
      <c r="F4418" s="7">
        <v>45835.68153861334</v>
      </c>
      <c r="G4418" s="3" t="s">
        <v>13688</v>
      </c>
    </row>
    <row r="4419">
      <c r="A4419" s="3" t="s">
        <v>13689</v>
      </c>
      <c r="B4419" s="3" t="s">
        <v>4391</v>
      </c>
      <c r="C4419" s="5" t="s">
        <v>221</v>
      </c>
      <c r="D4419" s="3" t="s">
        <v>614</v>
      </c>
      <c r="E4419" s="3" t="s">
        <v>118</v>
      </c>
      <c r="F4419" s="7">
        <v>45835.68501083556</v>
      </c>
      <c r="G4419" s="3" t="s">
        <v>13691</v>
      </c>
    </row>
    <row r="4420">
      <c r="A4420" s="3" t="s">
        <v>13692</v>
      </c>
      <c r="B4420" s="3" t="s">
        <v>4391</v>
      </c>
      <c r="C4420" s="5" t="s">
        <v>614</v>
      </c>
      <c r="D4420" s="3" t="s">
        <v>206</v>
      </c>
      <c r="E4420" s="3" t="s">
        <v>100</v>
      </c>
      <c r="F4420" s="7">
        <v>45835.688483057784</v>
      </c>
      <c r="G4420" s="3" t="s">
        <v>13694</v>
      </c>
    </row>
    <row r="4421">
      <c r="A4421" s="3" t="s">
        <v>13695</v>
      </c>
      <c r="B4421" s="3" t="s">
        <v>4391</v>
      </c>
      <c r="C4421" s="5" t="s">
        <v>206</v>
      </c>
      <c r="D4421" s="3" t="s">
        <v>68</v>
      </c>
      <c r="E4421" s="3" t="s">
        <v>100</v>
      </c>
      <c r="F4421" s="7">
        <v>45835.69195528</v>
      </c>
      <c r="G4421" s="3" t="s">
        <v>13697</v>
      </c>
    </row>
    <row r="4422">
      <c r="A4422" s="3" t="s">
        <v>13699</v>
      </c>
      <c r="B4422" s="3" t="s">
        <v>4392</v>
      </c>
      <c r="C4422" s="5" t="s">
        <v>45</v>
      </c>
      <c r="D4422" s="3" t="s">
        <v>221</v>
      </c>
      <c r="E4422" s="3" t="s">
        <v>179</v>
      </c>
      <c r="F4422" s="7">
        <v>45835.75271345875</v>
      </c>
      <c r="G4422" s="3" t="s">
        <v>13700</v>
      </c>
    </row>
    <row r="4423">
      <c r="A4423" s="3" t="s">
        <v>13702</v>
      </c>
      <c r="B4423" s="3" t="s">
        <v>4392</v>
      </c>
      <c r="C4423" s="5" t="s">
        <v>221</v>
      </c>
      <c r="D4423" s="3" t="s">
        <v>614</v>
      </c>
      <c r="E4423" s="3" t="s">
        <v>118</v>
      </c>
      <c r="F4423" s="7">
        <v>45835.75618568097</v>
      </c>
      <c r="G4423" s="3" t="s">
        <v>13703</v>
      </c>
    </row>
    <row r="4424">
      <c r="A4424" s="3" t="s">
        <v>13705</v>
      </c>
      <c r="B4424" s="3" t="s">
        <v>4392</v>
      </c>
      <c r="C4424" s="5" t="s">
        <v>614</v>
      </c>
      <c r="D4424" s="3" t="s">
        <v>206</v>
      </c>
      <c r="E4424" s="3" t="s">
        <v>100</v>
      </c>
      <c r="F4424" s="7">
        <v>45835.759657903196</v>
      </c>
      <c r="G4424" s="3" t="s">
        <v>13706</v>
      </c>
    </row>
    <row r="4425">
      <c r="A4425" s="3" t="s">
        <v>13707</v>
      </c>
      <c r="B4425" s="3" t="s">
        <v>4392</v>
      </c>
      <c r="C4425" s="5" t="s">
        <v>206</v>
      </c>
      <c r="D4425" s="3" t="s">
        <v>68</v>
      </c>
      <c r="E4425" s="3" t="s">
        <v>100</v>
      </c>
      <c r="F4425" s="7">
        <v>45835.763130125415</v>
      </c>
      <c r="G4425" s="3" t="s">
        <v>13709</v>
      </c>
    </row>
    <row r="4426">
      <c r="A4426" s="3" t="s">
        <v>13710</v>
      </c>
      <c r="B4426" s="3" t="s">
        <v>4395</v>
      </c>
      <c r="C4426" s="5" t="s">
        <v>45</v>
      </c>
      <c r="D4426" s="3" t="s">
        <v>221</v>
      </c>
      <c r="E4426" s="3" t="s">
        <v>993</v>
      </c>
      <c r="F4426" s="7">
        <v>45835.82388830417</v>
      </c>
      <c r="G4426" s="3" t="s">
        <v>13712</v>
      </c>
    </row>
    <row r="4427">
      <c r="A4427" s="3" t="s">
        <v>13713</v>
      </c>
      <c r="B4427" s="3" t="s">
        <v>4395</v>
      </c>
      <c r="C4427" s="5" t="s">
        <v>221</v>
      </c>
      <c r="D4427" s="3" t="s">
        <v>614</v>
      </c>
      <c r="E4427" s="3" t="s">
        <v>118</v>
      </c>
      <c r="F4427" s="7">
        <v>45835.82736052639</v>
      </c>
      <c r="G4427" s="3" t="s">
        <v>13715</v>
      </c>
    </row>
    <row r="4428">
      <c r="A4428" s="3" t="s">
        <v>13716</v>
      </c>
      <c r="B4428" s="3" t="s">
        <v>4395</v>
      </c>
      <c r="C4428" s="5" t="s">
        <v>614</v>
      </c>
      <c r="D4428" s="3" t="s">
        <v>206</v>
      </c>
      <c r="E4428" s="3" t="s">
        <v>100</v>
      </c>
      <c r="F4428" s="7">
        <v>45835.830832748616</v>
      </c>
      <c r="G4428" s="3" t="s">
        <v>13717</v>
      </c>
    </row>
    <row r="4429">
      <c r="A4429" s="3" t="s">
        <v>13719</v>
      </c>
      <c r="B4429" s="3" t="s">
        <v>4395</v>
      </c>
      <c r="C4429" s="5" t="s">
        <v>206</v>
      </c>
      <c r="D4429" s="3" t="s">
        <v>68</v>
      </c>
      <c r="E4429" s="3" t="s">
        <v>100</v>
      </c>
      <c r="F4429" s="7">
        <v>45835.834304970835</v>
      </c>
      <c r="G4429" s="3" t="s">
        <v>13720</v>
      </c>
    </row>
    <row r="4430">
      <c r="A4430" s="3" t="s">
        <v>13721</v>
      </c>
      <c r="B4430" s="3" t="s">
        <v>4398</v>
      </c>
      <c r="C4430" s="5" t="s">
        <v>45</v>
      </c>
      <c r="D4430" s="3" t="s">
        <v>221</v>
      </c>
      <c r="E4430" s="3" t="s">
        <v>383</v>
      </c>
      <c r="F4430" s="7">
        <v>45835.89506314958</v>
      </c>
      <c r="G4430" s="3" t="s">
        <v>13723</v>
      </c>
    </row>
    <row r="4431">
      <c r="A4431" s="3" t="s">
        <v>13724</v>
      </c>
      <c r="B4431" s="3" t="s">
        <v>4398</v>
      </c>
      <c r="C4431" s="5" t="s">
        <v>221</v>
      </c>
      <c r="D4431" s="3" t="s">
        <v>614</v>
      </c>
      <c r="E4431" s="3" t="s">
        <v>118</v>
      </c>
      <c r="F4431" s="7">
        <v>45835.8985353718</v>
      </c>
      <c r="G4431" s="3" t="s">
        <v>13726</v>
      </c>
    </row>
    <row r="4432">
      <c r="A4432" s="3" t="s">
        <v>13727</v>
      </c>
      <c r="B4432" s="3" t="s">
        <v>4398</v>
      </c>
      <c r="C4432" s="5" t="s">
        <v>614</v>
      </c>
      <c r="D4432" s="3" t="s">
        <v>206</v>
      </c>
      <c r="E4432" s="3" t="s">
        <v>100</v>
      </c>
      <c r="F4432" s="7">
        <v>45835.90200759403</v>
      </c>
      <c r="G4432" s="3" t="s">
        <v>13728</v>
      </c>
    </row>
    <row r="4433">
      <c r="A4433" s="3" t="s">
        <v>13730</v>
      </c>
      <c r="B4433" s="3" t="s">
        <v>4398</v>
      </c>
      <c r="C4433" s="5" t="s">
        <v>206</v>
      </c>
      <c r="D4433" s="3" t="s">
        <v>68</v>
      </c>
      <c r="E4433" s="3" t="s">
        <v>100</v>
      </c>
      <c r="F4433" s="7">
        <v>45835.90547981625</v>
      </c>
      <c r="G4433" s="3" t="s">
        <v>13731</v>
      </c>
    </row>
    <row r="4434">
      <c r="A4434" s="3" t="s">
        <v>13732</v>
      </c>
      <c r="B4434" s="3" t="s">
        <v>4401</v>
      </c>
      <c r="C4434" s="5" t="s">
        <v>45</v>
      </c>
      <c r="D4434" s="3" t="s">
        <v>221</v>
      </c>
      <c r="E4434" s="3" t="s">
        <v>479</v>
      </c>
      <c r="F4434" s="7">
        <v>45835.966237994995</v>
      </c>
      <c r="G4434" s="3" t="s">
        <v>13734</v>
      </c>
    </row>
    <row r="4435">
      <c r="A4435" s="3" t="s">
        <v>13736</v>
      </c>
      <c r="B4435" s="3" t="s">
        <v>4401</v>
      </c>
      <c r="C4435" s="5" t="s">
        <v>221</v>
      </c>
      <c r="D4435" s="3" t="s">
        <v>614</v>
      </c>
      <c r="E4435" s="3" t="s">
        <v>118</v>
      </c>
      <c r="F4435" s="7">
        <v>45835.969710217214</v>
      </c>
      <c r="G4435" s="3" t="s">
        <v>13737</v>
      </c>
    </row>
    <row r="4436">
      <c r="A4436" s="3" t="s">
        <v>13738</v>
      </c>
      <c r="B4436" s="3" t="s">
        <v>4401</v>
      </c>
      <c r="C4436" s="5" t="s">
        <v>614</v>
      </c>
      <c r="D4436" s="3" t="s">
        <v>206</v>
      </c>
      <c r="E4436" s="3" t="s">
        <v>100</v>
      </c>
      <c r="F4436" s="7">
        <v>45835.97318243944</v>
      </c>
      <c r="G4436" s="3" t="s">
        <v>13740</v>
      </c>
    </row>
    <row r="4437">
      <c r="A4437" s="3" t="s">
        <v>13741</v>
      </c>
      <c r="B4437" s="3" t="s">
        <v>4401</v>
      </c>
      <c r="C4437" s="5" t="s">
        <v>206</v>
      </c>
      <c r="D4437" s="3" t="s">
        <v>68</v>
      </c>
      <c r="E4437" s="3" t="s">
        <v>100</v>
      </c>
      <c r="F4437" s="7">
        <v>45835.97665466166</v>
      </c>
      <c r="G4437" s="3" t="s">
        <v>13743</v>
      </c>
    </row>
    <row r="4438">
      <c r="A4438" s="3" t="s">
        <v>13744</v>
      </c>
      <c r="B4438" s="3" t="s">
        <v>4405</v>
      </c>
      <c r="C4438" s="5" t="s">
        <v>45</v>
      </c>
      <c r="D4438" s="3" t="s">
        <v>221</v>
      </c>
      <c r="E4438" s="3" t="s">
        <v>126</v>
      </c>
      <c r="F4438" s="7">
        <v>45836.037412840415</v>
      </c>
      <c r="G4438" s="3" t="s">
        <v>2770</v>
      </c>
    </row>
    <row r="4439">
      <c r="A4439" s="3" t="s">
        <v>13746</v>
      </c>
      <c r="B4439" s="3" t="s">
        <v>4405</v>
      </c>
      <c r="C4439" s="5" t="s">
        <v>221</v>
      </c>
      <c r="D4439" s="3" t="s">
        <v>195</v>
      </c>
      <c r="E4439" s="3" t="s">
        <v>126</v>
      </c>
      <c r="F4439" s="7">
        <v>45836.04088506263</v>
      </c>
      <c r="G4439" s="3" t="s">
        <v>3055</v>
      </c>
    </row>
    <row r="4440">
      <c r="A4440" s="3" t="s">
        <v>13748</v>
      </c>
      <c r="B4440" s="3" t="s">
        <v>4407</v>
      </c>
      <c r="C4440" s="5" t="s">
        <v>45</v>
      </c>
      <c r="D4440" s="3" t="s">
        <v>221</v>
      </c>
      <c r="E4440" s="3" t="s">
        <v>704</v>
      </c>
      <c r="F4440" s="7">
        <v>45836.10858768583</v>
      </c>
      <c r="G4440" s="3" t="s">
        <v>9343</v>
      </c>
    </row>
    <row r="4441">
      <c r="A4441" s="3" t="s">
        <v>13750</v>
      </c>
      <c r="B4441" s="3" t="s">
        <v>4407</v>
      </c>
      <c r="C4441" s="5" t="s">
        <v>221</v>
      </c>
      <c r="D4441" s="3" t="s">
        <v>614</v>
      </c>
      <c r="E4441" s="3" t="s">
        <v>118</v>
      </c>
      <c r="F4441" s="7">
        <v>45836.112059908046</v>
      </c>
      <c r="G4441" s="3" t="s">
        <v>9346</v>
      </c>
    </row>
    <row r="4442">
      <c r="A4442" s="3" t="s">
        <v>13752</v>
      </c>
      <c r="B4442" s="3" t="s">
        <v>4407</v>
      </c>
      <c r="C4442" s="5" t="s">
        <v>614</v>
      </c>
      <c r="D4442" s="3" t="s">
        <v>206</v>
      </c>
      <c r="E4442" s="3" t="s">
        <v>100</v>
      </c>
      <c r="F4442" s="7">
        <v>45836.11553213027</v>
      </c>
      <c r="G4442" s="3" t="s">
        <v>9349</v>
      </c>
    </row>
    <row r="4443">
      <c r="A4443" s="3" t="s">
        <v>13755</v>
      </c>
      <c r="B4443" s="3" t="s">
        <v>4407</v>
      </c>
      <c r="C4443" s="5" t="s">
        <v>206</v>
      </c>
      <c r="D4443" s="3" t="s">
        <v>68</v>
      </c>
      <c r="E4443" s="3" t="s">
        <v>100</v>
      </c>
      <c r="F4443" s="7">
        <v>45836.11900435249</v>
      </c>
      <c r="G4443" s="3" t="s">
        <v>9352</v>
      </c>
    </row>
    <row r="4444">
      <c r="A4444" s="3" t="s">
        <v>13757</v>
      </c>
      <c r="B4444" s="3" t="s">
        <v>4410</v>
      </c>
      <c r="C4444" s="5" t="s">
        <v>45</v>
      </c>
      <c r="D4444" s="3" t="s">
        <v>221</v>
      </c>
      <c r="E4444" s="3" t="s">
        <v>505</v>
      </c>
      <c r="F4444" s="7">
        <v>45836.17976253124</v>
      </c>
      <c r="G4444" s="3" t="s">
        <v>2770</v>
      </c>
    </row>
    <row r="4445">
      <c r="A4445" s="3" t="s">
        <v>13759</v>
      </c>
      <c r="B4445" s="3" t="s">
        <v>4410</v>
      </c>
      <c r="C4445" s="5" t="s">
        <v>221</v>
      </c>
      <c r="D4445" s="3" t="s">
        <v>181</v>
      </c>
      <c r="E4445" s="3" t="s">
        <v>118</v>
      </c>
      <c r="F4445" s="7">
        <v>45836.18323475346</v>
      </c>
      <c r="G4445" s="3" t="s">
        <v>2774</v>
      </c>
    </row>
    <row r="4446">
      <c r="A4446" s="3" t="s">
        <v>13762</v>
      </c>
      <c r="B4446" s="3" t="s">
        <v>4413</v>
      </c>
      <c r="C4446" s="5" t="s">
        <v>45</v>
      </c>
      <c r="D4446" s="3" t="s">
        <v>221</v>
      </c>
      <c r="E4446" s="3" t="s">
        <v>137</v>
      </c>
      <c r="F4446" s="7">
        <v>45836.25093737666</v>
      </c>
      <c r="G4446" s="3" t="s">
        <v>13764</v>
      </c>
    </row>
    <row r="4447">
      <c r="A4447" s="3" t="s">
        <v>13765</v>
      </c>
      <c r="B4447" s="3" t="s">
        <v>4413</v>
      </c>
      <c r="C4447" s="5" t="s">
        <v>221</v>
      </c>
      <c r="D4447" s="3" t="s">
        <v>614</v>
      </c>
      <c r="E4447" s="3" t="s">
        <v>118</v>
      </c>
      <c r="F4447" s="7">
        <v>45836.25440959888</v>
      </c>
      <c r="G4447" s="3" t="s">
        <v>13767</v>
      </c>
    </row>
    <row r="4448">
      <c r="A4448" s="3" t="s">
        <v>13768</v>
      </c>
      <c r="B4448" s="3" t="s">
        <v>4413</v>
      </c>
      <c r="C4448" s="5" t="s">
        <v>614</v>
      </c>
      <c r="D4448" s="3" t="s">
        <v>206</v>
      </c>
      <c r="E4448" s="3" t="s">
        <v>100</v>
      </c>
      <c r="F4448" s="7">
        <v>45836.257881821104</v>
      </c>
      <c r="G4448" s="3" t="s">
        <v>13769</v>
      </c>
    </row>
    <row r="4449">
      <c r="A4449" s="3" t="s">
        <v>13771</v>
      </c>
      <c r="B4449" s="3" t="s">
        <v>4413</v>
      </c>
      <c r="C4449" s="5" t="s">
        <v>206</v>
      </c>
      <c r="D4449" s="3" t="s">
        <v>68</v>
      </c>
      <c r="E4449" s="3" t="s">
        <v>100</v>
      </c>
      <c r="F4449" s="7">
        <v>45836.26135404332</v>
      </c>
      <c r="G4449" s="3" t="s">
        <v>13772</v>
      </c>
    </row>
    <row r="4450">
      <c r="A4450" s="3" t="s">
        <v>13773</v>
      </c>
      <c r="B4450" s="3" t="s">
        <v>4416</v>
      </c>
      <c r="C4450" s="5" t="s">
        <v>45</v>
      </c>
      <c r="D4450" s="3" t="s">
        <v>221</v>
      </c>
      <c r="E4450" s="3" t="s">
        <v>864</v>
      </c>
      <c r="F4450" s="7">
        <v>45836.32211222207</v>
      </c>
      <c r="G4450" s="3" t="s">
        <v>13775</v>
      </c>
    </row>
    <row r="4451">
      <c r="A4451" s="3" t="s">
        <v>13776</v>
      </c>
      <c r="B4451" s="3" t="s">
        <v>4416</v>
      </c>
      <c r="C4451" s="5" t="s">
        <v>221</v>
      </c>
      <c r="D4451" s="3" t="s">
        <v>614</v>
      </c>
      <c r="E4451" s="3" t="s">
        <v>118</v>
      </c>
      <c r="F4451" s="7">
        <v>45836.32558444429</v>
      </c>
      <c r="G4451" s="3" t="s">
        <v>13778</v>
      </c>
    </row>
    <row r="4452">
      <c r="A4452" s="3" t="s">
        <v>13779</v>
      </c>
      <c r="B4452" s="3" t="s">
        <v>4416</v>
      </c>
      <c r="C4452" s="5" t="s">
        <v>614</v>
      </c>
      <c r="D4452" s="3" t="s">
        <v>206</v>
      </c>
      <c r="E4452" s="3" t="s">
        <v>100</v>
      </c>
      <c r="F4452" s="7">
        <v>45836.32905666652</v>
      </c>
      <c r="G4452" s="3" t="s">
        <v>13781</v>
      </c>
    </row>
    <row r="4453">
      <c r="A4453" s="3" t="s">
        <v>13782</v>
      </c>
      <c r="B4453" s="3" t="s">
        <v>4416</v>
      </c>
      <c r="C4453" s="5" t="s">
        <v>206</v>
      </c>
      <c r="D4453" s="3" t="s">
        <v>68</v>
      </c>
      <c r="E4453" s="3" t="s">
        <v>100</v>
      </c>
      <c r="F4453" s="7">
        <v>45836.332528888735</v>
      </c>
      <c r="G4453" s="3" t="s">
        <v>13783</v>
      </c>
    </row>
    <row r="4454">
      <c r="A4454" s="3" t="s">
        <v>13784</v>
      </c>
      <c r="B4454" s="3" t="s">
        <v>4420</v>
      </c>
      <c r="C4454" s="5" t="s">
        <v>45</v>
      </c>
      <c r="D4454" s="3" t="s">
        <v>221</v>
      </c>
      <c r="E4454" s="3" t="s">
        <v>380</v>
      </c>
      <c r="F4454" s="7">
        <v>45836.39328706749</v>
      </c>
      <c r="G4454" s="3" t="s">
        <v>13786</v>
      </c>
    </row>
    <row r="4455">
      <c r="A4455" s="3" t="s">
        <v>13787</v>
      </c>
      <c r="B4455" s="3" t="s">
        <v>4420</v>
      </c>
      <c r="C4455" s="5" t="s">
        <v>221</v>
      </c>
      <c r="D4455" s="3" t="s">
        <v>614</v>
      </c>
      <c r="E4455" s="3" t="s">
        <v>118</v>
      </c>
      <c r="F4455" s="7">
        <v>45836.39675928971</v>
      </c>
      <c r="G4455" s="3" t="s">
        <v>13789</v>
      </c>
    </row>
    <row r="4456">
      <c r="A4456" s="3" t="s">
        <v>13790</v>
      </c>
      <c r="B4456" s="3" t="s">
        <v>4420</v>
      </c>
      <c r="C4456" s="5" t="s">
        <v>614</v>
      </c>
      <c r="D4456" s="3" t="s">
        <v>206</v>
      </c>
      <c r="E4456" s="3" t="s">
        <v>100</v>
      </c>
      <c r="F4456" s="7">
        <v>45836.400231511936</v>
      </c>
      <c r="G4456" s="3" t="s">
        <v>13792</v>
      </c>
    </row>
    <row r="4457">
      <c r="A4457" s="3" t="s">
        <v>13793</v>
      </c>
      <c r="B4457" s="3" t="s">
        <v>4420</v>
      </c>
      <c r="C4457" s="5" t="s">
        <v>206</v>
      </c>
      <c r="D4457" s="3" t="s">
        <v>68</v>
      </c>
      <c r="E4457" s="3" t="s">
        <v>100</v>
      </c>
      <c r="F4457" s="7">
        <v>45836.403703734155</v>
      </c>
      <c r="G4457" s="3" t="s">
        <v>13794</v>
      </c>
    </row>
    <row r="4458">
      <c r="A4458" s="3" t="s">
        <v>13795</v>
      </c>
      <c r="B4458" s="3" t="s">
        <v>4423</v>
      </c>
      <c r="C4458" s="5" t="s">
        <v>45</v>
      </c>
      <c r="D4458" s="3" t="s">
        <v>221</v>
      </c>
      <c r="E4458" s="3" t="s">
        <v>326</v>
      </c>
      <c r="F4458" s="7">
        <v>45836.4644619129</v>
      </c>
      <c r="G4458" s="3" t="s">
        <v>13688</v>
      </c>
    </row>
    <row r="4459">
      <c r="A4459" s="3" t="s">
        <v>13797</v>
      </c>
      <c r="B4459" s="3" t="s">
        <v>4423</v>
      </c>
      <c r="C4459" s="5" t="s">
        <v>221</v>
      </c>
      <c r="D4459" s="3" t="s">
        <v>614</v>
      </c>
      <c r="E4459" s="3" t="s">
        <v>118</v>
      </c>
      <c r="F4459" s="7">
        <v>45836.46793413512</v>
      </c>
      <c r="G4459" s="3" t="s">
        <v>13691</v>
      </c>
    </row>
    <row r="4460">
      <c r="A4460" s="3" t="s">
        <v>13799</v>
      </c>
      <c r="B4460" s="3" t="s">
        <v>4423</v>
      </c>
      <c r="C4460" s="5" t="s">
        <v>614</v>
      </c>
      <c r="D4460" s="3" t="s">
        <v>206</v>
      </c>
      <c r="E4460" s="3" t="s">
        <v>100</v>
      </c>
      <c r="F4460" s="7">
        <v>45836.47140635735</v>
      </c>
      <c r="G4460" s="3" t="s">
        <v>13694</v>
      </c>
    </row>
    <row r="4461">
      <c r="A4461" s="3" t="s">
        <v>13801</v>
      </c>
      <c r="B4461" s="3" t="s">
        <v>4423</v>
      </c>
      <c r="C4461" s="5" t="s">
        <v>206</v>
      </c>
      <c r="D4461" s="3" t="s">
        <v>68</v>
      </c>
      <c r="E4461" s="3" t="s">
        <v>100</v>
      </c>
      <c r="F4461" s="7">
        <v>45836.47487857957</v>
      </c>
      <c r="G4461" s="3" t="s">
        <v>13697</v>
      </c>
    </row>
    <row r="4462">
      <c r="A4462" s="3" t="s">
        <v>13802</v>
      </c>
      <c r="B4462" s="3" t="s">
        <v>4426</v>
      </c>
      <c r="C4462" s="5" t="s">
        <v>45</v>
      </c>
      <c r="D4462" s="3" t="s">
        <v>221</v>
      </c>
      <c r="E4462" s="3" t="s">
        <v>864</v>
      </c>
      <c r="F4462" s="7">
        <v>45836.53563675832</v>
      </c>
      <c r="G4462" s="3" t="s">
        <v>13803</v>
      </c>
    </row>
    <row r="4463">
      <c r="A4463" s="3" t="s">
        <v>13804</v>
      </c>
      <c r="B4463" s="3" t="s">
        <v>4426</v>
      </c>
      <c r="C4463" s="5" t="s">
        <v>221</v>
      </c>
      <c r="D4463" s="3" t="s">
        <v>614</v>
      </c>
      <c r="E4463" s="3" t="s">
        <v>118</v>
      </c>
      <c r="F4463" s="7">
        <v>45836.53910898054</v>
      </c>
      <c r="G4463" s="3" t="s">
        <v>13805</v>
      </c>
    </row>
    <row r="4464">
      <c r="A4464" s="3" t="s">
        <v>13807</v>
      </c>
      <c r="B4464" s="3" t="s">
        <v>4426</v>
      </c>
      <c r="C4464" s="5" t="s">
        <v>614</v>
      </c>
      <c r="D4464" s="3" t="s">
        <v>206</v>
      </c>
      <c r="E4464" s="3" t="s">
        <v>100</v>
      </c>
      <c r="F4464" s="7">
        <v>45836.54258120277</v>
      </c>
      <c r="G4464" s="3" t="s">
        <v>13808</v>
      </c>
    </row>
    <row r="4465">
      <c r="A4465" s="3" t="s">
        <v>13809</v>
      </c>
      <c r="B4465" s="3" t="s">
        <v>4426</v>
      </c>
      <c r="C4465" s="5" t="s">
        <v>206</v>
      </c>
      <c r="D4465" s="3" t="s">
        <v>68</v>
      </c>
      <c r="E4465" s="3" t="s">
        <v>100</v>
      </c>
      <c r="F4465" s="7">
        <v>45836.54605342499</v>
      </c>
      <c r="G4465" s="3" t="s">
        <v>13811</v>
      </c>
    </row>
    <row r="4466">
      <c r="A4466" s="3" t="s">
        <v>13812</v>
      </c>
      <c r="B4466" s="3" t="s">
        <v>4429</v>
      </c>
      <c r="C4466" s="5" t="s">
        <v>45</v>
      </c>
      <c r="D4466" s="3" t="s">
        <v>221</v>
      </c>
      <c r="E4466" s="3" t="s">
        <v>629</v>
      </c>
      <c r="F4466" s="7">
        <v>45836.60681160373</v>
      </c>
      <c r="G4466" s="3" t="s">
        <v>12226</v>
      </c>
    </row>
    <row r="4467">
      <c r="A4467" s="3" t="s">
        <v>13814</v>
      </c>
      <c r="B4467" s="3" t="s">
        <v>4429</v>
      </c>
      <c r="C4467" s="5" t="s">
        <v>221</v>
      </c>
      <c r="D4467" s="3" t="s">
        <v>614</v>
      </c>
      <c r="E4467" s="3" t="s">
        <v>118</v>
      </c>
      <c r="F4467" s="7">
        <v>45836.61028382595</v>
      </c>
      <c r="G4467" s="3" t="s">
        <v>12229</v>
      </c>
    </row>
    <row r="4468">
      <c r="A4468" s="3" t="s">
        <v>13816</v>
      </c>
      <c r="B4468" s="3" t="s">
        <v>4429</v>
      </c>
      <c r="C4468" s="5" t="s">
        <v>614</v>
      </c>
      <c r="D4468" s="3" t="s">
        <v>206</v>
      </c>
      <c r="E4468" s="3" t="s">
        <v>100</v>
      </c>
      <c r="F4468" s="7">
        <v>45836.61375604817</v>
      </c>
      <c r="G4468" s="3" t="s">
        <v>12232</v>
      </c>
    </row>
    <row r="4469">
      <c r="A4469" s="3" t="s">
        <v>13818</v>
      </c>
      <c r="B4469" s="3" t="s">
        <v>4429</v>
      </c>
      <c r="C4469" s="5" t="s">
        <v>206</v>
      </c>
      <c r="D4469" s="3" t="s">
        <v>68</v>
      </c>
      <c r="E4469" s="3" t="s">
        <v>100</v>
      </c>
      <c r="F4469" s="7">
        <v>45836.61722827039</v>
      </c>
      <c r="G4469" s="3" t="s">
        <v>12235</v>
      </c>
    </row>
    <row r="4470">
      <c r="A4470" s="3" t="s">
        <v>13820</v>
      </c>
      <c r="B4470" s="3" t="s">
        <v>4433</v>
      </c>
      <c r="C4470" s="5" t="s">
        <v>45</v>
      </c>
      <c r="D4470" s="3" t="s">
        <v>221</v>
      </c>
      <c r="E4470" s="3" t="s">
        <v>137</v>
      </c>
      <c r="F4470" s="7">
        <v>45836.67798644915</v>
      </c>
      <c r="G4470" s="3" t="s">
        <v>13822</v>
      </c>
    </row>
    <row r="4471">
      <c r="A4471" s="3" t="s">
        <v>13823</v>
      </c>
      <c r="B4471" s="3" t="s">
        <v>4433</v>
      </c>
      <c r="C4471" s="5" t="s">
        <v>221</v>
      </c>
      <c r="D4471" s="3" t="s">
        <v>614</v>
      </c>
      <c r="E4471" s="3" t="s">
        <v>118</v>
      </c>
      <c r="F4471" s="7">
        <v>45836.681458671366</v>
      </c>
      <c r="G4471" s="3" t="s">
        <v>13825</v>
      </c>
    </row>
    <row r="4472">
      <c r="A4472" s="3" t="s">
        <v>13826</v>
      </c>
      <c r="B4472" s="3" t="s">
        <v>4433</v>
      </c>
      <c r="C4472" s="5" t="s">
        <v>614</v>
      </c>
      <c r="D4472" s="3" t="s">
        <v>206</v>
      </c>
      <c r="E4472" s="3" t="s">
        <v>100</v>
      </c>
      <c r="F4472" s="7">
        <v>45836.68493089359</v>
      </c>
      <c r="G4472" s="3" t="s">
        <v>13827</v>
      </c>
    </row>
    <row r="4473">
      <c r="A4473" s="3" t="s">
        <v>13828</v>
      </c>
      <c r="B4473" s="3" t="s">
        <v>4433</v>
      </c>
      <c r="C4473" s="5" t="s">
        <v>206</v>
      </c>
      <c r="D4473" s="3" t="s">
        <v>68</v>
      </c>
      <c r="E4473" s="3" t="s">
        <v>100</v>
      </c>
      <c r="F4473" s="7">
        <v>45836.68840311581</v>
      </c>
      <c r="G4473" s="3" t="s">
        <v>13830</v>
      </c>
    </row>
    <row r="4474">
      <c r="A4474" s="3" t="s">
        <v>13831</v>
      </c>
      <c r="B4474" s="3" t="s">
        <v>4437</v>
      </c>
      <c r="C4474" s="5" t="s">
        <v>45</v>
      </c>
      <c r="D4474" s="3" t="s">
        <v>221</v>
      </c>
      <c r="E4474" s="3" t="s">
        <v>239</v>
      </c>
      <c r="F4474" s="7">
        <v>45836.74916129457</v>
      </c>
      <c r="G4474" s="3" t="s">
        <v>5833</v>
      </c>
    </row>
    <row r="4475">
      <c r="A4475" s="3" t="s">
        <v>13833</v>
      </c>
      <c r="B4475" s="3" t="s">
        <v>4437</v>
      </c>
      <c r="C4475" s="5" t="s">
        <v>221</v>
      </c>
      <c r="D4475" s="3" t="s">
        <v>614</v>
      </c>
      <c r="E4475" s="3" t="s">
        <v>118</v>
      </c>
      <c r="F4475" s="7">
        <v>45836.752633516786</v>
      </c>
      <c r="G4475" s="3" t="s">
        <v>5836</v>
      </c>
    </row>
    <row r="4476">
      <c r="A4476" s="3" t="s">
        <v>13835</v>
      </c>
      <c r="B4476" s="3" t="s">
        <v>4437</v>
      </c>
      <c r="C4476" s="5" t="s">
        <v>614</v>
      </c>
      <c r="D4476" s="3" t="s">
        <v>206</v>
      </c>
      <c r="E4476" s="3" t="s">
        <v>100</v>
      </c>
      <c r="F4476" s="7">
        <v>45836.75610573901</v>
      </c>
      <c r="G4476" s="3" t="s">
        <v>5839</v>
      </c>
    </row>
    <row r="4477">
      <c r="A4477" s="3" t="s">
        <v>13836</v>
      </c>
      <c r="B4477" s="3" t="s">
        <v>4437</v>
      </c>
      <c r="C4477" s="5" t="s">
        <v>206</v>
      </c>
      <c r="D4477" s="3" t="s">
        <v>68</v>
      </c>
      <c r="E4477" s="3" t="s">
        <v>100</v>
      </c>
      <c r="F4477" s="7">
        <v>45836.75957796123</v>
      </c>
      <c r="G4477" s="3" t="s">
        <v>5842</v>
      </c>
    </row>
    <row r="4478">
      <c r="A4478" s="3" t="s">
        <v>13838</v>
      </c>
      <c r="B4478" s="3" t="s">
        <v>4440</v>
      </c>
      <c r="C4478" s="5" t="s">
        <v>45</v>
      </c>
      <c r="D4478" s="3" t="s">
        <v>221</v>
      </c>
      <c r="E4478" s="3" t="s">
        <v>746</v>
      </c>
      <c r="F4478" s="7">
        <v>45836.82033613998</v>
      </c>
      <c r="G4478" s="3" t="s">
        <v>13840</v>
      </c>
    </row>
    <row r="4479">
      <c r="A4479" s="3" t="s">
        <v>13841</v>
      </c>
      <c r="B4479" s="3" t="s">
        <v>4440</v>
      </c>
      <c r="C4479" s="5" t="s">
        <v>221</v>
      </c>
      <c r="D4479" s="3" t="s">
        <v>614</v>
      </c>
      <c r="E4479" s="3" t="s">
        <v>118</v>
      </c>
      <c r="F4479" s="7">
        <v>45836.8238083622</v>
      </c>
      <c r="G4479" s="3" t="s">
        <v>13843</v>
      </c>
    </row>
    <row r="4480">
      <c r="A4480" s="3" t="s">
        <v>13844</v>
      </c>
      <c r="B4480" s="3" t="s">
        <v>4440</v>
      </c>
      <c r="C4480" s="5" t="s">
        <v>614</v>
      </c>
      <c r="D4480" s="3" t="s">
        <v>206</v>
      </c>
      <c r="E4480" s="3" t="s">
        <v>100</v>
      </c>
      <c r="F4480" s="7">
        <v>45836.827280584424</v>
      </c>
      <c r="G4480" s="3" t="s">
        <v>13846</v>
      </c>
    </row>
    <row r="4481">
      <c r="A4481" s="3" t="s">
        <v>13847</v>
      </c>
      <c r="B4481" s="3" t="s">
        <v>4440</v>
      </c>
      <c r="C4481" s="5" t="s">
        <v>206</v>
      </c>
      <c r="D4481" s="3" t="s">
        <v>68</v>
      </c>
      <c r="E4481" s="3" t="s">
        <v>100</v>
      </c>
      <c r="F4481" s="7">
        <v>45836.83075280664</v>
      </c>
      <c r="G4481" s="3" t="s">
        <v>13848</v>
      </c>
    </row>
    <row r="4482">
      <c r="A4482" s="3" t="s">
        <v>13850</v>
      </c>
      <c r="B4482" s="3" t="s">
        <v>4442</v>
      </c>
      <c r="C4482" s="5" t="s">
        <v>45</v>
      </c>
      <c r="D4482" s="3" t="s">
        <v>221</v>
      </c>
      <c r="E4482" s="3" t="s">
        <v>751</v>
      </c>
      <c r="F4482" s="7">
        <v>45836.89151098539</v>
      </c>
      <c r="G4482" s="3" t="s">
        <v>12301</v>
      </c>
    </row>
    <row r="4483">
      <c r="A4483" s="3" t="s">
        <v>13851</v>
      </c>
      <c r="B4483" s="3" t="s">
        <v>4442</v>
      </c>
      <c r="C4483" s="5" t="s">
        <v>221</v>
      </c>
      <c r="D4483" s="3" t="s">
        <v>614</v>
      </c>
      <c r="E4483" s="3" t="s">
        <v>118</v>
      </c>
      <c r="F4483" s="7">
        <v>45836.89498320761</v>
      </c>
      <c r="G4483" s="3" t="s">
        <v>12304</v>
      </c>
    </row>
    <row r="4484">
      <c r="A4484" s="3" t="s">
        <v>13853</v>
      </c>
      <c r="B4484" s="3" t="s">
        <v>4442</v>
      </c>
      <c r="C4484" s="5" t="s">
        <v>614</v>
      </c>
      <c r="D4484" s="3" t="s">
        <v>206</v>
      </c>
      <c r="E4484" s="3" t="s">
        <v>100</v>
      </c>
      <c r="F4484" s="7">
        <v>45836.89845542984</v>
      </c>
      <c r="G4484" s="3" t="s">
        <v>12307</v>
      </c>
    </row>
    <row r="4485">
      <c r="A4485" s="3" t="s">
        <v>13855</v>
      </c>
      <c r="B4485" s="3" t="s">
        <v>4442</v>
      </c>
      <c r="C4485" s="5" t="s">
        <v>206</v>
      </c>
      <c r="D4485" s="3" t="s">
        <v>68</v>
      </c>
      <c r="E4485" s="3" t="s">
        <v>100</v>
      </c>
      <c r="F4485" s="7">
        <v>45836.901927652056</v>
      </c>
      <c r="G4485" s="3" t="s">
        <v>12310</v>
      </c>
    </row>
    <row r="4486">
      <c r="A4486" s="3" t="s">
        <v>13857</v>
      </c>
      <c r="B4486" s="3" t="s">
        <v>4444</v>
      </c>
      <c r="C4486" s="5" t="s">
        <v>45</v>
      </c>
      <c r="D4486" s="3" t="s">
        <v>221</v>
      </c>
      <c r="E4486" s="3" t="s">
        <v>600</v>
      </c>
      <c r="F4486" s="7">
        <v>45836.96268583081</v>
      </c>
      <c r="G4486" s="3" t="s">
        <v>13859</v>
      </c>
    </row>
    <row r="4487">
      <c r="A4487" s="3" t="s">
        <v>13860</v>
      </c>
      <c r="B4487" s="3" t="s">
        <v>4444</v>
      </c>
      <c r="C4487" s="5" t="s">
        <v>221</v>
      </c>
      <c r="D4487" s="3" t="s">
        <v>195</v>
      </c>
      <c r="E4487" s="3" t="s">
        <v>600</v>
      </c>
      <c r="F4487" s="7">
        <v>45836.96615805303</v>
      </c>
      <c r="G4487" s="3" t="s">
        <v>13862</v>
      </c>
    </row>
    <row r="4488">
      <c r="A4488" s="3" t="s">
        <v>13863</v>
      </c>
      <c r="B4488" s="3" t="s">
        <v>4446</v>
      </c>
      <c r="C4488" s="5" t="s">
        <v>45</v>
      </c>
      <c r="D4488" s="3" t="s">
        <v>221</v>
      </c>
      <c r="E4488" s="3" t="s">
        <v>366</v>
      </c>
      <c r="F4488" s="7">
        <v>45837.03386067622</v>
      </c>
      <c r="G4488" s="3" t="s">
        <v>13864</v>
      </c>
    </row>
    <row r="4489">
      <c r="A4489" s="3" t="s">
        <v>13866</v>
      </c>
      <c r="B4489" s="3" t="s">
        <v>4446</v>
      </c>
      <c r="C4489" s="5" t="s">
        <v>221</v>
      </c>
      <c r="D4489" s="3" t="s">
        <v>195</v>
      </c>
      <c r="E4489" s="3" t="s">
        <v>366</v>
      </c>
      <c r="F4489" s="7">
        <v>45837.03733289844</v>
      </c>
      <c r="G4489" s="3" t="s">
        <v>13867</v>
      </c>
    </row>
    <row r="4490">
      <c r="A4490" s="3" t="s">
        <v>13868</v>
      </c>
      <c r="B4490" s="3" t="s">
        <v>4449</v>
      </c>
      <c r="C4490" s="5" t="s">
        <v>45</v>
      </c>
      <c r="D4490" s="3" t="s">
        <v>221</v>
      </c>
      <c r="E4490" s="3" t="s">
        <v>290</v>
      </c>
      <c r="F4490" s="7">
        <v>45837.105035521636</v>
      </c>
      <c r="G4490" s="3" t="s">
        <v>13869</v>
      </c>
    </row>
    <row r="4491">
      <c r="A4491" s="3" t="s">
        <v>13870</v>
      </c>
      <c r="B4491" s="3" t="s">
        <v>4449</v>
      </c>
      <c r="C4491" s="5" t="s">
        <v>221</v>
      </c>
      <c r="D4491" s="3" t="s">
        <v>614</v>
      </c>
      <c r="E4491" s="3" t="s">
        <v>118</v>
      </c>
      <c r="F4491" s="7">
        <v>45837.108507743855</v>
      </c>
      <c r="G4491" s="3" t="s">
        <v>13873</v>
      </c>
    </row>
    <row r="4492">
      <c r="A4492" s="3" t="s">
        <v>13874</v>
      </c>
      <c r="B4492" s="3" t="s">
        <v>4449</v>
      </c>
      <c r="C4492" s="5" t="s">
        <v>614</v>
      </c>
      <c r="D4492" s="3" t="s">
        <v>206</v>
      </c>
      <c r="E4492" s="3" t="s">
        <v>100</v>
      </c>
      <c r="F4492" s="7">
        <v>45837.11197996608</v>
      </c>
      <c r="G4492" s="3" t="s">
        <v>13875</v>
      </c>
    </row>
    <row r="4493">
      <c r="A4493" s="3" t="s">
        <v>13877</v>
      </c>
      <c r="B4493" s="3" t="s">
        <v>4449</v>
      </c>
      <c r="C4493" s="5" t="s">
        <v>206</v>
      </c>
      <c r="D4493" s="3" t="s">
        <v>68</v>
      </c>
      <c r="E4493" s="3" t="s">
        <v>100</v>
      </c>
      <c r="F4493" s="7">
        <v>45837.1154521883</v>
      </c>
      <c r="G4493" s="3" t="s">
        <v>13878</v>
      </c>
    </row>
    <row r="4494">
      <c r="A4494" s="3" t="s">
        <v>13879</v>
      </c>
      <c r="B4494" s="3" t="s">
        <v>4453</v>
      </c>
      <c r="C4494" s="5" t="s">
        <v>45</v>
      </c>
      <c r="D4494" s="3" t="s">
        <v>221</v>
      </c>
      <c r="E4494" s="3" t="s">
        <v>969</v>
      </c>
      <c r="F4494" s="7">
        <v>45837.176210367055</v>
      </c>
      <c r="G4494" s="3" t="s">
        <v>13881</v>
      </c>
    </row>
    <row r="4495">
      <c r="A4495" s="3" t="s">
        <v>13882</v>
      </c>
      <c r="B4495" s="3" t="s">
        <v>4453</v>
      </c>
      <c r="C4495" s="5" t="s">
        <v>221</v>
      </c>
      <c r="D4495" s="3" t="s">
        <v>614</v>
      </c>
      <c r="E4495" s="3" t="s">
        <v>118</v>
      </c>
      <c r="F4495" s="7">
        <v>45837.179682589274</v>
      </c>
      <c r="G4495" s="3" t="s">
        <v>13883</v>
      </c>
    </row>
    <row r="4496">
      <c r="A4496" s="3" t="s">
        <v>13884</v>
      </c>
      <c r="B4496" s="3" t="s">
        <v>4453</v>
      </c>
      <c r="C4496" s="5" t="s">
        <v>614</v>
      </c>
      <c r="D4496" s="3" t="s">
        <v>206</v>
      </c>
      <c r="E4496" s="3" t="s">
        <v>100</v>
      </c>
      <c r="F4496" s="7">
        <v>45837.1831548115</v>
      </c>
      <c r="G4496" s="3" t="s">
        <v>13886</v>
      </c>
    </row>
    <row r="4497">
      <c r="A4497" s="3" t="s">
        <v>13887</v>
      </c>
      <c r="B4497" s="3" t="s">
        <v>4453</v>
      </c>
      <c r="C4497" s="5" t="s">
        <v>206</v>
      </c>
      <c r="D4497" s="3" t="s">
        <v>68</v>
      </c>
      <c r="E4497" s="3" t="s">
        <v>100</v>
      </c>
      <c r="F4497" s="7">
        <v>45837.18662703372</v>
      </c>
      <c r="G4497" s="3" t="s">
        <v>13888</v>
      </c>
    </row>
    <row r="4498">
      <c r="A4498" s="3" t="s">
        <v>13889</v>
      </c>
      <c r="B4498" s="3" t="s">
        <v>4456</v>
      </c>
      <c r="C4498" s="5" t="s">
        <v>45</v>
      </c>
      <c r="D4498" s="3" t="s">
        <v>221</v>
      </c>
      <c r="E4498" s="3" t="s">
        <v>523</v>
      </c>
      <c r="F4498" s="7">
        <v>45837.247385212475</v>
      </c>
      <c r="G4498" s="3" t="s">
        <v>13891</v>
      </c>
    </row>
    <row r="4499">
      <c r="A4499" s="3" t="s">
        <v>13892</v>
      </c>
      <c r="B4499" s="3" t="s">
        <v>4456</v>
      </c>
      <c r="C4499" s="5" t="s">
        <v>221</v>
      </c>
      <c r="D4499" s="3" t="s">
        <v>614</v>
      </c>
      <c r="E4499" s="3" t="s">
        <v>118</v>
      </c>
      <c r="F4499" s="7">
        <v>45837.250857434694</v>
      </c>
      <c r="G4499" s="3" t="s">
        <v>13894</v>
      </c>
    </row>
    <row r="4500">
      <c r="A4500" s="3" t="s">
        <v>13895</v>
      </c>
      <c r="B4500" s="3" t="s">
        <v>4456</v>
      </c>
      <c r="C4500" s="5" t="s">
        <v>614</v>
      </c>
      <c r="D4500" s="3" t="s">
        <v>206</v>
      </c>
      <c r="E4500" s="3" t="s">
        <v>100</v>
      </c>
      <c r="F4500" s="7">
        <v>45837.25432965692</v>
      </c>
      <c r="G4500" s="3" t="s">
        <v>13897</v>
      </c>
    </row>
    <row r="4501">
      <c r="A4501" s="3" t="s">
        <v>13898</v>
      </c>
      <c r="B4501" s="3" t="s">
        <v>4456</v>
      </c>
      <c r="C4501" s="5" t="s">
        <v>206</v>
      </c>
      <c r="D4501" s="3" t="s">
        <v>68</v>
      </c>
      <c r="E4501" s="3" t="s">
        <v>100</v>
      </c>
      <c r="F4501" s="7">
        <v>45837.25780187914</v>
      </c>
      <c r="G4501" s="3" t="s">
        <v>13899</v>
      </c>
    </row>
    <row r="4502">
      <c r="A4502" s="3" t="s">
        <v>13901</v>
      </c>
      <c r="B4502" s="3" t="s">
        <v>4459</v>
      </c>
      <c r="C4502" s="5" t="s">
        <v>45</v>
      </c>
      <c r="D4502" s="3" t="s">
        <v>221</v>
      </c>
      <c r="E4502" s="3" t="s">
        <v>171</v>
      </c>
      <c r="F4502" s="7">
        <v>45837.31856005788</v>
      </c>
      <c r="G4502" s="3" t="s">
        <v>13902</v>
      </c>
    </row>
    <row r="4503">
      <c r="A4503" s="3" t="s">
        <v>13904</v>
      </c>
      <c r="B4503" s="3" t="s">
        <v>4459</v>
      </c>
      <c r="C4503" s="5" t="s">
        <v>221</v>
      </c>
      <c r="D4503" s="3" t="s">
        <v>614</v>
      </c>
      <c r="E4503" s="3" t="s">
        <v>118</v>
      </c>
      <c r="F4503" s="7">
        <v>45837.3220322801</v>
      </c>
      <c r="G4503" s="3" t="s">
        <v>13905</v>
      </c>
    </row>
    <row r="4504">
      <c r="A4504" s="3" t="s">
        <v>13906</v>
      </c>
      <c r="B4504" s="3" t="s">
        <v>4459</v>
      </c>
      <c r="C4504" s="5" t="s">
        <v>614</v>
      </c>
      <c r="D4504" s="3" t="s">
        <v>206</v>
      </c>
      <c r="E4504" s="3" t="s">
        <v>100</v>
      </c>
      <c r="F4504" s="7">
        <v>45837.325504502325</v>
      </c>
      <c r="G4504" s="3" t="s">
        <v>13908</v>
      </c>
    </row>
    <row r="4505">
      <c r="A4505" s="3" t="s">
        <v>13909</v>
      </c>
      <c r="B4505" s="3" t="s">
        <v>4459</v>
      </c>
      <c r="C4505" s="5" t="s">
        <v>206</v>
      </c>
      <c r="D4505" s="3" t="s">
        <v>68</v>
      </c>
      <c r="E4505" s="3" t="s">
        <v>100</v>
      </c>
      <c r="F4505" s="7">
        <v>45837.328976724544</v>
      </c>
      <c r="G4505" s="3" t="s">
        <v>13911</v>
      </c>
    </row>
    <row r="4506">
      <c r="A4506" s="3" t="s">
        <v>13912</v>
      </c>
      <c r="B4506" s="3" t="s">
        <v>4462</v>
      </c>
      <c r="C4506" s="5" t="s">
        <v>45</v>
      </c>
      <c r="D4506" s="3" t="s">
        <v>221</v>
      </c>
      <c r="E4506" s="3" t="s">
        <v>746</v>
      </c>
      <c r="F4506" s="7">
        <v>45837.3897349033</v>
      </c>
      <c r="G4506" s="3" t="s">
        <v>13914</v>
      </c>
    </row>
    <row r="4507">
      <c r="A4507" s="3" t="s">
        <v>13915</v>
      </c>
      <c r="B4507" s="3" t="s">
        <v>4462</v>
      </c>
      <c r="C4507" s="5" t="s">
        <v>221</v>
      </c>
      <c r="D4507" s="3" t="s">
        <v>614</v>
      </c>
      <c r="E4507" s="3" t="s">
        <v>118</v>
      </c>
      <c r="F4507" s="7">
        <v>45837.39320712552</v>
      </c>
      <c r="G4507" s="3" t="s">
        <v>13916</v>
      </c>
    </row>
    <row r="4508">
      <c r="A4508" s="3" t="s">
        <v>13918</v>
      </c>
      <c r="B4508" s="3" t="s">
        <v>4462</v>
      </c>
      <c r="C4508" s="5" t="s">
        <v>614</v>
      </c>
      <c r="D4508" s="3" t="s">
        <v>206</v>
      </c>
      <c r="E4508" s="3" t="s">
        <v>100</v>
      </c>
      <c r="F4508" s="7">
        <v>45837.396679347745</v>
      </c>
      <c r="G4508" s="3" t="s">
        <v>13919</v>
      </c>
    </row>
    <row r="4509">
      <c r="A4509" s="3" t="s">
        <v>13920</v>
      </c>
      <c r="B4509" s="3" t="s">
        <v>4462</v>
      </c>
      <c r="C4509" s="5" t="s">
        <v>206</v>
      </c>
      <c r="D4509" s="3" t="s">
        <v>68</v>
      </c>
      <c r="E4509" s="3" t="s">
        <v>100</v>
      </c>
      <c r="F4509" s="7">
        <v>45837.400151569964</v>
      </c>
      <c r="G4509" s="3" t="s">
        <v>13922</v>
      </c>
    </row>
    <row r="4510">
      <c r="A4510" s="3" t="s">
        <v>13923</v>
      </c>
      <c r="B4510" s="3" t="s">
        <v>4465</v>
      </c>
      <c r="C4510" s="5" t="s">
        <v>45</v>
      </c>
      <c r="D4510" s="3" t="s">
        <v>221</v>
      </c>
      <c r="E4510" s="3" t="s">
        <v>622</v>
      </c>
      <c r="F4510" s="7">
        <v>45837.46090974871</v>
      </c>
      <c r="G4510" s="3" t="s">
        <v>13925</v>
      </c>
    </row>
    <row r="4511">
      <c r="A4511" s="3" t="s">
        <v>13926</v>
      </c>
      <c r="B4511" s="3" t="s">
        <v>4465</v>
      </c>
      <c r="C4511" s="5" t="s">
        <v>221</v>
      </c>
      <c r="D4511" s="3" t="s">
        <v>614</v>
      </c>
      <c r="E4511" s="3" t="s">
        <v>118</v>
      </c>
      <c r="F4511" s="7">
        <v>45837.46438197093</v>
      </c>
      <c r="G4511" s="3" t="s">
        <v>13928</v>
      </c>
    </row>
    <row r="4512">
      <c r="A4512" s="3" t="s">
        <v>13929</v>
      </c>
      <c r="B4512" s="3" t="s">
        <v>4465</v>
      </c>
      <c r="C4512" s="5" t="s">
        <v>614</v>
      </c>
      <c r="D4512" s="3" t="s">
        <v>206</v>
      </c>
      <c r="E4512" s="3" t="s">
        <v>100</v>
      </c>
      <c r="F4512" s="7">
        <v>45837.46785419316</v>
      </c>
      <c r="G4512" s="3" t="s">
        <v>13930</v>
      </c>
    </row>
    <row r="4513">
      <c r="A4513" s="3" t="s">
        <v>13932</v>
      </c>
      <c r="B4513" s="3" t="s">
        <v>4465</v>
      </c>
      <c r="C4513" s="5" t="s">
        <v>206</v>
      </c>
      <c r="D4513" s="3" t="s">
        <v>68</v>
      </c>
      <c r="E4513" s="3" t="s">
        <v>100</v>
      </c>
      <c r="F4513" s="7">
        <v>45837.471326415376</v>
      </c>
      <c r="G4513" s="3" t="s">
        <v>13933</v>
      </c>
    </row>
    <row r="4514">
      <c r="A4514" s="3" t="s">
        <v>13934</v>
      </c>
      <c r="B4514" s="3" t="s">
        <v>4468</v>
      </c>
      <c r="C4514" s="5" t="s">
        <v>45</v>
      </c>
      <c r="D4514" s="3" t="s">
        <v>221</v>
      </c>
      <c r="E4514" s="3" t="s">
        <v>398</v>
      </c>
      <c r="F4514" s="7">
        <v>45837.53208459413</v>
      </c>
      <c r="G4514" s="3" t="s">
        <v>2770</v>
      </c>
    </row>
    <row r="4515">
      <c r="A4515" s="3" t="s">
        <v>13936</v>
      </c>
      <c r="B4515" s="3" t="s">
        <v>4468</v>
      </c>
      <c r="C4515" s="5" t="s">
        <v>221</v>
      </c>
      <c r="D4515" s="3" t="s">
        <v>181</v>
      </c>
      <c r="E4515" s="3" t="s">
        <v>118</v>
      </c>
      <c r="F4515" s="7">
        <v>45837.53555681635</v>
      </c>
      <c r="G4515" s="3" t="s">
        <v>2774</v>
      </c>
    </row>
    <row r="4516">
      <c r="A4516" s="3" t="s">
        <v>13938</v>
      </c>
      <c r="B4516" s="3" t="s">
        <v>4471</v>
      </c>
      <c r="C4516" s="5" t="s">
        <v>45</v>
      </c>
      <c r="D4516" s="3" t="s">
        <v>221</v>
      </c>
      <c r="E4516" s="3" t="s">
        <v>747</v>
      </c>
      <c r="F4516" s="7">
        <v>45837.603259439544</v>
      </c>
      <c r="G4516" s="3" t="s">
        <v>13940</v>
      </c>
    </row>
    <row r="4517">
      <c r="A4517" s="3" t="s">
        <v>13941</v>
      </c>
      <c r="B4517" s="3" t="s">
        <v>4471</v>
      </c>
      <c r="C4517" s="5" t="s">
        <v>221</v>
      </c>
      <c r="D4517" s="3" t="s">
        <v>614</v>
      </c>
      <c r="E4517" s="3" t="s">
        <v>118</v>
      </c>
      <c r="F4517" s="7">
        <v>45837.60673166176</v>
      </c>
      <c r="G4517" s="3" t="s">
        <v>13942</v>
      </c>
    </row>
    <row r="4518">
      <c r="A4518" s="3" t="s">
        <v>13944</v>
      </c>
      <c r="B4518" s="3" t="s">
        <v>4471</v>
      </c>
      <c r="C4518" s="5" t="s">
        <v>614</v>
      </c>
      <c r="D4518" s="3" t="s">
        <v>206</v>
      </c>
      <c r="E4518" s="3" t="s">
        <v>100</v>
      </c>
      <c r="F4518" s="7">
        <v>45837.61020388399</v>
      </c>
      <c r="G4518" s="3" t="s">
        <v>13945</v>
      </c>
    </row>
    <row r="4519">
      <c r="A4519" s="3" t="s">
        <v>13946</v>
      </c>
      <c r="B4519" s="3" t="s">
        <v>4471</v>
      </c>
      <c r="C4519" s="5" t="s">
        <v>206</v>
      </c>
      <c r="D4519" s="3" t="s">
        <v>68</v>
      </c>
      <c r="E4519" s="3" t="s">
        <v>100</v>
      </c>
      <c r="F4519" s="7">
        <v>45837.61367610621</v>
      </c>
      <c r="G4519" s="3" t="s">
        <v>13948</v>
      </c>
    </row>
    <row r="4520">
      <c r="A4520" s="3" t="s">
        <v>13949</v>
      </c>
      <c r="B4520" s="3" t="s">
        <v>4473</v>
      </c>
      <c r="C4520" s="5" t="s">
        <v>45</v>
      </c>
      <c r="D4520" s="3" t="s">
        <v>221</v>
      </c>
      <c r="E4520" s="3" t="s">
        <v>581</v>
      </c>
      <c r="F4520" s="7">
        <v>45837.67443428496</v>
      </c>
      <c r="G4520" s="3" t="s">
        <v>13951</v>
      </c>
    </row>
    <row r="4521">
      <c r="A4521" s="3" t="s">
        <v>13952</v>
      </c>
      <c r="B4521" s="3" t="s">
        <v>4473</v>
      </c>
      <c r="C4521" s="5" t="s">
        <v>221</v>
      </c>
      <c r="D4521" s="3" t="s">
        <v>614</v>
      </c>
      <c r="E4521" s="3" t="s">
        <v>118</v>
      </c>
      <c r="F4521" s="7">
        <v>45837.67790650718</v>
      </c>
      <c r="G4521" s="3" t="s">
        <v>13954</v>
      </c>
    </row>
    <row r="4522">
      <c r="A4522" s="3" t="s">
        <v>13955</v>
      </c>
      <c r="B4522" s="3" t="s">
        <v>4473</v>
      </c>
      <c r="C4522" s="5" t="s">
        <v>614</v>
      </c>
      <c r="D4522" s="3" t="s">
        <v>206</v>
      </c>
      <c r="E4522" s="3" t="s">
        <v>100</v>
      </c>
      <c r="F4522" s="7">
        <v>45837.68137872941</v>
      </c>
      <c r="G4522" s="3" t="s">
        <v>13956</v>
      </c>
    </row>
    <row r="4523">
      <c r="A4523" s="3" t="s">
        <v>13957</v>
      </c>
      <c r="B4523" s="3" t="s">
        <v>4473</v>
      </c>
      <c r="C4523" s="5" t="s">
        <v>206</v>
      </c>
      <c r="D4523" s="3" t="s">
        <v>68</v>
      </c>
      <c r="E4523" s="3" t="s">
        <v>100</v>
      </c>
      <c r="F4523" s="7">
        <v>45837.68485095163</v>
      </c>
      <c r="G4523" s="3" t="s">
        <v>13959</v>
      </c>
    </row>
    <row r="4524">
      <c r="A4524" s="3" t="s">
        <v>13960</v>
      </c>
      <c r="B4524" s="3" t="s">
        <v>4475</v>
      </c>
      <c r="C4524" s="5" t="s">
        <v>45</v>
      </c>
      <c r="D4524" s="3" t="s">
        <v>221</v>
      </c>
      <c r="E4524" s="3" t="s">
        <v>171</v>
      </c>
      <c r="F4524" s="7">
        <v>45837.74560913037</v>
      </c>
      <c r="G4524" s="3" t="s">
        <v>13962</v>
      </c>
    </row>
    <row r="4525">
      <c r="A4525" s="3" t="s">
        <v>13963</v>
      </c>
      <c r="B4525" s="3" t="s">
        <v>4475</v>
      </c>
      <c r="C4525" s="5" t="s">
        <v>221</v>
      </c>
      <c r="D4525" s="3" t="s">
        <v>614</v>
      </c>
      <c r="E4525" s="3" t="s">
        <v>118</v>
      </c>
      <c r="F4525" s="7">
        <v>45837.74908135259</v>
      </c>
      <c r="G4525" s="3" t="s">
        <v>13965</v>
      </c>
    </row>
    <row r="4526">
      <c r="A4526" s="3" t="s">
        <v>13966</v>
      </c>
      <c r="B4526" s="3" t="s">
        <v>4475</v>
      </c>
      <c r="C4526" s="5" t="s">
        <v>614</v>
      </c>
      <c r="D4526" s="3" t="s">
        <v>206</v>
      </c>
      <c r="E4526" s="3" t="s">
        <v>100</v>
      </c>
      <c r="F4526" s="7">
        <v>45837.752553574814</v>
      </c>
      <c r="G4526" s="3" t="s">
        <v>13968</v>
      </c>
    </row>
    <row r="4527">
      <c r="A4527" s="3" t="s">
        <v>13969</v>
      </c>
      <c r="B4527" s="3" t="s">
        <v>4475</v>
      </c>
      <c r="C4527" s="5" t="s">
        <v>206</v>
      </c>
      <c r="D4527" s="3" t="s">
        <v>68</v>
      </c>
      <c r="E4527" s="3" t="s">
        <v>100</v>
      </c>
      <c r="F4527" s="7">
        <v>45837.75602579703</v>
      </c>
      <c r="G4527" s="3" t="s">
        <v>13970</v>
      </c>
    </row>
    <row r="4528">
      <c r="A4528" s="3" t="s">
        <v>13971</v>
      </c>
      <c r="B4528" s="3" t="s">
        <v>4478</v>
      </c>
      <c r="C4528" s="5" t="s">
        <v>45</v>
      </c>
      <c r="D4528" s="3" t="s">
        <v>221</v>
      </c>
      <c r="E4528" s="3" t="s">
        <v>652</v>
      </c>
      <c r="F4528" s="7">
        <v>45837.81678397579</v>
      </c>
      <c r="G4528" s="3" t="s">
        <v>13973</v>
      </c>
    </row>
    <row r="4529">
      <c r="A4529" s="3" t="s">
        <v>13974</v>
      </c>
      <c r="B4529" s="3" t="s">
        <v>4478</v>
      </c>
      <c r="C4529" s="5" t="s">
        <v>221</v>
      </c>
      <c r="D4529" s="3" t="s">
        <v>614</v>
      </c>
      <c r="E4529" s="3" t="s">
        <v>118</v>
      </c>
      <c r="F4529" s="7">
        <v>45837.82025619801</v>
      </c>
      <c r="G4529" s="3" t="s">
        <v>13976</v>
      </c>
    </row>
    <row r="4530">
      <c r="A4530" s="3" t="s">
        <v>13977</v>
      </c>
      <c r="B4530" s="3" t="s">
        <v>4478</v>
      </c>
      <c r="C4530" s="5" t="s">
        <v>614</v>
      </c>
      <c r="D4530" s="3" t="s">
        <v>206</v>
      </c>
      <c r="E4530" s="3" t="s">
        <v>100</v>
      </c>
      <c r="F4530" s="7">
        <v>45837.82372842023</v>
      </c>
      <c r="G4530" s="3" t="s">
        <v>13979</v>
      </c>
    </row>
    <row r="4531">
      <c r="A4531" s="3" t="s">
        <v>13980</v>
      </c>
      <c r="B4531" s="3" t="s">
        <v>4478</v>
      </c>
      <c r="C4531" s="5" t="s">
        <v>206</v>
      </c>
      <c r="D4531" s="3" t="s">
        <v>68</v>
      </c>
      <c r="E4531" s="3" t="s">
        <v>100</v>
      </c>
      <c r="F4531" s="7">
        <v>45837.82720064245</v>
      </c>
      <c r="G4531" s="3" t="s">
        <v>13982</v>
      </c>
    </row>
    <row r="4532">
      <c r="A4532" s="3" t="s">
        <v>13983</v>
      </c>
      <c r="B4532" s="3" t="s">
        <v>4481</v>
      </c>
      <c r="C4532" s="5" t="s">
        <v>45</v>
      </c>
      <c r="D4532" s="3" t="s">
        <v>221</v>
      </c>
      <c r="E4532" s="3" t="s">
        <v>616</v>
      </c>
      <c r="F4532" s="7">
        <v>45837.88795882121</v>
      </c>
      <c r="G4532" s="3" t="s">
        <v>13985</v>
      </c>
    </row>
    <row r="4533">
      <c r="A4533" s="3" t="s">
        <v>13986</v>
      </c>
      <c r="B4533" s="3" t="s">
        <v>4481</v>
      </c>
      <c r="C4533" s="5" t="s">
        <v>221</v>
      </c>
      <c r="D4533" s="3" t="s">
        <v>614</v>
      </c>
      <c r="E4533" s="3" t="s">
        <v>118</v>
      </c>
      <c r="F4533" s="7">
        <v>45837.89143104343</v>
      </c>
      <c r="G4533" s="3" t="s">
        <v>13987</v>
      </c>
    </row>
    <row r="4534">
      <c r="A4534" s="3" t="s">
        <v>13988</v>
      </c>
      <c r="B4534" s="3" t="s">
        <v>4481</v>
      </c>
      <c r="C4534" s="5" t="s">
        <v>614</v>
      </c>
      <c r="D4534" s="3" t="s">
        <v>206</v>
      </c>
      <c r="E4534" s="3" t="s">
        <v>100</v>
      </c>
      <c r="F4534" s="7">
        <v>45837.89490326565</v>
      </c>
      <c r="G4534" s="3" t="s">
        <v>13990</v>
      </c>
    </row>
    <row r="4535">
      <c r="A4535" s="3" t="s">
        <v>13991</v>
      </c>
      <c r="B4535" s="3" t="s">
        <v>4481</v>
      </c>
      <c r="C4535" s="5" t="s">
        <v>206</v>
      </c>
      <c r="D4535" s="3" t="s">
        <v>68</v>
      </c>
      <c r="E4535" s="3" t="s">
        <v>100</v>
      </c>
      <c r="F4535" s="7">
        <v>45837.89837548787</v>
      </c>
      <c r="G4535" s="3" t="s">
        <v>13993</v>
      </c>
    </row>
    <row r="4536">
      <c r="A4536" s="3" t="s">
        <v>13994</v>
      </c>
      <c r="B4536" s="3" t="s">
        <v>4484</v>
      </c>
      <c r="C4536" s="5" t="s">
        <v>45</v>
      </c>
      <c r="D4536" s="3" t="s">
        <v>221</v>
      </c>
      <c r="E4536" s="3" t="s">
        <v>911</v>
      </c>
      <c r="F4536" s="7">
        <v>45837.95913366662</v>
      </c>
      <c r="G4536" s="3" t="s">
        <v>13996</v>
      </c>
    </row>
    <row r="4537">
      <c r="A4537" s="3" t="s">
        <v>13997</v>
      </c>
      <c r="B4537" s="3" t="s">
        <v>4484</v>
      </c>
      <c r="C4537" s="5" t="s">
        <v>221</v>
      </c>
      <c r="D4537" s="3" t="s">
        <v>614</v>
      </c>
      <c r="E4537" s="3" t="s">
        <v>118</v>
      </c>
      <c r="F4537" s="7">
        <v>45837.96260588884</v>
      </c>
      <c r="G4537" s="3" t="s">
        <v>13998</v>
      </c>
    </row>
    <row r="4538">
      <c r="A4538" s="3" t="s">
        <v>14000</v>
      </c>
      <c r="B4538" s="3" t="s">
        <v>4484</v>
      </c>
      <c r="C4538" s="5" t="s">
        <v>614</v>
      </c>
      <c r="D4538" s="3" t="s">
        <v>206</v>
      </c>
      <c r="E4538" s="3" t="s">
        <v>100</v>
      </c>
      <c r="F4538" s="7">
        <v>45837.966078111065</v>
      </c>
      <c r="G4538" s="3" t="s">
        <v>14001</v>
      </c>
    </row>
    <row r="4539">
      <c r="A4539" s="3" t="s">
        <v>14002</v>
      </c>
      <c r="B4539" s="3" t="s">
        <v>4484</v>
      </c>
      <c r="C4539" s="5" t="s">
        <v>206</v>
      </c>
      <c r="D4539" s="3" t="s">
        <v>68</v>
      </c>
      <c r="E4539" s="3" t="s">
        <v>100</v>
      </c>
      <c r="F4539" s="7">
        <v>45837.969550333284</v>
      </c>
      <c r="G4539" s="3" t="s">
        <v>14004</v>
      </c>
    </row>
    <row r="4540">
      <c r="A4540" s="3" t="s">
        <v>14005</v>
      </c>
      <c r="B4540" s="3" t="s">
        <v>4486</v>
      </c>
      <c r="C4540" s="5" t="s">
        <v>45</v>
      </c>
      <c r="D4540" s="3" t="s">
        <v>221</v>
      </c>
      <c r="E4540" s="3" t="s">
        <v>616</v>
      </c>
      <c r="F4540" s="7">
        <v>45838.03030851203</v>
      </c>
      <c r="G4540" s="3" t="s">
        <v>14007</v>
      </c>
    </row>
    <row r="4541">
      <c r="A4541" s="3" t="s">
        <v>14008</v>
      </c>
      <c r="B4541" s="3" t="s">
        <v>4486</v>
      </c>
      <c r="C4541" s="5" t="s">
        <v>221</v>
      </c>
      <c r="D4541" s="3" t="s">
        <v>614</v>
      </c>
      <c r="E4541" s="3" t="s">
        <v>118</v>
      </c>
      <c r="F4541" s="7">
        <v>45838.03378073425</v>
      </c>
      <c r="G4541" s="3" t="s">
        <v>14010</v>
      </c>
    </row>
    <row r="4542">
      <c r="A4542" s="3" t="s">
        <v>14011</v>
      </c>
      <c r="B4542" s="3" t="s">
        <v>4486</v>
      </c>
      <c r="C4542" s="5" t="s">
        <v>614</v>
      </c>
      <c r="D4542" s="3" t="s">
        <v>206</v>
      </c>
      <c r="E4542" s="3" t="s">
        <v>100</v>
      </c>
      <c r="F4542" s="7">
        <v>45838.03725295648</v>
      </c>
      <c r="G4542" s="3" t="s">
        <v>14013</v>
      </c>
    </row>
    <row r="4543">
      <c r="A4543" s="3" t="s">
        <v>14014</v>
      </c>
      <c r="B4543" s="3" t="s">
        <v>4486</v>
      </c>
      <c r="C4543" s="5" t="s">
        <v>206</v>
      </c>
      <c r="D4543" s="3" t="s">
        <v>68</v>
      </c>
      <c r="E4543" s="3" t="s">
        <v>100</v>
      </c>
      <c r="F4543" s="7">
        <v>45838.0407251787</v>
      </c>
      <c r="G4543" s="3" t="s">
        <v>14015</v>
      </c>
    </row>
    <row r="4544">
      <c r="A4544" s="3" t="s">
        <v>14016</v>
      </c>
      <c r="B4544" s="3" t="s">
        <v>4488</v>
      </c>
      <c r="C4544" s="5" t="s">
        <v>45</v>
      </c>
      <c r="D4544" s="3" t="s">
        <v>221</v>
      </c>
      <c r="E4544" s="3" t="s">
        <v>219</v>
      </c>
      <c r="F4544" s="7">
        <v>45838.10148335745</v>
      </c>
      <c r="G4544" s="3" t="s">
        <v>14018</v>
      </c>
    </row>
    <row r="4545">
      <c r="A4545" s="3" t="s">
        <v>14019</v>
      </c>
      <c r="B4545" s="3" t="s">
        <v>4488</v>
      </c>
      <c r="C4545" s="5" t="s">
        <v>221</v>
      </c>
      <c r="D4545" s="3" t="s">
        <v>614</v>
      </c>
      <c r="E4545" s="3" t="s">
        <v>118</v>
      </c>
      <c r="F4545" s="7">
        <v>45838.10495557967</v>
      </c>
      <c r="G4545" s="3" t="s">
        <v>14021</v>
      </c>
    </row>
    <row r="4546">
      <c r="A4546" s="3" t="s">
        <v>14022</v>
      </c>
      <c r="B4546" s="3" t="s">
        <v>4488</v>
      </c>
      <c r="C4546" s="5" t="s">
        <v>614</v>
      </c>
      <c r="D4546" s="3" t="s">
        <v>206</v>
      </c>
      <c r="E4546" s="3" t="s">
        <v>100</v>
      </c>
      <c r="F4546" s="7">
        <v>45838.1084278019</v>
      </c>
      <c r="G4546" s="3" t="s">
        <v>14024</v>
      </c>
    </row>
    <row r="4547">
      <c r="A4547" s="3" t="s">
        <v>14025</v>
      </c>
      <c r="B4547" s="3" t="s">
        <v>4488</v>
      </c>
      <c r="C4547" s="5" t="s">
        <v>206</v>
      </c>
      <c r="D4547" s="3" t="s">
        <v>68</v>
      </c>
      <c r="E4547" s="3" t="s">
        <v>100</v>
      </c>
      <c r="F4547" s="7">
        <v>45838.111900024116</v>
      </c>
      <c r="G4547" s="3" t="s">
        <v>14026</v>
      </c>
    </row>
    <row r="4548">
      <c r="A4548" s="3" t="s">
        <v>14028</v>
      </c>
      <c r="B4548" s="3" t="s">
        <v>4492</v>
      </c>
      <c r="C4548" s="5" t="s">
        <v>45</v>
      </c>
      <c r="D4548" s="3" t="s">
        <v>221</v>
      </c>
      <c r="E4548" s="3" t="s">
        <v>501</v>
      </c>
      <c r="F4548" s="7">
        <v>45838.172658202864</v>
      </c>
      <c r="G4548" s="3" t="s">
        <v>14029</v>
      </c>
    </row>
    <row r="4549">
      <c r="A4549" s="3" t="s">
        <v>14030</v>
      </c>
      <c r="B4549" s="3" t="s">
        <v>4492</v>
      </c>
      <c r="C4549" s="5" t="s">
        <v>221</v>
      </c>
      <c r="D4549" s="3" t="s">
        <v>614</v>
      </c>
      <c r="E4549" s="3" t="s">
        <v>118</v>
      </c>
      <c r="F4549" s="7">
        <v>45838.17613042508</v>
      </c>
      <c r="G4549" s="3" t="s">
        <v>14032</v>
      </c>
    </row>
    <row r="4550">
      <c r="A4550" s="3" t="s">
        <v>14033</v>
      </c>
      <c r="B4550" s="3" t="s">
        <v>4492</v>
      </c>
      <c r="C4550" s="5" t="s">
        <v>614</v>
      </c>
      <c r="D4550" s="3" t="s">
        <v>206</v>
      </c>
      <c r="E4550" s="3" t="s">
        <v>100</v>
      </c>
      <c r="F4550" s="7">
        <v>45838.17960264731</v>
      </c>
      <c r="G4550" s="3" t="s">
        <v>14035</v>
      </c>
    </row>
    <row r="4551">
      <c r="A4551" s="3" t="s">
        <v>14036</v>
      </c>
      <c r="B4551" s="3" t="s">
        <v>4492</v>
      </c>
      <c r="C4551" s="5" t="s">
        <v>206</v>
      </c>
      <c r="D4551" s="3" t="s">
        <v>68</v>
      </c>
      <c r="E4551" s="3" t="s">
        <v>100</v>
      </c>
      <c r="F4551" s="7">
        <v>45838.18307486953</v>
      </c>
      <c r="G4551" s="3" t="s">
        <v>14038</v>
      </c>
    </row>
    <row r="4552">
      <c r="A4552" s="3" t="s">
        <v>14039</v>
      </c>
      <c r="B4552" s="3" t="s">
        <v>4496</v>
      </c>
      <c r="C4552" s="5" t="s">
        <v>45</v>
      </c>
      <c r="D4552" s="3" t="s">
        <v>221</v>
      </c>
      <c r="E4552" s="3" t="s">
        <v>622</v>
      </c>
      <c r="F4552" s="7">
        <v>45838.24383304828</v>
      </c>
      <c r="G4552" s="3" t="s">
        <v>14040</v>
      </c>
    </row>
    <row r="4553">
      <c r="A4553" s="3" t="s">
        <v>14041</v>
      </c>
      <c r="B4553" s="3" t="s">
        <v>4496</v>
      </c>
      <c r="C4553" s="5" t="s">
        <v>221</v>
      </c>
      <c r="D4553" s="3" t="s">
        <v>614</v>
      </c>
      <c r="E4553" s="3" t="s">
        <v>118</v>
      </c>
      <c r="F4553" s="7">
        <v>45838.247305270495</v>
      </c>
      <c r="G4553" s="3" t="s">
        <v>14043</v>
      </c>
    </row>
    <row r="4554">
      <c r="A4554" s="3" t="s">
        <v>14044</v>
      </c>
      <c r="B4554" s="3" t="s">
        <v>4496</v>
      </c>
      <c r="C4554" s="5" t="s">
        <v>614</v>
      </c>
      <c r="D4554" s="3" t="s">
        <v>206</v>
      </c>
      <c r="E4554" s="3" t="s">
        <v>100</v>
      </c>
      <c r="F4554" s="7">
        <v>45838.25077749272</v>
      </c>
      <c r="G4554" s="3" t="s">
        <v>14046</v>
      </c>
    </row>
    <row r="4555">
      <c r="A4555" s="3" t="s">
        <v>14047</v>
      </c>
      <c r="B4555" s="3" t="s">
        <v>4496</v>
      </c>
      <c r="C4555" s="5" t="s">
        <v>206</v>
      </c>
      <c r="D4555" s="3" t="s">
        <v>68</v>
      </c>
      <c r="E4555" s="3" t="s">
        <v>100</v>
      </c>
      <c r="F4555" s="7">
        <v>45838.25424971494</v>
      </c>
      <c r="G4555" s="3" t="s">
        <v>14048</v>
      </c>
    </row>
    <row r="4556">
      <c r="A4556" s="3" t="s">
        <v>14049</v>
      </c>
      <c r="B4556" s="3" t="s">
        <v>4499</v>
      </c>
      <c r="C4556" s="5" t="s">
        <v>45</v>
      </c>
      <c r="D4556" s="3" t="s">
        <v>221</v>
      </c>
      <c r="E4556" s="3" t="s">
        <v>505</v>
      </c>
      <c r="F4556" s="7">
        <v>45838.315007893696</v>
      </c>
      <c r="G4556" s="3" t="s">
        <v>14051</v>
      </c>
    </row>
    <row r="4557">
      <c r="A4557" s="3" t="s">
        <v>14052</v>
      </c>
      <c r="B4557" s="3" t="s">
        <v>4499</v>
      </c>
      <c r="C4557" s="5" t="s">
        <v>221</v>
      </c>
      <c r="D4557" s="3" t="s">
        <v>614</v>
      </c>
      <c r="E4557" s="3" t="s">
        <v>118</v>
      </c>
      <c r="F4557" s="7">
        <v>45838.318480115915</v>
      </c>
      <c r="G4557" s="3" t="s">
        <v>14054</v>
      </c>
    </row>
    <row r="4558">
      <c r="A4558" s="3" t="s">
        <v>14055</v>
      </c>
      <c r="B4558" s="3" t="s">
        <v>4499</v>
      </c>
      <c r="C4558" s="5" t="s">
        <v>614</v>
      </c>
      <c r="D4558" s="3" t="s">
        <v>206</v>
      </c>
      <c r="E4558" s="3" t="s">
        <v>100</v>
      </c>
      <c r="F4558" s="7">
        <v>45838.32195233814</v>
      </c>
      <c r="G4558" s="3" t="s">
        <v>14056</v>
      </c>
    </row>
    <row r="4559">
      <c r="A4559" s="3" t="s">
        <v>14058</v>
      </c>
      <c r="B4559" s="3" t="s">
        <v>4499</v>
      </c>
      <c r="C4559" s="5" t="s">
        <v>206</v>
      </c>
      <c r="D4559" s="3" t="s">
        <v>68</v>
      </c>
      <c r="E4559" s="3" t="s">
        <v>100</v>
      </c>
      <c r="F4559" s="7">
        <v>45838.32542456036</v>
      </c>
      <c r="G4559" s="3" t="s">
        <v>14059</v>
      </c>
    </row>
    <row r="4560">
      <c r="A4560" s="3" t="s">
        <v>14060</v>
      </c>
      <c r="B4560" s="3" t="s">
        <v>4502</v>
      </c>
      <c r="C4560" s="5" t="s">
        <v>45</v>
      </c>
      <c r="D4560" s="3" t="s">
        <v>221</v>
      </c>
      <c r="E4560" s="3" t="s">
        <v>587</v>
      </c>
      <c r="F4560" s="7">
        <v>45838.386182739116</v>
      </c>
      <c r="G4560" s="3" t="s">
        <v>14062</v>
      </c>
    </row>
    <row r="4561">
      <c r="A4561" s="3" t="s">
        <v>14063</v>
      </c>
      <c r="B4561" s="3" t="s">
        <v>4502</v>
      </c>
      <c r="C4561" s="5" t="s">
        <v>221</v>
      </c>
      <c r="D4561" s="3" t="s">
        <v>614</v>
      </c>
      <c r="E4561" s="3" t="s">
        <v>118</v>
      </c>
      <c r="F4561" s="7">
        <v>45838.389654961335</v>
      </c>
      <c r="G4561" s="3" t="s">
        <v>14065</v>
      </c>
    </row>
    <row r="4562">
      <c r="A4562" s="3" t="s">
        <v>14066</v>
      </c>
      <c r="B4562" s="3" t="s">
        <v>4502</v>
      </c>
      <c r="C4562" s="5" t="s">
        <v>614</v>
      </c>
      <c r="D4562" s="3" t="s">
        <v>206</v>
      </c>
      <c r="E4562" s="3" t="s">
        <v>100</v>
      </c>
      <c r="F4562" s="7">
        <v>45838.39312718356</v>
      </c>
      <c r="G4562" s="3" t="s">
        <v>14068</v>
      </c>
    </row>
    <row r="4563">
      <c r="A4563" s="3" t="s">
        <v>14069</v>
      </c>
      <c r="B4563" s="3" t="s">
        <v>4502</v>
      </c>
      <c r="C4563" s="5" t="s">
        <v>206</v>
      </c>
      <c r="D4563" s="3" t="s">
        <v>68</v>
      </c>
      <c r="E4563" s="3" t="s">
        <v>100</v>
      </c>
      <c r="F4563" s="7">
        <v>45838.39659940578</v>
      </c>
      <c r="G4563" s="3" t="s">
        <v>14070</v>
      </c>
    </row>
    <row r="4564">
      <c r="A4564" s="3" t="s">
        <v>14071</v>
      </c>
      <c r="B4564" s="3" t="s">
        <v>4505</v>
      </c>
      <c r="C4564" s="5" t="s">
        <v>45</v>
      </c>
      <c r="D4564" s="3" t="s">
        <v>221</v>
      </c>
      <c r="E4564" s="3" t="s">
        <v>767</v>
      </c>
      <c r="F4564" s="7">
        <v>45838.45735758452</v>
      </c>
      <c r="G4564" s="3" t="s">
        <v>14073</v>
      </c>
    </row>
    <row r="4565">
      <c r="A4565" s="3" t="s">
        <v>14074</v>
      </c>
      <c r="B4565" s="3" t="s">
        <v>4505</v>
      </c>
      <c r="C4565" s="5" t="s">
        <v>221</v>
      </c>
      <c r="D4565" s="3" t="s">
        <v>614</v>
      </c>
      <c r="E4565" s="3" t="s">
        <v>118</v>
      </c>
      <c r="F4565" s="7">
        <v>45838.46082980674</v>
      </c>
      <c r="G4565" s="3" t="s">
        <v>14076</v>
      </c>
    </row>
    <row r="4566">
      <c r="A4566" s="3" t="s">
        <v>14077</v>
      </c>
      <c r="B4566" s="3" t="s">
        <v>4505</v>
      </c>
      <c r="C4566" s="5" t="s">
        <v>614</v>
      </c>
      <c r="D4566" s="3" t="s">
        <v>206</v>
      </c>
      <c r="E4566" s="3" t="s">
        <v>100</v>
      </c>
      <c r="F4566" s="7">
        <v>45838.464302028966</v>
      </c>
      <c r="G4566" s="3" t="s">
        <v>14079</v>
      </c>
    </row>
    <row r="4567">
      <c r="A4567" s="3" t="s">
        <v>14080</v>
      </c>
      <c r="B4567" s="3" t="s">
        <v>4505</v>
      </c>
      <c r="C4567" s="5" t="s">
        <v>206</v>
      </c>
      <c r="D4567" s="3" t="s">
        <v>68</v>
      </c>
      <c r="E4567" s="3" t="s">
        <v>100</v>
      </c>
      <c r="F4567" s="7">
        <v>45838.467774251185</v>
      </c>
      <c r="G4567" s="3" t="s">
        <v>14082</v>
      </c>
    </row>
    <row r="4568">
      <c r="A4568" s="3" t="s">
        <v>14083</v>
      </c>
      <c r="B4568" s="3" t="s">
        <v>4508</v>
      </c>
      <c r="C4568" s="5" t="s">
        <v>45</v>
      </c>
      <c r="D4568" s="3" t="s">
        <v>221</v>
      </c>
      <c r="E4568" s="3" t="s">
        <v>1028</v>
      </c>
      <c r="F4568" s="7">
        <v>45838.52853242994</v>
      </c>
      <c r="G4568" s="3" t="s">
        <v>14085</v>
      </c>
    </row>
    <row r="4569">
      <c r="A4569" s="3" t="s">
        <v>14086</v>
      </c>
      <c r="B4569" s="3" t="s">
        <v>4508</v>
      </c>
      <c r="C4569" s="5" t="s">
        <v>221</v>
      </c>
      <c r="D4569" s="3" t="s">
        <v>614</v>
      </c>
      <c r="E4569" s="3" t="s">
        <v>118</v>
      </c>
      <c r="F4569" s="7">
        <v>45838.53200465216</v>
      </c>
      <c r="G4569" s="3" t="s">
        <v>14087</v>
      </c>
    </row>
    <row r="4570">
      <c r="A4570" s="3" t="s">
        <v>14089</v>
      </c>
      <c r="B4570" s="3" t="s">
        <v>4508</v>
      </c>
      <c r="C4570" s="5" t="s">
        <v>614</v>
      </c>
      <c r="D4570" s="3" t="s">
        <v>206</v>
      </c>
      <c r="E4570" s="3" t="s">
        <v>100</v>
      </c>
      <c r="F4570" s="7">
        <v>45838.535476874385</v>
      </c>
      <c r="G4570" s="3" t="s">
        <v>14090</v>
      </c>
    </row>
    <row r="4571">
      <c r="A4571" s="3" t="s">
        <v>14091</v>
      </c>
      <c r="B4571" s="3" t="s">
        <v>4508</v>
      </c>
      <c r="C4571" s="5" t="s">
        <v>206</v>
      </c>
      <c r="D4571" s="3" t="s">
        <v>68</v>
      </c>
      <c r="E4571" s="3" t="s">
        <v>100</v>
      </c>
      <c r="F4571" s="7">
        <v>45838.538949096604</v>
      </c>
      <c r="G4571" s="3" t="s">
        <v>14093</v>
      </c>
    </row>
    <row r="4572">
      <c r="A4572" s="3" t="s">
        <v>14094</v>
      </c>
      <c r="B4572" s="3" t="s">
        <v>4511</v>
      </c>
      <c r="C4572" s="5" t="s">
        <v>45</v>
      </c>
      <c r="D4572" s="3" t="s">
        <v>221</v>
      </c>
      <c r="E4572" s="3" t="s">
        <v>947</v>
      </c>
      <c r="F4572" s="7">
        <v>45838.59970727536</v>
      </c>
      <c r="G4572" s="3" t="s">
        <v>14096</v>
      </c>
    </row>
    <row r="4573">
      <c r="A4573" s="3" t="s">
        <v>14097</v>
      </c>
      <c r="B4573" s="3" t="s">
        <v>4511</v>
      </c>
      <c r="C4573" s="5" t="s">
        <v>221</v>
      </c>
      <c r="D4573" s="3" t="s">
        <v>614</v>
      </c>
      <c r="E4573" s="3" t="s">
        <v>118</v>
      </c>
      <c r="F4573" s="7">
        <v>45838.60317949758</v>
      </c>
      <c r="G4573" s="3" t="s">
        <v>14099</v>
      </c>
    </row>
    <row r="4574">
      <c r="A4574" s="3" t="s">
        <v>14100</v>
      </c>
      <c r="B4574" s="3" t="s">
        <v>4511</v>
      </c>
      <c r="C4574" s="5" t="s">
        <v>614</v>
      </c>
      <c r="D4574" s="3" t="s">
        <v>206</v>
      </c>
      <c r="E4574" s="3" t="s">
        <v>100</v>
      </c>
      <c r="F4574" s="7">
        <v>45838.606651719805</v>
      </c>
      <c r="G4574" s="3" t="s">
        <v>14101</v>
      </c>
    </row>
    <row r="4575">
      <c r="A4575" s="3" t="s">
        <v>14103</v>
      </c>
      <c r="B4575" s="3" t="s">
        <v>4511</v>
      </c>
      <c r="C4575" s="5" t="s">
        <v>206</v>
      </c>
      <c r="D4575" s="3" t="s">
        <v>68</v>
      </c>
      <c r="E4575" s="3" t="s">
        <v>100</v>
      </c>
      <c r="F4575" s="7">
        <v>45838.610123942024</v>
      </c>
      <c r="G4575" s="3" t="s">
        <v>14104</v>
      </c>
    </row>
    <row r="4576">
      <c r="A4576" s="3" t="s">
        <v>14105</v>
      </c>
      <c r="B4576" s="3" t="s">
        <v>4514</v>
      </c>
      <c r="C4576" s="5" t="s">
        <v>45</v>
      </c>
      <c r="D4576" s="3" t="s">
        <v>221</v>
      </c>
      <c r="E4576" s="3" t="s">
        <v>165</v>
      </c>
      <c r="F4576" s="7">
        <v>45838.67088212077</v>
      </c>
      <c r="G4576" s="3" t="s">
        <v>14107</v>
      </c>
    </row>
    <row r="4577">
      <c r="A4577" s="3" t="s">
        <v>14108</v>
      </c>
      <c r="B4577" s="3" t="s">
        <v>4514</v>
      </c>
      <c r="C4577" s="5" t="s">
        <v>221</v>
      </c>
      <c r="D4577" s="3" t="s">
        <v>614</v>
      </c>
      <c r="E4577" s="3" t="s">
        <v>118</v>
      </c>
      <c r="F4577" s="7">
        <v>45838.67435434299</v>
      </c>
      <c r="G4577" s="3" t="s">
        <v>14110</v>
      </c>
    </row>
    <row r="4578">
      <c r="A4578" s="3" t="s">
        <v>14111</v>
      </c>
      <c r="B4578" s="3" t="s">
        <v>4514</v>
      </c>
      <c r="C4578" s="5" t="s">
        <v>614</v>
      </c>
      <c r="D4578" s="3" t="s">
        <v>206</v>
      </c>
      <c r="E4578" s="3" t="s">
        <v>100</v>
      </c>
      <c r="F4578" s="7">
        <v>45838.67782656522</v>
      </c>
      <c r="G4578" s="3" t="s">
        <v>14112</v>
      </c>
    </row>
    <row r="4579">
      <c r="A4579" s="3" t="s">
        <v>14114</v>
      </c>
      <c r="B4579" s="3" t="s">
        <v>4514</v>
      </c>
      <c r="C4579" s="5" t="s">
        <v>206</v>
      </c>
      <c r="D4579" s="3" t="s">
        <v>68</v>
      </c>
      <c r="E4579" s="3" t="s">
        <v>100</v>
      </c>
      <c r="F4579" s="7">
        <v>45838.68129878744</v>
      </c>
      <c r="G4579" s="3" t="s">
        <v>14115</v>
      </c>
    </row>
    <row r="4580">
      <c r="A4580" s="3" t="s">
        <v>14116</v>
      </c>
      <c r="B4580" s="3" t="s">
        <v>4517</v>
      </c>
      <c r="C4580" s="5" t="s">
        <v>45</v>
      </c>
      <c r="D4580" s="3" t="s">
        <v>221</v>
      </c>
      <c r="E4580" s="3" t="s">
        <v>704</v>
      </c>
      <c r="F4580" s="7">
        <v>45838.742056966184</v>
      </c>
      <c r="G4580" s="3" t="s">
        <v>9343</v>
      </c>
    </row>
    <row r="4581">
      <c r="A4581" s="3" t="s">
        <v>14118</v>
      </c>
      <c r="B4581" s="3" t="s">
        <v>4517</v>
      </c>
      <c r="C4581" s="5" t="s">
        <v>221</v>
      </c>
      <c r="D4581" s="3" t="s">
        <v>614</v>
      </c>
      <c r="E4581" s="3" t="s">
        <v>118</v>
      </c>
      <c r="F4581" s="7">
        <v>45838.7455291884</v>
      </c>
      <c r="G4581" s="3" t="s">
        <v>9346</v>
      </c>
    </row>
    <row r="4582">
      <c r="A4582" s="3" t="s">
        <v>14120</v>
      </c>
      <c r="B4582" s="3" t="s">
        <v>4517</v>
      </c>
      <c r="C4582" s="5" t="s">
        <v>614</v>
      </c>
      <c r="D4582" s="3" t="s">
        <v>206</v>
      </c>
      <c r="E4582" s="3" t="s">
        <v>100</v>
      </c>
      <c r="F4582" s="7">
        <v>45838.74900141063</v>
      </c>
      <c r="G4582" s="3" t="s">
        <v>9349</v>
      </c>
    </row>
    <row r="4583">
      <c r="A4583" s="3" t="s">
        <v>14122</v>
      </c>
      <c r="B4583" s="3" t="s">
        <v>4517</v>
      </c>
      <c r="C4583" s="5" t="s">
        <v>206</v>
      </c>
      <c r="D4583" s="3" t="s">
        <v>68</v>
      </c>
      <c r="E4583" s="3" t="s">
        <v>100</v>
      </c>
      <c r="F4583" s="7">
        <v>45838.75247363285</v>
      </c>
      <c r="G4583" s="3" t="s">
        <v>9352</v>
      </c>
    </row>
    <row r="4584">
      <c r="A4584" s="3" t="s">
        <v>14124</v>
      </c>
      <c r="B4584" s="3" t="s">
        <v>4519</v>
      </c>
      <c r="C4584" s="5" t="s">
        <v>45</v>
      </c>
      <c r="D4584" s="3" t="s">
        <v>221</v>
      </c>
      <c r="E4584" s="3" t="s">
        <v>895</v>
      </c>
      <c r="F4584" s="7">
        <v>45838.813231811604</v>
      </c>
      <c r="G4584" s="3" t="s">
        <v>14125</v>
      </c>
    </row>
    <row r="4585">
      <c r="A4585" s="3" t="s">
        <v>14127</v>
      </c>
      <c r="B4585" s="3" t="s">
        <v>4519</v>
      </c>
      <c r="C4585" s="5" t="s">
        <v>221</v>
      </c>
      <c r="D4585" s="3" t="s">
        <v>614</v>
      </c>
      <c r="E4585" s="3" t="s">
        <v>118</v>
      </c>
      <c r="F4585" s="7">
        <v>45838.81670403382</v>
      </c>
      <c r="G4585" s="3" t="s">
        <v>14128</v>
      </c>
    </row>
    <row r="4586">
      <c r="A4586" s="3" t="s">
        <v>14129</v>
      </c>
      <c r="B4586" s="3" t="s">
        <v>4519</v>
      </c>
      <c r="C4586" s="5" t="s">
        <v>614</v>
      </c>
      <c r="D4586" s="3" t="s">
        <v>206</v>
      </c>
      <c r="E4586" s="3" t="s">
        <v>100</v>
      </c>
      <c r="F4586" s="7">
        <v>45838.82017625605</v>
      </c>
      <c r="G4586" s="3" t="s">
        <v>14131</v>
      </c>
    </row>
    <row r="4587">
      <c r="A4587" s="3" t="s">
        <v>14132</v>
      </c>
      <c r="B4587" s="3" t="s">
        <v>4519</v>
      </c>
      <c r="C4587" s="5" t="s">
        <v>206</v>
      </c>
      <c r="D4587" s="3" t="s">
        <v>68</v>
      </c>
      <c r="E4587" s="3" t="s">
        <v>100</v>
      </c>
      <c r="F4587" s="7">
        <v>45838.82364847827</v>
      </c>
      <c r="G4587" s="3" t="s">
        <v>14134</v>
      </c>
    </row>
    <row r="4588">
      <c r="A4588" s="3" t="s">
        <v>14135</v>
      </c>
      <c r="B4588" s="3" t="s">
        <v>4523</v>
      </c>
      <c r="C4588" s="5" t="s">
        <v>45</v>
      </c>
      <c r="D4588" s="3" t="s">
        <v>221</v>
      </c>
      <c r="E4588" s="3" t="s">
        <v>535</v>
      </c>
      <c r="F4588" s="7">
        <v>45838.88440665702</v>
      </c>
      <c r="G4588" s="3" t="s">
        <v>14137</v>
      </c>
    </row>
    <row r="4589">
      <c r="A4589" s="3" t="s">
        <v>14138</v>
      </c>
      <c r="B4589" s="3" t="s">
        <v>4523</v>
      </c>
      <c r="C4589" s="5" t="s">
        <v>221</v>
      </c>
      <c r="D4589" s="3" t="s">
        <v>614</v>
      </c>
      <c r="E4589" s="3" t="s">
        <v>118</v>
      </c>
      <c r="F4589" s="7">
        <v>45838.887878879235</v>
      </c>
      <c r="G4589" s="3" t="s">
        <v>14139</v>
      </c>
    </row>
    <row r="4590">
      <c r="A4590" s="3" t="s">
        <v>14141</v>
      </c>
      <c r="B4590" s="3" t="s">
        <v>4523</v>
      </c>
      <c r="C4590" s="5" t="s">
        <v>614</v>
      </c>
      <c r="D4590" s="3" t="s">
        <v>206</v>
      </c>
      <c r="E4590" s="3" t="s">
        <v>100</v>
      </c>
      <c r="F4590" s="7">
        <v>45838.89135110146</v>
      </c>
      <c r="G4590" s="3" t="s">
        <v>14142</v>
      </c>
    </row>
    <row r="4591">
      <c r="A4591" s="3" t="s">
        <v>14143</v>
      </c>
      <c r="B4591" s="3" t="s">
        <v>4523</v>
      </c>
      <c r="C4591" s="5" t="s">
        <v>206</v>
      </c>
      <c r="D4591" s="3" t="s">
        <v>68</v>
      </c>
      <c r="E4591" s="3" t="s">
        <v>100</v>
      </c>
      <c r="F4591" s="7">
        <v>45838.89482332368</v>
      </c>
      <c r="G4591" s="3" t="s">
        <v>14145</v>
      </c>
    </row>
    <row r="4592">
      <c r="A4592" s="3" t="s">
        <v>14146</v>
      </c>
      <c r="B4592" s="3" t="s">
        <v>4526</v>
      </c>
      <c r="C4592" s="5" t="s">
        <v>45</v>
      </c>
      <c r="D4592" s="3" t="s">
        <v>221</v>
      </c>
      <c r="E4592" s="3" t="s">
        <v>694</v>
      </c>
      <c r="F4592" s="7">
        <v>45838.95558150243</v>
      </c>
      <c r="G4592" s="3" t="s">
        <v>14148</v>
      </c>
    </row>
    <row r="4593">
      <c r="A4593" s="3" t="s">
        <v>14149</v>
      </c>
      <c r="B4593" s="3" t="s">
        <v>4526</v>
      </c>
      <c r="C4593" s="5" t="s">
        <v>221</v>
      </c>
      <c r="D4593" s="3" t="s">
        <v>614</v>
      </c>
      <c r="E4593" s="3" t="s">
        <v>118</v>
      </c>
      <c r="F4593" s="7">
        <v>45838.95905372465</v>
      </c>
      <c r="G4593" s="3" t="s">
        <v>14150</v>
      </c>
    </row>
    <row r="4594">
      <c r="A4594" s="3" t="s">
        <v>14152</v>
      </c>
      <c r="B4594" s="3" t="s">
        <v>4526</v>
      </c>
      <c r="C4594" s="5" t="s">
        <v>614</v>
      </c>
      <c r="D4594" s="3" t="s">
        <v>206</v>
      </c>
      <c r="E4594" s="3" t="s">
        <v>100</v>
      </c>
      <c r="F4594" s="7">
        <v>45838.962525946874</v>
      </c>
      <c r="G4594" s="3" t="s">
        <v>14153</v>
      </c>
    </row>
    <row r="4595">
      <c r="A4595" s="3" t="s">
        <v>14154</v>
      </c>
      <c r="B4595" s="3" t="s">
        <v>4526</v>
      </c>
      <c r="C4595" s="5" t="s">
        <v>206</v>
      </c>
      <c r="D4595" s="3" t="s">
        <v>68</v>
      </c>
      <c r="E4595" s="3" t="s">
        <v>100</v>
      </c>
      <c r="F4595" s="7">
        <v>45838.96599816909</v>
      </c>
      <c r="G4595" s="3" t="s">
        <v>14156</v>
      </c>
    </row>
    <row r="4596">
      <c r="A4596" s="3" t="s">
        <v>14157</v>
      </c>
      <c r="B4596" s="3" t="s">
        <v>4529</v>
      </c>
      <c r="C4596" s="5" t="s">
        <v>45</v>
      </c>
      <c r="D4596" s="3" t="s">
        <v>221</v>
      </c>
      <c r="E4596" s="3" t="s">
        <v>976</v>
      </c>
      <c r="F4596" s="7">
        <v>45839.02675634785</v>
      </c>
      <c r="G4596" s="3" t="s">
        <v>14158</v>
      </c>
    </row>
    <row r="4597">
      <c r="A4597" s="3" t="s">
        <v>14160</v>
      </c>
      <c r="B4597" s="3" t="s">
        <v>4529</v>
      </c>
      <c r="C4597" s="5" t="s">
        <v>221</v>
      </c>
      <c r="D4597" s="3" t="s">
        <v>614</v>
      </c>
      <c r="E4597" s="3" t="s">
        <v>118</v>
      </c>
      <c r="F4597" s="7">
        <v>45839.03022857007</v>
      </c>
      <c r="G4597" s="3" t="s">
        <v>14161</v>
      </c>
    </row>
    <row r="4598">
      <c r="A4598" s="3" t="s">
        <v>14163</v>
      </c>
      <c r="B4598" s="3" t="s">
        <v>4529</v>
      </c>
      <c r="C4598" s="5" t="s">
        <v>614</v>
      </c>
      <c r="D4598" s="3" t="s">
        <v>206</v>
      </c>
      <c r="E4598" s="3" t="s">
        <v>100</v>
      </c>
      <c r="F4598" s="7">
        <v>45839.03370079229</v>
      </c>
      <c r="G4598" s="3" t="s">
        <v>14164</v>
      </c>
    </row>
    <row r="4599">
      <c r="A4599" s="3" t="s">
        <v>14166</v>
      </c>
      <c r="B4599" s="3" t="s">
        <v>4529</v>
      </c>
      <c r="C4599" s="5" t="s">
        <v>206</v>
      </c>
      <c r="D4599" s="3" t="s">
        <v>68</v>
      </c>
      <c r="E4599" s="3" t="s">
        <v>100</v>
      </c>
      <c r="F4599" s="7">
        <v>45839.03717301451</v>
      </c>
      <c r="G4599" s="3" t="s">
        <v>14167</v>
      </c>
    </row>
    <row r="4600">
      <c r="A4600" s="3" t="s">
        <v>14168</v>
      </c>
      <c r="B4600" s="3" t="s">
        <v>4532</v>
      </c>
      <c r="C4600" s="5" t="s">
        <v>45</v>
      </c>
      <c r="D4600" s="3" t="s">
        <v>221</v>
      </c>
      <c r="E4600" s="3" t="s">
        <v>682</v>
      </c>
      <c r="F4600" s="7">
        <v>45839.09793119326</v>
      </c>
      <c r="G4600" s="3" t="s">
        <v>10173</v>
      </c>
    </row>
    <row r="4601">
      <c r="A4601" s="3" t="s">
        <v>14170</v>
      </c>
      <c r="B4601" s="3" t="s">
        <v>4532</v>
      </c>
      <c r="C4601" s="5" t="s">
        <v>221</v>
      </c>
      <c r="D4601" s="3" t="s">
        <v>614</v>
      </c>
      <c r="E4601" s="3" t="s">
        <v>118</v>
      </c>
      <c r="F4601" s="7">
        <v>45839.10140341548</v>
      </c>
      <c r="G4601" s="3" t="s">
        <v>14172</v>
      </c>
    </row>
    <row r="4602">
      <c r="A4602" s="3" t="s">
        <v>14173</v>
      </c>
      <c r="B4602" s="3" t="s">
        <v>4532</v>
      </c>
      <c r="C4602" s="5" t="s">
        <v>614</v>
      </c>
      <c r="D4602" s="3" t="s">
        <v>206</v>
      </c>
      <c r="E4602" s="3" t="s">
        <v>100</v>
      </c>
      <c r="F4602" s="7">
        <v>45839.104875637706</v>
      </c>
      <c r="G4602" s="3" t="s">
        <v>14175</v>
      </c>
    </row>
    <row r="4603">
      <c r="A4603" s="3" t="s">
        <v>14176</v>
      </c>
      <c r="B4603" s="3" t="s">
        <v>4532</v>
      </c>
      <c r="C4603" s="5" t="s">
        <v>206</v>
      </c>
      <c r="D4603" s="3" t="s">
        <v>68</v>
      </c>
      <c r="E4603" s="3" t="s">
        <v>100</v>
      </c>
      <c r="F4603" s="7">
        <v>45839.108347859925</v>
      </c>
      <c r="G4603" s="3" t="s">
        <v>14178</v>
      </c>
    </row>
    <row r="4604">
      <c r="A4604" s="3" t="s">
        <v>14179</v>
      </c>
      <c r="B4604" s="3" t="s">
        <v>4535</v>
      </c>
      <c r="C4604" s="5" t="s">
        <v>45</v>
      </c>
      <c r="D4604" s="3" t="s">
        <v>221</v>
      </c>
      <c r="E4604" s="3" t="s">
        <v>669</v>
      </c>
      <c r="F4604" s="7">
        <v>45839.16910603867</v>
      </c>
      <c r="G4604" s="3" t="s">
        <v>14181</v>
      </c>
    </row>
    <row r="4605">
      <c r="A4605" s="3" t="s">
        <v>14182</v>
      </c>
      <c r="B4605" s="3" t="s">
        <v>4535</v>
      </c>
      <c r="C4605" s="5" t="s">
        <v>221</v>
      </c>
      <c r="D4605" s="3" t="s">
        <v>614</v>
      </c>
      <c r="E4605" s="3" t="s">
        <v>118</v>
      </c>
      <c r="F4605" s="7">
        <v>45839.17257826089</v>
      </c>
      <c r="G4605" s="3" t="s">
        <v>14183</v>
      </c>
    </row>
    <row r="4606">
      <c r="A4606" s="3" t="s">
        <v>14184</v>
      </c>
      <c r="B4606" s="3" t="s">
        <v>4535</v>
      </c>
      <c r="C4606" s="5" t="s">
        <v>614</v>
      </c>
      <c r="D4606" s="3" t="s">
        <v>206</v>
      </c>
      <c r="E4606" s="3" t="s">
        <v>100</v>
      </c>
      <c r="F4606" s="7">
        <v>45839.17605048312</v>
      </c>
      <c r="G4606" s="3" t="s">
        <v>14186</v>
      </c>
    </row>
    <row r="4607">
      <c r="A4607" s="3" t="s">
        <v>14187</v>
      </c>
      <c r="B4607" s="3" t="s">
        <v>4535</v>
      </c>
      <c r="C4607" s="5" t="s">
        <v>206</v>
      </c>
      <c r="D4607" s="3" t="s">
        <v>68</v>
      </c>
      <c r="E4607" s="3" t="s">
        <v>100</v>
      </c>
      <c r="F4607" s="7">
        <v>45839.17952270534</v>
      </c>
      <c r="G4607" s="3" t="s">
        <v>14189</v>
      </c>
    </row>
    <row r="4608">
      <c r="A4608" s="3" t="s">
        <v>14190</v>
      </c>
      <c r="B4608" s="3" t="s">
        <v>4538</v>
      </c>
      <c r="C4608" s="5" t="s">
        <v>45</v>
      </c>
      <c r="D4608" s="3" t="s">
        <v>221</v>
      </c>
      <c r="E4608" s="3" t="s">
        <v>544</v>
      </c>
      <c r="F4608" s="7">
        <v>45839.24028088409</v>
      </c>
      <c r="G4608" s="3" t="s">
        <v>14192</v>
      </c>
    </row>
    <row r="4609">
      <c r="A4609" s="3" t="s">
        <v>14193</v>
      </c>
      <c r="B4609" s="3" t="s">
        <v>4538</v>
      </c>
      <c r="C4609" s="5" t="s">
        <v>221</v>
      </c>
      <c r="D4609" s="3" t="s">
        <v>614</v>
      </c>
      <c r="E4609" s="3" t="s">
        <v>118</v>
      </c>
      <c r="F4609" s="7">
        <v>45839.24375310631</v>
      </c>
      <c r="G4609" s="3" t="s">
        <v>14194</v>
      </c>
    </row>
    <row r="4610">
      <c r="A4610" s="3" t="s">
        <v>14196</v>
      </c>
      <c r="B4610" s="3" t="s">
        <v>4538</v>
      </c>
      <c r="C4610" s="5" t="s">
        <v>614</v>
      </c>
      <c r="D4610" s="3" t="s">
        <v>206</v>
      </c>
      <c r="E4610" s="3" t="s">
        <v>100</v>
      </c>
      <c r="F4610" s="7">
        <v>45839.24722532854</v>
      </c>
      <c r="G4610" s="3" t="s">
        <v>14197</v>
      </c>
    </row>
    <row r="4611">
      <c r="A4611" s="3" t="s">
        <v>14198</v>
      </c>
      <c r="B4611" s="3" t="s">
        <v>4538</v>
      </c>
      <c r="C4611" s="5" t="s">
        <v>206</v>
      </c>
      <c r="D4611" s="3" t="s">
        <v>68</v>
      </c>
      <c r="E4611" s="3" t="s">
        <v>100</v>
      </c>
      <c r="F4611" s="7">
        <v>45839.25069755076</v>
      </c>
      <c r="G4611" s="3" t="s">
        <v>14200</v>
      </c>
    </row>
    <row r="4612">
      <c r="A4612" s="3" t="s">
        <v>14201</v>
      </c>
      <c r="B4612" s="3" t="s">
        <v>4541</v>
      </c>
      <c r="C4612" s="5" t="s">
        <v>45</v>
      </c>
      <c r="D4612" s="3" t="s">
        <v>221</v>
      </c>
      <c r="E4612" s="3" t="s">
        <v>752</v>
      </c>
      <c r="F4612" s="7">
        <v>45839.311455729505</v>
      </c>
      <c r="G4612" s="3" t="s">
        <v>2770</v>
      </c>
    </row>
    <row r="4613">
      <c r="A4613" s="3" t="s">
        <v>14203</v>
      </c>
      <c r="B4613" s="3" t="s">
        <v>4541</v>
      </c>
      <c r="C4613" s="5" t="s">
        <v>221</v>
      </c>
      <c r="D4613" s="3" t="s">
        <v>181</v>
      </c>
      <c r="E4613" s="3" t="s">
        <v>118</v>
      </c>
      <c r="F4613" s="7">
        <v>45839.314927951724</v>
      </c>
      <c r="G4613" s="3" t="s">
        <v>2774</v>
      </c>
    </row>
    <row r="4614">
      <c r="A4614" s="3" t="s">
        <v>14205</v>
      </c>
      <c r="B4614" s="3" t="s">
        <v>4544</v>
      </c>
      <c r="C4614" s="5" t="s">
        <v>45</v>
      </c>
      <c r="D4614" s="3" t="s">
        <v>221</v>
      </c>
      <c r="E4614" s="3" t="s">
        <v>685</v>
      </c>
      <c r="F4614" s="7">
        <v>45839.382630574924</v>
      </c>
      <c r="G4614" s="3" t="s">
        <v>5019</v>
      </c>
    </row>
    <row r="4615">
      <c r="A4615" s="3" t="s">
        <v>14207</v>
      </c>
      <c r="B4615" s="3" t="s">
        <v>4544</v>
      </c>
      <c r="C4615" s="5" t="s">
        <v>221</v>
      </c>
      <c r="D4615" s="3" t="s">
        <v>614</v>
      </c>
      <c r="E4615" s="3" t="s">
        <v>118</v>
      </c>
      <c r="F4615" s="7">
        <v>45839.38610279714</v>
      </c>
      <c r="G4615" s="3" t="s">
        <v>5022</v>
      </c>
    </row>
    <row r="4616">
      <c r="A4616" s="3" t="s">
        <v>14209</v>
      </c>
      <c r="B4616" s="3" t="s">
        <v>4544</v>
      </c>
      <c r="C4616" s="5" t="s">
        <v>614</v>
      </c>
      <c r="D4616" s="3" t="s">
        <v>206</v>
      </c>
      <c r="E4616" s="3" t="s">
        <v>100</v>
      </c>
      <c r="F4616" s="7">
        <v>45839.38957501937</v>
      </c>
      <c r="G4616" s="3" t="s">
        <v>5025</v>
      </c>
    </row>
    <row r="4617">
      <c r="A4617" s="3" t="s">
        <v>14210</v>
      </c>
      <c r="B4617" s="3" t="s">
        <v>4544</v>
      </c>
      <c r="C4617" s="5" t="s">
        <v>206</v>
      </c>
      <c r="D4617" s="3" t="s">
        <v>68</v>
      </c>
      <c r="E4617" s="3" t="s">
        <v>100</v>
      </c>
      <c r="F4617" s="7">
        <v>45839.39304724159</v>
      </c>
      <c r="G4617" s="3" t="s">
        <v>5028</v>
      </c>
    </row>
    <row r="4618">
      <c r="A4618" s="3" t="s">
        <v>14212</v>
      </c>
      <c r="B4618" s="3" t="s">
        <v>4547</v>
      </c>
      <c r="C4618" s="5" t="s">
        <v>45</v>
      </c>
      <c r="D4618" s="3" t="s">
        <v>221</v>
      </c>
      <c r="E4618" s="3" t="s">
        <v>574</v>
      </c>
      <c r="F4618" s="7">
        <v>45839.45380542034</v>
      </c>
      <c r="G4618" s="3" t="s">
        <v>14214</v>
      </c>
    </row>
    <row r="4619">
      <c r="A4619" s="3" t="s">
        <v>14215</v>
      </c>
      <c r="B4619" s="3" t="s">
        <v>4547</v>
      </c>
      <c r="C4619" s="5" t="s">
        <v>221</v>
      </c>
      <c r="D4619" s="3" t="s">
        <v>614</v>
      </c>
      <c r="E4619" s="3" t="s">
        <v>118</v>
      </c>
      <c r="F4619" s="7">
        <v>45839.457277642556</v>
      </c>
      <c r="G4619" s="3" t="s">
        <v>14217</v>
      </c>
    </row>
    <row r="4620">
      <c r="A4620" s="3" t="s">
        <v>14218</v>
      </c>
      <c r="B4620" s="3" t="s">
        <v>4547</v>
      </c>
      <c r="C4620" s="5" t="s">
        <v>614</v>
      </c>
      <c r="D4620" s="3" t="s">
        <v>206</v>
      </c>
      <c r="E4620" s="3" t="s">
        <v>100</v>
      </c>
      <c r="F4620" s="7">
        <v>45839.46074986478</v>
      </c>
      <c r="G4620" s="3" t="s">
        <v>14220</v>
      </c>
    </row>
    <row r="4621">
      <c r="A4621" s="3" t="s">
        <v>14221</v>
      </c>
      <c r="B4621" s="3" t="s">
        <v>4547</v>
      </c>
      <c r="C4621" s="5" t="s">
        <v>206</v>
      </c>
      <c r="D4621" s="3" t="s">
        <v>68</v>
      </c>
      <c r="E4621" s="3" t="s">
        <v>100</v>
      </c>
      <c r="F4621" s="7">
        <v>45839.464222087</v>
      </c>
      <c r="G4621" s="3" t="s">
        <v>14222</v>
      </c>
    </row>
    <row r="4622">
      <c r="A4622" s="3" t="s">
        <v>14224</v>
      </c>
      <c r="B4622" s="3" t="s">
        <v>4550</v>
      </c>
      <c r="C4622" s="5" t="s">
        <v>45</v>
      </c>
      <c r="D4622" s="3" t="s">
        <v>221</v>
      </c>
      <c r="E4622" s="3" t="s">
        <v>189</v>
      </c>
      <c r="F4622" s="7">
        <v>45839.524980265756</v>
      </c>
      <c r="G4622" s="3" t="s">
        <v>14225</v>
      </c>
    </row>
    <row r="4623">
      <c r="A4623" s="3" t="s">
        <v>14227</v>
      </c>
      <c r="B4623" s="3" t="s">
        <v>4550</v>
      </c>
      <c r="C4623" s="5" t="s">
        <v>221</v>
      </c>
      <c r="D4623" s="3" t="s">
        <v>614</v>
      </c>
      <c r="E4623" s="3" t="s">
        <v>118</v>
      </c>
      <c r="F4623" s="7">
        <v>45839.528452487975</v>
      </c>
      <c r="G4623" s="3" t="s">
        <v>14228</v>
      </c>
    </row>
    <row r="4624">
      <c r="A4624" s="3" t="s">
        <v>14229</v>
      </c>
      <c r="B4624" s="3" t="s">
        <v>4550</v>
      </c>
      <c r="C4624" s="5" t="s">
        <v>614</v>
      </c>
      <c r="D4624" s="3" t="s">
        <v>206</v>
      </c>
      <c r="E4624" s="3" t="s">
        <v>100</v>
      </c>
      <c r="F4624" s="7">
        <v>45839.5319247102</v>
      </c>
      <c r="G4624" s="3" t="s">
        <v>14231</v>
      </c>
    </row>
    <row r="4625">
      <c r="A4625" s="3" t="s">
        <v>14232</v>
      </c>
      <c r="B4625" s="3" t="s">
        <v>4550</v>
      </c>
      <c r="C4625" s="5" t="s">
        <v>206</v>
      </c>
      <c r="D4625" s="3" t="s">
        <v>68</v>
      </c>
      <c r="E4625" s="3" t="s">
        <v>100</v>
      </c>
      <c r="F4625" s="7">
        <v>45839.53539693242</v>
      </c>
      <c r="G4625" s="3" t="s">
        <v>14234</v>
      </c>
    </row>
    <row r="4626">
      <c r="A4626" s="3" t="s">
        <v>14235</v>
      </c>
      <c r="B4626" s="3" t="s">
        <v>4553</v>
      </c>
      <c r="C4626" s="5" t="s">
        <v>45</v>
      </c>
      <c r="D4626" s="3" t="s">
        <v>221</v>
      </c>
      <c r="E4626" s="3" t="s">
        <v>224</v>
      </c>
      <c r="F4626" s="7">
        <v>45839.59615511116</v>
      </c>
      <c r="G4626" s="3" t="s">
        <v>7009</v>
      </c>
    </row>
    <row r="4627">
      <c r="A4627" s="3" t="s">
        <v>14236</v>
      </c>
      <c r="B4627" s="3" t="s">
        <v>4553</v>
      </c>
      <c r="C4627" s="5" t="s">
        <v>221</v>
      </c>
      <c r="D4627" s="3" t="s">
        <v>614</v>
      </c>
      <c r="E4627" s="3" t="s">
        <v>118</v>
      </c>
      <c r="F4627" s="7">
        <v>45839.59962733338</v>
      </c>
      <c r="G4627" s="3" t="s">
        <v>7012</v>
      </c>
    </row>
    <row r="4628">
      <c r="A4628" s="3" t="s">
        <v>14238</v>
      </c>
      <c r="B4628" s="3" t="s">
        <v>4553</v>
      </c>
      <c r="C4628" s="5" t="s">
        <v>614</v>
      </c>
      <c r="D4628" s="3" t="s">
        <v>206</v>
      </c>
      <c r="E4628" s="3" t="s">
        <v>100</v>
      </c>
      <c r="F4628" s="7">
        <v>45839.60309955561</v>
      </c>
      <c r="G4628" s="3" t="s">
        <v>7015</v>
      </c>
    </row>
    <row r="4629">
      <c r="A4629" s="3" t="s">
        <v>14240</v>
      </c>
      <c r="B4629" s="3" t="s">
        <v>4553</v>
      </c>
      <c r="C4629" s="5" t="s">
        <v>206</v>
      </c>
      <c r="D4629" s="3" t="s">
        <v>68</v>
      </c>
      <c r="E4629" s="3" t="s">
        <v>100</v>
      </c>
      <c r="F4629" s="7">
        <v>45839.606571777826</v>
      </c>
      <c r="G4629" s="3" t="s">
        <v>7018</v>
      </c>
    </row>
    <row r="4630">
      <c r="A4630" s="3" t="s">
        <v>14242</v>
      </c>
      <c r="B4630" s="3" t="s">
        <v>4558</v>
      </c>
      <c r="C4630" s="5" t="s">
        <v>45</v>
      </c>
      <c r="D4630" s="3" t="s">
        <v>221</v>
      </c>
      <c r="E4630" s="3" t="s">
        <v>272</v>
      </c>
      <c r="F4630" s="7">
        <v>45839.66732995658</v>
      </c>
      <c r="G4630" s="3" t="s">
        <v>14243</v>
      </c>
    </row>
    <row r="4631">
      <c r="A4631" s="3" t="s">
        <v>14244</v>
      </c>
      <c r="B4631" s="3" t="s">
        <v>4558</v>
      </c>
      <c r="C4631" s="5" t="s">
        <v>221</v>
      </c>
      <c r="D4631" s="3" t="s">
        <v>614</v>
      </c>
      <c r="E4631" s="3" t="s">
        <v>118</v>
      </c>
      <c r="F4631" s="7">
        <v>45839.6708021788</v>
      </c>
      <c r="G4631" s="3" t="s">
        <v>14246</v>
      </c>
    </row>
    <row r="4632">
      <c r="A4632" s="3" t="s">
        <v>14247</v>
      </c>
      <c r="B4632" s="3" t="s">
        <v>4558</v>
      </c>
      <c r="C4632" s="5" t="s">
        <v>614</v>
      </c>
      <c r="D4632" s="3" t="s">
        <v>206</v>
      </c>
      <c r="E4632" s="3" t="s">
        <v>100</v>
      </c>
      <c r="F4632" s="7">
        <v>45839.674274401026</v>
      </c>
      <c r="G4632" s="3" t="s">
        <v>14249</v>
      </c>
    </row>
    <row r="4633">
      <c r="A4633" s="3" t="s">
        <v>14250</v>
      </c>
      <c r="B4633" s="3" t="s">
        <v>4558</v>
      </c>
      <c r="C4633" s="5" t="s">
        <v>206</v>
      </c>
      <c r="D4633" s="3" t="s">
        <v>68</v>
      </c>
      <c r="E4633" s="3" t="s">
        <v>100</v>
      </c>
      <c r="F4633" s="7">
        <v>45839.677746623245</v>
      </c>
      <c r="G4633" s="3" t="s">
        <v>14252</v>
      </c>
    </row>
    <row r="4634">
      <c r="A4634" s="3" t="s">
        <v>14253</v>
      </c>
      <c r="B4634" s="3" t="s">
        <v>4561</v>
      </c>
      <c r="C4634" s="5" t="s">
        <v>45</v>
      </c>
      <c r="D4634" s="3" t="s">
        <v>221</v>
      </c>
      <c r="E4634" s="3" t="s">
        <v>751</v>
      </c>
      <c r="F4634" s="7">
        <v>45839.738504802</v>
      </c>
      <c r="G4634" s="3" t="s">
        <v>12301</v>
      </c>
    </row>
    <row r="4635">
      <c r="A4635" s="3" t="s">
        <v>14255</v>
      </c>
      <c r="B4635" s="3" t="s">
        <v>4561</v>
      </c>
      <c r="C4635" s="5" t="s">
        <v>221</v>
      </c>
      <c r="D4635" s="3" t="s">
        <v>614</v>
      </c>
      <c r="E4635" s="3" t="s">
        <v>118</v>
      </c>
      <c r="F4635" s="7">
        <v>45839.74197702422</v>
      </c>
      <c r="G4635" s="3" t="s">
        <v>12304</v>
      </c>
    </row>
    <row r="4636">
      <c r="A4636" s="3" t="s">
        <v>14256</v>
      </c>
      <c r="B4636" s="3" t="s">
        <v>4561</v>
      </c>
      <c r="C4636" s="5" t="s">
        <v>614</v>
      </c>
      <c r="D4636" s="3" t="s">
        <v>206</v>
      </c>
      <c r="E4636" s="3" t="s">
        <v>100</v>
      </c>
      <c r="F4636" s="7">
        <v>45839.745449246446</v>
      </c>
      <c r="G4636" s="3" t="s">
        <v>12307</v>
      </c>
    </row>
    <row r="4637">
      <c r="A4637" s="3" t="s">
        <v>14258</v>
      </c>
      <c r="B4637" s="3" t="s">
        <v>4561</v>
      </c>
      <c r="C4637" s="5" t="s">
        <v>206</v>
      </c>
      <c r="D4637" s="3" t="s">
        <v>68</v>
      </c>
      <c r="E4637" s="3" t="s">
        <v>100</v>
      </c>
      <c r="F4637" s="7">
        <v>45839.748921468665</v>
      </c>
      <c r="G4637" s="3" t="s">
        <v>12310</v>
      </c>
    </row>
    <row r="4638">
      <c r="A4638" s="3" t="s">
        <v>14260</v>
      </c>
      <c r="B4638" s="3" t="s">
        <v>4564</v>
      </c>
      <c r="C4638" s="5" t="s">
        <v>45</v>
      </c>
      <c r="D4638" s="3" t="s">
        <v>221</v>
      </c>
      <c r="E4638" s="3" t="s">
        <v>627</v>
      </c>
      <c r="F4638" s="7">
        <v>45839.80967964741</v>
      </c>
      <c r="G4638" s="3" t="s">
        <v>4460</v>
      </c>
    </row>
    <row r="4639">
      <c r="A4639" s="3" t="s">
        <v>14262</v>
      </c>
      <c r="B4639" s="3" t="s">
        <v>4564</v>
      </c>
      <c r="C4639" s="5" t="s">
        <v>221</v>
      </c>
      <c r="D4639" s="3" t="s">
        <v>614</v>
      </c>
      <c r="E4639" s="3" t="s">
        <v>118</v>
      </c>
      <c r="F4639" s="7">
        <v>45839.81315186963</v>
      </c>
      <c r="G4639" s="3" t="s">
        <v>4463</v>
      </c>
    </row>
    <row r="4640">
      <c r="A4640" s="3" t="s">
        <v>14263</v>
      </c>
      <c r="B4640" s="3" t="s">
        <v>4564</v>
      </c>
      <c r="C4640" s="5" t="s">
        <v>614</v>
      </c>
      <c r="D4640" s="3" t="s">
        <v>206</v>
      </c>
      <c r="E4640" s="3" t="s">
        <v>100</v>
      </c>
      <c r="F4640" s="7">
        <v>45839.81662409186</v>
      </c>
      <c r="G4640" s="3" t="s">
        <v>4466</v>
      </c>
    </row>
    <row r="4641">
      <c r="A4641" s="3" t="s">
        <v>14265</v>
      </c>
      <c r="B4641" s="3" t="s">
        <v>4564</v>
      </c>
      <c r="C4641" s="5" t="s">
        <v>206</v>
      </c>
      <c r="D4641" s="3" t="s">
        <v>68</v>
      </c>
      <c r="E4641" s="3" t="s">
        <v>100</v>
      </c>
      <c r="F4641" s="7">
        <v>45839.82009631408</v>
      </c>
      <c r="G4641" s="3" t="s">
        <v>4469</v>
      </c>
    </row>
    <row r="4642">
      <c r="A4642" s="3" t="s">
        <v>14267</v>
      </c>
      <c r="B4642" s="3" t="s">
        <v>4567</v>
      </c>
      <c r="C4642" s="5" t="s">
        <v>45</v>
      </c>
      <c r="D4642" s="3" t="s">
        <v>221</v>
      </c>
      <c r="E4642" s="3" t="s">
        <v>708</v>
      </c>
      <c r="F4642" s="7">
        <v>45839.880854492825</v>
      </c>
      <c r="G4642" s="3" t="s">
        <v>14269</v>
      </c>
    </row>
    <row r="4643">
      <c r="A4643" s="3" t="s">
        <v>14270</v>
      </c>
      <c r="B4643" s="3" t="s">
        <v>4567</v>
      </c>
      <c r="C4643" s="5" t="s">
        <v>221</v>
      </c>
      <c r="D4643" s="3" t="s">
        <v>614</v>
      </c>
      <c r="E4643" s="3" t="s">
        <v>118</v>
      </c>
      <c r="F4643" s="7">
        <v>45839.884326715044</v>
      </c>
      <c r="G4643" s="3" t="s">
        <v>14272</v>
      </c>
    </row>
    <row r="4644">
      <c r="A4644" s="3" t="s">
        <v>14273</v>
      </c>
      <c r="B4644" s="3" t="s">
        <v>4567</v>
      </c>
      <c r="C4644" s="5" t="s">
        <v>614</v>
      </c>
      <c r="D4644" s="3" t="s">
        <v>206</v>
      </c>
      <c r="E4644" s="3" t="s">
        <v>100</v>
      </c>
      <c r="F4644" s="7">
        <v>45839.88779893727</v>
      </c>
      <c r="G4644" s="3" t="s">
        <v>14274</v>
      </c>
    </row>
    <row r="4645">
      <c r="A4645" s="3" t="s">
        <v>14275</v>
      </c>
      <c r="B4645" s="3" t="s">
        <v>4567</v>
      </c>
      <c r="C4645" s="5" t="s">
        <v>206</v>
      </c>
      <c r="D4645" s="3" t="s">
        <v>68</v>
      </c>
      <c r="E4645" s="3" t="s">
        <v>100</v>
      </c>
      <c r="F4645" s="7">
        <v>45839.89127115949</v>
      </c>
      <c r="G4645" s="3" t="s">
        <v>14277</v>
      </c>
    </row>
    <row r="4646">
      <c r="A4646" s="3" t="s">
        <v>14278</v>
      </c>
      <c r="B4646" s="3" t="s">
        <v>4570</v>
      </c>
      <c r="C4646" s="5" t="s">
        <v>45</v>
      </c>
      <c r="D4646" s="3" t="s">
        <v>221</v>
      </c>
      <c r="E4646" s="3" t="s">
        <v>662</v>
      </c>
      <c r="F4646" s="7">
        <v>45839.952029338245</v>
      </c>
      <c r="G4646" s="3" t="s">
        <v>14280</v>
      </c>
    </row>
    <row r="4647">
      <c r="A4647" s="3" t="s">
        <v>14281</v>
      </c>
      <c r="B4647" s="3" t="s">
        <v>4570</v>
      </c>
      <c r="C4647" s="5" t="s">
        <v>221</v>
      </c>
      <c r="D4647" s="3" t="s">
        <v>614</v>
      </c>
      <c r="E4647" s="3" t="s">
        <v>118</v>
      </c>
      <c r="F4647" s="7">
        <v>45839.955501560464</v>
      </c>
      <c r="G4647" s="3" t="s">
        <v>14283</v>
      </c>
    </row>
    <row r="4648">
      <c r="A4648" s="3" t="s">
        <v>14284</v>
      </c>
      <c r="B4648" s="3" t="s">
        <v>4570</v>
      </c>
      <c r="C4648" s="5" t="s">
        <v>614</v>
      </c>
      <c r="D4648" s="3" t="s">
        <v>206</v>
      </c>
      <c r="E4648" s="3" t="s">
        <v>100</v>
      </c>
      <c r="F4648" s="7">
        <v>45839.95897378269</v>
      </c>
      <c r="G4648" s="3" t="s">
        <v>14286</v>
      </c>
    </row>
    <row r="4649">
      <c r="A4649" s="3" t="s">
        <v>14287</v>
      </c>
      <c r="B4649" s="3" t="s">
        <v>4570</v>
      </c>
      <c r="C4649" s="5" t="s">
        <v>206</v>
      </c>
      <c r="D4649" s="3" t="s">
        <v>68</v>
      </c>
      <c r="E4649" s="3" t="s">
        <v>100</v>
      </c>
      <c r="F4649" s="7">
        <v>45839.96244600491</v>
      </c>
      <c r="G4649" s="3" t="s">
        <v>14289</v>
      </c>
    </row>
    <row r="4650">
      <c r="A4650" s="3" t="s">
        <v>14290</v>
      </c>
      <c r="B4650" s="3" t="s">
        <v>4573</v>
      </c>
      <c r="C4650" s="5" t="s">
        <v>45</v>
      </c>
      <c r="D4650" s="3" t="s">
        <v>221</v>
      </c>
      <c r="E4650" s="3" t="s">
        <v>934</v>
      </c>
      <c r="F4650" s="7">
        <v>45840.02320418366</v>
      </c>
      <c r="G4650" s="3" t="s">
        <v>7393</v>
      </c>
    </row>
    <row r="4651">
      <c r="A4651" s="3" t="s">
        <v>14292</v>
      </c>
      <c r="B4651" s="3" t="s">
        <v>4573</v>
      </c>
      <c r="C4651" s="5" t="s">
        <v>221</v>
      </c>
      <c r="D4651" s="3" t="s">
        <v>181</v>
      </c>
      <c r="E4651" s="3" t="s">
        <v>118</v>
      </c>
      <c r="F4651" s="7">
        <v>45840.026676405876</v>
      </c>
      <c r="G4651" s="3" t="s">
        <v>14293</v>
      </c>
    </row>
    <row r="4652">
      <c r="A4652" s="3" t="s">
        <v>14294</v>
      </c>
      <c r="B4652" s="3" t="s">
        <v>4578</v>
      </c>
      <c r="C4652" s="5" t="s">
        <v>45</v>
      </c>
      <c r="D4652" s="3" t="s">
        <v>221</v>
      </c>
      <c r="E4652" s="3" t="s">
        <v>197</v>
      </c>
      <c r="F4652" s="7">
        <v>45840.09437902907</v>
      </c>
      <c r="G4652" s="3" t="s">
        <v>13014</v>
      </c>
    </row>
    <row r="4653">
      <c r="A4653" s="3" t="s">
        <v>14296</v>
      </c>
      <c r="B4653" s="3" t="s">
        <v>4578</v>
      </c>
      <c r="C4653" s="5" t="s">
        <v>221</v>
      </c>
      <c r="D4653" s="3" t="s">
        <v>181</v>
      </c>
      <c r="E4653" s="3" t="s">
        <v>118</v>
      </c>
      <c r="F4653" s="7">
        <v>45840.09785125129</v>
      </c>
      <c r="G4653" s="3" t="s">
        <v>14298</v>
      </c>
    </row>
    <row r="4654">
      <c r="A4654" s="3" t="s">
        <v>14299</v>
      </c>
      <c r="B4654" s="3" t="s">
        <v>4581</v>
      </c>
      <c r="C4654" s="5" t="s">
        <v>45</v>
      </c>
      <c r="D4654" s="3" t="s">
        <v>221</v>
      </c>
      <c r="E4654" s="3" t="s">
        <v>424</v>
      </c>
      <c r="F4654" s="7">
        <v>45840.16555387449</v>
      </c>
      <c r="G4654" s="3" t="s">
        <v>14301</v>
      </c>
    </row>
    <row r="4655">
      <c r="A4655" s="3" t="s">
        <v>14302</v>
      </c>
      <c r="B4655" s="3" t="s">
        <v>4581</v>
      </c>
      <c r="C4655" s="5" t="s">
        <v>221</v>
      </c>
      <c r="D4655" s="3" t="s">
        <v>614</v>
      </c>
      <c r="E4655" s="3" t="s">
        <v>118</v>
      </c>
      <c r="F4655" s="7">
        <v>45840.16902609671</v>
      </c>
      <c r="G4655" s="3" t="s">
        <v>14304</v>
      </c>
    </row>
    <row r="4656">
      <c r="A4656" s="3" t="s">
        <v>14305</v>
      </c>
      <c r="B4656" s="3" t="s">
        <v>4581</v>
      </c>
      <c r="C4656" s="5" t="s">
        <v>614</v>
      </c>
      <c r="D4656" s="3" t="s">
        <v>206</v>
      </c>
      <c r="E4656" s="3" t="s">
        <v>100</v>
      </c>
      <c r="F4656" s="7">
        <v>45840.172498318934</v>
      </c>
      <c r="G4656" s="3" t="s">
        <v>14306</v>
      </c>
    </row>
    <row r="4657">
      <c r="A4657" s="3" t="s">
        <v>14307</v>
      </c>
      <c r="B4657" s="3" t="s">
        <v>4581</v>
      </c>
      <c r="C4657" s="5" t="s">
        <v>206</v>
      </c>
      <c r="D4657" s="3" t="s">
        <v>68</v>
      </c>
      <c r="E4657" s="3" t="s">
        <v>100</v>
      </c>
      <c r="F4657" s="7">
        <v>45840.17597054115</v>
      </c>
      <c r="G4657" s="3" t="s">
        <v>14309</v>
      </c>
    </row>
    <row r="4658">
      <c r="A4658" s="3" t="s">
        <v>14310</v>
      </c>
      <c r="B4658" s="3" t="s">
        <v>4584</v>
      </c>
      <c r="C4658" s="5" t="s">
        <v>45</v>
      </c>
      <c r="D4658" s="3" t="s">
        <v>221</v>
      </c>
      <c r="E4658" s="3" t="s">
        <v>658</v>
      </c>
      <c r="F4658" s="7">
        <v>45840.23672871991</v>
      </c>
      <c r="G4658" s="3" t="s">
        <v>14312</v>
      </c>
    </row>
    <row r="4659">
      <c r="A4659" s="3" t="s">
        <v>14313</v>
      </c>
      <c r="B4659" s="3" t="s">
        <v>4584</v>
      </c>
      <c r="C4659" s="5" t="s">
        <v>221</v>
      </c>
      <c r="D4659" s="3" t="s">
        <v>614</v>
      </c>
      <c r="E4659" s="3" t="s">
        <v>118</v>
      </c>
      <c r="F4659" s="7">
        <v>45840.24020094213</v>
      </c>
      <c r="G4659" s="3" t="s">
        <v>14315</v>
      </c>
    </row>
    <row r="4660">
      <c r="A4660" s="3" t="s">
        <v>14316</v>
      </c>
      <c r="B4660" s="3" t="s">
        <v>4584</v>
      </c>
      <c r="C4660" s="5" t="s">
        <v>614</v>
      </c>
      <c r="D4660" s="3" t="s">
        <v>206</v>
      </c>
      <c r="E4660" s="3" t="s">
        <v>100</v>
      </c>
      <c r="F4660" s="7">
        <v>45840.243673164354</v>
      </c>
      <c r="G4660" s="3" t="s">
        <v>14317</v>
      </c>
    </row>
    <row r="4661">
      <c r="A4661" s="3" t="s">
        <v>14319</v>
      </c>
      <c r="B4661" s="3" t="s">
        <v>4584</v>
      </c>
      <c r="C4661" s="5" t="s">
        <v>206</v>
      </c>
      <c r="D4661" s="3" t="s">
        <v>68</v>
      </c>
      <c r="E4661" s="3" t="s">
        <v>100</v>
      </c>
      <c r="F4661" s="7">
        <v>45840.24714538657</v>
      </c>
      <c r="G4661" s="3" t="s">
        <v>14321</v>
      </c>
    </row>
    <row r="4662">
      <c r="A4662" s="3" t="s">
        <v>14322</v>
      </c>
      <c r="B4662" s="3" t="s">
        <v>4586</v>
      </c>
      <c r="C4662" s="5" t="s">
        <v>45</v>
      </c>
      <c r="D4662" s="3" t="s">
        <v>221</v>
      </c>
      <c r="E4662" s="3" t="s">
        <v>498</v>
      </c>
      <c r="F4662" s="7">
        <v>45840.30790356531</v>
      </c>
      <c r="G4662" s="3" t="s">
        <v>13032</v>
      </c>
    </row>
    <row r="4663">
      <c r="A4663" s="3" t="s">
        <v>14324</v>
      </c>
      <c r="B4663" s="3" t="s">
        <v>4586</v>
      </c>
      <c r="C4663" s="5" t="s">
        <v>221</v>
      </c>
      <c r="D4663" s="3" t="s">
        <v>181</v>
      </c>
      <c r="E4663" s="3" t="s">
        <v>118</v>
      </c>
      <c r="F4663" s="7">
        <v>45840.31137578753</v>
      </c>
      <c r="G4663" s="3" t="s">
        <v>13035</v>
      </c>
    </row>
    <row r="4664">
      <c r="A4664" s="3" t="s">
        <v>14326</v>
      </c>
      <c r="B4664" s="3" t="s">
        <v>4590</v>
      </c>
      <c r="C4664" s="5" t="s">
        <v>45</v>
      </c>
      <c r="D4664" s="3" t="s">
        <v>221</v>
      </c>
      <c r="E4664" s="3" t="s">
        <v>1034</v>
      </c>
      <c r="F4664" s="7">
        <v>45840.37907841073</v>
      </c>
      <c r="G4664" s="3" t="s">
        <v>14328</v>
      </c>
    </row>
    <row r="4665">
      <c r="A4665" s="3" t="s">
        <v>14329</v>
      </c>
      <c r="B4665" s="3" t="s">
        <v>4590</v>
      </c>
      <c r="C4665" s="5" t="s">
        <v>221</v>
      </c>
      <c r="D4665" s="3" t="s">
        <v>614</v>
      </c>
      <c r="E4665" s="3" t="s">
        <v>118</v>
      </c>
      <c r="F4665" s="7">
        <v>45840.38255063295</v>
      </c>
      <c r="G4665" s="3" t="s">
        <v>14331</v>
      </c>
    </row>
    <row r="4666">
      <c r="A4666" s="3" t="s">
        <v>14333</v>
      </c>
      <c r="B4666" s="3" t="s">
        <v>4590</v>
      </c>
      <c r="C4666" s="5" t="s">
        <v>614</v>
      </c>
      <c r="D4666" s="3" t="s">
        <v>206</v>
      </c>
      <c r="E4666" s="3" t="s">
        <v>100</v>
      </c>
      <c r="F4666" s="7">
        <v>45840.38602285518</v>
      </c>
      <c r="G4666" s="3" t="s">
        <v>14335</v>
      </c>
    </row>
    <row r="4667">
      <c r="A4667" s="3" t="s">
        <v>14336</v>
      </c>
      <c r="B4667" s="3" t="s">
        <v>4590</v>
      </c>
      <c r="C4667" s="5" t="s">
        <v>206</v>
      </c>
      <c r="D4667" s="3" t="s">
        <v>68</v>
      </c>
      <c r="E4667" s="3" t="s">
        <v>100</v>
      </c>
      <c r="F4667" s="7">
        <v>45840.3894950774</v>
      </c>
      <c r="G4667" s="3" t="s">
        <v>14337</v>
      </c>
    </row>
    <row r="4668">
      <c r="A4668" s="3" t="s">
        <v>14339</v>
      </c>
      <c r="B4668" s="3" t="s">
        <v>4593</v>
      </c>
      <c r="C4668" s="5" t="s">
        <v>45</v>
      </c>
      <c r="D4668" s="3" t="s">
        <v>221</v>
      </c>
      <c r="E4668" s="3" t="s">
        <v>760</v>
      </c>
      <c r="F4668" s="7">
        <v>45840.450253256146</v>
      </c>
      <c r="G4668" s="3" t="s">
        <v>14340</v>
      </c>
    </row>
    <row r="4669">
      <c r="A4669" s="3" t="s">
        <v>14342</v>
      </c>
      <c r="B4669" s="3" t="s">
        <v>4593</v>
      </c>
      <c r="C4669" s="5" t="s">
        <v>221</v>
      </c>
      <c r="D4669" s="3" t="s">
        <v>614</v>
      </c>
      <c r="E4669" s="3" t="s">
        <v>118</v>
      </c>
      <c r="F4669" s="7">
        <v>45840.453725478365</v>
      </c>
      <c r="G4669" s="3" t="s">
        <v>14343</v>
      </c>
    </row>
    <row r="4670">
      <c r="A4670" s="3" t="s">
        <v>14344</v>
      </c>
      <c r="B4670" s="3" t="s">
        <v>4593</v>
      </c>
      <c r="C4670" s="5" t="s">
        <v>614</v>
      </c>
      <c r="D4670" s="3" t="s">
        <v>206</v>
      </c>
      <c r="E4670" s="3" t="s">
        <v>100</v>
      </c>
      <c r="F4670" s="7">
        <v>45840.45719770059</v>
      </c>
      <c r="G4670" s="3" t="s">
        <v>14346</v>
      </c>
    </row>
    <row r="4671">
      <c r="A4671" s="3" t="s">
        <v>14347</v>
      </c>
      <c r="B4671" s="3" t="s">
        <v>4593</v>
      </c>
      <c r="C4671" s="5" t="s">
        <v>206</v>
      </c>
      <c r="D4671" s="3" t="s">
        <v>68</v>
      </c>
      <c r="E4671" s="3" t="s">
        <v>100</v>
      </c>
      <c r="F4671" s="7">
        <v>45840.46066992281</v>
      </c>
      <c r="G4671" s="3" t="s">
        <v>14348</v>
      </c>
    </row>
    <row r="4672">
      <c r="A4672" s="3" t="s">
        <v>14350</v>
      </c>
      <c r="B4672" s="3" t="s">
        <v>4596</v>
      </c>
      <c r="C4672" s="5" t="s">
        <v>45</v>
      </c>
      <c r="D4672" s="3" t="s">
        <v>221</v>
      </c>
      <c r="E4672" s="3" t="s">
        <v>822</v>
      </c>
      <c r="F4672" s="7">
        <v>45840.521428101565</v>
      </c>
      <c r="G4672" s="3" t="s">
        <v>14351</v>
      </c>
    </row>
    <row r="4673">
      <c r="A4673" s="3" t="s">
        <v>14352</v>
      </c>
      <c r="B4673" s="3" t="s">
        <v>4596</v>
      </c>
      <c r="C4673" s="5" t="s">
        <v>221</v>
      </c>
      <c r="D4673" s="3" t="s">
        <v>614</v>
      </c>
      <c r="E4673" s="3" t="s">
        <v>118</v>
      </c>
      <c r="F4673" s="7">
        <v>45840.524900323784</v>
      </c>
      <c r="G4673" s="3" t="s">
        <v>14354</v>
      </c>
    </row>
    <row r="4674">
      <c r="A4674" s="3" t="s">
        <v>14355</v>
      </c>
      <c r="B4674" s="3" t="s">
        <v>4596</v>
      </c>
      <c r="C4674" s="5" t="s">
        <v>614</v>
      </c>
      <c r="D4674" s="3" t="s">
        <v>206</v>
      </c>
      <c r="E4674" s="3" t="s">
        <v>100</v>
      </c>
      <c r="F4674" s="7">
        <v>45840.52837254601</v>
      </c>
      <c r="G4674" s="3" t="s">
        <v>14357</v>
      </c>
    </row>
    <row r="4675">
      <c r="A4675" s="3" t="s">
        <v>14358</v>
      </c>
      <c r="B4675" s="3" t="s">
        <v>4596</v>
      </c>
      <c r="C4675" s="5" t="s">
        <v>206</v>
      </c>
      <c r="D4675" s="3" t="s">
        <v>68</v>
      </c>
      <c r="E4675" s="3" t="s">
        <v>100</v>
      </c>
      <c r="F4675" s="7">
        <v>45840.53184476823</v>
      </c>
      <c r="G4675" s="3" t="s">
        <v>14360</v>
      </c>
    </row>
    <row r="4676">
      <c r="A4676" s="3" t="s">
        <v>14361</v>
      </c>
      <c r="B4676" s="3" t="s">
        <v>4599</v>
      </c>
      <c r="C4676" s="5" t="s">
        <v>45</v>
      </c>
      <c r="D4676" s="3" t="s">
        <v>221</v>
      </c>
      <c r="E4676" s="3" t="s">
        <v>398</v>
      </c>
      <c r="F4676" s="7">
        <v>45840.59260294698</v>
      </c>
      <c r="G4676" s="3" t="s">
        <v>14363</v>
      </c>
    </row>
    <row r="4677">
      <c r="A4677" s="3" t="s">
        <v>14364</v>
      </c>
      <c r="B4677" s="3" t="s">
        <v>4599</v>
      </c>
      <c r="C4677" s="5" t="s">
        <v>221</v>
      </c>
      <c r="D4677" s="3" t="s">
        <v>614</v>
      </c>
      <c r="E4677" s="3" t="s">
        <v>118</v>
      </c>
      <c r="F4677" s="7">
        <v>45840.5960751692</v>
      </c>
      <c r="G4677" s="3" t="s">
        <v>14365</v>
      </c>
    </row>
    <row r="4678">
      <c r="A4678" s="3" t="s">
        <v>14367</v>
      </c>
      <c r="B4678" s="3" t="s">
        <v>4599</v>
      </c>
      <c r="C4678" s="5" t="s">
        <v>614</v>
      </c>
      <c r="D4678" s="3" t="s">
        <v>206</v>
      </c>
      <c r="E4678" s="3" t="s">
        <v>100</v>
      </c>
      <c r="F4678" s="7">
        <v>45840.59954739142</v>
      </c>
      <c r="G4678" s="3" t="s">
        <v>14368</v>
      </c>
    </row>
    <row r="4679">
      <c r="A4679" s="3" t="s">
        <v>14369</v>
      </c>
      <c r="B4679" s="3" t="s">
        <v>4599</v>
      </c>
      <c r="C4679" s="5" t="s">
        <v>206</v>
      </c>
      <c r="D4679" s="3" t="s">
        <v>68</v>
      </c>
      <c r="E4679" s="3" t="s">
        <v>100</v>
      </c>
      <c r="F4679" s="7">
        <v>45840.60301961364</v>
      </c>
      <c r="G4679" s="3" t="s">
        <v>14371</v>
      </c>
    </row>
    <row r="4680">
      <c r="A4680" s="3" t="s">
        <v>14372</v>
      </c>
      <c r="B4680" s="3" t="s">
        <v>4602</v>
      </c>
      <c r="C4680" s="5" t="s">
        <v>45</v>
      </c>
      <c r="D4680" s="3" t="s">
        <v>221</v>
      </c>
      <c r="E4680" s="3" t="s">
        <v>864</v>
      </c>
      <c r="F4680" s="7">
        <v>45840.6637777924</v>
      </c>
      <c r="G4680" s="3" t="s">
        <v>13803</v>
      </c>
    </row>
    <row r="4681">
      <c r="A4681" s="3" t="s">
        <v>14374</v>
      </c>
      <c r="B4681" s="3" t="s">
        <v>4602</v>
      </c>
      <c r="C4681" s="5" t="s">
        <v>221</v>
      </c>
      <c r="D4681" s="3" t="s">
        <v>614</v>
      </c>
      <c r="E4681" s="3" t="s">
        <v>118</v>
      </c>
      <c r="F4681" s="7">
        <v>45840.667250014616</v>
      </c>
      <c r="G4681" s="3" t="s">
        <v>13805</v>
      </c>
    </row>
    <row r="4682">
      <c r="A4682" s="3" t="s">
        <v>14376</v>
      </c>
      <c r="B4682" s="3" t="s">
        <v>4602</v>
      </c>
      <c r="C4682" s="5" t="s">
        <v>614</v>
      </c>
      <c r="D4682" s="3" t="s">
        <v>206</v>
      </c>
      <c r="E4682" s="3" t="s">
        <v>100</v>
      </c>
      <c r="F4682" s="7">
        <v>45840.67072223684</v>
      </c>
      <c r="G4682" s="3" t="s">
        <v>13808</v>
      </c>
    </row>
    <row r="4683">
      <c r="A4683" s="3" t="s">
        <v>14378</v>
      </c>
      <c r="B4683" s="3" t="s">
        <v>4602</v>
      </c>
      <c r="C4683" s="5" t="s">
        <v>206</v>
      </c>
      <c r="D4683" s="3" t="s">
        <v>68</v>
      </c>
      <c r="E4683" s="3" t="s">
        <v>100</v>
      </c>
      <c r="F4683" s="7">
        <v>45840.67419445906</v>
      </c>
      <c r="G4683" s="3" t="s">
        <v>13811</v>
      </c>
    </row>
    <row r="4684">
      <c r="A4684" s="3" t="s">
        <v>14380</v>
      </c>
      <c r="B4684" s="3" t="s">
        <v>4605</v>
      </c>
      <c r="C4684" s="5" t="s">
        <v>45</v>
      </c>
      <c r="D4684" s="3" t="s">
        <v>221</v>
      </c>
      <c r="E4684" s="3" t="s">
        <v>256</v>
      </c>
      <c r="F4684" s="7">
        <v>45840.7349526378</v>
      </c>
      <c r="G4684" s="3" t="s">
        <v>13137</v>
      </c>
    </row>
    <row r="4685">
      <c r="A4685" s="3" t="s">
        <v>14382</v>
      </c>
      <c r="B4685" s="3" t="s">
        <v>4605</v>
      </c>
      <c r="C4685" s="5" t="s">
        <v>221</v>
      </c>
      <c r="D4685" s="3" t="s">
        <v>614</v>
      </c>
      <c r="E4685" s="3" t="s">
        <v>118</v>
      </c>
      <c r="F4685" s="7">
        <v>45840.73842486002</v>
      </c>
      <c r="G4685" s="3" t="s">
        <v>13140</v>
      </c>
    </row>
    <row r="4686">
      <c r="A4686" s="3" t="s">
        <v>14384</v>
      </c>
      <c r="B4686" s="3" t="s">
        <v>4605</v>
      </c>
      <c r="C4686" s="5" t="s">
        <v>614</v>
      </c>
      <c r="D4686" s="3" t="s">
        <v>206</v>
      </c>
      <c r="E4686" s="3" t="s">
        <v>100</v>
      </c>
      <c r="F4686" s="7">
        <v>45840.74189708225</v>
      </c>
      <c r="G4686" s="3" t="s">
        <v>13144</v>
      </c>
    </row>
    <row r="4687">
      <c r="A4687" s="3" t="s">
        <v>14386</v>
      </c>
      <c r="B4687" s="3" t="s">
        <v>4605</v>
      </c>
      <c r="C4687" s="5" t="s">
        <v>206</v>
      </c>
      <c r="D4687" s="3" t="s">
        <v>68</v>
      </c>
      <c r="E4687" s="3" t="s">
        <v>100</v>
      </c>
      <c r="F4687" s="7">
        <v>45840.745369304466</v>
      </c>
      <c r="G4687" s="3" t="s">
        <v>13147</v>
      </c>
    </row>
    <row r="4688">
      <c r="A4688" s="3" t="s">
        <v>14388</v>
      </c>
      <c r="B4688" s="3" t="s">
        <v>4608</v>
      </c>
      <c r="C4688" s="5" t="s">
        <v>45</v>
      </c>
      <c r="D4688" s="3" t="s">
        <v>221</v>
      </c>
      <c r="E4688" s="3" t="s">
        <v>179</v>
      </c>
      <c r="F4688" s="7">
        <v>45840.80612748322</v>
      </c>
      <c r="G4688" s="3" t="s">
        <v>14390</v>
      </c>
    </row>
    <row r="4689">
      <c r="A4689" s="3" t="s">
        <v>14391</v>
      </c>
      <c r="B4689" s="3" t="s">
        <v>4608</v>
      </c>
      <c r="C4689" s="5" t="s">
        <v>221</v>
      </c>
      <c r="D4689" s="3" t="s">
        <v>614</v>
      </c>
      <c r="E4689" s="3" t="s">
        <v>118</v>
      </c>
      <c r="F4689" s="7">
        <v>45840.80959970544</v>
      </c>
      <c r="G4689" s="3" t="s">
        <v>14392</v>
      </c>
    </row>
    <row r="4690">
      <c r="A4690" s="3" t="s">
        <v>14394</v>
      </c>
      <c r="B4690" s="3" t="s">
        <v>4608</v>
      </c>
      <c r="C4690" s="5" t="s">
        <v>614</v>
      </c>
      <c r="D4690" s="3" t="s">
        <v>206</v>
      </c>
      <c r="E4690" s="3" t="s">
        <v>100</v>
      </c>
      <c r="F4690" s="7">
        <v>45840.81307192767</v>
      </c>
      <c r="G4690" s="3" t="s">
        <v>14395</v>
      </c>
    </row>
    <row r="4691">
      <c r="A4691" s="3" t="s">
        <v>14396</v>
      </c>
      <c r="B4691" s="3" t="s">
        <v>4608</v>
      </c>
      <c r="C4691" s="5" t="s">
        <v>206</v>
      </c>
      <c r="D4691" s="3" t="s">
        <v>68</v>
      </c>
      <c r="E4691" s="3" t="s">
        <v>100</v>
      </c>
      <c r="F4691" s="7">
        <v>45840.816544149886</v>
      </c>
      <c r="G4691" s="3" t="s">
        <v>14398</v>
      </c>
    </row>
    <row r="4692">
      <c r="A4692" s="3" t="s">
        <v>14399</v>
      </c>
      <c r="B4692" s="3" t="s">
        <v>4611</v>
      </c>
      <c r="C4692" s="5" t="s">
        <v>45</v>
      </c>
      <c r="D4692" s="3" t="s">
        <v>221</v>
      </c>
      <c r="E4692" s="3" t="s">
        <v>485</v>
      </c>
      <c r="F4692" s="7">
        <v>45840.87730232864</v>
      </c>
      <c r="G4692" s="3" t="s">
        <v>14401</v>
      </c>
    </row>
    <row r="4693">
      <c r="A4693" s="3" t="s">
        <v>14402</v>
      </c>
      <c r="B4693" s="3" t="s">
        <v>4611</v>
      </c>
      <c r="C4693" s="5" t="s">
        <v>221</v>
      </c>
      <c r="D4693" s="3" t="s">
        <v>614</v>
      </c>
      <c r="E4693" s="3" t="s">
        <v>118</v>
      </c>
      <c r="F4693" s="7">
        <v>45840.88077455086</v>
      </c>
      <c r="G4693" s="3" t="s">
        <v>14403</v>
      </c>
    </row>
    <row r="4694">
      <c r="A4694" s="3" t="s">
        <v>14405</v>
      </c>
      <c r="B4694" s="3" t="s">
        <v>4611</v>
      </c>
      <c r="C4694" s="5" t="s">
        <v>614</v>
      </c>
      <c r="D4694" s="3" t="s">
        <v>206</v>
      </c>
      <c r="E4694" s="3" t="s">
        <v>100</v>
      </c>
      <c r="F4694" s="7">
        <v>45840.88424677309</v>
      </c>
      <c r="G4694" s="3" t="s">
        <v>14406</v>
      </c>
    </row>
    <row r="4695">
      <c r="A4695" s="3" t="s">
        <v>14407</v>
      </c>
      <c r="B4695" s="3" t="s">
        <v>4611</v>
      </c>
      <c r="C4695" s="5" t="s">
        <v>206</v>
      </c>
      <c r="D4695" s="3" t="s">
        <v>68</v>
      </c>
      <c r="E4695" s="3" t="s">
        <v>100</v>
      </c>
      <c r="F4695" s="7">
        <v>45840.887718995305</v>
      </c>
      <c r="G4695" s="3" t="s">
        <v>14409</v>
      </c>
    </row>
    <row r="4696">
      <c r="A4696" s="3" t="s">
        <v>14410</v>
      </c>
      <c r="B4696" s="3" t="s">
        <v>4614</v>
      </c>
      <c r="C4696" s="5" t="s">
        <v>45</v>
      </c>
      <c r="D4696" s="3" t="s">
        <v>221</v>
      </c>
      <c r="E4696" s="3" t="s">
        <v>168</v>
      </c>
      <c r="F4696" s="7">
        <v>45840.94847717405</v>
      </c>
      <c r="G4696" s="3" t="s">
        <v>14411</v>
      </c>
    </row>
    <row r="4697">
      <c r="A4697" s="3" t="s">
        <v>14412</v>
      </c>
      <c r="B4697" s="3" t="s">
        <v>4614</v>
      </c>
      <c r="C4697" s="5" t="s">
        <v>221</v>
      </c>
      <c r="D4697" s="3" t="s">
        <v>614</v>
      </c>
      <c r="E4697" s="3" t="s">
        <v>118</v>
      </c>
      <c r="F4697" s="7">
        <v>45840.95194939627</v>
      </c>
      <c r="G4697" s="3" t="s">
        <v>14413</v>
      </c>
    </row>
    <row r="4698">
      <c r="A4698" s="3" t="s">
        <v>14414</v>
      </c>
      <c r="B4698" s="3" t="s">
        <v>4614</v>
      </c>
      <c r="C4698" s="5" t="s">
        <v>614</v>
      </c>
      <c r="D4698" s="3" t="s">
        <v>206</v>
      </c>
      <c r="E4698" s="3" t="s">
        <v>100</v>
      </c>
      <c r="F4698" s="7">
        <v>45840.9554216185</v>
      </c>
      <c r="G4698" s="3" t="s">
        <v>14416</v>
      </c>
    </row>
    <row r="4699">
      <c r="A4699" s="3" t="s">
        <v>14417</v>
      </c>
      <c r="B4699" s="3" t="s">
        <v>4614</v>
      </c>
      <c r="C4699" s="5" t="s">
        <v>206</v>
      </c>
      <c r="D4699" s="3" t="s">
        <v>68</v>
      </c>
      <c r="E4699" s="3" t="s">
        <v>100</v>
      </c>
      <c r="F4699" s="7">
        <v>45840.95889384072</v>
      </c>
      <c r="G4699" s="3" t="s">
        <v>14419</v>
      </c>
    </row>
    <row r="4700">
      <c r="A4700" s="3" t="s">
        <v>14420</v>
      </c>
      <c r="B4700" s="3" t="s">
        <v>4618</v>
      </c>
      <c r="C4700" s="5" t="s">
        <v>45</v>
      </c>
      <c r="D4700" s="3" t="s">
        <v>221</v>
      </c>
      <c r="E4700" s="3" t="s">
        <v>156</v>
      </c>
      <c r="F4700" s="7">
        <v>45841.019652019466</v>
      </c>
      <c r="G4700" s="3" t="s">
        <v>14421</v>
      </c>
    </row>
    <row r="4701">
      <c r="A4701" s="3" t="s">
        <v>14423</v>
      </c>
      <c r="B4701" s="3" t="s">
        <v>4618</v>
      </c>
      <c r="C4701" s="5" t="s">
        <v>221</v>
      </c>
      <c r="D4701" s="3" t="s">
        <v>614</v>
      </c>
      <c r="E4701" s="3" t="s">
        <v>118</v>
      </c>
      <c r="F4701" s="7">
        <v>45841.023124241685</v>
      </c>
      <c r="G4701" s="3" t="s">
        <v>14424</v>
      </c>
    </row>
    <row r="4702">
      <c r="A4702" s="3" t="s">
        <v>14426</v>
      </c>
      <c r="B4702" s="3" t="s">
        <v>4618</v>
      </c>
      <c r="C4702" s="5" t="s">
        <v>614</v>
      </c>
      <c r="D4702" s="3" t="s">
        <v>206</v>
      </c>
      <c r="E4702" s="3" t="s">
        <v>100</v>
      </c>
      <c r="F4702" s="7">
        <v>45841.02659646391</v>
      </c>
      <c r="G4702" s="3" t="s">
        <v>14427</v>
      </c>
    </row>
    <row r="4703">
      <c r="A4703" s="3" t="s">
        <v>14428</v>
      </c>
      <c r="B4703" s="3" t="s">
        <v>4618</v>
      </c>
      <c r="C4703" s="5" t="s">
        <v>206</v>
      </c>
      <c r="D4703" s="3" t="s">
        <v>68</v>
      </c>
      <c r="E4703" s="3" t="s">
        <v>100</v>
      </c>
      <c r="F4703" s="7">
        <v>45841.03006868613</v>
      </c>
      <c r="G4703" s="3" t="s">
        <v>14430</v>
      </c>
    </row>
    <row r="4704">
      <c r="A4704" s="3" t="s">
        <v>14431</v>
      </c>
      <c r="B4704" s="3" t="s">
        <v>4621</v>
      </c>
      <c r="C4704" s="5" t="s">
        <v>45</v>
      </c>
      <c r="D4704" s="3" t="s">
        <v>221</v>
      </c>
      <c r="E4704" s="3" t="s">
        <v>352</v>
      </c>
      <c r="F4704" s="7">
        <v>45841.090826864885</v>
      </c>
      <c r="G4704" s="3" t="s">
        <v>14433</v>
      </c>
    </row>
    <row r="4705">
      <c r="A4705" s="3" t="s">
        <v>14434</v>
      </c>
      <c r="B4705" s="3" t="s">
        <v>4621</v>
      </c>
      <c r="C4705" s="5" t="s">
        <v>221</v>
      </c>
      <c r="D4705" s="3" t="s">
        <v>614</v>
      </c>
      <c r="E4705" s="3" t="s">
        <v>118</v>
      </c>
      <c r="F4705" s="7">
        <v>45841.094299087104</v>
      </c>
      <c r="G4705" s="3" t="s">
        <v>14436</v>
      </c>
    </row>
    <row r="4706">
      <c r="A4706" s="3" t="s">
        <v>14437</v>
      </c>
      <c r="B4706" s="3" t="s">
        <v>4621</v>
      </c>
      <c r="C4706" s="5" t="s">
        <v>614</v>
      </c>
      <c r="D4706" s="3" t="s">
        <v>206</v>
      </c>
      <c r="E4706" s="3" t="s">
        <v>100</v>
      </c>
      <c r="F4706" s="7">
        <v>45841.09777130933</v>
      </c>
      <c r="G4706" s="3" t="s">
        <v>14439</v>
      </c>
    </row>
    <row r="4707">
      <c r="A4707" s="3" t="s">
        <v>14440</v>
      </c>
      <c r="B4707" s="3" t="s">
        <v>4621</v>
      </c>
      <c r="C4707" s="5" t="s">
        <v>206</v>
      </c>
      <c r="D4707" s="3" t="s">
        <v>68</v>
      </c>
      <c r="E4707" s="3" t="s">
        <v>100</v>
      </c>
      <c r="F4707" s="7">
        <v>45841.10124353155</v>
      </c>
      <c r="G4707" s="3" t="s">
        <v>14442</v>
      </c>
    </row>
    <row r="4708">
      <c r="A4708" s="3" t="s">
        <v>14443</v>
      </c>
      <c r="B4708" s="3" t="s">
        <v>4625</v>
      </c>
      <c r="C4708" s="5" t="s">
        <v>45</v>
      </c>
      <c r="D4708" s="3" t="s">
        <v>221</v>
      </c>
      <c r="E4708" s="3" t="s">
        <v>336</v>
      </c>
      <c r="F4708" s="7">
        <v>45841.1620017103</v>
      </c>
      <c r="G4708" s="3" t="s">
        <v>14445</v>
      </c>
    </row>
    <row r="4709">
      <c r="A4709" s="3" t="s">
        <v>14446</v>
      </c>
      <c r="B4709" s="3" t="s">
        <v>4625</v>
      </c>
      <c r="C4709" s="5" t="s">
        <v>221</v>
      </c>
      <c r="D4709" s="3" t="s">
        <v>614</v>
      </c>
      <c r="E4709" s="3" t="s">
        <v>118</v>
      </c>
      <c r="F4709" s="7">
        <v>45841.16547393252</v>
      </c>
      <c r="G4709" s="3" t="s">
        <v>14447</v>
      </c>
    </row>
    <row r="4710">
      <c r="A4710" s="3" t="s">
        <v>14448</v>
      </c>
      <c r="B4710" s="3" t="s">
        <v>4625</v>
      </c>
      <c r="C4710" s="5" t="s">
        <v>614</v>
      </c>
      <c r="D4710" s="3" t="s">
        <v>206</v>
      </c>
      <c r="E4710" s="3" t="s">
        <v>100</v>
      </c>
      <c r="F4710" s="7">
        <v>45841.16894615474</v>
      </c>
      <c r="G4710" s="3" t="s">
        <v>14450</v>
      </c>
    </row>
    <row r="4711">
      <c r="A4711" s="3" t="s">
        <v>14451</v>
      </c>
      <c r="B4711" s="3" t="s">
        <v>4625</v>
      </c>
      <c r="C4711" s="5" t="s">
        <v>206</v>
      </c>
      <c r="D4711" s="3" t="s">
        <v>68</v>
      </c>
      <c r="E4711" s="3" t="s">
        <v>100</v>
      </c>
      <c r="F4711" s="7">
        <v>45841.17241837696</v>
      </c>
      <c r="G4711" s="3" t="s">
        <v>14453</v>
      </c>
    </row>
    <row r="4712">
      <c r="A4712" s="3" t="s">
        <v>14454</v>
      </c>
      <c r="B4712" s="3" t="s">
        <v>4628</v>
      </c>
      <c r="C4712" s="5" t="s">
        <v>45</v>
      </c>
      <c r="D4712" s="3" t="s">
        <v>221</v>
      </c>
      <c r="E4712" s="3" t="s">
        <v>539</v>
      </c>
      <c r="F4712" s="7">
        <v>45841.23317655571</v>
      </c>
      <c r="G4712" s="3" t="s">
        <v>14456</v>
      </c>
    </row>
    <row r="4713">
      <c r="A4713" s="3" t="s">
        <v>14457</v>
      </c>
      <c r="B4713" s="3" t="s">
        <v>4628</v>
      </c>
      <c r="C4713" s="5" t="s">
        <v>221</v>
      </c>
      <c r="D4713" s="3" t="s">
        <v>614</v>
      </c>
      <c r="E4713" s="3" t="s">
        <v>118</v>
      </c>
      <c r="F4713" s="7">
        <v>45841.23664877793</v>
      </c>
      <c r="G4713" s="3" t="s">
        <v>14458</v>
      </c>
    </row>
    <row r="4714">
      <c r="A4714" s="3" t="s">
        <v>14460</v>
      </c>
      <c r="B4714" s="3" t="s">
        <v>4628</v>
      </c>
      <c r="C4714" s="5" t="s">
        <v>614</v>
      </c>
      <c r="D4714" s="3" t="s">
        <v>206</v>
      </c>
      <c r="E4714" s="3" t="s">
        <v>100</v>
      </c>
      <c r="F4714" s="7">
        <v>45841.240121000155</v>
      </c>
      <c r="G4714" s="3" t="s">
        <v>14461</v>
      </c>
    </row>
    <row r="4715">
      <c r="A4715" s="3" t="s">
        <v>14463</v>
      </c>
      <c r="B4715" s="3" t="s">
        <v>4628</v>
      </c>
      <c r="C4715" s="5" t="s">
        <v>206</v>
      </c>
      <c r="D4715" s="3" t="s">
        <v>68</v>
      </c>
      <c r="E4715" s="3" t="s">
        <v>100</v>
      </c>
      <c r="F4715" s="7">
        <v>45841.243593222374</v>
      </c>
      <c r="G4715" s="3" t="s">
        <v>14464</v>
      </c>
    </row>
    <row r="4716">
      <c r="A4716" s="3" t="s">
        <v>14465</v>
      </c>
      <c r="B4716" s="3" t="s">
        <v>4631</v>
      </c>
      <c r="C4716" s="5" t="s">
        <v>45</v>
      </c>
      <c r="D4716" s="3" t="s">
        <v>221</v>
      </c>
      <c r="E4716" s="3" t="s">
        <v>204</v>
      </c>
      <c r="F4716" s="7">
        <v>45841.30435140113</v>
      </c>
      <c r="G4716" s="3" t="s">
        <v>14467</v>
      </c>
    </row>
    <row r="4717">
      <c r="A4717" s="3" t="s">
        <v>14468</v>
      </c>
      <c r="B4717" s="3" t="s">
        <v>4631</v>
      </c>
      <c r="C4717" s="5" t="s">
        <v>221</v>
      </c>
      <c r="D4717" s="3" t="s">
        <v>614</v>
      </c>
      <c r="E4717" s="3" t="s">
        <v>118</v>
      </c>
      <c r="F4717" s="7">
        <v>45841.30782362335</v>
      </c>
      <c r="G4717" s="3" t="s">
        <v>14470</v>
      </c>
    </row>
    <row r="4718">
      <c r="A4718" s="3" t="s">
        <v>14471</v>
      </c>
      <c r="B4718" s="3" t="s">
        <v>4631</v>
      </c>
      <c r="C4718" s="5" t="s">
        <v>614</v>
      </c>
      <c r="D4718" s="3" t="s">
        <v>206</v>
      </c>
      <c r="E4718" s="3" t="s">
        <v>100</v>
      </c>
      <c r="F4718" s="7">
        <v>45841.311295845575</v>
      </c>
      <c r="G4718" s="3" t="s">
        <v>14473</v>
      </c>
    </row>
    <row r="4719">
      <c r="A4719" s="3" t="s">
        <v>14474</v>
      </c>
      <c r="B4719" s="3" t="s">
        <v>4631</v>
      </c>
      <c r="C4719" s="5" t="s">
        <v>206</v>
      </c>
      <c r="D4719" s="3" t="s">
        <v>68</v>
      </c>
      <c r="E4719" s="3" t="s">
        <v>100</v>
      </c>
      <c r="F4719" s="7">
        <v>45841.314768067794</v>
      </c>
      <c r="G4719" s="3" t="s">
        <v>14475</v>
      </c>
    </row>
    <row r="4720">
      <c r="A4720" s="3" t="s">
        <v>14476</v>
      </c>
      <c r="B4720" s="3" t="s">
        <v>4634</v>
      </c>
      <c r="C4720" s="5" t="s">
        <v>45</v>
      </c>
      <c r="D4720" s="3" t="s">
        <v>221</v>
      </c>
      <c r="E4720" s="3" t="s">
        <v>957</v>
      </c>
      <c r="F4720" s="7">
        <v>45841.37552624655</v>
      </c>
      <c r="G4720" s="3" t="s">
        <v>14478</v>
      </c>
    </row>
    <row r="4721">
      <c r="A4721" s="3" t="s">
        <v>14479</v>
      </c>
      <c r="B4721" s="3" t="s">
        <v>4634</v>
      </c>
      <c r="C4721" s="5" t="s">
        <v>221</v>
      </c>
      <c r="D4721" s="3" t="s">
        <v>614</v>
      </c>
      <c r="E4721" s="3" t="s">
        <v>118</v>
      </c>
      <c r="F4721" s="7">
        <v>45841.37899846877</v>
      </c>
      <c r="G4721" s="3" t="s">
        <v>14481</v>
      </c>
    </row>
    <row r="4722">
      <c r="A4722" s="3" t="s">
        <v>14482</v>
      </c>
      <c r="B4722" s="3" t="s">
        <v>4634</v>
      </c>
      <c r="C4722" s="5" t="s">
        <v>614</v>
      </c>
      <c r="D4722" s="3" t="s">
        <v>206</v>
      </c>
      <c r="E4722" s="3" t="s">
        <v>100</v>
      </c>
      <c r="F4722" s="7">
        <v>45841.382470690995</v>
      </c>
      <c r="G4722" s="3" t="s">
        <v>14484</v>
      </c>
    </row>
    <row r="4723">
      <c r="A4723" s="3" t="s">
        <v>14485</v>
      </c>
      <c r="B4723" s="3" t="s">
        <v>4634</v>
      </c>
      <c r="C4723" s="5" t="s">
        <v>206</v>
      </c>
      <c r="D4723" s="3" t="s">
        <v>68</v>
      </c>
      <c r="E4723" s="3" t="s">
        <v>100</v>
      </c>
      <c r="F4723" s="7">
        <v>45841.38594291321</v>
      </c>
      <c r="G4723" s="3" t="s">
        <v>14487</v>
      </c>
    </row>
    <row r="4724">
      <c r="A4724" s="3" t="s">
        <v>14488</v>
      </c>
      <c r="B4724" s="3" t="s">
        <v>4637</v>
      </c>
      <c r="C4724" s="5" t="s">
        <v>45</v>
      </c>
      <c r="D4724" s="3" t="s">
        <v>221</v>
      </c>
      <c r="E4724" s="3" t="s">
        <v>619</v>
      </c>
      <c r="F4724" s="7">
        <v>45841.446701091954</v>
      </c>
      <c r="G4724" s="3" t="s">
        <v>14490</v>
      </c>
    </row>
    <row r="4725">
      <c r="A4725" s="3" t="s">
        <v>14491</v>
      </c>
      <c r="B4725" s="3" t="s">
        <v>4637</v>
      </c>
      <c r="C4725" s="5" t="s">
        <v>221</v>
      </c>
      <c r="D4725" s="3" t="s">
        <v>614</v>
      </c>
      <c r="E4725" s="3" t="s">
        <v>118</v>
      </c>
      <c r="F4725" s="7">
        <v>45841.45017331417</v>
      </c>
      <c r="G4725" s="3" t="s">
        <v>14492</v>
      </c>
    </row>
    <row r="4726">
      <c r="A4726" s="3" t="s">
        <v>14494</v>
      </c>
      <c r="B4726" s="3" t="s">
        <v>4637</v>
      </c>
      <c r="C4726" s="5" t="s">
        <v>614</v>
      </c>
      <c r="D4726" s="3" t="s">
        <v>206</v>
      </c>
      <c r="E4726" s="3" t="s">
        <v>100</v>
      </c>
      <c r="F4726" s="7">
        <v>45841.4536455364</v>
      </c>
      <c r="G4726" s="3" t="s">
        <v>14495</v>
      </c>
    </row>
    <row r="4727">
      <c r="A4727" s="3" t="s">
        <v>14496</v>
      </c>
      <c r="B4727" s="3" t="s">
        <v>4637</v>
      </c>
      <c r="C4727" s="5" t="s">
        <v>206</v>
      </c>
      <c r="D4727" s="3" t="s">
        <v>68</v>
      </c>
      <c r="E4727" s="3" t="s">
        <v>100</v>
      </c>
      <c r="F4727" s="7">
        <v>45841.45711775862</v>
      </c>
      <c r="G4727" s="3" t="s">
        <v>14498</v>
      </c>
    </row>
    <row r="4728">
      <c r="A4728" s="3" t="s">
        <v>14499</v>
      </c>
      <c r="B4728" s="3" t="s">
        <v>4640</v>
      </c>
      <c r="C4728" s="5" t="s">
        <v>45</v>
      </c>
      <c r="D4728" s="3" t="s">
        <v>221</v>
      </c>
      <c r="E4728" s="3" t="s">
        <v>326</v>
      </c>
      <c r="F4728" s="7">
        <v>45841.517875937374</v>
      </c>
      <c r="G4728" s="3" t="s">
        <v>13688</v>
      </c>
    </row>
    <row r="4729">
      <c r="A4729" s="3" t="s">
        <v>14501</v>
      </c>
      <c r="B4729" s="3" t="s">
        <v>4640</v>
      </c>
      <c r="C4729" s="5" t="s">
        <v>221</v>
      </c>
      <c r="D4729" s="3" t="s">
        <v>614</v>
      </c>
      <c r="E4729" s="3" t="s">
        <v>118</v>
      </c>
      <c r="F4729" s="7">
        <v>45841.52134815959</v>
      </c>
      <c r="G4729" s="3" t="s">
        <v>13691</v>
      </c>
    </row>
    <row r="4730">
      <c r="A4730" s="3" t="s">
        <v>14503</v>
      </c>
      <c r="B4730" s="3" t="s">
        <v>4640</v>
      </c>
      <c r="C4730" s="5" t="s">
        <v>614</v>
      </c>
      <c r="D4730" s="3" t="s">
        <v>206</v>
      </c>
      <c r="E4730" s="3" t="s">
        <v>100</v>
      </c>
      <c r="F4730" s="7">
        <v>45841.52482038182</v>
      </c>
      <c r="G4730" s="3" t="s">
        <v>13694</v>
      </c>
    </row>
    <row r="4731">
      <c r="A4731" s="3" t="s">
        <v>14505</v>
      </c>
      <c r="B4731" s="3" t="s">
        <v>4640</v>
      </c>
      <c r="C4731" s="5" t="s">
        <v>206</v>
      </c>
      <c r="D4731" s="3" t="s">
        <v>68</v>
      </c>
      <c r="E4731" s="3" t="s">
        <v>100</v>
      </c>
      <c r="F4731" s="7">
        <v>45841.52829260404</v>
      </c>
      <c r="G4731" s="3" t="s">
        <v>13697</v>
      </c>
    </row>
    <row r="4732">
      <c r="A4732" s="3" t="s">
        <v>14507</v>
      </c>
      <c r="B4732" s="3" t="s">
        <v>4644</v>
      </c>
      <c r="C4732" s="5" t="s">
        <v>45</v>
      </c>
      <c r="D4732" s="3" t="s">
        <v>221</v>
      </c>
      <c r="E4732" s="3" t="s">
        <v>949</v>
      </c>
      <c r="F4732" s="7">
        <v>45841.58905078279</v>
      </c>
      <c r="G4732" s="3" t="s">
        <v>2770</v>
      </c>
    </row>
    <row r="4733">
      <c r="A4733" s="3" t="s">
        <v>14508</v>
      </c>
      <c r="B4733" s="3" t="s">
        <v>4644</v>
      </c>
      <c r="C4733" s="5" t="s">
        <v>221</v>
      </c>
      <c r="D4733" s="3" t="s">
        <v>181</v>
      </c>
      <c r="E4733" s="3" t="s">
        <v>118</v>
      </c>
      <c r="F4733" s="7">
        <v>45841.59252300501</v>
      </c>
      <c r="G4733" s="3" t="s">
        <v>2774</v>
      </c>
    </row>
    <row r="4734">
      <c r="A4734" s="3" t="s">
        <v>14510</v>
      </c>
      <c r="B4734" s="3" t="s">
        <v>4647</v>
      </c>
      <c r="C4734" s="5" t="s">
        <v>45</v>
      </c>
      <c r="D4734" s="3" t="s">
        <v>221</v>
      </c>
      <c r="E4734" s="3" t="s">
        <v>819</v>
      </c>
      <c r="F4734" s="7">
        <v>45841.660225628206</v>
      </c>
      <c r="G4734" s="3" t="s">
        <v>2770</v>
      </c>
    </row>
    <row r="4735">
      <c r="A4735" s="3" t="s">
        <v>14512</v>
      </c>
      <c r="B4735" s="3" t="s">
        <v>4647</v>
      </c>
      <c r="C4735" s="5" t="s">
        <v>221</v>
      </c>
      <c r="D4735" s="3" t="s">
        <v>181</v>
      </c>
      <c r="E4735" s="3" t="s">
        <v>118</v>
      </c>
      <c r="F4735" s="7">
        <v>45841.663697850425</v>
      </c>
      <c r="G4735" s="3" t="s">
        <v>2774</v>
      </c>
    </row>
    <row r="4736">
      <c r="A4736" s="3" t="s">
        <v>14514</v>
      </c>
      <c r="B4736" s="3" t="s">
        <v>4650</v>
      </c>
      <c r="C4736" s="5" t="s">
        <v>45</v>
      </c>
      <c r="D4736" s="3" t="s">
        <v>221</v>
      </c>
      <c r="E4736" s="3" t="s">
        <v>250</v>
      </c>
      <c r="F4736" s="7">
        <v>45841.73140047362</v>
      </c>
      <c r="G4736" s="3" t="s">
        <v>14516</v>
      </c>
    </row>
    <row r="4737">
      <c r="A4737" s="3" t="s">
        <v>14517</v>
      </c>
      <c r="B4737" s="3" t="s">
        <v>4650</v>
      </c>
      <c r="C4737" s="5" t="s">
        <v>221</v>
      </c>
      <c r="D4737" s="3" t="s">
        <v>614</v>
      </c>
      <c r="E4737" s="3" t="s">
        <v>118</v>
      </c>
      <c r="F4737" s="7">
        <v>45841.73487269584</v>
      </c>
      <c r="G4737" s="3" t="s">
        <v>14518</v>
      </c>
    </row>
    <row r="4738">
      <c r="A4738" s="3" t="s">
        <v>14520</v>
      </c>
      <c r="B4738" s="3" t="s">
        <v>4650</v>
      </c>
      <c r="C4738" s="5" t="s">
        <v>614</v>
      </c>
      <c r="D4738" s="3" t="s">
        <v>206</v>
      </c>
      <c r="E4738" s="3" t="s">
        <v>100</v>
      </c>
      <c r="F4738" s="7">
        <v>45841.73834491806</v>
      </c>
      <c r="G4738" s="3" t="s">
        <v>14521</v>
      </c>
    </row>
    <row r="4739">
      <c r="A4739" s="3" t="s">
        <v>14522</v>
      </c>
      <c r="B4739" s="3" t="s">
        <v>4650</v>
      </c>
      <c r="C4739" s="5" t="s">
        <v>206</v>
      </c>
      <c r="D4739" s="3" t="s">
        <v>68</v>
      </c>
      <c r="E4739" s="3" t="s">
        <v>100</v>
      </c>
      <c r="F4739" s="7">
        <v>45841.74181714028</v>
      </c>
      <c r="G4739" s="3" t="s">
        <v>14524</v>
      </c>
    </row>
    <row r="4740">
      <c r="A4740" s="3" t="s">
        <v>14525</v>
      </c>
      <c r="B4740" s="3" t="s">
        <v>4653</v>
      </c>
      <c r="C4740" s="5" t="s">
        <v>45</v>
      </c>
      <c r="D4740" s="3" t="s">
        <v>221</v>
      </c>
      <c r="E4740" s="3" t="s">
        <v>446</v>
      </c>
      <c r="F4740" s="7">
        <v>45841.80257531904</v>
      </c>
      <c r="G4740" s="3" t="s">
        <v>14527</v>
      </c>
    </row>
    <row r="4741">
      <c r="A4741" s="3" t="s">
        <v>14528</v>
      </c>
      <c r="B4741" s="3" t="s">
        <v>4653</v>
      </c>
      <c r="C4741" s="5" t="s">
        <v>221</v>
      </c>
      <c r="D4741" s="3" t="s">
        <v>614</v>
      </c>
      <c r="E4741" s="3" t="s">
        <v>118</v>
      </c>
      <c r="F4741" s="7">
        <v>45841.80604754126</v>
      </c>
      <c r="G4741" s="3" t="s">
        <v>14529</v>
      </c>
    </row>
    <row r="4742">
      <c r="A4742" s="3" t="s">
        <v>14530</v>
      </c>
      <c r="B4742" s="3" t="s">
        <v>4653</v>
      </c>
      <c r="C4742" s="5" t="s">
        <v>614</v>
      </c>
      <c r="D4742" s="3" t="s">
        <v>206</v>
      </c>
      <c r="E4742" s="3" t="s">
        <v>100</v>
      </c>
      <c r="F4742" s="7">
        <v>45841.80951976348</v>
      </c>
      <c r="G4742" s="3" t="s">
        <v>14532</v>
      </c>
    </row>
    <row r="4743">
      <c r="A4743" s="3" t="s">
        <v>14533</v>
      </c>
      <c r="B4743" s="3" t="s">
        <v>4653</v>
      </c>
      <c r="C4743" s="5" t="s">
        <v>206</v>
      </c>
      <c r="D4743" s="3" t="s">
        <v>68</v>
      </c>
      <c r="E4743" s="3" t="s">
        <v>100</v>
      </c>
      <c r="F4743" s="7">
        <v>45841.8129919857</v>
      </c>
      <c r="G4743" s="3" t="s">
        <v>14535</v>
      </c>
    </row>
    <row r="4744">
      <c r="A4744" s="3" t="s">
        <v>14536</v>
      </c>
      <c r="B4744" s="3" t="s">
        <v>4657</v>
      </c>
      <c r="C4744" s="5" t="s">
        <v>45</v>
      </c>
      <c r="D4744" s="3" t="s">
        <v>221</v>
      </c>
      <c r="E4744" s="3" t="s">
        <v>605</v>
      </c>
      <c r="F4744" s="7">
        <v>45841.87375016445</v>
      </c>
      <c r="G4744" s="3" t="s">
        <v>14538</v>
      </c>
    </row>
    <row r="4745">
      <c r="A4745" s="3" t="s">
        <v>14539</v>
      </c>
      <c r="B4745" s="3" t="s">
        <v>4657</v>
      </c>
      <c r="C4745" s="5" t="s">
        <v>221</v>
      </c>
      <c r="D4745" s="3" t="s">
        <v>614</v>
      </c>
      <c r="E4745" s="3" t="s">
        <v>118</v>
      </c>
      <c r="F4745" s="7">
        <v>45841.87722238667</v>
      </c>
      <c r="G4745" s="3" t="s">
        <v>14541</v>
      </c>
    </row>
    <row r="4746">
      <c r="A4746" s="3" t="s">
        <v>14542</v>
      </c>
      <c r="B4746" s="3" t="s">
        <v>4657</v>
      </c>
      <c r="C4746" s="5" t="s">
        <v>614</v>
      </c>
      <c r="D4746" s="3" t="s">
        <v>206</v>
      </c>
      <c r="E4746" s="3" t="s">
        <v>100</v>
      </c>
      <c r="F4746" s="7">
        <v>45841.880694608895</v>
      </c>
      <c r="G4746" s="3" t="s">
        <v>14544</v>
      </c>
    </row>
    <row r="4747">
      <c r="A4747" s="3" t="s">
        <v>14545</v>
      </c>
      <c r="B4747" s="3" t="s">
        <v>4657</v>
      </c>
      <c r="C4747" s="5" t="s">
        <v>206</v>
      </c>
      <c r="D4747" s="3" t="s">
        <v>68</v>
      </c>
      <c r="E4747" s="3" t="s">
        <v>100</v>
      </c>
      <c r="F4747" s="7">
        <v>45841.884166831114</v>
      </c>
      <c r="G4747" s="3" t="s">
        <v>14546</v>
      </c>
    </row>
    <row r="4748">
      <c r="A4748" s="3" t="s">
        <v>14547</v>
      </c>
      <c r="B4748" s="3" t="s">
        <v>4660</v>
      </c>
      <c r="C4748" s="5" t="s">
        <v>45</v>
      </c>
      <c r="D4748" s="3" t="s">
        <v>221</v>
      </c>
      <c r="E4748" s="3" t="s">
        <v>446</v>
      </c>
      <c r="F4748" s="7">
        <v>45841.94492500986</v>
      </c>
      <c r="G4748" s="3" t="s">
        <v>14549</v>
      </c>
    </row>
    <row r="4749">
      <c r="A4749" s="3" t="s">
        <v>14550</v>
      </c>
      <c r="B4749" s="3" t="s">
        <v>4660</v>
      </c>
      <c r="C4749" s="5" t="s">
        <v>221</v>
      </c>
      <c r="D4749" s="3" t="s">
        <v>614</v>
      </c>
      <c r="E4749" s="3" t="s">
        <v>118</v>
      </c>
      <c r="F4749" s="7">
        <v>45841.94839723208</v>
      </c>
      <c r="G4749" s="3" t="s">
        <v>14552</v>
      </c>
    </row>
    <row r="4750">
      <c r="A4750" s="3" t="s">
        <v>14553</v>
      </c>
      <c r="B4750" s="3" t="s">
        <v>4660</v>
      </c>
      <c r="C4750" s="5" t="s">
        <v>614</v>
      </c>
      <c r="D4750" s="3" t="s">
        <v>206</v>
      </c>
      <c r="E4750" s="3" t="s">
        <v>100</v>
      </c>
      <c r="F4750" s="7">
        <v>45841.95186945431</v>
      </c>
      <c r="G4750" s="3" t="s">
        <v>14555</v>
      </c>
    </row>
    <row r="4751">
      <c r="A4751" s="3" t="s">
        <v>14556</v>
      </c>
      <c r="B4751" s="3" t="s">
        <v>4660</v>
      </c>
      <c r="C4751" s="5" t="s">
        <v>206</v>
      </c>
      <c r="D4751" s="3" t="s">
        <v>68</v>
      </c>
      <c r="E4751" s="3" t="s">
        <v>100</v>
      </c>
      <c r="F4751" s="7">
        <v>45841.95534167653</v>
      </c>
      <c r="G4751" s="3" t="s">
        <v>14558</v>
      </c>
    </row>
    <row r="4752">
      <c r="A4752" s="3" t="s">
        <v>14559</v>
      </c>
      <c r="B4752" s="3" t="s">
        <v>4662</v>
      </c>
      <c r="C4752" s="5" t="s">
        <v>45</v>
      </c>
      <c r="D4752" s="3" t="s">
        <v>221</v>
      </c>
      <c r="E4752" s="3" t="s">
        <v>175</v>
      </c>
      <c r="F4752" s="7">
        <v>45842.01609985528</v>
      </c>
      <c r="G4752" s="3" t="s">
        <v>13404</v>
      </c>
    </row>
    <row r="4753">
      <c r="A4753" s="3" t="s">
        <v>14561</v>
      </c>
      <c r="B4753" s="3" t="s">
        <v>4662</v>
      </c>
      <c r="C4753" s="5" t="s">
        <v>221</v>
      </c>
      <c r="D4753" s="3" t="s">
        <v>614</v>
      </c>
      <c r="E4753" s="3" t="s">
        <v>118</v>
      </c>
      <c r="F4753" s="7">
        <v>45842.0195720775</v>
      </c>
      <c r="G4753" s="3" t="s">
        <v>13407</v>
      </c>
    </row>
    <row r="4754">
      <c r="A4754" s="3" t="s">
        <v>14563</v>
      </c>
      <c r="B4754" s="3" t="s">
        <v>4662</v>
      </c>
      <c r="C4754" s="5" t="s">
        <v>614</v>
      </c>
      <c r="D4754" s="3" t="s">
        <v>206</v>
      </c>
      <c r="E4754" s="3" t="s">
        <v>100</v>
      </c>
      <c r="F4754" s="7">
        <v>45842.02304429973</v>
      </c>
      <c r="G4754" s="3" t="s">
        <v>13409</v>
      </c>
    </row>
    <row r="4755">
      <c r="A4755" s="3" t="s">
        <v>14564</v>
      </c>
      <c r="B4755" s="3" t="s">
        <v>4662</v>
      </c>
      <c r="C4755" s="5" t="s">
        <v>206</v>
      </c>
      <c r="D4755" s="3" t="s">
        <v>68</v>
      </c>
      <c r="E4755" s="3" t="s">
        <v>100</v>
      </c>
      <c r="F4755" s="7">
        <v>45842.026516521946</v>
      </c>
      <c r="G4755" s="3" t="s">
        <v>13412</v>
      </c>
    </row>
    <row r="4756">
      <c r="A4756" s="3" t="s">
        <v>14566</v>
      </c>
      <c r="B4756" s="3" t="s">
        <v>4665</v>
      </c>
      <c r="C4756" s="5" t="s">
        <v>45</v>
      </c>
      <c r="D4756" s="3" t="s">
        <v>221</v>
      </c>
      <c r="E4756" s="3" t="s">
        <v>488</v>
      </c>
      <c r="F4756" s="7">
        <v>45842.087274700694</v>
      </c>
      <c r="G4756" s="3" t="s">
        <v>14568</v>
      </c>
    </row>
    <row r="4757">
      <c r="A4757" s="3" t="s">
        <v>14569</v>
      </c>
      <c r="B4757" s="3" t="s">
        <v>4665</v>
      </c>
      <c r="C4757" s="5" t="s">
        <v>221</v>
      </c>
      <c r="D4757" s="3" t="s">
        <v>614</v>
      </c>
      <c r="E4757" s="3" t="s">
        <v>118</v>
      </c>
      <c r="F4757" s="7">
        <v>45842.09074692291</v>
      </c>
      <c r="G4757" s="3" t="s">
        <v>14571</v>
      </c>
    </row>
    <row r="4758">
      <c r="A4758" s="3" t="s">
        <v>14572</v>
      </c>
      <c r="B4758" s="3" t="s">
        <v>4665</v>
      </c>
      <c r="C4758" s="5" t="s">
        <v>614</v>
      </c>
      <c r="D4758" s="3" t="s">
        <v>206</v>
      </c>
      <c r="E4758" s="3" t="s">
        <v>100</v>
      </c>
      <c r="F4758" s="7">
        <v>45842.09421914514</v>
      </c>
      <c r="G4758" s="3" t="s">
        <v>14574</v>
      </c>
    </row>
    <row r="4759">
      <c r="A4759" s="3" t="s">
        <v>14575</v>
      </c>
      <c r="B4759" s="3" t="s">
        <v>4665</v>
      </c>
      <c r="C4759" s="5" t="s">
        <v>206</v>
      </c>
      <c r="D4759" s="3" t="s">
        <v>68</v>
      </c>
      <c r="E4759" s="3" t="s">
        <v>100</v>
      </c>
      <c r="F4759" s="7">
        <v>45842.09769136736</v>
      </c>
      <c r="G4759" s="3" t="s">
        <v>14577</v>
      </c>
    </row>
    <row r="4760">
      <c r="A4760" s="3" t="s">
        <v>14578</v>
      </c>
      <c r="B4760" s="3" t="s">
        <v>4669</v>
      </c>
      <c r="C4760" s="5" t="s">
        <v>45</v>
      </c>
      <c r="D4760" s="3" t="s">
        <v>221</v>
      </c>
      <c r="E4760" s="3" t="s">
        <v>159</v>
      </c>
      <c r="F4760" s="7">
        <v>45842.15844954611</v>
      </c>
      <c r="G4760" s="3" t="s">
        <v>8901</v>
      </c>
    </row>
    <row r="4761">
      <c r="A4761" s="3" t="s">
        <v>14580</v>
      </c>
      <c r="B4761" s="3" t="s">
        <v>4669</v>
      </c>
      <c r="C4761" s="5" t="s">
        <v>221</v>
      </c>
      <c r="D4761" s="3" t="s">
        <v>614</v>
      </c>
      <c r="E4761" s="3" t="s">
        <v>118</v>
      </c>
      <c r="F4761" s="7">
        <v>45842.161921768326</v>
      </c>
      <c r="G4761" s="3" t="s">
        <v>8904</v>
      </c>
    </row>
    <row r="4762">
      <c r="A4762" s="3" t="s">
        <v>14582</v>
      </c>
      <c r="B4762" s="3" t="s">
        <v>4669</v>
      </c>
      <c r="C4762" s="5" t="s">
        <v>614</v>
      </c>
      <c r="D4762" s="3" t="s">
        <v>206</v>
      </c>
      <c r="E4762" s="3" t="s">
        <v>100</v>
      </c>
      <c r="F4762" s="7">
        <v>45842.16539399055</v>
      </c>
      <c r="G4762" s="3" t="s">
        <v>8907</v>
      </c>
    </row>
    <row r="4763">
      <c r="A4763" s="3" t="s">
        <v>14584</v>
      </c>
      <c r="B4763" s="3" t="s">
        <v>4669</v>
      </c>
      <c r="C4763" s="5" t="s">
        <v>206</v>
      </c>
      <c r="D4763" s="3" t="s">
        <v>68</v>
      </c>
      <c r="E4763" s="3" t="s">
        <v>100</v>
      </c>
      <c r="F4763" s="7">
        <v>45842.16886621277</v>
      </c>
      <c r="G4763" s="3" t="s">
        <v>8910</v>
      </c>
    </row>
    <row r="4764">
      <c r="A4764" s="3" t="s">
        <v>14585</v>
      </c>
      <c r="B4764" s="3" t="s">
        <v>4671</v>
      </c>
      <c r="C4764" s="5" t="s">
        <v>45</v>
      </c>
      <c r="D4764" s="3" t="s">
        <v>221</v>
      </c>
      <c r="E4764" s="3" t="s">
        <v>619</v>
      </c>
      <c r="F4764" s="7">
        <v>45842.229624391526</v>
      </c>
      <c r="G4764" s="3" t="s">
        <v>14587</v>
      </c>
    </row>
    <row r="4765">
      <c r="A4765" s="3" t="s">
        <v>14588</v>
      </c>
      <c r="B4765" s="3" t="s">
        <v>4671</v>
      </c>
      <c r="C4765" s="5" t="s">
        <v>221</v>
      </c>
      <c r="D4765" s="3" t="s">
        <v>614</v>
      </c>
      <c r="E4765" s="3" t="s">
        <v>118</v>
      </c>
      <c r="F4765" s="7">
        <v>45842.233096613745</v>
      </c>
      <c r="G4765" s="3" t="s">
        <v>14590</v>
      </c>
    </row>
    <row r="4766">
      <c r="A4766" s="3" t="s">
        <v>14591</v>
      </c>
      <c r="B4766" s="3" t="s">
        <v>4671</v>
      </c>
      <c r="C4766" s="5" t="s">
        <v>614</v>
      </c>
      <c r="D4766" s="3" t="s">
        <v>206</v>
      </c>
      <c r="E4766" s="3" t="s">
        <v>100</v>
      </c>
      <c r="F4766" s="7">
        <v>45842.23656883597</v>
      </c>
      <c r="G4766" s="3" t="s">
        <v>14593</v>
      </c>
    </row>
    <row r="4767">
      <c r="A4767" s="3" t="s">
        <v>14594</v>
      </c>
      <c r="B4767" s="3" t="s">
        <v>4671</v>
      </c>
      <c r="C4767" s="5" t="s">
        <v>206</v>
      </c>
      <c r="D4767" s="3" t="s">
        <v>68</v>
      </c>
      <c r="E4767" s="3" t="s">
        <v>100</v>
      </c>
      <c r="F4767" s="7">
        <v>45842.24004105819</v>
      </c>
      <c r="G4767" s="3" t="s">
        <v>14595</v>
      </c>
    </row>
    <row r="4768">
      <c r="A4768" s="3" t="s">
        <v>14597</v>
      </c>
      <c r="B4768" s="3" t="s">
        <v>4673</v>
      </c>
      <c r="C4768" s="5" t="s">
        <v>45</v>
      </c>
      <c r="D4768" s="3" t="s">
        <v>221</v>
      </c>
      <c r="E4768" s="3" t="s">
        <v>479</v>
      </c>
      <c r="F4768" s="7">
        <v>45842.30079923694</v>
      </c>
      <c r="G4768" s="3" t="s">
        <v>14598</v>
      </c>
    </row>
    <row r="4769">
      <c r="A4769" s="3" t="s">
        <v>14600</v>
      </c>
      <c r="B4769" s="3" t="s">
        <v>4673</v>
      </c>
      <c r="C4769" s="5" t="s">
        <v>221</v>
      </c>
      <c r="D4769" s="3" t="s">
        <v>614</v>
      </c>
      <c r="E4769" s="3" t="s">
        <v>118</v>
      </c>
      <c r="F4769" s="7">
        <v>45842.30427145916</v>
      </c>
      <c r="G4769" s="3" t="s">
        <v>14601</v>
      </c>
    </row>
    <row r="4770">
      <c r="A4770" s="3" t="s">
        <v>14602</v>
      </c>
      <c r="B4770" s="3" t="s">
        <v>4673</v>
      </c>
      <c r="C4770" s="5" t="s">
        <v>614</v>
      </c>
      <c r="D4770" s="3" t="s">
        <v>206</v>
      </c>
      <c r="E4770" s="3" t="s">
        <v>100</v>
      </c>
      <c r="F4770" s="7">
        <v>45842.307743681384</v>
      </c>
      <c r="G4770" s="3" t="s">
        <v>14604</v>
      </c>
    </row>
    <row r="4771">
      <c r="A4771" s="3" t="s">
        <v>14605</v>
      </c>
      <c r="B4771" s="3" t="s">
        <v>4673</v>
      </c>
      <c r="C4771" s="5" t="s">
        <v>206</v>
      </c>
      <c r="D4771" s="3" t="s">
        <v>68</v>
      </c>
      <c r="E4771" s="3" t="s">
        <v>100</v>
      </c>
      <c r="F4771" s="7">
        <v>45842.3112159036</v>
      </c>
      <c r="G4771" s="3" t="s">
        <v>14607</v>
      </c>
    </row>
    <row r="4772">
      <c r="A4772" s="3" t="s">
        <v>14608</v>
      </c>
      <c r="B4772" s="3" t="s">
        <v>4676</v>
      </c>
      <c r="C4772" s="5" t="s">
        <v>45</v>
      </c>
      <c r="D4772" s="3" t="s">
        <v>221</v>
      </c>
      <c r="E4772" s="3" t="s">
        <v>581</v>
      </c>
      <c r="F4772" s="7">
        <v>45842.37197408235</v>
      </c>
      <c r="G4772" s="3" t="s">
        <v>14609</v>
      </c>
    </row>
    <row r="4773">
      <c r="A4773" s="3" t="s">
        <v>14611</v>
      </c>
      <c r="B4773" s="3" t="s">
        <v>4676</v>
      </c>
      <c r="C4773" s="5" t="s">
        <v>221</v>
      </c>
      <c r="D4773" s="3" t="s">
        <v>614</v>
      </c>
      <c r="E4773" s="3" t="s">
        <v>118</v>
      </c>
      <c r="F4773" s="7">
        <v>45842.37544630457</v>
      </c>
      <c r="G4773" s="3" t="s">
        <v>14612</v>
      </c>
    </row>
    <row r="4774">
      <c r="A4774" s="3" t="s">
        <v>14614</v>
      </c>
      <c r="B4774" s="3" t="s">
        <v>4676</v>
      </c>
      <c r="C4774" s="5" t="s">
        <v>614</v>
      </c>
      <c r="D4774" s="3" t="s">
        <v>206</v>
      </c>
      <c r="E4774" s="3" t="s">
        <v>100</v>
      </c>
      <c r="F4774" s="7">
        <v>45842.378918526796</v>
      </c>
      <c r="G4774" s="3" t="s">
        <v>14615</v>
      </c>
    </row>
    <row r="4775">
      <c r="A4775" s="3" t="s">
        <v>14616</v>
      </c>
      <c r="B4775" s="3" t="s">
        <v>4676</v>
      </c>
      <c r="C4775" s="5" t="s">
        <v>206</v>
      </c>
      <c r="D4775" s="3" t="s">
        <v>68</v>
      </c>
      <c r="E4775" s="3" t="s">
        <v>100</v>
      </c>
      <c r="F4775" s="7">
        <v>45842.382390749015</v>
      </c>
      <c r="G4775" s="3" t="s">
        <v>14618</v>
      </c>
    </row>
    <row r="4776">
      <c r="A4776" s="3" t="s">
        <v>14619</v>
      </c>
      <c r="B4776" s="3" t="s">
        <v>4679</v>
      </c>
      <c r="C4776" s="5" t="s">
        <v>45</v>
      </c>
      <c r="D4776" s="3" t="s">
        <v>221</v>
      </c>
      <c r="E4776" s="3" t="s">
        <v>987</v>
      </c>
      <c r="F4776" s="7">
        <v>45842.44314892777</v>
      </c>
      <c r="G4776" s="3" t="s">
        <v>11316</v>
      </c>
    </row>
    <row r="4777">
      <c r="A4777" s="3" t="s">
        <v>14622</v>
      </c>
      <c r="B4777" s="3" t="s">
        <v>4679</v>
      </c>
      <c r="C4777" s="5" t="s">
        <v>221</v>
      </c>
      <c r="D4777" s="3" t="s">
        <v>614</v>
      </c>
      <c r="E4777" s="3" t="s">
        <v>118</v>
      </c>
      <c r="F4777" s="7">
        <v>45842.44662114999</v>
      </c>
      <c r="G4777" s="3" t="s">
        <v>11319</v>
      </c>
    </row>
    <row r="4778">
      <c r="A4778" s="3" t="s">
        <v>14624</v>
      </c>
      <c r="B4778" s="3" t="s">
        <v>4679</v>
      </c>
      <c r="C4778" s="5" t="s">
        <v>614</v>
      </c>
      <c r="D4778" s="3" t="s">
        <v>206</v>
      </c>
      <c r="E4778" s="3" t="s">
        <v>100</v>
      </c>
      <c r="F4778" s="7">
        <v>45842.450093372216</v>
      </c>
      <c r="G4778" s="3" t="s">
        <v>11321</v>
      </c>
    </row>
    <row r="4779">
      <c r="A4779" s="3" t="s">
        <v>14626</v>
      </c>
      <c r="B4779" s="3" t="s">
        <v>4679</v>
      </c>
      <c r="C4779" s="5" t="s">
        <v>206</v>
      </c>
      <c r="D4779" s="3" t="s">
        <v>68</v>
      </c>
      <c r="E4779" s="3" t="s">
        <v>100</v>
      </c>
      <c r="F4779" s="7">
        <v>45842.453565594435</v>
      </c>
      <c r="G4779" s="3" t="s">
        <v>11324</v>
      </c>
    </row>
    <row r="4780">
      <c r="A4780" s="3" t="s">
        <v>14628</v>
      </c>
      <c r="B4780" s="3" t="s">
        <v>4682</v>
      </c>
      <c r="C4780" s="5" t="s">
        <v>45</v>
      </c>
      <c r="D4780" s="3" t="s">
        <v>221</v>
      </c>
      <c r="E4780" s="3" t="s">
        <v>523</v>
      </c>
      <c r="F4780" s="7">
        <v>45842.51432377319</v>
      </c>
      <c r="G4780" s="3" t="s">
        <v>14629</v>
      </c>
    </row>
    <row r="4781">
      <c r="A4781" s="3" t="s">
        <v>14630</v>
      </c>
      <c r="B4781" s="3" t="s">
        <v>4682</v>
      </c>
      <c r="C4781" s="5" t="s">
        <v>221</v>
      </c>
      <c r="D4781" s="3" t="s">
        <v>614</v>
      </c>
      <c r="E4781" s="3" t="s">
        <v>118</v>
      </c>
      <c r="F4781" s="7">
        <v>45842.51779599541</v>
      </c>
      <c r="G4781" s="3" t="s">
        <v>14632</v>
      </c>
    </row>
    <row r="4782">
      <c r="A4782" s="3" t="s">
        <v>14633</v>
      </c>
      <c r="B4782" s="3" t="s">
        <v>4682</v>
      </c>
      <c r="C4782" s="5" t="s">
        <v>614</v>
      </c>
      <c r="D4782" s="3" t="s">
        <v>206</v>
      </c>
      <c r="E4782" s="3" t="s">
        <v>100</v>
      </c>
      <c r="F4782" s="7">
        <v>45842.521268217635</v>
      </c>
      <c r="G4782" s="3" t="s">
        <v>14634</v>
      </c>
    </row>
    <row r="4783">
      <c r="A4783" s="3" t="s">
        <v>14635</v>
      </c>
      <c r="B4783" s="3" t="s">
        <v>4682</v>
      </c>
      <c r="C4783" s="5" t="s">
        <v>206</v>
      </c>
      <c r="D4783" s="3" t="s">
        <v>68</v>
      </c>
      <c r="E4783" s="3" t="s">
        <v>100</v>
      </c>
      <c r="F4783" s="7">
        <v>45842.524740439854</v>
      </c>
      <c r="G4783" s="3" t="s">
        <v>14637</v>
      </c>
    </row>
    <row r="4784">
      <c r="A4784" s="3" t="s">
        <v>14638</v>
      </c>
      <c r="B4784" s="3" t="s">
        <v>4685</v>
      </c>
      <c r="C4784" s="5" t="s">
        <v>45</v>
      </c>
      <c r="D4784" s="3" t="s">
        <v>221</v>
      </c>
      <c r="E4784" s="3" t="s">
        <v>296</v>
      </c>
      <c r="F4784" s="7">
        <v>45842.585498618595</v>
      </c>
      <c r="G4784" s="3" t="s">
        <v>14641</v>
      </c>
    </row>
    <row r="4785">
      <c r="A4785" s="3" t="s">
        <v>14642</v>
      </c>
      <c r="B4785" s="3" t="s">
        <v>4685</v>
      </c>
      <c r="C4785" s="5" t="s">
        <v>221</v>
      </c>
      <c r="D4785" s="3" t="s">
        <v>614</v>
      </c>
      <c r="E4785" s="3" t="s">
        <v>118</v>
      </c>
      <c r="F4785" s="7">
        <v>45842.588970840814</v>
      </c>
      <c r="G4785" s="3" t="s">
        <v>14644</v>
      </c>
    </row>
    <row r="4786">
      <c r="A4786" s="3" t="s">
        <v>14645</v>
      </c>
      <c r="B4786" s="3" t="s">
        <v>4685</v>
      </c>
      <c r="C4786" s="5" t="s">
        <v>614</v>
      </c>
      <c r="D4786" s="3" t="s">
        <v>206</v>
      </c>
      <c r="E4786" s="3" t="s">
        <v>100</v>
      </c>
      <c r="F4786" s="7">
        <v>45842.59244306304</v>
      </c>
      <c r="G4786" s="3" t="s">
        <v>14646</v>
      </c>
    </row>
    <row r="4787">
      <c r="A4787" s="3" t="s">
        <v>14647</v>
      </c>
      <c r="B4787" s="3" t="s">
        <v>4685</v>
      </c>
      <c r="C4787" s="5" t="s">
        <v>206</v>
      </c>
      <c r="D4787" s="3" t="s">
        <v>68</v>
      </c>
      <c r="E4787" s="3" t="s">
        <v>100</v>
      </c>
      <c r="F4787" s="7">
        <v>45842.59591528526</v>
      </c>
      <c r="G4787" s="3" t="s">
        <v>14649</v>
      </c>
    </row>
    <row r="4788">
      <c r="A4788" s="3" t="s">
        <v>14651</v>
      </c>
      <c r="B4788" s="3" t="s">
        <v>4688</v>
      </c>
      <c r="C4788" s="5" t="s">
        <v>45</v>
      </c>
      <c r="D4788" s="3" t="s">
        <v>221</v>
      </c>
      <c r="E4788" s="3" t="s">
        <v>533</v>
      </c>
      <c r="F4788" s="7">
        <v>45842.656673464015</v>
      </c>
      <c r="G4788" s="3" t="s">
        <v>2770</v>
      </c>
    </row>
    <row r="4789">
      <c r="A4789" s="3" t="s">
        <v>14653</v>
      </c>
      <c r="B4789" s="3" t="s">
        <v>4688</v>
      </c>
      <c r="C4789" s="5" t="s">
        <v>221</v>
      </c>
      <c r="D4789" s="3" t="s">
        <v>181</v>
      </c>
      <c r="E4789" s="3" t="s">
        <v>118</v>
      </c>
      <c r="F4789" s="7">
        <v>45842.66014568623</v>
      </c>
      <c r="G4789" s="3" t="s">
        <v>2774</v>
      </c>
    </row>
    <row r="4790">
      <c r="A4790" s="3" t="s">
        <v>14654</v>
      </c>
      <c r="B4790" s="3" t="s">
        <v>4691</v>
      </c>
      <c r="C4790" s="5" t="s">
        <v>45</v>
      </c>
      <c r="D4790" s="3" t="s">
        <v>221</v>
      </c>
      <c r="E4790" s="3" t="s">
        <v>547</v>
      </c>
      <c r="F4790" s="7">
        <v>45842.727848309434</v>
      </c>
      <c r="G4790" s="3" t="s">
        <v>14656</v>
      </c>
    </row>
    <row r="4791">
      <c r="A4791" s="3" t="s">
        <v>14657</v>
      </c>
      <c r="B4791" s="3" t="s">
        <v>4691</v>
      </c>
      <c r="C4791" s="5" t="s">
        <v>221</v>
      </c>
      <c r="D4791" s="3" t="s">
        <v>614</v>
      </c>
      <c r="E4791" s="3" t="s">
        <v>118</v>
      </c>
      <c r="F4791" s="7">
        <v>45842.73132053165</v>
      </c>
      <c r="G4791" s="3" t="s">
        <v>14659</v>
      </c>
    </row>
    <row r="4792">
      <c r="A4792" s="3" t="s">
        <v>14660</v>
      </c>
      <c r="B4792" s="3" t="s">
        <v>4691</v>
      </c>
      <c r="C4792" s="5" t="s">
        <v>614</v>
      </c>
      <c r="D4792" s="3" t="s">
        <v>206</v>
      </c>
      <c r="E4792" s="3" t="s">
        <v>100</v>
      </c>
      <c r="F4792" s="7">
        <v>45842.73479275388</v>
      </c>
      <c r="G4792" s="3" t="s">
        <v>14662</v>
      </c>
    </row>
    <row r="4793">
      <c r="A4793" s="3" t="s">
        <v>14663</v>
      </c>
      <c r="B4793" s="3" t="s">
        <v>4691</v>
      </c>
      <c r="C4793" s="5" t="s">
        <v>206</v>
      </c>
      <c r="D4793" s="3" t="s">
        <v>68</v>
      </c>
      <c r="E4793" s="3" t="s">
        <v>100</v>
      </c>
      <c r="F4793" s="7">
        <v>45842.7382649761</v>
      </c>
      <c r="G4793" s="3" t="s">
        <v>14665</v>
      </c>
    </row>
    <row r="4794">
      <c r="A4794" s="3" t="s">
        <v>14666</v>
      </c>
      <c r="B4794" s="3" t="s">
        <v>4694</v>
      </c>
      <c r="C4794" s="5" t="s">
        <v>45</v>
      </c>
      <c r="D4794" s="3" t="s">
        <v>221</v>
      </c>
      <c r="E4794" s="3" t="s">
        <v>488</v>
      </c>
      <c r="F4794" s="7">
        <v>45842.79902315485</v>
      </c>
      <c r="G4794" s="3" t="s">
        <v>14568</v>
      </c>
    </row>
    <row r="4795">
      <c r="A4795" s="3" t="s">
        <v>14668</v>
      </c>
      <c r="B4795" s="3" t="s">
        <v>4694</v>
      </c>
      <c r="C4795" s="5" t="s">
        <v>221</v>
      </c>
      <c r="D4795" s="3" t="s">
        <v>614</v>
      </c>
      <c r="E4795" s="3" t="s">
        <v>118</v>
      </c>
      <c r="F4795" s="7">
        <v>45842.802495377065</v>
      </c>
      <c r="G4795" s="3" t="s">
        <v>14571</v>
      </c>
    </row>
    <row r="4796">
      <c r="A4796" s="3" t="s">
        <v>14669</v>
      </c>
      <c r="B4796" s="3" t="s">
        <v>4694</v>
      </c>
      <c r="C4796" s="5" t="s">
        <v>614</v>
      </c>
      <c r="D4796" s="3" t="s">
        <v>206</v>
      </c>
      <c r="E4796" s="3" t="s">
        <v>100</v>
      </c>
      <c r="F4796" s="7">
        <v>45842.80596759929</v>
      </c>
      <c r="G4796" s="3" t="s">
        <v>14574</v>
      </c>
    </row>
    <row r="4797">
      <c r="A4797" s="3" t="s">
        <v>14671</v>
      </c>
      <c r="B4797" s="3" t="s">
        <v>4694</v>
      </c>
      <c r="C4797" s="5" t="s">
        <v>206</v>
      </c>
      <c r="D4797" s="3" t="s">
        <v>68</v>
      </c>
      <c r="E4797" s="3" t="s">
        <v>100</v>
      </c>
      <c r="F4797" s="7">
        <v>45842.80943982151</v>
      </c>
      <c r="G4797" s="3" t="s">
        <v>14577</v>
      </c>
    </row>
    <row r="4798">
      <c r="A4798" s="3" t="s">
        <v>14673</v>
      </c>
      <c r="B4798" s="3" t="s">
        <v>4697</v>
      </c>
      <c r="C4798" s="5" t="s">
        <v>45</v>
      </c>
      <c r="D4798" s="3" t="s">
        <v>221</v>
      </c>
      <c r="E4798" s="3" t="s">
        <v>224</v>
      </c>
      <c r="F4798" s="7">
        <v>45842.87019800026</v>
      </c>
      <c r="G4798" s="3" t="s">
        <v>7009</v>
      </c>
    </row>
    <row r="4799">
      <c r="A4799" s="3" t="s">
        <v>14675</v>
      </c>
      <c r="B4799" s="3" t="s">
        <v>4697</v>
      </c>
      <c r="C4799" s="5" t="s">
        <v>221</v>
      </c>
      <c r="D4799" s="3" t="s">
        <v>614</v>
      </c>
      <c r="E4799" s="3" t="s">
        <v>118</v>
      </c>
      <c r="F4799" s="7">
        <v>45842.87367022248</v>
      </c>
      <c r="G4799" s="3" t="s">
        <v>7012</v>
      </c>
    </row>
    <row r="4800">
      <c r="A4800" s="3" t="s">
        <v>14677</v>
      </c>
      <c r="B4800" s="3" t="s">
        <v>4697</v>
      </c>
      <c r="C4800" s="5" t="s">
        <v>614</v>
      </c>
      <c r="D4800" s="3" t="s">
        <v>206</v>
      </c>
      <c r="E4800" s="3" t="s">
        <v>100</v>
      </c>
      <c r="F4800" s="7">
        <v>45842.877142444704</v>
      </c>
      <c r="G4800" s="3" t="s">
        <v>7015</v>
      </c>
    </row>
    <row r="4801">
      <c r="A4801" s="3" t="s">
        <v>14678</v>
      </c>
      <c r="B4801" s="3" t="s">
        <v>4697</v>
      </c>
      <c r="C4801" s="5" t="s">
        <v>206</v>
      </c>
      <c r="D4801" s="3" t="s">
        <v>68</v>
      </c>
      <c r="E4801" s="3" t="s">
        <v>100</v>
      </c>
      <c r="F4801" s="7">
        <v>45842.88061466692</v>
      </c>
      <c r="G4801" s="3" t="s">
        <v>7018</v>
      </c>
    </row>
    <row r="4802">
      <c r="A4802" s="3" t="s">
        <v>14680</v>
      </c>
      <c r="B4802" s="3" t="s">
        <v>4700</v>
      </c>
      <c r="C4802" s="5" t="s">
        <v>45</v>
      </c>
      <c r="D4802" s="3" t="s">
        <v>221</v>
      </c>
      <c r="E4802" s="3" t="s">
        <v>579</v>
      </c>
      <c r="F4802" s="7">
        <v>45842.94137284568</v>
      </c>
      <c r="G4802" s="3" t="s">
        <v>13039</v>
      </c>
    </row>
    <row r="4803">
      <c r="A4803" s="3" t="s">
        <v>14682</v>
      </c>
      <c r="B4803" s="3" t="s">
        <v>4700</v>
      </c>
      <c r="C4803" s="5" t="s">
        <v>221</v>
      </c>
      <c r="D4803" s="3" t="s">
        <v>614</v>
      </c>
      <c r="E4803" s="3" t="s">
        <v>118</v>
      </c>
      <c r="F4803" s="7">
        <v>45842.9448450679</v>
      </c>
      <c r="G4803" s="3" t="s">
        <v>13042</v>
      </c>
    </row>
    <row r="4804">
      <c r="A4804" s="3" t="s">
        <v>14684</v>
      </c>
      <c r="B4804" s="3" t="s">
        <v>4700</v>
      </c>
      <c r="C4804" s="5" t="s">
        <v>614</v>
      </c>
      <c r="D4804" s="3" t="s">
        <v>206</v>
      </c>
      <c r="E4804" s="3" t="s">
        <v>100</v>
      </c>
      <c r="F4804" s="7">
        <v>45842.948317290124</v>
      </c>
      <c r="G4804" s="3" t="s">
        <v>13045</v>
      </c>
    </row>
    <row r="4805">
      <c r="A4805" s="3" t="s">
        <v>14686</v>
      </c>
      <c r="B4805" s="3" t="s">
        <v>4700</v>
      </c>
      <c r="C4805" s="5" t="s">
        <v>206</v>
      </c>
      <c r="D4805" s="3" t="s">
        <v>68</v>
      </c>
      <c r="E4805" s="3" t="s">
        <v>100</v>
      </c>
      <c r="F4805" s="7">
        <v>45842.95178951234</v>
      </c>
      <c r="G4805" s="3" t="s">
        <v>13049</v>
      </c>
    </row>
    <row r="4806">
      <c r="A4806" s="3" t="s">
        <v>14688</v>
      </c>
      <c r="B4806" s="3" t="s">
        <v>4703</v>
      </c>
      <c r="C4806" s="5" t="s">
        <v>45</v>
      </c>
      <c r="D4806" s="3" t="s">
        <v>221</v>
      </c>
      <c r="E4806" s="3" t="s">
        <v>627</v>
      </c>
      <c r="F4806" s="7">
        <v>45843.01254769109</v>
      </c>
      <c r="G4806" s="3" t="s">
        <v>4460</v>
      </c>
    </row>
    <row r="4807">
      <c r="A4807" s="3" t="s">
        <v>14689</v>
      </c>
      <c r="B4807" s="3" t="s">
        <v>4703</v>
      </c>
      <c r="C4807" s="5" t="s">
        <v>221</v>
      </c>
      <c r="D4807" s="3" t="s">
        <v>181</v>
      </c>
      <c r="E4807" s="3" t="s">
        <v>118</v>
      </c>
      <c r="F4807" s="7">
        <v>45843.01601991331</v>
      </c>
      <c r="G4807" s="3" t="s">
        <v>14691</v>
      </c>
    </row>
    <row r="4808">
      <c r="A4808" s="3" t="s">
        <v>14692</v>
      </c>
      <c r="B4808" s="3" t="s">
        <v>4707</v>
      </c>
      <c r="C4808" s="5" t="s">
        <v>45</v>
      </c>
      <c r="D4808" s="3" t="s">
        <v>221</v>
      </c>
      <c r="E4808" s="3" t="s">
        <v>175</v>
      </c>
      <c r="F4808" s="7">
        <v>45843.0837225365</v>
      </c>
      <c r="G4808" s="3" t="s">
        <v>13404</v>
      </c>
    </row>
    <row r="4809">
      <c r="A4809" s="3" t="s">
        <v>14694</v>
      </c>
      <c r="B4809" s="3" t="s">
        <v>4707</v>
      </c>
      <c r="C4809" s="5" t="s">
        <v>221</v>
      </c>
      <c r="D4809" s="3" t="s">
        <v>614</v>
      </c>
      <c r="E4809" s="3" t="s">
        <v>118</v>
      </c>
      <c r="F4809" s="7">
        <v>45843.08719475872</v>
      </c>
      <c r="G4809" s="3" t="s">
        <v>13407</v>
      </c>
    </row>
    <row r="4810">
      <c r="A4810" s="3" t="s">
        <v>14696</v>
      </c>
      <c r="B4810" s="3" t="s">
        <v>4707</v>
      </c>
      <c r="C4810" s="5" t="s">
        <v>614</v>
      </c>
      <c r="D4810" s="3" t="s">
        <v>206</v>
      </c>
      <c r="E4810" s="3" t="s">
        <v>100</v>
      </c>
      <c r="F4810" s="7">
        <v>45843.09066698095</v>
      </c>
      <c r="G4810" s="3" t="s">
        <v>13409</v>
      </c>
    </row>
    <row r="4811">
      <c r="A4811" s="3" t="s">
        <v>14698</v>
      </c>
      <c r="B4811" s="3" t="s">
        <v>4707</v>
      </c>
      <c r="C4811" s="5" t="s">
        <v>206</v>
      </c>
      <c r="D4811" s="3" t="s">
        <v>68</v>
      </c>
      <c r="E4811" s="3" t="s">
        <v>100</v>
      </c>
      <c r="F4811" s="7">
        <v>45843.09413920317</v>
      </c>
      <c r="G4811" s="3" t="s">
        <v>13412</v>
      </c>
    </row>
    <row r="4812">
      <c r="A4812" s="3" t="s">
        <v>14699</v>
      </c>
      <c r="B4812" s="3" t="s">
        <v>4710</v>
      </c>
      <c r="C4812" s="5" t="s">
        <v>45</v>
      </c>
      <c r="D4812" s="3" t="s">
        <v>221</v>
      </c>
      <c r="E4812" s="3" t="s">
        <v>440</v>
      </c>
      <c r="F4812" s="7">
        <v>45843.15489738192</v>
      </c>
      <c r="G4812" s="3" t="s">
        <v>14701</v>
      </c>
    </row>
    <row r="4813">
      <c r="A4813" s="3" t="s">
        <v>14702</v>
      </c>
      <c r="B4813" s="3" t="s">
        <v>4710</v>
      </c>
      <c r="C4813" s="5" t="s">
        <v>221</v>
      </c>
      <c r="D4813" s="3" t="s">
        <v>614</v>
      </c>
      <c r="E4813" s="3" t="s">
        <v>118</v>
      </c>
      <c r="F4813" s="7">
        <v>45843.15836960414</v>
      </c>
      <c r="G4813" s="3" t="s">
        <v>14704</v>
      </c>
    </row>
    <row r="4814">
      <c r="A4814" s="3" t="s">
        <v>14705</v>
      </c>
      <c r="B4814" s="3" t="s">
        <v>4710</v>
      </c>
      <c r="C4814" s="5" t="s">
        <v>614</v>
      </c>
      <c r="D4814" s="3" t="s">
        <v>206</v>
      </c>
      <c r="E4814" s="3" t="s">
        <v>100</v>
      </c>
      <c r="F4814" s="7">
        <v>45843.16184182637</v>
      </c>
      <c r="G4814" s="3" t="s">
        <v>14707</v>
      </c>
    </row>
    <row r="4815">
      <c r="A4815" s="3" t="s">
        <v>14708</v>
      </c>
      <c r="B4815" s="3" t="s">
        <v>4710</v>
      </c>
      <c r="C4815" s="5" t="s">
        <v>206</v>
      </c>
      <c r="D4815" s="3" t="s">
        <v>68</v>
      </c>
      <c r="E4815" s="3" t="s">
        <v>100</v>
      </c>
      <c r="F4815" s="7">
        <v>45843.16531404859</v>
      </c>
      <c r="G4815" s="3" t="s">
        <v>14709</v>
      </c>
    </row>
    <row r="4816">
      <c r="A4816" s="3" t="s">
        <v>14711</v>
      </c>
      <c r="B4816" s="3" t="s">
        <v>4714</v>
      </c>
      <c r="C4816" s="5" t="s">
        <v>45</v>
      </c>
      <c r="D4816" s="3" t="s">
        <v>221</v>
      </c>
      <c r="E4816" s="3" t="s">
        <v>722</v>
      </c>
      <c r="F4816" s="7">
        <v>45843.22607222734</v>
      </c>
      <c r="G4816" s="3" t="s">
        <v>14712</v>
      </c>
    </row>
    <row r="4817">
      <c r="A4817" s="3" t="s">
        <v>14714</v>
      </c>
      <c r="B4817" s="3" t="s">
        <v>4714</v>
      </c>
      <c r="C4817" s="5" t="s">
        <v>221</v>
      </c>
      <c r="D4817" s="3" t="s">
        <v>614</v>
      </c>
      <c r="E4817" s="3" t="s">
        <v>118</v>
      </c>
      <c r="F4817" s="7">
        <v>45843.22954444956</v>
      </c>
      <c r="G4817" s="3" t="s">
        <v>14715</v>
      </c>
    </row>
    <row r="4818">
      <c r="A4818" s="3" t="s">
        <v>14716</v>
      </c>
      <c r="B4818" s="3" t="s">
        <v>4714</v>
      </c>
      <c r="C4818" s="5" t="s">
        <v>614</v>
      </c>
      <c r="D4818" s="3" t="s">
        <v>206</v>
      </c>
      <c r="E4818" s="3" t="s">
        <v>100</v>
      </c>
      <c r="F4818" s="7">
        <v>45843.23301667179</v>
      </c>
      <c r="G4818" s="3" t="s">
        <v>14718</v>
      </c>
    </row>
    <row r="4819">
      <c r="A4819" s="3" t="s">
        <v>14719</v>
      </c>
      <c r="B4819" s="3" t="s">
        <v>4714</v>
      </c>
      <c r="C4819" s="5" t="s">
        <v>206</v>
      </c>
      <c r="D4819" s="3" t="s">
        <v>68</v>
      </c>
      <c r="E4819" s="3" t="s">
        <v>100</v>
      </c>
      <c r="F4819" s="7">
        <v>45843.23648889401</v>
      </c>
      <c r="G4819" s="3" t="s">
        <v>14721</v>
      </c>
    </row>
    <row r="4820">
      <c r="A4820" s="3" t="s">
        <v>14722</v>
      </c>
      <c r="B4820" s="3" t="s">
        <v>4717</v>
      </c>
      <c r="C4820" s="5" t="s">
        <v>45</v>
      </c>
      <c r="D4820" s="3" t="s">
        <v>221</v>
      </c>
      <c r="E4820" s="3" t="s">
        <v>838</v>
      </c>
      <c r="F4820" s="7">
        <v>45843.29724707275</v>
      </c>
      <c r="G4820" s="3" t="s">
        <v>14724</v>
      </c>
    </row>
    <row r="4821">
      <c r="A4821" s="3" t="s">
        <v>14725</v>
      </c>
      <c r="B4821" s="3" t="s">
        <v>4717</v>
      </c>
      <c r="C4821" s="5" t="s">
        <v>221</v>
      </c>
      <c r="D4821" s="3" t="s">
        <v>614</v>
      </c>
      <c r="E4821" s="3" t="s">
        <v>118</v>
      </c>
      <c r="F4821" s="7">
        <v>45843.300719294966</v>
      </c>
      <c r="G4821" s="3" t="s">
        <v>14727</v>
      </c>
    </row>
    <row r="4822">
      <c r="A4822" s="3" t="s">
        <v>14728</v>
      </c>
      <c r="B4822" s="3" t="s">
        <v>4717</v>
      </c>
      <c r="C4822" s="5" t="s">
        <v>614</v>
      </c>
      <c r="D4822" s="3" t="s">
        <v>206</v>
      </c>
      <c r="E4822" s="3" t="s">
        <v>100</v>
      </c>
      <c r="F4822" s="7">
        <v>45843.30419151719</v>
      </c>
      <c r="G4822" s="3" t="s">
        <v>14729</v>
      </c>
    </row>
    <row r="4823">
      <c r="A4823" s="3" t="s">
        <v>14731</v>
      </c>
      <c r="B4823" s="3" t="s">
        <v>4717</v>
      </c>
      <c r="C4823" s="5" t="s">
        <v>206</v>
      </c>
      <c r="D4823" s="3" t="s">
        <v>68</v>
      </c>
      <c r="E4823" s="3" t="s">
        <v>100</v>
      </c>
      <c r="F4823" s="7">
        <v>45843.30766373941</v>
      </c>
      <c r="G4823" s="3" t="s">
        <v>14732</v>
      </c>
    </row>
    <row r="4824">
      <c r="A4824" s="3" t="s">
        <v>14733</v>
      </c>
      <c r="B4824" s="3" t="s">
        <v>4720</v>
      </c>
      <c r="C4824" s="5" t="s">
        <v>45</v>
      </c>
      <c r="D4824" s="3" t="s">
        <v>221</v>
      </c>
      <c r="E4824" s="3" t="s">
        <v>341</v>
      </c>
      <c r="F4824" s="7">
        <v>45843.36842191817</v>
      </c>
      <c r="G4824" s="3" t="s">
        <v>14735</v>
      </c>
    </row>
    <row r="4825">
      <c r="A4825" s="3" t="s">
        <v>14737</v>
      </c>
      <c r="B4825" s="3" t="s">
        <v>4720</v>
      </c>
      <c r="C4825" s="5" t="s">
        <v>221</v>
      </c>
      <c r="D4825" s="3" t="s">
        <v>614</v>
      </c>
      <c r="E4825" s="3" t="s">
        <v>118</v>
      </c>
      <c r="F4825" s="7">
        <v>45843.371894140386</v>
      </c>
      <c r="G4825" s="3" t="s">
        <v>14738</v>
      </c>
    </row>
    <row r="4826">
      <c r="A4826" s="3" t="s">
        <v>14740</v>
      </c>
      <c r="B4826" s="3" t="s">
        <v>4720</v>
      </c>
      <c r="C4826" s="5" t="s">
        <v>614</v>
      </c>
      <c r="D4826" s="3" t="s">
        <v>206</v>
      </c>
      <c r="E4826" s="3" t="s">
        <v>100</v>
      </c>
      <c r="F4826" s="7">
        <v>45843.37536636261</v>
      </c>
      <c r="G4826" s="3" t="s">
        <v>14741</v>
      </c>
    </row>
    <row r="4827">
      <c r="A4827" s="3" t="s">
        <v>14742</v>
      </c>
      <c r="B4827" s="3" t="s">
        <v>4720</v>
      </c>
      <c r="C4827" s="5" t="s">
        <v>206</v>
      </c>
      <c r="D4827" s="3" t="s">
        <v>68</v>
      </c>
      <c r="E4827" s="3" t="s">
        <v>100</v>
      </c>
      <c r="F4827" s="7">
        <v>45843.37883858483</v>
      </c>
      <c r="G4827" s="3" t="s">
        <v>14744</v>
      </c>
    </row>
    <row r="4828">
      <c r="A4828" s="3" t="s">
        <v>14745</v>
      </c>
      <c r="B4828" s="3" t="s">
        <v>4723</v>
      </c>
      <c r="C4828" s="5" t="s">
        <v>45</v>
      </c>
      <c r="D4828" s="3" t="s">
        <v>221</v>
      </c>
      <c r="E4828" s="3" t="s">
        <v>137</v>
      </c>
      <c r="F4828" s="7">
        <v>45843.43959676358</v>
      </c>
      <c r="G4828" s="3" t="s">
        <v>14747</v>
      </c>
    </row>
    <row r="4829">
      <c r="A4829" s="3" t="s">
        <v>14748</v>
      </c>
      <c r="B4829" s="3" t="s">
        <v>4723</v>
      </c>
      <c r="C4829" s="5" t="s">
        <v>221</v>
      </c>
      <c r="D4829" s="3" t="s">
        <v>614</v>
      </c>
      <c r="E4829" s="3" t="s">
        <v>118</v>
      </c>
      <c r="F4829" s="7">
        <v>45843.4430689858</v>
      </c>
      <c r="G4829" s="3" t="s">
        <v>14749</v>
      </c>
    </row>
    <row r="4830">
      <c r="A4830" s="3" t="s">
        <v>14750</v>
      </c>
      <c r="B4830" s="3" t="s">
        <v>4723</v>
      </c>
      <c r="C4830" s="5" t="s">
        <v>614</v>
      </c>
      <c r="D4830" s="3" t="s">
        <v>206</v>
      </c>
      <c r="E4830" s="3" t="s">
        <v>100</v>
      </c>
      <c r="F4830" s="7">
        <v>45843.446541208024</v>
      </c>
      <c r="G4830" s="3" t="s">
        <v>14752</v>
      </c>
    </row>
    <row r="4831">
      <c r="A4831" s="3" t="s">
        <v>14753</v>
      </c>
      <c r="B4831" s="3" t="s">
        <v>4723</v>
      </c>
      <c r="C4831" s="5" t="s">
        <v>206</v>
      </c>
      <c r="D4831" s="3" t="s">
        <v>68</v>
      </c>
      <c r="E4831" s="3" t="s">
        <v>100</v>
      </c>
      <c r="F4831" s="7">
        <v>45843.45001343024</v>
      </c>
      <c r="G4831" s="3" t="s">
        <v>14755</v>
      </c>
    </row>
    <row r="4832">
      <c r="A4832" s="3" t="s">
        <v>14756</v>
      </c>
      <c r="B4832" s="3" t="s">
        <v>4726</v>
      </c>
      <c r="C4832" s="5" t="s">
        <v>45</v>
      </c>
      <c r="D4832" s="3" t="s">
        <v>221</v>
      </c>
      <c r="E4832" s="3" t="s">
        <v>472</v>
      </c>
      <c r="F4832" s="7">
        <v>45843.510771609</v>
      </c>
      <c r="G4832" s="3" t="s">
        <v>14758</v>
      </c>
    </row>
    <row r="4833">
      <c r="A4833" s="3" t="s">
        <v>14759</v>
      </c>
      <c r="B4833" s="3" t="s">
        <v>4726</v>
      </c>
      <c r="C4833" s="5" t="s">
        <v>221</v>
      </c>
      <c r="D4833" s="3" t="s">
        <v>614</v>
      </c>
      <c r="E4833" s="3" t="s">
        <v>118</v>
      </c>
      <c r="F4833" s="7">
        <v>45843.51424383122</v>
      </c>
      <c r="G4833" s="3" t="s">
        <v>14761</v>
      </c>
    </row>
    <row r="4834">
      <c r="A4834" s="3" t="s">
        <v>14762</v>
      </c>
      <c r="B4834" s="3" t="s">
        <v>4726</v>
      </c>
      <c r="C4834" s="5" t="s">
        <v>614</v>
      </c>
      <c r="D4834" s="3" t="s">
        <v>206</v>
      </c>
      <c r="E4834" s="3" t="s">
        <v>100</v>
      </c>
      <c r="F4834" s="7">
        <v>45843.517716053444</v>
      </c>
      <c r="G4834" s="3" t="s">
        <v>14763</v>
      </c>
    </row>
    <row r="4835">
      <c r="A4835" s="3" t="s">
        <v>14764</v>
      </c>
      <c r="B4835" s="3" t="s">
        <v>4726</v>
      </c>
      <c r="C4835" s="5" t="s">
        <v>206</v>
      </c>
      <c r="D4835" s="3" t="s">
        <v>68</v>
      </c>
      <c r="E4835" s="3" t="s">
        <v>100</v>
      </c>
      <c r="F4835" s="7">
        <v>45843.52118827566</v>
      </c>
      <c r="G4835" s="3" t="s">
        <v>14766</v>
      </c>
    </row>
    <row r="4836">
      <c r="A4836" s="3" t="s">
        <v>14767</v>
      </c>
      <c r="B4836" s="3" t="s">
        <v>4729</v>
      </c>
      <c r="C4836" s="5" t="s">
        <v>45</v>
      </c>
      <c r="D4836" s="3" t="s">
        <v>221</v>
      </c>
      <c r="E4836" s="3" t="s">
        <v>631</v>
      </c>
      <c r="F4836" s="7">
        <v>45843.58194645441</v>
      </c>
      <c r="G4836" s="3" t="s">
        <v>7459</v>
      </c>
    </row>
    <row r="4837">
      <c r="A4837" s="3" t="s">
        <v>14769</v>
      </c>
      <c r="B4837" s="3" t="s">
        <v>4729</v>
      </c>
      <c r="C4837" s="5" t="s">
        <v>221</v>
      </c>
      <c r="D4837" s="3" t="s">
        <v>614</v>
      </c>
      <c r="E4837" s="3" t="s">
        <v>118</v>
      </c>
      <c r="F4837" s="7">
        <v>45843.58541867663</v>
      </c>
      <c r="G4837" s="3" t="s">
        <v>14771</v>
      </c>
    </row>
    <row r="4838">
      <c r="A4838" s="3" t="s">
        <v>14772</v>
      </c>
      <c r="B4838" s="3" t="s">
        <v>4729</v>
      </c>
      <c r="C4838" s="5" t="s">
        <v>614</v>
      </c>
      <c r="D4838" s="3" t="s">
        <v>206</v>
      </c>
      <c r="E4838" s="3" t="s">
        <v>100</v>
      </c>
      <c r="F4838" s="7">
        <v>45843.588890898856</v>
      </c>
      <c r="G4838" s="3" t="s">
        <v>14773</v>
      </c>
    </row>
    <row r="4839">
      <c r="A4839" s="3" t="s">
        <v>14775</v>
      </c>
      <c r="B4839" s="3" t="s">
        <v>4729</v>
      </c>
      <c r="C4839" s="5" t="s">
        <v>206</v>
      </c>
      <c r="D4839" s="3" t="s">
        <v>68</v>
      </c>
      <c r="E4839" s="3" t="s">
        <v>100</v>
      </c>
      <c r="F4839" s="7">
        <v>45843.592363121075</v>
      </c>
      <c r="G4839" s="3" t="s">
        <v>14776</v>
      </c>
    </row>
    <row r="4840">
      <c r="A4840" s="3" t="s">
        <v>14777</v>
      </c>
      <c r="B4840" s="3" t="s">
        <v>4732</v>
      </c>
      <c r="C4840" s="5" t="s">
        <v>45</v>
      </c>
      <c r="D4840" s="3" t="s">
        <v>221</v>
      </c>
      <c r="E4840" s="3" t="s">
        <v>596</v>
      </c>
      <c r="F4840" s="7">
        <v>45843.65312129983</v>
      </c>
      <c r="G4840" s="3" t="s">
        <v>14779</v>
      </c>
    </row>
    <row r="4841">
      <c r="A4841" s="3" t="s">
        <v>14780</v>
      </c>
      <c r="B4841" s="3" t="s">
        <v>4732</v>
      </c>
      <c r="C4841" s="5" t="s">
        <v>221</v>
      </c>
      <c r="D4841" s="3" t="s">
        <v>614</v>
      </c>
      <c r="E4841" s="3" t="s">
        <v>118</v>
      </c>
      <c r="F4841" s="7">
        <v>45843.65659352205</v>
      </c>
      <c r="G4841" s="3" t="s">
        <v>14782</v>
      </c>
    </row>
    <row r="4842">
      <c r="A4842" s="3" t="s">
        <v>14783</v>
      </c>
      <c r="B4842" s="3" t="s">
        <v>4732</v>
      </c>
      <c r="C4842" s="5" t="s">
        <v>614</v>
      </c>
      <c r="D4842" s="3" t="s">
        <v>206</v>
      </c>
      <c r="E4842" s="3" t="s">
        <v>100</v>
      </c>
      <c r="F4842" s="7">
        <v>45843.660065744276</v>
      </c>
      <c r="G4842" s="3" t="s">
        <v>14785</v>
      </c>
    </row>
    <row r="4843">
      <c r="A4843" s="3" t="s">
        <v>14786</v>
      </c>
      <c r="B4843" s="3" t="s">
        <v>4732</v>
      </c>
      <c r="C4843" s="5" t="s">
        <v>206</v>
      </c>
      <c r="D4843" s="3" t="s">
        <v>68</v>
      </c>
      <c r="E4843" s="3" t="s">
        <v>100</v>
      </c>
      <c r="F4843" s="7">
        <v>45843.663537966495</v>
      </c>
      <c r="G4843" s="3" t="s">
        <v>14787</v>
      </c>
    </row>
    <row r="4844">
      <c r="A4844" s="3" t="s">
        <v>14789</v>
      </c>
      <c r="B4844" s="3" t="s">
        <v>4735</v>
      </c>
      <c r="C4844" s="5" t="s">
        <v>45</v>
      </c>
      <c r="D4844" s="3" t="s">
        <v>221</v>
      </c>
      <c r="E4844" s="3" t="s">
        <v>233</v>
      </c>
      <c r="F4844" s="7">
        <v>45843.724296145236</v>
      </c>
      <c r="G4844" s="3" t="s">
        <v>14790</v>
      </c>
    </row>
    <row r="4845">
      <c r="A4845" s="3" t="s">
        <v>14791</v>
      </c>
      <c r="B4845" s="3" t="s">
        <v>4735</v>
      </c>
      <c r="C4845" s="5" t="s">
        <v>221</v>
      </c>
      <c r="D4845" s="3" t="s">
        <v>614</v>
      </c>
      <c r="E4845" s="3" t="s">
        <v>118</v>
      </c>
      <c r="F4845" s="7">
        <v>45843.727768367455</v>
      </c>
      <c r="G4845" s="3" t="s">
        <v>14793</v>
      </c>
    </row>
    <row r="4846">
      <c r="A4846" s="3" t="s">
        <v>14794</v>
      </c>
      <c r="B4846" s="3" t="s">
        <v>4735</v>
      </c>
      <c r="C4846" s="5" t="s">
        <v>614</v>
      </c>
      <c r="D4846" s="3" t="s">
        <v>206</v>
      </c>
      <c r="E4846" s="3" t="s">
        <v>100</v>
      </c>
      <c r="F4846" s="7">
        <v>45843.73124058968</v>
      </c>
      <c r="G4846" s="3" t="s">
        <v>14796</v>
      </c>
    </row>
    <row r="4847">
      <c r="A4847" s="3" t="s">
        <v>14797</v>
      </c>
      <c r="B4847" s="3" t="s">
        <v>4735</v>
      </c>
      <c r="C4847" s="5" t="s">
        <v>206</v>
      </c>
      <c r="D4847" s="3" t="s">
        <v>68</v>
      </c>
      <c r="E4847" s="3" t="s">
        <v>100</v>
      </c>
      <c r="F4847" s="7">
        <v>45843.7347128119</v>
      </c>
      <c r="G4847" s="3" t="s">
        <v>14799</v>
      </c>
    </row>
    <row r="4848">
      <c r="A4848" s="3" t="s">
        <v>14800</v>
      </c>
      <c r="B4848" s="3" t="s">
        <v>4739</v>
      </c>
      <c r="C4848" s="5" t="s">
        <v>45</v>
      </c>
      <c r="D4848" s="3" t="s">
        <v>221</v>
      </c>
      <c r="E4848" s="3" t="s">
        <v>911</v>
      </c>
      <c r="F4848" s="7">
        <v>45843.795470990655</v>
      </c>
      <c r="G4848" s="3" t="s">
        <v>14802</v>
      </c>
    </row>
    <row r="4849">
      <c r="A4849" s="3" t="s">
        <v>14803</v>
      </c>
      <c r="B4849" s="3" t="s">
        <v>4739</v>
      </c>
      <c r="C4849" s="5" t="s">
        <v>221</v>
      </c>
      <c r="D4849" s="3" t="s">
        <v>614</v>
      </c>
      <c r="E4849" s="3" t="s">
        <v>118</v>
      </c>
      <c r="F4849" s="7">
        <v>45843.798943212874</v>
      </c>
      <c r="G4849" s="3" t="s">
        <v>14804</v>
      </c>
    </row>
    <row r="4850">
      <c r="A4850" s="3" t="s">
        <v>14806</v>
      </c>
      <c r="B4850" s="3" t="s">
        <v>4739</v>
      </c>
      <c r="C4850" s="5" t="s">
        <v>614</v>
      </c>
      <c r="D4850" s="3" t="s">
        <v>206</v>
      </c>
      <c r="E4850" s="3" t="s">
        <v>100</v>
      </c>
      <c r="F4850" s="7">
        <v>45843.8024154351</v>
      </c>
      <c r="G4850" s="3" t="s">
        <v>14807</v>
      </c>
    </row>
    <row r="4851">
      <c r="A4851" s="3" t="s">
        <v>14809</v>
      </c>
      <c r="B4851" s="3" t="s">
        <v>4739</v>
      </c>
      <c r="C4851" s="5" t="s">
        <v>206</v>
      </c>
      <c r="D4851" s="3" t="s">
        <v>68</v>
      </c>
      <c r="E4851" s="3" t="s">
        <v>100</v>
      </c>
      <c r="F4851" s="7">
        <v>45843.80588765732</v>
      </c>
      <c r="G4851" s="3" t="s">
        <v>14810</v>
      </c>
    </row>
    <row r="4852">
      <c r="A4852" s="3" t="s">
        <v>14811</v>
      </c>
      <c r="B4852" s="3" t="s">
        <v>4743</v>
      </c>
      <c r="C4852" s="5" t="s">
        <v>45</v>
      </c>
      <c r="D4852" s="3" t="s">
        <v>221</v>
      </c>
      <c r="E4852" s="3" t="s">
        <v>637</v>
      </c>
      <c r="F4852" s="7">
        <v>45843.866645836075</v>
      </c>
      <c r="G4852" s="3" t="s">
        <v>10611</v>
      </c>
    </row>
    <row r="4853">
      <c r="A4853" s="3" t="s">
        <v>14813</v>
      </c>
      <c r="B4853" s="3" t="s">
        <v>4743</v>
      </c>
      <c r="C4853" s="5" t="s">
        <v>221</v>
      </c>
      <c r="D4853" s="3" t="s">
        <v>181</v>
      </c>
      <c r="E4853" s="3" t="s">
        <v>118</v>
      </c>
      <c r="F4853" s="7">
        <v>45843.870118058294</v>
      </c>
      <c r="G4853" s="3" t="s">
        <v>14815</v>
      </c>
    </row>
    <row r="4854">
      <c r="A4854" s="3" t="s">
        <v>14816</v>
      </c>
      <c r="B4854" s="3" t="s">
        <v>4746</v>
      </c>
      <c r="C4854" s="5" t="s">
        <v>45</v>
      </c>
      <c r="D4854" s="3" t="s">
        <v>221</v>
      </c>
      <c r="E4854" s="3" t="s">
        <v>383</v>
      </c>
      <c r="F4854" s="7">
        <v>45843.93782068149</v>
      </c>
      <c r="G4854" s="3" t="s">
        <v>14818</v>
      </c>
    </row>
    <row r="4855">
      <c r="A4855" s="3" t="s">
        <v>14819</v>
      </c>
      <c r="B4855" s="3" t="s">
        <v>4746</v>
      </c>
      <c r="C4855" s="5" t="s">
        <v>221</v>
      </c>
      <c r="D4855" s="3" t="s">
        <v>614</v>
      </c>
      <c r="E4855" s="3" t="s">
        <v>118</v>
      </c>
      <c r="F4855" s="7">
        <v>45843.941292903706</v>
      </c>
      <c r="G4855" s="3" t="s">
        <v>14821</v>
      </c>
    </row>
    <row r="4856">
      <c r="A4856" s="3" t="s">
        <v>14822</v>
      </c>
      <c r="B4856" s="3" t="s">
        <v>4746</v>
      </c>
      <c r="C4856" s="5" t="s">
        <v>614</v>
      </c>
      <c r="D4856" s="3" t="s">
        <v>206</v>
      </c>
      <c r="E4856" s="3" t="s">
        <v>100</v>
      </c>
      <c r="F4856" s="7">
        <v>45843.94476512593</v>
      </c>
      <c r="G4856" s="3" t="s">
        <v>14823</v>
      </c>
    </row>
    <row r="4857">
      <c r="A4857" s="3" t="s">
        <v>14824</v>
      </c>
      <c r="B4857" s="3" t="s">
        <v>4746</v>
      </c>
      <c r="C4857" s="5" t="s">
        <v>206</v>
      </c>
      <c r="D4857" s="3" t="s">
        <v>68</v>
      </c>
      <c r="E4857" s="3" t="s">
        <v>100</v>
      </c>
      <c r="F4857" s="7">
        <v>45843.94823734815</v>
      </c>
      <c r="G4857" s="3" t="s">
        <v>14826</v>
      </c>
    </row>
    <row r="4858">
      <c r="A4858" s="3" t="s">
        <v>14827</v>
      </c>
      <c r="B4858" s="3" t="s">
        <v>4749</v>
      </c>
      <c r="C4858" s="5" t="s">
        <v>45</v>
      </c>
      <c r="D4858" s="3" t="s">
        <v>221</v>
      </c>
      <c r="E4858" s="3" t="s">
        <v>1043</v>
      </c>
      <c r="F4858" s="7">
        <v>45844.0089955269</v>
      </c>
      <c r="G4858" s="3" t="s">
        <v>12088</v>
      </c>
    </row>
    <row r="4859">
      <c r="A4859" s="3" t="s">
        <v>14829</v>
      </c>
      <c r="B4859" s="3" t="s">
        <v>4749</v>
      </c>
      <c r="C4859" s="5" t="s">
        <v>221</v>
      </c>
      <c r="D4859" s="3" t="s">
        <v>614</v>
      </c>
      <c r="E4859" s="3" t="s">
        <v>118</v>
      </c>
      <c r="F4859" s="7">
        <v>45844.01246774912</v>
      </c>
      <c r="G4859" s="3" t="s">
        <v>12091</v>
      </c>
    </row>
    <row r="4860">
      <c r="A4860" s="3" t="s">
        <v>14831</v>
      </c>
      <c r="B4860" s="3" t="s">
        <v>4749</v>
      </c>
      <c r="C4860" s="5" t="s">
        <v>614</v>
      </c>
      <c r="D4860" s="3" t="s">
        <v>206</v>
      </c>
      <c r="E4860" s="3" t="s">
        <v>100</v>
      </c>
      <c r="F4860" s="7">
        <v>45844.015939971345</v>
      </c>
      <c r="G4860" s="3" t="s">
        <v>12094</v>
      </c>
    </row>
    <row r="4861">
      <c r="A4861" s="3" t="s">
        <v>14833</v>
      </c>
      <c r="B4861" s="3" t="s">
        <v>4749</v>
      </c>
      <c r="C4861" s="5" t="s">
        <v>206</v>
      </c>
      <c r="D4861" s="3" t="s">
        <v>68</v>
      </c>
      <c r="E4861" s="3" t="s">
        <v>100</v>
      </c>
      <c r="F4861" s="7">
        <v>45844.019412193564</v>
      </c>
      <c r="G4861" s="3" t="s">
        <v>12097</v>
      </c>
    </row>
    <row r="4862">
      <c r="A4862" s="3" t="s">
        <v>14835</v>
      </c>
      <c r="B4862" s="3" t="s">
        <v>4752</v>
      </c>
      <c r="C4862" s="5" t="s">
        <v>45</v>
      </c>
      <c r="D4862" s="3" t="s">
        <v>221</v>
      </c>
      <c r="E4862" s="3" t="s">
        <v>886</v>
      </c>
      <c r="F4862" s="7">
        <v>45844.08017037232</v>
      </c>
      <c r="G4862" s="3" t="s">
        <v>14836</v>
      </c>
    </row>
    <row r="4863">
      <c r="A4863" s="3" t="s">
        <v>14838</v>
      </c>
      <c r="B4863" s="3" t="s">
        <v>4752</v>
      </c>
      <c r="C4863" s="5" t="s">
        <v>221</v>
      </c>
      <c r="D4863" s="3" t="s">
        <v>614</v>
      </c>
      <c r="E4863" s="3" t="s">
        <v>118</v>
      </c>
      <c r="F4863" s="7">
        <v>45844.08364259454</v>
      </c>
      <c r="G4863" s="3" t="s">
        <v>14839</v>
      </c>
    </row>
    <row r="4864">
      <c r="A4864" s="3" t="s">
        <v>14840</v>
      </c>
      <c r="B4864" s="3" t="s">
        <v>4752</v>
      </c>
      <c r="C4864" s="5" t="s">
        <v>614</v>
      </c>
      <c r="D4864" s="3" t="s">
        <v>206</v>
      </c>
      <c r="E4864" s="3" t="s">
        <v>100</v>
      </c>
      <c r="F4864" s="7">
        <v>45844.087114816764</v>
      </c>
      <c r="G4864" s="3" t="s">
        <v>14842</v>
      </c>
    </row>
    <row r="4865">
      <c r="A4865" s="3" t="s">
        <v>14843</v>
      </c>
      <c r="B4865" s="3" t="s">
        <v>4752</v>
      </c>
      <c r="C4865" s="5" t="s">
        <v>206</v>
      </c>
      <c r="D4865" s="3" t="s">
        <v>68</v>
      </c>
      <c r="E4865" s="3" t="s">
        <v>100</v>
      </c>
      <c r="F4865" s="7">
        <v>45844.09058703898</v>
      </c>
      <c r="G4865" s="3" t="s">
        <v>14845</v>
      </c>
    </row>
    <row r="4866">
      <c r="A4866" s="3" t="s">
        <v>14846</v>
      </c>
      <c r="B4866" s="3" t="s">
        <v>4756</v>
      </c>
      <c r="C4866" s="5" t="s">
        <v>45</v>
      </c>
      <c r="D4866" s="3" t="s">
        <v>221</v>
      </c>
      <c r="E4866" s="3" t="s">
        <v>826</v>
      </c>
      <c r="F4866" s="7">
        <v>45844.15134521773</v>
      </c>
      <c r="G4866" s="3" t="s">
        <v>2770</v>
      </c>
    </row>
    <row r="4867">
      <c r="A4867" s="3" t="s">
        <v>14848</v>
      </c>
      <c r="B4867" s="3" t="s">
        <v>4756</v>
      </c>
      <c r="C4867" s="5" t="s">
        <v>221</v>
      </c>
      <c r="D4867" s="3" t="s">
        <v>181</v>
      </c>
      <c r="E4867" s="3" t="s">
        <v>118</v>
      </c>
      <c r="F4867" s="7">
        <v>45844.15481743995</v>
      </c>
      <c r="G4867" s="3" t="s">
        <v>2774</v>
      </c>
    </row>
    <row r="4868">
      <c r="A4868" s="3" t="s">
        <v>14849</v>
      </c>
      <c r="B4868" s="3" t="s">
        <v>4760</v>
      </c>
      <c r="C4868" s="5" t="s">
        <v>45</v>
      </c>
      <c r="D4868" s="3" t="s">
        <v>221</v>
      </c>
      <c r="E4868" s="3" t="s">
        <v>554</v>
      </c>
      <c r="F4868" s="7">
        <v>45844.222520063144</v>
      </c>
      <c r="G4868" s="3" t="s">
        <v>6300</v>
      </c>
    </row>
    <row r="4869">
      <c r="A4869" s="3" t="s">
        <v>14851</v>
      </c>
      <c r="B4869" s="3" t="s">
        <v>4760</v>
      </c>
      <c r="C4869" s="5" t="s">
        <v>221</v>
      </c>
      <c r="D4869" s="3" t="s">
        <v>614</v>
      </c>
      <c r="E4869" s="3" t="s">
        <v>118</v>
      </c>
      <c r="F4869" s="7">
        <v>45844.22599228536</v>
      </c>
      <c r="G4869" s="3" t="s">
        <v>6303</v>
      </c>
    </row>
    <row r="4870">
      <c r="A4870" s="3" t="s">
        <v>14853</v>
      </c>
      <c r="B4870" s="3" t="s">
        <v>4760</v>
      </c>
      <c r="C4870" s="5" t="s">
        <v>614</v>
      </c>
      <c r="D4870" s="3" t="s">
        <v>206</v>
      </c>
      <c r="E4870" s="3" t="s">
        <v>100</v>
      </c>
      <c r="F4870" s="7">
        <v>45844.22946450759</v>
      </c>
      <c r="G4870" s="3" t="s">
        <v>6305</v>
      </c>
    </row>
    <row r="4871">
      <c r="A4871" s="3" t="s">
        <v>14855</v>
      </c>
      <c r="B4871" s="3" t="s">
        <v>4760</v>
      </c>
      <c r="C4871" s="5" t="s">
        <v>206</v>
      </c>
      <c r="D4871" s="3" t="s">
        <v>68</v>
      </c>
      <c r="E4871" s="3" t="s">
        <v>100</v>
      </c>
      <c r="F4871" s="7">
        <v>45844.23293672981</v>
      </c>
      <c r="G4871" s="3" t="s">
        <v>6308</v>
      </c>
    </row>
    <row r="4872">
      <c r="A4872" s="3" t="s">
        <v>14857</v>
      </c>
      <c r="B4872" s="3" t="s">
        <v>4763</v>
      </c>
      <c r="C4872" s="5" t="s">
        <v>45</v>
      </c>
      <c r="D4872" s="3" t="s">
        <v>221</v>
      </c>
      <c r="E4872" s="3" t="s">
        <v>319</v>
      </c>
      <c r="F4872" s="7">
        <v>45844.29369490856</v>
      </c>
      <c r="G4872" s="3" t="s">
        <v>14859</v>
      </c>
    </row>
    <row r="4873">
      <c r="A4873" s="3" t="s">
        <v>14860</v>
      </c>
      <c r="B4873" s="3" t="s">
        <v>4763</v>
      </c>
      <c r="C4873" s="5" t="s">
        <v>221</v>
      </c>
      <c r="D4873" s="3" t="s">
        <v>614</v>
      </c>
      <c r="E4873" s="3" t="s">
        <v>118</v>
      </c>
      <c r="F4873" s="7">
        <v>45844.29716713078</v>
      </c>
      <c r="G4873" s="3" t="s">
        <v>14861</v>
      </c>
    </row>
    <row r="4874">
      <c r="A4874" s="3" t="s">
        <v>14863</v>
      </c>
      <c r="B4874" s="3" t="s">
        <v>4763</v>
      </c>
      <c r="C4874" s="5" t="s">
        <v>614</v>
      </c>
      <c r="D4874" s="3" t="s">
        <v>206</v>
      </c>
      <c r="E4874" s="3" t="s">
        <v>100</v>
      </c>
      <c r="F4874" s="7">
        <v>45844.30063935301</v>
      </c>
      <c r="G4874" s="3" t="s">
        <v>14864</v>
      </c>
    </row>
    <row r="4875">
      <c r="A4875" s="3" t="s">
        <v>14865</v>
      </c>
      <c r="B4875" s="3" t="s">
        <v>4763</v>
      </c>
      <c r="C4875" s="5" t="s">
        <v>206</v>
      </c>
      <c r="D4875" s="3" t="s">
        <v>68</v>
      </c>
      <c r="E4875" s="3" t="s">
        <v>100</v>
      </c>
      <c r="F4875" s="7">
        <v>45844.30411157523</v>
      </c>
      <c r="G4875" s="3" t="s">
        <v>14867</v>
      </c>
    </row>
    <row r="4876">
      <c r="A4876" s="3" t="s">
        <v>14868</v>
      </c>
      <c r="B4876" s="3" t="s">
        <v>4766</v>
      </c>
      <c r="C4876" s="5" t="s">
        <v>45</v>
      </c>
      <c r="D4876" s="3" t="s">
        <v>221</v>
      </c>
      <c r="E4876" s="3" t="s">
        <v>488</v>
      </c>
      <c r="F4876" s="7">
        <v>45844.36486975398</v>
      </c>
      <c r="G4876" s="3" t="s">
        <v>14870</v>
      </c>
    </row>
    <row r="4877">
      <c r="A4877" s="3" t="s">
        <v>14871</v>
      </c>
      <c r="B4877" s="3" t="s">
        <v>4766</v>
      </c>
      <c r="C4877" s="5" t="s">
        <v>221</v>
      </c>
      <c r="D4877" s="3" t="s">
        <v>181</v>
      </c>
      <c r="E4877" s="3" t="s">
        <v>118</v>
      </c>
      <c r="F4877" s="7">
        <v>45844.3683419762</v>
      </c>
      <c r="G4877" s="3" t="s">
        <v>14872</v>
      </c>
    </row>
    <row r="4878">
      <c r="A4878" s="3" t="s">
        <v>14874</v>
      </c>
      <c r="B4878" s="3" t="s">
        <v>4769</v>
      </c>
      <c r="C4878" s="5" t="s">
        <v>45</v>
      </c>
      <c r="D4878" s="3" t="s">
        <v>221</v>
      </c>
      <c r="E4878" s="3" t="s">
        <v>330</v>
      </c>
      <c r="F4878" s="7">
        <v>45844.43604459939</v>
      </c>
      <c r="G4878" s="3" t="s">
        <v>14875</v>
      </c>
    </row>
    <row r="4879">
      <c r="A4879" s="3" t="s">
        <v>14877</v>
      </c>
      <c r="B4879" s="3" t="s">
        <v>4769</v>
      </c>
      <c r="C4879" s="5" t="s">
        <v>221</v>
      </c>
      <c r="D4879" s="3" t="s">
        <v>614</v>
      </c>
      <c r="E4879" s="3" t="s">
        <v>118</v>
      </c>
      <c r="F4879" s="7">
        <v>45844.43951682161</v>
      </c>
      <c r="G4879" s="3" t="s">
        <v>14878</v>
      </c>
    </row>
    <row r="4880">
      <c r="A4880" s="3" t="s">
        <v>14879</v>
      </c>
      <c r="B4880" s="3" t="s">
        <v>4769</v>
      </c>
      <c r="C4880" s="5" t="s">
        <v>614</v>
      </c>
      <c r="D4880" s="3" t="s">
        <v>206</v>
      </c>
      <c r="E4880" s="3" t="s">
        <v>100</v>
      </c>
      <c r="F4880" s="7">
        <v>45844.44298904383</v>
      </c>
      <c r="G4880" s="3" t="s">
        <v>14881</v>
      </c>
    </row>
    <row r="4881">
      <c r="A4881" s="3" t="s">
        <v>14882</v>
      </c>
      <c r="B4881" s="3" t="s">
        <v>4769</v>
      </c>
      <c r="C4881" s="5" t="s">
        <v>206</v>
      </c>
      <c r="D4881" s="3" t="s">
        <v>68</v>
      </c>
      <c r="E4881" s="3" t="s">
        <v>100</v>
      </c>
      <c r="F4881" s="7">
        <v>45844.44646126605</v>
      </c>
      <c r="G4881" s="3" t="s">
        <v>14884</v>
      </c>
    </row>
    <row r="4882">
      <c r="A4882" s="3" t="s">
        <v>14885</v>
      </c>
      <c r="B4882" s="3" t="s">
        <v>4772</v>
      </c>
      <c r="C4882" s="5" t="s">
        <v>45</v>
      </c>
      <c r="D4882" s="3" t="s">
        <v>221</v>
      </c>
      <c r="E4882" s="3" t="s">
        <v>287</v>
      </c>
      <c r="F4882" s="7">
        <v>45844.50721944481</v>
      </c>
      <c r="G4882" s="3" t="s">
        <v>14886</v>
      </c>
    </row>
    <row r="4883">
      <c r="A4883" s="3" t="s">
        <v>14888</v>
      </c>
      <c r="B4883" s="3" t="s">
        <v>4772</v>
      </c>
      <c r="C4883" s="5" t="s">
        <v>221</v>
      </c>
      <c r="D4883" s="3" t="s">
        <v>614</v>
      </c>
      <c r="E4883" s="3" t="s">
        <v>118</v>
      </c>
      <c r="F4883" s="7">
        <v>45844.51069166703</v>
      </c>
      <c r="G4883" s="3" t="s">
        <v>14889</v>
      </c>
    </row>
    <row r="4884">
      <c r="A4884" s="3" t="s">
        <v>14890</v>
      </c>
      <c r="B4884" s="3" t="s">
        <v>4772</v>
      </c>
      <c r="C4884" s="5" t="s">
        <v>614</v>
      </c>
      <c r="D4884" s="3" t="s">
        <v>206</v>
      </c>
      <c r="E4884" s="3" t="s">
        <v>100</v>
      </c>
      <c r="F4884" s="7">
        <v>45844.51416388925</v>
      </c>
      <c r="G4884" s="3" t="s">
        <v>14892</v>
      </c>
    </row>
    <row r="4885">
      <c r="A4885" s="3" t="s">
        <v>14893</v>
      </c>
      <c r="B4885" s="3" t="s">
        <v>4772</v>
      </c>
      <c r="C4885" s="5" t="s">
        <v>206</v>
      </c>
      <c r="D4885" s="3" t="s">
        <v>68</v>
      </c>
      <c r="E4885" s="3" t="s">
        <v>100</v>
      </c>
      <c r="F4885" s="7">
        <v>45844.51763611147</v>
      </c>
      <c r="G4885" s="3" t="s">
        <v>14895</v>
      </c>
    </row>
    <row r="4886">
      <c r="A4886" s="3" t="s">
        <v>14896</v>
      </c>
      <c r="B4886" s="3" t="s">
        <v>4775</v>
      </c>
      <c r="C4886" s="5" t="s">
        <v>45</v>
      </c>
      <c r="D4886" s="3" t="s">
        <v>221</v>
      </c>
      <c r="E4886" s="3" t="s">
        <v>430</v>
      </c>
      <c r="F4886" s="7">
        <v>45844.57839429023</v>
      </c>
      <c r="G4886" s="3" t="s">
        <v>14898</v>
      </c>
    </row>
    <row r="4887">
      <c r="A4887" s="3" t="s">
        <v>14899</v>
      </c>
      <c r="B4887" s="3" t="s">
        <v>4775</v>
      </c>
      <c r="C4887" s="5" t="s">
        <v>221</v>
      </c>
      <c r="D4887" s="3" t="s">
        <v>614</v>
      </c>
      <c r="E4887" s="3" t="s">
        <v>118</v>
      </c>
      <c r="F4887" s="7">
        <v>45844.581866512446</v>
      </c>
      <c r="G4887" s="3" t="s">
        <v>14900</v>
      </c>
    </row>
    <row r="4888">
      <c r="A4888" s="3" t="s">
        <v>14902</v>
      </c>
      <c r="B4888" s="3" t="s">
        <v>4775</v>
      </c>
      <c r="C4888" s="5" t="s">
        <v>614</v>
      </c>
      <c r="D4888" s="3" t="s">
        <v>206</v>
      </c>
      <c r="E4888" s="3" t="s">
        <v>100</v>
      </c>
      <c r="F4888" s="7">
        <v>45844.58533873467</v>
      </c>
      <c r="G4888" s="3" t="s">
        <v>14903</v>
      </c>
    </row>
    <row r="4889">
      <c r="A4889" s="3" t="s">
        <v>14904</v>
      </c>
      <c r="B4889" s="3" t="s">
        <v>4775</v>
      </c>
      <c r="C4889" s="5" t="s">
        <v>206</v>
      </c>
      <c r="D4889" s="3" t="s">
        <v>68</v>
      </c>
      <c r="E4889" s="3" t="s">
        <v>100</v>
      </c>
      <c r="F4889" s="7">
        <v>45844.58881095689</v>
      </c>
      <c r="G4889" s="3" t="s">
        <v>14906</v>
      </c>
    </row>
    <row r="4890">
      <c r="A4890" s="3" t="s">
        <v>14907</v>
      </c>
      <c r="B4890" s="3" t="s">
        <v>4778</v>
      </c>
      <c r="C4890" s="5" t="s">
        <v>45</v>
      </c>
      <c r="D4890" s="3" t="s">
        <v>221</v>
      </c>
      <c r="E4890" s="3" t="s">
        <v>665</v>
      </c>
      <c r="F4890" s="7">
        <v>45844.64956913564</v>
      </c>
      <c r="G4890" s="3" t="s">
        <v>14909</v>
      </c>
    </row>
    <row r="4891">
      <c r="A4891" s="3" t="s">
        <v>14910</v>
      </c>
      <c r="B4891" s="3" t="s">
        <v>4778</v>
      </c>
      <c r="C4891" s="5" t="s">
        <v>221</v>
      </c>
      <c r="D4891" s="3" t="s">
        <v>614</v>
      </c>
      <c r="E4891" s="3" t="s">
        <v>118</v>
      </c>
      <c r="F4891" s="7">
        <v>45844.65304135786</v>
      </c>
      <c r="G4891" s="3" t="s">
        <v>14912</v>
      </c>
    </row>
    <row r="4892">
      <c r="A4892" s="3" t="s">
        <v>14913</v>
      </c>
      <c r="B4892" s="3" t="s">
        <v>4778</v>
      </c>
      <c r="C4892" s="5" t="s">
        <v>614</v>
      </c>
      <c r="D4892" s="3" t="s">
        <v>206</v>
      </c>
      <c r="E4892" s="3" t="s">
        <v>100</v>
      </c>
      <c r="F4892" s="7">
        <v>45844.656513580085</v>
      </c>
      <c r="G4892" s="3" t="s">
        <v>14914</v>
      </c>
    </row>
    <row r="4893">
      <c r="A4893" s="3" t="s">
        <v>14916</v>
      </c>
      <c r="B4893" s="3" t="s">
        <v>4778</v>
      </c>
      <c r="C4893" s="5" t="s">
        <v>206</v>
      </c>
      <c r="D4893" s="3" t="s">
        <v>68</v>
      </c>
      <c r="E4893" s="3" t="s">
        <v>100</v>
      </c>
      <c r="F4893" s="7">
        <v>45844.659985802304</v>
      </c>
      <c r="G4893" s="3" t="s">
        <v>14917</v>
      </c>
    </row>
    <row r="4894">
      <c r="A4894" s="3" t="s">
        <v>14918</v>
      </c>
      <c r="B4894" s="3" t="s">
        <v>4781</v>
      </c>
      <c r="C4894" s="5" t="s">
        <v>45</v>
      </c>
      <c r="D4894" s="3" t="s">
        <v>221</v>
      </c>
      <c r="E4894" s="3" t="s">
        <v>922</v>
      </c>
      <c r="F4894" s="7">
        <v>45844.72074398105</v>
      </c>
      <c r="G4894" s="3" t="s">
        <v>14920</v>
      </c>
    </row>
    <row r="4895">
      <c r="A4895" s="3" t="s">
        <v>14921</v>
      </c>
      <c r="B4895" s="3" t="s">
        <v>4781</v>
      </c>
      <c r="C4895" s="5" t="s">
        <v>221</v>
      </c>
      <c r="D4895" s="3" t="s">
        <v>614</v>
      </c>
      <c r="E4895" s="3" t="s">
        <v>118</v>
      </c>
      <c r="F4895" s="7">
        <v>45844.72421620327</v>
      </c>
      <c r="G4895" s="3" t="s">
        <v>14923</v>
      </c>
    </row>
    <row r="4896">
      <c r="A4896" s="3" t="s">
        <v>14924</v>
      </c>
      <c r="B4896" s="3" t="s">
        <v>4781</v>
      </c>
      <c r="C4896" s="5" t="s">
        <v>614</v>
      </c>
      <c r="D4896" s="3" t="s">
        <v>206</v>
      </c>
      <c r="E4896" s="3" t="s">
        <v>100</v>
      </c>
      <c r="F4896" s="7">
        <v>45844.7276884255</v>
      </c>
      <c r="G4896" s="3" t="s">
        <v>14926</v>
      </c>
    </row>
    <row r="4897">
      <c r="A4897" s="3" t="s">
        <v>14927</v>
      </c>
      <c r="B4897" s="3" t="s">
        <v>4781</v>
      </c>
      <c r="C4897" s="5" t="s">
        <v>206</v>
      </c>
      <c r="D4897" s="3" t="s">
        <v>68</v>
      </c>
      <c r="E4897" s="3" t="s">
        <v>100</v>
      </c>
      <c r="F4897" s="7">
        <v>45844.731160647716</v>
      </c>
      <c r="G4897" s="3" t="s">
        <v>14928</v>
      </c>
    </row>
    <row r="4898">
      <c r="A4898" s="3" t="s">
        <v>14929</v>
      </c>
      <c r="B4898" s="3" t="s">
        <v>4784</v>
      </c>
      <c r="C4898" s="5" t="s">
        <v>45</v>
      </c>
      <c r="D4898" s="3" t="s">
        <v>221</v>
      </c>
      <c r="E4898" s="3" t="s">
        <v>920</v>
      </c>
      <c r="F4898" s="7">
        <v>45844.79191882647</v>
      </c>
      <c r="G4898" s="3" t="s">
        <v>5696</v>
      </c>
    </row>
    <row r="4899">
      <c r="A4899" s="3" t="s">
        <v>14931</v>
      </c>
      <c r="B4899" s="3" t="s">
        <v>4784</v>
      </c>
      <c r="C4899" s="5" t="s">
        <v>221</v>
      </c>
      <c r="D4899" s="3" t="s">
        <v>614</v>
      </c>
      <c r="E4899" s="3" t="s">
        <v>118</v>
      </c>
      <c r="F4899" s="7">
        <v>45844.79539104869</v>
      </c>
      <c r="G4899" s="3" t="s">
        <v>5699</v>
      </c>
    </row>
    <row r="4900">
      <c r="A4900" s="3" t="s">
        <v>14933</v>
      </c>
      <c r="B4900" s="3" t="s">
        <v>4784</v>
      </c>
      <c r="C4900" s="5" t="s">
        <v>614</v>
      </c>
      <c r="D4900" s="3" t="s">
        <v>206</v>
      </c>
      <c r="E4900" s="3" t="s">
        <v>100</v>
      </c>
      <c r="F4900" s="7">
        <v>45844.79886327092</v>
      </c>
      <c r="G4900" s="3" t="s">
        <v>5701</v>
      </c>
    </row>
    <row r="4901">
      <c r="A4901" s="3" t="s">
        <v>14935</v>
      </c>
      <c r="B4901" s="3" t="s">
        <v>4784</v>
      </c>
      <c r="C4901" s="5" t="s">
        <v>206</v>
      </c>
      <c r="D4901" s="3" t="s">
        <v>68</v>
      </c>
      <c r="E4901" s="3" t="s">
        <v>100</v>
      </c>
      <c r="F4901" s="7">
        <v>45844.802335493136</v>
      </c>
      <c r="G4901" s="3" t="s">
        <v>5704</v>
      </c>
    </row>
    <row r="4902">
      <c r="A4902" s="3" t="s">
        <v>14937</v>
      </c>
      <c r="B4902" s="3" t="s">
        <v>4787</v>
      </c>
      <c r="C4902" s="5" t="s">
        <v>45</v>
      </c>
      <c r="D4902" s="3" t="s">
        <v>221</v>
      </c>
      <c r="E4902" s="3" t="s">
        <v>359</v>
      </c>
      <c r="F4902" s="7">
        <v>45844.863093671884</v>
      </c>
      <c r="G4902" s="3" t="s">
        <v>14938</v>
      </c>
    </row>
    <row r="4903">
      <c r="A4903" s="3" t="s">
        <v>14940</v>
      </c>
      <c r="B4903" s="3" t="s">
        <v>4787</v>
      </c>
      <c r="C4903" s="5" t="s">
        <v>221</v>
      </c>
      <c r="D4903" s="3" t="s">
        <v>614</v>
      </c>
      <c r="E4903" s="3" t="s">
        <v>118</v>
      </c>
      <c r="F4903" s="7">
        <v>45844.8665658941</v>
      </c>
      <c r="G4903" s="3" t="s">
        <v>14941</v>
      </c>
    </row>
    <row r="4904">
      <c r="A4904" s="3" t="s">
        <v>14942</v>
      </c>
      <c r="B4904" s="3" t="s">
        <v>4787</v>
      </c>
      <c r="C4904" s="5" t="s">
        <v>614</v>
      </c>
      <c r="D4904" s="3" t="s">
        <v>206</v>
      </c>
      <c r="E4904" s="3" t="s">
        <v>100</v>
      </c>
      <c r="F4904" s="7">
        <v>45844.87003811633</v>
      </c>
      <c r="G4904" s="3" t="s">
        <v>14944</v>
      </c>
    </row>
    <row r="4905">
      <c r="A4905" s="3" t="s">
        <v>14945</v>
      </c>
      <c r="B4905" s="3" t="s">
        <v>4787</v>
      </c>
      <c r="C4905" s="5" t="s">
        <v>206</v>
      </c>
      <c r="D4905" s="3" t="s">
        <v>68</v>
      </c>
      <c r="E4905" s="3" t="s">
        <v>100</v>
      </c>
      <c r="F4905" s="7">
        <v>45844.87351033855</v>
      </c>
      <c r="G4905" s="3" t="s">
        <v>14947</v>
      </c>
    </row>
    <row r="4906">
      <c r="A4906" s="3" t="s">
        <v>14948</v>
      </c>
      <c r="B4906" s="3" t="s">
        <v>4790</v>
      </c>
      <c r="C4906" s="5" t="s">
        <v>45</v>
      </c>
      <c r="D4906" s="3" t="s">
        <v>221</v>
      </c>
      <c r="E4906" s="3" t="s">
        <v>574</v>
      </c>
      <c r="F4906" s="7">
        <v>45844.934268517296</v>
      </c>
      <c r="G4906" s="3" t="s">
        <v>14950</v>
      </c>
    </row>
    <row r="4907">
      <c r="A4907" s="3" t="s">
        <v>14951</v>
      </c>
      <c r="B4907" s="3" t="s">
        <v>4790</v>
      </c>
      <c r="C4907" s="5" t="s">
        <v>221</v>
      </c>
      <c r="D4907" s="3" t="s">
        <v>195</v>
      </c>
      <c r="E4907" s="3" t="s">
        <v>574</v>
      </c>
      <c r="F4907" s="7">
        <v>45844.937740739515</v>
      </c>
      <c r="G4907" s="3" t="s">
        <v>14953</v>
      </c>
    </row>
    <row r="4908">
      <c r="A4908" s="3" t="s">
        <v>14954</v>
      </c>
      <c r="B4908" s="3" t="s">
        <v>4793</v>
      </c>
      <c r="C4908" s="5" t="s">
        <v>45</v>
      </c>
      <c r="D4908" s="3" t="s">
        <v>221</v>
      </c>
      <c r="E4908" s="3" t="s">
        <v>631</v>
      </c>
      <c r="F4908" s="7">
        <v>45845.005443362716</v>
      </c>
      <c r="G4908" s="3" t="s">
        <v>14955</v>
      </c>
    </row>
    <row r="4909">
      <c r="A4909" s="3" t="s">
        <v>14957</v>
      </c>
      <c r="B4909" s="3" t="s">
        <v>4793</v>
      </c>
      <c r="C4909" s="5" t="s">
        <v>221</v>
      </c>
      <c r="D4909" s="3" t="s">
        <v>614</v>
      </c>
      <c r="E4909" s="3" t="s">
        <v>118</v>
      </c>
      <c r="F4909" s="7">
        <v>45845.008915584935</v>
      </c>
      <c r="G4909" s="3" t="s">
        <v>14958</v>
      </c>
    </row>
    <row r="4910">
      <c r="A4910" s="3" t="s">
        <v>14959</v>
      </c>
      <c r="B4910" s="3" t="s">
        <v>4793</v>
      </c>
      <c r="C4910" s="5" t="s">
        <v>614</v>
      </c>
      <c r="D4910" s="3" t="s">
        <v>206</v>
      </c>
      <c r="E4910" s="3" t="s">
        <v>100</v>
      </c>
      <c r="F4910" s="7">
        <v>45845.01238780716</v>
      </c>
      <c r="G4910" s="3" t="s">
        <v>14961</v>
      </c>
    </row>
    <row r="4911">
      <c r="A4911" s="3" t="s">
        <v>14962</v>
      </c>
      <c r="B4911" s="3" t="s">
        <v>4793</v>
      </c>
      <c r="C4911" s="5" t="s">
        <v>206</v>
      </c>
      <c r="D4911" s="3" t="s">
        <v>68</v>
      </c>
      <c r="E4911" s="3" t="s">
        <v>100</v>
      </c>
      <c r="F4911" s="7">
        <v>45845.01586002938</v>
      </c>
      <c r="G4911" s="3" t="s">
        <v>14964</v>
      </c>
    </row>
    <row r="4912">
      <c r="A4912" s="3" t="s">
        <v>14965</v>
      </c>
      <c r="B4912" s="3" t="s">
        <v>4796</v>
      </c>
      <c r="C4912" s="5" t="s">
        <v>45</v>
      </c>
      <c r="D4912" s="3" t="s">
        <v>221</v>
      </c>
      <c r="E4912" s="3" t="s">
        <v>455</v>
      </c>
      <c r="F4912" s="7">
        <v>45845.07661820813</v>
      </c>
      <c r="G4912" s="3" t="s">
        <v>11235</v>
      </c>
    </row>
    <row r="4913">
      <c r="A4913" s="3" t="s">
        <v>14967</v>
      </c>
      <c r="B4913" s="3" t="s">
        <v>4796</v>
      </c>
      <c r="C4913" s="5" t="s">
        <v>221</v>
      </c>
      <c r="D4913" s="3" t="s">
        <v>195</v>
      </c>
      <c r="E4913" s="3" t="s">
        <v>455</v>
      </c>
      <c r="F4913" s="7">
        <v>45845.08009043035</v>
      </c>
      <c r="G4913" s="3" t="s">
        <v>14968</v>
      </c>
    </row>
    <row r="4914">
      <c r="A4914" s="3" t="s">
        <v>14970</v>
      </c>
      <c r="B4914" s="3" t="s">
        <v>4799</v>
      </c>
      <c r="C4914" s="5" t="s">
        <v>45</v>
      </c>
      <c r="D4914" s="3" t="s">
        <v>221</v>
      </c>
      <c r="E4914" s="3" t="s">
        <v>319</v>
      </c>
      <c r="F4914" s="7">
        <v>45845.14779305354</v>
      </c>
      <c r="G4914" s="3" t="s">
        <v>2770</v>
      </c>
    </row>
    <row r="4915">
      <c r="A4915" s="3" t="s">
        <v>14972</v>
      </c>
      <c r="B4915" s="3" t="s">
        <v>4799</v>
      </c>
      <c r="C4915" s="5" t="s">
        <v>221</v>
      </c>
      <c r="D4915" s="3" t="s">
        <v>181</v>
      </c>
      <c r="E4915" s="3" t="s">
        <v>118</v>
      </c>
      <c r="F4915" s="7">
        <v>45845.15126527576</v>
      </c>
      <c r="G4915" s="3" t="s">
        <v>2774</v>
      </c>
    </row>
    <row r="4916">
      <c r="A4916" s="3" t="s">
        <v>14973</v>
      </c>
      <c r="B4916" s="3" t="s">
        <v>4802</v>
      </c>
      <c r="C4916" s="5" t="s">
        <v>45</v>
      </c>
      <c r="D4916" s="3" t="s">
        <v>221</v>
      </c>
      <c r="E4916" s="3" t="s">
        <v>1008</v>
      </c>
      <c r="F4916" s="7">
        <v>45845.21896789896</v>
      </c>
      <c r="G4916" s="3" t="s">
        <v>14975</v>
      </c>
    </row>
    <row r="4917">
      <c r="A4917" s="3" t="s">
        <v>14976</v>
      </c>
      <c r="B4917" s="3" t="s">
        <v>4802</v>
      </c>
      <c r="C4917" s="5" t="s">
        <v>221</v>
      </c>
      <c r="D4917" s="3" t="s">
        <v>614</v>
      </c>
      <c r="E4917" s="3" t="s">
        <v>118</v>
      </c>
      <c r="F4917" s="7">
        <v>45845.22244012118</v>
      </c>
      <c r="G4917" s="3" t="s">
        <v>14978</v>
      </c>
    </row>
    <row r="4918">
      <c r="A4918" s="3" t="s">
        <v>14979</v>
      </c>
      <c r="B4918" s="3" t="s">
        <v>4802</v>
      </c>
      <c r="C4918" s="5" t="s">
        <v>614</v>
      </c>
      <c r="D4918" s="3" t="s">
        <v>206</v>
      </c>
      <c r="E4918" s="3" t="s">
        <v>100</v>
      </c>
      <c r="F4918" s="7">
        <v>45845.225912343405</v>
      </c>
      <c r="G4918" s="3" t="s">
        <v>14981</v>
      </c>
    </row>
    <row r="4919">
      <c r="A4919" s="3" t="s">
        <v>14982</v>
      </c>
      <c r="B4919" s="3" t="s">
        <v>4802</v>
      </c>
      <c r="C4919" s="5" t="s">
        <v>206</v>
      </c>
      <c r="D4919" s="3" t="s">
        <v>68</v>
      </c>
      <c r="E4919" s="3" t="s">
        <v>100</v>
      </c>
      <c r="F4919" s="7">
        <v>45845.229384565624</v>
      </c>
      <c r="G4919" s="3" t="s">
        <v>14983</v>
      </c>
    </row>
    <row r="4920">
      <c r="A4920" s="3" t="s">
        <v>14985</v>
      </c>
      <c r="B4920" s="3" t="s">
        <v>4805</v>
      </c>
      <c r="C4920" s="5" t="s">
        <v>45</v>
      </c>
      <c r="D4920" s="3" t="s">
        <v>221</v>
      </c>
      <c r="E4920" s="3" t="s">
        <v>455</v>
      </c>
      <c r="F4920" s="7">
        <v>45845.29014274437</v>
      </c>
      <c r="G4920" s="3" t="s">
        <v>11235</v>
      </c>
    </row>
    <row r="4921">
      <c r="A4921" s="3" t="s">
        <v>14986</v>
      </c>
      <c r="B4921" s="3" t="s">
        <v>4805</v>
      </c>
      <c r="C4921" s="5" t="s">
        <v>221</v>
      </c>
      <c r="D4921" s="3" t="s">
        <v>181</v>
      </c>
      <c r="E4921" s="3" t="s">
        <v>118</v>
      </c>
      <c r="F4921" s="7">
        <v>45845.29361496659</v>
      </c>
      <c r="G4921" s="3" t="s">
        <v>14988</v>
      </c>
    </row>
    <row r="4922">
      <c r="A4922" s="3" t="s">
        <v>14989</v>
      </c>
      <c r="B4922" s="3" t="s">
        <v>4808</v>
      </c>
      <c r="C4922" s="5" t="s">
        <v>45</v>
      </c>
      <c r="D4922" s="3" t="s">
        <v>221</v>
      </c>
      <c r="E4922" s="3" t="s">
        <v>1001</v>
      </c>
      <c r="F4922" s="7">
        <v>45845.361317589784</v>
      </c>
      <c r="G4922" s="3" t="s">
        <v>14991</v>
      </c>
    </row>
    <row r="4923">
      <c r="A4923" s="3" t="s">
        <v>14992</v>
      </c>
      <c r="B4923" s="3" t="s">
        <v>4808</v>
      </c>
      <c r="C4923" s="5" t="s">
        <v>221</v>
      </c>
      <c r="D4923" s="3" t="s">
        <v>181</v>
      </c>
      <c r="E4923" s="3" t="s">
        <v>118</v>
      </c>
      <c r="F4923" s="7">
        <v>45845.364789812</v>
      </c>
      <c r="G4923" s="3" t="s">
        <v>14994</v>
      </c>
    </row>
    <row r="4924">
      <c r="A4924" s="3" t="s">
        <v>14995</v>
      </c>
      <c r="B4924" s="3" t="s">
        <v>4811</v>
      </c>
      <c r="C4924" s="5" t="s">
        <v>45</v>
      </c>
      <c r="D4924" s="3" t="s">
        <v>221</v>
      </c>
      <c r="E4924" s="3" t="s">
        <v>527</v>
      </c>
      <c r="F4924" s="7">
        <v>45845.432492435204</v>
      </c>
      <c r="G4924" s="3" t="s">
        <v>12983</v>
      </c>
    </row>
    <row r="4925">
      <c r="A4925" s="3" t="s">
        <v>14997</v>
      </c>
      <c r="B4925" s="3" t="s">
        <v>4811</v>
      </c>
      <c r="C4925" s="5" t="s">
        <v>221</v>
      </c>
      <c r="D4925" s="3" t="s">
        <v>614</v>
      </c>
      <c r="E4925" s="3" t="s">
        <v>118</v>
      </c>
      <c r="F4925" s="7">
        <v>45845.43596465742</v>
      </c>
      <c r="G4925" s="3" t="s">
        <v>14998</v>
      </c>
    </row>
    <row r="4926">
      <c r="A4926" s="3" t="s">
        <v>15000</v>
      </c>
      <c r="B4926" s="3" t="s">
        <v>4811</v>
      </c>
      <c r="C4926" s="5" t="s">
        <v>614</v>
      </c>
      <c r="D4926" s="3" t="s">
        <v>206</v>
      </c>
      <c r="E4926" s="3" t="s">
        <v>100</v>
      </c>
      <c r="F4926" s="7">
        <v>45845.43943687965</v>
      </c>
      <c r="G4926" s="3" t="s">
        <v>15001</v>
      </c>
    </row>
    <row r="4927">
      <c r="A4927" s="3" t="s">
        <v>15002</v>
      </c>
      <c r="B4927" s="3" t="s">
        <v>4811</v>
      </c>
      <c r="C4927" s="5" t="s">
        <v>206</v>
      </c>
      <c r="D4927" s="3" t="s">
        <v>68</v>
      </c>
      <c r="E4927" s="3" t="s">
        <v>100</v>
      </c>
      <c r="F4927" s="7">
        <v>45845.44290910187</v>
      </c>
      <c r="G4927" s="3" t="s">
        <v>15004</v>
      </c>
    </row>
    <row r="4928">
      <c r="A4928" s="3" t="s">
        <v>15005</v>
      </c>
      <c r="B4928" s="3" t="s">
        <v>4815</v>
      </c>
      <c r="C4928" s="5" t="s">
        <v>45</v>
      </c>
      <c r="D4928" s="3" t="s">
        <v>221</v>
      </c>
      <c r="E4928" s="3" t="s">
        <v>662</v>
      </c>
      <c r="F4928" s="7">
        <v>45845.50366728062</v>
      </c>
      <c r="G4928" s="3" t="s">
        <v>2770</v>
      </c>
    </row>
    <row r="4929">
      <c r="A4929" s="3" t="s">
        <v>15007</v>
      </c>
      <c r="B4929" s="3" t="s">
        <v>4815</v>
      </c>
      <c r="C4929" s="5" t="s">
        <v>221</v>
      </c>
      <c r="D4929" s="3" t="s">
        <v>195</v>
      </c>
      <c r="E4929" s="3" t="s">
        <v>662</v>
      </c>
      <c r="F4929" s="7">
        <v>45845.50713950284</v>
      </c>
      <c r="G4929" s="3" t="s">
        <v>3055</v>
      </c>
    </row>
    <row r="4930">
      <c r="A4930" s="3" t="s">
        <v>15009</v>
      </c>
      <c r="B4930" s="3" t="s">
        <v>4818</v>
      </c>
      <c r="C4930" s="5" t="s">
        <v>45</v>
      </c>
      <c r="D4930" s="3" t="s">
        <v>221</v>
      </c>
      <c r="E4930" s="3" t="s">
        <v>704</v>
      </c>
      <c r="F4930" s="7">
        <v>45845.57484212603</v>
      </c>
      <c r="G4930" s="3" t="s">
        <v>9343</v>
      </c>
    </row>
    <row r="4931">
      <c r="A4931" s="3" t="s">
        <v>15011</v>
      </c>
      <c r="B4931" s="3" t="s">
        <v>4818</v>
      </c>
      <c r="C4931" s="5" t="s">
        <v>221</v>
      </c>
      <c r="D4931" s="3" t="s">
        <v>614</v>
      </c>
      <c r="E4931" s="3" t="s">
        <v>118</v>
      </c>
      <c r="F4931" s="7">
        <v>45845.57831434825</v>
      </c>
      <c r="G4931" s="3" t="s">
        <v>9346</v>
      </c>
    </row>
    <row r="4932">
      <c r="A4932" s="3" t="s">
        <v>15013</v>
      </c>
      <c r="B4932" s="3" t="s">
        <v>4818</v>
      </c>
      <c r="C4932" s="5" t="s">
        <v>614</v>
      </c>
      <c r="D4932" s="3" t="s">
        <v>206</v>
      </c>
      <c r="E4932" s="3" t="s">
        <v>100</v>
      </c>
      <c r="F4932" s="7">
        <v>45845.581786570474</v>
      </c>
      <c r="G4932" s="3" t="s">
        <v>9349</v>
      </c>
    </row>
    <row r="4933">
      <c r="A4933" s="3" t="s">
        <v>15014</v>
      </c>
      <c r="B4933" s="3" t="s">
        <v>4818</v>
      </c>
      <c r="C4933" s="5" t="s">
        <v>206</v>
      </c>
      <c r="D4933" s="3" t="s">
        <v>68</v>
      </c>
      <c r="E4933" s="3" t="s">
        <v>100</v>
      </c>
      <c r="F4933" s="7">
        <v>45845.58525879269</v>
      </c>
      <c r="G4933" s="3" t="s">
        <v>9352</v>
      </c>
    </row>
    <row r="4934">
      <c r="A4934" s="3" t="s">
        <v>15016</v>
      </c>
      <c r="B4934" s="3" t="s">
        <v>4821</v>
      </c>
      <c r="C4934" s="5" t="s">
        <v>45</v>
      </c>
      <c r="D4934" s="3" t="s">
        <v>221</v>
      </c>
      <c r="E4934" s="3" t="s">
        <v>404</v>
      </c>
      <c r="F4934" s="7">
        <v>45845.64601697145</v>
      </c>
      <c r="G4934" s="3" t="s">
        <v>15017</v>
      </c>
    </row>
    <row r="4935">
      <c r="A4935" s="3" t="s">
        <v>15018</v>
      </c>
      <c r="B4935" s="3" t="s">
        <v>4821</v>
      </c>
      <c r="C4935" s="5" t="s">
        <v>221</v>
      </c>
      <c r="D4935" s="3" t="s">
        <v>614</v>
      </c>
      <c r="E4935" s="3" t="s">
        <v>118</v>
      </c>
      <c r="F4935" s="7">
        <v>45845.64948919367</v>
      </c>
      <c r="G4935" s="3" t="s">
        <v>15020</v>
      </c>
    </row>
    <row r="4936">
      <c r="A4936" s="3" t="s">
        <v>15021</v>
      </c>
      <c r="B4936" s="3" t="s">
        <v>4821</v>
      </c>
      <c r="C4936" s="5" t="s">
        <v>614</v>
      </c>
      <c r="D4936" s="3" t="s">
        <v>206</v>
      </c>
      <c r="E4936" s="3" t="s">
        <v>100</v>
      </c>
      <c r="F4936" s="7">
        <v>45845.65296141589</v>
      </c>
      <c r="G4936" s="3" t="s">
        <v>15023</v>
      </c>
    </row>
    <row r="4937">
      <c r="A4937" s="3" t="s">
        <v>15024</v>
      </c>
      <c r="B4937" s="3" t="s">
        <v>4821</v>
      </c>
      <c r="C4937" s="5" t="s">
        <v>206</v>
      </c>
      <c r="D4937" s="3" t="s">
        <v>68</v>
      </c>
      <c r="E4937" s="3" t="s">
        <v>100</v>
      </c>
      <c r="F4937" s="7">
        <v>45845.65643363811</v>
      </c>
      <c r="G4937" s="3" t="s">
        <v>15026</v>
      </c>
    </row>
    <row r="4938">
      <c r="A4938" s="3" t="s">
        <v>15027</v>
      </c>
      <c r="B4938" s="3" t="s">
        <v>4824</v>
      </c>
      <c r="C4938" s="5" t="s">
        <v>45</v>
      </c>
      <c r="D4938" s="3" t="s">
        <v>221</v>
      </c>
      <c r="E4938" s="3" t="s">
        <v>758</v>
      </c>
      <c r="F4938" s="7">
        <v>45845.71719181687</v>
      </c>
      <c r="G4938" s="3" t="s">
        <v>15029</v>
      </c>
    </row>
    <row r="4939">
      <c r="A4939" s="3" t="s">
        <v>15030</v>
      </c>
      <c r="B4939" s="3" t="s">
        <v>4824</v>
      </c>
      <c r="C4939" s="5" t="s">
        <v>221</v>
      </c>
      <c r="D4939" s="3" t="s">
        <v>614</v>
      </c>
      <c r="E4939" s="3" t="s">
        <v>118</v>
      </c>
      <c r="F4939" s="7">
        <v>45845.72066403909</v>
      </c>
      <c r="G4939" s="3" t="s">
        <v>15031</v>
      </c>
    </row>
    <row r="4940">
      <c r="A4940" s="3" t="s">
        <v>15033</v>
      </c>
      <c r="B4940" s="3" t="s">
        <v>4824</v>
      </c>
      <c r="C4940" s="5" t="s">
        <v>614</v>
      </c>
      <c r="D4940" s="3" t="s">
        <v>206</v>
      </c>
      <c r="E4940" s="3" t="s">
        <v>100</v>
      </c>
      <c r="F4940" s="7">
        <v>45845.72413626131</v>
      </c>
      <c r="G4940" s="3" t="s">
        <v>15034</v>
      </c>
    </row>
    <row r="4941">
      <c r="A4941" s="3" t="s">
        <v>15035</v>
      </c>
      <c r="B4941" s="3" t="s">
        <v>4824</v>
      </c>
      <c r="C4941" s="5" t="s">
        <v>206</v>
      </c>
      <c r="D4941" s="3" t="s">
        <v>68</v>
      </c>
      <c r="E4941" s="3" t="s">
        <v>100</v>
      </c>
      <c r="F4941" s="7">
        <v>45845.72760848353</v>
      </c>
      <c r="G4941" s="3" t="s">
        <v>15037</v>
      </c>
    </row>
    <row r="4942">
      <c r="A4942" s="3" t="s">
        <v>15038</v>
      </c>
      <c r="B4942" s="3" t="s">
        <v>4828</v>
      </c>
      <c r="C4942" s="5" t="s">
        <v>45</v>
      </c>
      <c r="D4942" s="3" t="s">
        <v>221</v>
      </c>
      <c r="E4942" s="3" t="s">
        <v>1043</v>
      </c>
      <c r="F4942" s="7">
        <v>45845.78836666228</v>
      </c>
      <c r="G4942" s="3" t="s">
        <v>12088</v>
      </c>
    </row>
    <row r="4943">
      <c r="A4943" s="3" t="s">
        <v>15040</v>
      </c>
      <c r="B4943" s="3" t="s">
        <v>4828</v>
      </c>
      <c r="C4943" s="5" t="s">
        <v>221</v>
      </c>
      <c r="D4943" s="3" t="s">
        <v>614</v>
      </c>
      <c r="E4943" s="3" t="s">
        <v>118</v>
      </c>
      <c r="F4943" s="7">
        <v>45845.7918388845</v>
      </c>
      <c r="G4943" s="3" t="s">
        <v>12091</v>
      </c>
    </row>
    <row r="4944">
      <c r="A4944" s="3" t="s">
        <v>15042</v>
      </c>
      <c r="B4944" s="3" t="s">
        <v>4828</v>
      </c>
      <c r="C4944" s="5" t="s">
        <v>614</v>
      </c>
      <c r="D4944" s="3" t="s">
        <v>206</v>
      </c>
      <c r="E4944" s="3" t="s">
        <v>100</v>
      </c>
      <c r="F4944" s="7">
        <v>45845.795311106725</v>
      </c>
      <c r="G4944" s="3" t="s">
        <v>12094</v>
      </c>
    </row>
    <row r="4945">
      <c r="A4945" s="3" t="s">
        <v>15044</v>
      </c>
      <c r="B4945" s="3" t="s">
        <v>4828</v>
      </c>
      <c r="C4945" s="5" t="s">
        <v>206</v>
      </c>
      <c r="D4945" s="3" t="s">
        <v>68</v>
      </c>
      <c r="E4945" s="3" t="s">
        <v>100</v>
      </c>
      <c r="F4945" s="7">
        <v>45845.798783328944</v>
      </c>
      <c r="G4945" s="3" t="s">
        <v>12097</v>
      </c>
    </row>
    <row r="4946">
      <c r="A4946" s="3" t="s">
        <v>15045</v>
      </c>
      <c r="B4946" s="3" t="s">
        <v>4831</v>
      </c>
      <c r="C4946" s="5" t="s">
        <v>45</v>
      </c>
      <c r="D4946" s="3" t="s">
        <v>221</v>
      </c>
      <c r="E4946" s="3" t="s">
        <v>830</v>
      </c>
      <c r="F4946" s="7">
        <v>45845.85954150769</v>
      </c>
      <c r="G4946" s="3" t="s">
        <v>15047</v>
      </c>
    </row>
    <row r="4947">
      <c r="A4947" s="3" t="s">
        <v>15048</v>
      </c>
      <c r="B4947" s="3" t="s">
        <v>4831</v>
      </c>
      <c r="C4947" s="5" t="s">
        <v>221</v>
      </c>
      <c r="D4947" s="3" t="s">
        <v>614</v>
      </c>
      <c r="E4947" s="3" t="s">
        <v>118</v>
      </c>
      <c r="F4947" s="7">
        <v>45845.86301372991</v>
      </c>
      <c r="G4947" s="3" t="s">
        <v>15050</v>
      </c>
    </row>
    <row r="4948">
      <c r="A4948" s="3" t="s">
        <v>15051</v>
      </c>
      <c r="B4948" s="3" t="s">
        <v>4831</v>
      </c>
      <c r="C4948" s="5" t="s">
        <v>614</v>
      </c>
      <c r="D4948" s="3" t="s">
        <v>206</v>
      </c>
      <c r="E4948" s="3" t="s">
        <v>100</v>
      </c>
      <c r="F4948" s="7">
        <v>45845.86648595214</v>
      </c>
      <c r="G4948" s="3" t="s">
        <v>15053</v>
      </c>
    </row>
    <row r="4949">
      <c r="A4949" s="3" t="s">
        <v>15054</v>
      </c>
      <c r="B4949" s="3" t="s">
        <v>4831</v>
      </c>
      <c r="C4949" s="5" t="s">
        <v>206</v>
      </c>
      <c r="D4949" s="3" t="s">
        <v>68</v>
      </c>
      <c r="E4949" s="3" t="s">
        <v>100</v>
      </c>
      <c r="F4949" s="7">
        <v>45845.86995817436</v>
      </c>
      <c r="G4949" s="3" t="s">
        <v>15055</v>
      </c>
    </row>
    <row r="4950">
      <c r="A4950" s="3" t="s">
        <v>15057</v>
      </c>
      <c r="B4950" s="3" t="s">
        <v>4834</v>
      </c>
      <c r="C4950" s="5" t="s">
        <v>45</v>
      </c>
      <c r="D4950" s="3" t="s">
        <v>221</v>
      </c>
      <c r="E4950" s="3" t="s">
        <v>886</v>
      </c>
      <c r="F4950" s="7">
        <v>45845.93071635311</v>
      </c>
      <c r="G4950" s="3" t="s">
        <v>15058</v>
      </c>
    </row>
    <row r="4951">
      <c r="A4951" s="3" t="s">
        <v>15059</v>
      </c>
      <c r="B4951" s="3" t="s">
        <v>4834</v>
      </c>
      <c r="C4951" s="5" t="s">
        <v>221</v>
      </c>
      <c r="D4951" s="3" t="s">
        <v>614</v>
      </c>
      <c r="E4951" s="3" t="s">
        <v>118</v>
      </c>
      <c r="F4951" s="7">
        <v>45845.93418857533</v>
      </c>
      <c r="G4951" s="3" t="s">
        <v>15061</v>
      </c>
    </row>
    <row r="4952">
      <c r="A4952" s="3" t="s">
        <v>15062</v>
      </c>
      <c r="B4952" s="3" t="s">
        <v>4834</v>
      </c>
      <c r="C4952" s="5" t="s">
        <v>614</v>
      </c>
      <c r="D4952" s="3" t="s">
        <v>206</v>
      </c>
      <c r="E4952" s="3" t="s">
        <v>100</v>
      </c>
      <c r="F4952" s="7">
        <v>45845.93766079756</v>
      </c>
      <c r="G4952" s="3" t="s">
        <v>15064</v>
      </c>
    </row>
    <row r="4953">
      <c r="A4953" s="3" t="s">
        <v>15065</v>
      </c>
      <c r="B4953" s="3" t="s">
        <v>4834</v>
      </c>
      <c r="C4953" s="5" t="s">
        <v>206</v>
      </c>
      <c r="D4953" s="3" t="s">
        <v>68</v>
      </c>
      <c r="E4953" s="3" t="s">
        <v>100</v>
      </c>
      <c r="F4953" s="7">
        <v>45845.941133019776</v>
      </c>
      <c r="G4953" s="3" t="s">
        <v>15067</v>
      </c>
    </row>
    <row r="4954">
      <c r="A4954" s="3" t="s">
        <v>15068</v>
      </c>
      <c r="B4954" s="3" t="s">
        <v>4837</v>
      </c>
      <c r="C4954" s="5" t="s">
        <v>45</v>
      </c>
      <c r="D4954" s="3" t="s">
        <v>221</v>
      </c>
      <c r="E4954" s="3" t="s">
        <v>419</v>
      </c>
      <c r="F4954" s="7">
        <v>45846.001891198524</v>
      </c>
      <c r="G4954" s="3" t="s">
        <v>11664</v>
      </c>
    </row>
    <row r="4955">
      <c r="A4955" s="3" t="s">
        <v>15070</v>
      </c>
      <c r="B4955" s="3" t="s">
        <v>4837</v>
      </c>
      <c r="C4955" s="5" t="s">
        <v>221</v>
      </c>
      <c r="D4955" s="3" t="s">
        <v>614</v>
      </c>
      <c r="E4955" s="3" t="s">
        <v>118</v>
      </c>
      <c r="F4955" s="7">
        <v>45846.00536342074</v>
      </c>
      <c r="G4955" s="3" t="s">
        <v>11667</v>
      </c>
    </row>
    <row r="4956">
      <c r="A4956" s="3" t="s">
        <v>15071</v>
      </c>
      <c r="B4956" s="3" t="s">
        <v>4837</v>
      </c>
      <c r="C4956" s="5" t="s">
        <v>614</v>
      </c>
      <c r="D4956" s="3" t="s">
        <v>206</v>
      </c>
      <c r="E4956" s="3" t="s">
        <v>100</v>
      </c>
      <c r="F4956" s="7">
        <v>45846.00883564297</v>
      </c>
      <c r="G4956" s="3" t="s">
        <v>11670</v>
      </c>
    </row>
    <row r="4957">
      <c r="A4957" s="3" t="s">
        <v>15073</v>
      </c>
      <c r="B4957" s="3" t="s">
        <v>4837</v>
      </c>
      <c r="C4957" s="5" t="s">
        <v>206</v>
      </c>
      <c r="D4957" s="3" t="s">
        <v>68</v>
      </c>
      <c r="E4957" s="3" t="s">
        <v>100</v>
      </c>
      <c r="F4957" s="7">
        <v>45846.01230786519</v>
      </c>
      <c r="G4957" s="3" t="s">
        <v>11673</v>
      </c>
    </row>
    <row r="4958">
      <c r="A4958" s="3" t="s">
        <v>15075</v>
      </c>
      <c r="B4958" s="3" t="s">
        <v>4840</v>
      </c>
      <c r="C4958" s="5" t="s">
        <v>45</v>
      </c>
      <c r="D4958" s="3" t="s">
        <v>221</v>
      </c>
      <c r="E4958" s="3" t="s">
        <v>162</v>
      </c>
      <c r="F4958" s="7">
        <v>45846.07306604394</v>
      </c>
      <c r="G4958" s="3" t="s">
        <v>15077</v>
      </c>
    </row>
    <row r="4959">
      <c r="A4959" s="3" t="s">
        <v>15078</v>
      </c>
      <c r="B4959" s="3" t="s">
        <v>4840</v>
      </c>
      <c r="C4959" s="5" t="s">
        <v>221</v>
      </c>
      <c r="D4959" s="3" t="s">
        <v>614</v>
      </c>
      <c r="E4959" s="3" t="s">
        <v>118</v>
      </c>
      <c r="F4959" s="7">
        <v>45846.076538266156</v>
      </c>
      <c r="G4959" s="3" t="s">
        <v>15079</v>
      </c>
    </row>
    <row r="4960">
      <c r="A4960" s="3" t="s">
        <v>15081</v>
      </c>
      <c r="B4960" s="3" t="s">
        <v>4840</v>
      </c>
      <c r="C4960" s="5" t="s">
        <v>614</v>
      </c>
      <c r="D4960" s="3" t="s">
        <v>206</v>
      </c>
      <c r="E4960" s="3" t="s">
        <v>100</v>
      </c>
      <c r="F4960" s="7">
        <v>45846.08001048838</v>
      </c>
      <c r="G4960" s="3" t="s">
        <v>15082</v>
      </c>
    </row>
    <row r="4961">
      <c r="A4961" s="3" t="s">
        <v>15083</v>
      </c>
      <c r="B4961" s="3" t="s">
        <v>4840</v>
      </c>
      <c r="C4961" s="5" t="s">
        <v>206</v>
      </c>
      <c r="D4961" s="3" t="s">
        <v>68</v>
      </c>
      <c r="E4961" s="3" t="s">
        <v>100</v>
      </c>
      <c r="F4961" s="7">
        <v>45846.0834827106</v>
      </c>
      <c r="G4961" s="3" t="s">
        <v>15085</v>
      </c>
    </row>
    <row r="4962">
      <c r="A4962" s="3" t="s">
        <v>15086</v>
      </c>
      <c r="B4962" s="3" t="s">
        <v>4844</v>
      </c>
      <c r="C4962" s="5" t="s">
        <v>45</v>
      </c>
      <c r="D4962" s="3" t="s">
        <v>221</v>
      </c>
      <c r="E4962" s="3" t="s">
        <v>260</v>
      </c>
      <c r="F4962" s="7">
        <v>45846.144240889356</v>
      </c>
      <c r="G4962" s="3" t="s">
        <v>9366</v>
      </c>
    </row>
    <row r="4963">
      <c r="A4963" s="3" t="s">
        <v>15088</v>
      </c>
      <c r="B4963" s="3" t="s">
        <v>4844</v>
      </c>
      <c r="C4963" s="5" t="s">
        <v>221</v>
      </c>
      <c r="D4963" s="3" t="s">
        <v>181</v>
      </c>
      <c r="E4963" s="3" t="s">
        <v>118</v>
      </c>
      <c r="F4963" s="7">
        <v>45846.147713111575</v>
      </c>
      <c r="G4963" s="3" t="s">
        <v>15090</v>
      </c>
    </row>
    <row r="4964">
      <c r="A4964" s="3" t="s">
        <v>15091</v>
      </c>
      <c r="B4964" s="3" t="s">
        <v>4847</v>
      </c>
      <c r="C4964" s="5" t="s">
        <v>45</v>
      </c>
      <c r="D4964" s="3" t="s">
        <v>221</v>
      </c>
      <c r="E4964" s="3" t="s">
        <v>662</v>
      </c>
      <c r="F4964" s="7">
        <v>45846.215415734776</v>
      </c>
      <c r="G4964" s="3" t="s">
        <v>15093</v>
      </c>
    </row>
    <row r="4965">
      <c r="A4965" s="3" t="s">
        <v>15094</v>
      </c>
      <c r="B4965" s="3" t="s">
        <v>4847</v>
      </c>
      <c r="C4965" s="5" t="s">
        <v>221</v>
      </c>
      <c r="D4965" s="3" t="s">
        <v>614</v>
      </c>
      <c r="E4965" s="3" t="s">
        <v>118</v>
      </c>
      <c r="F4965" s="7">
        <v>45846.218887956995</v>
      </c>
      <c r="G4965" s="3" t="s">
        <v>15095</v>
      </c>
    </row>
    <row r="4966">
      <c r="A4966" s="3" t="s">
        <v>15097</v>
      </c>
      <c r="B4966" s="3" t="s">
        <v>4847</v>
      </c>
      <c r="C4966" s="5" t="s">
        <v>614</v>
      </c>
      <c r="D4966" s="3" t="s">
        <v>206</v>
      </c>
      <c r="E4966" s="3" t="s">
        <v>100</v>
      </c>
      <c r="F4966" s="7">
        <v>45846.22236017922</v>
      </c>
      <c r="G4966" s="3" t="s">
        <v>15098</v>
      </c>
    </row>
    <row r="4967">
      <c r="A4967" s="3" t="s">
        <v>15099</v>
      </c>
      <c r="B4967" s="3" t="s">
        <v>4847</v>
      </c>
      <c r="C4967" s="5" t="s">
        <v>206</v>
      </c>
      <c r="D4967" s="3" t="s">
        <v>68</v>
      </c>
      <c r="E4967" s="3" t="s">
        <v>100</v>
      </c>
      <c r="F4967" s="7">
        <v>45846.22583240144</v>
      </c>
      <c r="G4967" s="3" t="s">
        <v>15101</v>
      </c>
    </row>
    <row r="4968">
      <c r="A4968" s="3" t="s">
        <v>15102</v>
      </c>
      <c r="B4968" s="3" t="s">
        <v>4850</v>
      </c>
      <c r="C4968" s="5" t="s">
        <v>45</v>
      </c>
      <c r="D4968" s="3" t="s">
        <v>221</v>
      </c>
      <c r="E4968" s="3" t="s">
        <v>870</v>
      </c>
      <c r="F4968" s="7">
        <v>45846.28659058018</v>
      </c>
      <c r="G4968" s="3" t="s">
        <v>2770</v>
      </c>
    </row>
    <row r="4969">
      <c r="A4969" s="3" t="s">
        <v>15104</v>
      </c>
      <c r="B4969" s="3" t="s">
        <v>4850</v>
      </c>
      <c r="C4969" s="5" t="s">
        <v>221</v>
      </c>
      <c r="D4969" s="3" t="s">
        <v>195</v>
      </c>
      <c r="E4969" s="3" t="s">
        <v>870</v>
      </c>
      <c r="F4969" s="7">
        <v>45846.2900628024</v>
      </c>
      <c r="G4969" s="3" t="s">
        <v>3055</v>
      </c>
    </row>
    <row r="4970">
      <c r="A4970" s="3" t="s">
        <v>15106</v>
      </c>
      <c r="B4970" s="3" t="s">
        <v>4853</v>
      </c>
      <c r="C4970" s="5" t="s">
        <v>45</v>
      </c>
      <c r="D4970" s="3" t="s">
        <v>221</v>
      </c>
      <c r="E4970" s="3" t="s">
        <v>208</v>
      </c>
      <c r="F4970" s="7">
        <v>45846.3577654256</v>
      </c>
      <c r="G4970" s="3" t="s">
        <v>15107</v>
      </c>
    </row>
    <row r="4971">
      <c r="A4971" s="3" t="s">
        <v>15109</v>
      </c>
      <c r="B4971" s="3" t="s">
        <v>4853</v>
      </c>
      <c r="C4971" s="5" t="s">
        <v>221</v>
      </c>
      <c r="D4971" s="3" t="s">
        <v>614</v>
      </c>
      <c r="E4971" s="3" t="s">
        <v>118</v>
      </c>
      <c r="F4971" s="7">
        <v>45846.36123764782</v>
      </c>
      <c r="G4971" s="3" t="s">
        <v>15110</v>
      </c>
    </row>
    <row r="4972">
      <c r="A4972" s="3" t="s">
        <v>15111</v>
      </c>
      <c r="B4972" s="3" t="s">
        <v>4853</v>
      </c>
      <c r="C4972" s="5" t="s">
        <v>614</v>
      </c>
      <c r="D4972" s="3" t="s">
        <v>206</v>
      </c>
      <c r="E4972" s="3" t="s">
        <v>100</v>
      </c>
      <c r="F4972" s="7">
        <v>45846.364709870046</v>
      </c>
      <c r="G4972" s="3" t="s">
        <v>15113</v>
      </c>
    </row>
    <row r="4973">
      <c r="A4973" s="3" t="s">
        <v>15114</v>
      </c>
      <c r="B4973" s="3" t="s">
        <v>4853</v>
      </c>
      <c r="C4973" s="5" t="s">
        <v>206</v>
      </c>
      <c r="D4973" s="3" t="s">
        <v>68</v>
      </c>
      <c r="E4973" s="3" t="s">
        <v>100</v>
      </c>
      <c r="F4973" s="7">
        <v>45846.368182092265</v>
      </c>
      <c r="G4973" s="3" t="s">
        <v>15116</v>
      </c>
    </row>
    <row r="4974">
      <c r="A4974" s="3" t="s">
        <v>15117</v>
      </c>
      <c r="B4974" s="3" t="s">
        <v>4857</v>
      </c>
      <c r="C4974" s="5" t="s">
        <v>45</v>
      </c>
      <c r="D4974" s="3" t="s">
        <v>221</v>
      </c>
      <c r="E4974" s="3" t="s">
        <v>395</v>
      </c>
      <c r="F4974" s="7">
        <v>45846.42894027101</v>
      </c>
      <c r="G4974" s="3" t="s">
        <v>5961</v>
      </c>
    </row>
    <row r="4975">
      <c r="A4975" s="3" t="s">
        <v>15119</v>
      </c>
      <c r="B4975" s="3" t="s">
        <v>4857</v>
      </c>
      <c r="C4975" s="5" t="s">
        <v>221</v>
      </c>
      <c r="D4975" s="3" t="s">
        <v>614</v>
      </c>
      <c r="E4975" s="3" t="s">
        <v>118</v>
      </c>
      <c r="F4975" s="7">
        <v>45846.43241249323</v>
      </c>
      <c r="G4975" s="3" t="s">
        <v>5964</v>
      </c>
    </row>
    <row r="4976">
      <c r="A4976" s="3" t="s">
        <v>15120</v>
      </c>
      <c r="B4976" s="3" t="s">
        <v>4857</v>
      </c>
      <c r="C4976" s="5" t="s">
        <v>614</v>
      </c>
      <c r="D4976" s="3" t="s">
        <v>206</v>
      </c>
      <c r="E4976" s="3" t="s">
        <v>100</v>
      </c>
      <c r="F4976" s="7">
        <v>45846.43588471546</v>
      </c>
      <c r="G4976" s="3" t="s">
        <v>5967</v>
      </c>
    </row>
    <row r="4977">
      <c r="A4977" s="3" t="s">
        <v>15122</v>
      </c>
      <c r="B4977" s="3" t="s">
        <v>4857</v>
      </c>
      <c r="C4977" s="5" t="s">
        <v>206</v>
      </c>
      <c r="D4977" s="3" t="s">
        <v>68</v>
      </c>
      <c r="E4977" s="3" t="s">
        <v>100</v>
      </c>
      <c r="F4977" s="7">
        <v>45846.43935693768</v>
      </c>
      <c r="G4977" s="3" t="s">
        <v>5970</v>
      </c>
    </row>
    <row r="4978">
      <c r="A4978" s="3" t="s">
        <v>15124</v>
      </c>
      <c r="B4978" s="3" t="s">
        <v>4860</v>
      </c>
      <c r="C4978" s="5" t="s">
        <v>45</v>
      </c>
      <c r="D4978" s="3" t="s">
        <v>221</v>
      </c>
      <c r="E4978" s="3" t="s">
        <v>550</v>
      </c>
      <c r="F4978" s="7">
        <v>45846.50011511643</v>
      </c>
      <c r="G4978" s="3" t="s">
        <v>15126</v>
      </c>
    </row>
    <row r="4979">
      <c r="A4979" s="3" t="s">
        <v>15127</v>
      </c>
      <c r="B4979" s="3" t="s">
        <v>4860</v>
      </c>
      <c r="C4979" s="5" t="s">
        <v>221</v>
      </c>
      <c r="D4979" s="3" t="s">
        <v>614</v>
      </c>
      <c r="E4979" s="3" t="s">
        <v>118</v>
      </c>
      <c r="F4979" s="7">
        <v>45846.50358733865</v>
      </c>
      <c r="G4979" s="3" t="s">
        <v>15129</v>
      </c>
    </row>
    <row r="4980">
      <c r="A4980" s="3" t="s">
        <v>15130</v>
      </c>
      <c r="B4980" s="3" t="s">
        <v>4860</v>
      </c>
      <c r="C4980" s="5" t="s">
        <v>614</v>
      </c>
      <c r="D4980" s="3" t="s">
        <v>206</v>
      </c>
      <c r="E4980" s="3" t="s">
        <v>100</v>
      </c>
      <c r="F4980" s="7">
        <v>45846.50705956088</v>
      </c>
      <c r="G4980" s="3" t="s">
        <v>15131</v>
      </c>
    </row>
    <row r="4981">
      <c r="A4981" s="3" t="s">
        <v>15133</v>
      </c>
      <c r="B4981" s="3" t="s">
        <v>4860</v>
      </c>
      <c r="C4981" s="5" t="s">
        <v>206</v>
      </c>
      <c r="D4981" s="3" t="s">
        <v>68</v>
      </c>
      <c r="E4981" s="3" t="s">
        <v>100</v>
      </c>
      <c r="F4981" s="7">
        <v>45846.5105317831</v>
      </c>
      <c r="G4981" s="3" t="s">
        <v>15134</v>
      </c>
    </row>
    <row r="4982">
      <c r="A4982" s="3" t="s">
        <v>15135</v>
      </c>
      <c r="B4982" s="3" t="s">
        <v>4862</v>
      </c>
      <c r="C4982" s="5" t="s">
        <v>45</v>
      </c>
      <c r="D4982" s="3" t="s">
        <v>221</v>
      </c>
      <c r="E4982" s="3" t="s">
        <v>341</v>
      </c>
      <c r="F4982" s="7">
        <v>45846.571289961845</v>
      </c>
      <c r="G4982" s="3" t="s">
        <v>14735</v>
      </c>
    </row>
    <row r="4983">
      <c r="A4983" s="3" t="s">
        <v>15137</v>
      </c>
      <c r="B4983" s="3" t="s">
        <v>4862</v>
      </c>
      <c r="C4983" s="5" t="s">
        <v>221</v>
      </c>
      <c r="D4983" s="3" t="s">
        <v>614</v>
      </c>
      <c r="E4983" s="3" t="s">
        <v>118</v>
      </c>
      <c r="F4983" s="7">
        <v>45846.574762184064</v>
      </c>
      <c r="G4983" s="3" t="s">
        <v>14738</v>
      </c>
    </row>
    <row r="4984">
      <c r="A4984" s="3" t="s">
        <v>15139</v>
      </c>
      <c r="B4984" s="3" t="s">
        <v>4862</v>
      </c>
      <c r="C4984" s="5" t="s">
        <v>614</v>
      </c>
      <c r="D4984" s="3" t="s">
        <v>206</v>
      </c>
      <c r="E4984" s="3" t="s">
        <v>100</v>
      </c>
      <c r="F4984" s="7">
        <v>45846.57823440629</v>
      </c>
      <c r="G4984" s="3" t="s">
        <v>14741</v>
      </c>
    </row>
    <row r="4985">
      <c r="A4985" s="3" t="s">
        <v>15141</v>
      </c>
      <c r="B4985" s="3" t="s">
        <v>4862</v>
      </c>
      <c r="C4985" s="5" t="s">
        <v>206</v>
      </c>
      <c r="D4985" s="3" t="s">
        <v>68</v>
      </c>
      <c r="E4985" s="3" t="s">
        <v>100</v>
      </c>
      <c r="F4985" s="7">
        <v>45846.58170662851</v>
      </c>
      <c r="G4985" s="3" t="s">
        <v>14744</v>
      </c>
    </row>
    <row r="4986">
      <c r="A4986" s="3" t="s">
        <v>15143</v>
      </c>
      <c r="B4986" s="3" t="s">
        <v>4864</v>
      </c>
      <c r="C4986" s="5" t="s">
        <v>45</v>
      </c>
      <c r="D4986" s="3" t="s">
        <v>221</v>
      </c>
      <c r="E4986" s="3" t="s">
        <v>708</v>
      </c>
      <c r="F4986" s="7">
        <v>45846.642464807264</v>
      </c>
      <c r="G4986" s="3" t="s">
        <v>14269</v>
      </c>
    </row>
    <row r="4987">
      <c r="A4987" s="3" t="s">
        <v>15144</v>
      </c>
      <c r="B4987" s="3" t="s">
        <v>4864</v>
      </c>
      <c r="C4987" s="5" t="s">
        <v>221</v>
      </c>
      <c r="D4987" s="3" t="s">
        <v>614</v>
      </c>
      <c r="E4987" s="3" t="s">
        <v>118</v>
      </c>
      <c r="F4987" s="7">
        <v>45846.64593702948</v>
      </c>
      <c r="G4987" s="3" t="s">
        <v>14272</v>
      </c>
    </row>
    <row r="4988">
      <c r="A4988" s="3" t="s">
        <v>15146</v>
      </c>
      <c r="B4988" s="3" t="s">
        <v>4864</v>
      </c>
      <c r="C4988" s="5" t="s">
        <v>614</v>
      </c>
      <c r="D4988" s="3" t="s">
        <v>206</v>
      </c>
      <c r="E4988" s="3" t="s">
        <v>100</v>
      </c>
      <c r="F4988" s="7">
        <v>45846.64940925171</v>
      </c>
      <c r="G4988" s="3" t="s">
        <v>14274</v>
      </c>
    </row>
    <row r="4989">
      <c r="A4989" s="3" t="s">
        <v>15148</v>
      </c>
      <c r="B4989" s="3" t="s">
        <v>4864</v>
      </c>
      <c r="C4989" s="5" t="s">
        <v>206</v>
      </c>
      <c r="D4989" s="3" t="s">
        <v>68</v>
      </c>
      <c r="E4989" s="3" t="s">
        <v>100</v>
      </c>
      <c r="F4989" s="7">
        <v>45846.65288147393</v>
      </c>
      <c r="G4989" s="3" t="s">
        <v>14277</v>
      </c>
    </row>
    <row r="4990">
      <c r="A4990" s="3" t="s">
        <v>15150</v>
      </c>
      <c r="B4990" s="3" t="s">
        <v>4867</v>
      </c>
      <c r="C4990" s="5" t="s">
        <v>45</v>
      </c>
      <c r="D4990" s="3" t="s">
        <v>221</v>
      </c>
      <c r="E4990" s="3" t="s">
        <v>380</v>
      </c>
      <c r="F4990" s="7">
        <v>45846.71363965267</v>
      </c>
      <c r="G4990" s="3" t="s">
        <v>15152</v>
      </c>
    </row>
    <row r="4991">
      <c r="A4991" s="3" t="s">
        <v>15153</v>
      </c>
      <c r="B4991" s="3" t="s">
        <v>4867</v>
      </c>
      <c r="C4991" s="5" t="s">
        <v>221</v>
      </c>
      <c r="D4991" s="3" t="s">
        <v>614</v>
      </c>
      <c r="E4991" s="3" t="s">
        <v>118</v>
      </c>
      <c r="F4991" s="7">
        <v>45846.71711187489</v>
      </c>
      <c r="G4991" s="3" t="s">
        <v>15155</v>
      </c>
    </row>
    <row r="4992">
      <c r="A4992" s="3" t="s">
        <v>15156</v>
      </c>
      <c r="B4992" s="3" t="s">
        <v>4867</v>
      </c>
      <c r="C4992" s="5" t="s">
        <v>614</v>
      </c>
      <c r="D4992" s="3" t="s">
        <v>206</v>
      </c>
      <c r="E4992" s="3" t="s">
        <v>100</v>
      </c>
      <c r="F4992" s="7">
        <v>45846.720584097115</v>
      </c>
      <c r="G4992" s="3" t="s">
        <v>15157</v>
      </c>
    </row>
    <row r="4993">
      <c r="A4993" s="3" t="s">
        <v>15159</v>
      </c>
      <c r="B4993" s="3" t="s">
        <v>4867</v>
      </c>
      <c r="C4993" s="5" t="s">
        <v>206</v>
      </c>
      <c r="D4993" s="3" t="s">
        <v>68</v>
      </c>
      <c r="E4993" s="3" t="s">
        <v>100</v>
      </c>
      <c r="F4993" s="7">
        <v>45846.72405631933</v>
      </c>
      <c r="G4993" s="3" t="s">
        <v>15160</v>
      </c>
    </row>
    <row r="4994">
      <c r="A4994" s="3" t="s">
        <v>15161</v>
      </c>
      <c r="B4994" s="3" t="s">
        <v>4869</v>
      </c>
      <c r="C4994" s="5" t="s">
        <v>45</v>
      </c>
      <c r="D4994" s="3" t="s">
        <v>221</v>
      </c>
      <c r="E4994" s="3" t="s">
        <v>446</v>
      </c>
      <c r="F4994" s="7">
        <v>45846.78481449809</v>
      </c>
      <c r="G4994" s="3" t="s">
        <v>14549</v>
      </c>
    </row>
    <row r="4995">
      <c r="A4995" s="3" t="s">
        <v>15163</v>
      </c>
      <c r="B4995" s="3" t="s">
        <v>4869</v>
      </c>
      <c r="C4995" s="5" t="s">
        <v>221</v>
      </c>
      <c r="D4995" s="3" t="s">
        <v>614</v>
      </c>
      <c r="E4995" s="3" t="s">
        <v>118</v>
      </c>
      <c r="F4995" s="7">
        <v>45846.78828672031</v>
      </c>
      <c r="G4995" s="3" t="s">
        <v>14552</v>
      </c>
    </row>
    <row r="4996">
      <c r="A4996" s="3" t="s">
        <v>15165</v>
      </c>
      <c r="B4996" s="3" t="s">
        <v>4869</v>
      </c>
      <c r="C4996" s="5" t="s">
        <v>614</v>
      </c>
      <c r="D4996" s="3" t="s">
        <v>206</v>
      </c>
      <c r="E4996" s="3" t="s">
        <v>100</v>
      </c>
      <c r="F4996" s="7">
        <v>45846.791758942534</v>
      </c>
      <c r="G4996" s="3" t="s">
        <v>14555</v>
      </c>
    </row>
    <row r="4997">
      <c r="A4997" s="3" t="s">
        <v>15168</v>
      </c>
      <c r="B4997" s="3" t="s">
        <v>4869</v>
      </c>
      <c r="C4997" s="5" t="s">
        <v>206</v>
      </c>
      <c r="D4997" s="3" t="s">
        <v>68</v>
      </c>
      <c r="E4997" s="3" t="s">
        <v>100</v>
      </c>
      <c r="F4997" s="7">
        <v>45846.79523116475</v>
      </c>
      <c r="G4997" s="3" t="s">
        <v>14558</v>
      </c>
    </row>
    <row r="4998">
      <c r="A4998" s="3" t="s">
        <v>15170</v>
      </c>
      <c r="B4998" s="3" t="s">
        <v>4872</v>
      </c>
      <c r="C4998" s="5" t="s">
        <v>45</v>
      </c>
      <c r="D4998" s="3" t="s">
        <v>221</v>
      </c>
      <c r="E4998" s="3" t="s">
        <v>747</v>
      </c>
      <c r="F4998" s="7">
        <v>45846.85598934351</v>
      </c>
      <c r="G4998" s="3" t="s">
        <v>13940</v>
      </c>
    </row>
    <row r="4999">
      <c r="A4999" s="3" t="s">
        <v>15172</v>
      </c>
      <c r="B4999" s="3" t="s">
        <v>4872</v>
      </c>
      <c r="C4999" s="5" t="s">
        <v>221</v>
      </c>
      <c r="D4999" s="3" t="s">
        <v>614</v>
      </c>
      <c r="E4999" s="3" t="s">
        <v>118</v>
      </c>
      <c r="F4999" s="7">
        <v>45846.85946156573</v>
      </c>
      <c r="G4999" s="3" t="s">
        <v>13942</v>
      </c>
    </row>
    <row r="5000">
      <c r="A5000" s="3" t="s">
        <v>15175</v>
      </c>
      <c r="B5000" s="3" t="s">
        <v>4872</v>
      </c>
      <c r="C5000" s="5" t="s">
        <v>614</v>
      </c>
      <c r="D5000" s="3" t="s">
        <v>206</v>
      </c>
      <c r="E5000" s="3" t="s">
        <v>100</v>
      </c>
      <c r="F5000" s="7">
        <v>45846.862933787954</v>
      </c>
      <c r="G5000" s="3" t="s">
        <v>13945</v>
      </c>
    </row>
    <row r="5001">
      <c r="A5001" s="3" t="s">
        <v>15177</v>
      </c>
      <c r="B5001" s="3" t="s">
        <v>4872</v>
      </c>
      <c r="C5001" s="5" t="s">
        <v>206</v>
      </c>
      <c r="D5001" s="3" t="s">
        <v>68</v>
      </c>
      <c r="E5001" s="3" t="s">
        <v>100</v>
      </c>
      <c r="F5001" s="7">
        <v>45846.86640601017</v>
      </c>
      <c r="G5001" s="3" t="s">
        <v>13948</v>
      </c>
    </row>
    <row r="5002">
      <c r="A5002" s="3" t="s">
        <v>15179</v>
      </c>
      <c r="B5002" s="3" t="s">
        <v>4876</v>
      </c>
      <c r="C5002" s="5" t="s">
        <v>45</v>
      </c>
      <c r="D5002" s="3" t="s">
        <v>221</v>
      </c>
      <c r="E5002" s="3" t="s">
        <v>643</v>
      </c>
      <c r="F5002" s="7">
        <v>45846.92716418892</v>
      </c>
      <c r="G5002" s="3" t="s">
        <v>15182</v>
      </c>
    </row>
    <row r="5003">
      <c r="A5003" s="3" t="s">
        <v>15183</v>
      </c>
      <c r="B5003" s="3" t="s">
        <v>4876</v>
      </c>
      <c r="C5003" s="5" t="s">
        <v>221</v>
      </c>
      <c r="D5003" s="3" t="s">
        <v>614</v>
      </c>
      <c r="E5003" s="3" t="s">
        <v>118</v>
      </c>
      <c r="F5003" s="7">
        <v>45846.93063641114</v>
      </c>
      <c r="G5003" s="3" t="s">
        <v>15185</v>
      </c>
    </row>
    <row r="5004">
      <c r="A5004" s="3" t="s">
        <v>15187</v>
      </c>
      <c r="B5004" s="3" t="s">
        <v>4876</v>
      </c>
      <c r="C5004" s="5" t="s">
        <v>614</v>
      </c>
      <c r="D5004" s="3" t="s">
        <v>206</v>
      </c>
      <c r="E5004" s="3" t="s">
        <v>100</v>
      </c>
      <c r="F5004" s="7">
        <v>45846.934108633366</v>
      </c>
      <c r="G5004" s="3" t="s">
        <v>15189</v>
      </c>
    </row>
    <row r="5005">
      <c r="A5005" s="3" t="s">
        <v>15190</v>
      </c>
      <c r="B5005" s="3" t="s">
        <v>4876</v>
      </c>
      <c r="C5005" s="5" t="s">
        <v>206</v>
      </c>
      <c r="D5005" s="3" t="s">
        <v>68</v>
      </c>
      <c r="E5005" s="3" t="s">
        <v>100</v>
      </c>
      <c r="F5005" s="7">
        <v>45846.937580855585</v>
      </c>
      <c r="G5005" s="3" t="s">
        <v>15192</v>
      </c>
    </row>
    <row r="5006">
      <c r="A5006" s="3" t="s">
        <v>15194</v>
      </c>
      <c r="B5006" s="3" t="s">
        <v>4879</v>
      </c>
      <c r="C5006" s="5" t="s">
        <v>45</v>
      </c>
      <c r="D5006" s="3" t="s">
        <v>221</v>
      </c>
      <c r="E5006" s="3" t="s">
        <v>344</v>
      </c>
      <c r="F5006" s="7">
        <v>45846.99833903433</v>
      </c>
      <c r="G5006" s="3" t="s">
        <v>15196</v>
      </c>
    </row>
    <row r="5007">
      <c r="A5007" s="3" t="s">
        <v>15197</v>
      </c>
      <c r="B5007" s="3" t="s">
        <v>4879</v>
      </c>
      <c r="C5007" s="5" t="s">
        <v>221</v>
      </c>
      <c r="D5007" s="3" t="s">
        <v>614</v>
      </c>
      <c r="E5007" s="3" t="s">
        <v>118</v>
      </c>
      <c r="F5007" s="7">
        <v>45847.00181125655</v>
      </c>
      <c r="G5007" s="3" t="s">
        <v>15199</v>
      </c>
    </row>
    <row r="5008">
      <c r="A5008" s="3" t="s">
        <v>15201</v>
      </c>
      <c r="B5008" s="3" t="s">
        <v>4879</v>
      </c>
      <c r="C5008" s="5" t="s">
        <v>614</v>
      </c>
      <c r="D5008" s="3" t="s">
        <v>206</v>
      </c>
      <c r="E5008" s="3" t="s">
        <v>100</v>
      </c>
      <c r="F5008" s="7">
        <v>45847.00528347878</v>
      </c>
      <c r="G5008" s="3" t="s">
        <v>15203</v>
      </c>
    </row>
    <row r="5009">
      <c r="A5009" s="3" t="s">
        <v>15204</v>
      </c>
      <c r="B5009" s="3" t="s">
        <v>4879</v>
      </c>
      <c r="C5009" s="5" t="s">
        <v>206</v>
      </c>
      <c r="D5009" s="3" t="s">
        <v>68</v>
      </c>
      <c r="E5009" s="3" t="s">
        <v>100</v>
      </c>
      <c r="F5009" s="7">
        <v>45847.008755701</v>
      </c>
      <c r="G5009" s="3" t="s">
        <v>15206</v>
      </c>
    </row>
    <row r="5010">
      <c r="A5010" s="3" t="s">
        <v>15207</v>
      </c>
      <c r="B5010" s="3" t="s">
        <v>4882</v>
      </c>
      <c r="C5010" s="5" t="s">
        <v>45</v>
      </c>
      <c r="D5010" s="3" t="s">
        <v>221</v>
      </c>
      <c r="E5010" s="3" t="s">
        <v>535</v>
      </c>
      <c r="F5010" s="7">
        <v>45847.06951387975</v>
      </c>
      <c r="G5010" s="3" t="s">
        <v>15209</v>
      </c>
    </row>
    <row r="5011">
      <c r="A5011" s="3" t="s">
        <v>15210</v>
      </c>
      <c r="B5011" s="3" t="s">
        <v>4882</v>
      </c>
      <c r="C5011" s="5" t="s">
        <v>221</v>
      </c>
      <c r="D5011" s="3" t="s">
        <v>614</v>
      </c>
      <c r="E5011" s="3" t="s">
        <v>118</v>
      </c>
      <c r="F5011" s="7">
        <v>45847.07298610197</v>
      </c>
      <c r="G5011" s="3" t="s">
        <v>15212</v>
      </c>
    </row>
    <row r="5012">
      <c r="A5012" s="3" t="s">
        <v>15213</v>
      </c>
      <c r="B5012" s="3" t="s">
        <v>4882</v>
      </c>
      <c r="C5012" s="5" t="s">
        <v>614</v>
      </c>
      <c r="D5012" s="3" t="s">
        <v>206</v>
      </c>
      <c r="E5012" s="3" t="s">
        <v>100</v>
      </c>
      <c r="F5012" s="7">
        <v>45847.0764583242</v>
      </c>
      <c r="G5012" s="3" t="s">
        <v>15215</v>
      </c>
    </row>
    <row r="5013">
      <c r="A5013" s="3" t="s">
        <v>15216</v>
      </c>
      <c r="B5013" s="3" t="s">
        <v>4882</v>
      </c>
      <c r="C5013" s="5" t="s">
        <v>206</v>
      </c>
      <c r="D5013" s="3" t="s">
        <v>68</v>
      </c>
      <c r="E5013" s="3" t="s">
        <v>100</v>
      </c>
      <c r="F5013" s="7">
        <v>45847.07993054642</v>
      </c>
      <c r="G5013" s="3" t="s">
        <v>15218</v>
      </c>
    </row>
    <row r="5014">
      <c r="A5014" s="3" t="s">
        <v>15219</v>
      </c>
      <c r="B5014" s="3" t="s">
        <v>4885</v>
      </c>
      <c r="C5014" s="5" t="s">
        <v>45</v>
      </c>
      <c r="D5014" s="3" t="s">
        <v>221</v>
      </c>
      <c r="E5014" s="3" t="s">
        <v>883</v>
      </c>
      <c r="F5014" s="7">
        <v>45847.140688725165</v>
      </c>
      <c r="G5014" s="3" t="s">
        <v>15221</v>
      </c>
    </row>
    <row r="5015">
      <c r="A5015" s="3" t="s">
        <v>15222</v>
      </c>
      <c r="B5015" s="3" t="s">
        <v>4885</v>
      </c>
      <c r="C5015" s="5" t="s">
        <v>221</v>
      </c>
      <c r="D5015" s="3" t="s">
        <v>614</v>
      </c>
      <c r="E5015" s="3" t="s">
        <v>118</v>
      </c>
      <c r="F5015" s="7">
        <v>45847.144160947384</v>
      </c>
      <c r="G5015" s="3" t="s">
        <v>15224</v>
      </c>
    </row>
    <row r="5016">
      <c r="A5016" s="3" t="s">
        <v>15226</v>
      </c>
      <c r="B5016" s="3" t="s">
        <v>4885</v>
      </c>
      <c r="C5016" s="5" t="s">
        <v>614</v>
      </c>
      <c r="D5016" s="3" t="s">
        <v>206</v>
      </c>
      <c r="E5016" s="3" t="s">
        <v>100</v>
      </c>
      <c r="F5016" s="7">
        <v>45847.14763316961</v>
      </c>
      <c r="G5016" s="3" t="s">
        <v>15228</v>
      </c>
    </row>
    <row r="5017">
      <c r="A5017" s="3" t="s">
        <v>15229</v>
      </c>
      <c r="B5017" s="3" t="s">
        <v>4885</v>
      </c>
      <c r="C5017" s="5" t="s">
        <v>206</v>
      </c>
      <c r="D5017" s="3" t="s">
        <v>68</v>
      </c>
      <c r="E5017" s="3" t="s">
        <v>100</v>
      </c>
      <c r="F5017" s="7">
        <v>45847.15110539183</v>
      </c>
      <c r="G5017" s="3" t="s">
        <v>15231</v>
      </c>
    </row>
    <row r="5018">
      <c r="A5018" s="3" t="s">
        <v>15232</v>
      </c>
      <c r="B5018" s="3" t="s">
        <v>4888</v>
      </c>
      <c r="C5018" s="5" t="s">
        <v>45</v>
      </c>
      <c r="D5018" s="3" t="s">
        <v>221</v>
      </c>
      <c r="E5018" s="3" t="s">
        <v>179</v>
      </c>
      <c r="F5018" s="7">
        <v>45847.21186357058</v>
      </c>
      <c r="G5018" s="3" t="s">
        <v>2770</v>
      </c>
    </row>
    <row r="5019">
      <c r="A5019" s="3" t="s">
        <v>15234</v>
      </c>
      <c r="B5019" s="3" t="s">
        <v>4888</v>
      </c>
      <c r="C5019" s="5" t="s">
        <v>221</v>
      </c>
      <c r="D5019" s="3" t="s">
        <v>195</v>
      </c>
      <c r="E5019" s="3" t="s">
        <v>179</v>
      </c>
      <c r="F5019" s="7">
        <v>45847.2153357928</v>
      </c>
      <c r="G5019" s="3" t="s">
        <v>3055</v>
      </c>
    </row>
    <row r="5020">
      <c r="A5020" s="3" t="s">
        <v>15237</v>
      </c>
      <c r="B5020" s="3" t="s">
        <v>4891</v>
      </c>
      <c r="C5020" s="5" t="s">
        <v>45</v>
      </c>
      <c r="D5020" s="3" t="s">
        <v>221</v>
      </c>
      <c r="E5020" s="3" t="s">
        <v>430</v>
      </c>
      <c r="F5020" s="7">
        <v>45847.283038416</v>
      </c>
      <c r="G5020" s="3" t="s">
        <v>15239</v>
      </c>
    </row>
    <row r="5021">
      <c r="A5021" s="3" t="s">
        <v>15240</v>
      </c>
      <c r="B5021" s="3" t="s">
        <v>4891</v>
      </c>
      <c r="C5021" s="5" t="s">
        <v>221</v>
      </c>
      <c r="D5021" s="3" t="s">
        <v>614</v>
      </c>
      <c r="E5021" s="3" t="s">
        <v>118</v>
      </c>
      <c r="F5021" s="7">
        <v>45847.286510638216</v>
      </c>
      <c r="G5021" s="3" t="s">
        <v>15242</v>
      </c>
    </row>
    <row r="5022">
      <c r="A5022" s="3" t="s">
        <v>15244</v>
      </c>
      <c r="B5022" s="3" t="s">
        <v>4891</v>
      </c>
      <c r="C5022" s="5" t="s">
        <v>614</v>
      </c>
      <c r="D5022" s="3" t="s">
        <v>206</v>
      </c>
      <c r="E5022" s="3" t="s">
        <v>100</v>
      </c>
      <c r="F5022" s="7">
        <v>45847.28998286044</v>
      </c>
      <c r="G5022" s="3" t="s">
        <v>15246</v>
      </c>
    </row>
    <row r="5023">
      <c r="A5023" s="3" t="s">
        <v>15247</v>
      </c>
      <c r="B5023" s="3" t="s">
        <v>4891</v>
      </c>
      <c r="C5023" s="5" t="s">
        <v>206</v>
      </c>
      <c r="D5023" s="3" t="s">
        <v>68</v>
      </c>
      <c r="E5023" s="3" t="s">
        <v>100</v>
      </c>
      <c r="F5023" s="7">
        <v>45847.29345508266</v>
      </c>
      <c r="G5023" s="3" t="s">
        <v>15249</v>
      </c>
    </row>
    <row r="5024">
      <c r="A5024" s="3" t="s">
        <v>15250</v>
      </c>
      <c r="B5024" s="3" t="s">
        <v>4894</v>
      </c>
      <c r="C5024" s="5" t="s">
        <v>45</v>
      </c>
      <c r="D5024" s="3" t="s">
        <v>221</v>
      </c>
      <c r="E5024" s="3" t="s">
        <v>168</v>
      </c>
      <c r="F5024" s="7">
        <v>45847.35421326142</v>
      </c>
      <c r="G5024" s="3" t="s">
        <v>15252</v>
      </c>
    </row>
    <row r="5025">
      <c r="A5025" s="3" t="s">
        <v>15254</v>
      </c>
      <c r="B5025" s="3" t="s">
        <v>4894</v>
      </c>
      <c r="C5025" s="5" t="s">
        <v>221</v>
      </c>
      <c r="D5025" s="3" t="s">
        <v>614</v>
      </c>
      <c r="E5025" s="3" t="s">
        <v>118</v>
      </c>
      <c r="F5025" s="7">
        <v>45847.357685483636</v>
      </c>
      <c r="G5025" s="3" t="s">
        <v>15256</v>
      </c>
    </row>
    <row r="5026">
      <c r="A5026" s="3" t="s">
        <v>15257</v>
      </c>
      <c r="B5026" s="3" t="s">
        <v>4894</v>
      </c>
      <c r="C5026" s="5" t="s">
        <v>614</v>
      </c>
      <c r="D5026" s="3" t="s">
        <v>206</v>
      </c>
      <c r="E5026" s="3" t="s">
        <v>100</v>
      </c>
      <c r="F5026" s="7">
        <v>45847.36115770586</v>
      </c>
      <c r="G5026" s="3" t="s">
        <v>15259</v>
      </c>
    </row>
    <row r="5027">
      <c r="A5027" s="3" t="s">
        <v>15260</v>
      </c>
      <c r="B5027" s="3" t="s">
        <v>4894</v>
      </c>
      <c r="C5027" s="5" t="s">
        <v>206</v>
      </c>
      <c r="D5027" s="3" t="s">
        <v>68</v>
      </c>
      <c r="E5027" s="3" t="s">
        <v>100</v>
      </c>
      <c r="F5027" s="7">
        <v>45847.36462992808</v>
      </c>
      <c r="G5027" s="3" t="s">
        <v>15262</v>
      </c>
    </row>
    <row r="5028">
      <c r="A5028" s="3" t="s">
        <v>15263</v>
      </c>
      <c r="B5028" s="3" t="s">
        <v>4897</v>
      </c>
      <c r="C5028" s="5" t="s">
        <v>45</v>
      </c>
      <c r="D5028" s="3" t="s">
        <v>221</v>
      </c>
      <c r="E5028" s="3" t="s">
        <v>485</v>
      </c>
      <c r="F5028" s="7">
        <v>45847.42538810682</v>
      </c>
      <c r="G5028" s="3" t="s">
        <v>15265</v>
      </c>
    </row>
    <row r="5029">
      <c r="A5029" s="3" t="s">
        <v>15266</v>
      </c>
      <c r="B5029" s="3" t="s">
        <v>4897</v>
      </c>
      <c r="C5029" s="5" t="s">
        <v>221</v>
      </c>
      <c r="D5029" s="3" t="s">
        <v>614</v>
      </c>
      <c r="E5029" s="3" t="s">
        <v>118</v>
      </c>
      <c r="F5029" s="7">
        <v>45847.42886032904</v>
      </c>
      <c r="G5029" s="3" t="s">
        <v>15268</v>
      </c>
    </row>
    <row r="5030">
      <c r="A5030" s="3" t="s">
        <v>15270</v>
      </c>
      <c r="B5030" s="3" t="s">
        <v>4897</v>
      </c>
      <c r="C5030" s="5" t="s">
        <v>614</v>
      </c>
      <c r="D5030" s="3" t="s">
        <v>206</v>
      </c>
      <c r="E5030" s="3" t="s">
        <v>100</v>
      </c>
      <c r="F5030" s="7">
        <v>45847.43233255127</v>
      </c>
      <c r="G5030" s="3" t="s">
        <v>15272</v>
      </c>
    </row>
    <row r="5031">
      <c r="A5031" s="3" t="s">
        <v>15273</v>
      </c>
      <c r="B5031" s="3" t="s">
        <v>4897</v>
      </c>
      <c r="C5031" s="5" t="s">
        <v>206</v>
      </c>
      <c r="D5031" s="3" t="s">
        <v>68</v>
      </c>
      <c r="E5031" s="3" t="s">
        <v>100</v>
      </c>
      <c r="F5031" s="7">
        <v>45847.435804773486</v>
      </c>
      <c r="G5031" s="3" t="s">
        <v>15275</v>
      </c>
    </row>
    <row r="5032">
      <c r="A5032" s="3" t="s">
        <v>15276</v>
      </c>
      <c r="B5032" s="3" t="s">
        <v>4901</v>
      </c>
      <c r="C5032" s="5" t="s">
        <v>45</v>
      </c>
      <c r="D5032" s="3" t="s">
        <v>221</v>
      </c>
      <c r="E5032" s="3" t="s">
        <v>848</v>
      </c>
      <c r="F5032" s="7">
        <v>45847.49656295224</v>
      </c>
      <c r="G5032" s="3" t="s">
        <v>15279</v>
      </c>
    </row>
    <row r="5033">
      <c r="A5033" s="3" t="s">
        <v>15280</v>
      </c>
      <c r="B5033" s="3" t="s">
        <v>4901</v>
      </c>
      <c r="C5033" s="5" t="s">
        <v>221</v>
      </c>
      <c r="D5033" s="3" t="s">
        <v>614</v>
      </c>
      <c r="E5033" s="3" t="s">
        <v>118</v>
      </c>
      <c r="F5033" s="7">
        <v>45847.50003517446</v>
      </c>
      <c r="G5033" s="3" t="s">
        <v>15281</v>
      </c>
    </row>
    <row r="5034">
      <c r="A5034" s="3" t="s">
        <v>15283</v>
      </c>
      <c r="B5034" s="3" t="s">
        <v>4901</v>
      </c>
      <c r="C5034" s="5" t="s">
        <v>614</v>
      </c>
      <c r="D5034" s="3" t="s">
        <v>206</v>
      </c>
      <c r="E5034" s="3" t="s">
        <v>100</v>
      </c>
      <c r="F5034" s="7">
        <v>45847.50350739669</v>
      </c>
      <c r="G5034" s="3" t="s">
        <v>15284</v>
      </c>
    </row>
    <row r="5035">
      <c r="A5035" s="3" t="s">
        <v>15285</v>
      </c>
      <c r="B5035" s="3" t="s">
        <v>4901</v>
      </c>
      <c r="C5035" s="5" t="s">
        <v>206</v>
      </c>
      <c r="D5035" s="3" t="s">
        <v>68</v>
      </c>
      <c r="E5035" s="3" t="s">
        <v>100</v>
      </c>
      <c r="F5035" s="7">
        <v>45847.506979618905</v>
      </c>
      <c r="G5035" s="3" t="s">
        <v>15287</v>
      </c>
    </row>
    <row r="5036">
      <c r="A5036" s="3" t="s">
        <v>15288</v>
      </c>
      <c r="B5036" s="3" t="s">
        <v>4904</v>
      </c>
      <c r="C5036" s="5" t="s">
        <v>45</v>
      </c>
      <c r="D5036" s="3" t="s">
        <v>221</v>
      </c>
      <c r="E5036" s="3" t="s">
        <v>557</v>
      </c>
      <c r="F5036" s="7">
        <v>45847.56773779766</v>
      </c>
      <c r="G5036" s="3" t="s">
        <v>15290</v>
      </c>
    </row>
    <row r="5037">
      <c r="A5037" s="3" t="s">
        <v>15291</v>
      </c>
      <c r="B5037" s="3" t="s">
        <v>4904</v>
      </c>
      <c r="C5037" s="5" t="s">
        <v>221</v>
      </c>
      <c r="D5037" s="3" t="s">
        <v>614</v>
      </c>
      <c r="E5037" s="3" t="s">
        <v>118</v>
      </c>
      <c r="F5037" s="7">
        <v>45847.57121001988</v>
      </c>
      <c r="G5037" s="3" t="s">
        <v>15293</v>
      </c>
    </row>
    <row r="5038">
      <c r="A5038" s="3" t="s">
        <v>15294</v>
      </c>
      <c r="B5038" s="3" t="s">
        <v>4904</v>
      </c>
      <c r="C5038" s="5" t="s">
        <v>614</v>
      </c>
      <c r="D5038" s="3" t="s">
        <v>206</v>
      </c>
      <c r="E5038" s="3" t="s">
        <v>100</v>
      </c>
      <c r="F5038" s="7">
        <v>45847.574682242106</v>
      </c>
      <c r="G5038" s="3" t="s">
        <v>15295</v>
      </c>
    </row>
    <row r="5039">
      <c r="A5039" s="3" t="s">
        <v>15297</v>
      </c>
      <c r="B5039" s="3" t="s">
        <v>4904</v>
      </c>
      <c r="C5039" s="5" t="s">
        <v>206</v>
      </c>
      <c r="D5039" s="3" t="s">
        <v>68</v>
      </c>
      <c r="E5039" s="3" t="s">
        <v>100</v>
      </c>
      <c r="F5039" s="7">
        <v>45847.578154464325</v>
      </c>
      <c r="G5039" s="3" t="s">
        <v>15298</v>
      </c>
    </row>
    <row r="5040">
      <c r="A5040" s="3" t="s">
        <v>15300</v>
      </c>
      <c r="B5040" s="3" t="s">
        <v>4907</v>
      </c>
      <c r="C5040" s="5" t="s">
        <v>45</v>
      </c>
      <c r="D5040" s="3" t="s">
        <v>221</v>
      </c>
      <c r="E5040" s="3" t="s">
        <v>1043</v>
      </c>
      <c r="F5040" s="7">
        <v>45847.63891264307</v>
      </c>
      <c r="G5040" s="3" t="s">
        <v>12088</v>
      </c>
    </row>
    <row r="5041">
      <c r="A5041" s="3" t="s">
        <v>15302</v>
      </c>
      <c r="B5041" s="3" t="s">
        <v>4907</v>
      </c>
      <c r="C5041" s="5" t="s">
        <v>221</v>
      </c>
      <c r="D5041" s="3" t="s">
        <v>614</v>
      </c>
      <c r="E5041" s="3" t="s">
        <v>118</v>
      </c>
      <c r="F5041" s="7">
        <v>45847.64238486529</v>
      </c>
      <c r="G5041" s="3" t="s">
        <v>12091</v>
      </c>
    </row>
    <row r="5042">
      <c r="A5042" s="3" t="s">
        <v>15303</v>
      </c>
      <c r="B5042" s="3" t="s">
        <v>4907</v>
      </c>
      <c r="C5042" s="5" t="s">
        <v>614</v>
      </c>
      <c r="D5042" s="3" t="s">
        <v>206</v>
      </c>
      <c r="E5042" s="3" t="s">
        <v>100</v>
      </c>
      <c r="F5042" s="7">
        <v>45847.64585708752</v>
      </c>
      <c r="G5042" s="3" t="s">
        <v>12094</v>
      </c>
    </row>
    <row r="5043">
      <c r="A5043" s="3" t="s">
        <v>15305</v>
      </c>
      <c r="B5043" s="3" t="s">
        <v>4907</v>
      </c>
      <c r="C5043" s="5" t="s">
        <v>206</v>
      </c>
      <c r="D5043" s="3" t="s">
        <v>68</v>
      </c>
      <c r="E5043" s="3" t="s">
        <v>100</v>
      </c>
      <c r="F5043" s="7">
        <v>45847.64932930974</v>
      </c>
      <c r="G5043" s="3" t="s">
        <v>12097</v>
      </c>
    </row>
    <row r="5044">
      <c r="A5044" s="3" t="s">
        <v>15307</v>
      </c>
      <c r="B5044" s="3" t="s">
        <v>4909</v>
      </c>
      <c r="C5044" s="5" t="s">
        <v>45</v>
      </c>
      <c r="D5044" s="3" t="s">
        <v>221</v>
      </c>
      <c r="E5044" s="3" t="s">
        <v>752</v>
      </c>
      <c r="F5044" s="7">
        <v>45847.710087488485</v>
      </c>
      <c r="G5044" s="3" t="s">
        <v>15308</v>
      </c>
    </row>
    <row r="5045">
      <c r="A5045" s="3" t="s">
        <v>15309</v>
      </c>
      <c r="B5045" s="3" t="s">
        <v>4909</v>
      </c>
      <c r="C5045" s="5" t="s">
        <v>221</v>
      </c>
      <c r="D5045" s="3" t="s">
        <v>614</v>
      </c>
      <c r="E5045" s="3" t="s">
        <v>118</v>
      </c>
      <c r="F5045" s="7">
        <v>45847.713559710704</v>
      </c>
      <c r="G5045" s="3" t="s">
        <v>15311</v>
      </c>
    </row>
    <row r="5046">
      <c r="A5046" s="3" t="s">
        <v>15312</v>
      </c>
      <c r="B5046" s="3" t="s">
        <v>4909</v>
      </c>
      <c r="C5046" s="5" t="s">
        <v>614</v>
      </c>
      <c r="D5046" s="3" t="s">
        <v>206</v>
      </c>
      <c r="E5046" s="3" t="s">
        <v>100</v>
      </c>
      <c r="F5046" s="7">
        <v>45847.71703193293</v>
      </c>
      <c r="G5046" s="3" t="s">
        <v>15314</v>
      </c>
    </row>
    <row r="5047">
      <c r="A5047" s="3" t="s">
        <v>15315</v>
      </c>
      <c r="B5047" s="3" t="s">
        <v>4909</v>
      </c>
      <c r="C5047" s="5" t="s">
        <v>206</v>
      </c>
      <c r="D5047" s="3" t="s">
        <v>68</v>
      </c>
      <c r="E5047" s="3" t="s">
        <v>100</v>
      </c>
      <c r="F5047" s="7">
        <v>45847.72050415515</v>
      </c>
      <c r="G5047" s="3" t="s">
        <v>15317</v>
      </c>
    </row>
    <row r="5048">
      <c r="A5048" s="3" t="s">
        <v>15318</v>
      </c>
      <c r="B5048" s="3" t="s">
        <v>4913</v>
      </c>
      <c r="C5048" s="5" t="s">
        <v>45</v>
      </c>
      <c r="D5048" s="3" t="s">
        <v>221</v>
      </c>
      <c r="E5048" s="3" t="s">
        <v>266</v>
      </c>
      <c r="F5048" s="7">
        <v>45847.781262333905</v>
      </c>
      <c r="G5048" s="3" t="s">
        <v>9710</v>
      </c>
    </row>
    <row r="5049">
      <c r="A5049" s="3" t="s">
        <v>15320</v>
      </c>
      <c r="B5049" s="3" t="s">
        <v>4913</v>
      </c>
      <c r="C5049" s="5" t="s">
        <v>221</v>
      </c>
      <c r="D5049" s="3" t="s">
        <v>614</v>
      </c>
      <c r="E5049" s="3" t="s">
        <v>118</v>
      </c>
      <c r="F5049" s="7">
        <v>45847.784734556124</v>
      </c>
      <c r="G5049" s="3" t="s">
        <v>13233</v>
      </c>
    </row>
    <row r="5050">
      <c r="A5050" s="3" t="s">
        <v>15322</v>
      </c>
      <c r="B5050" s="3" t="s">
        <v>4913</v>
      </c>
      <c r="C5050" s="5" t="s">
        <v>614</v>
      </c>
      <c r="D5050" s="3" t="s">
        <v>206</v>
      </c>
      <c r="E5050" s="3" t="s">
        <v>100</v>
      </c>
      <c r="F5050" s="7">
        <v>45847.78820677835</v>
      </c>
      <c r="G5050" s="3" t="s">
        <v>13237</v>
      </c>
    </row>
    <row r="5051">
      <c r="A5051" s="3" t="s">
        <v>15324</v>
      </c>
      <c r="B5051" s="3" t="s">
        <v>4913</v>
      </c>
      <c r="C5051" s="5" t="s">
        <v>206</v>
      </c>
      <c r="D5051" s="3" t="s">
        <v>68</v>
      </c>
      <c r="E5051" s="3" t="s">
        <v>100</v>
      </c>
      <c r="F5051" s="7">
        <v>45847.79167900057</v>
      </c>
      <c r="G5051" s="3" t="s">
        <v>13240</v>
      </c>
    </row>
    <row r="5052">
      <c r="A5052" s="3" t="s">
        <v>15325</v>
      </c>
      <c r="B5052" s="3" t="s">
        <v>4916</v>
      </c>
      <c r="C5052" s="5" t="s">
        <v>45</v>
      </c>
      <c r="D5052" s="3" t="s">
        <v>221</v>
      </c>
      <c r="E5052" s="3" t="s">
        <v>123</v>
      </c>
      <c r="F5052" s="7">
        <v>45847.85243717932</v>
      </c>
      <c r="G5052" s="3" t="s">
        <v>15327</v>
      </c>
    </row>
    <row r="5053">
      <c r="A5053" s="3" t="s">
        <v>15328</v>
      </c>
      <c r="B5053" s="3" t="s">
        <v>4916</v>
      </c>
      <c r="C5053" s="5" t="s">
        <v>221</v>
      </c>
      <c r="D5053" s="3" t="s">
        <v>614</v>
      </c>
      <c r="E5053" s="3" t="s">
        <v>118</v>
      </c>
      <c r="F5053" s="7">
        <v>45847.855909401536</v>
      </c>
      <c r="G5053" s="3" t="s">
        <v>15330</v>
      </c>
    </row>
    <row r="5054">
      <c r="A5054" s="3" t="s">
        <v>15331</v>
      </c>
      <c r="B5054" s="3" t="s">
        <v>4916</v>
      </c>
      <c r="C5054" s="5" t="s">
        <v>614</v>
      </c>
      <c r="D5054" s="3" t="s">
        <v>206</v>
      </c>
      <c r="E5054" s="3" t="s">
        <v>100</v>
      </c>
      <c r="F5054" s="7">
        <v>45847.85938162376</v>
      </c>
      <c r="G5054" s="3" t="s">
        <v>15333</v>
      </c>
    </row>
    <row r="5055">
      <c r="A5055" s="3" t="s">
        <v>15334</v>
      </c>
      <c r="B5055" s="3" t="s">
        <v>4916</v>
      </c>
      <c r="C5055" s="5" t="s">
        <v>206</v>
      </c>
      <c r="D5055" s="3" t="s">
        <v>68</v>
      </c>
      <c r="E5055" s="3" t="s">
        <v>100</v>
      </c>
      <c r="F5055" s="7">
        <v>45847.86285384598</v>
      </c>
      <c r="G5055" s="3" t="s">
        <v>15336</v>
      </c>
    </row>
    <row r="5056">
      <c r="A5056" s="3" t="s">
        <v>15337</v>
      </c>
      <c r="B5056" s="3" t="s">
        <v>4919</v>
      </c>
      <c r="C5056" s="5" t="s">
        <v>45</v>
      </c>
      <c r="D5056" s="3" t="s">
        <v>221</v>
      </c>
      <c r="E5056" s="3" t="s">
        <v>333</v>
      </c>
      <c r="F5056" s="7">
        <v>45847.92361202473</v>
      </c>
      <c r="G5056" s="3" t="s">
        <v>15338</v>
      </c>
    </row>
    <row r="5057">
      <c r="A5057" s="3" t="s">
        <v>15340</v>
      </c>
      <c r="B5057" s="3" t="s">
        <v>4919</v>
      </c>
      <c r="C5057" s="5" t="s">
        <v>221</v>
      </c>
      <c r="D5057" s="3" t="s">
        <v>614</v>
      </c>
      <c r="E5057" s="3" t="s">
        <v>118</v>
      </c>
      <c r="F5057" s="7">
        <v>45847.92708424695</v>
      </c>
      <c r="G5057" s="3" t="s">
        <v>15341</v>
      </c>
    </row>
    <row r="5058">
      <c r="A5058" s="3" t="s">
        <v>15342</v>
      </c>
      <c r="B5058" s="3" t="s">
        <v>4919</v>
      </c>
      <c r="C5058" s="5" t="s">
        <v>614</v>
      </c>
      <c r="D5058" s="3" t="s">
        <v>206</v>
      </c>
      <c r="E5058" s="3" t="s">
        <v>100</v>
      </c>
      <c r="F5058" s="7">
        <v>45847.930556469175</v>
      </c>
      <c r="G5058" s="3" t="s">
        <v>15344</v>
      </c>
    </row>
    <row r="5059">
      <c r="A5059" s="3" t="s">
        <v>15345</v>
      </c>
      <c r="B5059" s="3" t="s">
        <v>4919</v>
      </c>
      <c r="C5059" s="5" t="s">
        <v>206</v>
      </c>
      <c r="D5059" s="3" t="s">
        <v>68</v>
      </c>
      <c r="E5059" s="3" t="s">
        <v>100</v>
      </c>
      <c r="F5059" s="7">
        <v>45847.934028691394</v>
      </c>
      <c r="G5059" s="3" t="s">
        <v>15347</v>
      </c>
    </row>
    <row r="5060">
      <c r="A5060" s="3" t="s">
        <v>15348</v>
      </c>
      <c r="B5060" s="3" t="s">
        <v>4921</v>
      </c>
      <c r="C5060" s="5" t="s">
        <v>45</v>
      </c>
      <c r="D5060" s="3" t="s">
        <v>221</v>
      </c>
      <c r="E5060" s="3" t="s">
        <v>296</v>
      </c>
      <c r="F5060" s="7">
        <v>45847.99478687015</v>
      </c>
      <c r="G5060" s="3" t="s">
        <v>15349</v>
      </c>
    </row>
    <row r="5061">
      <c r="A5061" s="3" t="s">
        <v>15350</v>
      </c>
      <c r="B5061" s="3" t="s">
        <v>4921</v>
      </c>
      <c r="C5061" s="5" t="s">
        <v>221</v>
      </c>
      <c r="D5061" s="3" t="s">
        <v>614</v>
      </c>
      <c r="E5061" s="3" t="s">
        <v>118</v>
      </c>
      <c r="F5061" s="7">
        <v>45847.99825909237</v>
      </c>
      <c r="G5061" s="3" t="s">
        <v>15352</v>
      </c>
    </row>
    <row r="5062">
      <c r="A5062" s="3" t="s">
        <v>15353</v>
      </c>
      <c r="B5062" s="3" t="s">
        <v>4921</v>
      </c>
      <c r="C5062" s="5" t="s">
        <v>614</v>
      </c>
      <c r="D5062" s="3" t="s">
        <v>206</v>
      </c>
      <c r="E5062" s="3" t="s">
        <v>100</v>
      </c>
      <c r="F5062" s="7">
        <v>45848.001731314595</v>
      </c>
      <c r="G5062" s="3" t="s">
        <v>15355</v>
      </c>
    </row>
    <row r="5063">
      <c r="A5063" s="3" t="s">
        <v>15356</v>
      </c>
      <c r="B5063" s="3" t="s">
        <v>4921</v>
      </c>
      <c r="C5063" s="5" t="s">
        <v>206</v>
      </c>
      <c r="D5063" s="3" t="s">
        <v>68</v>
      </c>
      <c r="E5063" s="3" t="s">
        <v>100</v>
      </c>
      <c r="F5063" s="7">
        <v>45848.00520353681</v>
      </c>
      <c r="G5063" s="3" t="s">
        <v>15358</v>
      </c>
    </row>
    <row r="5064">
      <c r="A5064" s="3" t="s">
        <v>15359</v>
      </c>
      <c r="B5064" s="3" t="s">
        <v>4924</v>
      </c>
      <c r="C5064" s="5" t="s">
        <v>45</v>
      </c>
      <c r="D5064" s="3" t="s">
        <v>221</v>
      </c>
      <c r="E5064" s="3" t="s">
        <v>189</v>
      </c>
      <c r="F5064" s="7">
        <v>45848.06596171556</v>
      </c>
      <c r="G5064" s="3" t="s">
        <v>15361</v>
      </c>
    </row>
    <row r="5065">
      <c r="A5065" s="3" t="s">
        <v>15362</v>
      </c>
      <c r="B5065" s="3" t="s">
        <v>4924</v>
      </c>
      <c r="C5065" s="5" t="s">
        <v>221</v>
      </c>
      <c r="D5065" s="3" t="s">
        <v>614</v>
      </c>
      <c r="E5065" s="3" t="s">
        <v>118</v>
      </c>
      <c r="F5065" s="7">
        <v>45848.06943393778</v>
      </c>
      <c r="G5065" s="3" t="s">
        <v>15363</v>
      </c>
    </row>
    <row r="5066">
      <c r="A5066" s="3" t="s">
        <v>15364</v>
      </c>
      <c r="B5066" s="3" t="s">
        <v>4924</v>
      </c>
      <c r="C5066" s="5" t="s">
        <v>614</v>
      </c>
      <c r="D5066" s="3" t="s">
        <v>206</v>
      </c>
      <c r="E5066" s="3" t="s">
        <v>100</v>
      </c>
      <c r="F5066" s="7">
        <v>45848.07290616001</v>
      </c>
      <c r="G5066" s="3" t="s">
        <v>15366</v>
      </c>
    </row>
    <row r="5067">
      <c r="A5067" s="3" t="s">
        <v>15367</v>
      </c>
      <c r="B5067" s="3" t="s">
        <v>4924</v>
      </c>
      <c r="C5067" s="5" t="s">
        <v>206</v>
      </c>
      <c r="D5067" s="3" t="s">
        <v>68</v>
      </c>
      <c r="E5067" s="3" t="s">
        <v>100</v>
      </c>
      <c r="F5067" s="7">
        <v>45848.076378382226</v>
      </c>
      <c r="G5067" s="3" t="s">
        <v>15369</v>
      </c>
    </row>
    <row r="5068">
      <c r="A5068" s="3" t="s">
        <v>15370</v>
      </c>
      <c r="B5068" s="3" t="s">
        <v>4927</v>
      </c>
      <c r="C5068" s="5" t="s">
        <v>45</v>
      </c>
      <c r="D5068" s="3" t="s">
        <v>221</v>
      </c>
      <c r="E5068" s="3" t="s">
        <v>280</v>
      </c>
      <c r="F5068" s="7">
        <v>45848.137136560974</v>
      </c>
      <c r="G5068" s="3" t="s">
        <v>15372</v>
      </c>
    </row>
    <row r="5069">
      <c r="A5069" s="3" t="s">
        <v>15373</v>
      </c>
      <c r="B5069" s="3" t="s">
        <v>4927</v>
      </c>
      <c r="C5069" s="5" t="s">
        <v>221</v>
      </c>
      <c r="D5069" s="3" t="s">
        <v>614</v>
      </c>
      <c r="E5069" s="3" t="s">
        <v>118</v>
      </c>
      <c r="F5069" s="7">
        <v>45848.14060878319</v>
      </c>
      <c r="G5069" s="3" t="s">
        <v>15374</v>
      </c>
    </row>
    <row r="5070">
      <c r="A5070" s="3" t="s">
        <v>15376</v>
      </c>
      <c r="B5070" s="3" t="s">
        <v>4927</v>
      </c>
      <c r="C5070" s="5" t="s">
        <v>614</v>
      </c>
      <c r="D5070" s="3" t="s">
        <v>206</v>
      </c>
      <c r="E5070" s="3" t="s">
        <v>100</v>
      </c>
      <c r="F5070" s="7">
        <v>45848.14408100542</v>
      </c>
      <c r="G5070" s="3" t="s">
        <v>15377</v>
      </c>
    </row>
    <row r="5071">
      <c r="A5071" s="3" t="s">
        <v>15378</v>
      </c>
      <c r="B5071" s="3" t="s">
        <v>4927</v>
      </c>
      <c r="C5071" s="5" t="s">
        <v>206</v>
      </c>
      <c r="D5071" s="3" t="s">
        <v>68</v>
      </c>
      <c r="E5071" s="3" t="s">
        <v>100</v>
      </c>
      <c r="F5071" s="7">
        <v>45848.14755322764</v>
      </c>
      <c r="G5071" s="3" t="s">
        <v>15380</v>
      </c>
    </row>
    <row r="5072">
      <c r="A5072" s="3" t="s">
        <v>15381</v>
      </c>
      <c r="B5072" s="3" t="s">
        <v>4930</v>
      </c>
      <c r="C5072" s="5" t="s">
        <v>45</v>
      </c>
      <c r="D5072" s="3" t="s">
        <v>221</v>
      </c>
      <c r="E5072" s="3" t="s">
        <v>515</v>
      </c>
      <c r="F5072" s="7">
        <v>45848.20831140639</v>
      </c>
      <c r="G5072" s="3" t="s">
        <v>15383</v>
      </c>
    </row>
    <row r="5073">
      <c r="A5073" s="3" t="s">
        <v>15384</v>
      </c>
      <c r="B5073" s="3" t="s">
        <v>4930</v>
      </c>
      <c r="C5073" s="5" t="s">
        <v>221</v>
      </c>
      <c r="D5073" s="3" t="s">
        <v>614</v>
      </c>
      <c r="E5073" s="3" t="s">
        <v>118</v>
      </c>
      <c r="F5073" s="7">
        <v>45848.21178362861</v>
      </c>
      <c r="G5073" s="3" t="s">
        <v>15385</v>
      </c>
    </row>
    <row r="5074">
      <c r="A5074" s="3" t="s">
        <v>15387</v>
      </c>
      <c r="B5074" s="3" t="s">
        <v>4930</v>
      </c>
      <c r="C5074" s="5" t="s">
        <v>614</v>
      </c>
      <c r="D5074" s="3" t="s">
        <v>206</v>
      </c>
      <c r="E5074" s="3" t="s">
        <v>100</v>
      </c>
      <c r="F5074" s="7">
        <v>45848.21525585084</v>
      </c>
      <c r="G5074" s="3" t="s">
        <v>15388</v>
      </c>
    </row>
    <row r="5075">
      <c r="A5075" s="3" t="s">
        <v>15389</v>
      </c>
      <c r="B5075" s="3" t="s">
        <v>4930</v>
      </c>
      <c r="C5075" s="5" t="s">
        <v>206</v>
      </c>
      <c r="D5075" s="3" t="s">
        <v>68</v>
      </c>
      <c r="E5075" s="3" t="s">
        <v>100</v>
      </c>
      <c r="F5075" s="7">
        <v>45848.21872807306</v>
      </c>
      <c r="G5075" s="3" t="s">
        <v>15391</v>
      </c>
    </row>
    <row r="5076">
      <c r="A5076" s="3" t="s">
        <v>15392</v>
      </c>
      <c r="B5076" s="3" t="s">
        <v>4933</v>
      </c>
      <c r="C5076" s="5" t="s">
        <v>45</v>
      </c>
      <c r="D5076" s="3" t="s">
        <v>221</v>
      </c>
      <c r="E5076" s="3" t="s">
        <v>179</v>
      </c>
      <c r="F5076" s="7">
        <v>45848.279486251806</v>
      </c>
      <c r="G5076" s="3" t="s">
        <v>15394</v>
      </c>
    </row>
    <row r="5077">
      <c r="A5077" s="3" t="s">
        <v>15395</v>
      </c>
      <c r="B5077" s="3" t="s">
        <v>4933</v>
      </c>
      <c r="C5077" s="5" t="s">
        <v>221</v>
      </c>
      <c r="D5077" s="3" t="s">
        <v>614</v>
      </c>
      <c r="E5077" s="3" t="s">
        <v>118</v>
      </c>
      <c r="F5077" s="7">
        <v>45848.282958474025</v>
      </c>
      <c r="G5077" s="3" t="s">
        <v>15397</v>
      </c>
    </row>
    <row r="5078">
      <c r="A5078" s="3" t="s">
        <v>15398</v>
      </c>
      <c r="B5078" s="3" t="s">
        <v>4933</v>
      </c>
      <c r="C5078" s="5" t="s">
        <v>614</v>
      </c>
      <c r="D5078" s="3" t="s">
        <v>206</v>
      </c>
      <c r="E5078" s="3" t="s">
        <v>100</v>
      </c>
      <c r="F5078" s="7">
        <v>45848.28643069625</v>
      </c>
      <c r="G5078" s="3" t="s">
        <v>15399</v>
      </c>
    </row>
    <row r="5079">
      <c r="A5079" s="3" t="s">
        <v>15400</v>
      </c>
      <c r="B5079" s="3" t="s">
        <v>4933</v>
      </c>
      <c r="C5079" s="5" t="s">
        <v>206</v>
      </c>
      <c r="D5079" s="3" t="s">
        <v>68</v>
      </c>
      <c r="E5079" s="3" t="s">
        <v>100</v>
      </c>
      <c r="F5079" s="7">
        <v>45848.28990291847</v>
      </c>
      <c r="G5079" s="3" t="s">
        <v>15402</v>
      </c>
    </row>
    <row r="5080">
      <c r="A5080" s="3" t="s">
        <v>15403</v>
      </c>
      <c r="B5080" s="3" t="s">
        <v>4936</v>
      </c>
      <c r="C5080" s="5" t="s">
        <v>45</v>
      </c>
      <c r="D5080" s="3" t="s">
        <v>221</v>
      </c>
      <c r="E5080" s="3" t="s">
        <v>479</v>
      </c>
      <c r="F5080" s="7">
        <v>45848.35066109722</v>
      </c>
      <c r="G5080" s="3" t="s">
        <v>15405</v>
      </c>
    </row>
    <row r="5081">
      <c r="A5081" s="3" t="s">
        <v>15406</v>
      </c>
      <c r="B5081" s="3" t="s">
        <v>4936</v>
      </c>
      <c r="C5081" s="5" t="s">
        <v>221</v>
      </c>
      <c r="D5081" s="3" t="s">
        <v>614</v>
      </c>
      <c r="E5081" s="3" t="s">
        <v>118</v>
      </c>
      <c r="F5081" s="7">
        <v>45848.35413331944</v>
      </c>
      <c r="G5081" s="3" t="s">
        <v>15408</v>
      </c>
    </row>
    <row r="5082">
      <c r="A5082" s="3" t="s">
        <v>15409</v>
      </c>
      <c r="B5082" s="3" t="s">
        <v>4936</v>
      </c>
      <c r="C5082" s="5" t="s">
        <v>614</v>
      </c>
      <c r="D5082" s="3" t="s">
        <v>206</v>
      </c>
      <c r="E5082" s="3" t="s">
        <v>100</v>
      </c>
      <c r="F5082" s="7">
        <v>45848.35760554166</v>
      </c>
      <c r="G5082" s="3" t="s">
        <v>15411</v>
      </c>
    </row>
    <row r="5083">
      <c r="A5083" s="3" t="s">
        <v>15412</v>
      </c>
      <c r="B5083" s="3" t="s">
        <v>4936</v>
      </c>
      <c r="C5083" s="5" t="s">
        <v>206</v>
      </c>
      <c r="D5083" s="3" t="s">
        <v>68</v>
      </c>
      <c r="E5083" s="3" t="s">
        <v>100</v>
      </c>
      <c r="F5083" s="7">
        <v>45848.36107776388</v>
      </c>
      <c r="G5083" s="3" t="s">
        <v>15413</v>
      </c>
    </row>
    <row r="5084">
      <c r="A5084" s="3" t="s">
        <v>15415</v>
      </c>
      <c r="B5084" s="3" t="s">
        <v>4939</v>
      </c>
      <c r="C5084" s="5" t="s">
        <v>45</v>
      </c>
      <c r="D5084" s="3" t="s">
        <v>221</v>
      </c>
      <c r="E5084" s="3" t="s">
        <v>778</v>
      </c>
      <c r="F5084" s="7">
        <v>45848.42183594264</v>
      </c>
      <c r="G5084" s="3" t="s">
        <v>15416</v>
      </c>
    </row>
    <row r="5085">
      <c r="A5085" s="3" t="s">
        <v>15417</v>
      </c>
      <c r="B5085" s="3" t="s">
        <v>4939</v>
      </c>
      <c r="C5085" s="5" t="s">
        <v>221</v>
      </c>
      <c r="D5085" s="3" t="s">
        <v>614</v>
      </c>
      <c r="E5085" s="3" t="s">
        <v>118</v>
      </c>
      <c r="F5085" s="7">
        <v>45848.42530816486</v>
      </c>
      <c r="G5085" s="3" t="s">
        <v>15419</v>
      </c>
    </row>
    <row r="5086">
      <c r="A5086" s="3" t="s">
        <v>15420</v>
      </c>
      <c r="B5086" s="3" t="s">
        <v>4939</v>
      </c>
      <c r="C5086" s="5" t="s">
        <v>614</v>
      </c>
      <c r="D5086" s="3" t="s">
        <v>206</v>
      </c>
      <c r="E5086" s="3" t="s">
        <v>100</v>
      </c>
      <c r="F5086" s="7">
        <v>45848.42878038708</v>
      </c>
      <c r="G5086" s="3" t="s">
        <v>15422</v>
      </c>
    </row>
    <row r="5087">
      <c r="A5087" s="3" t="s">
        <v>15423</v>
      </c>
      <c r="B5087" s="3" t="s">
        <v>4939</v>
      </c>
      <c r="C5087" s="5" t="s">
        <v>206</v>
      </c>
      <c r="D5087" s="3" t="s">
        <v>68</v>
      </c>
      <c r="E5087" s="3" t="s">
        <v>100</v>
      </c>
      <c r="F5087" s="7">
        <v>45848.4322526093</v>
      </c>
      <c r="G5087" s="3" t="s">
        <v>15425</v>
      </c>
    </row>
    <row r="5088">
      <c r="A5088" s="3" t="s">
        <v>15426</v>
      </c>
      <c r="B5088" s="3" t="s">
        <v>4942</v>
      </c>
      <c r="C5088" s="5" t="s">
        <v>45</v>
      </c>
      <c r="D5088" s="3" t="s">
        <v>221</v>
      </c>
      <c r="E5088" s="3" t="s">
        <v>581</v>
      </c>
      <c r="F5088" s="7">
        <v>45848.49301078806</v>
      </c>
      <c r="G5088" s="3" t="s">
        <v>15427</v>
      </c>
    </row>
    <row r="5089">
      <c r="A5089" s="3" t="s">
        <v>15428</v>
      </c>
      <c r="B5089" s="3" t="s">
        <v>4942</v>
      </c>
      <c r="C5089" s="5" t="s">
        <v>221</v>
      </c>
      <c r="D5089" s="3" t="s">
        <v>614</v>
      </c>
      <c r="E5089" s="3" t="s">
        <v>118</v>
      </c>
      <c r="F5089" s="7">
        <v>45848.496483010276</v>
      </c>
      <c r="G5089" s="3" t="s">
        <v>15430</v>
      </c>
    </row>
    <row r="5090">
      <c r="A5090" s="3" t="s">
        <v>15431</v>
      </c>
      <c r="B5090" s="3" t="s">
        <v>4942</v>
      </c>
      <c r="C5090" s="5" t="s">
        <v>614</v>
      </c>
      <c r="D5090" s="3" t="s">
        <v>206</v>
      </c>
      <c r="E5090" s="3" t="s">
        <v>100</v>
      </c>
      <c r="F5090" s="7">
        <v>45848.4999552325</v>
      </c>
      <c r="G5090" s="3" t="s">
        <v>15433</v>
      </c>
    </row>
    <row r="5091">
      <c r="A5091" s="3" t="s">
        <v>15434</v>
      </c>
      <c r="B5091" s="3" t="s">
        <v>4942</v>
      </c>
      <c r="C5091" s="5" t="s">
        <v>206</v>
      </c>
      <c r="D5091" s="3" t="s">
        <v>68</v>
      </c>
      <c r="E5091" s="3" t="s">
        <v>100</v>
      </c>
      <c r="F5091" s="7">
        <v>45848.50342745472</v>
      </c>
      <c r="G5091" s="3" t="s">
        <v>15436</v>
      </c>
    </row>
    <row r="5092">
      <c r="A5092" s="3" t="s">
        <v>15437</v>
      </c>
      <c r="B5092" s="3" t="s">
        <v>4945</v>
      </c>
      <c r="C5092" s="5" t="s">
        <v>45</v>
      </c>
      <c r="D5092" s="3" t="s">
        <v>221</v>
      </c>
      <c r="E5092" s="3" t="s">
        <v>838</v>
      </c>
      <c r="F5092" s="7">
        <v>45848.56418563346</v>
      </c>
      <c r="G5092" s="3" t="s">
        <v>15439</v>
      </c>
    </row>
    <row r="5093">
      <c r="A5093" s="3" t="s">
        <v>15440</v>
      </c>
      <c r="B5093" s="3" t="s">
        <v>4945</v>
      </c>
      <c r="C5093" s="5" t="s">
        <v>221</v>
      </c>
      <c r="D5093" s="3" t="s">
        <v>614</v>
      </c>
      <c r="E5093" s="3" t="s">
        <v>118</v>
      </c>
      <c r="F5093" s="7">
        <v>45848.56765785568</v>
      </c>
      <c r="G5093" s="3" t="s">
        <v>15441</v>
      </c>
    </row>
    <row r="5094">
      <c r="A5094" s="3" t="s">
        <v>15443</v>
      </c>
      <c r="B5094" s="3" t="s">
        <v>4945</v>
      </c>
      <c r="C5094" s="5" t="s">
        <v>614</v>
      </c>
      <c r="D5094" s="3" t="s">
        <v>206</v>
      </c>
      <c r="E5094" s="3" t="s">
        <v>100</v>
      </c>
      <c r="F5094" s="7">
        <v>45848.57113007791</v>
      </c>
      <c r="G5094" s="3" t="s">
        <v>15444</v>
      </c>
    </row>
    <row r="5095">
      <c r="A5095" s="3" t="s">
        <v>15445</v>
      </c>
      <c r="B5095" s="3" t="s">
        <v>4945</v>
      </c>
      <c r="C5095" s="5" t="s">
        <v>206</v>
      </c>
      <c r="D5095" s="3" t="s">
        <v>68</v>
      </c>
      <c r="E5095" s="3" t="s">
        <v>100</v>
      </c>
      <c r="F5095" s="7">
        <v>45848.57460230013</v>
      </c>
      <c r="G5095" s="3" t="s">
        <v>15447</v>
      </c>
    </row>
    <row r="5096">
      <c r="A5096" s="3" t="s">
        <v>15448</v>
      </c>
      <c r="B5096" s="3" t="s">
        <v>4948</v>
      </c>
      <c r="C5096" s="5" t="s">
        <v>45</v>
      </c>
      <c r="D5096" s="3" t="s">
        <v>221</v>
      </c>
      <c r="E5096" s="3" t="s">
        <v>530</v>
      </c>
      <c r="F5096" s="7">
        <v>45848.63536047888</v>
      </c>
      <c r="G5096" s="3" t="s">
        <v>11787</v>
      </c>
    </row>
    <row r="5097">
      <c r="A5097" s="3" t="s">
        <v>15450</v>
      </c>
      <c r="B5097" s="3" t="s">
        <v>4948</v>
      </c>
      <c r="C5097" s="5" t="s">
        <v>221</v>
      </c>
      <c r="D5097" s="3" t="s">
        <v>614</v>
      </c>
      <c r="E5097" s="3" t="s">
        <v>118</v>
      </c>
      <c r="F5097" s="7">
        <v>45848.6388327011</v>
      </c>
      <c r="G5097" s="3" t="s">
        <v>11790</v>
      </c>
    </row>
    <row r="5098">
      <c r="A5098" s="3" t="s">
        <v>15452</v>
      </c>
      <c r="B5098" s="3" t="s">
        <v>4948</v>
      </c>
      <c r="C5098" s="5" t="s">
        <v>614</v>
      </c>
      <c r="D5098" s="3" t="s">
        <v>206</v>
      </c>
      <c r="E5098" s="3" t="s">
        <v>100</v>
      </c>
      <c r="F5098" s="7">
        <v>45848.64230492333</v>
      </c>
      <c r="G5098" s="3" t="s">
        <v>11795</v>
      </c>
    </row>
    <row r="5099">
      <c r="A5099" s="3" t="s">
        <v>15454</v>
      </c>
      <c r="B5099" s="3" t="s">
        <v>4948</v>
      </c>
      <c r="C5099" s="5" t="s">
        <v>206</v>
      </c>
      <c r="D5099" s="3" t="s">
        <v>68</v>
      </c>
      <c r="E5099" s="3" t="s">
        <v>100</v>
      </c>
      <c r="F5099" s="7">
        <v>45848.645777145546</v>
      </c>
      <c r="G5099" s="3" t="s">
        <v>11798</v>
      </c>
    </row>
    <row r="5100">
      <c r="A5100" s="3" t="s">
        <v>15456</v>
      </c>
      <c r="B5100" s="3" t="s">
        <v>4951</v>
      </c>
      <c r="C5100" s="5" t="s">
        <v>45</v>
      </c>
      <c r="D5100" s="3" t="s">
        <v>221</v>
      </c>
      <c r="E5100" s="3" t="s">
        <v>512</v>
      </c>
      <c r="F5100" s="7">
        <v>45848.7065353243</v>
      </c>
      <c r="G5100" s="3" t="s">
        <v>15457</v>
      </c>
    </row>
    <row r="5101">
      <c r="A5101" s="3" t="s">
        <v>15458</v>
      </c>
      <c r="B5101" s="3" t="s">
        <v>4951</v>
      </c>
      <c r="C5101" s="5" t="s">
        <v>221</v>
      </c>
      <c r="D5101" s="3" t="s">
        <v>614</v>
      </c>
      <c r="E5101" s="3" t="s">
        <v>118</v>
      </c>
      <c r="F5101" s="7">
        <v>45848.71000754652</v>
      </c>
      <c r="G5101" s="3" t="s">
        <v>15460</v>
      </c>
    </row>
    <row r="5102">
      <c r="A5102" s="3" t="s">
        <v>15461</v>
      </c>
      <c r="B5102" s="3" t="s">
        <v>4951</v>
      </c>
      <c r="C5102" s="5" t="s">
        <v>614</v>
      </c>
      <c r="D5102" s="3" t="s">
        <v>206</v>
      </c>
      <c r="E5102" s="3" t="s">
        <v>100</v>
      </c>
      <c r="F5102" s="7">
        <v>45848.71347976875</v>
      </c>
      <c r="G5102" s="3" t="s">
        <v>15463</v>
      </c>
    </row>
    <row r="5103">
      <c r="A5103" s="3" t="s">
        <v>15464</v>
      </c>
      <c r="B5103" s="3" t="s">
        <v>4951</v>
      </c>
      <c r="C5103" s="5" t="s">
        <v>206</v>
      </c>
      <c r="D5103" s="3" t="s">
        <v>68</v>
      </c>
      <c r="E5103" s="3" t="s">
        <v>100</v>
      </c>
      <c r="F5103" s="7">
        <v>45848.716951990966</v>
      </c>
      <c r="G5103" s="3" t="s">
        <v>15466</v>
      </c>
    </row>
    <row r="5104">
      <c r="A5104" s="3" t="s">
        <v>15467</v>
      </c>
      <c r="B5104" s="3" t="s">
        <v>4954</v>
      </c>
      <c r="C5104" s="5" t="s">
        <v>45</v>
      </c>
      <c r="D5104" s="3" t="s">
        <v>221</v>
      </c>
      <c r="E5104" s="3" t="s">
        <v>293</v>
      </c>
      <c r="F5104" s="7">
        <v>45848.777710169714</v>
      </c>
      <c r="G5104" s="3" t="s">
        <v>10732</v>
      </c>
    </row>
    <row r="5105">
      <c r="A5105" s="3" t="s">
        <v>15469</v>
      </c>
      <c r="B5105" s="3" t="s">
        <v>4954</v>
      </c>
      <c r="C5105" s="5" t="s">
        <v>221</v>
      </c>
      <c r="D5105" s="3" t="s">
        <v>614</v>
      </c>
      <c r="E5105" s="3" t="s">
        <v>118</v>
      </c>
      <c r="F5105" s="7">
        <v>45848.78118239193</v>
      </c>
      <c r="G5105" s="3" t="s">
        <v>15471</v>
      </c>
    </row>
    <row r="5106">
      <c r="A5106" s="3" t="s">
        <v>15472</v>
      </c>
      <c r="B5106" s="3" t="s">
        <v>4954</v>
      </c>
      <c r="C5106" s="5" t="s">
        <v>614</v>
      </c>
      <c r="D5106" s="3" t="s">
        <v>206</v>
      </c>
      <c r="E5106" s="3" t="s">
        <v>100</v>
      </c>
      <c r="F5106" s="7">
        <v>45848.78465461416</v>
      </c>
      <c r="G5106" s="3" t="s">
        <v>15473</v>
      </c>
    </row>
    <row r="5107">
      <c r="A5107" s="3" t="s">
        <v>15475</v>
      </c>
      <c r="B5107" s="3" t="s">
        <v>4954</v>
      </c>
      <c r="C5107" s="5" t="s">
        <v>206</v>
      </c>
      <c r="D5107" s="3" t="s">
        <v>68</v>
      </c>
      <c r="E5107" s="3" t="s">
        <v>100</v>
      </c>
      <c r="F5107" s="7">
        <v>45848.78812683638</v>
      </c>
      <c r="G5107" s="3" t="s">
        <v>15476</v>
      </c>
    </row>
    <row r="5108">
      <c r="A5108" s="3" t="s">
        <v>15478</v>
      </c>
      <c r="B5108" s="3" t="s">
        <v>4958</v>
      </c>
      <c r="C5108" s="5" t="s">
        <v>45</v>
      </c>
      <c r="D5108" s="3" t="s">
        <v>221</v>
      </c>
      <c r="E5108" s="3" t="s">
        <v>658</v>
      </c>
      <c r="F5108" s="7">
        <v>45848.848885015126</v>
      </c>
      <c r="G5108" s="3" t="s">
        <v>15479</v>
      </c>
    </row>
    <row r="5109">
      <c r="A5109" s="3" t="s">
        <v>15480</v>
      </c>
      <c r="B5109" s="3" t="s">
        <v>4958</v>
      </c>
      <c r="C5109" s="5" t="s">
        <v>221</v>
      </c>
      <c r="D5109" s="3" t="s">
        <v>614</v>
      </c>
      <c r="E5109" s="3" t="s">
        <v>118</v>
      </c>
      <c r="F5109" s="7">
        <v>45848.852357237345</v>
      </c>
      <c r="G5109" s="3" t="s">
        <v>15482</v>
      </c>
    </row>
    <row r="5110">
      <c r="A5110" s="3" t="s">
        <v>15483</v>
      </c>
      <c r="B5110" s="3" t="s">
        <v>4958</v>
      </c>
      <c r="C5110" s="5" t="s">
        <v>614</v>
      </c>
      <c r="D5110" s="3" t="s">
        <v>206</v>
      </c>
      <c r="E5110" s="3" t="s">
        <v>100</v>
      </c>
      <c r="F5110" s="7">
        <v>45848.85582945957</v>
      </c>
      <c r="G5110" s="3" t="s">
        <v>15485</v>
      </c>
    </row>
    <row r="5111">
      <c r="A5111" s="3" t="s">
        <v>15486</v>
      </c>
      <c r="B5111" s="3" t="s">
        <v>4958</v>
      </c>
      <c r="C5111" s="5" t="s">
        <v>206</v>
      </c>
      <c r="D5111" s="3" t="s">
        <v>68</v>
      </c>
      <c r="E5111" s="3" t="s">
        <v>100</v>
      </c>
      <c r="F5111" s="7">
        <v>45848.85930168179</v>
      </c>
      <c r="G5111" s="3" t="s">
        <v>15488</v>
      </c>
    </row>
    <row r="5112">
      <c r="A5112" s="3" t="s">
        <v>15489</v>
      </c>
      <c r="B5112" s="3" t="s">
        <v>4961</v>
      </c>
      <c r="C5112" s="5" t="s">
        <v>45</v>
      </c>
      <c r="D5112" s="3" t="s">
        <v>221</v>
      </c>
      <c r="E5112" s="3" t="s">
        <v>765</v>
      </c>
      <c r="F5112" s="7">
        <v>45848.920059860546</v>
      </c>
      <c r="G5112" s="3" t="s">
        <v>15491</v>
      </c>
    </row>
    <row r="5113">
      <c r="A5113" s="3" t="s">
        <v>15492</v>
      </c>
      <c r="B5113" s="3" t="s">
        <v>4961</v>
      </c>
      <c r="C5113" s="5" t="s">
        <v>221</v>
      </c>
      <c r="D5113" s="3" t="s">
        <v>614</v>
      </c>
      <c r="E5113" s="3" t="s">
        <v>118</v>
      </c>
      <c r="F5113" s="7">
        <v>45848.923532082765</v>
      </c>
      <c r="G5113" s="3" t="s">
        <v>15493</v>
      </c>
    </row>
    <row r="5114">
      <c r="A5114" s="3" t="s">
        <v>15495</v>
      </c>
      <c r="B5114" s="3" t="s">
        <v>4961</v>
      </c>
      <c r="C5114" s="5" t="s">
        <v>614</v>
      </c>
      <c r="D5114" s="3" t="s">
        <v>206</v>
      </c>
      <c r="E5114" s="3" t="s">
        <v>100</v>
      </c>
      <c r="F5114" s="7">
        <v>45848.92700430499</v>
      </c>
      <c r="G5114" s="3" t="s">
        <v>15496</v>
      </c>
    </row>
    <row r="5115">
      <c r="A5115" s="3" t="s">
        <v>15497</v>
      </c>
      <c r="B5115" s="3" t="s">
        <v>4961</v>
      </c>
      <c r="C5115" s="5" t="s">
        <v>206</v>
      </c>
      <c r="D5115" s="3" t="s">
        <v>68</v>
      </c>
      <c r="E5115" s="3" t="s">
        <v>100</v>
      </c>
      <c r="F5115" s="7">
        <v>45848.93047652721</v>
      </c>
      <c r="G5115" s="3" t="s">
        <v>15499</v>
      </c>
    </row>
    <row r="5116">
      <c r="A5116" s="3" t="s">
        <v>15500</v>
      </c>
      <c r="B5116" s="3" t="s">
        <v>4964</v>
      </c>
      <c r="C5116" s="5" t="s">
        <v>45</v>
      </c>
      <c r="D5116" s="3" t="s">
        <v>221</v>
      </c>
      <c r="E5116" s="3" t="s">
        <v>778</v>
      </c>
      <c r="F5116" s="7">
        <v>45848.99123470596</v>
      </c>
      <c r="G5116" s="3" t="s">
        <v>15416</v>
      </c>
    </row>
    <row r="5117">
      <c r="A5117" s="3" t="s">
        <v>15502</v>
      </c>
      <c r="B5117" s="3" t="s">
        <v>4964</v>
      </c>
      <c r="C5117" s="5" t="s">
        <v>221</v>
      </c>
      <c r="D5117" s="3" t="s">
        <v>614</v>
      </c>
      <c r="E5117" s="3" t="s">
        <v>118</v>
      </c>
      <c r="F5117" s="7">
        <v>45848.99470692818</v>
      </c>
      <c r="G5117" s="3" t="s">
        <v>15419</v>
      </c>
    </row>
    <row r="5118">
      <c r="A5118" s="3" t="s">
        <v>15504</v>
      </c>
      <c r="B5118" s="3" t="s">
        <v>4964</v>
      </c>
      <c r="C5118" s="5" t="s">
        <v>614</v>
      </c>
      <c r="D5118" s="3" t="s">
        <v>206</v>
      </c>
      <c r="E5118" s="3" t="s">
        <v>100</v>
      </c>
      <c r="F5118" s="7">
        <v>45848.9981791504</v>
      </c>
      <c r="G5118" s="3" t="s">
        <v>15422</v>
      </c>
    </row>
    <row r="5119">
      <c r="A5119" s="3" t="s">
        <v>15506</v>
      </c>
      <c r="B5119" s="3" t="s">
        <v>4964</v>
      </c>
      <c r="C5119" s="5" t="s">
        <v>206</v>
      </c>
      <c r="D5119" s="3" t="s">
        <v>68</v>
      </c>
      <c r="E5119" s="3" t="s">
        <v>100</v>
      </c>
      <c r="F5119" s="7">
        <v>45849.00165137262</v>
      </c>
      <c r="G5119" s="3" t="s">
        <v>15425</v>
      </c>
    </row>
    <row r="5120">
      <c r="A5120" s="3" t="s">
        <v>15507</v>
      </c>
      <c r="B5120" s="3" t="s">
        <v>4967</v>
      </c>
      <c r="C5120" s="5" t="s">
        <v>45</v>
      </c>
      <c r="D5120" s="3" t="s">
        <v>221</v>
      </c>
      <c r="E5120" s="3" t="s">
        <v>702</v>
      </c>
      <c r="F5120" s="7">
        <v>45849.06240955137</v>
      </c>
      <c r="G5120" s="3" t="s">
        <v>15509</v>
      </c>
    </row>
    <row r="5121">
      <c r="A5121" s="3" t="s">
        <v>15510</v>
      </c>
      <c r="B5121" s="3" t="s">
        <v>4967</v>
      </c>
      <c r="C5121" s="5" t="s">
        <v>221</v>
      </c>
      <c r="D5121" s="3" t="s">
        <v>614</v>
      </c>
      <c r="E5121" s="3" t="s">
        <v>118</v>
      </c>
      <c r="F5121" s="7">
        <v>45849.06588177359</v>
      </c>
      <c r="G5121" s="3" t="s">
        <v>15512</v>
      </c>
    </row>
    <row r="5122">
      <c r="A5122" s="3" t="s">
        <v>15513</v>
      </c>
      <c r="B5122" s="3" t="s">
        <v>4967</v>
      </c>
      <c r="C5122" s="5" t="s">
        <v>614</v>
      </c>
      <c r="D5122" s="3" t="s">
        <v>206</v>
      </c>
      <c r="E5122" s="3" t="s">
        <v>100</v>
      </c>
      <c r="F5122" s="7">
        <v>45849.069353995816</v>
      </c>
      <c r="G5122" s="3" t="s">
        <v>15515</v>
      </c>
    </row>
    <row r="5123">
      <c r="A5123" s="3" t="s">
        <v>15516</v>
      </c>
      <c r="B5123" s="3" t="s">
        <v>4967</v>
      </c>
      <c r="C5123" s="5" t="s">
        <v>206</v>
      </c>
      <c r="D5123" s="3" t="s">
        <v>68</v>
      </c>
      <c r="E5123" s="3" t="s">
        <v>100</v>
      </c>
      <c r="F5123" s="7">
        <v>45849.072826218035</v>
      </c>
      <c r="G5123" s="3" t="s">
        <v>15517</v>
      </c>
    </row>
    <row r="5124">
      <c r="A5124" s="3" t="s">
        <v>15518</v>
      </c>
      <c r="B5124" s="3" t="s">
        <v>4970</v>
      </c>
      <c r="C5124" s="5" t="s">
        <v>45</v>
      </c>
      <c r="D5124" s="3" t="s">
        <v>221</v>
      </c>
      <c r="E5124" s="3" t="s">
        <v>290</v>
      </c>
      <c r="F5124" s="7">
        <v>45849.13358439679</v>
      </c>
      <c r="G5124" s="3" t="s">
        <v>15520</v>
      </c>
    </row>
    <row r="5125">
      <c r="A5125" s="3" t="s">
        <v>15521</v>
      </c>
      <c r="B5125" s="3" t="s">
        <v>4970</v>
      </c>
      <c r="C5125" s="5" t="s">
        <v>221</v>
      </c>
      <c r="D5125" s="3" t="s">
        <v>614</v>
      </c>
      <c r="E5125" s="3" t="s">
        <v>118</v>
      </c>
      <c r="F5125" s="7">
        <v>45849.13705661901</v>
      </c>
      <c r="G5125" s="3" t="s">
        <v>15523</v>
      </c>
    </row>
    <row r="5126">
      <c r="A5126" s="3" t="s">
        <v>15524</v>
      </c>
      <c r="B5126" s="3" t="s">
        <v>4970</v>
      </c>
      <c r="C5126" s="5" t="s">
        <v>614</v>
      </c>
      <c r="D5126" s="3" t="s">
        <v>206</v>
      </c>
      <c r="E5126" s="3" t="s">
        <v>100</v>
      </c>
      <c r="F5126" s="7">
        <v>45849.140528841235</v>
      </c>
      <c r="G5126" s="3" t="s">
        <v>15526</v>
      </c>
    </row>
    <row r="5127">
      <c r="A5127" s="3" t="s">
        <v>15527</v>
      </c>
      <c r="B5127" s="3" t="s">
        <v>4970</v>
      </c>
      <c r="C5127" s="5" t="s">
        <v>206</v>
      </c>
      <c r="D5127" s="3" t="s">
        <v>68</v>
      </c>
      <c r="E5127" s="3" t="s">
        <v>100</v>
      </c>
      <c r="F5127" s="7">
        <v>45849.144001063454</v>
      </c>
      <c r="G5127" s="3" t="s">
        <v>15528</v>
      </c>
    </row>
    <row r="5128">
      <c r="A5128" s="3" t="s">
        <v>15530</v>
      </c>
      <c r="B5128" s="3" t="s">
        <v>4972</v>
      </c>
      <c r="C5128" s="5" t="s">
        <v>45</v>
      </c>
      <c r="D5128" s="3" t="s">
        <v>221</v>
      </c>
      <c r="E5128" s="3" t="s">
        <v>587</v>
      </c>
      <c r="F5128" s="7">
        <v>45849.2047592422</v>
      </c>
      <c r="G5128" s="3" t="s">
        <v>15531</v>
      </c>
    </row>
    <row r="5129">
      <c r="A5129" s="3" t="s">
        <v>15532</v>
      </c>
      <c r="B5129" s="3" t="s">
        <v>4972</v>
      </c>
      <c r="C5129" s="5" t="s">
        <v>221</v>
      </c>
      <c r="D5129" s="3" t="s">
        <v>614</v>
      </c>
      <c r="E5129" s="3" t="s">
        <v>118</v>
      </c>
      <c r="F5129" s="7">
        <v>45849.20823146442</v>
      </c>
      <c r="G5129" s="3" t="s">
        <v>15534</v>
      </c>
    </row>
    <row r="5130">
      <c r="A5130" s="3" t="s">
        <v>15535</v>
      </c>
      <c r="B5130" s="3" t="s">
        <v>4972</v>
      </c>
      <c r="C5130" s="5" t="s">
        <v>614</v>
      </c>
      <c r="D5130" s="3" t="s">
        <v>206</v>
      </c>
      <c r="E5130" s="3" t="s">
        <v>100</v>
      </c>
      <c r="F5130" s="7">
        <v>45849.21170368665</v>
      </c>
      <c r="G5130" s="3" t="s">
        <v>15537</v>
      </c>
    </row>
    <row r="5131">
      <c r="A5131" s="3" t="s">
        <v>15538</v>
      </c>
      <c r="B5131" s="3" t="s">
        <v>4972</v>
      </c>
      <c r="C5131" s="5" t="s">
        <v>206</v>
      </c>
      <c r="D5131" s="3" t="s">
        <v>68</v>
      </c>
      <c r="E5131" s="3" t="s">
        <v>100</v>
      </c>
      <c r="F5131" s="7">
        <v>45849.21517590887</v>
      </c>
      <c r="G5131" s="3" t="s">
        <v>15540</v>
      </c>
    </row>
    <row r="5132">
      <c r="A5132" s="3" t="s">
        <v>15541</v>
      </c>
      <c r="B5132" s="3" t="s">
        <v>4975</v>
      </c>
      <c r="C5132" s="5" t="s">
        <v>45</v>
      </c>
      <c r="D5132" s="3" t="s">
        <v>221</v>
      </c>
      <c r="E5132" s="3" t="s">
        <v>290</v>
      </c>
      <c r="F5132" s="7">
        <v>45849.275934087615</v>
      </c>
      <c r="G5132" s="3" t="s">
        <v>15520</v>
      </c>
    </row>
    <row r="5133">
      <c r="A5133" s="3" t="s">
        <v>15543</v>
      </c>
      <c r="B5133" s="3" t="s">
        <v>4975</v>
      </c>
      <c r="C5133" s="5" t="s">
        <v>221</v>
      </c>
      <c r="D5133" s="3" t="s">
        <v>614</v>
      </c>
      <c r="E5133" s="3" t="s">
        <v>118</v>
      </c>
      <c r="F5133" s="7">
        <v>45849.27940630983</v>
      </c>
      <c r="G5133" s="3" t="s">
        <v>15523</v>
      </c>
    </row>
    <row r="5134">
      <c r="A5134" s="3" t="s">
        <v>15544</v>
      </c>
      <c r="B5134" s="3" t="s">
        <v>4975</v>
      </c>
      <c r="C5134" s="5" t="s">
        <v>614</v>
      </c>
      <c r="D5134" s="3" t="s">
        <v>206</v>
      </c>
      <c r="E5134" s="3" t="s">
        <v>100</v>
      </c>
      <c r="F5134" s="7">
        <v>45849.28287853206</v>
      </c>
      <c r="G5134" s="3" t="s">
        <v>15526</v>
      </c>
    </row>
    <row r="5135">
      <c r="A5135" s="3" t="s">
        <v>15546</v>
      </c>
      <c r="B5135" s="3" t="s">
        <v>4975</v>
      </c>
      <c r="C5135" s="5" t="s">
        <v>206</v>
      </c>
      <c r="D5135" s="3" t="s">
        <v>68</v>
      </c>
      <c r="E5135" s="3" t="s">
        <v>100</v>
      </c>
      <c r="F5135" s="7">
        <v>45849.28635075428</v>
      </c>
      <c r="G5135" s="3" t="s">
        <v>15528</v>
      </c>
    </row>
    <row r="5136">
      <c r="A5136" s="3" t="s">
        <v>15548</v>
      </c>
      <c r="B5136" s="3" t="s">
        <v>4978</v>
      </c>
      <c r="C5136" s="5" t="s">
        <v>45</v>
      </c>
      <c r="D5136" s="3" t="s">
        <v>221</v>
      </c>
      <c r="E5136" s="3" t="s">
        <v>937</v>
      </c>
      <c r="F5136" s="7">
        <v>45849.347108933034</v>
      </c>
      <c r="G5136" s="3" t="s">
        <v>12383</v>
      </c>
    </row>
    <row r="5137">
      <c r="A5137" s="3" t="s">
        <v>15550</v>
      </c>
      <c r="B5137" s="3" t="s">
        <v>4978</v>
      </c>
      <c r="C5137" s="5" t="s">
        <v>221</v>
      </c>
      <c r="D5137" s="3" t="s">
        <v>614</v>
      </c>
      <c r="E5137" s="3" t="s">
        <v>118</v>
      </c>
      <c r="F5137" s="7">
        <v>45849.35058115525</v>
      </c>
      <c r="G5137" s="3" t="s">
        <v>12385</v>
      </c>
    </row>
    <row r="5138">
      <c r="A5138" s="3" t="s">
        <v>15552</v>
      </c>
      <c r="B5138" s="3" t="s">
        <v>4978</v>
      </c>
      <c r="C5138" s="5" t="s">
        <v>614</v>
      </c>
      <c r="D5138" s="3" t="s">
        <v>206</v>
      </c>
      <c r="E5138" s="3" t="s">
        <v>100</v>
      </c>
      <c r="F5138" s="7">
        <v>45849.35405337748</v>
      </c>
      <c r="G5138" s="3" t="s">
        <v>12388</v>
      </c>
    </row>
    <row r="5139">
      <c r="A5139" s="3" t="s">
        <v>15554</v>
      </c>
      <c r="B5139" s="3" t="s">
        <v>4978</v>
      </c>
      <c r="C5139" s="5" t="s">
        <v>206</v>
      </c>
      <c r="D5139" s="3" t="s">
        <v>68</v>
      </c>
      <c r="E5139" s="3" t="s">
        <v>100</v>
      </c>
      <c r="F5139" s="7">
        <v>45849.3575255997</v>
      </c>
      <c r="G5139" s="3" t="s">
        <v>12391</v>
      </c>
    </row>
    <row r="5140">
      <c r="A5140" s="3" t="s">
        <v>15556</v>
      </c>
      <c r="B5140" s="3" t="s">
        <v>4981</v>
      </c>
      <c r="C5140" s="5" t="s">
        <v>45</v>
      </c>
      <c r="D5140" s="3" t="s">
        <v>221</v>
      </c>
      <c r="E5140" s="3" t="s">
        <v>326</v>
      </c>
      <c r="F5140" s="7">
        <v>45849.41828377845</v>
      </c>
      <c r="G5140" s="3" t="s">
        <v>13688</v>
      </c>
    </row>
    <row r="5141">
      <c r="A5141" s="3" t="s">
        <v>15558</v>
      </c>
      <c r="B5141" s="3" t="s">
        <v>4981</v>
      </c>
      <c r="C5141" s="5" t="s">
        <v>221</v>
      </c>
      <c r="D5141" s="3" t="s">
        <v>614</v>
      </c>
      <c r="E5141" s="3" t="s">
        <v>118</v>
      </c>
      <c r="F5141" s="7">
        <v>45849.421756000665</v>
      </c>
      <c r="G5141" s="3" t="s">
        <v>13691</v>
      </c>
    </row>
    <row r="5142">
      <c r="A5142" s="3" t="s">
        <v>15560</v>
      </c>
      <c r="B5142" s="3" t="s">
        <v>4981</v>
      </c>
      <c r="C5142" s="5" t="s">
        <v>614</v>
      </c>
      <c r="D5142" s="3" t="s">
        <v>206</v>
      </c>
      <c r="E5142" s="3" t="s">
        <v>100</v>
      </c>
      <c r="F5142" s="7">
        <v>45849.42522822289</v>
      </c>
      <c r="G5142" s="3" t="s">
        <v>13694</v>
      </c>
    </row>
    <row r="5143">
      <c r="A5143" s="3" t="s">
        <v>15561</v>
      </c>
      <c r="B5143" s="3" t="s">
        <v>4981</v>
      </c>
      <c r="C5143" s="5" t="s">
        <v>206</v>
      </c>
      <c r="D5143" s="3" t="s">
        <v>68</v>
      </c>
      <c r="E5143" s="3" t="s">
        <v>100</v>
      </c>
      <c r="F5143" s="7">
        <v>45849.42870044511</v>
      </c>
      <c r="G5143" s="3" t="s">
        <v>13697</v>
      </c>
    </row>
    <row r="5144">
      <c r="A5144" s="3" t="s">
        <v>15563</v>
      </c>
      <c r="B5144" s="3" t="s">
        <v>4984</v>
      </c>
      <c r="C5144" s="5" t="s">
        <v>45</v>
      </c>
      <c r="D5144" s="3" t="s">
        <v>221</v>
      </c>
      <c r="E5144" s="3" t="s">
        <v>145</v>
      </c>
      <c r="F5144" s="7">
        <v>45849.48945862386</v>
      </c>
      <c r="G5144" s="3" t="s">
        <v>15565</v>
      </c>
    </row>
    <row r="5145">
      <c r="A5145" s="3" t="s">
        <v>15566</v>
      </c>
      <c r="B5145" s="3" t="s">
        <v>4984</v>
      </c>
      <c r="C5145" s="5" t="s">
        <v>221</v>
      </c>
      <c r="D5145" s="3" t="s">
        <v>614</v>
      </c>
      <c r="E5145" s="3" t="s">
        <v>118</v>
      </c>
      <c r="F5145" s="7">
        <v>45849.49293084608</v>
      </c>
      <c r="G5145" s="3" t="s">
        <v>15568</v>
      </c>
    </row>
    <row r="5146">
      <c r="A5146" s="3" t="s">
        <v>15569</v>
      </c>
      <c r="B5146" s="3" t="s">
        <v>4984</v>
      </c>
      <c r="C5146" s="5" t="s">
        <v>614</v>
      </c>
      <c r="D5146" s="3" t="s">
        <v>206</v>
      </c>
      <c r="E5146" s="3" t="s">
        <v>100</v>
      </c>
      <c r="F5146" s="7">
        <v>45849.496403068304</v>
      </c>
      <c r="G5146" s="3" t="s">
        <v>15570</v>
      </c>
    </row>
    <row r="5147">
      <c r="A5147" s="3" t="s">
        <v>15572</v>
      </c>
      <c r="B5147" s="3" t="s">
        <v>4984</v>
      </c>
      <c r="C5147" s="5" t="s">
        <v>206</v>
      </c>
      <c r="D5147" s="3" t="s">
        <v>68</v>
      </c>
      <c r="E5147" s="3" t="s">
        <v>100</v>
      </c>
      <c r="F5147" s="7">
        <v>45849.49987529052</v>
      </c>
      <c r="G5147" s="3" t="s">
        <v>15573</v>
      </c>
    </row>
    <row r="5148">
      <c r="A5148" s="3" t="s">
        <v>15574</v>
      </c>
      <c r="B5148" s="3" t="s">
        <v>4987</v>
      </c>
      <c r="C5148" s="5" t="s">
        <v>45</v>
      </c>
      <c r="D5148" s="3" t="s">
        <v>221</v>
      </c>
      <c r="E5148" s="3" t="s">
        <v>280</v>
      </c>
      <c r="F5148" s="7">
        <v>45849.56063346928</v>
      </c>
      <c r="G5148" s="3" t="s">
        <v>15372</v>
      </c>
    </row>
    <row r="5149">
      <c r="A5149" s="3" t="s">
        <v>15576</v>
      </c>
      <c r="B5149" s="3" t="s">
        <v>4987</v>
      </c>
      <c r="C5149" s="5" t="s">
        <v>221</v>
      </c>
      <c r="D5149" s="3" t="s">
        <v>614</v>
      </c>
      <c r="E5149" s="3" t="s">
        <v>118</v>
      </c>
      <c r="F5149" s="7">
        <v>45849.5641056915</v>
      </c>
      <c r="G5149" s="3" t="s">
        <v>15374</v>
      </c>
    </row>
    <row r="5150">
      <c r="A5150" s="3" t="s">
        <v>15578</v>
      </c>
      <c r="B5150" s="3" t="s">
        <v>4987</v>
      </c>
      <c r="C5150" s="5" t="s">
        <v>614</v>
      </c>
      <c r="D5150" s="3" t="s">
        <v>206</v>
      </c>
      <c r="E5150" s="3" t="s">
        <v>100</v>
      </c>
      <c r="F5150" s="7">
        <v>45849.567577913724</v>
      </c>
      <c r="G5150" s="3" t="s">
        <v>15377</v>
      </c>
    </row>
    <row r="5151">
      <c r="A5151" s="3" t="s">
        <v>15580</v>
      </c>
      <c r="B5151" s="3" t="s">
        <v>4987</v>
      </c>
      <c r="C5151" s="5" t="s">
        <v>206</v>
      </c>
      <c r="D5151" s="3" t="s">
        <v>68</v>
      </c>
      <c r="E5151" s="3" t="s">
        <v>100</v>
      </c>
      <c r="F5151" s="7">
        <v>45849.57105013594</v>
      </c>
      <c r="G5151" s="3" t="s">
        <v>15380</v>
      </c>
    </row>
    <row r="5152">
      <c r="A5152" s="3" t="s">
        <v>15581</v>
      </c>
      <c r="B5152" s="3" t="s">
        <v>4991</v>
      </c>
      <c r="C5152" s="5" t="s">
        <v>45</v>
      </c>
      <c r="D5152" s="3" t="s">
        <v>221</v>
      </c>
      <c r="E5152" s="3" t="s">
        <v>622</v>
      </c>
      <c r="F5152" s="7">
        <v>45849.6318083147</v>
      </c>
      <c r="G5152" s="3" t="s">
        <v>15583</v>
      </c>
    </row>
    <row r="5153">
      <c r="A5153" s="3" t="s">
        <v>15584</v>
      </c>
      <c r="B5153" s="3" t="s">
        <v>4991</v>
      </c>
      <c r="C5153" s="5" t="s">
        <v>221</v>
      </c>
      <c r="D5153" s="3" t="s">
        <v>614</v>
      </c>
      <c r="E5153" s="3" t="s">
        <v>118</v>
      </c>
      <c r="F5153" s="7">
        <v>45849.63528053692</v>
      </c>
      <c r="G5153" s="3" t="s">
        <v>15586</v>
      </c>
    </row>
    <row r="5154">
      <c r="A5154" s="3" t="s">
        <v>15587</v>
      </c>
      <c r="B5154" s="3" t="s">
        <v>4991</v>
      </c>
      <c r="C5154" s="5" t="s">
        <v>614</v>
      </c>
      <c r="D5154" s="3" t="s">
        <v>206</v>
      </c>
      <c r="E5154" s="3" t="s">
        <v>100</v>
      </c>
      <c r="F5154" s="7">
        <v>45849.63875275914</v>
      </c>
      <c r="G5154" s="3" t="s">
        <v>15589</v>
      </c>
    </row>
    <row r="5155">
      <c r="A5155" s="3" t="s">
        <v>15590</v>
      </c>
      <c r="B5155" s="3" t="s">
        <v>4991</v>
      </c>
      <c r="C5155" s="5" t="s">
        <v>206</v>
      </c>
      <c r="D5155" s="3" t="s">
        <v>68</v>
      </c>
      <c r="E5155" s="3" t="s">
        <v>100</v>
      </c>
      <c r="F5155" s="7">
        <v>45849.64222498136</v>
      </c>
      <c r="G5155" s="3" t="s">
        <v>15592</v>
      </c>
    </row>
    <row r="5156">
      <c r="A5156" s="3" t="s">
        <v>15593</v>
      </c>
      <c r="B5156" s="3" t="s">
        <v>4995</v>
      </c>
      <c r="C5156" s="5" t="s">
        <v>45</v>
      </c>
      <c r="D5156" s="3" t="s">
        <v>221</v>
      </c>
      <c r="E5156" s="3" t="s">
        <v>758</v>
      </c>
      <c r="F5156" s="7">
        <v>45849.7029831601</v>
      </c>
      <c r="G5156" s="3" t="s">
        <v>15595</v>
      </c>
    </row>
    <row r="5157">
      <c r="A5157" s="3" t="s">
        <v>15596</v>
      </c>
      <c r="B5157" s="3" t="s">
        <v>4995</v>
      </c>
      <c r="C5157" s="5" t="s">
        <v>221</v>
      </c>
      <c r="D5157" s="3" t="s">
        <v>614</v>
      </c>
      <c r="E5157" s="3" t="s">
        <v>118</v>
      </c>
      <c r="F5157" s="7">
        <v>45849.70645538232</v>
      </c>
      <c r="G5157" s="3" t="s">
        <v>15598</v>
      </c>
    </row>
    <row r="5158">
      <c r="A5158" s="3" t="s">
        <v>15599</v>
      </c>
      <c r="B5158" s="3" t="s">
        <v>4995</v>
      </c>
      <c r="C5158" s="5" t="s">
        <v>614</v>
      </c>
      <c r="D5158" s="3" t="s">
        <v>206</v>
      </c>
      <c r="E5158" s="3" t="s">
        <v>100</v>
      </c>
      <c r="F5158" s="7">
        <v>45849.70992760455</v>
      </c>
      <c r="G5158" s="3" t="s">
        <v>15600</v>
      </c>
    </row>
    <row r="5159">
      <c r="A5159" s="3" t="s">
        <v>15602</v>
      </c>
      <c r="B5159" s="3" t="s">
        <v>4995</v>
      </c>
      <c r="C5159" s="5" t="s">
        <v>206</v>
      </c>
      <c r="D5159" s="3" t="s">
        <v>68</v>
      </c>
      <c r="E5159" s="3" t="s">
        <v>100</v>
      </c>
      <c r="F5159" s="7">
        <v>45849.71339982677</v>
      </c>
      <c r="G5159" s="3" t="s">
        <v>15603</v>
      </c>
    </row>
    <row r="5160">
      <c r="A5160" s="3" t="s">
        <v>15604</v>
      </c>
      <c r="B5160" s="3" t="s">
        <v>4998</v>
      </c>
      <c r="C5160" s="5" t="s">
        <v>45</v>
      </c>
      <c r="D5160" s="3" t="s">
        <v>221</v>
      </c>
      <c r="E5160" s="3" t="s">
        <v>598</v>
      </c>
      <c r="F5160" s="7">
        <v>45849.77415800552</v>
      </c>
      <c r="G5160" s="3" t="s">
        <v>15606</v>
      </c>
    </row>
    <row r="5161">
      <c r="A5161" s="3" t="s">
        <v>15607</v>
      </c>
      <c r="B5161" s="3" t="s">
        <v>4998</v>
      </c>
      <c r="C5161" s="5" t="s">
        <v>221</v>
      </c>
      <c r="D5161" s="3" t="s">
        <v>614</v>
      </c>
      <c r="E5161" s="3" t="s">
        <v>118</v>
      </c>
      <c r="F5161" s="7">
        <v>45849.77763022774</v>
      </c>
      <c r="G5161" s="3" t="s">
        <v>15609</v>
      </c>
    </row>
    <row r="5162">
      <c r="A5162" s="3" t="s">
        <v>15610</v>
      </c>
      <c r="B5162" s="3" t="s">
        <v>4998</v>
      </c>
      <c r="C5162" s="5" t="s">
        <v>614</v>
      </c>
      <c r="D5162" s="3" t="s">
        <v>206</v>
      </c>
      <c r="E5162" s="3" t="s">
        <v>100</v>
      </c>
      <c r="F5162" s="7">
        <v>45849.78110244997</v>
      </c>
      <c r="G5162" s="3" t="s">
        <v>15612</v>
      </c>
    </row>
    <row r="5163">
      <c r="A5163" s="3" t="s">
        <v>15613</v>
      </c>
      <c r="B5163" s="3" t="s">
        <v>4998</v>
      </c>
      <c r="C5163" s="5" t="s">
        <v>206</v>
      </c>
      <c r="D5163" s="3" t="s">
        <v>68</v>
      </c>
      <c r="E5163" s="3" t="s">
        <v>100</v>
      </c>
      <c r="F5163" s="7">
        <v>45849.78457467219</v>
      </c>
      <c r="G5163" s="3" t="s">
        <v>15615</v>
      </c>
    </row>
    <row r="5164">
      <c r="A5164" s="3" t="s">
        <v>15616</v>
      </c>
      <c r="B5164" s="3" t="s">
        <v>5001</v>
      </c>
      <c r="C5164" s="5" t="s">
        <v>45</v>
      </c>
      <c r="D5164" s="3" t="s">
        <v>221</v>
      </c>
      <c r="E5164" s="3" t="s">
        <v>430</v>
      </c>
      <c r="F5164" s="7">
        <v>45849.84533285094</v>
      </c>
      <c r="G5164" s="3" t="s">
        <v>15618</v>
      </c>
    </row>
    <row r="5165">
      <c r="A5165" s="3" t="s">
        <v>15619</v>
      </c>
      <c r="B5165" s="3" t="s">
        <v>5001</v>
      </c>
      <c r="C5165" s="5" t="s">
        <v>221</v>
      </c>
      <c r="D5165" s="3" t="s">
        <v>614</v>
      </c>
      <c r="E5165" s="3" t="s">
        <v>118</v>
      </c>
      <c r="F5165" s="7">
        <v>45849.84880507316</v>
      </c>
      <c r="G5165" s="3" t="s">
        <v>15620</v>
      </c>
    </row>
    <row r="5166">
      <c r="A5166" s="3" t="s">
        <v>15622</v>
      </c>
      <c r="B5166" s="3" t="s">
        <v>5001</v>
      </c>
      <c r="C5166" s="5" t="s">
        <v>614</v>
      </c>
      <c r="D5166" s="3" t="s">
        <v>206</v>
      </c>
      <c r="E5166" s="3" t="s">
        <v>100</v>
      </c>
      <c r="F5166" s="7">
        <v>45849.85227729539</v>
      </c>
      <c r="G5166" s="3" t="s">
        <v>15623</v>
      </c>
    </row>
    <row r="5167">
      <c r="A5167" s="3" t="s">
        <v>15624</v>
      </c>
      <c r="B5167" s="3" t="s">
        <v>5001</v>
      </c>
      <c r="C5167" s="5" t="s">
        <v>206</v>
      </c>
      <c r="D5167" s="3" t="s">
        <v>68</v>
      </c>
      <c r="E5167" s="3" t="s">
        <v>100</v>
      </c>
      <c r="F5167" s="7">
        <v>45849.85574951761</v>
      </c>
      <c r="G5167" s="3" t="s">
        <v>15626</v>
      </c>
    </row>
    <row r="5168">
      <c r="A5168" s="3" t="s">
        <v>15627</v>
      </c>
      <c r="B5168" s="3" t="s">
        <v>5005</v>
      </c>
      <c r="C5168" s="5" t="s">
        <v>45</v>
      </c>
      <c r="D5168" s="3" t="s">
        <v>221</v>
      </c>
      <c r="E5168" s="3" t="s">
        <v>356</v>
      </c>
      <c r="F5168" s="7">
        <v>45849.916507696355</v>
      </c>
      <c r="G5168" s="3" t="s">
        <v>15629</v>
      </c>
    </row>
    <row r="5169">
      <c r="A5169" s="3" t="s">
        <v>15630</v>
      </c>
      <c r="B5169" s="3" t="s">
        <v>5005</v>
      </c>
      <c r="C5169" s="5" t="s">
        <v>221</v>
      </c>
      <c r="D5169" s="3" t="s">
        <v>614</v>
      </c>
      <c r="E5169" s="3" t="s">
        <v>118</v>
      </c>
      <c r="F5169" s="7">
        <v>45849.91997991857</v>
      </c>
      <c r="G5169" s="3" t="s">
        <v>15632</v>
      </c>
    </row>
    <row r="5170">
      <c r="A5170" s="3" t="s">
        <v>15633</v>
      </c>
      <c r="B5170" s="3" t="s">
        <v>5005</v>
      </c>
      <c r="C5170" s="5" t="s">
        <v>614</v>
      </c>
      <c r="D5170" s="3" t="s">
        <v>206</v>
      </c>
      <c r="E5170" s="3" t="s">
        <v>100</v>
      </c>
      <c r="F5170" s="7">
        <v>45849.9234521408</v>
      </c>
      <c r="G5170" s="3" t="s">
        <v>15634</v>
      </c>
    </row>
    <row r="5171">
      <c r="A5171" s="3" t="s">
        <v>15635</v>
      </c>
      <c r="B5171" s="3" t="s">
        <v>5005</v>
      </c>
      <c r="C5171" s="5" t="s">
        <v>206</v>
      </c>
      <c r="D5171" s="3" t="s">
        <v>68</v>
      </c>
      <c r="E5171" s="3" t="s">
        <v>100</v>
      </c>
      <c r="F5171" s="7">
        <v>45849.92692436302</v>
      </c>
      <c r="G5171" s="3" t="s">
        <v>15637</v>
      </c>
    </row>
    <row r="5172">
      <c r="A5172" s="3" t="s">
        <v>15638</v>
      </c>
      <c r="B5172" s="3" t="s">
        <v>5007</v>
      </c>
      <c r="C5172" s="5" t="s">
        <v>45</v>
      </c>
      <c r="D5172" s="3" t="s">
        <v>221</v>
      </c>
      <c r="E5172" s="3" t="s">
        <v>496</v>
      </c>
      <c r="F5172" s="7">
        <v>45849.98768254177</v>
      </c>
      <c r="G5172" s="3" t="s">
        <v>3807</v>
      </c>
    </row>
    <row r="5173">
      <c r="A5173" s="3" t="s">
        <v>15640</v>
      </c>
      <c r="B5173" s="3" t="s">
        <v>5007</v>
      </c>
      <c r="C5173" s="5" t="s">
        <v>221</v>
      </c>
      <c r="D5173" s="3" t="s">
        <v>181</v>
      </c>
      <c r="E5173" s="3" t="s">
        <v>118</v>
      </c>
      <c r="F5173" s="7">
        <v>45849.991154763986</v>
      </c>
      <c r="G5173" s="3" t="s">
        <v>15642</v>
      </c>
    </row>
    <row r="5174">
      <c r="A5174" s="3" t="s">
        <v>15643</v>
      </c>
      <c r="B5174" s="3" t="s">
        <v>5010</v>
      </c>
      <c r="C5174" s="5" t="s">
        <v>45</v>
      </c>
      <c r="D5174" s="3" t="s">
        <v>221</v>
      </c>
      <c r="E5174" s="3" t="s">
        <v>756</v>
      </c>
      <c r="F5174" s="7">
        <v>45850.05885738719</v>
      </c>
      <c r="G5174" s="3" t="s">
        <v>2770</v>
      </c>
    </row>
    <row r="5175">
      <c r="A5175" s="3" t="s">
        <v>15644</v>
      </c>
      <c r="B5175" s="3" t="s">
        <v>5010</v>
      </c>
      <c r="C5175" s="5" t="s">
        <v>221</v>
      </c>
      <c r="D5175" s="3" t="s">
        <v>195</v>
      </c>
      <c r="E5175" s="3" t="s">
        <v>756</v>
      </c>
      <c r="F5175" s="7">
        <v>45850.062329609405</v>
      </c>
      <c r="G5175" s="3" t="s">
        <v>3055</v>
      </c>
    </row>
    <row r="5176">
      <c r="A5176" s="3" t="s">
        <v>15646</v>
      </c>
      <c r="B5176" s="3" t="s">
        <v>5013</v>
      </c>
      <c r="C5176" s="5" t="s">
        <v>45</v>
      </c>
      <c r="D5176" s="3" t="s">
        <v>221</v>
      </c>
      <c r="E5176" s="3" t="s">
        <v>130</v>
      </c>
      <c r="F5176" s="7">
        <v>45850.1300322326</v>
      </c>
      <c r="G5176" s="3" t="s">
        <v>2770</v>
      </c>
    </row>
    <row r="5177">
      <c r="A5177" s="3" t="s">
        <v>15648</v>
      </c>
      <c r="B5177" s="3" t="s">
        <v>5013</v>
      </c>
      <c r="C5177" s="5" t="s">
        <v>221</v>
      </c>
      <c r="D5177" s="3" t="s">
        <v>181</v>
      </c>
      <c r="E5177" s="3" t="s">
        <v>118</v>
      </c>
      <c r="F5177" s="7">
        <v>45850.13350445482</v>
      </c>
      <c r="G5177" s="3" t="s">
        <v>2774</v>
      </c>
    </row>
    <row r="5178">
      <c r="A5178" s="3" t="s">
        <v>15650</v>
      </c>
      <c r="B5178" s="3" t="s">
        <v>5016</v>
      </c>
      <c r="C5178" s="5" t="s">
        <v>45</v>
      </c>
      <c r="D5178" s="3" t="s">
        <v>221</v>
      </c>
      <c r="E5178" s="3" t="s">
        <v>313</v>
      </c>
      <c r="F5178" s="7">
        <v>45850.20120707801</v>
      </c>
      <c r="G5178" s="3" t="s">
        <v>6985</v>
      </c>
    </row>
    <row r="5179">
      <c r="A5179" s="3" t="s">
        <v>15652</v>
      </c>
      <c r="B5179" s="3" t="s">
        <v>5016</v>
      </c>
      <c r="C5179" s="5" t="s">
        <v>221</v>
      </c>
      <c r="D5179" s="3" t="s">
        <v>614</v>
      </c>
      <c r="E5179" s="3" t="s">
        <v>118</v>
      </c>
      <c r="F5179" s="7">
        <v>45850.20467930023</v>
      </c>
      <c r="G5179" s="3" t="s">
        <v>6987</v>
      </c>
    </row>
    <row r="5180">
      <c r="A5180" s="3" t="s">
        <v>15654</v>
      </c>
      <c r="B5180" s="3" t="s">
        <v>5016</v>
      </c>
      <c r="C5180" s="5" t="s">
        <v>614</v>
      </c>
      <c r="D5180" s="3" t="s">
        <v>206</v>
      </c>
      <c r="E5180" s="3" t="s">
        <v>100</v>
      </c>
      <c r="F5180" s="7">
        <v>45850.208151522456</v>
      </c>
      <c r="G5180" s="3" t="s">
        <v>6990</v>
      </c>
    </row>
    <row r="5181">
      <c r="A5181" s="3" t="s">
        <v>15656</v>
      </c>
      <c r="B5181" s="3" t="s">
        <v>5016</v>
      </c>
      <c r="C5181" s="5" t="s">
        <v>206</v>
      </c>
      <c r="D5181" s="3" t="s">
        <v>68</v>
      </c>
      <c r="E5181" s="3" t="s">
        <v>100</v>
      </c>
      <c r="F5181" s="7">
        <v>45850.211623744675</v>
      </c>
      <c r="G5181" s="3" t="s">
        <v>6993</v>
      </c>
    </row>
    <row r="5182">
      <c r="A5182" s="3" t="s">
        <v>15657</v>
      </c>
      <c r="B5182" s="3" t="s">
        <v>5020</v>
      </c>
      <c r="C5182" s="5" t="s">
        <v>45</v>
      </c>
      <c r="D5182" s="3" t="s">
        <v>221</v>
      </c>
      <c r="E5182" s="3" t="s">
        <v>637</v>
      </c>
      <c r="F5182" s="7">
        <v>45850.27238192343</v>
      </c>
      <c r="G5182" s="3" t="s">
        <v>15659</v>
      </c>
    </row>
    <row r="5183">
      <c r="A5183" s="3" t="s">
        <v>15660</v>
      </c>
      <c r="B5183" s="3" t="s">
        <v>5020</v>
      </c>
      <c r="C5183" s="5" t="s">
        <v>221</v>
      </c>
      <c r="D5183" s="3" t="s">
        <v>614</v>
      </c>
      <c r="E5183" s="3" t="s">
        <v>118</v>
      </c>
      <c r="F5183" s="7">
        <v>45850.27585414565</v>
      </c>
      <c r="G5183" s="3" t="s">
        <v>15662</v>
      </c>
    </row>
    <row r="5184">
      <c r="A5184" s="3" t="s">
        <v>15663</v>
      </c>
      <c r="B5184" s="3" t="s">
        <v>5020</v>
      </c>
      <c r="C5184" s="5" t="s">
        <v>614</v>
      </c>
      <c r="D5184" s="3" t="s">
        <v>206</v>
      </c>
      <c r="E5184" s="3" t="s">
        <v>100</v>
      </c>
      <c r="F5184" s="7">
        <v>45850.279326367876</v>
      </c>
      <c r="G5184" s="3" t="s">
        <v>15665</v>
      </c>
    </row>
    <row r="5185">
      <c r="A5185" s="3" t="s">
        <v>15666</v>
      </c>
      <c r="B5185" s="3" t="s">
        <v>5020</v>
      </c>
      <c r="C5185" s="5" t="s">
        <v>206</v>
      </c>
      <c r="D5185" s="3" t="s">
        <v>68</v>
      </c>
      <c r="E5185" s="3" t="s">
        <v>100</v>
      </c>
      <c r="F5185" s="7">
        <v>45850.282798590095</v>
      </c>
      <c r="G5185" s="3" t="s">
        <v>15667</v>
      </c>
    </row>
    <row r="5186">
      <c r="A5186" s="3" t="s">
        <v>15669</v>
      </c>
      <c r="B5186" s="3" t="s">
        <v>5023</v>
      </c>
      <c r="C5186" s="5" t="s">
        <v>45</v>
      </c>
      <c r="D5186" s="3" t="s">
        <v>221</v>
      </c>
      <c r="E5186" s="3" t="s">
        <v>691</v>
      </c>
      <c r="F5186" s="7">
        <v>45850.34355676884</v>
      </c>
      <c r="G5186" s="3" t="s">
        <v>15672</v>
      </c>
    </row>
    <row r="5187">
      <c r="A5187" s="3" t="s">
        <v>15673</v>
      </c>
      <c r="B5187" s="3" t="s">
        <v>5023</v>
      </c>
      <c r="C5187" s="5" t="s">
        <v>221</v>
      </c>
      <c r="D5187" s="3" t="s">
        <v>614</v>
      </c>
      <c r="E5187" s="3" t="s">
        <v>118</v>
      </c>
      <c r="F5187" s="7">
        <v>45850.34702899106</v>
      </c>
      <c r="G5187" s="3" t="s">
        <v>15675</v>
      </c>
    </row>
    <row r="5188">
      <c r="A5188" s="3" t="s">
        <v>15676</v>
      </c>
      <c r="B5188" s="3" t="s">
        <v>5023</v>
      </c>
      <c r="C5188" s="5" t="s">
        <v>614</v>
      </c>
      <c r="D5188" s="3" t="s">
        <v>206</v>
      </c>
      <c r="E5188" s="3" t="s">
        <v>100</v>
      </c>
      <c r="F5188" s="7">
        <v>45850.35050121329</v>
      </c>
      <c r="G5188" s="3" t="s">
        <v>15677</v>
      </c>
    </row>
    <row r="5189">
      <c r="A5189" s="3" t="s">
        <v>15679</v>
      </c>
      <c r="B5189" s="3" t="s">
        <v>5023</v>
      </c>
      <c r="C5189" s="5" t="s">
        <v>206</v>
      </c>
      <c r="D5189" s="3" t="s">
        <v>68</v>
      </c>
      <c r="E5189" s="3" t="s">
        <v>100</v>
      </c>
      <c r="F5189" s="7">
        <v>45850.35397343551</v>
      </c>
      <c r="G5189" s="3" t="s">
        <v>15680</v>
      </c>
    </row>
    <row r="5190">
      <c r="A5190" s="3" t="s">
        <v>15681</v>
      </c>
      <c r="B5190" s="3" t="s">
        <v>5027</v>
      </c>
      <c r="C5190" s="5" t="s">
        <v>45</v>
      </c>
      <c r="D5190" s="3" t="s">
        <v>221</v>
      </c>
      <c r="E5190" s="3" t="s">
        <v>826</v>
      </c>
      <c r="F5190" s="7">
        <v>45850.414731614255</v>
      </c>
      <c r="G5190" s="3" t="s">
        <v>15683</v>
      </c>
    </row>
    <row r="5191">
      <c r="A5191" s="3" t="s">
        <v>15684</v>
      </c>
      <c r="B5191" s="3" t="s">
        <v>5027</v>
      </c>
      <c r="C5191" s="5" t="s">
        <v>221</v>
      </c>
      <c r="D5191" s="3" t="s">
        <v>614</v>
      </c>
      <c r="E5191" s="3" t="s">
        <v>118</v>
      </c>
      <c r="F5191" s="7">
        <v>45850.418203836474</v>
      </c>
      <c r="G5191" s="3" t="s">
        <v>15686</v>
      </c>
    </row>
    <row r="5192">
      <c r="A5192" s="3" t="s">
        <v>15687</v>
      </c>
      <c r="B5192" s="3" t="s">
        <v>5027</v>
      </c>
      <c r="C5192" s="5" t="s">
        <v>614</v>
      </c>
      <c r="D5192" s="3" t="s">
        <v>206</v>
      </c>
      <c r="E5192" s="3" t="s">
        <v>100</v>
      </c>
      <c r="F5192" s="7">
        <v>45850.4216760587</v>
      </c>
      <c r="G5192" s="3" t="s">
        <v>15689</v>
      </c>
    </row>
    <row r="5193">
      <c r="A5193" s="3" t="s">
        <v>15690</v>
      </c>
      <c r="B5193" s="3" t="s">
        <v>5027</v>
      </c>
      <c r="C5193" s="5" t="s">
        <v>206</v>
      </c>
      <c r="D5193" s="3" t="s">
        <v>68</v>
      </c>
      <c r="E5193" s="3" t="s">
        <v>100</v>
      </c>
      <c r="F5193" s="7">
        <v>45850.42514828092</v>
      </c>
      <c r="G5193" s="3" t="s">
        <v>15691</v>
      </c>
    </row>
    <row r="5194">
      <c r="A5194" s="3" t="s">
        <v>15693</v>
      </c>
      <c r="B5194" s="3" t="s">
        <v>5030</v>
      </c>
      <c r="C5194" s="5" t="s">
        <v>45</v>
      </c>
      <c r="D5194" s="3" t="s">
        <v>221</v>
      </c>
      <c r="E5194" s="3" t="s">
        <v>752</v>
      </c>
      <c r="F5194" s="7">
        <v>45850.485906459675</v>
      </c>
      <c r="G5194" s="3" t="s">
        <v>15694</v>
      </c>
    </row>
    <row r="5195">
      <c r="A5195" s="3" t="s">
        <v>15695</v>
      </c>
      <c r="B5195" s="3" t="s">
        <v>5030</v>
      </c>
      <c r="C5195" s="5" t="s">
        <v>221</v>
      </c>
      <c r="D5195" s="3" t="s">
        <v>614</v>
      </c>
      <c r="E5195" s="3" t="s">
        <v>118</v>
      </c>
      <c r="F5195" s="7">
        <v>45850.489378681894</v>
      </c>
      <c r="G5195" s="3" t="s">
        <v>15696</v>
      </c>
    </row>
    <row r="5196">
      <c r="A5196" s="3" t="s">
        <v>15697</v>
      </c>
      <c r="B5196" s="3" t="s">
        <v>5030</v>
      </c>
      <c r="C5196" s="5" t="s">
        <v>614</v>
      </c>
      <c r="D5196" s="3" t="s">
        <v>206</v>
      </c>
      <c r="E5196" s="3" t="s">
        <v>100</v>
      </c>
      <c r="F5196" s="7">
        <v>45850.49285090412</v>
      </c>
      <c r="G5196" s="3" t="s">
        <v>15698</v>
      </c>
    </row>
    <row r="5197">
      <c r="A5197" s="3" t="s">
        <v>15700</v>
      </c>
      <c r="B5197" s="3" t="s">
        <v>5030</v>
      </c>
      <c r="C5197" s="5" t="s">
        <v>206</v>
      </c>
      <c r="D5197" s="3" t="s">
        <v>68</v>
      </c>
      <c r="E5197" s="3" t="s">
        <v>100</v>
      </c>
      <c r="F5197" s="7">
        <v>45850.49632312634</v>
      </c>
      <c r="G5197" s="3" t="s">
        <v>15701</v>
      </c>
    </row>
    <row r="5198">
      <c r="A5198" s="3" t="s">
        <v>15703</v>
      </c>
      <c r="B5198" s="3" t="s">
        <v>5033</v>
      </c>
      <c r="C5198" s="5" t="s">
        <v>45</v>
      </c>
      <c r="D5198" s="3" t="s">
        <v>221</v>
      </c>
      <c r="E5198" s="3" t="s">
        <v>162</v>
      </c>
      <c r="F5198" s="7">
        <v>45850.557081305094</v>
      </c>
      <c r="G5198" s="3" t="s">
        <v>15704</v>
      </c>
    </row>
    <row r="5199">
      <c r="A5199" s="3" t="s">
        <v>15705</v>
      </c>
      <c r="B5199" s="3" t="s">
        <v>5033</v>
      </c>
      <c r="C5199" s="5" t="s">
        <v>221</v>
      </c>
      <c r="D5199" s="3" t="s">
        <v>614</v>
      </c>
      <c r="E5199" s="3" t="s">
        <v>118</v>
      </c>
      <c r="F5199" s="7">
        <v>45850.56055352731</v>
      </c>
      <c r="G5199" s="3" t="s">
        <v>15707</v>
      </c>
    </row>
    <row r="5200">
      <c r="A5200" s="3" t="s">
        <v>15708</v>
      </c>
      <c r="B5200" s="3" t="s">
        <v>5033</v>
      </c>
      <c r="C5200" s="5" t="s">
        <v>614</v>
      </c>
      <c r="D5200" s="3" t="s">
        <v>206</v>
      </c>
      <c r="E5200" s="3" t="s">
        <v>100</v>
      </c>
      <c r="F5200" s="7">
        <v>45850.56402574954</v>
      </c>
      <c r="G5200" s="3" t="s">
        <v>15710</v>
      </c>
    </row>
    <row r="5201">
      <c r="A5201" s="3" t="s">
        <v>15711</v>
      </c>
      <c r="B5201" s="3" t="s">
        <v>5033</v>
      </c>
      <c r="C5201" s="5" t="s">
        <v>206</v>
      </c>
      <c r="D5201" s="3" t="s">
        <v>68</v>
      </c>
      <c r="E5201" s="3" t="s">
        <v>100</v>
      </c>
      <c r="F5201" s="7">
        <v>45850.56749797176</v>
      </c>
      <c r="G5201" s="3" t="s">
        <v>15713</v>
      </c>
    </row>
    <row r="5202">
      <c r="A5202" s="3" t="s">
        <v>15714</v>
      </c>
      <c r="B5202" s="3" t="s">
        <v>5036</v>
      </c>
      <c r="C5202" s="5" t="s">
        <v>45</v>
      </c>
      <c r="D5202" s="3" t="s">
        <v>221</v>
      </c>
      <c r="E5202" s="3" t="s">
        <v>685</v>
      </c>
      <c r="F5202" s="7">
        <v>45850.6282561505</v>
      </c>
      <c r="G5202" s="3" t="s">
        <v>5019</v>
      </c>
    </row>
    <row r="5203">
      <c r="A5203" s="3" t="s">
        <v>15716</v>
      </c>
      <c r="B5203" s="3" t="s">
        <v>5036</v>
      </c>
      <c r="C5203" s="5" t="s">
        <v>221</v>
      </c>
      <c r="D5203" s="3" t="s">
        <v>614</v>
      </c>
      <c r="E5203" s="3" t="s">
        <v>118</v>
      </c>
      <c r="F5203" s="7">
        <v>45850.63172837272</v>
      </c>
      <c r="G5203" s="3" t="s">
        <v>5022</v>
      </c>
    </row>
    <row r="5204">
      <c r="A5204" s="3" t="s">
        <v>15718</v>
      </c>
      <c r="B5204" s="3" t="s">
        <v>5036</v>
      </c>
      <c r="C5204" s="5" t="s">
        <v>614</v>
      </c>
      <c r="D5204" s="3" t="s">
        <v>206</v>
      </c>
      <c r="E5204" s="3" t="s">
        <v>100</v>
      </c>
      <c r="F5204" s="7">
        <v>45850.635200594945</v>
      </c>
      <c r="G5204" s="3" t="s">
        <v>5025</v>
      </c>
    </row>
    <row r="5205">
      <c r="A5205" s="3" t="s">
        <v>15720</v>
      </c>
      <c r="B5205" s="3" t="s">
        <v>5036</v>
      </c>
      <c r="C5205" s="5" t="s">
        <v>206</v>
      </c>
      <c r="D5205" s="3" t="s">
        <v>68</v>
      </c>
      <c r="E5205" s="3" t="s">
        <v>100</v>
      </c>
      <c r="F5205" s="7">
        <v>45850.638672817164</v>
      </c>
      <c r="G5205" s="3" t="s">
        <v>5028</v>
      </c>
    </row>
    <row r="5206">
      <c r="A5206" s="3" t="s">
        <v>15722</v>
      </c>
      <c r="B5206" s="3" t="s">
        <v>5039</v>
      </c>
      <c r="C5206" s="5" t="s">
        <v>45</v>
      </c>
      <c r="D5206" s="3" t="s">
        <v>221</v>
      </c>
      <c r="E5206" s="3" t="s">
        <v>672</v>
      </c>
      <c r="F5206" s="7">
        <v>45850.69943099592</v>
      </c>
      <c r="G5206" s="3" t="s">
        <v>15723</v>
      </c>
    </row>
    <row r="5207">
      <c r="A5207" s="3" t="s">
        <v>15725</v>
      </c>
      <c r="B5207" s="3" t="s">
        <v>5039</v>
      </c>
      <c r="C5207" s="5" t="s">
        <v>221</v>
      </c>
      <c r="D5207" s="3" t="s">
        <v>614</v>
      </c>
      <c r="E5207" s="3" t="s">
        <v>118</v>
      </c>
      <c r="F5207" s="7">
        <v>45850.70290321814</v>
      </c>
      <c r="G5207" s="3" t="s">
        <v>15726</v>
      </c>
    </row>
    <row r="5208">
      <c r="A5208" s="3" t="s">
        <v>15727</v>
      </c>
      <c r="B5208" s="3" t="s">
        <v>5039</v>
      </c>
      <c r="C5208" s="5" t="s">
        <v>614</v>
      </c>
      <c r="D5208" s="3" t="s">
        <v>206</v>
      </c>
      <c r="E5208" s="3" t="s">
        <v>100</v>
      </c>
      <c r="F5208" s="7">
        <v>45850.706375440364</v>
      </c>
      <c r="G5208" s="3" t="s">
        <v>15728</v>
      </c>
    </row>
    <row r="5209">
      <c r="A5209" s="3" t="s">
        <v>15729</v>
      </c>
      <c r="B5209" s="3" t="s">
        <v>5039</v>
      </c>
      <c r="C5209" s="5" t="s">
        <v>206</v>
      </c>
      <c r="D5209" s="3" t="s">
        <v>68</v>
      </c>
      <c r="E5209" s="3" t="s">
        <v>100</v>
      </c>
      <c r="F5209" s="7">
        <v>45850.70984766258</v>
      </c>
      <c r="G5209" s="3" t="s">
        <v>15731</v>
      </c>
    </row>
    <row r="5210">
      <c r="A5210" s="3" t="s">
        <v>15732</v>
      </c>
      <c r="B5210" s="3" t="s">
        <v>5042</v>
      </c>
      <c r="C5210" s="5" t="s">
        <v>45</v>
      </c>
      <c r="D5210" s="3" t="s">
        <v>221</v>
      </c>
      <c r="E5210" s="3" t="s">
        <v>230</v>
      </c>
      <c r="F5210" s="7">
        <v>45850.77060584134</v>
      </c>
      <c r="G5210" s="3" t="s">
        <v>15734</v>
      </c>
    </row>
    <row r="5211">
      <c r="A5211" s="3" t="s">
        <v>15735</v>
      </c>
      <c r="B5211" s="3" t="s">
        <v>5042</v>
      </c>
      <c r="C5211" s="5" t="s">
        <v>221</v>
      </c>
      <c r="D5211" s="3" t="s">
        <v>614</v>
      </c>
      <c r="E5211" s="3" t="s">
        <v>118</v>
      </c>
      <c r="F5211" s="7">
        <v>45850.77407806356</v>
      </c>
      <c r="G5211" s="3" t="s">
        <v>15737</v>
      </c>
    </row>
    <row r="5212">
      <c r="A5212" s="3" t="s">
        <v>15738</v>
      </c>
      <c r="B5212" s="3" t="s">
        <v>5042</v>
      </c>
      <c r="C5212" s="5" t="s">
        <v>614</v>
      </c>
      <c r="D5212" s="3" t="s">
        <v>206</v>
      </c>
      <c r="E5212" s="3" t="s">
        <v>100</v>
      </c>
      <c r="F5212" s="7">
        <v>45850.777550285784</v>
      </c>
      <c r="G5212" s="3" t="s">
        <v>15740</v>
      </c>
    </row>
    <row r="5213">
      <c r="A5213" s="3" t="s">
        <v>15741</v>
      </c>
      <c r="B5213" s="3" t="s">
        <v>5042</v>
      </c>
      <c r="C5213" s="5" t="s">
        <v>206</v>
      </c>
      <c r="D5213" s="3" t="s">
        <v>68</v>
      </c>
      <c r="E5213" s="3" t="s">
        <v>100</v>
      </c>
      <c r="F5213" s="7">
        <v>45850.781022508</v>
      </c>
      <c r="G5213" s="3" t="s">
        <v>15743</v>
      </c>
    </row>
    <row r="5214">
      <c r="A5214" s="3" t="s">
        <v>15744</v>
      </c>
      <c r="B5214" s="3" t="s">
        <v>5045</v>
      </c>
      <c r="C5214" s="5" t="s">
        <v>45</v>
      </c>
      <c r="D5214" s="3" t="s">
        <v>221</v>
      </c>
      <c r="E5214" s="3" t="s">
        <v>911</v>
      </c>
      <c r="F5214" s="7">
        <v>45850.84178068675</v>
      </c>
      <c r="G5214" s="3" t="s">
        <v>15745</v>
      </c>
    </row>
    <row r="5215">
      <c r="A5215" s="3" t="s">
        <v>15747</v>
      </c>
      <c r="B5215" s="3" t="s">
        <v>5045</v>
      </c>
      <c r="C5215" s="5" t="s">
        <v>221</v>
      </c>
      <c r="D5215" s="3" t="s">
        <v>614</v>
      </c>
      <c r="E5215" s="3" t="s">
        <v>118</v>
      </c>
      <c r="F5215" s="7">
        <v>45850.84525290897</v>
      </c>
      <c r="G5215" s="3" t="s">
        <v>15748</v>
      </c>
    </row>
    <row r="5216">
      <c r="A5216" s="3" t="s">
        <v>15749</v>
      </c>
      <c r="B5216" s="3" t="s">
        <v>5045</v>
      </c>
      <c r="C5216" s="5" t="s">
        <v>614</v>
      </c>
      <c r="D5216" s="3" t="s">
        <v>206</v>
      </c>
      <c r="E5216" s="3" t="s">
        <v>100</v>
      </c>
      <c r="F5216" s="7">
        <v>45850.848725131196</v>
      </c>
      <c r="G5216" s="3" t="s">
        <v>15751</v>
      </c>
    </row>
    <row r="5217">
      <c r="A5217" s="3" t="s">
        <v>15752</v>
      </c>
      <c r="B5217" s="3" t="s">
        <v>5045</v>
      </c>
      <c r="C5217" s="5" t="s">
        <v>206</v>
      </c>
      <c r="D5217" s="3" t="s">
        <v>68</v>
      </c>
      <c r="E5217" s="3" t="s">
        <v>100</v>
      </c>
      <c r="F5217" s="7">
        <v>45850.852197353415</v>
      </c>
      <c r="G5217" s="3" t="s">
        <v>15754</v>
      </c>
    </row>
    <row r="5218">
      <c r="A5218" s="3" t="s">
        <v>15755</v>
      </c>
      <c r="B5218" s="3" t="s">
        <v>5048</v>
      </c>
      <c r="C5218" s="5" t="s">
        <v>45</v>
      </c>
      <c r="D5218" s="3" t="s">
        <v>221</v>
      </c>
      <c r="E5218" s="3" t="s">
        <v>377</v>
      </c>
      <c r="F5218" s="7">
        <v>45850.91295553216</v>
      </c>
      <c r="G5218" s="3" t="s">
        <v>15757</v>
      </c>
    </row>
    <row r="5219">
      <c r="A5219" s="3" t="s">
        <v>15758</v>
      </c>
      <c r="B5219" s="3" t="s">
        <v>5048</v>
      </c>
      <c r="C5219" s="5" t="s">
        <v>221</v>
      </c>
      <c r="D5219" s="3" t="s">
        <v>614</v>
      </c>
      <c r="E5219" s="3" t="s">
        <v>118</v>
      </c>
      <c r="F5219" s="7">
        <v>45850.91642775438</v>
      </c>
      <c r="G5219" s="3" t="s">
        <v>15760</v>
      </c>
    </row>
    <row r="5220">
      <c r="A5220" s="3" t="s">
        <v>15761</v>
      </c>
      <c r="B5220" s="3" t="s">
        <v>5048</v>
      </c>
      <c r="C5220" s="5" t="s">
        <v>614</v>
      </c>
      <c r="D5220" s="3" t="s">
        <v>206</v>
      </c>
      <c r="E5220" s="3" t="s">
        <v>100</v>
      </c>
      <c r="F5220" s="7">
        <v>45850.91989997661</v>
      </c>
      <c r="G5220" s="3" t="s">
        <v>15762</v>
      </c>
    </row>
    <row r="5221">
      <c r="A5221" s="3" t="s">
        <v>15763</v>
      </c>
      <c r="B5221" s="3" t="s">
        <v>5048</v>
      </c>
      <c r="C5221" s="5" t="s">
        <v>206</v>
      </c>
      <c r="D5221" s="3" t="s">
        <v>68</v>
      </c>
      <c r="E5221" s="3" t="s">
        <v>100</v>
      </c>
      <c r="F5221" s="7">
        <v>45850.92337219883</v>
      </c>
      <c r="G5221" s="3" t="s">
        <v>15765</v>
      </c>
    </row>
    <row r="5222">
      <c r="A5222" s="3" t="s">
        <v>15766</v>
      </c>
      <c r="B5222" s="3" t="s">
        <v>5051</v>
      </c>
      <c r="C5222" s="5" t="s">
        <v>45</v>
      </c>
      <c r="D5222" s="3" t="s">
        <v>221</v>
      </c>
      <c r="E5222" s="3" t="s">
        <v>290</v>
      </c>
      <c r="F5222" s="7">
        <v>45850.98413037758</v>
      </c>
      <c r="G5222" s="3" t="s">
        <v>15520</v>
      </c>
    </row>
    <row r="5223">
      <c r="A5223" s="3" t="s">
        <v>15768</v>
      </c>
      <c r="B5223" s="3" t="s">
        <v>5051</v>
      </c>
      <c r="C5223" s="5" t="s">
        <v>221</v>
      </c>
      <c r="D5223" s="3" t="s">
        <v>614</v>
      </c>
      <c r="E5223" s="3" t="s">
        <v>118</v>
      </c>
      <c r="F5223" s="7">
        <v>45850.9876025998</v>
      </c>
      <c r="G5223" s="3" t="s">
        <v>15523</v>
      </c>
    </row>
    <row r="5224">
      <c r="A5224" s="3" t="s">
        <v>15770</v>
      </c>
      <c r="B5224" s="3" t="s">
        <v>5051</v>
      </c>
      <c r="C5224" s="5" t="s">
        <v>614</v>
      </c>
      <c r="D5224" s="3" t="s">
        <v>206</v>
      </c>
      <c r="E5224" s="3" t="s">
        <v>100</v>
      </c>
      <c r="F5224" s="7">
        <v>45850.99107482203</v>
      </c>
      <c r="G5224" s="3" t="s">
        <v>15526</v>
      </c>
    </row>
    <row r="5225">
      <c r="A5225" s="3" t="s">
        <v>15772</v>
      </c>
      <c r="B5225" s="3" t="s">
        <v>5051</v>
      </c>
      <c r="C5225" s="5" t="s">
        <v>206</v>
      </c>
      <c r="D5225" s="3" t="s">
        <v>68</v>
      </c>
      <c r="E5225" s="3" t="s">
        <v>100</v>
      </c>
      <c r="F5225" s="7">
        <v>45850.99454704425</v>
      </c>
      <c r="G5225" s="3" t="s">
        <v>15528</v>
      </c>
    </row>
    <row r="5226">
      <c r="A5226" s="3" t="s">
        <v>15773</v>
      </c>
      <c r="B5226" s="3" t="s">
        <v>5054</v>
      </c>
      <c r="C5226" s="5" t="s">
        <v>45</v>
      </c>
      <c r="D5226" s="3" t="s">
        <v>221</v>
      </c>
      <c r="E5226" s="3" t="s">
        <v>466</v>
      </c>
      <c r="F5226" s="7">
        <v>45851.055305222995</v>
      </c>
      <c r="G5226" s="3" t="s">
        <v>7670</v>
      </c>
    </row>
    <row r="5227">
      <c r="A5227" s="3" t="s">
        <v>15775</v>
      </c>
      <c r="B5227" s="3" t="s">
        <v>5054</v>
      </c>
      <c r="C5227" s="5" t="s">
        <v>221</v>
      </c>
      <c r="D5227" s="3" t="s">
        <v>614</v>
      </c>
      <c r="E5227" s="3" t="s">
        <v>118</v>
      </c>
      <c r="F5227" s="7">
        <v>45851.058777445214</v>
      </c>
      <c r="G5227" s="3" t="s">
        <v>7673</v>
      </c>
    </row>
    <row r="5228">
      <c r="A5228" s="3" t="s">
        <v>15777</v>
      </c>
      <c r="B5228" s="3" t="s">
        <v>5054</v>
      </c>
      <c r="C5228" s="5" t="s">
        <v>614</v>
      </c>
      <c r="D5228" s="3" t="s">
        <v>206</v>
      </c>
      <c r="E5228" s="3" t="s">
        <v>100</v>
      </c>
      <c r="F5228" s="7">
        <v>45851.06224966744</v>
      </c>
      <c r="G5228" s="3" t="s">
        <v>7676</v>
      </c>
    </row>
    <row r="5229">
      <c r="A5229" s="3" t="s">
        <v>15779</v>
      </c>
      <c r="B5229" s="3" t="s">
        <v>5054</v>
      </c>
      <c r="C5229" s="5" t="s">
        <v>206</v>
      </c>
      <c r="D5229" s="3" t="s">
        <v>68</v>
      </c>
      <c r="E5229" s="3" t="s">
        <v>100</v>
      </c>
      <c r="F5229" s="7">
        <v>45851.06572188966</v>
      </c>
      <c r="G5229" s="3" t="s">
        <v>7679</v>
      </c>
    </row>
    <row r="5230">
      <c r="A5230" s="3" t="s">
        <v>15781</v>
      </c>
      <c r="B5230" s="3" t="s">
        <v>5057</v>
      </c>
      <c r="C5230" s="5" t="s">
        <v>45</v>
      </c>
      <c r="D5230" s="3" t="s">
        <v>221</v>
      </c>
      <c r="E5230" s="3" t="s">
        <v>584</v>
      </c>
      <c r="F5230" s="7">
        <v>45851.12648006841</v>
      </c>
      <c r="G5230" s="3" t="s">
        <v>5992</v>
      </c>
    </row>
    <row r="5231">
      <c r="A5231" s="3" t="s">
        <v>15783</v>
      </c>
      <c r="B5231" s="3" t="s">
        <v>5057</v>
      </c>
      <c r="C5231" s="5" t="s">
        <v>221</v>
      </c>
      <c r="D5231" s="3" t="s">
        <v>614</v>
      </c>
      <c r="E5231" s="3" t="s">
        <v>118</v>
      </c>
      <c r="F5231" s="7">
        <v>45851.12995229063</v>
      </c>
      <c r="G5231" s="3" t="s">
        <v>15785</v>
      </c>
    </row>
    <row r="5232">
      <c r="A5232" s="3" t="s">
        <v>15787</v>
      </c>
      <c r="B5232" s="3" t="s">
        <v>5057</v>
      </c>
      <c r="C5232" s="5" t="s">
        <v>614</v>
      </c>
      <c r="D5232" s="3" t="s">
        <v>206</v>
      </c>
      <c r="E5232" s="3" t="s">
        <v>100</v>
      </c>
      <c r="F5232" s="7">
        <v>45851.13342451285</v>
      </c>
      <c r="G5232" s="3" t="s">
        <v>15788</v>
      </c>
    </row>
    <row r="5233">
      <c r="A5233" s="3" t="s">
        <v>15789</v>
      </c>
      <c r="B5233" s="3" t="s">
        <v>5057</v>
      </c>
      <c r="C5233" s="5" t="s">
        <v>206</v>
      </c>
      <c r="D5233" s="3" t="s">
        <v>68</v>
      </c>
      <c r="E5233" s="3" t="s">
        <v>100</v>
      </c>
      <c r="F5233" s="7">
        <v>45851.13689673507</v>
      </c>
      <c r="G5233" s="3" t="s">
        <v>15791</v>
      </c>
    </row>
    <row r="5234">
      <c r="A5234" s="3" t="s">
        <v>15792</v>
      </c>
      <c r="B5234" s="3" t="s">
        <v>5061</v>
      </c>
      <c r="C5234" s="5" t="s">
        <v>45</v>
      </c>
      <c r="D5234" s="3" t="s">
        <v>221</v>
      </c>
      <c r="E5234" s="3" t="s">
        <v>883</v>
      </c>
      <c r="F5234" s="7">
        <v>45851.19765491383</v>
      </c>
      <c r="G5234" s="3" t="s">
        <v>15794</v>
      </c>
    </row>
    <row r="5235">
      <c r="A5235" s="3" t="s">
        <v>15795</v>
      </c>
      <c r="B5235" s="3" t="s">
        <v>5061</v>
      </c>
      <c r="C5235" s="5" t="s">
        <v>221</v>
      </c>
      <c r="D5235" s="3" t="s">
        <v>614</v>
      </c>
      <c r="E5235" s="3" t="s">
        <v>118</v>
      </c>
      <c r="F5235" s="7">
        <v>45851.201127136046</v>
      </c>
      <c r="G5235" s="3" t="s">
        <v>15797</v>
      </c>
    </row>
    <row r="5236">
      <c r="A5236" s="3" t="s">
        <v>15798</v>
      </c>
      <c r="B5236" s="3" t="s">
        <v>5061</v>
      </c>
      <c r="C5236" s="5" t="s">
        <v>614</v>
      </c>
      <c r="D5236" s="3" t="s">
        <v>206</v>
      </c>
      <c r="E5236" s="3" t="s">
        <v>100</v>
      </c>
      <c r="F5236" s="7">
        <v>45851.20459935827</v>
      </c>
      <c r="G5236" s="3" t="s">
        <v>15800</v>
      </c>
    </row>
    <row r="5237">
      <c r="A5237" s="3" t="s">
        <v>15801</v>
      </c>
      <c r="B5237" s="3" t="s">
        <v>5061</v>
      </c>
      <c r="C5237" s="5" t="s">
        <v>206</v>
      </c>
      <c r="D5237" s="3" t="s">
        <v>68</v>
      </c>
      <c r="E5237" s="3" t="s">
        <v>100</v>
      </c>
      <c r="F5237" s="7">
        <v>45851.20807158049</v>
      </c>
      <c r="G5237" s="3" t="s">
        <v>15803</v>
      </c>
    </row>
    <row r="5238">
      <c r="A5238" s="3" t="s">
        <v>15805</v>
      </c>
      <c r="B5238" s="3" t="s">
        <v>5065</v>
      </c>
      <c r="C5238" s="5" t="s">
        <v>45</v>
      </c>
      <c r="D5238" s="3" t="s">
        <v>221</v>
      </c>
      <c r="E5238" s="3" t="s">
        <v>1034</v>
      </c>
      <c r="F5238" s="7">
        <v>45851.26882975924</v>
      </c>
      <c r="G5238" s="3" t="s">
        <v>15806</v>
      </c>
    </row>
    <row r="5239">
      <c r="A5239" s="3" t="s">
        <v>15808</v>
      </c>
      <c r="B5239" s="3" t="s">
        <v>5065</v>
      </c>
      <c r="C5239" s="5" t="s">
        <v>221</v>
      </c>
      <c r="D5239" s="3" t="s">
        <v>614</v>
      </c>
      <c r="E5239" s="3" t="s">
        <v>118</v>
      </c>
      <c r="F5239" s="7">
        <v>45851.27230198146</v>
      </c>
      <c r="G5239" s="3" t="s">
        <v>15809</v>
      </c>
    </row>
    <row r="5240">
      <c r="A5240" s="3" t="s">
        <v>15810</v>
      </c>
      <c r="B5240" s="3" t="s">
        <v>5065</v>
      </c>
      <c r="C5240" s="5" t="s">
        <v>614</v>
      </c>
      <c r="D5240" s="3" t="s">
        <v>206</v>
      </c>
      <c r="E5240" s="3" t="s">
        <v>100</v>
      </c>
      <c r="F5240" s="7">
        <v>45851.275774203685</v>
      </c>
      <c r="G5240" s="3" t="s">
        <v>15812</v>
      </c>
    </row>
    <row r="5241">
      <c r="A5241" s="3" t="s">
        <v>15813</v>
      </c>
      <c r="B5241" s="3" t="s">
        <v>5065</v>
      </c>
      <c r="C5241" s="5" t="s">
        <v>206</v>
      </c>
      <c r="D5241" s="3" t="s">
        <v>68</v>
      </c>
      <c r="E5241" s="3" t="s">
        <v>100</v>
      </c>
      <c r="F5241" s="7">
        <v>45851.279246425904</v>
      </c>
      <c r="G5241" s="3" t="s">
        <v>15815</v>
      </c>
    </row>
    <row r="5242">
      <c r="A5242" s="3" t="s">
        <v>15816</v>
      </c>
      <c r="B5242" s="3" t="s">
        <v>5068</v>
      </c>
      <c r="C5242" s="5" t="s">
        <v>45</v>
      </c>
      <c r="D5242" s="3" t="s">
        <v>221</v>
      </c>
      <c r="E5242" s="3" t="s">
        <v>341</v>
      </c>
      <c r="F5242" s="7">
        <v>45851.34000460465</v>
      </c>
      <c r="G5242" s="3" t="s">
        <v>15818</v>
      </c>
    </row>
    <row r="5243">
      <c r="A5243" s="3" t="s">
        <v>15819</v>
      </c>
      <c r="B5243" s="3" t="s">
        <v>5068</v>
      </c>
      <c r="C5243" s="5" t="s">
        <v>221</v>
      </c>
      <c r="D5243" s="3" t="s">
        <v>614</v>
      </c>
      <c r="E5243" s="3" t="s">
        <v>118</v>
      </c>
      <c r="F5243" s="7">
        <v>45851.34347682687</v>
      </c>
      <c r="G5243" s="3" t="s">
        <v>15820</v>
      </c>
    </row>
    <row r="5244">
      <c r="A5244" s="3" t="s">
        <v>15822</v>
      </c>
      <c r="B5244" s="3" t="s">
        <v>5068</v>
      </c>
      <c r="C5244" s="5" t="s">
        <v>614</v>
      </c>
      <c r="D5244" s="3" t="s">
        <v>206</v>
      </c>
      <c r="E5244" s="3" t="s">
        <v>100</v>
      </c>
      <c r="F5244" s="7">
        <v>45851.3469490491</v>
      </c>
      <c r="G5244" s="3" t="s">
        <v>15823</v>
      </c>
    </row>
    <row r="5245">
      <c r="A5245" s="3" t="s">
        <v>15824</v>
      </c>
      <c r="B5245" s="3" t="s">
        <v>5068</v>
      </c>
      <c r="C5245" s="5" t="s">
        <v>206</v>
      </c>
      <c r="D5245" s="3" t="s">
        <v>68</v>
      </c>
      <c r="E5245" s="3" t="s">
        <v>100</v>
      </c>
      <c r="F5245" s="7">
        <v>45851.350421271316</v>
      </c>
      <c r="G5245" s="3" t="s">
        <v>15826</v>
      </c>
    </row>
    <row r="5246">
      <c r="A5246" s="3" t="s">
        <v>15827</v>
      </c>
      <c r="B5246" s="3" t="s">
        <v>5071</v>
      </c>
      <c r="C5246" s="5" t="s">
        <v>45</v>
      </c>
      <c r="D5246" s="3" t="s">
        <v>221</v>
      </c>
      <c r="E5246" s="3" t="s">
        <v>758</v>
      </c>
      <c r="F5246" s="7">
        <v>45851.41117945007</v>
      </c>
      <c r="G5246" s="3" t="s">
        <v>15829</v>
      </c>
    </row>
    <row r="5247">
      <c r="A5247" s="3" t="s">
        <v>15830</v>
      </c>
      <c r="B5247" s="3" t="s">
        <v>5071</v>
      </c>
      <c r="C5247" s="5" t="s">
        <v>221</v>
      </c>
      <c r="D5247" s="3" t="s">
        <v>181</v>
      </c>
      <c r="E5247" s="3" t="s">
        <v>118</v>
      </c>
      <c r="F5247" s="7">
        <v>45851.41465167229</v>
      </c>
      <c r="G5247" s="3" t="s">
        <v>15832</v>
      </c>
    </row>
    <row r="5248">
      <c r="A5248" s="3" t="s">
        <v>15833</v>
      </c>
      <c r="B5248" s="3" t="s">
        <v>5075</v>
      </c>
      <c r="C5248" s="5" t="s">
        <v>45</v>
      </c>
      <c r="D5248" s="3" t="s">
        <v>221</v>
      </c>
      <c r="E5248" s="3" t="s">
        <v>581</v>
      </c>
      <c r="F5248" s="7">
        <v>45851.482354295484</v>
      </c>
      <c r="G5248" s="3" t="s">
        <v>15427</v>
      </c>
    </row>
    <row r="5249">
      <c r="A5249" s="3" t="s">
        <v>15835</v>
      </c>
      <c r="B5249" s="3" t="s">
        <v>5075</v>
      </c>
      <c r="C5249" s="5" t="s">
        <v>221</v>
      </c>
      <c r="D5249" s="3" t="s">
        <v>614</v>
      </c>
      <c r="E5249" s="3" t="s">
        <v>118</v>
      </c>
      <c r="F5249" s="7">
        <v>45851.4858265177</v>
      </c>
      <c r="G5249" s="3" t="s">
        <v>15430</v>
      </c>
    </row>
    <row r="5250">
      <c r="A5250" s="3" t="s">
        <v>15837</v>
      </c>
      <c r="B5250" s="3" t="s">
        <v>5075</v>
      </c>
      <c r="C5250" s="5" t="s">
        <v>614</v>
      </c>
      <c r="D5250" s="3" t="s">
        <v>206</v>
      </c>
      <c r="E5250" s="3" t="s">
        <v>100</v>
      </c>
      <c r="F5250" s="7">
        <v>45851.48929873993</v>
      </c>
      <c r="G5250" s="3" t="s">
        <v>15433</v>
      </c>
    </row>
    <row r="5251">
      <c r="A5251" s="3" t="s">
        <v>15838</v>
      </c>
      <c r="B5251" s="3" t="s">
        <v>5075</v>
      </c>
      <c r="C5251" s="5" t="s">
        <v>206</v>
      </c>
      <c r="D5251" s="3" t="s">
        <v>68</v>
      </c>
      <c r="E5251" s="3" t="s">
        <v>100</v>
      </c>
      <c r="F5251" s="7">
        <v>45851.49277096215</v>
      </c>
      <c r="G5251" s="3" t="s">
        <v>15436</v>
      </c>
    </row>
    <row r="5252">
      <c r="A5252" s="3" t="s">
        <v>15840</v>
      </c>
      <c r="B5252" s="3" t="s">
        <v>5078</v>
      </c>
      <c r="C5252" s="5" t="s">
        <v>45</v>
      </c>
      <c r="D5252" s="3" t="s">
        <v>221</v>
      </c>
      <c r="E5252" s="3" t="s">
        <v>388</v>
      </c>
      <c r="F5252" s="7">
        <v>45851.553529140896</v>
      </c>
      <c r="G5252" s="3" t="s">
        <v>15842</v>
      </c>
    </row>
    <row r="5253">
      <c r="A5253" s="3" t="s">
        <v>15843</v>
      </c>
      <c r="B5253" s="3" t="s">
        <v>5078</v>
      </c>
      <c r="C5253" s="5" t="s">
        <v>221</v>
      </c>
      <c r="D5253" s="3" t="s">
        <v>614</v>
      </c>
      <c r="E5253" s="3" t="s">
        <v>118</v>
      </c>
      <c r="F5253" s="7">
        <v>45851.557001363115</v>
      </c>
      <c r="G5253" s="3" t="s">
        <v>15845</v>
      </c>
    </row>
    <row r="5254">
      <c r="A5254" s="3" t="s">
        <v>15846</v>
      </c>
      <c r="B5254" s="3" t="s">
        <v>5078</v>
      </c>
      <c r="C5254" s="5" t="s">
        <v>614</v>
      </c>
      <c r="D5254" s="3" t="s">
        <v>206</v>
      </c>
      <c r="E5254" s="3" t="s">
        <v>100</v>
      </c>
      <c r="F5254" s="7">
        <v>45851.56047358534</v>
      </c>
      <c r="G5254" s="3" t="s">
        <v>15848</v>
      </c>
    </row>
    <row r="5255">
      <c r="A5255" s="3" t="s">
        <v>15849</v>
      </c>
      <c r="B5255" s="3" t="s">
        <v>5078</v>
      </c>
      <c r="C5255" s="5" t="s">
        <v>206</v>
      </c>
      <c r="D5255" s="3" t="s">
        <v>68</v>
      </c>
      <c r="E5255" s="3" t="s">
        <v>100</v>
      </c>
      <c r="F5255" s="7">
        <v>45851.56394580756</v>
      </c>
      <c r="G5255" s="3" t="s">
        <v>15850</v>
      </c>
    </row>
    <row r="5256">
      <c r="A5256" s="3" t="s">
        <v>15851</v>
      </c>
      <c r="B5256" s="3" t="s">
        <v>5081</v>
      </c>
      <c r="C5256" s="5" t="s">
        <v>45</v>
      </c>
      <c r="D5256" s="3" t="s">
        <v>221</v>
      </c>
      <c r="E5256" s="3" t="s">
        <v>186</v>
      </c>
      <c r="F5256" s="7">
        <v>45851.624703986316</v>
      </c>
      <c r="G5256" s="3" t="s">
        <v>7319</v>
      </c>
    </row>
    <row r="5257">
      <c r="A5257" s="3" t="s">
        <v>15853</v>
      </c>
      <c r="B5257" s="3" t="s">
        <v>5081</v>
      </c>
      <c r="C5257" s="5" t="s">
        <v>221</v>
      </c>
      <c r="D5257" s="3" t="s">
        <v>614</v>
      </c>
      <c r="E5257" s="3" t="s">
        <v>118</v>
      </c>
      <c r="F5257" s="7">
        <v>45851.628176208535</v>
      </c>
      <c r="G5257" s="3" t="s">
        <v>7322</v>
      </c>
    </row>
    <row r="5258">
      <c r="A5258" s="3" t="s">
        <v>15855</v>
      </c>
      <c r="B5258" s="3" t="s">
        <v>5081</v>
      </c>
      <c r="C5258" s="5" t="s">
        <v>614</v>
      </c>
      <c r="D5258" s="3" t="s">
        <v>206</v>
      </c>
      <c r="E5258" s="3" t="s">
        <v>100</v>
      </c>
      <c r="F5258" s="7">
        <v>45851.63164843076</v>
      </c>
      <c r="G5258" s="3" t="s">
        <v>7324</v>
      </c>
    </row>
    <row r="5259">
      <c r="A5259" s="3" t="s">
        <v>15857</v>
      </c>
      <c r="B5259" s="3" t="s">
        <v>5081</v>
      </c>
      <c r="C5259" s="5" t="s">
        <v>206</v>
      </c>
      <c r="D5259" s="3" t="s">
        <v>68</v>
      </c>
      <c r="E5259" s="3" t="s">
        <v>100</v>
      </c>
      <c r="F5259" s="7">
        <v>45851.63512065298</v>
      </c>
      <c r="G5259" s="3" t="s">
        <v>7327</v>
      </c>
    </row>
    <row r="5260">
      <c r="A5260" s="3" t="s">
        <v>15859</v>
      </c>
      <c r="B5260" s="3" t="s">
        <v>5084</v>
      </c>
      <c r="C5260" s="5" t="s">
        <v>45</v>
      </c>
      <c r="D5260" s="3" t="s">
        <v>221</v>
      </c>
      <c r="E5260" s="3" t="s">
        <v>479</v>
      </c>
      <c r="F5260" s="7">
        <v>45851.695878831735</v>
      </c>
      <c r="G5260" s="3" t="s">
        <v>15861</v>
      </c>
    </row>
    <row r="5261">
      <c r="A5261" s="3" t="s">
        <v>15862</v>
      </c>
      <c r="B5261" s="3" t="s">
        <v>5084</v>
      </c>
      <c r="C5261" s="5" t="s">
        <v>221</v>
      </c>
      <c r="D5261" s="3" t="s">
        <v>181</v>
      </c>
      <c r="E5261" s="3" t="s">
        <v>118</v>
      </c>
      <c r="F5261" s="7">
        <v>45851.699351053954</v>
      </c>
      <c r="G5261" s="3" t="s">
        <v>15863</v>
      </c>
    </row>
    <row r="5262">
      <c r="A5262" s="3" t="s">
        <v>15864</v>
      </c>
      <c r="B5262" s="3" t="s">
        <v>5087</v>
      </c>
      <c r="C5262" s="5" t="s">
        <v>45</v>
      </c>
      <c r="D5262" s="3" t="s">
        <v>221</v>
      </c>
      <c r="E5262" s="3" t="s">
        <v>957</v>
      </c>
      <c r="F5262" s="7">
        <v>45851.76705367714</v>
      </c>
      <c r="G5262" s="3" t="s">
        <v>15866</v>
      </c>
    </row>
    <row r="5263">
      <c r="A5263" s="3" t="s">
        <v>15867</v>
      </c>
      <c r="B5263" s="3" t="s">
        <v>5087</v>
      </c>
      <c r="C5263" s="5" t="s">
        <v>221</v>
      </c>
      <c r="D5263" s="3" t="s">
        <v>614</v>
      </c>
      <c r="E5263" s="3" t="s">
        <v>118</v>
      </c>
      <c r="F5263" s="7">
        <v>45851.77052589936</v>
      </c>
      <c r="G5263" s="3" t="s">
        <v>15869</v>
      </c>
    </row>
    <row r="5264">
      <c r="A5264" s="3" t="s">
        <v>15870</v>
      </c>
      <c r="B5264" s="3" t="s">
        <v>5087</v>
      </c>
      <c r="C5264" s="5" t="s">
        <v>614</v>
      </c>
      <c r="D5264" s="3" t="s">
        <v>206</v>
      </c>
      <c r="E5264" s="3" t="s">
        <v>100</v>
      </c>
      <c r="F5264" s="7">
        <v>45851.773998121585</v>
      </c>
      <c r="G5264" s="3" t="s">
        <v>15872</v>
      </c>
    </row>
    <row r="5265">
      <c r="A5265" s="3" t="s">
        <v>15873</v>
      </c>
      <c r="B5265" s="3" t="s">
        <v>5087</v>
      </c>
      <c r="C5265" s="5" t="s">
        <v>206</v>
      </c>
      <c r="D5265" s="3" t="s">
        <v>68</v>
      </c>
      <c r="E5265" s="3" t="s">
        <v>100</v>
      </c>
      <c r="F5265" s="7">
        <v>45851.777470343804</v>
      </c>
      <c r="G5265" s="3" t="s">
        <v>15874</v>
      </c>
    </row>
    <row r="5266">
      <c r="A5266" s="3" t="s">
        <v>15876</v>
      </c>
      <c r="B5266" s="3" t="s">
        <v>5089</v>
      </c>
      <c r="C5266" s="5" t="s">
        <v>45</v>
      </c>
      <c r="D5266" s="3" t="s">
        <v>221</v>
      </c>
      <c r="E5266" s="3" t="s">
        <v>204</v>
      </c>
      <c r="F5266" s="7">
        <v>45851.83822852256</v>
      </c>
      <c r="G5266" s="3" t="s">
        <v>15877</v>
      </c>
    </row>
    <row r="5267">
      <c r="A5267" s="3" t="s">
        <v>15878</v>
      </c>
      <c r="B5267" s="3" t="s">
        <v>5089</v>
      </c>
      <c r="C5267" s="5" t="s">
        <v>221</v>
      </c>
      <c r="D5267" s="3" t="s">
        <v>614</v>
      </c>
      <c r="E5267" s="3" t="s">
        <v>118</v>
      </c>
      <c r="F5267" s="7">
        <v>45851.84170074478</v>
      </c>
      <c r="G5267" s="3" t="s">
        <v>15880</v>
      </c>
    </row>
    <row r="5268">
      <c r="A5268" s="3" t="s">
        <v>15881</v>
      </c>
      <c r="B5268" s="3" t="s">
        <v>5089</v>
      </c>
      <c r="C5268" s="5" t="s">
        <v>614</v>
      </c>
      <c r="D5268" s="3" t="s">
        <v>206</v>
      </c>
      <c r="E5268" s="3" t="s">
        <v>100</v>
      </c>
      <c r="F5268" s="7">
        <v>45851.845172967005</v>
      </c>
      <c r="G5268" s="3" t="s">
        <v>15883</v>
      </c>
    </row>
    <row r="5269">
      <c r="A5269" s="3" t="s">
        <v>15884</v>
      </c>
      <c r="B5269" s="3" t="s">
        <v>5089</v>
      </c>
      <c r="C5269" s="5" t="s">
        <v>206</v>
      </c>
      <c r="D5269" s="3" t="s">
        <v>68</v>
      </c>
      <c r="E5269" s="3" t="s">
        <v>100</v>
      </c>
      <c r="F5269" s="7">
        <v>45851.848645189224</v>
      </c>
      <c r="G5269" s="3" t="s">
        <v>15886</v>
      </c>
    </row>
    <row r="5270">
      <c r="A5270" s="3" t="s">
        <v>15887</v>
      </c>
      <c r="B5270" s="3" t="s">
        <v>5091</v>
      </c>
      <c r="C5270" s="5" t="s">
        <v>45</v>
      </c>
      <c r="D5270" s="3" t="s">
        <v>221</v>
      </c>
      <c r="E5270" s="3" t="s">
        <v>219</v>
      </c>
      <c r="F5270" s="7">
        <v>45851.90940336798</v>
      </c>
      <c r="G5270" s="3" t="s">
        <v>15888</v>
      </c>
    </row>
    <row r="5271">
      <c r="A5271" s="3" t="s">
        <v>15889</v>
      </c>
      <c r="B5271" s="3" t="s">
        <v>5091</v>
      </c>
      <c r="C5271" s="5" t="s">
        <v>221</v>
      </c>
      <c r="D5271" s="3" t="s">
        <v>614</v>
      </c>
      <c r="E5271" s="3" t="s">
        <v>118</v>
      </c>
      <c r="F5271" s="7">
        <v>45851.9128755902</v>
      </c>
      <c r="G5271" s="3" t="s">
        <v>15891</v>
      </c>
    </row>
    <row r="5272">
      <c r="A5272" s="3" t="s">
        <v>15892</v>
      </c>
      <c r="B5272" s="3" t="s">
        <v>5091</v>
      </c>
      <c r="C5272" s="5" t="s">
        <v>614</v>
      </c>
      <c r="D5272" s="3" t="s">
        <v>206</v>
      </c>
      <c r="E5272" s="3" t="s">
        <v>100</v>
      </c>
      <c r="F5272" s="7">
        <v>45851.916347812425</v>
      </c>
      <c r="G5272" s="3" t="s">
        <v>15894</v>
      </c>
    </row>
    <row r="5273">
      <c r="A5273" s="3" t="s">
        <v>15895</v>
      </c>
      <c r="B5273" s="3" t="s">
        <v>5091</v>
      </c>
      <c r="C5273" s="5" t="s">
        <v>206</v>
      </c>
      <c r="D5273" s="3" t="s">
        <v>68</v>
      </c>
      <c r="E5273" s="3" t="s">
        <v>100</v>
      </c>
      <c r="F5273" s="7">
        <v>45851.91982003464</v>
      </c>
      <c r="G5273" s="3" t="s">
        <v>15897</v>
      </c>
    </row>
    <row r="5274">
      <c r="A5274" s="3" t="s">
        <v>15898</v>
      </c>
      <c r="B5274" s="3" t="s">
        <v>5094</v>
      </c>
      <c r="C5274" s="5" t="s">
        <v>45</v>
      </c>
      <c r="D5274" s="3" t="s">
        <v>221</v>
      </c>
      <c r="E5274" s="3" t="s">
        <v>419</v>
      </c>
      <c r="F5274" s="7">
        <v>45851.98057821339</v>
      </c>
      <c r="G5274" s="3" t="s">
        <v>15900</v>
      </c>
    </row>
    <row r="5275">
      <c r="A5275" s="3" t="s">
        <v>15901</v>
      </c>
      <c r="B5275" s="3" t="s">
        <v>5094</v>
      </c>
      <c r="C5275" s="5" t="s">
        <v>221</v>
      </c>
      <c r="D5275" s="3" t="s">
        <v>614</v>
      </c>
      <c r="E5275" s="3" t="s">
        <v>118</v>
      </c>
      <c r="F5275" s="7">
        <v>45851.98405043561</v>
      </c>
      <c r="G5275" s="3" t="s">
        <v>15902</v>
      </c>
    </row>
    <row r="5276">
      <c r="A5276" s="3" t="s">
        <v>15904</v>
      </c>
      <c r="B5276" s="3" t="s">
        <v>5094</v>
      </c>
      <c r="C5276" s="5" t="s">
        <v>614</v>
      </c>
      <c r="D5276" s="3" t="s">
        <v>206</v>
      </c>
      <c r="E5276" s="3" t="s">
        <v>100</v>
      </c>
      <c r="F5276" s="7">
        <v>45851.98752265784</v>
      </c>
      <c r="G5276" s="3" t="s">
        <v>15905</v>
      </c>
    </row>
    <row r="5277">
      <c r="A5277" s="3" t="s">
        <v>15906</v>
      </c>
      <c r="B5277" s="3" t="s">
        <v>5094</v>
      </c>
      <c r="C5277" s="5" t="s">
        <v>206</v>
      </c>
      <c r="D5277" s="3" t="s">
        <v>68</v>
      </c>
      <c r="E5277" s="3" t="s">
        <v>100</v>
      </c>
      <c r="F5277" s="7">
        <v>45851.990994880056</v>
      </c>
      <c r="G5277" s="3" t="s">
        <v>15908</v>
      </c>
    </row>
    <row r="5278">
      <c r="A5278" s="3" t="s">
        <v>15909</v>
      </c>
      <c r="B5278" s="3" t="s">
        <v>5096</v>
      </c>
      <c r="C5278" s="5" t="s">
        <v>45</v>
      </c>
      <c r="D5278" s="3" t="s">
        <v>221</v>
      </c>
      <c r="E5278" s="3" t="s">
        <v>263</v>
      </c>
      <c r="F5278" s="7">
        <v>45852.051753058804</v>
      </c>
      <c r="G5278" s="3" t="s">
        <v>15911</v>
      </c>
    </row>
    <row r="5279">
      <c r="A5279" s="3" t="s">
        <v>15912</v>
      </c>
      <c r="B5279" s="3" t="s">
        <v>5096</v>
      </c>
      <c r="C5279" s="5" t="s">
        <v>221</v>
      </c>
      <c r="D5279" s="3" t="s">
        <v>614</v>
      </c>
      <c r="E5279" s="3" t="s">
        <v>118</v>
      </c>
      <c r="F5279" s="7">
        <v>45852.05522528102</v>
      </c>
      <c r="G5279" s="3" t="s">
        <v>15914</v>
      </c>
    </row>
    <row r="5280">
      <c r="A5280" s="3" t="s">
        <v>15915</v>
      </c>
      <c r="B5280" s="3" t="s">
        <v>5096</v>
      </c>
      <c r="C5280" s="5" t="s">
        <v>614</v>
      </c>
      <c r="D5280" s="3" t="s">
        <v>206</v>
      </c>
      <c r="E5280" s="3" t="s">
        <v>100</v>
      </c>
      <c r="F5280" s="7">
        <v>45852.05869750325</v>
      </c>
      <c r="G5280" s="3" t="s">
        <v>15917</v>
      </c>
    </row>
    <row r="5281">
      <c r="A5281" s="3" t="s">
        <v>15918</v>
      </c>
      <c r="B5281" s="3" t="s">
        <v>5096</v>
      </c>
      <c r="C5281" s="5" t="s">
        <v>206</v>
      </c>
      <c r="D5281" s="3" t="s">
        <v>68</v>
      </c>
      <c r="E5281" s="3" t="s">
        <v>100</v>
      </c>
      <c r="F5281" s="7">
        <v>45852.06216972547</v>
      </c>
      <c r="G5281" s="3" t="s">
        <v>15919</v>
      </c>
    </row>
    <row r="5282">
      <c r="A5282" s="3" t="s">
        <v>15921</v>
      </c>
      <c r="B5282" s="3" t="s">
        <v>5098</v>
      </c>
      <c r="C5282" s="5" t="s">
        <v>45</v>
      </c>
      <c r="D5282" s="3" t="s">
        <v>221</v>
      </c>
      <c r="E5282" s="3" t="s">
        <v>937</v>
      </c>
      <c r="F5282" s="7">
        <v>45852.12292790422</v>
      </c>
      <c r="G5282" s="3" t="s">
        <v>15923</v>
      </c>
    </row>
    <row r="5283">
      <c r="A5283" s="3" t="s">
        <v>15924</v>
      </c>
      <c r="B5283" s="3" t="s">
        <v>5098</v>
      </c>
      <c r="C5283" s="5" t="s">
        <v>221</v>
      </c>
      <c r="D5283" s="3" t="s">
        <v>614</v>
      </c>
      <c r="E5283" s="3" t="s">
        <v>118</v>
      </c>
      <c r="F5283" s="7">
        <v>45852.12640012644</v>
      </c>
      <c r="G5283" s="3" t="s">
        <v>15925</v>
      </c>
    </row>
    <row r="5284">
      <c r="A5284" s="3" t="s">
        <v>15927</v>
      </c>
      <c r="B5284" s="3" t="s">
        <v>5098</v>
      </c>
      <c r="C5284" s="5" t="s">
        <v>614</v>
      </c>
      <c r="D5284" s="3" t="s">
        <v>206</v>
      </c>
      <c r="E5284" s="3" t="s">
        <v>100</v>
      </c>
      <c r="F5284" s="7">
        <v>45852.12987234867</v>
      </c>
      <c r="G5284" s="3" t="s">
        <v>15928</v>
      </c>
    </row>
    <row r="5285">
      <c r="A5285" s="3" t="s">
        <v>15929</v>
      </c>
      <c r="B5285" s="3" t="s">
        <v>5098</v>
      </c>
      <c r="C5285" s="5" t="s">
        <v>206</v>
      </c>
      <c r="D5285" s="3" t="s">
        <v>68</v>
      </c>
      <c r="E5285" s="3" t="s">
        <v>100</v>
      </c>
      <c r="F5285" s="7">
        <v>45852.13334457089</v>
      </c>
      <c r="G5285" s="3" t="s">
        <v>15931</v>
      </c>
    </row>
    <row r="5286">
      <c r="A5286" s="3" t="s">
        <v>15932</v>
      </c>
      <c r="B5286" s="3" t="s">
        <v>5100</v>
      </c>
      <c r="C5286" s="5" t="s">
        <v>45</v>
      </c>
      <c r="D5286" s="3" t="s">
        <v>221</v>
      </c>
      <c r="E5286" s="3" t="s">
        <v>165</v>
      </c>
      <c r="F5286" s="7">
        <v>45852.194102749636</v>
      </c>
      <c r="G5286" s="3" t="s">
        <v>15934</v>
      </c>
    </row>
    <row r="5287">
      <c r="A5287" s="3" t="s">
        <v>15935</v>
      </c>
      <c r="B5287" s="3" t="s">
        <v>5100</v>
      </c>
      <c r="C5287" s="5" t="s">
        <v>221</v>
      </c>
      <c r="D5287" s="3" t="s">
        <v>614</v>
      </c>
      <c r="E5287" s="3" t="s">
        <v>118</v>
      </c>
      <c r="F5287" s="7">
        <v>45852.197574971855</v>
      </c>
      <c r="G5287" s="3" t="s">
        <v>15936</v>
      </c>
    </row>
    <row r="5288">
      <c r="A5288" s="3" t="s">
        <v>15938</v>
      </c>
      <c r="B5288" s="3" t="s">
        <v>5100</v>
      </c>
      <c r="C5288" s="5" t="s">
        <v>614</v>
      </c>
      <c r="D5288" s="3" t="s">
        <v>206</v>
      </c>
      <c r="E5288" s="3" t="s">
        <v>100</v>
      </c>
      <c r="F5288" s="7">
        <v>45852.20104719408</v>
      </c>
      <c r="G5288" s="3" t="s">
        <v>15939</v>
      </c>
    </row>
    <row r="5289">
      <c r="A5289" s="3" t="s">
        <v>15940</v>
      </c>
      <c r="B5289" s="3" t="s">
        <v>5100</v>
      </c>
      <c r="C5289" s="5" t="s">
        <v>206</v>
      </c>
      <c r="D5289" s="3" t="s">
        <v>68</v>
      </c>
      <c r="E5289" s="3" t="s">
        <v>100</v>
      </c>
      <c r="F5289" s="7">
        <v>45852.2045194163</v>
      </c>
      <c r="G5289" s="3" t="s">
        <v>15942</v>
      </c>
    </row>
    <row r="5290">
      <c r="A5290" s="3" t="s">
        <v>15943</v>
      </c>
      <c r="B5290" s="3" t="s">
        <v>5103</v>
      </c>
      <c r="C5290" s="5" t="s">
        <v>45</v>
      </c>
      <c r="D5290" s="3" t="s">
        <v>221</v>
      </c>
      <c r="E5290" s="3" t="s">
        <v>219</v>
      </c>
      <c r="F5290" s="7">
        <v>45852.26527759505</v>
      </c>
      <c r="G5290" s="3" t="s">
        <v>15945</v>
      </c>
    </row>
    <row r="5291">
      <c r="A5291" s="3" t="s">
        <v>15946</v>
      </c>
      <c r="B5291" s="3" t="s">
        <v>5103</v>
      </c>
      <c r="C5291" s="5" t="s">
        <v>221</v>
      </c>
      <c r="D5291" s="3" t="s">
        <v>181</v>
      </c>
      <c r="E5291" s="3" t="s">
        <v>118</v>
      </c>
      <c r="F5291" s="7">
        <v>45852.26874981727</v>
      </c>
      <c r="G5291" s="3" t="s">
        <v>15948</v>
      </c>
    </row>
    <row r="5292">
      <c r="A5292" s="3" t="s">
        <v>15949</v>
      </c>
      <c r="B5292" s="3" t="s">
        <v>5106</v>
      </c>
      <c r="C5292" s="5" t="s">
        <v>45</v>
      </c>
      <c r="D5292" s="3" t="s">
        <v>221</v>
      </c>
      <c r="E5292" s="3" t="s">
        <v>266</v>
      </c>
      <c r="F5292" s="7">
        <v>45852.33645244047</v>
      </c>
      <c r="G5292" s="3" t="s">
        <v>9710</v>
      </c>
    </row>
    <row r="5293">
      <c r="A5293" s="3" t="s">
        <v>15951</v>
      </c>
      <c r="B5293" s="3" t="s">
        <v>5106</v>
      </c>
      <c r="C5293" s="5" t="s">
        <v>221</v>
      </c>
      <c r="D5293" s="3" t="s">
        <v>614</v>
      </c>
      <c r="E5293" s="3" t="s">
        <v>118</v>
      </c>
      <c r="F5293" s="7">
        <v>45852.33992466269</v>
      </c>
      <c r="G5293" s="3" t="s">
        <v>13233</v>
      </c>
    </row>
    <row r="5294">
      <c r="A5294" s="3" t="s">
        <v>15953</v>
      </c>
      <c r="B5294" s="3" t="s">
        <v>5106</v>
      </c>
      <c r="C5294" s="5" t="s">
        <v>614</v>
      </c>
      <c r="D5294" s="3" t="s">
        <v>206</v>
      </c>
      <c r="E5294" s="3" t="s">
        <v>100</v>
      </c>
      <c r="F5294" s="7">
        <v>45852.34339688491</v>
      </c>
      <c r="G5294" s="3" t="s">
        <v>13237</v>
      </c>
    </row>
    <row r="5295">
      <c r="A5295" s="3" t="s">
        <v>15954</v>
      </c>
      <c r="B5295" s="3" t="s">
        <v>5106</v>
      </c>
      <c r="C5295" s="5" t="s">
        <v>206</v>
      </c>
      <c r="D5295" s="3" t="s">
        <v>68</v>
      </c>
      <c r="E5295" s="3" t="s">
        <v>100</v>
      </c>
      <c r="F5295" s="7">
        <v>45852.34686910713</v>
      </c>
      <c r="G5295" s="3" t="s">
        <v>13240</v>
      </c>
    </row>
    <row r="5296">
      <c r="A5296" s="3" t="s">
        <v>15956</v>
      </c>
      <c r="B5296" s="3" t="s">
        <v>5109</v>
      </c>
      <c r="C5296" s="5" t="s">
        <v>45</v>
      </c>
      <c r="D5296" s="3" t="s">
        <v>221</v>
      </c>
      <c r="E5296" s="3" t="s">
        <v>998</v>
      </c>
      <c r="F5296" s="7">
        <v>45852.40762728588</v>
      </c>
      <c r="G5296" s="3" t="s">
        <v>15958</v>
      </c>
    </row>
    <row r="5297">
      <c r="A5297" s="3" t="s">
        <v>15959</v>
      </c>
      <c r="B5297" s="3" t="s">
        <v>5109</v>
      </c>
      <c r="C5297" s="5" t="s">
        <v>221</v>
      </c>
      <c r="D5297" s="3" t="s">
        <v>614</v>
      </c>
      <c r="E5297" s="3" t="s">
        <v>118</v>
      </c>
      <c r="F5297" s="7">
        <v>45852.4110995081</v>
      </c>
      <c r="G5297" s="3" t="s">
        <v>15961</v>
      </c>
    </row>
    <row r="5298">
      <c r="A5298" s="3" t="s">
        <v>15962</v>
      </c>
      <c r="B5298" s="3" t="s">
        <v>5109</v>
      </c>
      <c r="C5298" s="5" t="s">
        <v>614</v>
      </c>
      <c r="D5298" s="3" t="s">
        <v>206</v>
      </c>
      <c r="E5298" s="3" t="s">
        <v>100</v>
      </c>
      <c r="F5298" s="7">
        <v>45852.414571730325</v>
      </c>
      <c r="G5298" s="3" t="s">
        <v>15964</v>
      </c>
    </row>
    <row r="5299">
      <c r="A5299" s="3" t="s">
        <v>15965</v>
      </c>
      <c r="B5299" s="3" t="s">
        <v>5109</v>
      </c>
      <c r="C5299" s="5" t="s">
        <v>206</v>
      </c>
      <c r="D5299" s="3" t="s">
        <v>68</v>
      </c>
      <c r="E5299" s="3" t="s">
        <v>100</v>
      </c>
      <c r="F5299" s="7">
        <v>45852.418043952544</v>
      </c>
      <c r="G5299" s="3" t="s">
        <v>15967</v>
      </c>
    </row>
    <row r="5300">
      <c r="A5300" s="3" t="s">
        <v>15968</v>
      </c>
      <c r="B5300" s="3" t="s">
        <v>5112</v>
      </c>
      <c r="C5300" s="5" t="s">
        <v>45</v>
      </c>
      <c r="D5300" s="3" t="s">
        <v>221</v>
      </c>
      <c r="E5300" s="3" t="s">
        <v>479</v>
      </c>
      <c r="F5300" s="7">
        <v>45852.47880213129</v>
      </c>
      <c r="G5300" s="3" t="s">
        <v>15970</v>
      </c>
    </row>
    <row r="5301">
      <c r="A5301" s="3" t="s">
        <v>15971</v>
      </c>
      <c r="B5301" s="3" t="s">
        <v>5112</v>
      </c>
      <c r="C5301" s="5" t="s">
        <v>221</v>
      </c>
      <c r="D5301" s="3" t="s">
        <v>195</v>
      </c>
      <c r="E5301" s="3" t="s">
        <v>479</v>
      </c>
      <c r="F5301" s="7">
        <v>45852.48227435351</v>
      </c>
      <c r="G5301" s="3" t="s">
        <v>15972</v>
      </c>
    </row>
    <row r="5302">
      <c r="A5302" s="3" t="s">
        <v>15974</v>
      </c>
      <c r="B5302" s="3" t="s">
        <v>5115</v>
      </c>
      <c r="C5302" s="5" t="s">
        <v>45</v>
      </c>
      <c r="D5302" s="3" t="s">
        <v>221</v>
      </c>
      <c r="E5302" s="3" t="s">
        <v>208</v>
      </c>
      <c r="F5302" s="7">
        <v>45852.54997697671</v>
      </c>
      <c r="G5302" s="3" t="s">
        <v>15975</v>
      </c>
    </row>
    <row r="5303">
      <c r="A5303" s="3" t="s">
        <v>15977</v>
      </c>
      <c r="B5303" s="3" t="s">
        <v>5115</v>
      </c>
      <c r="C5303" s="5" t="s">
        <v>221</v>
      </c>
      <c r="D5303" s="3" t="s">
        <v>614</v>
      </c>
      <c r="E5303" s="3" t="s">
        <v>118</v>
      </c>
      <c r="F5303" s="7">
        <v>45852.55344919893</v>
      </c>
      <c r="G5303" s="3" t="s">
        <v>15978</v>
      </c>
    </row>
    <row r="5304">
      <c r="A5304" s="3" t="s">
        <v>15979</v>
      </c>
      <c r="B5304" s="3" t="s">
        <v>5115</v>
      </c>
      <c r="C5304" s="5" t="s">
        <v>614</v>
      </c>
      <c r="D5304" s="3" t="s">
        <v>206</v>
      </c>
      <c r="E5304" s="3" t="s">
        <v>100</v>
      </c>
      <c r="F5304" s="7">
        <v>45852.55692142116</v>
      </c>
      <c r="G5304" s="3" t="s">
        <v>15981</v>
      </c>
    </row>
    <row r="5305">
      <c r="A5305" s="3" t="s">
        <v>15982</v>
      </c>
      <c r="B5305" s="3" t="s">
        <v>5115</v>
      </c>
      <c r="C5305" s="5" t="s">
        <v>206</v>
      </c>
      <c r="D5305" s="3" t="s">
        <v>68</v>
      </c>
      <c r="E5305" s="3" t="s">
        <v>100</v>
      </c>
      <c r="F5305" s="7">
        <v>45852.560393643376</v>
      </c>
      <c r="G5305" s="3" t="s">
        <v>15984</v>
      </c>
    </row>
    <row r="5306">
      <c r="A5306" s="3" t="s">
        <v>15985</v>
      </c>
      <c r="B5306" s="3" t="s">
        <v>5118</v>
      </c>
      <c r="C5306" s="5" t="s">
        <v>45</v>
      </c>
      <c r="D5306" s="3" t="s">
        <v>221</v>
      </c>
      <c r="E5306" s="3" t="s">
        <v>256</v>
      </c>
      <c r="F5306" s="7">
        <v>45852.621151822124</v>
      </c>
      <c r="G5306" s="3" t="s">
        <v>13137</v>
      </c>
    </row>
    <row r="5307">
      <c r="A5307" s="3" t="s">
        <v>15987</v>
      </c>
      <c r="B5307" s="3" t="s">
        <v>5118</v>
      </c>
      <c r="C5307" s="5" t="s">
        <v>221</v>
      </c>
      <c r="D5307" s="3" t="s">
        <v>614</v>
      </c>
      <c r="E5307" s="3" t="s">
        <v>118</v>
      </c>
      <c r="F5307" s="7">
        <v>45852.62462404434</v>
      </c>
      <c r="G5307" s="3" t="s">
        <v>13140</v>
      </c>
    </row>
    <row r="5308">
      <c r="A5308" s="3" t="s">
        <v>15989</v>
      </c>
      <c r="B5308" s="3" t="s">
        <v>5118</v>
      </c>
      <c r="C5308" s="5" t="s">
        <v>614</v>
      </c>
      <c r="D5308" s="3" t="s">
        <v>206</v>
      </c>
      <c r="E5308" s="3" t="s">
        <v>100</v>
      </c>
      <c r="F5308" s="7">
        <v>45852.62809626657</v>
      </c>
      <c r="G5308" s="3" t="s">
        <v>13144</v>
      </c>
    </row>
    <row r="5309">
      <c r="A5309" s="3" t="s">
        <v>15991</v>
      </c>
      <c r="B5309" s="3" t="s">
        <v>5118</v>
      </c>
      <c r="C5309" s="5" t="s">
        <v>206</v>
      </c>
      <c r="D5309" s="3" t="s">
        <v>68</v>
      </c>
      <c r="E5309" s="3" t="s">
        <v>100</v>
      </c>
      <c r="F5309" s="7">
        <v>45852.63156848879</v>
      </c>
      <c r="G5309" s="3" t="s">
        <v>13147</v>
      </c>
    </row>
    <row r="5310">
      <c r="A5310" s="3" t="s">
        <v>15992</v>
      </c>
      <c r="B5310" s="3" t="s">
        <v>5121</v>
      </c>
      <c r="C5310" s="5" t="s">
        <v>45</v>
      </c>
      <c r="D5310" s="3" t="s">
        <v>221</v>
      </c>
      <c r="E5310" s="3" t="s">
        <v>665</v>
      </c>
      <c r="F5310" s="7">
        <v>45852.69232666754</v>
      </c>
      <c r="G5310" s="3" t="s">
        <v>2770</v>
      </c>
    </row>
    <row r="5311">
      <c r="A5311" s="3" t="s">
        <v>15994</v>
      </c>
      <c r="B5311" s="3" t="s">
        <v>5121</v>
      </c>
      <c r="C5311" s="5" t="s">
        <v>221</v>
      </c>
      <c r="D5311" s="3" t="s">
        <v>181</v>
      </c>
      <c r="E5311" s="3" t="s">
        <v>118</v>
      </c>
      <c r="F5311" s="7">
        <v>45852.695798889756</v>
      </c>
      <c r="G5311" s="3" t="s">
        <v>2774</v>
      </c>
    </row>
    <row r="5312">
      <c r="A5312" s="3" t="s">
        <v>15996</v>
      </c>
      <c r="B5312" s="3" t="s">
        <v>5124</v>
      </c>
      <c r="C5312" s="5" t="s">
        <v>45</v>
      </c>
      <c r="D5312" s="3" t="s">
        <v>221</v>
      </c>
      <c r="E5312" s="3" t="s">
        <v>860</v>
      </c>
      <c r="F5312" s="7">
        <v>45852.763501512956</v>
      </c>
      <c r="G5312" s="3" t="s">
        <v>15998</v>
      </c>
    </row>
    <row r="5313">
      <c r="A5313" s="3" t="s">
        <v>15999</v>
      </c>
      <c r="B5313" s="3" t="s">
        <v>5124</v>
      </c>
      <c r="C5313" s="5" t="s">
        <v>221</v>
      </c>
      <c r="D5313" s="3" t="s">
        <v>614</v>
      </c>
      <c r="E5313" s="3" t="s">
        <v>118</v>
      </c>
      <c r="F5313" s="7">
        <v>45852.766973735175</v>
      </c>
      <c r="G5313" s="3" t="s">
        <v>16001</v>
      </c>
    </row>
    <row r="5314">
      <c r="A5314" s="3" t="s">
        <v>16002</v>
      </c>
      <c r="B5314" s="3" t="s">
        <v>5124</v>
      </c>
      <c r="C5314" s="5" t="s">
        <v>614</v>
      </c>
      <c r="D5314" s="3" t="s">
        <v>206</v>
      </c>
      <c r="E5314" s="3" t="s">
        <v>100</v>
      </c>
      <c r="F5314" s="7">
        <v>45852.7704459574</v>
      </c>
      <c r="G5314" s="3" t="s">
        <v>16003</v>
      </c>
    </row>
    <row r="5315">
      <c r="A5315" s="3" t="s">
        <v>16005</v>
      </c>
      <c r="B5315" s="3" t="s">
        <v>5124</v>
      </c>
      <c r="C5315" s="5" t="s">
        <v>206</v>
      </c>
      <c r="D5315" s="3" t="s">
        <v>68</v>
      </c>
      <c r="E5315" s="3" t="s">
        <v>100</v>
      </c>
      <c r="F5315" s="7">
        <v>45852.77391817962</v>
      </c>
      <c r="G5315" s="3" t="s">
        <v>16006</v>
      </c>
    </row>
    <row r="5316">
      <c r="A5316" s="3" t="s">
        <v>16007</v>
      </c>
      <c r="B5316" s="3" t="s">
        <v>5127</v>
      </c>
      <c r="C5316" s="5" t="s">
        <v>45</v>
      </c>
      <c r="D5316" s="3" t="s">
        <v>221</v>
      </c>
      <c r="E5316" s="3" t="s">
        <v>830</v>
      </c>
      <c r="F5316" s="7">
        <v>45852.834676358376</v>
      </c>
      <c r="G5316" s="3" t="s">
        <v>16009</v>
      </c>
    </row>
    <row r="5317">
      <c r="A5317" s="3" t="s">
        <v>16010</v>
      </c>
      <c r="B5317" s="3" t="s">
        <v>5127</v>
      </c>
      <c r="C5317" s="5" t="s">
        <v>221</v>
      </c>
      <c r="D5317" s="3" t="s">
        <v>614</v>
      </c>
      <c r="E5317" s="3" t="s">
        <v>118</v>
      </c>
      <c r="F5317" s="7">
        <v>45852.838148580595</v>
      </c>
      <c r="G5317" s="3" t="s">
        <v>16012</v>
      </c>
    </row>
    <row r="5318">
      <c r="A5318" s="3" t="s">
        <v>16013</v>
      </c>
      <c r="B5318" s="3" t="s">
        <v>5127</v>
      </c>
      <c r="C5318" s="5" t="s">
        <v>614</v>
      </c>
      <c r="D5318" s="3" t="s">
        <v>206</v>
      </c>
      <c r="E5318" s="3" t="s">
        <v>100</v>
      </c>
      <c r="F5318" s="7">
        <v>45852.84162080282</v>
      </c>
      <c r="G5318" s="3" t="s">
        <v>16015</v>
      </c>
    </row>
    <row r="5319">
      <c r="A5319" s="3" t="s">
        <v>16016</v>
      </c>
      <c r="B5319" s="3" t="s">
        <v>5127</v>
      </c>
      <c r="C5319" s="5" t="s">
        <v>206</v>
      </c>
      <c r="D5319" s="3" t="s">
        <v>68</v>
      </c>
      <c r="E5319" s="3" t="s">
        <v>100</v>
      </c>
      <c r="F5319" s="7">
        <v>45852.84509302504</v>
      </c>
      <c r="G5319" s="3" t="s">
        <v>16017</v>
      </c>
    </row>
    <row r="5320">
      <c r="A5320" s="3" t="s">
        <v>16019</v>
      </c>
      <c r="B5320" s="3" t="s">
        <v>5130</v>
      </c>
      <c r="C5320" s="5" t="s">
        <v>45</v>
      </c>
      <c r="D5320" s="3" t="s">
        <v>221</v>
      </c>
      <c r="E5320" s="3" t="s">
        <v>1026</v>
      </c>
      <c r="F5320" s="7">
        <v>45852.90585120378</v>
      </c>
      <c r="G5320" s="3" t="s">
        <v>16020</v>
      </c>
    </row>
    <row r="5321">
      <c r="A5321" s="3" t="s">
        <v>16022</v>
      </c>
      <c r="B5321" s="3" t="s">
        <v>5130</v>
      </c>
      <c r="C5321" s="5" t="s">
        <v>221</v>
      </c>
      <c r="D5321" s="3" t="s">
        <v>614</v>
      </c>
      <c r="E5321" s="3" t="s">
        <v>118</v>
      </c>
      <c r="F5321" s="7">
        <v>45852.909323426</v>
      </c>
      <c r="G5321" s="3" t="s">
        <v>16023</v>
      </c>
    </row>
    <row r="5322">
      <c r="A5322" s="3" t="s">
        <v>16024</v>
      </c>
      <c r="B5322" s="3" t="s">
        <v>5130</v>
      </c>
      <c r="C5322" s="5" t="s">
        <v>614</v>
      </c>
      <c r="D5322" s="3" t="s">
        <v>206</v>
      </c>
      <c r="E5322" s="3" t="s">
        <v>100</v>
      </c>
      <c r="F5322" s="7">
        <v>45852.912795648226</v>
      </c>
      <c r="G5322" s="3" t="s">
        <v>16026</v>
      </c>
    </row>
    <row r="5323">
      <c r="A5323" s="3" t="s">
        <v>16027</v>
      </c>
      <c r="B5323" s="3" t="s">
        <v>5130</v>
      </c>
      <c r="C5323" s="5" t="s">
        <v>206</v>
      </c>
      <c r="D5323" s="3" t="s">
        <v>68</v>
      </c>
      <c r="E5323" s="3" t="s">
        <v>100</v>
      </c>
      <c r="F5323" s="7">
        <v>45852.916267870445</v>
      </c>
      <c r="G5323" s="3" t="s">
        <v>16029</v>
      </c>
    </row>
    <row r="5324">
      <c r="A5324" s="3" t="s">
        <v>16030</v>
      </c>
      <c r="B5324" s="3" t="s">
        <v>5133</v>
      </c>
      <c r="C5324" s="5" t="s">
        <v>45</v>
      </c>
      <c r="D5324" s="3" t="s">
        <v>221</v>
      </c>
      <c r="E5324" s="3" t="s">
        <v>215</v>
      </c>
      <c r="F5324" s="7">
        <v>45852.9770260492</v>
      </c>
      <c r="G5324" s="3" t="s">
        <v>16032</v>
      </c>
    </row>
    <row r="5325">
      <c r="A5325" s="3" t="s">
        <v>16033</v>
      </c>
      <c r="B5325" s="3" t="s">
        <v>5133</v>
      </c>
      <c r="C5325" s="5" t="s">
        <v>221</v>
      </c>
      <c r="D5325" s="3" t="s">
        <v>614</v>
      </c>
      <c r="E5325" s="3" t="s">
        <v>118</v>
      </c>
      <c r="F5325" s="7">
        <v>45852.98049827142</v>
      </c>
      <c r="G5325" s="3" t="s">
        <v>16035</v>
      </c>
    </row>
    <row r="5326">
      <c r="A5326" s="3" t="s">
        <v>16036</v>
      </c>
      <c r="B5326" s="3" t="s">
        <v>5133</v>
      </c>
      <c r="C5326" s="5" t="s">
        <v>614</v>
      </c>
      <c r="D5326" s="3" t="s">
        <v>206</v>
      </c>
      <c r="E5326" s="3" t="s">
        <v>100</v>
      </c>
      <c r="F5326" s="7">
        <v>45852.983970493646</v>
      </c>
      <c r="G5326" s="3" t="s">
        <v>16037</v>
      </c>
    </row>
    <row r="5327">
      <c r="A5327" s="3" t="s">
        <v>16039</v>
      </c>
      <c r="B5327" s="3" t="s">
        <v>5133</v>
      </c>
      <c r="C5327" s="5" t="s">
        <v>206</v>
      </c>
      <c r="D5327" s="3" t="s">
        <v>68</v>
      </c>
      <c r="E5327" s="3" t="s">
        <v>100</v>
      </c>
      <c r="F5327" s="7">
        <v>45852.987442715865</v>
      </c>
      <c r="G5327" s="3" t="s">
        <v>16040</v>
      </c>
    </row>
    <row r="5328">
      <c r="A5328" s="3" t="s">
        <v>16041</v>
      </c>
      <c r="B5328" s="3" t="s">
        <v>5137</v>
      </c>
      <c r="C5328" s="5" t="s">
        <v>45</v>
      </c>
      <c r="D5328" s="3" t="s">
        <v>221</v>
      </c>
      <c r="E5328" s="3" t="s">
        <v>689</v>
      </c>
      <c r="F5328" s="7">
        <v>45853.04820089462</v>
      </c>
      <c r="G5328" s="3" t="s">
        <v>16043</v>
      </c>
    </row>
    <row r="5329">
      <c r="A5329" s="3" t="s">
        <v>16044</v>
      </c>
      <c r="B5329" s="3" t="s">
        <v>5137</v>
      </c>
      <c r="C5329" s="5" t="s">
        <v>221</v>
      </c>
      <c r="D5329" s="3" t="s">
        <v>614</v>
      </c>
      <c r="E5329" s="3" t="s">
        <v>118</v>
      </c>
      <c r="F5329" s="7">
        <v>45853.05167311684</v>
      </c>
      <c r="G5329" s="3" t="s">
        <v>16046</v>
      </c>
    </row>
    <row r="5330">
      <c r="A5330" s="3" t="s">
        <v>16047</v>
      </c>
      <c r="B5330" s="3" t="s">
        <v>5137</v>
      </c>
      <c r="C5330" s="5" t="s">
        <v>614</v>
      </c>
      <c r="D5330" s="3" t="s">
        <v>206</v>
      </c>
      <c r="E5330" s="3" t="s">
        <v>100</v>
      </c>
      <c r="F5330" s="7">
        <v>45853.055145339065</v>
      </c>
      <c r="G5330" s="3" t="s">
        <v>16049</v>
      </c>
    </row>
    <row r="5331">
      <c r="A5331" s="3" t="s">
        <v>16050</v>
      </c>
      <c r="B5331" s="3" t="s">
        <v>5137</v>
      </c>
      <c r="C5331" s="5" t="s">
        <v>206</v>
      </c>
      <c r="D5331" s="3" t="s">
        <v>68</v>
      </c>
      <c r="E5331" s="3" t="s">
        <v>100</v>
      </c>
      <c r="F5331" s="7">
        <v>45853.058617561284</v>
      </c>
      <c r="G5331" s="3" t="s">
        <v>16052</v>
      </c>
    </row>
    <row r="5332">
      <c r="A5332" s="3" t="s">
        <v>16053</v>
      </c>
      <c r="B5332" s="3" t="s">
        <v>5141</v>
      </c>
      <c r="C5332" s="5" t="s">
        <v>45</v>
      </c>
      <c r="D5332" s="3" t="s">
        <v>221</v>
      </c>
      <c r="E5332" s="3" t="s">
        <v>993</v>
      </c>
      <c r="F5332" s="7">
        <v>45853.11937574003</v>
      </c>
      <c r="G5332" s="3" t="s">
        <v>16055</v>
      </c>
    </row>
    <row r="5333">
      <c r="A5333" s="3" t="s">
        <v>16056</v>
      </c>
      <c r="B5333" s="3" t="s">
        <v>5141</v>
      </c>
      <c r="C5333" s="5" t="s">
        <v>221</v>
      </c>
      <c r="D5333" s="3" t="s">
        <v>614</v>
      </c>
      <c r="E5333" s="3" t="s">
        <v>118</v>
      </c>
      <c r="F5333" s="7">
        <v>45853.12284796225</v>
      </c>
      <c r="G5333" s="3" t="s">
        <v>16057</v>
      </c>
    </row>
    <row r="5334">
      <c r="A5334" s="3" t="s">
        <v>16059</v>
      </c>
      <c r="B5334" s="3" t="s">
        <v>5141</v>
      </c>
      <c r="C5334" s="5" t="s">
        <v>614</v>
      </c>
      <c r="D5334" s="3" t="s">
        <v>206</v>
      </c>
      <c r="E5334" s="3" t="s">
        <v>100</v>
      </c>
      <c r="F5334" s="7">
        <v>45853.12632018448</v>
      </c>
      <c r="G5334" s="3" t="s">
        <v>16060</v>
      </c>
    </row>
    <row r="5335">
      <c r="A5335" s="3" t="s">
        <v>16061</v>
      </c>
      <c r="B5335" s="3" t="s">
        <v>5141</v>
      </c>
      <c r="C5335" s="5" t="s">
        <v>206</v>
      </c>
      <c r="D5335" s="3" t="s">
        <v>68</v>
      </c>
      <c r="E5335" s="3" t="s">
        <v>100</v>
      </c>
      <c r="F5335" s="7">
        <v>45853.1297924067</v>
      </c>
      <c r="G5335" s="3" t="s">
        <v>16063</v>
      </c>
    </row>
    <row r="5336">
      <c r="A5336" s="3" t="s">
        <v>16064</v>
      </c>
      <c r="B5336" s="3" t="s">
        <v>5144</v>
      </c>
      <c r="C5336" s="5" t="s">
        <v>45</v>
      </c>
      <c r="D5336" s="3" t="s">
        <v>221</v>
      </c>
      <c r="E5336" s="3" t="s">
        <v>557</v>
      </c>
      <c r="F5336" s="7">
        <v>45853.190550585445</v>
      </c>
      <c r="G5336" s="3" t="s">
        <v>16066</v>
      </c>
    </row>
    <row r="5337">
      <c r="A5337" s="3" t="s">
        <v>16067</v>
      </c>
      <c r="B5337" s="3" t="s">
        <v>5144</v>
      </c>
      <c r="C5337" s="5" t="s">
        <v>221</v>
      </c>
      <c r="D5337" s="3" t="s">
        <v>614</v>
      </c>
      <c r="E5337" s="3" t="s">
        <v>118</v>
      </c>
      <c r="F5337" s="7">
        <v>45853.194022807664</v>
      </c>
      <c r="G5337" s="3" t="s">
        <v>16069</v>
      </c>
    </row>
    <row r="5338">
      <c r="A5338" s="3" t="s">
        <v>16070</v>
      </c>
      <c r="B5338" s="3" t="s">
        <v>5144</v>
      </c>
      <c r="C5338" s="5" t="s">
        <v>614</v>
      </c>
      <c r="D5338" s="3" t="s">
        <v>206</v>
      </c>
      <c r="E5338" s="3" t="s">
        <v>100</v>
      </c>
      <c r="F5338" s="7">
        <v>45853.19749502989</v>
      </c>
      <c r="G5338" s="3" t="s">
        <v>16072</v>
      </c>
    </row>
    <row r="5339">
      <c r="A5339" s="3" t="s">
        <v>16073</v>
      </c>
      <c r="B5339" s="3" t="s">
        <v>5144</v>
      </c>
      <c r="C5339" s="5" t="s">
        <v>206</v>
      </c>
      <c r="D5339" s="3" t="s">
        <v>68</v>
      </c>
      <c r="E5339" s="3" t="s">
        <v>100</v>
      </c>
      <c r="F5339" s="7">
        <v>45853.20096725211</v>
      </c>
      <c r="G5339" s="3" t="s">
        <v>16074</v>
      </c>
    </row>
    <row r="5340">
      <c r="A5340" s="3" t="s">
        <v>16075</v>
      </c>
      <c r="B5340" s="3" t="s">
        <v>5147</v>
      </c>
      <c r="C5340" s="5" t="s">
        <v>45</v>
      </c>
      <c r="D5340" s="3" t="s">
        <v>221</v>
      </c>
      <c r="E5340" s="3" t="s">
        <v>627</v>
      </c>
      <c r="F5340" s="7">
        <v>45853.261725430864</v>
      </c>
      <c r="G5340" s="3" t="s">
        <v>16077</v>
      </c>
    </row>
    <row r="5341">
      <c r="A5341" s="3" t="s">
        <v>16078</v>
      </c>
      <c r="B5341" s="3" t="s">
        <v>5147</v>
      </c>
      <c r="C5341" s="5" t="s">
        <v>221</v>
      </c>
      <c r="D5341" s="3" t="s">
        <v>614</v>
      </c>
      <c r="E5341" s="3" t="s">
        <v>118</v>
      </c>
      <c r="F5341" s="7">
        <v>45853.26519765308</v>
      </c>
      <c r="G5341" s="3" t="s">
        <v>16080</v>
      </c>
    </row>
    <row r="5342">
      <c r="A5342" s="3" t="s">
        <v>16081</v>
      </c>
      <c r="B5342" s="3" t="s">
        <v>5147</v>
      </c>
      <c r="C5342" s="5" t="s">
        <v>614</v>
      </c>
      <c r="D5342" s="3" t="s">
        <v>206</v>
      </c>
      <c r="E5342" s="3" t="s">
        <v>100</v>
      </c>
      <c r="F5342" s="7">
        <v>45853.26866987531</v>
      </c>
      <c r="G5342" s="3" t="s">
        <v>16083</v>
      </c>
    </row>
    <row r="5343">
      <c r="A5343" s="3" t="s">
        <v>16084</v>
      </c>
      <c r="B5343" s="3" t="s">
        <v>5147</v>
      </c>
      <c r="C5343" s="5" t="s">
        <v>206</v>
      </c>
      <c r="D5343" s="3" t="s">
        <v>68</v>
      </c>
      <c r="E5343" s="3" t="s">
        <v>100</v>
      </c>
      <c r="F5343" s="7">
        <v>45853.27214209753</v>
      </c>
      <c r="G5343" s="3" t="s">
        <v>16086</v>
      </c>
    </row>
    <row r="5344">
      <c r="A5344" s="3" t="s">
        <v>16087</v>
      </c>
      <c r="B5344" s="3" t="s">
        <v>5151</v>
      </c>
      <c r="C5344" s="5" t="s">
        <v>45</v>
      </c>
      <c r="D5344" s="3" t="s">
        <v>221</v>
      </c>
      <c r="E5344" s="3" t="s">
        <v>366</v>
      </c>
      <c r="F5344" s="7">
        <v>45853.33290027628</v>
      </c>
      <c r="G5344" s="3" t="s">
        <v>16089</v>
      </c>
    </row>
    <row r="5345">
      <c r="A5345" s="3" t="s">
        <v>16090</v>
      </c>
      <c r="B5345" s="3" t="s">
        <v>5151</v>
      </c>
      <c r="C5345" s="5" t="s">
        <v>221</v>
      </c>
      <c r="D5345" s="3" t="s">
        <v>614</v>
      </c>
      <c r="E5345" s="3" t="s">
        <v>118</v>
      </c>
      <c r="F5345" s="7">
        <v>45853.336372498496</v>
      </c>
      <c r="G5345" s="3" t="s">
        <v>16091</v>
      </c>
    </row>
    <row r="5346">
      <c r="A5346" s="3" t="s">
        <v>16093</v>
      </c>
      <c r="B5346" s="3" t="s">
        <v>5151</v>
      </c>
      <c r="C5346" s="5" t="s">
        <v>614</v>
      </c>
      <c r="D5346" s="3" t="s">
        <v>206</v>
      </c>
      <c r="E5346" s="3" t="s">
        <v>100</v>
      </c>
      <c r="F5346" s="7">
        <v>45853.33984472072</v>
      </c>
      <c r="G5346" s="3" t="s">
        <v>16094</v>
      </c>
    </row>
    <row r="5347">
      <c r="A5347" s="3" t="s">
        <v>16095</v>
      </c>
      <c r="B5347" s="3" t="s">
        <v>5151</v>
      </c>
      <c r="C5347" s="5" t="s">
        <v>206</v>
      </c>
      <c r="D5347" s="3" t="s">
        <v>68</v>
      </c>
      <c r="E5347" s="3" t="s">
        <v>100</v>
      </c>
      <c r="F5347" s="7">
        <v>45853.34331694294</v>
      </c>
      <c r="G5347" s="3" t="s">
        <v>16097</v>
      </c>
    </row>
    <row r="5348">
      <c r="A5348" s="3" t="s">
        <v>16098</v>
      </c>
      <c r="B5348" s="3" t="s">
        <v>5155</v>
      </c>
      <c r="C5348" s="5" t="s">
        <v>45</v>
      </c>
      <c r="D5348" s="3" t="s">
        <v>221</v>
      </c>
      <c r="E5348" s="3" t="s">
        <v>734</v>
      </c>
      <c r="F5348" s="7">
        <v>45853.40407512169</v>
      </c>
      <c r="G5348" s="3" t="s">
        <v>16100</v>
      </c>
    </row>
    <row r="5349">
      <c r="A5349" s="3" t="s">
        <v>16101</v>
      </c>
      <c r="B5349" s="3" t="s">
        <v>5155</v>
      </c>
      <c r="C5349" s="5" t="s">
        <v>221</v>
      </c>
      <c r="D5349" s="3" t="s">
        <v>614</v>
      </c>
      <c r="E5349" s="3" t="s">
        <v>118</v>
      </c>
      <c r="F5349" s="7">
        <v>45853.40754734391</v>
      </c>
      <c r="G5349" s="3" t="s">
        <v>16102</v>
      </c>
    </row>
    <row r="5350">
      <c r="A5350" s="3" t="s">
        <v>16104</v>
      </c>
      <c r="B5350" s="3" t="s">
        <v>5155</v>
      </c>
      <c r="C5350" s="5" t="s">
        <v>614</v>
      </c>
      <c r="D5350" s="3" t="s">
        <v>206</v>
      </c>
      <c r="E5350" s="3" t="s">
        <v>100</v>
      </c>
      <c r="F5350" s="7">
        <v>45853.411019566134</v>
      </c>
      <c r="G5350" s="3" t="s">
        <v>16105</v>
      </c>
    </row>
    <row r="5351">
      <c r="A5351" s="3" t="s">
        <v>16106</v>
      </c>
      <c r="B5351" s="3" t="s">
        <v>5155</v>
      </c>
      <c r="C5351" s="5" t="s">
        <v>206</v>
      </c>
      <c r="D5351" s="3" t="s">
        <v>68</v>
      </c>
      <c r="E5351" s="3" t="s">
        <v>100</v>
      </c>
      <c r="F5351" s="7">
        <v>45853.41449178835</v>
      </c>
      <c r="G5351" s="3" t="s">
        <v>16108</v>
      </c>
    </row>
    <row r="5352">
      <c r="A5352" s="3" t="s">
        <v>16109</v>
      </c>
      <c r="B5352" s="3" t="s">
        <v>5158</v>
      </c>
      <c r="C5352" s="5" t="s">
        <v>45</v>
      </c>
      <c r="D5352" s="3" t="s">
        <v>221</v>
      </c>
      <c r="E5352" s="3" t="s">
        <v>369</v>
      </c>
      <c r="F5352" s="7">
        <v>45853.47524996711</v>
      </c>
      <c r="G5352" s="3" t="s">
        <v>16111</v>
      </c>
    </row>
    <row r="5353">
      <c r="A5353" s="3" t="s">
        <v>16112</v>
      </c>
      <c r="B5353" s="3" t="s">
        <v>5158</v>
      </c>
      <c r="C5353" s="5" t="s">
        <v>221</v>
      </c>
      <c r="D5353" s="3" t="s">
        <v>614</v>
      </c>
      <c r="E5353" s="3" t="s">
        <v>118</v>
      </c>
      <c r="F5353" s="7">
        <v>45853.47872218933</v>
      </c>
      <c r="G5353" s="3" t="s">
        <v>16113</v>
      </c>
    </row>
    <row r="5354">
      <c r="A5354" s="3" t="s">
        <v>16115</v>
      </c>
      <c r="B5354" s="3" t="s">
        <v>5158</v>
      </c>
      <c r="C5354" s="5" t="s">
        <v>614</v>
      </c>
      <c r="D5354" s="3" t="s">
        <v>206</v>
      </c>
      <c r="E5354" s="3" t="s">
        <v>100</v>
      </c>
      <c r="F5354" s="7">
        <v>45853.482194411554</v>
      </c>
      <c r="G5354" s="3" t="s">
        <v>16116</v>
      </c>
    </row>
    <row r="5355">
      <c r="A5355" s="3" t="s">
        <v>16117</v>
      </c>
      <c r="B5355" s="3" t="s">
        <v>5158</v>
      </c>
      <c r="C5355" s="5" t="s">
        <v>206</v>
      </c>
      <c r="D5355" s="3" t="s">
        <v>68</v>
      </c>
      <c r="E5355" s="3" t="s">
        <v>100</v>
      </c>
      <c r="F5355" s="7">
        <v>45853.48566663377</v>
      </c>
      <c r="G5355" s="3" t="s">
        <v>16118</v>
      </c>
    </row>
    <row r="5356">
      <c r="A5356" s="3" t="s">
        <v>16119</v>
      </c>
      <c r="B5356" s="3" t="s">
        <v>5161</v>
      </c>
      <c r="C5356" s="5" t="s">
        <v>45</v>
      </c>
      <c r="D5356" s="3" t="s">
        <v>221</v>
      </c>
      <c r="E5356" s="3" t="s">
        <v>586</v>
      </c>
      <c r="F5356" s="7">
        <v>45853.54642481253</v>
      </c>
      <c r="G5356" s="3" t="s">
        <v>16121</v>
      </c>
    </row>
    <row r="5357">
      <c r="A5357" s="3" t="s">
        <v>16123</v>
      </c>
      <c r="B5357" s="3" t="s">
        <v>5161</v>
      </c>
      <c r="C5357" s="5" t="s">
        <v>221</v>
      </c>
      <c r="D5357" s="3" t="s">
        <v>614</v>
      </c>
      <c r="E5357" s="3" t="s">
        <v>118</v>
      </c>
      <c r="F5357" s="7">
        <v>45853.54989703475</v>
      </c>
      <c r="G5357" s="3" t="s">
        <v>16124</v>
      </c>
    </row>
    <row r="5358">
      <c r="A5358" s="3" t="s">
        <v>16126</v>
      </c>
      <c r="B5358" s="3" t="s">
        <v>5161</v>
      </c>
      <c r="C5358" s="5" t="s">
        <v>614</v>
      </c>
      <c r="D5358" s="3" t="s">
        <v>206</v>
      </c>
      <c r="E5358" s="3" t="s">
        <v>100</v>
      </c>
      <c r="F5358" s="7">
        <v>45853.55336925697</v>
      </c>
      <c r="G5358" s="3" t="s">
        <v>16127</v>
      </c>
    </row>
    <row r="5359">
      <c r="A5359" s="3" t="s">
        <v>16128</v>
      </c>
      <c r="B5359" s="3" t="s">
        <v>5161</v>
      </c>
      <c r="C5359" s="5" t="s">
        <v>206</v>
      </c>
      <c r="D5359" s="3" t="s">
        <v>68</v>
      </c>
      <c r="E5359" s="3" t="s">
        <v>100</v>
      </c>
      <c r="F5359" s="7">
        <v>45853.55684147919</v>
      </c>
      <c r="G5359" s="3" t="s">
        <v>16130</v>
      </c>
    </row>
    <row r="5360">
      <c r="A5360" s="3" t="s">
        <v>16131</v>
      </c>
      <c r="B5360" s="3" t="s">
        <v>5164</v>
      </c>
      <c r="C5360" s="5" t="s">
        <v>45</v>
      </c>
      <c r="D5360" s="3" t="s">
        <v>221</v>
      </c>
      <c r="E5360" s="3" t="s">
        <v>193</v>
      </c>
      <c r="F5360" s="7">
        <v>45853.61759965793</v>
      </c>
      <c r="G5360" s="3" t="s">
        <v>16133</v>
      </c>
    </row>
    <row r="5361">
      <c r="A5361" s="3" t="s">
        <v>16134</v>
      </c>
      <c r="B5361" s="3" t="s">
        <v>5164</v>
      </c>
      <c r="C5361" s="5" t="s">
        <v>221</v>
      </c>
      <c r="D5361" s="3" t="s">
        <v>614</v>
      </c>
      <c r="E5361" s="3" t="s">
        <v>118</v>
      </c>
      <c r="F5361" s="7">
        <v>45853.62107188015</v>
      </c>
      <c r="G5361" s="3" t="s">
        <v>16136</v>
      </c>
    </row>
    <row r="5362">
      <c r="A5362" s="3" t="s">
        <v>16137</v>
      </c>
      <c r="B5362" s="3" t="s">
        <v>5164</v>
      </c>
      <c r="C5362" s="5" t="s">
        <v>614</v>
      </c>
      <c r="D5362" s="3" t="s">
        <v>206</v>
      </c>
      <c r="E5362" s="3" t="s">
        <v>100</v>
      </c>
      <c r="F5362" s="7">
        <v>45853.62454410238</v>
      </c>
      <c r="G5362" s="3" t="s">
        <v>16138</v>
      </c>
    </row>
    <row r="5363">
      <c r="A5363" s="3" t="s">
        <v>16139</v>
      </c>
      <c r="B5363" s="3" t="s">
        <v>5164</v>
      </c>
      <c r="C5363" s="5" t="s">
        <v>206</v>
      </c>
      <c r="D5363" s="3" t="s">
        <v>68</v>
      </c>
      <c r="E5363" s="3" t="s">
        <v>100</v>
      </c>
      <c r="F5363" s="7">
        <v>45853.6280163246</v>
      </c>
      <c r="G5363" s="3" t="s">
        <v>16141</v>
      </c>
    </row>
    <row r="5364">
      <c r="A5364" s="3" t="s">
        <v>16142</v>
      </c>
      <c r="B5364" s="3" t="s">
        <v>5167</v>
      </c>
      <c r="C5364" s="5" t="s">
        <v>45</v>
      </c>
      <c r="D5364" s="3" t="s">
        <v>221</v>
      </c>
      <c r="E5364" s="3" t="s">
        <v>640</v>
      </c>
      <c r="F5364" s="7">
        <v>45853.68877450335</v>
      </c>
      <c r="G5364" s="3" t="s">
        <v>16144</v>
      </c>
    </row>
    <row r="5365">
      <c r="A5365" s="3" t="s">
        <v>16145</v>
      </c>
      <c r="B5365" s="3" t="s">
        <v>5167</v>
      </c>
      <c r="C5365" s="5" t="s">
        <v>221</v>
      </c>
      <c r="D5365" s="3" t="s">
        <v>614</v>
      </c>
      <c r="E5365" s="3" t="s">
        <v>118</v>
      </c>
      <c r="F5365" s="7">
        <v>45853.69224672557</v>
      </c>
      <c r="G5365" s="3" t="s">
        <v>16147</v>
      </c>
    </row>
    <row r="5366">
      <c r="A5366" s="3" t="s">
        <v>16148</v>
      </c>
      <c r="B5366" s="3" t="s">
        <v>5167</v>
      </c>
      <c r="C5366" s="5" t="s">
        <v>614</v>
      </c>
      <c r="D5366" s="3" t="s">
        <v>206</v>
      </c>
      <c r="E5366" s="3" t="s">
        <v>100</v>
      </c>
      <c r="F5366" s="7">
        <v>45853.6957189478</v>
      </c>
      <c r="G5366" s="3" t="s">
        <v>16150</v>
      </c>
    </row>
    <row r="5367">
      <c r="A5367" s="3" t="s">
        <v>16151</v>
      </c>
      <c r="B5367" s="3" t="s">
        <v>5167</v>
      </c>
      <c r="C5367" s="5" t="s">
        <v>206</v>
      </c>
      <c r="D5367" s="3" t="s">
        <v>68</v>
      </c>
      <c r="E5367" s="3" t="s">
        <v>100</v>
      </c>
      <c r="F5367" s="7">
        <v>45853.69919117002</v>
      </c>
      <c r="G5367" s="3" t="s">
        <v>16153</v>
      </c>
    </row>
    <row r="5368">
      <c r="A5368" s="3" t="s">
        <v>16154</v>
      </c>
      <c r="B5368" s="3" t="s">
        <v>5170</v>
      </c>
      <c r="C5368" s="5" t="s">
        <v>45</v>
      </c>
      <c r="D5368" s="3" t="s">
        <v>221</v>
      </c>
      <c r="E5368" s="3" t="s">
        <v>485</v>
      </c>
      <c r="F5368" s="7">
        <v>45853.759949348765</v>
      </c>
      <c r="G5368" s="3" t="s">
        <v>16156</v>
      </c>
    </row>
    <row r="5369">
      <c r="A5369" s="3" t="s">
        <v>16157</v>
      </c>
      <c r="B5369" s="3" t="s">
        <v>5170</v>
      </c>
      <c r="C5369" s="5" t="s">
        <v>221</v>
      </c>
      <c r="D5369" s="3" t="s">
        <v>614</v>
      </c>
      <c r="E5369" s="3" t="s">
        <v>118</v>
      </c>
      <c r="F5369" s="7">
        <v>45853.763421570984</v>
      </c>
      <c r="G5369" s="3" t="s">
        <v>16158</v>
      </c>
    </row>
    <row r="5370">
      <c r="A5370" s="3" t="s">
        <v>16160</v>
      </c>
      <c r="B5370" s="3" t="s">
        <v>5170</v>
      </c>
      <c r="C5370" s="5" t="s">
        <v>614</v>
      </c>
      <c r="D5370" s="3" t="s">
        <v>206</v>
      </c>
      <c r="E5370" s="3" t="s">
        <v>100</v>
      </c>
      <c r="F5370" s="7">
        <v>45853.76689379321</v>
      </c>
      <c r="G5370" s="3" t="s">
        <v>16161</v>
      </c>
    </row>
    <row r="5371">
      <c r="A5371" s="3" t="s">
        <v>16162</v>
      </c>
      <c r="B5371" s="3" t="s">
        <v>5170</v>
      </c>
      <c r="C5371" s="5" t="s">
        <v>206</v>
      </c>
      <c r="D5371" s="3" t="s">
        <v>68</v>
      </c>
      <c r="E5371" s="3" t="s">
        <v>100</v>
      </c>
      <c r="F5371" s="7">
        <v>45853.77036601543</v>
      </c>
      <c r="G5371" s="3" t="s">
        <v>16164</v>
      </c>
    </row>
    <row r="5372">
      <c r="A5372" s="3" t="s">
        <v>16165</v>
      </c>
      <c r="B5372" s="3" t="s">
        <v>5173</v>
      </c>
      <c r="C5372" s="5" t="s">
        <v>45</v>
      </c>
      <c r="D5372" s="3" t="s">
        <v>221</v>
      </c>
      <c r="E5372" s="3" t="s">
        <v>453</v>
      </c>
      <c r="F5372" s="7">
        <v>45853.831124194185</v>
      </c>
      <c r="G5372" s="3" t="s">
        <v>16167</v>
      </c>
    </row>
    <row r="5373">
      <c r="A5373" s="3" t="s">
        <v>16168</v>
      </c>
      <c r="B5373" s="3" t="s">
        <v>5173</v>
      </c>
      <c r="C5373" s="5" t="s">
        <v>221</v>
      </c>
      <c r="D5373" s="3" t="s">
        <v>614</v>
      </c>
      <c r="E5373" s="3" t="s">
        <v>118</v>
      </c>
      <c r="F5373" s="7">
        <v>45853.834596416404</v>
      </c>
      <c r="G5373" s="3" t="s">
        <v>16170</v>
      </c>
    </row>
    <row r="5374">
      <c r="A5374" s="3" t="s">
        <v>16171</v>
      </c>
      <c r="B5374" s="3" t="s">
        <v>5173</v>
      </c>
      <c r="C5374" s="5" t="s">
        <v>614</v>
      </c>
      <c r="D5374" s="3" t="s">
        <v>206</v>
      </c>
      <c r="E5374" s="3" t="s">
        <v>100</v>
      </c>
      <c r="F5374" s="7">
        <v>45853.83806863863</v>
      </c>
      <c r="G5374" s="3" t="s">
        <v>16172</v>
      </c>
    </row>
    <row r="5375">
      <c r="A5375" s="3" t="s">
        <v>16174</v>
      </c>
      <c r="B5375" s="3" t="s">
        <v>5173</v>
      </c>
      <c r="C5375" s="5" t="s">
        <v>206</v>
      </c>
      <c r="D5375" s="3" t="s">
        <v>68</v>
      </c>
      <c r="E5375" s="3" t="s">
        <v>100</v>
      </c>
      <c r="F5375" s="7">
        <v>45853.84154086085</v>
      </c>
      <c r="G5375" s="3" t="s">
        <v>16175</v>
      </c>
    </row>
    <row r="5376">
      <c r="A5376" s="3" t="s">
        <v>16176</v>
      </c>
      <c r="B5376" s="3" t="s">
        <v>5176</v>
      </c>
      <c r="C5376" s="5" t="s">
        <v>45</v>
      </c>
      <c r="D5376" s="3" t="s">
        <v>221</v>
      </c>
      <c r="E5376" s="3" t="s">
        <v>678</v>
      </c>
      <c r="F5376" s="7">
        <v>45853.9022990396</v>
      </c>
      <c r="G5376" s="3" t="s">
        <v>16178</v>
      </c>
    </row>
    <row r="5377">
      <c r="A5377" s="3" t="s">
        <v>16179</v>
      </c>
      <c r="B5377" s="3" t="s">
        <v>5176</v>
      </c>
      <c r="C5377" s="5" t="s">
        <v>221</v>
      </c>
      <c r="D5377" s="3" t="s">
        <v>614</v>
      </c>
      <c r="E5377" s="3" t="s">
        <v>118</v>
      </c>
      <c r="F5377" s="7">
        <v>45853.905771261816</v>
      </c>
      <c r="G5377" s="3" t="s">
        <v>16181</v>
      </c>
    </row>
    <row r="5378">
      <c r="A5378" s="3" t="s">
        <v>16182</v>
      </c>
      <c r="B5378" s="3" t="s">
        <v>5176</v>
      </c>
      <c r="C5378" s="5" t="s">
        <v>614</v>
      </c>
      <c r="D5378" s="3" t="s">
        <v>206</v>
      </c>
      <c r="E5378" s="3" t="s">
        <v>100</v>
      </c>
      <c r="F5378" s="7">
        <v>45853.90924348404</v>
      </c>
      <c r="G5378" s="3" t="s">
        <v>16184</v>
      </c>
    </row>
    <row r="5379">
      <c r="A5379" s="3" t="s">
        <v>16185</v>
      </c>
      <c r="B5379" s="3" t="s">
        <v>5176</v>
      </c>
      <c r="C5379" s="5" t="s">
        <v>206</v>
      </c>
      <c r="D5379" s="3" t="s">
        <v>68</v>
      </c>
      <c r="E5379" s="3" t="s">
        <v>100</v>
      </c>
      <c r="F5379" s="7">
        <v>45853.91271570626</v>
      </c>
      <c r="G5379" s="3" t="s">
        <v>16186</v>
      </c>
    </row>
    <row r="5380">
      <c r="A5380" s="3" t="s">
        <v>16188</v>
      </c>
      <c r="B5380" s="3" t="s">
        <v>5179</v>
      </c>
      <c r="C5380" s="5" t="s">
        <v>45</v>
      </c>
      <c r="D5380" s="3" t="s">
        <v>221</v>
      </c>
      <c r="E5380" s="3" t="s">
        <v>299</v>
      </c>
      <c r="F5380" s="7">
        <v>45853.97347388502</v>
      </c>
      <c r="G5380" s="3" t="s">
        <v>16190</v>
      </c>
    </row>
    <row r="5381">
      <c r="A5381" s="3" t="s">
        <v>16191</v>
      </c>
      <c r="B5381" s="3" t="s">
        <v>5179</v>
      </c>
      <c r="C5381" s="5" t="s">
        <v>221</v>
      </c>
      <c r="D5381" s="3" t="s">
        <v>614</v>
      </c>
      <c r="E5381" s="3" t="s">
        <v>118</v>
      </c>
      <c r="F5381" s="7">
        <v>45853.976946107236</v>
      </c>
      <c r="G5381" s="3" t="s">
        <v>16192</v>
      </c>
    </row>
    <row r="5382">
      <c r="A5382" s="3" t="s">
        <v>16193</v>
      </c>
      <c r="B5382" s="3" t="s">
        <v>5179</v>
      </c>
      <c r="C5382" s="5" t="s">
        <v>614</v>
      </c>
      <c r="D5382" s="3" t="s">
        <v>206</v>
      </c>
      <c r="E5382" s="3" t="s">
        <v>100</v>
      </c>
      <c r="F5382" s="7">
        <v>45853.98041832946</v>
      </c>
      <c r="G5382" s="3" t="s">
        <v>16195</v>
      </c>
    </row>
    <row r="5383">
      <c r="A5383" s="3" t="s">
        <v>16196</v>
      </c>
      <c r="B5383" s="3" t="s">
        <v>5179</v>
      </c>
      <c r="C5383" s="5" t="s">
        <v>206</v>
      </c>
      <c r="D5383" s="3" t="s">
        <v>68</v>
      </c>
      <c r="E5383" s="3" t="s">
        <v>100</v>
      </c>
      <c r="F5383" s="7">
        <v>45853.98389055168</v>
      </c>
      <c r="G5383" s="3" t="s">
        <v>16198</v>
      </c>
    </row>
    <row r="5384">
      <c r="A5384" s="3" t="s">
        <v>16199</v>
      </c>
      <c r="B5384" s="3" t="s">
        <v>5182</v>
      </c>
      <c r="C5384" s="5" t="s">
        <v>45</v>
      </c>
      <c r="D5384" s="3" t="s">
        <v>221</v>
      </c>
      <c r="E5384" s="3" t="s">
        <v>826</v>
      </c>
      <c r="F5384" s="7">
        <v>45854.04464873042</v>
      </c>
      <c r="G5384" s="3" t="s">
        <v>16201</v>
      </c>
    </row>
    <row r="5385">
      <c r="A5385" s="3" t="s">
        <v>16202</v>
      </c>
      <c r="B5385" s="3" t="s">
        <v>5182</v>
      </c>
      <c r="C5385" s="5" t="s">
        <v>221</v>
      </c>
      <c r="D5385" s="3" t="s">
        <v>614</v>
      </c>
      <c r="E5385" s="3" t="s">
        <v>118</v>
      </c>
      <c r="F5385" s="7">
        <v>45854.04812095264</v>
      </c>
      <c r="G5385" s="3" t="s">
        <v>16203</v>
      </c>
    </row>
    <row r="5386">
      <c r="A5386" s="3" t="s">
        <v>16205</v>
      </c>
      <c r="B5386" s="3" t="s">
        <v>5182</v>
      </c>
      <c r="C5386" s="5" t="s">
        <v>614</v>
      </c>
      <c r="D5386" s="3" t="s">
        <v>206</v>
      </c>
      <c r="E5386" s="3" t="s">
        <v>100</v>
      </c>
      <c r="F5386" s="7">
        <v>45854.05159317487</v>
      </c>
      <c r="G5386" s="3" t="s">
        <v>16206</v>
      </c>
    </row>
    <row r="5387">
      <c r="A5387" s="3" t="s">
        <v>16207</v>
      </c>
      <c r="B5387" s="3" t="s">
        <v>5182</v>
      </c>
      <c r="C5387" s="5" t="s">
        <v>206</v>
      </c>
      <c r="D5387" s="3" t="s">
        <v>68</v>
      </c>
      <c r="E5387" s="3" t="s">
        <v>100</v>
      </c>
      <c r="F5387" s="7">
        <v>45854.055065397086</v>
      </c>
      <c r="G5387" s="3" t="s">
        <v>16209</v>
      </c>
    </row>
    <row r="5388">
      <c r="A5388" s="3" t="s">
        <v>16210</v>
      </c>
      <c r="B5388" s="3" t="s">
        <v>5185</v>
      </c>
      <c r="C5388" s="5" t="s">
        <v>45</v>
      </c>
      <c r="D5388" s="3" t="s">
        <v>221</v>
      </c>
      <c r="E5388" s="3" t="s">
        <v>307</v>
      </c>
      <c r="F5388" s="7">
        <v>45854.11582357584</v>
      </c>
      <c r="G5388" s="3" t="s">
        <v>16212</v>
      </c>
    </row>
    <row r="5389">
      <c r="A5389" s="3" t="s">
        <v>16213</v>
      </c>
      <c r="B5389" s="3" t="s">
        <v>5185</v>
      </c>
      <c r="C5389" s="5" t="s">
        <v>221</v>
      </c>
      <c r="D5389" s="3" t="s">
        <v>614</v>
      </c>
      <c r="E5389" s="3" t="s">
        <v>118</v>
      </c>
      <c r="F5389" s="7">
        <v>45854.11929579806</v>
      </c>
      <c r="G5389" s="3" t="s">
        <v>16215</v>
      </c>
    </row>
    <row r="5390">
      <c r="A5390" s="3" t="s">
        <v>16216</v>
      </c>
      <c r="B5390" s="3" t="s">
        <v>5185</v>
      </c>
      <c r="C5390" s="5" t="s">
        <v>614</v>
      </c>
      <c r="D5390" s="3" t="s">
        <v>206</v>
      </c>
      <c r="E5390" s="3" t="s">
        <v>100</v>
      </c>
      <c r="F5390" s="7">
        <v>45854.12276802029</v>
      </c>
      <c r="G5390" s="3" t="s">
        <v>16218</v>
      </c>
    </row>
    <row r="5391">
      <c r="A5391" s="3" t="s">
        <v>16219</v>
      </c>
      <c r="B5391" s="3" t="s">
        <v>5185</v>
      </c>
      <c r="C5391" s="5" t="s">
        <v>206</v>
      </c>
      <c r="D5391" s="3" t="s">
        <v>68</v>
      </c>
      <c r="E5391" s="3" t="s">
        <v>100</v>
      </c>
      <c r="F5391" s="7">
        <v>45854.126240242505</v>
      </c>
      <c r="G5391" s="3" t="s">
        <v>16220</v>
      </c>
    </row>
    <row r="5392">
      <c r="A5392" s="3" t="s">
        <v>16221</v>
      </c>
      <c r="B5392" s="3" t="s">
        <v>5188</v>
      </c>
      <c r="C5392" s="5" t="s">
        <v>45</v>
      </c>
      <c r="D5392" s="3" t="s">
        <v>221</v>
      </c>
      <c r="E5392" s="3" t="s">
        <v>643</v>
      </c>
      <c r="F5392" s="7">
        <v>45854.18699842126</v>
      </c>
      <c r="G5392" s="3" t="s">
        <v>15182</v>
      </c>
    </row>
    <row r="5393">
      <c r="A5393" s="3" t="s">
        <v>16223</v>
      </c>
      <c r="B5393" s="3" t="s">
        <v>5188</v>
      </c>
      <c r="C5393" s="5" t="s">
        <v>221</v>
      </c>
      <c r="D5393" s="3" t="s">
        <v>614</v>
      </c>
      <c r="E5393" s="3" t="s">
        <v>118</v>
      </c>
      <c r="F5393" s="7">
        <v>45854.19047064348</v>
      </c>
      <c r="G5393" s="3" t="s">
        <v>15185</v>
      </c>
    </row>
    <row r="5394">
      <c r="A5394" s="3" t="s">
        <v>16225</v>
      </c>
      <c r="B5394" s="3" t="s">
        <v>5188</v>
      </c>
      <c r="C5394" s="5" t="s">
        <v>614</v>
      </c>
      <c r="D5394" s="3" t="s">
        <v>206</v>
      </c>
      <c r="E5394" s="3" t="s">
        <v>100</v>
      </c>
      <c r="F5394" s="7">
        <v>45854.193942865706</v>
      </c>
      <c r="G5394" s="3" t="s">
        <v>15189</v>
      </c>
    </row>
    <row r="5395">
      <c r="A5395" s="3" t="s">
        <v>16227</v>
      </c>
      <c r="B5395" s="3" t="s">
        <v>5188</v>
      </c>
      <c r="C5395" s="5" t="s">
        <v>206</v>
      </c>
      <c r="D5395" s="3" t="s">
        <v>68</v>
      </c>
      <c r="E5395" s="3" t="s">
        <v>100</v>
      </c>
      <c r="F5395" s="7">
        <v>45854.197415087925</v>
      </c>
      <c r="G5395" s="3" t="s">
        <v>15192</v>
      </c>
    </row>
    <row r="5396">
      <c r="A5396" s="3" t="s">
        <v>16229</v>
      </c>
      <c r="B5396" s="3" t="s">
        <v>5192</v>
      </c>
      <c r="C5396" s="5" t="s">
        <v>45</v>
      </c>
      <c r="D5396" s="3" t="s">
        <v>221</v>
      </c>
      <c r="E5396" s="3" t="s">
        <v>864</v>
      </c>
      <c r="F5396" s="7">
        <v>45854.25817326667</v>
      </c>
      <c r="G5396" s="3" t="s">
        <v>13803</v>
      </c>
    </row>
    <row r="5397">
      <c r="A5397" s="3" t="s">
        <v>16231</v>
      </c>
      <c r="B5397" s="3" t="s">
        <v>5192</v>
      </c>
      <c r="C5397" s="5" t="s">
        <v>221</v>
      </c>
      <c r="D5397" s="3" t="s">
        <v>614</v>
      </c>
      <c r="E5397" s="3" t="s">
        <v>118</v>
      </c>
      <c r="F5397" s="7">
        <v>45854.26164548889</v>
      </c>
      <c r="G5397" s="3" t="s">
        <v>13805</v>
      </c>
    </row>
    <row r="5398">
      <c r="A5398" s="3" t="s">
        <v>16233</v>
      </c>
      <c r="B5398" s="3" t="s">
        <v>5192</v>
      </c>
      <c r="C5398" s="5" t="s">
        <v>614</v>
      </c>
      <c r="D5398" s="3" t="s">
        <v>206</v>
      </c>
      <c r="E5398" s="3" t="s">
        <v>100</v>
      </c>
      <c r="F5398" s="7">
        <v>45854.26511771112</v>
      </c>
      <c r="G5398" s="3" t="s">
        <v>13808</v>
      </c>
    </row>
    <row r="5399">
      <c r="A5399" s="3" t="s">
        <v>16235</v>
      </c>
      <c r="B5399" s="3" t="s">
        <v>5192</v>
      </c>
      <c r="C5399" s="5" t="s">
        <v>206</v>
      </c>
      <c r="D5399" s="3" t="s">
        <v>68</v>
      </c>
      <c r="E5399" s="3" t="s">
        <v>100</v>
      </c>
      <c r="F5399" s="7">
        <v>45854.26858993334</v>
      </c>
      <c r="G5399" s="3" t="s">
        <v>13811</v>
      </c>
    </row>
    <row r="5400">
      <c r="A5400" s="3" t="s">
        <v>16236</v>
      </c>
      <c r="B5400" s="3" t="s">
        <v>5195</v>
      </c>
      <c r="C5400" s="5" t="s">
        <v>45</v>
      </c>
      <c r="D5400" s="3" t="s">
        <v>221</v>
      </c>
      <c r="E5400" s="3" t="s">
        <v>436</v>
      </c>
      <c r="F5400" s="7">
        <v>45854.329348112085</v>
      </c>
      <c r="G5400" s="3" t="s">
        <v>16238</v>
      </c>
    </row>
    <row r="5401">
      <c r="A5401" s="3" t="s">
        <v>16239</v>
      </c>
      <c r="B5401" s="3" t="s">
        <v>5195</v>
      </c>
      <c r="C5401" s="5" t="s">
        <v>221</v>
      </c>
      <c r="D5401" s="3" t="s">
        <v>195</v>
      </c>
      <c r="E5401" s="3" t="s">
        <v>436</v>
      </c>
      <c r="F5401" s="7">
        <v>45854.332820334304</v>
      </c>
      <c r="G5401" s="3" t="s">
        <v>16241</v>
      </c>
    </row>
    <row r="5402">
      <c r="A5402" s="3" t="s">
        <v>16242</v>
      </c>
      <c r="B5402" s="3" t="s">
        <v>5199</v>
      </c>
      <c r="C5402" s="5" t="s">
        <v>45</v>
      </c>
      <c r="D5402" s="3" t="s">
        <v>221</v>
      </c>
      <c r="E5402" s="3" t="s">
        <v>141</v>
      </c>
      <c r="F5402" s="7">
        <v>45854.400522957505</v>
      </c>
      <c r="G5402" s="3" t="s">
        <v>16244</v>
      </c>
    </row>
    <row r="5403">
      <c r="A5403" s="3" t="s">
        <v>16245</v>
      </c>
      <c r="B5403" s="3" t="s">
        <v>5199</v>
      </c>
      <c r="C5403" s="5" t="s">
        <v>221</v>
      </c>
      <c r="D5403" s="3" t="s">
        <v>614</v>
      </c>
      <c r="E5403" s="3" t="s">
        <v>118</v>
      </c>
      <c r="F5403" s="7">
        <v>45854.403995179724</v>
      </c>
      <c r="G5403" s="3" t="s">
        <v>16247</v>
      </c>
    </row>
    <row r="5404">
      <c r="A5404" s="3" t="s">
        <v>16248</v>
      </c>
      <c r="B5404" s="3" t="s">
        <v>5199</v>
      </c>
      <c r="C5404" s="5" t="s">
        <v>614</v>
      </c>
      <c r="D5404" s="3" t="s">
        <v>206</v>
      </c>
      <c r="E5404" s="3" t="s">
        <v>100</v>
      </c>
      <c r="F5404" s="7">
        <v>45854.40746740195</v>
      </c>
      <c r="G5404" s="3" t="s">
        <v>16249</v>
      </c>
    </row>
    <row r="5405">
      <c r="A5405" s="3" t="s">
        <v>16251</v>
      </c>
      <c r="B5405" s="3" t="s">
        <v>5199</v>
      </c>
      <c r="C5405" s="5" t="s">
        <v>206</v>
      </c>
      <c r="D5405" s="3" t="s">
        <v>68</v>
      </c>
      <c r="E5405" s="3" t="s">
        <v>100</v>
      </c>
      <c r="F5405" s="7">
        <v>45854.41093962417</v>
      </c>
      <c r="G5405" s="3" t="s">
        <v>16252</v>
      </c>
    </row>
    <row r="5406">
      <c r="A5406" s="3" t="s">
        <v>16253</v>
      </c>
      <c r="B5406" s="3" t="s">
        <v>5207</v>
      </c>
      <c r="C5406" s="5" t="s">
        <v>45</v>
      </c>
      <c r="D5406" s="3" t="s">
        <v>221</v>
      </c>
      <c r="E5406" s="3" t="s">
        <v>219</v>
      </c>
      <c r="F5406" s="7">
        <v>45854.47169780292</v>
      </c>
      <c r="G5406" s="3" t="s">
        <v>15945</v>
      </c>
    </row>
    <row r="5407">
      <c r="A5407" s="3" t="s">
        <v>16255</v>
      </c>
      <c r="B5407" s="3" t="s">
        <v>5207</v>
      </c>
      <c r="C5407" s="5" t="s">
        <v>221</v>
      </c>
      <c r="D5407" s="3" t="s">
        <v>614</v>
      </c>
      <c r="E5407" s="3" t="s">
        <v>118</v>
      </c>
      <c r="F5407" s="7">
        <v>45854.475170025136</v>
      </c>
      <c r="G5407" s="3" t="s">
        <v>16257</v>
      </c>
    </row>
    <row r="5408">
      <c r="A5408" s="3" t="s">
        <v>16258</v>
      </c>
      <c r="B5408" s="3" t="s">
        <v>5207</v>
      </c>
      <c r="C5408" s="5" t="s">
        <v>614</v>
      </c>
      <c r="D5408" s="3" t="s">
        <v>206</v>
      </c>
      <c r="E5408" s="3" t="s">
        <v>100</v>
      </c>
      <c r="F5408" s="7">
        <v>45854.47864224736</v>
      </c>
      <c r="G5408" s="3" t="s">
        <v>16259</v>
      </c>
    </row>
    <row r="5409">
      <c r="A5409" s="3" t="s">
        <v>16261</v>
      </c>
      <c r="B5409" s="3" t="s">
        <v>5207</v>
      </c>
      <c r="C5409" s="5" t="s">
        <v>206</v>
      </c>
      <c r="D5409" s="3" t="s">
        <v>68</v>
      </c>
      <c r="E5409" s="3" t="s">
        <v>100</v>
      </c>
      <c r="F5409" s="7">
        <v>45854.48211446958</v>
      </c>
      <c r="G5409" s="3" t="s">
        <v>16262</v>
      </c>
    </row>
    <row r="5410">
      <c r="A5410" s="3" t="s">
        <v>16263</v>
      </c>
      <c r="B5410" s="3" t="s">
        <v>5210</v>
      </c>
      <c r="C5410" s="5" t="s">
        <v>45</v>
      </c>
      <c r="D5410" s="3" t="s">
        <v>221</v>
      </c>
      <c r="E5410" s="3" t="s">
        <v>1021</v>
      </c>
      <c r="F5410" s="7">
        <v>45854.54287264833</v>
      </c>
      <c r="G5410" s="3" t="s">
        <v>2770</v>
      </c>
    </row>
    <row r="5411">
      <c r="A5411" s="3" t="s">
        <v>16265</v>
      </c>
      <c r="B5411" s="3" t="s">
        <v>5210</v>
      </c>
      <c r="C5411" s="5" t="s">
        <v>221</v>
      </c>
      <c r="D5411" s="3" t="s">
        <v>195</v>
      </c>
      <c r="E5411" s="3" t="s">
        <v>1021</v>
      </c>
      <c r="F5411" s="7">
        <v>45854.54634487055</v>
      </c>
      <c r="G5411" s="3" t="s">
        <v>3055</v>
      </c>
    </row>
    <row r="5412">
      <c r="A5412" s="3" t="s">
        <v>16267</v>
      </c>
      <c r="B5412" s="3" t="s">
        <v>5212</v>
      </c>
      <c r="C5412" s="5" t="s">
        <v>45</v>
      </c>
      <c r="D5412" s="3" t="s">
        <v>221</v>
      </c>
      <c r="E5412" s="3" t="s">
        <v>179</v>
      </c>
      <c r="F5412" s="7">
        <v>45854.61404749375</v>
      </c>
      <c r="G5412" s="3" t="s">
        <v>16269</v>
      </c>
    </row>
    <row r="5413">
      <c r="A5413" s="3" t="s">
        <v>16270</v>
      </c>
      <c r="B5413" s="3" t="s">
        <v>5212</v>
      </c>
      <c r="C5413" s="5" t="s">
        <v>221</v>
      </c>
      <c r="D5413" s="3" t="s">
        <v>614</v>
      </c>
      <c r="E5413" s="3" t="s">
        <v>118</v>
      </c>
      <c r="F5413" s="7">
        <v>45854.61751971597</v>
      </c>
      <c r="G5413" s="3" t="s">
        <v>16271</v>
      </c>
    </row>
    <row r="5414">
      <c r="A5414" s="3" t="s">
        <v>16273</v>
      </c>
      <c r="B5414" s="3" t="s">
        <v>5212</v>
      </c>
      <c r="C5414" s="5" t="s">
        <v>614</v>
      </c>
      <c r="D5414" s="3" t="s">
        <v>206</v>
      </c>
      <c r="E5414" s="3" t="s">
        <v>100</v>
      </c>
      <c r="F5414" s="7">
        <v>45854.620991938194</v>
      </c>
      <c r="G5414" s="3" t="s">
        <v>16274</v>
      </c>
    </row>
    <row r="5415">
      <c r="A5415" s="3" t="s">
        <v>16275</v>
      </c>
      <c r="B5415" s="3" t="s">
        <v>5212</v>
      </c>
      <c r="C5415" s="5" t="s">
        <v>206</v>
      </c>
      <c r="D5415" s="3" t="s">
        <v>68</v>
      </c>
      <c r="E5415" s="3" t="s">
        <v>100</v>
      </c>
      <c r="F5415" s="7">
        <v>45854.62446416041</v>
      </c>
      <c r="G5415" s="3" t="s">
        <v>16277</v>
      </c>
    </row>
    <row r="5416">
      <c r="A5416" s="3" t="s">
        <v>16278</v>
      </c>
      <c r="B5416" s="3" t="s">
        <v>5216</v>
      </c>
      <c r="C5416" s="5" t="s">
        <v>45</v>
      </c>
      <c r="D5416" s="3" t="s">
        <v>221</v>
      </c>
      <c r="E5416" s="3" t="s">
        <v>269</v>
      </c>
      <c r="F5416" s="7">
        <v>45854.68522233917</v>
      </c>
      <c r="G5416" s="3" t="s">
        <v>16280</v>
      </c>
    </row>
    <row r="5417">
      <c r="A5417" s="3" t="s">
        <v>16281</v>
      </c>
      <c r="B5417" s="3" t="s">
        <v>5216</v>
      </c>
      <c r="C5417" s="5" t="s">
        <v>221</v>
      </c>
      <c r="D5417" s="3" t="s">
        <v>614</v>
      </c>
      <c r="E5417" s="3" t="s">
        <v>118</v>
      </c>
      <c r="F5417" s="7">
        <v>45854.68869456139</v>
      </c>
      <c r="G5417" s="3" t="s">
        <v>16283</v>
      </c>
    </row>
    <row r="5418">
      <c r="A5418" s="3" t="s">
        <v>16284</v>
      </c>
      <c r="B5418" s="3" t="s">
        <v>5216</v>
      </c>
      <c r="C5418" s="5" t="s">
        <v>614</v>
      </c>
      <c r="D5418" s="3" t="s">
        <v>206</v>
      </c>
      <c r="E5418" s="3" t="s">
        <v>100</v>
      </c>
      <c r="F5418" s="7">
        <v>45854.692166783614</v>
      </c>
      <c r="G5418" s="3" t="s">
        <v>16286</v>
      </c>
    </row>
    <row r="5419">
      <c r="A5419" s="3" t="s">
        <v>16287</v>
      </c>
      <c r="B5419" s="3" t="s">
        <v>5216</v>
      </c>
      <c r="C5419" s="5" t="s">
        <v>206</v>
      </c>
      <c r="D5419" s="3" t="s">
        <v>68</v>
      </c>
      <c r="E5419" s="3" t="s">
        <v>100</v>
      </c>
      <c r="F5419" s="7">
        <v>45854.69563900583</v>
      </c>
      <c r="G5419" s="3" t="s">
        <v>16289</v>
      </c>
    </row>
    <row r="5420">
      <c r="A5420" s="3" t="s">
        <v>16290</v>
      </c>
      <c r="B5420" s="3" t="s">
        <v>5220</v>
      </c>
      <c r="C5420" s="5" t="s">
        <v>45</v>
      </c>
      <c r="D5420" s="3" t="s">
        <v>221</v>
      </c>
      <c r="E5420" s="3" t="s">
        <v>760</v>
      </c>
      <c r="F5420" s="7">
        <v>45854.756397184574</v>
      </c>
      <c r="G5420" s="3" t="s">
        <v>14340</v>
      </c>
    </row>
    <row r="5421">
      <c r="A5421" s="3" t="s">
        <v>16292</v>
      </c>
      <c r="B5421" s="3" t="s">
        <v>5220</v>
      </c>
      <c r="C5421" s="5" t="s">
        <v>221</v>
      </c>
      <c r="D5421" s="3" t="s">
        <v>614</v>
      </c>
      <c r="E5421" s="3" t="s">
        <v>118</v>
      </c>
      <c r="F5421" s="7">
        <v>45854.75986940679</v>
      </c>
      <c r="G5421" s="3" t="s">
        <v>14343</v>
      </c>
    </row>
    <row r="5422">
      <c r="A5422" s="3" t="s">
        <v>16294</v>
      </c>
      <c r="B5422" s="3" t="s">
        <v>5220</v>
      </c>
      <c r="C5422" s="5" t="s">
        <v>614</v>
      </c>
      <c r="D5422" s="3" t="s">
        <v>206</v>
      </c>
      <c r="E5422" s="3" t="s">
        <v>100</v>
      </c>
      <c r="F5422" s="7">
        <v>45854.76334162902</v>
      </c>
      <c r="G5422" s="3" t="s">
        <v>14346</v>
      </c>
    </row>
    <row r="5423">
      <c r="A5423" s="3" t="s">
        <v>16296</v>
      </c>
      <c r="B5423" s="3" t="s">
        <v>5220</v>
      </c>
      <c r="C5423" s="5" t="s">
        <v>206</v>
      </c>
      <c r="D5423" s="3" t="s">
        <v>68</v>
      </c>
      <c r="E5423" s="3" t="s">
        <v>100</v>
      </c>
      <c r="F5423" s="7">
        <v>45854.76681385124</v>
      </c>
      <c r="G5423" s="3" t="s">
        <v>14348</v>
      </c>
    </row>
    <row r="5424">
      <c r="A5424" s="3" t="s">
        <v>16297</v>
      </c>
      <c r="B5424" s="3" t="s">
        <v>5223</v>
      </c>
      <c r="C5424" s="5" t="s">
        <v>45</v>
      </c>
      <c r="D5424" s="3" t="s">
        <v>221</v>
      </c>
      <c r="E5424" s="3" t="s">
        <v>183</v>
      </c>
      <c r="F5424" s="7">
        <v>45854.82757202999</v>
      </c>
      <c r="G5424" s="3" t="s">
        <v>16299</v>
      </c>
    </row>
    <row r="5425">
      <c r="A5425" s="3" t="s">
        <v>16300</v>
      </c>
      <c r="B5425" s="3" t="s">
        <v>5223</v>
      </c>
      <c r="C5425" s="5" t="s">
        <v>221</v>
      </c>
      <c r="D5425" s="3" t="s">
        <v>181</v>
      </c>
      <c r="E5425" s="3" t="s">
        <v>118</v>
      </c>
      <c r="F5425" s="7">
        <v>45854.83104425221</v>
      </c>
      <c r="G5425" s="3" t="s">
        <v>16302</v>
      </c>
    </row>
    <row r="5426">
      <c r="A5426" s="3" t="s">
        <v>16303</v>
      </c>
      <c r="B5426" s="3" t="s">
        <v>5227</v>
      </c>
      <c r="C5426" s="5" t="s">
        <v>45</v>
      </c>
      <c r="D5426" s="3" t="s">
        <v>221</v>
      </c>
      <c r="E5426" s="3" t="s">
        <v>591</v>
      </c>
      <c r="F5426" s="7">
        <v>45854.898746875406</v>
      </c>
      <c r="G5426" s="3" t="s">
        <v>16305</v>
      </c>
    </row>
    <row r="5427">
      <c r="A5427" s="3" t="s">
        <v>16306</v>
      </c>
      <c r="B5427" s="3" t="s">
        <v>5227</v>
      </c>
      <c r="C5427" s="5" t="s">
        <v>221</v>
      </c>
      <c r="D5427" s="3" t="s">
        <v>614</v>
      </c>
      <c r="E5427" s="3" t="s">
        <v>118</v>
      </c>
      <c r="F5427" s="7">
        <v>45854.902219097625</v>
      </c>
      <c r="G5427" s="3" t="s">
        <v>16308</v>
      </c>
    </row>
    <row r="5428">
      <c r="A5428" s="3" t="s">
        <v>16309</v>
      </c>
      <c r="B5428" s="3" t="s">
        <v>5227</v>
      </c>
      <c r="C5428" s="5" t="s">
        <v>614</v>
      </c>
      <c r="D5428" s="3" t="s">
        <v>206</v>
      </c>
      <c r="E5428" s="3" t="s">
        <v>100</v>
      </c>
      <c r="F5428" s="7">
        <v>45854.90569131985</v>
      </c>
      <c r="G5428" s="3" t="s">
        <v>16311</v>
      </c>
    </row>
    <row r="5429">
      <c r="A5429" s="3" t="s">
        <v>16312</v>
      </c>
      <c r="B5429" s="3" t="s">
        <v>5227</v>
      </c>
      <c r="C5429" s="5" t="s">
        <v>206</v>
      </c>
      <c r="D5429" s="3" t="s">
        <v>68</v>
      </c>
      <c r="E5429" s="3" t="s">
        <v>100</v>
      </c>
      <c r="F5429" s="7">
        <v>45854.90916354207</v>
      </c>
      <c r="G5429" s="3" t="s">
        <v>16313</v>
      </c>
    </row>
    <row r="5430">
      <c r="A5430" s="3" t="s">
        <v>16314</v>
      </c>
      <c r="B5430" s="3" t="s">
        <v>5231</v>
      </c>
      <c r="C5430" s="5" t="s">
        <v>45</v>
      </c>
      <c r="D5430" s="3" t="s">
        <v>221</v>
      </c>
      <c r="E5430" s="3" t="s">
        <v>593</v>
      </c>
      <c r="F5430" s="7">
        <v>45854.969921720825</v>
      </c>
      <c r="G5430" s="3" t="s">
        <v>12582</v>
      </c>
    </row>
    <row r="5431">
      <c r="A5431" s="3" t="s">
        <v>16316</v>
      </c>
      <c r="B5431" s="3" t="s">
        <v>5231</v>
      </c>
      <c r="C5431" s="5" t="s">
        <v>221</v>
      </c>
      <c r="D5431" s="3" t="s">
        <v>614</v>
      </c>
      <c r="E5431" s="3" t="s">
        <v>118</v>
      </c>
      <c r="F5431" s="7">
        <v>45854.973393943044</v>
      </c>
      <c r="G5431" s="3" t="s">
        <v>12585</v>
      </c>
    </row>
    <row r="5432">
      <c r="A5432" s="3" t="s">
        <v>16318</v>
      </c>
      <c r="B5432" s="3" t="s">
        <v>5231</v>
      </c>
      <c r="C5432" s="5" t="s">
        <v>614</v>
      </c>
      <c r="D5432" s="3" t="s">
        <v>206</v>
      </c>
      <c r="E5432" s="3" t="s">
        <v>100</v>
      </c>
      <c r="F5432" s="7">
        <v>45854.97686616527</v>
      </c>
      <c r="G5432" s="3" t="s">
        <v>12588</v>
      </c>
    </row>
    <row r="5433">
      <c r="A5433" s="3" t="s">
        <v>16320</v>
      </c>
      <c r="B5433" s="3" t="s">
        <v>5231</v>
      </c>
      <c r="C5433" s="5" t="s">
        <v>206</v>
      </c>
      <c r="D5433" s="3" t="s">
        <v>68</v>
      </c>
      <c r="E5433" s="3" t="s">
        <v>100</v>
      </c>
      <c r="F5433" s="7">
        <v>45854.98033838749</v>
      </c>
      <c r="G5433" s="3" t="s">
        <v>12591</v>
      </c>
    </row>
    <row r="5434">
      <c r="A5434" s="3" t="s">
        <v>16322</v>
      </c>
      <c r="B5434" s="3" t="s">
        <v>5234</v>
      </c>
      <c r="C5434" s="5" t="s">
        <v>45</v>
      </c>
      <c r="D5434" s="3" t="s">
        <v>221</v>
      </c>
      <c r="E5434" s="3" t="s">
        <v>886</v>
      </c>
      <c r="F5434" s="7">
        <v>45855.04109656624</v>
      </c>
      <c r="G5434" s="3" t="s">
        <v>16324</v>
      </c>
    </row>
    <row r="5435">
      <c r="A5435" s="3" t="s">
        <v>16325</v>
      </c>
      <c r="B5435" s="3" t="s">
        <v>5234</v>
      </c>
      <c r="C5435" s="5" t="s">
        <v>221</v>
      </c>
      <c r="D5435" s="3" t="s">
        <v>614</v>
      </c>
      <c r="E5435" s="3" t="s">
        <v>118</v>
      </c>
      <c r="F5435" s="7">
        <v>45855.04456878846</v>
      </c>
      <c r="G5435" s="3" t="s">
        <v>16326</v>
      </c>
    </row>
    <row r="5436">
      <c r="A5436" s="3" t="s">
        <v>16328</v>
      </c>
      <c r="B5436" s="3" t="s">
        <v>5234</v>
      </c>
      <c r="C5436" s="5" t="s">
        <v>614</v>
      </c>
      <c r="D5436" s="3" t="s">
        <v>206</v>
      </c>
      <c r="E5436" s="3" t="s">
        <v>100</v>
      </c>
      <c r="F5436" s="7">
        <v>45855.04804101068</v>
      </c>
      <c r="G5436" s="3" t="s">
        <v>16329</v>
      </c>
    </row>
    <row r="5437">
      <c r="A5437" s="3" t="s">
        <v>16330</v>
      </c>
      <c r="B5437" s="3" t="s">
        <v>5234</v>
      </c>
      <c r="C5437" s="5" t="s">
        <v>206</v>
      </c>
      <c r="D5437" s="3" t="s">
        <v>68</v>
      </c>
      <c r="E5437" s="3" t="s">
        <v>100</v>
      </c>
      <c r="F5437" s="7">
        <v>45855.0515132329</v>
      </c>
      <c r="G5437" s="3" t="s">
        <v>16332</v>
      </c>
    </row>
    <row r="5438">
      <c r="A5438" s="3" t="s">
        <v>16333</v>
      </c>
      <c r="B5438" s="3" t="s">
        <v>5237</v>
      </c>
      <c r="C5438" s="5" t="s">
        <v>45</v>
      </c>
      <c r="D5438" s="3" t="s">
        <v>221</v>
      </c>
      <c r="E5438" s="3" t="s">
        <v>527</v>
      </c>
      <c r="F5438" s="7">
        <v>45855.11227141166</v>
      </c>
      <c r="G5438" s="3" t="s">
        <v>2770</v>
      </c>
    </row>
    <row r="5439">
      <c r="A5439" s="3" t="s">
        <v>16335</v>
      </c>
      <c r="B5439" s="3" t="s">
        <v>5237</v>
      </c>
      <c r="C5439" s="5" t="s">
        <v>221</v>
      </c>
      <c r="D5439" s="3" t="s">
        <v>195</v>
      </c>
      <c r="E5439" s="3" t="s">
        <v>527</v>
      </c>
      <c r="F5439" s="7">
        <v>45855.115743633876</v>
      </c>
      <c r="G5439" s="3" t="s">
        <v>3055</v>
      </c>
    </row>
    <row r="5440">
      <c r="A5440" s="3" t="s">
        <v>16337</v>
      </c>
      <c r="B5440" s="3" t="s">
        <v>5241</v>
      </c>
      <c r="C5440" s="5" t="s">
        <v>45</v>
      </c>
      <c r="D5440" s="3" t="s">
        <v>221</v>
      </c>
      <c r="E5440" s="3" t="s">
        <v>527</v>
      </c>
      <c r="F5440" s="7">
        <v>45855.18344625707</v>
      </c>
      <c r="G5440" s="3" t="s">
        <v>16338</v>
      </c>
    </row>
    <row r="5441">
      <c r="A5441" s="3" t="s">
        <v>16340</v>
      </c>
      <c r="B5441" s="3" t="s">
        <v>5241</v>
      </c>
      <c r="C5441" s="5" t="s">
        <v>221</v>
      </c>
      <c r="D5441" s="3" t="s">
        <v>614</v>
      </c>
      <c r="E5441" s="3" t="s">
        <v>118</v>
      </c>
      <c r="F5441" s="7">
        <v>45855.18691847929</v>
      </c>
      <c r="G5441" s="3" t="s">
        <v>16341</v>
      </c>
    </row>
    <row r="5442">
      <c r="A5442" s="3" t="s">
        <v>16342</v>
      </c>
      <c r="B5442" s="3" t="s">
        <v>5241</v>
      </c>
      <c r="C5442" s="5" t="s">
        <v>614</v>
      </c>
      <c r="D5442" s="3" t="s">
        <v>206</v>
      </c>
      <c r="E5442" s="3" t="s">
        <v>100</v>
      </c>
      <c r="F5442" s="7">
        <v>45855.190390701515</v>
      </c>
      <c r="G5442" s="3" t="s">
        <v>16344</v>
      </c>
    </row>
    <row r="5443">
      <c r="A5443" s="3" t="s">
        <v>16345</v>
      </c>
      <c r="B5443" s="3" t="s">
        <v>5241</v>
      </c>
      <c r="C5443" s="5" t="s">
        <v>206</v>
      </c>
      <c r="D5443" s="3" t="s">
        <v>68</v>
      </c>
      <c r="E5443" s="3" t="s">
        <v>100</v>
      </c>
      <c r="F5443" s="7">
        <v>45855.193862923734</v>
      </c>
      <c r="G5443" s="3" t="s">
        <v>16347</v>
      </c>
    </row>
    <row r="5444">
      <c r="A5444" s="3" t="s">
        <v>16348</v>
      </c>
      <c r="B5444" s="3" t="s">
        <v>5243</v>
      </c>
      <c r="C5444" s="5" t="s">
        <v>45</v>
      </c>
      <c r="D5444" s="3" t="s">
        <v>221</v>
      </c>
      <c r="E5444" s="3" t="s">
        <v>652</v>
      </c>
      <c r="F5444" s="7">
        <v>45855.25462110248</v>
      </c>
      <c r="G5444" s="3" t="s">
        <v>16350</v>
      </c>
    </row>
    <row r="5445">
      <c r="A5445" s="3" t="s">
        <v>16351</v>
      </c>
      <c r="B5445" s="3" t="s">
        <v>5243</v>
      </c>
      <c r="C5445" s="5" t="s">
        <v>221</v>
      </c>
      <c r="D5445" s="3" t="s">
        <v>614</v>
      </c>
      <c r="E5445" s="3" t="s">
        <v>118</v>
      </c>
      <c r="F5445" s="7">
        <v>45855.2580933247</v>
      </c>
      <c r="G5445" s="3" t="s">
        <v>16352</v>
      </c>
    </row>
    <row r="5446">
      <c r="A5446" s="3" t="s">
        <v>16354</v>
      </c>
      <c r="B5446" s="3" t="s">
        <v>5243</v>
      </c>
      <c r="C5446" s="5" t="s">
        <v>614</v>
      </c>
      <c r="D5446" s="3" t="s">
        <v>206</v>
      </c>
      <c r="E5446" s="3" t="s">
        <v>100</v>
      </c>
      <c r="F5446" s="7">
        <v>45855.26156554693</v>
      </c>
      <c r="G5446" s="3" t="s">
        <v>16355</v>
      </c>
    </row>
    <row r="5447">
      <c r="A5447" s="3" t="s">
        <v>16356</v>
      </c>
      <c r="B5447" s="3" t="s">
        <v>5243</v>
      </c>
      <c r="C5447" s="5" t="s">
        <v>206</v>
      </c>
      <c r="D5447" s="3" t="s">
        <v>68</v>
      </c>
      <c r="E5447" s="3" t="s">
        <v>100</v>
      </c>
      <c r="F5447" s="7">
        <v>45855.265037769146</v>
      </c>
      <c r="G5447" s="3" t="s">
        <v>16358</v>
      </c>
    </row>
    <row r="5448">
      <c r="A5448" s="3" t="s">
        <v>16359</v>
      </c>
      <c r="B5448" s="3" t="s">
        <v>5246</v>
      </c>
      <c r="C5448" s="5" t="s">
        <v>45</v>
      </c>
      <c r="D5448" s="3" t="s">
        <v>221</v>
      </c>
      <c r="E5448" s="3" t="s">
        <v>135</v>
      </c>
      <c r="F5448" s="7">
        <v>45855.3257959479</v>
      </c>
      <c r="G5448" s="3" t="s">
        <v>9238</v>
      </c>
    </row>
    <row r="5449">
      <c r="A5449" s="3" t="s">
        <v>16361</v>
      </c>
      <c r="B5449" s="3" t="s">
        <v>5246</v>
      </c>
      <c r="C5449" s="5" t="s">
        <v>221</v>
      </c>
      <c r="D5449" s="3" t="s">
        <v>614</v>
      </c>
      <c r="E5449" s="3" t="s">
        <v>118</v>
      </c>
      <c r="F5449" s="7">
        <v>45855.32926817012</v>
      </c>
      <c r="G5449" s="3" t="s">
        <v>16363</v>
      </c>
    </row>
    <row r="5450">
      <c r="A5450" s="3" t="s">
        <v>16364</v>
      </c>
      <c r="B5450" s="3" t="s">
        <v>5246</v>
      </c>
      <c r="C5450" s="5" t="s">
        <v>614</v>
      </c>
      <c r="D5450" s="3" t="s">
        <v>206</v>
      </c>
      <c r="E5450" s="3" t="s">
        <v>100</v>
      </c>
      <c r="F5450" s="7">
        <v>45855.33274039235</v>
      </c>
      <c r="G5450" s="3" t="s">
        <v>16366</v>
      </c>
    </row>
    <row r="5451">
      <c r="A5451" s="3" t="s">
        <v>16367</v>
      </c>
      <c r="B5451" s="3" t="s">
        <v>5246</v>
      </c>
      <c r="C5451" s="5" t="s">
        <v>206</v>
      </c>
      <c r="D5451" s="3" t="s">
        <v>68</v>
      </c>
      <c r="E5451" s="3" t="s">
        <v>100</v>
      </c>
      <c r="F5451" s="7">
        <v>45855.336212614566</v>
      </c>
      <c r="G5451" s="3" t="s">
        <v>16369</v>
      </c>
    </row>
    <row r="5452">
      <c r="A5452" s="3" t="s">
        <v>16370</v>
      </c>
      <c r="B5452" s="3" t="s">
        <v>5249</v>
      </c>
      <c r="C5452" s="5" t="s">
        <v>45</v>
      </c>
      <c r="D5452" s="3" t="s">
        <v>221</v>
      </c>
      <c r="E5452" s="3" t="s">
        <v>793</v>
      </c>
      <c r="F5452" s="7">
        <v>45855.396970793314</v>
      </c>
      <c r="G5452" s="3" t="s">
        <v>16371</v>
      </c>
    </row>
    <row r="5453">
      <c r="A5453" s="3" t="s">
        <v>16373</v>
      </c>
      <c r="B5453" s="3" t="s">
        <v>5249</v>
      </c>
      <c r="C5453" s="5" t="s">
        <v>221</v>
      </c>
      <c r="D5453" s="3" t="s">
        <v>614</v>
      </c>
      <c r="E5453" s="3" t="s">
        <v>118</v>
      </c>
      <c r="F5453" s="7">
        <v>45855.40044301553</v>
      </c>
      <c r="G5453" s="3" t="s">
        <v>16374</v>
      </c>
    </row>
    <row r="5454">
      <c r="A5454" s="3" t="s">
        <v>16375</v>
      </c>
      <c r="B5454" s="3" t="s">
        <v>5249</v>
      </c>
      <c r="C5454" s="5" t="s">
        <v>614</v>
      </c>
      <c r="D5454" s="3" t="s">
        <v>206</v>
      </c>
      <c r="E5454" s="3" t="s">
        <v>100</v>
      </c>
      <c r="F5454" s="7">
        <v>45855.40391523776</v>
      </c>
      <c r="G5454" s="3" t="s">
        <v>16377</v>
      </c>
    </row>
    <row r="5455">
      <c r="A5455" s="3" t="s">
        <v>16378</v>
      </c>
      <c r="B5455" s="3" t="s">
        <v>5249</v>
      </c>
      <c r="C5455" s="5" t="s">
        <v>206</v>
      </c>
      <c r="D5455" s="3" t="s">
        <v>68</v>
      </c>
      <c r="E5455" s="3" t="s">
        <v>100</v>
      </c>
      <c r="F5455" s="7">
        <v>45855.40738745998</v>
      </c>
      <c r="G5455" s="3" t="s">
        <v>16380</v>
      </c>
    </row>
    <row r="5456">
      <c r="A5456" s="3" t="s">
        <v>16381</v>
      </c>
      <c r="B5456" s="3" t="s">
        <v>5252</v>
      </c>
      <c r="C5456" s="5" t="s">
        <v>45</v>
      </c>
      <c r="D5456" s="3" t="s">
        <v>221</v>
      </c>
      <c r="E5456" s="3" t="s">
        <v>1043</v>
      </c>
      <c r="F5456" s="7">
        <v>45855.468145638726</v>
      </c>
      <c r="G5456" s="3" t="s">
        <v>16383</v>
      </c>
    </row>
    <row r="5457">
      <c r="A5457" s="3" t="s">
        <v>16384</v>
      </c>
      <c r="B5457" s="3" t="s">
        <v>5252</v>
      </c>
      <c r="C5457" s="5" t="s">
        <v>221</v>
      </c>
      <c r="D5457" s="3" t="s">
        <v>614</v>
      </c>
      <c r="E5457" s="3" t="s">
        <v>118</v>
      </c>
      <c r="F5457" s="7">
        <v>45855.471617860945</v>
      </c>
      <c r="G5457" s="3" t="s">
        <v>16385</v>
      </c>
    </row>
    <row r="5458">
      <c r="A5458" s="3" t="s">
        <v>16387</v>
      </c>
      <c r="B5458" s="3" t="s">
        <v>5252</v>
      </c>
      <c r="C5458" s="5" t="s">
        <v>614</v>
      </c>
      <c r="D5458" s="3" t="s">
        <v>206</v>
      </c>
      <c r="E5458" s="3" t="s">
        <v>100</v>
      </c>
      <c r="F5458" s="7">
        <v>45855.47509008317</v>
      </c>
      <c r="G5458" s="3" t="s">
        <v>16388</v>
      </c>
    </row>
    <row r="5459">
      <c r="A5459" s="3" t="s">
        <v>16389</v>
      </c>
      <c r="B5459" s="3" t="s">
        <v>5252</v>
      </c>
      <c r="C5459" s="5" t="s">
        <v>206</v>
      </c>
      <c r="D5459" s="3" t="s">
        <v>68</v>
      </c>
      <c r="E5459" s="3" t="s">
        <v>100</v>
      </c>
      <c r="F5459" s="7">
        <v>45855.47856230539</v>
      </c>
      <c r="G5459" s="3" t="s">
        <v>16391</v>
      </c>
    </row>
    <row r="5460">
      <c r="A5460" s="3" t="s">
        <v>16392</v>
      </c>
      <c r="B5460" s="3" t="s">
        <v>5255</v>
      </c>
      <c r="C5460" s="5" t="s">
        <v>45</v>
      </c>
      <c r="D5460" s="3" t="s">
        <v>221</v>
      </c>
      <c r="E5460" s="3" t="s">
        <v>466</v>
      </c>
      <c r="F5460" s="7">
        <v>45855.539320484146</v>
      </c>
      <c r="G5460" s="3" t="s">
        <v>7670</v>
      </c>
    </row>
    <row r="5461">
      <c r="A5461" s="3" t="s">
        <v>16394</v>
      </c>
      <c r="B5461" s="3" t="s">
        <v>5255</v>
      </c>
      <c r="C5461" s="5" t="s">
        <v>221</v>
      </c>
      <c r="D5461" s="3" t="s">
        <v>614</v>
      </c>
      <c r="E5461" s="3" t="s">
        <v>118</v>
      </c>
      <c r="F5461" s="7">
        <v>45855.542792706365</v>
      </c>
      <c r="G5461" s="3" t="s">
        <v>7673</v>
      </c>
    </row>
    <row r="5462">
      <c r="A5462" s="3" t="s">
        <v>16396</v>
      </c>
      <c r="B5462" s="3" t="s">
        <v>5255</v>
      </c>
      <c r="C5462" s="5" t="s">
        <v>614</v>
      </c>
      <c r="D5462" s="3" t="s">
        <v>206</v>
      </c>
      <c r="E5462" s="3" t="s">
        <v>100</v>
      </c>
      <c r="F5462" s="7">
        <v>45855.54626492859</v>
      </c>
      <c r="G5462" s="3" t="s">
        <v>7676</v>
      </c>
    </row>
    <row r="5463">
      <c r="A5463" s="3" t="s">
        <v>16398</v>
      </c>
      <c r="B5463" s="3" t="s">
        <v>5255</v>
      </c>
      <c r="C5463" s="5" t="s">
        <v>206</v>
      </c>
      <c r="D5463" s="3" t="s">
        <v>68</v>
      </c>
      <c r="E5463" s="3" t="s">
        <v>100</v>
      </c>
      <c r="F5463" s="7">
        <v>45855.54973715081</v>
      </c>
      <c r="G5463" s="3" t="s">
        <v>7679</v>
      </c>
    </row>
    <row r="5464">
      <c r="A5464" s="3" t="s">
        <v>16399</v>
      </c>
      <c r="B5464" s="3" t="s">
        <v>5258</v>
      </c>
      <c r="C5464" s="5" t="s">
        <v>45</v>
      </c>
      <c r="D5464" s="3" t="s">
        <v>221</v>
      </c>
      <c r="E5464" s="3" t="s">
        <v>939</v>
      </c>
      <c r="F5464" s="7">
        <v>45855.61049532956</v>
      </c>
      <c r="G5464" s="3" t="s">
        <v>7152</v>
      </c>
    </row>
    <row r="5465">
      <c r="A5465" s="3" t="s">
        <v>16401</v>
      </c>
      <c r="B5465" s="3" t="s">
        <v>5258</v>
      </c>
      <c r="C5465" s="5" t="s">
        <v>221</v>
      </c>
      <c r="D5465" s="3" t="s">
        <v>614</v>
      </c>
      <c r="E5465" s="3" t="s">
        <v>118</v>
      </c>
      <c r="F5465" s="7">
        <v>45855.61396755178</v>
      </c>
      <c r="G5465" s="3" t="s">
        <v>7155</v>
      </c>
    </row>
    <row r="5466">
      <c r="A5466" s="3" t="s">
        <v>16403</v>
      </c>
      <c r="B5466" s="3" t="s">
        <v>5258</v>
      </c>
      <c r="C5466" s="5" t="s">
        <v>614</v>
      </c>
      <c r="D5466" s="3" t="s">
        <v>206</v>
      </c>
      <c r="E5466" s="3" t="s">
        <v>100</v>
      </c>
      <c r="F5466" s="7">
        <v>45855.617439774</v>
      </c>
      <c r="G5466" s="3" t="s">
        <v>7158</v>
      </c>
    </row>
    <row r="5467">
      <c r="A5467" s="3" t="s">
        <v>16405</v>
      </c>
      <c r="B5467" s="3" t="s">
        <v>5258</v>
      </c>
      <c r="C5467" s="5" t="s">
        <v>206</v>
      </c>
      <c r="D5467" s="3" t="s">
        <v>68</v>
      </c>
      <c r="E5467" s="3" t="s">
        <v>100</v>
      </c>
      <c r="F5467" s="7">
        <v>45855.62091199622</v>
      </c>
      <c r="G5467" s="3" t="s">
        <v>7161</v>
      </c>
    </row>
    <row r="5468">
      <c r="A5468" s="3" t="s">
        <v>16407</v>
      </c>
      <c r="B5468" s="3" t="s">
        <v>5261</v>
      </c>
      <c r="C5468" s="5" t="s">
        <v>45</v>
      </c>
      <c r="D5468" s="3" t="s">
        <v>221</v>
      </c>
      <c r="E5468" s="3" t="s">
        <v>460</v>
      </c>
      <c r="F5468" s="7">
        <v>45855.68167017497</v>
      </c>
      <c r="G5468" s="3" t="s">
        <v>16409</v>
      </c>
    </row>
    <row r="5469">
      <c r="A5469" s="3" t="s">
        <v>16410</v>
      </c>
      <c r="B5469" s="3" t="s">
        <v>5261</v>
      </c>
      <c r="C5469" s="5" t="s">
        <v>221</v>
      </c>
      <c r="D5469" s="3" t="s">
        <v>614</v>
      </c>
      <c r="E5469" s="3" t="s">
        <v>118</v>
      </c>
      <c r="F5469" s="7">
        <v>45855.68514239719</v>
      </c>
      <c r="G5469" s="3" t="s">
        <v>16412</v>
      </c>
    </row>
    <row r="5470">
      <c r="A5470" s="3" t="s">
        <v>16413</v>
      </c>
      <c r="B5470" s="3" t="s">
        <v>5261</v>
      </c>
      <c r="C5470" s="5" t="s">
        <v>614</v>
      </c>
      <c r="D5470" s="3" t="s">
        <v>206</v>
      </c>
      <c r="E5470" s="3" t="s">
        <v>100</v>
      </c>
      <c r="F5470" s="7">
        <v>45855.688614619416</v>
      </c>
      <c r="G5470" s="3" t="s">
        <v>16414</v>
      </c>
    </row>
    <row r="5471">
      <c r="A5471" s="3" t="s">
        <v>16416</v>
      </c>
      <c r="B5471" s="3" t="s">
        <v>5261</v>
      </c>
      <c r="C5471" s="5" t="s">
        <v>206</v>
      </c>
      <c r="D5471" s="3" t="s">
        <v>68</v>
      </c>
      <c r="E5471" s="3" t="s">
        <v>100</v>
      </c>
      <c r="F5471" s="7">
        <v>45855.692086841635</v>
      </c>
      <c r="G5471" s="3" t="s">
        <v>16417</v>
      </c>
    </row>
    <row r="5472">
      <c r="A5472" s="3" t="s">
        <v>16418</v>
      </c>
      <c r="B5472" s="3" t="s">
        <v>5264</v>
      </c>
      <c r="C5472" s="5" t="s">
        <v>45</v>
      </c>
      <c r="D5472" s="3" t="s">
        <v>221</v>
      </c>
      <c r="E5472" s="3" t="s">
        <v>141</v>
      </c>
      <c r="F5472" s="7">
        <v>45855.75284502039</v>
      </c>
      <c r="G5472" s="3" t="s">
        <v>16420</v>
      </c>
    </row>
    <row r="5473">
      <c r="A5473" s="3" t="s">
        <v>16421</v>
      </c>
      <c r="B5473" s="3" t="s">
        <v>5264</v>
      </c>
      <c r="C5473" s="5" t="s">
        <v>221</v>
      </c>
      <c r="D5473" s="3" t="s">
        <v>614</v>
      </c>
      <c r="E5473" s="3" t="s">
        <v>118</v>
      </c>
      <c r="F5473" s="7">
        <v>45855.75631724261</v>
      </c>
      <c r="G5473" s="3" t="s">
        <v>16423</v>
      </c>
    </row>
    <row r="5474">
      <c r="A5474" s="3" t="s">
        <v>16424</v>
      </c>
      <c r="B5474" s="3" t="s">
        <v>5264</v>
      </c>
      <c r="C5474" s="5" t="s">
        <v>614</v>
      </c>
      <c r="D5474" s="3" t="s">
        <v>206</v>
      </c>
      <c r="E5474" s="3" t="s">
        <v>100</v>
      </c>
      <c r="F5474" s="7">
        <v>45855.759789464835</v>
      </c>
      <c r="G5474" s="3" t="s">
        <v>16426</v>
      </c>
    </row>
    <row r="5475">
      <c r="A5475" s="3" t="s">
        <v>16427</v>
      </c>
      <c r="B5475" s="3" t="s">
        <v>5264</v>
      </c>
      <c r="C5475" s="5" t="s">
        <v>206</v>
      </c>
      <c r="D5475" s="3" t="s">
        <v>68</v>
      </c>
      <c r="E5475" s="3" t="s">
        <v>100</v>
      </c>
      <c r="F5475" s="7">
        <v>45855.763261687054</v>
      </c>
      <c r="G5475" s="3" t="s">
        <v>16428</v>
      </c>
    </row>
    <row r="5476">
      <c r="A5476" s="3" t="s">
        <v>16429</v>
      </c>
      <c r="B5476" s="3" t="s">
        <v>5267</v>
      </c>
      <c r="C5476" s="5" t="s">
        <v>45</v>
      </c>
      <c r="D5476" s="3" t="s">
        <v>221</v>
      </c>
      <c r="E5476" s="3" t="s">
        <v>162</v>
      </c>
      <c r="F5476" s="7">
        <v>45855.82401986581</v>
      </c>
      <c r="G5476" s="3" t="s">
        <v>16431</v>
      </c>
    </row>
    <row r="5477">
      <c r="A5477" s="3" t="s">
        <v>16432</v>
      </c>
      <c r="B5477" s="3" t="s">
        <v>5267</v>
      </c>
      <c r="C5477" s="5" t="s">
        <v>221</v>
      </c>
      <c r="D5477" s="3" t="s">
        <v>614</v>
      </c>
      <c r="E5477" s="3" t="s">
        <v>118</v>
      </c>
      <c r="F5477" s="7">
        <v>45855.82749208803</v>
      </c>
      <c r="G5477" s="3" t="s">
        <v>16434</v>
      </c>
    </row>
    <row r="5478">
      <c r="A5478" s="3" t="s">
        <v>16435</v>
      </c>
      <c r="B5478" s="3" t="s">
        <v>5267</v>
      </c>
      <c r="C5478" s="5" t="s">
        <v>614</v>
      </c>
      <c r="D5478" s="3" t="s">
        <v>206</v>
      </c>
      <c r="E5478" s="3" t="s">
        <v>100</v>
      </c>
      <c r="F5478" s="7">
        <v>45855.830964310255</v>
      </c>
      <c r="G5478" s="3" t="s">
        <v>16437</v>
      </c>
    </row>
    <row r="5479">
      <c r="A5479" s="3" t="s">
        <v>16438</v>
      </c>
      <c r="B5479" s="3" t="s">
        <v>5267</v>
      </c>
      <c r="C5479" s="5" t="s">
        <v>206</v>
      </c>
      <c r="D5479" s="3" t="s">
        <v>68</v>
      </c>
      <c r="E5479" s="3" t="s">
        <v>100</v>
      </c>
      <c r="F5479" s="7">
        <v>45855.834436532474</v>
      </c>
      <c r="G5479" s="3" t="s">
        <v>16440</v>
      </c>
    </row>
    <row r="5480">
      <c r="A5480" s="3" t="s">
        <v>16441</v>
      </c>
      <c r="B5480" s="3" t="s">
        <v>5270</v>
      </c>
      <c r="C5480" s="5" t="s">
        <v>45</v>
      </c>
      <c r="D5480" s="3" t="s">
        <v>221</v>
      </c>
      <c r="E5480" s="3" t="s">
        <v>565</v>
      </c>
      <c r="F5480" s="7">
        <v>45855.895194711215</v>
      </c>
      <c r="G5480" s="3" t="s">
        <v>11756</v>
      </c>
    </row>
    <row r="5481">
      <c r="A5481" s="3" t="s">
        <v>16444</v>
      </c>
      <c r="B5481" s="3" t="s">
        <v>5270</v>
      </c>
      <c r="C5481" s="5" t="s">
        <v>221</v>
      </c>
      <c r="D5481" s="3" t="s">
        <v>181</v>
      </c>
      <c r="E5481" s="3" t="s">
        <v>118</v>
      </c>
      <c r="F5481" s="7">
        <v>45855.89866693343</v>
      </c>
      <c r="G5481" s="3" t="s">
        <v>16446</v>
      </c>
    </row>
    <row r="5482">
      <c r="A5482" s="3" t="s">
        <v>16447</v>
      </c>
      <c r="B5482" s="3" t="s">
        <v>5273</v>
      </c>
      <c r="C5482" s="5" t="s">
        <v>45</v>
      </c>
      <c r="D5482" s="3" t="s">
        <v>221</v>
      </c>
      <c r="E5482" s="3" t="s">
        <v>530</v>
      </c>
      <c r="F5482" s="7">
        <v>45855.966369556634</v>
      </c>
      <c r="G5482" s="3" t="s">
        <v>11787</v>
      </c>
    </row>
    <row r="5483">
      <c r="A5483" s="3" t="s">
        <v>16449</v>
      </c>
      <c r="B5483" s="3" t="s">
        <v>5273</v>
      </c>
      <c r="C5483" s="5" t="s">
        <v>221</v>
      </c>
      <c r="D5483" s="3" t="s">
        <v>181</v>
      </c>
      <c r="E5483" s="3" t="s">
        <v>118</v>
      </c>
      <c r="F5483" s="7">
        <v>45855.96984177885</v>
      </c>
      <c r="G5483" s="3" t="s">
        <v>16451</v>
      </c>
    </row>
    <row r="5484">
      <c r="A5484" s="3" t="s">
        <v>16452</v>
      </c>
      <c r="B5484" s="3" t="s">
        <v>5276</v>
      </c>
      <c r="C5484" s="5" t="s">
        <v>45</v>
      </c>
      <c r="D5484" s="3" t="s">
        <v>221</v>
      </c>
      <c r="E5484" s="3" t="s">
        <v>250</v>
      </c>
      <c r="F5484" s="7">
        <v>45856.037544402054</v>
      </c>
      <c r="G5484" s="3" t="s">
        <v>14516</v>
      </c>
    </row>
    <row r="5485">
      <c r="A5485" s="3" t="s">
        <v>16454</v>
      </c>
      <c r="B5485" s="3" t="s">
        <v>5276</v>
      </c>
      <c r="C5485" s="5" t="s">
        <v>221</v>
      </c>
      <c r="D5485" s="3" t="s">
        <v>614</v>
      </c>
      <c r="E5485" s="3" t="s">
        <v>118</v>
      </c>
      <c r="F5485" s="7">
        <v>45856.04101662427</v>
      </c>
      <c r="G5485" s="3" t="s">
        <v>14518</v>
      </c>
    </row>
    <row r="5486">
      <c r="A5486" s="3" t="s">
        <v>16456</v>
      </c>
      <c r="B5486" s="3" t="s">
        <v>5276</v>
      </c>
      <c r="C5486" s="5" t="s">
        <v>614</v>
      </c>
      <c r="D5486" s="3" t="s">
        <v>206</v>
      </c>
      <c r="E5486" s="3" t="s">
        <v>100</v>
      </c>
      <c r="F5486" s="7">
        <v>45856.0444888465</v>
      </c>
      <c r="G5486" s="3" t="s">
        <v>14521</v>
      </c>
    </row>
    <row r="5487">
      <c r="A5487" s="3" t="s">
        <v>16458</v>
      </c>
      <c r="B5487" s="3" t="s">
        <v>5276</v>
      </c>
      <c r="C5487" s="5" t="s">
        <v>206</v>
      </c>
      <c r="D5487" s="3" t="s">
        <v>68</v>
      </c>
      <c r="E5487" s="3" t="s">
        <v>100</v>
      </c>
      <c r="F5487" s="7">
        <v>45856.04796106872</v>
      </c>
      <c r="G5487" s="3" t="s">
        <v>14524</v>
      </c>
    </row>
    <row r="5488">
      <c r="A5488" s="3" t="s">
        <v>16460</v>
      </c>
      <c r="B5488" s="3" t="s">
        <v>5279</v>
      </c>
      <c r="C5488" s="5" t="s">
        <v>45</v>
      </c>
      <c r="D5488" s="3" t="s">
        <v>221</v>
      </c>
      <c r="E5488" s="3" t="s">
        <v>377</v>
      </c>
      <c r="F5488" s="7">
        <v>45856.108719247466</v>
      </c>
      <c r="G5488" s="3" t="s">
        <v>16462</v>
      </c>
    </row>
    <row r="5489">
      <c r="A5489" s="3" t="s">
        <v>16463</v>
      </c>
      <c r="B5489" s="3" t="s">
        <v>5279</v>
      </c>
      <c r="C5489" s="5" t="s">
        <v>221</v>
      </c>
      <c r="D5489" s="3" t="s">
        <v>614</v>
      </c>
      <c r="E5489" s="3" t="s">
        <v>118</v>
      </c>
      <c r="F5489" s="7">
        <v>45856.112191469685</v>
      </c>
      <c r="G5489" s="3" t="s">
        <v>16464</v>
      </c>
    </row>
    <row r="5490">
      <c r="A5490" s="3" t="s">
        <v>16466</v>
      </c>
      <c r="B5490" s="3" t="s">
        <v>5279</v>
      </c>
      <c r="C5490" s="5" t="s">
        <v>614</v>
      </c>
      <c r="D5490" s="3" t="s">
        <v>206</v>
      </c>
      <c r="E5490" s="3" t="s">
        <v>100</v>
      </c>
      <c r="F5490" s="7">
        <v>45856.11566369191</v>
      </c>
      <c r="G5490" s="3" t="s">
        <v>16467</v>
      </c>
    </row>
    <row r="5491">
      <c r="A5491" s="3" t="s">
        <v>16468</v>
      </c>
      <c r="B5491" s="3" t="s">
        <v>5279</v>
      </c>
      <c r="C5491" s="5" t="s">
        <v>206</v>
      </c>
      <c r="D5491" s="3" t="s">
        <v>68</v>
      </c>
      <c r="E5491" s="3" t="s">
        <v>100</v>
      </c>
      <c r="F5491" s="7">
        <v>45856.11913591413</v>
      </c>
      <c r="G5491" s="3" t="s">
        <v>16470</v>
      </c>
    </row>
    <row r="5492">
      <c r="A5492" s="3" t="s">
        <v>16471</v>
      </c>
      <c r="B5492" s="3" t="s">
        <v>5282</v>
      </c>
      <c r="C5492" s="5" t="s">
        <v>45</v>
      </c>
      <c r="D5492" s="3" t="s">
        <v>221</v>
      </c>
      <c r="E5492" s="3" t="s">
        <v>939</v>
      </c>
      <c r="F5492" s="7">
        <v>45856.17989409288</v>
      </c>
      <c r="G5492" s="3" t="s">
        <v>7152</v>
      </c>
    </row>
    <row r="5493">
      <c r="A5493" s="3" t="s">
        <v>16473</v>
      </c>
      <c r="B5493" s="3" t="s">
        <v>5282</v>
      </c>
      <c r="C5493" s="5" t="s">
        <v>221</v>
      </c>
      <c r="D5493" s="3" t="s">
        <v>614</v>
      </c>
      <c r="E5493" s="3" t="s">
        <v>118</v>
      </c>
      <c r="F5493" s="7">
        <v>45856.1833663151</v>
      </c>
      <c r="G5493" s="3" t="s">
        <v>7155</v>
      </c>
    </row>
    <row r="5494">
      <c r="A5494" s="3" t="s">
        <v>16475</v>
      </c>
      <c r="B5494" s="3" t="s">
        <v>5282</v>
      </c>
      <c r="C5494" s="5" t="s">
        <v>614</v>
      </c>
      <c r="D5494" s="3" t="s">
        <v>206</v>
      </c>
      <c r="E5494" s="3" t="s">
        <v>100</v>
      </c>
      <c r="F5494" s="7">
        <v>45856.18683853732</v>
      </c>
      <c r="G5494" s="3" t="s">
        <v>7158</v>
      </c>
    </row>
    <row r="5495">
      <c r="A5495" s="3" t="s">
        <v>16477</v>
      </c>
      <c r="B5495" s="3" t="s">
        <v>5282</v>
      </c>
      <c r="C5495" s="5" t="s">
        <v>206</v>
      </c>
      <c r="D5495" s="3" t="s">
        <v>68</v>
      </c>
      <c r="E5495" s="3" t="s">
        <v>100</v>
      </c>
      <c r="F5495" s="7">
        <v>45856.19031075954</v>
      </c>
      <c r="G5495" s="3" t="s">
        <v>7161</v>
      </c>
    </row>
    <row r="5496">
      <c r="A5496" s="3" t="s">
        <v>16479</v>
      </c>
      <c r="B5496" s="3" t="s">
        <v>5285</v>
      </c>
      <c r="C5496" s="5" t="s">
        <v>45</v>
      </c>
      <c r="D5496" s="3" t="s">
        <v>221</v>
      </c>
      <c r="E5496" s="3" t="s">
        <v>341</v>
      </c>
      <c r="F5496" s="7">
        <v>45856.2510689383</v>
      </c>
      <c r="G5496" s="3" t="s">
        <v>16480</v>
      </c>
    </row>
    <row r="5497">
      <c r="A5497" s="3" t="s">
        <v>16482</v>
      </c>
      <c r="B5497" s="3" t="s">
        <v>5285</v>
      </c>
      <c r="C5497" s="5" t="s">
        <v>221</v>
      </c>
      <c r="D5497" s="3" t="s">
        <v>614</v>
      </c>
      <c r="E5497" s="3" t="s">
        <v>118</v>
      </c>
      <c r="F5497" s="7">
        <v>45856.25454116052</v>
      </c>
      <c r="G5497" s="3" t="s">
        <v>16483</v>
      </c>
    </row>
    <row r="5498">
      <c r="A5498" s="3" t="s">
        <v>16485</v>
      </c>
      <c r="B5498" s="3" t="s">
        <v>5285</v>
      </c>
      <c r="C5498" s="5" t="s">
        <v>614</v>
      </c>
      <c r="D5498" s="3" t="s">
        <v>206</v>
      </c>
      <c r="E5498" s="3" t="s">
        <v>100</v>
      </c>
      <c r="F5498" s="7">
        <v>45856.25801338274</v>
      </c>
      <c r="G5498" s="3" t="s">
        <v>16486</v>
      </c>
    </row>
    <row r="5499">
      <c r="A5499" s="3" t="s">
        <v>16487</v>
      </c>
      <c r="B5499" s="3" t="s">
        <v>5285</v>
      </c>
      <c r="C5499" s="5" t="s">
        <v>206</v>
      </c>
      <c r="D5499" s="3" t="s">
        <v>68</v>
      </c>
      <c r="E5499" s="3" t="s">
        <v>100</v>
      </c>
      <c r="F5499" s="7">
        <v>45856.26148560496</v>
      </c>
      <c r="G5499" s="3" t="s">
        <v>16489</v>
      </c>
    </row>
    <row r="5500">
      <c r="A5500" s="3" t="s">
        <v>16490</v>
      </c>
      <c r="B5500" s="3" t="s">
        <v>5288</v>
      </c>
      <c r="C5500" s="5" t="s">
        <v>45</v>
      </c>
      <c r="D5500" s="3" t="s">
        <v>221</v>
      </c>
      <c r="E5500" s="3" t="s">
        <v>236</v>
      </c>
      <c r="F5500" s="7">
        <v>45856.32224378371</v>
      </c>
      <c r="G5500" s="3" t="s">
        <v>16492</v>
      </c>
    </row>
    <row r="5501">
      <c r="A5501" s="3" t="s">
        <v>16494</v>
      </c>
      <c r="B5501" s="3" t="s">
        <v>5288</v>
      </c>
      <c r="C5501" s="5" t="s">
        <v>221</v>
      </c>
      <c r="D5501" s="3" t="s">
        <v>614</v>
      </c>
      <c r="E5501" s="3" t="s">
        <v>118</v>
      </c>
      <c r="F5501" s="7">
        <v>45856.32571600593</v>
      </c>
      <c r="G5501" s="3" t="s">
        <v>16495</v>
      </c>
    </row>
    <row r="5502">
      <c r="A5502" s="3" t="s">
        <v>16496</v>
      </c>
      <c r="B5502" s="3" t="s">
        <v>5288</v>
      </c>
      <c r="C5502" s="5" t="s">
        <v>614</v>
      </c>
      <c r="D5502" s="3" t="s">
        <v>206</v>
      </c>
      <c r="E5502" s="3" t="s">
        <v>100</v>
      </c>
      <c r="F5502" s="7">
        <v>45856.329188228156</v>
      </c>
      <c r="G5502" s="3" t="s">
        <v>16498</v>
      </c>
    </row>
    <row r="5503">
      <c r="A5503" s="3" t="s">
        <v>16499</v>
      </c>
      <c r="B5503" s="3" t="s">
        <v>5288</v>
      </c>
      <c r="C5503" s="5" t="s">
        <v>206</v>
      </c>
      <c r="D5503" s="3" t="s">
        <v>68</v>
      </c>
      <c r="E5503" s="3" t="s">
        <v>100</v>
      </c>
      <c r="F5503" s="7">
        <v>45856.332660450375</v>
      </c>
      <c r="G5503" s="3" t="s">
        <v>16501</v>
      </c>
    </row>
    <row r="5504">
      <c r="A5504" s="3" t="s">
        <v>16502</v>
      </c>
      <c r="B5504" s="3" t="s">
        <v>5292</v>
      </c>
      <c r="C5504" s="5" t="s">
        <v>45</v>
      </c>
      <c r="D5504" s="3" t="s">
        <v>221</v>
      </c>
      <c r="E5504" s="3" t="s">
        <v>505</v>
      </c>
      <c r="F5504" s="7">
        <v>45856.39341862912</v>
      </c>
      <c r="G5504" s="3" t="s">
        <v>16504</v>
      </c>
    </row>
    <row r="5505">
      <c r="A5505" s="3" t="s">
        <v>16505</v>
      </c>
      <c r="B5505" s="3" t="s">
        <v>5292</v>
      </c>
      <c r="C5505" s="5" t="s">
        <v>221</v>
      </c>
      <c r="D5505" s="3" t="s">
        <v>181</v>
      </c>
      <c r="E5505" s="3" t="s">
        <v>118</v>
      </c>
      <c r="F5505" s="7">
        <v>45856.39689085134</v>
      </c>
      <c r="G5505" s="3" t="s">
        <v>16507</v>
      </c>
    </row>
    <row r="5506">
      <c r="A5506" s="3" t="s">
        <v>16508</v>
      </c>
      <c r="B5506" s="3" t="s">
        <v>5296</v>
      </c>
      <c r="C5506" s="5" t="s">
        <v>45</v>
      </c>
      <c r="D5506" s="3" t="s">
        <v>221</v>
      </c>
      <c r="E5506" s="3" t="s">
        <v>348</v>
      </c>
      <c r="F5506" s="7">
        <v>45856.46459347454</v>
      </c>
      <c r="G5506" s="3" t="s">
        <v>16509</v>
      </c>
    </row>
    <row r="5507">
      <c r="A5507" s="3" t="s">
        <v>16511</v>
      </c>
      <c r="B5507" s="3" t="s">
        <v>5296</v>
      </c>
      <c r="C5507" s="5" t="s">
        <v>221</v>
      </c>
      <c r="D5507" s="3" t="s">
        <v>614</v>
      </c>
      <c r="E5507" s="3" t="s">
        <v>118</v>
      </c>
      <c r="F5507" s="7">
        <v>45856.46806569676</v>
      </c>
      <c r="G5507" s="3" t="s">
        <v>16512</v>
      </c>
    </row>
    <row r="5508">
      <c r="A5508" s="3" t="s">
        <v>16513</v>
      </c>
      <c r="B5508" s="3" t="s">
        <v>5296</v>
      </c>
      <c r="C5508" s="5" t="s">
        <v>614</v>
      </c>
      <c r="D5508" s="3" t="s">
        <v>206</v>
      </c>
      <c r="E5508" s="3" t="s">
        <v>100</v>
      </c>
      <c r="F5508" s="7">
        <v>45856.47153791899</v>
      </c>
      <c r="G5508" s="3" t="s">
        <v>16515</v>
      </c>
    </row>
    <row r="5509">
      <c r="A5509" s="3" t="s">
        <v>16516</v>
      </c>
      <c r="B5509" s="3" t="s">
        <v>5296</v>
      </c>
      <c r="C5509" s="5" t="s">
        <v>206</v>
      </c>
      <c r="D5509" s="3" t="s">
        <v>68</v>
      </c>
      <c r="E5509" s="3" t="s">
        <v>100</v>
      </c>
      <c r="F5509" s="7">
        <v>45856.47501014121</v>
      </c>
      <c r="G5509" s="3" t="s">
        <v>16518</v>
      </c>
    </row>
    <row r="5510">
      <c r="A5510" s="3" t="s">
        <v>16519</v>
      </c>
      <c r="B5510" s="3" t="s">
        <v>5299</v>
      </c>
      <c r="C5510" s="5" t="s">
        <v>45</v>
      </c>
      <c r="D5510" s="3" t="s">
        <v>221</v>
      </c>
      <c r="E5510" s="3" t="s">
        <v>313</v>
      </c>
      <c r="F5510" s="7">
        <v>45856.53576831996</v>
      </c>
      <c r="G5510" s="3" t="s">
        <v>16521</v>
      </c>
    </row>
    <row r="5511">
      <c r="A5511" s="3" t="s">
        <v>16522</v>
      </c>
      <c r="B5511" s="3" t="s">
        <v>5299</v>
      </c>
      <c r="C5511" s="5" t="s">
        <v>221</v>
      </c>
      <c r="D5511" s="3" t="s">
        <v>614</v>
      </c>
      <c r="E5511" s="3" t="s">
        <v>118</v>
      </c>
      <c r="F5511" s="7">
        <v>45856.53924054218</v>
      </c>
      <c r="G5511" s="3" t="s">
        <v>16523</v>
      </c>
    </row>
    <row r="5512">
      <c r="A5512" s="3" t="s">
        <v>16524</v>
      </c>
      <c r="B5512" s="3" t="s">
        <v>5299</v>
      </c>
      <c r="C5512" s="5" t="s">
        <v>614</v>
      </c>
      <c r="D5512" s="3" t="s">
        <v>206</v>
      </c>
      <c r="E5512" s="3" t="s">
        <v>100</v>
      </c>
      <c r="F5512" s="7">
        <v>45856.54271276441</v>
      </c>
      <c r="G5512" s="3" t="s">
        <v>16526</v>
      </c>
    </row>
    <row r="5513">
      <c r="A5513" s="3" t="s">
        <v>16527</v>
      </c>
      <c r="B5513" s="3" t="s">
        <v>5299</v>
      </c>
      <c r="C5513" s="5" t="s">
        <v>206</v>
      </c>
      <c r="D5513" s="3" t="s">
        <v>68</v>
      </c>
      <c r="E5513" s="3" t="s">
        <v>100</v>
      </c>
      <c r="F5513" s="7">
        <v>45856.546184986626</v>
      </c>
      <c r="G5513" s="3" t="s">
        <v>16529</v>
      </c>
    </row>
    <row r="5514">
      <c r="A5514" s="3" t="s">
        <v>16530</v>
      </c>
      <c r="B5514" s="3" t="s">
        <v>5302</v>
      </c>
      <c r="C5514" s="5" t="s">
        <v>45</v>
      </c>
      <c r="D5514" s="3" t="s">
        <v>221</v>
      </c>
      <c r="E5514" s="3" t="s">
        <v>280</v>
      </c>
      <c r="F5514" s="7">
        <v>45856.60694316537</v>
      </c>
      <c r="G5514" s="3" t="s">
        <v>15372</v>
      </c>
    </row>
    <row r="5515">
      <c r="A5515" s="3" t="s">
        <v>16532</v>
      </c>
      <c r="B5515" s="3" t="s">
        <v>5302</v>
      </c>
      <c r="C5515" s="5" t="s">
        <v>221</v>
      </c>
      <c r="D5515" s="3" t="s">
        <v>614</v>
      </c>
      <c r="E5515" s="3" t="s">
        <v>118</v>
      </c>
      <c r="F5515" s="7">
        <v>45856.610415387586</v>
      </c>
      <c r="G5515" s="3" t="s">
        <v>15374</v>
      </c>
    </row>
    <row r="5516">
      <c r="A5516" s="3" t="s">
        <v>16534</v>
      </c>
      <c r="B5516" s="3" t="s">
        <v>5302</v>
      </c>
      <c r="C5516" s="5" t="s">
        <v>614</v>
      </c>
      <c r="D5516" s="3" t="s">
        <v>206</v>
      </c>
      <c r="E5516" s="3" t="s">
        <v>100</v>
      </c>
      <c r="F5516" s="7">
        <v>45856.61388760981</v>
      </c>
      <c r="G5516" s="3" t="s">
        <v>15377</v>
      </c>
    </row>
    <row r="5517">
      <c r="A5517" s="3" t="s">
        <v>16535</v>
      </c>
      <c r="B5517" s="3" t="s">
        <v>5302</v>
      </c>
      <c r="C5517" s="5" t="s">
        <v>206</v>
      </c>
      <c r="D5517" s="3" t="s">
        <v>68</v>
      </c>
      <c r="E5517" s="3" t="s">
        <v>100</v>
      </c>
      <c r="F5517" s="7">
        <v>45856.61735983203</v>
      </c>
      <c r="G5517" s="3" t="s">
        <v>15380</v>
      </c>
    </row>
    <row r="5518">
      <c r="A5518" s="3" t="s">
        <v>16537</v>
      </c>
      <c r="B5518" s="3" t="s">
        <v>5306</v>
      </c>
      <c r="C5518" s="5" t="s">
        <v>45</v>
      </c>
      <c r="D5518" s="3" t="s">
        <v>221</v>
      </c>
      <c r="E5518" s="3" t="s">
        <v>236</v>
      </c>
      <c r="F5518" s="7">
        <v>45856.67811801079</v>
      </c>
      <c r="G5518" s="3" t="s">
        <v>16539</v>
      </c>
    </row>
    <row r="5519">
      <c r="A5519" s="3" t="s">
        <v>16540</v>
      </c>
      <c r="B5519" s="3" t="s">
        <v>5306</v>
      </c>
      <c r="C5519" s="5" t="s">
        <v>221</v>
      </c>
      <c r="D5519" s="3" t="s">
        <v>614</v>
      </c>
      <c r="E5519" s="3" t="s">
        <v>118</v>
      </c>
      <c r="F5519" s="7">
        <v>45856.681590233005</v>
      </c>
      <c r="G5519" s="3" t="s">
        <v>16542</v>
      </c>
    </row>
    <row r="5520">
      <c r="A5520" s="3" t="s">
        <v>16543</v>
      </c>
      <c r="B5520" s="3" t="s">
        <v>5306</v>
      </c>
      <c r="C5520" s="5" t="s">
        <v>614</v>
      </c>
      <c r="D5520" s="3" t="s">
        <v>206</v>
      </c>
      <c r="E5520" s="3" t="s">
        <v>100</v>
      </c>
      <c r="F5520" s="7">
        <v>45856.68506245523</v>
      </c>
      <c r="G5520" s="3" t="s">
        <v>16544</v>
      </c>
    </row>
    <row r="5521">
      <c r="A5521" s="3" t="s">
        <v>16546</v>
      </c>
      <c r="B5521" s="3" t="s">
        <v>5306</v>
      </c>
      <c r="C5521" s="5" t="s">
        <v>206</v>
      </c>
      <c r="D5521" s="3" t="s">
        <v>68</v>
      </c>
      <c r="E5521" s="3" t="s">
        <v>100</v>
      </c>
      <c r="F5521" s="7">
        <v>45856.68853467745</v>
      </c>
      <c r="G5521" s="3" t="s">
        <v>16547</v>
      </c>
    </row>
    <row r="5522">
      <c r="A5522" s="3" t="s">
        <v>16548</v>
      </c>
      <c r="B5522" s="3" t="s">
        <v>5310</v>
      </c>
      <c r="C5522" s="5" t="s">
        <v>45</v>
      </c>
      <c r="D5522" s="3" t="s">
        <v>221</v>
      </c>
      <c r="E5522" s="3" t="s">
        <v>247</v>
      </c>
      <c r="F5522" s="7">
        <v>45856.7492928562</v>
      </c>
      <c r="G5522" s="3" t="s">
        <v>12488</v>
      </c>
    </row>
    <row r="5523">
      <c r="A5523" s="3" t="s">
        <v>16550</v>
      </c>
      <c r="B5523" s="3" t="s">
        <v>5310</v>
      </c>
      <c r="C5523" s="5" t="s">
        <v>221</v>
      </c>
      <c r="D5523" s="3" t="s">
        <v>614</v>
      </c>
      <c r="E5523" s="3" t="s">
        <v>118</v>
      </c>
      <c r="F5523" s="7">
        <v>45856.75276507842</v>
      </c>
      <c r="G5523" s="3" t="s">
        <v>12491</v>
      </c>
    </row>
    <row r="5524">
      <c r="A5524" s="3" t="s">
        <v>16552</v>
      </c>
      <c r="B5524" s="3" t="s">
        <v>5310</v>
      </c>
      <c r="C5524" s="5" t="s">
        <v>614</v>
      </c>
      <c r="D5524" s="3" t="s">
        <v>206</v>
      </c>
      <c r="E5524" s="3" t="s">
        <v>100</v>
      </c>
      <c r="F5524" s="7">
        <v>45856.756237300644</v>
      </c>
      <c r="G5524" s="3" t="s">
        <v>12494</v>
      </c>
    </row>
    <row r="5525">
      <c r="A5525" s="3" t="s">
        <v>16554</v>
      </c>
      <c r="B5525" s="3" t="s">
        <v>5310</v>
      </c>
      <c r="C5525" s="5" t="s">
        <v>206</v>
      </c>
      <c r="D5525" s="3" t="s">
        <v>68</v>
      </c>
      <c r="E5525" s="3" t="s">
        <v>100</v>
      </c>
      <c r="F5525" s="7">
        <v>45856.75970952286</v>
      </c>
      <c r="G5525" s="3" t="s">
        <v>12497</v>
      </c>
    </row>
    <row r="5526">
      <c r="A5526" s="3" t="s">
        <v>16556</v>
      </c>
      <c r="B5526" s="3" t="s">
        <v>5313</v>
      </c>
      <c r="C5526" s="5" t="s">
        <v>45</v>
      </c>
      <c r="D5526" s="3" t="s">
        <v>221</v>
      </c>
      <c r="E5526" s="3" t="s">
        <v>643</v>
      </c>
      <c r="F5526" s="7">
        <v>45856.82046770162</v>
      </c>
      <c r="G5526" s="3" t="s">
        <v>12294</v>
      </c>
    </row>
    <row r="5527">
      <c r="A5527" s="3" t="s">
        <v>16558</v>
      </c>
      <c r="B5527" s="3" t="s">
        <v>5313</v>
      </c>
      <c r="C5527" s="5" t="s">
        <v>221</v>
      </c>
      <c r="D5527" s="3" t="s">
        <v>614</v>
      </c>
      <c r="E5527" s="3" t="s">
        <v>118</v>
      </c>
      <c r="F5527" s="7">
        <v>45856.82393992384</v>
      </c>
      <c r="G5527" s="3" t="s">
        <v>16559</v>
      </c>
    </row>
    <row r="5528">
      <c r="A5528" s="3" t="s">
        <v>16560</v>
      </c>
      <c r="B5528" s="3" t="s">
        <v>5313</v>
      </c>
      <c r="C5528" s="5" t="s">
        <v>614</v>
      </c>
      <c r="D5528" s="3" t="s">
        <v>206</v>
      </c>
      <c r="E5528" s="3" t="s">
        <v>100</v>
      </c>
      <c r="F5528" s="7">
        <v>45856.82741214606</v>
      </c>
      <c r="G5528" s="3" t="s">
        <v>16562</v>
      </c>
    </row>
    <row r="5529">
      <c r="A5529" s="3" t="s">
        <v>16563</v>
      </c>
      <c r="B5529" s="3" t="s">
        <v>5313</v>
      </c>
      <c r="C5529" s="5" t="s">
        <v>206</v>
      </c>
      <c r="D5529" s="3" t="s">
        <v>68</v>
      </c>
      <c r="E5529" s="3" t="s">
        <v>100</v>
      </c>
      <c r="F5529" s="7">
        <v>45856.83088436828</v>
      </c>
      <c r="G5529" s="3" t="s">
        <v>16565</v>
      </c>
    </row>
    <row r="5530">
      <c r="A5530" s="3" t="s">
        <v>16566</v>
      </c>
      <c r="B5530" s="3" t="s">
        <v>5316</v>
      </c>
      <c r="C5530" s="5" t="s">
        <v>45</v>
      </c>
      <c r="D5530" s="3" t="s">
        <v>221</v>
      </c>
      <c r="E5530" s="3" t="s">
        <v>752</v>
      </c>
      <c r="F5530" s="7">
        <v>45856.89164254703</v>
      </c>
      <c r="G5530" s="3" t="s">
        <v>16568</v>
      </c>
    </row>
    <row r="5531">
      <c r="A5531" s="3" t="s">
        <v>16569</v>
      </c>
      <c r="B5531" s="3" t="s">
        <v>5316</v>
      </c>
      <c r="C5531" s="5" t="s">
        <v>221</v>
      </c>
      <c r="D5531" s="3" t="s">
        <v>614</v>
      </c>
      <c r="E5531" s="3" t="s">
        <v>118</v>
      </c>
      <c r="F5531" s="7">
        <v>45856.89511476925</v>
      </c>
      <c r="G5531" s="3" t="s">
        <v>16570</v>
      </c>
    </row>
    <row r="5532">
      <c r="A5532" s="3" t="s">
        <v>16572</v>
      </c>
      <c r="B5532" s="3" t="s">
        <v>5316</v>
      </c>
      <c r="C5532" s="5" t="s">
        <v>614</v>
      </c>
      <c r="D5532" s="3" t="s">
        <v>206</v>
      </c>
      <c r="E5532" s="3" t="s">
        <v>100</v>
      </c>
      <c r="F5532" s="7">
        <v>45856.898586991476</v>
      </c>
      <c r="G5532" s="3" t="s">
        <v>16573</v>
      </c>
    </row>
    <row r="5533">
      <c r="A5533" s="3" t="s">
        <v>16574</v>
      </c>
      <c r="B5533" s="3" t="s">
        <v>5316</v>
      </c>
      <c r="C5533" s="5" t="s">
        <v>206</v>
      </c>
      <c r="D5533" s="3" t="s">
        <v>68</v>
      </c>
      <c r="E5533" s="3" t="s">
        <v>100</v>
      </c>
      <c r="F5533" s="7">
        <v>45856.902059213695</v>
      </c>
      <c r="G5533" s="3" t="s">
        <v>16576</v>
      </c>
    </row>
    <row r="5534">
      <c r="A5534" s="3" t="s">
        <v>16577</v>
      </c>
      <c r="B5534" s="3" t="s">
        <v>5319</v>
      </c>
      <c r="C5534" s="5" t="s">
        <v>45</v>
      </c>
      <c r="D5534" s="3" t="s">
        <v>221</v>
      </c>
      <c r="E5534" s="3" t="s">
        <v>523</v>
      </c>
      <c r="F5534" s="7">
        <v>45856.96281739245</v>
      </c>
      <c r="G5534" s="3" t="s">
        <v>16579</v>
      </c>
    </row>
    <row r="5535">
      <c r="A5535" s="3" t="s">
        <v>16580</v>
      </c>
      <c r="B5535" s="3" t="s">
        <v>5319</v>
      </c>
      <c r="C5535" s="5" t="s">
        <v>221</v>
      </c>
      <c r="D5535" s="3" t="s">
        <v>614</v>
      </c>
      <c r="E5535" s="3" t="s">
        <v>118</v>
      </c>
      <c r="F5535" s="7">
        <v>45856.96628961467</v>
      </c>
      <c r="G5535" s="3" t="s">
        <v>16582</v>
      </c>
    </row>
    <row r="5536">
      <c r="A5536" s="3" t="s">
        <v>16583</v>
      </c>
      <c r="B5536" s="3" t="s">
        <v>5319</v>
      </c>
      <c r="C5536" s="5" t="s">
        <v>614</v>
      </c>
      <c r="D5536" s="3" t="s">
        <v>206</v>
      </c>
      <c r="E5536" s="3" t="s">
        <v>100</v>
      </c>
      <c r="F5536" s="7">
        <v>45856.969761836895</v>
      </c>
      <c r="G5536" s="3" t="s">
        <v>16584</v>
      </c>
    </row>
    <row r="5537">
      <c r="A5537" s="3" t="s">
        <v>16586</v>
      </c>
      <c r="B5537" s="3" t="s">
        <v>5319</v>
      </c>
      <c r="C5537" s="5" t="s">
        <v>206</v>
      </c>
      <c r="D5537" s="3" t="s">
        <v>68</v>
      </c>
      <c r="E5537" s="3" t="s">
        <v>100</v>
      </c>
      <c r="F5537" s="7">
        <v>45856.973234059114</v>
      </c>
      <c r="G5537" s="3" t="s">
        <v>16587</v>
      </c>
    </row>
    <row r="5538">
      <c r="A5538" s="3" t="s">
        <v>16588</v>
      </c>
      <c r="B5538" s="3" t="s">
        <v>5322</v>
      </c>
      <c r="C5538" s="5" t="s">
        <v>45</v>
      </c>
      <c r="D5538" s="3" t="s">
        <v>221</v>
      </c>
      <c r="E5538" s="3" t="s">
        <v>472</v>
      </c>
      <c r="F5538" s="7">
        <v>45857.033992237855</v>
      </c>
      <c r="G5538" s="3" t="s">
        <v>14758</v>
      </c>
    </row>
    <row r="5539">
      <c r="A5539" s="3" t="s">
        <v>16590</v>
      </c>
      <c r="B5539" s="3" t="s">
        <v>5322</v>
      </c>
      <c r="C5539" s="5" t="s">
        <v>221</v>
      </c>
      <c r="D5539" s="3" t="s">
        <v>614</v>
      </c>
      <c r="E5539" s="3" t="s">
        <v>118</v>
      </c>
      <c r="F5539" s="7">
        <v>45857.037464460074</v>
      </c>
      <c r="G5539" s="3" t="s">
        <v>14761</v>
      </c>
    </row>
    <row r="5540">
      <c r="A5540" s="3" t="s">
        <v>16592</v>
      </c>
      <c r="B5540" s="3" t="s">
        <v>5322</v>
      </c>
      <c r="C5540" s="5" t="s">
        <v>614</v>
      </c>
      <c r="D5540" s="3" t="s">
        <v>206</v>
      </c>
      <c r="E5540" s="3" t="s">
        <v>100</v>
      </c>
      <c r="F5540" s="7">
        <v>45857.0409366823</v>
      </c>
      <c r="G5540" s="3" t="s">
        <v>14763</v>
      </c>
    </row>
    <row r="5541">
      <c r="A5541" s="3" t="s">
        <v>16594</v>
      </c>
      <c r="B5541" s="3" t="s">
        <v>5322</v>
      </c>
      <c r="C5541" s="5" t="s">
        <v>206</v>
      </c>
      <c r="D5541" s="3" t="s">
        <v>68</v>
      </c>
      <c r="E5541" s="3" t="s">
        <v>100</v>
      </c>
      <c r="F5541" s="7">
        <v>45857.04440890452</v>
      </c>
      <c r="G5541" s="3" t="s">
        <v>14766</v>
      </c>
    </row>
    <row r="5542">
      <c r="A5542" s="3" t="s">
        <v>16596</v>
      </c>
      <c r="B5542" s="3" t="s">
        <v>5325</v>
      </c>
      <c r="C5542" s="5" t="s">
        <v>45</v>
      </c>
      <c r="D5542" s="3" t="s">
        <v>221</v>
      </c>
      <c r="E5542" s="3" t="s">
        <v>596</v>
      </c>
      <c r="F5542" s="7">
        <v>45857.105167083275</v>
      </c>
      <c r="G5542" s="3" t="s">
        <v>16597</v>
      </c>
    </row>
    <row r="5543">
      <c r="A5543" s="3" t="s">
        <v>16599</v>
      </c>
      <c r="B5543" s="3" t="s">
        <v>5325</v>
      </c>
      <c r="C5543" s="5" t="s">
        <v>221</v>
      </c>
      <c r="D5543" s="3" t="s">
        <v>614</v>
      </c>
      <c r="E5543" s="3" t="s">
        <v>118</v>
      </c>
      <c r="F5543" s="7">
        <v>45857.108639305494</v>
      </c>
      <c r="G5543" s="3" t="s">
        <v>16600</v>
      </c>
    </row>
    <row r="5544">
      <c r="A5544" s="3" t="s">
        <v>16601</v>
      </c>
      <c r="B5544" s="3" t="s">
        <v>5325</v>
      </c>
      <c r="C5544" s="5" t="s">
        <v>614</v>
      </c>
      <c r="D5544" s="3" t="s">
        <v>206</v>
      </c>
      <c r="E5544" s="3" t="s">
        <v>100</v>
      </c>
      <c r="F5544" s="7">
        <v>45857.11211152772</v>
      </c>
      <c r="G5544" s="3" t="s">
        <v>16603</v>
      </c>
    </row>
    <row r="5545">
      <c r="A5545" s="3" t="s">
        <v>16604</v>
      </c>
      <c r="B5545" s="3" t="s">
        <v>5325</v>
      </c>
      <c r="C5545" s="5" t="s">
        <v>206</v>
      </c>
      <c r="D5545" s="3" t="s">
        <v>68</v>
      </c>
      <c r="E5545" s="3" t="s">
        <v>100</v>
      </c>
      <c r="F5545" s="7">
        <v>45857.11558374994</v>
      </c>
      <c r="G5545" s="3" t="s">
        <v>16606</v>
      </c>
    </row>
    <row r="5546">
      <c r="A5546" s="3" t="s">
        <v>16607</v>
      </c>
      <c r="B5546" s="3" t="s">
        <v>5328</v>
      </c>
      <c r="C5546" s="5" t="s">
        <v>45</v>
      </c>
      <c r="D5546" s="3" t="s">
        <v>221</v>
      </c>
      <c r="E5546" s="3" t="s">
        <v>319</v>
      </c>
      <c r="F5546" s="7">
        <v>45857.176341928694</v>
      </c>
      <c r="G5546" s="3" t="s">
        <v>2770</v>
      </c>
    </row>
    <row r="5547">
      <c r="A5547" s="3" t="s">
        <v>16609</v>
      </c>
      <c r="B5547" s="3" t="s">
        <v>5328</v>
      </c>
      <c r="C5547" s="5" t="s">
        <v>221</v>
      </c>
      <c r="D5547" s="3" t="s">
        <v>181</v>
      </c>
      <c r="E5547" s="3" t="s">
        <v>118</v>
      </c>
      <c r="F5547" s="7">
        <v>45857.17981415091</v>
      </c>
      <c r="G5547" s="3" t="s">
        <v>2774</v>
      </c>
    </row>
    <row r="5548">
      <c r="A5548" s="3" t="s">
        <v>16610</v>
      </c>
      <c r="B5548" s="3" t="s">
        <v>5331</v>
      </c>
      <c r="C5548" s="5" t="s">
        <v>45</v>
      </c>
      <c r="D5548" s="3" t="s">
        <v>221</v>
      </c>
      <c r="E5548" s="3" t="s">
        <v>929</v>
      </c>
      <c r="F5548" s="7">
        <v>45857.24751677411</v>
      </c>
      <c r="G5548" s="3" t="s">
        <v>6614</v>
      </c>
    </row>
    <row r="5549">
      <c r="A5549" s="3" t="s">
        <v>16612</v>
      </c>
      <c r="B5549" s="3" t="s">
        <v>5331</v>
      </c>
      <c r="C5549" s="5" t="s">
        <v>221</v>
      </c>
      <c r="D5549" s="3" t="s">
        <v>614</v>
      </c>
      <c r="E5549" s="3" t="s">
        <v>118</v>
      </c>
      <c r="F5549" s="7">
        <v>45857.250988996326</v>
      </c>
      <c r="G5549" s="3" t="s">
        <v>6617</v>
      </c>
    </row>
    <row r="5550">
      <c r="A5550" s="3" t="s">
        <v>16614</v>
      </c>
      <c r="B5550" s="3" t="s">
        <v>5331</v>
      </c>
      <c r="C5550" s="5" t="s">
        <v>614</v>
      </c>
      <c r="D5550" s="3" t="s">
        <v>206</v>
      </c>
      <c r="E5550" s="3" t="s">
        <v>100</v>
      </c>
      <c r="F5550" s="7">
        <v>45857.25446121855</v>
      </c>
      <c r="G5550" s="3" t="s">
        <v>6619</v>
      </c>
    </row>
    <row r="5551">
      <c r="A5551" s="3" t="s">
        <v>16616</v>
      </c>
      <c r="B5551" s="3" t="s">
        <v>5331</v>
      </c>
      <c r="C5551" s="5" t="s">
        <v>206</v>
      </c>
      <c r="D5551" s="3" t="s">
        <v>68</v>
      </c>
      <c r="E5551" s="3" t="s">
        <v>100</v>
      </c>
      <c r="F5551" s="7">
        <v>45857.25793344077</v>
      </c>
      <c r="G5551" s="3" t="s">
        <v>6622</v>
      </c>
    </row>
    <row r="5552">
      <c r="A5552" s="3" t="s">
        <v>16618</v>
      </c>
      <c r="B5552" s="3" t="s">
        <v>5334</v>
      </c>
      <c r="C5552" s="5" t="s">
        <v>45</v>
      </c>
      <c r="D5552" s="3" t="s">
        <v>221</v>
      </c>
      <c r="E5552" s="3" t="s">
        <v>587</v>
      </c>
      <c r="F5552" s="7">
        <v>45857.31869161952</v>
      </c>
      <c r="G5552" s="3" t="s">
        <v>16619</v>
      </c>
    </row>
    <row r="5553">
      <c r="A5553" s="3" t="s">
        <v>16621</v>
      </c>
      <c r="B5553" s="3" t="s">
        <v>5334</v>
      </c>
      <c r="C5553" s="5" t="s">
        <v>221</v>
      </c>
      <c r="D5553" s="3" t="s">
        <v>614</v>
      </c>
      <c r="E5553" s="3" t="s">
        <v>118</v>
      </c>
      <c r="F5553" s="7">
        <v>45857.32216384174</v>
      </c>
      <c r="G5553" s="3" t="s">
        <v>16622</v>
      </c>
    </row>
    <row r="5554">
      <c r="A5554" s="3" t="s">
        <v>16623</v>
      </c>
      <c r="B5554" s="3" t="s">
        <v>5334</v>
      </c>
      <c r="C5554" s="5" t="s">
        <v>614</v>
      </c>
      <c r="D5554" s="3" t="s">
        <v>206</v>
      </c>
      <c r="E5554" s="3" t="s">
        <v>100</v>
      </c>
      <c r="F5554" s="7">
        <v>45857.325636063964</v>
      </c>
      <c r="G5554" s="3" t="s">
        <v>16625</v>
      </c>
    </row>
    <row r="5555">
      <c r="A5555" s="3" t="s">
        <v>16626</v>
      </c>
      <c r="B5555" s="3" t="s">
        <v>5334</v>
      </c>
      <c r="C5555" s="5" t="s">
        <v>206</v>
      </c>
      <c r="D5555" s="3" t="s">
        <v>68</v>
      </c>
      <c r="E5555" s="3" t="s">
        <v>100</v>
      </c>
      <c r="F5555" s="7">
        <v>45857.32910828618</v>
      </c>
      <c r="G5555" s="3" t="s">
        <v>16628</v>
      </c>
    </row>
    <row r="5556">
      <c r="A5556" s="3" t="s">
        <v>16629</v>
      </c>
      <c r="B5556" s="3" t="s">
        <v>5337</v>
      </c>
      <c r="C5556" s="5" t="s">
        <v>45</v>
      </c>
      <c r="D5556" s="3" t="s">
        <v>221</v>
      </c>
      <c r="E5556" s="3" t="s">
        <v>980</v>
      </c>
      <c r="F5556" s="7">
        <v>45857.38986646494</v>
      </c>
      <c r="G5556" s="3" t="s">
        <v>16631</v>
      </c>
    </row>
    <row r="5557">
      <c r="A5557" s="3" t="s">
        <v>16632</v>
      </c>
      <c r="B5557" s="3" t="s">
        <v>5337</v>
      </c>
      <c r="C5557" s="5" t="s">
        <v>221</v>
      </c>
      <c r="D5557" s="3" t="s">
        <v>614</v>
      </c>
      <c r="E5557" s="3" t="s">
        <v>118</v>
      </c>
      <c r="F5557" s="7">
        <v>45857.39333868716</v>
      </c>
      <c r="G5557" s="3" t="s">
        <v>16634</v>
      </c>
    </row>
    <row r="5558">
      <c r="A5558" s="3" t="s">
        <v>16635</v>
      </c>
      <c r="B5558" s="3" t="s">
        <v>5337</v>
      </c>
      <c r="C5558" s="5" t="s">
        <v>614</v>
      </c>
      <c r="D5558" s="3" t="s">
        <v>206</v>
      </c>
      <c r="E5558" s="3" t="s">
        <v>100</v>
      </c>
      <c r="F5558" s="7">
        <v>45857.396810909384</v>
      </c>
      <c r="G5558" s="3" t="s">
        <v>16636</v>
      </c>
    </row>
    <row r="5559">
      <c r="A5559" s="3" t="s">
        <v>16638</v>
      </c>
      <c r="B5559" s="3" t="s">
        <v>5337</v>
      </c>
      <c r="C5559" s="5" t="s">
        <v>206</v>
      </c>
      <c r="D5559" s="3" t="s">
        <v>68</v>
      </c>
      <c r="E5559" s="3" t="s">
        <v>100</v>
      </c>
      <c r="F5559" s="7">
        <v>45857.4002831316</v>
      </c>
      <c r="G5559" s="3" t="s">
        <v>16639</v>
      </c>
    </row>
    <row r="5560">
      <c r="A5560" s="3" t="s">
        <v>16640</v>
      </c>
      <c r="B5560" s="3" t="s">
        <v>5340</v>
      </c>
      <c r="C5560" s="5" t="s">
        <v>45</v>
      </c>
      <c r="D5560" s="3" t="s">
        <v>221</v>
      </c>
      <c r="E5560" s="3" t="s">
        <v>505</v>
      </c>
      <c r="F5560" s="7">
        <v>45857.46104131035</v>
      </c>
      <c r="G5560" s="3" t="s">
        <v>16504</v>
      </c>
    </row>
    <row r="5561">
      <c r="A5561" s="3" t="s">
        <v>16642</v>
      </c>
      <c r="B5561" s="3" t="s">
        <v>5340</v>
      </c>
      <c r="C5561" s="5" t="s">
        <v>221</v>
      </c>
      <c r="D5561" s="3" t="s">
        <v>614</v>
      </c>
      <c r="E5561" s="3" t="s">
        <v>118</v>
      </c>
      <c r="F5561" s="7">
        <v>45857.46451353257</v>
      </c>
      <c r="G5561" s="3" t="s">
        <v>16644</v>
      </c>
    </row>
    <row r="5562">
      <c r="A5562" s="3" t="s">
        <v>16645</v>
      </c>
      <c r="B5562" s="3" t="s">
        <v>5340</v>
      </c>
      <c r="C5562" s="5" t="s">
        <v>614</v>
      </c>
      <c r="D5562" s="3" t="s">
        <v>206</v>
      </c>
      <c r="E5562" s="3" t="s">
        <v>100</v>
      </c>
      <c r="F5562" s="7">
        <v>45857.467985754796</v>
      </c>
      <c r="G5562" s="3" t="s">
        <v>16647</v>
      </c>
    </row>
    <row r="5563">
      <c r="A5563" s="3" t="s">
        <v>16648</v>
      </c>
      <c r="B5563" s="3" t="s">
        <v>5340</v>
      </c>
      <c r="C5563" s="5" t="s">
        <v>206</v>
      </c>
      <c r="D5563" s="3" t="s">
        <v>68</v>
      </c>
      <c r="E5563" s="3" t="s">
        <v>100</v>
      </c>
      <c r="F5563" s="7">
        <v>45857.471457977015</v>
      </c>
      <c r="G5563" s="3" t="s">
        <v>16649</v>
      </c>
    </row>
    <row r="5564">
      <c r="A5564" s="3" t="s">
        <v>16651</v>
      </c>
      <c r="B5564" s="3" t="s">
        <v>5344</v>
      </c>
      <c r="C5564" s="5" t="s">
        <v>45</v>
      </c>
      <c r="D5564" s="3" t="s">
        <v>221</v>
      </c>
      <c r="E5564" s="3" t="s">
        <v>953</v>
      </c>
      <c r="F5564" s="7">
        <v>45857.53221615576</v>
      </c>
      <c r="G5564" s="3" t="s">
        <v>16653</v>
      </c>
    </row>
    <row r="5565">
      <c r="A5565" s="3" t="s">
        <v>16654</v>
      </c>
      <c r="B5565" s="3" t="s">
        <v>5344</v>
      </c>
      <c r="C5565" s="5" t="s">
        <v>221</v>
      </c>
      <c r="D5565" s="3" t="s">
        <v>614</v>
      </c>
      <c r="E5565" s="3" t="s">
        <v>118</v>
      </c>
      <c r="F5565" s="7">
        <v>45857.53568837798</v>
      </c>
      <c r="G5565" s="3" t="s">
        <v>16655</v>
      </c>
    </row>
    <row r="5566">
      <c r="A5566" s="3" t="s">
        <v>16656</v>
      </c>
      <c r="B5566" s="3" t="s">
        <v>5344</v>
      </c>
      <c r="C5566" s="5" t="s">
        <v>614</v>
      </c>
      <c r="D5566" s="3" t="s">
        <v>206</v>
      </c>
      <c r="E5566" s="3" t="s">
        <v>100</v>
      </c>
      <c r="F5566" s="7">
        <v>45857.53916060021</v>
      </c>
      <c r="G5566" s="3" t="s">
        <v>16658</v>
      </c>
    </row>
    <row r="5567">
      <c r="A5567" s="3" t="s">
        <v>16659</v>
      </c>
      <c r="B5567" s="3" t="s">
        <v>5344</v>
      </c>
      <c r="C5567" s="5" t="s">
        <v>206</v>
      </c>
      <c r="D5567" s="3" t="s">
        <v>68</v>
      </c>
      <c r="E5567" s="3" t="s">
        <v>100</v>
      </c>
      <c r="F5567" s="7">
        <v>45857.54263282243</v>
      </c>
      <c r="G5567" s="3" t="s">
        <v>16661</v>
      </c>
    </row>
    <row r="5568">
      <c r="A5568" s="3" t="s">
        <v>16662</v>
      </c>
      <c r="B5568" s="3" t="s">
        <v>5348</v>
      </c>
      <c r="C5568" s="5" t="s">
        <v>45</v>
      </c>
      <c r="D5568" s="3" t="s">
        <v>221</v>
      </c>
      <c r="E5568" s="3" t="s">
        <v>676</v>
      </c>
      <c r="F5568" s="7">
        <v>45857.60339100118</v>
      </c>
      <c r="G5568" s="3" t="s">
        <v>16664</v>
      </c>
    </row>
    <row r="5569">
      <c r="A5569" s="3" t="s">
        <v>16665</v>
      </c>
      <c r="B5569" s="3" t="s">
        <v>5348</v>
      </c>
      <c r="C5569" s="5" t="s">
        <v>221</v>
      </c>
      <c r="D5569" s="3" t="s">
        <v>614</v>
      </c>
      <c r="E5569" s="3" t="s">
        <v>118</v>
      </c>
      <c r="F5569" s="7">
        <v>45857.6068632234</v>
      </c>
      <c r="G5569" s="3" t="s">
        <v>16667</v>
      </c>
    </row>
    <row r="5570">
      <c r="A5570" s="3" t="s">
        <v>16668</v>
      </c>
      <c r="B5570" s="3" t="s">
        <v>5348</v>
      </c>
      <c r="C5570" s="5" t="s">
        <v>614</v>
      </c>
      <c r="D5570" s="3" t="s">
        <v>206</v>
      </c>
      <c r="E5570" s="3" t="s">
        <v>100</v>
      </c>
      <c r="F5570" s="7">
        <v>45857.61033544563</v>
      </c>
      <c r="G5570" s="3" t="s">
        <v>16669</v>
      </c>
    </row>
    <row r="5571">
      <c r="A5571" s="3" t="s">
        <v>16671</v>
      </c>
      <c r="B5571" s="3" t="s">
        <v>5348</v>
      </c>
      <c r="C5571" s="5" t="s">
        <v>206</v>
      </c>
      <c r="D5571" s="3" t="s">
        <v>68</v>
      </c>
      <c r="E5571" s="3" t="s">
        <v>100</v>
      </c>
      <c r="F5571" s="7">
        <v>45857.61380766785</v>
      </c>
      <c r="G5571" s="3" t="s">
        <v>16672</v>
      </c>
    </row>
    <row r="5572">
      <c r="A5572" s="3" t="s">
        <v>16673</v>
      </c>
      <c r="B5572" s="3" t="s">
        <v>5351</v>
      </c>
      <c r="C5572" s="5" t="s">
        <v>45</v>
      </c>
      <c r="D5572" s="3" t="s">
        <v>221</v>
      </c>
      <c r="E5572" s="3" t="s">
        <v>168</v>
      </c>
      <c r="F5572" s="7">
        <v>45857.6745658466</v>
      </c>
      <c r="G5572" s="3" t="s">
        <v>16675</v>
      </c>
    </row>
    <row r="5573">
      <c r="A5573" s="3" t="s">
        <v>16676</v>
      </c>
      <c r="B5573" s="3" t="s">
        <v>5351</v>
      </c>
      <c r="C5573" s="5" t="s">
        <v>221</v>
      </c>
      <c r="D5573" s="3" t="s">
        <v>614</v>
      </c>
      <c r="E5573" s="3" t="s">
        <v>118</v>
      </c>
      <c r="F5573" s="7">
        <v>45857.67803806882</v>
      </c>
      <c r="G5573" s="3" t="s">
        <v>16678</v>
      </c>
    </row>
    <row r="5574">
      <c r="A5574" s="3" t="s">
        <v>16679</v>
      </c>
      <c r="B5574" s="3" t="s">
        <v>5351</v>
      </c>
      <c r="C5574" s="5" t="s">
        <v>614</v>
      </c>
      <c r="D5574" s="3" t="s">
        <v>206</v>
      </c>
      <c r="E5574" s="3" t="s">
        <v>100</v>
      </c>
      <c r="F5574" s="7">
        <v>45857.68151029105</v>
      </c>
      <c r="G5574" s="3" t="s">
        <v>16681</v>
      </c>
    </row>
    <row r="5575">
      <c r="A5575" s="3" t="s">
        <v>16682</v>
      </c>
      <c r="B5575" s="3" t="s">
        <v>5351</v>
      </c>
      <c r="C5575" s="5" t="s">
        <v>206</v>
      </c>
      <c r="D5575" s="3" t="s">
        <v>68</v>
      </c>
      <c r="E5575" s="3" t="s">
        <v>100</v>
      </c>
      <c r="F5575" s="7">
        <v>45857.68498251327</v>
      </c>
      <c r="G5575" s="3" t="s">
        <v>16683</v>
      </c>
    </row>
    <row r="5576">
      <c r="A5576" s="3" t="s">
        <v>16685</v>
      </c>
      <c r="B5576" s="3" t="s">
        <v>5354</v>
      </c>
      <c r="C5576" s="5" t="s">
        <v>45</v>
      </c>
      <c r="D5576" s="3" t="s">
        <v>221</v>
      </c>
      <c r="E5576" s="3" t="s">
        <v>530</v>
      </c>
      <c r="F5576" s="7">
        <v>45857.74574069201</v>
      </c>
      <c r="G5576" s="3" t="s">
        <v>16686</v>
      </c>
    </row>
    <row r="5577">
      <c r="A5577" s="3" t="s">
        <v>16688</v>
      </c>
      <c r="B5577" s="3" t="s">
        <v>5354</v>
      </c>
      <c r="C5577" s="5" t="s">
        <v>221</v>
      </c>
      <c r="D5577" s="3" t="s">
        <v>195</v>
      </c>
      <c r="E5577" s="3" t="s">
        <v>530</v>
      </c>
      <c r="F5577" s="7">
        <v>45857.74921291423</v>
      </c>
      <c r="G5577" s="3" t="s">
        <v>16689</v>
      </c>
    </row>
    <row r="5578">
      <c r="A5578" s="3" t="s">
        <v>16691</v>
      </c>
      <c r="B5578" s="3" t="s">
        <v>5357</v>
      </c>
      <c r="C5578" s="5" t="s">
        <v>45</v>
      </c>
      <c r="D5578" s="3" t="s">
        <v>221</v>
      </c>
      <c r="E5578" s="3" t="s">
        <v>640</v>
      </c>
      <c r="F5578" s="7">
        <v>45857.81691553743</v>
      </c>
      <c r="G5578" s="3" t="s">
        <v>16144</v>
      </c>
    </row>
    <row r="5579">
      <c r="A5579" s="3" t="s">
        <v>16692</v>
      </c>
      <c r="B5579" s="3" t="s">
        <v>5357</v>
      </c>
      <c r="C5579" s="5" t="s">
        <v>221</v>
      </c>
      <c r="D5579" s="3" t="s">
        <v>614</v>
      </c>
      <c r="E5579" s="3" t="s">
        <v>118</v>
      </c>
      <c r="F5579" s="7">
        <v>45857.820387759646</v>
      </c>
      <c r="G5579" s="3" t="s">
        <v>16147</v>
      </c>
    </row>
    <row r="5580">
      <c r="A5580" s="3" t="s">
        <v>16694</v>
      </c>
      <c r="B5580" s="3" t="s">
        <v>5357</v>
      </c>
      <c r="C5580" s="5" t="s">
        <v>614</v>
      </c>
      <c r="D5580" s="3" t="s">
        <v>206</v>
      </c>
      <c r="E5580" s="3" t="s">
        <v>100</v>
      </c>
      <c r="F5580" s="7">
        <v>45857.82385998187</v>
      </c>
      <c r="G5580" s="3" t="s">
        <v>16150</v>
      </c>
    </row>
    <row r="5581">
      <c r="A5581" s="3" t="s">
        <v>16696</v>
      </c>
      <c r="B5581" s="3" t="s">
        <v>5357</v>
      </c>
      <c r="C5581" s="5" t="s">
        <v>206</v>
      </c>
      <c r="D5581" s="3" t="s">
        <v>68</v>
      </c>
      <c r="E5581" s="3" t="s">
        <v>100</v>
      </c>
      <c r="F5581" s="7">
        <v>45857.82733220409</v>
      </c>
      <c r="G5581" s="3" t="s">
        <v>16153</v>
      </c>
    </row>
    <row r="5582">
      <c r="A5582" s="3" t="s">
        <v>16698</v>
      </c>
      <c r="B5582" s="3" t="s">
        <v>5360</v>
      </c>
      <c r="C5582" s="5" t="s">
        <v>45</v>
      </c>
      <c r="D5582" s="3" t="s">
        <v>221</v>
      </c>
      <c r="E5582" s="3" t="s">
        <v>682</v>
      </c>
      <c r="F5582" s="7">
        <v>45857.88809038284</v>
      </c>
      <c r="G5582" s="3" t="s">
        <v>16700</v>
      </c>
    </row>
    <row r="5583">
      <c r="A5583" s="3" t="s">
        <v>16701</v>
      </c>
      <c r="B5583" s="3" t="s">
        <v>5360</v>
      </c>
      <c r="C5583" s="5" t="s">
        <v>221</v>
      </c>
      <c r="D5583" s="3" t="s">
        <v>614</v>
      </c>
      <c r="E5583" s="3" t="s">
        <v>118</v>
      </c>
      <c r="F5583" s="7">
        <v>45857.89156260506</v>
      </c>
      <c r="G5583" s="3" t="s">
        <v>16702</v>
      </c>
    </row>
    <row r="5584">
      <c r="A5584" s="3" t="s">
        <v>16704</v>
      </c>
      <c r="B5584" s="3" t="s">
        <v>5360</v>
      </c>
      <c r="C5584" s="5" t="s">
        <v>614</v>
      </c>
      <c r="D5584" s="3" t="s">
        <v>206</v>
      </c>
      <c r="E5584" s="3" t="s">
        <v>100</v>
      </c>
      <c r="F5584" s="7">
        <v>45857.895034827285</v>
      </c>
      <c r="G5584" s="3" t="s">
        <v>16705</v>
      </c>
    </row>
    <row r="5585">
      <c r="A5585" s="3" t="s">
        <v>16707</v>
      </c>
      <c r="B5585" s="3" t="s">
        <v>5360</v>
      </c>
      <c r="C5585" s="5" t="s">
        <v>206</v>
      </c>
      <c r="D5585" s="3" t="s">
        <v>68</v>
      </c>
      <c r="E5585" s="3" t="s">
        <v>100</v>
      </c>
      <c r="F5585" s="7">
        <v>45857.898507049504</v>
      </c>
      <c r="G5585" s="3" t="s">
        <v>16708</v>
      </c>
    </row>
    <row r="5586">
      <c r="A5586" s="3" t="s">
        <v>16709</v>
      </c>
      <c r="B5586" s="3" t="s">
        <v>5362</v>
      </c>
      <c r="C5586" s="5" t="s">
        <v>45</v>
      </c>
      <c r="D5586" s="3" t="s">
        <v>221</v>
      </c>
      <c r="E5586" s="3" t="s">
        <v>922</v>
      </c>
      <c r="F5586" s="7">
        <v>45857.95926522826</v>
      </c>
      <c r="G5586" s="3" t="s">
        <v>16711</v>
      </c>
    </row>
    <row r="5587">
      <c r="A5587" s="3" t="s">
        <v>16712</v>
      </c>
      <c r="B5587" s="3" t="s">
        <v>5362</v>
      </c>
      <c r="C5587" s="5" t="s">
        <v>221</v>
      </c>
      <c r="D5587" s="3" t="s">
        <v>614</v>
      </c>
      <c r="E5587" s="3" t="s">
        <v>118</v>
      </c>
      <c r="F5587" s="7">
        <v>45857.96273745048</v>
      </c>
      <c r="G5587" s="3" t="s">
        <v>16714</v>
      </c>
    </row>
    <row r="5588">
      <c r="A5588" s="3" t="s">
        <v>16715</v>
      </c>
      <c r="B5588" s="3" t="s">
        <v>5362</v>
      </c>
      <c r="C5588" s="5" t="s">
        <v>614</v>
      </c>
      <c r="D5588" s="3" t="s">
        <v>206</v>
      </c>
      <c r="E5588" s="3" t="s">
        <v>100</v>
      </c>
      <c r="F5588" s="7">
        <v>45857.966209672704</v>
      </c>
      <c r="G5588" s="3" t="s">
        <v>16717</v>
      </c>
    </row>
    <row r="5589">
      <c r="A5589" s="3" t="s">
        <v>16718</v>
      </c>
      <c r="B5589" s="3" t="s">
        <v>5362</v>
      </c>
      <c r="C5589" s="5" t="s">
        <v>206</v>
      </c>
      <c r="D5589" s="3" t="s">
        <v>68</v>
      </c>
      <c r="E5589" s="3" t="s">
        <v>100</v>
      </c>
      <c r="F5589" s="7">
        <v>45857.96968189492</v>
      </c>
      <c r="G5589" s="3" t="s">
        <v>16720</v>
      </c>
    </row>
    <row r="5590">
      <c r="A5590" s="3" t="s">
        <v>16721</v>
      </c>
      <c r="B5590" s="3" t="s">
        <v>5365</v>
      </c>
      <c r="C5590" s="5" t="s">
        <v>45</v>
      </c>
      <c r="D5590" s="3" t="s">
        <v>221</v>
      </c>
      <c r="E5590" s="3" t="s">
        <v>895</v>
      </c>
      <c r="F5590" s="7">
        <v>45858.03044007367</v>
      </c>
      <c r="G5590" s="3" t="s">
        <v>16723</v>
      </c>
    </row>
    <row r="5591">
      <c r="A5591" s="3" t="s">
        <v>16724</v>
      </c>
      <c r="B5591" s="3" t="s">
        <v>5365</v>
      </c>
      <c r="C5591" s="5" t="s">
        <v>221</v>
      </c>
      <c r="D5591" s="3" t="s">
        <v>614</v>
      </c>
      <c r="E5591" s="3" t="s">
        <v>118</v>
      </c>
      <c r="F5591" s="7">
        <v>45858.03391229589</v>
      </c>
      <c r="G5591" s="3" t="s">
        <v>16725</v>
      </c>
    </row>
    <row r="5592">
      <c r="A5592" s="3" t="s">
        <v>16727</v>
      </c>
      <c r="B5592" s="3" t="s">
        <v>5365</v>
      </c>
      <c r="C5592" s="5" t="s">
        <v>614</v>
      </c>
      <c r="D5592" s="3" t="s">
        <v>206</v>
      </c>
      <c r="E5592" s="3" t="s">
        <v>100</v>
      </c>
      <c r="F5592" s="7">
        <v>45858.03738451812</v>
      </c>
      <c r="G5592" s="3" t="s">
        <v>16728</v>
      </c>
    </row>
    <row r="5593">
      <c r="A5593" s="3" t="s">
        <v>16729</v>
      </c>
      <c r="B5593" s="3" t="s">
        <v>5365</v>
      </c>
      <c r="C5593" s="5" t="s">
        <v>206</v>
      </c>
      <c r="D5593" s="3" t="s">
        <v>68</v>
      </c>
      <c r="E5593" s="3" t="s">
        <v>100</v>
      </c>
      <c r="F5593" s="7">
        <v>45858.040856740336</v>
      </c>
      <c r="G5593" s="3" t="s">
        <v>16731</v>
      </c>
    </row>
    <row r="5594">
      <c r="A5594" s="3" t="s">
        <v>16732</v>
      </c>
      <c r="B5594" s="3" t="s">
        <v>5368</v>
      </c>
      <c r="C5594" s="5" t="s">
        <v>45</v>
      </c>
      <c r="D5594" s="3" t="s">
        <v>221</v>
      </c>
      <c r="E5594" s="3" t="s">
        <v>466</v>
      </c>
      <c r="F5594" s="7">
        <v>45858.10161491909</v>
      </c>
      <c r="G5594" s="3" t="s">
        <v>7670</v>
      </c>
    </row>
    <row r="5595">
      <c r="A5595" s="3" t="s">
        <v>16733</v>
      </c>
      <c r="B5595" s="3" t="s">
        <v>5368</v>
      </c>
      <c r="C5595" s="5" t="s">
        <v>221</v>
      </c>
      <c r="D5595" s="3" t="s">
        <v>614</v>
      </c>
      <c r="E5595" s="3" t="s">
        <v>118</v>
      </c>
      <c r="F5595" s="7">
        <v>45858.10508714131</v>
      </c>
      <c r="G5595" s="3" t="s">
        <v>7673</v>
      </c>
    </row>
    <row r="5596">
      <c r="A5596" s="3" t="s">
        <v>16735</v>
      </c>
      <c r="B5596" s="3" t="s">
        <v>5368</v>
      </c>
      <c r="C5596" s="5" t="s">
        <v>614</v>
      </c>
      <c r="D5596" s="3" t="s">
        <v>206</v>
      </c>
      <c r="E5596" s="3" t="s">
        <v>100</v>
      </c>
      <c r="F5596" s="7">
        <v>45858.108559363536</v>
      </c>
      <c r="G5596" s="3" t="s">
        <v>7676</v>
      </c>
    </row>
    <row r="5597">
      <c r="A5597" s="3" t="s">
        <v>16737</v>
      </c>
      <c r="B5597" s="3" t="s">
        <v>5368</v>
      </c>
      <c r="C5597" s="5" t="s">
        <v>206</v>
      </c>
      <c r="D5597" s="3" t="s">
        <v>68</v>
      </c>
      <c r="E5597" s="3" t="s">
        <v>100</v>
      </c>
      <c r="F5597" s="7">
        <v>45858.112031585755</v>
      </c>
      <c r="G5597" s="3" t="s">
        <v>7679</v>
      </c>
    </row>
    <row r="5598">
      <c r="A5598" s="3" t="s">
        <v>16739</v>
      </c>
      <c r="B5598" s="3" t="s">
        <v>5371</v>
      </c>
      <c r="C5598" s="5" t="s">
        <v>45</v>
      </c>
      <c r="D5598" s="3" t="s">
        <v>221</v>
      </c>
      <c r="E5598" s="3" t="s">
        <v>1030</v>
      </c>
      <c r="F5598" s="7">
        <v>45858.1727897645</v>
      </c>
      <c r="G5598" s="3" t="s">
        <v>4871</v>
      </c>
    </row>
    <row r="5599">
      <c r="A5599" s="3" t="s">
        <v>16741</v>
      </c>
      <c r="B5599" s="3" t="s">
        <v>5371</v>
      </c>
      <c r="C5599" s="5" t="s">
        <v>221</v>
      </c>
      <c r="D5599" s="3" t="s">
        <v>614</v>
      </c>
      <c r="E5599" s="3" t="s">
        <v>118</v>
      </c>
      <c r="F5599" s="7">
        <v>45858.17626198672</v>
      </c>
      <c r="G5599" s="3" t="s">
        <v>4874</v>
      </c>
    </row>
    <row r="5600">
      <c r="A5600" s="3" t="s">
        <v>16742</v>
      </c>
      <c r="B5600" s="3" t="s">
        <v>5371</v>
      </c>
      <c r="C5600" s="5" t="s">
        <v>614</v>
      </c>
      <c r="D5600" s="3" t="s">
        <v>206</v>
      </c>
      <c r="E5600" s="3" t="s">
        <v>100</v>
      </c>
      <c r="F5600" s="7">
        <v>45858.17973420895</v>
      </c>
      <c r="G5600" s="3" t="s">
        <v>4877</v>
      </c>
    </row>
    <row r="5601">
      <c r="A5601" s="3" t="s">
        <v>16744</v>
      </c>
      <c r="B5601" s="3" t="s">
        <v>5371</v>
      </c>
      <c r="C5601" s="5" t="s">
        <v>206</v>
      </c>
      <c r="D5601" s="3" t="s">
        <v>68</v>
      </c>
      <c r="E5601" s="3" t="s">
        <v>100</v>
      </c>
      <c r="F5601" s="7">
        <v>45858.18320643117</v>
      </c>
      <c r="G5601" s="3" t="s">
        <v>4880</v>
      </c>
    </row>
    <row r="5602">
      <c r="A5602" s="3" t="s">
        <v>16746</v>
      </c>
      <c r="B5602" s="3" t="s">
        <v>5375</v>
      </c>
      <c r="C5602" s="5" t="s">
        <v>45</v>
      </c>
      <c r="D5602" s="3" t="s">
        <v>221</v>
      </c>
      <c r="E5602" s="3" t="s">
        <v>446</v>
      </c>
      <c r="F5602" s="7">
        <v>45858.243964609916</v>
      </c>
      <c r="G5602" s="3" t="s">
        <v>14549</v>
      </c>
    </row>
    <row r="5603">
      <c r="A5603" s="3" t="s">
        <v>16748</v>
      </c>
      <c r="B5603" s="3" t="s">
        <v>5375</v>
      </c>
      <c r="C5603" s="5" t="s">
        <v>221</v>
      </c>
      <c r="D5603" s="3" t="s">
        <v>614</v>
      </c>
      <c r="E5603" s="3" t="s">
        <v>118</v>
      </c>
      <c r="F5603" s="7">
        <v>45858.247436832135</v>
      </c>
      <c r="G5603" s="3" t="s">
        <v>14552</v>
      </c>
    </row>
    <row r="5604">
      <c r="A5604" s="3" t="s">
        <v>16750</v>
      </c>
      <c r="B5604" s="3" t="s">
        <v>5375</v>
      </c>
      <c r="C5604" s="5" t="s">
        <v>614</v>
      </c>
      <c r="D5604" s="3" t="s">
        <v>206</v>
      </c>
      <c r="E5604" s="3" t="s">
        <v>100</v>
      </c>
      <c r="F5604" s="7">
        <v>45858.25090905436</v>
      </c>
      <c r="G5604" s="3" t="s">
        <v>14555</v>
      </c>
    </row>
    <row r="5605">
      <c r="A5605" s="3" t="s">
        <v>16752</v>
      </c>
      <c r="B5605" s="3" t="s">
        <v>5375</v>
      </c>
      <c r="C5605" s="5" t="s">
        <v>206</v>
      </c>
      <c r="D5605" s="3" t="s">
        <v>68</v>
      </c>
      <c r="E5605" s="3" t="s">
        <v>100</v>
      </c>
      <c r="F5605" s="7">
        <v>45858.25438127658</v>
      </c>
      <c r="G5605" s="3" t="s">
        <v>14558</v>
      </c>
    </row>
    <row r="5606">
      <c r="A5606" s="3" t="s">
        <v>16753</v>
      </c>
      <c r="B5606" s="3" t="s">
        <v>5378</v>
      </c>
      <c r="C5606" s="5" t="s">
        <v>45</v>
      </c>
      <c r="D5606" s="3" t="s">
        <v>221</v>
      </c>
      <c r="E5606" s="3" t="s">
        <v>539</v>
      </c>
      <c r="F5606" s="7">
        <v>45858.315139455335</v>
      </c>
      <c r="G5606" s="3" t="s">
        <v>16755</v>
      </c>
    </row>
    <row r="5607">
      <c r="A5607" s="3" t="s">
        <v>16756</v>
      </c>
      <c r="B5607" s="3" t="s">
        <v>5378</v>
      </c>
      <c r="C5607" s="5" t="s">
        <v>221</v>
      </c>
      <c r="D5607" s="3" t="s">
        <v>614</v>
      </c>
      <c r="E5607" s="3" t="s">
        <v>118</v>
      </c>
      <c r="F5607" s="7">
        <v>45858.318611677554</v>
      </c>
      <c r="G5607" s="3" t="s">
        <v>16758</v>
      </c>
    </row>
    <row r="5608">
      <c r="A5608" s="3" t="s">
        <v>16759</v>
      </c>
      <c r="B5608" s="3" t="s">
        <v>5378</v>
      </c>
      <c r="C5608" s="5" t="s">
        <v>614</v>
      </c>
      <c r="D5608" s="3" t="s">
        <v>206</v>
      </c>
      <c r="E5608" s="3" t="s">
        <v>100</v>
      </c>
      <c r="F5608" s="7">
        <v>45858.32208389978</v>
      </c>
      <c r="G5608" s="3" t="s">
        <v>16761</v>
      </c>
    </row>
    <row r="5609">
      <c r="A5609" s="3" t="s">
        <v>16762</v>
      </c>
      <c r="B5609" s="3" t="s">
        <v>5378</v>
      </c>
      <c r="C5609" s="5" t="s">
        <v>206</v>
      </c>
      <c r="D5609" s="3" t="s">
        <v>68</v>
      </c>
      <c r="E5609" s="3" t="s">
        <v>100</v>
      </c>
      <c r="F5609" s="7">
        <v>45858.325556122</v>
      </c>
      <c r="G5609" s="3" t="s">
        <v>16763</v>
      </c>
    </row>
    <row r="5610">
      <c r="A5610" s="3" t="s">
        <v>16765</v>
      </c>
      <c r="B5610" s="3" t="s">
        <v>5382</v>
      </c>
      <c r="C5610" s="5" t="s">
        <v>45</v>
      </c>
      <c r="D5610" s="3" t="s">
        <v>221</v>
      </c>
      <c r="E5610" s="3" t="s">
        <v>406</v>
      </c>
      <c r="F5610" s="7">
        <v>45858.38631430075</v>
      </c>
      <c r="G5610" s="3" t="s">
        <v>16766</v>
      </c>
    </row>
    <row r="5611">
      <c r="A5611" s="3" t="s">
        <v>16768</v>
      </c>
      <c r="B5611" s="3" t="s">
        <v>5382</v>
      </c>
      <c r="C5611" s="5" t="s">
        <v>221</v>
      </c>
      <c r="D5611" s="3" t="s">
        <v>614</v>
      </c>
      <c r="E5611" s="3" t="s">
        <v>118</v>
      </c>
      <c r="F5611" s="7">
        <v>45858.38978652297</v>
      </c>
      <c r="G5611" s="3" t="s">
        <v>16769</v>
      </c>
    </row>
    <row r="5612">
      <c r="A5612" s="3" t="s">
        <v>16770</v>
      </c>
      <c r="B5612" s="3" t="s">
        <v>5382</v>
      </c>
      <c r="C5612" s="5" t="s">
        <v>614</v>
      </c>
      <c r="D5612" s="3" t="s">
        <v>206</v>
      </c>
      <c r="E5612" s="3" t="s">
        <v>100</v>
      </c>
      <c r="F5612" s="7">
        <v>45858.39325874519</v>
      </c>
      <c r="G5612" s="3" t="s">
        <v>16772</v>
      </c>
    </row>
    <row r="5613">
      <c r="A5613" s="3" t="s">
        <v>16773</v>
      </c>
      <c r="B5613" s="3" t="s">
        <v>5382</v>
      </c>
      <c r="C5613" s="5" t="s">
        <v>206</v>
      </c>
      <c r="D5613" s="3" t="s">
        <v>68</v>
      </c>
      <c r="E5613" s="3" t="s">
        <v>100</v>
      </c>
      <c r="F5613" s="7">
        <v>45858.39673096741</v>
      </c>
      <c r="G5613" s="3" t="s">
        <v>16775</v>
      </c>
    </row>
    <row r="5614">
      <c r="A5614" s="3" t="s">
        <v>16776</v>
      </c>
      <c r="B5614" s="3" t="s">
        <v>5385</v>
      </c>
      <c r="C5614" s="5" t="s">
        <v>45</v>
      </c>
      <c r="D5614" s="3" t="s">
        <v>221</v>
      </c>
      <c r="E5614" s="3" t="s">
        <v>916</v>
      </c>
      <c r="F5614" s="7">
        <v>45858.45748914616</v>
      </c>
      <c r="G5614" s="3" t="s">
        <v>16778</v>
      </c>
    </row>
    <row r="5615">
      <c r="A5615" s="3" t="s">
        <v>16779</v>
      </c>
      <c r="B5615" s="3" t="s">
        <v>5385</v>
      </c>
      <c r="C5615" s="5" t="s">
        <v>221</v>
      </c>
      <c r="D5615" s="3" t="s">
        <v>614</v>
      </c>
      <c r="E5615" s="3" t="s">
        <v>118</v>
      </c>
      <c r="F5615" s="7">
        <v>45858.46096136838</v>
      </c>
      <c r="G5615" s="3" t="s">
        <v>16781</v>
      </c>
    </row>
    <row r="5616">
      <c r="A5616" s="3" t="s">
        <v>16782</v>
      </c>
      <c r="B5616" s="3" t="s">
        <v>5385</v>
      </c>
      <c r="C5616" s="5" t="s">
        <v>614</v>
      </c>
      <c r="D5616" s="3" t="s">
        <v>206</v>
      </c>
      <c r="E5616" s="3" t="s">
        <v>100</v>
      </c>
      <c r="F5616" s="7">
        <v>45858.464433590605</v>
      </c>
      <c r="G5616" s="3" t="s">
        <v>16783</v>
      </c>
    </row>
    <row r="5617">
      <c r="A5617" s="3" t="s">
        <v>16784</v>
      </c>
      <c r="B5617" s="3" t="s">
        <v>5385</v>
      </c>
      <c r="C5617" s="5" t="s">
        <v>206</v>
      </c>
      <c r="D5617" s="3" t="s">
        <v>68</v>
      </c>
      <c r="E5617" s="3" t="s">
        <v>100</v>
      </c>
      <c r="F5617" s="7">
        <v>45858.467905812824</v>
      </c>
      <c r="G5617" s="3" t="s">
        <v>16786</v>
      </c>
    </row>
    <row r="5618">
      <c r="A5618" s="3" t="s">
        <v>16787</v>
      </c>
      <c r="B5618" s="3" t="s">
        <v>5388</v>
      </c>
      <c r="C5618" s="5" t="s">
        <v>45</v>
      </c>
      <c r="D5618" s="3" t="s">
        <v>221</v>
      </c>
      <c r="E5618" s="3" t="s">
        <v>658</v>
      </c>
      <c r="F5618" s="7">
        <v>45858.52866399158</v>
      </c>
      <c r="G5618" s="3" t="s">
        <v>16789</v>
      </c>
    </row>
    <row r="5619">
      <c r="A5619" s="3" t="s">
        <v>16790</v>
      </c>
      <c r="B5619" s="3" t="s">
        <v>5388</v>
      </c>
      <c r="C5619" s="5" t="s">
        <v>221</v>
      </c>
      <c r="D5619" s="3" t="s">
        <v>614</v>
      </c>
      <c r="E5619" s="3" t="s">
        <v>118</v>
      </c>
      <c r="F5619" s="7">
        <v>45858.5321362138</v>
      </c>
      <c r="G5619" s="3" t="s">
        <v>16791</v>
      </c>
    </row>
    <row r="5620">
      <c r="A5620" s="3" t="s">
        <v>16793</v>
      </c>
      <c r="B5620" s="3" t="s">
        <v>5388</v>
      </c>
      <c r="C5620" s="5" t="s">
        <v>614</v>
      </c>
      <c r="D5620" s="3" t="s">
        <v>206</v>
      </c>
      <c r="E5620" s="3" t="s">
        <v>100</v>
      </c>
      <c r="F5620" s="7">
        <v>45858.535608436025</v>
      </c>
      <c r="G5620" s="3" t="s">
        <v>16794</v>
      </c>
    </row>
    <row r="5621">
      <c r="A5621" s="3" t="s">
        <v>16795</v>
      </c>
      <c r="B5621" s="3" t="s">
        <v>5388</v>
      </c>
      <c r="C5621" s="5" t="s">
        <v>206</v>
      </c>
      <c r="D5621" s="3" t="s">
        <v>68</v>
      </c>
      <c r="E5621" s="3" t="s">
        <v>100</v>
      </c>
      <c r="F5621" s="7">
        <v>45858.53908065824</v>
      </c>
      <c r="G5621" s="3" t="s">
        <v>16797</v>
      </c>
    </row>
    <row r="5622">
      <c r="A5622" s="3" t="s">
        <v>16798</v>
      </c>
      <c r="B5622" s="3" t="s">
        <v>5392</v>
      </c>
      <c r="C5622" s="5" t="s">
        <v>45</v>
      </c>
      <c r="D5622" s="3" t="s">
        <v>221</v>
      </c>
      <c r="E5622" s="3" t="s">
        <v>156</v>
      </c>
      <c r="F5622" s="7">
        <v>45858.59983883699</v>
      </c>
      <c r="G5622" s="3" t="s">
        <v>16800</v>
      </c>
    </row>
    <row r="5623">
      <c r="A5623" s="3" t="s">
        <v>16801</v>
      </c>
      <c r="B5623" s="3" t="s">
        <v>5392</v>
      </c>
      <c r="C5623" s="5" t="s">
        <v>221</v>
      </c>
      <c r="D5623" s="3" t="s">
        <v>614</v>
      </c>
      <c r="E5623" s="3" t="s">
        <v>118</v>
      </c>
      <c r="F5623" s="7">
        <v>45858.60331105921</v>
      </c>
      <c r="G5623" s="3" t="s">
        <v>16803</v>
      </c>
    </row>
    <row r="5624">
      <c r="A5624" s="3" t="s">
        <v>16804</v>
      </c>
      <c r="B5624" s="3" t="s">
        <v>5392</v>
      </c>
      <c r="C5624" s="5" t="s">
        <v>614</v>
      </c>
      <c r="D5624" s="3" t="s">
        <v>206</v>
      </c>
      <c r="E5624" s="3" t="s">
        <v>100</v>
      </c>
      <c r="F5624" s="7">
        <v>45858.60678328144</v>
      </c>
      <c r="G5624" s="3" t="s">
        <v>16806</v>
      </c>
    </row>
    <row r="5625">
      <c r="A5625" s="3" t="s">
        <v>16807</v>
      </c>
      <c r="B5625" s="3" t="s">
        <v>5392</v>
      </c>
      <c r="C5625" s="5" t="s">
        <v>206</v>
      </c>
      <c r="D5625" s="3" t="s">
        <v>68</v>
      </c>
      <c r="E5625" s="3" t="s">
        <v>100</v>
      </c>
      <c r="F5625" s="7">
        <v>45858.610255503656</v>
      </c>
      <c r="G5625" s="3" t="s">
        <v>16808</v>
      </c>
    </row>
    <row r="5626">
      <c r="A5626" s="3" t="s">
        <v>16809</v>
      </c>
      <c r="B5626" s="3" t="s">
        <v>5395</v>
      </c>
      <c r="C5626" s="5" t="s">
        <v>45</v>
      </c>
      <c r="D5626" s="3" t="s">
        <v>221</v>
      </c>
      <c r="E5626" s="3" t="s">
        <v>310</v>
      </c>
      <c r="F5626" s="7">
        <v>45858.671013682404</v>
      </c>
      <c r="G5626" s="3" t="s">
        <v>16811</v>
      </c>
    </row>
    <row r="5627">
      <c r="A5627" s="3" t="s">
        <v>16812</v>
      </c>
      <c r="B5627" s="3" t="s">
        <v>5395</v>
      </c>
      <c r="C5627" s="5" t="s">
        <v>221</v>
      </c>
      <c r="D5627" s="3" t="s">
        <v>614</v>
      </c>
      <c r="E5627" s="3" t="s">
        <v>118</v>
      </c>
      <c r="F5627" s="7">
        <v>45858.67448590462</v>
      </c>
      <c r="G5627" s="3" t="s">
        <v>16814</v>
      </c>
    </row>
    <row r="5628">
      <c r="A5628" s="3" t="s">
        <v>16815</v>
      </c>
      <c r="B5628" s="3" t="s">
        <v>5395</v>
      </c>
      <c r="C5628" s="5" t="s">
        <v>614</v>
      </c>
      <c r="D5628" s="3" t="s">
        <v>206</v>
      </c>
      <c r="E5628" s="3" t="s">
        <v>100</v>
      </c>
      <c r="F5628" s="7">
        <v>45858.67795812685</v>
      </c>
      <c r="G5628" s="3" t="s">
        <v>16817</v>
      </c>
    </row>
    <row r="5629">
      <c r="A5629" s="3" t="s">
        <v>16818</v>
      </c>
      <c r="B5629" s="3" t="s">
        <v>5395</v>
      </c>
      <c r="C5629" s="5" t="s">
        <v>206</v>
      </c>
      <c r="D5629" s="3" t="s">
        <v>68</v>
      </c>
      <c r="E5629" s="3" t="s">
        <v>100</v>
      </c>
      <c r="F5629" s="7">
        <v>45858.68143034907</v>
      </c>
      <c r="G5629" s="3" t="s">
        <v>16820</v>
      </c>
    </row>
    <row r="5630">
      <c r="A5630" s="3" t="s">
        <v>16821</v>
      </c>
      <c r="B5630" s="3" t="s">
        <v>5398</v>
      </c>
      <c r="C5630" s="5" t="s">
        <v>45</v>
      </c>
      <c r="D5630" s="3" t="s">
        <v>221</v>
      </c>
      <c r="E5630" s="3" t="s">
        <v>493</v>
      </c>
      <c r="F5630" s="7">
        <v>45858.74218852782</v>
      </c>
      <c r="G5630" s="3" t="s">
        <v>16822</v>
      </c>
    </row>
    <row r="5631">
      <c r="A5631" s="3" t="s">
        <v>16824</v>
      </c>
      <c r="B5631" s="3" t="s">
        <v>5398</v>
      </c>
      <c r="C5631" s="5" t="s">
        <v>221</v>
      </c>
      <c r="D5631" s="3" t="s">
        <v>614</v>
      </c>
      <c r="E5631" s="3" t="s">
        <v>118</v>
      </c>
      <c r="F5631" s="7">
        <v>45858.74566075004</v>
      </c>
      <c r="G5631" s="3" t="s">
        <v>16825</v>
      </c>
    </row>
    <row r="5632">
      <c r="A5632" s="3" t="s">
        <v>16826</v>
      </c>
      <c r="B5632" s="3" t="s">
        <v>5398</v>
      </c>
      <c r="C5632" s="5" t="s">
        <v>614</v>
      </c>
      <c r="D5632" s="3" t="s">
        <v>206</v>
      </c>
      <c r="E5632" s="3" t="s">
        <v>100</v>
      </c>
      <c r="F5632" s="7">
        <v>45858.74913297227</v>
      </c>
      <c r="G5632" s="3" t="s">
        <v>16828</v>
      </c>
    </row>
    <row r="5633">
      <c r="A5633" s="3" t="s">
        <v>16829</v>
      </c>
      <c r="B5633" s="3" t="s">
        <v>5398</v>
      </c>
      <c r="C5633" s="5" t="s">
        <v>206</v>
      </c>
      <c r="D5633" s="3" t="s">
        <v>68</v>
      </c>
      <c r="E5633" s="3" t="s">
        <v>100</v>
      </c>
      <c r="F5633" s="7">
        <v>45858.75260519449</v>
      </c>
      <c r="G5633" s="3" t="s">
        <v>16831</v>
      </c>
    </row>
    <row r="5634">
      <c r="A5634" s="3" t="s">
        <v>16832</v>
      </c>
      <c r="B5634" s="3" t="s">
        <v>5401</v>
      </c>
      <c r="C5634" s="5" t="s">
        <v>45</v>
      </c>
      <c r="D5634" s="3" t="s">
        <v>221</v>
      </c>
      <c r="E5634" s="3" t="s">
        <v>276</v>
      </c>
      <c r="F5634" s="7">
        <v>45858.81336337324</v>
      </c>
      <c r="G5634" s="3" t="s">
        <v>16833</v>
      </c>
    </row>
    <row r="5635">
      <c r="A5635" s="3" t="s">
        <v>16835</v>
      </c>
      <c r="B5635" s="3" t="s">
        <v>5401</v>
      </c>
      <c r="C5635" s="5" t="s">
        <v>221</v>
      </c>
      <c r="D5635" s="3" t="s">
        <v>614</v>
      </c>
      <c r="E5635" s="3" t="s">
        <v>118</v>
      </c>
      <c r="F5635" s="7">
        <v>45858.81683559546</v>
      </c>
      <c r="G5635" s="3" t="s">
        <v>16836</v>
      </c>
    </row>
    <row r="5636">
      <c r="A5636" s="3" t="s">
        <v>16837</v>
      </c>
      <c r="B5636" s="3" t="s">
        <v>5401</v>
      </c>
      <c r="C5636" s="5" t="s">
        <v>614</v>
      </c>
      <c r="D5636" s="3" t="s">
        <v>206</v>
      </c>
      <c r="E5636" s="3" t="s">
        <v>100</v>
      </c>
      <c r="F5636" s="7">
        <v>45858.82030781769</v>
      </c>
      <c r="G5636" s="3" t="s">
        <v>16839</v>
      </c>
    </row>
    <row r="5637">
      <c r="A5637" s="3" t="s">
        <v>16840</v>
      </c>
      <c r="B5637" s="3" t="s">
        <v>5401</v>
      </c>
      <c r="C5637" s="5" t="s">
        <v>206</v>
      </c>
      <c r="D5637" s="3" t="s">
        <v>68</v>
      </c>
      <c r="E5637" s="3" t="s">
        <v>100</v>
      </c>
      <c r="F5637" s="7">
        <v>45858.82378003991</v>
      </c>
      <c r="G5637" s="3" t="s">
        <v>16842</v>
      </c>
    </row>
    <row r="5638">
      <c r="A5638" s="3" t="s">
        <v>16843</v>
      </c>
      <c r="B5638" s="3" t="s">
        <v>5404</v>
      </c>
      <c r="C5638" s="5" t="s">
        <v>45</v>
      </c>
      <c r="D5638" s="3" t="s">
        <v>221</v>
      </c>
      <c r="E5638" s="3" t="s">
        <v>581</v>
      </c>
      <c r="F5638" s="7">
        <v>45858.88453821865</v>
      </c>
      <c r="G5638" s="3" t="s">
        <v>15427</v>
      </c>
    </row>
    <row r="5639">
      <c r="A5639" s="3" t="s">
        <v>16845</v>
      </c>
      <c r="B5639" s="3" t="s">
        <v>5404</v>
      </c>
      <c r="C5639" s="5" t="s">
        <v>221</v>
      </c>
      <c r="D5639" s="3" t="s">
        <v>614</v>
      </c>
      <c r="E5639" s="3" t="s">
        <v>118</v>
      </c>
      <c r="F5639" s="7">
        <v>45858.88801044087</v>
      </c>
      <c r="G5639" s="3" t="s">
        <v>15430</v>
      </c>
    </row>
    <row r="5640">
      <c r="A5640" s="3" t="s">
        <v>16847</v>
      </c>
      <c r="B5640" s="3" t="s">
        <v>5404</v>
      </c>
      <c r="C5640" s="5" t="s">
        <v>614</v>
      </c>
      <c r="D5640" s="3" t="s">
        <v>206</v>
      </c>
      <c r="E5640" s="3" t="s">
        <v>100</v>
      </c>
      <c r="F5640" s="7">
        <v>45858.89148266309</v>
      </c>
      <c r="G5640" s="3" t="s">
        <v>15433</v>
      </c>
    </row>
    <row r="5641">
      <c r="A5641" s="3" t="s">
        <v>16848</v>
      </c>
      <c r="B5641" s="3" t="s">
        <v>5404</v>
      </c>
      <c r="C5641" s="5" t="s">
        <v>206</v>
      </c>
      <c r="D5641" s="3" t="s">
        <v>68</v>
      </c>
      <c r="E5641" s="3" t="s">
        <v>100</v>
      </c>
      <c r="F5641" s="7">
        <v>45858.89495488531</v>
      </c>
      <c r="G5641" s="3" t="s">
        <v>15436</v>
      </c>
    </row>
    <row r="5642">
      <c r="A5642" s="3" t="s">
        <v>16850</v>
      </c>
      <c r="B5642" s="3" t="s">
        <v>5406</v>
      </c>
      <c r="C5642" s="5" t="s">
        <v>45</v>
      </c>
      <c r="D5642" s="3" t="s">
        <v>221</v>
      </c>
      <c r="E5642" s="3" t="s">
        <v>1021</v>
      </c>
      <c r="F5642" s="7">
        <v>45858.95571306407</v>
      </c>
      <c r="G5642" s="3" t="s">
        <v>16852</v>
      </c>
    </row>
    <row r="5643">
      <c r="A5643" s="3" t="s">
        <v>16853</v>
      </c>
      <c r="B5643" s="3" t="s">
        <v>5406</v>
      </c>
      <c r="C5643" s="5" t="s">
        <v>221</v>
      </c>
      <c r="D5643" s="3" t="s">
        <v>614</v>
      </c>
      <c r="E5643" s="3" t="s">
        <v>118</v>
      </c>
      <c r="F5643" s="7">
        <v>45858.95918528629</v>
      </c>
      <c r="G5643" s="3" t="s">
        <v>16855</v>
      </c>
    </row>
    <row r="5644">
      <c r="A5644" s="3" t="s">
        <v>16856</v>
      </c>
      <c r="B5644" s="3" t="s">
        <v>5406</v>
      </c>
      <c r="C5644" s="5" t="s">
        <v>614</v>
      </c>
      <c r="D5644" s="3" t="s">
        <v>206</v>
      </c>
      <c r="E5644" s="3" t="s">
        <v>100</v>
      </c>
      <c r="F5644" s="7">
        <v>45858.96265750851</v>
      </c>
      <c r="G5644" s="3" t="s">
        <v>16857</v>
      </c>
    </row>
    <row r="5645">
      <c r="A5645" s="3" t="s">
        <v>16859</v>
      </c>
      <c r="B5645" s="3" t="s">
        <v>5406</v>
      </c>
      <c r="C5645" s="5" t="s">
        <v>206</v>
      </c>
      <c r="D5645" s="3" t="s">
        <v>68</v>
      </c>
      <c r="E5645" s="3" t="s">
        <v>100</v>
      </c>
      <c r="F5645" s="7">
        <v>45858.96612973073</v>
      </c>
      <c r="G5645" s="3" t="s">
        <v>16860</v>
      </c>
    </row>
    <row r="5646">
      <c r="A5646" s="3" t="s">
        <v>16861</v>
      </c>
      <c r="B5646" s="3" t="s">
        <v>5408</v>
      </c>
      <c r="C5646" s="5" t="s">
        <v>45</v>
      </c>
      <c r="D5646" s="3" t="s">
        <v>221</v>
      </c>
      <c r="E5646" s="3" t="s">
        <v>165</v>
      </c>
      <c r="F5646" s="7">
        <v>45859.02688790949</v>
      </c>
      <c r="G5646" s="3" t="s">
        <v>16863</v>
      </c>
    </row>
    <row r="5647">
      <c r="A5647" s="3" t="s">
        <v>16864</v>
      </c>
      <c r="B5647" s="3" t="s">
        <v>5408</v>
      </c>
      <c r="C5647" s="5" t="s">
        <v>221</v>
      </c>
      <c r="D5647" s="3" t="s">
        <v>614</v>
      </c>
      <c r="E5647" s="3" t="s">
        <v>118</v>
      </c>
      <c r="F5647" s="7">
        <v>45859.03036013171</v>
      </c>
      <c r="G5647" s="3" t="s">
        <v>16866</v>
      </c>
    </row>
    <row r="5648">
      <c r="A5648" s="3" t="s">
        <v>16867</v>
      </c>
      <c r="B5648" s="3" t="s">
        <v>5408</v>
      </c>
      <c r="C5648" s="5" t="s">
        <v>614</v>
      </c>
      <c r="D5648" s="3" t="s">
        <v>206</v>
      </c>
      <c r="E5648" s="3" t="s">
        <v>100</v>
      </c>
      <c r="F5648" s="7">
        <v>45859.03383235393</v>
      </c>
      <c r="G5648" s="3" t="s">
        <v>16869</v>
      </c>
    </row>
    <row r="5649">
      <c r="A5649" s="3" t="s">
        <v>16870</v>
      </c>
      <c r="B5649" s="3" t="s">
        <v>5408</v>
      </c>
      <c r="C5649" s="5" t="s">
        <v>206</v>
      </c>
      <c r="D5649" s="3" t="s">
        <v>68</v>
      </c>
      <c r="E5649" s="3" t="s">
        <v>100</v>
      </c>
      <c r="F5649" s="7">
        <v>45859.03730457615</v>
      </c>
      <c r="G5649" s="3" t="s">
        <v>16871</v>
      </c>
    </row>
    <row r="5650">
      <c r="A5650" s="3" t="s">
        <v>16873</v>
      </c>
      <c r="B5650" s="3" t="s">
        <v>5410</v>
      </c>
      <c r="C5650" s="5" t="s">
        <v>45</v>
      </c>
      <c r="D5650" s="3" t="s">
        <v>221</v>
      </c>
      <c r="E5650" s="3" t="s">
        <v>535</v>
      </c>
      <c r="F5650" s="7">
        <v>45859.0980627549</v>
      </c>
      <c r="G5650" s="3" t="s">
        <v>15209</v>
      </c>
    </row>
    <row r="5651">
      <c r="A5651" s="3" t="s">
        <v>16875</v>
      </c>
      <c r="B5651" s="3" t="s">
        <v>5410</v>
      </c>
      <c r="C5651" s="5" t="s">
        <v>221</v>
      </c>
      <c r="D5651" s="3" t="s">
        <v>614</v>
      </c>
      <c r="E5651" s="3" t="s">
        <v>118</v>
      </c>
      <c r="F5651" s="7">
        <v>45859.10153497712</v>
      </c>
      <c r="G5651" s="3" t="s">
        <v>15212</v>
      </c>
    </row>
    <row r="5652">
      <c r="A5652" s="3" t="s">
        <v>16877</v>
      </c>
      <c r="B5652" s="3" t="s">
        <v>5410</v>
      </c>
      <c r="C5652" s="5" t="s">
        <v>614</v>
      </c>
      <c r="D5652" s="3" t="s">
        <v>206</v>
      </c>
      <c r="E5652" s="3" t="s">
        <v>100</v>
      </c>
      <c r="F5652" s="7">
        <v>45859.105007199345</v>
      </c>
      <c r="G5652" s="3" t="s">
        <v>15215</v>
      </c>
    </row>
    <row r="5653">
      <c r="A5653" s="3" t="s">
        <v>16878</v>
      </c>
      <c r="B5653" s="3" t="s">
        <v>5410</v>
      </c>
      <c r="C5653" s="5" t="s">
        <v>206</v>
      </c>
      <c r="D5653" s="3" t="s">
        <v>68</v>
      </c>
      <c r="E5653" s="3" t="s">
        <v>100</v>
      </c>
      <c r="F5653" s="7">
        <v>45859.108479421564</v>
      </c>
      <c r="G5653" s="3" t="s">
        <v>15218</v>
      </c>
    </row>
    <row r="5654">
      <c r="A5654" s="3" t="s">
        <v>16880</v>
      </c>
      <c r="B5654" s="3" t="s">
        <v>5414</v>
      </c>
      <c r="C5654" s="5" t="s">
        <v>45</v>
      </c>
      <c r="D5654" s="3" t="s">
        <v>221</v>
      </c>
      <c r="E5654" s="3" t="s">
        <v>282</v>
      </c>
      <c r="F5654" s="7">
        <v>45859.16923760031</v>
      </c>
      <c r="G5654" s="3" t="s">
        <v>11246</v>
      </c>
    </row>
    <row r="5655">
      <c r="A5655" s="3" t="s">
        <v>16881</v>
      </c>
      <c r="B5655" s="3" t="s">
        <v>5414</v>
      </c>
      <c r="C5655" s="5" t="s">
        <v>221</v>
      </c>
      <c r="D5655" s="3" t="s">
        <v>614</v>
      </c>
      <c r="E5655" s="3" t="s">
        <v>118</v>
      </c>
      <c r="F5655" s="7">
        <v>45859.17270982253</v>
      </c>
      <c r="G5655" s="3" t="s">
        <v>16883</v>
      </c>
    </row>
    <row r="5656">
      <c r="A5656" s="3" t="s">
        <v>16884</v>
      </c>
      <c r="B5656" s="3" t="s">
        <v>5414</v>
      </c>
      <c r="C5656" s="5" t="s">
        <v>614</v>
      </c>
      <c r="D5656" s="3" t="s">
        <v>206</v>
      </c>
      <c r="E5656" s="3" t="s">
        <v>100</v>
      </c>
      <c r="F5656" s="7">
        <v>45859.17618204476</v>
      </c>
      <c r="G5656" s="3" t="s">
        <v>16886</v>
      </c>
    </row>
    <row r="5657">
      <c r="A5657" s="3" t="s">
        <v>16887</v>
      </c>
      <c r="B5657" s="3" t="s">
        <v>5414</v>
      </c>
      <c r="C5657" s="5" t="s">
        <v>206</v>
      </c>
      <c r="D5657" s="3" t="s">
        <v>68</v>
      </c>
      <c r="E5657" s="3" t="s">
        <v>100</v>
      </c>
      <c r="F5657" s="7">
        <v>45859.179654266976</v>
      </c>
      <c r="G5657" s="3" t="s">
        <v>16889</v>
      </c>
    </row>
    <row r="5658">
      <c r="A5658" s="3" t="s">
        <v>16890</v>
      </c>
      <c r="B5658" s="3" t="s">
        <v>5416</v>
      </c>
      <c r="C5658" s="5" t="s">
        <v>45</v>
      </c>
      <c r="D5658" s="3" t="s">
        <v>221</v>
      </c>
      <c r="E5658" s="3" t="s">
        <v>1008</v>
      </c>
      <c r="F5658" s="7">
        <v>45859.24041244573</v>
      </c>
      <c r="G5658" s="3" t="s">
        <v>16892</v>
      </c>
    </row>
    <row r="5659">
      <c r="A5659" s="3" t="s">
        <v>16893</v>
      </c>
      <c r="B5659" s="3" t="s">
        <v>5416</v>
      </c>
      <c r="C5659" s="5" t="s">
        <v>221</v>
      </c>
      <c r="D5659" s="3" t="s">
        <v>614</v>
      </c>
      <c r="E5659" s="3" t="s">
        <v>118</v>
      </c>
      <c r="F5659" s="7">
        <v>45859.24388466795</v>
      </c>
      <c r="G5659" s="3" t="s">
        <v>16895</v>
      </c>
    </row>
    <row r="5660">
      <c r="A5660" s="3" t="s">
        <v>16896</v>
      </c>
      <c r="B5660" s="3" t="s">
        <v>5416</v>
      </c>
      <c r="C5660" s="5" t="s">
        <v>614</v>
      </c>
      <c r="D5660" s="3" t="s">
        <v>206</v>
      </c>
      <c r="E5660" s="3" t="s">
        <v>100</v>
      </c>
      <c r="F5660" s="7">
        <v>45859.24735689018</v>
      </c>
      <c r="G5660" s="3" t="s">
        <v>16897</v>
      </c>
    </row>
    <row r="5661">
      <c r="A5661" s="3" t="s">
        <v>16899</v>
      </c>
      <c r="B5661" s="3" t="s">
        <v>5416</v>
      </c>
      <c r="C5661" s="5" t="s">
        <v>206</v>
      </c>
      <c r="D5661" s="3" t="s">
        <v>68</v>
      </c>
      <c r="E5661" s="3" t="s">
        <v>100</v>
      </c>
      <c r="F5661" s="7">
        <v>45859.250829112396</v>
      </c>
      <c r="G5661" s="3" t="s">
        <v>16900</v>
      </c>
    </row>
    <row r="5662">
      <c r="A5662" s="3" t="s">
        <v>16901</v>
      </c>
      <c r="B5662" s="3" t="s">
        <v>5419</v>
      </c>
      <c r="C5662" s="5" t="s">
        <v>45</v>
      </c>
      <c r="D5662" s="3" t="s">
        <v>221</v>
      </c>
      <c r="E5662" s="3" t="s">
        <v>980</v>
      </c>
      <c r="F5662" s="7">
        <v>45859.311587291144</v>
      </c>
      <c r="G5662" s="3" t="s">
        <v>2770</v>
      </c>
    </row>
    <row r="5663">
      <c r="A5663" s="3" t="s">
        <v>16903</v>
      </c>
      <c r="B5663" s="3" t="s">
        <v>5419</v>
      </c>
      <c r="C5663" s="5" t="s">
        <v>221</v>
      </c>
      <c r="D5663" s="3" t="s">
        <v>181</v>
      </c>
      <c r="E5663" s="3" t="s">
        <v>118</v>
      </c>
      <c r="F5663" s="7">
        <v>45859.31505951336</v>
      </c>
      <c r="G5663" s="3" t="s">
        <v>2774</v>
      </c>
    </row>
    <row r="5664">
      <c r="A5664" s="3" t="s">
        <v>16905</v>
      </c>
      <c r="B5664" s="3" t="s">
        <v>5424</v>
      </c>
      <c r="C5664" s="5" t="s">
        <v>45</v>
      </c>
      <c r="D5664" s="3" t="s">
        <v>221</v>
      </c>
      <c r="E5664" s="3" t="s">
        <v>505</v>
      </c>
      <c r="F5664" s="7">
        <v>45859.382762136556</v>
      </c>
      <c r="G5664" s="3" t="s">
        <v>2770</v>
      </c>
    </row>
    <row r="5665">
      <c r="A5665" s="3" t="s">
        <v>16907</v>
      </c>
      <c r="B5665" s="3" t="s">
        <v>5424</v>
      </c>
      <c r="C5665" s="5" t="s">
        <v>221</v>
      </c>
      <c r="D5665" s="3" t="s">
        <v>181</v>
      </c>
      <c r="E5665" s="3" t="s">
        <v>118</v>
      </c>
      <c r="F5665" s="7">
        <v>45859.386234358775</v>
      </c>
      <c r="G5665" s="3" t="s">
        <v>2774</v>
      </c>
    </row>
    <row r="5666">
      <c r="A5666" s="3" t="s">
        <v>16908</v>
      </c>
      <c r="B5666" s="3" t="s">
        <v>5427</v>
      </c>
      <c r="C5666" s="5" t="s">
        <v>45</v>
      </c>
      <c r="D5666" s="3" t="s">
        <v>221</v>
      </c>
      <c r="E5666" s="3" t="s">
        <v>860</v>
      </c>
      <c r="F5666" s="7">
        <v>45859.453936981976</v>
      </c>
      <c r="G5666" s="3" t="s">
        <v>15998</v>
      </c>
    </row>
    <row r="5667">
      <c r="A5667" s="3" t="s">
        <v>16910</v>
      </c>
      <c r="B5667" s="3" t="s">
        <v>5427</v>
      </c>
      <c r="C5667" s="5" t="s">
        <v>221</v>
      </c>
      <c r="D5667" s="3" t="s">
        <v>614</v>
      </c>
      <c r="E5667" s="3" t="s">
        <v>118</v>
      </c>
      <c r="F5667" s="7">
        <v>45859.457409204195</v>
      </c>
      <c r="G5667" s="3" t="s">
        <v>16001</v>
      </c>
    </row>
    <row r="5668">
      <c r="A5668" s="3" t="s">
        <v>16912</v>
      </c>
      <c r="B5668" s="3" t="s">
        <v>5427</v>
      </c>
      <c r="C5668" s="5" t="s">
        <v>614</v>
      </c>
      <c r="D5668" s="3" t="s">
        <v>206</v>
      </c>
      <c r="E5668" s="3" t="s">
        <v>100</v>
      </c>
      <c r="F5668" s="7">
        <v>45859.46088142642</v>
      </c>
      <c r="G5668" s="3" t="s">
        <v>16003</v>
      </c>
    </row>
    <row r="5669">
      <c r="A5669" s="3" t="s">
        <v>16914</v>
      </c>
      <c r="B5669" s="3" t="s">
        <v>5427</v>
      </c>
      <c r="C5669" s="5" t="s">
        <v>206</v>
      </c>
      <c r="D5669" s="3" t="s">
        <v>68</v>
      </c>
      <c r="E5669" s="3" t="s">
        <v>100</v>
      </c>
      <c r="F5669" s="7">
        <v>45859.46435364864</v>
      </c>
      <c r="G5669" s="3" t="s">
        <v>16006</v>
      </c>
    </row>
    <row r="5670">
      <c r="A5670" s="3" t="s">
        <v>16916</v>
      </c>
      <c r="B5670" s="3" t="s">
        <v>5430</v>
      </c>
      <c r="C5670" s="5" t="s">
        <v>45</v>
      </c>
      <c r="D5670" s="3" t="s">
        <v>221</v>
      </c>
      <c r="E5670" s="3" t="s">
        <v>436</v>
      </c>
      <c r="F5670" s="7">
        <v>45859.52511182739</v>
      </c>
      <c r="G5670" s="3" t="s">
        <v>16918</v>
      </c>
    </row>
    <row r="5671">
      <c r="A5671" s="3" t="s">
        <v>16919</v>
      </c>
      <c r="B5671" s="3" t="s">
        <v>5430</v>
      </c>
      <c r="C5671" s="5" t="s">
        <v>221</v>
      </c>
      <c r="D5671" s="3" t="s">
        <v>614</v>
      </c>
      <c r="E5671" s="3" t="s">
        <v>118</v>
      </c>
      <c r="F5671" s="7">
        <v>45859.52858404961</v>
      </c>
      <c r="G5671" s="3" t="s">
        <v>16920</v>
      </c>
    </row>
    <row r="5672">
      <c r="A5672" s="3" t="s">
        <v>16922</v>
      </c>
      <c r="B5672" s="3" t="s">
        <v>5430</v>
      </c>
      <c r="C5672" s="5" t="s">
        <v>614</v>
      </c>
      <c r="D5672" s="3" t="s">
        <v>206</v>
      </c>
      <c r="E5672" s="3" t="s">
        <v>100</v>
      </c>
      <c r="F5672" s="7">
        <v>45859.53205627183</v>
      </c>
      <c r="G5672" s="3" t="s">
        <v>16923</v>
      </c>
    </row>
    <row r="5673">
      <c r="A5673" s="3" t="s">
        <v>16924</v>
      </c>
      <c r="B5673" s="3" t="s">
        <v>5430</v>
      </c>
      <c r="C5673" s="5" t="s">
        <v>206</v>
      </c>
      <c r="D5673" s="3" t="s">
        <v>68</v>
      </c>
      <c r="E5673" s="3" t="s">
        <v>100</v>
      </c>
      <c r="F5673" s="7">
        <v>45859.53552849405</v>
      </c>
      <c r="G5673" s="3" t="s">
        <v>16926</v>
      </c>
    </row>
    <row r="5674">
      <c r="A5674" s="3" t="s">
        <v>16927</v>
      </c>
      <c r="B5674" s="3" t="s">
        <v>5433</v>
      </c>
      <c r="C5674" s="5" t="s">
        <v>45</v>
      </c>
      <c r="D5674" s="3" t="s">
        <v>221</v>
      </c>
      <c r="E5674" s="3" t="s">
        <v>756</v>
      </c>
      <c r="F5674" s="7">
        <v>45859.5962866728</v>
      </c>
      <c r="G5674" s="3" t="s">
        <v>2770</v>
      </c>
    </row>
    <row r="5675">
      <c r="A5675" s="3" t="s">
        <v>16929</v>
      </c>
      <c r="B5675" s="3" t="s">
        <v>5433</v>
      </c>
      <c r="C5675" s="5" t="s">
        <v>221</v>
      </c>
      <c r="D5675" s="3" t="s">
        <v>181</v>
      </c>
      <c r="E5675" s="3" t="s">
        <v>118</v>
      </c>
      <c r="F5675" s="7">
        <v>45859.59975889502</v>
      </c>
      <c r="G5675" s="3" t="s">
        <v>2774</v>
      </c>
    </row>
    <row r="5676">
      <c r="A5676" s="3" t="s">
        <v>16931</v>
      </c>
      <c r="B5676" s="3" t="s">
        <v>5436</v>
      </c>
      <c r="C5676" s="5" t="s">
        <v>45</v>
      </c>
      <c r="D5676" s="3" t="s">
        <v>221</v>
      </c>
      <c r="E5676" s="3" t="s">
        <v>539</v>
      </c>
      <c r="F5676" s="7">
        <v>45859.66746151822</v>
      </c>
      <c r="G5676" s="3" t="s">
        <v>16933</v>
      </c>
    </row>
    <row r="5677">
      <c r="A5677" s="3" t="s">
        <v>16934</v>
      </c>
      <c r="B5677" s="3" t="s">
        <v>5436</v>
      </c>
      <c r="C5677" s="5" t="s">
        <v>221</v>
      </c>
      <c r="D5677" s="3" t="s">
        <v>614</v>
      </c>
      <c r="E5677" s="3" t="s">
        <v>118</v>
      </c>
      <c r="F5677" s="7">
        <v>45859.67093374044</v>
      </c>
      <c r="G5677" s="3" t="s">
        <v>16935</v>
      </c>
    </row>
    <row r="5678">
      <c r="A5678" s="3" t="s">
        <v>16937</v>
      </c>
      <c r="B5678" s="3" t="s">
        <v>5436</v>
      </c>
      <c r="C5678" s="5" t="s">
        <v>614</v>
      </c>
      <c r="D5678" s="3" t="s">
        <v>206</v>
      </c>
      <c r="E5678" s="3" t="s">
        <v>100</v>
      </c>
      <c r="F5678" s="7">
        <v>45859.674405962665</v>
      </c>
      <c r="G5678" s="3" t="s">
        <v>16938</v>
      </c>
    </row>
    <row r="5679">
      <c r="A5679" s="3" t="s">
        <v>16939</v>
      </c>
      <c r="B5679" s="3" t="s">
        <v>5436</v>
      </c>
      <c r="C5679" s="5" t="s">
        <v>206</v>
      </c>
      <c r="D5679" s="3" t="s">
        <v>68</v>
      </c>
      <c r="E5679" s="3" t="s">
        <v>100</v>
      </c>
      <c r="F5679" s="7">
        <v>45859.677878184884</v>
      </c>
      <c r="G5679" s="3" t="s">
        <v>16941</v>
      </c>
    </row>
    <row r="5680">
      <c r="A5680" s="3" t="s">
        <v>16942</v>
      </c>
      <c r="B5680" s="3" t="s">
        <v>5439</v>
      </c>
      <c r="C5680" s="5" t="s">
        <v>45</v>
      </c>
      <c r="D5680" s="3" t="s">
        <v>221</v>
      </c>
      <c r="E5680" s="3" t="s">
        <v>498</v>
      </c>
      <c r="F5680" s="7">
        <v>45859.73863636363</v>
      </c>
      <c r="G5680" s="3" t="s">
        <v>16944</v>
      </c>
    </row>
    <row r="5681">
      <c r="A5681" s="3" t="s">
        <v>16945</v>
      </c>
      <c r="B5681" s="3" t="s">
        <v>5439</v>
      </c>
      <c r="C5681" s="5" t="s">
        <v>221</v>
      </c>
      <c r="D5681" s="3" t="s">
        <v>614</v>
      </c>
      <c r="E5681" s="3" t="s">
        <v>118</v>
      </c>
      <c r="F5681" s="7">
        <v>45859.74210858585</v>
      </c>
      <c r="G5681" s="3" t="s">
        <v>16947</v>
      </c>
    </row>
    <row r="5682">
      <c r="A5682" s="3" t="s">
        <v>16948</v>
      </c>
      <c r="B5682" s="3" t="s">
        <v>5439</v>
      </c>
      <c r="C5682" s="5" t="s">
        <v>614</v>
      </c>
      <c r="D5682" s="3" t="s">
        <v>206</v>
      </c>
      <c r="E5682" s="3" t="s">
        <v>100</v>
      </c>
      <c r="F5682" s="7">
        <v>45859.74558080808</v>
      </c>
      <c r="G5682" s="3" t="s">
        <v>16949</v>
      </c>
    </row>
    <row r="5683">
      <c r="A5683" s="3" t="s">
        <v>16951</v>
      </c>
      <c r="B5683" s="3" t="s">
        <v>5439</v>
      </c>
      <c r="C5683" s="5" t="s">
        <v>206</v>
      </c>
      <c r="D5683" s="3" t="s">
        <v>68</v>
      </c>
      <c r="E5683" s="3" t="s">
        <v>100</v>
      </c>
      <c r="F5683" s="7">
        <v>45859.7490530303</v>
      </c>
      <c r="G5683" s="3" t="s">
        <v>16952</v>
      </c>
    </row>
    <row r="5684">
      <c r="A5684" s="3" t="s">
        <v>16953</v>
      </c>
      <c r="B5684" s="3" t="s">
        <v>5442</v>
      </c>
      <c r="C5684" s="5" t="s">
        <v>45</v>
      </c>
      <c r="D5684" s="3" t="s">
        <v>221</v>
      </c>
      <c r="E5684" s="3" t="s">
        <v>767</v>
      </c>
      <c r="F5684" s="7">
        <v>45859.80981120905</v>
      </c>
      <c r="G5684" s="3" t="s">
        <v>16955</v>
      </c>
    </row>
    <row r="5685">
      <c r="A5685" s="3" t="s">
        <v>16956</v>
      </c>
      <c r="B5685" s="3" t="s">
        <v>5442</v>
      </c>
      <c r="C5685" s="5" t="s">
        <v>221</v>
      </c>
      <c r="D5685" s="3" t="s">
        <v>181</v>
      </c>
      <c r="E5685" s="3" t="s">
        <v>118</v>
      </c>
      <c r="F5685" s="7">
        <v>45859.81328343127</v>
      </c>
      <c r="G5685" s="3" t="s">
        <v>16958</v>
      </c>
    </row>
    <row r="5686">
      <c r="A5686" s="3" t="s">
        <v>16959</v>
      </c>
      <c r="B5686" s="3" t="s">
        <v>5444</v>
      </c>
      <c r="C5686" s="5" t="s">
        <v>45</v>
      </c>
      <c r="D5686" s="3" t="s">
        <v>221</v>
      </c>
      <c r="E5686" s="3" t="s">
        <v>1021</v>
      </c>
      <c r="F5686" s="7">
        <v>45859.880986054464</v>
      </c>
      <c r="G5686" s="3" t="s">
        <v>16961</v>
      </c>
    </row>
    <row r="5687">
      <c r="A5687" s="3" t="s">
        <v>16962</v>
      </c>
      <c r="B5687" s="3" t="s">
        <v>5444</v>
      </c>
      <c r="C5687" s="5" t="s">
        <v>221</v>
      </c>
      <c r="D5687" s="3" t="s">
        <v>614</v>
      </c>
      <c r="E5687" s="3" t="s">
        <v>118</v>
      </c>
      <c r="F5687" s="7">
        <v>45859.88445827668</v>
      </c>
      <c r="G5687" s="3" t="s">
        <v>16964</v>
      </c>
    </row>
    <row r="5688">
      <c r="A5688" s="3" t="s">
        <v>16965</v>
      </c>
      <c r="B5688" s="3" t="s">
        <v>5444</v>
      </c>
      <c r="C5688" s="5" t="s">
        <v>614</v>
      </c>
      <c r="D5688" s="3" t="s">
        <v>206</v>
      </c>
      <c r="E5688" s="3" t="s">
        <v>100</v>
      </c>
      <c r="F5688" s="7">
        <v>45859.88793049891</v>
      </c>
      <c r="G5688" s="3" t="s">
        <v>16967</v>
      </c>
    </row>
    <row r="5689">
      <c r="A5689" s="3" t="s">
        <v>16968</v>
      </c>
      <c r="B5689" s="3" t="s">
        <v>5444</v>
      </c>
      <c r="C5689" s="5" t="s">
        <v>206</v>
      </c>
      <c r="D5689" s="3" t="s">
        <v>68</v>
      </c>
      <c r="E5689" s="3" t="s">
        <v>100</v>
      </c>
      <c r="F5689" s="7">
        <v>45859.89140272113</v>
      </c>
      <c r="G5689" s="3" t="s">
        <v>16969</v>
      </c>
    </row>
    <row r="5690">
      <c r="A5690" s="3" t="s">
        <v>16970</v>
      </c>
      <c r="B5690" s="3" t="s">
        <v>5447</v>
      </c>
      <c r="C5690" s="5" t="s">
        <v>45</v>
      </c>
      <c r="D5690" s="3" t="s">
        <v>221</v>
      </c>
      <c r="E5690" s="3" t="s">
        <v>751</v>
      </c>
      <c r="F5690" s="7">
        <v>45859.952160899884</v>
      </c>
      <c r="G5690" s="3" t="s">
        <v>12301</v>
      </c>
    </row>
    <row r="5691">
      <c r="A5691" s="3" t="s">
        <v>16972</v>
      </c>
      <c r="B5691" s="3" t="s">
        <v>5447</v>
      </c>
      <c r="C5691" s="5" t="s">
        <v>221</v>
      </c>
      <c r="D5691" s="3" t="s">
        <v>614</v>
      </c>
      <c r="E5691" s="3" t="s">
        <v>118</v>
      </c>
      <c r="F5691" s="7">
        <v>45859.9556331221</v>
      </c>
      <c r="G5691" s="3" t="s">
        <v>12304</v>
      </c>
    </row>
    <row r="5692">
      <c r="A5692" s="3" t="s">
        <v>16974</v>
      </c>
      <c r="B5692" s="3" t="s">
        <v>5447</v>
      </c>
      <c r="C5692" s="5" t="s">
        <v>614</v>
      </c>
      <c r="D5692" s="3" t="s">
        <v>206</v>
      </c>
      <c r="E5692" s="3" t="s">
        <v>100</v>
      </c>
      <c r="F5692" s="7">
        <v>45859.95910534433</v>
      </c>
      <c r="G5692" s="3" t="s">
        <v>12307</v>
      </c>
    </row>
    <row r="5693">
      <c r="A5693" s="3" t="s">
        <v>16976</v>
      </c>
      <c r="B5693" s="3" t="s">
        <v>5447</v>
      </c>
      <c r="C5693" s="5" t="s">
        <v>206</v>
      </c>
      <c r="D5693" s="3" t="s">
        <v>68</v>
      </c>
      <c r="E5693" s="3" t="s">
        <v>100</v>
      </c>
      <c r="F5693" s="7">
        <v>45859.96257756655</v>
      </c>
      <c r="G5693" s="3" t="s">
        <v>12310</v>
      </c>
    </row>
    <row r="5694">
      <c r="A5694" s="3" t="s">
        <v>16978</v>
      </c>
      <c r="B5694" s="3" t="s">
        <v>5449</v>
      </c>
      <c r="C5694" s="5" t="s">
        <v>45</v>
      </c>
      <c r="D5694" s="3" t="s">
        <v>221</v>
      </c>
      <c r="E5694" s="3" t="s">
        <v>1034</v>
      </c>
      <c r="F5694" s="7">
        <v>45860.02333574529</v>
      </c>
      <c r="G5694" s="3" t="s">
        <v>16980</v>
      </c>
    </row>
    <row r="5695">
      <c r="A5695" s="3" t="s">
        <v>16981</v>
      </c>
      <c r="B5695" s="3" t="s">
        <v>5449</v>
      </c>
      <c r="C5695" s="5" t="s">
        <v>221</v>
      </c>
      <c r="D5695" s="3" t="s">
        <v>195</v>
      </c>
      <c r="E5695" s="3" t="s">
        <v>1034</v>
      </c>
      <c r="F5695" s="7">
        <v>45860.02680796751</v>
      </c>
      <c r="G5695" s="3" t="s">
        <v>16983</v>
      </c>
    </row>
    <row r="5696">
      <c r="A5696" s="3" t="s">
        <v>16984</v>
      </c>
      <c r="B5696" s="3" t="s">
        <v>5452</v>
      </c>
      <c r="C5696" s="5" t="s">
        <v>45</v>
      </c>
      <c r="D5696" s="3" t="s">
        <v>221</v>
      </c>
      <c r="E5696" s="3" t="s">
        <v>965</v>
      </c>
      <c r="F5696" s="7">
        <v>45860.09451059071</v>
      </c>
      <c r="G5696" s="3" t="s">
        <v>16986</v>
      </c>
    </row>
    <row r="5697">
      <c r="A5697" s="3" t="s">
        <v>16987</v>
      </c>
      <c r="B5697" s="3" t="s">
        <v>5452</v>
      </c>
      <c r="C5697" s="5" t="s">
        <v>221</v>
      </c>
      <c r="D5697" s="3" t="s">
        <v>614</v>
      </c>
      <c r="E5697" s="3" t="s">
        <v>118</v>
      </c>
      <c r="F5697" s="7">
        <v>45860.09798281293</v>
      </c>
      <c r="G5697" s="3" t="s">
        <v>16988</v>
      </c>
    </row>
    <row r="5698">
      <c r="A5698" s="3" t="s">
        <v>16990</v>
      </c>
      <c r="B5698" s="3" t="s">
        <v>5452</v>
      </c>
      <c r="C5698" s="5" t="s">
        <v>614</v>
      </c>
      <c r="D5698" s="3" t="s">
        <v>206</v>
      </c>
      <c r="E5698" s="3" t="s">
        <v>100</v>
      </c>
      <c r="F5698" s="7">
        <v>45860.101455035154</v>
      </c>
      <c r="G5698" s="3" t="s">
        <v>16991</v>
      </c>
    </row>
    <row r="5699">
      <c r="A5699" s="3" t="s">
        <v>16992</v>
      </c>
      <c r="B5699" s="3" t="s">
        <v>5452</v>
      </c>
      <c r="C5699" s="5" t="s">
        <v>206</v>
      </c>
      <c r="D5699" s="3" t="s">
        <v>68</v>
      </c>
      <c r="E5699" s="3" t="s">
        <v>100</v>
      </c>
      <c r="F5699" s="7">
        <v>45860.10492725737</v>
      </c>
      <c r="G5699" s="3" t="s">
        <v>16994</v>
      </c>
    </row>
    <row r="5700">
      <c r="A5700" s="3" t="s">
        <v>16995</v>
      </c>
      <c r="B5700" s="3" t="s">
        <v>5455</v>
      </c>
      <c r="C5700" s="5" t="s">
        <v>45</v>
      </c>
      <c r="D5700" s="3" t="s">
        <v>221</v>
      </c>
      <c r="E5700" s="3" t="s">
        <v>717</v>
      </c>
      <c r="F5700" s="7">
        <v>45860.16568543613</v>
      </c>
      <c r="G5700" s="3" t="s">
        <v>16997</v>
      </c>
    </row>
    <row r="5701">
      <c r="A5701" s="3" t="s">
        <v>16998</v>
      </c>
      <c r="B5701" s="3" t="s">
        <v>5455</v>
      </c>
      <c r="C5701" s="5" t="s">
        <v>221</v>
      </c>
      <c r="D5701" s="3" t="s">
        <v>181</v>
      </c>
      <c r="E5701" s="3" t="s">
        <v>118</v>
      </c>
      <c r="F5701" s="7">
        <v>45860.16915765835</v>
      </c>
      <c r="G5701" s="3" t="s">
        <v>17000</v>
      </c>
    </row>
    <row r="5702">
      <c r="A5702" s="3" t="s">
        <v>17001</v>
      </c>
      <c r="B5702" s="3" t="s">
        <v>5458</v>
      </c>
      <c r="C5702" s="5" t="s">
        <v>45</v>
      </c>
      <c r="D5702" s="3" t="s">
        <v>221</v>
      </c>
      <c r="E5702" s="3" t="s">
        <v>949</v>
      </c>
      <c r="F5702" s="7">
        <v>45860.23686028154</v>
      </c>
      <c r="G5702" s="3" t="s">
        <v>2770</v>
      </c>
    </row>
    <row r="5703">
      <c r="A5703" s="3" t="s">
        <v>17003</v>
      </c>
      <c r="B5703" s="3" t="s">
        <v>5458</v>
      </c>
      <c r="C5703" s="5" t="s">
        <v>221</v>
      </c>
      <c r="D5703" s="3" t="s">
        <v>181</v>
      </c>
      <c r="E5703" s="3" t="s">
        <v>118</v>
      </c>
      <c r="F5703" s="7">
        <v>45860.24033250376</v>
      </c>
      <c r="G5703" s="3" t="s">
        <v>2774</v>
      </c>
    </row>
    <row r="5704">
      <c r="A5704" s="3" t="s">
        <v>17005</v>
      </c>
      <c r="B5704" s="3" t="s">
        <v>5462</v>
      </c>
      <c r="C5704" s="5" t="s">
        <v>45</v>
      </c>
      <c r="D5704" s="3" t="s">
        <v>221</v>
      </c>
      <c r="E5704" s="3" t="s">
        <v>911</v>
      </c>
      <c r="F5704" s="7">
        <v>45860.30803512695</v>
      </c>
      <c r="G5704" s="3" t="s">
        <v>15745</v>
      </c>
    </row>
    <row r="5705">
      <c r="A5705" s="3" t="s">
        <v>17006</v>
      </c>
      <c r="B5705" s="3" t="s">
        <v>5462</v>
      </c>
      <c r="C5705" s="5" t="s">
        <v>221</v>
      </c>
      <c r="D5705" s="3" t="s">
        <v>614</v>
      </c>
      <c r="E5705" s="3" t="s">
        <v>118</v>
      </c>
      <c r="F5705" s="7">
        <v>45860.31150734917</v>
      </c>
      <c r="G5705" s="3" t="s">
        <v>15748</v>
      </c>
    </row>
    <row r="5706">
      <c r="A5706" s="3" t="s">
        <v>17008</v>
      </c>
      <c r="B5706" s="3" t="s">
        <v>5462</v>
      </c>
      <c r="C5706" s="5" t="s">
        <v>614</v>
      </c>
      <c r="D5706" s="3" t="s">
        <v>206</v>
      </c>
      <c r="E5706" s="3" t="s">
        <v>100</v>
      </c>
      <c r="F5706" s="7">
        <v>45860.3149795714</v>
      </c>
      <c r="G5706" s="3" t="s">
        <v>15751</v>
      </c>
    </row>
    <row r="5707">
      <c r="A5707" s="3" t="s">
        <v>17010</v>
      </c>
      <c r="B5707" s="3" t="s">
        <v>5462</v>
      </c>
      <c r="C5707" s="5" t="s">
        <v>206</v>
      </c>
      <c r="D5707" s="3" t="s">
        <v>68</v>
      </c>
      <c r="E5707" s="3" t="s">
        <v>100</v>
      </c>
      <c r="F5707" s="7">
        <v>45860.31845179362</v>
      </c>
      <c r="G5707" s="3" t="s">
        <v>15754</v>
      </c>
    </row>
    <row r="5708">
      <c r="A5708" s="3" t="s">
        <v>17012</v>
      </c>
      <c r="B5708" s="3" t="s">
        <v>5466</v>
      </c>
      <c r="C5708" s="5" t="s">
        <v>45</v>
      </c>
      <c r="D5708" s="3" t="s">
        <v>221</v>
      </c>
      <c r="E5708" s="3" t="s">
        <v>593</v>
      </c>
      <c r="F5708" s="7">
        <v>45860.37920997237</v>
      </c>
      <c r="G5708" s="3" t="s">
        <v>12582</v>
      </c>
    </row>
    <row r="5709">
      <c r="A5709" s="3" t="s">
        <v>17014</v>
      </c>
      <c r="B5709" s="3" t="s">
        <v>5466</v>
      </c>
      <c r="C5709" s="5" t="s">
        <v>221</v>
      </c>
      <c r="D5709" s="3" t="s">
        <v>614</v>
      </c>
      <c r="E5709" s="3" t="s">
        <v>118</v>
      </c>
      <c r="F5709" s="7">
        <v>45860.38268219459</v>
      </c>
      <c r="G5709" s="3" t="s">
        <v>12585</v>
      </c>
    </row>
    <row r="5710">
      <c r="A5710" s="3" t="s">
        <v>17016</v>
      </c>
      <c r="B5710" s="3" t="s">
        <v>5466</v>
      </c>
      <c r="C5710" s="5" t="s">
        <v>614</v>
      </c>
      <c r="D5710" s="3" t="s">
        <v>206</v>
      </c>
      <c r="E5710" s="3" t="s">
        <v>100</v>
      </c>
      <c r="F5710" s="7">
        <v>45860.38615441682</v>
      </c>
      <c r="G5710" s="3" t="s">
        <v>12588</v>
      </c>
    </row>
    <row r="5711">
      <c r="A5711" s="3" t="s">
        <v>17017</v>
      </c>
      <c r="B5711" s="3" t="s">
        <v>5466</v>
      </c>
      <c r="C5711" s="5" t="s">
        <v>206</v>
      </c>
      <c r="D5711" s="3" t="s">
        <v>68</v>
      </c>
      <c r="E5711" s="3" t="s">
        <v>100</v>
      </c>
      <c r="F5711" s="7">
        <v>45860.38962663904</v>
      </c>
      <c r="G5711" s="3" t="s">
        <v>12591</v>
      </c>
    </row>
    <row r="5712">
      <c r="A5712" s="3" t="s">
        <v>17019</v>
      </c>
      <c r="B5712" s="3" t="s">
        <v>5469</v>
      </c>
      <c r="C5712" s="5" t="s">
        <v>45</v>
      </c>
      <c r="D5712" s="3" t="s">
        <v>221</v>
      </c>
      <c r="E5712" s="3" t="s">
        <v>313</v>
      </c>
      <c r="F5712" s="7">
        <v>45860.450384817785</v>
      </c>
      <c r="G5712" s="3" t="s">
        <v>17021</v>
      </c>
    </row>
    <row r="5713">
      <c r="A5713" s="3" t="s">
        <v>17022</v>
      </c>
      <c r="B5713" s="3" t="s">
        <v>5469</v>
      </c>
      <c r="C5713" s="5" t="s">
        <v>221</v>
      </c>
      <c r="D5713" s="3" t="s">
        <v>614</v>
      </c>
      <c r="E5713" s="3" t="s">
        <v>118</v>
      </c>
      <c r="F5713" s="7">
        <v>45860.453857040004</v>
      </c>
      <c r="G5713" s="3" t="s">
        <v>17024</v>
      </c>
    </row>
    <row r="5714">
      <c r="A5714" s="3" t="s">
        <v>17025</v>
      </c>
      <c r="B5714" s="3" t="s">
        <v>5469</v>
      </c>
      <c r="C5714" s="5" t="s">
        <v>614</v>
      </c>
      <c r="D5714" s="3" t="s">
        <v>206</v>
      </c>
      <c r="E5714" s="3" t="s">
        <v>100</v>
      </c>
      <c r="F5714" s="7">
        <v>45860.45732926223</v>
      </c>
      <c r="G5714" s="3" t="s">
        <v>17026</v>
      </c>
    </row>
    <row r="5715">
      <c r="A5715" s="3" t="s">
        <v>17027</v>
      </c>
      <c r="B5715" s="3" t="s">
        <v>5469</v>
      </c>
      <c r="C5715" s="5" t="s">
        <v>206</v>
      </c>
      <c r="D5715" s="3" t="s">
        <v>68</v>
      </c>
      <c r="E5715" s="3" t="s">
        <v>100</v>
      </c>
      <c r="F5715" s="7">
        <v>45860.46080148445</v>
      </c>
      <c r="G5715" s="3" t="s">
        <v>17029</v>
      </c>
    </row>
    <row r="5716">
      <c r="A5716" s="3" t="s">
        <v>17030</v>
      </c>
      <c r="B5716" s="3" t="s">
        <v>5472</v>
      </c>
      <c r="C5716" s="5" t="s">
        <v>45</v>
      </c>
      <c r="D5716" s="3" t="s">
        <v>221</v>
      </c>
      <c r="E5716" s="3" t="s">
        <v>658</v>
      </c>
      <c r="F5716" s="7">
        <v>45860.5215596632</v>
      </c>
      <c r="G5716" s="3" t="s">
        <v>2770</v>
      </c>
    </row>
    <row r="5717">
      <c r="A5717" s="3" t="s">
        <v>17032</v>
      </c>
      <c r="B5717" s="3" t="s">
        <v>5472</v>
      </c>
      <c r="C5717" s="5" t="s">
        <v>221</v>
      </c>
      <c r="D5717" s="3" t="s">
        <v>181</v>
      </c>
      <c r="E5717" s="3" t="s">
        <v>118</v>
      </c>
      <c r="F5717" s="7">
        <v>45860.525031885416</v>
      </c>
      <c r="G5717" s="3" t="s">
        <v>2774</v>
      </c>
    </row>
    <row r="5718">
      <c r="A5718" s="3" t="s">
        <v>17034</v>
      </c>
      <c r="B5718" s="3" t="s">
        <v>5475</v>
      </c>
      <c r="C5718" s="5" t="s">
        <v>45</v>
      </c>
      <c r="D5718" s="3" t="s">
        <v>221</v>
      </c>
      <c r="E5718" s="3" t="s">
        <v>341</v>
      </c>
      <c r="F5718" s="7">
        <v>45860.59273450862</v>
      </c>
      <c r="G5718" s="3" t="s">
        <v>17036</v>
      </c>
    </row>
    <row r="5719">
      <c r="A5719" s="3" t="s">
        <v>17037</v>
      </c>
      <c r="B5719" s="3" t="s">
        <v>5475</v>
      </c>
      <c r="C5719" s="5" t="s">
        <v>221</v>
      </c>
      <c r="D5719" s="3" t="s">
        <v>614</v>
      </c>
      <c r="E5719" s="3" t="s">
        <v>118</v>
      </c>
      <c r="F5719" s="7">
        <v>45860.596206730836</v>
      </c>
      <c r="G5719" s="3" t="s">
        <v>17039</v>
      </c>
    </row>
    <row r="5720">
      <c r="A5720" s="3" t="s">
        <v>17040</v>
      </c>
      <c r="B5720" s="3" t="s">
        <v>5475</v>
      </c>
      <c r="C5720" s="5" t="s">
        <v>614</v>
      </c>
      <c r="D5720" s="3" t="s">
        <v>206</v>
      </c>
      <c r="E5720" s="3" t="s">
        <v>100</v>
      </c>
      <c r="F5720" s="7">
        <v>45860.59967895306</v>
      </c>
      <c r="G5720" s="3" t="s">
        <v>17041</v>
      </c>
    </row>
    <row r="5721">
      <c r="A5721" s="3" t="s">
        <v>17042</v>
      </c>
      <c r="B5721" s="3" t="s">
        <v>5475</v>
      </c>
      <c r="C5721" s="5" t="s">
        <v>206</v>
      </c>
      <c r="D5721" s="3" t="s">
        <v>68</v>
      </c>
      <c r="E5721" s="3" t="s">
        <v>100</v>
      </c>
      <c r="F5721" s="7">
        <v>45860.60315117528</v>
      </c>
      <c r="G5721" s="3" t="s">
        <v>17044</v>
      </c>
    </row>
    <row r="5722">
      <c r="A5722" s="3" t="s">
        <v>17045</v>
      </c>
      <c r="B5722" s="3" t="s">
        <v>5478</v>
      </c>
      <c r="C5722" s="5" t="s">
        <v>45</v>
      </c>
      <c r="D5722" s="3" t="s">
        <v>221</v>
      </c>
      <c r="E5722" s="3" t="s">
        <v>735</v>
      </c>
      <c r="F5722" s="7">
        <v>45860.663909354036</v>
      </c>
      <c r="G5722" s="3" t="s">
        <v>17047</v>
      </c>
    </row>
    <row r="5723">
      <c r="A5723" s="3" t="s">
        <v>17048</v>
      </c>
      <c r="B5723" s="3" t="s">
        <v>5478</v>
      </c>
      <c r="C5723" s="5" t="s">
        <v>221</v>
      </c>
      <c r="D5723" s="3" t="s">
        <v>614</v>
      </c>
      <c r="E5723" s="3" t="s">
        <v>118</v>
      </c>
      <c r="F5723" s="7">
        <v>45860.667381576255</v>
      </c>
      <c r="G5723" s="3" t="s">
        <v>17050</v>
      </c>
    </row>
    <row r="5724">
      <c r="A5724" s="3" t="s">
        <v>17051</v>
      </c>
      <c r="B5724" s="3" t="s">
        <v>5478</v>
      </c>
      <c r="C5724" s="5" t="s">
        <v>614</v>
      </c>
      <c r="D5724" s="3" t="s">
        <v>206</v>
      </c>
      <c r="E5724" s="3" t="s">
        <v>100</v>
      </c>
      <c r="F5724" s="7">
        <v>45860.67085379848</v>
      </c>
      <c r="G5724" s="3" t="s">
        <v>17053</v>
      </c>
    </row>
    <row r="5725">
      <c r="A5725" s="3" t="s">
        <v>17054</v>
      </c>
      <c r="B5725" s="3" t="s">
        <v>5478</v>
      </c>
      <c r="C5725" s="5" t="s">
        <v>206</v>
      </c>
      <c r="D5725" s="3" t="s">
        <v>68</v>
      </c>
      <c r="E5725" s="3" t="s">
        <v>100</v>
      </c>
      <c r="F5725" s="7">
        <v>45860.6743260207</v>
      </c>
      <c r="G5725" s="3" t="s">
        <v>17055</v>
      </c>
    </row>
    <row r="5726">
      <c r="A5726" s="3" t="s">
        <v>17057</v>
      </c>
      <c r="B5726" s="3" t="s">
        <v>5481</v>
      </c>
      <c r="C5726" s="5" t="s">
        <v>45</v>
      </c>
      <c r="D5726" s="3" t="s">
        <v>221</v>
      </c>
      <c r="E5726" s="3" t="s">
        <v>141</v>
      </c>
      <c r="F5726" s="7">
        <v>45860.73508419944</v>
      </c>
      <c r="G5726" s="3" t="s">
        <v>17058</v>
      </c>
    </row>
    <row r="5727">
      <c r="A5727" s="3" t="s">
        <v>17059</v>
      </c>
      <c r="B5727" s="3" t="s">
        <v>5481</v>
      </c>
      <c r="C5727" s="5" t="s">
        <v>221</v>
      </c>
      <c r="D5727" s="3" t="s">
        <v>614</v>
      </c>
      <c r="E5727" s="3" t="s">
        <v>118</v>
      </c>
      <c r="F5727" s="7">
        <v>45860.73855642166</v>
      </c>
      <c r="G5727" s="3" t="s">
        <v>17061</v>
      </c>
    </row>
    <row r="5728">
      <c r="A5728" s="3" t="s">
        <v>17062</v>
      </c>
      <c r="B5728" s="3" t="s">
        <v>5481</v>
      </c>
      <c r="C5728" s="5" t="s">
        <v>614</v>
      </c>
      <c r="D5728" s="3" t="s">
        <v>206</v>
      </c>
      <c r="E5728" s="3" t="s">
        <v>100</v>
      </c>
      <c r="F5728" s="7">
        <v>45860.74202864389</v>
      </c>
      <c r="G5728" s="3" t="s">
        <v>17064</v>
      </c>
    </row>
    <row r="5729">
      <c r="A5729" s="3" t="s">
        <v>17065</v>
      </c>
      <c r="B5729" s="3" t="s">
        <v>5481</v>
      </c>
      <c r="C5729" s="5" t="s">
        <v>206</v>
      </c>
      <c r="D5729" s="3" t="s">
        <v>68</v>
      </c>
      <c r="E5729" s="3" t="s">
        <v>100</v>
      </c>
      <c r="F5729" s="7">
        <v>45860.745500866105</v>
      </c>
      <c r="G5729" s="3" t="s">
        <v>17067</v>
      </c>
    </row>
    <row r="5730">
      <c r="A5730" s="3" t="s">
        <v>17068</v>
      </c>
      <c r="B5730" s="3" t="s">
        <v>5485</v>
      </c>
      <c r="C5730" s="5" t="s">
        <v>45</v>
      </c>
      <c r="D5730" s="3" t="s">
        <v>221</v>
      </c>
      <c r="E5730" s="3" t="s">
        <v>488</v>
      </c>
      <c r="F5730" s="7">
        <v>45860.80625904486</v>
      </c>
      <c r="G5730" s="3" t="s">
        <v>14870</v>
      </c>
    </row>
    <row r="5731">
      <c r="A5731" s="3" t="s">
        <v>17070</v>
      </c>
      <c r="B5731" s="3" t="s">
        <v>5485</v>
      </c>
      <c r="C5731" s="5" t="s">
        <v>221</v>
      </c>
      <c r="D5731" s="3" t="s">
        <v>181</v>
      </c>
      <c r="E5731" s="3" t="s">
        <v>118</v>
      </c>
      <c r="F5731" s="7">
        <v>45860.80973126708</v>
      </c>
      <c r="G5731" s="3" t="s">
        <v>14872</v>
      </c>
    </row>
    <row r="5732">
      <c r="A5732" s="3" t="s">
        <v>17072</v>
      </c>
      <c r="B5732" s="3" t="s">
        <v>5488</v>
      </c>
      <c r="C5732" s="5" t="s">
        <v>45</v>
      </c>
      <c r="D5732" s="3" t="s">
        <v>221</v>
      </c>
      <c r="E5732" s="3" t="s">
        <v>485</v>
      </c>
      <c r="F5732" s="7">
        <v>45860.87743389027</v>
      </c>
      <c r="G5732" s="3" t="s">
        <v>17074</v>
      </c>
    </row>
    <row r="5733">
      <c r="A5733" s="3" t="s">
        <v>17075</v>
      </c>
      <c r="B5733" s="3" t="s">
        <v>5488</v>
      </c>
      <c r="C5733" s="5" t="s">
        <v>221</v>
      </c>
      <c r="D5733" s="3" t="s">
        <v>614</v>
      </c>
      <c r="E5733" s="3" t="s">
        <v>118</v>
      </c>
      <c r="F5733" s="7">
        <v>45860.88090611249</v>
      </c>
      <c r="G5733" s="3" t="s">
        <v>17077</v>
      </c>
    </row>
    <row r="5734">
      <c r="A5734" s="3" t="s">
        <v>17078</v>
      </c>
      <c r="B5734" s="3" t="s">
        <v>5488</v>
      </c>
      <c r="C5734" s="5" t="s">
        <v>614</v>
      </c>
      <c r="D5734" s="3" t="s">
        <v>206</v>
      </c>
      <c r="E5734" s="3" t="s">
        <v>100</v>
      </c>
      <c r="F5734" s="7">
        <v>45860.88437833472</v>
      </c>
      <c r="G5734" s="3" t="s">
        <v>17080</v>
      </c>
    </row>
    <row r="5735">
      <c r="A5735" s="3" t="s">
        <v>17081</v>
      </c>
      <c r="B5735" s="3" t="s">
        <v>5488</v>
      </c>
      <c r="C5735" s="5" t="s">
        <v>206</v>
      </c>
      <c r="D5735" s="3" t="s">
        <v>68</v>
      </c>
      <c r="E5735" s="3" t="s">
        <v>100</v>
      </c>
      <c r="F5735" s="7">
        <v>45860.88785055694</v>
      </c>
      <c r="G5735" s="3" t="s">
        <v>17082</v>
      </c>
    </row>
    <row r="5736">
      <c r="A5736" s="3" t="s">
        <v>17083</v>
      </c>
      <c r="B5736" s="3" t="s">
        <v>5491</v>
      </c>
      <c r="C5736" s="5" t="s">
        <v>45</v>
      </c>
      <c r="D5736" s="3" t="s">
        <v>221</v>
      </c>
      <c r="E5736" s="3" t="s">
        <v>763</v>
      </c>
      <c r="F5736" s="7">
        <v>45860.94860873569</v>
      </c>
      <c r="G5736" s="3" t="s">
        <v>17085</v>
      </c>
    </row>
    <row r="5737">
      <c r="A5737" s="3" t="s">
        <v>17086</v>
      </c>
      <c r="B5737" s="3" t="s">
        <v>5491</v>
      </c>
      <c r="C5737" s="5" t="s">
        <v>221</v>
      </c>
      <c r="D5737" s="3" t="s">
        <v>614</v>
      </c>
      <c r="E5737" s="3" t="s">
        <v>118</v>
      </c>
      <c r="F5737" s="7">
        <v>45860.95208095791</v>
      </c>
      <c r="G5737" s="3" t="s">
        <v>17088</v>
      </c>
    </row>
    <row r="5738">
      <c r="A5738" s="3" t="s">
        <v>17089</v>
      </c>
      <c r="B5738" s="3" t="s">
        <v>5491</v>
      </c>
      <c r="C5738" s="5" t="s">
        <v>614</v>
      </c>
      <c r="D5738" s="3" t="s">
        <v>206</v>
      </c>
      <c r="E5738" s="3" t="s">
        <v>100</v>
      </c>
      <c r="F5738" s="7">
        <v>45860.95555318014</v>
      </c>
      <c r="G5738" s="3" t="s">
        <v>17091</v>
      </c>
    </row>
    <row r="5739">
      <c r="A5739" s="3" t="s">
        <v>17092</v>
      </c>
      <c r="B5739" s="3" t="s">
        <v>5491</v>
      </c>
      <c r="C5739" s="5" t="s">
        <v>206</v>
      </c>
      <c r="D5739" s="3" t="s">
        <v>68</v>
      </c>
      <c r="E5739" s="3" t="s">
        <v>100</v>
      </c>
      <c r="F5739" s="7">
        <v>45860.95902540236</v>
      </c>
      <c r="G5739" s="3" t="s">
        <v>17093</v>
      </c>
    </row>
    <row r="5740">
      <c r="A5740" s="3" t="s">
        <v>17094</v>
      </c>
      <c r="B5740" s="3" t="s">
        <v>5495</v>
      </c>
      <c r="C5740" s="5" t="s">
        <v>45</v>
      </c>
      <c r="D5740" s="3" t="s">
        <v>221</v>
      </c>
      <c r="E5740" s="3" t="s">
        <v>1040</v>
      </c>
      <c r="F5740" s="7">
        <v>45861.019783581105</v>
      </c>
      <c r="G5740" s="3" t="s">
        <v>8181</v>
      </c>
    </row>
    <row r="5741">
      <c r="A5741" s="3" t="s">
        <v>17096</v>
      </c>
      <c r="B5741" s="3" t="s">
        <v>5495</v>
      </c>
      <c r="C5741" s="5" t="s">
        <v>221</v>
      </c>
      <c r="D5741" s="3" t="s">
        <v>614</v>
      </c>
      <c r="E5741" s="3" t="s">
        <v>118</v>
      </c>
      <c r="F5741" s="7">
        <v>45861.023255803324</v>
      </c>
      <c r="G5741" s="3" t="s">
        <v>11205</v>
      </c>
    </row>
    <row r="5742">
      <c r="A5742" s="3" t="s">
        <v>17098</v>
      </c>
      <c r="B5742" s="3" t="s">
        <v>5495</v>
      </c>
      <c r="C5742" s="5" t="s">
        <v>614</v>
      </c>
      <c r="D5742" s="3" t="s">
        <v>206</v>
      </c>
      <c r="E5742" s="3" t="s">
        <v>100</v>
      </c>
      <c r="F5742" s="7">
        <v>45861.02672802555</v>
      </c>
      <c r="G5742" s="3" t="s">
        <v>11208</v>
      </c>
    </row>
    <row r="5743">
      <c r="A5743" s="3" t="s">
        <v>17100</v>
      </c>
      <c r="B5743" s="3" t="s">
        <v>5495</v>
      </c>
      <c r="C5743" s="5" t="s">
        <v>206</v>
      </c>
      <c r="D5743" s="3" t="s">
        <v>68</v>
      </c>
      <c r="E5743" s="3" t="s">
        <v>100</v>
      </c>
      <c r="F5743" s="7">
        <v>45861.03020024777</v>
      </c>
      <c r="G5743" s="3" t="s">
        <v>11211</v>
      </c>
    </row>
    <row r="5744">
      <c r="A5744" s="3" t="s">
        <v>17102</v>
      </c>
      <c r="B5744" s="3" t="s">
        <v>5498</v>
      </c>
      <c r="C5744" s="5" t="s">
        <v>45</v>
      </c>
      <c r="D5744" s="3" t="s">
        <v>221</v>
      </c>
      <c r="E5744" s="3" t="s">
        <v>446</v>
      </c>
      <c r="F5744" s="7">
        <v>45861.090958426525</v>
      </c>
      <c r="G5744" s="3" t="s">
        <v>14549</v>
      </c>
    </row>
    <row r="5745">
      <c r="A5745" s="3" t="s">
        <v>17104</v>
      </c>
      <c r="B5745" s="3" t="s">
        <v>5498</v>
      </c>
      <c r="C5745" s="5" t="s">
        <v>221</v>
      </c>
      <c r="D5745" s="3" t="s">
        <v>614</v>
      </c>
      <c r="E5745" s="3" t="s">
        <v>118</v>
      </c>
      <c r="F5745" s="7">
        <v>45861.09443064874</v>
      </c>
      <c r="G5745" s="3" t="s">
        <v>14552</v>
      </c>
    </row>
    <row r="5746">
      <c r="A5746" s="3" t="s">
        <v>17105</v>
      </c>
      <c r="B5746" s="3" t="s">
        <v>5498</v>
      </c>
      <c r="C5746" s="5" t="s">
        <v>614</v>
      </c>
      <c r="D5746" s="3" t="s">
        <v>206</v>
      </c>
      <c r="E5746" s="3" t="s">
        <v>100</v>
      </c>
      <c r="F5746" s="7">
        <v>45861.09790287097</v>
      </c>
      <c r="G5746" s="3" t="s">
        <v>14555</v>
      </c>
    </row>
    <row r="5747">
      <c r="A5747" s="3" t="s">
        <v>17107</v>
      </c>
      <c r="B5747" s="3" t="s">
        <v>5498</v>
      </c>
      <c r="C5747" s="5" t="s">
        <v>206</v>
      </c>
      <c r="D5747" s="3" t="s">
        <v>68</v>
      </c>
      <c r="E5747" s="3" t="s">
        <v>100</v>
      </c>
      <c r="F5747" s="7">
        <v>45861.10137509319</v>
      </c>
      <c r="G5747" s="3" t="s">
        <v>14558</v>
      </c>
    </row>
    <row r="5748">
      <c r="A5748" s="3" t="s">
        <v>17109</v>
      </c>
      <c r="B5748" s="3" t="s">
        <v>5501</v>
      </c>
      <c r="C5748" s="5" t="s">
        <v>45</v>
      </c>
      <c r="D5748" s="3" t="s">
        <v>221</v>
      </c>
      <c r="E5748" s="3" t="s">
        <v>319</v>
      </c>
      <c r="F5748" s="7">
        <v>45861.16213327193</v>
      </c>
      <c r="G5748" s="3" t="s">
        <v>2770</v>
      </c>
    </row>
    <row r="5749">
      <c r="A5749" s="3" t="s">
        <v>17111</v>
      </c>
      <c r="B5749" s="3" t="s">
        <v>5501</v>
      </c>
      <c r="C5749" s="5" t="s">
        <v>221</v>
      </c>
      <c r="D5749" s="3" t="s">
        <v>181</v>
      </c>
      <c r="E5749" s="3" t="s">
        <v>118</v>
      </c>
      <c r="F5749" s="7">
        <v>45861.16560549415</v>
      </c>
      <c r="G5749" s="3" t="s">
        <v>2774</v>
      </c>
    </row>
    <row r="5750">
      <c r="A5750" s="3" t="s">
        <v>17112</v>
      </c>
      <c r="B5750" s="3" t="s">
        <v>5504</v>
      </c>
      <c r="C5750" s="5" t="s">
        <v>45</v>
      </c>
      <c r="D5750" s="3" t="s">
        <v>221</v>
      </c>
      <c r="E5750" s="3" t="s">
        <v>352</v>
      </c>
      <c r="F5750" s="7">
        <v>45861.23330811735</v>
      </c>
      <c r="G5750" s="3" t="s">
        <v>17114</v>
      </c>
    </row>
    <row r="5751">
      <c r="A5751" s="3" t="s">
        <v>17115</v>
      </c>
      <c r="B5751" s="3" t="s">
        <v>5504</v>
      </c>
      <c r="C5751" s="5" t="s">
        <v>221</v>
      </c>
      <c r="D5751" s="3" t="s">
        <v>614</v>
      </c>
      <c r="E5751" s="3" t="s">
        <v>118</v>
      </c>
      <c r="F5751" s="7">
        <v>45861.23678033957</v>
      </c>
      <c r="G5751" s="3" t="s">
        <v>17117</v>
      </c>
    </row>
    <row r="5752">
      <c r="A5752" s="3" t="s">
        <v>17118</v>
      </c>
      <c r="B5752" s="3" t="s">
        <v>5504</v>
      </c>
      <c r="C5752" s="5" t="s">
        <v>614</v>
      </c>
      <c r="D5752" s="3" t="s">
        <v>206</v>
      </c>
      <c r="E5752" s="3" t="s">
        <v>100</v>
      </c>
      <c r="F5752" s="7">
        <v>45861.240252561794</v>
      </c>
      <c r="G5752" s="3" t="s">
        <v>17120</v>
      </c>
    </row>
    <row r="5753">
      <c r="A5753" s="3" t="s">
        <v>17121</v>
      </c>
      <c r="B5753" s="3" t="s">
        <v>5504</v>
      </c>
      <c r="C5753" s="5" t="s">
        <v>206</v>
      </c>
      <c r="D5753" s="3" t="s">
        <v>68</v>
      </c>
      <c r="E5753" s="3" t="s">
        <v>100</v>
      </c>
      <c r="F5753" s="7">
        <v>45861.24372478401</v>
      </c>
      <c r="G5753" s="3" t="s">
        <v>17123</v>
      </c>
    </row>
    <row r="5754">
      <c r="A5754" s="3" t="s">
        <v>17124</v>
      </c>
      <c r="B5754" s="3" t="s">
        <v>5507</v>
      </c>
      <c r="C5754" s="5" t="s">
        <v>45</v>
      </c>
      <c r="D5754" s="3" t="s">
        <v>221</v>
      </c>
      <c r="E5754" s="3" t="s">
        <v>204</v>
      </c>
      <c r="F5754" s="7">
        <v>45861.30448296277</v>
      </c>
      <c r="G5754" s="3" t="s">
        <v>17125</v>
      </c>
    </row>
    <row r="5755">
      <c r="A5755" s="3" t="s">
        <v>17127</v>
      </c>
      <c r="B5755" s="3" t="s">
        <v>5507</v>
      </c>
      <c r="C5755" s="5" t="s">
        <v>221</v>
      </c>
      <c r="D5755" s="3" t="s">
        <v>614</v>
      </c>
      <c r="E5755" s="3" t="s">
        <v>118</v>
      </c>
      <c r="F5755" s="7">
        <v>45861.30795518499</v>
      </c>
      <c r="G5755" s="3" t="s">
        <v>17128</v>
      </c>
    </row>
    <row r="5756">
      <c r="A5756" s="3" t="s">
        <v>17129</v>
      </c>
      <c r="B5756" s="3" t="s">
        <v>5507</v>
      </c>
      <c r="C5756" s="5" t="s">
        <v>614</v>
      </c>
      <c r="D5756" s="3" t="s">
        <v>206</v>
      </c>
      <c r="E5756" s="3" t="s">
        <v>100</v>
      </c>
      <c r="F5756" s="7">
        <v>45861.311427407214</v>
      </c>
      <c r="G5756" s="3" t="s">
        <v>17131</v>
      </c>
    </row>
    <row r="5757">
      <c r="A5757" s="3" t="s">
        <v>17132</v>
      </c>
      <c r="B5757" s="3" t="s">
        <v>5507</v>
      </c>
      <c r="C5757" s="5" t="s">
        <v>206</v>
      </c>
      <c r="D5757" s="3" t="s">
        <v>68</v>
      </c>
      <c r="E5757" s="3" t="s">
        <v>100</v>
      </c>
      <c r="F5757" s="7">
        <v>45861.31489962943</v>
      </c>
      <c r="G5757" s="3" t="s">
        <v>17134</v>
      </c>
    </row>
    <row r="5758">
      <c r="A5758" s="3" t="s">
        <v>17135</v>
      </c>
      <c r="B5758" s="3" t="s">
        <v>5510</v>
      </c>
      <c r="C5758" s="5" t="s">
        <v>45</v>
      </c>
      <c r="D5758" s="3" t="s">
        <v>221</v>
      </c>
      <c r="E5758" s="3" t="s">
        <v>348</v>
      </c>
      <c r="F5758" s="7">
        <v>45861.37565780818</v>
      </c>
      <c r="G5758" s="3" t="s">
        <v>17137</v>
      </c>
    </row>
    <row r="5759">
      <c r="A5759" s="3" t="s">
        <v>17138</v>
      </c>
      <c r="B5759" s="3" t="s">
        <v>5510</v>
      </c>
      <c r="C5759" s="5" t="s">
        <v>221</v>
      </c>
      <c r="D5759" s="3" t="s">
        <v>614</v>
      </c>
      <c r="E5759" s="3" t="s">
        <v>118</v>
      </c>
      <c r="F5759" s="7">
        <v>45861.3791300304</v>
      </c>
      <c r="G5759" s="3" t="s">
        <v>17139</v>
      </c>
    </row>
    <row r="5760">
      <c r="A5760" s="3" t="s">
        <v>17141</v>
      </c>
      <c r="B5760" s="3" t="s">
        <v>5510</v>
      </c>
      <c r="C5760" s="5" t="s">
        <v>614</v>
      </c>
      <c r="D5760" s="3" t="s">
        <v>206</v>
      </c>
      <c r="E5760" s="3" t="s">
        <v>100</v>
      </c>
      <c r="F5760" s="7">
        <v>45861.38260225263</v>
      </c>
      <c r="G5760" s="3" t="s">
        <v>17142</v>
      </c>
    </row>
    <row r="5761">
      <c r="A5761" s="3" t="s">
        <v>17143</v>
      </c>
      <c r="B5761" s="3" t="s">
        <v>5510</v>
      </c>
      <c r="C5761" s="5" t="s">
        <v>206</v>
      </c>
      <c r="D5761" s="3" t="s">
        <v>68</v>
      </c>
      <c r="E5761" s="3" t="s">
        <v>100</v>
      </c>
      <c r="F5761" s="7">
        <v>45861.386074474845</v>
      </c>
      <c r="G5761" s="3" t="s">
        <v>17145</v>
      </c>
    </row>
    <row r="5762">
      <c r="A5762" s="3" t="s">
        <v>17146</v>
      </c>
      <c r="B5762" s="3" t="s">
        <v>5513</v>
      </c>
      <c r="C5762" s="5" t="s">
        <v>45</v>
      </c>
      <c r="D5762" s="3" t="s">
        <v>221</v>
      </c>
      <c r="E5762" s="3" t="s">
        <v>598</v>
      </c>
      <c r="F5762" s="7">
        <v>45861.44683265359</v>
      </c>
      <c r="G5762" s="3" t="s">
        <v>17148</v>
      </c>
    </row>
    <row r="5763">
      <c r="A5763" s="3" t="s">
        <v>17149</v>
      </c>
      <c r="B5763" s="3" t="s">
        <v>5513</v>
      </c>
      <c r="C5763" s="5" t="s">
        <v>221</v>
      </c>
      <c r="D5763" s="3" t="s">
        <v>614</v>
      </c>
      <c r="E5763" s="3" t="s">
        <v>118</v>
      </c>
      <c r="F5763" s="7">
        <v>45861.45030487581</v>
      </c>
      <c r="G5763" s="3" t="s">
        <v>17151</v>
      </c>
    </row>
    <row r="5764">
      <c r="A5764" s="3" t="s">
        <v>17152</v>
      </c>
      <c r="B5764" s="3" t="s">
        <v>5513</v>
      </c>
      <c r="C5764" s="5" t="s">
        <v>614</v>
      </c>
      <c r="D5764" s="3" t="s">
        <v>206</v>
      </c>
      <c r="E5764" s="3" t="s">
        <v>100</v>
      </c>
      <c r="F5764" s="7">
        <v>45861.45377709804</v>
      </c>
      <c r="G5764" s="3" t="s">
        <v>17153</v>
      </c>
    </row>
    <row r="5765">
      <c r="A5765" s="3" t="s">
        <v>17155</v>
      </c>
      <c r="B5765" s="3" t="s">
        <v>5513</v>
      </c>
      <c r="C5765" s="5" t="s">
        <v>206</v>
      </c>
      <c r="D5765" s="3" t="s">
        <v>68</v>
      </c>
      <c r="E5765" s="3" t="s">
        <v>100</v>
      </c>
      <c r="F5765" s="7">
        <v>45861.45724932026</v>
      </c>
      <c r="G5765" s="3" t="s">
        <v>17156</v>
      </c>
    </row>
    <row r="5766">
      <c r="A5766" s="3" t="s">
        <v>17157</v>
      </c>
      <c r="B5766" s="3" t="s">
        <v>5516</v>
      </c>
      <c r="C5766" s="5" t="s">
        <v>45</v>
      </c>
      <c r="D5766" s="3" t="s">
        <v>221</v>
      </c>
      <c r="E5766" s="3" t="s">
        <v>579</v>
      </c>
      <c r="F5766" s="7">
        <v>45861.51800749901</v>
      </c>
      <c r="G5766" s="3" t="s">
        <v>13039</v>
      </c>
    </row>
    <row r="5767">
      <c r="A5767" s="3" t="s">
        <v>17159</v>
      </c>
      <c r="B5767" s="3" t="s">
        <v>5516</v>
      </c>
      <c r="C5767" s="5" t="s">
        <v>221</v>
      </c>
      <c r="D5767" s="3" t="s">
        <v>614</v>
      </c>
      <c r="E5767" s="3" t="s">
        <v>118</v>
      </c>
      <c r="F5767" s="7">
        <v>45861.52147972123</v>
      </c>
      <c r="G5767" s="3" t="s">
        <v>13042</v>
      </c>
    </row>
    <row r="5768">
      <c r="A5768" s="3" t="s">
        <v>17161</v>
      </c>
      <c r="B5768" s="3" t="s">
        <v>5516</v>
      </c>
      <c r="C5768" s="5" t="s">
        <v>614</v>
      </c>
      <c r="D5768" s="3" t="s">
        <v>206</v>
      </c>
      <c r="E5768" s="3" t="s">
        <v>100</v>
      </c>
      <c r="F5768" s="7">
        <v>45861.52495194346</v>
      </c>
      <c r="G5768" s="3" t="s">
        <v>13045</v>
      </c>
    </row>
    <row r="5769">
      <c r="A5769" s="3" t="s">
        <v>17163</v>
      </c>
      <c r="B5769" s="3" t="s">
        <v>5516</v>
      </c>
      <c r="C5769" s="5" t="s">
        <v>206</v>
      </c>
      <c r="D5769" s="3" t="s">
        <v>68</v>
      </c>
      <c r="E5769" s="3" t="s">
        <v>100</v>
      </c>
      <c r="F5769" s="7">
        <v>45861.52842416568</v>
      </c>
      <c r="G5769" s="3" t="s">
        <v>13049</v>
      </c>
    </row>
    <row r="5770">
      <c r="A5770" s="3" t="s">
        <v>17165</v>
      </c>
      <c r="B5770" s="3" t="s">
        <v>5519</v>
      </c>
      <c r="C5770" s="5" t="s">
        <v>45</v>
      </c>
      <c r="D5770" s="3" t="s">
        <v>221</v>
      </c>
      <c r="E5770" s="3" t="s">
        <v>219</v>
      </c>
      <c r="F5770" s="7">
        <v>45861.589182344425</v>
      </c>
      <c r="G5770" s="3" t="s">
        <v>15945</v>
      </c>
    </row>
    <row r="5771">
      <c r="A5771" s="3" t="s">
        <v>17167</v>
      </c>
      <c r="B5771" s="3" t="s">
        <v>5519</v>
      </c>
      <c r="C5771" s="5" t="s">
        <v>221</v>
      </c>
      <c r="D5771" s="3" t="s">
        <v>614</v>
      </c>
      <c r="E5771" s="3" t="s">
        <v>118</v>
      </c>
      <c r="F5771" s="7">
        <v>45861.592654566644</v>
      </c>
      <c r="G5771" s="3" t="s">
        <v>16257</v>
      </c>
    </row>
    <row r="5772">
      <c r="A5772" s="3" t="s">
        <v>17169</v>
      </c>
      <c r="B5772" s="3" t="s">
        <v>5519</v>
      </c>
      <c r="C5772" s="5" t="s">
        <v>614</v>
      </c>
      <c r="D5772" s="3" t="s">
        <v>206</v>
      </c>
      <c r="E5772" s="3" t="s">
        <v>100</v>
      </c>
      <c r="F5772" s="7">
        <v>45861.59612678887</v>
      </c>
      <c r="G5772" s="3" t="s">
        <v>16259</v>
      </c>
    </row>
    <row r="5773">
      <c r="A5773" s="3" t="s">
        <v>17171</v>
      </c>
      <c r="B5773" s="3" t="s">
        <v>5519</v>
      </c>
      <c r="C5773" s="5" t="s">
        <v>206</v>
      </c>
      <c r="D5773" s="3" t="s">
        <v>68</v>
      </c>
      <c r="E5773" s="3" t="s">
        <v>100</v>
      </c>
      <c r="F5773" s="7">
        <v>45861.59959901109</v>
      </c>
      <c r="G5773" s="3" t="s">
        <v>16262</v>
      </c>
    </row>
    <row r="5774">
      <c r="A5774" s="3" t="s">
        <v>17172</v>
      </c>
      <c r="B5774" s="3" t="s">
        <v>5522</v>
      </c>
      <c r="C5774" s="5" t="s">
        <v>45</v>
      </c>
      <c r="D5774" s="3" t="s">
        <v>221</v>
      </c>
      <c r="E5774" s="3" t="s">
        <v>498</v>
      </c>
      <c r="F5774" s="7">
        <v>45861.66035718984</v>
      </c>
      <c r="G5774" s="3" t="s">
        <v>17174</v>
      </c>
    </row>
    <row r="5775">
      <c r="A5775" s="3" t="s">
        <v>17175</v>
      </c>
      <c r="B5775" s="3" t="s">
        <v>5522</v>
      </c>
      <c r="C5775" s="5" t="s">
        <v>221</v>
      </c>
      <c r="D5775" s="3" t="s">
        <v>614</v>
      </c>
      <c r="E5775" s="3" t="s">
        <v>118</v>
      </c>
      <c r="F5775" s="7">
        <v>45861.66382941206</v>
      </c>
      <c r="G5775" s="3" t="s">
        <v>17177</v>
      </c>
    </row>
    <row r="5776">
      <c r="A5776" s="3" t="s">
        <v>17178</v>
      </c>
      <c r="B5776" s="3" t="s">
        <v>5522</v>
      </c>
      <c r="C5776" s="5" t="s">
        <v>614</v>
      </c>
      <c r="D5776" s="3" t="s">
        <v>206</v>
      </c>
      <c r="E5776" s="3" t="s">
        <v>100</v>
      </c>
      <c r="F5776" s="7">
        <v>45861.66730163428</v>
      </c>
      <c r="G5776" s="3" t="s">
        <v>17180</v>
      </c>
    </row>
    <row r="5777">
      <c r="A5777" s="3" t="s">
        <v>17181</v>
      </c>
      <c r="B5777" s="3" t="s">
        <v>5522</v>
      </c>
      <c r="C5777" s="5" t="s">
        <v>206</v>
      </c>
      <c r="D5777" s="3" t="s">
        <v>68</v>
      </c>
      <c r="E5777" s="3" t="s">
        <v>100</v>
      </c>
      <c r="F5777" s="7">
        <v>45861.6707738565</v>
      </c>
      <c r="G5777" s="3" t="s">
        <v>17182</v>
      </c>
    </row>
    <row r="5778">
      <c r="A5778" s="3" t="s">
        <v>17184</v>
      </c>
      <c r="B5778" s="3" t="s">
        <v>5526</v>
      </c>
      <c r="C5778" s="5" t="s">
        <v>45</v>
      </c>
      <c r="D5778" s="3" t="s">
        <v>221</v>
      </c>
      <c r="E5778" s="3" t="s">
        <v>299</v>
      </c>
      <c r="F5778" s="7">
        <v>45861.73153203526</v>
      </c>
      <c r="G5778" s="3" t="s">
        <v>17185</v>
      </c>
    </row>
    <row r="5779">
      <c r="A5779" s="3" t="s">
        <v>17186</v>
      </c>
      <c r="B5779" s="3" t="s">
        <v>5526</v>
      </c>
      <c r="C5779" s="5" t="s">
        <v>221</v>
      </c>
      <c r="D5779" s="3" t="s">
        <v>614</v>
      </c>
      <c r="E5779" s="3" t="s">
        <v>118</v>
      </c>
      <c r="F5779" s="7">
        <v>45861.735004257476</v>
      </c>
      <c r="G5779" s="3" t="s">
        <v>17188</v>
      </c>
    </row>
    <row r="5780">
      <c r="A5780" s="3" t="s">
        <v>17189</v>
      </c>
      <c r="B5780" s="3" t="s">
        <v>5526</v>
      </c>
      <c r="C5780" s="5" t="s">
        <v>614</v>
      </c>
      <c r="D5780" s="3" t="s">
        <v>206</v>
      </c>
      <c r="E5780" s="3" t="s">
        <v>100</v>
      </c>
      <c r="F5780" s="7">
        <v>45861.7384764797</v>
      </c>
      <c r="G5780" s="3" t="s">
        <v>17191</v>
      </c>
    </row>
    <row r="5781">
      <c r="A5781" s="3" t="s">
        <v>17192</v>
      </c>
      <c r="B5781" s="3" t="s">
        <v>5526</v>
      </c>
      <c r="C5781" s="5" t="s">
        <v>206</v>
      </c>
      <c r="D5781" s="3" t="s">
        <v>68</v>
      </c>
      <c r="E5781" s="3" t="s">
        <v>100</v>
      </c>
      <c r="F5781" s="7">
        <v>45861.74194870192</v>
      </c>
      <c r="G5781" s="3" t="s">
        <v>17194</v>
      </c>
    </row>
    <row r="5782">
      <c r="A5782" s="3" t="s">
        <v>17195</v>
      </c>
      <c r="B5782" s="3" t="s">
        <v>5530</v>
      </c>
      <c r="C5782" s="5" t="s">
        <v>45</v>
      </c>
      <c r="D5782" s="3" t="s">
        <v>221</v>
      </c>
      <c r="E5782" s="3" t="s">
        <v>822</v>
      </c>
      <c r="F5782" s="7">
        <v>45861.80270688068</v>
      </c>
      <c r="G5782" s="3" t="s">
        <v>17197</v>
      </c>
    </row>
    <row r="5783">
      <c r="A5783" s="3" t="s">
        <v>17198</v>
      </c>
      <c r="B5783" s="3" t="s">
        <v>5530</v>
      </c>
      <c r="C5783" s="5" t="s">
        <v>221</v>
      </c>
      <c r="D5783" s="3" t="s">
        <v>614</v>
      </c>
      <c r="E5783" s="3" t="s">
        <v>118</v>
      </c>
      <c r="F5783" s="7">
        <v>45861.806179102896</v>
      </c>
      <c r="G5783" s="3" t="s">
        <v>17199</v>
      </c>
    </row>
    <row r="5784">
      <c r="A5784" s="3" t="s">
        <v>17201</v>
      </c>
      <c r="B5784" s="3" t="s">
        <v>5530</v>
      </c>
      <c r="C5784" s="5" t="s">
        <v>614</v>
      </c>
      <c r="D5784" s="3" t="s">
        <v>206</v>
      </c>
      <c r="E5784" s="3" t="s">
        <v>100</v>
      </c>
      <c r="F5784" s="7">
        <v>45861.80965132512</v>
      </c>
      <c r="G5784" s="3" t="s">
        <v>17202</v>
      </c>
    </row>
    <row r="5785">
      <c r="A5785" s="3" t="s">
        <v>17203</v>
      </c>
      <c r="B5785" s="3" t="s">
        <v>5530</v>
      </c>
      <c r="C5785" s="5" t="s">
        <v>206</v>
      </c>
      <c r="D5785" s="3" t="s">
        <v>68</v>
      </c>
      <c r="E5785" s="3" t="s">
        <v>100</v>
      </c>
      <c r="F5785" s="7">
        <v>45861.81312354734</v>
      </c>
      <c r="G5785" s="3" t="s">
        <v>17205</v>
      </c>
    </row>
    <row r="5786">
      <c r="A5786" s="3" t="s">
        <v>17206</v>
      </c>
      <c r="B5786" s="3" t="s">
        <v>5533</v>
      </c>
      <c r="C5786" s="5" t="s">
        <v>45</v>
      </c>
      <c r="D5786" s="3" t="s">
        <v>221</v>
      </c>
      <c r="E5786" s="3" t="s">
        <v>756</v>
      </c>
      <c r="F5786" s="7">
        <v>45861.87388172608</v>
      </c>
      <c r="G5786" s="3" t="s">
        <v>17208</v>
      </c>
    </row>
    <row r="5787">
      <c r="A5787" s="3" t="s">
        <v>17209</v>
      </c>
      <c r="B5787" s="3" t="s">
        <v>5533</v>
      </c>
      <c r="C5787" s="5" t="s">
        <v>221</v>
      </c>
      <c r="D5787" s="3" t="s">
        <v>614</v>
      </c>
      <c r="E5787" s="3" t="s">
        <v>118</v>
      </c>
      <c r="F5787" s="7">
        <v>45861.8773539483</v>
      </c>
      <c r="G5787" s="3" t="s">
        <v>17211</v>
      </c>
    </row>
    <row r="5788">
      <c r="A5788" s="3" t="s">
        <v>17212</v>
      </c>
      <c r="B5788" s="3" t="s">
        <v>5533</v>
      </c>
      <c r="C5788" s="5" t="s">
        <v>614</v>
      </c>
      <c r="D5788" s="3" t="s">
        <v>206</v>
      </c>
      <c r="E5788" s="3" t="s">
        <v>100</v>
      </c>
      <c r="F5788" s="7">
        <v>45861.88082617053</v>
      </c>
      <c r="G5788" s="3" t="s">
        <v>17213</v>
      </c>
    </row>
    <row r="5789">
      <c r="A5789" s="3" t="s">
        <v>17214</v>
      </c>
      <c r="B5789" s="3" t="s">
        <v>5533</v>
      </c>
      <c r="C5789" s="5" t="s">
        <v>206</v>
      </c>
      <c r="D5789" s="3" t="s">
        <v>68</v>
      </c>
      <c r="E5789" s="3" t="s">
        <v>100</v>
      </c>
      <c r="F5789" s="7">
        <v>45861.884298392746</v>
      </c>
      <c r="G5789" s="3" t="s">
        <v>17216</v>
      </c>
    </row>
    <row r="5790">
      <c r="A5790" s="3" t="s">
        <v>17217</v>
      </c>
      <c r="B5790" s="3" t="s">
        <v>5536</v>
      </c>
      <c r="C5790" s="5" t="s">
        <v>45</v>
      </c>
      <c r="D5790" s="3" t="s">
        <v>221</v>
      </c>
      <c r="E5790" s="3" t="s">
        <v>619</v>
      </c>
      <c r="F5790" s="7">
        <v>45861.9450565715</v>
      </c>
      <c r="G5790" s="3" t="s">
        <v>17219</v>
      </c>
    </row>
    <row r="5791">
      <c r="A5791" s="3" t="s">
        <v>17220</v>
      </c>
      <c r="B5791" s="3" t="s">
        <v>5536</v>
      </c>
      <c r="C5791" s="5" t="s">
        <v>221</v>
      </c>
      <c r="D5791" s="3" t="s">
        <v>614</v>
      </c>
      <c r="E5791" s="3" t="s">
        <v>118</v>
      </c>
      <c r="F5791" s="7">
        <v>45861.94852879372</v>
      </c>
      <c r="G5791" s="3" t="s">
        <v>17222</v>
      </c>
    </row>
    <row r="5792">
      <c r="A5792" s="3" t="s">
        <v>17223</v>
      </c>
      <c r="B5792" s="3" t="s">
        <v>5536</v>
      </c>
      <c r="C5792" s="5" t="s">
        <v>614</v>
      </c>
      <c r="D5792" s="3" t="s">
        <v>206</v>
      </c>
      <c r="E5792" s="3" t="s">
        <v>100</v>
      </c>
      <c r="F5792" s="7">
        <v>45861.95200101595</v>
      </c>
      <c r="G5792" s="3" t="s">
        <v>17225</v>
      </c>
    </row>
    <row r="5793">
      <c r="A5793" s="3" t="s">
        <v>17226</v>
      </c>
      <c r="B5793" s="3" t="s">
        <v>5536</v>
      </c>
      <c r="C5793" s="5" t="s">
        <v>206</v>
      </c>
      <c r="D5793" s="3" t="s">
        <v>68</v>
      </c>
      <c r="E5793" s="3" t="s">
        <v>100</v>
      </c>
      <c r="F5793" s="7">
        <v>45861.955473238166</v>
      </c>
      <c r="G5793" s="3" t="s">
        <v>17227</v>
      </c>
    </row>
    <row r="5794">
      <c r="A5794" s="3" t="s">
        <v>17228</v>
      </c>
      <c r="B5794" s="3" t="s">
        <v>5541</v>
      </c>
      <c r="C5794" s="5" t="s">
        <v>45</v>
      </c>
      <c r="D5794" s="3" t="s">
        <v>221</v>
      </c>
      <c r="E5794" s="3" t="s">
        <v>1008</v>
      </c>
      <c r="F5794" s="7">
        <v>45862.01623141692</v>
      </c>
      <c r="G5794" s="3" t="s">
        <v>17230</v>
      </c>
    </row>
    <row r="5795">
      <c r="A5795" s="3" t="s">
        <v>17231</v>
      </c>
      <c r="B5795" s="3" t="s">
        <v>5541</v>
      </c>
      <c r="C5795" s="5" t="s">
        <v>221</v>
      </c>
      <c r="D5795" s="3" t="s">
        <v>614</v>
      </c>
      <c r="E5795" s="3" t="s">
        <v>118</v>
      </c>
      <c r="F5795" s="7">
        <v>45862.01970363914</v>
      </c>
      <c r="G5795" s="3" t="s">
        <v>17233</v>
      </c>
    </row>
    <row r="5796">
      <c r="A5796" s="3" t="s">
        <v>17234</v>
      </c>
      <c r="B5796" s="3" t="s">
        <v>5541</v>
      </c>
      <c r="C5796" s="5" t="s">
        <v>614</v>
      </c>
      <c r="D5796" s="3" t="s">
        <v>206</v>
      </c>
      <c r="E5796" s="3" t="s">
        <v>100</v>
      </c>
      <c r="F5796" s="7">
        <v>45862.023175861366</v>
      </c>
      <c r="G5796" s="3" t="s">
        <v>17236</v>
      </c>
    </row>
    <row r="5797">
      <c r="A5797" s="3" t="s">
        <v>17237</v>
      </c>
      <c r="B5797" s="3" t="s">
        <v>5541</v>
      </c>
      <c r="C5797" s="5" t="s">
        <v>206</v>
      </c>
      <c r="D5797" s="3" t="s">
        <v>68</v>
      </c>
      <c r="E5797" s="3" t="s">
        <v>100</v>
      </c>
      <c r="F5797" s="7">
        <v>45862.026648083585</v>
      </c>
      <c r="G5797" s="3" t="s">
        <v>17238</v>
      </c>
    </row>
    <row r="5798">
      <c r="A5798" s="3" t="s">
        <v>17240</v>
      </c>
      <c r="B5798" s="3" t="s">
        <v>5544</v>
      </c>
      <c r="C5798" s="5" t="s">
        <v>45</v>
      </c>
      <c r="D5798" s="3" t="s">
        <v>221</v>
      </c>
      <c r="E5798" s="3" t="s">
        <v>440</v>
      </c>
      <c r="F5798" s="7">
        <v>45862.08740626233</v>
      </c>
      <c r="G5798" s="3" t="s">
        <v>17241</v>
      </c>
    </row>
    <row r="5799">
      <c r="A5799" s="3" t="s">
        <v>17243</v>
      </c>
      <c r="B5799" s="3" t="s">
        <v>5544</v>
      </c>
      <c r="C5799" s="5" t="s">
        <v>221</v>
      </c>
      <c r="D5799" s="3" t="s">
        <v>614</v>
      </c>
      <c r="E5799" s="3" t="s">
        <v>118</v>
      </c>
      <c r="F5799" s="7">
        <v>45862.09087848455</v>
      </c>
      <c r="G5799" s="3" t="s">
        <v>17244</v>
      </c>
    </row>
    <row r="5800">
      <c r="A5800" s="3" t="s">
        <v>17245</v>
      </c>
      <c r="B5800" s="3" t="s">
        <v>5544</v>
      </c>
      <c r="C5800" s="5" t="s">
        <v>614</v>
      </c>
      <c r="D5800" s="3" t="s">
        <v>206</v>
      </c>
      <c r="E5800" s="3" t="s">
        <v>100</v>
      </c>
      <c r="F5800" s="7">
        <v>45862.09435070678</v>
      </c>
      <c r="G5800" s="3" t="s">
        <v>17247</v>
      </c>
    </row>
    <row r="5801">
      <c r="A5801" s="3" t="s">
        <v>17248</v>
      </c>
      <c r="B5801" s="3" t="s">
        <v>5544</v>
      </c>
      <c r="C5801" s="5" t="s">
        <v>206</v>
      </c>
      <c r="D5801" s="3" t="s">
        <v>68</v>
      </c>
      <c r="E5801" s="3" t="s">
        <v>100</v>
      </c>
      <c r="F5801" s="7">
        <v>45862.097822929</v>
      </c>
      <c r="G5801" s="3" t="s">
        <v>17250</v>
      </c>
    </row>
    <row r="5802">
      <c r="A5802" s="3" t="s">
        <v>17251</v>
      </c>
      <c r="B5802" s="3" t="s">
        <v>5547</v>
      </c>
      <c r="C5802" s="5" t="s">
        <v>45</v>
      </c>
      <c r="D5802" s="3" t="s">
        <v>221</v>
      </c>
      <c r="E5802" s="3" t="s">
        <v>352</v>
      </c>
      <c r="F5802" s="7">
        <v>45862.158581107746</v>
      </c>
      <c r="G5802" s="3" t="s">
        <v>17252</v>
      </c>
    </row>
    <row r="5803">
      <c r="A5803" s="3" t="s">
        <v>17254</v>
      </c>
      <c r="B5803" s="3" t="s">
        <v>5547</v>
      </c>
      <c r="C5803" s="5" t="s">
        <v>221</v>
      </c>
      <c r="D5803" s="3" t="s">
        <v>614</v>
      </c>
      <c r="E5803" s="3" t="s">
        <v>118</v>
      </c>
      <c r="F5803" s="7">
        <v>45862.162053329965</v>
      </c>
      <c r="G5803" s="3" t="s">
        <v>17255</v>
      </c>
    </row>
    <row r="5804">
      <c r="A5804" s="3" t="s">
        <v>17256</v>
      </c>
      <c r="B5804" s="3" t="s">
        <v>5547</v>
      </c>
      <c r="C5804" s="5" t="s">
        <v>614</v>
      </c>
      <c r="D5804" s="3" t="s">
        <v>206</v>
      </c>
      <c r="E5804" s="3" t="s">
        <v>100</v>
      </c>
      <c r="F5804" s="7">
        <v>45862.16552555219</v>
      </c>
      <c r="G5804" s="3" t="s">
        <v>17258</v>
      </c>
    </row>
    <row r="5805">
      <c r="A5805" s="3" t="s">
        <v>17259</v>
      </c>
      <c r="B5805" s="3" t="s">
        <v>5547</v>
      </c>
      <c r="C5805" s="5" t="s">
        <v>206</v>
      </c>
      <c r="D5805" s="3" t="s">
        <v>68</v>
      </c>
      <c r="E5805" s="3" t="s">
        <v>100</v>
      </c>
      <c r="F5805" s="7">
        <v>45862.16899777441</v>
      </c>
      <c r="G5805" s="3" t="s">
        <v>17260</v>
      </c>
    </row>
    <row r="5806">
      <c r="A5806" s="3" t="s">
        <v>17261</v>
      </c>
      <c r="B5806" s="3" t="s">
        <v>5550</v>
      </c>
      <c r="C5806" s="5" t="s">
        <v>45</v>
      </c>
      <c r="D5806" s="3" t="s">
        <v>221</v>
      </c>
      <c r="E5806" s="3" t="s">
        <v>356</v>
      </c>
      <c r="F5806" s="7">
        <v>45862.229755953165</v>
      </c>
      <c r="G5806" s="3" t="s">
        <v>15629</v>
      </c>
    </row>
    <row r="5807">
      <c r="A5807" s="3" t="s">
        <v>17263</v>
      </c>
      <c r="B5807" s="3" t="s">
        <v>5550</v>
      </c>
      <c r="C5807" s="5" t="s">
        <v>221</v>
      </c>
      <c r="D5807" s="3" t="s">
        <v>614</v>
      </c>
      <c r="E5807" s="3" t="s">
        <v>118</v>
      </c>
      <c r="F5807" s="7">
        <v>45862.233228175384</v>
      </c>
      <c r="G5807" s="3" t="s">
        <v>15632</v>
      </c>
    </row>
    <row r="5808">
      <c r="A5808" s="3" t="s">
        <v>17266</v>
      </c>
      <c r="B5808" s="3" t="s">
        <v>5550</v>
      </c>
      <c r="C5808" s="5" t="s">
        <v>614</v>
      </c>
      <c r="D5808" s="3" t="s">
        <v>206</v>
      </c>
      <c r="E5808" s="3" t="s">
        <v>100</v>
      </c>
      <c r="F5808" s="7">
        <v>45862.23670039761</v>
      </c>
      <c r="G5808" s="3" t="s">
        <v>15634</v>
      </c>
    </row>
    <row r="5809">
      <c r="A5809" s="3" t="s">
        <v>17268</v>
      </c>
      <c r="B5809" s="3" t="s">
        <v>5550</v>
      </c>
      <c r="C5809" s="5" t="s">
        <v>206</v>
      </c>
      <c r="D5809" s="3" t="s">
        <v>68</v>
      </c>
      <c r="E5809" s="3" t="s">
        <v>100</v>
      </c>
      <c r="F5809" s="7">
        <v>45862.24017261983</v>
      </c>
      <c r="G5809" s="3" t="s">
        <v>15637</v>
      </c>
    </row>
    <row r="5810">
      <c r="A5810" s="3" t="s">
        <v>17270</v>
      </c>
      <c r="B5810" s="3" t="s">
        <v>5553</v>
      </c>
      <c r="C5810" s="5" t="s">
        <v>45</v>
      </c>
      <c r="D5810" s="3" t="s">
        <v>221</v>
      </c>
      <c r="E5810" s="3" t="s">
        <v>731</v>
      </c>
      <c r="F5810" s="7">
        <v>45862.30093079858</v>
      </c>
      <c r="G5810" s="3" t="s">
        <v>17271</v>
      </c>
    </row>
    <row r="5811">
      <c r="A5811" s="3" t="s">
        <v>17273</v>
      </c>
      <c r="B5811" s="3" t="s">
        <v>5553</v>
      </c>
      <c r="C5811" s="5" t="s">
        <v>221</v>
      </c>
      <c r="D5811" s="3" t="s">
        <v>614</v>
      </c>
      <c r="E5811" s="3" t="s">
        <v>118</v>
      </c>
      <c r="F5811" s="7">
        <v>45862.3044030208</v>
      </c>
      <c r="G5811" s="3" t="s">
        <v>17274</v>
      </c>
    </row>
    <row r="5812">
      <c r="A5812" s="3" t="s">
        <v>17275</v>
      </c>
      <c r="B5812" s="3" t="s">
        <v>5553</v>
      </c>
      <c r="C5812" s="5" t="s">
        <v>614</v>
      </c>
      <c r="D5812" s="3" t="s">
        <v>206</v>
      </c>
      <c r="E5812" s="3" t="s">
        <v>100</v>
      </c>
      <c r="F5812" s="7">
        <v>45862.30787524302</v>
      </c>
      <c r="G5812" s="3" t="s">
        <v>17277</v>
      </c>
    </row>
    <row r="5813">
      <c r="A5813" s="3" t="s">
        <v>17278</v>
      </c>
      <c r="B5813" s="3" t="s">
        <v>5553</v>
      </c>
      <c r="C5813" s="5" t="s">
        <v>206</v>
      </c>
      <c r="D5813" s="3" t="s">
        <v>68</v>
      </c>
      <c r="E5813" s="3" t="s">
        <v>100</v>
      </c>
      <c r="F5813" s="7">
        <v>45862.31134746524</v>
      </c>
      <c r="G5813" s="3" t="s">
        <v>17280</v>
      </c>
    </row>
    <row r="5814">
      <c r="A5814" s="3" t="s">
        <v>17281</v>
      </c>
      <c r="B5814" s="3" t="s">
        <v>5557</v>
      </c>
      <c r="C5814" s="5" t="s">
        <v>45</v>
      </c>
      <c r="D5814" s="3" t="s">
        <v>221</v>
      </c>
      <c r="E5814" s="3" t="s">
        <v>574</v>
      </c>
      <c r="F5814" s="7">
        <v>45862.37210564399</v>
      </c>
      <c r="G5814" s="3" t="s">
        <v>17283</v>
      </c>
    </row>
    <row r="5815">
      <c r="A5815" s="3" t="s">
        <v>17284</v>
      </c>
      <c r="B5815" s="3" t="s">
        <v>5557</v>
      </c>
      <c r="C5815" s="5" t="s">
        <v>221</v>
      </c>
      <c r="D5815" s="3" t="s">
        <v>614</v>
      </c>
      <c r="E5815" s="3" t="s">
        <v>118</v>
      </c>
      <c r="F5815" s="7">
        <v>45862.37557786621</v>
      </c>
      <c r="G5815" s="3" t="s">
        <v>17285</v>
      </c>
    </row>
    <row r="5816">
      <c r="A5816" s="3" t="s">
        <v>17286</v>
      </c>
      <c r="B5816" s="3" t="s">
        <v>5557</v>
      </c>
      <c r="C5816" s="5" t="s">
        <v>614</v>
      </c>
      <c r="D5816" s="3" t="s">
        <v>206</v>
      </c>
      <c r="E5816" s="3" t="s">
        <v>100</v>
      </c>
      <c r="F5816" s="7">
        <v>45862.379050088435</v>
      </c>
      <c r="G5816" s="3" t="s">
        <v>17288</v>
      </c>
    </row>
    <row r="5817">
      <c r="A5817" s="3" t="s">
        <v>17289</v>
      </c>
      <c r="B5817" s="3" t="s">
        <v>5557</v>
      </c>
      <c r="C5817" s="5" t="s">
        <v>206</v>
      </c>
      <c r="D5817" s="3" t="s">
        <v>68</v>
      </c>
      <c r="E5817" s="3" t="s">
        <v>100</v>
      </c>
      <c r="F5817" s="7">
        <v>45862.382522310654</v>
      </c>
      <c r="G5817" s="3" t="s">
        <v>17291</v>
      </c>
    </row>
    <row r="5818">
      <c r="A5818" s="3" t="s">
        <v>17292</v>
      </c>
      <c r="B5818" s="3" t="s">
        <v>5560</v>
      </c>
      <c r="C5818" s="5" t="s">
        <v>45</v>
      </c>
      <c r="D5818" s="3" t="s">
        <v>221</v>
      </c>
      <c r="E5818" s="3" t="s">
        <v>773</v>
      </c>
      <c r="F5818" s="7">
        <v>45862.44328048941</v>
      </c>
      <c r="G5818" s="3" t="s">
        <v>17294</v>
      </c>
    </row>
    <row r="5819">
      <c r="A5819" s="3" t="s">
        <v>17295</v>
      </c>
      <c r="B5819" s="3" t="s">
        <v>5560</v>
      </c>
      <c r="C5819" s="5" t="s">
        <v>221</v>
      </c>
      <c r="D5819" s="3" t="s">
        <v>614</v>
      </c>
      <c r="E5819" s="3" t="s">
        <v>118</v>
      </c>
      <c r="F5819" s="7">
        <v>45862.44675271163</v>
      </c>
      <c r="G5819" s="3" t="s">
        <v>17296</v>
      </c>
    </row>
    <row r="5820">
      <c r="A5820" s="3" t="s">
        <v>17298</v>
      </c>
      <c r="B5820" s="3" t="s">
        <v>5560</v>
      </c>
      <c r="C5820" s="5" t="s">
        <v>614</v>
      </c>
      <c r="D5820" s="3" t="s">
        <v>206</v>
      </c>
      <c r="E5820" s="3" t="s">
        <v>100</v>
      </c>
      <c r="F5820" s="7">
        <v>45862.450224933855</v>
      </c>
      <c r="G5820" s="3" t="s">
        <v>17299</v>
      </c>
    </row>
    <row r="5821">
      <c r="A5821" s="3" t="s">
        <v>17300</v>
      </c>
      <c r="B5821" s="3" t="s">
        <v>5560</v>
      </c>
      <c r="C5821" s="5" t="s">
        <v>206</v>
      </c>
      <c r="D5821" s="3" t="s">
        <v>68</v>
      </c>
      <c r="E5821" s="3" t="s">
        <v>100</v>
      </c>
      <c r="F5821" s="7">
        <v>45862.453697156074</v>
      </c>
      <c r="G5821" s="3" t="s">
        <v>17302</v>
      </c>
    </row>
    <row r="5822">
      <c r="A5822" s="3" t="s">
        <v>17303</v>
      </c>
      <c r="B5822" s="3" t="s">
        <v>5564</v>
      </c>
      <c r="C5822" s="5" t="s">
        <v>45</v>
      </c>
      <c r="D5822" s="3" t="s">
        <v>221</v>
      </c>
      <c r="E5822" s="3" t="s">
        <v>479</v>
      </c>
      <c r="F5822" s="7">
        <v>45862.51445533482</v>
      </c>
      <c r="G5822" s="3" t="s">
        <v>15970</v>
      </c>
    </row>
    <row r="5823">
      <c r="A5823" s="3" t="s">
        <v>17305</v>
      </c>
      <c r="B5823" s="3" t="s">
        <v>5564</v>
      </c>
      <c r="C5823" s="5" t="s">
        <v>221</v>
      </c>
      <c r="D5823" s="3" t="s">
        <v>614</v>
      </c>
      <c r="E5823" s="3" t="s">
        <v>118</v>
      </c>
      <c r="F5823" s="7">
        <v>45862.51792755704</v>
      </c>
      <c r="G5823" s="3" t="s">
        <v>17307</v>
      </c>
    </row>
    <row r="5824">
      <c r="A5824" s="3" t="s">
        <v>17308</v>
      </c>
      <c r="B5824" s="3" t="s">
        <v>5564</v>
      </c>
      <c r="C5824" s="5" t="s">
        <v>614</v>
      </c>
      <c r="D5824" s="3" t="s">
        <v>206</v>
      </c>
      <c r="E5824" s="3" t="s">
        <v>100</v>
      </c>
      <c r="F5824" s="7">
        <v>45862.52139977927</v>
      </c>
      <c r="G5824" s="3" t="s">
        <v>17310</v>
      </c>
    </row>
    <row r="5825">
      <c r="A5825" s="3" t="s">
        <v>17311</v>
      </c>
      <c r="B5825" s="3" t="s">
        <v>5564</v>
      </c>
      <c r="C5825" s="5" t="s">
        <v>206</v>
      </c>
      <c r="D5825" s="3" t="s">
        <v>68</v>
      </c>
      <c r="E5825" s="3" t="s">
        <v>100</v>
      </c>
      <c r="F5825" s="7">
        <v>45862.524872001486</v>
      </c>
      <c r="G5825" s="3" t="s">
        <v>17312</v>
      </c>
    </row>
    <row r="5826">
      <c r="A5826" s="3" t="s">
        <v>17313</v>
      </c>
      <c r="B5826" s="3" t="s">
        <v>5567</v>
      </c>
      <c r="C5826" s="5" t="s">
        <v>45</v>
      </c>
      <c r="D5826" s="3" t="s">
        <v>221</v>
      </c>
      <c r="E5826" s="3" t="s">
        <v>512</v>
      </c>
      <c r="F5826" s="7">
        <v>45862.585630180234</v>
      </c>
      <c r="G5826" s="3" t="s">
        <v>17315</v>
      </c>
    </row>
    <row r="5827">
      <c r="A5827" s="3" t="s">
        <v>17316</v>
      </c>
      <c r="B5827" s="3" t="s">
        <v>5567</v>
      </c>
      <c r="C5827" s="5" t="s">
        <v>221</v>
      </c>
      <c r="D5827" s="3" t="s">
        <v>195</v>
      </c>
      <c r="E5827" s="3" t="s">
        <v>512</v>
      </c>
      <c r="F5827" s="7">
        <v>45862.58910240245</v>
      </c>
      <c r="G5827" s="3" t="s">
        <v>17318</v>
      </c>
    </row>
    <row r="5828">
      <c r="A5828" s="3" t="s">
        <v>17319</v>
      </c>
      <c r="B5828" s="3" t="s">
        <v>5570</v>
      </c>
      <c r="C5828" s="5" t="s">
        <v>45</v>
      </c>
      <c r="D5828" s="3" t="s">
        <v>221</v>
      </c>
      <c r="E5828" s="3" t="s">
        <v>148</v>
      </c>
      <c r="F5828" s="7">
        <v>45862.656805025654</v>
      </c>
      <c r="G5828" s="3" t="s">
        <v>17321</v>
      </c>
    </row>
    <row r="5829">
      <c r="A5829" s="3" t="s">
        <v>17322</v>
      </c>
      <c r="B5829" s="3" t="s">
        <v>5570</v>
      </c>
      <c r="C5829" s="5" t="s">
        <v>221</v>
      </c>
      <c r="D5829" s="3" t="s">
        <v>614</v>
      </c>
      <c r="E5829" s="3" t="s">
        <v>118</v>
      </c>
      <c r="F5829" s="7">
        <v>45862.66027724787</v>
      </c>
      <c r="G5829" s="3" t="s">
        <v>17324</v>
      </c>
    </row>
    <row r="5830">
      <c r="A5830" s="3" t="s">
        <v>17325</v>
      </c>
      <c r="B5830" s="3" t="s">
        <v>5570</v>
      </c>
      <c r="C5830" s="5" t="s">
        <v>614</v>
      </c>
      <c r="D5830" s="3" t="s">
        <v>206</v>
      </c>
      <c r="E5830" s="3" t="s">
        <v>100</v>
      </c>
      <c r="F5830" s="7">
        <v>45862.6637494701</v>
      </c>
      <c r="G5830" s="3" t="s">
        <v>17327</v>
      </c>
    </row>
    <row r="5831">
      <c r="A5831" s="3" t="s">
        <v>17328</v>
      </c>
      <c r="B5831" s="3" t="s">
        <v>5570</v>
      </c>
      <c r="C5831" s="5" t="s">
        <v>206</v>
      </c>
      <c r="D5831" s="3" t="s">
        <v>68</v>
      </c>
      <c r="E5831" s="3" t="s">
        <v>100</v>
      </c>
      <c r="F5831" s="7">
        <v>45862.66722169232</v>
      </c>
      <c r="G5831" s="3" t="s">
        <v>17329</v>
      </c>
    </row>
    <row r="5832">
      <c r="A5832" s="3" t="s">
        <v>17331</v>
      </c>
      <c r="B5832" s="3" t="s">
        <v>5573</v>
      </c>
      <c r="C5832" s="5" t="s">
        <v>45</v>
      </c>
      <c r="D5832" s="3" t="s">
        <v>221</v>
      </c>
      <c r="E5832" s="3" t="s">
        <v>141</v>
      </c>
      <c r="F5832" s="7">
        <v>45862.727979871066</v>
      </c>
      <c r="G5832" s="3" t="s">
        <v>17332</v>
      </c>
    </row>
    <row r="5833">
      <c r="A5833" s="3" t="s">
        <v>17334</v>
      </c>
      <c r="B5833" s="3" t="s">
        <v>5573</v>
      </c>
      <c r="C5833" s="5" t="s">
        <v>221</v>
      </c>
      <c r="D5833" s="3" t="s">
        <v>614</v>
      </c>
      <c r="E5833" s="3" t="s">
        <v>118</v>
      </c>
      <c r="F5833" s="7">
        <v>45862.731452093285</v>
      </c>
      <c r="G5833" s="3" t="s">
        <v>17335</v>
      </c>
    </row>
    <row r="5834">
      <c r="A5834" s="3" t="s">
        <v>17336</v>
      </c>
      <c r="B5834" s="3" t="s">
        <v>5573</v>
      </c>
      <c r="C5834" s="5" t="s">
        <v>614</v>
      </c>
      <c r="D5834" s="3" t="s">
        <v>206</v>
      </c>
      <c r="E5834" s="3" t="s">
        <v>100</v>
      </c>
      <c r="F5834" s="7">
        <v>45862.73492431551</v>
      </c>
      <c r="G5834" s="3" t="s">
        <v>17338</v>
      </c>
    </row>
    <row r="5835">
      <c r="A5835" s="3" t="s">
        <v>17339</v>
      </c>
      <c r="B5835" s="3" t="s">
        <v>5573</v>
      </c>
      <c r="C5835" s="5" t="s">
        <v>206</v>
      </c>
      <c r="D5835" s="3" t="s">
        <v>68</v>
      </c>
      <c r="E5835" s="3" t="s">
        <v>100</v>
      </c>
      <c r="F5835" s="7">
        <v>45862.73839653773</v>
      </c>
      <c r="G5835" s="3" t="s">
        <v>17341</v>
      </c>
    </row>
    <row r="5836">
      <c r="A5836" s="3" t="s">
        <v>17342</v>
      </c>
      <c r="B5836" s="3" t="s">
        <v>5576</v>
      </c>
      <c r="C5836" s="5" t="s">
        <v>45</v>
      </c>
      <c r="D5836" s="3" t="s">
        <v>221</v>
      </c>
      <c r="E5836" s="3" t="s">
        <v>655</v>
      </c>
      <c r="F5836" s="7">
        <v>45862.79915471648</v>
      </c>
      <c r="G5836" s="3" t="s">
        <v>17343</v>
      </c>
    </row>
    <row r="5837">
      <c r="A5837" s="3" t="s">
        <v>17345</v>
      </c>
      <c r="B5837" s="3" t="s">
        <v>5576</v>
      </c>
      <c r="C5837" s="5" t="s">
        <v>221</v>
      </c>
      <c r="D5837" s="3" t="s">
        <v>614</v>
      </c>
      <c r="E5837" s="3" t="s">
        <v>118</v>
      </c>
      <c r="F5837" s="7">
        <v>45862.8026269387</v>
      </c>
      <c r="G5837" s="3" t="s">
        <v>17346</v>
      </c>
    </row>
    <row r="5838">
      <c r="A5838" s="3" t="s">
        <v>17347</v>
      </c>
      <c r="B5838" s="3" t="s">
        <v>5576</v>
      </c>
      <c r="C5838" s="5" t="s">
        <v>614</v>
      </c>
      <c r="D5838" s="3" t="s">
        <v>206</v>
      </c>
      <c r="E5838" s="3" t="s">
        <v>100</v>
      </c>
      <c r="F5838" s="7">
        <v>45862.80609916092</v>
      </c>
      <c r="G5838" s="3" t="s">
        <v>17349</v>
      </c>
    </row>
    <row r="5839">
      <c r="A5839" s="3" t="s">
        <v>17350</v>
      </c>
      <c r="B5839" s="3" t="s">
        <v>5576</v>
      </c>
      <c r="C5839" s="5" t="s">
        <v>206</v>
      </c>
      <c r="D5839" s="3" t="s">
        <v>68</v>
      </c>
      <c r="E5839" s="3" t="s">
        <v>100</v>
      </c>
      <c r="F5839" s="7">
        <v>45862.80957138314</v>
      </c>
      <c r="G5839" s="3" t="s">
        <v>17352</v>
      </c>
    </row>
    <row r="5840">
      <c r="A5840" s="3" t="s">
        <v>17353</v>
      </c>
      <c r="B5840" s="3" t="s">
        <v>5579</v>
      </c>
      <c r="C5840" s="5" t="s">
        <v>45</v>
      </c>
      <c r="D5840" s="3" t="s">
        <v>221</v>
      </c>
      <c r="E5840" s="3" t="s">
        <v>296</v>
      </c>
      <c r="F5840" s="7">
        <v>45862.8703295619</v>
      </c>
      <c r="G5840" s="3" t="s">
        <v>17355</v>
      </c>
    </row>
    <row r="5841">
      <c r="A5841" s="3" t="s">
        <v>17356</v>
      </c>
      <c r="B5841" s="3" t="s">
        <v>5579</v>
      </c>
      <c r="C5841" s="5" t="s">
        <v>221</v>
      </c>
      <c r="D5841" s="3" t="s">
        <v>614</v>
      </c>
      <c r="E5841" s="3" t="s">
        <v>118</v>
      </c>
      <c r="F5841" s="7">
        <v>45862.87380178412</v>
      </c>
      <c r="G5841" s="3" t="s">
        <v>17357</v>
      </c>
    </row>
    <row r="5842">
      <c r="A5842" s="3" t="s">
        <v>17359</v>
      </c>
      <c r="B5842" s="3" t="s">
        <v>5579</v>
      </c>
      <c r="C5842" s="5" t="s">
        <v>614</v>
      </c>
      <c r="D5842" s="3" t="s">
        <v>206</v>
      </c>
      <c r="E5842" s="3" t="s">
        <v>100</v>
      </c>
      <c r="F5842" s="7">
        <v>45862.87727400634</v>
      </c>
      <c r="G5842" s="3" t="s">
        <v>17360</v>
      </c>
    </row>
    <row r="5843">
      <c r="A5843" s="3" t="s">
        <v>17361</v>
      </c>
      <c r="B5843" s="3" t="s">
        <v>5579</v>
      </c>
      <c r="C5843" s="5" t="s">
        <v>206</v>
      </c>
      <c r="D5843" s="3" t="s">
        <v>68</v>
      </c>
      <c r="E5843" s="3" t="s">
        <v>100</v>
      </c>
      <c r="F5843" s="7">
        <v>45862.88074622856</v>
      </c>
      <c r="G5843" s="3" t="s">
        <v>17363</v>
      </c>
    </row>
    <row r="5844">
      <c r="A5844" s="3" t="s">
        <v>17364</v>
      </c>
      <c r="B5844" s="3" t="s">
        <v>5583</v>
      </c>
      <c r="C5844" s="5" t="s">
        <v>45</v>
      </c>
      <c r="D5844" s="3" t="s">
        <v>221</v>
      </c>
      <c r="E5844" s="3" t="s">
        <v>758</v>
      </c>
      <c r="F5844" s="7">
        <v>45862.94150440732</v>
      </c>
      <c r="G5844" s="3" t="s">
        <v>15829</v>
      </c>
    </row>
    <row r="5845">
      <c r="A5845" s="3" t="s">
        <v>17366</v>
      </c>
      <c r="B5845" s="3" t="s">
        <v>5583</v>
      </c>
      <c r="C5845" s="5" t="s">
        <v>221</v>
      </c>
      <c r="D5845" s="3" t="s">
        <v>614</v>
      </c>
      <c r="E5845" s="3" t="s">
        <v>118</v>
      </c>
      <c r="F5845" s="7">
        <v>45862.94497662954</v>
      </c>
      <c r="G5845" s="3" t="s">
        <v>17368</v>
      </c>
    </row>
    <row r="5846">
      <c r="A5846" s="3" t="s">
        <v>17369</v>
      </c>
      <c r="B5846" s="3" t="s">
        <v>5583</v>
      </c>
      <c r="C5846" s="5" t="s">
        <v>614</v>
      </c>
      <c r="D5846" s="3" t="s">
        <v>206</v>
      </c>
      <c r="E5846" s="3" t="s">
        <v>100</v>
      </c>
      <c r="F5846" s="7">
        <v>45862.94844885176</v>
      </c>
      <c r="G5846" s="3" t="s">
        <v>17371</v>
      </c>
    </row>
    <row r="5847">
      <c r="A5847" s="3" t="s">
        <v>17372</v>
      </c>
      <c r="B5847" s="3" t="s">
        <v>5583</v>
      </c>
      <c r="C5847" s="5" t="s">
        <v>206</v>
      </c>
      <c r="D5847" s="3" t="s">
        <v>68</v>
      </c>
      <c r="E5847" s="3" t="s">
        <v>100</v>
      </c>
      <c r="F5847" s="7">
        <v>45862.95192107398</v>
      </c>
      <c r="G5847" s="3" t="s">
        <v>17373</v>
      </c>
    </row>
    <row r="5848">
      <c r="A5848" s="3" t="s">
        <v>17375</v>
      </c>
      <c r="B5848" s="3" t="s">
        <v>5586</v>
      </c>
      <c r="C5848" s="5" t="s">
        <v>45</v>
      </c>
      <c r="D5848" s="3" t="s">
        <v>221</v>
      </c>
      <c r="E5848" s="3" t="s">
        <v>870</v>
      </c>
      <c r="F5848" s="7">
        <v>45863.01267925272</v>
      </c>
      <c r="G5848" s="3" t="s">
        <v>17376</v>
      </c>
    </row>
    <row r="5849">
      <c r="A5849" s="3" t="s">
        <v>17377</v>
      </c>
      <c r="B5849" s="3" t="s">
        <v>5586</v>
      </c>
      <c r="C5849" s="5" t="s">
        <v>221</v>
      </c>
      <c r="D5849" s="3" t="s">
        <v>614</v>
      </c>
      <c r="E5849" s="3" t="s">
        <v>118</v>
      </c>
      <c r="F5849" s="7">
        <v>45863.01615147494</v>
      </c>
      <c r="G5849" s="3" t="s">
        <v>17379</v>
      </c>
    </row>
    <row r="5850">
      <c r="A5850" s="3" t="s">
        <v>17380</v>
      </c>
      <c r="B5850" s="3" t="s">
        <v>5586</v>
      </c>
      <c r="C5850" s="5" t="s">
        <v>614</v>
      </c>
      <c r="D5850" s="3" t="s">
        <v>206</v>
      </c>
      <c r="E5850" s="3" t="s">
        <v>100</v>
      </c>
      <c r="F5850" s="7">
        <v>45863.01962369717</v>
      </c>
      <c r="G5850" s="3" t="s">
        <v>17382</v>
      </c>
    </row>
    <row r="5851">
      <c r="A5851" s="3" t="s">
        <v>17383</v>
      </c>
      <c r="B5851" s="3" t="s">
        <v>5586</v>
      </c>
      <c r="C5851" s="5" t="s">
        <v>206</v>
      </c>
      <c r="D5851" s="3" t="s">
        <v>68</v>
      </c>
      <c r="E5851" s="3" t="s">
        <v>100</v>
      </c>
      <c r="F5851" s="7">
        <v>45863.02309591939</v>
      </c>
      <c r="G5851" s="3" t="s">
        <v>17385</v>
      </c>
    </row>
    <row r="5852">
      <c r="A5852" s="3" t="s">
        <v>17386</v>
      </c>
      <c r="B5852" s="3" t="s">
        <v>5590</v>
      </c>
      <c r="C5852" s="5" t="s">
        <v>45</v>
      </c>
      <c r="D5852" s="3" t="s">
        <v>221</v>
      </c>
      <c r="E5852" s="3" t="s">
        <v>949</v>
      </c>
      <c r="F5852" s="7">
        <v>45863.08385409814</v>
      </c>
      <c r="G5852" s="3" t="s">
        <v>17388</v>
      </c>
    </row>
    <row r="5853">
      <c r="A5853" s="3" t="s">
        <v>17389</v>
      </c>
      <c r="B5853" s="3" t="s">
        <v>5590</v>
      </c>
      <c r="C5853" s="5" t="s">
        <v>221</v>
      </c>
      <c r="D5853" s="3" t="s">
        <v>614</v>
      </c>
      <c r="E5853" s="3" t="s">
        <v>118</v>
      </c>
      <c r="F5853" s="7">
        <v>45863.08732632036</v>
      </c>
      <c r="G5853" s="3" t="s">
        <v>17391</v>
      </c>
    </row>
    <row r="5854">
      <c r="A5854" s="3" t="s">
        <v>17392</v>
      </c>
      <c r="B5854" s="3" t="s">
        <v>5590</v>
      </c>
      <c r="C5854" s="5" t="s">
        <v>614</v>
      </c>
      <c r="D5854" s="3" t="s">
        <v>206</v>
      </c>
      <c r="E5854" s="3" t="s">
        <v>100</v>
      </c>
      <c r="F5854" s="7">
        <v>45863.09079854259</v>
      </c>
      <c r="G5854" s="3" t="s">
        <v>17393</v>
      </c>
    </row>
    <row r="5855">
      <c r="A5855" s="3" t="s">
        <v>17395</v>
      </c>
      <c r="B5855" s="3" t="s">
        <v>5590</v>
      </c>
      <c r="C5855" s="5" t="s">
        <v>206</v>
      </c>
      <c r="D5855" s="3" t="s">
        <v>68</v>
      </c>
      <c r="E5855" s="3" t="s">
        <v>100</v>
      </c>
      <c r="F5855" s="7">
        <v>45863.09427076481</v>
      </c>
      <c r="G5855" s="3" t="s">
        <v>17396</v>
      </c>
    </row>
    <row r="5856">
      <c r="A5856" s="3" t="s">
        <v>17397</v>
      </c>
      <c r="B5856" s="3" t="s">
        <v>5593</v>
      </c>
      <c r="C5856" s="5" t="s">
        <v>45</v>
      </c>
      <c r="D5856" s="3" t="s">
        <v>221</v>
      </c>
      <c r="E5856" s="3" t="s">
        <v>440</v>
      </c>
      <c r="F5856" s="7">
        <v>45863.15502894356</v>
      </c>
      <c r="G5856" s="3" t="s">
        <v>17401</v>
      </c>
    </row>
    <row r="5857">
      <c r="A5857" s="3" t="s">
        <v>17402</v>
      </c>
      <c r="B5857" s="3" t="s">
        <v>5593</v>
      </c>
      <c r="C5857" s="5" t="s">
        <v>221</v>
      </c>
      <c r="D5857" s="3" t="s">
        <v>614</v>
      </c>
      <c r="E5857" s="3" t="s">
        <v>118</v>
      </c>
      <c r="F5857" s="7">
        <v>45863.15850116578</v>
      </c>
      <c r="G5857" s="3" t="s">
        <v>17404</v>
      </c>
    </row>
    <row r="5858">
      <c r="A5858" s="3" t="s">
        <v>17405</v>
      </c>
      <c r="B5858" s="3" t="s">
        <v>5593</v>
      </c>
      <c r="C5858" s="5" t="s">
        <v>614</v>
      </c>
      <c r="D5858" s="3" t="s">
        <v>206</v>
      </c>
      <c r="E5858" s="3" t="s">
        <v>100</v>
      </c>
      <c r="F5858" s="7">
        <v>45863.16197338801</v>
      </c>
      <c r="G5858" s="3" t="s">
        <v>17407</v>
      </c>
    </row>
    <row r="5859">
      <c r="A5859" s="3" t="s">
        <v>17408</v>
      </c>
      <c r="B5859" s="3" t="s">
        <v>5593</v>
      </c>
      <c r="C5859" s="5" t="s">
        <v>206</v>
      </c>
      <c r="D5859" s="3" t="s">
        <v>68</v>
      </c>
      <c r="E5859" s="3" t="s">
        <v>100</v>
      </c>
      <c r="F5859" s="7">
        <v>45863.165445610226</v>
      </c>
      <c r="G5859" s="3" t="s">
        <v>17410</v>
      </c>
    </row>
    <row r="5860">
      <c r="A5860" s="3" t="s">
        <v>17411</v>
      </c>
      <c r="B5860" s="3" t="s">
        <v>5596</v>
      </c>
      <c r="C5860" s="5" t="s">
        <v>45</v>
      </c>
      <c r="D5860" s="3" t="s">
        <v>221</v>
      </c>
      <c r="E5860" s="3" t="s">
        <v>672</v>
      </c>
      <c r="F5860" s="7">
        <v>45863.226203788974</v>
      </c>
      <c r="G5860" s="3" t="s">
        <v>17413</v>
      </c>
    </row>
    <row r="5861">
      <c r="A5861" s="3" t="s">
        <v>17414</v>
      </c>
      <c r="B5861" s="3" t="s">
        <v>5596</v>
      </c>
      <c r="C5861" s="5" t="s">
        <v>221</v>
      </c>
      <c r="D5861" s="3" t="s">
        <v>614</v>
      </c>
      <c r="E5861" s="3" t="s">
        <v>118</v>
      </c>
      <c r="F5861" s="7">
        <v>45863.22967601119</v>
      </c>
      <c r="G5861" s="3" t="s">
        <v>17415</v>
      </c>
    </row>
    <row r="5862">
      <c r="A5862" s="3" t="s">
        <v>17416</v>
      </c>
      <c r="B5862" s="3" t="s">
        <v>5596</v>
      </c>
      <c r="C5862" s="5" t="s">
        <v>614</v>
      </c>
      <c r="D5862" s="3" t="s">
        <v>206</v>
      </c>
      <c r="E5862" s="3" t="s">
        <v>100</v>
      </c>
      <c r="F5862" s="7">
        <v>45863.23314823342</v>
      </c>
      <c r="G5862" s="3" t="s">
        <v>17418</v>
      </c>
    </row>
    <row r="5863">
      <c r="A5863" s="3" t="s">
        <v>17419</v>
      </c>
      <c r="B5863" s="3" t="s">
        <v>5596</v>
      </c>
      <c r="C5863" s="5" t="s">
        <v>206</v>
      </c>
      <c r="D5863" s="3" t="s">
        <v>68</v>
      </c>
      <c r="E5863" s="3" t="s">
        <v>100</v>
      </c>
      <c r="F5863" s="7">
        <v>45863.23662045564</v>
      </c>
      <c r="G5863" s="3" t="s">
        <v>17421</v>
      </c>
    </row>
    <row r="5864">
      <c r="A5864" s="3" t="s">
        <v>17422</v>
      </c>
      <c r="B5864" s="3" t="s">
        <v>5599</v>
      </c>
      <c r="C5864" s="5" t="s">
        <v>45</v>
      </c>
      <c r="D5864" s="3" t="s">
        <v>221</v>
      </c>
      <c r="E5864" s="3" t="s">
        <v>678</v>
      </c>
      <c r="F5864" s="7">
        <v>45863.29737863439</v>
      </c>
      <c r="G5864" s="3" t="s">
        <v>16178</v>
      </c>
    </row>
    <row r="5865">
      <c r="A5865" s="3" t="s">
        <v>17424</v>
      </c>
      <c r="B5865" s="3" t="s">
        <v>5599</v>
      </c>
      <c r="C5865" s="5" t="s">
        <v>221</v>
      </c>
      <c r="D5865" s="3" t="s">
        <v>614</v>
      </c>
      <c r="E5865" s="3" t="s">
        <v>118</v>
      </c>
      <c r="F5865" s="7">
        <v>45863.300850856605</v>
      </c>
      <c r="G5865" s="3" t="s">
        <v>16181</v>
      </c>
    </row>
    <row r="5866">
      <c r="A5866" s="3" t="s">
        <v>17426</v>
      </c>
      <c r="B5866" s="3" t="s">
        <v>5599</v>
      </c>
      <c r="C5866" s="5" t="s">
        <v>614</v>
      </c>
      <c r="D5866" s="3" t="s">
        <v>206</v>
      </c>
      <c r="E5866" s="3" t="s">
        <v>100</v>
      </c>
      <c r="F5866" s="7">
        <v>45863.30432307883</v>
      </c>
      <c r="G5866" s="3" t="s">
        <v>16184</v>
      </c>
    </row>
    <row r="5867">
      <c r="A5867" s="3" t="s">
        <v>17428</v>
      </c>
      <c r="B5867" s="3" t="s">
        <v>5599</v>
      </c>
      <c r="C5867" s="5" t="s">
        <v>206</v>
      </c>
      <c r="D5867" s="3" t="s">
        <v>68</v>
      </c>
      <c r="E5867" s="3" t="s">
        <v>100</v>
      </c>
      <c r="F5867" s="7">
        <v>45863.30779530105</v>
      </c>
      <c r="G5867" s="3" t="s">
        <v>16186</v>
      </c>
    </row>
    <row r="5868">
      <c r="A5868" s="3" t="s">
        <v>17429</v>
      </c>
      <c r="B5868" s="3" t="s">
        <v>5602</v>
      </c>
      <c r="C5868" s="5" t="s">
        <v>45</v>
      </c>
      <c r="D5868" s="3" t="s">
        <v>221</v>
      </c>
      <c r="E5868" s="3" t="s">
        <v>449</v>
      </c>
      <c r="F5868" s="7">
        <v>45863.368553479806</v>
      </c>
      <c r="G5868" s="3" t="s">
        <v>17431</v>
      </c>
    </row>
    <row r="5869">
      <c r="A5869" s="3" t="s">
        <v>17432</v>
      </c>
      <c r="B5869" s="3" t="s">
        <v>5602</v>
      </c>
      <c r="C5869" s="5" t="s">
        <v>221</v>
      </c>
      <c r="D5869" s="3" t="s">
        <v>614</v>
      </c>
      <c r="E5869" s="3" t="s">
        <v>118</v>
      </c>
      <c r="F5869" s="7">
        <v>45863.372025702025</v>
      </c>
      <c r="G5869" s="3" t="s">
        <v>17435</v>
      </c>
    </row>
    <row r="5870">
      <c r="A5870" s="3" t="s">
        <v>17436</v>
      </c>
      <c r="B5870" s="3" t="s">
        <v>5602</v>
      </c>
      <c r="C5870" s="5" t="s">
        <v>614</v>
      </c>
      <c r="D5870" s="3" t="s">
        <v>206</v>
      </c>
      <c r="E5870" s="3" t="s">
        <v>100</v>
      </c>
      <c r="F5870" s="7">
        <v>45863.37549792425</v>
      </c>
      <c r="G5870" s="3" t="s">
        <v>17438</v>
      </c>
    </row>
    <row r="5871">
      <c r="A5871" s="3" t="s">
        <v>17439</v>
      </c>
      <c r="B5871" s="3" t="s">
        <v>5602</v>
      </c>
      <c r="C5871" s="5" t="s">
        <v>206</v>
      </c>
      <c r="D5871" s="3" t="s">
        <v>68</v>
      </c>
      <c r="E5871" s="3" t="s">
        <v>100</v>
      </c>
      <c r="F5871" s="7">
        <v>45863.37897014647</v>
      </c>
      <c r="G5871" s="3" t="s">
        <v>17440</v>
      </c>
    </row>
    <row r="5872">
      <c r="A5872" s="3" t="s">
        <v>17442</v>
      </c>
      <c r="B5872" s="3" t="s">
        <v>5605</v>
      </c>
      <c r="C5872" s="5" t="s">
        <v>45</v>
      </c>
      <c r="D5872" s="3" t="s">
        <v>221</v>
      </c>
      <c r="E5872" s="3" t="s">
        <v>269</v>
      </c>
      <c r="F5872" s="7">
        <v>45863.43972832522</v>
      </c>
      <c r="G5872" s="3" t="s">
        <v>17443</v>
      </c>
    </row>
    <row r="5873">
      <c r="A5873" s="3" t="s">
        <v>17444</v>
      </c>
      <c r="B5873" s="3" t="s">
        <v>5605</v>
      </c>
      <c r="C5873" s="5" t="s">
        <v>221</v>
      </c>
      <c r="D5873" s="3" t="s">
        <v>614</v>
      </c>
      <c r="E5873" s="3" t="s">
        <v>118</v>
      </c>
      <c r="F5873" s="7">
        <v>45863.44320054744</v>
      </c>
      <c r="G5873" s="3" t="s">
        <v>17446</v>
      </c>
    </row>
    <row r="5874">
      <c r="A5874" s="3" t="s">
        <v>17447</v>
      </c>
      <c r="B5874" s="3" t="s">
        <v>5605</v>
      </c>
      <c r="C5874" s="5" t="s">
        <v>614</v>
      </c>
      <c r="D5874" s="3" t="s">
        <v>206</v>
      </c>
      <c r="E5874" s="3" t="s">
        <v>100</v>
      </c>
      <c r="F5874" s="7">
        <v>45863.44667276966</v>
      </c>
      <c r="G5874" s="3" t="s">
        <v>17449</v>
      </c>
    </row>
    <row r="5875">
      <c r="A5875" s="3" t="s">
        <v>17450</v>
      </c>
      <c r="B5875" s="3" t="s">
        <v>5605</v>
      </c>
      <c r="C5875" s="5" t="s">
        <v>206</v>
      </c>
      <c r="D5875" s="3" t="s">
        <v>68</v>
      </c>
      <c r="E5875" s="3" t="s">
        <v>100</v>
      </c>
      <c r="F5875" s="7">
        <v>45863.45014499188</v>
      </c>
      <c r="G5875" s="3" t="s">
        <v>17452</v>
      </c>
    </row>
    <row r="5876">
      <c r="A5876" s="3" t="s">
        <v>17453</v>
      </c>
      <c r="B5876" s="3" t="s">
        <v>5608</v>
      </c>
      <c r="C5876" s="5" t="s">
        <v>45</v>
      </c>
      <c r="D5876" s="3" t="s">
        <v>221</v>
      </c>
      <c r="E5876" s="3" t="s">
        <v>1040</v>
      </c>
      <c r="F5876" s="7">
        <v>45863.51090317063</v>
      </c>
      <c r="G5876" s="3" t="s">
        <v>8181</v>
      </c>
    </row>
    <row r="5877">
      <c r="A5877" s="3" t="s">
        <v>17455</v>
      </c>
      <c r="B5877" s="3" t="s">
        <v>5608</v>
      </c>
      <c r="C5877" s="5" t="s">
        <v>221</v>
      </c>
      <c r="D5877" s="3" t="s">
        <v>614</v>
      </c>
      <c r="E5877" s="3" t="s">
        <v>118</v>
      </c>
      <c r="F5877" s="7">
        <v>45863.51437539285</v>
      </c>
      <c r="G5877" s="3" t="s">
        <v>11205</v>
      </c>
    </row>
    <row r="5878">
      <c r="A5878" s="3" t="s">
        <v>17456</v>
      </c>
      <c r="B5878" s="3" t="s">
        <v>5608</v>
      </c>
      <c r="C5878" s="5" t="s">
        <v>614</v>
      </c>
      <c r="D5878" s="3" t="s">
        <v>206</v>
      </c>
      <c r="E5878" s="3" t="s">
        <v>100</v>
      </c>
      <c r="F5878" s="7">
        <v>45863.517847615076</v>
      </c>
      <c r="G5878" s="3" t="s">
        <v>11208</v>
      </c>
    </row>
    <row r="5879">
      <c r="A5879" s="3" t="s">
        <v>17458</v>
      </c>
      <c r="B5879" s="3" t="s">
        <v>5608</v>
      </c>
      <c r="C5879" s="5" t="s">
        <v>206</v>
      </c>
      <c r="D5879" s="3" t="s">
        <v>68</v>
      </c>
      <c r="E5879" s="3" t="s">
        <v>100</v>
      </c>
      <c r="F5879" s="7">
        <v>45863.521319837295</v>
      </c>
      <c r="G5879" s="3" t="s">
        <v>11211</v>
      </c>
    </row>
    <row r="5880">
      <c r="A5880" s="3" t="s">
        <v>17460</v>
      </c>
      <c r="B5880" s="3" t="s">
        <v>5611</v>
      </c>
      <c r="C5880" s="5" t="s">
        <v>45</v>
      </c>
      <c r="D5880" s="3" t="s">
        <v>221</v>
      </c>
      <c r="E5880" s="3" t="s">
        <v>584</v>
      </c>
      <c r="F5880" s="7">
        <v>45863.58207801605</v>
      </c>
      <c r="G5880" s="3" t="s">
        <v>17462</v>
      </c>
    </row>
    <row r="5881">
      <c r="A5881" s="3" t="s">
        <v>17463</v>
      </c>
      <c r="B5881" s="3" t="s">
        <v>5611</v>
      </c>
      <c r="C5881" s="5" t="s">
        <v>221</v>
      </c>
      <c r="D5881" s="3" t="s">
        <v>614</v>
      </c>
      <c r="E5881" s="3" t="s">
        <v>118</v>
      </c>
      <c r="F5881" s="7">
        <v>45863.58555023827</v>
      </c>
      <c r="G5881" s="3" t="s">
        <v>17465</v>
      </c>
    </row>
    <row r="5882">
      <c r="A5882" s="3" t="s">
        <v>17466</v>
      </c>
      <c r="B5882" s="3" t="s">
        <v>5611</v>
      </c>
      <c r="C5882" s="5" t="s">
        <v>614</v>
      </c>
      <c r="D5882" s="3" t="s">
        <v>206</v>
      </c>
      <c r="E5882" s="3" t="s">
        <v>100</v>
      </c>
      <c r="F5882" s="7">
        <v>45863.589022460495</v>
      </c>
      <c r="G5882" s="3" t="s">
        <v>17468</v>
      </c>
    </row>
    <row r="5883">
      <c r="A5883" s="3" t="s">
        <v>17469</v>
      </c>
      <c r="B5883" s="3" t="s">
        <v>5611</v>
      </c>
      <c r="C5883" s="5" t="s">
        <v>206</v>
      </c>
      <c r="D5883" s="3" t="s">
        <v>68</v>
      </c>
      <c r="E5883" s="3" t="s">
        <v>100</v>
      </c>
      <c r="F5883" s="7">
        <v>45863.592494682714</v>
      </c>
      <c r="G5883" s="3" t="s">
        <v>17470</v>
      </c>
    </row>
    <row r="5884">
      <c r="A5884" s="3" t="s">
        <v>17472</v>
      </c>
      <c r="B5884" s="3" t="s">
        <v>5616</v>
      </c>
      <c r="C5884" s="5" t="s">
        <v>45</v>
      </c>
      <c r="D5884" s="3" t="s">
        <v>221</v>
      </c>
      <c r="E5884" s="3" t="s">
        <v>505</v>
      </c>
      <c r="F5884" s="7">
        <v>45863.65325286146</v>
      </c>
      <c r="G5884" s="3" t="s">
        <v>17473</v>
      </c>
    </row>
    <row r="5885">
      <c r="A5885" s="3" t="s">
        <v>17474</v>
      </c>
      <c r="B5885" s="3" t="s">
        <v>5616</v>
      </c>
      <c r="C5885" s="5" t="s">
        <v>221</v>
      </c>
      <c r="D5885" s="3" t="s">
        <v>614</v>
      </c>
      <c r="E5885" s="3" t="s">
        <v>118</v>
      </c>
      <c r="F5885" s="7">
        <v>45863.65672508368</v>
      </c>
      <c r="G5885" s="3" t="s">
        <v>17476</v>
      </c>
    </row>
    <row r="5886">
      <c r="A5886" s="3" t="s">
        <v>17477</v>
      </c>
      <c r="B5886" s="3" t="s">
        <v>5616</v>
      </c>
      <c r="C5886" s="5" t="s">
        <v>614</v>
      </c>
      <c r="D5886" s="3" t="s">
        <v>206</v>
      </c>
      <c r="E5886" s="3" t="s">
        <v>100</v>
      </c>
      <c r="F5886" s="7">
        <v>45863.66019730591</v>
      </c>
      <c r="G5886" s="3" t="s">
        <v>17479</v>
      </c>
    </row>
    <row r="5887">
      <c r="A5887" s="3" t="s">
        <v>17480</v>
      </c>
      <c r="B5887" s="3" t="s">
        <v>5616</v>
      </c>
      <c r="C5887" s="5" t="s">
        <v>206</v>
      </c>
      <c r="D5887" s="3" t="s">
        <v>68</v>
      </c>
      <c r="E5887" s="3" t="s">
        <v>100</v>
      </c>
      <c r="F5887" s="7">
        <v>45863.66366952813</v>
      </c>
      <c r="G5887" s="3" t="s">
        <v>17482</v>
      </c>
    </row>
    <row r="5888">
      <c r="A5888" s="3" t="s">
        <v>17483</v>
      </c>
      <c r="B5888" s="3" t="s">
        <v>5619</v>
      </c>
      <c r="C5888" s="5" t="s">
        <v>45</v>
      </c>
      <c r="D5888" s="3" t="s">
        <v>221</v>
      </c>
      <c r="E5888" s="3" t="s">
        <v>601</v>
      </c>
      <c r="F5888" s="7">
        <v>45863.724427706875</v>
      </c>
      <c r="G5888" s="3" t="s">
        <v>17484</v>
      </c>
    </row>
    <row r="5889">
      <c r="A5889" s="3" t="s">
        <v>17486</v>
      </c>
      <c r="B5889" s="3" t="s">
        <v>5619</v>
      </c>
      <c r="C5889" s="5" t="s">
        <v>221</v>
      </c>
      <c r="D5889" s="3" t="s">
        <v>614</v>
      </c>
      <c r="E5889" s="3" t="s">
        <v>118</v>
      </c>
      <c r="F5889" s="7">
        <v>45863.727899929094</v>
      </c>
      <c r="G5889" s="3" t="s">
        <v>17487</v>
      </c>
    </row>
    <row r="5890">
      <c r="A5890" s="3" t="s">
        <v>17488</v>
      </c>
      <c r="B5890" s="3" t="s">
        <v>5619</v>
      </c>
      <c r="C5890" s="5" t="s">
        <v>614</v>
      </c>
      <c r="D5890" s="3" t="s">
        <v>206</v>
      </c>
      <c r="E5890" s="3" t="s">
        <v>100</v>
      </c>
      <c r="F5890" s="7">
        <v>45863.73137215132</v>
      </c>
      <c r="G5890" s="3" t="s">
        <v>17490</v>
      </c>
    </row>
    <row r="5891">
      <c r="A5891" s="3" t="s">
        <v>17491</v>
      </c>
      <c r="B5891" s="3" t="s">
        <v>5619</v>
      </c>
      <c r="C5891" s="5" t="s">
        <v>206</v>
      </c>
      <c r="D5891" s="3" t="s">
        <v>68</v>
      </c>
      <c r="E5891" s="3" t="s">
        <v>100</v>
      </c>
      <c r="F5891" s="7">
        <v>45863.73484437354</v>
      </c>
      <c r="G5891" s="3" t="s">
        <v>17493</v>
      </c>
    </row>
    <row r="5892">
      <c r="A5892" s="3" t="s">
        <v>17494</v>
      </c>
      <c r="B5892" s="3" t="s">
        <v>5622</v>
      </c>
      <c r="C5892" s="5" t="s">
        <v>45</v>
      </c>
      <c r="D5892" s="3" t="s">
        <v>221</v>
      </c>
      <c r="E5892" s="3" t="s">
        <v>727</v>
      </c>
      <c r="F5892" s="7">
        <v>45863.795602552294</v>
      </c>
      <c r="G5892" s="3" t="s">
        <v>11723</v>
      </c>
    </row>
    <row r="5893">
      <c r="A5893" s="3" t="s">
        <v>17496</v>
      </c>
      <c r="B5893" s="3" t="s">
        <v>5622</v>
      </c>
      <c r="C5893" s="5" t="s">
        <v>221</v>
      </c>
      <c r="D5893" s="3" t="s">
        <v>614</v>
      </c>
      <c r="E5893" s="3" t="s">
        <v>118</v>
      </c>
      <c r="F5893" s="7">
        <v>45863.79907477451</v>
      </c>
      <c r="G5893" s="3" t="s">
        <v>11725</v>
      </c>
    </row>
    <row r="5894">
      <c r="A5894" s="3" t="s">
        <v>17498</v>
      </c>
      <c r="B5894" s="3" t="s">
        <v>5622</v>
      </c>
      <c r="C5894" s="5" t="s">
        <v>614</v>
      </c>
      <c r="D5894" s="3" t="s">
        <v>206</v>
      </c>
      <c r="E5894" s="3" t="s">
        <v>100</v>
      </c>
      <c r="F5894" s="7">
        <v>45863.80254699674</v>
      </c>
      <c r="G5894" s="3" t="s">
        <v>11728</v>
      </c>
    </row>
    <row r="5895">
      <c r="A5895" s="3" t="s">
        <v>17499</v>
      </c>
      <c r="B5895" s="3" t="s">
        <v>5622</v>
      </c>
      <c r="C5895" s="5" t="s">
        <v>206</v>
      </c>
      <c r="D5895" s="3" t="s">
        <v>68</v>
      </c>
      <c r="E5895" s="3" t="s">
        <v>100</v>
      </c>
      <c r="F5895" s="7">
        <v>45863.80601921896</v>
      </c>
      <c r="G5895" s="3" t="s">
        <v>11731</v>
      </c>
    </row>
    <row r="5896">
      <c r="A5896" s="3" t="s">
        <v>17501</v>
      </c>
      <c r="B5896" s="3" t="s">
        <v>5628</v>
      </c>
      <c r="C5896" s="5" t="s">
        <v>45</v>
      </c>
      <c r="D5896" s="3" t="s">
        <v>221</v>
      </c>
      <c r="E5896" s="3" t="s">
        <v>830</v>
      </c>
      <c r="F5896" s="7">
        <v>45863.86677739771</v>
      </c>
      <c r="G5896" s="3" t="s">
        <v>17503</v>
      </c>
    </row>
    <row r="5897">
      <c r="A5897" s="3" t="s">
        <v>17504</v>
      </c>
      <c r="B5897" s="3" t="s">
        <v>5628</v>
      </c>
      <c r="C5897" s="5" t="s">
        <v>221</v>
      </c>
      <c r="D5897" s="3" t="s">
        <v>614</v>
      </c>
      <c r="E5897" s="3" t="s">
        <v>118</v>
      </c>
      <c r="F5897" s="7">
        <v>45863.870249619926</v>
      </c>
      <c r="G5897" s="3" t="s">
        <v>17506</v>
      </c>
    </row>
    <row r="5898">
      <c r="A5898" s="3" t="s">
        <v>17507</v>
      </c>
      <c r="B5898" s="3" t="s">
        <v>5628</v>
      </c>
      <c r="C5898" s="5" t="s">
        <v>614</v>
      </c>
      <c r="D5898" s="3" t="s">
        <v>206</v>
      </c>
      <c r="E5898" s="3" t="s">
        <v>100</v>
      </c>
      <c r="F5898" s="7">
        <v>45863.87372184215</v>
      </c>
      <c r="G5898" s="3" t="s">
        <v>17509</v>
      </c>
    </row>
    <row r="5899">
      <c r="A5899" s="3" t="s">
        <v>17510</v>
      </c>
      <c r="B5899" s="3" t="s">
        <v>5628</v>
      </c>
      <c r="C5899" s="5" t="s">
        <v>206</v>
      </c>
      <c r="D5899" s="3" t="s">
        <v>68</v>
      </c>
      <c r="E5899" s="3" t="s">
        <v>100</v>
      </c>
      <c r="F5899" s="7">
        <v>45863.87719406437</v>
      </c>
      <c r="G5899" s="3" t="s">
        <v>17511</v>
      </c>
    </row>
    <row r="5900">
      <c r="A5900" s="3" t="s">
        <v>17512</v>
      </c>
      <c r="B5900" s="3" t="s">
        <v>5630</v>
      </c>
      <c r="C5900" s="5" t="s">
        <v>45</v>
      </c>
      <c r="D5900" s="3" t="s">
        <v>221</v>
      </c>
      <c r="E5900" s="3" t="s">
        <v>631</v>
      </c>
      <c r="F5900" s="7">
        <v>45863.93795224312</v>
      </c>
      <c r="G5900" s="3" t="s">
        <v>17514</v>
      </c>
    </row>
    <row r="5901">
      <c r="A5901" s="3" t="s">
        <v>17515</v>
      </c>
      <c r="B5901" s="3" t="s">
        <v>5630</v>
      </c>
      <c r="C5901" s="5" t="s">
        <v>221</v>
      </c>
      <c r="D5901" s="3" t="s">
        <v>614</v>
      </c>
      <c r="E5901" s="3" t="s">
        <v>118</v>
      </c>
      <c r="F5901" s="7">
        <v>45863.94142446534</v>
      </c>
      <c r="G5901" s="3" t="s">
        <v>17517</v>
      </c>
    </row>
    <row r="5902">
      <c r="A5902" s="3" t="s">
        <v>17518</v>
      </c>
      <c r="B5902" s="3" t="s">
        <v>5630</v>
      </c>
      <c r="C5902" s="5" t="s">
        <v>614</v>
      </c>
      <c r="D5902" s="3" t="s">
        <v>206</v>
      </c>
      <c r="E5902" s="3" t="s">
        <v>100</v>
      </c>
      <c r="F5902" s="7">
        <v>45863.944896687564</v>
      </c>
      <c r="G5902" s="3" t="s">
        <v>17520</v>
      </c>
    </row>
    <row r="5903">
      <c r="A5903" s="3" t="s">
        <v>17521</v>
      </c>
      <c r="B5903" s="3" t="s">
        <v>5630</v>
      </c>
      <c r="C5903" s="5" t="s">
        <v>206</v>
      </c>
      <c r="D5903" s="3" t="s">
        <v>68</v>
      </c>
      <c r="E5903" s="3" t="s">
        <v>100</v>
      </c>
      <c r="F5903" s="7">
        <v>45863.94836890978</v>
      </c>
      <c r="G5903" s="3" t="s">
        <v>17523</v>
      </c>
    </row>
    <row r="5904">
      <c r="A5904" s="3" t="s">
        <v>17524</v>
      </c>
      <c r="B5904" s="3" t="s">
        <v>5633</v>
      </c>
      <c r="C5904" s="5" t="s">
        <v>45</v>
      </c>
      <c r="D5904" s="3" t="s">
        <v>221</v>
      </c>
      <c r="E5904" s="3" t="s">
        <v>446</v>
      </c>
      <c r="F5904" s="7">
        <v>45864.00912708854</v>
      </c>
      <c r="G5904" s="3" t="s">
        <v>14549</v>
      </c>
    </row>
    <row r="5905">
      <c r="A5905" s="3" t="s">
        <v>17525</v>
      </c>
      <c r="B5905" s="3" t="s">
        <v>5633</v>
      </c>
      <c r="C5905" s="5" t="s">
        <v>221</v>
      </c>
      <c r="D5905" s="3" t="s">
        <v>614</v>
      </c>
      <c r="E5905" s="3" t="s">
        <v>118</v>
      </c>
      <c r="F5905" s="7">
        <v>45864.01259931076</v>
      </c>
      <c r="G5905" s="3" t="s">
        <v>14552</v>
      </c>
    </row>
    <row r="5906">
      <c r="A5906" s="3" t="s">
        <v>17527</v>
      </c>
      <c r="B5906" s="3" t="s">
        <v>5633</v>
      </c>
      <c r="C5906" s="5" t="s">
        <v>614</v>
      </c>
      <c r="D5906" s="3" t="s">
        <v>206</v>
      </c>
      <c r="E5906" s="3" t="s">
        <v>100</v>
      </c>
      <c r="F5906" s="7">
        <v>45864.016071532984</v>
      </c>
      <c r="G5906" s="3" t="s">
        <v>14555</v>
      </c>
    </row>
    <row r="5907">
      <c r="A5907" s="3" t="s">
        <v>17529</v>
      </c>
      <c r="B5907" s="3" t="s">
        <v>5633</v>
      </c>
      <c r="C5907" s="5" t="s">
        <v>206</v>
      </c>
      <c r="D5907" s="3" t="s">
        <v>68</v>
      </c>
      <c r="E5907" s="3" t="s">
        <v>100</v>
      </c>
      <c r="F5907" s="7">
        <v>45864.0195437552</v>
      </c>
      <c r="G5907" s="3" t="s">
        <v>14558</v>
      </c>
    </row>
    <row r="5908">
      <c r="A5908" s="3" t="s">
        <v>17531</v>
      </c>
      <c r="B5908" s="3" t="s">
        <v>5637</v>
      </c>
      <c r="C5908" s="5" t="s">
        <v>45</v>
      </c>
      <c r="D5908" s="3" t="s">
        <v>221</v>
      </c>
      <c r="E5908" s="3" t="s">
        <v>619</v>
      </c>
      <c r="F5908" s="7">
        <v>45864.08030193396</v>
      </c>
      <c r="G5908" s="3" t="s">
        <v>2770</v>
      </c>
    </row>
    <row r="5909">
      <c r="A5909" s="3" t="s">
        <v>17532</v>
      </c>
      <c r="B5909" s="3" t="s">
        <v>5637</v>
      </c>
      <c r="C5909" s="5" t="s">
        <v>221</v>
      </c>
      <c r="D5909" s="3" t="s">
        <v>181</v>
      </c>
      <c r="E5909" s="3" t="s">
        <v>118</v>
      </c>
      <c r="F5909" s="7">
        <v>45864.08377415618</v>
      </c>
      <c r="G5909" s="3" t="s">
        <v>2774</v>
      </c>
    </row>
    <row r="5910">
      <c r="A5910" s="3" t="s">
        <v>17534</v>
      </c>
      <c r="B5910" s="3" t="s">
        <v>5640</v>
      </c>
      <c r="C5910" s="5" t="s">
        <v>45</v>
      </c>
      <c r="D5910" s="3" t="s">
        <v>221</v>
      </c>
      <c r="E5910" s="3" t="s">
        <v>598</v>
      </c>
      <c r="F5910" s="7">
        <v>45864.15147677936</v>
      </c>
      <c r="G5910" s="3" t="s">
        <v>17536</v>
      </c>
    </row>
    <row r="5911">
      <c r="A5911" s="3" t="s">
        <v>17537</v>
      </c>
      <c r="B5911" s="3" t="s">
        <v>5640</v>
      </c>
      <c r="C5911" s="5" t="s">
        <v>221</v>
      </c>
      <c r="D5911" s="3" t="s">
        <v>614</v>
      </c>
      <c r="E5911" s="3" t="s">
        <v>118</v>
      </c>
      <c r="F5911" s="7">
        <v>45864.15494900158</v>
      </c>
      <c r="G5911" s="3" t="s">
        <v>17539</v>
      </c>
    </row>
    <row r="5912">
      <c r="A5912" s="3" t="s">
        <v>17540</v>
      </c>
      <c r="B5912" s="3" t="s">
        <v>5640</v>
      </c>
      <c r="C5912" s="5" t="s">
        <v>614</v>
      </c>
      <c r="D5912" s="3" t="s">
        <v>206</v>
      </c>
      <c r="E5912" s="3" t="s">
        <v>100</v>
      </c>
      <c r="F5912" s="7">
        <v>45864.15842122381</v>
      </c>
      <c r="G5912" s="3" t="s">
        <v>17542</v>
      </c>
    </row>
    <row r="5913">
      <c r="A5913" s="3" t="s">
        <v>17543</v>
      </c>
      <c r="B5913" s="3" t="s">
        <v>5640</v>
      </c>
      <c r="C5913" s="5" t="s">
        <v>206</v>
      </c>
      <c r="D5913" s="3" t="s">
        <v>68</v>
      </c>
      <c r="E5913" s="3" t="s">
        <v>100</v>
      </c>
      <c r="F5913" s="7">
        <v>45864.16189344603</v>
      </c>
      <c r="G5913" s="3" t="s">
        <v>17544</v>
      </c>
    </row>
    <row r="5914">
      <c r="A5914" s="3" t="s">
        <v>17546</v>
      </c>
      <c r="B5914" s="3" t="s">
        <v>5643</v>
      </c>
      <c r="C5914" s="5" t="s">
        <v>45</v>
      </c>
      <c r="D5914" s="3" t="s">
        <v>221</v>
      </c>
      <c r="E5914" s="3" t="s">
        <v>591</v>
      </c>
      <c r="F5914" s="7">
        <v>45864.22265162478</v>
      </c>
      <c r="G5914" s="3" t="s">
        <v>17547</v>
      </c>
    </row>
    <row r="5915">
      <c r="A5915" s="3" t="s">
        <v>17549</v>
      </c>
      <c r="B5915" s="3" t="s">
        <v>5643</v>
      </c>
      <c r="C5915" s="5" t="s">
        <v>221</v>
      </c>
      <c r="D5915" s="3" t="s">
        <v>614</v>
      </c>
      <c r="E5915" s="3" t="s">
        <v>118</v>
      </c>
      <c r="F5915" s="7">
        <v>45864.226123847</v>
      </c>
      <c r="G5915" s="3" t="s">
        <v>17550</v>
      </c>
    </row>
    <row r="5916">
      <c r="A5916" s="3" t="s">
        <v>17551</v>
      </c>
      <c r="B5916" s="3" t="s">
        <v>5643</v>
      </c>
      <c r="C5916" s="5" t="s">
        <v>614</v>
      </c>
      <c r="D5916" s="3" t="s">
        <v>206</v>
      </c>
      <c r="E5916" s="3" t="s">
        <v>100</v>
      </c>
      <c r="F5916" s="7">
        <v>45864.22959606923</v>
      </c>
      <c r="G5916" s="3" t="s">
        <v>17553</v>
      </c>
    </row>
    <row r="5917">
      <c r="A5917" s="3" t="s">
        <v>17554</v>
      </c>
      <c r="B5917" s="3" t="s">
        <v>5643</v>
      </c>
      <c r="C5917" s="5" t="s">
        <v>206</v>
      </c>
      <c r="D5917" s="3" t="s">
        <v>68</v>
      </c>
      <c r="E5917" s="3" t="s">
        <v>100</v>
      </c>
      <c r="F5917" s="7">
        <v>45864.23306829145</v>
      </c>
      <c r="G5917" s="3" t="s">
        <v>17556</v>
      </c>
    </row>
    <row r="5918">
      <c r="A5918" s="3" t="s">
        <v>17557</v>
      </c>
      <c r="B5918" s="3" t="s">
        <v>5647</v>
      </c>
      <c r="C5918" s="5" t="s">
        <v>45</v>
      </c>
      <c r="D5918" s="3" t="s">
        <v>221</v>
      </c>
      <c r="E5918" s="3" t="s">
        <v>760</v>
      </c>
      <c r="F5918" s="7">
        <v>45864.2938264702</v>
      </c>
      <c r="G5918" s="3" t="s">
        <v>17559</v>
      </c>
    </row>
    <row r="5919">
      <c r="A5919" s="3" t="s">
        <v>17560</v>
      </c>
      <c r="B5919" s="3" t="s">
        <v>5647</v>
      </c>
      <c r="C5919" s="5" t="s">
        <v>221</v>
      </c>
      <c r="D5919" s="3" t="s">
        <v>614</v>
      </c>
      <c r="E5919" s="3" t="s">
        <v>118</v>
      </c>
      <c r="F5919" s="7">
        <v>45864.29729869242</v>
      </c>
      <c r="G5919" s="3" t="s">
        <v>17562</v>
      </c>
    </row>
    <row r="5920">
      <c r="A5920" s="3" t="s">
        <v>17563</v>
      </c>
      <c r="B5920" s="3" t="s">
        <v>5647</v>
      </c>
      <c r="C5920" s="5" t="s">
        <v>614</v>
      </c>
      <c r="D5920" s="3" t="s">
        <v>206</v>
      </c>
      <c r="E5920" s="3" t="s">
        <v>100</v>
      </c>
      <c r="F5920" s="7">
        <v>45864.30077091465</v>
      </c>
      <c r="G5920" s="3" t="s">
        <v>17565</v>
      </c>
    </row>
    <row r="5921">
      <c r="A5921" s="3" t="s">
        <v>17566</v>
      </c>
      <c r="B5921" s="3" t="s">
        <v>5647</v>
      </c>
      <c r="C5921" s="5" t="s">
        <v>206</v>
      </c>
      <c r="D5921" s="3" t="s">
        <v>68</v>
      </c>
      <c r="E5921" s="3" t="s">
        <v>100</v>
      </c>
      <c r="F5921" s="7">
        <v>45864.30424313687</v>
      </c>
      <c r="G5921" s="3" t="s">
        <v>17567</v>
      </c>
    </row>
    <row r="5922">
      <c r="A5922" s="3" t="s">
        <v>17569</v>
      </c>
      <c r="B5922" s="3" t="s">
        <v>5650</v>
      </c>
      <c r="C5922" s="5" t="s">
        <v>45</v>
      </c>
      <c r="D5922" s="3" t="s">
        <v>221</v>
      </c>
      <c r="E5922" s="3" t="s">
        <v>159</v>
      </c>
      <c r="F5922" s="7">
        <v>45864.365001315615</v>
      </c>
      <c r="G5922" s="3" t="s">
        <v>8901</v>
      </c>
    </row>
    <row r="5923">
      <c r="A5923" s="3" t="s">
        <v>17571</v>
      </c>
      <c r="B5923" s="3" t="s">
        <v>5650</v>
      </c>
      <c r="C5923" s="5" t="s">
        <v>221</v>
      </c>
      <c r="D5923" s="3" t="s">
        <v>614</v>
      </c>
      <c r="E5923" s="3" t="s">
        <v>118</v>
      </c>
      <c r="F5923" s="7">
        <v>45864.368473537834</v>
      </c>
      <c r="G5923" s="3" t="s">
        <v>8904</v>
      </c>
    </row>
    <row r="5924">
      <c r="A5924" s="3" t="s">
        <v>17573</v>
      </c>
      <c r="B5924" s="3" t="s">
        <v>5650</v>
      </c>
      <c r="C5924" s="5" t="s">
        <v>614</v>
      </c>
      <c r="D5924" s="3" t="s">
        <v>206</v>
      </c>
      <c r="E5924" s="3" t="s">
        <v>100</v>
      </c>
      <c r="F5924" s="7">
        <v>45864.37194576006</v>
      </c>
      <c r="G5924" s="3" t="s">
        <v>8907</v>
      </c>
    </row>
    <row r="5925">
      <c r="A5925" s="3" t="s">
        <v>17574</v>
      </c>
      <c r="B5925" s="3" t="s">
        <v>5650</v>
      </c>
      <c r="C5925" s="5" t="s">
        <v>206</v>
      </c>
      <c r="D5925" s="3" t="s">
        <v>68</v>
      </c>
      <c r="E5925" s="3" t="s">
        <v>100</v>
      </c>
      <c r="F5925" s="7">
        <v>45864.37541798228</v>
      </c>
      <c r="G5925" s="3" t="s">
        <v>8910</v>
      </c>
    </row>
    <row r="5926">
      <c r="A5926" s="3" t="s">
        <v>17576</v>
      </c>
      <c r="B5926" s="3" t="s">
        <v>5653</v>
      </c>
      <c r="C5926" s="5" t="s">
        <v>45</v>
      </c>
      <c r="D5926" s="3" t="s">
        <v>221</v>
      </c>
      <c r="E5926" s="3" t="s">
        <v>247</v>
      </c>
      <c r="F5926" s="7">
        <v>45864.43617616103</v>
      </c>
      <c r="G5926" s="3" t="s">
        <v>9015</v>
      </c>
    </row>
    <row r="5927">
      <c r="A5927" s="3" t="s">
        <v>17578</v>
      </c>
      <c r="B5927" s="3" t="s">
        <v>5653</v>
      </c>
      <c r="C5927" s="5" t="s">
        <v>221</v>
      </c>
      <c r="D5927" s="3" t="s">
        <v>614</v>
      </c>
      <c r="E5927" s="3" t="s">
        <v>118</v>
      </c>
      <c r="F5927" s="7">
        <v>45864.439648383246</v>
      </c>
      <c r="G5927" s="3" t="s">
        <v>17580</v>
      </c>
    </row>
    <row r="5928">
      <c r="A5928" s="3" t="s">
        <v>17581</v>
      </c>
      <c r="B5928" s="3" t="s">
        <v>5653</v>
      </c>
      <c r="C5928" s="5" t="s">
        <v>614</v>
      </c>
      <c r="D5928" s="3" t="s">
        <v>206</v>
      </c>
      <c r="E5928" s="3" t="s">
        <v>100</v>
      </c>
      <c r="F5928" s="7">
        <v>45864.44312060547</v>
      </c>
      <c r="G5928" s="3" t="s">
        <v>17583</v>
      </c>
    </row>
    <row r="5929">
      <c r="A5929" s="3" t="s">
        <v>17584</v>
      </c>
      <c r="B5929" s="3" t="s">
        <v>5653</v>
      </c>
      <c r="C5929" s="5" t="s">
        <v>206</v>
      </c>
      <c r="D5929" s="3" t="s">
        <v>68</v>
      </c>
      <c r="E5929" s="3" t="s">
        <v>100</v>
      </c>
      <c r="F5929" s="7">
        <v>45864.44659282769</v>
      </c>
      <c r="G5929" s="3" t="s">
        <v>17586</v>
      </c>
    </row>
    <row r="5930">
      <c r="A5930" s="3" t="s">
        <v>17587</v>
      </c>
      <c r="B5930" s="3" t="s">
        <v>5655</v>
      </c>
      <c r="C5930" s="5" t="s">
        <v>45</v>
      </c>
      <c r="D5930" s="3" t="s">
        <v>221</v>
      </c>
      <c r="E5930" s="3" t="s">
        <v>468</v>
      </c>
      <c r="F5930" s="7">
        <v>45864.50735100645</v>
      </c>
      <c r="G5930" s="3" t="s">
        <v>10975</v>
      </c>
    </row>
    <row r="5931">
      <c r="A5931" s="3" t="s">
        <v>17589</v>
      </c>
      <c r="B5931" s="3" t="s">
        <v>5655</v>
      </c>
      <c r="C5931" s="5" t="s">
        <v>221</v>
      </c>
      <c r="D5931" s="3" t="s">
        <v>181</v>
      </c>
      <c r="E5931" s="3" t="s">
        <v>118</v>
      </c>
      <c r="F5931" s="7">
        <v>45864.510823228666</v>
      </c>
      <c r="G5931" s="3" t="s">
        <v>11837</v>
      </c>
    </row>
    <row r="5932">
      <c r="A5932" s="3" t="s">
        <v>17591</v>
      </c>
      <c r="B5932" s="3" t="s">
        <v>5657</v>
      </c>
      <c r="C5932" s="5" t="s">
        <v>45</v>
      </c>
      <c r="D5932" s="3" t="s">
        <v>221</v>
      </c>
      <c r="E5932" s="3" t="s">
        <v>204</v>
      </c>
      <c r="F5932" s="7">
        <v>45864.57852585186</v>
      </c>
      <c r="G5932" s="3" t="s">
        <v>17592</v>
      </c>
    </row>
    <row r="5933">
      <c r="A5933" s="3" t="s">
        <v>17594</v>
      </c>
      <c r="B5933" s="3" t="s">
        <v>5657</v>
      </c>
      <c r="C5933" s="5" t="s">
        <v>221</v>
      </c>
      <c r="D5933" s="3" t="s">
        <v>195</v>
      </c>
      <c r="E5933" s="3" t="s">
        <v>204</v>
      </c>
      <c r="F5933" s="7">
        <v>45864.58199807408</v>
      </c>
      <c r="G5933" s="3" t="s">
        <v>17595</v>
      </c>
    </row>
    <row r="5934">
      <c r="A5934" s="3" t="s">
        <v>17596</v>
      </c>
      <c r="B5934" s="3" t="s">
        <v>5659</v>
      </c>
      <c r="C5934" s="5" t="s">
        <v>45</v>
      </c>
      <c r="D5934" s="3" t="s">
        <v>221</v>
      </c>
      <c r="E5934" s="3" t="s">
        <v>662</v>
      </c>
      <c r="F5934" s="7">
        <v>45864.64970069727</v>
      </c>
      <c r="G5934" s="3" t="s">
        <v>17598</v>
      </c>
    </row>
    <row r="5935">
      <c r="A5935" s="3" t="s">
        <v>17599</v>
      </c>
      <c r="B5935" s="3" t="s">
        <v>5659</v>
      </c>
      <c r="C5935" s="5" t="s">
        <v>221</v>
      </c>
      <c r="D5935" s="3" t="s">
        <v>614</v>
      </c>
      <c r="E5935" s="3" t="s">
        <v>118</v>
      </c>
      <c r="F5935" s="7">
        <v>45864.65317291949</v>
      </c>
      <c r="G5935" s="3" t="s">
        <v>17601</v>
      </c>
    </row>
    <row r="5936">
      <c r="A5936" s="3" t="s">
        <v>17602</v>
      </c>
      <c r="B5936" s="3" t="s">
        <v>5659</v>
      </c>
      <c r="C5936" s="5" t="s">
        <v>614</v>
      </c>
      <c r="D5936" s="3" t="s">
        <v>206</v>
      </c>
      <c r="E5936" s="3" t="s">
        <v>100</v>
      </c>
      <c r="F5936" s="7">
        <v>45864.65664514172</v>
      </c>
      <c r="G5936" s="3" t="s">
        <v>17604</v>
      </c>
    </row>
    <row r="5937">
      <c r="A5937" s="3" t="s">
        <v>17605</v>
      </c>
      <c r="B5937" s="3" t="s">
        <v>5659</v>
      </c>
      <c r="C5937" s="5" t="s">
        <v>206</v>
      </c>
      <c r="D5937" s="3" t="s">
        <v>68</v>
      </c>
      <c r="E5937" s="3" t="s">
        <v>100</v>
      </c>
      <c r="F5937" s="7">
        <v>45864.660117363936</v>
      </c>
      <c r="G5937" s="3" t="s">
        <v>17607</v>
      </c>
    </row>
    <row r="5938">
      <c r="A5938" s="3" t="s">
        <v>17608</v>
      </c>
      <c r="B5938" s="3" t="s">
        <v>5662</v>
      </c>
      <c r="C5938" s="5" t="s">
        <v>45</v>
      </c>
      <c r="D5938" s="3" t="s">
        <v>221</v>
      </c>
      <c r="E5938" s="3" t="s">
        <v>853</v>
      </c>
      <c r="F5938" s="7">
        <v>45864.72087554269</v>
      </c>
      <c r="G5938" s="3" t="s">
        <v>17609</v>
      </c>
    </row>
    <row r="5939">
      <c r="A5939" s="3" t="s">
        <v>17611</v>
      </c>
      <c r="B5939" s="3" t="s">
        <v>5662</v>
      </c>
      <c r="C5939" s="5" t="s">
        <v>221</v>
      </c>
      <c r="D5939" s="3" t="s">
        <v>614</v>
      </c>
      <c r="E5939" s="3" t="s">
        <v>118</v>
      </c>
      <c r="F5939" s="7">
        <v>45864.72434776491</v>
      </c>
      <c r="G5939" s="3" t="s">
        <v>17612</v>
      </c>
    </row>
    <row r="5940">
      <c r="A5940" s="3" t="s">
        <v>17613</v>
      </c>
      <c r="B5940" s="3" t="s">
        <v>5662</v>
      </c>
      <c r="C5940" s="5" t="s">
        <v>614</v>
      </c>
      <c r="D5940" s="3" t="s">
        <v>206</v>
      </c>
      <c r="E5940" s="3" t="s">
        <v>100</v>
      </c>
      <c r="F5940" s="7">
        <v>45864.727819987136</v>
      </c>
      <c r="G5940" s="3" t="s">
        <v>17615</v>
      </c>
    </row>
    <row r="5941">
      <c r="A5941" s="3" t="s">
        <v>17616</v>
      </c>
      <c r="B5941" s="3" t="s">
        <v>5662</v>
      </c>
      <c r="C5941" s="5" t="s">
        <v>206</v>
      </c>
      <c r="D5941" s="3" t="s">
        <v>68</v>
      </c>
      <c r="E5941" s="3" t="s">
        <v>100</v>
      </c>
      <c r="F5941" s="7">
        <v>45864.731292209355</v>
      </c>
      <c r="G5941" s="3" t="s">
        <v>17618</v>
      </c>
    </row>
    <row r="5942">
      <c r="A5942" s="3" t="s">
        <v>17619</v>
      </c>
      <c r="B5942" s="3" t="s">
        <v>5666</v>
      </c>
      <c r="C5942" s="5" t="s">
        <v>45</v>
      </c>
      <c r="D5942" s="3" t="s">
        <v>221</v>
      </c>
      <c r="E5942" s="3" t="s">
        <v>322</v>
      </c>
      <c r="F5942" s="7">
        <v>45864.7920503881</v>
      </c>
      <c r="G5942" s="3" t="s">
        <v>9609</v>
      </c>
    </row>
    <row r="5943">
      <c r="A5943" s="3" t="s">
        <v>17621</v>
      </c>
      <c r="B5943" s="3" t="s">
        <v>5666</v>
      </c>
      <c r="C5943" s="5" t="s">
        <v>221</v>
      </c>
      <c r="D5943" s="3" t="s">
        <v>614</v>
      </c>
      <c r="E5943" s="3" t="s">
        <v>118</v>
      </c>
      <c r="F5943" s="7">
        <v>45864.79552261032</v>
      </c>
      <c r="G5943" s="3" t="s">
        <v>17622</v>
      </c>
    </row>
    <row r="5944">
      <c r="A5944" s="3" t="s">
        <v>17623</v>
      </c>
      <c r="B5944" s="3" t="s">
        <v>5666</v>
      </c>
      <c r="C5944" s="5" t="s">
        <v>614</v>
      </c>
      <c r="D5944" s="3" t="s">
        <v>206</v>
      </c>
      <c r="E5944" s="3" t="s">
        <v>100</v>
      </c>
      <c r="F5944" s="7">
        <v>45864.79899483255</v>
      </c>
      <c r="G5944" s="3" t="s">
        <v>17625</v>
      </c>
    </row>
    <row r="5945">
      <c r="A5945" s="3" t="s">
        <v>17626</v>
      </c>
      <c r="B5945" s="3" t="s">
        <v>5666</v>
      </c>
      <c r="C5945" s="5" t="s">
        <v>206</v>
      </c>
      <c r="D5945" s="3" t="s">
        <v>68</v>
      </c>
      <c r="E5945" s="3" t="s">
        <v>100</v>
      </c>
      <c r="F5945" s="7">
        <v>45864.80246705477</v>
      </c>
      <c r="G5945" s="3" t="s">
        <v>17628</v>
      </c>
    </row>
    <row r="5946">
      <c r="A5946" s="3" t="s">
        <v>17629</v>
      </c>
      <c r="B5946" s="3" t="s">
        <v>5669</v>
      </c>
      <c r="C5946" s="5" t="s">
        <v>45</v>
      </c>
      <c r="D5946" s="3" t="s">
        <v>221</v>
      </c>
      <c r="E5946" s="3" t="s">
        <v>341</v>
      </c>
      <c r="F5946" s="7">
        <v>45864.863225233516</v>
      </c>
      <c r="G5946" s="3" t="s">
        <v>17036</v>
      </c>
    </row>
    <row r="5947">
      <c r="A5947" s="3" t="s">
        <v>17631</v>
      </c>
      <c r="B5947" s="3" t="s">
        <v>5669</v>
      </c>
      <c r="C5947" s="5" t="s">
        <v>221</v>
      </c>
      <c r="D5947" s="3" t="s">
        <v>614</v>
      </c>
      <c r="E5947" s="3" t="s">
        <v>118</v>
      </c>
      <c r="F5947" s="7">
        <v>45864.866697455735</v>
      </c>
      <c r="G5947" s="3" t="s">
        <v>17039</v>
      </c>
    </row>
    <row r="5948">
      <c r="A5948" s="3" t="s">
        <v>17633</v>
      </c>
      <c r="B5948" s="3" t="s">
        <v>5669</v>
      </c>
      <c r="C5948" s="5" t="s">
        <v>614</v>
      </c>
      <c r="D5948" s="3" t="s">
        <v>206</v>
      </c>
      <c r="E5948" s="3" t="s">
        <v>100</v>
      </c>
      <c r="F5948" s="7">
        <v>45864.87016967796</v>
      </c>
      <c r="G5948" s="3" t="s">
        <v>17041</v>
      </c>
    </row>
    <row r="5949">
      <c r="A5949" s="3" t="s">
        <v>17634</v>
      </c>
      <c r="B5949" s="3" t="s">
        <v>5669</v>
      </c>
      <c r="C5949" s="5" t="s">
        <v>206</v>
      </c>
      <c r="D5949" s="3" t="s">
        <v>68</v>
      </c>
      <c r="E5949" s="3" t="s">
        <v>100</v>
      </c>
      <c r="F5949" s="7">
        <v>45864.87364190018</v>
      </c>
      <c r="G5949" s="3" t="s">
        <v>17044</v>
      </c>
    </row>
    <row r="5950">
      <c r="A5950" s="3" t="s">
        <v>17636</v>
      </c>
      <c r="B5950" s="3" t="s">
        <v>5672</v>
      </c>
      <c r="C5950" s="5" t="s">
        <v>45</v>
      </c>
      <c r="D5950" s="3" t="s">
        <v>221</v>
      </c>
      <c r="E5950" s="3" t="s">
        <v>987</v>
      </c>
      <c r="F5950" s="7">
        <v>45864.934400078935</v>
      </c>
      <c r="G5950" s="3" t="s">
        <v>17638</v>
      </c>
    </row>
    <row r="5951">
      <c r="A5951" s="3" t="s">
        <v>17639</v>
      </c>
      <c r="B5951" s="3" t="s">
        <v>5672</v>
      </c>
      <c r="C5951" s="5" t="s">
        <v>221</v>
      </c>
      <c r="D5951" s="3" t="s">
        <v>181</v>
      </c>
      <c r="E5951" s="3" t="s">
        <v>118</v>
      </c>
      <c r="F5951" s="7">
        <v>45864.937872301154</v>
      </c>
      <c r="G5951" s="3" t="s">
        <v>17641</v>
      </c>
    </row>
    <row r="5952">
      <c r="A5952" s="3" t="s">
        <v>17642</v>
      </c>
      <c r="B5952" s="3" t="s">
        <v>5675</v>
      </c>
      <c r="C5952" s="5" t="s">
        <v>45</v>
      </c>
      <c r="D5952" s="3" t="s">
        <v>221</v>
      </c>
      <c r="E5952" s="3" t="s">
        <v>793</v>
      </c>
      <c r="F5952" s="7">
        <v>45865.005574924355</v>
      </c>
      <c r="G5952" s="3" t="s">
        <v>17644</v>
      </c>
    </row>
    <row r="5953">
      <c r="A5953" s="3" t="s">
        <v>17645</v>
      </c>
      <c r="B5953" s="3" t="s">
        <v>5675</v>
      </c>
      <c r="C5953" s="5" t="s">
        <v>221</v>
      </c>
      <c r="D5953" s="3" t="s">
        <v>614</v>
      </c>
      <c r="E5953" s="3" t="s">
        <v>118</v>
      </c>
      <c r="F5953" s="7">
        <v>45865.009047146574</v>
      </c>
      <c r="G5953" s="3" t="s">
        <v>17646</v>
      </c>
    </row>
    <row r="5954">
      <c r="A5954" s="3" t="s">
        <v>17647</v>
      </c>
      <c r="B5954" s="3" t="s">
        <v>5675</v>
      </c>
      <c r="C5954" s="5" t="s">
        <v>614</v>
      </c>
      <c r="D5954" s="3" t="s">
        <v>206</v>
      </c>
      <c r="E5954" s="3" t="s">
        <v>100</v>
      </c>
      <c r="F5954" s="7">
        <v>45865.0125193688</v>
      </c>
      <c r="G5954" s="3" t="s">
        <v>17648</v>
      </c>
    </row>
    <row r="5955">
      <c r="A5955" s="3" t="s">
        <v>17650</v>
      </c>
      <c r="B5955" s="3" t="s">
        <v>5675</v>
      </c>
      <c r="C5955" s="5" t="s">
        <v>206</v>
      </c>
      <c r="D5955" s="3" t="s">
        <v>68</v>
      </c>
      <c r="E5955" s="3" t="s">
        <v>100</v>
      </c>
      <c r="F5955" s="7">
        <v>45865.01599159102</v>
      </c>
      <c r="G5955" s="3" t="s">
        <v>17651</v>
      </c>
    </row>
    <row r="5956">
      <c r="A5956" s="3" t="s">
        <v>17652</v>
      </c>
      <c r="B5956" s="3" t="s">
        <v>5678</v>
      </c>
      <c r="C5956" s="5" t="s">
        <v>45</v>
      </c>
      <c r="D5956" s="3" t="s">
        <v>221</v>
      </c>
      <c r="E5956" s="3" t="s">
        <v>655</v>
      </c>
      <c r="F5956" s="7">
        <v>45865.07674976976</v>
      </c>
      <c r="G5956" s="3" t="s">
        <v>17654</v>
      </c>
    </row>
    <row r="5957">
      <c r="A5957" s="3" t="s">
        <v>17656</v>
      </c>
      <c r="B5957" s="3" t="s">
        <v>5678</v>
      </c>
      <c r="C5957" s="5" t="s">
        <v>221</v>
      </c>
      <c r="D5957" s="3" t="s">
        <v>614</v>
      </c>
      <c r="E5957" s="3" t="s">
        <v>118</v>
      </c>
      <c r="F5957" s="7">
        <v>45865.08022199198</v>
      </c>
      <c r="G5957" s="3" t="s">
        <v>17657</v>
      </c>
    </row>
    <row r="5958">
      <c r="A5958" s="3" t="s">
        <v>17658</v>
      </c>
      <c r="B5958" s="3" t="s">
        <v>5678</v>
      </c>
      <c r="C5958" s="5" t="s">
        <v>614</v>
      </c>
      <c r="D5958" s="3" t="s">
        <v>206</v>
      </c>
      <c r="E5958" s="3" t="s">
        <v>100</v>
      </c>
      <c r="F5958" s="7">
        <v>45865.083694214205</v>
      </c>
      <c r="G5958" s="3" t="s">
        <v>17660</v>
      </c>
    </row>
    <row r="5959">
      <c r="A5959" s="3" t="s">
        <v>17661</v>
      </c>
      <c r="B5959" s="3" t="s">
        <v>5678</v>
      </c>
      <c r="C5959" s="5" t="s">
        <v>206</v>
      </c>
      <c r="D5959" s="3" t="s">
        <v>68</v>
      </c>
      <c r="E5959" s="3" t="s">
        <v>100</v>
      </c>
      <c r="F5959" s="7">
        <v>45865.087166436424</v>
      </c>
      <c r="G5959" s="3" t="s">
        <v>17663</v>
      </c>
    </row>
    <row r="5960">
      <c r="A5960" s="3" t="s">
        <v>17664</v>
      </c>
      <c r="B5960" s="3" t="s">
        <v>5681</v>
      </c>
      <c r="C5960" s="5" t="s">
        <v>45</v>
      </c>
      <c r="D5960" s="3" t="s">
        <v>221</v>
      </c>
      <c r="E5960" s="3" t="s">
        <v>990</v>
      </c>
      <c r="F5960" s="7">
        <v>45865.14792461518</v>
      </c>
      <c r="G5960" s="3" t="s">
        <v>10142</v>
      </c>
    </row>
    <row r="5961">
      <c r="A5961" s="3" t="s">
        <v>17666</v>
      </c>
      <c r="B5961" s="3" t="s">
        <v>5681</v>
      </c>
      <c r="C5961" s="5" t="s">
        <v>221</v>
      </c>
      <c r="D5961" s="3" t="s">
        <v>614</v>
      </c>
      <c r="E5961" s="3" t="s">
        <v>118</v>
      </c>
      <c r="F5961" s="7">
        <v>45865.1513968374</v>
      </c>
      <c r="G5961" s="3" t="s">
        <v>10145</v>
      </c>
    </row>
    <row r="5962">
      <c r="A5962" s="3" t="s">
        <v>17668</v>
      </c>
      <c r="B5962" s="3" t="s">
        <v>5681</v>
      </c>
      <c r="C5962" s="5" t="s">
        <v>614</v>
      </c>
      <c r="D5962" s="3" t="s">
        <v>206</v>
      </c>
      <c r="E5962" s="3" t="s">
        <v>100</v>
      </c>
      <c r="F5962" s="7">
        <v>45865.154869059625</v>
      </c>
      <c r="G5962" s="3" t="s">
        <v>10148</v>
      </c>
    </row>
    <row r="5963">
      <c r="A5963" s="3" t="s">
        <v>17670</v>
      </c>
      <c r="B5963" s="3" t="s">
        <v>5681</v>
      </c>
      <c r="C5963" s="5" t="s">
        <v>206</v>
      </c>
      <c r="D5963" s="3" t="s">
        <v>68</v>
      </c>
      <c r="E5963" s="3" t="s">
        <v>100</v>
      </c>
      <c r="F5963" s="7">
        <v>45865.15834128184</v>
      </c>
      <c r="G5963" s="3" t="s">
        <v>10151</v>
      </c>
    </row>
    <row r="5964">
      <c r="A5964" s="3" t="s">
        <v>17671</v>
      </c>
      <c r="B5964" s="3" t="s">
        <v>5684</v>
      </c>
      <c r="C5964" s="5" t="s">
        <v>45</v>
      </c>
      <c r="D5964" s="3" t="s">
        <v>221</v>
      </c>
      <c r="E5964" s="3" t="s">
        <v>462</v>
      </c>
      <c r="F5964" s="7">
        <v>45865.2190994606</v>
      </c>
      <c r="G5964" s="3" t="s">
        <v>10161</v>
      </c>
    </row>
    <row r="5965">
      <c r="A5965" s="3" t="s">
        <v>17673</v>
      </c>
      <c r="B5965" s="3" t="s">
        <v>5684</v>
      </c>
      <c r="C5965" s="5" t="s">
        <v>221</v>
      </c>
      <c r="D5965" s="3" t="s">
        <v>614</v>
      </c>
      <c r="E5965" s="3" t="s">
        <v>118</v>
      </c>
      <c r="F5965" s="7">
        <v>45865.22257168282</v>
      </c>
      <c r="G5965" s="3" t="s">
        <v>10164</v>
      </c>
    </row>
    <row r="5966">
      <c r="A5966" s="3" t="s">
        <v>17675</v>
      </c>
      <c r="B5966" s="3" t="s">
        <v>5684</v>
      </c>
      <c r="C5966" s="5" t="s">
        <v>614</v>
      </c>
      <c r="D5966" s="3" t="s">
        <v>206</v>
      </c>
      <c r="E5966" s="3" t="s">
        <v>100</v>
      </c>
      <c r="F5966" s="7">
        <v>45865.226043905044</v>
      </c>
      <c r="G5966" s="3" t="s">
        <v>10167</v>
      </c>
    </row>
    <row r="5967">
      <c r="A5967" s="3" t="s">
        <v>17677</v>
      </c>
      <c r="B5967" s="3" t="s">
        <v>5684</v>
      </c>
      <c r="C5967" s="5" t="s">
        <v>206</v>
      </c>
      <c r="D5967" s="3" t="s">
        <v>68</v>
      </c>
      <c r="E5967" s="3" t="s">
        <v>100</v>
      </c>
      <c r="F5967" s="7">
        <v>45865.22951612726</v>
      </c>
      <c r="G5967" s="3" t="s">
        <v>10170</v>
      </c>
    </row>
    <row r="5968">
      <c r="A5968" s="3" t="s">
        <v>17679</v>
      </c>
      <c r="B5968" s="3" t="s">
        <v>5688</v>
      </c>
      <c r="C5968" s="5" t="s">
        <v>45</v>
      </c>
      <c r="D5968" s="3" t="s">
        <v>221</v>
      </c>
      <c r="E5968" s="3" t="s">
        <v>224</v>
      </c>
      <c r="F5968" s="7">
        <v>45865.29027430601</v>
      </c>
      <c r="G5968" s="3" t="s">
        <v>7009</v>
      </c>
    </row>
    <row r="5969">
      <c r="A5969" s="3" t="s">
        <v>17681</v>
      </c>
      <c r="B5969" s="3" t="s">
        <v>5688</v>
      </c>
      <c r="C5969" s="5" t="s">
        <v>221</v>
      </c>
      <c r="D5969" s="3" t="s">
        <v>195</v>
      </c>
      <c r="E5969" s="3" t="s">
        <v>224</v>
      </c>
      <c r="F5969" s="7">
        <v>45865.29374652823</v>
      </c>
      <c r="G5969" s="3" t="s">
        <v>17682</v>
      </c>
    </row>
    <row r="5970">
      <c r="A5970" s="3" t="s">
        <v>17684</v>
      </c>
      <c r="B5970" s="3" t="s">
        <v>5692</v>
      </c>
      <c r="C5970" s="5" t="s">
        <v>45</v>
      </c>
      <c r="D5970" s="3" t="s">
        <v>221</v>
      </c>
      <c r="E5970" s="3" t="s">
        <v>247</v>
      </c>
      <c r="F5970" s="7">
        <v>45865.36144915142</v>
      </c>
      <c r="G5970" s="3" t="s">
        <v>17687</v>
      </c>
    </row>
    <row r="5971">
      <c r="A5971" s="3" t="s">
        <v>17689</v>
      </c>
      <c r="B5971" s="3" t="s">
        <v>5692</v>
      </c>
      <c r="C5971" s="5" t="s">
        <v>221</v>
      </c>
      <c r="D5971" s="3" t="s">
        <v>614</v>
      </c>
      <c r="E5971" s="3" t="s">
        <v>118</v>
      </c>
      <c r="F5971" s="7">
        <v>45865.36492137364</v>
      </c>
      <c r="G5971" s="3" t="s">
        <v>17690</v>
      </c>
    </row>
    <row r="5972">
      <c r="A5972" s="3" t="s">
        <v>17691</v>
      </c>
      <c r="B5972" s="3" t="s">
        <v>5692</v>
      </c>
      <c r="C5972" s="5" t="s">
        <v>614</v>
      </c>
      <c r="D5972" s="3" t="s">
        <v>206</v>
      </c>
      <c r="E5972" s="3" t="s">
        <v>100</v>
      </c>
      <c r="F5972" s="7">
        <v>45865.36839359587</v>
      </c>
      <c r="G5972" s="3" t="s">
        <v>17693</v>
      </c>
    </row>
    <row r="5973">
      <c r="A5973" s="3" t="s">
        <v>17694</v>
      </c>
      <c r="B5973" s="3" t="s">
        <v>5692</v>
      </c>
      <c r="C5973" s="5" t="s">
        <v>206</v>
      </c>
      <c r="D5973" s="3" t="s">
        <v>68</v>
      </c>
      <c r="E5973" s="3" t="s">
        <v>100</v>
      </c>
      <c r="F5973" s="7">
        <v>45865.37186581809</v>
      </c>
      <c r="G5973" s="3" t="s">
        <v>17696</v>
      </c>
    </row>
    <row r="5974">
      <c r="A5974" s="3" t="s">
        <v>17697</v>
      </c>
      <c r="B5974" s="3" t="s">
        <v>5695</v>
      </c>
      <c r="C5974" s="5" t="s">
        <v>45</v>
      </c>
      <c r="D5974" s="3" t="s">
        <v>221</v>
      </c>
      <c r="E5974" s="3" t="s">
        <v>934</v>
      </c>
      <c r="F5974" s="7">
        <v>45865.43262399684</v>
      </c>
      <c r="G5974" s="3" t="s">
        <v>7393</v>
      </c>
    </row>
    <row r="5975">
      <c r="A5975" s="3" t="s">
        <v>17699</v>
      </c>
      <c r="B5975" s="3" t="s">
        <v>5695</v>
      </c>
      <c r="C5975" s="5" t="s">
        <v>221</v>
      </c>
      <c r="D5975" s="3" t="s">
        <v>614</v>
      </c>
      <c r="E5975" s="3" t="s">
        <v>118</v>
      </c>
      <c r="F5975" s="7">
        <v>45865.43609621906</v>
      </c>
      <c r="G5975" s="3" t="s">
        <v>7396</v>
      </c>
    </row>
    <row r="5976">
      <c r="A5976" s="3" t="s">
        <v>17701</v>
      </c>
      <c r="B5976" s="3" t="s">
        <v>5695</v>
      </c>
      <c r="C5976" s="5" t="s">
        <v>614</v>
      </c>
      <c r="D5976" s="3" t="s">
        <v>206</v>
      </c>
      <c r="E5976" s="3" t="s">
        <v>100</v>
      </c>
      <c r="F5976" s="7">
        <v>45865.43956844129</v>
      </c>
      <c r="G5976" s="3" t="s">
        <v>7399</v>
      </c>
    </row>
    <row r="5977">
      <c r="A5977" s="3" t="s">
        <v>17703</v>
      </c>
      <c r="B5977" s="3" t="s">
        <v>5695</v>
      </c>
      <c r="C5977" s="5" t="s">
        <v>206</v>
      </c>
      <c r="D5977" s="3" t="s">
        <v>68</v>
      </c>
      <c r="E5977" s="3" t="s">
        <v>100</v>
      </c>
      <c r="F5977" s="7">
        <v>45865.44304066351</v>
      </c>
      <c r="G5977" s="3" t="s">
        <v>7402</v>
      </c>
    </row>
    <row r="5978">
      <c r="A5978" s="3" t="s">
        <v>17704</v>
      </c>
      <c r="B5978" s="3" t="s">
        <v>5698</v>
      </c>
      <c r="C5978" s="5" t="s">
        <v>45</v>
      </c>
      <c r="D5978" s="3" t="s">
        <v>221</v>
      </c>
      <c r="E5978" s="3" t="s">
        <v>130</v>
      </c>
      <c r="F5978" s="7">
        <v>45865.503798842255</v>
      </c>
      <c r="G5978" s="3" t="s">
        <v>17706</v>
      </c>
    </row>
    <row r="5979">
      <c r="A5979" s="3" t="s">
        <v>17707</v>
      </c>
      <c r="B5979" s="3" t="s">
        <v>5698</v>
      </c>
      <c r="C5979" s="5" t="s">
        <v>221</v>
      </c>
      <c r="D5979" s="3" t="s">
        <v>614</v>
      </c>
      <c r="E5979" s="3" t="s">
        <v>118</v>
      </c>
      <c r="F5979" s="7">
        <v>45865.507271064474</v>
      </c>
      <c r="G5979" s="3" t="s">
        <v>17709</v>
      </c>
    </row>
    <row r="5980">
      <c r="A5980" s="3" t="s">
        <v>17710</v>
      </c>
      <c r="B5980" s="3" t="s">
        <v>5698</v>
      </c>
      <c r="C5980" s="5" t="s">
        <v>614</v>
      </c>
      <c r="D5980" s="3" t="s">
        <v>206</v>
      </c>
      <c r="E5980" s="3" t="s">
        <v>100</v>
      </c>
      <c r="F5980" s="7">
        <v>45865.5107432867</v>
      </c>
      <c r="G5980" s="3" t="s">
        <v>17712</v>
      </c>
    </row>
    <row r="5981">
      <c r="A5981" s="3" t="s">
        <v>17713</v>
      </c>
      <c r="B5981" s="3" t="s">
        <v>5698</v>
      </c>
      <c r="C5981" s="5" t="s">
        <v>206</v>
      </c>
      <c r="D5981" s="3" t="s">
        <v>68</v>
      </c>
      <c r="E5981" s="3" t="s">
        <v>100</v>
      </c>
      <c r="F5981" s="7">
        <v>45865.51421550892</v>
      </c>
      <c r="G5981" s="3" t="s">
        <v>17715</v>
      </c>
    </row>
    <row r="5982">
      <c r="A5982" s="3" t="s">
        <v>17716</v>
      </c>
      <c r="B5982" s="3" t="s">
        <v>5702</v>
      </c>
      <c r="C5982" s="5" t="s">
        <v>45</v>
      </c>
      <c r="D5982" s="3" t="s">
        <v>221</v>
      </c>
      <c r="E5982" s="3" t="s">
        <v>290</v>
      </c>
      <c r="F5982" s="7">
        <v>45865.57497368767</v>
      </c>
      <c r="G5982" s="3" t="s">
        <v>15520</v>
      </c>
    </row>
    <row r="5983">
      <c r="A5983" s="3" t="s">
        <v>17718</v>
      </c>
      <c r="B5983" s="3" t="s">
        <v>5702</v>
      </c>
      <c r="C5983" s="5" t="s">
        <v>221</v>
      </c>
      <c r="D5983" s="3" t="s">
        <v>614</v>
      </c>
      <c r="E5983" s="3" t="s">
        <v>118</v>
      </c>
      <c r="F5983" s="7">
        <v>45865.57844590989</v>
      </c>
      <c r="G5983" s="3" t="s">
        <v>15523</v>
      </c>
    </row>
    <row r="5984">
      <c r="A5984" s="3" t="s">
        <v>17719</v>
      </c>
      <c r="B5984" s="3" t="s">
        <v>5702</v>
      </c>
      <c r="C5984" s="5" t="s">
        <v>614</v>
      </c>
      <c r="D5984" s="3" t="s">
        <v>206</v>
      </c>
      <c r="E5984" s="3" t="s">
        <v>100</v>
      </c>
      <c r="F5984" s="7">
        <v>45865.58191813211</v>
      </c>
      <c r="G5984" s="3" t="s">
        <v>15526</v>
      </c>
    </row>
    <row r="5985">
      <c r="A5985" s="3" t="s">
        <v>17721</v>
      </c>
      <c r="B5985" s="3" t="s">
        <v>5702</v>
      </c>
      <c r="C5985" s="5" t="s">
        <v>206</v>
      </c>
      <c r="D5985" s="3" t="s">
        <v>68</v>
      </c>
      <c r="E5985" s="3" t="s">
        <v>100</v>
      </c>
      <c r="F5985" s="7">
        <v>45865.58539035433</v>
      </c>
      <c r="G5985" s="3" t="s">
        <v>15528</v>
      </c>
    </row>
    <row r="5986">
      <c r="A5986" s="3" t="s">
        <v>17723</v>
      </c>
      <c r="B5986" s="3" t="s">
        <v>5705</v>
      </c>
      <c r="C5986" s="5" t="s">
        <v>45</v>
      </c>
      <c r="D5986" s="3" t="s">
        <v>221</v>
      </c>
      <c r="E5986" s="3" t="s">
        <v>414</v>
      </c>
      <c r="F5986" s="7">
        <v>45865.64614853309</v>
      </c>
      <c r="G5986" s="3" t="s">
        <v>17724</v>
      </c>
    </row>
    <row r="5987">
      <c r="A5987" s="3" t="s">
        <v>17726</v>
      </c>
      <c r="B5987" s="3" t="s">
        <v>5705</v>
      </c>
      <c r="C5987" s="5" t="s">
        <v>221</v>
      </c>
      <c r="D5987" s="3" t="s">
        <v>614</v>
      </c>
      <c r="E5987" s="3" t="s">
        <v>118</v>
      </c>
      <c r="F5987" s="7">
        <v>45865.64962075531</v>
      </c>
      <c r="G5987" s="3" t="s">
        <v>17727</v>
      </c>
    </row>
    <row r="5988">
      <c r="A5988" s="3" t="s">
        <v>17728</v>
      </c>
      <c r="B5988" s="3" t="s">
        <v>5705</v>
      </c>
      <c r="C5988" s="5" t="s">
        <v>614</v>
      </c>
      <c r="D5988" s="3" t="s">
        <v>206</v>
      </c>
      <c r="E5988" s="3" t="s">
        <v>100</v>
      </c>
      <c r="F5988" s="7">
        <v>45865.65309297753</v>
      </c>
      <c r="G5988" s="3" t="s">
        <v>17730</v>
      </c>
    </row>
    <row r="5989">
      <c r="A5989" s="3" t="s">
        <v>17731</v>
      </c>
      <c r="B5989" s="3" t="s">
        <v>5705</v>
      </c>
      <c r="C5989" s="5" t="s">
        <v>206</v>
      </c>
      <c r="D5989" s="3" t="s">
        <v>68</v>
      </c>
      <c r="E5989" s="3" t="s">
        <v>100</v>
      </c>
      <c r="F5989" s="7">
        <v>45865.65656519975</v>
      </c>
      <c r="G5989" s="3" t="s">
        <v>17733</v>
      </c>
    </row>
    <row r="5990">
      <c r="A5990" s="3" t="s">
        <v>17734</v>
      </c>
      <c r="B5990" s="3" t="s">
        <v>5708</v>
      </c>
      <c r="C5990" s="5" t="s">
        <v>45</v>
      </c>
      <c r="D5990" s="3" t="s">
        <v>221</v>
      </c>
      <c r="E5990" s="3" t="s">
        <v>243</v>
      </c>
      <c r="F5990" s="7">
        <v>45865.7173233785</v>
      </c>
      <c r="G5990" s="3" t="s">
        <v>17735</v>
      </c>
    </row>
    <row r="5991">
      <c r="A5991" s="3" t="s">
        <v>17737</v>
      </c>
      <c r="B5991" s="3" t="s">
        <v>5708</v>
      </c>
      <c r="C5991" s="5" t="s">
        <v>221</v>
      </c>
      <c r="D5991" s="3" t="s">
        <v>614</v>
      </c>
      <c r="E5991" s="3" t="s">
        <v>118</v>
      </c>
      <c r="F5991" s="7">
        <v>45865.72079560072</v>
      </c>
      <c r="G5991" s="3" t="s">
        <v>17738</v>
      </c>
    </row>
    <row r="5992">
      <c r="A5992" s="3" t="s">
        <v>17739</v>
      </c>
      <c r="B5992" s="3" t="s">
        <v>5708</v>
      </c>
      <c r="C5992" s="5" t="s">
        <v>614</v>
      </c>
      <c r="D5992" s="3" t="s">
        <v>206</v>
      </c>
      <c r="E5992" s="3" t="s">
        <v>100</v>
      </c>
      <c r="F5992" s="7">
        <v>45865.724267822945</v>
      </c>
      <c r="G5992" s="3" t="s">
        <v>17741</v>
      </c>
    </row>
    <row r="5993">
      <c r="A5993" s="3" t="s">
        <v>17742</v>
      </c>
      <c r="B5993" s="3" t="s">
        <v>5708</v>
      </c>
      <c r="C5993" s="5" t="s">
        <v>206</v>
      </c>
      <c r="D5993" s="3" t="s">
        <v>68</v>
      </c>
      <c r="E5993" s="3" t="s">
        <v>100</v>
      </c>
      <c r="F5993" s="7">
        <v>45865.727740045164</v>
      </c>
      <c r="G5993" s="3" t="s">
        <v>17744</v>
      </c>
    </row>
    <row r="5994">
      <c r="A5994" s="3" t="s">
        <v>17745</v>
      </c>
      <c r="B5994" s="3" t="s">
        <v>5711</v>
      </c>
      <c r="C5994" s="5" t="s">
        <v>45</v>
      </c>
      <c r="D5994" s="3" t="s">
        <v>221</v>
      </c>
      <c r="E5994" s="3" t="s">
        <v>913</v>
      </c>
      <c r="F5994" s="7">
        <v>45865.78849822391</v>
      </c>
      <c r="G5994" s="3" t="s">
        <v>17747</v>
      </c>
    </row>
    <row r="5995">
      <c r="A5995" s="3" t="s">
        <v>17748</v>
      </c>
      <c r="B5995" s="3" t="s">
        <v>5711</v>
      </c>
      <c r="C5995" s="5" t="s">
        <v>221</v>
      </c>
      <c r="D5995" s="3" t="s">
        <v>614</v>
      </c>
      <c r="E5995" s="3" t="s">
        <v>118</v>
      </c>
      <c r="F5995" s="7">
        <v>45865.79197044613</v>
      </c>
      <c r="G5995" s="3" t="s">
        <v>17750</v>
      </c>
    </row>
    <row r="5996">
      <c r="A5996" s="3" t="s">
        <v>17751</v>
      </c>
      <c r="B5996" s="3" t="s">
        <v>5711</v>
      </c>
      <c r="C5996" s="5" t="s">
        <v>614</v>
      </c>
      <c r="D5996" s="3" t="s">
        <v>206</v>
      </c>
      <c r="E5996" s="3" t="s">
        <v>100</v>
      </c>
      <c r="F5996" s="7">
        <v>45865.79544266836</v>
      </c>
      <c r="G5996" s="3" t="s">
        <v>17752</v>
      </c>
    </row>
    <row r="5997">
      <c r="A5997" s="3" t="s">
        <v>17754</v>
      </c>
      <c r="B5997" s="3" t="s">
        <v>5711</v>
      </c>
      <c r="C5997" s="5" t="s">
        <v>206</v>
      </c>
      <c r="D5997" s="3" t="s">
        <v>68</v>
      </c>
      <c r="E5997" s="3" t="s">
        <v>100</v>
      </c>
      <c r="F5997" s="7">
        <v>45865.798914890576</v>
      </c>
      <c r="G5997" s="3" t="s">
        <v>17755</v>
      </c>
    </row>
    <row r="5998">
      <c r="A5998" s="3" t="s">
        <v>17757</v>
      </c>
      <c r="B5998" s="3" t="s">
        <v>5715</v>
      </c>
      <c r="C5998" s="5" t="s">
        <v>45</v>
      </c>
      <c r="D5998" s="3" t="s">
        <v>221</v>
      </c>
      <c r="E5998" s="3" t="s">
        <v>369</v>
      </c>
      <c r="F5998" s="7">
        <v>45865.85967306933</v>
      </c>
      <c r="G5998" s="3" t="s">
        <v>17758</v>
      </c>
    </row>
    <row r="5999">
      <c r="A5999" s="3" t="s">
        <v>17759</v>
      </c>
      <c r="B5999" s="3" t="s">
        <v>5715</v>
      </c>
      <c r="C5999" s="5" t="s">
        <v>221</v>
      </c>
      <c r="D5999" s="3" t="s">
        <v>614</v>
      </c>
      <c r="E5999" s="3" t="s">
        <v>118</v>
      </c>
      <c r="F5999" s="7">
        <v>45865.86314529155</v>
      </c>
      <c r="G5999" s="3" t="s">
        <v>17761</v>
      </c>
    </row>
    <row r="6000">
      <c r="A6000" s="3" t="s">
        <v>17762</v>
      </c>
      <c r="B6000" s="3" t="s">
        <v>5715</v>
      </c>
      <c r="C6000" s="5" t="s">
        <v>614</v>
      </c>
      <c r="D6000" s="3" t="s">
        <v>206</v>
      </c>
      <c r="E6000" s="3" t="s">
        <v>100</v>
      </c>
      <c r="F6000" s="7">
        <v>45865.86661751378</v>
      </c>
      <c r="G6000" s="3" t="s">
        <v>17764</v>
      </c>
    </row>
    <row r="6001">
      <c r="A6001" s="3" t="s">
        <v>17765</v>
      </c>
      <c r="B6001" s="3" t="s">
        <v>5715</v>
      </c>
      <c r="C6001" s="5" t="s">
        <v>206</v>
      </c>
      <c r="D6001" s="3" t="s">
        <v>68</v>
      </c>
      <c r="E6001" s="3" t="s">
        <v>100</v>
      </c>
      <c r="F6001" s="7">
        <v>45865.870089735996</v>
      </c>
      <c r="G6001" s="3" t="s">
        <v>17767</v>
      </c>
    </row>
    <row r="6002">
      <c r="A6002" s="3" t="s">
        <v>17768</v>
      </c>
      <c r="B6002" s="3" t="s">
        <v>5718</v>
      </c>
      <c r="C6002" s="5" t="s">
        <v>45</v>
      </c>
      <c r="D6002" s="3" t="s">
        <v>221</v>
      </c>
      <c r="E6002" s="3" t="s">
        <v>698</v>
      </c>
      <c r="F6002" s="7">
        <v>45865.930847914744</v>
      </c>
      <c r="G6002" s="3" t="s">
        <v>2770</v>
      </c>
    </row>
    <row r="6003">
      <c r="A6003" s="3" t="s">
        <v>17770</v>
      </c>
      <c r="B6003" s="3" t="s">
        <v>5718</v>
      </c>
      <c r="C6003" s="5" t="s">
        <v>221</v>
      </c>
      <c r="D6003" s="3" t="s">
        <v>181</v>
      </c>
      <c r="E6003" s="3" t="s">
        <v>118</v>
      </c>
      <c r="F6003" s="7">
        <v>45865.93432013696</v>
      </c>
      <c r="G6003" s="3" t="s">
        <v>2774</v>
      </c>
    </row>
    <row r="6004">
      <c r="A6004" s="3" t="s">
        <v>17772</v>
      </c>
      <c r="B6004" s="3" t="s">
        <v>5720</v>
      </c>
      <c r="C6004" s="5" t="s">
        <v>45</v>
      </c>
      <c r="D6004" s="3" t="s">
        <v>221</v>
      </c>
      <c r="E6004" s="3" t="s">
        <v>151</v>
      </c>
      <c r="F6004" s="7">
        <v>45866.002022760156</v>
      </c>
      <c r="G6004" s="3" t="s">
        <v>17773</v>
      </c>
    </row>
    <row r="6005">
      <c r="A6005" s="3" t="s">
        <v>17775</v>
      </c>
      <c r="B6005" s="3" t="s">
        <v>5720</v>
      </c>
      <c r="C6005" s="5" t="s">
        <v>221</v>
      </c>
      <c r="D6005" s="3" t="s">
        <v>614</v>
      </c>
      <c r="E6005" s="3" t="s">
        <v>118</v>
      </c>
      <c r="F6005" s="7">
        <v>45866.005494982375</v>
      </c>
      <c r="G6005" s="3" t="s">
        <v>17776</v>
      </c>
    </row>
    <row r="6006">
      <c r="A6006" s="3" t="s">
        <v>17777</v>
      </c>
      <c r="B6006" s="3" t="s">
        <v>5720</v>
      </c>
      <c r="C6006" s="5" t="s">
        <v>614</v>
      </c>
      <c r="D6006" s="3" t="s">
        <v>206</v>
      </c>
      <c r="E6006" s="3" t="s">
        <v>100</v>
      </c>
      <c r="F6006" s="7">
        <v>45866.0089672046</v>
      </c>
      <c r="G6006" s="3" t="s">
        <v>17779</v>
      </c>
    </row>
    <row r="6007">
      <c r="A6007" s="3" t="s">
        <v>17780</v>
      </c>
      <c r="B6007" s="3" t="s">
        <v>5720</v>
      </c>
      <c r="C6007" s="5" t="s">
        <v>206</v>
      </c>
      <c r="D6007" s="3" t="s">
        <v>68</v>
      </c>
      <c r="E6007" s="3" t="s">
        <v>100</v>
      </c>
      <c r="F6007" s="7">
        <v>45866.01243942682</v>
      </c>
      <c r="G6007" s="3" t="s">
        <v>17782</v>
      </c>
    </row>
    <row r="6008">
      <c r="A6008" s="3" t="s">
        <v>17783</v>
      </c>
      <c r="B6008" s="3" t="s">
        <v>5722</v>
      </c>
      <c r="C6008" s="5" t="s">
        <v>45</v>
      </c>
      <c r="D6008" s="3" t="s">
        <v>221</v>
      </c>
      <c r="E6008" s="3" t="s">
        <v>333</v>
      </c>
      <c r="F6008" s="7">
        <v>45866.073197605576</v>
      </c>
      <c r="G6008" s="3" t="s">
        <v>17785</v>
      </c>
    </row>
    <row r="6009">
      <c r="A6009" s="3" t="s">
        <v>17786</v>
      </c>
      <c r="B6009" s="3" t="s">
        <v>5722</v>
      </c>
      <c r="C6009" s="5" t="s">
        <v>221</v>
      </c>
      <c r="D6009" s="3" t="s">
        <v>614</v>
      </c>
      <c r="E6009" s="3" t="s">
        <v>118</v>
      </c>
      <c r="F6009" s="7">
        <v>45866.076669827795</v>
      </c>
      <c r="G6009" s="3" t="s">
        <v>17788</v>
      </c>
    </row>
    <row r="6010">
      <c r="A6010" s="3" t="s">
        <v>17789</v>
      </c>
      <c r="B6010" s="3" t="s">
        <v>5722</v>
      </c>
      <c r="C6010" s="5" t="s">
        <v>614</v>
      </c>
      <c r="D6010" s="3" t="s">
        <v>206</v>
      </c>
      <c r="E6010" s="3" t="s">
        <v>100</v>
      </c>
      <c r="F6010" s="7">
        <v>45866.08014205002</v>
      </c>
      <c r="G6010" s="3" t="s">
        <v>17791</v>
      </c>
    </row>
    <row r="6011">
      <c r="A6011" s="3" t="s">
        <v>17792</v>
      </c>
      <c r="B6011" s="3" t="s">
        <v>5722</v>
      </c>
      <c r="C6011" s="5" t="s">
        <v>206</v>
      </c>
      <c r="D6011" s="3" t="s">
        <v>68</v>
      </c>
      <c r="E6011" s="3" t="s">
        <v>100</v>
      </c>
      <c r="F6011" s="7">
        <v>45866.08361427224</v>
      </c>
      <c r="G6011" s="3" t="s">
        <v>17793</v>
      </c>
    </row>
    <row r="6012">
      <c r="A6012" s="3" t="s">
        <v>17794</v>
      </c>
      <c r="B6012" s="3" t="s">
        <v>5725</v>
      </c>
      <c r="C6012" s="5" t="s">
        <v>45</v>
      </c>
      <c r="D6012" s="3" t="s">
        <v>221</v>
      </c>
      <c r="E6012" s="3" t="s">
        <v>230</v>
      </c>
      <c r="F6012" s="7">
        <v>45866.144372450995</v>
      </c>
      <c r="G6012" s="3" t="s">
        <v>15734</v>
      </c>
    </row>
    <row r="6013">
      <c r="A6013" s="3" t="s">
        <v>17796</v>
      </c>
      <c r="B6013" s="3" t="s">
        <v>5725</v>
      </c>
      <c r="C6013" s="5" t="s">
        <v>221</v>
      </c>
      <c r="D6013" s="3" t="s">
        <v>614</v>
      </c>
      <c r="E6013" s="3" t="s">
        <v>118</v>
      </c>
      <c r="F6013" s="7">
        <v>45866.147844673214</v>
      </c>
      <c r="G6013" s="3" t="s">
        <v>15737</v>
      </c>
    </row>
    <row r="6014">
      <c r="A6014" s="3" t="s">
        <v>17798</v>
      </c>
      <c r="B6014" s="3" t="s">
        <v>5725</v>
      </c>
      <c r="C6014" s="5" t="s">
        <v>614</v>
      </c>
      <c r="D6014" s="3" t="s">
        <v>206</v>
      </c>
      <c r="E6014" s="3" t="s">
        <v>100</v>
      </c>
      <c r="F6014" s="7">
        <v>45866.15131689544</v>
      </c>
      <c r="G6014" s="3" t="s">
        <v>15740</v>
      </c>
    </row>
    <row r="6015">
      <c r="A6015" s="3" t="s">
        <v>17800</v>
      </c>
      <c r="B6015" s="3" t="s">
        <v>5725</v>
      </c>
      <c r="C6015" s="5" t="s">
        <v>206</v>
      </c>
      <c r="D6015" s="3" t="s">
        <v>68</v>
      </c>
      <c r="E6015" s="3" t="s">
        <v>100</v>
      </c>
      <c r="F6015" s="7">
        <v>45866.15478911766</v>
      </c>
      <c r="G6015" s="3" t="s">
        <v>15743</v>
      </c>
    </row>
    <row r="6016">
      <c r="A6016" s="3" t="s">
        <v>17802</v>
      </c>
      <c r="B6016" s="3" t="s">
        <v>5728</v>
      </c>
      <c r="C6016" s="5" t="s">
        <v>45</v>
      </c>
      <c r="D6016" s="3" t="s">
        <v>221</v>
      </c>
      <c r="E6016" s="3" t="s">
        <v>778</v>
      </c>
      <c r="F6016" s="7">
        <v>45866.2155472964</v>
      </c>
      <c r="G6016" s="3" t="s">
        <v>15416</v>
      </c>
    </row>
    <row r="6017">
      <c r="A6017" s="3" t="s">
        <v>17804</v>
      </c>
      <c r="B6017" s="3" t="s">
        <v>5728</v>
      </c>
      <c r="C6017" s="5" t="s">
        <v>221</v>
      </c>
      <c r="D6017" s="3" t="s">
        <v>614</v>
      </c>
      <c r="E6017" s="3" t="s">
        <v>118</v>
      </c>
      <c r="F6017" s="7">
        <v>45866.21901951862</v>
      </c>
      <c r="G6017" s="3" t="s">
        <v>15419</v>
      </c>
    </row>
    <row r="6018">
      <c r="A6018" s="3" t="s">
        <v>17805</v>
      </c>
      <c r="B6018" s="3" t="s">
        <v>5728</v>
      </c>
      <c r="C6018" s="5" t="s">
        <v>614</v>
      </c>
      <c r="D6018" s="3" t="s">
        <v>206</v>
      </c>
      <c r="E6018" s="3" t="s">
        <v>100</v>
      </c>
      <c r="F6018" s="7">
        <v>45866.222491740846</v>
      </c>
      <c r="G6018" s="3" t="s">
        <v>15422</v>
      </c>
    </row>
    <row r="6019">
      <c r="A6019" s="3" t="s">
        <v>17807</v>
      </c>
      <c r="B6019" s="3" t="s">
        <v>5728</v>
      </c>
      <c r="C6019" s="5" t="s">
        <v>206</v>
      </c>
      <c r="D6019" s="3" t="s">
        <v>68</v>
      </c>
      <c r="E6019" s="3" t="s">
        <v>100</v>
      </c>
      <c r="F6019" s="7">
        <v>45866.225963963065</v>
      </c>
      <c r="G6019" s="3" t="s">
        <v>15425</v>
      </c>
    </row>
    <row r="6020">
      <c r="A6020" s="3" t="s">
        <v>17809</v>
      </c>
      <c r="B6020" s="3" t="s">
        <v>5731</v>
      </c>
      <c r="C6020" s="5" t="s">
        <v>45</v>
      </c>
      <c r="D6020" s="3" t="s">
        <v>221</v>
      </c>
      <c r="E6020" s="3" t="s">
        <v>778</v>
      </c>
      <c r="F6020" s="7">
        <v>45866.28672214182</v>
      </c>
      <c r="G6020" s="3" t="s">
        <v>17810</v>
      </c>
    </row>
    <row r="6021">
      <c r="A6021" s="3" t="s">
        <v>17812</v>
      </c>
      <c r="B6021" s="3" t="s">
        <v>5731</v>
      </c>
      <c r="C6021" s="5" t="s">
        <v>221</v>
      </c>
      <c r="D6021" s="3" t="s">
        <v>614</v>
      </c>
      <c r="E6021" s="3" t="s">
        <v>118</v>
      </c>
      <c r="F6021" s="7">
        <v>45866.29019436404</v>
      </c>
      <c r="G6021" s="3" t="s">
        <v>17813</v>
      </c>
    </row>
    <row r="6022">
      <c r="A6022" s="3" t="s">
        <v>17814</v>
      </c>
      <c r="B6022" s="3" t="s">
        <v>5731</v>
      </c>
      <c r="C6022" s="5" t="s">
        <v>614</v>
      </c>
      <c r="D6022" s="3" t="s">
        <v>206</v>
      </c>
      <c r="E6022" s="3" t="s">
        <v>100</v>
      </c>
      <c r="F6022" s="7">
        <v>45866.293666586265</v>
      </c>
      <c r="G6022" s="3" t="s">
        <v>17816</v>
      </c>
    </row>
    <row r="6023">
      <c r="A6023" s="3" t="s">
        <v>17817</v>
      </c>
      <c r="B6023" s="3" t="s">
        <v>5731</v>
      </c>
      <c r="C6023" s="5" t="s">
        <v>206</v>
      </c>
      <c r="D6023" s="3" t="s">
        <v>68</v>
      </c>
      <c r="E6023" s="3" t="s">
        <v>100</v>
      </c>
      <c r="F6023" s="7">
        <v>45866.297138808484</v>
      </c>
      <c r="G6023" s="3" t="s">
        <v>17819</v>
      </c>
    </row>
    <row r="6024">
      <c r="A6024" s="3" t="s">
        <v>17820</v>
      </c>
      <c r="B6024" s="3" t="s">
        <v>5734</v>
      </c>
      <c r="C6024" s="5" t="s">
        <v>45</v>
      </c>
      <c r="D6024" s="3" t="s">
        <v>221</v>
      </c>
      <c r="E6024" s="3" t="s">
        <v>369</v>
      </c>
      <c r="F6024" s="7">
        <v>45866.35789698724</v>
      </c>
      <c r="G6024" s="3" t="s">
        <v>17822</v>
      </c>
    </row>
    <row r="6025">
      <c r="A6025" s="3" t="s">
        <v>17823</v>
      </c>
      <c r="B6025" s="3" t="s">
        <v>5734</v>
      </c>
      <c r="C6025" s="5" t="s">
        <v>221</v>
      </c>
      <c r="D6025" s="3" t="s">
        <v>614</v>
      </c>
      <c r="E6025" s="3" t="s">
        <v>118</v>
      </c>
      <c r="F6025" s="7">
        <v>45866.36136920946</v>
      </c>
      <c r="G6025" s="3" t="s">
        <v>17824</v>
      </c>
    </row>
    <row r="6026">
      <c r="A6026" s="3" t="s">
        <v>17825</v>
      </c>
      <c r="B6026" s="3" t="s">
        <v>5734</v>
      </c>
      <c r="C6026" s="5" t="s">
        <v>614</v>
      </c>
      <c r="D6026" s="3" t="s">
        <v>206</v>
      </c>
      <c r="E6026" s="3" t="s">
        <v>100</v>
      </c>
      <c r="F6026" s="7">
        <v>45866.364841431685</v>
      </c>
      <c r="G6026" s="3" t="s">
        <v>17826</v>
      </c>
    </row>
    <row r="6027">
      <c r="A6027" s="3" t="s">
        <v>17827</v>
      </c>
      <c r="B6027" s="3" t="s">
        <v>5734</v>
      </c>
      <c r="C6027" s="5" t="s">
        <v>206</v>
      </c>
      <c r="D6027" s="3" t="s">
        <v>68</v>
      </c>
      <c r="E6027" s="3" t="s">
        <v>100</v>
      </c>
      <c r="F6027" s="7">
        <v>45866.368313653904</v>
      </c>
      <c r="G6027" s="3" t="s">
        <v>17828</v>
      </c>
    </row>
    <row r="6028">
      <c r="A6028" s="3" t="s">
        <v>17829</v>
      </c>
      <c r="B6028" s="3" t="s">
        <v>5737</v>
      </c>
      <c r="C6028" s="5" t="s">
        <v>45</v>
      </c>
      <c r="D6028" s="3" t="s">
        <v>221</v>
      </c>
      <c r="E6028" s="3" t="s">
        <v>773</v>
      </c>
      <c r="F6028" s="7">
        <v>45866.42907183265</v>
      </c>
      <c r="G6028" s="3" t="s">
        <v>17831</v>
      </c>
    </row>
    <row r="6029">
      <c r="A6029" s="3" t="s">
        <v>17832</v>
      </c>
      <c r="B6029" s="3" t="s">
        <v>5737</v>
      </c>
      <c r="C6029" s="5" t="s">
        <v>221</v>
      </c>
      <c r="D6029" s="3" t="s">
        <v>614</v>
      </c>
      <c r="E6029" s="3" t="s">
        <v>118</v>
      </c>
      <c r="F6029" s="7">
        <v>45866.43254405487</v>
      </c>
      <c r="G6029" s="3" t="s">
        <v>17834</v>
      </c>
    </row>
    <row r="6030">
      <c r="A6030" s="3" t="s">
        <v>17835</v>
      </c>
      <c r="B6030" s="3" t="s">
        <v>5737</v>
      </c>
      <c r="C6030" s="5" t="s">
        <v>614</v>
      </c>
      <c r="D6030" s="3" t="s">
        <v>206</v>
      </c>
      <c r="E6030" s="3" t="s">
        <v>100</v>
      </c>
      <c r="F6030" s="7">
        <v>45866.4360162771</v>
      </c>
      <c r="G6030" s="3" t="s">
        <v>17837</v>
      </c>
    </row>
    <row r="6031">
      <c r="A6031" s="3" t="s">
        <v>17838</v>
      </c>
      <c r="B6031" s="3" t="s">
        <v>5737</v>
      </c>
      <c r="C6031" s="5" t="s">
        <v>206</v>
      </c>
      <c r="D6031" s="3" t="s">
        <v>68</v>
      </c>
      <c r="E6031" s="3" t="s">
        <v>100</v>
      </c>
      <c r="F6031" s="7">
        <v>45866.439488499316</v>
      </c>
      <c r="G6031" s="3" t="s">
        <v>17840</v>
      </c>
    </row>
    <row r="6032">
      <c r="A6032" s="3" t="s">
        <v>17841</v>
      </c>
      <c r="B6032" s="3" t="s">
        <v>5740</v>
      </c>
      <c r="C6032" s="5" t="s">
        <v>45</v>
      </c>
      <c r="D6032" s="3" t="s">
        <v>221</v>
      </c>
      <c r="E6032" s="3" t="s">
        <v>544</v>
      </c>
      <c r="F6032" s="7">
        <v>45866.500246678064</v>
      </c>
      <c r="G6032" s="3" t="s">
        <v>17843</v>
      </c>
    </row>
    <row r="6033">
      <c r="A6033" s="3" t="s">
        <v>17844</v>
      </c>
      <c r="B6033" s="3" t="s">
        <v>5740</v>
      </c>
      <c r="C6033" s="5" t="s">
        <v>221</v>
      </c>
      <c r="D6033" s="3" t="s">
        <v>614</v>
      </c>
      <c r="E6033" s="3" t="s">
        <v>118</v>
      </c>
      <c r="F6033" s="7">
        <v>45866.50371890028</v>
      </c>
      <c r="G6033" s="3" t="s">
        <v>17846</v>
      </c>
    </row>
    <row r="6034">
      <c r="A6034" s="3" t="s">
        <v>17847</v>
      </c>
      <c r="B6034" s="3" t="s">
        <v>5740</v>
      </c>
      <c r="C6034" s="5" t="s">
        <v>614</v>
      </c>
      <c r="D6034" s="3" t="s">
        <v>206</v>
      </c>
      <c r="E6034" s="3" t="s">
        <v>100</v>
      </c>
      <c r="F6034" s="7">
        <v>45866.50719112251</v>
      </c>
      <c r="G6034" s="3" t="s">
        <v>17849</v>
      </c>
    </row>
    <row r="6035">
      <c r="A6035" s="3" t="s">
        <v>17850</v>
      </c>
      <c r="B6035" s="3" t="s">
        <v>5740</v>
      </c>
      <c r="C6035" s="5" t="s">
        <v>206</v>
      </c>
      <c r="D6035" s="3" t="s">
        <v>68</v>
      </c>
      <c r="E6035" s="3" t="s">
        <v>100</v>
      </c>
      <c r="F6035" s="7">
        <v>45866.51066334473</v>
      </c>
      <c r="G6035" s="3" t="s">
        <v>17851</v>
      </c>
    </row>
    <row r="6036">
      <c r="A6036" s="3" t="s">
        <v>17853</v>
      </c>
      <c r="B6036" s="3" t="s">
        <v>5743</v>
      </c>
      <c r="C6036" s="5" t="s">
        <v>45</v>
      </c>
      <c r="D6036" s="3" t="s">
        <v>221</v>
      </c>
      <c r="E6036" s="3" t="s">
        <v>765</v>
      </c>
      <c r="F6036" s="7">
        <v>45866.571421523484</v>
      </c>
      <c r="G6036" s="3" t="s">
        <v>17854</v>
      </c>
    </row>
    <row r="6037">
      <c r="A6037" s="3" t="s">
        <v>17856</v>
      </c>
      <c r="B6037" s="3" t="s">
        <v>5743</v>
      </c>
      <c r="C6037" s="5" t="s">
        <v>221</v>
      </c>
      <c r="D6037" s="3" t="s">
        <v>614</v>
      </c>
      <c r="E6037" s="3" t="s">
        <v>118</v>
      </c>
      <c r="F6037" s="7">
        <v>45866.5748937457</v>
      </c>
      <c r="G6037" s="3" t="s">
        <v>17857</v>
      </c>
    </row>
    <row r="6038">
      <c r="A6038" s="3" t="s">
        <v>17858</v>
      </c>
      <c r="B6038" s="3" t="s">
        <v>5743</v>
      </c>
      <c r="C6038" s="5" t="s">
        <v>614</v>
      </c>
      <c r="D6038" s="3" t="s">
        <v>206</v>
      </c>
      <c r="E6038" s="3" t="s">
        <v>100</v>
      </c>
      <c r="F6038" s="7">
        <v>45866.57836596793</v>
      </c>
      <c r="G6038" s="3" t="s">
        <v>17860</v>
      </c>
    </row>
    <row r="6039">
      <c r="A6039" s="3" t="s">
        <v>17861</v>
      </c>
      <c r="B6039" s="3" t="s">
        <v>5743</v>
      </c>
      <c r="C6039" s="5" t="s">
        <v>206</v>
      </c>
      <c r="D6039" s="3" t="s">
        <v>68</v>
      </c>
      <c r="E6039" s="3" t="s">
        <v>100</v>
      </c>
      <c r="F6039" s="7">
        <v>45866.58183819015</v>
      </c>
      <c r="G6039" s="3" t="s">
        <v>17863</v>
      </c>
    </row>
    <row r="6040">
      <c r="A6040" s="3" t="s">
        <v>17864</v>
      </c>
      <c r="B6040" s="3" t="s">
        <v>5746</v>
      </c>
      <c r="C6040" s="5" t="s">
        <v>45</v>
      </c>
      <c r="D6040" s="3" t="s">
        <v>221</v>
      </c>
      <c r="E6040" s="3" t="s">
        <v>913</v>
      </c>
      <c r="F6040" s="7">
        <v>45866.642596368896</v>
      </c>
      <c r="G6040" s="3" t="s">
        <v>17747</v>
      </c>
    </row>
    <row r="6041">
      <c r="A6041" s="3" t="s">
        <v>17865</v>
      </c>
      <c r="B6041" s="3" t="s">
        <v>5746</v>
      </c>
      <c r="C6041" s="5" t="s">
        <v>221</v>
      </c>
      <c r="D6041" s="3" t="s">
        <v>614</v>
      </c>
      <c r="E6041" s="3" t="s">
        <v>118</v>
      </c>
      <c r="F6041" s="7">
        <v>45866.646068591115</v>
      </c>
      <c r="G6041" s="3" t="s">
        <v>17750</v>
      </c>
    </row>
    <row r="6042">
      <c r="A6042" s="3" t="s">
        <v>17867</v>
      </c>
      <c r="B6042" s="3" t="s">
        <v>5746</v>
      </c>
      <c r="C6042" s="5" t="s">
        <v>614</v>
      </c>
      <c r="D6042" s="3" t="s">
        <v>206</v>
      </c>
      <c r="E6042" s="3" t="s">
        <v>100</v>
      </c>
      <c r="F6042" s="7">
        <v>45866.64954081334</v>
      </c>
      <c r="G6042" s="3" t="s">
        <v>17752</v>
      </c>
    </row>
    <row r="6043">
      <c r="A6043" s="3" t="s">
        <v>17869</v>
      </c>
      <c r="B6043" s="3" t="s">
        <v>5746</v>
      </c>
      <c r="C6043" s="5" t="s">
        <v>206</v>
      </c>
      <c r="D6043" s="3" t="s">
        <v>68</v>
      </c>
      <c r="E6043" s="3" t="s">
        <v>100</v>
      </c>
      <c r="F6043" s="7">
        <v>45866.65301303556</v>
      </c>
      <c r="G6043" s="3" t="s">
        <v>17755</v>
      </c>
    </row>
    <row r="6044">
      <c r="A6044" s="3" t="s">
        <v>17871</v>
      </c>
      <c r="B6044" s="3" t="s">
        <v>5749</v>
      </c>
      <c r="C6044" s="5" t="s">
        <v>45</v>
      </c>
      <c r="D6044" s="3" t="s">
        <v>221</v>
      </c>
      <c r="E6044" s="3" t="s">
        <v>763</v>
      </c>
      <c r="F6044" s="7">
        <v>45866.71377121431</v>
      </c>
      <c r="G6044" s="3" t="s">
        <v>17873</v>
      </c>
    </row>
    <row r="6045">
      <c r="A6045" s="3" t="s">
        <v>17874</v>
      </c>
      <c r="B6045" s="3" t="s">
        <v>5749</v>
      </c>
      <c r="C6045" s="5" t="s">
        <v>221</v>
      </c>
      <c r="D6045" s="3" t="s">
        <v>614</v>
      </c>
      <c r="E6045" s="3" t="s">
        <v>118</v>
      </c>
      <c r="F6045" s="7">
        <v>45866.71724343653</v>
      </c>
      <c r="G6045" s="3" t="s">
        <v>17876</v>
      </c>
    </row>
    <row r="6046">
      <c r="A6046" s="3" t="s">
        <v>17877</v>
      </c>
      <c r="B6046" s="3" t="s">
        <v>5749</v>
      </c>
      <c r="C6046" s="5" t="s">
        <v>614</v>
      </c>
      <c r="D6046" s="3" t="s">
        <v>206</v>
      </c>
      <c r="E6046" s="3" t="s">
        <v>100</v>
      </c>
      <c r="F6046" s="7">
        <v>45866.720715658754</v>
      </c>
      <c r="G6046" s="3" t="s">
        <v>17878</v>
      </c>
    </row>
    <row r="6047">
      <c r="A6047" s="3" t="s">
        <v>17879</v>
      </c>
      <c r="B6047" s="3" t="s">
        <v>5749</v>
      </c>
      <c r="C6047" s="5" t="s">
        <v>206</v>
      </c>
      <c r="D6047" s="3" t="s">
        <v>68</v>
      </c>
      <c r="E6047" s="3" t="s">
        <v>100</v>
      </c>
      <c r="F6047" s="7">
        <v>45866.72418788097</v>
      </c>
      <c r="G6047" s="3" t="s">
        <v>17881</v>
      </c>
    </row>
    <row r="6048">
      <c r="A6048" s="3" t="s">
        <v>17882</v>
      </c>
      <c r="B6048" s="3" t="s">
        <v>5752</v>
      </c>
      <c r="C6048" s="5" t="s">
        <v>45</v>
      </c>
      <c r="D6048" s="3" t="s">
        <v>221</v>
      </c>
      <c r="E6048" s="3" t="s">
        <v>557</v>
      </c>
      <c r="F6048" s="7">
        <v>45866.78494605973</v>
      </c>
      <c r="G6048" s="3" t="s">
        <v>16066</v>
      </c>
    </row>
    <row r="6049">
      <c r="A6049" s="3" t="s">
        <v>17884</v>
      </c>
      <c r="B6049" s="3" t="s">
        <v>5752</v>
      </c>
      <c r="C6049" s="5" t="s">
        <v>221</v>
      </c>
      <c r="D6049" s="3" t="s">
        <v>614</v>
      </c>
      <c r="E6049" s="3" t="s">
        <v>118</v>
      </c>
      <c r="F6049" s="7">
        <v>45866.78841828195</v>
      </c>
      <c r="G6049" s="3" t="s">
        <v>16069</v>
      </c>
    </row>
    <row r="6050">
      <c r="A6050" s="3" t="s">
        <v>17886</v>
      </c>
      <c r="B6050" s="3" t="s">
        <v>5752</v>
      </c>
      <c r="C6050" s="5" t="s">
        <v>614</v>
      </c>
      <c r="D6050" s="3" t="s">
        <v>206</v>
      </c>
      <c r="E6050" s="3" t="s">
        <v>100</v>
      </c>
      <c r="F6050" s="7">
        <v>45866.79189050417</v>
      </c>
      <c r="G6050" s="3" t="s">
        <v>16072</v>
      </c>
    </row>
    <row r="6051">
      <c r="A6051" s="3" t="s">
        <v>17888</v>
      </c>
      <c r="B6051" s="3" t="s">
        <v>5752</v>
      </c>
      <c r="C6051" s="5" t="s">
        <v>206</v>
      </c>
      <c r="D6051" s="3" t="s">
        <v>68</v>
      </c>
      <c r="E6051" s="3" t="s">
        <v>100</v>
      </c>
      <c r="F6051" s="7">
        <v>45866.79536272639</v>
      </c>
      <c r="G6051" s="3" t="s">
        <v>16074</v>
      </c>
    </row>
    <row r="6052">
      <c r="A6052" s="3" t="s">
        <v>17890</v>
      </c>
      <c r="B6052" s="3" t="s">
        <v>5756</v>
      </c>
      <c r="C6052" s="5" t="s">
        <v>45</v>
      </c>
      <c r="D6052" s="3" t="s">
        <v>221</v>
      </c>
      <c r="E6052" s="3" t="s">
        <v>519</v>
      </c>
      <c r="F6052" s="7">
        <v>45866.85612090514</v>
      </c>
      <c r="G6052" s="3" t="s">
        <v>17892</v>
      </c>
    </row>
    <row r="6053">
      <c r="A6053" s="3" t="s">
        <v>17893</v>
      </c>
      <c r="B6053" s="3" t="s">
        <v>5756</v>
      </c>
      <c r="C6053" s="5" t="s">
        <v>221</v>
      </c>
      <c r="D6053" s="3" t="s">
        <v>614</v>
      </c>
      <c r="E6053" s="3" t="s">
        <v>118</v>
      </c>
      <c r="F6053" s="7">
        <v>45866.85959312736</v>
      </c>
      <c r="G6053" s="3" t="s">
        <v>17895</v>
      </c>
    </row>
    <row r="6054">
      <c r="A6054" s="3" t="s">
        <v>17896</v>
      </c>
      <c r="B6054" s="3" t="s">
        <v>5756</v>
      </c>
      <c r="C6054" s="5" t="s">
        <v>614</v>
      </c>
      <c r="D6054" s="3" t="s">
        <v>206</v>
      </c>
      <c r="E6054" s="3" t="s">
        <v>100</v>
      </c>
      <c r="F6054" s="7">
        <v>45866.863065349586</v>
      </c>
      <c r="G6054" s="3" t="s">
        <v>17897</v>
      </c>
    </row>
    <row r="6055">
      <c r="A6055" s="3" t="s">
        <v>17899</v>
      </c>
      <c r="B6055" s="3" t="s">
        <v>5756</v>
      </c>
      <c r="C6055" s="5" t="s">
        <v>206</v>
      </c>
      <c r="D6055" s="3" t="s">
        <v>68</v>
      </c>
      <c r="E6055" s="3" t="s">
        <v>100</v>
      </c>
      <c r="F6055" s="7">
        <v>45866.866537571805</v>
      </c>
      <c r="G6055" s="3" t="s">
        <v>17900</v>
      </c>
    </row>
    <row r="6056">
      <c r="A6056" s="3" t="s">
        <v>17901</v>
      </c>
      <c r="B6056" s="3" t="s">
        <v>5759</v>
      </c>
      <c r="C6056" s="5" t="s">
        <v>45</v>
      </c>
      <c r="D6056" s="3" t="s">
        <v>221</v>
      </c>
      <c r="E6056" s="3" t="s">
        <v>805</v>
      </c>
      <c r="F6056" s="7">
        <v>45866.92729575055</v>
      </c>
      <c r="G6056" s="3" t="s">
        <v>11950</v>
      </c>
    </row>
    <row r="6057">
      <c r="A6057" s="3" t="s">
        <v>17903</v>
      </c>
      <c r="B6057" s="3" t="s">
        <v>5759</v>
      </c>
      <c r="C6057" s="5" t="s">
        <v>221</v>
      </c>
      <c r="D6057" s="3" t="s">
        <v>614</v>
      </c>
      <c r="E6057" s="3" t="s">
        <v>118</v>
      </c>
      <c r="F6057" s="7">
        <v>45866.93076797277</v>
      </c>
      <c r="G6057" s="3" t="s">
        <v>11953</v>
      </c>
    </row>
    <row r="6058">
      <c r="A6058" s="3" t="s">
        <v>17905</v>
      </c>
      <c r="B6058" s="3" t="s">
        <v>5759</v>
      </c>
      <c r="C6058" s="5" t="s">
        <v>614</v>
      </c>
      <c r="D6058" s="3" t="s">
        <v>206</v>
      </c>
      <c r="E6058" s="3" t="s">
        <v>100</v>
      </c>
      <c r="F6058" s="7">
        <v>45866.934240195</v>
      </c>
      <c r="G6058" s="3" t="s">
        <v>11956</v>
      </c>
    </row>
    <row r="6059">
      <c r="A6059" s="3" t="s">
        <v>17907</v>
      </c>
      <c r="B6059" s="3" t="s">
        <v>5759</v>
      </c>
      <c r="C6059" s="5" t="s">
        <v>206</v>
      </c>
      <c r="D6059" s="3" t="s">
        <v>68</v>
      </c>
      <c r="E6059" s="3" t="s">
        <v>100</v>
      </c>
      <c r="F6059" s="7">
        <v>45866.93771241722</v>
      </c>
      <c r="G6059" s="3" t="s">
        <v>11959</v>
      </c>
    </row>
    <row r="6060">
      <c r="A6060" s="3" t="s">
        <v>17909</v>
      </c>
      <c r="B6060" s="3" t="s">
        <v>5763</v>
      </c>
      <c r="C6060" s="5" t="s">
        <v>45</v>
      </c>
      <c r="D6060" s="3" t="s">
        <v>221</v>
      </c>
      <c r="E6060" s="3" t="s">
        <v>587</v>
      </c>
      <c r="F6060" s="7">
        <v>45866.99847059597</v>
      </c>
      <c r="G6060" s="3" t="s">
        <v>17911</v>
      </c>
    </row>
    <row r="6061">
      <c r="A6061" s="3" t="s">
        <v>17912</v>
      </c>
      <c r="B6061" s="3" t="s">
        <v>5763</v>
      </c>
      <c r="C6061" s="5" t="s">
        <v>221</v>
      </c>
      <c r="D6061" s="3" t="s">
        <v>614</v>
      </c>
      <c r="E6061" s="3" t="s">
        <v>118</v>
      </c>
      <c r="F6061" s="7">
        <v>45867.00194281819</v>
      </c>
      <c r="G6061" s="3" t="s">
        <v>17914</v>
      </c>
    </row>
    <row r="6062">
      <c r="A6062" s="3" t="s">
        <v>17915</v>
      </c>
      <c r="B6062" s="3" t="s">
        <v>5763</v>
      </c>
      <c r="C6062" s="5" t="s">
        <v>614</v>
      </c>
      <c r="D6062" s="3" t="s">
        <v>206</v>
      </c>
      <c r="E6062" s="3" t="s">
        <v>100</v>
      </c>
      <c r="F6062" s="7">
        <v>45867.00541504042</v>
      </c>
      <c r="G6062" s="3" t="s">
        <v>17917</v>
      </c>
    </row>
    <row r="6063">
      <c r="A6063" s="3" t="s">
        <v>17918</v>
      </c>
      <c r="B6063" s="3" t="s">
        <v>5763</v>
      </c>
      <c r="C6063" s="5" t="s">
        <v>206</v>
      </c>
      <c r="D6063" s="3" t="s">
        <v>68</v>
      </c>
      <c r="E6063" s="3" t="s">
        <v>100</v>
      </c>
      <c r="F6063" s="7">
        <v>45867.00888726264</v>
      </c>
      <c r="G6063" s="3" t="s">
        <v>17920</v>
      </c>
    </row>
    <row r="6064">
      <c r="A6064" s="3" t="s">
        <v>17921</v>
      </c>
      <c r="B6064" s="3" t="s">
        <v>5766</v>
      </c>
      <c r="C6064" s="5" t="s">
        <v>45</v>
      </c>
      <c r="D6064" s="3" t="s">
        <v>221</v>
      </c>
      <c r="E6064" s="3" t="s">
        <v>168</v>
      </c>
      <c r="F6064" s="7">
        <v>45867.069645441385</v>
      </c>
      <c r="G6064" s="3" t="s">
        <v>17923</v>
      </c>
    </row>
    <row r="6065">
      <c r="A6065" s="3" t="s">
        <v>17924</v>
      </c>
      <c r="B6065" s="3" t="s">
        <v>5766</v>
      </c>
      <c r="C6065" s="5" t="s">
        <v>221</v>
      </c>
      <c r="D6065" s="3" t="s">
        <v>614</v>
      </c>
      <c r="E6065" s="3" t="s">
        <v>118</v>
      </c>
      <c r="F6065" s="7">
        <v>45867.0731176636</v>
      </c>
      <c r="G6065" s="3" t="s">
        <v>17926</v>
      </c>
    </row>
    <row r="6066">
      <c r="A6066" s="3" t="s">
        <v>17927</v>
      </c>
      <c r="B6066" s="3" t="s">
        <v>5766</v>
      </c>
      <c r="C6066" s="5" t="s">
        <v>614</v>
      </c>
      <c r="D6066" s="3" t="s">
        <v>206</v>
      </c>
      <c r="E6066" s="3" t="s">
        <v>100</v>
      </c>
      <c r="F6066" s="7">
        <v>45867.07658988583</v>
      </c>
      <c r="G6066" s="3" t="s">
        <v>17929</v>
      </c>
    </row>
    <row r="6067">
      <c r="A6067" s="3" t="s">
        <v>17930</v>
      </c>
      <c r="B6067" s="3" t="s">
        <v>5766</v>
      </c>
      <c r="C6067" s="5" t="s">
        <v>206</v>
      </c>
      <c r="D6067" s="3" t="s">
        <v>68</v>
      </c>
      <c r="E6067" s="3" t="s">
        <v>100</v>
      </c>
      <c r="F6067" s="7">
        <v>45867.08006210805</v>
      </c>
      <c r="G6067" s="3" t="s">
        <v>17932</v>
      </c>
    </row>
    <row r="6068">
      <c r="A6068" s="3" t="s">
        <v>17933</v>
      </c>
      <c r="B6068" s="3" t="s">
        <v>5768</v>
      </c>
      <c r="C6068" s="5" t="s">
        <v>45</v>
      </c>
      <c r="D6068" s="3" t="s">
        <v>221</v>
      </c>
      <c r="E6068" s="3" t="s">
        <v>287</v>
      </c>
      <c r="F6068" s="7">
        <v>45867.1408202868</v>
      </c>
      <c r="G6068" s="3" t="s">
        <v>17935</v>
      </c>
    </row>
    <row r="6069">
      <c r="A6069" s="3" t="s">
        <v>17936</v>
      </c>
      <c r="B6069" s="3" t="s">
        <v>5768</v>
      </c>
      <c r="C6069" s="5" t="s">
        <v>221</v>
      </c>
      <c r="D6069" s="3" t="s">
        <v>614</v>
      </c>
      <c r="E6069" s="3" t="s">
        <v>118</v>
      </c>
      <c r="F6069" s="7">
        <v>45867.144292509016</v>
      </c>
      <c r="G6069" s="3" t="s">
        <v>17938</v>
      </c>
    </row>
    <row r="6070">
      <c r="A6070" s="3" t="s">
        <v>17939</v>
      </c>
      <c r="B6070" s="3" t="s">
        <v>5768</v>
      </c>
      <c r="C6070" s="5" t="s">
        <v>614</v>
      </c>
      <c r="D6070" s="3" t="s">
        <v>206</v>
      </c>
      <c r="E6070" s="3" t="s">
        <v>100</v>
      </c>
      <c r="F6070" s="7">
        <v>45867.14776473124</v>
      </c>
      <c r="G6070" s="3" t="s">
        <v>17940</v>
      </c>
    </row>
    <row r="6071">
      <c r="A6071" s="3" t="s">
        <v>17942</v>
      </c>
      <c r="B6071" s="3" t="s">
        <v>5768</v>
      </c>
      <c r="C6071" s="5" t="s">
        <v>206</v>
      </c>
      <c r="D6071" s="3" t="s">
        <v>68</v>
      </c>
      <c r="E6071" s="3" t="s">
        <v>100</v>
      </c>
      <c r="F6071" s="7">
        <v>45867.15123695346</v>
      </c>
      <c r="G6071" s="3" t="s">
        <v>17943</v>
      </c>
    </row>
    <row r="6072">
      <c r="A6072" s="3" t="s">
        <v>17944</v>
      </c>
      <c r="B6072" s="3" t="s">
        <v>5770</v>
      </c>
      <c r="C6072" s="5" t="s">
        <v>45</v>
      </c>
      <c r="D6072" s="3" t="s">
        <v>221</v>
      </c>
      <c r="E6072" s="3" t="s">
        <v>969</v>
      </c>
      <c r="F6072" s="7">
        <v>45867.21199513222</v>
      </c>
      <c r="G6072" s="3" t="s">
        <v>17947</v>
      </c>
    </row>
    <row r="6073">
      <c r="A6073" s="3" t="s">
        <v>17948</v>
      </c>
      <c r="B6073" s="3" t="s">
        <v>5770</v>
      </c>
      <c r="C6073" s="5" t="s">
        <v>221</v>
      </c>
      <c r="D6073" s="3" t="s">
        <v>614</v>
      </c>
      <c r="E6073" s="3" t="s">
        <v>118</v>
      </c>
      <c r="F6073" s="7">
        <v>45867.215467354436</v>
      </c>
      <c r="G6073" s="3" t="s">
        <v>17950</v>
      </c>
    </row>
    <row r="6074">
      <c r="A6074" s="3" t="s">
        <v>17951</v>
      </c>
      <c r="B6074" s="3" t="s">
        <v>5770</v>
      </c>
      <c r="C6074" s="5" t="s">
        <v>614</v>
      </c>
      <c r="D6074" s="3" t="s">
        <v>206</v>
      </c>
      <c r="E6074" s="3" t="s">
        <v>100</v>
      </c>
      <c r="F6074" s="7">
        <v>45867.21893957666</v>
      </c>
      <c r="G6074" s="3" t="s">
        <v>17952</v>
      </c>
    </row>
    <row r="6075">
      <c r="A6075" s="3" t="s">
        <v>17954</v>
      </c>
      <c r="B6075" s="3" t="s">
        <v>5770</v>
      </c>
      <c r="C6075" s="5" t="s">
        <v>206</v>
      </c>
      <c r="D6075" s="3" t="s">
        <v>68</v>
      </c>
      <c r="E6075" s="3" t="s">
        <v>100</v>
      </c>
      <c r="F6075" s="7">
        <v>45867.22241179888</v>
      </c>
      <c r="G6075" s="3" t="s">
        <v>17955</v>
      </c>
    </row>
    <row r="6076">
      <c r="A6076" s="3" t="s">
        <v>17956</v>
      </c>
      <c r="B6076" s="3" t="s">
        <v>5772</v>
      </c>
      <c r="C6076" s="5" t="s">
        <v>45</v>
      </c>
      <c r="D6076" s="3" t="s">
        <v>221</v>
      </c>
      <c r="E6076" s="3" t="s">
        <v>179</v>
      </c>
      <c r="F6076" s="7">
        <v>45867.283169977636</v>
      </c>
      <c r="G6076" s="3" t="s">
        <v>17958</v>
      </c>
    </row>
    <row r="6077">
      <c r="A6077" s="3" t="s">
        <v>17959</v>
      </c>
      <c r="B6077" s="3" t="s">
        <v>5772</v>
      </c>
      <c r="C6077" s="5" t="s">
        <v>221</v>
      </c>
      <c r="D6077" s="3" t="s">
        <v>614</v>
      </c>
      <c r="E6077" s="3" t="s">
        <v>118</v>
      </c>
      <c r="F6077" s="7">
        <v>45867.286642199855</v>
      </c>
      <c r="G6077" s="3" t="s">
        <v>17961</v>
      </c>
    </row>
    <row r="6078">
      <c r="A6078" s="3" t="s">
        <v>17962</v>
      </c>
      <c r="B6078" s="3" t="s">
        <v>5772</v>
      </c>
      <c r="C6078" s="5" t="s">
        <v>614</v>
      </c>
      <c r="D6078" s="3" t="s">
        <v>206</v>
      </c>
      <c r="E6078" s="3" t="s">
        <v>100</v>
      </c>
      <c r="F6078" s="7">
        <v>45867.29011442208</v>
      </c>
      <c r="G6078" s="3" t="s">
        <v>17964</v>
      </c>
    </row>
    <row r="6079">
      <c r="A6079" s="3" t="s">
        <v>17965</v>
      </c>
      <c r="B6079" s="3" t="s">
        <v>5772</v>
      </c>
      <c r="C6079" s="5" t="s">
        <v>206</v>
      </c>
      <c r="D6079" s="3" t="s">
        <v>68</v>
      </c>
      <c r="E6079" s="3" t="s">
        <v>100</v>
      </c>
      <c r="F6079" s="7">
        <v>45867.2935866443</v>
      </c>
      <c r="G6079" s="3" t="s">
        <v>17967</v>
      </c>
    </row>
    <row r="6080">
      <c r="A6080" s="3" t="s">
        <v>17968</v>
      </c>
      <c r="B6080" s="3" t="s">
        <v>5775</v>
      </c>
      <c r="C6080" s="5" t="s">
        <v>45</v>
      </c>
      <c r="D6080" s="3" t="s">
        <v>221</v>
      </c>
      <c r="E6080" s="3" t="s">
        <v>575</v>
      </c>
      <c r="F6080" s="7">
        <v>45867.35434482304</v>
      </c>
      <c r="G6080" s="3" t="s">
        <v>17970</v>
      </c>
    </row>
    <row r="6081">
      <c r="A6081" s="3" t="s">
        <v>17971</v>
      </c>
      <c r="B6081" s="3" t="s">
        <v>5775</v>
      </c>
      <c r="C6081" s="5" t="s">
        <v>221</v>
      </c>
      <c r="D6081" s="3" t="s">
        <v>195</v>
      </c>
      <c r="E6081" s="3" t="s">
        <v>575</v>
      </c>
      <c r="F6081" s="7">
        <v>45867.35781704526</v>
      </c>
      <c r="G6081" s="3" t="s">
        <v>17973</v>
      </c>
    </row>
    <row r="6082">
      <c r="A6082" s="3" t="s">
        <v>17974</v>
      </c>
      <c r="B6082" s="3" t="s">
        <v>5779</v>
      </c>
      <c r="C6082" s="5" t="s">
        <v>45</v>
      </c>
      <c r="D6082" s="3" t="s">
        <v>221</v>
      </c>
      <c r="E6082" s="3" t="s">
        <v>436</v>
      </c>
      <c r="F6082" s="7">
        <v>45867.42551966846</v>
      </c>
      <c r="G6082" s="3" t="s">
        <v>17975</v>
      </c>
    </row>
    <row r="6083">
      <c r="A6083" s="3" t="s">
        <v>17977</v>
      </c>
      <c r="B6083" s="3" t="s">
        <v>5779</v>
      </c>
      <c r="C6083" s="5" t="s">
        <v>221</v>
      </c>
      <c r="D6083" s="3" t="s">
        <v>614</v>
      </c>
      <c r="E6083" s="3" t="s">
        <v>118</v>
      </c>
      <c r="F6083" s="7">
        <v>45867.42899189068</v>
      </c>
      <c r="G6083" s="3" t="s">
        <v>17978</v>
      </c>
    </row>
    <row r="6084">
      <c r="A6084" s="3" t="s">
        <v>17979</v>
      </c>
      <c r="B6084" s="3" t="s">
        <v>5779</v>
      </c>
      <c r="C6084" s="5" t="s">
        <v>614</v>
      </c>
      <c r="D6084" s="3" t="s">
        <v>206</v>
      </c>
      <c r="E6084" s="3" t="s">
        <v>100</v>
      </c>
      <c r="F6084" s="7">
        <v>45867.432464112906</v>
      </c>
      <c r="G6084" s="3" t="s">
        <v>17981</v>
      </c>
    </row>
    <row r="6085">
      <c r="A6085" s="3" t="s">
        <v>17982</v>
      </c>
      <c r="B6085" s="3" t="s">
        <v>5779</v>
      </c>
      <c r="C6085" s="5" t="s">
        <v>206</v>
      </c>
      <c r="D6085" s="3" t="s">
        <v>68</v>
      </c>
      <c r="E6085" s="3" t="s">
        <v>100</v>
      </c>
      <c r="F6085" s="7">
        <v>45867.435936335125</v>
      </c>
      <c r="G6085" s="3" t="s">
        <v>17983</v>
      </c>
    </row>
    <row r="6086">
      <c r="A6086" s="3" t="s">
        <v>17985</v>
      </c>
      <c r="B6086" s="3" t="s">
        <v>5782</v>
      </c>
      <c r="C6086" s="5" t="s">
        <v>45</v>
      </c>
      <c r="D6086" s="3" t="s">
        <v>221</v>
      </c>
      <c r="E6086" s="3" t="s">
        <v>348</v>
      </c>
      <c r="F6086" s="7">
        <v>45867.49669451388</v>
      </c>
      <c r="G6086" s="3" t="s">
        <v>17986</v>
      </c>
    </row>
    <row r="6087">
      <c r="A6087" s="3" t="s">
        <v>17987</v>
      </c>
      <c r="B6087" s="3" t="s">
        <v>5782</v>
      </c>
      <c r="C6087" s="5" t="s">
        <v>221</v>
      </c>
      <c r="D6087" s="3" t="s">
        <v>614</v>
      </c>
      <c r="E6087" s="3" t="s">
        <v>118</v>
      </c>
      <c r="F6087" s="7">
        <v>45867.5001667361</v>
      </c>
      <c r="G6087" s="3" t="s">
        <v>17989</v>
      </c>
    </row>
    <row r="6088">
      <c r="A6088" s="3" t="s">
        <v>17990</v>
      </c>
      <c r="B6088" s="3" t="s">
        <v>5782</v>
      </c>
      <c r="C6088" s="5" t="s">
        <v>614</v>
      </c>
      <c r="D6088" s="3" t="s">
        <v>206</v>
      </c>
      <c r="E6088" s="3" t="s">
        <v>100</v>
      </c>
      <c r="F6088" s="7">
        <v>45867.503638958326</v>
      </c>
      <c r="G6088" s="3" t="s">
        <v>17992</v>
      </c>
    </row>
    <row r="6089">
      <c r="A6089" s="3" t="s">
        <v>17993</v>
      </c>
      <c r="B6089" s="3" t="s">
        <v>5782</v>
      </c>
      <c r="C6089" s="5" t="s">
        <v>206</v>
      </c>
      <c r="D6089" s="3" t="s">
        <v>68</v>
      </c>
      <c r="E6089" s="3" t="s">
        <v>100</v>
      </c>
      <c r="F6089" s="7">
        <v>45867.507111180545</v>
      </c>
      <c r="G6089" s="3" t="s">
        <v>17995</v>
      </c>
    </row>
    <row r="6090">
      <c r="A6090" s="3" t="s">
        <v>17996</v>
      </c>
      <c r="B6090" s="3" t="s">
        <v>5785</v>
      </c>
      <c r="C6090" s="5" t="s">
        <v>45</v>
      </c>
      <c r="D6090" s="3" t="s">
        <v>221</v>
      </c>
      <c r="E6090" s="3" t="s">
        <v>533</v>
      </c>
      <c r="F6090" s="7">
        <v>45867.56786935929</v>
      </c>
      <c r="G6090" s="3" t="s">
        <v>17998</v>
      </c>
    </row>
    <row r="6091">
      <c r="A6091" s="3" t="s">
        <v>17999</v>
      </c>
      <c r="B6091" s="3" t="s">
        <v>5785</v>
      </c>
      <c r="C6091" s="5" t="s">
        <v>221</v>
      </c>
      <c r="D6091" s="3" t="s">
        <v>614</v>
      </c>
      <c r="E6091" s="3" t="s">
        <v>118</v>
      </c>
      <c r="F6091" s="7">
        <v>45867.57134158151</v>
      </c>
      <c r="G6091" s="3" t="s">
        <v>18001</v>
      </c>
    </row>
    <row r="6092">
      <c r="A6092" s="3" t="s">
        <v>18002</v>
      </c>
      <c r="B6092" s="3" t="s">
        <v>5785</v>
      </c>
      <c r="C6092" s="5" t="s">
        <v>614</v>
      </c>
      <c r="D6092" s="3" t="s">
        <v>206</v>
      </c>
      <c r="E6092" s="3" t="s">
        <v>100</v>
      </c>
      <c r="F6092" s="7">
        <v>45867.57481380374</v>
      </c>
      <c r="G6092" s="3" t="s">
        <v>18003</v>
      </c>
    </row>
    <row r="6093">
      <c r="A6093" s="3" t="s">
        <v>18004</v>
      </c>
      <c r="B6093" s="3" t="s">
        <v>5785</v>
      </c>
      <c r="C6093" s="5" t="s">
        <v>206</v>
      </c>
      <c r="D6093" s="3" t="s">
        <v>68</v>
      </c>
      <c r="E6093" s="3" t="s">
        <v>100</v>
      </c>
      <c r="F6093" s="7">
        <v>45867.57828602596</v>
      </c>
      <c r="G6093" s="3" t="s">
        <v>18006</v>
      </c>
    </row>
    <row r="6094">
      <c r="A6094" s="3" t="s">
        <v>18007</v>
      </c>
      <c r="B6094" s="3" t="s">
        <v>5788</v>
      </c>
      <c r="C6094" s="5" t="s">
        <v>45</v>
      </c>
      <c r="D6094" s="3" t="s">
        <v>221</v>
      </c>
      <c r="E6094" s="3" t="s">
        <v>1037</v>
      </c>
      <c r="F6094" s="7">
        <v>45867.639044204705</v>
      </c>
      <c r="G6094" s="3" t="s">
        <v>6996</v>
      </c>
    </row>
    <row r="6095">
      <c r="A6095" s="3" t="s">
        <v>18009</v>
      </c>
      <c r="B6095" s="3" t="s">
        <v>5788</v>
      </c>
      <c r="C6095" s="5" t="s">
        <v>221</v>
      </c>
      <c r="D6095" s="3" t="s">
        <v>614</v>
      </c>
      <c r="E6095" s="3" t="s">
        <v>118</v>
      </c>
      <c r="F6095" s="7">
        <v>45867.642516426924</v>
      </c>
      <c r="G6095" s="3" t="s">
        <v>6999</v>
      </c>
    </row>
    <row r="6096">
      <c r="A6096" s="3" t="s">
        <v>18011</v>
      </c>
      <c r="B6096" s="3" t="s">
        <v>5788</v>
      </c>
      <c r="C6096" s="5" t="s">
        <v>614</v>
      </c>
      <c r="D6096" s="3" t="s">
        <v>206</v>
      </c>
      <c r="E6096" s="3" t="s">
        <v>100</v>
      </c>
      <c r="F6096" s="7">
        <v>45867.64598864915</v>
      </c>
      <c r="G6096" s="3" t="s">
        <v>7002</v>
      </c>
    </row>
    <row r="6097">
      <c r="A6097" s="3" t="s">
        <v>18013</v>
      </c>
      <c r="B6097" s="3" t="s">
        <v>5788</v>
      </c>
      <c r="C6097" s="5" t="s">
        <v>206</v>
      </c>
      <c r="D6097" s="3" t="s">
        <v>68</v>
      </c>
      <c r="E6097" s="3" t="s">
        <v>100</v>
      </c>
      <c r="F6097" s="7">
        <v>45867.64946087137</v>
      </c>
      <c r="G6097" s="3" t="s">
        <v>7005</v>
      </c>
    </row>
    <row r="6098">
      <c r="A6098" s="3" t="s">
        <v>18015</v>
      </c>
      <c r="B6098" s="3" t="s">
        <v>5791</v>
      </c>
      <c r="C6098" s="5" t="s">
        <v>45</v>
      </c>
      <c r="D6098" s="3" t="s">
        <v>221</v>
      </c>
      <c r="E6098" s="3" t="s">
        <v>640</v>
      </c>
      <c r="F6098" s="7">
        <v>45867.710219050125</v>
      </c>
      <c r="G6098" s="3" t="s">
        <v>18016</v>
      </c>
    </row>
    <row r="6099">
      <c r="A6099" s="3" t="s">
        <v>18017</v>
      </c>
      <c r="B6099" s="3" t="s">
        <v>5791</v>
      </c>
      <c r="C6099" s="5" t="s">
        <v>221</v>
      </c>
      <c r="D6099" s="3" t="s">
        <v>614</v>
      </c>
      <c r="E6099" s="3" t="s">
        <v>118</v>
      </c>
      <c r="F6099" s="7">
        <v>45867.71369127234</v>
      </c>
      <c r="G6099" s="3" t="s">
        <v>18018</v>
      </c>
    </row>
    <row r="6100">
      <c r="A6100" s="3" t="s">
        <v>18020</v>
      </c>
      <c r="B6100" s="3" t="s">
        <v>5791</v>
      </c>
      <c r="C6100" s="5" t="s">
        <v>614</v>
      </c>
      <c r="D6100" s="3" t="s">
        <v>206</v>
      </c>
      <c r="E6100" s="3" t="s">
        <v>100</v>
      </c>
      <c r="F6100" s="7">
        <v>45867.71716349457</v>
      </c>
      <c r="G6100" s="3" t="s">
        <v>18022</v>
      </c>
    </row>
    <row r="6101">
      <c r="A6101" s="3" t="s">
        <v>18023</v>
      </c>
      <c r="B6101" s="3" t="s">
        <v>5791</v>
      </c>
      <c r="C6101" s="5" t="s">
        <v>206</v>
      </c>
      <c r="D6101" s="3" t="s">
        <v>68</v>
      </c>
      <c r="E6101" s="3" t="s">
        <v>100</v>
      </c>
      <c r="F6101" s="7">
        <v>45867.72063571679</v>
      </c>
      <c r="G6101" s="3" t="s">
        <v>18025</v>
      </c>
    </row>
    <row r="6102">
      <c r="A6102" s="3" t="s">
        <v>18026</v>
      </c>
      <c r="B6102" s="3" t="s">
        <v>5794</v>
      </c>
      <c r="C6102" s="5" t="s">
        <v>45</v>
      </c>
      <c r="D6102" s="3" t="s">
        <v>221</v>
      </c>
      <c r="E6102" s="3" t="s">
        <v>746</v>
      </c>
      <c r="F6102" s="7">
        <v>45867.78139389554</v>
      </c>
      <c r="G6102" s="3" t="s">
        <v>18028</v>
      </c>
    </row>
    <row r="6103">
      <c r="A6103" s="3" t="s">
        <v>18029</v>
      </c>
      <c r="B6103" s="3" t="s">
        <v>5794</v>
      </c>
      <c r="C6103" s="5" t="s">
        <v>221</v>
      </c>
      <c r="D6103" s="3" t="s">
        <v>614</v>
      </c>
      <c r="E6103" s="3" t="s">
        <v>118</v>
      </c>
      <c r="F6103" s="7">
        <v>45867.784866117756</v>
      </c>
      <c r="G6103" s="3" t="s">
        <v>18031</v>
      </c>
    </row>
    <row r="6104">
      <c r="A6104" s="3" t="s">
        <v>18032</v>
      </c>
      <c r="B6104" s="3" t="s">
        <v>5794</v>
      </c>
      <c r="C6104" s="5" t="s">
        <v>614</v>
      </c>
      <c r="D6104" s="3" t="s">
        <v>206</v>
      </c>
      <c r="E6104" s="3" t="s">
        <v>100</v>
      </c>
      <c r="F6104" s="7">
        <v>45867.78833833998</v>
      </c>
      <c r="G6104" s="3" t="s">
        <v>18034</v>
      </c>
    </row>
    <row r="6105">
      <c r="A6105" s="3" t="s">
        <v>18035</v>
      </c>
      <c r="B6105" s="3" t="s">
        <v>5794</v>
      </c>
      <c r="C6105" s="5" t="s">
        <v>206</v>
      </c>
      <c r="D6105" s="3" t="s">
        <v>68</v>
      </c>
      <c r="E6105" s="3" t="s">
        <v>100</v>
      </c>
      <c r="F6105" s="7">
        <v>45867.7918105622</v>
      </c>
      <c r="G6105" s="3" t="s">
        <v>18037</v>
      </c>
    </row>
    <row r="6106">
      <c r="A6106" s="3" t="s">
        <v>18038</v>
      </c>
      <c r="B6106" s="3" t="s">
        <v>5797</v>
      </c>
      <c r="C6106" s="5" t="s">
        <v>45</v>
      </c>
      <c r="D6106" s="3" t="s">
        <v>221</v>
      </c>
      <c r="E6106" s="3" t="s">
        <v>460</v>
      </c>
      <c r="F6106" s="7">
        <v>45867.85256874095</v>
      </c>
      <c r="G6106" s="3" t="s">
        <v>18040</v>
      </c>
    </row>
    <row r="6107">
      <c r="A6107" s="3" t="s">
        <v>18041</v>
      </c>
      <c r="B6107" s="3" t="s">
        <v>5797</v>
      </c>
      <c r="C6107" s="5" t="s">
        <v>221</v>
      </c>
      <c r="D6107" s="3" t="s">
        <v>614</v>
      </c>
      <c r="E6107" s="3" t="s">
        <v>118</v>
      </c>
      <c r="F6107" s="7">
        <v>45867.85604096317</v>
      </c>
      <c r="G6107" s="3" t="s">
        <v>18042</v>
      </c>
    </row>
    <row r="6108">
      <c r="A6108" s="3" t="s">
        <v>18044</v>
      </c>
      <c r="B6108" s="3" t="s">
        <v>5797</v>
      </c>
      <c r="C6108" s="5" t="s">
        <v>614</v>
      </c>
      <c r="D6108" s="3" t="s">
        <v>206</v>
      </c>
      <c r="E6108" s="3" t="s">
        <v>100</v>
      </c>
      <c r="F6108" s="7">
        <v>45867.859513185394</v>
      </c>
      <c r="G6108" s="3" t="s">
        <v>18045</v>
      </c>
    </row>
    <row r="6109">
      <c r="A6109" s="3" t="s">
        <v>18046</v>
      </c>
      <c r="B6109" s="3" t="s">
        <v>5797</v>
      </c>
      <c r="C6109" s="5" t="s">
        <v>206</v>
      </c>
      <c r="D6109" s="3" t="s">
        <v>68</v>
      </c>
      <c r="E6109" s="3" t="s">
        <v>100</v>
      </c>
      <c r="F6109" s="7">
        <v>45867.86298540761</v>
      </c>
      <c r="G6109" s="3" t="s">
        <v>18048</v>
      </c>
    </row>
    <row r="6110">
      <c r="A6110" s="3" t="s">
        <v>18049</v>
      </c>
      <c r="B6110" s="3" t="s">
        <v>5800</v>
      </c>
      <c r="C6110" s="5" t="s">
        <v>45</v>
      </c>
      <c r="D6110" s="3" t="s">
        <v>221</v>
      </c>
      <c r="E6110" s="3" t="s">
        <v>550</v>
      </c>
      <c r="F6110" s="7">
        <v>45867.92374358637</v>
      </c>
      <c r="G6110" s="3" t="s">
        <v>18051</v>
      </c>
    </row>
    <row r="6111">
      <c r="A6111" s="3" t="s">
        <v>18052</v>
      </c>
      <c r="B6111" s="3" t="s">
        <v>5800</v>
      </c>
      <c r="C6111" s="5" t="s">
        <v>221</v>
      </c>
      <c r="D6111" s="3" t="s">
        <v>614</v>
      </c>
      <c r="E6111" s="3" t="s">
        <v>118</v>
      </c>
      <c r="F6111" s="7">
        <v>45867.92721580859</v>
      </c>
      <c r="G6111" s="3" t="s">
        <v>18053</v>
      </c>
    </row>
    <row r="6112">
      <c r="A6112" s="3" t="s">
        <v>18055</v>
      </c>
      <c r="B6112" s="3" t="s">
        <v>5800</v>
      </c>
      <c r="C6112" s="5" t="s">
        <v>614</v>
      </c>
      <c r="D6112" s="3" t="s">
        <v>206</v>
      </c>
      <c r="E6112" s="3" t="s">
        <v>100</v>
      </c>
      <c r="F6112" s="7">
        <v>45867.930688030814</v>
      </c>
      <c r="G6112" s="3" t="s">
        <v>18056</v>
      </c>
    </row>
    <row r="6113">
      <c r="A6113" s="3" t="s">
        <v>18057</v>
      </c>
      <c r="B6113" s="3" t="s">
        <v>5800</v>
      </c>
      <c r="C6113" s="5" t="s">
        <v>206</v>
      </c>
      <c r="D6113" s="3" t="s">
        <v>68</v>
      </c>
      <c r="E6113" s="3" t="s">
        <v>100</v>
      </c>
      <c r="F6113" s="7">
        <v>45867.93416025303</v>
      </c>
      <c r="G6113" s="3" t="s">
        <v>18059</v>
      </c>
    </row>
    <row r="6114">
      <c r="A6114" s="3" t="s">
        <v>18060</v>
      </c>
      <c r="B6114" s="3" t="s">
        <v>5804</v>
      </c>
      <c r="C6114" s="5" t="s">
        <v>45</v>
      </c>
      <c r="D6114" s="3" t="s">
        <v>221</v>
      </c>
      <c r="E6114" s="3" t="s">
        <v>593</v>
      </c>
      <c r="F6114" s="7">
        <v>45867.99491843179</v>
      </c>
      <c r="G6114" s="3" t="s">
        <v>12582</v>
      </c>
    </row>
    <row r="6115">
      <c r="A6115" s="3" t="s">
        <v>18062</v>
      </c>
      <c r="B6115" s="3" t="s">
        <v>5804</v>
      </c>
      <c r="C6115" s="5" t="s">
        <v>221</v>
      </c>
      <c r="D6115" s="3" t="s">
        <v>614</v>
      </c>
      <c r="E6115" s="3" t="s">
        <v>118</v>
      </c>
      <c r="F6115" s="7">
        <v>45867.99839065401</v>
      </c>
      <c r="G6115" s="3" t="s">
        <v>12585</v>
      </c>
    </row>
    <row r="6116">
      <c r="A6116" s="3" t="s">
        <v>18064</v>
      </c>
      <c r="B6116" s="3" t="s">
        <v>5804</v>
      </c>
      <c r="C6116" s="5" t="s">
        <v>614</v>
      </c>
      <c r="D6116" s="3" t="s">
        <v>206</v>
      </c>
      <c r="E6116" s="3" t="s">
        <v>100</v>
      </c>
      <c r="F6116" s="7">
        <v>45868.001862876234</v>
      </c>
      <c r="G6116" s="3" t="s">
        <v>12588</v>
      </c>
    </row>
    <row r="6117">
      <c r="A6117" s="3" t="s">
        <v>18066</v>
      </c>
      <c r="B6117" s="3" t="s">
        <v>5804</v>
      </c>
      <c r="C6117" s="5" t="s">
        <v>206</v>
      </c>
      <c r="D6117" s="3" t="s">
        <v>68</v>
      </c>
      <c r="E6117" s="3" t="s">
        <v>100</v>
      </c>
      <c r="F6117" s="7">
        <v>45868.00533509845</v>
      </c>
      <c r="G6117" s="3" t="s">
        <v>12591</v>
      </c>
    </row>
    <row r="6118">
      <c r="A6118" s="3" t="s">
        <v>18067</v>
      </c>
      <c r="B6118" s="3" t="s">
        <v>5806</v>
      </c>
      <c r="C6118" s="5" t="s">
        <v>45</v>
      </c>
      <c r="D6118" s="3" t="s">
        <v>221</v>
      </c>
      <c r="E6118" s="3" t="s">
        <v>400</v>
      </c>
      <c r="F6118" s="7">
        <v>45868.06609327719</v>
      </c>
      <c r="G6118" s="3" t="s">
        <v>18069</v>
      </c>
    </row>
    <row r="6119">
      <c r="A6119" s="3" t="s">
        <v>18070</v>
      </c>
      <c r="B6119" s="3" t="s">
        <v>5806</v>
      </c>
      <c r="C6119" s="5" t="s">
        <v>221</v>
      </c>
      <c r="D6119" s="3" t="s">
        <v>614</v>
      </c>
      <c r="E6119" s="3" t="s">
        <v>118</v>
      </c>
      <c r="F6119" s="7">
        <v>45868.06956549941</v>
      </c>
      <c r="G6119" s="3" t="s">
        <v>18072</v>
      </c>
    </row>
    <row r="6120">
      <c r="A6120" s="3" t="s">
        <v>18073</v>
      </c>
      <c r="B6120" s="3" t="s">
        <v>5806</v>
      </c>
      <c r="C6120" s="5" t="s">
        <v>614</v>
      </c>
      <c r="D6120" s="3" t="s">
        <v>206</v>
      </c>
      <c r="E6120" s="3" t="s">
        <v>100</v>
      </c>
      <c r="F6120" s="7">
        <v>45868.07303772164</v>
      </c>
      <c r="G6120" s="3" t="s">
        <v>18075</v>
      </c>
    </row>
    <row r="6121">
      <c r="A6121" s="3" t="s">
        <v>18076</v>
      </c>
      <c r="B6121" s="3" t="s">
        <v>5806</v>
      </c>
      <c r="C6121" s="5" t="s">
        <v>206</v>
      </c>
      <c r="D6121" s="3" t="s">
        <v>68</v>
      </c>
      <c r="E6121" s="3" t="s">
        <v>100</v>
      </c>
      <c r="F6121" s="7">
        <v>45868.07650994386</v>
      </c>
      <c r="G6121" s="3" t="s">
        <v>18077</v>
      </c>
    </row>
    <row r="6122">
      <c r="A6122" s="3" t="s">
        <v>18079</v>
      </c>
      <c r="B6122" s="3" t="s">
        <v>5809</v>
      </c>
      <c r="C6122" s="5" t="s">
        <v>45</v>
      </c>
      <c r="D6122" s="3" t="s">
        <v>221</v>
      </c>
      <c r="E6122" s="3" t="s">
        <v>800</v>
      </c>
      <c r="F6122" s="7">
        <v>45868.13726812261</v>
      </c>
      <c r="G6122" s="3" t="s">
        <v>8987</v>
      </c>
    </row>
    <row r="6123">
      <c r="A6123" s="3" t="s">
        <v>18081</v>
      </c>
      <c r="B6123" s="3" t="s">
        <v>5809</v>
      </c>
      <c r="C6123" s="5" t="s">
        <v>221</v>
      </c>
      <c r="D6123" s="3" t="s">
        <v>181</v>
      </c>
      <c r="E6123" s="3" t="s">
        <v>118</v>
      </c>
      <c r="F6123" s="7">
        <v>45868.14074034483</v>
      </c>
      <c r="G6123" s="3" t="s">
        <v>18082</v>
      </c>
    </row>
    <row r="6124">
      <c r="A6124" s="3" t="s">
        <v>18083</v>
      </c>
      <c r="B6124" s="3" t="s">
        <v>5812</v>
      </c>
      <c r="C6124" s="5" t="s">
        <v>45</v>
      </c>
      <c r="D6124" s="3" t="s">
        <v>221</v>
      </c>
      <c r="E6124" s="3" t="s">
        <v>676</v>
      </c>
      <c r="F6124" s="7">
        <v>45868.208442968025</v>
      </c>
      <c r="G6124" s="3" t="s">
        <v>18085</v>
      </c>
    </row>
    <row r="6125">
      <c r="A6125" s="3" t="s">
        <v>18086</v>
      </c>
      <c r="B6125" s="3" t="s">
        <v>5812</v>
      </c>
      <c r="C6125" s="5" t="s">
        <v>221</v>
      </c>
      <c r="D6125" s="3" t="s">
        <v>614</v>
      </c>
      <c r="E6125" s="3" t="s">
        <v>118</v>
      </c>
      <c r="F6125" s="7">
        <v>45868.211915190244</v>
      </c>
      <c r="G6125" s="3" t="s">
        <v>18088</v>
      </c>
    </row>
    <row r="6126">
      <c r="A6126" s="3" t="s">
        <v>18089</v>
      </c>
      <c r="B6126" s="3" t="s">
        <v>5812</v>
      </c>
      <c r="C6126" s="5" t="s">
        <v>614</v>
      </c>
      <c r="D6126" s="3" t="s">
        <v>206</v>
      </c>
      <c r="E6126" s="3" t="s">
        <v>100</v>
      </c>
      <c r="F6126" s="7">
        <v>45868.21538741247</v>
      </c>
      <c r="G6126" s="3" t="s">
        <v>18091</v>
      </c>
    </row>
    <row r="6127">
      <c r="A6127" s="3" t="s">
        <v>18092</v>
      </c>
      <c r="B6127" s="3" t="s">
        <v>5812</v>
      </c>
      <c r="C6127" s="5" t="s">
        <v>206</v>
      </c>
      <c r="D6127" s="3" t="s">
        <v>68</v>
      </c>
      <c r="E6127" s="3" t="s">
        <v>100</v>
      </c>
      <c r="F6127" s="7">
        <v>45868.21885963469</v>
      </c>
      <c r="G6127" s="3" t="s">
        <v>18093</v>
      </c>
    </row>
    <row r="6128">
      <c r="A6128" s="3" t="s">
        <v>18094</v>
      </c>
      <c r="B6128" s="3" t="s">
        <v>5816</v>
      </c>
      <c r="C6128" s="5" t="s">
        <v>45</v>
      </c>
      <c r="D6128" s="3" t="s">
        <v>221</v>
      </c>
      <c r="E6128" s="3" t="s">
        <v>239</v>
      </c>
      <c r="F6128" s="7">
        <v>45868.279617813445</v>
      </c>
      <c r="G6128" s="3" t="s">
        <v>18096</v>
      </c>
    </row>
    <row r="6129">
      <c r="A6129" s="3" t="s">
        <v>18097</v>
      </c>
      <c r="B6129" s="3" t="s">
        <v>5816</v>
      </c>
      <c r="C6129" s="5" t="s">
        <v>221</v>
      </c>
      <c r="D6129" s="3" t="s">
        <v>614</v>
      </c>
      <c r="E6129" s="3" t="s">
        <v>118</v>
      </c>
      <c r="F6129" s="7">
        <v>45868.283090035664</v>
      </c>
      <c r="G6129" s="3" t="s">
        <v>18099</v>
      </c>
    </row>
    <row r="6130">
      <c r="A6130" s="3" t="s">
        <v>18100</v>
      </c>
      <c r="B6130" s="3" t="s">
        <v>5816</v>
      </c>
      <c r="C6130" s="5" t="s">
        <v>614</v>
      </c>
      <c r="D6130" s="3" t="s">
        <v>206</v>
      </c>
      <c r="E6130" s="3" t="s">
        <v>100</v>
      </c>
      <c r="F6130" s="7">
        <v>45868.28656225789</v>
      </c>
      <c r="G6130" s="3" t="s">
        <v>18102</v>
      </c>
    </row>
    <row r="6131">
      <c r="A6131" s="3" t="s">
        <v>18103</v>
      </c>
      <c r="B6131" s="3" t="s">
        <v>5816</v>
      </c>
      <c r="C6131" s="5" t="s">
        <v>206</v>
      </c>
      <c r="D6131" s="3" t="s">
        <v>68</v>
      </c>
      <c r="E6131" s="3" t="s">
        <v>100</v>
      </c>
      <c r="F6131" s="7">
        <v>45868.29003448011</v>
      </c>
      <c r="G6131" s="3" t="s">
        <v>18105</v>
      </c>
    </row>
    <row r="6132">
      <c r="A6132" s="3" t="s">
        <v>18106</v>
      </c>
      <c r="B6132" s="3" t="s">
        <v>5819</v>
      </c>
      <c r="C6132" s="5" t="s">
        <v>45</v>
      </c>
      <c r="D6132" s="3" t="s">
        <v>221</v>
      </c>
      <c r="E6132" s="3" t="s">
        <v>183</v>
      </c>
      <c r="F6132" s="7">
        <v>45868.35079265886</v>
      </c>
      <c r="G6132" s="3" t="s">
        <v>16299</v>
      </c>
    </row>
    <row r="6133">
      <c r="A6133" s="3" t="s">
        <v>18108</v>
      </c>
      <c r="B6133" s="3" t="s">
        <v>5819</v>
      </c>
      <c r="C6133" s="5" t="s">
        <v>221</v>
      </c>
      <c r="D6133" s="3" t="s">
        <v>614</v>
      </c>
      <c r="E6133" s="3" t="s">
        <v>118</v>
      </c>
      <c r="F6133" s="7">
        <v>45868.354264881076</v>
      </c>
      <c r="G6133" s="3" t="s">
        <v>18109</v>
      </c>
    </row>
    <row r="6134">
      <c r="A6134" s="3" t="s">
        <v>18111</v>
      </c>
      <c r="B6134" s="3" t="s">
        <v>5819</v>
      </c>
      <c r="C6134" s="5" t="s">
        <v>614</v>
      </c>
      <c r="D6134" s="3" t="s">
        <v>206</v>
      </c>
      <c r="E6134" s="3" t="s">
        <v>100</v>
      </c>
      <c r="F6134" s="7">
        <v>45868.3577371033</v>
      </c>
      <c r="G6134" s="3" t="s">
        <v>18112</v>
      </c>
    </row>
    <row r="6135">
      <c r="A6135" s="3" t="s">
        <v>18114</v>
      </c>
      <c r="B6135" s="3" t="s">
        <v>5819</v>
      </c>
      <c r="C6135" s="5" t="s">
        <v>206</v>
      </c>
      <c r="D6135" s="3" t="s">
        <v>68</v>
      </c>
      <c r="E6135" s="3" t="s">
        <v>100</v>
      </c>
      <c r="F6135" s="7">
        <v>45868.36120932552</v>
      </c>
      <c r="G6135" s="3" t="s">
        <v>18115</v>
      </c>
    </row>
    <row r="6136">
      <c r="A6136" s="3" t="s">
        <v>18116</v>
      </c>
      <c r="B6136" s="3" t="s">
        <v>5822</v>
      </c>
      <c r="C6136" s="5" t="s">
        <v>45</v>
      </c>
      <c r="D6136" s="3" t="s">
        <v>221</v>
      </c>
      <c r="E6136" s="3" t="s">
        <v>1040</v>
      </c>
      <c r="F6136" s="7">
        <v>45868.42196750428</v>
      </c>
      <c r="G6136" s="3" t="s">
        <v>18118</v>
      </c>
    </row>
    <row r="6137">
      <c r="A6137" s="3" t="s">
        <v>18119</v>
      </c>
      <c r="B6137" s="3" t="s">
        <v>5822</v>
      </c>
      <c r="C6137" s="5" t="s">
        <v>221</v>
      </c>
      <c r="D6137" s="3" t="s">
        <v>614</v>
      </c>
      <c r="E6137" s="3" t="s">
        <v>118</v>
      </c>
      <c r="F6137" s="7">
        <v>45868.425439726496</v>
      </c>
      <c r="G6137" s="3" t="s">
        <v>18121</v>
      </c>
    </row>
    <row r="6138">
      <c r="A6138" s="3" t="s">
        <v>18122</v>
      </c>
      <c r="B6138" s="3" t="s">
        <v>5822</v>
      </c>
      <c r="C6138" s="5" t="s">
        <v>614</v>
      </c>
      <c r="D6138" s="3" t="s">
        <v>206</v>
      </c>
      <c r="E6138" s="3" t="s">
        <v>100</v>
      </c>
      <c r="F6138" s="7">
        <v>45868.42891194872</v>
      </c>
      <c r="G6138" s="3" t="s">
        <v>18123</v>
      </c>
    </row>
    <row r="6139">
      <c r="A6139" s="3" t="s">
        <v>18125</v>
      </c>
      <c r="B6139" s="3" t="s">
        <v>5822</v>
      </c>
      <c r="C6139" s="5" t="s">
        <v>206</v>
      </c>
      <c r="D6139" s="3" t="s">
        <v>68</v>
      </c>
      <c r="E6139" s="3" t="s">
        <v>100</v>
      </c>
      <c r="F6139" s="7">
        <v>45868.43238417094</v>
      </c>
      <c r="G6139" s="3" t="s">
        <v>18126</v>
      </c>
    </row>
    <row r="6140">
      <c r="A6140" s="3" t="s">
        <v>18127</v>
      </c>
      <c r="B6140" s="3" t="s">
        <v>5825</v>
      </c>
      <c r="C6140" s="5" t="s">
        <v>45</v>
      </c>
      <c r="D6140" s="3" t="s">
        <v>221</v>
      </c>
      <c r="E6140" s="3" t="s">
        <v>247</v>
      </c>
      <c r="F6140" s="7">
        <v>45868.49314234968</v>
      </c>
      <c r="G6140" s="3" t="s">
        <v>18129</v>
      </c>
    </row>
    <row r="6141">
      <c r="A6141" s="3" t="s">
        <v>18130</v>
      </c>
      <c r="B6141" s="3" t="s">
        <v>5825</v>
      </c>
      <c r="C6141" s="5" t="s">
        <v>221</v>
      </c>
      <c r="D6141" s="3" t="s">
        <v>614</v>
      </c>
      <c r="E6141" s="3" t="s">
        <v>118</v>
      </c>
      <c r="F6141" s="7">
        <v>45868.4966145719</v>
      </c>
      <c r="G6141" s="3" t="s">
        <v>18132</v>
      </c>
    </row>
    <row r="6142">
      <c r="A6142" s="3" t="s">
        <v>18133</v>
      </c>
      <c r="B6142" s="3" t="s">
        <v>5825</v>
      </c>
      <c r="C6142" s="5" t="s">
        <v>614</v>
      </c>
      <c r="D6142" s="3" t="s">
        <v>206</v>
      </c>
      <c r="E6142" s="3" t="s">
        <v>100</v>
      </c>
      <c r="F6142" s="7">
        <v>45868.50008679413</v>
      </c>
      <c r="G6142" s="3" t="s">
        <v>18135</v>
      </c>
    </row>
    <row r="6143">
      <c r="A6143" s="3" t="s">
        <v>18136</v>
      </c>
      <c r="B6143" s="3" t="s">
        <v>5825</v>
      </c>
      <c r="C6143" s="5" t="s">
        <v>206</v>
      </c>
      <c r="D6143" s="3" t="s">
        <v>68</v>
      </c>
      <c r="E6143" s="3" t="s">
        <v>100</v>
      </c>
      <c r="F6143" s="7">
        <v>45868.503559016346</v>
      </c>
      <c r="G6143" s="3" t="s">
        <v>18137</v>
      </c>
    </row>
    <row r="6144">
      <c r="A6144" s="3" t="s">
        <v>18139</v>
      </c>
      <c r="B6144" s="3" t="s">
        <v>5828</v>
      </c>
      <c r="C6144" s="5" t="s">
        <v>45</v>
      </c>
      <c r="D6144" s="3" t="s">
        <v>221</v>
      </c>
      <c r="E6144" s="3" t="s">
        <v>544</v>
      </c>
      <c r="F6144" s="7">
        <v>45868.5643171951</v>
      </c>
      <c r="G6144" s="3" t="s">
        <v>18140</v>
      </c>
    </row>
    <row r="6145">
      <c r="A6145" s="3" t="s">
        <v>18142</v>
      </c>
      <c r="B6145" s="3" t="s">
        <v>5828</v>
      </c>
      <c r="C6145" s="5" t="s">
        <v>221</v>
      </c>
      <c r="D6145" s="3" t="s">
        <v>614</v>
      </c>
      <c r="E6145" s="3" t="s">
        <v>118</v>
      </c>
      <c r="F6145" s="7">
        <v>45868.56778941732</v>
      </c>
      <c r="G6145" s="3" t="s">
        <v>18143</v>
      </c>
    </row>
    <row r="6146">
      <c r="A6146" s="3" t="s">
        <v>18144</v>
      </c>
      <c r="B6146" s="3" t="s">
        <v>5828</v>
      </c>
      <c r="C6146" s="5" t="s">
        <v>614</v>
      </c>
      <c r="D6146" s="3" t="s">
        <v>206</v>
      </c>
      <c r="E6146" s="3" t="s">
        <v>100</v>
      </c>
      <c r="F6146" s="7">
        <v>45868.57126163955</v>
      </c>
      <c r="G6146" s="3" t="s">
        <v>18146</v>
      </c>
    </row>
    <row r="6147">
      <c r="A6147" s="3" t="s">
        <v>18147</v>
      </c>
      <c r="B6147" s="3" t="s">
        <v>5828</v>
      </c>
      <c r="C6147" s="5" t="s">
        <v>206</v>
      </c>
      <c r="D6147" s="3" t="s">
        <v>68</v>
      </c>
      <c r="E6147" s="3" t="s">
        <v>100</v>
      </c>
      <c r="F6147" s="7">
        <v>45868.574733861766</v>
      </c>
      <c r="G6147" s="3" t="s">
        <v>18149</v>
      </c>
    </row>
    <row r="6148">
      <c r="A6148" s="3" t="s">
        <v>18150</v>
      </c>
      <c r="B6148" s="3" t="s">
        <v>5830</v>
      </c>
      <c r="C6148" s="5" t="s">
        <v>45</v>
      </c>
      <c r="D6148" s="3" t="s">
        <v>221</v>
      </c>
      <c r="E6148" s="3" t="s">
        <v>658</v>
      </c>
      <c r="F6148" s="7">
        <v>45868.63549204052</v>
      </c>
      <c r="G6148" s="3" t="s">
        <v>18151</v>
      </c>
    </row>
    <row r="6149">
      <c r="A6149" s="3" t="s">
        <v>18153</v>
      </c>
      <c r="B6149" s="3" t="s">
        <v>5830</v>
      </c>
      <c r="C6149" s="5" t="s">
        <v>221</v>
      </c>
      <c r="D6149" s="3" t="s">
        <v>614</v>
      </c>
      <c r="E6149" s="3" t="s">
        <v>118</v>
      </c>
      <c r="F6149" s="7">
        <v>45868.63896426274</v>
      </c>
      <c r="G6149" s="3" t="s">
        <v>18154</v>
      </c>
    </row>
    <row r="6150">
      <c r="A6150" s="3" t="s">
        <v>18155</v>
      </c>
      <c r="B6150" s="3" t="s">
        <v>5830</v>
      </c>
      <c r="C6150" s="5" t="s">
        <v>614</v>
      </c>
      <c r="D6150" s="3" t="s">
        <v>206</v>
      </c>
      <c r="E6150" s="3" t="s">
        <v>100</v>
      </c>
      <c r="F6150" s="7">
        <v>45868.642436484966</v>
      </c>
      <c r="G6150" s="3" t="s">
        <v>18157</v>
      </c>
    </row>
    <row r="6151">
      <c r="A6151" s="3" t="s">
        <v>18158</v>
      </c>
      <c r="B6151" s="3" t="s">
        <v>5830</v>
      </c>
      <c r="C6151" s="5" t="s">
        <v>206</v>
      </c>
      <c r="D6151" s="3" t="s">
        <v>68</v>
      </c>
      <c r="E6151" s="3" t="s">
        <v>100</v>
      </c>
      <c r="F6151" s="7">
        <v>45868.645908707185</v>
      </c>
      <c r="G6151" s="3" t="s">
        <v>18160</v>
      </c>
    </row>
    <row r="6152">
      <c r="A6152" s="3" t="s">
        <v>18161</v>
      </c>
      <c r="B6152" s="3" t="s">
        <v>5835</v>
      </c>
      <c r="C6152" s="5" t="s">
        <v>45</v>
      </c>
      <c r="D6152" s="3" t="s">
        <v>221</v>
      </c>
      <c r="E6152" s="3" t="s">
        <v>763</v>
      </c>
      <c r="F6152" s="7">
        <v>45868.70666688593</v>
      </c>
      <c r="G6152" s="3" t="s">
        <v>18163</v>
      </c>
    </row>
    <row r="6153">
      <c r="A6153" s="3" t="s">
        <v>18164</v>
      </c>
      <c r="B6153" s="3" t="s">
        <v>5835</v>
      </c>
      <c r="C6153" s="5" t="s">
        <v>221</v>
      </c>
      <c r="D6153" s="3" t="s">
        <v>614</v>
      </c>
      <c r="E6153" s="3" t="s">
        <v>118</v>
      </c>
      <c r="F6153" s="7">
        <v>45868.71013910815</v>
      </c>
      <c r="G6153" s="3" t="s">
        <v>18165</v>
      </c>
    </row>
    <row r="6154">
      <c r="A6154" s="3" t="s">
        <v>18167</v>
      </c>
      <c r="B6154" s="3" t="s">
        <v>5835</v>
      </c>
      <c r="C6154" s="5" t="s">
        <v>614</v>
      </c>
      <c r="D6154" s="3" t="s">
        <v>206</v>
      </c>
      <c r="E6154" s="3" t="s">
        <v>100</v>
      </c>
      <c r="F6154" s="7">
        <v>45868.71361133038</v>
      </c>
      <c r="G6154" s="3" t="s">
        <v>18168</v>
      </c>
    </row>
    <row r="6155">
      <c r="A6155" s="3" t="s">
        <v>18169</v>
      </c>
      <c r="B6155" s="3" t="s">
        <v>5835</v>
      </c>
      <c r="C6155" s="5" t="s">
        <v>206</v>
      </c>
      <c r="D6155" s="3" t="s">
        <v>68</v>
      </c>
      <c r="E6155" s="3" t="s">
        <v>100</v>
      </c>
      <c r="F6155" s="7">
        <v>45868.7170835526</v>
      </c>
      <c r="G6155" s="3" t="s">
        <v>18171</v>
      </c>
    </row>
    <row r="6156">
      <c r="A6156" s="3" t="s">
        <v>18172</v>
      </c>
      <c r="B6156" s="3" t="s">
        <v>5838</v>
      </c>
      <c r="C6156" s="5" t="s">
        <v>45</v>
      </c>
      <c r="D6156" s="3" t="s">
        <v>221</v>
      </c>
      <c r="E6156" s="3" t="s">
        <v>943</v>
      </c>
      <c r="F6156" s="7">
        <v>45868.777841731346</v>
      </c>
      <c r="G6156" s="3" t="s">
        <v>18174</v>
      </c>
    </row>
    <row r="6157">
      <c r="A6157" s="3" t="s">
        <v>18175</v>
      </c>
      <c r="B6157" s="3" t="s">
        <v>5838</v>
      </c>
      <c r="C6157" s="5" t="s">
        <v>221</v>
      </c>
      <c r="D6157" s="3" t="s">
        <v>614</v>
      </c>
      <c r="E6157" s="3" t="s">
        <v>118</v>
      </c>
      <c r="F6157" s="7">
        <v>45868.781313953565</v>
      </c>
      <c r="G6157" s="3" t="s">
        <v>18176</v>
      </c>
    </row>
    <row r="6158">
      <c r="A6158" s="3" t="s">
        <v>18178</v>
      </c>
      <c r="B6158" s="3" t="s">
        <v>5838</v>
      </c>
      <c r="C6158" s="5" t="s">
        <v>614</v>
      </c>
      <c r="D6158" s="3" t="s">
        <v>206</v>
      </c>
      <c r="E6158" s="3" t="s">
        <v>100</v>
      </c>
      <c r="F6158" s="7">
        <v>45868.78478617579</v>
      </c>
      <c r="G6158" s="3" t="s">
        <v>18179</v>
      </c>
    </row>
    <row r="6159">
      <c r="A6159" s="3" t="s">
        <v>18180</v>
      </c>
      <c r="B6159" s="3" t="s">
        <v>5838</v>
      </c>
      <c r="C6159" s="5" t="s">
        <v>206</v>
      </c>
      <c r="D6159" s="3" t="s">
        <v>68</v>
      </c>
      <c r="E6159" s="3" t="s">
        <v>100</v>
      </c>
      <c r="F6159" s="7">
        <v>45868.78825839801</v>
      </c>
      <c r="G6159" s="3" t="s">
        <v>18182</v>
      </c>
    </row>
    <row r="6160">
      <c r="A6160" s="3" t="s">
        <v>18183</v>
      </c>
      <c r="B6160" s="3" t="s">
        <v>5841</v>
      </c>
      <c r="C6160" s="5" t="s">
        <v>45</v>
      </c>
      <c r="D6160" s="3" t="s">
        <v>221</v>
      </c>
      <c r="E6160" s="3" t="s">
        <v>391</v>
      </c>
      <c r="F6160" s="7">
        <v>45868.849016576765</v>
      </c>
      <c r="G6160" s="3" t="s">
        <v>18185</v>
      </c>
    </row>
    <row r="6161">
      <c r="A6161" s="3" t="s">
        <v>18186</v>
      </c>
      <c r="B6161" s="3" t="s">
        <v>5841</v>
      </c>
      <c r="C6161" s="5" t="s">
        <v>221</v>
      </c>
      <c r="D6161" s="3" t="s">
        <v>614</v>
      </c>
      <c r="E6161" s="3" t="s">
        <v>118</v>
      </c>
      <c r="F6161" s="7">
        <v>45868.852488798984</v>
      </c>
      <c r="G6161" s="3" t="s">
        <v>18188</v>
      </c>
    </row>
    <row r="6162">
      <c r="A6162" s="3" t="s">
        <v>18189</v>
      </c>
      <c r="B6162" s="3" t="s">
        <v>5841</v>
      </c>
      <c r="C6162" s="5" t="s">
        <v>614</v>
      </c>
      <c r="D6162" s="3" t="s">
        <v>206</v>
      </c>
      <c r="E6162" s="3" t="s">
        <v>100</v>
      </c>
      <c r="F6162" s="7">
        <v>45868.85596102121</v>
      </c>
      <c r="G6162" s="3" t="s">
        <v>18190</v>
      </c>
    </row>
    <row r="6163">
      <c r="A6163" s="3" t="s">
        <v>18192</v>
      </c>
      <c r="B6163" s="3" t="s">
        <v>5841</v>
      </c>
      <c r="C6163" s="5" t="s">
        <v>206</v>
      </c>
      <c r="D6163" s="3" t="s">
        <v>68</v>
      </c>
      <c r="E6163" s="3" t="s">
        <v>100</v>
      </c>
      <c r="F6163" s="7">
        <v>45868.85943324343</v>
      </c>
      <c r="G6163" s="3" t="s">
        <v>18193</v>
      </c>
    </row>
    <row r="6164">
      <c r="A6164" s="3" t="s">
        <v>18195</v>
      </c>
      <c r="B6164" s="3" t="s">
        <v>5844</v>
      </c>
      <c r="C6164" s="5" t="s">
        <v>45</v>
      </c>
      <c r="D6164" s="3" t="s">
        <v>221</v>
      </c>
      <c r="E6164" s="3" t="s">
        <v>1008</v>
      </c>
      <c r="F6164" s="7">
        <v>45868.92019142218</v>
      </c>
      <c r="G6164" s="3" t="s">
        <v>18196</v>
      </c>
    </row>
    <row r="6165">
      <c r="A6165" s="3" t="s">
        <v>18197</v>
      </c>
      <c r="B6165" s="3" t="s">
        <v>5844</v>
      </c>
      <c r="C6165" s="5" t="s">
        <v>221</v>
      </c>
      <c r="D6165" s="3" t="s">
        <v>614</v>
      </c>
      <c r="E6165" s="3" t="s">
        <v>118</v>
      </c>
      <c r="F6165" s="7">
        <v>45868.9236636444</v>
      </c>
      <c r="G6165" s="3" t="s">
        <v>18199</v>
      </c>
    </row>
    <row r="6166">
      <c r="A6166" s="3" t="s">
        <v>18200</v>
      </c>
      <c r="B6166" s="3" t="s">
        <v>5844</v>
      </c>
      <c r="C6166" s="5" t="s">
        <v>614</v>
      </c>
      <c r="D6166" s="3" t="s">
        <v>206</v>
      </c>
      <c r="E6166" s="3" t="s">
        <v>100</v>
      </c>
      <c r="F6166" s="7">
        <v>45868.92713586662</v>
      </c>
      <c r="G6166" s="3" t="s">
        <v>18202</v>
      </c>
    </row>
    <row r="6167">
      <c r="A6167" s="3" t="s">
        <v>18203</v>
      </c>
      <c r="B6167" s="3" t="s">
        <v>5844</v>
      </c>
      <c r="C6167" s="5" t="s">
        <v>206</v>
      </c>
      <c r="D6167" s="3" t="s">
        <v>68</v>
      </c>
      <c r="E6167" s="3" t="s">
        <v>100</v>
      </c>
      <c r="F6167" s="7">
        <v>45868.93060808884</v>
      </c>
      <c r="G6167" s="3" t="s">
        <v>18204</v>
      </c>
    </row>
    <row r="6168">
      <c r="A6168" s="3" t="s">
        <v>18206</v>
      </c>
      <c r="B6168" s="3" t="s">
        <v>5846</v>
      </c>
      <c r="C6168" s="5" t="s">
        <v>45</v>
      </c>
      <c r="D6168" s="3" t="s">
        <v>221</v>
      </c>
      <c r="E6168" s="3" t="s">
        <v>704</v>
      </c>
      <c r="F6168" s="7">
        <v>45868.99136626759</v>
      </c>
      <c r="G6168" s="3" t="s">
        <v>18208</v>
      </c>
    </row>
    <row r="6169">
      <c r="A6169" s="3" t="s">
        <v>18209</v>
      </c>
      <c r="B6169" s="3" t="s">
        <v>5846</v>
      </c>
      <c r="C6169" s="5" t="s">
        <v>221</v>
      </c>
      <c r="D6169" s="3" t="s">
        <v>614</v>
      </c>
      <c r="E6169" s="3" t="s">
        <v>118</v>
      </c>
      <c r="F6169" s="7">
        <v>45868.99483848981</v>
      </c>
      <c r="G6169" s="3" t="s">
        <v>18210</v>
      </c>
    </row>
    <row r="6170">
      <c r="A6170" s="3" t="s">
        <v>18211</v>
      </c>
      <c r="B6170" s="3" t="s">
        <v>5846</v>
      </c>
      <c r="C6170" s="5" t="s">
        <v>614</v>
      </c>
      <c r="D6170" s="3" t="s">
        <v>206</v>
      </c>
      <c r="E6170" s="3" t="s">
        <v>100</v>
      </c>
      <c r="F6170" s="7">
        <v>45868.998310712035</v>
      </c>
      <c r="G6170" s="3" t="s">
        <v>18213</v>
      </c>
    </row>
    <row r="6171">
      <c r="A6171" s="3" t="s">
        <v>18214</v>
      </c>
      <c r="B6171" s="3" t="s">
        <v>5846</v>
      </c>
      <c r="C6171" s="5" t="s">
        <v>206</v>
      </c>
      <c r="D6171" s="3" t="s">
        <v>68</v>
      </c>
      <c r="E6171" s="3" t="s">
        <v>100</v>
      </c>
      <c r="F6171" s="7">
        <v>45869.001782934254</v>
      </c>
      <c r="G6171" s="3" t="s">
        <v>18216</v>
      </c>
    </row>
    <row r="6172">
      <c r="A6172" s="3" t="s">
        <v>18217</v>
      </c>
      <c r="B6172" s="3" t="s">
        <v>5849</v>
      </c>
      <c r="C6172" s="5" t="s">
        <v>45</v>
      </c>
      <c r="D6172" s="3" t="s">
        <v>221</v>
      </c>
      <c r="E6172" s="3" t="s">
        <v>629</v>
      </c>
      <c r="F6172" s="7">
        <v>45869.06254111301</v>
      </c>
      <c r="G6172" s="3" t="s">
        <v>12226</v>
      </c>
    </row>
    <row r="6173">
      <c r="A6173" s="3" t="s">
        <v>18219</v>
      </c>
      <c r="B6173" s="3" t="s">
        <v>5849</v>
      </c>
      <c r="C6173" s="5" t="s">
        <v>221</v>
      </c>
      <c r="D6173" s="3" t="s">
        <v>614</v>
      </c>
      <c r="E6173" s="3" t="s">
        <v>118</v>
      </c>
      <c r="F6173" s="7">
        <v>45869.06601333523</v>
      </c>
      <c r="G6173" s="3" t="s">
        <v>12229</v>
      </c>
    </row>
    <row r="6174">
      <c r="A6174" s="3" t="s">
        <v>18221</v>
      </c>
      <c r="B6174" s="3" t="s">
        <v>5849</v>
      </c>
      <c r="C6174" s="5" t="s">
        <v>614</v>
      </c>
      <c r="D6174" s="3" t="s">
        <v>206</v>
      </c>
      <c r="E6174" s="3" t="s">
        <v>100</v>
      </c>
      <c r="F6174" s="7">
        <v>45869.069485557455</v>
      </c>
      <c r="G6174" s="3" t="s">
        <v>12232</v>
      </c>
    </row>
    <row r="6175">
      <c r="A6175" s="3" t="s">
        <v>18223</v>
      </c>
      <c r="B6175" s="3" t="s">
        <v>5849</v>
      </c>
      <c r="C6175" s="5" t="s">
        <v>206</v>
      </c>
      <c r="D6175" s="3" t="s">
        <v>68</v>
      </c>
      <c r="E6175" s="3" t="s">
        <v>100</v>
      </c>
      <c r="F6175" s="7">
        <v>45869.072957779674</v>
      </c>
      <c r="G6175" s="3" t="s">
        <v>12235</v>
      </c>
    </row>
    <row r="6176">
      <c r="A6176" s="3" t="s">
        <v>18225</v>
      </c>
      <c r="B6176" s="3" t="s">
        <v>5852</v>
      </c>
      <c r="C6176" s="5" t="s">
        <v>45</v>
      </c>
      <c r="D6176" s="3" t="s">
        <v>221</v>
      </c>
      <c r="E6176" s="3" t="s">
        <v>151</v>
      </c>
      <c r="F6176" s="7">
        <v>45869.13371595843</v>
      </c>
      <c r="G6176" s="3" t="s">
        <v>2770</v>
      </c>
    </row>
    <row r="6177">
      <c r="A6177" s="3" t="s">
        <v>18227</v>
      </c>
      <c r="B6177" s="3" t="s">
        <v>5852</v>
      </c>
      <c r="C6177" s="5" t="s">
        <v>221</v>
      </c>
      <c r="D6177" s="3" t="s">
        <v>181</v>
      </c>
      <c r="E6177" s="3" t="s">
        <v>118</v>
      </c>
      <c r="F6177" s="7">
        <v>45869.13718818065</v>
      </c>
      <c r="G6177" s="3" t="s">
        <v>2774</v>
      </c>
    </row>
    <row r="6178">
      <c r="A6178" s="3" t="s">
        <v>18229</v>
      </c>
      <c r="B6178" s="3" t="s">
        <v>5855</v>
      </c>
      <c r="C6178" s="5" t="s">
        <v>45</v>
      </c>
      <c r="D6178" s="3" t="s">
        <v>221</v>
      </c>
      <c r="E6178" s="3" t="s">
        <v>287</v>
      </c>
      <c r="F6178" s="7">
        <v>45869.204890803834</v>
      </c>
      <c r="G6178" s="3" t="s">
        <v>2770</v>
      </c>
    </row>
    <row r="6179">
      <c r="A6179" s="3" t="s">
        <v>18231</v>
      </c>
      <c r="B6179" s="3" t="s">
        <v>5855</v>
      </c>
      <c r="C6179" s="5" t="s">
        <v>221</v>
      </c>
      <c r="D6179" s="3" t="s">
        <v>181</v>
      </c>
      <c r="E6179" s="3" t="s">
        <v>118</v>
      </c>
      <c r="F6179" s="7">
        <v>45869.20836302605</v>
      </c>
      <c r="G6179" s="3" t="s">
        <v>2774</v>
      </c>
    </row>
    <row r="6180">
      <c r="A6180" s="3" t="s">
        <v>18233</v>
      </c>
      <c r="B6180" s="3" t="s">
        <v>5858</v>
      </c>
      <c r="C6180" s="5" t="s">
        <v>45</v>
      </c>
      <c r="D6180" s="3" t="s">
        <v>221</v>
      </c>
      <c r="E6180" s="3" t="s">
        <v>793</v>
      </c>
      <c r="F6180" s="7">
        <v>45869.276065649254</v>
      </c>
      <c r="G6180" s="3" t="s">
        <v>18235</v>
      </c>
    </row>
    <row r="6181">
      <c r="A6181" s="3" t="s">
        <v>18236</v>
      </c>
      <c r="B6181" s="3" t="s">
        <v>5858</v>
      </c>
      <c r="C6181" s="5" t="s">
        <v>221</v>
      </c>
      <c r="D6181" s="3" t="s">
        <v>614</v>
      </c>
      <c r="E6181" s="3" t="s">
        <v>118</v>
      </c>
      <c r="F6181" s="7">
        <v>45869.27953787147</v>
      </c>
      <c r="G6181" s="3" t="s">
        <v>18238</v>
      </c>
    </row>
    <row r="6182">
      <c r="A6182" s="3" t="s">
        <v>18239</v>
      </c>
      <c r="B6182" s="3" t="s">
        <v>5858</v>
      </c>
      <c r="C6182" s="5" t="s">
        <v>614</v>
      </c>
      <c r="D6182" s="3" t="s">
        <v>206</v>
      </c>
      <c r="E6182" s="3" t="s">
        <v>100</v>
      </c>
      <c r="F6182" s="7">
        <v>45869.2830100937</v>
      </c>
      <c r="G6182" s="3" t="s">
        <v>18241</v>
      </c>
    </row>
    <row r="6183">
      <c r="A6183" s="3" t="s">
        <v>18242</v>
      </c>
      <c r="B6183" s="3" t="s">
        <v>5858</v>
      </c>
      <c r="C6183" s="5" t="s">
        <v>206</v>
      </c>
      <c r="D6183" s="3" t="s">
        <v>68</v>
      </c>
      <c r="E6183" s="3" t="s">
        <v>100</v>
      </c>
      <c r="F6183" s="7">
        <v>45869.28648231592</v>
      </c>
      <c r="G6183" s="3" t="s">
        <v>18243</v>
      </c>
    </row>
    <row r="6184">
      <c r="A6184" s="3" t="s">
        <v>18244</v>
      </c>
      <c r="B6184" s="3" t="s">
        <v>5862</v>
      </c>
      <c r="C6184" s="5" t="s">
        <v>45</v>
      </c>
      <c r="D6184" s="3" t="s">
        <v>221</v>
      </c>
      <c r="E6184" s="3" t="s">
        <v>512</v>
      </c>
      <c r="F6184" s="7">
        <v>45869.34724049467</v>
      </c>
      <c r="G6184" s="3" t="s">
        <v>18246</v>
      </c>
    </row>
    <row r="6185">
      <c r="A6185" s="3" t="s">
        <v>18247</v>
      </c>
      <c r="B6185" s="3" t="s">
        <v>5862</v>
      </c>
      <c r="C6185" s="5" t="s">
        <v>221</v>
      </c>
      <c r="D6185" s="3" t="s">
        <v>614</v>
      </c>
      <c r="E6185" s="3" t="s">
        <v>118</v>
      </c>
      <c r="F6185" s="7">
        <v>45869.35071271689</v>
      </c>
      <c r="G6185" s="3" t="s">
        <v>18249</v>
      </c>
    </row>
    <row r="6186">
      <c r="A6186" s="3" t="s">
        <v>18250</v>
      </c>
      <c r="B6186" s="3" t="s">
        <v>5862</v>
      </c>
      <c r="C6186" s="5" t="s">
        <v>614</v>
      </c>
      <c r="D6186" s="3" t="s">
        <v>206</v>
      </c>
      <c r="E6186" s="3" t="s">
        <v>100</v>
      </c>
      <c r="F6186" s="7">
        <v>45869.35418493912</v>
      </c>
      <c r="G6186" s="3" t="s">
        <v>18252</v>
      </c>
    </row>
    <row r="6187">
      <c r="A6187" s="3" t="s">
        <v>18253</v>
      </c>
      <c r="B6187" s="3" t="s">
        <v>5862</v>
      </c>
      <c r="C6187" s="5" t="s">
        <v>206</v>
      </c>
      <c r="D6187" s="3" t="s">
        <v>68</v>
      </c>
      <c r="E6187" s="3" t="s">
        <v>100</v>
      </c>
      <c r="F6187" s="7">
        <v>45869.35765716134</v>
      </c>
      <c r="G6187" s="3" t="s">
        <v>18254</v>
      </c>
    </row>
    <row r="6188">
      <c r="A6188" s="3" t="s">
        <v>18256</v>
      </c>
      <c r="B6188" s="3" t="s">
        <v>5865</v>
      </c>
      <c r="C6188" s="5" t="s">
        <v>45</v>
      </c>
      <c r="D6188" s="3" t="s">
        <v>221</v>
      </c>
      <c r="E6188" s="3" t="s">
        <v>727</v>
      </c>
      <c r="F6188" s="7">
        <v>45869.418415340086</v>
      </c>
      <c r="G6188" s="3" t="s">
        <v>18257</v>
      </c>
    </row>
    <row r="6189">
      <c r="A6189" s="3" t="s">
        <v>18258</v>
      </c>
      <c r="B6189" s="3" t="s">
        <v>5865</v>
      </c>
      <c r="C6189" s="5" t="s">
        <v>221</v>
      </c>
      <c r="D6189" s="3" t="s">
        <v>614</v>
      </c>
      <c r="E6189" s="3" t="s">
        <v>118</v>
      </c>
      <c r="F6189" s="7">
        <v>45869.421887562305</v>
      </c>
      <c r="G6189" s="3" t="s">
        <v>18260</v>
      </c>
    </row>
    <row r="6190">
      <c r="A6190" s="3" t="s">
        <v>18261</v>
      </c>
      <c r="B6190" s="3" t="s">
        <v>5865</v>
      </c>
      <c r="C6190" s="5" t="s">
        <v>614</v>
      </c>
      <c r="D6190" s="3" t="s">
        <v>206</v>
      </c>
      <c r="E6190" s="3" t="s">
        <v>100</v>
      </c>
      <c r="F6190" s="7">
        <v>45869.42535978453</v>
      </c>
      <c r="G6190" s="3" t="s">
        <v>18263</v>
      </c>
    </row>
    <row r="6191">
      <c r="A6191" s="3" t="s">
        <v>18264</v>
      </c>
      <c r="B6191" s="3" t="s">
        <v>5865</v>
      </c>
      <c r="C6191" s="5" t="s">
        <v>206</v>
      </c>
      <c r="D6191" s="3" t="s">
        <v>68</v>
      </c>
      <c r="E6191" s="3" t="s">
        <v>100</v>
      </c>
      <c r="F6191" s="7">
        <v>45869.42883200675</v>
      </c>
      <c r="G6191" s="3" t="s">
        <v>18265</v>
      </c>
    </row>
    <row r="6192">
      <c r="A6192" s="3" t="s">
        <v>18267</v>
      </c>
      <c r="B6192" s="3" t="s">
        <v>5868</v>
      </c>
      <c r="C6192" s="5" t="s">
        <v>45</v>
      </c>
      <c r="D6192" s="3" t="s">
        <v>221</v>
      </c>
      <c r="E6192" s="3" t="s">
        <v>937</v>
      </c>
      <c r="F6192" s="7">
        <v>45869.4895901855</v>
      </c>
      <c r="G6192" s="3" t="s">
        <v>18268</v>
      </c>
    </row>
    <row r="6193">
      <c r="A6193" s="3" t="s">
        <v>18269</v>
      </c>
      <c r="B6193" s="3" t="s">
        <v>5868</v>
      </c>
      <c r="C6193" s="5" t="s">
        <v>221</v>
      </c>
      <c r="D6193" s="3" t="s">
        <v>614</v>
      </c>
      <c r="E6193" s="3" t="s">
        <v>118</v>
      </c>
      <c r="F6193" s="7">
        <v>45869.49306240772</v>
      </c>
      <c r="G6193" s="3" t="s">
        <v>18271</v>
      </c>
    </row>
    <row r="6194">
      <c r="A6194" s="3" t="s">
        <v>18272</v>
      </c>
      <c r="B6194" s="3" t="s">
        <v>5868</v>
      </c>
      <c r="C6194" s="5" t="s">
        <v>614</v>
      </c>
      <c r="D6194" s="3" t="s">
        <v>206</v>
      </c>
      <c r="E6194" s="3" t="s">
        <v>100</v>
      </c>
      <c r="F6194" s="7">
        <v>45869.49653462994</v>
      </c>
      <c r="G6194" s="3" t="s">
        <v>18274</v>
      </c>
    </row>
    <row r="6195">
      <c r="A6195" s="3" t="s">
        <v>18275</v>
      </c>
      <c r="B6195" s="3" t="s">
        <v>5868</v>
      </c>
      <c r="C6195" s="5" t="s">
        <v>206</v>
      </c>
      <c r="D6195" s="3" t="s">
        <v>68</v>
      </c>
      <c r="E6195" s="3" t="s">
        <v>100</v>
      </c>
      <c r="F6195" s="7">
        <v>45869.50000685216</v>
      </c>
      <c r="G6195" s="3" t="s">
        <v>18276</v>
      </c>
    </row>
    <row r="6196">
      <c r="A6196" s="3" t="s">
        <v>18278</v>
      </c>
      <c r="B6196" s="3" t="s">
        <v>5871</v>
      </c>
      <c r="C6196" s="5" t="s">
        <v>45</v>
      </c>
      <c r="D6196" s="3" t="s">
        <v>221</v>
      </c>
      <c r="E6196" s="3" t="s">
        <v>845</v>
      </c>
      <c r="F6196" s="7">
        <v>45869.56076503092</v>
      </c>
      <c r="G6196" s="3" t="s">
        <v>18279</v>
      </c>
    </row>
    <row r="6197">
      <c r="A6197" s="3" t="s">
        <v>18280</v>
      </c>
      <c r="B6197" s="3" t="s">
        <v>5871</v>
      </c>
      <c r="C6197" s="5" t="s">
        <v>221</v>
      </c>
      <c r="D6197" s="3" t="s">
        <v>614</v>
      </c>
      <c r="E6197" s="3" t="s">
        <v>118</v>
      </c>
      <c r="F6197" s="7">
        <v>45869.56423725314</v>
      </c>
      <c r="G6197" s="3" t="s">
        <v>18282</v>
      </c>
    </row>
    <row r="6198">
      <c r="A6198" s="3" t="s">
        <v>18283</v>
      </c>
      <c r="B6198" s="3" t="s">
        <v>5871</v>
      </c>
      <c r="C6198" s="5" t="s">
        <v>614</v>
      </c>
      <c r="D6198" s="3" t="s">
        <v>206</v>
      </c>
      <c r="E6198" s="3" t="s">
        <v>100</v>
      </c>
      <c r="F6198" s="7">
        <v>45869.56770947536</v>
      </c>
      <c r="G6198" s="3" t="s">
        <v>18285</v>
      </c>
    </row>
    <row r="6199">
      <c r="A6199" s="3" t="s">
        <v>18286</v>
      </c>
      <c r="B6199" s="3" t="s">
        <v>5871</v>
      </c>
      <c r="C6199" s="5" t="s">
        <v>206</v>
      </c>
      <c r="D6199" s="3" t="s">
        <v>68</v>
      </c>
      <c r="E6199" s="3" t="s">
        <v>100</v>
      </c>
      <c r="F6199" s="7">
        <v>45869.57118169758</v>
      </c>
      <c r="G6199" s="3" t="s">
        <v>18288</v>
      </c>
    </row>
    <row r="6200">
      <c r="A6200" s="3" t="s">
        <v>18289</v>
      </c>
      <c r="B6200" s="3" t="s">
        <v>5874</v>
      </c>
      <c r="C6200" s="5" t="s">
        <v>45</v>
      </c>
      <c r="D6200" s="3" t="s">
        <v>221</v>
      </c>
      <c r="E6200" s="3" t="s">
        <v>1011</v>
      </c>
      <c r="F6200" s="7">
        <v>45869.63193987633</v>
      </c>
      <c r="G6200" s="3" t="s">
        <v>2770</v>
      </c>
    </row>
    <row r="6201">
      <c r="A6201" s="3" t="s">
        <v>18291</v>
      </c>
      <c r="B6201" s="3" t="s">
        <v>5874</v>
      </c>
      <c r="C6201" s="5" t="s">
        <v>221</v>
      </c>
      <c r="D6201" s="3" t="s">
        <v>195</v>
      </c>
      <c r="E6201" s="3" t="s">
        <v>1011</v>
      </c>
      <c r="F6201" s="7">
        <v>45869.63541209855</v>
      </c>
      <c r="G6201" s="3" t="s">
        <v>3055</v>
      </c>
    </row>
    <row r="6202">
      <c r="A6202" s="3" t="s">
        <v>18292</v>
      </c>
      <c r="B6202" s="3" t="s">
        <v>5877</v>
      </c>
      <c r="C6202" s="5" t="s">
        <v>45</v>
      </c>
      <c r="D6202" s="3" t="s">
        <v>221</v>
      </c>
      <c r="E6202" s="3" t="s">
        <v>722</v>
      </c>
      <c r="F6202" s="7">
        <v>45869.70311472174</v>
      </c>
      <c r="G6202" s="3" t="s">
        <v>14712</v>
      </c>
    </row>
    <row r="6203">
      <c r="A6203" s="3" t="s">
        <v>18294</v>
      </c>
      <c r="B6203" s="3" t="s">
        <v>5877</v>
      </c>
      <c r="C6203" s="5" t="s">
        <v>221</v>
      </c>
      <c r="D6203" s="3" t="s">
        <v>614</v>
      </c>
      <c r="E6203" s="3" t="s">
        <v>118</v>
      </c>
      <c r="F6203" s="7">
        <v>45869.70658694396</v>
      </c>
      <c r="G6203" s="3" t="s">
        <v>14715</v>
      </c>
    </row>
    <row r="6204">
      <c r="A6204" s="3" t="s">
        <v>18296</v>
      </c>
      <c r="B6204" s="3" t="s">
        <v>5877</v>
      </c>
      <c r="C6204" s="5" t="s">
        <v>614</v>
      </c>
      <c r="D6204" s="3" t="s">
        <v>206</v>
      </c>
      <c r="E6204" s="3" t="s">
        <v>100</v>
      </c>
      <c r="F6204" s="7">
        <v>45869.71005916619</v>
      </c>
      <c r="G6204" s="3" t="s">
        <v>14718</v>
      </c>
    </row>
    <row r="6205">
      <c r="A6205" s="3" t="s">
        <v>18298</v>
      </c>
      <c r="B6205" s="3" t="s">
        <v>5877</v>
      </c>
      <c r="C6205" s="5" t="s">
        <v>206</v>
      </c>
      <c r="D6205" s="3" t="s">
        <v>68</v>
      </c>
      <c r="E6205" s="3" t="s">
        <v>100</v>
      </c>
      <c r="F6205" s="7">
        <v>45869.71353138841</v>
      </c>
      <c r="G6205" s="3" t="s">
        <v>14721</v>
      </c>
    </row>
    <row r="6206">
      <c r="A6206" s="3" t="s">
        <v>18300</v>
      </c>
      <c r="B6206" s="3" t="s">
        <v>5880</v>
      </c>
      <c r="C6206" s="5" t="s">
        <v>45</v>
      </c>
      <c r="D6206" s="3" t="s">
        <v>221</v>
      </c>
      <c r="E6206" s="3" t="s">
        <v>922</v>
      </c>
      <c r="F6206" s="7">
        <v>45869.77428956716</v>
      </c>
      <c r="G6206" s="3" t="s">
        <v>16711</v>
      </c>
    </row>
    <row r="6207">
      <c r="A6207" s="3" t="s">
        <v>18302</v>
      </c>
      <c r="B6207" s="3" t="s">
        <v>5880</v>
      </c>
      <c r="C6207" s="5" t="s">
        <v>221</v>
      </c>
      <c r="D6207" s="3" t="s">
        <v>614</v>
      </c>
      <c r="E6207" s="3" t="s">
        <v>118</v>
      </c>
      <c r="F6207" s="7">
        <v>45869.77776178938</v>
      </c>
      <c r="G6207" s="3" t="s">
        <v>16714</v>
      </c>
    </row>
    <row r="6208">
      <c r="A6208" s="3" t="s">
        <v>18304</v>
      </c>
      <c r="B6208" s="3" t="s">
        <v>5880</v>
      </c>
      <c r="C6208" s="5" t="s">
        <v>614</v>
      </c>
      <c r="D6208" s="3" t="s">
        <v>206</v>
      </c>
      <c r="E6208" s="3" t="s">
        <v>100</v>
      </c>
      <c r="F6208" s="7">
        <v>45869.78123401161</v>
      </c>
      <c r="G6208" s="3" t="s">
        <v>16717</v>
      </c>
    </row>
    <row r="6209">
      <c r="A6209" s="3" t="s">
        <v>18305</v>
      </c>
      <c r="B6209" s="3" t="s">
        <v>5880</v>
      </c>
      <c r="C6209" s="5" t="s">
        <v>206</v>
      </c>
      <c r="D6209" s="3" t="s">
        <v>68</v>
      </c>
      <c r="E6209" s="3" t="s">
        <v>100</v>
      </c>
      <c r="F6209" s="7">
        <v>45869.784706233826</v>
      </c>
      <c r="G6209" s="3" t="s">
        <v>16720</v>
      </c>
    </row>
    <row r="6210">
      <c r="A6210" s="3" t="s">
        <v>18307</v>
      </c>
      <c r="B6210" s="3" t="s">
        <v>5883</v>
      </c>
      <c r="C6210" s="5" t="s">
        <v>45</v>
      </c>
      <c r="D6210" s="3" t="s">
        <v>221</v>
      </c>
      <c r="E6210" s="3" t="s">
        <v>341</v>
      </c>
      <c r="F6210" s="7">
        <v>45869.845464412574</v>
      </c>
      <c r="G6210" s="3" t="s">
        <v>17036</v>
      </c>
    </row>
    <row r="6211">
      <c r="A6211" s="3" t="s">
        <v>18309</v>
      </c>
      <c r="B6211" s="3" t="s">
        <v>5883</v>
      </c>
      <c r="C6211" s="5" t="s">
        <v>221</v>
      </c>
      <c r="D6211" s="3" t="s">
        <v>614</v>
      </c>
      <c r="E6211" s="3" t="s">
        <v>118</v>
      </c>
      <c r="F6211" s="7">
        <v>45869.84893663479</v>
      </c>
      <c r="G6211" s="3" t="s">
        <v>17039</v>
      </c>
    </row>
    <row r="6212">
      <c r="A6212" s="3" t="s">
        <v>18311</v>
      </c>
      <c r="B6212" s="3" t="s">
        <v>5883</v>
      </c>
      <c r="C6212" s="5" t="s">
        <v>614</v>
      </c>
      <c r="D6212" s="3" t="s">
        <v>206</v>
      </c>
      <c r="E6212" s="3" t="s">
        <v>100</v>
      </c>
      <c r="F6212" s="7">
        <v>45869.85240885702</v>
      </c>
      <c r="G6212" s="3" t="s">
        <v>17041</v>
      </c>
    </row>
    <row r="6213">
      <c r="A6213" s="3" t="s">
        <v>18313</v>
      </c>
      <c r="B6213" s="3" t="s">
        <v>5883</v>
      </c>
      <c r="C6213" s="5" t="s">
        <v>206</v>
      </c>
      <c r="D6213" s="3" t="s">
        <v>68</v>
      </c>
      <c r="E6213" s="3" t="s">
        <v>100</v>
      </c>
      <c r="F6213" s="7">
        <v>45869.85588107924</v>
      </c>
      <c r="G6213" s="3" t="s">
        <v>17044</v>
      </c>
    </row>
    <row r="6214">
      <c r="A6214" s="3" t="s">
        <v>18314</v>
      </c>
      <c r="B6214" s="3" t="s">
        <v>5886</v>
      </c>
      <c r="C6214" s="5" t="s">
        <v>45</v>
      </c>
      <c r="D6214" s="3" t="s">
        <v>221</v>
      </c>
      <c r="E6214" s="3" t="s">
        <v>598</v>
      </c>
      <c r="F6214" s="7">
        <v>45869.91663925799</v>
      </c>
      <c r="G6214" s="3" t="s">
        <v>18316</v>
      </c>
    </row>
    <row r="6215">
      <c r="A6215" s="3" t="s">
        <v>18317</v>
      </c>
      <c r="B6215" s="3" t="s">
        <v>5886</v>
      </c>
      <c r="C6215" s="5" t="s">
        <v>221</v>
      </c>
      <c r="D6215" s="3" t="s">
        <v>614</v>
      </c>
      <c r="E6215" s="3" t="s">
        <v>118</v>
      </c>
      <c r="F6215" s="7">
        <v>45869.920111480205</v>
      </c>
      <c r="G6215" s="3" t="s">
        <v>18318</v>
      </c>
    </row>
    <row r="6216">
      <c r="A6216" s="3" t="s">
        <v>18319</v>
      </c>
      <c r="B6216" s="3" t="s">
        <v>5886</v>
      </c>
      <c r="C6216" s="5" t="s">
        <v>614</v>
      </c>
      <c r="D6216" s="3" t="s">
        <v>206</v>
      </c>
      <c r="E6216" s="3" t="s">
        <v>100</v>
      </c>
      <c r="F6216" s="7">
        <v>45869.92358370243</v>
      </c>
      <c r="G6216" s="3" t="s">
        <v>18320</v>
      </c>
    </row>
    <row r="6217">
      <c r="A6217" s="3" t="s">
        <v>18321</v>
      </c>
      <c r="B6217" s="3" t="s">
        <v>5886</v>
      </c>
      <c r="C6217" s="5" t="s">
        <v>206</v>
      </c>
      <c r="D6217" s="3" t="s">
        <v>68</v>
      </c>
      <c r="E6217" s="3" t="s">
        <v>100</v>
      </c>
      <c r="F6217" s="7">
        <v>45869.92705592465</v>
      </c>
      <c r="G6217" s="3" t="s">
        <v>18322</v>
      </c>
    </row>
    <row r="6218">
      <c r="A6218" s="3" t="s">
        <v>18323</v>
      </c>
      <c r="B6218" s="3" t="s">
        <v>5890</v>
      </c>
      <c r="C6218" s="5" t="s">
        <v>45</v>
      </c>
      <c r="D6218" s="3" t="s">
        <v>221</v>
      </c>
      <c r="E6218" s="3" t="s">
        <v>436</v>
      </c>
      <c r="F6218" s="7">
        <v>45869.987814103406</v>
      </c>
      <c r="G6218" s="3" t="s">
        <v>18325</v>
      </c>
    </row>
    <row r="6219">
      <c r="A6219" s="3" t="s">
        <v>18326</v>
      </c>
      <c r="B6219" s="3" t="s">
        <v>5890</v>
      </c>
      <c r="C6219" s="5" t="s">
        <v>221</v>
      </c>
      <c r="D6219" s="3" t="s">
        <v>614</v>
      </c>
      <c r="E6219" s="3" t="s">
        <v>118</v>
      </c>
      <c r="F6219" s="7">
        <v>45869.991286325625</v>
      </c>
      <c r="G6219" s="3" t="s">
        <v>18328</v>
      </c>
    </row>
    <row r="6220">
      <c r="A6220" s="3" t="s">
        <v>18329</v>
      </c>
      <c r="B6220" s="3" t="s">
        <v>5890</v>
      </c>
      <c r="C6220" s="5" t="s">
        <v>614</v>
      </c>
      <c r="D6220" s="3" t="s">
        <v>206</v>
      </c>
      <c r="E6220" s="3" t="s">
        <v>100</v>
      </c>
      <c r="F6220" s="7">
        <v>45869.99475854785</v>
      </c>
      <c r="G6220" s="3" t="s">
        <v>18330</v>
      </c>
    </row>
    <row r="6221">
      <c r="A6221" s="3" t="s">
        <v>18332</v>
      </c>
      <c r="B6221" s="3" t="s">
        <v>5890</v>
      </c>
      <c r="C6221" s="5" t="s">
        <v>206</v>
      </c>
      <c r="D6221" s="3" t="s">
        <v>68</v>
      </c>
      <c r="E6221" s="3" t="s">
        <v>100</v>
      </c>
      <c r="F6221" s="7">
        <v>45869.99823077007</v>
      </c>
      <c r="G6221" s="3" t="s">
        <v>18333</v>
      </c>
    </row>
    <row r="6222">
      <c r="A6222" s="3" t="s">
        <v>18334</v>
      </c>
      <c r="B6222" s="3" t="s">
        <v>5893</v>
      </c>
      <c r="C6222" s="5" t="s">
        <v>45</v>
      </c>
      <c r="D6222" s="3" t="s">
        <v>221</v>
      </c>
      <c r="E6222" s="3" t="s">
        <v>600</v>
      </c>
      <c r="F6222" s="7">
        <v>45870.05898894882</v>
      </c>
      <c r="G6222" s="3" t="s">
        <v>18336</v>
      </c>
    </row>
    <row r="6223">
      <c r="A6223" s="3" t="s">
        <v>18337</v>
      </c>
      <c r="B6223" s="3" t="s">
        <v>5893</v>
      </c>
      <c r="C6223" s="5" t="s">
        <v>221</v>
      </c>
      <c r="D6223" s="3" t="s">
        <v>614</v>
      </c>
      <c r="E6223" s="3" t="s">
        <v>118</v>
      </c>
      <c r="F6223" s="7">
        <v>45870.06246117104</v>
      </c>
      <c r="G6223" s="3" t="s">
        <v>18339</v>
      </c>
    </row>
    <row r="6224">
      <c r="A6224" s="3" t="s">
        <v>18340</v>
      </c>
      <c r="B6224" s="3" t="s">
        <v>5893</v>
      </c>
      <c r="C6224" s="5" t="s">
        <v>614</v>
      </c>
      <c r="D6224" s="3" t="s">
        <v>206</v>
      </c>
      <c r="E6224" s="3" t="s">
        <v>100</v>
      </c>
      <c r="F6224" s="7">
        <v>45870.06593339326</v>
      </c>
      <c r="G6224" s="3" t="s">
        <v>18341</v>
      </c>
    </row>
    <row r="6225">
      <c r="A6225" s="3" t="s">
        <v>18343</v>
      </c>
      <c r="B6225" s="3" t="s">
        <v>5893</v>
      </c>
      <c r="C6225" s="5" t="s">
        <v>206</v>
      </c>
      <c r="D6225" s="3" t="s">
        <v>68</v>
      </c>
      <c r="E6225" s="3" t="s">
        <v>100</v>
      </c>
      <c r="F6225" s="7">
        <v>45870.06940561548</v>
      </c>
      <c r="G6225" s="3" t="s">
        <v>18344</v>
      </c>
    </row>
    <row r="6226">
      <c r="A6226" s="3" t="s">
        <v>18345</v>
      </c>
      <c r="B6226" s="3" t="s">
        <v>5896</v>
      </c>
      <c r="C6226" s="5" t="s">
        <v>45</v>
      </c>
      <c r="D6226" s="3" t="s">
        <v>221</v>
      </c>
      <c r="E6226" s="3" t="s">
        <v>302</v>
      </c>
      <c r="F6226" s="7">
        <v>45870.13016379423</v>
      </c>
      <c r="G6226" s="3" t="s">
        <v>18347</v>
      </c>
    </row>
    <row r="6227">
      <c r="A6227" s="3" t="s">
        <v>18348</v>
      </c>
      <c r="B6227" s="3" t="s">
        <v>5896</v>
      </c>
      <c r="C6227" s="5" t="s">
        <v>221</v>
      </c>
      <c r="D6227" s="3" t="s">
        <v>614</v>
      </c>
      <c r="E6227" s="3" t="s">
        <v>118</v>
      </c>
      <c r="F6227" s="7">
        <v>45870.13363601645</v>
      </c>
      <c r="G6227" s="3" t="s">
        <v>18350</v>
      </c>
    </row>
    <row r="6228">
      <c r="A6228" s="3" t="s">
        <v>18351</v>
      </c>
      <c r="B6228" s="3" t="s">
        <v>5896</v>
      </c>
      <c r="C6228" s="5" t="s">
        <v>614</v>
      </c>
      <c r="D6228" s="3" t="s">
        <v>206</v>
      </c>
      <c r="E6228" s="3" t="s">
        <v>100</v>
      </c>
      <c r="F6228" s="7">
        <v>45870.137108238676</v>
      </c>
      <c r="G6228" s="3" t="s">
        <v>18353</v>
      </c>
    </row>
    <row r="6229">
      <c r="A6229" s="3" t="s">
        <v>18354</v>
      </c>
      <c r="B6229" s="3" t="s">
        <v>5896</v>
      </c>
      <c r="C6229" s="5" t="s">
        <v>206</v>
      </c>
      <c r="D6229" s="3" t="s">
        <v>68</v>
      </c>
      <c r="E6229" s="3" t="s">
        <v>100</v>
      </c>
      <c r="F6229" s="7">
        <v>45870.140580460895</v>
      </c>
      <c r="G6229" s="3" t="s">
        <v>18355</v>
      </c>
    </row>
    <row r="6230">
      <c r="A6230" s="3" t="s">
        <v>18356</v>
      </c>
      <c r="B6230" s="3" t="s">
        <v>5898</v>
      </c>
      <c r="C6230" s="5" t="s">
        <v>45</v>
      </c>
      <c r="D6230" s="3" t="s">
        <v>221</v>
      </c>
      <c r="E6230" s="3" t="s">
        <v>380</v>
      </c>
      <c r="F6230" s="7">
        <v>45870.20133863965</v>
      </c>
      <c r="G6230" s="3" t="s">
        <v>18358</v>
      </c>
    </row>
    <row r="6231">
      <c r="A6231" s="3" t="s">
        <v>18359</v>
      </c>
      <c r="B6231" s="3" t="s">
        <v>5898</v>
      </c>
      <c r="C6231" s="5" t="s">
        <v>221</v>
      </c>
      <c r="D6231" s="3" t="s">
        <v>614</v>
      </c>
      <c r="E6231" s="3" t="s">
        <v>118</v>
      </c>
      <c r="F6231" s="7">
        <v>45870.20481086187</v>
      </c>
      <c r="G6231" s="3" t="s">
        <v>18361</v>
      </c>
    </row>
    <row r="6232">
      <c r="A6232" s="3" t="s">
        <v>18362</v>
      </c>
      <c r="B6232" s="3" t="s">
        <v>5898</v>
      </c>
      <c r="C6232" s="5" t="s">
        <v>614</v>
      </c>
      <c r="D6232" s="3" t="s">
        <v>206</v>
      </c>
      <c r="E6232" s="3" t="s">
        <v>100</v>
      </c>
      <c r="F6232" s="7">
        <v>45870.208283084095</v>
      </c>
      <c r="G6232" s="3" t="s">
        <v>18364</v>
      </c>
    </row>
    <row r="6233">
      <c r="A6233" s="3" t="s">
        <v>18365</v>
      </c>
      <c r="B6233" s="3" t="s">
        <v>5898</v>
      </c>
      <c r="C6233" s="5" t="s">
        <v>206</v>
      </c>
      <c r="D6233" s="3" t="s">
        <v>68</v>
      </c>
      <c r="E6233" s="3" t="s">
        <v>100</v>
      </c>
      <c r="F6233" s="7">
        <v>45870.211755306314</v>
      </c>
      <c r="G6233" s="3" t="s">
        <v>18366</v>
      </c>
    </row>
    <row r="6234">
      <c r="A6234" s="3" t="s">
        <v>18368</v>
      </c>
      <c r="B6234" s="3" t="s">
        <v>5900</v>
      </c>
      <c r="C6234" s="5" t="s">
        <v>45</v>
      </c>
      <c r="D6234" s="3" t="s">
        <v>221</v>
      </c>
      <c r="E6234" s="3" t="s">
        <v>704</v>
      </c>
      <c r="F6234" s="7">
        <v>45870.27251348507</v>
      </c>
      <c r="G6234" s="3" t="s">
        <v>18369</v>
      </c>
    </row>
    <row r="6235">
      <c r="A6235" s="3" t="s">
        <v>18370</v>
      </c>
      <c r="B6235" s="3" t="s">
        <v>5900</v>
      </c>
      <c r="C6235" s="5" t="s">
        <v>221</v>
      </c>
      <c r="D6235" s="3" t="s">
        <v>614</v>
      </c>
      <c r="E6235" s="3" t="s">
        <v>118</v>
      </c>
      <c r="F6235" s="7">
        <v>45870.27598570729</v>
      </c>
      <c r="G6235" s="3" t="s">
        <v>18372</v>
      </c>
    </row>
    <row r="6236">
      <c r="A6236" s="3" t="s">
        <v>18373</v>
      </c>
      <c r="B6236" s="3" t="s">
        <v>5900</v>
      </c>
      <c r="C6236" s="5" t="s">
        <v>614</v>
      </c>
      <c r="D6236" s="3" t="s">
        <v>206</v>
      </c>
      <c r="E6236" s="3" t="s">
        <v>100</v>
      </c>
      <c r="F6236" s="7">
        <v>45870.279457929515</v>
      </c>
      <c r="G6236" s="3" t="s">
        <v>18375</v>
      </c>
    </row>
    <row r="6237">
      <c r="A6237" s="3" t="s">
        <v>18376</v>
      </c>
      <c r="B6237" s="3" t="s">
        <v>5900</v>
      </c>
      <c r="C6237" s="5" t="s">
        <v>206</v>
      </c>
      <c r="D6237" s="3" t="s">
        <v>68</v>
      </c>
      <c r="E6237" s="3" t="s">
        <v>100</v>
      </c>
      <c r="F6237" s="7">
        <v>45870.282930151734</v>
      </c>
      <c r="G6237" s="3" t="s">
        <v>18378</v>
      </c>
    </row>
    <row r="6238">
      <c r="A6238" s="3" t="s">
        <v>18379</v>
      </c>
      <c r="B6238" s="3" t="s">
        <v>5903</v>
      </c>
      <c r="C6238" s="5" t="s">
        <v>45</v>
      </c>
      <c r="D6238" s="3" t="s">
        <v>221</v>
      </c>
      <c r="E6238" s="3" t="s">
        <v>937</v>
      </c>
      <c r="F6238" s="7">
        <v>45870.343688330475</v>
      </c>
      <c r="G6238" s="3" t="s">
        <v>18380</v>
      </c>
    </row>
    <row r="6239">
      <c r="A6239" s="3" t="s">
        <v>18382</v>
      </c>
      <c r="B6239" s="3" t="s">
        <v>5903</v>
      </c>
      <c r="C6239" s="5" t="s">
        <v>221</v>
      </c>
      <c r="D6239" s="3" t="s">
        <v>614</v>
      </c>
      <c r="E6239" s="3" t="s">
        <v>118</v>
      </c>
      <c r="F6239" s="7">
        <v>45870.347160552694</v>
      </c>
      <c r="G6239" s="3" t="s">
        <v>18383</v>
      </c>
    </row>
    <row r="6240">
      <c r="A6240" s="3" t="s">
        <v>18384</v>
      </c>
      <c r="B6240" s="3" t="s">
        <v>5903</v>
      </c>
      <c r="C6240" s="5" t="s">
        <v>614</v>
      </c>
      <c r="D6240" s="3" t="s">
        <v>206</v>
      </c>
      <c r="E6240" s="3" t="s">
        <v>100</v>
      </c>
      <c r="F6240" s="7">
        <v>45870.35063277492</v>
      </c>
      <c r="G6240" s="3" t="s">
        <v>18386</v>
      </c>
    </row>
    <row r="6241">
      <c r="A6241" s="3" t="s">
        <v>18387</v>
      </c>
      <c r="B6241" s="3" t="s">
        <v>5903</v>
      </c>
      <c r="C6241" s="5" t="s">
        <v>206</v>
      </c>
      <c r="D6241" s="3" t="s">
        <v>68</v>
      </c>
      <c r="E6241" s="3" t="s">
        <v>100</v>
      </c>
      <c r="F6241" s="7">
        <v>45870.35410499714</v>
      </c>
      <c r="G6241" s="3" t="s">
        <v>18389</v>
      </c>
    </row>
    <row r="6242">
      <c r="A6242" s="3" t="s">
        <v>18390</v>
      </c>
      <c r="B6242" s="3" t="s">
        <v>5905</v>
      </c>
      <c r="C6242" s="5" t="s">
        <v>45</v>
      </c>
      <c r="D6242" s="3" t="s">
        <v>221</v>
      </c>
      <c r="E6242" s="3" t="s">
        <v>348</v>
      </c>
      <c r="F6242" s="7">
        <v>45870.414863175894</v>
      </c>
      <c r="G6242" s="3" t="s">
        <v>17986</v>
      </c>
    </row>
    <row r="6243">
      <c r="A6243" s="3" t="s">
        <v>18392</v>
      </c>
      <c r="B6243" s="3" t="s">
        <v>5905</v>
      </c>
      <c r="C6243" s="5" t="s">
        <v>221</v>
      </c>
      <c r="D6243" s="3" t="s">
        <v>614</v>
      </c>
      <c r="E6243" s="3" t="s">
        <v>118</v>
      </c>
      <c r="F6243" s="7">
        <v>45870.41833539811</v>
      </c>
      <c r="G6243" s="3" t="s">
        <v>17989</v>
      </c>
    </row>
    <row r="6244">
      <c r="A6244" s="3" t="s">
        <v>18394</v>
      </c>
      <c r="B6244" s="3" t="s">
        <v>5905</v>
      </c>
      <c r="C6244" s="5" t="s">
        <v>614</v>
      </c>
      <c r="D6244" s="3" t="s">
        <v>206</v>
      </c>
      <c r="E6244" s="3" t="s">
        <v>100</v>
      </c>
      <c r="F6244" s="7">
        <v>45870.42180762034</v>
      </c>
      <c r="G6244" s="3" t="s">
        <v>17992</v>
      </c>
    </row>
    <row r="6245">
      <c r="A6245" s="3" t="s">
        <v>18395</v>
      </c>
      <c r="B6245" s="3" t="s">
        <v>5905</v>
      </c>
      <c r="C6245" s="5" t="s">
        <v>206</v>
      </c>
      <c r="D6245" s="3" t="s">
        <v>68</v>
      </c>
      <c r="E6245" s="3" t="s">
        <v>100</v>
      </c>
      <c r="F6245" s="7">
        <v>45870.42527984256</v>
      </c>
      <c r="G6245" s="3" t="s">
        <v>17995</v>
      </c>
    </row>
    <row r="6246">
      <c r="A6246" s="3" t="s">
        <v>18397</v>
      </c>
      <c r="B6246" s="3" t="s">
        <v>5908</v>
      </c>
      <c r="C6246" s="5" t="s">
        <v>45</v>
      </c>
      <c r="D6246" s="3" t="s">
        <v>221</v>
      </c>
      <c r="E6246" s="3" t="s">
        <v>485</v>
      </c>
      <c r="F6246" s="7">
        <v>45870.486038021314</v>
      </c>
      <c r="G6246" s="3" t="s">
        <v>18399</v>
      </c>
    </row>
    <row r="6247">
      <c r="A6247" s="3" t="s">
        <v>18400</v>
      </c>
      <c r="B6247" s="3" t="s">
        <v>5908</v>
      </c>
      <c r="C6247" s="5" t="s">
        <v>221</v>
      </c>
      <c r="D6247" s="3" t="s">
        <v>195</v>
      </c>
      <c r="E6247" s="3" t="s">
        <v>485</v>
      </c>
      <c r="F6247" s="7">
        <v>45870.48951024353</v>
      </c>
      <c r="G6247" s="3" t="s">
        <v>18402</v>
      </c>
    </row>
    <row r="6248">
      <c r="A6248" s="3" t="s">
        <v>18403</v>
      </c>
      <c r="B6248" s="3" t="s">
        <v>5911</v>
      </c>
      <c r="C6248" s="5" t="s">
        <v>45</v>
      </c>
      <c r="D6248" s="3" t="s">
        <v>221</v>
      </c>
      <c r="E6248" s="3" t="s">
        <v>247</v>
      </c>
      <c r="F6248" s="7">
        <v>45870.557212866726</v>
      </c>
      <c r="G6248" s="3" t="s">
        <v>18405</v>
      </c>
    </row>
    <row r="6249">
      <c r="A6249" s="3" t="s">
        <v>18406</v>
      </c>
      <c r="B6249" s="3" t="s">
        <v>5911</v>
      </c>
      <c r="C6249" s="5" t="s">
        <v>221</v>
      </c>
      <c r="D6249" s="3" t="s">
        <v>614</v>
      </c>
      <c r="E6249" s="3" t="s">
        <v>118</v>
      </c>
      <c r="F6249" s="7">
        <v>45870.560685088945</v>
      </c>
      <c r="G6249" s="3" t="s">
        <v>18407</v>
      </c>
    </row>
    <row r="6250">
      <c r="A6250" s="3" t="s">
        <v>18409</v>
      </c>
      <c r="B6250" s="3" t="s">
        <v>5911</v>
      </c>
      <c r="C6250" s="5" t="s">
        <v>614</v>
      </c>
      <c r="D6250" s="3" t="s">
        <v>206</v>
      </c>
      <c r="E6250" s="3" t="s">
        <v>100</v>
      </c>
      <c r="F6250" s="7">
        <v>45870.56415731117</v>
      </c>
      <c r="G6250" s="3" t="s">
        <v>18410</v>
      </c>
    </row>
    <row r="6251">
      <c r="A6251" s="3" t="s">
        <v>18411</v>
      </c>
      <c r="B6251" s="3" t="s">
        <v>5911</v>
      </c>
      <c r="C6251" s="5" t="s">
        <v>206</v>
      </c>
      <c r="D6251" s="3" t="s">
        <v>68</v>
      </c>
      <c r="E6251" s="3" t="s">
        <v>100</v>
      </c>
      <c r="F6251" s="7">
        <v>45870.56762953339</v>
      </c>
      <c r="G6251" s="3" t="s">
        <v>18412</v>
      </c>
    </row>
    <row r="6252">
      <c r="A6252" s="3" t="s">
        <v>18414</v>
      </c>
      <c r="B6252" s="3" t="s">
        <v>5914</v>
      </c>
      <c r="C6252" s="5" t="s">
        <v>45</v>
      </c>
      <c r="D6252" s="3" t="s">
        <v>221</v>
      </c>
      <c r="E6252" s="3" t="s">
        <v>678</v>
      </c>
      <c r="F6252" s="7">
        <v>45870.62838771214</v>
      </c>
      <c r="G6252" s="3" t="s">
        <v>18415</v>
      </c>
    </row>
    <row r="6253">
      <c r="A6253" s="3" t="s">
        <v>18417</v>
      </c>
      <c r="B6253" s="3" t="s">
        <v>5914</v>
      </c>
      <c r="C6253" s="5" t="s">
        <v>221</v>
      </c>
      <c r="D6253" s="3" t="s">
        <v>195</v>
      </c>
      <c r="E6253" s="3" t="s">
        <v>678</v>
      </c>
      <c r="F6253" s="7">
        <v>45870.63185993436</v>
      </c>
      <c r="G6253" s="3" t="s">
        <v>18419</v>
      </c>
    </row>
    <row r="6254">
      <c r="A6254" s="3" t="s">
        <v>18420</v>
      </c>
      <c r="B6254" s="3" t="s">
        <v>5917</v>
      </c>
      <c r="C6254" s="5" t="s">
        <v>45</v>
      </c>
      <c r="D6254" s="3" t="s">
        <v>221</v>
      </c>
      <c r="E6254" s="3" t="s">
        <v>870</v>
      </c>
      <c r="F6254" s="7">
        <v>45870.69956255756</v>
      </c>
      <c r="G6254" s="3" t="s">
        <v>18421</v>
      </c>
    </row>
    <row r="6255">
      <c r="A6255" s="3" t="s">
        <v>18423</v>
      </c>
      <c r="B6255" s="3" t="s">
        <v>5917</v>
      </c>
      <c r="C6255" s="5" t="s">
        <v>221</v>
      </c>
      <c r="D6255" s="3" t="s">
        <v>614</v>
      </c>
      <c r="E6255" s="3" t="s">
        <v>118</v>
      </c>
      <c r="F6255" s="7">
        <v>45870.70303477978</v>
      </c>
      <c r="G6255" s="3" t="s">
        <v>18424</v>
      </c>
    </row>
    <row r="6256">
      <c r="A6256" s="3" t="s">
        <v>18425</v>
      </c>
      <c r="B6256" s="3" t="s">
        <v>5917</v>
      </c>
      <c r="C6256" s="5" t="s">
        <v>614</v>
      </c>
      <c r="D6256" s="3" t="s">
        <v>206</v>
      </c>
      <c r="E6256" s="3" t="s">
        <v>100</v>
      </c>
      <c r="F6256" s="7">
        <v>45870.706507002</v>
      </c>
      <c r="G6256" s="3" t="s">
        <v>18427</v>
      </c>
    </row>
    <row r="6257">
      <c r="A6257" s="3" t="s">
        <v>18428</v>
      </c>
      <c r="B6257" s="3" t="s">
        <v>5917</v>
      </c>
      <c r="C6257" s="5" t="s">
        <v>206</v>
      </c>
      <c r="D6257" s="3" t="s">
        <v>68</v>
      </c>
      <c r="E6257" s="3" t="s">
        <v>100</v>
      </c>
      <c r="F6257" s="7">
        <v>45870.70997922422</v>
      </c>
      <c r="G6257" s="3" t="s">
        <v>18430</v>
      </c>
    </row>
    <row r="6258">
      <c r="A6258" s="3" t="s">
        <v>18431</v>
      </c>
      <c r="B6258" s="3" t="s">
        <v>5920</v>
      </c>
      <c r="C6258" s="5" t="s">
        <v>45</v>
      </c>
      <c r="D6258" s="3" t="s">
        <v>221</v>
      </c>
      <c r="E6258" s="3" t="s">
        <v>348</v>
      </c>
      <c r="F6258" s="7">
        <v>45870.77073740297</v>
      </c>
      <c r="G6258" s="3" t="s">
        <v>17986</v>
      </c>
    </row>
    <row r="6259">
      <c r="A6259" s="3" t="s">
        <v>18433</v>
      </c>
      <c r="B6259" s="3" t="s">
        <v>5920</v>
      </c>
      <c r="C6259" s="5" t="s">
        <v>221</v>
      </c>
      <c r="D6259" s="3" t="s">
        <v>614</v>
      </c>
      <c r="E6259" s="3" t="s">
        <v>118</v>
      </c>
      <c r="F6259" s="7">
        <v>45870.77420962519</v>
      </c>
      <c r="G6259" s="3" t="s">
        <v>17989</v>
      </c>
    </row>
    <row r="6260">
      <c r="A6260" s="3" t="s">
        <v>18434</v>
      </c>
      <c r="B6260" s="3" t="s">
        <v>5920</v>
      </c>
      <c r="C6260" s="5" t="s">
        <v>614</v>
      </c>
      <c r="D6260" s="3" t="s">
        <v>206</v>
      </c>
      <c r="E6260" s="3" t="s">
        <v>100</v>
      </c>
      <c r="F6260" s="7">
        <v>45870.777681847416</v>
      </c>
      <c r="G6260" s="3" t="s">
        <v>17992</v>
      </c>
    </row>
    <row r="6261">
      <c r="A6261" s="3" t="s">
        <v>18436</v>
      </c>
      <c r="B6261" s="3" t="s">
        <v>5920</v>
      </c>
      <c r="C6261" s="5" t="s">
        <v>206</v>
      </c>
      <c r="D6261" s="3" t="s">
        <v>68</v>
      </c>
      <c r="E6261" s="3" t="s">
        <v>100</v>
      </c>
      <c r="F6261" s="7">
        <v>45870.781154069635</v>
      </c>
      <c r="G6261" s="3" t="s">
        <v>17995</v>
      </c>
    </row>
    <row r="6262">
      <c r="A6262" s="3" t="s">
        <v>18438</v>
      </c>
      <c r="B6262" s="3" t="s">
        <v>5923</v>
      </c>
      <c r="C6262" s="5" t="s">
        <v>45</v>
      </c>
      <c r="D6262" s="3" t="s">
        <v>221</v>
      </c>
      <c r="E6262" s="3" t="s">
        <v>505</v>
      </c>
      <c r="F6262" s="7">
        <v>45870.84191224838</v>
      </c>
      <c r="G6262" s="3" t="s">
        <v>18440</v>
      </c>
    </row>
    <row r="6263">
      <c r="A6263" s="3" t="s">
        <v>18441</v>
      </c>
      <c r="B6263" s="3" t="s">
        <v>5923</v>
      </c>
      <c r="C6263" s="5" t="s">
        <v>221</v>
      </c>
      <c r="D6263" s="3" t="s">
        <v>614</v>
      </c>
      <c r="E6263" s="3" t="s">
        <v>118</v>
      </c>
      <c r="F6263" s="7">
        <v>45870.8453844706</v>
      </c>
      <c r="G6263" s="3" t="s">
        <v>18442</v>
      </c>
    </row>
    <row r="6264">
      <c r="A6264" s="3" t="s">
        <v>18444</v>
      </c>
      <c r="B6264" s="3" t="s">
        <v>5923</v>
      </c>
      <c r="C6264" s="5" t="s">
        <v>614</v>
      </c>
      <c r="D6264" s="3" t="s">
        <v>206</v>
      </c>
      <c r="E6264" s="3" t="s">
        <v>100</v>
      </c>
      <c r="F6264" s="7">
        <v>45870.84885669283</v>
      </c>
      <c r="G6264" s="3" t="s">
        <v>18445</v>
      </c>
    </row>
    <row r="6265">
      <c r="A6265" s="3" t="s">
        <v>18446</v>
      </c>
      <c r="B6265" s="3" t="s">
        <v>5923</v>
      </c>
      <c r="C6265" s="5" t="s">
        <v>206</v>
      </c>
      <c r="D6265" s="3" t="s">
        <v>68</v>
      </c>
      <c r="E6265" s="3" t="s">
        <v>100</v>
      </c>
      <c r="F6265" s="7">
        <v>45870.85232891505</v>
      </c>
      <c r="G6265" s="3" t="s">
        <v>18448</v>
      </c>
    </row>
    <row r="6266">
      <c r="A6266" s="3" t="s">
        <v>18449</v>
      </c>
      <c r="B6266" s="3" t="s">
        <v>5926</v>
      </c>
      <c r="C6266" s="5" t="s">
        <v>45</v>
      </c>
      <c r="D6266" s="3" t="s">
        <v>221</v>
      </c>
      <c r="E6266" s="3" t="s">
        <v>307</v>
      </c>
      <c r="F6266" s="7">
        <v>45870.9130870938</v>
      </c>
      <c r="G6266" s="3" t="s">
        <v>18451</v>
      </c>
    </row>
    <row r="6267">
      <c r="A6267" s="3" t="s">
        <v>18452</v>
      </c>
      <c r="B6267" s="3" t="s">
        <v>5926</v>
      </c>
      <c r="C6267" s="5" t="s">
        <v>221</v>
      </c>
      <c r="D6267" s="3" t="s">
        <v>614</v>
      </c>
      <c r="E6267" s="3" t="s">
        <v>118</v>
      </c>
      <c r="F6267" s="7">
        <v>45870.91655931602</v>
      </c>
      <c r="G6267" s="3" t="s">
        <v>18454</v>
      </c>
    </row>
    <row r="6268">
      <c r="A6268" s="3" t="s">
        <v>18455</v>
      </c>
      <c r="B6268" s="3" t="s">
        <v>5926</v>
      </c>
      <c r="C6268" s="5" t="s">
        <v>614</v>
      </c>
      <c r="D6268" s="3" t="s">
        <v>206</v>
      </c>
      <c r="E6268" s="3" t="s">
        <v>100</v>
      </c>
      <c r="F6268" s="7">
        <v>45870.92003153825</v>
      </c>
      <c r="G6268" s="3" t="s">
        <v>18456</v>
      </c>
    </row>
    <row r="6269">
      <c r="A6269" s="3" t="s">
        <v>18458</v>
      </c>
      <c r="B6269" s="3" t="s">
        <v>5926</v>
      </c>
      <c r="C6269" s="5" t="s">
        <v>206</v>
      </c>
      <c r="D6269" s="3" t="s">
        <v>68</v>
      </c>
      <c r="E6269" s="3" t="s">
        <v>100</v>
      </c>
      <c r="F6269" s="7">
        <v>45870.92350376047</v>
      </c>
      <c r="G6269" s="3" t="s">
        <v>18459</v>
      </c>
    </row>
    <row r="6270">
      <c r="A6270" s="3" t="s">
        <v>18461</v>
      </c>
      <c r="B6270" s="3" t="s">
        <v>5929</v>
      </c>
      <c r="C6270" s="5" t="s">
        <v>45</v>
      </c>
      <c r="D6270" s="3" t="s">
        <v>221</v>
      </c>
      <c r="E6270" s="3" t="s">
        <v>491</v>
      </c>
      <c r="F6270" s="7">
        <v>45870.98426193922</v>
      </c>
      <c r="G6270" s="3" t="s">
        <v>18462</v>
      </c>
    </row>
    <row r="6271">
      <c r="A6271" s="3" t="s">
        <v>18464</v>
      </c>
      <c r="B6271" s="3" t="s">
        <v>5929</v>
      </c>
      <c r="C6271" s="5" t="s">
        <v>221</v>
      </c>
      <c r="D6271" s="3" t="s">
        <v>614</v>
      </c>
      <c r="E6271" s="3" t="s">
        <v>118</v>
      </c>
      <c r="F6271" s="7">
        <v>45870.98773416144</v>
      </c>
      <c r="G6271" s="3" t="s">
        <v>18465</v>
      </c>
    </row>
    <row r="6272">
      <c r="A6272" s="3" t="s">
        <v>18466</v>
      </c>
      <c r="B6272" s="3" t="s">
        <v>5929</v>
      </c>
      <c r="C6272" s="5" t="s">
        <v>614</v>
      </c>
      <c r="D6272" s="3" t="s">
        <v>206</v>
      </c>
      <c r="E6272" s="3" t="s">
        <v>100</v>
      </c>
      <c r="F6272" s="7">
        <v>45870.99120638367</v>
      </c>
      <c r="G6272" s="3" t="s">
        <v>18468</v>
      </c>
    </row>
    <row r="6273">
      <c r="A6273" s="3" t="s">
        <v>18469</v>
      </c>
      <c r="B6273" s="3" t="s">
        <v>5929</v>
      </c>
      <c r="C6273" s="5" t="s">
        <v>206</v>
      </c>
      <c r="D6273" s="3" t="s">
        <v>68</v>
      </c>
      <c r="E6273" s="3" t="s">
        <v>100</v>
      </c>
      <c r="F6273" s="7">
        <v>45870.994678605886</v>
      </c>
      <c r="G6273" s="3" t="s">
        <v>18471</v>
      </c>
    </row>
    <row r="6274">
      <c r="A6274" s="3" t="s">
        <v>18472</v>
      </c>
      <c r="B6274" s="3" t="s">
        <v>5934</v>
      </c>
      <c r="C6274" s="5" t="s">
        <v>45</v>
      </c>
      <c r="D6274" s="3" t="s">
        <v>221</v>
      </c>
      <c r="E6274" s="3" t="s">
        <v>922</v>
      </c>
      <c r="F6274" s="7">
        <v>45871.05543678463</v>
      </c>
      <c r="G6274" s="3" t="s">
        <v>18473</v>
      </c>
    </row>
    <row r="6275">
      <c r="A6275" s="3" t="s">
        <v>18475</v>
      </c>
      <c r="B6275" s="3" t="s">
        <v>5934</v>
      </c>
      <c r="C6275" s="5" t="s">
        <v>221</v>
      </c>
      <c r="D6275" s="3" t="s">
        <v>614</v>
      </c>
      <c r="E6275" s="3" t="s">
        <v>118</v>
      </c>
      <c r="F6275" s="7">
        <v>45871.058909006846</v>
      </c>
      <c r="G6275" s="3" t="s">
        <v>18476</v>
      </c>
    </row>
    <row r="6276">
      <c r="A6276" s="3" t="s">
        <v>18477</v>
      </c>
      <c r="B6276" s="3" t="s">
        <v>5934</v>
      </c>
      <c r="C6276" s="5" t="s">
        <v>614</v>
      </c>
      <c r="D6276" s="3" t="s">
        <v>206</v>
      </c>
      <c r="E6276" s="3" t="s">
        <v>100</v>
      </c>
      <c r="F6276" s="7">
        <v>45871.06238122907</v>
      </c>
      <c r="G6276" s="3" t="s">
        <v>18479</v>
      </c>
    </row>
    <row r="6277">
      <c r="A6277" s="3" t="s">
        <v>18480</v>
      </c>
      <c r="B6277" s="3" t="s">
        <v>5934</v>
      </c>
      <c r="C6277" s="5" t="s">
        <v>206</v>
      </c>
      <c r="D6277" s="3" t="s">
        <v>68</v>
      </c>
      <c r="E6277" s="3" t="s">
        <v>100</v>
      </c>
      <c r="F6277" s="7">
        <v>45871.06585345129</v>
      </c>
      <c r="G6277" s="3" t="s">
        <v>18482</v>
      </c>
    </row>
    <row r="6278">
      <c r="A6278" s="3" t="s">
        <v>18483</v>
      </c>
      <c r="B6278" s="3" t="s">
        <v>5937</v>
      </c>
      <c r="C6278" s="5" t="s">
        <v>45</v>
      </c>
      <c r="D6278" s="3" t="s">
        <v>221</v>
      </c>
      <c r="E6278" s="3" t="s">
        <v>400</v>
      </c>
      <c r="F6278" s="7">
        <v>45871.12661163005</v>
      </c>
      <c r="G6278" s="3" t="s">
        <v>18485</v>
      </c>
    </row>
    <row r="6279">
      <c r="A6279" s="3" t="s">
        <v>18486</v>
      </c>
      <c r="B6279" s="3" t="s">
        <v>5937</v>
      </c>
      <c r="C6279" s="5" t="s">
        <v>221</v>
      </c>
      <c r="D6279" s="3" t="s">
        <v>614</v>
      </c>
      <c r="E6279" s="3" t="s">
        <v>118</v>
      </c>
      <c r="F6279" s="7">
        <v>45871.130083852266</v>
      </c>
      <c r="G6279" s="3" t="s">
        <v>18487</v>
      </c>
    </row>
    <row r="6280">
      <c r="A6280" s="3" t="s">
        <v>18489</v>
      </c>
      <c r="B6280" s="3" t="s">
        <v>5937</v>
      </c>
      <c r="C6280" s="5" t="s">
        <v>614</v>
      </c>
      <c r="D6280" s="3" t="s">
        <v>206</v>
      </c>
      <c r="E6280" s="3" t="s">
        <v>100</v>
      </c>
      <c r="F6280" s="7">
        <v>45871.13355607449</v>
      </c>
      <c r="G6280" s="3" t="s">
        <v>18490</v>
      </c>
    </row>
    <row r="6281">
      <c r="A6281" s="3" t="s">
        <v>18491</v>
      </c>
      <c r="B6281" s="3" t="s">
        <v>5937</v>
      </c>
      <c r="C6281" s="5" t="s">
        <v>206</v>
      </c>
      <c r="D6281" s="3" t="s">
        <v>68</v>
      </c>
      <c r="E6281" s="3" t="s">
        <v>100</v>
      </c>
      <c r="F6281" s="7">
        <v>45871.13702829671</v>
      </c>
      <c r="G6281" s="3" t="s">
        <v>18493</v>
      </c>
    </row>
    <row r="6282">
      <c r="A6282" s="3" t="s">
        <v>18494</v>
      </c>
      <c r="B6282" s="3" t="s">
        <v>5940</v>
      </c>
      <c r="C6282" s="5" t="s">
        <v>45</v>
      </c>
      <c r="D6282" s="3" t="s">
        <v>221</v>
      </c>
      <c r="E6282" s="3" t="s">
        <v>141</v>
      </c>
      <c r="F6282" s="7">
        <v>45871.19778647546</v>
      </c>
      <c r="G6282" s="3" t="s">
        <v>18496</v>
      </c>
    </row>
    <row r="6283">
      <c r="A6283" s="3" t="s">
        <v>18497</v>
      </c>
      <c r="B6283" s="3" t="s">
        <v>5940</v>
      </c>
      <c r="C6283" s="5" t="s">
        <v>221</v>
      </c>
      <c r="D6283" s="3" t="s">
        <v>614</v>
      </c>
      <c r="E6283" s="3" t="s">
        <v>118</v>
      </c>
      <c r="F6283" s="7">
        <v>45871.20125869768</v>
      </c>
      <c r="G6283" s="3" t="s">
        <v>18499</v>
      </c>
    </row>
    <row r="6284">
      <c r="A6284" s="3" t="s">
        <v>18500</v>
      </c>
      <c r="B6284" s="3" t="s">
        <v>5940</v>
      </c>
      <c r="C6284" s="5" t="s">
        <v>614</v>
      </c>
      <c r="D6284" s="3" t="s">
        <v>206</v>
      </c>
      <c r="E6284" s="3" t="s">
        <v>100</v>
      </c>
      <c r="F6284" s="7">
        <v>45871.204730919904</v>
      </c>
      <c r="G6284" s="3" t="s">
        <v>18502</v>
      </c>
    </row>
    <row r="6285">
      <c r="A6285" s="3" t="s">
        <v>18503</v>
      </c>
      <c r="B6285" s="3" t="s">
        <v>5940</v>
      </c>
      <c r="C6285" s="5" t="s">
        <v>206</v>
      </c>
      <c r="D6285" s="3" t="s">
        <v>68</v>
      </c>
      <c r="E6285" s="3" t="s">
        <v>100</v>
      </c>
      <c r="F6285" s="7">
        <v>45871.20820314212</v>
      </c>
      <c r="G6285" s="3" t="s">
        <v>18504</v>
      </c>
    </row>
    <row r="6286">
      <c r="A6286" s="3" t="s">
        <v>18506</v>
      </c>
      <c r="B6286" s="3" t="s">
        <v>5943</v>
      </c>
      <c r="C6286" s="5" t="s">
        <v>45</v>
      </c>
      <c r="D6286" s="3" t="s">
        <v>221</v>
      </c>
      <c r="E6286" s="3" t="s">
        <v>126</v>
      </c>
      <c r="F6286" s="7">
        <v>45871.26896132088</v>
      </c>
      <c r="G6286" s="3" t="s">
        <v>18507</v>
      </c>
    </row>
    <row r="6287">
      <c r="A6287" s="3" t="s">
        <v>18509</v>
      </c>
      <c r="B6287" s="3" t="s">
        <v>5943</v>
      </c>
      <c r="C6287" s="5" t="s">
        <v>221</v>
      </c>
      <c r="D6287" s="3" t="s">
        <v>614</v>
      </c>
      <c r="E6287" s="3" t="s">
        <v>118</v>
      </c>
      <c r="F6287" s="7">
        <v>45871.2724335431</v>
      </c>
      <c r="G6287" s="3" t="s">
        <v>18510</v>
      </c>
    </row>
    <row r="6288">
      <c r="A6288" s="3" t="s">
        <v>18511</v>
      </c>
      <c r="B6288" s="3" t="s">
        <v>5943</v>
      </c>
      <c r="C6288" s="5" t="s">
        <v>614</v>
      </c>
      <c r="D6288" s="3" t="s">
        <v>206</v>
      </c>
      <c r="E6288" s="3" t="s">
        <v>100</v>
      </c>
      <c r="F6288" s="7">
        <v>45871.275905765324</v>
      </c>
      <c r="G6288" s="3" t="s">
        <v>18513</v>
      </c>
    </row>
    <row r="6289">
      <c r="A6289" s="3" t="s">
        <v>18514</v>
      </c>
      <c r="B6289" s="3" t="s">
        <v>5943</v>
      </c>
      <c r="C6289" s="5" t="s">
        <v>206</v>
      </c>
      <c r="D6289" s="3" t="s">
        <v>68</v>
      </c>
      <c r="E6289" s="3" t="s">
        <v>100</v>
      </c>
      <c r="F6289" s="7">
        <v>45871.27937798754</v>
      </c>
      <c r="G6289" s="3" t="s">
        <v>18516</v>
      </c>
    </row>
    <row r="6290">
      <c r="A6290" s="3" t="s">
        <v>18517</v>
      </c>
      <c r="B6290" s="3" t="s">
        <v>5946</v>
      </c>
      <c r="C6290" s="5" t="s">
        <v>45</v>
      </c>
      <c r="D6290" s="3" t="s">
        <v>221</v>
      </c>
      <c r="E6290" s="3" t="s">
        <v>247</v>
      </c>
      <c r="F6290" s="7">
        <v>45871.34013616629</v>
      </c>
      <c r="G6290" s="3" t="s">
        <v>2735</v>
      </c>
    </row>
    <row r="6291">
      <c r="A6291" s="3" t="s">
        <v>18519</v>
      </c>
      <c r="B6291" s="3" t="s">
        <v>5946</v>
      </c>
      <c r="C6291" s="5" t="s">
        <v>221</v>
      </c>
      <c r="D6291" s="3" t="s">
        <v>614</v>
      </c>
      <c r="E6291" s="3" t="s">
        <v>118</v>
      </c>
      <c r="F6291" s="7">
        <v>45871.34360838851</v>
      </c>
      <c r="G6291" s="3" t="s">
        <v>2737</v>
      </c>
    </row>
    <row r="6292">
      <c r="A6292" s="3" t="s">
        <v>18521</v>
      </c>
      <c r="B6292" s="3" t="s">
        <v>5946</v>
      </c>
      <c r="C6292" s="5" t="s">
        <v>614</v>
      </c>
      <c r="D6292" s="3" t="s">
        <v>206</v>
      </c>
      <c r="E6292" s="3" t="s">
        <v>100</v>
      </c>
      <c r="F6292" s="7">
        <v>45871.347080610736</v>
      </c>
      <c r="G6292" s="3" t="s">
        <v>2740</v>
      </c>
    </row>
    <row r="6293">
      <c r="A6293" s="3" t="s">
        <v>18522</v>
      </c>
      <c r="B6293" s="3" t="s">
        <v>5946</v>
      </c>
      <c r="C6293" s="5" t="s">
        <v>206</v>
      </c>
      <c r="D6293" s="3" t="s">
        <v>68</v>
      </c>
      <c r="E6293" s="3" t="s">
        <v>100</v>
      </c>
      <c r="F6293" s="7">
        <v>45871.350552832955</v>
      </c>
      <c r="G6293" s="3" t="s">
        <v>2743</v>
      </c>
    </row>
    <row r="6294">
      <c r="A6294" s="3" t="s">
        <v>18524</v>
      </c>
      <c r="B6294" s="3" t="s">
        <v>5949</v>
      </c>
      <c r="C6294" s="5" t="s">
        <v>45</v>
      </c>
      <c r="D6294" s="3" t="s">
        <v>221</v>
      </c>
      <c r="E6294" s="3" t="s">
        <v>356</v>
      </c>
      <c r="F6294" s="7">
        <v>45871.41131101171</v>
      </c>
      <c r="G6294" s="3" t="s">
        <v>15629</v>
      </c>
    </row>
    <row r="6295">
      <c r="A6295" s="3" t="s">
        <v>18526</v>
      </c>
      <c r="B6295" s="3" t="s">
        <v>5949</v>
      </c>
      <c r="C6295" s="5" t="s">
        <v>221</v>
      </c>
      <c r="D6295" s="3" t="s">
        <v>181</v>
      </c>
      <c r="E6295" s="3" t="s">
        <v>118</v>
      </c>
      <c r="F6295" s="7">
        <v>45871.41478323393</v>
      </c>
      <c r="G6295" s="3" t="s">
        <v>18528</v>
      </c>
    </row>
    <row r="6296">
      <c r="A6296" s="3" t="s">
        <v>18529</v>
      </c>
      <c r="B6296" s="3" t="s">
        <v>5952</v>
      </c>
      <c r="C6296" s="5" t="s">
        <v>45</v>
      </c>
      <c r="D6296" s="3" t="s">
        <v>221</v>
      </c>
      <c r="E6296" s="3" t="s">
        <v>725</v>
      </c>
      <c r="F6296" s="7">
        <v>45871.482485857116</v>
      </c>
      <c r="G6296" s="3" t="s">
        <v>18531</v>
      </c>
    </row>
    <row r="6297">
      <c r="A6297" s="3" t="s">
        <v>18532</v>
      </c>
      <c r="B6297" s="3" t="s">
        <v>5952</v>
      </c>
      <c r="C6297" s="5" t="s">
        <v>221</v>
      </c>
      <c r="D6297" s="3" t="s">
        <v>614</v>
      </c>
      <c r="E6297" s="3" t="s">
        <v>118</v>
      </c>
      <c r="F6297" s="7">
        <v>45871.485958079335</v>
      </c>
      <c r="G6297" s="3" t="s">
        <v>18534</v>
      </c>
    </row>
    <row r="6298">
      <c r="A6298" s="3" t="s">
        <v>18535</v>
      </c>
      <c r="B6298" s="3" t="s">
        <v>5952</v>
      </c>
      <c r="C6298" s="5" t="s">
        <v>614</v>
      </c>
      <c r="D6298" s="3" t="s">
        <v>206</v>
      </c>
      <c r="E6298" s="3" t="s">
        <v>100</v>
      </c>
      <c r="F6298" s="7">
        <v>45871.48943030156</v>
      </c>
      <c r="G6298" s="3" t="s">
        <v>18536</v>
      </c>
    </row>
    <row r="6299">
      <c r="A6299" s="3" t="s">
        <v>18538</v>
      </c>
      <c r="B6299" s="3" t="s">
        <v>5952</v>
      </c>
      <c r="C6299" s="5" t="s">
        <v>206</v>
      </c>
      <c r="D6299" s="3" t="s">
        <v>68</v>
      </c>
      <c r="E6299" s="3" t="s">
        <v>100</v>
      </c>
      <c r="F6299" s="7">
        <v>45871.49290252378</v>
      </c>
      <c r="G6299" s="3" t="s">
        <v>18539</v>
      </c>
    </row>
    <row r="6300">
      <c r="A6300" s="3" t="s">
        <v>18540</v>
      </c>
      <c r="B6300" s="3" t="s">
        <v>5955</v>
      </c>
      <c r="C6300" s="5" t="s">
        <v>45</v>
      </c>
      <c r="D6300" s="3" t="s">
        <v>221</v>
      </c>
      <c r="E6300" s="3" t="s">
        <v>605</v>
      </c>
      <c r="F6300" s="7">
        <v>45871.553660702535</v>
      </c>
      <c r="G6300" s="3" t="s">
        <v>18542</v>
      </c>
    </row>
    <row r="6301">
      <c r="A6301" s="3" t="s">
        <v>18543</v>
      </c>
      <c r="B6301" s="3" t="s">
        <v>5955</v>
      </c>
      <c r="C6301" s="5" t="s">
        <v>221</v>
      </c>
      <c r="D6301" s="3" t="s">
        <v>614</v>
      </c>
      <c r="E6301" s="3" t="s">
        <v>118</v>
      </c>
      <c r="F6301" s="7">
        <v>45871.557132924754</v>
      </c>
      <c r="G6301" s="3" t="s">
        <v>18545</v>
      </c>
    </row>
    <row r="6302">
      <c r="A6302" s="3" t="s">
        <v>18546</v>
      </c>
      <c r="B6302" s="3" t="s">
        <v>5955</v>
      </c>
      <c r="C6302" s="5" t="s">
        <v>614</v>
      </c>
      <c r="D6302" s="3" t="s">
        <v>206</v>
      </c>
      <c r="E6302" s="3" t="s">
        <v>100</v>
      </c>
      <c r="F6302" s="7">
        <v>45871.56060514698</v>
      </c>
      <c r="G6302" s="3" t="s">
        <v>18548</v>
      </c>
    </row>
    <row r="6303">
      <c r="A6303" s="3" t="s">
        <v>18549</v>
      </c>
      <c r="B6303" s="3" t="s">
        <v>5955</v>
      </c>
      <c r="C6303" s="5" t="s">
        <v>206</v>
      </c>
      <c r="D6303" s="3" t="s">
        <v>68</v>
      </c>
      <c r="E6303" s="3" t="s">
        <v>100</v>
      </c>
      <c r="F6303" s="7">
        <v>45871.5640773692</v>
      </c>
      <c r="G6303" s="3" t="s">
        <v>18550</v>
      </c>
    </row>
    <row r="6304">
      <c r="A6304" s="3" t="s">
        <v>18552</v>
      </c>
      <c r="B6304" s="3" t="s">
        <v>5959</v>
      </c>
      <c r="C6304" s="5" t="s">
        <v>45</v>
      </c>
      <c r="D6304" s="3" t="s">
        <v>221</v>
      </c>
      <c r="E6304" s="3" t="s">
        <v>377</v>
      </c>
      <c r="F6304" s="7">
        <v>45871.624835547955</v>
      </c>
      <c r="G6304" s="3" t="s">
        <v>18553</v>
      </c>
    </row>
    <row r="6305">
      <c r="A6305" s="3" t="s">
        <v>18555</v>
      </c>
      <c r="B6305" s="3" t="s">
        <v>5959</v>
      </c>
      <c r="C6305" s="5" t="s">
        <v>221</v>
      </c>
      <c r="D6305" s="3" t="s">
        <v>614</v>
      </c>
      <c r="E6305" s="3" t="s">
        <v>118</v>
      </c>
      <c r="F6305" s="7">
        <v>45871.628307770174</v>
      </c>
      <c r="G6305" s="3" t="s">
        <v>18556</v>
      </c>
    </row>
    <row r="6306">
      <c r="A6306" s="3" t="s">
        <v>18557</v>
      </c>
      <c r="B6306" s="3" t="s">
        <v>5959</v>
      </c>
      <c r="C6306" s="5" t="s">
        <v>614</v>
      </c>
      <c r="D6306" s="3" t="s">
        <v>206</v>
      </c>
      <c r="E6306" s="3" t="s">
        <v>100</v>
      </c>
      <c r="F6306" s="7">
        <v>45871.6317799924</v>
      </c>
      <c r="G6306" s="3" t="s">
        <v>18559</v>
      </c>
    </row>
    <row r="6307">
      <c r="A6307" s="3" t="s">
        <v>18560</v>
      </c>
      <c r="B6307" s="3" t="s">
        <v>5959</v>
      </c>
      <c r="C6307" s="5" t="s">
        <v>206</v>
      </c>
      <c r="D6307" s="3" t="s">
        <v>68</v>
      </c>
      <c r="E6307" s="3" t="s">
        <v>100</v>
      </c>
      <c r="F6307" s="7">
        <v>45871.63525221462</v>
      </c>
      <c r="G6307" s="3" t="s">
        <v>18562</v>
      </c>
    </row>
    <row r="6308">
      <c r="A6308" s="3" t="s">
        <v>18563</v>
      </c>
      <c r="B6308" s="3" t="s">
        <v>5962</v>
      </c>
      <c r="C6308" s="5" t="s">
        <v>45</v>
      </c>
      <c r="D6308" s="3" t="s">
        <v>221</v>
      </c>
      <c r="E6308" s="3" t="s">
        <v>911</v>
      </c>
      <c r="F6308" s="7">
        <v>45871.69601039337</v>
      </c>
      <c r="G6308" s="3" t="s">
        <v>15745</v>
      </c>
    </row>
    <row r="6309">
      <c r="A6309" s="3" t="s">
        <v>18565</v>
      </c>
      <c r="B6309" s="3" t="s">
        <v>5962</v>
      </c>
      <c r="C6309" s="5" t="s">
        <v>221</v>
      </c>
      <c r="D6309" s="3" t="s">
        <v>614</v>
      </c>
      <c r="E6309" s="3" t="s">
        <v>118</v>
      </c>
      <c r="F6309" s="7">
        <v>45871.699482615586</v>
      </c>
      <c r="G6309" s="3" t="s">
        <v>15748</v>
      </c>
    </row>
    <row r="6310">
      <c r="A6310" s="3" t="s">
        <v>18567</v>
      </c>
      <c r="B6310" s="3" t="s">
        <v>5962</v>
      </c>
      <c r="C6310" s="5" t="s">
        <v>614</v>
      </c>
      <c r="D6310" s="3" t="s">
        <v>206</v>
      </c>
      <c r="E6310" s="3" t="s">
        <v>100</v>
      </c>
      <c r="F6310" s="7">
        <v>45871.70295483781</v>
      </c>
      <c r="G6310" s="3" t="s">
        <v>15751</v>
      </c>
    </row>
    <row r="6311">
      <c r="A6311" s="3" t="s">
        <v>18569</v>
      </c>
      <c r="B6311" s="3" t="s">
        <v>5962</v>
      </c>
      <c r="C6311" s="5" t="s">
        <v>206</v>
      </c>
      <c r="D6311" s="3" t="s">
        <v>68</v>
      </c>
      <c r="E6311" s="3" t="s">
        <v>100</v>
      </c>
      <c r="F6311" s="7">
        <v>45871.70642706003</v>
      </c>
      <c r="G6311" s="3" t="s">
        <v>15754</v>
      </c>
    </row>
    <row r="6312">
      <c r="A6312" s="3" t="s">
        <v>18571</v>
      </c>
      <c r="B6312" s="3" t="s">
        <v>5965</v>
      </c>
      <c r="C6312" s="5" t="s">
        <v>45</v>
      </c>
      <c r="D6312" s="3" t="s">
        <v>221</v>
      </c>
      <c r="E6312" s="3" t="s">
        <v>123</v>
      </c>
      <c r="F6312" s="7">
        <v>45871.76718523878</v>
      </c>
      <c r="G6312" s="3" t="s">
        <v>18572</v>
      </c>
    </row>
    <row r="6313">
      <c r="A6313" s="3" t="s">
        <v>18573</v>
      </c>
      <c r="B6313" s="3" t="s">
        <v>5965</v>
      </c>
      <c r="C6313" s="5" t="s">
        <v>221</v>
      </c>
      <c r="D6313" s="3" t="s">
        <v>614</v>
      </c>
      <c r="E6313" s="3" t="s">
        <v>118</v>
      </c>
      <c r="F6313" s="7">
        <v>45871.770657461</v>
      </c>
      <c r="G6313" s="3" t="s">
        <v>18575</v>
      </c>
    </row>
    <row r="6314">
      <c r="A6314" s="3" t="s">
        <v>18576</v>
      </c>
      <c r="B6314" s="3" t="s">
        <v>5965</v>
      </c>
      <c r="C6314" s="5" t="s">
        <v>614</v>
      </c>
      <c r="D6314" s="3" t="s">
        <v>206</v>
      </c>
      <c r="E6314" s="3" t="s">
        <v>100</v>
      </c>
      <c r="F6314" s="7">
        <v>45871.774129683225</v>
      </c>
      <c r="G6314" s="3" t="s">
        <v>18578</v>
      </c>
    </row>
    <row r="6315">
      <c r="A6315" s="3" t="s">
        <v>18579</v>
      </c>
      <c r="B6315" s="3" t="s">
        <v>5965</v>
      </c>
      <c r="C6315" s="5" t="s">
        <v>206</v>
      </c>
      <c r="D6315" s="3" t="s">
        <v>68</v>
      </c>
      <c r="E6315" s="3" t="s">
        <v>100</v>
      </c>
      <c r="F6315" s="7">
        <v>45871.77760190544</v>
      </c>
      <c r="G6315" s="3" t="s">
        <v>18581</v>
      </c>
    </row>
    <row r="6316">
      <c r="A6316" s="3" t="s">
        <v>18582</v>
      </c>
      <c r="B6316" s="3" t="s">
        <v>5969</v>
      </c>
      <c r="C6316" s="5" t="s">
        <v>45</v>
      </c>
      <c r="D6316" s="3" t="s">
        <v>221</v>
      </c>
      <c r="E6316" s="3" t="s">
        <v>269</v>
      </c>
      <c r="F6316" s="7">
        <v>45871.8383600842</v>
      </c>
      <c r="G6316" s="3" t="s">
        <v>2746</v>
      </c>
    </row>
    <row r="6317">
      <c r="A6317" s="3" t="s">
        <v>18584</v>
      </c>
      <c r="B6317" s="3" t="s">
        <v>5969</v>
      </c>
      <c r="C6317" s="5" t="s">
        <v>221</v>
      </c>
      <c r="D6317" s="3" t="s">
        <v>614</v>
      </c>
      <c r="E6317" s="3" t="s">
        <v>118</v>
      </c>
      <c r="F6317" s="7">
        <v>45871.84183230642</v>
      </c>
      <c r="G6317" s="3" t="s">
        <v>2749</v>
      </c>
    </row>
    <row r="6318">
      <c r="A6318" s="3" t="s">
        <v>18586</v>
      </c>
      <c r="B6318" s="3" t="s">
        <v>5969</v>
      </c>
      <c r="C6318" s="5" t="s">
        <v>614</v>
      </c>
      <c r="D6318" s="3" t="s">
        <v>206</v>
      </c>
      <c r="E6318" s="3" t="s">
        <v>100</v>
      </c>
      <c r="F6318" s="7">
        <v>45871.845304528644</v>
      </c>
      <c r="G6318" s="3" t="s">
        <v>2752</v>
      </c>
    </row>
    <row r="6319">
      <c r="A6319" s="3" t="s">
        <v>18587</v>
      </c>
      <c r="B6319" s="3" t="s">
        <v>5969</v>
      </c>
      <c r="C6319" s="5" t="s">
        <v>206</v>
      </c>
      <c r="D6319" s="3" t="s">
        <v>68</v>
      </c>
      <c r="E6319" s="3" t="s">
        <v>100</v>
      </c>
      <c r="F6319" s="7">
        <v>45871.84877675086</v>
      </c>
      <c r="G6319" s="3" t="s">
        <v>2755</v>
      </c>
    </row>
    <row r="6320">
      <c r="A6320" s="3" t="s">
        <v>18589</v>
      </c>
      <c r="B6320" s="3" t="s">
        <v>5972</v>
      </c>
      <c r="C6320" s="5" t="s">
        <v>45</v>
      </c>
      <c r="D6320" s="3" t="s">
        <v>221</v>
      </c>
      <c r="E6320" s="3" t="s">
        <v>1008</v>
      </c>
      <c r="F6320" s="7">
        <v>45871.90953492961</v>
      </c>
      <c r="G6320" s="3" t="s">
        <v>18591</v>
      </c>
    </row>
    <row r="6321">
      <c r="A6321" s="3" t="s">
        <v>18592</v>
      </c>
      <c r="B6321" s="3" t="s">
        <v>5972</v>
      </c>
      <c r="C6321" s="5" t="s">
        <v>221</v>
      </c>
      <c r="D6321" s="3" t="s">
        <v>614</v>
      </c>
      <c r="E6321" s="3" t="s">
        <v>118</v>
      </c>
      <c r="F6321" s="7">
        <v>45871.91300715183</v>
      </c>
      <c r="G6321" s="3" t="s">
        <v>18594</v>
      </c>
    </row>
    <row r="6322">
      <c r="A6322" s="3" t="s">
        <v>18595</v>
      </c>
      <c r="B6322" s="3" t="s">
        <v>5972</v>
      </c>
      <c r="C6322" s="5" t="s">
        <v>614</v>
      </c>
      <c r="D6322" s="3" t="s">
        <v>206</v>
      </c>
      <c r="E6322" s="3" t="s">
        <v>100</v>
      </c>
      <c r="F6322" s="7">
        <v>45871.91647937406</v>
      </c>
      <c r="G6322" s="3" t="s">
        <v>18597</v>
      </c>
    </row>
    <row r="6323">
      <c r="A6323" s="3" t="s">
        <v>18598</v>
      </c>
      <c r="B6323" s="3" t="s">
        <v>5972</v>
      </c>
      <c r="C6323" s="5" t="s">
        <v>206</v>
      </c>
      <c r="D6323" s="3" t="s">
        <v>68</v>
      </c>
      <c r="E6323" s="3" t="s">
        <v>100</v>
      </c>
      <c r="F6323" s="7">
        <v>45871.919951596275</v>
      </c>
      <c r="G6323" s="3" t="s">
        <v>18599</v>
      </c>
    </row>
    <row r="6324">
      <c r="A6324" s="3" t="s">
        <v>18601</v>
      </c>
      <c r="B6324" s="3" t="s">
        <v>5975</v>
      </c>
      <c r="C6324" s="5" t="s">
        <v>45</v>
      </c>
      <c r="D6324" s="3" t="s">
        <v>221</v>
      </c>
      <c r="E6324" s="3" t="s">
        <v>785</v>
      </c>
      <c r="F6324" s="7">
        <v>45871.98070977502</v>
      </c>
      <c r="G6324" s="3" t="s">
        <v>2781</v>
      </c>
    </row>
    <row r="6325">
      <c r="A6325" s="3" t="s">
        <v>18602</v>
      </c>
      <c r="B6325" s="3" t="s">
        <v>5975</v>
      </c>
      <c r="C6325" s="5" t="s">
        <v>221</v>
      </c>
      <c r="D6325" s="3" t="s">
        <v>614</v>
      </c>
      <c r="E6325" s="3" t="s">
        <v>118</v>
      </c>
      <c r="F6325" s="7">
        <v>45871.98418199724</v>
      </c>
      <c r="G6325" s="3" t="s">
        <v>2784</v>
      </c>
    </row>
    <row r="6326">
      <c r="A6326" s="3" t="s">
        <v>18604</v>
      </c>
      <c r="B6326" s="3" t="s">
        <v>5975</v>
      </c>
      <c r="C6326" s="5" t="s">
        <v>614</v>
      </c>
      <c r="D6326" s="3" t="s">
        <v>206</v>
      </c>
      <c r="E6326" s="3" t="s">
        <v>100</v>
      </c>
      <c r="F6326" s="7">
        <v>45871.98765421947</v>
      </c>
      <c r="G6326" s="3" t="s">
        <v>2787</v>
      </c>
    </row>
    <row r="6327">
      <c r="A6327" s="3" t="s">
        <v>18606</v>
      </c>
      <c r="B6327" s="3" t="s">
        <v>5975</v>
      </c>
      <c r="C6327" s="5" t="s">
        <v>206</v>
      </c>
      <c r="D6327" s="3" t="s">
        <v>68</v>
      </c>
      <c r="E6327" s="3" t="s">
        <v>100</v>
      </c>
      <c r="F6327" s="7">
        <v>45871.99112644169</v>
      </c>
      <c r="G6327" s="3" t="s">
        <v>2790</v>
      </c>
    </row>
    <row r="6328">
      <c r="A6328" s="3" t="s">
        <v>18608</v>
      </c>
      <c r="B6328" s="3" t="s">
        <v>5978</v>
      </c>
      <c r="C6328" s="5" t="s">
        <v>45</v>
      </c>
      <c r="D6328" s="3" t="s">
        <v>221</v>
      </c>
      <c r="E6328" s="3" t="s">
        <v>436</v>
      </c>
      <c r="F6328" s="7">
        <v>45872.05188462044</v>
      </c>
      <c r="G6328" s="3" t="s">
        <v>18610</v>
      </c>
    </row>
    <row r="6329">
      <c r="A6329" s="3" t="s">
        <v>18611</v>
      </c>
      <c r="B6329" s="3" t="s">
        <v>5978</v>
      </c>
      <c r="C6329" s="5" t="s">
        <v>221</v>
      </c>
      <c r="D6329" s="3" t="s">
        <v>614</v>
      </c>
      <c r="E6329" s="3" t="s">
        <v>118</v>
      </c>
      <c r="F6329" s="7">
        <v>45872.05535684266</v>
      </c>
      <c r="G6329" s="3" t="s">
        <v>18612</v>
      </c>
    </row>
    <row r="6330">
      <c r="A6330" s="3" t="s">
        <v>18614</v>
      </c>
      <c r="B6330" s="3" t="s">
        <v>5978</v>
      </c>
      <c r="C6330" s="5" t="s">
        <v>614</v>
      </c>
      <c r="D6330" s="3" t="s">
        <v>206</v>
      </c>
      <c r="E6330" s="3" t="s">
        <v>100</v>
      </c>
      <c r="F6330" s="7">
        <v>45872.05882906489</v>
      </c>
      <c r="G6330" s="3" t="s">
        <v>18615</v>
      </c>
    </row>
    <row r="6331">
      <c r="A6331" s="3" t="s">
        <v>18617</v>
      </c>
      <c r="B6331" s="3" t="s">
        <v>5978</v>
      </c>
      <c r="C6331" s="5" t="s">
        <v>206</v>
      </c>
      <c r="D6331" s="3" t="s">
        <v>68</v>
      </c>
      <c r="E6331" s="3" t="s">
        <v>100</v>
      </c>
      <c r="F6331" s="7">
        <v>45872.06230128711</v>
      </c>
      <c r="G6331" s="3" t="s">
        <v>18618</v>
      </c>
    </row>
    <row r="6332">
      <c r="A6332" s="3" t="s">
        <v>18619</v>
      </c>
      <c r="B6332" s="3" t="s">
        <v>5981</v>
      </c>
      <c r="C6332" s="5" t="s">
        <v>45</v>
      </c>
      <c r="D6332" s="3" t="s">
        <v>221</v>
      </c>
      <c r="E6332" s="3" t="s">
        <v>440</v>
      </c>
      <c r="F6332" s="7">
        <v>45872.12305946586</v>
      </c>
      <c r="G6332" s="3" t="s">
        <v>18621</v>
      </c>
    </row>
    <row r="6333">
      <c r="A6333" s="3" t="s">
        <v>18622</v>
      </c>
      <c r="B6333" s="3" t="s">
        <v>5981</v>
      </c>
      <c r="C6333" s="5" t="s">
        <v>221</v>
      </c>
      <c r="D6333" s="3" t="s">
        <v>614</v>
      </c>
      <c r="E6333" s="3" t="s">
        <v>118</v>
      </c>
      <c r="F6333" s="7">
        <v>45872.12653168808</v>
      </c>
      <c r="G6333" s="3" t="s">
        <v>18624</v>
      </c>
    </row>
    <row r="6334">
      <c r="A6334" s="3" t="s">
        <v>18625</v>
      </c>
      <c r="B6334" s="3" t="s">
        <v>5981</v>
      </c>
      <c r="C6334" s="5" t="s">
        <v>614</v>
      </c>
      <c r="D6334" s="3" t="s">
        <v>206</v>
      </c>
      <c r="E6334" s="3" t="s">
        <v>100</v>
      </c>
      <c r="F6334" s="7">
        <v>45872.13000391031</v>
      </c>
      <c r="G6334" s="3" t="s">
        <v>18626</v>
      </c>
    </row>
    <row r="6335">
      <c r="A6335" s="3" t="s">
        <v>18628</v>
      </c>
      <c r="B6335" s="3" t="s">
        <v>5981</v>
      </c>
      <c r="C6335" s="5" t="s">
        <v>206</v>
      </c>
      <c r="D6335" s="3" t="s">
        <v>68</v>
      </c>
      <c r="E6335" s="3" t="s">
        <v>100</v>
      </c>
      <c r="F6335" s="7">
        <v>45872.13347613253</v>
      </c>
      <c r="G6335" s="3" t="s">
        <v>18629</v>
      </c>
    </row>
    <row r="6336">
      <c r="A6336" s="3" t="s">
        <v>18630</v>
      </c>
      <c r="B6336" s="3" t="s">
        <v>5984</v>
      </c>
      <c r="C6336" s="5" t="s">
        <v>45</v>
      </c>
      <c r="D6336" s="3" t="s">
        <v>221</v>
      </c>
      <c r="E6336" s="3" t="s">
        <v>322</v>
      </c>
      <c r="F6336" s="7">
        <v>45872.19423431127</v>
      </c>
      <c r="G6336" s="3" t="s">
        <v>2770</v>
      </c>
    </row>
    <row r="6337">
      <c r="A6337" s="3" t="s">
        <v>18632</v>
      </c>
      <c r="B6337" s="3" t="s">
        <v>5984</v>
      </c>
      <c r="C6337" s="5" t="s">
        <v>221</v>
      </c>
      <c r="D6337" s="3" t="s">
        <v>181</v>
      </c>
      <c r="E6337" s="3" t="s">
        <v>118</v>
      </c>
      <c r="F6337" s="7">
        <v>45872.19770653349</v>
      </c>
      <c r="G6337" s="3" t="s">
        <v>2774</v>
      </c>
    </row>
    <row r="6338">
      <c r="A6338" s="3" t="s">
        <v>18634</v>
      </c>
      <c r="B6338" s="3" t="s">
        <v>5986</v>
      </c>
      <c r="C6338" s="5" t="s">
        <v>45</v>
      </c>
      <c r="D6338" s="3" t="s">
        <v>221</v>
      </c>
      <c r="E6338" s="3" t="s">
        <v>993</v>
      </c>
      <c r="F6338" s="7">
        <v>45872.26540915669</v>
      </c>
      <c r="G6338" s="3" t="s">
        <v>18636</v>
      </c>
    </row>
    <row r="6339">
      <c r="A6339" s="3" t="s">
        <v>18637</v>
      </c>
      <c r="B6339" s="3" t="s">
        <v>5986</v>
      </c>
      <c r="C6339" s="5" t="s">
        <v>221</v>
      </c>
      <c r="D6339" s="3" t="s">
        <v>614</v>
      </c>
      <c r="E6339" s="3" t="s">
        <v>118</v>
      </c>
      <c r="F6339" s="7">
        <v>45872.26888137891</v>
      </c>
      <c r="G6339" s="3" t="s">
        <v>18638</v>
      </c>
    </row>
    <row r="6340">
      <c r="A6340" s="3" t="s">
        <v>18640</v>
      </c>
      <c r="B6340" s="3" t="s">
        <v>5986</v>
      </c>
      <c r="C6340" s="5" t="s">
        <v>614</v>
      </c>
      <c r="D6340" s="3" t="s">
        <v>206</v>
      </c>
      <c r="E6340" s="3" t="s">
        <v>100</v>
      </c>
      <c r="F6340" s="7">
        <v>45872.27235360113</v>
      </c>
      <c r="G6340" s="3" t="s">
        <v>18641</v>
      </c>
    </row>
    <row r="6341">
      <c r="A6341" s="3" t="s">
        <v>18642</v>
      </c>
      <c r="B6341" s="3" t="s">
        <v>5986</v>
      </c>
      <c r="C6341" s="5" t="s">
        <v>206</v>
      </c>
      <c r="D6341" s="3" t="s">
        <v>68</v>
      </c>
      <c r="E6341" s="3" t="s">
        <v>100</v>
      </c>
      <c r="F6341" s="7">
        <v>45872.27582582335</v>
      </c>
      <c r="G6341" s="3" t="s">
        <v>18644</v>
      </c>
    </row>
    <row r="6342">
      <c r="A6342" s="3" t="s">
        <v>18645</v>
      </c>
      <c r="B6342" s="3" t="s">
        <v>5988</v>
      </c>
      <c r="C6342" s="5" t="s">
        <v>45</v>
      </c>
      <c r="D6342" s="3" t="s">
        <v>221</v>
      </c>
      <c r="E6342" s="3" t="s">
        <v>388</v>
      </c>
      <c r="F6342" s="7">
        <v>45872.33658400211</v>
      </c>
      <c r="G6342" s="3" t="s">
        <v>2793</v>
      </c>
    </row>
    <row r="6343">
      <c r="A6343" s="3" t="s">
        <v>18647</v>
      </c>
      <c r="B6343" s="3" t="s">
        <v>5988</v>
      </c>
      <c r="C6343" s="5" t="s">
        <v>221</v>
      </c>
      <c r="D6343" s="3" t="s">
        <v>614</v>
      </c>
      <c r="E6343" s="3" t="s">
        <v>118</v>
      </c>
      <c r="F6343" s="7">
        <v>45872.340056224326</v>
      </c>
      <c r="G6343" s="3" t="s">
        <v>2796</v>
      </c>
    </row>
    <row r="6344">
      <c r="A6344" s="3" t="s">
        <v>18649</v>
      </c>
      <c r="B6344" s="3" t="s">
        <v>5988</v>
      </c>
      <c r="C6344" s="5" t="s">
        <v>614</v>
      </c>
      <c r="D6344" s="3" t="s">
        <v>206</v>
      </c>
      <c r="E6344" s="3" t="s">
        <v>100</v>
      </c>
      <c r="F6344" s="7">
        <v>45872.34352844655</v>
      </c>
      <c r="G6344" s="3" t="s">
        <v>2799</v>
      </c>
    </row>
    <row r="6345">
      <c r="A6345" s="3" t="s">
        <v>18651</v>
      </c>
      <c r="B6345" s="3" t="s">
        <v>5988</v>
      </c>
      <c r="C6345" s="5" t="s">
        <v>206</v>
      </c>
      <c r="D6345" s="3" t="s">
        <v>68</v>
      </c>
      <c r="E6345" s="3" t="s">
        <v>100</v>
      </c>
      <c r="F6345" s="7">
        <v>45872.34700066877</v>
      </c>
      <c r="G6345" s="3" t="s">
        <v>2801</v>
      </c>
    </row>
    <row r="6346">
      <c r="A6346" s="3" t="s">
        <v>18652</v>
      </c>
      <c r="B6346" s="3" t="s">
        <v>5990</v>
      </c>
      <c r="C6346" s="5" t="s">
        <v>45</v>
      </c>
      <c r="D6346" s="3" t="s">
        <v>221</v>
      </c>
      <c r="E6346" s="3" t="s">
        <v>561</v>
      </c>
      <c r="F6346" s="7">
        <v>45872.40775884752</v>
      </c>
      <c r="G6346" s="3" t="s">
        <v>18654</v>
      </c>
    </row>
    <row r="6347">
      <c r="A6347" s="3" t="s">
        <v>18655</v>
      </c>
      <c r="B6347" s="3" t="s">
        <v>5990</v>
      </c>
      <c r="C6347" s="5" t="s">
        <v>221</v>
      </c>
      <c r="D6347" s="3" t="s">
        <v>614</v>
      </c>
      <c r="E6347" s="3" t="s">
        <v>118</v>
      </c>
      <c r="F6347" s="7">
        <v>45872.41123106974</v>
      </c>
      <c r="G6347" s="3" t="s">
        <v>18657</v>
      </c>
    </row>
    <row r="6348">
      <c r="A6348" s="3" t="s">
        <v>18658</v>
      </c>
      <c r="B6348" s="3" t="s">
        <v>5990</v>
      </c>
      <c r="C6348" s="5" t="s">
        <v>614</v>
      </c>
      <c r="D6348" s="3" t="s">
        <v>206</v>
      </c>
      <c r="E6348" s="3" t="s">
        <v>100</v>
      </c>
      <c r="F6348" s="7">
        <v>45872.414703291965</v>
      </c>
      <c r="G6348" s="3" t="s">
        <v>18660</v>
      </c>
    </row>
    <row r="6349">
      <c r="A6349" s="3" t="s">
        <v>18661</v>
      </c>
      <c r="B6349" s="3" t="s">
        <v>5990</v>
      </c>
      <c r="C6349" s="5" t="s">
        <v>206</v>
      </c>
      <c r="D6349" s="3" t="s">
        <v>68</v>
      </c>
      <c r="E6349" s="3" t="s">
        <v>100</v>
      </c>
      <c r="F6349" s="7">
        <v>45872.41817551418</v>
      </c>
      <c r="G6349" s="3" t="s">
        <v>18663</v>
      </c>
    </row>
    <row r="6350">
      <c r="A6350" s="3" t="s">
        <v>18664</v>
      </c>
      <c r="B6350" s="3" t="s">
        <v>5993</v>
      </c>
      <c r="C6350" s="5" t="s">
        <v>45</v>
      </c>
      <c r="D6350" s="3" t="s">
        <v>221</v>
      </c>
      <c r="E6350" s="3" t="s">
        <v>943</v>
      </c>
      <c r="F6350" s="7">
        <v>45872.47893369293</v>
      </c>
      <c r="G6350" s="3" t="s">
        <v>2808</v>
      </c>
    </row>
    <row r="6351">
      <c r="A6351" s="3" t="s">
        <v>18666</v>
      </c>
      <c r="B6351" s="3" t="s">
        <v>5993</v>
      </c>
      <c r="C6351" s="5" t="s">
        <v>221</v>
      </c>
      <c r="D6351" s="3" t="s">
        <v>614</v>
      </c>
      <c r="E6351" s="3" t="s">
        <v>118</v>
      </c>
      <c r="F6351" s="7">
        <v>45872.48240591515</v>
      </c>
      <c r="G6351" s="3" t="s">
        <v>2811</v>
      </c>
    </row>
    <row r="6352">
      <c r="A6352" s="3" t="s">
        <v>18668</v>
      </c>
      <c r="B6352" s="3" t="s">
        <v>5993</v>
      </c>
      <c r="C6352" s="5" t="s">
        <v>614</v>
      </c>
      <c r="D6352" s="3" t="s">
        <v>206</v>
      </c>
      <c r="E6352" s="3" t="s">
        <v>100</v>
      </c>
      <c r="F6352" s="7">
        <v>45872.48587813738</v>
      </c>
      <c r="G6352" s="3" t="s">
        <v>2814</v>
      </c>
    </row>
    <row r="6353">
      <c r="A6353" s="3" t="s">
        <v>18670</v>
      </c>
      <c r="B6353" s="3" t="s">
        <v>5993</v>
      </c>
      <c r="C6353" s="5" t="s">
        <v>206</v>
      </c>
      <c r="D6353" s="3" t="s">
        <v>68</v>
      </c>
      <c r="E6353" s="3" t="s">
        <v>100</v>
      </c>
      <c r="F6353" s="7">
        <v>45872.489350359596</v>
      </c>
      <c r="G6353" s="3" t="s">
        <v>2817</v>
      </c>
    </row>
    <row r="6354">
      <c r="A6354" s="3" t="s">
        <v>18671</v>
      </c>
      <c r="B6354" s="3" t="s">
        <v>5996</v>
      </c>
      <c r="C6354" s="5" t="s">
        <v>45</v>
      </c>
      <c r="D6354" s="3" t="s">
        <v>221</v>
      </c>
      <c r="E6354" s="3" t="s">
        <v>557</v>
      </c>
      <c r="F6354" s="7">
        <v>45872.55010853835</v>
      </c>
      <c r="G6354" s="3" t="s">
        <v>16066</v>
      </c>
    </row>
    <row r="6355">
      <c r="A6355" s="3" t="s">
        <v>18674</v>
      </c>
      <c r="B6355" s="3" t="s">
        <v>5996</v>
      </c>
      <c r="C6355" s="5" t="s">
        <v>221</v>
      </c>
      <c r="D6355" s="3" t="s">
        <v>181</v>
      </c>
      <c r="E6355" s="3" t="s">
        <v>118</v>
      </c>
      <c r="F6355" s="7">
        <v>45872.55358076057</v>
      </c>
      <c r="G6355" s="3" t="s">
        <v>18676</v>
      </c>
    </row>
    <row r="6356">
      <c r="A6356" s="3" t="s">
        <v>18677</v>
      </c>
      <c r="B6356" s="3" t="s">
        <v>5998</v>
      </c>
      <c r="C6356" s="5" t="s">
        <v>45</v>
      </c>
      <c r="D6356" s="3" t="s">
        <v>221</v>
      </c>
      <c r="E6356" s="3" t="s">
        <v>1026</v>
      </c>
      <c r="F6356" s="7">
        <v>45872.62128338376</v>
      </c>
      <c r="G6356" s="3" t="s">
        <v>18679</v>
      </c>
    </row>
    <row r="6357">
      <c r="A6357" s="3" t="s">
        <v>18680</v>
      </c>
      <c r="B6357" s="3" t="s">
        <v>5998</v>
      </c>
      <c r="C6357" s="5" t="s">
        <v>221</v>
      </c>
      <c r="D6357" s="3" t="s">
        <v>614</v>
      </c>
      <c r="E6357" s="3" t="s">
        <v>118</v>
      </c>
      <c r="F6357" s="7">
        <v>45872.62475560598</v>
      </c>
      <c r="G6357" s="3" t="s">
        <v>18682</v>
      </c>
    </row>
    <row r="6358">
      <c r="A6358" s="3" t="s">
        <v>18683</v>
      </c>
      <c r="B6358" s="3" t="s">
        <v>5998</v>
      </c>
      <c r="C6358" s="5" t="s">
        <v>614</v>
      </c>
      <c r="D6358" s="3" t="s">
        <v>206</v>
      </c>
      <c r="E6358" s="3" t="s">
        <v>100</v>
      </c>
      <c r="F6358" s="7">
        <v>45872.62822782821</v>
      </c>
      <c r="G6358" s="3" t="s">
        <v>18684</v>
      </c>
    </row>
    <row r="6359">
      <c r="A6359" s="3" t="s">
        <v>18686</v>
      </c>
      <c r="B6359" s="3" t="s">
        <v>5998</v>
      </c>
      <c r="C6359" s="5" t="s">
        <v>206</v>
      </c>
      <c r="D6359" s="3" t="s">
        <v>68</v>
      </c>
      <c r="E6359" s="3" t="s">
        <v>100</v>
      </c>
      <c r="F6359" s="7">
        <v>45872.63170005043</v>
      </c>
      <c r="G6359" s="3" t="s">
        <v>18687</v>
      </c>
    </row>
    <row r="6360">
      <c r="A6360" s="3" t="s">
        <v>18688</v>
      </c>
      <c r="B6360" s="3" t="s">
        <v>6003</v>
      </c>
      <c r="C6360" s="5" t="s">
        <v>45</v>
      </c>
      <c r="D6360" s="3" t="s">
        <v>221</v>
      </c>
      <c r="E6360" s="3" t="s">
        <v>1049</v>
      </c>
      <c r="F6360" s="7">
        <v>45872.692458229176</v>
      </c>
      <c r="G6360" s="3" t="s">
        <v>2820</v>
      </c>
    </row>
    <row r="6361">
      <c r="A6361" s="3" t="s">
        <v>18690</v>
      </c>
      <c r="B6361" s="3" t="s">
        <v>6003</v>
      </c>
      <c r="C6361" s="5" t="s">
        <v>221</v>
      </c>
      <c r="D6361" s="3" t="s">
        <v>614</v>
      </c>
      <c r="E6361" s="3" t="s">
        <v>118</v>
      </c>
      <c r="F6361" s="7">
        <v>45872.695930451395</v>
      </c>
      <c r="G6361" s="3" t="s">
        <v>2823</v>
      </c>
    </row>
    <row r="6362">
      <c r="A6362" s="3" t="s">
        <v>18692</v>
      </c>
      <c r="B6362" s="3" t="s">
        <v>6003</v>
      </c>
      <c r="C6362" s="5" t="s">
        <v>614</v>
      </c>
      <c r="D6362" s="3" t="s">
        <v>206</v>
      </c>
      <c r="E6362" s="3" t="s">
        <v>100</v>
      </c>
      <c r="F6362" s="7">
        <v>45872.69940267362</v>
      </c>
      <c r="G6362" s="3" t="s">
        <v>2826</v>
      </c>
    </row>
    <row r="6363">
      <c r="A6363" s="3" t="s">
        <v>18694</v>
      </c>
      <c r="B6363" s="3" t="s">
        <v>6003</v>
      </c>
      <c r="C6363" s="5" t="s">
        <v>206</v>
      </c>
      <c r="D6363" s="3" t="s">
        <v>68</v>
      </c>
      <c r="E6363" s="3" t="s">
        <v>100</v>
      </c>
      <c r="F6363" s="7">
        <v>45872.70287489584</v>
      </c>
      <c r="G6363" s="3" t="s">
        <v>2829</v>
      </c>
    </row>
    <row r="6364">
      <c r="A6364" s="3" t="s">
        <v>18696</v>
      </c>
      <c r="B6364" s="3" t="s">
        <v>6006</v>
      </c>
      <c r="C6364" s="5" t="s">
        <v>45</v>
      </c>
      <c r="D6364" s="3" t="s">
        <v>221</v>
      </c>
      <c r="E6364" s="3" t="s">
        <v>446</v>
      </c>
      <c r="F6364" s="7">
        <v>45872.763633074595</v>
      </c>
      <c r="G6364" s="3" t="s">
        <v>14549</v>
      </c>
    </row>
    <row r="6365">
      <c r="A6365" s="3" t="s">
        <v>18698</v>
      </c>
      <c r="B6365" s="3" t="s">
        <v>6006</v>
      </c>
      <c r="C6365" s="5" t="s">
        <v>221</v>
      </c>
      <c r="D6365" s="3" t="s">
        <v>614</v>
      </c>
      <c r="E6365" s="3" t="s">
        <v>118</v>
      </c>
      <c r="F6365" s="7">
        <v>45872.767105296814</v>
      </c>
      <c r="G6365" s="3" t="s">
        <v>14552</v>
      </c>
    </row>
    <row r="6366">
      <c r="A6366" s="3" t="s">
        <v>18700</v>
      </c>
      <c r="B6366" s="3" t="s">
        <v>6006</v>
      </c>
      <c r="C6366" s="5" t="s">
        <v>614</v>
      </c>
      <c r="D6366" s="3" t="s">
        <v>206</v>
      </c>
      <c r="E6366" s="3" t="s">
        <v>100</v>
      </c>
      <c r="F6366" s="7">
        <v>45872.77057751904</v>
      </c>
      <c r="G6366" s="3" t="s">
        <v>14555</v>
      </c>
    </row>
    <row r="6367">
      <c r="A6367" s="3" t="s">
        <v>18701</v>
      </c>
      <c r="B6367" s="3" t="s">
        <v>6006</v>
      </c>
      <c r="C6367" s="5" t="s">
        <v>206</v>
      </c>
      <c r="D6367" s="3" t="s">
        <v>68</v>
      </c>
      <c r="E6367" s="3" t="s">
        <v>100</v>
      </c>
      <c r="F6367" s="7">
        <v>45872.77404974126</v>
      </c>
      <c r="G6367" s="3" t="s">
        <v>14558</v>
      </c>
    </row>
    <row r="6368">
      <c r="A6368" s="3" t="s">
        <v>18703</v>
      </c>
      <c r="B6368" s="3" t="s">
        <v>6009</v>
      </c>
      <c r="C6368" s="5" t="s">
        <v>45</v>
      </c>
      <c r="D6368" s="3" t="s">
        <v>221</v>
      </c>
      <c r="E6368" s="3" t="s">
        <v>481</v>
      </c>
      <c r="F6368" s="7">
        <v>45872.83480792001</v>
      </c>
      <c r="G6368" s="3" t="s">
        <v>2831</v>
      </c>
    </row>
    <row r="6369">
      <c r="A6369" s="3" t="s">
        <v>18705</v>
      </c>
      <c r="B6369" s="3" t="s">
        <v>6009</v>
      </c>
      <c r="C6369" s="5" t="s">
        <v>221</v>
      </c>
      <c r="D6369" s="3" t="s">
        <v>614</v>
      </c>
      <c r="E6369" s="3" t="s">
        <v>118</v>
      </c>
      <c r="F6369" s="7">
        <v>45872.83828014223</v>
      </c>
      <c r="G6369" s="3" t="s">
        <v>2834</v>
      </c>
    </row>
    <row r="6370">
      <c r="A6370" s="3" t="s">
        <v>18707</v>
      </c>
      <c r="B6370" s="3" t="s">
        <v>6009</v>
      </c>
      <c r="C6370" s="5" t="s">
        <v>614</v>
      </c>
      <c r="D6370" s="3" t="s">
        <v>206</v>
      </c>
      <c r="E6370" s="3" t="s">
        <v>100</v>
      </c>
      <c r="F6370" s="7">
        <v>45872.84175236445</v>
      </c>
      <c r="G6370" s="3" t="s">
        <v>2837</v>
      </c>
    </row>
    <row r="6371">
      <c r="A6371" s="3" t="s">
        <v>18709</v>
      </c>
      <c r="B6371" s="3" t="s">
        <v>6009</v>
      </c>
      <c r="C6371" s="5" t="s">
        <v>206</v>
      </c>
      <c r="D6371" s="3" t="s">
        <v>68</v>
      </c>
      <c r="E6371" s="3" t="s">
        <v>100</v>
      </c>
      <c r="F6371" s="7">
        <v>45872.84522458667</v>
      </c>
      <c r="G6371" s="3" t="s">
        <v>2840</v>
      </c>
    </row>
    <row r="6372">
      <c r="A6372" s="3" t="s">
        <v>18711</v>
      </c>
      <c r="B6372" s="3" t="s">
        <v>6012</v>
      </c>
      <c r="C6372" s="5" t="s">
        <v>45</v>
      </c>
      <c r="D6372" s="3" t="s">
        <v>221</v>
      </c>
      <c r="E6372" s="3" t="s">
        <v>316</v>
      </c>
      <c r="F6372" s="7">
        <v>45872.90598276542</v>
      </c>
      <c r="G6372" s="3" t="s">
        <v>12238</v>
      </c>
    </row>
    <row r="6373">
      <c r="A6373" s="3" t="s">
        <v>18712</v>
      </c>
      <c r="B6373" s="3" t="s">
        <v>6012</v>
      </c>
      <c r="C6373" s="5" t="s">
        <v>221</v>
      </c>
      <c r="D6373" s="3" t="s">
        <v>614</v>
      </c>
      <c r="E6373" s="3" t="s">
        <v>118</v>
      </c>
      <c r="F6373" s="7">
        <v>45872.90945498764</v>
      </c>
      <c r="G6373" s="3" t="s">
        <v>12242</v>
      </c>
    </row>
    <row r="6374">
      <c r="A6374" s="3" t="s">
        <v>18714</v>
      </c>
      <c r="B6374" s="3" t="s">
        <v>6012</v>
      </c>
      <c r="C6374" s="5" t="s">
        <v>614</v>
      </c>
      <c r="D6374" s="3" t="s">
        <v>206</v>
      </c>
      <c r="E6374" s="3" t="s">
        <v>100</v>
      </c>
      <c r="F6374" s="7">
        <v>45872.912927209865</v>
      </c>
      <c r="G6374" s="3" t="s">
        <v>12245</v>
      </c>
    </row>
    <row r="6375">
      <c r="A6375" s="3" t="s">
        <v>18716</v>
      </c>
      <c r="B6375" s="3" t="s">
        <v>6012</v>
      </c>
      <c r="C6375" s="5" t="s">
        <v>206</v>
      </c>
      <c r="D6375" s="3" t="s">
        <v>68</v>
      </c>
      <c r="E6375" s="3" t="s">
        <v>100</v>
      </c>
      <c r="F6375" s="7">
        <v>45872.916399432084</v>
      </c>
      <c r="G6375" s="3" t="s">
        <v>12248</v>
      </c>
    </row>
    <row r="6376">
      <c r="A6376" s="3" t="s">
        <v>18718</v>
      </c>
      <c r="B6376" s="3" t="s">
        <v>6015</v>
      </c>
      <c r="C6376" s="5" t="s">
        <v>45</v>
      </c>
      <c r="D6376" s="3" t="s">
        <v>221</v>
      </c>
      <c r="E6376" s="3" t="s">
        <v>515</v>
      </c>
      <c r="F6376" s="7">
        <v>45872.97715761084</v>
      </c>
      <c r="G6376" s="3" t="s">
        <v>18720</v>
      </c>
    </row>
    <row r="6377">
      <c r="A6377" s="3" t="s">
        <v>18721</v>
      </c>
      <c r="B6377" s="3" t="s">
        <v>6015</v>
      </c>
      <c r="C6377" s="5" t="s">
        <v>221</v>
      </c>
      <c r="D6377" s="3" t="s">
        <v>614</v>
      </c>
      <c r="E6377" s="3" t="s">
        <v>118</v>
      </c>
      <c r="F6377" s="7">
        <v>45872.98062983306</v>
      </c>
      <c r="G6377" s="3" t="s">
        <v>18722</v>
      </c>
    </row>
    <row r="6378">
      <c r="A6378" s="3" t="s">
        <v>18724</v>
      </c>
      <c r="B6378" s="3" t="s">
        <v>6015</v>
      </c>
      <c r="C6378" s="5" t="s">
        <v>614</v>
      </c>
      <c r="D6378" s="3" t="s">
        <v>206</v>
      </c>
      <c r="E6378" s="3" t="s">
        <v>100</v>
      </c>
      <c r="F6378" s="7">
        <v>45872.984102055285</v>
      </c>
      <c r="G6378" s="3" t="s">
        <v>18725</v>
      </c>
    </row>
    <row r="6379">
      <c r="A6379" s="3" t="s">
        <v>18726</v>
      </c>
      <c r="B6379" s="3" t="s">
        <v>6015</v>
      </c>
      <c r="C6379" s="5" t="s">
        <v>206</v>
      </c>
      <c r="D6379" s="3" t="s">
        <v>68</v>
      </c>
      <c r="E6379" s="3" t="s">
        <v>100</v>
      </c>
      <c r="F6379" s="7">
        <v>45872.987574277504</v>
      </c>
      <c r="G6379" s="3" t="s">
        <v>18728</v>
      </c>
    </row>
    <row r="6380">
      <c r="A6380" s="3" t="s">
        <v>18729</v>
      </c>
      <c r="B6380" s="3" t="s">
        <v>6018</v>
      </c>
      <c r="C6380" s="5" t="s">
        <v>45</v>
      </c>
      <c r="D6380" s="3" t="s">
        <v>221</v>
      </c>
      <c r="E6380" s="3" t="s">
        <v>391</v>
      </c>
      <c r="F6380" s="7">
        <v>45873.04833245625</v>
      </c>
      <c r="G6380" s="3" t="s">
        <v>2843</v>
      </c>
    </row>
    <row r="6381">
      <c r="A6381" s="3" t="s">
        <v>18731</v>
      </c>
      <c r="B6381" s="3" t="s">
        <v>6018</v>
      </c>
      <c r="C6381" s="5" t="s">
        <v>221</v>
      </c>
      <c r="D6381" s="3" t="s">
        <v>614</v>
      </c>
      <c r="E6381" s="3" t="s">
        <v>118</v>
      </c>
      <c r="F6381" s="7">
        <v>45873.05180467847</v>
      </c>
      <c r="G6381" s="3" t="s">
        <v>2846</v>
      </c>
    </row>
    <row r="6382">
      <c r="A6382" s="3" t="s">
        <v>18733</v>
      </c>
      <c r="B6382" s="3" t="s">
        <v>6018</v>
      </c>
      <c r="C6382" s="5" t="s">
        <v>614</v>
      </c>
      <c r="D6382" s="3" t="s">
        <v>206</v>
      </c>
      <c r="E6382" s="3" t="s">
        <v>100</v>
      </c>
      <c r="F6382" s="7">
        <v>45873.0552769007</v>
      </c>
      <c r="G6382" s="3" t="s">
        <v>2849</v>
      </c>
    </row>
    <row r="6383">
      <c r="A6383" s="3" t="s">
        <v>18735</v>
      </c>
      <c r="B6383" s="3" t="s">
        <v>6018</v>
      </c>
      <c r="C6383" s="5" t="s">
        <v>206</v>
      </c>
      <c r="D6383" s="3" t="s">
        <v>68</v>
      </c>
      <c r="E6383" s="3" t="s">
        <v>100</v>
      </c>
      <c r="F6383" s="7">
        <v>45873.058749122916</v>
      </c>
      <c r="G6383" s="3" t="s">
        <v>2852</v>
      </c>
    </row>
    <row r="6384">
      <c r="A6384" s="3" t="s">
        <v>18737</v>
      </c>
      <c r="B6384" s="3" t="s">
        <v>6021</v>
      </c>
      <c r="C6384" s="5" t="s">
        <v>45</v>
      </c>
      <c r="D6384" s="3" t="s">
        <v>221</v>
      </c>
      <c r="E6384" s="3" t="s">
        <v>516</v>
      </c>
      <c r="F6384" s="7">
        <v>45873.119507301664</v>
      </c>
      <c r="G6384" s="3" t="s">
        <v>18738</v>
      </c>
    </row>
    <row r="6385">
      <c r="A6385" s="3" t="s">
        <v>18739</v>
      </c>
      <c r="B6385" s="3" t="s">
        <v>6021</v>
      </c>
      <c r="C6385" s="5" t="s">
        <v>221</v>
      </c>
      <c r="D6385" s="3" t="s">
        <v>181</v>
      </c>
      <c r="E6385" s="3" t="s">
        <v>118</v>
      </c>
      <c r="F6385" s="7">
        <v>45873.12297952388</v>
      </c>
      <c r="G6385" s="3" t="s">
        <v>18741</v>
      </c>
    </row>
    <row r="6386">
      <c r="A6386" s="3" t="s">
        <v>18742</v>
      </c>
      <c r="B6386" s="3" t="s">
        <v>6024</v>
      </c>
      <c r="C6386" s="5" t="s">
        <v>45</v>
      </c>
      <c r="D6386" s="3" t="s">
        <v>221</v>
      </c>
      <c r="E6386" s="3" t="s">
        <v>547</v>
      </c>
      <c r="F6386" s="7">
        <v>45873.190682147084</v>
      </c>
      <c r="G6386" s="3" t="s">
        <v>18744</v>
      </c>
    </row>
    <row r="6387">
      <c r="A6387" s="3" t="s">
        <v>18745</v>
      </c>
      <c r="B6387" s="3" t="s">
        <v>6024</v>
      </c>
      <c r="C6387" s="5" t="s">
        <v>221</v>
      </c>
      <c r="D6387" s="3" t="s">
        <v>614</v>
      </c>
      <c r="E6387" s="3" t="s">
        <v>118</v>
      </c>
      <c r="F6387" s="7">
        <v>45873.1941543693</v>
      </c>
      <c r="G6387" s="3" t="s">
        <v>18747</v>
      </c>
    </row>
    <row r="6388">
      <c r="A6388" s="3" t="s">
        <v>18748</v>
      </c>
      <c r="B6388" s="3" t="s">
        <v>6024</v>
      </c>
      <c r="C6388" s="5" t="s">
        <v>614</v>
      </c>
      <c r="D6388" s="3" t="s">
        <v>206</v>
      </c>
      <c r="E6388" s="3" t="s">
        <v>100</v>
      </c>
      <c r="F6388" s="7">
        <v>45873.19762659153</v>
      </c>
      <c r="G6388" s="3" t="s">
        <v>18749</v>
      </c>
    </row>
    <row r="6389">
      <c r="A6389" s="3" t="s">
        <v>18751</v>
      </c>
      <c r="B6389" s="3" t="s">
        <v>6024</v>
      </c>
      <c r="C6389" s="5" t="s">
        <v>206</v>
      </c>
      <c r="D6389" s="3" t="s">
        <v>68</v>
      </c>
      <c r="E6389" s="3" t="s">
        <v>100</v>
      </c>
      <c r="F6389" s="7">
        <v>45873.20109881375</v>
      </c>
      <c r="G6389" s="3" t="s">
        <v>18752</v>
      </c>
    </row>
    <row r="6390">
      <c r="A6390" s="3" t="s">
        <v>18753</v>
      </c>
      <c r="B6390" s="3" t="s">
        <v>6028</v>
      </c>
      <c r="C6390" s="5" t="s">
        <v>45</v>
      </c>
      <c r="D6390" s="3" t="s">
        <v>221</v>
      </c>
      <c r="E6390" s="3" t="s">
        <v>260</v>
      </c>
      <c r="F6390" s="7">
        <v>45873.2618569925</v>
      </c>
      <c r="G6390" s="3" t="s">
        <v>18755</v>
      </c>
    </row>
    <row r="6391">
      <c r="A6391" s="3" t="s">
        <v>18756</v>
      </c>
      <c r="B6391" s="3" t="s">
        <v>6028</v>
      </c>
      <c r="C6391" s="5" t="s">
        <v>221</v>
      </c>
      <c r="D6391" s="3" t="s">
        <v>614</v>
      </c>
      <c r="E6391" s="3" t="s">
        <v>118</v>
      </c>
      <c r="F6391" s="7">
        <v>45873.26532921472</v>
      </c>
      <c r="G6391" s="3" t="s">
        <v>18758</v>
      </c>
    </row>
    <row r="6392">
      <c r="A6392" s="3" t="s">
        <v>18759</v>
      </c>
      <c r="B6392" s="3" t="s">
        <v>6028</v>
      </c>
      <c r="C6392" s="5" t="s">
        <v>614</v>
      </c>
      <c r="D6392" s="3" t="s">
        <v>206</v>
      </c>
      <c r="E6392" s="3" t="s">
        <v>100</v>
      </c>
      <c r="F6392" s="7">
        <v>45873.26880143695</v>
      </c>
      <c r="G6392" s="3" t="s">
        <v>18761</v>
      </c>
    </row>
    <row r="6393">
      <c r="A6393" s="3" t="s">
        <v>18762</v>
      </c>
      <c r="B6393" s="3" t="s">
        <v>6028</v>
      </c>
      <c r="C6393" s="5" t="s">
        <v>206</v>
      </c>
      <c r="D6393" s="3" t="s">
        <v>68</v>
      </c>
      <c r="E6393" s="3" t="s">
        <v>100</v>
      </c>
      <c r="F6393" s="7">
        <v>45873.27227365917</v>
      </c>
      <c r="G6393" s="3" t="s">
        <v>18764</v>
      </c>
    </row>
    <row r="6394">
      <c r="A6394" s="3" t="s">
        <v>18765</v>
      </c>
      <c r="B6394" s="3" t="s">
        <v>6031</v>
      </c>
      <c r="C6394" s="5" t="s">
        <v>45</v>
      </c>
      <c r="D6394" s="3" t="s">
        <v>221</v>
      </c>
      <c r="E6394" s="3" t="s">
        <v>1001</v>
      </c>
      <c r="F6394" s="7">
        <v>45873.33303183791</v>
      </c>
      <c r="G6394" s="3" t="s">
        <v>18767</v>
      </c>
    </row>
    <row r="6395">
      <c r="A6395" s="3" t="s">
        <v>18768</v>
      </c>
      <c r="B6395" s="3" t="s">
        <v>6031</v>
      </c>
      <c r="C6395" s="5" t="s">
        <v>221</v>
      </c>
      <c r="D6395" s="3" t="s">
        <v>614</v>
      </c>
      <c r="E6395" s="3" t="s">
        <v>118</v>
      </c>
      <c r="F6395" s="7">
        <v>45873.33650406013</v>
      </c>
      <c r="G6395" s="3" t="s">
        <v>18769</v>
      </c>
    </row>
    <row r="6396">
      <c r="A6396" s="3" t="s">
        <v>18771</v>
      </c>
      <c r="B6396" s="3" t="s">
        <v>6031</v>
      </c>
      <c r="C6396" s="5" t="s">
        <v>614</v>
      </c>
      <c r="D6396" s="3" t="s">
        <v>206</v>
      </c>
      <c r="E6396" s="3" t="s">
        <v>100</v>
      </c>
      <c r="F6396" s="7">
        <v>45873.339976282354</v>
      </c>
      <c r="G6396" s="3" t="s">
        <v>18772</v>
      </c>
    </row>
    <row r="6397">
      <c r="A6397" s="3" t="s">
        <v>18773</v>
      </c>
      <c r="B6397" s="3" t="s">
        <v>6031</v>
      </c>
      <c r="C6397" s="5" t="s">
        <v>206</v>
      </c>
      <c r="D6397" s="3" t="s">
        <v>68</v>
      </c>
      <c r="E6397" s="3" t="s">
        <v>100</v>
      </c>
      <c r="F6397" s="7">
        <v>45873.34344850457</v>
      </c>
      <c r="G6397" s="3" t="s">
        <v>18775</v>
      </c>
    </row>
    <row r="6398">
      <c r="A6398" s="3" t="s">
        <v>18776</v>
      </c>
      <c r="B6398" s="3" t="s">
        <v>6034</v>
      </c>
      <c r="C6398" s="5" t="s">
        <v>45</v>
      </c>
      <c r="D6398" s="3" t="s">
        <v>221</v>
      </c>
      <c r="E6398" s="3" t="s">
        <v>685</v>
      </c>
      <c r="F6398" s="7">
        <v>45873.40420668333</v>
      </c>
      <c r="G6398" s="3" t="s">
        <v>5019</v>
      </c>
    </row>
    <row r="6399">
      <c r="A6399" s="3" t="s">
        <v>18778</v>
      </c>
      <c r="B6399" s="3" t="s">
        <v>6034</v>
      </c>
      <c r="C6399" s="5" t="s">
        <v>221</v>
      </c>
      <c r="D6399" s="3" t="s">
        <v>614</v>
      </c>
      <c r="E6399" s="3" t="s">
        <v>118</v>
      </c>
      <c r="F6399" s="7">
        <v>45873.40767890555</v>
      </c>
      <c r="G6399" s="3" t="s">
        <v>5022</v>
      </c>
    </row>
    <row r="6400">
      <c r="A6400" s="3" t="s">
        <v>18780</v>
      </c>
      <c r="B6400" s="3" t="s">
        <v>6034</v>
      </c>
      <c r="C6400" s="5" t="s">
        <v>614</v>
      </c>
      <c r="D6400" s="3" t="s">
        <v>206</v>
      </c>
      <c r="E6400" s="3" t="s">
        <v>100</v>
      </c>
      <c r="F6400" s="7">
        <v>45873.41115112777</v>
      </c>
      <c r="G6400" s="3" t="s">
        <v>5025</v>
      </c>
    </row>
    <row r="6401">
      <c r="A6401" s="3" t="s">
        <v>18782</v>
      </c>
      <c r="B6401" s="3" t="s">
        <v>6034</v>
      </c>
      <c r="C6401" s="5" t="s">
        <v>206</v>
      </c>
      <c r="D6401" s="3" t="s">
        <v>68</v>
      </c>
      <c r="E6401" s="3" t="s">
        <v>100</v>
      </c>
      <c r="F6401" s="7">
        <v>45873.41462334999</v>
      </c>
      <c r="G6401" s="3" t="s">
        <v>5028</v>
      </c>
    </row>
    <row r="6402">
      <c r="A6402" s="3" t="s">
        <v>18783</v>
      </c>
      <c r="B6402" s="3" t="s">
        <v>6038</v>
      </c>
      <c r="C6402" s="5" t="s">
        <v>45</v>
      </c>
      <c r="D6402" s="3" t="s">
        <v>221</v>
      </c>
      <c r="E6402" s="3" t="s">
        <v>373</v>
      </c>
      <c r="F6402" s="7">
        <v>45873.47538152875</v>
      </c>
      <c r="G6402" s="3" t="s">
        <v>2854</v>
      </c>
    </row>
    <row r="6403">
      <c r="A6403" s="3" t="s">
        <v>18785</v>
      </c>
      <c r="B6403" s="3" t="s">
        <v>6038</v>
      </c>
      <c r="C6403" s="5" t="s">
        <v>221</v>
      </c>
      <c r="D6403" s="3" t="s">
        <v>614</v>
      </c>
      <c r="E6403" s="3" t="s">
        <v>118</v>
      </c>
      <c r="F6403" s="7">
        <v>45873.47885375097</v>
      </c>
      <c r="G6403" s="3" t="s">
        <v>2857</v>
      </c>
    </row>
    <row r="6404">
      <c r="A6404" s="3" t="s">
        <v>18787</v>
      </c>
      <c r="B6404" s="3" t="s">
        <v>6038</v>
      </c>
      <c r="C6404" s="5" t="s">
        <v>614</v>
      </c>
      <c r="D6404" s="3" t="s">
        <v>206</v>
      </c>
      <c r="E6404" s="3" t="s">
        <v>100</v>
      </c>
      <c r="F6404" s="7">
        <v>45873.48232597319</v>
      </c>
      <c r="G6404" s="3" t="s">
        <v>2860</v>
      </c>
    </row>
    <row r="6405">
      <c r="A6405" s="3" t="s">
        <v>18789</v>
      </c>
      <c r="B6405" s="3" t="s">
        <v>6038</v>
      </c>
      <c r="C6405" s="5" t="s">
        <v>206</v>
      </c>
      <c r="D6405" s="3" t="s">
        <v>68</v>
      </c>
      <c r="E6405" s="3" t="s">
        <v>100</v>
      </c>
      <c r="F6405" s="7">
        <v>45873.48579819541</v>
      </c>
      <c r="G6405" s="3" t="s">
        <v>2863</v>
      </c>
    </row>
    <row r="6406">
      <c r="A6406" s="3" t="s">
        <v>18790</v>
      </c>
      <c r="B6406" s="3" t="s">
        <v>6041</v>
      </c>
      <c r="C6406" s="5" t="s">
        <v>45</v>
      </c>
      <c r="D6406" s="3" t="s">
        <v>221</v>
      </c>
      <c r="E6406" s="3" t="s">
        <v>811</v>
      </c>
      <c r="F6406" s="7">
        <v>45873.54655637416</v>
      </c>
      <c r="G6406" s="3" t="s">
        <v>18792</v>
      </c>
    </row>
    <row r="6407">
      <c r="A6407" s="3" t="s">
        <v>18793</v>
      </c>
      <c r="B6407" s="3" t="s">
        <v>6041</v>
      </c>
      <c r="C6407" s="5" t="s">
        <v>221</v>
      </c>
      <c r="D6407" s="3" t="s">
        <v>614</v>
      </c>
      <c r="E6407" s="3" t="s">
        <v>118</v>
      </c>
      <c r="F6407" s="7">
        <v>45873.55002859638</v>
      </c>
      <c r="G6407" s="3" t="s">
        <v>18795</v>
      </c>
    </row>
    <row r="6408">
      <c r="A6408" s="3" t="s">
        <v>18796</v>
      </c>
      <c r="B6408" s="3" t="s">
        <v>6041</v>
      </c>
      <c r="C6408" s="5" t="s">
        <v>614</v>
      </c>
      <c r="D6408" s="3" t="s">
        <v>206</v>
      </c>
      <c r="E6408" s="3" t="s">
        <v>100</v>
      </c>
      <c r="F6408" s="7">
        <v>45873.553500818605</v>
      </c>
      <c r="G6408" s="3" t="s">
        <v>18798</v>
      </c>
    </row>
    <row r="6409">
      <c r="A6409" s="3" t="s">
        <v>18799</v>
      </c>
      <c r="B6409" s="3" t="s">
        <v>6041</v>
      </c>
      <c r="C6409" s="5" t="s">
        <v>206</v>
      </c>
      <c r="D6409" s="3" t="s">
        <v>68</v>
      </c>
      <c r="E6409" s="3" t="s">
        <v>100</v>
      </c>
      <c r="F6409" s="7">
        <v>45873.556973040824</v>
      </c>
      <c r="G6409" s="3" t="s">
        <v>18801</v>
      </c>
    </row>
    <row r="6410">
      <c r="A6410" s="3" t="s">
        <v>18802</v>
      </c>
      <c r="B6410" s="3" t="s">
        <v>6043</v>
      </c>
      <c r="C6410" s="5" t="s">
        <v>45</v>
      </c>
      <c r="D6410" s="3" t="s">
        <v>221</v>
      </c>
      <c r="E6410" s="3" t="s">
        <v>488</v>
      </c>
      <c r="F6410" s="7">
        <v>45873.61773121957</v>
      </c>
      <c r="G6410" s="3" t="s">
        <v>14870</v>
      </c>
    </row>
    <row r="6411">
      <c r="A6411" s="3" t="s">
        <v>18804</v>
      </c>
      <c r="B6411" s="3" t="s">
        <v>6043</v>
      </c>
      <c r="C6411" s="5" t="s">
        <v>221</v>
      </c>
      <c r="D6411" s="3" t="s">
        <v>614</v>
      </c>
      <c r="E6411" s="3" t="s">
        <v>118</v>
      </c>
      <c r="F6411" s="7">
        <v>45873.62120344179</v>
      </c>
      <c r="G6411" s="3" t="s">
        <v>18806</v>
      </c>
    </row>
    <row r="6412">
      <c r="A6412" s="3" t="s">
        <v>18807</v>
      </c>
      <c r="B6412" s="3" t="s">
        <v>6043</v>
      </c>
      <c r="C6412" s="5" t="s">
        <v>614</v>
      </c>
      <c r="D6412" s="3" t="s">
        <v>206</v>
      </c>
      <c r="E6412" s="3" t="s">
        <v>100</v>
      </c>
      <c r="F6412" s="7">
        <v>45873.62467566402</v>
      </c>
      <c r="G6412" s="3" t="s">
        <v>18809</v>
      </c>
    </row>
    <row r="6413">
      <c r="A6413" s="3" t="s">
        <v>18810</v>
      </c>
      <c r="B6413" s="3" t="s">
        <v>6043</v>
      </c>
      <c r="C6413" s="5" t="s">
        <v>206</v>
      </c>
      <c r="D6413" s="3" t="s">
        <v>68</v>
      </c>
      <c r="E6413" s="3" t="s">
        <v>100</v>
      </c>
      <c r="F6413" s="7">
        <v>45873.62814788624</v>
      </c>
      <c r="G6413" s="3" t="s">
        <v>18811</v>
      </c>
    </row>
    <row r="6414">
      <c r="A6414" s="3" t="s">
        <v>18812</v>
      </c>
      <c r="B6414" s="3" t="s">
        <v>6045</v>
      </c>
      <c r="C6414" s="5" t="s">
        <v>45</v>
      </c>
      <c r="D6414" s="3" t="s">
        <v>221</v>
      </c>
      <c r="E6414" s="3" t="s">
        <v>860</v>
      </c>
      <c r="F6414" s="7">
        <v>45873.68890606499</v>
      </c>
      <c r="G6414" s="3" t="s">
        <v>15998</v>
      </c>
    </row>
    <row r="6415">
      <c r="A6415" s="3" t="s">
        <v>18814</v>
      </c>
      <c r="B6415" s="3" t="s">
        <v>6045</v>
      </c>
      <c r="C6415" s="5" t="s">
        <v>221</v>
      </c>
      <c r="D6415" s="3" t="s">
        <v>614</v>
      </c>
      <c r="E6415" s="3" t="s">
        <v>118</v>
      </c>
      <c r="F6415" s="7">
        <v>45873.69237828721</v>
      </c>
      <c r="G6415" s="3" t="s">
        <v>16001</v>
      </c>
    </row>
    <row r="6416">
      <c r="A6416" s="3" t="s">
        <v>18815</v>
      </c>
      <c r="B6416" s="3" t="s">
        <v>6045</v>
      </c>
      <c r="C6416" s="5" t="s">
        <v>614</v>
      </c>
      <c r="D6416" s="3" t="s">
        <v>206</v>
      </c>
      <c r="E6416" s="3" t="s">
        <v>100</v>
      </c>
      <c r="F6416" s="7">
        <v>45873.69585050944</v>
      </c>
      <c r="G6416" s="3" t="s">
        <v>16003</v>
      </c>
    </row>
    <row r="6417">
      <c r="A6417" s="3" t="s">
        <v>18817</v>
      </c>
      <c r="B6417" s="3" t="s">
        <v>6045</v>
      </c>
      <c r="C6417" s="5" t="s">
        <v>206</v>
      </c>
      <c r="D6417" s="3" t="s">
        <v>68</v>
      </c>
      <c r="E6417" s="3" t="s">
        <v>100</v>
      </c>
      <c r="F6417" s="7">
        <v>45873.699322731656</v>
      </c>
      <c r="G6417" s="3" t="s">
        <v>16006</v>
      </c>
    </row>
    <row r="6418">
      <c r="A6418" s="3" t="s">
        <v>18819</v>
      </c>
      <c r="B6418" s="3" t="s">
        <v>6048</v>
      </c>
      <c r="C6418" s="5" t="s">
        <v>45</v>
      </c>
      <c r="D6418" s="3" t="s">
        <v>221</v>
      </c>
      <c r="E6418" s="3" t="s">
        <v>830</v>
      </c>
      <c r="F6418" s="7">
        <v>45873.760080910404</v>
      </c>
      <c r="G6418" s="3" t="s">
        <v>17503</v>
      </c>
    </row>
    <row r="6419">
      <c r="A6419" s="3" t="s">
        <v>18821</v>
      </c>
      <c r="B6419" s="3" t="s">
        <v>6048</v>
      </c>
      <c r="C6419" s="5" t="s">
        <v>221</v>
      </c>
      <c r="D6419" s="3" t="s">
        <v>614</v>
      </c>
      <c r="E6419" s="3" t="s">
        <v>118</v>
      </c>
      <c r="F6419" s="7">
        <v>45873.76355313262</v>
      </c>
      <c r="G6419" s="3" t="s">
        <v>17506</v>
      </c>
    </row>
    <row r="6420">
      <c r="A6420" s="3" t="s">
        <v>18822</v>
      </c>
      <c r="B6420" s="3" t="s">
        <v>6048</v>
      </c>
      <c r="C6420" s="5" t="s">
        <v>614</v>
      </c>
      <c r="D6420" s="3" t="s">
        <v>206</v>
      </c>
      <c r="E6420" s="3" t="s">
        <v>100</v>
      </c>
      <c r="F6420" s="7">
        <v>45873.76702535485</v>
      </c>
      <c r="G6420" s="3" t="s">
        <v>17509</v>
      </c>
    </row>
    <row r="6421">
      <c r="A6421" s="3" t="s">
        <v>18824</v>
      </c>
      <c r="B6421" s="3" t="s">
        <v>6048</v>
      </c>
      <c r="C6421" s="5" t="s">
        <v>206</v>
      </c>
      <c r="D6421" s="3" t="s">
        <v>68</v>
      </c>
      <c r="E6421" s="3" t="s">
        <v>100</v>
      </c>
      <c r="F6421" s="7">
        <v>45873.77049757707</v>
      </c>
      <c r="G6421" s="3" t="s">
        <v>17511</v>
      </c>
    </row>
    <row r="6422">
      <c r="A6422" s="3" t="s">
        <v>18826</v>
      </c>
      <c r="B6422" s="3" t="s">
        <v>6049</v>
      </c>
      <c r="C6422" s="5" t="s">
        <v>45</v>
      </c>
      <c r="D6422" s="3" t="s">
        <v>221</v>
      </c>
      <c r="E6422" s="3" t="s">
        <v>336</v>
      </c>
      <c r="F6422" s="7">
        <v>45873.83125575582</v>
      </c>
      <c r="G6422" s="3" t="s">
        <v>18828</v>
      </c>
    </row>
    <row r="6423">
      <c r="A6423" s="3" t="s">
        <v>18829</v>
      </c>
      <c r="B6423" s="3" t="s">
        <v>6049</v>
      </c>
      <c r="C6423" s="5" t="s">
        <v>221</v>
      </c>
      <c r="D6423" s="3" t="s">
        <v>614</v>
      </c>
      <c r="E6423" s="3" t="s">
        <v>118</v>
      </c>
      <c r="F6423" s="7">
        <v>45873.834727978036</v>
      </c>
      <c r="G6423" s="3" t="s">
        <v>18831</v>
      </c>
    </row>
    <row r="6424">
      <c r="A6424" s="3" t="s">
        <v>18832</v>
      </c>
      <c r="B6424" s="3" t="s">
        <v>6049</v>
      </c>
      <c r="C6424" s="5" t="s">
        <v>614</v>
      </c>
      <c r="D6424" s="3" t="s">
        <v>206</v>
      </c>
      <c r="E6424" s="3" t="s">
        <v>100</v>
      </c>
      <c r="F6424" s="7">
        <v>45873.83820020026</v>
      </c>
      <c r="G6424" s="3" t="s">
        <v>18833</v>
      </c>
    </row>
    <row r="6425">
      <c r="A6425" s="3" t="s">
        <v>18834</v>
      </c>
      <c r="B6425" s="3" t="s">
        <v>6049</v>
      </c>
      <c r="C6425" s="5" t="s">
        <v>206</v>
      </c>
      <c r="D6425" s="3" t="s">
        <v>68</v>
      </c>
      <c r="E6425" s="3" t="s">
        <v>100</v>
      </c>
      <c r="F6425" s="7">
        <v>45873.84167242248</v>
      </c>
      <c r="G6425" s="3" t="s">
        <v>18836</v>
      </c>
    </row>
    <row r="6426">
      <c r="A6426" s="3" t="s">
        <v>18837</v>
      </c>
      <c r="B6426" s="3" t="s">
        <v>6052</v>
      </c>
      <c r="C6426" s="5" t="s">
        <v>45</v>
      </c>
      <c r="D6426" s="3" t="s">
        <v>221</v>
      </c>
      <c r="E6426" s="3" t="s">
        <v>272</v>
      </c>
      <c r="F6426" s="7">
        <v>45873.902430601236</v>
      </c>
      <c r="G6426" s="3" t="s">
        <v>2866</v>
      </c>
    </row>
    <row r="6427">
      <c r="A6427" s="3" t="s">
        <v>18839</v>
      </c>
      <c r="B6427" s="3" t="s">
        <v>6052</v>
      </c>
      <c r="C6427" s="5" t="s">
        <v>221</v>
      </c>
      <c r="D6427" s="3" t="s">
        <v>614</v>
      </c>
      <c r="E6427" s="3" t="s">
        <v>118</v>
      </c>
      <c r="F6427" s="7">
        <v>45873.905902823455</v>
      </c>
      <c r="G6427" s="3" t="s">
        <v>2869</v>
      </c>
    </row>
    <row r="6428">
      <c r="A6428" s="3" t="s">
        <v>18841</v>
      </c>
      <c r="B6428" s="3" t="s">
        <v>6052</v>
      </c>
      <c r="C6428" s="5" t="s">
        <v>614</v>
      </c>
      <c r="D6428" s="3" t="s">
        <v>206</v>
      </c>
      <c r="E6428" s="3" t="s">
        <v>100</v>
      </c>
      <c r="F6428" s="7">
        <v>45873.90937504568</v>
      </c>
      <c r="G6428" s="3" t="s">
        <v>2872</v>
      </c>
    </row>
    <row r="6429">
      <c r="A6429" s="3" t="s">
        <v>18843</v>
      </c>
      <c r="B6429" s="3" t="s">
        <v>6052</v>
      </c>
      <c r="C6429" s="5" t="s">
        <v>206</v>
      </c>
      <c r="D6429" s="3" t="s">
        <v>68</v>
      </c>
      <c r="E6429" s="3" t="s">
        <v>100</v>
      </c>
      <c r="F6429" s="7">
        <v>45873.9128472679</v>
      </c>
      <c r="G6429" s="3" t="s">
        <v>2875</v>
      </c>
    </row>
    <row r="6430">
      <c r="A6430" s="3" t="s">
        <v>18845</v>
      </c>
      <c r="B6430" s="3" t="s">
        <v>6055</v>
      </c>
      <c r="C6430" s="5" t="s">
        <v>45</v>
      </c>
      <c r="D6430" s="3" t="s">
        <v>221</v>
      </c>
      <c r="E6430" s="3" t="s">
        <v>598</v>
      </c>
      <c r="F6430" s="7">
        <v>45873.973605446656</v>
      </c>
      <c r="G6430" s="3" t="s">
        <v>18846</v>
      </c>
    </row>
    <row r="6431">
      <c r="A6431" s="3" t="s">
        <v>18848</v>
      </c>
      <c r="B6431" s="3" t="s">
        <v>6055</v>
      </c>
      <c r="C6431" s="5" t="s">
        <v>221</v>
      </c>
      <c r="D6431" s="3" t="s">
        <v>614</v>
      </c>
      <c r="E6431" s="3" t="s">
        <v>118</v>
      </c>
      <c r="F6431" s="7">
        <v>45873.977077668875</v>
      </c>
      <c r="G6431" s="3" t="s">
        <v>18849</v>
      </c>
    </row>
    <row r="6432">
      <c r="A6432" s="3" t="s">
        <v>18850</v>
      </c>
      <c r="B6432" s="3" t="s">
        <v>6055</v>
      </c>
      <c r="C6432" s="5" t="s">
        <v>614</v>
      </c>
      <c r="D6432" s="3" t="s">
        <v>206</v>
      </c>
      <c r="E6432" s="3" t="s">
        <v>100</v>
      </c>
      <c r="F6432" s="7">
        <v>45873.9805498911</v>
      </c>
      <c r="G6432" s="3" t="s">
        <v>18852</v>
      </c>
    </row>
    <row r="6433">
      <c r="A6433" s="3" t="s">
        <v>18853</v>
      </c>
      <c r="B6433" s="3" t="s">
        <v>6055</v>
      </c>
      <c r="C6433" s="5" t="s">
        <v>206</v>
      </c>
      <c r="D6433" s="3" t="s">
        <v>68</v>
      </c>
      <c r="E6433" s="3" t="s">
        <v>100</v>
      </c>
      <c r="F6433" s="7">
        <v>45873.98402211332</v>
      </c>
      <c r="G6433" s="3" t="s">
        <v>18855</v>
      </c>
    </row>
    <row r="6434">
      <c r="A6434" s="3" t="s">
        <v>18856</v>
      </c>
      <c r="B6434" s="3" t="s">
        <v>6056</v>
      </c>
      <c r="C6434" s="5" t="s">
        <v>45</v>
      </c>
      <c r="D6434" s="3" t="s">
        <v>221</v>
      </c>
      <c r="E6434" s="3" t="s">
        <v>546</v>
      </c>
      <c r="F6434" s="7">
        <v>45874.04478029206</v>
      </c>
      <c r="G6434" s="3" t="s">
        <v>9869</v>
      </c>
    </row>
    <row r="6435">
      <c r="A6435" s="3" t="s">
        <v>18858</v>
      </c>
      <c r="B6435" s="3" t="s">
        <v>6056</v>
      </c>
      <c r="C6435" s="5" t="s">
        <v>221</v>
      </c>
      <c r="D6435" s="3" t="s">
        <v>614</v>
      </c>
      <c r="E6435" s="3" t="s">
        <v>118</v>
      </c>
      <c r="F6435" s="7">
        <v>45874.04825251428</v>
      </c>
      <c r="G6435" s="3" t="s">
        <v>9873</v>
      </c>
    </row>
    <row r="6436">
      <c r="A6436" s="3" t="s">
        <v>18860</v>
      </c>
      <c r="B6436" s="3" t="s">
        <v>6056</v>
      </c>
      <c r="C6436" s="5" t="s">
        <v>614</v>
      </c>
      <c r="D6436" s="3" t="s">
        <v>206</v>
      </c>
      <c r="E6436" s="3" t="s">
        <v>100</v>
      </c>
      <c r="F6436" s="7">
        <v>45874.051724736506</v>
      </c>
      <c r="G6436" s="3" t="s">
        <v>9876</v>
      </c>
    </row>
    <row r="6437">
      <c r="A6437" s="3" t="s">
        <v>18861</v>
      </c>
      <c r="B6437" s="3" t="s">
        <v>6056</v>
      </c>
      <c r="C6437" s="5" t="s">
        <v>206</v>
      </c>
      <c r="D6437" s="3" t="s">
        <v>68</v>
      </c>
      <c r="E6437" s="3" t="s">
        <v>100</v>
      </c>
      <c r="F6437" s="7">
        <v>45874.055196958725</v>
      </c>
      <c r="G6437" s="3" t="s">
        <v>9879</v>
      </c>
    </row>
    <row r="6438">
      <c r="A6438" s="3" t="s">
        <v>18863</v>
      </c>
      <c r="B6438" s="3" t="s">
        <v>6059</v>
      </c>
      <c r="C6438" s="5" t="s">
        <v>45</v>
      </c>
      <c r="D6438" s="3" t="s">
        <v>221</v>
      </c>
      <c r="E6438" s="3" t="s">
        <v>219</v>
      </c>
      <c r="F6438" s="7">
        <v>45874.11595513748</v>
      </c>
      <c r="G6438" s="3" t="s">
        <v>15945</v>
      </c>
    </row>
    <row r="6439">
      <c r="A6439" s="3" t="s">
        <v>18865</v>
      </c>
      <c r="B6439" s="3" t="s">
        <v>6059</v>
      </c>
      <c r="C6439" s="5" t="s">
        <v>221</v>
      </c>
      <c r="D6439" s="3" t="s">
        <v>614</v>
      </c>
      <c r="E6439" s="3" t="s">
        <v>118</v>
      </c>
      <c r="F6439" s="7">
        <v>45874.1194273597</v>
      </c>
      <c r="G6439" s="3" t="s">
        <v>16257</v>
      </c>
    </row>
    <row r="6440">
      <c r="A6440" s="3" t="s">
        <v>18867</v>
      </c>
      <c r="B6440" s="3" t="s">
        <v>6059</v>
      </c>
      <c r="C6440" s="5" t="s">
        <v>614</v>
      </c>
      <c r="D6440" s="3" t="s">
        <v>206</v>
      </c>
      <c r="E6440" s="3" t="s">
        <v>100</v>
      </c>
      <c r="F6440" s="7">
        <v>45874.122899581926</v>
      </c>
      <c r="G6440" s="3" t="s">
        <v>16259</v>
      </c>
    </row>
    <row r="6441">
      <c r="A6441" s="3" t="s">
        <v>18869</v>
      </c>
      <c r="B6441" s="3" t="s">
        <v>6059</v>
      </c>
      <c r="C6441" s="5" t="s">
        <v>206</v>
      </c>
      <c r="D6441" s="3" t="s">
        <v>68</v>
      </c>
      <c r="E6441" s="3" t="s">
        <v>100</v>
      </c>
      <c r="F6441" s="7">
        <v>45874.126371804145</v>
      </c>
      <c r="G6441" s="3" t="s">
        <v>16262</v>
      </c>
    </row>
    <row r="6442">
      <c r="A6442" s="3" t="s">
        <v>18870</v>
      </c>
      <c r="B6442" s="3" t="s">
        <v>6062</v>
      </c>
      <c r="C6442" s="5" t="s">
        <v>45</v>
      </c>
      <c r="D6442" s="3" t="s">
        <v>221</v>
      </c>
      <c r="E6442" s="3" t="s">
        <v>937</v>
      </c>
      <c r="F6442" s="7">
        <v>45874.18712998289</v>
      </c>
      <c r="G6442" s="3" t="s">
        <v>18872</v>
      </c>
    </row>
    <row r="6443">
      <c r="A6443" s="3" t="s">
        <v>18873</v>
      </c>
      <c r="B6443" s="3" t="s">
        <v>6062</v>
      </c>
      <c r="C6443" s="5" t="s">
        <v>221</v>
      </c>
      <c r="D6443" s="3" t="s">
        <v>614</v>
      </c>
      <c r="E6443" s="3" t="s">
        <v>118</v>
      </c>
      <c r="F6443" s="7">
        <v>45874.19060220511</v>
      </c>
      <c r="G6443" s="3" t="s">
        <v>18875</v>
      </c>
    </row>
    <row r="6444">
      <c r="A6444" s="3" t="s">
        <v>18876</v>
      </c>
      <c r="B6444" s="3" t="s">
        <v>6062</v>
      </c>
      <c r="C6444" s="5" t="s">
        <v>614</v>
      </c>
      <c r="D6444" s="3" t="s">
        <v>206</v>
      </c>
      <c r="E6444" s="3" t="s">
        <v>100</v>
      </c>
      <c r="F6444" s="7">
        <v>45874.19407442734</v>
      </c>
      <c r="G6444" s="3" t="s">
        <v>18877</v>
      </c>
    </row>
    <row r="6445">
      <c r="A6445" s="3" t="s">
        <v>18878</v>
      </c>
      <c r="B6445" s="3" t="s">
        <v>6062</v>
      </c>
      <c r="C6445" s="5" t="s">
        <v>206</v>
      </c>
      <c r="D6445" s="3" t="s">
        <v>68</v>
      </c>
      <c r="E6445" s="3" t="s">
        <v>100</v>
      </c>
      <c r="F6445" s="7">
        <v>45874.19754664956</v>
      </c>
      <c r="G6445" s="3" t="s">
        <v>18879</v>
      </c>
    </row>
    <row r="6446">
      <c r="A6446" s="3" t="s">
        <v>18880</v>
      </c>
      <c r="B6446" s="3" t="s">
        <v>6064</v>
      </c>
      <c r="C6446" s="5" t="s">
        <v>45</v>
      </c>
      <c r="D6446" s="3" t="s">
        <v>221</v>
      </c>
      <c r="E6446" s="3" t="s">
        <v>600</v>
      </c>
      <c r="F6446" s="7">
        <v>45874.25830482831</v>
      </c>
      <c r="G6446" s="3" t="s">
        <v>18336</v>
      </c>
    </row>
    <row r="6447">
      <c r="A6447" s="3" t="s">
        <v>18882</v>
      </c>
      <c r="B6447" s="3" t="s">
        <v>6064</v>
      </c>
      <c r="C6447" s="5" t="s">
        <v>221</v>
      </c>
      <c r="D6447" s="3" t="s">
        <v>614</v>
      </c>
      <c r="E6447" s="3" t="s">
        <v>118</v>
      </c>
      <c r="F6447" s="7">
        <v>45874.26177705053</v>
      </c>
      <c r="G6447" s="3" t="s">
        <v>18339</v>
      </c>
    </row>
    <row r="6448">
      <c r="A6448" s="3" t="s">
        <v>18883</v>
      </c>
      <c r="B6448" s="3" t="s">
        <v>6064</v>
      </c>
      <c r="C6448" s="5" t="s">
        <v>614</v>
      </c>
      <c r="D6448" s="3" t="s">
        <v>206</v>
      </c>
      <c r="E6448" s="3" t="s">
        <v>100</v>
      </c>
      <c r="F6448" s="7">
        <v>45874.26524927276</v>
      </c>
      <c r="G6448" s="3" t="s">
        <v>18341</v>
      </c>
    </row>
    <row r="6449">
      <c r="A6449" s="3" t="s">
        <v>18885</v>
      </c>
      <c r="B6449" s="3" t="s">
        <v>6064</v>
      </c>
      <c r="C6449" s="5" t="s">
        <v>206</v>
      </c>
      <c r="D6449" s="3" t="s">
        <v>68</v>
      </c>
      <c r="E6449" s="3" t="s">
        <v>100</v>
      </c>
      <c r="F6449" s="7">
        <v>45874.26872149498</v>
      </c>
      <c r="G6449" s="3" t="s">
        <v>18344</v>
      </c>
    </row>
    <row r="6450">
      <c r="A6450" s="3" t="s">
        <v>18887</v>
      </c>
      <c r="B6450" s="3" t="s">
        <v>6066</v>
      </c>
      <c r="C6450" s="5" t="s">
        <v>45</v>
      </c>
      <c r="D6450" s="3" t="s">
        <v>221</v>
      </c>
      <c r="E6450" s="3" t="s">
        <v>224</v>
      </c>
      <c r="F6450" s="7">
        <v>45874.329479673725</v>
      </c>
      <c r="G6450" s="3" t="s">
        <v>7009</v>
      </c>
    </row>
    <row r="6451">
      <c r="A6451" s="3" t="s">
        <v>18889</v>
      </c>
      <c r="B6451" s="3" t="s">
        <v>6066</v>
      </c>
      <c r="C6451" s="5" t="s">
        <v>221</v>
      </c>
      <c r="D6451" s="3" t="s">
        <v>614</v>
      </c>
      <c r="E6451" s="3" t="s">
        <v>118</v>
      </c>
      <c r="F6451" s="7">
        <v>45874.33295189594</v>
      </c>
      <c r="G6451" s="3" t="s">
        <v>7012</v>
      </c>
    </row>
    <row r="6452">
      <c r="A6452" s="3" t="s">
        <v>18891</v>
      </c>
      <c r="B6452" s="3" t="s">
        <v>6066</v>
      </c>
      <c r="C6452" s="5" t="s">
        <v>614</v>
      </c>
      <c r="D6452" s="3" t="s">
        <v>206</v>
      </c>
      <c r="E6452" s="3" t="s">
        <v>100</v>
      </c>
      <c r="F6452" s="7">
        <v>45874.33642411817</v>
      </c>
      <c r="G6452" s="3" t="s">
        <v>7015</v>
      </c>
    </row>
    <row r="6453">
      <c r="A6453" s="3" t="s">
        <v>18894</v>
      </c>
      <c r="B6453" s="3" t="s">
        <v>6066</v>
      </c>
      <c r="C6453" s="5" t="s">
        <v>206</v>
      </c>
      <c r="D6453" s="3" t="s">
        <v>68</v>
      </c>
      <c r="E6453" s="3" t="s">
        <v>100</v>
      </c>
      <c r="F6453" s="7">
        <v>45874.33989634039</v>
      </c>
      <c r="G6453" s="3" t="s">
        <v>7018</v>
      </c>
    </row>
    <row r="6454">
      <c r="A6454" s="3" t="s">
        <v>18896</v>
      </c>
      <c r="B6454" s="3" t="s">
        <v>6069</v>
      </c>
      <c r="C6454" s="5" t="s">
        <v>45</v>
      </c>
      <c r="D6454" s="3" t="s">
        <v>221</v>
      </c>
      <c r="E6454" s="3" t="s">
        <v>605</v>
      </c>
      <c r="F6454" s="7">
        <v>45874.400654519144</v>
      </c>
      <c r="G6454" s="3" t="s">
        <v>2770</v>
      </c>
    </row>
    <row r="6455">
      <c r="A6455" s="3" t="s">
        <v>18898</v>
      </c>
      <c r="B6455" s="3" t="s">
        <v>6069</v>
      </c>
      <c r="C6455" s="5" t="s">
        <v>221</v>
      </c>
      <c r="D6455" s="3" t="s">
        <v>181</v>
      </c>
      <c r="E6455" s="3" t="s">
        <v>118</v>
      </c>
      <c r="F6455" s="7">
        <v>45874.40412674136</v>
      </c>
      <c r="G6455" s="3" t="s">
        <v>2774</v>
      </c>
    </row>
    <row r="6456">
      <c r="A6456" s="3" t="s">
        <v>18899</v>
      </c>
      <c r="B6456" s="3" t="s">
        <v>6072</v>
      </c>
      <c r="C6456" s="5" t="s">
        <v>45</v>
      </c>
      <c r="D6456" s="3" t="s">
        <v>221</v>
      </c>
      <c r="E6456" s="3" t="s">
        <v>296</v>
      </c>
      <c r="F6456" s="7">
        <v>45874.47182936455</v>
      </c>
      <c r="G6456" s="3" t="s">
        <v>18901</v>
      </c>
    </row>
    <row r="6457">
      <c r="A6457" s="3" t="s">
        <v>18902</v>
      </c>
      <c r="B6457" s="3" t="s">
        <v>6072</v>
      </c>
      <c r="C6457" s="5" t="s">
        <v>221</v>
      </c>
      <c r="D6457" s="3" t="s">
        <v>195</v>
      </c>
      <c r="E6457" s="3" t="s">
        <v>296</v>
      </c>
      <c r="F6457" s="7">
        <v>45874.47530158677</v>
      </c>
      <c r="G6457" s="3" t="s">
        <v>18904</v>
      </c>
    </row>
    <row r="6458">
      <c r="A6458" s="3" t="s">
        <v>18905</v>
      </c>
      <c r="B6458" s="3" t="s">
        <v>6074</v>
      </c>
      <c r="C6458" s="5" t="s">
        <v>45</v>
      </c>
      <c r="D6458" s="3" t="s">
        <v>221</v>
      </c>
      <c r="E6458" s="3" t="s">
        <v>512</v>
      </c>
      <c r="F6458" s="7">
        <v>45874.54300420997</v>
      </c>
      <c r="G6458" s="3" t="s">
        <v>17315</v>
      </c>
    </row>
    <row r="6459">
      <c r="A6459" s="3" t="s">
        <v>18907</v>
      </c>
      <c r="B6459" s="3" t="s">
        <v>6074</v>
      </c>
      <c r="C6459" s="5" t="s">
        <v>221</v>
      </c>
      <c r="D6459" s="3" t="s">
        <v>614</v>
      </c>
      <c r="E6459" s="3" t="s">
        <v>118</v>
      </c>
      <c r="F6459" s="7">
        <v>45874.54647643219</v>
      </c>
      <c r="G6459" s="3" t="s">
        <v>18909</v>
      </c>
    </row>
    <row r="6460">
      <c r="A6460" s="3" t="s">
        <v>18910</v>
      </c>
      <c r="B6460" s="3" t="s">
        <v>6074</v>
      </c>
      <c r="C6460" s="5" t="s">
        <v>614</v>
      </c>
      <c r="D6460" s="3" t="s">
        <v>206</v>
      </c>
      <c r="E6460" s="3" t="s">
        <v>100</v>
      </c>
      <c r="F6460" s="7">
        <v>45874.549948654414</v>
      </c>
      <c r="G6460" s="3" t="s">
        <v>18911</v>
      </c>
    </row>
    <row r="6461">
      <c r="A6461" s="3" t="s">
        <v>18913</v>
      </c>
      <c r="B6461" s="3" t="s">
        <v>6074</v>
      </c>
      <c r="C6461" s="5" t="s">
        <v>206</v>
      </c>
      <c r="D6461" s="3" t="s">
        <v>68</v>
      </c>
      <c r="E6461" s="3" t="s">
        <v>100</v>
      </c>
      <c r="F6461" s="7">
        <v>45874.55342087663</v>
      </c>
      <c r="G6461" s="3" t="s">
        <v>18914</v>
      </c>
    </row>
    <row r="6462">
      <c r="A6462" s="3" t="s">
        <v>18916</v>
      </c>
      <c r="B6462" s="3" t="s">
        <v>6075</v>
      </c>
      <c r="C6462" s="5" t="s">
        <v>45</v>
      </c>
      <c r="D6462" s="3" t="s">
        <v>221</v>
      </c>
      <c r="E6462" s="3" t="s">
        <v>650</v>
      </c>
      <c r="F6462" s="7">
        <v>45874.61417905539</v>
      </c>
      <c r="G6462" s="3" t="s">
        <v>18917</v>
      </c>
    </row>
    <row r="6463">
      <c r="A6463" s="3" t="s">
        <v>18919</v>
      </c>
      <c r="B6463" s="3" t="s">
        <v>6075</v>
      </c>
      <c r="C6463" s="5" t="s">
        <v>221</v>
      </c>
      <c r="D6463" s="3" t="s">
        <v>614</v>
      </c>
      <c r="E6463" s="3" t="s">
        <v>118</v>
      </c>
      <c r="F6463" s="7">
        <v>45874.61765127761</v>
      </c>
      <c r="G6463" s="3" t="s">
        <v>18920</v>
      </c>
    </row>
    <row r="6464">
      <c r="A6464" s="3" t="s">
        <v>18921</v>
      </c>
      <c r="B6464" s="3" t="s">
        <v>6075</v>
      </c>
      <c r="C6464" s="5" t="s">
        <v>614</v>
      </c>
      <c r="D6464" s="3" t="s">
        <v>206</v>
      </c>
      <c r="E6464" s="3" t="s">
        <v>100</v>
      </c>
      <c r="F6464" s="7">
        <v>45874.62112349983</v>
      </c>
      <c r="G6464" s="3" t="s">
        <v>18923</v>
      </c>
    </row>
    <row r="6465">
      <c r="A6465" s="3" t="s">
        <v>18924</v>
      </c>
      <c r="B6465" s="3" t="s">
        <v>6075</v>
      </c>
      <c r="C6465" s="5" t="s">
        <v>206</v>
      </c>
      <c r="D6465" s="3" t="s">
        <v>68</v>
      </c>
      <c r="E6465" s="3" t="s">
        <v>100</v>
      </c>
      <c r="F6465" s="7">
        <v>45874.62459572205</v>
      </c>
      <c r="G6465" s="3" t="s">
        <v>18926</v>
      </c>
    </row>
    <row r="6466">
      <c r="A6466" s="3" t="s">
        <v>18927</v>
      </c>
      <c r="B6466" s="3" t="s">
        <v>6077</v>
      </c>
      <c r="C6466" s="5" t="s">
        <v>45</v>
      </c>
      <c r="D6466" s="3" t="s">
        <v>221</v>
      </c>
      <c r="E6466" s="3" t="s">
        <v>130</v>
      </c>
      <c r="F6466" s="7">
        <v>45874.6853539008</v>
      </c>
      <c r="G6466" s="3" t="s">
        <v>18929</v>
      </c>
    </row>
    <row r="6467">
      <c r="A6467" s="3" t="s">
        <v>18930</v>
      </c>
      <c r="B6467" s="3" t="s">
        <v>6077</v>
      </c>
      <c r="C6467" s="5" t="s">
        <v>221</v>
      </c>
      <c r="D6467" s="3" t="s">
        <v>614</v>
      </c>
      <c r="E6467" s="3" t="s">
        <v>118</v>
      </c>
      <c r="F6467" s="7">
        <v>45874.68882612302</v>
      </c>
      <c r="G6467" s="3" t="s">
        <v>18931</v>
      </c>
    </row>
    <row r="6468">
      <c r="A6468" s="3" t="s">
        <v>18933</v>
      </c>
      <c r="B6468" s="3" t="s">
        <v>6077</v>
      </c>
      <c r="C6468" s="5" t="s">
        <v>614</v>
      </c>
      <c r="D6468" s="3" t="s">
        <v>206</v>
      </c>
      <c r="E6468" s="3" t="s">
        <v>100</v>
      </c>
      <c r="F6468" s="7">
        <v>45874.692298345246</v>
      </c>
      <c r="G6468" s="3" t="s">
        <v>18934</v>
      </c>
    </row>
    <row r="6469">
      <c r="A6469" s="3" t="s">
        <v>18935</v>
      </c>
      <c r="B6469" s="3" t="s">
        <v>6077</v>
      </c>
      <c r="C6469" s="5" t="s">
        <v>206</v>
      </c>
      <c r="D6469" s="3" t="s">
        <v>68</v>
      </c>
      <c r="E6469" s="3" t="s">
        <v>100</v>
      </c>
      <c r="F6469" s="7">
        <v>45874.695770567465</v>
      </c>
      <c r="G6469" s="3" t="s">
        <v>18937</v>
      </c>
    </row>
    <row r="6470">
      <c r="A6470" s="3" t="s">
        <v>18938</v>
      </c>
      <c r="B6470" s="3" t="s">
        <v>6079</v>
      </c>
      <c r="C6470" s="5" t="s">
        <v>45</v>
      </c>
      <c r="D6470" s="3" t="s">
        <v>221</v>
      </c>
      <c r="E6470" s="3" t="s">
        <v>969</v>
      </c>
      <c r="F6470" s="7">
        <v>45874.75652874621</v>
      </c>
      <c r="G6470" s="3" t="s">
        <v>18940</v>
      </c>
    </row>
    <row r="6471">
      <c r="A6471" s="3" t="s">
        <v>18941</v>
      </c>
      <c r="B6471" s="3" t="s">
        <v>6079</v>
      </c>
      <c r="C6471" s="5" t="s">
        <v>221</v>
      </c>
      <c r="D6471" s="3" t="s">
        <v>614</v>
      </c>
      <c r="E6471" s="3" t="s">
        <v>118</v>
      </c>
      <c r="F6471" s="7">
        <v>45874.76000096843</v>
      </c>
      <c r="G6471" s="3" t="s">
        <v>18942</v>
      </c>
    </row>
    <row r="6472">
      <c r="A6472" s="3" t="s">
        <v>18944</v>
      </c>
      <c r="B6472" s="3" t="s">
        <v>6079</v>
      </c>
      <c r="C6472" s="5" t="s">
        <v>614</v>
      </c>
      <c r="D6472" s="3" t="s">
        <v>206</v>
      </c>
      <c r="E6472" s="3" t="s">
        <v>100</v>
      </c>
      <c r="F6472" s="7">
        <v>45874.76347319066</v>
      </c>
      <c r="G6472" s="3" t="s">
        <v>18945</v>
      </c>
    </row>
    <row r="6473">
      <c r="A6473" s="3" t="s">
        <v>18946</v>
      </c>
      <c r="B6473" s="3" t="s">
        <v>6079</v>
      </c>
      <c r="C6473" s="5" t="s">
        <v>206</v>
      </c>
      <c r="D6473" s="3" t="s">
        <v>68</v>
      </c>
      <c r="E6473" s="3" t="s">
        <v>100</v>
      </c>
      <c r="F6473" s="7">
        <v>45874.76694541288</v>
      </c>
      <c r="G6473" s="3" t="s">
        <v>18948</v>
      </c>
    </row>
    <row r="6474">
      <c r="A6474" s="3" t="s">
        <v>18949</v>
      </c>
      <c r="B6474" s="3" t="s">
        <v>6081</v>
      </c>
      <c r="C6474" s="5" t="s">
        <v>45</v>
      </c>
      <c r="D6474" s="3" t="s">
        <v>221</v>
      </c>
      <c r="E6474" s="3" t="s">
        <v>913</v>
      </c>
      <c r="F6474" s="7">
        <v>45874.82770359163</v>
      </c>
      <c r="G6474" s="3" t="s">
        <v>18951</v>
      </c>
    </row>
    <row r="6475">
      <c r="A6475" s="3" t="s">
        <v>18952</v>
      </c>
      <c r="B6475" s="3" t="s">
        <v>6081</v>
      </c>
      <c r="C6475" s="5" t="s">
        <v>221</v>
      </c>
      <c r="D6475" s="3" t="s">
        <v>614</v>
      </c>
      <c r="E6475" s="3" t="s">
        <v>118</v>
      </c>
      <c r="F6475" s="7">
        <v>45874.83117581385</v>
      </c>
      <c r="G6475" s="3" t="s">
        <v>18954</v>
      </c>
    </row>
    <row r="6476">
      <c r="A6476" s="3" t="s">
        <v>18955</v>
      </c>
      <c r="B6476" s="3" t="s">
        <v>6081</v>
      </c>
      <c r="C6476" s="5" t="s">
        <v>614</v>
      </c>
      <c r="D6476" s="3" t="s">
        <v>206</v>
      </c>
      <c r="E6476" s="3" t="s">
        <v>100</v>
      </c>
      <c r="F6476" s="7">
        <v>45874.83464803608</v>
      </c>
      <c r="G6476" s="3" t="s">
        <v>18956</v>
      </c>
    </row>
    <row r="6477">
      <c r="A6477" s="3" t="s">
        <v>18958</v>
      </c>
      <c r="B6477" s="3" t="s">
        <v>6081</v>
      </c>
      <c r="C6477" s="5" t="s">
        <v>206</v>
      </c>
      <c r="D6477" s="3" t="s">
        <v>68</v>
      </c>
      <c r="E6477" s="3" t="s">
        <v>100</v>
      </c>
      <c r="F6477" s="7">
        <v>45874.8381202583</v>
      </c>
      <c r="G6477" s="3" t="s">
        <v>18959</v>
      </c>
    </row>
    <row r="6478">
      <c r="A6478" s="3" t="s">
        <v>18960</v>
      </c>
      <c r="B6478" s="3" t="s">
        <v>6083</v>
      </c>
      <c r="C6478" s="5" t="s">
        <v>45</v>
      </c>
      <c r="D6478" s="3" t="s">
        <v>221</v>
      </c>
      <c r="E6478" s="3" t="s">
        <v>637</v>
      </c>
      <c r="F6478" s="7">
        <v>45874.898878437045</v>
      </c>
      <c r="G6478" s="3" t="s">
        <v>2878</v>
      </c>
    </row>
    <row r="6479">
      <c r="A6479" s="3" t="s">
        <v>18962</v>
      </c>
      <c r="B6479" s="3" t="s">
        <v>6083</v>
      </c>
      <c r="C6479" s="5" t="s">
        <v>221</v>
      </c>
      <c r="D6479" s="3" t="s">
        <v>614</v>
      </c>
      <c r="E6479" s="3" t="s">
        <v>118</v>
      </c>
      <c r="F6479" s="7">
        <v>45874.902350659264</v>
      </c>
      <c r="G6479" s="3" t="s">
        <v>2881</v>
      </c>
    </row>
    <row r="6480">
      <c r="A6480" s="3" t="s">
        <v>18964</v>
      </c>
      <c r="B6480" s="3" t="s">
        <v>6083</v>
      </c>
      <c r="C6480" s="5" t="s">
        <v>614</v>
      </c>
      <c r="D6480" s="3" t="s">
        <v>206</v>
      </c>
      <c r="E6480" s="3" t="s">
        <v>100</v>
      </c>
      <c r="F6480" s="7">
        <v>45874.90582288149</v>
      </c>
      <c r="G6480" s="3" t="s">
        <v>2884</v>
      </c>
    </row>
    <row r="6481">
      <c r="A6481" s="3" t="s">
        <v>18966</v>
      </c>
      <c r="B6481" s="3" t="s">
        <v>6083</v>
      </c>
      <c r="C6481" s="5" t="s">
        <v>206</v>
      </c>
      <c r="D6481" s="3" t="s">
        <v>68</v>
      </c>
      <c r="E6481" s="3" t="s">
        <v>100</v>
      </c>
      <c r="F6481" s="7">
        <v>45874.90929510371</v>
      </c>
      <c r="G6481" s="3" t="s">
        <v>2887</v>
      </c>
    </row>
    <row r="6482">
      <c r="A6482" s="3" t="s">
        <v>18968</v>
      </c>
      <c r="B6482" s="3" t="s">
        <v>6085</v>
      </c>
      <c r="C6482" s="5" t="s">
        <v>45</v>
      </c>
      <c r="D6482" s="3" t="s">
        <v>221</v>
      </c>
      <c r="E6482" s="3" t="s">
        <v>615</v>
      </c>
      <c r="F6482" s="7">
        <v>45874.97005328246</v>
      </c>
      <c r="G6482" s="3" t="s">
        <v>9548</v>
      </c>
    </row>
    <row r="6483">
      <c r="A6483" s="3" t="s">
        <v>18971</v>
      </c>
      <c r="B6483" s="3" t="s">
        <v>6085</v>
      </c>
      <c r="C6483" s="5" t="s">
        <v>221</v>
      </c>
      <c r="D6483" s="3" t="s">
        <v>195</v>
      </c>
      <c r="E6483" s="3" t="s">
        <v>615</v>
      </c>
      <c r="F6483" s="7">
        <v>45874.973525504676</v>
      </c>
      <c r="G6483" s="3" t="s">
        <v>18973</v>
      </c>
    </row>
    <row r="6484">
      <c r="A6484" s="3" t="s">
        <v>18974</v>
      </c>
      <c r="B6484" s="3" t="s">
        <v>6089</v>
      </c>
      <c r="C6484" s="5" t="s">
        <v>45</v>
      </c>
      <c r="D6484" s="3" t="s">
        <v>221</v>
      </c>
      <c r="E6484" s="3" t="s">
        <v>449</v>
      </c>
      <c r="F6484" s="7">
        <v>45875.04122812788</v>
      </c>
      <c r="G6484" s="3" t="s">
        <v>18976</v>
      </c>
    </row>
    <row r="6485">
      <c r="A6485" s="3" t="s">
        <v>18978</v>
      </c>
      <c r="B6485" s="3" t="s">
        <v>6089</v>
      </c>
      <c r="C6485" s="5" t="s">
        <v>221</v>
      </c>
      <c r="D6485" s="3" t="s">
        <v>614</v>
      </c>
      <c r="E6485" s="3" t="s">
        <v>118</v>
      </c>
      <c r="F6485" s="7">
        <v>45875.044700350096</v>
      </c>
      <c r="G6485" s="3" t="s">
        <v>18980</v>
      </c>
    </row>
    <row r="6486">
      <c r="A6486" s="3" t="s">
        <v>18981</v>
      </c>
      <c r="B6486" s="3" t="s">
        <v>6089</v>
      </c>
      <c r="C6486" s="5" t="s">
        <v>614</v>
      </c>
      <c r="D6486" s="3" t="s">
        <v>206</v>
      </c>
      <c r="E6486" s="3" t="s">
        <v>100</v>
      </c>
      <c r="F6486" s="7">
        <v>45875.04817257232</v>
      </c>
      <c r="G6486" s="3" t="s">
        <v>18983</v>
      </c>
    </row>
    <row r="6487">
      <c r="A6487" s="3" t="s">
        <v>18984</v>
      </c>
      <c r="B6487" s="3" t="s">
        <v>6089</v>
      </c>
      <c r="C6487" s="5" t="s">
        <v>206</v>
      </c>
      <c r="D6487" s="3" t="s">
        <v>68</v>
      </c>
      <c r="E6487" s="3" t="s">
        <v>100</v>
      </c>
      <c r="F6487" s="7">
        <v>45875.05164479454</v>
      </c>
      <c r="G6487" s="3" t="s">
        <v>18986</v>
      </c>
    </row>
    <row r="6488">
      <c r="A6488" s="3" t="s">
        <v>18987</v>
      </c>
      <c r="B6488" s="3" t="s">
        <v>6092</v>
      </c>
      <c r="C6488" s="5" t="s">
        <v>45</v>
      </c>
      <c r="D6488" s="3" t="s">
        <v>221</v>
      </c>
      <c r="E6488" s="3" t="s">
        <v>287</v>
      </c>
      <c r="F6488" s="7">
        <v>45875.1124029733</v>
      </c>
      <c r="G6488" s="3" t="s">
        <v>2893</v>
      </c>
    </row>
    <row r="6489">
      <c r="A6489" s="3" t="s">
        <v>18989</v>
      </c>
      <c r="B6489" s="3" t="s">
        <v>6092</v>
      </c>
      <c r="C6489" s="5" t="s">
        <v>221</v>
      </c>
      <c r="D6489" s="3" t="s">
        <v>614</v>
      </c>
      <c r="E6489" s="3" t="s">
        <v>118</v>
      </c>
      <c r="F6489" s="7">
        <v>45875.115875195515</v>
      </c>
      <c r="G6489" s="3" t="s">
        <v>2896</v>
      </c>
    </row>
    <row r="6490">
      <c r="A6490" s="3" t="s">
        <v>18991</v>
      </c>
      <c r="B6490" s="3" t="s">
        <v>6092</v>
      </c>
      <c r="C6490" s="5" t="s">
        <v>614</v>
      </c>
      <c r="D6490" s="3" t="s">
        <v>206</v>
      </c>
      <c r="E6490" s="3" t="s">
        <v>100</v>
      </c>
      <c r="F6490" s="7">
        <v>45875.11934741774</v>
      </c>
      <c r="G6490" s="3" t="s">
        <v>2899</v>
      </c>
    </row>
    <row r="6491">
      <c r="A6491" s="3" t="s">
        <v>18993</v>
      </c>
      <c r="B6491" s="3" t="s">
        <v>6092</v>
      </c>
      <c r="C6491" s="5" t="s">
        <v>206</v>
      </c>
      <c r="D6491" s="3" t="s">
        <v>68</v>
      </c>
      <c r="E6491" s="3" t="s">
        <v>100</v>
      </c>
      <c r="F6491" s="7">
        <v>45875.12281963996</v>
      </c>
      <c r="G6491" s="3" t="s">
        <v>2902</v>
      </c>
    </row>
    <row r="6492">
      <c r="A6492" s="3" t="s">
        <v>18995</v>
      </c>
      <c r="B6492" s="3" t="s">
        <v>6096</v>
      </c>
      <c r="C6492" s="5" t="s">
        <v>45</v>
      </c>
      <c r="D6492" s="3" t="s">
        <v>221</v>
      </c>
      <c r="E6492" s="3" t="s">
        <v>629</v>
      </c>
      <c r="F6492" s="7">
        <v>45875.1835778187</v>
      </c>
      <c r="G6492" s="3" t="s">
        <v>12226</v>
      </c>
    </row>
    <row r="6493">
      <c r="A6493" s="3" t="s">
        <v>18997</v>
      </c>
      <c r="B6493" s="3" t="s">
        <v>6096</v>
      </c>
      <c r="C6493" s="5" t="s">
        <v>221</v>
      </c>
      <c r="D6493" s="3" t="s">
        <v>614</v>
      </c>
      <c r="E6493" s="3" t="s">
        <v>118</v>
      </c>
      <c r="F6493" s="7">
        <v>45875.18705004092</v>
      </c>
      <c r="G6493" s="3" t="s">
        <v>12229</v>
      </c>
    </row>
    <row r="6494">
      <c r="A6494" s="3" t="s">
        <v>18998</v>
      </c>
      <c r="B6494" s="3" t="s">
        <v>6096</v>
      </c>
      <c r="C6494" s="5" t="s">
        <v>614</v>
      </c>
      <c r="D6494" s="3" t="s">
        <v>206</v>
      </c>
      <c r="E6494" s="3" t="s">
        <v>100</v>
      </c>
      <c r="F6494" s="7">
        <v>45875.19052226315</v>
      </c>
      <c r="G6494" s="3" t="s">
        <v>12232</v>
      </c>
    </row>
    <row r="6495">
      <c r="A6495" s="3" t="s">
        <v>19000</v>
      </c>
      <c r="B6495" s="3" t="s">
        <v>6096</v>
      </c>
      <c r="C6495" s="5" t="s">
        <v>206</v>
      </c>
      <c r="D6495" s="3" t="s">
        <v>68</v>
      </c>
      <c r="E6495" s="3" t="s">
        <v>100</v>
      </c>
      <c r="F6495" s="7">
        <v>45875.193994485366</v>
      </c>
      <c r="G6495" s="3" t="s">
        <v>12235</v>
      </c>
    </row>
    <row r="6496">
      <c r="A6496" s="3" t="s">
        <v>19002</v>
      </c>
      <c r="B6496" s="3" t="s">
        <v>6099</v>
      </c>
      <c r="C6496" s="5" t="s">
        <v>45</v>
      </c>
      <c r="D6496" s="3" t="s">
        <v>221</v>
      </c>
      <c r="E6496" s="3" t="s">
        <v>202</v>
      </c>
      <c r="F6496" s="7">
        <v>45875.25475266412</v>
      </c>
      <c r="G6496" s="3" t="s">
        <v>2905</v>
      </c>
    </row>
    <row r="6497">
      <c r="A6497" s="3" t="s">
        <v>19004</v>
      </c>
      <c r="B6497" s="3" t="s">
        <v>6099</v>
      </c>
      <c r="C6497" s="5" t="s">
        <v>221</v>
      </c>
      <c r="D6497" s="3" t="s">
        <v>614</v>
      </c>
      <c r="E6497" s="3" t="s">
        <v>118</v>
      </c>
      <c r="F6497" s="7">
        <v>45875.25822488634</v>
      </c>
      <c r="G6497" s="3" t="s">
        <v>2908</v>
      </c>
    </row>
    <row r="6498">
      <c r="A6498" s="3" t="s">
        <v>19006</v>
      </c>
      <c r="B6498" s="3" t="s">
        <v>6099</v>
      </c>
      <c r="C6498" s="5" t="s">
        <v>614</v>
      </c>
      <c r="D6498" s="3" t="s">
        <v>206</v>
      </c>
      <c r="E6498" s="3" t="s">
        <v>100</v>
      </c>
      <c r="F6498" s="7">
        <v>45875.261697108566</v>
      </c>
      <c r="G6498" s="3" t="s">
        <v>2911</v>
      </c>
    </row>
    <row r="6499">
      <c r="A6499" s="3" t="s">
        <v>19008</v>
      </c>
      <c r="B6499" s="3" t="s">
        <v>6099</v>
      </c>
      <c r="C6499" s="5" t="s">
        <v>206</v>
      </c>
      <c r="D6499" s="3" t="s">
        <v>68</v>
      </c>
      <c r="E6499" s="3" t="s">
        <v>100</v>
      </c>
      <c r="F6499" s="7">
        <v>45875.265169330785</v>
      </c>
      <c r="G6499" s="3" t="s">
        <v>2914</v>
      </c>
    </row>
    <row r="6500">
      <c r="A6500" s="3" t="s">
        <v>19009</v>
      </c>
      <c r="B6500" s="3" t="s">
        <v>6102</v>
      </c>
      <c r="C6500" s="5" t="s">
        <v>45</v>
      </c>
      <c r="D6500" s="3" t="s">
        <v>221</v>
      </c>
      <c r="E6500" s="3" t="s">
        <v>612</v>
      </c>
      <c r="F6500" s="7">
        <v>45875.32592750954</v>
      </c>
      <c r="G6500" s="3" t="s">
        <v>2916</v>
      </c>
    </row>
    <row r="6501">
      <c r="A6501" s="3" t="s">
        <v>19011</v>
      </c>
      <c r="B6501" s="3" t="s">
        <v>6102</v>
      </c>
      <c r="C6501" s="5" t="s">
        <v>221</v>
      </c>
      <c r="D6501" s="3" t="s">
        <v>614</v>
      </c>
      <c r="E6501" s="3" t="s">
        <v>118</v>
      </c>
      <c r="F6501" s="7">
        <v>45875.32939973176</v>
      </c>
      <c r="G6501" s="3" t="s">
        <v>2919</v>
      </c>
    </row>
    <row r="6502">
      <c r="A6502" s="3" t="s">
        <v>19013</v>
      </c>
      <c r="B6502" s="3" t="s">
        <v>6102</v>
      </c>
      <c r="C6502" s="5" t="s">
        <v>614</v>
      </c>
      <c r="D6502" s="3" t="s">
        <v>206</v>
      </c>
      <c r="E6502" s="3" t="s">
        <v>100</v>
      </c>
      <c r="F6502" s="7">
        <v>45875.332871953986</v>
      </c>
      <c r="G6502" s="3" t="s">
        <v>2923</v>
      </c>
    </row>
    <row r="6503">
      <c r="A6503" s="3" t="s">
        <v>19015</v>
      </c>
      <c r="B6503" s="3" t="s">
        <v>6102</v>
      </c>
      <c r="C6503" s="5" t="s">
        <v>206</v>
      </c>
      <c r="D6503" s="3" t="s">
        <v>68</v>
      </c>
      <c r="E6503" s="3" t="s">
        <v>100</v>
      </c>
      <c r="F6503" s="7">
        <v>45875.336344176205</v>
      </c>
      <c r="G6503" s="3" t="s">
        <v>2926</v>
      </c>
    </row>
    <row r="6504">
      <c r="A6504" s="3" t="s">
        <v>19017</v>
      </c>
      <c r="B6504" s="3" t="s">
        <v>6105</v>
      </c>
      <c r="C6504" s="5" t="s">
        <v>45</v>
      </c>
      <c r="D6504" s="3" t="s">
        <v>221</v>
      </c>
      <c r="E6504" s="3" t="s">
        <v>615</v>
      </c>
      <c r="F6504" s="7">
        <v>45875.39710235495</v>
      </c>
      <c r="G6504" s="3" t="s">
        <v>9548</v>
      </c>
    </row>
    <row r="6505">
      <c r="A6505" s="3" t="s">
        <v>19019</v>
      </c>
      <c r="B6505" s="3" t="s">
        <v>6105</v>
      </c>
      <c r="C6505" s="5" t="s">
        <v>221</v>
      </c>
      <c r="D6505" s="3" t="s">
        <v>614</v>
      </c>
      <c r="E6505" s="3" t="s">
        <v>118</v>
      </c>
      <c r="F6505" s="7">
        <v>45875.40057457717</v>
      </c>
      <c r="G6505" s="3" t="s">
        <v>9551</v>
      </c>
    </row>
    <row r="6506">
      <c r="A6506" s="3" t="s">
        <v>19021</v>
      </c>
      <c r="B6506" s="3" t="s">
        <v>6105</v>
      </c>
      <c r="C6506" s="5" t="s">
        <v>614</v>
      </c>
      <c r="D6506" s="3" t="s">
        <v>206</v>
      </c>
      <c r="E6506" s="3" t="s">
        <v>100</v>
      </c>
      <c r="F6506" s="7">
        <v>45875.4040467994</v>
      </c>
      <c r="G6506" s="3" t="s">
        <v>9553</v>
      </c>
    </row>
    <row r="6507">
      <c r="A6507" s="3" t="s">
        <v>19023</v>
      </c>
      <c r="B6507" s="3" t="s">
        <v>6105</v>
      </c>
      <c r="C6507" s="5" t="s">
        <v>206</v>
      </c>
      <c r="D6507" s="3" t="s">
        <v>68</v>
      </c>
      <c r="E6507" s="3" t="s">
        <v>100</v>
      </c>
      <c r="F6507" s="7">
        <v>45875.40751902162</v>
      </c>
      <c r="G6507" s="3" t="s">
        <v>9555</v>
      </c>
    </row>
    <row r="6508">
      <c r="A6508" s="3" t="s">
        <v>19026</v>
      </c>
      <c r="B6508" s="3" t="s">
        <v>6108</v>
      </c>
      <c r="C6508" s="5" t="s">
        <v>45</v>
      </c>
      <c r="D6508" s="3" t="s">
        <v>221</v>
      </c>
      <c r="E6508" s="3" t="s">
        <v>758</v>
      </c>
      <c r="F6508" s="7">
        <v>45875.468277200365</v>
      </c>
      <c r="G6508" s="3" t="s">
        <v>2929</v>
      </c>
    </row>
    <row r="6509">
      <c r="A6509" s="3" t="s">
        <v>19028</v>
      </c>
      <c r="B6509" s="3" t="s">
        <v>6108</v>
      </c>
      <c r="C6509" s="5" t="s">
        <v>221</v>
      </c>
      <c r="D6509" s="3" t="s">
        <v>614</v>
      </c>
      <c r="E6509" s="3" t="s">
        <v>118</v>
      </c>
      <c r="F6509" s="7">
        <v>45875.471749422584</v>
      </c>
      <c r="G6509" s="3" t="s">
        <v>2931</v>
      </c>
    </row>
    <row r="6510">
      <c r="A6510" s="3" t="s">
        <v>19030</v>
      </c>
      <c r="B6510" s="3" t="s">
        <v>6108</v>
      </c>
      <c r="C6510" s="5" t="s">
        <v>614</v>
      </c>
      <c r="D6510" s="3" t="s">
        <v>206</v>
      </c>
      <c r="E6510" s="3" t="s">
        <v>100</v>
      </c>
      <c r="F6510" s="7">
        <v>45875.47522164481</v>
      </c>
      <c r="G6510" s="3" t="s">
        <v>2934</v>
      </c>
    </row>
    <row r="6511">
      <c r="A6511" s="3" t="s">
        <v>19031</v>
      </c>
      <c r="B6511" s="3" t="s">
        <v>6108</v>
      </c>
      <c r="C6511" s="5" t="s">
        <v>206</v>
      </c>
      <c r="D6511" s="3" t="s">
        <v>68</v>
      </c>
      <c r="E6511" s="3" t="s">
        <v>100</v>
      </c>
      <c r="F6511" s="7">
        <v>45875.47869386703</v>
      </c>
      <c r="G6511" s="3" t="s">
        <v>2937</v>
      </c>
    </row>
    <row r="6512">
      <c r="A6512" s="3" t="s">
        <v>19033</v>
      </c>
      <c r="B6512" s="3" t="s">
        <v>6110</v>
      </c>
      <c r="C6512" s="5" t="s">
        <v>45</v>
      </c>
      <c r="D6512" s="3" t="s">
        <v>221</v>
      </c>
      <c r="E6512" s="3" t="s">
        <v>547</v>
      </c>
      <c r="F6512" s="7">
        <v>45875.539452045785</v>
      </c>
      <c r="G6512" s="3" t="s">
        <v>19035</v>
      </c>
    </row>
    <row r="6513">
      <c r="A6513" s="3" t="s">
        <v>19036</v>
      </c>
      <c r="B6513" s="3" t="s">
        <v>6110</v>
      </c>
      <c r="C6513" s="5" t="s">
        <v>221</v>
      </c>
      <c r="D6513" s="3" t="s">
        <v>614</v>
      </c>
      <c r="E6513" s="3" t="s">
        <v>118</v>
      </c>
      <c r="F6513" s="7">
        <v>45875.542924268004</v>
      </c>
      <c r="G6513" s="3" t="s">
        <v>19038</v>
      </c>
    </row>
    <row r="6514">
      <c r="A6514" s="3" t="s">
        <v>19039</v>
      </c>
      <c r="B6514" s="3" t="s">
        <v>6110</v>
      </c>
      <c r="C6514" s="5" t="s">
        <v>614</v>
      </c>
      <c r="D6514" s="3" t="s">
        <v>206</v>
      </c>
      <c r="E6514" s="3" t="s">
        <v>100</v>
      </c>
      <c r="F6514" s="7">
        <v>45875.54639649023</v>
      </c>
      <c r="G6514" s="3" t="s">
        <v>19041</v>
      </c>
    </row>
    <row r="6515">
      <c r="A6515" s="3" t="s">
        <v>19042</v>
      </c>
      <c r="B6515" s="3" t="s">
        <v>6110</v>
      </c>
      <c r="C6515" s="5" t="s">
        <v>206</v>
      </c>
      <c r="D6515" s="3" t="s">
        <v>68</v>
      </c>
      <c r="E6515" s="3" t="s">
        <v>100</v>
      </c>
      <c r="F6515" s="7">
        <v>45875.54986871245</v>
      </c>
      <c r="G6515" s="3" t="s">
        <v>19044</v>
      </c>
    </row>
    <row r="6516">
      <c r="A6516" s="3" t="s">
        <v>19045</v>
      </c>
      <c r="B6516" s="3" t="s">
        <v>6112</v>
      </c>
      <c r="C6516" s="5" t="s">
        <v>45</v>
      </c>
      <c r="D6516" s="3" t="s">
        <v>221</v>
      </c>
      <c r="E6516" s="3" t="s">
        <v>260</v>
      </c>
      <c r="F6516" s="7">
        <v>45875.6106268912</v>
      </c>
      <c r="G6516" s="3" t="s">
        <v>2770</v>
      </c>
    </row>
    <row r="6517">
      <c r="A6517" s="3" t="s">
        <v>19047</v>
      </c>
      <c r="B6517" s="3" t="s">
        <v>6112</v>
      </c>
      <c r="C6517" s="5" t="s">
        <v>221</v>
      </c>
      <c r="D6517" s="3" t="s">
        <v>195</v>
      </c>
      <c r="E6517" s="3" t="s">
        <v>260</v>
      </c>
      <c r="F6517" s="7">
        <v>45875.614099113416</v>
      </c>
      <c r="G6517" s="3" t="s">
        <v>3055</v>
      </c>
    </row>
    <row r="6518">
      <c r="A6518" s="3" t="s">
        <v>19048</v>
      </c>
      <c r="B6518" s="3" t="s">
        <v>6115</v>
      </c>
      <c r="C6518" s="5" t="s">
        <v>45</v>
      </c>
      <c r="D6518" s="3" t="s">
        <v>221</v>
      </c>
      <c r="E6518" s="3" t="s">
        <v>219</v>
      </c>
      <c r="F6518" s="7">
        <v>45875.68180173661</v>
      </c>
      <c r="G6518" s="3" t="s">
        <v>19050</v>
      </c>
    </row>
    <row r="6519">
      <c r="A6519" s="3" t="s">
        <v>19051</v>
      </c>
      <c r="B6519" s="3" t="s">
        <v>6115</v>
      </c>
      <c r="C6519" s="5" t="s">
        <v>221</v>
      </c>
      <c r="D6519" s="3" t="s">
        <v>614</v>
      </c>
      <c r="E6519" s="3" t="s">
        <v>118</v>
      </c>
      <c r="F6519" s="7">
        <v>45875.68527395883</v>
      </c>
      <c r="G6519" s="3" t="s">
        <v>19053</v>
      </c>
    </row>
    <row r="6520">
      <c r="A6520" s="3" t="s">
        <v>19054</v>
      </c>
      <c r="B6520" s="3" t="s">
        <v>6115</v>
      </c>
      <c r="C6520" s="5" t="s">
        <v>614</v>
      </c>
      <c r="D6520" s="3" t="s">
        <v>206</v>
      </c>
      <c r="E6520" s="3" t="s">
        <v>100</v>
      </c>
      <c r="F6520" s="7">
        <v>45875.688746181055</v>
      </c>
      <c r="G6520" s="3" t="s">
        <v>19056</v>
      </c>
    </row>
    <row r="6521">
      <c r="A6521" s="3" t="s">
        <v>19057</v>
      </c>
      <c r="B6521" s="3" t="s">
        <v>6115</v>
      </c>
      <c r="C6521" s="5" t="s">
        <v>206</v>
      </c>
      <c r="D6521" s="3" t="s">
        <v>68</v>
      </c>
      <c r="E6521" s="3" t="s">
        <v>100</v>
      </c>
      <c r="F6521" s="7">
        <v>45875.692218403274</v>
      </c>
      <c r="G6521" s="3" t="s">
        <v>19059</v>
      </c>
    </row>
    <row r="6522">
      <c r="A6522" s="3" t="s">
        <v>19060</v>
      </c>
      <c r="B6522" s="3" t="s">
        <v>6117</v>
      </c>
      <c r="C6522" s="5" t="s">
        <v>45</v>
      </c>
      <c r="D6522" s="3" t="s">
        <v>221</v>
      </c>
      <c r="E6522" s="3" t="s">
        <v>299</v>
      </c>
      <c r="F6522" s="7">
        <v>45875.75297658203</v>
      </c>
      <c r="G6522" s="3" t="s">
        <v>19062</v>
      </c>
    </row>
    <row r="6523">
      <c r="A6523" s="3" t="s">
        <v>19063</v>
      </c>
      <c r="B6523" s="3" t="s">
        <v>6117</v>
      </c>
      <c r="C6523" s="5" t="s">
        <v>221</v>
      </c>
      <c r="D6523" s="3" t="s">
        <v>181</v>
      </c>
      <c r="E6523" s="3" t="s">
        <v>118</v>
      </c>
      <c r="F6523" s="7">
        <v>45875.75644880425</v>
      </c>
      <c r="G6523" s="3" t="s">
        <v>19064</v>
      </c>
    </row>
    <row r="6524">
      <c r="A6524" s="3" t="s">
        <v>19065</v>
      </c>
      <c r="B6524" s="3" t="s">
        <v>6119</v>
      </c>
      <c r="C6524" s="5" t="s">
        <v>45</v>
      </c>
      <c r="D6524" s="3" t="s">
        <v>221</v>
      </c>
      <c r="E6524" s="3" t="s">
        <v>290</v>
      </c>
      <c r="F6524" s="7">
        <v>45875.82415142744</v>
      </c>
      <c r="G6524" s="3" t="s">
        <v>15520</v>
      </c>
    </row>
    <row r="6525">
      <c r="A6525" s="3" t="s">
        <v>19067</v>
      </c>
      <c r="B6525" s="3" t="s">
        <v>6119</v>
      </c>
      <c r="C6525" s="5" t="s">
        <v>221</v>
      </c>
      <c r="D6525" s="3" t="s">
        <v>614</v>
      </c>
      <c r="E6525" s="3" t="s">
        <v>118</v>
      </c>
      <c r="F6525" s="7">
        <v>45875.82762364966</v>
      </c>
      <c r="G6525" s="3" t="s">
        <v>15523</v>
      </c>
    </row>
    <row r="6526">
      <c r="A6526" s="3" t="s">
        <v>19069</v>
      </c>
      <c r="B6526" s="3" t="s">
        <v>6119</v>
      </c>
      <c r="C6526" s="5" t="s">
        <v>614</v>
      </c>
      <c r="D6526" s="3" t="s">
        <v>206</v>
      </c>
      <c r="E6526" s="3" t="s">
        <v>100</v>
      </c>
      <c r="F6526" s="7">
        <v>45875.83109587189</v>
      </c>
      <c r="G6526" s="3" t="s">
        <v>15526</v>
      </c>
    </row>
    <row r="6527">
      <c r="A6527" s="3" t="s">
        <v>19071</v>
      </c>
      <c r="B6527" s="3" t="s">
        <v>6119</v>
      </c>
      <c r="C6527" s="5" t="s">
        <v>206</v>
      </c>
      <c r="D6527" s="3" t="s">
        <v>68</v>
      </c>
      <c r="E6527" s="3" t="s">
        <v>100</v>
      </c>
      <c r="F6527" s="7">
        <v>45875.834568094106</v>
      </c>
      <c r="G6527" s="3" t="s">
        <v>15528</v>
      </c>
    </row>
    <row r="6528">
      <c r="A6528" s="3" t="s">
        <v>19073</v>
      </c>
      <c r="B6528" s="3" t="s">
        <v>6122</v>
      </c>
      <c r="C6528" s="5" t="s">
        <v>45</v>
      </c>
      <c r="D6528" s="3" t="s">
        <v>221</v>
      </c>
      <c r="E6528" s="3" t="s">
        <v>485</v>
      </c>
      <c r="F6528" s="7">
        <v>45875.895326272854</v>
      </c>
      <c r="G6528" s="3" t="s">
        <v>17074</v>
      </c>
    </row>
    <row r="6529">
      <c r="A6529" s="3" t="s">
        <v>19075</v>
      </c>
      <c r="B6529" s="3" t="s">
        <v>6122</v>
      </c>
      <c r="C6529" s="5" t="s">
        <v>221</v>
      </c>
      <c r="D6529" s="3" t="s">
        <v>195</v>
      </c>
      <c r="E6529" s="3" t="s">
        <v>485</v>
      </c>
      <c r="F6529" s="7">
        <v>45875.89879849507</v>
      </c>
      <c r="G6529" s="3" t="s">
        <v>19077</v>
      </c>
    </row>
    <row r="6530">
      <c r="A6530" s="3" t="s">
        <v>19078</v>
      </c>
      <c r="B6530" s="3" t="s">
        <v>6125</v>
      </c>
      <c r="C6530" s="5" t="s">
        <v>45</v>
      </c>
      <c r="D6530" s="3" t="s">
        <v>221</v>
      </c>
      <c r="E6530" s="3" t="s">
        <v>344</v>
      </c>
      <c r="F6530" s="7">
        <v>45875.96650111827</v>
      </c>
      <c r="G6530" s="3" t="s">
        <v>15196</v>
      </c>
    </row>
    <row r="6531">
      <c r="A6531" s="3" t="s">
        <v>19080</v>
      </c>
      <c r="B6531" s="3" t="s">
        <v>6125</v>
      </c>
      <c r="C6531" s="5" t="s">
        <v>221</v>
      </c>
      <c r="D6531" s="3" t="s">
        <v>614</v>
      </c>
      <c r="E6531" s="3" t="s">
        <v>118</v>
      </c>
      <c r="F6531" s="7">
        <v>45875.96997334049</v>
      </c>
      <c r="G6531" s="3" t="s">
        <v>15199</v>
      </c>
    </row>
    <row r="6532">
      <c r="A6532" s="3" t="s">
        <v>19082</v>
      </c>
      <c r="B6532" s="3" t="s">
        <v>6125</v>
      </c>
      <c r="C6532" s="5" t="s">
        <v>614</v>
      </c>
      <c r="D6532" s="3" t="s">
        <v>206</v>
      </c>
      <c r="E6532" s="3" t="s">
        <v>100</v>
      </c>
      <c r="F6532" s="7">
        <v>45875.97344556272</v>
      </c>
      <c r="G6532" s="3" t="s">
        <v>15203</v>
      </c>
    </row>
    <row r="6533">
      <c r="A6533" s="3" t="s">
        <v>19083</v>
      </c>
      <c r="B6533" s="3" t="s">
        <v>6125</v>
      </c>
      <c r="C6533" s="5" t="s">
        <v>206</v>
      </c>
      <c r="D6533" s="3" t="s">
        <v>68</v>
      </c>
      <c r="E6533" s="3" t="s">
        <v>100</v>
      </c>
      <c r="F6533" s="7">
        <v>45875.97691778494</v>
      </c>
      <c r="G6533" s="3" t="s">
        <v>15206</v>
      </c>
    </row>
    <row r="6534">
      <c r="A6534" s="3" t="s">
        <v>19085</v>
      </c>
      <c r="B6534" s="3" t="s">
        <v>6126</v>
      </c>
      <c r="C6534" s="5" t="s">
        <v>45</v>
      </c>
      <c r="D6534" s="3" t="s">
        <v>221</v>
      </c>
      <c r="E6534" s="3" t="s">
        <v>475</v>
      </c>
      <c r="F6534" s="7">
        <v>45876.037675963686</v>
      </c>
      <c r="G6534" s="3" t="s">
        <v>19087</v>
      </c>
    </row>
    <row r="6535">
      <c r="A6535" s="3" t="s">
        <v>19088</v>
      </c>
      <c r="B6535" s="3" t="s">
        <v>6126</v>
      </c>
      <c r="C6535" s="5" t="s">
        <v>221</v>
      </c>
      <c r="D6535" s="3" t="s">
        <v>614</v>
      </c>
      <c r="E6535" s="3" t="s">
        <v>118</v>
      </c>
      <c r="F6535" s="7">
        <v>45876.041148185905</v>
      </c>
      <c r="G6535" s="3" t="s">
        <v>19090</v>
      </c>
    </row>
    <row r="6536">
      <c r="A6536" s="3" t="s">
        <v>19091</v>
      </c>
      <c r="B6536" s="3" t="s">
        <v>6126</v>
      </c>
      <c r="C6536" s="5" t="s">
        <v>614</v>
      </c>
      <c r="D6536" s="3" t="s">
        <v>206</v>
      </c>
      <c r="E6536" s="3" t="s">
        <v>100</v>
      </c>
      <c r="F6536" s="7">
        <v>45876.04462040813</v>
      </c>
      <c r="G6536" s="3" t="s">
        <v>19093</v>
      </c>
    </row>
    <row r="6537">
      <c r="A6537" s="3" t="s">
        <v>19094</v>
      </c>
      <c r="B6537" s="3" t="s">
        <v>6126</v>
      </c>
      <c r="C6537" s="5" t="s">
        <v>206</v>
      </c>
      <c r="D6537" s="3" t="s">
        <v>68</v>
      </c>
      <c r="E6537" s="3" t="s">
        <v>100</v>
      </c>
      <c r="F6537" s="7">
        <v>45876.04809263035</v>
      </c>
      <c r="G6537" s="3" t="s">
        <v>19096</v>
      </c>
    </row>
    <row r="6538">
      <c r="A6538" s="3" t="s">
        <v>19097</v>
      </c>
      <c r="B6538" s="3" t="s">
        <v>6129</v>
      </c>
      <c r="C6538" s="5" t="s">
        <v>45</v>
      </c>
      <c r="D6538" s="3" t="s">
        <v>221</v>
      </c>
      <c r="E6538" s="3" t="s">
        <v>430</v>
      </c>
      <c r="F6538" s="7">
        <v>45876.1088508091</v>
      </c>
      <c r="G6538" s="3" t="s">
        <v>2944</v>
      </c>
    </row>
    <row r="6539">
      <c r="A6539" s="3" t="s">
        <v>19099</v>
      </c>
      <c r="B6539" s="3" t="s">
        <v>6129</v>
      </c>
      <c r="C6539" s="5" t="s">
        <v>221</v>
      </c>
      <c r="D6539" s="3" t="s">
        <v>614</v>
      </c>
      <c r="E6539" s="3" t="s">
        <v>118</v>
      </c>
      <c r="F6539" s="7">
        <v>45876.11232303132</v>
      </c>
      <c r="G6539" s="3" t="s">
        <v>2948</v>
      </c>
    </row>
    <row r="6540">
      <c r="A6540" s="3" t="s">
        <v>19101</v>
      </c>
      <c r="B6540" s="3" t="s">
        <v>6129</v>
      </c>
      <c r="C6540" s="5" t="s">
        <v>614</v>
      </c>
      <c r="D6540" s="3" t="s">
        <v>206</v>
      </c>
      <c r="E6540" s="3" t="s">
        <v>100</v>
      </c>
      <c r="F6540" s="7">
        <v>45876.11579525354</v>
      </c>
      <c r="G6540" s="3" t="s">
        <v>2950</v>
      </c>
    </row>
    <row r="6541">
      <c r="A6541" s="3" t="s">
        <v>19103</v>
      </c>
      <c r="B6541" s="3" t="s">
        <v>6129</v>
      </c>
      <c r="C6541" s="5" t="s">
        <v>206</v>
      </c>
      <c r="D6541" s="3" t="s">
        <v>68</v>
      </c>
      <c r="E6541" s="3" t="s">
        <v>100</v>
      </c>
      <c r="F6541" s="7">
        <v>45876.11926747576</v>
      </c>
      <c r="G6541" s="3" t="s">
        <v>2953</v>
      </c>
    </row>
    <row r="6542">
      <c r="A6542" s="3" t="s">
        <v>19105</v>
      </c>
      <c r="B6542" s="3" t="s">
        <v>6132</v>
      </c>
      <c r="C6542" s="5" t="s">
        <v>45</v>
      </c>
      <c r="D6542" s="3" t="s">
        <v>221</v>
      </c>
      <c r="E6542" s="3" t="s">
        <v>731</v>
      </c>
      <c r="F6542" s="7">
        <v>45876.18002565452</v>
      </c>
      <c r="G6542" s="3" t="s">
        <v>17271</v>
      </c>
    </row>
    <row r="6543">
      <c r="A6543" s="3" t="s">
        <v>19106</v>
      </c>
      <c r="B6543" s="3" t="s">
        <v>6132</v>
      </c>
      <c r="C6543" s="5" t="s">
        <v>221</v>
      </c>
      <c r="D6543" s="3" t="s">
        <v>614</v>
      </c>
      <c r="E6543" s="3" t="s">
        <v>118</v>
      </c>
      <c r="F6543" s="7">
        <v>45876.18349787674</v>
      </c>
      <c r="G6543" s="3" t="s">
        <v>17274</v>
      </c>
    </row>
    <row r="6544">
      <c r="A6544" s="3" t="s">
        <v>19108</v>
      </c>
      <c r="B6544" s="3" t="s">
        <v>6132</v>
      </c>
      <c r="C6544" s="5" t="s">
        <v>614</v>
      </c>
      <c r="D6544" s="3" t="s">
        <v>206</v>
      </c>
      <c r="E6544" s="3" t="s">
        <v>100</v>
      </c>
      <c r="F6544" s="7">
        <v>45876.18697009896</v>
      </c>
      <c r="G6544" s="3" t="s">
        <v>17277</v>
      </c>
    </row>
    <row r="6545">
      <c r="A6545" s="3" t="s">
        <v>19110</v>
      </c>
      <c r="B6545" s="3" t="s">
        <v>6132</v>
      </c>
      <c r="C6545" s="5" t="s">
        <v>206</v>
      </c>
      <c r="D6545" s="3" t="s">
        <v>68</v>
      </c>
      <c r="E6545" s="3" t="s">
        <v>100</v>
      </c>
      <c r="F6545" s="7">
        <v>45876.19044232118</v>
      </c>
      <c r="G6545" s="3" t="s">
        <v>17280</v>
      </c>
    </row>
    <row r="6546">
      <c r="A6546" s="3" t="s">
        <v>19111</v>
      </c>
      <c r="B6546" s="3" t="s">
        <v>6135</v>
      </c>
      <c r="C6546" s="5" t="s">
        <v>45</v>
      </c>
      <c r="D6546" s="3" t="s">
        <v>221</v>
      </c>
      <c r="E6546" s="3" t="s">
        <v>276</v>
      </c>
      <c r="F6546" s="7">
        <v>45876.25120049994</v>
      </c>
      <c r="G6546" s="3" t="s">
        <v>2956</v>
      </c>
    </row>
    <row r="6547">
      <c r="A6547" s="3" t="s">
        <v>19114</v>
      </c>
      <c r="B6547" s="3" t="s">
        <v>6135</v>
      </c>
      <c r="C6547" s="5" t="s">
        <v>221</v>
      </c>
      <c r="D6547" s="3" t="s">
        <v>614</v>
      </c>
      <c r="E6547" s="3" t="s">
        <v>118</v>
      </c>
      <c r="F6547" s="7">
        <v>45876.254672722156</v>
      </c>
      <c r="G6547" s="3" t="s">
        <v>2959</v>
      </c>
    </row>
    <row r="6548">
      <c r="A6548" s="3" t="s">
        <v>19116</v>
      </c>
      <c r="B6548" s="3" t="s">
        <v>6135</v>
      </c>
      <c r="C6548" s="5" t="s">
        <v>614</v>
      </c>
      <c r="D6548" s="3" t="s">
        <v>206</v>
      </c>
      <c r="E6548" s="3" t="s">
        <v>100</v>
      </c>
      <c r="F6548" s="7">
        <v>45876.25814494438</v>
      </c>
      <c r="G6548" s="3" t="s">
        <v>2962</v>
      </c>
    </row>
    <row r="6549">
      <c r="A6549" s="3" t="s">
        <v>19118</v>
      </c>
      <c r="B6549" s="3" t="s">
        <v>6135</v>
      </c>
      <c r="C6549" s="5" t="s">
        <v>206</v>
      </c>
      <c r="D6549" s="3" t="s">
        <v>68</v>
      </c>
      <c r="E6549" s="3" t="s">
        <v>100</v>
      </c>
      <c r="F6549" s="7">
        <v>45876.2616171666</v>
      </c>
      <c r="G6549" s="3" t="s">
        <v>2965</v>
      </c>
    </row>
    <row r="6550">
      <c r="A6550" s="3" t="s">
        <v>19120</v>
      </c>
      <c r="B6550" s="3" t="s">
        <v>6136</v>
      </c>
      <c r="C6550" s="5" t="s">
        <v>45</v>
      </c>
      <c r="D6550" s="3" t="s">
        <v>221</v>
      </c>
      <c r="E6550" s="3" t="s">
        <v>596</v>
      </c>
      <c r="F6550" s="7">
        <v>45876.32237534534</v>
      </c>
      <c r="G6550" s="3" t="s">
        <v>2770</v>
      </c>
    </row>
    <row r="6551">
      <c r="A6551" s="3" t="s">
        <v>19121</v>
      </c>
      <c r="B6551" s="3" t="s">
        <v>6136</v>
      </c>
      <c r="C6551" s="5" t="s">
        <v>221</v>
      </c>
      <c r="D6551" s="3" t="s">
        <v>195</v>
      </c>
      <c r="E6551" s="3" t="s">
        <v>596</v>
      </c>
      <c r="F6551" s="7">
        <v>45876.32584756756</v>
      </c>
      <c r="G6551" s="3" t="s">
        <v>3055</v>
      </c>
    </row>
    <row r="6552">
      <c r="A6552" s="3" t="s">
        <v>19123</v>
      </c>
      <c r="B6552" s="3" t="s">
        <v>6138</v>
      </c>
      <c r="C6552" s="5" t="s">
        <v>45</v>
      </c>
      <c r="D6552" s="3" t="s">
        <v>221</v>
      </c>
      <c r="E6552" s="3" t="s">
        <v>961</v>
      </c>
      <c r="F6552" s="7">
        <v>45876.39355019076</v>
      </c>
      <c r="G6552" s="3" t="s">
        <v>19125</v>
      </c>
    </row>
    <row r="6553">
      <c r="A6553" s="3" t="s">
        <v>19126</v>
      </c>
      <c r="B6553" s="3" t="s">
        <v>6138</v>
      </c>
      <c r="C6553" s="5" t="s">
        <v>221</v>
      </c>
      <c r="D6553" s="3" t="s">
        <v>614</v>
      </c>
      <c r="E6553" s="3" t="s">
        <v>118</v>
      </c>
      <c r="F6553" s="7">
        <v>45876.39702241298</v>
      </c>
      <c r="G6553" s="3" t="s">
        <v>19128</v>
      </c>
    </row>
    <row r="6554">
      <c r="A6554" s="3" t="s">
        <v>19129</v>
      </c>
      <c r="B6554" s="3" t="s">
        <v>6138</v>
      </c>
      <c r="C6554" s="5" t="s">
        <v>614</v>
      </c>
      <c r="D6554" s="3" t="s">
        <v>206</v>
      </c>
      <c r="E6554" s="3" t="s">
        <v>100</v>
      </c>
      <c r="F6554" s="7">
        <v>45876.40049463521</v>
      </c>
      <c r="G6554" s="3" t="s">
        <v>19131</v>
      </c>
    </row>
    <row r="6555">
      <c r="A6555" s="3" t="s">
        <v>19132</v>
      </c>
      <c r="B6555" s="3" t="s">
        <v>6138</v>
      </c>
      <c r="C6555" s="5" t="s">
        <v>206</v>
      </c>
      <c r="D6555" s="3" t="s">
        <v>68</v>
      </c>
      <c r="E6555" s="3" t="s">
        <v>100</v>
      </c>
      <c r="F6555" s="7">
        <v>45876.403966857426</v>
      </c>
      <c r="G6555" s="3" t="s">
        <v>19134</v>
      </c>
    </row>
    <row r="6556">
      <c r="A6556" s="3" t="s">
        <v>19135</v>
      </c>
      <c r="B6556" s="3" t="s">
        <v>6140</v>
      </c>
      <c r="C6556" s="5" t="s">
        <v>45</v>
      </c>
      <c r="D6556" s="3" t="s">
        <v>221</v>
      </c>
      <c r="E6556" s="3" t="s">
        <v>742</v>
      </c>
      <c r="F6556" s="7">
        <v>45876.46472503618</v>
      </c>
      <c r="G6556" s="3" t="s">
        <v>19136</v>
      </c>
    </row>
    <row r="6557">
      <c r="A6557" s="3" t="s">
        <v>19138</v>
      </c>
      <c r="B6557" s="3" t="s">
        <v>6140</v>
      </c>
      <c r="C6557" s="5" t="s">
        <v>221</v>
      </c>
      <c r="D6557" s="3" t="s">
        <v>614</v>
      </c>
      <c r="E6557" s="3" t="s">
        <v>118</v>
      </c>
      <c r="F6557" s="7">
        <v>45876.4681972584</v>
      </c>
      <c r="G6557" s="3" t="s">
        <v>19139</v>
      </c>
    </row>
    <row r="6558">
      <c r="A6558" s="3" t="s">
        <v>19140</v>
      </c>
      <c r="B6558" s="3" t="s">
        <v>6140</v>
      </c>
      <c r="C6558" s="5" t="s">
        <v>614</v>
      </c>
      <c r="D6558" s="3" t="s">
        <v>206</v>
      </c>
      <c r="E6558" s="3" t="s">
        <v>100</v>
      </c>
      <c r="F6558" s="7">
        <v>45876.47166948063</v>
      </c>
      <c r="G6558" s="3" t="s">
        <v>19142</v>
      </c>
    </row>
    <row r="6559">
      <c r="A6559" s="3" t="s">
        <v>19143</v>
      </c>
      <c r="B6559" s="3" t="s">
        <v>6140</v>
      </c>
      <c r="C6559" s="5" t="s">
        <v>206</v>
      </c>
      <c r="D6559" s="3" t="s">
        <v>68</v>
      </c>
      <c r="E6559" s="3" t="s">
        <v>100</v>
      </c>
      <c r="F6559" s="7">
        <v>45876.475141702846</v>
      </c>
      <c r="G6559" s="3" t="s">
        <v>19145</v>
      </c>
    </row>
    <row r="6560">
      <c r="A6560" s="3" t="s">
        <v>19146</v>
      </c>
      <c r="B6560" s="3" t="s">
        <v>6142</v>
      </c>
      <c r="C6560" s="5" t="s">
        <v>45</v>
      </c>
      <c r="D6560" s="3" t="s">
        <v>221</v>
      </c>
      <c r="E6560" s="3" t="s">
        <v>631</v>
      </c>
      <c r="F6560" s="7">
        <v>45876.535899881594</v>
      </c>
      <c r="G6560" s="3" t="s">
        <v>19148</v>
      </c>
    </row>
    <row r="6561">
      <c r="A6561" s="3" t="s">
        <v>19149</v>
      </c>
      <c r="B6561" s="3" t="s">
        <v>6142</v>
      </c>
      <c r="C6561" s="5" t="s">
        <v>221</v>
      </c>
      <c r="D6561" s="3" t="s">
        <v>614</v>
      </c>
      <c r="E6561" s="3" t="s">
        <v>118</v>
      </c>
      <c r="F6561" s="7">
        <v>45876.53937210381</v>
      </c>
      <c r="G6561" s="3" t="s">
        <v>19151</v>
      </c>
    </row>
    <row r="6562">
      <c r="A6562" s="3" t="s">
        <v>19152</v>
      </c>
      <c r="B6562" s="3" t="s">
        <v>6142</v>
      </c>
      <c r="C6562" s="5" t="s">
        <v>614</v>
      </c>
      <c r="D6562" s="3" t="s">
        <v>206</v>
      </c>
      <c r="E6562" s="3" t="s">
        <v>100</v>
      </c>
      <c r="F6562" s="7">
        <v>45876.54284432604</v>
      </c>
      <c r="G6562" s="3" t="s">
        <v>19153</v>
      </c>
    </row>
    <row r="6563">
      <c r="A6563" s="3" t="s">
        <v>19155</v>
      </c>
      <c r="B6563" s="3" t="s">
        <v>6142</v>
      </c>
      <c r="C6563" s="5" t="s">
        <v>206</v>
      </c>
      <c r="D6563" s="3" t="s">
        <v>68</v>
      </c>
      <c r="E6563" s="3" t="s">
        <v>100</v>
      </c>
      <c r="F6563" s="7">
        <v>45876.54631654826</v>
      </c>
      <c r="G6563" s="3" t="s">
        <v>19156</v>
      </c>
    </row>
    <row r="6564">
      <c r="A6564" s="3" t="s">
        <v>19157</v>
      </c>
      <c r="B6564" s="3" t="s">
        <v>6143</v>
      </c>
      <c r="C6564" s="5" t="s">
        <v>45</v>
      </c>
      <c r="D6564" s="3" t="s">
        <v>221</v>
      </c>
      <c r="E6564" s="3" t="s">
        <v>193</v>
      </c>
      <c r="F6564" s="7">
        <v>45876.607074727006</v>
      </c>
      <c r="G6564" s="3" t="s">
        <v>19159</v>
      </c>
    </row>
    <row r="6565">
      <c r="A6565" s="3" t="s">
        <v>19160</v>
      </c>
      <c r="B6565" s="3" t="s">
        <v>6143</v>
      </c>
      <c r="C6565" s="5" t="s">
        <v>221</v>
      </c>
      <c r="D6565" s="3" t="s">
        <v>614</v>
      </c>
      <c r="E6565" s="3" t="s">
        <v>118</v>
      </c>
      <c r="F6565" s="7">
        <v>45876.610546949225</v>
      </c>
      <c r="G6565" s="3" t="s">
        <v>19162</v>
      </c>
    </row>
    <row r="6566">
      <c r="A6566" s="3" t="s">
        <v>19163</v>
      </c>
      <c r="B6566" s="3" t="s">
        <v>6143</v>
      </c>
      <c r="C6566" s="5" t="s">
        <v>614</v>
      </c>
      <c r="D6566" s="3" t="s">
        <v>206</v>
      </c>
      <c r="E6566" s="3" t="s">
        <v>100</v>
      </c>
      <c r="F6566" s="7">
        <v>45876.61401917145</v>
      </c>
      <c r="G6566" s="3" t="s">
        <v>19165</v>
      </c>
    </row>
    <row r="6567">
      <c r="A6567" s="3" t="s">
        <v>19166</v>
      </c>
      <c r="B6567" s="3" t="s">
        <v>6143</v>
      </c>
      <c r="C6567" s="5" t="s">
        <v>206</v>
      </c>
      <c r="D6567" s="3" t="s">
        <v>68</v>
      </c>
      <c r="E6567" s="3" t="s">
        <v>100</v>
      </c>
      <c r="F6567" s="7">
        <v>45876.61749139367</v>
      </c>
      <c r="G6567" s="3" t="s">
        <v>19167</v>
      </c>
    </row>
    <row r="6568">
      <c r="A6568" s="3" t="s">
        <v>19169</v>
      </c>
      <c r="B6568" s="3" t="s">
        <v>6151</v>
      </c>
      <c r="C6568" s="5" t="s">
        <v>45</v>
      </c>
      <c r="D6568" s="3" t="s">
        <v>221</v>
      </c>
      <c r="E6568" s="3" t="s">
        <v>1001</v>
      </c>
      <c r="F6568" s="7">
        <v>45876.678249572426</v>
      </c>
      <c r="G6568" s="3" t="s">
        <v>14991</v>
      </c>
    </row>
    <row r="6569">
      <c r="A6569" s="3" t="s">
        <v>19171</v>
      </c>
      <c r="B6569" s="3" t="s">
        <v>6151</v>
      </c>
      <c r="C6569" s="5" t="s">
        <v>221</v>
      </c>
      <c r="D6569" s="3" t="s">
        <v>614</v>
      </c>
      <c r="E6569" s="3" t="s">
        <v>118</v>
      </c>
      <c r="F6569" s="7">
        <v>45876.681721794645</v>
      </c>
      <c r="G6569" s="3" t="s">
        <v>19172</v>
      </c>
    </row>
    <row r="6570">
      <c r="A6570" s="3" t="s">
        <v>19174</v>
      </c>
      <c r="B6570" s="3" t="s">
        <v>6151</v>
      </c>
      <c r="C6570" s="5" t="s">
        <v>614</v>
      </c>
      <c r="D6570" s="3" t="s">
        <v>206</v>
      </c>
      <c r="E6570" s="3" t="s">
        <v>100</v>
      </c>
      <c r="F6570" s="7">
        <v>45876.68519401687</v>
      </c>
      <c r="G6570" s="3" t="s">
        <v>19175</v>
      </c>
    </row>
    <row r="6571">
      <c r="A6571" s="3" t="s">
        <v>19176</v>
      </c>
      <c r="B6571" s="3" t="s">
        <v>6151</v>
      </c>
      <c r="C6571" s="5" t="s">
        <v>206</v>
      </c>
      <c r="D6571" s="3" t="s">
        <v>68</v>
      </c>
      <c r="E6571" s="3" t="s">
        <v>100</v>
      </c>
      <c r="F6571" s="7">
        <v>45876.68866623909</v>
      </c>
      <c r="G6571" s="3" t="s">
        <v>19178</v>
      </c>
    </row>
    <row r="6572">
      <c r="A6572" s="3" t="s">
        <v>19179</v>
      </c>
      <c r="B6572" s="3" t="s">
        <v>6154</v>
      </c>
      <c r="C6572" s="5" t="s">
        <v>45</v>
      </c>
      <c r="D6572" s="3" t="s">
        <v>221</v>
      </c>
      <c r="E6572" s="3" t="s">
        <v>530</v>
      </c>
      <c r="F6572" s="7">
        <v>45876.74942441784</v>
      </c>
      <c r="G6572" s="3" t="s">
        <v>16686</v>
      </c>
    </row>
    <row r="6573">
      <c r="A6573" s="3" t="s">
        <v>19181</v>
      </c>
      <c r="B6573" s="3" t="s">
        <v>6154</v>
      </c>
      <c r="C6573" s="5" t="s">
        <v>221</v>
      </c>
      <c r="D6573" s="3" t="s">
        <v>195</v>
      </c>
      <c r="E6573" s="3" t="s">
        <v>530</v>
      </c>
      <c r="F6573" s="7">
        <v>45876.75289664006</v>
      </c>
      <c r="G6573" s="3" t="s">
        <v>16689</v>
      </c>
    </row>
    <row r="6574">
      <c r="A6574" s="3" t="s">
        <v>19183</v>
      </c>
      <c r="B6574" s="3" t="s">
        <v>6157</v>
      </c>
      <c r="C6574" s="5" t="s">
        <v>45</v>
      </c>
      <c r="D6574" s="3" t="s">
        <v>221</v>
      </c>
      <c r="E6574" s="3" t="s">
        <v>546</v>
      </c>
      <c r="F6574" s="7">
        <v>45876.82059926325</v>
      </c>
      <c r="G6574" s="3" t="s">
        <v>9869</v>
      </c>
    </row>
    <row r="6575">
      <c r="A6575" s="3" t="s">
        <v>19185</v>
      </c>
      <c r="B6575" s="3" t="s">
        <v>6157</v>
      </c>
      <c r="C6575" s="5" t="s">
        <v>221</v>
      </c>
      <c r="D6575" s="3" t="s">
        <v>614</v>
      </c>
      <c r="E6575" s="3" t="s">
        <v>118</v>
      </c>
      <c r="F6575" s="7">
        <v>45876.82407148547</v>
      </c>
      <c r="G6575" s="3" t="s">
        <v>9873</v>
      </c>
    </row>
    <row r="6576">
      <c r="A6576" s="3" t="s">
        <v>19187</v>
      </c>
      <c r="B6576" s="3" t="s">
        <v>6157</v>
      </c>
      <c r="C6576" s="5" t="s">
        <v>614</v>
      </c>
      <c r="D6576" s="3" t="s">
        <v>206</v>
      </c>
      <c r="E6576" s="3" t="s">
        <v>100</v>
      </c>
      <c r="F6576" s="7">
        <v>45876.827543707695</v>
      </c>
      <c r="G6576" s="3" t="s">
        <v>9876</v>
      </c>
    </row>
    <row r="6577">
      <c r="A6577" s="3" t="s">
        <v>19189</v>
      </c>
      <c r="B6577" s="3" t="s">
        <v>6157</v>
      </c>
      <c r="C6577" s="5" t="s">
        <v>206</v>
      </c>
      <c r="D6577" s="3" t="s">
        <v>68</v>
      </c>
      <c r="E6577" s="3" t="s">
        <v>100</v>
      </c>
      <c r="F6577" s="7">
        <v>45876.831015929914</v>
      </c>
      <c r="G6577" s="3" t="s">
        <v>9879</v>
      </c>
    </row>
    <row r="6578">
      <c r="A6578" s="3" t="s">
        <v>19190</v>
      </c>
      <c r="B6578" s="3" t="s">
        <v>6161</v>
      </c>
      <c r="C6578" s="5" t="s">
        <v>45</v>
      </c>
      <c r="D6578" s="3" t="s">
        <v>221</v>
      </c>
      <c r="E6578" s="3" t="s">
        <v>665</v>
      </c>
      <c r="F6578" s="7">
        <v>45876.89177410867</v>
      </c>
      <c r="G6578" s="3" t="s">
        <v>2968</v>
      </c>
    </row>
    <row r="6579">
      <c r="A6579" s="3" t="s">
        <v>19192</v>
      </c>
      <c r="B6579" s="3" t="s">
        <v>6161</v>
      </c>
      <c r="C6579" s="5" t="s">
        <v>221</v>
      </c>
      <c r="D6579" s="3" t="s">
        <v>614</v>
      </c>
      <c r="E6579" s="3" t="s">
        <v>118</v>
      </c>
      <c r="F6579" s="7">
        <v>45876.89524633089</v>
      </c>
      <c r="G6579" s="3" t="s">
        <v>2971</v>
      </c>
    </row>
    <row r="6580">
      <c r="A6580" s="3" t="s">
        <v>19194</v>
      </c>
      <c r="B6580" s="3" t="s">
        <v>6161</v>
      </c>
      <c r="C6580" s="5" t="s">
        <v>614</v>
      </c>
      <c r="D6580" s="3" t="s">
        <v>206</v>
      </c>
      <c r="E6580" s="3" t="s">
        <v>100</v>
      </c>
      <c r="F6580" s="7">
        <v>45876.898718553115</v>
      </c>
      <c r="G6580" s="3" t="s">
        <v>2974</v>
      </c>
    </row>
    <row r="6581">
      <c r="A6581" s="3" t="s">
        <v>19196</v>
      </c>
      <c r="B6581" s="3" t="s">
        <v>6161</v>
      </c>
      <c r="C6581" s="5" t="s">
        <v>206</v>
      </c>
      <c r="D6581" s="3" t="s">
        <v>68</v>
      </c>
      <c r="E6581" s="3" t="s">
        <v>100</v>
      </c>
      <c r="F6581" s="7">
        <v>45876.902190775334</v>
      </c>
      <c r="G6581" s="3" t="s">
        <v>2976</v>
      </c>
    </row>
    <row r="6582">
      <c r="A6582" s="3" t="s">
        <v>19198</v>
      </c>
      <c r="B6582" s="3" t="s">
        <v>6165</v>
      </c>
      <c r="C6582" s="5" t="s">
        <v>45</v>
      </c>
      <c r="D6582" s="3" t="s">
        <v>221</v>
      </c>
      <c r="E6582" s="3" t="s">
        <v>159</v>
      </c>
      <c r="F6582" s="7">
        <v>45876.96294895408</v>
      </c>
      <c r="G6582" s="3" t="s">
        <v>8901</v>
      </c>
    </row>
    <row r="6583">
      <c r="A6583" s="3" t="s">
        <v>19200</v>
      </c>
      <c r="B6583" s="3" t="s">
        <v>6165</v>
      </c>
      <c r="C6583" s="5" t="s">
        <v>221</v>
      </c>
      <c r="D6583" s="3" t="s">
        <v>614</v>
      </c>
      <c r="E6583" s="3" t="s">
        <v>118</v>
      </c>
      <c r="F6583" s="7">
        <v>45876.9664211763</v>
      </c>
      <c r="G6583" s="3" t="s">
        <v>8904</v>
      </c>
    </row>
    <row r="6584">
      <c r="A6584" s="3" t="s">
        <v>19202</v>
      </c>
      <c r="B6584" s="3" t="s">
        <v>6165</v>
      </c>
      <c r="C6584" s="5" t="s">
        <v>614</v>
      </c>
      <c r="D6584" s="3" t="s">
        <v>206</v>
      </c>
      <c r="E6584" s="3" t="s">
        <v>100</v>
      </c>
      <c r="F6584" s="7">
        <v>45876.96989339853</v>
      </c>
      <c r="G6584" s="3" t="s">
        <v>8907</v>
      </c>
    </row>
    <row r="6585">
      <c r="A6585" s="3" t="s">
        <v>19203</v>
      </c>
      <c r="B6585" s="3" t="s">
        <v>6165</v>
      </c>
      <c r="C6585" s="5" t="s">
        <v>206</v>
      </c>
      <c r="D6585" s="3" t="s">
        <v>68</v>
      </c>
      <c r="E6585" s="3" t="s">
        <v>100</v>
      </c>
      <c r="F6585" s="7">
        <v>45876.973365620746</v>
      </c>
      <c r="G6585" s="3" t="s">
        <v>8910</v>
      </c>
    </row>
    <row r="6586">
      <c r="A6586" s="3" t="s">
        <v>19205</v>
      </c>
      <c r="B6586" s="3" t="s">
        <v>6168</v>
      </c>
      <c r="C6586" s="5" t="s">
        <v>45</v>
      </c>
      <c r="D6586" s="3" t="s">
        <v>221</v>
      </c>
      <c r="E6586" s="3" t="s">
        <v>735</v>
      </c>
      <c r="F6586" s="7">
        <v>45877.034123799494</v>
      </c>
      <c r="G6586" s="3" t="s">
        <v>2979</v>
      </c>
    </row>
    <row r="6587">
      <c r="A6587" s="3" t="s">
        <v>19207</v>
      </c>
      <c r="B6587" s="3" t="s">
        <v>6168</v>
      </c>
      <c r="C6587" s="5" t="s">
        <v>221</v>
      </c>
      <c r="D6587" s="3" t="s">
        <v>614</v>
      </c>
      <c r="E6587" s="3" t="s">
        <v>118</v>
      </c>
      <c r="F6587" s="7">
        <v>45877.03759602171</v>
      </c>
      <c r="G6587" s="3" t="s">
        <v>2982</v>
      </c>
    </row>
    <row r="6588">
      <c r="A6588" s="3" t="s">
        <v>19209</v>
      </c>
      <c r="B6588" s="3" t="s">
        <v>6168</v>
      </c>
      <c r="C6588" s="5" t="s">
        <v>614</v>
      </c>
      <c r="D6588" s="3" t="s">
        <v>206</v>
      </c>
      <c r="E6588" s="3" t="s">
        <v>100</v>
      </c>
      <c r="F6588" s="7">
        <v>45877.04106824394</v>
      </c>
      <c r="G6588" s="3" t="s">
        <v>2985</v>
      </c>
    </row>
    <row r="6589">
      <c r="A6589" s="3" t="s">
        <v>19211</v>
      </c>
      <c r="B6589" s="3" t="s">
        <v>6168</v>
      </c>
      <c r="C6589" s="5" t="s">
        <v>206</v>
      </c>
      <c r="D6589" s="3" t="s">
        <v>68</v>
      </c>
      <c r="E6589" s="3" t="s">
        <v>100</v>
      </c>
      <c r="F6589" s="7">
        <v>45877.04454046616</v>
      </c>
      <c r="G6589" s="3" t="s">
        <v>2988</v>
      </c>
    </row>
    <row r="6590">
      <c r="A6590" s="3" t="s">
        <v>19212</v>
      </c>
      <c r="B6590" s="3" t="s">
        <v>6173</v>
      </c>
      <c r="C6590" s="5" t="s">
        <v>45</v>
      </c>
      <c r="D6590" s="3" t="s">
        <v>221</v>
      </c>
      <c r="E6590" s="3" t="s">
        <v>816</v>
      </c>
      <c r="F6590" s="7">
        <v>45877.105298644914</v>
      </c>
      <c r="G6590" s="3" t="s">
        <v>10467</v>
      </c>
    </row>
    <row r="6591">
      <c r="A6591" s="3" t="s">
        <v>19214</v>
      </c>
      <c r="B6591" s="3" t="s">
        <v>6173</v>
      </c>
      <c r="C6591" s="5" t="s">
        <v>221</v>
      </c>
      <c r="D6591" s="3" t="s">
        <v>614</v>
      </c>
      <c r="E6591" s="3" t="s">
        <v>118</v>
      </c>
      <c r="F6591" s="7">
        <v>45877.10877086713</v>
      </c>
      <c r="G6591" s="3" t="s">
        <v>10470</v>
      </c>
    </row>
    <row r="6592">
      <c r="A6592" s="3" t="s">
        <v>19216</v>
      </c>
      <c r="B6592" s="3" t="s">
        <v>6173</v>
      </c>
      <c r="C6592" s="5" t="s">
        <v>614</v>
      </c>
      <c r="D6592" s="3" t="s">
        <v>206</v>
      </c>
      <c r="E6592" s="3" t="s">
        <v>100</v>
      </c>
      <c r="F6592" s="7">
        <v>45877.11224308936</v>
      </c>
      <c r="G6592" s="3" t="s">
        <v>10473</v>
      </c>
    </row>
    <row r="6593">
      <c r="A6593" s="3" t="s">
        <v>19218</v>
      </c>
      <c r="B6593" s="3" t="s">
        <v>6173</v>
      </c>
      <c r="C6593" s="5" t="s">
        <v>206</v>
      </c>
      <c r="D6593" s="3" t="s">
        <v>68</v>
      </c>
      <c r="E6593" s="3" t="s">
        <v>100</v>
      </c>
      <c r="F6593" s="7">
        <v>45877.11571531158</v>
      </c>
      <c r="G6593" s="3" t="s">
        <v>10475</v>
      </c>
    </row>
    <row r="6594">
      <c r="A6594" s="3" t="s">
        <v>19220</v>
      </c>
      <c r="B6594" s="3" t="s">
        <v>6176</v>
      </c>
      <c r="C6594" s="5" t="s">
        <v>45</v>
      </c>
      <c r="D6594" s="3" t="s">
        <v>221</v>
      </c>
      <c r="E6594" s="3" t="s">
        <v>233</v>
      </c>
      <c r="F6594" s="7">
        <v>45877.176473490326</v>
      </c>
      <c r="G6594" s="3" t="s">
        <v>19222</v>
      </c>
    </row>
    <row r="6595">
      <c r="A6595" s="3" t="s">
        <v>19223</v>
      </c>
      <c r="B6595" s="3" t="s">
        <v>6176</v>
      </c>
      <c r="C6595" s="5" t="s">
        <v>221</v>
      </c>
      <c r="D6595" s="3" t="s">
        <v>614</v>
      </c>
      <c r="E6595" s="3" t="s">
        <v>118</v>
      </c>
      <c r="F6595" s="7">
        <v>45877.179945712545</v>
      </c>
      <c r="G6595" s="3" t="s">
        <v>19224</v>
      </c>
    </row>
    <row r="6596">
      <c r="A6596" s="3" t="s">
        <v>19226</v>
      </c>
      <c r="B6596" s="3" t="s">
        <v>6176</v>
      </c>
      <c r="C6596" s="5" t="s">
        <v>614</v>
      </c>
      <c r="D6596" s="3" t="s">
        <v>206</v>
      </c>
      <c r="E6596" s="3" t="s">
        <v>100</v>
      </c>
      <c r="F6596" s="7">
        <v>45877.18341793477</v>
      </c>
      <c r="G6596" s="3" t="s">
        <v>19227</v>
      </c>
    </row>
    <row r="6597">
      <c r="A6597" s="3" t="s">
        <v>19228</v>
      </c>
      <c r="B6597" s="3" t="s">
        <v>6176</v>
      </c>
      <c r="C6597" s="5" t="s">
        <v>206</v>
      </c>
      <c r="D6597" s="3" t="s">
        <v>68</v>
      </c>
      <c r="E6597" s="3" t="s">
        <v>100</v>
      </c>
      <c r="F6597" s="7">
        <v>45877.18689015699</v>
      </c>
      <c r="G6597" s="3" t="s">
        <v>19230</v>
      </c>
    </row>
    <row r="6598">
      <c r="A6598" s="3" t="s">
        <v>19231</v>
      </c>
      <c r="B6598" s="3" t="s">
        <v>6179</v>
      </c>
      <c r="C6598" s="5" t="s">
        <v>45</v>
      </c>
      <c r="D6598" s="3" t="s">
        <v>221</v>
      </c>
      <c r="E6598" s="3" t="s">
        <v>330</v>
      </c>
      <c r="F6598" s="7">
        <v>45877.24764833574</v>
      </c>
      <c r="G6598" s="3" t="s">
        <v>14875</v>
      </c>
    </row>
    <row r="6599">
      <c r="A6599" s="3" t="s">
        <v>19233</v>
      </c>
      <c r="B6599" s="3" t="s">
        <v>6179</v>
      </c>
      <c r="C6599" s="5" t="s">
        <v>221</v>
      </c>
      <c r="D6599" s="3" t="s">
        <v>614</v>
      </c>
      <c r="E6599" s="3" t="s">
        <v>118</v>
      </c>
      <c r="F6599" s="7">
        <v>45877.25112055796</v>
      </c>
      <c r="G6599" s="3" t="s">
        <v>14878</v>
      </c>
    </row>
    <row r="6600">
      <c r="A6600" s="3" t="s">
        <v>19235</v>
      </c>
      <c r="B6600" s="3" t="s">
        <v>6179</v>
      </c>
      <c r="C6600" s="5" t="s">
        <v>614</v>
      </c>
      <c r="D6600" s="3" t="s">
        <v>206</v>
      </c>
      <c r="E6600" s="3" t="s">
        <v>100</v>
      </c>
      <c r="F6600" s="7">
        <v>45877.254592780184</v>
      </c>
      <c r="G6600" s="3" t="s">
        <v>14881</v>
      </c>
    </row>
    <row r="6601">
      <c r="A6601" s="3" t="s">
        <v>19237</v>
      </c>
      <c r="B6601" s="3" t="s">
        <v>6179</v>
      </c>
      <c r="C6601" s="5" t="s">
        <v>206</v>
      </c>
      <c r="D6601" s="3" t="s">
        <v>68</v>
      </c>
      <c r="E6601" s="3" t="s">
        <v>100</v>
      </c>
      <c r="F6601" s="7">
        <v>45877.2580650024</v>
      </c>
      <c r="G6601" s="3" t="s">
        <v>14884</v>
      </c>
    </row>
    <row r="6602">
      <c r="A6602" s="3" t="s">
        <v>19239</v>
      </c>
      <c r="B6602" s="3" t="s">
        <v>6182</v>
      </c>
      <c r="C6602" s="5" t="s">
        <v>45</v>
      </c>
      <c r="D6602" s="3" t="s">
        <v>221</v>
      </c>
      <c r="E6602" s="3" t="s">
        <v>612</v>
      </c>
      <c r="F6602" s="7">
        <v>45877.31882318116</v>
      </c>
      <c r="G6602" s="3" t="s">
        <v>3073</v>
      </c>
    </row>
    <row r="6603">
      <c r="A6603" s="3" t="s">
        <v>19241</v>
      </c>
      <c r="B6603" s="3" t="s">
        <v>6182</v>
      </c>
      <c r="C6603" s="5" t="s">
        <v>221</v>
      </c>
      <c r="D6603" s="3" t="s">
        <v>614</v>
      </c>
      <c r="E6603" s="3" t="s">
        <v>118</v>
      </c>
      <c r="F6603" s="7">
        <v>45877.32229540338</v>
      </c>
      <c r="G6603" s="3" t="s">
        <v>3076</v>
      </c>
    </row>
    <row r="6604">
      <c r="A6604" s="3" t="s">
        <v>19242</v>
      </c>
      <c r="B6604" s="3" t="s">
        <v>6182</v>
      </c>
      <c r="C6604" s="5" t="s">
        <v>614</v>
      </c>
      <c r="D6604" s="3" t="s">
        <v>206</v>
      </c>
      <c r="E6604" s="3" t="s">
        <v>100</v>
      </c>
      <c r="F6604" s="7">
        <v>45877.3257676256</v>
      </c>
      <c r="G6604" s="3" t="s">
        <v>3078</v>
      </c>
    </row>
    <row r="6605">
      <c r="A6605" s="3" t="s">
        <v>19244</v>
      </c>
      <c r="B6605" s="3" t="s">
        <v>6182</v>
      </c>
      <c r="C6605" s="5" t="s">
        <v>206</v>
      </c>
      <c r="D6605" s="3" t="s">
        <v>68</v>
      </c>
      <c r="E6605" s="3" t="s">
        <v>100</v>
      </c>
      <c r="F6605" s="7">
        <v>45877.32923984782</v>
      </c>
      <c r="G6605" s="3" t="s">
        <v>3081</v>
      </c>
    </row>
    <row r="6606">
      <c r="A6606" s="3" t="s">
        <v>19246</v>
      </c>
      <c r="B6606" s="3" t="s">
        <v>6185</v>
      </c>
      <c r="C6606" s="5" t="s">
        <v>45</v>
      </c>
      <c r="D6606" s="3" t="s">
        <v>221</v>
      </c>
      <c r="E6606" s="3" t="s">
        <v>436</v>
      </c>
      <c r="F6606" s="7">
        <v>45877.38999802658</v>
      </c>
      <c r="G6606" s="3" t="s">
        <v>2991</v>
      </c>
    </row>
    <row r="6607">
      <c r="A6607" s="3" t="s">
        <v>19248</v>
      </c>
      <c r="B6607" s="3" t="s">
        <v>6185</v>
      </c>
      <c r="C6607" s="5" t="s">
        <v>221</v>
      </c>
      <c r="D6607" s="3" t="s">
        <v>614</v>
      </c>
      <c r="E6607" s="3" t="s">
        <v>118</v>
      </c>
      <c r="F6607" s="7">
        <v>45877.3934702488</v>
      </c>
      <c r="G6607" s="3" t="s">
        <v>2994</v>
      </c>
    </row>
    <row r="6608">
      <c r="A6608" s="3" t="s">
        <v>19250</v>
      </c>
      <c r="B6608" s="3" t="s">
        <v>6185</v>
      </c>
      <c r="C6608" s="5" t="s">
        <v>614</v>
      </c>
      <c r="D6608" s="3" t="s">
        <v>206</v>
      </c>
      <c r="E6608" s="3" t="s">
        <v>100</v>
      </c>
      <c r="F6608" s="7">
        <v>45877.39694247102</v>
      </c>
      <c r="G6608" s="3" t="s">
        <v>2996</v>
      </c>
    </row>
    <row r="6609">
      <c r="A6609" s="3" t="s">
        <v>19252</v>
      </c>
      <c r="B6609" s="3" t="s">
        <v>6185</v>
      </c>
      <c r="C6609" s="5" t="s">
        <v>206</v>
      </c>
      <c r="D6609" s="3" t="s">
        <v>68</v>
      </c>
      <c r="E6609" s="3" t="s">
        <v>100</v>
      </c>
      <c r="F6609" s="7">
        <v>45877.40041469324</v>
      </c>
      <c r="G6609" s="3" t="s">
        <v>2999</v>
      </c>
    </row>
    <row r="6610">
      <c r="A6610" s="3" t="s">
        <v>19254</v>
      </c>
      <c r="B6610" s="3" t="s">
        <v>6188</v>
      </c>
      <c r="C6610" s="5" t="s">
        <v>45</v>
      </c>
      <c r="D6610" s="3" t="s">
        <v>221</v>
      </c>
      <c r="E6610" s="3" t="s">
        <v>296</v>
      </c>
      <c r="F6610" s="7">
        <v>45877.46117287198</v>
      </c>
      <c r="G6610" s="3" t="s">
        <v>18901</v>
      </c>
    </row>
    <row r="6611">
      <c r="A6611" s="3" t="s">
        <v>19257</v>
      </c>
      <c r="B6611" s="3" t="s">
        <v>6188</v>
      </c>
      <c r="C6611" s="5" t="s">
        <v>221</v>
      </c>
      <c r="D6611" s="3" t="s">
        <v>614</v>
      </c>
      <c r="E6611" s="3" t="s">
        <v>118</v>
      </c>
      <c r="F6611" s="7">
        <v>45877.4646450942</v>
      </c>
      <c r="G6611" s="3" t="s">
        <v>19258</v>
      </c>
    </row>
    <row r="6612">
      <c r="A6612" s="3" t="s">
        <v>19259</v>
      </c>
      <c r="B6612" s="3" t="s">
        <v>6188</v>
      </c>
      <c r="C6612" s="5" t="s">
        <v>614</v>
      </c>
      <c r="D6612" s="3" t="s">
        <v>206</v>
      </c>
      <c r="E6612" s="3" t="s">
        <v>100</v>
      </c>
      <c r="F6612" s="7">
        <v>45877.46811731643</v>
      </c>
      <c r="G6612" s="3" t="s">
        <v>19261</v>
      </c>
    </row>
    <row r="6613">
      <c r="A6613" s="3" t="s">
        <v>19262</v>
      </c>
      <c r="B6613" s="3" t="s">
        <v>6188</v>
      </c>
      <c r="C6613" s="5" t="s">
        <v>206</v>
      </c>
      <c r="D6613" s="3" t="s">
        <v>68</v>
      </c>
      <c r="E6613" s="3" t="s">
        <v>100</v>
      </c>
      <c r="F6613" s="7">
        <v>45877.47158953865</v>
      </c>
      <c r="G6613" s="3" t="s">
        <v>19264</v>
      </c>
    </row>
    <row r="6614">
      <c r="A6614" s="3" t="s">
        <v>19265</v>
      </c>
      <c r="B6614" s="3" t="s">
        <v>6191</v>
      </c>
      <c r="C6614" s="5" t="s">
        <v>45</v>
      </c>
      <c r="D6614" s="3" t="s">
        <v>221</v>
      </c>
      <c r="E6614" s="3" t="s">
        <v>822</v>
      </c>
      <c r="F6614" s="7">
        <v>45877.5323477174</v>
      </c>
      <c r="G6614" s="3" t="s">
        <v>3006</v>
      </c>
    </row>
    <row r="6615">
      <c r="A6615" s="3" t="s">
        <v>19267</v>
      </c>
      <c r="B6615" s="3" t="s">
        <v>6191</v>
      </c>
      <c r="C6615" s="5" t="s">
        <v>221</v>
      </c>
      <c r="D6615" s="3" t="s">
        <v>614</v>
      </c>
      <c r="E6615" s="3" t="s">
        <v>118</v>
      </c>
      <c r="F6615" s="7">
        <v>45877.53581993962</v>
      </c>
      <c r="G6615" s="3" t="s">
        <v>3009</v>
      </c>
    </row>
    <row r="6616">
      <c r="A6616" s="3" t="s">
        <v>19269</v>
      </c>
      <c r="B6616" s="3" t="s">
        <v>6191</v>
      </c>
      <c r="C6616" s="5" t="s">
        <v>614</v>
      </c>
      <c r="D6616" s="3" t="s">
        <v>206</v>
      </c>
      <c r="E6616" s="3" t="s">
        <v>100</v>
      </c>
      <c r="F6616" s="7">
        <v>45877.53929216185</v>
      </c>
      <c r="G6616" s="3" t="s">
        <v>3012</v>
      </c>
    </row>
    <row r="6617">
      <c r="A6617" s="3" t="s">
        <v>19270</v>
      </c>
      <c r="B6617" s="3" t="s">
        <v>6191</v>
      </c>
      <c r="C6617" s="5" t="s">
        <v>206</v>
      </c>
      <c r="D6617" s="3" t="s">
        <v>68</v>
      </c>
      <c r="E6617" s="3" t="s">
        <v>100</v>
      </c>
      <c r="F6617" s="7">
        <v>45877.54276438407</v>
      </c>
      <c r="G6617" s="3" t="s">
        <v>3015</v>
      </c>
    </row>
    <row r="6618">
      <c r="A6618" s="3" t="s">
        <v>19271</v>
      </c>
      <c r="B6618" s="3" t="s">
        <v>6194</v>
      </c>
      <c r="C6618" s="5" t="s">
        <v>45</v>
      </c>
      <c r="D6618" s="3" t="s">
        <v>221</v>
      </c>
      <c r="E6618" s="3" t="s">
        <v>640</v>
      </c>
      <c r="F6618" s="7">
        <v>45877.60352256282</v>
      </c>
      <c r="G6618" s="3" t="s">
        <v>3018</v>
      </c>
    </row>
    <row r="6619">
      <c r="A6619" s="3" t="s">
        <v>19273</v>
      </c>
      <c r="B6619" s="3" t="s">
        <v>6194</v>
      </c>
      <c r="C6619" s="5" t="s">
        <v>221</v>
      </c>
      <c r="D6619" s="3" t="s">
        <v>614</v>
      </c>
      <c r="E6619" s="3" t="s">
        <v>118</v>
      </c>
      <c r="F6619" s="7">
        <v>45877.60699478504</v>
      </c>
      <c r="G6619" s="3" t="s">
        <v>3021</v>
      </c>
    </row>
    <row r="6620">
      <c r="A6620" s="3" t="s">
        <v>19275</v>
      </c>
      <c r="B6620" s="3" t="s">
        <v>6194</v>
      </c>
      <c r="C6620" s="5" t="s">
        <v>614</v>
      </c>
      <c r="D6620" s="3" t="s">
        <v>206</v>
      </c>
      <c r="E6620" s="3" t="s">
        <v>100</v>
      </c>
      <c r="F6620" s="7">
        <v>45877.61046700727</v>
      </c>
      <c r="G6620" s="3" t="s">
        <v>3024</v>
      </c>
    </row>
    <row r="6621">
      <c r="A6621" s="3" t="s">
        <v>19277</v>
      </c>
      <c r="B6621" s="3" t="s">
        <v>6194</v>
      </c>
      <c r="C6621" s="5" t="s">
        <v>206</v>
      </c>
      <c r="D6621" s="3" t="s">
        <v>68</v>
      </c>
      <c r="E6621" s="3" t="s">
        <v>100</v>
      </c>
      <c r="F6621" s="7">
        <v>45877.613939229486</v>
      </c>
      <c r="G6621" s="3" t="s">
        <v>3027</v>
      </c>
    </row>
    <row r="6622">
      <c r="A6622" s="3" t="s">
        <v>19279</v>
      </c>
      <c r="B6622" s="3" t="s">
        <v>6197</v>
      </c>
      <c r="C6622" s="5" t="s">
        <v>45</v>
      </c>
      <c r="D6622" s="3" t="s">
        <v>221</v>
      </c>
      <c r="E6622" s="3" t="s">
        <v>243</v>
      </c>
      <c r="F6622" s="7">
        <v>45877.674697408234</v>
      </c>
      <c r="G6622" s="3" t="s">
        <v>19281</v>
      </c>
    </row>
    <row r="6623">
      <c r="A6623" s="3" t="s">
        <v>19282</v>
      </c>
      <c r="B6623" s="3" t="s">
        <v>6197</v>
      </c>
      <c r="C6623" s="5" t="s">
        <v>221</v>
      </c>
      <c r="D6623" s="3" t="s">
        <v>614</v>
      </c>
      <c r="E6623" s="3" t="s">
        <v>118</v>
      </c>
      <c r="F6623" s="7">
        <v>45877.67816963045</v>
      </c>
      <c r="G6623" s="3" t="s">
        <v>19284</v>
      </c>
    </row>
    <row r="6624">
      <c r="A6624" s="3" t="s">
        <v>19285</v>
      </c>
      <c r="B6624" s="3" t="s">
        <v>6197</v>
      </c>
      <c r="C6624" s="5" t="s">
        <v>614</v>
      </c>
      <c r="D6624" s="3" t="s">
        <v>206</v>
      </c>
      <c r="E6624" s="3" t="s">
        <v>100</v>
      </c>
      <c r="F6624" s="7">
        <v>45877.68164185268</v>
      </c>
      <c r="G6624" s="3" t="s">
        <v>19286</v>
      </c>
    </row>
    <row r="6625">
      <c r="A6625" s="3" t="s">
        <v>19287</v>
      </c>
      <c r="B6625" s="3" t="s">
        <v>6197</v>
      </c>
      <c r="C6625" s="5" t="s">
        <v>206</v>
      </c>
      <c r="D6625" s="3" t="s">
        <v>68</v>
      </c>
      <c r="E6625" s="3" t="s">
        <v>100</v>
      </c>
      <c r="F6625" s="7">
        <v>45877.6851140749</v>
      </c>
      <c r="G6625" s="3" t="s">
        <v>19289</v>
      </c>
    </row>
    <row r="6626">
      <c r="A6626" s="3" t="s">
        <v>19290</v>
      </c>
      <c r="B6626" s="3" t="s">
        <v>6200</v>
      </c>
      <c r="C6626" s="5" t="s">
        <v>45</v>
      </c>
      <c r="D6626" s="3" t="s">
        <v>221</v>
      </c>
      <c r="E6626" s="3" t="s">
        <v>593</v>
      </c>
      <c r="F6626" s="7">
        <v>45877.74587225365</v>
      </c>
      <c r="G6626" s="3" t="s">
        <v>12582</v>
      </c>
    </row>
    <row r="6627">
      <c r="A6627" s="3" t="s">
        <v>19292</v>
      </c>
      <c r="B6627" s="3" t="s">
        <v>6200</v>
      </c>
      <c r="C6627" s="5" t="s">
        <v>221</v>
      </c>
      <c r="D6627" s="3" t="s">
        <v>614</v>
      </c>
      <c r="E6627" s="3" t="s">
        <v>118</v>
      </c>
      <c r="F6627" s="7">
        <v>45877.749344475866</v>
      </c>
      <c r="G6627" s="3" t="s">
        <v>12585</v>
      </c>
    </row>
    <row r="6628">
      <c r="A6628" s="3" t="s">
        <v>19294</v>
      </c>
      <c r="B6628" s="3" t="s">
        <v>6200</v>
      </c>
      <c r="C6628" s="5" t="s">
        <v>614</v>
      </c>
      <c r="D6628" s="3" t="s">
        <v>206</v>
      </c>
      <c r="E6628" s="3" t="s">
        <v>100</v>
      </c>
      <c r="F6628" s="7">
        <v>45877.75281669809</v>
      </c>
      <c r="G6628" s="3" t="s">
        <v>12588</v>
      </c>
    </row>
    <row r="6629">
      <c r="A6629" s="3" t="s">
        <v>19296</v>
      </c>
      <c r="B6629" s="3" t="s">
        <v>6200</v>
      </c>
      <c r="C6629" s="5" t="s">
        <v>206</v>
      </c>
      <c r="D6629" s="3" t="s">
        <v>68</v>
      </c>
      <c r="E6629" s="3" t="s">
        <v>100</v>
      </c>
      <c r="F6629" s="7">
        <v>45877.75628892031</v>
      </c>
      <c r="G6629" s="3" t="s">
        <v>12591</v>
      </c>
    </row>
    <row r="6630">
      <c r="A6630" s="3" t="s">
        <v>19298</v>
      </c>
      <c r="B6630" s="3" t="s">
        <v>6204</v>
      </c>
      <c r="C6630" s="5" t="s">
        <v>45</v>
      </c>
      <c r="D6630" s="3" t="s">
        <v>221</v>
      </c>
      <c r="E6630" s="3" t="s">
        <v>980</v>
      </c>
      <c r="F6630" s="7">
        <v>45877.817047099066</v>
      </c>
      <c r="G6630" s="3" t="s">
        <v>2770</v>
      </c>
    </row>
    <row r="6631">
      <c r="A6631" s="3" t="s">
        <v>19300</v>
      </c>
      <c r="B6631" s="3" t="s">
        <v>6204</v>
      </c>
      <c r="C6631" s="5" t="s">
        <v>221</v>
      </c>
      <c r="D6631" s="3" t="s">
        <v>181</v>
      </c>
      <c r="E6631" s="3" t="s">
        <v>118</v>
      </c>
      <c r="F6631" s="7">
        <v>45877.820519321285</v>
      </c>
      <c r="G6631" s="3" t="s">
        <v>2774</v>
      </c>
    </row>
    <row r="6632">
      <c r="A6632" s="3" t="s">
        <v>19301</v>
      </c>
      <c r="B6632" s="3" t="s">
        <v>6206</v>
      </c>
      <c r="C6632" s="5" t="s">
        <v>45</v>
      </c>
      <c r="D6632" s="3" t="s">
        <v>221</v>
      </c>
      <c r="E6632" s="3" t="s">
        <v>652</v>
      </c>
      <c r="F6632" s="7">
        <v>45877.88822194448</v>
      </c>
      <c r="G6632" s="3" t="s">
        <v>19303</v>
      </c>
    </row>
    <row r="6633">
      <c r="A6633" s="3" t="s">
        <v>19304</v>
      </c>
      <c r="B6633" s="3" t="s">
        <v>6206</v>
      </c>
      <c r="C6633" s="5" t="s">
        <v>221</v>
      </c>
      <c r="D6633" s="3" t="s">
        <v>614</v>
      </c>
      <c r="E6633" s="3" t="s">
        <v>118</v>
      </c>
      <c r="F6633" s="7">
        <v>45877.8916941667</v>
      </c>
      <c r="G6633" s="3" t="s">
        <v>19306</v>
      </c>
    </row>
    <row r="6634">
      <c r="A6634" s="3" t="s">
        <v>19307</v>
      </c>
      <c r="B6634" s="3" t="s">
        <v>6206</v>
      </c>
      <c r="C6634" s="5" t="s">
        <v>614</v>
      </c>
      <c r="D6634" s="3" t="s">
        <v>206</v>
      </c>
      <c r="E6634" s="3" t="s">
        <v>100</v>
      </c>
      <c r="F6634" s="7">
        <v>45877.895166388924</v>
      </c>
      <c r="G6634" s="3" t="s">
        <v>19309</v>
      </c>
    </row>
    <row r="6635">
      <c r="A6635" s="3" t="s">
        <v>19310</v>
      </c>
      <c r="B6635" s="3" t="s">
        <v>6206</v>
      </c>
      <c r="C6635" s="5" t="s">
        <v>206</v>
      </c>
      <c r="D6635" s="3" t="s">
        <v>68</v>
      </c>
      <c r="E6635" s="3" t="s">
        <v>100</v>
      </c>
      <c r="F6635" s="7">
        <v>45877.89863861114</v>
      </c>
      <c r="G6635" s="3" t="s">
        <v>19312</v>
      </c>
    </row>
    <row r="6636">
      <c r="A6636" s="3" t="s">
        <v>19313</v>
      </c>
      <c r="B6636" s="3" t="s">
        <v>6209</v>
      </c>
      <c r="C6636" s="5" t="s">
        <v>45</v>
      </c>
      <c r="D6636" s="3" t="s">
        <v>221</v>
      </c>
      <c r="E6636" s="3" t="s">
        <v>533</v>
      </c>
      <c r="F6636" s="7">
        <v>45877.95939678989</v>
      </c>
      <c r="G6636" s="3" t="s">
        <v>19315</v>
      </c>
    </row>
    <row r="6637">
      <c r="A6637" s="3" t="s">
        <v>19316</v>
      </c>
      <c r="B6637" s="3" t="s">
        <v>6209</v>
      </c>
      <c r="C6637" s="5" t="s">
        <v>221</v>
      </c>
      <c r="D6637" s="3" t="s">
        <v>614</v>
      </c>
      <c r="E6637" s="3" t="s">
        <v>118</v>
      </c>
      <c r="F6637" s="7">
        <v>45877.96286901211</v>
      </c>
      <c r="G6637" s="3" t="s">
        <v>19317</v>
      </c>
    </row>
    <row r="6638">
      <c r="A6638" s="3" t="s">
        <v>19318</v>
      </c>
      <c r="B6638" s="3" t="s">
        <v>6209</v>
      </c>
      <c r="C6638" s="5" t="s">
        <v>614</v>
      </c>
      <c r="D6638" s="3" t="s">
        <v>206</v>
      </c>
      <c r="E6638" s="3" t="s">
        <v>100</v>
      </c>
      <c r="F6638" s="7">
        <v>45877.966341234336</v>
      </c>
      <c r="G6638" s="3" t="s">
        <v>19320</v>
      </c>
    </row>
    <row r="6639">
      <c r="A6639" s="3" t="s">
        <v>19321</v>
      </c>
      <c r="B6639" s="3" t="s">
        <v>6209</v>
      </c>
      <c r="C6639" s="5" t="s">
        <v>206</v>
      </c>
      <c r="D6639" s="3" t="s">
        <v>68</v>
      </c>
      <c r="E6639" s="3" t="s">
        <v>100</v>
      </c>
      <c r="F6639" s="7">
        <v>45877.969813456555</v>
      </c>
      <c r="G6639" s="3" t="s">
        <v>19323</v>
      </c>
    </row>
    <row r="6640">
      <c r="A6640" s="3" t="s">
        <v>19324</v>
      </c>
      <c r="B6640" s="3" t="s">
        <v>6211</v>
      </c>
      <c r="C6640" s="5" t="s">
        <v>45</v>
      </c>
      <c r="D6640" s="3" t="s">
        <v>221</v>
      </c>
      <c r="E6640" s="3" t="s">
        <v>512</v>
      </c>
      <c r="F6640" s="7">
        <v>45878.03057163531</v>
      </c>
      <c r="G6640" s="3" t="s">
        <v>3030</v>
      </c>
    </row>
    <row r="6641">
      <c r="A6641" s="3" t="s">
        <v>19326</v>
      </c>
      <c r="B6641" s="3" t="s">
        <v>6211</v>
      </c>
      <c r="C6641" s="5" t="s">
        <v>221</v>
      </c>
      <c r="D6641" s="3" t="s">
        <v>614</v>
      </c>
      <c r="E6641" s="3" t="s">
        <v>118</v>
      </c>
      <c r="F6641" s="7">
        <v>45878.03404385753</v>
      </c>
      <c r="G6641" s="3" t="s">
        <v>3033</v>
      </c>
    </row>
    <row r="6642">
      <c r="A6642" s="3" t="s">
        <v>19328</v>
      </c>
      <c r="B6642" s="3" t="s">
        <v>6211</v>
      </c>
      <c r="C6642" s="5" t="s">
        <v>614</v>
      </c>
      <c r="D6642" s="3" t="s">
        <v>206</v>
      </c>
      <c r="E6642" s="3" t="s">
        <v>100</v>
      </c>
      <c r="F6642" s="7">
        <v>45878.037516079756</v>
      </c>
      <c r="G6642" s="3" t="s">
        <v>3036</v>
      </c>
    </row>
    <row r="6643">
      <c r="A6643" s="3" t="s">
        <v>19330</v>
      </c>
      <c r="B6643" s="3" t="s">
        <v>6211</v>
      </c>
      <c r="C6643" s="5" t="s">
        <v>206</v>
      </c>
      <c r="D6643" s="3" t="s">
        <v>68</v>
      </c>
      <c r="E6643" s="3" t="s">
        <v>100</v>
      </c>
      <c r="F6643" s="7">
        <v>45878.040988301975</v>
      </c>
      <c r="G6643" s="3" t="s">
        <v>3039</v>
      </c>
    </row>
    <row r="6644">
      <c r="A6644" s="3" t="s">
        <v>19331</v>
      </c>
      <c r="B6644" s="3" t="s">
        <v>6213</v>
      </c>
      <c r="C6644" s="5" t="s">
        <v>45</v>
      </c>
      <c r="D6644" s="3" t="s">
        <v>221</v>
      </c>
      <c r="E6644" s="3" t="s">
        <v>908</v>
      </c>
      <c r="F6644" s="7">
        <v>45878.10174648072</v>
      </c>
      <c r="G6644" s="3" t="s">
        <v>6857</v>
      </c>
    </row>
    <row r="6645">
      <c r="A6645" s="3" t="s">
        <v>19333</v>
      </c>
      <c r="B6645" s="3" t="s">
        <v>6213</v>
      </c>
      <c r="C6645" s="5" t="s">
        <v>221</v>
      </c>
      <c r="D6645" s="3" t="s">
        <v>195</v>
      </c>
      <c r="E6645" s="3" t="s">
        <v>908</v>
      </c>
      <c r="F6645" s="7">
        <v>45878.10521870294</v>
      </c>
      <c r="G6645" s="3" t="s">
        <v>19335</v>
      </c>
    </row>
    <row r="6646">
      <c r="A6646" s="3" t="s">
        <v>19336</v>
      </c>
      <c r="B6646" s="3" t="s">
        <v>6215</v>
      </c>
      <c r="C6646" s="5" t="s">
        <v>45</v>
      </c>
      <c r="D6646" s="3" t="s">
        <v>221</v>
      </c>
      <c r="E6646" s="3" t="s">
        <v>793</v>
      </c>
      <c r="F6646" s="7">
        <v>45878.172921326135</v>
      </c>
      <c r="G6646" s="3" t="s">
        <v>18235</v>
      </c>
    </row>
    <row r="6647">
      <c r="A6647" s="3" t="s">
        <v>19338</v>
      </c>
      <c r="B6647" s="3" t="s">
        <v>6215</v>
      </c>
      <c r="C6647" s="5" t="s">
        <v>221</v>
      </c>
      <c r="D6647" s="3" t="s">
        <v>614</v>
      </c>
      <c r="E6647" s="3" t="s">
        <v>118</v>
      </c>
      <c r="F6647" s="7">
        <v>45878.176393548354</v>
      </c>
      <c r="G6647" s="3" t="s">
        <v>18238</v>
      </c>
    </row>
    <row r="6648">
      <c r="A6648" s="3" t="s">
        <v>19340</v>
      </c>
      <c r="B6648" s="3" t="s">
        <v>6215</v>
      </c>
      <c r="C6648" s="5" t="s">
        <v>614</v>
      </c>
      <c r="D6648" s="3" t="s">
        <v>206</v>
      </c>
      <c r="E6648" s="3" t="s">
        <v>100</v>
      </c>
      <c r="F6648" s="7">
        <v>45878.17986577058</v>
      </c>
      <c r="G6648" s="3" t="s">
        <v>18241</v>
      </c>
    </row>
    <row r="6649">
      <c r="A6649" s="3" t="s">
        <v>19342</v>
      </c>
      <c r="B6649" s="3" t="s">
        <v>6215</v>
      </c>
      <c r="C6649" s="5" t="s">
        <v>206</v>
      </c>
      <c r="D6649" s="3" t="s">
        <v>68</v>
      </c>
      <c r="E6649" s="3" t="s">
        <v>100</v>
      </c>
      <c r="F6649" s="7">
        <v>45878.1833379928</v>
      </c>
      <c r="G6649" s="3" t="s">
        <v>18243</v>
      </c>
    </row>
    <row r="6650">
      <c r="A6650" s="3" t="s">
        <v>19344</v>
      </c>
      <c r="B6650" s="3" t="s">
        <v>6216</v>
      </c>
      <c r="C6650" s="5" t="s">
        <v>45</v>
      </c>
      <c r="D6650" s="3" t="s">
        <v>221</v>
      </c>
      <c r="E6650" s="3" t="s">
        <v>468</v>
      </c>
      <c r="F6650" s="7">
        <v>45878.244096171555</v>
      </c>
      <c r="G6650" s="3" t="s">
        <v>10975</v>
      </c>
    </row>
    <row r="6651">
      <c r="A6651" s="3" t="s">
        <v>19346</v>
      </c>
      <c r="B6651" s="3" t="s">
        <v>6216</v>
      </c>
      <c r="C6651" s="5" t="s">
        <v>221</v>
      </c>
      <c r="D6651" s="3" t="s">
        <v>614</v>
      </c>
      <c r="E6651" s="3" t="s">
        <v>118</v>
      </c>
      <c r="F6651" s="7">
        <v>45878.247568393774</v>
      </c>
      <c r="G6651" s="3" t="s">
        <v>10978</v>
      </c>
    </row>
    <row r="6652">
      <c r="A6652" s="3" t="s">
        <v>19348</v>
      </c>
      <c r="B6652" s="3" t="s">
        <v>6216</v>
      </c>
      <c r="C6652" s="5" t="s">
        <v>614</v>
      </c>
      <c r="D6652" s="3" t="s">
        <v>206</v>
      </c>
      <c r="E6652" s="3" t="s">
        <v>100</v>
      </c>
      <c r="F6652" s="7">
        <v>45878.251040616</v>
      </c>
      <c r="G6652" s="3" t="s">
        <v>10981</v>
      </c>
    </row>
    <row r="6653">
      <c r="A6653" s="3" t="s">
        <v>19350</v>
      </c>
      <c r="B6653" s="3" t="s">
        <v>6216</v>
      </c>
      <c r="C6653" s="5" t="s">
        <v>206</v>
      </c>
      <c r="D6653" s="3" t="s">
        <v>68</v>
      </c>
      <c r="E6653" s="3" t="s">
        <v>100</v>
      </c>
      <c r="F6653" s="7">
        <v>45878.25451283822</v>
      </c>
      <c r="G6653" s="3" t="s">
        <v>10984</v>
      </c>
    </row>
    <row r="6654">
      <c r="A6654" s="3" t="s">
        <v>19351</v>
      </c>
      <c r="B6654" s="3" t="s">
        <v>6218</v>
      </c>
      <c r="C6654" s="5" t="s">
        <v>45</v>
      </c>
      <c r="D6654" s="3" t="s">
        <v>221</v>
      </c>
      <c r="E6654" s="3" t="s">
        <v>333</v>
      </c>
      <c r="F6654" s="7">
        <v>45878.31527101697</v>
      </c>
      <c r="G6654" s="3" t="s">
        <v>19353</v>
      </c>
    </row>
    <row r="6655">
      <c r="A6655" s="3" t="s">
        <v>19354</v>
      </c>
      <c r="B6655" s="3" t="s">
        <v>6218</v>
      </c>
      <c r="C6655" s="5" t="s">
        <v>221</v>
      </c>
      <c r="D6655" s="3" t="s">
        <v>614</v>
      </c>
      <c r="E6655" s="3" t="s">
        <v>118</v>
      </c>
      <c r="F6655" s="7">
        <v>45878.318743239186</v>
      </c>
      <c r="G6655" s="3" t="s">
        <v>19356</v>
      </c>
    </row>
    <row r="6656">
      <c r="A6656" s="3" t="s">
        <v>19357</v>
      </c>
      <c r="B6656" s="3" t="s">
        <v>6218</v>
      </c>
      <c r="C6656" s="5" t="s">
        <v>614</v>
      </c>
      <c r="D6656" s="3" t="s">
        <v>206</v>
      </c>
      <c r="E6656" s="3" t="s">
        <v>100</v>
      </c>
      <c r="F6656" s="7">
        <v>45878.32221546141</v>
      </c>
      <c r="G6656" s="3" t="s">
        <v>19359</v>
      </c>
    </row>
    <row r="6657">
      <c r="A6657" s="3" t="s">
        <v>19360</v>
      </c>
      <c r="B6657" s="3" t="s">
        <v>6218</v>
      </c>
      <c r="C6657" s="5" t="s">
        <v>206</v>
      </c>
      <c r="D6657" s="3" t="s">
        <v>68</v>
      </c>
      <c r="E6657" s="3" t="s">
        <v>100</v>
      </c>
      <c r="F6657" s="7">
        <v>45878.32568768363</v>
      </c>
      <c r="G6657" s="3" t="s">
        <v>19361</v>
      </c>
    </row>
    <row r="6658">
      <c r="A6658" s="3" t="s">
        <v>19362</v>
      </c>
      <c r="B6658" s="3" t="s">
        <v>6221</v>
      </c>
      <c r="C6658" s="5" t="s">
        <v>45</v>
      </c>
      <c r="D6658" s="3" t="s">
        <v>221</v>
      </c>
      <c r="E6658" s="3" t="s">
        <v>819</v>
      </c>
      <c r="F6658" s="7">
        <v>45878.38644586238</v>
      </c>
      <c r="G6658" s="3" t="s">
        <v>3042</v>
      </c>
    </row>
    <row r="6659">
      <c r="A6659" s="3" t="s">
        <v>19364</v>
      </c>
      <c r="B6659" s="3" t="s">
        <v>6221</v>
      </c>
      <c r="C6659" s="5" t="s">
        <v>221</v>
      </c>
      <c r="D6659" s="3" t="s">
        <v>614</v>
      </c>
      <c r="E6659" s="3" t="s">
        <v>118</v>
      </c>
      <c r="F6659" s="7">
        <v>45878.3899180846</v>
      </c>
      <c r="G6659" s="3" t="s">
        <v>3045</v>
      </c>
    </row>
    <row r="6660">
      <c r="A6660" s="3" t="s">
        <v>19366</v>
      </c>
      <c r="B6660" s="3" t="s">
        <v>6221</v>
      </c>
      <c r="C6660" s="5" t="s">
        <v>614</v>
      </c>
      <c r="D6660" s="3" t="s">
        <v>206</v>
      </c>
      <c r="E6660" s="3" t="s">
        <v>100</v>
      </c>
      <c r="F6660" s="7">
        <v>45878.393390306825</v>
      </c>
      <c r="G6660" s="3" t="s">
        <v>3048</v>
      </c>
    </row>
    <row r="6661">
      <c r="A6661" s="3" t="s">
        <v>19368</v>
      </c>
      <c r="B6661" s="3" t="s">
        <v>6221</v>
      </c>
      <c r="C6661" s="5" t="s">
        <v>206</v>
      </c>
      <c r="D6661" s="3" t="s">
        <v>68</v>
      </c>
      <c r="E6661" s="3" t="s">
        <v>100</v>
      </c>
      <c r="F6661" s="7">
        <v>45878.39686252904</v>
      </c>
      <c r="G6661" s="3" t="s">
        <v>3051</v>
      </c>
    </row>
    <row r="6662">
      <c r="A6662" s="3" t="s">
        <v>19370</v>
      </c>
      <c r="B6662" s="3" t="s">
        <v>6225</v>
      </c>
      <c r="C6662" s="5" t="s">
        <v>45</v>
      </c>
      <c r="D6662" s="3" t="s">
        <v>221</v>
      </c>
      <c r="E6662" s="3" t="s">
        <v>442</v>
      </c>
      <c r="F6662" s="7">
        <v>45878.4576207078</v>
      </c>
      <c r="G6662" s="3" t="s">
        <v>19372</v>
      </c>
    </row>
    <row r="6663">
      <c r="A6663" s="3" t="s">
        <v>19373</v>
      </c>
      <c r="B6663" s="3" t="s">
        <v>6225</v>
      </c>
      <c r="C6663" s="5" t="s">
        <v>221</v>
      </c>
      <c r="D6663" s="3" t="s">
        <v>614</v>
      </c>
      <c r="E6663" s="3" t="s">
        <v>118</v>
      </c>
      <c r="F6663" s="7">
        <v>45878.46109293002</v>
      </c>
      <c r="G6663" s="3" t="s">
        <v>19374</v>
      </c>
    </row>
    <row r="6664">
      <c r="A6664" s="3" t="s">
        <v>19376</v>
      </c>
      <c r="B6664" s="3" t="s">
        <v>6225</v>
      </c>
      <c r="C6664" s="5" t="s">
        <v>614</v>
      </c>
      <c r="D6664" s="3" t="s">
        <v>206</v>
      </c>
      <c r="E6664" s="3" t="s">
        <v>100</v>
      </c>
      <c r="F6664" s="7">
        <v>45878.464565152244</v>
      </c>
      <c r="G6664" s="3" t="s">
        <v>19377</v>
      </c>
    </row>
    <row r="6665">
      <c r="A6665" s="3" t="s">
        <v>19378</v>
      </c>
      <c r="B6665" s="3" t="s">
        <v>6225</v>
      </c>
      <c r="C6665" s="5" t="s">
        <v>206</v>
      </c>
      <c r="D6665" s="3" t="s">
        <v>68</v>
      </c>
      <c r="E6665" s="3" t="s">
        <v>100</v>
      </c>
      <c r="F6665" s="7">
        <v>45878.46803737446</v>
      </c>
      <c r="G6665" s="3" t="s">
        <v>19380</v>
      </c>
    </row>
    <row r="6666">
      <c r="A6666" s="3" t="s">
        <v>19381</v>
      </c>
      <c r="B6666" s="3" t="s">
        <v>6228</v>
      </c>
      <c r="C6666" s="5" t="s">
        <v>45</v>
      </c>
      <c r="D6666" s="3" t="s">
        <v>221</v>
      </c>
      <c r="E6666" s="3" t="s">
        <v>953</v>
      </c>
      <c r="F6666" s="7">
        <v>45878.52879555322</v>
      </c>
      <c r="G6666" s="3" t="s">
        <v>19383</v>
      </c>
    </row>
    <row r="6667">
      <c r="A6667" s="3" t="s">
        <v>19384</v>
      </c>
      <c r="B6667" s="3" t="s">
        <v>6228</v>
      </c>
      <c r="C6667" s="5" t="s">
        <v>221</v>
      </c>
      <c r="D6667" s="3" t="s">
        <v>614</v>
      </c>
      <c r="E6667" s="3" t="s">
        <v>118</v>
      </c>
      <c r="F6667" s="7">
        <v>45878.53226777544</v>
      </c>
      <c r="G6667" s="3" t="s">
        <v>19386</v>
      </c>
    </row>
    <row r="6668">
      <c r="A6668" s="3" t="s">
        <v>19387</v>
      </c>
      <c r="B6668" s="3" t="s">
        <v>6228</v>
      </c>
      <c r="C6668" s="5" t="s">
        <v>614</v>
      </c>
      <c r="D6668" s="3" t="s">
        <v>206</v>
      </c>
      <c r="E6668" s="3" t="s">
        <v>100</v>
      </c>
      <c r="F6668" s="7">
        <v>45878.535739997664</v>
      </c>
      <c r="G6668" s="3" t="s">
        <v>19389</v>
      </c>
    </row>
    <row r="6669">
      <c r="A6669" s="3" t="s">
        <v>19390</v>
      </c>
      <c r="B6669" s="3" t="s">
        <v>6228</v>
      </c>
      <c r="C6669" s="5" t="s">
        <v>206</v>
      </c>
      <c r="D6669" s="3" t="s">
        <v>68</v>
      </c>
      <c r="E6669" s="3" t="s">
        <v>100</v>
      </c>
      <c r="F6669" s="7">
        <v>45878.53921221988</v>
      </c>
      <c r="G6669" s="3" t="s">
        <v>19391</v>
      </c>
    </row>
    <row r="6670">
      <c r="A6670" s="3" t="s">
        <v>19393</v>
      </c>
      <c r="B6670" s="3" t="s">
        <v>6230</v>
      </c>
      <c r="C6670" s="5" t="s">
        <v>45</v>
      </c>
      <c r="D6670" s="3" t="s">
        <v>221</v>
      </c>
      <c r="E6670" s="3" t="s">
        <v>676</v>
      </c>
      <c r="F6670" s="7">
        <v>45878.59997039863</v>
      </c>
      <c r="G6670" s="3" t="s">
        <v>19394</v>
      </c>
    </row>
    <row r="6671">
      <c r="A6671" s="3" t="s">
        <v>19396</v>
      </c>
      <c r="B6671" s="3" t="s">
        <v>6230</v>
      </c>
      <c r="C6671" s="5" t="s">
        <v>221</v>
      </c>
      <c r="D6671" s="3" t="s">
        <v>614</v>
      </c>
      <c r="E6671" s="3" t="s">
        <v>118</v>
      </c>
      <c r="F6671" s="7">
        <v>45878.60344262085</v>
      </c>
      <c r="G6671" s="3" t="s">
        <v>19397</v>
      </c>
    </row>
    <row r="6672">
      <c r="A6672" s="3" t="s">
        <v>19398</v>
      </c>
      <c r="B6672" s="3" t="s">
        <v>6230</v>
      </c>
      <c r="C6672" s="5" t="s">
        <v>614</v>
      </c>
      <c r="D6672" s="3" t="s">
        <v>206</v>
      </c>
      <c r="E6672" s="3" t="s">
        <v>100</v>
      </c>
      <c r="F6672" s="7">
        <v>45878.606914843076</v>
      </c>
      <c r="G6672" s="3" t="s">
        <v>19400</v>
      </c>
    </row>
    <row r="6673">
      <c r="A6673" s="3" t="s">
        <v>19401</v>
      </c>
      <c r="B6673" s="3" t="s">
        <v>6230</v>
      </c>
      <c r="C6673" s="5" t="s">
        <v>206</v>
      </c>
      <c r="D6673" s="3" t="s">
        <v>68</v>
      </c>
      <c r="E6673" s="3" t="s">
        <v>100</v>
      </c>
      <c r="F6673" s="7">
        <v>45878.610387065295</v>
      </c>
      <c r="G6673" s="3" t="s">
        <v>19403</v>
      </c>
    </row>
    <row r="6674">
      <c r="A6674" s="3" t="s">
        <v>19404</v>
      </c>
      <c r="B6674" s="3" t="s">
        <v>6233</v>
      </c>
      <c r="C6674" s="5" t="s">
        <v>45</v>
      </c>
      <c r="D6674" s="3" t="s">
        <v>221</v>
      </c>
      <c r="E6674" s="3" t="s">
        <v>694</v>
      </c>
      <c r="F6674" s="7">
        <v>45878.67114524404</v>
      </c>
      <c r="G6674" s="3" t="s">
        <v>3058</v>
      </c>
    </row>
    <row r="6675">
      <c r="A6675" s="3" t="s">
        <v>19406</v>
      </c>
      <c r="B6675" s="3" t="s">
        <v>6233</v>
      </c>
      <c r="C6675" s="5" t="s">
        <v>221</v>
      </c>
      <c r="D6675" s="3" t="s">
        <v>614</v>
      </c>
      <c r="E6675" s="3" t="s">
        <v>118</v>
      </c>
      <c r="F6675" s="7">
        <v>45878.67461746626</v>
      </c>
      <c r="G6675" s="3" t="s">
        <v>3061</v>
      </c>
    </row>
    <row r="6676">
      <c r="A6676" s="3" t="s">
        <v>19408</v>
      </c>
      <c r="B6676" s="3" t="s">
        <v>6233</v>
      </c>
      <c r="C6676" s="5" t="s">
        <v>614</v>
      </c>
      <c r="D6676" s="3" t="s">
        <v>206</v>
      </c>
      <c r="E6676" s="3" t="s">
        <v>100</v>
      </c>
      <c r="F6676" s="7">
        <v>45878.67808968849</v>
      </c>
      <c r="G6676" s="3" t="s">
        <v>3064</v>
      </c>
    </row>
    <row r="6677">
      <c r="A6677" s="3" t="s">
        <v>19409</v>
      </c>
      <c r="B6677" s="3" t="s">
        <v>6233</v>
      </c>
      <c r="C6677" s="5" t="s">
        <v>206</v>
      </c>
      <c r="D6677" s="3" t="s">
        <v>68</v>
      </c>
      <c r="E6677" s="3" t="s">
        <v>100</v>
      </c>
      <c r="F6677" s="7">
        <v>45878.68156191071</v>
      </c>
      <c r="G6677" s="3" t="s">
        <v>3067</v>
      </c>
    </row>
    <row r="6678">
      <c r="A6678" s="3" t="s">
        <v>19411</v>
      </c>
      <c r="B6678" s="3" t="s">
        <v>6236</v>
      </c>
      <c r="C6678" s="5" t="s">
        <v>45</v>
      </c>
      <c r="D6678" s="3" t="s">
        <v>221</v>
      </c>
      <c r="E6678" s="3" t="s">
        <v>336</v>
      </c>
      <c r="F6678" s="7">
        <v>45878.74232008946</v>
      </c>
      <c r="G6678" s="3" t="s">
        <v>3084</v>
      </c>
    </row>
    <row r="6679">
      <c r="A6679" s="3" t="s">
        <v>19413</v>
      </c>
      <c r="B6679" s="3" t="s">
        <v>6236</v>
      </c>
      <c r="C6679" s="5" t="s">
        <v>221</v>
      </c>
      <c r="D6679" s="3" t="s">
        <v>614</v>
      </c>
      <c r="E6679" s="3" t="s">
        <v>118</v>
      </c>
      <c r="F6679" s="7">
        <v>45878.74579231168</v>
      </c>
      <c r="G6679" s="3" t="s">
        <v>3087</v>
      </c>
    </row>
    <row r="6680">
      <c r="A6680" s="3" t="s">
        <v>19415</v>
      </c>
      <c r="B6680" s="3" t="s">
        <v>6236</v>
      </c>
      <c r="C6680" s="5" t="s">
        <v>614</v>
      </c>
      <c r="D6680" s="3" t="s">
        <v>206</v>
      </c>
      <c r="E6680" s="3" t="s">
        <v>100</v>
      </c>
      <c r="F6680" s="7">
        <v>45878.74926453391</v>
      </c>
      <c r="G6680" s="3" t="s">
        <v>3090</v>
      </c>
    </row>
    <row r="6681">
      <c r="A6681" s="3" t="s">
        <v>19417</v>
      </c>
      <c r="B6681" s="3" t="s">
        <v>6236</v>
      </c>
      <c r="C6681" s="5" t="s">
        <v>206</v>
      </c>
      <c r="D6681" s="3" t="s">
        <v>68</v>
      </c>
      <c r="E6681" s="3" t="s">
        <v>100</v>
      </c>
      <c r="F6681" s="7">
        <v>45878.75273675613</v>
      </c>
      <c r="G6681" s="3" t="s">
        <v>3093</v>
      </c>
    </row>
    <row r="6682">
      <c r="A6682" s="3" t="s">
        <v>19419</v>
      </c>
      <c r="B6682" s="3" t="s">
        <v>6239</v>
      </c>
      <c r="C6682" s="5" t="s">
        <v>45</v>
      </c>
      <c r="D6682" s="3" t="s">
        <v>221</v>
      </c>
      <c r="E6682" s="3" t="s">
        <v>510</v>
      </c>
      <c r="F6682" s="7">
        <v>45878.813494934875</v>
      </c>
      <c r="G6682" s="3" t="s">
        <v>2770</v>
      </c>
    </row>
    <row r="6683">
      <c r="A6683" s="3" t="s">
        <v>19420</v>
      </c>
      <c r="B6683" s="3" t="s">
        <v>6239</v>
      </c>
      <c r="C6683" s="5" t="s">
        <v>221</v>
      </c>
      <c r="D6683" s="3" t="s">
        <v>181</v>
      </c>
      <c r="E6683" s="3" t="s">
        <v>118</v>
      </c>
      <c r="F6683" s="7">
        <v>45878.816967157094</v>
      </c>
      <c r="G6683" s="3" t="s">
        <v>2774</v>
      </c>
    </row>
    <row r="6684">
      <c r="A6684" s="3" t="s">
        <v>19422</v>
      </c>
      <c r="B6684" s="3" t="s">
        <v>6242</v>
      </c>
      <c r="C6684" s="5" t="s">
        <v>45</v>
      </c>
      <c r="D6684" s="3" t="s">
        <v>221</v>
      </c>
      <c r="E6684" s="3" t="s">
        <v>702</v>
      </c>
      <c r="F6684" s="7">
        <v>45878.88466978029</v>
      </c>
      <c r="G6684" s="3" t="s">
        <v>19424</v>
      </c>
    </row>
    <row r="6685">
      <c r="A6685" s="3" t="s">
        <v>19425</v>
      </c>
      <c r="B6685" s="3" t="s">
        <v>6242</v>
      </c>
      <c r="C6685" s="5" t="s">
        <v>221</v>
      </c>
      <c r="D6685" s="3" t="s">
        <v>614</v>
      </c>
      <c r="E6685" s="3" t="s">
        <v>118</v>
      </c>
      <c r="F6685" s="7">
        <v>45878.888142002506</v>
      </c>
      <c r="G6685" s="3" t="s">
        <v>19427</v>
      </c>
    </row>
    <row r="6686">
      <c r="A6686" s="3" t="s">
        <v>19428</v>
      </c>
      <c r="B6686" s="3" t="s">
        <v>6242</v>
      </c>
      <c r="C6686" s="5" t="s">
        <v>614</v>
      </c>
      <c r="D6686" s="3" t="s">
        <v>206</v>
      </c>
      <c r="E6686" s="3" t="s">
        <v>100</v>
      </c>
      <c r="F6686" s="7">
        <v>45878.89161422473</v>
      </c>
      <c r="G6686" s="3" t="s">
        <v>19430</v>
      </c>
    </row>
    <row r="6687">
      <c r="A6687" s="3" t="s">
        <v>19431</v>
      </c>
      <c r="B6687" s="3" t="s">
        <v>6242</v>
      </c>
      <c r="C6687" s="5" t="s">
        <v>206</v>
      </c>
      <c r="D6687" s="3" t="s">
        <v>68</v>
      </c>
      <c r="E6687" s="3" t="s">
        <v>100</v>
      </c>
      <c r="F6687" s="7">
        <v>45878.89508644695</v>
      </c>
      <c r="G6687" s="3" t="s">
        <v>19432</v>
      </c>
    </row>
    <row r="6688">
      <c r="A6688" s="3" t="s">
        <v>19434</v>
      </c>
      <c r="B6688" s="3" t="s">
        <v>6245</v>
      </c>
      <c r="C6688" s="5" t="s">
        <v>45</v>
      </c>
      <c r="D6688" s="3" t="s">
        <v>221</v>
      </c>
      <c r="E6688" s="3" t="s">
        <v>380</v>
      </c>
      <c r="F6688" s="7">
        <v>45878.95584462571</v>
      </c>
      <c r="G6688" s="3" t="s">
        <v>19435</v>
      </c>
    </row>
    <row r="6689">
      <c r="A6689" s="3" t="s">
        <v>19437</v>
      </c>
      <c r="B6689" s="3" t="s">
        <v>6245</v>
      </c>
      <c r="C6689" s="5" t="s">
        <v>221</v>
      </c>
      <c r="D6689" s="3" t="s">
        <v>614</v>
      </c>
      <c r="E6689" s="3" t="s">
        <v>118</v>
      </c>
      <c r="F6689" s="7">
        <v>45878.959316847926</v>
      </c>
      <c r="G6689" s="3" t="s">
        <v>19438</v>
      </c>
    </row>
    <row r="6690">
      <c r="A6690" s="3" t="s">
        <v>19439</v>
      </c>
      <c r="B6690" s="3" t="s">
        <v>6245</v>
      </c>
      <c r="C6690" s="5" t="s">
        <v>614</v>
      </c>
      <c r="D6690" s="3" t="s">
        <v>206</v>
      </c>
      <c r="E6690" s="3" t="s">
        <v>100</v>
      </c>
      <c r="F6690" s="7">
        <v>45878.96278907015</v>
      </c>
      <c r="G6690" s="3" t="s">
        <v>19441</v>
      </c>
    </row>
    <row r="6691">
      <c r="A6691" s="3" t="s">
        <v>19442</v>
      </c>
      <c r="B6691" s="3" t="s">
        <v>6245</v>
      </c>
      <c r="C6691" s="5" t="s">
        <v>206</v>
      </c>
      <c r="D6691" s="3" t="s">
        <v>68</v>
      </c>
      <c r="E6691" s="3" t="s">
        <v>100</v>
      </c>
      <c r="F6691" s="7">
        <v>45878.96626129237</v>
      </c>
      <c r="G6691" s="3" t="s">
        <v>19443</v>
      </c>
    </row>
    <row r="6692">
      <c r="A6692" s="3" t="s">
        <v>19444</v>
      </c>
      <c r="B6692" s="3" t="s">
        <v>6249</v>
      </c>
      <c r="C6692" s="5" t="s">
        <v>45</v>
      </c>
      <c r="D6692" s="3" t="s">
        <v>221</v>
      </c>
      <c r="E6692" s="3" t="s">
        <v>330</v>
      </c>
      <c r="F6692" s="7">
        <v>45879.02701947112</v>
      </c>
      <c r="G6692" s="3" t="s">
        <v>14875</v>
      </c>
    </row>
    <row r="6693">
      <c r="A6693" s="3" t="s">
        <v>19446</v>
      </c>
      <c r="B6693" s="3" t="s">
        <v>6249</v>
      </c>
      <c r="C6693" s="5" t="s">
        <v>221</v>
      </c>
      <c r="D6693" s="3" t="s">
        <v>614</v>
      </c>
      <c r="E6693" s="3" t="s">
        <v>118</v>
      </c>
      <c r="F6693" s="7">
        <v>45879.03049169334</v>
      </c>
      <c r="G6693" s="3" t="s">
        <v>14878</v>
      </c>
    </row>
    <row r="6694">
      <c r="A6694" s="3" t="s">
        <v>19448</v>
      </c>
      <c r="B6694" s="3" t="s">
        <v>6249</v>
      </c>
      <c r="C6694" s="5" t="s">
        <v>614</v>
      </c>
      <c r="D6694" s="3" t="s">
        <v>206</v>
      </c>
      <c r="E6694" s="3" t="s">
        <v>100</v>
      </c>
      <c r="F6694" s="7">
        <v>45879.033963915565</v>
      </c>
      <c r="G6694" s="3" t="s">
        <v>14881</v>
      </c>
    </row>
    <row r="6695">
      <c r="A6695" s="3" t="s">
        <v>19450</v>
      </c>
      <c r="B6695" s="3" t="s">
        <v>6249</v>
      </c>
      <c r="C6695" s="5" t="s">
        <v>206</v>
      </c>
      <c r="D6695" s="3" t="s">
        <v>68</v>
      </c>
      <c r="E6695" s="3" t="s">
        <v>100</v>
      </c>
      <c r="F6695" s="7">
        <v>45879.03743613778</v>
      </c>
      <c r="G6695" s="3" t="s">
        <v>14884</v>
      </c>
    </row>
    <row r="6696">
      <c r="A6696" s="3" t="s">
        <v>19452</v>
      </c>
      <c r="B6696" s="3" t="s">
        <v>6252</v>
      </c>
      <c r="C6696" s="5" t="s">
        <v>45</v>
      </c>
      <c r="D6696" s="3" t="s">
        <v>221</v>
      </c>
      <c r="E6696" s="3" t="s">
        <v>130</v>
      </c>
      <c r="F6696" s="7">
        <v>45879.09819431653</v>
      </c>
      <c r="G6696" s="3" t="s">
        <v>19453</v>
      </c>
    </row>
    <row r="6697">
      <c r="A6697" s="3" t="s">
        <v>19454</v>
      </c>
      <c r="B6697" s="3" t="s">
        <v>6252</v>
      </c>
      <c r="C6697" s="5" t="s">
        <v>221</v>
      </c>
      <c r="D6697" s="3" t="s">
        <v>614</v>
      </c>
      <c r="E6697" s="3" t="s">
        <v>118</v>
      </c>
      <c r="F6697" s="7">
        <v>45879.10166653875</v>
      </c>
      <c r="G6697" s="3" t="s">
        <v>19456</v>
      </c>
    </row>
    <row r="6698">
      <c r="A6698" s="3" t="s">
        <v>19457</v>
      </c>
      <c r="B6698" s="3" t="s">
        <v>6252</v>
      </c>
      <c r="C6698" s="5" t="s">
        <v>614</v>
      </c>
      <c r="D6698" s="3" t="s">
        <v>206</v>
      </c>
      <c r="E6698" s="3" t="s">
        <v>100</v>
      </c>
      <c r="F6698" s="7">
        <v>45879.10513876098</v>
      </c>
      <c r="G6698" s="3" t="s">
        <v>19459</v>
      </c>
    </row>
    <row r="6699">
      <c r="A6699" s="3" t="s">
        <v>19460</v>
      </c>
      <c r="B6699" s="3" t="s">
        <v>6252</v>
      </c>
      <c r="C6699" s="5" t="s">
        <v>206</v>
      </c>
      <c r="D6699" s="3" t="s">
        <v>68</v>
      </c>
      <c r="E6699" s="3" t="s">
        <v>100</v>
      </c>
      <c r="F6699" s="7">
        <v>45879.108610983196</v>
      </c>
      <c r="G6699" s="3" t="s">
        <v>19462</v>
      </c>
    </row>
    <row r="6700">
      <c r="A6700" s="3" t="s">
        <v>19463</v>
      </c>
      <c r="B6700" s="3" t="s">
        <v>6255</v>
      </c>
      <c r="C6700" s="5" t="s">
        <v>45</v>
      </c>
      <c r="D6700" s="3" t="s">
        <v>221</v>
      </c>
      <c r="E6700" s="3" t="s">
        <v>204</v>
      </c>
      <c r="F6700" s="7">
        <v>45879.16936916195</v>
      </c>
      <c r="G6700" s="3" t="s">
        <v>17592</v>
      </c>
    </row>
    <row r="6701">
      <c r="A6701" s="3" t="s">
        <v>19465</v>
      </c>
      <c r="B6701" s="3" t="s">
        <v>6255</v>
      </c>
      <c r="C6701" s="5" t="s">
        <v>221</v>
      </c>
      <c r="D6701" s="3" t="s">
        <v>614</v>
      </c>
      <c r="E6701" s="3" t="s">
        <v>118</v>
      </c>
      <c r="F6701" s="7">
        <v>45879.17284138417</v>
      </c>
      <c r="G6701" s="3" t="s">
        <v>19466</v>
      </c>
    </row>
    <row r="6702">
      <c r="A6702" s="3" t="s">
        <v>19468</v>
      </c>
      <c r="B6702" s="3" t="s">
        <v>6255</v>
      </c>
      <c r="C6702" s="5" t="s">
        <v>614</v>
      </c>
      <c r="D6702" s="3" t="s">
        <v>206</v>
      </c>
      <c r="E6702" s="3" t="s">
        <v>100</v>
      </c>
      <c r="F6702" s="7">
        <v>45879.1763136064</v>
      </c>
      <c r="G6702" s="3" t="s">
        <v>19469</v>
      </c>
    </row>
    <row r="6703">
      <c r="A6703" s="3" t="s">
        <v>19470</v>
      </c>
      <c r="B6703" s="3" t="s">
        <v>6255</v>
      </c>
      <c r="C6703" s="5" t="s">
        <v>206</v>
      </c>
      <c r="D6703" s="3" t="s">
        <v>68</v>
      </c>
      <c r="E6703" s="3" t="s">
        <v>100</v>
      </c>
      <c r="F6703" s="7">
        <v>45879.179785828615</v>
      </c>
      <c r="G6703" s="3" t="s">
        <v>19472</v>
      </c>
    </row>
    <row r="6704">
      <c r="A6704" s="3" t="s">
        <v>19473</v>
      </c>
      <c r="B6704" s="3" t="s">
        <v>6258</v>
      </c>
      <c r="C6704" s="5" t="s">
        <v>45</v>
      </c>
      <c r="D6704" s="3" t="s">
        <v>221</v>
      </c>
      <c r="E6704" s="3" t="s">
        <v>307</v>
      </c>
      <c r="F6704" s="7">
        <v>45879.24054400736</v>
      </c>
      <c r="G6704" s="3" t="s">
        <v>19475</v>
      </c>
    </row>
    <row r="6705">
      <c r="A6705" s="3" t="s">
        <v>19476</v>
      </c>
      <c r="B6705" s="3" t="s">
        <v>6258</v>
      </c>
      <c r="C6705" s="5" t="s">
        <v>221</v>
      </c>
      <c r="D6705" s="3" t="s">
        <v>614</v>
      </c>
      <c r="E6705" s="3" t="s">
        <v>118</v>
      </c>
      <c r="F6705" s="7">
        <v>45879.24401622958</v>
      </c>
      <c r="G6705" s="3" t="s">
        <v>19478</v>
      </c>
    </row>
    <row r="6706">
      <c r="A6706" s="3" t="s">
        <v>19479</v>
      </c>
      <c r="B6706" s="3" t="s">
        <v>6258</v>
      </c>
      <c r="C6706" s="5" t="s">
        <v>614</v>
      </c>
      <c r="D6706" s="3" t="s">
        <v>206</v>
      </c>
      <c r="E6706" s="3" t="s">
        <v>100</v>
      </c>
      <c r="F6706" s="7">
        <v>45879.24748845181</v>
      </c>
      <c r="G6706" s="3" t="s">
        <v>19481</v>
      </c>
    </row>
    <row r="6707">
      <c r="A6707" s="3" t="s">
        <v>19482</v>
      </c>
      <c r="B6707" s="3" t="s">
        <v>6258</v>
      </c>
      <c r="C6707" s="5" t="s">
        <v>206</v>
      </c>
      <c r="D6707" s="3" t="s">
        <v>68</v>
      </c>
      <c r="E6707" s="3" t="s">
        <v>100</v>
      </c>
      <c r="F6707" s="7">
        <v>45879.25096067403</v>
      </c>
      <c r="G6707" s="3" t="s">
        <v>19483</v>
      </c>
    </row>
    <row r="6708">
      <c r="A6708" s="3" t="s">
        <v>19485</v>
      </c>
      <c r="B6708" s="3" t="s">
        <v>6262</v>
      </c>
      <c r="C6708" s="5" t="s">
        <v>45</v>
      </c>
      <c r="D6708" s="3" t="s">
        <v>221</v>
      </c>
      <c r="E6708" s="3" t="s">
        <v>559</v>
      </c>
      <c r="F6708" s="7">
        <v>45879.311718852776</v>
      </c>
      <c r="G6708" s="3" t="s">
        <v>19486</v>
      </c>
    </row>
    <row r="6709">
      <c r="A6709" s="3" t="s">
        <v>19488</v>
      </c>
      <c r="B6709" s="3" t="s">
        <v>6262</v>
      </c>
      <c r="C6709" s="5" t="s">
        <v>221</v>
      </c>
      <c r="D6709" s="3" t="s">
        <v>614</v>
      </c>
      <c r="E6709" s="3" t="s">
        <v>118</v>
      </c>
      <c r="F6709" s="7">
        <v>45879.315191074995</v>
      </c>
      <c r="G6709" s="3" t="s">
        <v>19489</v>
      </c>
    </row>
    <row r="6710">
      <c r="A6710" s="3" t="s">
        <v>19490</v>
      </c>
      <c r="B6710" s="3" t="s">
        <v>6262</v>
      </c>
      <c r="C6710" s="5" t="s">
        <v>614</v>
      </c>
      <c r="D6710" s="3" t="s">
        <v>206</v>
      </c>
      <c r="E6710" s="3" t="s">
        <v>100</v>
      </c>
      <c r="F6710" s="7">
        <v>45879.31866329722</v>
      </c>
      <c r="G6710" s="3" t="s">
        <v>19492</v>
      </c>
    </row>
    <row r="6711">
      <c r="A6711" s="3" t="s">
        <v>19493</v>
      </c>
      <c r="B6711" s="3" t="s">
        <v>6262</v>
      </c>
      <c r="C6711" s="5" t="s">
        <v>206</v>
      </c>
      <c r="D6711" s="3" t="s">
        <v>68</v>
      </c>
      <c r="E6711" s="3" t="s">
        <v>100</v>
      </c>
      <c r="F6711" s="7">
        <v>45879.32213551944</v>
      </c>
      <c r="G6711" s="3" t="s">
        <v>19494</v>
      </c>
    </row>
    <row r="6712">
      <c r="A6712" s="3" t="s">
        <v>19496</v>
      </c>
      <c r="B6712" s="3" t="s">
        <v>6265</v>
      </c>
      <c r="C6712" s="5" t="s">
        <v>45</v>
      </c>
      <c r="D6712" s="3" t="s">
        <v>221</v>
      </c>
      <c r="E6712" s="3" t="s">
        <v>533</v>
      </c>
      <c r="F6712" s="7">
        <v>45879.382893698195</v>
      </c>
      <c r="G6712" s="3" t="s">
        <v>3099</v>
      </c>
    </row>
    <row r="6713">
      <c r="A6713" s="3" t="s">
        <v>19497</v>
      </c>
      <c r="B6713" s="3" t="s">
        <v>6265</v>
      </c>
      <c r="C6713" s="5" t="s">
        <v>221</v>
      </c>
      <c r="D6713" s="3" t="s">
        <v>614</v>
      </c>
      <c r="E6713" s="3" t="s">
        <v>118</v>
      </c>
      <c r="F6713" s="7">
        <v>45879.386365920414</v>
      </c>
      <c r="G6713" s="3" t="s">
        <v>3102</v>
      </c>
    </row>
    <row r="6714">
      <c r="A6714" s="3" t="s">
        <v>19499</v>
      </c>
      <c r="B6714" s="3" t="s">
        <v>6265</v>
      </c>
      <c r="C6714" s="5" t="s">
        <v>614</v>
      </c>
      <c r="D6714" s="3" t="s">
        <v>206</v>
      </c>
      <c r="E6714" s="3" t="s">
        <v>100</v>
      </c>
      <c r="F6714" s="7">
        <v>45879.38983814264</v>
      </c>
      <c r="G6714" s="3" t="s">
        <v>3105</v>
      </c>
    </row>
    <row r="6715">
      <c r="A6715" s="3" t="s">
        <v>19501</v>
      </c>
      <c r="B6715" s="3" t="s">
        <v>6265</v>
      </c>
      <c r="C6715" s="5" t="s">
        <v>206</v>
      </c>
      <c r="D6715" s="3" t="s">
        <v>68</v>
      </c>
      <c r="E6715" s="3" t="s">
        <v>100</v>
      </c>
      <c r="F6715" s="7">
        <v>45879.39331036486</v>
      </c>
      <c r="G6715" s="3" t="s">
        <v>3108</v>
      </c>
    </row>
    <row r="6716">
      <c r="A6716" s="3" t="s">
        <v>19503</v>
      </c>
      <c r="B6716" s="3" t="s">
        <v>6268</v>
      </c>
      <c r="C6716" s="5" t="s">
        <v>45</v>
      </c>
      <c r="D6716" s="3" t="s">
        <v>221</v>
      </c>
      <c r="E6716" s="3" t="s">
        <v>609</v>
      </c>
      <c r="F6716" s="7">
        <v>45879.454068543615</v>
      </c>
      <c r="G6716" s="3" t="s">
        <v>19505</v>
      </c>
    </row>
    <row r="6717">
      <c r="A6717" s="3" t="s">
        <v>19506</v>
      </c>
      <c r="B6717" s="3" t="s">
        <v>6268</v>
      </c>
      <c r="C6717" s="5" t="s">
        <v>221</v>
      </c>
      <c r="D6717" s="3" t="s">
        <v>614</v>
      </c>
      <c r="E6717" s="3" t="s">
        <v>118</v>
      </c>
      <c r="F6717" s="7">
        <v>45879.457540765834</v>
      </c>
      <c r="G6717" s="3" t="s">
        <v>19507</v>
      </c>
    </row>
    <row r="6718">
      <c r="A6718" s="3" t="s">
        <v>19509</v>
      </c>
      <c r="B6718" s="3" t="s">
        <v>6268</v>
      </c>
      <c r="C6718" s="5" t="s">
        <v>614</v>
      </c>
      <c r="D6718" s="3" t="s">
        <v>206</v>
      </c>
      <c r="E6718" s="3" t="s">
        <v>100</v>
      </c>
      <c r="F6718" s="7">
        <v>45879.46101298806</v>
      </c>
      <c r="G6718" s="3" t="s">
        <v>19510</v>
      </c>
    </row>
    <row r="6719">
      <c r="A6719" s="3" t="s">
        <v>19511</v>
      </c>
      <c r="B6719" s="3" t="s">
        <v>6268</v>
      </c>
      <c r="C6719" s="5" t="s">
        <v>206</v>
      </c>
      <c r="D6719" s="3" t="s">
        <v>68</v>
      </c>
      <c r="E6719" s="3" t="s">
        <v>100</v>
      </c>
      <c r="F6719" s="7">
        <v>45879.46448521028</v>
      </c>
      <c r="G6719" s="3" t="s">
        <v>19513</v>
      </c>
    </row>
    <row r="6720">
      <c r="A6720" s="3" t="s">
        <v>19514</v>
      </c>
      <c r="B6720" s="3" t="s">
        <v>6271</v>
      </c>
      <c r="C6720" s="5" t="s">
        <v>45</v>
      </c>
      <c r="D6720" s="3" t="s">
        <v>221</v>
      </c>
      <c r="E6720" s="3" t="s">
        <v>574</v>
      </c>
      <c r="F6720" s="7">
        <v>45879.52524338902</v>
      </c>
      <c r="G6720" s="3" t="s">
        <v>3111</v>
      </c>
    </row>
    <row r="6721">
      <c r="A6721" s="3" t="s">
        <v>19516</v>
      </c>
      <c r="B6721" s="3" t="s">
        <v>6271</v>
      </c>
      <c r="C6721" s="5" t="s">
        <v>221</v>
      </c>
      <c r="D6721" s="3" t="s">
        <v>614</v>
      </c>
      <c r="E6721" s="3" t="s">
        <v>118</v>
      </c>
      <c r="F6721" s="7">
        <v>45879.52871561124</v>
      </c>
      <c r="G6721" s="3" t="s">
        <v>3114</v>
      </c>
    </row>
    <row r="6722">
      <c r="A6722" s="3" t="s">
        <v>19518</v>
      </c>
      <c r="B6722" s="3" t="s">
        <v>6271</v>
      </c>
      <c r="C6722" s="5" t="s">
        <v>614</v>
      </c>
      <c r="D6722" s="3" t="s">
        <v>206</v>
      </c>
      <c r="E6722" s="3" t="s">
        <v>100</v>
      </c>
      <c r="F6722" s="7">
        <v>45879.532187833465</v>
      </c>
      <c r="G6722" s="3" t="s">
        <v>3117</v>
      </c>
    </row>
    <row r="6723">
      <c r="A6723" s="3" t="s">
        <v>19520</v>
      </c>
      <c r="B6723" s="3" t="s">
        <v>6271</v>
      </c>
      <c r="C6723" s="5" t="s">
        <v>206</v>
      </c>
      <c r="D6723" s="3" t="s">
        <v>68</v>
      </c>
      <c r="E6723" s="3" t="s">
        <v>100</v>
      </c>
      <c r="F6723" s="7">
        <v>45879.535660055684</v>
      </c>
      <c r="G6723" s="3" t="s">
        <v>3120</v>
      </c>
    </row>
    <row r="6724">
      <c r="A6724" s="3" t="s">
        <v>19522</v>
      </c>
      <c r="B6724" s="3" t="s">
        <v>6274</v>
      </c>
      <c r="C6724" s="5" t="s">
        <v>45</v>
      </c>
      <c r="D6724" s="3" t="s">
        <v>221</v>
      </c>
      <c r="E6724" s="3" t="s">
        <v>596</v>
      </c>
      <c r="F6724" s="7">
        <v>45879.59641823444</v>
      </c>
      <c r="G6724" s="3" t="s">
        <v>2770</v>
      </c>
    </row>
    <row r="6725">
      <c r="A6725" s="3" t="s">
        <v>19523</v>
      </c>
      <c r="B6725" s="3" t="s">
        <v>6274</v>
      </c>
      <c r="C6725" s="5" t="s">
        <v>221</v>
      </c>
      <c r="D6725" s="3" t="s">
        <v>181</v>
      </c>
      <c r="E6725" s="3" t="s">
        <v>118</v>
      </c>
      <c r="F6725" s="7">
        <v>45879.59989045666</v>
      </c>
      <c r="G6725" s="3" t="s">
        <v>2774</v>
      </c>
    </row>
    <row r="6726">
      <c r="A6726" s="3" t="s">
        <v>19525</v>
      </c>
      <c r="B6726" s="3" t="s">
        <v>6278</v>
      </c>
      <c r="C6726" s="5" t="s">
        <v>45</v>
      </c>
      <c r="D6726" s="3" t="s">
        <v>221</v>
      </c>
      <c r="E6726" s="3" t="s">
        <v>272</v>
      </c>
      <c r="F6726" s="7">
        <v>45879.66759307986</v>
      </c>
      <c r="G6726" s="3" t="s">
        <v>4330</v>
      </c>
    </row>
    <row r="6727">
      <c r="A6727" s="3" t="s">
        <v>19527</v>
      </c>
      <c r="B6727" s="3" t="s">
        <v>6278</v>
      </c>
      <c r="C6727" s="5" t="s">
        <v>221</v>
      </c>
      <c r="D6727" s="3" t="s">
        <v>614</v>
      </c>
      <c r="E6727" s="3" t="s">
        <v>118</v>
      </c>
      <c r="F6727" s="7">
        <v>45879.67106530208</v>
      </c>
      <c r="G6727" s="3" t="s">
        <v>4333</v>
      </c>
    </row>
    <row r="6728">
      <c r="A6728" s="3" t="s">
        <v>19529</v>
      </c>
      <c r="B6728" s="3" t="s">
        <v>6278</v>
      </c>
      <c r="C6728" s="5" t="s">
        <v>614</v>
      </c>
      <c r="D6728" s="3" t="s">
        <v>206</v>
      </c>
      <c r="E6728" s="3" t="s">
        <v>100</v>
      </c>
      <c r="F6728" s="7">
        <v>45879.674537524304</v>
      </c>
      <c r="G6728" s="3" t="s">
        <v>4336</v>
      </c>
    </row>
    <row r="6729">
      <c r="A6729" s="3" t="s">
        <v>19531</v>
      </c>
      <c r="B6729" s="3" t="s">
        <v>6278</v>
      </c>
      <c r="C6729" s="5" t="s">
        <v>206</v>
      </c>
      <c r="D6729" s="3" t="s">
        <v>68</v>
      </c>
      <c r="E6729" s="3" t="s">
        <v>100</v>
      </c>
      <c r="F6729" s="7">
        <v>45879.67800974652</v>
      </c>
      <c r="G6729" s="3" t="s">
        <v>4339</v>
      </c>
    </row>
    <row r="6730">
      <c r="A6730" s="3" t="s">
        <v>19533</v>
      </c>
      <c r="B6730" s="3" t="s">
        <v>6281</v>
      </c>
      <c r="C6730" s="5" t="s">
        <v>45</v>
      </c>
      <c r="D6730" s="3" t="s">
        <v>221</v>
      </c>
      <c r="E6730" s="3" t="s">
        <v>793</v>
      </c>
      <c r="F6730" s="7">
        <v>45879.73876792527</v>
      </c>
      <c r="G6730" s="3" t="s">
        <v>18235</v>
      </c>
    </row>
    <row r="6731">
      <c r="A6731" s="3" t="s">
        <v>19535</v>
      </c>
      <c r="B6731" s="3" t="s">
        <v>6281</v>
      </c>
      <c r="C6731" s="5" t="s">
        <v>221</v>
      </c>
      <c r="D6731" s="3" t="s">
        <v>614</v>
      </c>
      <c r="E6731" s="3" t="s">
        <v>118</v>
      </c>
      <c r="F6731" s="7">
        <v>45879.74224014749</v>
      </c>
      <c r="G6731" s="3" t="s">
        <v>18238</v>
      </c>
    </row>
    <row r="6732">
      <c r="A6732" s="3" t="s">
        <v>19536</v>
      </c>
      <c r="B6732" s="3" t="s">
        <v>6281</v>
      </c>
      <c r="C6732" s="5" t="s">
        <v>614</v>
      </c>
      <c r="D6732" s="3" t="s">
        <v>206</v>
      </c>
      <c r="E6732" s="3" t="s">
        <v>100</v>
      </c>
      <c r="F6732" s="7">
        <v>45879.74571236972</v>
      </c>
      <c r="G6732" s="3" t="s">
        <v>18241</v>
      </c>
    </row>
    <row r="6733">
      <c r="A6733" s="3" t="s">
        <v>19538</v>
      </c>
      <c r="B6733" s="3" t="s">
        <v>6281</v>
      </c>
      <c r="C6733" s="5" t="s">
        <v>206</v>
      </c>
      <c r="D6733" s="3" t="s">
        <v>68</v>
      </c>
      <c r="E6733" s="3" t="s">
        <v>100</v>
      </c>
      <c r="F6733" s="7">
        <v>45879.749184591936</v>
      </c>
      <c r="G6733" s="3" t="s">
        <v>18243</v>
      </c>
    </row>
    <row r="6734">
      <c r="A6734" s="3" t="s">
        <v>19540</v>
      </c>
      <c r="B6734" s="3" t="s">
        <v>6285</v>
      </c>
      <c r="C6734" s="5" t="s">
        <v>45</v>
      </c>
      <c r="D6734" s="3" t="s">
        <v>221</v>
      </c>
      <c r="E6734" s="3" t="s">
        <v>569</v>
      </c>
      <c r="F6734" s="7">
        <v>45879.809942770684</v>
      </c>
      <c r="G6734" s="3" t="s">
        <v>19542</v>
      </c>
    </row>
    <row r="6735">
      <c r="A6735" s="3" t="s">
        <v>19543</v>
      </c>
      <c r="B6735" s="3" t="s">
        <v>6285</v>
      </c>
      <c r="C6735" s="5" t="s">
        <v>221</v>
      </c>
      <c r="D6735" s="3" t="s">
        <v>614</v>
      </c>
      <c r="E6735" s="3" t="s">
        <v>118</v>
      </c>
      <c r="F6735" s="7">
        <v>45879.8134149929</v>
      </c>
      <c r="G6735" s="3" t="s">
        <v>19544</v>
      </c>
    </row>
    <row r="6736">
      <c r="A6736" s="3" t="s">
        <v>19546</v>
      </c>
      <c r="B6736" s="3" t="s">
        <v>6285</v>
      </c>
      <c r="C6736" s="5" t="s">
        <v>614</v>
      </c>
      <c r="D6736" s="3" t="s">
        <v>206</v>
      </c>
      <c r="E6736" s="3" t="s">
        <v>100</v>
      </c>
      <c r="F6736" s="7">
        <v>45879.81688721513</v>
      </c>
      <c r="G6736" s="3" t="s">
        <v>19547</v>
      </c>
    </row>
    <row r="6737">
      <c r="A6737" s="3" t="s">
        <v>19549</v>
      </c>
      <c r="B6737" s="3" t="s">
        <v>6285</v>
      </c>
      <c r="C6737" s="5" t="s">
        <v>206</v>
      </c>
      <c r="D6737" s="3" t="s">
        <v>68</v>
      </c>
      <c r="E6737" s="3" t="s">
        <v>100</v>
      </c>
      <c r="F6737" s="7">
        <v>45879.82035943735</v>
      </c>
      <c r="G6737" s="3" t="s">
        <v>19550</v>
      </c>
    </row>
    <row r="6738">
      <c r="A6738" s="3" t="s">
        <v>19551</v>
      </c>
      <c r="B6738" s="3" t="s">
        <v>6288</v>
      </c>
      <c r="C6738" s="5" t="s">
        <v>45</v>
      </c>
      <c r="D6738" s="3" t="s">
        <v>221</v>
      </c>
      <c r="E6738" s="3" t="s">
        <v>557</v>
      </c>
      <c r="F6738" s="7">
        <v>45879.8811176161</v>
      </c>
      <c r="G6738" s="3" t="s">
        <v>19553</v>
      </c>
    </row>
    <row r="6739">
      <c r="A6739" s="3" t="s">
        <v>19554</v>
      </c>
      <c r="B6739" s="3" t="s">
        <v>6288</v>
      </c>
      <c r="C6739" s="5" t="s">
        <v>221</v>
      </c>
      <c r="D6739" s="3" t="s">
        <v>614</v>
      </c>
      <c r="E6739" s="3" t="s">
        <v>118</v>
      </c>
      <c r="F6739" s="7">
        <v>45879.88458983832</v>
      </c>
      <c r="G6739" s="3" t="s">
        <v>19556</v>
      </c>
    </row>
    <row r="6740">
      <c r="A6740" s="3" t="s">
        <v>19557</v>
      </c>
      <c r="B6740" s="3" t="s">
        <v>6288</v>
      </c>
      <c r="C6740" s="5" t="s">
        <v>614</v>
      </c>
      <c r="D6740" s="3" t="s">
        <v>206</v>
      </c>
      <c r="E6740" s="3" t="s">
        <v>100</v>
      </c>
      <c r="F6740" s="7">
        <v>45879.88806206055</v>
      </c>
      <c r="G6740" s="3" t="s">
        <v>19559</v>
      </c>
    </row>
    <row r="6741">
      <c r="A6741" s="3" t="s">
        <v>19560</v>
      </c>
      <c r="B6741" s="3" t="s">
        <v>6288</v>
      </c>
      <c r="C6741" s="5" t="s">
        <v>206</v>
      </c>
      <c r="D6741" s="3" t="s">
        <v>68</v>
      </c>
      <c r="E6741" s="3" t="s">
        <v>100</v>
      </c>
      <c r="F6741" s="7">
        <v>45879.89153428277</v>
      </c>
      <c r="G6741" s="3" t="s">
        <v>19561</v>
      </c>
    </row>
    <row r="6742">
      <c r="A6742" s="3" t="s">
        <v>19563</v>
      </c>
      <c r="B6742" s="3" t="s">
        <v>6291</v>
      </c>
      <c r="C6742" s="5" t="s">
        <v>45</v>
      </c>
      <c r="D6742" s="3" t="s">
        <v>221</v>
      </c>
      <c r="E6742" s="3" t="s">
        <v>352</v>
      </c>
      <c r="F6742" s="7">
        <v>45879.952292461516</v>
      </c>
      <c r="G6742" s="3" t="s">
        <v>2770</v>
      </c>
    </row>
    <row r="6743">
      <c r="A6743" s="3" t="s">
        <v>19565</v>
      </c>
      <c r="B6743" s="3" t="s">
        <v>6291</v>
      </c>
      <c r="C6743" s="5" t="s">
        <v>221</v>
      </c>
      <c r="D6743" s="3" t="s">
        <v>195</v>
      </c>
      <c r="E6743" s="3" t="s">
        <v>352</v>
      </c>
      <c r="F6743" s="7">
        <v>45879.955764683735</v>
      </c>
      <c r="G6743" s="3" t="s">
        <v>3055</v>
      </c>
    </row>
    <row r="6744">
      <c r="A6744" s="3" t="s">
        <v>19566</v>
      </c>
      <c r="B6744" s="3" t="s">
        <v>6294</v>
      </c>
      <c r="C6744" s="5" t="s">
        <v>45</v>
      </c>
      <c r="D6744" s="3" t="s">
        <v>221</v>
      </c>
      <c r="E6744" s="3" t="s">
        <v>156</v>
      </c>
      <c r="F6744" s="7">
        <v>45880.02346730693</v>
      </c>
      <c r="G6744" s="3" t="s">
        <v>3127</v>
      </c>
    </row>
    <row r="6745">
      <c r="A6745" s="3" t="s">
        <v>19568</v>
      </c>
      <c r="B6745" s="3" t="s">
        <v>6294</v>
      </c>
      <c r="C6745" s="5" t="s">
        <v>221</v>
      </c>
      <c r="D6745" s="3" t="s">
        <v>614</v>
      </c>
      <c r="E6745" s="3" t="s">
        <v>118</v>
      </c>
      <c r="F6745" s="7">
        <v>45880.02693952915</v>
      </c>
      <c r="G6745" s="3" t="s">
        <v>3130</v>
      </c>
    </row>
    <row r="6746">
      <c r="A6746" s="3" t="s">
        <v>19570</v>
      </c>
      <c r="B6746" s="3" t="s">
        <v>6294</v>
      </c>
      <c r="C6746" s="5" t="s">
        <v>614</v>
      </c>
      <c r="D6746" s="3" t="s">
        <v>206</v>
      </c>
      <c r="E6746" s="3" t="s">
        <v>100</v>
      </c>
      <c r="F6746" s="7">
        <v>45880.03041175137</v>
      </c>
      <c r="G6746" s="3" t="s">
        <v>3133</v>
      </c>
    </row>
    <row r="6747">
      <c r="A6747" s="3" t="s">
        <v>19572</v>
      </c>
      <c r="B6747" s="3" t="s">
        <v>6294</v>
      </c>
      <c r="C6747" s="5" t="s">
        <v>206</v>
      </c>
      <c r="D6747" s="3" t="s">
        <v>68</v>
      </c>
      <c r="E6747" s="3" t="s">
        <v>100</v>
      </c>
      <c r="F6747" s="7">
        <v>45880.03388397359</v>
      </c>
      <c r="G6747" s="3" t="s">
        <v>3136</v>
      </c>
    </row>
    <row r="6748">
      <c r="A6748" s="3" t="s">
        <v>19574</v>
      </c>
      <c r="B6748" s="3" t="s">
        <v>6297</v>
      </c>
      <c r="C6748" s="5" t="s">
        <v>45</v>
      </c>
      <c r="D6748" s="3" t="s">
        <v>221</v>
      </c>
      <c r="E6748" s="3" t="s">
        <v>643</v>
      </c>
      <c r="F6748" s="7">
        <v>45880.09464215235</v>
      </c>
      <c r="G6748" s="3" t="s">
        <v>3152</v>
      </c>
    </row>
    <row r="6749">
      <c r="A6749" s="3" t="s">
        <v>19576</v>
      </c>
      <c r="B6749" s="3" t="s">
        <v>6297</v>
      </c>
      <c r="C6749" s="5" t="s">
        <v>221</v>
      </c>
      <c r="D6749" s="3" t="s">
        <v>614</v>
      </c>
      <c r="E6749" s="3" t="s">
        <v>118</v>
      </c>
      <c r="F6749" s="7">
        <v>45880.09811437457</v>
      </c>
      <c r="G6749" s="3" t="s">
        <v>3155</v>
      </c>
    </row>
    <row r="6750">
      <c r="A6750" s="3" t="s">
        <v>19578</v>
      </c>
      <c r="B6750" s="3" t="s">
        <v>6297</v>
      </c>
      <c r="C6750" s="5" t="s">
        <v>614</v>
      </c>
      <c r="D6750" s="3" t="s">
        <v>206</v>
      </c>
      <c r="E6750" s="3" t="s">
        <v>100</v>
      </c>
      <c r="F6750" s="7">
        <v>45880.10158659679</v>
      </c>
      <c r="G6750" s="3" t="s">
        <v>3158</v>
      </c>
    </row>
    <row r="6751">
      <c r="A6751" s="3" t="s">
        <v>19579</v>
      </c>
      <c r="B6751" s="3" t="s">
        <v>6297</v>
      </c>
      <c r="C6751" s="5" t="s">
        <v>206</v>
      </c>
      <c r="D6751" s="3" t="s">
        <v>68</v>
      </c>
      <c r="E6751" s="3" t="s">
        <v>100</v>
      </c>
      <c r="F6751" s="7">
        <v>45880.10505881901</v>
      </c>
      <c r="G6751" s="3" t="s">
        <v>3161</v>
      </c>
    </row>
    <row r="6752">
      <c r="A6752" s="3" t="s">
        <v>19581</v>
      </c>
      <c r="B6752" s="3" t="s">
        <v>6302</v>
      </c>
      <c r="C6752" s="5" t="s">
        <v>45</v>
      </c>
      <c r="D6752" s="3" t="s">
        <v>221</v>
      </c>
      <c r="E6752" s="3" t="s">
        <v>148</v>
      </c>
      <c r="F6752" s="7">
        <v>45880.16581699776</v>
      </c>
      <c r="G6752" s="3" t="s">
        <v>19583</v>
      </c>
    </row>
    <row r="6753">
      <c r="A6753" s="3" t="s">
        <v>19584</v>
      </c>
      <c r="B6753" s="3" t="s">
        <v>6302</v>
      </c>
      <c r="C6753" s="5" t="s">
        <v>221</v>
      </c>
      <c r="D6753" s="3" t="s">
        <v>614</v>
      </c>
      <c r="E6753" s="3" t="s">
        <v>118</v>
      </c>
      <c r="F6753" s="7">
        <v>45880.16928921998</v>
      </c>
      <c r="G6753" s="3" t="s">
        <v>19586</v>
      </c>
    </row>
    <row r="6754">
      <c r="A6754" s="3" t="s">
        <v>19587</v>
      </c>
      <c r="B6754" s="3" t="s">
        <v>6302</v>
      </c>
      <c r="C6754" s="5" t="s">
        <v>614</v>
      </c>
      <c r="D6754" s="3" t="s">
        <v>206</v>
      </c>
      <c r="E6754" s="3" t="s">
        <v>100</v>
      </c>
      <c r="F6754" s="7">
        <v>45880.172761442205</v>
      </c>
      <c r="G6754" s="3" t="s">
        <v>19589</v>
      </c>
    </row>
    <row r="6755">
      <c r="A6755" s="3" t="s">
        <v>19590</v>
      </c>
      <c r="B6755" s="3" t="s">
        <v>6302</v>
      </c>
      <c r="C6755" s="5" t="s">
        <v>206</v>
      </c>
      <c r="D6755" s="3" t="s">
        <v>68</v>
      </c>
      <c r="E6755" s="3" t="s">
        <v>100</v>
      </c>
      <c r="F6755" s="7">
        <v>45880.176233664424</v>
      </c>
      <c r="G6755" s="3" t="s">
        <v>19591</v>
      </c>
    </row>
    <row r="6756">
      <c r="A6756" s="3" t="s">
        <v>19593</v>
      </c>
      <c r="B6756" s="3" t="s">
        <v>6306</v>
      </c>
      <c r="C6756" s="5" t="s">
        <v>45</v>
      </c>
      <c r="D6756" s="3" t="s">
        <v>221</v>
      </c>
      <c r="E6756" s="3" t="s">
        <v>193</v>
      </c>
      <c r="F6756" s="7">
        <v>45880.23699184317</v>
      </c>
      <c r="G6756" s="3" t="s">
        <v>3164</v>
      </c>
    </row>
    <row r="6757">
      <c r="A6757" s="3" t="s">
        <v>19595</v>
      </c>
      <c r="B6757" s="3" t="s">
        <v>6306</v>
      </c>
      <c r="C6757" s="5" t="s">
        <v>221</v>
      </c>
      <c r="D6757" s="3" t="s">
        <v>614</v>
      </c>
      <c r="E6757" s="3" t="s">
        <v>118</v>
      </c>
      <c r="F6757" s="7">
        <v>45880.24046406539</v>
      </c>
      <c r="G6757" s="3" t="s">
        <v>3167</v>
      </c>
    </row>
    <row r="6758">
      <c r="A6758" s="3" t="s">
        <v>19596</v>
      </c>
      <c r="B6758" s="3" t="s">
        <v>6306</v>
      </c>
      <c r="C6758" s="5" t="s">
        <v>614</v>
      </c>
      <c r="D6758" s="3" t="s">
        <v>206</v>
      </c>
      <c r="E6758" s="3" t="s">
        <v>100</v>
      </c>
      <c r="F6758" s="7">
        <v>45880.24393628762</v>
      </c>
      <c r="G6758" s="3" t="s">
        <v>3170</v>
      </c>
    </row>
    <row r="6759">
      <c r="A6759" s="3" t="s">
        <v>19598</v>
      </c>
      <c r="B6759" s="3" t="s">
        <v>6306</v>
      </c>
      <c r="C6759" s="5" t="s">
        <v>206</v>
      </c>
      <c r="D6759" s="3" t="s">
        <v>68</v>
      </c>
      <c r="E6759" s="3" t="s">
        <v>100</v>
      </c>
      <c r="F6759" s="7">
        <v>45880.24740850984</v>
      </c>
      <c r="G6759" s="3" t="s">
        <v>3172</v>
      </c>
    </row>
    <row r="6760">
      <c r="A6760" s="3" t="s">
        <v>19600</v>
      </c>
      <c r="B6760" s="3" t="s">
        <v>6310</v>
      </c>
      <c r="C6760" s="5" t="s">
        <v>45</v>
      </c>
      <c r="D6760" s="3" t="s">
        <v>221</v>
      </c>
      <c r="E6760" s="3" t="s">
        <v>708</v>
      </c>
      <c r="F6760" s="7">
        <v>45880.30816668859</v>
      </c>
      <c r="G6760" s="3" t="s">
        <v>19602</v>
      </c>
    </row>
    <row r="6761">
      <c r="A6761" s="3" t="s">
        <v>19603</v>
      </c>
      <c r="B6761" s="3" t="s">
        <v>6310</v>
      </c>
      <c r="C6761" s="5" t="s">
        <v>221</v>
      </c>
      <c r="D6761" s="3" t="s">
        <v>614</v>
      </c>
      <c r="E6761" s="3" t="s">
        <v>118</v>
      </c>
      <c r="F6761" s="7">
        <v>45880.31163891081</v>
      </c>
      <c r="G6761" s="3" t="s">
        <v>19605</v>
      </c>
    </row>
    <row r="6762">
      <c r="A6762" s="3" t="s">
        <v>19606</v>
      </c>
      <c r="B6762" s="3" t="s">
        <v>6310</v>
      </c>
      <c r="C6762" s="5" t="s">
        <v>614</v>
      </c>
      <c r="D6762" s="3" t="s">
        <v>206</v>
      </c>
      <c r="E6762" s="3" t="s">
        <v>100</v>
      </c>
      <c r="F6762" s="7">
        <v>45880.31511113304</v>
      </c>
      <c r="G6762" s="3" t="s">
        <v>19607</v>
      </c>
    </row>
    <row r="6763">
      <c r="A6763" s="3" t="s">
        <v>19609</v>
      </c>
      <c r="B6763" s="3" t="s">
        <v>6310</v>
      </c>
      <c r="C6763" s="5" t="s">
        <v>206</v>
      </c>
      <c r="D6763" s="3" t="s">
        <v>68</v>
      </c>
      <c r="E6763" s="3" t="s">
        <v>100</v>
      </c>
      <c r="F6763" s="7">
        <v>45880.318583355256</v>
      </c>
      <c r="G6763" s="3" t="s">
        <v>19610</v>
      </c>
    </row>
    <row r="6764">
      <c r="A6764" s="3" t="s">
        <v>19611</v>
      </c>
      <c r="B6764" s="3" t="s">
        <v>6313</v>
      </c>
      <c r="C6764" s="5" t="s">
        <v>45</v>
      </c>
      <c r="D6764" s="3" t="s">
        <v>221</v>
      </c>
      <c r="E6764" s="3" t="s">
        <v>383</v>
      </c>
      <c r="F6764" s="7">
        <v>45880.37934153401</v>
      </c>
      <c r="G6764" s="3" t="s">
        <v>19613</v>
      </c>
    </row>
    <row r="6765">
      <c r="A6765" s="3" t="s">
        <v>19614</v>
      </c>
      <c r="B6765" s="3" t="s">
        <v>6313</v>
      </c>
      <c r="C6765" s="5" t="s">
        <v>221</v>
      </c>
      <c r="D6765" s="3" t="s">
        <v>614</v>
      </c>
      <c r="E6765" s="3" t="s">
        <v>118</v>
      </c>
      <c r="F6765" s="7">
        <v>45880.38281375623</v>
      </c>
      <c r="G6765" s="3" t="s">
        <v>19616</v>
      </c>
    </row>
    <row r="6766">
      <c r="A6766" s="3" t="s">
        <v>19617</v>
      </c>
      <c r="B6766" s="3" t="s">
        <v>6313</v>
      </c>
      <c r="C6766" s="5" t="s">
        <v>614</v>
      </c>
      <c r="D6766" s="3" t="s">
        <v>206</v>
      </c>
      <c r="E6766" s="3" t="s">
        <v>100</v>
      </c>
      <c r="F6766" s="7">
        <v>45880.38628597846</v>
      </c>
      <c r="G6766" s="3" t="s">
        <v>19619</v>
      </c>
    </row>
    <row r="6767">
      <c r="A6767" s="3" t="s">
        <v>19620</v>
      </c>
      <c r="B6767" s="3" t="s">
        <v>6313</v>
      </c>
      <c r="C6767" s="5" t="s">
        <v>206</v>
      </c>
      <c r="D6767" s="3" t="s">
        <v>68</v>
      </c>
      <c r="E6767" s="3" t="s">
        <v>100</v>
      </c>
      <c r="F6767" s="7">
        <v>45880.389758200676</v>
      </c>
      <c r="G6767" s="3" t="s">
        <v>19622</v>
      </c>
    </row>
    <row r="6768">
      <c r="A6768" s="3" t="s">
        <v>19623</v>
      </c>
      <c r="B6768" s="3" t="s">
        <v>6316</v>
      </c>
      <c r="C6768" s="5" t="s">
        <v>45</v>
      </c>
      <c r="D6768" s="3" t="s">
        <v>221</v>
      </c>
      <c r="E6768" s="3" t="s">
        <v>536</v>
      </c>
      <c r="F6768" s="7">
        <v>45880.45051637942</v>
      </c>
      <c r="G6768" s="3" t="s">
        <v>19625</v>
      </c>
    </row>
    <row r="6769">
      <c r="A6769" s="3" t="s">
        <v>19626</v>
      </c>
      <c r="B6769" s="3" t="s">
        <v>6316</v>
      </c>
      <c r="C6769" s="5" t="s">
        <v>221</v>
      </c>
      <c r="D6769" s="3" t="s">
        <v>614</v>
      </c>
      <c r="E6769" s="3" t="s">
        <v>118</v>
      </c>
      <c r="F6769" s="7">
        <v>45880.453988601636</v>
      </c>
      <c r="G6769" s="3" t="s">
        <v>19627</v>
      </c>
    </row>
    <row r="6770">
      <c r="A6770" s="3" t="s">
        <v>19628</v>
      </c>
      <c r="B6770" s="3" t="s">
        <v>6316</v>
      </c>
      <c r="C6770" s="5" t="s">
        <v>614</v>
      </c>
      <c r="D6770" s="3" t="s">
        <v>206</v>
      </c>
      <c r="E6770" s="3" t="s">
        <v>100</v>
      </c>
      <c r="F6770" s="7">
        <v>45880.45746082386</v>
      </c>
      <c r="G6770" s="3" t="s">
        <v>19630</v>
      </c>
    </row>
    <row r="6771">
      <c r="A6771" s="3" t="s">
        <v>19631</v>
      </c>
      <c r="B6771" s="3" t="s">
        <v>6316</v>
      </c>
      <c r="C6771" s="5" t="s">
        <v>206</v>
      </c>
      <c r="D6771" s="3" t="s">
        <v>68</v>
      </c>
      <c r="E6771" s="3" t="s">
        <v>100</v>
      </c>
      <c r="F6771" s="7">
        <v>45880.46093304608</v>
      </c>
      <c r="G6771" s="3" t="s">
        <v>19633</v>
      </c>
    </row>
    <row r="6772">
      <c r="A6772" s="3" t="s">
        <v>19634</v>
      </c>
      <c r="B6772" s="3" t="s">
        <v>6319</v>
      </c>
      <c r="C6772" s="5" t="s">
        <v>45</v>
      </c>
      <c r="D6772" s="3" t="s">
        <v>221</v>
      </c>
      <c r="E6772" s="3" t="s">
        <v>460</v>
      </c>
      <c r="F6772" s="7">
        <v>45880.521691224836</v>
      </c>
      <c r="G6772" s="3" t="s">
        <v>19636</v>
      </c>
    </row>
    <row r="6773">
      <c r="A6773" s="3" t="s">
        <v>19637</v>
      </c>
      <c r="B6773" s="3" t="s">
        <v>6319</v>
      </c>
      <c r="C6773" s="5" t="s">
        <v>221</v>
      </c>
      <c r="D6773" s="3" t="s">
        <v>614</v>
      </c>
      <c r="E6773" s="3" t="s">
        <v>118</v>
      </c>
      <c r="F6773" s="7">
        <v>45880.525163447055</v>
      </c>
      <c r="G6773" s="3" t="s">
        <v>19639</v>
      </c>
    </row>
    <row r="6774">
      <c r="A6774" s="3" t="s">
        <v>19640</v>
      </c>
      <c r="B6774" s="3" t="s">
        <v>6319</v>
      </c>
      <c r="C6774" s="5" t="s">
        <v>614</v>
      </c>
      <c r="D6774" s="3" t="s">
        <v>206</v>
      </c>
      <c r="E6774" s="3" t="s">
        <v>100</v>
      </c>
      <c r="F6774" s="7">
        <v>45880.52863566928</v>
      </c>
      <c r="G6774" s="3" t="s">
        <v>19641</v>
      </c>
    </row>
    <row r="6775">
      <c r="A6775" s="3" t="s">
        <v>19643</v>
      </c>
      <c r="B6775" s="3" t="s">
        <v>6319</v>
      </c>
      <c r="C6775" s="5" t="s">
        <v>206</v>
      </c>
      <c r="D6775" s="3" t="s">
        <v>68</v>
      </c>
      <c r="E6775" s="3" t="s">
        <v>100</v>
      </c>
      <c r="F6775" s="7">
        <v>45880.5321078915</v>
      </c>
      <c r="G6775" s="3" t="s">
        <v>19644</v>
      </c>
    </row>
    <row r="6776">
      <c r="A6776" s="3" t="s">
        <v>19645</v>
      </c>
      <c r="B6776" s="3" t="s">
        <v>6323</v>
      </c>
      <c r="C6776" s="5" t="s">
        <v>45</v>
      </c>
      <c r="D6776" s="3" t="s">
        <v>221</v>
      </c>
      <c r="E6776" s="3" t="s">
        <v>591</v>
      </c>
      <c r="F6776" s="7">
        <v>45880.592866070256</v>
      </c>
      <c r="G6776" s="3" t="s">
        <v>19647</v>
      </c>
    </row>
    <row r="6777">
      <c r="A6777" s="3" t="s">
        <v>19648</v>
      </c>
      <c r="B6777" s="3" t="s">
        <v>6323</v>
      </c>
      <c r="C6777" s="5" t="s">
        <v>221</v>
      </c>
      <c r="D6777" s="3" t="s">
        <v>614</v>
      </c>
      <c r="E6777" s="3" t="s">
        <v>118</v>
      </c>
      <c r="F6777" s="7">
        <v>45880.596338292475</v>
      </c>
      <c r="G6777" s="3" t="s">
        <v>19650</v>
      </c>
    </row>
    <row r="6778">
      <c r="A6778" s="3" t="s">
        <v>19651</v>
      </c>
      <c r="B6778" s="3" t="s">
        <v>6323</v>
      </c>
      <c r="C6778" s="5" t="s">
        <v>614</v>
      </c>
      <c r="D6778" s="3" t="s">
        <v>206</v>
      </c>
      <c r="E6778" s="3" t="s">
        <v>100</v>
      </c>
      <c r="F6778" s="7">
        <v>45880.5998105147</v>
      </c>
      <c r="G6778" s="3" t="s">
        <v>19653</v>
      </c>
    </row>
    <row r="6779">
      <c r="A6779" s="3" t="s">
        <v>19654</v>
      </c>
      <c r="B6779" s="3" t="s">
        <v>6323</v>
      </c>
      <c r="C6779" s="5" t="s">
        <v>206</v>
      </c>
      <c r="D6779" s="3" t="s">
        <v>68</v>
      </c>
      <c r="E6779" s="3" t="s">
        <v>100</v>
      </c>
      <c r="F6779" s="7">
        <v>45880.60328273692</v>
      </c>
      <c r="G6779" s="3" t="s">
        <v>19656</v>
      </c>
    </row>
    <row r="6780">
      <c r="A6780" s="3" t="s">
        <v>19657</v>
      </c>
      <c r="B6780" s="3" t="s">
        <v>6327</v>
      </c>
      <c r="C6780" s="5" t="s">
        <v>45</v>
      </c>
      <c r="D6780" s="3" t="s">
        <v>221</v>
      </c>
      <c r="E6780" s="3" t="s">
        <v>691</v>
      </c>
      <c r="F6780" s="7">
        <v>45880.66404091567</v>
      </c>
      <c r="G6780" s="3" t="s">
        <v>19658</v>
      </c>
    </row>
    <row r="6781">
      <c r="A6781" s="3" t="s">
        <v>19660</v>
      </c>
      <c r="B6781" s="3" t="s">
        <v>6327</v>
      </c>
      <c r="C6781" s="5" t="s">
        <v>221</v>
      </c>
      <c r="D6781" s="3" t="s">
        <v>614</v>
      </c>
      <c r="E6781" s="3" t="s">
        <v>118</v>
      </c>
      <c r="F6781" s="7">
        <v>45880.66751313789</v>
      </c>
      <c r="G6781" s="3" t="s">
        <v>19661</v>
      </c>
    </row>
    <row r="6782">
      <c r="A6782" s="3" t="s">
        <v>19662</v>
      </c>
      <c r="B6782" s="3" t="s">
        <v>6327</v>
      </c>
      <c r="C6782" s="5" t="s">
        <v>614</v>
      </c>
      <c r="D6782" s="3" t="s">
        <v>206</v>
      </c>
      <c r="E6782" s="3" t="s">
        <v>100</v>
      </c>
      <c r="F6782" s="7">
        <v>45880.67098536011</v>
      </c>
      <c r="G6782" s="3" t="s">
        <v>19664</v>
      </c>
    </row>
    <row r="6783">
      <c r="A6783" s="3" t="s">
        <v>19665</v>
      </c>
      <c r="B6783" s="3" t="s">
        <v>6327</v>
      </c>
      <c r="C6783" s="5" t="s">
        <v>206</v>
      </c>
      <c r="D6783" s="3" t="s">
        <v>68</v>
      </c>
      <c r="E6783" s="3" t="s">
        <v>100</v>
      </c>
      <c r="F6783" s="7">
        <v>45880.67445758233</v>
      </c>
      <c r="G6783" s="3" t="s">
        <v>19667</v>
      </c>
    </row>
    <row r="6784">
      <c r="A6784" s="3" t="s">
        <v>19668</v>
      </c>
      <c r="B6784" s="3" t="s">
        <v>6330</v>
      </c>
      <c r="C6784" s="5" t="s">
        <v>45</v>
      </c>
      <c r="D6784" s="3" t="s">
        <v>221</v>
      </c>
      <c r="E6784" s="3" t="s">
        <v>598</v>
      </c>
      <c r="F6784" s="7">
        <v>45880.73521576108</v>
      </c>
      <c r="G6784" s="3" t="s">
        <v>19670</v>
      </c>
    </row>
    <row r="6785">
      <c r="A6785" s="3" t="s">
        <v>19671</v>
      </c>
      <c r="B6785" s="3" t="s">
        <v>6330</v>
      </c>
      <c r="C6785" s="5" t="s">
        <v>221</v>
      </c>
      <c r="D6785" s="3" t="s">
        <v>181</v>
      </c>
      <c r="E6785" s="3" t="s">
        <v>118</v>
      </c>
      <c r="F6785" s="7">
        <v>45880.7386879833</v>
      </c>
      <c r="G6785" s="3" t="s">
        <v>19672</v>
      </c>
    </row>
    <row r="6786">
      <c r="A6786" s="3" t="s">
        <v>19674</v>
      </c>
      <c r="B6786" s="3" t="s">
        <v>6333</v>
      </c>
      <c r="C6786" s="5" t="s">
        <v>45</v>
      </c>
      <c r="D6786" s="3" t="s">
        <v>221</v>
      </c>
      <c r="E6786" s="3" t="s">
        <v>947</v>
      </c>
      <c r="F6786" s="7">
        <v>45880.8063906065</v>
      </c>
      <c r="G6786" s="3" t="s">
        <v>19675</v>
      </c>
    </row>
    <row r="6787">
      <c r="A6787" s="3" t="s">
        <v>19677</v>
      </c>
      <c r="B6787" s="3" t="s">
        <v>6333</v>
      </c>
      <c r="C6787" s="5" t="s">
        <v>221</v>
      </c>
      <c r="D6787" s="3" t="s">
        <v>614</v>
      </c>
      <c r="E6787" s="3" t="s">
        <v>118</v>
      </c>
      <c r="F6787" s="7">
        <v>45880.80986282872</v>
      </c>
      <c r="G6787" s="3" t="s">
        <v>19678</v>
      </c>
    </row>
    <row r="6788">
      <c r="A6788" s="3" t="s">
        <v>19680</v>
      </c>
      <c r="B6788" s="3" t="s">
        <v>6333</v>
      </c>
      <c r="C6788" s="5" t="s">
        <v>614</v>
      </c>
      <c r="D6788" s="3" t="s">
        <v>206</v>
      </c>
      <c r="E6788" s="3" t="s">
        <v>100</v>
      </c>
      <c r="F6788" s="7">
        <v>45880.813335050945</v>
      </c>
      <c r="G6788" s="3" t="s">
        <v>19681</v>
      </c>
    </row>
    <row r="6789">
      <c r="A6789" s="3" t="s">
        <v>19682</v>
      </c>
      <c r="B6789" s="3" t="s">
        <v>6333</v>
      </c>
      <c r="C6789" s="5" t="s">
        <v>206</v>
      </c>
      <c r="D6789" s="3" t="s">
        <v>68</v>
      </c>
      <c r="E6789" s="3" t="s">
        <v>100</v>
      </c>
      <c r="F6789" s="7">
        <v>45880.816807273164</v>
      </c>
      <c r="G6789" s="3" t="s">
        <v>19684</v>
      </c>
    </row>
    <row r="6790">
      <c r="A6790" s="3" t="s">
        <v>19685</v>
      </c>
      <c r="B6790" s="3" t="s">
        <v>6336</v>
      </c>
      <c r="C6790" s="5" t="s">
        <v>45</v>
      </c>
      <c r="D6790" s="3" t="s">
        <v>221</v>
      </c>
      <c r="E6790" s="3" t="s">
        <v>579</v>
      </c>
      <c r="F6790" s="7">
        <v>45880.87756545191</v>
      </c>
      <c r="G6790" s="3" t="s">
        <v>19687</v>
      </c>
    </row>
    <row r="6791">
      <c r="A6791" s="3" t="s">
        <v>19688</v>
      </c>
      <c r="B6791" s="3" t="s">
        <v>6336</v>
      </c>
      <c r="C6791" s="5" t="s">
        <v>221</v>
      </c>
      <c r="D6791" s="3" t="s">
        <v>614</v>
      </c>
      <c r="E6791" s="3" t="s">
        <v>118</v>
      </c>
      <c r="F6791" s="7">
        <v>45880.88103767413</v>
      </c>
      <c r="G6791" s="3" t="s">
        <v>19690</v>
      </c>
    </row>
    <row r="6792">
      <c r="A6792" s="3" t="s">
        <v>19691</v>
      </c>
      <c r="B6792" s="3" t="s">
        <v>6336</v>
      </c>
      <c r="C6792" s="5" t="s">
        <v>614</v>
      </c>
      <c r="D6792" s="3" t="s">
        <v>206</v>
      </c>
      <c r="E6792" s="3" t="s">
        <v>100</v>
      </c>
      <c r="F6792" s="7">
        <v>45880.88450989636</v>
      </c>
      <c r="G6792" s="3" t="s">
        <v>19693</v>
      </c>
    </row>
    <row r="6793">
      <c r="A6793" s="3" t="s">
        <v>19694</v>
      </c>
      <c r="B6793" s="3" t="s">
        <v>6336</v>
      </c>
      <c r="C6793" s="5" t="s">
        <v>206</v>
      </c>
      <c r="D6793" s="3" t="s">
        <v>68</v>
      </c>
      <c r="E6793" s="3" t="s">
        <v>100</v>
      </c>
      <c r="F6793" s="7">
        <v>45880.88798211858</v>
      </c>
      <c r="G6793" s="3" t="s">
        <v>19695</v>
      </c>
    </row>
    <row r="6794">
      <c r="A6794" s="3" t="s">
        <v>19697</v>
      </c>
      <c r="B6794" s="3" t="s">
        <v>6339</v>
      </c>
      <c r="C6794" s="5" t="s">
        <v>45</v>
      </c>
      <c r="D6794" s="3" t="s">
        <v>221</v>
      </c>
      <c r="E6794" s="3" t="s">
        <v>282</v>
      </c>
      <c r="F6794" s="7">
        <v>45880.948740297325</v>
      </c>
      <c r="G6794" s="3" t="s">
        <v>2770</v>
      </c>
    </row>
    <row r="6795">
      <c r="A6795" s="3" t="s">
        <v>19698</v>
      </c>
      <c r="B6795" s="3" t="s">
        <v>6339</v>
      </c>
      <c r="C6795" s="5" t="s">
        <v>221</v>
      </c>
      <c r="D6795" s="3" t="s">
        <v>181</v>
      </c>
      <c r="E6795" s="3" t="s">
        <v>118</v>
      </c>
      <c r="F6795" s="7">
        <v>45880.95221251954</v>
      </c>
      <c r="G6795" s="3" t="s">
        <v>2774</v>
      </c>
    </row>
    <row r="6796">
      <c r="A6796" s="3" t="s">
        <v>19700</v>
      </c>
      <c r="B6796" s="3" t="s">
        <v>6344</v>
      </c>
      <c r="C6796" s="5" t="s">
        <v>45</v>
      </c>
      <c r="D6796" s="3" t="s">
        <v>221</v>
      </c>
      <c r="E6796" s="3" t="s">
        <v>591</v>
      </c>
      <c r="F6796" s="7">
        <v>45881.019915142744</v>
      </c>
      <c r="G6796" s="3" t="s">
        <v>19702</v>
      </c>
    </row>
    <row r="6797">
      <c r="A6797" s="3" t="s">
        <v>19703</v>
      </c>
      <c r="B6797" s="3" t="s">
        <v>6344</v>
      </c>
      <c r="C6797" s="5" t="s">
        <v>221</v>
      </c>
      <c r="D6797" s="3" t="s">
        <v>614</v>
      </c>
      <c r="E6797" s="3" t="s">
        <v>118</v>
      </c>
      <c r="F6797" s="7">
        <v>45881.02338736496</v>
      </c>
      <c r="G6797" s="3" t="s">
        <v>19705</v>
      </c>
    </row>
    <row r="6798">
      <c r="A6798" s="3" t="s">
        <v>19706</v>
      </c>
      <c r="B6798" s="3" t="s">
        <v>6344</v>
      </c>
      <c r="C6798" s="5" t="s">
        <v>614</v>
      </c>
      <c r="D6798" s="3" t="s">
        <v>206</v>
      </c>
      <c r="E6798" s="3" t="s">
        <v>100</v>
      </c>
      <c r="F6798" s="7">
        <v>45881.02685958719</v>
      </c>
      <c r="G6798" s="3" t="s">
        <v>19707</v>
      </c>
    </row>
    <row r="6799">
      <c r="A6799" s="3" t="s">
        <v>19709</v>
      </c>
      <c r="B6799" s="3" t="s">
        <v>6344</v>
      </c>
      <c r="C6799" s="5" t="s">
        <v>206</v>
      </c>
      <c r="D6799" s="3" t="s">
        <v>68</v>
      </c>
      <c r="E6799" s="3" t="s">
        <v>100</v>
      </c>
      <c r="F6799" s="7">
        <v>45881.03033180941</v>
      </c>
      <c r="G6799" s="3" t="s">
        <v>19710</v>
      </c>
    </row>
    <row r="6800">
      <c r="A6800" s="3" t="s">
        <v>19711</v>
      </c>
      <c r="B6800" s="3" t="s">
        <v>6347</v>
      </c>
      <c r="C6800" s="5" t="s">
        <v>45</v>
      </c>
      <c r="D6800" s="3" t="s">
        <v>221</v>
      </c>
      <c r="E6800" s="3" t="s">
        <v>841</v>
      </c>
      <c r="F6800" s="7">
        <v>45881.09108998816</v>
      </c>
      <c r="G6800" s="3" t="s">
        <v>19713</v>
      </c>
    </row>
    <row r="6801">
      <c r="A6801" s="3" t="s">
        <v>19714</v>
      </c>
      <c r="B6801" s="3" t="s">
        <v>6347</v>
      </c>
      <c r="C6801" s="5" t="s">
        <v>221</v>
      </c>
      <c r="D6801" s="3" t="s">
        <v>614</v>
      </c>
      <c r="E6801" s="3" t="s">
        <v>118</v>
      </c>
      <c r="F6801" s="7">
        <v>45881.094562210375</v>
      </c>
      <c r="G6801" s="3" t="s">
        <v>19716</v>
      </c>
    </row>
    <row r="6802">
      <c r="A6802" s="3" t="s">
        <v>19717</v>
      </c>
      <c r="B6802" s="3" t="s">
        <v>6347</v>
      </c>
      <c r="C6802" s="5" t="s">
        <v>614</v>
      </c>
      <c r="D6802" s="3" t="s">
        <v>206</v>
      </c>
      <c r="E6802" s="3" t="s">
        <v>100</v>
      </c>
      <c r="F6802" s="7">
        <v>45881.0980344326</v>
      </c>
      <c r="G6802" s="3" t="s">
        <v>19719</v>
      </c>
    </row>
    <row r="6803">
      <c r="A6803" s="3" t="s">
        <v>19720</v>
      </c>
      <c r="B6803" s="3" t="s">
        <v>6347</v>
      </c>
      <c r="C6803" s="5" t="s">
        <v>206</v>
      </c>
      <c r="D6803" s="3" t="s">
        <v>68</v>
      </c>
      <c r="E6803" s="3" t="s">
        <v>100</v>
      </c>
      <c r="F6803" s="7">
        <v>45881.10150665482</v>
      </c>
      <c r="G6803" s="3" t="s">
        <v>19722</v>
      </c>
    </row>
    <row r="6804">
      <c r="A6804" s="3" t="s">
        <v>19723</v>
      </c>
      <c r="B6804" s="3" t="s">
        <v>6350</v>
      </c>
      <c r="C6804" s="5" t="s">
        <v>45</v>
      </c>
      <c r="D6804" s="3" t="s">
        <v>221</v>
      </c>
      <c r="E6804" s="3" t="s">
        <v>826</v>
      </c>
      <c r="F6804" s="7">
        <v>45881.16226483357</v>
      </c>
      <c r="G6804" s="3" t="s">
        <v>3175</v>
      </c>
    </row>
    <row r="6805">
      <c r="A6805" s="3" t="s">
        <v>19725</v>
      </c>
      <c r="B6805" s="3" t="s">
        <v>6350</v>
      </c>
      <c r="C6805" s="5" t="s">
        <v>221</v>
      </c>
      <c r="D6805" s="3" t="s">
        <v>614</v>
      </c>
      <c r="E6805" s="3" t="s">
        <v>118</v>
      </c>
      <c r="F6805" s="7">
        <v>45881.16573705579</v>
      </c>
      <c r="G6805" s="3" t="s">
        <v>3178</v>
      </c>
    </row>
    <row r="6806">
      <c r="A6806" s="3" t="s">
        <v>19726</v>
      </c>
      <c r="B6806" s="3" t="s">
        <v>6350</v>
      </c>
      <c r="C6806" s="5" t="s">
        <v>614</v>
      </c>
      <c r="D6806" s="3" t="s">
        <v>206</v>
      </c>
      <c r="E6806" s="3" t="s">
        <v>100</v>
      </c>
      <c r="F6806" s="7">
        <v>45881.169209278014</v>
      </c>
      <c r="G6806" s="3" t="s">
        <v>3181</v>
      </c>
    </row>
    <row r="6807">
      <c r="A6807" s="3" t="s">
        <v>19728</v>
      </c>
      <c r="B6807" s="3" t="s">
        <v>6350</v>
      </c>
      <c r="C6807" s="5" t="s">
        <v>206</v>
      </c>
      <c r="D6807" s="3" t="s">
        <v>68</v>
      </c>
      <c r="E6807" s="3" t="s">
        <v>100</v>
      </c>
      <c r="F6807" s="7">
        <v>45881.17268150023</v>
      </c>
      <c r="G6807" s="3" t="s">
        <v>3184</v>
      </c>
    </row>
    <row r="6808">
      <c r="A6808" s="3" t="s">
        <v>19730</v>
      </c>
      <c r="B6808" s="3" t="s">
        <v>6353</v>
      </c>
      <c r="C6808" s="5" t="s">
        <v>45</v>
      </c>
      <c r="D6808" s="3" t="s">
        <v>221</v>
      </c>
      <c r="E6808" s="3" t="s">
        <v>197</v>
      </c>
      <c r="F6808" s="7">
        <v>45881.23343967899</v>
      </c>
      <c r="G6808" s="3" t="s">
        <v>13014</v>
      </c>
    </row>
    <row r="6809">
      <c r="A6809" s="3" t="s">
        <v>19732</v>
      </c>
      <c r="B6809" s="3" t="s">
        <v>6353</v>
      </c>
      <c r="C6809" s="5" t="s">
        <v>221</v>
      </c>
      <c r="D6809" s="3" t="s">
        <v>181</v>
      </c>
      <c r="E6809" s="3" t="s">
        <v>118</v>
      </c>
      <c r="F6809" s="7">
        <v>45881.23691190121</v>
      </c>
      <c r="G6809" s="3" t="s">
        <v>14298</v>
      </c>
    </row>
    <row r="6810">
      <c r="A6810" s="3" t="s">
        <v>19734</v>
      </c>
      <c r="B6810" s="3" t="s">
        <v>6356</v>
      </c>
      <c r="C6810" s="5" t="s">
        <v>45</v>
      </c>
      <c r="D6810" s="3" t="s">
        <v>221</v>
      </c>
      <c r="E6810" s="3" t="s">
        <v>269</v>
      </c>
      <c r="F6810" s="7">
        <v>45881.3046145244</v>
      </c>
      <c r="G6810" s="3" t="s">
        <v>6973</v>
      </c>
    </row>
    <row r="6811">
      <c r="A6811" s="3" t="s">
        <v>19736</v>
      </c>
      <c r="B6811" s="3" t="s">
        <v>6356</v>
      </c>
      <c r="C6811" s="5" t="s">
        <v>221</v>
      </c>
      <c r="D6811" s="3" t="s">
        <v>614</v>
      </c>
      <c r="E6811" s="3" t="s">
        <v>118</v>
      </c>
      <c r="F6811" s="7">
        <v>45881.30808674662</v>
      </c>
      <c r="G6811" s="3" t="s">
        <v>6976</v>
      </c>
    </row>
    <row r="6812">
      <c r="A6812" s="3" t="s">
        <v>19738</v>
      </c>
      <c r="B6812" s="3" t="s">
        <v>6356</v>
      </c>
      <c r="C6812" s="5" t="s">
        <v>614</v>
      </c>
      <c r="D6812" s="3" t="s">
        <v>206</v>
      </c>
      <c r="E6812" s="3" t="s">
        <v>100</v>
      </c>
      <c r="F6812" s="7">
        <v>45881.311558968846</v>
      </c>
      <c r="G6812" s="3" t="s">
        <v>6979</v>
      </c>
    </row>
    <row r="6813">
      <c r="A6813" s="3" t="s">
        <v>19739</v>
      </c>
      <c r="B6813" s="3" t="s">
        <v>6356</v>
      </c>
      <c r="C6813" s="5" t="s">
        <v>206</v>
      </c>
      <c r="D6813" s="3" t="s">
        <v>68</v>
      </c>
      <c r="E6813" s="3" t="s">
        <v>100</v>
      </c>
      <c r="F6813" s="7">
        <v>45881.315031191065</v>
      </c>
      <c r="G6813" s="3" t="s">
        <v>6982</v>
      </c>
    </row>
    <row r="6814">
      <c r="A6814" s="3" t="s">
        <v>19741</v>
      </c>
      <c r="B6814" s="3" t="s">
        <v>6359</v>
      </c>
      <c r="C6814" s="5" t="s">
        <v>45</v>
      </c>
      <c r="D6814" s="3" t="s">
        <v>221</v>
      </c>
      <c r="E6814" s="3" t="s">
        <v>763</v>
      </c>
      <c r="F6814" s="7">
        <v>45881.37578936981</v>
      </c>
      <c r="G6814" s="3" t="s">
        <v>3187</v>
      </c>
    </row>
    <row r="6815">
      <c r="A6815" s="3" t="s">
        <v>19743</v>
      </c>
      <c r="B6815" s="3" t="s">
        <v>6359</v>
      </c>
      <c r="C6815" s="5" t="s">
        <v>221</v>
      </c>
      <c r="D6815" s="3" t="s">
        <v>614</v>
      </c>
      <c r="E6815" s="3" t="s">
        <v>118</v>
      </c>
      <c r="F6815" s="7">
        <v>45881.37926159203</v>
      </c>
      <c r="G6815" s="3" t="s">
        <v>3190</v>
      </c>
    </row>
    <row r="6816">
      <c r="A6816" s="3" t="s">
        <v>19746</v>
      </c>
      <c r="B6816" s="3" t="s">
        <v>6359</v>
      </c>
      <c r="C6816" s="5" t="s">
        <v>614</v>
      </c>
      <c r="D6816" s="3" t="s">
        <v>206</v>
      </c>
      <c r="E6816" s="3" t="s">
        <v>100</v>
      </c>
      <c r="F6816" s="7">
        <v>45881.38273381426</v>
      </c>
      <c r="G6816" s="3" t="s">
        <v>3193</v>
      </c>
    </row>
    <row r="6817">
      <c r="A6817" s="3" t="s">
        <v>19748</v>
      </c>
      <c r="B6817" s="3" t="s">
        <v>6359</v>
      </c>
      <c r="C6817" s="5" t="s">
        <v>206</v>
      </c>
      <c r="D6817" s="3" t="s">
        <v>68</v>
      </c>
      <c r="E6817" s="3" t="s">
        <v>100</v>
      </c>
      <c r="F6817" s="7">
        <v>45881.38620603648</v>
      </c>
      <c r="G6817" s="3" t="s">
        <v>3196</v>
      </c>
    </row>
    <row r="6818">
      <c r="A6818" s="3" t="s">
        <v>19750</v>
      </c>
      <c r="B6818" s="3" t="s">
        <v>6362</v>
      </c>
      <c r="C6818" s="5" t="s">
        <v>45</v>
      </c>
      <c r="D6818" s="3" t="s">
        <v>221</v>
      </c>
      <c r="E6818" s="3" t="s">
        <v>481</v>
      </c>
      <c r="F6818" s="7">
        <v>45881.44696421523</v>
      </c>
      <c r="G6818" s="3" t="s">
        <v>10623</v>
      </c>
    </row>
    <row r="6819">
      <c r="A6819" s="3" t="s">
        <v>19752</v>
      </c>
      <c r="B6819" s="3" t="s">
        <v>6362</v>
      </c>
      <c r="C6819" s="5" t="s">
        <v>221</v>
      </c>
      <c r="D6819" s="3" t="s">
        <v>614</v>
      </c>
      <c r="E6819" s="3" t="s">
        <v>118</v>
      </c>
      <c r="F6819" s="7">
        <v>45881.45043643745</v>
      </c>
      <c r="G6819" s="3" t="s">
        <v>10625</v>
      </c>
    </row>
    <row r="6820">
      <c r="A6820" s="3" t="s">
        <v>19754</v>
      </c>
      <c r="B6820" s="3" t="s">
        <v>6362</v>
      </c>
      <c r="C6820" s="5" t="s">
        <v>614</v>
      </c>
      <c r="D6820" s="3" t="s">
        <v>206</v>
      </c>
      <c r="E6820" s="3" t="s">
        <v>100</v>
      </c>
      <c r="F6820" s="7">
        <v>45881.45390865968</v>
      </c>
      <c r="G6820" s="3" t="s">
        <v>10628</v>
      </c>
    </row>
    <row r="6821">
      <c r="A6821" s="3" t="s">
        <v>19756</v>
      </c>
      <c r="B6821" s="3" t="s">
        <v>6362</v>
      </c>
      <c r="C6821" s="5" t="s">
        <v>206</v>
      </c>
      <c r="D6821" s="3" t="s">
        <v>68</v>
      </c>
      <c r="E6821" s="3" t="s">
        <v>100</v>
      </c>
      <c r="F6821" s="7">
        <v>45881.4573808819</v>
      </c>
      <c r="G6821" s="3" t="s">
        <v>10631</v>
      </c>
    </row>
    <row r="6822">
      <c r="A6822" s="3" t="s">
        <v>19757</v>
      </c>
      <c r="B6822" s="3" t="s">
        <v>6366</v>
      </c>
      <c r="C6822" s="5" t="s">
        <v>45</v>
      </c>
      <c r="D6822" s="3" t="s">
        <v>221</v>
      </c>
      <c r="E6822" s="3" t="s">
        <v>475</v>
      </c>
      <c r="F6822" s="7">
        <v>45881.51813906065</v>
      </c>
      <c r="G6822" s="3" t="s">
        <v>3199</v>
      </c>
    </row>
    <row r="6823">
      <c r="A6823" s="3" t="s">
        <v>19759</v>
      </c>
      <c r="B6823" s="3" t="s">
        <v>6366</v>
      </c>
      <c r="C6823" s="5" t="s">
        <v>221</v>
      </c>
      <c r="D6823" s="3" t="s">
        <v>614</v>
      </c>
      <c r="E6823" s="3" t="s">
        <v>118</v>
      </c>
      <c r="F6823" s="7">
        <v>45881.52161128287</v>
      </c>
      <c r="G6823" s="3" t="s">
        <v>3202</v>
      </c>
    </row>
    <row r="6824">
      <c r="A6824" s="3" t="s">
        <v>19761</v>
      </c>
      <c r="B6824" s="3" t="s">
        <v>6366</v>
      </c>
      <c r="C6824" s="5" t="s">
        <v>614</v>
      </c>
      <c r="D6824" s="3" t="s">
        <v>206</v>
      </c>
      <c r="E6824" s="3" t="s">
        <v>100</v>
      </c>
      <c r="F6824" s="7">
        <v>45881.5250835051</v>
      </c>
      <c r="G6824" s="3" t="s">
        <v>3204</v>
      </c>
    </row>
    <row r="6825">
      <c r="A6825" s="3" t="s">
        <v>19763</v>
      </c>
      <c r="B6825" s="3" t="s">
        <v>6366</v>
      </c>
      <c r="C6825" s="5" t="s">
        <v>206</v>
      </c>
      <c r="D6825" s="3" t="s">
        <v>68</v>
      </c>
      <c r="E6825" s="3" t="s">
        <v>100</v>
      </c>
      <c r="F6825" s="7">
        <v>45881.52855572732</v>
      </c>
      <c r="G6825" s="3" t="s">
        <v>3207</v>
      </c>
    </row>
    <row r="6826">
      <c r="A6826" s="3" t="s">
        <v>19765</v>
      </c>
      <c r="B6826" s="3" t="s">
        <v>6370</v>
      </c>
      <c r="C6826" s="5" t="s">
        <v>45</v>
      </c>
      <c r="D6826" s="3" t="s">
        <v>221</v>
      </c>
      <c r="E6826" s="3" t="s">
        <v>330</v>
      </c>
      <c r="F6826" s="7">
        <v>45881.589313906064</v>
      </c>
      <c r="G6826" s="3" t="s">
        <v>14875</v>
      </c>
    </row>
    <row r="6827">
      <c r="A6827" s="3" t="s">
        <v>19766</v>
      </c>
      <c r="B6827" s="3" t="s">
        <v>6370</v>
      </c>
      <c r="C6827" s="5" t="s">
        <v>221</v>
      </c>
      <c r="D6827" s="3" t="s">
        <v>614</v>
      </c>
      <c r="E6827" s="3" t="s">
        <v>118</v>
      </c>
      <c r="F6827" s="7">
        <v>45881.59278612828</v>
      </c>
      <c r="G6827" s="3" t="s">
        <v>14878</v>
      </c>
    </row>
    <row r="6828">
      <c r="A6828" s="3" t="s">
        <v>19768</v>
      </c>
      <c r="B6828" s="3" t="s">
        <v>6370</v>
      </c>
      <c r="C6828" s="5" t="s">
        <v>614</v>
      </c>
      <c r="D6828" s="3" t="s">
        <v>206</v>
      </c>
      <c r="E6828" s="3" t="s">
        <v>100</v>
      </c>
      <c r="F6828" s="7">
        <v>45881.59625835051</v>
      </c>
      <c r="G6828" s="3" t="s">
        <v>14881</v>
      </c>
    </row>
    <row r="6829">
      <c r="A6829" s="3" t="s">
        <v>19770</v>
      </c>
      <c r="B6829" s="3" t="s">
        <v>6370</v>
      </c>
      <c r="C6829" s="5" t="s">
        <v>206</v>
      </c>
      <c r="D6829" s="3" t="s">
        <v>68</v>
      </c>
      <c r="E6829" s="3" t="s">
        <v>100</v>
      </c>
      <c r="F6829" s="7">
        <v>45881.59973057273</v>
      </c>
      <c r="G6829" s="3" t="s">
        <v>14884</v>
      </c>
    </row>
    <row r="6830">
      <c r="A6830" s="3" t="s">
        <v>19772</v>
      </c>
      <c r="B6830" s="3" t="s">
        <v>6373</v>
      </c>
      <c r="C6830" s="5" t="s">
        <v>45</v>
      </c>
      <c r="D6830" s="3" t="s">
        <v>221</v>
      </c>
      <c r="E6830" s="3" t="s">
        <v>575</v>
      </c>
      <c r="F6830" s="7">
        <v>45881.66048875148</v>
      </c>
      <c r="G6830" s="3" t="s">
        <v>17970</v>
      </c>
    </row>
    <row r="6831">
      <c r="A6831" s="3" t="s">
        <v>19774</v>
      </c>
      <c r="B6831" s="3" t="s">
        <v>6373</v>
      </c>
      <c r="C6831" s="5" t="s">
        <v>221</v>
      </c>
      <c r="D6831" s="3" t="s">
        <v>614</v>
      </c>
      <c r="E6831" s="3" t="s">
        <v>118</v>
      </c>
      <c r="F6831" s="7">
        <v>45881.663960973696</v>
      </c>
      <c r="G6831" s="3" t="s">
        <v>19775</v>
      </c>
    </row>
    <row r="6832">
      <c r="A6832" s="3" t="s">
        <v>19777</v>
      </c>
      <c r="B6832" s="3" t="s">
        <v>6373</v>
      </c>
      <c r="C6832" s="5" t="s">
        <v>614</v>
      </c>
      <c r="D6832" s="3" t="s">
        <v>206</v>
      </c>
      <c r="E6832" s="3" t="s">
        <v>100</v>
      </c>
      <c r="F6832" s="7">
        <v>45881.66743319592</v>
      </c>
      <c r="G6832" s="3" t="s">
        <v>19778</v>
      </c>
    </row>
    <row r="6833">
      <c r="A6833" s="3" t="s">
        <v>19779</v>
      </c>
      <c r="B6833" s="3" t="s">
        <v>6373</v>
      </c>
      <c r="C6833" s="5" t="s">
        <v>206</v>
      </c>
      <c r="D6833" s="3" t="s">
        <v>68</v>
      </c>
      <c r="E6833" s="3" t="s">
        <v>100</v>
      </c>
      <c r="F6833" s="7">
        <v>45881.67090541814</v>
      </c>
      <c r="G6833" s="3" t="s">
        <v>19781</v>
      </c>
    </row>
    <row r="6834">
      <c r="A6834" s="3" t="s">
        <v>19782</v>
      </c>
      <c r="B6834" s="3" t="s">
        <v>6376</v>
      </c>
      <c r="C6834" s="5" t="s">
        <v>45</v>
      </c>
      <c r="D6834" s="3" t="s">
        <v>221</v>
      </c>
      <c r="E6834" s="3" t="s">
        <v>256</v>
      </c>
      <c r="F6834" s="7">
        <v>45881.7316635969</v>
      </c>
      <c r="G6834" s="3" t="s">
        <v>13137</v>
      </c>
    </row>
    <row r="6835">
      <c r="A6835" s="3" t="s">
        <v>19784</v>
      </c>
      <c r="B6835" s="3" t="s">
        <v>6376</v>
      </c>
      <c r="C6835" s="5" t="s">
        <v>221</v>
      </c>
      <c r="D6835" s="3" t="s">
        <v>614</v>
      </c>
      <c r="E6835" s="3" t="s">
        <v>118</v>
      </c>
      <c r="F6835" s="7">
        <v>45881.735135819115</v>
      </c>
      <c r="G6835" s="3" t="s">
        <v>13140</v>
      </c>
    </row>
    <row r="6836">
      <c r="A6836" s="3" t="s">
        <v>19786</v>
      </c>
      <c r="B6836" s="3" t="s">
        <v>6376</v>
      </c>
      <c r="C6836" s="5" t="s">
        <v>614</v>
      </c>
      <c r="D6836" s="3" t="s">
        <v>206</v>
      </c>
      <c r="E6836" s="3" t="s">
        <v>100</v>
      </c>
      <c r="F6836" s="7">
        <v>45881.73860804134</v>
      </c>
      <c r="G6836" s="3" t="s">
        <v>13144</v>
      </c>
    </row>
    <row r="6837">
      <c r="A6837" s="3" t="s">
        <v>19788</v>
      </c>
      <c r="B6837" s="3" t="s">
        <v>6376</v>
      </c>
      <c r="C6837" s="5" t="s">
        <v>206</v>
      </c>
      <c r="D6837" s="3" t="s">
        <v>68</v>
      </c>
      <c r="E6837" s="3" t="s">
        <v>100</v>
      </c>
      <c r="F6837" s="7">
        <v>45881.74208026356</v>
      </c>
      <c r="G6837" s="3" t="s">
        <v>13147</v>
      </c>
    </row>
    <row r="6838">
      <c r="A6838" s="3" t="s">
        <v>19790</v>
      </c>
      <c r="B6838" s="3" t="s">
        <v>6379</v>
      </c>
      <c r="C6838" s="5" t="s">
        <v>45</v>
      </c>
      <c r="D6838" s="3" t="s">
        <v>221</v>
      </c>
      <c r="E6838" s="3" t="s">
        <v>541</v>
      </c>
      <c r="F6838" s="7">
        <v>45881.80283844231</v>
      </c>
      <c r="G6838" s="3" t="s">
        <v>19792</v>
      </c>
    </row>
    <row r="6839">
      <c r="A6839" s="3" t="s">
        <v>19793</v>
      </c>
      <c r="B6839" s="3" t="s">
        <v>6379</v>
      </c>
      <c r="C6839" s="5" t="s">
        <v>221</v>
      </c>
      <c r="D6839" s="3" t="s">
        <v>614</v>
      </c>
      <c r="E6839" s="3" t="s">
        <v>118</v>
      </c>
      <c r="F6839" s="7">
        <v>45881.80631066453</v>
      </c>
      <c r="G6839" s="3" t="s">
        <v>19794</v>
      </c>
    </row>
    <row r="6840">
      <c r="A6840" s="3" t="s">
        <v>19796</v>
      </c>
      <c r="B6840" s="3" t="s">
        <v>6379</v>
      </c>
      <c r="C6840" s="5" t="s">
        <v>614</v>
      </c>
      <c r="D6840" s="3" t="s">
        <v>206</v>
      </c>
      <c r="E6840" s="3" t="s">
        <v>100</v>
      </c>
      <c r="F6840" s="7">
        <v>45881.809782886754</v>
      </c>
      <c r="G6840" s="3" t="s">
        <v>19797</v>
      </c>
    </row>
    <row r="6841">
      <c r="A6841" s="3" t="s">
        <v>19798</v>
      </c>
      <c r="B6841" s="3" t="s">
        <v>6379</v>
      </c>
      <c r="C6841" s="5" t="s">
        <v>206</v>
      </c>
      <c r="D6841" s="3" t="s">
        <v>68</v>
      </c>
      <c r="E6841" s="3" t="s">
        <v>100</v>
      </c>
      <c r="F6841" s="7">
        <v>45881.81325510897</v>
      </c>
      <c r="G6841" s="3" t="s">
        <v>19800</v>
      </c>
    </row>
    <row r="6842">
      <c r="A6842" s="3" t="s">
        <v>19801</v>
      </c>
      <c r="B6842" s="3" t="s">
        <v>6382</v>
      </c>
      <c r="C6842" s="5" t="s">
        <v>45</v>
      </c>
      <c r="D6842" s="3" t="s">
        <v>221</v>
      </c>
      <c r="E6842" s="3" t="s">
        <v>475</v>
      </c>
      <c r="F6842" s="7">
        <v>45881.87401328772</v>
      </c>
      <c r="G6842" s="3" t="s">
        <v>8616</v>
      </c>
    </row>
    <row r="6843">
      <c r="A6843" s="3" t="s">
        <v>19803</v>
      </c>
      <c r="B6843" s="3" t="s">
        <v>6382</v>
      </c>
      <c r="C6843" s="5" t="s">
        <v>221</v>
      </c>
      <c r="D6843" s="3" t="s">
        <v>614</v>
      </c>
      <c r="E6843" s="3" t="s">
        <v>118</v>
      </c>
      <c r="F6843" s="7">
        <v>45881.87748550994</v>
      </c>
      <c r="G6843" s="3" t="s">
        <v>8619</v>
      </c>
    </row>
    <row r="6844">
      <c r="A6844" s="3" t="s">
        <v>19804</v>
      </c>
      <c r="B6844" s="3" t="s">
        <v>6382</v>
      </c>
      <c r="C6844" s="5" t="s">
        <v>614</v>
      </c>
      <c r="D6844" s="3" t="s">
        <v>206</v>
      </c>
      <c r="E6844" s="3" t="s">
        <v>100</v>
      </c>
      <c r="F6844" s="7">
        <v>45881.880957732166</v>
      </c>
      <c r="G6844" s="3" t="s">
        <v>8622</v>
      </c>
    </row>
    <row r="6845">
      <c r="A6845" s="3" t="s">
        <v>19805</v>
      </c>
      <c r="B6845" s="3" t="s">
        <v>6382</v>
      </c>
      <c r="C6845" s="5" t="s">
        <v>206</v>
      </c>
      <c r="D6845" s="3" t="s">
        <v>68</v>
      </c>
      <c r="E6845" s="3" t="s">
        <v>100</v>
      </c>
      <c r="F6845" s="7">
        <v>45881.884429954385</v>
      </c>
      <c r="G6845" s="3" t="s">
        <v>8624</v>
      </c>
    </row>
    <row r="6846">
      <c r="A6846" s="3" t="s">
        <v>19807</v>
      </c>
      <c r="B6846" s="3" t="s">
        <v>6385</v>
      </c>
      <c r="C6846" s="5" t="s">
        <v>45</v>
      </c>
      <c r="D6846" s="3" t="s">
        <v>221</v>
      </c>
      <c r="E6846" s="3" t="s">
        <v>591</v>
      </c>
      <c r="F6846" s="7">
        <v>45881.94518813314</v>
      </c>
      <c r="G6846" s="3" t="s">
        <v>3236</v>
      </c>
    </row>
    <row r="6847">
      <c r="A6847" s="3" t="s">
        <v>19809</v>
      </c>
      <c r="B6847" s="3" t="s">
        <v>6385</v>
      </c>
      <c r="C6847" s="5" t="s">
        <v>221</v>
      </c>
      <c r="D6847" s="3" t="s">
        <v>614</v>
      </c>
      <c r="E6847" s="3" t="s">
        <v>118</v>
      </c>
      <c r="F6847" s="7">
        <v>45881.94866035536</v>
      </c>
      <c r="G6847" s="3" t="s">
        <v>3239</v>
      </c>
    </row>
    <row r="6848">
      <c r="A6848" s="3" t="s">
        <v>19810</v>
      </c>
      <c r="B6848" s="3" t="s">
        <v>6385</v>
      </c>
      <c r="C6848" s="5" t="s">
        <v>614</v>
      </c>
      <c r="D6848" s="3" t="s">
        <v>206</v>
      </c>
      <c r="E6848" s="3" t="s">
        <v>100</v>
      </c>
      <c r="F6848" s="7">
        <v>45881.952132577586</v>
      </c>
      <c r="G6848" s="3" t="s">
        <v>3242</v>
      </c>
    </row>
    <row r="6849">
      <c r="A6849" s="3" t="s">
        <v>19812</v>
      </c>
      <c r="B6849" s="3" t="s">
        <v>6385</v>
      </c>
      <c r="C6849" s="5" t="s">
        <v>206</v>
      </c>
      <c r="D6849" s="3" t="s">
        <v>68</v>
      </c>
      <c r="E6849" s="3" t="s">
        <v>100</v>
      </c>
      <c r="F6849" s="7">
        <v>45881.955604799805</v>
      </c>
      <c r="G6849" s="3" t="s">
        <v>3245</v>
      </c>
    </row>
    <row r="6850">
      <c r="A6850" s="3" t="s">
        <v>19814</v>
      </c>
      <c r="B6850" s="3" t="s">
        <v>6388</v>
      </c>
      <c r="C6850" s="5" t="s">
        <v>45</v>
      </c>
      <c r="D6850" s="3" t="s">
        <v>221</v>
      </c>
      <c r="E6850" s="3" t="s">
        <v>356</v>
      </c>
      <c r="F6850" s="7">
        <v>45882.01636297855</v>
      </c>
      <c r="G6850" s="3" t="s">
        <v>15629</v>
      </c>
    </row>
    <row r="6851">
      <c r="A6851" s="3" t="s">
        <v>19816</v>
      </c>
      <c r="B6851" s="3" t="s">
        <v>6388</v>
      </c>
      <c r="C6851" s="5" t="s">
        <v>221</v>
      </c>
      <c r="D6851" s="3" t="s">
        <v>181</v>
      </c>
      <c r="E6851" s="3" t="s">
        <v>118</v>
      </c>
      <c r="F6851" s="7">
        <v>45882.01983520077</v>
      </c>
      <c r="G6851" s="3" t="s">
        <v>18528</v>
      </c>
    </row>
    <row r="6852">
      <c r="A6852" s="3" t="s">
        <v>19818</v>
      </c>
      <c r="B6852" s="3" t="s">
        <v>6391</v>
      </c>
      <c r="C6852" s="5" t="s">
        <v>45</v>
      </c>
      <c r="D6852" s="3" t="s">
        <v>221</v>
      </c>
      <c r="E6852" s="3" t="s">
        <v>219</v>
      </c>
      <c r="F6852" s="7">
        <v>45882.087537823965</v>
      </c>
      <c r="G6852" s="3" t="s">
        <v>3248</v>
      </c>
    </row>
    <row r="6853">
      <c r="A6853" s="3" t="s">
        <v>19820</v>
      </c>
      <c r="B6853" s="3" t="s">
        <v>6391</v>
      </c>
      <c r="C6853" s="5" t="s">
        <v>221</v>
      </c>
      <c r="D6853" s="3" t="s">
        <v>614</v>
      </c>
      <c r="E6853" s="3" t="s">
        <v>118</v>
      </c>
      <c r="F6853" s="7">
        <v>45882.091010046184</v>
      </c>
      <c r="G6853" s="3" t="s">
        <v>3251</v>
      </c>
    </row>
    <row r="6854">
      <c r="A6854" s="3" t="s">
        <v>19822</v>
      </c>
      <c r="B6854" s="3" t="s">
        <v>6391</v>
      </c>
      <c r="C6854" s="5" t="s">
        <v>614</v>
      </c>
      <c r="D6854" s="3" t="s">
        <v>206</v>
      </c>
      <c r="E6854" s="3" t="s">
        <v>100</v>
      </c>
      <c r="F6854" s="7">
        <v>45882.09448226841</v>
      </c>
      <c r="G6854" s="3" t="s">
        <v>3254</v>
      </c>
    </row>
    <row r="6855">
      <c r="A6855" s="3" t="s">
        <v>19823</v>
      </c>
      <c r="B6855" s="3" t="s">
        <v>6391</v>
      </c>
      <c r="C6855" s="5" t="s">
        <v>206</v>
      </c>
      <c r="D6855" s="3" t="s">
        <v>68</v>
      </c>
      <c r="E6855" s="3" t="s">
        <v>100</v>
      </c>
      <c r="F6855" s="7">
        <v>45882.09795449063</v>
      </c>
      <c r="G6855" s="3" t="s">
        <v>3257</v>
      </c>
    </row>
    <row r="6856">
      <c r="A6856" s="3" t="s">
        <v>19825</v>
      </c>
      <c r="B6856" s="3" t="s">
        <v>6393</v>
      </c>
      <c r="C6856" s="5" t="s">
        <v>45</v>
      </c>
      <c r="D6856" s="3" t="s">
        <v>221</v>
      </c>
      <c r="E6856" s="3" t="s">
        <v>965</v>
      </c>
      <c r="F6856" s="7">
        <v>45882.158712669385</v>
      </c>
      <c r="G6856" s="3" t="s">
        <v>3260</v>
      </c>
    </row>
    <row r="6857">
      <c r="A6857" s="3" t="s">
        <v>19827</v>
      </c>
      <c r="B6857" s="3" t="s">
        <v>6393</v>
      </c>
      <c r="C6857" s="5" t="s">
        <v>221</v>
      </c>
      <c r="D6857" s="3" t="s">
        <v>614</v>
      </c>
      <c r="E6857" s="3" t="s">
        <v>118</v>
      </c>
      <c r="F6857" s="7">
        <v>45882.162184891604</v>
      </c>
      <c r="G6857" s="3" t="s">
        <v>3263</v>
      </c>
    </row>
    <row r="6858">
      <c r="A6858" s="3" t="s">
        <v>19829</v>
      </c>
      <c r="B6858" s="3" t="s">
        <v>6393</v>
      </c>
      <c r="C6858" s="5" t="s">
        <v>614</v>
      </c>
      <c r="D6858" s="3" t="s">
        <v>206</v>
      </c>
      <c r="E6858" s="3" t="s">
        <v>100</v>
      </c>
      <c r="F6858" s="7">
        <v>45882.16565711383</v>
      </c>
      <c r="G6858" s="3" t="s">
        <v>3266</v>
      </c>
    </row>
    <row r="6859">
      <c r="A6859" s="3" t="s">
        <v>19831</v>
      </c>
      <c r="B6859" s="3" t="s">
        <v>6393</v>
      </c>
      <c r="C6859" s="5" t="s">
        <v>206</v>
      </c>
      <c r="D6859" s="3" t="s">
        <v>68</v>
      </c>
      <c r="E6859" s="3" t="s">
        <v>100</v>
      </c>
      <c r="F6859" s="7">
        <v>45882.16912933605</v>
      </c>
      <c r="G6859" s="3" t="s">
        <v>3268</v>
      </c>
    </row>
    <row r="6860">
      <c r="A6860" s="3" t="s">
        <v>19833</v>
      </c>
      <c r="B6860" s="3" t="s">
        <v>6395</v>
      </c>
      <c r="C6860" s="5" t="s">
        <v>45</v>
      </c>
      <c r="D6860" s="3" t="s">
        <v>221</v>
      </c>
      <c r="E6860" s="3" t="s">
        <v>883</v>
      </c>
      <c r="F6860" s="7">
        <v>45882.2298875148</v>
      </c>
      <c r="G6860" s="3" t="s">
        <v>19835</v>
      </c>
    </row>
    <row r="6861">
      <c r="A6861" s="3" t="s">
        <v>19836</v>
      </c>
      <c r="B6861" s="3" t="s">
        <v>6395</v>
      </c>
      <c r="C6861" s="5" t="s">
        <v>221</v>
      </c>
      <c r="D6861" s="3" t="s">
        <v>614</v>
      </c>
      <c r="E6861" s="3" t="s">
        <v>118</v>
      </c>
      <c r="F6861" s="7">
        <v>45882.233359737016</v>
      </c>
      <c r="G6861" s="3" t="s">
        <v>19837</v>
      </c>
    </row>
    <row r="6862">
      <c r="A6862" s="3" t="s">
        <v>19839</v>
      </c>
      <c r="B6862" s="3" t="s">
        <v>6395</v>
      </c>
      <c r="C6862" s="5" t="s">
        <v>614</v>
      </c>
      <c r="D6862" s="3" t="s">
        <v>206</v>
      </c>
      <c r="E6862" s="3" t="s">
        <v>100</v>
      </c>
      <c r="F6862" s="7">
        <v>45882.23683195924</v>
      </c>
      <c r="G6862" s="3" t="s">
        <v>19840</v>
      </c>
    </row>
    <row r="6863">
      <c r="A6863" s="3" t="s">
        <v>19841</v>
      </c>
      <c r="B6863" s="3" t="s">
        <v>6395</v>
      </c>
      <c r="C6863" s="5" t="s">
        <v>206</v>
      </c>
      <c r="D6863" s="3" t="s">
        <v>68</v>
      </c>
      <c r="E6863" s="3" t="s">
        <v>100</v>
      </c>
      <c r="F6863" s="7">
        <v>45882.24030418146</v>
      </c>
      <c r="G6863" s="3" t="s">
        <v>19843</v>
      </c>
    </row>
    <row r="6864">
      <c r="A6864" s="3" t="s">
        <v>19844</v>
      </c>
      <c r="B6864" s="3" t="s">
        <v>6398</v>
      </c>
      <c r="C6864" s="5" t="s">
        <v>45</v>
      </c>
      <c r="D6864" s="3" t="s">
        <v>221</v>
      </c>
      <c r="E6864" s="3" t="s">
        <v>926</v>
      </c>
      <c r="F6864" s="7">
        <v>45882.30106236021</v>
      </c>
      <c r="G6864" s="3" t="s">
        <v>19846</v>
      </c>
    </row>
    <row r="6865">
      <c r="A6865" s="3" t="s">
        <v>19847</v>
      </c>
      <c r="B6865" s="3" t="s">
        <v>6398</v>
      </c>
      <c r="C6865" s="5" t="s">
        <v>221</v>
      </c>
      <c r="D6865" s="3" t="s">
        <v>614</v>
      </c>
      <c r="E6865" s="3" t="s">
        <v>118</v>
      </c>
      <c r="F6865" s="7">
        <v>45882.30453458243</v>
      </c>
      <c r="G6865" s="3" t="s">
        <v>19849</v>
      </c>
    </row>
    <row r="6866">
      <c r="A6866" s="3" t="s">
        <v>19850</v>
      </c>
      <c r="B6866" s="3" t="s">
        <v>6398</v>
      </c>
      <c r="C6866" s="5" t="s">
        <v>614</v>
      </c>
      <c r="D6866" s="3" t="s">
        <v>206</v>
      </c>
      <c r="E6866" s="3" t="s">
        <v>100</v>
      </c>
      <c r="F6866" s="7">
        <v>45882.308006804655</v>
      </c>
      <c r="G6866" s="3" t="s">
        <v>19851</v>
      </c>
    </row>
    <row r="6867">
      <c r="A6867" s="3" t="s">
        <v>19853</v>
      </c>
      <c r="B6867" s="3" t="s">
        <v>6398</v>
      </c>
      <c r="C6867" s="5" t="s">
        <v>206</v>
      </c>
      <c r="D6867" s="3" t="s">
        <v>68</v>
      </c>
      <c r="E6867" s="3" t="s">
        <v>100</v>
      </c>
      <c r="F6867" s="7">
        <v>45882.311479026874</v>
      </c>
      <c r="G6867" s="3" t="s">
        <v>19854</v>
      </c>
    </row>
    <row r="6868">
      <c r="A6868" s="3" t="s">
        <v>19855</v>
      </c>
      <c r="B6868" s="3" t="s">
        <v>6401</v>
      </c>
      <c r="C6868" s="5" t="s">
        <v>45</v>
      </c>
      <c r="D6868" s="3" t="s">
        <v>221</v>
      </c>
      <c r="E6868" s="3" t="s">
        <v>156</v>
      </c>
      <c r="F6868" s="7">
        <v>45882.37223720563</v>
      </c>
      <c r="G6868" s="3" t="s">
        <v>19857</v>
      </c>
    </row>
    <row r="6869">
      <c r="A6869" s="3" t="s">
        <v>19858</v>
      </c>
      <c r="B6869" s="3" t="s">
        <v>6401</v>
      </c>
      <c r="C6869" s="5" t="s">
        <v>221</v>
      </c>
      <c r="D6869" s="3" t="s">
        <v>614</v>
      </c>
      <c r="E6869" s="3" t="s">
        <v>118</v>
      </c>
      <c r="F6869" s="7">
        <v>45882.37570942785</v>
      </c>
      <c r="G6869" s="3" t="s">
        <v>19860</v>
      </c>
    </row>
    <row r="6870">
      <c r="A6870" s="3" t="s">
        <v>19861</v>
      </c>
      <c r="B6870" s="3" t="s">
        <v>6401</v>
      </c>
      <c r="C6870" s="5" t="s">
        <v>614</v>
      </c>
      <c r="D6870" s="3" t="s">
        <v>206</v>
      </c>
      <c r="E6870" s="3" t="s">
        <v>100</v>
      </c>
      <c r="F6870" s="7">
        <v>45882.379181650074</v>
      </c>
      <c r="G6870" s="3" t="s">
        <v>19863</v>
      </c>
    </row>
    <row r="6871">
      <c r="A6871" s="3" t="s">
        <v>19864</v>
      </c>
      <c r="B6871" s="3" t="s">
        <v>6401</v>
      </c>
      <c r="C6871" s="5" t="s">
        <v>206</v>
      </c>
      <c r="D6871" s="3" t="s">
        <v>68</v>
      </c>
      <c r="E6871" s="3" t="s">
        <v>100</v>
      </c>
      <c r="F6871" s="7">
        <v>45882.38265387229</v>
      </c>
      <c r="G6871" s="3" t="s">
        <v>19866</v>
      </c>
    </row>
    <row r="6872">
      <c r="A6872" s="3" t="s">
        <v>19867</v>
      </c>
      <c r="B6872" s="3" t="s">
        <v>6404</v>
      </c>
      <c r="C6872" s="5" t="s">
        <v>45</v>
      </c>
      <c r="D6872" s="3" t="s">
        <v>221</v>
      </c>
      <c r="E6872" s="3" t="s">
        <v>637</v>
      </c>
      <c r="F6872" s="7">
        <v>45882.44341205105</v>
      </c>
      <c r="G6872" s="3" t="s">
        <v>7447</v>
      </c>
    </row>
    <row r="6873">
      <c r="A6873" s="3" t="s">
        <v>19869</v>
      </c>
      <c r="B6873" s="3" t="s">
        <v>6404</v>
      </c>
      <c r="C6873" s="5" t="s">
        <v>221</v>
      </c>
      <c r="D6873" s="3" t="s">
        <v>614</v>
      </c>
      <c r="E6873" s="3" t="s">
        <v>118</v>
      </c>
      <c r="F6873" s="7">
        <v>45882.44688427327</v>
      </c>
      <c r="G6873" s="3" t="s">
        <v>7450</v>
      </c>
    </row>
    <row r="6874">
      <c r="A6874" s="3" t="s">
        <v>19870</v>
      </c>
      <c r="B6874" s="3" t="s">
        <v>6404</v>
      </c>
      <c r="C6874" s="5" t="s">
        <v>614</v>
      </c>
      <c r="D6874" s="3" t="s">
        <v>206</v>
      </c>
      <c r="E6874" s="3" t="s">
        <v>100</v>
      </c>
      <c r="F6874" s="7">
        <v>45882.450356495494</v>
      </c>
      <c r="G6874" s="3" t="s">
        <v>7453</v>
      </c>
    </row>
    <row r="6875">
      <c r="A6875" s="3" t="s">
        <v>19872</v>
      </c>
      <c r="B6875" s="3" t="s">
        <v>6404</v>
      </c>
      <c r="C6875" s="5" t="s">
        <v>206</v>
      </c>
      <c r="D6875" s="3" t="s">
        <v>68</v>
      </c>
      <c r="E6875" s="3" t="s">
        <v>100</v>
      </c>
      <c r="F6875" s="7">
        <v>45882.45382871771</v>
      </c>
      <c r="G6875" s="3" t="s">
        <v>7456</v>
      </c>
    </row>
    <row r="6876">
      <c r="A6876" s="3" t="s">
        <v>19874</v>
      </c>
      <c r="B6876" s="3" t="s">
        <v>6407</v>
      </c>
      <c r="C6876" s="5" t="s">
        <v>45</v>
      </c>
      <c r="D6876" s="3" t="s">
        <v>221</v>
      </c>
      <c r="E6876" s="3" t="s">
        <v>976</v>
      </c>
      <c r="F6876" s="7">
        <v>45882.514586896454</v>
      </c>
      <c r="G6876" s="3" t="s">
        <v>19876</v>
      </c>
    </row>
    <row r="6877">
      <c r="A6877" s="3" t="s">
        <v>19877</v>
      </c>
      <c r="B6877" s="3" t="s">
        <v>6407</v>
      </c>
      <c r="C6877" s="5" t="s">
        <v>221</v>
      </c>
      <c r="D6877" s="3" t="s">
        <v>614</v>
      </c>
      <c r="E6877" s="3" t="s">
        <v>118</v>
      </c>
      <c r="F6877" s="7">
        <v>45882.51805911867</v>
      </c>
      <c r="G6877" s="3" t="s">
        <v>19879</v>
      </c>
    </row>
    <row r="6878">
      <c r="A6878" s="3" t="s">
        <v>19880</v>
      </c>
      <c r="B6878" s="3" t="s">
        <v>6407</v>
      </c>
      <c r="C6878" s="5" t="s">
        <v>614</v>
      </c>
      <c r="D6878" s="3" t="s">
        <v>206</v>
      </c>
      <c r="E6878" s="3" t="s">
        <v>100</v>
      </c>
      <c r="F6878" s="7">
        <v>45882.5215313409</v>
      </c>
      <c r="G6878" s="3" t="s">
        <v>19881</v>
      </c>
    </row>
    <row r="6879">
      <c r="A6879" s="3" t="s">
        <v>19882</v>
      </c>
      <c r="B6879" s="3" t="s">
        <v>6407</v>
      </c>
      <c r="C6879" s="5" t="s">
        <v>206</v>
      </c>
      <c r="D6879" s="3" t="s">
        <v>68</v>
      </c>
      <c r="E6879" s="3" t="s">
        <v>100</v>
      </c>
      <c r="F6879" s="7">
        <v>45882.52500356312</v>
      </c>
      <c r="G6879" s="3" t="s">
        <v>19884</v>
      </c>
    </row>
    <row r="6880">
      <c r="A6880" s="3" t="s">
        <v>19885</v>
      </c>
      <c r="B6880" s="3" t="s">
        <v>6411</v>
      </c>
      <c r="C6880" s="5" t="s">
        <v>45</v>
      </c>
      <c r="D6880" s="3" t="s">
        <v>221</v>
      </c>
      <c r="E6880" s="3" t="s">
        <v>510</v>
      </c>
      <c r="F6880" s="7">
        <v>45882.58576174187</v>
      </c>
      <c r="G6880" s="3" t="s">
        <v>3271</v>
      </c>
    </row>
    <row r="6881">
      <c r="A6881" s="3" t="s">
        <v>19887</v>
      </c>
      <c r="B6881" s="3" t="s">
        <v>6411</v>
      </c>
      <c r="C6881" s="5" t="s">
        <v>221</v>
      </c>
      <c r="D6881" s="3" t="s">
        <v>614</v>
      </c>
      <c r="E6881" s="3" t="s">
        <v>118</v>
      </c>
      <c r="F6881" s="7">
        <v>45882.58923396409</v>
      </c>
      <c r="G6881" s="3" t="s">
        <v>3274</v>
      </c>
    </row>
    <row r="6882">
      <c r="A6882" s="3" t="s">
        <v>19889</v>
      </c>
      <c r="B6882" s="3" t="s">
        <v>6411</v>
      </c>
      <c r="C6882" s="5" t="s">
        <v>614</v>
      </c>
      <c r="D6882" s="3" t="s">
        <v>206</v>
      </c>
      <c r="E6882" s="3" t="s">
        <v>100</v>
      </c>
      <c r="F6882" s="7">
        <v>45882.59270618632</v>
      </c>
      <c r="G6882" s="3" t="s">
        <v>3277</v>
      </c>
    </row>
    <row r="6883">
      <c r="A6883" s="3" t="s">
        <v>19891</v>
      </c>
      <c r="B6883" s="3" t="s">
        <v>6411</v>
      </c>
      <c r="C6883" s="5" t="s">
        <v>206</v>
      </c>
      <c r="D6883" s="3" t="s">
        <v>68</v>
      </c>
      <c r="E6883" s="3" t="s">
        <v>100</v>
      </c>
      <c r="F6883" s="7">
        <v>45882.59617840854</v>
      </c>
      <c r="G6883" s="3" t="s">
        <v>3279</v>
      </c>
    </row>
    <row r="6884">
      <c r="A6884" s="3" t="s">
        <v>19893</v>
      </c>
      <c r="B6884" s="3" t="s">
        <v>6415</v>
      </c>
      <c r="C6884" s="5" t="s">
        <v>45</v>
      </c>
      <c r="D6884" s="3" t="s">
        <v>221</v>
      </c>
      <c r="E6884" s="3" t="s">
        <v>501</v>
      </c>
      <c r="F6884" s="7">
        <v>45882.65693658729</v>
      </c>
      <c r="G6884" s="3" t="s">
        <v>19895</v>
      </c>
    </row>
    <row r="6885">
      <c r="A6885" s="3" t="s">
        <v>19896</v>
      </c>
      <c r="B6885" s="3" t="s">
        <v>6415</v>
      </c>
      <c r="C6885" s="5" t="s">
        <v>221</v>
      </c>
      <c r="D6885" s="3" t="s">
        <v>614</v>
      </c>
      <c r="E6885" s="3" t="s">
        <v>118</v>
      </c>
      <c r="F6885" s="7">
        <v>45882.66040880951</v>
      </c>
      <c r="G6885" s="3" t="s">
        <v>19897</v>
      </c>
    </row>
    <row r="6886">
      <c r="A6886" s="3" t="s">
        <v>19898</v>
      </c>
      <c r="B6886" s="3" t="s">
        <v>6415</v>
      </c>
      <c r="C6886" s="5" t="s">
        <v>614</v>
      </c>
      <c r="D6886" s="3" t="s">
        <v>206</v>
      </c>
      <c r="E6886" s="3" t="s">
        <v>100</v>
      </c>
      <c r="F6886" s="7">
        <v>45882.66388103174</v>
      </c>
      <c r="G6886" s="3" t="s">
        <v>19900</v>
      </c>
    </row>
    <row r="6887">
      <c r="A6887" s="3" t="s">
        <v>19901</v>
      </c>
      <c r="B6887" s="3" t="s">
        <v>6415</v>
      </c>
      <c r="C6887" s="5" t="s">
        <v>206</v>
      </c>
      <c r="D6887" s="3" t="s">
        <v>68</v>
      </c>
      <c r="E6887" s="3" t="s">
        <v>100</v>
      </c>
      <c r="F6887" s="7">
        <v>45882.66735325396</v>
      </c>
      <c r="G6887" s="3" t="s">
        <v>19903</v>
      </c>
    </row>
    <row r="6888">
      <c r="A6888" s="3" t="s">
        <v>19904</v>
      </c>
      <c r="B6888" s="3" t="s">
        <v>6418</v>
      </c>
      <c r="C6888" s="5" t="s">
        <v>45</v>
      </c>
      <c r="D6888" s="3" t="s">
        <v>221</v>
      </c>
      <c r="E6888" s="3" t="s">
        <v>1028</v>
      </c>
      <c r="F6888" s="7">
        <v>45882.728111432705</v>
      </c>
      <c r="G6888" s="3" t="s">
        <v>19906</v>
      </c>
    </row>
    <row r="6889">
      <c r="A6889" s="3" t="s">
        <v>19907</v>
      </c>
      <c r="B6889" s="3" t="s">
        <v>6418</v>
      </c>
      <c r="C6889" s="5" t="s">
        <v>221</v>
      </c>
      <c r="D6889" s="3" t="s">
        <v>614</v>
      </c>
      <c r="E6889" s="3" t="s">
        <v>118</v>
      </c>
      <c r="F6889" s="7">
        <v>45882.731583654924</v>
      </c>
      <c r="G6889" s="3" t="s">
        <v>19908</v>
      </c>
    </row>
    <row r="6890">
      <c r="A6890" s="3" t="s">
        <v>19909</v>
      </c>
      <c r="B6890" s="3" t="s">
        <v>6418</v>
      </c>
      <c r="C6890" s="5" t="s">
        <v>614</v>
      </c>
      <c r="D6890" s="3" t="s">
        <v>206</v>
      </c>
      <c r="E6890" s="3" t="s">
        <v>100</v>
      </c>
      <c r="F6890" s="7">
        <v>45882.73505587715</v>
      </c>
      <c r="G6890" s="3" t="s">
        <v>19911</v>
      </c>
    </row>
    <row r="6891">
      <c r="A6891" s="3" t="s">
        <v>19912</v>
      </c>
      <c r="B6891" s="3" t="s">
        <v>6418</v>
      </c>
      <c r="C6891" s="5" t="s">
        <v>206</v>
      </c>
      <c r="D6891" s="3" t="s">
        <v>68</v>
      </c>
      <c r="E6891" s="3" t="s">
        <v>100</v>
      </c>
      <c r="F6891" s="7">
        <v>45882.73852809937</v>
      </c>
      <c r="G6891" s="3" t="s">
        <v>19914</v>
      </c>
    </row>
    <row r="6892">
      <c r="A6892" s="3" t="s">
        <v>19915</v>
      </c>
      <c r="B6892" s="3" t="s">
        <v>6421</v>
      </c>
      <c r="C6892" s="5" t="s">
        <v>45</v>
      </c>
      <c r="D6892" s="3" t="s">
        <v>221</v>
      </c>
      <c r="E6892" s="3" t="s">
        <v>141</v>
      </c>
      <c r="F6892" s="7">
        <v>45882.79928627812</v>
      </c>
      <c r="G6892" s="3" t="s">
        <v>3282</v>
      </c>
    </row>
    <row r="6893">
      <c r="A6893" s="3" t="s">
        <v>19917</v>
      </c>
      <c r="B6893" s="3" t="s">
        <v>6421</v>
      </c>
      <c r="C6893" s="5" t="s">
        <v>221</v>
      </c>
      <c r="D6893" s="3" t="s">
        <v>614</v>
      </c>
      <c r="E6893" s="3" t="s">
        <v>118</v>
      </c>
      <c r="F6893" s="7">
        <v>45882.80275850034</v>
      </c>
      <c r="G6893" s="3" t="s">
        <v>3285</v>
      </c>
    </row>
    <row r="6894">
      <c r="A6894" s="3" t="s">
        <v>19919</v>
      </c>
      <c r="B6894" s="3" t="s">
        <v>6421</v>
      </c>
      <c r="C6894" s="5" t="s">
        <v>614</v>
      </c>
      <c r="D6894" s="3" t="s">
        <v>206</v>
      </c>
      <c r="E6894" s="3" t="s">
        <v>100</v>
      </c>
      <c r="F6894" s="7">
        <v>45882.80623072256</v>
      </c>
      <c r="G6894" s="3" t="s">
        <v>3288</v>
      </c>
    </row>
    <row r="6895">
      <c r="A6895" s="3" t="s">
        <v>19920</v>
      </c>
      <c r="B6895" s="3" t="s">
        <v>6421</v>
      </c>
      <c r="C6895" s="5" t="s">
        <v>206</v>
      </c>
      <c r="D6895" s="3" t="s">
        <v>68</v>
      </c>
      <c r="E6895" s="3" t="s">
        <v>100</v>
      </c>
      <c r="F6895" s="7">
        <v>45882.80970294478</v>
      </c>
      <c r="G6895" s="3" t="s">
        <v>3291</v>
      </c>
    </row>
    <row r="6896">
      <c r="A6896" s="3" t="s">
        <v>19922</v>
      </c>
      <c r="B6896" s="3" t="s">
        <v>6424</v>
      </c>
      <c r="C6896" s="5" t="s">
        <v>45</v>
      </c>
      <c r="D6896" s="3" t="s">
        <v>221</v>
      </c>
      <c r="E6896" s="3" t="s">
        <v>913</v>
      </c>
      <c r="F6896" s="7">
        <v>45882.87046112354</v>
      </c>
      <c r="G6896" s="3" t="s">
        <v>3294</v>
      </c>
    </row>
    <row r="6897">
      <c r="A6897" s="3" t="s">
        <v>19924</v>
      </c>
      <c r="B6897" s="3" t="s">
        <v>6424</v>
      </c>
      <c r="C6897" s="5" t="s">
        <v>221</v>
      </c>
      <c r="D6897" s="3" t="s">
        <v>614</v>
      </c>
      <c r="E6897" s="3" t="s">
        <v>118</v>
      </c>
      <c r="F6897" s="7">
        <v>45882.873933345756</v>
      </c>
      <c r="G6897" s="3" t="s">
        <v>3297</v>
      </c>
    </row>
    <row r="6898">
      <c r="A6898" s="3" t="s">
        <v>19926</v>
      </c>
      <c r="B6898" s="3" t="s">
        <v>6424</v>
      </c>
      <c r="C6898" s="5" t="s">
        <v>614</v>
      </c>
      <c r="D6898" s="3" t="s">
        <v>206</v>
      </c>
      <c r="E6898" s="3" t="s">
        <v>100</v>
      </c>
      <c r="F6898" s="7">
        <v>45882.87740556798</v>
      </c>
      <c r="G6898" s="3" t="s">
        <v>3300</v>
      </c>
    </row>
    <row r="6899">
      <c r="A6899" s="3" t="s">
        <v>19928</v>
      </c>
      <c r="B6899" s="3" t="s">
        <v>6424</v>
      </c>
      <c r="C6899" s="5" t="s">
        <v>206</v>
      </c>
      <c r="D6899" s="3" t="s">
        <v>68</v>
      </c>
      <c r="E6899" s="3" t="s">
        <v>100</v>
      </c>
      <c r="F6899" s="7">
        <v>45882.8808777902</v>
      </c>
      <c r="G6899" s="3" t="s">
        <v>3303</v>
      </c>
    </row>
    <row r="6900">
      <c r="A6900" s="3" t="s">
        <v>19930</v>
      </c>
      <c r="B6900" s="3" t="s">
        <v>6428</v>
      </c>
      <c r="C6900" s="5" t="s">
        <v>45</v>
      </c>
      <c r="D6900" s="3" t="s">
        <v>221</v>
      </c>
      <c r="E6900" s="3" t="s">
        <v>498</v>
      </c>
      <c r="F6900" s="7">
        <v>45882.94163596895</v>
      </c>
      <c r="G6900" s="3" t="s">
        <v>19931</v>
      </c>
    </row>
    <row r="6901">
      <c r="A6901" s="3" t="s">
        <v>19933</v>
      </c>
      <c r="B6901" s="3" t="s">
        <v>6428</v>
      </c>
      <c r="C6901" s="5" t="s">
        <v>221</v>
      </c>
      <c r="D6901" s="3" t="s">
        <v>614</v>
      </c>
      <c r="E6901" s="3" t="s">
        <v>118</v>
      </c>
      <c r="F6901" s="7">
        <v>45882.94510819117</v>
      </c>
      <c r="G6901" s="3" t="s">
        <v>19934</v>
      </c>
    </row>
    <row r="6902">
      <c r="A6902" s="3" t="s">
        <v>19935</v>
      </c>
      <c r="B6902" s="3" t="s">
        <v>6428</v>
      </c>
      <c r="C6902" s="5" t="s">
        <v>614</v>
      </c>
      <c r="D6902" s="3" t="s">
        <v>206</v>
      </c>
      <c r="E6902" s="3" t="s">
        <v>100</v>
      </c>
      <c r="F6902" s="7">
        <v>45882.948580413395</v>
      </c>
      <c r="G6902" s="3" t="s">
        <v>19937</v>
      </c>
    </row>
    <row r="6903">
      <c r="A6903" s="3" t="s">
        <v>19938</v>
      </c>
      <c r="B6903" s="3" t="s">
        <v>6428</v>
      </c>
      <c r="C6903" s="5" t="s">
        <v>206</v>
      </c>
      <c r="D6903" s="3" t="s">
        <v>68</v>
      </c>
      <c r="E6903" s="3" t="s">
        <v>100</v>
      </c>
      <c r="F6903" s="7">
        <v>45882.952052635614</v>
      </c>
      <c r="G6903" s="3" t="s">
        <v>19940</v>
      </c>
    </row>
    <row r="6904">
      <c r="A6904" s="3" t="s">
        <v>19941</v>
      </c>
      <c r="B6904" s="3" t="s">
        <v>6431</v>
      </c>
      <c r="C6904" s="5" t="s">
        <v>45</v>
      </c>
      <c r="D6904" s="3" t="s">
        <v>221</v>
      </c>
      <c r="E6904" s="3" t="s">
        <v>976</v>
      </c>
      <c r="F6904" s="7">
        <v>45883.01281081436</v>
      </c>
      <c r="G6904" s="3" t="s">
        <v>3306</v>
      </c>
    </row>
    <row r="6905">
      <c r="A6905" s="3" t="s">
        <v>19943</v>
      </c>
      <c r="B6905" s="3" t="s">
        <v>6431</v>
      </c>
      <c r="C6905" s="5" t="s">
        <v>221</v>
      </c>
      <c r="D6905" s="3" t="s">
        <v>614</v>
      </c>
      <c r="E6905" s="3" t="s">
        <v>118</v>
      </c>
      <c r="F6905" s="7">
        <v>45883.01628303658</v>
      </c>
      <c r="G6905" s="3" t="s">
        <v>3309</v>
      </c>
    </row>
    <row r="6906">
      <c r="A6906" s="3" t="s">
        <v>19945</v>
      </c>
      <c r="B6906" s="3" t="s">
        <v>6431</v>
      </c>
      <c r="C6906" s="5" t="s">
        <v>614</v>
      </c>
      <c r="D6906" s="3" t="s">
        <v>206</v>
      </c>
      <c r="E6906" s="3" t="s">
        <v>100</v>
      </c>
      <c r="F6906" s="7">
        <v>45883.01975525881</v>
      </c>
      <c r="G6906" s="3" t="s">
        <v>3312</v>
      </c>
    </row>
    <row r="6907">
      <c r="A6907" s="3" t="s">
        <v>19946</v>
      </c>
      <c r="B6907" s="3" t="s">
        <v>6431</v>
      </c>
      <c r="C6907" s="5" t="s">
        <v>206</v>
      </c>
      <c r="D6907" s="3" t="s">
        <v>68</v>
      </c>
      <c r="E6907" s="3" t="s">
        <v>100</v>
      </c>
      <c r="F6907" s="7">
        <v>45883.023227481026</v>
      </c>
      <c r="G6907" s="3" t="s">
        <v>3315</v>
      </c>
    </row>
    <row r="6908">
      <c r="A6908" s="3" t="s">
        <v>19948</v>
      </c>
      <c r="B6908" s="3" t="s">
        <v>6435</v>
      </c>
      <c r="C6908" s="5" t="s">
        <v>45</v>
      </c>
      <c r="D6908" s="3" t="s">
        <v>221</v>
      </c>
      <c r="E6908" s="3" t="s">
        <v>197</v>
      </c>
      <c r="F6908" s="7">
        <v>45883.08398565978</v>
      </c>
      <c r="G6908" s="3" t="s">
        <v>19950</v>
      </c>
    </row>
    <row r="6909">
      <c r="A6909" s="3" t="s">
        <v>19951</v>
      </c>
      <c r="B6909" s="3" t="s">
        <v>6435</v>
      </c>
      <c r="C6909" s="5" t="s">
        <v>221</v>
      </c>
      <c r="D6909" s="3" t="s">
        <v>614</v>
      </c>
      <c r="E6909" s="3" t="s">
        <v>118</v>
      </c>
      <c r="F6909" s="7">
        <v>45883.087457882</v>
      </c>
      <c r="G6909" s="3" t="s">
        <v>19952</v>
      </c>
    </row>
    <row r="6910">
      <c r="A6910" s="3" t="s">
        <v>19954</v>
      </c>
      <c r="B6910" s="3" t="s">
        <v>6435</v>
      </c>
      <c r="C6910" s="5" t="s">
        <v>614</v>
      </c>
      <c r="D6910" s="3" t="s">
        <v>206</v>
      </c>
      <c r="E6910" s="3" t="s">
        <v>100</v>
      </c>
      <c r="F6910" s="7">
        <v>45883.09093010423</v>
      </c>
      <c r="G6910" s="3" t="s">
        <v>19955</v>
      </c>
    </row>
    <row r="6911">
      <c r="A6911" s="3" t="s">
        <v>19956</v>
      </c>
      <c r="B6911" s="3" t="s">
        <v>6435</v>
      </c>
      <c r="C6911" s="5" t="s">
        <v>206</v>
      </c>
      <c r="D6911" s="3" t="s">
        <v>68</v>
      </c>
      <c r="E6911" s="3" t="s">
        <v>100</v>
      </c>
      <c r="F6911" s="7">
        <v>45883.094402326446</v>
      </c>
      <c r="G6911" s="3" t="s">
        <v>19958</v>
      </c>
    </row>
    <row r="6912">
      <c r="A6912" s="3" t="s">
        <v>19959</v>
      </c>
      <c r="B6912" s="3" t="s">
        <v>6438</v>
      </c>
      <c r="C6912" s="5" t="s">
        <v>45</v>
      </c>
      <c r="D6912" s="3" t="s">
        <v>221</v>
      </c>
      <c r="E6912" s="3" t="s">
        <v>622</v>
      </c>
      <c r="F6912" s="7">
        <v>45883.15516050519</v>
      </c>
      <c r="G6912" s="3" t="s">
        <v>19961</v>
      </c>
    </row>
    <row r="6913">
      <c r="A6913" s="3" t="s">
        <v>19962</v>
      </c>
      <c r="B6913" s="3" t="s">
        <v>6438</v>
      </c>
      <c r="C6913" s="5" t="s">
        <v>221</v>
      </c>
      <c r="D6913" s="3" t="s">
        <v>614</v>
      </c>
      <c r="E6913" s="3" t="s">
        <v>118</v>
      </c>
      <c r="F6913" s="7">
        <v>45883.15863272741</v>
      </c>
      <c r="G6913" s="3" t="s">
        <v>19964</v>
      </c>
    </row>
    <row r="6914">
      <c r="A6914" s="3" t="s">
        <v>19965</v>
      </c>
      <c r="B6914" s="3" t="s">
        <v>6438</v>
      </c>
      <c r="C6914" s="5" t="s">
        <v>614</v>
      </c>
      <c r="D6914" s="3" t="s">
        <v>206</v>
      </c>
      <c r="E6914" s="3" t="s">
        <v>100</v>
      </c>
      <c r="F6914" s="7">
        <v>45883.16210494964</v>
      </c>
      <c r="G6914" s="3" t="s">
        <v>19966</v>
      </c>
    </row>
    <row r="6915">
      <c r="A6915" s="3" t="s">
        <v>19968</v>
      </c>
      <c r="B6915" s="3" t="s">
        <v>6438</v>
      </c>
      <c r="C6915" s="5" t="s">
        <v>206</v>
      </c>
      <c r="D6915" s="3" t="s">
        <v>68</v>
      </c>
      <c r="E6915" s="3" t="s">
        <v>100</v>
      </c>
      <c r="F6915" s="7">
        <v>45883.16557717186</v>
      </c>
      <c r="G6915" s="3" t="s">
        <v>19969</v>
      </c>
    </row>
    <row r="6916">
      <c r="A6916" s="3" t="s">
        <v>19970</v>
      </c>
      <c r="B6916" s="3" t="s">
        <v>6441</v>
      </c>
      <c r="C6916" s="5" t="s">
        <v>45</v>
      </c>
      <c r="D6916" s="3" t="s">
        <v>221</v>
      </c>
      <c r="E6916" s="3" t="s">
        <v>256</v>
      </c>
      <c r="F6916" s="7">
        <v>45883.226335350606</v>
      </c>
      <c r="G6916" s="3" t="s">
        <v>19972</v>
      </c>
    </row>
    <row r="6917">
      <c r="A6917" s="3" t="s">
        <v>19973</v>
      </c>
      <c r="B6917" s="3" t="s">
        <v>6441</v>
      </c>
      <c r="C6917" s="5" t="s">
        <v>221</v>
      </c>
      <c r="D6917" s="3" t="s">
        <v>614</v>
      </c>
      <c r="E6917" s="3" t="s">
        <v>118</v>
      </c>
      <c r="F6917" s="7">
        <v>45883.229807572825</v>
      </c>
      <c r="G6917" s="3" t="s">
        <v>19975</v>
      </c>
    </row>
    <row r="6918">
      <c r="A6918" s="3" t="s">
        <v>19976</v>
      </c>
      <c r="B6918" s="3" t="s">
        <v>6441</v>
      </c>
      <c r="C6918" s="5" t="s">
        <v>614</v>
      </c>
      <c r="D6918" s="3" t="s">
        <v>206</v>
      </c>
      <c r="E6918" s="3" t="s">
        <v>100</v>
      </c>
      <c r="F6918" s="7">
        <v>45883.23327979505</v>
      </c>
      <c r="G6918" s="3" t="s">
        <v>19978</v>
      </c>
    </row>
    <row r="6919">
      <c r="A6919" s="3" t="s">
        <v>19979</v>
      </c>
      <c r="B6919" s="3" t="s">
        <v>6441</v>
      </c>
      <c r="C6919" s="5" t="s">
        <v>206</v>
      </c>
      <c r="D6919" s="3" t="s">
        <v>68</v>
      </c>
      <c r="E6919" s="3" t="s">
        <v>100</v>
      </c>
      <c r="F6919" s="7">
        <v>45883.23675201727</v>
      </c>
      <c r="G6919" s="3" t="s">
        <v>19980</v>
      </c>
    </row>
    <row r="6920">
      <c r="A6920" s="3" t="s">
        <v>19982</v>
      </c>
      <c r="B6920" s="3" t="s">
        <v>6444</v>
      </c>
      <c r="C6920" s="5" t="s">
        <v>45</v>
      </c>
      <c r="D6920" s="3" t="s">
        <v>221</v>
      </c>
      <c r="E6920" s="3" t="s">
        <v>1043</v>
      </c>
      <c r="F6920" s="7">
        <v>45883.297510196026</v>
      </c>
      <c r="G6920" s="3" t="s">
        <v>3337</v>
      </c>
    </row>
    <row r="6921">
      <c r="A6921" s="3" t="s">
        <v>19984</v>
      </c>
      <c r="B6921" s="3" t="s">
        <v>6444</v>
      </c>
      <c r="C6921" s="5" t="s">
        <v>221</v>
      </c>
      <c r="D6921" s="3" t="s">
        <v>614</v>
      </c>
      <c r="E6921" s="3" t="s">
        <v>118</v>
      </c>
      <c r="F6921" s="7">
        <v>45883.300982418245</v>
      </c>
      <c r="G6921" s="3" t="s">
        <v>3340</v>
      </c>
    </row>
    <row r="6922">
      <c r="A6922" s="3" t="s">
        <v>19985</v>
      </c>
      <c r="B6922" s="3" t="s">
        <v>6444</v>
      </c>
      <c r="C6922" s="5" t="s">
        <v>614</v>
      </c>
      <c r="D6922" s="3" t="s">
        <v>206</v>
      </c>
      <c r="E6922" s="3" t="s">
        <v>100</v>
      </c>
      <c r="F6922" s="7">
        <v>45883.30445464047</v>
      </c>
      <c r="G6922" s="3" t="s">
        <v>3343</v>
      </c>
    </row>
    <row r="6923">
      <c r="A6923" s="3" t="s">
        <v>19987</v>
      </c>
      <c r="B6923" s="3" t="s">
        <v>6444</v>
      </c>
      <c r="C6923" s="5" t="s">
        <v>206</v>
      </c>
      <c r="D6923" s="3" t="s">
        <v>68</v>
      </c>
      <c r="E6923" s="3" t="s">
        <v>100</v>
      </c>
      <c r="F6923" s="7">
        <v>45883.30792686269</v>
      </c>
      <c r="G6923" s="3" t="s">
        <v>3345</v>
      </c>
    </row>
    <row r="6924">
      <c r="A6924" s="3" t="s">
        <v>19989</v>
      </c>
      <c r="B6924" s="3" t="s">
        <v>6447</v>
      </c>
      <c r="C6924" s="5" t="s">
        <v>45</v>
      </c>
      <c r="D6924" s="3" t="s">
        <v>221</v>
      </c>
      <c r="E6924" s="3" t="s">
        <v>895</v>
      </c>
      <c r="F6924" s="7">
        <v>45883.36868504144</v>
      </c>
      <c r="G6924" s="3" t="s">
        <v>19991</v>
      </c>
    </row>
    <row r="6925">
      <c r="A6925" s="3" t="s">
        <v>19993</v>
      </c>
      <c r="B6925" s="3" t="s">
        <v>6447</v>
      </c>
      <c r="C6925" s="5" t="s">
        <v>221</v>
      </c>
      <c r="D6925" s="3" t="s">
        <v>614</v>
      </c>
      <c r="E6925" s="3" t="s">
        <v>118</v>
      </c>
      <c r="F6925" s="7">
        <v>45883.37215726366</v>
      </c>
      <c r="G6925" s="3" t="s">
        <v>19994</v>
      </c>
    </row>
    <row r="6926">
      <c r="A6926" s="3" t="s">
        <v>19995</v>
      </c>
      <c r="B6926" s="3" t="s">
        <v>6447</v>
      </c>
      <c r="C6926" s="5" t="s">
        <v>614</v>
      </c>
      <c r="D6926" s="3" t="s">
        <v>206</v>
      </c>
      <c r="E6926" s="3" t="s">
        <v>100</v>
      </c>
      <c r="F6926" s="7">
        <v>45883.37562948588</v>
      </c>
      <c r="G6926" s="3" t="s">
        <v>19997</v>
      </c>
    </row>
    <row r="6927">
      <c r="A6927" s="3" t="s">
        <v>19998</v>
      </c>
      <c r="B6927" s="3" t="s">
        <v>6447</v>
      </c>
      <c r="C6927" s="5" t="s">
        <v>206</v>
      </c>
      <c r="D6927" s="3" t="s">
        <v>68</v>
      </c>
      <c r="E6927" s="3" t="s">
        <v>100</v>
      </c>
      <c r="F6927" s="7">
        <v>45883.3791017081</v>
      </c>
      <c r="G6927" s="3" t="s">
        <v>20000</v>
      </c>
    </row>
    <row r="6928">
      <c r="A6928" s="3" t="s">
        <v>20001</v>
      </c>
      <c r="B6928" s="3" t="s">
        <v>6450</v>
      </c>
      <c r="C6928" s="5" t="s">
        <v>45</v>
      </c>
      <c r="D6928" s="3" t="s">
        <v>221</v>
      </c>
      <c r="E6928" s="3" t="s">
        <v>682</v>
      </c>
      <c r="F6928" s="7">
        <v>45883.43985988685</v>
      </c>
      <c r="G6928" s="3" t="s">
        <v>20003</v>
      </c>
    </row>
    <row r="6929">
      <c r="A6929" s="3" t="s">
        <v>20004</v>
      </c>
      <c r="B6929" s="3" t="s">
        <v>6450</v>
      </c>
      <c r="C6929" s="5" t="s">
        <v>221</v>
      </c>
      <c r="D6929" s="3" t="s">
        <v>614</v>
      </c>
      <c r="E6929" s="3" t="s">
        <v>118</v>
      </c>
      <c r="F6929" s="7">
        <v>45883.44333210907</v>
      </c>
      <c r="G6929" s="3" t="s">
        <v>20006</v>
      </c>
    </row>
    <row r="6930">
      <c r="A6930" s="3" t="s">
        <v>20007</v>
      </c>
      <c r="B6930" s="3" t="s">
        <v>6450</v>
      </c>
      <c r="C6930" s="5" t="s">
        <v>614</v>
      </c>
      <c r="D6930" s="3" t="s">
        <v>206</v>
      </c>
      <c r="E6930" s="3" t="s">
        <v>100</v>
      </c>
      <c r="F6930" s="7">
        <v>45883.446804331295</v>
      </c>
      <c r="G6930" s="3" t="s">
        <v>20009</v>
      </c>
    </row>
    <row r="6931">
      <c r="A6931" s="3" t="s">
        <v>20010</v>
      </c>
      <c r="B6931" s="3" t="s">
        <v>6450</v>
      </c>
      <c r="C6931" s="5" t="s">
        <v>206</v>
      </c>
      <c r="D6931" s="3" t="s">
        <v>68</v>
      </c>
      <c r="E6931" s="3" t="s">
        <v>100</v>
      </c>
      <c r="F6931" s="7">
        <v>45883.450276553514</v>
      </c>
      <c r="G6931" s="3" t="s">
        <v>20011</v>
      </c>
    </row>
    <row r="6932">
      <c r="A6932" s="3" t="s">
        <v>20012</v>
      </c>
      <c r="B6932" s="3" t="s">
        <v>6453</v>
      </c>
      <c r="C6932" s="5" t="s">
        <v>45</v>
      </c>
      <c r="D6932" s="3" t="s">
        <v>221</v>
      </c>
      <c r="E6932" s="3" t="s">
        <v>290</v>
      </c>
      <c r="F6932" s="7">
        <v>45883.51103473227</v>
      </c>
      <c r="G6932" s="3" t="s">
        <v>15520</v>
      </c>
    </row>
    <row r="6933">
      <c r="A6933" s="3" t="s">
        <v>20014</v>
      </c>
      <c r="B6933" s="3" t="s">
        <v>6453</v>
      </c>
      <c r="C6933" s="5" t="s">
        <v>221</v>
      </c>
      <c r="D6933" s="3" t="s">
        <v>614</v>
      </c>
      <c r="E6933" s="3" t="s">
        <v>118</v>
      </c>
      <c r="F6933" s="7">
        <v>45883.51450695449</v>
      </c>
      <c r="G6933" s="3" t="s">
        <v>15523</v>
      </c>
    </row>
    <row r="6934">
      <c r="A6934" s="3" t="s">
        <v>20016</v>
      </c>
      <c r="B6934" s="3" t="s">
        <v>6453</v>
      </c>
      <c r="C6934" s="5" t="s">
        <v>614</v>
      </c>
      <c r="D6934" s="3" t="s">
        <v>206</v>
      </c>
      <c r="E6934" s="3" t="s">
        <v>100</v>
      </c>
      <c r="F6934" s="7">
        <v>45883.517979176715</v>
      </c>
      <c r="G6934" s="3" t="s">
        <v>15526</v>
      </c>
    </row>
    <row r="6935">
      <c r="A6935" s="3" t="s">
        <v>20018</v>
      </c>
      <c r="B6935" s="3" t="s">
        <v>6453</v>
      </c>
      <c r="C6935" s="5" t="s">
        <v>206</v>
      </c>
      <c r="D6935" s="3" t="s">
        <v>68</v>
      </c>
      <c r="E6935" s="3" t="s">
        <v>100</v>
      </c>
      <c r="F6935" s="7">
        <v>45883.521451398934</v>
      </c>
      <c r="G6935" s="3" t="s">
        <v>15528</v>
      </c>
    </row>
    <row r="6936">
      <c r="A6936" s="3" t="s">
        <v>20020</v>
      </c>
      <c r="B6936" s="3" t="s">
        <v>6455</v>
      </c>
      <c r="C6936" s="5" t="s">
        <v>45</v>
      </c>
      <c r="D6936" s="3" t="s">
        <v>221</v>
      </c>
      <c r="E6936" s="3" t="s">
        <v>524</v>
      </c>
      <c r="F6936" s="7">
        <v>45883.58220957769</v>
      </c>
      <c r="G6936" s="3" t="s">
        <v>20022</v>
      </c>
    </row>
    <row r="6937">
      <c r="A6937" s="3" t="s">
        <v>20023</v>
      </c>
      <c r="B6937" s="3" t="s">
        <v>6455</v>
      </c>
      <c r="C6937" s="5" t="s">
        <v>221</v>
      </c>
      <c r="D6937" s="3" t="s">
        <v>614</v>
      </c>
      <c r="E6937" s="3" t="s">
        <v>118</v>
      </c>
      <c r="F6937" s="7">
        <v>45883.58568179991</v>
      </c>
      <c r="G6937" s="3" t="s">
        <v>20024</v>
      </c>
    </row>
    <row r="6938">
      <c r="A6938" s="3" t="s">
        <v>20026</v>
      </c>
      <c r="B6938" s="3" t="s">
        <v>6455</v>
      </c>
      <c r="C6938" s="5" t="s">
        <v>614</v>
      </c>
      <c r="D6938" s="3" t="s">
        <v>206</v>
      </c>
      <c r="E6938" s="3" t="s">
        <v>100</v>
      </c>
      <c r="F6938" s="7">
        <v>45883.589154022135</v>
      </c>
      <c r="G6938" s="3" t="s">
        <v>20027</v>
      </c>
    </row>
    <row r="6939">
      <c r="A6939" s="3" t="s">
        <v>20028</v>
      </c>
      <c r="B6939" s="3" t="s">
        <v>6455</v>
      </c>
      <c r="C6939" s="5" t="s">
        <v>206</v>
      </c>
      <c r="D6939" s="3" t="s">
        <v>68</v>
      </c>
      <c r="E6939" s="3" t="s">
        <v>100</v>
      </c>
      <c r="F6939" s="7">
        <v>45883.59262624435</v>
      </c>
      <c r="G6939" s="3" t="s">
        <v>20030</v>
      </c>
    </row>
    <row r="6940">
      <c r="A6940" s="3" t="s">
        <v>20031</v>
      </c>
      <c r="B6940" s="3" t="s">
        <v>6459</v>
      </c>
      <c r="C6940" s="5" t="s">
        <v>45</v>
      </c>
      <c r="D6940" s="3" t="s">
        <v>221</v>
      </c>
      <c r="E6940" s="3" t="s">
        <v>398</v>
      </c>
      <c r="F6940" s="7">
        <v>45883.653384423094</v>
      </c>
      <c r="G6940" s="3" t="s">
        <v>20033</v>
      </c>
    </row>
    <row r="6941">
      <c r="A6941" s="3" t="s">
        <v>20034</v>
      </c>
      <c r="B6941" s="3" t="s">
        <v>6459</v>
      </c>
      <c r="C6941" s="5" t="s">
        <v>221</v>
      </c>
      <c r="D6941" s="3" t="s">
        <v>195</v>
      </c>
      <c r="E6941" s="3" t="s">
        <v>398</v>
      </c>
      <c r="F6941" s="7">
        <v>45883.65685664531</v>
      </c>
      <c r="G6941" s="3" t="s">
        <v>20036</v>
      </c>
    </row>
    <row r="6942">
      <c r="A6942" s="3" t="s">
        <v>20037</v>
      </c>
      <c r="B6942" s="3" t="s">
        <v>6463</v>
      </c>
      <c r="C6942" s="5" t="s">
        <v>45</v>
      </c>
      <c r="D6942" s="3" t="s">
        <v>221</v>
      </c>
      <c r="E6942" s="3" t="s">
        <v>587</v>
      </c>
      <c r="F6942" s="7">
        <v>45883.724559268514</v>
      </c>
      <c r="G6942" s="3" t="s">
        <v>20038</v>
      </c>
    </row>
    <row r="6943">
      <c r="A6943" s="3" t="s">
        <v>20040</v>
      </c>
      <c r="B6943" s="3" t="s">
        <v>6463</v>
      </c>
      <c r="C6943" s="5" t="s">
        <v>221</v>
      </c>
      <c r="D6943" s="3" t="s">
        <v>614</v>
      </c>
      <c r="E6943" s="3" t="s">
        <v>118</v>
      </c>
      <c r="F6943" s="7">
        <v>45883.72803149073</v>
      </c>
      <c r="G6943" s="3" t="s">
        <v>20041</v>
      </c>
    </row>
    <row r="6944">
      <c r="A6944" s="3" t="s">
        <v>20043</v>
      </c>
      <c r="B6944" s="3" t="s">
        <v>6463</v>
      </c>
      <c r="C6944" s="5" t="s">
        <v>614</v>
      </c>
      <c r="D6944" s="3" t="s">
        <v>206</v>
      </c>
      <c r="E6944" s="3" t="s">
        <v>100</v>
      </c>
      <c r="F6944" s="7">
        <v>45883.73150371296</v>
      </c>
      <c r="G6944" s="3" t="s">
        <v>20044</v>
      </c>
    </row>
    <row r="6945">
      <c r="A6945" s="3" t="s">
        <v>20045</v>
      </c>
      <c r="B6945" s="3" t="s">
        <v>6463</v>
      </c>
      <c r="C6945" s="5" t="s">
        <v>206</v>
      </c>
      <c r="D6945" s="3" t="s">
        <v>68</v>
      </c>
      <c r="E6945" s="3" t="s">
        <v>100</v>
      </c>
      <c r="F6945" s="7">
        <v>45883.73497593518</v>
      </c>
      <c r="G6945" s="3" t="s">
        <v>20047</v>
      </c>
    </row>
    <row r="6946">
      <c r="A6946" s="3" t="s">
        <v>20048</v>
      </c>
      <c r="B6946" s="3" t="s">
        <v>6466</v>
      </c>
      <c r="C6946" s="5" t="s">
        <v>45</v>
      </c>
      <c r="D6946" s="3" t="s">
        <v>221</v>
      </c>
      <c r="E6946" s="3" t="s">
        <v>159</v>
      </c>
      <c r="F6946" s="7">
        <v>45883.79573411393</v>
      </c>
      <c r="G6946" s="3" t="s">
        <v>8901</v>
      </c>
    </row>
    <row r="6947">
      <c r="A6947" s="3" t="s">
        <v>20050</v>
      </c>
      <c r="B6947" s="3" t="s">
        <v>6466</v>
      </c>
      <c r="C6947" s="5" t="s">
        <v>221</v>
      </c>
      <c r="D6947" s="3" t="s">
        <v>614</v>
      </c>
      <c r="E6947" s="3" t="s">
        <v>118</v>
      </c>
      <c r="F6947" s="7">
        <v>45883.79920633615</v>
      </c>
      <c r="G6947" s="3" t="s">
        <v>8904</v>
      </c>
    </row>
    <row r="6948">
      <c r="A6948" s="3" t="s">
        <v>20052</v>
      </c>
      <c r="B6948" s="3" t="s">
        <v>6466</v>
      </c>
      <c r="C6948" s="5" t="s">
        <v>614</v>
      </c>
      <c r="D6948" s="3" t="s">
        <v>206</v>
      </c>
      <c r="E6948" s="3" t="s">
        <v>100</v>
      </c>
      <c r="F6948" s="7">
        <v>45883.80267855838</v>
      </c>
      <c r="G6948" s="3" t="s">
        <v>8907</v>
      </c>
    </row>
    <row r="6949">
      <c r="A6949" s="3" t="s">
        <v>20053</v>
      </c>
      <c r="B6949" s="3" t="s">
        <v>6466</v>
      </c>
      <c r="C6949" s="5" t="s">
        <v>206</v>
      </c>
      <c r="D6949" s="3" t="s">
        <v>68</v>
      </c>
      <c r="E6949" s="3" t="s">
        <v>100</v>
      </c>
      <c r="F6949" s="7">
        <v>45883.8061507806</v>
      </c>
      <c r="G6949" s="3" t="s">
        <v>8910</v>
      </c>
    </row>
    <row r="6950">
      <c r="A6950" s="3" t="s">
        <v>20055</v>
      </c>
      <c r="B6950" s="3" t="s">
        <v>6468</v>
      </c>
      <c r="C6950" s="5" t="s">
        <v>45</v>
      </c>
      <c r="D6950" s="3" t="s">
        <v>221</v>
      </c>
      <c r="E6950" s="3" t="s">
        <v>672</v>
      </c>
      <c r="F6950" s="7">
        <v>45883.866908959346</v>
      </c>
      <c r="G6950" s="3" t="s">
        <v>17413</v>
      </c>
    </row>
    <row r="6951">
      <c r="A6951" s="3" t="s">
        <v>20057</v>
      </c>
      <c r="B6951" s="3" t="s">
        <v>6468</v>
      </c>
      <c r="C6951" s="5" t="s">
        <v>221</v>
      </c>
      <c r="D6951" s="3" t="s">
        <v>614</v>
      </c>
      <c r="E6951" s="3" t="s">
        <v>118</v>
      </c>
      <c r="F6951" s="7">
        <v>45883.870381181565</v>
      </c>
      <c r="G6951" s="3" t="s">
        <v>17415</v>
      </c>
    </row>
    <row r="6952">
      <c r="A6952" s="3" t="s">
        <v>20059</v>
      </c>
      <c r="B6952" s="3" t="s">
        <v>6468</v>
      </c>
      <c r="C6952" s="5" t="s">
        <v>614</v>
      </c>
      <c r="D6952" s="3" t="s">
        <v>206</v>
      </c>
      <c r="E6952" s="3" t="s">
        <v>100</v>
      </c>
      <c r="F6952" s="7">
        <v>45883.87385340379</v>
      </c>
      <c r="G6952" s="3" t="s">
        <v>17418</v>
      </c>
    </row>
    <row r="6953">
      <c r="A6953" s="3" t="s">
        <v>20061</v>
      </c>
      <c r="B6953" s="3" t="s">
        <v>6468</v>
      </c>
      <c r="C6953" s="5" t="s">
        <v>206</v>
      </c>
      <c r="D6953" s="3" t="s">
        <v>68</v>
      </c>
      <c r="E6953" s="3" t="s">
        <v>100</v>
      </c>
      <c r="F6953" s="7">
        <v>45883.87732562601</v>
      </c>
      <c r="G6953" s="3" t="s">
        <v>17421</v>
      </c>
    </row>
    <row r="6954">
      <c r="A6954" s="3" t="s">
        <v>20063</v>
      </c>
      <c r="B6954" s="3" t="s">
        <v>6472</v>
      </c>
      <c r="C6954" s="5" t="s">
        <v>45</v>
      </c>
      <c r="D6954" s="3" t="s">
        <v>221</v>
      </c>
      <c r="E6954" s="3" t="s">
        <v>519</v>
      </c>
      <c r="F6954" s="7">
        <v>45883.93808380476</v>
      </c>
      <c r="G6954" s="3" t="s">
        <v>3348</v>
      </c>
    </row>
    <row r="6955">
      <c r="A6955" s="3" t="s">
        <v>20065</v>
      </c>
      <c r="B6955" s="3" t="s">
        <v>6472</v>
      </c>
      <c r="C6955" s="5" t="s">
        <v>221</v>
      </c>
      <c r="D6955" s="3" t="s">
        <v>614</v>
      </c>
      <c r="E6955" s="3" t="s">
        <v>118</v>
      </c>
      <c r="F6955" s="7">
        <v>45883.94155602698</v>
      </c>
      <c r="G6955" s="3" t="s">
        <v>3351</v>
      </c>
    </row>
    <row r="6956">
      <c r="A6956" s="3" t="s">
        <v>20067</v>
      </c>
      <c r="B6956" s="3" t="s">
        <v>6472</v>
      </c>
      <c r="C6956" s="5" t="s">
        <v>614</v>
      </c>
      <c r="D6956" s="3" t="s">
        <v>206</v>
      </c>
      <c r="E6956" s="3" t="s">
        <v>100</v>
      </c>
      <c r="F6956" s="7">
        <v>45883.9450282492</v>
      </c>
      <c r="G6956" s="3" t="s">
        <v>3353</v>
      </c>
    </row>
    <row r="6957">
      <c r="A6957" s="3" t="s">
        <v>20068</v>
      </c>
      <c r="B6957" s="3" t="s">
        <v>6472</v>
      </c>
      <c r="C6957" s="5" t="s">
        <v>206</v>
      </c>
      <c r="D6957" s="3" t="s">
        <v>68</v>
      </c>
      <c r="E6957" s="3" t="s">
        <v>100</v>
      </c>
      <c r="F6957" s="7">
        <v>45883.94850047142</v>
      </c>
      <c r="G6957" s="3" t="s">
        <v>3356</v>
      </c>
    </row>
    <row r="6958">
      <c r="A6958" s="3" t="s">
        <v>20070</v>
      </c>
      <c r="B6958" s="3" t="s">
        <v>6475</v>
      </c>
      <c r="C6958" s="5" t="s">
        <v>45</v>
      </c>
      <c r="D6958" s="3" t="s">
        <v>221</v>
      </c>
      <c r="E6958" s="3" t="s">
        <v>685</v>
      </c>
      <c r="F6958" s="7">
        <v>45884.00925865018</v>
      </c>
      <c r="G6958" s="3" t="s">
        <v>20072</v>
      </c>
    </row>
    <row r="6959">
      <c r="A6959" s="3" t="s">
        <v>20073</v>
      </c>
      <c r="B6959" s="3" t="s">
        <v>6475</v>
      </c>
      <c r="C6959" s="5" t="s">
        <v>221</v>
      </c>
      <c r="D6959" s="3" t="s">
        <v>614</v>
      </c>
      <c r="E6959" s="3" t="s">
        <v>118</v>
      </c>
      <c r="F6959" s="7">
        <v>45884.0127308724</v>
      </c>
      <c r="G6959" s="3" t="s">
        <v>20075</v>
      </c>
    </row>
    <row r="6960">
      <c r="A6960" s="3" t="s">
        <v>20076</v>
      </c>
      <c r="B6960" s="3" t="s">
        <v>6475</v>
      </c>
      <c r="C6960" s="5" t="s">
        <v>614</v>
      </c>
      <c r="D6960" s="3" t="s">
        <v>206</v>
      </c>
      <c r="E6960" s="3" t="s">
        <v>100</v>
      </c>
      <c r="F6960" s="7">
        <v>45884.01620309462</v>
      </c>
      <c r="G6960" s="3" t="s">
        <v>20078</v>
      </c>
    </row>
    <row r="6961">
      <c r="A6961" s="3" t="s">
        <v>20079</v>
      </c>
      <c r="B6961" s="3" t="s">
        <v>6475</v>
      </c>
      <c r="C6961" s="5" t="s">
        <v>206</v>
      </c>
      <c r="D6961" s="3" t="s">
        <v>68</v>
      </c>
      <c r="E6961" s="3" t="s">
        <v>100</v>
      </c>
      <c r="F6961" s="7">
        <v>45884.01967531684</v>
      </c>
      <c r="G6961" s="3" t="s">
        <v>20081</v>
      </c>
    </row>
    <row r="6962">
      <c r="A6962" s="3" t="s">
        <v>20082</v>
      </c>
      <c r="B6962" s="3" t="s">
        <v>6478</v>
      </c>
      <c r="C6962" s="5" t="s">
        <v>45</v>
      </c>
      <c r="D6962" s="3" t="s">
        <v>221</v>
      </c>
      <c r="E6962" s="3" t="s">
        <v>535</v>
      </c>
      <c r="F6962" s="7">
        <v>45884.08043349559</v>
      </c>
      <c r="G6962" s="3" t="s">
        <v>20084</v>
      </c>
    </row>
    <row r="6963">
      <c r="A6963" s="3" t="s">
        <v>20085</v>
      </c>
      <c r="B6963" s="3" t="s">
        <v>6478</v>
      </c>
      <c r="C6963" s="5" t="s">
        <v>221</v>
      </c>
      <c r="D6963" s="3" t="s">
        <v>195</v>
      </c>
      <c r="E6963" s="3" t="s">
        <v>535</v>
      </c>
      <c r="F6963" s="7">
        <v>45884.08390571781</v>
      </c>
      <c r="G6963" s="3" t="s">
        <v>20087</v>
      </c>
    </row>
    <row r="6964">
      <c r="A6964" s="3" t="s">
        <v>20088</v>
      </c>
      <c r="B6964" s="3" t="s">
        <v>6481</v>
      </c>
      <c r="C6964" s="5" t="s">
        <v>45</v>
      </c>
      <c r="D6964" s="3" t="s">
        <v>221</v>
      </c>
      <c r="E6964" s="3" t="s">
        <v>581</v>
      </c>
      <c r="F6964" s="7">
        <v>45884.151608341</v>
      </c>
      <c r="G6964" s="3" t="s">
        <v>15427</v>
      </c>
    </row>
    <row r="6965">
      <c r="A6965" s="3" t="s">
        <v>20089</v>
      </c>
      <c r="B6965" s="3" t="s">
        <v>6481</v>
      </c>
      <c r="C6965" s="5" t="s">
        <v>221</v>
      </c>
      <c r="D6965" s="3" t="s">
        <v>614</v>
      </c>
      <c r="E6965" s="3" t="s">
        <v>118</v>
      </c>
      <c r="F6965" s="7">
        <v>45884.15508056322</v>
      </c>
      <c r="G6965" s="3" t="s">
        <v>15430</v>
      </c>
    </row>
    <row r="6966">
      <c r="A6966" s="3" t="s">
        <v>20091</v>
      </c>
      <c r="B6966" s="3" t="s">
        <v>6481</v>
      </c>
      <c r="C6966" s="5" t="s">
        <v>614</v>
      </c>
      <c r="D6966" s="3" t="s">
        <v>206</v>
      </c>
      <c r="E6966" s="3" t="s">
        <v>100</v>
      </c>
      <c r="F6966" s="7">
        <v>45884.15855278545</v>
      </c>
      <c r="G6966" s="3" t="s">
        <v>15433</v>
      </c>
    </row>
    <row r="6967">
      <c r="A6967" s="3" t="s">
        <v>20093</v>
      </c>
      <c r="B6967" s="3" t="s">
        <v>6481</v>
      </c>
      <c r="C6967" s="5" t="s">
        <v>206</v>
      </c>
      <c r="D6967" s="3" t="s">
        <v>68</v>
      </c>
      <c r="E6967" s="3" t="s">
        <v>100</v>
      </c>
      <c r="F6967" s="7">
        <v>45884.16202500767</v>
      </c>
      <c r="G6967" s="3" t="s">
        <v>15436</v>
      </c>
    </row>
    <row r="6968">
      <c r="A6968" s="3" t="s">
        <v>20095</v>
      </c>
      <c r="B6968" s="3" t="s">
        <v>6484</v>
      </c>
      <c r="C6968" s="5" t="s">
        <v>45</v>
      </c>
      <c r="D6968" s="3" t="s">
        <v>221</v>
      </c>
      <c r="E6968" s="3" t="s">
        <v>672</v>
      </c>
      <c r="F6968" s="7">
        <v>45884.22278318642</v>
      </c>
      <c r="G6968" s="3" t="s">
        <v>20096</v>
      </c>
    </row>
    <row r="6969">
      <c r="A6969" s="3" t="s">
        <v>20097</v>
      </c>
      <c r="B6969" s="3" t="s">
        <v>6484</v>
      </c>
      <c r="C6969" s="5" t="s">
        <v>221</v>
      </c>
      <c r="D6969" s="3" t="s">
        <v>614</v>
      </c>
      <c r="E6969" s="3" t="s">
        <v>118</v>
      </c>
      <c r="F6969" s="7">
        <v>45884.22625540864</v>
      </c>
      <c r="G6969" s="3" t="s">
        <v>20098</v>
      </c>
    </row>
    <row r="6970">
      <c r="A6970" s="3" t="s">
        <v>20099</v>
      </c>
      <c r="B6970" s="3" t="s">
        <v>6484</v>
      </c>
      <c r="C6970" s="5" t="s">
        <v>614</v>
      </c>
      <c r="D6970" s="3" t="s">
        <v>206</v>
      </c>
      <c r="E6970" s="3" t="s">
        <v>100</v>
      </c>
      <c r="F6970" s="7">
        <v>45884.22972763087</v>
      </c>
      <c r="G6970" s="3" t="s">
        <v>20101</v>
      </c>
    </row>
    <row r="6971">
      <c r="A6971" s="3" t="s">
        <v>20102</v>
      </c>
      <c r="B6971" s="3" t="s">
        <v>6484</v>
      </c>
      <c r="C6971" s="5" t="s">
        <v>206</v>
      </c>
      <c r="D6971" s="3" t="s">
        <v>68</v>
      </c>
      <c r="E6971" s="3" t="s">
        <v>100</v>
      </c>
      <c r="F6971" s="7">
        <v>45884.233199853086</v>
      </c>
      <c r="G6971" s="3" t="s">
        <v>20104</v>
      </c>
    </row>
    <row r="6972">
      <c r="A6972" s="3" t="s">
        <v>20105</v>
      </c>
      <c r="B6972" s="3" t="s">
        <v>6487</v>
      </c>
      <c r="C6972" s="5" t="s">
        <v>45</v>
      </c>
      <c r="D6972" s="3" t="s">
        <v>221</v>
      </c>
      <c r="E6972" s="3" t="s">
        <v>811</v>
      </c>
      <c r="F6972" s="7">
        <v>45884.293958031834</v>
      </c>
      <c r="G6972" s="3" t="s">
        <v>3359</v>
      </c>
    </row>
    <row r="6973">
      <c r="A6973" s="3" t="s">
        <v>20107</v>
      </c>
      <c r="B6973" s="3" t="s">
        <v>6487</v>
      </c>
      <c r="C6973" s="5" t="s">
        <v>221</v>
      </c>
      <c r="D6973" s="3" t="s">
        <v>614</v>
      </c>
      <c r="E6973" s="3" t="s">
        <v>118</v>
      </c>
      <c r="F6973" s="7">
        <v>45884.29743025405</v>
      </c>
      <c r="G6973" s="3" t="s">
        <v>3362</v>
      </c>
    </row>
    <row r="6974">
      <c r="A6974" s="3" t="s">
        <v>20109</v>
      </c>
      <c r="B6974" s="3" t="s">
        <v>6487</v>
      </c>
      <c r="C6974" s="5" t="s">
        <v>614</v>
      </c>
      <c r="D6974" s="3" t="s">
        <v>206</v>
      </c>
      <c r="E6974" s="3" t="s">
        <v>100</v>
      </c>
      <c r="F6974" s="7">
        <v>45884.30090247628</v>
      </c>
      <c r="G6974" s="3" t="s">
        <v>3365</v>
      </c>
    </row>
    <row r="6975">
      <c r="A6975" s="3" t="s">
        <v>20110</v>
      </c>
      <c r="B6975" s="3" t="s">
        <v>6487</v>
      </c>
      <c r="C6975" s="5" t="s">
        <v>206</v>
      </c>
      <c r="D6975" s="3" t="s">
        <v>68</v>
      </c>
      <c r="E6975" s="3" t="s">
        <v>100</v>
      </c>
      <c r="F6975" s="7">
        <v>45884.3043746985</v>
      </c>
      <c r="G6975" s="3" t="s">
        <v>3368</v>
      </c>
    </row>
    <row r="6976">
      <c r="A6976" s="3" t="s">
        <v>20112</v>
      </c>
      <c r="B6976" s="3" t="s">
        <v>6492</v>
      </c>
      <c r="C6976" s="5" t="s">
        <v>45</v>
      </c>
      <c r="D6976" s="3" t="s">
        <v>221</v>
      </c>
      <c r="E6976" s="3" t="s">
        <v>895</v>
      </c>
      <c r="F6976" s="7">
        <v>45884.36513287725</v>
      </c>
      <c r="G6976" s="3" t="s">
        <v>3371</v>
      </c>
    </row>
    <row r="6977">
      <c r="A6977" s="3" t="s">
        <v>20114</v>
      </c>
      <c r="B6977" s="3" t="s">
        <v>6492</v>
      </c>
      <c r="C6977" s="5" t="s">
        <v>221</v>
      </c>
      <c r="D6977" s="3" t="s">
        <v>614</v>
      </c>
      <c r="E6977" s="3" t="s">
        <v>118</v>
      </c>
      <c r="F6977" s="7">
        <v>45884.368605099466</v>
      </c>
      <c r="G6977" s="3" t="s">
        <v>3374</v>
      </c>
    </row>
    <row r="6978">
      <c r="A6978" s="3" t="s">
        <v>20116</v>
      </c>
      <c r="B6978" s="3" t="s">
        <v>6492</v>
      </c>
      <c r="C6978" s="5" t="s">
        <v>614</v>
      </c>
      <c r="D6978" s="3" t="s">
        <v>206</v>
      </c>
      <c r="E6978" s="3" t="s">
        <v>100</v>
      </c>
      <c r="F6978" s="7">
        <v>45884.37207732169</v>
      </c>
      <c r="G6978" s="3" t="s">
        <v>3377</v>
      </c>
    </row>
    <row r="6979">
      <c r="A6979" s="3" t="s">
        <v>20118</v>
      </c>
      <c r="B6979" s="3" t="s">
        <v>6492</v>
      </c>
      <c r="C6979" s="5" t="s">
        <v>206</v>
      </c>
      <c r="D6979" s="3" t="s">
        <v>68</v>
      </c>
      <c r="E6979" s="3" t="s">
        <v>100</v>
      </c>
      <c r="F6979" s="7">
        <v>45884.37554954391</v>
      </c>
      <c r="G6979" s="3" t="s">
        <v>3380</v>
      </c>
    </row>
    <row r="6980">
      <c r="A6980" s="3" t="s">
        <v>20120</v>
      </c>
      <c r="B6980" s="3" t="s">
        <v>6495</v>
      </c>
      <c r="C6980" s="5" t="s">
        <v>45</v>
      </c>
      <c r="D6980" s="3" t="s">
        <v>221</v>
      </c>
      <c r="E6980" s="3" t="s">
        <v>505</v>
      </c>
      <c r="F6980" s="7">
        <v>45884.436307722666</v>
      </c>
      <c r="G6980" s="3" t="s">
        <v>3383</v>
      </c>
    </row>
    <row r="6981">
      <c r="A6981" s="3" t="s">
        <v>20122</v>
      </c>
      <c r="B6981" s="3" t="s">
        <v>6495</v>
      </c>
      <c r="C6981" s="5" t="s">
        <v>221</v>
      </c>
      <c r="D6981" s="3" t="s">
        <v>614</v>
      </c>
      <c r="E6981" s="3" t="s">
        <v>118</v>
      </c>
      <c r="F6981" s="7">
        <v>45884.439779944885</v>
      </c>
      <c r="G6981" s="3" t="s">
        <v>3386</v>
      </c>
    </row>
    <row r="6982">
      <c r="A6982" s="3" t="s">
        <v>20124</v>
      </c>
      <c r="B6982" s="3" t="s">
        <v>6495</v>
      </c>
      <c r="C6982" s="5" t="s">
        <v>614</v>
      </c>
      <c r="D6982" s="3" t="s">
        <v>206</v>
      </c>
      <c r="E6982" s="3" t="s">
        <v>100</v>
      </c>
      <c r="F6982" s="7">
        <v>45884.44325216711</v>
      </c>
      <c r="G6982" s="3" t="s">
        <v>3389</v>
      </c>
    </row>
    <row r="6983">
      <c r="A6983" s="3" t="s">
        <v>20125</v>
      </c>
      <c r="B6983" s="3" t="s">
        <v>6495</v>
      </c>
      <c r="C6983" s="5" t="s">
        <v>206</v>
      </c>
      <c r="D6983" s="3" t="s">
        <v>68</v>
      </c>
      <c r="E6983" s="3" t="s">
        <v>100</v>
      </c>
      <c r="F6983" s="7">
        <v>45884.44672438933</v>
      </c>
      <c r="G6983" s="3" t="s">
        <v>3392</v>
      </c>
    </row>
    <row r="6984">
      <c r="A6984" s="3" t="s">
        <v>20127</v>
      </c>
      <c r="B6984" s="3" t="s">
        <v>6499</v>
      </c>
      <c r="C6984" s="5" t="s">
        <v>45</v>
      </c>
      <c r="D6984" s="3" t="s">
        <v>221</v>
      </c>
      <c r="E6984" s="3" t="s">
        <v>290</v>
      </c>
      <c r="F6984" s="7">
        <v>45884.50748256808</v>
      </c>
      <c r="G6984" s="3" t="s">
        <v>15520</v>
      </c>
    </row>
    <row r="6985">
      <c r="A6985" s="3" t="s">
        <v>20129</v>
      </c>
      <c r="B6985" s="3" t="s">
        <v>6499</v>
      </c>
      <c r="C6985" s="5" t="s">
        <v>221</v>
      </c>
      <c r="D6985" s="3" t="s">
        <v>614</v>
      </c>
      <c r="E6985" s="3" t="s">
        <v>118</v>
      </c>
      <c r="F6985" s="7">
        <v>45884.5109547903</v>
      </c>
      <c r="G6985" s="3" t="s">
        <v>15523</v>
      </c>
    </row>
    <row r="6986">
      <c r="A6986" s="3" t="s">
        <v>20131</v>
      </c>
      <c r="B6986" s="3" t="s">
        <v>6499</v>
      </c>
      <c r="C6986" s="5" t="s">
        <v>614</v>
      </c>
      <c r="D6986" s="3" t="s">
        <v>206</v>
      </c>
      <c r="E6986" s="3" t="s">
        <v>100</v>
      </c>
      <c r="F6986" s="7">
        <v>45884.514427012524</v>
      </c>
      <c r="G6986" s="3" t="s">
        <v>15526</v>
      </c>
    </row>
    <row r="6987">
      <c r="A6987" s="3" t="s">
        <v>20133</v>
      </c>
      <c r="B6987" s="3" t="s">
        <v>6499</v>
      </c>
      <c r="C6987" s="5" t="s">
        <v>206</v>
      </c>
      <c r="D6987" s="3" t="s">
        <v>68</v>
      </c>
      <c r="E6987" s="3" t="s">
        <v>100</v>
      </c>
      <c r="F6987" s="7">
        <v>45884.51789923474</v>
      </c>
      <c r="G6987" s="3" t="s">
        <v>15528</v>
      </c>
    </row>
    <row r="6988">
      <c r="A6988" s="3" t="s">
        <v>20134</v>
      </c>
      <c r="B6988" s="3" t="s">
        <v>6502</v>
      </c>
      <c r="C6988" s="5" t="s">
        <v>45</v>
      </c>
      <c r="D6988" s="3" t="s">
        <v>221</v>
      </c>
      <c r="E6988" s="3" t="s">
        <v>826</v>
      </c>
      <c r="F6988" s="7">
        <v>45884.5786574135</v>
      </c>
      <c r="G6988" s="3" t="s">
        <v>4823</v>
      </c>
    </row>
    <row r="6989">
      <c r="A6989" s="3" t="s">
        <v>20136</v>
      </c>
      <c r="B6989" s="3" t="s">
        <v>6502</v>
      </c>
      <c r="C6989" s="5" t="s">
        <v>221</v>
      </c>
      <c r="D6989" s="3" t="s">
        <v>195</v>
      </c>
      <c r="E6989" s="3" t="s">
        <v>826</v>
      </c>
      <c r="F6989" s="7">
        <v>45884.58212963572</v>
      </c>
      <c r="G6989" s="3" t="s">
        <v>20138</v>
      </c>
    </row>
    <row r="6990">
      <c r="A6990" s="3" t="s">
        <v>20139</v>
      </c>
      <c r="B6990" s="3" t="s">
        <v>6506</v>
      </c>
      <c r="C6990" s="5" t="s">
        <v>45</v>
      </c>
      <c r="D6990" s="3" t="s">
        <v>221</v>
      </c>
      <c r="E6990" s="3" t="s">
        <v>953</v>
      </c>
      <c r="F6990" s="7">
        <v>45884.64983225891</v>
      </c>
      <c r="G6990" s="3" t="s">
        <v>3407</v>
      </c>
    </row>
    <row r="6991">
      <c r="A6991" s="3" t="s">
        <v>20141</v>
      </c>
      <c r="B6991" s="3" t="s">
        <v>6506</v>
      </c>
      <c r="C6991" s="5" t="s">
        <v>221</v>
      </c>
      <c r="D6991" s="3" t="s">
        <v>614</v>
      </c>
      <c r="E6991" s="3" t="s">
        <v>118</v>
      </c>
      <c r="F6991" s="7">
        <v>45884.65330448113</v>
      </c>
      <c r="G6991" s="3" t="s">
        <v>3410</v>
      </c>
    </row>
    <row r="6992">
      <c r="A6992" s="3" t="s">
        <v>20143</v>
      </c>
      <c r="B6992" s="3" t="s">
        <v>6506</v>
      </c>
      <c r="C6992" s="5" t="s">
        <v>614</v>
      </c>
      <c r="D6992" s="3" t="s">
        <v>206</v>
      </c>
      <c r="E6992" s="3" t="s">
        <v>100</v>
      </c>
      <c r="F6992" s="7">
        <v>45884.656776703356</v>
      </c>
      <c r="G6992" s="3" t="s">
        <v>3413</v>
      </c>
    </row>
    <row r="6993">
      <c r="A6993" s="3" t="s">
        <v>20144</v>
      </c>
      <c r="B6993" s="3" t="s">
        <v>6506</v>
      </c>
      <c r="C6993" s="5" t="s">
        <v>206</v>
      </c>
      <c r="D6993" s="3" t="s">
        <v>68</v>
      </c>
      <c r="E6993" s="3" t="s">
        <v>100</v>
      </c>
      <c r="F6993" s="7">
        <v>45884.660248925575</v>
      </c>
      <c r="G6993" s="3" t="s">
        <v>3416</v>
      </c>
    </row>
    <row r="6994">
      <c r="A6994" s="3" t="s">
        <v>20146</v>
      </c>
      <c r="B6994" s="3" t="s">
        <v>6509</v>
      </c>
      <c r="C6994" s="5" t="s">
        <v>45</v>
      </c>
      <c r="D6994" s="3" t="s">
        <v>221</v>
      </c>
      <c r="E6994" s="3" t="s">
        <v>505</v>
      </c>
      <c r="F6994" s="7">
        <v>45884.72100710433</v>
      </c>
      <c r="G6994" s="3" t="s">
        <v>4770</v>
      </c>
    </row>
    <row r="6995">
      <c r="A6995" s="3" t="s">
        <v>20148</v>
      </c>
      <c r="B6995" s="3" t="s">
        <v>6509</v>
      </c>
      <c r="C6995" s="5" t="s">
        <v>221</v>
      </c>
      <c r="D6995" s="3" t="s">
        <v>614</v>
      </c>
      <c r="E6995" s="3" t="s">
        <v>118</v>
      </c>
      <c r="F6995" s="7">
        <v>45884.72447932655</v>
      </c>
      <c r="G6995" s="3" t="s">
        <v>4773</v>
      </c>
    </row>
    <row r="6996">
      <c r="A6996" s="3" t="s">
        <v>20150</v>
      </c>
      <c r="B6996" s="3" t="s">
        <v>6509</v>
      </c>
      <c r="C6996" s="5" t="s">
        <v>614</v>
      </c>
      <c r="D6996" s="3" t="s">
        <v>206</v>
      </c>
      <c r="E6996" s="3" t="s">
        <v>100</v>
      </c>
      <c r="F6996" s="7">
        <v>45884.727951548775</v>
      </c>
      <c r="G6996" s="3" t="s">
        <v>4776</v>
      </c>
    </row>
    <row r="6997">
      <c r="A6997" s="3" t="s">
        <v>20152</v>
      </c>
      <c r="B6997" s="3" t="s">
        <v>6509</v>
      </c>
      <c r="C6997" s="5" t="s">
        <v>206</v>
      </c>
      <c r="D6997" s="3" t="s">
        <v>68</v>
      </c>
      <c r="E6997" s="3" t="s">
        <v>100</v>
      </c>
      <c r="F6997" s="7">
        <v>45884.731423770994</v>
      </c>
      <c r="G6997" s="3" t="s">
        <v>4779</v>
      </c>
    </row>
    <row r="6998">
      <c r="A6998" s="3" t="s">
        <v>20153</v>
      </c>
      <c r="B6998" s="3" t="s">
        <v>6512</v>
      </c>
      <c r="C6998" s="5" t="s">
        <v>45</v>
      </c>
      <c r="D6998" s="3" t="s">
        <v>221</v>
      </c>
      <c r="E6998" s="3" t="s">
        <v>260</v>
      </c>
      <c r="F6998" s="7">
        <v>45884.792181949735</v>
      </c>
      <c r="G6998" s="3" t="s">
        <v>3418</v>
      </c>
    </row>
    <row r="6999">
      <c r="A6999" s="3" t="s">
        <v>20155</v>
      </c>
      <c r="B6999" s="3" t="s">
        <v>6512</v>
      </c>
      <c r="C6999" s="5" t="s">
        <v>221</v>
      </c>
      <c r="D6999" s="3" t="s">
        <v>614</v>
      </c>
      <c r="E6999" s="3" t="s">
        <v>118</v>
      </c>
      <c r="F6999" s="7">
        <v>45884.795654171954</v>
      </c>
      <c r="G6999" s="3" t="s">
        <v>3421</v>
      </c>
    </row>
    <row r="7000">
      <c r="A7000" s="3" t="s">
        <v>20157</v>
      </c>
      <c r="B7000" s="3" t="s">
        <v>6512</v>
      </c>
      <c r="C7000" s="5" t="s">
        <v>614</v>
      </c>
      <c r="D7000" s="3" t="s">
        <v>206</v>
      </c>
      <c r="E7000" s="3" t="s">
        <v>100</v>
      </c>
      <c r="F7000" s="7">
        <v>45884.79912639418</v>
      </c>
      <c r="G7000" s="3" t="s">
        <v>3424</v>
      </c>
    </row>
    <row r="7001">
      <c r="A7001" s="3" t="s">
        <v>20159</v>
      </c>
      <c r="B7001" s="3" t="s">
        <v>6512</v>
      </c>
      <c r="C7001" s="5" t="s">
        <v>206</v>
      </c>
      <c r="D7001" s="3" t="s">
        <v>68</v>
      </c>
      <c r="E7001" s="3" t="s">
        <v>100</v>
      </c>
      <c r="F7001" s="7">
        <v>45884.8025986164</v>
      </c>
      <c r="G7001" s="3" t="s">
        <v>3427</v>
      </c>
    </row>
    <row r="7002">
      <c r="A7002" s="3" t="s">
        <v>20161</v>
      </c>
      <c r="B7002" s="3" t="s">
        <v>6515</v>
      </c>
      <c r="C7002" s="5" t="s">
        <v>45</v>
      </c>
      <c r="D7002" s="3" t="s">
        <v>221</v>
      </c>
      <c r="E7002" s="3" t="s">
        <v>204</v>
      </c>
      <c r="F7002" s="7">
        <v>45884.863356795155</v>
      </c>
      <c r="G7002" s="3" t="s">
        <v>17592</v>
      </c>
    </row>
    <row r="7003">
      <c r="A7003" s="3" t="s">
        <v>20163</v>
      </c>
      <c r="B7003" s="3" t="s">
        <v>6515</v>
      </c>
      <c r="C7003" s="5" t="s">
        <v>221</v>
      </c>
      <c r="D7003" s="3" t="s">
        <v>614</v>
      </c>
      <c r="E7003" s="3" t="s">
        <v>118</v>
      </c>
      <c r="F7003" s="7">
        <v>45884.866829017374</v>
      </c>
      <c r="G7003" s="3" t="s">
        <v>19466</v>
      </c>
    </row>
    <row r="7004">
      <c r="A7004" s="3" t="s">
        <v>20164</v>
      </c>
      <c r="B7004" s="3" t="s">
        <v>6515</v>
      </c>
      <c r="C7004" s="5" t="s">
        <v>614</v>
      </c>
      <c r="D7004" s="3" t="s">
        <v>206</v>
      </c>
      <c r="E7004" s="3" t="s">
        <v>100</v>
      </c>
      <c r="F7004" s="7">
        <v>45884.8703012396</v>
      </c>
      <c r="G7004" s="3" t="s">
        <v>19469</v>
      </c>
    </row>
    <row r="7005">
      <c r="A7005" s="3" t="s">
        <v>20166</v>
      </c>
      <c r="B7005" s="3" t="s">
        <v>6515</v>
      </c>
      <c r="C7005" s="5" t="s">
        <v>206</v>
      </c>
      <c r="D7005" s="3" t="s">
        <v>68</v>
      </c>
      <c r="E7005" s="3" t="s">
        <v>100</v>
      </c>
      <c r="F7005" s="7">
        <v>45884.87377346182</v>
      </c>
      <c r="G7005" s="3" t="s">
        <v>19472</v>
      </c>
    </row>
    <row r="7006">
      <c r="A7006" s="3" t="s">
        <v>20168</v>
      </c>
      <c r="B7006" s="3" t="s">
        <v>6518</v>
      </c>
      <c r="C7006" s="5" t="s">
        <v>45</v>
      </c>
      <c r="D7006" s="3" t="s">
        <v>221</v>
      </c>
      <c r="E7006" s="3" t="s">
        <v>363</v>
      </c>
      <c r="F7006" s="7">
        <v>45884.934531640574</v>
      </c>
      <c r="G7006" s="3" t="s">
        <v>11404</v>
      </c>
    </row>
    <row r="7007">
      <c r="A7007" s="3" t="s">
        <v>20170</v>
      </c>
      <c r="B7007" s="3" t="s">
        <v>6518</v>
      </c>
      <c r="C7007" s="5" t="s">
        <v>221</v>
      </c>
      <c r="D7007" s="3" t="s">
        <v>614</v>
      </c>
      <c r="E7007" s="3" t="s">
        <v>118</v>
      </c>
      <c r="F7007" s="7">
        <v>45884.93800386279</v>
      </c>
      <c r="G7007" s="3" t="s">
        <v>11407</v>
      </c>
    </row>
    <row r="7008">
      <c r="A7008" s="3" t="s">
        <v>20172</v>
      </c>
      <c r="B7008" s="3" t="s">
        <v>6518</v>
      </c>
      <c r="C7008" s="5" t="s">
        <v>614</v>
      </c>
      <c r="D7008" s="3" t="s">
        <v>206</v>
      </c>
      <c r="E7008" s="3" t="s">
        <v>100</v>
      </c>
      <c r="F7008" s="7">
        <v>45884.94147608502</v>
      </c>
      <c r="G7008" s="3" t="s">
        <v>11410</v>
      </c>
    </row>
    <row r="7009">
      <c r="A7009" s="3" t="s">
        <v>20174</v>
      </c>
      <c r="B7009" s="3" t="s">
        <v>6518</v>
      </c>
      <c r="C7009" s="5" t="s">
        <v>206</v>
      </c>
      <c r="D7009" s="3" t="s">
        <v>68</v>
      </c>
      <c r="E7009" s="3" t="s">
        <v>100</v>
      </c>
      <c r="F7009" s="7">
        <v>45884.94494830724</v>
      </c>
      <c r="G7009" s="3" t="s">
        <v>11413</v>
      </c>
    </row>
    <row r="7010">
      <c r="A7010" s="3" t="s">
        <v>20175</v>
      </c>
      <c r="B7010" s="3" t="s">
        <v>6521</v>
      </c>
      <c r="C7010" s="5" t="s">
        <v>45</v>
      </c>
      <c r="D7010" s="3" t="s">
        <v>221</v>
      </c>
      <c r="E7010" s="3" t="s">
        <v>987</v>
      </c>
      <c r="F7010" s="7">
        <v>45885.00570648599</v>
      </c>
      <c r="G7010" s="3" t="s">
        <v>17638</v>
      </c>
    </row>
    <row r="7011">
      <c r="A7011" s="3" t="s">
        <v>20177</v>
      </c>
      <c r="B7011" s="3" t="s">
        <v>6521</v>
      </c>
      <c r="C7011" s="5" t="s">
        <v>221</v>
      </c>
      <c r="D7011" s="3" t="s">
        <v>614</v>
      </c>
      <c r="E7011" s="3" t="s">
        <v>118</v>
      </c>
      <c r="F7011" s="7">
        <v>45885.009178708206</v>
      </c>
      <c r="G7011" s="3" t="s">
        <v>20179</v>
      </c>
    </row>
    <row r="7012">
      <c r="A7012" s="3" t="s">
        <v>20180</v>
      </c>
      <c r="B7012" s="3" t="s">
        <v>6521</v>
      </c>
      <c r="C7012" s="5" t="s">
        <v>614</v>
      </c>
      <c r="D7012" s="3" t="s">
        <v>206</v>
      </c>
      <c r="E7012" s="3" t="s">
        <v>100</v>
      </c>
      <c r="F7012" s="7">
        <v>45885.01265093043</v>
      </c>
      <c r="G7012" s="3" t="s">
        <v>20182</v>
      </c>
    </row>
    <row r="7013">
      <c r="A7013" s="3" t="s">
        <v>20183</v>
      </c>
      <c r="B7013" s="3" t="s">
        <v>6521</v>
      </c>
      <c r="C7013" s="5" t="s">
        <v>206</v>
      </c>
      <c r="D7013" s="3" t="s">
        <v>68</v>
      </c>
      <c r="E7013" s="3" t="s">
        <v>100</v>
      </c>
      <c r="F7013" s="7">
        <v>45885.01612315265</v>
      </c>
      <c r="G7013" s="3" t="s">
        <v>20185</v>
      </c>
    </row>
    <row r="7014">
      <c r="A7014" s="3" t="s">
        <v>20186</v>
      </c>
      <c r="B7014" s="3" t="s">
        <v>6525</v>
      </c>
      <c r="C7014" s="5" t="s">
        <v>45</v>
      </c>
      <c r="D7014" s="3" t="s">
        <v>221</v>
      </c>
      <c r="E7014" s="3" t="s">
        <v>665</v>
      </c>
      <c r="F7014" s="7">
        <v>45885.0768813314</v>
      </c>
      <c r="G7014" s="3" t="s">
        <v>20187</v>
      </c>
    </row>
    <row r="7015">
      <c r="A7015" s="3" t="s">
        <v>20189</v>
      </c>
      <c r="B7015" s="3" t="s">
        <v>6525</v>
      </c>
      <c r="C7015" s="5" t="s">
        <v>221</v>
      </c>
      <c r="D7015" s="3" t="s">
        <v>614</v>
      </c>
      <c r="E7015" s="3" t="s">
        <v>118</v>
      </c>
      <c r="F7015" s="7">
        <v>45885.08035355362</v>
      </c>
      <c r="G7015" s="3" t="s">
        <v>20190</v>
      </c>
    </row>
    <row r="7016">
      <c r="A7016" s="3" t="s">
        <v>20191</v>
      </c>
      <c r="B7016" s="3" t="s">
        <v>6525</v>
      </c>
      <c r="C7016" s="5" t="s">
        <v>614</v>
      </c>
      <c r="D7016" s="3" t="s">
        <v>206</v>
      </c>
      <c r="E7016" s="3" t="s">
        <v>100</v>
      </c>
      <c r="F7016" s="7">
        <v>45885.083825775844</v>
      </c>
      <c r="G7016" s="3" t="s">
        <v>20193</v>
      </c>
    </row>
    <row r="7017">
      <c r="A7017" s="3" t="s">
        <v>20194</v>
      </c>
      <c r="B7017" s="3" t="s">
        <v>6525</v>
      </c>
      <c r="C7017" s="5" t="s">
        <v>206</v>
      </c>
      <c r="D7017" s="3" t="s">
        <v>68</v>
      </c>
      <c r="E7017" s="3" t="s">
        <v>100</v>
      </c>
      <c r="F7017" s="7">
        <v>45885.08729799806</v>
      </c>
      <c r="G7017" s="3" t="s">
        <v>20196</v>
      </c>
    </row>
    <row r="7018">
      <c r="A7018" s="3" t="s">
        <v>20197</v>
      </c>
      <c r="B7018" s="3" t="s">
        <v>6528</v>
      </c>
      <c r="C7018" s="5" t="s">
        <v>45</v>
      </c>
      <c r="D7018" s="3" t="s">
        <v>221</v>
      </c>
      <c r="E7018" s="3" t="s">
        <v>440</v>
      </c>
      <c r="F7018" s="7">
        <v>45885.14805617682</v>
      </c>
      <c r="G7018" s="3" t="s">
        <v>3430</v>
      </c>
    </row>
    <row r="7019">
      <c r="A7019" s="3" t="s">
        <v>20199</v>
      </c>
      <c r="B7019" s="3" t="s">
        <v>6528</v>
      </c>
      <c r="C7019" s="5" t="s">
        <v>221</v>
      </c>
      <c r="D7019" s="3" t="s">
        <v>614</v>
      </c>
      <c r="E7019" s="3" t="s">
        <v>118</v>
      </c>
      <c r="F7019" s="7">
        <v>45885.15152839904</v>
      </c>
      <c r="G7019" s="3" t="s">
        <v>3433</v>
      </c>
    </row>
    <row r="7020">
      <c r="A7020" s="3" t="s">
        <v>20201</v>
      </c>
      <c r="B7020" s="3" t="s">
        <v>6528</v>
      </c>
      <c r="C7020" s="5" t="s">
        <v>614</v>
      </c>
      <c r="D7020" s="3" t="s">
        <v>206</v>
      </c>
      <c r="E7020" s="3" t="s">
        <v>100</v>
      </c>
      <c r="F7020" s="7">
        <v>45885.155000621264</v>
      </c>
      <c r="G7020" s="3" t="s">
        <v>3436</v>
      </c>
    </row>
    <row r="7021">
      <c r="A7021" s="3" t="s">
        <v>20203</v>
      </c>
      <c r="B7021" s="3" t="s">
        <v>6528</v>
      </c>
      <c r="C7021" s="5" t="s">
        <v>206</v>
      </c>
      <c r="D7021" s="3" t="s">
        <v>68</v>
      </c>
      <c r="E7021" s="3" t="s">
        <v>100</v>
      </c>
      <c r="F7021" s="7">
        <v>45885.15847284348</v>
      </c>
      <c r="G7021" s="3" t="s">
        <v>3439</v>
      </c>
    </row>
    <row r="7022">
      <c r="A7022" s="3" t="s">
        <v>20204</v>
      </c>
      <c r="B7022" s="3" t="s">
        <v>6532</v>
      </c>
      <c r="C7022" s="5" t="s">
        <v>45</v>
      </c>
      <c r="D7022" s="3" t="s">
        <v>221</v>
      </c>
      <c r="E7022" s="3" t="s">
        <v>939</v>
      </c>
      <c r="F7022" s="7">
        <v>45885.21923102223</v>
      </c>
      <c r="G7022" s="3" t="s">
        <v>7152</v>
      </c>
    </row>
    <row r="7023">
      <c r="A7023" s="3" t="s">
        <v>20206</v>
      </c>
      <c r="B7023" s="3" t="s">
        <v>6532</v>
      </c>
      <c r="C7023" s="5" t="s">
        <v>221</v>
      </c>
      <c r="D7023" s="3" t="s">
        <v>614</v>
      </c>
      <c r="E7023" s="3" t="s">
        <v>118</v>
      </c>
      <c r="F7023" s="7">
        <v>45885.22270324445</v>
      </c>
      <c r="G7023" s="3" t="s">
        <v>7155</v>
      </c>
    </row>
    <row r="7024">
      <c r="A7024" s="3" t="s">
        <v>20208</v>
      </c>
      <c r="B7024" s="3" t="s">
        <v>6532</v>
      </c>
      <c r="C7024" s="5" t="s">
        <v>614</v>
      </c>
      <c r="D7024" s="3" t="s">
        <v>206</v>
      </c>
      <c r="E7024" s="3" t="s">
        <v>100</v>
      </c>
      <c r="F7024" s="7">
        <v>45885.226175466676</v>
      </c>
      <c r="G7024" s="3" t="s">
        <v>7158</v>
      </c>
    </row>
    <row r="7025">
      <c r="A7025" s="3" t="s">
        <v>20210</v>
      </c>
      <c r="B7025" s="3" t="s">
        <v>6532</v>
      </c>
      <c r="C7025" s="5" t="s">
        <v>206</v>
      </c>
      <c r="D7025" s="3" t="s">
        <v>68</v>
      </c>
      <c r="E7025" s="3" t="s">
        <v>100</v>
      </c>
      <c r="F7025" s="7">
        <v>45885.229647688895</v>
      </c>
      <c r="G7025" s="3" t="s">
        <v>7161</v>
      </c>
    </row>
    <row r="7026">
      <c r="A7026" s="3" t="s">
        <v>20212</v>
      </c>
      <c r="B7026" s="3" t="s">
        <v>6535</v>
      </c>
      <c r="C7026" s="5" t="s">
        <v>45</v>
      </c>
      <c r="D7026" s="3" t="s">
        <v>221</v>
      </c>
      <c r="E7026" s="3" t="s">
        <v>466</v>
      </c>
      <c r="F7026" s="7">
        <v>45885.29040586764</v>
      </c>
      <c r="G7026" s="3" t="s">
        <v>20214</v>
      </c>
    </row>
    <row r="7027">
      <c r="A7027" s="3" t="s">
        <v>20215</v>
      </c>
      <c r="B7027" s="3" t="s">
        <v>6535</v>
      </c>
      <c r="C7027" s="5" t="s">
        <v>221</v>
      </c>
      <c r="D7027" s="3" t="s">
        <v>181</v>
      </c>
      <c r="E7027" s="3" t="s">
        <v>118</v>
      </c>
      <c r="F7027" s="7">
        <v>45885.29387808986</v>
      </c>
      <c r="G7027" s="3" t="s">
        <v>20216</v>
      </c>
    </row>
    <row r="7028">
      <c r="A7028" s="3" t="s">
        <v>20218</v>
      </c>
      <c r="B7028" s="3" t="s">
        <v>6538</v>
      </c>
      <c r="C7028" s="5" t="s">
        <v>45</v>
      </c>
      <c r="D7028" s="3" t="s">
        <v>221</v>
      </c>
      <c r="E7028" s="3" t="s">
        <v>272</v>
      </c>
      <c r="F7028" s="7">
        <v>45885.36158071306</v>
      </c>
      <c r="G7028" s="3" t="s">
        <v>12671</v>
      </c>
    </row>
    <row r="7029">
      <c r="A7029" s="3" t="s">
        <v>20220</v>
      </c>
      <c r="B7029" s="3" t="s">
        <v>6538</v>
      </c>
      <c r="C7029" s="5" t="s">
        <v>221</v>
      </c>
      <c r="D7029" s="3" t="s">
        <v>614</v>
      </c>
      <c r="E7029" s="3" t="s">
        <v>118</v>
      </c>
      <c r="F7029" s="7">
        <v>45885.36505293528</v>
      </c>
      <c r="G7029" s="3" t="s">
        <v>12674</v>
      </c>
    </row>
    <row r="7030">
      <c r="A7030" s="3" t="s">
        <v>20222</v>
      </c>
      <c r="B7030" s="3" t="s">
        <v>6538</v>
      </c>
      <c r="C7030" s="5" t="s">
        <v>614</v>
      </c>
      <c r="D7030" s="3" t="s">
        <v>206</v>
      </c>
      <c r="E7030" s="3" t="s">
        <v>100</v>
      </c>
      <c r="F7030" s="7">
        <v>45885.36852515751</v>
      </c>
      <c r="G7030" s="3" t="s">
        <v>12677</v>
      </c>
    </row>
    <row r="7031">
      <c r="A7031" s="3" t="s">
        <v>20223</v>
      </c>
      <c r="B7031" s="3" t="s">
        <v>6538</v>
      </c>
      <c r="C7031" s="5" t="s">
        <v>206</v>
      </c>
      <c r="D7031" s="3" t="s">
        <v>68</v>
      </c>
      <c r="E7031" s="3" t="s">
        <v>100</v>
      </c>
      <c r="F7031" s="7">
        <v>45885.37199737973</v>
      </c>
      <c r="G7031" s="3" t="s">
        <v>12680</v>
      </c>
    </row>
    <row r="7032">
      <c r="A7032" s="3" t="s">
        <v>20225</v>
      </c>
      <c r="B7032" s="3" t="s">
        <v>6541</v>
      </c>
      <c r="C7032" s="5" t="s">
        <v>45</v>
      </c>
      <c r="D7032" s="3" t="s">
        <v>221</v>
      </c>
      <c r="E7032" s="3" t="s">
        <v>969</v>
      </c>
      <c r="F7032" s="7">
        <v>45885.43275555848</v>
      </c>
      <c r="G7032" s="3" t="s">
        <v>3453</v>
      </c>
    </row>
    <row r="7033">
      <c r="A7033" s="3" t="s">
        <v>20227</v>
      </c>
      <c r="B7033" s="3" t="s">
        <v>6541</v>
      </c>
      <c r="C7033" s="5" t="s">
        <v>221</v>
      </c>
      <c r="D7033" s="3" t="s">
        <v>614</v>
      </c>
      <c r="E7033" s="3" t="s">
        <v>118</v>
      </c>
      <c r="F7033" s="7">
        <v>45885.4362277807</v>
      </c>
      <c r="G7033" s="3" t="s">
        <v>3456</v>
      </c>
    </row>
    <row r="7034">
      <c r="A7034" s="3" t="s">
        <v>20229</v>
      </c>
      <c r="B7034" s="3" t="s">
        <v>6541</v>
      </c>
      <c r="C7034" s="5" t="s">
        <v>614</v>
      </c>
      <c r="D7034" s="3" t="s">
        <v>206</v>
      </c>
      <c r="E7034" s="3" t="s">
        <v>100</v>
      </c>
      <c r="F7034" s="7">
        <v>45885.43970000293</v>
      </c>
      <c r="G7034" s="3" t="s">
        <v>3459</v>
      </c>
    </row>
    <row r="7035">
      <c r="A7035" s="3" t="s">
        <v>20231</v>
      </c>
      <c r="B7035" s="3" t="s">
        <v>6541</v>
      </c>
      <c r="C7035" s="5" t="s">
        <v>206</v>
      </c>
      <c r="D7035" s="3" t="s">
        <v>68</v>
      </c>
      <c r="E7035" s="3" t="s">
        <v>100</v>
      </c>
      <c r="F7035" s="7">
        <v>45885.44317222515</v>
      </c>
      <c r="G7035" s="3" t="s">
        <v>3462</v>
      </c>
    </row>
    <row r="7036">
      <c r="A7036" s="3" t="s">
        <v>20233</v>
      </c>
      <c r="B7036" s="3" t="s">
        <v>6544</v>
      </c>
      <c r="C7036" s="5" t="s">
        <v>45</v>
      </c>
      <c r="D7036" s="3" t="s">
        <v>221</v>
      </c>
      <c r="E7036" s="3" t="s">
        <v>141</v>
      </c>
      <c r="F7036" s="7">
        <v>45885.50393040389</v>
      </c>
      <c r="G7036" s="3" t="s">
        <v>3679</v>
      </c>
    </row>
    <row r="7037">
      <c r="A7037" s="3" t="s">
        <v>20235</v>
      </c>
      <c r="B7037" s="3" t="s">
        <v>6544</v>
      </c>
      <c r="C7037" s="5" t="s">
        <v>221</v>
      </c>
      <c r="D7037" s="3" t="s">
        <v>614</v>
      </c>
      <c r="E7037" s="3" t="s">
        <v>118</v>
      </c>
      <c r="F7037" s="7">
        <v>45885.507402626106</v>
      </c>
      <c r="G7037" s="3" t="s">
        <v>3682</v>
      </c>
    </row>
    <row r="7038">
      <c r="A7038" s="3" t="s">
        <v>20237</v>
      </c>
      <c r="B7038" s="3" t="s">
        <v>6544</v>
      </c>
      <c r="C7038" s="5" t="s">
        <v>614</v>
      </c>
      <c r="D7038" s="3" t="s">
        <v>206</v>
      </c>
      <c r="E7038" s="3" t="s">
        <v>100</v>
      </c>
      <c r="F7038" s="7">
        <v>45885.51087484833</v>
      </c>
      <c r="G7038" s="3" t="s">
        <v>3685</v>
      </c>
    </row>
    <row r="7039">
      <c r="A7039" s="3" t="s">
        <v>20239</v>
      </c>
      <c r="B7039" s="3" t="s">
        <v>6544</v>
      </c>
      <c r="C7039" s="5" t="s">
        <v>206</v>
      </c>
      <c r="D7039" s="3" t="s">
        <v>68</v>
      </c>
      <c r="E7039" s="3" t="s">
        <v>100</v>
      </c>
      <c r="F7039" s="7">
        <v>45885.51434707055</v>
      </c>
      <c r="G7039" s="3" t="s">
        <v>3688</v>
      </c>
    </row>
    <row r="7040">
      <c r="A7040" s="3" t="s">
        <v>20240</v>
      </c>
      <c r="B7040" s="3" t="s">
        <v>6547</v>
      </c>
      <c r="C7040" s="5" t="s">
        <v>45</v>
      </c>
      <c r="D7040" s="3" t="s">
        <v>221</v>
      </c>
      <c r="E7040" s="3" t="s">
        <v>708</v>
      </c>
      <c r="F7040" s="7">
        <v>45885.57510524931</v>
      </c>
      <c r="G7040" s="3" t="s">
        <v>3464</v>
      </c>
    </row>
    <row r="7041">
      <c r="A7041" s="3" t="s">
        <v>20242</v>
      </c>
      <c r="B7041" s="3" t="s">
        <v>6547</v>
      </c>
      <c r="C7041" s="5" t="s">
        <v>221</v>
      </c>
      <c r="D7041" s="3" t="s">
        <v>614</v>
      </c>
      <c r="E7041" s="3" t="s">
        <v>118</v>
      </c>
      <c r="F7041" s="7">
        <v>45885.578577471526</v>
      </c>
      <c r="G7041" s="3" t="s">
        <v>3467</v>
      </c>
    </row>
    <row r="7042">
      <c r="A7042" s="3" t="s">
        <v>20244</v>
      </c>
      <c r="B7042" s="3" t="s">
        <v>6547</v>
      </c>
      <c r="C7042" s="5" t="s">
        <v>614</v>
      </c>
      <c r="D7042" s="3" t="s">
        <v>206</v>
      </c>
      <c r="E7042" s="3" t="s">
        <v>100</v>
      </c>
      <c r="F7042" s="7">
        <v>45885.58204969375</v>
      </c>
      <c r="G7042" s="3" t="s">
        <v>3470</v>
      </c>
    </row>
    <row r="7043">
      <c r="A7043" s="3" t="s">
        <v>20246</v>
      </c>
      <c r="B7043" s="3" t="s">
        <v>6547</v>
      </c>
      <c r="C7043" s="5" t="s">
        <v>206</v>
      </c>
      <c r="D7043" s="3" t="s">
        <v>68</v>
      </c>
      <c r="E7043" s="3" t="s">
        <v>100</v>
      </c>
      <c r="F7043" s="7">
        <v>45885.58552191597</v>
      </c>
      <c r="G7043" s="3" t="s">
        <v>3473</v>
      </c>
    </row>
    <row r="7044">
      <c r="A7044" s="3" t="s">
        <v>20248</v>
      </c>
      <c r="B7044" s="3" t="s">
        <v>6551</v>
      </c>
      <c r="C7044" s="5" t="s">
        <v>45</v>
      </c>
      <c r="D7044" s="3" t="s">
        <v>221</v>
      </c>
      <c r="E7044" s="3" t="s">
        <v>669</v>
      </c>
      <c r="F7044" s="7">
        <v>45885.64628009472</v>
      </c>
      <c r="G7044" s="3" t="s">
        <v>3476</v>
      </c>
    </row>
    <row r="7045">
      <c r="A7045" s="3" t="s">
        <v>20250</v>
      </c>
      <c r="B7045" s="3" t="s">
        <v>6551</v>
      </c>
      <c r="C7045" s="5" t="s">
        <v>221</v>
      </c>
      <c r="D7045" s="3" t="s">
        <v>614</v>
      </c>
      <c r="E7045" s="3" t="s">
        <v>118</v>
      </c>
      <c r="F7045" s="7">
        <v>45885.64975231694</v>
      </c>
      <c r="G7045" s="3" t="s">
        <v>3479</v>
      </c>
    </row>
    <row r="7046">
      <c r="A7046" s="3" t="s">
        <v>20252</v>
      </c>
      <c r="B7046" s="3" t="s">
        <v>6551</v>
      </c>
      <c r="C7046" s="5" t="s">
        <v>614</v>
      </c>
      <c r="D7046" s="3" t="s">
        <v>206</v>
      </c>
      <c r="E7046" s="3" t="s">
        <v>100</v>
      </c>
      <c r="F7046" s="7">
        <v>45885.653224539165</v>
      </c>
      <c r="G7046" s="3" t="s">
        <v>3482</v>
      </c>
    </row>
    <row r="7047">
      <c r="A7047" s="3" t="s">
        <v>20253</v>
      </c>
      <c r="B7047" s="3" t="s">
        <v>6551</v>
      </c>
      <c r="C7047" s="5" t="s">
        <v>206</v>
      </c>
      <c r="D7047" s="3" t="s">
        <v>68</v>
      </c>
      <c r="E7047" s="3" t="s">
        <v>100</v>
      </c>
      <c r="F7047" s="7">
        <v>45885.65669676138</v>
      </c>
      <c r="G7047" s="3" t="s">
        <v>3485</v>
      </c>
    </row>
    <row r="7048">
      <c r="A7048" s="3" t="s">
        <v>20255</v>
      </c>
      <c r="B7048" s="3" t="s">
        <v>6555</v>
      </c>
      <c r="C7048" s="5" t="s">
        <v>45</v>
      </c>
      <c r="D7048" s="3" t="s">
        <v>221</v>
      </c>
      <c r="E7048" s="3" t="s">
        <v>266</v>
      </c>
      <c r="F7048" s="7">
        <v>45885.71745494014</v>
      </c>
      <c r="G7048" s="3" t="s">
        <v>9710</v>
      </c>
    </row>
    <row r="7049">
      <c r="A7049" s="3" t="s">
        <v>20257</v>
      </c>
      <c r="B7049" s="3" t="s">
        <v>6555</v>
      </c>
      <c r="C7049" s="5" t="s">
        <v>221</v>
      </c>
      <c r="D7049" s="3" t="s">
        <v>614</v>
      </c>
      <c r="E7049" s="3" t="s">
        <v>118</v>
      </c>
      <c r="F7049" s="7">
        <v>45885.72092716236</v>
      </c>
      <c r="G7049" s="3" t="s">
        <v>13233</v>
      </c>
    </row>
    <row r="7050">
      <c r="A7050" s="3" t="s">
        <v>20259</v>
      </c>
      <c r="B7050" s="3" t="s">
        <v>6555</v>
      </c>
      <c r="C7050" s="5" t="s">
        <v>614</v>
      </c>
      <c r="D7050" s="3" t="s">
        <v>206</v>
      </c>
      <c r="E7050" s="3" t="s">
        <v>100</v>
      </c>
      <c r="F7050" s="7">
        <v>45885.724399384584</v>
      </c>
      <c r="G7050" s="3" t="s">
        <v>13237</v>
      </c>
    </row>
    <row r="7051">
      <c r="A7051" s="3" t="s">
        <v>20261</v>
      </c>
      <c r="B7051" s="3" t="s">
        <v>6555</v>
      </c>
      <c r="C7051" s="5" t="s">
        <v>206</v>
      </c>
      <c r="D7051" s="3" t="s">
        <v>68</v>
      </c>
      <c r="E7051" s="3" t="s">
        <v>100</v>
      </c>
      <c r="F7051" s="7">
        <v>45885.7278716068</v>
      </c>
      <c r="G7051" s="3" t="s">
        <v>13240</v>
      </c>
    </row>
    <row r="7052">
      <c r="A7052" s="3" t="s">
        <v>20263</v>
      </c>
      <c r="B7052" s="3" t="s">
        <v>6558</v>
      </c>
      <c r="C7052" s="5" t="s">
        <v>45</v>
      </c>
      <c r="D7052" s="3" t="s">
        <v>221</v>
      </c>
      <c r="E7052" s="3" t="s">
        <v>662</v>
      </c>
      <c r="F7052" s="7">
        <v>45885.78862978555</v>
      </c>
      <c r="G7052" s="3" t="s">
        <v>20264</v>
      </c>
    </row>
    <row r="7053">
      <c r="A7053" s="3" t="s">
        <v>20266</v>
      </c>
      <c r="B7053" s="3" t="s">
        <v>6558</v>
      </c>
      <c r="C7053" s="5" t="s">
        <v>221</v>
      </c>
      <c r="D7053" s="3" t="s">
        <v>614</v>
      </c>
      <c r="E7053" s="3" t="s">
        <v>118</v>
      </c>
      <c r="F7053" s="7">
        <v>45885.79210200777</v>
      </c>
      <c r="G7053" s="3" t="s">
        <v>20267</v>
      </c>
    </row>
    <row r="7054">
      <c r="A7054" s="3" t="s">
        <v>20268</v>
      </c>
      <c r="B7054" s="3" t="s">
        <v>6558</v>
      </c>
      <c r="C7054" s="5" t="s">
        <v>614</v>
      </c>
      <c r="D7054" s="3" t="s">
        <v>206</v>
      </c>
      <c r="E7054" s="3" t="s">
        <v>100</v>
      </c>
      <c r="F7054" s="7">
        <v>45885.79557423</v>
      </c>
      <c r="G7054" s="3" t="s">
        <v>20270</v>
      </c>
    </row>
    <row r="7055">
      <c r="A7055" s="3" t="s">
        <v>20271</v>
      </c>
      <c r="B7055" s="3" t="s">
        <v>6558</v>
      </c>
      <c r="C7055" s="5" t="s">
        <v>206</v>
      </c>
      <c r="D7055" s="3" t="s">
        <v>68</v>
      </c>
      <c r="E7055" s="3" t="s">
        <v>100</v>
      </c>
      <c r="F7055" s="7">
        <v>45885.799046452215</v>
      </c>
      <c r="G7055" s="3" t="s">
        <v>20273</v>
      </c>
    </row>
    <row r="7056">
      <c r="A7056" s="3" t="s">
        <v>20274</v>
      </c>
      <c r="B7056" s="3" t="s">
        <v>6561</v>
      </c>
      <c r="C7056" s="5" t="s">
        <v>45</v>
      </c>
      <c r="D7056" s="3" t="s">
        <v>221</v>
      </c>
      <c r="E7056" s="3" t="s">
        <v>313</v>
      </c>
      <c r="F7056" s="7">
        <v>45885.85980463097</v>
      </c>
      <c r="G7056" s="3" t="s">
        <v>20276</v>
      </c>
    </row>
    <row r="7057">
      <c r="A7057" s="3" t="s">
        <v>20277</v>
      </c>
      <c r="B7057" s="3" t="s">
        <v>6561</v>
      </c>
      <c r="C7057" s="5" t="s">
        <v>221</v>
      </c>
      <c r="D7057" s="3" t="s">
        <v>614</v>
      </c>
      <c r="E7057" s="3" t="s">
        <v>118</v>
      </c>
      <c r="F7057" s="7">
        <v>45885.86327685319</v>
      </c>
      <c r="G7057" s="3" t="s">
        <v>20278</v>
      </c>
    </row>
    <row r="7058">
      <c r="A7058" s="3" t="s">
        <v>20280</v>
      </c>
      <c r="B7058" s="3" t="s">
        <v>6561</v>
      </c>
      <c r="C7058" s="5" t="s">
        <v>614</v>
      </c>
      <c r="D7058" s="3" t="s">
        <v>206</v>
      </c>
      <c r="E7058" s="3" t="s">
        <v>100</v>
      </c>
      <c r="F7058" s="7">
        <v>45885.866749075416</v>
      </c>
      <c r="G7058" s="3" t="s">
        <v>20281</v>
      </c>
    </row>
    <row r="7059">
      <c r="A7059" s="3" t="s">
        <v>20282</v>
      </c>
      <c r="B7059" s="3" t="s">
        <v>6561</v>
      </c>
      <c r="C7059" s="5" t="s">
        <v>206</v>
      </c>
      <c r="D7059" s="3" t="s">
        <v>68</v>
      </c>
      <c r="E7059" s="3" t="s">
        <v>100</v>
      </c>
      <c r="F7059" s="7">
        <v>45885.870221297635</v>
      </c>
      <c r="G7059" s="3" t="s">
        <v>20284</v>
      </c>
    </row>
    <row r="7060">
      <c r="A7060" s="3" t="s">
        <v>20285</v>
      </c>
      <c r="B7060" s="3" t="s">
        <v>6564</v>
      </c>
      <c r="C7060" s="5" t="s">
        <v>45</v>
      </c>
      <c r="D7060" s="3" t="s">
        <v>221</v>
      </c>
      <c r="E7060" s="3" t="s">
        <v>751</v>
      </c>
      <c r="F7060" s="7">
        <v>45885.930979476376</v>
      </c>
      <c r="G7060" s="3" t="s">
        <v>12301</v>
      </c>
    </row>
    <row r="7061">
      <c r="A7061" s="3" t="s">
        <v>20287</v>
      </c>
      <c r="B7061" s="3" t="s">
        <v>6564</v>
      </c>
      <c r="C7061" s="5" t="s">
        <v>221</v>
      </c>
      <c r="D7061" s="3" t="s">
        <v>181</v>
      </c>
      <c r="E7061" s="3" t="s">
        <v>118</v>
      </c>
      <c r="F7061" s="7">
        <v>45885.934451698595</v>
      </c>
      <c r="G7061" s="3" t="s">
        <v>20289</v>
      </c>
    </row>
    <row r="7062">
      <c r="A7062" s="3" t="s">
        <v>20290</v>
      </c>
      <c r="B7062" s="3" t="s">
        <v>6567</v>
      </c>
      <c r="C7062" s="5" t="s">
        <v>45</v>
      </c>
      <c r="D7062" s="3" t="s">
        <v>221</v>
      </c>
      <c r="E7062" s="3" t="s">
        <v>472</v>
      </c>
      <c r="F7062" s="7">
        <v>45886.002154321795</v>
      </c>
      <c r="G7062" s="3" t="s">
        <v>10155</v>
      </c>
    </row>
    <row r="7063">
      <c r="A7063" s="3" t="s">
        <v>20292</v>
      </c>
      <c r="B7063" s="3" t="s">
        <v>6567</v>
      </c>
      <c r="C7063" s="5" t="s">
        <v>221</v>
      </c>
      <c r="D7063" s="3" t="s">
        <v>614</v>
      </c>
      <c r="E7063" s="3" t="s">
        <v>118</v>
      </c>
      <c r="F7063" s="7">
        <v>45886.005626544014</v>
      </c>
      <c r="G7063" s="3" t="s">
        <v>20294</v>
      </c>
    </row>
    <row r="7064">
      <c r="A7064" s="3" t="s">
        <v>20295</v>
      </c>
      <c r="B7064" s="3" t="s">
        <v>6567</v>
      </c>
      <c r="C7064" s="5" t="s">
        <v>614</v>
      </c>
      <c r="D7064" s="3" t="s">
        <v>206</v>
      </c>
      <c r="E7064" s="3" t="s">
        <v>100</v>
      </c>
      <c r="F7064" s="7">
        <v>45886.00909876624</v>
      </c>
      <c r="G7064" s="3" t="s">
        <v>20297</v>
      </c>
    </row>
    <row r="7065">
      <c r="A7065" s="3" t="s">
        <v>20298</v>
      </c>
      <c r="B7065" s="3" t="s">
        <v>6567</v>
      </c>
      <c r="C7065" s="5" t="s">
        <v>206</v>
      </c>
      <c r="D7065" s="3" t="s">
        <v>68</v>
      </c>
      <c r="E7065" s="3" t="s">
        <v>100</v>
      </c>
      <c r="F7065" s="7">
        <v>45886.01257098846</v>
      </c>
      <c r="G7065" s="3" t="s">
        <v>20299</v>
      </c>
    </row>
    <row r="7066">
      <c r="A7066" s="3" t="s">
        <v>20301</v>
      </c>
      <c r="B7066" s="3" t="s">
        <v>6571</v>
      </c>
      <c r="C7066" s="5" t="s">
        <v>45</v>
      </c>
      <c r="D7066" s="3" t="s">
        <v>221</v>
      </c>
      <c r="E7066" s="3" t="s">
        <v>1034</v>
      </c>
      <c r="F7066" s="7">
        <v>45886.073329167215</v>
      </c>
      <c r="G7066" s="3" t="s">
        <v>16980</v>
      </c>
    </row>
    <row r="7067">
      <c r="A7067" s="3" t="s">
        <v>20303</v>
      </c>
      <c r="B7067" s="3" t="s">
        <v>6571</v>
      </c>
      <c r="C7067" s="5" t="s">
        <v>221</v>
      </c>
      <c r="D7067" s="3" t="s">
        <v>614</v>
      </c>
      <c r="E7067" s="3" t="s">
        <v>118</v>
      </c>
      <c r="F7067" s="7">
        <v>45886.076801389434</v>
      </c>
      <c r="G7067" s="3" t="s">
        <v>20304</v>
      </c>
    </row>
    <row r="7068">
      <c r="A7068" s="3" t="s">
        <v>20305</v>
      </c>
      <c r="B7068" s="3" t="s">
        <v>6571</v>
      </c>
      <c r="C7068" s="5" t="s">
        <v>614</v>
      </c>
      <c r="D7068" s="3" t="s">
        <v>206</v>
      </c>
      <c r="E7068" s="3" t="s">
        <v>100</v>
      </c>
      <c r="F7068" s="7">
        <v>45886.08027361166</v>
      </c>
      <c r="G7068" s="3" t="s">
        <v>20307</v>
      </c>
    </row>
    <row r="7069">
      <c r="A7069" s="3" t="s">
        <v>20308</v>
      </c>
      <c r="B7069" s="3" t="s">
        <v>6571</v>
      </c>
      <c r="C7069" s="5" t="s">
        <v>206</v>
      </c>
      <c r="D7069" s="3" t="s">
        <v>68</v>
      </c>
      <c r="E7069" s="3" t="s">
        <v>100</v>
      </c>
      <c r="F7069" s="7">
        <v>45886.08374583388</v>
      </c>
      <c r="G7069" s="3" t="s">
        <v>20310</v>
      </c>
    </row>
    <row r="7070">
      <c r="A7070" s="3" t="s">
        <v>20311</v>
      </c>
      <c r="B7070" s="3" t="s">
        <v>6574</v>
      </c>
      <c r="C7070" s="5" t="s">
        <v>45</v>
      </c>
      <c r="D7070" s="3" t="s">
        <v>221</v>
      </c>
      <c r="E7070" s="3" t="s">
        <v>348</v>
      </c>
      <c r="F7070" s="7">
        <v>45886.14450401263</v>
      </c>
      <c r="G7070" s="3" t="s">
        <v>17986</v>
      </c>
    </row>
    <row r="7071">
      <c r="A7071" s="3" t="s">
        <v>20313</v>
      </c>
      <c r="B7071" s="3" t="s">
        <v>6574</v>
      </c>
      <c r="C7071" s="5" t="s">
        <v>221</v>
      </c>
      <c r="D7071" s="3" t="s">
        <v>614</v>
      </c>
      <c r="E7071" s="3" t="s">
        <v>118</v>
      </c>
      <c r="F7071" s="7">
        <v>45886.147976234846</v>
      </c>
      <c r="G7071" s="3" t="s">
        <v>17989</v>
      </c>
    </row>
    <row r="7072">
      <c r="A7072" s="3" t="s">
        <v>20315</v>
      </c>
      <c r="B7072" s="3" t="s">
        <v>6574</v>
      </c>
      <c r="C7072" s="5" t="s">
        <v>614</v>
      </c>
      <c r="D7072" s="3" t="s">
        <v>206</v>
      </c>
      <c r="E7072" s="3" t="s">
        <v>100</v>
      </c>
      <c r="F7072" s="7">
        <v>45886.15144845707</v>
      </c>
      <c r="G7072" s="3" t="s">
        <v>17992</v>
      </c>
    </row>
    <row r="7073">
      <c r="A7073" s="3" t="s">
        <v>20317</v>
      </c>
      <c r="B7073" s="3" t="s">
        <v>6574</v>
      </c>
      <c r="C7073" s="5" t="s">
        <v>206</v>
      </c>
      <c r="D7073" s="3" t="s">
        <v>68</v>
      </c>
      <c r="E7073" s="3" t="s">
        <v>100</v>
      </c>
      <c r="F7073" s="7">
        <v>45886.15492067929</v>
      </c>
      <c r="G7073" s="3" t="s">
        <v>17995</v>
      </c>
    </row>
    <row r="7074">
      <c r="A7074" s="3" t="s">
        <v>20318</v>
      </c>
      <c r="B7074" s="3" t="s">
        <v>6578</v>
      </c>
      <c r="C7074" s="5" t="s">
        <v>45</v>
      </c>
      <c r="D7074" s="3" t="s">
        <v>221</v>
      </c>
      <c r="E7074" s="3" t="s">
        <v>830</v>
      </c>
      <c r="F7074" s="7">
        <v>45886.21567885804</v>
      </c>
      <c r="G7074" s="3" t="s">
        <v>17503</v>
      </c>
    </row>
    <row r="7075">
      <c r="A7075" s="3" t="s">
        <v>20320</v>
      </c>
      <c r="B7075" s="3" t="s">
        <v>6578</v>
      </c>
      <c r="C7075" s="5" t="s">
        <v>221</v>
      </c>
      <c r="D7075" s="3" t="s">
        <v>181</v>
      </c>
      <c r="E7075" s="3" t="s">
        <v>118</v>
      </c>
      <c r="F7075" s="7">
        <v>45886.21915108026</v>
      </c>
      <c r="G7075" s="3" t="s">
        <v>20322</v>
      </c>
    </row>
    <row r="7076">
      <c r="A7076" s="3" t="s">
        <v>20323</v>
      </c>
      <c r="B7076" s="3" t="s">
        <v>6580</v>
      </c>
      <c r="C7076" s="5" t="s">
        <v>45</v>
      </c>
      <c r="D7076" s="3" t="s">
        <v>221</v>
      </c>
      <c r="E7076" s="3" t="s">
        <v>993</v>
      </c>
      <c r="F7076" s="7">
        <v>45886.28685370346</v>
      </c>
      <c r="G7076" s="3" t="s">
        <v>3488</v>
      </c>
    </row>
    <row r="7077">
      <c r="A7077" s="3" t="s">
        <v>20325</v>
      </c>
      <c r="B7077" s="3" t="s">
        <v>6580</v>
      </c>
      <c r="C7077" s="5" t="s">
        <v>221</v>
      </c>
      <c r="D7077" s="3" t="s">
        <v>614</v>
      </c>
      <c r="E7077" s="3" t="s">
        <v>118</v>
      </c>
      <c r="F7077" s="7">
        <v>45886.29032592568</v>
      </c>
      <c r="G7077" s="3" t="s">
        <v>3491</v>
      </c>
    </row>
    <row r="7078">
      <c r="A7078" s="3" t="s">
        <v>20327</v>
      </c>
      <c r="B7078" s="3" t="s">
        <v>6580</v>
      </c>
      <c r="C7078" s="5" t="s">
        <v>614</v>
      </c>
      <c r="D7078" s="3" t="s">
        <v>206</v>
      </c>
      <c r="E7078" s="3" t="s">
        <v>100</v>
      </c>
      <c r="F7078" s="7">
        <v>45886.293798147904</v>
      </c>
      <c r="G7078" s="3" t="s">
        <v>3494</v>
      </c>
    </row>
    <row r="7079">
      <c r="A7079" s="3" t="s">
        <v>20329</v>
      </c>
      <c r="B7079" s="3" t="s">
        <v>6580</v>
      </c>
      <c r="C7079" s="5" t="s">
        <v>206</v>
      </c>
      <c r="D7079" s="3" t="s">
        <v>68</v>
      </c>
      <c r="E7079" s="3" t="s">
        <v>100</v>
      </c>
      <c r="F7079" s="7">
        <v>45886.29727037012</v>
      </c>
      <c r="G7079" s="3" t="s">
        <v>3496</v>
      </c>
    </row>
    <row r="7080">
      <c r="A7080" s="3" t="s">
        <v>20331</v>
      </c>
      <c r="B7080" s="3" t="s">
        <v>6584</v>
      </c>
      <c r="C7080" s="5" t="s">
        <v>45</v>
      </c>
      <c r="D7080" s="3" t="s">
        <v>221</v>
      </c>
      <c r="E7080" s="3" t="s">
        <v>652</v>
      </c>
      <c r="F7080" s="7">
        <v>45886.35802854887</v>
      </c>
      <c r="G7080" s="3" t="s">
        <v>2770</v>
      </c>
    </row>
    <row r="7081">
      <c r="A7081" s="3" t="s">
        <v>20332</v>
      </c>
      <c r="B7081" s="3" t="s">
        <v>6584</v>
      </c>
      <c r="C7081" s="5" t="s">
        <v>221</v>
      </c>
      <c r="D7081" s="3" t="s">
        <v>195</v>
      </c>
      <c r="E7081" s="3" t="s">
        <v>652</v>
      </c>
      <c r="F7081" s="7">
        <v>45886.36150077109</v>
      </c>
      <c r="G7081" s="3" t="s">
        <v>3055</v>
      </c>
    </row>
    <row r="7082">
      <c r="A7082" s="3" t="s">
        <v>20334</v>
      </c>
      <c r="B7082" s="3" t="s">
        <v>6587</v>
      </c>
      <c r="C7082" s="5" t="s">
        <v>45</v>
      </c>
      <c r="D7082" s="3" t="s">
        <v>221</v>
      </c>
      <c r="E7082" s="3" t="s">
        <v>758</v>
      </c>
      <c r="F7082" s="7">
        <v>45886.429203394284</v>
      </c>
      <c r="G7082" s="3" t="s">
        <v>5393</v>
      </c>
    </row>
    <row r="7083">
      <c r="A7083" s="3" t="s">
        <v>20336</v>
      </c>
      <c r="B7083" s="3" t="s">
        <v>6587</v>
      </c>
      <c r="C7083" s="5" t="s">
        <v>221</v>
      </c>
      <c r="D7083" s="3" t="s">
        <v>614</v>
      </c>
      <c r="E7083" s="3" t="s">
        <v>118</v>
      </c>
      <c r="F7083" s="7">
        <v>45886.4326756165</v>
      </c>
      <c r="G7083" s="3" t="s">
        <v>5396</v>
      </c>
    </row>
    <row r="7084">
      <c r="A7084" s="3" t="s">
        <v>20338</v>
      </c>
      <c r="B7084" s="3" t="s">
        <v>6587</v>
      </c>
      <c r="C7084" s="5" t="s">
        <v>614</v>
      </c>
      <c r="D7084" s="3" t="s">
        <v>206</v>
      </c>
      <c r="E7084" s="3" t="s">
        <v>100</v>
      </c>
      <c r="F7084" s="7">
        <v>45886.43614783873</v>
      </c>
      <c r="G7084" s="3" t="s">
        <v>5399</v>
      </c>
    </row>
    <row r="7085">
      <c r="A7085" s="3" t="s">
        <v>20340</v>
      </c>
      <c r="B7085" s="3" t="s">
        <v>6587</v>
      </c>
      <c r="C7085" s="5" t="s">
        <v>206</v>
      </c>
      <c r="D7085" s="3" t="s">
        <v>68</v>
      </c>
      <c r="E7085" s="3" t="s">
        <v>100</v>
      </c>
      <c r="F7085" s="7">
        <v>45886.43962006095</v>
      </c>
      <c r="G7085" s="3" t="s">
        <v>5402</v>
      </c>
    </row>
    <row r="7086">
      <c r="A7086" s="3" t="s">
        <v>20342</v>
      </c>
      <c r="B7086" s="3" t="s">
        <v>6590</v>
      </c>
      <c r="C7086" s="5" t="s">
        <v>45</v>
      </c>
      <c r="D7086" s="3" t="s">
        <v>221</v>
      </c>
      <c r="E7086" s="3" t="s">
        <v>816</v>
      </c>
      <c r="F7086" s="7">
        <v>45886.5003782397</v>
      </c>
      <c r="G7086" s="3" t="s">
        <v>10467</v>
      </c>
    </row>
    <row r="7087">
      <c r="A7087" s="3" t="s">
        <v>20344</v>
      </c>
      <c r="B7087" s="3" t="s">
        <v>6590</v>
      </c>
      <c r="C7087" s="5" t="s">
        <v>221</v>
      </c>
      <c r="D7087" s="3" t="s">
        <v>614</v>
      </c>
      <c r="E7087" s="3" t="s">
        <v>118</v>
      </c>
      <c r="F7087" s="7">
        <v>45886.50385046192</v>
      </c>
      <c r="G7087" s="3" t="s">
        <v>10470</v>
      </c>
    </row>
    <row r="7088">
      <c r="A7088" s="3" t="s">
        <v>20346</v>
      </c>
      <c r="B7088" s="3" t="s">
        <v>6590</v>
      </c>
      <c r="C7088" s="5" t="s">
        <v>614</v>
      </c>
      <c r="D7088" s="3" t="s">
        <v>206</v>
      </c>
      <c r="E7088" s="3" t="s">
        <v>100</v>
      </c>
      <c r="F7088" s="7">
        <v>45886.50732268415</v>
      </c>
      <c r="G7088" s="3" t="s">
        <v>10473</v>
      </c>
    </row>
    <row r="7089">
      <c r="A7089" s="3" t="s">
        <v>20347</v>
      </c>
      <c r="B7089" s="3" t="s">
        <v>6590</v>
      </c>
      <c r="C7089" s="5" t="s">
        <v>206</v>
      </c>
      <c r="D7089" s="3" t="s">
        <v>68</v>
      </c>
      <c r="E7089" s="3" t="s">
        <v>100</v>
      </c>
      <c r="F7089" s="7">
        <v>45886.51079490637</v>
      </c>
      <c r="G7089" s="3" t="s">
        <v>10475</v>
      </c>
    </row>
    <row r="7090">
      <c r="A7090" s="3" t="s">
        <v>20349</v>
      </c>
      <c r="B7090" s="3" t="s">
        <v>6593</v>
      </c>
      <c r="C7090" s="5" t="s">
        <v>45</v>
      </c>
      <c r="D7090" s="3" t="s">
        <v>221</v>
      </c>
      <c r="E7090" s="3" t="s">
        <v>186</v>
      </c>
      <c r="F7090" s="7">
        <v>45886.57155308512</v>
      </c>
      <c r="G7090" s="3" t="s">
        <v>7319</v>
      </c>
    </row>
    <row r="7091">
      <c r="A7091" s="3" t="s">
        <v>20351</v>
      </c>
      <c r="B7091" s="3" t="s">
        <v>6593</v>
      </c>
      <c r="C7091" s="5" t="s">
        <v>221</v>
      </c>
      <c r="D7091" s="3" t="s">
        <v>614</v>
      </c>
      <c r="E7091" s="3" t="s">
        <v>118</v>
      </c>
      <c r="F7091" s="7">
        <v>45886.57502530734</v>
      </c>
      <c r="G7091" s="3" t="s">
        <v>7322</v>
      </c>
    </row>
    <row r="7092">
      <c r="A7092" s="3" t="s">
        <v>20353</v>
      </c>
      <c r="B7092" s="3" t="s">
        <v>6593</v>
      </c>
      <c r="C7092" s="5" t="s">
        <v>614</v>
      </c>
      <c r="D7092" s="3" t="s">
        <v>206</v>
      </c>
      <c r="E7092" s="3" t="s">
        <v>100</v>
      </c>
      <c r="F7092" s="7">
        <v>45886.57849752957</v>
      </c>
      <c r="G7092" s="3" t="s">
        <v>7324</v>
      </c>
    </row>
    <row r="7093">
      <c r="A7093" s="3" t="s">
        <v>20355</v>
      </c>
      <c r="B7093" s="3" t="s">
        <v>6593</v>
      </c>
      <c r="C7093" s="5" t="s">
        <v>206</v>
      </c>
      <c r="D7093" s="3" t="s">
        <v>68</v>
      </c>
      <c r="E7093" s="3" t="s">
        <v>100</v>
      </c>
      <c r="F7093" s="7">
        <v>45886.58196975179</v>
      </c>
      <c r="G7093" s="3" t="s">
        <v>7327</v>
      </c>
    </row>
    <row r="7094">
      <c r="A7094" s="3" t="s">
        <v>20357</v>
      </c>
      <c r="B7094" s="3" t="s">
        <v>6596</v>
      </c>
      <c r="C7094" s="5" t="s">
        <v>45</v>
      </c>
      <c r="D7094" s="3" t="s">
        <v>221</v>
      </c>
      <c r="E7094" s="3" t="s">
        <v>689</v>
      </c>
      <c r="F7094" s="7">
        <v>45886.64272793053</v>
      </c>
      <c r="G7094" s="3" t="s">
        <v>3499</v>
      </c>
    </row>
    <row r="7095">
      <c r="A7095" s="3" t="s">
        <v>20359</v>
      </c>
      <c r="B7095" s="3" t="s">
        <v>6596</v>
      </c>
      <c r="C7095" s="5" t="s">
        <v>221</v>
      </c>
      <c r="D7095" s="3" t="s">
        <v>614</v>
      </c>
      <c r="E7095" s="3" t="s">
        <v>118</v>
      </c>
      <c r="F7095" s="7">
        <v>45886.64620015275</v>
      </c>
      <c r="G7095" s="3" t="s">
        <v>3502</v>
      </c>
    </row>
    <row r="7096">
      <c r="A7096" s="3" t="s">
        <v>20361</v>
      </c>
      <c r="B7096" s="3" t="s">
        <v>6596</v>
      </c>
      <c r="C7096" s="5" t="s">
        <v>614</v>
      </c>
      <c r="D7096" s="3" t="s">
        <v>206</v>
      </c>
      <c r="E7096" s="3" t="s">
        <v>100</v>
      </c>
      <c r="F7096" s="7">
        <v>45886.64967237497</v>
      </c>
      <c r="G7096" s="3" t="s">
        <v>3505</v>
      </c>
    </row>
    <row r="7097">
      <c r="A7097" s="3" t="s">
        <v>20363</v>
      </c>
      <c r="B7097" s="3" t="s">
        <v>6596</v>
      </c>
      <c r="C7097" s="5" t="s">
        <v>206</v>
      </c>
      <c r="D7097" s="3" t="s">
        <v>68</v>
      </c>
      <c r="E7097" s="3" t="s">
        <v>100</v>
      </c>
      <c r="F7097" s="7">
        <v>45886.65314459719</v>
      </c>
      <c r="G7097" s="3" t="s">
        <v>3508</v>
      </c>
    </row>
    <row r="7098">
      <c r="A7098" s="3" t="s">
        <v>20365</v>
      </c>
      <c r="B7098" s="3" t="s">
        <v>6600</v>
      </c>
      <c r="C7098" s="5" t="s">
        <v>45</v>
      </c>
      <c r="D7098" s="3" t="s">
        <v>221</v>
      </c>
      <c r="E7098" s="3" t="s">
        <v>778</v>
      </c>
      <c r="F7098" s="7">
        <v>45886.71390277595</v>
      </c>
      <c r="G7098" s="3" t="s">
        <v>2770</v>
      </c>
    </row>
    <row r="7099">
      <c r="A7099" s="3" t="s">
        <v>20367</v>
      </c>
      <c r="B7099" s="3" t="s">
        <v>6600</v>
      </c>
      <c r="C7099" s="5" t="s">
        <v>221</v>
      </c>
      <c r="D7099" s="3" t="s">
        <v>195</v>
      </c>
      <c r="E7099" s="3" t="s">
        <v>778</v>
      </c>
      <c r="F7099" s="7">
        <v>45886.71737499817</v>
      </c>
      <c r="G7099" s="3" t="s">
        <v>3055</v>
      </c>
    </row>
    <row r="7100">
      <c r="A7100" s="3" t="s">
        <v>20369</v>
      </c>
      <c r="B7100" s="3" t="s">
        <v>6603</v>
      </c>
      <c r="C7100" s="5" t="s">
        <v>45</v>
      </c>
      <c r="D7100" s="3" t="s">
        <v>221</v>
      </c>
      <c r="E7100" s="3" t="s">
        <v>468</v>
      </c>
      <c r="F7100" s="7">
        <v>45886.78507762137</v>
      </c>
      <c r="G7100" s="3" t="s">
        <v>10975</v>
      </c>
    </row>
    <row r="7101">
      <c r="A7101" s="3" t="s">
        <v>20370</v>
      </c>
      <c r="B7101" s="3" t="s">
        <v>6603</v>
      </c>
      <c r="C7101" s="5" t="s">
        <v>221</v>
      </c>
      <c r="D7101" s="3" t="s">
        <v>614</v>
      </c>
      <c r="E7101" s="3" t="s">
        <v>118</v>
      </c>
      <c r="F7101" s="7">
        <v>45886.788549843586</v>
      </c>
      <c r="G7101" s="3" t="s">
        <v>10978</v>
      </c>
    </row>
    <row r="7102">
      <c r="A7102" s="3" t="s">
        <v>20372</v>
      </c>
      <c r="B7102" s="3" t="s">
        <v>6603</v>
      </c>
      <c r="C7102" s="5" t="s">
        <v>614</v>
      </c>
      <c r="D7102" s="3" t="s">
        <v>206</v>
      </c>
      <c r="E7102" s="3" t="s">
        <v>100</v>
      </c>
      <c r="F7102" s="7">
        <v>45886.79202206581</v>
      </c>
      <c r="G7102" s="3" t="s">
        <v>10981</v>
      </c>
    </row>
    <row r="7103">
      <c r="A7103" s="3" t="s">
        <v>20374</v>
      </c>
      <c r="B7103" s="3" t="s">
        <v>6603</v>
      </c>
      <c r="C7103" s="5" t="s">
        <v>206</v>
      </c>
      <c r="D7103" s="3" t="s">
        <v>68</v>
      </c>
      <c r="E7103" s="3" t="s">
        <v>100</v>
      </c>
      <c r="F7103" s="7">
        <v>45886.79549428803</v>
      </c>
      <c r="G7103" s="3" t="s">
        <v>10984</v>
      </c>
    </row>
    <row r="7104">
      <c r="A7104" s="3" t="s">
        <v>20376</v>
      </c>
      <c r="B7104" s="3" t="s">
        <v>6606</v>
      </c>
      <c r="C7104" s="5" t="s">
        <v>45</v>
      </c>
      <c r="D7104" s="3" t="s">
        <v>221</v>
      </c>
      <c r="E7104" s="3" t="s">
        <v>442</v>
      </c>
      <c r="F7104" s="7">
        <v>45886.85625246678</v>
      </c>
      <c r="G7104" s="3" t="s">
        <v>3511</v>
      </c>
    </row>
    <row r="7105">
      <c r="A7105" s="3" t="s">
        <v>20378</v>
      </c>
      <c r="B7105" s="3" t="s">
        <v>6606</v>
      </c>
      <c r="C7105" s="5" t="s">
        <v>221</v>
      </c>
      <c r="D7105" s="3" t="s">
        <v>614</v>
      </c>
      <c r="E7105" s="3" t="s">
        <v>118</v>
      </c>
      <c r="F7105" s="7">
        <v>45886.859724689</v>
      </c>
      <c r="G7105" s="3" t="s">
        <v>3514</v>
      </c>
    </row>
    <row r="7106">
      <c r="A7106" s="3" t="s">
        <v>20380</v>
      </c>
      <c r="B7106" s="3" t="s">
        <v>6606</v>
      </c>
      <c r="C7106" s="5" t="s">
        <v>614</v>
      </c>
      <c r="D7106" s="3" t="s">
        <v>206</v>
      </c>
      <c r="E7106" s="3" t="s">
        <v>100</v>
      </c>
      <c r="F7106" s="7">
        <v>45886.863196911225</v>
      </c>
      <c r="G7106" s="3" t="s">
        <v>3517</v>
      </c>
    </row>
    <row r="7107">
      <c r="A7107" s="3" t="s">
        <v>20382</v>
      </c>
      <c r="B7107" s="3" t="s">
        <v>6606</v>
      </c>
      <c r="C7107" s="5" t="s">
        <v>206</v>
      </c>
      <c r="D7107" s="3" t="s">
        <v>68</v>
      </c>
      <c r="E7107" s="3" t="s">
        <v>100</v>
      </c>
      <c r="F7107" s="7">
        <v>45886.866669133444</v>
      </c>
      <c r="G7107" s="3" t="s">
        <v>3520</v>
      </c>
    </row>
    <row r="7108">
      <c r="A7108" s="3" t="s">
        <v>20383</v>
      </c>
      <c r="B7108" s="3" t="s">
        <v>6610</v>
      </c>
      <c r="C7108" s="5" t="s">
        <v>45</v>
      </c>
      <c r="D7108" s="3" t="s">
        <v>221</v>
      </c>
      <c r="E7108" s="3" t="s">
        <v>316</v>
      </c>
      <c r="F7108" s="7">
        <v>45886.92742731219</v>
      </c>
      <c r="G7108" s="3" t="s">
        <v>12238</v>
      </c>
    </row>
    <row r="7109">
      <c r="A7109" s="3" t="s">
        <v>20385</v>
      </c>
      <c r="B7109" s="3" t="s">
        <v>6610</v>
      </c>
      <c r="C7109" s="5" t="s">
        <v>221</v>
      </c>
      <c r="D7109" s="3" t="s">
        <v>614</v>
      </c>
      <c r="E7109" s="3" t="s">
        <v>118</v>
      </c>
      <c r="F7109" s="7">
        <v>45886.93089953441</v>
      </c>
      <c r="G7109" s="3" t="s">
        <v>12242</v>
      </c>
    </row>
    <row r="7110">
      <c r="A7110" s="3" t="s">
        <v>20387</v>
      </c>
      <c r="B7110" s="3" t="s">
        <v>6610</v>
      </c>
      <c r="C7110" s="5" t="s">
        <v>614</v>
      </c>
      <c r="D7110" s="3" t="s">
        <v>206</v>
      </c>
      <c r="E7110" s="3" t="s">
        <v>100</v>
      </c>
      <c r="F7110" s="7">
        <v>45886.93437175664</v>
      </c>
      <c r="G7110" s="3" t="s">
        <v>12245</v>
      </c>
    </row>
    <row r="7111">
      <c r="A7111" s="3" t="s">
        <v>20389</v>
      </c>
      <c r="B7111" s="3" t="s">
        <v>6610</v>
      </c>
      <c r="C7111" s="5" t="s">
        <v>206</v>
      </c>
      <c r="D7111" s="3" t="s">
        <v>68</v>
      </c>
      <c r="E7111" s="3" t="s">
        <v>100</v>
      </c>
      <c r="F7111" s="7">
        <v>45886.937843978856</v>
      </c>
      <c r="G7111" s="3" t="s">
        <v>12248</v>
      </c>
    </row>
    <row r="7112">
      <c r="A7112" s="3" t="s">
        <v>20391</v>
      </c>
      <c r="B7112" s="3" t="s">
        <v>6613</v>
      </c>
      <c r="C7112" s="5" t="s">
        <v>45</v>
      </c>
      <c r="D7112" s="3" t="s">
        <v>221</v>
      </c>
      <c r="E7112" s="3" t="s">
        <v>789</v>
      </c>
      <c r="F7112" s="7">
        <v>45886.99860215761</v>
      </c>
      <c r="G7112" s="3" t="s">
        <v>2770</v>
      </c>
    </row>
    <row r="7113">
      <c r="A7113" s="3" t="s">
        <v>20393</v>
      </c>
      <c r="B7113" s="3" t="s">
        <v>6613</v>
      </c>
      <c r="C7113" s="5" t="s">
        <v>221</v>
      </c>
      <c r="D7113" s="3" t="s">
        <v>181</v>
      </c>
      <c r="E7113" s="3" t="s">
        <v>118</v>
      </c>
      <c r="F7113" s="7">
        <v>45887.00207437983</v>
      </c>
      <c r="G7113" s="3" t="s">
        <v>2774</v>
      </c>
    </row>
    <row r="7114">
      <c r="A7114" s="3" t="s">
        <v>20395</v>
      </c>
      <c r="B7114" s="3" t="s">
        <v>6616</v>
      </c>
      <c r="C7114" s="5" t="s">
        <v>45</v>
      </c>
      <c r="D7114" s="3" t="s">
        <v>221</v>
      </c>
      <c r="E7114" s="3" t="s">
        <v>756</v>
      </c>
      <c r="F7114" s="7">
        <v>45887.069777003024</v>
      </c>
      <c r="G7114" s="3" t="s">
        <v>20397</v>
      </c>
    </row>
    <row r="7115">
      <c r="A7115" s="3" t="s">
        <v>20398</v>
      </c>
      <c r="B7115" s="3" t="s">
        <v>6616</v>
      </c>
      <c r="C7115" s="5" t="s">
        <v>221</v>
      </c>
      <c r="D7115" s="3" t="s">
        <v>614</v>
      </c>
      <c r="E7115" s="3" t="s">
        <v>118</v>
      </c>
      <c r="F7115" s="7">
        <v>45887.07324922524</v>
      </c>
      <c r="G7115" s="3" t="s">
        <v>20400</v>
      </c>
    </row>
    <row r="7116">
      <c r="A7116" s="3" t="s">
        <v>20401</v>
      </c>
      <c r="B7116" s="3" t="s">
        <v>6616</v>
      </c>
      <c r="C7116" s="5" t="s">
        <v>614</v>
      </c>
      <c r="D7116" s="3" t="s">
        <v>206</v>
      </c>
      <c r="E7116" s="3" t="s">
        <v>100</v>
      </c>
      <c r="F7116" s="7">
        <v>45887.07672144747</v>
      </c>
      <c r="G7116" s="3" t="s">
        <v>20402</v>
      </c>
    </row>
    <row r="7117">
      <c r="A7117" s="3" t="s">
        <v>20403</v>
      </c>
      <c r="B7117" s="3" t="s">
        <v>6616</v>
      </c>
      <c r="C7117" s="5" t="s">
        <v>206</v>
      </c>
      <c r="D7117" s="3" t="s">
        <v>68</v>
      </c>
      <c r="E7117" s="3" t="s">
        <v>100</v>
      </c>
      <c r="F7117" s="7">
        <v>45887.08019366969</v>
      </c>
      <c r="G7117" s="3" t="s">
        <v>20405</v>
      </c>
    </row>
    <row r="7118">
      <c r="A7118" s="3" t="s">
        <v>20406</v>
      </c>
      <c r="B7118" s="3" t="s">
        <v>6621</v>
      </c>
      <c r="C7118" s="5" t="s">
        <v>45</v>
      </c>
      <c r="D7118" s="3" t="s">
        <v>221</v>
      </c>
      <c r="E7118" s="3" t="s">
        <v>498</v>
      </c>
      <c r="F7118" s="7">
        <v>45887.140951848436</v>
      </c>
      <c r="G7118" s="3" t="s">
        <v>20408</v>
      </c>
    </row>
    <row r="7119">
      <c r="A7119" s="3" t="s">
        <v>20409</v>
      </c>
      <c r="B7119" s="3" t="s">
        <v>6621</v>
      </c>
      <c r="C7119" s="5" t="s">
        <v>221</v>
      </c>
      <c r="D7119" s="3" t="s">
        <v>614</v>
      </c>
      <c r="E7119" s="3" t="s">
        <v>118</v>
      </c>
      <c r="F7119" s="7">
        <v>45887.144424070655</v>
      </c>
      <c r="G7119" s="3" t="s">
        <v>20411</v>
      </c>
    </row>
    <row r="7120">
      <c r="A7120" s="3" t="s">
        <v>20412</v>
      </c>
      <c r="B7120" s="3" t="s">
        <v>6621</v>
      </c>
      <c r="C7120" s="5" t="s">
        <v>614</v>
      </c>
      <c r="D7120" s="3" t="s">
        <v>206</v>
      </c>
      <c r="E7120" s="3" t="s">
        <v>100</v>
      </c>
      <c r="F7120" s="7">
        <v>45887.14789629288</v>
      </c>
      <c r="G7120" s="3" t="s">
        <v>20413</v>
      </c>
    </row>
    <row r="7121">
      <c r="A7121" s="3" t="s">
        <v>20415</v>
      </c>
      <c r="B7121" s="3" t="s">
        <v>6621</v>
      </c>
      <c r="C7121" s="5" t="s">
        <v>206</v>
      </c>
      <c r="D7121" s="3" t="s">
        <v>68</v>
      </c>
      <c r="E7121" s="3" t="s">
        <v>100</v>
      </c>
      <c r="F7121" s="7">
        <v>45887.1513685151</v>
      </c>
      <c r="G7121" s="3" t="s">
        <v>20416</v>
      </c>
    </row>
    <row r="7122">
      <c r="A7122" s="3" t="s">
        <v>20417</v>
      </c>
      <c r="B7122" s="3" t="s">
        <v>6624</v>
      </c>
      <c r="C7122" s="5" t="s">
        <v>45</v>
      </c>
      <c r="D7122" s="3" t="s">
        <v>221</v>
      </c>
      <c r="E7122" s="3" t="s">
        <v>976</v>
      </c>
      <c r="F7122" s="7">
        <v>45887.212126693856</v>
      </c>
      <c r="G7122" s="3" t="s">
        <v>5338</v>
      </c>
    </row>
    <row r="7123">
      <c r="A7123" s="3" t="s">
        <v>20419</v>
      </c>
      <c r="B7123" s="3" t="s">
        <v>6624</v>
      </c>
      <c r="C7123" s="5" t="s">
        <v>221</v>
      </c>
      <c r="D7123" s="3" t="s">
        <v>614</v>
      </c>
      <c r="E7123" s="3" t="s">
        <v>118</v>
      </c>
      <c r="F7123" s="7">
        <v>45887.215598916075</v>
      </c>
      <c r="G7123" s="3" t="s">
        <v>5341</v>
      </c>
    </row>
    <row r="7124">
      <c r="A7124" s="3" t="s">
        <v>20421</v>
      </c>
      <c r="B7124" s="3" t="s">
        <v>6624</v>
      </c>
      <c r="C7124" s="5" t="s">
        <v>614</v>
      </c>
      <c r="D7124" s="3" t="s">
        <v>206</v>
      </c>
      <c r="E7124" s="3" t="s">
        <v>100</v>
      </c>
      <c r="F7124" s="7">
        <v>45887.2190711383</v>
      </c>
      <c r="G7124" s="3" t="s">
        <v>5343</v>
      </c>
    </row>
    <row r="7125">
      <c r="A7125" s="3" t="s">
        <v>20423</v>
      </c>
      <c r="B7125" s="3" t="s">
        <v>6624</v>
      </c>
      <c r="C7125" s="5" t="s">
        <v>206</v>
      </c>
      <c r="D7125" s="3" t="s">
        <v>68</v>
      </c>
      <c r="E7125" s="3" t="s">
        <v>100</v>
      </c>
      <c r="F7125" s="7">
        <v>45887.22254336052</v>
      </c>
      <c r="G7125" s="3" t="s">
        <v>5346</v>
      </c>
    </row>
    <row r="7126">
      <c r="A7126" s="3" t="s">
        <v>20425</v>
      </c>
      <c r="B7126" s="3" t="s">
        <v>6627</v>
      </c>
      <c r="C7126" s="5" t="s">
        <v>45</v>
      </c>
      <c r="D7126" s="3" t="s">
        <v>221</v>
      </c>
      <c r="E7126" s="3" t="s">
        <v>507</v>
      </c>
      <c r="F7126" s="7">
        <v>45887.28330153927</v>
      </c>
      <c r="G7126" s="3" t="s">
        <v>3523</v>
      </c>
    </row>
    <row r="7127">
      <c r="A7127" s="3" t="s">
        <v>20427</v>
      </c>
      <c r="B7127" s="3" t="s">
        <v>6627</v>
      </c>
      <c r="C7127" s="5" t="s">
        <v>221</v>
      </c>
      <c r="D7127" s="3" t="s">
        <v>614</v>
      </c>
      <c r="E7127" s="3" t="s">
        <v>118</v>
      </c>
      <c r="F7127" s="7">
        <v>45887.28677376149</v>
      </c>
      <c r="G7127" s="3" t="s">
        <v>3526</v>
      </c>
    </row>
    <row r="7128">
      <c r="A7128" s="3" t="s">
        <v>20429</v>
      </c>
      <c r="B7128" s="3" t="s">
        <v>6627</v>
      </c>
      <c r="C7128" s="5" t="s">
        <v>614</v>
      </c>
      <c r="D7128" s="3" t="s">
        <v>206</v>
      </c>
      <c r="E7128" s="3" t="s">
        <v>100</v>
      </c>
      <c r="F7128" s="7">
        <v>45887.29024598371</v>
      </c>
      <c r="G7128" s="3" t="s">
        <v>3528</v>
      </c>
    </row>
    <row r="7129">
      <c r="A7129" s="3" t="s">
        <v>20431</v>
      </c>
      <c r="B7129" s="3" t="s">
        <v>6627</v>
      </c>
      <c r="C7129" s="5" t="s">
        <v>206</v>
      </c>
      <c r="D7129" s="3" t="s">
        <v>68</v>
      </c>
      <c r="E7129" s="3" t="s">
        <v>100</v>
      </c>
      <c r="F7129" s="7">
        <v>45887.29371820593</v>
      </c>
      <c r="G7129" s="3" t="s">
        <v>3531</v>
      </c>
    </row>
    <row r="7130">
      <c r="A7130" s="3" t="s">
        <v>20433</v>
      </c>
      <c r="B7130" s="3" t="s">
        <v>6630</v>
      </c>
      <c r="C7130" s="5" t="s">
        <v>45</v>
      </c>
      <c r="D7130" s="3" t="s">
        <v>221</v>
      </c>
      <c r="E7130" s="3" t="s">
        <v>256</v>
      </c>
      <c r="F7130" s="7">
        <v>45887.35447638468</v>
      </c>
      <c r="G7130" s="3" t="s">
        <v>3534</v>
      </c>
    </row>
    <row r="7131">
      <c r="A7131" s="3" t="s">
        <v>20435</v>
      </c>
      <c r="B7131" s="3" t="s">
        <v>6630</v>
      </c>
      <c r="C7131" s="5" t="s">
        <v>221</v>
      </c>
      <c r="D7131" s="3" t="s">
        <v>614</v>
      </c>
      <c r="E7131" s="3" t="s">
        <v>118</v>
      </c>
      <c r="F7131" s="7">
        <v>45887.3579486069</v>
      </c>
      <c r="G7131" s="3" t="s">
        <v>3537</v>
      </c>
    </row>
    <row r="7132">
      <c r="A7132" s="3" t="s">
        <v>20436</v>
      </c>
      <c r="B7132" s="3" t="s">
        <v>6630</v>
      </c>
      <c r="C7132" s="5" t="s">
        <v>614</v>
      </c>
      <c r="D7132" s="3" t="s">
        <v>206</v>
      </c>
      <c r="E7132" s="3" t="s">
        <v>100</v>
      </c>
      <c r="F7132" s="7">
        <v>45887.361420829126</v>
      </c>
      <c r="G7132" s="3" t="s">
        <v>3540</v>
      </c>
    </row>
    <row r="7133">
      <c r="A7133" s="3" t="s">
        <v>20438</v>
      </c>
      <c r="B7133" s="3" t="s">
        <v>6630</v>
      </c>
      <c r="C7133" s="5" t="s">
        <v>206</v>
      </c>
      <c r="D7133" s="3" t="s">
        <v>68</v>
      </c>
      <c r="E7133" s="3" t="s">
        <v>100</v>
      </c>
      <c r="F7133" s="7">
        <v>45887.364893051345</v>
      </c>
      <c r="G7133" s="3" t="s">
        <v>3543</v>
      </c>
    </row>
    <row r="7134">
      <c r="A7134" s="3" t="s">
        <v>20440</v>
      </c>
      <c r="B7134" s="3" t="s">
        <v>6633</v>
      </c>
      <c r="C7134" s="5" t="s">
        <v>45</v>
      </c>
      <c r="D7134" s="3" t="s">
        <v>221</v>
      </c>
      <c r="E7134" s="3" t="s">
        <v>622</v>
      </c>
      <c r="F7134" s="7">
        <v>45887.4256512301</v>
      </c>
      <c r="G7134" s="3" t="s">
        <v>20442</v>
      </c>
    </row>
    <row r="7135">
      <c r="A7135" s="3" t="s">
        <v>20443</v>
      </c>
      <c r="B7135" s="3" t="s">
        <v>6633</v>
      </c>
      <c r="C7135" s="5" t="s">
        <v>221</v>
      </c>
      <c r="D7135" s="3" t="s">
        <v>614</v>
      </c>
      <c r="E7135" s="3" t="s">
        <v>118</v>
      </c>
      <c r="F7135" s="7">
        <v>45887.42912345232</v>
      </c>
      <c r="G7135" s="3" t="s">
        <v>20445</v>
      </c>
    </row>
    <row r="7136">
      <c r="A7136" s="3" t="s">
        <v>20446</v>
      </c>
      <c r="B7136" s="3" t="s">
        <v>6633</v>
      </c>
      <c r="C7136" s="5" t="s">
        <v>614</v>
      </c>
      <c r="D7136" s="3" t="s">
        <v>206</v>
      </c>
      <c r="E7136" s="3" t="s">
        <v>100</v>
      </c>
      <c r="F7136" s="7">
        <v>45887.432595674545</v>
      </c>
      <c r="G7136" s="3" t="s">
        <v>20448</v>
      </c>
    </row>
    <row r="7137">
      <c r="A7137" s="3" t="s">
        <v>20449</v>
      </c>
      <c r="B7137" s="3" t="s">
        <v>6633</v>
      </c>
      <c r="C7137" s="5" t="s">
        <v>206</v>
      </c>
      <c r="D7137" s="3" t="s">
        <v>68</v>
      </c>
      <c r="E7137" s="3" t="s">
        <v>100</v>
      </c>
      <c r="F7137" s="7">
        <v>45887.436067896764</v>
      </c>
      <c r="G7137" s="3" t="s">
        <v>20450</v>
      </c>
    </row>
    <row r="7138">
      <c r="A7138" s="3" t="s">
        <v>20451</v>
      </c>
      <c r="B7138" s="3" t="s">
        <v>6636</v>
      </c>
      <c r="C7138" s="5" t="s">
        <v>45</v>
      </c>
      <c r="D7138" s="3" t="s">
        <v>221</v>
      </c>
      <c r="E7138" s="3" t="s">
        <v>211</v>
      </c>
      <c r="F7138" s="7">
        <v>45887.49682607551</v>
      </c>
      <c r="G7138" s="3" t="s">
        <v>20453</v>
      </c>
    </row>
    <row r="7139">
      <c r="A7139" s="3" t="s">
        <v>20455</v>
      </c>
      <c r="B7139" s="3" t="s">
        <v>6636</v>
      </c>
      <c r="C7139" s="5" t="s">
        <v>221</v>
      </c>
      <c r="D7139" s="3" t="s">
        <v>614</v>
      </c>
      <c r="E7139" s="3" t="s">
        <v>118</v>
      </c>
      <c r="F7139" s="7">
        <v>45887.50029829773</v>
      </c>
      <c r="G7139" s="3" t="s">
        <v>20456</v>
      </c>
    </row>
    <row r="7140">
      <c r="A7140" s="3" t="s">
        <v>20457</v>
      </c>
      <c r="B7140" s="3" t="s">
        <v>6636</v>
      </c>
      <c r="C7140" s="5" t="s">
        <v>614</v>
      </c>
      <c r="D7140" s="3" t="s">
        <v>206</v>
      </c>
      <c r="E7140" s="3" t="s">
        <v>100</v>
      </c>
      <c r="F7140" s="7">
        <v>45887.50377051996</v>
      </c>
      <c r="G7140" s="3" t="s">
        <v>20458</v>
      </c>
    </row>
    <row r="7141">
      <c r="A7141" s="3" t="s">
        <v>20460</v>
      </c>
      <c r="B7141" s="3" t="s">
        <v>6636</v>
      </c>
      <c r="C7141" s="5" t="s">
        <v>206</v>
      </c>
      <c r="D7141" s="3" t="s">
        <v>68</v>
      </c>
      <c r="E7141" s="3" t="s">
        <v>100</v>
      </c>
      <c r="F7141" s="7">
        <v>45887.50724274218</v>
      </c>
      <c r="G7141" s="3" t="s">
        <v>20461</v>
      </c>
    </row>
    <row r="7142">
      <c r="A7142" s="3" t="s">
        <v>20462</v>
      </c>
      <c r="B7142" s="3" t="s">
        <v>6639</v>
      </c>
      <c r="C7142" s="5" t="s">
        <v>45</v>
      </c>
      <c r="D7142" s="3" t="s">
        <v>221</v>
      </c>
      <c r="E7142" s="3" t="s">
        <v>512</v>
      </c>
      <c r="F7142" s="7">
        <v>45887.568000920925</v>
      </c>
      <c r="G7142" s="3" t="s">
        <v>11640</v>
      </c>
    </row>
    <row r="7143">
      <c r="A7143" s="3" t="s">
        <v>20465</v>
      </c>
      <c r="B7143" s="3" t="s">
        <v>6639</v>
      </c>
      <c r="C7143" s="5" t="s">
        <v>221</v>
      </c>
      <c r="D7143" s="3" t="s">
        <v>614</v>
      </c>
      <c r="E7143" s="3" t="s">
        <v>118</v>
      </c>
      <c r="F7143" s="7">
        <v>45887.57147314314</v>
      </c>
      <c r="G7143" s="3" t="s">
        <v>11643</v>
      </c>
    </row>
    <row r="7144">
      <c r="A7144" s="3" t="s">
        <v>20467</v>
      </c>
      <c r="B7144" s="3" t="s">
        <v>6639</v>
      </c>
      <c r="C7144" s="5" t="s">
        <v>614</v>
      </c>
      <c r="D7144" s="3" t="s">
        <v>206</v>
      </c>
      <c r="E7144" s="3" t="s">
        <v>100</v>
      </c>
      <c r="F7144" s="7">
        <v>45887.57494536537</v>
      </c>
      <c r="G7144" s="3" t="s">
        <v>11647</v>
      </c>
    </row>
    <row r="7145">
      <c r="A7145" s="3" t="s">
        <v>20468</v>
      </c>
      <c r="B7145" s="3" t="s">
        <v>6639</v>
      </c>
      <c r="C7145" s="5" t="s">
        <v>206</v>
      </c>
      <c r="D7145" s="3" t="s">
        <v>68</v>
      </c>
      <c r="E7145" s="3" t="s">
        <v>100</v>
      </c>
      <c r="F7145" s="7">
        <v>45887.57841758759</v>
      </c>
      <c r="G7145" s="3" t="s">
        <v>11650</v>
      </c>
    </row>
    <row r="7146">
      <c r="A7146" s="3" t="s">
        <v>20470</v>
      </c>
      <c r="B7146" s="3" t="s">
        <v>6643</v>
      </c>
      <c r="C7146" s="5" t="s">
        <v>45</v>
      </c>
      <c r="D7146" s="3" t="s">
        <v>221</v>
      </c>
      <c r="E7146" s="3" t="s">
        <v>579</v>
      </c>
      <c r="F7146" s="7">
        <v>45887.639175766344</v>
      </c>
      <c r="G7146" s="3" t="s">
        <v>3545</v>
      </c>
    </row>
    <row r="7147">
      <c r="A7147" s="3" t="s">
        <v>20472</v>
      </c>
      <c r="B7147" s="3" t="s">
        <v>6643</v>
      </c>
      <c r="C7147" s="5" t="s">
        <v>221</v>
      </c>
      <c r="D7147" s="3" t="s">
        <v>614</v>
      </c>
      <c r="E7147" s="3" t="s">
        <v>118</v>
      </c>
      <c r="F7147" s="7">
        <v>45887.64264798856</v>
      </c>
      <c r="G7147" s="3" t="s">
        <v>3548</v>
      </c>
    </row>
    <row r="7148">
      <c r="A7148" s="3" t="s">
        <v>20474</v>
      </c>
      <c r="B7148" s="3" t="s">
        <v>6643</v>
      </c>
      <c r="C7148" s="5" t="s">
        <v>614</v>
      </c>
      <c r="D7148" s="3" t="s">
        <v>206</v>
      </c>
      <c r="E7148" s="3" t="s">
        <v>100</v>
      </c>
      <c r="F7148" s="7">
        <v>45887.64612021079</v>
      </c>
      <c r="G7148" s="3" t="s">
        <v>3551</v>
      </c>
    </row>
    <row r="7149">
      <c r="A7149" s="3" t="s">
        <v>20476</v>
      </c>
      <c r="B7149" s="3" t="s">
        <v>6643</v>
      </c>
      <c r="C7149" s="5" t="s">
        <v>206</v>
      </c>
      <c r="D7149" s="3" t="s">
        <v>68</v>
      </c>
      <c r="E7149" s="3" t="s">
        <v>100</v>
      </c>
      <c r="F7149" s="7">
        <v>45887.64959243301</v>
      </c>
      <c r="G7149" s="3" t="s">
        <v>3554</v>
      </c>
    </row>
    <row r="7150">
      <c r="A7150" s="3" t="s">
        <v>20478</v>
      </c>
      <c r="B7150" s="3" t="s">
        <v>6647</v>
      </c>
      <c r="C7150" s="5" t="s">
        <v>45</v>
      </c>
      <c r="D7150" s="3" t="s">
        <v>221</v>
      </c>
      <c r="E7150" s="3" t="s">
        <v>586</v>
      </c>
      <c r="F7150" s="7">
        <v>45887.710350611764</v>
      </c>
      <c r="G7150" s="3" t="s">
        <v>20479</v>
      </c>
    </row>
    <row r="7151">
      <c r="A7151" s="3" t="s">
        <v>20481</v>
      </c>
      <c r="B7151" s="3" t="s">
        <v>6647</v>
      </c>
      <c r="C7151" s="5" t="s">
        <v>221</v>
      </c>
      <c r="D7151" s="3" t="s">
        <v>614</v>
      </c>
      <c r="E7151" s="3" t="s">
        <v>118</v>
      </c>
      <c r="F7151" s="7">
        <v>45887.71382283398</v>
      </c>
      <c r="G7151" s="3" t="s">
        <v>20482</v>
      </c>
    </row>
    <row r="7152">
      <c r="A7152" s="3" t="s">
        <v>20484</v>
      </c>
      <c r="B7152" s="3" t="s">
        <v>6647</v>
      </c>
      <c r="C7152" s="5" t="s">
        <v>614</v>
      </c>
      <c r="D7152" s="3" t="s">
        <v>206</v>
      </c>
      <c r="E7152" s="3" t="s">
        <v>100</v>
      </c>
      <c r="F7152" s="7">
        <v>45887.71729505621</v>
      </c>
      <c r="G7152" s="3" t="s">
        <v>20485</v>
      </c>
    </row>
    <row r="7153">
      <c r="A7153" s="3" t="s">
        <v>20486</v>
      </c>
      <c r="B7153" s="3" t="s">
        <v>6647</v>
      </c>
      <c r="C7153" s="5" t="s">
        <v>206</v>
      </c>
      <c r="D7153" s="3" t="s">
        <v>68</v>
      </c>
      <c r="E7153" s="3" t="s">
        <v>100</v>
      </c>
      <c r="F7153" s="7">
        <v>45887.72076727843</v>
      </c>
      <c r="G7153" s="3" t="s">
        <v>20488</v>
      </c>
    </row>
    <row r="7154">
      <c r="A7154" s="3" t="s">
        <v>20489</v>
      </c>
      <c r="B7154" s="3" t="s">
        <v>6649</v>
      </c>
      <c r="C7154" s="5" t="s">
        <v>45</v>
      </c>
      <c r="D7154" s="3" t="s">
        <v>221</v>
      </c>
      <c r="E7154" s="3" t="s">
        <v>501</v>
      </c>
      <c r="F7154" s="7">
        <v>45887.78152545717</v>
      </c>
      <c r="G7154" s="3" t="s">
        <v>20491</v>
      </c>
    </row>
    <row r="7155">
      <c r="A7155" s="3" t="s">
        <v>20492</v>
      </c>
      <c r="B7155" s="3" t="s">
        <v>6649</v>
      </c>
      <c r="C7155" s="5" t="s">
        <v>221</v>
      </c>
      <c r="D7155" s="3" t="s">
        <v>614</v>
      </c>
      <c r="E7155" s="3" t="s">
        <v>118</v>
      </c>
      <c r="F7155" s="7">
        <v>45887.78499767939</v>
      </c>
      <c r="G7155" s="3" t="s">
        <v>20494</v>
      </c>
    </row>
    <row r="7156">
      <c r="A7156" s="3" t="s">
        <v>20495</v>
      </c>
      <c r="B7156" s="3" t="s">
        <v>6649</v>
      </c>
      <c r="C7156" s="5" t="s">
        <v>614</v>
      </c>
      <c r="D7156" s="3" t="s">
        <v>206</v>
      </c>
      <c r="E7156" s="3" t="s">
        <v>100</v>
      </c>
      <c r="F7156" s="7">
        <v>45887.788469901614</v>
      </c>
      <c r="G7156" s="3" t="s">
        <v>20497</v>
      </c>
    </row>
    <row r="7157">
      <c r="A7157" s="3" t="s">
        <v>20498</v>
      </c>
      <c r="B7157" s="3" t="s">
        <v>6649</v>
      </c>
      <c r="C7157" s="5" t="s">
        <v>206</v>
      </c>
      <c r="D7157" s="3" t="s">
        <v>68</v>
      </c>
      <c r="E7157" s="3" t="s">
        <v>100</v>
      </c>
      <c r="F7157" s="7">
        <v>45887.79194212383</v>
      </c>
      <c r="G7157" s="3" t="s">
        <v>20499</v>
      </c>
    </row>
    <row r="7158">
      <c r="A7158" s="3" t="s">
        <v>20500</v>
      </c>
      <c r="B7158" s="3" t="s">
        <v>6651</v>
      </c>
      <c r="C7158" s="5" t="s">
        <v>45</v>
      </c>
      <c r="D7158" s="3" t="s">
        <v>221</v>
      </c>
      <c r="E7158" s="3" t="s">
        <v>239</v>
      </c>
      <c r="F7158" s="7">
        <v>45887.85270030259</v>
      </c>
      <c r="G7158" s="3" t="s">
        <v>3557</v>
      </c>
    </row>
    <row r="7159">
      <c r="A7159" s="3" t="s">
        <v>20502</v>
      </c>
      <c r="B7159" s="3" t="s">
        <v>6651</v>
      </c>
      <c r="C7159" s="5" t="s">
        <v>221</v>
      </c>
      <c r="D7159" s="3" t="s">
        <v>614</v>
      </c>
      <c r="E7159" s="3" t="s">
        <v>118</v>
      </c>
      <c r="F7159" s="7">
        <v>45887.85617252481</v>
      </c>
      <c r="G7159" s="3" t="s">
        <v>3562</v>
      </c>
    </row>
    <row r="7160">
      <c r="A7160" s="3" t="s">
        <v>20504</v>
      </c>
      <c r="B7160" s="3" t="s">
        <v>6651</v>
      </c>
      <c r="C7160" s="5" t="s">
        <v>614</v>
      </c>
      <c r="D7160" s="3" t="s">
        <v>206</v>
      </c>
      <c r="E7160" s="3" t="s">
        <v>100</v>
      </c>
      <c r="F7160" s="7">
        <v>45887.85964474703</v>
      </c>
      <c r="G7160" s="3" t="s">
        <v>3564</v>
      </c>
    </row>
    <row r="7161">
      <c r="A7161" s="3" t="s">
        <v>20506</v>
      </c>
      <c r="B7161" s="3" t="s">
        <v>6651</v>
      </c>
      <c r="C7161" s="5" t="s">
        <v>206</v>
      </c>
      <c r="D7161" s="3" t="s">
        <v>68</v>
      </c>
      <c r="E7161" s="3" t="s">
        <v>100</v>
      </c>
      <c r="F7161" s="7">
        <v>45887.86311696925</v>
      </c>
      <c r="G7161" s="3" t="s">
        <v>3567</v>
      </c>
    </row>
    <row r="7162">
      <c r="A7162" s="3" t="s">
        <v>20508</v>
      </c>
      <c r="B7162" s="3" t="s">
        <v>6653</v>
      </c>
      <c r="C7162" s="5" t="s">
        <v>45</v>
      </c>
      <c r="D7162" s="3" t="s">
        <v>221</v>
      </c>
      <c r="E7162" s="3" t="s">
        <v>853</v>
      </c>
      <c r="F7162" s="7">
        <v>45887.92387514801</v>
      </c>
      <c r="G7162" s="3" t="s">
        <v>20510</v>
      </c>
    </row>
    <row r="7163">
      <c r="A7163" s="3" t="s">
        <v>20511</v>
      </c>
      <c r="B7163" s="3" t="s">
        <v>6653</v>
      </c>
      <c r="C7163" s="5" t="s">
        <v>221</v>
      </c>
      <c r="D7163" s="3" t="s">
        <v>614</v>
      </c>
      <c r="E7163" s="3" t="s">
        <v>118</v>
      </c>
      <c r="F7163" s="7">
        <v>45887.92734737023</v>
      </c>
      <c r="G7163" s="3" t="s">
        <v>20513</v>
      </c>
    </row>
    <row r="7164">
      <c r="A7164" s="3" t="s">
        <v>20514</v>
      </c>
      <c r="B7164" s="3" t="s">
        <v>6653</v>
      </c>
      <c r="C7164" s="5" t="s">
        <v>614</v>
      </c>
      <c r="D7164" s="3" t="s">
        <v>206</v>
      </c>
      <c r="E7164" s="3" t="s">
        <v>100</v>
      </c>
      <c r="F7164" s="7">
        <v>45887.93081959245</v>
      </c>
      <c r="G7164" s="3" t="s">
        <v>20516</v>
      </c>
    </row>
    <row r="7165">
      <c r="A7165" s="3" t="s">
        <v>20517</v>
      </c>
      <c r="B7165" s="3" t="s">
        <v>6653</v>
      </c>
      <c r="C7165" s="5" t="s">
        <v>206</v>
      </c>
      <c r="D7165" s="3" t="s">
        <v>68</v>
      </c>
      <c r="E7165" s="3" t="s">
        <v>100</v>
      </c>
      <c r="F7165" s="7">
        <v>45887.93429181467</v>
      </c>
      <c r="G7165" s="3" t="s">
        <v>20519</v>
      </c>
    </row>
    <row r="7166">
      <c r="A7166" s="3" t="s">
        <v>20520</v>
      </c>
      <c r="B7166" s="3" t="s">
        <v>6655</v>
      </c>
      <c r="C7166" s="5" t="s">
        <v>45</v>
      </c>
      <c r="D7166" s="3" t="s">
        <v>221</v>
      </c>
      <c r="E7166" s="3" t="s">
        <v>629</v>
      </c>
      <c r="F7166" s="7">
        <v>45887.99504999342</v>
      </c>
      <c r="G7166" s="3" t="s">
        <v>12226</v>
      </c>
    </row>
    <row r="7167">
      <c r="A7167" s="3" t="s">
        <v>20522</v>
      </c>
      <c r="B7167" s="3" t="s">
        <v>6655</v>
      </c>
      <c r="C7167" s="5" t="s">
        <v>221</v>
      </c>
      <c r="D7167" s="3" t="s">
        <v>614</v>
      </c>
      <c r="E7167" s="3" t="s">
        <v>118</v>
      </c>
      <c r="F7167" s="7">
        <v>45887.99852221564</v>
      </c>
      <c r="G7167" s="3" t="s">
        <v>12229</v>
      </c>
    </row>
    <row r="7168">
      <c r="A7168" s="3" t="s">
        <v>20523</v>
      </c>
      <c r="B7168" s="3" t="s">
        <v>6655</v>
      </c>
      <c r="C7168" s="5" t="s">
        <v>614</v>
      </c>
      <c r="D7168" s="3" t="s">
        <v>206</v>
      </c>
      <c r="E7168" s="3" t="s">
        <v>100</v>
      </c>
      <c r="F7168" s="7">
        <v>45888.001994437866</v>
      </c>
      <c r="G7168" s="3" t="s">
        <v>12232</v>
      </c>
    </row>
    <row r="7169">
      <c r="A7169" s="3" t="s">
        <v>20525</v>
      </c>
      <c r="B7169" s="3" t="s">
        <v>6655</v>
      </c>
      <c r="C7169" s="5" t="s">
        <v>206</v>
      </c>
      <c r="D7169" s="3" t="s">
        <v>68</v>
      </c>
      <c r="E7169" s="3" t="s">
        <v>100</v>
      </c>
      <c r="F7169" s="7">
        <v>45888.005466660084</v>
      </c>
      <c r="G7169" s="3" t="s">
        <v>12235</v>
      </c>
    </row>
    <row r="7170">
      <c r="A7170" s="3" t="s">
        <v>20527</v>
      </c>
      <c r="B7170" s="3" t="s">
        <v>6658</v>
      </c>
      <c r="C7170" s="5" t="s">
        <v>45</v>
      </c>
      <c r="D7170" s="3" t="s">
        <v>221</v>
      </c>
      <c r="E7170" s="3" t="s">
        <v>713</v>
      </c>
      <c r="F7170" s="7">
        <v>45888.06622483883</v>
      </c>
      <c r="G7170" s="3" t="s">
        <v>9616</v>
      </c>
    </row>
    <row r="7171">
      <c r="A7171" s="3" t="s">
        <v>20529</v>
      </c>
      <c r="B7171" s="3" t="s">
        <v>6658</v>
      </c>
      <c r="C7171" s="5" t="s">
        <v>221</v>
      </c>
      <c r="D7171" s="3" t="s">
        <v>181</v>
      </c>
      <c r="E7171" s="3" t="s">
        <v>118</v>
      </c>
      <c r="F7171" s="7">
        <v>45888.06969706105</v>
      </c>
      <c r="G7171" s="3" t="s">
        <v>13357</v>
      </c>
    </row>
    <row r="7172">
      <c r="A7172" s="3" t="s">
        <v>20531</v>
      </c>
      <c r="B7172" s="3" t="s">
        <v>6661</v>
      </c>
      <c r="C7172" s="5" t="s">
        <v>45</v>
      </c>
      <c r="D7172" s="3" t="s">
        <v>221</v>
      </c>
      <c r="E7172" s="3" t="s">
        <v>383</v>
      </c>
      <c r="F7172" s="7">
        <v>45888.13739968425</v>
      </c>
      <c r="G7172" s="3" t="s">
        <v>3570</v>
      </c>
    </row>
    <row r="7173">
      <c r="A7173" s="3" t="s">
        <v>20533</v>
      </c>
      <c r="B7173" s="3" t="s">
        <v>6661</v>
      </c>
      <c r="C7173" s="5" t="s">
        <v>221</v>
      </c>
      <c r="D7173" s="3" t="s">
        <v>614</v>
      </c>
      <c r="E7173" s="3" t="s">
        <v>118</v>
      </c>
      <c r="F7173" s="7">
        <v>45888.14087190647</v>
      </c>
      <c r="G7173" s="3" t="s">
        <v>3573</v>
      </c>
    </row>
    <row r="7174">
      <c r="A7174" s="3" t="s">
        <v>20535</v>
      </c>
      <c r="B7174" s="3" t="s">
        <v>6661</v>
      </c>
      <c r="C7174" s="5" t="s">
        <v>614</v>
      </c>
      <c r="D7174" s="3" t="s">
        <v>206</v>
      </c>
      <c r="E7174" s="3" t="s">
        <v>100</v>
      </c>
      <c r="F7174" s="7">
        <v>45888.1443441287</v>
      </c>
      <c r="G7174" s="3" t="s">
        <v>3576</v>
      </c>
    </row>
    <row r="7175">
      <c r="A7175" s="3" t="s">
        <v>20537</v>
      </c>
      <c r="B7175" s="3" t="s">
        <v>6661</v>
      </c>
      <c r="C7175" s="5" t="s">
        <v>206</v>
      </c>
      <c r="D7175" s="3" t="s">
        <v>68</v>
      </c>
      <c r="E7175" s="3" t="s">
        <v>100</v>
      </c>
      <c r="F7175" s="7">
        <v>45888.14781635092</v>
      </c>
      <c r="G7175" s="3" t="s">
        <v>3579</v>
      </c>
    </row>
    <row r="7176">
      <c r="A7176" s="3" t="s">
        <v>20539</v>
      </c>
      <c r="B7176" s="3" t="s">
        <v>6665</v>
      </c>
      <c r="C7176" s="5" t="s">
        <v>45</v>
      </c>
      <c r="D7176" s="3" t="s">
        <v>221</v>
      </c>
      <c r="E7176" s="3" t="s">
        <v>922</v>
      </c>
      <c r="F7176" s="7">
        <v>45888.208574529664</v>
      </c>
      <c r="G7176" s="3" t="s">
        <v>3594</v>
      </c>
    </row>
    <row r="7177">
      <c r="A7177" s="3" t="s">
        <v>20541</v>
      </c>
      <c r="B7177" s="3" t="s">
        <v>6665</v>
      </c>
      <c r="C7177" s="5" t="s">
        <v>221</v>
      </c>
      <c r="D7177" s="3" t="s">
        <v>614</v>
      </c>
      <c r="E7177" s="3" t="s">
        <v>118</v>
      </c>
      <c r="F7177" s="7">
        <v>45888.21204675188</v>
      </c>
      <c r="G7177" s="3" t="s">
        <v>3597</v>
      </c>
    </row>
    <row r="7178">
      <c r="A7178" s="3" t="s">
        <v>20542</v>
      </c>
      <c r="B7178" s="3" t="s">
        <v>6665</v>
      </c>
      <c r="C7178" s="5" t="s">
        <v>614</v>
      </c>
      <c r="D7178" s="3" t="s">
        <v>206</v>
      </c>
      <c r="E7178" s="3" t="s">
        <v>100</v>
      </c>
      <c r="F7178" s="7">
        <v>45888.21551897411</v>
      </c>
      <c r="G7178" s="3" t="s">
        <v>3600</v>
      </c>
    </row>
    <row r="7179">
      <c r="A7179" s="3" t="s">
        <v>20544</v>
      </c>
      <c r="B7179" s="3" t="s">
        <v>6665</v>
      </c>
      <c r="C7179" s="5" t="s">
        <v>206</v>
      </c>
      <c r="D7179" s="3" t="s">
        <v>68</v>
      </c>
      <c r="E7179" s="3" t="s">
        <v>100</v>
      </c>
      <c r="F7179" s="7">
        <v>45888.21899119633</v>
      </c>
      <c r="G7179" s="3" t="s">
        <v>3603</v>
      </c>
    </row>
    <row r="7180">
      <c r="A7180" s="3" t="s">
        <v>20546</v>
      </c>
      <c r="B7180" s="3" t="s">
        <v>6669</v>
      </c>
      <c r="C7180" s="5" t="s">
        <v>45</v>
      </c>
      <c r="D7180" s="3" t="s">
        <v>221</v>
      </c>
      <c r="E7180" s="3" t="s">
        <v>816</v>
      </c>
      <c r="F7180" s="7">
        <v>45888.27974937508</v>
      </c>
      <c r="G7180" s="3" t="s">
        <v>10467</v>
      </c>
    </row>
    <row r="7181">
      <c r="A7181" s="3" t="s">
        <v>20548</v>
      </c>
      <c r="B7181" s="3" t="s">
        <v>6669</v>
      </c>
      <c r="C7181" s="5" t="s">
        <v>221</v>
      </c>
      <c r="D7181" s="3" t="s">
        <v>181</v>
      </c>
      <c r="E7181" s="3" t="s">
        <v>118</v>
      </c>
      <c r="F7181" s="7">
        <v>45888.283221597296</v>
      </c>
      <c r="G7181" s="3" t="s">
        <v>20550</v>
      </c>
    </row>
    <row r="7182">
      <c r="A7182" s="3" t="s">
        <v>20551</v>
      </c>
      <c r="B7182" s="3" t="s">
        <v>6672</v>
      </c>
      <c r="C7182" s="5" t="s">
        <v>45</v>
      </c>
      <c r="D7182" s="3" t="s">
        <v>221</v>
      </c>
      <c r="E7182" s="3" t="s">
        <v>179</v>
      </c>
      <c r="F7182" s="7">
        <v>45888.3509242205</v>
      </c>
      <c r="G7182" s="3" t="s">
        <v>3605</v>
      </c>
    </row>
    <row r="7183">
      <c r="A7183" s="3" t="s">
        <v>20553</v>
      </c>
      <c r="B7183" s="3" t="s">
        <v>6672</v>
      </c>
      <c r="C7183" s="5" t="s">
        <v>221</v>
      </c>
      <c r="D7183" s="3" t="s">
        <v>614</v>
      </c>
      <c r="E7183" s="3" t="s">
        <v>118</v>
      </c>
      <c r="F7183" s="7">
        <v>45888.354396442715</v>
      </c>
      <c r="G7183" s="3" t="s">
        <v>3608</v>
      </c>
    </row>
    <row r="7184">
      <c r="A7184" s="3" t="s">
        <v>20555</v>
      </c>
      <c r="B7184" s="3" t="s">
        <v>6672</v>
      </c>
      <c r="C7184" s="5" t="s">
        <v>614</v>
      </c>
      <c r="D7184" s="3" t="s">
        <v>206</v>
      </c>
      <c r="E7184" s="3" t="s">
        <v>100</v>
      </c>
      <c r="F7184" s="7">
        <v>45888.35786866494</v>
      </c>
      <c r="G7184" s="3" t="s">
        <v>3611</v>
      </c>
    </row>
    <row r="7185">
      <c r="A7185" s="3" t="s">
        <v>20557</v>
      </c>
      <c r="B7185" s="3" t="s">
        <v>6672</v>
      </c>
      <c r="C7185" s="5" t="s">
        <v>206</v>
      </c>
      <c r="D7185" s="3" t="s">
        <v>68</v>
      </c>
      <c r="E7185" s="3" t="s">
        <v>100</v>
      </c>
      <c r="F7185" s="7">
        <v>45888.36134088716</v>
      </c>
      <c r="G7185" s="3" t="s">
        <v>3614</v>
      </c>
    </row>
    <row r="7186">
      <c r="A7186" s="3" t="s">
        <v>20559</v>
      </c>
      <c r="B7186" s="3" t="s">
        <v>6675</v>
      </c>
      <c r="C7186" s="5" t="s">
        <v>45</v>
      </c>
      <c r="D7186" s="3" t="s">
        <v>221</v>
      </c>
      <c r="E7186" s="3" t="s">
        <v>830</v>
      </c>
      <c r="F7186" s="7">
        <v>45888.422099065916</v>
      </c>
      <c r="G7186" s="3" t="s">
        <v>17503</v>
      </c>
    </row>
    <row r="7187">
      <c r="A7187" s="3" t="s">
        <v>20561</v>
      </c>
      <c r="B7187" s="3" t="s">
        <v>6675</v>
      </c>
      <c r="C7187" s="5" t="s">
        <v>221</v>
      </c>
      <c r="D7187" s="3" t="s">
        <v>614</v>
      </c>
      <c r="E7187" s="3" t="s">
        <v>118</v>
      </c>
      <c r="F7187" s="7">
        <v>45888.425571288135</v>
      </c>
      <c r="G7187" s="3" t="s">
        <v>17506</v>
      </c>
    </row>
    <row r="7188">
      <c r="A7188" s="3" t="s">
        <v>20562</v>
      </c>
      <c r="B7188" s="3" t="s">
        <v>6675</v>
      </c>
      <c r="C7188" s="5" t="s">
        <v>614</v>
      </c>
      <c r="D7188" s="3" t="s">
        <v>206</v>
      </c>
      <c r="E7188" s="3" t="s">
        <v>100</v>
      </c>
      <c r="F7188" s="7">
        <v>45888.42904351036</v>
      </c>
      <c r="G7188" s="3" t="s">
        <v>17509</v>
      </c>
    </row>
    <row r="7189">
      <c r="A7189" s="3" t="s">
        <v>20564</v>
      </c>
      <c r="B7189" s="3" t="s">
        <v>6675</v>
      </c>
      <c r="C7189" s="5" t="s">
        <v>206</v>
      </c>
      <c r="D7189" s="3" t="s">
        <v>68</v>
      </c>
      <c r="E7189" s="3" t="s">
        <v>100</v>
      </c>
      <c r="F7189" s="7">
        <v>45888.43251573258</v>
      </c>
      <c r="G7189" s="3" t="s">
        <v>17511</v>
      </c>
    </row>
    <row r="7190">
      <c r="A7190" s="3" t="s">
        <v>20566</v>
      </c>
      <c r="B7190" s="3" t="s">
        <v>6678</v>
      </c>
      <c r="C7190" s="5" t="s">
        <v>45</v>
      </c>
      <c r="D7190" s="3" t="s">
        <v>221</v>
      </c>
      <c r="E7190" s="3" t="s">
        <v>168</v>
      </c>
      <c r="F7190" s="7">
        <v>45888.49327391132</v>
      </c>
      <c r="G7190" s="3" t="s">
        <v>3632</v>
      </c>
    </row>
    <row r="7191">
      <c r="A7191" s="3" t="s">
        <v>20568</v>
      </c>
      <c r="B7191" s="3" t="s">
        <v>6678</v>
      </c>
      <c r="C7191" s="5" t="s">
        <v>221</v>
      </c>
      <c r="D7191" s="3" t="s">
        <v>614</v>
      </c>
      <c r="E7191" s="3" t="s">
        <v>118</v>
      </c>
      <c r="F7191" s="7">
        <v>45888.49674613354</v>
      </c>
      <c r="G7191" s="3" t="s">
        <v>3635</v>
      </c>
    </row>
    <row r="7192">
      <c r="A7192" s="3" t="s">
        <v>20570</v>
      </c>
      <c r="B7192" s="3" t="s">
        <v>6678</v>
      </c>
      <c r="C7192" s="5" t="s">
        <v>614</v>
      </c>
      <c r="D7192" s="3" t="s">
        <v>206</v>
      </c>
      <c r="E7192" s="3" t="s">
        <v>100</v>
      </c>
      <c r="F7192" s="7">
        <v>45888.500218355766</v>
      </c>
      <c r="G7192" s="3" t="s">
        <v>3638</v>
      </c>
    </row>
    <row r="7193">
      <c r="A7193" s="3" t="s">
        <v>20572</v>
      </c>
      <c r="B7193" s="3" t="s">
        <v>6678</v>
      </c>
      <c r="C7193" s="5" t="s">
        <v>206</v>
      </c>
      <c r="D7193" s="3" t="s">
        <v>68</v>
      </c>
      <c r="E7193" s="3" t="s">
        <v>100</v>
      </c>
      <c r="F7193" s="7">
        <v>45888.503690577985</v>
      </c>
      <c r="G7193" s="3" t="s">
        <v>3641</v>
      </c>
    </row>
    <row r="7194">
      <c r="A7194" s="3" t="s">
        <v>20573</v>
      </c>
      <c r="B7194" s="3" t="s">
        <v>6682</v>
      </c>
      <c r="C7194" s="5" t="s">
        <v>45</v>
      </c>
      <c r="D7194" s="3" t="s">
        <v>221</v>
      </c>
      <c r="E7194" s="3" t="s">
        <v>313</v>
      </c>
      <c r="F7194" s="7">
        <v>45888.56444875674</v>
      </c>
      <c r="G7194" s="3" t="s">
        <v>20575</v>
      </c>
    </row>
    <row r="7195">
      <c r="A7195" s="3" t="s">
        <v>20576</v>
      </c>
      <c r="B7195" s="3" t="s">
        <v>6682</v>
      </c>
      <c r="C7195" s="5" t="s">
        <v>221</v>
      </c>
      <c r="D7195" s="3" t="s">
        <v>614</v>
      </c>
      <c r="E7195" s="3" t="s">
        <v>118</v>
      </c>
      <c r="F7195" s="7">
        <v>45888.56792097896</v>
      </c>
      <c r="G7195" s="3" t="s">
        <v>20578</v>
      </c>
    </row>
    <row r="7196">
      <c r="A7196" s="3" t="s">
        <v>20579</v>
      </c>
      <c r="B7196" s="3" t="s">
        <v>6682</v>
      </c>
      <c r="C7196" s="5" t="s">
        <v>614</v>
      </c>
      <c r="D7196" s="3" t="s">
        <v>206</v>
      </c>
      <c r="E7196" s="3" t="s">
        <v>100</v>
      </c>
      <c r="F7196" s="7">
        <v>45888.571393201186</v>
      </c>
      <c r="G7196" s="3" t="s">
        <v>20581</v>
      </c>
    </row>
    <row r="7197">
      <c r="A7197" s="3" t="s">
        <v>20582</v>
      </c>
      <c r="B7197" s="3" t="s">
        <v>6682</v>
      </c>
      <c r="C7197" s="5" t="s">
        <v>206</v>
      </c>
      <c r="D7197" s="3" t="s">
        <v>68</v>
      </c>
      <c r="E7197" s="3" t="s">
        <v>100</v>
      </c>
      <c r="F7197" s="7">
        <v>45888.574865423405</v>
      </c>
      <c r="G7197" s="3" t="s">
        <v>20583</v>
      </c>
    </row>
    <row r="7198">
      <c r="A7198" s="3" t="s">
        <v>20584</v>
      </c>
      <c r="B7198" s="3" t="s">
        <v>6685</v>
      </c>
      <c r="C7198" s="5" t="s">
        <v>45</v>
      </c>
      <c r="D7198" s="3" t="s">
        <v>221</v>
      </c>
      <c r="E7198" s="3" t="s">
        <v>643</v>
      </c>
      <c r="F7198" s="7">
        <v>45888.63562360215</v>
      </c>
      <c r="G7198" s="3" t="s">
        <v>5938</v>
      </c>
    </row>
    <row r="7199">
      <c r="A7199" s="3" t="s">
        <v>20586</v>
      </c>
      <c r="B7199" s="3" t="s">
        <v>6685</v>
      </c>
      <c r="C7199" s="5" t="s">
        <v>221</v>
      </c>
      <c r="D7199" s="3" t="s">
        <v>614</v>
      </c>
      <c r="E7199" s="3" t="s">
        <v>118</v>
      </c>
      <c r="F7199" s="7">
        <v>45888.63909582437</v>
      </c>
      <c r="G7199" s="3" t="s">
        <v>5941</v>
      </c>
    </row>
    <row r="7200">
      <c r="A7200" s="3" t="s">
        <v>20588</v>
      </c>
      <c r="B7200" s="3" t="s">
        <v>6685</v>
      </c>
      <c r="C7200" s="5" t="s">
        <v>614</v>
      </c>
      <c r="D7200" s="3" t="s">
        <v>206</v>
      </c>
      <c r="E7200" s="3" t="s">
        <v>100</v>
      </c>
      <c r="F7200" s="7">
        <v>45888.6425680466</v>
      </c>
      <c r="G7200" s="3" t="s">
        <v>5944</v>
      </c>
    </row>
    <row r="7201">
      <c r="A7201" s="3" t="s">
        <v>20590</v>
      </c>
      <c r="B7201" s="3" t="s">
        <v>6685</v>
      </c>
      <c r="C7201" s="5" t="s">
        <v>206</v>
      </c>
      <c r="D7201" s="3" t="s">
        <v>68</v>
      </c>
      <c r="E7201" s="3" t="s">
        <v>100</v>
      </c>
      <c r="F7201" s="7">
        <v>45888.64604026882</v>
      </c>
      <c r="G7201" s="3" t="s">
        <v>5947</v>
      </c>
    </row>
    <row r="7202">
      <c r="A7202" s="3" t="s">
        <v>20592</v>
      </c>
      <c r="B7202" s="3" t="s">
        <v>6688</v>
      </c>
      <c r="C7202" s="5" t="s">
        <v>45</v>
      </c>
      <c r="D7202" s="3" t="s">
        <v>221</v>
      </c>
      <c r="E7202" s="3" t="s">
        <v>352</v>
      </c>
      <c r="F7202" s="7">
        <v>45888.70679844757</v>
      </c>
      <c r="G7202" s="3" t="s">
        <v>3644</v>
      </c>
    </row>
    <row r="7203">
      <c r="A7203" s="3" t="s">
        <v>20594</v>
      </c>
      <c r="B7203" s="3" t="s">
        <v>6688</v>
      </c>
      <c r="C7203" s="5" t="s">
        <v>221</v>
      </c>
      <c r="D7203" s="3" t="s">
        <v>614</v>
      </c>
      <c r="E7203" s="3" t="s">
        <v>118</v>
      </c>
      <c r="F7203" s="7">
        <v>45888.71027066979</v>
      </c>
      <c r="G7203" s="3" t="s">
        <v>3647</v>
      </c>
    </row>
    <row r="7204">
      <c r="A7204" s="3" t="s">
        <v>20595</v>
      </c>
      <c r="B7204" s="3" t="s">
        <v>6688</v>
      </c>
      <c r="C7204" s="5" t="s">
        <v>614</v>
      </c>
      <c r="D7204" s="3" t="s">
        <v>206</v>
      </c>
      <c r="E7204" s="3" t="s">
        <v>100</v>
      </c>
      <c r="F7204" s="7">
        <v>45888.71374289202</v>
      </c>
      <c r="G7204" s="3" t="s">
        <v>3650</v>
      </c>
    </row>
    <row r="7205">
      <c r="A7205" s="3" t="s">
        <v>20597</v>
      </c>
      <c r="B7205" s="3" t="s">
        <v>6688</v>
      </c>
      <c r="C7205" s="5" t="s">
        <v>206</v>
      </c>
      <c r="D7205" s="3" t="s">
        <v>68</v>
      </c>
      <c r="E7205" s="3" t="s">
        <v>100</v>
      </c>
      <c r="F7205" s="7">
        <v>45888.71721511424</v>
      </c>
      <c r="G7205" s="3" t="s">
        <v>3653</v>
      </c>
    </row>
    <row r="7206">
      <c r="A7206" s="3" t="s">
        <v>20599</v>
      </c>
      <c r="B7206" s="3" t="s">
        <v>6692</v>
      </c>
      <c r="C7206" s="5" t="s">
        <v>45</v>
      </c>
      <c r="D7206" s="3" t="s">
        <v>221</v>
      </c>
      <c r="E7206" s="3" t="s">
        <v>359</v>
      </c>
      <c r="F7206" s="7">
        <v>45888.777973292985</v>
      </c>
      <c r="G7206" s="3" t="s">
        <v>3667</v>
      </c>
    </row>
    <row r="7207">
      <c r="A7207" s="3" t="s">
        <v>20601</v>
      </c>
      <c r="B7207" s="3" t="s">
        <v>6692</v>
      </c>
      <c r="C7207" s="5" t="s">
        <v>221</v>
      </c>
      <c r="D7207" s="3" t="s">
        <v>614</v>
      </c>
      <c r="E7207" s="3" t="s">
        <v>118</v>
      </c>
      <c r="F7207" s="7">
        <v>45888.781445515204</v>
      </c>
      <c r="G7207" s="3" t="s">
        <v>3670</v>
      </c>
    </row>
    <row r="7208">
      <c r="A7208" s="3" t="s">
        <v>20603</v>
      </c>
      <c r="B7208" s="3" t="s">
        <v>6692</v>
      </c>
      <c r="C7208" s="5" t="s">
        <v>614</v>
      </c>
      <c r="D7208" s="3" t="s">
        <v>206</v>
      </c>
      <c r="E7208" s="3" t="s">
        <v>100</v>
      </c>
      <c r="F7208" s="7">
        <v>45888.78491773743</v>
      </c>
      <c r="G7208" s="3" t="s">
        <v>3673</v>
      </c>
    </row>
    <row r="7209">
      <c r="A7209" s="3" t="s">
        <v>20605</v>
      </c>
      <c r="B7209" s="3" t="s">
        <v>6692</v>
      </c>
      <c r="C7209" s="5" t="s">
        <v>206</v>
      </c>
      <c r="D7209" s="3" t="s">
        <v>68</v>
      </c>
      <c r="E7209" s="3" t="s">
        <v>100</v>
      </c>
      <c r="F7209" s="7">
        <v>45888.78838995965</v>
      </c>
      <c r="G7209" s="3" t="s">
        <v>3676</v>
      </c>
    </row>
    <row r="7210">
      <c r="A7210" s="3" t="s">
        <v>20607</v>
      </c>
      <c r="B7210" s="3" t="s">
        <v>6695</v>
      </c>
      <c r="C7210" s="5" t="s">
        <v>45</v>
      </c>
      <c r="D7210" s="3" t="s">
        <v>221</v>
      </c>
      <c r="E7210" s="3" t="s">
        <v>877</v>
      </c>
      <c r="F7210" s="7">
        <v>45888.849148138404</v>
      </c>
      <c r="G7210" s="3" t="s">
        <v>20609</v>
      </c>
    </row>
    <row r="7211">
      <c r="A7211" s="3" t="s">
        <v>20610</v>
      </c>
      <c r="B7211" s="3" t="s">
        <v>6695</v>
      </c>
      <c r="C7211" s="5" t="s">
        <v>221</v>
      </c>
      <c r="D7211" s="3" t="s">
        <v>614</v>
      </c>
      <c r="E7211" s="3" t="s">
        <v>118</v>
      </c>
      <c r="F7211" s="7">
        <v>45888.85262036062</v>
      </c>
      <c r="G7211" s="3" t="s">
        <v>20611</v>
      </c>
    </row>
    <row r="7212">
      <c r="A7212" s="3" t="s">
        <v>20613</v>
      </c>
      <c r="B7212" s="3" t="s">
        <v>6695</v>
      </c>
      <c r="C7212" s="5" t="s">
        <v>614</v>
      </c>
      <c r="D7212" s="3" t="s">
        <v>206</v>
      </c>
      <c r="E7212" s="3" t="s">
        <v>100</v>
      </c>
      <c r="F7212" s="7">
        <v>45888.85609258285</v>
      </c>
      <c r="G7212" s="3" t="s">
        <v>20614</v>
      </c>
    </row>
    <row r="7213">
      <c r="A7213" s="3" t="s">
        <v>20615</v>
      </c>
      <c r="B7213" s="3" t="s">
        <v>6695</v>
      </c>
      <c r="C7213" s="5" t="s">
        <v>206</v>
      </c>
      <c r="D7213" s="3" t="s">
        <v>68</v>
      </c>
      <c r="E7213" s="3" t="s">
        <v>100</v>
      </c>
      <c r="F7213" s="7">
        <v>45888.85956480507</v>
      </c>
      <c r="G7213" s="3" t="s">
        <v>20617</v>
      </c>
    </row>
    <row r="7214">
      <c r="A7214" s="3" t="s">
        <v>20618</v>
      </c>
      <c r="B7214" s="3" t="s">
        <v>6698</v>
      </c>
      <c r="C7214" s="5" t="s">
        <v>45</v>
      </c>
      <c r="D7214" s="3" t="s">
        <v>221</v>
      </c>
      <c r="E7214" s="3" t="s">
        <v>219</v>
      </c>
      <c r="F7214" s="7">
        <v>45888.92032298381</v>
      </c>
      <c r="G7214" s="3" t="s">
        <v>12106</v>
      </c>
    </row>
    <row r="7215">
      <c r="A7215" s="3" t="s">
        <v>20620</v>
      </c>
      <c r="B7215" s="3" t="s">
        <v>6698</v>
      </c>
      <c r="C7215" s="5" t="s">
        <v>221</v>
      </c>
      <c r="D7215" s="3" t="s">
        <v>614</v>
      </c>
      <c r="E7215" s="3" t="s">
        <v>118</v>
      </c>
      <c r="F7215" s="7">
        <v>45888.92379520603</v>
      </c>
      <c r="G7215" s="3" t="s">
        <v>20622</v>
      </c>
    </row>
    <row r="7216">
      <c r="A7216" s="3" t="s">
        <v>20623</v>
      </c>
      <c r="B7216" s="3" t="s">
        <v>6698</v>
      </c>
      <c r="C7216" s="5" t="s">
        <v>614</v>
      </c>
      <c r="D7216" s="3" t="s">
        <v>206</v>
      </c>
      <c r="E7216" s="3" t="s">
        <v>100</v>
      </c>
      <c r="F7216" s="7">
        <v>45888.927267428255</v>
      </c>
      <c r="G7216" s="3" t="s">
        <v>20625</v>
      </c>
    </row>
    <row r="7217">
      <c r="A7217" s="3" t="s">
        <v>20626</v>
      </c>
      <c r="B7217" s="3" t="s">
        <v>6698</v>
      </c>
      <c r="C7217" s="5" t="s">
        <v>206</v>
      </c>
      <c r="D7217" s="3" t="s">
        <v>68</v>
      </c>
      <c r="E7217" s="3" t="s">
        <v>100</v>
      </c>
      <c r="F7217" s="7">
        <v>45888.930739650474</v>
      </c>
      <c r="G7217" s="3" t="s">
        <v>20627</v>
      </c>
    </row>
    <row r="7218">
      <c r="A7218" s="3" t="s">
        <v>20629</v>
      </c>
      <c r="B7218" s="3" t="s">
        <v>6701</v>
      </c>
      <c r="C7218" s="5" t="s">
        <v>45</v>
      </c>
      <c r="D7218" s="3" t="s">
        <v>221</v>
      </c>
      <c r="E7218" s="3" t="s">
        <v>929</v>
      </c>
      <c r="F7218" s="7">
        <v>45888.99149782923</v>
      </c>
      <c r="G7218" s="3" t="s">
        <v>20630</v>
      </c>
    </row>
    <row r="7219">
      <c r="A7219" s="3" t="s">
        <v>20632</v>
      </c>
      <c r="B7219" s="3" t="s">
        <v>6701</v>
      </c>
      <c r="C7219" s="5" t="s">
        <v>221</v>
      </c>
      <c r="D7219" s="3" t="s">
        <v>181</v>
      </c>
      <c r="E7219" s="3" t="s">
        <v>118</v>
      </c>
      <c r="F7219" s="7">
        <v>45888.99497005145</v>
      </c>
      <c r="G7219" s="3" t="s">
        <v>20633</v>
      </c>
    </row>
    <row r="7220">
      <c r="A7220" s="3" t="s">
        <v>20634</v>
      </c>
      <c r="B7220" s="3" t="s">
        <v>6703</v>
      </c>
      <c r="C7220" s="5" t="s">
        <v>45</v>
      </c>
      <c r="D7220" s="3" t="s">
        <v>221</v>
      </c>
      <c r="E7220" s="3" t="s">
        <v>440</v>
      </c>
      <c r="F7220" s="7">
        <v>45889.06267267465</v>
      </c>
      <c r="G7220" s="3" t="s">
        <v>14991</v>
      </c>
    </row>
    <row r="7221">
      <c r="A7221" s="3" t="s">
        <v>20636</v>
      </c>
      <c r="B7221" s="3" t="s">
        <v>6703</v>
      </c>
      <c r="C7221" s="5" t="s">
        <v>221</v>
      </c>
      <c r="D7221" s="3" t="s">
        <v>614</v>
      </c>
      <c r="E7221" s="3" t="s">
        <v>118</v>
      </c>
      <c r="F7221" s="7">
        <v>45889.06614489687</v>
      </c>
      <c r="G7221" s="3" t="s">
        <v>19172</v>
      </c>
    </row>
    <row r="7222">
      <c r="A7222" s="3" t="s">
        <v>20638</v>
      </c>
      <c r="B7222" s="3" t="s">
        <v>6703</v>
      </c>
      <c r="C7222" s="5" t="s">
        <v>614</v>
      </c>
      <c r="D7222" s="3" t="s">
        <v>206</v>
      </c>
      <c r="E7222" s="3" t="s">
        <v>100</v>
      </c>
      <c r="F7222" s="7">
        <v>45889.069617119094</v>
      </c>
      <c r="G7222" s="3" t="s">
        <v>19175</v>
      </c>
    </row>
    <row r="7223">
      <c r="A7223" s="3" t="s">
        <v>20640</v>
      </c>
      <c r="B7223" s="3" t="s">
        <v>6703</v>
      </c>
      <c r="C7223" s="5" t="s">
        <v>206</v>
      </c>
      <c r="D7223" s="3" t="s">
        <v>68</v>
      </c>
      <c r="E7223" s="3" t="s">
        <v>100</v>
      </c>
      <c r="F7223" s="7">
        <v>45889.07308934131</v>
      </c>
      <c r="G7223" s="3" t="s">
        <v>19178</v>
      </c>
    </row>
    <row r="7224">
      <c r="A7224" s="3" t="s">
        <v>20642</v>
      </c>
      <c r="B7224" s="3" t="s">
        <v>6705</v>
      </c>
      <c r="C7224" s="5" t="s">
        <v>45</v>
      </c>
      <c r="D7224" s="3" t="s">
        <v>221</v>
      </c>
      <c r="E7224" s="3" t="s">
        <v>742</v>
      </c>
      <c r="F7224" s="7">
        <v>45889.13384752006</v>
      </c>
      <c r="G7224" s="3" t="s">
        <v>19136</v>
      </c>
    </row>
    <row r="7225">
      <c r="A7225" s="3" t="s">
        <v>20644</v>
      </c>
      <c r="B7225" s="3" t="s">
        <v>6705</v>
      </c>
      <c r="C7225" s="5" t="s">
        <v>221</v>
      </c>
      <c r="D7225" s="3" t="s">
        <v>614</v>
      </c>
      <c r="E7225" s="3" t="s">
        <v>118</v>
      </c>
      <c r="F7225" s="7">
        <v>45889.13731974228</v>
      </c>
      <c r="G7225" s="3" t="s">
        <v>19139</v>
      </c>
    </row>
    <row r="7226">
      <c r="A7226" s="3" t="s">
        <v>20645</v>
      </c>
      <c r="B7226" s="3" t="s">
        <v>6705</v>
      </c>
      <c r="C7226" s="5" t="s">
        <v>614</v>
      </c>
      <c r="D7226" s="3" t="s">
        <v>206</v>
      </c>
      <c r="E7226" s="3" t="s">
        <v>100</v>
      </c>
      <c r="F7226" s="7">
        <v>45889.140791964506</v>
      </c>
      <c r="G7226" s="3" t="s">
        <v>19142</v>
      </c>
    </row>
    <row r="7227">
      <c r="A7227" s="3" t="s">
        <v>20647</v>
      </c>
      <c r="B7227" s="3" t="s">
        <v>6705</v>
      </c>
      <c r="C7227" s="5" t="s">
        <v>206</v>
      </c>
      <c r="D7227" s="3" t="s">
        <v>68</v>
      </c>
      <c r="E7227" s="3" t="s">
        <v>100</v>
      </c>
      <c r="F7227" s="7">
        <v>45889.144264186725</v>
      </c>
      <c r="G7227" s="3" t="s">
        <v>19145</v>
      </c>
    </row>
    <row r="7228">
      <c r="A7228" s="3" t="s">
        <v>20649</v>
      </c>
      <c r="B7228" s="3" t="s">
        <v>6709</v>
      </c>
      <c r="C7228" s="5" t="s">
        <v>45</v>
      </c>
      <c r="D7228" s="3" t="s">
        <v>221</v>
      </c>
      <c r="E7228" s="3" t="s">
        <v>600</v>
      </c>
      <c r="F7228" s="7">
        <v>45889.20502236547</v>
      </c>
      <c r="G7228" s="3" t="s">
        <v>18336</v>
      </c>
    </row>
    <row r="7229">
      <c r="A7229" s="3" t="s">
        <v>20651</v>
      </c>
      <c r="B7229" s="3" t="s">
        <v>6709</v>
      </c>
      <c r="C7229" s="5" t="s">
        <v>221</v>
      </c>
      <c r="D7229" s="3" t="s">
        <v>614</v>
      </c>
      <c r="E7229" s="3" t="s">
        <v>118</v>
      </c>
      <c r="F7229" s="7">
        <v>45889.20849458769</v>
      </c>
      <c r="G7229" s="3" t="s">
        <v>18339</v>
      </c>
    </row>
    <row r="7230">
      <c r="A7230" s="3" t="s">
        <v>20653</v>
      </c>
      <c r="B7230" s="3" t="s">
        <v>6709</v>
      </c>
      <c r="C7230" s="5" t="s">
        <v>614</v>
      </c>
      <c r="D7230" s="3" t="s">
        <v>206</v>
      </c>
      <c r="E7230" s="3" t="s">
        <v>100</v>
      </c>
      <c r="F7230" s="7">
        <v>45889.21196680992</v>
      </c>
      <c r="G7230" s="3" t="s">
        <v>18341</v>
      </c>
    </row>
    <row r="7231">
      <c r="A7231" s="3" t="s">
        <v>20655</v>
      </c>
      <c r="B7231" s="3" t="s">
        <v>6709</v>
      </c>
      <c r="C7231" s="5" t="s">
        <v>206</v>
      </c>
      <c r="D7231" s="3" t="s">
        <v>68</v>
      </c>
      <c r="E7231" s="3" t="s">
        <v>100</v>
      </c>
      <c r="F7231" s="7">
        <v>45889.21543903214</v>
      </c>
      <c r="G7231" s="3" t="s">
        <v>18344</v>
      </c>
    </row>
    <row r="7232">
      <c r="A7232" s="3" t="s">
        <v>20657</v>
      </c>
      <c r="B7232" s="3" t="s">
        <v>6714</v>
      </c>
      <c r="C7232" s="5" t="s">
        <v>45</v>
      </c>
      <c r="D7232" s="3" t="s">
        <v>221</v>
      </c>
      <c r="E7232" s="3" t="s">
        <v>587</v>
      </c>
      <c r="F7232" s="7">
        <v>45889.27619721089</v>
      </c>
      <c r="G7232" s="3" t="s">
        <v>20658</v>
      </c>
    </row>
    <row r="7233">
      <c r="A7233" s="3" t="s">
        <v>20660</v>
      </c>
      <c r="B7233" s="3" t="s">
        <v>6714</v>
      </c>
      <c r="C7233" s="5" t="s">
        <v>221</v>
      </c>
      <c r="D7233" s="3" t="s">
        <v>614</v>
      </c>
      <c r="E7233" s="3" t="s">
        <v>118</v>
      </c>
      <c r="F7233" s="7">
        <v>45889.27966943311</v>
      </c>
      <c r="G7233" s="3" t="s">
        <v>20661</v>
      </c>
    </row>
    <row r="7234">
      <c r="A7234" s="3" t="s">
        <v>20662</v>
      </c>
      <c r="B7234" s="3" t="s">
        <v>6714</v>
      </c>
      <c r="C7234" s="5" t="s">
        <v>614</v>
      </c>
      <c r="D7234" s="3" t="s">
        <v>206</v>
      </c>
      <c r="E7234" s="3" t="s">
        <v>100</v>
      </c>
      <c r="F7234" s="7">
        <v>45889.28314165534</v>
      </c>
      <c r="G7234" s="3" t="s">
        <v>20664</v>
      </c>
    </row>
    <row r="7235">
      <c r="A7235" s="3" t="s">
        <v>20665</v>
      </c>
      <c r="B7235" s="3" t="s">
        <v>6714</v>
      </c>
      <c r="C7235" s="5" t="s">
        <v>206</v>
      </c>
      <c r="D7235" s="3" t="s">
        <v>68</v>
      </c>
      <c r="E7235" s="3" t="s">
        <v>100</v>
      </c>
      <c r="F7235" s="7">
        <v>45889.28661387756</v>
      </c>
      <c r="G7235" s="3" t="s">
        <v>20667</v>
      </c>
    </row>
    <row r="7236">
      <c r="A7236" s="3" t="s">
        <v>20668</v>
      </c>
      <c r="B7236" s="3" t="s">
        <v>6716</v>
      </c>
      <c r="C7236" s="5" t="s">
        <v>45</v>
      </c>
      <c r="D7236" s="3" t="s">
        <v>221</v>
      </c>
      <c r="E7236" s="3" t="s">
        <v>710</v>
      </c>
      <c r="F7236" s="7">
        <v>45889.347372056305</v>
      </c>
      <c r="G7236" s="3" t="s">
        <v>20670</v>
      </c>
    </row>
    <row r="7237">
      <c r="A7237" s="3" t="s">
        <v>20671</v>
      </c>
      <c r="B7237" s="3" t="s">
        <v>6716</v>
      </c>
      <c r="C7237" s="5" t="s">
        <v>221</v>
      </c>
      <c r="D7237" s="3" t="s">
        <v>614</v>
      </c>
      <c r="E7237" s="3" t="s">
        <v>118</v>
      </c>
      <c r="F7237" s="7">
        <v>45889.350844278524</v>
      </c>
      <c r="G7237" s="3" t="s">
        <v>20672</v>
      </c>
    </row>
    <row r="7238">
      <c r="A7238" s="3" t="s">
        <v>20674</v>
      </c>
      <c r="B7238" s="3" t="s">
        <v>6716</v>
      </c>
      <c r="C7238" s="5" t="s">
        <v>614</v>
      </c>
      <c r="D7238" s="3" t="s">
        <v>206</v>
      </c>
      <c r="E7238" s="3" t="s">
        <v>100</v>
      </c>
      <c r="F7238" s="7">
        <v>45889.35431650075</v>
      </c>
      <c r="G7238" s="3" t="s">
        <v>20675</v>
      </c>
    </row>
    <row r="7239">
      <c r="A7239" s="3" t="s">
        <v>20676</v>
      </c>
      <c r="B7239" s="3" t="s">
        <v>6716</v>
      </c>
      <c r="C7239" s="5" t="s">
        <v>206</v>
      </c>
      <c r="D7239" s="3" t="s">
        <v>68</v>
      </c>
      <c r="E7239" s="3" t="s">
        <v>100</v>
      </c>
      <c r="F7239" s="7">
        <v>45889.35778872297</v>
      </c>
      <c r="G7239" s="3" t="s">
        <v>20678</v>
      </c>
    </row>
    <row r="7240">
      <c r="A7240" s="3" t="s">
        <v>20679</v>
      </c>
      <c r="B7240" s="3" t="s">
        <v>6720</v>
      </c>
      <c r="C7240" s="5" t="s">
        <v>45</v>
      </c>
      <c r="D7240" s="3" t="s">
        <v>221</v>
      </c>
      <c r="E7240" s="3" t="s">
        <v>272</v>
      </c>
      <c r="F7240" s="7">
        <v>45889.41854690172</v>
      </c>
      <c r="G7240" s="3" t="s">
        <v>3696</v>
      </c>
    </row>
    <row r="7241">
      <c r="A7241" s="3" t="s">
        <v>20681</v>
      </c>
      <c r="B7241" s="3" t="s">
        <v>6720</v>
      </c>
      <c r="C7241" s="5" t="s">
        <v>221</v>
      </c>
      <c r="D7241" s="3" t="s">
        <v>614</v>
      </c>
      <c r="E7241" s="3" t="s">
        <v>118</v>
      </c>
      <c r="F7241" s="7">
        <v>45889.42201912394</v>
      </c>
      <c r="G7241" s="3" t="s">
        <v>3699</v>
      </c>
    </row>
    <row r="7242">
      <c r="A7242" s="3" t="s">
        <v>20683</v>
      </c>
      <c r="B7242" s="3" t="s">
        <v>6720</v>
      </c>
      <c r="C7242" s="5" t="s">
        <v>614</v>
      </c>
      <c r="D7242" s="3" t="s">
        <v>206</v>
      </c>
      <c r="E7242" s="3" t="s">
        <v>100</v>
      </c>
      <c r="F7242" s="7">
        <v>45889.42549134616</v>
      </c>
      <c r="G7242" s="3" t="s">
        <v>3702</v>
      </c>
    </row>
    <row r="7243">
      <c r="A7243" s="3" t="s">
        <v>20685</v>
      </c>
      <c r="B7243" s="3" t="s">
        <v>6720</v>
      </c>
      <c r="C7243" s="5" t="s">
        <v>206</v>
      </c>
      <c r="D7243" s="3" t="s">
        <v>68</v>
      </c>
      <c r="E7243" s="3" t="s">
        <v>100</v>
      </c>
      <c r="F7243" s="7">
        <v>45889.42896356838</v>
      </c>
      <c r="G7243" s="3" t="s">
        <v>3705</v>
      </c>
    </row>
    <row r="7244">
      <c r="A7244" s="3" t="s">
        <v>20687</v>
      </c>
      <c r="B7244" s="3" t="s">
        <v>6728</v>
      </c>
      <c r="C7244" s="5" t="s">
        <v>45</v>
      </c>
      <c r="D7244" s="3" t="s">
        <v>221</v>
      </c>
      <c r="E7244" s="3" t="s">
        <v>816</v>
      </c>
      <c r="F7244" s="7">
        <v>45889.48972174714</v>
      </c>
      <c r="G7244" s="3" t="s">
        <v>10467</v>
      </c>
    </row>
    <row r="7245">
      <c r="A7245" s="3" t="s">
        <v>20689</v>
      </c>
      <c r="B7245" s="3" t="s">
        <v>6728</v>
      </c>
      <c r="C7245" s="5" t="s">
        <v>221</v>
      </c>
      <c r="D7245" s="3" t="s">
        <v>614</v>
      </c>
      <c r="E7245" s="3" t="s">
        <v>118</v>
      </c>
      <c r="F7245" s="7">
        <v>45889.493193969356</v>
      </c>
      <c r="G7245" s="3" t="s">
        <v>10470</v>
      </c>
    </row>
    <row r="7246">
      <c r="A7246" s="3" t="s">
        <v>20690</v>
      </c>
      <c r="B7246" s="3" t="s">
        <v>6728</v>
      </c>
      <c r="C7246" s="5" t="s">
        <v>614</v>
      </c>
      <c r="D7246" s="3" t="s">
        <v>206</v>
      </c>
      <c r="E7246" s="3" t="s">
        <v>100</v>
      </c>
      <c r="F7246" s="7">
        <v>45889.49666619158</v>
      </c>
      <c r="G7246" s="3" t="s">
        <v>10473</v>
      </c>
    </row>
    <row r="7247">
      <c r="A7247" s="3" t="s">
        <v>20692</v>
      </c>
      <c r="B7247" s="3" t="s">
        <v>6728</v>
      </c>
      <c r="C7247" s="5" t="s">
        <v>206</v>
      </c>
      <c r="D7247" s="3" t="s">
        <v>68</v>
      </c>
      <c r="E7247" s="3" t="s">
        <v>100</v>
      </c>
      <c r="F7247" s="7">
        <v>45889.5001384138</v>
      </c>
      <c r="G7247" s="3" t="s">
        <v>10475</v>
      </c>
    </row>
    <row r="7248">
      <c r="A7248" s="3" t="s">
        <v>20694</v>
      </c>
      <c r="B7248" s="3" t="s">
        <v>6731</v>
      </c>
      <c r="C7248" s="5" t="s">
        <v>45</v>
      </c>
      <c r="D7248" s="3" t="s">
        <v>221</v>
      </c>
      <c r="E7248" s="3" t="s">
        <v>341</v>
      </c>
      <c r="F7248" s="7">
        <v>45889.56089659256</v>
      </c>
      <c r="G7248" s="3" t="s">
        <v>17036</v>
      </c>
    </row>
    <row r="7249">
      <c r="A7249" s="3" t="s">
        <v>20696</v>
      </c>
      <c r="B7249" s="3" t="s">
        <v>6731</v>
      </c>
      <c r="C7249" s="5" t="s">
        <v>221</v>
      </c>
      <c r="D7249" s="3" t="s">
        <v>614</v>
      </c>
      <c r="E7249" s="3" t="s">
        <v>118</v>
      </c>
      <c r="F7249" s="7">
        <v>45889.564368814776</v>
      </c>
      <c r="G7249" s="3" t="s">
        <v>17039</v>
      </c>
    </row>
    <row r="7250">
      <c r="A7250" s="3" t="s">
        <v>20698</v>
      </c>
      <c r="B7250" s="3" t="s">
        <v>6731</v>
      </c>
      <c r="C7250" s="5" t="s">
        <v>614</v>
      </c>
      <c r="D7250" s="3" t="s">
        <v>206</v>
      </c>
      <c r="E7250" s="3" t="s">
        <v>100</v>
      </c>
      <c r="F7250" s="7">
        <v>45889.567841037</v>
      </c>
      <c r="G7250" s="3" t="s">
        <v>17041</v>
      </c>
    </row>
    <row r="7251">
      <c r="A7251" s="3" t="s">
        <v>20700</v>
      </c>
      <c r="B7251" s="3" t="s">
        <v>6731</v>
      </c>
      <c r="C7251" s="5" t="s">
        <v>206</v>
      </c>
      <c r="D7251" s="3" t="s">
        <v>68</v>
      </c>
      <c r="E7251" s="3" t="s">
        <v>100</v>
      </c>
      <c r="F7251" s="7">
        <v>45889.57131325922</v>
      </c>
      <c r="G7251" s="3" t="s">
        <v>17044</v>
      </c>
    </row>
    <row r="7252">
      <c r="A7252" s="3" t="s">
        <v>20702</v>
      </c>
      <c r="B7252" s="3" t="s">
        <v>6734</v>
      </c>
      <c r="C7252" s="5" t="s">
        <v>45</v>
      </c>
      <c r="D7252" s="3" t="s">
        <v>221</v>
      </c>
      <c r="E7252" s="3" t="s">
        <v>276</v>
      </c>
      <c r="F7252" s="7">
        <v>45889.63207143796</v>
      </c>
      <c r="G7252" s="3" t="s">
        <v>4895</v>
      </c>
    </row>
    <row r="7253">
      <c r="A7253" s="3" t="s">
        <v>20704</v>
      </c>
      <c r="B7253" s="3" t="s">
        <v>6734</v>
      </c>
      <c r="C7253" s="5" t="s">
        <v>221</v>
      </c>
      <c r="D7253" s="3" t="s">
        <v>181</v>
      </c>
      <c r="E7253" s="3" t="s">
        <v>118</v>
      </c>
      <c r="F7253" s="7">
        <v>45889.63554366018</v>
      </c>
      <c r="G7253" s="3" t="s">
        <v>20705</v>
      </c>
    </row>
    <row r="7254">
      <c r="A7254" s="3" t="s">
        <v>20707</v>
      </c>
      <c r="B7254" s="3" t="s">
        <v>6739</v>
      </c>
      <c r="C7254" s="5" t="s">
        <v>45</v>
      </c>
      <c r="D7254" s="3" t="s">
        <v>221</v>
      </c>
      <c r="E7254" s="3" t="s">
        <v>781</v>
      </c>
      <c r="F7254" s="7">
        <v>45889.70324628338</v>
      </c>
      <c r="G7254" s="3" t="s">
        <v>20708</v>
      </c>
    </row>
    <row r="7255">
      <c r="A7255" s="3" t="s">
        <v>20709</v>
      </c>
      <c r="B7255" s="3" t="s">
        <v>6739</v>
      </c>
      <c r="C7255" s="5" t="s">
        <v>221</v>
      </c>
      <c r="D7255" s="3" t="s">
        <v>614</v>
      </c>
      <c r="E7255" s="3" t="s">
        <v>118</v>
      </c>
      <c r="F7255" s="7">
        <v>45889.7067185056</v>
      </c>
      <c r="G7255" s="3" t="s">
        <v>20711</v>
      </c>
    </row>
    <row r="7256">
      <c r="A7256" s="3" t="s">
        <v>20712</v>
      </c>
      <c r="B7256" s="3" t="s">
        <v>6739</v>
      </c>
      <c r="C7256" s="5" t="s">
        <v>614</v>
      </c>
      <c r="D7256" s="3" t="s">
        <v>206</v>
      </c>
      <c r="E7256" s="3" t="s">
        <v>100</v>
      </c>
      <c r="F7256" s="7">
        <v>45889.71019072783</v>
      </c>
      <c r="G7256" s="3" t="s">
        <v>20714</v>
      </c>
    </row>
    <row r="7257">
      <c r="A7257" s="3" t="s">
        <v>20715</v>
      </c>
      <c r="B7257" s="3" t="s">
        <v>6739</v>
      </c>
      <c r="C7257" s="5" t="s">
        <v>206</v>
      </c>
      <c r="D7257" s="3" t="s">
        <v>68</v>
      </c>
      <c r="E7257" s="3" t="s">
        <v>100</v>
      </c>
      <c r="F7257" s="7">
        <v>45889.713662950046</v>
      </c>
      <c r="G7257" s="3" t="s">
        <v>20717</v>
      </c>
    </row>
    <row r="7258">
      <c r="A7258" s="3" t="s">
        <v>20718</v>
      </c>
      <c r="B7258" s="3" t="s">
        <v>6742</v>
      </c>
      <c r="C7258" s="5" t="s">
        <v>45</v>
      </c>
      <c r="D7258" s="3" t="s">
        <v>221</v>
      </c>
      <c r="E7258" s="3" t="s">
        <v>202</v>
      </c>
      <c r="F7258" s="7">
        <v>45889.7744211288</v>
      </c>
      <c r="G7258" s="3" t="s">
        <v>20719</v>
      </c>
    </row>
    <row r="7259">
      <c r="A7259" s="3" t="s">
        <v>20721</v>
      </c>
      <c r="B7259" s="3" t="s">
        <v>6742</v>
      </c>
      <c r="C7259" s="5" t="s">
        <v>221</v>
      </c>
      <c r="D7259" s="3" t="s">
        <v>181</v>
      </c>
      <c r="E7259" s="3" t="s">
        <v>118</v>
      </c>
      <c r="F7259" s="7">
        <v>45889.77789335102</v>
      </c>
      <c r="G7259" s="3" t="s">
        <v>20722</v>
      </c>
    </row>
    <row r="7260">
      <c r="A7260" s="3" t="s">
        <v>20723</v>
      </c>
      <c r="B7260" s="3" t="s">
        <v>6745</v>
      </c>
      <c r="C7260" s="5" t="s">
        <v>45</v>
      </c>
      <c r="D7260" s="3" t="s">
        <v>221</v>
      </c>
      <c r="E7260" s="3" t="s">
        <v>1008</v>
      </c>
      <c r="F7260" s="7">
        <v>45889.84559597421</v>
      </c>
      <c r="G7260" s="3" t="s">
        <v>18591</v>
      </c>
    </row>
    <row r="7261">
      <c r="A7261" s="3" t="s">
        <v>20725</v>
      </c>
      <c r="B7261" s="3" t="s">
        <v>6745</v>
      </c>
      <c r="C7261" s="5" t="s">
        <v>221</v>
      </c>
      <c r="D7261" s="3" t="s">
        <v>181</v>
      </c>
      <c r="E7261" s="3" t="s">
        <v>118</v>
      </c>
      <c r="F7261" s="7">
        <v>45889.84906819643</v>
      </c>
      <c r="G7261" s="3" t="s">
        <v>20727</v>
      </c>
    </row>
    <row r="7262">
      <c r="A7262" s="3" t="s">
        <v>20728</v>
      </c>
      <c r="B7262" s="3" t="s">
        <v>6748</v>
      </c>
      <c r="C7262" s="5" t="s">
        <v>45</v>
      </c>
      <c r="D7262" s="3" t="s">
        <v>221</v>
      </c>
      <c r="E7262" s="3" t="s">
        <v>600</v>
      </c>
      <c r="F7262" s="7">
        <v>45889.916770819626</v>
      </c>
      <c r="G7262" s="3" t="s">
        <v>18336</v>
      </c>
    </row>
    <row r="7263">
      <c r="A7263" s="3" t="s">
        <v>20730</v>
      </c>
      <c r="B7263" s="3" t="s">
        <v>6748</v>
      </c>
      <c r="C7263" s="5" t="s">
        <v>221</v>
      </c>
      <c r="D7263" s="3" t="s">
        <v>614</v>
      </c>
      <c r="E7263" s="3" t="s">
        <v>118</v>
      </c>
      <c r="F7263" s="7">
        <v>45889.920243041845</v>
      </c>
      <c r="G7263" s="3" t="s">
        <v>18339</v>
      </c>
    </row>
    <row r="7264">
      <c r="A7264" s="3" t="s">
        <v>20732</v>
      </c>
      <c r="B7264" s="3" t="s">
        <v>6748</v>
      </c>
      <c r="C7264" s="5" t="s">
        <v>614</v>
      </c>
      <c r="D7264" s="3" t="s">
        <v>206</v>
      </c>
      <c r="E7264" s="3" t="s">
        <v>100</v>
      </c>
      <c r="F7264" s="7">
        <v>45889.92371526407</v>
      </c>
      <c r="G7264" s="3" t="s">
        <v>18341</v>
      </c>
    </row>
    <row r="7265">
      <c r="A7265" s="3" t="s">
        <v>20734</v>
      </c>
      <c r="B7265" s="3" t="s">
        <v>6748</v>
      </c>
      <c r="C7265" s="5" t="s">
        <v>206</v>
      </c>
      <c r="D7265" s="3" t="s">
        <v>68</v>
      </c>
      <c r="E7265" s="3" t="s">
        <v>100</v>
      </c>
      <c r="F7265" s="7">
        <v>45889.92718748629</v>
      </c>
      <c r="G7265" s="3" t="s">
        <v>18344</v>
      </c>
    </row>
    <row r="7266">
      <c r="A7266" s="3" t="s">
        <v>20735</v>
      </c>
      <c r="B7266" s="3" t="s">
        <v>6751</v>
      </c>
      <c r="C7266" s="5" t="s">
        <v>45</v>
      </c>
      <c r="D7266" s="3" t="s">
        <v>221</v>
      </c>
      <c r="E7266" s="3" t="s">
        <v>130</v>
      </c>
      <c r="F7266" s="7">
        <v>45889.987945665045</v>
      </c>
      <c r="G7266" s="3" t="s">
        <v>2770</v>
      </c>
    </row>
    <row r="7267">
      <c r="A7267" s="3" t="s">
        <v>20737</v>
      </c>
      <c r="B7267" s="3" t="s">
        <v>6751</v>
      </c>
      <c r="C7267" s="5" t="s">
        <v>221</v>
      </c>
      <c r="D7267" s="3" t="s">
        <v>195</v>
      </c>
      <c r="E7267" s="3" t="s">
        <v>130</v>
      </c>
      <c r="F7267" s="7">
        <v>45889.991417887264</v>
      </c>
      <c r="G7267" s="3" t="s">
        <v>3055</v>
      </c>
    </row>
    <row r="7268">
      <c r="A7268" s="3" t="s">
        <v>20739</v>
      </c>
      <c r="B7268" s="3" t="s">
        <v>6754</v>
      </c>
      <c r="C7268" s="5" t="s">
        <v>45</v>
      </c>
      <c r="D7268" s="3" t="s">
        <v>221</v>
      </c>
      <c r="E7268" s="3" t="s">
        <v>676</v>
      </c>
      <c r="F7268" s="7">
        <v>45890.05912051046</v>
      </c>
      <c r="G7268" s="3" t="s">
        <v>3707</v>
      </c>
    </row>
    <row r="7269">
      <c r="A7269" s="3" t="s">
        <v>20741</v>
      </c>
      <c r="B7269" s="3" t="s">
        <v>6754</v>
      </c>
      <c r="C7269" s="5" t="s">
        <v>221</v>
      </c>
      <c r="D7269" s="3" t="s">
        <v>614</v>
      </c>
      <c r="E7269" s="3" t="s">
        <v>118</v>
      </c>
      <c r="F7269" s="7">
        <v>45890.06259273268</v>
      </c>
      <c r="G7269" s="3" t="s">
        <v>3710</v>
      </c>
    </row>
    <row r="7270">
      <c r="A7270" s="3" t="s">
        <v>20743</v>
      </c>
      <c r="B7270" s="3" t="s">
        <v>6754</v>
      </c>
      <c r="C7270" s="5" t="s">
        <v>614</v>
      </c>
      <c r="D7270" s="3" t="s">
        <v>206</v>
      </c>
      <c r="E7270" s="3" t="s">
        <v>100</v>
      </c>
      <c r="F7270" s="7">
        <v>45890.0660649549</v>
      </c>
      <c r="G7270" s="3" t="s">
        <v>3713</v>
      </c>
    </row>
    <row r="7271">
      <c r="A7271" s="3" t="s">
        <v>20745</v>
      </c>
      <c r="B7271" s="3" t="s">
        <v>6754</v>
      </c>
      <c r="C7271" s="5" t="s">
        <v>206</v>
      </c>
      <c r="D7271" s="3" t="s">
        <v>68</v>
      </c>
      <c r="E7271" s="3" t="s">
        <v>100</v>
      </c>
      <c r="F7271" s="7">
        <v>45890.06953717712</v>
      </c>
      <c r="G7271" s="3" t="s">
        <v>3716</v>
      </c>
    </row>
    <row r="7272">
      <c r="A7272" s="3" t="s">
        <v>20747</v>
      </c>
      <c r="B7272" s="3" t="s">
        <v>6757</v>
      </c>
      <c r="C7272" s="5" t="s">
        <v>45</v>
      </c>
      <c r="D7272" s="3" t="s">
        <v>221</v>
      </c>
      <c r="E7272" s="3" t="s">
        <v>841</v>
      </c>
      <c r="F7272" s="7">
        <v>45890.13029535587</v>
      </c>
      <c r="G7272" s="3" t="s">
        <v>2770</v>
      </c>
    </row>
    <row r="7273">
      <c r="A7273" s="3" t="s">
        <v>20748</v>
      </c>
      <c r="B7273" s="3" t="s">
        <v>6757</v>
      </c>
      <c r="C7273" s="5" t="s">
        <v>221</v>
      </c>
      <c r="D7273" s="3" t="s">
        <v>181</v>
      </c>
      <c r="E7273" s="3" t="s">
        <v>118</v>
      </c>
      <c r="F7273" s="7">
        <v>45890.13376757809</v>
      </c>
      <c r="G7273" s="3" t="s">
        <v>2774</v>
      </c>
    </row>
    <row r="7274">
      <c r="A7274" s="3" t="s">
        <v>20750</v>
      </c>
      <c r="B7274" s="3" t="s">
        <v>6760</v>
      </c>
      <c r="C7274" s="5" t="s">
        <v>45</v>
      </c>
      <c r="D7274" s="3" t="s">
        <v>221</v>
      </c>
      <c r="E7274" s="3" t="s">
        <v>197</v>
      </c>
      <c r="F7274" s="7">
        <v>45890.20147020129</v>
      </c>
      <c r="G7274" s="3" t="s">
        <v>3737</v>
      </c>
    </row>
    <row r="7275">
      <c r="A7275" s="3" t="s">
        <v>20752</v>
      </c>
      <c r="B7275" s="3" t="s">
        <v>6760</v>
      </c>
      <c r="C7275" s="5" t="s">
        <v>221</v>
      </c>
      <c r="D7275" s="3" t="s">
        <v>614</v>
      </c>
      <c r="E7275" s="3" t="s">
        <v>118</v>
      </c>
      <c r="F7275" s="7">
        <v>45890.20494242351</v>
      </c>
      <c r="G7275" s="3" t="s">
        <v>3740</v>
      </c>
    </row>
    <row r="7276">
      <c r="A7276" s="3" t="s">
        <v>20754</v>
      </c>
      <c r="B7276" s="3" t="s">
        <v>6760</v>
      </c>
      <c r="C7276" s="5" t="s">
        <v>614</v>
      </c>
      <c r="D7276" s="3" t="s">
        <v>206</v>
      </c>
      <c r="E7276" s="3" t="s">
        <v>100</v>
      </c>
      <c r="F7276" s="7">
        <v>45890.208414645735</v>
      </c>
      <c r="G7276" s="3" t="s">
        <v>3743</v>
      </c>
    </row>
    <row r="7277">
      <c r="A7277" s="3" t="s">
        <v>20756</v>
      </c>
      <c r="B7277" s="3" t="s">
        <v>6760</v>
      </c>
      <c r="C7277" s="5" t="s">
        <v>206</v>
      </c>
      <c r="D7277" s="3" t="s">
        <v>68</v>
      </c>
      <c r="E7277" s="3" t="s">
        <v>100</v>
      </c>
      <c r="F7277" s="7">
        <v>45890.21188686795</v>
      </c>
      <c r="G7277" s="3" t="s">
        <v>3745</v>
      </c>
    </row>
    <row r="7278">
      <c r="A7278" s="3" t="s">
        <v>20758</v>
      </c>
      <c r="B7278" s="3" t="s">
        <v>6764</v>
      </c>
      <c r="C7278" s="5" t="s">
        <v>45</v>
      </c>
      <c r="D7278" s="3" t="s">
        <v>221</v>
      </c>
      <c r="E7278" s="3" t="s">
        <v>516</v>
      </c>
      <c r="F7278" s="7">
        <v>45890.2726450467</v>
      </c>
      <c r="G7278" s="3" t="s">
        <v>18738</v>
      </c>
    </row>
    <row r="7279">
      <c r="A7279" s="3" t="s">
        <v>20760</v>
      </c>
      <c r="B7279" s="3" t="s">
        <v>6764</v>
      </c>
      <c r="C7279" s="5" t="s">
        <v>221</v>
      </c>
      <c r="D7279" s="3" t="s">
        <v>614</v>
      </c>
      <c r="E7279" s="3" t="s">
        <v>118</v>
      </c>
      <c r="F7279" s="7">
        <v>45890.27611726892</v>
      </c>
      <c r="G7279" s="3" t="s">
        <v>20762</v>
      </c>
    </row>
    <row r="7280">
      <c r="A7280" s="3" t="s">
        <v>20763</v>
      </c>
      <c r="B7280" s="3" t="s">
        <v>6764</v>
      </c>
      <c r="C7280" s="5" t="s">
        <v>614</v>
      </c>
      <c r="D7280" s="3" t="s">
        <v>206</v>
      </c>
      <c r="E7280" s="3" t="s">
        <v>100</v>
      </c>
      <c r="F7280" s="7">
        <v>45890.27958949115</v>
      </c>
      <c r="G7280" s="3" t="s">
        <v>20764</v>
      </c>
    </row>
    <row r="7281">
      <c r="A7281" s="3" t="s">
        <v>20766</v>
      </c>
      <c r="B7281" s="3" t="s">
        <v>6764</v>
      </c>
      <c r="C7281" s="5" t="s">
        <v>206</v>
      </c>
      <c r="D7281" s="3" t="s">
        <v>68</v>
      </c>
      <c r="E7281" s="3" t="s">
        <v>100</v>
      </c>
      <c r="F7281" s="7">
        <v>45890.283061713366</v>
      </c>
      <c r="G7281" s="3" t="s">
        <v>20767</v>
      </c>
    </row>
    <row r="7282">
      <c r="A7282" s="3" t="s">
        <v>20768</v>
      </c>
      <c r="B7282" s="3" t="s">
        <v>6768</v>
      </c>
      <c r="C7282" s="5" t="s">
        <v>45</v>
      </c>
      <c r="D7282" s="3" t="s">
        <v>221</v>
      </c>
      <c r="E7282" s="3" t="s">
        <v>900</v>
      </c>
      <c r="F7282" s="7">
        <v>45890.343819892114</v>
      </c>
      <c r="G7282" s="3" t="s">
        <v>3748</v>
      </c>
    </row>
    <row r="7283">
      <c r="A7283" s="3" t="s">
        <v>20770</v>
      </c>
      <c r="B7283" s="3" t="s">
        <v>6768</v>
      </c>
      <c r="C7283" s="5" t="s">
        <v>221</v>
      </c>
      <c r="D7283" s="3" t="s">
        <v>614</v>
      </c>
      <c r="E7283" s="3" t="s">
        <v>118</v>
      </c>
      <c r="F7283" s="7">
        <v>45890.34729211433</v>
      </c>
      <c r="G7283" s="3" t="s">
        <v>3751</v>
      </c>
    </row>
    <row r="7284">
      <c r="A7284" s="3" t="s">
        <v>20772</v>
      </c>
      <c r="B7284" s="3" t="s">
        <v>6768</v>
      </c>
      <c r="C7284" s="5" t="s">
        <v>614</v>
      </c>
      <c r="D7284" s="3" t="s">
        <v>206</v>
      </c>
      <c r="E7284" s="3" t="s">
        <v>100</v>
      </c>
      <c r="F7284" s="7">
        <v>45890.35076433656</v>
      </c>
      <c r="G7284" s="3" t="s">
        <v>3754</v>
      </c>
    </row>
    <row r="7285">
      <c r="A7285" s="3" t="s">
        <v>20774</v>
      </c>
      <c r="B7285" s="3" t="s">
        <v>6768</v>
      </c>
      <c r="C7285" s="5" t="s">
        <v>206</v>
      </c>
      <c r="D7285" s="3" t="s">
        <v>68</v>
      </c>
      <c r="E7285" s="3" t="s">
        <v>100</v>
      </c>
      <c r="F7285" s="7">
        <v>45890.35423655878</v>
      </c>
      <c r="G7285" s="3" t="s">
        <v>3757</v>
      </c>
    </row>
    <row r="7286">
      <c r="A7286" s="3" t="s">
        <v>20776</v>
      </c>
      <c r="B7286" s="3" t="s">
        <v>6771</v>
      </c>
      <c r="C7286" s="5" t="s">
        <v>45</v>
      </c>
      <c r="D7286" s="3" t="s">
        <v>221</v>
      </c>
      <c r="E7286" s="3" t="s">
        <v>805</v>
      </c>
      <c r="F7286" s="7">
        <v>45890.41499473753</v>
      </c>
      <c r="G7286" s="3" t="s">
        <v>20778</v>
      </c>
    </row>
    <row r="7287">
      <c r="A7287" s="3" t="s">
        <v>20779</v>
      </c>
      <c r="B7287" s="3" t="s">
        <v>6771</v>
      </c>
      <c r="C7287" s="5" t="s">
        <v>221</v>
      </c>
      <c r="D7287" s="3" t="s">
        <v>614</v>
      </c>
      <c r="E7287" s="3" t="s">
        <v>118</v>
      </c>
      <c r="F7287" s="7">
        <v>45890.41846695975</v>
      </c>
      <c r="G7287" s="3" t="s">
        <v>20780</v>
      </c>
    </row>
    <row r="7288">
      <c r="A7288" s="3" t="s">
        <v>20782</v>
      </c>
      <c r="B7288" s="3" t="s">
        <v>6771</v>
      </c>
      <c r="C7288" s="5" t="s">
        <v>614</v>
      </c>
      <c r="D7288" s="3" t="s">
        <v>206</v>
      </c>
      <c r="E7288" s="3" t="s">
        <v>100</v>
      </c>
      <c r="F7288" s="7">
        <v>45890.42193918198</v>
      </c>
      <c r="G7288" s="3" t="s">
        <v>20784</v>
      </c>
    </row>
    <row r="7289">
      <c r="A7289" s="3" t="s">
        <v>20785</v>
      </c>
      <c r="B7289" s="3" t="s">
        <v>6771</v>
      </c>
      <c r="C7289" s="5" t="s">
        <v>206</v>
      </c>
      <c r="D7289" s="3" t="s">
        <v>68</v>
      </c>
      <c r="E7289" s="3" t="s">
        <v>100</v>
      </c>
      <c r="F7289" s="7">
        <v>45890.4254114042</v>
      </c>
      <c r="G7289" s="3" t="s">
        <v>20786</v>
      </c>
    </row>
    <row r="7290">
      <c r="A7290" s="3" t="s">
        <v>20788</v>
      </c>
      <c r="B7290" s="3" t="s">
        <v>6774</v>
      </c>
      <c r="C7290" s="5" t="s">
        <v>45</v>
      </c>
      <c r="D7290" s="3" t="s">
        <v>221</v>
      </c>
      <c r="E7290" s="3" t="s">
        <v>472</v>
      </c>
      <c r="F7290" s="7">
        <v>45890.486169582946</v>
      </c>
      <c r="G7290" s="3" t="s">
        <v>2770</v>
      </c>
    </row>
    <row r="7291">
      <c r="A7291" s="3" t="s">
        <v>20789</v>
      </c>
      <c r="B7291" s="3" t="s">
        <v>6774</v>
      </c>
      <c r="C7291" s="5" t="s">
        <v>221</v>
      </c>
      <c r="D7291" s="3" t="s">
        <v>181</v>
      </c>
      <c r="E7291" s="3" t="s">
        <v>118</v>
      </c>
      <c r="F7291" s="7">
        <v>45890.489641805165</v>
      </c>
      <c r="G7291" s="3" t="s">
        <v>2774</v>
      </c>
    </row>
    <row r="7292">
      <c r="A7292" s="3" t="s">
        <v>20791</v>
      </c>
      <c r="B7292" s="3" t="s">
        <v>6777</v>
      </c>
      <c r="C7292" s="5" t="s">
        <v>45</v>
      </c>
      <c r="D7292" s="3" t="s">
        <v>221</v>
      </c>
      <c r="E7292" s="3" t="s">
        <v>436</v>
      </c>
      <c r="F7292" s="7">
        <v>45890.55734442836</v>
      </c>
      <c r="G7292" s="3" t="s">
        <v>3395</v>
      </c>
    </row>
    <row r="7293">
      <c r="A7293" s="3" t="s">
        <v>20793</v>
      </c>
      <c r="B7293" s="3" t="s">
        <v>6777</v>
      </c>
      <c r="C7293" s="5" t="s">
        <v>221</v>
      </c>
      <c r="D7293" s="3" t="s">
        <v>181</v>
      </c>
      <c r="E7293" s="3" t="s">
        <v>118</v>
      </c>
      <c r="F7293" s="7">
        <v>45890.56081665058</v>
      </c>
      <c r="G7293" s="3" t="s">
        <v>20794</v>
      </c>
    </row>
    <row r="7294">
      <c r="A7294" s="3" t="s">
        <v>20796</v>
      </c>
      <c r="B7294" s="3" t="s">
        <v>6781</v>
      </c>
      <c r="C7294" s="5" t="s">
        <v>45</v>
      </c>
      <c r="D7294" s="3" t="s">
        <v>221</v>
      </c>
      <c r="E7294" s="3" t="s">
        <v>742</v>
      </c>
      <c r="F7294" s="7">
        <v>45890.62851927378</v>
      </c>
      <c r="G7294" s="3" t="s">
        <v>19136</v>
      </c>
    </row>
    <row r="7295">
      <c r="A7295" s="3" t="s">
        <v>20798</v>
      </c>
      <c r="B7295" s="3" t="s">
        <v>6781</v>
      </c>
      <c r="C7295" s="5" t="s">
        <v>221</v>
      </c>
      <c r="D7295" s="3" t="s">
        <v>181</v>
      </c>
      <c r="E7295" s="3" t="s">
        <v>118</v>
      </c>
      <c r="F7295" s="7">
        <v>45890.631991496</v>
      </c>
      <c r="G7295" s="3" t="s">
        <v>20799</v>
      </c>
    </row>
    <row r="7296">
      <c r="A7296" s="3" t="s">
        <v>20801</v>
      </c>
      <c r="B7296" s="3" t="s">
        <v>6785</v>
      </c>
      <c r="C7296" s="5" t="s">
        <v>45</v>
      </c>
      <c r="D7296" s="3" t="s">
        <v>221</v>
      </c>
      <c r="E7296" s="3" t="s">
        <v>727</v>
      </c>
      <c r="F7296" s="7">
        <v>45890.6996941192</v>
      </c>
      <c r="G7296" s="3" t="s">
        <v>2770</v>
      </c>
    </row>
    <row r="7297">
      <c r="A7297" s="3" t="s">
        <v>20803</v>
      </c>
      <c r="B7297" s="3" t="s">
        <v>6785</v>
      </c>
      <c r="C7297" s="5" t="s">
        <v>221</v>
      </c>
      <c r="D7297" s="3" t="s">
        <v>181</v>
      </c>
      <c r="E7297" s="3" t="s">
        <v>118</v>
      </c>
      <c r="F7297" s="7">
        <v>45890.70316634142</v>
      </c>
      <c r="G7297" s="3" t="s">
        <v>2774</v>
      </c>
    </row>
    <row r="7298">
      <c r="A7298" s="3" t="s">
        <v>20804</v>
      </c>
      <c r="B7298" s="3" t="s">
        <v>6788</v>
      </c>
      <c r="C7298" s="5" t="s">
        <v>45</v>
      </c>
      <c r="D7298" s="3" t="s">
        <v>221</v>
      </c>
      <c r="E7298" s="3" t="s">
        <v>333</v>
      </c>
      <c r="F7298" s="7">
        <v>45890.7708689646</v>
      </c>
      <c r="G7298" s="3" t="s">
        <v>19353</v>
      </c>
    </row>
    <row r="7299">
      <c r="A7299" s="3" t="s">
        <v>20806</v>
      </c>
      <c r="B7299" s="3" t="s">
        <v>6788</v>
      </c>
      <c r="C7299" s="5" t="s">
        <v>221</v>
      </c>
      <c r="D7299" s="3" t="s">
        <v>181</v>
      </c>
      <c r="E7299" s="3" t="s">
        <v>118</v>
      </c>
      <c r="F7299" s="7">
        <v>45890.77434118682</v>
      </c>
      <c r="G7299" s="3" t="s">
        <v>20808</v>
      </c>
    </row>
    <row r="7300">
      <c r="A7300" s="3" t="s">
        <v>20809</v>
      </c>
      <c r="B7300" s="3" t="s">
        <v>6791</v>
      </c>
      <c r="C7300" s="5" t="s">
        <v>45</v>
      </c>
      <c r="D7300" s="3" t="s">
        <v>221</v>
      </c>
      <c r="E7300" s="3" t="s">
        <v>344</v>
      </c>
      <c r="F7300" s="7">
        <v>45890.84204381002</v>
      </c>
      <c r="G7300" s="3" t="s">
        <v>20811</v>
      </c>
    </row>
    <row r="7301">
      <c r="A7301" s="3" t="s">
        <v>20812</v>
      </c>
      <c r="B7301" s="3" t="s">
        <v>6791</v>
      </c>
      <c r="C7301" s="5" t="s">
        <v>221</v>
      </c>
      <c r="D7301" s="3" t="s">
        <v>614</v>
      </c>
      <c r="E7301" s="3" t="s">
        <v>118</v>
      </c>
      <c r="F7301" s="7">
        <v>45890.84551603224</v>
      </c>
      <c r="G7301" s="3" t="s">
        <v>20814</v>
      </c>
    </row>
    <row r="7302">
      <c r="A7302" s="3" t="s">
        <v>20815</v>
      </c>
      <c r="B7302" s="3" t="s">
        <v>6791</v>
      </c>
      <c r="C7302" s="5" t="s">
        <v>614</v>
      </c>
      <c r="D7302" s="3" t="s">
        <v>206</v>
      </c>
      <c r="E7302" s="3" t="s">
        <v>100</v>
      </c>
      <c r="F7302" s="7">
        <v>45890.84898825447</v>
      </c>
      <c r="G7302" s="3" t="s">
        <v>20817</v>
      </c>
    </row>
    <row r="7303">
      <c r="A7303" s="3" t="s">
        <v>20818</v>
      </c>
      <c r="B7303" s="3" t="s">
        <v>6791</v>
      </c>
      <c r="C7303" s="5" t="s">
        <v>206</v>
      </c>
      <c r="D7303" s="3" t="s">
        <v>68</v>
      </c>
      <c r="E7303" s="3" t="s">
        <v>100</v>
      </c>
      <c r="F7303" s="7">
        <v>45890.852460476686</v>
      </c>
      <c r="G7303" s="3" t="s">
        <v>20820</v>
      </c>
    </row>
    <row r="7304">
      <c r="A7304" s="3" t="s">
        <v>20821</v>
      </c>
      <c r="B7304" s="3" t="s">
        <v>6794</v>
      </c>
      <c r="C7304" s="5" t="s">
        <v>45</v>
      </c>
      <c r="D7304" s="3" t="s">
        <v>221</v>
      </c>
      <c r="E7304" s="3" t="s">
        <v>676</v>
      </c>
      <c r="F7304" s="7">
        <v>45890.91321865544</v>
      </c>
      <c r="G7304" s="3" t="s">
        <v>8097</v>
      </c>
    </row>
    <row r="7305">
      <c r="A7305" s="3" t="s">
        <v>20823</v>
      </c>
      <c r="B7305" s="3" t="s">
        <v>6794</v>
      </c>
      <c r="C7305" s="5" t="s">
        <v>221</v>
      </c>
      <c r="D7305" s="3" t="s">
        <v>195</v>
      </c>
      <c r="E7305" s="3" t="s">
        <v>676</v>
      </c>
      <c r="F7305" s="7">
        <v>45890.91669087766</v>
      </c>
      <c r="G7305" s="3" t="s">
        <v>20825</v>
      </c>
    </row>
    <row r="7306">
      <c r="A7306" s="3" t="s">
        <v>20826</v>
      </c>
      <c r="B7306" s="3" t="s">
        <v>6796</v>
      </c>
      <c r="C7306" s="5" t="s">
        <v>45</v>
      </c>
      <c r="D7306" s="3" t="s">
        <v>221</v>
      </c>
      <c r="E7306" s="3" t="s">
        <v>521</v>
      </c>
      <c r="F7306" s="7">
        <v>45890.984393500854</v>
      </c>
      <c r="G7306" s="3" t="s">
        <v>12969</v>
      </c>
    </row>
    <row r="7307">
      <c r="A7307" s="3" t="s">
        <v>20828</v>
      </c>
      <c r="B7307" s="3" t="s">
        <v>6796</v>
      </c>
      <c r="C7307" s="5" t="s">
        <v>221</v>
      </c>
      <c r="D7307" s="3" t="s">
        <v>181</v>
      </c>
      <c r="E7307" s="3" t="s">
        <v>118</v>
      </c>
      <c r="F7307" s="7">
        <v>45890.98786572307</v>
      </c>
      <c r="G7307" s="3" t="s">
        <v>20829</v>
      </c>
    </row>
    <row r="7308">
      <c r="A7308" s="3" t="s">
        <v>20831</v>
      </c>
      <c r="B7308" s="3" t="s">
        <v>6799</v>
      </c>
      <c r="C7308" s="5" t="s">
        <v>45</v>
      </c>
      <c r="D7308" s="3" t="s">
        <v>221</v>
      </c>
      <c r="E7308" s="3" t="s">
        <v>208</v>
      </c>
      <c r="F7308" s="7">
        <v>45891.055568346266</v>
      </c>
      <c r="G7308" s="3" t="s">
        <v>15975</v>
      </c>
    </row>
    <row r="7309">
      <c r="A7309" s="3" t="s">
        <v>20833</v>
      </c>
      <c r="B7309" s="3" t="s">
        <v>6799</v>
      </c>
      <c r="C7309" s="5" t="s">
        <v>221</v>
      </c>
      <c r="D7309" s="3" t="s">
        <v>614</v>
      </c>
      <c r="E7309" s="3" t="s">
        <v>118</v>
      </c>
      <c r="F7309" s="7">
        <v>45891.059040568485</v>
      </c>
      <c r="G7309" s="3" t="s">
        <v>15978</v>
      </c>
    </row>
    <row r="7310">
      <c r="A7310" s="3" t="s">
        <v>20834</v>
      </c>
      <c r="B7310" s="3" t="s">
        <v>6799</v>
      </c>
      <c r="C7310" s="5" t="s">
        <v>614</v>
      </c>
      <c r="D7310" s="3" t="s">
        <v>206</v>
      </c>
      <c r="E7310" s="3" t="s">
        <v>100</v>
      </c>
      <c r="F7310" s="7">
        <v>45891.06251279071</v>
      </c>
      <c r="G7310" s="3" t="s">
        <v>15981</v>
      </c>
    </row>
    <row r="7311">
      <c r="A7311" s="3" t="s">
        <v>20836</v>
      </c>
      <c r="B7311" s="3" t="s">
        <v>6799</v>
      </c>
      <c r="C7311" s="5" t="s">
        <v>206</v>
      </c>
      <c r="D7311" s="3" t="s">
        <v>68</v>
      </c>
      <c r="E7311" s="3" t="s">
        <v>100</v>
      </c>
      <c r="F7311" s="7">
        <v>45891.06598501293</v>
      </c>
      <c r="G7311" s="3" t="s">
        <v>15984</v>
      </c>
    </row>
    <row r="7312">
      <c r="A7312" s="3" t="s">
        <v>20838</v>
      </c>
      <c r="B7312" s="3" t="s">
        <v>6802</v>
      </c>
      <c r="C7312" s="5" t="s">
        <v>45</v>
      </c>
      <c r="D7312" s="3" t="s">
        <v>221</v>
      </c>
      <c r="E7312" s="3" t="s">
        <v>535</v>
      </c>
      <c r="F7312" s="7">
        <v>45891.126743191686</v>
      </c>
      <c r="G7312" s="3" t="s">
        <v>15209</v>
      </c>
    </row>
    <row r="7313">
      <c r="A7313" s="3" t="s">
        <v>20840</v>
      </c>
      <c r="B7313" s="3" t="s">
        <v>6802</v>
      </c>
      <c r="C7313" s="5" t="s">
        <v>221</v>
      </c>
      <c r="D7313" s="3" t="s">
        <v>614</v>
      </c>
      <c r="E7313" s="3" t="s">
        <v>118</v>
      </c>
      <c r="F7313" s="7">
        <v>45891.130215413905</v>
      </c>
      <c r="G7313" s="3" t="s">
        <v>15212</v>
      </c>
    </row>
    <row r="7314">
      <c r="A7314" s="3" t="s">
        <v>20842</v>
      </c>
      <c r="B7314" s="3" t="s">
        <v>6802</v>
      </c>
      <c r="C7314" s="5" t="s">
        <v>614</v>
      </c>
      <c r="D7314" s="3" t="s">
        <v>206</v>
      </c>
      <c r="E7314" s="3" t="s">
        <v>100</v>
      </c>
      <c r="F7314" s="7">
        <v>45891.13368763613</v>
      </c>
      <c r="G7314" s="3" t="s">
        <v>15215</v>
      </c>
    </row>
    <row r="7315">
      <c r="A7315" s="3" t="s">
        <v>20844</v>
      </c>
      <c r="B7315" s="3" t="s">
        <v>6802</v>
      </c>
      <c r="C7315" s="5" t="s">
        <v>206</v>
      </c>
      <c r="D7315" s="3" t="s">
        <v>68</v>
      </c>
      <c r="E7315" s="3" t="s">
        <v>100</v>
      </c>
      <c r="F7315" s="7">
        <v>45891.13715985835</v>
      </c>
      <c r="G7315" s="3" t="s">
        <v>15218</v>
      </c>
    </row>
    <row r="7316">
      <c r="A7316" s="3" t="s">
        <v>20846</v>
      </c>
      <c r="B7316" s="3" t="s">
        <v>6805</v>
      </c>
      <c r="C7316" s="5" t="s">
        <v>45</v>
      </c>
      <c r="D7316" s="3" t="s">
        <v>221</v>
      </c>
      <c r="E7316" s="3" t="s">
        <v>751</v>
      </c>
      <c r="F7316" s="7">
        <v>45891.1979180371</v>
      </c>
      <c r="G7316" s="3" t="s">
        <v>20847</v>
      </c>
    </row>
    <row r="7317">
      <c r="A7317" s="3" t="s">
        <v>20849</v>
      </c>
      <c r="B7317" s="3" t="s">
        <v>6805</v>
      </c>
      <c r="C7317" s="5" t="s">
        <v>221</v>
      </c>
      <c r="D7317" s="3" t="s">
        <v>614</v>
      </c>
      <c r="E7317" s="3" t="s">
        <v>118</v>
      </c>
      <c r="F7317" s="7">
        <v>45891.20139025932</v>
      </c>
      <c r="G7317" s="3" t="s">
        <v>20850</v>
      </c>
    </row>
    <row r="7318">
      <c r="A7318" s="3" t="s">
        <v>20851</v>
      </c>
      <c r="B7318" s="3" t="s">
        <v>6805</v>
      </c>
      <c r="C7318" s="5" t="s">
        <v>614</v>
      </c>
      <c r="D7318" s="3" t="s">
        <v>206</v>
      </c>
      <c r="E7318" s="3" t="s">
        <v>100</v>
      </c>
      <c r="F7318" s="7">
        <v>45891.20486248154</v>
      </c>
      <c r="G7318" s="3" t="s">
        <v>20853</v>
      </c>
    </row>
    <row r="7319">
      <c r="A7319" s="3" t="s">
        <v>20854</v>
      </c>
      <c r="B7319" s="3" t="s">
        <v>6805</v>
      </c>
      <c r="C7319" s="5" t="s">
        <v>206</v>
      </c>
      <c r="D7319" s="3" t="s">
        <v>68</v>
      </c>
      <c r="E7319" s="3" t="s">
        <v>100</v>
      </c>
      <c r="F7319" s="7">
        <v>45891.20833470376</v>
      </c>
      <c r="G7319" s="3" t="s">
        <v>20856</v>
      </c>
    </row>
    <row r="7320">
      <c r="A7320" s="3" t="s">
        <v>20857</v>
      </c>
      <c r="B7320" s="3" t="s">
        <v>6809</v>
      </c>
      <c r="C7320" s="5" t="s">
        <v>45</v>
      </c>
      <c r="D7320" s="3" t="s">
        <v>221</v>
      </c>
      <c r="E7320" s="3" t="s">
        <v>939</v>
      </c>
      <c r="F7320" s="7">
        <v>45891.26909288251</v>
      </c>
      <c r="G7320" s="3" t="s">
        <v>20858</v>
      </c>
    </row>
    <row r="7321">
      <c r="A7321" s="3" t="s">
        <v>20860</v>
      </c>
      <c r="B7321" s="3" t="s">
        <v>6809</v>
      </c>
      <c r="C7321" s="5" t="s">
        <v>221</v>
      </c>
      <c r="D7321" s="3" t="s">
        <v>181</v>
      </c>
      <c r="E7321" s="3" t="s">
        <v>118</v>
      </c>
      <c r="F7321" s="7">
        <v>45891.27256510473</v>
      </c>
      <c r="G7321" s="3" t="s">
        <v>20861</v>
      </c>
    </row>
    <row r="7322">
      <c r="A7322" s="3" t="s">
        <v>20862</v>
      </c>
      <c r="B7322" s="3" t="s">
        <v>6811</v>
      </c>
      <c r="C7322" s="5" t="s">
        <v>45</v>
      </c>
      <c r="D7322" s="3" t="s">
        <v>221</v>
      </c>
      <c r="E7322" s="3" t="s">
        <v>299</v>
      </c>
      <c r="F7322" s="7">
        <v>45891.34026772793</v>
      </c>
      <c r="G7322" s="3" t="s">
        <v>19062</v>
      </c>
    </row>
    <row r="7323">
      <c r="A7323" s="3" t="s">
        <v>20864</v>
      </c>
      <c r="B7323" s="3" t="s">
        <v>6811</v>
      </c>
      <c r="C7323" s="5" t="s">
        <v>221</v>
      </c>
      <c r="D7323" s="3" t="s">
        <v>614</v>
      </c>
      <c r="E7323" s="3" t="s">
        <v>118</v>
      </c>
      <c r="F7323" s="7">
        <v>45891.34373995015</v>
      </c>
      <c r="G7323" s="3" t="s">
        <v>20866</v>
      </c>
    </row>
    <row r="7324">
      <c r="A7324" s="3" t="s">
        <v>20867</v>
      </c>
      <c r="B7324" s="3" t="s">
        <v>6811</v>
      </c>
      <c r="C7324" s="5" t="s">
        <v>614</v>
      </c>
      <c r="D7324" s="3" t="s">
        <v>206</v>
      </c>
      <c r="E7324" s="3" t="s">
        <v>100</v>
      </c>
      <c r="F7324" s="7">
        <v>45891.347212172375</v>
      </c>
      <c r="G7324" s="3" t="s">
        <v>20869</v>
      </c>
    </row>
    <row r="7325">
      <c r="A7325" s="3" t="s">
        <v>20870</v>
      </c>
      <c r="B7325" s="3" t="s">
        <v>6811</v>
      </c>
      <c r="C7325" s="5" t="s">
        <v>206</v>
      </c>
      <c r="D7325" s="3" t="s">
        <v>68</v>
      </c>
      <c r="E7325" s="3" t="s">
        <v>100</v>
      </c>
      <c r="F7325" s="7">
        <v>45891.350684394594</v>
      </c>
      <c r="G7325" s="3" t="s">
        <v>20872</v>
      </c>
    </row>
    <row r="7326">
      <c r="A7326" s="3" t="s">
        <v>20873</v>
      </c>
      <c r="B7326" s="3" t="s">
        <v>6813</v>
      </c>
      <c r="C7326" s="5" t="s">
        <v>45</v>
      </c>
      <c r="D7326" s="3" t="s">
        <v>221</v>
      </c>
      <c r="E7326" s="3" t="s">
        <v>662</v>
      </c>
      <c r="F7326" s="7">
        <v>45891.41144257335</v>
      </c>
      <c r="G7326" s="3" t="s">
        <v>3760</v>
      </c>
    </row>
    <row r="7327">
      <c r="A7327" s="3" t="s">
        <v>20875</v>
      </c>
      <c r="B7327" s="3" t="s">
        <v>6813</v>
      </c>
      <c r="C7327" s="5" t="s">
        <v>221</v>
      </c>
      <c r="D7327" s="3" t="s">
        <v>614</v>
      </c>
      <c r="E7327" s="3" t="s">
        <v>118</v>
      </c>
      <c r="F7327" s="7">
        <v>45891.41491479557</v>
      </c>
      <c r="G7327" s="3" t="s">
        <v>3763</v>
      </c>
    </row>
    <row r="7328">
      <c r="A7328" s="3" t="s">
        <v>20877</v>
      </c>
      <c r="B7328" s="3" t="s">
        <v>6813</v>
      </c>
      <c r="C7328" s="5" t="s">
        <v>614</v>
      </c>
      <c r="D7328" s="3" t="s">
        <v>206</v>
      </c>
      <c r="E7328" s="3" t="s">
        <v>100</v>
      </c>
      <c r="F7328" s="7">
        <v>45891.418387017795</v>
      </c>
      <c r="G7328" s="3" t="s">
        <v>3766</v>
      </c>
    </row>
    <row r="7329">
      <c r="A7329" s="3" t="s">
        <v>20879</v>
      </c>
      <c r="B7329" s="3" t="s">
        <v>6813</v>
      </c>
      <c r="C7329" s="5" t="s">
        <v>206</v>
      </c>
      <c r="D7329" s="3" t="s">
        <v>68</v>
      </c>
      <c r="E7329" s="3" t="s">
        <v>100</v>
      </c>
      <c r="F7329" s="7">
        <v>45891.421859240014</v>
      </c>
      <c r="G7329" s="3" t="s">
        <v>3769</v>
      </c>
    </row>
    <row r="7330">
      <c r="A7330" s="3" t="s">
        <v>20881</v>
      </c>
      <c r="B7330" s="3" t="s">
        <v>6817</v>
      </c>
      <c r="C7330" s="5" t="s">
        <v>45</v>
      </c>
      <c r="D7330" s="3" t="s">
        <v>221</v>
      </c>
      <c r="E7330" s="3" t="s">
        <v>998</v>
      </c>
      <c r="F7330" s="7">
        <v>45891.482617418755</v>
      </c>
      <c r="G7330" s="3" t="s">
        <v>20882</v>
      </c>
    </row>
    <row r="7331">
      <c r="A7331" s="3" t="s">
        <v>20883</v>
      </c>
      <c r="B7331" s="3" t="s">
        <v>6817</v>
      </c>
      <c r="C7331" s="5" t="s">
        <v>221</v>
      </c>
      <c r="D7331" s="3" t="s">
        <v>614</v>
      </c>
      <c r="E7331" s="3" t="s">
        <v>118</v>
      </c>
      <c r="F7331" s="7">
        <v>45891.486089640974</v>
      </c>
      <c r="G7331" s="3" t="s">
        <v>20885</v>
      </c>
    </row>
    <row r="7332">
      <c r="A7332" s="3" t="s">
        <v>20886</v>
      </c>
      <c r="B7332" s="3" t="s">
        <v>6817</v>
      </c>
      <c r="C7332" s="5" t="s">
        <v>614</v>
      </c>
      <c r="D7332" s="3" t="s">
        <v>206</v>
      </c>
      <c r="E7332" s="3" t="s">
        <v>100</v>
      </c>
      <c r="F7332" s="7">
        <v>45891.4895618632</v>
      </c>
      <c r="G7332" s="3" t="s">
        <v>20888</v>
      </c>
    </row>
    <row r="7333">
      <c r="A7333" s="3" t="s">
        <v>20889</v>
      </c>
      <c r="B7333" s="3" t="s">
        <v>6817</v>
      </c>
      <c r="C7333" s="5" t="s">
        <v>206</v>
      </c>
      <c r="D7333" s="3" t="s">
        <v>68</v>
      </c>
      <c r="E7333" s="3" t="s">
        <v>100</v>
      </c>
      <c r="F7333" s="7">
        <v>45891.49303408542</v>
      </c>
      <c r="G7333" s="3" t="s">
        <v>20891</v>
      </c>
    </row>
    <row r="7334">
      <c r="A7334" s="3" t="s">
        <v>20892</v>
      </c>
      <c r="B7334" s="3" t="s">
        <v>6820</v>
      </c>
      <c r="C7334" s="5" t="s">
        <v>45</v>
      </c>
      <c r="D7334" s="3" t="s">
        <v>221</v>
      </c>
      <c r="E7334" s="3" t="s">
        <v>171</v>
      </c>
      <c r="F7334" s="7">
        <v>45891.553792264174</v>
      </c>
      <c r="G7334" s="3" t="s">
        <v>13962</v>
      </c>
    </row>
    <row r="7335">
      <c r="A7335" s="3" t="s">
        <v>20894</v>
      </c>
      <c r="B7335" s="3" t="s">
        <v>6820</v>
      </c>
      <c r="C7335" s="5" t="s">
        <v>221</v>
      </c>
      <c r="D7335" s="3" t="s">
        <v>181</v>
      </c>
      <c r="E7335" s="3" t="s">
        <v>118</v>
      </c>
      <c r="F7335" s="7">
        <v>45891.55726448639</v>
      </c>
      <c r="G7335" s="3" t="s">
        <v>20895</v>
      </c>
    </row>
    <row r="7336">
      <c r="A7336" s="3" t="s">
        <v>20897</v>
      </c>
      <c r="B7336" s="3" t="s">
        <v>6823</v>
      </c>
      <c r="C7336" s="5" t="s">
        <v>45</v>
      </c>
      <c r="D7336" s="3" t="s">
        <v>221</v>
      </c>
      <c r="E7336" s="3" t="s">
        <v>658</v>
      </c>
      <c r="F7336" s="7">
        <v>45891.62496710959</v>
      </c>
      <c r="G7336" s="3" t="s">
        <v>20898</v>
      </c>
    </row>
    <row r="7337">
      <c r="A7337" s="3" t="s">
        <v>20900</v>
      </c>
      <c r="B7337" s="3" t="s">
        <v>6823</v>
      </c>
      <c r="C7337" s="5" t="s">
        <v>221</v>
      </c>
      <c r="D7337" s="3" t="s">
        <v>614</v>
      </c>
      <c r="E7337" s="3" t="s">
        <v>118</v>
      </c>
      <c r="F7337" s="7">
        <v>45891.628439331806</v>
      </c>
      <c r="G7337" s="3" t="s">
        <v>20901</v>
      </c>
    </row>
    <row r="7338">
      <c r="A7338" s="3" t="s">
        <v>20902</v>
      </c>
      <c r="B7338" s="3" t="s">
        <v>6823</v>
      </c>
      <c r="C7338" s="5" t="s">
        <v>614</v>
      </c>
      <c r="D7338" s="3" t="s">
        <v>206</v>
      </c>
      <c r="E7338" s="3" t="s">
        <v>100</v>
      </c>
      <c r="F7338" s="7">
        <v>45891.63191155403</v>
      </c>
      <c r="G7338" s="3" t="s">
        <v>20904</v>
      </c>
    </row>
    <row r="7339">
      <c r="A7339" s="3" t="s">
        <v>20905</v>
      </c>
      <c r="B7339" s="3" t="s">
        <v>6823</v>
      </c>
      <c r="C7339" s="5" t="s">
        <v>206</v>
      </c>
      <c r="D7339" s="3" t="s">
        <v>68</v>
      </c>
      <c r="E7339" s="3" t="s">
        <v>100</v>
      </c>
      <c r="F7339" s="7">
        <v>45891.63538377625</v>
      </c>
      <c r="G7339" s="3" t="s">
        <v>20907</v>
      </c>
    </row>
    <row r="7340">
      <c r="A7340" s="3" t="s">
        <v>20908</v>
      </c>
      <c r="B7340" s="3" t="s">
        <v>6826</v>
      </c>
      <c r="C7340" s="5" t="s">
        <v>45</v>
      </c>
      <c r="D7340" s="3" t="s">
        <v>221</v>
      </c>
      <c r="E7340" s="3" t="s">
        <v>682</v>
      </c>
      <c r="F7340" s="7">
        <v>45891.696141955006</v>
      </c>
      <c r="G7340" s="3" t="s">
        <v>20003</v>
      </c>
    </row>
    <row r="7341">
      <c r="A7341" s="3" t="s">
        <v>20910</v>
      </c>
      <c r="B7341" s="3" t="s">
        <v>6826</v>
      </c>
      <c r="C7341" s="5" t="s">
        <v>221</v>
      </c>
      <c r="D7341" s="3" t="s">
        <v>181</v>
      </c>
      <c r="E7341" s="3" t="s">
        <v>118</v>
      </c>
      <c r="F7341" s="7">
        <v>45891.699614177225</v>
      </c>
      <c r="G7341" s="3" t="s">
        <v>20911</v>
      </c>
    </row>
    <row r="7342">
      <c r="A7342" s="3" t="s">
        <v>20913</v>
      </c>
      <c r="B7342" s="3" t="s">
        <v>6829</v>
      </c>
      <c r="C7342" s="5" t="s">
        <v>45</v>
      </c>
      <c r="D7342" s="3" t="s">
        <v>221</v>
      </c>
      <c r="E7342" s="3" t="s">
        <v>341</v>
      </c>
      <c r="F7342" s="7">
        <v>45891.76731680042</v>
      </c>
      <c r="G7342" s="3" t="s">
        <v>17036</v>
      </c>
    </row>
    <row r="7343">
      <c r="A7343" s="3" t="s">
        <v>20914</v>
      </c>
      <c r="B7343" s="3" t="s">
        <v>6829</v>
      </c>
      <c r="C7343" s="5" t="s">
        <v>221</v>
      </c>
      <c r="D7343" s="3" t="s">
        <v>181</v>
      </c>
      <c r="E7343" s="3" t="s">
        <v>118</v>
      </c>
      <c r="F7343" s="7">
        <v>45891.77078902264</v>
      </c>
      <c r="G7343" s="3" t="s">
        <v>20916</v>
      </c>
    </row>
    <row r="7344">
      <c r="A7344" s="3" t="s">
        <v>20917</v>
      </c>
      <c r="B7344" s="3" t="s">
        <v>6831</v>
      </c>
      <c r="C7344" s="5" t="s">
        <v>45</v>
      </c>
      <c r="D7344" s="3" t="s">
        <v>221</v>
      </c>
      <c r="E7344" s="3" t="s">
        <v>619</v>
      </c>
      <c r="F7344" s="7">
        <v>45891.83849164584</v>
      </c>
      <c r="G7344" s="3" t="s">
        <v>3771</v>
      </c>
    </row>
    <row r="7345">
      <c r="A7345" s="3" t="s">
        <v>20919</v>
      </c>
      <c r="B7345" s="3" t="s">
        <v>6831</v>
      </c>
      <c r="C7345" s="5" t="s">
        <v>221</v>
      </c>
      <c r="D7345" s="3" t="s">
        <v>614</v>
      </c>
      <c r="E7345" s="3" t="s">
        <v>118</v>
      </c>
      <c r="F7345" s="7">
        <v>45891.84196386806</v>
      </c>
      <c r="G7345" s="3" t="s">
        <v>3774</v>
      </c>
    </row>
    <row r="7346">
      <c r="A7346" s="3" t="s">
        <v>20921</v>
      </c>
      <c r="B7346" s="3" t="s">
        <v>6831</v>
      </c>
      <c r="C7346" s="5" t="s">
        <v>614</v>
      </c>
      <c r="D7346" s="3" t="s">
        <v>206</v>
      </c>
      <c r="E7346" s="3" t="s">
        <v>100</v>
      </c>
      <c r="F7346" s="7">
        <v>45891.84543609028</v>
      </c>
      <c r="G7346" s="3" t="s">
        <v>3777</v>
      </c>
    </row>
    <row r="7347">
      <c r="A7347" s="3" t="s">
        <v>20923</v>
      </c>
      <c r="B7347" s="3" t="s">
        <v>6831</v>
      </c>
      <c r="C7347" s="5" t="s">
        <v>206</v>
      </c>
      <c r="D7347" s="3" t="s">
        <v>68</v>
      </c>
      <c r="E7347" s="3" t="s">
        <v>100</v>
      </c>
      <c r="F7347" s="7">
        <v>45891.8489083125</v>
      </c>
      <c r="G7347" s="3" t="s">
        <v>3780</v>
      </c>
    </row>
    <row r="7348">
      <c r="A7348" s="3" t="s">
        <v>20925</v>
      </c>
      <c r="B7348" s="3" t="s">
        <v>6833</v>
      </c>
      <c r="C7348" s="5" t="s">
        <v>45</v>
      </c>
      <c r="D7348" s="3" t="s">
        <v>221</v>
      </c>
      <c r="E7348" s="3" t="s">
        <v>778</v>
      </c>
      <c r="F7348" s="7">
        <v>45891.90966649124</v>
      </c>
      <c r="G7348" s="3" t="s">
        <v>3818</v>
      </c>
    </row>
    <row r="7349">
      <c r="A7349" s="3" t="s">
        <v>20927</v>
      </c>
      <c r="B7349" s="3" t="s">
        <v>6833</v>
      </c>
      <c r="C7349" s="5" t="s">
        <v>221</v>
      </c>
      <c r="D7349" s="3" t="s">
        <v>614</v>
      </c>
      <c r="E7349" s="3" t="s">
        <v>118</v>
      </c>
      <c r="F7349" s="7">
        <v>45891.91313871346</v>
      </c>
      <c r="G7349" s="3" t="s">
        <v>3821</v>
      </c>
    </row>
    <row r="7350">
      <c r="A7350" s="3" t="s">
        <v>20929</v>
      </c>
      <c r="B7350" s="3" t="s">
        <v>6833</v>
      </c>
      <c r="C7350" s="5" t="s">
        <v>614</v>
      </c>
      <c r="D7350" s="3" t="s">
        <v>206</v>
      </c>
      <c r="E7350" s="3" t="s">
        <v>100</v>
      </c>
      <c r="F7350" s="7">
        <v>45891.91661093569</v>
      </c>
      <c r="G7350" s="3" t="s">
        <v>3824</v>
      </c>
    </row>
    <row r="7351">
      <c r="A7351" s="3" t="s">
        <v>20931</v>
      </c>
      <c r="B7351" s="3" t="s">
        <v>6833</v>
      </c>
      <c r="C7351" s="5" t="s">
        <v>206</v>
      </c>
      <c r="D7351" s="3" t="s">
        <v>68</v>
      </c>
      <c r="E7351" s="3" t="s">
        <v>100</v>
      </c>
      <c r="F7351" s="7">
        <v>45891.92008315791</v>
      </c>
      <c r="G7351" s="3" t="s">
        <v>3827</v>
      </c>
    </row>
    <row r="7352">
      <c r="A7352" s="3" t="s">
        <v>20933</v>
      </c>
      <c r="B7352" s="3" t="s">
        <v>6837</v>
      </c>
      <c r="C7352" s="5" t="s">
        <v>45</v>
      </c>
      <c r="D7352" s="3" t="s">
        <v>221</v>
      </c>
      <c r="E7352" s="3" t="s">
        <v>224</v>
      </c>
      <c r="F7352" s="7">
        <v>45891.98084133666</v>
      </c>
      <c r="G7352" s="3" t="s">
        <v>7009</v>
      </c>
    </row>
    <row r="7353">
      <c r="A7353" s="3" t="s">
        <v>20935</v>
      </c>
      <c r="B7353" s="3" t="s">
        <v>6837</v>
      </c>
      <c r="C7353" s="5" t="s">
        <v>221</v>
      </c>
      <c r="D7353" s="3" t="s">
        <v>614</v>
      </c>
      <c r="E7353" s="3" t="s">
        <v>118</v>
      </c>
      <c r="F7353" s="7">
        <v>45891.98431355888</v>
      </c>
      <c r="G7353" s="3" t="s">
        <v>7012</v>
      </c>
    </row>
    <row r="7354">
      <c r="A7354" s="3" t="s">
        <v>20937</v>
      </c>
      <c r="B7354" s="3" t="s">
        <v>6837</v>
      </c>
      <c r="C7354" s="5" t="s">
        <v>614</v>
      </c>
      <c r="D7354" s="3" t="s">
        <v>206</v>
      </c>
      <c r="E7354" s="3" t="s">
        <v>100</v>
      </c>
      <c r="F7354" s="7">
        <v>45891.98778578111</v>
      </c>
      <c r="G7354" s="3" t="s">
        <v>7015</v>
      </c>
    </row>
    <row r="7355">
      <c r="A7355" s="3" t="s">
        <v>20939</v>
      </c>
      <c r="B7355" s="3" t="s">
        <v>6837</v>
      </c>
      <c r="C7355" s="5" t="s">
        <v>206</v>
      </c>
      <c r="D7355" s="3" t="s">
        <v>68</v>
      </c>
      <c r="E7355" s="3" t="s">
        <v>100</v>
      </c>
      <c r="F7355" s="7">
        <v>45891.99125800333</v>
      </c>
      <c r="G7355" s="3" t="s">
        <v>7018</v>
      </c>
    </row>
    <row r="7356">
      <c r="A7356" s="3" t="s">
        <v>20940</v>
      </c>
      <c r="B7356" s="3" t="s">
        <v>6841</v>
      </c>
      <c r="C7356" s="5" t="s">
        <v>45</v>
      </c>
      <c r="D7356" s="3" t="s">
        <v>221</v>
      </c>
      <c r="E7356" s="3" t="s">
        <v>269</v>
      </c>
      <c r="F7356" s="7">
        <v>45892.05201618208</v>
      </c>
      <c r="G7356" s="3" t="s">
        <v>3834</v>
      </c>
    </row>
    <row r="7357">
      <c r="A7357" s="3" t="s">
        <v>20943</v>
      </c>
      <c r="B7357" s="3" t="s">
        <v>6841</v>
      </c>
      <c r="C7357" s="5" t="s">
        <v>221</v>
      </c>
      <c r="D7357" s="3" t="s">
        <v>614</v>
      </c>
      <c r="E7357" s="3" t="s">
        <v>118</v>
      </c>
      <c r="F7357" s="7">
        <v>45892.0554884043</v>
      </c>
      <c r="G7357" s="3" t="s">
        <v>3837</v>
      </c>
    </row>
    <row r="7358">
      <c r="A7358" s="3" t="s">
        <v>20945</v>
      </c>
      <c r="B7358" s="3" t="s">
        <v>6841</v>
      </c>
      <c r="C7358" s="5" t="s">
        <v>614</v>
      </c>
      <c r="D7358" s="3" t="s">
        <v>206</v>
      </c>
      <c r="E7358" s="3" t="s">
        <v>100</v>
      </c>
      <c r="F7358" s="7">
        <v>45892.05896062653</v>
      </c>
      <c r="G7358" s="3" t="s">
        <v>3840</v>
      </c>
    </row>
    <row r="7359">
      <c r="A7359" s="3" t="s">
        <v>20946</v>
      </c>
      <c r="B7359" s="3" t="s">
        <v>6841</v>
      </c>
      <c r="C7359" s="5" t="s">
        <v>206</v>
      </c>
      <c r="D7359" s="3" t="s">
        <v>68</v>
      </c>
      <c r="E7359" s="3" t="s">
        <v>100</v>
      </c>
      <c r="F7359" s="7">
        <v>45892.06243284875</v>
      </c>
      <c r="G7359" s="3" t="s">
        <v>3843</v>
      </c>
    </row>
    <row r="7360">
      <c r="A7360" s="3" t="s">
        <v>20948</v>
      </c>
      <c r="B7360" s="3" t="s">
        <v>6844</v>
      </c>
      <c r="C7360" s="5" t="s">
        <v>45</v>
      </c>
      <c r="D7360" s="3" t="s">
        <v>221</v>
      </c>
      <c r="E7360" s="3" t="s">
        <v>781</v>
      </c>
      <c r="F7360" s="7">
        <v>45892.123191027495</v>
      </c>
      <c r="G7360" s="3" t="s">
        <v>20950</v>
      </c>
    </row>
    <row r="7361">
      <c r="A7361" s="3" t="s">
        <v>20951</v>
      </c>
      <c r="B7361" s="3" t="s">
        <v>6844</v>
      </c>
      <c r="C7361" s="5" t="s">
        <v>221</v>
      </c>
      <c r="D7361" s="3" t="s">
        <v>614</v>
      </c>
      <c r="E7361" s="3" t="s">
        <v>118</v>
      </c>
      <c r="F7361" s="7">
        <v>45892.12666324971</v>
      </c>
      <c r="G7361" s="3" t="s">
        <v>20953</v>
      </c>
    </row>
    <row r="7362">
      <c r="A7362" s="3" t="s">
        <v>20954</v>
      </c>
      <c r="B7362" s="3" t="s">
        <v>6844</v>
      </c>
      <c r="C7362" s="5" t="s">
        <v>614</v>
      </c>
      <c r="D7362" s="3" t="s">
        <v>206</v>
      </c>
      <c r="E7362" s="3" t="s">
        <v>100</v>
      </c>
      <c r="F7362" s="7">
        <v>45892.13013547194</v>
      </c>
      <c r="G7362" s="3" t="s">
        <v>20956</v>
      </c>
    </row>
    <row r="7363">
      <c r="A7363" s="3" t="s">
        <v>20957</v>
      </c>
      <c r="B7363" s="3" t="s">
        <v>6844</v>
      </c>
      <c r="C7363" s="5" t="s">
        <v>206</v>
      </c>
      <c r="D7363" s="3" t="s">
        <v>68</v>
      </c>
      <c r="E7363" s="3" t="s">
        <v>100</v>
      </c>
      <c r="F7363" s="7">
        <v>45892.13360769416</v>
      </c>
      <c r="G7363" s="3" t="s">
        <v>20959</v>
      </c>
    </row>
    <row r="7364">
      <c r="A7364" s="3" t="s">
        <v>20960</v>
      </c>
      <c r="B7364" s="3" t="s">
        <v>6847</v>
      </c>
      <c r="C7364" s="5" t="s">
        <v>45</v>
      </c>
      <c r="D7364" s="3" t="s">
        <v>221</v>
      </c>
      <c r="E7364" s="3" t="s">
        <v>916</v>
      </c>
      <c r="F7364" s="7">
        <v>45892.19436587291</v>
      </c>
      <c r="G7364" s="3" t="s">
        <v>3845</v>
      </c>
    </row>
    <row r="7365">
      <c r="A7365" s="3" t="s">
        <v>20962</v>
      </c>
      <c r="B7365" s="3" t="s">
        <v>6847</v>
      </c>
      <c r="C7365" s="5" t="s">
        <v>221</v>
      </c>
      <c r="D7365" s="3" t="s">
        <v>614</v>
      </c>
      <c r="E7365" s="3" t="s">
        <v>118</v>
      </c>
      <c r="F7365" s="7">
        <v>45892.197838095126</v>
      </c>
      <c r="G7365" s="3" t="s">
        <v>3848</v>
      </c>
    </row>
    <row r="7366">
      <c r="A7366" s="3" t="s">
        <v>20964</v>
      </c>
      <c r="B7366" s="3" t="s">
        <v>6847</v>
      </c>
      <c r="C7366" s="5" t="s">
        <v>614</v>
      </c>
      <c r="D7366" s="3" t="s">
        <v>206</v>
      </c>
      <c r="E7366" s="3" t="s">
        <v>100</v>
      </c>
      <c r="F7366" s="7">
        <v>45892.20131031735</v>
      </c>
      <c r="G7366" s="3" t="s">
        <v>3851</v>
      </c>
    </row>
    <row r="7367">
      <c r="A7367" s="3" t="s">
        <v>20966</v>
      </c>
      <c r="B7367" s="3" t="s">
        <v>6847</v>
      </c>
      <c r="C7367" s="5" t="s">
        <v>206</v>
      </c>
      <c r="D7367" s="3" t="s">
        <v>68</v>
      </c>
      <c r="E7367" s="3" t="s">
        <v>100</v>
      </c>
      <c r="F7367" s="7">
        <v>45892.20478253957</v>
      </c>
      <c r="G7367" s="3" t="s">
        <v>3854</v>
      </c>
    </row>
    <row r="7368">
      <c r="A7368" s="3" t="s">
        <v>20967</v>
      </c>
      <c r="B7368" s="3" t="s">
        <v>6850</v>
      </c>
      <c r="C7368" s="5" t="s">
        <v>45</v>
      </c>
      <c r="D7368" s="3" t="s">
        <v>221</v>
      </c>
      <c r="E7368" s="3" t="s">
        <v>742</v>
      </c>
      <c r="F7368" s="7">
        <v>45892.26554071833</v>
      </c>
      <c r="G7368" s="3" t="s">
        <v>11131</v>
      </c>
    </row>
    <row r="7369">
      <c r="A7369" s="3" t="s">
        <v>20969</v>
      </c>
      <c r="B7369" s="3" t="s">
        <v>6850</v>
      </c>
      <c r="C7369" s="5" t="s">
        <v>221</v>
      </c>
      <c r="D7369" s="3" t="s">
        <v>614</v>
      </c>
      <c r="E7369" s="3" t="s">
        <v>118</v>
      </c>
      <c r="F7369" s="7">
        <v>45892.269012940546</v>
      </c>
      <c r="G7369" s="3" t="s">
        <v>20971</v>
      </c>
    </row>
    <row r="7370">
      <c r="A7370" s="3" t="s">
        <v>20972</v>
      </c>
      <c r="B7370" s="3" t="s">
        <v>6850</v>
      </c>
      <c r="C7370" s="5" t="s">
        <v>614</v>
      </c>
      <c r="D7370" s="3" t="s">
        <v>206</v>
      </c>
      <c r="E7370" s="3" t="s">
        <v>100</v>
      </c>
      <c r="F7370" s="7">
        <v>45892.27248516277</v>
      </c>
      <c r="G7370" s="3" t="s">
        <v>20974</v>
      </c>
    </row>
    <row r="7371">
      <c r="A7371" s="3" t="s">
        <v>20975</v>
      </c>
      <c r="B7371" s="3" t="s">
        <v>6850</v>
      </c>
      <c r="C7371" s="5" t="s">
        <v>206</v>
      </c>
      <c r="D7371" s="3" t="s">
        <v>68</v>
      </c>
      <c r="E7371" s="3" t="s">
        <v>100</v>
      </c>
      <c r="F7371" s="7">
        <v>45892.27595738499</v>
      </c>
      <c r="G7371" s="3" t="s">
        <v>20976</v>
      </c>
    </row>
    <row r="7372">
      <c r="A7372" s="3" t="s">
        <v>20977</v>
      </c>
      <c r="B7372" s="3" t="s">
        <v>6853</v>
      </c>
      <c r="C7372" s="5" t="s">
        <v>45</v>
      </c>
      <c r="D7372" s="3" t="s">
        <v>221</v>
      </c>
      <c r="E7372" s="3" t="s">
        <v>756</v>
      </c>
      <c r="F7372" s="7">
        <v>45892.33671556374</v>
      </c>
      <c r="G7372" s="3" t="s">
        <v>20397</v>
      </c>
    </row>
    <row r="7373">
      <c r="A7373" s="3" t="s">
        <v>20979</v>
      </c>
      <c r="B7373" s="3" t="s">
        <v>6853</v>
      </c>
      <c r="C7373" s="5" t="s">
        <v>221</v>
      </c>
      <c r="D7373" s="3" t="s">
        <v>614</v>
      </c>
      <c r="E7373" s="3" t="s">
        <v>118</v>
      </c>
      <c r="F7373" s="7">
        <v>45892.34018778596</v>
      </c>
      <c r="G7373" s="3" t="s">
        <v>20400</v>
      </c>
    </row>
    <row r="7374">
      <c r="A7374" s="3" t="s">
        <v>20981</v>
      </c>
      <c r="B7374" s="3" t="s">
        <v>6853</v>
      </c>
      <c r="C7374" s="5" t="s">
        <v>614</v>
      </c>
      <c r="D7374" s="3" t="s">
        <v>206</v>
      </c>
      <c r="E7374" s="3" t="s">
        <v>100</v>
      </c>
      <c r="F7374" s="7">
        <v>45892.343660008184</v>
      </c>
      <c r="G7374" s="3" t="s">
        <v>20402</v>
      </c>
    </row>
    <row r="7375">
      <c r="A7375" s="3" t="s">
        <v>20983</v>
      </c>
      <c r="B7375" s="3" t="s">
        <v>6853</v>
      </c>
      <c r="C7375" s="5" t="s">
        <v>206</v>
      </c>
      <c r="D7375" s="3" t="s">
        <v>68</v>
      </c>
      <c r="E7375" s="3" t="s">
        <v>100</v>
      </c>
      <c r="F7375" s="7">
        <v>45892.3471322304</v>
      </c>
      <c r="G7375" s="3" t="s">
        <v>20405</v>
      </c>
    </row>
    <row r="7376">
      <c r="A7376" s="3" t="s">
        <v>20985</v>
      </c>
      <c r="B7376" s="3" t="s">
        <v>6856</v>
      </c>
      <c r="C7376" s="5" t="s">
        <v>45</v>
      </c>
      <c r="D7376" s="3" t="s">
        <v>221</v>
      </c>
      <c r="E7376" s="3" t="s">
        <v>263</v>
      </c>
      <c r="F7376" s="7">
        <v>45892.40789040915</v>
      </c>
      <c r="G7376" s="3" t="s">
        <v>20987</v>
      </c>
    </row>
    <row r="7377">
      <c r="A7377" s="3" t="s">
        <v>20988</v>
      </c>
      <c r="B7377" s="3" t="s">
        <v>6856</v>
      </c>
      <c r="C7377" s="5" t="s">
        <v>221</v>
      </c>
      <c r="D7377" s="3" t="s">
        <v>614</v>
      </c>
      <c r="E7377" s="3" t="s">
        <v>118</v>
      </c>
      <c r="F7377" s="7">
        <v>45892.41136263137</v>
      </c>
      <c r="G7377" s="3" t="s">
        <v>20989</v>
      </c>
    </row>
    <row r="7378">
      <c r="A7378" s="3" t="s">
        <v>20990</v>
      </c>
      <c r="B7378" s="3" t="s">
        <v>6856</v>
      </c>
      <c r="C7378" s="5" t="s">
        <v>614</v>
      </c>
      <c r="D7378" s="3" t="s">
        <v>206</v>
      </c>
      <c r="E7378" s="3" t="s">
        <v>100</v>
      </c>
      <c r="F7378" s="7">
        <v>45892.4148348536</v>
      </c>
      <c r="G7378" s="3" t="s">
        <v>20992</v>
      </c>
    </row>
    <row r="7379">
      <c r="A7379" s="3" t="s">
        <v>20993</v>
      </c>
      <c r="B7379" s="3" t="s">
        <v>6856</v>
      </c>
      <c r="C7379" s="5" t="s">
        <v>206</v>
      </c>
      <c r="D7379" s="3" t="s">
        <v>68</v>
      </c>
      <c r="E7379" s="3" t="s">
        <v>100</v>
      </c>
      <c r="F7379" s="7">
        <v>45892.418307075815</v>
      </c>
      <c r="G7379" s="3" t="s">
        <v>20995</v>
      </c>
    </row>
    <row r="7380">
      <c r="A7380" s="3" t="s">
        <v>20996</v>
      </c>
      <c r="B7380" s="3" t="s">
        <v>6860</v>
      </c>
      <c r="C7380" s="5" t="s">
        <v>45</v>
      </c>
      <c r="D7380" s="3" t="s">
        <v>221</v>
      </c>
      <c r="E7380" s="3" t="s">
        <v>561</v>
      </c>
      <c r="F7380" s="7">
        <v>45892.47906525457</v>
      </c>
      <c r="G7380" s="3" t="s">
        <v>3857</v>
      </c>
    </row>
    <row r="7381">
      <c r="A7381" s="3" t="s">
        <v>20998</v>
      </c>
      <c r="B7381" s="3" t="s">
        <v>6860</v>
      </c>
      <c r="C7381" s="5" t="s">
        <v>221</v>
      </c>
      <c r="D7381" s="3" t="s">
        <v>614</v>
      </c>
      <c r="E7381" s="3" t="s">
        <v>118</v>
      </c>
      <c r="F7381" s="7">
        <v>45892.48253747679</v>
      </c>
      <c r="G7381" s="3" t="s">
        <v>3860</v>
      </c>
    </row>
    <row r="7382">
      <c r="A7382" s="3" t="s">
        <v>21000</v>
      </c>
      <c r="B7382" s="3" t="s">
        <v>6860</v>
      </c>
      <c r="C7382" s="5" t="s">
        <v>614</v>
      </c>
      <c r="D7382" s="3" t="s">
        <v>206</v>
      </c>
      <c r="E7382" s="3" t="s">
        <v>100</v>
      </c>
      <c r="F7382" s="7">
        <v>45892.486009699016</v>
      </c>
      <c r="G7382" s="3" t="s">
        <v>3863</v>
      </c>
    </row>
    <row r="7383">
      <c r="A7383" s="3" t="s">
        <v>21002</v>
      </c>
      <c r="B7383" s="3" t="s">
        <v>6860</v>
      </c>
      <c r="C7383" s="5" t="s">
        <v>206</v>
      </c>
      <c r="D7383" s="3" t="s">
        <v>68</v>
      </c>
      <c r="E7383" s="3" t="s">
        <v>100</v>
      </c>
      <c r="F7383" s="7">
        <v>45892.489481921235</v>
      </c>
      <c r="G7383" s="3" t="s">
        <v>3865</v>
      </c>
    </row>
    <row r="7384">
      <c r="A7384" s="3" t="s">
        <v>21004</v>
      </c>
      <c r="B7384" s="3" t="s">
        <v>6864</v>
      </c>
      <c r="C7384" s="5" t="s">
        <v>45</v>
      </c>
      <c r="D7384" s="3" t="s">
        <v>221</v>
      </c>
      <c r="E7384" s="3" t="s">
        <v>430</v>
      </c>
      <c r="F7384" s="7">
        <v>45892.55024009999</v>
      </c>
      <c r="G7384" s="3" t="s">
        <v>5043</v>
      </c>
    </row>
    <row r="7385">
      <c r="A7385" s="3" t="s">
        <v>21005</v>
      </c>
      <c r="B7385" s="3" t="s">
        <v>6864</v>
      </c>
      <c r="C7385" s="5" t="s">
        <v>221</v>
      </c>
      <c r="D7385" s="3" t="s">
        <v>614</v>
      </c>
      <c r="E7385" s="3" t="s">
        <v>118</v>
      </c>
      <c r="F7385" s="7">
        <v>45892.55371232221</v>
      </c>
      <c r="G7385" s="3" t="s">
        <v>5046</v>
      </c>
    </row>
    <row r="7386">
      <c r="A7386" s="3" t="s">
        <v>21007</v>
      </c>
      <c r="B7386" s="3" t="s">
        <v>6864</v>
      </c>
      <c r="C7386" s="5" t="s">
        <v>614</v>
      </c>
      <c r="D7386" s="3" t="s">
        <v>206</v>
      </c>
      <c r="E7386" s="3" t="s">
        <v>100</v>
      </c>
      <c r="F7386" s="7">
        <v>45892.557184544436</v>
      </c>
      <c r="G7386" s="3" t="s">
        <v>5049</v>
      </c>
    </row>
    <row r="7387">
      <c r="A7387" s="3" t="s">
        <v>21009</v>
      </c>
      <c r="B7387" s="3" t="s">
        <v>6864</v>
      </c>
      <c r="C7387" s="5" t="s">
        <v>206</v>
      </c>
      <c r="D7387" s="3" t="s">
        <v>68</v>
      </c>
      <c r="E7387" s="3" t="s">
        <v>100</v>
      </c>
      <c r="F7387" s="7">
        <v>45892.560656766655</v>
      </c>
      <c r="G7387" s="3" t="s">
        <v>5052</v>
      </c>
    </row>
    <row r="7388">
      <c r="A7388" s="3" t="s">
        <v>21011</v>
      </c>
      <c r="B7388" s="3" t="s">
        <v>6867</v>
      </c>
      <c r="C7388" s="5" t="s">
        <v>45</v>
      </c>
      <c r="D7388" s="3" t="s">
        <v>221</v>
      </c>
      <c r="E7388" s="3" t="s">
        <v>419</v>
      </c>
      <c r="F7388" s="7">
        <v>45892.621414945395</v>
      </c>
      <c r="G7388" s="3" t="s">
        <v>3868</v>
      </c>
    </row>
    <row r="7389">
      <c r="A7389" s="3" t="s">
        <v>21013</v>
      </c>
      <c r="B7389" s="3" t="s">
        <v>6867</v>
      </c>
      <c r="C7389" s="5" t="s">
        <v>221</v>
      </c>
      <c r="D7389" s="3" t="s">
        <v>614</v>
      </c>
      <c r="E7389" s="3" t="s">
        <v>118</v>
      </c>
      <c r="F7389" s="7">
        <v>45892.624887167614</v>
      </c>
      <c r="G7389" s="3" t="s">
        <v>3871</v>
      </c>
    </row>
    <row r="7390">
      <c r="A7390" s="3" t="s">
        <v>21015</v>
      </c>
      <c r="B7390" s="3" t="s">
        <v>6867</v>
      </c>
      <c r="C7390" s="5" t="s">
        <v>614</v>
      </c>
      <c r="D7390" s="3" t="s">
        <v>206</v>
      </c>
      <c r="E7390" s="3" t="s">
        <v>100</v>
      </c>
      <c r="F7390" s="7">
        <v>45892.62835938984</v>
      </c>
      <c r="G7390" s="3" t="s">
        <v>3874</v>
      </c>
    </row>
    <row r="7391">
      <c r="A7391" s="3" t="s">
        <v>21017</v>
      </c>
      <c r="B7391" s="3" t="s">
        <v>6867</v>
      </c>
      <c r="C7391" s="5" t="s">
        <v>206</v>
      </c>
      <c r="D7391" s="3" t="s">
        <v>68</v>
      </c>
      <c r="E7391" s="3" t="s">
        <v>100</v>
      </c>
      <c r="F7391" s="7">
        <v>45892.63183161206</v>
      </c>
      <c r="G7391" s="3" t="s">
        <v>3877</v>
      </c>
    </row>
    <row r="7392">
      <c r="A7392" s="3" t="s">
        <v>21018</v>
      </c>
      <c r="B7392" s="3" t="s">
        <v>6870</v>
      </c>
      <c r="C7392" s="5" t="s">
        <v>45</v>
      </c>
      <c r="D7392" s="3" t="s">
        <v>221</v>
      </c>
      <c r="E7392" s="3" t="s">
        <v>414</v>
      </c>
      <c r="F7392" s="7">
        <v>45892.692589790815</v>
      </c>
      <c r="G7392" s="3" t="s">
        <v>21020</v>
      </c>
    </row>
    <row r="7393">
      <c r="A7393" s="3" t="s">
        <v>21021</v>
      </c>
      <c r="B7393" s="3" t="s">
        <v>6870</v>
      </c>
      <c r="C7393" s="5" t="s">
        <v>221</v>
      </c>
      <c r="D7393" s="3" t="s">
        <v>614</v>
      </c>
      <c r="E7393" s="3" t="s">
        <v>118</v>
      </c>
      <c r="F7393" s="7">
        <v>45892.696062013034</v>
      </c>
      <c r="G7393" s="3" t="s">
        <v>21023</v>
      </c>
    </row>
    <row r="7394">
      <c r="A7394" s="3" t="s">
        <v>21024</v>
      </c>
      <c r="B7394" s="3" t="s">
        <v>6870</v>
      </c>
      <c r="C7394" s="5" t="s">
        <v>614</v>
      </c>
      <c r="D7394" s="3" t="s">
        <v>206</v>
      </c>
      <c r="E7394" s="3" t="s">
        <v>100</v>
      </c>
      <c r="F7394" s="7">
        <v>45892.69953423526</v>
      </c>
      <c r="G7394" s="3" t="s">
        <v>21026</v>
      </c>
    </row>
    <row r="7395">
      <c r="A7395" s="3" t="s">
        <v>21027</v>
      </c>
      <c r="B7395" s="3" t="s">
        <v>6870</v>
      </c>
      <c r="C7395" s="5" t="s">
        <v>206</v>
      </c>
      <c r="D7395" s="3" t="s">
        <v>68</v>
      </c>
      <c r="E7395" s="3" t="s">
        <v>100</v>
      </c>
      <c r="F7395" s="7">
        <v>45892.70300645748</v>
      </c>
      <c r="G7395" s="3" t="s">
        <v>21029</v>
      </c>
    </row>
    <row r="7396">
      <c r="A7396" s="3" t="s">
        <v>21030</v>
      </c>
      <c r="B7396" s="3" t="s">
        <v>6873</v>
      </c>
      <c r="C7396" s="5" t="s">
        <v>45</v>
      </c>
      <c r="D7396" s="3" t="s">
        <v>221</v>
      </c>
      <c r="E7396" s="3" t="s">
        <v>735</v>
      </c>
      <c r="F7396" s="7">
        <v>45892.763764636235</v>
      </c>
      <c r="G7396" s="3" t="s">
        <v>21032</v>
      </c>
    </row>
    <row r="7397">
      <c r="A7397" s="3" t="s">
        <v>21033</v>
      </c>
      <c r="B7397" s="3" t="s">
        <v>6873</v>
      </c>
      <c r="C7397" s="5" t="s">
        <v>221</v>
      </c>
      <c r="D7397" s="3" t="s">
        <v>614</v>
      </c>
      <c r="E7397" s="3" t="s">
        <v>118</v>
      </c>
      <c r="F7397" s="7">
        <v>45892.76723685845</v>
      </c>
      <c r="G7397" s="3" t="s">
        <v>21034</v>
      </c>
    </row>
    <row r="7398">
      <c r="A7398" s="3" t="s">
        <v>21036</v>
      </c>
      <c r="B7398" s="3" t="s">
        <v>6873</v>
      </c>
      <c r="C7398" s="5" t="s">
        <v>614</v>
      </c>
      <c r="D7398" s="3" t="s">
        <v>206</v>
      </c>
      <c r="E7398" s="3" t="s">
        <v>100</v>
      </c>
      <c r="F7398" s="7">
        <v>45892.77070908068</v>
      </c>
      <c r="G7398" s="3" t="s">
        <v>21037</v>
      </c>
    </row>
    <row r="7399">
      <c r="A7399" s="3" t="s">
        <v>21038</v>
      </c>
      <c r="B7399" s="3" t="s">
        <v>6873</v>
      </c>
      <c r="C7399" s="5" t="s">
        <v>206</v>
      </c>
      <c r="D7399" s="3" t="s">
        <v>68</v>
      </c>
      <c r="E7399" s="3" t="s">
        <v>100</v>
      </c>
      <c r="F7399" s="7">
        <v>45892.7741813029</v>
      </c>
      <c r="G7399" s="3" t="s">
        <v>21040</v>
      </c>
    </row>
    <row r="7400">
      <c r="A7400" s="3" t="s">
        <v>21041</v>
      </c>
      <c r="B7400" s="3" t="s">
        <v>6876</v>
      </c>
      <c r="C7400" s="5" t="s">
        <v>45</v>
      </c>
      <c r="D7400" s="3" t="s">
        <v>221</v>
      </c>
      <c r="E7400" s="3" t="s">
        <v>1034</v>
      </c>
      <c r="F7400" s="7">
        <v>45892.83493948165</v>
      </c>
      <c r="G7400" s="3" t="s">
        <v>3888</v>
      </c>
    </row>
    <row r="7401">
      <c r="A7401" s="3" t="s">
        <v>21043</v>
      </c>
      <c r="B7401" s="3" t="s">
        <v>6876</v>
      </c>
      <c r="C7401" s="5" t="s">
        <v>221</v>
      </c>
      <c r="D7401" s="3" t="s">
        <v>614</v>
      </c>
      <c r="E7401" s="3" t="s">
        <v>118</v>
      </c>
      <c r="F7401" s="7">
        <v>45892.838411703866</v>
      </c>
      <c r="G7401" s="3" t="s">
        <v>3890</v>
      </c>
    </row>
    <row r="7402">
      <c r="A7402" s="3" t="s">
        <v>21045</v>
      </c>
      <c r="B7402" s="3" t="s">
        <v>6876</v>
      </c>
      <c r="C7402" s="5" t="s">
        <v>614</v>
      </c>
      <c r="D7402" s="3" t="s">
        <v>206</v>
      </c>
      <c r="E7402" s="3" t="s">
        <v>100</v>
      </c>
      <c r="F7402" s="7">
        <v>45892.84188392609</v>
      </c>
      <c r="G7402" s="3" t="s">
        <v>3893</v>
      </c>
    </row>
    <row r="7403">
      <c r="A7403" s="3" t="s">
        <v>21047</v>
      </c>
      <c r="B7403" s="3" t="s">
        <v>6876</v>
      </c>
      <c r="C7403" s="5" t="s">
        <v>206</v>
      </c>
      <c r="D7403" s="3" t="s">
        <v>68</v>
      </c>
      <c r="E7403" s="3" t="s">
        <v>100</v>
      </c>
      <c r="F7403" s="7">
        <v>45892.84535614831</v>
      </c>
      <c r="G7403" s="3" t="s">
        <v>3896</v>
      </c>
    </row>
    <row r="7404">
      <c r="A7404" s="3" t="s">
        <v>21049</v>
      </c>
      <c r="B7404" s="3" t="s">
        <v>6880</v>
      </c>
      <c r="C7404" s="5" t="s">
        <v>45</v>
      </c>
      <c r="D7404" s="3" t="s">
        <v>221</v>
      </c>
      <c r="E7404" s="3" t="s">
        <v>383</v>
      </c>
      <c r="F7404" s="7">
        <v>45892.90611432706</v>
      </c>
      <c r="G7404" s="3" t="s">
        <v>7756</v>
      </c>
    </row>
    <row r="7405">
      <c r="A7405" s="3" t="s">
        <v>21051</v>
      </c>
      <c r="B7405" s="3" t="s">
        <v>6880</v>
      </c>
      <c r="C7405" s="5" t="s">
        <v>221</v>
      </c>
      <c r="D7405" s="3" t="s">
        <v>614</v>
      </c>
      <c r="E7405" s="3" t="s">
        <v>118</v>
      </c>
      <c r="F7405" s="7">
        <v>45892.90958654928</v>
      </c>
      <c r="G7405" s="3" t="s">
        <v>7759</v>
      </c>
    </row>
    <row r="7406">
      <c r="A7406" s="3" t="s">
        <v>21052</v>
      </c>
      <c r="B7406" s="3" t="s">
        <v>6880</v>
      </c>
      <c r="C7406" s="5" t="s">
        <v>614</v>
      </c>
      <c r="D7406" s="3" t="s">
        <v>206</v>
      </c>
      <c r="E7406" s="3" t="s">
        <v>100</v>
      </c>
      <c r="F7406" s="7">
        <v>45892.913058771504</v>
      </c>
      <c r="G7406" s="3" t="s">
        <v>7762</v>
      </c>
    </row>
    <row r="7407">
      <c r="A7407" s="3" t="s">
        <v>21054</v>
      </c>
      <c r="B7407" s="3" t="s">
        <v>6880</v>
      </c>
      <c r="C7407" s="5" t="s">
        <v>206</v>
      </c>
      <c r="D7407" s="3" t="s">
        <v>68</v>
      </c>
      <c r="E7407" s="3" t="s">
        <v>100</v>
      </c>
      <c r="F7407" s="7">
        <v>45892.91653099372</v>
      </c>
      <c r="G7407" s="3" t="s">
        <v>7765</v>
      </c>
    </row>
    <row r="7408">
      <c r="A7408" s="3" t="s">
        <v>21056</v>
      </c>
      <c r="B7408" s="3" t="s">
        <v>6884</v>
      </c>
      <c r="C7408" s="5" t="s">
        <v>45</v>
      </c>
      <c r="D7408" s="3" t="s">
        <v>221</v>
      </c>
      <c r="E7408" s="3" t="s">
        <v>609</v>
      </c>
      <c r="F7408" s="7">
        <v>45892.97728917248</v>
      </c>
      <c r="G7408" s="3" t="s">
        <v>3922</v>
      </c>
    </row>
    <row r="7409">
      <c r="A7409" s="3" t="s">
        <v>21058</v>
      </c>
      <c r="B7409" s="3" t="s">
        <v>6884</v>
      </c>
      <c r="C7409" s="5" t="s">
        <v>221</v>
      </c>
      <c r="D7409" s="3" t="s">
        <v>614</v>
      </c>
      <c r="E7409" s="3" t="s">
        <v>118</v>
      </c>
      <c r="F7409" s="7">
        <v>45892.9807613947</v>
      </c>
      <c r="G7409" s="3" t="s">
        <v>3925</v>
      </c>
    </row>
    <row r="7410">
      <c r="A7410" s="3" t="s">
        <v>21060</v>
      </c>
      <c r="B7410" s="3" t="s">
        <v>6884</v>
      </c>
      <c r="C7410" s="5" t="s">
        <v>614</v>
      </c>
      <c r="D7410" s="3" t="s">
        <v>206</v>
      </c>
      <c r="E7410" s="3" t="s">
        <v>100</v>
      </c>
      <c r="F7410" s="7">
        <v>45892.984233616924</v>
      </c>
      <c r="G7410" s="3" t="s">
        <v>3928</v>
      </c>
    </row>
    <row r="7411">
      <c r="A7411" s="3" t="s">
        <v>21062</v>
      </c>
      <c r="B7411" s="3" t="s">
        <v>6884</v>
      </c>
      <c r="C7411" s="5" t="s">
        <v>206</v>
      </c>
      <c r="D7411" s="3" t="s">
        <v>68</v>
      </c>
      <c r="E7411" s="3" t="s">
        <v>100</v>
      </c>
      <c r="F7411" s="7">
        <v>45892.98770583914</v>
      </c>
      <c r="G7411" s="3" t="s">
        <v>3931</v>
      </c>
    </row>
    <row r="7412">
      <c r="A7412" s="3" t="s">
        <v>21064</v>
      </c>
      <c r="B7412" s="3" t="s">
        <v>6887</v>
      </c>
      <c r="C7412" s="5" t="s">
        <v>45</v>
      </c>
      <c r="D7412" s="3" t="s">
        <v>221</v>
      </c>
      <c r="E7412" s="3" t="s">
        <v>1034</v>
      </c>
      <c r="F7412" s="7">
        <v>45893.04846401789</v>
      </c>
      <c r="G7412" s="3" t="s">
        <v>4187</v>
      </c>
    </row>
    <row r="7413">
      <c r="A7413" s="3" t="s">
        <v>21066</v>
      </c>
      <c r="B7413" s="3" t="s">
        <v>6887</v>
      </c>
      <c r="C7413" s="5" t="s">
        <v>221</v>
      </c>
      <c r="D7413" s="3" t="s">
        <v>614</v>
      </c>
      <c r="E7413" s="3" t="s">
        <v>118</v>
      </c>
      <c r="F7413" s="7">
        <v>45893.05193624011</v>
      </c>
      <c r="G7413" s="3" t="s">
        <v>8275</v>
      </c>
    </row>
    <row r="7414">
      <c r="A7414" s="3" t="s">
        <v>21067</v>
      </c>
      <c r="B7414" s="3" t="s">
        <v>6887</v>
      </c>
      <c r="C7414" s="5" t="s">
        <v>614</v>
      </c>
      <c r="D7414" s="3" t="s">
        <v>206</v>
      </c>
      <c r="E7414" s="3" t="s">
        <v>100</v>
      </c>
      <c r="F7414" s="7">
        <v>45893.055408462336</v>
      </c>
      <c r="G7414" s="3" t="s">
        <v>8278</v>
      </c>
    </row>
    <row r="7415">
      <c r="A7415" s="3" t="s">
        <v>21069</v>
      </c>
      <c r="B7415" s="3" t="s">
        <v>6887</v>
      </c>
      <c r="C7415" s="5" t="s">
        <v>206</v>
      </c>
      <c r="D7415" s="3" t="s">
        <v>68</v>
      </c>
      <c r="E7415" s="3" t="s">
        <v>100</v>
      </c>
      <c r="F7415" s="7">
        <v>45893.058880684555</v>
      </c>
      <c r="G7415" s="3" t="s">
        <v>8281</v>
      </c>
    </row>
    <row r="7416">
      <c r="A7416" s="3" t="s">
        <v>21071</v>
      </c>
      <c r="B7416" s="3" t="s">
        <v>6890</v>
      </c>
      <c r="C7416" s="5" t="s">
        <v>45</v>
      </c>
      <c r="D7416" s="3" t="s">
        <v>221</v>
      </c>
      <c r="E7416" s="3" t="s">
        <v>920</v>
      </c>
      <c r="F7416" s="7">
        <v>45893.1196388633</v>
      </c>
      <c r="G7416" s="3" t="s">
        <v>5696</v>
      </c>
    </row>
    <row r="7417">
      <c r="A7417" s="3" t="s">
        <v>21073</v>
      </c>
      <c r="B7417" s="3" t="s">
        <v>6890</v>
      </c>
      <c r="C7417" s="5" t="s">
        <v>221</v>
      </c>
      <c r="D7417" s="3" t="s">
        <v>614</v>
      </c>
      <c r="E7417" s="3" t="s">
        <v>118</v>
      </c>
      <c r="F7417" s="7">
        <v>45893.12311108552</v>
      </c>
      <c r="G7417" s="3" t="s">
        <v>5699</v>
      </c>
    </row>
    <row r="7418">
      <c r="A7418" s="3" t="s">
        <v>21075</v>
      </c>
      <c r="B7418" s="3" t="s">
        <v>6890</v>
      </c>
      <c r="C7418" s="5" t="s">
        <v>614</v>
      </c>
      <c r="D7418" s="3" t="s">
        <v>206</v>
      </c>
      <c r="E7418" s="3" t="s">
        <v>100</v>
      </c>
      <c r="F7418" s="7">
        <v>45893.12658330775</v>
      </c>
      <c r="G7418" s="3" t="s">
        <v>5701</v>
      </c>
    </row>
    <row r="7419">
      <c r="A7419" s="3" t="s">
        <v>21077</v>
      </c>
      <c r="B7419" s="3" t="s">
        <v>6890</v>
      </c>
      <c r="C7419" s="5" t="s">
        <v>206</v>
      </c>
      <c r="D7419" s="3" t="s">
        <v>68</v>
      </c>
      <c r="E7419" s="3" t="s">
        <v>100</v>
      </c>
      <c r="F7419" s="7">
        <v>45893.13005552997</v>
      </c>
      <c r="G7419" s="3" t="s">
        <v>5704</v>
      </c>
    </row>
    <row r="7420">
      <c r="A7420" s="3" t="s">
        <v>21079</v>
      </c>
      <c r="B7420" s="3" t="s">
        <v>6893</v>
      </c>
      <c r="C7420" s="5" t="s">
        <v>45</v>
      </c>
      <c r="D7420" s="3" t="s">
        <v>221</v>
      </c>
      <c r="E7420" s="3" t="s">
        <v>290</v>
      </c>
      <c r="F7420" s="7">
        <v>45893.19081370872</v>
      </c>
      <c r="G7420" s="3" t="s">
        <v>15520</v>
      </c>
    </row>
    <row r="7421">
      <c r="A7421" s="3" t="s">
        <v>21081</v>
      </c>
      <c r="B7421" s="3" t="s">
        <v>6893</v>
      </c>
      <c r="C7421" s="5" t="s">
        <v>221</v>
      </c>
      <c r="D7421" s="3" t="s">
        <v>614</v>
      </c>
      <c r="E7421" s="3" t="s">
        <v>118</v>
      </c>
      <c r="F7421" s="7">
        <v>45893.19428593094</v>
      </c>
      <c r="G7421" s="3" t="s">
        <v>15523</v>
      </c>
    </row>
    <row r="7422">
      <c r="A7422" s="3" t="s">
        <v>21082</v>
      </c>
      <c r="B7422" s="3" t="s">
        <v>6893</v>
      </c>
      <c r="C7422" s="5" t="s">
        <v>614</v>
      </c>
      <c r="D7422" s="3" t="s">
        <v>206</v>
      </c>
      <c r="E7422" s="3" t="s">
        <v>100</v>
      </c>
      <c r="F7422" s="7">
        <v>45893.19775815317</v>
      </c>
      <c r="G7422" s="3" t="s">
        <v>15526</v>
      </c>
    </row>
    <row r="7423">
      <c r="A7423" s="3" t="s">
        <v>21084</v>
      </c>
      <c r="B7423" s="3" t="s">
        <v>6893</v>
      </c>
      <c r="C7423" s="5" t="s">
        <v>206</v>
      </c>
      <c r="D7423" s="3" t="s">
        <v>68</v>
      </c>
      <c r="E7423" s="3" t="s">
        <v>100</v>
      </c>
      <c r="F7423" s="7">
        <v>45893.20123037539</v>
      </c>
      <c r="G7423" s="3" t="s">
        <v>15528</v>
      </c>
    </row>
    <row r="7424">
      <c r="A7424" s="3" t="s">
        <v>21086</v>
      </c>
      <c r="B7424" s="3" t="s">
        <v>6895</v>
      </c>
      <c r="C7424" s="5" t="s">
        <v>45</v>
      </c>
      <c r="D7424" s="3" t="s">
        <v>221</v>
      </c>
      <c r="E7424" s="3" t="s">
        <v>903</v>
      </c>
      <c r="F7424" s="7">
        <v>45893.261988554135</v>
      </c>
      <c r="G7424" s="3" t="s">
        <v>21088</v>
      </c>
    </row>
    <row r="7425">
      <c r="A7425" s="3" t="s">
        <v>21089</v>
      </c>
      <c r="B7425" s="3" t="s">
        <v>6895</v>
      </c>
      <c r="C7425" s="5" t="s">
        <v>221</v>
      </c>
      <c r="D7425" s="3" t="s">
        <v>181</v>
      </c>
      <c r="E7425" s="3" t="s">
        <v>118</v>
      </c>
      <c r="F7425" s="7">
        <v>45893.265460776354</v>
      </c>
      <c r="G7425" s="3" t="s">
        <v>21091</v>
      </c>
    </row>
    <row r="7426">
      <c r="A7426" s="3" t="s">
        <v>21092</v>
      </c>
      <c r="B7426" s="3" t="s">
        <v>6897</v>
      </c>
      <c r="C7426" s="5" t="s">
        <v>45</v>
      </c>
      <c r="D7426" s="3" t="s">
        <v>221</v>
      </c>
      <c r="E7426" s="3" t="s">
        <v>269</v>
      </c>
      <c r="F7426" s="7">
        <v>45893.33316339955</v>
      </c>
      <c r="G7426" s="3" t="s">
        <v>7284</v>
      </c>
    </row>
    <row r="7427">
      <c r="A7427" s="3" t="s">
        <v>21093</v>
      </c>
      <c r="B7427" s="3" t="s">
        <v>6897</v>
      </c>
      <c r="C7427" s="5" t="s">
        <v>221</v>
      </c>
      <c r="D7427" s="3" t="s">
        <v>614</v>
      </c>
      <c r="E7427" s="3" t="s">
        <v>118</v>
      </c>
      <c r="F7427" s="7">
        <v>45893.33663562177</v>
      </c>
      <c r="G7427" s="3" t="s">
        <v>7287</v>
      </c>
    </row>
    <row r="7428">
      <c r="A7428" s="3" t="s">
        <v>21095</v>
      </c>
      <c r="B7428" s="3" t="s">
        <v>6897</v>
      </c>
      <c r="C7428" s="5" t="s">
        <v>614</v>
      </c>
      <c r="D7428" s="3" t="s">
        <v>206</v>
      </c>
      <c r="E7428" s="3" t="s">
        <v>100</v>
      </c>
      <c r="F7428" s="7">
        <v>45893.34010784399</v>
      </c>
      <c r="G7428" s="3" t="s">
        <v>7290</v>
      </c>
    </row>
    <row r="7429">
      <c r="A7429" s="3" t="s">
        <v>21097</v>
      </c>
      <c r="B7429" s="3" t="s">
        <v>6897</v>
      </c>
      <c r="C7429" s="5" t="s">
        <v>206</v>
      </c>
      <c r="D7429" s="3" t="s">
        <v>68</v>
      </c>
      <c r="E7429" s="3" t="s">
        <v>100</v>
      </c>
      <c r="F7429" s="7">
        <v>45893.34358006621</v>
      </c>
      <c r="G7429" s="3" t="s">
        <v>7293</v>
      </c>
    </row>
    <row r="7430">
      <c r="A7430" s="3" t="s">
        <v>21099</v>
      </c>
      <c r="B7430" s="3" t="s">
        <v>6899</v>
      </c>
      <c r="C7430" s="5" t="s">
        <v>45</v>
      </c>
      <c r="D7430" s="3" t="s">
        <v>221</v>
      </c>
      <c r="E7430" s="3" t="s">
        <v>307</v>
      </c>
      <c r="F7430" s="7">
        <v>45893.40433824497</v>
      </c>
      <c r="G7430" s="3" t="s">
        <v>3934</v>
      </c>
    </row>
    <row r="7431">
      <c r="A7431" s="3" t="s">
        <v>21101</v>
      </c>
      <c r="B7431" s="3" t="s">
        <v>6899</v>
      </c>
      <c r="C7431" s="5" t="s">
        <v>221</v>
      </c>
      <c r="D7431" s="3" t="s">
        <v>614</v>
      </c>
      <c r="E7431" s="3" t="s">
        <v>118</v>
      </c>
      <c r="F7431" s="7">
        <v>45893.407810467186</v>
      </c>
      <c r="G7431" s="3" t="s">
        <v>3937</v>
      </c>
    </row>
    <row r="7432">
      <c r="A7432" s="3" t="s">
        <v>21103</v>
      </c>
      <c r="B7432" s="3" t="s">
        <v>6899</v>
      </c>
      <c r="C7432" s="5" t="s">
        <v>614</v>
      </c>
      <c r="D7432" s="3" t="s">
        <v>206</v>
      </c>
      <c r="E7432" s="3" t="s">
        <v>100</v>
      </c>
      <c r="F7432" s="7">
        <v>45893.41128268941</v>
      </c>
      <c r="G7432" s="3" t="s">
        <v>3940</v>
      </c>
    </row>
    <row r="7433">
      <c r="A7433" s="3" t="s">
        <v>21105</v>
      </c>
      <c r="B7433" s="3" t="s">
        <v>6899</v>
      </c>
      <c r="C7433" s="5" t="s">
        <v>206</v>
      </c>
      <c r="D7433" s="3" t="s">
        <v>68</v>
      </c>
      <c r="E7433" s="3" t="s">
        <v>100</v>
      </c>
      <c r="F7433" s="7">
        <v>45893.41475491163</v>
      </c>
      <c r="G7433" s="3" t="s">
        <v>3942</v>
      </c>
    </row>
    <row r="7434">
      <c r="A7434" s="3" t="s">
        <v>21106</v>
      </c>
      <c r="B7434" s="3" t="s">
        <v>6901</v>
      </c>
      <c r="C7434" s="5" t="s">
        <v>45</v>
      </c>
      <c r="D7434" s="3" t="s">
        <v>221</v>
      </c>
      <c r="E7434" s="3" t="s">
        <v>691</v>
      </c>
      <c r="F7434" s="7">
        <v>45893.47551309038</v>
      </c>
      <c r="G7434" s="3" t="s">
        <v>19658</v>
      </c>
    </row>
    <row r="7435">
      <c r="A7435" s="3" t="s">
        <v>21108</v>
      </c>
      <c r="B7435" s="3" t="s">
        <v>6901</v>
      </c>
      <c r="C7435" s="5" t="s">
        <v>221</v>
      </c>
      <c r="D7435" s="3" t="s">
        <v>614</v>
      </c>
      <c r="E7435" s="3" t="s">
        <v>118</v>
      </c>
      <c r="F7435" s="7">
        <v>45893.4789853126</v>
      </c>
      <c r="G7435" s="3" t="s">
        <v>19661</v>
      </c>
    </row>
    <row r="7436">
      <c r="A7436" s="3" t="s">
        <v>21110</v>
      </c>
      <c r="B7436" s="3" t="s">
        <v>6901</v>
      </c>
      <c r="C7436" s="5" t="s">
        <v>614</v>
      </c>
      <c r="D7436" s="3" t="s">
        <v>206</v>
      </c>
      <c r="E7436" s="3" t="s">
        <v>100</v>
      </c>
      <c r="F7436" s="7">
        <v>45893.482457534825</v>
      </c>
      <c r="G7436" s="3" t="s">
        <v>19664</v>
      </c>
    </row>
    <row r="7437">
      <c r="A7437" s="3" t="s">
        <v>21112</v>
      </c>
      <c r="B7437" s="3" t="s">
        <v>6901</v>
      </c>
      <c r="C7437" s="5" t="s">
        <v>206</v>
      </c>
      <c r="D7437" s="3" t="s">
        <v>68</v>
      </c>
      <c r="E7437" s="3" t="s">
        <v>100</v>
      </c>
      <c r="F7437" s="7">
        <v>45893.485929757044</v>
      </c>
      <c r="G7437" s="3" t="s">
        <v>19667</v>
      </c>
    </row>
    <row r="7438">
      <c r="A7438" s="3" t="s">
        <v>21114</v>
      </c>
      <c r="B7438" s="3" t="s">
        <v>6903</v>
      </c>
      <c r="C7438" s="5" t="s">
        <v>45</v>
      </c>
      <c r="D7438" s="3" t="s">
        <v>221</v>
      </c>
      <c r="E7438" s="3" t="s">
        <v>650</v>
      </c>
      <c r="F7438" s="7">
        <v>45893.54668793579</v>
      </c>
      <c r="G7438" s="3" t="s">
        <v>3945</v>
      </c>
    </row>
    <row r="7439">
      <c r="A7439" s="3" t="s">
        <v>21115</v>
      </c>
      <c r="B7439" s="3" t="s">
        <v>6903</v>
      </c>
      <c r="C7439" s="5" t="s">
        <v>221</v>
      </c>
      <c r="D7439" s="3" t="s">
        <v>614</v>
      </c>
      <c r="E7439" s="3" t="s">
        <v>118</v>
      </c>
      <c r="F7439" s="7">
        <v>45893.55016015801</v>
      </c>
      <c r="G7439" s="3" t="s">
        <v>3948</v>
      </c>
    </row>
    <row r="7440">
      <c r="A7440" s="3" t="s">
        <v>21117</v>
      </c>
      <c r="B7440" s="3" t="s">
        <v>6903</v>
      </c>
      <c r="C7440" s="5" t="s">
        <v>614</v>
      </c>
      <c r="D7440" s="3" t="s">
        <v>206</v>
      </c>
      <c r="E7440" s="3" t="s">
        <v>100</v>
      </c>
      <c r="F7440" s="7">
        <v>45893.55363238024</v>
      </c>
      <c r="G7440" s="3" t="s">
        <v>3951</v>
      </c>
    </row>
    <row r="7441">
      <c r="A7441" s="3" t="s">
        <v>21119</v>
      </c>
      <c r="B7441" s="3" t="s">
        <v>6903</v>
      </c>
      <c r="C7441" s="5" t="s">
        <v>206</v>
      </c>
      <c r="D7441" s="3" t="s">
        <v>68</v>
      </c>
      <c r="E7441" s="3" t="s">
        <v>100</v>
      </c>
      <c r="F7441" s="7">
        <v>45893.557104602456</v>
      </c>
      <c r="G7441" s="3" t="s">
        <v>3953</v>
      </c>
    </row>
    <row r="7442">
      <c r="A7442" s="3" t="s">
        <v>21121</v>
      </c>
      <c r="B7442" s="3" t="s">
        <v>6907</v>
      </c>
      <c r="C7442" s="5" t="s">
        <v>45</v>
      </c>
      <c r="D7442" s="3" t="s">
        <v>221</v>
      </c>
      <c r="E7442" s="3" t="s">
        <v>689</v>
      </c>
      <c r="F7442" s="7">
        <v>45893.61786278121</v>
      </c>
      <c r="G7442" s="3" t="s">
        <v>5314</v>
      </c>
    </row>
    <row r="7443">
      <c r="A7443" s="3" t="s">
        <v>21123</v>
      </c>
      <c r="B7443" s="3" t="s">
        <v>6907</v>
      </c>
      <c r="C7443" s="5" t="s">
        <v>221</v>
      </c>
      <c r="D7443" s="3" t="s">
        <v>181</v>
      </c>
      <c r="E7443" s="3" t="s">
        <v>118</v>
      </c>
      <c r="F7443" s="7">
        <v>45893.62133500343</v>
      </c>
      <c r="G7443" s="3" t="s">
        <v>21125</v>
      </c>
    </row>
    <row r="7444">
      <c r="A7444" s="3" t="s">
        <v>21126</v>
      </c>
      <c r="B7444" s="3" t="s">
        <v>6909</v>
      </c>
      <c r="C7444" s="5" t="s">
        <v>45</v>
      </c>
      <c r="D7444" s="3" t="s">
        <v>221</v>
      </c>
      <c r="E7444" s="3" t="s">
        <v>145</v>
      </c>
      <c r="F7444" s="7">
        <v>45893.68903762663</v>
      </c>
      <c r="G7444" s="3" t="s">
        <v>3960</v>
      </c>
    </row>
    <row r="7445">
      <c r="A7445" s="3" t="s">
        <v>21128</v>
      </c>
      <c r="B7445" s="3" t="s">
        <v>6909</v>
      </c>
      <c r="C7445" s="5" t="s">
        <v>221</v>
      </c>
      <c r="D7445" s="3" t="s">
        <v>614</v>
      </c>
      <c r="E7445" s="3" t="s">
        <v>118</v>
      </c>
      <c r="F7445" s="7">
        <v>45893.69250984885</v>
      </c>
      <c r="G7445" s="3" t="s">
        <v>3963</v>
      </c>
    </row>
    <row r="7446">
      <c r="A7446" s="3" t="s">
        <v>21130</v>
      </c>
      <c r="B7446" s="3" t="s">
        <v>6909</v>
      </c>
      <c r="C7446" s="5" t="s">
        <v>614</v>
      </c>
      <c r="D7446" s="3" t="s">
        <v>206</v>
      </c>
      <c r="E7446" s="3" t="s">
        <v>100</v>
      </c>
      <c r="F7446" s="7">
        <v>45893.695982071076</v>
      </c>
      <c r="G7446" s="3" t="s">
        <v>3966</v>
      </c>
    </row>
    <row r="7447">
      <c r="A7447" s="3" t="s">
        <v>21132</v>
      </c>
      <c r="B7447" s="3" t="s">
        <v>6909</v>
      </c>
      <c r="C7447" s="5" t="s">
        <v>206</v>
      </c>
      <c r="D7447" s="3" t="s">
        <v>68</v>
      </c>
      <c r="E7447" s="3" t="s">
        <v>100</v>
      </c>
      <c r="F7447" s="7">
        <v>45893.699454293295</v>
      </c>
      <c r="G7447" s="3" t="s">
        <v>3969</v>
      </c>
    </row>
    <row r="7448">
      <c r="A7448" s="3" t="s">
        <v>21134</v>
      </c>
      <c r="B7448" s="3" t="s">
        <v>6913</v>
      </c>
      <c r="C7448" s="5" t="s">
        <v>45</v>
      </c>
      <c r="D7448" s="3" t="s">
        <v>221</v>
      </c>
      <c r="E7448" s="3" t="s">
        <v>516</v>
      </c>
      <c r="F7448" s="7">
        <v>45893.760212472036</v>
      </c>
      <c r="G7448" s="3" t="s">
        <v>3972</v>
      </c>
    </row>
    <row r="7449">
      <c r="A7449" s="3" t="s">
        <v>21136</v>
      </c>
      <c r="B7449" s="3" t="s">
        <v>6913</v>
      </c>
      <c r="C7449" s="5" t="s">
        <v>221</v>
      </c>
      <c r="D7449" s="3" t="s">
        <v>614</v>
      </c>
      <c r="E7449" s="3" t="s">
        <v>118</v>
      </c>
      <c r="F7449" s="7">
        <v>45893.763684694255</v>
      </c>
      <c r="G7449" s="3" t="s">
        <v>3975</v>
      </c>
    </row>
    <row r="7450">
      <c r="A7450" s="3" t="s">
        <v>21138</v>
      </c>
      <c r="B7450" s="3" t="s">
        <v>6913</v>
      </c>
      <c r="C7450" s="5" t="s">
        <v>614</v>
      </c>
      <c r="D7450" s="3" t="s">
        <v>206</v>
      </c>
      <c r="E7450" s="3" t="s">
        <v>100</v>
      </c>
      <c r="F7450" s="7">
        <v>45893.76715691648</v>
      </c>
      <c r="G7450" s="3" t="s">
        <v>3978</v>
      </c>
    </row>
    <row r="7451">
      <c r="A7451" s="3" t="s">
        <v>21140</v>
      </c>
      <c r="B7451" s="3" t="s">
        <v>6913</v>
      </c>
      <c r="C7451" s="5" t="s">
        <v>206</v>
      </c>
      <c r="D7451" s="3" t="s">
        <v>68</v>
      </c>
      <c r="E7451" s="3" t="s">
        <v>100</v>
      </c>
      <c r="F7451" s="7">
        <v>45893.7706291387</v>
      </c>
      <c r="G7451" s="3" t="s">
        <v>3981</v>
      </c>
    </row>
    <row r="7452">
      <c r="A7452" s="3" t="s">
        <v>21141</v>
      </c>
      <c r="B7452" s="3" t="s">
        <v>6916</v>
      </c>
      <c r="C7452" s="5" t="s">
        <v>45</v>
      </c>
      <c r="D7452" s="3" t="s">
        <v>221</v>
      </c>
      <c r="E7452" s="3" t="s">
        <v>515</v>
      </c>
      <c r="F7452" s="7">
        <v>45893.831387317456</v>
      </c>
      <c r="G7452" s="3" t="s">
        <v>21143</v>
      </c>
    </row>
    <row r="7453">
      <c r="A7453" s="3" t="s">
        <v>21144</v>
      </c>
      <c r="B7453" s="3" t="s">
        <v>6916</v>
      </c>
      <c r="C7453" s="5" t="s">
        <v>221</v>
      </c>
      <c r="D7453" s="3" t="s">
        <v>614</v>
      </c>
      <c r="E7453" s="3" t="s">
        <v>118</v>
      </c>
      <c r="F7453" s="7">
        <v>45893.834859539675</v>
      </c>
      <c r="G7453" s="3" t="s">
        <v>21146</v>
      </c>
    </row>
    <row r="7454">
      <c r="A7454" s="3" t="s">
        <v>21147</v>
      </c>
      <c r="B7454" s="3" t="s">
        <v>6916</v>
      </c>
      <c r="C7454" s="5" t="s">
        <v>614</v>
      </c>
      <c r="D7454" s="3" t="s">
        <v>206</v>
      </c>
      <c r="E7454" s="3" t="s">
        <v>100</v>
      </c>
      <c r="F7454" s="7">
        <v>45893.8383317619</v>
      </c>
      <c r="G7454" s="3" t="s">
        <v>21149</v>
      </c>
    </row>
    <row r="7455">
      <c r="A7455" s="3" t="s">
        <v>21150</v>
      </c>
      <c r="B7455" s="3" t="s">
        <v>6916</v>
      </c>
      <c r="C7455" s="5" t="s">
        <v>206</v>
      </c>
      <c r="D7455" s="3" t="s">
        <v>68</v>
      </c>
      <c r="E7455" s="3" t="s">
        <v>100</v>
      </c>
      <c r="F7455" s="7">
        <v>45893.84180398412</v>
      </c>
      <c r="G7455" s="3" t="s">
        <v>21151</v>
      </c>
    </row>
    <row r="7456">
      <c r="A7456" s="3" t="s">
        <v>21152</v>
      </c>
      <c r="B7456" s="3" t="s">
        <v>6918</v>
      </c>
      <c r="C7456" s="5" t="s">
        <v>45</v>
      </c>
      <c r="D7456" s="3" t="s">
        <v>221</v>
      </c>
      <c r="E7456" s="3" t="s">
        <v>359</v>
      </c>
      <c r="F7456" s="7">
        <v>45893.902562162875</v>
      </c>
      <c r="G7456" s="3" t="s">
        <v>21154</v>
      </c>
    </row>
    <row r="7457">
      <c r="A7457" s="3" t="s">
        <v>21155</v>
      </c>
      <c r="B7457" s="3" t="s">
        <v>6918</v>
      </c>
      <c r="C7457" s="5" t="s">
        <v>221</v>
      </c>
      <c r="D7457" s="3" t="s">
        <v>614</v>
      </c>
      <c r="E7457" s="3" t="s">
        <v>118</v>
      </c>
      <c r="F7457" s="7">
        <v>45893.906034385094</v>
      </c>
      <c r="G7457" s="3" t="s">
        <v>21157</v>
      </c>
    </row>
    <row r="7458">
      <c r="A7458" s="3" t="s">
        <v>21158</v>
      </c>
      <c r="B7458" s="3" t="s">
        <v>6918</v>
      </c>
      <c r="C7458" s="5" t="s">
        <v>614</v>
      </c>
      <c r="D7458" s="3" t="s">
        <v>206</v>
      </c>
      <c r="E7458" s="3" t="s">
        <v>100</v>
      </c>
      <c r="F7458" s="7">
        <v>45893.90950660732</v>
      </c>
      <c r="G7458" s="3" t="s">
        <v>21160</v>
      </c>
    </row>
    <row r="7459">
      <c r="A7459" s="3" t="s">
        <v>21161</v>
      </c>
      <c r="B7459" s="3" t="s">
        <v>6918</v>
      </c>
      <c r="C7459" s="5" t="s">
        <v>206</v>
      </c>
      <c r="D7459" s="3" t="s">
        <v>68</v>
      </c>
      <c r="E7459" s="3" t="s">
        <v>100</v>
      </c>
      <c r="F7459" s="7">
        <v>45893.91297882954</v>
      </c>
      <c r="G7459" s="3" t="s">
        <v>21163</v>
      </c>
    </row>
    <row r="7460">
      <c r="A7460" s="3" t="s">
        <v>21164</v>
      </c>
      <c r="B7460" s="3" t="s">
        <v>6920</v>
      </c>
      <c r="C7460" s="5" t="s">
        <v>45</v>
      </c>
      <c r="D7460" s="3" t="s">
        <v>221</v>
      </c>
      <c r="E7460" s="3" t="s">
        <v>1043</v>
      </c>
      <c r="F7460" s="7">
        <v>45893.97373700829</v>
      </c>
      <c r="G7460" s="3" t="s">
        <v>21166</v>
      </c>
    </row>
    <row r="7461">
      <c r="A7461" s="3" t="s">
        <v>21167</v>
      </c>
      <c r="B7461" s="3" t="s">
        <v>6920</v>
      </c>
      <c r="C7461" s="5" t="s">
        <v>221</v>
      </c>
      <c r="D7461" s="3" t="s">
        <v>614</v>
      </c>
      <c r="E7461" s="3" t="s">
        <v>118</v>
      </c>
      <c r="F7461" s="7">
        <v>45893.97720923051</v>
      </c>
      <c r="G7461" s="3" t="s">
        <v>21169</v>
      </c>
    </row>
    <row r="7462">
      <c r="A7462" s="3" t="s">
        <v>21170</v>
      </c>
      <c r="B7462" s="3" t="s">
        <v>6920</v>
      </c>
      <c r="C7462" s="5" t="s">
        <v>614</v>
      </c>
      <c r="D7462" s="3" t="s">
        <v>206</v>
      </c>
      <c r="E7462" s="3" t="s">
        <v>100</v>
      </c>
      <c r="F7462" s="7">
        <v>45893.98068145273</v>
      </c>
      <c r="G7462" s="3" t="s">
        <v>21171</v>
      </c>
    </row>
    <row r="7463">
      <c r="A7463" s="3" t="s">
        <v>21173</v>
      </c>
      <c r="B7463" s="3" t="s">
        <v>6920</v>
      </c>
      <c r="C7463" s="5" t="s">
        <v>206</v>
      </c>
      <c r="D7463" s="3" t="s">
        <v>68</v>
      </c>
      <c r="E7463" s="3" t="s">
        <v>100</v>
      </c>
      <c r="F7463" s="7">
        <v>45893.98415367495</v>
      </c>
      <c r="G7463" s="3" t="s">
        <v>21174</v>
      </c>
    </row>
    <row r="7464">
      <c r="A7464" s="3" t="s">
        <v>21175</v>
      </c>
      <c r="B7464" s="3" t="s">
        <v>6924</v>
      </c>
      <c r="C7464" s="5" t="s">
        <v>45</v>
      </c>
      <c r="D7464" s="3" t="s">
        <v>221</v>
      </c>
      <c r="E7464" s="3" t="s">
        <v>319</v>
      </c>
      <c r="F7464" s="7">
        <v>45894.0449118537</v>
      </c>
      <c r="G7464" s="3" t="s">
        <v>3984</v>
      </c>
    </row>
    <row r="7465">
      <c r="A7465" s="3" t="s">
        <v>21177</v>
      </c>
      <c r="B7465" s="3" t="s">
        <v>6924</v>
      </c>
      <c r="C7465" s="5" t="s">
        <v>221</v>
      </c>
      <c r="D7465" s="3" t="s">
        <v>614</v>
      </c>
      <c r="E7465" s="3" t="s">
        <v>118</v>
      </c>
      <c r="F7465" s="7">
        <v>45894.04838407592</v>
      </c>
      <c r="G7465" s="3" t="s">
        <v>3987</v>
      </c>
    </row>
    <row r="7466">
      <c r="A7466" s="3" t="s">
        <v>21179</v>
      </c>
      <c r="B7466" s="3" t="s">
        <v>6924</v>
      </c>
      <c r="C7466" s="5" t="s">
        <v>614</v>
      </c>
      <c r="D7466" s="3" t="s">
        <v>206</v>
      </c>
      <c r="E7466" s="3" t="s">
        <v>100</v>
      </c>
      <c r="F7466" s="7">
        <v>45894.051856298145</v>
      </c>
      <c r="G7466" s="3" t="s">
        <v>3990</v>
      </c>
    </row>
    <row r="7467">
      <c r="A7467" s="3" t="s">
        <v>21181</v>
      </c>
      <c r="B7467" s="3" t="s">
        <v>6924</v>
      </c>
      <c r="C7467" s="5" t="s">
        <v>206</v>
      </c>
      <c r="D7467" s="3" t="s">
        <v>68</v>
      </c>
      <c r="E7467" s="3" t="s">
        <v>100</v>
      </c>
      <c r="F7467" s="7">
        <v>45894.055328520364</v>
      </c>
      <c r="G7467" s="3" t="s">
        <v>3993</v>
      </c>
    </row>
    <row r="7468">
      <c r="A7468" s="3" t="s">
        <v>21183</v>
      </c>
      <c r="B7468" s="3" t="s">
        <v>6926</v>
      </c>
      <c r="C7468" s="5" t="s">
        <v>45</v>
      </c>
      <c r="D7468" s="3" t="s">
        <v>221</v>
      </c>
      <c r="E7468" s="3" t="s">
        <v>436</v>
      </c>
      <c r="F7468" s="7">
        <v>45894.11608669912</v>
      </c>
      <c r="G7468" s="3" t="s">
        <v>5349</v>
      </c>
    </row>
    <row r="7469">
      <c r="A7469" s="3" t="s">
        <v>21185</v>
      </c>
      <c r="B7469" s="3" t="s">
        <v>6926</v>
      </c>
      <c r="C7469" s="5" t="s">
        <v>221</v>
      </c>
      <c r="D7469" s="3" t="s">
        <v>614</v>
      </c>
      <c r="E7469" s="3" t="s">
        <v>118</v>
      </c>
      <c r="F7469" s="7">
        <v>45894.11955892134</v>
      </c>
      <c r="G7469" s="3" t="s">
        <v>5352</v>
      </c>
    </row>
    <row r="7470">
      <c r="A7470" s="3" t="s">
        <v>21187</v>
      </c>
      <c r="B7470" s="3" t="s">
        <v>6926</v>
      </c>
      <c r="C7470" s="5" t="s">
        <v>614</v>
      </c>
      <c r="D7470" s="3" t="s">
        <v>206</v>
      </c>
      <c r="E7470" s="3" t="s">
        <v>100</v>
      </c>
      <c r="F7470" s="7">
        <v>45894.123031143565</v>
      </c>
      <c r="G7470" s="3" t="s">
        <v>5355</v>
      </c>
    </row>
    <row r="7471">
      <c r="A7471" s="3" t="s">
        <v>21189</v>
      </c>
      <c r="B7471" s="3" t="s">
        <v>6926</v>
      </c>
      <c r="C7471" s="5" t="s">
        <v>206</v>
      </c>
      <c r="D7471" s="3" t="s">
        <v>68</v>
      </c>
      <c r="E7471" s="3" t="s">
        <v>100</v>
      </c>
      <c r="F7471" s="7">
        <v>45894.126503365784</v>
      </c>
      <c r="G7471" s="3" t="s">
        <v>5358</v>
      </c>
    </row>
    <row r="7472">
      <c r="A7472" s="3" t="s">
        <v>21191</v>
      </c>
      <c r="B7472" s="3" t="s">
        <v>6928</v>
      </c>
      <c r="C7472" s="5" t="s">
        <v>45</v>
      </c>
      <c r="D7472" s="3" t="s">
        <v>221</v>
      </c>
      <c r="E7472" s="3" t="s">
        <v>204</v>
      </c>
      <c r="F7472" s="7">
        <v>45894.18726154453</v>
      </c>
      <c r="G7472" s="3" t="s">
        <v>17592</v>
      </c>
    </row>
    <row r="7473">
      <c r="A7473" s="3" t="s">
        <v>21193</v>
      </c>
      <c r="B7473" s="3" t="s">
        <v>6928</v>
      </c>
      <c r="C7473" s="5" t="s">
        <v>221</v>
      </c>
      <c r="D7473" s="3" t="s">
        <v>614</v>
      </c>
      <c r="E7473" s="3" t="s">
        <v>118</v>
      </c>
      <c r="F7473" s="7">
        <v>45894.19073376675</v>
      </c>
      <c r="G7473" s="3" t="s">
        <v>19466</v>
      </c>
    </row>
    <row r="7474">
      <c r="A7474" s="3" t="s">
        <v>21194</v>
      </c>
      <c r="B7474" s="3" t="s">
        <v>6928</v>
      </c>
      <c r="C7474" s="5" t="s">
        <v>614</v>
      </c>
      <c r="D7474" s="3" t="s">
        <v>206</v>
      </c>
      <c r="E7474" s="3" t="s">
        <v>100</v>
      </c>
      <c r="F7474" s="7">
        <v>45894.19420598898</v>
      </c>
      <c r="G7474" s="3" t="s">
        <v>19469</v>
      </c>
    </row>
    <row r="7475">
      <c r="A7475" s="3" t="s">
        <v>21196</v>
      </c>
      <c r="B7475" s="3" t="s">
        <v>6928</v>
      </c>
      <c r="C7475" s="5" t="s">
        <v>206</v>
      </c>
      <c r="D7475" s="3" t="s">
        <v>68</v>
      </c>
      <c r="E7475" s="3" t="s">
        <v>100</v>
      </c>
      <c r="F7475" s="7">
        <v>45894.197678211196</v>
      </c>
      <c r="G7475" s="3" t="s">
        <v>19472</v>
      </c>
    </row>
    <row r="7476">
      <c r="A7476" s="3" t="s">
        <v>21198</v>
      </c>
      <c r="B7476" s="3" t="s">
        <v>6930</v>
      </c>
      <c r="C7476" s="5" t="s">
        <v>45</v>
      </c>
      <c r="D7476" s="3" t="s">
        <v>221</v>
      </c>
      <c r="E7476" s="3" t="s">
        <v>348</v>
      </c>
      <c r="F7476" s="7">
        <v>45894.258436389944</v>
      </c>
      <c r="G7476" s="3" t="s">
        <v>17986</v>
      </c>
    </row>
    <row r="7477">
      <c r="A7477" s="3" t="s">
        <v>21200</v>
      </c>
      <c r="B7477" s="3" t="s">
        <v>6930</v>
      </c>
      <c r="C7477" s="5" t="s">
        <v>221</v>
      </c>
      <c r="D7477" s="3" t="s">
        <v>614</v>
      </c>
      <c r="E7477" s="3" t="s">
        <v>118</v>
      </c>
      <c r="F7477" s="7">
        <v>45894.26190861216</v>
      </c>
      <c r="G7477" s="3" t="s">
        <v>17989</v>
      </c>
    </row>
    <row r="7478">
      <c r="A7478" s="3" t="s">
        <v>21202</v>
      </c>
      <c r="B7478" s="3" t="s">
        <v>6930</v>
      </c>
      <c r="C7478" s="5" t="s">
        <v>614</v>
      </c>
      <c r="D7478" s="3" t="s">
        <v>206</v>
      </c>
      <c r="E7478" s="3" t="s">
        <v>100</v>
      </c>
      <c r="F7478" s="7">
        <v>45894.26538083439</v>
      </c>
      <c r="G7478" s="3" t="s">
        <v>17992</v>
      </c>
    </row>
    <row r="7479">
      <c r="A7479" s="3" t="s">
        <v>21204</v>
      </c>
      <c r="B7479" s="3" t="s">
        <v>6930</v>
      </c>
      <c r="C7479" s="5" t="s">
        <v>206</v>
      </c>
      <c r="D7479" s="3" t="s">
        <v>68</v>
      </c>
      <c r="E7479" s="3" t="s">
        <v>100</v>
      </c>
      <c r="F7479" s="7">
        <v>45894.26885305661</v>
      </c>
      <c r="G7479" s="3" t="s">
        <v>17995</v>
      </c>
    </row>
    <row r="7480">
      <c r="A7480" s="3" t="s">
        <v>21205</v>
      </c>
      <c r="B7480" s="3" t="s">
        <v>6933</v>
      </c>
      <c r="C7480" s="5" t="s">
        <v>45</v>
      </c>
      <c r="D7480" s="3" t="s">
        <v>221</v>
      </c>
      <c r="E7480" s="3" t="s">
        <v>1049</v>
      </c>
      <c r="F7480" s="7">
        <v>45894.329611235364</v>
      </c>
      <c r="G7480" s="3" t="s">
        <v>21207</v>
      </c>
    </row>
    <row r="7481">
      <c r="A7481" s="3" t="s">
        <v>21208</v>
      </c>
      <c r="B7481" s="3" t="s">
        <v>6933</v>
      </c>
      <c r="C7481" s="5" t="s">
        <v>221</v>
      </c>
      <c r="D7481" s="3" t="s">
        <v>614</v>
      </c>
      <c r="E7481" s="3" t="s">
        <v>118</v>
      </c>
      <c r="F7481" s="7">
        <v>45894.33308345758</v>
      </c>
      <c r="G7481" s="3" t="s">
        <v>21210</v>
      </c>
    </row>
    <row r="7482">
      <c r="A7482" s="3" t="s">
        <v>21211</v>
      </c>
      <c r="B7482" s="3" t="s">
        <v>6933</v>
      </c>
      <c r="C7482" s="5" t="s">
        <v>614</v>
      </c>
      <c r="D7482" s="3" t="s">
        <v>206</v>
      </c>
      <c r="E7482" s="3" t="s">
        <v>100</v>
      </c>
      <c r="F7482" s="7">
        <v>45894.33655567981</v>
      </c>
      <c r="G7482" s="3" t="s">
        <v>21213</v>
      </c>
    </row>
    <row r="7483">
      <c r="A7483" s="3" t="s">
        <v>21214</v>
      </c>
      <c r="B7483" s="3" t="s">
        <v>6933</v>
      </c>
      <c r="C7483" s="5" t="s">
        <v>206</v>
      </c>
      <c r="D7483" s="3" t="s">
        <v>68</v>
      </c>
      <c r="E7483" s="3" t="s">
        <v>100</v>
      </c>
      <c r="F7483" s="7">
        <v>45894.34002790203</v>
      </c>
      <c r="G7483" s="3" t="s">
        <v>21215</v>
      </c>
    </row>
    <row r="7484">
      <c r="A7484" s="3" t="s">
        <v>21217</v>
      </c>
      <c r="B7484" s="3" t="s">
        <v>6936</v>
      </c>
      <c r="C7484" s="5" t="s">
        <v>45</v>
      </c>
      <c r="D7484" s="3" t="s">
        <v>221</v>
      </c>
      <c r="E7484" s="3" t="s">
        <v>468</v>
      </c>
      <c r="F7484" s="7">
        <v>45894.400786080776</v>
      </c>
      <c r="G7484" s="3" t="s">
        <v>10975</v>
      </c>
    </row>
    <row r="7485">
      <c r="A7485" s="3" t="s">
        <v>21218</v>
      </c>
      <c r="B7485" s="3" t="s">
        <v>6936</v>
      </c>
      <c r="C7485" s="5" t="s">
        <v>221</v>
      </c>
      <c r="D7485" s="3" t="s">
        <v>614</v>
      </c>
      <c r="E7485" s="3" t="s">
        <v>118</v>
      </c>
      <c r="F7485" s="7">
        <v>45894.404258302995</v>
      </c>
      <c r="G7485" s="3" t="s">
        <v>10978</v>
      </c>
    </row>
    <row r="7486">
      <c r="A7486" s="3" t="s">
        <v>21220</v>
      </c>
      <c r="B7486" s="3" t="s">
        <v>6936</v>
      </c>
      <c r="C7486" s="5" t="s">
        <v>614</v>
      </c>
      <c r="D7486" s="3" t="s">
        <v>206</v>
      </c>
      <c r="E7486" s="3" t="s">
        <v>100</v>
      </c>
      <c r="F7486" s="7">
        <v>45894.40773052522</v>
      </c>
      <c r="G7486" s="3" t="s">
        <v>10981</v>
      </c>
    </row>
    <row r="7487">
      <c r="A7487" s="3" t="s">
        <v>21222</v>
      </c>
      <c r="B7487" s="3" t="s">
        <v>6936</v>
      </c>
      <c r="C7487" s="5" t="s">
        <v>206</v>
      </c>
      <c r="D7487" s="3" t="s">
        <v>68</v>
      </c>
      <c r="E7487" s="3" t="s">
        <v>100</v>
      </c>
      <c r="F7487" s="7">
        <v>45894.41120274744</v>
      </c>
      <c r="G7487" s="3" t="s">
        <v>10984</v>
      </c>
    </row>
    <row r="7488">
      <c r="A7488" s="3" t="s">
        <v>21224</v>
      </c>
      <c r="B7488" s="3" t="s">
        <v>6939</v>
      </c>
      <c r="C7488" s="5" t="s">
        <v>45</v>
      </c>
      <c r="D7488" s="3" t="s">
        <v>221</v>
      </c>
      <c r="E7488" s="3" t="s">
        <v>498</v>
      </c>
      <c r="F7488" s="7">
        <v>45894.47196092619</v>
      </c>
      <c r="G7488" s="3" t="s">
        <v>3996</v>
      </c>
    </row>
    <row r="7489">
      <c r="A7489" s="3" t="s">
        <v>21226</v>
      </c>
      <c r="B7489" s="3" t="s">
        <v>6939</v>
      </c>
      <c r="C7489" s="5" t="s">
        <v>221</v>
      </c>
      <c r="D7489" s="3" t="s">
        <v>614</v>
      </c>
      <c r="E7489" s="3" t="s">
        <v>118</v>
      </c>
      <c r="F7489" s="7">
        <v>45894.47543314841</v>
      </c>
      <c r="G7489" s="3" t="s">
        <v>3999</v>
      </c>
    </row>
    <row r="7490">
      <c r="A7490" s="3" t="s">
        <v>21228</v>
      </c>
      <c r="B7490" s="3" t="s">
        <v>6939</v>
      </c>
      <c r="C7490" s="5" t="s">
        <v>614</v>
      </c>
      <c r="D7490" s="3" t="s">
        <v>206</v>
      </c>
      <c r="E7490" s="3" t="s">
        <v>100</v>
      </c>
      <c r="F7490" s="7">
        <v>45894.47890537063</v>
      </c>
      <c r="G7490" s="3" t="s">
        <v>4002</v>
      </c>
    </row>
    <row r="7491">
      <c r="A7491" s="3" t="s">
        <v>21230</v>
      </c>
      <c r="B7491" s="3" t="s">
        <v>6939</v>
      </c>
      <c r="C7491" s="5" t="s">
        <v>206</v>
      </c>
      <c r="D7491" s="3" t="s">
        <v>68</v>
      </c>
      <c r="E7491" s="3" t="s">
        <v>100</v>
      </c>
      <c r="F7491" s="7">
        <v>45894.48237759285</v>
      </c>
      <c r="G7491" s="3" t="s">
        <v>4005</v>
      </c>
    </row>
    <row r="7492">
      <c r="A7492" s="3" t="s">
        <v>21232</v>
      </c>
      <c r="B7492" s="3" t="s">
        <v>6943</v>
      </c>
      <c r="C7492" s="5" t="s">
        <v>45</v>
      </c>
      <c r="D7492" s="3" t="s">
        <v>221</v>
      </c>
      <c r="E7492" s="3" t="s">
        <v>130</v>
      </c>
      <c r="F7492" s="7">
        <v>45894.54313577161</v>
      </c>
      <c r="G7492" s="3" t="s">
        <v>4007</v>
      </c>
    </row>
    <row r="7493">
      <c r="A7493" s="3" t="s">
        <v>21234</v>
      </c>
      <c r="B7493" s="3" t="s">
        <v>6943</v>
      </c>
      <c r="C7493" s="5" t="s">
        <v>221</v>
      </c>
      <c r="D7493" s="3" t="s">
        <v>614</v>
      </c>
      <c r="E7493" s="3" t="s">
        <v>118</v>
      </c>
      <c r="F7493" s="7">
        <v>45894.54660799383</v>
      </c>
      <c r="G7493" s="3" t="s">
        <v>4010</v>
      </c>
    </row>
    <row r="7494">
      <c r="A7494" s="3" t="s">
        <v>21235</v>
      </c>
      <c r="B7494" s="3" t="s">
        <v>6943</v>
      </c>
      <c r="C7494" s="5" t="s">
        <v>614</v>
      </c>
      <c r="D7494" s="3" t="s">
        <v>206</v>
      </c>
      <c r="E7494" s="3" t="s">
        <v>100</v>
      </c>
      <c r="F7494" s="7">
        <v>45894.55008021605</v>
      </c>
      <c r="G7494" s="3" t="s">
        <v>4013</v>
      </c>
    </row>
    <row r="7495">
      <c r="A7495" s="3" t="s">
        <v>21237</v>
      </c>
      <c r="B7495" s="3" t="s">
        <v>6943</v>
      </c>
      <c r="C7495" s="5" t="s">
        <v>206</v>
      </c>
      <c r="D7495" s="3" t="s">
        <v>68</v>
      </c>
      <c r="E7495" s="3" t="s">
        <v>100</v>
      </c>
      <c r="F7495" s="7">
        <v>45894.55355243827</v>
      </c>
      <c r="G7495" s="3" t="s">
        <v>4016</v>
      </c>
    </row>
    <row r="7496">
      <c r="A7496" s="3" t="s">
        <v>21239</v>
      </c>
      <c r="B7496" s="3" t="s">
        <v>6947</v>
      </c>
      <c r="C7496" s="5" t="s">
        <v>45</v>
      </c>
      <c r="D7496" s="3" t="s">
        <v>221</v>
      </c>
      <c r="E7496" s="3" t="s">
        <v>926</v>
      </c>
      <c r="F7496" s="7">
        <v>45894.61431061702</v>
      </c>
      <c r="G7496" s="3" t="s">
        <v>4019</v>
      </c>
    </row>
    <row r="7497">
      <c r="A7497" s="3" t="s">
        <v>21241</v>
      </c>
      <c r="B7497" s="3" t="s">
        <v>6947</v>
      </c>
      <c r="C7497" s="5" t="s">
        <v>221</v>
      </c>
      <c r="D7497" s="3" t="s">
        <v>614</v>
      </c>
      <c r="E7497" s="3" t="s">
        <v>118</v>
      </c>
      <c r="F7497" s="7">
        <v>45894.61778283924</v>
      </c>
      <c r="G7497" s="3" t="s">
        <v>4022</v>
      </c>
    </row>
    <row r="7498">
      <c r="A7498" s="3" t="s">
        <v>21243</v>
      </c>
      <c r="B7498" s="3" t="s">
        <v>6947</v>
      </c>
      <c r="C7498" s="5" t="s">
        <v>614</v>
      </c>
      <c r="D7498" s="3" t="s">
        <v>206</v>
      </c>
      <c r="E7498" s="3" t="s">
        <v>100</v>
      </c>
      <c r="F7498" s="7">
        <v>45894.621255061465</v>
      </c>
      <c r="G7498" s="3" t="s">
        <v>4025</v>
      </c>
    </row>
    <row r="7499">
      <c r="A7499" s="3" t="s">
        <v>21245</v>
      </c>
      <c r="B7499" s="3" t="s">
        <v>6947</v>
      </c>
      <c r="C7499" s="5" t="s">
        <v>206</v>
      </c>
      <c r="D7499" s="3" t="s">
        <v>68</v>
      </c>
      <c r="E7499" s="3" t="s">
        <v>100</v>
      </c>
      <c r="F7499" s="7">
        <v>45894.624727283684</v>
      </c>
      <c r="G7499" s="3" t="s">
        <v>4028</v>
      </c>
    </row>
    <row r="7500">
      <c r="A7500" s="3" t="s">
        <v>21247</v>
      </c>
      <c r="B7500" s="3" t="s">
        <v>6950</v>
      </c>
      <c r="C7500" s="5" t="s">
        <v>45</v>
      </c>
      <c r="D7500" s="3" t="s">
        <v>221</v>
      </c>
      <c r="E7500" s="3" t="s">
        <v>505</v>
      </c>
      <c r="F7500" s="7">
        <v>45894.68548546243</v>
      </c>
      <c r="G7500" s="3" t="s">
        <v>4770</v>
      </c>
    </row>
    <row r="7501">
      <c r="A7501" s="3" t="s">
        <v>21249</v>
      </c>
      <c r="B7501" s="3" t="s">
        <v>6950</v>
      </c>
      <c r="C7501" s="5" t="s">
        <v>221</v>
      </c>
      <c r="D7501" s="3" t="s">
        <v>614</v>
      </c>
      <c r="E7501" s="3" t="s">
        <v>118</v>
      </c>
      <c r="F7501" s="7">
        <v>45894.68895768465</v>
      </c>
      <c r="G7501" s="3" t="s">
        <v>4773</v>
      </c>
    </row>
    <row r="7502">
      <c r="A7502" s="3" t="s">
        <v>21251</v>
      </c>
      <c r="B7502" s="3" t="s">
        <v>6950</v>
      </c>
      <c r="C7502" s="5" t="s">
        <v>614</v>
      </c>
      <c r="D7502" s="3" t="s">
        <v>206</v>
      </c>
      <c r="E7502" s="3" t="s">
        <v>100</v>
      </c>
      <c r="F7502" s="7">
        <v>45894.69242990688</v>
      </c>
      <c r="G7502" s="3" t="s">
        <v>4776</v>
      </c>
    </row>
    <row r="7503">
      <c r="A7503" s="3" t="s">
        <v>21252</v>
      </c>
      <c r="B7503" s="3" t="s">
        <v>6950</v>
      </c>
      <c r="C7503" s="5" t="s">
        <v>206</v>
      </c>
      <c r="D7503" s="3" t="s">
        <v>68</v>
      </c>
      <c r="E7503" s="3" t="s">
        <v>100</v>
      </c>
      <c r="F7503" s="7">
        <v>45894.6959021291</v>
      </c>
      <c r="G7503" s="3" t="s">
        <v>4779</v>
      </c>
    </row>
    <row r="7504">
      <c r="A7504" s="3" t="s">
        <v>21254</v>
      </c>
      <c r="B7504" s="3" t="s">
        <v>6953</v>
      </c>
      <c r="C7504" s="5" t="s">
        <v>45</v>
      </c>
      <c r="D7504" s="3" t="s">
        <v>221</v>
      </c>
      <c r="E7504" s="3" t="s">
        <v>322</v>
      </c>
      <c r="F7504" s="7">
        <v>45894.75666030785</v>
      </c>
      <c r="G7504" s="3" t="s">
        <v>4043</v>
      </c>
    </row>
    <row r="7505">
      <c r="A7505" s="3" t="s">
        <v>21256</v>
      </c>
      <c r="B7505" s="3" t="s">
        <v>6953</v>
      </c>
      <c r="C7505" s="5" t="s">
        <v>221</v>
      </c>
      <c r="D7505" s="3" t="s">
        <v>614</v>
      </c>
      <c r="E7505" s="3" t="s">
        <v>118</v>
      </c>
      <c r="F7505" s="7">
        <v>45894.76013253007</v>
      </c>
      <c r="G7505" s="3" t="s">
        <v>4046</v>
      </c>
    </row>
    <row r="7506">
      <c r="A7506" s="3" t="s">
        <v>21258</v>
      </c>
      <c r="B7506" s="3" t="s">
        <v>6953</v>
      </c>
      <c r="C7506" s="5" t="s">
        <v>614</v>
      </c>
      <c r="D7506" s="3" t="s">
        <v>206</v>
      </c>
      <c r="E7506" s="3" t="s">
        <v>100</v>
      </c>
      <c r="F7506" s="7">
        <v>45894.7636047523</v>
      </c>
      <c r="G7506" s="3" t="s">
        <v>4049</v>
      </c>
    </row>
    <row r="7507">
      <c r="A7507" s="3" t="s">
        <v>21260</v>
      </c>
      <c r="B7507" s="3" t="s">
        <v>6953</v>
      </c>
      <c r="C7507" s="5" t="s">
        <v>206</v>
      </c>
      <c r="D7507" s="3" t="s">
        <v>68</v>
      </c>
      <c r="E7507" s="3" t="s">
        <v>100</v>
      </c>
      <c r="F7507" s="7">
        <v>45894.76707697452</v>
      </c>
      <c r="G7507" s="3" t="s">
        <v>4051</v>
      </c>
    </row>
    <row r="7508">
      <c r="A7508" s="3" t="s">
        <v>21262</v>
      </c>
      <c r="B7508" s="3" t="s">
        <v>6956</v>
      </c>
      <c r="C7508" s="5" t="s">
        <v>45</v>
      </c>
      <c r="D7508" s="3" t="s">
        <v>221</v>
      </c>
      <c r="E7508" s="3" t="s">
        <v>263</v>
      </c>
      <c r="F7508" s="7">
        <v>45894.82783515327</v>
      </c>
      <c r="G7508" s="3" t="s">
        <v>4089</v>
      </c>
    </row>
    <row r="7509">
      <c r="A7509" s="3" t="s">
        <v>21264</v>
      </c>
      <c r="B7509" s="3" t="s">
        <v>6956</v>
      </c>
      <c r="C7509" s="5" t="s">
        <v>221</v>
      </c>
      <c r="D7509" s="3" t="s">
        <v>614</v>
      </c>
      <c r="E7509" s="3" t="s">
        <v>118</v>
      </c>
      <c r="F7509" s="7">
        <v>45894.83130737549</v>
      </c>
      <c r="G7509" s="3" t="s">
        <v>4092</v>
      </c>
    </row>
    <row r="7510">
      <c r="A7510" s="3" t="s">
        <v>21266</v>
      </c>
      <c r="B7510" s="3" t="s">
        <v>6956</v>
      </c>
      <c r="C7510" s="5" t="s">
        <v>614</v>
      </c>
      <c r="D7510" s="3" t="s">
        <v>206</v>
      </c>
      <c r="E7510" s="3" t="s">
        <v>100</v>
      </c>
      <c r="F7510" s="7">
        <v>45894.83477959772</v>
      </c>
      <c r="G7510" s="3" t="s">
        <v>4095</v>
      </c>
    </row>
    <row r="7511">
      <c r="A7511" s="3" t="s">
        <v>21267</v>
      </c>
      <c r="B7511" s="3" t="s">
        <v>6956</v>
      </c>
      <c r="C7511" s="5" t="s">
        <v>206</v>
      </c>
      <c r="D7511" s="3" t="s">
        <v>68</v>
      </c>
      <c r="E7511" s="3" t="s">
        <v>100</v>
      </c>
      <c r="F7511" s="7">
        <v>45894.838251819936</v>
      </c>
      <c r="G7511" s="3" t="s">
        <v>4098</v>
      </c>
    </row>
    <row r="7512">
      <c r="A7512" s="3" t="s">
        <v>21269</v>
      </c>
      <c r="B7512" s="3" t="s">
        <v>6960</v>
      </c>
      <c r="C7512" s="5" t="s">
        <v>45</v>
      </c>
      <c r="D7512" s="3" t="s">
        <v>221</v>
      </c>
      <c r="E7512" s="3" t="s">
        <v>965</v>
      </c>
      <c r="F7512" s="7">
        <v>45894.89900999868</v>
      </c>
      <c r="G7512" s="3" t="s">
        <v>21271</v>
      </c>
    </row>
    <row r="7513">
      <c r="A7513" s="3" t="s">
        <v>21272</v>
      </c>
      <c r="B7513" s="3" t="s">
        <v>6960</v>
      </c>
      <c r="C7513" s="5" t="s">
        <v>221</v>
      </c>
      <c r="D7513" s="3" t="s">
        <v>614</v>
      </c>
      <c r="E7513" s="3" t="s">
        <v>118</v>
      </c>
      <c r="F7513" s="7">
        <v>45894.902482220896</v>
      </c>
      <c r="G7513" s="3" t="s">
        <v>21274</v>
      </c>
    </row>
    <row r="7514">
      <c r="A7514" s="3" t="s">
        <v>21275</v>
      </c>
      <c r="B7514" s="3" t="s">
        <v>6960</v>
      </c>
      <c r="C7514" s="5" t="s">
        <v>614</v>
      </c>
      <c r="D7514" s="3" t="s">
        <v>206</v>
      </c>
      <c r="E7514" s="3" t="s">
        <v>100</v>
      </c>
      <c r="F7514" s="7">
        <v>45894.90595444312</v>
      </c>
      <c r="G7514" s="3" t="s">
        <v>21277</v>
      </c>
    </row>
    <row r="7515">
      <c r="A7515" s="3" t="s">
        <v>21278</v>
      </c>
      <c r="B7515" s="3" t="s">
        <v>6960</v>
      </c>
      <c r="C7515" s="5" t="s">
        <v>206</v>
      </c>
      <c r="D7515" s="3" t="s">
        <v>68</v>
      </c>
      <c r="E7515" s="3" t="s">
        <v>100</v>
      </c>
      <c r="F7515" s="7">
        <v>45894.90942666534</v>
      </c>
      <c r="G7515" s="3" t="s">
        <v>21280</v>
      </c>
    </row>
    <row r="7516">
      <c r="A7516" s="3" t="s">
        <v>21281</v>
      </c>
      <c r="B7516" s="3" t="s">
        <v>6963</v>
      </c>
      <c r="C7516" s="5" t="s">
        <v>45</v>
      </c>
      <c r="D7516" s="3" t="s">
        <v>221</v>
      </c>
      <c r="E7516" s="3" t="s">
        <v>197</v>
      </c>
      <c r="F7516" s="7">
        <v>45894.9701848441</v>
      </c>
      <c r="G7516" s="3" t="s">
        <v>21283</v>
      </c>
    </row>
    <row r="7517">
      <c r="A7517" s="3" t="s">
        <v>21284</v>
      </c>
      <c r="B7517" s="3" t="s">
        <v>6963</v>
      </c>
      <c r="C7517" s="5" t="s">
        <v>221</v>
      </c>
      <c r="D7517" s="3" t="s">
        <v>614</v>
      </c>
      <c r="E7517" s="3" t="s">
        <v>118</v>
      </c>
      <c r="F7517" s="7">
        <v>45894.973657066315</v>
      </c>
      <c r="G7517" s="3" t="s">
        <v>21286</v>
      </c>
    </row>
    <row r="7518">
      <c r="A7518" s="3" t="s">
        <v>21287</v>
      </c>
      <c r="B7518" s="3" t="s">
        <v>6963</v>
      </c>
      <c r="C7518" s="5" t="s">
        <v>614</v>
      </c>
      <c r="D7518" s="3" t="s">
        <v>206</v>
      </c>
      <c r="E7518" s="3" t="s">
        <v>100</v>
      </c>
      <c r="F7518" s="7">
        <v>45894.97712928854</v>
      </c>
      <c r="G7518" s="3" t="s">
        <v>21288</v>
      </c>
    </row>
    <row r="7519">
      <c r="A7519" s="3" t="s">
        <v>21289</v>
      </c>
      <c r="B7519" s="3" t="s">
        <v>6963</v>
      </c>
      <c r="C7519" s="5" t="s">
        <v>206</v>
      </c>
      <c r="D7519" s="3" t="s">
        <v>68</v>
      </c>
      <c r="E7519" s="3" t="s">
        <v>100</v>
      </c>
      <c r="F7519" s="7">
        <v>45894.98060151076</v>
      </c>
      <c r="G7519" s="3" t="s">
        <v>21291</v>
      </c>
    </row>
    <row r="7520">
      <c r="A7520" s="3" t="s">
        <v>21292</v>
      </c>
      <c r="B7520" s="3" t="s">
        <v>6965</v>
      </c>
      <c r="C7520" s="5" t="s">
        <v>45</v>
      </c>
      <c r="D7520" s="3" t="s">
        <v>221</v>
      </c>
      <c r="E7520" s="3" t="s">
        <v>678</v>
      </c>
      <c r="F7520" s="7">
        <v>45895.041359689516</v>
      </c>
      <c r="G7520" s="3" t="s">
        <v>16178</v>
      </c>
    </row>
    <row r="7521">
      <c r="A7521" s="3" t="s">
        <v>21294</v>
      </c>
      <c r="B7521" s="3" t="s">
        <v>6965</v>
      </c>
      <c r="C7521" s="5" t="s">
        <v>221</v>
      </c>
      <c r="D7521" s="3" t="s">
        <v>614</v>
      </c>
      <c r="E7521" s="3" t="s">
        <v>118</v>
      </c>
      <c r="F7521" s="7">
        <v>45895.044831911735</v>
      </c>
      <c r="G7521" s="3" t="s">
        <v>16181</v>
      </c>
    </row>
    <row r="7522">
      <c r="A7522" s="3" t="s">
        <v>21296</v>
      </c>
      <c r="B7522" s="3" t="s">
        <v>6965</v>
      </c>
      <c r="C7522" s="5" t="s">
        <v>614</v>
      </c>
      <c r="D7522" s="3" t="s">
        <v>206</v>
      </c>
      <c r="E7522" s="3" t="s">
        <v>100</v>
      </c>
      <c r="F7522" s="7">
        <v>45895.04830413396</v>
      </c>
      <c r="G7522" s="3" t="s">
        <v>16184</v>
      </c>
    </row>
    <row r="7523">
      <c r="A7523" s="3" t="s">
        <v>21298</v>
      </c>
      <c r="B7523" s="3" t="s">
        <v>6965</v>
      </c>
      <c r="C7523" s="5" t="s">
        <v>206</v>
      </c>
      <c r="D7523" s="3" t="s">
        <v>68</v>
      </c>
      <c r="E7523" s="3" t="s">
        <v>100</v>
      </c>
      <c r="F7523" s="7">
        <v>45895.05177635618</v>
      </c>
      <c r="G7523" s="3" t="s">
        <v>16186</v>
      </c>
    </row>
    <row r="7524">
      <c r="A7524" s="3" t="s">
        <v>21300</v>
      </c>
      <c r="B7524" s="3" t="s">
        <v>6968</v>
      </c>
      <c r="C7524" s="5" t="s">
        <v>45</v>
      </c>
      <c r="D7524" s="3" t="s">
        <v>221</v>
      </c>
      <c r="E7524" s="3" t="s">
        <v>496</v>
      </c>
      <c r="F7524" s="7">
        <v>45895.11253453493</v>
      </c>
      <c r="G7524" s="3" t="s">
        <v>21301</v>
      </c>
    </row>
    <row r="7525">
      <c r="A7525" s="3" t="s">
        <v>21302</v>
      </c>
      <c r="B7525" s="3" t="s">
        <v>6968</v>
      </c>
      <c r="C7525" s="5" t="s">
        <v>221</v>
      </c>
      <c r="D7525" s="3" t="s">
        <v>614</v>
      </c>
      <c r="E7525" s="3" t="s">
        <v>118</v>
      </c>
      <c r="F7525" s="7">
        <v>45895.11600675715</v>
      </c>
      <c r="G7525" s="3" t="s">
        <v>21304</v>
      </c>
    </row>
    <row r="7526">
      <c r="A7526" s="3" t="s">
        <v>21305</v>
      </c>
      <c r="B7526" s="3" t="s">
        <v>6968</v>
      </c>
      <c r="C7526" s="5" t="s">
        <v>614</v>
      </c>
      <c r="D7526" s="3" t="s">
        <v>206</v>
      </c>
      <c r="E7526" s="3" t="s">
        <v>100</v>
      </c>
      <c r="F7526" s="7">
        <v>45895.11947897937</v>
      </c>
      <c r="G7526" s="3" t="s">
        <v>21307</v>
      </c>
    </row>
    <row r="7527">
      <c r="A7527" s="3" t="s">
        <v>21308</v>
      </c>
      <c r="B7527" s="3" t="s">
        <v>6968</v>
      </c>
      <c r="C7527" s="5" t="s">
        <v>206</v>
      </c>
      <c r="D7527" s="3" t="s">
        <v>68</v>
      </c>
      <c r="E7527" s="3" t="s">
        <v>100</v>
      </c>
      <c r="F7527" s="7">
        <v>45895.12295120159</v>
      </c>
      <c r="G7527" s="3" t="s">
        <v>21310</v>
      </c>
    </row>
    <row r="7528">
      <c r="A7528" s="3" t="s">
        <v>21311</v>
      </c>
      <c r="B7528" s="3" t="s">
        <v>6970</v>
      </c>
      <c r="C7528" s="5" t="s">
        <v>45</v>
      </c>
      <c r="D7528" s="3" t="s">
        <v>221</v>
      </c>
      <c r="E7528" s="3" t="s">
        <v>204</v>
      </c>
      <c r="F7528" s="7">
        <v>45895.18370938034</v>
      </c>
      <c r="G7528" s="3" t="s">
        <v>17592</v>
      </c>
    </row>
    <row r="7529">
      <c r="A7529" s="3" t="s">
        <v>21312</v>
      </c>
      <c r="B7529" s="3" t="s">
        <v>6970</v>
      </c>
      <c r="C7529" s="5" t="s">
        <v>221</v>
      </c>
      <c r="D7529" s="3" t="s">
        <v>614</v>
      </c>
      <c r="E7529" s="3" t="s">
        <v>118</v>
      </c>
      <c r="F7529" s="7">
        <v>45895.18718160256</v>
      </c>
      <c r="G7529" s="3" t="s">
        <v>19466</v>
      </c>
    </row>
    <row r="7530">
      <c r="A7530" s="3" t="s">
        <v>21314</v>
      </c>
      <c r="B7530" s="3" t="s">
        <v>6970</v>
      </c>
      <c r="C7530" s="5" t="s">
        <v>614</v>
      </c>
      <c r="D7530" s="3" t="s">
        <v>206</v>
      </c>
      <c r="E7530" s="3" t="s">
        <v>100</v>
      </c>
      <c r="F7530" s="7">
        <v>45895.190653824786</v>
      </c>
      <c r="G7530" s="3" t="s">
        <v>19469</v>
      </c>
    </row>
    <row r="7531">
      <c r="A7531" s="3" t="s">
        <v>21316</v>
      </c>
      <c r="B7531" s="3" t="s">
        <v>6970</v>
      </c>
      <c r="C7531" s="5" t="s">
        <v>206</v>
      </c>
      <c r="D7531" s="3" t="s">
        <v>68</v>
      </c>
      <c r="E7531" s="3" t="s">
        <v>100</v>
      </c>
      <c r="F7531" s="7">
        <v>45895.194126047005</v>
      </c>
      <c r="G7531" s="3" t="s">
        <v>19472</v>
      </c>
    </row>
    <row r="7532">
      <c r="A7532" s="3" t="s">
        <v>21318</v>
      </c>
      <c r="B7532" s="3" t="s">
        <v>6972</v>
      </c>
      <c r="C7532" s="5" t="s">
        <v>45</v>
      </c>
      <c r="D7532" s="3" t="s">
        <v>221</v>
      </c>
      <c r="E7532" s="3" t="s">
        <v>204</v>
      </c>
      <c r="F7532" s="7">
        <v>45895.25488422576</v>
      </c>
      <c r="G7532" s="3" t="s">
        <v>17592</v>
      </c>
    </row>
    <row r="7533">
      <c r="A7533" s="3" t="s">
        <v>21320</v>
      </c>
      <c r="B7533" s="3" t="s">
        <v>6972</v>
      </c>
      <c r="C7533" s="5" t="s">
        <v>221</v>
      </c>
      <c r="D7533" s="3" t="s">
        <v>614</v>
      </c>
      <c r="E7533" s="3" t="s">
        <v>118</v>
      </c>
      <c r="F7533" s="7">
        <v>45895.25835644798</v>
      </c>
      <c r="G7533" s="3" t="s">
        <v>19466</v>
      </c>
    </row>
    <row r="7534">
      <c r="A7534" s="3" t="s">
        <v>21321</v>
      </c>
      <c r="B7534" s="3" t="s">
        <v>6972</v>
      </c>
      <c r="C7534" s="5" t="s">
        <v>614</v>
      </c>
      <c r="D7534" s="3" t="s">
        <v>206</v>
      </c>
      <c r="E7534" s="3" t="s">
        <v>100</v>
      </c>
      <c r="F7534" s="7">
        <v>45895.261828670205</v>
      </c>
      <c r="G7534" s="3" t="s">
        <v>19469</v>
      </c>
    </row>
    <row r="7535">
      <c r="A7535" s="3" t="s">
        <v>21323</v>
      </c>
      <c r="B7535" s="3" t="s">
        <v>6972</v>
      </c>
      <c r="C7535" s="5" t="s">
        <v>206</v>
      </c>
      <c r="D7535" s="3" t="s">
        <v>68</v>
      </c>
      <c r="E7535" s="3" t="s">
        <v>100</v>
      </c>
      <c r="F7535" s="7">
        <v>45895.265300892424</v>
      </c>
      <c r="G7535" s="3" t="s">
        <v>19472</v>
      </c>
    </row>
    <row r="7536">
      <c r="A7536" s="3" t="s">
        <v>21325</v>
      </c>
      <c r="B7536" s="3" t="s">
        <v>6975</v>
      </c>
      <c r="C7536" s="5" t="s">
        <v>45</v>
      </c>
      <c r="D7536" s="3" t="s">
        <v>221</v>
      </c>
      <c r="E7536" s="3" t="s">
        <v>916</v>
      </c>
      <c r="F7536" s="7">
        <v>45895.32605907117</v>
      </c>
      <c r="G7536" s="3" t="s">
        <v>5136</v>
      </c>
    </row>
    <row r="7537">
      <c r="A7537" s="3" t="s">
        <v>21327</v>
      </c>
      <c r="B7537" s="3" t="s">
        <v>6975</v>
      </c>
      <c r="C7537" s="5" t="s">
        <v>221</v>
      </c>
      <c r="D7537" s="3" t="s">
        <v>614</v>
      </c>
      <c r="E7537" s="3" t="s">
        <v>118</v>
      </c>
      <c r="F7537" s="7">
        <v>45895.32953129339</v>
      </c>
      <c r="G7537" s="3" t="s">
        <v>5139</v>
      </c>
    </row>
    <row r="7538">
      <c r="A7538" s="3" t="s">
        <v>21329</v>
      </c>
      <c r="B7538" s="3" t="s">
        <v>6975</v>
      </c>
      <c r="C7538" s="5" t="s">
        <v>614</v>
      </c>
      <c r="D7538" s="3" t="s">
        <v>206</v>
      </c>
      <c r="E7538" s="3" t="s">
        <v>100</v>
      </c>
      <c r="F7538" s="7">
        <v>45895.33300351562</v>
      </c>
      <c r="G7538" s="3" t="s">
        <v>5142</v>
      </c>
    </row>
    <row r="7539">
      <c r="A7539" s="3" t="s">
        <v>21331</v>
      </c>
      <c r="B7539" s="3" t="s">
        <v>6975</v>
      </c>
      <c r="C7539" s="5" t="s">
        <v>206</v>
      </c>
      <c r="D7539" s="3" t="s">
        <v>68</v>
      </c>
      <c r="E7539" s="3" t="s">
        <v>100</v>
      </c>
      <c r="F7539" s="7">
        <v>45895.33647573784</v>
      </c>
      <c r="G7539" s="3" t="s">
        <v>5145</v>
      </c>
    </row>
    <row r="7540">
      <c r="A7540" s="3" t="s">
        <v>21333</v>
      </c>
      <c r="B7540" s="3" t="s">
        <v>6978</v>
      </c>
      <c r="C7540" s="5" t="s">
        <v>45</v>
      </c>
      <c r="D7540" s="3" t="s">
        <v>221</v>
      </c>
      <c r="E7540" s="3" t="s">
        <v>793</v>
      </c>
      <c r="F7540" s="7">
        <v>45895.397233916585</v>
      </c>
      <c r="G7540" s="3" t="s">
        <v>18235</v>
      </c>
    </row>
    <row r="7541">
      <c r="A7541" s="3" t="s">
        <v>21335</v>
      </c>
      <c r="B7541" s="3" t="s">
        <v>6978</v>
      </c>
      <c r="C7541" s="5" t="s">
        <v>221</v>
      </c>
      <c r="D7541" s="3" t="s">
        <v>614</v>
      </c>
      <c r="E7541" s="3" t="s">
        <v>118</v>
      </c>
      <c r="F7541" s="7">
        <v>45895.400706138804</v>
      </c>
      <c r="G7541" s="3" t="s">
        <v>18238</v>
      </c>
    </row>
    <row r="7542">
      <c r="A7542" s="3" t="s">
        <v>21336</v>
      </c>
      <c r="B7542" s="3" t="s">
        <v>6978</v>
      </c>
      <c r="C7542" s="5" t="s">
        <v>614</v>
      </c>
      <c r="D7542" s="3" t="s">
        <v>206</v>
      </c>
      <c r="E7542" s="3" t="s">
        <v>100</v>
      </c>
      <c r="F7542" s="7">
        <v>45895.40417836103</v>
      </c>
      <c r="G7542" s="3" t="s">
        <v>18241</v>
      </c>
    </row>
    <row r="7543">
      <c r="A7543" s="3" t="s">
        <v>21338</v>
      </c>
      <c r="B7543" s="3" t="s">
        <v>6978</v>
      </c>
      <c r="C7543" s="5" t="s">
        <v>206</v>
      </c>
      <c r="D7543" s="3" t="s">
        <v>68</v>
      </c>
      <c r="E7543" s="3" t="s">
        <v>100</v>
      </c>
      <c r="F7543" s="7">
        <v>45895.40765058325</v>
      </c>
      <c r="G7543" s="3" t="s">
        <v>18243</v>
      </c>
    </row>
    <row r="7544">
      <c r="A7544" s="3" t="s">
        <v>21340</v>
      </c>
      <c r="B7544" s="3" t="s">
        <v>6981</v>
      </c>
      <c r="C7544" s="5" t="s">
        <v>45</v>
      </c>
      <c r="D7544" s="3" t="s">
        <v>221</v>
      </c>
      <c r="E7544" s="3" t="s">
        <v>629</v>
      </c>
      <c r="F7544" s="7">
        <v>45895.468408762004</v>
      </c>
      <c r="G7544" s="3" t="s">
        <v>12226</v>
      </c>
    </row>
    <row r="7545">
      <c r="A7545" s="3" t="s">
        <v>21342</v>
      </c>
      <c r="B7545" s="3" t="s">
        <v>6981</v>
      </c>
      <c r="C7545" s="5" t="s">
        <v>221</v>
      </c>
      <c r="D7545" s="3" t="s">
        <v>614</v>
      </c>
      <c r="E7545" s="3" t="s">
        <v>118</v>
      </c>
      <c r="F7545" s="7">
        <v>45895.47188098422</v>
      </c>
      <c r="G7545" s="3" t="s">
        <v>12229</v>
      </c>
    </row>
    <row r="7546">
      <c r="A7546" s="3" t="s">
        <v>21344</v>
      </c>
      <c r="B7546" s="3" t="s">
        <v>6981</v>
      </c>
      <c r="C7546" s="5" t="s">
        <v>614</v>
      </c>
      <c r="D7546" s="3" t="s">
        <v>206</v>
      </c>
      <c r="E7546" s="3" t="s">
        <v>100</v>
      </c>
      <c r="F7546" s="7">
        <v>45895.47535320645</v>
      </c>
      <c r="G7546" s="3" t="s">
        <v>12232</v>
      </c>
    </row>
    <row r="7547">
      <c r="A7547" s="3" t="s">
        <v>21346</v>
      </c>
      <c r="B7547" s="3" t="s">
        <v>6981</v>
      </c>
      <c r="C7547" s="5" t="s">
        <v>206</v>
      </c>
      <c r="D7547" s="3" t="s">
        <v>68</v>
      </c>
      <c r="E7547" s="3" t="s">
        <v>100</v>
      </c>
      <c r="F7547" s="7">
        <v>45895.47882542867</v>
      </c>
      <c r="G7547" s="3" t="s">
        <v>12235</v>
      </c>
    </row>
    <row r="7548">
      <c r="A7548" s="3" t="s">
        <v>21347</v>
      </c>
      <c r="B7548" s="3" t="s">
        <v>6984</v>
      </c>
      <c r="C7548" s="5" t="s">
        <v>45</v>
      </c>
      <c r="D7548" s="3" t="s">
        <v>221</v>
      </c>
      <c r="E7548" s="3" t="s">
        <v>587</v>
      </c>
      <c r="F7548" s="7">
        <v>45895.53958360742</v>
      </c>
      <c r="G7548" s="3" t="s">
        <v>4113</v>
      </c>
    </row>
    <row r="7549">
      <c r="A7549" s="3" t="s">
        <v>21349</v>
      </c>
      <c r="B7549" s="3" t="s">
        <v>6984</v>
      </c>
      <c r="C7549" s="5" t="s">
        <v>221</v>
      </c>
      <c r="D7549" s="3" t="s">
        <v>614</v>
      </c>
      <c r="E7549" s="3" t="s">
        <v>118</v>
      </c>
      <c r="F7549" s="7">
        <v>45895.543055829636</v>
      </c>
      <c r="G7549" s="3" t="s">
        <v>4116</v>
      </c>
    </row>
    <row r="7550">
      <c r="A7550" s="3" t="s">
        <v>21351</v>
      </c>
      <c r="B7550" s="3" t="s">
        <v>6984</v>
      </c>
      <c r="C7550" s="5" t="s">
        <v>614</v>
      </c>
      <c r="D7550" s="3" t="s">
        <v>206</v>
      </c>
      <c r="E7550" s="3" t="s">
        <v>100</v>
      </c>
      <c r="F7550" s="7">
        <v>45895.54652805186</v>
      </c>
      <c r="G7550" s="3" t="s">
        <v>4119</v>
      </c>
    </row>
    <row r="7551">
      <c r="A7551" s="3" t="s">
        <v>21353</v>
      </c>
      <c r="B7551" s="3" t="s">
        <v>6984</v>
      </c>
      <c r="C7551" s="5" t="s">
        <v>206</v>
      </c>
      <c r="D7551" s="3" t="s">
        <v>68</v>
      </c>
      <c r="E7551" s="3" t="s">
        <v>100</v>
      </c>
      <c r="F7551" s="7">
        <v>45895.55000027408</v>
      </c>
      <c r="G7551" s="3" t="s">
        <v>4121</v>
      </c>
    </row>
    <row r="7552">
      <c r="A7552" s="3" t="s">
        <v>21355</v>
      </c>
      <c r="B7552" s="3" t="s">
        <v>6988</v>
      </c>
      <c r="C7552" s="5" t="s">
        <v>45</v>
      </c>
      <c r="D7552" s="3" t="s">
        <v>221</v>
      </c>
      <c r="E7552" s="3" t="s">
        <v>156</v>
      </c>
      <c r="F7552" s="7">
        <v>45895.61075845283</v>
      </c>
      <c r="G7552" s="3" t="s">
        <v>19857</v>
      </c>
    </row>
    <row r="7553">
      <c r="A7553" s="3" t="s">
        <v>21357</v>
      </c>
      <c r="B7553" s="3" t="s">
        <v>6988</v>
      </c>
      <c r="C7553" s="5" t="s">
        <v>221</v>
      </c>
      <c r="D7553" s="3" t="s">
        <v>181</v>
      </c>
      <c r="E7553" s="3" t="s">
        <v>118</v>
      </c>
      <c r="F7553" s="7">
        <v>45895.61423067505</v>
      </c>
      <c r="G7553" s="3" t="s">
        <v>21358</v>
      </c>
    </row>
    <row r="7554">
      <c r="A7554" s="3" t="s">
        <v>21360</v>
      </c>
      <c r="B7554" s="3" t="s">
        <v>6992</v>
      </c>
      <c r="C7554" s="5" t="s">
        <v>45</v>
      </c>
      <c r="D7554" s="3" t="s">
        <v>221</v>
      </c>
      <c r="E7554" s="3" t="s">
        <v>269</v>
      </c>
      <c r="F7554" s="7">
        <v>45895.68193329825</v>
      </c>
      <c r="G7554" s="3" t="s">
        <v>4136</v>
      </c>
    </row>
    <row r="7555">
      <c r="A7555" s="3" t="s">
        <v>21361</v>
      </c>
      <c r="B7555" s="3" t="s">
        <v>6992</v>
      </c>
      <c r="C7555" s="5" t="s">
        <v>221</v>
      </c>
      <c r="D7555" s="3" t="s">
        <v>614</v>
      </c>
      <c r="E7555" s="3" t="s">
        <v>118</v>
      </c>
      <c r="F7555" s="7">
        <v>45895.68540552047</v>
      </c>
      <c r="G7555" s="3" t="s">
        <v>4138</v>
      </c>
    </row>
    <row r="7556">
      <c r="A7556" s="3" t="s">
        <v>21363</v>
      </c>
      <c r="B7556" s="3" t="s">
        <v>6992</v>
      </c>
      <c r="C7556" s="5" t="s">
        <v>614</v>
      </c>
      <c r="D7556" s="3" t="s">
        <v>206</v>
      </c>
      <c r="E7556" s="3" t="s">
        <v>100</v>
      </c>
      <c r="F7556" s="7">
        <v>45895.688877742694</v>
      </c>
      <c r="G7556" s="3" t="s">
        <v>4141</v>
      </c>
    </row>
    <row r="7557">
      <c r="A7557" s="3" t="s">
        <v>21365</v>
      </c>
      <c r="B7557" s="3" t="s">
        <v>6992</v>
      </c>
      <c r="C7557" s="5" t="s">
        <v>206</v>
      </c>
      <c r="D7557" s="3" t="s">
        <v>68</v>
      </c>
      <c r="E7557" s="3" t="s">
        <v>100</v>
      </c>
      <c r="F7557" s="7">
        <v>45895.69234996491</v>
      </c>
      <c r="G7557" s="3" t="s">
        <v>4144</v>
      </c>
    </row>
    <row r="7558">
      <c r="A7558" s="3" t="s">
        <v>21367</v>
      </c>
      <c r="B7558" s="3" t="s">
        <v>6995</v>
      </c>
      <c r="C7558" s="5" t="s">
        <v>45</v>
      </c>
      <c r="D7558" s="3" t="s">
        <v>221</v>
      </c>
      <c r="E7558" s="3" t="s">
        <v>455</v>
      </c>
      <c r="F7558" s="7">
        <v>45895.75310814367</v>
      </c>
      <c r="G7558" s="3" t="s">
        <v>11235</v>
      </c>
    </row>
    <row r="7559">
      <c r="A7559" s="3" t="s">
        <v>21369</v>
      </c>
      <c r="B7559" s="3" t="s">
        <v>6995</v>
      </c>
      <c r="C7559" s="5" t="s">
        <v>221</v>
      </c>
      <c r="D7559" s="3" t="s">
        <v>614</v>
      </c>
      <c r="E7559" s="3" t="s">
        <v>118</v>
      </c>
      <c r="F7559" s="7">
        <v>45895.75658036589</v>
      </c>
      <c r="G7559" s="3" t="s">
        <v>11238</v>
      </c>
    </row>
    <row r="7560">
      <c r="A7560" s="3" t="s">
        <v>21371</v>
      </c>
      <c r="B7560" s="3" t="s">
        <v>6995</v>
      </c>
      <c r="C7560" s="5" t="s">
        <v>614</v>
      </c>
      <c r="D7560" s="3" t="s">
        <v>206</v>
      </c>
      <c r="E7560" s="3" t="s">
        <v>100</v>
      </c>
      <c r="F7560" s="7">
        <v>45895.76005258811</v>
      </c>
      <c r="G7560" s="3" t="s">
        <v>11241</v>
      </c>
    </row>
    <row r="7561">
      <c r="A7561" s="3" t="s">
        <v>21373</v>
      </c>
      <c r="B7561" s="3" t="s">
        <v>6995</v>
      </c>
      <c r="C7561" s="5" t="s">
        <v>206</v>
      </c>
      <c r="D7561" s="3" t="s">
        <v>68</v>
      </c>
      <c r="E7561" s="3" t="s">
        <v>100</v>
      </c>
      <c r="F7561" s="7">
        <v>45895.76352481033</v>
      </c>
      <c r="G7561" s="3" t="s">
        <v>11244</v>
      </c>
    </row>
    <row r="7562">
      <c r="A7562" s="3" t="s">
        <v>21374</v>
      </c>
      <c r="B7562" s="3" t="s">
        <v>6998</v>
      </c>
      <c r="C7562" s="5" t="s">
        <v>45</v>
      </c>
      <c r="D7562" s="3" t="s">
        <v>221</v>
      </c>
      <c r="E7562" s="3" t="s">
        <v>485</v>
      </c>
      <c r="F7562" s="7">
        <v>45895.82428298907</v>
      </c>
      <c r="G7562" s="3" t="s">
        <v>18399</v>
      </c>
    </row>
    <row r="7563">
      <c r="A7563" s="3" t="s">
        <v>21376</v>
      </c>
      <c r="B7563" s="3" t="s">
        <v>6998</v>
      </c>
      <c r="C7563" s="5" t="s">
        <v>221</v>
      </c>
      <c r="D7563" s="3" t="s">
        <v>614</v>
      </c>
      <c r="E7563" s="3" t="s">
        <v>118</v>
      </c>
      <c r="F7563" s="7">
        <v>45895.82775521129</v>
      </c>
      <c r="G7563" s="3" t="s">
        <v>21378</v>
      </c>
    </row>
    <row r="7564">
      <c r="A7564" s="3" t="s">
        <v>21379</v>
      </c>
      <c r="B7564" s="3" t="s">
        <v>6998</v>
      </c>
      <c r="C7564" s="5" t="s">
        <v>614</v>
      </c>
      <c r="D7564" s="3" t="s">
        <v>206</v>
      </c>
      <c r="E7564" s="3" t="s">
        <v>100</v>
      </c>
      <c r="F7564" s="7">
        <v>45895.83122743352</v>
      </c>
      <c r="G7564" s="3" t="s">
        <v>21381</v>
      </c>
    </row>
    <row r="7565">
      <c r="A7565" s="3" t="s">
        <v>21382</v>
      </c>
      <c r="B7565" s="3" t="s">
        <v>6998</v>
      </c>
      <c r="C7565" s="5" t="s">
        <v>206</v>
      </c>
      <c r="D7565" s="3" t="s">
        <v>68</v>
      </c>
      <c r="E7565" s="3" t="s">
        <v>100</v>
      </c>
      <c r="F7565" s="7">
        <v>45895.83469965574</v>
      </c>
      <c r="G7565" s="3" t="s">
        <v>21383</v>
      </c>
    </row>
    <row r="7566">
      <c r="A7566" s="3" t="s">
        <v>21384</v>
      </c>
      <c r="B7566" s="3" t="s">
        <v>7001</v>
      </c>
      <c r="C7566" s="5" t="s">
        <v>45</v>
      </c>
      <c r="D7566" s="3" t="s">
        <v>221</v>
      </c>
      <c r="E7566" s="3" t="s">
        <v>515</v>
      </c>
      <c r="F7566" s="7">
        <v>45895.89545783449</v>
      </c>
      <c r="G7566" s="3" t="s">
        <v>4175</v>
      </c>
    </row>
    <row r="7567">
      <c r="A7567" s="3" t="s">
        <v>21386</v>
      </c>
      <c r="B7567" s="3" t="s">
        <v>7001</v>
      </c>
      <c r="C7567" s="5" t="s">
        <v>221</v>
      </c>
      <c r="D7567" s="3" t="s">
        <v>614</v>
      </c>
      <c r="E7567" s="3" t="s">
        <v>118</v>
      </c>
      <c r="F7567" s="7">
        <v>45895.89893005671</v>
      </c>
      <c r="G7567" s="3" t="s">
        <v>4178</v>
      </c>
    </row>
    <row r="7568">
      <c r="A7568" s="3" t="s">
        <v>21388</v>
      </c>
      <c r="B7568" s="3" t="s">
        <v>7001</v>
      </c>
      <c r="C7568" s="5" t="s">
        <v>614</v>
      </c>
      <c r="D7568" s="3" t="s">
        <v>206</v>
      </c>
      <c r="E7568" s="3" t="s">
        <v>100</v>
      </c>
      <c r="F7568" s="7">
        <v>45895.90240227894</v>
      </c>
      <c r="G7568" s="3" t="s">
        <v>4181</v>
      </c>
    </row>
    <row r="7569">
      <c r="A7569" s="3" t="s">
        <v>21390</v>
      </c>
      <c r="B7569" s="3" t="s">
        <v>7001</v>
      </c>
      <c r="C7569" s="5" t="s">
        <v>206</v>
      </c>
      <c r="D7569" s="3" t="s">
        <v>68</v>
      </c>
      <c r="E7569" s="3" t="s">
        <v>100</v>
      </c>
      <c r="F7569" s="7">
        <v>45895.90587450116</v>
      </c>
      <c r="G7569" s="3" t="s">
        <v>4184</v>
      </c>
    </row>
    <row r="7570">
      <c r="A7570" s="3" t="s">
        <v>21392</v>
      </c>
      <c r="B7570" s="3" t="s">
        <v>7004</v>
      </c>
      <c r="C7570" s="5" t="s">
        <v>45</v>
      </c>
      <c r="D7570" s="3" t="s">
        <v>221</v>
      </c>
      <c r="E7570" s="3" t="s">
        <v>544</v>
      </c>
      <c r="F7570" s="7">
        <v>45895.96663267991</v>
      </c>
      <c r="G7570" s="3" t="s">
        <v>4205</v>
      </c>
    </row>
    <row r="7571">
      <c r="A7571" s="3" t="s">
        <v>21394</v>
      </c>
      <c r="B7571" s="3" t="s">
        <v>7004</v>
      </c>
      <c r="C7571" s="5" t="s">
        <v>221</v>
      </c>
      <c r="D7571" s="3" t="s">
        <v>614</v>
      </c>
      <c r="E7571" s="3" t="s">
        <v>118</v>
      </c>
      <c r="F7571" s="7">
        <v>45895.97010490213</v>
      </c>
      <c r="G7571" s="3" t="s">
        <v>4208</v>
      </c>
    </row>
    <row r="7572">
      <c r="A7572" s="3" t="s">
        <v>21396</v>
      </c>
      <c r="B7572" s="3" t="s">
        <v>7004</v>
      </c>
      <c r="C7572" s="5" t="s">
        <v>614</v>
      </c>
      <c r="D7572" s="3" t="s">
        <v>206</v>
      </c>
      <c r="E7572" s="3" t="s">
        <v>100</v>
      </c>
      <c r="F7572" s="7">
        <v>45895.97357712436</v>
      </c>
      <c r="G7572" s="3" t="s">
        <v>4211</v>
      </c>
    </row>
    <row r="7573">
      <c r="A7573" s="3" t="s">
        <v>21397</v>
      </c>
      <c r="B7573" s="3" t="s">
        <v>7004</v>
      </c>
      <c r="C7573" s="5" t="s">
        <v>206</v>
      </c>
      <c r="D7573" s="3" t="s">
        <v>68</v>
      </c>
      <c r="E7573" s="3" t="s">
        <v>100</v>
      </c>
      <c r="F7573" s="7">
        <v>45895.97704934658</v>
      </c>
      <c r="G7573" s="3" t="s">
        <v>4214</v>
      </c>
    </row>
    <row r="7574">
      <c r="A7574" s="3" t="s">
        <v>21398</v>
      </c>
      <c r="B7574" s="3" t="s">
        <v>7006</v>
      </c>
      <c r="C7574" s="5" t="s">
        <v>45</v>
      </c>
      <c r="D7574" s="3" t="s">
        <v>221</v>
      </c>
      <c r="E7574" s="3" t="s">
        <v>598</v>
      </c>
      <c r="F7574" s="7">
        <v>45896.037807525325</v>
      </c>
      <c r="G7574" s="3" t="s">
        <v>18846</v>
      </c>
    </row>
    <row r="7575">
      <c r="A7575" s="3" t="s">
        <v>21400</v>
      </c>
      <c r="B7575" s="3" t="s">
        <v>7006</v>
      </c>
      <c r="C7575" s="5" t="s">
        <v>221</v>
      </c>
      <c r="D7575" s="3" t="s">
        <v>614</v>
      </c>
      <c r="E7575" s="3" t="s">
        <v>118</v>
      </c>
      <c r="F7575" s="7">
        <v>45896.041279747544</v>
      </c>
      <c r="G7575" s="3" t="s">
        <v>18849</v>
      </c>
    </row>
    <row r="7576">
      <c r="A7576" s="3" t="s">
        <v>21401</v>
      </c>
      <c r="B7576" s="3" t="s">
        <v>7006</v>
      </c>
      <c r="C7576" s="5" t="s">
        <v>614</v>
      </c>
      <c r="D7576" s="3" t="s">
        <v>206</v>
      </c>
      <c r="E7576" s="3" t="s">
        <v>100</v>
      </c>
      <c r="F7576" s="7">
        <v>45896.04475196977</v>
      </c>
      <c r="G7576" s="3" t="s">
        <v>18852</v>
      </c>
    </row>
    <row r="7577">
      <c r="A7577" s="3" t="s">
        <v>21403</v>
      </c>
      <c r="B7577" s="3" t="s">
        <v>7006</v>
      </c>
      <c r="C7577" s="5" t="s">
        <v>206</v>
      </c>
      <c r="D7577" s="3" t="s">
        <v>68</v>
      </c>
      <c r="E7577" s="3" t="s">
        <v>100</v>
      </c>
      <c r="F7577" s="7">
        <v>45896.04822419199</v>
      </c>
      <c r="G7577" s="3" t="s">
        <v>18855</v>
      </c>
    </row>
    <row r="7578">
      <c r="A7578" s="3" t="s">
        <v>21405</v>
      </c>
      <c r="B7578" s="3" t="s">
        <v>7008</v>
      </c>
      <c r="C7578" s="5" t="s">
        <v>45</v>
      </c>
      <c r="D7578" s="3" t="s">
        <v>221</v>
      </c>
      <c r="E7578" s="3" t="s">
        <v>299</v>
      </c>
      <c r="F7578" s="7">
        <v>45896.10898237074</v>
      </c>
      <c r="G7578" s="3" t="s">
        <v>4228</v>
      </c>
    </row>
    <row r="7579">
      <c r="A7579" s="3" t="s">
        <v>21407</v>
      </c>
      <c r="B7579" s="3" t="s">
        <v>7008</v>
      </c>
      <c r="C7579" s="5" t="s">
        <v>221</v>
      </c>
      <c r="D7579" s="3" t="s">
        <v>614</v>
      </c>
      <c r="E7579" s="3" t="s">
        <v>118</v>
      </c>
      <c r="F7579" s="7">
        <v>45896.112454592956</v>
      </c>
      <c r="G7579" s="3" t="s">
        <v>4231</v>
      </c>
    </row>
    <row r="7580">
      <c r="A7580" s="3" t="s">
        <v>21408</v>
      </c>
      <c r="B7580" s="3" t="s">
        <v>7008</v>
      </c>
      <c r="C7580" s="5" t="s">
        <v>614</v>
      </c>
      <c r="D7580" s="3" t="s">
        <v>206</v>
      </c>
      <c r="E7580" s="3" t="s">
        <v>100</v>
      </c>
      <c r="F7580" s="7">
        <v>45896.11592681518</v>
      </c>
      <c r="G7580" s="3" t="s">
        <v>4234</v>
      </c>
    </row>
    <row r="7581">
      <c r="A7581" s="3" t="s">
        <v>21410</v>
      </c>
      <c r="B7581" s="3" t="s">
        <v>7008</v>
      </c>
      <c r="C7581" s="5" t="s">
        <v>206</v>
      </c>
      <c r="D7581" s="3" t="s">
        <v>68</v>
      </c>
      <c r="E7581" s="3" t="s">
        <v>100</v>
      </c>
      <c r="F7581" s="7">
        <v>45896.1193990374</v>
      </c>
      <c r="G7581" s="3" t="s">
        <v>4237</v>
      </c>
    </row>
    <row r="7582">
      <c r="A7582" s="3" t="s">
        <v>21412</v>
      </c>
      <c r="B7582" s="3" t="s">
        <v>7011</v>
      </c>
      <c r="C7582" s="5" t="s">
        <v>45</v>
      </c>
      <c r="D7582" s="3" t="s">
        <v>221</v>
      </c>
      <c r="E7582" s="3" t="s">
        <v>593</v>
      </c>
      <c r="F7582" s="7">
        <v>45896.18015721616</v>
      </c>
      <c r="G7582" s="3" t="s">
        <v>21414</v>
      </c>
    </row>
    <row r="7583">
      <c r="A7583" s="3" t="s">
        <v>21415</v>
      </c>
      <c r="B7583" s="3" t="s">
        <v>7011</v>
      </c>
      <c r="C7583" s="5" t="s">
        <v>221</v>
      </c>
      <c r="D7583" s="3" t="s">
        <v>614</v>
      </c>
      <c r="E7583" s="3" t="s">
        <v>118</v>
      </c>
      <c r="F7583" s="7">
        <v>45896.183629438376</v>
      </c>
      <c r="G7583" s="3" t="s">
        <v>21417</v>
      </c>
    </row>
    <row r="7584">
      <c r="A7584" s="3" t="s">
        <v>21418</v>
      </c>
      <c r="B7584" s="3" t="s">
        <v>7011</v>
      </c>
      <c r="C7584" s="5" t="s">
        <v>614</v>
      </c>
      <c r="D7584" s="3" t="s">
        <v>206</v>
      </c>
      <c r="E7584" s="3" t="s">
        <v>100</v>
      </c>
      <c r="F7584" s="7">
        <v>45896.1871016606</v>
      </c>
      <c r="G7584" s="3" t="s">
        <v>21420</v>
      </c>
    </row>
    <row r="7585">
      <c r="A7585" s="3" t="s">
        <v>21421</v>
      </c>
      <c r="B7585" s="3" t="s">
        <v>7011</v>
      </c>
      <c r="C7585" s="5" t="s">
        <v>206</v>
      </c>
      <c r="D7585" s="3" t="s">
        <v>68</v>
      </c>
      <c r="E7585" s="3" t="s">
        <v>100</v>
      </c>
      <c r="F7585" s="7">
        <v>45896.19057388282</v>
      </c>
      <c r="G7585" s="3" t="s">
        <v>21422</v>
      </c>
    </row>
    <row r="7586">
      <c r="A7586" s="3" t="s">
        <v>21423</v>
      </c>
      <c r="B7586" s="3" t="s">
        <v>7013</v>
      </c>
      <c r="C7586" s="5" t="s">
        <v>45</v>
      </c>
      <c r="D7586" s="3" t="s">
        <v>221</v>
      </c>
      <c r="E7586" s="3" t="s">
        <v>491</v>
      </c>
      <c r="F7586" s="7">
        <v>45896.25133206157</v>
      </c>
      <c r="G7586" s="3" t="s">
        <v>21425</v>
      </c>
    </row>
    <row r="7587">
      <c r="A7587" s="3" t="s">
        <v>21426</v>
      </c>
      <c r="B7587" s="3" t="s">
        <v>7013</v>
      </c>
      <c r="C7587" s="5" t="s">
        <v>221</v>
      </c>
      <c r="D7587" s="3" t="s">
        <v>614</v>
      </c>
      <c r="E7587" s="3" t="s">
        <v>118</v>
      </c>
      <c r="F7587" s="7">
        <v>45896.25480428379</v>
      </c>
      <c r="G7587" s="3" t="s">
        <v>21428</v>
      </c>
    </row>
    <row r="7588">
      <c r="A7588" s="3" t="s">
        <v>21429</v>
      </c>
      <c r="B7588" s="3" t="s">
        <v>7013</v>
      </c>
      <c r="C7588" s="5" t="s">
        <v>614</v>
      </c>
      <c r="D7588" s="3" t="s">
        <v>206</v>
      </c>
      <c r="E7588" s="3" t="s">
        <v>100</v>
      </c>
      <c r="F7588" s="7">
        <v>45896.258276506014</v>
      </c>
      <c r="G7588" s="3" t="s">
        <v>21431</v>
      </c>
    </row>
    <row r="7589">
      <c r="A7589" s="3" t="s">
        <v>21432</v>
      </c>
      <c r="B7589" s="3" t="s">
        <v>7013</v>
      </c>
      <c r="C7589" s="5" t="s">
        <v>206</v>
      </c>
      <c r="D7589" s="3" t="s">
        <v>68</v>
      </c>
      <c r="E7589" s="3" t="s">
        <v>100</v>
      </c>
      <c r="F7589" s="7">
        <v>45896.26174872823</v>
      </c>
      <c r="G7589" s="3" t="s">
        <v>21434</v>
      </c>
    </row>
    <row r="7590">
      <c r="A7590" s="3" t="s">
        <v>21435</v>
      </c>
      <c r="B7590" s="3" t="s">
        <v>7016</v>
      </c>
      <c r="C7590" s="5" t="s">
        <v>45</v>
      </c>
      <c r="D7590" s="3" t="s">
        <v>221</v>
      </c>
      <c r="E7590" s="3" t="s">
        <v>344</v>
      </c>
      <c r="F7590" s="7">
        <v>45896.32250690698</v>
      </c>
      <c r="G7590" s="3" t="s">
        <v>4240</v>
      </c>
    </row>
    <row r="7591">
      <c r="A7591" s="3" t="s">
        <v>21437</v>
      </c>
      <c r="B7591" s="3" t="s">
        <v>7016</v>
      </c>
      <c r="C7591" s="5" t="s">
        <v>221</v>
      </c>
      <c r="D7591" s="3" t="s">
        <v>614</v>
      </c>
      <c r="E7591" s="3" t="s">
        <v>118</v>
      </c>
      <c r="F7591" s="7">
        <v>45896.3259791292</v>
      </c>
      <c r="G7591" s="3" t="s">
        <v>4243</v>
      </c>
    </row>
    <row r="7592">
      <c r="A7592" s="3" t="s">
        <v>21438</v>
      </c>
      <c r="B7592" s="3" t="s">
        <v>7016</v>
      </c>
      <c r="C7592" s="5" t="s">
        <v>614</v>
      </c>
      <c r="D7592" s="3" t="s">
        <v>206</v>
      </c>
      <c r="E7592" s="3" t="s">
        <v>100</v>
      </c>
      <c r="F7592" s="7">
        <v>45896.32945135143</v>
      </c>
      <c r="G7592" s="3" t="s">
        <v>4246</v>
      </c>
    </row>
    <row r="7593">
      <c r="A7593" s="3" t="s">
        <v>21440</v>
      </c>
      <c r="B7593" s="3" t="s">
        <v>7016</v>
      </c>
      <c r="C7593" s="5" t="s">
        <v>206</v>
      </c>
      <c r="D7593" s="3" t="s">
        <v>68</v>
      </c>
      <c r="E7593" s="3" t="s">
        <v>100</v>
      </c>
      <c r="F7593" s="7">
        <v>45896.332923573646</v>
      </c>
      <c r="G7593" s="3" t="s">
        <v>4249</v>
      </c>
    </row>
    <row r="7594">
      <c r="A7594" s="3" t="s">
        <v>21442</v>
      </c>
      <c r="B7594" s="3" t="s">
        <v>7020</v>
      </c>
      <c r="C7594" s="5" t="s">
        <v>45</v>
      </c>
      <c r="D7594" s="3" t="s">
        <v>221</v>
      </c>
      <c r="E7594" s="3" t="s">
        <v>527</v>
      </c>
      <c r="F7594" s="7">
        <v>45896.3936817524</v>
      </c>
      <c r="G7594" s="3" t="s">
        <v>21444</v>
      </c>
    </row>
    <row r="7595">
      <c r="A7595" s="3" t="s">
        <v>21445</v>
      </c>
      <c r="B7595" s="3" t="s">
        <v>7020</v>
      </c>
      <c r="C7595" s="5" t="s">
        <v>221</v>
      </c>
      <c r="D7595" s="3" t="s">
        <v>614</v>
      </c>
      <c r="E7595" s="3" t="s">
        <v>118</v>
      </c>
      <c r="F7595" s="7">
        <v>45896.39715397462</v>
      </c>
      <c r="G7595" s="3" t="s">
        <v>21447</v>
      </c>
    </row>
    <row r="7596">
      <c r="A7596" s="3" t="s">
        <v>21448</v>
      </c>
      <c r="B7596" s="3" t="s">
        <v>7020</v>
      </c>
      <c r="C7596" s="5" t="s">
        <v>614</v>
      </c>
      <c r="D7596" s="3" t="s">
        <v>206</v>
      </c>
      <c r="E7596" s="3" t="s">
        <v>100</v>
      </c>
      <c r="F7596" s="7">
        <v>45896.400626196846</v>
      </c>
      <c r="G7596" s="3" t="s">
        <v>21450</v>
      </c>
    </row>
    <row r="7597">
      <c r="A7597" s="3" t="s">
        <v>21451</v>
      </c>
      <c r="B7597" s="3" t="s">
        <v>7020</v>
      </c>
      <c r="C7597" s="5" t="s">
        <v>206</v>
      </c>
      <c r="D7597" s="3" t="s">
        <v>68</v>
      </c>
      <c r="E7597" s="3" t="s">
        <v>100</v>
      </c>
      <c r="F7597" s="7">
        <v>45896.404098419065</v>
      </c>
      <c r="G7597" s="3" t="s">
        <v>21452</v>
      </c>
    </row>
    <row r="7598">
      <c r="A7598" s="3" t="s">
        <v>21454</v>
      </c>
      <c r="B7598" s="3" t="s">
        <v>7023</v>
      </c>
      <c r="C7598" s="5" t="s">
        <v>45</v>
      </c>
      <c r="D7598" s="3" t="s">
        <v>221</v>
      </c>
      <c r="E7598" s="3" t="s">
        <v>631</v>
      </c>
      <c r="F7598" s="7">
        <v>45896.46485659781</v>
      </c>
      <c r="G7598" s="3" t="s">
        <v>4252</v>
      </c>
    </row>
    <row r="7599">
      <c r="A7599" s="3" t="s">
        <v>21456</v>
      </c>
      <c r="B7599" s="3" t="s">
        <v>7023</v>
      </c>
      <c r="C7599" s="5" t="s">
        <v>221</v>
      </c>
      <c r="D7599" s="3" t="s">
        <v>614</v>
      </c>
      <c r="E7599" s="3" t="s">
        <v>118</v>
      </c>
      <c r="F7599" s="7">
        <v>45896.46832882003</v>
      </c>
      <c r="G7599" s="3" t="s">
        <v>4255</v>
      </c>
    </row>
    <row r="7600">
      <c r="A7600" s="3" t="s">
        <v>21457</v>
      </c>
      <c r="B7600" s="3" t="s">
        <v>7023</v>
      </c>
      <c r="C7600" s="5" t="s">
        <v>614</v>
      </c>
      <c r="D7600" s="3" t="s">
        <v>206</v>
      </c>
      <c r="E7600" s="3" t="s">
        <v>100</v>
      </c>
      <c r="F7600" s="7">
        <v>45896.47180104226</v>
      </c>
      <c r="G7600" s="3" t="s">
        <v>4258</v>
      </c>
    </row>
    <row r="7601">
      <c r="A7601" s="3" t="s">
        <v>21459</v>
      </c>
      <c r="B7601" s="3" t="s">
        <v>7023</v>
      </c>
      <c r="C7601" s="5" t="s">
        <v>206</v>
      </c>
      <c r="D7601" s="3" t="s">
        <v>68</v>
      </c>
      <c r="E7601" s="3" t="s">
        <v>100</v>
      </c>
      <c r="F7601" s="7">
        <v>45896.47527326448</v>
      </c>
      <c r="G7601" s="3" t="s">
        <v>4261</v>
      </c>
    </row>
    <row r="7602">
      <c r="A7602" s="3" t="s">
        <v>21461</v>
      </c>
      <c r="B7602" s="3" t="s">
        <v>7026</v>
      </c>
      <c r="C7602" s="5" t="s">
        <v>45</v>
      </c>
      <c r="D7602" s="3" t="s">
        <v>221</v>
      </c>
      <c r="E7602" s="3" t="s">
        <v>591</v>
      </c>
      <c r="F7602" s="7">
        <v>45896.536031443226</v>
      </c>
      <c r="G7602" s="3" t="s">
        <v>21463</v>
      </c>
    </row>
    <row r="7603">
      <c r="A7603" s="3" t="s">
        <v>21464</v>
      </c>
      <c r="B7603" s="3" t="s">
        <v>7026</v>
      </c>
      <c r="C7603" s="5" t="s">
        <v>221</v>
      </c>
      <c r="D7603" s="3" t="s">
        <v>614</v>
      </c>
      <c r="E7603" s="3" t="s">
        <v>118</v>
      </c>
      <c r="F7603" s="7">
        <v>45896.539503665444</v>
      </c>
      <c r="G7603" s="3" t="s">
        <v>21466</v>
      </c>
    </row>
    <row r="7604">
      <c r="A7604" s="3" t="s">
        <v>21467</v>
      </c>
      <c r="B7604" s="3" t="s">
        <v>7026</v>
      </c>
      <c r="C7604" s="5" t="s">
        <v>614</v>
      </c>
      <c r="D7604" s="3" t="s">
        <v>206</v>
      </c>
      <c r="E7604" s="3" t="s">
        <v>100</v>
      </c>
      <c r="F7604" s="7">
        <v>45896.54297588767</v>
      </c>
      <c r="G7604" s="3" t="s">
        <v>21468</v>
      </c>
    </row>
    <row r="7605">
      <c r="A7605" s="3" t="s">
        <v>21470</v>
      </c>
      <c r="B7605" s="3" t="s">
        <v>7026</v>
      </c>
      <c r="C7605" s="5" t="s">
        <v>206</v>
      </c>
      <c r="D7605" s="3" t="s">
        <v>68</v>
      </c>
      <c r="E7605" s="3" t="s">
        <v>100</v>
      </c>
      <c r="F7605" s="7">
        <v>45896.54644810989</v>
      </c>
      <c r="G7605" s="3" t="s">
        <v>21471</v>
      </c>
    </row>
    <row r="7606">
      <c r="A7606" s="3" t="s">
        <v>21472</v>
      </c>
      <c r="B7606" s="3" t="s">
        <v>7029</v>
      </c>
      <c r="C7606" s="5" t="s">
        <v>45</v>
      </c>
      <c r="D7606" s="3" t="s">
        <v>221</v>
      </c>
      <c r="E7606" s="3" t="s">
        <v>658</v>
      </c>
      <c r="F7606" s="7">
        <v>45896.607206288645</v>
      </c>
      <c r="G7606" s="3" t="s">
        <v>4264</v>
      </c>
    </row>
    <row r="7607">
      <c r="A7607" s="3" t="s">
        <v>21474</v>
      </c>
      <c r="B7607" s="3" t="s">
        <v>7029</v>
      </c>
      <c r="C7607" s="5" t="s">
        <v>221</v>
      </c>
      <c r="D7607" s="3" t="s">
        <v>614</v>
      </c>
      <c r="E7607" s="3" t="s">
        <v>118</v>
      </c>
      <c r="F7607" s="7">
        <v>45896.610678510864</v>
      </c>
      <c r="G7607" s="3" t="s">
        <v>4267</v>
      </c>
    </row>
    <row r="7608">
      <c r="A7608" s="3" t="s">
        <v>21476</v>
      </c>
      <c r="B7608" s="3" t="s">
        <v>7029</v>
      </c>
      <c r="C7608" s="5" t="s">
        <v>614</v>
      </c>
      <c r="D7608" s="3" t="s">
        <v>206</v>
      </c>
      <c r="E7608" s="3" t="s">
        <v>100</v>
      </c>
      <c r="F7608" s="7">
        <v>45896.61415073309</v>
      </c>
      <c r="G7608" s="3" t="s">
        <v>4270</v>
      </c>
    </row>
    <row r="7609">
      <c r="A7609" s="3" t="s">
        <v>21478</v>
      </c>
      <c r="B7609" s="3" t="s">
        <v>7029</v>
      </c>
      <c r="C7609" s="5" t="s">
        <v>206</v>
      </c>
      <c r="D7609" s="3" t="s">
        <v>68</v>
      </c>
      <c r="E7609" s="3" t="s">
        <v>100</v>
      </c>
      <c r="F7609" s="7">
        <v>45896.61762295531</v>
      </c>
      <c r="G7609" s="3" t="s">
        <v>4273</v>
      </c>
    </row>
    <row r="7610">
      <c r="A7610" s="3" t="s">
        <v>21480</v>
      </c>
      <c r="B7610" s="3" t="s">
        <v>7032</v>
      </c>
      <c r="C7610" s="5" t="s">
        <v>45</v>
      </c>
      <c r="D7610" s="3" t="s">
        <v>221</v>
      </c>
      <c r="E7610" s="3" t="s">
        <v>377</v>
      </c>
      <c r="F7610" s="7">
        <v>45896.67838113406</v>
      </c>
      <c r="G7610" s="3" t="s">
        <v>4276</v>
      </c>
    </row>
    <row r="7611">
      <c r="A7611" s="3" t="s">
        <v>21482</v>
      </c>
      <c r="B7611" s="3" t="s">
        <v>7032</v>
      </c>
      <c r="C7611" s="5" t="s">
        <v>221</v>
      </c>
      <c r="D7611" s="3" t="s">
        <v>614</v>
      </c>
      <c r="E7611" s="3" t="s">
        <v>118</v>
      </c>
      <c r="F7611" s="7">
        <v>45896.68185335628</v>
      </c>
      <c r="G7611" s="3" t="s">
        <v>4278</v>
      </c>
    </row>
    <row r="7612">
      <c r="A7612" s="3" t="s">
        <v>21484</v>
      </c>
      <c r="B7612" s="3" t="s">
        <v>7032</v>
      </c>
      <c r="C7612" s="5" t="s">
        <v>614</v>
      </c>
      <c r="D7612" s="3" t="s">
        <v>206</v>
      </c>
      <c r="E7612" s="3" t="s">
        <v>100</v>
      </c>
      <c r="F7612" s="7">
        <v>45896.6853255785</v>
      </c>
      <c r="G7612" s="3" t="s">
        <v>4281</v>
      </c>
    </row>
    <row r="7613">
      <c r="A7613" s="3" t="s">
        <v>21485</v>
      </c>
      <c r="B7613" s="3" t="s">
        <v>7032</v>
      </c>
      <c r="C7613" s="5" t="s">
        <v>206</v>
      </c>
      <c r="D7613" s="3" t="s">
        <v>68</v>
      </c>
      <c r="E7613" s="3" t="s">
        <v>100</v>
      </c>
      <c r="F7613" s="7">
        <v>45896.68879780072</v>
      </c>
      <c r="G7613" s="3" t="s">
        <v>4284</v>
      </c>
    </row>
    <row r="7614">
      <c r="A7614" s="3" t="s">
        <v>21487</v>
      </c>
      <c r="B7614" s="3" t="s">
        <v>7035</v>
      </c>
      <c r="C7614" s="5" t="s">
        <v>45</v>
      </c>
      <c r="D7614" s="3" t="s">
        <v>221</v>
      </c>
      <c r="E7614" s="3" t="s">
        <v>546</v>
      </c>
      <c r="F7614" s="7">
        <v>45896.74955597947</v>
      </c>
      <c r="G7614" s="3" t="s">
        <v>21489</v>
      </c>
    </row>
    <row r="7615">
      <c r="A7615" s="3" t="s">
        <v>21490</v>
      </c>
      <c r="B7615" s="3" t="s">
        <v>7035</v>
      </c>
      <c r="C7615" s="5" t="s">
        <v>221</v>
      </c>
      <c r="D7615" s="3" t="s">
        <v>614</v>
      </c>
      <c r="E7615" s="3" t="s">
        <v>118</v>
      </c>
      <c r="F7615" s="7">
        <v>45896.75302820169</v>
      </c>
      <c r="G7615" s="3" t="s">
        <v>21492</v>
      </c>
    </row>
    <row r="7616">
      <c r="A7616" s="3" t="s">
        <v>21493</v>
      </c>
      <c r="B7616" s="3" t="s">
        <v>7035</v>
      </c>
      <c r="C7616" s="5" t="s">
        <v>614</v>
      </c>
      <c r="D7616" s="3" t="s">
        <v>206</v>
      </c>
      <c r="E7616" s="3" t="s">
        <v>100</v>
      </c>
      <c r="F7616" s="7">
        <v>45896.756500423915</v>
      </c>
      <c r="G7616" s="3" t="s">
        <v>21495</v>
      </c>
    </row>
    <row r="7617">
      <c r="A7617" s="3" t="s">
        <v>21496</v>
      </c>
      <c r="B7617" s="3" t="s">
        <v>7035</v>
      </c>
      <c r="C7617" s="5" t="s">
        <v>206</v>
      </c>
      <c r="D7617" s="3" t="s">
        <v>68</v>
      </c>
      <c r="E7617" s="3" t="s">
        <v>100</v>
      </c>
      <c r="F7617" s="7">
        <v>45896.759972646134</v>
      </c>
      <c r="G7617" s="3" t="s">
        <v>21498</v>
      </c>
    </row>
    <row r="7618">
      <c r="A7618" s="3" t="s">
        <v>21499</v>
      </c>
      <c r="B7618" s="3" t="s">
        <v>7038</v>
      </c>
      <c r="C7618" s="5" t="s">
        <v>45</v>
      </c>
      <c r="D7618" s="3" t="s">
        <v>221</v>
      </c>
      <c r="E7618" s="3" t="s">
        <v>326</v>
      </c>
      <c r="F7618" s="7">
        <v>45896.82073082489</v>
      </c>
      <c r="G7618" s="3" t="s">
        <v>13688</v>
      </c>
    </row>
    <row r="7619">
      <c r="A7619" s="3" t="s">
        <v>21501</v>
      </c>
      <c r="B7619" s="3" t="s">
        <v>7038</v>
      </c>
      <c r="C7619" s="5" t="s">
        <v>221</v>
      </c>
      <c r="D7619" s="3" t="s">
        <v>614</v>
      </c>
      <c r="E7619" s="3" t="s">
        <v>118</v>
      </c>
      <c r="F7619" s="7">
        <v>45896.82420304711</v>
      </c>
      <c r="G7619" s="3" t="s">
        <v>13691</v>
      </c>
    </row>
    <row r="7620">
      <c r="A7620" s="3" t="s">
        <v>21503</v>
      </c>
      <c r="B7620" s="3" t="s">
        <v>7038</v>
      </c>
      <c r="C7620" s="5" t="s">
        <v>614</v>
      </c>
      <c r="D7620" s="3" t="s">
        <v>206</v>
      </c>
      <c r="E7620" s="3" t="s">
        <v>100</v>
      </c>
      <c r="F7620" s="7">
        <v>45896.827675269335</v>
      </c>
      <c r="G7620" s="3" t="s">
        <v>13694</v>
      </c>
    </row>
    <row r="7621">
      <c r="A7621" s="3" t="s">
        <v>21505</v>
      </c>
      <c r="B7621" s="3" t="s">
        <v>7038</v>
      </c>
      <c r="C7621" s="5" t="s">
        <v>206</v>
      </c>
      <c r="D7621" s="3" t="s">
        <v>68</v>
      </c>
      <c r="E7621" s="3" t="s">
        <v>100</v>
      </c>
      <c r="F7621" s="7">
        <v>45896.83114749155</v>
      </c>
      <c r="G7621" s="3" t="s">
        <v>13697</v>
      </c>
    </row>
    <row r="7622">
      <c r="A7622" s="3" t="s">
        <v>21508</v>
      </c>
      <c r="B7622" s="3" t="s">
        <v>7041</v>
      </c>
      <c r="C7622" s="5" t="s">
        <v>45</v>
      </c>
      <c r="D7622" s="3" t="s">
        <v>221</v>
      </c>
      <c r="E7622" s="3" t="s">
        <v>326</v>
      </c>
      <c r="F7622" s="7">
        <v>45896.89190567031</v>
      </c>
      <c r="G7622" s="3" t="s">
        <v>13688</v>
      </c>
    </row>
    <row r="7623">
      <c r="A7623" s="3" t="s">
        <v>21509</v>
      </c>
      <c r="B7623" s="3" t="s">
        <v>7041</v>
      </c>
      <c r="C7623" s="5" t="s">
        <v>221</v>
      </c>
      <c r="D7623" s="3" t="s">
        <v>614</v>
      </c>
      <c r="E7623" s="3" t="s">
        <v>118</v>
      </c>
      <c r="F7623" s="7">
        <v>45896.89537789253</v>
      </c>
      <c r="G7623" s="3" t="s">
        <v>13691</v>
      </c>
    </row>
    <row r="7624">
      <c r="A7624" s="3" t="s">
        <v>21511</v>
      </c>
      <c r="B7624" s="3" t="s">
        <v>7041</v>
      </c>
      <c r="C7624" s="5" t="s">
        <v>614</v>
      </c>
      <c r="D7624" s="3" t="s">
        <v>206</v>
      </c>
      <c r="E7624" s="3" t="s">
        <v>100</v>
      </c>
      <c r="F7624" s="7">
        <v>45896.898850114754</v>
      </c>
      <c r="G7624" s="3" t="s">
        <v>13694</v>
      </c>
    </row>
    <row r="7625">
      <c r="A7625" s="3" t="s">
        <v>21513</v>
      </c>
      <c r="B7625" s="3" t="s">
        <v>7041</v>
      </c>
      <c r="C7625" s="5" t="s">
        <v>206</v>
      </c>
      <c r="D7625" s="3" t="s">
        <v>68</v>
      </c>
      <c r="E7625" s="3" t="s">
        <v>100</v>
      </c>
      <c r="F7625" s="7">
        <v>45896.90232233697</v>
      </c>
      <c r="G7625" s="3" t="s">
        <v>13697</v>
      </c>
    </row>
    <row r="7626">
      <c r="A7626" s="3" t="s">
        <v>21515</v>
      </c>
      <c r="B7626" s="3" t="s">
        <v>7046</v>
      </c>
      <c r="C7626" s="5" t="s">
        <v>45</v>
      </c>
      <c r="D7626" s="3" t="s">
        <v>221</v>
      </c>
      <c r="E7626" s="3" t="s">
        <v>598</v>
      </c>
      <c r="F7626" s="7">
        <v>45896.963080515714</v>
      </c>
      <c r="G7626" s="3" t="s">
        <v>19670</v>
      </c>
    </row>
    <row r="7627">
      <c r="A7627" s="3" t="s">
        <v>21517</v>
      </c>
      <c r="B7627" s="3" t="s">
        <v>7046</v>
      </c>
      <c r="C7627" s="5" t="s">
        <v>221</v>
      </c>
      <c r="D7627" s="3" t="s">
        <v>614</v>
      </c>
      <c r="E7627" s="3" t="s">
        <v>118</v>
      </c>
      <c r="F7627" s="7">
        <v>45896.96655273793</v>
      </c>
      <c r="G7627" s="3" t="s">
        <v>21518</v>
      </c>
    </row>
    <row r="7628">
      <c r="A7628" s="3" t="s">
        <v>21520</v>
      </c>
      <c r="B7628" s="3" t="s">
        <v>7046</v>
      </c>
      <c r="C7628" s="5" t="s">
        <v>614</v>
      </c>
      <c r="D7628" s="3" t="s">
        <v>206</v>
      </c>
      <c r="E7628" s="3" t="s">
        <v>100</v>
      </c>
      <c r="F7628" s="7">
        <v>45896.97002496016</v>
      </c>
      <c r="G7628" s="3" t="s">
        <v>21521</v>
      </c>
    </row>
    <row r="7629">
      <c r="A7629" s="3" t="s">
        <v>21523</v>
      </c>
      <c r="B7629" s="3" t="s">
        <v>7046</v>
      </c>
      <c r="C7629" s="5" t="s">
        <v>206</v>
      </c>
      <c r="D7629" s="3" t="s">
        <v>68</v>
      </c>
      <c r="E7629" s="3" t="s">
        <v>100</v>
      </c>
      <c r="F7629" s="7">
        <v>45896.97349718238</v>
      </c>
      <c r="G7629" s="3" t="s">
        <v>21524</v>
      </c>
    </row>
    <row r="7630">
      <c r="A7630" s="3" t="s">
        <v>21525</v>
      </c>
      <c r="B7630" s="3" t="s">
        <v>7049</v>
      </c>
      <c r="C7630" s="5" t="s">
        <v>45</v>
      </c>
      <c r="D7630" s="3" t="s">
        <v>221</v>
      </c>
      <c r="E7630" s="3" t="s">
        <v>903</v>
      </c>
      <c r="F7630" s="7">
        <v>45897.03425536113</v>
      </c>
      <c r="G7630" s="3" t="s">
        <v>21088</v>
      </c>
    </row>
    <row r="7631">
      <c r="A7631" s="3" t="s">
        <v>21527</v>
      </c>
      <c r="B7631" s="3" t="s">
        <v>7049</v>
      </c>
      <c r="C7631" s="5" t="s">
        <v>221</v>
      </c>
      <c r="D7631" s="3" t="s">
        <v>614</v>
      </c>
      <c r="E7631" s="3" t="s">
        <v>118</v>
      </c>
      <c r="F7631" s="7">
        <v>45897.03772758335</v>
      </c>
      <c r="G7631" s="3" t="s">
        <v>21529</v>
      </c>
    </row>
    <row r="7632">
      <c r="A7632" s="3" t="s">
        <v>21530</v>
      </c>
      <c r="B7632" s="3" t="s">
        <v>7049</v>
      </c>
      <c r="C7632" s="5" t="s">
        <v>614</v>
      </c>
      <c r="D7632" s="3" t="s">
        <v>206</v>
      </c>
      <c r="E7632" s="3" t="s">
        <v>100</v>
      </c>
      <c r="F7632" s="7">
        <v>45897.04119980558</v>
      </c>
      <c r="G7632" s="3" t="s">
        <v>21532</v>
      </c>
    </row>
    <row r="7633">
      <c r="A7633" s="3" t="s">
        <v>21533</v>
      </c>
      <c r="B7633" s="3" t="s">
        <v>7049</v>
      </c>
      <c r="C7633" s="5" t="s">
        <v>206</v>
      </c>
      <c r="D7633" s="3" t="s">
        <v>68</v>
      </c>
      <c r="E7633" s="3" t="s">
        <v>100</v>
      </c>
      <c r="F7633" s="7">
        <v>45897.0446720278</v>
      </c>
      <c r="G7633" s="3" t="s">
        <v>21534</v>
      </c>
    </row>
    <row r="7634">
      <c r="A7634" s="3" t="s">
        <v>21536</v>
      </c>
      <c r="B7634" s="3" t="s">
        <v>7052</v>
      </c>
      <c r="C7634" s="5" t="s">
        <v>45</v>
      </c>
      <c r="D7634" s="3" t="s">
        <v>221</v>
      </c>
      <c r="E7634" s="3" t="s">
        <v>493</v>
      </c>
      <c r="F7634" s="7">
        <v>45897.10543020655</v>
      </c>
      <c r="G7634" s="3" t="s">
        <v>4307</v>
      </c>
    </row>
    <row r="7635">
      <c r="A7635" s="3" t="s">
        <v>21538</v>
      </c>
      <c r="B7635" s="3" t="s">
        <v>7052</v>
      </c>
      <c r="C7635" s="5" t="s">
        <v>221</v>
      </c>
      <c r="D7635" s="3" t="s">
        <v>614</v>
      </c>
      <c r="E7635" s="3" t="s">
        <v>118</v>
      </c>
      <c r="F7635" s="7">
        <v>45897.10890242877</v>
      </c>
      <c r="G7635" s="3" t="s">
        <v>4310</v>
      </c>
    </row>
    <row r="7636">
      <c r="A7636" s="3" t="s">
        <v>21540</v>
      </c>
      <c r="B7636" s="3" t="s">
        <v>7052</v>
      </c>
      <c r="C7636" s="5" t="s">
        <v>614</v>
      </c>
      <c r="D7636" s="3" t="s">
        <v>206</v>
      </c>
      <c r="E7636" s="3" t="s">
        <v>100</v>
      </c>
      <c r="F7636" s="7">
        <v>45897.112374651</v>
      </c>
      <c r="G7636" s="3" t="s">
        <v>4313</v>
      </c>
    </row>
    <row r="7637">
      <c r="A7637" s="3" t="s">
        <v>21541</v>
      </c>
      <c r="B7637" s="3" t="s">
        <v>7052</v>
      </c>
      <c r="C7637" s="5" t="s">
        <v>206</v>
      </c>
      <c r="D7637" s="3" t="s">
        <v>68</v>
      </c>
      <c r="E7637" s="3" t="s">
        <v>100</v>
      </c>
      <c r="F7637" s="7">
        <v>45897.11584687322</v>
      </c>
      <c r="G7637" s="3" t="s">
        <v>4315</v>
      </c>
    </row>
    <row r="7638">
      <c r="A7638" s="3" t="s">
        <v>21543</v>
      </c>
      <c r="B7638" s="3" t="s">
        <v>7055</v>
      </c>
      <c r="C7638" s="5" t="s">
        <v>45</v>
      </c>
      <c r="D7638" s="3" t="s">
        <v>221</v>
      </c>
      <c r="E7638" s="3" t="s">
        <v>171</v>
      </c>
      <c r="F7638" s="7">
        <v>45897.176605051965</v>
      </c>
      <c r="G7638" s="3" t="s">
        <v>13962</v>
      </c>
    </row>
    <row r="7639">
      <c r="A7639" s="3" t="s">
        <v>21546</v>
      </c>
      <c r="B7639" s="3" t="s">
        <v>7055</v>
      </c>
      <c r="C7639" s="5" t="s">
        <v>221</v>
      </c>
      <c r="D7639" s="3" t="s">
        <v>614</v>
      </c>
      <c r="E7639" s="3" t="s">
        <v>118</v>
      </c>
      <c r="F7639" s="7">
        <v>45897.180077274184</v>
      </c>
      <c r="G7639" s="3" t="s">
        <v>13965</v>
      </c>
    </row>
    <row r="7640">
      <c r="A7640" s="3" t="s">
        <v>21548</v>
      </c>
      <c r="B7640" s="3" t="s">
        <v>7055</v>
      </c>
      <c r="C7640" s="5" t="s">
        <v>614</v>
      </c>
      <c r="D7640" s="3" t="s">
        <v>206</v>
      </c>
      <c r="E7640" s="3" t="s">
        <v>100</v>
      </c>
      <c r="F7640" s="7">
        <v>45897.18354949641</v>
      </c>
      <c r="G7640" s="3" t="s">
        <v>13968</v>
      </c>
    </row>
    <row r="7641">
      <c r="A7641" s="3" t="s">
        <v>21550</v>
      </c>
      <c r="B7641" s="3" t="s">
        <v>7055</v>
      </c>
      <c r="C7641" s="5" t="s">
        <v>206</v>
      </c>
      <c r="D7641" s="3" t="s">
        <v>68</v>
      </c>
      <c r="E7641" s="3" t="s">
        <v>100</v>
      </c>
      <c r="F7641" s="7">
        <v>45897.18702171863</v>
      </c>
      <c r="G7641" s="3" t="s">
        <v>13970</v>
      </c>
    </row>
    <row r="7642">
      <c r="A7642" s="3" t="s">
        <v>21551</v>
      </c>
      <c r="B7642" s="3" t="s">
        <v>7058</v>
      </c>
      <c r="C7642" s="5" t="s">
        <v>45</v>
      </c>
      <c r="D7642" s="3" t="s">
        <v>221</v>
      </c>
      <c r="E7642" s="3" t="s">
        <v>296</v>
      </c>
      <c r="F7642" s="7">
        <v>45897.24777989738</v>
      </c>
      <c r="G7642" s="3" t="s">
        <v>4318</v>
      </c>
    </row>
    <row r="7643">
      <c r="A7643" s="3" t="s">
        <v>21553</v>
      </c>
      <c r="B7643" s="3" t="s">
        <v>7058</v>
      </c>
      <c r="C7643" s="5" t="s">
        <v>221</v>
      </c>
      <c r="D7643" s="3" t="s">
        <v>614</v>
      </c>
      <c r="E7643" s="3" t="s">
        <v>118</v>
      </c>
      <c r="F7643" s="7">
        <v>45897.2512521196</v>
      </c>
      <c r="G7643" s="3" t="s">
        <v>4321</v>
      </c>
    </row>
    <row r="7644">
      <c r="A7644" s="3" t="s">
        <v>21555</v>
      </c>
      <c r="B7644" s="3" t="s">
        <v>7058</v>
      </c>
      <c r="C7644" s="5" t="s">
        <v>614</v>
      </c>
      <c r="D7644" s="3" t="s">
        <v>206</v>
      </c>
      <c r="E7644" s="3" t="s">
        <v>100</v>
      </c>
      <c r="F7644" s="7">
        <v>45897.25472434182</v>
      </c>
      <c r="G7644" s="3" t="s">
        <v>4324</v>
      </c>
    </row>
    <row r="7645">
      <c r="A7645" s="3" t="s">
        <v>21557</v>
      </c>
      <c r="B7645" s="3" t="s">
        <v>7058</v>
      </c>
      <c r="C7645" s="5" t="s">
        <v>206</v>
      </c>
      <c r="D7645" s="3" t="s">
        <v>68</v>
      </c>
      <c r="E7645" s="3" t="s">
        <v>100</v>
      </c>
      <c r="F7645" s="7">
        <v>45897.25819656404</v>
      </c>
      <c r="G7645" s="3" t="s">
        <v>4327</v>
      </c>
    </row>
    <row r="7646">
      <c r="A7646" s="3" t="s">
        <v>21559</v>
      </c>
      <c r="B7646" s="3" t="s">
        <v>7061</v>
      </c>
      <c r="C7646" s="5" t="s">
        <v>45</v>
      </c>
      <c r="D7646" s="3" t="s">
        <v>221</v>
      </c>
      <c r="E7646" s="3" t="s">
        <v>135</v>
      </c>
      <c r="F7646" s="7">
        <v>45897.3189547428</v>
      </c>
      <c r="G7646" s="3" t="s">
        <v>4364</v>
      </c>
    </row>
    <row r="7647">
      <c r="A7647" s="3" t="s">
        <v>21561</v>
      </c>
      <c r="B7647" s="3" t="s">
        <v>7061</v>
      </c>
      <c r="C7647" s="5" t="s">
        <v>221</v>
      </c>
      <c r="D7647" s="3" t="s">
        <v>614</v>
      </c>
      <c r="E7647" s="3" t="s">
        <v>118</v>
      </c>
      <c r="F7647" s="7">
        <v>45897.322426965016</v>
      </c>
      <c r="G7647" s="3" t="s">
        <v>4367</v>
      </c>
    </row>
    <row r="7648">
      <c r="A7648" s="3" t="s">
        <v>21563</v>
      </c>
      <c r="B7648" s="3" t="s">
        <v>7061</v>
      </c>
      <c r="C7648" s="5" t="s">
        <v>614</v>
      </c>
      <c r="D7648" s="3" t="s">
        <v>206</v>
      </c>
      <c r="E7648" s="3" t="s">
        <v>100</v>
      </c>
      <c r="F7648" s="7">
        <v>45897.32589918724</v>
      </c>
      <c r="G7648" s="3" t="s">
        <v>4370</v>
      </c>
    </row>
    <row r="7649">
      <c r="A7649" s="3" t="s">
        <v>21564</v>
      </c>
      <c r="B7649" s="3" t="s">
        <v>7061</v>
      </c>
      <c r="C7649" s="5" t="s">
        <v>206</v>
      </c>
      <c r="D7649" s="3" t="s">
        <v>68</v>
      </c>
      <c r="E7649" s="3" t="s">
        <v>100</v>
      </c>
      <c r="F7649" s="7">
        <v>45897.32937140946</v>
      </c>
      <c r="G7649" s="3" t="s">
        <v>4373</v>
      </c>
    </row>
    <row r="7650">
      <c r="A7650" s="3" t="s">
        <v>21566</v>
      </c>
      <c r="B7650" s="3" t="s">
        <v>7065</v>
      </c>
      <c r="C7650" s="5" t="s">
        <v>45</v>
      </c>
      <c r="D7650" s="3" t="s">
        <v>221</v>
      </c>
      <c r="E7650" s="3" t="s">
        <v>916</v>
      </c>
      <c r="F7650" s="7">
        <v>45897.39012958821</v>
      </c>
      <c r="G7650" s="3" t="s">
        <v>4394</v>
      </c>
    </row>
    <row r="7651">
      <c r="A7651" s="3" t="s">
        <v>21568</v>
      </c>
      <c r="B7651" s="3" t="s">
        <v>7065</v>
      </c>
      <c r="C7651" s="5" t="s">
        <v>221</v>
      </c>
      <c r="D7651" s="3" t="s">
        <v>614</v>
      </c>
      <c r="E7651" s="3" t="s">
        <v>118</v>
      </c>
      <c r="F7651" s="7">
        <v>45897.39360181043</v>
      </c>
      <c r="G7651" s="3" t="s">
        <v>4397</v>
      </c>
    </row>
    <row r="7652">
      <c r="A7652" s="3" t="s">
        <v>21570</v>
      </c>
      <c r="B7652" s="3" t="s">
        <v>7065</v>
      </c>
      <c r="C7652" s="5" t="s">
        <v>614</v>
      </c>
      <c r="D7652" s="3" t="s">
        <v>206</v>
      </c>
      <c r="E7652" s="3" t="s">
        <v>100</v>
      </c>
      <c r="F7652" s="7">
        <v>45897.397074032655</v>
      </c>
      <c r="G7652" s="3" t="s">
        <v>4400</v>
      </c>
    </row>
    <row r="7653">
      <c r="A7653" s="3" t="s">
        <v>21572</v>
      </c>
      <c r="B7653" s="3" t="s">
        <v>7065</v>
      </c>
      <c r="C7653" s="5" t="s">
        <v>206</v>
      </c>
      <c r="D7653" s="3" t="s">
        <v>68</v>
      </c>
      <c r="E7653" s="3" t="s">
        <v>100</v>
      </c>
      <c r="F7653" s="7">
        <v>45897.400546254874</v>
      </c>
      <c r="G7653" s="3" t="s">
        <v>4403</v>
      </c>
    </row>
    <row r="7654">
      <c r="A7654" s="3" t="s">
        <v>21574</v>
      </c>
      <c r="B7654" s="3" t="s">
        <v>7067</v>
      </c>
      <c r="C7654" s="5" t="s">
        <v>45</v>
      </c>
      <c r="D7654" s="3" t="s">
        <v>221</v>
      </c>
      <c r="E7654" s="3" t="s">
        <v>805</v>
      </c>
      <c r="F7654" s="7">
        <v>45897.46130443362</v>
      </c>
      <c r="G7654" s="3" t="s">
        <v>4406</v>
      </c>
    </row>
    <row r="7655">
      <c r="A7655" s="3" t="s">
        <v>21576</v>
      </c>
      <c r="B7655" s="3" t="s">
        <v>7067</v>
      </c>
      <c r="C7655" s="5" t="s">
        <v>221</v>
      </c>
      <c r="D7655" s="3" t="s">
        <v>614</v>
      </c>
      <c r="E7655" s="3" t="s">
        <v>118</v>
      </c>
      <c r="F7655" s="7">
        <v>45897.46477665584</v>
      </c>
      <c r="G7655" s="3" t="s">
        <v>4409</v>
      </c>
    </row>
    <row r="7656">
      <c r="A7656" s="3" t="s">
        <v>21578</v>
      </c>
      <c r="B7656" s="3" t="s">
        <v>7067</v>
      </c>
      <c r="C7656" s="5" t="s">
        <v>614</v>
      </c>
      <c r="D7656" s="3" t="s">
        <v>206</v>
      </c>
      <c r="E7656" s="3" t="s">
        <v>100</v>
      </c>
      <c r="F7656" s="7">
        <v>45897.46824887807</v>
      </c>
      <c r="G7656" s="3" t="s">
        <v>4412</v>
      </c>
    </row>
    <row r="7657">
      <c r="A7657" s="3" t="s">
        <v>21579</v>
      </c>
      <c r="B7657" s="3" t="s">
        <v>7067</v>
      </c>
      <c r="C7657" s="5" t="s">
        <v>206</v>
      </c>
      <c r="D7657" s="3" t="s">
        <v>68</v>
      </c>
      <c r="E7657" s="3" t="s">
        <v>100</v>
      </c>
      <c r="F7657" s="7">
        <v>45897.471721100286</v>
      </c>
      <c r="G7657" s="3" t="s">
        <v>4415</v>
      </c>
    </row>
    <row r="7658">
      <c r="A7658" s="3" t="s">
        <v>21581</v>
      </c>
      <c r="B7658" s="3" t="s">
        <v>7070</v>
      </c>
      <c r="C7658" s="5" t="s">
        <v>45</v>
      </c>
      <c r="D7658" s="3" t="s">
        <v>221</v>
      </c>
      <c r="E7658" s="3" t="s">
        <v>211</v>
      </c>
      <c r="F7658" s="7">
        <v>45897.53247927904</v>
      </c>
      <c r="G7658" s="3" t="s">
        <v>4418</v>
      </c>
    </row>
    <row r="7659">
      <c r="A7659" s="3" t="s">
        <v>21583</v>
      </c>
      <c r="B7659" s="3" t="s">
        <v>7070</v>
      </c>
      <c r="C7659" s="5" t="s">
        <v>221</v>
      </c>
      <c r="D7659" s="3" t="s">
        <v>614</v>
      </c>
      <c r="E7659" s="3" t="s">
        <v>118</v>
      </c>
      <c r="F7659" s="7">
        <v>45897.53595150126</v>
      </c>
      <c r="G7659" s="3" t="s">
        <v>4421</v>
      </c>
    </row>
    <row r="7660">
      <c r="A7660" s="3" t="s">
        <v>21585</v>
      </c>
      <c r="B7660" s="3" t="s">
        <v>7070</v>
      </c>
      <c r="C7660" s="5" t="s">
        <v>614</v>
      </c>
      <c r="D7660" s="3" t="s">
        <v>206</v>
      </c>
      <c r="E7660" s="3" t="s">
        <v>100</v>
      </c>
      <c r="F7660" s="7">
        <v>45897.53942372349</v>
      </c>
      <c r="G7660" s="3" t="s">
        <v>4424</v>
      </c>
    </row>
    <row r="7661">
      <c r="A7661" s="3" t="s">
        <v>21587</v>
      </c>
      <c r="B7661" s="3" t="s">
        <v>7070</v>
      </c>
      <c r="C7661" s="5" t="s">
        <v>206</v>
      </c>
      <c r="D7661" s="3" t="s">
        <v>68</v>
      </c>
      <c r="E7661" s="3" t="s">
        <v>100</v>
      </c>
      <c r="F7661" s="7">
        <v>45897.542895945706</v>
      </c>
      <c r="G7661" s="3" t="s">
        <v>4427</v>
      </c>
    </row>
    <row r="7662">
      <c r="A7662" s="3" t="s">
        <v>21589</v>
      </c>
      <c r="B7662" s="3" t="s">
        <v>7072</v>
      </c>
      <c r="C7662" s="5" t="s">
        <v>45</v>
      </c>
      <c r="D7662" s="3" t="s">
        <v>221</v>
      </c>
      <c r="E7662" s="3" t="s">
        <v>796</v>
      </c>
      <c r="F7662" s="7">
        <v>45897.603654124454</v>
      </c>
      <c r="G7662" s="3" t="s">
        <v>8315</v>
      </c>
    </row>
    <row r="7663">
      <c r="A7663" s="3" t="s">
        <v>21591</v>
      </c>
      <c r="B7663" s="3" t="s">
        <v>7072</v>
      </c>
      <c r="C7663" s="5" t="s">
        <v>221</v>
      </c>
      <c r="D7663" s="3" t="s">
        <v>614</v>
      </c>
      <c r="E7663" s="3" t="s">
        <v>118</v>
      </c>
      <c r="F7663" s="7">
        <v>45897.60712634667</v>
      </c>
      <c r="G7663" s="3" t="s">
        <v>8318</v>
      </c>
    </row>
    <row r="7664">
      <c r="A7664" s="3" t="s">
        <v>21592</v>
      </c>
      <c r="B7664" s="3" t="s">
        <v>7072</v>
      </c>
      <c r="C7664" s="5" t="s">
        <v>614</v>
      </c>
      <c r="D7664" s="3" t="s">
        <v>206</v>
      </c>
      <c r="E7664" s="3" t="s">
        <v>100</v>
      </c>
      <c r="F7664" s="7">
        <v>45897.6105985689</v>
      </c>
      <c r="G7664" s="3" t="s">
        <v>8321</v>
      </c>
    </row>
    <row r="7665">
      <c r="A7665" s="3" t="s">
        <v>21594</v>
      </c>
      <c r="B7665" s="3" t="s">
        <v>7072</v>
      </c>
      <c r="C7665" s="5" t="s">
        <v>206</v>
      </c>
      <c r="D7665" s="3" t="s">
        <v>68</v>
      </c>
      <c r="E7665" s="3" t="s">
        <v>100</v>
      </c>
      <c r="F7665" s="7">
        <v>45897.61407079112</v>
      </c>
      <c r="G7665" s="3" t="s">
        <v>8324</v>
      </c>
    </row>
    <row r="7666">
      <c r="A7666" s="3" t="s">
        <v>21596</v>
      </c>
      <c r="B7666" s="3" t="s">
        <v>7074</v>
      </c>
      <c r="C7666" s="5" t="s">
        <v>45</v>
      </c>
      <c r="D7666" s="3" t="s">
        <v>221</v>
      </c>
      <c r="E7666" s="3" t="s">
        <v>135</v>
      </c>
      <c r="F7666" s="7">
        <v>45897.674828969866</v>
      </c>
      <c r="G7666" s="3" t="s">
        <v>10743</v>
      </c>
    </row>
    <row r="7667">
      <c r="A7667" s="3" t="s">
        <v>21598</v>
      </c>
      <c r="B7667" s="3" t="s">
        <v>7074</v>
      </c>
      <c r="C7667" s="5" t="s">
        <v>221</v>
      </c>
      <c r="D7667" s="3" t="s">
        <v>614</v>
      </c>
      <c r="E7667" s="3" t="s">
        <v>118</v>
      </c>
      <c r="F7667" s="7">
        <v>45897.678301192085</v>
      </c>
      <c r="G7667" s="3" t="s">
        <v>10746</v>
      </c>
    </row>
    <row r="7668">
      <c r="A7668" s="3" t="s">
        <v>21600</v>
      </c>
      <c r="B7668" s="3" t="s">
        <v>7074</v>
      </c>
      <c r="C7668" s="5" t="s">
        <v>614</v>
      </c>
      <c r="D7668" s="3" t="s">
        <v>206</v>
      </c>
      <c r="E7668" s="3" t="s">
        <v>100</v>
      </c>
      <c r="F7668" s="7">
        <v>45897.68177341431</v>
      </c>
      <c r="G7668" s="3" t="s">
        <v>10749</v>
      </c>
    </row>
    <row r="7669">
      <c r="A7669" s="3" t="s">
        <v>21602</v>
      </c>
      <c r="B7669" s="3" t="s">
        <v>7074</v>
      </c>
      <c r="C7669" s="5" t="s">
        <v>206</v>
      </c>
      <c r="D7669" s="3" t="s">
        <v>68</v>
      </c>
      <c r="E7669" s="3" t="s">
        <v>100</v>
      </c>
      <c r="F7669" s="7">
        <v>45897.68524563653</v>
      </c>
      <c r="G7669" s="3" t="s">
        <v>10751</v>
      </c>
    </row>
    <row r="7670">
      <c r="A7670" s="3" t="s">
        <v>21603</v>
      </c>
      <c r="B7670" s="3" t="s">
        <v>7077</v>
      </c>
      <c r="C7670" s="5" t="s">
        <v>45</v>
      </c>
      <c r="D7670" s="3" t="s">
        <v>221</v>
      </c>
      <c r="E7670" s="3" t="s">
        <v>326</v>
      </c>
      <c r="F7670" s="7">
        <v>45897.746003815286</v>
      </c>
      <c r="G7670" s="3" t="s">
        <v>13688</v>
      </c>
    </row>
    <row r="7671">
      <c r="A7671" s="3" t="s">
        <v>21605</v>
      </c>
      <c r="B7671" s="3" t="s">
        <v>7077</v>
      </c>
      <c r="C7671" s="5" t="s">
        <v>221</v>
      </c>
      <c r="D7671" s="3" t="s">
        <v>614</v>
      </c>
      <c r="E7671" s="3" t="s">
        <v>118</v>
      </c>
      <c r="F7671" s="7">
        <v>45897.749476037505</v>
      </c>
      <c r="G7671" s="3" t="s">
        <v>13691</v>
      </c>
    </row>
    <row r="7672">
      <c r="A7672" s="3" t="s">
        <v>21607</v>
      </c>
      <c r="B7672" s="3" t="s">
        <v>7077</v>
      </c>
      <c r="C7672" s="5" t="s">
        <v>614</v>
      </c>
      <c r="D7672" s="3" t="s">
        <v>206</v>
      </c>
      <c r="E7672" s="3" t="s">
        <v>100</v>
      </c>
      <c r="F7672" s="7">
        <v>45897.75294825973</v>
      </c>
      <c r="G7672" s="3" t="s">
        <v>13694</v>
      </c>
    </row>
    <row r="7673">
      <c r="A7673" s="3" t="s">
        <v>21609</v>
      </c>
      <c r="B7673" s="3" t="s">
        <v>7077</v>
      </c>
      <c r="C7673" s="5" t="s">
        <v>206</v>
      </c>
      <c r="D7673" s="3" t="s">
        <v>68</v>
      </c>
      <c r="E7673" s="3" t="s">
        <v>100</v>
      </c>
      <c r="F7673" s="7">
        <v>45897.75642048195</v>
      </c>
      <c r="G7673" s="3" t="s">
        <v>13697</v>
      </c>
    </row>
    <row r="7674">
      <c r="A7674" s="3" t="s">
        <v>21610</v>
      </c>
      <c r="B7674" s="3" t="s">
        <v>7080</v>
      </c>
      <c r="C7674" s="5" t="s">
        <v>45</v>
      </c>
      <c r="D7674" s="3" t="s">
        <v>221</v>
      </c>
      <c r="E7674" s="3" t="s">
        <v>481</v>
      </c>
      <c r="F7674" s="7">
        <v>45897.8171786607</v>
      </c>
      <c r="G7674" s="3" t="s">
        <v>15757</v>
      </c>
    </row>
    <row r="7675">
      <c r="A7675" s="3" t="s">
        <v>21612</v>
      </c>
      <c r="B7675" s="3" t="s">
        <v>7080</v>
      </c>
      <c r="C7675" s="5" t="s">
        <v>221</v>
      </c>
      <c r="D7675" s="3" t="s">
        <v>181</v>
      </c>
      <c r="E7675" s="3" t="s">
        <v>118</v>
      </c>
      <c r="F7675" s="7">
        <v>45897.82065088292</v>
      </c>
      <c r="G7675" s="3" t="s">
        <v>21614</v>
      </c>
    </row>
    <row r="7676">
      <c r="A7676" s="3" t="s">
        <v>21615</v>
      </c>
      <c r="B7676" s="3" t="s">
        <v>7083</v>
      </c>
      <c r="C7676" s="5" t="s">
        <v>45</v>
      </c>
      <c r="D7676" s="3" t="s">
        <v>221</v>
      </c>
      <c r="E7676" s="3" t="s">
        <v>747</v>
      </c>
      <c r="F7676" s="7">
        <v>45897.88835350611</v>
      </c>
      <c r="G7676" s="3" t="s">
        <v>13940</v>
      </c>
    </row>
    <row r="7677">
      <c r="A7677" s="3" t="s">
        <v>21617</v>
      </c>
      <c r="B7677" s="3" t="s">
        <v>7083</v>
      </c>
      <c r="C7677" s="5" t="s">
        <v>221</v>
      </c>
      <c r="D7677" s="3" t="s">
        <v>181</v>
      </c>
      <c r="E7677" s="3" t="s">
        <v>118</v>
      </c>
      <c r="F7677" s="7">
        <v>45897.89182572833</v>
      </c>
      <c r="G7677" s="3" t="s">
        <v>21619</v>
      </c>
    </row>
    <row r="7678">
      <c r="A7678" s="3" t="s">
        <v>21620</v>
      </c>
      <c r="B7678" s="3" t="s">
        <v>7086</v>
      </c>
      <c r="C7678" s="5" t="s">
        <v>45</v>
      </c>
      <c r="D7678" s="3" t="s">
        <v>221</v>
      </c>
      <c r="E7678" s="3" t="s">
        <v>1021</v>
      </c>
      <c r="F7678" s="7">
        <v>45897.95952835153</v>
      </c>
      <c r="G7678" s="3" t="s">
        <v>21622</v>
      </c>
    </row>
    <row r="7679">
      <c r="A7679" s="3" t="s">
        <v>21623</v>
      </c>
      <c r="B7679" s="3" t="s">
        <v>7086</v>
      </c>
      <c r="C7679" s="5" t="s">
        <v>221</v>
      </c>
      <c r="D7679" s="3" t="s">
        <v>614</v>
      </c>
      <c r="E7679" s="3" t="s">
        <v>118</v>
      </c>
      <c r="F7679" s="7">
        <v>45897.96300057375</v>
      </c>
      <c r="G7679" s="3" t="s">
        <v>21624</v>
      </c>
    </row>
    <row r="7680">
      <c r="A7680" s="3" t="s">
        <v>21626</v>
      </c>
      <c r="B7680" s="3" t="s">
        <v>7086</v>
      </c>
      <c r="C7680" s="5" t="s">
        <v>614</v>
      </c>
      <c r="D7680" s="3" t="s">
        <v>206</v>
      </c>
      <c r="E7680" s="3" t="s">
        <v>100</v>
      </c>
      <c r="F7680" s="7">
        <v>45897.966472795975</v>
      </c>
      <c r="G7680" s="3" t="s">
        <v>21627</v>
      </c>
    </row>
    <row r="7681">
      <c r="A7681" s="3" t="s">
        <v>21628</v>
      </c>
      <c r="B7681" s="3" t="s">
        <v>7086</v>
      </c>
      <c r="C7681" s="5" t="s">
        <v>206</v>
      </c>
      <c r="D7681" s="3" t="s">
        <v>68</v>
      </c>
      <c r="E7681" s="3" t="s">
        <v>100</v>
      </c>
      <c r="F7681" s="7">
        <v>45897.969945018194</v>
      </c>
      <c r="G7681" s="3" t="s">
        <v>21630</v>
      </c>
    </row>
    <row r="7682">
      <c r="A7682" s="3" t="s">
        <v>21631</v>
      </c>
      <c r="B7682" s="3" t="s">
        <v>7088</v>
      </c>
      <c r="C7682" s="5" t="s">
        <v>45</v>
      </c>
      <c r="D7682" s="3" t="s">
        <v>221</v>
      </c>
      <c r="E7682" s="3" t="s">
        <v>929</v>
      </c>
      <c r="F7682" s="7">
        <v>45898.03070319695</v>
      </c>
      <c r="G7682" s="3" t="s">
        <v>6614</v>
      </c>
    </row>
    <row r="7683">
      <c r="A7683" s="3" t="s">
        <v>21633</v>
      </c>
      <c r="B7683" s="3" t="s">
        <v>7088</v>
      </c>
      <c r="C7683" s="5" t="s">
        <v>221</v>
      </c>
      <c r="D7683" s="3" t="s">
        <v>614</v>
      </c>
      <c r="E7683" s="3" t="s">
        <v>118</v>
      </c>
      <c r="F7683" s="7">
        <v>45898.03417541917</v>
      </c>
      <c r="G7683" s="3" t="s">
        <v>6617</v>
      </c>
    </row>
    <row r="7684">
      <c r="A7684" s="3" t="s">
        <v>21635</v>
      </c>
      <c r="B7684" s="3" t="s">
        <v>7088</v>
      </c>
      <c r="C7684" s="5" t="s">
        <v>614</v>
      </c>
      <c r="D7684" s="3" t="s">
        <v>206</v>
      </c>
      <c r="E7684" s="3" t="s">
        <v>100</v>
      </c>
      <c r="F7684" s="7">
        <v>45898.037647641395</v>
      </c>
      <c r="G7684" s="3" t="s">
        <v>6619</v>
      </c>
    </row>
    <row r="7685">
      <c r="A7685" s="3" t="s">
        <v>21637</v>
      </c>
      <c r="B7685" s="3" t="s">
        <v>7088</v>
      </c>
      <c r="C7685" s="5" t="s">
        <v>206</v>
      </c>
      <c r="D7685" s="3" t="s">
        <v>68</v>
      </c>
      <c r="E7685" s="3" t="s">
        <v>100</v>
      </c>
      <c r="F7685" s="7">
        <v>45898.041119863614</v>
      </c>
      <c r="G7685" s="3" t="s">
        <v>6622</v>
      </c>
    </row>
    <row r="7686">
      <c r="A7686" s="3" t="s">
        <v>21639</v>
      </c>
      <c r="B7686" s="3" t="s">
        <v>7090</v>
      </c>
      <c r="C7686" s="5" t="s">
        <v>45</v>
      </c>
      <c r="D7686" s="3" t="s">
        <v>221</v>
      </c>
      <c r="E7686" s="3" t="s">
        <v>900</v>
      </c>
      <c r="F7686" s="7">
        <v>45898.101878042355</v>
      </c>
      <c r="G7686" s="3" t="s">
        <v>21641</v>
      </c>
    </row>
    <row r="7687">
      <c r="A7687" s="3" t="s">
        <v>21642</v>
      </c>
      <c r="B7687" s="3" t="s">
        <v>7090</v>
      </c>
      <c r="C7687" s="5" t="s">
        <v>221</v>
      </c>
      <c r="D7687" s="3" t="s">
        <v>181</v>
      </c>
      <c r="E7687" s="3" t="s">
        <v>118</v>
      </c>
      <c r="F7687" s="7">
        <v>45898.105350264574</v>
      </c>
      <c r="G7687" s="3" t="s">
        <v>21643</v>
      </c>
    </row>
    <row r="7688">
      <c r="A7688" s="3" t="s">
        <v>21644</v>
      </c>
      <c r="B7688" s="3" t="s">
        <v>7093</v>
      </c>
      <c r="C7688" s="5" t="s">
        <v>45</v>
      </c>
      <c r="D7688" s="3" t="s">
        <v>221</v>
      </c>
      <c r="E7688" s="3" t="s">
        <v>333</v>
      </c>
      <c r="F7688" s="7">
        <v>45898.173052887774</v>
      </c>
      <c r="G7688" s="3" t="s">
        <v>21646</v>
      </c>
    </row>
    <row r="7689">
      <c r="A7689" s="3" t="s">
        <v>21647</v>
      </c>
      <c r="B7689" s="3" t="s">
        <v>7093</v>
      </c>
      <c r="C7689" s="5" t="s">
        <v>221</v>
      </c>
      <c r="D7689" s="3" t="s">
        <v>614</v>
      </c>
      <c r="E7689" s="3" t="s">
        <v>118</v>
      </c>
      <c r="F7689" s="7">
        <v>45898.17652510999</v>
      </c>
      <c r="G7689" s="3" t="s">
        <v>21649</v>
      </c>
    </row>
    <row r="7690">
      <c r="A7690" s="3" t="s">
        <v>21650</v>
      </c>
      <c r="B7690" s="3" t="s">
        <v>7093</v>
      </c>
      <c r="C7690" s="5" t="s">
        <v>614</v>
      </c>
      <c r="D7690" s="3" t="s">
        <v>206</v>
      </c>
      <c r="E7690" s="3" t="s">
        <v>100</v>
      </c>
      <c r="F7690" s="7">
        <v>45898.17999733222</v>
      </c>
      <c r="G7690" s="3" t="s">
        <v>21652</v>
      </c>
    </row>
    <row r="7691">
      <c r="A7691" s="3" t="s">
        <v>21653</v>
      </c>
      <c r="B7691" s="3" t="s">
        <v>7093</v>
      </c>
      <c r="C7691" s="5" t="s">
        <v>206</v>
      </c>
      <c r="D7691" s="3" t="s">
        <v>68</v>
      </c>
      <c r="E7691" s="3" t="s">
        <v>100</v>
      </c>
      <c r="F7691" s="7">
        <v>45898.18346955444</v>
      </c>
      <c r="G7691" s="3" t="s">
        <v>21655</v>
      </c>
    </row>
    <row r="7692">
      <c r="A7692" s="3" t="s">
        <v>21656</v>
      </c>
      <c r="B7692" s="3" t="s">
        <v>7097</v>
      </c>
      <c r="C7692" s="5" t="s">
        <v>45</v>
      </c>
      <c r="D7692" s="3" t="s">
        <v>221</v>
      </c>
      <c r="E7692" s="3" t="s">
        <v>151</v>
      </c>
      <c r="F7692" s="7">
        <v>45898.244227733194</v>
      </c>
      <c r="G7692" s="3" t="s">
        <v>4430</v>
      </c>
    </row>
    <row r="7693">
      <c r="A7693" s="3" t="s">
        <v>21658</v>
      </c>
      <c r="B7693" s="3" t="s">
        <v>7097</v>
      </c>
      <c r="C7693" s="5" t="s">
        <v>221</v>
      </c>
      <c r="D7693" s="3" t="s">
        <v>614</v>
      </c>
      <c r="E7693" s="3" t="s">
        <v>118</v>
      </c>
      <c r="F7693" s="7">
        <v>45898.24769995541</v>
      </c>
      <c r="G7693" s="3" t="s">
        <v>4432</v>
      </c>
    </row>
    <row r="7694">
      <c r="A7694" s="3" t="s">
        <v>21660</v>
      </c>
      <c r="B7694" s="3" t="s">
        <v>7097</v>
      </c>
      <c r="C7694" s="5" t="s">
        <v>614</v>
      </c>
      <c r="D7694" s="3" t="s">
        <v>206</v>
      </c>
      <c r="E7694" s="3" t="s">
        <v>100</v>
      </c>
      <c r="F7694" s="7">
        <v>45898.25117217764</v>
      </c>
      <c r="G7694" s="3" t="s">
        <v>4435</v>
      </c>
    </row>
    <row r="7695">
      <c r="A7695" s="3" t="s">
        <v>21662</v>
      </c>
      <c r="B7695" s="3" t="s">
        <v>7097</v>
      </c>
      <c r="C7695" s="5" t="s">
        <v>206</v>
      </c>
      <c r="D7695" s="3" t="s">
        <v>68</v>
      </c>
      <c r="E7695" s="3" t="s">
        <v>100</v>
      </c>
      <c r="F7695" s="7">
        <v>45898.25464439986</v>
      </c>
      <c r="G7695" s="3" t="s">
        <v>4438</v>
      </c>
    </row>
    <row r="7696">
      <c r="A7696" s="3" t="s">
        <v>21664</v>
      </c>
      <c r="B7696" s="3" t="s">
        <v>7100</v>
      </c>
      <c r="C7696" s="5" t="s">
        <v>45</v>
      </c>
      <c r="D7696" s="3" t="s">
        <v>221</v>
      </c>
      <c r="E7696" s="3" t="s">
        <v>920</v>
      </c>
      <c r="F7696" s="7">
        <v>45898.315402578606</v>
      </c>
      <c r="G7696" s="3" t="s">
        <v>5696</v>
      </c>
    </row>
    <row r="7697">
      <c r="A7697" s="3" t="s">
        <v>21666</v>
      </c>
      <c r="B7697" s="3" t="s">
        <v>7100</v>
      </c>
      <c r="C7697" s="5" t="s">
        <v>221</v>
      </c>
      <c r="D7697" s="3" t="s">
        <v>614</v>
      </c>
      <c r="E7697" s="3" t="s">
        <v>118</v>
      </c>
      <c r="F7697" s="7">
        <v>45898.318874800825</v>
      </c>
      <c r="G7697" s="3" t="s">
        <v>5699</v>
      </c>
    </row>
    <row r="7698">
      <c r="A7698" s="3" t="s">
        <v>21667</v>
      </c>
      <c r="B7698" s="3" t="s">
        <v>7100</v>
      </c>
      <c r="C7698" s="5" t="s">
        <v>614</v>
      </c>
      <c r="D7698" s="3" t="s">
        <v>206</v>
      </c>
      <c r="E7698" s="3" t="s">
        <v>100</v>
      </c>
      <c r="F7698" s="7">
        <v>45898.32234702305</v>
      </c>
      <c r="G7698" s="3" t="s">
        <v>5701</v>
      </c>
    </row>
    <row r="7699">
      <c r="A7699" s="3" t="s">
        <v>21669</v>
      </c>
      <c r="B7699" s="3" t="s">
        <v>7100</v>
      </c>
      <c r="C7699" s="5" t="s">
        <v>206</v>
      </c>
      <c r="D7699" s="3" t="s">
        <v>68</v>
      </c>
      <c r="E7699" s="3" t="s">
        <v>100</v>
      </c>
      <c r="F7699" s="7">
        <v>45898.32581924527</v>
      </c>
      <c r="G7699" s="3" t="s">
        <v>5704</v>
      </c>
    </row>
    <row r="7700">
      <c r="A7700" s="3" t="s">
        <v>21671</v>
      </c>
      <c r="B7700" s="3" t="s">
        <v>7102</v>
      </c>
      <c r="C7700" s="5" t="s">
        <v>45</v>
      </c>
      <c r="D7700" s="3" t="s">
        <v>221</v>
      </c>
      <c r="E7700" s="3" t="s">
        <v>135</v>
      </c>
      <c r="F7700" s="7">
        <v>45898.38657742402</v>
      </c>
      <c r="G7700" s="3" t="s">
        <v>4489</v>
      </c>
    </row>
    <row r="7701">
      <c r="A7701" s="3" t="s">
        <v>21673</v>
      </c>
      <c r="B7701" s="3" t="s">
        <v>7102</v>
      </c>
      <c r="C7701" s="5" t="s">
        <v>221</v>
      </c>
      <c r="D7701" s="3" t="s">
        <v>614</v>
      </c>
      <c r="E7701" s="3" t="s">
        <v>118</v>
      </c>
      <c r="F7701" s="7">
        <v>45898.39004964624</v>
      </c>
      <c r="G7701" s="3" t="s">
        <v>4491</v>
      </c>
    </row>
    <row r="7702">
      <c r="A7702" s="3" t="s">
        <v>21675</v>
      </c>
      <c r="B7702" s="3" t="s">
        <v>7102</v>
      </c>
      <c r="C7702" s="5" t="s">
        <v>614</v>
      </c>
      <c r="D7702" s="3" t="s">
        <v>206</v>
      </c>
      <c r="E7702" s="3" t="s">
        <v>100</v>
      </c>
      <c r="F7702" s="7">
        <v>45898.393521868464</v>
      </c>
      <c r="G7702" s="3" t="s">
        <v>4494</v>
      </c>
    </row>
    <row r="7703">
      <c r="A7703" s="3" t="s">
        <v>21676</v>
      </c>
      <c r="B7703" s="3" t="s">
        <v>7102</v>
      </c>
      <c r="C7703" s="5" t="s">
        <v>206</v>
      </c>
      <c r="D7703" s="3" t="s">
        <v>68</v>
      </c>
      <c r="E7703" s="3" t="s">
        <v>100</v>
      </c>
      <c r="F7703" s="7">
        <v>45898.39699409068</v>
      </c>
      <c r="G7703" s="3" t="s">
        <v>4497</v>
      </c>
    </row>
    <row r="7704">
      <c r="A7704" s="3" t="s">
        <v>21678</v>
      </c>
      <c r="B7704" s="3" t="s">
        <v>7105</v>
      </c>
      <c r="C7704" s="5" t="s">
        <v>45</v>
      </c>
      <c r="D7704" s="3" t="s">
        <v>221</v>
      </c>
      <c r="E7704" s="3" t="s">
        <v>939</v>
      </c>
      <c r="F7704" s="7">
        <v>45898.45775226944</v>
      </c>
      <c r="G7704" s="3" t="s">
        <v>20858</v>
      </c>
    </row>
    <row r="7705">
      <c r="A7705" s="3" t="s">
        <v>21680</v>
      </c>
      <c r="B7705" s="3" t="s">
        <v>7105</v>
      </c>
      <c r="C7705" s="5" t="s">
        <v>221</v>
      </c>
      <c r="D7705" s="3" t="s">
        <v>614</v>
      </c>
      <c r="E7705" s="3" t="s">
        <v>118</v>
      </c>
      <c r="F7705" s="7">
        <v>45898.46122449166</v>
      </c>
      <c r="G7705" s="3" t="s">
        <v>21682</v>
      </c>
    </row>
    <row r="7706">
      <c r="A7706" s="3" t="s">
        <v>21683</v>
      </c>
      <c r="B7706" s="3" t="s">
        <v>7105</v>
      </c>
      <c r="C7706" s="5" t="s">
        <v>614</v>
      </c>
      <c r="D7706" s="3" t="s">
        <v>206</v>
      </c>
      <c r="E7706" s="3" t="s">
        <v>100</v>
      </c>
      <c r="F7706" s="7">
        <v>45898.46469671388</v>
      </c>
      <c r="G7706" s="3" t="s">
        <v>21685</v>
      </c>
    </row>
    <row r="7707">
      <c r="A7707" s="3" t="s">
        <v>21686</v>
      </c>
      <c r="B7707" s="3" t="s">
        <v>7105</v>
      </c>
      <c r="C7707" s="5" t="s">
        <v>206</v>
      </c>
      <c r="D7707" s="3" t="s">
        <v>68</v>
      </c>
      <c r="E7707" s="3" t="s">
        <v>100</v>
      </c>
      <c r="F7707" s="7">
        <v>45898.4681689361</v>
      </c>
      <c r="G7707" s="3" t="s">
        <v>21687</v>
      </c>
    </row>
    <row r="7708">
      <c r="A7708" s="3" t="s">
        <v>21689</v>
      </c>
      <c r="B7708" s="3" t="s">
        <v>7108</v>
      </c>
      <c r="C7708" s="5" t="s">
        <v>45</v>
      </c>
      <c r="D7708" s="3" t="s">
        <v>221</v>
      </c>
      <c r="E7708" s="3" t="s">
        <v>747</v>
      </c>
      <c r="F7708" s="7">
        <v>45898.52892711485</v>
      </c>
      <c r="G7708" s="3" t="s">
        <v>13940</v>
      </c>
    </row>
    <row r="7709">
      <c r="A7709" s="3" t="s">
        <v>21690</v>
      </c>
      <c r="B7709" s="3" t="s">
        <v>7108</v>
      </c>
      <c r="C7709" s="5" t="s">
        <v>221</v>
      </c>
      <c r="D7709" s="3" t="s">
        <v>614</v>
      </c>
      <c r="E7709" s="3" t="s">
        <v>118</v>
      </c>
      <c r="F7709" s="7">
        <v>45898.53239933707</v>
      </c>
      <c r="G7709" s="3" t="s">
        <v>13942</v>
      </c>
    </row>
    <row r="7710">
      <c r="A7710" s="3" t="s">
        <v>21692</v>
      </c>
      <c r="B7710" s="3" t="s">
        <v>7108</v>
      </c>
      <c r="C7710" s="5" t="s">
        <v>614</v>
      </c>
      <c r="D7710" s="3" t="s">
        <v>206</v>
      </c>
      <c r="E7710" s="3" t="s">
        <v>100</v>
      </c>
      <c r="F7710" s="7">
        <v>45898.535871559296</v>
      </c>
      <c r="G7710" s="3" t="s">
        <v>13945</v>
      </c>
    </row>
    <row r="7711">
      <c r="A7711" s="3" t="s">
        <v>21693</v>
      </c>
      <c r="B7711" s="3" t="s">
        <v>7108</v>
      </c>
      <c r="C7711" s="5" t="s">
        <v>206</v>
      </c>
      <c r="D7711" s="3" t="s">
        <v>68</v>
      </c>
      <c r="E7711" s="3" t="s">
        <v>100</v>
      </c>
      <c r="F7711" s="7">
        <v>45898.539343781515</v>
      </c>
      <c r="G7711" s="3" t="s">
        <v>13948</v>
      </c>
    </row>
    <row r="7712">
      <c r="A7712" s="3" t="s">
        <v>21696</v>
      </c>
      <c r="B7712" s="3" t="s">
        <v>7111</v>
      </c>
      <c r="C7712" s="5" t="s">
        <v>45</v>
      </c>
      <c r="D7712" s="3" t="s">
        <v>221</v>
      </c>
      <c r="E7712" s="3" t="s">
        <v>130</v>
      </c>
      <c r="F7712" s="7">
        <v>45898.60010196026</v>
      </c>
      <c r="G7712" s="3" t="s">
        <v>6879</v>
      </c>
    </row>
    <row r="7713">
      <c r="A7713" s="3" t="s">
        <v>21698</v>
      </c>
      <c r="B7713" s="3" t="s">
        <v>7111</v>
      </c>
      <c r="C7713" s="5" t="s">
        <v>221</v>
      </c>
      <c r="D7713" s="3" t="s">
        <v>614</v>
      </c>
      <c r="E7713" s="3" t="s">
        <v>118</v>
      </c>
      <c r="F7713" s="7">
        <v>45898.60357418248</v>
      </c>
      <c r="G7713" s="3" t="s">
        <v>6882</v>
      </c>
    </row>
    <row r="7714">
      <c r="A7714" s="3" t="s">
        <v>21700</v>
      </c>
      <c r="B7714" s="3" t="s">
        <v>7111</v>
      </c>
      <c r="C7714" s="5" t="s">
        <v>614</v>
      </c>
      <c r="D7714" s="3" t="s">
        <v>206</v>
      </c>
      <c r="E7714" s="3" t="s">
        <v>100</v>
      </c>
      <c r="F7714" s="7">
        <v>45898.60704640471</v>
      </c>
      <c r="G7714" s="3" t="s">
        <v>6885</v>
      </c>
    </row>
    <row r="7715">
      <c r="A7715" s="3" t="s">
        <v>21701</v>
      </c>
      <c r="B7715" s="3" t="s">
        <v>7111</v>
      </c>
      <c r="C7715" s="5" t="s">
        <v>206</v>
      </c>
      <c r="D7715" s="3" t="s">
        <v>68</v>
      </c>
      <c r="E7715" s="3" t="s">
        <v>100</v>
      </c>
      <c r="F7715" s="7">
        <v>45898.61051862693</v>
      </c>
      <c r="G7715" s="3" t="s">
        <v>6888</v>
      </c>
    </row>
    <row r="7716">
      <c r="A7716" s="3" t="s">
        <v>21703</v>
      </c>
      <c r="B7716" s="3" t="s">
        <v>7115</v>
      </c>
      <c r="C7716" s="5" t="s">
        <v>45</v>
      </c>
      <c r="D7716" s="3" t="s">
        <v>221</v>
      </c>
      <c r="E7716" s="3" t="s">
        <v>197</v>
      </c>
      <c r="F7716" s="7">
        <v>45898.67127680568</v>
      </c>
      <c r="G7716" s="3" t="s">
        <v>21283</v>
      </c>
    </row>
    <row r="7717">
      <c r="A7717" s="3" t="s">
        <v>21705</v>
      </c>
      <c r="B7717" s="3" t="s">
        <v>7115</v>
      </c>
      <c r="C7717" s="5" t="s">
        <v>221</v>
      </c>
      <c r="D7717" s="3" t="s">
        <v>614</v>
      </c>
      <c r="E7717" s="3" t="s">
        <v>118</v>
      </c>
      <c r="F7717" s="7">
        <v>45898.6747490279</v>
      </c>
      <c r="G7717" s="3" t="s">
        <v>21286</v>
      </c>
    </row>
    <row r="7718">
      <c r="A7718" s="3" t="s">
        <v>21707</v>
      </c>
      <c r="B7718" s="3" t="s">
        <v>7115</v>
      </c>
      <c r="C7718" s="5" t="s">
        <v>614</v>
      </c>
      <c r="D7718" s="3" t="s">
        <v>206</v>
      </c>
      <c r="E7718" s="3" t="s">
        <v>100</v>
      </c>
      <c r="F7718" s="7">
        <v>45898.67822125013</v>
      </c>
      <c r="G7718" s="3" t="s">
        <v>21288</v>
      </c>
    </row>
    <row r="7719">
      <c r="A7719" s="3" t="s">
        <v>21709</v>
      </c>
      <c r="B7719" s="3" t="s">
        <v>7115</v>
      </c>
      <c r="C7719" s="5" t="s">
        <v>206</v>
      </c>
      <c r="D7719" s="3" t="s">
        <v>68</v>
      </c>
      <c r="E7719" s="3" t="s">
        <v>100</v>
      </c>
      <c r="F7719" s="7">
        <v>45898.68169347235</v>
      </c>
      <c r="G7719" s="3" t="s">
        <v>21291</v>
      </c>
    </row>
    <row r="7720">
      <c r="A7720" s="3" t="s">
        <v>21711</v>
      </c>
      <c r="B7720" s="3" t="s">
        <v>7118</v>
      </c>
      <c r="C7720" s="5" t="s">
        <v>45</v>
      </c>
      <c r="D7720" s="3" t="s">
        <v>221</v>
      </c>
      <c r="E7720" s="3" t="s">
        <v>341</v>
      </c>
      <c r="F7720" s="7">
        <v>45898.7424516511</v>
      </c>
      <c r="G7720" s="3" t="s">
        <v>17036</v>
      </c>
    </row>
    <row r="7721">
      <c r="A7721" s="3" t="s">
        <v>21712</v>
      </c>
      <c r="B7721" s="3" t="s">
        <v>7118</v>
      </c>
      <c r="C7721" s="5" t="s">
        <v>221</v>
      </c>
      <c r="D7721" s="3" t="s">
        <v>195</v>
      </c>
      <c r="E7721" s="3" t="s">
        <v>341</v>
      </c>
      <c r="F7721" s="7">
        <v>45898.74592387332</v>
      </c>
      <c r="G7721" s="3" t="s">
        <v>21714</v>
      </c>
    </row>
    <row r="7722">
      <c r="A7722" s="3" t="s">
        <v>21715</v>
      </c>
      <c r="B7722" s="3" t="s">
        <v>7121</v>
      </c>
      <c r="C7722" s="5" t="s">
        <v>45</v>
      </c>
      <c r="D7722" s="3" t="s">
        <v>221</v>
      </c>
      <c r="E7722" s="3" t="s">
        <v>419</v>
      </c>
      <c r="F7722" s="7">
        <v>45898.81362649651</v>
      </c>
      <c r="G7722" s="3" t="s">
        <v>7639</v>
      </c>
    </row>
    <row r="7723">
      <c r="A7723" s="3" t="s">
        <v>21717</v>
      </c>
      <c r="B7723" s="3" t="s">
        <v>7121</v>
      </c>
      <c r="C7723" s="5" t="s">
        <v>221</v>
      </c>
      <c r="D7723" s="3" t="s">
        <v>614</v>
      </c>
      <c r="E7723" s="3" t="s">
        <v>118</v>
      </c>
      <c r="F7723" s="7">
        <v>45898.817098718726</v>
      </c>
      <c r="G7723" s="3" t="s">
        <v>7642</v>
      </c>
    </row>
    <row r="7724">
      <c r="A7724" s="3" t="s">
        <v>21719</v>
      </c>
      <c r="B7724" s="3" t="s">
        <v>7121</v>
      </c>
      <c r="C7724" s="5" t="s">
        <v>614</v>
      </c>
      <c r="D7724" s="3" t="s">
        <v>206</v>
      </c>
      <c r="E7724" s="3" t="s">
        <v>100</v>
      </c>
      <c r="F7724" s="7">
        <v>45898.82057094095</v>
      </c>
      <c r="G7724" s="3" t="s">
        <v>7645</v>
      </c>
    </row>
    <row r="7725">
      <c r="A7725" s="3" t="s">
        <v>21721</v>
      </c>
      <c r="B7725" s="3" t="s">
        <v>7121</v>
      </c>
      <c r="C7725" s="5" t="s">
        <v>206</v>
      </c>
      <c r="D7725" s="3" t="s">
        <v>68</v>
      </c>
      <c r="E7725" s="3" t="s">
        <v>100</v>
      </c>
      <c r="F7725" s="7">
        <v>45898.82404316317</v>
      </c>
      <c r="G7725" s="3" t="s">
        <v>7648</v>
      </c>
    </row>
    <row r="7726">
      <c r="A7726" s="3" t="s">
        <v>21723</v>
      </c>
      <c r="B7726" s="3" t="s">
        <v>7125</v>
      </c>
      <c r="C7726" s="5" t="s">
        <v>45</v>
      </c>
      <c r="D7726" s="3" t="s">
        <v>221</v>
      </c>
      <c r="E7726" s="3" t="s">
        <v>219</v>
      </c>
      <c r="F7726" s="7">
        <v>45898.88480134193</v>
      </c>
      <c r="G7726" s="3" t="s">
        <v>12106</v>
      </c>
    </row>
    <row r="7727">
      <c r="A7727" s="3" t="s">
        <v>21725</v>
      </c>
      <c r="B7727" s="3" t="s">
        <v>7125</v>
      </c>
      <c r="C7727" s="5" t="s">
        <v>221</v>
      </c>
      <c r="D7727" s="3" t="s">
        <v>614</v>
      </c>
      <c r="E7727" s="3" t="s">
        <v>118</v>
      </c>
      <c r="F7727" s="7">
        <v>45898.888273564145</v>
      </c>
      <c r="G7727" s="3" t="s">
        <v>20622</v>
      </c>
    </row>
    <row r="7728">
      <c r="A7728" s="3" t="s">
        <v>21726</v>
      </c>
      <c r="B7728" s="3" t="s">
        <v>7125</v>
      </c>
      <c r="C7728" s="5" t="s">
        <v>614</v>
      </c>
      <c r="D7728" s="3" t="s">
        <v>206</v>
      </c>
      <c r="E7728" s="3" t="s">
        <v>100</v>
      </c>
      <c r="F7728" s="7">
        <v>45898.89174578637</v>
      </c>
      <c r="G7728" s="3" t="s">
        <v>20625</v>
      </c>
    </row>
    <row r="7729">
      <c r="A7729" s="3" t="s">
        <v>21728</v>
      </c>
      <c r="B7729" s="3" t="s">
        <v>7125</v>
      </c>
      <c r="C7729" s="5" t="s">
        <v>206</v>
      </c>
      <c r="D7729" s="3" t="s">
        <v>68</v>
      </c>
      <c r="E7729" s="3" t="s">
        <v>100</v>
      </c>
      <c r="F7729" s="7">
        <v>45898.89521800859</v>
      </c>
      <c r="G7729" s="3" t="s">
        <v>20627</v>
      </c>
    </row>
    <row r="7730">
      <c r="A7730" s="3" t="s">
        <v>21730</v>
      </c>
      <c r="B7730" s="3" t="s">
        <v>7128</v>
      </c>
      <c r="C7730" s="5" t="s">
        <v>45</v>
      </c>
      <c r="D7730" s="3" t="s">
        <v>221</v>
      </c>
      <c r="E7730" s="3" t="s">
        <v>704</v>
      </c>
      <c r="F7730" s="7">
        <v>45898.95597618734</v>
      </c>
      <c r="G7730" s="3" t="s">
        <v>21732</v>
      </c>
    </row>
    <row r="7731">
      <c r="A7731" s="3" t="s">
        <v>21733</v>
      </c>
      <c r="B7731" s="3" t="s">
        <v>7128</v>
      </c>
      <c r="C7731" s="5" t="s">
        <v>221</v>
      </c>
      <c r="D7731" s="3" t="s">
        <v>614</v>
      </c>
      <c r="E7731" s="3" t="s">
        <v>118</v>
      </c>
      <c r="F7731" s="7">
        <v>45898.95944840956</v>
      </c>
      <c r="G7731" s="3" t="s">
        <v>21735</v>
      </c>
    </row>
    <row r="7732">
      <c r="A7732" s="3" t="s">
        <v>21736</v>
      </c>
      <c r="B7732" s="3" t="s">
        <v>7128</v>
      </c>
      <c r="C7732" s="5" t="s">
        <v>614</v>
      </c>
      <c r="D7732" s="3" t="s">
        <v>206</v>
      </c>
      <c r="E7732" s="3" t="s">
        <v>100</v>
      </c>
      <c r="F7732" s="7">
        <v>45898.962920631784</v>
      </c>
      <c r="G7732" s="3" t="s">
        <v>21738</v>
      </c>
    </row>
    <row r="7733">
      <c r="A7733" s="3" t="s">
        <v>21739</v>
      </c>
      <c r="B7733" s="3" t="s">
        <v>7128</v>
      </c>
      <c r="C7733" s="5" t="s">
        <v>206</v>
      </c>
      <c r="D7733" s="3" t="s">
        <v>68</v>
      </c>
      <c r="E7733" s="3" t="s">
        <v>100</v>
      </c>
      <c r="F7733" s="7">
        <v>45898.966392854</v>
      </c>
      <c r="G7733" s="3" t="s">
        <v>21740</v>
      </c>
    </row>
    <row r="7734">
      <c r="A7734" s="3" t="s">
        <v>21742</v>
      </c>
      <c r="B7734" s="3" t="s">
        <v>7131</v>
      </c>
      <c r="C7734" s="5" t="s">
        <v>45</v>
      </c>
      <c r="D7734" s="3" t="s">
        <v>221</v>
      </c>
      <c r="E7734" s="3" t="s">
        <v>388</v>
      </c>
      <c r="F7734" s="7">
        <v>45899.02715103276</v>
      </c>
      <c r="G7734" s="3" t="s">
        <v>21743</v>
      </c>
    </row>
    <row r="7735">
      <c r="A7735" s="3" t="s">
        <v>21745</v>
      </c>
      <c r="B7735" s="3" t="s">
        <v>7131</v>
      </c>
      <c r="C7735" s="5" t="s">
        <v>221</v>
      </c>
      <c r="D7735" s="3" t="s">
        <v>614</v>
      </c>
      <c r="E7735" s="3" t="s">
        <v>118</v>
      </c>
      <c r="F7735" s="7">
        <v>45899.03062325498</v>
      </c>
      <c r="G7735" s="3" t="s">
        <v>21746</v>
      </c>
    </row>
    <row r="7736">
      <c r="A7736" s="3" t="s">
        <v>21747</v>
      </c>
      <c r="B7736" s="3" t="s">
        <v>7131</v>
      </c>
      <c r="C7736" s="5" t="s">
        <v>614</v>
      </c>
      <c r="D7736" s="3" t="s">
        <v>206</v>
      </c>
      <c r="E7736" s="3" t="s">
        <v>100</v>
      </c>
      <c r="F7736" s="7">
        <v>45899.034095477204</v>
      </c>
      <c r="G7736" s="3" t="s">
        <v>21749</v>
      </c>
    </row>
    <row r="7737">
      <c r="A7737" s="3" t="s">
        <v>21750</v>
      </c>
      <c r="B7737" s="3" t="s">
        <v>7131</v>
      </c>
      <c r="C7737" s="5" t="s">
        <v>206</v>
      </c>
      <c r="D7737" s="3" t="s">
        <v>68</v>
      </c>
      <c r="E7737" s="3" t="s">
        <v>100</v>
      </c>
      <c r="F7737" s="7">
        <v>45899.03756769942</v>
      </c>
      <c r="G7737" s="3" t="s">
        <v>21752</v>
      </c>
    </row>
    <row r="7738">
      <c r="A7738" s="3" t="s">
        <v>21753</v>
      </c>
      <c r="B7738" s="3" t="s">
        <v>7134</v>
      </c>
      <c r="C7738" s="5" t="s">
        <v>45</v>
      </c>
      <c r="D7738" s="3" t="s">
        <v>221</v>
      </c>
      <c r="E7738" s="3" t="s">
        <v>976</v>
      </c>
      <c r="F7738" s="7">
        <v>45899.09832587817</v>
      </c>
      <c r="G7738" s="3" t="s">
        <v>5338</v>
      </c>
    </row>
    <row r="7739">
      <c r="A7739" s="3" t="s">
        <v>21755</v>
      </c>
      <c r="B7739" s="3" t="s">
        <v>7134</v>
      </c>
      <c r="C7739" s="5" t="s">
        <v>221</v>
      </c>
      <c r="D7739" s="3" t="s">
        <v>614</v>
      </c>
      <c r="E7739" s="3" t="s">
        <v>118</v>
      </c>
      <c r="F7739" s="7">
        <v>45899.10179810039</v>
      </c>
      <c r="G7739" s="3" t="s">
        <v>5341</v>
      </c>
    </row>
    <row r="7740">
      <c r="A7740" s="3" t="s">
        <v>21757</v>
      </c>
      <c r="B7740" s="3" t="s">
        <v>7134</v>
      </c>
      <c r="C7740" s="5" t="s">
        <v>614</v>
      </c>
      <c r="D7740" s="3" t="s">
        <v>206</v>
      </c>
      <c r="E7740" s="3" t="s">
        <v>100</v>
      </c>
      <c r="F7740" s="7">
        <v>45899.105270322616</v>
      </c>
      <c r="G7740" s="3" t="s">
        <v>5343</v>
      </c>
    </row>
    <row r="7741">
      <c r="A7741" s="3" t="s">
        <v>21759</v>
      </c>
      <c r="B7741" s="3" t="s">
        <v>7134</v>
      </c>
      <c r="C7741" s="5" t="s">
        <v>206</v>
      </c>
      <c r="D7741" s="3" t="s">
        <v>68</v>
      </c>
      <c r="E7741" s="3" t="s">
        <v>100</v>
      </c>
      <c r="F7741" s="7">
        <v>45899.108742544835</v>
      </c>
      <c r="G7741" s="3" t="s">
        <v>5346</v>
      </c>
    </row>
    <row r="7742">
      <c r="A7742" s="3" t="s">
        <v>21760</v>
      </c>
      <c r="B7742" s="3" t="s">
        <v>7137</v>
      </c>
      <c r="C7742" s="5" t="s">
        <v>45</v>
      </c>
      <c r="D7742" s="3" t="s">
        <v>221</v>
      </c>
      <c r="E7742" s="3" t="s">
        <v>539</v>
      </c>
      <c r="F7742" s="7">
        <v>45899.16950072359</v>
      </c>
      <c r="G7742" s="3" t="s">
        <v>4527</v>
      </c>
    </row>
    <row r="7743">
      <c r="A7743" s="3" t="s">
        <v>21762</v>
      </c>
      <c r="B7743" s="3" t="s">
        <v>7137</v>
      </c>
      <c r="C7743" s="5" t="s">
        <v>221</v>
      </c>
      <c r="D7743" s="3" t="s">
        <v>614</v>
      </c>
      <c r="E7743" s="3" t="s">
        <v>118</v>
      </c>
      <c r="F7743" s="7">
        <v>45899.17297294581</v>
      </c>
      <c r="G7743" s="3" t="s">
        <v>4530</v>
      </c>
    </row>
    <row r="7744">
      <c r="A7744" s="3" t="s">
        <v>21764</v>
      </c>
      <c r="B7744" s="3" t="s">
        <v>7137</v>
      </c>
      <c r="C7744" s="5" t="s">
        <v>614</v>
      </c>
      <c r="D7744" s="3" t="s">
        <v>206</v>
      </c>
      <c r="E7744" s="3" t="s">
        <v>100</v>
      </c>
      <c r="F7744" s="7">
        <v>45899.176445168036</v>
      </c>
      <c r="G7744" s="3" t="s">
        <v>4533</v>
      </c>
    </row>
    <row r="7745">
      <c r="A7745" s="3" t="s">
        <v>21766</v>
      </c>
      <c r="B7745" s="3" t="s">
        <v>7137</v>
      </c>
      <c r="C7745" s="5" t="s">
        <v>206</v>
      </c>
      <c r="D7745" s="3" t="s">
        <v>68</v>
      </c>
      <c r="E7745" s="3" t="s">
        <v>100</v>
      </c>
      <c r="F7745" s="7">
        <v>45899.179917390255</v>
      </c>
      <c r="G7745" s="3" t="s">
        <v>4536</v>
      </c>
    </row>
    <row r="7746">
      <c r="A7746" s="3" t="s">
        <v>21768</v>
      </c>
      <c r="B7746" s="3" t="s">
        <v>7140</v>
      </c>
      <c r="C7746" s="5" t="s">
        <v>45</v>
      </c>
      <c r="D7746" s="3" t="s">
        <v>221</v>
      </c>
      <c r="E7746" s="3" t="s">
        <v>619</v>
      </c>
      <c r="F7746" s="7">
        <v>45899.240675568995</v>
      </c>
      <c r="G7746" s="3" t="s">
        <v>7056</v>
      </c>
    </row>
    <row r="7747">
      <c r="A7747" s="3" t="s">
        <v>21770</v>
      </c>
      <c r="B7747" s="3" t="s">
        <v>7140</v>
      </c>
      <c r="C7747" s="5" t="s">
        <v>221</v>
      </c>
      <c r="D7747" s="3" t="s">
        <v>614</v>
      </c>
      <c r="E7747" s="3" t="s">
        <v>118</v>
      </c>
      <c r="F7747" s="7">
        <v>45899.244147791214</v>
      </c>
      <c r="G7747" s="3" t="s">
        <v>7059</v>
      </c>
    </row>
    <row r="7748">
      <c r="A7748" s="3" t="s">
        <v>21773</v>
      </c>
      <c r="B7748" s="3" t="s">
        <v>7140</v>
      </c>
      <c r="C7748" s="5" t="s">
        <v>614</v>
      </c>
      <c r="D7748" s="3" t="s">
        <v>206</v>
      </c>
      <c r="E7748" s="3" t="s">
        <v>100</v>
      </c>
      <c r="F7748" s="7">
        <v>45899.24762001344</v>
      </c>
      <c r="G7748" s="3" t="s">
        <v>7062</v>
      </c>
    </row>
    <row r="7749">
      <c r="A7749" s="3" t="s">
        <v>21775</v>
      </c>
      <c r="B7749" s="3" t="s">
        <v>7140</v>
      </c>
      <c r="C7749" s="5" t="s">
        <v>206</v>
      </c>
      <c r="D7749" s="3" t="s">
        <v>68</v>
      </c>
      <c r="E7749" s="3" t="s">
        <v>100</v>
      </c>
      <c r="F7749" s="7">
        <v>45899.25109223566</v>
      </c>
      <c r="G7749" s="3" t="s">
        <v>7064</v>
      </c>
    </row>
    <row r="7750">
      <c r="A7750" s="3" t="s">
        <v>21777</v>
      </c>
      <c r="B7750" s="3" t="s">
        <v>7143</v>
      </c>
      <c r="C7750" s="5" t="s">
        <v>45</v>
      </c>
      <c r="D7750" s="3" t="s">
        <v>221</v>
      </c>
      <c r="E7750" s="3" t="s">
        <v>569</v>
      </c>
      <c r="F7750" s="7">
        <v>45899.311850414415</v>
      </c>
      <c r="G7750" s="3" t="s">
        <v>19542</v>
      </c>
    </row>
    <row r="7751">
      <c r="A7751" s="3" t="s">
        <v>21779</v>
      </c>
      <c r="B7751" s="3" t="s">
        <v>7143</v>
      </c>
      <c r="C7751" s="5" t="s">
        <v>221</v>
      </c>
      <c r="D7751" s="3" t="s">
        <v>614</v>
      </c>
      <c r="E7751" s="3" t="s">
        <v>118</v>
      </c>
      <c r="F7751" s="7">
        <v>45899.315322636634</v>
      </c>
      <c r="G7751" s="3" t="s">
        <v>19544</v>
      </c>
    </row>
    <row r="7752">
      <c r="A7752" s="3" t="s">
        <v>21780</v>
      </c>
      <c r="B7752" s="3" t="s">
        <v>7143</v>
      </c>
      <c r="C7752" s="5" t="s">
        <v>614</v>
      </c>
      <c r="D7752" s="3" t="s">
        <v>206</v>
      </c>
      <c r="E7752" s="3" t="s">
        <v>100</v>
      </c>
      <c r="F7752" s="7">
        <v>45899.31879485886</v>
      </c>
      <c r="G7752" s="3" t="s">
        <v>19547</v>
      </c>
    </row>
    <row r="7753">
      <c r="A7753" s="3" t="s">
        <v>21782</v>
      </c>
      <c r="B7753" s="3" t="s">
        <v>7143</v>
      </c>
      <c r="C7753" s="5" t="s">
        <v>206</v>
      </c>
      <c r="D7753" s="3" t="s">
        <v>68</v>
      </c>
      <c r="E7753" s="3" t="s">
        <v>100</v>
      </c>
      <c r="F7753" s="7">
        <v>45899.32226708108</v>
      </c>
      <c r="G7753" s="3" t="s">
        <v>19550</v>
      </c>
    </row>
    <row r="7754">
      <c r="A7754" s="3" t="s">
        <v>21784</v>
      </c>
      <c r="B7754" s="3" t="s">
        <v>7146</v>
      </c>
      <c r="C7754" s="5" t="s">
        <v>45</v>
      </c>
      <c r="D7754" s="3" t="s">
        <v>221</v>
      </c>
      <c r="E7754" s="3" t="s">
        <v>466</v>
      </c>
      <c r="F7754" s="7">
        <v>45899.383025259835</v>
      </c>
      <c r="G7754" s="3" t="s">
        <v>20214</v>
      </c>
    </row>
    <row r="7755">
      <c r="A7755" s="3" t="s">
        <v>21786</v>
      </c>
      <c r="B7755" s="3" t="s">
        <v>7146</v>
      </c>
      <c r="C7755" s="5" t="s">
        <v>221</v>
      </c>
      <c r="D7755" s="3" t="s">
        <v>614</v>
      </c>
      <c r="E7755" s="3" t="s">
        <v>118</v>
      </c>
      <c r="F7755" s="7">
        <v>45899.38649748205</v>
      </c>
      <c r="G7755" s="3" t="s">
        <v>21788</v>
      </c>
    </row>
    <row r="7756">
      <c r="A7756" s="3" t="s">
        <v>21789</v>
      </c>
      <c r="B7756" s="3" t="s">
        <v>7146</v>
      </c>
      <c r="C7756" s="5" t="s">
        <v>614</v>
      </c>
      <c r="D7756" s="3" t="s">
        <v>206</v>
      </c>
      <c r="E7756" s="3" t="s">
        <v>100</v>
      </c>
      <c r="F7756" s="7">
        <v>45899.38996970428</v>
      </c>
      <c r="G7756" s="3" t="s">
        <v>21791</v>
      </c>
    </row>
    <row r="7757">
      <c r="A7757" s="3" t="s">
        <v>21792</v>
      </c>
      <c r="B7757" s="3" t="s">
        <v>7146</v>
      </c>
      <c r="C7757" s="5" t="s">
        <v>206</v>
      </c>
      <c r="D7757" s="3" t="s">
        <v>68</v>
      </c>
      <c r="E7757" s="3" t="s">
        <v>100</v>
      </c>
      <c r="F7757" s="7">
        <v>45899.3934419265</v>
      </c>
      <c r="G7757" s="3" t="s">
        <v>21793</v>
      </c>
    </row>
    <row r="7758">
      <c r="A7758" s="3" t="s">
        <v>21795</v>
      </c>
      <c r="B7758" s="3" t="s">
        <v>7150</v>
      </c>
      <c r="C7758" s="5" t="s">
        <v>45</v>
      </c>
      <c r="D7758" s="3" t="s">
        <v>221</v>
      </c>
      <c r="E7758" s="3" t="s">
        <v>746</v>
      </c>
      <c r="F7758" s="7">
        <v>45899.45420010525</v>
      </c>
      <c r="G7758" s="3" t="s">
        <v>18028</v>
      </c>
    </row>
    <row r="7759">
      <c r="A7759" s="3" t="s">
        <v>21797</v>
      </c>
      <c r="B7759" s="3" t="s">
        <v>7150</v>
      </c>
      <c r="C7759" s="5" t="s">
        <v>221</v>
      </c>
      <c r="D7759" s="3" t="s">
        <v>614</v>
      </c>
      <c r="E7759" s="3" t="s">
        <v>118</v>
      </c>
      <c r="F7759" s="7">
        <v>45899.457672327466</v>
      </c>
      <c r="G7759" s="3" t="s">
        <v>18031</v>
      </c>
    </row>
    <row r="7760">
      <c r="A7760" s="3" t="s">
        <v>21799</v>
      </c>
      <c r="B7760" s="3" t="s">
        <v>7150</v>
      </c>
      <c r="C7760" s="5" t="s">
        <v>614</v>
      </c>
      <c r="D7760" s="3" t="s">
        <v>206</v>
      </c>
      <c r="E7760" s="3" t="s">
        <v>100</v>
      </c>
      <c r="F7760" s="7">
        <v>45899.46114454969</v>
      </c>
      <c r="G7760" s="3" t="s">
        <v>18034</v>
      </c>
    </row>
    <row r="7761">
      <c r="A7761" s="3" t="s">
        <v>21801</v>
      </c>
      <c r="B7761" s="3" t="s">
        <v>7150</v>
      </c>
      <c r="C7761" s="5" t="s">
        <v>206</v>
      </c>
      <c r="D7761" s="3" t="s">
        <v>68</v>
      </c>
      <c r="E7761" s="3" t="s">
        <v>100</v>
      </c>
      <c r="F7761" s="7">
        <v>45899.46461677191</v>
      </c>
      <c r="G7761" s="3" t="s">
        <v>18037</v>
      </c>
    </row>
    <row r="7762">
      <c r="A7762" s="3" t="s">
        <v>21803</v>
      </c>
      <c r="B7762" s="3" t="s">
        <v>7153</v>
      </c>
      <c r="C7762" s="5" t="s">
        <v>45</v>
      </c>
      <c r="D7762" s="3" t="s">
        <v>221</v>
      </c>
      <c r="E7762" s="3" t="s">
        <v>336</v>
      </c>
      <c r="F7762" s="7">
        <v>45899.52537495066</v>
      </c>
      <c r="G7762" s="3" t="s">
        <v>21804</v>
      </c>
    </row>
    <row r="7763">
      <c r="A7763" s="3" t="s">
        <v>21805</v>
      </c>
      <c r="B7763" s="3" t="s">
        <v>7153</v>
      </c>
      <c r="C7763" s="5" t="s">
        <v>221</v>
      </c>
      <c r="D7763" s="3" t="s">
        <v>614</v>
      </c>
      <c r="E7763" s="3" t="s">
        <v>118</v>
      </c>
      <c r="F7763" s="7">
        <v>45899.52884717288</v>
      </c>
      <c r="G7763" s="3" t="s">
        <v>21807</v>
      </c>
    </row>
    <row r="7764">
      <c r="A7764" s="3" t="s">
        <v>21808</v>
      </c>
      <c r="B7764" s="3" t="s">
        <v>7153</v>
      </c>
      <c r="C7764" s="5" t="s">
        <v>614</v>
      </c>
      <c r="D7764" s="3" t="s">
        <v>206</v>
      </c>
      <c r="E7764" s="3" t="s">
        <v>100</v>
      </c>
      <c r="F7764" s="7">
        <v>45899.532319395104</v>
      </c>
      <c r="G7764" s="3" t="s">
        <v>21810</v>
      </c>
    </row>
    <row r="7765">
      <c r="A7765" s="3" t="s">
        <v>21811</v>
      </c>
      <c r="B7765" s="3" t="s">
        <v>7153</v>
      </c>
      <c r="C7765" s="5" t="s">
        <v>206</v>
      </c>
      <c r="D7765" s="3" t="s">
        <v>68</v>
      </c>
      <c r="E7765" s="3" t="s">
        <v>100</v>
      </c>
      <c r="F7765" s="7">
        <v>45899.53579161732</v>
      </c>
      <c r="G7765" s="3" t="s">
        <v>21813</v>
      </c>
    </row>
    <row r="7766">
      <c r="A7766" s="3" t="s">
        <v>21814</v>
      </c>
      <c r="B7766" s="3" t="s">
        <v>7157</v>
      </c>
      <c r="C7766" s="5" t="s">
        <v>45</v>
      </c>
      <c r="D7766" s="3" t="s">
        <v>221</v>
      </c>
      <c r="E7766" s="3" t="s">
        <v>151</v>
      </c>
      <c r="F7766" s="7">
        <v>45899.59654979608</v>
      </c>
      <c r="G7766" s="3" t="s">
        <v>21815</v>
      </c>
    </row>
    <row r="7767">
      <c r="A7767" s="3" t="s">
        <v>21817</v>
      </c>
      <c r="B7767" s="3" t="s">
        <v>7157</v>
      </c>
      <c r="C7767" s="5" t="s">
        <v>221</v>
      </c>
      <c r="D7767" s="3" t="s">
        <v>181</v>
      </c>
      <c r="E7767" s="3" t="s">
        <v>118</v>
      </c>
      <c r="F7767" s="7">
        <v>45899.6000220183</v>
      </c>
      <c r="G7767" s="3" t="s">
        <v>21818</v>
      </c>
    </row>
    <row r="7768">
      <c r="A7768" s="3" t="s">
        <v>21820</v>
      </c>
      <c r="B7768" s="3" t="s">
        <v>7160</v>
      </c>
      <c r="C7768" s="5" t="s">
        <v>45</v>
      </c>
      <c r="D7768" s="3" t="s">
        <v>221</v>
      </c>
      <c r="E7768" s="3" t="s">
        <v>430</v>
      </c>
      <c r="F7768" s="7">
        <v>45899.66772464149</v>
      </c>
      <c r="G7768" s="3" t="s">
        <v>5043</v>
      </c>
    </row>
    <row r="7769">
      <c r="A7769" s="3" t="s">
        <v>21821</v>
      </c>
      <c r="B7769" s="3" t="s">
        <v>7160</v>
      </c>
      <c r="C7769" s="5" t="s">
        <v>221</v>
      </c>
      <c r="D7769" s="3" t="s">
        <v>614</v>
      </c>
      <c r="E7769" s="3" t="s">
        <v>118</v>
      </c>
      <c r="F7769" s="7">
        <v>45899.67119686371</v>
      </c>
      <c r="G7769" s="3" t="s">
        <v>5046</v>
      </c>
    </row>
    <row r="7770">
      <c r="A7770" s="3" t="s">
        <v>21823</v>
      </c>
      <c r="B7770" s="3" t="s">
        <v>7160</v>
      </c>
      <c r="C7770" s="5" t="s">
        <v>614</v>
      </c>
      <c r="D7770" s="3" t="s">
        <v>206</v>
      </c>
      <c r="E7770" s="3" t="s">
        <v>100</v>
      </c>
      <c r="F7770" s="7">
        <v>45899.674669085936</v>
      </c>
      <c r="G7770" s="3" t="s">
        <v>5049</v>
      </c>
    </row>
    <row r="7771">
      <c r="A7771" s="3" t="s">
        <v>21825</v>
      </c>
      <c r="B7771" s="3" t="s">
        <v>7160</v>
      </c>
      <c r="C7771" s="5" t="s">
        <v>206</v>
      </c>
      <c r="D7771" s="3" t="s">
        <v>68</v>
      </c>
      <c r="E7771" s="3" t="s">
        <v>100</v>
      </c>
      <c r="F7771" s="7">
        <v>45899.678141308155</v>
      </c>
      <c r="G7771" s="3" t="s">
        <v>5052</v>
      </c>
    </row>
    <row r="7772">
      <c r="A7772" s="3" t="s">
        <v>21827</v>
      </c>
      <c r="B7772" s="3" t="s">
        <v>7163</v>
      </c>
      <c r="C7772" s="5" t="s">
        <v>45</v>
      </c>
      <c r="D7772" s="3" t="s">
        <v>221</v>
      </c>
      <c r="E7772" s="3" t="s">
        <v>598</v>
      </c>
      <c r="F7772" s="7">
        <v>45899.7388994869</v>
      </c>
      <c r="G7772" s="3" t="s">
        <v>4551</v>
      </c>
    </row>
    <row r="7773">
      <c r="A7773" s="3" t="s">
        <v>21829</v>
      </c>
      <c r="B7773" s="3" t="s">
        <v>7163</v>
      </c>
      <c r="C7773" s="5" t="s">
        <v>221</v>
      </c>
      <c r="D7773" s="3" t="s">
        <v>614</v>
      </c>
      <c r="E7773" s="3" t="s">
        <v>118</v>
      </c>
      <c r="F7773" s="7">
        <v>45899.74237170912</v>
      </c>
      <c r="G7773" s="3" t="s">
        <v>4554</v>
      </c>
    </row>
    <row r="7774">
      <c r="A7774" s="3" t="s">
        <v>21831</v>
      </c>
      <c r="B7774" s="3" t="s">
        <v>7163</v>
      </c>
      <c r="C7774" s="5" t="s">
        <v>614</v>
      </c>
      <c r="D7774" s="3" t="s">
        <v>206</v>
      </c>
      <c r="E7774" s="3" t="s">
        <v>100</v>
      </c>
      <c r="F7774" s="7">
        <v>45899.74584393135</v>
      </c>
      <c r="G7774" s="3" t="s">
        <v>4556</v>
      </c>
    </row>
    <row r="7775">
      <c r="A7775" s="3" t="s">
        <v>21833</v>
      </c>
      <c r="B7775" s="3" t="s">
        <v>7163</v>
      </c>
      <c r="C7775" s="5" t="s">
        <v>206</v>
      </c>
      <c r="D7775" s="3" t="s">
        <v>68</v>
      </c>
      <c r="E7775" s="3" t="s">
        <v>100</v>
      </c>
      <c r="F7775" s="7">
        <v>45899.74931615357</v>
      </c>
      <c r="G7775" s="3" t="s">
        <v>4559</v>
      </c>
    </row>
    <row r="7776">
      <c r="A7776" s="3" t="s">
        <v>21834</v>
      </c>
      <c r="B7776" s="3" t="s">
        <v>7168</v>
      </c>
      <c r="C7776" s="5" t="s">
        <v>45</v>
      </c>
      <c r="D7776" s="3" t="s">
        <v>221</v>
      </c>
      <c r="E7776" s="3" t="s">
        <v>148</v>
      </c>
      <c r="F7776" s="7">
        <v>45899.81007433232</v>
      </c>
      <c r="G7776" s="3" t="s">
        <v>4562</v>
      </c>
    </row>
    <row r="7777">
      <c r="A7777" s="3" t="s">
        <v>21836</v>
      </c>
      <c r="B7777" s="3" t="s">
        <v>7168</v>
      </c>
      <c r="C7777" s="5" t="s">
        <v>221</v>
      </c>
      <c r="D7777" s="3" t="s">
        <v>614</v>
      </c>
      <c r="E7777" s="3" t="s">
        <v>118</v>
      </c>
      <c r="F7777" s="7">
        <v>45899.81354655454</v>
      </c>
      <c r="G7777" s="3" t="s">
        <v>4565</v>
      </c>
    </row>
    <row r="7778">
      <c r="A7778" s="3" t="s">
        <v>21838</v>
      </c>
      <c r="B7778" s="3" t="s">
        <v>7168</v>
      </c>
      <c r="C7778" s="5" t="s">
        <v>614</v>
      </c>
      <c r="D7778" s="3" t="s">
        <v>206</v>
      </c>
      <c r="E7778" s="3" t="s">
        <v>100</v>
      </c>
      <c r="F7778" s="7">
        <v>45899.81701877677</v>
      </c>
      <c r="G7778" s="3" t="s">
        <v>4568</v>
      </c>
    </row>
    <row r="7779">
      <c r="A7779" s="3" t="s">
        <v>21840</v>
      </c>
      <c r="B7779" s="3" t="s">
        <v>7168</v>
      </c>
      <c r="C7779" s="5" t="s">
        <v>206</v>
      </c>
      <c r="D7779" s="3" t="s">
        <v>68</v>
      </c>
      <c r="E7779" s="3" t="s">
        <v>100</v>
      </c>
      <c r="F7779" s="7">
        <v>45899.82049099899</v>
      </c>
      <c r="G7779" s="3" t="s">
        <v>4571</v>
      </c>
    </row>
    <row r="7780">
      <c r="A7780" s="3" t="s">
        <v>21841</v>
      </c>
      <c r="B7780" s="3" t="s">
        <v>7171</v>
      </c>
      <c r="C7780" s="5" t="s">
        <v>45</v>
      </c>
      <c r="D7780" s="3" t="s">
        <v>221</v>
      </c>
      <c r="E7780" s="3" t="s">
        <v>860</v>
      </c>
      <c r="F7780" s="7">
        <v>45899.88124917774</v>
      </c>
      <c r="G7780" s="3" t="s">
        <v>21843</v>
      </c>
    </row>
    <row r="7781">
      <c r="A7781" s="3" t="s">
        <v>21844</v>
      </c>
      <c r="B7781" s="3" t="s">
        <v>7171</v>
      </c>
      <c r="C7781" s="5" t="s">
        <v>221</v>
      </c>
      <c r="D7781" s="3" t="s">
        <v>614</v>
      </c>
      <c r="E7781" s="3" t="s">
        <v>118</v>
      </c>
      <c r="F7781" s="7">
        <v>45899.88472139996</v>
      </c>
      <c r="G7781" s="3" t="s">
        <v>21846</v>
      </c>
    </row>
    <row r="7782">
      <c r="A7782" s="3" t="s">
        <v>21847</v>
      </c>
      <c r="B7782" s="3" t="s">
        <v>7171</v>
      </c>
      <c r="C7782" s="5" t="s">
        <v>614</v>
      </c>
      <c r="D7782" s="3" t="s">
        <v>206</v>
      </c>
      <c r="E7782" s="3" t="s">
        <v>100</v>
      </c>
      <c r="F7782" s="7">
        <v>45899.88819362219</v>
      </c>
      <c r="G7782" s="3" t="s">
        <v>21849</v>
      </c>
    </row>
    <row r="7783">
      <c r="A7783" s="3" t="s">
        <v>21850</v>
      </c>
      <c r="B7783" s="3" t="s">
        <v>7171</v>
      </c>
      <c r="C7783" s="5" t="s">
        <v>206</v>
      </c>
      <c r="D7783" s="3" t="s">
        <v>68</v>
      </c>
      <c r="E7783" s="3" t="s">
        <v>100</v>
      </c>
      <c r="F7783" s="7">
        <v>45899.89166584441</v>
      </c>
      <c r="G7783" s="3" t="s">
        <v>21852</v>
      </c>
    </row>
    <row r="7784">
      <c r="A7784" s="3" t="s">
        <v>21853</v>
      </c>
      <c r="B7784" s="3" t="s">
        <v>7176</v>
      </c>
      <c r="C7784" s="5" t="s">
        <v>45</v>
      </c>
      <c r="D7784" s="3" t="s">
        <v>221</v>
      </c>
      <c r="E7784" s="3" t="s">
        <v>845</v>
      </c>
      <c r="F7784" s="7">
        <v>45899.95242402315</v>
      </c>
      <c r="G7784" s="3" t="s">
        <v>4600</v>
      </c>
    </row>
    <row r="7785">
      <c r="A7785" s="3" t="s">
        <v>21855</v>
      </c>
      <c r="B7785" s="3" t="s">
        <v>7176</v>
      </c>
      <c r="C7785" s="5" t="s">
        <v>221</v>
      </c>
      <c r="D7785" s="3" t="s">
        <v>614</v>
      </c>
      <c r="E7785" s="3" t="s">
        <v>118</v>
      </c>
      <c r="F7785" s="7">
        <v>45899.95589624537</v>
      </c>
      <c r="G7785" s="3" t="s">
        <v>4603</v>
      </c>
    </row>
    <row r="7786">
      <c r="A7786" s="3" t="s">
        <v>21857</v>
      </c>
      <c r="B7786" s="3" t="s">
        <v>7176</v>
      </c>
      <c r="C7786" s="5" t="s">
        <v>614</v>
      </c>
      <c r="D7786" s="3" t="s">
        <v>206</v>
      </c>
      <c r="E7786" s="3" t="s">
        <v>100</v>
      </c>
      <c r="F7786" s="7">
        <v>45899.95936846759</v>
      </c>
      <c r="G7786" s="3" t="s">
        <v>4606</v>
      </c>
    </row>
    <row r="7787">
      <c r="A7787" s="3" t="s">
        <v>21858</v>
      </c>
      <c r="B7787" s="3" t="s">
        <v>7176</v>
      </c>
      <c r="C7787" s="5" t="s">
        <v>206</v>
      </c>
      <c r="D7787" s="3" t="s">
        <v>68</v>
      </c>
      <c r="E7787" s="3" t="s">
        <v>100</v>
      </c>
      <c r="F7787" s="7">
        <v>45899.96284068981</v>
      </c>
      <c r="G7787" s="3" t="s">
        <v>4609</v>
      </c>
    </row>
    <row r="7788">
      <c r="A7788" s="3" t="s">
        <v>21860</v>
      </c>
      <c r="B7788" s="3" t="s">
        <v>7179</v>
      </c>
      <c r="C7788" s="5" t="s">
        <v>45</v>
      </c>
      <c r="D7788" s="3" t="s">
        <v>221</v>
      </c>
      <c r="E7788" s="3" t="s">
        <v>911</v>
      </c>
      <c r="F7788" s="7">
        <v>45900.02359886857</v>
      </c>
      <c r="G7788" s="3" t="s">
        <v>21862</v>
      </c>
    </row>
    <row r="7789">
      <c r="A7789" s="3" t="s">
        <v>21863</v>
      </c>
      <c r="B7789" s="3" t="s">
        <v>7179</v>
      </c>
      <c r="C7789" s="5" t="s">
        <v>221</v>
      </c>
      <c r="D7789" s="3" t="s">
        <v>614</v>
      </c>
      <c r="E7789" s="3" t="s">
        <v>118</v>
      </c>
      <c r="F7789" s="7">
        <v>45900.027071090786</v>
      </c>
      <c r="G7789" s="3" t="s">
        <v>21865</v>
      </c>
    </row>
    <row r="7790">
      <c r="A7790" s="3" t="s">
        <v>21866</v>
      </c>
      <c r="B7790" s="3" t="s">
        <v>7179</v>
      </c>
      <c r="C7790" s="5" t="s">
        <v>614</v>
      </c>
      <c r="D7790" s="3" t="s">
        <v>206</v>
      </c>
      <c r="E7790" s="3" t="s">
        <v>100</v>
      </c>
      <c r="F7790" s="7">
        <v>45900.03054331301</v>
      </c>
      <c r="G7790" s="3" t="s">
        <v>21868</v>
      </c>
    </row>
    <row r="7791">
      <c r="A7791" s="3" t="s">
        <v>21869</v>
      </c>
      <c r="B7791" s="3" t="s">
        <v>7179</v>
      </c>
      <c r="C7791" s="5" t="s">
        <v>206</v>
      </c>
      <c r="D7791" s="3" t="s">
        <v>68</v>
      </c>
      <c r="E7791" s="3" t="s">
        <v>100</v>
      </c>
      <c r="F7791" s="7">
        <v>45900.03401553523</v>
      </c>
      <c r="G7791" s="3" t="s">
        <v>21871</v>
      </c>
    </row>
    <row r="7792">
      <c r="A7792" s="3" t="s">
        <v>21872</v>
      </c>
      <c r="B7792" s="3" t="s">
        <v>7184</v>
      </c>
      <c r="C7792" s="5" t="s">
        <v>45</v>
      </c>
      <c r="D7792" s="3" t="s">
        <v>221</v>
      </c>
      <c r="E7792" s="3" t="s">
        <v>165</v>
      </c>
      <c r="F7792" s="7">
        <v>45900.09477371398</v>
      </c>
      <c r="G7792" s="3" t="s">
        <v>21874</v>
      </c>
    </row>
    <row r="7793">
      <c r="A7793" s="3" t="s">
        <v>21875</v>
      </c>
      <c r="B7793" s="3" t="s">
        <v>7184</v>
      </c>
      <c r="C7793" s="5" t="s">
        <v>221</v>
      </c>
      <c r="D7793" s="3" t="s">
        <v>614</v>
      </c>
      <c r="E7793" s="3" t="s">
        <v>118</v>
      </c>
      <c r="F7793" s="7">
        <v>45900.0982459362</v>
      </c>
      <c r="G7793" s="3" t="s">
        <v>21876</v>
      </c>
    </row>
    <row r="7794">
      <c r="A7794" s="3" t="s">
        <v>21877</v>
      </c>
      <c r="B7794" s="3" t="s">
        <v>7184</v>
      </c>
      <c r="C7794" s="5" t="s">
        <v>614</v>
      </c>
      <c r="D7794" s="3" t="s">
        <v>206</v>
      </c>
      <c r="E7794" s="3" t="s">
        <v>100</v>
      </c>
      <c r="F7794" s="7">
        <v>45900.101718158425</v>
      </c>
      <c r="G7794" s="3" t="s">
        <v>21879</v>
      </c>
    </row>
    <row r="7795">
      <c r="A7795" s="3" t="s">
        <v>21880</v>
      </c>
      <c r="B7795" s="3" t="s">
        <v>7184</v>
      </c>
      <c r="C7795" s="5" t="s">
        <v>206</v>
      </c>
      <c r="D7795" s="3" t="s">
        <v>68</v>
      </c>
      <c r="E7795" s="3" t="s">
        <v>100</v>
      </c>
      <c r="F7795" s="7">
        <v>45900.105190380644</v>
      </c>
      <c r="G7795" s="3" t="s">
        <v>21882</v>
      </c>
    </row>
    <row r="7796">
      <c r="A7796" s="3" t="s">
        <v>21883</v>
      </c>
      <c r="B7796" s="3" t="s">
        <v>7186</v>
      </c>
      <c r="C7796" s="5" t="s">
        <v>45</v>
      </c>
      <c r="D7796" s="3" t="s">
        <v>221</v>
      </c>
      <c r="E7796" s="3" t="s">
        <v>1049</v>
      </c>
      <c r="F7796" s="7">
        <v>45900.1659485594</v>
      </c>
      <c r="G7796" s="3" t="s">
        <v>21207</v>
      </c>
    </row>
    <row r="7797">
      <c r="A7797" s="3" t="s">
        <v>21885</v>
      </c>
      <c r="B7797" s="3" t="s">
        <v>7186</v>
      </c>
      <c r="C7797" s="5" t="s">
        <v>221</v>
      </c>
      <c r="D7797" s="3" t="s">
        <v>181</v>
      </c>
      <c r="E7797" s="3" t="s">
        <v>118</v>
      </c>
      <c r="F7797" s="7">
        <v>45900.16942078162</v>
      </c>
      <c r="G7797" s="3" t="s">
        <v>21887</v>
      </c>
    </row>
    <row r="7798">
      <c r="A7798" s="3" t="s">
        <v>21888</v>
      </c>
      <c r="B7798" s="3" t="s">
        <v>7188</v>
      </c>
      <c r="C7798" s="5" t="s">
        <v>45</v>
      </c>
      <c r="D7798" s="3" t="s">
        <v>221</v>
      </c>
      <c r="E7798" s="3" t="s">
        <v>544</v>
      </c>
      <c r="F7798" s="7">
        <v>45900.23712340481</v>
      </c>
      <c r="G7798" s="3" t="s">
        <v>4342</v>
      </c>
    </row>
    <row r="7799">
      <c r="A7799" s="3" t="s">
        <v>21890</v>
      </c>
      <c r="B7799" s="3" t="s">
        <v>7188</v>
      </c>
      <c r="C7799" s="5" t="s">
        <v>221</v>
      </c>
      <c r="D7799" s="3" t="s">
        <v>614</v>
      </c>
      <c r="E7799" s="3" t="s">
        <v>118</v>
      </c>
      <c r="F7799" s="7">
        <v>45900.24059562703</v>
      </c>
      <c r="G7799" s="3" t="s">
        <v>4345</v>
      </c>
    </row>
    <row r="7800">
      <c r="A7800" s="3" t="s">
        <v>21891</v>
      </c>
      <c r="B7800" s="3" t="s">
        <v>7188</v>
      </c>
      <c r="C7800" s="5" t="s">
        <v>614</v>
      </c>
      <c r="D7800" s="3" t="s">
        <v>206</v>
      </c>
      <c r="E7800" s="3" t="s">
        <v>100</v>
      </c>
      <c r="F7800" s="7">
        <v>45900.24406784926</v>
      </c>
      <c r="G7800" s="3" t="s">
        <v>4348</v>
      </c>
    </row>
    <row r="7801">
      <c r="A7801" s="3" t="s">
        <v>21893</v>
      </c>
      <c r="B7801" s="3" t="s">
        <v>7188</v>
      </c>
      <c r="C7801" s="5" t="s">
        <v>206</v>
      </c>
      <c r="D7801" s="3" t="s">
        <v>68</v>
      </c>
      <c r="E7801" s="3" t="s">
        <v>100</v>
      </c>
      <c r="F7801" s="7">
        <v>45900.247540071476</v>
      </c>
      <c r="G7801" s="3" t="s">
        <v>4350</v>
      </c>
    </row>
    <row r="7802">
      <c r="A7802" s="3" t="s">
        <v>21895</v>
      </c>
      <c r="B7802" s="3" t="s">
        <v>7190</v>
      </c>
      <c r="C7802" s="5" t="s">
        <v>45</v>
      </c>
      <c r="D7802" s="3" t="s">
        <v>221</v>
      </c>
      <c r="E7802" s="3" t="s">
        <v>800</v>
      </c>
      <c r="F7802" s="7">
        <v>45900.30829825023</v>
      </c>
      <c r="G7802" s="3" t="s">
        <v>21897</v>
      </c>
    </row>
    <row r="7803">
      <c r="A7803" s="3" t="s">
        <v>21898</v>
      </c>
      <c r="B7803" s="3" t="s">
        <v>7190</v>
      </c>
      <c r="C7803" s="5" t="s">
        <v>221</v>
      </c>
      <c r="D7803" s="3" t="s">
        <v>614</v>
      </c>
      <c r="E7803" s="3" t="s">
        <v>118</v>
      </c>
      <c r="F7803" s="7">
        <v>45900.31177047245</v>
      </c>
      <c r="G7803" s="3" t="s">
        <v>21900</v>
      </c>
    </row>
    <row r="7804">
      <c r="A7804" s="3" t="s">
        <v>21901</v>
      </c>
      <c r="B7804" s="3" t="s">
        <v>7190</v>
      </c>
      <c r="C7804" s="5" t="s">
        <v>614</v>
      </c>
      <c r="D7804" s="3" t="s">
        <v>206</v>
      </c>
      <c r="E7804" s="3" t="s">
        <v>100</v>
      </c>
      <c r="F7804" s="7">
        <v>45900.315242694676</v>
      </c>
      <c r="G7804" s="3" t="s">
        <v>21903</v>
      </c>
    </row>
    <row r="7805">
      <c r="A7805" s="3" t="s">
        <v>21904</v>
      </c>
      <c r="B7805" s="3" t="s">
        <v>7190</v>
      </c>
      <c r="C7805" s="5" t="s">
        <v>206</v>
      </c>
      <c r="D7805" s="3" t="s">
        <v>68</v>
      </c>
      <c r="E7805" s="3" t="s">
        <v>100</v>
      </c>
      <c r="F7805" s="7">
        <v>45900.318714916895</v>
      </c>
      <c r="G7805" s="3" t="s">
        <v>21906</v>
      </c>
    </row>
    <row r="7806">
      <c r="A7806" s="3" t="s">
        <v>21907</v>
      </c>
      <c r="B7806" s="3" t="s">
        <v>7192</v>
      </c>
      <c r="C7806" s="5" t="s">
        <v>45</v>
      </c>
      <c r="D7806" s="3" t="s">
        <v>221</v>
      </c>
      <c r="E7806" s="3" t="s">
        <v>496</v>
      </c>
      <c r="F7806" s="7">
        <v>45900.37947309564</v>
      </c>
      <c r="G7806" s="3" t="s">
        <v>2770</v>
      </c>
    </row>
    <row r="7807">
      <c r="A7807" s="3" t="s">
        <v>21909</v>
      </c>
      <c r="B7807" s="3" t="s">
        <v>7192</v>
      </c>
      <c r="C7807" s="5" t="s">
        <v>221</v>
      </c>
      <c r="D7807" s="3" t="s">
        <v>195</v>
      </c>
      <c r="E7807" s="3" t="s">
        <v>496</v>
      </c>
      <c r="F7807" s="7">
        <v>45900.38294531786</v>
      </c>
      <c r="G7807" s="3" t="s">
        <v>3055</v>
      </c>
    </row>
    <row r="7808">
      <c r="A7808" s="3" t="s">
        <v>21910</v>
      </c>
      <c r="B7808" s="3" t="s">
        <v>7194</v>
      </c>
      <c r="C7808" s="5" t="s">
        <v>45</v>
      </c>
      <c r="D7808" s="3" t="s">
        <v>221</v>
      </c>
      <c r="E7808" s="3" t="s">
        <v>400</v>
      </c>
      <c r="F7808" s="7">
        <v>45900.450647941056</v>
      </c>
      <c r="G7808" s="3" t="s">
        <v>18485</v>
      </c>
    </row>
    <row r="7809">
      <c r="A7809" s="3" t="s">
        <v>21912</v>
      </c>
      <c r="B7809" s="3" t="s">
        <v>7194</v>
      </c>
      <c r="C7809" s="5" t="s">
        <v>221</v>
      </c>
      <c r="D7809" s="3" t="s">
        <v>614</v>
      </c>
      <c r="E7809" s="3" t="s">
        <v>118</v>
      </c>
      <c r="F7809" s="7">
        <v>45900.454120163275</v>
      </c>
      <c r="G7809" s="3" t="s">
        <v>18487</v>
      </c>
    </row>
    <row r="7810">
      <c r="A7810" s="3" t="s">
        <v>21914</v>
      </c>
      <c r="B7810" s="3" t="s">
        <v>7194</v>
      </c>
      <c r="C7810" s="5" t="s">
        <v>614</v>
      </c>
      <c r="D7810" s="3" t="s">
        <v>206</v>
      </c>
      <c r="E7810" s="3" t="s">
        <v>100</v>
      </c>
      <c r="F7810" s="7">
        <v>45900.4575923855</v>
      </c>
      <c r="G7810" s="3" t="s">
        <v>18490</v>
      </c>
    </row>
    <row r="7811">
      <c r="A7811" s="3" t="s">
        <v>21916</v>
      </c>
      <c r="B7811" s="3" t="s">
        <v>7194</v>
      </c>
      <c r="C7811" s="5" t="s">
        <v>206</v>
      </c>
      <c r="D7811" s="3" t="s">
        <v>68</v>
      </c>
      <c r="E7811" s="3" t="s">
        <v>100</v>
      </c>
      <c r="F7811" s="7">
        <v>45900.46106460772</v>
      </c>
      <c r="G7811" s="3" t="s">
        <v>18493</v>
      </c>
    </row>
    <row r="7812">
      <c r="A7812" s="3" t="s">
        <v>21918</v>
      </c>
      <c r="B7812" s="3" t="s">
        <v>7196</v>
      </c>
      <c r="C7812" s="5" t="s">
        <v>45</v>
      </c>
      <c r="D7812" s="3" t="s">
        <v>221</v>
      </c>
      <c r="E7812" s="3" t="s">
        <v>316</v>
      </c>
      <c r="F7812" s="7">
        <v>45900.521822786475</v>
      </c>
      <c r="G7812" s="3" t="s">
        <v>12238</v>
      </c>
    </row>
    <row r="7813">
      <c r="A7813" s="3" t="s">
        <v>21920</v>
      </c>
      <c r="B7813" s="3" t="s">
        <v>7196</v>
      </c>
      <c r="C7813" s="5" t="s">
        <v>221</v>
      </c>
      <c r="D7813" s="3" t="s">
        <v>614</v>
      </c>
      <c r="E7813" s="3" t="s">
        <v>118</v>
      </c>
      <c r="F7813" s="7">
        <v>45900.525295008694</v>
      </c>
      <c r="G7813" s="3" t="s">
        <v>12242</v>
      </c>
    </row>
    <row r="7814">
      <c r="A7814" s="3" t="s">
        <v>21922</v>
      </c>
      <c r="B7814" s="3" t="s">
        <v>7196</v>
      </c>
      <c r="C7814" s="5" t="s">
        <v>614</v>
      </c>
      <c r="D7814" s="3" t="s">
        <v>206</v>
      </c>
      <c r="E7814" s="3" t="s">
        <v>100</v>
      </c>
      <c r="F7814" s="7">
        <v>45900.52876723092</v>
      </c>
      <c r="G7814" s="3" t="s">
        <v>12245</v>
      </c>
    </row>
    <row r="7815">
      <c r="A7815" s="3" t="s">
        <v>21924</v>
      </c>
      <c r="B7815" s="3" t="s">
        <v>7196</v>
      </c>
      <c r="C7815" s="5" t="s">
        <v>206</v>
      </c>
      <c r="D7815" s="3" t="s">
        <v>68</v>
      </c>
      <c r="E7815" s="3" t="s">
        <v>100</v>
      </c>
      <c r="F7815" s="7">
        <v>45900.53223945314</v>
      </c>
      <c r="G7815" s="3" t="s">
        <v>12248</v>
      </c>
    </row>
    <row r="7816">
      <c r="A7816" s="3" t="s">
        <v>21926</v>
      </c>
      <c r="B7816" s="3" t="s">
        <v>7198</v>
      </c>
      <c r="C7816" s="5" t="s">
        <v>45</v>
      </c>
      <c r="D7816" s="3" t="s">
        <v>221</v>
      </c>
      <c r="E7816" s="3" t="s">
        <v>162</v>
      </c>
      <c r="F7816" s="7">
        <v>45900.59299763189</v>
      </c>
      <c r="G7816" s="3" t="s">
        <v>4623</v>
      </c>
    </row>
    <row r="7817">
      <c r="A7817" s="3" t="s">
        <v>21928</v>
      </c>
      <c r="B7817" s="3" t="s">
        <v>7198</v>
      </c>
      <c r="C7817" s="5" t="s">
        <v>221</v>
      </c>
      <c r="D7817" s="3" t="s">
        <v>614</v>
      </c>
      <c r="E7817" s="3" t="s">
        <v>118</v>
      </c>
      <c r="F7817" s="7">
        <v>45900.59646985411</v>
      </c>
      <c r="G7817" s="3" t="s">
        <v>4626</v>
      </c>
    </row>
    <row r="7818">
      <c r="A7818" s="3" t="s">
        <v>21930</v>
      </c>
      <c r="B7818" s="3" t="s">
        <v>7198</v>
      </c>
      <c r="C7818" s="5" t="s">
        <v>614</v>
      </c>
      <c r="D7818" s="3" t="s">
        <v>206</v>
      </c>
      <c r="E7818" s="3" t="s">
        <v>100</v>
      </c>
      <c r="F7818" s="7">
        <v>45900.59994207633</v>
      </c>
      <c r="G7818" s="3" t="s">
        <v>4629</v>
      </c>
    </row>
    <row r="7819">
      <c r="A7819" s="3" t="s">
        <v>21932</v>
      </c>
      <c r="B7819" s="3" t="s">
        <v>7198</v>
      </c>
      <c r="C7819" s="5" t="s">
        <v>206</v>
      </c>
      <c r="D7819" s="3" t="s">
        <v>68</v>
      </c>
      <c r="E7819" s="3" t="s">
        <v>100</v>
      </c>
      <c r="F7819" s="7">
        <v>45900.60341429855</v>
      </c>
      <c r="G7819" s="3" t="s">
        <v>4632</v>
      </c>
    </row>
    <row r="7820">
      <c r="A7820" s="3" t="s">
        <v>21935</v>
      </c>
      <c r="B7820" s="3" t="s">
        <v>7202</v>
      </c>
      <c r="C7820" s="5" t="s">
        <v>45</v>
      </c>
      <c r="D7820" s="3" t="s">
        <v>221</v>
      </c>
      <c r="E7820" s="3" t="s">
        <v>616</v>
      </c>
      <c r="F7820" s="7">
        <v>45900.6641724773</v>
      </c>
      <c r="G7820" s="3" t="s">
        <v>21937</v>
      </c>
    </row>
    <row r="7821">
      <c r="A7821" s="3" t="s">
        <v>21938</v>
      </c>
      <c r="B7821" s="3" t="s">
        <v>7202</v>
      </c>
      <c r="C7821" s="5" t="s">
        <v>221</v>
      </c>
      <c r="D7821" s="3" t="s">
        <v>614</v>
      </c>
      <c r="E7821" s="3" t="s">
        <v>118</v>
      </c>
      <c r="F7821" s="7">
        <v>45900.66764469952</v>
      </c>
      <c r="G7821" s="3" t="s">
        <v>21940</v>
      </c>
    </row>
    <row r="7822">
      <c r="A7822" s="3" t="s">
        <v>21941</v>
      </c>
      <c r="B7822" s="3" t="s">
        <v>7202</v>
      </c>
      <c r="C7822" s="5" t="s">
        <v>614</v>
      </c>
      <c r="D7822" s="3" t="s">
        <v>206</v>
      </c>
      <c r="E7822" s="3" t="s">
        <v>100</v>
      </c>
      <c r="F7822" s="7">
        <v>45900.671116921745</v>
      </c>
      <c r="G7822" s="3" t="s">
        <v>21942</v>
      </c>
    </row>
    <row r="7823">
      <c r="A7823" s="3" t="s">
        <v>21943</v>
      </c>
      <c r="B7823" s="3" t="s">
        <v>7202</v>
      </c>
      <c r="C7823" s="5" t="s">
        <v>206</v>
      </c>
      <c r="D7823" s="3" t="s">
        <v>68</v>
      </c>
      <c r="E7823" s="3" t="s">
        <v>100</v>
      </c>
      <c r="F7823" s="7">
        <v>45900.674589143964</v>
      </c>
      <c r="G7823" s="3" t="s">
        <v>21945</v>
      </c>
    </row>
    <row r="7824">
      <c r="A7824" s="3" t="s">
        <v>21946</v>
      </c>
      <c r="B7824" s="3" t="s">
        <v>7206</v>
      </c>
      <c r="C7824" s="5" t="s">
        <v>45</v>
      </c>
      <c r="D7824" s="3" t="s">
        <v>221</v>
      </c>
      <c r="E7824" s="3" t="s">
        <v>287</v>
      </c>
      <c r="F7824" s="7">
        <v>45900.73534732272</v>
      </c>
      <c r="G7824" s="3" t="s">
        <v>21948</v>
      </c>
    </row>
    <row r="7825">
      <c r="A7825" s="3" t="s">
        <v>21949</v>
      </c>
      <c r="B7825" s="3" t="s">
        <v>7206</v>
      </c>
      <c r="C7825" s="5" t="s">
        <v>221</v>
      </c>
      <c r="D7825" s="3" t="s">
        <v>614</v>
      </c>
      <c r="E7825" s="3" t="s">
        <v>118</v>
      </c>
      <c r="F7825" s="7">
        <v>45900.73881954494</v>
      </c>
      <c r="G7825" s="3" t="s">
        <v>21951</v>
      </c>
    </row>
    <row r="7826">
      <c r="A7826" s="3" t="s">
        <v>21952</v>
      </c>
      <c r="B7826" s="3" t="s">
        <v>7206</v>
      </c>
      <c r="C7826" s="5" t="s">
        <v>614</v>
      </c>
      <c r="D7826" s="3" t="s">
        <v>206</v>
      </c>
      <c r="E7826" s="3" t="s">
        <v>100</v>
      </c>
      <c r="F7826" s="7">
        <v>45900.742291767165</v>
      </c>
      <c r="G7826" s="3" t="s">
        <v>21954</v>
      </c>
    </row>
    <row r="7827">
      <c r="A7827" s="3" t="s">
        <v>21955</v>
      </c>
      <c r="B7827" s="3" t="s">
        <v>7206</v>
      </c>
      <c r="C7827" s="5" t="s">
        <v>206</v>
      </c>
      <c r="D7827" s="3" t="s">
        <v>68</v>
      </c>
      <c r="E7827" s="3" t="s">
        <v>100</v>
      </c>
      <c r="F7827" s="7">
        <v>45900.745763989384</v>
      </c>
      <c r="G7827" s="3" t="s">
        <v>21956</v>
      </c>
    </row>
    <row r="7828">
      <c r="A7828" s="3" t="s">
        <v>21958</v>
      </c>
      <c r="B7828" s="3" t="s">
        <v>7208</v>
      </c>
      <c r="C7828" s="5" t="s">
        <v>45</v>
      </c>
      <c r="D7828" s="3" t="s">
        <v>221</v>
      </c>
      <c r="E7828" s="3" t="s">
        <v>698</v>
      </c>
      <c r="F7828" s="7">
        <v>45900.80652216813</v>
      </c>
      <c r="G7828" s="3" t="s">
        <v>4635</v>
      </c>
    </row>
    <row r="7829">
      <c r="A7829" s="3" t="s">
        <v>21960</v>
      </c>
      <c r="B7829" s="3" t="s">
        <v>7208</v>
      </c>
      <c r="C7829" s="5" t="s">
        <v>221</v>
      </c>
      <c r="D7829" s="3" t="s">
        <v>614</v>
      </c>
      <c r="E7829" s="3" t="s">
        <v>118</v>
      </c>
      <c r="F7829" s="7">
        <v>45900.80999439035</v>
      </c>
      <c r="G7829" s="3" t="s">
        <v>4638</v>
      </c>
    </row>
    <row r="7830">
      <c r="A7830" s="3" t="s">
        <v>21962</v>
      </c>
      <c r="B7830" s="3" t="s">
        <v>7208</v>
      </c>
      <c r="C7830" s="5" t="s">
        <v>614</v>
      </c>
      <c r="D7830" s="3" t="s">
        <v>206</v>
      </c>
      <c r="E7830" s="3" t="s">
        <v>100</v>
      </c>
      <c r="F7830" s="7">
        <v>45900.81346661258</v>
      </c>
      <c r="G7830" s="3" t="s">
        <v>4641</v>
      </c>
    </row>
    <row r="7831">
      <c r="A7831" s="3" t="s">
        <v>21963</v>
      </c>
      <c r="B7831" s="3" t="s">
        <v>7208</v>
      </c>
      <c r="C7831" s="5" t="s">
        <v>206</v>
      </c>
      <c r="D7831" s="3" t="s">
        <v>68</v>
      </c>
      <c r="E7831" s="3" t="s">
        <v>100</v>
      </c>
      <c r="F7831" s="7">
        <v>45900.816938834796</v>
      </c>
      <c r="G7831" s="3" t="s">
        <v>4643</v>
      </c>
    </row>
    <row r="7832">
      <c r="A7832" s="3" t="s">
        <v>21965</v>
      </c>
      <c r="B7832" s="3" t="s">
        <v>7210</v>
      </c>
      <c r="C7832" s="5" t="s">
        <v>45</v>
      </c>
      <c r="D7832" s="3" t="s">
        <v>221</v>
      </c>
      <c r="E7832" s="3" t="s">
        <v>742</v>
      </c>
      <c r="F7832" s="7">
        <v>45900.877697013544</v>
      </c>
      <c r="G7832" s="3" t="s">
        <v>2770</v>
      </c>
    </row>
    <row r="7833">
      <c r="A7833" s="3" t="s">
        <v>21967</v>
      </c>
      <c r="B7833" s="3" t="s">
        <v>7210</v>
      </c>
      <c r="C7833" s="5" t="s">
        <v>221</v>
      </c>
      <c r="D7833" s="3" t="s">
        <v>195</v>
      </c>
      <c r="E7833" s="3" t="s">
        <v>742</v>
      </c>
      <c r="F7833" s="7">
        <v>45900.88116923576</v>
      </c>
      <c r="G7833" s="3" t="s">
        <v>3055</v>
      </c>
    </row>
    <row r="7834">
      <c r="A7834" s="3" t="s">
        <v>21969</v>
      </c>
      <c r="B7834" s="3" t="s">
        <v>7212</v>
      </c>
      <c r="C7834" s="5" t="s">
        <v>45</v>
      </c>
      <c r="D7834" s="3" t="s">
        <v>221</v>
      </c>
      <c r="E7834" s="3" t="s">
        <v>717</v>
      </c>
      <c r="F7834" s="7">
        <v>45900.948871858964</v>
      </c>
      <c r="G7834" s="3" t="s">
        <v>16997</v>
      </c>
    </row>
    <row r="7835">
      <c r="A7835" s="3" t="s">
        <v>21971</v>
      </c>
      <c r="B7835" s="3" t="s">
        <v>7212</v>
      </c>
      <c r="C7835" s="5" t="s">
        <v>221</v>
      </c>
      <c r="D7835" s="3" t="s">
        <v>614</v>
      </c>
      <c r="E7835" s="3" t="s">
        <v>118</v>
      </c>
      <c r="F7835" s="7">
        <v>45900.95234408118</v>
      </c>
      <c r="G7835" s="3" t="s">
        <v>21972</v>
      </c>
    </row>
    <row r="7836">
      <c r="A7836" s="3" t="s">
        <v>21974</v>
      </c>
      <c r="B7836" s="3" t="s">
        <v>7212</v>
      </c>
      <c r="C7836" s="5" t="s">
        <v>614</v>
      </c>
      <c r="D7836" s="3" t="s">
        <v>206</v>
      </c>
      <c r="E7836" s="3" t="s">
        <v>100</v>
      </c>
      <c r="F7836" s="7">
        <v>45900.95581630341</v>
      </c>
      <c r="G7836" s="3" t="s">
        <v>21975</v>
      </c>
    </row>
    <row r="7837">
      <c r="A7837" s="3" t="s">
        <v>21977</v>
      </c>
      <c r="B7837" s="3" t="s">
        <v>7212</v>
      </c>
      <c r="C7837" s="5" t="s">
        <v>206</v>
      </c>
      <c r="D7837" s="3" t="s">
        <v>68</v>
      </c>
      <c r="E7837" s="3" t="s">
        <v>100</v>
      </c>
      <c r="F7837" s="7">
        <v>45900.95928852563</v>
      </c>
      <c r="G7837" s="3" t="s">
        <v>21978</v>
      </c>
    </row>
    <row r="7838">
      <c r="A7838" s="3" t="s">
        <v>21979</v>
      </c>
      <c r="B7838" s="3" t="s">
        <v>7215</v>
      </c>
      <c r="C7838" s="5" t="s">
        <v>45</v>
      </c>
      <c r="D7838" s="3" t="s">
        <v>221</v>
      </c>
      <c r="E7838" s="3" t="s">
        <v>816</v>
      </c>
      <c r="F7838" s="7">
        <v>45901.02004670438</v>
      </c>
      <c r="G7838" s="3" t="s">
        <v>21981</v>
      </c>
    </row>
    <row r="7839">
      <c r="A7839" s="3" t="s">
        <v>21982</v>
      </c>
      <c r="B7839" s="3" t="s">
        <v>7215</v>
      </c>
      <c r="C7839" s="5" t="s">
        <v>221</v>
      </c>
      <c r="D7839" s="3" t="s">
        <v>614</v>
      </c>
      <c r="E7839" s="3" t="s">
        <v>118</v>
      </c>
      <c r="F7839" s="7">
        <v>45901.0235189266</v>
      </c>
      <c r="G7839" s="3" t="s">
        <v>21984</v>
      </c>
    </row>
    <row r="7840">
      <c r="A7840" s="3" t="s">
        <v>21985</v>
      </c>
      <c r="B7840" s="3" t="s">
        <v>7215</v>
      </c>
      <c r="C7840" s="5" t="s">
        <v>614</v>
      </c>
      <c r="D7840" s="3" t="s">
        <v>206</v>
      </c>
      <c r="E7840" s="3" t="s">
        <v>100</v>
      </c>
      <c r="F7840" s="7">
        <v>45901.02699114883</v>
      </c>
      <c r="G7840" s="3" t="s">
        <v>21987</v>
      </c>
    </row>
    <row r="7841">
      <c r="A7841" s="3" t="s">
        <v>21988</v>
      </c>
      <c r="B7841" s="3" t="s">
        <v>7215</v>
      </c>
      <c r="C7841" s="5" t="s">
        <v>206</v>
      </c>
      <c r="D7841" s="3" t="s">
        <v>68</v>
      </c>
      <c r="E7841" s="3" t="s">
        <v>100</v>
      </c>
      <c r="F7841" s="7">
        <v>45901.03046337105</v>
      </c>
      <c r="G7841" s="3" t="s">
        <v>21990</v>
      </c>
    </row>
    <row r="7842">
      <c r="A7842" s="3" t="s">
        <v>21991</v>
      </c>
      <c r="B7842" s="3" t="s">
        <v>7219</v>
      </c>
      <c r="C7842" s="5" t="s">
        <v>45</v>
      </c>
      <c r="D7842" s="3" t="s">
        <v>221</v>
      </c>
      <c r="E7842" s="3" t="s">
        <v>822</v>
      </c>
      <c r="F7842" s="7">
        <v>45901.09122154979</v>
      </c>
      <c r="G7842" s="3" t="s">
        <v>6155</v>
      </c>
    </row>
    <row r="7843">
      <c r="A7843" s="3" t="s">
        <v>21993</v>
      </c>
      <c r="B7843" s="3" t="s">
        <v>7219</v>
      </c>
      <c r="C7843" s="5" t="s">
        <v>221</v>
      </c>
      <c r="D7843" s="3" t="s">
        <v>614</v>
      </c>
      <c r="E7843" s="3" t="s">
        <v>118</v>
      </c>
      <c r="F7843" s="7">
        <v>45901.09469377201</v>
      </c>
      <c r="G7843" s="3" t="s">
        <v>6158</v>
      </c>
    </row>
    <row r="7844">
      <c r="A7844" s="3" t="s">
        <v>21995</v>
      </c>
      <c r="B7844" s="3" t="s">
        <v>7219</v>
      </c>
      <c r="C7844" s="5" t="s">
        <v>614</v>
      </c>
      <c r="D7844" s="3" t="s">
        <v>206</v>
      </c>
      <c r="E7844" s="3" t="s">
        <v>100</v>
      </c>
      <c r="F7844" s="7">
        <v>45901.09816599423</v>
      </c>
      <c r="G7844" s="3" t="s">
        <v>6160</v>
      </c>
    </row>
    <row r="7845">
      <c r="A7845" s="3" t="s">
        <v>21997</v>
      </c>
      <c r="B7845" s="3" t="s">
        <v>7219</v>
      </c>
      <c r="C7845" s="5" t="s">
        <v>206</v>
      </c>
      <c r="D7845" s="3" t="s">
        <v>68</v>
      </c>
      <c r="E7845" s="3" t="s">
        <v>100</v>
      </c>
      <c r="F7845" s="7">
        <v>45901.10163821645</v>
      </c>
      <c r="G7845" s="3" t="s">
        <v>6163</v>
      </c>
    </row>
    <row r="7846">
      <c r="A7846" s="3" t="s">
        <v>21998</v>
      </c>
      <c r="B7846" s="3" t="s">
        <v>7222</v>
      </c>
      <c r="C7846" s="5" t="s">
        <v>45</v>
      </c>
      <c r="D7846" s="3" t="s">
        <v>221</v>
      </c>
      <c r="E7846" s="3" t="s">
        <v>197</v>
      </c>
      <c r="F7846" s="7">
        <v>45901.16239639521</v>
      </c>
      <c r="G7846" s="3" t="s">
        <v>5902</v>
      </c>
    </row>
    <row r="7847">
      <c r="A7847" s="3" t="s">
        <v>22000</v>
      </c>
      <c r="B7847" s="3" t="s">
        <v>7222</v>
      </c>
      <c r="C7847" s="5" t="s">
        <v>221</v>
      </c>
      <c r="D7847" s="3" t="s">
        <v>195</v>
      </c>
      <c r="E7847" s="3" t="s">
        <v>197</v>
      </c>
      <c r="F7847" s="7">
        <v>45901.16586861743</v>
      </c>
      <c r="G7847" s="3" t="s">
        <v>22002</v>
      </c>
    </row>
    <row r="7848">
      <c r="A7848" s="3" t="s">
        <v>22003</v>
      </c>
      <c r="B7848" s="3" t="s">
        <v>7225</v>
      </c>
      <c r="C7848" s="5" t="s">
        <v>45</v>
      </c>
      <c r="D7848" s="3" t="s">
        <v>221</v>
      </c>
      <c r="E7848" s="3" t="s">
        <v>145</v>
      </c>
      <c r="F7848" s="7">
        <v>45901.23357124063</v>
      </c>
      <c r="G7848" s="3" t="s">
        <v>10105</v>
      </c>
    </row>
    <row r="7849">
      <c r="A7849" s="3" t="s">
        <v>22005</v>
      </c>
      <c r="B7849" s="3" t="s">
        <v>7225</v>
      </c>
      <c r="C7849" s="5" t="s">
        <v>221</v>
      </c>
      <c r="D7849" s="3" t="s">
        <v>181</v>
      </c>
      <c r="E7849" s="3" t="s">
        <v>118</v>
      </c>
      <c r="F7849" s="7">
        <v>45901.23704346285</v>
      </c>
      <c r="G7849" s="3" t="s">
        <v>22007</v>
      </c>
    </row>
    <row r="7850">
      <c r="A7850" s="3" t="s">
        <v>22008</v>
      </c>
      <c r="B7850" s="3" t="s">
        <v>7228</v>
      </c>
      <c r="C7850" s="5" t="s">
        <v>45</v>
      </c>
      <c r="D7850" s="3" t="s">
        <v>221</v>
      </c>
      <c r="E7850" s="3" t="s">
        <v>455</v>
      </c>
      <c r="F7850" s="7">
        <v>45901.30474608604</v>
      </c>
      <c r="G7850" s="3" t="s">
        <v>11235</v>
      </c>
    </row>
    <row r="7851">
      <c r="A7851" s="3" t="s">
        <v>22010</v>
      </c>
      <c r="B7851" s="3" t="s">
        <v>7228</v>
      </c>
      <c r="C7851" s="5" t="s">
        <v>221</v>
      </c>
      <c r="D7851" s="3" t="s">
        <v>614</v>
      </c>
      <c r="E7851" s="3" t="s">
        <v>118</v>
      </c>
      <c r="F7851" s="7">
        <v>45901.30821830826</v>
      </c>
      <c r="G7851" s="3" t="s">
        <v>11238</v>
      </c>
    </row>
    <row r="7852">
      <c r="A7852" s="3" t="s">
        <v>22011</v>
      </c>
      <c r="B7852" s="3" t="s">
        <v>7228</v>
      </c>
      <c r="C7852" s="5" t="s">
        <v>614</v>
      </c>
      <c r="D7852" s="3" t="s">
        <v>206</v>
      </c>
      <c r="E7852" s="3" t="s">
        <v>100</v>
      </c>
      <c r="F7852" s="7">
        <v>45901.311690530485</v>
      </c>
      <c r="G7852" s="3" t="s">
        <v>11241</v>
      </c>
    </row>
    <row r="7853">
      <c r="A7853" s="3" t="s">
        <v>22013</v>
      </c>
      <c r="B7853" s="3" t="s">
        <v>7228</v>
      </c>
      <c r="C7853" s="5" t="s">
        <v>206</v>
      </c>
      <c r="D7853" s="3" t="s">
        <v>68</v>
      </c>
      <c r="E7853" s="3" t="s">
        <v>100</v>
      </c>
      <c r="F7853" s="7">
        <v>45901.315162752704</v>
      </c>
      <c r="G7853" s="3" t="s">
        <v>11244</v>
      </c>
    </row>
    <row r="7854">
      <c r="A7854" s="3" t="s">
        <v>22015</v>
      </c>
      <c r="B7854" s="3" t="s">
        <v>7231</v>
      </c>
      <c r="C7854" s="5" t="s">
        <v>45</v>
      </c>
      <c r="D7854" s="3" t="s">
        <v>221</v>
      </c>
      <c r="E7854" s="3" t="s">
        <v>269</v>
      </c>
      <c r="F7854" s="7">
        <v>45901.37592093145</v>
      </c>
      <c r="G7854" s="3" t="s">
        <v>4476</v>
      </c>
    </row>
    <row r="7855">
      <c r="A7855" s="3" t="s">
        <v>22016</v>
      </c>
      <c r="B7855" s="3" t="s">
        <v>7231</v>
      </c>
      <c r="C7855" s="5" t="s">
        <v>221</v>
      </c>
      <c r="D7855" s="3" t="s">
        <v>614</v>
      </c>
      <c r="E7855" s="3" t="s">
        <v>118</v>
      </c>
      <c r="F7855" s="7">
        <v>45901.37939315367</v>
      </c>
      <c r="G7855" s="3" t="s">
        <v>4479</v>
      </c>
    </row>
    <row r="7856">
      <c r="A7856" s="3" t="s">
        <v>22018</v>
      </c>
      <c r="B7856" s="3" t="s">
        <v>7231</v>
      </c>
      <c r="C7856" s="5" t="s">
        <v>614</v>
      </c>
      <c r="D7856" s="3" t="s">
        <v>206</v>
      </c>
      <c r="E7856" s="3" t="s">
        <v>100</v>
      </c>
      <c r="F7856" s="7">
        <v>45901.3828653759</v>
      </c>
      <c r="G7856" s="3" t="s">
        <v>4482</v>
      </c>
    </row>
    <row r="7857">
      <c r="A7857" s="3" t="s">
        <v>22020</v>
      </c>
      <c r="B7857" s="3" t="s">
        <v>7231</v>
      </c>
      <c r="C7857" s="5" t="s">
        <v>206</v>
      </c>
      <c r="D7857" s="3" t="s">
        <v>68</v>
      </c>
      <c r="E7857" s="3" t="s">
        <v>100</v>
      </c>
      <c r="F7857" s="7">
        <v>45901.38633759812</v>
      </c>
      <c r="G7857" s="3" t="s">
        <v>4485</v>
      </c>
    </row>
    <row r="7858">
      <c r="A7858" s="3" t="s">
        <v>22022</v>
      </c>
      <c r="B7858" s="3" t="s">
        <v>7234</v>
      </c>
      <c r="C7858" s="5" t="s">
        <v>45</v>
      </c>
      <c r="D7858" s="3" t="s">
        <v>221</v>
      </c>
      <c r="E7858" s="3" t="s">
        <v>233</v>
      </c>
      <c r="F7858" s="7">
        <v>45901.44709577687</v>
      </c>
      <c r="G7858" s="3" t="s">
        <v>4689</v>
      </c>
    </row>
    <row r="7859">
      <c r="A7859" s="3" t="s">
        <v>22024</v>
      </c>
      <c r="B7859" s="3" t="s">
        <v>7234</v>
      </c>
      <c r="C7859" s="5" t="s">
        <v>221</v>
      </c>
      <c r="D7859" s="3" t="s">
        <v>614</v>
      </c>
      <c r="E7859" s="3" t="s">
        <v>118</v>
      </c>
      <c r="F7859" s="7">
        <v>45901.45056799909</v>
      </c>
      <c r="G7859" s="3" t="s">
        <v>4692</v>
      </c>
    </row>
    <row r="7860">
      <c r="A7860" s="3" t="s">
        <v>22025</v>
      </c>
      <c r="B7860" s="3" t="s">
        <v>7234</v>
      </c>
      <c r="C7860" s="5" t="s">
        <v>614</v>
      </c>
      <c r="D7860" s="3" t="s">
        <v>206</v>
      </c>
      <c r="E7860" s="3" t="s">
        <v>100</v>
      </c>
      <c r="F7860" s="7">
        <v>45901.45404022132</v>
      </c>
      <c r="G7860" s="3" t="s">
        <v>4695</v>
      </c>
    </row>
    <row r="7861">
      <c r="A7861" s="3" t="s">
        <v>22027</v>
      </c>
      <c r="B7861" s="3" t="s">
        <v>7234</v>
      </c>
      <c r="C7861" s="5" t="s">
        <v>206</v>
      </c>
      <c r="D7861" s="3" t="s">
        <v>68</v>
      </c>
      <c r="E7861" s="3" t="s">
        <v>100</v>
      </c>
      <c r="F7861" s="7">
        <v>45901.457512443536</v>
      </c>
      <c r="G7861" s="3" t="s">
        <v>4698</v>
      </c>
    </row>
    <row r="7862">
      <c r="A7862" s="3" t="s">
        <v>22029</v>
      </c>
      <c r="B7862" s="3" t="s">
        <v>7237</v>
      </c>
      <c r="C7862" s="5" t="s">
        <v>45</v>
      </c>
      <c r="D7862" s="3" t="s">
        <v>221</v>
      </c>
      <c r="E7862" s="3" t="s">
        <v>860</v>
      </c>
      <c r="F7862" s="7">
        <v>45901.518270622284</v>
      </c>
      <c r="G7862" s="3" t="s">
        <v>4701</v>
      </c>
    </row>
    <row r="7863">
      <c r="A7863" s="3" t="s">
        <v>22032</v>
      </c>
      <c r="B7863" s="3" t="s">
        <v>7237</v>
      </c>
      <c r="C7863" s="5" t="s">
        <v>221</v>
      </c>
      <c r="D7863" s="3" t="s">
        <v>614</v>
      </c>
      <c r="E7863" s="3" t="s">
        <v>118</v>
      </c>
      <c r="F7863" s="7">
        <v>45901.5217428445</v>
      </c>
      <c r="G7863" s="3" t="s">
        <v>4704</v>
      </c>
    </row>
    <row r="7864">
      <c r="A7864" s="3" t="s">
        <v>22034</v>
      </c>
      <c r="B7864" s="3" t="s">
        <v>7237</v>
      </c>
      <c r="C7864" s="5" t="s">
        <v>614</v>
      </c>
      <c r="D7864" s="3" t="s">
        <v>206</v>
      </c>
      <c r="E7864" s="3" t="s">
        <v>100</v>
      </c>
      <c r="F7864" s="7">
        <v>45901.52521506673</v>
      </c>
      <c r="G7864" s="3" t="s">
        <v>4706</v>
      </c>
    </row>
    <row r="7865">
      <c r="A7865" s="3" t="s">
        <v>22036</v>
      </c>
      <c r="B7865" s="3" t="s">
        <v>7237</v>
      </c>
      <c r="C7865" s="5" t="s">
        <v>206</v>
      </c>
      <c r="D7865" s="3" t="s">
        <v>68</v>
      </c>
      <c r="E7865" s="3" t="s">
        <v>100</v>
      </c>
      <c r="F7865" s="7">
        <v>45901.52868728895</v>
      </c>
      <c r="G7865" s="3" t="s">
        <v>4709</v>
      </c>
    </row>
    <row r="7866">
      <c r="A7866" s="3" t="s">
        <v>22038</v>
      </c>
      <c r="B7866" s="3" t="s">
        <v>7240</v>
      </c>
      <c r="C7866" s="5" t="s">
        <v>45</v>
      </c>
      <c r="D7866" s="3" t="s">
        <v>221</v>
      </c>
      <c r="E7866" s="3" t="s">
        <v>702</v>
      </c>
      <c r="F7866" s="7">
        <v>45901.589445467696</v>
      </c>
      <c r="G7866" s="3" t="s">
        <v>19424</v>
      </c>
    </row>
    <row r="7867">
      <c r="A7867" s="3" t="s">
        <v>22040</v>
      </c>
      <c r="B7867" s="3" t="s">
        <v>7240</v>
      </c>
      <c r="C7867" s="5" t="s">
        <v>221</v>
      </c>
      <c r="D7867" s="3" t="s">
        <v>614</v>
      </c>
      <c r="E7867" s="3" t="s">
        <v>118</v>
      </c>
      <c r="F7867" s="7">
        <v>45901.592917689915</v>
      </c>
      <c r="G7867" s="3" t="s">
        <v>19427</v>
      </c>
    </row>
    <row r="7868">
      <c r="A7868" s="3" t="s">
        <v>22042</v>
      </c>
      <c r="B7868" s="3" t="s">
        <v>7240</v>
      </c>
      <c r="C7868" s="5" t="s">
        <v>614</v>
      </c>
      <c r="D7868" s="3" t="s">
        <v>206</v>
      </c>
      <c r="E7868" s="3" t="s">
        <v>100</v>
      </c>
      <c r="F7868" s="7">
        <v>45901.59638991214</v>
      </c>
      <c r="G7868" s="3" t="s">
        <v>19430</v>
      </c>
    </row>
    <row r="7869">
      <c r="A7869" s="3" t="s">
        <v>22044</v>
      </c>
      <c r="B7869" s="3" t="s">
        <v>7240</v>
      </c>
      <c r="C7869" s="5" t="s">
        <v>206</v>
      </c>
      <c r="D7869" s="3" t="s">
        <v>68</v>
      </c>
      <c r="E7869" s="3" t="s">
        <v>100</v>
      </c>
      <c r="F7869" s="7">
        <v>45901.59986213436</v>
      </c>
      <c r="G7869" s="3" t="s">
        <v>19432</v>
      </c>
    </row>
    <row r="7870">
      <c r="A7870" s="3" t="s">
        <v>22046</v>
      </c>
      <c r="B7870" s="3" t="s">
        <v>7243</v>
      </c>
      <c r="C7870" s="5" t="s">
        <v>45</v>
      </c>
      <c r="D7870" s="3" t="s">
        <v>221</v>
      </c>
      <c r="E7870" s="3" t="s">
        <v>581</v>
      </c>
      <c r="F7870" s="7">
        <v>45901.660620313116</v>
      </c>
      <c r="G7870" s="3" t="s">
        <v>15427</v>
      </c>
    </row>
    <row r="7871">
      <c r="A7871" s="3" t="s">
        <v>22048</v>
      </c>
      <c r="B7871" s="3" t="s">
        <v>7243</v>
      </c>
      <c r="C7871" s="5" t="s">
        <v>221</v>
      </c>
      <c r="D7871" s="3" t="s">
        <v>195</v>
      </c>
      <c r="E7871" s="3" t="s">
        <v>581</v>
      </c>
      <c r="F7871" s="7">
        <v>45901.664092535335</v>
      </c>
      <c r="G7871" s="3" t="s">
        <v>22049</v>
      </c>
    </row>
    <row r="7872">
      <c r="A7872" s="3" t="s">
        <v>22051</v>
      </c>
      <c r="B7872" s="3" t="s">
        <v>7247</v>
      </c>
      <c r="C7872" s="5" t="s">
        <v>45</v>
      </c>
      <c r="D7872" s="3" t="s">
        <v>221</v>
      </c>
      <c r="E7872" s="3" t="s">
        <v>400</v>
      </c>
      <c r="F7872" s="7">
        <v>45901.731795158536</v>
      </c>
      <c r="G7872" s="3" t="s">
        <v>22052</v>
      </c>
    </row>
    <row r="7873">
      <c r="A7873" s="3" t="s">
        <v>22054</v>
      </c>
      <c r="B7873" s="3" t="s">
        <v>7247</v>
      </c>
      <c r="C7873" s="5" t="s">
        <v>221</v>
      </c>
      <c r="D7873" s="3" t="s">
        <v>614</v>
      </c>
      <c r="E7873" s="3" t="s">
        <v>118</v>
      </c>
      <c r="F7873" s="7">
        <v>45901.735267380755</v>
      </c>
      <c r="G7873" s="3" t="s">
        <v>22055</v>
      </c>
    </row>
    <row r="7874">
      <c r="A7874" s="3" t="s">
        <v>22056</v>
      </c>
      <c r="B7874" s="3" t="s">
        <v>7247</v>
      </c>
      <c r="C7874" s="5" t="s">
        <v>614</v>
      </c>
      <c r="D7874" s="3" t="s">
        <v>206</v>
      </c>
      <c r="E7874" s="3" t="s">
        <v>100</v>
      </c>
      <c r="F7874" s="7">
        <v>45901.73873960298</v>
      </c>
      <c r="G7874" s="3" t="s">
        <v>22058</v>
      </c>
    </row>
    <row r="7875">
      <c r="A7875" s="3" t="s">
        <v>22059</v>
      </c>
      <c r="B7875" s="3" t="s">
        <v>7247</v>
      </c>
      <c r="C7875" s="5" t="s">
        <v>206</v>
      </c>
      <c r="D7875" s="3" t="s">
        <v>68</v>
      </c>
      <c r="E7875" s="3" t="s">
        <v>100</v>
      </c>
      <c r="F7875" s="7">
        <v>45901.7422118252</v>
      </c>
      <c r="G7875" s="3" t="s">
        <v>22061</v>
      </c>
    </row>
    <row r="7876">
      <c r="A7876" s="3" t="s">
        <v>22062</v>
      </c>
      <c r="B7876" s="3" t="s">
        <v>7250</v>
      </c>
      <c r="C7876" s="5" t="s">
        <v>45</v>
      </c>
      <c r="D7876" s="3" t="s">
        <v>221</v>
      </c>
      <c r="E7876" s="3" t="s">
        <v>702</v>
      </c>
      <c r="F7876" s="7">
        <v>45901.80297000394</v>
      </c>
      <c r="G7876" s="3" t="s">
        <v>22064</v>
      </c>
    </row>
    <row r="7877">
      <c r="A7877" s="3" t="s">
        <v>22065</v>
      </c>
      <c r="B7877" s="3" t="s">
        <v>7250</v>
      </c>
      <c r="C7877" s="5" t="s">
        <v>221</v>
      </c>
      <c r="D7877" s="3" t="s">
        <v>614</v>
      </c>
      <c r="E7877" s="3" t="s">
        <v>118</v>
      </c>
      <c r="F7877" s="7">
        <v>45901.80644222616</v>
      </c>
      <c r="G7877" s="3" t="s">
        <v>22067</v>
      </c>
    </row>
    <row r="7878">
      <c r="A7878" s="3" t="s">
        <v>22068</v>
      </c>
      <c r="B7878" s="3" t="s">
        <v>7250</v>
      </c>
      <c r="C7878" s="5" t="s">
        <v>614</v>
      </c>
      <c r="D7878" s="3" t="s">
        <v>206</v>
      </c>
      <c r="E7878" s="3" t="s">
        <v>100</v>
      </c>
      <c r="F7878" s="7">
        <v>45901.809914448386</v>
      </c>
      <c r="G7878" s="3" t="s">
        <v>22069</v>
      </c>
    </row>
    <row r="7879">
      <c r="A7879" s="3" t="s">
        <v>22071</v>
      </c>
      <c r="B7879" s="3" t="s">
        <v>7250</v>
      </c>
      <c r="C7879" s="5" t="s">
        <v>206</v>
      </c>
      <c r="D7879" s="3" t="s">
        <v>68</v>
      </c>
      <c r="E7879" s="3" t="s">
        <v>100</v>
      </c>
      <c r="F7879" s="7">
        <v>45901.813386670605</v>
      </c>
      <c r="G7879" s="3" t="s">
        <v>22072</v>
      </c>
    </row>
    <row r="7880">
      <c r="A7880" s="3" t="s">
        <v>22073</v>
      </c>
      <c r="B7880" s="3" t="s">
        <v>7254</v>
      </c>
      <c r="C7880" s="5" t="s">
        <v>45</v>
      </c>
      <c r="D7880" s="3" t="s">
        <v>221</v>
      </c>
      <c r="E7880" s="3" t="s">
        <v>632</v>
      </c>
      <c r="F7880" s="7">
        <v>45901.87414484936</v>
      </c>
      <c r="G7880" s="3" t="s">
        <v>22075</v>
      </c>
    </row>
    <row r="7881">
      <c r="A7881" s="3" t="s">
        <v>22076</v>
      </c>
      <c r="B7881" s="3" t="s">
        <v>7254</v>
      </c>
      <c r="C7881" s="5" t="s">
        <v>221</v>
      </c>
      <c r="D7881" s="3" t="s">
        <v>181</v>
      </c>
      <c r="E7881" s="3" t="s">
        <v>118</v>
      </c>
      <c r="F7881" s="7">
        <v>45901.87761707158</v>
      </c>
      <c r="G7881" s="3" t="s">
        <v>22078</v>
      </c>
    </row>
    <row r="7882">
      <c r="A7882" s="3" t="s">
        <v>22079</v>
      </c>
      <c r="B7882" s="3" t="s">
        <v>7257</v>
      </c>
      <c r="C7882" s="5" t="s">
        <v>45</v>
      </c>
      <c r="D7882" s="3" t="s">
        <v>221</v>
      </c>
      <c r="E7882" s="3" t="s">
        <v>853</v>
      </c>
      <c r="F7882" s="7">
        <v>45901.94531969477</v>
      </c>
      <c r="G7882" s="3" t="s">
        <v>2770</v>
      </c>
    </row>
    <row r="7883">
      <c r="A7883" s="3" t="s">
        <v>22081</v>
      </c>
      <c r="B7883" s="3" t="s">
        <v>7257</v>
      </c>
      <c r="C7883" s="5" t="s">
        <v>221</v>
      </c>
      <c r="D7883" s="3" t="s">
        <v>195</v>
      </c>
      <c r="E7883" s="3" t="s">
        <v>853</v>
      </c>
      <c r="F7883" s="7">
        <v>45901.94879191699</v>
      </c>
      <c r="G7883" s="3" t="s">
        <v>3055</v>
      </c>
    </row>
    <row r="7884">
      <c r="A7884" s="3" t="s">
        <v>22083</v>
      </c>
      <c r="B7884" s="3" t="s">
        <v>7260</v>
      </c>
      <c r="C7884" s="5" t="s">
        <v>45</v>
      </c>
      <c r="D7884" s="3" t="s">
        <v>221</v>
      </c>
      <c r="E7884" s="3" t="s">
        <v>260</v>
      </c>
      <c r="F7884" s="7">
        <v>45902.01649454019</v>
      </c>
      <c r="G7884" s="3" t="s">
        <v>12657</v>
      </c>
    </row>
    <row r="7885">
      <c r="A7885" s="3" t="s">
        <v>22085</v>
      </c>
      <c r="B7885" s="3" t="s">
        <v>7260</v>
      </c>
      <c r="C7885" s="5" t="s">
        <v>221</v>
      </c>
      <c r="D7885" s="3" t="s">
        <v>614</v>
      </c>
      <c r="E7885" s="3" t="s">
        <v>118</v>
      </c>
      <c r="F7885" s="7">
        <v>45902.01996676241</v>
      </c>
      <c r="G7885" s="3" t="s">
        <v>12661</v>
      </c>
    </row>
    <row r="7886">
      <c r="A7886" s="3" t="s">
        <v>22087</v>
      </c>
      <c r="B7886" s="3" t="s">
        <v>7260</v>
      </c>
      <c r="C7886" s="5" t="s">
        <v>614</v>
      </c>
      <c r="D7886" s="3" t="s">
        <v>206</v>
      </c>
      <c r="E7886" s="3" t="s">
        <v>100</v>
      </c>
      <c r="F7886" s="7">
        <v>45902.02343898464</v>
      </c>
      <c r="G7886" s="3" t="s">
        <v>12664</v>
      </c>
    </row>
    <row r="7887">
      <c r="A7887" s="3" t="s">
        <v>22089</v>
      </c>
      <c r="B7887" s="3" t="s">
        <v>7260</v>
      </c>
      <c r="C7887" s="5" t="s">
        <v>206</v>
      </c>
      <c r="D7887" s="3" t="s">
        <v>68</v>
      </c>
      <c r="E7887" s="3" t="s">
        <v>100</v>
      </c>
      <c r="F7887" s="7">
        <v>45902.026911206856</v>
      </c>
      <c r="G7887" s="3" t="s">
        <v>12667</v>
      </c>
    </row>
    <row r="7888">
      <c r="A7888" s="3" t="s">
        <v>22090</v>
      </c>
      <c r="B7888" s="3" t="s">
        <v>7263</v>
      </c>
      <c r="C7888" s="5" t="s">
        <v>45</v>
      </c>
      <c r="D7888" s="3" t="s">
        <v>221</v>
      </c>
      <c r="E7888" s="3" t="s">
        <v>939</v>
      </c>
      <c r="F7888" s="7">
        <v>45902.087669385604</v>
      </c>
      <c r="G7888" s="3" t="s">
        <v>4724</v>
      </c>
    </row>
    <row r="7889">
      <c r="A7889" s="3" t="s">
        <v>22092</v>
      </c>
      <c r="B7889" s="3" t="s">
        <v>7263</v>
      </c>
      <c r="C7889" s="5" t="s">
        <v>221</v>
      </c>
      <c r="D7889" s="3" t="s">
        <v>614</v>
      </c>
      <c r="E7889" s="3" t="s">
        <v>118</v>
      </c>
      <c r="F7889" s="7">
        <v>45902.09114160782</v>
      </c>
      <c r="G7889" s="3" t="s">
        <v>4727</v>
      </c>
    </row>
    <row r="7890">
      <c r="A7890" s="3" t="s">
        <v>22094</v>
      </c>
      <c r="B7890" s="3" t="s">
        <v>7263</v>
      </c>
      <c r="C7890" s="5" t="s">
        <v>614</v>
      </c>
      <c r="D7890" s="3" t="s">
        <v>206</v>
      </c>
      <c r="E7890" s="3" t="s">
        <v>100</v>
      </c>
      <c r="F7890" s="7">
        <v>45902.09461383005</v>
      </c>
      <c r="G7890" s="3" t="s">
        <v>4730</v>
      </c>
    </row>
    <row r="7891">
      <c r="A7891" s="3" t="s">
        <v>22096</v>
      </c>
      <c r="B7891" s="3" t="s">
        <v>7263</v>
      </c>
      <c r="C7891" s="5" t="s">
        <v>206</v>
      </c>
      <c r="D7891" s="3" t="s">
        <v>68</v>
      </c>
      <c r="E7891" s="3" t="s">
        <v>100</v>
      </c>
      <c r="F7891" s="7">
        <v>45902.09808605227</v>
      </c>
      <c r="G7891" s="3" t="s">
        <v>4733</v>
      </c>
    </row>
    <row r="7892">
      <c r="A7892" s="3" t="s">
        <v>22098</v>
      </c>
      <c r="B7892" s="3" t="s">
        <v>7267</v>
      </c>
      <c r="C7892" s="5" t="s">
        <v>45</v>
      </c>
      <c r="D7892" s="3" t="s">
        <v>221</v>
      </c>
      <c r="E7892" s="3" t="s">
        <v>598</v>
      </c>
      <c r="F7892" s="7">
        <v>45902.158844231024</v>
      </c>
      <c r="G7892" s="3" t="s">
        <v>7768</v>
      </c>
    </row>
    <row r="7893">
      <c r="A7893" s="3" t="s">
        <v>22100</v>
      </c>
      <c r="B7893" s="3" t="s">
        <v>7267</v>
      </c>
      <c r="C7893" s="5" t="s">
        <v>221</v>
      </c>
      <c r="D7893" s="3" t="s">
        <v>614</v>
      </c>
      <c r="E7893" s="3" t="s">
        <v>118</v>
      </c>
      <c r="F7893" s="7">
        <v>45902.16231645324</v>
      </c>
      <c r="G7893" s="3" t="s">
        <v>7771</v>
      </c>
    </row>
    <row r="7894">
      <c r="A7894" s="3" t="s">
        <v>22102</v>
      </c>
      <c r="B7894" s="3" t="s">
        <v>7267</v>
      </c>
      <c r="C7894" s="5" t="s">
        <v>614</v>
      </c>
      <c r="D7894" s="3" t="s">
        <v>206</v>
      </c>
      <c r="E7894" s="3" t="s">
        <v>100</v>
      </c>
      <c r="F7894" s="7">
        <v>45902.16578867547</v>
      </c>
      <c r="G7894" s="3" t="s">
        <v>7773</v>
      </c>
    </row>
    <row r="7895">
      <c r="A7895" s="3" t="s">
        <v>22103</v>
      </c>
      <c r="B7895" s="3" t="s">
        <v>7267</v>
      </c>
      <c r="C7895" s="5" t="s">
        <v>206</v>
      </c>
      <c r="D7895" s="3" t="s">
        <v>68</v>
      </c>
      <c r="E7895" s="3" t="s">
        <v>100</v>
      </c>
      <c r="F7895" s="7">
        <v>45902.16926089769</v>
      </c>
      <c r="G7895" s="3" t="s">
        <v>7776</v>
      </c>
    </row>
    <row r="7896">
      <c r="A7896" s="3" t="s">
        <v>22105</v>
      </c>
      <c r="B7896" s="3" t="s">
        <v>7270</v>
      </c>
      <c r="C7896" s="5" t="s">
        <v>45</v>
      </c>
      <c r="D7896" s="3" t="s">
        <v>221</v>
      </c>
      <c r="E7896" s="3" t="s">
        <v>219</v>
      </c>
      <c r="F7896" s="7">
        <v>45902.23001907643</v>
      </c>
      <c r="G7896" s="3" t="s">
        <v>12106</v>
      </c>
    </row>
    <row r="7897">
      <c r="A7897" s="3" t="s">
        <v>22107</v>
      </c>
      <c r="B7897" s="3" t="s">
        <v>7270</v>
      </c>
      <c r="C7897" s="5" t="s">
        <v>221</v>
      </c>
      <c r="D7897" s="3" t="s">
        <v>614</v>
      </c>
      <c r="E7897" s="3" t="s">
        <v>118</v>
      </c>
      <c r="F7897" s="7">
        <v>45902.23349129865</v>
      </c>
      <c r="G7897" s="3" t="s">
        <v>20622</v>
      </c>
    </row>
    <row r="7898">
      <c r="A7898" s="3" t="s">
        <v>22109</v>
      </c>
      <c r="B7898" s="3" t="s">
        <v>7270</v>
      </c>
      <c r="C7898" s="5" t="s">
        <v>614</v>
      </c>
      <c r="D7898" s="3" t="s">
        <v>206</v>
      </c>
      <c r="E7898" s="3" t="s">
        <v>100</v>
      </c>
      <c r="F7898" s="7">
        <v>45902.236963520874</v>
      </c>
      <c r="G7898" s="3" t="s">
        <v>20625</v>
      </c>
    </row>
    <row r="7899">
      <c r="A7899" s="3" t="s">
        <v>22111</v>
      </c>
      <c r="B7899" s="3" t="s">
        <v>7270</v>
      </c>
      <c r="C7899" s="5" t="s">
        <v>206</v>
      </c>
      <c r="D7899" s="3" t="s">
        <v>68</v>
      </c>
      <c r="E7899" s="3" t="s">
        <v>100</v>
      </c>
      <c r="F7899" s="7">
        <v>45902.24043574309</v>
      </c>
      <c r="G7899" s="3" t="s">
        <v>20627</v>
      </c>
    </row>
    <row r="7900">
      <c r="A7900" s="3" t="s">
        <v>22113</v>
      </c>
      <c r="B7900" s="3" t="s">
        <v>7273</v>
      </c>
      <c r="C7900" s="5" t="s">
        <v>45</v>
      </c>
      <c r="D7900" s="3" t="s">
        <v>221</v>
      </c>
      <c r="E7900" s="3" t="s">
        <v>763</v>
      </c>
      <c r="F7900" s="7">
        <v>45902.30119392185</v>
      </c>
      <c r="G7900" s="3" t="s">
        <v>3621</v>
      </c>
    </row>
    <row r="7901">
      <c r="A7901" s="3" t="s">
        <v>22115</v>
      </c>
      <c r="B7901" s="3" t="s">
        <v>7273</v>
      </c>
      <c r="C7901" s="5" t="s">
        <v>221</v>
      </c>
      <c r="D7901" s="3" t="s">
        <v>614</v>
      </c>
      <c r="E7901" s="3" t="s">
        <v>118</v>
      </c>
      <c r="F7901" s="7">
        <v>45902.30466614407</v>
      </c>
      <c r="G7901" s="3" t="s">
        <v>3623</v>
      </c>
    </row>
    <row r="7902">
      <c r="A7902" s="3" t="s">
        <v>22117</v>
      </c>
      <c r="B7902" s="3" t="s">
        <v>7273</v>
      </c>
      <c r="C7902" s="5" t="s">
        <v>614</v>
      </c>
      <c r="D7902" s="3" t="s">
        <v>206</v>
      </c>
      <c r="E7902" s="3" t="s">
        <v>100</v>
      </c>
      <c r="F7902" s="7">
        <v>45902.308138366294</v>
      </c>
      <c r="G7902" s="3" t="s">
        <v>3626</v>
      </c>
    </row>
    <row r="7903">
      <c r="A7903" s="3" t="s">
        <v>22118</v>
      </c>
      <c r="B7903" s="3" t="s">
        <v>7273</v>
      </c>
      <c r="C7903" s="5" t="s">
        <v>206</v>
      </c>
      <c r="D7903" s="3" t="s">
        <v>68</v>
      </c>
      <c r="E7903" s="3" t="s">
        <v>100</v>
      </c>
      <c r="F7903" s="7">
        <v>45902.31161058851</v>
      </c>
      <c r="G7903" s="3" t="s">
        <v>3629</v>
      </c>
    </row>
    <row r="7904">
      <c r="A7904" s="3" t="s">
        <v>22120</v>
      </c>
      <c r="B7904" s="3" t="s">
        <v>7276</v>
      </c>
      <c r="C7904" s="5" t="s">
        <v>45</v>
      </c>
      <c r="D7904" s="3" t="s">
        <v>221</v>
      </c>
      <c r="E7904" s="3" t="s">
        <v>650</v>
      </c>
      <c r="F7904" s="7">
        <v>45902.37236876727</v>
      </c>
      <c r="G7904" s="3" t="s">
        <v>6556</v>
      </c>
    </row>
    <row r="7905">
      <c r="A7905" s="3" t="s">
        <v>22122</v>
      </c>
      <c r="B7905" s="3" t="s">
        <v>7276</v>
      </c>
      <c r="C7905" s="5" t="s">
        <v>221</v>
      </c>
      <c r="D7905" s="3" t="s">
        <v>614</v>
      </c>
      <c r="E7905" s="3" t="s">
        <v>118</v>
      </c>
      <c r="F7905" s="7">
        <v>45902.37584098949</v>
      </c>
      <c r="G7905" s="3" t="s">
        <v>6559</v>
      </c>
    </row>
    <row r="7906">
      <c r="A7906" s="3" t="s">
        <v>22124</v>
      </c>
      <c r="B7906" s="3" t="s">
        <v>7276</v>
      </c>
      <c r="C7906" s="5" t="s">
        <v>614</v>
      </c>
      <c r="D7906" s="3" t="s">
        <v>206</v>
      </c>
      <c r="E7906" s="3" t="s">
        <v>100</v>
      </c>
      <c r="F7906" s="7">
        <v>45902.37931321171</v>
      </c>
      <c r="G7906" s="3" t="s">
        <v>6562</v>
      </c>
    </row>
    <row r="7907">
      <c r="A7907" s="3" t="s">
        <v>22126</v>
      </c>
      <c r="B7907" s="3" t="s">
        <v>7276</v>
      </c>
      <c r="C7907" s="5" t="s">
        <v>206</v>
      </c>
      <c r="D7907" s="3" t="s">
        <v>68</v>
      </c>
      <c r="E7907" s="3" t="s">
        <v>100</v>
      </c>
      <c r="F7907" s="7">
        <v>45902.38278543393</v>
      </c>
      <c r="G7907" s="3" t="s">
        <v>6565</v>
      </c>
    </row>
    <row r="7908">
      <c r="A7908" s="3" t="s">
        <v>22128</v>
      </c>
      <c r="B7908" s="3" t="s">
        <v>7280</v>
      </c>
      <c r="C7908" s="5" t="s">
        <v>45</v>
      </c>
      <c r="D7908" s="3" t="s">
        <v>221</v>
      </c>
      <c r="E7908" s="3" t="s">
        <v>453</v>
      </c>
      <c r="F7908" s="7">
        <v>45902.44354361268</v>
      </c>
      <c r="G7908" s="3" t="s">
        <v>22130</v>
      </c>
    </row>
    <row r="7909">
      <c r="A7909" s="3" t="s">
        <v>22131</v>
      </c>
      <c r="B7909" s="3" t="s">
        <v>7280</v>
      </c>
      <c r="C7909" s="5" t="s">
        <v>221</v>
      </c>
      <c r="D7909" s="3" t="s">
        <v>614</v>
      </c>
      <c r="E7909" s="3" t="s">
        <v>118</v>
      </c>
      <c r="F7909" s="7">
        <v>45902.4470158349</v>
      </c>
      <c r="G7909" s="3" t="s">
        <v>22133</v>
      </c>
    </row>
    <row r="7910">
      <c r="A7910" s="3" t="s">
        <v>22134</v>
      </c>
      <c r="B7910" s="3" t="s">
        <v>7280</v>
      </c>
      <c r="C7910" s="5" t="s">
        <v>614</v>
      </c>
      <c r="D7910" s="3" t="s">
        <v>206</v>
      </c>
      <c r="E7910" s="3" t="s">
        <v>100</v>
      </c>
      <c r="F7910" s="7">
        <v>45902.450488057126</v>
      </c>
      <c r="G7910" s="3" t="s">
        <v>22135</v>
      </c>
    </row>
    <row r="7911">
      <c r="A7911" s="3" t="s">
        <v>22137</v>
      </c>
      <c r="B7911" s="3" t="s">
        <v>7280</v>
      </c>
      <c r="C7911" s="5" t="s">
        <v>206</v>
      </c>
      <c r="D7911" s="3" t="s">
        <v>68</v>
      </c>
      <c r="E7911" s="3" t="s">
        <v>100</v>
      </c>
      <c r="F7911" s="7">
        <v>45902.453960279345</v>
      </c>
      <c r="G7911" s="3" t="s">
        <v>22138</v>
      </c>
    </row>
    <row r="7912">
      <c r="A7912" s="3" t="s">
        <v>22139</v>
      </c>
      <c r="B7912" s="3" t="s">
        <v>7283</v>
      </c>
      <c r="C7912" s="5" t="s">
        <v>45</v>
      </c>
      <c r="D7912" s="3" t="s">
        <v>221</v>
      </c>
      <c r="E7912" s="3" t="s">
        <v>239</v>
      </c>
      <c r="F7912" s="7">
        <v>45902.51471845809</v>
      </c>
      <c r="G7912" s="3" t="s">
        <v>6800</v>
      </c>
    </row>
    <row r="7913">
      <c r="A7913" s="3" t="s">
        <v>22141</v>
      </c>
      <c r="B7913" s="3" t="s">
        <v>7283</v>
      </c>
      <c r="C7913" s="5" t="s">
        <v>221</v>
      </c>
      <c r="D7913" s="3" t="s">
        <v>614</v>
      </c>
      <c r="E7913" s="3" t="s">
        <v>118</v>
      </c>
      <c r="F7913" s="7">
        <v>45902.51819068031</v>
      </c>
      <c r="G7913" s="3" t="s">
        <v>6803</v>
      </c>
    </row>
    <row r="7914">
      <c r="A7914" s="3" t="s">
        <v>22143</v>
      </c>
      <c r="B7914" s="3" t="s">
        <v>7283</v>
      </c>
      <c r="C7914" s="5" t="s">
        <v>614</v>
      </c>
      <c r="D7914" s="3" t="s">
        <v>206</v>
      </c>
      <c r="E7914" s="3" t="s">
        <v>100</v>
      </c>
      <c r="F7914" s="7">
        <v>45902.52166290254</v>
      </c>
      <c r="G7914" s="3" t="s">
        <v>6806</v>
      </c>
    </row>
    <row r="7915">
      <c r="A7915" s="3" t="s">
        <v>22145</v>
      </c>
      <c r="B7915" s="3" t="s">
        <v>7283</v>
      </c>
      <c r="C7915" s="5" t="s">
        <v>206</v>
      </c>
      <c r="D7915" s="3" t="s">
        <v>68</v>
      </c>
      <c r="E7915" s="3" t="s">
        <v>100</v>
      </c>
      <c r="F7915" s="7">
        <v>45902.52513512476</v>
      </c>
      <c r="G7915" s="3" t="s">
        <v>6808</v>
      </c>
    </row>
    <row r="7916">
      <c r="A7916" s="3" t="s">
        <v>22147</v>
      </c>
      <c r="B7916" s="3" t="s">
        <v>7286</v>
      </c>
      <c r="C7916" s="5" t="s">
        <v>45</v>
      </c>
      <c r="D7916" s="3" t="s">
        <v>221</v>
      </c>
      <c r="E7916" s="3" t="s">
        <v>137</v>
      </c>
      <c r="F7916" s="7">
        <v>45902.58589330351</v>
      </c>
      <c r="G7916" s="3" t="s">
        <v>14747</v>
      </c>
    </row>
    <row r="7917">
      <c r="A7917" s="3" t="s">
        <v>22151</v>
      </c>
      <c r="B7917" s="3" t="s">
        <v>7286</v>
      </c>
      <c r="C7917" s="5" t="s">
        <v>221</v>
      </c>
      <c r="D7917" s="3" t="s">
        <v>614</v>
      </c>
      <c r="E7917" s="3" t="s">
        <v>118</v>
      </c>
      <c r="F7917" s="7">
        <v>45902.58936552573</v>
      </c>
      <c r="G7917" s="3" t="s">
        <v>14749</v>
      </c>
    </row>
    <row r="7918">
      <c r="A7918" s="3" t="s">
        <v>22153</v>
      </c>
      <c r="B7918" s="3" t="s">
        <v>7286</v>
      </c>
      <c r="C7918" s="5" t="s">
        <v>614</v>
      </c>
      <c r="D7918" s="3" t="s">
        <v>206</v>
      </c>
      <c r="E7918" s="3" t="s">
        <v>100</v>
      </c>
      <c r="F7918" s="7">
        <v>45902.59283774796</v>
      </c>
      <c r="G7918" s="3" t="s">
        <v>14752</v>
      </c>
    </row>
    <row r="7919">
      <c r="A7919" s="3" t="s">
        <v>22154</v>
      </c>
      <c r="B7919" s="3" t="s">
        <v>7286</v>
      </c>
      <c r="C7919" s="5" t="s">
        <v>206</v>
      </c>
      <c r="D7919" s="3" t="s">
        <v>68</v>
      </c>
      <c r="E7919" s="3" t="s">
        <v>100</v>
      </c>
      <c r="F7919" s="7">
        <v>45902.59630997018</v>
      </c>
      <c r="G7919" s="3" t="s">
        <v>14755</v>
      </c>
    </row>
    <row r="7920">
      <c r="A7920" s="3" t="s">
        <v>22156</v>
      </c>
      <c r="B7920" s="3" t="s">
        <v>7289</v>
      </c>
      <c r="C7920" s="5" t="s">
        <v>45</v>
      </c>
      <c r="D7920" s="3" t="s">
        <v>221</v>
      </c>
      <c r="E7920" s="3" t="s">
        <v>527</v>
      </c>
      <c r="F7920" s="7">
        <v>45902.657068148925</v>
      </c>
      <c r="G7920" s="3" t="s">
        <v>2770</v>
      </c>
    </row>
    <row r="7921">
      <c r="A7921" s="3" t="s">
        <v>22158</v>
      </c>
      <c r="B7921" s="3" t="s">
        <v>7289</v>
      </c>
      <c r="C7921" s="5" t="s">
        <v>221</v>
      </c>
      <c r="D7921" s="3" t="s">
        <v>195</v>
      </c>
      <c r="E7921" s="3" t="s">
        <v>527</v>
      </c>
      <c r="F7921" s="7">
        <v>45902.660540371144</v>
      </c>
      <c r="G7921" s="3" t="s">
        <v>3055</v>
      </c>
    </row>
    <row r="7922">
      <c r="A7922" s="3" t="s">
        <v>22160</v>
      </c>
      <c r="B7922" s="3" t="s">
        <v>7292</v>
      </c>
      <c r="C7922" s="5" t="s">
        <v>45</v>
      </c>
      <c r="D7922" s="3" t="s">
        <v>221</v>
      </c>
      <c r="E7922" s="3" t="s">
        <v>533</v>
      </c>
      <c r="F7922" s="7">
        <v>45902.72824299434</v>
      </c>
      <c r="G7922" s="3" t="s">
        <v>11745</v>
      </c>
    </row>
    <row r="7923">
      <c r="A7923" s="3" t="s">
        <v>22161</v>
      </c>
      <c r="B7923" s="3" t="s">
        <v>7292</v>
      </c>
      <c r="C7923" s="5" t="s">
        <v>221</v>
      </c>
      <c r="D7923" s="3" t="s">
        <v>614</v>
      </c>
      <c r="E7923" s="3" t="s">
        <v>118</v>
      </c>
      <c r="F7923" s="7">
        <v>45902.731715216556</v>
      </c>
      <c r="G7923" s="3" t="s">
        <v>11748</v>
      </c>
    </row>
    <row r="7924">
      <c r="A7924" s="3" t="s">
        <v>22163</v>
      </c>
      <c r="B7924" s="3" t="s">
        <v>7292</v>
      </c>
      <c r="C7924" s="5" t="s">
        <v>614</v>
      </c>
      <c r="D7924" s="3" t="s">
        <v>206</v>
      </c>
      <c r="E7924" s="3" t="s">
        <v>100</v>
      </c>
      <c r="F7924" s="7">
        <v>45902.73518743878</v>
      </c>
      <c r="G7924" s="3" t="s">
        <v>11751</v>
      </c>
    </row>
    <row r="7925">
      <c r="A7925" s="3" t="s">
        <v>22165</v>
      </c>
      <c r="B7925" s="3" t="s">
        <v>7292</v>
      </c>
      <c r="C7925" s="5" t="s">
        <v>206</v>
      </c>
      <c r="D7925" s="3" t="s">
        <v>68</v>
      </c>
      <c r="E7925" s="3" t="s">
        <v>100</v>
      </c>
      <c r="F7925" s="7">
        <v>45902.738659661</v>
      </c>
      <c r="G7925" s="3" t="s">
        <v>11754</v>
      </c>
    </row>
    <row r="7926">
      <c r="A7926" s="3" t="s">
        <v>22167</v>
      </c>
      <c r="B7926" s="3" t="s">
        <v>7295</v>
      </c>
      <c r="C7926" s="5" t="s">
        <v>45</v>
      </c>
      <c r="D7926" s="3" t="s">
        <v>221</v>
      </c>
      <c r="E7926" s="3" t="s">
        <v>1026</v>
      </c>
      <c r="F7926" s="7">
        <v>45902.79941783976</v>
      </c>
      <c r="G7926" s="3" t="s">
        <v>18679</v>
      </c>
    </row>
    <row r="7927">
      <c r="A7927" s="3" t="s">
        <v>22169</v>
      </c>
      <c r="B7927" s="3" t="s">
        <v>7295</v>
      </c>
      <c r="C7927" s="5" t="s">
        <v>221</v>
      </c>
      <c r="D7927" s="3" t="s">
        <v>614</v>
      </c>
      <c r="E7927" s="3" t="s">
        <v>118</v>
      </c>
      <c r="F7927" s="7">
        <v>45902.802890061976</v>
      </c>
      <c r="G7927" s="3" t="s">
        <v>18682</v>
      </c>
    </row>
    <row r="7928">
      <c r="A7928" s="3" t="s">
        <v>22170</v>
      </c>
      <c r="B7928" s="3" t="s">
        <v>7295</v>
      </c>
      <c r="C7928" s="5" t="s">
        <v>614</v>
      </c>
      <c r="D7928" s="3" t="s">
        <v>206</v>
      </c>
      <c r="E7928" s="3" t="s">
        <v>100</v>
      </c>
      <c r="F7928" s="7">
        <v>45902.8063622842</v>
      </c>
      <c r="G7928" s="3" t="s">
        <v>18684</v>
      </c>
    </row>
    <row r="7929">
      <c r="A7929" s="3" t="s">
        <v>22172</v>
      </c>
      <c r="B7929" s="3" t="s">
        <v>7295</v>
      </c>
      <c r="C7929" s="5" t="s">
        <v>206</v>
      </c>
      <c r="D7929" s="3" t="s">
        <v>68</v>
      </c>
      <c r="E7929" s="3" t="s">
        <v>100</v>
      </c>
      <c r="F7929" s="7">
        <v>45902.80983450642</v>
      </c>
      <c r="G7929" s="3" t="s">
        <v>18687</v>
      </c>
    </row>
    <row r="7930">
      <c r="A7930" s="3" t="s">
        <v>22174</v>
      </c>
      <c r="B7930" s="3" t="s">
        <v>7298</v>
      </c>
      <c r="C7930" s="5" t="s">
        <v>45</v>
      </c>
      <c r="D7930" s="3" t="s">
        <v>221</v>
      </c>
      <c r="E7930" s="3" t="s">
        <v>226</v>
      </c>
      <c r="F7930" s="7">
        <v>45902.870592685176</v>
      </c>
      <c r="G7930" s="3" t="s">
        <v>22176</v>
      </c>
    </row>
    <row r="7931">
      <c r="A7931" s="3" t="s">
        <v>22177</v>
      </c>
      <c r="B7931" s="3" t="s">
        <v>7298</v>
      </c>
      <c r="C7931" s="5" t="s">
        <v>221</v>
      </c>
      <c r="D7931" s="3" t="s">
        <v>181</v>
      </c>
      <c r="E7931" s="3" t="s">
        <v>118</v>
      </c>
      <c r="F7931" s="7">
        <v>45902.874064907395</v>
      </c>
      <c r="G7931" s="3" t="s">
        <v>22179</v>
      </c>
    </row>
    <row r="7932">
      <c r="A7932" s="3" t="s">
        <v>22180</v>
      </c>
      <c r="B7932" s="3" t="s">
        <v>7302</v>
      </c>
      <c r="C7932" s="5" t="s">
        <v>45</v>
      </c>
      <c r="D7932" s="3" t="s">
        <v>221</v>
      </c>
      <c r="E7932" s="3" t="s">
        <v>704</v>
      </c>
      <c r="F7932" s="7">
        <v>45902.94176753058</v>
      </c>
      <c r="G7932" s="3" t="s">
        <v>21732</v>
      </c>
    </row>
    <row r="7933">
      <c r="A7933" s="3" t="s">
        <v>22182</v>
      </c>
      <c r="B7933" s="3" t="s">
        <v>7302</v>
      </c>
      <c r="C7933" s="5" t="s">
        <v>221</v>
      </c>
      <c r="D7933" s="3" t="s">
        <v>614</v>
      </c>
      <c r="E7933" s="3" t="s">
        <v>118</v>
      </c>
      <c r="F7933" s="7">
        <v>45902.9452397528</v>
      </c>
      <c r="G7933" s="3" t="s">
        <v>21735</v>
      </c>
    </row>
    <row r="7934">
      <c r="A7934" s="3" t="s">
        <v>22184</v>
      </c>
      <c r="B7934" s="3" t="s">
        <v>7302</v>
      </c>
      <c r="C7934" s="5" t="s">
        <v>614</v>
      </c>
      <c r="D7934" s="3" t="s">
        <v>206</v>
      </c>
      <c r="E7934" s="3" t="s">
        <v>100</v>
      </c>
      <c r="F7934" s="7">
        <v>45902.94871197503</v>
      </c>
      <c r="G7934" s="3" t="s">
        <v>21738</v>
      </c>
    </row>
    <row r="7935">
      <c r="A7935" s="3" t="s">
        <v>22186</v>
      </c>
      <c r="B7935" s="3" t="s">
        <v>7302</v>
      </c>
      <c r="C7935" s="5" t="s">
        <v>206</v>
      </c>
      <c r="D7935" s="3" t="s">
        <v>68</v>
      </c>
      <c r="E7935" s="3" t="s">
        <v>100</v>
      </c>
      <c r="F7935" s="7">
        <v>45902.952184197246</v>
      </c>
      <c r="G7935" s="3" t="s">
        <v>21740</v>
      </c>
    </row>
    <row r="7936">
      <c r="A7936" s="3" t="s">
        <v>22188</v>
      </c>
      <c r="B7936" s="3" t="s">
        <v>7305</v>
      </c>
      <c r="C7936" s="5" t="s">
        <v>45</v>
      </c>
      <c r="D7936" s="3" t="s">
        <v>221</v>
      </c>
      <c r="E7936" s="3" t="s">
        <v>575</v>
      </c>
      <c r="F7936" s="7">
        <v>45903.012942376</v>
      </c>
      <c r="G7936" s="3" t="s">
        <v>22189</v>
      </c>
    </row>
    <row r="7937">
      <c r="A7937" s="3" t="s">
        <v>22191</v>
      </c>
      <c r="B7937" s="3" t="s">
        <v>7305</v>
      </c>
      <c r="C7937" s="5" t="s">
        <v>221</v>
      </c>
      <c r="D7937" s="3" t="s">
        <v>614</v>
      </c>
      <c r="E7937" s="3" t="s">
        <v>118</v>
      </c>
      <c r="F7937" s="7">
        <v>45903.01641459822</v>
      </c>
      <c r="G7937" s="3" t="s">
        <v>22192</v>
      </c>
    </row>
    <row r="7938">
      <c r="A7938" s="3" t="s">
        <v>22193</v>
      </c>
      <c r="B7938" s="3" t="s">
        <v>7305</v>
      </c>
      <c r="C7938" s="5" t="s">
        <v>614</v>
      </c>
      <c r="D7938" s="3" t="s">
        <v>206</v>
      </c>
      <c r="E7938" s="3" t="s">
        <v>100</v>
      </c>
      <c r="F7938" s="7">
        <v>45903.019886820446</v>
      </c>
      <c r="G7938" s="3" t="s">
        <v>22195</v>
      </c>
    </row>
    <row r="7939">
      <c r="A7939" s="3" t="s">
        <v>22196</v>
      </c>
      <c r="B7939" s="3" t="s">
        <v>7305</v>
      </c>
      <c r="C7939" s="5" t="s">
        <v>206</v>
      </c>
      <c r="D7939" s="3" t="s">
        <v>68</v>
      </c>
      <c r="E7939" s="3" t="s">
        <v>100</v>
      </c>
      <c r="F7939" s="7">
        <v>45903.023359042665</v>
      </c>
      <c r="G7939" s="3" t="s">
        <v>22198</v>
      </c>
    </row>
    <row r="7940">
      <c r="A7940" s="3" t="s">
        <v>22199</v>
      </c>
      <c r="B7940" s="3" t="s">
        <v>7309</v>
      </c>
      <c r="C7940" s="5" t="s">
        <v>45</v>
      </c>
      <c r="D7940" s="3" t="s">
        <v>221</v>
      </c>
      <c r="E7940" s="3" t="s">
        <v>934</v>
      </c>
      <c r="F7940" s="7">
        <v>45903.08411722141</v>
      </c>
      <c r="G7940" s="3" t="s">
        <v>22201</v>
      </c>
    </row>
    <row r="7941">
      <c r="A7941" s="3" t="s">
        <v>22202</v>
      </c>
      <c r="B7941" s="3" t="s">
        <v>7309</v>
      </c>
      <c r="C7941" s="5" t="s">
        <v>221</v>
      </c>
      <c r="D7941" s="3" t="s">
        <v>614</v>
      </c>
      <c r="E7941" s="3" t="s">
        <v>118</v>
      </c>
      <c r="F7941" s="7">
        <v>45903.08758944363</v>
      </c>
      <c r="G7941" s="3" t="s">
        <v>22204</v>
      </c>
    </row>
    <row r="7942">
      <c r="A7942" s="3" t="s">
        <v>22205</v>
      </c>
      <c r="B7942" s="3" t="s">
        <v>7309</v>
      </c>
      <c r="C7942" s="5" t="s">
        <v>614</v>
      </c>
      <c r="D7942" s="3" t="s">
        <v>206</v>
      </c>
      <c r="E7942" s="3" t="s">
        <v>100</v>
      </c>
      <c r="F7942" s="7">
        <v>45903.09106166586</v>
      </c>
      <c r="G7942" s="3" t="s">
        <v>22207</v>
      </c>
    </row>
    <row r="7943">
      <c r="A7943" s="3" t="s">
        <v>22208</v>
      </c>
      <c r="B7943" s="3" t="s">
        <v>7309</v>
      </c>
      <c r="C7943" s="5" t="s">
        <v>206</v>
      </c>
      <c r="D7943" s="3" t="s">
        <v>68</v>
      </c>
      <c r="E7943" s="3" t="s">
        <v>100</v>
      </c>
      <c r="F7943" s="7">
        <v>45903.09453388808</v>
      </c>
      <c r="G7943" s="3" t="s">
        <v>22210</v>
      </c>
    </row>
    <row r="7944">
      <c r="A7944" s="3" t="s">
        <v>22211</v>
      </c>
      <c r="B7944" s="3" t="s">
        <v>7312</v>
      </c>
      <c r="C7944" s="5" t="s">
        <v>45</v>
      </c>
      <c r="D7944" s="3" t="s">
        <v>221</v>
      </c>
      <c r="E7944" s="3" t="s">
        <v>145</v>
      </c>
      <c r="F7944" s="7">
        <v>45903.15529206683</v>
      </c>
      <c r="G7944" s="3" t="s">
        <v>8065</v>
      </c>
    </row>
    <row r="7945">
      <c r="A7945" s="3" t="s">
        <v>22213</v>
      </c>
      <c r="B7945" s="3" t="s">
        <v>7312</v>
      </c>
      <c r="C7945" s="5" t="s">
        <v>221</v>
      </c>
      <c r="D7945" s="3" t="s">
        <v>614</v>
      </c>
      <c r="E7945" s="3" t="s">
        <v>118</v>
      </c>
      <c r="F7945" s="7">
        <v>45903.15876428905</v>
      </c>
      <c r="G7945" s="3" t="s">
        <v>22215</v>
      </c>
    </row>
    <row r="7946">
      <c r="A7946" s="3" t="s">
        <v>22216</v>
      </c>
      <c r="B7946" s="3" t="s">
        <v>7312</v>
      </c>
      <c r="C7946" s="5" t="s">
        <v>614</v>
      </c>
      <c r="D7946" s="3" t="s">
        <v>206</v>
      </c>
      <c r="E7946" s="3" t="s">
        <v>100</v>
      </c>
      <c r="F7946" s="7">
        <v>45903.16223651128</v>
      </c>
      <c r="G7946" s="3" t="s">
        <v>22218</v>
      </c>
    </row>
    <row r="7947">
      <c r="A7947" s="3" t="s">
        <v>22219</v>
      </c>
      <c r="B7947" s="3" t="s">
        <v>7312</v>
      </c>
      <c r="C7947" s="5" t="s">
        <v>206</v>
      </c>
      <c r="D7947" s="3" t="s">
        <v>68</v>
      </c>
      <c r="E7947" s="3" t="s">
        <v>100</v>
      </c>
      <c r="F7947" s="7">
        <v>45903.1657087335</v>
      </c>
      <c r="G7947" s="3" t="s">
        <v>22220</v>
      </c>
    </row>
    <row r="7948">
      <c r="A7948" s="3" t="s">
        <v>22222</v>
      </c>
      <c r="B7948" s="3" t="s">
        <v>7315</v>
      </c>
      <c r="C7948" s="5" t="s">
        <v>45</v>
      </c>
      <c r="D7948" s="3" t="s">
        <v>221</v>
      </c>
      <c r="E7948" s="3" t="s">
        <v>404</v>
      </c>
      <c r="F7948" s="7">
        <v>45903.226466912245</v>
      </c>
      <c r="G7948" s="3" t="s">
        <v>22223</v>
      </c>
    </row>
    <row r="7949">
      <c r="A7949" s="3" t="s">
        <v>22225</v>
      </c>
      <c r="B7949" s="3" t="s">
        <v>7315</v>
      </c>
      <c r="C7949" s="5" t="s">
        <v>221</v>
      </c>
      <c r="D7949" s="3" t="s">
        <v>614</v>
      </c>
      <c r="E7949" s="3" t="s">
        <v>118</v>
      </c>
      <c r="F7949" s="7">
        <v>45903.229939134464</v>
      </c>
      <c r="G7949" s="3" t="s">
        <v>22226</v>
      </c>
    </row>
    <row r="7950">
      <c r="A7950" s="3" t="s">
        <v>22228</v>
      </c>
      <c r="B7950" s="3" t="s">
        <v>7315</v>
      </c>
      <c r="C7950" s="5" t="s">
        <v>614</v>
      </c>
      <c r="D7950" s="3" t="s">
        <v>206</v>
      </c>
      <c r="E7950" s="3" t="s">
        <v>100</v>
      </c>
      <c r="F7950" s="7">
        <v>45903.23341135669</v>
      </c>
      <c r="G7950" s="3" t="s">
        <v>22229</v>
      </c>
    </row>
    <row r="7951">
      <c r="A7951" s="3" t="s">
        <v>22231</v>
      </c>
      <c r="B7951" s="3" t="s">
        <v>7315</v>
      </c>
      <c r="C7951" s="5" t="s">
        <v>206</v>
      </c>
      <c r="D7951" s="3" t="s">
        <v>68</v>
      </c>
      <c r="E7951" s="3" t="s">
        <v>100</v>
      </c>
      <c r="F7951" s="7">
        <v>45903.23688357891</v>
      </c>
      <c r="G7951" s="3" t="s">
        <v>22232</v>
      </c>
    </row>
    <row r="7952">
      <c r="A7952" s="3" t="s">
        <v>22234</v>
      </c>
      <c r="B7952" s="3" t="s">
        <v>7318</v>
      </c>
      <c r="C7952" s="5" t="s">
        <v>45</v>
      </c>
      <c r="D7952" s="3" t="s">
        <v>221</v>
      </c>
      <c r="E7952" s="3" t="s">
        <v>579</v>
      </c>
      <c r="F7952" s="7">
        <v>45903.297641757665</v>
      </c>
      <c r="G7952" s="3" t="s">
        <v>22235</v>
      </c>
    </row>
    <row r="7953">
      <c r="A7953" s="3" t="s">
        <v>22237</v>
      </c>
      <c r="B7953" s="3" t="s">
        <v>7318</v>
      </c>
      <c r="C7953" s="5" t="s">
        <v>221</v>
      </c>
      <c r="D7953" s="3" t="s">
        <v>614</v>
      </c>
      <c r="E7953" s="3" t="s">
        <v>118</v>
      </c>
      <c r="F7953" s="7">
        <v>45903.301113979884</v>
      </c>
      <c r="G7953" s="3" t="s">
        <v>22238</v>
      </c>
    </row>
    <row r="7954">
      <c r="A7954" s="3" t="s">
        <v>22239</v>
      </c>
      <c r="B7954" s="3" t="s">
        <v>7318</v>
      </c>
      <c r="C7954" s="5" t="s">
        <v>614</v>
      </c>
      <c r="D7954" s="3" t="s">
        <v>206</v>
      </c>
      <c r="E7954" s="3" t="s">
        <v>100</v>
      </c>
      <c r="F7954" s="7">
        <v>45903.30458620211</v>
      </c>
      <c r="G7954" s="3" t="s">
        <v>22241</v>
      </c>
    </row>
    <row r="7955">
      <c r="A7955" s="3" t="s">
        <v>22242</v>
      </c>
      <c r="B7955" s="3" t="s">
        <v>7318</v>
      </c>
      <c r="C7955" s="5" t="s">
        <v>206</v>
      </c>
      <c r="D7955" s="3" t="s">
        <v>68</v>
      </c>
      <c r="E7955" s="3" t="s">
        <v>100</v>
      </c>
      <c r="F7955" s="7">
        <v>45903.30805842433</v>
      </c>
      <c r="G7955" s="3" t="s">
        <v>22244</v>
      </c>
    </row>
    <row r="7956">
      <c r="A7956" s="3" t="s">
        <v>22245</v>
      </c>
      <c r="B7956" s="3" t="s">
        <v>7321</v>
      </c>
      <c r="C7956" s="5" t="s">
        <v>45</v>
      </c>
      <c r="D7956" s="3" t="s">
        <v>221</v>
      </c>
      <c r="E7956" s="3" t="s">
        <v>645</v>
      </c>
      <c r="F7956" s="7">
        <v>45903.36881660308</v>
      </c>
      <c r="G7956" s="3" t="s">
        <v>13434</v>
      </c>
    </row>
    <row r="7957">
      <c r="A7957" s="3" t="s">
        <v>22247</v>
      </c>
      <c r="B7957" s="3" t="s">
        <v>7321</v>
      </c>
      <c r="C7957" s="5" t="s">
        <v>221</v>
      </c>
      <c r="D7957" s="3" t="s">
        <v>614</v>
      </c>
      <c r="E7957" s="3" t="s">
        <v>118</v>
      </c>
      <c r="F7957" s="7">
        <v>45903.372288825296</v>
      </c>
      <c r="G7957" s="3" t="s">
        <v>13436</v>
      </c>
    </row>
    <row r="7958">
      <c r="A7958" s="3" t="s">
        <v>22249</v>
      </c>
      <c r="B7958" s="3" t="s">
        <v>7321</v>
      </c>
      <c r="C7958" s="5" t="s">
        <v>614</v>
      </c>
      <c r="D7958" s="3" t="s">
        <v>206</v>
      </c>
      <c r="E7958" s="3" t="s">
        <v>100</v>
      </c>
      <c r="F7958" s="7">
        <v>45903.37576104752</v>
      </c>
      <c r="G7958" s="3" t="s">
        <v>13439</v>
      </c>
    </row>
    <row r="7959">
      <c r="A7959" s="3" t="s">
        <v>22251</v>
      </c>
      <c r="B7959" s="3" t="s">
        <v>7321</v>
      </c>
      <c r="C7959" s="5" t="s">
        <v>206</v>
      </c>
      <c r="D7959" s="3" t="s">
        <v>68</v>
      </c>
      <c r="E7959" s="3" t="s">
        <v>100</v>
      </c>
      <c r="F7959" s="7">
        <v>45903.37923326974</v>
      </c>
      <c r="G7959" s="3" t="s">
        <v>13442</v>
      </c>
    </row>
    <row r="7960">
      <c r="A7960" s="3" t="s">
        <v>22253</v>
      </c>
      <c r="B7960" s="3" t="s">
        <v>7325</v>
      </c>
      <c r="C7960" s="5" t="s">
        <v>45</v>
      </c>
      <c r="D7960" s="3" t="s">
        <v>221</v>
      </c>
      <c r="E7960" s="3" t="s">
        <v>247</v>
      </c>
      <c r="F7960" s="7">
        <v>45903.43999144849</v>
      </c>
      <c r="G7960" s="3" t="s">
        <v>22255</v>
      </c>
    </row>
    <row r="7961">
      <c r="A7961" s="3" t="s">
        <v>22256</v>
      </c>
      <c r="B7961" s="3" t="s">
        <v>7325</v>
      </c>
      <c r="C7961" s="5" t="s">
        <v>221</v>
      </c>
      <c r="D7961" s="3" t="s">
        <v>614</v>
      </c>
      <c r="E7961" s="3" t="s">
        <v>118</v>
      </c>
      <c r="F7961" s="7">
        <v>45903.44346367071</v>
      </c>
      <c r="G7961" s="3" t="s">
        <v>22258</v>
      </c>
    </row>
    <row r="7962">
      <c r="A7962" s="3" t="s">
        <v>22259</v>
      </c>
      <c r="B7962" s="3" t="s">
        <v>7325</v>
      </c>
      <c r="C7962" s="5" t="s">
        <v>614</v>
      </c>
      <c r="D7962" s="3" t="s">
        <v>206</v>
      </c>
      <c r="E7962" s="3" t="s">
        <v>100</v>
      </c>
      <c r="F7962" s="7">
        <v>45903.446935892935</v>
      </c>
      <c r="G7962" s="3" t="s">
        <v>22260</v>
      </c>
    </row>
    <row r="7963">
      <c r="A7963" s="3" t="s">
        <v>22262</v>
      </c>
      <c r="B7963" s="3" t="s">
        <v>7325</v>
      </c>
      <c r="C7963" s="5" t="s">
        <v>206</v>
      </c>
      <c r="D7963" s="3" t="s">
        <v>68</v>
      </c>
      <c r="E7963" s="3" t="s">
        <v>100</v>
      </c>
      <c r="F7963" s="7">
        <v>45903.45040811515</v>
      </c>
      <c r="G7963" s="3" t="s">
        <v>22263</v>
      </c>
    </row>
    <row r="7964">
      <c r="A7964" s="3" t="s">
        <v>22264</v>
      </c>
      <c r="B7964" s="3" t="s">
        <v>7329</v>
      </c>
      <c r="C7964" s="5" t="s">
        <v>45</v>
      </c>
      <c r="D7964" s="3" t="s">
        <v>221</v>
      </c>
      <c r="E7964" s="3" t="s">
        <v>575</v>
      </c>
      <c r="F7964" s="7">
        <v>45903.51116629391</v>
      </c>
      <c r="G7964" s="3" t="s">
        <v>4747</v>
      </c>
    </row>
    <row r="7965">
      <c r="A7965" s="3" t="s">
        <v>22266</v>
      </c>
      <c r="B7965" s="3" t="s">
        <v>7329</v>
      </c>
      <c r="C7965" s="5" t="s">
        <v>221</v>
      </c>
      <c r="D7965" s="3" t="s">
        <v>614</v>
      </c>
      <c r="E7965" s="3" t="s">
        <v>118</v>
      </c>
      <c r="F7965" s="7">
        <v>45903.51463851613</v>
      </c>
      <c r="G7965" s="3" t="s">
        <v>4750</v>
      </c>
    </row>
    <row r="7966">
      <c r="A7966" s="3" t="s">
        <v>22268</v>
      </c>
      <c r="B7966" s="3" t="s">
        <v>7329</v>
      </c>
      <c r="C7966" s="5" t="s">
        <v>614</v>
      </c>
      <c r="D7966" s="3" t="s">
        <v>206</v>
      </c>
      <c r="E7966" s="3" t="s">
        <v>100</v>
      </c>
      <c r="F7966" s="7">
        <v>45903.518110738354</v>
      </c>
      <c r="G7966" s="3" t="s">
        <v>4753</v>
      </c>
    </row>
    <row r="7967">
      <c r="A7967" s="3" t="s">
        <v>22270</v>
      </c>
      <c r="B7967" s="3" t="s">
        <v>7329</v>
      </c>
      <c r="C7967" s="5" t="s">
        <v>206</v>
      </c>
      <c r="D7967" s="3" t="s">
        <v>68</v>
      </c>
      <c r="E7967" s="3" t="s">
        <v>100</v>
      </c>
      <c r="F7967" s="7">
        <v>45903.52158296057</v>
      </c>
      <c r="G7967" s="3" t="s">
        <v>4755</v>
      </c>
    </row>
    <row r="7968">
      <c r="A7968" s="3" t="s">
        <v>22272</v>
      </c>
      <c r="B7968" s="3" t="s">
        <v>7332</v>
      </c>
      <c r="C7968" s="5" t="s">
        <v>45</v>
      </c>
      <c r="D7968" s="3" t="s">
        <v>221</v>
      </c>
      <c r="E7968" s="3" t="s">
        <v>419</v>
      </c>
      <c r="F7968" s="7">
        <v>45903.58234113932</v>
      </c>
      <c r="G7968" s="3" t="s">
        <v>7639</v>
      </c>
    </row>
    <row r="7969">
      <c r="A7969" s="3" t="s">
        <v>22274</v>
      </c>
      <c r="B7969" s="3" t="s">
        <v>7332</v>
      </c>
      <c r="C7969" s="5" t="s">
        <v>221</v>
      </c>
      <c r="D7969" s="3" t="s">
        <v>614</v>
      </c>
      <c r="E7969" s="3" t="s">
        <v>118</v>
      </c>
      <c r="F7969" s="7">
        <v>45903.58581336154</v>
      </c>
      <c r="G7969" s="3" t="s">
        <v>7642</v>
      </c>
    </row>
    <row r="7970">
      <c r="A7970" s="3" t="s">
        <v>22276</v>
      </c>
      <c r="B7970" s="3" t="s">
        <v>7332</v>
      </c>
      <c r="C7970" s="5" t="s">
        <v>614</v>
      </c>
      <c r="D7970" s="3" t="s">
        <v>206</v>
      </c>
      <c r="E7970" s="3" t="s">
        <v>100</v>
      </c>
      <c r="F7970" s="7">
        <v>45903.58928558377</v>
      </c>
      <c r="G7970" s="3" t="s">
        <v>7645</v>
      </c>
    </row>
    <row r="7971">
      <c r="A7971" s="3" t="s">
        <v>22278</v>
      </c>
      <c r="B7971" s="3" t="s">
        <v>7332</v>
      </c>
      <c r="C7971" s="5" t="s">
        <v>206</v>
      </c>
      <c r="D7971" s="3" t="s">
        <v>68</v>
      </c>
      <c r="E7971" s="3" t="s">
        <v>100</v>
      </c>
      <c r="F7971" s="7">
        <v>45903.592757805985</v>
      </c>
      <c r="G7971" s="3" t="s">
        <v>7648</v>
      </c>
    </row>
    <row r="7972">
      <c r="A7972" s="3" t="s">
        <v>22280</v>
      </c>
      <c r="B7972" s="3" t="s">
        <v>7335</v>
      </c>
      <c r="C7972" s="5" t="s">
        <v>45</v>
      </c>
      <c r="D7972" s="3" t="s">
        <v>221</v>
      </c>
      <c r="E7972" s="3" t="s">
        <v>266</v>
      </c>
      <c r="F7972" s="7">
        <v>45903.65351598473</v>
      </c>
      <c r="G7972" s="3" t="s">
        <v>22282</v>
      </c>
    </row>
    <row r="7973">
      <c r="A7973" s="3" t="s">
        <v>22283</v>
      </c>
      <c r="B7973" s="3" t="s">
        <v>7335</v>
      </c>
      <c r="C7973" s="5" t="s">
        <v>221</v>
      </c>
      <c r="D7973" s="3" t="s">
        <v>614</v>
      </c>
      <c r="E7973" s="3" t="s">
        <v>118</v>
      </c>
      <c r="F7973" s="7">
        <v>45903.65698820695</v>
      </c>
      <c r="G7973" s="3" t="s">
        <v>22285</v>
      </c>
    </row>
    <row r="7974">
      <c r="A7974" s="3" t="s">
        <v>22286</v>
      </c>
      <c r="B7974" s="3" t="s">
        <v>7335</v>
      </c>
      <c r="C7974" s="5" t="s">
        <v>614</v>
      </c>
      <c r="D7974" s="3" t="s">
        <v>206</v>
      </c>
      <c r="E7974" s="3" t="s">
        <v>100</v>
      </c>
      <c r="F7974" s="7">
        <v>45903.66046042918</v>
      </c>
      <c r="G7974" s="3" t="s">
        <v>22288</v>
      </c>
    </row>
    <row r="7975">
      <c r="A7975" s="3" t="s">
        <v>22289</v>
      </c>
      <c r="B7975" s="3" t="s">
        <v>7335</v>
      </c>
      <c r="C7975" s="5" t="s">
        <v>206</v>
      </c>
      <c r="D7975" s="3" t="s">
        <v>68</v>
      </c>
      <c r="E7975" s="3" t="s">
        <v>100</v>
      </c>
      <c r="F7975" s="7">
        <v>45903.6639326514</v>
      </c>
      <c r="G7975" s="3" t="s">
        <v>22291</v>
      </c>
    </row>
    <row r="7976">
      <c r="A7976" s="3" t="s">
        <v>22292</v>
      </c>
      <c r="B7976" s="3" t="s">
        <v>7338</v>
      </c>
      <c r="C7976" s="5" t="s">
        <v>45</v>
      </c>
      <c r="D7976" s="3" t="s">
        <v>221</v>
      </c>
      <c r="E7976" s="3" t="s">
        <v>600</v>
      </c>
      <c r="F7976" s="7">
        <v>45903.72469083015</v>
      </c>
      <c r="G7976" s="3" t="s">
        <v>13859</v>
      </c>
    </row>
    <row r="7977">
      <c r="A7977" s="3" t="s">
        <v>22294</v>
      </c>
      <c r="B7977" s="3" t="s">
        <v>7338</v>
      </c>
      <c r="C7977" s="5" t="s">
        <v>221</v>
      </c>
      <c r="D7977" s="3" t="s">
        <v>614</v>
      </c>
      <c r="E7977" s="3" t="s">
        <v>118</v>
      </c>
      <c r="F7977" s="7">
        <v>45903.72816305237</v>
      </c>
      <c r="G7977" s="3" t="s">
        <v>22295</v>
      </c>
    </row>
    <row r="7978">
      <c r="A7978" s="3" t="s">
        <v>22297</v>
      </c>
      <c r="B7978" s="3" t="s">
        <v>7338</v>
      </c>
      <c r="C7978" s="5" t="s">
        <v>614</v>
      </c>
      <c r="D7978" s="3" t="s">
        <v>206</v>
      </c>
      <c r="E7978" s="3" t="s">
        <v>100</v>
      </c>
      <c r="F7978" s="7">
        <v>45903.7316352746</v>
      </c>
      <c r="G7978" s="3" t="s">
        <v>22298</v>
      </c>
    </row>
    <row r="7979">
      <c r="A7979" s="3" t="s">
        <v>22300</v>
      </c>
      <c r="B7979" s="3" t="s">
        <v>7338</v>
      </c>
      <c r="C7979" s="5" t="s">
        <v>206</v>
      </c>
      <c r="D7979" s="3" t="s">
        <v>68</v>
      </c>
      <c r="E7979" s="3" t="s">
        <v>100</v>
      </c>
      <c r="F7979" s="7">
        <v>45903.73510749682</v>
      </c>
      <c r="G7979" s="3" t="s">
        <v>22301</v>
      </c>
    </row>
    <row r="7980">
      <c r="A7980" s="3" t="s">
        <v>22303</v>
      </c>
      <c r="B7980" s="3" t="s">
        <v>7341</v>
      </c>
      <c r="C7980" s="5" t="s">
        <v>45</v>
      </c>
      <c r="D7980" s="3" t="s">
        <v>221</v>
      </c>
      <c r="E7980" s="3" t="s">
        <v>524</v>
      </c>
      <c r="F7980" s="7">
        <v>45903.795865675565</v>
      </c>
      <c r="G7980" s="3" t="s">
        <v>22304</v>
      </c>
    </row>
    <row r="7981">
      <c r="A7981" s="3" t="s">
        <v>22306</v>
      </c>
      <c r="B7981" s="3" t="s">
        <v>7341</v>
      </c>
      <c r="C7981" s="5" t="s">
        <v>221</v>
      </c>
      <c r="D7981" s="3" t="s">
        <v>614</v>
      </c>
      <c r="E7981" s="3" t="s">
        <v>118</v>
      </c>
      <c r="F7981" s="7">
        <v>45903.799337897784</v>
      </c>
      <c r="G7981" s="3" t="s">
        <v>22307</v>
      </c>
    </row>
    <row r="7982">
      <c r="A7982" s="3" t="s">
        <v>22308</v>
      </c>
      <c r="B7982" s="3" t="s">
        <v>7341</v>
      </c>
      <c r="C7982" s="5" t="s">
        <v>614</v>
      </c>
      <c r="D7982" s="3" t="s">
        <v>206</v>
      </c>
      <c r="E7982" s="3" t="s">
        <v>100</v>
      </c>
      <c r="F7982" s="7">
        <v>45903.80281012001</v>
      </c>
      <c r="G7982" s="3" t="s">
        <v>22310</v>
      </c>
    </row>
    <row r="7983">
      <c r="A7983" s="3" t="s">
        <v>22311</v>
      </c>
      <c r="B7983" s="3" t="s">
        <v>7341</v>
      </c>
      <c r="C7983" s="5" t="s">
        <v>206</v>
      </c>
      <c r="D7983" s="3" t="s">
        <v>68</v>
      </c>
      <c r="E7983" s="3" t="s">
        <v>100</v>
      </c>
      <c r="F7983" s="7">
        <v>45903.80628234223</v>
      </c>
      <c r="G7983" s="3" t="s">
        <v>22313</v>
      </c>
    </row>
    <row r="7984">
      <c r="A7984" s="3" t="s">
        <v>22314</v>
      </c>
      <c r="B7984" s="3" t="s">
        <v>7344</v>
      </c>
      <c r="C7984" s="5" t="s">
        <v>45</v>
      </c>
      <c r="D7984" s="3" t="s">
        <v>221</v>
      </c>
      <c r="E7984" s="3" t="s">
        <v>767</v>
      </c>
      <c r="F7984" s="7">
        <v>45903.86704052098</v>
      </c>
      <c r="G7984" s="3" t="s">
        <v>22316</v>
      </c>
    </row>
    <row r="7985">
      <c r="A7985" s="3" t="s">
        <v>22317</v>
      </c>
      <c r="B7985" s="3" t="s">
        <v>7344</v>
      </c>
      <c r="C7985" s="5" t="s">
        <v>221</v>
      </c>
      <c r="D7985" s="3" t="s">
        <v>614</v>
      </c>
      <c r="E7985" s="3" t="s">
        <v>118</v>
      </c>
      <c r="F7985" s="7">
        <v>45903.8705127432</v>
      </c>
      <c r="G7985" s="3" t="s">
        <v>22319</v>
      </c>
    </row>
    <row r="7986">
      <c r="A7986" s="3" t="s">
        <v>22320</v>
      </c>
      <c r="B7986" s="3" t="s">
        <v>7344</v>
      </c>
      <c r="C7986" s="5" t="s">
        <v>614</v>
      </c>
      <c r="D7986" s="3" t="s">
        <v>206</v>
      </c>
      <c r="E7986" s="3" t="s">
        <v>100</v>
      </c>
      <c r="F7986" s="7">
        <v>45903.87398496542</v>
      </c>
      <c r="G7986" s="3" t="s">
        <v>22322</v>
      </c>
    </row>
    <row r="7987">
      <c r="A7987" s="3" t="s">
        <v>22323</v>
      </c>
      <c r="B7987" s="3" t="s">
        <v>7344</v>
      </c>
      <c r="C7987" s="5" t="s">
        <v>206</v>
      </c>
      <c r="D7987" s="3" t="s">
        <v>68</v>
      </c>
      <c r="E7987" s="3" t="s">
        <v>100</v>
      </c>
      <c r="F7987" s="7">
        <v>45903.87745718764</v>
      </c>
      <c r="G7987" s="3" t="s">
        <v>22325</v>
      </c>
    </row>
    <row r="7988">
      <c r="A7988" s="3" t="s">
        <v>22326</v>
      </c>
      <c r="B7988" s="3" t="s">
        <v>7347</v>
      </c>
      <c r="C7988" s="5" t="s">
        <v>45</v>
      </c>
      <c r="D7988" s="3" t="s">
        <v>221</v>
      </c>
      <c r="E7988" s="3" t="s">
        <v>685</v>
      </c>
      <c r="F7988" s="7">
        <v>45903.9382153664</v>
      </c>
      <c r="G7988" s="3" t="s">
        <v>4788</v>
      </c>
    </row>
    <row r="7989">
      <c r="A7989" s="3" t="s">
        <v>22328</v>
      </c>
      <c r="B7989" s="3" t="s">
        <v>7347</v>
      </c>
      <c r="C7989" s="5" t="s">
        <v>221</v>
      </c>
      <c r="D7989" s="3" t="s">
        <v>614</v>
      </c>
      <c r="E7989" s="3" t="s">
        <v>118</v>
      </c>
      <c r="F7989" s="7">
        <v>45903.941687588616</v>
      </c>
      <c r="G7989" s="3" t="s">
        <v>4791</v>
      </c>
    </row>
    <row r="7990">
      <c r="A7990" s="3" t="s">
        <v>22330</v>
      </c>
      <c r="B7990" s="3" t="s">
        <v>7347</v>
      </c>
      <c r="C7990" s="5" t="s">
        <v>614</v>
      </c>
      <c r="D7990" s="3" t="s">
        <v>206</v>
      </c>
      <c r="E7990" s="3" t="s">
        <v>100</v>
      </c>
      <c r="F7990" s="7">
        <v>45903.94515981084</v>
      </c>
      <c r="G7990" s="3" t="s">
        <v>4794</v>
      </c>
    </row>
    <row r="7991">
      <c r="A7991" s="3" t="s">
        <v>22332</v>
      </c>
      <c r="B7991" s="3" t="s">
        <v>7347</v>
      </c>
      <c r="C7991" s="5" t="s">
        <v>206</v>
      </c>
      <c r="D7991" s="3" t="s">
        <v>68</v>
      </c>
      <c r="E7991" s="3" t="s">
        <v>100</v>
      </c>
      <c r="F7991" s="7">
        <v>45903.94863203306</v>
      </c>
      <c r="G7991" s="3" t="s">
        <v>4797</v>
      </c>
    </row>
    <row r="7992">
      <c r="A7992" s="3" t="s">
        <v>22333</v>
      </c>
      <c r="B7992" s="3" t="s">
        <v>7350</v>
      </c>
      <c r="C7992" s="5" t="s">
        <v>45</v>
      </c>
      <c r="D7992" s="3" t="s">
        <v>221</v>
      </c>
      <c r="E7992" s="3" t="s">
        <v>725</v>
      </c>
      <c r="F7992" s="7">
        <v>45904.00939021182</v>
      </c>
      <c r="G7992" s="3" t="s">
        <v>18531</v>
      </c>
    </row>
    <row r="7993">
      <c r="A7993" s="3" t="s">
        <v>22336</v>
      </c>
      <c r="B7993" s="3" t="s">
        <v>7350</v>
      </c>
      <c r="C7993" s="5" t="s">
        <v>221</v>
      </c>
      <c r="D7993" s="3" t="s">
        <v>181</v>
      </c>
      <c r="E7993" s="3" t="s">
        <v>118</v>
      </c>
      <c r="F7993" s="7">
        <v>45904.012862434036</v>
      </c>
      <c r="G7993" s="3" t="s">
        <v>22338</v>
      </c>
    </row>
    <row r="7994">
      <c r="A7994" s="3" t="s">
        <v>22339</v>
      </c>
      <c r="B7994" s="3" t="s">
        <v>7353</v>
      </c>
      <c r="C7994" s="5" t="s">
        <v>45</v>
      </c>
      <c r="D7994" s="3" t="s">
        <v>221</v>
      </c>
      <c r="E7994" s="3" t="s">
        <v>530</v>
      </c>
      <c r="F7994" s="7">
        <v>45904.08056505722</v>
      </c>
      <c r="G7994" s="3" t="s">
        <v>11787</v>
      </c>
    </row>
    <row r="7995">
      <c r="A7995" s="3" t="s">
        <v>22341</v>
      </c>
      <c r="B7995" s="3" t="s">
        <v>7353</v>
      </c>
      <c r="C7995" s="5" t="s">
        <v>221</v>
      </c>
      <c r="D7995" s="3" t="s">
        <v>614</v>
      </c>
      <c r="E7995" s="3" t="s">
        <v>118</v>
      </c>
      <c r="F7995" s="7">
        <v>45904.08403727944</v>
      </c>
      <c r="G7995" s="3" t="s">
        <v>11790</v>
      </c>
    </row>
    <row r="7996">
      <c r="A7996" s="3" t="s">
        <v>22343</v>
      </c>
      <c r="B7996" s="3" t="s">
        <v>7353</v>
      </c>
      <c r="C7996" s="5" t="s">
        <v>614</v>
      </c>
      <c r="D7996" s="3" t="s">
        <v>206</v>
      </c>
      <c r="E7996" s="3" t="s">
        <v>100</v>
      </c>
      <c r="F7996" s="7">
        <v>45904.08750950167</v>
      </c>
      <c r="G7996" s="3" t="s">
        <v>11795</v>
      </c>
    </row>
    <row r="7997">
      <c r="A7997" s="3" t="s">
        <v>22345</v>
      </c>
      <c r="B7997" s="3" t="s">
        <v>7353</v>
      </c>
      <c r="C7997" s="5" t="s">
        <v>206</v>
      </c>
      <c r="D7997" s="3" t="s">
        <v>68</v>
      </c>
      <c r="E7997" s="3" t="s">
        <v>100</v>
      </c>
      <c r="F7997" s="7">
        <v>45904.090981723886</v>
      </c>
      <c r="G7997" s="3" t="s">
        <v>11798</v>
      </c>
    </row>
    <row r="7998">
      <c r="A7998" s="3" t="s">
        <v>22346</v>
      </c>
      <c r="B7998" s="3" t="s">
        <v>7356</v>
      </c>
      <c r="C7998" s="5" t="s">
        <v>45</v>
      </c>
      <c r="D7998" s="3" t="s">
        <v>221</v>
      </c>
      <c r="E7998" s="3" t="s">
        <v>883</v>
      </c>
      <c r="F7998" s="7">
        <v>45904.15173990264</v>
      </c>
      <c r="G7998" s="3" t="s">
        <v>4812</v>
      </c>
    </row>
    <row r="7999">
      <c r="A7999" s="3" t="s">
        <v>22348</v>
      </c>
      <c r="B7999" s="3" t="s">
        <v>7356</v>
      </c>
      <c r="C7999" s="5" t="s">
        <v>221</v>
      </c>
      <c r="D7999" s="3" t="s">
        <v>614</v>
      </c>
      <c r="E7999" s="3" t="s">
        <v>118</v>
      </c>
      <c r="F7999" s="7">
        <v>45904.15521212486</v>
      </c>
      <c r="G7999" s="3" t="s">
        <v>4814</v>
      </c>
    </row>
    <row r="8000">
      <c r="A8000" s="3" t="s">
        <v>22350</v>
      </c>
      <c r="B8000" s="3" t="s">
        <v>7356</v>
      </c>
      <c r="C8000" s="5" t="s">
        <v>614</v>
      </c>
      <c r="D8000" s="3" t="s">
        <v>206</v>
      </c>
      <c r="E8000" s="3" t="s">
        <v>100</v>
      </c>
      <c r="F8000" s="7">
        <v>45904.15868434709</v>
      </c>
      <c r="G8000" s="3" t="s">
        <v>4817</v>
      </c>
    </row>
    <row r="8001">
      <c r="A8001" s="3" t="s">
        <v>22352</v>
      </c>
      <c r="B8001" s="3" t="s">
        <v>7356</v>
      </c>
      <c r="C8001" s="5" t="s">
        <v>206</v>
      </c>
      <c r="D8001" s="3" t="s">
        <v>68</v>
      </c>
      <c r="E8001" s="3" t="s">
        <v>100</v>
      </c>
      <c r="F8001" s="7">
        <v>45904.162156569306</v>
      </c>
      <c r="G8001" s="3" t="s">
        <v>4820</v>
      </c>
    </row>
    <row r="8002">
      <c r="A8002" s="3" t="s">
        <v>22354</v>
      </c>
      <c r="B8002" s="3" t="s">
        <v>7360</v>
      </c>
      <c r="C8002" s="5" t="s">
        <v>45</v>
      </c>
      <c r="D8002" s="3" t="s">
        <v>221</v>
      </c>
      <c r="E8002" s="3" t="s">
        <v>189</v>
      </c>
      <c r="F8002" s="7">
        <v>45904.22291474806</v>
      </c>
      <c r="G8002" s="3" t="s">
        <v>22356</v>
      </c>
    </row>
    <row r="8003">
      <c r="A8003" s="3" t="s">
        <v>22357</v>
      </c>
      <c r="B8003" s="3" t="s">
        <v>7360</v>
      </c>
      <c r="C8003" s="5" t="s">
        <v>221</v>
      </c>
      <c r="D8003" s="3" t="s">
        <v>614</v>
      </c>
      <c r="E8003" s="3" t="s">
        <v>118</v>
      </c>
      <c r="F8003" s="7">
        <v>45904.22638697028</v>
      </c>
      <c r="G8003" s="3" t="s">
        <v>22359</v>
      </c>
    </row>
    <row r="8004">
      <c r="A8004" s="3" t="s">
        <v>22360</v>
      </c>
      <c r="B8004" s="3" t="s">
        <v>7360</v>
      </c>
      <c r="C8004" s="5" t="s">
        <v>614</v>
      </c>
      <c r="D8004" s="3" t="s">
        <v>206</v>
      </c>
      <c r="E8004" s="3" t="s">
        <v>100</v>
      </c>
      <c r="F8004" s="7">
        <v>45904.22985919251</v>
      </c>
      <c r="G8004" s="3" t="s">
        <v>22362</v>
      </c>
    </row>
    <row r="8005">
      <c r="A8005" s="3" t="s">
        <v>22363</v>
      </c>
      <c r="B8005" s="3" t="s">
        <v>7360</v>
      </c>
      <c r="C8005" s="5" t="s">
        <v>206</v>
      </c>
      <c r="D8005" s="3" t="s">
        <v>68</v>
      </c>
      <c r="E8005" s="3" t="s">
        <v>100</v>
      </c>
      <c r="F8005" s="7">
        <v>45904.233331414725</v>
      </c>
      <c r="G8005" s="3" t="s">
        <v>22365</v>
      </c>
    </row>
    <row r="8006">
      <c r="A8006" s="3" t="s">
        <v>22366</v>
      </c>
      <c r="B8006" s="3" t="s">
        <v>7363</v>
      </c>
      <c r="C8006" s="5" t="s">
        <v>45</v>
      </c>
      <c r="D8006" s="3" t="s">
        <v>221</v>
      </c>
      <c r="E8006" s="3" t="s">
        <v>598</v>
      </c>
      <c r="F8006" s="7">
        <v>45904.29408959347</v>
      </c>
      <c r="G8006" s="3" t="s">
        <v>4835</v>
      </c>
    </row>
    <row r="8007">
      <c r="A8007" s="3" t="s">
        <v>22368</v>
      </c>
      <c r="B8007" s="3" t="s">
        <v>7363</v>
      </c>
      <c r="C8007" s="5" t="s">
        <v>221</v>
      </c>
      <c r="D8007" s="3" t="s">
        <v>614</v>
      </c>
      <c r="E8007" s="3" t="s">
        <v>118</v>
      </c>
      <c r="F8007" s="7">
        <v>45904.29756181569</v>
      </c>
      <c r="G8007" s="3" t="s">
        <v>4838</v>
      </c>
    </row>
    <row r="8008">
      <c r="A8008" s="3" t="s">
        <v>22370</v>
      </c>
      <c r="B8008" s="3" t="s">
        <v>7363</v>
      </c>
      <c r="C8008" s="5" t="s">
        <v>614</v>
      </c>
      <c r="D8008" s="3" t="s">
        <v>206</v>
      </c>
      <c r="E8008" s="3" t="s">
        <v>100</v>
      </c>
      <c r="F8008" s="7">
        <v>45904.30103403792</v>
      </c>
      <c r="G8008" s="3" t="s">
        <v>4841</v>
      </c>
    </row>
    <row r="8009">
      <c r="A8009" s="3" t="s">
        <v>22372</v>
      </c>
      <c r="B8009" s="3" t="s">
        <v>7363</v>
      </c>
      <c r="C8009" s="5" t="s">
        <v>206</v>
      </c>
      <c r="D8009" s="3" t="s">
        <v>68</v>
      </c>
      <c r="E8009" s="3" t="s">
        <v>100</v>
      </c>
      <c r="F8009" s="7">
        <v>45904.30450626014</v>
      </c>
      <c r="G8009" s="3" t="s">
        <v>4843</v>
      </c>
    </row>
    <row r="8010">
      <c r="A8010" s="3" t="s">
        <v>22374</v>
      </c>
      <c r="B8010" s="3" t="s">
        <v>7367</v>
      </c>
      <c r="C8010" s="5" t="s">
        <v>45</v>
      </c>
      <c r="D8010" s="3" t="s">
        <v>221</v>
      </c>
      <c r="E8010" s="3" t="s">
        <v>453</v>
      </c>
      <c r="F8010" s="7">
        <v>45904.365264438886</v>
      </c>
      <c r="G8010" s="3" t="s">
        <v>4883</v>
      </c>
    </row>
    <row r="8011">
      <c r="A8011" s="3" t="s">
        <v>22376</v>
      </c>
      <c r="B8011" s="3" t="s">
        <v>7367</v>
      </c>
      <c r="C8011" s="5" t="s">
        <v>221</v>
      </c>
      <c r="D8011" s="3" t="s">
        <v>614</v>
      </c>
      <c r="E8011" s="3" t="s">
        <v>118</v>
      </c>
      <c r="F8011" s="7">
        <v>45904.368736661105</v>
      </c>
      <c r="G8011" s="3" t="s">
        <v>4886</v>
      </c>
    </row>
    <row r="8012">
      <c r="A8012" s="3" t="s">
        <v>22378</v>
      </c>
      <c r="B8012" s="3" t="s">
        <v>7367</v>
      </c>
      <c r="C8012" s="5" t="s">
        <v>614</v>
      </c>
      <c r="D8012" s="3" t="s">
        <v>206</v>
      </c>
      <c r="E8012" s="3" t="s">
        <v>100</v>
      </c>
      <c r="F8012" s="7">
        <v>45904.37220888333</v>
      </c>
      <c r="G8012" s="3" t="s">
        <v>4889</v>
      </c>
    </row>
    <row r="8013">
      <c r="A8013" s="3" t="s">
        <v>22380</v>
      </c>
      <c r="B8013" s="3" t="s">
        <v>7367</v>
      </c>
      <c r="C8013" s="5" t="s">
        <v>206</v>
      </c>
      <c r="D8013" s="3" t="s">
        <v>68</v>
      </c>
      <c r="E8013" s="3" t="s">
        <v>100</v>
      </c>
      <c r="F8013" s="7">
        <v>45904.37568110555</v>
      </c>
      <c r="G8013" s="3" t="s">
        <v>4892</v>
      </c>
    </row>
    <row r="8014">
      <c r="A8014" s="3" t="s">
        <v>22382</v>
      </c>
      <c r="B8014" s="3" t="s">
        <v>7370</v>
      </c>
      <c r="C8014" s="5" t="s">
        <v>45</v>
      </c>
      <c r="D8014" s="3" t="s">
        <v>221</v>
      </c>
      <c r="E8014" s="3" t="s">
        <v>369</v>
      </c>
      <c r="F8014" s="7">
        <v>45904.436439284305</v>
      </c>
      <c r="G8014" s="3" t="s">
        <v>17822</v>
      </c>
    </row>
    <row r="8015">
      <c r="A8015" s="3" t="s">
        <v>22384</v>
      </c>
      <c r="B8015" s="3" t="s">
        <v>7370</v>
      </c>
      <c r="C8015" s="5" t="s">
        <v>221</v>
      </c>
      <c r="D8015" s="3" t="s">
        <v>614</v>
      </c>
      <c r="E8015" s="3" t="s">
        <v>118</v>
      </c>
      <c r="F8015" s="7">
        <v>45904.439911506524</v>
      </c>
      <c r="G8015" s="3" t="s">
        <v>17824</v>
      </c>
    </row>
    <row r="8016">
      <c r="A8016" s="3" t="s">
        <v>22386</v>
      </c>
      <c r="B8016" s="3" t="s">
        <v>7370</v>
      </c>
      <c r="C8016" s="5" t="s">
        <v>614</v>
      </c>
      <c r="D8016" s="3" t="s">
        <v>206</v>
      </c>
      <c r="E8016" s="3" t="s">
        <v>100</v>
      </c>
      <c r="F8016" s="7">
        <v>45904.44338372875</v>
      </c>
      <c r="G8016" s="3" t="s">
        <v>17826</v>
      </c>
    </row>
    <row r="8017">
      <c r="A8017" s="3" t="s">
        <v>22388</v>
      </c>
      <c r="B8017" s="3" t="s">
        <v>7370</v>
      </c>
      <c r="C8017" s="5" t="s">
        <v>206</v>
      </c>
      <c r="D8017" s="3" t="s">
        <v>68</v>
      </c>
      <c r="E8017" s="3" t="s">
        <v>100</v>
      </c>
      <c r="F8017" s="7">
        <v>45904.44685595097</v>
      </c>
      <c r="G8017" s="3" t="s">
        <v>17828</v>
      </c>
    </row>
    <row r="8018">
      <c r="A8018" s="3" t="s">
        <v>22389</v>
      </c>
      <c r="B8018" s="3" t="s">
        <v>7373</v>
      </c>
      <c r="C8018" s="5" t="s">
        <v>45</v>
      </c>
      <c r="D8018" s="3" t="s">
        <v>221</v>
      </c>
      <c r="E8018" s="3" t="s">
        <v>934</v>
      </c>
      <c r="F8018" s="7">
        <v>45904.50761412972</v>
      </c>
      <c r="G8018" s="3" t="s">
        <v>2770</v>
      </c>
    </row>
    <row r="8019">
      <c r="A8019" s="3" t="s">
        <v>22391</v>
      </c>
      <c r="B8019" s="3" t="s">
        <v>7373</v>
      </c>
      <c r="C8019" s="5" t="s">
        <v>221</v>
      </c>
      <c r="D8019" s="3" t="s">
        <v>181</v>
      </c>
      <c r="E8019" s="3" t="s">
        <v>118</v>
      </c>
      <c r="F8019" s="7">
        <v>45904.51108635194</v>
      </c>
      <c r="G8019" s="3" t="s">
        <v>2774</v>
      </c>
    </row>
    <row r="8020">
      <c r="A8020" s="3" t="s">
        <v>22393</v>
      </c>
      <c r="B8020" s="3" t="s">
        <v>7376</v>
      </c>
      <c r="C8020" s="5" t="s">
        <v>45</v>
      </c>
      <c r="D8020" s="3" t="s">
        <v>221</v>
      </c>
      <c r="E8020" s="3" t="s">
        <v>853</v>
      </c>
      <c r="F8020" s="7">
        <v>45904.57878897513</v>
      </c>
      <c r="G8020" s="3" t="s">
        <v>4906</v>
      </c>
    </row>
    <row r="8021">
      <c r="A8021" s="3" t="s">
        <v>22395</v>
      </c>
      <c r="B8021" s="3" t="s">
        <v>7376</v>
      </c>
      <c r="C8021" s="5" t="s">
        <v>221</v>
      </c>
      <c r="D8021" s="3" t="s">
        <v>614</v>
      </c>
      <c r="E8021" s="3" t="s">
        <v>118</v>
      </c>
      <c r="F8021" s="7">
        <v>45904.58226119735</v>
      </c>
      <c r="G8021" s="3" t="s">
        <v>4910</v>
      </c>
    </row>
    <row r="8022">
      <c r="A8022" s="3" t="s">
        <v>22397</v>
      </c>
      <c r="B8022" s="3" t="s">
        <v>7376</v>
      </c>
      <c r="C8022" s="5" t="s">
        <v>614</v>
      </c>
      <c r="D8022" s="3" t="s">
        <v>206</v>
      </c>
      <c r="E8022" s="3" t="s">
        <v>100</v>
      </c>
      <c r="F8022" s="7">
        <v>45904.585733419575</v>
      </c>
      <c r="G8022" s="3" t="s">
        <v>4912</v>
      </c>
    </row>
    <row r="8023">
      <c r="A8023" s="3" t="s">
        <v>22399</v>
      </c>
      <c r="B8023" s="3" t="s">
        <v>7376</v>
      </c>
      <c r="C8023" s="5" t="s">
        <v>206</v>
      </c>
      <c r="D8023" s="3" t="s">
        <v>68</v>
      </c>
      <c r="E8023" s="3" t="s">
        <v>100</v>
      </c>
      <c r="F8023" s="7">
        <v>45904.589205641794</v>
      </c>
      <c r="G8023" s="3" t="s">
        <v>4915</v>
      </c>
    </row>
    <row r="8024">
      <c r="A8024" s="3" t="s">
        <v>22401</v>
      </c>
      <c r="B8024" s="3" t="s">
        <v>7379</v>
      </c>
      <c r="C8024" s="5" t="s">
        <v>45</v>
      </c>
      <c r="D8024" s="3" t="s">
        <v>221</v>
      </c>
      <c r="E8024" s="3" t="s">
        <v>1030</v>
      </c>
      <c r="F8024" s="7">
        <v>45904.64996382055</v>
      </c>
      <c r="G8024" s="3" t="s">
        <v>22403</v>
      </c>
    </row>
    <row r="8025">
      <c r="A8025" s="3" t="s">
        <v>22404</v>
      </c>
      <c r="B8025" s="3" t="s">
        <v>7379</v>
      </c>
      <c r="C8025" s="5" t="s">
        <v>221</v>
      </c>
      <c r="D8025" s="3" t="s">
        <v>614</v>
      </c>
      <c r="E8025" s="3" t="s">
        <v>118</v>
      </c>
      <c r="F8025" s="7">
        <v>45904.65343604277</v>
      </c>
      <c r="G8025" s="3" t="s">
        <v>22406</v>
      </c>
    </row>
    <row r="8026">
      <c r="A8026" s="3" t="s">
        <v>22407</v>
      </c>
      <c r="B8026" s="3" t="s">
        <v>7379</v>
      </c>
      <c r="C8026" s="5" t="s">
        <v>614</v>
      </c>
      <c r="D8026" s="3" t="s">
        <v>206</v>
      </c>
      <c r="E8026" s="3" t="s">
        <v>100</v>
      </c>
      <c r="F8026" s="7">
        <v>45904.656908264995</v>
      </c>
      <c r="G8026" s="3" t="s">
        <v>22409</v>
      </c>
    </row>
    <row r="8027">
      <c r="A8027" s="3" t="s">
        <v>22410</v>
      </c>
      <c r="B8027" s="3" t="s">
        <v>7379</v>
      </c>
      <c r="C8027" s="5" t="s">
        <v>206</v>
      </c>
      <c r="D8027" s="3" t="s">
        <v>68</v>
      </c>
      <c r="E8027" s="3" t="s">
        <v>100</v>
      </c>
      <c r="F8027" s="7">
        <v>45904.660380487214</v>
      </c>
      <c r="G8027" s="3" t="s">
        <v>22412</v>
      </c>
    </row>
    <row r="8028">
      <c r="A8028" s="3" t="s">
        <v>22413</v>
      </c>
      <c r="B8028" s="3" t="s">
        <v>7384</v>
      </c>
      <c r="C8028" s="5" t="s">
        <v>45</v>
      </c>
      <c r="D8028" s="3" t="s">
        <v>221</v>
      </c>
      <c r="E8028" s="3" t="s">
        <v>296</v>
      </c>
      <c r="F8028" s="7">
        <v>45904.72113866596</v>
      </c>
      <c r="G8028" s="3" t="s">
        <v>6189</v>
      </c>
    </row>
    <row r="8029">
      <c r="A8029" s="3" t="s">
        <v>22415</v>
      </c>
      <c r="B8029" s="3" t="s">
        <v>7384</v>
      </c>
      <c r="C8029" s="5" t="s">
        <v>221</v>
      </c>
      <c r="D8029" s="3" t="s">
        <v>614</v>
      </c>
      <c r="E8029" s="3" t="s">
        <v>118</v>
      </c>
      <c r="F8029" s="7">
        <v>45904.72461088818</v>
      </c>
      <c r="G8029" s="3" t="s">
        <v>10455</v>
      </c>
    </row>
    <row r="8030">
      <c r="A8030" s="3" t="s">
        <v>22417</v>
      </c>
      <c r="B8030" s="3" t="s">
        <v>7384</v>
      </c>
      <c r="C8030" s="5" t="s">
        <v>614</v>
      </c>
      <c r="D8030" s="3" t="s">
        <v>206</v>
      </c>
      <c r="E8030" s="3" t="s">
        <v>100</v>
      </c>
      <c r="F8030" s="7">
        <v>45904.72808311041</v>
      </c>
      <c r="G8030" s="3" t="s">
        <v>10457</v>
      </c>
    </row>
    <row r="8031">
      <c r="A8031" s="3" t="s">
        <v>22419</v>
      </c>
      <c r="B8031" s="3" t="s">
        <v>7384</v>
      </c>
      <c r="C8031" s="5" t="s">
        <v>206</v>
      </c>
      <c r="D8031" s="3" t="s">
        <v>68</v>
      </c>
      <c r="E8031" s="3" t="s">
        <v>100</v>
      </c>
      <c r="F8031" s="7">
        <v>45904.731555332626</v>
      </c>
      <c r="G8031" s="3" t="s">
        <v>10460</v>
      </c>
    </row>
    <row r="8032">
      <c r="A8032" s="3" t="s">
        <v>22421</v>
      </c>
      <c r="B8032" s="3" t="s">
        <v>7387</v>
      </c>
      <c r="C8032" s="5" t="s">
        <v>45</v>
      </c>
      <c r="D8032" s="3" t="s">
        <v>221</v>
      </c>
      <c r="E8032" s="3" t="s">
        <v>141</v>
      </c>
      <c r="F8032" s="7">
        <v>45904.792313511374</v>
      </c>
      <c r="G8032" s="3" t="s">
        <v>13392</v>
      </c>
    </row>
    <row r="8033">
      <c r="A8033" s="3" t="s">
        <v>22423</v>
      </c>
      <c r="B8033" s="3" t="s">
        <v>7387</v>
      </c>
      <c r="C8033" s="5" t="s">
        <v>221</v>
      </c>
      <c r="D8033" s="3" t="s">
        <v>181</v>
      </c>
      <c r="E8033" s="3" t="s">
        <v>118</v>
      </c>
      <c r="F8033" s="7">
        <v>45904.79578573359</v>
      </c>
      <c r="G8033" s="3" t="s">
        <v>22424</v>
      </c>
    </row>
    <row r="8034">
      <c r="A8034" s="3" t="s">
        <v>22425</v>
      </c>
      <c r="B8034" s="3" t="s">
        <v>7391</v>
      </c>
      <c r="C8034" s="5" t="s">
        <v>45</v>
      </c>
      <c r="D8034" s="3" t="s">
        <v>221</v>
      </c>
      <c r="E8034" s="3" t="s">
        <v>436</v>
      </c>
      <c r="F8034" s="7">
        <v>45904.863488356794</v>
      </c>
      <c r="G8034" s="3" t="s">
        <v>4934</v>
      </c>
    </row>
    <row r="8035">
      <c r="A8035" s="3" t="s">
        <v>22427</v>
      </c>
      <c r="B8035" s="3" t="s">
        <v>7391</v>
      </c>
      <c r="C8035" s="5" t="s">
        <v>221</v>
      </c>
      <c r="D8035" s="3" t="s">
        <v>614</v>
      </c>
      <c r="E8035" s="3" t="s">
        <v>118</v>
      </c>
      <c r="F8035" s="7">
        <v>45904.86696057901</v>
      </c>
      <c r="G8035" s="3" t="s">
        <v>4937</v>
      </c>
    </row>
    <row r="8036">
      <c r="A8036" s="3" t="s">
        <v>22429</v>
      </c>
      <c r="B8036" s="3" t="s">
        <v>7391</v>
      </c>
      <c r="C8036" s="5" t="s">
        <v>614</v>
      </c>
      <c r="D8036" s="3" t="s">
        <v>206</v>
      </c>
      <c r="E8036" s="3" t="s">
        <v>100</v>
      </c>
      <c r="F8036" s="7">
        <v>45904.87043280124</v>
      </c>
      <c r="G8036" s="3" t="s">
        <v>4940</v>
      </c>
    </row>
    <row r="8037">
      <c r="A8037" s="3" t="s">
        <v>22431</v>
      </c>
      <c r="B8037" s="3" t="s">
        <v>7391</v>
      </c>
      <c r="C8037" s="5" t="s">
        <v>206</v>
      </c>
      <c r="D8037" s="3" t="s">
        <v>68</v>
      </c>
      <c r="E8037" s="3" t="s">
        <v>100</v>
      </c>
      <c r="F8037" s="7">
        <v>45904.87390502346</v>
      </c>
      <c r="G8037" s="3" t="s">
        <v>4943</v>
      </c>
    </row>
    <row r="8038">
      <c r="A8038" s="3" t="s">
        <v>22433</v>
      </c>
      <c r="B8038" s="3" t="s">
        <v>7394</v>
      </c>
      <c r="C8038" s="5" t="s">
        <v>45</v>
      </c>
      <c r="D8038" s="3" t="s">
        <v>221</v>
      </c>
      <c r="E8038" s="3" t="s">
        <v>704</v>
      </c>
      <c r="F8038" s="7">
        <v>45904.934663202206</v>
      </c>
      <c r="G8038" s="3" t="s">
        <v>21732</v>
      </c>
    </row>
    <row r="8039">
      <c r="A8039" s="3" t="s">
        <v>22435</v>
      </c>
      <c r="B8039" s="3" t="s">
        <v>7394</v>
      </c>
      <c r="C8039" s="5" t="s">
        <v>221</v>
      </c>
      <c r="D8039" s="3" t="s">
        <v>614</v>
      </c>
      <c r="E8039" s="3" t="s">
        <v>118</v>
      </c>
      <c r="F8039" s="7">
        <v>45904.938135424425</v>
      </c>
      <c r="G8039" s="3" t="s">
        <v>21735</v>
      </c>
    </row>
    <row r="8040">
      <c r="A8040" s="3" t="s">
        <v>22437</v>
      </c>
      <c r="B8040" s="3" t="s">
        <v>7394</v>
      </c>
      <c r="C8040" s="5" t="s">
        <v>614</v>
      </c>
      <c r="D8040" s="3" t="s">
        <v>206</v>
      </c>
      <c r="E8040" s="3" t="s">
        <v>100</v>
      </c>
      <c r="F8040" s="7">
        <v>45904.94160764665</v>
      </c>
      <c r="G8040" s="3" t="s">
        <v>21738</v>
      </c>
    </row>
    <row r="8041">
      <c r="A8041" s="3" t="s">
        <v>22439</v>
      </c>
      <c r="B8041" s="3" t="s">
        <v>7394</v>
      </c>
      <c r="C8041" s="5" t="s">
        <v>206</v>
      </c>
      <c r="D8041" s="3" t="s">
        <v>68</v>
      </c>
      <c r="E8041" s="3" t="s">
        <v>100</v>
      </c>
      <c r="F8041" s="7">
        <v>45904.94507986887</v>
      </c>
      <c r="G8041" s="3" t="s">
        <v>21740</v>
      </c>
    </row>
    <row r="8042">
      <c r="A8042" s="3" t="s">
        <v>22441</v>
      </c>
      <c r="B8042" s="3" t="s">
        <v>7397</v>
      </c>
      <c r="C8042" s="5" t="s">
        <v>45</v>
      </c>
      <c r="D8042" s="3" t="s">
        <v>221</v>
      </c>
      <c r="E8042" s="3" t="s">
        <v>219</v>
      </c>
      <c r="F8042" s="7">
        <v>45905.005838047626</v>
      </c>
      <c r="G8042" s="3" t="s">
        <v>13217</v>
      </c>
    </row>
    <row r="8043">
      <c r="A8043" s="3" t="s">
        <v>22443</v>
      </c>
      <c r="B8043" s="3" t="s">
        <v>7397</v>
      </c>
      <c r="C8043" s="5" t="s">
        <v>221</v>
      </c>
      <c r="D8043" s="3" t="s">
        <v>195</v>
      </c>
      <c r="E8043" s="3" t="s">
        <v>219</v>
      </c>
      <c r="F8043" s="7">
        <v>45905.009310269845</v>
      </c>
      <c r="G8043" s="3" t="s">
        <v>22444</v>
      </c>
    </row>
    <row r="8044">
      <c r="A8044" s="3" t="s">
        <v>22445</v>
      </c>
      <c r="B8044" s="3" t="s">
        <v>7400</v>
      </c>
      <c r="C8044" s="5" t="s">
        <v>45</v>
      </c>
      <c r="D8044" s="3" t="s">
        <v>221</v>
      </c>
      <c r="E8044" s="3" t="s">
        <v>369</v>
      </c>
      <c r="F8044" s="7">
        <v>45905.07701289304</v>
      </c>
      <c r="G8044" s="3" t="s">
        <v>17822</v>
      </c>
    </row>
    <row r="8045">
      <c r="A8045" s="3" t="s">
        <v>22447</v>
      </c>
      <c r="B8045" s="3" t="s">
        <v>7400</v>
      </c>
      <c r="C8045" s="5" t="s">
        <v>221</v>
      </c>
      <c r="D8045" s="3" t="s">
        <v>614</v>
      </c>
      <c r="E8045" s="3" t="s">
        <v>118</v>
      </c>
      <c r="F8045" s="7">
        <v>45905.08048511526</v>
      </c>
      <c r="G8045" s="3" t="s">
        <v>17824</v>
      </c>
    </row>
    <row r="8046">
      <c r="A8046" s="3" t="s">
        <v>22449</v>
      </c>
      <c r="B8046" s="3" t="s">
        <v>7400</v>
      </c>
      <c r="C8046" s="5" t="s">
        <v>614</v>
      </c>
      <c r="D8046" s="3" t="s">
        <v>206</v>
      </c>
      <c r="E8046" s="3" t="s">
        <v>100</v>
      </c>
      <c r="F8046" s="7">
        <v>45905.08395733748</v>
      </c>
      <c r="G8046" s="3" t="s">
        <v>17826</v>
      </c>
    </row>
    <row r="8047">
      <c r="A8047" s="3" t="s">
        <v>22451</v>
      </c>
      <c r="B8047" s="3" t="s">
        <v>7400</v>
      </c>
      <c r="C8047" s="5" t="s">
        <v>206</v>
      </c>
      <c r="D8047" s="3" t="s">
        <v>68</v>
      </c>
      <c r="E8047" s="3" t="s">
        <v>100</v>
      </c>
      <c r="F8047" s="7">
        <v>45905.0874295597</v>
      </c>
      <c r="G8047" s="3" t="s">
        <v>17828</v>
      </c>
    </row>
    <row r="8048">
      <c r="A8048" s="3" t="s">
        <v>22453</v>
      </c>
      <c r="B8048" s="3" t="s">
        <v>7404</v>
      </c>
      <c r="C8048" s="5" t="s">
        <v>45</v>
      </c>
      <c r="D8048" s="3" t="s">
        <v>221</v>
      </c>
      <c r="E8048" s="3" t="s">
        <v>961</v>
      </c>
      <c r="F8048" s="7">
        <v>45905.14818773846</v>
      </c>
      <c r="G8048" s="3" t="s">
        <v>19125</v>
      </c>
    </row>
    <row r="8049">
      <c r="A8049" s="3" t="s">
        <v>22455</v>
      </c>
      <c r="B8049" s="3" t="s">
        <v>7404</v>
      </c>
      <c r="C8049" s="5" t="s">
        <v>221</v>
      </c>
      <c r="D8049" s="3" t="s">
        <v>614</v>
      </c>
      <c r="E8049" s="3" t="s">
        <v>118</v>
      </c>
      <c r="F8049" s="7">
        <v>45905.15165996068</v>
      </c>
      <c r="G8049" s="3" t="s">
        <v>19128</v>
      </c>
    </row>
    <row r="8050">
      <c r="A8050" s="3" t="s">
        <v>22457</v>
      </c>
      <c r="B8050" s="3" t="s">
        <v>7404</v>
      </c>
      <c r="C8050" s="5" t="s">
        <v>614</v>
      </c>
      <c r="D8050" s="3" t="s">
        <v>206</v>
      </c>
      <c r="E8050" s="3" t="s">
        <v>100</v>
      </c>
      <c r="F8050" s="7">
        <v>45905.1551321829</v>
      </c>
      <c r="G8050" s="3" t="s">
        <v>19131</v>
      </c>
    </row>
    <row r="8051">
      <c r="A8051" s="3" t="s">
        <v>22459</v>
      </c>
      <c r="B8051" s="3" t="s">
        <v>7404</v>
      </c>
      <c r="C8051" s="5" t="s">
        <v>206</v>
      </c>
      <c r="D8051" s="3" t="s">
        <v>68</v>
      </c>
      <c r="E8051" s="3" t="s">
        <v>100</v>
      </c>
      <c r="F8051" s="7">
        <v>45905.15860440512</v>
      </c>
      <c r="G8051" s="3" t="s">
        <v>19134</v>
      </c>
    </row>
    <row r="8052">
      <c r="A8052" s="3" t="s">
        <v>22461</v>
      </c>
      <c r="B8052" s="3" t="s">
        <v>7406</v>
      </c>
      <c r="C8052" s="5" t="s">
        <v>45</v>
      </c>
      <c r="D8052" s="3" t="s">
        <v>221</v>
      </c>
      <c r="E8052" s="3" t="s">
        <v>870</v>
      </c>
      <c r="F8052" s="7">
        <v>45905.21936258386</v>
      </c>
      <c r="G8052" s="3" t="s">
        <v>18421</v>
      </c>
    </row>
    <row r="8053">
      <c r="A8053" s="3" t="s">
        <v>22463</v>
      </c>
      <c r="B8053" s="3" t="s">
        <v>7406</v>
      </c>
      <c r="C8053" s="5" t="s">
        <v>221</v>
      </c>
      <c r="D8053" s="3" t="s">
        <v>614</v>
      </c>
      <c r="E8053" s="3" t="s">
        <v>118</v>
      </c>
      <c r="F8053" s="7">
        <v>45905.22283480608</v>
      </c>
      <c r="G8053" s="3" t="s">
        <v>18424</v>
      </c>
    </row>
    <row r="8054">
      <c r="A8054" s="3" t="s">
        <v>22465</v>
      </c>
      <c r="B8054" s="3" t="s">
        <v>7406</v>
      </c>
      <c r="C8054" s="5" t="s">
        <v>614</v>
      </c>
      <c r="D8054" s="3" t="s">
        <v>206</v>
      </c>
      <c r="E8054" s="3" t="s">
        <v>100</v>
      </c>
      <c r="F8054" s="7">
        <v>45905.22630702831</v>
      </c>
      <c r="G8054" s="3" t="s">
        <v>18427</v>
      </c>
    </row>
    <row r="8055">
      <c r="A8055" s="3" t="s">
        <v>22467</v>
      </c>
      <c r="B8055" s="3" t="s">
        <v>7406</v>
      </c>
      <c r="C8055" s="5" t="s">
        <v>206</v>
      </c>
      <c r="D8055" s="3" t="s">
        <v>68</v>
      </c>
      <c r="E8055" s="3" t="s">
        <v>100</v>
      </c>
      <c r="F8055" s="7">
        <v>45905.22977925053</v>
      </c>
      <c r="G8055" s="3" t="s">
        <v>18430</v>
      </c>
    </row>
    <row r="8056">
      <c r="A8056" s="3" t="s">
        <v>22469</v>
      </c>
      <c r="B8056" s="3" t="s">
        <v>7408</v>
      </c>
      <c r="C8056" s="5" t="s">
        <v>45</v>
      </c>
      <c r="D8056" s="3" t="s">
        <v>221</v>
      </c>
      <c r="E8056" s="3" t="s">
        <v>466</v>
      </c>
      <c r="F8056" s="7">
        <v>45905.29053742928</v>
      </c>
      <c r="G8056" s="3" t="s">
        <v>2770</v>
      </c>
    </row>
    <row r="8057">
      <c r="A8057" s="3" t="s">
        <v>22471</v>
      </c>
      <c r="B8057" s="3" t="s">
        <v>7408</v>
      </c>
      <c r="C8057" s="5" t="s">
        <v>221</v>
      </c>
      <c r="D8057" s="3" t="s">
        <v>181</v>
      </c>
      <c r="E8057" s="3" t="s">
        <v>118</v>
      </c>
      <c r="F8057" s="7">
        <v>45905.2940096515</v>
      </c>
      <c r="G8057" s="3" t="s">
        <v>2774</v>
      </c>
    </row>
    <row r="8058">
      <c r="A8058" s="3" t="s">
        <v>22473</v>
      </c>
      <c r="B8058" s="3" t="s">
        <v>7410</v>
      </c>
      <c r="C8058" s="5" t="s">
        <v>45</v>
      </c>
      <c r="D8058" s="3" t="s">
        <v>221</v>
      </c>
      <c r="E8058" s="3" t="s">
        <v>186</v>
      </c>
      <c r="F8058" s="7">
        <v>45905.3617122747</v>
      </c>
      <c r="G8058" s="3" t="s">
        <v>22474</v>
      </c>
    </row>
    <row r="8059">
      <c r="A8059" s="3" t="s">
        <v>22476</v>
      </c>
      <c r="B8059" s="3" t="s">
        <v>7410</v>
      </c>
      <c r="C8059" s="5" t="s">
        <v>221</v>
      </c>
      <c r="D8059" s="3" t="s">
        <v>614</v>
      </c>
      <c r="E8059" s="3" t="s">
        <v>118</v>
      </c>
      <c r="F8059" s="7">
        <v>45905.36518449692</v>
      </c>
      <c r="G8059" s="3" t="s">
        <v>22477</v>
      </c>
    </row>
    <row r="8060">
      <c r="A8060" s="3" t="s">
        <v>22479</v>
      </c>
      <c r="B8060" s="3" t="s">
        <v>7410</v>
      </c>
      <c r="C8060" s="5" t="s">
        <v>614</v>
      </c>
      <c r="D8060" s="3" t="s">
        <v>206</v>
      </c>
      <c r="E8060" s="3" t="s">
        <v>100</v>
      </c>
      <c r="F8060" s="7">
        <v>45905.36865671915</v>
      </c>
      <c r="G8060" s="3" t="s">
        <v>22480</v>
      </c>
    </row>
    <row r="8061">
      <c r="A8061" s="3" t="s">
        <v>22481</v>
      </c>
      <c r="B8061" s="3" t="s">
        <v>7410</v>
      </c>
      <c r="C8061" s="5" t="s">
        <v>206</v>
      </c>
      <c r="D8061" s="3" t="s">
        <v>68</v>
      </c>
      <c r="E8061" s="3" t="s">
        <v>100</v>
      </c>
      <c r="F8061" s="7">
        <v>45905.372128941366</v>
      </c>
      <c r="G8061" s="3" t="s">
        <v>22483</v>
      </c>
    </row>
    <row r="8062">
      <c r="A8062" s="3" t="s">
        <v>22484</v>
      </c>
      <c r="B8062" s="3" t="s">
        <v>7412</v>
      </c>
      <c r="C8062" s="5" t="s">
        <v>45</v>
      </c>
      <c r="D8062" s="3" t="s">
        <v>221</v>
      </c>
      <c r="E8062" s="3" t="s">
        <v>404</v>
      </c>
      <c r="F8062" s="7">
        <v>45905.432887120114</v>
      </c>
      <c r="G8062" s="3" t="s">
        <v>4985</v>
      </c>
    </row>
    <row r="8063">
      <c r="A8063" s="3" t="s">
        <v>22486</v>
      </c>
      <c r="B8063" s="3" t="s">
        <v>7412</v>
      </c>
      <c r="C8063" s="5" t="s">
        <v>221</v>
      </c>
      <c r="D8063" s="3" t="s">
        <v>614</v>
      </c>
      <c r="E8063" s="3" t="s">
        <v>118</v>
      </c>
      <c r="F8063" s="7">
        <v>45905.43635934233</v>
      </c>
      <c r="G8063" s="3" t="s">
        <v>4988</v>
      </c>
    </row>
    <row r="8064">
      <c r="A8064" s="3" t="s">
        <v>22488</v>
      </c>
      <c r="B8064" s="3" t="s">
        <v>7412</v>
      </c>
      <c r="C8064" s="5" t="s">
        <v>614</v>
      </c>
      <c r="D8064" s="3" t="s">
        <v>206</v>
      </c>
      <c r="E8064" s="3" t="s">
        <v>100</v>
      </c>
      <c r="F8064" s="7">
        <v>45905.43983156456</v>
      </c>
      <c r="G8064" s="3" t="s">
        <v>4990</v>
      </c>
    </row>
    <row r="8065">
      <c r="A8065" s="3" t="s">
        <v>22490</v>
      </c>
      <c r="B8065" s="3" t="s">
        <v>7412</v>
      </c>
      <c r="C8065" s="5" t="s">
        <v>206</v>
      </c>
      <c r="D8065" s="3" t="s">
        <v>68</v>
      </c>
      <c r="E8065" s="3" t="s">
        <v>100</v>
      </c>
      <c r="F8065" s="7">
        <v>45905.44330378678</v>
      </c>
      <c r="G8065" s="3" t="s">
        <v>4993</v>
      </c>
    </row>
    <row r="8066">
      <c r="A8066" s="3" t="s">
        <v>22492</v>
      </c>
      <c r="B8066" s="3" t="s">
        <v>7415</v>
      </c>
      <c r="C8066" s="5" t="s">
        <v>45</v>
      </c>
      <c r="D8066" s="3" t="s">
        <v>221</v>
      </c>
      <c r="E8066" s="3" t="s">
        <v>398</v>
      </c>
      <c r="F8066" s="7">
        <v>45905.50406196553</v>
      </c>
      <c r="G8066" s="3" t="s">
        <v>20033</v>
      </c>
    </row>
    <row r="8067">
      <c r="A8067" s="3" t="s">
        <v>22494</v>
      </c>
      <c r="B8067" s="3" t="s">
        <v>7415</v>
      </c>
      <c r="C8067" s="5" t="s">
        <v>221</v>
      </c>
      <c r="D8067" s="3" t="s">
        <v>614</v>
      </c>
      <c r="E8067" s="3" t="s">
        <v>118</v>
      </c>
      <c r="F8067" s="7">
        <v>45905.507534187745</v>
      </c>
      <c r="G8067" s="3" t="s">
        <v>22496</v>
      </c>
    </row>
    <row r="8068">
      <c r="A8068" s="3" t="s">
        <v>22497</v>
      </c>
      <c r="B8068" s="3" t="s">
        <v>7415</v>
      </c>
      <c r="C8068" s="5" t="s">
        <v>614</v>
      </c>
      <c r="D8068" s="3" t="s">
        <v>206</v>
      </c>
      <c r="E8068" s="3" t="s">
        <v>100</v>
      </c>
      <c r="F8068" s="7">
        <v>45905.51100640997</v>
      </c>
      <c r="G8068" s="3" t="s">
        <v>22499</v>
      </c>
    </row>
    <row r="8069">
      <c r="A8069" s="3" t="s">
        <v>22500</v>
      </c>
      <c r="B8069" s="3" t="s">
        <v>7415</v>
      </c>
      <c r="C8069" s="5" t="s">
        <v>206</v>
      </c>
      <c r="D8069" s="3" t="s">
        <v>68</v>
      </c>
      <c r="E8069" s="3" t="s">
        <v>100</v>
      </c>
      <c r="F8069" s="7">
        <v>45905.51447863219</v>
      </c>
      <c r="G8069" s="3" t="s">
        <v>22502</v>
      </c>
    </row>
    <row r="8070">
      <c r="A8070" s="3" t="s">
        <v>22503</v>
      </c>
      <c r="B8070" s="3" t="s">
        <v>7420</v>
      </c>
      <c r="C8070" s="5" t="s">
        <v>45</v>
      </c>
      <c r="D8070" s="3" t="s">
        <v>221</v>
      </c>
      <c r="E8070" s="3" t="s">
        <v>662</v>
      </c>
      <c r="F8070" s="7">
        <v>45905.575236810946</v>
      </c>
      <c r="G8070" s="3" t="s">
        <v>22505</v>
      </c>
    </row>
    <row r="8071">
      <c r="A8071" s="3" t="s">
        <v>22506</v>
      </c>
      <c r="B8071" s="3" t="s">
        <v>7420</v>
      </c>
      <c r="C8071" s="5" t="s">
        <v>221</v>
      </c>
      <c r="D8071" s="3" t="s">
        <v>614</v>
      </c>
      <c r="E8071" s="3" t="s">
        <v>118</v>
      </c>
      <c r="F8071" s="7">
        <v>45905.578709033165</v>
      </c>
      <c r="G8071" s="3" t="s">
        <v>22508</v>
      </c>
    </row>
    <row r="8072">
      <c r="A8072" s="3" t="s">
        <v>22509</v>
      </c>
      <c r="B8072" s="3" t="s">
        <v>7420</v>
      </c>
      <c r="C8072" s="5" t="s">
        <v>614</v>
      </c>
      <c r="D8072" s="3" t="s">
        <v>206</v>
      </c>
      <c r="E8072" s="3" t="s">
        <v>100</v>
      </c>
      <c r="F8072" s="7">
        <v>45905.58218125539</v>
      </c>
      <c r="G8072" s="3" t="s">
        <v>22510</v>
      </c>
    </row>
    <row r="8073">
      <c r="A8073" s="3" t="s">
        <v>22512</v>
      </c>
      <c r="B8073" s="3" t="s">
        <v>7420</v>
      </c>
      <c r="C8073" s="5" t="s">
        <v>206</v>
      </c>
      <c r="D8073" s="3" t="s">
        <v>68</v>
      </c>
      <c r="E8073" s="3" t="s">
        <v>100</v>
      </c>
      <c r="F8073" s="7">
        <v>45905.58565347761</v>
      </c>
      <c r="G8073" s="3" t="s">
        <v>22513</v>
      </c>
    </row>
    <row r="8074">
      <c r="A8074" s="3" t="s">
        <v>22514</v>
      </c>
      <c r="B8074" s="3" t="s">
        <v>7423</v>
      </c>
      <c r="C8074" s="5" t="s">
        <v>45</v>
      </c>
      <c r="D8074" s="3" t="s">
        <v>221</v>
      </c>
      <c r="E8074" s="3" t="s">
        <v>934</v>
      </c>
      <c r="F8074" s="7">
        <v>45905.64641165636</v>
      </c>
      <c r="G8074" s="3" t="s">
        <v>5031</v>
      </c>
    </row>
    <row r="8075">
      <c r="A8075" s="3" t="s">
        <v>22516</v>
      </c>
      <c r="B8075" s="3" t="s">
        <v>7423</v>
      </c>
      <c r="C8075" s="5" t="s">
        <v>221</v>
      </c>
      <c r="D8075" s="3" t="s">
        <v>614</v>
      </c>
      <c r="E8075" s="3" t="s">
        <v>118</v>
      </c>
      <c r="F8075" s="7">
        <v>45905.64988387858</v>
      </c>
      <c r="G8075" s="3" t="s">
        <v>5034</v>
      </c>
    </row>
    <row r="8076">
      <c r="A8076" s="3" t="s">
        <v>22518</v>
      </c>
      <c r="B8076" s="3" t="s">
        <v>7423</v>
      </c>
      <c r="C8076" s="5" t="s">
        <v>614</v>
      </c>
      <c r="D8076" s="3" t="s">
        <v>206</v>
      </c>
      <c r="E8076" s="3" t="s">
        <v>100</v>
      </c>
      <c r="F8076" s="7">
        <v>45905.653356100804</v>
      </c>
      <c r="G8076" s="3" t="s">
        <v>5037</v>
      </c>
    </row>
    <row r="8077">
      <c r="A8077" s="3" t="s">
        <v>22520</v>
      </c>
      <c r="B8077" s="3" t="s">
        <v>7423</v>
      </c>
      <c r="C8077" s="5" t="s">
        <v>206</v>
      </c>
      <c r="D8077" s="3" t="s">
        <v>68</v>
      </c>
      <c r="E8077" s="3" t="s">
        <v>100</v>
      </c>
      <c r="F8077" s="7">
        <v>45905.65682832302</v>
      </c>
      <c r="G8077" s="3" t="s">
        <v>5040</v>
      </c>
    </row>
    <row r="8078">
      <c r="A8078" s="3" t="s">
        <v>22522</v>
      </c>
      <c r="B8078" s="3" t="s">
        <v>7426</v>
      </c>
      <c r="C8078" s="5" t="s">
        <v>45</v>
      </c>
      <c r="D8078" s="3" t="s">
        <v>221</v>
      </c>
      <c r="E8078" s="3" t="s">
        <v>752</v>
      </c>
      <c r="F8078" s="7">
        <v>45905.71758650177</v>
      </c>
      <c r="G8078" s="3" t="s">
        <v>5055</v>
      </c>
    </row>
    <row r="8079">
      <c r="A8079" s="3" t="s">
        <v>22524</v>
      </c>
      <c r="B8079" s="3" t="s">
        <v>7426</v>
      </c>
      <c r="C8079" s="5" t="s">
        <v>221</v>
      </c>
      <c r="D8079" s="3" t="s">
        <v>614</v>
      </c>
      <c r="E8079" s="3" t="s">
        <v>118</v>
      </c>
      <c r="F8079" s="7">
        <v>45905.72105872399</v>
      </c>
      <c r="G8079" s="3" t="s">
        <v>5058</v>
      </c>
    </row>
    <row r="8080">
      <c r="A8080" s="3" t="s">
        <v>22526</v>
      </c>
      <c r="B8080" s="3" t="s">
        <v>7426</v>
      </c>
      <c r="C8080" s="5" t="s">
        <v>614</v>
      </c>
      <c r="D8080" s="3" t="s">
        <v>206</v>
      </c>
      <c r="E8080" s="3" t="s">
        <v>100</v>
      </c>
      <c r="F8080" s="7">
        <v>45905.724530946216</v>
      </c>
      <c r="G8080" s="3" t="s">
        <v>5060</v>
      </c>
    </row>
    <row r="8081">
      <c r="A8081" s="3" t="s">
        <v>22528</v>
      </c>
      <c r="B8081" s="3" t="s">
        <v>7426</v>
      </c>
      <c r="C8081" s="5" t="s">
        <v>206</v>
      </c>
      <c r="D8081" s="3" t="s">
        <v>68</v>
      </c>
      <c r="E8081" s="3" t="s">
        <v>100</v>
      </c>
      <c r="F8081" s="7">
        <v>45905.728003168435</v>
      </c>
      <c r="G8081" s="3" t="s">
        <v>5063</v>
      </c>
    </row>
    <row r="8082">
      <c r="A8082" s="3" t="s">
        <v>22530</v>
      </c>
      <c r="B8082" s="3" t="s">
        <v>7429</v>
      </c>
      <c r="C8082" s="5" t="s">
        <v>45</v>
      </c>
      <c r="D8082" s="3" t="s">
        <v>221</v>
      </c>
      <c r="E8082" s="3" t="s">
        <v>830</v>
      </c>
      <c r="F8082" s="7">
        <v>45905.78876134719</v>
      </c>
      <c r="G8082" s="3" t="s">
        <v>22532</v>
      </c>
    </row>
    <row r="8083">
      <c r="A8083" s="3" t="s">
        <v>22533</v>
      </c>
      <c r="B8083" s="3" t="s">
        <v>7429</v>
      </c>
      <c r="C8083" s="5" t="s">
        <v>221</v>
      </c>
      <c r="D8083" s="3" t="s">
        <v>614</v>
      </c>
      <c r="E8083" s="3" t="s">
        <v>118</v>
      </c>
      <c r="F8083" s="7">
        <v>45905.79223356941</v>
      </c>
      <c r="G8083" s="3" t="s">
        <v>22534</v>
      </c>
    </row>
    <row r="8084">
      <c r="A8084" s="3" t="s">
        <v>22536</v>
      </c>
      <c r="B8084" s="3" t="s">
        <v>7429</v>
      </c>
      <c r="C8084" s="5" t="s">
        <v>614</v>
      </c>
      <c r="D8084" s="3" t="s">
        <v>206</v>
      </c>
      <c r="E8084" s="3" t="s">
        <v>100</v>
      </c>
      <c r="F8084" s="7">
        <v>45905.795705791636</v>
      </c>
      <c r="G8084" s="3" t="s">
        <v>22537</v>
      </c>
    </row>
    <row r="8085">
      <c r="A8085" s="3" t="s">
        <v>22539</v>
      </c>
      <c r="B8085" s="3" t="s">
        <v>7429</v>
      </c>
      <c r="C8085" s="5" t="s">
        <v>206</v>
      </c>
      <c r="D8085" s="3" t="s">
        <v>68</v>
      </c>
      <c r="E8085" s="3" t="s">
        <v>100</v>
      </c>
      <c r="F8085" s="7">
        <v>45905.799178013855</v>
      </c>
      <c r="G8085" s="3" t="s">
        <v>22540</v>
      </c>
    </row>
    <row r="8086">
      <c r="A8086" s="3" t="s">
        <v>22542</v>
      </c>
      <c r="B8086" s="3" t="s">
        <v>7432</v>
      </c>
      <c r="C8086" s="5" t="s">
        <v>45</v>
      </c>
      <c r="D8086" s="3" t="s">
        <v>221</v>
      </c>
      <c r="E8086" s="3" t="s">
        <v>523</v>
      </c>
      <c r="F8086" s="7">
        <v>45905.85993619261</v>
      </c>
      <c r="G8086" s="3" t="s">
        <v>22543</v>
      </c>
    </row>
    <row r="8087">
      <c r="A8087" s="3" t="s">
        <v>22544</v>
      </c>
      <c r="B8087" s="3" t="s">
        <v>7432</v>
      </c>
      <c r="C8087" s="5" t="s">
        <v>221</v>
      </c>
      <c r="D8087" s="3" t="s">
        <v>614</v>
      </c>
      <c r="E8087" s="3" t="s">
        <v>118</v>
      </c>
      <c r="F8087" s="7">
        <v>45905.86340841483</v>
      </c>
      <c r="G8087" s="3" t="s">
        <v>22546</v>
      </c>
    </row>
    <row r="8088">
      <c r="A8088" s="3" t="s">
        <v>22547</v>
      </c>
      <c r="B8088" s="3" t="s">
        <v>7432</v>
      </c>
      <c r="C8088" s="5" t="s">
        <v>614</v>
      </c>
      <c r="D8088" s="3" t="s">
        <v>206</v>
      </c>
      <c r="E8088" s="3" t="s">
        <v>100</v>
      </c>
      <c r="F8088" s="7">
        <v>45905.866880637055</v>
      </c>
      <c r="G8088" s="3" t="s">
        <v>22549</v>
      </c>
    </row>
    <row r="8089">
      <c r="A8089" s="3" t="s">
        <v>22550</v>
      </c>
      <c r="B8089" s="3" t="s">
        <v>7432</v>
      </c>
      <c r="C8089" s="5" t="s">
        <v>206</v>
      </c>
      <c r="D8089" s="3" t="s">
        <v>68</v>
      </c>
      <c r="E8089" s="3" t="s">
        <v>100</v>
      </c>
      <c r="F8089" s="7">
        <v>45905.870352859274</v>
      </c>
      <c r="G8089" s="3" t="s">
        <v>22552</v>
      </c>
    </row>
    <row r="8090">
      <c r="A8090" s="3" t="s">
        <v>22553</v>
      </c>
      <c r="B8090" s="3" t="s">
        <v>7436</v>
      </c>
      <c r="C8090" s="5" t="s">
        <v>45</v>
      </c>
      <c r="D8090" s="3" t="s">
        <v>221</v>
      </c>
      <c r="E8090" s="3" t="s">
        <v>883</v>
      </c>
      <c r="F8090" s="7">
        <v>45905.931111038015</v>
      </c>
      <c r="G8090" s="3" t="s">
        <v>10964</v>
      </c>
    </row>
    <row r="8091">
      <c r="A8091" s="3" t="s">
        <v>22555</v>
      </c>
      <c r="B8091" s="3" t="s">
        <v>7436</v>
      </c>
      <c r="C8091" s="5" t="s">
        <v>221</v>
      </c>
      <c r="D8091" s="3" t="s">
        <v>614</v>
      </c>
      <c r="E8091" s="3" t="s">
        <v>118</v>
      </c>
      <c r="F8091" s="7">
        <v>45905.934583260234</v>
      </c>
      <c r="G8091" s="3" t="s">
        <v>10967</v>
      </c>
    </row>
    <row r="8092">
      <c r="A8092" s="3" t="s">
        <v>22557</v>
      </c>
      <c r="B8092" s="3" t="s">
        <v>7436</v>
      </c>
      <c r="C8092" s="5" t="s">
        <v>614</v>
      </c>
      <c r="D8092" s="3" t="s">
        <v>206</v>
      </c>
      <c r="E8092" s="3" t="s">
        <v>100</v>
      </c>
      <c r="F8092" s="7">
        <v>45905.93805548246</v>
      </c>
      <c r="G8092" s="3" t="s">
        <v>10970</v>
      </c>
    </row>
    <row r="8093">
      <c r="A8093" s="3" t="s">
        <v>22559</v>
      </c>
      <c r="B8093" s="3" t="s">
        <v>7436</v>
      </c>
      <c r="C8093" s="5" t="s">
        <v>206</v>
      </c>
      <c r="D8093" s="3" t="s">
        <v>68</v>
      </c>
      <c r="E8093" s="3" t="s">
        <v>100</v>
      </c>
      <c r="F8093" s="7">
        <v>45905.94152770468</v>
      </c>
      <c r="G8093" s="3" t="s">
        <v>10973</v>
      </c>
    </row>
    <row r="8094">
      <c r="A8094" s="3" t="s">
        <v>22561</v>
      </c>
      <c r="B8094" s="3" t="s">
        <v>7439</v>
      </c>
      <c r="C8094" s="5" t="s">
        <v>45</v>
      </c>
      <c r="D8094" s="3" t="s">
        <v>221</v>
      </c>
      <c r="E8094" s="3" t="s">
        <v>586</v>
      </c>
      <c r="F8094" s="7">
        <v>45906.002285883435</v>
      </c>
      <c r="G8094" s="3" t="s">
        <v>5066</v>
      </c>
    </row>
    <row r="8095">
      <c r="A8095" s="3" t="s">
        <v>22564</v>
      </c>
      <c r="B8095" s="3" t="s">
        <v>7439</v>
      </c>
      <c r="C8095" s="5" t="s">
        <v>221</v>
      </c>
      <c r="D8095" s="3" t="s">
        <v>614</v>
      </c>
      <c r="E8095" s="3" t="s">
        <v>118</v>
      </c>
      <c r="F8095" s="7">
        <v>45906.00575810565</v>
      </c>
      <c r="G8095" s="3" t="s">
        <v>5069</v>
      </c>
    </row>
    <row r="8096">
      <c r="A8096" s="3" t="s">
        <v>22566</v>
      </c>
      <c r="B8096" s="3" t="s">
        <v>7439</v>
      </c>
      <c r="C8096" s="5" t="s">
        <v>614</v>
      </c>
      <c r="D8096" s="3" t="s">
        <v>206</v>
      </c>
      <c r="E8096" s="3" t="s">
        <v>100</v>
      </c>
      <c r="F8096" s="7">
        <v>45906.00923032788</v>
      </c>
      <c r="G8096" s="3" t="s">
        <v>5072</v>
      </c>
    </row>
    <row r="8097">
      <c r="A8097" s="3" t="s">
        <v>22567</v>
      </c>
      <c r="B8097" s="3" t="s">
        <v>7439</v>
      </c>
      <c r="C8097" s="5" t="s">
        <v>206</v>
      </c>
      <c r="D8097" s="3" t="s">
        <v>68</v>
      </c>
      <c r="E8097" s="3" t="s">
        <v>100</v>
      </c>
      <c r="F8097" s="7">
        <v>45906.0127025501</v>
      </c>
      <c r="G8097" s="3" t="s">
        <v>5074</v>
      </c>
    </row>
    <row r="8098">
      <c r="A8098" s="3" t="s">
        <v>22569</v>
      </c>
      <c r="B8098" s="3" t="s">
        <v>7443</v>
      </c>
      <c r="C8098" s="5" t="s">
        <v>45</v>
      </c>
      <c r="D8098" s="3" t="s">
        <v>221</v>
      </c>
      <c r="E8098" s="3" t="s">
        <v>243</v>
      </c>
      <c r="F8098" s="7">
        <v>45906.07346072885</v>
      </c>
      <c r="G8098" s="3" t="s">
        <v>22571</v>
      </c>
    </row>
    <row r="8099">
      <c r="A8099" s="3" t="s">
        <v>22572</v>
      </c>
      <c r="B8099" s="3" t="s">
        <v>7443</v>
      </c>
      <c r="C8099" s="5" t="s">
        <v>221</v>
      </c>
      <c r="D8099" s="3" t="s">
        <v>614</v>
      </c>
      <c r="E8099" s="3" t="s">
        <v>118</v>
      </c>
      <c r="F8099" s="7">
        <v>45906.076932951066</v>
      </c>
      <c r="G8099" s="3" t="s">
        <v>22574</v>
      </c>
    </row>
    <row r="8100">
      <c r="A8100" s="3" t="s">
        <v>22575</v>
      </c>
      <c r="B8100" s="3" t="s">
        <v>7443</v>
      </c>
      <c r="C8100" s="5" t="s">
        <v>614</v>
      </c>
      <c r="D8100" s="3" t="s">
        <v>206</v>
      </c>
      <c r="E8100" s="3" t="s">
        <v>100</v>
      </c>
      <c r="F8100" s="7">
        <v>45906.08040517329</v>
      </c>
      <c r="G8100" s="3" t="s">
        <v>22577</v>
      </c>
    </row>
    <row r="8101">
      <c r="A8101" s="3" t="s">
        <v>22578</v>
      </c>
      <c r="B8101" s="3" t="s">
        <v>7443</v>
      </c>
      <c r="C8101" s="5" t="s">
        <v>206</v>
      </c>
      <c r="D8101" s="3" t="s">
        <v>68</v>
      </c>
      <c r="E8101" s="3" t="s">
        <v>100</v>
      </c>
      <c r="F8101" s="7">
        <v>45906.08387739551</v>
      </c>
      <c r="G8101" s="3" t="s">
        <v>22580</v>
      </c>
    </row>
    <row r="8102">
      <c r="A8102" s="3" t="s">
        <v>22581</v>
      </c>
      <c r="B8102" s="3" t="s">
        <v>7446</v>
      </c>
      <c r="C8102" s="5" t="s">
        <v>45</v>
      </c>
      <c r="D8102" s="3" t="s">
        <v>221</v>
      </c>
      <c r="E8102" s="3" t="s">
        <v>524</v>
      </c>
      <c r="F8102" s="7">
        <v>45906.14463557427</v>
      </c>
      <c r="G8102" s="3" t="s">
        <v>5077</v>
      </c>
    </row>
    <row r="8103">
      <c r="A8103" s="3" t="s">
        <v>22583</v>
      </c>
      <c r="B8103" s="3" t="s">
        <v>7446</v>
      </c>
      <c r="C8103" s="5" t="s">
        <v>221</v>
      </c>
      <c r="D8103" s="3" t="s">
        <v>614</v>
      </c>
      <c r="E8103" s="3" t="s">
        <v>118</v>
      </c>
      <c r="F8103" s="7">
        <v>45906.148107796485</v>
      </c>
      <c r="G8103" s="3" t="s">
        <v>5080</v>
      </c>
    </row>
    <row r="8104">
      <c r="A8104" s="3" t="s">
        <v>22585</v>
      </c>
      <c r="B8104" s="3" t="s">
        <v>7446</v>
      </c>
      <c r="C8104" s="5" t="s">
        <v>614</v>
      </c>
      <c r="D8104" s="3" t="s">
        <v>206</v>
      </c>
      <c r="E8104" s="3" t="s">
        <v>100</v>
      </c>
      <c r="F8104" s="7">
        <v>45906.15158001871</v>
      </c>
      <c r="G8104" s="3" t="s">
        <v>5083</v>
      </c>
    </row>
    <row r="8105">
      <c r="A8105" s="3" t="s">
        <v>22587</v>
      </c>
      <c r="B8105" s="3" t="s">
        <v>7446</v>
      </c>
      <c r="C8105" s="5" t="s">
        <v>206</v>
      </c>
      <c r="D8105" s="3" t="s">
        <v>68</v>
      </c>
      <c r="E8105" s="3" t="s">
        <v>100</v>
      </c>
      <c r="F8105" s="7">
        <v>45906.15505224093</v>
      </c>
      <c r="G8105" s="3" t="s">
        <v>5086</v>
      </c>
    </row>
    <row r="8106">
      <c r="A8106" s="3" t="s">
        <v>22589</v>
      </c>
      <c r="B8106" s="3" t="s">
        <v>7449</v>
      </c>
      <c r="C8106" s="5" t="s">
        <v>45</v>
      </c>
      <c r="D8106" s="3" t="s">
        <v>221</v>
      </c>
      <c r="E8106" s="3" t="s">
        <v>908</v>
      </c>
      <c r="F8106" s="7">
        <v>45906.21581041968</v>
      </c>
      <c r="G8106" s="3" t="s">
        <v>6857</v>
      </c>
    </row>
    <row r="8107">
      <c r="A8107" s="3" t="s">
        <v>22591</v>
      </c>
      <c r="B8107" s="3" t="s">
        <v>7449</v>
      </c>
      <c r="C8107" s="5" t="s">
        <v>221</v>
      </c>
      <c r="D8107" s="3" t="s">
        <v>614</v>
      </c>
      <c r="E8107" s="3" t="s">
        <v>118</v>
      </c>
      <c r="F8107" s="7">
        <v>45906.2192826419</v>
      </c>
      <c r="G8107" s="3" t="s">
        <v>6859</v>
      </c>
    </row>
    <row r="8108">
      <c r="A8108" s="3" t="s">
        <v>22593</v>
      </c>
      <c r="B8108" s="3" t="s">
        <v>7449</v>
      </c>
      <c r="C8108" s="5" t="s">
        <v>614</v>
      </c>
      <c r="D8108" s="3" t="s">
        <v>206</v>
      </c>
      <c r="E8108" s="3" t="s">
        <v>100</v>
      </c>
      <c r="F8108" s="7">
        <v>45906.222754864124</v>
      </c>
      <c r="G8108" s="3" t="s">
        <v>6862</v>
      </c>
    </row>
    <row r="8109">
      <c r="A8109" s="3" t="s">
        <v>22595</v>
      </c>
      <c r="B8109" s="3" t="s">
        <v>7449</v>
      </c>
      <c r="C8109" s="5" t="s">
        <v>206</v>
      </c>
      <c r="D8109" s="3" t="s">
        <v>68</v>
      </c>
      <c r="E8109" s="3" t="s">
        <v>100</v>
      </c>
      <c r="F8109" s="7">
        <v>45906.22622708634</v>
      </c>
      <c r="G8109" s="3" t="s">
        <v>6865</v>
      </c>
    </row>
    <row r="8110">
      <c r="A8110" s="3" t="s">
        <v>22597</v>
      </c>
      <c r="B8110" s="3" t="s">
        <v>7452</v>
      </c>
      <c r="C8110" s="5" t="s">
        <v>45</v>
      </c>
      <c r="D8110" s="3" t="s">
        <v>221</v>
      </c>
      <c r="E8110" s="3" t="s">
        <v>363</v>
      </c>
      <c r="F8110" s="7">
        <v>45906.2869852651</v>
      </c>
      <c r="G8110" s="3" t="s">
        <v>11404</v>
      </c>
    </row>
    <row r="8111">
      <c r="A8111" s="3" t="s">
        <v>22599</v>
      </c>
      <c r="B8111" s="3" t="s">
        <v>7452</v>
      </c>
      <c r="C8111" s="5" t="s">
        <v>221</v>
      </c>
      <c r="D8111" s="3" t="s">
        <v>614</v>
      </c>
      <c r="E8111" s="3" t="s">
        <v>118</v>
      </c>
      <c r="F8111" s="7">
        <v>45906.29045748732</v>
      </c>
      <c r="G8111" s="3" t="s">
        <v>11407</v>
      </c>
    </row>
    <row r="8112">
      <c r="A8112" s="3" t="s">
        <v>22601</v>
      </c>
      <c r="B8112" s="3" t="s">
        <v>7452</v>
      </c>
      <c r="C8112" s="5" t="s">
        <v>614</v>
      </c>
      <c r="D8112" s="3" t="s">
        <v>206</v>
      </c>
      <c r="E8112" s="3" t="s">
        <v>100</v>
      </c>
      <c r="F8112" s="7">
        <v>45906.29392970954</v>
      </c>
      <c r="G8112" s="3" t="s">
        <v>11410</v>
      </c>
    </row>
    <row r="8113">
      <c r="A8113" s="3" t="s">
        <v>22603</v>
      </c>
      <c r="B8113" s="3" t="s">
        <v>7452</v>
      </c>
      <c r="C8113" s="5" t="s">
        <v>206</v>
      </c>
      <c r="D8113" s="3" t="s">
        <v>68</v>
      </c>
      <c r="E8113" s="3" t="s">
        <v>100</v>
      </c>
      <c r="F8113" s="7">
        <v>45906.29740193176</v>
      </c>
      <c r="G8113" s="3" t="s">
        <v>11413</v>
      </c>
    </row>
    <row r="8114">
      <c r="A8114" s="3" t="s">
        <v>22605</v>
      </c>
      <c r="B8114" s="3" t="s">
        <v>7455</v>
      </c>
      <c r="C8114" s="5" t="s">
        <v>45</v>
      </c>
      <c r="D8114" s="3" t="s">
        <v>221</v>
      </c>
      <c r="E8114" s="3" t="s">
        <v>616</v>
      </c>
      <c r="F8114" s="7">
        <v>45906.35816011051</v>
      </c>
      <c r="G8114" s="3" t="s">
        <v>21937</v>
      </c>
    </row>
    <row r="8115">
      <c r="A8115" s="3" t="s">
        <v>22607</v>
      </c>
      <c r="B8115" s="3" t="s">
        <v>7455</v>
      </c>
      <c r="C8115" s="5" t="s">
        <v>221</v>
      </c>
      <c r="D8115" s="3" t="s">
        <v>614</v>
      </c>
      <c r="E8115" s="3" t="s">
        <v>118</v>
      </c>
      <c r="F8115" s="7">
        <v>45906.36163233273</v>
      </c>
      <c r="G8115" s="3" t="s">
        <v>21940</v>
      </c>
    </row>
    <row r="8116">
      <c r="A8116" s="3" t="s">
        <v>22609</v>
      </c>
      <c r="B8116" s="3" t="s">
        <v>7455</v>
      </c>
      <c r="C8116" s="5" t="s">
        <v>614</v>
      </c>
      <c r="D8116" s="3" t="s">
        <v>206</v>
      </c>
      <c r="E8116" s="3" t="s">
        <v>100</v>
      </c>
      <c r="F8116" s="7">
        <v>45906.365104554956</v>
      </c>
      <c r="G8116" s="3" t="s">
        <v>21942</v>
      </c>
    </row>
    <row r="8117">
      <c r="A8117" s="3" t="s">
        <v>22611</v>
      </c>
      <c r="B8117" s="3" t="s">
        <v>7455</v>
      </c>
      <c r="C8117" s="5" t="s">
        <v>206</v>
      </c>
      <c r="D8117" s="3" t="s">
        <v>68</v>
      </c>
      <c r="E8117" s="3" t="s">
        <v>100</v>
      </c>
      <c r="F8117" s="7">
        <v>45906.368576777175</v>
      </c>
      <c r="G8117" s="3" t="s">
        <v>21945</v>
      </c>
    </row>
    <row r="8118">
      <c r="A8118" s="3" t="s">
        <v>22613</v>
      </c>
      <c r="B8118" s="3" t="s">
        <v>7458</v>
      </c>
      <c r="C8118" s="5" t="s">
        <v>45</v>
      </c>
      <c r="D8118" s="3" t="s">
        <v>221</v>
      </c>
      <c r="E8118" s="3" t="s">
        <v>183</v>
      </c>
      <c r="F8118" s="7">
        <v>45906.42933495592</v>
      </c>
      <c r="G8118" s="3" t="s">
        <v>22614</v>
      </c>
    </row>
    <row r="8119">
      <c r="A8119" s="3" t="s">
        <v>22616</v>
      </c>
      <c r="B8119" s="3" t="s">
        <v>7458</v>
      </c>
      <c r="C8119" s="5" t="s">
        <v>221</v>
      </c>
      <c r="D8119" s="3" t="s">
        <v>614</v>
      </c>
      <c r="E8119" s="3" t="s">
        <v>118</v>
      </c>
      <c r="F8119" s="7">
        <v>45906.43280717814</v>
      </c>
      <c r="G8119" s="3" t="s">
        <v>22617</v>
      </c>
    </row>
    <row r="8120">
      <c r="A8120" s="3" t="s">
        <v>22619</v>
      </c>
      <c r="B8120" s="3" t="s">
        <v>7458</v>
      </c>
      <c r="C8120" s="5" t="s">
        <v>614</v>
      </c>
      <c r="D8120" s="3" t="s">
        <v>206</v>
      </c>
      <c r="E8120" s="3" t="s">
        <v>100</v>
      </c>
      <c r="F8120" s="7">
        <v>45906.43627940037</v>
      </c>
      <c r="G8120" s="3" t="s">
        <v>22620</v>
      </c>
    </row>
    <row r="8121">
      <c r="A8121" s="3" t="s">
        <v>22621</v>
      </c>
      <c r="B8121" s="3" t="s">
        <v>7458</v>
      </c>
      <c r="C8121" s="5" t="s">
        <v>206</v>
      </c>
      <c r="D8121" s="3" t="s">
        <v>68</v>
      </c>
      <c r="E8121" s="3" t="s">
        <v>100</v>
      </c>
      <c r="F8121" s="7">
        <v>45906.43975162259</v>
      </c>
      <c r="G8121" s="3" t="s">
        <v>22623</v>
      </c>
    </row>
    <row r="8122">
      <c r="A8122" s="3" t="s">
        <v>22624</v>
      </c>
      <c r="B8122" s="3" t="s">
        <v>7462</v>
      </c>
      <c r="C8122" s="5" t="s">
        <v>45</v>
      </c>
      <c r="D8122" s="3" t="s">
        <v>221</v>
      </c>
      <c r="E8122" s="3" t="s">
        <v>260</v>
      </c>
      <c r="F8122" s="7">
        <v>45906.50050980134</v>
      </c>
      <c r="G8122" s="3" t="s">
        <v>5101</v>
      </c>
    </row>
    <row r="8123">
      <c r="A8123" s="3" t="s">
        <v>22625</v>
      </c>
      <c r="B8123" s="3" t="s">
        <v>7462</v>
      </c>
      <c r="C8123" s="5" t="s">
        <v>221</v>
      </c>
      <c r="D8123" s="3" t="s">
        <v>614</v>
      </c>
      <c r="E8123" s="3" t="s">
        <v>118</v>
      </c>
      <c r="F8123" s="7">
        <v>45906.50398202356</v>
      </c>
      <c r="G8123" s="3" t="s">
        <v>5104</v>
      </c>
    </row>
    <row r="8124">
      <c r="A8124" s="3" t="s">
        <v>22627</v>
      </c>
      <c r="B8124" s="3" t="s">
        <v>7462</v>
      </c>
      <c r="C8124" s="5" t="s">
        <v>614</v>
      </c>
      <c r="D8124" s="3" t="s">
        <v>206</v>
      </c>
      <c r="E8124" s="3" t="s">
        <v>100</v>
      </c>
      <c r="F8124" s="7">
        <v>45906.50745424579</v>
      </c>
      <c r="G8124" s="3" t="s">
        <v>5107</v>
      </c>
    </row>
    <row r="8125">
      <c r="A8125" s="3" t="s">
        <v>22629</v>
      </c>
      <c r="B8125" s="3" t="s">
        <v>7462</v>
      </c>
      <c r="C8125" s="5" t="s">
        <v>206</v>
      </c>
      <c r="D8125" s="3" t="s">
        <v>68</v>
      </c>
      <c r="E8125" s="3" t="s">
        <v>100</v>
      </c>
      <c r="F8125" s="7">
        <v>45906.51092646801</v>
      </c>
      <c r="G8125" s="3" t="s">
        <v>5110</v>
      </c>
    </row>
    <row r="8126">
      <c r="A8126" s="3" t="s">
        <v>22630</v>
      </c>
      <c r="B8126" s="3" t="s">
        <v>7465</v>
      </c>
      <c r="C8126" s="5" t="s">
        <v>45</v>
      </c>
      <c r="D8126" s="3" t="s">
        <v>221</v>
      </c>
      <c r="E8126" s="3" t="s">
        <v>913</v>
      </c>
      <c r="F8126" s="7">
        <v>45906.571684646755</v>
      </c>
      <c r="G8126" s="3" t="s">
        <v>11373</v>
      </c>
    </row>
    <row r="8127">
      <c r="A8127" s="3" t="s">
        <v>22632</v>
      </c>
      <c r="B8127" s="3" t="s">
        <v>7465</v>
      </c>
      <c r="C8127" s="5" t="s">
        <v>221</v>
      </c>
      <c r="D8127" s="3" t="s">
        <v>614</v>
      </c>
      <c r="E8127" s="3" t="s">
        <v>118</v>
      </c>
      <c r="F8127" s="7">
        <v>45906.575156868974</v>
      </c>
      <c r="G8127" s="3" t="s">
        <v>11376</v>
      </c>
    </row>
    <row r="8128">
      <c r="A8128" s="3" t="s">
        <v>22635</v>
      </c>
      <c r="B8128" s="3" t="s">
        <v>7465</v>
      </c>
      <c r="C8128" s="5" t="s">
        <v>614</v>
      </c>
      <c r="D8128" s="3" t="s">
        <v>206</v>
      </c>
      <c r="E8128" s="3" t="s">
        <v>100</v>
      </c>
      <c r="F8128" s="7">
        <v>45906.5786290912</v>
      </c>
      <c r="G8128" s="3" t="s">
        <v>11378</v>
      </c>
    </row>
    <row r="8129">
      <c r="A8129" s="3" t="s">
        <v>22637</v>
      </c>
      <c r="B8129" s="3" t="s">
        <v>7465</v>
      </c>
      <c r="C8129" s="5" t="s">
        <v>206</v>
      </c>
      <c r="D8129" s="3" t="s">
        <v>68</v>
      </c>
      <c r="E8129" s="3" t="s">
        <v>100</v>
      </c>
      <c r="F8129" s="7">
        <v>45906.58210131342</v>
      </c>
      <c r="G8129" s="3" t="s">
        <v>11381</v>
      </c>
    </row>
    <row r="8130">
      <c r="A8130" s="3" t="s">
        <v>22639</v>
      </c>
      <c r="B8130" s="3" t="s">
        <v>7468</v>
      </c>
      <c r="C8130" s="5" t="s">
        <v>45</v>
      </c>
      <c r="D8130" s="3" t="s">
        <v>221</v>
      </c>
      <c r="E8130" s="3" t="s">
        <v>575</v>
      </c>
      <c r="F8130" s="7">
        <v>45906.64285949217</v>
      </c>
      <c r="G8130" s="3" t="s">
        <v>22641</v>
      </c>
    </row>
    <row r="8131">
      <c r="A8131" s="3" t="s">
        <v>22642</v>
      </c>
      <c r="B8131" s="3" t="s">
        <v>7468</v>
      </c>
      <c r="C8131" s="5" t="s">
        <v>221</v>
      </c>
      <c r="D8131" s="3" t="s">
        <v>614</v>
      </c>
      <c r="E8131" s="3" t="s">
        <v>118</v>
      </c>
      <c r="F8131" s="7">
        <v>45906.646331714386</v>
      </c>
      <c r="G8131" s="3" t="s">
        <v>22644</v>
      </c>
    </row>
    <row r="8132">
      <c r="A8132" s="3" t="s">
        <v>22645</v>
      </c>
      <c r="B8132" s="3" t="s">
        <v>7468</v>
      </c>
      <c r="C8132" s="5" t="s">
        <v>614</v>
      </c>
      <c r="D8132" s="3" t="s">
        <v>206</v>
      </c>
      <c r="E8132" s="3" t="s">
        <v>100</v>
      </c>
      <c r="F8132" s="7">
        <v>45906.64980393661</v>
      </c>
      <c r="G8132" s="3" t="s">
        <v>22647</v>
      </c>
    </row>
    <row r="8133">
      <c r="A8133" s="3" t="s">
        <v>22648</v>
      </c>
      <c r="B8133" s="3" t="s">
        <v>7468</v>
      </c>
      <c r="C8133" s="5" t="s">
        <v>206</v>
      </c>
      <c r="D8133" s="3" t="s">
        <v>68</v>
      </c>
      <c r="E8133" s="3" t="s">
        <v>100</v>
      </c>
      <c r="F8133" s="7">
        <v>45906.65327615883</v>
      </c>
      <c r="G8133" s="3" t="s">
        <v>22650</v>
      </c>
    </row>
    <row r="8134">
      <c r="A8134" s="3" t="s">
        <v>22651</v>
      </c>
      <c r="B8134" s="3" t="s">
        <v>7472</v>
      </c>
      <c r="C8134" s="5" t="s">
        <v>45</v>
      </c>
      <c r="D8134" s="3" t="s">
        <v>221</v>
      </c>
      <c r="E8134" s="3" t="s">
        <v>455</v>
      </c>
      <c r="F8134" s="7">
        <v>45906.71403433759</v>
      </c>
      <c r="G8134" s="3" t="s">
        <v>11235</v>
      </c>
    </row>
    <row r="8135">
      <c r="A8135" s="3" t="s">
        <v>22653</v>
      </c>
      <c r="B8135" s="3" t="s">
        <v>7472</v>
      </c>
      <c r="C8135" s="5" t="s">
        <v>221</v>
      </c>
      <c r="D8135" s="3" t="s">
        <v>181</v>
      </c>
      <c r="E8135" s="3" t="s">
        <v>118</v>
      </c>
      <c r="F8135" s="7">
        <v>45906.717506559806</v>
      </c>
      <c r="G8135" s="3" t="s">
        <v>14988</v>
      </c>
    </row>
    <row r="8136">
      <c r="A8136" s="3" t="s">
        <v>22655</v>
      </c>
      <c r="B8136" s="3" t="s">
        <v>7475</v>
      </c>
      <c r="C8136" s="5" t="s">
        <v>45</v>
      </c>
      <c r="D8136" s="3" t="s">
        <v>221</v>
      </c>
      <c r="E8136" s="3" t="s">
        <v>1008</v>
      </c>
      <c r="F8136" s="7">
        <v>45906.785209183</v>
      </c>
      <c r="G8136" s="3" t="s">
        <v>18591</v>
      </c>
    </row>
    <row r="8137">
      <c r="A8137" s="3" t="s">
        <v>22657</v>
      </c>
      <c r="B8137" s="3" t="s">
        <v>7475</v>
      </c>
      <c r="C8137" s="5" t="s">
        <v>221</v>
      </c>
      <c r="D8137" s="3" t="s">
        <v>614</v>
      </c>
      <c r="E8137" s="3" t="s">
        <v>118</v>
      </c>
      <c r="F8137" s="7">
        <v>45906.78868140522</v>
      </c>
      <c r="G8137" s="3" t="s">
        <v>18594</v>
      </c>
    </row>
    <row r="8138">
      <c r="A8138" s="3" t="s">
        <v>22659</v>
      </c>
      <c r="B8138" s="3" t="s">
        <v>7475</v>
      </c>
      <c r="C8138" s="5" t="s">
        <v>614</v>
      </c>
      <c r="D8138" s="3" t="s">
        <v>206</v>
      </c>
      <c r="E8138" s="3" t="s">
        <v>100</v>
      </c>
      <c r="F8138" s="7">
        <v>45906.792153627444</v>
      </c>
      <c r="G8138" s="3" t="s">
        <v>18597</v>
      </c>
    </row>
    <row r="8139">
      <c r="A8139" s="3" t="s">
        <v>22661</v>
      </c>
      <c r="B8139" s="3" t="s">
        <v>7475</v>
      </c>
      <c r="C8139" s="5" t="s">
        <v>206</v>
      </c>
      <c r="D8139" s="3" t="s">
        <v>68</v>
      </c>
      <c r="E8139" s="3" t="s">
        <v>100</v>
      </c>
      <c r="F8139" s="7">
        <v>45906.79562584966</v>
      </c>
      <c r="G8139" s="3" t="s">
        <v>18599</v>
      </c>
    </row>
    <row r="8140">
      <c r="A8140" s="3" t="s">
        <v>22663</v>
      </c>
      <c r="B8140" s="3" t="s">
        <v>7478</v>
      </c>
      <c r="C8140" s="5" t="s">
        <v>45</v>
      </c>
      <c r="D8140" s="3" t="s">
        <v>221</v>
      </c>
      <c r="E8140" s="3" t="s">
        <v>601</v>
      </c>
      <c r="F8140" s="7">
        <v>45906.85638402841</v>
      </c>
      <c r="G8140" s="3" t="s">
        <v>5113</v>
      </c>
    </row>
    <row r="8141">
      <c r="A8141" s="3" t="s">
        <v>22665</v>
      </c>
      <c r="B8141" s="3" t="s">
        <v>7478</v>
      </c>
      <c r="C8141" s="5" t="s">
        <v>221</v>
      </c>
      <c r="D8141" s="3" t="s">
        <v>614</v>
      </c>
      <c r="E8141" s="3" t="s">
        <v>118</v>
      </c>
      <c r="F8141" s="7">
        <v>45906.85985625063</v>
      </c>
      <c r="G8141" s="3" t="s">
        <v>5116</v>
      </c>
    </row>
    <row r="8142">
      <c r="A8142" s="3" t="s">
        <v>22667</v>
      </c>
      <c r="B8142" s="3" t="s">
        <v>7478</v>
      </c>
      <c r="C8142" s="5" t="s">
        <v>614</v>
      </c>
      <c r="D8142" s="3" t="s">
        <v>206</v>
      </c>
      <c r="E8142" s="3" t="s">
        <v>100</v>
      </c>
      <c r="F8142" s="7">
        <v>45906.86332847286</v>
      </c>
      <c r="G8142" s="3" t="s">
        <v>5119</v>
      </c>
    </row>
    <row r="8143">
      <c r="A8143" s="3" t="s">
        <v>22669</v>
      </c>
      <c r="B8143" s="3" t="s">
        <v>7478</v>
      </c>
      <c r="C8143" s="5" t="s">
        <v>206</v>
      </c>
      <c r="D8143" s="3" t="s">
        <v>68</v>
      </c>
      <c r="E8143" s="3" t="s">
        <v>100</v>
      </c>
      <c r="F8143" s="7">
        <v>45906.866800695076</v>
      </c>
      <c r="G8143" s="3" t="s">
        <v>5122</v>
      </c>
    </row>
    <row r="8144">
      <c r="A8144" s="3" t="s">
        <v>22670</v>
      </c>
      <c r="B8144" s="3" t="s">
        <v>7481</v>
      </c>
      <c r="C8144" s="5" t="s">
        <v>45</v>
      </c>
      <c r="D8144" s="3" t="s">
        <v>221</v>
      </c>
      <c r="E8144" s="3" t="s">
        <v>498</v>
      </c>
      <c r="F8144" s="7">
        <v>45906.92755887383</v>
      </c>
      <c r="G8144" s="3" t="s">
        <v>8850</v>
      </c>
    </row>
    <row r="8145">
      <c r="A8145" s="3" t="s">
        <v>22672</v>
      </c>
      <c r="B8145" s="3" t="s">
        <v>7481</v>
      </c>
      <c r="C8145" s="5" t="s">
        <v>221</v>
      </c>
      <c r="D8145" s="3" t="s">
        <v>614</v>
      </c>
      <c r="E8145" s="3" t="s">
        <v>118</v>
      </c>
      <c r="F8145" s="7">
        <v>45906.93103109605</v>
      </c>
      <c r="G8145" s="3" t="s">
        <v>8853</v>
      </c>
    </row>
    <row r="8146">
      <c r="A8146" s="3" t="s">
        <v>22674</v>
      </c>
      <c r="B8146" s="3" t="s">
        <v>7481</v>
      </c>
      <c r="C8146" s="5" t="s">
        <v>614</v>
      </c>
      <c r="D8146" s="3" t="s">
        <v>206</v>
      </c>
      <c r="E8146" s="3" t="s">
        <v>100</v>
      </c>
      <c r="F8146" s="7">
        <v>45906.934503318276</v>
      </c>
      <c r="G8146" s="3" t="s">
        <v>8856</v>
      </c>
    </row>
    <row r="8147">
      <c r="A8147" s="3" t="s">
        <v>22676</v>
      </c>
      <c r="B8147" s="3" t="s">
        <v>7481</v>
      </c>
      <c r="C8147" s="5" t="s">
        <v>206</v>
      </c>
      <c r="D8147" s="3" t="s">
        <v>68</v>
      </c>
      <c r="E8147" s="3" t="s">
        <v>100</v>
      </c>
      <c r="F8147" s="7">
        <v>45906.937975540495</v>
      </c>
      <c r="G8147" s="3" t="s">
        <v>8859</v>
      </c>
    </row>
    <row r="8148">
      <c r="A8148" s="3" t="s">
        <v>22678</v>
      </c>
      <c r="B8148" s="3" t="s">
        <v>7484</v>
      </c>
      <c r="C8148" s="5" t="s">
        <v>45</v>
      </c>
      <c r="D8148" s="3" t="s">
        <v>221</v>
      </c>
      <c r="E8148" s="3" t="s">
        <v>230</v>
      </c>
      <c r="F8148" s="7">
        <v>45906.99873371925</v>
      </c>
      <c r="G8148" s="3" t="s">
        <v>15734</v>
      </c>
    </row>
    <row r="8149">
      <c r="A8149" s="3" t="s">
        <v>22680</v>
      </c>
      <c r="B8149" s="3" t="s">
        <v>7484</v>
      </c>
      <c r="C8149" s="5" t="s">
        <v>221</v>
      </c>
      <c r="D8149" s="3" t="s">
        <v>614</v>
      </c>
      <c r="E8149" s="3" t="s">
        <v>118</v>
      </c>
      <c r="F8149" s="7">
        <v>45907.00220594147</v>
      </c>
      <c r="G8149" s="3" t="s">
        <v>15737</v>
      </c>
    </row>
    <row r="8150">
      <c r="A8150" s="3" t="s">
        <v>22682</v>
      </c>
      <c r="B8150" s="3" t="s">
        <v>7484</v>
      </c>
      <c r="C8150" s="5" t="s">
        <v>614</v>
      </c>
      <c r="D8150" s="3" t="s">
        <v>206</v>
      </c>
      <c r="E8150" s="3" t="s">
        <v>100</v>
      </c>
      <c r="F8150" s="7">
        <v>45907.005678163696</v>
      </c>
      <c r="G8150" s="3" t="s">
        <v>15740</v>
      </c>
    </row>
    <row r="8151">
      <c r="A8151" s="3" t="s">
        <v>22684</v>
      </c>
      <c r="B8151" s="3" t="s">
        <v>7484</v>
      </c>
      <c r="C8151" s="5" t="s">
        <v>206</v>
      </c>
      <c r="D8151" s="3" t="s">
        <v>68</v>
      </c>
      <c r="E8151" s="3" t="s">
        <v>100</v>
      </c>
      <c r="F8151" s="7">
        <v>45907.009150385915</v>
      </c>
      <c r="G8151" s="3" t="s">
        <v>15743</v>
      </c>
    </row>
    <row r="8152">
      <c r="A8152" s="3" t="s">
        <v>22686</v>
      </c>
      <c r="B8152" s="3" t="s">
        <v>7487</v>
      </c>
      <c r="C8152" s="5" t="s">
        <v>45</v>
      </c>
      <c r="D8152" s="3" t="s">
        <v>221</v>
      </c>
      <c r="E8152" s="3" t="s">
        <v>468</v>
      </c>
      <c r="F8152" s="7">
        <v>45907.069908564656</v>
      </c>
      <c r="G8152" s="3" t="s">
        <v>10975</v>
      </c>
    </row>
    <row r="8153">
      <c r="A8153" s="3" t="s">
        <v>22688</v>
      </c>
      <c r="B8153" s="3" t="s">
        <v>7487</v>
      </c>
      <c r="C8153" s="5" t="s">
        <v>221</v>
      </c>
      <c r="D8153" s="3" t="s">
        <v>614</v>
      </c>
      <c r="E8153" s="3" t="s">
        <v>118</v>
      </c>
      <c r="F8153" s="7">
        <v>45907.073380786875</v>
      </c>
      <c r="G8153" s="3" t="s">
        <v>10978</v>
      </c>
    </row>
    <row r="8154">
      <c r="A8154" s="3" t="s">
        <v>22690</v>
      </c>
      <c r="B8154" s="3" t="s">
        <v>7487</v>
      </c>
      <c r="C8154" s="5" t="s">
        <v>614</v>
      </c>
      <c r="D8154" s="3" t="s">
        <v>206</v>
      </c>
      <c r="E8154" s="3" t="s">
        <v>100</v>
      </c>
      <c r="F8154" s="7">
        <v>45907.0768530091</v>
      </c>
      <c r="G8154" s="3" t="s">
        <v>10981</v>
      </c>
    </row>
    <row r="8155">
      <c r="A8155" s="3" t="s">
        <v>22692</v>
      </c>
      <c r="B8155" s="3" t="s">
        <v>7487</v>
      </c>
      <c r="C8155" s="5" t="s">
        <v>206</v>
      </c>
      <c r="D8155" s="3" t="s">
        <v>68</v>
      </c>
      <c r="E8155" s="3" t="s">
        <v>100</v>
      </c>
      <c r="F8155" s="7">
        <v>45907.08032523132</v>
      </c>
      <c r="G8155" s="3" t="s">
        <v>10984</v>
      </c>
    </row>
    <row r="8156">
      <c r="A8156" s="3" t="s">
        <v>22694</v>
      </c>
      <c r="B8156" s="3" t="s">
        <v>7490</v>
      </c>
      <c r="C8156" s="5" t="s">
        <v>45</v>
      </c>
      <c r="D8156" s="3" t="s">
        <v>221</v>
      </c>
      <c r="E8156" s="3" t="s">
        <v>678</v>
      </c>
      <c r="F8156" s="7">
        <v>45907.141083410075</v>
      </c>
      <c r="G8156" s="3" t="s">
        <v>18415</v>
      </c>
    </row>
    <row r="8157">
      <c r="A8157" s="3" t="s">
        <v>22696</v>
      </c>
      <c r="B8157" s="3" t="s">
        <v>7490</v>
      </c>
      <c r="C8157" s="5" t="s">
        <v>221</v>
      </c>
      <c r="D8157" s="3" t="s">
        <v>614</v>
      </c>
      <c r="E8157" s="3" t="s">
        <v>118</v>
      </c>
      <c r="F8157" s="7">
        <v>45907.144555632294</v>
      </c>
      <c r="G8157" s="3" t="s">
        <v>22698</v>
      </c>
    </row>
    <row r="8158">
      <c r="A8158" s="3" t="s">
        <v>22699</v>
      </c>
      <c r="B8158" s="3" t="s">
        <v>7490</v>
      </c>
      <c r="C8158" s="5" t="s">
        <v>614</v>
      </c>
      <c r="D8158" s="3" t="s">
        <v>206</v>
      </c>
      <c r="E8158" s="3" t="s">
        <v>100</v>
      </c>
      <c r="F8158" s="7">
        <v>45907.14802785452</v>
      </c>
      <c r="G8158" s="3" t="s">
        <v>22701</v>
      </c>
    </row>
    <row r="8159">
      <c r="A8159" s="3" t="s">
        <v>22702</v>
      </c>
      <c r="B8159" s="3" t="s">
        <v>7490</v>
      </c>
      <c r="C8159" s="5" t="s">
        <v>206</v>
      </c>
      <c r="D8159" s="3" t="s">
        <v>68</v>
      </c>
      <c r="E8159" s="3" t="s">
        <v>100</v>
      </c>
      <c r="F8159" s="7">
        <v>45907.15150007674</v>
      </c>
      <c r="G8159" s="3" t="s">
        <v>22703</v>
      </c>
    </row>
    <row r="8160">
      <c r="A8160" s="3" t="s">
        <v>22705</v>
      </c>
      <c r="B8160" s="3" t="s">
        <v>7493</v>
      </c>
      <c r="C8160" s="5" t="s">
        <v>45</v>
      </c>
      <c r="D8160" s="3" t="s">
        <v>221</v>
      </c>
      <c r="E8160" s="3" t="s">
        <v>501</v>
      </c>
      <c r="F8160" s="7">
        <v>45907.212258255495</v>
      </c>
      <c r="G8160" s="3" t="s">
        <v>5125</v>
      </c>
    </row>
    <row r="8161">
      <c r="A8161" s="3" t="s">
        <v>22707</v>
      </c>
      <c r="B8161" s="3" t="s">
        <v>7493</v>
      </c>
      <c r="C8161" s="5" t="s">
        <v>221</v>
      </c>
      <c r="D8161" s="3" t="s">
        <v>614</v>
      </c>
      <c r="E8161" s="3" t="s">
        <v>118</v>
      </c>
      <c r="F8161" s="7">
        <v>45907.215730477714</v>
      </c>
      <c r="G8161" s="3" t="s">
        <v>5128</v>
      </c>
    </row>
    <row r="8162">
      <c r="A8162" s="3" t="s">
        <v>22708</v>
      </c>
      <c r="B8162" s="3" t="s">
        <v>7493</v>
      </c>
      <c r="C8162" s="5" t="s">
        <v>614</v>
      </c>
      <c r="D8162" s="3" t="s">
        <v>206</v>
      </c>
      <c r="E8162" s="3" t="s">
        <v>100</v>
      </c>
      <c r="F8162" s="7">
        <v>45907.21920269994</v>
      </c>
      <c r="G8162" s="3" t="s">
        <v>5131</v>
      </c>
    </row>
    <row r="8163">
      <c r="A8163" s="3" t="s">
        <v>22710</v>
      </c>
      <c r="B8163" s="3" t="s">
        <v>7493</v>
      </c>
      <c r="C8163" s="5" t="s">
        <v>206</v>
      </c>
      <c r="D8163" s="3" t="s">
        <v>68</v>
      </c>
      <c r="E8163" s="3" t="s">
        <v>100</v>
      </c>
      <c r="F8163" s="7">
        <v>45907.22267492216</v>
      </c>
      <c r="G8163" s="3" t="s">
        <v>5134</v>
      </c>
    </row>
    <row r="8164">
      <c r="A8164" s="3" t="s">
        <v>22712</v>
      </c>
      <c r="B8164" s="3" t="s">
        <v>7498</v>
      </c>
      <c r="C8164" s="5" t="s">
        <v>45</v>
      </c>
      <c r="D8164" s="3" t="s">
        <v>221</v>
      </c>
      <c r="E8164" s="3" t="s">
        <v>290</v>
      </c>
      <c r="F8164" s="7">
        <v>45907.28343310091</v>
      </c>
      <c r="G8164" s="3" t="s">
        <v>15520</v>
      </c>
    </row>
    <row r="8165">
      <c r="A8165" s="3" t="s">
        <v>22714</v>
      </c>
      <c r="B8165" s="3" t="s">
        <v>7498</v>
      </c>
      <c r="C8165" s="5" t="s">
        <v>221</v>
      </c>
      <c r="D8165" s="3" t="s">
        <v>614</v>
      </c>
      <c r="E8165" s="3" t="s">
        <v>118</v>
      </c>
      <c r="F8165" s="7">
        <v>45907.286905323126</v>
      </c>
      <c r="G8165" s="3" t="s">
        <v>15523</v>
      </c>
    </row>
    <row r="8166">
      <c r="A8166" s="3" t="s">
        <v>22716</v>
      </c>
      <c r="B8166" s="3" t="s">
        <v>7498</v>
      </c>
      <c r="C8166" s="5" t="s">
        <v>614</v>
      </c>
      <c r="D8166" s="3" t="s">
        <v>206</v>
      </c>
      <c r="E8166" s="3" t="s">
        <v>100</v>
      </c>
      <c r="F8166" s="7">
        <v>45907.29037754535</v>
      </c>
      <c r="G8166" s="3" t="s">
        <v>15526</v>
      </c>
    </row>
    <row r="8167">
      <c r="A8167" s="3" t="s">
        <v>22718</v>
      </c>
      <c r="B8167" s="3" t="s">
        <v>7498</v>
      </c>
      <c r="C8167" s="5" t="s">
        <v>206</v>
      </c>
      <c r="D8167" s="3" t="s">
        <v>68</v>
      </c>
      <c r="E8167" s="3" t="s">
        <v>100</v>
      </c>
      <c r="F8167" s="7">
        <v>45907.29384976757</v>
      </c>
      <c r="G8167" s="3" t="s">
        <v>15528</v>
      </c>
    </row>
    <row r="8168">
      <c r="A8168" s="3" t="s">
        <v>22720</v>
      </c>
      <c r="B8168" s="3" t="s">
        <v>7501</v>
      </c>
      <c r="C8168" s="5" t="s">
        <v>45</v>
      </c>
      <c r="D8168" s="3" t="s">
        <v>221</v>
      </c>
      <c r="E8168" s="3" t="s">
        <v>906</v>
      </c>
      <c r="F8168" s="7">
        <v>45907.35460794632</v>
      </c>
      <c r="G8168" s="3" t="s">
        <v>22722</v>
      </c>
    </row>
    <row r="8169">
      <c r="A8169" s="3" t="s">
        <v>22723</v>
      </c>
      <c r="B8169" s="3" t="s">
        <v>7501</v>
      </c>
      <c r="C8169" s="5" t="s">
        <v>221</v>
      </c>
      <c r="D8169" s="3" t="s">
        <v>614</v>
      </c>
      <c r="E8169" s="3" t="s">
        <v>118</v>
      </c>
      <c r="F8169" s="7">
        <v>45907.35808016854</v>
      </c>
      <c r="G8169" s="3" t="s">
        <v>22724</v>
      </c>
    </row>
    <row r="8170">
      <c r="A8170" s="3" t="s">
        <v>22726</v>
      </c>
      <c r="B8170" s="3" t="s">
        <v>7501</v>
      </c>
      <c r="C8170" s="5" t="s">
        <v>614</v>
      </c>
      <c r="D8170" s="3" t="s">
        <v>206</v>
      </c>
      <c r="E8170" s="3" t="s">
        <v>100</v>
      </c>
      <c r="F8170" s="7">
        <v>45907.361552390765</v>
      </c>
      <c r="G8170" s="3" t="s">
        <v>22727</v>
      </c>
    </row>
    <row r="8171">
      <c r="A8171" s="3" t="s">
        <v>22729</v>
      </c>
      <c r="B8171" s="3" t="s">
        <v>7501</v>
      </c>
      <c r="C8171" s="5" t="s">
        <v>206</v>
      </c>
      <c r="D8171" s="3" t="s">
        <v>68</v>
      </c>
      <c r="E8171" s="3" t="s">
        <v>100</v>
      </c>
      <c r="F8171" s="7">
        <v>45907.365024612984</v>
      </c>
      <c r="G8171" s="3" t="s">
        <v>22730</v>
      </c>
    </row>
    <row r="8172">
      <c r="A8172" s="3" t="s">
        <v>22732</v>
      </c>
      <c r="B8172" s="3" t="s">
        <v>7504</v>
      </c>
      <c r="C8172" s="5" t="s">
        <v>45</v>
      </c>
      <c r="D8172" s="3" t="s">
        <v>221</v>
      </c>
      <c r="E8172" s="3" t="s">
        <v>629</v>
      </c>
      <c r="F8172" s="7">
        <v>45907.42578279174</v>
      </c>
      <c r="G8172" s="3" t="s">
        <v>12226</v>
      </c>
    </row>
    <row r="8173">
      <c r="A8173" s="3" t="s">
        <v>22734</v>
      </c>
      <c r="B8173" s="3" t="s">
        <v>7504</v>
      </c>
      <c r="C8173" s="5" t="s">
        <v>221</v>
      </c>
      <c r="D8173" s="3" t="s">
        <v>614</v>
      </c>
      <c r="E8173" s="3" t="s">
        <v>118</v>
      </c>
      <c r="F8173" s="7">
        <v>45907.42925501396</v>
      </c>
      <c r="G8173" s="3" t="s">
        <v>12229</v>
      </c>
    </row>
    <row r="8174">
      <c r="A8174" s="3" t="s">
        <v>22736</v>
      </c>
      <c r="B8174" s="3" t="s">
        <v>7504</v>
      </c>
      <c r="C8174" s="5" t="s">
        <v>614</v>
      </c>
      <c r="D8174" s="3" t="s">
        <v>206</v>
      </c>
      <c r="E8174" s="3" t="s">
        <v>100</v>
      </c>
      <c r="F8174" s="7">
        <v>45907.432727236184</v>
      </c>
      <c r="G8174" s="3" t="s">
        <v>12232</v>
      </c>
    </row>
    <row r="8175">
      <c r="A8175" s="3" t="s">
        <v>22737</v>
      </c>
      <c r="B8175" s="3" t="s">
        <v>7504</v>
      </c>
      <c r="C8175" s="5" t="s">
        <v>206</v>
      </c>
      <c r="D8175" s="3" t="s">
        <v>68</v>
      </c>
      <c r="E8175" s="3" t="s">
        <v>100</v>
      </c>
      <c r="F8175" s="7">
        <v>45907.4361994584</v>
      </c>
      <c r="G8175" s="3" t="s">
        <v>12235</v>
      </c>
    </row>
    <row r="8176">
      <c r="A8176" s="3" t="s">
        <v>22739</v>
      </c>
      <c r="B8176" s="3" t="s">
        <v>7507</v>
      </c>
      <c r="C8176" s="5" t="s">
        <v>45</v>
      </c>
      <c r="D8176" s="3" t="s">
        <v>221</v>
      </c>
      <c r="E8176" s="3" t="s">
        <v>767</v>
      </c>
      <c r="F8176" s="7">
        <v>45907.49695763715</v>
      </c>
      <c r="G8176" s="3" t="s">
        <v>5159</v>
      </c>
    </row>
    <row r="8177">
      <c r="A8177" s="3" t="s">
        <v>22741</v>
      </c>
      <c r="B8177" s="3" t="s">
        <v>7507</v>
      </c>
      <c r="C8177" s="5" t="s">
        <v>221</v>
      </c>
      <c r="D8177" s="3" t="s">
        <v>614</v>
      </c>
      <c r="E8177" s="3" t="s">
        <v>118</v>
      </c>
      <c r="F8177" s="7">
        <v>45907.50042985937</v>
      </c>
      <c r="G8177" s="3" t="s">
        <v>5162</v>
      </c>
    </row>
    <row r="8178">
      <c r="A8178" s="3" t="s">
        <v>22743</v>
      </c>
      <c r="B8178" s="3" t="s">
        <v>7507</v>
      </c>
      <c r="C8178" s="5" t="s">
        <v>614</v>
      </c>
      <c r="D8178" s="3" t="s">
        <v>206</v>
      </c>
      <c r="E8178" s="3" t="s">
        <v>100</v>
      </c>
      <c r="F8178" s="7">
        <v>45907.5039020816</v>
      </c>
      <c r="G8178" s="3" t="s">
        <v>5165</v>
      </c>
    </row>
    <row r="8179">
      <c r="A8179" s="3" t="s">
        <v>22745</v>
      </c>
      <c r="B8179" s="3" t="s">
        <v>7507</v>
      </c>
      <c r="C8179" s="5" t="s">
        <v>206</v>
      </c>
      <c r="D8179" s="3" t="s">
        <v>68</v>
      </c>
      <c r="E8179" s="3" t="s">
        <v>100</v>
      </c>
      <c r="F8179" s="7">
        <v>45907.507374303816</v>
      </c>
      <c r="G8179" s="3" t="s">
        <v>5168</v>
      </c>
    </row>
    <row r="8180">
      <c r="A8180" s="3" t="s">
        <v>22747</v>
      </c>
      <c r="B8180" s="3" t="s">
        <v>7510</v>
      </c>
      <c r="C8180" s="5" t="s">
        <v>45</v>
      </c>
      <c r="D8180" s="3" t="s">
        <v>221</v>
      </c>
      <c r="E8180" s="3" t="s">
        <v>800</v>
      </c>
      <c r="F8180" s="7">
        <v>45907.568132482564</v>
      </c>
      <c r="G8180" s="3" t="s">
        <v>5177</v>
      </c>
    </row>
    <row r="8181">
      <c r="A8181" s="3" t="s">
        <v>22749</v>
      </c>
      <c r="B8181" s="3" t="s">
        <v>7510</v>
      </c>
      <c r="C8181" s="5" t="s">
        <v>221</v>
      </c>
      <c r="D8181" s="3" t="s">
        <v>614</v>
      </c>
      <c r="E8181" s="3" t="s">
        <v>118</v>
      </c>
      <c r="F8181" s="7">
        <v>45907.57160470478</v>
      </c>
      <c r="G8181" s="3" t="s">
        <v>5180</v>
      </c>
    </row>
    <row r="8182">
      <c r="A8182" s="3" t="s">
        <v>22751</v>
      </c>
      <c r="B8182" s="3" t="s">
        <v>7510</v>
      </c>
      <c r="C8182" s="5" t="s">
        <v>614</v>
      </c>
      <c r="D8182" s="3" t="s">
        <v>206</v>
      </c>
      <c r="E8182" s="3" t="s">
        <v>100</v>
      </c>
      <c r="F8182" s="7">
        <v>45907.57507692701</v>
      </c>
      <c r="G8182" s="3" t="s">
        <v>5183</v>
      </c>
    </row>
    <row r="8183">
      <c r="A8183" s="3" t="s">
        <v>22753</v>
      </c>
      <c r="B8183" s="3" t="s">
        <v>7510</v>
      </c>
      <c r="C8183" s="5" t="s">
        <v>206</v>
      </c>
      <c r="D8183" s="3" t="s">
        <v>68</v>
      </c>
      <c r="E8183" s="3" t="s">
        <v>100</v>
      </c>
      <c r="F8183" s="7">
        <v>45907.57854914923</v>
      </c>
      <c r="G8183" s="3" t="s">
        <v>5186</v>
      </c>
    </row>
    <row r="8184">
      <c r="A8184" s="3" t="s">
        <v>22755</v>
      </c>
      <c r="B8184" s="3" t="s">
        <v>7513</v>
      </c>
      <c r="C8184" s="5" t="s">
        <v>45</v>
      </c>
      <c r="D8184" s="3" t="s">
        <v>221</v>
      </c>
      <c r="E8184" s="3" t="s">
        <v>344</v>
      </c>
      <c r="F8184" s="7">
        <v>45907.63930732798</v>
      </c>
      <c r="G8184" s="3" t="s">
        <v>6749</v>
      </c>
    </row>
    <row r="8185">
      <c r="A8185" s="3" t="s">
        <v>22757</v>
      </c>
      <c r="B8185" s="3" t="s">
        <v>7513</v>
      </c>
      <c r="C8185" s="5" t="s">
        <v>221</v>
      </c>
      <c r="D8185" s="3" t="s">
        <v>614</v>
      </c>
      <c r="E8185" s="3" t="s">
        <v>118</v>
      </c>
      <c r="F8185" s="7">
        <v>45907.6427795502</v>
      </c>
      <c r="G8185" s="3" t="s">
        <v>6752</v>
      </c>
    </row>
    <row r="8186">
      <c r="A8186" s="3" t="s">
        <v>22758</v>
      </c>
      <c r="B8186" s="3" t="s">
        <v>7513</v>
      </c>
      <c r="C8186" s="5" t="s">
        <v>614</v>
      </c>
      <c r="D8186" s="3" t="s">
        <v>206</v>
      </c>
      <c r="E8186" s="3" t="s">
        <v>100</v>
      </c>
      <c r="F8186" s="7">
        <v>45907.64625177243</v>
      </c>
      <c r="G8186" s="3" t="s">
        <v>6755</v>
      </c>
    </row>
    <row r="8187">
      <c r="A8187" s="3" t="s">
        <v>22760</v>
      </c>
      <c r="B8187" s="3" t="s">
        <v>7513</v>
      </c>
      <c r="C8187" s="5" t="s">
        <v>206</v>
      </c>
      <c r="D8187" s="3" t="s">
        <v>68</v>
      </c>
      <c r="E8187" s="3" t="s">
        <v>100</v>
      </c>
      <c r="F8187" s="7">
        <v>45907.64972399465</v>
      </c>
      <c r="G8187" s="3" t="s">
        <v>6758</v>
      </c>
    </row>
    <row r="8188">
      <c r="A8188" s="3" t="s">
        <v>22762</v>
      </c>
      <c r="B8188" s="3" t="s">
        <v>7518</v>
      </c>
      <c r="C8188" s="5" t="s">
        <v>45</v>
      </c>
      <c r="D8188" s="3" t="s">
        <v>221</v>
      </c>
      <c r="E8188" s="3" t="s">
        <v>516</v>
      </c>
      <c r="F8188" s="7">
        <v>45907.710482173396</v>
      </c>
      <c r="G8188" s="3" t="s">
        <v>7866</v>
      </c>
    </row>
    <row r="8189">
      <c r="A8189" s="3" t="s">
        <v>22764</v>
      </c>
      <c r="B8189" s="3" t="s">
        <v>7518</v>
      </c>
      <c r="C8189" s="5" t="s">
        <v>221</v>
      </c>
      <c r="D8189" s="3" t="s">
        <v>195</v>
      </c>
      <c r="E8189" s="3" t="s">
        <v>516</v>
      </c>
      <c r="F8189" s="7">
        <v>45907.713954395615</v>
      </c>
      <c r="G8189" s="3" t="s">
        <v>22766</v>
      </c>
    </row>
    <row r="8190">
      <c r="A8190" s="3" t="s">
        <v>22767</v>
      </c>
      <c r="B8190" s="3" t="s">
        <v>7521</v>
      </c>
      <c r="C8190" s="5" t="s">
        <v>45</v>
      </c>
      <c r="D8190" s="3" t="s">
        <v>221</v>
      </c>
      <c r="E8190" s="3" t="s">
        <v>584</v>
      </c>
      <c r="F8190" s="7">
        <v>45907.78165701881</v>
      </c>
      <c r="G8190" s="3" t="s">
        <v>22769</v>
      </c>
    </row>
    <row r="8191">
      <c r="A8191" s="3" t="s">
        <v>22770</v>
      </c>
      <c r="B8191" s="3" t="s">
        <v>7521</v>
      </c>
      <c r="C8191" s="5" t="s">
        <v>221</v>
      </c>
      <c r="D8191" s="3" t="s">
        <v>614</v>
      </c>
      <c r="E8191" s="3" t="s">
        <v>118</v>
      </c>
      <c r="F8191" s="7">
        <v>45907.78512924103</v>
      </c>
      <c r="G8191" s="3" t="s">
        <v>22772</v>
      </c>
    </row>
    <row r="8192">
      <c r="A8192" s="3" t="s">
        <v>22773</v>
      </c>
      <c r="B8192" s="3" t="s">
        <v>7521</v>
      </c>
      <c r="C8192" s="5" t="s">
        <v>614</v>
      </c>
      <c r="D8192" s="3" t="s">
        <v>206</v>
      </c>
      <c r="E8192" s="3" t="s">
        <v>100</v>
      </c>
      <c r="F8192" s="7">
        <v>45907.78860146325</v>
      </c>
      <c r="G8192" s="3" t="s">
        <v>22775</v>
      </c>
    </row>
    <row r="8193">
      <c r="A8193" s="3" t="s">
        <v>22776</v>
      </c>
      <c r="B8193" s="3" t="s">
        <v>7521</v>
      </c>
      <c r="C8193" s="5" t="s">
        <v>206</v>
      </c>
      <c r="D8193" s="3" t="s">
        <v>68</v>
      </c>
      <c r="E8193" s="3" t="s">
        <v>100</v>
      </c>
      <c r="F8193" s="7">
        <v>45907.79207368547</v>
      </c>
      <c r="G8193" s="3" t="s">
        <v>22778</v>
      </c>
    </row>
    <row r="8194">
      <c r="A8194" s="3" t="s">
        <v>22779</v>
      </c>
      <c r="B8194" s="3" t="s">
        <v>7524</v>
      </c>
      <c r="C8194" s="5" t="s">
        <v>45</v>
      </c>
      <c r="D8194" s="3" t="s">
        <v>221</v>
      </c>
      <c r="E8194" s="3" t="s">
        <v>547</v>
      </c>
      <c r="F8194" s="7">
        <v>45907.85283186423</v>
      </c>
      <c r="G8194" s="3" t="s">
        <v>5221</v>
      </c>
    </row>
    <row r="8195">
      <c r="A8195" s="3" t="s">
        <v>22781</v>
      </c>
      <c r="B8195" s="3" t="s">
        <v>7524</v>
      </c>
      <c r="C8195" s="5" t="s">
        <v>221</v>
      </c>
      <c r="D8195" s="3" t="s">
        <v>614</v>
      </c>
      <c r="E8195" s="3" t="s">
        <v>118</v>
      </c>
      <c r="F8195" s="7">
        <v>45907.85630408645</v>
      </c>
      <c r="G8195" s="3" t="s">
        <v>5224</v>
      </c>
    </row>
    <row r="8196">
      <c r="A8196" s="3" t="s">
        <v>22783</v>
      </c>
      <c r="B8196" s="3" t="s">
        <v>7524</v>
      </c>
      <c r="C8196" s="5" t="s">
        <v>614</v>
      </c>
      <c r="D8196" s="3" t="s">
        <v>206</v>
      </c>
      <c r="E8196" s="3" t="s">
        <v>100</v>
      </c>
      <c r="F8196" s="7">
        <v>45907.85977630867</v>
      </c>
      <c r="G8196" s="3" t="s">
        <v>5226</v>
      </c>
    </row>
    <row r="8197">
      <c r="A8197" s="3" t="s">
        <v>22785</v>
      </c>
      <c r="B8197" s="3" t="s">
        <v>7524</v>
      </c>
      <c r="C8197" s="5" t="s">
        <v>206</v>
      </c>
      <c r="D8197" s="3" t="s">
        <v>68</v>
      </c>
      <c r="E8197" s="3" t="s">
        <v>100</v>
      </c>
      <c r="F8197" s="7">
        <v>45907.86324853089</v>
      </c>
      <c r="G8197" s="3" t="s">
        <v>5229</v>
      </c>
    </row>
    <row r="8198">
      <c r="A8198" s="3" t="s">
        <v>22787</v>
      </c>
      <c r="B8198" s="3" t="s">
        <v>7527</v>
      </c>
      <c r="C8198" s="5" t="s">
        <v>45</v>
      </c>
      <c r="D8198" s="3" t="s">
        <v>221</v>
      </c>
      <c r="E8198" s="3" t="s">
        <v>247</v>
      </c>
      <c r="F8198" s="7">
        <v>45907.92400670964</v>
      </c>
      <c r="G8198" s="3" t="s">
        <v>3318</v>
      </c>
    </row>
    <row r="8199">
      <c r="A8199" s="3" t="s">
        <v>22789</v>
      </c>
      <c r="B8199" s="3" t="s">
        <v>7527</v>
      </c>
      <c r="C8199" s="5" t="s">
        <v>221</v>
      </c>
      <c r="D8199" s="3" t="s">
        <v>614</v>
      </c>
      <c r="E8199" s="3" t="s">
        <v>118</v>
      </c>
      <c r="F8199" s="7">
        <v>45907.92747893186</v>
      </c>
      <c r="G8199" s="3" t="s">
        <v>3321</v>
      </c>
    </row>
    <row r="8200">
      <c r="A8200" s="3" t="s">
        <v>22791</v>
      </c>
      <c r="B8200" s="3" t="s">
        <v>7527</v>
      </c>
      <c r="C8200" s="5" t="s">
        <v>614</v>
      </c>
      <c r="D8200" s="3" t="s">
        <v>206</v>
      </c>
      <c r="E8200" s="3" t="s">
        <v>100</v>
      </c>
      <c r="F8200" s="7">
        <v>45907.930951154085</v>
      </c>
      <c r="G8200" s="3" t="s">
        <v>3324</v>
      </c>
    </row>
    <row r="8201">
      <c r="A8201" s="3" t="s">
        <v>22793</v>
      </c>
      <c r="B8201" s="3" t="s">
        <v>7527</v>
      </c>
      <c r="C8201" s="5" t="s">
        <v>206</v>
      </c>
      <c r="D8201" s="3" t="s">
        <v>68</v>
      </c>
      <c r="E8201" s="3" t="s">
        <v>100</v>
      </c>
      <c r="F8201" s="7">
        <v>45907.934423376304</v>
      </c>
      <c r="G8201" s="3" t="s">
        <v>3326</v>
      </c>
    </row>
    <row r="8202">
      <c r="A8202" s="3" t="s">
        <v>22795</v>
      </c>
      <c r="B8202" s="3" t="s">
        <v>7530</v>
      </c>
      <c r="C8202" s="5" t="s">
        <v>45</v>
      </c>
      <c r="D8202" s="3" t="s">
        <v>221</v>
      </c>
      <c r="E8202" s="3" t="s">
        <v>998</v>
      </c>
      <c r="F8202" s="7">
        <v>45907.99518155505</v>
      </c>
      <c r="G8202" s="3" t="s">
        <v>5232</v>
      </c>
    </row>
    <row r="8203">
      <c r="A8203" s="3" t="s">
        <v>22797</v>
      </c>
      <c r="B8203" s="3" t="s">
        <v>7530</v>
      </c>
      <c r="C8203" s="5" t="s">
        <v>221</v>
      </c>
      <c r="D8203" s="3" t="s">
        <v>614</v>
      </c>
      <c r="E8203" s="3" t="s">
        <v>118</v>
      </c>
      <c r="F8203" s="7">
        <v>45907.99865377727</v>
      </c>
      <c r="G8203" s="3" t="s">
        <v>5235</v>
      </c>
    </row>
    <row r="8204">
      <c r="A8204" s="3" t="s">
        <v>22799</v>
      </c>
      <c r="B8204" s="3" t="s">
        <v>7530</v>
      </c>
      <c r="C8204" s="5" t="s">
        <v>614</v>
      </c>
      <c r="D8204" s="3" t="s">
        <v>206</v>
      </c>
      <c r="E8204" s="3" t="s">
        <v>100</v>
      </c>
      <c r="F8204" s="7">
        <v>45908.0021259995</v>
      </c>
      <c r="G8204" s="3" t="s">
        <v>5238</v>
      </c>
    </row>
    <row r="8205">
      <c r="A8205" s="3" t="s">
        <v>22801</v>
      </c>
      <c r="B8205" s="3" t="s">
        <v>7530</v>
      </c>
      <c r="C8205" s="5" t="s">
        <v>206</v>
      </c>
      <c r="D8205" s="3" t="s">
        <v>68</v>
      </c>
      <c r="E8205" s="3" t="s">
        <v>100</v>
      </c>
      <c r="F8205" s="7">
        <v>45908.005598221716</v>
      </c>
      <c r="G8205" s="3" t="s">
        <v>5240</v>
      </c>
    </row>
    <row r="8206">
      <c r="A8206" s="3" t="s">
        <v>22803</v>
      </c>
      <c r="B8206" s="3" t="s">
        <v>7533</v>
      </c>
      <c r="C8206" s="5" t="s">
        <v>45</v>
      </c>
      <c r="D8206" s="3" t="s">
        <v>221</v>
      </c>
      <c r="E8206" s="3" t="s">
        <v>601</v>
      </c>
      <c r="F8206" s="7">
        <v>45908.06635640047</v>
      </c>
      <c r="G8206" s="3" t="s">
        <v>22804</v>
      </c>
    </row>
    <row r="8207">
      <c r="A8207" s="3" t="s">
        <v>22805</v>
      </c>
      <c r="B8207" s="3" t="s">
        <v>7533</v>
      </c>
      <c r="C8207" s="5" t="s">
        <v>221</v>
      </c>
      <c r="D8207" s="3" t="s">
        <v>614</v>
      </c>
      <c r="E8207" s="3" t="s">
        <v>118</v>
      </c>
      <c r="F8207" s="7">
        <v>45908.06982862269</v>
      </c>
      <c r="G8207" s="3" t="s">
        <v>22807</v>
      </c>
    </row>
    <row r="8208">
      <c r="A8208" s="3" t="s">
        <v>22808</v>
      </c>
      <c r="B8208" s="3" t="s">
        <v>7533</v>
      </c>
      <c r="C8208" s="5" t="s">
        <v>614</v>
      </c>
      <c r="D8208" s="3" t="s">
        <v>206</v>
      </c>
      <c r="E8208" s="3" t="s">
        <v>100</v>
      </c>
      <c r="F8208" s="7">
        <v>45908.07330084492</v>
      </c>
      <c r="G8208" s="3" t="s">
        <v>22810</v>
      </c>
    </row>
    <row r="8209">
      <c r="A8209" s="3" t="s">
        <v>22811</v>
      </c>
      <c r="B8209" s="3" t="s">
        <v>7533</v>
      </c>
      <c r="C8209" s="5" t="s">
        <v>206</v>
      </c>
      <c r="D8209" s="3" t="s">
        <v>68</v>
      </c>
      <c r="E8209" s="3" t="s">
        <v>100</v>
      </c>
      <c r="F8209" s="7">
        <v>45908.076773067136</v>
      </c>
      <c r="G8209" s="3" t="s">
        <v>22813</v>
      </c>
    </row>
    <row r="8210">
      <c r="A8210" s="3" t="s">
        <v>22814</v>
      </c>
      <c r="B8210" s="3" t="s">
        <v>7536</v>
      </c>
      <c r="C8210" s="5" t="s">
        <v>45</v>
      </c>
      <c r="D8210" s="3" t="s">
        <v>221</v>
      </c>
      <c r="E8210" s="3" t="s">
        <v>678</v>
      </c>
      <c r="F8210" s="7">
        <v>45908.13753124589</v>
      </c>
      <c r="G8210" s="3" t="s">
        <v>5244</v>
      </c>
    </row>
    <row r="8211">
      <c r="A8211" s="3" t="s">
        <v>22816</v>
      </c>
      <c r="B8211" s="3" t="s">
        <v>7536</v>
      </c>
      <c r="C8211" s="5" t="s">
        <v>221</v>
      </c>
      <c r="D8211" s="3" t="s">
        <v>614</v>
      </c>
      <c r="E8211" s="3" t="s">
        <v>118</v>
      </c>
      <c r="F8211" s="7">
        <v>45908.14100346811</v>
      </c>
      <c r="G8211" s="3" t="s">
        <v>5247</v>
      </c>
    </row>
    <row r="8212">
      <c r="A8212" s="3" t="s">
        <v>22818</v>
      </c>
      <c r="B8212" s="3" t="s">
        <v>7536</v>
      </c>
      <c r="C8212" s="5" t="s">
        <v>614</v>
      </c>
      <c r="D8212" s="3" t="s">
        <v>206</v>
      </c>
      <c r="E8212" s="3" t="s">
        <v>100</v>
      </c>
      <c r="F8212" s="7">
        <v>45908.14447569034</v>
      </c>
      <c r="G8212" s="3" t="s">
        <v>5250</v>
      </c>
    </row>
    <row r="8213">
      <c r="A8213" s="3" t="s">
        <v>22820</v>
      </c>
      <c r="B8213" s="3" t="s">
        <v>7536</v>
      </c>
      <c r="C8213" s="5" t="s">
        <v>206</v>
      </c>
      <c r="D8213" s="3" t="s">
        <v>68</v>
      </c>
      <c r="E8213" s="3" t="s">
        <v>100</v>
      </c>
      <c r="F8213" s="7">
        <v>45908.147947912556</v>
      </c>
      <c r="G8213" s="3" t="s">
        <v>5253</v>
      </c>
    </row>
    <row r="8214">
      <c r="A8214" s="3" t="s">
        <v>22822</v>
      </c>
      <c r="B8214" s="3" t="s">
        <v>7537</v>
      </c>
      <c r="C8214" s="5" t="s">
        <v>45</v>
      </c>
      <c r="D8214" s="3" t="s">
        <v>221</v>
      </c>
      <c r="E8214" s="3" t="s">
        <v>722</v>
      </c>
      <c r="F8214" s="7">
        <v>45908.208706091296</v>
      </c>
      <c r="G8214" s="3" t="s">
        <v>14712</v>
      </c>
    </row>
    <row r="8215">
      <c r="A8215" s="3" t="s">
        <v>22824</v>
      </c>
      <c r="B8215" s="3" t="s">
        <v>7537</v>
      </c>
      <c r="C8215" s="5" t="s">
        <v>221</v>
      </c>
      <c r="D8215" s="3" t="s">
        <v>614</v>
      </c>
      <c r="E8215" s="3" t="s">
        <v>118</v>
      </c>
      <c r="F8215" s="7">
        <v>45908.212178313515</v>
      </c>
      <c r="G8215" s="3" t="s">
        <v>14715</v>
      </c>
    </row>
    <row r="8216">
      <c r="A8216" s="3" t="s">
        <v>22826</v>
      </c>
      <c r="B8216" s="3" t="s">
        <v>7537</v>
      </c>
      <c r="C8216" s="5" t="s">
        <v>614</v>
      </c>
      <c r="D8216" s="3" t="s">
        <v>206</v>
      </c>
      <c r="E8216" s="3" t="s">
        <v>100</v>
      </c>
      <c r="F8216" s="7">
        <v>45908.21565053574</v>
      </c>
      <c r="G8216" s="3" t="s">
        <v>14718</v>
      </c>
    </row>
    <row r="8217">
      <c r="A8217" s="3" t="s">
        <v>22828</v>
      </c>
      <c r="B8217" s="3" t="s">
        <v>7537</v>
      </c>
      <c r="C8217" s="5" t="s">
        <v>206</v>
      </c>
      <c r="D8217" s="3" t="s">
        <v>68</v>
      </c>
      <c r="E8217" s="3" t="s">
        <v>100</v>
      </c>
      <c r="F8217" s="7">
        <v>45908.21912275796</v>
      </c>
      <c r="G8217" s="3" t="s">
        <v>14721</v>
      </c>
    </row>
    <row r="8218">
      <c r="A8218" s="3" t="s">
        <v>22830</v>
      </c>
      <c r="B8218" s="3" t="s">
        <v>7539</v>
      </c>
      <c r="C8218" s="5" t="s">
        <v>45</v>
      </c>
      <c r="D8218" s="3" t="s">
        <v>221</v>
      </c>
      <c r="E8218" s="3" t="s">
        <v>219</v>
      </c>
      <c r="F8218" s="7">
        <v>45908.279880936716</v>
      </c>
      <c r="G8218" s="3" t="s">
        <v>12106</v>
      </c>
    </row>
    <row r="8219">
      <c r="A8219" s="3" t="s">
        <v>22832</v>
      </c>
      <c r="B8219" s="3" t="s">
        <v>7539</v>
      </c>
      <c r="C8219" s="5" t="s">
        <v>221</v>
      </c>
      <c r="D8219" s="3" t="s">
        <v>614</v>
      </c>
      <c r="E8219" s="3" t="s">
        <v>118</v>
      </c>
      <c r="F8219" s="7">
        <v>45908.283353158935</v>
      </c>
      <c r="G8219" s="3" t="s">
        <v>20622</v>
      </c>
    </row>
    <row r="8220">
      <c r="A8220" s="3" t="s">
        <v>22834</v>
      </c>
      <c r="B8220" s="3" t="s">
        <v>7539</v>
      </c>
      <c r="C8220" s="5" t="s">
        <v>614</v>
      </c>
      <c r="D8220" s="3" t="s">
        <v>206</v>
      </c>
      <c r="E8220" s="3" t="s">
        <v>100</v>
      </c>
      <c r="F8220" s="7">
        <v>45908.28682538116</v>
      </c>
      <c r="G8220" s="3" t="s">
        <v>20625</v>
      </c>
    </row>
    <row r="8221">
      <c r="A8221" s="3" t="s">
        <v>22836</v>
      </c>
      <c r="B8221" s="3" t="s">
        <v>7539</v>
      </c>
      <c r="C8221" s="5" t="s">
        <v>206</v>
      </c>
      <c r="D8221" s="3" t="s">
        <v>68</v>
      </c>
      <c r="E8221" s="3" t="s">
        <v>100</v>
      </c>
      <c r="F8221" s="7">
        <v>45908.29029760338</v>
      </c>
      <c r="G8221" s="3" t="s">
        <v>20627</v>
      </c>
    </row>
    <row r="8222">
      <c r="A8222" s="3" t="s">
        <v>22838</v>
      </c>
      <c r="B8222" s="3" t="s">
        <v>7541</v>
      </c>
      <c r="C8222" s="5" t="s">
        <v>45</v>
      </c>
      <c r="D8222" s="3" t="s">
        <v>221</v>
      </c>
      <c r="E8222" s="3" t="s">
        <v>900</v>
      </c>
      <c r="F8222" s="7">
        <v>45908.351055782136</v>
      </c>
      <c r="G8222" s="3" t="s">
        <v>21641</v>
      </c>
    </row>
    <row r="8223">
      <c r="A8223" s="3" t="s">
        <v>22840</v>
      </c>
      <c r="B8223" s="3" t="s">
        <v>7541</v>
      </c>
      <c r="C8223" s="5" t="s">
        <v>221</v>
      </c>
      <c r="D8223" s="3" t="s">
        <v>181</v>
      </c>
      <c r="E8223" s="3" t="s">
        <v>118</v>
      </c>
      <c r="F8223" s="7">
        <v>45908.354528004355</v>
      </c>
      <c r="G8223" s="3" t="s">
        <v>21643</v>
      </c>
    </row>
    <row r="8224">
      <c r="A8224" s="3" t="s">
        <v>22842</v>
      </c>
      <c r="B8224" s="3" t="s">
        <v>7543</v>
      </c>
      <c r="C8224" s="5" t="s">
        <v>45</v>
      </c>
      <c r="D8224" s="3" t="s">
        <v>221</v>
      </c>
      <c r="E8224" s="3" t="s">
        <v>652</v>
      </c>
      <c r="F8224" s="7">
        <v>45908.42223062755</v>
      </c>
      <c r="G8224" s="3" t="s">
        <v>5256</v>
      </c>
    </row>
    <row r="8225">
      <c r="A8225" s="3" t="s">
        <v>22844</v>
      </c>
      <c r="B8225" s="3" t="s">
        <v>7543</v>
      </c>
      <c r="C8225" s="5" t="s">
        <v>221</v>
      </c>
      <c r="D8225" s="3" t="s">
        <v>614</v>
      </c>
      <c r="E8225" s="3" t="s">
        <v>118</v>
      </c>
      <c r="F8225" s="7">
        <v>45908.42570284977</v>
      </c>
      <c r="G8225" s="3" t="s">
        <v>5259</v>
      </c>
    </row>
    <row r="8226">
      <c r="A8226" s="3" t="s">
        <v>22845</v>
      </c>
      <c r="B8226" s="3" t="s">
        <v>7543</v>
      </c>
      <c r="C8226" s="5" t="s">
        <v>614</v>
      </c>
      <c r="D8226" s="3" t="s">
        <v>206</v>
      </c>
      <c r="E8226" s="3" t="s">
        <v>100</v>
      </c>
      <c r="F8226" s="7">
        <v>45908.42917507199</v>
      </c>
      <c r="G8226" s="3" t="s">
        <v>5262</v>
      </c>
    </row>
    <row r="8227">
      <c r="A8227" s="3" t="s">
        <v>22847</v>
      </c>
      <c r="B8227" s="3" t="s">
        <v>7543</v>
      </c>
      <c r="C8227" s="5" t="s">
        <v>206</v>
      </c>
      <c r="D8227" s="3" t="s">
        <v>68</v>
      </c>
      <c r="E8227" s="3" t="s">
        <v>100</v>
      </c>
      <c r="F8227" s="7">
        <v>45908.43264729421</v>
      </c>
      <c r="G8227" s="3" t="s">
        <v>5265</v>
      </c>
    </row>
    <row r="8228">
      <c r="A8228" s="3" t="s">
        <v>22849</v>
      </c>
      <c r="B8228" s="3" t="s">
        <v>7545</v>
      </c>
      <c r="C8228" s="5" t="s">
        <v>45</v>
      </c>
      <c r="D8228" s="3" t="s">
        <v>221</v>
      </c>
      <c r="E8228" s="3" t="s">
        <v>515</v>
      </c>
      <c r="F8228" s="7">
        <v>45908.49340547296</v>
      </c>
      <c r="G8228" s="3" t="s">
        <v>4973</v>
      </c>
    </row>
    <row r="8229">
      <c r="A8229" s="3" t="s">
        <v>22851</v>
      </c>
      <c r="B8229" s="3" t="s">
        <v>7545</v>
      </c>
      <c r="C8229" s="5" t="s">
        <v>221</v>
      </c>
      <c r="D8229" s="3" t="s">
        <v>614</v>
      </c>
      <c r="E8229" s="3" t="s">
        <v>118</v>
      </c>
      <c r="F8229" s="7">
        <v>45908.49687769518</v>
      </c>
      <c r="G8229" s="3" t="s">
        <v>4976</v>
      </c>
    </row>
    <row r="8230">
      <c r="A8230" s="3" t="s">
        <v>22853</v>
      </c>
      <c r="B8230" s="3" t="s">
        <v>7545</v>
      </c>
      <c r="C8230" s="5" t="s">
        <v>614</v>
      </c>
      <c r="D8230" s="3" t="s">
        <v>206</v>
      </c>
      <c r="E8230" s="3" t="s">
        <v>100</v>
      </c>
      <c r="F8230" s="7">
        <v>45908.500349917405</v>
      </c>
      <c r="G8230" s="3" t="s">
        <v>4979</v>
      </c>
    </row>
    <row r="8231">
      <c r="A8231" s="3" t="s">
        <v>22855</v>
      </c>
      <c r="B8231" s="3" t="s">
        <v>7545</v>
      </c>
      <c r="C8231" s="5" t="s">
        <v>206</v>
      </c>
      <c r="D8231" s="3" t="s">
        <v>68</v>
      </c>
      <c r="E8231" s="3" t="s">
        <v>100</v>
      </c>
      <c r="F8231" s="7">
        <v>45908.503822139624</v>
      </c>
      <c r="G8231" s="3" t="s">
        <v>4982</v>
      </c>
    </row>
    <row r="8232">
      <c r="A8232" s="3" t="s">
        <v>22857</v>
      </c>
      <c r="B8232" s="3" t="s">
        <v>7548</v>
      </c>
      <c r="C8232" s="5" t="s">
        <v>45</v>
      </c>
      <c r="D8232" s="3" t="s">
        <v>221</v>
      </c>
      <c r="E8232" s="3" t="s">
        <v>838</v>
      </c>
      <c r="F8232" s="7">
        <v>45908.56458031838</v>
      </c>
      <c r="G8232" s="3" t="s">
        <v>22859</v>
      </c>
    </row>
    <row r="8233">
      <c r="A8233" s="3" t="s">
        <v>22860</v>
      </c>
      <c r="B8233" s="3" t="s">
        <v>7548</v>
      </c>
      <c r="C8233" s="5" t="s">
        <v>221</v>
      </c>
      <c r="D8233" s="3" t="s">
        <v>181</v>
      </c>
      <c r="E8233" s="3" t="s">
        <v>118</v>
      </c>
      <c r="F8233" s="7">
        <v>45908.5680525406</v>
      </c>
      <c r="G8233" s="3" t="s">
        <v>22862</v>
      </c>
    </row>
    <row r="8234">
      <c r="A8234" s="3" t="s">
        <v>22863</v>
      </c>
      <c r="B8234" s="3" t="s">
        <v>7551</v>
      </c>
      <c r="C8234" s="5" t="s">
        <v>45</v>
      </c>
      <c r="D8234" s="3" t="s">
        <v>221</v>
      </c>
      <c r="E8234" s="3" t="s">
        <v>239</v>
      </c>
      <c r="F8234" s="7">
        <v>45908.63575516379</v>
      </c>
      <c r="G8234" s="3" t="s">
        <v>5268</v>
      </c>
    </row>
    <row r="8235">
      <c r="A8235" s="3" t="s">
        <v>22865</v>
      </c>
      <c r="B8235" s="3" t="s">
        <v>7551</v>
      </c>
      <c r="C8235" s="5" t="s">
        <v>221</v>
      </c>
      <c r="D8235" s="3" t="s">
        <v>614</v>
      </c>
      <c r="E8235" s="3" t="s">
        <v>118</v>
      </c>
      <c r="F8235" s="7">
        <v>45908.63922738601</v>
      </c>
      <c r="G8235" s="3" t="s">
        <v>5271</v>
      </c>
    </row>
    <row r="8236">
      <c r="A8236" s="3" t="s">
        <v>22867</v>
      </c>
      <c r="B8236" s="3" t="s">
        <v>7551</v>
      </c>
      <c r="C8236" s="5" t="s">
        <v>614</v>
      </c>
      <c r="D8236" s="3" t="s">
        <v>206</v>
      </c>
      <c r="E8236" s="3" t="s">
        <v>100</v>
      </c>
      <c r="F8236" s="7">
        <v>45908.64269960824</v>
      </c>
      <c r="G8236" s="3" t="s">
        <v>5274</v>
      </c>
    </row>
    <row r="8237">
      <c r="A8237" s="3" t="s">
        <v>22869</v>
      </c>
      <c r="B8237" s="3" t="s">
        <v>7551</v>
      </c>
      <c r="C8237" s="5" t="s">
        <v>206</v>
      </c>
      <c r="D8237" s="3" t="s">
        <v>68</v>
      </c>
      <c r="E8237" s="3" t="s">
        <v>100</v>
      </c>
      <c r="F8237" s="7">
        <v>45908.646171830456</v>
      </c>
      <c r="G8237" s="3" t="s">
        <v>5277</v>
      </c>
    </row>
    <row r="8238">
      <c r="A8238" s="3" t="s">
        <v>22871</v>
      </c>
      <c r="B8238" s="3" t="s">
        <v>7554</v>
      </c>
      <c r="C8238" s="5" t="s">
        <v>45</v>
      </c>
      <c r="D8238" s="3" t="s">
        <v>221</v>
      </c>
      <c r="E8238" s="3" t="s">
        <v>179</v>
      </c>
      <c r="F8238" s="7">
        <v>45908.706930009204</v>
      </c>
      <c r="G8238" s="3" t="s">
        <v>22872</v>
      </c>
    </row>
    <row r="8239">
      <c r="A8239" s="3" t="s">
        <v>22873</v>
      </c>
      <c r="B8239" s="3" t="s">
        <v>7554</v>
      </c>
      <c r="C8239" s="5" t="s">
        <v>221</v>
      </c>
      <c r="D8239" s="3" t="s">
        <v>614</v>
      </c>
      <c r="E8239" s="3" t="s">
        <v>118</v>
      </c>
      <c r="F8239" s="7">
        <v>45908.71040223142</v>
      </c>
      <c r="G8239" s="3" t="s">
        <v>22875</v>
      </c>
    </row>
    <row r="8240">
      <c r="A8240" s="3" t="s">
        <v>22876</v>
      </c>
      <c r="B8240" s="3" t="s">
        <v>7554</v>
      </c>
      <c r="C8240" s="5" t="s">
        <v>614</v>
      </c>
      <c r="D8240" s="3" t="s">
        <v>206</v>
      </c>
      <c r="E8240" s="3" t="s">
        <v>100</v>
      </c>
      <c r="F8240" s="7">
        <v>45908.71387445365</v>
      </c>
      <c r="G8240" s="3" t="s">
        <v>22878</v>
      </c>
    </row>
    <row r="8241">
      <c r="A8241" s="3" t="s">
        <v>22879</v>
      </c>
      <c r="B8241" s="3" t="s">
        <v>7554</v>
      </c>
      <c r="C8241" s="5" t="s">
        <v>206</v>
      </c>
      <c r="D8241" s="3" t="s">
        <v>68</v>
      </c>
      <c r="E8241" s="3" t="s">
        <v>100</v>
      </c>
      <c r="F8241" s="7">
        <v>45908.71734667587</v>
      </c>
      <c r="G8241" s="3" t="s">
        <v>22881</v>
      </c>
    </row>
    <row r="8242">
      <c r="A8242" s="3" t="s">
        <v>22882</v>
      </c>
      <c r="B8242" s="3" t="s">
        <v>7558</v>
      </c>
      <c r="C8242" s="5" t="s">
        <v>45</v>
      </c>
      <c r="D8242" s="3" t="s">
        <v>221</v>
      </c>
      <c r="E8242" s="3" t="s">
        <v>990</v>
      </c>
      <c r="F8242" s="7">
        <v>45908.778104854624</v>
      </c>
      <c r="G8242" s="3" t="s">
        <v>10142</v>
      </c>
    </row>
    <row r="8243">
      <c r="A8243" s="3" t="s">
        <v>22884</v>
      </c>
      <c r="B8243" s="3" t="s">
        <v>7558</v>
      </c>
      <c r="C8243" s="5" t="s">
        <v>221</v>
      </c>
      <c r="D8243" s="3" t="s">
        <v>614</v>
      </c>
      <c r="E8243" s="3" t="s">
        <v>118</v>
      </c>
      <c r="F8243" s="7">
        <v>45908.78157707684</v>
      </c>
      <c r="G8243" s="3" t="s">
        <v>10145</v>
      </c>
    </row>
    <row r="8244">
      <c r="A8244" s="3" t="s">
        <v>22886</v>
      </c>
      <c r="B8244" s="3" t="s">
        <v>7558</v>
      </c>
      <c r="C8244" s="5" t="s">
        <v>614</v>
      </c>
      <c r="D8244" s="3" t="s">
        <v>206</v>
      </c>
      <c r="E8244" s="3" t="s">
        <v>100</v>
      </c>
      <c r="F8244" s="7">
        <v>45908.78504929907</v>
      </c>
      <c r="G8244" s="3" t="s">
        <v>10148</v>
      </c>
    </row>
    <row r="8245">
      <c r="A8245" s="3" t="s">
        <v>22888</v>
      </c>
      <c r="B8245" s="3" t="s">
        <v>7558</v>
      </c>
      <c r="C8245" s="5" t="s">
        <v>206</v>
      </c>
      <c r="D8245" s="3" t="s">
        <v>68</v>
      </c>
      <c r="E8245" s="3" t="s">
        <v>100</v>
      </c>
      <c r="F8245" s="7">
        <v>45908.78852152129</v>
      </c>
      <c r="G8245" s="3" t="s">
        <v>10151</v>
      </c>
    </row>
    <row r="8246">
      <c r="A8246" s="3" t="s">
        <v>22890</v>
      </c>
      <c r="B8246" s="3" t="s">
        <v>7562</v>
      </c>
      <c r="C8246" s="5" t="s">
        <v>45</v>
      </c>
      <c r="D8246" s="3" t="s">
        <v>221</v>
      </c>
      <c r="E8246" s="3" t="s">
        <v>920</v>
      </c>
      <c r="F8246" s="7">
        <v>45908.849279700036</v>
      </c>
      <c r="G8246" s="3" t="s">
        <v>5696</v>
      </c>
    </row>
    <row r="8247">
      <c r="A8247" s="3" t="s">
        <v>22892</v>
      </c>
      <c r="B8247" s="3" t="s">
        <v>7562</v>
      </c>
      <c r="C8247" s="5" t="s">
        <v>221</v>
      </c>
      <c r="D8247" s="3" t="s">
        <v>614</v>
      </c>
      <c r="E8247" s="3" t="s">
        <v>118</v>
      </c>
      <c r="F8247" s="7">
        <v>45908.852751922255</v>
      </c>
      <c r="G8247" s="3" t="s">
        <v>5699</v>
      </c>
    </row>
    <row r="8248">
      <c r="A8248" s="3" t="s">
        <v>22894</v>
      </c>
      <c r="B8248" s="3" t="s">
        <v>7562</v>
      </c>
      <c r="C8248" s="5" t="s">
        <v>614</v>
      </c>
      <c r="D8248" s="3" t="s">
        <v>206</v>
      </c>
      <c r="E8248" s="3" t="s">
        <v>100</v>
      </c>
      <c r="F8248" s="7">
        <v>45908.85622414448</v>
      </c>
      <c r="G8248" s="3" t="s">
        <v>5701</v>
      </c>
    </row>
    <row r="8249">
      <c r="A8249" s="3" t="s">
        <v>22896</v>
      </c>
      <c r="B8249" s="3" t="s">
        <v>7562</v>
      </c>
      <c r="C8249" s="5" t="s">
        <v>206</v>
      </c>
      <c r="D8249" s="3" t="s">
        <v>68</v>
      </c>
      <c r="E8249" s="3" t="s">
        <v>100</v>
      </c>
      <c r="F8249" s="7">
        <v>45908.8596963667</v>
      </c>
      <c r="G8249" s="3" t="s">
        <v>5704</v>
      </c>
    </row>
    <row r="8250">
      <c r="A8250" s="3" t="s">
        <v>22898</v>
      </c>
      <c r="B8250" s="3" t="s">
        <v>7565</v>
      </c>
      <c r="C8250" s="5" t="s">
        <v>45</v>
      </c>
      <c r="D8250" s="3" t="s">
        <v>221</v>
      </c>
      <c r="E8250" s="3" t="s">
        <v>175</v>
      </c>
      <c r="F8250" s="7">
        <v>45908.92045454545</v>
      </c>
      <c r="G8250" s="3" t="s">
        <v>22899</v>
      </c>
    </row>
    <row r="8251">
      <c r="A8251" s="3" t="s">
        <v>22901</v>
      </c>
      <c r="B8251" s="3" t="s">
        <v>7565</v>
      </c>
      <c r="C8251" s="5" t="s">
        <v>221</v>
      </c>
      <c r="D8251" s="3" t="s">
        <v>614</v>
      </c>
      <c r="E8251" s="3" t="s">
        <v>118</v>
      </c>
      <c r="F8251" s="7">
        <v>45908.92392676767</v>
      </c>
      <c r="G8251" s="3" t="s">
        <v>22902</v>
      </c>
    </row>
    <row r="8252">
      <c r="A8252" s="3" t="s">
        <v>22903</v>
      </c>
      <c r="B8252" s="3" t="s">
        <v>7565</v>
      </c>
      <c r="C8252" s="5" t="s">
        <v>614</v>
      </c>
      <c r="D8252" s="3" t="s">
        <v>206</v>
      </c>
      <c r="E8252" s="3" t="s">
        <v>100</v>
      </c>
      <c r="F8252" s="7">
        <v>45908.927398989894</v>
      </c>
      <c r="G8252" s="3" t="s">
        <v>22905</v>
      </c>
    </row>
    <row r="8253">
      <c r="A8253" s="3" t="s">
        <v>22906</v>
      </c>
      <c r="B8253" s="3" t="s">
        <v>7565</v>
      </c>
      <c r="C8253" s="5" t="s">
        <v>206</v>
      </c>
      <c r="D8253" s="3" t="s">
        <v>68</v>
      </c>
      <c r="E8253" s="3" t="s">
        <v>100</v>
      </c>
      <c r="F8253" s="7">
        <v>45908.93087121211</v>
      </c>
      <c r="G8253" s="3" t="s">
        <v>22908</v>
      </c>
    </row>
    <row r="8254">
      <c r="A8254" s="3" t="s">
        <v>22909</v>
      </c>
      <c r="B8254" s="3" t="s">
        <v>7568</v>
      </c>
      <c r="C8254" s="5" t="s">
        <v>45</v>
      </c>
      <c r="D8254" s="3" t="s">
        <v>221</v>
      </c>
      <c r="E8254" s="3" t="s">
        <v>1043</v>
      </c>
      <c r="F8254" s="7">
        <v>45908.99162939087</v>
      </c>
      <c r="G8254" s="3" t="s">
        <v>21166</v>
      </c>
    </row>
    <row r="8255">
      <c r="A8255" s="3" t="s">
        <v>22911</v>
      </c>
      <c r="B8255" s="3" t="s">
        <v>7568</v>
      </c>
      <c r="C8255" s="5" t="s">
        <v>221</v>
      </c>
      <c r="D8255" s="3" t="s">
        <v>614</v>
      </c>
      <c r="E8255" s="3" t="s">
        <v>118</v>
      </c>
      <c r="F8255" s="7">
        <v>45908.99510161309</v>
      </c>
      <c r="G8255" s="3" t="s">
        <v>21169</v>
      </c>
    </row>
    <row r="8256">
      <c r="A8256" s="3" t="s">
        <v>22913</v>
      </c>
      <c r="B8256" s="3" t="s">
        <v>7568</v>
      </c>
      <c r="C8256" s="5" t="s">
        <v>614</v>
      </c>
      <c r="D8256" s="3" t="s">
        <v>206</v>
      </c>
      <c r="E8256" s="3" t="s">
        <v>100</v>
      </c>
      <c r="F8256" s="7">
        <v>45908.99857383531</v>
      </c>
      <c r="G8256" s="3" t="s">
        <v>21171</v>
      </c>
    </row>
    <row r="8257">
      <c r="A8257" s="3" t="s">
        <v>22915</v>
      </c>
      <c r="B8257" s="3" t="s">
        <v>7568</v>
      </c>
      <c r="C8257" s="5" t="s">
        <v>206</v>
      </c>
      <c r="D8257" s="3" t="s">
        <v>68</v>
      </c>
      <c r="E8257" s="3" t="s">
        <v>100</v>
      </c>
      <c r="F8257" s="7">
        <v>45909.00204605753</v>
      </c>
      <c r="G8257" s="3" t="s">
        <v>21174</v>
      </c>
    </row>
    <row r="8258">
      <c r="A8258" s="3" t="s">
        <v>22917</v>
      </c>
      <c r="B8258" s="3" t="s">
        <v>7571</v>
      </c>
      <c r="C8258" s="5" t="s">
        <v>45</v>
      </c>
      <c r="D8258" s="3" t="s">
        <v>221</v>
      </c>
      <c r="E8258" s="3" t="s">
        <v>581</v>
      </c>
      <c r="F8258" s="7">
        <v>45909.06280423628</v>
      </c>
      <c r="G8258" s="3" t="s">
        <v>22918</v>
      </c>
    </row>
    <row r="8259">
      <c r="A8259" s="3" t="s">
        <v>22920</v>
      </c>
      <c r="B8259" s="3" t="s">
        <v>7571</v>
      </c>
      <c r="C8259" s="5" t="s">
        <v>221</v>
      </c>
      <c r="D8259" s="3" t="s">
        <v>614</v>
      </c>
      <c r="E8259" s="3" t="s">
        <v>118</v>
      </c>
      <c r="F8259" s="7">
        <v>45909.0662764585</v>
      </c>
      <c r="G8259" s="3" t="s">
        <v>22921</v>
      </c>
    </row>
    <row r="8260">
      <c r="A8260" s="3" t="s">
        <v>22922</v>
      </c>
      <c r="B8260" s="3" t="s">
        <v>7571</v>
      </c>
      <c r="C8260" s="5" t="s">
        <v>614</v>
      </c>
      <c r="D8260" s="3" t="s">
        <v>206</v>
      </c>
      <c r="E8260" s="3" t="s">
        <v>100</v>
      </c>
      <c r="F8260" s="7">
        <v>45909.069748680726</v>
      </c>
      <c r="G8260" s="3" t="s">
        <v>22924</v>
      </c>
    </row>
    <row r="8261">
      <c r="A8261" s="3" t="s">
        <v>22926</v>
      </c>
      <c r="B8261" s="3" t="s">
        <v>7571</v>
      </c>
      <c r="C8261" s="5" t="s">
        <v>206</v>
      </c>
      <c r="D8261" s="3" t="s">
        <v>68</v>
      </c>
      <c r="E8261" s="3" t="s">
        <v>100</v>
      </c>
      <c r="F8261" s="7">
        <v>45909.073220902945</v>
      </c>
      <c r="G8261" s="3" t="s">
        <v>22927</v>
      </c>
    </row>
    <row r="8262">
      <c r="A8262" s="3" t="s">
        <v>22929</v>
      </c>
      <c r="B8262" s="3" t="s">
        <v>7574</v>
      </c>
      <c r="C8262" s="5" t="s">
        <v>45</v>
      </c>
      <c r="D8262" s="3" t="s">
        <v>221</v>
      </c>
      <c r="E8262" s="3" t="s">
        <v>816</v>
      </c>
      <c r="F8262" s="7">
        <v>45909.13397908169</v>
      </c>
      <c r="G8262" s="3" t="s">
        <v>5280</v>
      </c>
    </row>
    <row r="8263">
      <c r="A8263" s="3" t="s">
        <v>22930</v>
      </c>
      <c r="B8263" s="3" t="s">
        <v>7574</v>
      </c>
      <c r="C8263" s="5" t="s">
        <v>221</v>
      </c>
      <c r="D8263" s="3" t="s">
        <v>614</v>
      </c>
      <c r="E8263" s="3" t="s">
        <v>118</v>
      </c>
      <c r="F8263" s="7">
        <v>45909.13745130391</v>
      </c>
      <c r="G8263" s="3" t="s">
        <v>5283</v>
      </c>
    </row>
    <row r="8264">
      <c r="A8264" s="3" t="s">
        <v>22932</v>
      </c>
      <c r="B8264" s="3" t="s">
        <v>7574</v>
      </c>
      <c r="C8264" s="5" t="s">
        <v>614</v>
      </c>
      <c r="D8264" s="3" t="s">
        <v>206</v>
      </c>
      <c r="E8264" s="3" t="s">
        <v>100</v>
      </c>
      <c r="F8264" s="7">
        <v>45909.14092352614</v>
      </c>
      <c r="G8264" s="3" t="s">
        <v>5286</v>
      </c>
    </row>
    <row r="8265">
      <c r="A8265" s="3" t="s">
        <v>22934</v>
      </c>
      <c r="B8265" s="3" t="s">
        <v>7574</v>
      </c>
      <c r="C8265" s="5" t="s">
        <v>206</v>
      </c>
      <c r="D8265" s="3" t="s">
        <v>68</v>
      </c>
      <c r="E8265" s="3" t="s">
        <v>100</v>
      </c>
      <c r="F8265" s="7">
        <v>45909.14439574836</v>
      </c>
      <c r="G8265" s="3" t="s">
        <v>5289</v>
      </c>
    </row>
    <row r="8266">
      <c r="A8266" s="3" t="s">
        <v>22937</v>
      </c>
      <c r="B8266" s="3" t="s">
        <v>7577</v>
      </c>
      <c r="C8266" s="5" t="s">
        <v>45</v>
      </c>
      <c r="D8266" s="3" t="s">
        <v>221</v>
      </c>
      <c r="E8266" s="3" t="s">
        <v>1034</v>
      </c>
      <c r="F8266" s="7">
        <v>45909.20515392711</v>
      </c>
      <c r="G8266" s="3" t="s">
        <v>13595</v>
      </c>
    </row>
    <row r="8267">
      <c r="A8267" s="3" t="s">
        <v>22939</v>
      </c>
      <c r="B8267" s="3" t="s">
        <v>7577</v>
      </c>
      <c r="C8267" s="5" t="s">
        <v>221</v>
      </c>
      <c r="D8267" s="3" t="s">
        <v>614</v>
      </c>
      <c r="E8267" s="3" t="s">
        <v>118</v>
      </c>
      <c r="F8267" s="7">
        <v>45909.20862614933</v>
      </c>
      <c r="G8267" s="3" t="s">
        <v>13598</v>
      </c>
    </row>
    <row r="8268">
      <c r="A8268" s="3" t="s">
        <v>22941</v>
      </c>
      <c r="B8268" s="3" t="s">
        <v>7577</v>
      </c>
      <c r="C8268" s="5" t="s">
        <v>614</v>
      </c>
      <c r="D8268" s="3" t="s">
        <v>206</v>
      </c>
      <c r="E8268" s="3" t="s">
        <v>100</v>
      </c>
      <c r="F8268" s="7">
        <v>45909.21209837156</v>
      </c>
      <c r="G8268" s="3" t="s">
        <v>13602</v>
      </c>
    </row>
    <row r="8269">
      <c r="A8269" s="3" t="s">
        <v>22943</v>
      </c>
      <c r="B8269" s="3" t="s">
        <v>7577</v>
      </c>
      <c r="C8269" s="5" t="s">
        <v>206</v>
      </c>
      <c r="D8269" s="3" t="s">
        <v>68</v>
      </c>
      <c r="E8269" s="3" t="s">
        <v>100</v>
      </c>
      <c r="F8269" s="7">
        <v>45909.21557059378</v>
      </c>
      <c r="G8269" s="3" t="s">
        <v>13605</v>
      </c>
    </row>
    <row r="8270">
      <c r="A8270" s="3" t="s">
        <v>22946</v>
      </c>
      <c r="B8270" s="3" t="s">
        <v>7580</v>
      </c>
      <c r="C8270" s="5" t="s">
        <v>45</v>
      </c>
      <c r="D8270" s="3" t="s">
        <v>221</v>
      </c>
      <c r="E8270" s="3" t="s">
        <v>226</v>
      </c>
      <c r="F8270" s="7">
        <v>45909.27632877253</v>
      </c>
      <c r="G8270" s="3" t="s">
        <v>22947</v>
      </c>
    </row>
    <row r="8271">
      <c r="A8271" s="3" t="s">
        <v>22949</v>
      </c>
      <c r="B8271" s="3" t="s">
        <v>7580</v>
      </c>
      <c r="C8271" s="5" t="s">
        <v>221</v>
      </c>
      <c r="D8271" s="3" t="s">
        <v>614</v>
      </c>
      <c r="E8271" s="3" t="s">
        <v>118</v>
      </c>
      <c r="F8271" s="7">
        <v>45909.27980099475</v>
      </c>
      <c r="G8271" s="3" t="s">
        <v>22950</v>
      </c>
    </row>
    <row r="8272">
      <c r="A8272" s="3" t="s">
        <v>22952</v>
      </c>
      <c r="B8272" s="3" t="s">
        <v>7580</v>
      </c>
      <c r="C8272" s="5" t="s">
        <v>614</v>
      </c>
      <c r="D8272" s="3" t="s">
        <v>206</v>
      </c>
      <c r="E8272" s="3" t="s">
        <v>100</v>
      </c>
      <c r="F8272" s="7">
        <v>45909.28327321698</v>
      </c>
      <c r="G8272" s="3" t="s">
        <v>22953</v>
      </c>
    </row>
    <row r="8273">
      <c r="A8273" s="3" t="s">
        <v>22955</v>
      </c>
      <c r="B8273" s="3" t="s">
        <v>7580</v>
      </c>
      <c r="C8273" s="5" t="s">
        <v>206</v>
      </c>
      <c r="D8273" s="3" t="s">
        <v>68</v>
      </c>
      <c r="E8273" s="3" t="s">
        <v>100</v>
      </c>
      <c r="F8273" s="7">
        <v>45909.286745439196</v>
      </c>
      <c r="G8273" s="3" t="s">
        <v>22956</v>
      </c>
    </row>
    <row r="8274">
      <c r="A8274" s="3" t="s">
        <v>22958</v>
      </c>
      <c r="B8274" s="3" t="s">
        <v>7583</v>
      </c>
      <c r="C8274" s="5" t="s">
        <v>45</v>
      </c>
      <c r="D8274" s="3" t="s">
        <v>221</v>
      </c>
      <c r="E8274" s="3" t="s">
        <v>848</v>
      </c>
      <c r="F8274" s="7">
        <v>45909.34750361794</v>
      </c>
      <c r="G8274" s="3" t="s">
        <v>15279</v>
      </c>
    </row>
    <row r="8275">
      <c r="A8275" s="3" t="s">
        <v>22960</v>
      </c>
      <c r="B8275" s="3" t="s">
        <v>7583</v>
      </c>
      <c r="C8275" s="5" t="s">
        <v>221</v>
      </c>
      <c r="D8275" s="3" t="s">
        <v>614</v>
      </c>
      <c r="E8275" s="3" t="s">
        <v>118</v>
      </c>
      <c r="F8275" s="7">
        <v>45909.350975840156</v>
      </c>
      <c r="G8275" s="3" t="s">
        <v>15281</v>
      </c>
    </row>
    <row r="8276">
      <c r="A8276" s="3" t="s">
        <v>22962</v>
      </c>
      <c r="B8276" s="3" t="s">
        <v>7583</v>
      </c>
      <c r="C8276" s="5" t="s">
        <v>614</v>
      </c>
      <c r="D8276" s="3" t="s">
        <v>206</v>
      </c>
      <c r="E8276" s="3" t="s">
        <v>100</v>
      </c>
      <c r="F8276" s="7">
        <v>45909.35444806238</v>
      </c>
      <c r="G8276" s="3" t="s">
        <v>15284</v>
      </c>
    </row>
    <row r="8277">
      <c r="A8277" s="3" t="s">
        <v>22964</v>
      </c>
      <c r="B8277" s="3" t="s">
        <v>7583</v>
      </c>
      <c r="C8277" s="5" t="s">
        <v>206</v>
      </c>
      <c r="D8277" s="3" t="s">
        <v>68</v>
      </c>
      <c r="E8277" s="3" t="s">
        <v>100</v>
      </c>
      <c r="F8277" s="7">
        <v>45909.3579202846</v>
      </c>
      <c r="G8277" s="3" t="s">
        <v>15287</v>
      </c>
    </row>
    <row r="8278">
      <c r="A8278" s="3" t="s">
        <v>22966</v>
      </c>
      <c r="B8278" s="3" t="s">
        <v>7588</v>
      </c>
      <c r="C8278" s="5" t="s">
        <v>45</v>
      </c>
      <c r="D8278" s="3" t="s">
        <v>221</v>
      </c>
      <c r="E8278" s="3" t="s">
        <v>547</v>
      </c>
      <c r="F8278" s="7">
        <v>45909.41867846336</v>
      </c>
      <c r="G8278" s="3" t="s">
        <v>22967</v>
      </c>
    </row>
    <row r="8279">
      <c r="A8279" s="3" t="s">
        <v>22969</v>
      </c>
      <c r="B8279" s="3" t="s">
        <v>7588</v>
      </c>
      <c r="C8279" s="5" t="s">
        <v>221</v>
      </c>
      <c r="D8279" s="3" t="s">
        <v>614</v>
      </c>
      <c r="E8279" s="3" t="s">
        <v>118</v>
      </c>
      <c r="F8279" s="7">
        <v>45909.422150685576</v>
      </c>
      <c r="G8279" s="3" t="s">
        <v>22970</v>
      </c>
    </row>
    <row r="8280">
      <c r="A8280" s="3" t="s">
        <v>22971</v>
      </c>
      <c r="B8280" s="3" t="s">
        <v>7588</v>
      </c>
      <c r="C8280" s="5" t="s">
        <v>614</v>
      </c>
      <c r="D8280" s="3" t="s">
        <v>206</v>
      </c>
      <c r="E8280" s="3" t="s">
        <v>100</v>
      </c>
      <c r="F8280" s="7">
        <v>45909.4256229078</v>
      </c>
      <c r="G8280" s="3" t="s">
        <v>22973</v>
      </c>
    </row>
    <row r="8281">
      <c r="A8281" s="3" t="s">
        <v>22974</v>
      </c>
      <c r="B8281" s="3" t="s">
        <v>7588</v>
      </c>
      <c r="C8281" s="5" t="s">
        <v>206</v>
      </c>
      <c r="D8281" s="3" t="s">
        <v>68</v>
      </c>
      <c r="E8281" s="3" t="s">
        <v>100</v>
      </c>
      <c r="F8281" s="7">
        <v>45909.42909513002</v>
      </c>
      <c r="G8281" s="3" t="s">
        <v>22976</v>
      </c>
    </row>
    <row r="8282">
      <c r="A8282" s="3" t="s">
        <v>22977</v>
      </c>
      <c r="B8282" s="3" t="s">
        <v>7591</v>
      </c>
      <c r="C8282" s="5" t="s">
        <v>45</v>
      </c>
      <c r="D8282" s="3" t="s">
        <v>221</v>
      </c>
      <c r="E8282" s="3" t="s">
        <v>767</v>
      </c>
      <c r="F8282" s="7">
        <v>45909.489853308776</v>
      </c>
      <c r="G8282" s="3" t="s">
        <v>6086</v>
      </c>
    </row>
    <row r="8283">
      <c r="A8283" s="3" t="s">
        <v>22979</v>
      </c>
      <c r="B8283" s="3" t="s">
        <v>7591</v>
      </c>
      <c r="C8283" s="5" t="s">
        <v>221</v>
      </c>
      <c r="D8283" s="3" t="s">
        <v>614</v>
      </c>
      <c r="E8283" s="3" t="s">
        <v>118</v>
      </c>
      <c r="F8283" s="7">
        <v>45909.493325530995</v>
      </c>
      <c r="G8283" s="3" t="s">
        <v>6088</v>
      </c>
    </row>
    <row r="8284">
      <c r="A8284" s="3" t="s">
        <v>22981</v>
      </c>
      <c r="B8284" s="3" t="s">
        <v>7591</v>
      </c>
      <c r="C8284" s="5" t="s">
        <v>614</v>
      </c>
      <c r="D8284" s="3" t="s">
        <v>206</v>
      </c>
      <c r="E8284" s="3" t="s">
        <v>100</v>
      </c>
      <c r="F8284" s="7">
        <v>45909.49679775322</v>
      </c>
      <c r="G8284" s="3" t="s">
        <v>6091</v>
      </c>
    </row>
    <row r="8285">
      <c r="A8285" s="3" t="s">
        <v>22983</v>
      </c>
      <c r="B8285" s="3" t="s">
        <v>7591</v>
      </c>
      <c r="C8285" s="5" t="s">
        <v>206</v>
      </c>
      <c r="D8285" s="3" t="s">
        <v>68</v>
      </c>
      <c r="E8285" s="3" t="s">
        <v>100</v>
      </c>
      <c r="F8285" s="7">
        <v>45909.50026997544</v>
      </c>
      <c r="G8285" s="3" t="s">
        <v>6094</v>
      </c>
    </row>
    <row r="8286">
      <c r="A8286" s="3" t="s">
        <v>22985</v>
      </c>
      <c r="B8286" s="3" t="s">
        <v>7594</v>
      </c>
      <c r="C8286" s="5" t="s">
        <v>45</v>
      </c>
      <c r="D8286" s="3" t="s">
        <v>221</v>
      </c>
      <c r="E8286" s="3" t="s">
        <v>591</v>
      </c>
      <c r="F8286" s="7">
        <v>45909.56102815419</v>
      </c>
      <c r="G8286" s="3" t="s">
        <v>3582</v>
      </c>
    </row>
    <row r="8287">
      <c r="A8287" s="3" t="s">
        <v>22987</v>
      </c>
      <c r="B8287" s="3" t="s">
        <v>7594</v>
      </c>
      <c r="C8287" s="5" t="s">
        <v>221</v>
      </c>
      <c r="D8287" s="3" t="s">
        <v>614</v>
      </c>
      <c r="E8287" s="3" t="s">
        <v>118</v>
      </c>
      <c r="F8287" s="7">
        <v>45909.56450037641</v>
      </c>
      <c r="G8287" s="3" t="s">
        <v>3585</v>
      </c>
    </row>
    <row r="8288">
      <c r="A8288" s="3" t="s">
        <v>22989</v>
      </c>
      <c r="B8288" s="3" t="s">
        <v>7594</v>
      </c>
      <c r="C8288" s="5" t="s">
        <v>614</v>
      </c>
      <c r="D8288" s="3" t="s">
        <v>206</v>
      </c>
      <c r="E8288" s="3" t="s">
        <v>100</v>
      </c>
      <c r="F8288" s="7">
        <v>45909.567972598634</v>
      </c>
      <c r="G8288" s="3" t="s">
        <v>3588</v>
      </c>
    </row>
    <row r="8289">
      <c r="A8289" s="3" t="s">
        <v>22991</v>
      </c>
      <c r="B8289" s="3" t="s">
        <v>7594</v>
      </c>
      <c r="C8289" s="5" t="s">
        <v>206</v>
      </c>
      <c r="D8289" s="3" t="s">
        <v>68</v>
      </c>
      <c r="E8289" s="3" t="s">
        <v>100</v>
      </c>
      <c r="F8289" s="7">
        <v>45909.57144482085</v>
      </c>
      <c r="G8289" s="3" t="s">
        <v>3591</v>
      </c>
    </row>
    <row r="8290">
      <c r="A8290" s="3" t="s">
        <v>22993</v>
      </c>
      <c r="B8290" s="3" t="s">
        <v>7597</v>
      </c>
      <c r="C8290" s="5" t="s">
        <v>45</v>
      </c>
      <c r="D8290" s="3" t="s">
        <v>221</v>
      </c>
      <c r="E8290" s="3" t="s">
        <v>612</v>
      </c>
      <c r="F8290" s="7">
        <v>45909.6322029996</v>
      </c>
      <c r="G8290" s="3" t="s">
        <v>5291</v>
      </c>
    </row>
    <row r="8291">
      <c r="A8291" s="3" t="s">
        <v>22995</v>
      </c>
      <c r="B8291" s="3" t="s">
        <v>7597</v>
      </c>
      <c r="C8291" s="5" t="s">
        <v>221</v>
      </c>
      <c r="D8291" s="3" t="s">
        <v>614</v>
      </c>
      <c r="E8291" s="3" t="s">
        <v>118</v>
      </c>
      <c r="F8291" s="7">
        <v>45909.63567522182</v>
      </c>
      <c r="G8291" s="3" t="s">
        <v>5294</v>
      </c>
    </row>
    <row r="8292">
      <c r="A8292" s="3" t="s">
        <v>22997</v>
      </c>
      <c r="B8292" s="3" t="s">
        <v>7597</v>
      </c>
      <c r="C8292" s="5" t="s">
        <v>614</v>
      </c>
      <c r="D8292" s="3" t="s">
        <v>206</v>
      </c>
      <c r="E8292" s="3" t="s">
        <v>100</v>
      </c>
      <c r="F8292" s="7">
        <v>45909.639147444046</v>
      </c>
      <c r="G8292" s="3" t="s">
        <v>5297</v>
      </c>
    </row>
    <row r="8293">
      <c r="A8293" s="3" t="s">
        <v>22999</v>
      </c>
      <c r="B8293" s="3" t="s">
        <v>7597</v>
      </c>
      <c r="C8293" s="5" t="s">
        <v>206</v>
      </c>
      <c r="D8293" s="3" t="s">
        <v>68</v>
      </c>
      <c r="E8293" s="3" t="s">
        <v>100</v>
      </c>
      <c r="F8293" s="7">
        <v>45909.642619666265</v>
      </c>
      <c r="G8293" s="3" t="s">
        <v>5300</v>
      </c>
    </row>
    <row r="8294">
      <c r="A8294" s="3" t="s">
        <v>23001</v>
      </c>
      <c r="B8294" s="3" t="s">
        <v>7601</v>
      </c>
      <c r="C8294" s="5" t="s">
        <v>45</v>
      </c>
      <c r="D8294" s="3" t="s">
        <v>221</v>
      </c>
      <c r="E8294" s="3" t="s">
        <v>691</v>
      </c>
      <c r="F8294" s="7">
        <v>45909.70337784502</v>
      </c>
      <c r="G8294" s="3" t="s">
        <v>19658</v>
      </c>
    </row>
    <row r="8295">
      <c r="A8295" s="3" t="s">
        <v>23003</v>
      </c>
      <c r="B8295" s="3" t="s">
        <v>7601</v>
      </c>
      <c r="C8295" s="5" t="s">
        <v>221</v>
      </c>
      <c r="D8295" s="3" t="s">
        <v>614</v>
      </c>
      <c r="E8295" s="3" t="s">
        <v>118</v>
      </c>
      <c r="F8295" s="7">
        <v>45909.70685006724</v>
      </c>
      <c r="G8295" s="3" t="s">
        <v>19661</v>
      </c>
    </row>
    <row r="8296">
      <c r="A8296" s="3" t="s">
        <v>23005</v>
      </c>
      <c r="B8296" s="3" t="s">
        <v>7601</v>
      </c>
      <c r="C8296" s="5" t="s">
        <v>614</v>
      </c>
      <c r="D8296" s="3" t="s">
        <v>206</v>
      </c>
      <c r="E8296" s="3" t="s">
        <v>100</v>
      </c>
      <c r="F8296" s="7">
        <v>45909.710322289466</v>
      </c>
      <c r="G8296" s="3" t="s">
        <v>19664</v>
      </c>
    </row>
    <row r="8297">
      <c r="A8297" s="3" t="s">
        <v>23007</v>
      </c>
      <c r="B8297" s="3" t="s">
        <v>7601</v>
      </c>
      <c r="C8297" s="5" t="s">
        <v>206</v>
      </c>
      <c r="D8297" s="3" t="s">
        <v>68</v>
      </c>
      <c r="E8297" s="3" t="s">
        <v>100</v>
      </c>
      <c r="F8297" s="7">
        <v>45909.713794511685</v>
      </c>
      <c r="G8297" s="3" t="s">
        <v>19667</v>
      </c>
    </row>
    <row r="8298">
      <c r="A8298" s="3" t="s">
        <v>23009</v>
      </c>
      <c r="B8298" s="3" t="s">
        <v>7603</v>
      </c>
      <c r="C8298" s="5" t="s">
        <v>45</v>
      </c>
      <c r="D8298" s="3" t="s">
        <v>221</v>
      </c>
      <c r="E8298" s="3" t="s">
        <v>785</v>
      </c>
      <c r="F8298" s="7">
        <v>45909.77455269043</v>
      </c>
      <c r="G8298" s="3" t="s">
        <v>23011</v>
      </c>
    </row>
    <row r="8299">
      <c r="A8299" s="3" t="s">
        <v>23012</v>
      </c>
      <c r="B8299" s="3" t="s">
        <v>7603</v>
      </c>
      <c r="C8299" s="5" t="s">
        <v>221</v>
      </c>
      <c r="D8299" s="3" t="s">
        <v>614</v>
      </c>
      <c r="E8299" s="3" t="s">
        <v>118</v>
      </c>
      <c r="F8299" s="7">
        <v>45909.77802491265</v>
      </c>
      <c r="G8299" s="3" t="s">
        <v>23013</v>
      </c>
    </row>
    <row r="8300">
      <c r="A8300" s="3" t="s">
        <v>23015</v>
      </c>
      <c r="B8300" s="3" t="s">
        <v>7603</v>
      </c>
      <c r="C8300" s="5" t="s">
        <v>614</v>
      </c>
      <c r="D8300" s="3" t="s">
        <v>206</v>
      </c>
      <c r="E8300" s="3" t="s">
        <v>100</v>
      </c>
      <c r="F8300" s="7">
        <v>45909.78149713488</v>
      </c>
      <c r="G8300" s="3" t="s">
        <v>23016</v>
      </c>
    </row>
    <row r="8301">
      <c r="A8301" s="3" t="s">
        <v>23018</v>
      </c>
      <c r="B8301" s="3" t="s">
        <v>7603</v>
      </c>
      <c r="C8301" s="5" t="s">
        <v>206</v>
      </c>
      <c r="D8301" s="3" t="s">
        <v>68</v>
      </c>
      <c r="E8301" s="3" t="s">
        <v>100</v>
      </c>
      <c r="F8301" s="7">
        <v>45909.7849693571</v>
      </c>
      <c r="G8301" s="3" t="s">
        <v>23019</v>
      </c>
    </row>
    <row r="8302">
      <c r="A8302" s="3" t="s">
        <v>23020</v>
      </c>
      <c r="B8302" s="3" t="s">
        <v>7607</v>
      </c>
      <c r="C8302" s="5" t="s">
        <v>45</v>
      </c>
      <c r="D8302" s="3" t="s">
        <v>221</v>
      </c>
      <c r="E8302" s="3" t="s">
        <v>496</v>
      </c>
      <c r="F8302" s="7">
        <v>45909.845727535845</v>
      </c>
      <c r="G8302" s="3" t="s">
        <v>5303</v>
      </c>
    </row>
    <row r="8303">
      <c r="A8303" s="3" t="s">
        <v>23022</v>
      </c>
      <c r="B8303" s="3" t="s">
        <v>7607</v>
      </c>
      <c r="C8303" s="5" t="s">
        <v>221</v>
      </c>
      <c r="D8303" s="3" t="s">
        <v>614</v>
      </c>
      <c r="E8303" s="3" t="s">
        <v>118</v>
      </c>
      <c r="F8303" s="7">
        <v>45909.849199758064</v>
      </c>
      <c r="G8303" s="3" t="s">
        <v>5305</v>
      </c>
    </row>
    <row r="8304">
      <c r="A8304" s="3" t="s">
        <v>23024</v>
      </c>
      <c r="B8304" s="3" t="s">
        <v>7607</v>
      </c>
      <c r="C8304" s="5" t="s">
        <v>614</v>
      </c>
      <c r="D8304" s="3" t="s">
        <v>206</v>
      </c>
      <c r="E8304" s="3" t="s">
        <v>100</v>
      </c>
      <c r="F8304" s="7">
        <v>45909.85267198029</v>
      </c>
      <c r="G8304" s="3" t="s">
        <v>5308</v>
      </c>
    </row>
    <row r="8305">
      <c r="A8305" s="3" t="s">
        <v>23026</v>
      </c>
      <c r="B8305" s="3" t="s">
        <v>7607</v>
      </c>
      <c r="C8305" s="5" t="s">
        <v>206</v>
      </c>
      <c r="D8305" s="3" t="s">
        <v>68</v>
      </c>
      <c r="E8305" s="3" t="s">
        <v>100</v>
      </c>
      <c r="F8305" s="7">
        <v>45909.85614420251</v>
      </c>
      <c r="G8305" s="3" t="s">
        <v>5311</v>
      </c>
    </row>
    <row r="8306">
      <c r="A8306" s="3" t="s">
        <v>23028</v>
      </c>
      <c r="B8306" s="3" t="s">
        <v>7610</v>
      </c>
      <c r="C8306" s="5" t="s">
        <v>45</v>
      </c>
      <c r="D8306" s="3" t="s">
        <v>221</v>
      </c>
      <c r="E8306" s="3" t="s">
        <v>460</v>
      </c>
      <c r="F8306" s="7">
        <v>45909.916902381265</v>
      </c>
      <c r="G8306" s="3" t="s">
        <v>5366</v>
      </c>
    </row>
    <row r="8307">
      <c r="A8307" s="3" t="s">
        <v>23030</v>
      </c>
      <c r="B8307" s="3" t="s">
        <v>7610</v>
      </c>
      <c r="C8307" s="5" t="s">
        <v>221</v>
      </c>
      <c r="D8307" s="3" t="s">
        <v>614</v>
      </c>
      <c r="E8307" s="3" t="s">
        <v>118</v>
      </c>
      <c r="F8307" s="7">
        <v>45909.920374603484</v>
      </c>
      <c r="G8307" s="3" t="s">
        <v>5369</v>
      </c>
    </row>
    <row r="8308">
      <c r="A8308" s="3" t="s">
        <v>23032</v>
      </c>
      <c r="B8308" s="3" t="s">
        <v>7610</v>
      </c>
      <c r="C8308" s="5" t="s">
        <v>614</v>
      </c>
      <c r="D8308" s="3" t="s">
        <v>206</v>
      </c>
      <c r="E8308" s="3" t="s">
        <v>100</v>
      </c>
      <c r="F8308" s="7">
        <v>45909.92384682571</v>
      </c>
      <c r="G8308" s="3" t="s">
        <v>5372</v>
      </c>
    </row>
    <row r="8309">
      <c r="A8309" s="3" t="s">
        <v>23033</v>
      </c>
      <c r="B8309" s="3" t="s">
        <v>7610</v>
      </c>
      <c r="C8309" s="5" t="s">
        <v>206</v>
      </c>
      <c r="D8309" s="3" t="s">
        <v>68</v>
      </c>
      <c r="E8309" s="3" t="s">
        <v>100</v>
      </c>
      <c r="F8309" s="7">
        <v>45909.92731904793</v>
      </c>
      <c r="G8309" s="3" t="s">
        <v>5374</v>
      </c>
    </row>
    <row r="8310">
      <c r="A8310" s="3" t="s">
        <v>23035</v>
      </c>
      <c r="B8310" s="3" t="s">
        <v>7614</v>
      </c>
      <c r="C8310" s="5" t="s">
        <v>45</v>
      </c>
      <c r="D8310" s="3" t="s">
        <v>221</v>
      </c>
      <c r="E8310" s="3" t="s">
        <v>702</v>
      </c>
      <c r="F8310" s="7">
        <v>45909.98807722668</v>
      </c>
      <c r="G8310" s="3" t="s">
        <v>5420</v>
      </c>
    </row>
    <row r="8311">
      <c r="A8311" s="3" t="s">
        <v>23037</v>
      </c>
      <c r="B8311" s="3" t="s">
        <v>7614</v>
      </c>
      <c r="C8311" s="5" t="s">
        <v>221</v>
      </c>
      <c r="D8311" s="3" t="s">
        <v>614</v>
      </c>
      <c r="E8311" s="3" t="s">
        <v>118</v>
      </c>
      <c r="F8311" s="7">
        <v>45909.991549448896</v>
      </c>
      <c r="G8311" s="3" t="s">
        <v>5422</v>
      </c>
    </row>
    <row r="8312">
      <c r="A8312" s="3" t="s">
        <v>23039</v>
      </c>
      <c r="B8312" s="3" t="s">
        <v>7614</v>
      </c>
      <c r="C8312" s="5" t="s">
        <v>614</v>
      </c>
      <c r="D8312" s="3" t="s">
        <v>206</v>
      </c>
      <c r="E8312" s="3" t="s">
        <v>100</v>
      </c>
      <c r="F8312" s="7">
        <v>45909.99502167112</v>
      </c>
      <c r="G8312" s="3" t="s">
        <v>5425</v>
      </c>
    </row>
    <row r="8313">
      <c r="A8313" s="3" t="s">
        <v>23041</v>
      </c>
      <c r="B8313" s="3" t="s">
        <v>7614</v>
      </c>
      <c r="C8313" s="5" t="s">
        <v>206</v>
      </c>
      <c r="D8313" s="3" t="s">
        <v>68</v>
      </c>
      <c r="E8313" s="3" t="s">
        <v>100</v>
      </c>
      <c r="F8313" s="7">
        <v>45909.99849389334</v>
      </c>
      <c r="G8313" s="3" t="s">
        <v>5428</v>
      </c>
    </row>
    <row r="8314">
      <c r="A8314" s="3" t="s">
        <v>23043</v>
      </c>
      <c r="B8314" s="3" t="s">
        <v>7617</v>
      </c>
      <c r="C8314" s="5" t="s">
        <v>45</v>
      </c>
      <c r="D8314" s="3" t="s">
        <v>221</v>
      </c>
      <c r="E8314" s="3" t="s">
        <v>619</v>
      </c>
      <c r="F8314" s="7">
        <v>45910.05925207209</v>
      </c>
      <c r="G8314" s="3" t="s">
        <v>5431</v>
      </c>
    </row>
    <row r="8315">
      <c r="A8315" s="3" t="s">
        <v>23045</v>
      </c>
      <c r="B8315" s="3" t="s">
        <v>7617</v>
      </c>
      <c r="C8315" s="5" t="s">
        <v>221</v>
      </c>
      <c r="D8315" s="3" t="s">
        <v>614</v>
      </c>
      <c r="E8315" s="3" t="s">
        <v>118</v>
      </c>
      <c r="F8315" s="7">
        <v>45910.06272429431</v>
      </c>
      <c r="G8315" s="3" t="s">
        <v>5434</v>
      </c>
    </row>
    <row r="8316">
      <c r="A8316" s="3" t="s">
        <v>23047</v>
      </c>
      <c r="B8316" s="3" t="s">
        <v>7617</v>
      </c>
      <c r="C8316" s="5" t="s">
        <v>614</v>
      </c>
      <c r="D8316" s="3" t="s">
        <v>206</v>
      </c>
      <c r="E8316" s="3" t="s">
        <v>100</v>
      </c>
      <c r="F8316" s="7">
        <v>45910.066196516535</v>
      </c>
      <c r="G8316" s="3" t="s">
        <v>5437</v>
      </c>
    </row>
    <row r="8317">
      <c r="A8317" s="3" t="s">
        <v>23049</v>
      </c>
      <c r="B8317" s="3" t="s">
        <v>7617</v>
      </c>
      <c r="C8317" s="5" t="s">
        <v>206</v>
      </c>
      <c r="D8317" s="3" t="s">
        <v>68</v>
      </c>
      <c r="E8317" s="3" t="s">
        <v>100</v>
      </c>
      <c r="F8317" s="7">
        <v>45910.06966873875</v>
      </c>
      <c r="G8317" s="3" t="s">
        <v>5440</v>
      </c>
    </row>
    <row r="8318">
      <c r="A8318" s="3" t="s">
        <v>23051</v>
      </c>
      <c r="B8318" s="3" t="s">
        <v>7620</v>
      </c>
      <c r="C8318" s="5" t="s">
        <v>45</v>
      </c>
      <c r="D8318" s="3" t="s">
        <v>221</v>
      </c>
      <c r="E8318" s="3" t="s">
        <v>554</v>
      </c>
      <c r="F8318" s="7">
        <v>45910.13042691751</v>
      </c>
      <c r="G8318" s="3" t="s">
        <v>6300</v>
      </c>
    </row>
    <row r="8319">
      <c r="A8319" s="3" t="s">
        <v>23053</v>
      </c>
      <c r="B8319" s="3" t="s">
        <v>7620</v>
      </c>
      <c r="C8319" s="5" t="s">
        <v>221</v>
      </c>
      <c r="D8319" s="3" t="s">
        <v>614</v>
      </c>
      <c r="E8319" s="3" t="s">
        <v>118</v>
      </c>
      <c r="F8319" s="7">
        <v>45910.13389913973</v>
      </c>
      <c r="G8319" s="3" t="s">
        <v>6303</v>
      </c>
    </row>
    <row r="8320">
      <c r="A8320" s="3" t="s">
        <v>23055</v>
      </c>
      <c r="B8320" s="3" t="s">
        <v>7620</v>
      </c>
      <c r="C8320" s="5" t="s">
        <v>614</v>
      </c>
      <c r="D8320" s="3" t="s">
        <v>206</v>
      </c>
      <c r="E8320" s="3" t="s">
        <v>100</v>
      </c>
      <c r="F8320" s="7">
        <v>45910.137371361954</v>
      </c>
      <c r="G8320" s="3" t="s">
        <v>6305</v>
      </c>
    </row>
    <row r="8321">
      <c r="A8321" s="3" t="s">
        <v>23057</v>
      </c>
      <c r="B8321" s="3" t="s">
        <v>7620</v>
      </c>
      <c r="C8321" s="5" t="s">
        <v>206</v>
      </c>
      <c r="D8321" s="3" t="s">
        <v>68</v>
      </c>
      <c r="E8321" s="3" t="s">
        <v>100</v>
      </c>
      <c r="F8321" s="7">
        <v>45910.14084358417</v>
      </c>
      <c r="G8321" s="3" t="s">
        <v>6308</v>
      </c>
    </row>
    <row r="8322">
      <c r="A8322" s="3" t="s">
        <v>23059</v>
      </c>
      <c r="B8322" s="3" t="s">
        <v>7623</v>
      </c>
      <c r="C8322" s="5" t="s">
        <v>45</v>
      </c>
      <c r="D8322" s="3" t="s">
        <v>221</v>
      </c>
      <c r="E8322" s="3" t="s">
        <v>1040</v>
      </c>
      <c r="F8322" s="7">
        <v>45910.20160176293</v>
      </c>
      <c r="G8322" s="3" t="s">
        <v>5456</v>
      </c>
    </row>
    <row r="8323">
      <c r="A8323" s="3" t="s">
        <v>23061</v>
      </c>
      <c r="B8323" s="3" t="s">
        <v>7623</v>
      </c>
      <c r="C8323" s="5" t="s">
        <v>221</v>
      </c>
      <c r="D8323" s="3" t="s">
        <v>614</v>
      </c>
      <c r="E8323" s="3" t="s">
        <v>118</v>
      </c>
      <c r="F8323" s="7">
        <v>45910.20507398515</v>
      </c>
      <c r="G8323" s="3" t="s">
        <v>5459</v>
      </c>
    </row>
    <row r="8324">
      <c r="A8324" s="3" t="s">
        <v>23063</v>
      </c>
      <c r="B8324" s="3" t="s">
        <v>7623</v>
      </c>
      <c r="C8324" s="5" t="s">
        <v>614</v>
      </c>
      <c r="D8324" s="3" t="s">
        <v>206</v>
      </c>
      <c r="E8324" s="3" t="s">
        <v>100</v>
      </c>
      <c r="F8324" s="7">
        <v>45910.208546207374</v>
      </c>
      <c r="G8324" s="3" t="s">
        <v>5461</v>
      </c>
    </row>
    <row r="8325">
      <c r="A8325" s="3" t="s">
        <v>23065</v>
      </c>
      <c r="B8325" s="3" t="s">
        <v>7623</v>
      </c>
      <c r="C8325" s="5" t="s">
        <v>206</v>
      </c>
      <c r="D8325" s="3" t="s">
        <v>68</v>
      </c>
      <c r="E8325" s="3" t="s">
        <v>100</v>
      </c>
      <c r="F8325" s="7">
        <v>45910.21201842959</v>
      </c>
      <c r="G8325" s="3" t="s">
        <v>5464</v>
      </c>
    </row>
    <row r="8326">
      <c r="A8326" s="3" t="s">
        <v>23067</v>
      </c>
      <c r="B8326" s="3" t="s">
        <v>7626</v>
      </c>
      <c r="C8326" s="5" t="s">
        <v>45</v>
      </c>
      <c r="D8326" s="3" t="s">
        <v>221</v>
      </c>
      <c r="E8326" s="3" t="s">
        <v>137</v>
      </c>
      <c r="F8326" s="7">
        <v>45910.27277660833</v>
      </c>
      <c r="G8326" s="3" t="s">
        <v>14747</v>
      </c>
    </row>
    <row r="8327">
      <c r="A8327" s="3" t="s">
        <v>23069</v>
      </c>
      <c r="B8327" s="3" t="s">
        <v>7626</v>
      </c>
      <c r="C8327" s="5" t="s">
        <v>221</v>
      </c>
      <c r="D8327" s="3" t="s">
        <v>181</v>
      </c>
      <c r="E8327" s="3" t="s">
        <v>118</v>
      </c>
      <c r="F8327" s="7">
        <v>45910.27624883055</v>
      </c>
      <c r="G8327" s="3" t="s">
        <v>23070</v>
      </c>
    </row>
    <row r="8328">
      <c r="A8328" s="3" t="s">
        <v>23072</v>
      </c>
      <c r="B8328" s="3" t="s">
        <v>7630</v>
      </c>
      <c r="C8328" s="5" t="s">
        <v>45</v>
      </c>
      <c r="D8328" s="3" t="s">
        <v>221</v>
      </c>
      <c r="E8328" s="3" t="s">
        <v>913</v>
      </c>
      <c r="F8328" s="7">
        <v>45910.34395145375</v>
      </c>
      <c r="G8328" s="3" t="s">
        <v>5479</v>
      </c>
    </row>
    <row r="8329">
      <c r="A8329" s="3" t="s">
        <v>23074</v>
      </c>
      <c r="B8329" s="3" t="s">
        <v>7630</v>
      </c>
      <c r="C8329" s="5" t="s">
        <v>221</v>
      </c>
      <c r="D8329" s="3" t="s">
        <v>614</v>
      </c>
      <c r="E8329" s="3" t="s">
        <v>118</v>
      </c>
      <c r="F8329" s="7">
        <v>45910.34742367597</v>
      </c>
      <c r="G8329" s="3" t="s">
        <v>5482</v>
      </c>
    </row>
    <row r="8330">
      <c r="A8330" s="3" t="s">
        <v>23075</v>
      </c>
      <c r="B8330" s="3" t="s">
        <v>7630</v>
      </c>
      <c r="C8330" s="5" t="s">
        <v>614</v>
      </c>
      <c r="D8330" s="3" t="s">
        <v>206</v>
      </c>
      <c r="E8330" s="3" t="s">
        <v>100</v>
      </c>
      <c r="F8330" s="7">
        <v>45910.3508958982</v>
      </c>
      <c r="G8330" s="3" t="s">
        <v>5484</v>
      </c>
    </row>
    <row r="8331">
      <c r="A8331" s="3" t="s">
        <v>23077</v>
      </c>
      <c r="B8331" s="3" t="s">
        <v>7630</v>
      </c>
      <c r="C8331" s="5" t="s">
        <v>206</v>
      </c>
      <c r="D8331" s="3" t="s">
        <v>68</v>
      </c>
      <c r="E8331" s="3" t="s">
        <v>100</v>
      </c>
      <c r="F8331" s="7">
        <v>45910.35436812042</v>
      </c>
      <c r="G8331" s="3" t="s">
        <v>5487</v>
      </c>
    </row>
    <row r="8332">
      <c r="A8332" s="3" t="s">
        <v>23079</v>
      </c>
      <c r="B8332" s="3" t="s">
        <v>7632</v>
      </c>
      <c r="C8332" s="5" t="s">
        <v>45</v>
      </c>
      <c r="D8332" s="3" t="s">
        <v>221</v>
      </c>
      <c r="E8332" s="3" t="s">
        <v>496</v>
      </c>
      <c r="F8332" s="7">
        <v>45910.41512629917</v>
      </c>
      <c r="G8332" s="3" t="s">
        <v>6010</v>
      </c>
    </row>
    <row r="8333">
      <c r="A8333" s="3" t="s">
        <v>23081</v>
      </c>
      <c r="B8333" s="3" t="s">
        <v>7632</v>
      </c>
      <c r="C8333" s="5" t="s">
        <v>221</v>
      </c>
      <c r="D8333" s="3" t="s">
        <v>614</v>
      </c>
      <c r="E8333" s="3" t="s">
        <v>118</v>
      </c>
      <c r="F8333" s="7">
        <v>45910.41859852139</v>
      </c>
      <c r="G8333" s="3" t="s">
        <v>6013</v>
      </c>
    </row>
    <row r="8334">
      <c r="A8334" s="3" t="s">
        <v>23083</v>
      </c>
      <c r="B8334" s="3" t="s">
        <v>7632</v>
      </c>
      <c r="C8334" s="5" t="s">
        <v>614</v>
      </c>
      <c r="D8334" s="3" t="s">
        <v>206</v>
      </c>
      <c r="E8334" s="3" t="s">
        <v>100</v>
      </c>
      <c r="F8334" s="7">
        <v>45910.42207074362</v>
      </c>
      <c r="G8334" s="3" t="s">
        <v>6016</v>
      </c>
    </row>
    <row r="8335">
      <c r="A8335" s="3" t="s">
        <v>23085</v>
      </c>
      <c r="B8335" s="3" t="s">
        <v>7632</v>
      </c>
      <c r="C8335" s="5" t="s">
        <v>206</v>
      </c>
      <c r="D8335" s="3" t="s">
        <v>68</v>
      </c>
      <c r="E8335" s="3" t="s">
        <v>100</v>
      </c>
      <c r="F8335" s="7">
        <v>45910.42554296584</v>
      </c>
      <c r="G8335" s="3" t="s">
        <v>6019</v>
      </c>
    </row>
    <row r="8336">
      <c r="A8336" s="3" t="s">
        <v>23087</v>
      </c>
      <c r="B8336" s="3" t="s">
        <v>7635</v>
      </c>
      <c r="C8336" s="5" t="s">
        <v>45</v>
      </c>
      <c r="D8336" s="3" t="s">
        <v>221</v>
      </c>
      <c r="E8336" s="3" t="s">
        <v>637</v>
      </c>
      <c r="F8336" s="7">
        <v>45910.486301144585</v>
      </c>
      <c r="G8336" s="3" t="s">
        <v>7447</v>
      </c>
    </row>
    <row r="8337">
      <c r="A8337" s="3" t="s">
        <v>23089</v>
      </c>
      <c r="B8337" s="3" t="s">
        <v>7635</v>
      </c>
      <c r="C8337" s="5" t="s">
        <v>221</v>
      </c>
      <c r="D8337" s="3" t="s">
        <v>614</v>
      </c>
      <c r="E8337" s="3" t="s">
        <v>118</v>
      </c>
      <c r="F8337" s="7">
        <v>45910.489773366804</v>
      </c>
      <c r="G8337" s="3" t="s">
        <v>7450</v>
      </c>
    </row>
    <row r="8338">
      <c r="A8338" s="3" t="s">
        <v>23091</v>
      </c>
      <c r="B8338" s="3" t="s">
        <v>7635</v>
      </c>
      <c r="C8338" s="5" t="s">
        <v>614</v>
      </c>
      <c r="D8338" s="3" t="s">
        <v>206</v>
      </c>
      <c r="E8338" s="3" t="s">
        <v>100</v>
      </c>
      <c r="F8338" s="7">
        <v>45910.49324558903</v>
      </c>
      <c r="G8338" s="3" t="s">
        <v>7453</v>
      </c>
    </row>
    <row r="8339">
      <c r="A8339" s="3" t="s">
        <v>23093</v>
      </c>
      <c r="B8339" s="3" t="s">
        <v>7635</v>
      </c>
      <c r="C8339" s="5" t="s">
        <v>206</v>
      </c>
      <c r="D8339" s="3" t="s">
        <v>68</v>
      </c>
      <c r="E8339" s="3" t="s">
        <v>100</v>
      </c>
      <c r="F8339" s="7">
        <v>45910.49671781125</v>
      </c>
      <c r="G8339" s="3" t="s">
        <v>7456</v>
      </c>
    </row>
    <row r="8340">
      <c r="A8340" s="3" t="s">
        <v>23094</v>
      </c>
      <c r="B8340" s="3" t="s">
        <v>7637</v>
      </c>
      <c r="C8340" s="5" t="s">
        <v>45</v>
      </c>
      <c r="D8340" s="3" t="s">
        <v>221</v>
      </c>
      <c r="E8340" s="3" t="s">
        <v>466</v>
      </c>
      <c r="F8340" s="7">
        <v>45910.55747599</v>
      </c>
      <c r="G8340" s="3" t="s">
        <v>5502</v>
      </c>
    </row>
    <row r="8341">
      <c r="A8341" s="3" t="s">
        <v>23095</v>
      </c>
      <c r="B8341" s="3" t="s">
        <v>7637</v>
      </c>
      <c r="C8341" s="5" t="s">
        <v>221</v>
      </c>
      <c r="D8341" s="3" t="s">
        <v>614</v>
      </c>
      <c r="E8341" s="3" t="s">
        <v>118</v>
      </c>
      <c r="F8341" s="7">
        <v>45910.560948212216</v>
      </c>
      <c r="G8341" s="3" t="s">
        <v>5505</v>
      </c>
    </row>
    <row r="8342">
      <c r="A8342" s="3" t="s">
        <v>23097</v>
      </c>
      <c r="B8342" s="3" t="s">
        <v>7637</v>
      </c>
      <c r="C8342" s="5" t="s">
        <v>614</v>
      </c>
      <c r="D8342" s="3" t="s">
        <v>206</v>
      </c>
      <c r="E8342" s="3" t="s">
        <v>100</v>
      </c>
      <c r="F8342" s="7">
        <v>45910.56442043444</v>
      </c>
      <c r="G8342" s="3" t="s">
        <v>5508</v>
      </c>
    </row>
    <row r="8343">
      <c r="A8343" s="3" t="s">
        <v>23099</v>
      </c>
      <c r="B8343" s="3" t="s">
        <v>7637</v>
      </c>
      <c r="C8343" s="5" t="s">
        <v>206</v>
      </c>
      <c r="D8343" s="3" t="s">
        <v>68</v>
      </c>
      <c r="E8343" s="3" t="s">
        <v>100</v>
      </c>
      <c r="F8343" s="7">
        <v>45910.56789265666</v>
      </c>
      <c r="G8343" s="3" t="s">
        <v>5511</v>
      </c>
    </row>
    <row r="8344">
      <c r="A8344" s="3" t="s">
        <v>23101</v>
      </c>
      <c r="B8344" s="3" t="s">
        <v>7640</v>
      </c>
      <c r="C8344" s="5" t="s">
        <v>45</v>
      </c>
      <c r="D8344" s="3" t="s">
        <v>221</v>
      </c>
      <c r="E8344" s="3" t="s">
        <v>627</v>
      </c>
      <c r="F8344" s="7">
        <v>45910.62865083542</v>
      </c>
      <c r="G8344" s="3" t="s">
        <v>5514</v>
      </c>
    </row>
    <row r="8345">
      <c r="A8345" s="3" t="s">
        <v>23103</v>
      </c>
      <c r="B8345" s="3" t="s">
        <v>7640</v>
      </c>
      <c r="C8345" s="5" t="s">
        <v>221</v>
      </c>
      <c r="D8345" s="3" t="s">
        <v>614</v>
      </c>
      <c r="E8345" s="3" t="s">
        <v>118</v>
      </c>
      <c r="F8345" s="7">
        <v>45910.632123057636</v>
      </c>
      <c r="G8345" s="3" t="s">
        <v>5517</v>
      </c>
    </row>
    <row r="8346">
      <c r="A8346" s="3" t="s">
        <v>23105</v>
      </c>
      <c r="B8346" s="3" t="s">
        <v>7640</v>
      </c>
      <c r="C8346" s="5" t="s">
        <v>614</v>
      </c>
      <c r="D8346" s="3" t="s">
        <v>206</v>
      </c>
      <c r="E8346" s="3" t="s">
        <v>100</v>
      </c>
      <c r="F8346" s="7">
        <v>45910.63559527986</v>
      </c>
      <c r="G8346" s="3" t="s">
        <v>5520</v>
      </c>
    </row>
    <row r="8347">
      <c r="A8347" s="3" t="s">
        <v>23107</v>
      </c>
      <c r="B8347" s="3" t="s">
        <v>7640</v>
      </c>
      <c r="C8347" s="5" t="s">
        <v>206</v>
      </c>
      <c r="D8347" s="3" t="s">
        <v>68</v>
      </c>
      <c r="E8347" s="3" t="s">
        <v>100</v>
      </c>
      <c r="F8347" s="7">
        <v>45910.63906750208</v>
      </c>
      <c r="G8347" s="3" t="s">
        <v>5523</v>
      </c>
    </row>
    <row r="8348">
      <c r="A8348" s="3" t="s">
        <v>23109</v>
      </c>
      <c r="B8348" s="3" t="s">
        <v>7643</v>
      </c>
      <c r="C8348" s="5" t="s">
        <v>45</v>
      </c>
      <c r="D8348" s="3" t="s">
        <v>221</v>
      </c>
      <c r="E8348" s="3" t="s">
        <v>943</v>
      </c>
      <c r="F8348" s="7">
        <v>45910.69982568083</v>
      </c>
      <c r="G8348" s="3" t="s">
        <v>3655</v>
      </c>
    </row>
    <row r="8349">
      <c r="A8349" s="3" t="s">
        <v>23111</v>
      </c>
      <c r="B8349" s="3" t="s">
        <v>7643</v>
      </c>
      <c r="C8349" s="5" t="s">
        <v>221</v>
      </c>
      <c r="D8349" s="3" t="s">
        <v>614</v>
      </c>
      <c r="E8349" s="3" t="s">
        <v>118</v>
      </c>
      <c r="F8349" s="7">
        <v>45910.70329790305</v>
      </c>
      <c r="G8349" s="3" t="s">
        <v>3658</v>
      </c>
    </row>
    <row r="8350">
      <c r="A8350" s="3" t="s">
        <v>23113</v>
      </c>
      <c r="B8350" s="3" t="s">
        <v>7643</v>
      </c>
      <c r="C8350" s="5" t="s">
        <v>614</v>
      </c>
      <c r="D8350" s="3" t="s">
        <v>206</v>
      </c>
      <c r="E8350" s="3" t="s">
        <v>100</v>
      </c>
      <c r="F8350" s="7">
        <v>45910.706770125274</v>
      </c>
      <c r="G8350" s="3" t="s">
        <v>3661</v>
      </c>
    </row>
    <row r="8351">
      <c r="A8351" s="3" t="s">
        <v>23115</v>
      </c>
      <c r="B8351" s="3" t="s">
        <v>7643</v>
      </c>
      <c r="C8351" s="5" t="s">
        <v>206</v>
      </c>
      <c r="D8351" s="3" t="s">
        <v>68</v>
      </c>
      <c r="E8351" s="3" t="s">
        <v>100</v>
      </c>
      <c r="F8351" s="7">
        <v>45910.71024234749</v>
      </c>
      <c r="G8351" s="3" t="s">
        <v>3664</v>
      </c>
    </row>
    <row r="8352">
      <c r="A8352" s="3" t="s">
        <v>23117</v>
      </c>
      <c r="B8352" s="3" t="s">
        <v>7646</v>
      </c>
      <c r="C8352" s="5" t="s">
        <v>45</v>
      </c>
      <c r="D8352" s="3" t="s">
        <v>221</v>
      </c>
      <c r="E8352" s="3" t="s">
        <v>344</v>
      </c>
      <c r="F8352" s="7">
        <v>45910.77100052624</v>
      </c>
      <c r="G8352" s="3" t="s">
        <v>7697</v>
      </c>
    </row>
    <row r="8353">
      <c r="A8353" s="3" t="s">
        <v>23119</v>
      </c>
      <c r="B8353" s="3" t="s">
        <v>7646</v>
      </c>
      <c r="C8353" s="5" t="s">
        <v>221</v>
      </c>
      <c r="D8353" s="3" t="s">
        <v>614</v>
      </c>
      <c r="E8353" s="3" t="s">
        <v>118</v>
      </c>
      <c r="F8353" s="7">
        <v>45910.77447274846</v>
      </c>
      <c r="G8353" s="3" t="s">
        <v>7700</v>
      </c>
    </row>
    <row r="8354">
      <c r="A8354" s="3" t="s">
        <v>23121</v>
      </c>
      <c r="B8354" s="3" t="s">
        <v>7646</v>
      </c>
      <c r="C8354" s="5" t="s">
        <v>614</v>
      </c>
      <c r="D8354" s="3" t="s">
        <v>206</v>
      </c>
      <c r="E8354" s="3" t="s">
        <v>100</v>
      </c>
      <c r="F8354" s="7">
        <v>45910.77794497069</v>
      </c>
      <c r="G8354" s="3" t="s">
        <v>7703</v>
      </c>
    </row>
    <row r="8355">
      <c r="A8355" s="3" t="s">
        <v>23123</v>
      </c>
      <c r="B8355" s="3" t="s">
        <v>7646</v>
      </c>
      <c r="C8355" s="5" t="s">
        <v>206</v>
      </c>
      <c r="D8355" s="3" t="s">
        <v>68</v>
      </c>
      <c r="E8355" s="3" t="s">
        <v>100</v>
      </c>
      <c r="F8355" s="7">
        <v>45910.781417192906</v>
      </c>
      <c r="G8355" s="3" t="s">
        <v>7706</v>
      </c>
    </row>
    <row r="8356">
      <c r="A8356" s="3" t="s">
        <v>23125</v>
      </c>
      <c r="B8356" s="3" t="s">
        <v>7649</v>
      </c>
      <c r="C8356" s="5" t="s">
        <v>45</v>
      </c>
      <c r="D8356" s="3" t="s">
        <v>221</v>
      </c>
      <c r="E8356" s="3" t="s">
        <v>870</v>
      </c>
      <c r="F8356" s="7">
        <v>45910.84217537166</v>
      </c>
      <c r="G8356" s="3" t="s">
        <v>18421</v>
      </c>
    </row>
    <row r="8357">
      <c r="A8357" s="3" t="s">
        <v>23127</v>
      </c>
      <c r="B8357" s="3" t="s">
        <v>7649</v>
      </c>
      <c r="C8357" s="5" t="s">
        <v>221</v>
      </c>
      <c r="D8357" s="3" t="s">
        <v>614</v>
      </c>
      <c r="E8357" s="3" t="s">
        <v>118</v>
      </c>
      <c r="F8357" s="7">
        <v>45910.84564759388</v>
      </c>
      <c r="G8357" s="3" t="s">
        <v>18424</v>
      </c>
    </row>
    <row r="8358">
      <c r="A8358" s="3" t="s">
        <v>23129</v>
      </c>
      <c r="B8358" s="3" t="s">
        <v>7649</v>
      </c>
      <c r="C8358" s="5" t="s">
        <v>614</v>
      </c>
      <c r="D8358" s="3" t="s">
        <v>206</v>
      </c>
      <c r="E8358" s="3" t="s">
        <v>100</v>
      </c>
      <c r="F8358" s="7">
        <v>45910.84911981611</v>
      </c>
      <c r="G8358" s="3" t="s">
        <v>18427</v>
      </c>
    </row>
    <row r="8359">
      <c r="A8359" s="3" t="s">
        <v>23131</v>
      </c>
      <c r="B8359" s="3" t="s">
        <v>7649</v>
      </c>
      <c r="C8359" s="5" t="s">
        <v>206</v>
      </c>
      <c r="D8359" s="3" t="s">
        <v>68</v>
      </c>
      <c r="E8359" s="3" t="s">
        <v>100</v>
      </c>
      <c r="F8359" s="7">
        <v>45910.852592038325</v>
      </c>
      <c r="G8359" s="3" t="s">
        <v>18430</v>
      </c>
    </row>
    <row r="8360">
      <c r="A8360" s="3" t="s">
        <v>23132</v>
      </c>
      <c r="B8360" s="3" t="s">
        <v>7651</v>
      </c>
      <c r="C8360" s="5" t="s">
        <v>45</v>
      </c>
      <c r="D8360" s="3" t="s">
        <v>221</v>
      </c>
      <c r="E8360" s="3" t="s">
        <v>507</v>
      </c>
      <c r="F8360" s="7">
        <v>45910.91335021707</v>
      </c>
      <c r="G8360" s="3" t="s">
        <v>3899</v>
      </c>
    </row>
    <row r="8361">
      <c r="A8361" s="3" t="s">
        <v>23134</v>
      </c>
      <c r="B8361" s="3" t="s">
        <v>7651</v>
      </c>
      <c r="C8361" s="5" t="s">
        <v>221</v>
      </c>
      <c r="D8361" s="3" t="s">
        <v>614</v>
      </c>
      <c r="E8361" s="3" t="s">
        <v>118</v>
      </c>
      <c r="F8361" s="7">
        <v>45910.91682243929</v>
      </c>
      <c r="G8361" s="3" t="s">
        <v>3902</v>
      </c>
    </row>
    <row r="8362">
      <c r="A8362" s="3" t="s">
        <v>23136</v>
      </c>
      <c r="B8362" s="3" t="s">
        <v>7651</v>
      </c>
      <c r="C8362" s="5" t="s">
        <v>614</v>
      </c>
      <c r="D8362" s="3" t="s">
        <v>206</v>
      </c>
      <c r="E8362" s="3" t="s">
        <v>100</v>
      </c>
      <c r="F8362" s="7">
        <v>45910.92029466152</v>
      </c>
      <c r="G8362" s="3" t="s">
        <v>3905</v>
      </c>
    </row>
    <row r="8363">
      <c r="A8363" s="3" t="s">
        <v>23138</v>
      </c>
      <c r="B8363" s="3" t="s">
        <v>7651</v>
      </c>
      <c r="C8363" s="5" t="s">
        <v>206</v>
      </c>
      <c r="D8363" s="3" t="s">
        <v>68</v>
      </c>
      <c r="E8363" s="3" t="s">
        <v>100</v>
      </c>
      <c r="F8363" s="7">
        <v>45910.92376688374</v>
      </c>
      <c r="G8363" s="3" t="s">
        <v>3908</v>
      </c>
    </row>
    <row r="8364">
      <c r="A8364" s="3" t="s">
        <v>23140</v>
      </c>
      <c r="B8364" s="3" t="s">
        <v>7654</v>
      </c>
      <c r="C8364" s="5" t="s">
        <v>45</v>
      </c>
      <c r="D8364" s="3" t="s">
        <v>221</v>
      </c>
      <c r="E8364" s="3" t="s">
        <v>937</v>
      </c>
      <c r="F8364" s="7">
        <v>45910.984525062486</v>
      </c>
      <c r="G8364" s="3" t="s">
        <v>5525</v>
      </c>
    </row>
    <row r="8365">
      <c r="A8365" s="3" t="s">
        <v>23142</v>
      </c>
      <c r="B8365" s="3" t="s">
        <v>7654</v>
      </c>
      <c r="C8365" s="5" t="s">
        <v>221</v>
      </c>
      <c r="D8365" s="3" t="s">
        <v>614</v>
      </c>
      <c r="E8365" s="3" t="s">
        <v>118</v>
      </c>
      <c r="F8365" s="7">
        <v>45910.987997284705</v>
      </c>
      <c r="G8365" s="3" t="s">
        <v>5528</v>
      </c>
    </row>
    <row r="8366">
      <c r="A8366" s="3" t="s">
        <v>23144</v>
      </c>
      <c r="B8366" s="3" t="s">
        <v>7654</v>
      </c>
      <c r="C8366" s="5" t="s">
        <v>614</v>
      </c>
      <c r="D8366" s="3" t="s">
        <v>206</v>
      </c>
      <c r="E8366" s="3" t="s">
        <v>100</v>
      </c>
      <c r="F8366" s="7">
        <v>45910.99146950693</v>
      </c>
      <c r="G8366" s="3" t="s">
        <v>5531</v>
      </c>
    </row>
    <row r="8367">
      <c r="A8367" s="3" t="s">
        <v>23146</v>
      </c>
      <c r="B8367" s="3" t="s">
        <v>7654</v>
      </c>
      <c r="C8367" s="5" t="s">
        <v>206</v>
      </c>
      <c r="D8367" s="3" t="s">
        <v>68</v>
      </c>
      <c r="E8367" s="3" t="s">
        <v>100</v>
      </c>
      <c r="F8367" s="7">
        <v>45910.99494172915</v>
      </c>
      <c r="G8367" s="3" t="s">
        <v>5534</v>
      </c>
    </row>
    <row r="8368">
      <c r="A8368" s="3" t="s">
        <v>23148</v>
      </c>
      <c r="B8368" s="3" t="s">
        <v>7656</v>
      </c>
      <c r="C8368" s="5" t="s">
        <v>45</v>
      </c>
      <c r="D8368" s="3" t="s">
        <v>221</v>
      </c>
      <c r="E8368" s="3" t="s">
        <v>682</v>
      </c>
      <c r="F8368" s="7">
        <v>45911.055699907905</v>
      </c>
      <c r="G8368" s="3" t="s">
        <v>23150</v>
      </c>
    </row>
    <row r="8369">
      <c r="A8369" s="3" t="s">
        <v>23151</v>
      </c>
      <c r="B8369" s="3" t="s">
        <v>7656</v>
      </c>
      <c r="C8369" s="5" t="s">
        <v>221</v>
      </c>
      <c r="D8369" s="3" t="s">
        <v>614</v>
      </c>
      <c r="E8369" s="3" t="s">
        <v>118</v>
      </c>
      <c r="F8369" s="7">
        <v>45911.059172130124</v>
      </c>
      <c r="G8369" s="3" t="s">
        <v>23153</v>
      </c>
    </row>
    <row r="8370">
      <c r="A8370" s="3" t="s">
        <v>23154</v>
      </c>
      <c r="B8370" s="3" t="s">
        <v>7656</v>
      </c>
      <c r="C8370" s="5" t="s">
        <v>614</v>
      </c>
      <c r="D8370" s="3" t="s">
        <v>206</v>
      </c>
      <c r="E8370" s="3" t="s">
        <v>100</v>
      </c>
      <c r="F8370" s="7">
        <v>45911.06264435235</v>
      </c>
      <c r="G8370" s="3" t="s">
        <v>23155</v>
      </c>
    </row>
    <row r="8371">
      <c r="A8371" s="3" t="s">
        <v>23157</v>
      </c>
      <c r="B8371" s="3" t="s">
        <v>7656</v>
      </c>
      <c r="C8371" s="5" t="s">
        <v>206</v>
      </c>
      <c r="D8371" s="3" t="s">
        <v>68</v>
      </c>
      <c r="E8371" s="3" t="s">
        <v>100</v>
      </c>
      <c r="F8371" s="7">
        <v>45911.06611657457</v>
      </c>
      <c r="G8371" s="3" t="s">
        <v>23158</v>
      </c>
    </row>
    <row r="8372">
      <c r="A8372" s="3" t="s">
        <v>23160</v>
      </c>
      <c r="B8372" s="3" t="s">
        <v>7658</v>
      </c>
      <c r="C8372" s="5" t="s">
        <v>45</v>
      </c>
      <c r="D8372" s="3" t="s">
        <v>221</v>
      </c>
      <c r="E8372" s="3" t="s">
        <v>969</v>
      </c>
      <c r="F8372" s="7">
        <v>45911.12687475332</v>
      </c>
      <c r="G8372" s="3" t="s">
        <v>11508</v>
      </c>
    </row>
    <row r="8373">
      <c r="A8373" s="3" t="s">
        <v>23162</v>
      </c>
      <c r="B8373" s="3" t="s">
        <v>7658</v>
      </c>
      <c r="C8373" s="5" t="s">
        <v>221</v>
      </c>
      <c r="D8373" s="3" t="s">
        <v>614</v>
      </c>
      <c r="E8373" s="3" t="s">
        <v>118</v>
      </c>
      <c r="F8373" s="7">
        <v>45911.13034697554</v>
      </c>
      <c r="G8373" s="3" t="s">
        <v>11511</v>
      </c>
    </row>
    <row r="8374">
      <c r="A8374" s="3" t="s">
        <v>23164</v>
      </c>
      <c r="B8374" s="3" t="s">
        <v>7658</v>
      </c>
      <c r="C8374" s="5" t="s">
        <v>614</v>
      </c>
      <c r="D8374" s="3" t="s">
        <v>206</v>
      </c>
      <c r="E8374" s="3" t="s">
        <v>100</v>
      </c>
      <c r="F8374" s="7">
        <v>45911.13381919776</v>
      </c>
      <c r="G8374" s="3" t="s">
        <v>11513</v>
      </c>
    </row>
    <row r="8375">
      <c r="A8375" s="3" t="s">
        <v>23166</v>
      </c>
      <c r="B8375" s="3" t="s">
        <v>7658</v>
      </c>
      <c r="C8375" s="5" t="s">
        <v>206</v>
      </c>
      <c r="D8375" s="3" t="s">
        <v>68</v>
      </c>
      <c r="E8375" s="3" t="s">
        <v>100</v>
      </c>
      <c r="F8375" s="7">
        <v>45911.13729141998</v>
      </c>
      <c r="G8375" s="3" t="s">
        <v>11516</v>
      </c>
    </row>
    <row r="8376">
      <c r="A8376" s="3" t="s">
        <v>23167</v>
      </c>
      <c r="B8376" s="3" t="s">
        <v>7661</v>
      </c>
      <c r="C8376" s="5" t="s">
        <v>45</v>
      </c>
      <c r="D8376" s="3" t="s">
        <v>221</v>
      </c>
      <c r="E8376" s="3" t="s">
        <v>253</v>
      </c>
      <c r="F8376" s="7">
        <v>45911.19804959873</v>
      </c>
      <c r="G8376" s="3" t="s">
        <v>23169</v>
      </c>
    </row>
    <row r="8377">
      <c r="A8377" s="3" t="s">
        <v>23171</v>
      </c>
      <c r="B8377" s="3" t="s">
        <v>7661</v>
      </c>
      <c r="C8377" s="5" t="s">
        <v>221</v>
      </c>
      <c r="D8377" s="3" t="s">
        <v>614</v>
      </c>
      <c r="E8377" s="3" t="s">
        <v>118</v>
      </c>
      <c r="F8377" s="7">
        <v>45911.20152182095</v>
      </c>
      <c r="G8377" s="3" t="s">
        <v>23172</v>
      </c>
    </row>
    <row r="8378">
      <c r="A8378" s="3" t="s">
        <v>23174</v>
      </c>
      <c r="B8378" s="3" t="s">
        <v>7661</v>
      </c>
      <c r="C8378" s="5" t="s">
        <v>614</v>
      </c>
      <c r="D8378" s="3" t="s">
        <v>206</v>
      </c>
      <c r="E8378" s="3" t="s">
        <v>100</v>
      </c>
      <c r="F8378" s="7">
        <v>45911.204994043175</v>
      </c>
      <c r="G8378" s="3" t="s">
        <v>23175</v>
      </c>
    </row>
    <row r="8379">
      <c r="A8379" s="3" t="s">
        <v>23176</v>
      </c>
      <c r="B8379" s="3" t="s">
        <v>7661</v>
      </c>
      <c r="C8379" s="5" t="s">
        <v>206</v>
      </c>
      <c r="D8379" s="3" t="s">
        <v>68</v>
      </c>
      <c r="E8379" s="3" t="s">
        <v>100</v>
      </c>
      <c r="F8379" s="7">
        <v>45911.208466265394</v>
      </c>
      <c r="G8379" s="3" t="s">
        <v>23178</v>
      </c>
    </row>
    <row r="8380">
      <c r="A8380" s="3" t="s">
        <v>23179</v>
      </c>
      <c r="B8380" s="3" t="s">
        <v>7665</v>
      </c>
      <c r="C8380" s="5" t="s">
        <v>45</v>
      </c>
      <c r="D8380" s="3" t="s">
        <v>221</v>
      </c>
      <c r="E8380" s="3" t="s">
        <v>233</v>
      </c>
      <c r="F8380" s="7">
        <v>45911.26922444415</v>
      </c>
      <c r="G8380" s="3" t="s">
        <v>23181</v>
      </c>
    </row>
    <row r="8381">
      <c r="A8381" s="3" t="s">
        <v>23182</v>
      </c>
      <c r="B8381" s="3" t="s">
        <v>7665</v>
      </c>
      <c r="C8381" s="5" t="s">
        <v>221</v>
      </c>
      <c r="D8381" s="3" t="s">
        <v>181</v>
      </c>
      <c r="E8381" s="3" t="s">
        <v>118</v>
      </c>
      <c r="F8381" s="7">
        <v>45911.27269666637</v>
      </c>
      <c r="G8381" s="3" t="s">
        <v>23184</v>
      </c>
    </row>
    <row r="8382">
      <c r="A8382" s="3" t="s">
        <v>23185</v>
      </c>
      <c r="B8382" s="3" t="s">
        <v>7668</v>
      </c>
      <c r="C8382" s="5" t="s">
        <v>45</v>
      </c>
      <c r="D8382" s="3" t="s">
        <v>221</v>
      </c>
      <c r="E8382" s="3" t="s">
        <v>722</v>
      </c>
      <c r="F8382" s="7">
        <v>45911.34039928957</v>
      </c>
      <c r="G8382" s="3" t="s">
        <v>14712</v>
      </c>
    </row>
    <row r="8383">
      <c r="A8383" s="3" t="s">
        <v>23187</v>
      </c>
      <c r="B8383" s="3" t="s">
        <v>7668</v>
      </c>
      <c r="C8383" s="5" t="s">
        <v>221</v>
      </c>
      <c r="D8383" s="3" t="s">
        <v>614</v>
      </c>
      <c r="E8383" s="3" t="s">
        <v>118</v>
      </c>
      <c r="F8383" s="7">
        <v>45911.34387151179</v>
      </c>
      <c r="G8383" s="3" t="s">
        <v>14715</v>
      </c>
    </row>
    <row r="8384">
      <c r="A8384" s="3" t="s">
        <v>23189</v>
      </c>
      <c r="B8384" s="3" t="s">
        <v>7668</v>
      </c>
      <c r="C8384" s="5" t="s">
        <v>614</v>
      </c>
      <c r="D8384" s="3" t="s">
        <v>206</v>
      </c>
      <c r="E8384" s="3" t="s">
        <v>100</v>
      </c>
      <c r="F8384" s="7">
        <v>45911.347343734014</v>
      </c>
      <c r="G8384" s="3" t="s">
        <v>14718</v>
      </c>
    </row>
    <row r="8385">
      <c r="A8385" s="3" t="s">
        <v>23191</v>
      </c>
      <c r="B8385" s="3" t="s">
        <v>7668</v>
      </c>
      <c r="C8385" s="5" t="s">
        <v>206</v>
      </c>
      <c r="D8385" s="3" t="s">
        <v>68</v>
      </c>
      <c r="E8385" s="3" t="s">
        <v>100</v>
      </c>
      <c r="F8385" s="7">
        <v>45911.35081595623</v>
      </c>
      <c r="G8385" s="3" t="s">
        <v>14721</v>
      </c>
    </row>
    <row r="8386">
      <c r="A8386" s="3" t="s">
        <v>23192</v>
      </c>
      <c r="B8386" s="3" t="s">
        <v>7672</v>
      </c>
      <c r="C8386" s="5" t="s">
        <v>45</v>
      </c>
      <c r="D8386" s="3" t="s">
        <v>221</v>
      </c>
      <c r="E8386" s="3" t="s">
        <v>1030</v>
      </c>
      <c r="F8386" s="7">
        <v>45911.411574134974</v>
      </c>
      <c r="G8386" s="3" t="s">
        <v>5537</v>
      </c>
    </row>
    <row r="8387">
      <c r="A8387" s="3" t="s">
        <v>23194</v>
      </c>
      <c r="B8387" s="3" t="s">
        <v>7672</v>
      </c>
      <c r="C8387" s="5" t="s">
        <v>221</v>
      </c>
      <c r="D8387" s="3" t="s">
        <v>614</v>
      </c>
      <c r="E8387" s="3" t="s">
        <v>118</v>
      </c>
      <c r="F8387" s="7">
        <v>45911.41504635719</v>
      </c>
      <c r="G8387" s="3" t="s">
        <v>5539</v>
      </c>
    </row>
    <row r="8388">
      <c r="A8388" s="3" t="s">
        <v>23196</v>
      </c>
      <c r="B8388" s="3" t="s">
        <v>7672</v>
      </c>
      <c r="C8388" s="5" t="s">
        <v>614</v>
      </c>
      <c r="D8388" s="3" t="s">
        <v>206</v>
      </c>
      <c r="E8388" s="3" t="s">
        <v>100</v>
      </c>
      <c r="F8388" s="7">
        <v>45911.41851857942</v>
      </c>
      <c r="G8388" s="3" t="s">
        <v>5542</v>
      </c>
    </row>
    <row r="8389">
      <c r="A8389" s="3" t="s">
        <v>23198</v>
      </c>
      <c r="B8389" s="3" t="s">
        <v>7672</v>
      </c>
      <c r="C8389" s="5" t="s">
        <v>206</v>
      </c>
      <c r="D8389" s="3" t="s">
        <v>68</v>
      </c>
      <c r="E8389" s="3" t="s">
        <v>100</v>
      </c>
      <c r="F8389" s="7">
        <v>45911.42199080164</v>
      </c>
      <c r="G8389" s="3" t="s">
        <v>5545</v>
      </c>
    </row>
    <row r="8390">
      <c r="A8390" s="3" t="s">
        <v>23200</v>
      </c>
      <c r="B8390" s="3" t="s">
        <v>7675</v>
      </c>
      <c r="C8390" s="5" t="s">
        <v>45</v>
      </c>
      <c r="D8390" s="3" t="s">
        <v>221</v>
      </c>
      <c r="E8390" s="3" t="s">
        <v>619</v>
      </c>
      <c r="F8390" s="7">
        <v>45911.482748980394</v>
      </c>
      <c r="G8390" s="3" t="s">
        <v>8120</v>
      </c>
    </row>
    <row r="8391">
      <c r="A8391" s="3" t="s">
        <v>23202</v>
      </c>
      <c r="B8391" s="3" t="s">
        <v>7675</v>
      </c>
      <c r="C8391" s="5" t="s">
        <v>221</v>
      </c>
      <c r="D8391" s="3" t="s">
        <v>614</v>
      </c>
      <c r="E8391" s="3" t="s">
        <v>118</v>
      </c>
      <c r="F8391" s="7">
        <v>45911.48622120261</v>
      </c>
      <c r="G8391" s="3" t="s">
        <v>8123</v>
      </c>
    </row>
    <row r="8392">
      <c r="A8392" s="3" t="s">
        <v>23204</v>
      </c>
      <c r="B8392" s="3" t="s">
        <v>7675</v>
      </c>
      <c r="C8392" s="5" t="s">
        <v>614</v>
      </c>
      <c r="D8392" s="3" t="s">
        <v>206</v>
      </c>
      <c r="E8392" s="3" t="s">
        <v>100</v>
      </c>
      <c r="F8392" s="7">
        <v>45911.48969342484</v>
      </c>
      <c r="G8392" s="3" t="s">
        <v>8125</v>
      </c>
    </row>
    <row r="8393">
      <c r="A8393" s="3" t="s">
        <v>23206</v>
      </c>
      <c r="B8393" s="3" t="s">
        <v>7675</v>
      </c>
      <c r="C8393" s="5" t="s">
        <v>206</v>
      </c>
      <c r="D8393" s="3" t="s">
        <v>68</v>
      </c>
      <c r="E8393" s="3" t="s">
        <v>100</v>
      </c>
      <c r="F8393" s="7">
        <v>45911.49316564706</v>
      </c>
      <c r="G8393" s="3" t="s">
        <v>8128</v>
      </c>
    </row>
    <row r="8394">
      <c r="A8394" s="3" t="s">
        <v>23208</v>
      </c>
      <c r="B8394" s="3" t="s">
        <v>7678</v>
      </c>
      <c r="C8394" s="5" t="s">
        <v>45</v>
      </c>
      <c r="D8394" s="3" t="s">
        <v>221</v>
      </c>
      <c r="E8394" s="3" t="s">
        <v>533</v>
      </c>
      <c r="F8394" s="7">
        <v>45911.55392382581</v>
      </c>
      <c r="G8394" s="3" t="s">
        <v>5548</v>
      </c>
    </row>
    <row r="8395">
      <c r="A8395" s="3" t="s">
        <v>23210</v>
      </c>
      <c r="B8395" s="3" t="s">
        <v>7678</v>
      </c>
      <c r="C8395" s="5" t="s">
        <v>221</v>
      </c>
      <c r="D8395" s="3" t="s">
        <v>614</v>
      </c>
      <c r="E8395" s="3" t="s">
        <v>118</v>
      </c>
      <c r="F8395" s="7">
        <v>45911.55739604803</v>
      </c>
      <c r="G8395" s="3" t="s">
        <v>5551</v>
      </c>
    </row>
    <row r="8396">
      <c r="A8396" s="3" t="s">
        <v>23212</v>
      </c>
      <c r="B8396" s="3" t="s">
        <v>7678</v>
      </c>
      <c r="C8396" s="5" t="s">
        <v>614</v>
      </c>
      <c r="D8396" s="3" t="s">
        <v>206</v>
      </c>
      <c r="E8396" s="3" t="s">
        <v>100</v>
      </c>
      <c r="F8396" s="7">
        <v>45911.56086827026</v>
      </c>
      <c r="G8396" s="3" t="s">
        <v>5554</v>
      </c>
    </row>
    <row r="8397">
      <c r="A8397" s="3" t="s">
        <v>23214</v>
      </c>
      <c r="B8397" s="3" t="s">
        <v>7678</v>
      </c>
      <c r="C8397" s="5" t="s">
        <v>206</v>
      </c>
      <c r="D8397" s="3" t="s">
        <v>68</v>
      </c>
      <c r="E8397" s="3" t="s">
        <v>100</v>
      </c>
      <c r="F8397" s="7">
        <v>45911.56434049248</v>
      </c>
      <c r="G8397" s="3" t="s">
        <v>5556</v>
      </c>
    </row>
    <row r="8398">
      <c r="A8398" s="3" t="s">
        <v>23216</v>
      </c>
      <c r="B8398" s="3" t="s">
        <v>7681</v>
      </c>
      <c r="C8398" s="5" t="s">
        <v>45</v>
      </c>
      <c r="D8398" s="3" t="s">
        <v>221</v>
      </c>
      <c r="E8398" s="3" t="s">
        <v>657</v>
      </c>
      <c r="F8398" s="7">
        <v>45911.625098671226</v>
      </c>
      <c r="G8398" s="3" t="s">
        <v>5559</v>
      </c>
    </row>
    <row r="8399">
      <c r="A8399" s="3" t="s">
        <v>23218</v>
      </c>
      <c r="B8399" s="3" t="s">
        <v>7681</v>
      </c>
      <c r="C8399" s="5" t="s">
        <v>221</v>
      </c>
      <c r="D8399" s="3" t="s">
        <v>614</v>
      </c>
      <c r="E8399" s="3" t="s">
        <v>118</v>
      </c>
      <c r="F8399" s="7">
        <v>45911.628570893445</v>
      </c>
      <c r="G8399" s="3" t="s">
        <v>5562</v>
      </c>
    </row>
    <row r="8400">
      <c r="A8400" s="3" t="s">
        <v>23220</v>
      </c>
      <c r="B8400" s="3" t="s">
        <v>7681</v>
      </c>
      <c r="C8400" s="5" t="s">
        <v>614</v>
      </c>
      <c r="D8400" s="3" t="s">
        <v>206</v>
      </c>
      <c r="E8400" s="3" t="s">
        <v>100</v>
      </c>
      <c r="F8400" s="7">
        <v>45911.63204311567</v>
      </c>
      <c r="G8400" s="3" t="s">
        <v>5565</v>
      </c>
    </row>
    <row r="8401">
      <c r="A8401" s="3" t="s">
        <v>23222</v>
      </c>
      <c r="B8401" s="3" t="s">
        <v>7681</v>
      </c>
      <c r="C8401" s="5" t="s">
        <v>206</v>
      </c>
      <c r="D8401" s="3" t="s">
        <v>68</v>
      </c>
      <c r="E8401" s="3" t="s">
        <v>100</v>
      </c>
      <c r="F8401" s="7">
        <v>45911.63551533789</v>
      </c>
      <c r="G8401" s="3" t="s">
        <v>5568</v>
      </c>
    </row>
    <row r="8402">
      <c r="A8402" s="3" t="s">
        <v>23224</v>
      </c>
      <c r="B8402" s="3" t="s">
        <v>7685</v>
      </c>
      <c r="C8402" s="5" t="s">
        <v>45</v>
      </c>
      <c r="D8402" s="3" t="s">
        <v>221</v>
      </c>
      <c r="E8402" s="3" t="s">
        <v>702</v>
      </c>
      <c r="F8402" s="7">
        <v>45911.69627351664</v>
      </c>
      <c r="G8402" s="3" t="s">
        <v>5617</v>
      </c>
    </row>
    <row r="8403">
      <c r="A8403" s="3" t="s">
        <v>23226</v>
      </c>
      <c r="B8403" s="3" t="s">
        <v>7685</v>
      </c>
      <c r="C8403" s="5" t="s">
        <v>221</v>
      </c>
      <c r="D8403" s="3" t="s">
        <v>195</v>
      </c>
      <c r="E8403" s="3" t="s">
        <v>702</v>
      </c>
      <c r="F8403" s="7">
        <v>45911.69974573886</v>
      </c>
      <c r="G8403" s="3" t="s">
        <v>23227</v>
      </c>
    </row>
    <row r="8404">
      <c r="A8404" s="3" t="s">
        <v>23229</v>
      </c>
      <c r="B8404" s="3" t="s">
        <v>7689</v>
      </c>
      <c r="C8404" s="5" t="s">
        <v>45</v>
      </c>
      <c r="D8404" s="3" t="s">
        <v>221</v>
      </c>
      <c r="E8404" s="3" t="s">
        <v>998</v>
      </c>
      <c r="F8404" s="7">
        <v>45911.76744836206</v>
      </c>
      <c r="G8404" s="3" t="s">
        <v>23230</v>
      </c>
    </row>
    <row r="8405">
      <c r="A8405" s="3" t="s">
        <v>23232</v>
      </c>
      <c r="B8405" s="3" t="s">
        <v>7689</v>
      </c>
      <c r="C8405" s="5" t="s">
        <v>221</v>
      </c>
      <c r="D8405" s="3" t="s">
        <v>614</v>
      </c>
      <c r="E8405" s="3" t="s">
        <v>118</v>
      </c>
      <c r="F8405" s="7">
        <v>45911.77092058428</v>
      </c>
      <c r="G8405" s="3" t="s">
        <v>23233</v>
      </c>
    </row>
    <row r="8406">
      <c r="A8406" s="3" t="s">
        <v>23235</v>
      </c>
      <c r="B8406" s="3" t="s">
        <v>7689</v>
      </c>
      <c r="C8406" s="5" t="s">
        <v>614</v>
      </c>
      <c r="D8406" s="3" t="s">
        <v>206</v>
      </c>
      <c r="E8406" s="3" t="s">
        <v>100</v>
      </c>
      <c r="F8406" s="7">
        <v>45911.7743928065</v>
      </c>
      <c r="G8406" s="3" t="s">
        <v>23236</v>
      </c>
    </row>
    <row r="8407">
      <c r="A8407" s="3" t="s">
        <v>23238</v>
      </c>
      <c r="B8407" s="3" t="s">
        <v>7689</v>
      </c>
      <c r="C8407" s="5" t="s">
        <v>206</v>
      </c>
      <c r="D8407" s="3" t="s">
        <v>68</v>
      </c>
      <c r="E8407" s="3" t="s">
        <v>100</v>
      </c>
      <c r="F8407" s="7">
        <v>45911.77786502872</v>
      </c>
      <c r="G8407" s="3" t="s">
        <v>23239</v>
      </c>
    </row>
    <row r="8408">
      <c r="A8408" s="3" t="s">
        <v>23240</v>
      </c>
      <c r="B8408" s="3" t="s">
        <v>7692</v>
      </c>
      <c r="C8408" s="5" t="s">
        <v>45</v>
      </c>
      <c r="D8408" s="3" t="s">
        <v>221</v>
      </c>
      <c r="E8408" s="3" t="s">
        <v>224</v>
      </c>
      <c r="F8408" s="7">
        <v>45911.83862320747</v>
      </c>
      <c r="G8408" s="3" t="s">
        <v>23242</v>
      </c>
    </row>
    <row r="8409">
      <c r="A8409" s="3" t="s">
        <v>23243</v>
      </c>
      <c r="B8409" s="3" t="s">
        <v>7692</v>
      </c>
      <c r="C8409" s="5" t="s">
        <v>221</v>
      </c>
      <c r="D8409" s="3" t="s">
        <v>614</v>
      </c>
      <c r="E8409" s="3" t="s">
        <v>118</v>
      </c>
      <c r="F8409" s="7">
        <v>45911.84209542969</v>
      </c>
      <c r="G8409" s="3" t="s">
        <v>23245</v>
      </c>
    </row>
    <row r="8410">
      <c r="A8410" s="3" t="s">
        <v>23246</v>
      </c>
      <c r="B8410" s="3" t="s">
        <v>7692</v>
      </c>
      <c r="C8410" s="5" t="s">
        <v>614</v>
      </c>
      <c r="D8410" s="3" t="s">
        <v>206</v>
      </c>
      <c r="E8410" s="3" t="s">
        <v>100</v>
      </c>
      <c r="F8410" s="7">
        <v>45911.845567651915</v>
      </c>
      <c r="G8410" s="3" t="s">
        <v>23248</v>
      </c>
    </row>
    <row r="8411">
      <c r="A8411" s="3" t="s">
        <v>23249</v>
      </c>
      <c r="B8411" s="3" t="s">
        <v>7692</v>
      </c>
      <c r="C8411" s="5" t="s">
        <v>206</v>
      </c>
      <c r="D8411" s="3" t="s">
        <v>68</v>
      </c>
      <c r="E8411" s="3" t="s">
        <v>100</v>
      </c>
      <c r="F8411" s="7">
        <v>45911.849039874134</v>
      </c>
      <c r="G8411" s="3" t="s">
        <v>23251</v>
      </c>
    </row>
    <row r="8412">
      <c r="A8412" s="3" t="s">
        <v>23252</v>
      </c>
      <c r="B8412" s="3" t="s">
        <v>7694</v>
      </c>
      <c r="C8412" s="5" t="s">
        <v>45</v>
      </c>
      <c r="D8412" s="3" t="s">
        <v>221</v>
      </c>
      <c r="E8412" s="3" t="s">
        <v>789</v>
      </c>
      <c r="F8412" s="7">
        <v>45911.90979805288</v>
      </c>
      <c r="G8412" s="3" t="s">
        <v>5631</v>
      </c>
    </row>
    <row r="8413">
      <c r="A8413" s="3" t="s">
        <v>23254</v>
      </c>
      <c r="B8413" s="3" t="s">
        <v>7694</v>
      </c>
      <c r="C8413" s="5" t="s">
        <v>221</v>
      </c>
      <c r="D8413" s="3" t="s">
        <v>614</v>
      </c>
      <c r="E8413" s="3" t="s">
        <v>118</v>
      </c>
      <c r="F8413" s="7">
        <v>45911.9132702751</v>
      </c>
      <c r="G8413" s="3" t="s">
        <v>5634</v>
      </c>
    </row>
    <row r="8414">
      <c r="A8414" s="3" t="s">
        <v>23256</v>
      </c>
      <c r="B8414" s="3" t="s">
        <v>7694</v>
      </c>
      <c r="C8414" s="5" t="s">
        <v>614</v>
      </c>
      <c r="D8414" s="3" t="s">
        <v>206</v>
      </c>
      <c r="E8414" s="3" t="s">
        <v>100</v>
      </c>
      <c r="F8414" s="7">
        <v>45911.91674249733</v>
      </c>
      <c r="G8414" s="3" t="s">
        <v>5636</v>
      </c>
    </row>
    <row r="8415">
      <c r="A8415" s="3" t="s">
        <v>23258</v>
      </c>
      <c r="B8415" s="3" t="s">
        <v>7694</v>
      </c>
      <c r="C8415" s="5" t="s">
        <v>206</v>
      </c>
      <c r="D8415" s="3" t="s">
        <v>68</v>
      </c>
      <c r="E8415" s="3" t="s">
        <v>100</v>
      </c>
      <c r="F8415" s="7">
        <v>45911.92021471955</v>
      </c>
      <c r="G8415" s="3" t="s">
        <v>5639</v>
      </c>
    </row>
    <row r="8416">
      <c r="A8416" s="3" t="s">
        <v>23260</v>
      </c>
      <c r="B8416" s="3" t="s">
        <v>7696</v>
      </c>
      <c r="C8416" s="5" t="s">
        <v>45</v>
      </c>
      <c r="D8416" s="3" t="s">
        <v>221</v>
      </c>
      <c r="E8416" s="3" t="s">
        <v>752</v>
      </c>
      <c r="F8416" s="7">
        <v>45911.9809728983</v>
      </c>
      <c r="G8416" s="3" t="s">
        <v>5719</v>
      </c>
    </row>
    <row r="8417">
      <c r="A8417" s="3" t="s">
        <v>23262</v>
      </c>
      <c r="B8417" s="3" t="s">
        <v>7696</v>
      </c>
      <c r="C8417" s="5" t="s">
        <v>221</v>
      </c>
      <c r="D8417" s="3" t="s">
        <v>614</v>
      </c>
      <c r="E8417" s="3" t="s">
        <v>118</v>
      </c>
      <c r="F8417" s="7">
        <v>45911.98444512052</v>
      </c>
      <c r="G8417" s="3" t="s">
        <v>5723</v>
      </c>
    </row>
    <row r="8418">
      <c r="A8418" s="3" t="s">
        <v>23264</v>
      </c>
      <c r="B8418" s="3" t="s">
        <v>7696</v>
      </c>
      <c r="C8418" s="5" t="s">
        <v>614</v>
      </c>
      <c r="D8418" s="3" t="s">
        <v>206</v>
      </c>
      <c r="E8418" s="3" t="s">
        <v>100</v>
      </c>
      <c r="F8418" s="7">
        <v>45911.98791734275</v>
      </c>
      <c r="G8418" s="3" t="s">
        <v>5726</v>
      </c>
    </row>
    <row r="8419">
      <c r="A8419" s="3" t="s">
        <v>23266</v>
      </c>
      <c r="B8419" s="3" t="s">
        <v>7696</v>
      </c>
      <c r="C8419" s="5" t="s">
        <v>206</v>
      </c>
      <c r="D8419" s="3" t="s">
        <v>68</v>
      </c>
      <c r="E8419" s="3" t="s">
        <v>100</v>
      </c>
      <c r="F8419" s="7">
        <v>45911.991389564966</v>
      </c>
      <c r="G8419" s="3" t="s">
        <v>5729</v>
      </c>
    </row>
    <row r="8420">
      <c r="A8420" s="3" t="s">
        <v>23268</v>
      </c>
      <c r="B8420" s="3" t="s">
        <v>7699</v>
      </c>
      <c r="C8420" s="5" t="s">
        <v>45</v>
      </c>
      <c r="D8420" s="3" t="s">
        <v>221</v>
      </c>
      <c r="E8420" s="3" t="s">
        <v>377</v>
      </c>
      <c r="F8420" s="7">
        <v>45912.052147743714</v>
      </c>
      <c r="G8420" s="3" t="s">
        <v>4588</v>
      </c>
    </row>
    <row r="8421">
      <c r="A8421" s="3" t="s">
        <v>23270</v>
      </c>
      <c r="B8421" s="3" t="s">
        <v>7699</v>
      </c>
      <c r="C8421" s="5" t="s">
        <v>221</v>
      </c>
      <c r="D8421" s="3" t="s">
        <v>614</v>
      </c>
      <c r="E8421" s="3" t="s">
        <v>118</v>
      </c>
      <c r="F8421" s="7">
        <v>45912.05561996593</v>
      </c>
      <c r="G8421" s="3" t="s">
        <v>4591</v>
      </c>
    </row>
    <row r="8422">
      <c r="A8422" s="3" t="s">
        <v>23272</v>
      </c>
      <c r="B8422" s="3" t="s">
        <v>7699</v>
      </c>
      <c r="C8422" s="5" t="s">
        <v>614</v>
      </c>
      <c r="D8422" s="3" t="s">
        <v>206</v>
      </c>
      <c r="E8422" s="3" t="s">
        <v>100</v>
      </c>
      <c r="F8422" s="7">
        <v>45912.05909218816</v>
      </c>
      <c r="G8422" s="3" t="s">
        <v>4594</v>
      </c>
    </row>
    <row r="8423">
      <c r="A8423" s="3" t="s">
        <v>23274</v>
      </c>
      <c r="B8423" s="3" t="s">
        <v>7699</v>
      </c>
      <c r="C8423" s="5" t="s">
        <v>206</v>
      </c>
      <c r="D8423" s="3" t="s">
        <v>68</v>
      </c>
      <c r="E8423" s="3" t="s">
        <v>100</v>
      </c>
      <c r="F8423" s="7">
        <v>45912.06256441038</v>
      </c>
      <c r="G8423" s="3" t="s">
        <v>4597</v>
      </c>
    </row>
    <row r="8424">
      <c r="A8424" s="3" t="s">
        <v>23276</v>
      </c>
      <c r="B8424" s="3" t="s">
        <v>7702</v>
      </c>
      <c r="C8424" s="5" t="s">
        <v>45</v>
      </c>
      <c r="D8424" s="3" t="s">
        <v>221</v>
      </c>
      <c r="E8424" s="3" t="s">
        <v>310</v>
      </c>
      <c r="F8424" s="7">
        <v>45912.12332258913</v>
      </c>
      <c r="G8424" s="3" t="s">
        <v>16811</v>
      </c>
    </row>
    <row r="8425">
      <c r="A8425" s="3" t="s">
        <v>23278</v>
      </c>
      <c r="B8425" s="3" t="s">
        <v>7702</v>
      </c>
      <c r="C8425" s="5" t="s">
        <v>221</v>
      </c>
      <c r="D8425" s="3" t="s">
        <v>614</v>
      </c>
      <c r="E8425" s="3" t="s">
        <v>118</v>
      </c>
      <c r="F8425" s="7">
        <v>45912.126794811345</v>
      </c>
      <c r="G8425" s="3" t="s">
        <v>16814</v>
      </c>
    </row>
    <row r="8426">
      <c r="A8426" s="3" t="s">
        <v>23279</v>
      </c>
      <c r="B8426" s="3" t="s">
        <v>7702</v>
      </c>
      <c r="C8426" s="5" t="s">
        <v>614</v>
      </c>
      <c r="D8426" s="3" t="s">
        <v>206</v>
      </c>
      <c r="E8426" s="3" t="s">
        <v>100</v>
      </c>
      <c r="F8426" s="7">
        <v>45912.13026703357</v>
      </c>
      <c r="G8426" s="3" t="s">
        <v>16817</v>
      </c>
    </row>
    <row r="8427">
      <c r="A8427" s="3" t="s">
        <v>23281</v>
      </c>
      <c r="B8427" s="3" t="s">
        <v>7702</v>
      </c>
      <c r="C8427" s="5" t="s">
        <v>206</v>
      </c>
      <c r="D8427" s="3" t="s">
        <v>68</v>
      </c>
      <c r="E8427" s="3" t="s">
        <v>100</v>
      </c>
      <c r="F8427" s="7">
        <v>45912.13373925579</v>
      </c>
      <c r="G8427" s="3" t="s">
        <v>16820</v>
      </c>
    </row>
    <row r="8428">
      <c r="A8428" s="3" t="s">
        <v>23283</v>
      </c>
      <c r="B8428" s="3" t="s">
        <v>7705</v>
      </c>
      <c r="C8428" s="5" t="s">
        <v>45</v>
      </c>
      <c r="D8428" s="3" t="s">
        <v>221</v>
      </c>
      <c r="E8428" s="3" t="s">
        <v>263</v>
      </c>
      <c r="F8428" s="7">
        <v>45912.194497434546</v>
      </c>
      <c r="G8428" s="3" t="s">
        <v>23285</v>
      </c>
    </row>
    <row r="8429">
      <c r="A8429" s="3" t="s">
        <v>23286</v>
      </c>
      <c r="B8429" s="3" t="s">
        <v>7705</v>
      </c>
      <c r="C8429" s="5" t="s">
        <v>221</v>
      </c>
      <c r="D8429" s="3" t="s">
        <v>614</v>
      </c>
      <c r="E8429" s="3" t="s">
        <v>118</v>
      </c>
      <c r="F8429" s="7">
        <v>45912.197969656765</v>
      </c>
      <c r="G8429" s="3" t="s">
        <v>23288</v>
      </c>
    </row>
    <row r="8430">
      <c r="A8430" s="3" t="s">
        <v>23289</v>
      </c>
      <c r="B8430" s="3" t="s">
        <v>7705</v>
      </c>
      <c r="C8430" s="5" t="s">
        <v>614</v>
      </c>
      <c r="D8430" s="3" t="s">
        <v>206</v>
      </c>
      <c r="E8430" s="3" t="s">
        <v>100</v>
      </c>
      <c r="F8430" s="7">
        <v>45912.20144187899</v>
      </c>
      <c r="G8430" s="3" t="s">
        <v>23291</v>
      </c>
    </row>
    <row r="8431">
      <c r="A8431" s="3" t="s">
        <v>23292</v>
      </c>
      <c r="B8431" s="3" t="s">
        <v>7705</v>
      </c>
      <c r="C8431" s="5" t="s">
        <v>206</v>
      </c>
      <c r="D8431" s="3" t="s">
        <v>68</v>
      </c>
      <c r="E8431" s="3" t="s">
        <v>100</v>
      </c>
      <c r="F8431" s="7">
        <v>45912.20491410121</v>
      </c>
      <c r="G8431" s="3" t="s">
        <v>23294</v>
      </c>
    </row>
    <row r="8432">
      <c r="A8432" s="3" t="s">
        <v>23295</v>
      </c>
      <c r="B8432" s="3" t="s">
        <v>7708</v>
      </c>
      <c r="C8432" s="5" t="s">
        <v>45</v>
      </c>
      <c r="D8432" s="3" t="s">
        <v>221</v>
      </c>
      <c r="E8432" s="3" t="s">
        <v>313</v>
      </c>
      <c r="F8432" s="7">
        <v>45912.26567227996</v>
      </c>
      <c r="G8432" s="3" t="s">
        <v>5744</v>
      </c>
    </row>
    <row r="8433">
      <c r="A8433" s="3" t="s">
        <v>23297</v>
      </c>
      <c r="B8433" s="3" t="s">
        <v>7708</v>
      </c>
      <c r="C8433" s="5" t="s">
        <v>221</v>
      </c>
      <c r="D8433" s="3" t="s">
        <v>614</v>
      </c>
      <c r="E8433" s="3" t="s">
        <v>118</v>
      </c>
      <c r="F8433" s="7">
        <v>45912.26914450218</v>
      </c>
      <c r="G8433" s="3" t="s">
        <v>5747</v>
      </c>
    </row>
    <row r="8434">
      <c r="A8434" s="3" t="s">
        <v>23299</v>
      </c>
      <c r="B8434" s="3" t="s">
        <v>7708</v>
      </c>
      <c r="C8434" s="5" t="s">
        <v>614</v>
      </c>
      <c r="D8434" s="3" t="s">
        <v>206</v>
      </c>
      <c r="E8434" s="3" t="s">
        <v>100</v>
      </c>
      <c r="F8434" s="7">
        <v>45912.2726167244</v>
      </c>
      <c r="G8434" s="3" t="s">
        <v>5750</v>
      </c>
    </row>
    <row r="8435">
      <c r="A8435" s="3" t="s">
        <v>23301</v>
      </c>
      <c r="B8435" s="3" t="s">
        <v>7708</v>
      </c>
      <c r="C8435" s="5" t="s">
        <v>206</v>
      </c>
      <c r="D8435" s="3" t="s">
        <v>68</v>
      </c>
      <c r="E8435" s="3" t="s">
        <v>100</v>
      </c>
      <c r="F8435" s="7">
        <v>45912.27608894662</v>
      </c>
      <c r="G8435" s="3" t="s">
        <v>5753</v>
      </c>
    </row>
    <row r="8436">
      <c r="A8436" s="3" t="s">
        <v>23303</v>
      </c>
      <c r="B8436" s="3" t="s">
        <v>7710</v>
      </c>
      <c r="C8436" s="5" t="s">
        <v>45</v>
      </c>
      <c r="D8436" s="3" t="s">
        <v>221</v>
      </c>
      <c r="E8436" s="3" t="s">
        <v>230</v>
      </c>
      <c r="F8436" s="7">
        <v>45912.33684712537</v>
      </c>
      <c r="G8436" s="3" t="s">
        <v>15734</v>
      </c>
    </row>
    <row r="8437">
      <c r="A8437" s="3" t="s">
        <v>23305</v>
      </c>
      <c r="B8437" s="3" t="s">
        <v>7710</v>
      </c>
      <c r="C8437" s="5" t="s">
        <v>221</v>
      </c>
      <c r="D8437" s="3" t="s">
        <v>614</v>
      </c>
      <c r="E8437" s="3" t="s">
        <v>118</v>
      </c>
      <c r="F8437" s="7">
        <v>45912.34031934759</v>
      </c>
      <c r="G8437" s="3" t="s">
        <v>15737</v>
      </c>
    </row>
    <row r="8438">
      <c r="A8438" s="3" t="s">
        <v>23307</v>
      </c>
      <c r="B8438" s="3" t="s">
        <v>7710</v>
      </c>
      <c r="C8438" s="5" t="s">
        <v>614</v>
      </c>
      <c r="D8438" s="3" t="s">
        <v>206</v>
      </c>
      <c r="E8438" s="3" t="s">
        <v>100</v>
      </c>
      <c r="F8438" s="7">
        <v>45912.343791569816</v>
      </c>
      <c r="G8438" s="3" t="s">
        <v>15740</v>
      </c>
    </row>
    <row r="8439">
      <c r="A8439" s="3" t="s">
        <v>23308</v>
      </c>
      <c r="B8439" s="3" t="s">
        <v>7710</v>
      </c>
      <c r="C8439" s="5" t="s">
        <v>206</v>
      </c>
      <c r="D8439" s="3" t="s">
        <v>68</v>
      </c>
      <c r="E8439" s="3" t="s">
        <v>100</v>
      </c>
      <c r="F8439" s="7">
        <v>45912.347263792035</v>
      </c>
      <c r="G8439" s="3" t="s">
        <v>15743</v>
      </c>
    </row>
    <row r="8440">
      <c r="A8440" s="3" t="s">
        <v>23310</v>
      </c>
      <c r="B8440" s="3" t="s">
        <v>7712</v>
      </c>
      <c r="C8440" s="5" t="s">
        <v>45</v>
      </c>
      <c r="D8440" s="3" t="s">
        <v>221</v>
      </c>
      <c r="E8440" s="3" t="s">
        <v>510</v>
      </c>
      <c r="F8440" s="7">
        <v>45912.40802197079</v>
      </c>
      <c r="G8440" s="3" t="s">
        <v>23312</v>
      </c>
    </row>
    <row r="8441">
      <c r="A8441" s="3" t="s">
        <v>23313</v>
      </c>
      <c r="B8441" s="3" t="s">
        <v>7712</v>
      </c>
      <c r="C8441" s="5" t="s">
        <v>221</v>
      </c>
      <c r="D8441" s="3" t="s">
        <v>181</v>
      </c>
      <c r="E8441" s="3" t="s">
        <v>118</v>
      </c>
      <c r="F8441" s="7">
        <v>45912.41149419301</v>
      </c>
      <c r="G8441" s="3" t="s">
        <v>23315</v>
      </c>
    </row>
    <row r="8442">
      <c r="A8442" s="3" t="s">
        <v>23316</v>
      </c>
      <c r="B8442" s="3" t="s">
        <v>7714</v>
      </c>
      <c r="C8442" s="5" t="s">
        <v>45</v>
      </c>
      <c r="D8442" s="3" t="s">
        <v>221</v>
      </c>
      <c r="E8442" s="3" t="s">
        <v>266</v>
      </c>
      <c r="F8442" s="7">
        <v>45912.47919681621</v>
      </c>
      <c r="G8442" s="3" t="s">
        <v>5755</v>
      </c>
    </row>
    <row r="8443">
      <c r="A8443" s="3" t="s">
        <v>23318</v>
      </c>
      <c r="B8443" s="3" t="s">
        <v>7714</v>
      </c>
      <c r="C8443" s="5" t="s">
        <v>221</v>
      </c>
      <c r="D8443" s="3" t="s">
        <v>614</v>
      </c>
      <c r="E8443" s="3" t="s">
        <v>118</v>
      </c>
      <c r="F8443" s="7">
        <v>45912.48266903843</v>
      </c>
      <c r="G8443" s="3" t="s">
        <v>5758</v>
      </c>
    </row>
    <row r="8444">
      <c r="A8444" s="3" t="s">
        <v>23320</v>
      </c>
      <c r="B8444" s="3" t="s">
        <v>7714</v>
      </c>
      <c r="C8444" s="5" t="s">
        <v>614</v>
      </c>
      <c r="D8444" s="3" t="s">
        <v>206</v>
      </c>
      <c r="E8444" s="3" t="s">
        <v>100</v>
      </c>
      <c r="F8444" s="7">
        <v>45912.486141260655</v>
      </c>
      <c r="G8444" s="3" t="s">
        <v>5761</v>
      </c>
    </row>
    <row r="8445">
      <c r="A8445" s="3" t="s">
        <v>23322</v>
      </c>
      <c r="B8445" s="3" t="s">
        <v>7714</v>
      </c>
      <c r="C8445" s="5" t="s">
        <v>206</v>
      </c>
      <c r="D8445" s="3" t="s">
        <v>68</v>
      </c>
      <c r="E8445" s="3" t="s">
        <v>100</v>
      </c>
      <c r="F8445" s="7">
        <v>45912.489613482874</v>
      </c>
      <c r="G8445" s="3" t="s">
        <v>5764</v>
      </c>
    </row>
    <row r="8446">
      <c r="A8446" s="3" t="s">
        <v>23324</v>
      </c>
      <c r="B8446" s="3" t="s">
        <v>7716</v>
      </c>
      <c r="C8446" s="5" t="s">
        <v>45</v>
      </c>
      <c r="D8446" s="3" t="s">
        <v>221</v>
      </c>
      <c r="E8446" s="3" t="s">
        <v>746</v>
      </c>
      <c r="F8446" s="7">
        <v>45912.550371661615</v>
      </c>
      <c r="G8446" s="3" t="s">
        <v>18028</v>
      </c>
    </row>
    <row r="8447">
      <c r="A8447" s="3" t="s">
        <v>23326</v>
      </c>
      <c r="B8447" s="3" t="s">
        <v>7716</v>
      </c>
      <c r="C8447" s="5" t="s">
        <v>221</v>
      </c>
      <c r="D8447" s="3" t="s">
        <v>614</v>
      </c>
      <c r="E8447" s="3" t="s">
        <v>118</v>
      </c>
      <c r="F8447" s="7">
        <v>45912.553843883834</v>
      </c>
      <c r="G8447" s="3" t="s">
        <v>18031</v>
      </c>
    </row>
    <row r="8448">
      <c r="A8448" s="3" t="s">
        <v>23328</v>
      </c>
      <c r="B8448" s="3" t="s">
        <v>7716</v>
      </c>
      <c r="C8448" s="5" t="s">
        <v>614</v>
      </c>
      <c r="D8448" s="3" t="s">
        <v>206</v>
      </c>
      <c r="E8448" s="3" t="s">
        <v>100</v>
      </c>
      <c r="F8448" s="7">
        <v>45912.55731610606</v>
      </c>
      <c r="G8448" s="3" t="s">
        <v>18034</v>
      </c>
    </row>
    <row r="8449">
      <c r="A8449" s="3" t="s">
        <v>23330</v>
      </c>
      <c r="B8449" s="3" t="s">
        <v>7716</v>
      </c>
      <c r="C8449" s="5" t="s">
        <v>206</v>
      </c>
      <c r="D8449" s="3" t="s">
        <v>68</v>
      </c>
      <c r="E8449" s="3" t="s">
        <v>100</v>
      </c>
      <c r="F8449" s="7">
        <v>45912.56078832828</v>
      </c>
      <c r="G8449" s="3" t="s">
        <v>18037</v>
      </c>
    </row>
    <row r="8450">
      <c r="A8450" s="3" t="s">
        <v>23332</v>
      </c>
      <c r="B8450" s="3" t="s">
        <v>7718</v>
      </c>
      <c r="C8450" s="5" t="s">
        <v>45</v>
      </c>
      <c r="D8450" s="3" t="s">
        <v>221</v>
      </c>
      <c r="E8450" s="3" t="s">
        <v>546</v>
      </c>
      <c r="F8450" s="7">
        <v>45912.621546507035</v>
      </c>
      <c r="G8450" s="3" t="s">
        <v>5786</v>
      </c>
    </row>
    <row r="8451">
      <c r="A8451" s="3" t="s">
        <v>23334</v>
      </c>
      <c r="B8451" s="3" t="s">
        <v>7718</v>
      </c>
      <c r="C8451" s="5" t="s">
        <v>221</v>
      </c>
      <c r="D8451" s="3" t="s">
        <v>614</v>
      </c>
      <c r="E8451" s="3" t="s">
        <v>118</v>
      </c>
      <c r="F8451" s="7">
        <v>45912.62501872925</v>
      </c>
      <c r="G8451" s="3" t="s">
        <v>5789</v>
      </c>
    </row>
    <row r="8452">
      <c r="A8452" s="3" t="s">
        <v>23336</v>
      </c>
      <c r="B8452" s="3" t="s">
        <v>7718</v>
      </c>
      <c r="C8452" s="5" t="s">
        <v>614</v>
      </c>
      <c r="D8452" s="3" t="s">
        <v>206</v>
      </c>
      <c r="E8452" s="3" t="s">
        <v>100</v>
      </c>
      <c r="F8452" s="7">
        <v>45912.62849095148</v>
      </c>
      <c r="G8452" s="3" t="s">
        <v>5792</v>
      </c>
    </row>
    <row r="8453">
      <c r="A8453" s="3" t="s">
        <v>23338</v>
      </c>
      <c r="B8453" s="3" t="s">
        <v>7718</v>
      </c>
      <c r="C8453" s="5" t="s">
        <v>206</v>
      </c>
      <c r="D8453" s="3" t="s">
        <v>68</v>
      </c>
      <c r="E8453" s="3" t="s">
        <v>100</v>
      </c>
      <c r="F8453" s="7">
        <v>45912.6319631737</v>
      </c>
      <c r="G8453" s="3" t="s">
        <v>5795</v>
      </c>
    </row>
    <row r="8454">
      <c r="A8454" s="3" t="s">
        <v>23340</v>
      </c>
      <c r="B8454" s="3" t="s">
        <v>7723</v>
      </c>
      <c r="C8454" s="5" t="s">
        <v>45</v>
      </c>
      <c r="D8454" s="3" t="s">
        <v>221</v>
      </c>
      <c r="E8454" s="3" t="s">
        <v>640</v>
      </c>
      <c r="F8454" s="7">
        <v>45912.692721352454</v>
      </c>
      <c r="G8454" s="3" t="s">
        <v>23341</v>
      </c>
    </row>
    <row r="8455">
      <c r="A8455" s="3" t="s">
        <v>23343</v>
      </c>
      <c r="B8455" s="3" t="s">
        <v>7723</v>
      </c>
      <c r="C8455" s="5" t="s">
        <v>221</v>
      </c>
      <c r="D8455" s="3" t="s">
        <v>614</v>
      </c>
      <c r="E8455" s="3" t="s">
        <v>118</v>
      </c>
      <c r="F8455" s="7">
        <v>45912.69619357467</v>
      </c>
      <c r="G8455" s="3" t="s">
        <v>23344</v>
      </c>
    </row>
    <row r="8456">
      <c r="A8456" s="3" t="s">
        <v>23346</v>
      </c>
      <c r="B8456" s="3" t="s">
        <v>7723</v>
      </c>
      <c r="C8456" s="5" t="s">
        <v>614</v>
      </c>
      <c r="D8456" s="3" t="s">
        <v>206</v>
      </c>
      <c r="E8456" s="3" t="s">
        <v>100</v>
      </c>
      <c r="F8456" s="7">
        <v>45912.6996657969</v>
      </c>
      <c r="G8456" s="3" t="s">
        <v>23347</v>
      </c>
    </row>
    <row r="8457">
      <c r="A8457" s="3" t="s">
        <v>23348</v>
      </c>
      <c r="B8457" s="3" t="s">
        <v>7723</v>
      </c>
      <c r="C8457" s="5" t="s">
        <v>206</v>
      </c>
      <c r="D8457" s="3" t="s">
        <v>68</v>
      </c>
      <c r="E8457" s="3" t="s">
        <v>100</v>
      </c>
      <c r="F8457" s="7">
        <v>45912.70313801912</v>
      </c>
      <c r="G8457" s="3" t="s">
        <v>23350</v>
      </c>
    </row>
    <row r="8458">
      <c r="A8458" s="3" t="s">
        <v>23351</v>
      </c>
      <c r="B8458" s="3" t="s">
        <v>7726</v>
      </c>
      <c r="C8458" s="5" t="s">
        <v>45</v>
      </c>
      <c r="D8458" s="3" t="s">
        <v>221</v>
      </c>
      <c r="E8458" s="3" t="s">
        <v>523</v>
      </c>
      <c r="F8458" s="7">
        <v>45912.76389619787</v>
      </c>
      <c r="G8458" s="3" t="s">
        <v>5821</v>
      </c>
    </row>
    <row r="8459">
      <c r="A8459" s="3" t="s">
        <v>23353</v>
      </c>
      <c r="B8459" s="3" t="s">
        <v>7726</v>
      </c>
      <c r="C8459" s="5" t="s">
        <v>221</v>
      </c>
      <c r="D8459" s="3" t="s">
        <v>614</v>
      </c>
      <c r="E8459" s="3" t="s">
        <v>118</v>
      </c>
      <c r="F8459" s="7">
        <v>45912.767368420085</v>
      </c>
      <c r="G8459" s="3" t="s">
        <v>5824</v>
      </c>
    </row>
    <row r="8460">
      <c r="A8460" s="3" t="s">
        <v>23355</v>
      </c>
      <c r="B8460" s="3" t="s">
        <v>7726</v>
      </c>
      <c r="C8460" s="5" t="s">
        <v>614</v>
      </c>
      <c r="D8460" s="3" t="s">
        <v>206</v>
      </c>
      <c r="E8460" s="3" t="s">
        <v>100</v>
      </c>
      <c r="F8460" s="7">
        <v>45912.77084064231</v>
      </c>
      <c r="G8460" s="3" t="s">
        <v>5827</v>
      </c>
    </row>
    <row r="8461">
      <c r="A8461" s="3" t="s">
        <v>23357</v>
      </c>
      <c r="B8461" s="3" t="s">
        <v>7726</v>
      </c>
      <c r="C8461" s="5" t="s">
        <v>206</v>
      </c>
      <c r="D8461" s="3" t="s">
        <v>68</v>
      </c>
      <c r="E8461" s="3" t="s">
        <v>100</v>
      </c>
      <c r="F8461" s="7">
        <v>45912.77431286453</v>
      </c>
      <c r="G8461" s="3" t="s">
        <v>5831</v>
      </c>
    </row>
    <row r="8462">
      <c r="A8462" s="3" t="s">
        <v>23359</v>
      </c>
      <c r="B8462" s="3" t="s">
        <v>7729</v>
      </c>
      <c r="C8462" s="5" t="s">
        <v>45</v>
      </c>
      <c r="D8462" s="3" t="s">
        <v>221</v>
      </c>
      <c r="E8462" s="3" t="s">
        <v>533</v>
      </c>
      <c r="F8462" s="7">
        <v>45912.83507104328</v>
      </c>
      <c r="G8462" s="3" t="s">
        <v>5606</v>
      </c>
    </row>
    <row r="8463">
      <c r="A8463" s="3" t="s">
        <v>23361</v>
      </c>
      <c r="B8463" s="3" t="s">
        <v>7729</v>
      </c>
      <c r="C8463" s="5" t="s">
        <v>221</v>
      </c>
      <c r="D8463" s="3" t="s">
        <v>614</v>
      </c>
      <c r="E8463" s="3" t="s">
        <v>118</v>
      </c>
      <c r="F8463" s="7">
        <v>45912.8385432655</v>
      </c>
      <c r="G8463" s="3" t="s">
        <v>5609</v>
      </c>
    </row>
    <row r="8464">
      <c r="A8464" s="3" t="s">
        <v>23363</v>
      </c>
      <c r="B8464" s="3" t="s">
        <v>7729</v>
      </c>
      <c r="C8464" s="5" t="s">
        <v>614</v>
      </c>
      <c r="D8464" s="3" t="s">
        <v>206</v>
      </c>
      <c r="E8464" s="3" t="s">
        <v>100</v>
      </c>
      <c r="F8464" s="7">
        <v>45912.842015487724</v>
      </c>
      <c r="G8464" s="3" t="s">
        <v>5612</v>
      </c>
    </row>
    <row r="8465">
      <c r="A8465" s="3" t="s">
        <v>23365</v>
      </c>
      <c r="B8465" s="3" t="s">
        <v>7729</v>
      </c>
      <c r="C8465" s="5" t="s">
        <v>206</v>
      </c>
      <c r="D8465" s="3" t="s">
        <v>68</v>
      </c>
      <c r="E8465" s="3" t="s">
        <v>100</v>
      </c>
      <c r="F8465" s="7">
        <v>45912.84548770994</v>
      </c>
      <c r="G8465" s="3" t="s">
        <v>5614</v>
      </c>
    </row>
    <row r="8466">
      <c r="A8466" s="3" t="s">
        <v>23367</v>
      </c>
      <c r="B8466" s="3" t="s">
        <v>7733</v>
      </c>
      <c r="C8466" s="5" t="s">
        <v>45</v>
      </c>
      <c r="D8466" s="3" t="s">
        <v>221</v>
      </c>
      <c r="E8466" s="3" t="s">
        <v>505</v>
      </c>
      <c r="F8466" s="7">
        <v>45912.9062458887</v>
      </c>
      <c r="G8466" s="3" t="s">
        <v>4770</v>
      </c>
    </row>
    <row r="8467">
      <c r="A8467" s="3" t="s">
        <v>23369</v>
      </c>
      <c r="B8467" s="3" t="s">
        <v>7733</v>
      </c>
      <c r="C8467" s="5" t="s">
        <v>221</v>
      </c>
      <c r="D8467" s="3" t="s">
        <v>614</v>
      </c>
      <c r="E8467" s="3" t="s">
        <v>118</v>
      </c>
      <c r="F8467" s="7">
        <v>45912.90971811092</v>
      </c>
      <c r="G8467" s="3" t="s">
        <v>4773</v>
      </c>
    </row>
    <row r="8468">
      <c r="A8468" s="3" t="s">
        <v>23371</v>
      </c>
      <c r="B8468" s="3" t="s">
        <v>7733</v>
      </c>
      <c r="C8468" s="5" t="s">
        <v>614</v>
      </c>
      <c r="D8468" s="3" t="s">
        <v>206</v>
      </c>
      <c r="E8468" s="3" t="s">
        <v>100</v>
      </c>
      <c r="F8468" s="7">
        <v>45912.91319033314</v>
      </c>
      <c r="G8468" s="3" t="s">
        <v>4776</v>
      </c>
    </row>
    <row r="8469">
      <c r="A8469" s="3" t="s">
        <v>23373</v>
      </c>
      <c r="B8469" s="3" t="s">
        <v>7733</v>
      </c>
      <c r="C8469" s="5" t="s">
        <v>206</v>
      </c>
      <c r="D8469" s="3" t="s">
        <v>68</v>
      </c>
      <c r="E8469" s="3" t="s">
        <v>100</v>
      </c>
      <c r="F8469" s="7">
        <v>45912.91666255536</v>
      </c>
      <c r="G8469" s="3" t="s">
        <v>4779</v>
      </c>
    </row>
    <row r="8470">
      <c r="A8470" s="3" t="s">
        <v>23375</v>
      </c>
      <c r="B8470" s="3" t="s">
        <v>7737</v>
      </c>
      <c r="C8470" s="5" t="s">
        <v>45</v>
      </c>
      <c r="D8470" s="3" t="s">
        <v>221</v>
      </c>
      <c r="E8470" s="3" t="s">
        <v>637</v>
      </c>
      <c r="F8470" s="7">
        <v>45912.97742073411</v>
      </c>
      <c r="G8470" s="3" t="s">
        <v>7447</v>
      </c>
    </row>
    <row r="8471">
      <c r="A8471" s="3" t="s">
        <v>23377</v>
      </c>
      <c r="B8471" s="3" t="s">
        <v>7737</v>
      </c>
      <c r="C8471" s="5" t="s">
        <v>221</v>
      </c>
      <c r="D8471" s="3" t="s">
        <v>614</v>
      </c>
      <c r="E8471" s="3" t="s">
        <v>118</v>
      </c>
      <c r="F8471" s="7">
        <v>45912.98089295633</v>
      </c>
      <c r="G8471" s="3" t="s">
        <v>7450</v>
      </c>
    </row>
    <row r="8472">
      <c r="A8472" s="3" t="s">
        <v>23379</v>
      </c>
      <c r="B8472" s="3" t="s">
        <v>7737</v>
      </c>
      <c r="C8472" s="5" t="s">
        <v>614</v>
      </c>
      <c r="D8472" s="3" t="s">
        <v>206</v>
      </c>
      <c r="E8472" s="3" t="s">
        <v>100</v>
      </c>
      <c r="F8472" s="7">
        <v>45912.984365178556</v>
      </c>
      <c r="G8472" s="3" t="s">
        <v>7453</v>
      </c>
    </row>
    <row r="8473">
      <c r="A8473" s="3" t="s">
        <v>23380</v>
      </c>
      <c r="B8473" s="3" t="s">
        <v>7737</v>
      </c>
      <c r="C8473" s="5" t="s">
        <v>206</v>
      </c>
      <c r="D8473" s="3" t="s">
        <v>68</v>
      </c>
      <c r="E8473" s="3" t="s">
        <v>100</v>
      </c>
      <c r="F8473" s="7">
        <v>45912.987837400775</v>
      </c>
      <c r="G8473" s="3" t="s">
        <v>7456</v>
      </c>
    </row>
    <row r="8474">
      <c r="A8474" s="3" t="s">
        <v>23382</v>
      </c>
      <c r="B8474" s="3" t="s">
        <v>7740</v>
      </c>
      <c r="C8474" s="5" t="s">
        <v>45</v>
      </c>
      <c r="D8474" s="3" t="s">
        <v>221</v>
      </c>
      <c r="E8474" s="3" t="s">
        <v>145</v>
      </c>
      <c r="F8474" s="7">
        <v>45913.04859557952</v>
      </c>
      <c r="G8474" s="3" t="s">
        <v>10105</v>
      </c>
    </row>
    <row r="8475">
      <c r="A8475" s="3" t="s">
        <v>23386</v>
      </c>
      <c r="B8475" s="3" t="s">
        <v>7740</v>
      </c>
      <c r="C8475" s="5" t="s">
        <v>221</v>
      </c>
      <c r="D8475" s="3" t="s">
        <v>614</v>
      </c>
      <c r="E8475" s="3" t="s">
        <v>118</v>
      </c>
      <c r="F8475" s="7">
        <v>45913.05206780174</v>
      </c>
      <c r="G8475" s="3" t="s">
        <v>10109</v>
      </c>
    </row>
    <row r="8476">
      <c r="A8476" s="3" t="s">
        <v>23388</v>
      </c>
      <c r="B8476" s="3" t="s">
        <v>7740</v>
      </c>
      <c r="C8476" s="5" t="s">
        <v>614</v>
      </c>
      <c r="D8476" s="3" t="s">
        <v>206</v>
      </c>
      <c r="E8476" s="3" t="s">
        <v>100</v>
      </c>
      <c r="F8476" s="7">
        <v>45913.05554002397</v>
      </c>
      <c r="G8476" s="3" t="s">
        <v>10112</v>
      </c>
    </row>
    <row r="8477">
      <c r="A8477" s="3" t="s">
        <v>23390</v>
      </c>
      <c r="B8477" s="3" t="s">
        <v>7740</v>
      </c>
      <c r="C8477" s="5" t="s">
        <v>206</v>
      </c>
      <c r="D8477" s="3" t="s">
        <v>68</v>
      </c>
      <c r="E8477" s="3" t="s">
        <v>100</v>
      </c>
      <c r="F8477" s="7">
        <v>45913.05901224619</v>
      </c>
      <c r="G8477" s="3" t="s">
        <v>10116</v>
      </c>
    </row>
    <row r="8478">
      <c r="A8478" s="3" t="s">
        <v>23392</v>
      </c>
      <c r="B8478" s="3" t="s">
        <v>7743</v>
      </c>
      <c r="C8478" s="5" t="s">
        <v>45</v>
      </c>
      <c r="D8478" s="3" t="s">
        <v>221</v>
      </c>
      <c r="E8478" s="3" t="s">
        <v>193</v>
      </c>
      <c r="F8478" s="7">
        <v>45913.11977042494</v>
      </c>
      <c r="G8478" s="3" t="s">
        <v>23394</v>
      </c>
    </row>
    <row r="8479">
      <c r="A8479" s="3" t="s">
        <v>23395</v>
      </c>
      <c r="B8479" s="3" t="s">
        <v>7743</v>
      </c>
      <c r="C8479" s="5" t="s">
        <v>221</v>
      </c>
      <c r="D8479" s="3" t="s">
        <v>614</v>
      </c>
      <c r="E8479" s="3" t="s">
        <v>118</v>
      </c>
      <c r="F8479" s="7">
        <v>45913.12324264716</v>
      </c>
      <c r="G8479" s="3" t="s">
        <v>23396</v>
      </c>
    </row>
    <row r="8480">
      <c r="A8480" s="3" t="s">
        <v>23398</v>
      </c>
      <c r="B8480" s="3" t="s">
        <v>7743</v>
      </c>
      <c r="C8480" s="5" t="s">
        <v>614</v>
      </c>
      <c r="D8480" s="3" t="s">
        <v>206</v>
      </c>
      <c r="E8480" s="3" t="s">
        <v>100</v>
      </c>
      <c r="F8480" s="7">
        <v>45913.12671486939</v>
      </c>
      <c r="G8480" s="3" t="s">
        <v>23399</v>
      </c>
    </row>
    <row r="8481">
      <c r="A8481" s="3" t="s">
        <v>23401</v>
      </c>
      <c r="B8481" s="3" t="s">
        <v>7743</v>
      </c>
      <c r="C8481" s="5" t="s">
        <v>206</v>
      </c>
      <c r="D8481" s="3" t="s">
        <v>68</v>
      </c>
      <c r="E8481" s="3" t="s">
        <v>100</v>
      </c>
      <c r="F8481" s="7">
        <v>45913.13018709161</v>
      </c>
      <c r="G8481" s="3" t="s">
        <v>23402</v>
      </c>
    </row>
    <row r="8482">
      <c r="A8482" s="3" t="s">
        <v>23403</v>
      </c>
      <c r="B8482" s="3" t="s">
        <v>7746</v>
      </c>
      <c r="C8482" s="5" t="s">
        <v>45</v>
      </c>
      <c r="D8482" s="3" t="s">
        <v>221</v>
      </c>
      <c r="E8482" s="3" t="s">
        <v>569</v>
      </c>
      <c r="F8482" s="7">
        <v>45913.19094527036</v>
      </c>
      <c r="G8482" s="3" t="s">
        <v>19542</v>
      </c>
    </row>
    <row r="8483">
      <c r="A8483" s="3" t="s">
        <v>23405</v>
      </c>
      <c r="B8483" s="3" t="s">
        <v>7746</v>
      </c>
      <c r="C8483" s="5" t="s">
        <v>221</v>
      </c>
      <c r="D8483" s="3" t="s">
        <v>614</v>
      </c>
      <c r="E8483" s="3" t="s">
        <v>118</v>
      </c>
      <c r="F8483" s="7">
        <v>45913.19441749258</v>
      </c>
      <c r="G8483" s="3" t="s">
        <v>19544</v>
      </c>
    </row>
    <row r="8484">
      <c r="A8484" s="3" t="s">
        <v>23407</v>
      </c>
      <c r="B8484" s="3" t="s">
        <v>7746</v>
      </c>
      <c r="C8484" s="5" t="s">
        <v>614</v>
      </c>
      <c r="D8484" s="3" t="s">
        <v>206</v>
      </c>
      <c r="E8484" s="3" t="s">
        <v>100</v>
      </c>
      <c r="F8484" s="7">
        <v>45913.19788971481</v>
      </c>
      <c r="G8484" s="3" t="s">
        <v>19547</v>
      </c>
    </row>
    <row r="8485">
      <c r="A8485" s="3" t="s">
        <v>23409</v>
      </c>
      <c r="B8485" s="3" t="s">
        <v>7746</v>
      </c>
      <c r="C8485" s="5" t="s">
        <v>206</v>
      </c>
      <c r="D8485" s="3" t="s">
        <v>68</v>
      </c>
      <c r="E8485" s="3" t="s">
        <v>100</v>
      </c>
      <c r="F8485" s="7">
        <v>45913.20136193703</v>
      </c>
      <c r="G8485" s="3" t="s">
        <v>19550</v>
      </c>
    </row>
    <row r="8486">
      <c r="A8486" s="3" t="s">
        <v>23411</v>
      </c>
      <c r="B8486" s="3" t="s">
        <v>7749</v>
      </c>
      <c r="C8486" s="5" t="s">
        <v>45</v>
      </c>
      <c r="D8486" s="3" t="s">
        <v>221</v>
      </c>
      <c r="E8486" s="3" t="s">
        <v>1037</v>
      </c>
      <c r="F8486" s="7">
        <v>45913.26212011577</v>
      </c>
      <c r="G8486" s="3" t="s">
        <v>6996</v>
      </c>
    </row>
    <row r="8487">
      <c r="A8487" s="3" t="s">
        <v>23413</v>
      </c>
      <c r="B8487" s="3" t="s">
        <v>7749</v>
      </c>
      <c r="C8487" s="5" t="s">
        <v>221</v>
      </c>
      <c r="D8487" s="3" t="s">
        <v>614</v>
      </c>
      <c r="E8487" s="3" t="s">
        <v>118</v>
      </c>
      <c r="F8487" s="7">
        <v>45913.265592337986</v>
      </c>
      <c r="G8487" s="3" t="s">
        <v>6999</v>
      </c>
    </row>
    <row r="8488">
      <c r="A8488" s="3" t="s">
        <v>23415</v>
      </c>
      <c r="B8488" s="3" t="s">
        <v>7749</v>
      </c>
      <c r="C8488" s="5" t="s">
        <v>614</v>
      </c>
      <c r="D8488" s="3" t="s">
        <v>206</v>
      </c>
      <c r="E8488" s="3" t="s">
        <v>100</v>
      </c>
      <c r="F8488" s="7">
        <v>45913.26906456021</v>
      </c>
      <c r="G8488" s="3" t="s">
        <v>7002</v>
      </c>
    </row>
    <row r="8489">
      <c r="A8489" s="3" t="s">
        <v>23417</v>
      </c>
      <c r="B8489" s="3" t="s">
        <v>7749</v>
      </c>
      <c r="C8489" s="5" t="s">
        <v>206</v>
      </c>
      <c r="D8489" s="3" t="s">
        <v>68</v>
      </c>
      <c r="E8489" s="3" t="s">
        <v>100</v>
      </c>
      <c r="F8489" s="7">
        <v>45913.27253678243</v>
      </c>
      <c r="G8489" s="3" t="s">
        <v>7005</v>
      </c>
    </row>
    <row r="8490">
      <c r="A8490" s="3" t="s">
        <v>23419</v>
      </c>
      <c r="B8490" s="3" t="s">
        <v>7752</v>
      </c>
      <c r="C8490" s="5" t="s">
        <v>45</v>
      </c>
      <c r="D8490" s="3" t="s">
        <v>221</v>
      </c>
      <c r="E8490" s="3" t="s">
        <v>404</v>
      </c>
      <c r="F8490" s="7">
        <v>45913.33329496119</v>
      </c>
      <c r="G8490" s="3" t="s">
        <v>23421</v>
      </c>
    </row>
    <row r="8491">
      <c r="A8491" s="3" t="s">
        <v>23422</v>
      </c>
      <c r="B8491" s="3" t="s">
        <v>7752</v>
      </c>
      <c r="C8491" s="5" t="s">
        <v>221</v>
      </c>
      <c r="D8491" s="3" t="s">
        <v>181</v>
      </c>
      <c r="E8491" s="3" t="s">
        <v>118</v>
      </c>
      <c r="F8491" s="7">
        <v>45913.336767183406</v>
      </c>
      <c r="G8491" s="3" t="s">
        <v>23424</v>
      </c>
    </row>
    <row r="8492">
      <c r="A8492" s="3" t="s">
        <v>23425</v>
      </c>
      <c r="B8492" s="3" t="s">
        <v>7755</v>
      </c>
      <c r="C8492" s="5" t="s">
        <v>45</v>
      </c>
      <c r="D8492" s="3" t="s">
        <v>221</v>
      </c>
      <c r="E8492" s="3" t="s">
        <v>789</v>
      </c>
      <c r="F8492" s="7">
        <v>45913.4044698066</v>
      </c>
      <c r="G8492" s="3" t="s">
        <v>6476</v>
      </c>
    </row>
    <row r="8493">
      <c r="A8493" s="3" t="s">
        <v>23427</v>
      </c>
      <c r="B8493" s="3" t="s">
        <v>7755</v>
      </c>
      <c r="C8493" s="5" t="s">
        <v>221</v>
      </c>
      <c r="D8493" s="3" t="s">
        <v>614</v>
      </c>
      <c r="E8493" s="3" t="s">
        <v>118</v>
      </c>
      <c r="F8493" s="7">
        <v>45913.40794202882</v>
      </c>
      <c r="G8493" s="3" t="s">
        <v>6479</v>
      </c>
    </row>
    <row r="8494">
      <c r="A8494" s="3" t="s">
        <v>23429</v>
      </c>
      <c r="B8494" s="3" t="s">
        <v>7755</v>
      </c>
      <c r="C8494" s="5" t="s">
        <v>614</v>
      </c>
      <c r="D8494" s="3" t="s">
        <v>206</v>
      </c>
      <c r="E8494" s="3" t="s">
        <v>100</v>
      </c>
      <c r="F8494" s="7">
        <v>45913.411414251044</v>
      </c>
      <c r="G8494" s="3" t="s">
        <v>6482</v>
      </c>
    </row>
    <row r="8495">
      <c r="A8495" s="3" t="s">
        <v>23430</v>
      </c>
      <c r="B8495" s="3" t="s">
        <v>7755</v>
      </c>
      <c r="C8495" s="5" t="s">
        <v>206</v>
      </c>
      <c r="D8495" s="3" t="s">
        <v>68</v>
      </c>
      <c r="E8495" s="3" t="s">
        <v>100</v>
      </c>
      <c r="F8495" s="7">
        <v>45913.41488647326</v>
      </c>
      <c r="G8495" s="3" t="s">
        <v>6485</v>
      </c>
    </row>
    <row r="8496">
      <c r="A8496" s="3" t="s">
        <v>23432</v>
      </c>
      <c r="B8496" s="3" t="s">
        <v>7758</v>
      </c>
      <c r="C8496" s="5" t="s">
        <v>45</v>
      </c>
      <c r="D8496" s="3" t="s">
        <v>221</v>
      </c>
      <c r="E8496" s="3" t="s">
        <v>860</v>
      </c>
      <c r="F8496" s="7">
        <v>45913.47564465202</v>
      </c>
      <c r="G8496" s="3" t="s">
        <v>20214</v>
      </c>
    </row>
    <row r="8497">
      <c r="A8497" s="3" t="s">
        <v>23434</v>
      </c>
      <c r="B8497" s="3" t="s">
        <v>7758</v>
      </c>
      <c r="C8497" s="5" t="s">
        <v>221</v>
      </c>
      <c r="D8497" s="3" t="s">
        <v>614</v>
      </c>
      <c r="E8497" s="3" t="s">
        <v>118</v>
      </c>
      <c r="F8497" s="7">
        <v>45913.47911687424</v>
      </c>
      <c r="G8497" s="3" t="s">
        <v>21788</v>
      </c>
    </row>
    <row r="8498">
      <c r="A8498" s="3" t="s">
        <v>23436</v>
      </c>
      <c r="B8498" s="3" t="s">
        <v>7758</v>
      </c>
      <c r="C8498" s="5" t="s">
        <v>614</v>
      </c>
      <c r="D8498" s="3" t="s">
        <v>206</v>
      </c>
      <c r="E8498" s="3" t="s">
        <v>100</v>
      </c>
      <c r="F8498" s="7">
        <v>45913.482589096464</v>
      </c>
      <c r="G8498" s="3" t="s">
        <v>21791</v>
      </c>
    </row>
    <row r="8499">
      <c r="A8499" s="3" t="s">
        <v>23438</v>
      </c>
      <c r="B8499" s="3" t="s">
        <v>7758</v>
      </c>
      <c r="C8499" s="5" t="s">
        <v>206</v>
      </c>
      <c r="D8499" s="3" t="s">
        <v>68</v>
      </c>
      <c r="E8499" s="3" t="s">
        <v>100</v>
      </c>
      <c r="F8499" s="7">
        <v>45913.48606131868</v>
      </c>
      <c r="G8499" s="3" t="s">
        <v>21793</v>
      </c>
    </row>
    <row r="8500">
      <c r="A8500" s="3" t="s">
        <v>23440</v>
      </c>
      <c r="B8500" s="3" t="s">
        <v>7761</v>
      </c>
      <c r="C8500" s="5" t="s">
        <v>45</v>
      </c>
      <c r="D8500" s="3" t="s">
        <v>221</v>
      </c>
      <c r="E8500" s="3" t="s">
        <v>826</v>
      </c>
      <c r="F8500" s="7">
        <v>45913.54681949743</v>
      </c>
      <c r="G8500" s="3" t="s">
        <v>4823</v>
      </c>
    </row>
    <row r="8501">
      <c r="A8501" s="3" t="s">
        <v>23442</v>
      </c>
      <c r="B8501" s="3" t="s">
        <v>7761</v>
      </c>
      <c r="C8501" s="5" t="s">
        <v>221</v>
      </c>
      <c r="D8501" s="3" t="s">
        <v>614</v>
      </c>
      <c r="E8501" s="3" t="s">
        <v>118</v>
      </c>
      <c r="F8501" s="7">
        <v>45913.55029171965</v>
      </c>
      <c r="G8501" s="3" t="s">
        <v>4826</v>
      </c>
    </row>
    <row r="8502">
      <c r="A8502" s="3" t="s">
        <v>23444</v>
      </c>
      <c r="B8502" s="3" t="s">
        <v>7761</v>
      </c>
      <c r="C8502" s="5" t="s">
        <v>614</v>
      </c>
      <c r="D8502" s="3" t="s">
        <v>206</v>
      </c>
      <c r="E8502" s="3" t="s">
        <v>100</v>
      </c>
      <c r="F8502" s="7">
        <v>45913.553763941876</v>
      </c>
      <c r="G8502" s="3" t="s">
        <v>4829</v>
      </c>
    </row>
    <row r="8503">
      <c r="A8503" s="3" t="s">
        <v>23446</v>
      </c>
      <c r="B8503" s="3" t="s">
        <v>7761</v>
      </c>
      <c r="C8503" s="5" t="s">
        <v>206</v>
      </c>
      <c r="D8503" s="3" t="s">
        <v>68</v>
      </c>
      <c r="E8503" s="3" t="s">
        <v>100</v>
      </c>
      <c r="F8503" s="7">
        <v>45913.557236164095</v>
      </c>
      <c r="G8503" s="3" t="s">
        <v>4832</v>
      </c>
    </row>
    <row r="8504">
      <c r="A8504" s="3" t="s">
        <v>23448</v>
      </c>
      <c r="B8504" s="3" t="s">
        <v>7764</v>
      </c>
      <c r="C8504" s="5" t="s">
        <v>45</v>
      </c>
      <c r="D8504" s="3" t="s">
        <v>221</v>
      </c>
      <c r="E8504" s="3" t="s">
        <v>123</v>
      </c>
      <c r="F8504" s="7">
        <v>45913.61799434285</v>
      </c>
      <c r="G8504" s="3" t="s">
        <v>23450</v>
      </c>
    </row>
    <row r="8505">
      <c r="A8505" s="3" t="s">
        <v>23451</v>
      </c>
      <c r="B8505" s="3" t="s">
        <v>7764</v>
      </c>
      <c r="C8505" s="5" t="s">
        <v>221</v>
      </c>
      <c r="D8505" s="3" t="s">
        <v>614</v>
      </c>
      <c r="E8505" s="3" t="s">
        <v>118</v>
      </c>
      <c r="F8505" s="7">
        <v>45913.62146656507</v>
      </c>
      <c r="G8505" s="3" t="s">
        <v>23453</v>
      </c>
    </row>
    <row r="8506">
      <c r="A8506" s="3" t="s">
        <v>23454</v>
      </c>
      <c r="B8506" s="3" t="s">
        <v>7764</v>
      </c>
      <c r="C8506" s="5" t="s">
        <v>614</v>
      </c>
      <c r="D8506" s="3" t="s">
        <v>206</v>
      </c>
      <c r="E8506" s="3" t="s">
        <v>100</v>
      </c>
      <c r="F8506" s="7">
        <v>45913.624938787296</v>
      </c>
      <c r="G8506" s="3" t="s">
        <v>23456</v>
      </c>
    </row>
    <row r="8507">
      <c r="A8507" s="3" t="s">
        <v>23457</v>
      </c>
      <c r="B8507" s="3" t="s">
        <v>7764</v>
      </c>
      <c r="C8507" s="5" t="s">
        <v>206</v>
      </c>
      <c r="D8507" s="3" t="s">
        <v>68</v>
      </c>
      <c r="E8507" s="3" t="s">
        <v>100</v>
      </c>
      <c r="F8507" s="7">
        <v>45913.628411009515</v>
      </c>
      <c r="G8507" s="3" t="s">
        <v>23459</v>
      </c>
    </row>
    <row r="8508">
      <c r="A8508" s="3" t="s">
        <v>23460</v>
      </c>
      <c r="B8508" s="3" t="s">
        <v>7767</v>
      </c>
      <c r="C8508" s="5" t="s">
        <v>45</v>
      </c>
      <c r="D8508" s="3" t="s">
        <v>221</v>
      </c>
      <c r="E8508" s="3" t="s">
        <v>156</v>
      </c>
      <c r="F8508" s="7">
        <v>45913.68916918826</v>
      </c>
      <c r="G8508" s="3" t="s">
        <v>19857</v>
      </c>
    </row>
    <row r="8509">
      <c r="A8509" s="3" t="s">
        <v>23462</v>
      </c>
      <c r="B8509" s="3" t="s">
        <v>7767</v>
      </c>
      <c r="C8509" s="5" t="s">
        <v>221</v>
      </c>
      <c r="D8509" s="3" t="s">
        <v>614</v>
      </c>
      <c r="E8509" s="3" t="s">
        <v>118</v>
      </c>
      <c r="F8509" s="7">
        <v>45913.69264141048</v>
      </c>
      <c r="G8509" s="3" t="s">
        <v>19860</v>
      </c>
    </row>
    <row r="8510">
      <c r="A8510" s="3" t="s">
        <v>23465</v>
      </c>
      <c r="B8510" s="3" t="s">
        <v>7767</v>
      </c>
      <c r="C8510" s="5" t="s">
        <v>614</v>
      </c>
      <c r="D8510" s="3" t="s">
        <v>206</v>
      </c>
      <c r="E8510" s="3" t="s">
        <v>100</v>
      </c>
      <c r="F8510" s="7">
        <v>45913.69611363271</v>
      </c>
      <c r="G8510" s="3" t="s">
        <v>19863</v>
      </c>
    </row>
    <row r="8511">
      <c r="A8511" s="3" t="s">
        <v>23467</v>
      </c>
      <c r="B8511" s="3" t="s">
        <v>7767</v>
      </c>
      <c r="C8511" s="5" t="s">
        <v>206</v>
      </c>
      <c r="D8511" s="3" t="s">
        <v>68</v>
      </c>
      <c r="E8511" s="3" t="s">
        <v>100</v>
      </c>
      <c r="F8511" s="7">
        <v>45913.69958585493</v>
      </c>
      <c r="G8511" s="3" t="s">
        <v>19866</v>
      </c>
    </row>
    <row r="8512">
      <c r="A8512" s="3" t="s">
        <v>23469</v>
      </c>
      <c r="B8512" s="3" t="s">
        <v>7770</v>
      </c>
      <c r="C8512" s="5" t="s">
        <v>45</v>
      </c>
      <c r="D8512" s="3" t="s">
        <v>221</v>
      </c>
      <c r="E8512" s="3" t="s">
        <v>307</v>
      </c>
      <c r="F8512" s="7">
        <v>45913.760344033675</v>
      </c>
      <c r="G8512" s="3" t="s">
        <v>5707</v>
      </c>
    </row>
    <row r="8513">
      <c r="A8513" s="3" t="s">
        <v>23472</v>
      </c>
      <c r="B8513" s="3" t="s">
        <v>7770</v>
      </c>
      <c r="C8513" s="5" t="s">
        <v>221</v>
      </c>
      <c r="D8513" s="3" t="s">
        <v>614</v>
      </c>
      <c r="E8513" s="3" t="s">
        <v>118</v>
      </c>
      <c r="F8513" s="7">
        <v>45913.763816255894</v>
      </c>
      <c r="G8513" s="3" t="s">
        <v>5710</v>
      </c>
    </row>
    <row r="8514">
      <c r="A8514" s="3" t="s">
        <v>23474</v>
      </c>
      <c r="B8514" s="3" t="s">
        <v>7770</v>
      </c>
      <c r="C8514" s="5" t="s">
        <v>614</v>
      </c>
      <c r="D8514" s="3" t="s">
        <v>206</v>
      </c>
      <c r="E8514" s="3" t="s">
        <v>100</v>
      </c>
      <c r="F8514" s="7">
        <v>45913.76728847812</v>
      </c>
      <c r="G8514" s="3" t="s">
        <v>5713</v>
      </c>
    </row>
    <row r="8515">
      <c r="A8515" s="3" t="s">
        <v>23476</v>
      </c>
      <c r="B8515" s="3" t="s">
        <v>7770</v>
      </c>
      <c r="C8515" s="5" t="s">
        <v>206</v>
      </c>
      <c r="D8515" s="3" t="s">
        <v>68</v>
      </c>
      <c r="E8515" s="3" t="s">
        <v>100</v>
      </c>
      <c r="F8515" s="7">
        <v>45913.77076070034</v>
      </c>
      <c r="G8515" s="3" t="s">
        <v>5716</v>
      </c>
    </row>
    <row r="8516">
      <c r="A8516" s="3" t="s">
        <v>23477</v>
      </c>
      <c r="B8516" s="3" t="s">
        <v>7774</v>
      </c>
      <c r="C8516" s="5" t="s">
        <v>45</v>
      </c>
      <c r="D8516" s="3" t="s">
        <v>221</v>
      </c>
      <c r="E8516" s="3" t="s">
        <v>333</v>
      </c>
      <c r="F8516" s="7">
        <v>45913.831518879095</v>
      </c>
      <c r="G8516" s="3" t="s">
        <v>5860</v>
      </c>
    </row>
    <row r="8517">
      <c r="A8517" s="3" t="s">
        <v>23480</v>
      </c>
      <c r="B8517" s="3" t="s">
        <v>7774</v>
      </c>
      <c r="C8517" s="5" t="s">
        <v>221</v>
      </c>
      <c r="D8517" s="3" t="s">
        <v>614</v>
      </c>
      <c r="E8517" s="3" t="s">
        <v>118</v>
      </c>
      <c r="F8517" s="7">
        <v>45913.834991101314</v>
      </c>
      <c r="G8517" s="3" t="s">
        <v>5863</v>
      </c>
    </row>
    <row r="8518">
      <c r="A8518" s="3" t="s">
        <v>23482</v>
      </c>
      <c r="B8518" s="3" t="s">
        <v>7774</v>
      </c>
      <c r="C8518" s="5" t="s">
        <v>614</v>
      </c>
      <c r="D8518" s="3" t="s">
        <v>206</v>
      </c>
      <c r="E8518" s="3" t="s">
        <v>100</v>
      </c>
      <c r="F8518" s="7">
        <v>45913.83846332354</v>
      </c>
      <c r="G8518" s="3" t="s">
        <v>5866</v>
      </c>
    </row>
    <row r="8519">
      <c r="A8519" s="3" t="s">
        <v>23484</v>
      </c>
      <c r="B8519" s="3" t="s">
        <v>7774</v>
      </c>
      <c r="C8519" s="5" t="s">
        <v>206</v>
      </c>
      <c r="D8519" s="3" t="s">
        <v>68</v>
      </c>
      <c r="E8519" s="3" t="s">
        <v>100</v>
      </c>
      <c r="F8519" s="7">
        <v>45913.84193554576</v>
      </c>
      <c r="G8519" s="3" t="s">
        <v>5869</v>
      </c>
    </row>
    <row r="8520">
      <c r="A8520" s="3" t="s">
        <v>23486</v>
      </c>
      <c r="B8520" s="3" t="s">
        <v>7778</v>
      </c>
      <c r="C8520" s="5" t="s">
        <v>45</v>
      </c>
      <c r="D8520" s="3" t="s">
        <v>221</v>
      </c>
      <c r="E8520" s="3" t="s">
        <v>752</v>
      </c>
      <c r="F8520" s="7">
        <v>45913.90269372451</v>
      </c>
      <c r="G8520" s="3" t="s">
        <v>5872</v>
      </c>
    </row>
    <row r="8521">
      <c r="A8521" s="3" t="s">
        <v>23488</v>
      </c>
      <c r="B8521" s="3" t="s">
        <v>7778</v>
      </c>
      <c r="C8521" s="5" t="s">
        <v>221</v>
      </c>
      <c r="D8521" s="3" t="s">
        <v>614</v>
      </c>
      <c r="E8521" s="3" t="s">
        <v>118</v>
      </c>
      <c r="F8521" s="7">
        <v>45913.906165946726</v>
      </c>
      <c r="G8521" s="3" t="s">
        <v>5875</v>
      </c>
    </row>
    <row r="8522">
      <c r="A8522" s="3" t="s">
        <v>23490</v>
      </c>
      <c r="B8522" s="3" t="s">
        <v>7778</v>
      </c>
      <c r="C8522" s="5" t="s">
        <v>614</v>
      </c>
      <c r="D8522" s="3" t="s">
        <v>206</v>
      </c>
      <c r="E8522" s="3" t="s">
        <v>100</v>
      </c>
      <c r="F8522" s="7">
        <v>45913.90963816895</v>
      </c>
      <c r="G8522" s="3" t="s">
        <v>5878</v>
      </c>
    </row>
    <row r="8523">
      <c r="A8523" s="3" t="s">
        <v>23493</v>
      </c>
      <c r="B8523" s="3" t="s">
        <v>7778</v>
      </c>
      <c r="C8523" s="5" t="s">
        <v>206</v>
      </c>
      <c r="D8523" s="3" t="s">
        <v>68</v>
      </c>
      <c r="E8523" s="3" t="s">
        <v>100</v>
      </c>
      <c r="F8523" s="7">
        <v>45913.91311039117</v>
      </c>
      <c r="G8523" s="3" t="s">
        <v>5881</v>
      </c>
    </row>
    <row r="8524">
      <c r="A8524" s="3" t="s">
        <v>23495</v>
      </c>
      <c r="B8524" s="3" t="s">
        <v>7781</v>
      </c>
      <c r="C8524" s="5" t="s">
        <v>45</v>
      </c>
      <c r="D8524" s="3" t="s">
        <v>221</v>
      </c>
      <c r="E8524" s="3" t="s">
        <v>586</v>
      </c>
      <c r="F8524" s="7">
        <v>45913.97386856992</v>
      </c>
      <c r="G8524" s="3" t="s">
        <v>23497</v>
      </c>
    </row>
    <row r="8525">
      <c r="A8525" s="3" t="s">
        <v>23498</v>
      </c>
      <c r="B8525" s="3" t="s">
        <v>7781</v>
      </c>
      <c r="C8525" s="5" t="s">
        <v>221</v>
      </c>
      <c r="D8525" s="3" t="s">
        <v>614</v>
      </c>
      <c r="E8525" s="3" t="s">
        <v>118</v>
      </c>
      <c r="F8525" s="7">
        <v>45913.97734079214</v>
      </c>
      <c r="G8525" s="3" t="s">
        <v>23500</v>
      </c>
    </row>
    <row r="8526">
      <c r="A8526" s="3" t="s">
        <v>23502</v>
      </c>
      <c r="B8526" s="3" t="s">
        <v>7781</v>
      </c>
      <c r="C8526" s="5" t="s">
        <v>614</v>
      </c>
      <c r="D8526" s="3" t="s">
        <v>206</v>
      </c>
      <c r="E8526" s="3" t="s">
        <v>100</v>
      </c>
      <c r="F8526" s="7">
        <v>45913.980813014365</v>
      </c>
      <c r="G8526" s="3" t="s">
        <v>23503</v>
      </c>
    </row>
    <row r="8527">
      <c r="A8527" s="3" t="s">
        <v>23505</v>
      </c>
      <c r="B8527" s="3" t="s">
        <v>7781</v>
      </c>
      <c r="C8527" s="5" t="s">
        <v>206</v>
      </c>
      <c r="D8527" s="3" t="s">
        <v>68</v>
      </c>
      <c r="E8527" s="3" t="s">
        <v>100</v>
      </c>
      <c r="F8527" s="7">
        <v>45913.984285236584</v>
      </c>
      <c r="G8527" s="3" t="s">
        <v>23506</v>
      </c>
    </row>
    <row r="8528">
      <c r="A8528" s="3" t="s">
        <v>23508</v>
      </c>
      <c r="B8528" s="3" t="s">
        <v>7784</v>
      </c>
      <c r="C8528" s="5" t="s">
        <v>45</v>
      </c>
      <c r="D8528" s="3" t="s">
        <v>221</v>
      </c>
      <c r="E8528" s="3" t="s">
        <v>544</v>
      </c>
      <c r="F8528" s="7">
        <v>45914.04504341534</v>
      </c>
      <c r="G8528" s="3" t="s">
        <v>9468</v>
      </c>
    </row>
    <row r="8529">
      <c r="A8529" s="3" t="s">
        <v>23510</v>
      </c>
      <c r="B8529" s="3" t="s">
        <v>7784</v>
      </c>
      <c r="C8529" s="5" t="s">
        <v>221</v>
      </c>
      <c r="D8529" s="3" t="s">
        <v>614</v>
      </c>
      <c r="E8529" s="3" t="s">
        <v>118</v>
      </c>
      <c r="F8529" s="7">
        <v>45914.04851563756</v>
      </c>
      <c r="G8529" s="3" t="s">
        <v>9472</v>
      </c>
    </row>
    <row r="8530">
      <c r="A8530" s="3" t="s">
        <v>23512</v>
      </c>
      <c r="B8530" s="3" t="s">
        <v>7784</v>
      </c>
      <c r="C8530" s="5" t="s">
        <v>614</v>
      </c>
      <c r="D8530" s="3" t="s">
        <v>206</v>
      </c>
      <c r="E8530" s="3" t="s">
        <v>100</v>
      </c>
      <c r="F8530" s="7">
        <v>45914.051987859784</v>
      </c>
      <c r="G8530" s="3" t="s">
        <v>9475</v>
      </c>
    </row>
    <row r="8531">
      <c r="A8531" s="3" t="s">
        <v>23514</v>
      </c>
      <c r="B8531" s="3" t="s">
        <v>7784</v>
      </c>
      <c r="C8531" s="5" t="s">
        <v>206</v>
      </c>
      <c r="D8531" s="3" t="s">
        <v>68</v>
      </c>
      <c r="E8531" s="3" t="s">
        <v>100</v>
      </c>
      <c r="F8531" s="7">
        <v>45914.055460082</v>
      </c>
      <c r="G8531" s="3" t="s">
        <v>9478</v>
      </c>
    </row>
    <row r="8532">
      <c r="A8532" s="3" t="s">
        <v>23516</v>
      </c>
      <c r="B8532" s="3" t="s">
        <v>7788</v>
      </c>
      <c r="C8532" s="5" t="s">
        <v>45</v>
      </c>
      <c r="D8532" s="3" t="s">
        <v>221</v>
      </c>
      <c r="E8532" s="3" t="s">
        <v>243</v>
      </c>
      <c r="F8532" s="7">
        <v>45914.11621826075</v>
      </c>
      <c r="G8532" s="3" t="s">
        <v>5884</v>
      </c>
    </row>
    <row r="8533">
      <c r="A8533" s="3" t="s">
        <v>23518</v>
      </c>
      <c r="B8533" s="3" t="s">
        <v>7788</v>
      </c>
      <c r="C8533" s="5" t="s">
        <v>221</v>
      </c>
      <c r="D8533" s="3" t="s">
        <v>614</v>
      </c>
      <c r="E8533" s="3" t="s">
        <v>118</v>
      </c>
      <c r="F8533" s="7">
        <v>45914.11969048297</v>
      </c>
      <c r="G8533" s="3" t="s">
        <v>5887</v>
      </c>
    </row>
    <row r="8534">
      <c r="A8534" s="3" t="s">
        <v>23520</v>
      </c>
      <c r="B8534" s="3" t="s">
        <v>7788</v>
      </c>
      <c r="C8534" s="5" t="s">
        <v>614</v>
      </c>
      <c r="D8534" s="3" t="s">
        <v>206</v>
      </c>
      <c r="E8534" s="3" t="s">
        <v>100</v>
      </c>
      <c r="F8534" s="7">
        <v>45914.1231627052</v>
      </c>
      <c r="G8534" s="3" t="s">
        <v>5889</v>
      </c>
    </row>
    <row r="8535">
      <c r="A8535" s="3" t="s">
        <v>23522</v>
      </c>
      <c r="B8535" s="3" t="s">
        <v>7788</v>
      </c>
      <c r="C8535" s="5" t="s">
        <v>206</v>
      </c>
      <c r="D8535" s="3" t="s">
        <v>68</v>
      </c>
      <c r="E8535" s="3" t="s">
        <v>100</v>
      </c>
      <c r="F8535" s="7">
        <v>45914.126634927416</v>
      </c>
      <c r="G8535" s="3" t="s">
        <v>5892</v>
      </c>
    </row>
    <row r="8536">
      <c r="A8536" s="3" t="s">
        <v>23523</v>
      </c>
      <c r="B8536" s="3" t="s">
        <v>7790</v>
      </c>
      <c r="C8536" s="5" t="s">
        <v>45</v>
      </c>
      <c r="D8536" s="3" t="s">
        <v>221</v>
      </c>
      <c r="E8536" s="3" t="s">
        <v>296</v>
      </c>
      <c r="F8536" s="7">
        <v>45914.187393106164</v>
      </c>
      <c r="G8536" s="3" t="s">
        <v>5915</v>
      </c>
    </row>
    <row r="8537">
      <c r="A8537" s="3" t="s">
        <v>23525</v>
      </c>
      <c r="B8537" s="3" t="s">
        <v>7790</v>
      </c>
      <c r="C8537" s="5" t="s">
        <v>221</v>
      </c>
      <c r="D8537" s="3" t="s">
        <v>614</v>
      </c>
      <c r="E8537" s="3" t="s">
        <v>118</v>
      </c>
      <c r="F8537" s="7">
        <v>45914.19086532838</v>
      </c>
      <c r="G8537" s="3" t="s">
        <v>5918</v>
      </c>
    </row>
    <row r="8538">
      <c r="A8538" s="3" t="s">
        <v>23527</v>
      </c>
      <c r="B8538" s="3" t="s">
        <v>7790</v>
      </c>
      <c r="C8538" s="5" t="s">
        <v>614</v>
      </c>
      <c r="D8538" s="3" t="s">
        <v>206</v>
      </c>
      <c r="E8538" s="3" t="s">
        <v>100</v>
      </c>
      <c r="F8538" s="7">
        <v>45914.19433755061</v>
      </c>
      <c r="G8538" s="3" t="s">
        <v>5921</v>
      </c>
    </row>
    <row r="8539">
      <c r="A8539" s="3" t="s">
        <v>23529</v>
      </c>
      <c r="B8539" s="3" t="s">
        <v>7790</v>
      </c>
      <c r="C8539" s="5" t="s">
        <v>206</v>
      </c>
      <c r="D8539" s="3" t="s">
        <v>68</v>
      </c>
      <c r="E8539" s="3" t="s">
        <v>100</v>
      </c>
      <c r="F8539" s="7">
        <v>45914.19780977283</v>
      </c>
      <c r="G8539" s="3" t="s">
        <v>5924</v>
      </c>
    </row>
    <row r="8540">
      <c r="A8540" s="3" t="s">
        <v>23531</v>
      </c>
      <c r="B8540" s="3" t="s">
        <v>7793</v>
      </c>
      <c r="C8540" s="5" t="s">
        <v>45</v>
      </c>
      <c r="D8540" s="3" t="s">
        <v>221</v>
      </c>
      <c r="E8540" s="3" t="s">
        <v>900</v>
      </c>
      <c r="F8540" s="7">
        <v>45914.25856795158</v>
      </c>
      <c r="G8540" s="3" t="s">
        <v>10017</v>
      </c>
    </row>
    <row r="8541">
      <c r="A8541" s="3" t="s">
        <v>23533</v>
      </c>
      <c r="B8541" s="3" t="s">
        <v>7793</v>
      </c>
      <c r="C8541" s="5" t="s">
        <v>221</v>
      </c>
      <c r="D8541" s="3" t="s">
        <v>614</v>
      </c>
      <c r="E8541" s="3" t="s">
        <v>118</v>
      </c>
      <c r="F8541" s="7">
        <v>45914.2620401738</v>
      </c>
      <c r="G8541" s="3" t="s">
        <v>10020</v>
      </c>
    </row>
    <row r="8542">
      <c r="A8542" s="3" t="s">
        <v>23535</v>
      </c>
      <c r="B8542" s="3" t="s">
        <v>7793</v>
      </c>
      <c r="C8542" s="5" t="s">
        <v>614</v>
      </c>
      <c r="D8542" s="3" t="s">
        <v>206</v>
      </c>
      <c r="E8542" s="3" t="s">
        <v>100</v>
      </c>
      <c r="F8542" s="7">
        <v>45914.26551239603</v>
      </c>
      <c r="G8542" s="3" t="s">
        <v>10023</v>
      </c>
    </row>
    <row r="8543">
      <c r="A8543" s="3" t="s">
        <v>23537</v>
      </c>
      <c r="B8543" s="3" t="s">
        <v>7793</v>
      </c>
      <c r="C8543" s="5" t="s">
        <v>206</v>
      </c>
      <c r="D8543" s="3" t="s">
        <v>68</v>
      </c>
      <c r="E8543" s="3" t="s">
        <v>100</v>
      </c>
      <c r="F8543" s="7">
        <v>45914.26898461825</v>
      </c>
      <c r="G8543" s="3" t="s">
        <v>10027</v>
      </c>
    </row>
    <row r="8544">
      <c r="A8544" s="3" t="s">
        <v>23539</v>
      </c>
      <c r="B8544" s="3" t="s">
        <v>7795</v>
      </c>
      <c r="C8544" s="5" t="s">
        <v>45</v>
      </c>
      <c r="D8544" s="3" t="s">
        <v>221</v>
      </c>
      <c r="E8544" s="3" t="s">
        <v>584</v>
      </c>
      <c r="F8544" s="7">
        <v>45914.329742797</v>
      </c>
      <c r="G8544" s="3" t="s">
        <v>5973</v>
      </c>
    </row>
    <row r="8545">
      <c r="A8545" s="3" t="s">
        <v>23541</v>
      </c>
      <c r="B8545" s="3" t="s">
        <v>7795</v>
      </c>
      <c r="C8545" s="5" t="s">
        <v>221</v>
      </c>
      <c r="D8545" s="3" t="s">
        <v>614</v>
      </c>
      <c r="E8545" s="3" t="s">
        <v>118</v>
      </c>
      <c r="F8545" s="7">
        <v>45914.33321501922</v>
      </c>
      <c r="G8545" s="3" t="s">
        <v>5976</v>
      </c>
    </row>
    <row r="8546">
      <c r="A8546" s="3" t="s">
        <v>23543</v>
      </c>
      <c r="B8546" s="3" t="s">
        <v>7795</v>
      </c>
      <c r="C8546" s="5" t="s">
        <v>614</v>
      </c>
      <c r="D8546" s="3" t="s">
        <v>206</v>
      </c>
      <c r="E8546" s="3" t="s">
        <v>100</v>
      </c>
      <c r="F8546" s="7">
        <v>45914.33668724145</v>
      </c>
      <c r="G8546" s="3" t="s">
        <v>5979</v>
      </c>
    </row>
    <row r="8547">
      <c r="A8547" s="3" t="s">
        <v>23545</v>
      </c>
      <c r="B8547" s="3" t="s">
        <v>7795</v>
      </c>
      <c r="C8547" s="5" t="s">
        <v>206</v>
      </c>
      <c r="D8547" s="3" t="s">
        <v>68</v>
      </c>
      <c r="E8547" s="3" t="s">
        <v>100</v>
      </c>
      <c r="F8547" s="7">
        <v>45914.34015946367</v>
      </c>
      <c r="G8547" s="3" t="s">
        <v>5982</v>
      </c>
    </row>
    <row r="8548">
      <c r="A8548" s="3" t="s">
        <v>23547</v>
      </c>
      <c r="B8548" s="3" t="s">
        <v>7797</v>
      </c>
      <c r="C8548" s="5" t="s">
        <v>45</v>
      </c>
      <c r="D8548" s="3" t="s">
        <v>221</v>
      </c>
      <c r="E8548" s="3" t="s">
        <v>616</v>
      </c>
      <c r="F8548" s="7">
        <v>45914.40091764241</v>
      </c>
      <c r="G8548" s="3" t="s">
        <v>23549</v>
      </c>
    </row>
    <row r="8549">
      <c r="A8549" s="3" t="s">
        <v>23550</v>
      </c>
      <c r="B8549" s="3" t="s">
        <v>7797</v>
      </c>
      <c r="C8549" s="5" t="s">
        <v>221</v>
      </c>
      <c r="D8549" s="3" t="s">
        <v>614</v>
      </c>
      <c r="E8549" s="3" t="s">
        <v>118</v>
      </c>
      <c r="F8549" s="7">
        <v>45914.40438986463</v>
      </c>
      <c r="G8549" s="3" t="s">
        <v>23552</v>
      </c>
    </row>
    <row r="8550">
      <c r="A8550" s="3" t="s">
        <v>23553</v>
      </c>
      <c r="B8550" s="3" t="s">
        <v>7797</v>
      </c>
      <c r="C8550" s="5" t="s">
        <v>614</v>
      </c>
      <c r="D8550" s="3" t="s">
        <v>206</v>
      </c>
      <c r="E8550" s="3" t="s">
        <v>100</v>
      </c>
      <c r="F8550" s="7">
        <v>45914.40786208685</v>
      </c>
      <c r="G8550" s="3" t="s">
        <v>23555</v>
      </c>
    </row>
    <row r="8551">
      <c r="A8551" s="3" t="s">
        <v>23557</v>
      </c>
      <c r="B8551" s="3" t="s">
        <v>7797</v>
      </c>
      <c r="C8551" s="5" t="s">
        <v>206</v>
      </c>
      <c r="D8551" s="3" t="s">
        <v>68</v>
      </c>
      <c r="E8551" s="3" t="s">
        <v>100</v>
      </c>
      <c r="F8551" s="7">
        <v>45914.41133430907</v>
      </c>
      <c r="G8551" s="3" t="s">
        <v>23559</v>
      </c>
    </row>
    <row r="8552">
      <c r="A8552" s="3" t="s">
        <v>23560</v>
      </c>
      <c r="B8552" s="3" t="s">
        <v>7800</v>
      </c>
      <c r="C8552" s="5" t="s">
        <v>45</v>
      </c>
      <c r="D8552" s="3" t="s">
        <v>221</v>
      </c>
      <c r="E8552" s="3" t="s">
        <v>652</v>
      </c>
      <c r="F8552" s="7">
        <v>45914.47209248783</v>
      </c>
      <c r="G8552" s="3" t="s">
        <v>16089</v>
      </c>
    </row>
    <row r="8553">
      <c r="A8553" s="3" t="s">
        <v>23563</v>
      </c>
      <c r="B8553" s="3" t="s">
        <v>7800</v>
      </c>
      <c r="C8553" s="5" t="s">
        <v>221</v>
      </c>
      <c r="D8553" s="3" t="s">
        <v>181</v>
      </c>
      <c r="E8553" s="3" t="s">
        <v>118</v>
      </c>
      <c r="F8553" s="7">
        <v>45914.47556471005</v>
      </c>
      <c r="G8553" s="3" t="s">
        <v>23565</v>
      </c>
    </row>
    <row r="8554">
      <c r="A8554" s="3" t="s">
        <v>23566</v>
      </c>
      <c r="B8554" s="3" t="s">
        <v>7803</v>
      </c>
      <c r="C8554" s="5" t="s">
        <v>45</v>
      </c>
      <c r="D8554" s="3" t="s">
        <v>221</v>
      </c>
      <c r="E8554" s="3" t="s">
        <v>440</v>
      </c>
      <c r="F8554" s="7">
        <v>45914.54326733325</v>
      </c>
      <c r="G8554" s="3" t="s">
        <v>6033</v>
      </c>
    </row>
    <row r="8555">
      <c r="A8555" s="3" t="s">
        <v>23568</v>
      </c>
      <c r="B8555" s="3" t="s">
        <v>7803</v>
      </c>
      <c r="C8555" s="5" t="s">
        <v>221</v>
      </c>
      <c r="D8555" s="3" t="s">
        <v>614</v>
      </c>
      <c r="E8555" s="3" t="s">
        <v>118</v>
      </c>
      <c r="F8555" s="7">
        <v>45914.546739555466</v>
      </c>
      <c r="G8555" s="3" t="s">
        <v>6036</v>
      </c>
    </row>
    <row r="8556">
      <c r="A8556" s="3" t="s">
        <v>23570</v>
      </c>
      <c r="B8556" s="3" t="s">
        <v>7803</v>
      </c>
      <c r="C8556" s="5" t="s">
        <v>614</v>
      </c>
      <c r="D8556" s="3" t="s">
        <v>206</v>
      </c>
      <c r="E8556" s="3" t="s">
        <v>100</v>
      </c>
      <c r="F8556" s="7">
        <v>45914.55021177769</v>
      </c>
      <c r="G8556" s="3" t="s">
        <v>6039</v>
      </c>
    </row>
    <row r="8557">
      <c r="A8557" s="3" t="s">
        <v>23572</v>
      </c>
      <c r="B8557" s="3" t="s">
        <v>7803</v>
      </c>
      <c r="C8557" s="5" t="s">
        <v>206</v>
      </c>
      <c r="D8557" s="3" t="s">
        <v>68</v>
      </c>
      <c r="E8557" s="3" t="s">
        <v>100</v>
      </c>
      <c r="F8557" s="7">
        <v>45914.55368399991</v>
      </c>
      <c r="G8557" s="3" t="s">
        <v>6042</v>
      </c>
    </row>
    <row r="8558">
      <c r="A8558" s="3" t="s">
        <v>23574</v>
      </c>
      <c r="B8558" s="3" t="s">
        <v>7807</v>
      </c>
      <c r="C8558" s="5" t="s">
        <v>45</v>
      </c>
      <c r="D8558" s="3" t="s">
        <v>221</v>
      </c>
      <c r="E8558" s="3" t="s">
        <v>498</v>
      </c>
      <c r="F8558" s="7">
        <v>45914.61444217866</v>
      </c>
      <c r="G8558" s="3" t="s">
        <v>16822</v>
      </c>
    </row>
    <row r="8559">
      <c r="A8559" s="3" t="s">
        <v>23576</v>
      </c>
      <c r="B8559" s="3" t="s">
        <v>7807</v>
      </c>
      <c r="C8559" s="5" t="s">
        <v>221</v>
      </c>
      <c r="D8559" s="3" t="s">
        <v>614</v>
      </c>
      <c r="E8559" s="3" t="s">
        <v>118</v>
      </c>
      <c r="F8559" s="7">
        <v>45914.61791440088</v>
      </c>
      <c r="G8559" s="3" t="s">
        <v>16825</v>
      </c>
    </row>
    <row r="8560">
      <c r="A8560" s="3" t="s">
        <v>23578</v>
      </c>
      <c r="B8560" s="3" t="s">
        <v>7807</v>
      </c>
      <c r="C8560" s="5" t="s">
        <v>614</v>
      </c>
      <c r="D8560" s="3" t="s">
        <v>206</v>
      </c>
      <c r="E8560" s="3" t="s">
        <v>100</v>
      </c>
      <c r="F8560" s="7">
        <v>45914.621386623105</v>
      </c>
      <c r="G8560" s="3" t="s">
        <v>16828</v>
      </c>
    </row>
    <row r="8561">
      <c r="A8561" s="3" t="s">
        <v>23580</v>
      </c>
      <c r="B8561" s="3" t="s">
        <v>7807</v>
      </c>
      <c r="C8561" s="5" t="s">
        <v>206</v>
      </c>
      <c r="D8561" s="3" t="s">
        <v>68</v>
      </c>
      <c r="E8561" s="3" t="s">
        <v>100</v>
      </c>
      <c r="F8561" s="7">
        <v>45914.62485884532</v>
      </c>
      <c r="G8561" s="3" t="s">
        <v>16831</v>
      </c>
    </row>
    <row r="8562">
      <c r="A8562" s="3" t="s">
        <v>23582</v>
      </c>
      <c r="B8562" s="3" t="s">
        <v>7810</v>
      </c>
      <c r="C8562" s="5" t="s">
        <v>45</v>
      </c>
      <c r="D8562" s="3" t="s">
        <v>221</v>
      </c>
      <c r="E8562" s="3" t="s">
        <v>883</v>
      </c>
      <c r="F8562" s="7">
        <v>45914.68561702407</v>
      </c>
      <c r="G8562" s="3" t="s">
        <v>2770</v>
      </c>
    </row>
    <row r="8563">
      <c r="A8563" s="3" t="s">
        <v>23584</v>
      </c>
      <c r="B8563" s="3" t="s">
        <v>7810</v>
      </c>
      <c r="C8563" s="5" t="s">
        <v>221</v>
      </c>
      <c r="D8563" s="3" t="s">
        <v>195</v>
      </c>
      <c r="E8563" s="3" t="s">
        <v>883</v>
      </c>
      <c r="F8563" s="7">
        <v>45914.68908924629</v>
      </c>
      <c r="G8563" s="3" t="s">
        <v>3055</v>
      </c>
    </row>
    <row r="8564">
      <c r="A8564" s="3" t="s">
        <v>23586</v>
      </c>
      <c r="B8564" s="3" t="s">
        <v>7813</v>
      </c>
      <c r="C8564" s="5" t="s">
        <v>45</v>
      </c>
      <c r="D8564" s="3" t="s">
        <v>221</v>
      </c>
      <c r="E8564" s="3" t="s">
        <v>742</v>
      </c>
      <c r="F8564" s="7">
        <v>45914.75679186949</v>
      </c>
      <c r="G8564" s="3" t="s">
        <v>6046</v>
      </c>
    </row>
    <row r="8565">
      <c r="A8565" s="3" t="s">
        <v>23588</v>
      </c>
      <c r="B8565" s="3" t="s">
        <v>7813</v>
      </c>
      <c r="C8565" s="5" t="s">
        <v>221</v>
      </c>
      <c r="D8565" s="3" t="s">
        <v>614</v>
      </c>
      <c r="E8565" s="3" t="s">
        <v>118</v>
      </c>
      <c r="F8565" s="7">
        <v>45914.76026409171</v>
      </c>
      <c r="G8565" s="3" t="s">
        <v>6050</v>
      </c>
    </row>
    <row r="8566">
      <c r="A8566" s="3" t="s">
        <v>23590</v>
      </c>
      <c r="B8566" s="3" t="s">
        <v>7813</v>
      </c>
      <c r="C8566" s="5" t="s">
        <v>614</v>
      </c>
      <c r="D8566" s="3" t="s">
        <v>206</v>
      </c>
      <c r="E8566" s="3" t="s">
        <v>100</v>
      </c>
      <c r="F8566" s="7">
        <v>45914.76373631394</v>
      </c>
      <c r="G8566" s="3" t="s">
        <v>6053</v>
      </c>
    </row>
    <row r="8567">
      <c r="A8567" s="3" t="s">
        <v>23592</v>
      </c>
      <c r="B8567" s="3" t="s">
        <v>7813</v>
      </c>
      <c r="C8567" s="5" t="s">
        <v>206</v>
      </c>
      <c r="D8567" s="3" t="s">
        <v>68</v>
      </c>
      <c r="E8567" s="3" t="s">
        <v>100</v>
      </c>
      <c r="F8567" s="7">
        <v>45914.767208536156</v>
      </c>
      <c r="G8567" s="3" t="s">
        <v>6057</v>
      </c>
    </row>
    <row r="8568">
      <c r="A8568" s="3" t="s">
        <v>23594</v>
      </c>
      <c r="B8568" s="3" t="s">
        <v>7816</v>
      </c>
      <c r="C8568" s="5" t="s">
        <v>45</v>
      </c>
      <c r="D8568" s="3" t="s">
        <v>221</v>
      </c>
      <c r="E8568" s="3" t="s">
        <v>236</v>
      </c>
      <c r="F8568" s="7">
        <v>45914.8279667149</v>
      </c>
      <c r="G8568" s="3" t="s">
        <v>23596</v>
      </c>
    </row>
    <row r="8569">
      <c r="A8569" s="3" t="s">
        <v>23597</v>
      </c>
      <c r="B8569" s="3" t="s">
        <v>7816</v>
      </c>
      <c r="C8569" s="5" t="s">
        <v>221</v>
      </c>
      <c r="D8569" s="3" t="s">
        <v>614</v>
      </c>
      <c r="E8569" s="3" t="s">
        <v>118</v>
      </c>
      <c r="F8569" s="7">
        <v>45914.83143893712</v>
      </c>
      <c r="G8569" s="3" t="s">
        <v>23599</v>
      </c>
    </row>
    <row r="8570">
      <c r="A8570" s="3" t="s">
        <v>23600</v>
      </c>
      <c r="B8570" s="3" t="s">
        <v>7816</v>
      </c>
      <c r="C8570" s="5" t="s">
        <v>614</v>
      </c>
      <c r="D8570" s="3" t="s">
        <v>206</v>
      </c>
      <c r="E8570" s="3" t="s">
        <v>100</v>
      </c>
      <c r="F8570" s="7">
        <v>45914.83491115935</v>
      </c>
      <c r="G8570" s="3" t="s">
        <v>23603</v>
      </c>
    </row>
    <row r="8571">
      <c r="A8571" s="3" t="s">
        <v>23604</v>
      </c>
      <c r="B8571" s="3" t="s">
        <v>7816</v>
      </c>
      <c r="C8571" s="5" t="s">
        <v>206</v>
      </c>
      <c r="D8571" s="3" t="s">
        <v>68</v>
      </c>
      <c r="E8571" s="3" t="s">
        <v>100</v>
      </c>
      <c r="F8571" s="7">
        <v>45914.83838338157</v>
      </c>
      <c r="G8571" s="3" t="s">
        <v>23606</v>
      </c>
    </row>
    <row r="8572">
      <c r="A8572" s="3" t="s">
        <v>23607</v>
      </c>
      <c r="B8572" s="3" t="s">
        <v>7820</v>
      </c>
      <c r="C8572" s="5" t="s">
        <v>45</v>
      </c>
      <c r="D8572" s="3" t="s">
        <v>221</v>
      </c>
      <c r="E8572" s="3" t="s">
        <v>293</v>
      </c>
      <c r="F8572" s="7">
        <v>45914.899141560316</v>
      </c>
      <c r="G8572" s="3" t="s">
        <v>6060</v>
      </c>
    </row>
    <row r="8573">
      <c r="A8573" s="3" t="s">
        <v>23609</v>
      </c>
      <c r="B8573" s="3" t="s">
        <v>7820</v>
      </c>
      <c r="C8573" s="5" t="s">
        <v>221</v>
      </c>
      <c r="D8573" s="3" t="s">
        <v>614</v>
      </c>
      <c r="E8573" s="3" t="s">
        <v>118</v>
      </c>
      <c r="F8573" s="7">
        <v>45914.902613782535</v>
      </c>
      <c r="G8573" s="3" t="s">
        <v>6063</v>
      </c>
    </row>
    <row r="8574">
      <c r="A8574" s="3" t="s">
        <v>23612</v>
      </c>
      <c r="B8574" s="3" t="s">
        <v>7820</v>
      </c>
      <c r="C8574" s="5" t="s">
        <v>614</v>
      </c>
      <c r="D8574" s="3" t="s">
        <v>206</v>
      </c>
      <c r="E8574" s="3" t="s">
        <v>100</v>
      </c>
      <c r="F8574" s="7">
        <v>45914.90608600476</v>
      </c>
      <c r="G8574" s="3" t="s">
        <v>6067</v>
      </c>
    </row>
    <row r="8575">
      <c r="A8575" s="3" t="s">
        <v>23614</v>
      </c>
      <c r="B8575" s="3" t="s">
        <v>7820</v>
      </c>
      <c r="C8575" s="5" t="s">
        <v>206</v>
      </c>
      <c r="D8575" s="3" t="s">
        <v>68</v>
      </c>
      <c r="E8575" s="3" t="s">
        <v>100</v>
      </c>
      <c r="F8575" s="7">
        <v>45914.90955822698</v>
      </c>
      <c r="G8575" s="3" t="s">
        <v>6070</v>
      </c>
    </row>
    <row r="8576">
      <c r="A8576" s="3" t="s">
        <v>23616</v>
      </c>
      <c r="B8576" s="3" t="s">
        <v>7822</v>
      </c>
      <c r="C8576" s="5" t="s">
        <v>45</v>
      </c>
      <c r="D8576" s="3" t="s">
        <v>221</v>
      </c>
      <c r="E8576" s="3" t="s">
        <v>561</v>
      </c>
      <c r="F8576" s="7">
        <v>45914.970316405736</v>
      </c>
      <c r="G8576" s="3" t="s">
        <v>5467</v>
      </c>
    </row>
    <row r="8577">
      <c r="A8577" s="3" t="s">
        <v>23618</v>
      </c>
      <c r="B8577" s="3" t="s">
        <v>7822</v>
      </c>
      <c r="C8577" s="5" t="s">
        <v>221</v>
      </c>
      <c r="D8577" s="3" t="s">
        <v>614</v>
      </c>
      <c r="E8577" s="3" t="s">
        <v>118</v>
      </c>
      <c r="F8577" s="7">
        <v>45914.973788627954</v>
      </c>
      <c r="G8577" s="3" t="s">
        <v>5470</v>
      </c>
    </row>
    <row r="8578">
      <c r="A8578" s="3" t="s">
        <v>23619</v>
      </c>
      <c r="B8578" s="3" t="s">
        <v>7822</v>
      </c>
      <c r="C8578" s="5" t="s">
        <v>614</v>
      </c>
      <c r="D8578" s="3" t="s">
        <v>206</v>
      </c>
      <c r="E8578" s="3" t="s">
        <v>100</v>
      </c>
      <c r="F8578" s="7">
        <v>45914.97726085018</v>
      </c>
      <c r="G8578" s="3" t="s">
        <v>5473</v>
      </c>
    </row>
    <row r="8579">
      <c r="A8579" s="3" t="s">
        <v>23621</v>
      </c>
      <c r="B8579" s="3" t="s">
        <v>7822</v>
      </c>
      <c r="C8579" s="5" t="s">
        <v>206</v>
      </c>
      <c r="D8579" s="3" t="s">
        <v>68</v>
      </c>
      <c r="E8579" s="3" t="s">
        <v>100</v>
      </c>
      <c r="F8579" s="7">
        <v>45914.9807330724</v>
      </c>
      <c r="G8579" s="3" t="s">
        <v>5476</v>
      </c>
    </row>
    <row r="8580">
      <c r="A8580" s="3" t="s">
        <v>23623</v>
      </c>
      <c r="B8580" s="3" t="s">
        <v>7824</v>
      </c>
      <c r="C8580" s="5" t="s">
        <v>45</v>
      </c>
      <c r="D8580" s="3" t="s">
        <v>221</v>
      </c>
      <c r="E8580" s="3" t="s">
        <v>900</v>
      </c>
      <c r="F8580" s="7">
        <v>45915.04149125115</v>
      </c>
      <c r="G8580" s="3" t="s">
        <v>6145</v>
      </c>
    </row>
    <row r="8581">
      <c r="A8581" s="3" t="s">
        <v>23625</v>
      </c>
      <c r="B8581" s="3" t="s">
        <v>7824</v>
      </c>
      <c r="C8581" s="5" t="s">
        <v>221</v>
      </c>
      <c r="D8581" s="3" t="s">
        <v>614</v>
      </c>
      <c r="E8581" s="3" t="s">
        <v>118</v>
      </c>
      <c r="F8581" s="7">
        <v>45915.04496347337</v>
      </c>
      <c r="G8581" s="3" t="s">
        <v>6147</v>
      </c>
    </row>
    <row r="8582">
      <c r="A8582" s="3" t="s">
        <v>23627</v>
      </c>
      <c r="B8582" s="3" t="s">
        <v>7824</v>
      </c>
      <c r="C8582" s="5" t="s">
        <v>614</v>
      </c>
      <c r="D8582" s="3" t="s">
        <v>206</v>
      </c>
      <c r="E8582" s="3" t="s">
        <v>100</v>
      </c>
      <c r="F8582" s="7">
        <v>45915.04843569559</v>
      </c>
      <c r="G8582" s="3" t="s">
        <v>6149</v>
      </c>
    </row>
    <row r="8583">
      <c r="A8583" s="3" t="s">
        <v>23629</v>
      </c>
      <c r="B8583" s="3" t="s">
        <v>7824</v>
      </c>
      <c r="C8583" s="5" t="s">
        <v>206</v>
      </c>
      <c r="D8583" s="3" t="s">
        <v>68</v>
      </c>
      <c r="E8583" s="3" t="s">
        <v>100</v>
      </c>
      <c r="F8583" s="7">
        <v>45915.05190791781</v>
      </c>
      <c r="G8583" s="3" t="s">
        <v>6152</v>
      </c>
    </row>
    <row r="8584">
      <c r="A8584" s="3" t="s">
        <v>23631</v>
      </c>
      <c r="B8584" s="3" t="s">
        <v>7826</v>
      </c>
      <c r="C8584" s="5" t="s">
        <v>45</v>
      </c>
      <c r="D8584" s="3" t="s">
        <v>221</v>
      </c>
      <c r="E8584" s="3" t="s">
        <v>224</v>
      </c>
      <c r="F8584" s="7">
        <v>45915.11266609656</v>
      </c>
      <c r="G8584" s="3" t="s">
        <v>6166</v>
      </c>
    </row>
    <row r="8585">
      <c r="A8585" s="3" t="s">
        <v>23632</v>
      </c>
      <c r="B8585" s="3" t="s">
        <v>7826</v>
      </c>
      <c r="C8585" s="5" t="s">
        <v>221</v>
      </c>
      <c r="D8585" s="3" t="s">
        <v>614</v>
      </c>
      <c r="E8585" s="3" t="s">
        <v>118</v>
      </c>
      <c r="F8585" s="7">
        <v>45915.11613831878</v>
      </c>
      <c r="G8585" s="3" t="s">
        <v>6169</v>
      </c>
    </row>
    <row r="8586">
      <c r="A8586" s="3" t="s">
        <v>23633</v>
      </c>
      <c r="B8586" s="3" t="s">
        <v>7826</v>
      </c>
      <c r="C8586" s="5" t="s">
        <v>614</v>
      </c>
      <c r="D8586" s="3" t="s">
        <v>206</v>
      </c>
      <c r="E8586" s="3" t="s">
        <v>100</v>
      </c>
      <c r="F8586" s="7">
        <v>45915.119610541005</v>
      </c>
      <c r="G8586" s="3" t="s">
        <v>6171</v>
      </c>
    </row>
    <row r="8587">
      <c r="A8587" s="3" t="s">
        <v>23634</v>
      </c>
      <c r="B8587" s="3" t="s">
        <v>7826</v>
      </c>
      <c r="C8587" s="5" t="s">
        <v>206</v>
      </c>
      <c r="D8587" s="3" t="s">
        <v>68</v>
      </c>
      <c r="E8587" s="3" t="s">
        <v>100</v>
      </c>
      <c r="F8587" s="7">
        <v>45915.123082763224</v>
      </c>
      <c r="G8587" s="3" t="s">
        <v>6174</v>
      </c>
    </row>
    <row r="8588">
      <c r="A8588" s="3" t="s">
        <v>23635</v>
      </c>
      <c r="B8588" s="3" t="s">
        <v>7830</v>
      </c>
      <c r="C8588" s="5" t="s">
        <v>45</v>
      </c>
      <c r="D8588" s="3" t="s">
        <v>221</v>
      </c>
      <c r="E8588" s="3" t="s">
        <v>685</v>
      </c>
      <c r="F8588" s="7">
        <v>45915.18384094198</v>
      </c>
      <c r="G8588" s="3" t="s">
        <v>7021</v>
      </c>
    </row>
    <row r="8589">
      <c r="A8589" s="3" t="s">
        <v>23636</v>
      </c>
      <c r="B8589" s="3" t="s">
        <v>7830</v>
      </c>
      <c r="C8589" s="5" t="s">
        <v>221</v>
      </c>
      <c r="D8589" s="3" t="s">
        <v>614</v>
      </c>
      <c r="E8589" s="3" t="s">
        <v>118</v>
      </c>
      <c r="F8589" s="7">
        <v>45915.1873131642</v>
      </c>
      <c r="G8589" s="3" t="s">
        <v>7024</v>
      </c>
    </row>
    <row r="8590">
      <c r="A8590" s="3" t="s">
        <v>23637</v>
      </c>
      <c r="B8590" s="3" t="s">
        <v>7830</v>
      </c>
      <c r="C8590" s="5" t="s">
        <v>614</v>
      </c>
      <c r="D8590" s="3" t="s">
        <v>206</v>
      </c>
      <c r="E8590" s="3" t="s">
        <v>100</v>
      </c>
      <c r="F8590" s="7">
        <v>45915.190785386425</v>
      </c>
      <c r="G8590" s="3" t="s">
        <v>7027</v>
      </c>
    </row>
    <row r="8591">
      <c r="A8591" s="3" t="s">
        <v>23638</v>
      </c>
      <c r="B8591" s="3" t="s">
        <v>7830</v>
      </c>
      <c r="C8591" s="5" t="s">
        <v>206</v>
      </c>
      <c r="D8591" s="3" t="s">
        <v>68</v>
      </c>
      <c r="E8591" s="3" t="s">
        <v>100</v>
      </c>
      <c r="F8591" s="7">
        <v>45915.194257608644</v>
      </c>
      <c r="G8591" s="3" t="s">
        <v>7030</v>
      </c>
    </row>
    <row r="8592">
      <c r="A8592" s="3" t="s">
        <v>23639</v>
      </c>
      <c r="B8592" s="3" t="s">
        <v>7833</v>
      </c>
      <c r="C8592" s="5" t="s">
        <v>45</v>
      </c>
      <c r="D8592" s="3" t="s">
        <v>221</v>
      </c>
      <c r="E8592" s="3" t="s">
        <v>137</v>
      </c>
      <c r="F8592" s="7">
        <v>45915.25501578739</v>
      </c>
      <c r="G8592" s="3" t="s">
        <v>14747</v>
      </c>
    </row>
    <row r="8593">
      <c r="A8593" s="3" t="s">
        <v>23640</v>
      </c>
      <c r="B8593" s="3" t="s">
        <v>7833</v>
      </c>
      <c r="C8593" s="5" t="s">
        <v>221</v>
      </c>
      <c r="D8593" s="3" t="s">
        <v>181</v>
      </c>
      <c r="E8593" s="3" t="s">
        <v>118</v>
      </c>
      <c r="F8593" s="7">
        <v>45915.25848800961</v>
      </c>
      <c r="G8593" s="3" t="s">
        <v>23070</v>
      </c>
    </row>
    <row r="8594">
      <c r="A8594" s="3" t="s">
        <v>23641</v>
      </c>
      <c r="B8594" s="3" t="s">
        <v>7836</v>
      </c>
      <c r="C8594" s="5" t="s">
        <v>45</v>
      </c>
      <c r="D8594" s="3" t="s">
        <v>221</v>
      </c>
      <c r="E8594" s="3" t="s">
        <v>208</v>
      </c>
      <c r="F8594" s="7">
        <v>45915.326190632804</v>
      </c>
      <c r="G8594" s="3" t="s">
        <v>15975</v>
      </c>
    </row>
    <row r="8595">
      <c r="A8595" s="3" t="s">
        <v>23642</v>
      </c>
      <c r="B8595" s="3" t="s">
        <v>7836</v>
      </c>
      <c r="C8595" s="5" t="s">
        <v>221</v>
      </c>
      <c r="D8595" s="3" t="s">
        <v>614</v>
      </c>
      <c r="E8595" s="3" t="s">
        <v>118</v>
      </c>
      <c r="F8595" s="7">
        <v>45915.32966285502</v>
      </c>
      <c r="G8595" s="3" t="s">
        <v>15978</v>
      </c>
    </row>
    <row r="8596">
      <c r="A8596" s="3" t="s">
        <v>23643</v>
      </c>
      <c r="B8596" s="3" t="s">
        <v>7836</v>
      </c>
      <c r="C8596" s="5" t="s">
        <v>614</v>
      </c>
      <c r="D8596" s="3" t="s">
        <v>206</v>
      </c>
      <c r="E8596" s="3" t="s">
        <v>100</v>
      </c>
      <c r="F8596" s="7">
        <v>45915.33313507725</v>
      </c>
      <c r="G8596" s="3" t="s">
        <v>15981</v>
      </c>
    </row>
    <row r="8597">
      <c r="A8597" s="3" t="s">
        <v>23644</v>
      </c>
      <c r="B8597" s="3" t="s">
        <v>7836</v>
      </c>
      <c r="C8597" s="5" t="s">
        <v>206</v>
      </c>
      <c r="D8597" s="3" t="s">
        <v>68</v>
      </c>
      <c r="E8597" s="3" t="s">
        <v>100</v>
      </c>
      <c r="F8597" s="7">
        <v>45915.33660729947</v>
      </c>
      <c r="G8597" s="3" t="s">
        <v>15984</v>
      </c>
    </row>
    <row r="8598">
      <c r="A8598" s="3" t="s">
        <v>23645</v>
      </c>
      <c r="B8598" s="3" t="s">
        <v>7839</v>
      </c>
      <c r="C8598" s="5" t="s">
        <v>45</v>
      </c>
      <c r="D8598" s="3" t="s">
        <v>221</v>
      </c>
      <c r="E8598" s="3" t="s">
        <v>523</v>
      </c>
      <c r="F8598" s="7">
        <v>45915.397365478224</v>
      </c>
      <c r="G8598" s="3" t="s">
        <v>18118</v>
      </c>
    </row>
    <row r="8599">
      <c r="A8599" s="3" t="s">
        <v>23646</v>
      </c>
      <c r="B8599" s="3" t="s">
        <v>7839</v>
      </c>
      <c r="C8599" s="5" t="s">
        <v>221</v>
      </c>
      <c r="D8599" s="3" t="s">
        <v>614</v>
      </c>
      <c r="E8599" s="3" t="s">
        <v>118</v>
      </c>
      <c r="F8599" s="7">
        <v>45915.40083770044</v>
      </c>
      <c r="G8599" s="3" t="s">
        <v>18121</v>
      </c>
    </row>
    <row r="8600">
      <c r="A8600" s="3" t="s">
        <v>23647</v>
      </c>
      <c r="B8600" s="3" t="s">
        <v>7839</v>
      </c>
      <c r="C8600" s="5" t="s">
        <v>614</v>
      </c>
      <c r="D8600" s="3" t="s">
        <v>206</v>
      </c>
      <c r="E8600" s="3" t="s">
        <v>100</v>
      </c>
      <c r="F8600" s="7">
        <v>45915.40430992267</v>
      </c>
      <c r="G8600" s="3" t="s">
        <v>18123</v>
      </c>
    </row>
    <row r="8601">
      <c r="A8601" s="3" t="s">
        <v>23648</v>
      </c>
      <c r="B8601" s="3" t="s">
        <v>7839</v>
      </c>
      <c r="C8601" s="5" t="s">
        <v>206</v>
      </c>
      <c r="D8601" s="3" t="s">
        <v>68</v>
      </c>
      <c r="E8601" s="3" t="s">
        <v>100</v>
      </c>
      <c r="F8601" s="7">
        <v>45915.40778214489</v>
      </c>
      <c r="G8601" s="3" t="s">
        <v>18126</v>
      </c>
    </row>
    <row r="8602">
      <c r="A8602" s="3" t="s">
        <v>23649</v>
      </c>
      <c r="B8602" s="3" t="s">
        <v>7842</v>
      </c>
      <c r="C8602" s="5" t="s">
        <v>45</v>
      </c>
      <c r="D8602" s="3" t="s">
        <v>221</v>
      </c>
      <c r="E8602" s="3" t="s">
        <v>1040</v>
      </c>
      <c r="F8602" s="7">
        <v>45915.46854032364</v>
      </c>
      <c r="G8602" s="3" t="s">
        <v>7129</v>
      </c>
    </row>
    <row r="8603">
      <c r="A8603" s="3" t="s">
        <v>23650</v>
      </c>
      <c r="B8603" s="3" t="s">
        <v>7842</v>
      </c>
      <c r="C8603" s="5" t="s">
        <v>221</v>
      </c>
      <c r="D8603" s="3" t="s">
        <v>614</v>
      </c>
      <c r="E8603" s="3" t="s">
        <v>118</v>
      </c>
      <c r="F8603" s="7">
        <v>45915.47201254586</v>
      </c>
      <c r="G8603" s="3" t="s">
        <v>7132</v>
      </c>
    </row>
    <row r="8604">
      <c r="A8604" s="3" t="s">
        <v>23651</v>
      </c>
      <c r="B8604" s="3" t="s">
        <v>7842</v>
      </c>
      <c r="C8604" s="5" t="s">
        <v>614</v>
      </c>
      <c r="D8604" s="3" t="s">
        <v>206</v>
      </c>
      <c r="E8604" s="3" t="s">
        <v>100</v>
      </c>
      <c r="F8604" s="7">
        <v>45915.47548476809</v>
      </c>
      <c r="G8604" s="3" t="s">
        <v>7135</v>
      </c>
    </row>
    <row r="8605">
      <c r="A8605" s="3" t="s">
        <v>23652</v>
      </c>
      <c r="B8605" s="3" t="s">
        <v>7842</v>
      </c>
      <c r="C8605" s="5" t="s">
        <v>206</v>
      </c>
      <c r="D8605" s="3" t="s">
        <v>68</v>
      </c>
      <c r="E8605" s="3" t="s">
        <v>100</v>
      </c>
      <c r="F8605" s="7">
        <v>45915.47895699031</v>
      </c>
      <c r="G8605" s="3" t="s">
        <v>7138</v>
      </c>
    </row>
    <row r="8606">
      <c r="A8606" s="3" t="s">
        <v>23653</v>
      </c>
      <c r="B8606" s="3" t="s">
        <v>7845</v>
      </c>
      <c r="C8606" s="5" t="s">
        <v>45</v>
      </c>
      <c r="D8606" s="3" t="s">
        <v>221</v>
      </c>
      <c r="E8606" s="3" t="s">
        <v>758</v>
      </c>
      <c r="F8606" s="7">
        <v>45915.53971516905</v>
      </c>
      <c r="G8606" s="3" t="s">
        <v>6214</v>
      </c>
    </row>
    <row r="8607">
      <c r="A8607" s="3" t="s">
        <v>23654</v>
      </c>
      <c r="B8607" s="3" t="s">
        <v>7845</v>
      </c>
      <c r="C8607" s="5" t="s">
        <v>221</v>
      </c>
      <c r="D8607" s="3" t="s">
        <v>614</v>
      </c>
      <c r="E8607" s="3" t="s">
        <v>118</v>
      </c>
      <c r="F8607" s="7">
        <v>45915.54318739127</v>
      </c>
      <c r="G8607" s="3" t="s">
        <v>6219</v>
      </c>
    </row>
    <row r="8608">
      <c r="A8608" s="3" t="s">
        <v>23655</v>
      </c>
      <c r="B8608" s="3" t="s">
        <v>7845</v>
      </c>
      <c r="C8608" s="5" t="s">
        <v>614</v>
      </c>
      <c r="D8608" s="3" t="s">
        <v>206</v>
      </c>
      <c r="E8608" s="3" t="s">
        <v>100</v>
      </c>
      <c r="F8608" s="7">
        <v>45915.546659613494</v>
      </c>
      <c r="G8608" s="3" t="s">
        <v>6222</v>
      </c>
    </row>
    <row r="8609">
      <c r="A8609" s="3" t="s">
        <v>23656</v>
      </c>
      <c r="B8609" s="3" t="s">
        <v>7845</v>
      </c>
      <c r="C8609" s="5" t="s">
        <v>206</v>
      </c>
      <c r="D8609" s="3" t="s">
        <v>68</v>
      </c>
      <c r="E8609" s="3" t="s">
        <v>100</v>
      </c>
      <c r="F8609" s="7">
        <v>45915.55013183571</v>
      </c>
      <c r="G8609" s="3" t="s">
        <v>6224</v>
      </c>
    </row>
    <row r="8610">
      <c r="A8610" s="3" t="s">
        <v>23657</v>
      </c>
      <c r="B8610" s="3" t="s">
        <v>7848</v>
      </c>
      <c r="C8610" s="5" t="s">
        <v>45</v>
      </c>
      <c r="D8610" s="3" t="s">
        <v>221</v>
      </c>
      <c r="E8610" s="3" t="s">
        <v>584</v>
      </c>
      <c r="F8610" s="7">
        <v>45915.61089001447</v>
      </c>
      <c r="G8610" s="3" t="s">
        <v>23658</v>
      </c>
    </row>
    <row r="8611">
      <c r="A8611" s="3" t="s">
        <v>23659</v>
      </c>
      <c r="B8611" s="3" t="s">
        <v>7848</v>
      </c>
      <c r="C8611" s="5" t="s">
        <v>221</v>
      </c>
      <c r="D8611" s="3" t="s">
        <v>195</v>
      </c>
      <c r="E8611" s="3" t="s">
        <v>584</v>
      </c>
      <c r="F8611" s="7">
        <v>45915.61436223669</v>
      </c>
      <c r="G8611" s="3" t="s">
        <v>23660</v>
      </c>
    </row>
    <row r="8612">
      <c r="A8612" s="3" t="s">
        <v>23661</v>
      </c>
      <c r="B8612" s="3" t="s">
        <v>7851</v>
      </c>
      <c r="C8612" s="5" t="s">
        <v>45</v>
      </c>
      <c r="D8612" s="3" t="s">
        <v>221</v>
      </c>
      <c r="E8612" s="3" t="s">
        <v>731</v>
      </c>
      <c r="F8612" s="7">
        <v>45915.68206485989</v>
      </c>
      <c r="G8612" s="3" t="s">
        <v>9589</v>
      </c>
    </row>
    <row r="8613">
      <c r="A8613" s="3" t="s">
        <v>23662</v>
      </c>
      <c r="B8613" s="3" t="s">
        <v>7851</v>
      </c>
      <c r="C8613" s="5" t="s">
        <v>221</v>
      </c>
      <c r="D8613" s="3" t="s">
        <v>614</v>
      </c>
      <c r="E8613" s="3" t="s">
        <v>118</v>
      </c>
      <c r="F8613" s="7">
        <v>45915.68553708211</v>
      </c>
      <c r="G8613" s="3" t="s">
        <v>23663</v>
      </c>
    </row>
    <row r="8614">
      <c r="A8614" s="3" t="s">
        <v>23664</v>
      </c>
      <c r="B8614" s="3" t="s">
        <v>7851</v>
      </c>
      <c r="C8614" s="5" t="s">
        <v>614</v>
      </c>
      <c r="D8614" s="3" t="s">
        <v>206</v>
      </c>
      <c r="E8614" s="3" t="s">
        <v>100</v>
      </c>
      <c r="F8614" s="7">
        <v>45915.68900930433</v>
      </c>
      <c r="G8614" s="3" t="s">
        <v>23665</v>
      </c>
    </row>
    <row r="8615">
      <c r="A8615" s="3" t="s">
        <v>23666</v>
      </c>
      <c r="B8615" s="3" t="s">
        <v>7851</v>
      </c>
      <c r="C8615" s="5" t="s">
        <v>206</v>
      </c>
      <c r="D8615" s="3" t="s">
        <v>68</v>
      </c>
      <c r="E8615" s="3" t="s">
        <v>100</v>
      </c>
      <c r="F8615" s="7">
        <v>45915.69248152655</v>
      </c>
      <c r="G8615" s="3" t="s">
        <v>23667</v>
      </c>
    </row>
    <row r="8616">
      <c r="A8616" s="3" t="s">
        <v>23668</v>
      </c>
      <c r="B8616" s="3" t="s">
        <v>7854</v>
      </c>
      <c r="C8616" s="5" t="s">
        <v>45</v>
      </c>
      <c r="D8616" s="3" t="s">
        <v>221</v>
      </c>
      <c r="E8616" s="3" t="s">
        <v>704</v>
      </c>
      <c r="F8616" s="7">
        <v>45915.7532397053</v>
      </c>
      <c r="G8616" s="3" t="s">
        <v>21732</v>
      </c>
    </row>
    <row r="8617">
      <c r="A8617" s="3" t="s">
        <v>23669</v>
      </c>
      <c r="B8617" s="3" t="s">
        <v>7854</v>
      </c>
      <c r="C8617" s="5" t="s">
        <v>221</v>
      </c>
      <c r="D8617" s="3" t="s">
        <v>181</v>
      </c>
      <c r="E8617" s="3" t="s">
        <v>118</v>
      </c>
      <c r="F8617" s="7">
        <v>45915.75671192752</v>
      </c>
      <c r="G8617" s="3" t="s">
        <v>23670</v>
      </c>
    </row>
    <row r="8618">
      <c r="A8618" s="3" t="s">
        <v>23671</v>
      </c>
      <c r="B8618" s="3" t="s">
        <v>7857</v>
      </c>
      <c r="C8618" s="5" t="s">
        <v>45</v>
      </c>
      <c r="D8618" s="3" t="s">
        <v>221</v>
      </c>
      <c r="E8618" s="3" t="s">
        <v>969</v>
      </c>
      <c r="F8618" s="7">
        <v>45915.82441455071</v>
      </c>
      <c r="G8618" s="3" t="s">
        <v>6243</v>
      </c>
    </row>
    <row r="8619">
      <c r="A8619" s="3" t="s">
        <v>23672</v>
      </c>
      <c r="B8619" s="3" t="s">
        <v>7857</v>
      </c>
      <c r="C8619" s="5" t="s">
        <v>221</v>
      </c>
      <c r="D8619" s="3" t="s">
        <v>614</v>
      </c>
      <c r="E8619" s="3" t="s">
        <v>118</v>
      </c>
      <c r="F8619" s="7">
        <v>45915.82788677293</v>
      </c>
      <c r="G8619" s="3" t="s">
        <v>6246</v>
      </c>
    </row>
    <row r="8620">
      <c r="A8620" s="3" t="s">
        <v>23673</v>
      </c>
      <c r="B8620" s="3" t="s">
        <v>7857</v>
      </c>
      <c r="C8620" s="5" t="s">
        <v>614</v>
      </c>
      <c r="D8620" s="3" t="s">
        <v>206</v>
      </c>
      <c r="E8620" s="3" t="s">
        <v>100</v>
      </c>
      <c r="F8620" s="7">
        <v>45915.83135899516</v>
      </c>
      <c r="G8620" s="3" t="s">
        <v>6248</v>
      </c>
    </row>
    <row r="8621">
      <c r="A8621" s="3" t="s">
        <v>23674</v>
      </c>
      <c r="B8621" s="3" t="s">
        <v>7857</v>
      </c>
      <c r="C8621" s="5" t="s">
        <v>206</v>
      </c>
      <c r="D8621" s="3" t="s">
        <v>68</v>
      </c>
      <c r="E8621" s="3" t="s">
        <v>100</v>
      </c>
      <c r="F8621" s="7">
        <v>45915.83483121738</v>
      </c>
      <c r="G8621" s="3" t="s">
        <v>6251</v>
      </c>
    </row>
    <row r="8622">
      <c r="A8622" s="3" t="s">
        <v>23675</v>
      </c>
      <c r="B8622" s="3" t="s">
        <v>7858</v>
      </c>
      <c r="C8622" s="5" t="s">
        <v>45</v>
      </c>
      <c r="D8622" s="3" t="s">
        <v>221</v>
      </c>
      <c r="E8622" s="3" t="s">
        <v>256</v>
      </c>
      <c r="F8622" s="7">
        <v>45915.89558939613</v>
      </c>
      <c r="G8622" s="3" t="s">
        <v>5992</v>
      </c>
    </row>
    <row r="8623">
      <c r="A8623" s="3" t="s">
        <v>23676</v>
      </c>
      <c r="B8623" s="3" t="s">
        <v>7858</v>
      </c>
      <c r="C8623" s="5" t="s">
        <v>221</v>
      </c>
      <c r="D8623" s="3" t="s">
        <v>614</v>
      </c>
      <c r="E8623" s="3" t="s">
        <v>118</v>
      </c>
      <c r="F8623" s="7">
        <v>45915.89906161835</v>
      </c>
      <c r="G8623" s="3" t="s">
        <v>15785</v>
      </c>
    </row>
    <row r="8624">
      <c r="A8624" s="3" t="s">
        <v>23677</v>
      </c>
      <c r="B8624" s="3" t="s">
        <v>7858</v>
      </c>
      <c r="C8624" s="5" t="s">
        <v>614</v>
      </c>
      <c r="D8624" s="3" t="s">
        <v>206</v>
      </c>
      <c r="E8624" s="3" t="s">
        <v>100</v>
      </c>
      <c r="F8624" s="7">
        <v>45915.90253384058</v>
      </c>
      <c r="G8624" s="3" t="s">
        <v>15788</v>
      </c>
    </row>
    <row r="8625">
      <c r="A8625" s="3" t="s">
        <v>23678</v>
      </c>
      <c r="B8625" s="3" t="s">
        <v>7858</v>
      </c>
      <c r="C8625" s="5" t="s">
        <v>206</v>
      </c>
      <c r="D8625" s="3" t="s">
        <v>68</v>
      </c>
      <c r="E8625" s="3" t="s">
        <v>100</v>
      </c>
      <c r="F8625" s="7">
        <v>45915.906006062796</v>
      </c>
      <c r="G8625" s="3" t="s">
        <v>15791</v>
      </c>
    </row>
    <row r="8626">
      <c r="A8626" s="3" t="s">
        <v>23679</v>
      </c>
      <c r="B8626" s="3" t="s">
        <v>7859</v>
      </c>
      <c r="C8626" s="5" t="s">
        <v>45</v>
      </c>
      <c r="D8626" s="3" t="s">
        <v>221</v>
      </c>
      <c r="E8626" s="3" t="s">
        <v>1040</v>
      </c>
      <c r="F8626" s="7">
        <v>45915.966764241544</v>
      </c>
      <c r="G8626" s="3" t="s">
        <v>7129</v>
      </c>
    </row>
    <row r="8627">
      <c r="A8627" s="3" t="s">
        <v>23680</v>
      </c>
      <c r="B8627" s="3" t="s">
        <v>7859</v>
      </c>
      <c r="C8627" s="5" t="s">
        <v>221</v>
      </c>
      <c r="D8627" s="3" t="s">
        <v>614</v>
      </c>
      <c r="E8627" s="3" t="s">
        <v>118</v>
      </c>
      <c r="F8627" s="7">
        <v>45915.97023646376</v>
      </c>
      <c r="G8627" s="3" t="s">
        <v>7132</v>
      </c>
    </row>
    <row r="8628">
      <c r="A8628" s="3" t="s">
        <v>23681</v>
      </c>
      <c r="B8628" s="3" t="s">
        <v>7859</v>
      </c>
      <c r="C8628" s="5" t="s">
        <v>614</v>
      </c>
      <c r="D8628" s="3" t="s">
        <v>206</v>
      </c>
      <c r="E8628" s="3" t="s">
        <v>100</v>
      </c>
      <c r="F8628" s="7">
        <v>45915.97370868599</v>
      </c>
      <c r="G8628" s="3" t="s">
        <v>7135</v>
      </c>
    </row>
    <row r="8629">
      <c r="A8629" s="3" t="s">
        <v>23682</v>
      </c>
      <c r="B8629" s="3" t="s">
        <v>7859</v>
      </c>
      <c r="C8629" s="5" t="s">
        <v>206</v>
      </c>
      <c r="D8629" s="3" t="s">
        <v>68</v>
      </c>
      <c r="E8629" s="3" t="s">
        <v>100</v>
      </c>
      <c r="F8629" s="7">
        <v>45915.97718090821</v>
      </c>
      <c r="G8629" s="3" t="s">
        <v>7138</v>
      </c>
    </row>
    <row r="8630">
      <c r="A8630" s="3" t="s">
        <v>23683</v>
      </c>
      <c r="B8630" s="3" t="s">
        <v>7862</v>
      </c>
      <c r="C8630" s="5" t="s">
        <v>45</v>
      </c>
      <c r="D8630" s="3" t="s">
        <v>221</v>
      </c>
      <c r="E8630" s="3" t="s">
        <v>510</v>
      </c>
      <c r="F8630" s="7">
        <v>45916.03793908696</v>
      </c>
      <c r="G8630" s="3" t="s">
        <v>23312</v>
      </c>
    </row>
    <row r="8631">
      <c r="A8631" s="3" t="s">
        <v>23684</v>
      </c>
      <c r="B8631" s="3" t="s">
        <v>7862</v>
      </c>
      <c r="C8631" s="5" t="s">
        <v>221</v>
      </c>
      <c r="D8631" s="3" t="s">
        <v>614</v>
      </c>
      <c r="E8631" s="3" t="s">
        <v>118</v>
      </c>
      <c r="F8631" s="7">
        <v>45916.041411309176</v>
      </c>
      <c r="G8631" s="3" t="s">
        <v>23685</v>
      </c>
    </row>
    <row r="8632">
      <c r="A8632" s="3" t="s">
        <v>23686</v>
      </c>
      <c r="B8632" s="3" t="s">
        <v>7862</v>
      </c>
      <c r="C8632" s="5" t="s">
        <v>614</v>
      </c>
      <c r="D8632" s="3" t="s">
        <v>206</v>
      </c>
      <c r="E8632" s="3" t="s">
        <v>100</v>
      </c>
      <c r="F8632" s="7">
        <v>45916.0448835314</v>
      </c>
      <c r="G8632" s="3" t="s">
        <v>23687</v>
      </c>
    </row>
    <row r="8633">
      <c r="A8633" s="3" t="s">
        <v>23688</v>
      </c>
      <c r="B8633" s="3" t="s">
        <v>7862</v>
      </c>
      <c r="C8633" s="5" t="s">
        <v>206</v>
      </c>
      <c r="D8633" s="3" t="s">
        <v>68</v>
      </c>
      <c r="E8633" s="3" t="s">
        <v>100</v>
      </c>
      <c r="F8633" s="7">
        <v>45916.04835575362</v>
      </c>
      <c r="G8633" s="3" t="s">
        <v>23689</v>
      </c>
    </row>
    <row r="8634">
      <c r="A8634" s="3" t="s">
        <v>23690</v>
      </c>
      <c r="B8634" s="3" t="s">
        <v>7865</v>
      </c>
      <c r="C8634" s="5" t="s">
        <v>45</v>
      </c>
      <c r="D8634" s="3" t="s">
        <v>221</v>
      </c>
      <c r="E8634" s="3" t="s">
        <v>574</v>
      </c>
      <c r="F8634" s="7">
        <v>45916.109113932376</v>
      </c>
      <c r="G8634" s="3" t="s">
        <v>4287</v>
      </c>
    </row>
    <row r="8635">
      <c r="A8635" s="3" t="s">
        <v>23691</v>
      </c>
      <c r="B8635" s="3" t="s">
        <v>7865</v>
      </c>
      <c r="C8635" s="5" t="s">
        <v>221</v>
      </c>
      <c r="D8635" s="3" t="s">
        <v>614</v>
      </c>
      <c r="E8635" s="3" t="s">
        <v>118</v>
      </c>
      <c r="F8635" s="7">
        <v>45916.112586154595</v>
      </c>
      <c r="G8635" s="3" t="s">
        <v>4290</v>
      </c>
    </row>
    <row r="8636">
      <c r="A8636" s="3" t="s">
        <v>23692</v>
      </c>
      <c r="B8636" s="3" t="s">
        <v>7865</v>
      </c>
      <c r="C8636" s="5" t="s">
        <v>614</v>
      </c>
      <c r="D8636" s="3" t="s">
        <v>206</v>
      </c>
      <c r="E8636" s="3" t="s">
        <v>100</v>
      </c>
      <c r="F8636" s="7">
        <v>45916.11605837682</v>
      </c>
      <c r="G8636" s="3" t="s">
        <v>4293</v>
      </c>
    </row>
    <row r="8637">
      <c r="A8637" s="3" t="s">
        <v>23693</v>
      </c>
      <c r="B8637" s="3" t="s">
        <v>7865</v>
      </c>
      <c r="C8637" s="5" t="s">
        <v>206</v>
      </c>
      <c r="D8637" s="3" t="s">
        <v>68</v>
      </c>
      <c r="E8637" s="3" t="s">
        <v>100</v>
      </c>
      <c r="F8637" s="7">
        <v>45916.11953059904</v>
      </c>
      <c r="G8637" s="3" t="s">
        <v>4296</v>
      </c>
    </row>
    <row r="8638">
      <c r="A8638" s="3" t="s">
        <v>23694</v>
      </c>
      <c r="B8638" s="3" t="s">
        <v>7868</v>
      </c>
      <c r="C8638" s="5" t="s">
        <v>45</v>
      </c>
      <c r="D8638" s="3" t="s">
        <v>221</v>
      </c>
      <c r="E8638" s="3" t="s">
        <v>593</v>
      </c>
      <c r="F8638" s="7">
        <v>45916.180288777796</v>
      </c>
      <c r="G8638" s="3" t="s">
        <v>6254</v>
      </c>
    </row>
    <row r="8639">
      <c r="A8639" s="3" t="s">
        <v>23695</v>
      </c>
      <c r="B8639" s="3" t="s">
        <v>7868</v>
      </c>
      <c r="C8639" s="5" t="s">
        <v>221</v>
      </c>
      <c r="D8639" s="3" t="s">
        <v>614</v>
      </c>
      <c r="E8639" s="3" t="s">
        <v>118</v>
      </c>
      <c r="F8639" s="7">
        <v>45916.183761000015</v>
      </c>
      <c r="G8639" s="3" t="s">
        <v>6257</v>
      </c>
    </row>
    <row r="8640">
      <c r="A8640" s="3" t="s">
        <v>23696</v>
      </c>
      <c r="B8640" s="3" t="s">
        <v>7868</v>
      </c>
      <c r="C8640" s="5" t="s">
        <v>614</v>
      </c>
      <c r="D8640" s="3" t="s">
        <v>206</v>
      </c>
      <c r="E8640" s="3" t="s">
        <v>100</v>
      </c>
      <c r="F8640" s="7">
        <v>45916.18723322224</v>
      </c>
      <c r="G8640" s="3" t="s">
        <v>6260</v>
      </c>
    </row>
    <row r="8641">
      <c r="A8641" s="3" t="s">
        <v>23697</v>
      </c>
      <c r="B8641" s="3" t="s">
        <v>7868</v>
      </c>
      <c r="C8641" s="5" t="s">
        <v>206</v>
      </c>
      <c r="D8641" s="3" t="s">
        <v>68</v>
      </c>
      <c r="E8641" s="3" t="s">
        <v>100</v>
      </c>
      <c r="F8641" s="7">
        <v>45916.19070544446</v>
      </c>
      <c r="G8641" s="3" t="s">
        <v>6263</v>
      </c>
    </row>
    <row r="8642">
      <c r="A8642" s="3" t="s">
        <v>23698</v>
      </c>
      <c r="B8642" s="3" t="s">
        <v>7872</v>
      </c>
      <c r="C8642" s="5" t="s">
        <v>45</v>
      </c>
      <c r="D8642" s="3" t="s">
        <v>221</v>
      </c>
      <c r="E8642" s="3" t="s">
        <v>512</v>
      </c>
      <c r="F8642" s="7">
        <v>45916.2514636232</v>
      </c>
      <c r="G8642" s="3" t="s">
        <v>6266</v>
      </c>
    </row>
    <row r="8643">
      <c r="A8643" s="3" t="s">
        <v>23699</v>
      </c>
      <c r="B8643" s="3" t="s">
        <v>7872</v>
      </c>
      <c r="C8643" s="5" t="s">
        <v>221</v>
      </c>
      <c r="D8643" s="3" t="s">
        <v>614</v>
      </c>
      <c r="E8643" s="3" t="s">
        <v>118</v>
      </c>
      <c r="F8643" s="7">
        <v>45916.25493584542</v>
      </c>
      <c r="G8643" s="3" t="s">
        <v>6269</v>
      </c>
    </row>
    <row r="8644">
      <c r="A8644" s="3" t="s">
        <v>23700</v>
      </c>
      <c r="B8644" s="3" t="s">
        <v>7872</v>
      </c>
      <c r="C8644" s="5" t="s">
        <v>614</v>
      </c>
      <c r="D8644" s="3" t="s">
        <v>206</v>
      </c>
      <c r="E8644" s="3" t="s">
        <v>100</v>
      </c>
      <c r="F8644" s="7">
        <v>45916.258408067646</v>
      </c>
      <c r="G8644" s="3" t="s">
        <v>6272</v>
      </c>
    </row>
    <row r="8645">
      <c r="A8645" s="3" t="s">
        <v>23701</v>
      </c>
      <c r="B8645" s="3" t="s">
        <v>7872</v>
      </c>
      <c r="C8645" s="5" t="s">
        <v>206</v>
      </c>
      <c r="D8645" s="3" t="s">
        <v>68</v>
      </c>
      <c r="E8645" s="3" t="s">
        <v>100</v>
      </c>
      <c r="F8645" s="7">
        <v>45916.261880289865</v>
      </c>
      <c r="G8645" s="3" t="s">
        <v>6275</v>
      </c>
    </row>
    <row r="8646">
      <c r="A8646" s="3" t="s">
        <v>23702</v>
      </c>
      <c r="B8646" s="3" t="s">
        <v>7876</v>
      </c>
      <c r="C8646" s="5" t="s">
        <v>45</v>
      </c>
      <c r="D8646" s="3" t="s">
        <v>221</v>
      </c>
      <c r="E8646" s="3" t="s">
        <v>400</v>
      </c>
      <c r="F8646" s="7">
        <v>45916.32263846862</v>
      </c>
      <c r="G8646" s="3" t="s">
        <v>6277</v>
      </c>
    </row>
    <row r="8647">
      <c r="A8647" s="3" t="s">
        <v>23703</v>
      </c>
      <c r="B8647" s="3" t="s">
        <v>7876</v>
      </c>
      <c r="C8647" s="5" t="s">
        <v>221</v>
      </c>
      <c r="D8647" s="3" t="s">
        <v>614</v>
      </c>
      <c r="E8647" s="3" t="s">
        <v>118</v>
      </c>
      <c r="F8647" s="7">
        <v>45916.32611069084</v>
      </c>
      <c r="G8647" s="3" t="s">
        <v>6280</v>
      </c>
    </row>
    <row r="8648">
      <c r="A8648" s="3" t="s">
        <v>23704</v>
      </c>
      <c r="B8648" s="3" t="s">
        <v>7876</v>
      </c>
      <c r="C8648" s="5" t="s">
        <v>614</v>
      </c>
      <c r="D8648" s="3" t="s">
        <v>206</v>
      </c>
      <c r="E8648" s="3" t="s">
        <v>100</v>
      </c>
      <c r="F8648" s="7">
        <v>45916.329582913066</v>
      </c>
      <c r="G8648" s="3" t="s">
        <v>6283</v>
      </c>
    </row>
    <row r="8649">
      <c r="A8649" s="3" t="s">
        <v>23705</v>
      </c>
      <c r="B8649" s="3" t="s">
        <v>7876</v>
      </c>
      <c r="C8649" s="5" t="s">
        <v>206</v>
      </c>
      <c r="D8649" s="3" t="s">
        <v>68</v>
      </c>
      <c r="E8649" s="3" t="s">
        <v>100</v>
      </c>
      <c r="F8649" s="7">
        <v>45916.333055135285</v>
      </c>
      <c r="G8649" s="3" t="s">
        <v>6286</v>
      </c>
    </row>
    <row r="8650">
      <c r="A8650" s="3" t="s">
        <v>23706</v>
      </c>
      <c r="B8650" s="3" t="s">
        <v>7878</v>
      </c>
      <c r="C8650" s="5" t="s">
        <v>45</v>
      </c>
      <c r="D8650" s="3" t="s">
        <v>221</v>
      </c>
      <c r="E8650" s="3" t="s">
        <v>322</v>
      </c>
      <c r="F8650" s="7">
        <v>45916.39381331403</v>
      </c>
      <c r="G8650" s="3" t="s">
        <v>4858</v>
      </c>
    </row>
    <row r="8651">
      <c r="A8651" s="3" t="s">
        <v>23707</v>
      </c>
      <c r="B8651" s="3" t="s">
        <v>7878</v>
      </c>
      <c r="C8651" s="5" t="s">
        <v>221</v>
      </c>
      <c r="D8651" s="3" t="s">
        <v>614</v>
      </c>
      <c r="E8651" s="3" t="s">
        <v>118</v>
      </c>
      <c r="F8651" s="7">
        <v>45916.39728553625</v>
      </c>
      <c r="G8651" s="3" t="s">
        <v>4861</v>
      </c>
    </row>
    <row r="8652">
      <c r="A8652" s="3" t="s">
        <v>23708</v>
      </c>
      <c r="B8652" s="3" t="s">
        <v>7878</v>
      </c>
      <c r="C8652" s="5" t="s">
        <v>614</v>
      </c>
      <c r="D8652" s="3" t="s">
        <v>206</v>
      </c>
      <c r="E8652" s="3" t="s">
        <v>100</v>
      </c>
      <c r="F8652" s="7">
        <v>45916.40075775848</v>
      </c>
      <c r="G8652" s="3" t="s">
        <v>4865</v>
      </c>
    </row>
    <row r="8653">
      <c r="A8653" s="3" t="s">
        <v>23709</v>
      </c>
      <c r="B8653" s="3" t="s">
        <v>7878</v>
      </c>
      <c r="C8653" s="5" t="s">
        <v>206</v>
      </c>
      <c r="D8653" s="3" t="s">
        <v>68</v>
      </c>
      <c r="E8653" s="3" t="s">
        <v>100</v>
      </c>
      <c r="F8653" s="7">
        <v>45916.4042299807</v>
      </c>
      <c r="G8653" s="3" t="s">
        <v>4868</v>
      </c>
    </row>
    <row r="8654">
      <c r="A8654" s="3" t="s">
        <v>23710</v>
      </c>
      <c r="B8654" s="3" t="s">
        <v>7881</v>
      </c>
      <c r="C8654" s="5" t="s">
        <v>45</v>
      </c>
      <c r="D8654" s="3" t="s">
        <v>221</v>
      </c>
      <c r="E8654" s="3" t="s">
        <v>756</v>
      </c>
      <c r="F8654" s="7">
        <v>45916.46498815945</v>
      </c>
      <c r="G8654" s="3" t="s">
        <v>20397</v>
      </c>
    </row>
    <row r="8655">
      <c r="A8655" s="3" t="s">
        <v>23711</v>
      </c>
      <c r="B8655" s="3" t="s">
        <v>7881</v>
      </c>
      <c r="C8655" s="5" t="s">
        <v>221</v>
      </c>
      <c r="D8655" s="3" t="s">
        <v>614</v>
      </c>
      <c r="E8655" s="3" t="s">
        <v>118</v>
      </c>
      <c r="F8655" s="7">
        <v>45916.46846038167</v>
      </c>
      <c r="G8655" s="3" t="s">
        <v>20400</v>
      </c>
    </row>
    <row r="8656">
      <c r="A8656" s="3" t="s">
        <v>23712</v>
      </c>
      <c r="B8656" s="3" t="s">
        <v>7881</v>
      </c>
      <c r="C8656" s="5" t="s">
        <v>614</v>
      </c>
      <c r="D8656" s="3" t="s">
        <v>206</v>
      </c>
      <c r="E8656" s="3" t="s">
        <v>100</v>
      </c>
      <c r="F8656" s="7">
        <v>45916.4719326039</v>
      </c>
      <c r="G8656" s="3" t="s">
        <v>20402</v>
      </c>
    </row>
    <row r="8657">
      <c r="A8657" s="3" t="s">
        <v>23713</v>
      </c>
      <c r="B8657" s="3" t="s">
        <v>7881</v>
      </c>
      <c r="C8657" s="5" t="s">
        <v>206</v>
      </c>
      <c r="D8657" s="3" t="s">
        <v>68</v>
      </c>
      <c r="E8657" s="3" t="s">
        <v>100</v>
      </c>
      <c r="F8657" s="7">
        <v>45916.47540482612</v>
      </c>
      <c r="G8657" s="3" t="s">
        <v>20405</v>
      </c>
    </row>
    <row r="8658">
      <c r="A8658" s="3" t="s">
        <v>23714</v>
      </c>
      <c r="B8658" s="3" t="s">
        <v>7883</v>
      </c>
      <c r="C8658" s="5" t="s">
        <v>45</v>
      </c>
      <c r="D8658" s="3" t="s">
        <v>221</v>
      </c>
      <c r="E8658" s="3" t="s">
        <v>561</v>
      </c>
      <c r="F8658" s="7">
        <v>45916.536163004865</v>
      </c>
      <c r="G8658" s="3" t="s">
        <v>5467</v>
      </c>
    </row>
    <row r="8659">
      <c r="A8659" s="3" t="s">
        <v>23715</v>
      </c>
      <c r="B8659" s="3" t="s">
        <v>7883</v>
      </c>
      <c r="C8659" s="5" t="s">
        <v>221</v>
      </c>
      <c r="D8659" s="3" t="s">
        <v>614</v>
      </c>
      <c r="E8659" s="3" t="s">
        <v>118</v>
      </c>
      <c r="F8659" s="7">
        <v>45916.53963522708</v>
      </c>
      <c r="G8659" s="3" t="s">
        <v>5470</v>
      </c>
    </row>
    <row r="8660">
      <c r="A8660" s="3" t="s">
        <v>23716</v>
      </c>
      <c r="B8660" s="3" t="s">
        <v>7883</v>
      </c>
      <c r="C8660" s="5" t="s">
        <v>614</v>
      </c>
      <c r="D8660" s="3" t="s">
        <v>206</v>
      </c>
      <c r="E8660" s="3" t="s">
        <v>100</v>
      </c>
      <c r="F8660" s="7">
        <v>45916.54310744931</v>
      </c>
      <c r="G8660" s="3" t="s">
        <v>5473</v>
      </c>
    </row>
    <row r="8661">
      <c r="A8661" s="3" t="s">
        <v>23717</v>
      </c>
      <c r="B8661" s="3" t="s">
        <v>7883</v>
      </c>
      <c r="C8661" s="5" t="s">
        <v>206</v>
      </c>
      <c r="D8661" s="3" t="s">
        <v>68</v>
      </c>
      <c r="E8661" s="3" t="s">
        <v>100</v>
      </c>
      <c r="F8661" s="7">
        <v>45916.54657967153</v>
      </c>
      <c r="G8661" s="3" t="s">
        <v>5476</v>
      </c>
    </row>
    <row r="8662">
      <c r="A8662" s="3" t="s">
        <v>23718</v>
      </c>
      <c r="B8662" s="3" t="s">
        <v>7886</v>
      </c>
      <c r="C8662" s="5" t="s">
        <v>45</v>
      </c>
      <c r="D8662" s="3" t="s">
        <v>221</v>
      </c>
      <c r="E8662" s="3" t="s">
        <v>689</v>
      </c>
      <c r="F8662" s="7">
        <v>45916.607337850284</v>
      </c>
      <c r="G8662" s="3" t="s">
        <v>5582</v>
      </c>
    </row>
    <row r="8663">
      <c r="A8663" s="3" t="s">
        <v>23719</v>
      </c>
      <c r="B8663" s="3" t="s">
        <v>7886</v>
      </c>
      <c r="C8663" s="5" t="s">
        <v>221</v>
      </c>
      <c r="D8663" s="3" t="s">
        <v>614</v>
      </c>
      <c r="E8663" s="3" t="s">
        <v>118</v>
      </c>
      <c r="F8663" s="7">
        <v>45916.6108100725</v>
      </c>
      <c r="G8663" s="3" t="s">
        <v>5585</v>
      </c>
    </row>
    <row r="8664">
      <c r="A8664" s="3" t="s">
        <v>23720</v>
      </c>
      <c r="B8664" s="3" t="s">
        <v>7886</v>
      </c>
      <c r="C8664" s="5" t="s">
        <v>614</v>
      </c>
      <c r="D8664" s="3" t="s">
        <v>206</v>
      </c>
      <c r="E8664" s="3" t="s">
        <v>100</v>
      </c>
      <c r="F8664" s="7">
        <v>45916.61428229473</v>
      </c>
      <c r="G8664" s="3" t="s">
        <v>5588</v>
      </c>
    </row>
    <row r="8665">
      <c r="A8665" s="3" t="s">
        <v>23721</v>
      </c>
      <c r="B8665" s="3" t="s">
        <v>7886</v>
      </c>
      <c r="C8665" s="5" t="s">
        <v>206</v>
      </c>
      <c r="D8665" s="3" t="s">
        <v>68</v>
      </c>
      <c r="E8665" s="3" t="s">
        <v>100</v>
      </c>
      <c r="F8665" s="7">
        <v>45916.61775451695</v>
      </c>
      <c r="G8665" s="3" t="s">
        <v>5591</v>
      </c>
    </row>
    <row r="8666">
      <c r="A8666" s="3" t="s">
        <v>23722</v>
      </c>
      <c r="B8666" s="3" t="s">
        <v>7890</v>
      </c>
      <c r="C8666" s="5" t="s">
        <v>45</v>
      </c>
      <c r="D8666" s="3" t="s">
        <v>221</v>
      </c>
      <c r="E8666" s="3" t="s">
        <v>781</v>
      </c>
      <c r="F8666" s="7">
        <v>45916.67851269569</v>
      </c>
      <c r="G8666" s="3" t="s">
        <v>6289</v>
      </c>
    </row>
    <row r="8667">
      <c r="A8667" s="3" t="s">
        <v>23723</v>
      </c>
      <c r="B8667" s="3" t="s">
        <v>7890</v>
      </c>
      <c r="C8667" s="5" t="s">
        <v>221</v>
      </c>
      <c r="D8667" s="3" t="s">
        <v>614</v>
      </c>
      <c r="E8667" s="3" t="s">
        <v>118</v>
      </c>
      <c r="F8667" s="7">
        <v>45916.68198491791</v>
      </c>
      <c r="G8667" s="3" t="s">
        <v>6292</v>
      </c>
    </row>
    <row r="8668">
      <c r="A8668" s="3" t="s">
        <v>23724</v>
      </c>
      <c r="B8668" s="3" t="s">
        <v>7890</v>
      </c>
      <c r="C8668" s="5" t="s">
        <v>614</v>
      </c>
      <c r="D8668" s="3" t="s">
        <v>206</v>
      </c>
      <c r="E8668" s="3" t="s">
        <v>100</v>
      </c>
      <c r="F8668" s="7">
        <v>45916.685457140135</v>
      </c>
      <c r="G8668" s="3" t="s">
        <v>6295</v>
      </c>
    </row>
    <row r="8669">
      <c r="A8669" s="3" t="s">
        <v>23725</v>
      </c>
      <c r="B8669" s="3" t="s">
        <v>7890</v>
      </c>
      <c r="C8669" s="5" t="s">
        <v>206</v>
      </c>
      <c r="D8669" s="3" t="s">
        <v>68</v>
      </c>
      <c r="E8669" s="3" t="s">
        <v>100</v>
      </c>
      <c r="F8669" s="7">
        <v>45916.68892936235</v>
      </c>
      <c r="G8669" s="3" t="s">
        <v>6298</v>
      </c>
    </row>
    <row r="8670">
      <c r="A8670" s="3" t="s">
        <v>23726</v>
      </c>
      <c r="B8670" s="3" t="s">
        <v>7893</v>
      </c>
      <c r="C8670" s="5" t="s">
        <v>45</v>
      </c>
      <c r="D8670" s="3" t="s">
        <v>221</v>
      </c>
      <c r="E8670" s="3" t="s">
        <v>215</v>
      </c>
      <c r="F8670" s="7">
        <v>45916.74968754111</v>
      </c>
      <c r="G8670" s="3" t="s">
        <v>6328</v>
      </c>
    </row>
    <row r="8671">
      <c r="A8671" s="3" t="s">
        <v>23727</v>
      </c>
      <c r="B8671" s="3" t="s">
        <v>7893</v>
      </c>
      <c r="C8671" s="5" t="s">
        <v>221</v>
      </c>
      <c r="D8671" s="3" t="s">
        <v>614</v>
      </c>
      <c r="E8671" s="3" t="s">
        <v>118</v>
      </c>
      <c r="F8671" s="7">
        <v>45916.75315976333</v>
      </c>
      <c r="G8671" s="3" t="s">
        <v>6331</v>
      </c>
    </row>
    <row r="8672">
      <c r="A8672" s="3" t="s">
        <v>23728</v>
      </c>
      <c r="B8672" s="3" t="s">
        <v>7893</v>
      </c>
      <c r="C8672" s="5" t="s">
        <v>614</v>
      </c>
      <c r="D8672" s="3" t="s">
        <v>206</v>
      </c>
      <c r="E8672" s="3" t="s">
        <v>100</v>
      </c>
      <c r="F8672" s="7">
        <v>45916.756631985554</v>
      </c>
      <c r="G8672" s="3" t="s">
        <v>6334</v>
      </c>
    </row>
    <row r="8673">
      <c r="A8673" s="3" t="s">
        <v>23729</v>
      </c>
      <c r="B8673" s="3" t="s">
        <v>7893</v>
      </c>
      <c r="C8673" s="5" t="s">
        <v>206</v>
      </c>
      <c r="D8673" s="3" t="s">
        <v>68</v>
      </c>
      <c r="E8673" s="3" t="s">
        <v>100</v>
      </c>
      <c r="F8673" s="7">
        <v>45916.76010420777</v>
      </c>
      <c r="G8673" s="3" t="s">
        <v>6337</v>
      </c>
    </row>
    <row r="8674">
      <c r="A8674" s="3" t="s">
        <v>23730</v>
      </c>
      <c r="B8674" s="3" t="s">
        <v>7897</v>
      </c>
      <c r="C8674" s="5" t="s">
        <v>45</v>
      </c>
      <c r="D8674" s="3" t="s">
        <v>221</v>
      </c>
      <c r="E8674" s="3" t="s">
        <v>333</v>
      </c>
      <c r="F8674" s="7">
        <v>45916.82086238653</v>
      </c>
      <c r="G8674" s="3" t="s">
        <v>11392</v>
      </c>
    </row>
    <row r="8675">
      <c r="A8675" s="3" t="s">
        <v>23731</v>
      </c>
      <c r="B8675" s="3" t="s">
        <v>7897</v>
      </c>
      <c r="C8675" s="5" t="s">
        <v>221</v>
      </c>
      <c r="D8675" s="3" t="s">
        <v>614</v>
      </c>
      <c r="E8675" s="3" t="s">
        <v>118</v>
      </c>
      <c r="F8675" s="7">
        <v>45916.82433460875</v>
      </c>
      <c r="G8675" s="3" t="s">
        <v>11394</v>
      </c>
    </row>
    <row r="8676">
      <c r="A8676" s="3" t="s">
        <v>23732</v>
      </c>
      <c r="B8676" s="3" t="s">
        <v>7897</v>
      </c>
      <c r="C8676" s="5" t="s">
        <v>614</v>
      </c>
      <c r="D8676" s="3" t="s">
        <v>206</v>
      </c>
      <c r="E8676" s="3" t="s">
        <v>100</v>
      </c>
      <c r="F8676" s="7">
        <v>45916.827806830974</v>
      </c>
      <c r="G8676" s="3" t="s">
        <v>11397</v>
      </c>
    </row>
    <row r="8677">
      <c r="A8677" s="3" t="s">
        <v>23733</v>
      </c>
      <c r="B8677" s="3" t="s">
        <v>7897</v>
      </c>
      <c r="C8677" s="5" t="s">
        <v>206</v>
      </c>
      <c r="D8677" s="3" t="s">
        <v>68</v>
      </c>
      <c r="E8677" s="3" t="s">
        <v>100</v>
      </c>
      <c r="F8677" s="7">
        <v>45916.83127905319</v>
      </c>
      <c r="G8677" s="3" t="s">
        <v>11400</v>
      </c>
    </row>
    <row r="8678">
      <c r="A8678" s="3" t="s">
        <v>23734</v>
      </c>
      <c r="B8678" s="3" t="s">
        <v>7900</v>
      </c>
      <c r="C8678" s="5" t="s">
        <v>45</v>
      </c>
      <c r="D8678" s="3" t="s">
        <v>221</v>
      </c>
      <c r="E8678" s="3" t="s">
        <v>515</v>
      </c>
      <c r="F8678" s="7">
        <v>45916.89203723194</v>
      </c>
      <c r="G8678" s="3" t="s">
        <v>2770</v>
      </c>
    </row>
    <row r="8679">
      <c r="A8679" s="3" t="s">
        <v>23735</v>
      </c>
      <c r="B8679" s="3" t="s">
        <v>7900</v>
      </c>
      <c r="C8679" s="5" t="s">
        <v>221</v>
      </c>
      <c r="D8679" s="3" t="s">
        <v>181</v>
      </c>
      <c r="E8679" s="3" t="s">
        <v>118</v>
      </c>
      <c r="F8679" s="7">
        <v>45916.89550945416</v>
      </c>
      <c r="G8679" s="3" t="s">
        <v>2774</v>
      </c>
    </row>
    <row r="8680">
      <c r="A8680" s="3" t="s">
        <v>23736</v>
      </c>
      <c r="B8680" s="3" t="s">
        <v>7903</v>
      </c>
      <c r="C8680" s="5" t="s">
        <v>45</v>
      </c>
      <c r="D8680" s="3" t="s">
        <v>221</v>
      </c>
      <c r="E8680" s="3" t="s">
        <v>916</v>
      </c>
      <c r="F8680" s="7">
        <v>45916.96321207735</v>
      </c>
      <c r="G8680" s="3" t="s">
        <v>18174</v>
      </c>
    </row>
    <row r="8681">
      <c r="A8681" s="3" t="s">
        <v>23737</v>
      </c>
      <c r="B8681" s="3" t="s">
        <v>7903</v>
      </c>
      <c r="C8681" s="5" t="s">
        <v>221</v>
      </c>
      <c r="D8681" s="3" t="s">
        <v>614</v>
      </c>
      <c r="E8681" s="3" t="s">
        <v>118</v>
      </c>
      <c r="F8681" s="7">
        <v>45916.96668429957</v>
      </c>
      <c r="G8681" s="3" t="s">
        <v>18176</v>
      </c>
    </row>
    <row r="8682">
      <c r="A8682" s="3" t="s">
        <v>23738</v>
      </c>
      <c r="B8682" s="3" t="s">
        <v>7903</v>
      </c>
      <c r="C8682" s="5" t="s">
        <v>614</v>
      </c>
      <c r="D8682" s="3" t="s">
        <v>206</v>
      </c>
      <c r="E8682" s="3" t="s">
        <v>100</v>
      </c>
      <c r="F8682" s="7">
        <v>45916.9701565218</v>
      </c>
      <c r="G8682" s="3" t="s">
        <v>18179</v>
      </c>
    </row>
    <row r="8683">
      <c r="A8683" s="3" t="s">
        <v>23739</v>
      </c>
      <c r="B8683" s="3" t="s">
        <v>7903</v>
      </c>
      <c r="C8683" s="5" t="s">
        <v>206</v>
      </c>
      <c r="D8683" s="3" t="s">
        <v>68</v>
      </c>
      <c r="E8683" s="3" t="s">
        <v>100</v>
      </c>
      <c r="F8683" s="7">
        <v>45916.97362874402</v>
      </c>
      <c r="G8683" s="3" t="s">
        <v>18182</v>
      </c>
    </row>
    <row r="8684">
      <c r="A8684" s="3" t="s">
        <v>23740</v>
      </c>
      <c r="B8684" s="3" t="s">
        <v>7906</v>
      </c>
      <c r="C8684" s="5" t="s">
        <v>45</v>
      </c>
      <c r="D8684" s="3" t="s">
        <v>221</v>
      </c>
      <c r="E8684" s="3" t="s">
        <v>380</v>
      </c>
      <c r="F8684" s="7">
        <v>45917.03438692277</v>
      </c>
      <c r="G8684" s="3" t="s">
        <v>6363</v>
      </c>
    </row>
    <row r="8685">
      <c r="A8685" s="3" t="s">
        <v>23741</v>
      </c>
      <c r="B8685" s="3" t="s">
        <v>7906</v>
      </c>
      <c r="C8685" s="5" t="s">
        <v>221</v>
      </c>
      <c r="D8685" s="3" t="s">
        <v>614</v>
      </c>
      <c r="E8685" s="3" t="s">
        <v>118</v>
      </c>
      <c r="F8685" s="7">
        <v>45917.03785914499</v>
      </c>
      <c r="G8685" s="3" t="s">
        <v>6365</v>
      </c>
    </row>
    <row r="8686">
      <c r="A8686" s="3" t="s">
        <v>23742</v>
      </c>
      <c r="B8686" s="3" t="s">
        <v>7906</v>
      </c>
      <c r="C8686" s="5" t="s">
        <v>614</v>
      </c>
      <c r="D8686" s="3" t="s">
        <v>206</v>
      </c>
      <c r="E8686" s="3" t="s">
        <v>100</v>
      </c>
      <c r="F8686" s="7">
        <v>45917.04133136722</v>
      </c>
      <c r="G8686" s="3" t="s">
        <v>6368</v>
      </c>
    </row>
    <row r="8687">
      <c r="A8687" s="3" t="s">
        <v>23743</v>
      </c>
      <c r="B8687" s="3" t="s">
        <v>7906</v>
      </c>
      <c r="C8687" s="5" t="s">
        <v>206</v>
      </c>
      <c r="D8687" s="3" t="s">
        <v>68</v>
      </c>
      <c r="E8687" s="3" t="s">
        <v>100</v>
      </c>
      <c r="F8687" s="7">
        <v>45917.04480358944</v>
      </c>
      <c r="G8687" s="3" t="s">
        <v>6371</v>
      </c>
    </row>
    <row r="8688">
      <c r="A8688" s="3" t="s">
        <v>23744</v>
      </c>
      <c r="B8688" s="3" t="s">
        <v>7909</v>
      </c>
      <c r="C8688" s="5" t="s">
        <v>45</v>
      </c>
      <c r="D8688" s="3" t="s">
        <v>221</v>
      </c>
      <c r="E8688" s="3" t="s">
        <v>689</v>
      </c>
      <c r="F8688" s="7">
        <v>45917.105561768185</v>
      </c>
      <c r="G8688" s="3" t="s">
        <v>6419</v>
      </c>
    </row>
    <row r="8689">
      <c r="A8689" s="3" t="s">
        <v>23745</v>
      </c>
      <c r="B8689" s="3" t="s">
        <v>7909</v>
      </c>
      <c r="C8689" s="5" t="s">
        <v>221</v>
      </c>
      <c r="D8689" s="3" t="s">
        <v>614</v>
      </c>
      <c r="E8689" s="3" t="s">
        <v>118</v>
      </c>
      <c r="F8689" s="7">
        <v>45917.109033990404</v>
      </c>
      <c r="G8689" s="3" t="s">
        <v>6422</v>
      </c>
    </row>
    <row r="8690">
      <c r="A8690" s="3" t="s">
        <v>23746</v>
      </c>
      <c r="B8690" s="3" t="s">
        <v>7909</v>
      </c>
      <c r="C8690" s="5" t="s">
        <v>614</v>
      </c>
      <c r="D8690" s="3" t="s">
        <v>206</v>
      </c>
      <c r="E8690" s="3" t="s">
        <v>100</v>
      </c>
      <c r="F8690" s="7">
        <v>45917.11250621263</v>
      </c>
      <c r="G8690" s="3" t="s">
        <v>6425</v>
      </c>
    </row>
    <row r="8691">
      <c r="A8691" s="3" t="s">
        <v>23747</v>
      </c>
      <c r="B8691" s="3" t="s">
        <v>7909</v>
      </c>
      <c r="C8691" s="5" t="s">
        <v>206</v>
      </c>
      <c r="D8691" s="3" t="s">
        <v>68</v>
      </c>
      <c r="E8691" s="3" t="s">
        <v>100</v>
      </c>
      <c r="F8691" s="7">
        <v>45917.11597843485</v>
      </c>
      <c r="G8691" s="3" t="s">
        <v>6427</v>
      </c>
    </row>
    <row r="8692">
      <c r="A8692" s="3" t="s">
        <v>23748</v>
      </c>
      <c r="B8692" s="3" t="s">
        <v>7912</v>
      </c>
      <c r="C8692" s="5" t="s">
        <v>45</v>
      </c>
      <c r="D8692" s="3" t="s">
        <v>221</v>
      </c>
      <c r="E8692" s="3" t="s">
        <v>446</v>
      </c>
      <c r="F8692" s="7">
        <v>45917.1767366136</v>
      </c>
      <c r="G8692" s="3" t="s">
        <v>14549</v>
      </c>
    </row>
    <row r="8693">
      <c r="A8693" s="3" t="s">
        <v>23749</v>
      </c>
      <c r="B8693" s="3" t="s">
        <v>7912</v>
      </c>
      <c r="C8693" s="5" t="s">
        <v>221</v>
      </c>
      <c r="D8693" s="3" t="s">
        <v>614</v>
      </c>
      <c r="E8693" s="3" t="s">
        <v>118</v>
      </c>
      <c r="F8693" s="7">
        <v>45917.180208835816</v>
      </c>
      <c r="G8693" s="3" t="s">
        <v>14552</v>
      </c>
    </row>
    <row r="8694">
      <c r="A8694" s="3" t="s">
        <v>23750</v>
      </c>
      <c r="B8694" s="3" t="s">
        <v>7912</v>
      </c>
      <c r="C8694" s="5" t="s">
        <v>614</v>
      </c>
      <c r="D8694" s="3" t="s">
        <v>206</v>
      </c>
      <c r="E8694" s="3" t="s">
        <v>100</v>
      </c>
      <c r="F8694" s="7">
        <v>45917.18368105804</v>
      </c>
      <c r="G8694" s="3" t="s">
        <v>14555</v>
      </c>
    </row>
    <row r="8695">
      <c r="A8695" s="3" t="s">
        <v>23751</v>
      </c>
      <c r="B8695" s="3" t="s">
        <v>7912</v>
      </c>
      <c r="C8695" s="5" t="s">
        <v>206</v>
      </c>
      <c r="D8695" s="3" t="s">
        <v>68</v>
      </c>
      <c r="E8695" s="3" t="s">
        <v>100</v>
      </c>
      <c r="F8695" s="7">
        <v>45917.18715328026</v>
      </c>
      <c r="G8695" s="3" t="s">
        <v>14558</v>
      </c>
    </row>
    <row r="8696">
      <c r="A8696" s="3" t="s">
        <v>23752</v>
      </c>
      <c r="B8696" s="3" t="s">
        <v>7915</v>
      </c>
      <c r="C8696" s="5" t="s">
        <v>45</v>
      </c>
      <c r="D8696" s="3" t="s">
        <v>221</v>
      </c>
      <c r="E8696" s="3" t="s">
        <v>665</v>
      </c>
      <c r="F8696" s="7">
        <v>45917.24791145902</v>
      </c>
      <c r="G8696" s="3" t="s">
        <v>20187</v>
      </c>
    </row>
    <row r="8697">
      <c r="A8697" s="3" t="s">
        <v>23753</v>
      </c>
      <c r="B8697" s="3" t="s">
        <v>7915</v>
      </c>
      <c r="C8697" s="5" t="s">
        <v>221</v>
      </c>
      <c r="D8697" s="3" t="s">
        <v>181</v>
      </c>
      <c r="E8697" s="3" t="s">
        <v>118</v>
      </c>
      <c r="F8697" s="7">
        <v>45917.251383681236</v>
      </c>
      <c r="G8697" s="3" t="s">
        <v>23754</v>
      </c>
    </row>
    <row r="8698">
      <c r="A8698" s="3" t="s">
        <v>23755</v>
      </c>
      <c r="B8698" s="3" t="s">
        <v>7918</v>
      </c>
      <c r="C8698" s="5" t="s">
        <v>45</v>
      </c>
      <c r="D8698" s="3" t="s">
        <v>221</v>
      </c>
      <c r="E8698" s="3" t="s">
        <v>826</v>
      </c>
      <c r="F8698" s="7">
        <v>45917.31908630444</v>
      </c>
      <c r="G8698" s="3" t="s">
        <v>4823</v>
      </c>
    </row>
    <row r="8699">
      <c r="A8699" s="3" t="s">
        <v>23756</v>
      </c>
      <c r="B8699" s="3" t="s">
        <v>7918</v>
      </c>
      <c r="C8699" s="5" t="s">
        <v>221</v>
      </c>
      <c r="D8699" s="3" t="s">
        <v>614</v>
      </c>
      <c r="E8699" s="3" t="s">
        <v>118</v>
      </c>
      <c r="F8699" s="7">
        <v>45917.322558526655</v>
      </c>
      <c r="G8699" s="3" t="s">
        <v>4826</v>
      </c>
    </row>
    <row r="8700">
      <c r="A8700" s="3" t="s">
        <v>23757</v>
      </c>
      <c r="B8700" s="3" t="s">
        <v>7918</v>
      </c>
      <c r="C8700" s="5" t="s">
        <v>614</v>
      </c>
      <c r="D8700" s="3" t="s">
        <v>206</v>
      </c>
      <c r="E8700" s="3" t="s">
        <v>100</v>
      </c>
      <c r="F8700" s="7">
        <v>45917.32603074888</v>
      </c>
      <c r="G8700" s="3" t="s">
        <v>4829</v>
      </c>
    </row>
    <row r="8701">
      <c r="A8701" s="3" t="s">
        <v>23758</v>
      </c>
      <c r="B8701" s="3" t="s">
        <v>7918</v>
      </c>
      <c r="C8701" s="5" t="s">
        <v>206</v>
      </c>
      <c r="D8701" s="3" t="s">
        <v>68</v>
      </c>
      <c r="E8701" s="3" t="s">
        <v>100</v>
      </c>
      <c r="F8701" s="7">
        <v>45917.3295029711</v>
      </c>
      <c r="G8701" s="3" t="s">
        <v>4832</v>
      </c>
    </row>
    <row r="8702">
      <c r="A8702" s="3" t="s">
        <v>23759</v>
      </c>
      <c r="B8702" s="3" t="s">
        <v>7921</v>
      </c>
      <c r="C8702" s="5" t="s">
        <v>45</v>
      </c>
      <c r="D8702" s="3" t="s">
        <v>221</v>
      </c>
      <c r="E8702" s="3" t="s">
        <v>561</v>
      </c>
      <c r="F8702" s="7">
        <v>45917.39026114984</v>
      </c>
      <c r="G8702" s="3" t="s">
        <v>19372</v>
      </c>
    </row>
    <row r="8703">
      <c r="A8703" s="3" t="s">
        <v>23760</v>
      </c>
      <c r="B8703" s="3" t="s">
        <v>7921</v>
      </c>
      <c r="C8703" s="5" t="s">
        <v>221</v>
      </c>
      <c r="D8703" s="3" t="s">
        <v>614</v>
      </c>
      <c r="E8703" s="3" t="s">
        <v>118</v>
      </c>
      <c r="F8703" s="7">
        <v>45917.39373337206</v>
      </c>
      <c r="G8703" s="3" t="s">
        <v>19374</v>
      </c>
    </row>
    <row r="8704">
      <c r="A8704" s="3" t="s">
        <v>23761</v>
      </c>
      <c r="B8704" s="3" t="s">
        <v>7921</v>
      </c>
      <c r="C8704" s="5" t="s">
        <v>614</v>
      </c>
      <c r="D8704" s="3" t="s">
        <v>206</v>
      </c>
      <c r="E8704" s="3" t="s">
        <v>100</v>
      </c>
      <c r="F8704" s="7">
        <v>45917.39720559429</v>
      </c>
      <c r="G8704" s="3" t="s">
        <v>19377</v>
      </c>
    </row>
    <row r="8705">
      <c r="A8705" s="3" t="s">
        <v>23762</v>
      </c>
      <c r="B8705" s="3" t="s">
        <v>7921</v>
      </c>
      <c r="C8705" s="5" t="s">
        <v>206</v>
      </c>
      <c r="D8705" s="3" t="s">
        <v>68</v>
      </c>
      <c r="E8705" s="3" t="s">
        <v>100</v>
      </c>
      <c r="F8705" s="7">
        <v>45917.400677816506</v>
      </c>
      <c r="G8705" s="3" t="s">
        <v>19380</v>
      </c>
    </row>
    <row r="8706">
      <c r="A8706" s="3" t="s">
        <v>23763</v>
      </c>
      <c r="B8706" s="3" t="s">
        <v>7924</v>
      </c>
      <c r="C8706" s="5" t="s">
        <v>45</v>
      </c>
      <c r="D8706" s="3" t="s">
        <v>221</v>
      </c>
      <c r="E8706" s="3" t="s">
        <v>922</v>
      </c>
      <c r="F8706" s="7">
        <v>45917.46143599526</v>
      </c>
      <c r="G8706" s="3" t="s">
        <v>4646</v>
      </c>
    </row>
    <row r="8707">
      <c r="A8707" s="3" t="s">
        <v>23764</v>
      </c>
      <c r="B8707" s="3" t="s">
        <v>7924</v>
      </c>
      <c r="C8707" s="5" t="s">
        <v>221</v>
      </c>
      <c r="D8707" s="3" t="s">
        <v>614</v>
      </c>
      <c r="E8707" s="3" t="s">
        <v>118</v>
      </c>
      <c r="F8707" s="7">
        <v>45917.46490821748</v>
      </c>
      <c r="G8707" s="3" t="s">
        <v>4649</v>
      </c>
    </row>
    <row r="8708">
      <c r="A8708" s="3" t="s">
        <v>23765</v>
      </c>
      <c r="B8708" s="3" t="s">
        <v>7924</v>
      </c>
      <c r="C8708" s="5" t="s">
        <v>614</v>
      </c>
      <c r="D8708" s="3" t="s">
        <v>206</v>
      </c>
      <c r="E8708" s="3" t="s">
        <v>100</v>
      </c>
      <c r="F8708" s="7">
        <v>45917.46838043971</v>
      </c>
      <c r="G8708" s="3" t="s">
        <v>4652</v>
      </c>
    </row>
    <row r="8709">
      <c r="A8709" s="3" t="s">
        <v>23766</v>
      </c>
      <c r="B8709" s="3" t="s">
        <v>7924</v>
      </c>
      <c r="C8709" s="5" t="s">
        <v>206</v>
      </c>
      <c r="D8709" s="3" t="s">
        <v>68</v>
      </c>
      <c r="E8709" s="3" t="s">
        <v>100</v>
      </c>
      <c r="F8709" s="7">
        <v>45917.471852661925</v>
      </c>
      <c r="G8709" s="3" t="s">
        <v>4655</v>
      </c>
    </row>
    <row r="8710">
      <c r="A8710" s="3" t="s">
        <v>23767</v>
      </c>
      <c r="B8710" s="3" t="s">
        <v>7927</v>
      </c>
      <c r="C8710" s="5" t="s">
        <v>45</v>
      </c>
      <c r="D8710" s="3" t="s">
        <v>221</v>
      </c>
      <c r="E8710" s="3" t="s">
        <v>569</v>
      </c>
      <c r="F8710" s="7">
        <v>45917.53261084068</v>
      </c>
      <c r="G8710" s="3" t="s">
        <v>23768</v>
      </c>
    </row>
    <row r="8711">
      <c r="A8711" s="3" t="s">
        <v>23769</v>
      </c>
      <c r="B8711" s="3" t="s">
        <v>7927</v>
      </c>
      <c r="C8711" s="5" t="s">
        <v>221</v>
      </c>
      <c r="D8711" s="3" t="s">
        <v>614</v>
      </c>
      <c r="E8711" s="3" t="s">
        <v>118</v>
      </c>
      <c r="F8711" s="7">
        <v>45917.5360830629</v>
      </c>
      <c r="G8711" s="3" t="s">
        <v>23770</v>
      </c>
    </row>
    <row r="8712">
      <c r="A8712" s="3" t="s">
        <v>23771</v>
      </c>
      <c r="B8712" s="3" t="s">
        <v>7927</v>
      </c>
      <c r="C8712" s="5" t="s">
        <v>614</v>
      </c>
      <c r="D8712" s="3" t="s">
        <v>206</v>
      </c>
      <c r="E8712" s="3" t="s">
        <v>100</v>
      </c>
      <c r="F8712" s="7">
        <v>45917.539555285126</v>
      </c>
      <c r="G8712" s="3" t="s">
        <v>23772</v>
      </c>
    </row>
    <row r="8713">
      <c r="A8713" s="3" t="s">
        <v>23773</v>
      </c>
      <c r="B8713" s="3" t="s">
        <v>7927</v>
      </c>
      <c r="C8713" s="5" t="s">
        <v>206</v>
      </c>
      <c r="D8713" s="3" t="s">
        <v>68</v>
      </c>
      <c r="E8713" s="3" t="s">
        <v>100</v>
      </c>
      <c r="F8713" s="7">
        <v>45917.543027507345</v>
      </c>
      <c r="G8713" s="3" t="s">
        <v>23774</v>
      </c>
    </row>
    <row r="8714">
      <c r="A8714" s="3" t="s">
        <v>23775</v>
      </c>
      <c r="B8714" s="3" t="s">
        <v>7930</v>
      </c>
      <c r="C8714" s="5" t="s">
        <v>45</v>
      </c>
      <c r="D8714" s="3" t="s">
        <v>221</v>
      </c>
      <c r="E8714" s="3" t="s">
        <v>665</v>
      </c>
      <c r="F8714" s="7">
        <v>45917.60378568609</v>
      </c>
      <c r="G8714" s="3" t="s">
        <v>6396</v>
      </c>
    </row>
    <row r="8715">
      <c r="A8715" s="3" t="s">
        <v>23776</v>
      </c>
      <c r="B8715" s="3" t="s">
        <v>7930</v>
      </c>
      <c r="C8715" s="5" t="s">
        <v>221</v>
      </c>
      <c r="D8715" s="3" t="s">
        <v>614</v>
      </c>
      <c r="E8715" s="3" t="s">
        <v>118</v>
      </c>
      <c r="F8715" s="7">
        <v>45917.60725790831</v>
      </c>
      <c r="G8715" s="3" t="s">
        <v>6399</v>
      </c>
    </row>
    <row r="8716">
      <c r="A8716" s="3" t="s">
        <v>23777</v>
      </c>
      <c r="B8716" s="3" t="s">
        <v>7930</v>
      </c>
      <c r="C8716" s="5" t="s">
        <v>614</v>
      </c>
      <c r="D8716" s="3" t="s">
        <v>206</v>
      </c>
      <c r="E8716" s="3" t="s">
        <v>100</v>
      </c>
      <c r="F8716" s="7">
        <v>45917.61073013054</v>
      </c>
      <c r="G8716" s="3" t="s">
        <v>6402</v>
      </c>
    </row>
    <row r="8717">
      <c r="A8717" s="3" t="s">
        <v>23778</v>
      </c>
      <c r="B8717" s="3" t="s">
        <v>7930</v>
      </c>
      <c r="C8717" s="5" t="s">
        <v>206</v>
      </c>
      <c r="D8717" s="3" t="s">
        <v>68</v>
      </c>
      <c r="E8717" s="3" t="s">
        <v>100</v>
      </c>
      <c r="F8717" s="7">
        <v>45917.61420235276</v>
      </c>
      <c r="G8717" s="3" t="s">
        <v>6405</v>
      </c>
    </row>
    <row r="8718">
      <c r="A8718" s="3" t="s">
        <v>23779</v>
      </c>
      <c r="B8718" s="3" t="s">
        <v>7933</v>
      </c>
      <c r="C8718" s="5" t="s">
        <v>45</v>
      </c>
      <c r="D8718" s="3" t="s">
        <v>221</v>
      </c>
      <c r="E8718" s="3" t="s">
        <v>643</v>
      </c>
      <c r="F8718" s="7">
        <v>45917.674960531505</v>
      </c>
      <c r="G8718" s="3" t="s">
        <v>6430</v>
      </c>
    </row>
    <row r="8719">
      <c r="A8719" s="3" t="s">
        <v>23780</v>
      </c>
      <c r="B8719" s="3" t="s">
        <v>7933</v>
      </c>
      <c r="C8719" s="5" t="s">
        <v>221</v>
      </c>
      <c r="D8719" s="3" t="s">
        <v>614</v>
      </c>
      <c r="E8719" s="3" t="s">
        <v>118</v>
      </c>
      <c r="F8719" s="7">
        <v>45917.678432753724</v>
      </c>
      <c r="G8719" s="3" t="s">
        <v>6433</v>
      </c>
    </row>
    <row r="8720">
      <c r="A8720" s="3" t="s">
        <v>23781</v>
      </c>
      <c r="B8720" s="3" t="s">
        <v>7933</v>
      </c>
      <c r="C8720" s="5" t="s">
        <v>614</v>
      </c>
      <c r="D8720" s="3" t="s">
        <v>206</v>
      </c>
      <c r="E8720" s="3" t="s">
        <v>100</v>
      </c>
      <c r="F8720" s="7">
        <v>45917.68190497595</v>
      </c>
      <c r="G8720" s="3" t="s">
        <v>6436</v>
      </c>
    </row>
    <row r="8721">
      <c r="A8721" s="3" t="s">
        <v>23782</v>
      </c>
      <c r="B8721" s="3" t="s">
        <v>7933</v>
      </c>
      <c r="C8721" s="5" t="s">
        <v>206</v>
      </c>
      <c r="D8721" s="3" t="s">
        <v>68</v>
      </c>
      <c r="E8721" s="3" t="s">
        <v>100</v>
      </c>
      <c r="F8721" s="7">
        <v>45917.68537719817</v>
      </c>
      <c r="G8721" s="3" t="s">
        <v>6439</v>
      </c>
    </row>
    <row r="8722">
      <c r="A8722" s="3" t="s">
        <v>23783</v>
      </c>
      <c r="B8722" s="3" t="s">
        <v>7938</v>
      </c>
      <c r="C8722" s="5" t="s">
        <v>45</v>
      </c>
      <c r="D8722" s="3" t="s">
        <v>221</v>
      </c>
      <c r="E8722" s="3" t="s">
        <v>627</v>
      </c>
      <c r="F8722" s="7">
        <v>45917.746135376925</v>
      </c>
      <c r="G8722" s="3" t="s">
        <v>5833</v>
      </c>
    </row>
    <row r="8723">
      <c r="A8723" s="3" t="s">
        <v>23784</v>
      </c>
      <c r="B8723" s="3" t="s">
        <v>7938</v>
      </c>
      <c r="C8723" s="5" t="s">
        <v>221</v>
      </c>
      <c r="D8723" s="3" t="s">
        <v>614</v>
      </c>
      <c r="E8723" s="3" t="s">
        <v>118</v>
      </c>
      <c r="F8723" s="7">
        <v>45917.749607599144</v>
      </c>
      <c r="G8723" s="3" t="s">
        <v>5836</v>
      </c>
    </row>
    <row r="8724">
      <c r="A8724" s="3" t="s">
        <v>23785</v>
      </c>
      <c r="B8724" s="3" t="s">
        <v>7938</v>
      </c>
      <c r="C8724" s="5" t="s">
        <v>614</v>
      </c>
      <c r="D8724" s="3" t="s">
        <v>206</v>
      </c>
      <c r="E8724" s="3" t="s">
        <v>100</v>
      </c>
      <c r="F8724" s="7">
        <v>45917.75307982137</v>
      </c>
      <c r="G8724" s="3" t="s">
        <v>5839</v>
      </c>
    </row>
    <row r="8725">
      <c r="A8725" s="3" t="s">
        <v>23786</v>
      </c>
      <c r="B8725" s="3" t="s">
        <v>7938</v>
      </c>
      <c r="C8725" s="5" t="s">
        <v>206</v>
      </c>
      <c r="D8725" s="3" t="s">
        <v>68</v>
      </c>
      <c r="E8725" s="3" t="s">
        <v>100</v>
      </c>
      <c r="F8725" s="7">
        <v>45917.75655204359</v>
      </c>
      <c r="G8725" s="3" t="s">
        <v>5842</v>
      </c>
    </row>
    <row r="8726">
      <c r="A8726" s="3" t="s">
        <v>23787</v>
      </c>
      <c r="B8726" s="3" t="s">
        <v>7943</v>
      </c>
      <c r="C8726" s="5" t="s">
        <v>45</v>
      </c>
      <c r="D8726" s="3" t="s">
        <v>221</v>
      </c>
      <c r="E8726" s="3" t="s">
        <v>860</v>
      </c>
      <c r="F8726" s="7">
        <v>45917.81731022234</v>
      </c>
      <c r="G8726" s="3" t="s">
        <v>6442</v>
      </c>
    </row>
    <row r="8727">
      <c r="A8727" s="3" t="s">
        <v>23788</v>
      </c>
      <c r="B8727" s="3" t="s">
        <v>7943</v>
      </c>
      <c r="C8727" s="5" t="s">
        <v>221</v>
      </c>
      <c r="D8727" s="3" t="s">
        <v>614</v>
      </c>
      <c r="E8727" s="3" t="s">
        <v>118</v>
      </c>
      <c r="F8727" s="7">
        <v>45917.820782444556</v>
      </c>
      <c r="G8727" s="3" t="s">
        <v>6445</v>
      </c>
    </row>
    <row r="8728">
      <c r="A8728" s="3" t="s">
        <v>23789</v>
      </c>
      <c r="B8728" s="3" t="s">
        <v>7943</v>
      </c>
      <c r="C8728" s="5" t="s">
        <v>614</v>
      </c>
      <c r="D8728" s="3" t="s">
        <v>206</v>
      </c>
      <c r="E8728" s="3" t="s">
        <v>100</v>
      </c>
      <c r="F8728" s="7">
        <v>45917.82425466678</v>
      </c>
      <c r="G8728" s="3" t="s">
        <v>6448</v>
      </c>
    </row>
    <row r="8729">
      <c r="A8729" s="3" t="s">
        <v>23790</v>
      </c>
      <c r="B8729" s="3" t="s">
        <v>7943</v>
      </c>
      <c r="C8729" s="5" t="s">
        <v>206</v>
      </c>
      <c r="D8729" s="3" t="s">
        <v>68</v>
      </c>
      <c r="E8729" s="3" t="s">
        <v>100</v>
      </c>
      <c r="F8729" s="7">
        <v>45917.827726889</v>
      </c>
      <c r="G8729" s="3" t="s">
        <v>6451</v>
      </c>
    </row>
    <row r="8730">
      <c r="A8730" s="3" t="s">
        <v>23791</v>
      </c>
      <c r="B8730" s="3" t="s">
        <v>7946</v>
      </c>
      <c r="C8730" s="5" t="s">
        <v>45</v>
      </c>
      <c r="D8730" s="3" t="s">
        <v>221</v>
      </c>
      <c r="E8730" s="3" t="s">
        <v>643</v>
      </c>
      <c r="F8730" s="7">
        <v>45917.88848506775</v>
      </c>
      <c r="G8730" s="3" t="s">
        <v>23792</v>
      </c>
    </row>
    <row r="8731">
      <c r="A8731" s="3" t="s">
        <v>23793</v>
      </c>
      <c r="B8731" s="3" t="s">
        <v>7946</v>
      </c>
      <c r="C8731" s="5" t="s">
        <v>221</v>
      </c>
      <c r="D8731" s="3" t="s">
        <v>614</v>
      </c>
      <c r="E8731" s="3" t="s">
        <v>118</v>
      </c>
      <c r="F8731" s="7">
        <v>45917.89195728997</v>
      </c>
      <c r="G8731" s="3" t="s">
        <v>23794</v>
      </c>
    </row>
    <row r="8732">
      <c r="A8732" s="3" t="s">
        <v>23795</v>
      </c>
      <c r="B8732" s="3" t="s">
        <v>7946</v>
      </c>
      <c r="C8732" s="5" t="s">
        <v>614</v>
      </c>
      <c r="D8732" s="3" t="s">
        <v>206</v>
      </c>
      <c r="E8732" s="3" t="s">
        <v>100</v>
      </c>
      <c r="F8732" s="7">
        <v>45917.895429512195</v>
      </c>
      <c r="G8732" s="3" t="s">
        <v>23796</v>
      </c>
    </row>
    <row r="8733">
      <c r="A8733" s="3" t="s">
        <v>23797</v>
      </c>
      <c r="B8733" s="3" t="s">
        <v>7946</v>
      </c>
      <c r="C8733" s="5" t="s">
        <v>206</v>
      </c>
      <c r="D8733" s="3" t="s">
        <v>68</v>
      </c>
      <c r="E8733" s="3" t="s">
        <v>100</v>
      </c>
      <c r="F8733" s="7">
        <v>45917.898901734414</v>
      </c>
      <c r="G8733" s="3" t="s">
        <v>23798</v>
      </c>
    </row>
    <row r="8734">
      <c r="A8734" s="3" t="s">
        <v>23799</v>
      </c>
      <c r="B8734" s="3" t="s">
        <v>7949</v>
      </c>
      <c r="C8734" s="5" t="s">
        <v>45</v>
      </c>
      <c r="D8734" s="3" t="s">
        <v>221</v>
      </c>
      <c r="E8734" s="3" t="s">
        <v>575</v>
      </c>
      <c r="F8734" s="7">
        <v>45917.95965991317</v>
      </c>
      <c r="G8734" s="3" t="s">
        <v>22641</v>
      </c>
    </row>
    <row r="8735">
      <c r="A8735" s="3" t="s">
        <v>23800</v>
      </c>
      <c r="B8735" s="3" t="s">
        <v>7949</v>
      </c>
      <c r="C8735" s="5" t="s">
        <v>221</v>
      </c>
      <c r="D8735" s="3" t="s">
        <v>614</v>
      </c>
      <c r="E8735" s="3" t="s">
        <v>118</v>
      </c>
      <c r="F8735" s="7">
        <v>45917.96313213539</v>
      </c>
      <c r="G8735" s="3" t="s">
        <v>22644</v>
      </c>
    </row>
    <row r="8736">
      <c r="A8736" s="3" t="s">
        <v>23801</v>
      </c>
      <c r="B8736" s="3" t="s">
        <v>7949</v>
      </c>
      <c r="C8736" s="5" t="s">
        <v>614</v>
      </c>
      <c r="D8736" s="3" t="s">
        <v>206</v>
      </c>
      <c r="E8736" s="3" t="s">
        <v>100</v>
      </c>
      <c r="F8736" s="7">
        <v>45917.966604357614</v>
      </c>
      <c r="G8736" s="3" t="s">
        <v>22647</v>
      </c>
    </row>
    <row r="8737">
      <c r="A8737" s="3" t="s">
        <v>23802</v>
      </c>
      <c r="B8737" s="3" t="s">
        <v>7949</v>
      </c>
      <c r="C8737" s="5" t="s">
        <v>206</v>
      </c>
      <c r="D8737" s="3" t="s">
        <v>68</v>
      </c>
      <c r="E8737" s="3" t="s">
        <v>100</v>
      </c>
      <c r="F8737" s="7">
        <v>45917.97007657983</v>
      </c>
      <c r="G8737" s="3" t="s">
        <v>22650</v>
      </c>
    </row>
    <row r="8738">
      <c r="A8738" s="3" t="s">
        <v>23803</v>
      </c>
      <c r="B8738" s="3" t="s">
        <v>7952</v>
      </c>
      <c r="C8738" s="5" t="s">
        <v>45</v>
      </c>
      <c r="D8738" s="3" t="s">
        <v>221</v>
      </c>
      <c r="E8738" s="3" t="s">
        <v>219</v>
      </c>
      <c r="F8738" s="7">
        <v>45918.03083475858</v>
      </c>
      <c r="G8738" s="3" t="s">
        <v>12106</v>
      </c>
    </row>
    <row r="8739">
      <c r="A8739" s="3" t="s">
        <v>23804</v>
      </c>
      <c r="B8739" s="3" t="s">
        <v>7952</v>
      </c>
      <c r="C8739" s="5" t="s">
        <v>221</v>
      </c>
      <c r="D8739" s="3" t="s">
        <v>614</v>
      </c>
      <c r="E8739" s="3" t="s">
        <v>118</v>
      </c>
      <c r="F8739" s="7">
        <v>45918.0343069808</v>
      </c>
      <c r="G8739" s="3" t="s">
        <v>20622</v>
      </c>
    </row>
    <row r="8740">
      <c r="A8740" s="3" t="s">
        <v>23805</v>
      </c>
      <c r="B8740" s="3" t="s">
        <v>7952</v>
      </c>
      <c r="C8740" s="5" t="s">
        <v>614</v>
      </c>
      <c r="D8740" s="3" t="s">
        <v>206</v>
      </c>
      <c r="E8740" s="3" t="s">
        <v>100</v>
      </c>
      <c r="F8740" s="7">
        <v>45918.03777920303</v>
      </c>
      <c r="G8740" s="3" t="s">
        <v>20625</v>
      </c>
    </row>
    <row r="8741">
      <c r="A8741" s="3" t="s">
        <v>23806</v>
      </c>
      <c r="B8741" s="3" t="s">
        <v>7952</v>
      </c>
      <c r="C8741" s="5" t="s">
        <v>206</v>
      </c>
      <c r="D8741" s="3" t="s">
        <v>68</v>
      </c>
      <c r="E8741" s="3" t="s">
        <v>100</v>
      </c>
      <c r="F8741" s="7">
        <v>45918.041251425246</v>
      </c>
      <c r="G8741" s="3" t="s">
        <v>20627</v>
      </c>
    </row>
    <row r="8742">
      <c r="A8742" s="3" t="s">
        <v>23807</v>
      </c>
      <c r="B8742" s="3" t="s">
        <v>7954</v>
      </c>
      <c r="C8742" s="5" t="s">
        <v>45</v>
      </c>
      <c r="D8742" s="3" t="s">
        <v>221</v>
      </c>
      <c r="E8742" s="3" t="s">
        <v>689</v>
      </c>
      <c r="F8742" s="7">
        <v>45918.102009603994</v>
      </c>
      <c r="G8742" s="3" t="s">
        <v>23808</v>
      </c>
    </row>
    <row r="8743">
      <c r="A8743" s="3" t="s">
        <v>23809</v>
      </c>
      <c r="B8743" s="3" t="s">
        <v>7954</v>
      </c>
      <c r="C8743" s="5" t="s">
        <v>221</v>
      </c>
      <c r="D8743" s="3" t="s">
        <v>181</v>
      </c>
      <c r="E8743" s="3" t="s">
        <v>118</v>
      </c>
      <c r="F8743" s="7">
        <v>45918.10548182621</v>
      </c>
      <c r="G8743" s="3" t="s">
        <v>23810</v>
      </c>
    </row>
    <row r="8744">
      <c r="A8744" s="3" t="s">
        <v>23811</v>
      </c>
      <c r="B8744" s="3" t="s">
        <v>7956</v>
      </c>
      <c r="C8744" s="5" t="s">
        <v>45</v>
      </c>
      <c r="D8744" s="3" t="s">
        <v>221</v>
      </c>
      <c r="E8744" s="3" t="s">
        <v>336</v>
      </c>
      <c r="F8744" s="7">
        <v>45918.17318444941</v>
      </c>
      <c r="G8744" s="3" t="s">
        <v>5008</v>
      </c>
    </row>
    <row r="8745">
      <c r="A8745" s="3" t="s">
        <v>23812</v>
      </c>
      <c r="B8745" s="3" t="s">
        <v>7956</v>
      </c>
      <c r="C8745" s="5" t="s">
        <v>221</v>
      </c>
      <c r="D8745" s="3" t="s">
        <v>614</v>
      </c>
      <c r="E8745" s="3" t="s">
        <v>118</v>
      </c>
      <c r="F8745" s="7">
        <v>45918.17665667163</v>
      </c>
      <c r="G8745" s="3" t="s">
        <v>5011</v>
      </c>
    </row>
    <row r="8746">
      <c r="A8746" s="3" t="s">
        <v>23813</v>
      </c>
      <c r="B8746" s="3" t="s">
        <v>7956</v>
      </c>
      <c r="C8746" s="5" t="s">
        <v>614</v>
      </c>
      <c r="D8746" s="3" t="s">
        <v>206</v>
      </c>
      <c r="E8746" s="3" t="s">
        <v>100</v>
      </c>
      <c r="F8746" s="7">
        <v>45918.18012889386</v>
      </c>
      <c r="G8746" s="3" t="s">
        <v>5014</v>
      </c>
    </row>
    <row r="8747">
      <c r="A8747" s="3" t="s">
        <v>23814</v>
      </c>
      <c r="B8747" s="3" t="s">
        <v>7956</v>
      </c>
      <c r="C8747" s="5" t="s">
        <v>206</v>
      </c>
      <c r="D8747" s="3" t="s">
        <v>68</v>
      </c>
      <c r="E8747" s="3" t="s">
        <v>100</v>
      </c>
      <c r="F8747" s="7">
        <v>45918.18360111608</v>
      </c>
      <c r="G8747" s="3" t="s">
        <v>5017</v>
      </c>
    </row>
    <row r="8748">
      <c r="A8748" s="3" t="s">
        <v>23815</v>
      </c>
      <c r="B8748" s="3" t="s">
        <v>7958</v>
      </c>
      <c r="C8748" s="5" t="s">
        <v>45</v>
      </c>
      <c r="D8748" s="3" t="s">
        <v>221</v>
      </c>
      <c r="E8748" s="3" t="s">
        <v>947</v>
      </c>
      <c r="F8748" s="7">
        <v>45918.244359294826</v>
      </c>
      <c r="G8748" s="3" t="s">
        <v>19675</v>
      </c>
    </row>
    <row r="8749">
      <c r="A8749" s="3" t="s">
        <v>23816</v>
      </c>
      <c r="B8749" s="3" t="s">
        <v>7958</v>
      </c>
      <c r="C8749" s="5" t="s">
        <v>221</v>
      </c>
      <c r="D8749" s="3" t="s">
        <v>614</v>
      </c>
      <c r="E8749" s="3" t="s">
        <v>118</v>
      </c>
      <c r="F8749" s="7">
        <v>45918.247831517045</v>
      </c>
      <c r="G8749" s="3" t="s">
        <v>19678</v>
      </c>
    </row>
    <row r="8750">
      <c r="A8750" s="3" t="s">
        <v>23817</v>
      </c>
      <c r="B8750" s="3" t="s">
        <v>7958</v>
      </c>
      <c r="C8750" s="5" t="s">
        <v>614</v>
      </c>
      <c r="D8750" s="3" t="s">
        <v>206</v>
      </c>
      <c r="E8750" s="3" t="s">
        <v>100</v>
      </c>
      <c r="F8750" s="7">
        <v>45918.25130373927</v>
      </c>
      <c r="G8750" s="3" t="s">
        <v>19681</v>
      </c>
    </row>
    <row r="8751">
      <c r="A8751" s="3" t="s">
        <v>23818</v>
      </c>
      <c r="B8751" s="3" t="s">
        <v>7958</v>
      </c>
      <c r="C8751" s="5" t="s">
        <v>206</v>
      </c>
      <c r="D8751" s="3" t="s">
        <v>68</v>
      </c>
      <c r="E8751" s="3" t="s">
        <v>100</v>
      </c>
      <c r="F8751" s="7">
        <v>45918.25477596149</v>
      </c>
      <c r="G8751" s="3" t="s">
        <v>19684</v>
      </c>
    </row>
    <row r="8752">
      <c r="A8752" s="3" t="s">
        <v>23819</v>
      </c>
      <c r="B8752" s="3" t="s">
        <v>7961</v>
      </c>
      <c r="C8752" s="5" t="s">
        <v>45</v>
      </c>
      <c r="D8752" s="3" t="s">
        <v>221</v>
      </c>
      <c r="E8752" s="3" t="s">
        <v>1021</v>
      </c>
      <c r="F8752" s="7">
        <v>45918.31553414024</v>
      </c>
      <c r="G8752" s="3" t="s">
        <v>6464</v>
      </c>
    </row>
    <row r="8753">
      <c r="A8753" s="3" t="s">
        <v>23820</v>
      </c>
      <c r="B8753" s="3" t="s">
        <v>7961</v>
      </c>
      <c r="C8753" s="5" t="s">
        <v>221</v>
      </c>
      <c r="D8753" s="3" t="s">
        <v>614</v>
      </c>
      <c r="E8753" s="3" t="s">
        <v>118</v>
      </c>
      <c r="F8753" s="7">
        <v>45918.31900636246</v>
      </c>
      <c r="G8753" s="3" t="s">
        <v>6467</v>
      </c>
    </row>
    <row r="8754">
      <c r="A8754" s="3" t="s">
        <v>23821</v>
      </c>
      <c r="B8754" s="3" t="s">
        <v>7961</v>
      </c>
      <c r="C8754" s="5" t="s">
        <v>614</v>
      </c>
      <c r="D8754" s="3" t="s">
        <v>206</v>
      </c>
      <c r="E8754" s="3" t="s">
        <v>100</v>
      </c>
      <c r="F8754" s="7">
        <v>45918.32247858468</v>
      </c>
      <c r="G8754" s="3" t="s">
        <v>6470</v>
      </c>
    </row>
    <row r="8755">
      <c r="A8755" s="3" t="s">
        <v>23822</v>
      </c>
      <c r="B8755" s="3" t="s">
        <v>7961</v>
      </c>
      <c r="C8755" s="5" t="s">
        <v>206</v>
      </c>
      <c r="D8755" s="3" t="s">
        <v>68</v>
      </c>
      <c r="E8755" s="3" t="s">
        <v>100</v>
      </c>
      <c r="F8755" s="7">
        <v>45918.3259508069</v>
      </c>
      <c r="G8755" s="3" t="s">
        <v>6473</v>
      </c>
    </row>
    <row r="8756">
      <c r="A8756" s="3" t="s">
        <v>23823</v>
      </c>
      <c r="B8756" s="3" t="s">
        <v>7965</v>
      </c>
      <c r="C8756" s="5" t="s">
        <v>45</v>
      </c>
      <c r="D8756" s="3" t="s">
        <v>221</v>
      </c>
      <c r="E8756" s="3" t="s">
        <v>845</v>
      </c>
      <c r="F8756" s="7">
        <v>45918.38670898566</v>
      </c>
      <c r="G8756" s="3" t="s">
        <v>6985</v>
      </c>
    </row>
    <row r="8757">
      <c r="A8757" s="3" t="s">
        <v>23824</v>
      </c>
      <c r="B8757" s="3" t="s">
        <v>7965</v>
      </c>
      <c r="C8757" s="5" t="s">
        <v>221</v>
      </c>
      <c r="D8757" s="3" t="s">
        <v>614</v>
      </c>
      <c r="E8757" s="3" t="s">
        <v>118</v>
      </c>
      <c r="F8757" s="7">
        <v>45918.39018120788</v>
      </c>
      <c r="G8757" s="3" t="s">
        <v>6987</v>
      </c>
    </row>
    <row r="8758">
      <c r="A8758" s="3" t="s">
        <v>23825</v>
      </c>
      <c r="B8758" s="3" t="s">
        <v>7965</v>
      </c>
      <c r="C8758" s="5" t="s">
        <v>614</v>
      </c>
      <c r="D8758" s="3" t="s">
        <v>206</v>
      </c>
      <c r="E8758" s="3" t="s">
        <v>100</v>
      </c>
      <c r="F8758" s="7">
        <v>45918.3936534301</v>
      </c>
      <c r="G8758" s="3" t="s">
        <v>6990</v>
      </c>
    </row>
    <row r="8759">
      <c r="A8759" s="3" t="s">
        <v>23826</v>
      </c>
      <c r="B8759" s="3" t="s">
        <v>7965</v>
      </c>
      <c r="C8759" s="5" t="s">
        <v>206</v>
      </c>
      <c r="D8759" s="3" t="s">
        <v>68</v>
      </c>
      <c r="E8759" s="3" t="s">
        <v>100</v>
      </c>
      <c r="F8759" s="7">
        <v>45918.39712565232</v>
      </c>
      <c r="G8759" s="3" t="s">
        <v>6993</v>
      </c>
    </row>
    <row r="8760">
      <c r="A8760" s="3" t="s">
        <v>23827</v>
      </c>
      <c r="B8760" s="3" t="s">
        <v>7968</v>
      </c>
      <c r="C8760" s="5" t="s">
        <v>45</v>
      </c>
      <c r="D8760" s="3" t="s">
        <v>221</v>
      </c>
      <c r="E8760" s="3" t="s">
        <v>980</v>
      </c>
      <c r="F8760" s="7">
        <v>45918.45788383108</v>
      </c>
      <c r="G8760" s="3" t="s">
        <v>6488</v>
      </c>
    </row>
    <row r="8761">
      <c r="A8761" s="3" t="s">
        <v>23828</v>
      </c>
      <c r="B8761" s="3" t="s">
        <v>7968</v>
      </c>
      <c r="C8761" s="5" t="s">
        <v>221</v>
      </c>
      <c r="D8761" s="3" t="s">
        <v>614</v>
      </c>
      <c r="E8761" s="3" t="s">
        <v>118</v>
      </c>
      <c r="F8761" s="7">
        <v>45918.461356053296</v>
      </c>
      <c r="G8761" s="3" t="s">
        <v>6490</v>
      </c>
    </row>
    <row r="8762">
      <c r="A8762" s="3" t="s">
        <v>23829</v>
      </c>
      <c r="B8762" s="3" t="s">
        <v>7968</v>
      </c>
      <c r="C8762" s="5" t="s">
        <v>614</v>
      </c>
      <c r="D8762" s="3" t="s">
        <v>206</v>
      </c>
      <c r="E8762" s="3" t="s">
        <v>100</v>
      </c>
      <c r="F8762" s="7">
        <v>45918.46482827552</v>
      </c>
      <c r="G8762" s="3" t="s">
        <v>6493</v>
      </c>
    </row>
    <row r="8763">
      <c r="A8763" s="3" t="s">
        <v>23830</v>
      </c>
      <c r="B8763" s="3" t="s">
        <v>7968</v>
      </c>
      <c r="C8763" s="5" t="s">
        <v>206</v>
      </c>
      <c r="D8763" s="3" t="s">
        <v>68</v>
      </c>
      <c r="E8763" s="3" t="s">
        <v>100</v>
      </c>
      <c r="F8763" s="7">
        <v>45918.46830049774</v>
      </c>
      <c r="G8763" s="3" t="s">
        <v>6496</v>
      </c>
    </row>
    <row r="8764">
      <c r="A8764" s="3" t="s">
        <v>23831</v>
      </c>
      <c r="B8764" s="3" t="s">
        <v>7971</v>
      </c>
      <c r="C8764" s="5" t="s">
        <v>45</v>
      </c>
      <c r="D8764" s="3" t="s">
        <v>221</v>
      </c>
      <c r="E8764" s="3" t="s">
        <v>702</v>
      </c>
      <c r="F8764" s="7">
        <v>45918.52905867648</v>
      </c>
      <c r="G8764" s="3" t="s">
        <v>5617</v>
      </c>
    </row>
    <row r="8765">
      <c r="A8765" s="3" t="s">
        <v>23832</v>
      </c>
      <c r="B8765" s="3" t="s">
        <v>7971</v>
      </c>
      <c r="C8765" s="5" t="s">
        <v>221</v>
      </c>
      <c r="D8765" s="3" t="s">
        <v>614</v>
      </c>
      <c r="E8765" s="3" t="s">
        <v>118</v>
      </c>
      <c r="F8765" s="7">
        <v>45918.5325308987</v>
      </c>
      <c r="G8765" s="3" t="s">
        <v>12838</v>
      </c>
    </row>
    <row r="8766">
      <c r="A8766" s="3" t="s">
        <v>23833</v>
      </c>
      <c r="B8766" s="3" t="s">
        <v>7971</v>
      </c>
      <c r="C8766" s="5" t="s">
        <v>614</v>
      </c>
      <c r="D8766" s="3" t="s">
        <v>206</v>
      </c>
      <c r="E8766" s="3" t="s">
        <v>100</v>
      </c>
      <c r="F8766" s="7">
        <v>45918.53600312093</v>
      </c>
      <c r="G8766" s="3" t="s">
        <v>12841</v>
      </c>
    </row>
    <row r="8767">
      <c r="A8767" s="3" t="s">
        <v>23834</v>
      </c>
      <c r="B8767" s="3" t="s">
        <v>7971</v>
      </c>
      <c r="C8767" s="5" t="s">
        <v>206</v>
      </c>
      <c r="D8767" s="3" t="s">
        <v>68</v>
      </c>
      <c r="E8767" s="3" t="s">
        <v>100</v>
      </c>
      <c r="F8767" s="7">
        <v>45918.53947534315</v>
      </c>
      <c r="G8767" s="3" t="s">
        <v>12844</v>
      </c>
    </row>
    <row r="8768">
      <c r="A8768" s="3" t="s">
        <v>23835</v>
      </c>
      <c r="B8768" s="3" t="s">
        <v>7975</v>
      </c>
      <c r="C8768" s="5" t="s">
        <v>45</v>
      </c>
      <c r="D8768" s="3" t="s">
        <v>221</v>
      </c>
      <c r="E8768" s="3" t="s">
        <v>313</v>
      </c>
      <c r="F8768" s="7">
        <v>45918.6002335219</v>
      </c>
      <c r="G8768" s="3" t="s">
        <v>9305</v>
      </c>
    </row>
    <row r="8769">
      <c r="A8769" s="3" t="s">
        <v>23836</v>
      </c>
      <c r="B8769" s="3" t="s">
        <v>7975</v>
      </c>
      <c r="C8769" s="5" t="s">
        <v>221</v>
      </c>
      <c r="D8769" s="3" t="s">
        <v>614</v>
      </c>
      <c r="E8769" s="3" t="s">
        <v>118</v>
      </c>
      <c r="F8769" s="7">
        <v>45918.60370574412</v>
      </c>
      <c r="G8769" s="3" t="s">
        <v>9308</v>
      </c>
    </row>
    <row r="8770">
      <c r="A8770" s="3" t="s">
        <v>23837</v>
      </c>
      <c r="B8770" s="3" t="s">
        <v>7975</v>
      </c>
      <c r="C8770" s="5" t="s">
        <v>614</v>
      </c>
      <c r="D8770" s="3" t="s">
        <v>206</v>
      </c>
      <c r="E8770" s="3" t="s">
        <v>100</v>
      </c>
      <c r="F8770" s="7">
        <v>45918.60717796635</v>
      </c>
      <c r="G8770" s="3" t="s">
        <v>9311</v>
      </c>
    </row>
    <row r="8771">
      <c r="A8771" s="3" t="s">
        <v>23838</v>
      </c>
      <c r="B8771" s="3" t="s">
        <v>7975</v>
      </c>
      <c r="C8771" s="5" t="s">
        <v>206</v>
      </c>
      <c r="D8771" s="3" t="s">
        <v>68</v>
      </c>
      <c r="E8771" s="3" t="s">
        <v>100</v>
      </c>
      <c r="F8771" s="7">
        <v>45918.610650188566</v>
      </c>
      <c r="G8771" s="3" t="s">
        <v>9314</v>
      </c>
    </row>
    <row r="8772">
      <c r="A8772" s="3" t="s">
        <v>23839</v>
      </c>
      <c r="B8772" s="3" t="s">
        <v>7979</v>
      </c>
      <c r="C8772" s="5" t="s">
        <v>45</v>
      </c>
      <c r="D8772" s="3" t="s">
        <v>221</v>
      </c>
      <c r="E8772" s="3" t="s">
        <v>601</v>
      </c>
      <c r="F8772" s="7">
        <v>45918.67140836732</v>
      </c>
      <c r="G8772" s="3" t="s">
        <v>22804</v>
      </c>
    </row>
    <row r="8773">
      <c r="A8773" s="3" t="s">
        <v>23840</v>
      </c>
      <c r="B8773" s="3" t="s">
        <v>7979</v>
      </c>
      <c r="C8773" s="5" t="s">
        <v>221</v>
      </c>
      <c r="D8773" s="3" t="s">
        <v>614</v>
      </c>
      <c r="E8773" s="3" t="s">
        <v>118</v>
      </c>
      <c r="F8773" s="7">
        <v>45918.67488058954</v>
      </c>
      <c r="G8773" s="3" t="s">
        <v>22807</v>
      </c>
    </row>
    <row r="8774">
      <c r="A8774" s="3" t="s">
        <v>23841</v>
      </c>
      <c r="B8774" s="3" t="s">
        <v>7979</v>
      </c>
      <c r="C8774" s="5" t="s">
        <v>614</v>
      </c>
      <c r="D8774" s="3" t="s">
        <v>206</v>
      </c>
      <c r="E8774" s="3" t="s">
        <v>100</v>
      </c>
      <c r="F8774" s="7">
        <v>45918.67835281177</v>
      </c>
      <c r="G8774" s="3" t="s">
        <v>22810</v>
      </c>
    </row>
    <row r="8775">
      <c r="A8775" s="3" t="s">
        <v>23842</v>
      </c>
      <c r="B8775" s="3" t="s">
        <v>7979</v>
      </c>
      <c r="C8775" s="5" t="s">
        <v>206</v>
      </c>
      <c r="D8775" s="3" t="s">
        <v>68</v>
      </c>
      <c r="E8775" s="3" t="s">
        <v>100</v>
      </c>
      <c r="F8775" s="7">
        <v>45918.681825033986</v>
      </c>
      <c r="G8775" s="3" t="s">
        <v>22813</v>
      </c>
    </row>
    <row r="8776">
      <c r="A8776" s="3" t="s">
        <v>23843</v>
      </c>
      <c r="B8776" s="3" t="s">
        <v>7982</v>
      </c>
      <c r="C8776" s="5" t="s">
        <v>45</v>
      </c>
      <c r="D8776" s="3" t="s">
        <v>221</v>
      </c>
      <c r="E8776" s="3" t="s">
        <v>501</v>
      </c>
      <c r="F8776" s="7">
        <v>45918.742583212734</v>
      </c>
      <c r="G8776" s="3" t="s">
        <v>5326</v>
      </c>
    </row>
    <row r="8777">
      <c r="A8777" s="3" t="s">
        <v>23844</v>
      </c>
      <c r="B8777" s="3" t="s">
        <v>7982</v>
      </c>
      <c r="C8777" s="5" t="s">
        <v>221</v>
      </c>
      <c r="D8777" s="3" t="s">
        <v>614</v>
      </c>
      <c r="E8777" s="3" t="s">
        <v>118</v>
      </c>
      <c r="F8777" s="7">
        <v>45918.74605543495</v>
      </c>
      <c r="G8777" s="3" t="s">
        <v>5329</v>
      </c>
    </row>
    <row r="8778">
      <c r="A8778" s="3" t="s">
        <v>23845</v>
      </c>
      <c r="B8778" s="3" t="s">
        <v>7982</v>
      </c>
      <c r="C8778" s="5" t="s">
        <v>614</v>
      </c>
      <c r="D8778" s="3" t="s">
        <v>206</v>
      </c>
      <c r="E8778" s="3" t="s">
        <v>100</v>
      </c>
      <c r="F8778" s="7">
        <v>45918.74952765718</v>
      </c>
      <c r="G8778" s="3" t="s">
        <v>5332</v>
      </c>
    </row>
    <row r="8779">
      <c r="A8779" s="3" t="s">
        <v>23846</v>
      </c>
      <c r="B8779" s="3" t="s">
        <v>7982</v>
      </c>
      <c r="C8779" s="5" t="s">
        <v>206</v>
      </c>
      <c r="D8779" s="3" t="s">
        <v>68</v>
      </c>
      <c r="E8779" s="3" t="s">
        <v>100</v>
      </c>
      <c r="F8779" s="7">
        <v>45918.7529998794</v>
      </c>
      <c r="G8779" s="3" t="s">
        <v>5335</v>
      </c>
    </row>
    <row r="8780">
      <c r="A8780" s="3" t="s">
        <v>23847</v>
      </c>
      <c r="B8780" s="3" t="s">
        <v>7985</v>
      </c>
      <c r="C8780" s="5" t="s">
        <v>45</v>
      </c>
      <c r="D8780" s="3" t="s">
        <v>221</v>
      </c>
      <c r="E8780" s="3" t="s">
        <v>527</v>
      </c>
      <c r="F8780" s="7">
        <v>45918.813758058146</v>
      </c>
      <c r="G8780" s="3" t="s">
        <v>6522</v>
      </c>
    </row>
    <row r="8781">
      <c r="A8781" s="3" t="s">
        <v>23848</v>
      </c>
      <c r="B8781" s="3" t="s">
        <v>7985</v>
      </c>
      <c r="C8781" s="5" t="s">
        <v>221</v>
      </c>
      <c r="D8781" s="3" t="s">
        <v>614</v>
      </c>
      <c r="E8781" s="3" t="s">
        <v>118</v>
      </c>
      <c r="F8781" s="7">
        <v>45918.817230280365</v>
      </c>
      <c r="G8781" s="3" t="s">
        <v>6524</v>
      </c>
    </row>
    <row r="8782">
      <c r="A8782" s="3" t="s">
        <v>23849</v>
      </c>
      <c r="B8782" s="3" t="s">
        <v>7985</v>
      </c>
      <c r="C8782" s="5" t="s">
        <v>614</v>
      </c>
      <c r="D8782" s="3" t="s">
        <v>206</v>
      </c>
      <c r="E8782" s="3" t="s">
        <v>100</v>
      </c>
      <c r="F8782" s="7">
        <v>45918.82070250259</v>
      </c>
      <c r="G8782" s="3" t="s">
        <v>6527</v>
      </c>
    </row>
    <row r="8783">
      <c r="A8783" s="3" t="s">
        <v>23850</v>
      </c>
      <c r="B8783" s="3" t="s">
        <v>7985</v>
      </c>
      <c r="C8783" s="5" t="s">
        <v>206</v>
      </c>
      <c r="D8783" s="3" t="s">
        <v>68</v>
      </c>
      <c r="E8783" s="3" t="s">
        <v>100</v>
      </c>
      <c r="F8783" s="7">
        <v>45918.82417472481</v>
      </c>
      <c r="G8783" s="3" t="s">
        <v>6530</v>
      </c>
    </row>
    <row r="8784">
      <c r="A8784" s="3" t="s">
        <v>23851</v>
      </c>
      <c r="B8784" s="3" t="s">
        <v>7989</v>
      </c>
      <c r="C8784" s="5" t="s">
        <v>45</v>
      </c>
      <c r="D8784" s="3" t="s">
        <v>221</v>
      </c>
      <c r="E8784" s="3" t="s">
        <v>969</v>
      </c>
      <c r="F8784" s="7">
        <v>45918.884932903566</v>
      </c>
      <c r="G8784" s="3" t="s">
        <v>23852</v>
      </c>
    </row>
    <row r="8785">
      <c r="A8785" s="3" t="s">
        <v>23853</v>
      </c>
      <c r="B8785" s="3" t="s">
        <v>7989</v>
      </c>
      <c r="C8785" s="5" t="s">
        <v>221</v>
      </c>
      <c r="D8785" s="3" t="s">
        <v>614</v>
      </c>
      <c r="E8785" s="3" t="s">
        <v>118</v>
      </c>
      <c r="F8785" s="7">
        <v>45918.888405125785</v>
      </c>
      <c r="G8785" s="3" t="s">
        <v>23854</v>
      </c>
    </row>
    <row r="8786">
      <c r="A8786" s="3" t="s">
        <v>23855</v>
      </c>
      <c r="B8786" s="3" t="s">
        <v>7989</v>
      </c>
      <c r="C8786" s="5" t="s">
        <v>614</v>
      </c>
      <c r="D8786" s="3" t="s">
        <v>206</v>
      </c>
      <c r="E8786" s="3" t="s">
        <v>100</v>
      </c>
      <c r="F8786" s="7">
        <v>45918.89187734801</v>
      </c>
      <c r="G8786" s="3" t="s">
        <v>23856</v>
      </c>
    </row>
    <row r="8787">
      <c r="A8787" s="3" t="s">
        <v>23857</v>
      </c>
      <c r="B8787" s="3" t="s">
        <v>7989</v>
      </c>
      <c r="C8787" s="5" t="s">
        <v>206</v>
      </c>
      <c r="D8787" s="3" t="s">
        <v>68</v>
      </c>
      <c r="E8787" s="3" t="s">
        <v>100</v>
      </c>
      <c r="F8787" s="7">
        <v>45918.89534957023</v>
      </c>
      <c r="G8787" s="3" t="s">
        <v>23858</v>
      </c>
    </row>
    <row r="8788">
      <c r="A8788" s="3" t="s">
        <v>23859</v>
      </c>
      <c r="B8788" s="3" t="s">
        <v>7992</v>
      </c>
      <c r="C8788" s="5" t="s">
        <v>45</v>
      </c>
      <c r="D8788" s="3" t="s">
        <v>221</v>
      </c>
      <c r="E8788" s="3" t="s">
        <v>391</v>
      </c>
      <c r="F8788" s="7">
        <v>45918.95610774898</v>
      </c>
      <c r="G8788" s="3" t="s">
        <v>12630</v>
      </c>
    </row>
    <row r="8789">
      <c r="A8789" s="3" t="s">
        <v>23860</v>
      </c>
      <c r="B8789" s="3" t="s">
        <v>7992</v>
      </c>
      <c r="C8789" s="5" t="s">
        <v>221</v>
      </c>
      <c r="D8789" s="3" t="s">
        <v>614</v>
      </c>
      <c r="E8789" s="3" t="s">
        <v>118</v>
      </c>
      <c r="F8789" s="7">
        <v>45918.9595799712</v>
      </c>
      <c r="G8789" s="3" t="s">
        <v>12634</v>
      </c>
    </row>
    <row r="8790">
      <c r="A8790" s="3" t="s">
        <v>23861</v>
      </c>
      <c r="B8790" s="3" t="s">
        <v>7992</v>
      </c>
      <c r="C8790" s="5" t="s">
        <v>614</v>
      </c>
      <c r="D8790" s="3" t="s">
        <v>206</v>
      </c>
      <c r="E8790" s="3" t="s">
        <v>100</v>
      </c>
      <c r="F8790" s="7">
        <v>45918.96305219342</v>
      </c>
      <c r="G8790" s="3" t="s">
        <v>12637</v>
      </c>
    </row>
    <row r="8791">
      <c r="A8791" s="3" t="s">
        <v>23862</v>
      </c>
      <c r="B8791" s="3" t="s">
        <v>7992</v>
      </c>
      <c r="C8791" s="5" t="s">
        <v>206</v>
      </c>
      <c r="D8791" s="3" t="s">
        <v>68</v>
      </c>
      <c r="E8791" s="3" t="s">
        <v>100</v>
      </c>
      <c r="F8791" s="7">
        <v>45918.96652441564</v>
      </c>
      <c r="G8791" s="3" t="s">
        <v>12640</v>
      </c>
    </row>
    <row r="8792">
      <c r="A8792" s="3" t="s">
        <v>23863</v>
      </c>
      <c r="B8792" s="3" t="s">
        <v>7994</v>
      </c>
      <c r="C8792" s="5" t="s">
        <v>45</v>
      </c>
      <c r="D8792" s="3" t="s">
        <v>221</v>
      </c>
      <c r="E8792" s="3" t="s">
        <v>322</v>
      </c>
      <c r="F8792" s="7">
        <v>45919.02728259439</v>
      </c>
      <c r="G8792" s="3" t="s">
        <v>2770</v>
      </c>
    </row>
    <row r="8793">
      <c r="A8793" s="3" t="s">
        <v>23864</v>
      </c>
      <c r="B8793" s="3" t="s">
        <v>7994</v>
      </c>
      <c r="C8793" s="5" t="s">
        <v>221</v>
      </c>
      <c r="D8793" s="3" t="s">
        <v>195</v>
      </c>
      <c r="E8793" s="3" t="s">
        <v>322</v>
      </c>
      <c r="F8793" s="7">
        <v>45919.03075481661</v>
      </c>
      <c r="G8793" s="3" t="s">
        <v>3055</v>
      </c>
    </row>
    <row r="8794">
      <c r="A8794" s="3" t="s">
        <v>23865</v>
      </c>
      <c r="B8794" s="3" t="s">
        <v>7996</v>
      </c>
      <c r="C8794" s="5" t="s">
        <v>45</v>
      </c>
      <c r="D8794" s="3" t="s">
        <v>221</v>
      </c>
      <c r="E8794" s="3" t="s">
        <v>822</v>
      </c>
      <c r="F8794" s="7">
        <v>45919.09845743981</v>
      </c>
      <c r="G8794" s="3" t="s">
        <v>6533</v>
      </c>
    </row>
    <row r="8795">
      <c r="A8795" s="3" t="s">
        <v>23866</v>
      </c>
      <c r="B8795" s="3" t="s">
        <v>7996</v>
      </c>
      <c r="C8795" s="5" t="s">
        <v>221</v>
      </c>
      <c r="D8795" s="3" t="s">
        <v>614</v>
      </c>
      <c r="E8795" s="3" t="s">
        <v>118</v>
      </c>
      <c r="F8795" s="7">
        <v>45919.10192966203</v>
      </c>
      <c r="G8795" s="3" t="s">
        <v>6536</v>
      </c>
    </row>
    <row r="8796">
      <c r="A8796" s="3" t="s">
        <v>23867</v>
      </c>
      <c r="B8796" s="3" t="s">
        <v>7996</v>
      </c>
      <c r="C8796" s="5" t="s">
        <v>614</v>
      </c>
      <c r="D8796" s="3" t="s">
        <v>206</v>
      </c>
      <c r="E8796" s="3" t="s">
        <v>100</v>
      </c>
      <c r="F8796" s="7">
        <v>45919.105401884255</v>
      </c>
      <c r="G8796" s="3" t="s">
        <v>6539</v>
      </c>
    </row>
    <row r="8797">
      <c r="A8797" s="3" t="s">
        <v>23868</v>
      </c>
      <c r="B8797" s="3" t="s">
        <v>7996</v>
      </c>
      <c r="C8797" s="5" t="s">
        <v>206</v>
      </c>
      <c r="D8797" s="3" t="s">
        <v>68</v>
      </c>
      <c r="E8797" s="3" t="s">
        <v>100</v>
      </c>
      <c r="F8797" s="7">
        <v>45919.108874106474</v>
      </c>
      <c r="G8797" s="3" t="s">
        <v>6542</v>
      </c>
    </row>
    <row r="8798">
      <c r="A8798" s="3" t="s">
        <v>23869</v>
      </c>
      <c r="B8798" s="3" t="s">
        <v>7998</v>
      </c>
      <c r="C8798" s="5" t="s">
        <v>45</v>
      </c>
      <c r="D8798" s="3" t="s">
        <v>221</v>
      </c>
      <c r="E8798" s="3" t="s">
        <v>841</v>
      </c>
      <c r="F8798" s="7">
        <v>45919.16963228523</v>
      </c>
      <c r="G8798" s="3" t="s">
        <v>2770</v>
      </c>
    </row>
    <row r="8799">
      <c r="A8799" s="3" t="s">
        <v>23870</v>
      </c>
      <c r="B8799" s="3" t="s">
        <v>7998</v>
      </c>
      <c r="C8799" s="5" t="s">
        <v>221</v>
      </c>
      <c r="D8799" s="3" t="s">
        <v>181</v>
      </c>
      <c r="E8799" s="3" t="s">
        <v>118</v>
      </c>
      <c r="F8799" s="7">
        <v>45919.17310450745</v>
      </c>
      <c r="G8799" s="3" t="s">
        <v>2774</v>
      </c>
    </row>
    <row r="8800">
      <c r="A8800" s="3" t="s">
        <v>23871</v>
      </c>
      <c r="B8800" s="3" t="s">
        <v>8000</v>
      </c>
      <c r="C8800" s="5" t="s">
        <v>45</v>
      </c>
      <c r="D8800" s="3" t="s">
        <v>221</v>
      </c>
      <c r="E8800" s="3" t="s">
        <v>322</v>
      </c>
      <c r="F8800" s="7">
        <v>45919.240807130634</v>
      </c>
      <c r="G8800" s="3" t="s">
        <v>6545</v>
      </c>
    </row>
    <row r="8801">
      <c r="A8801" s="3" t="s">
        <v>23872</v>
      </c>
      <c r="B8801" s="3" t="s">
        <v>8000</v>
      </c>
      <c r="C8801" s="5" t="s">
        <v>221</v>
      </c>
      <c r="D8801" s="3" t="s">
        <v>614</v>
      </c>
      <c r="E8801" s="3" t="s">
        <v>118</v>
      </c>
      <c r="F8801" s="7">
        <v>45919.24427935285</v>
      </c>
      <c r="G8801" s="3" t="s">
        <v>6548</v>
      </c>
    </row>
    <row r="8802">
      <c r="A8802" s="3" t="s">
        <v>23873</v>
      </c>
      <c r="B8802" s="3" t="s">
        <v>8000</v>
      </c>
      <c r="C8802" s="5" t="s">
        <v>614</v>
      </c>
      <c r="D8802" s="3" t="s">
        <v>206</v>
      </c>
      <c r="E8802" s="3" t="s">
        <v>100</v>
      </c>
      <c r="F8802" s="7">
        <v>45919.24775157508</v>
      </c>
      <c r="G8802" s="3" t="s">
        <v>6550</v>
      </c>
    </row>
    <row r="8803">
      <c r="A8803" s="3" t="s">
        <v>23874</v>
      </c>
      <c r="B8803" s="3" t="s">
        <v>8000</v>
      </c>
      <c r="C8803" s="5" t="s">
        <v>206</v>
      </c>
      <c r="D8803" s="3" t="s">
        <v>68</v>
      </c>
      <c r="E8803" s="3" t="s">
        <v>100</v>
      </c>
      <c r="F8803" s="7">
        <v>45919.2512237973</v>
      </c>
      <c r="G8803" s="3" t="s">
        <v>6553</v>
      </c>
    </row>
    <row r="8804">
      <c r="A8804" s="3" t="s">
        <v>23875</v>
      </c>
      <c r="B8804" s="3" t="s">
        <v>8003</v>
      </c>
      <c r="C8804" s="5" t="s">
        <v>45</v>
      </c>
      <c r="D8804" s="3" t="s">
        <v>221</v>
      </c>
      <c r="E8804" s="3" t="s">
        <v>883</v>
      </c>
      <c r="F8804" s="7">
        <v>45919.311981976054</v>
      </c>
      <c r="G8804" s="3" t="s">
        <v>6579</v>
      </c>
    </row>
    <row r="8805">
      <c r="A8805" s="3" t="s">
        <v>23876</v>
      </c>
      <c r="B8805" s="3" t="s">
        <v>8003</v>
      </c>
      <c r="C8805" s="5" t="s">
        <v>221</v>
      </c>
      <c r="D8805" s="3" t="s">
        <v>614</v>
      </c>
      <c r="E8805" s="3" t="s">
        <v>118</v>
      </c>
      <c r="F8805" s="7">
        <v>45919.31545419827</v>
      </c>
      <c r="G8805" s="3" t="s">
        <v>6582</v>
      </c>
    </row>
    <row r="8806">
      <c r="A8806" s="3" t="s">
        <v>23877</v>
      </c>
      <c r="B8806" s="3" t="s">
        <v>8003</v>
      </c>
      <c r="C8806" s="5" t="s">
        <v>614</v>
      </c>
      <c r="D8806" s="3" t="s">
        <v>206</v>
      </c>
      <c r="E8806" s="3" t="s">
        <v>100</v>
      </c>
      <c r="F8806" s="7">
        <v>45919.3189264205</v>
      </c>
      <c r="G8806" s="3" t="s">
        <v>6585</v>
      </c>
    </row>
    <row r="8807">
      <c r="A8807" s="3" t="s">
        <v>23878</v>
      </c>
      <c r="B8807" s="3" t="s">
        <v>8003</v>
      </c>
      <c r="C8807" s="5" t="s">
        <v>206</v>
      </c>
      <c r="D8807" s="3" t="s">
        <v>68</v>
      </c>
      <c r="E8807" s="3" t="s">
        <v>100</v>
      </c>
      <c r="F8807" s="7">
        <v>45919.32239864272</v>
      </c>
      <c r="G8807" s="3" t="s">
        <v>6588</v>
      </c>
    </row>
    <row r="8808">
      <c r="A8808" s="3" t="s">
        <v>23879</v>
      </c>
      <c r="B8808" s="3" t="s">
        <v>8007</v>
      </c>
      <c r="C8808" s="5" t="s">
        <v>45</v>
      </c>
      <c r="D8808" s="3" t="s">
        <v>221</v>
      </c>
      <c r="E8808" s="3" t="s">
        <v>920</v>
      </c>
      <c r="F8808" s="7">
        <v>45919.38315682147</v>
      </c>
      <c r="G8808" s="3" t="s">
        <v>5696</v>
      </c>
    </row>
    <row r="8809">
      <c r="A8809" s="3" t="s">
        <v>23880</v>
      </c>
      <c r="B8809" s="3" t="s">
        <v>8007</v>
      </c>
      <c r="C8809" s="5" t="s">
        <v>221</v>
      </c>
      <c r="D8809" s="3" t="s">
        <v>614</v>
      </c>
      <c r="E8809" s="3" t="s">
        <v>118</v>
      </c>
      <c r="F8809" s="7">
        <v>45919.386629043685</v>
      </c>
      <c r="G8809" s="3" t="s">
        <v>5699</v>
      </c>
    </row>
    <row r="8810">
      <c r="A8810" s="3" t="s">
        <v>23881</v>
      </c>
      <c r="B8810" s="3" t="s">
        <v>8007</v>
      </c>
      <c r="C8810" s="5" t="s">
        <v>614</v>
      </c>
      <c r="D8810" s="3" t="s">
        <v>206</v>
      </c>
      <c r="E8810" s="3" t="s">
        <v>100</v>
      </c>
      <c r="F8810" s="7">
        <v>45919.39010126591</v>
      </c>
      <c r="G8810" s="3" t="s">
        <v>5701</v>
      </c>
    </row>
    <row r="8811">
      <c r="A8811" s="3" t="s">
        <v>23882</v>
      </c>
      <c r="B8811" s="3" t="s">
        <v>8007</v>
      </c>
      <c r="C8811" s="5" t="s">
        <v>206</v>
      </c>
      <c r="D8811" s="3" t="s">
        <v>68</v>
      </c>
      <c r="E8811" s="3" t="s">
        <v>100</v>
      </c>
      <c r="F8811" s="7">
        <v>45919.39357348813</v>
      </c>
      <c r="G8811" s="3" t="s">
        <v>5704</v>
      </c>
    </row>
    <row r="8812">
      <c r="A8812" s="3" t="s">
        <v>23883</v>
      </c>
      <c r="B8812" s="3" t="s">
        <v>8010</v>
      </c>
      <c r="C8812" s="5" t="s">
        <v>45</v>
      </c>
      <c r="D8812" s="3" t="s">
        <v>221</v>
      </c>
      <c r="E8812" s="3" t="s">
        <v>293</v>
      </c>
      <c r="F8812" s="7">
        <v>45919.454331666886</v>
      </c>
      <c r="G8812" s="3" t="s">
        <v>6931</v>
      </c>
    </row>
    <row r="8813">
      <c r="A8813" s="3" t="s">
        <v>23884</v>
      </c>
      <c r="B8813" s="3" t="s">
        <v>8010</v>
      </c>
      <c r="C8813" s="5" t="s">
        <v>221</v>
      </c>
      <c r="D8813" s="3" t="s">
        <v>614</v>
      </c>
      <c r="E8813" s="3" t="s">
        <v>118</v>
      </c>
      <c r="F8813" s="7">
        <v>45919.457803889105</v>
      </c>
      <c r="G8813" s="3" t="s">
        <v>6934</v>
      </c>
    </row>
    <row r="8814">
      <c r="A8814" s="3" t="s">
        <v>23885</v>
      </c>
      <c r="B8814" s="3" t="s">
        <v>8010</v>
      </c>
      <c r="C8814" s="5" t="s">
        <v>614</v>
      </c>
      <c r="D8814" s="3" t="s">
        <v>206</v>
      </c>
      <c r="E8814" s="3" t="s">
        <v>100</v>
      </c>
      <c r="F8814" s="7">
        <v>45919.46127611133</v>
      </c>
      <c r="G8814" s="3" t="s">
        <v>6937</v>
      </c>
    </row>
    <row r="8815">
      <c r="A8815" s="3" t="s">
        <v>23886</v>
      </c>
      <c r="B8815" s="3" t="s">
        <v>8010</v>
      </c>
      <c r="C8815" s="5" t="s">
        <v>206</v>
      </c>
      <c r="D8815" s="3" t="s">
        <v>68</v>
      </c>
      <c r="E8815" s="3" t="s">
        <v>100</v>
      </c>
      <c r="F8815" s="7">
        <v>45919.46474833355</v>
      </c>
      <c r="G8815" s="3" t="s">
        <v>6940</v>
      </c>
    </row>
    <row r="8816">
      <c r="A8816" s="3" t="s">
        <v>23887</v>
      </c>
      <c r="B8816" s="3" t="s">
        <v>8013</v>
      </c>
      <c r="C8816" s="5" t="s">
        <v>45</v>
      </c>
      <c r="D8816" s="3" t="s">
        <v>221</v>
      </c>
      <c r="E8816" s="3" t="s">
        <v>310</v>
      </c>
      <c r="F8816" s="7">
        <v>45919.5255065123</v>
      </c>
      <c r="G8816" s="3" t="s">
        <v>16811</v>
      </c>
    </row>
    <row r="8817">
      <c r="A8817" s="3" t="s">
        <v>23888</v>
      </c>
      <c r="B8817" s="3" t="s">
        <v>8013</v>
      </c>
      <c r="C8817" s="5" t="s">
        <v>221</v>
      </c>
      <c r="D8817" s="3" t="s">
        <v>614</v>
      </c>
      <c r="E8817" s="3" t="s">
        <v>118</v>
      </c>
      <c r="F8817" s="7">
        <v>45919.52897873452</v>
      </c>
      <c r="G8817" s="3" t="s">
        <v>16814</v>
      </c>
    </row>
    <row r="8818">
      <c r="A8818" s="3" t="s">
        <v>23889</v>
      </c>
      <c r="B8818" s="3" t="s">
        <v>8013</v>
      </c>
      <c r="C8818" s="5" t="s">
        <v>614</v>
      </c>
      <c r="D8818" s="3" t="s">
        <v>206</v>
      </c>
      <c r="E8818" s="3" t="s">
        <v>100</v>
      </c>
      <c r="F8818" s="7">
        <v>45919.53245095674</v>
      </c>
      <c r="G8818" s="3" t="s">
        <v>16817</v>
      </c>
    </row>
    <row r="8819">
      <c r="A8819" s="3" t="s">
        <v>23890</v>
      </c>
      <c r="B8819" s="3" t="s">
        <v>8013</v>
      </c>
      <c r="C8819" s="5" t="s">
        <v>206</v>
      </c>
      <c r="D8819" s="3" t="s">
        <v>68</v>
      </c>
      <c r="E8819" s="3" t="s">
        <v>100</v>
      </c>
      <c r="F8819" s="7">
        <v>45919.53592317896</v>
      </c>
      <c r="G8819" s="3" t="s">
        <v>16820</v>
      </c>
    </row>
    <row r="8820">
      <c r="A8820" s="3" t="s">
        <v>23891</v>
      </c>
      <c r="B8820" s="3" t="s">
        <v>8016</v>
      </c>
      <c r="C8820" s="5" t="s">
        <v>45</v>
      </c>
      <c r="D8820" s="3" t="s">
        <v>221</v>
      </c>
      <c r="E8820" s="3" t="s">
        <v>481</v>
      </c>
      <c r="F8820" s="7">
        <v>45919.59668135772</v>
      </c>
      <c r="G8820" s="3" t="s">
        <v>10623</v>
      </c>
    </row>
    <row r="8821">
      <c r="A8821" s="3" t="s">
        <v>23892</v>
      </c>
      <c r="B8821" s="3" t="s">
        <v>8016</v>
      </c>
      <c r="C8821" s="5" t="s">
        <v>221</v>
      </c>
      <c r="D8821" s="3" t="s">
        <v>614</v>
      </c>
      <c r="E8821" s="3" t="s">
        <v>118</v>
      </c>
      <c r="F8821" s="7">
        <v>45919.60015357994</v>
      </c>
      <c r="G8821" s="3" t="s">
        <v>10625</v>
      </c>
    </row>
    <row r="8822">
      <c r="A8822" s="3" t="s">
        <v>23893</v>
      </c>
      <c r="B8822" s="3" t="s">
        <v>8016</v>
      </c>
      <c r="C8822" s="5" t="s">
        <v>614</v>
      </c>
      <c r="D8822" s="3" t="s">
        <v>206</v>
      </c>
      <c r="E8822" s="3" t="s">
        <v>100</v>
      </c>
      <c r="F8822" s="7">
        <v>45919.60362580216</v>
      </c>
      <c r="G8822" s="3" t="s">
        <v>10628</v>
      </c>
    </row>
    <row r="8823">
      <c r="A8823" s="3" t="s">
        <v>23894</v>
      </c>
      <c r="B8823" s="3" t="s">
        <v>8016</v>
      </c>
      <c r="C8823" s="5" t="s">
        <v>206</v>
      </c>
      <c r="D8823" s="3" t="s">
        <v>68</v>
      </c>
      <c r="E8823" s="3" t="s">
        <v>100</v>
      </c>
      <c r="F8823" s="7">
        <v>45919.60709802438</v>
      </c>
      <c r="G8823" s="3" t="s">
        <v>10631</v>
      </c>
    </row>
    <row r="8824">
      <c r="A8824" s="3" t="s">
        <v>23895</v>
      </c>
      <c r="B8824" s="3" t="s">
        <v>8019</v>
      </c>
      <c r="C8824" s="5" t="s">
        <v>45</v>
      </c>
      <c r="D8824" s="3" t="s">
        <v>221</v>
      </c>
      <c r="E8824" s="3" t="s">
        <v>137</v>
      </c>
      <c r="F8824" s="7">
        <v>45919.66785620312</v>
      </c>
      <c r="G8824" s="3" t="s">
        <v>14747</v>
      </c>
    </row>
    <row r="8825">
      <c r="A8825" s="3" t="s">
        <v>23896</v>
      </c>
      <c r="B8825" s="3" t="s">
        <v>8019</v>
      </c>
      <c r="C8825" s="5" t="s">
        <v>221</v>
      </c>
      <c r="D8825" s="3" t="s">
        <v>614</v>
      </c>
      <c r="E8825" s="3" t="s">
        <v>118</v>
      </c>
      <c r="F8825" s="7">
        <v>45919.67132842534</v>
      </c>
      <c r="G8825" s="3" t="s">
        <v>14749</v>
      </c>
    </row>
    <row r="8826">
      <c r="A8826" s="3" t="s">
        <v>23897</v>
      </c>
      <c r="B8826" s="3" t="s">
        <v>8019</v>
      </c>
      <c r="C8826" s="5" t="s">
        <v>614</v>
      </c>
      <c r="D8826" s="3" t="s">
        <v>206</v>
      </c>
      <c r="E8826" s="3" t="s">
        <v>100</v>
      </c>
      <c r="F8826" s="7">
        <v>45919.67480064757</v>
      </c>
      <c r="G8826" s="3" t="s">
        <v>14752</v>
      </c>
    </row>
    <row r="8827">
      <c r="A8827" s="3" t="s">
        <v>23898</v>
      </c>
      <c r="B8827" s="3" t="s">
        <v>8019</v>
      </c>
      <c r="C8827" s="5" t="s">
        <v>206</v>
      </c>
      <c r="D8827" s="3" t="s">
        <v>68</v>
      </c>
      <c r="E8827" s="3" t="s">
        <v>100</v>
      </c>
      <c r="F8827" s="7">
        <v>45919.67827286979</v>
      </c>
      <c r="G8827" s="3" t="s">
        <v>14755</v>
      </c>
    </row>
    <row r="8828">
      <c r="A8828" s="3" t="s">
        <v>23899</v>
      </c>
      <c r="B8828" s="3" t="s">
        <v>8022</v>
      </c>
      <c r="C8828" s="5" t="s">
        <v>45</v>
      </c>
      <c r="D8828" s="3" t="s">
        <v>221</v>
      </c>
      <c r="E8828" s="3" t="s">
        <v>219</v>
      </c>
      <c r="F8828" s="7">
        <v>45919.73903104854</v>
      </c>
      <c r="G8828" s="3" t="s">
        <v>12106</v>
      </c>
    </row>
    <row r="8829">
      <c r="A8829" s="3" t="s">
        <v>23900</v>
      </c>
      <c r="B8829" s="3" t="s">
        <v>8022</v>
      </c>
      <c r="C8829" s="5" t="s">
        <v>221</v>
      </c>
      <c r="D8829" s="3" t="s">
        <v>181</v>
      </c>
      <c r="E8829" s="3" t="s">
        <v>118</v>
      </c>
      <c r="F8829" s="7">
        <v>45919.74250327076</v>
      </c>
      <c r="G8829" s="3" t="s">
        <v>23901</v>
      </c>
    </row>
    <row r="8830">
      <c r="A8830" s="3" t="s">
        <v>23902</v>
      </c>
      <c r="B8830" s="3" t="s">
        <v>8023</v>
      </c>
      <c r="C8830" s="5" t="s">
        <v>45</v>
      </c>
      <c r="D8830" s="3" t="s">
        <v>221</v>
      </c>
      <c r="E8830" s="3" t="s">
        <v>789</v>
      </c>
      <c r="F8830" s="7">
        <v>45919.81020589396</v>
      </c>
      <c r="G8830" s="3" t="s">
        <v>6476</v>
      </c>
    </row>
    <row r="8831">
      <c r="A8831" s="3" t="s">
        <v>23903</v>
      </c>
      <c r="B8831" s="3" t="s">
        <v>8023</v>
      </c>
      <c r="C8831" s="5" t="s">
        <v>221</v>
      </c>
      <c r="D8831" s="3" t="s">
        <v>614</v>
      </c>
      <c r="E8831" s="3" t="s">
        <v>118</v>
      </c>
      <c r="F8831" s="7">
        <v>45919.81367811618</v>
      </c>
      <c r="G8831" s="3" t="s">
        <v>6479</v>
      </c>
    </row>
    <row r="8832">
      <c r="A8832" s="3" t="s">
        <v>23904</v>
      </c>
      <c r="B8832" s="3" t="s">
        <v>8023</v>
      </c>
      <c r="C8832" s="5" t="s">
        <v>614</v>
      </c>
      <c r="D8832" s="3" t="s">
        <v>206</v>
      </c>
      <c r="E8832" s="3" t="s">
        <v>100</v>
      </c>
      <c r="F8832" s="7">
        <v>45919.81715033841</v>
      </c>
      <c r="G8832" s="3" t="s">
        <v>6482</v>
      </c>
    </row>
    <row r="8833">
      <c r="A8833" s="3" t="s">
        <v>23905</v>
      </c>
      <c r="B8833" s="3" t="s">
        <v>8023</v>
      </c>
      <c r="C8833" s="5" t="s">
        <v>206</v>
      </c>
      <c r="D8833" s="3" t="s">
        <v>68</v>
      </c>
      <c r="E8833" s="3" t="s">
        <v>100</v>
      </c>
      <c r="F8833" s="7">
        <v>45919.820622560626</v>
      </c>
      <c r="G8833" s="3" t="s">
        <v>6485</v>
      </c>
    </row>
    <row r="8834">
      <c r="A8834" s="3" t="s">
        <v>23906</v>
      </c>
      <c r="B8834" s="3" t="s">
        <v>8026</v>
      </c>
      <c r="C8834" s="5" t="s">
        <v>45</v>
      </c>
      <c r="D8834" s="3" t="s">
        <v>221</v>
      </c>
      <c r="E8834" s="3" t="s">
        <v>419</v>
      </c>
      <c r="F8834" s="7">
        <v>45919.881380739374</v>
      </c>
      <c r="G8834" s="3" t="s">
        <v>11214</v>
      </c>
    </row>
    <row r="8835">
      <c r="A8835" s="3" t="s">
        <v>23907</v>
      </c>
      <c r="B8835" s="3" t="s">
        <v>8026</v>
      </c>
      <c r="C8835" s="5" t="s">
        <v>221</v>
      </c>
      <c r="D8835" s="3" t="s">
        <v>614</v>
      </c>
      <c r="E8835" s="3" t="s">
        <v>118</v>
      </c>
      <c r="F8835" s="7">
        <v>45919.88485296159</v>
      </c>
      <c r="G8835" s="3" t="s">
        <v>11216</v>
      </c>
    </row>
    <row r="8836">
      <c r="A8836" s="3" t="s">
        <v>23908</v>
      </c>
      <c r="B8836" s="3" t="s">
        <v>8026</v>
      </c>
      <c r="C8836" s="5" t="s">
        <v>614</v>
      </c>
      <c r="D8836" s="3" t="s">
        <v>206</v>
      </c>
      <c r="E8836" s="3" t="s">
        <v>100</v>
      </c>
      <c r="F8836" s="7">
        <v>45919.88832518382</v>
      </c>
      <c r="G8836" s="3" t="s">
        <v>11218</v>
      </c>
    </row>
    <row r="8837">
      <c r="A8837" s="3" t="s">
        <v>23909</v>
      </c>
      <c r="B8837" s="3" t="s">
        <v>8026</v>
      </c>
      <c r="C8837" s="5" t="s">
        <v>206</v>
      </c>
      <c r="D8837" s="3" t="s">
        <v>68</v>
      </c>
      <c r="E8837" s="3" t="s">
        <v>100</v>
      </c>
      <c r="F8837" s="7">
        <v>45919.89179740604</v>
      </c>
      <c r="G8837" s="3" t="s">
        <v>11221</v>
      </c>
    </row>
    <row r="8838">
      <c r="A8838" s="3" t="s">
        <v>23910</v>
      </c>
      <c r="B8838" s="3" t="s">
        <v>8029</v>
      </c>
      <c r="C8838" s="5" t="s">
        <v>45</v>
      </c>
      <c r="D8838" s="3" t="s">
        <v>221</v>
      </c>
      <c r="E8838" s="3" t="s">
        <v>380</v>
      </c>
      <c r="F8838" s="7">
        <v>45919.95255558479</v>
      </c>
      <c r="G8838" s="3" t="s">
        <v>11327</v>
      </c>
    </row>
    <row r="8839">
      <c r="A8839" s="3" t="s">
        <v>23911</v>
      </c>
      <c r="B8839" s="3" t="s">
        <v>8029</v>
      </c>
      <c r="C8839" s="5" t="s">
        <v>221</v>
      </c>
      <c r="D8839" s="3" t="s">
        <v>614</v>
      </c>
      <c r="E8839" s="3" t="s">
        <v>118</v>
      </c>
      <c r="F8839" s="7">
        <v>45919.956027807006</v>
      </c>
      <c r="G8839" s="3" t="s">
        <v>11330</v>
      </c>
    </row>
    <row r="8840">
      <c r="A8840" s="3" t="s">
        <v>23912</v>
      </c>
      <c r="B8840" s="3" t="s">
        <v>8029</v>
      </c>
      <c r="C8840" s="5" t="s">
        <v>614</v>
      </c>
      <c r="D8840" s="3" t="s">
        <v>206</v>
      </c>
      <c r="E8840" s="3" t="s">
        <v>100</v>
      </c>
      <c r="F8840" s="7">
        <v>45919.95950002923</v>
      </c>
      <c r="G8840" s="3" t="s">
        <v>11333</v>
      </c>
    </row>
    <row r="8841">
      <c r="A8841" s="3" t="s">
        <v>23913</v>
      </c>
      <c r="B8841" s="3" t="s">
        <v>8029</v>
      </c>
      <c r="C8841" s="5" t="s">
        <v>206</v>
      </c>
      <c r="D8841" s="3" t="s">
        <v>68</v>
      </c>
      <c r="E8841" s="3" t="s">
        <v>100</v>
      </c>
      <c r="F8841" s="7">
        <v>45919.96297225145</v>
      </c>
      <c r="G8841" s="3" t="s">
        <v>11336</v>
      </c>
    </row>
    <row r="8842">
      <c r="A8842" s="3" t="s">
        <v>23914</v>
      </c>
      <c r="B8842" s="3" t="s">
        <v>8033</v>
      </c>
      <c r="C8842" s="5" t="s">
        <v>45</v>
      </c>
      <c r="D8842" s="3" t="s">
        <v>221</v>
      </c>
      <c r="E8842" s="3" t="s">
        <v>326</v>
      </c>
      <c r="F8842" s="7">
        <v>45920.023730430206</v>
      </c>
      <c r="G8842" s="3" t="s">
        <v>23915</v>
      </c>
    </row>
    <row r="8843">
      <c r="A8843" s="3" t="s">
        <v>23916</v>
      </c>
      <c r="B8843" s="3" t="s">
        <v>8033</v>
      </c>
      <c r="C8843" s="5" t="s">
        <v>221</v>
      </c>
      <c r="D8843" s="3" t="s">
        <v>614</v>
      </c>
      <c r="E8843" s="3" t="s">
        <v>118</v>
      </c>
      <c r="F8843" s="7">
        <v>45920.027202652425</v>
      </c>
      <c r="G8843" s="3" t="s">
        <v>23917</v>
      </c>
    </row>
    <row r="8844">
      <c r="A8844" s="3" t="s">
        <v>23918</v>
      </c>
      <c r="B8844" s="3" t="s">
        <v>8033</v>
      </c>
      <c r="C8844" s="5" t="s">
        <v>614</v>
      </c>
      <c r="D8844" s="3" t="s">
        <v>206</v>
      </c>
      <c r="E8844" s="3" t="s">
        <v>100</v>
      </c>
      <c r="F8844" s="7">
        <v>45920.03067487465</v>
      </c>
      <c r="G8844" s="3" t="s">
        <v>23919</v>
      </c>
    </row>
    <row r="8845">
      <c r="A8845" s="3" t="s">
        <v>23920</v>
      </c>
      <c r="B8845" s="3" t="s">
        <v>8033</v>
      </c>
      <c r="C8845" s="5" t="s">
        <v>206</v>
      </c>
      <c r="D8845" s="3" t="s">
        <v>68</v>
      </c>
      <c r="E8845" s="3" t="s">
        <v>100</v>
      </c>
      <c r="F8845" s="7">
        <v>45920.03414709687</v>
      </c>
      <c r="G8845" s="3" t="s">
        <v>23921</v>
      </c>
    </row>
    <row r="8846">
      <c r="A8846" s="3" t="s">
        <v>23922</v>
      </c>
      <c r="B8846" s="3" t="s">
        <v>8037</v>
      </c>
      <c r="C8846" s="5" t="s">
        <v>45</v>
      </c>
      <c r="D8846" s="3" t="s">
        <v>221</v>
      </c>
      <c r="E8846" s="3" t="s">
        <v>356</v>
      </c>
      <c r="F8846" s="7">
        <v>45920.09490527562</v>
      </c>
      <c r="G8846" s="3" t="s">
        <v>23923</v>
      </c>
    </row>
    <row r="8847">
      <c r="A8847" s="3" t="s">
        <v>23924</v>
      </c>
      <c r="B8847" s="3" t="s">
        <v>8037</v>
      </c>
      <c r="C8847" s="5" t="s">
        <v>221</v>
      </c>
      <c r="D8847" s="3" t="s">
        <v>181</v>
      </c>
      <c r="E8847" s="3" t="s">
        <v>118</v>
      </c>
      <c r="F8847" s="7">
        <v>45920.09837749784</v>
      </c>
      <c r="G8847" s="3" t="s">
        <v>23925</v>
      </c>
    </row>
    <row r="8848">
      <c r="A8848" s="3" t="s">
        <v>23926</v>
      </c>
      <c r="B8848" s="3" t="s">
        <v>8040</v>
      </c>
      <c r="C8848" s="5" t="s">
        <v>45</v>
      </c>
      <c r="D8848" s="3" t="s">
        <v>221</v>
      </c>
      <c r="E8848" s="3" t="s">
        <v>853</v>
      </c>
      <c r="F8848" s="7">
        <v>45920.16608012103</v>
      </c>
      <c r="G8848" s="3" t="s">
        <v>11839</v>
      </c>
    </row>
    <row r="8849">
      <c r="A8849" s="3" t="s">
        <v>23927</v>
      </c>
      <c r="B8849" s="3" t="s">
        <v>8040</v>
      </c>
      <c r="C8849" s="5" t="s">
        <v>221</v>
      </c>
      <c r="D8849" s="3" t="s">
        <v>614</v>
      </c>
      <c r="E8849" s="3" t="s">
        <v>118</v>
      </c>
      <c r="F8849" s="7">
        <v>45920.16955234325</v>
      </c>
      <c r="G8849" s="3" t="s">
        <v>11844</v>
      </c>
    </row>
    <row r="8850">
      <c r="A8850" s="3" t="s">
        <v>23928</v>
      </c>
      <c r="B8850" s="3" t="s">
        <v>8040</v>
      </c>
      <c r="C8850" s="5" t="s">
        <v>614</v>
      </c>
      <c r="D8850" s="3" t="s">
        <v>206</v>
      </c>
      <c r="E8850" s="3" t="s">
        <v>100</v>
      </c>
      <c r="F8850" s="7">
        <v>45920.173024565476</v>
      </c>
      <c r="G8850" s="3" t="s">
        <v>11848</v>
      </c>
    </row>
    <row r="8851">
      <c r="A8851" s="3" t="s">
        <v>23929</v>
      </c>
      <c r="B8851" s="3" t="s">
        <v>8040</v>
      </c>
      <c r="C8851" s="5" t="s">
        <v>206</v>
      </c>
      <c r="D8851" s="3" t="s">
        <v>68</v>
      </c>
      <c r="E8851" s="3" t="s">
        <v>100</v>
      </c>
      <c r="F8851" s="7">
        <v>45920.176496787695</v>
      </c>
      <c r="G8851" s="3" t="s">
        <v>11851</v>
      </c>
    </row>
    <row r="8852">
      <c r="A8852" s="3" t="s">
        <v>23930</v>
      </c>
      <c r="B8852" s="3" t="s">
        <v>8043</v>
      </c>
      <c r="C8852" s="5" t="s">
        <v>45</v>
      </c>
      <c r="D8852" s="3" t="s">
        <v>221</v>
      </c>
      <c r="E8852" s="3" t="s">
        <v>193</v>
      </c>
      <c r="F8852" s="7">
        <v>45920.23725496645</v>
      </c>
      <c r="G8852" s="3" t="s">
        <v>6022</v>
      </c>
    </row>
    <row r="8853">
      <c r="A8853" s="3" t="s">
        <v>23931</v>
      </c>
      <c r="B8853" s="3" t="s">
        <v>8043</v>
      </c>
      <c r="C8853" s="5" t="s">
        <v>221</v>
      </c>
      <c r="D8853" s="3" t="s">
        <v>614</v>
      </c>
      <c r="E8853" s="3" t="s">
        <v>118</v>
      </c>
      <c r="F8853" s="7">
        <v>45920.24072718867</v>
      </c>
      <c r="G8853" s="3" t="s">
        <v>6025</v>
      </c>
    </row>
    <row r="8854">
      <c r="A8854" s="3" t="s">
        <v>23932</v>
      </c>
      <c r="B8854" s="3" t="s">
        <v>8043</v>
      </c>
      <c r="C8854" s="5" t="s">
        <v>614</v>
      </c>
      <c r="D8854" s="3" t="s">
        <v>206</v>
      </c>
      <c r="E8854" s="3" t="s">
        <v>100</v>
      </c>
      <c r="F8854" s="7">
        <v>45920.244199410896</v>
      </c>
      <c r="G8854" s="3" t="s">
        <v>6027</v>
      </c>
    </row>
    <row r="8855">
      <c r="A8855" s="3" t="s">
        <v>23933</v>
      </c>
      <c r="B8855" s="3" t="s">
        <v>8043</v>
      </c>
      <c r="C8855" s="5" t="s">
        <v>206</v>
      </c>
      <c r="D8855" s="3" t="s">
        <v>68</v>
      </c>
      <c r="E8855" s="3" t="s">
        <v>100</v>
      </c>
      <c r="F8855" s="7">
        <v>45920.247671633115</v>
      </c>
      <c r="G8855" s="3" t="s">
        <v>6030</v>
      </c>
    </row>
    <row r="8856">
      <c r="A8856" s="3" t="s">
        <v>23934</v>
      </c>
      <c r="B8856" s="3" t="s">
        <v>8045</v>
      </c>
      <c r="C8856" s="5" t="s">
        <v>45</v>
      </c>
      <c r="D8856" s="3" t="s">
        <v>221</v>
      </c>
      <c r="E8856" s="3" t="s">
        <v>512</v>
      </c>
      <c r="F8856" s="7">
        <v>45920.30842981187</v>
      </c>
      <c r="G8856" s="3" t="s">
        <v>6408</v>
      </c>
    </row>
    <row r="8857">
      <c r="A8857" s="3" t="s">
        <v>23935</v>
      </c>
      <c r="B8857" s="3" t="s">
        <v>8045</v>
      </c>
      <c r="C8857" s="5" t="s">
        <v>221</v>
      </c>
      <c r="D8857" s="3" t="s">
        <v>614</v>
      </c>
      <c r="E8857" s="3" t="s">
        <v>118</v>
      </c>
      <c r="F8857" s="7">
        <v>45920.31190203409</v>
      </c>
      <c r="G8857" s="3" t="s">
        <v>6410</v>
      </c>
    </row>
    <row r="8858">
      <c r="A8858" s="3" t="s">
        <v>23936</v>
      </c>
      <c r="B8858" s="3" t="s">
        <v>8045</v>
      </c>
      <c r="C8858" s="5" t="s">
        <v>614</v>
      </c>
      <c r="D8858" s="3" t="s">
        <v>206</v>
      </c>
      <c r="E8858" s="3" t="s">
        <v>100</v>
      </c>
      <c r="F8858" s="7">
        <v>45920.315374256315</v>
      </c>
      <c r="G8858" s="3" t="s">
        <v>6413</v>
      </c>
    </row>
    <row r="8859">
      <c r="A8859" s="3" t="s">
        <v>23937</v>
      </c>
      <c r="B8859" s="3" t="s">
        <v>8045</v>
      </c>
      <c r="C8859" s="5" t="s">
        <v>206</v>
      </c>
      <c r="D8859" s="3" t="s">
        <v>68</v>
      </c>
      <c r="E8859" s="3" t="s">
        <v>100</v>
      </c>
      <c r="F8859" s="7">
        <v>45920.318846478534</v>
      </c>
      <c r="G8859" s="3" t="s">
        <v>6416</v>
      </c>
    </row>
    <row r="8860">
      <c r="A8860" s="3" t="s">
        <v>23938</v>
      </c>
      <c r="B8860" s="3" t="s">
        <v>8047</v>
      </c>
      <c r="C8860" s="5" t="s">
        <v>45</v>
      </c>
      <c r="D8860" s="3" t="s">
        <v>221</v>
      </c>
      <c r="E8860" s="3" t="s">
        <v>929</v>
      </c>
      <c r="F8860" s="7">
        <v>45920.379604657275</v>
      </c>
      <c r="G8860" s="3" t="s">
        <v>6614</v>
      </c>
    </row>
    <row r="8861">
      <c r="A8861" s="3" t="s">
        <v>23939</v>
      </c>
      <c r="B8861" s="3" t="s">
        <v>8047</v>
      </c>
      <c r="C8861" s="5" t="s">
        <v>221</v>
      </c>
      <c r="D8861" s="3" t="s">
        <v>614</v>
      </c>
      <c r="E8861" s="3" t="s">
        <v>118</v>
      </c>
      <c r="F8861" s="7">
        <v>45920.383076879494</v>
      </c>
      <c r="G8861" s="3" t="s">
        <v>6617</v>
      </c>
    </row>
    <row r="8862">
      <c r="A8862" s="3" t="s">
        <v>23940</v>
      </c>
      <c r="B8862" s="3" t="s">
        <v>8047</v>
      </c>
      <c r="C8862" s="5" t="s">
        <v>614</v>
      </c>
      <c r="D8862" s="3" t="s">
        <v>206</v>
      </c>
      <c r="E8862" s="3" t="s">
        <v>100</v>
      </c>
      <c r="F8862" s="7">
        <v>45920.38654910172</v>
      </c>
      <c r="G8862" s="3" t="s">
        <v>6619</v>
      </c>
    </row>
    <row r="8863">
      <c r="A8863" s="3" t="s">
        <v>23941</v>
      </c>
      <c r="B8863" s="3" t="s">
        <v>8047</v>
      </c>
      <c r="C8863" s="5" t="s">
        <v>206</v>
      </c>
      <c r="D8863" s="3" t="s">
        <v>68</v>
      </c>
      <c r="E8863" s="3" t="s">
        <v>100</v>
      </c>
      <c r="F8863" s="7">
        <v>45920.39002132394</v>
      </c>
      <c r="G8863" s="3" t="s">
        <v>6622</v>
      </c>
    </row>
    <row r="8864">
      <c r="A8864" s="3" t="s">
        <v>23942</v>
      </c>
      <c r="B8864" s="3" t="s">
        <v>8049</v>
      </c>
      <c r="C8864" s="5" t="s">
        <v>45</v>
      </c>
      <c r="D8864" s="3" t="s">
        <v>221</v>
      </c>
      <c r="E8864" s="3" t="s">
        <v>770</v>
      </c>
      <c r="F8864" s="7">
        <v>45920.450779502695</v>
      </c>
      <c r="G8864" s="3" t="s">
        <v>12761</v>
      </c>
    </row>
    <row r="8865">
      <c r="A8865" s="3" t="s">
        <v>23943</v>
      </c>
      <c r="B8865" s="3" t="s">
        <v>8049</v>
      </c>
      <c r="C8865" s="5" t="s">
        <v>221</v>
      </c>
      <c r="D8865" s="3" t="s">
        <v>614</v>
      </c>
      <c r="E8865" s="3" t="s">
        <v>118</v>
      </c>
      <c r="F8865" s="7">
        <v>45920.454251724914</v>
      </c>
      <c r="G8865" s="3" t="s">
        <v>23944</v>
      </c>
    </row>
    <row r="8866">
      <c r="A8866" s="3" t="s">
        <v>23945</v>
      </c>
      <c r="B8866" s="3" t="s">
        <v>8049</v>
      </c>
      <c r="C8866" s="5" t="s">
        <v>614</v>
      </c>
      <c r="D8866" s="3" t="s">
        <v>206</v>
      </c>
      <c r="E8866" s="3" t="s">
        <v>100</v>
      </c>
      <c r="F8866" s="7">
        <v>45920.45772394714</v>
      </c>
      <c r="G8866" s="3" t="s">
        <v>23946</v>
      </c>
    </row>
    <row r="8867">
      <c r="A8867" s="3" t="s">
        <v>23947</v>
      </c>
      <c r="B8867" s="3" t="s">
        <v>8049</v>
      </c>
      <c r="C8867" s="5" t="s">
        <v>206</v>
      </c>
      <c r="D8867" s="3" t="s">
        <v>68</v>
      </c>
      <c r="E8867" s="3" t="s">
        <v>100</v>
      </c>
      <c r="F8867" s="7">
        <v>45920.46119616936</v>
      </c>
      <c r="G8867" s="3" t="s">
        <v>23948</v>
      </c>
    </row>
    <row r="8868">
      <c r="A8868" s="3" t="s">
        <v>23949</v>
      </c>
      <c r="B8868" s="3" t="s">
        <v>8051</v>
      </c>
      <c r="C8868" s="5" t="s">
        <v>45</v>
      </c>
      <c r="D8868" s="3" t="s">
        <v>221</v>
      </c>
      <c r="E8868" s="3" t="s">
        <v>530</v>
      </c>
      <c r="F8868" s="7">
        <v>45920.521954348114</v>
      </c>
      <c r="G8868" s="3" t="s">
        <v>11787</v>
      </c>
    </row>
    <row r="8869">
      <c r="A8869" s="3" t="s">
        <v>23950</v>
      </c>
      <c r="B8869" s="3" t="s">
        <v>8051</v>
      </c>
      <c r="C8869" s="5" t="s">
        <v>221</v>
      </c>
      <c r="D8869" s="3" t="s">
        <v>614</v>
      </c>
      <c r="E8869" s="3" t="s">
        <v>118</v>
      </c>
      <c r="F8869" s="7">
        <v>45920.52542657033</v>
      </c>
      <c r="G8869" s="3" t="s">
        <v>11790</v>
      </c>
    </row>
    <row r="8870">
      <c r="A8870" s="3" t="s">
        <v>23951</v>
      </c>
      <c r="B8870" s="3" t="s">
        <v>8051</v>
      </c>
      <c r="C8870" s="5" t="s">
        <v>614</v>
      </c>
      <c r="D8870" s="3" t="s">
        <v>206</v>
      </c>
      <c r="E8870" s="3" t="s">
        <v>100</v>
      </c>
      <c r="F8870" s="7">
        <v>45920.52889879256</v>
      </c>
      <c r="G8870" s="3" t="s">
        <v>11795</v>
      </c>
    </row>
    <row r="8871">
      <c r="A8871" s="3" t="s">
        <v>23952</v>
      </c>
      <c r="B8871" s="3" t="s">
        <v>8051</v>
      </c>
      <c r="C8871" s="5" t="s">
        <v>206</v>
      </c>
      <c r="D8871" s="3" t="s">
        <v>68</v>
      </c>
      <c r="E8871" s="3" t="s">
        <v>100</v>
      </c>
      <c r="F8871" s="7">
        <v>45920.53237101478</v>
      </c>
      <c r="G8871" s="3" t="s">
        <v>11798</v>
      </c>
    </row>
    <row r="8872">
      <c r="A8872" s="3" t="s">
        <v>23953</v>
      </c>
      <c r="B8872" s="3" t="s">
        <v>8054</v>
      </c>
      <c r="C8872" s="5" t="s">
        <v>45</v>
      </c>
      <c r="D8872" s="3" t="s">
        <v>221</v>
      </c>
      <c r="E8872" s="3" t="s">
        <v>676</v>
      </c>
      <c r="F8872" s="7">
        <v>45920.59312919353</v>
      </c>
      <c r="G8872" s="3" t="s">
        <v>8097</v>
      </c>
    </row>
    <row r="8873">
      <c r="A8873" s="3" t="s">
        <v>23954</v>
      </c>
      <c r="B8873" s="3" t="s">
        <v>8054</v>
      </c>
      <c r="C8873" s="5" t="s">
        <v>221</v>
      </c>
      <c r="D8873" s="3" t="s">
        <v>614</v>
      </c>
      <c r="E8873" s="3" t="s">
        <v>118</v>
      </c>
      <c r="F8873" s="7">
        <v>45920.596601415746</v>
      </c>
      <c r="G8873" s="3" t="s">
        <v>8099</v>
      </c>
    </row>
    <row r="8874">
      <c r="A8874" s="3" t="s">
        <v>23955</v>
      </c>
      <c r="B8874" s="3" t="s">
        <v>8054</v>
      </c>
      <c r="C8874" s="5" t="s">
        <v>614</v>
      </c>
      <c r="D8874" s="3" t="s">
        <v>206</v>
      </c>
      <c r="E8874" s="3" t="s">
        <v>100</v>
      </c>
      <c r="F8874" s="7">
        <v>45920.60007363797</v>
      </c>
      <c r="G8874" s="3" t="s">
        <v>8102</v>
      </c>
    </row>
    <row r="8875">
      <c r="A8875" s="3" t="s">
        <v>23956</v>
      </c>
      <c r="B8875" s="3" t="s">
        <v>8054</v>
      </c>
      <c r="C8875" s="5" t="s">
        <v>206</v>
      </c>
      <c r="D8875" s="3" t="s">
        <v>68</v>
      </c>
      <c r="E8875" s="3" t="s">
        <v>100</v>
      </c>
      <c r="F8875" s="7">
        <v>45920.60354586019</v>
      </c>
      <c r="G8875" s="3" t="s">
        <v>8105</v>
      </c>
    </row>
    <row r="8876">
      <c r="A8876" s="3" t="s">
        <v>23957</v>
      </c>
      <c r="B8876" s="3" t="s">
        <v>8056</v>
      </c>
      <c r="C8876" s="5" t="s">
        <v>45</v>
      </c>
      <c r="D8876" s="3" t="s">
        <v>221</v>
      </c>
      <c r="E8876" s="3" t="s">
        <v>310</v>
      </c>
      <c r="F8876" s="7">
        <v>45920.66430403894</v>
      </c>
      <c r="G8876" s="3" t="s">
        <v>23958</v>
      </c>
    </row>
    <row r="8877">
      <c r="A8877" s="3" t="s">
        <v>23959</v>
      </c>
      <c r="B8877" s="3" t="s">
        <v>8056</v>
      </c>
      <c r="C8877" s="5" t="s">
        <v>221</v>
      </c>
      <c r="D8877" s="3" t="s">
        <v>614</v>
      </c>
      <c r="E8877" s="3" t="s">
        <v>118</v>
      </c>
      <c r="F8877" s="7">
        <v>45920.66777626116</v>
      </c>
      <c r="G8877" s="3" t="s">
        <v>23960</v>
      </c>
    </row>
    <row r="8878">
      <c r="A8878" s="3" t="s">
        <v>23961</v>
      </c>
      <c r="B8878" s="3" t="s">
        <v>8056</v>
      </c>
      <c r="C8878" s="5" t="s">
        <v>614</v>
      </c>
      <c r="D8878" s="3" t="s">
        <v>206</v>
      </c>
      <c r="E8878" s="3" t="s">
        <v>100</v>
      </c>
      <c r="F8878" s="7">
        <v>45920.671248483384</v>
      </c>
      <c r="G8878" s="3" t="s">
        <v>23962</v>
      </c>
    </row>
    <row r="8879">
      <c r="A8879" s="3" t="s">
        <v>23963</v>
      </c>
      <c r="B8879" s="3" t="s">
        <v>8056</v>
      </c>
      <c r="C8879" s="5" t="s">
        <v>206</v>
      </c>
      <c r="D8879" s="3" t="s">
        <v>68</v>
      </c>
      <c r="E8879" s="3" t="s">
        <v>100</v>
      </c>
      <c r="F8879" s="7">
        <v>45920.6747207056</v>
      </c>
      <c r="G8879" s="3" t="s">
        <v>23964</v>
      </c>
    </row>
    <row r="8880">
      <c r="A8880" s="3" t="s">
        <v>23965</v>
      </c>
      <c r="B8880" s="3" t="s">
        <v>8058</v>
      </c>
      <c r="C8880" s="5" t="s">
        <v>45</v>
      </c>
      <c r="D8880" s="3" t="s">
        <v>221</v>
      </c>
      <c r="E8880" s="3" t="s">
        <v>800</v>
      </c>
      <c r="F8880" s="7">
        <v>45920.73547888436</v>
      </c>
      <c r="G8880" s="3" t="s">
        <v>5200</v>
      </c>
    </row>
    <row r="8881">
      <c r="A8881" s="3" t="s">
        <v>23966</v>
      </c>
      <c r="B8881" s="3" t="s">
        <v>8058</v>
      </c>
      <c r="C8881" s="5" t="s">
        <v>221</v>
      </c>
      <c r="D8881" s="3" t="s">
        <v>614</v>
      </c>
      <c r="E8881" s="3" t="s">
        <v>118</v>
      </c>
      <c r="F8881" s="7">
        <v>45920.73895110658</v>
      </c>
      <c r="G8881" s="3" t="s">
        <v>5202</v>
      </c>
    </row>
    <row r="8882">
      <c r="A8882" s="3" t="s">
        <v>23967</v>
      </c>
      <c r="B8882" s="3" t="s">
        <v>8058</v>
      </c>
      <c r="C8882" s="5" t="s">
        <v>614</v>
      </c>
      <c r="D8882" s="3" t="s">
        <v>206</v>
      </c>
      <c r="E8882" s="3" t="s">
        <v>100</v>
      </c>
      <c r="F8882" s="7">
        <v>45920.742423328804</v>
      </c>
      <c r="G8882" s="3" t="s">
        <v>5204</v>
      </c>
    </row>
    <row r="8883">
      <c r="A8883" s="3" t="s">
        <v>23968</v>
      </c>
      <c r="B8883" s="3" t="s">
        <v>8058</v>
      </c>
      <c r="C8883" s="5" t="s">
        <v>206</v>
      </c>
      <c r="D8883" s="3" t="s">
        <v>68</v>
      </c>
      <c r="E8883" s="3" t="s">
        <v>100</v>
      </c>
      <c r="F8883" s="7">
        <v>45920.74589555102</v>
      </c>
      <c r="G8883" s="3" t="s">
        <v>5206</v>
      </c>
    </row>
    <row r="8884">
      <c r="A8884" s="3" t="s">
        <v>23969</v>
      </c>
      <c r="B8884" s="3" t="s">
        <v>8061</v>
      </c>
      <c r="C8884" s="5" t="s">
        <v>45</v>
      </c>
      <c r="D8884" s="3" t="s">
        <v>221</v>
      </c>
      <c r="E8884" s="3" t="s">
        <v>243</v>
      </c>
      <c r="F8884" s="7">
        <v>45920.80665372977</v>
      </c>
      <c r="G8884" s="3" t="s">
        <v>20950</v>
      </c>
    </row>
    <row r="8885">
      <c r="A8885" s="3" t="s">
        <v>23970</v>
      </c>
      <c r="B8885" s="3" t="s">
        <v>8061</v>
      </c>
      <c r="C8885" s="5" t="s">
        <v>221</v>
      </c>
      <c r="D8885" s="3" t="s">
        <v>195</v>
      </c>
      <c r="E8885" s="3" t="s">
        <v>243</v>
      </c>
      <c r="F8885" s="7">
        <v>45920.81012595199</v>
      </c>
      <c r="G8885" s="3" t="s">
        <v>23971</v>
      </c>
    </row>
    <row r="8886">
      <c r="A8886" s="3" t="s">
        <v>23972</v>
      </c>
      <c r="B8886" s="3" t="s">
        <v>8064</v>
      </c>
      <c r="C8886" s="5" t="s">
        <v>45</v>
      </c>
      <c r="D8886" s="3" t="s">
        <v>221</v>
      </c>
      <c r="E8886" s="3" t="s">
        <v>165</v>
      </c>
      <c r="F8886" s="7">
        <v>45920.87782857518</v>
      </c>
      <c r="G8886" s="3" t="s">
        <v>6591</v>
      </c>
    </row>
    <row r="8887">
      <c r="A8887" s="3" t="s">
        <v>23973</v>
      </c>
      <c r="B8887" s="3" t="s">
        <v>8064</v>
      </c>
      <c r="C8887" s="5" t="s">
        <v>221</v>
      </c>
      <c r="D8887" s="3" t="s">
        <v>614</v>
      </c>
      <c r="E8887" s="3" t="s">
        <v>118</v>
      </c>
      <c r="F8887" s="7">
        <v>45920.8813007974</v>
      </c>
      <c r="G8887" s="3" t="s">
        <v>6594</v>
      </c>
    </row>
    <row r="8888">
      <c r="A8888" s="3" t="s">
        <v>23974</v>
      </c>
      <c r="B8888" s="3" t="s">
        <v>8064</v>
      </c>
      <c r="C8888" s="5" t="s">
        <v>614</v>
      </c>
      <c r="D8888" s="3" t="s">
        <v>206</v>
      </c>
      <c r="E8888" s="3" t="s">
        <v>100</v>
      </c>
      <c r="F8888" s="7">
        <v>45920.88477301963</v>
      </c>
      <c r="G8888" s="3" t="s">
        <v>6597</v>
      </c>
    </row>
    <row r="8889">
      <c r="A8889" s="3" t="s">
        <v>23975</v>
      </c>
      <c r="B8889" s="3" t="s">
        <v>8064</v>
      </c>
      <c r="C8889" s="5" t="s">
        <v>206</v>
      </c>
      <c r="D8889" s="3" t="s">
        <v>68</v>
      </c>
      <c r="E8889" s="3" t="s">
        <v>100</v>
      </c>
      <c r="F8889" s="7">
        <v>45920.88824524185</v>
      </c>
      <c r="G8889" s="3" t="s">
        <v>6599</v>
      </c>
    </row>
    <row r="8890">
      <c r="A8890" s="3" t="s">
        <v>23976</v>
      </c>
      <c r="B8890" s="3" t="s">
        <v>8067</v>
      </c>
      <c r="C8890" s="5" t="s">
        <v>45</v>
      </c>
      <c r="D8890" s="3" t="s">
        <v>221</v>
      </c>
      <c r="E8890" s="3" t="s">
        <v>519</v>
      </c>
      <c r="F8890" s="7">
        <v>45920.9490034206</v>
      </c>
      <c r="G8890" s="3" t="s">
        <v>8780</v>
      </c>
    </row>
    <row r="8891">
      <c r="A8891" s="3" t="s">
        <v>23977</v>
      </c>
      <c r="B8891" s="3" t="s">
        <v>8067</v>
      </c>
      <c r="C8891" s="5" t="s">
        <v>221</v>
      </c>
      <c r="D8891" s="3" t="s">
        <v>181</v>
      </c>
      <c r="E8891" s="3" t="s">
        <v>118</v>
      </c>
      <c r="F8891" s="7">
        <v>45920.95247564282</v>
      </c>
      <c r="G8891" s="3" t="s">
        <v>23978</v>
      </c>
    </row>
    <row r="8892">
      <c r="A8892" s="3" t="s">
        <v>23979</v>
      </c>
      <c r="B8892" s="3" t="s">
        <v>8069</v>
      </c>
      <c r="C8892" s="5" t="s">
        <v>45</v>
      </c>
      <c r="D8892" s="3" t="s">
        <v>221</v>
      </c>
      <c r="E8892" s="3" t="s">
        <v>735</v>
      </c>
      <c r="F8892" s="7">
        <v>45921.020178266015</v>
      </c>
      <c r="G8892" s="3" t="s">
        <v>4996</v>
      </c>
    </row>
    <row r="8893">
      <c r="A8893" s="3" t="s">
        <v>23980</v>
      </c>
      <c r="B8893" s="3" t="s">
        <v>8069</v>
      </c>
      <c r="C8893" s="5" t="s">
        <v>221</v>
      </c>
      <c r="D8893" s="3" t="s">
        <v>614</v>
      </c>
      <c r="E8893" s="3" t="s">
        <v>118</v>
      </c>
      <c r="F8893" s="7">
        <v>45921.023650488234</v>
      </c>
      <c r="G8893" s="3" t="s">
        <v>4999</v>
      </c>
    </row>
    <row r="8894">
      <c r="A8894" s="3" t="s">
        <v>23981</v>
      </c>
      <c r="B8894" s="3" t="s">
        <v>8069</v>
      </c>
      <c r="C8894" s="5" t="s">
        <v>614</v>
      </c>
      <c r="D8894" s="3" t="s">
        <v>206</v>
      </c>
      <c r="E8894" s="3" t="s">
        <v>100</v>
      </c>
      <c r="F8894" s="7">
        <v>45921.02712271046</v>
      </c>
      <c r="G8894" s="3" t="s">
        <v>5002</v>
      </c>
    </row>
    <row r="8895">
      <c r="A8895" s="3" t="s">
        <v>23982</v>
      </c>
      <c r="B8895" s="3" t="s">
        <v>8069</v>
      </c>
      <c r="C8895" s="5" t="s">
        <v>206</v>
      </c>
      <c r="D8895" s="3" t="s">
        <v>68</v>
      </c>
      <c r="E8895" s="3" t="s">
        <v>100</v>
      </c>
      <c r="F8895" s="7">
        <v>45921.03059493268</v>
      </c>
      <c r="G8895" s="3" t="s">
        <v>5004</v>
      </c>
    </row>
    <row r="8896">
      <c r="A8896" s="3" t="s">
        <v>23983</v>
      </c>
      <c r="B8896" s="3" t="s">
        <v>8071</v>
      </c>
      <c r="C8896" s="5" t="s">
        <v>45</v>
      </c>
      <c r="D8896" s="3" t="s">
        <v>221</v>
      </c>
      <c r="E8896" s="3" t="s">
        <v>652</v>
      </c>
      <c r="F8896" s="7">
        <v>45921.09135311143</v>
      </c>
      <c r="G8896" s="3" t="s">
        <v>13864</v>
      </c>
    </row>
    <row r="8897">
      <c r="A8897" s="3" t="s">
        <v>23984</v>
      </c>
      <c r="B8897" s="3" t="s">
        <v>8071</v>
      </c>
      <c r="C8897" s="5" t="s">
        <v>221</v>
      </c>
      <c r="D8897" s="3" t="s">
        <v>614</v>
      </c>
      <c r="E8897" s="3" t="s">
        <v>118</v>
      </c>
      <c r="F8897" s="7">
        <v>45921.09482533365</v>
      </c>
      <c r="G8897" s="3" t="s">
        <v>23985</v>
      </c>
    </row>
    <row r="8898">
      <c r="A8898" s="3" t="s">
        <v>23986</v>
      </c>
      <c r="B8898" s="3" t="s">
        <v>8071</v>
      </c>
      <c r="C8898" s="5" t="s">
        <v>614</v>
      </c>
      <c r="D8898" s="3" t="s">
        <v>206</v>
      </c>
      <c r="E8898" s="3" t="s">
        <v>100</v>
      </c>
      <c r="F8898" s="7">
        <v>45921.09829755587</v>
      </c>
      <c r="G8898" s="3" t="s">
        <v>23987</v>
      </c>
    </row>
    <row r="8899">
      <c r="A8899" s="3" t="s">
        <v>23988</v>
      </c>
      <c r="B8899" s="3" t="s">
        <v>8071</v>
      </c>
      <c r="C8899" s="5" t="s">
        <v>206</v>
      </c>
      <c r="D8899" s="3" t="s">
        <v>68</v>
      </c>
      <c r="E8899" s="3" t="s">
        <v>100</v>
      </c>
      <c r="F8899" s="7">
        <v>45921.10176977809</v>
      </c>
      <c r="G8899" s="3" t="s">
        <v>23989</v>
      </c>
    </row>
    <row r="8900">
      <c r="A8900" s="3" t="s">
        <v>23990</v>
      </c>
      <c r="B8900" s="3" t="s">
        <v>8074</v>
      </c>
      <c r="C8900" s="5" t="s">
        <v>45</v>
      </c>
      <c r="D8900" s="3" t="s">
        <v>221</v>
      </c>
      <c r="E8900" s="3" t="s">
        <v>400</v>
      </c>
      <c r="F8900" s="7">
        <v>45921.16252795685</v>
      </c>
      <c r="G8900" s="3" t="s">
        <v>12422</v>
      </c>
    </row>
    <row r="8901">
      <c r="A8901" s="3" t="s">
        <v>23991</v>
      </c>
      <c r="B8901" s="3" t="s">
        <v>8074</v>
      </c>
      <c r="C8901" s="5" t="s">
        <v>221</v>
      </c>
      <c r="D8901" s="3" t="s">
        <v>614</v>
      </c>
      <c r="E8901" s="3" t="s">
        <v>118</v>
      </c>
      <c r="F8901" s="7">
        <v>45921.166000179066</v>
      </c>
      <c r="G8901" s="3" t="s">
        <v>12424</v>
      </c>
    </row>
    <row r="8902">
      <c r="A8902" s="3" t="s">
        <v>23992</v>
      </c>
      <c r="B8902" s="3" t="s">
        <v>8074</v>
      </c>
      <c r="C8902" s="5" t="s">
        <v>614</v>
      </c>
      <c r="D8902" s="3" t="s">
        <v>206</v>
      </c>
      <c r="E8902" s="3" t="s">
        <v>100</v>
      </c>
      <c r="F8902" s="7">
        <v>45921.16947240129</v>
      </c>
      <c r="G8902" s="3" t="s">
        <v>12427</v>
      </c>
    </row>
    <row r="8903">
      <c r="A8903" s="3" t="s">
        <v>23993</v>
      </c>
      <c r="B8903" s="3" t="s">
        <v>8074</v>
      </c>
      <c r="C8903" s="5" t="s">
        <v>206</v>
      </c>
      <c r="D8903" s="3" t="s">
        <v>68</v>
      </c>
      <c r="E8903" s="3" t="s">
        <v>100</v>
      </c>
      <c r="F8903" s="7">
        <v>45921.17294462351</v>
      </c>
      <c r="G8903" s="3" t="s">
        <v>12431</v>
      </c>
    </row>
    <row r="8904">
      <c r="A8904" s="3" t="s">
        <v>23994</v>
      </c>
      <c r="B8904" s="3" t="s">
        <v>8075</v>
      </c>
      <c r="C8904" s="5" t="s">
        <v>45</v>
      </c>
      <c r="D8904" s="3" t="s">
        <v>221</v>
      </c>
      <c r="E8904" s="3" t="s">
        <v>141</v>
      </c>
      <c r="F8904" s="7">
        <v>45921.23370280226</v>
      </c>
      <c r="G8904" s="3" t="s">
        <v>13392</v>
      </c>
    </row>
    <row r="8905">
      <c r="A8905" s="3" t="s">
        <v>23995</v>
      </c>
      <c r="B8905" s="3" t="s">
        <v>8075</v>
      </c>
      <c r="C8905" s="5" t="s">
        <v>221</v>
      </c>
      <c r="D8905" s="3" t="s">
        <v>614</v>
      </c>
      <c r="E8905" s="3" t="s">
        <v>118</v>
      </c>
      <c r="F8905" s="7">
        <v>45921.23717502448</v>
      </c>
      <c r="G8905" s="3" t="s">
        <v>13395</v>
      </c>
    </row>
    <row r="8906">
      <c r="A8906" s="3" t="s">
        <v>23996</v>
      </c>
      <c r="B8906" s="3" t="s">
        <v>8075</v>
      </c>
      <c r="C8906" s="5" t="s">
        <v>614</v>
      </c>
      <c r="D8906" s="3" t="s">
        <v>206</v>
      </c>
      <c r="E8906" s="3" t="s">
        <v>100</v>
      </c>
      <c r="F8906" s="7">
        <v>45921.240647246705</v>
      </c>
      <c r="G8906" s="3" t="s">
        <v>13398</v>
      </c>
    </row>
    <row r="8907">
      <c r="A8907" s="3" t="s">
        <v>23997</v>
      </c>
      <c r="B8907" s="3" t="s">
        <v>8075</v>
      </c>
      <c r="C8907" s="5" t="s">
        <v>206</v>
      </c>
      <c r="D8907" s="3" t="s">
        <v>68</v>
      </c>
      <c r="E8907" s="3" t="s">
        <v>100</v>
      </c>
      <c r="F8907" s="7">
        <v>45921.24411946892</v>
      </c>
      <c r="G8907" s="3" t="s">
        <v>13401</v>
      </c>
    </row>
    <row r="8908">
      <c r="A8908" s="3" t="s">
        <v>23998</v>
      </c>
      <c r="B8908" s="3" t="s">
        <v>8078</v>
      </c>
      <c r="C8908" s="5" t="s">
        <v>45</v>
      </c>
      <c r="D8908" s="3" t="s">
        <v>221</v>
      </c>
      <c r="E8908" s="3" t="s">
        <v>322</v>
      </c>
      <c r="F8908" s="7">
        <v>45921.30487764767</v>
      </c>
      <c r="G8908" s="3" t="s">
        <v>23999</v>
      </c>
    </row>
    <row r="8909">
      <c r="A8909" s="3" t="s">
        <v>24000</v>
      </c>
      <c r="B8909" s="3" t="s">
        <v>8078</v>
      </c>
      <c r="C8909" s="5" t="s">
        <v>221</v>
      </c>
      <c r="D8909" s="3" t="s">
        <v>614</v>
      </c>
      <c r="E8909" s="3" t="s">
        <v>118</v>
      </c>
      <c r="F8909" s="7">
        <v>45921.30834986989</v>
      </c>
      <c r="G8909" s="3" t="s">
        <v>24001</v>
      </c>
    </row>
    <row r="8910">
      <c r="A8910" s="3" t="s">
        <v>24002</v>
      </c>
      <c r="B8910" s="3" t="s">
        <v>8078</v>
      </c>
      <c r="C8910" s="5" t="s">
        <v>614</v>
      </c>
      <c r="D8910" s="3" t="s">
        <v>206</v>
      </c>
      <c r="E8910" s="3" t="s">
        <v>100</v>
      </c>
      <c r="F8910" s="7">
        <v>45921.31182209212</v>
      </c>
      <c r="G8910" s="3" t="s">
        <v>24003</v>
      </c>
    </row>
    <row r="8911">
      <c r="A8911" s="3" t="s">
        <v>24004</v>
      </c>
      <c r="B8911" s="3" t="s">
        <v>8078</v>
      </c>
      <c r="C8911" s="5" t="s">
        <v>206</v>
      </c>
      <c r="D8911" s="3" t="s">
        <v>68</v>
      </c>
      <c r="E8911" s="3" t="s">
        <v>100</v>
      </c>
      <c r="F8911" s="7">
        <v>45921.315294314336</v>
      </c>
      <c r="G8911" s="3" t="s">
        <v>24005</v>
      </c>
    </row>
    <row r="8912">
      <c r="A8912" s="3" t="s">
        <v>24006</v>
      </c>
      <c r="B8912" s="3" t="s">
        <v>8081</v>
      </c>
      <c r="C8912" s="5" t="s">
        <v>45</v>
      </c>
      <c r="D8912" s="3" t="s">
        <v>221</v>
      </c>
      <c r="E8912" s="3" t="s">
        <v>406</v>
      </c>
      <c r="F8912" s="7">
        <v>45921.37605249309</v>
      </c>
      <c r="G8912" s="3" t="s">
        <v>6679</v>
      </c>
    </row>
    <row r="8913">
      <c r="A8913" s="3" t="s">
        <v>24007</v>
      </c>
      <c r="B8913" s="3" t="s">
        <v>8081</v>
      </c>
      <c r="C8913" s="5" t="s">
        <v>221</v>
      </c>
      <c r="D8913" s="3" t="s">
        <v>614</v>
      </c>
      <c r="E8913" s="3" t="s">
        <v>118</v>
      </c>
      <c r="F8913" s="7">
        <v>45921.37952471531</v>
      </c>
      <c r="G8913" s="3" t="s">
        <v>6681</v>
      </c>
    </row>
    <row r="8914">
      <c r="A8914" s="3" t="s">
        <v>24008</v>
      </c>
      <c r="B8914" s="3" t="s">
        <v>8081</v>
      </c>
      <c r="C8914" s="5" t="s">
        <v>614</v>
      </c>
      <c r="D8914" s="3" t="s">
        <v>206</v>
      </c>
      <c r="E8914" s="3" t="s">
        <v>100</v>
      </c>
      <c r="F8914" s="7">
        <v>45921.38299693754</v>
      </c>
      <c r="G8914" s="3" t="s">
        <v>6684</v>
      </c>
    </row>
    <row r="8915">
      <c r="A8915" s="3" t="s">
        <v>24009</v>
      </c>
      <c r="B8915" s="3" t="s">
        <v>8081</v>
      </c>
      <c r="C8915" s="5" t="s">
        <v>206</v>
      </c>
      <c r="D8915" s="3" t="s">
        <v>68</v>
      </c>
      <c r="E8915" s="3" t="s">
        <v>100</v>
      </c>
      <c r="F8915" s="7">
        <v>45921.386469159756</v>
      </c>
      <c r="G8915" s="3" t="s">
        <v>6687</v>
      </c>
    </row>
    <row r="8916">
      <c r="A8916" s="3" t="s">
        <v>24010</v>
      </c>
      <c r="B8916" s="3" t="s">
        <v>8084</v>
      </c>
      <c r="C8916" s="5" t="s">
        <v>45</v>
      </c>
      <c r="D8916" s="3" t="s">
        <v>221</v>
      </c>
      <c r="E8916" s="3" t="s">
        <v>488</v>
      </c>
      <c r="F8916" s="7">
        <v>45921.44722733851</v>
      </c>
      <c r="G8916" s="3" t="s">
        <v>6726</v>
      </c>
    </row>
    <row r="8917">
      <c r="A8917" s="3" t="s">
        <v>24011</v>
      </c>
      <c r="B8917" s="3" t="s">
        <v>8084</v>
      </c>
      <c r="C8917" s="5" t="s">
        <v>221</v>
      </c>
      <c r="D8917" s="3" t="s">
        <v>614</v>
      </c>
      <c r="E8917" s="3" t="s">
        <v>118</v>
      </c>
      <c r="F8917" s="7">
        <v>45921.45069956073</v>
      </c>
      <c r="G8917" s="3" t="s">
        <v>6729</v>
      </c>
    </row>
    <row r="8918">
      <c r="A8918" s="3" t="s">
        <v>24012</v>
      </c>
      <c r="B8918" s="3" t="s">
        <v>8084</v>
      </c>
      <c r="C8918" s="5" t="s">
        <v>614</v>
      </c>
      <c r="D8918" s="3" t="s">
        <v>206</v>
      </c>
      <c r="E8918" s="3" t="s">
        <v>100</v>
      </c>
      <c r="F8918" s="7">
        <v>45921.454171782956</v>
      </c>
      <c r="G8918" s="3" t="s">
        <v>6732</v>
      </c>
    </row>
    <row r="8919">
      <c r="A8919" s="3" t="s">
        <v>24013</v>
      </c>
      <c r="B8919" s="3" t="s">
        <v>8084</v>
      </c>
      <c r="C8919" s="5" t="s">
        <v>206</v>
      </c>
      <c r="D8919" s="3" t="s">
        <v>68</v>
      </c>
      <c r="E8919" s="3" t="s">
        <v>100</v>
      </c>
      <c r="F8919" s="7">
        <v>45921.457644005175</v>
      </c>
      <c r="G8919" s="3" t="s">
        <v>6735</v>
      </c>
    </row>
    <row r="8920">
      <c r="A8920" s="3" t="s">
        <v>24014</v>
      </c>
      <c r="B8920" s="3" t="s">
        <v>8087</v>
      </c>
      <c r="C8920" s="5" t="s">
        <v>45</v>
      </c>
      <c r="D8920" s="3" t="s">
        <v>221</v>
      </c>
      <c r="E8920" s="3" t="s">
        <v>485</v>
      </c>
      <c r="F8920" s="7">
        <v>45921.518402183916</v>
      </c>
      <c r="G8920" s="3" t="s">
        <v>6737</v>
      </c>
    </row>
    <row r="8921">
      <c r="A8921" s="3" t="s">
        <v>24015</v>
      </c>
      <c r="B8921" s="3" t="s">
        <v>8087</v>
      </c>
      <c r="C8921" s="5" t="s">
        <v>221</v>
      </c>
      <c r="D8921" s="3" t="s">
        <v>614</v>
      </c>
      <c r="E8921" s="3" t="s">
        <v>118</v>
      </c>
      <c r="F8921" s="7">
        <v>45921.521874406135</v>
      </c>
      <c r="G8921" s="3" t="s">
        <v>6740</v>
      </c>
    </row>
    <row r="8922">
      <c r="A8922" s="3" t="s">
        <v>24016</v>
      </c>
      <c r="B8922" s="3" t="s">
        <v>8087</v>
      </c>
      <c r="C8922" s="5" t="s">
        <v>614</v>
      </c>
      <c r="D8922" s="3" t="s">
        <v>206</v>
      </c>
      <c r="E8922" s="3" t="s">
        <v>100</v>
      </c>
      <c r="F8922" s="7">
        <v>45921.52534662836</v>
      </c>
      <c r="G8922" s="3" t="s">
        <v>6743</v>
      </c>
    </row>
    <row r="8923">
      <c r="A8923" s="3" t="s">
        <v>24017</v>
      </c>
      <c r="B8923" s="3" t="s">
        <v>8087</v>
      </c>
      <c r="C8923" s="5" t="s">
        <v>206</v>
      </c>
      <c r="D8923" s="3" t="s">
        <v>68</v>
      </c>
      <c r="E8923" s="3" t="s">
        <v>100</v>
      </c>
      <c r="F8923" s="7">
        <v>45921.52881885058</v>
      </c>
      <c r="G8923" s="3" t="s">
        <v>6746</v>
      </c>
    </row>
    <row r="8924">
      <c r="A8924" s="3" t="s">
        <v>24018</v>
      </c>
      <c r="B8924" s="3" t="s">
        <v>8090</v>
      </c>
      <c r="C8924" s="5" t="s">
        <v>45</v>
      </c>
      <c r="D8924" s="3" t="s">
        <v>221</v>
      </c>
      <c r="E8924" s="3" t="s">
        <v>197</v>
      </c>
      <c r="F8924" s="7">
        <v>45921.589577029335</v>
      </c>
      <c r="G8924" s="3" t="s">
        <v>5902</v>
      </c>
    </row>
    <row r="8925">
      <c r="A8925" s="3" t="s">
        <v>24019</v>
      </c>
      <c r="B8925" s="3" t="s">
        <v>8090</v>
      </c>
      <c r="C8925" s="5" t="s">
        <v>221</v>
      </c>
      <c r="D8925" s="3" t="s">
        <v>614</v>
      </c>
      <c r="E8925" s="3" t="s">
        <v>118</v>
      </c>
      <c r="F8925" s="7">
        <v>45921.593049251554</v>
      </c>
      <c r="G8925" s="3" t="s">
        <v>5906</v>
      </c>
    </row>
    <row r="8926">
      <c r="A8926" s="3" t="s">
        <v>24020</v>
      </c>
      <c r="B8926" s="3" t="s">
        <v>8090</v>
      </c>
      <c r="C8926" s="5" t="s">
        <v>614</v>
      </c>
      <c r="D8926" s="3" t="s">
        <v>206</v>
      </c>
      <c r="E8926" s="3" t="s">
        <v>100</v>
      </c>
      <c r="F8926" s="7">
        <v>45921.59652147378</v>
      </c>
      <c r="G8926" s="3" t="s">
        <v>5909</v>
      </c>
    </row>
    <row r="8927">
      <c r="A8927" s="3" t="s">
        <v>24021</v>
      </c>
      <c r="B8927" s="3" t="s">
        <v>8090</v>
      </c>
      <c r="C8927" s="5" t="s">
        <v>206</v>
      </c>
      <c r="D8927" s="3" t="s">
        <v>68</v>
      </c>
      <c r="E8927" s="3" t="s">
        <v>100</v>
      </c>
      <c r="F8927" s="7">
        <v>45921.599993696</v>
      </c>
      <c r="G8927" s="3" t="s">
        <v>5912</v>
      </c>
    </row>
    <row r="8928">
      <c r="A8928" s="3" t="s">
        <v>24022</v>
      </c>
      <c r="B8928" s="3" t="s">
        <v>8093</v>
      </c>
      <c r="C8928" s="5" t="s">
        <v>45</v>
      </c>
      <c r="D8928" s="3" t="s">
        <v>221</v>
      </c>
      <c r="E8928" s="3" t="s">
        <v>175</v>
      </c>
      <c r="F8928" s="7">
        <v>45921.660751874755</v>
      </c>
      <c r="G8928" s="3" t="s">
        <v>6761</v>
      </c>
    </row>
    <row r="8929">
      <c r="A8929" s="3" t="s">
        <v>24023</v>
      </c>
      <c r="B8929" s="3" t="s">
        <v>8093</v>
      </c>
      <c r="C8929" s="5" t="s">
        <v>221</v>
      </c>
      <c r="D8929" s="3" t="s">
        <v>614</v>
      </c>
      <c r="E8929" s="3" t="s">
        <v>118</v>
      </c>
      <c r="F8929" s="7">
        <v>45921.664224096974</v>
      </c>
      <c r="G8929" s="3" t="s">
        <v>6763</v>
      </c>
    </row>
    <row r="8930">
      <c r="A8930" s="3" t="s">
        <v>24024</v>
      </c>
      <c r="B8930" s="3" t="s">
        <v>8093</v>
      </c>
      <c r="C8930" s="5" t="s">
        <v>614</v>
      </c>
      <c r="D8930" s="3" t="s">
        <v>206</v>
      </c>
      <c r="E8930" s="3" t="s">
        <v>100</v>
      </c>
      <c r="F8930" s="7">
        <v>45921.6676963192</v>
      </c>
      <c r="G8930" s="3" t="s">
        <v>6766</v>
      </c>
    </row>
    <row r="8931">
      <c r="A8931" s="3" t="s">
        <v>24025</v>
      </c>
      <c r="B8931" s="3" t="s">
        <v>8093</v>
      </c>
      <c r="C8931" s="5" t="s">
        <v>206</v>
      </c>
      <c r="D8931" s="3" t="s">
        <v>68</v>
      </c>
      <c r="E8931" s="3" t="s">
        <v>100</v>
      </c>
      <c r="F8931" s="7">
        <v>45921.67116854142</v>
      </c>
      <c r="G8931" s="3" t="s">
        <v>6769</v>
      </c>
    </row>
    <row r="8932">
      <c r="A8932" s="3" t="s">
        <v>24026</v>
      </c>
      <c r="B8932" s="3" t="s">
        <v>8096</v>
      </c>
      <c r="C8932" s="5" t="s">
        <v>45</v>
      </c>
      <c r="D8932" s="3" t="s">
        <v>221</v>
      </c>
      <c r="E8932" s="3" t="s">
        <v>491</v>
      </c>
      <c r="F8932" s="7">
        <v>45921.73192672017</v>
      </c>
      <c r="G8932" s="3" t="s">
        <v>24027</v>
      </c>
    </row>
    <row r="8933">
      <c r="A8933" s="3" t="s">
        <v>24028</v>
      </c>
      <c r="B8933" s="3" t="s">
        <v>8096</v>
      </c>
      <c r="C8933" s="5" t="s">
        <v>221</v>
      </c>
      <c r="D8933" s="3" t="s">
        <v>614</v>
      </c>
      <c r="E8933" s="3" t="s">
        <v>118</v>
      </c>
      <c r="F8933" s="7">
        <v>45921.73539894239</v>
      </c>
      <c r="G8933" s="3" t="s">
        <v>24029</v>
      </c>
    </row>
    <row r="8934">
      <c r="A8934" s="3" t="s">
        <v>24030</v>
      </c>
      <c r="B8934" s="3" t="s">
        <v>8096</v>
      </c>
      <c r="C8934" s="5" t="s">
        <v>614</v>
      </c>
      <c r="D8934" s="3" t="s">
        <v>206</v>
      </c>
      <c r="E8934" s="3" t="s">
        <v>100</v>
      </c>
      <c r="F8934" s="7">
        <v>45921.73887116461</v>
      </c>
      <c r="G8934" s="3" t="s">
        <v>24031</v>
      </c>
    </row>
    <row r="8935">
      <c r="A8935" s="3" t="s">
        <v>24032</v>
      </c>
      <c r="B8935" s="3" t="s">
        <v>8096</v>
      </c>
      <c r="C8935" s="5" t="s">
        <v>206</v>
      </c>
      <c r="D8935" s="3" t="s">
        <v>68</v>
      </c>
      <c r="E8935" s="3" t="s">
        <v>100</v>
      </c>
      <c r="F8935" s="7">
        <v>45921.74234338683</v>
      </c>
      <c r="G8935" s="3" t="s">
        <v>24033</v>
      </c>
    </row>
    <row r="8936">
      <c r="A8936" s="3" t="s">
        <v>24034</v>
      </c>
      <c r="B8936" s="3" t="s">
        <v>8100</v>
      </c>
      <c r="C8936" s="5" t="s">
        <v>45</v>
      </c>
      <c r="D8936" s="3" t="s">
        <v>221</v>
      </c>
      <c r="E8936" s="3" t="s">
        <v>685</v>
      </c>
      <c r="F8936" s="7">
        <v>45921.80310156558</v>
      </c>
      <c r="G8936" s="3" t="s">
        <v>7435</v>
      </c>
    </row>
    <row r="8937">
      <c r="A8937" s="3" t="s">
        <v>24035</v>
      </c>
      <c r="B8937" s="3" t="s">
        <v>8100</v>
      </c>
      <c r="C8937" s="5" t="s">
        <v>221</v>
      </c>
      <c r="D8937" s="3" t="s">
        <v>614</v>
      </c>
      <c r="E8937" s="3" t="s">
        <v>118</v>
      </c>
      <c r="F8937" s="7">
        <v>45921.8065737878</v>
      </c>
      <c r="G8937" s="3" t="s">
        <v>7438</v>
      </c>
    </row>
    <row r="8938">
      <c r="A8938" s="3" t="s">
        <v>24036</v>
      </c>
      <c r="B8938" s="3" t="s">
        <v>8100</v>
      </c>
      <c r="C8938" s="5" t="s">
        <v>614</v>
      </c>
      <c r="D8938" s="3" t="s">
        <v>206</v>
      </c>
      <c r="E8938" s="3" t="s">
        <v>100</v>
      </c>
      <c r="F8938" s="7">
        <v>45921.810046010025</v>
      </c>
      <c r="G8938" s="3" t="s">
        <v>7441</v>
      </c>
    </row>
    <row r="8939">
      <c r="A8939" s="3" t="s">
        <v>24037</v>
      </c>
      <c r="B8939" s="3" t="s">
        <v>8100</v>
      </c>
      <c r="C8939" s="5" t="s">
        <v>206</v>
      </c>
      <c r="D8939" s="3" t="s">
        <v>68</v>
      </c>
      <c r="E8939" s="3" t="s">
        <v>100</v>
      </c>
      <c r="F8939" s="7">
        <v>45921.813518232244</v>
      </c>
      <c r="G8939" s="3" t="s">
        <v>7444</v>
      </c>
    </row>
    <row r="8940">
      <c r="A8940" s="3" t="s">
        <v>24038</v>
      </c>
      <c r="B8940" s="3" t="s">
        <v>8103</v>
      </c>
      <c r="C8940" s="5" t="s">
        <v>45</v>
      </c>
      <c r="D8940" s="3" t="s">
        <v>221</v>
      </c>
      <c r="E8940" s="3" t="s">
        <v>533</v>
      </c>
      <c r="F8940" s="7">
        <v>45921.874276411</v>
      </c>
      <c r="G8940" s="3" t="s">
        <v>6772</v>
      </c>
    </row>
    <row r="8941">
      <c r="A8941" s="3" t="s">
        <v>24039</v>
      </c>
      <c r="B8941" s="3" t="s">
        <v>8103</v>
      </c>
      <c r="C8941" s="5" t="s">
        <v>221</v>
      </c>
      <c r="D8941" s="3" t="s">
        <v>614</v>
      </c>
      <c r="E8941" s="3" t="s">
        <v>118</v>
      </c>
      <c r="F8941" s="7">
        <v>45921.87774863322</v>
      </c>
      <c r="G8941" s="3" t="s">
        <v>6775</v>
      </c>
    </row>
    <row r="8942">
      <c r="A8942" s="3" t="s">
        <v>24040</v>
      </c>
      <c r="B8942" s="3" t="s">
        <v>8103</v>
      </c>
      <c r="C8942" s="5" t="s">
        <v>614</v>
      </c>
      <c r="D8942" s="3" t="s">
        <v>206</v>
      </c>
      <c r="E8942" s="3" t="s">
        <v>100</v>
      </c>
      <c r="F8942" s="7">
        <v>45921.881220855445</v>
      </c>
      <c r="G8942" s="3" t="s">
        <v>6778</v>
      </c>
    </row>
    <row r="8943">
      <c r="A8943" s="3" t="s">
        <v>24041</v>
      </c>
      <c r="B8943" s="3" t="s">
        <v>8103</v>
      </c>
      <c r="C8943" s="5" t="s">
        <v>206</v>
      </c>
      <c r="D8943" s="3" t="s">
        <v>68</v>
      </c>
      <c r="E8943" s="3" t="s">
        <v>100</v>
      </c>
      <c r="F8943" s="7">
        <v>45921.88469307766</v>
      </c>
      <c r="G8943" s="3" t="s">
        <v>6780</v>
      </c>
    </row>
    <row r="8944">
      <c r="A8944" s="3" t="s">
        <v>24042</v>
      </c>
      <c r="B8944" s="3" t="s">
        <v>8107</v>
      </c>
      <c r="C8944" s="5" t="s">
        <v>45</v>
      </c>
      <c r="D8944" s="3" t="s">
        <v>221</v>
      </c>
      <c r="E8944" s="3" t="s">
        <v>266</v>
      </c>
      <c r="F8944" s="7">
        <v>45921.94545125641</v>
      </c>
      <c r="G8944" s="3" t="s">
        <v>6845</v>
      </c>
    </row>
    <row r="8945">
      <c r="A8945" s="3" t="s">
        <v>24043</v>
      </c>
      <c r="B8945" s="3" t="s">
        <v>8107</v>
      </c>
      <c r="C8945" s="5" t="s">
        <v>221</v>
      </c>
      <c r="D8945" s="3" t="s">
        <v>614</v>
      </c>
      <c r="E8945" s="3" t="s">
        <v>118</v>
      </c>
      <c r="F8945" s="7">
        <v>45921.94892347863</v>
      </c>
      <c r="G8945" s="3" t="s">
        <v>6848</v>
      </c>
    </row>
    <row r="8946">
      <c r="A8946" s="3" t="s">
        <v>24044</v>
      </c>
      <c r="B8946" s="3" t="s">
        <v>8107</v>
      </c>
      <c r="C8946" s="5" t="s">
        <v>614</v>
      </c>
      <c r="D8946" s="3" t="s">
        <v>206</v>
      </c>
      <c r="E8946" s="3" t="s">
        <v>100</v>
      </c>
      <c r="F8946" s="7">
        <v>45921.95239570086</v>
      </c>
      <c r="G8946" s="3" t="s">
        <v>6851</v>
      </c>
    </row>
    <row r="8947">
      <c r="A8947" s="3" t="s">
        <v>24045</v>
      </c>
      <c r="B8947" s="3" t="s">
        <v>8107</v>
      </c>
      <c r="C8947" s="5" t="s">
        <v>206</v>
      </c>
      <c r="D8947" s="3" t="s">
        <v>68</v>
      </c>
      <c r="E8947" s="3" t="s">
        <v>100</v>
      </c>
      <c r="F8947" s="7">
        <v>45921.955867923076</v>
      </c>
      <c r="G8947" s="3" t="s">
        <v>6854</v>
      </c>
    </row>
    <row r="8948">
      <c r="A8948" s="3" t="s">
        <v>24046</v>
      </c>
      <c r="B8948" s="3" t="s">
        <v>8110</v>
      </c>
      <c r="C8948" s="5" t="s">
        <v>45</v>
      </c>
      <c r="D8948" s="3" t="s">
        <v>221</v>
      </c>
      <c r="E8948" s="3" t="s">
        <v>622</v>
      </c>
      <c r="F8948" s="7">
        <v>45922.016626101824</v>
      </c>
      <c r="G8948" s="3" t="s">
        <v>6815</v>
      </c>
    </row>
    <row r="8949">
      <c r="A8949" s="3" t="s">
        <v>24047</v>
      </c>
      <c r="B8949" s="3" t="s">
        <v>8110</v>
      </c>
      <c r="C8949" s="5" t="s">
        <v>221</v>
      </c>
      <c r="D8949" s="3" t="s">
        <v>614</v>
      </c>
      <c r="E8949" s="3" t="s">
        <v>118</v>
      </c>
      <c r="F8949" s="7">
        <v>45922.02009832404</v>
      </c>
      <c r="G8949" s="3" t="s">
        <v>6818</v>
      </c>
    </row>
    <row r="8950">
      <c r="A8950" s="3" t="s">
        <v>24048</v>
      </c>
      <c r="B8950" s="3" t="s">
        <v>8110</v>
      </c>
      <c r="C8950" s="5" t="s">
        <v>614</v>
      </c>
      <c r="D8950" s="3" t="s">
        <v>206</v>
      </c>
      <c r="E8950" s="3" t="s">
        <v>100</v>
      </c>
      <c r="F8950" s="7">
        <v>45922.02357054627</v>
      </c>
      <c r="G8950" s="3" t="s">
        <v>6821</v>
      </c>
    </row>
    <row r="8951">
      <c r="A8951" s="3" t="s">
        <v>24049</v>
      </c>
      <c r="B8951" s="3" t="s">
        <v>8110</v>
      </c>
      <c r="C8951" s="5" t="s">
        <v>206</v>
      </c>
      <c r="D8951" s="3" t="s">
        <v>68</v>
      </c>
      <c r="E8951" s="3" t="s">
        <v>100</v>
      </c>
      <c r="F8951" s="7">
        <v>45922.02704276849</v>
      </c>
      <c r="G8951" s="3" t="s">
        <v>6824</v>
      </c>
    </row>
    <row r="8952">
      <c r="A8952" s="3" t="s">
        <v>24050</v>
      </c>
      <c r="B8952" s="3" t="s">
        <v>8113</v>
      </c>
      <c r="C8952" s="5" t="s">
        <v>45</v>
      </c>
      <c r="D8952" s="3" t="s">
        <v>221</v>
      </c>
      <c r="E8952" s="3" t="s">
        <v>1026</v>
      </c>
      <c r="F8952" s="7">
        <v>45922.08780094724</v>
      </c>
      <c r="G8952" s="3" t="s">
        <v>24051</v>
      </c>
    </row>
    <row r="8953">
      <c r="A8953" s="3" t="s">
        <v>24052</v>
      </c>
      <c r="B8953" s="3" t="s">
        <v>8113</v>
      </c>
      <c r="C8953" s="5" t="s">
        <v>221</v>
      </c>
      <c r="D8953" s="3" t="s">
        <v>181</v>
      </c>
      <c r="E8953" s="3" t="s">
        <v>118</v>
      </c>
      <c r="F8953" s="7">
        <v>45922.09127316946</v>
      </c>
      <c r="G8953" s="3" t="s">
        <v>24053</v>
      </c>
    </row>
    <row r="8954">
      <c r="A8954" s="3" t="s">
        <v>24054</v>
      </c>
      <c r="B8954" s="3" t="s">
        <v>8116</v>
      </c>
      <c r="C8954" s="5" t="s">
        <v>45</v>
      </c>
      <c r="D8954" s="3" t="s">
        <v>221</v>
      </c>
      <c r="E8954" s="3" t="s">
        <v>864</v>
      </c>
      <c r="F8954" s="7">
        <v>45922.15897579266</v>
      </c>
      <c r="G8954" s="3" t="s">
        <v>24055</v>
      </c>
    </row>
    <row r="8955">
      <c r="A8955" s="3" t="s">
        <v>24056</v>
      </c>
      <c r="B8955" s="3" t="s">
        <v>8116</v>
      </c>
      <c r="C8955" s="5" t="s">
        <v>221</v>
      </c>
      <c r="D8955" s="3" t="s">
        <v>614</v>
      </c>
      <c r="E8955" s="3" t="s">
        <v>118</v>
      </c>
      <c r="F8955" s="7">
        <v>45922.16244801488</v>
      </c>
      <c r="G8955" s="3" t="s">
        <v>24057</v>
      </c>
    </row>
    <row r="8956">
      <c r="A8956" s="3" t="s">
        <v>24058</v>
      </c>
      <c r="B8956" s="3" t="s">
        <v>8116</v>
      </c>
      <c r="C8956" s="5" t="s">
        <v>614</v>
      </c>
      <c r="D8956" s="3" t="s">
        <v>206</v>
      </c>
      <c r="E8956" s="3" t="s">
        <v>100</v>
      </c>
      <c r="F8956" s="7">
        <v>45922.16592023711</v>
      </c>
      <c r="G8956" s="3" t="s">
        <v>24059</v>
      </c>
    </row>
    <row r="8957">
      <c r="A8957" s="3" t="s">
        <v>24060</v>
      </c>
      <c r="B8957" s="3" t="s">
        <v>8116</v>
      </c>
      <c r="C8957" s="5" t="s">
        <v>206</v>
      </c>
      <c r="D8957" s="3" t="s">
        <v>68</v>
      </c>
      <c r="E8957" s="3" t="s">
        <v>100</v>
      </c>
      <c r="F8957" s="7">
        <v>45922.16939245933</v>
      </c>
      <c r="G8957" s="3" t="s">
        <v>24061</v>
      </c>
    </row>
    <row r="8958">
      <c r="A8958" s="3" t="s">
        <v>24062</v>
      </c>
      <c r="B8958" s="3" t="s">
        <v>8119</v>
      </c>
      <c r="C8958" s="5" t="s">
        <v>45</v>
      </c>
      <c r="D8958" s="3" t="s">
        <v>221</v>
      </c>
      <c r="E8958" s="3" t="s">
        <v>515</v>
      </c>
      <c r="F8958" s="7">
        <v>45922.23015063807</v>
      </c>
      <c r="G8958" s="3" t="s">
        <v>6868</v>
      </c>
    </row>
    <row r="8959">
      <c r="A8959" s="3" t="s">
        <v>24063</v>
      </c>
      <c r="B8959" s="3" t="s">
        <v>8119</v>
      </c>
      <c r="C8959" s="5" t="s">
        <v>221</v>
      </c>
      <c r="D8959" s="3" t="s">
        <v>614</v>
      </c>
      <c r="E8959" s="3" t="s">
        <v>118</v>
      </c>
      <c r="F8959" s="7">
        <v>45922.23362286029</v>
      </c>
      <c r="G8959" s="3" t="s">
        <v>6871</v>
      </c>
    </row>
    <row r="8960">
      <c r="A8960" s="3" t="s">
        <v>24064</v>
      </c>
      <c r="B8960" s="3" t="s">
        <v>8119</v>
      </c>
      <c r="C8960" s="5" t="s">
        <v>614</v>
      </c>
      <c r="D8960" s="3" t="s">
        <v>206</v>
      </c>
      <c r="E8960" s="3" t="s">
        <v>100</v>
      </c>
      <c r="F8960" s="7">
        <v>45922.23709508251</v>
      </c>
      <c r="G8960" s="3" t="s">
        <v>6874</v>
      </c>
    </row>
    <row r="8961">
      <c r="A8961" s="3" t="s">
        <v>24065</v>
      </c>
      <c r="B8961" s="3" t="s">
        <v>8119</v>
      </c>
      <c r="C8961" s="5" t="s">
        <v>206</v>
      </c>
      <c r="D8961" s="3" t="s">
        <v>68</v>
      </c>
      <c r="E8961" s="3" t="s">
        <v>100</v>
      </c>
      <c r="F8961" s="7">
        <v>45922.24056730473</v>
      </c>
      <c r="G8961" s="3" t="s">
        <v>6877</v>
      </c>
    </row>
    <row r="8962">
      <c r="A8962" s="3" t="s">
        <v>24066</v>
      </c>
      <c r="B8962" s="3" t="s">
        <v>8122</v>
      </c>
      <c r="C8962" s="5" t="s">
        <v>45</v>
      </c>
      <c r="D8962" s="3" t="s">
        <v>221</v>
      </c>
      <c r="E8962" s="3" t="s">
        <v>822</v>
      </c>
      <c r="F8962" s="7">
        <v>45922.30132548349</v>
      </c>
      <c r="G8962" s="3" t="s">
        <v>16043</v>
      </c>
    </row>
    <row r="8963">
      <c r="A8963" s="3" t="s">
        <v>24067</v>
      </c>
      <c r="B8963" s="3" t="s">
        <v>8122</v>
      </c>
      <c r="C8963" s="5" t="s">
        <v>221</v>
      </c>
      <c r="D8963" s="3" t="s">
        <v>614</v>
      </c>
      <c r="E8963" s="3" t="s">
        <v>118</v>
      </c>
      <c r="F8963" s="7">
        <v>45922.30479770571</v>
      </c>
      <c r="G8963" s="3" t="s">
        <v>16046</v>
      </c>
    </row>
    <row r="8964">
      <c r="A8964" s="3" t="s">
        <v>24068</v>
      </c>
      <c r="B8964" s="3" t="s">
        <v>8122</v>
      </c>
      <c r="C8964" s="5" t="s">
        <v>614</v>
      </c>
      <c r="D8964" s="3" t="s">
        <v>206</v>
      </c>
      <c r="E8964" s="3" t="s">
        <v>100</v>
      </c>
      <c r="F8964" s="7">
        <v>45922.30826992793</v>
      </c>
      <c r="G8964" s="3" t="s">
        <v>16049</v>
      </c>
    </row>
    <row r="8965">
      <c r="A8965" s="3" t="s">
        <v>24069</v>
      </c>
      <c r="B8965" s="3" t="s">
        <v>8122</v>
      </c>
      <c r="C8965" s="5" t="s">
        <v>206</v>
      </c>
      <c r="D8965" s="3" t="s">
        <v>68</v>
      </c>
      <c r="E8965" s="3" t="s">
        <v>100</v>
      </c>
      <c r="F8965" s="7">
        <v>45922.31174215015</v>
      </c>
      <c r="G8965" s="3" t="s">
        <v>16052</v>
      </c>
    </row>
    <row r="8966">
      <c r="A8966" s="3" t="s">
        <v>24070</v>
      </c>
      <c r="B8966" s="3" t="s">
        <v>8126</v>
      </c>
      <c r="C8966" s="5" t="s">
        <v>45</v>
      </c>
      <c r="D8966" s="3" t="s">
        <v>221</v>
      </c>
      <c r="E8966" s="3" t="s">
        <v>512</v>
      </c>
      <c r="F8966" s="7">
        <v>45922.3725003289</v>
      </c>
      <c r="G8966" s="3" t="s">
        <v>6374</v>
      </c>
    </row>
    <row r="8967">
      <c r="A8967" s="3" t="s">
        <v>24071</v>
      </c>
      <c r="B8967" s="3" t="s">
        <v>8126</v>
      </c>
      <c r="C8967" s="5" t="s">
        <v>221</v>
      </c>
      <c r="D8967" s="3" t="s">
        <v>614</v>
      </c>
      <c r="E8967" s="3" t="s">
        <v>118</v>
      </c>
      <c r="F8967" s="7">
        <v>45922.37597255112</v>
      </c>
      <c r="G8967" s="3" t="s">
        <v>6456</v>
      </c>
    </row>
    <row r="8968">
      <c r="A8968" s="3" t="s">
        <v>24072</v>
      </c>
      <c r="B8968" s="3" t="s">
        <v>8126</v>
      </c>
      <c r="C8968" s="5" t="s">
        <v>614</v>
      </c>
      <c r="D8968" s="3" t="s">
        <v>206</v>
      </c>
      <c r="E8968" s="3" t="s">
        <v>100</v>
      </c>
      <c r="F8968" s="7">
        <v>45922.379444773345</v>
      </c>
      <c r="G8968" s="3" t="s">
        <v>6458</v>
      </c>
    </row>
    <row r="8969">
      <c r="A8969" s="3" t="s">
        <v>24073</v>
      </c>
      <c r="B8969" s="3" t="s">
        <v>8126</v>
      </c>
      <c r="C8969" s="5" t="s">
        <v>206</v>
      </c>
      <c r="D8969" s="3" t="s">
        <v>68</v>
      </c>
      <c r="E8969" s="3" t="s">
        <v>100</v>
      </c>
      <c r="F8969" s="7">
        <v>45922.382916995564</v>
      </c>
      <c r="G8969" s="3" t="s">
        <v>6461</v>
      </c>
    </row>
    <row r="8970">
      <c r="A8970" s="3" t="s">
        <v>24074</v>
      </c>
      <c r="B8970" s="3" t="s">
        <v>8129</v>
      </c>
      <c r="C8970" s="5" t="s">
        <v>45</v>
      </c>
      <c r="D8970" s="3" t="s">
        <v>221</v>
      </c>
      <c r="E8970" s="3" t="s">
        <v>622</v>
      </c>
      <c r="F8970" s="7">
        <v>45922.44367517432</v>
      </c>
      <c r="G8970" s="3" t="s">
        <v>24075</v>
      </c>
    </row>
    <row r="8971">
      <c r="A8971" s="3" t="s">
        <v>24076</v>
      </c>
      <c r="B8971" s="3" t="s">
        <v>8129</v>
      </c>
      <c r="C8971" s="5" t="s">
        <v>221</v>
      </c>
      <c r="D8971" s="3" t="s">
        <v>614</v>
      </c>
      <c r="E8971" s="3" t="s">
        <v>118</v>
      </c>
      <c r="F8971" s="7">
        <v>45922.44714739654</v>
      </c>
      <c r="G8971" s="3" t="s">
        <v>24077</v>
      </c>
    </row>
    <row r="8972">
      <c r="A8972" s="3" t="s">
        <v>24078</v>
      </c>
      <c r="B8972" s="3" t="s">
        <v>8129</v>
      </c>
      <c r="C8972" s="5" t="s">
        <v>614</v>
      </c>
      <c r="D8972" s="3" t="s">
        <v>206</v>
      </c>
      <c r="E8972" s="3" t="s">
        <v>100</v>
      </c>
      <c r="F8972" s="7">
        <v>45922.450619618765</v>
      </c>
      <c r="G8972" s="3" t="s">
        <v>24079</v>
      </c>
    </row>
    <row r="8973">
      <c r="A8973" s="3" t="s">
        <v>24080</v>
      </c>
      <c r="B8973" s="3" t="s">
        <v>8129</v>
      </c>
      <c r="C8973" s="5" t="s">
        <v>206</v>
      </c>
      <c r="D8973" s="3" t="s">
        <v>68</v>
      </c>
      <c r="E8973" s="3" t="s">
        <v>100</v>
      </c>
      <c r="F8973" s="7">
        <v>45922.454091840984</v>
      </c>
      <c r="G8973" s="3" t="s">
        <v>24081</v>
      </c>
    </row>
    <row r="8974">
      <c r="A8974" s="3" t="s">
        <v>24082</v>
      </c>
      <c r="B8974" s="3" t="s">
        <v>8131</v>
      </c>
      <c r="C8974" s="5" t="s">
        <v>45</v>
      </c>
      <c r="D8974" s="3" t="s">
        <v>221</v>
      </c>
      <c r="E8974" s="3" t="s">
        <v>400</v>
      </c>
      <c r="F8974" s="7">
        <v>45922.51485001973</v>
      </c>
      <c r="G8974" s="3" t="s">
        <v>12422</v>
      </c>
    </row>
    <row r="8975">
      <c r="A8975" s="3" t="s">
        <v>24083</v>
      </c>
      <c r="B8975" s="3" t="s">
        <v>8131</v>
      </c>
      <c r="C8975" s="5" t="s">
        <v>221</v>
      </c>
      <c r="D8975" s="3" t="s">
        <v>195</v>
      </c>
      <c r="E8975" s="3" t="s">
        <v>400</v>
      </c>
      <c r="F8975" s="7">
        <v>45922.51832224195</v>
      </c>
      <c r="G8975" s="3" t="s">
        <v>24084</v>
      </c>
    </row>
    <row r="8976">
      <c r="A8976" s="3" t="s">
        <v>24085</v>
      </c>
      <c r="B8976" s="3" t="s">
        <v>8133</v>
      </c>
      <c r="C8976" s="5" t="s">
        <v>45</v>
      </c>
      <c r="D8976" s="3" t="s">
        <v>221</v>
      </c>
      <c r="E8976" s="3" t="s">
        <v>535</v>
      </c>
      <c r="F8976" s="7">
        <v>45922.58602486515</v>
      </c>
      <c r="G8976" s="3" t="s">
        <v>15209</v>
      </c>
    </row>
    <row r="8977">
      <c r="A8977" s="3" t="s">
        <v>24086</v>
      </c>
      <c r="B8977" s="3" t="s">
        <v>8133</v>
      </c>
      <c r="C8977" s="5" t="s">
        <v>221</v>
      </c>
      <c r="D8977" s="3" t="s">
        <v>614</v>
      </c>
      <c r="E8977" s="3" t="s">
        <v>118</v>
      </c>
      <c r="F8977" s="7">
        <v>45922.58949708737</v>
      </c>
      <c r="G8977" s="3" t="s">
        <v>15212</v>
      </c>
    </row>
    <row r="8978">
      <c r="A8978" s="3" t="s">
        <v>24087</v>
      </c>
      <c r="B8978" s="3" t="s">
        <v>8133</v>
      </c>
      <c r="C8978" s="5" t="s">
        <v>614</v>
      </c>
      <c r="D8978" s="3" t="s">
        <v>206</v>
      </c>
      <c r="E8978" s="3" t="s">
        <v>100</v>
      </c>
      <c r="F8978" s="7">
        <v>45922.5929693096</v>
      </c>
      <c r="G8978" s="3" t="s">
        <v>15215</v>
      </c>
    </row>
    <row r="8979">
      <c r="A8979" s="3" t="s">
        <v>24088</v>
      </c>
      <c r="B8979" s="3" t="s">
        <v>8133</v>
      </c>
      <c r="C8979" s="5" t="s">
        <v>206</v>
      </c>
      <c r="D8979" s="3" t="s">
        <v>68</v>
      </c>
      <c r="E8979" s="3" t="s">
        <v>100</v>
      </c>
      <c r="F8979" s="7">
        <v>45922.596441531816</v>
      </c>
      <c r="G8979" s="3" t="s">
        <v>15218</v>
      </c>
    </row>
    <row r="8980">
      <c r="A8980" s="3" t="s">
        <v>24089</v>
      </c>
      <c r="B8980" s="3" t="s">
        <v>8135</v>
      </c>
      <c r="C8980" s="5" t="s">
        <v>45</v>
      </c>
      <c r="D8980" s="3" t="s">
        <v>221</v>
      </c>
      <c r="E8980" s="3" t="s">
        <v>565</v>
      </c>
      <c r="F8980" s="7">
        <v>45922.65719971056</v>
      </c>
      <c r="G8980" s="3" t="s">
        <v>11756</v>
      </c>
    </row>
    <row r="8981">
      <c r="A8981" s="3" t="s">
        <v>24090</v>
      </c>
      <c r="B8981" s="3" t="s">
        <v>8135</v>
      </c>
      <c r="C8981" s="5" t="s">
        <v>221</v>
      </c>
      <c r="D8981" s="3" t="s">
        <v>614</v>
      </c>
      <c r="E8981" s="3" t="s">
        <v>118</v>
      </c>
      <c r="F8981" s="7">
        <v>45922.660671932776</v>
      </c>
      <c r="G8981" s="3" t="s">
        <v>11759</v>
      </c>
    </row>
    <row r="8982">
      <c r="A8982" s="3" t="s">
        <v>24091</v>
      </c>
      <c r="B8982" s="3" t="s">
        <v>8135</v>
      </c>
      <c r="C8982" s="5" t="s">
        <v>614</v>
      </c>
      <c r="D8982" s="3" t="s">
        <v>206</v>
      </c>
      <c r="E8982" s="3" t="s">
        <v>100</v>
      </c>
      <c r="F8982" s="7">
        <v>45922.664144155</v>
      </c>
      <c r="G8982" s="3" t="s">
        <v>11762</v>
      </c>
    </row>
    <row r="8983">
      <c r="A8983" s="3" t="s">
        <v>24092</v>
      </c>
      <c r="B8983" s="3" t="s">
        <v>8135</v>
      </c>
      <c r="C8983" s="5" t="s">
        <v>206</v>
      </c>
      <c r="D8983" s="3" t="s">
        <v>68</v>
      </c>
      <c r="E8983" s="3" t="s">
        <v>100</v>
      </c>
      <c r="F8983" s="7">
        <v>45922.66761637722</v>
      </c>
      <c r="G8983" s="3" t="s">
        <v>11765</v>
      </c>
    </row>
    <row r="8984">
      <c r="A8984" s="3" t="s">
        <v>24093</v>
      </c>
      <c r="B8984" s="3" t="s">
        <v>8137</v>
      </c>
      <c r="C8984" s="5" t="s">
        <v>45</v>
      </c>
      <c r="D8984" s="3" t="s">
        <v>221</v>
      </c>
      <c r="E8984" s="3" t="s">
        <v>424</v>
      </c>
      <c r="F8984" s="7">
        <v>45922.728374555976</v>
      </c>
      <c r="G8984" s="3" t="s">
        <v>6905</v>
      </c>
    </row>
    <row r="8985">
      <c r="A8985" s="3" t="s">
        <v>24094</v>
      </c>
      <c r="B8985" s="3" t="s">
        <v>8137</v>
      </c>
      <c r="C8985" s="5" t="s">
        <v>221</v>
      </c>
      <c r="D8985" s="3" t="s">
        <v>614</v>
      </c>
      <c r="E8985" s="3" t="s">
        <v>118</v>
      </c>
      <c r="F8985" s="7">
        <v>45922.731846778195</v>
      </c>
      <c r="G8985" s="3" t="s">
        <v>6908</v>
      </c>
    </row>
    <row r="8986">
      <c r="A8986" s="3" t="s">
        <v>24095</v>
      </c>
      <c r="B8986" s="3" t="s">
        <v>8137</v>
      </c>
      <c r="C8986" s="5" t="s">
        <v>614</v>
      </c>
      <c r="D8986" s="3" t="s">
        <v>206</v>
      </c>
      <c r="E8986" s="3" t="s">
        <v>100</v>
      </c>
      <c r="F8986" s="7">
        <v>45922.73531900042</v>
      </c>
      <c r="G8986" s="3" t="s">
        <v>6911</v>
      </c>
    </row>
    <row r="8987">
      <c r="A8987" s="3" t="s">
        <v>24096</v>
      </c>
      <c r="B8987" s="3" t="s">
        <v>8137</v>
      </c>
      <c r="C8987" s="5" t="s">
        <v>206</v>
      </c>
      <c r="D8987" s="3" t="s">
        <v>68</v>
      </c>
      <c r="E8987" s="3" t="s">
        <v>100</v>
      </c>
      <c r="F8987" s="7">
        <v>45922.73879122264</v>
      </c>
      <c r="G8987" s="3" t="s">
        <v>6914</v>
      </c>
    </row>
    <row r="8988">
      <c r="A8988" s="3" t="s">
        <v>24097</v>
      </c>
      <c r="B8988" s="3" t="s">
        <v>8141</v>
      </c>
      <c r="C8988" s="5" t="s">
        <v>45</v>
      </c>
      <c r="D8988" s="3" t="s">
        <v>221</v>
      </c>
      <c r="E8988" s="3" t="s">
        <v>713</v>
      </c>
      <c r="F8988" s="7">
        <v>45922.799549401396</v>
      </c>
      <c r="G8988" s="3" t="s">
        <v>9616</v>
      </c>
    </row>
    <row r="8989">
      <c r="A8989" s="3" t="s">
        <v>24098</v>
      </c>
      <c r="B8989" s="3" t="s">
        <v>8141</v>
      </c>
      <c r="C8989" s="5" t="s">
        <v>221</v>
      </c>
      <c r="D8989" s="3" t="s">
        <v>614</v>
      </c>
      <c r="E8989" s="3" t="s">
        <v>118</v>
      </c>
      <c r="F8989" s="7">
        <v>45922.803021623615</v>
      </c>
      <c r="G8989" s="3" t="s">
        <v>9619</v>
      </c>
    </row>
    <row r="8990">
      <c r="A8990" s="3" t="s">
        <v>24099</v>
      </c>
      <c r="B8990" s="3" t="s">
        <v>8141</v>
      </c>
      <c r="C8990" s="5" t="s">
        <v>614</v>
      </c>
      <c r="D8990" s="3" t="s">
        <v>206</v>
      </c>
      <c r="E8990" s="3" t="s">
        <v>100</v>
      </c>
      <c r="F8990" s="7">
        <v>45922.80649384584</v>
      </c>
      <c r="G8990" s="3" t="s">
        <v>9622</v>
      </c>
    </row>
    <row r="8991">
      <c r="A8991" s="3" t="s">
        <v>24100</v>
      </c>
      <c r="B8991" s="3" t="s">
        <v>8141</v>
      </c>
      <c r="C8991" s="5" t="s">
        <v>206</v>
      </c>
      <c r="D8991" s="3" t="s">
        <v>68</v>
      </c>
      <c r="E8991" s="3" t="s">
        <v>100</v>
      </c>
      <c r="F8991" s="7">
        <v>45922.80996606806</v>
      </c>
      <c r="G8991" s="3" t="s">
        <v>9625</v>
      </c>
    </row>
    <row r="8992">
      <c r="A8992" s="3" t="s">
        <v>24101</v>
      </c>
      <c r="B8992" s="3" t="s">
        <v>8144</v>
      </c>
      <c r="C8992" s="5" t="s">
        <v>45</v>
      </c>
      <c r="D8992" s="3" t="s">
        <v>221</v>
      </c>
      <c r="E8992" s="3" t="s">
        <v>352</v>
      </c>
      <c r="F8992" s="7">
        <v>45922.87072424681</v>
      </c>
      <c r="G8992" s="3" t="s">
        <v>8734</v>
      </c>
    </row>
    <row r="8993">
      <c r="A8993" s="3" t="s">
        <v>24102</v>
      </c>
      <c r="B8993" s="3" t="s">
        <v>8144</v>
      </c>
      <c r="C8993" s="5" t="s">
        <v>221</v>
      </c>
      <c r="D8993" s="3" t="s">
        <v>614</v>
      </c>
      <c r="E8993" s="3" t="s">
        <v>118</v>
      </c>
      <c r="F8993" s="7">
        <v>45922.87419646903</v>
      </c>
      <c r="G8993" s="3" t="s">
        <v>8737</v>
      </c>
    </row>
    <row r="8994">
      <c r="A8994" s="3" t="s">
        <v>24103</v>
      </c>
      <c r="B8994" s="3" t="s">
        <v>8144</v>
      </c>
      <c r="C8994" s="5" t="s">
        <v>614</v>
      </c>
      <c r="D8994" s="3" t="s">
        <v>206</v>
      </c>
      <c r="E8994" s="3" t="s">
        <v>100</v>
      </c>
      <c r="F8994" s="7">
        <v>45922.87766869125</v>
      </c>
      <c r="G8994" s="3" t="s">
        <v>8740</v>
      </c>
    </row>
    <row r="8995">
      <c r="A8995" s="3" t="s">
        <v>24104</v>
      </c>
      <c r="B8995" s="3" t="s">
        <v>8144</v>
      </c>
      <c r="C8995" s="5" t="s">
        <v>206</v>
      </c>
      <c r="D8995" s="3" t="s">
        <v>68</v>
      </c>
      <c r="E8995" s="3" t="s">
        <v>100</v>
      </c>
      <c r="F8995" s="7">
        <v>45922.88114091347</v>
      </c>
      <c r="G8995" s="3" t="s">
        <v>8743</v>
      </c>
    </row>
    <row r="8996">
      <c r="A8996" s="3" t="s">
        <v>24105</v>
      </c>
      <c r="B8996" s="3" t="s">
        <v>8147</v>
      </c>
      <c r="C8996" s="5" t="s">
        <v>45</v>
      </c>
      <c r="D8996" s="3" t="s">
        <v>221</v>
      </c>
      <c r="E8996" s="3" t="s">
        <v>287</v>
      </c>
      <c r="F8996" s="7">
        <v>45922.94189909222</v>
      </c>
      <c r="G8996" s="3" t="s">
        <v>21948</v>
      </c>
    </row>
    <row r="8997">
      <c r="A8997" s="3" t="s">
        <v>24106</v>
      </c>
      <c r="B8997" s="3" t="s">
        <v>8147</v>
      </c>
      <c r="C8997" s="5" t="s">
        <v>221</v>
      </c>
      <c r="D8997" s="3" t="s">
        <v>614</v>
      </c>
      <c r="E8997" s="3" t="s">
        <v>118</v>
      </c>
      <c r="F8997" s="7">
        <v>45922.94537131444</v>
      </c>
      <c r="G8997" s="3" t="s">
        <v>21951</v>
      </c>
    </row>
    <row r="8998">
      <c r="A8998" s="3" t="s">
        <v>24107</v>
      </c>
      <c r="B8998" s="3" t="s">
        <v>8147</v>
      </c>
      <c r="C8998" s="5" t="s">
        <v>614</v>
      </c>
      <c r="D8998" s="3" t="s">
        <v>206</v>
      </c>
      <c r="E8998" s="3" t="s">
        <v>100</v>
      </c>
      <c r="F8998" s="7">
        <v>45922.948843536666</v>
      </c>
      <c r="G8998" s="3" t="s">
        <v>21954</v>
      </c>
    </row>
    <row r="8999">
      <c r="A8999" s="3" t="s">
        <v>24108</v>
      </c>
      <c r="B8999" s="3" t="s">
        <v>8147</v>
      </c>
      <c r="C8999" s="5" t="s">
        <v>206</v>
      </c>
      <c r="D8999" s="3" t="s">
        <v>68</v>
      </c>
      <c r="E8999" s="3" t="s">
        <v>100</v>
      </c>
      <c r="F8999" s="7">
        <v>45922.952315758885</v>
      </c>
      <c r="G8999" s="3" t="s">
        <v>21956</v>
      </c>
    </row>
    <row r="9000">
      <c r="A9000" s="3" t="s">
        <v>24109</v>
      </c>
      <c r="B9000" s="3" t="s">
        <v>8150</v>
      </c>
      <c r="C9000" s="5" t="s">
        <v>45</v>
      </c>
      <c r="D9000" s="3" t="s">
        <v>221</v>
      </c>
      <c r="E9000" s="3" t="s">
        <v>419</v>
      </c>
      <c r="F9000" s="7">
        <v>45923.01307393764</v>
      </c>
      <c r="G9000" s="3" t="s">
        <v>6942</v>
      </c>
    </row>
    <row r="9001">
      <c r="A9001" s="3" t="s">
        <v>24110</v>
      </c>
      <c r="B9001" s="3" t="s">
        <v>8150</v>
      </c>
      <c r="C9001" s="5" t="s">
        <v>221</v>
      </c>
      <c r="D9001" s="3" t="s">
        <v>614</v>
      </c>
      <c r="E9001" s="3" t="s">
        <v>118</v>
      </c>
      <c r="F9001" s="7">
        <v>45923.01654615986</v>
      </c>
      <c r="G9001" s="3" t="s">
        <v>6945</v>
      </c>
    </row>
    <row r="9002">
      <c r="A9002" s="3" t="s">
        <v>24111</v>
      </c>
      <c r="B9002" s="3" t="s">
        <v>8150</v>
      </c>
      <c r="C9002" s="5" t="s">
        <v>614</v>
      </c>
      <c r="D9002" s="3" t="s">
        <v>206</v>
      </c>
      <c r="E9002" s="3" t="s">
        <v>100</v>
      </c>
      <c r="F9002" s="7">
        <v>45923.020018382085</v>
      </c>
      <c r="G9002" s="3" t="s">
        <v>6948</v>
      </c>
    </row>
    <row r="9003">
      <c r="A9003" s="3" t="s">
        <v>24112</v>
      </c>
      <c r="B9003" s="3" t="s">
        <v>8150</v>
      </c>
      <c r="C9003" s="5" t="s">
        <v>206</v>
      </c>
      <c r="D9003" s="3" t="s">
        <v>68</v>
      </c>
      <c r="E9003" s="3" t="s">
        <v>100</v>
      </c>
      <c r="F9003" s="7">
        <v>45923.023490604304</v>
      </c>
      <c r="G9003" s="3" t="s">
        <v>6951</v>
      </c>
    </row>
    <row r="9004">
      <c r="A9004" s="3" t="s">
        <v>24113</v>
      </c>
      <c r="B9004" s="3" t="s">
        <v>8153</v>
      </c>
      <c r="C9004" s="5" t="s">
        <v>45</v>
      </c>
      <c r="D9004" s="3" t="s">
        <v>221</v>
      </c>
      <c r="E9004" s="3" t="s">
        <v>678</v>
      </c>
      <c r="F9004" s="7">
        <v>45923.08424878305</v>
      </c>
      <c r="G9004" s="3" t="s">
        <v>9343</v>
      </c>
    </row>
    <row r="9005">
      <c r="A9005" s="3" t="s">
        <v>24114</v>
      </c>
      <c r="B9005" s="3" t="s">
        <v>8153</v>
      </c>
      <c r="C9005" s="5" t="s">
        <v>221</v>
      </c>
      <c r="D9005" s="3" t="s">
        <v>195</v>
      </c>
      <c r="E9005" s="3" t="s">
        <v>678</v>
      </c>
      <c r="F9005" s="7">
        <v>45923.08772100527</v>
      </c>
      <c r="G9005" s="3" t="s">
        <v>24115</v>
      </c>
    </row>
    <row r="9006">
      <c r="A9006" s="3" t="s">
        <v>24116</v>
      </c>
      <c r="B9006" s="3" t="s">
        <v>8156</v>
      </c>
      <c r="C9006" s="5" t="s">
        <v>45</v>
      </c>
      <c r="D9006" s="3" t="s">
        <v>221</v>
      </c>
      <c r="E9006" s="3" t="s">
        <v>512</v>
      </c>
      <c r="F9006" s="7">
        <v>45923.155423628465</v>
      </c>
      <c r="G9006" s="3" t="s">
        <v>6954</v>
      </c>
    </row>
    <row r="9007">
      <c r="A9007" s="3" t="s">
        <v>24117</v>
      </c>
      <c r="B9007" s="3" t="s">
        <v>8156</v>
      </c>
      <c r="C9007" s="5" t="s">
        <v>221</v>
      </c>
      <c r="D9007" s="3" t="s">
        <v>614</v>
      </c>
      <c r="E9007" s="3" t="s">
        <v>118</v>
      </c>
      <c r="F9007" s="7">
        <v>45923.15889585068</v>
      </c>
      <c r="G9007" s="3" t="s">
        <v>6957</v>
      </c>
    </row>
    <row r="9008">
      <c r="A9008" s="3" t="s">
        <v>24118</v>
      </c>
      <c r="B9008" s="3" t="s">
        <v>8156</v>
      </c>
      <c r="C9008" s="5" t="s">
        <v>614</v>
      </c>
      <c r="D9008" s="3" t="s">
        <v>206</v>
      </c>
      <c r="E9008" s="3" t="s">
        <v>100</v>
      </c>
      <c r="F9008" s="7">
        <v>45923.16236807291</v>
      </c>
      <c r="G9008" s="3" t="s">
        <v>6959</v>
      </c>
    </row>
    <row r="9009">
      <c r="A9009" s="3" t="s">
        <v>24119</v>
      </c>
      <c r="B9009" s="3" t="s">
        <v>8156</v>
      </c>
      <c r="C9009" s="5" t="s">
        <v>206</v>
      </c>
      <c r="D9009" s="3" t="s">
        <v>68</v>
      </c>
      <c r="E9009" s="3" t="s">
        <v>100</v>
      </c>
      <c r="F9009" s="7">
        <v>45923.16584029513</v>
      </c>
      <c r="G9009" s="3" t="s">
        <v>6962</v>
      </c>
    </row>
    <row r="9010">
      <c r="A9010" s="3" t="s">
        <v>24120</v>
      </c>
      <c r="B9010" s="3" t="s">
        <v>8159</v>
      </c>
      <c r="C9010" s="5" t="s">
        <v>45</v>
      </c>
      <c r="D9010" s="3" t="s">
        <v>221</v>
      </c>
      <c r="E9010" s="3" t="s">
        <v>1028</v>
      </c>
      <c r="F9010" s="7">
        <v>45923.226598473884</v>
      </c>
      <c r="G9010" s="3" t="s">
        <v>19906</v>
      </c>
    </row>
    <row r="9011">
      <c r="A9011" s="3" t="s">
        <v>24121</v>
      </c>
      <c r="B9011" s="3" t="s">
        <v>8159</v>
      </c>
      <c r="C9011" s="5" t="s">
        <v>221</v>
      </c>
      <c r="D9011" s="3" t="s">
        <v>614</v>
      </c>
      <c r="E9011" s="3" t="s">
        <v>118</v>
      </c>
      <c r="F9011" s="7">
        <v>45923.2300706961</v>
      </c>
      <c r="G9011" s="3" t="s">
        <v>19908</v>
      </c>
    </row>
    <row r="9012">
      <c r="A9012" s="3" t="s">
        <v>24122</v>
      </c>
      <c r="B9012" s="3" t="s">
        <v>8159</v>
      </c>
      <c r="C9012" s="5" t="s">
        <v>614</v>
      </c>
      <c r="D9012" s="3" t="s">
        <v>206</v>
      </c>
      <c r="E9012" s="3" t="s">
        <v>100</v>
      </c>
      <c r="F9012" s="7">
        <v>45923.23354291833</v>
      </c>
      <c r="G9012" s="3" t="s">
        <v>19911</v>
      </c>
    </row>
    <row r="9013">
      <c r="A9013" s="3" t="s">
        <v>24123</v>
      </c>
      <c r="B9013" s="3" t="s">
        <v>8159</v>
      </c>
      <c r="C9013" s="5" t="s">
        <v>206</v>
      </c>
      <c r="D9013" s="3" t="s">
        <v>68</v>
      </c>
      <c r="E9013" s="3" t="s">
        <v>100</v>
      </c>
      <c r="F9013" s="7">
        <v>45923.23701514055</v>
      </c>
      <c r="G9013" s="3" t="s">
        <v>19914</v>
      </c>
    </row>
    <row r="9014">
      <c r="A9014" s="3" t="s">
        <v>24124</v>
      </c>
      <c r="B9014" s="3" t="s">
        <v>8163</v>
      </c>
      <c r="C9014" s="5" t="s">
        <v>45</v>
      </c>
      <c r="D9014" s="3" t="s">
        <v>221</v>
      </c>
      <c r="E9014" s="3" t="s">
        <v>243</v>
      </c>
      <c r="F9014" s="7">
        <v>45923.297773319304</v>
      </c>
      <c r="G9014" s="3" t="s">
        <v>20708</v>
      </c>
    </row>
    <row r="9015">
      <c r="A9015" s="3" t="s">
        <v>24125</v>
      </c>
      <c r="B9015" s="3" t="s">
        <v>8163</v>
      </c>
      <c r="C9015" s="5" t="s">
        <v>221</v>
      </c>
      <c r="D9015" s="3" t="s">
        <v>614</v>
      </c>
      <c r="E9015" s="3" t="s">
        <v>118</v>
      </c>
      <c r="F9015" s="7">
        <v>45923.30124554152</v>
      </c>
      <c r="G9015" s="3" t="s">
        <v>20711</v>
      </c>
    </row>
    <row r="9016">
      <c r="A9016" s="3" t="s">
        <v>24126</v>
      </c>
      <c r="B9016" s="3" t="s">
        <v>8163</v>
      </c>
      <c r="C9016" s="5" t="s">
        <v>614</v>
      </c>
      <c r="D9016" s="3" t="s">
        <v>206</v>
      </c>
      <c r="E9016" s="3" t="s">
        <v>100</v>
      </c>
      <c r="F9016" s="7">
        <v>45923.30471776375</v>
      </c>
      <c r="G9016" s="3" t="s">
        <v>20714</v>
      </c>
    </row>
    <row r="9017">
      <c r="A9017" s="3" t="s">
        <v>24127</v>
      </c>
      <c r="B9017" s="3" t="s">
        <v>8163</v>
      </c>
      <c r="C9017" s="5" t="s">
        <v>206</v>
      </c>
      <c r="D9017" s="3" t="s">
        <v>68</v>
      </c>
      <c r="E9017" s="3" t="s">
        <v>100</v>
      </c>
      <c r="F9017" s="7">
        <v>45923.30818998597</v>
      </c>
      <c r="G9017" s="3" t="s">
        <v>20717</v>
      </c>
    </row>
    <row r="9018">
      <c r="A9018" s="3" t="s">
        <v>24128</v>
      </c>
      <c r="B9018" s="3" t="s">
        <v>8165</v>
      </c>
      <c r="C9018" s="5" t="s">
        <v>45</v>
      </c>
      <c r="D9018" s="3" t="s">
        <v>221</v>
      </c>
      <c r="E9018" s="3" t="s">
        <v>943</v>
      </c>
      <c r="F9018" s="7">
        <v>45923.36894816471</v>
      </c>
      <c r="G9018" s="3" t="s">
        <v>7044</v>
      </c>
    </row>
    <row r="9019">
      <c r="A9019" s="3" t="s">
        <v>24129</v>
      </c>
      <c r="B9019" s="3" t="s">
        <v>8165</v>
      </c>
      <c r="C9019" s="5" t="s">
        <v>221</v>
      </c>
      <c r="D9019" s="3" t="s">
        <v>614</v>
      </c>
      <c r="E9019" s="3" t="s">
        <v>118</v>
      </c>
      <c r="F9019" s="7">
        <v>45923.37242038693</v>
      </c>
      <c r="G9019" s="3" t="s">
        <v>7047</v>
      </c>
    </row>
    <row r="9020">
      <c r="A9020" s="3" t="s">
        <v>24130</v>
      </c>
      <c r="B9020" s="3" t="s">
        <v>8165</v>
      </c>
      <c r="C9020" s="5" t="s">
        <v>614</v>
      </c>
      <c r="D9020" s="3" t="s">
        <v>206</v>
      </c>
      <c r="E9020" s="3" t="s">
        <v>100</v>
      </c>
      <c r="F9020" s="7">
        <v>45923.375892609154</v>
      </c>
      <c r="G9020" s="3" t="s">
        <v>7050</v>
      </c>
    </row>
    <row r="9021">
      <c r="A9021" s="3" t="s">
        <v>24131</v>
      </c>
      <c r="B9021" s="3" t="s">
        <v>8165</v>
      </c>
      <c r="C9021" s="5" t="s">
        <v>206</v>
      </c>
      <c r="D9021" s="3" t="s">
        <v>68</v>
      </c>
      <c r="E9021" s="3" t="s">
        <v>100</v>
      </c>
      <c r="F9021" s="7">
        <v>45923.37936483137</v>
      </c>
      <c r="G9021" s="3" t="s">
        <v>7053</v>
      </c>
    </row>
    <row r="9022">
      <c r="A9022" s="3" t="s">
        <v>24132</v>
      </c>
      <c r="B9022" s="3" t="s">
        <v>8167</v>
      </c>
      <c r="C9022" s="5" t="s">
        <v>45</v>
      </c>
      <c r="D9022" s="3" t="s">
        <v>221</v>
      </c>
      <c r="E9022" s="3" t="s">
        <v>731</v>
      </c>
      <c r="F9022" s="7">
        <v>45923.44012301013</v>
      </c>
      <c r="G9022" s="3" t="s">
        <v>2770</v>
      </c>
    </row>
    <row r="9023">
      <c r="A9023" s="3" t="s">
        <v>24133</v>
      </c>
      <c r="B9023" s="3" t="s">
        <v>8167</v>
      </c>
      <c r="C9023" s="5" t="s">
        <v>221</v>
      </c>
      <c r="D9023" s="3" t="s">
        <v>181</v>
      </c>
      <c r="E9023" s="3" t="s">
        <v>118</v>
      </c>
      <c r="F9023" s="7">
        <v>45923.44359523235</v>
      </c>
      <c r="G9023" s="3" t="s">
        <v>2774</v>
      </c>
    </row>
    <row r="9024">
      <c r="A9024" s="3" t="s">
        <v>24134</v>
      </c>
      <c r="B9024" s="3" t="s">
        <v>8170</v>
      </c>
      <c r="C9024" s="5" t="s">
        <v>45</v>
      </c>
      <c r="D9024" s="3" t="s">
        <v>221</v>
      </c>
      <c r="E9024" s="3" t="s">
        <v>316</v>
      </c>
      <c r="F9024" s="7">
        <v>45923.51129785555</v>
      </c>
      <c r="G9024" s="3" t="s">
        <v>12238</v>
      </c>
    </row>
    <row r="9025">
      <c r="A9025" s="3" t="s">
        <v>24135</v>
      </c>
      <c r="B9025" s="3" t="s">
        <v>8170</v>
      </c>
      <c r="C9025" s="5" t="s">
        <v>221</v>
      </c>
      <c r="D9025" s="3" t="s">
        <v>614</v>
      </c>
      <c r="E9025" s="3" t="s">
        <v>118</v>
      </c>
      <c r="F9025" s="7">
        <v>45923.51477007777</v>
      </c>
      <c r="G9025" s="3" t="s">
        <v>12242</v>
      </c>
    </row>
    <row r="9026">
      <c r="A9026" s="3" t="s">
        <v>24136</v>
      </c>
      <c r="B9026" s="3" t="s">
        <v>8170</v>
      </c>
      <c r="C9026" s="5" t="s">
        <v>614</v>
      </c>
      <c r="D9026" s="3" t="s">
        <v>206</v>
      </c>
      <c r="E9026" s="3" t="s">
        <v>100</v>
      </c>
      <c r="F9026" s="7">
        <v>45923.51824229999</v>
      </c>
      <c r="G9026" s="3" t="s">
        <v>12245</v>
      </c>
    </row>
    <row r="9027">
      <c r="A9027" s="3" t="s">
        <v>24137</v>
      </c>
      <c r="B9027" s="3" t="s">
        <v>8170</v>
      </c>
      <c r="C9027" s="5" t="s">
        <v>206</v>
      </c>
      <c r="D9027" s="3" t="s">
        <v>68</v>
      </c>
      <c r="E9027" s="3" t="s">
        <v>100</v>
      </c>
      <c r="F9027" s="7">
        <v>45923.52171452221</v>
      </c>
      <c r="G9027" s="3" t="s">
        <v>12248</v>
      </c>
    </row>
    <row r="9028">
      <c r="A9028" s="3" t="s">
        <v>24138</v>
      </c>
      <c r="B9028" s="3" t="s">
        <v>8174</v>
      </c>
      <c r="C9028" s="5" t="s">
        <v>45</v>
      </c>
      <c r="D9028" s="3" t="s">
        <v>221</v>
      </c>
      <c r="E9028" s="3" t="s">
        <v>446</v>
      </c>
      <c r="F9028" s="7">
        <v>45923.58247270096</v>
      </c>
      <c r="G9028" s="3" t="s">
        <v>14549</v>
      </c>
    </row>
    <row r="9029">
      <c r="A9029" s="3" t="s">
        <v>24139</v>
      </c>
      <c r="B9029" s="3" t="s">
        <v>8174</v>
      </c>
      <c r="C9029" s="5" t="s">
        <v>221</v>
      </c>
      <c r="D9029" s="3" t="s">
        <v>614</v>
      </c>
      <c r="E9029" s="3" t="s">
        <v>118</v>
      </c>
      <c r="F9029" s="7">
        <v>45923.58594492318</v>
      </c>
      <c r="G9029" s="3" t="s">
        <v>14552</v>
      </c>
    </row>
    <row r="9030">
      <c r="A9030" s="3" t="s">
        <v>24140</v>
      </c>
      <c r="B9030" s="3" t="s">
        <v>8174</v>
      </c>
      <c r="C9030" s="5" t="s">
        <v>614</v>
      </c>
      <c r="D9030" s="3" t="s">
        <v>206</v>
      </c>
      <c r="E9030" s="3" t="s">
        <v>100</v>
      </c>
      <c r="F9030" s="7">
        <v>45923.589417145406</v>
      </c>
      <c r="G9030" s="3" t="s">
        <v>14555</v>
      </c>
    </row>
    <row r="9031">
      <c r="A9031" s="3" t="s">
        <v>24141</v>
      </c>
      <c r="B9031" s="3" t="s">
        <v>8174</v>
      </c>
      <c r="C9031" s="5" t="s">
        <v>206</v>
      </c>
      <c r="D9031" s="3" t="s">
        <v>68</v>
      </c>
      <c r="E9031" s="3" t="s">
        <v>100</v>
      </c>
      <c r="F9031" s="7">
        <v>45923.592889367625</v>
      </c>
      <c r="G9031" s="3" t="s">
        <v>14558</v>
      </c>
    </row>
    <row r="9032">
      <c r="A9032" s="3" t="s">
        <v>24142</v>
      </c>
      <c r="B9032" s="3" t="s">
        <v>8177</v>
      </c>
      <c r="C9032" s="5" t="s">
        <v>45</v>
      </c>
      <c r="D9032" s="3" t="s">
        <v>221</v>
      </c>
      <c r="E9032" s="3" t="s">
        <v>224</v>
      </c>
      <c r="F9032" s="7">
        <v>45923.65364754637</v>
      </c>
      <c r="G9032" s="3" t="s">
        <v>10003</v>
      </c>
    </row>
    <row r="9033">
      <c r="A9033" s="3" t="s">
        <v>24143</v>
      </c>
      <c r="B9033" s="3" t="s">
        <v>8177</v>
      </c>
      <c r="C9033" s="5" t="s">
        <v>221</v>
      </c>
      <c r="D9033" s="3" t="s">
        <v>614</v>
      </c>
      <c r="E9033" s="3" t="s">
        <v>118</v>
      </c>
      <c r="F9033" s="7">
        <v>45923.65711976859</v>
      </c>
      <c r="G9033" s="3" t="s">
        <v>10007</v>
      </c>
    </row>
    <row r="9034">
      <c r="A9034" s="3" t="s">
        <v>24144</v>
      </c>
      <c r="B9034" s="3" t="s">
        <v>8177</v>
      </c>
      <c r="C9034" s="5" t="s">
        <v>614</v>
      </c>
      <c r="D9034" s="3" t="s">
        <v>206</v>
      </c>
      <c r="E9034" s="3" t="s">
        <v>100</v>
      </c>
      <c r="F9034" s="7">
        <v>45923.66059199082</v>
      </c>
      <c r="G9034" s="3" t="s">
        <v>10010</v>
      </c>
    </row>
    <row r="9035">
      <c r="A9035" s="3" t="s">
        <v>24145</v>
      </c>
      <c r="B9035" s="3" t="s">
        <v>8177</v>
      </c>
      <c r="C9035" s="5" t="s">
        <v>206</v>
      </c>
      <c r="D9035" s="3" t="s">
        <v>68</v>
      </c>
      <c r="E9035" s="3" t="s">
        <v>100</v>
      </c>
      <c r="F9035" s="7">
        <v>45923.66406421304</v>
      </c>
      <c r="G9035" s="3" t="s">
        <v>10013</v>
      </c>
    </row>
    <row r="9036">
      <c r="A9036" s="3" t="s">
        <v>24146</v>
      </c>
      <c r="B9036" s="3" t="s">
        <v>8180</v>
      </c>
      <c r="C9036" s="5" t="s">
        <v>45</v>
      </c>
      <c r="D9036" s="3" t="s">
        <v>221</v>
      </c>
      <c r="E9036" s="3" t="s">
        <v>554</v>
      </c>
      <c r="F9036" s="7">
        <v>45923.72482239179</v>
      </c>
      <c r="G9036" s="3" t="s">
        <v>24147</v>
      </c>
    </row>
    <row r="9037">
      <c r="A9037" s="3" t="s">
        <v>24148</v>
      </c>
      <c r="B9037" s="3" t="s">
        <v>8180</v>
      </c>
      <c r="C9037" s="5" t="s">
        <v>221</v>
      </c>
      <c r="D9037" s="3" t="s">
        <v>614</v>
      </c>
      <c r="E9037" s="3" t="s">
        <v>118</v>
      </c>
      <c r="F9037" s="7">
        <v>45923.72829461401</v>
      </c>
      <c r="G9037" s="3" t="s">
        <v>24149</v>
      </c>
    </row>
    <row r="9038">
      <c r="A9038" s="3" t="s">
        <v>24150</v>
      </c>
      <c r="B9038" s="3" t="s">
        <v>8180</v>
      </c>
      <c r="C9038" s="5" t="s">
        <v>614</v>
      </c>
      <c r="D9038" s="3" t="s">
        <v>206</v>
      </c>
      <c r="E9038" s="3" t="s">
        <v>100</v>
      </c>
      <c r="F9038" s="7">
        <v>45923.73176683624</v>
      </c>
      <c r="G9038" s="3" t="s">
        <v>24151</v>
      </c>
    </row>
    <row r="9039">
      <c r="A9039" s="3" t="s">
        <v>24152</v>
      </c>
      <c r="B9039" s="3" t="s">
        <v>8180</v>
      </c>
      <c r="C9039" s="5" t="s">
        <v>206</v>
      </c>
      <c r="D9039" s="3" t="s">
        <v>68</v>
      </c>
      <c r="E9039" s="3" t="s">
        <v>100</v>
      </c>
      <c r="F9039" s="7">
        <v>45923.73523905846</v>
      </c>
      <c r="G9039" s="3" t="s">
        <v>24153</v>
      </c>
    </row>
    <row r="9040">
      <c r="A9040" s="3" t="s">
        <v>24154</v>
      </c>
      <c r="B9040" s="3" t="s">
        <v>8183</v>
      </c>
      <c r="C9040" s="5" t="s">
        <v>45</v>
      </c>
      <c r="D9040" s="3" t="s">
        <v>221</v>
      </c>
      <c r="E9040" s="3" t="s">
        <v>943</v>
      </c>
      <c r="F9040" s="7">
        <v>45923.795997237205</v>
      </c>
      <c r="G9040" s="3" t="s">
        <v>9408</v>
      </c>
    </row>
    <row r="9041">
      <c r="A9041" s="3" t="s">
        <v>24155</v>
      </c>
      <c r="B9041" s="3" t="s">
        <v>8183</v>
      </c>
      <c r="C9041" s="5" t="s">
        <v>221</v>
      </c>
      <c r="D9041" s="3" t="s">
        <v>614</v>
      </c>
      <c r="E9041" s="3" t="s">
        <v>118</v>
      </c>
      <c r="F9041" s="7">
        <v>45923.79946945942</v>
      </c>
      <c r="G9041" s="3" t="s">
        <v>9411</v>
      </c>
    </row>
    <row r="9042">
      <c r="A9042" s="3" t="s">
        <v>24156</v>
      </c>
      <c r="B9042" s="3" t="s">
        <v>8183</v>
      </c>
      <c r="C9042" s="5" t="s">
        <v>614</v>
      </c>
      <c r="D9042" s="3" t="s">
        <v>206</v>
      </c>
      <c r="E9042" s="3" t="s">
        <v>100</v>
      </c>
      <c r="F9042" s="7">
        <v>45923.80294168165</v>
      </c>
      <c r="G9042" s="3" t="s">
        <v>9414</v>
      </c>
    </row>
    <row r="9043">
      <c r="A9043" s="3" t="s">
        <v>24157</v>
      </c>
      <c r="B9043" s="3" t="s">
        <v>8183</v>
      </c>
      <c r="C9043" s="5" t="s">
        <v>206</v>
      </c>
      <c r="D9043" s="3" t="s">
        <v>68</v>
      </c>
      <c r="E9043" s="3" t="s">
        <v>100</v>
      </c>
      <c r="F9043" s="7">
        <v>45923.80641390387</v>
      </c>
      <c r="G9043" s="3" t="s">
        <v>9417</v>
      </c>
    </row>
    <row r="9044">
      <c r="A9044" s="3" t="s">
        <v>24158</v>
      </c>
      <c r="B9044" s="3" t="s">
        <v>8186</v>
      </c>
      <c r="C9044" s="5" t="s">
        <v>45</v>
      </c>
      <c r="D9044" s="3" t="s">
        <v>221</v>
      </c>
      <c r="E9044" s="3" t="s">
        <v>455</v>
      </c>
      <c r="F9044" s="7">
        <v>45923.86717208262</v>
      </c>
      <c r="G9044" s="3" t="s">
        <v>11235</v>
      </c>
    </row>
    <row r="9045">
      <c r="A9045" s="3" t="s">
        <v>24159</v>
      </c>
      <c r="B9045" s="3" t="s">
        <v>8186</v>
      </c>
      <c r="C9045" s="5" t="s">
        <v>221</v>
      </c>
      <c r="D9045" s="3" t="s">
        <v>195</v>
      </c>
      <c r="E9045" s="3" t="s">
        <v>455</v>
      </c>
      <c r="F9045" s="7">
        <v>45923.870644304836</v>
      </c>
      <c r="G9045" s="3" t="s">
        <v>14968</v>
      </c>
    </row>
    <row r="9046">
      <c r="A9046" s="3" t="s">
        <v>24160</v>
      </c>
      <c r="B9046" s="3" t="s">
        <v>8189</v>
      </c>
      <c r="C9046" s="5" t="s">
        <v>45</v>
      </c>
      <c r="D9046" s="3" t="s">
        <v>221</v>
      </c>
      <c r="E9046" s="3" t="s">
        <v>1034</v>
      </c>
      <c r="F9046" s="7">
        <v>45923.93834692804</v>
      </c>
      <c r="G9046" s="3" t="s">
        <v>7075</v>
      </c>
    </row>
    <row r="9047">
      <c r="A9047" s="3" t="s">
        <v>24161</v>
      </c>
      <c r="B9047" s="3" t="s">
        <v>8189</v>
      </c>
      <c r="C9047" s="5" t="s">
        <v>221</v>
      </c>
      <c r="D9047" s="3" t="s">
        <v>614</v>
      </c>
      <c r="E9047" s="3" t="s">
        <v>118</v>
      </c>
      <c r="F9047" s="7">
        <v>45923.941819150255</v>
      </c>
      <c r="G9047" s="3" t="s">
        <v>7078</v>
      </c>
    </row>
    <row r="9048">
      <c r="A9048" s="3" t="s">
        <v>24162</v>
      </c>
      <c r="B9048" s="3" t="s">
        <v>8189</v>
      </c>
      <c r="C9048" s="5" t="s">
        <v>614</v>
      </c>
      <c r="D9048" s="3" t="s">
        <v>206</v>
      </c>
      <c r="E9048" s="3" t="s">
        <v>100</v>
      </c>
      <c r="F9048" s="7">
        <v>45923.94529137248</v>
      </c>
      <c r="G9048" s="3" t="s">
        <v>7081</v>
      </c>
    </row>
    <row r="9049">
      <c r="A9049" s="3" t="s">
        <v>24163</v>
      </c>
      <c r="B9049" s="3" t="s">
        <v>8189</v>
      </c>
      <c r="C9049" s="5" t="s">
        <v>206</v>
      </c>
      <c r="D9049" s="3" t="s">
        <v>68</v>
      </c>
      <c r="E9049" s="3" t="s">
        <v>100</v>
      </c>
      <c r="F9049" s="7">
        <v>45923.9487635947</v>
      </c>
      <c r="G9049" s="3" t="s">
        <v>7084</v>
      </c>
    </row>
    <row r="9050">
      <c r="A9050" s="3" t="s">
        <v>24164</v>
      </c>
      <c r="B9050" s="3" t="s">
        <v>8192</v>
      </c>
      <c r="C9050" s="5" t="s">
        <v>45</v>
      </c>
      <c r="D9050" s="3" t="s">
        <v>221</v>
      </c>
      <c r="E9050" s="3" t="s">
        <v>533</v>
      </c>
      <c r="F9050" s="7">
        <v>45924.00952177345</v>
      </c>
      <c r="G9050" s="3" t="s">
        <v>24165</v>
      </c>
    </row>
    <row r="9051">
      <c r="A9051" s="3" t="s">
        <v>24166</v>
      </c>
      <c r="B9051" s="3" t="s">
        <v>8192</v>
      </c>
      <c r="C9051" s="5" t="s">
        <v>221</v>
      </c>
      <c r="D9051" s="3" t="s">
        <v>614</v>
      </c>
      <c r="E9051" s="3" t="s">
        <v>118</v>
      </c>
      <c r="F9051" s="7">
        <v>45924.01299399567</v>
      </c>
      <c r="G9051" s="3" t="s">
        <v>24167</v>
      </c>
    </row>
    <row r="9052">
      <c r="A9052" s="3" t="s">
        <v>24168</v>
      </c>
      <c r="B9052" s="3" t="s">
        <v>8192</v>
      </c>
      <c r="C9052" s="5" t="s">
        <v>614</v>
      </c>
      <c r="D9052" s="3" t="s">
        <v>206</v>
      </c>
      <c r="E9052" s="3" t="s">
        <v>100</v>
      </c>
      <c r="F9052" s="7">
        <v>45924.016466217894</v>
      </c>
      <c r="G9052" s="3" t="s">
        <v>24169</v>
      </c>
    </row>
    <row r="9053">
      <c r="A9053" s="3" t="s">
        <v>24170</v>
      </c>
      <c r="B9053" s="3" t="s">
        <v>8192</v>
      </c>
      <c r="C9053" s="5" t="s">
        <v>206</v>
      </c>
      <c r="D9053" s="3" t="s">
        <v>68</v>
      </c>
      <c r="E9053" s="3" t="s">
        <v>100</v>
      </c>
      <c r="F9053" s="7">
        <v>45924.01993844011</v>
      </c>
      <c r="G9053" s="3" t="s">
        <v>24171</v>
      </c>
    </row>
    <row r="9054">
      <c r="A9054" s="3" t="s">
        <v>24172</v>
      </c>
      <c r="B9054" s="3" t="s">
        <v>8195</v>
      </c>
      <c r="C9054" s="5" t="s">
        <v>45</v>
      </c>
      <c r="D9054" s="3" t="s">
        <v>221</v>
      </c>
      <c r="E9054" s="3" t="s">
        <v>250</v>
      </c>
      <c r="F9054" s="7">
        <v>45924.08069661886</v>
      </c>
      <c r="G9054" s="3" t="s">
        <v>24173</v>
      </c>
    </row>
    <row r="9055">
      <c r="A9055" s="3" t="s">
        <v>24174</v>
      </c>
      <c r="B9055" s="3" t="s">
        <v>8195</v>
      </c>
      <c r="C9055" s="5" t="s">
        <v>221</v>
      </c>
      <c r="D9055" s="3" t="s">
        <v>614</v>
      </c>
      <c r="E9055" s="3" t="s">
        <v>118</v>
      </c>
      <c r="F9055" s="7">
        <v>45924.08416884108</v>
      </c>
      <c r="G9055" s="3" t="s">
        <v>24175</v>
      </c>
    </row>
    <row r="9056">
      <c r="A9056" s="3" t="s">
        <v>24176</v>
      </c>
      <c r="B9056" s="3" t="s">
        <v>8195</v>
      </c>
      <c r="C9056" s="5" t="s">
        <v>614</v>
      </c>
      <c r="D9056" s="3" t="s">
        <v>206</v>
      </c>
      <c r="E9056" s="3" t="s">
        <v>100</v>
      </c>
      <c r="F9056" s="7">
        <v>45924.08764106331</v>
      </c>
      <c r="G9056" s="3" t="s">
        <v>24177</v>
      </c>
    </row>
    <row r="9057">
      <c r="A9057" s="3" t="s">
        <v>24178</v>
      </c>
      <c r="B9057" s="3" t="s">
        <v>8195</v>
      </c>
      <c r="C9057" s="5" t="s">
        <v>206</v>
      </c>
      <c r="D9057" s="3" t="s">
        <v>68</v>
      </c>
      <c r="E9057" s="3" t="s">
        <v>100</v>
      </c>
      <c r="F9057" s="7">
        <v>45924.091113285525</v>
      </c>
      <c r="G9057" s="3" t="s">
        <v>24179</v>
      </c>
    </row>
    <row r="9058">
      <c r="A9058" s="3" t="s">
        <v>24180</v>
      </c>
      <c r="B9058" s="3" t="s">
        <v>8199</v>
      </c>
      <c r="C9058" s="5" t="s">
        <v>45</v>
      </c>
      <c r="D9058" s="3" t="s">
        <v>221</v>
      </c>
      <c r="E9058" s="3" t="s">
        <v>853</v>
      </c>
      <c r="F9058" s="7">
        <v>45924.15187146428</v>
      </c>
      <c r="G9058" s="3" t="s">
        <v>7141</v>
      </c>
    </row>
    <row r="9059">
      <c r="A9059" s="3" t="s">
        <v>24181</v>
      </c>
      <c r="B9059" s="3" t="s">
        <v>8199</v>
      </c>
      <c r="C9059" s="5" t="s">
        <v>221</v>
      </c>
      <c r="D9059" s="3" t="s">
        <v>614</v>
      </c>
      <c r="E9059" s="3" t="s">
        <v>118</v>
      </c>
      <c r="F9059" s="7">
        <v>45924.1553436865</v>
      </c>
      <c r="G9059" s="3" t="s">
        <v>7144</v>
      </c>
    </row>
    <row r="9060">
      <c r="A9060" s="3" t="s">
        <v>24182</v>
      </c>
      <c r="B9060" s="3" t="s">
        <v>8199</v>
      </c>
      <c r="C9060" s="5" t="s">
        <v>614</v>
      </c>
      <c r="D9060" s="3" t="s">
        <v>206</v>
      </c>
      <c r="E9060" s="3" t="s">
        <v>100</v>
      </c>
      <c r="F9060" s="7">
        <v>45924.158815908726</v>
      </c>
      <c r="G9060" s="3" t="s">
        <v>7147</v>
      </c>
    </row>
    <row r="9061">
      <c r="A9061" s="3" t="s">
        <v>24183</v>
      </c>
      <c r="B9061" s="3" t="s">
        <v>8199</v>
      </c>
      <c r="C9061" s="5" t="s">
        <v>206</v>
      </c>
      <c r="D9061" s="3" t="s">
        <v>68</v>
      </c>
      <c r="E9061" s="3" t="s">
        <v>100</v>
      </c>
      <c r="F9061" s="7">
        <v>45924.162288130945</v>
      </c>
      <c r="G9061" s="3" t="s">
        <v>7149</v>
      </c>
    </row>
    <row r="9062">
      <c r="A9062" s="3" t="s">
        <v>24184</v>
      </c>
      <c r="B9062" s="3" t="s">
        <v>8203</v>
      </c>
      <c r="C9062" s="5" t="s">
        <v>45</v>
      </c>
      <c r="D9062" s="3" t="s">
        <v>221</v>
      </c>
      <c r="E9062" s="3" t="s">
        <v>1043</v>
      </c>
      <c r="F9062" s="7">
        <v>45924.22304630969</v>
      </c>
      <c r="G9062" s="3" t="s">
        <v>21166</v>
      </c>
    </row>
    <row r="9063">
      <c r="A9063" s="3" t="s">
        <v>24185</v>
      </c>
      <c r="B9063" s="3" t="s">
        <v>8203</v>
      </c>
      <c r="C9063" s="5" t="s">
        <v>221</v>
      </c>
      <c r="D9063" s="3" t="s">
        <v>614</v>
      </c>
      <c r="E9063" s="3" t="s">
        <v>118</v>
      </c>
      <c r="F9063" s="7">
        <v>45924.22651853191</v>
      </c>
      <c r="G9063" s="3" t="s">
        <v>21169</v>
      </c>
    </row>
    <row r="9064">
      <c r="A9064" s="3" t="s">
        <v>24186</v>
      </c>
      <c r="B9064" s="3" t="s">
        <v>8203</v>
      </c>
      <c r="C9064" s="5" t="s">
        <v>614</v>
      </c>
      <c r="D9064" s="3" t="s">
        <v>206</v>
      </c>
      <c r="E9064" s="3" t="s">
        <v>100</v>
      </c>
      <c r="F9064" s="7">
        <v>45924.22999075414</v>
      </c>
      <c r="G9064" s="3" t="s">
        <v>21171</v>
      </c>
    </row>
    <row r="9065">
      <c r="A9065" s="3" t="s">
        <v>24187</v>
      </c>
      <c r="B9065" s="3" t="s">
        <v>8203</v>
      </c>
      <c r="C9065" s="5" t="s">
        <v>206</v>
      </c>
      <c r="D9065" s="3" t="s">
        <v>68</v>
      </c>
      <c r="E9065" s="3" t="s">
        <v>100</v>
      </c>
      <c r="F9065" s="7">
        <v>45924.23346297636</v>
      </c>
      <c r="G9065" s="3" t="s">
        <v>21174</v>
      </c>
    </row>
    <row r="9066">
      <c r="A9066" s="3" t="s">
        <v>24188</v>
      </c>
      <c r="B9066" s="3" t="s">
        <v>8206</v>
      </c>
      <c r="C9066" s="5" t="s">
        <v>45</v>
      </c>
      <c r="D9066" s="3" t="s">
        <v>221</v>
      </c>
      <c r="E9066" s="3" t="s">
        <v>947</v>
      </c>
      <c r="F9066" s="7">
        <v>45924.294221155105</v>
      </c>
      <c r="G9066" s="3" t="s">
        <v>19675</v>
      </c>
    </row>
    <row r="9067">
      <c r="A9067" s="3" t="s">
        <v>24189</v>
      </c>
      <c r="B9067" s="3" t="s">
        <v>8206</v>
      </c>
      <c r="C9067" s="5" t="s">
        <v>221</v>
      </c>
      <c r="D9067" s="3" t="s">
        <v>614</v>
      </c>
      <c r="E9067" s="3" t="s">
        <v>118</v>
      </c>
      <c r="F9067" s="7">
        <v>45924.297693377324</v>
      </c>
      <c r="G9067" s="3" t="s">
        <v>19678</v>
      </c>
    </row>
    <row r="9068">
      <c r="A9068" s="3" t="s">
        <v>24190</v>
      </c>
      <c r="B9068" s="3" t="s">
        <v>8206</v>
      </c>
      <c r="C9068" s="5" t="s">
        <v>614</v>
      </c>
      <c r="D9068" s="3" t="s">
        <v>206</v>
      </c>
      <c r="E9068" s="3" t="s">
        <v>100</v>
      </c>
      <c r="F9068" s="7">
        <v>45924.30116559955</v>
      </c>
      <c r="G9068" s="3" t="s">
        <v>19681</v>
      </c>
    </row>
    <row r="9069">
      <c r="A9069" s="3" t="s">
        <v>24191</v>
      </c>
      <c r="B9069" s="3" t="s">
        <v>8206</v>
      </c>
      <c r="C9069" s="5" t="s">
        <v>206</v>
      </c>
      <c r="D9069" s="3" t="s">
        <v>68</v>
      </c>
      <c r="E9069" s="3" t="s">
        <v>100</v>
      </c>
      <c r="F9069" s="7">
        <v>45924.30463782177</v>
      </c>
      <c r="G9069" s="3" t="s">
        <v>19684</v>
      </c>
    </row>
    <row r="9070">
      <c r="A9070" s="3" t="s">
        <v>24192</v>
      </c>
      <c r="B9070" s="3" t="s">
        <v>8209</v>
      </c>
      <c r="C9070" s="5" t="s">
        <v>45</v>
      </c>
      <c r="D9070" s="3" t="s">
        <v>221</v>
      </c>
      <c r="E9070" s="3" t="s">
        <v>943</v>
      </c>
      <c r="F9070" s="7">
        <v>45924.365396000525</v>
      </c>
      <c r="G9070" s="3" t="s">
        <v>10442</v>
      </c>
    </row>
    <row r="9071">
      <c r="A9071" s="3" t="s">
        <v>24193</v>
      </c>
      <c r="B9071" s="3" t="s">
        <v>8209</v>
      </c>
      <c r="C9071" s="5" t="s">
        <v>221</v>
      </c>
      <c r="D9071" s="3" t="s">
        <v>614</v>
      </c>
      <c r="E9071" s="3" t="s">
        <v>118</v>
      </c>
      <c r="F9071" s="7">
        <v>45924.368868222744</v>
      </c>
      <c r="G9071" s="3" t="s">
        <v>10444</v>
      </c>
    </row>
    <row r="9072">
      <c r="A9072" s="3" t="s">
        <v>24194</v>
      </c>
      <c r="B9072" s="3" t="s">
        <v>8209</v>
      </c>
      <c r="C9072" s="5" t="s">
        <v>614</v>
      </c>
      <c r="D9072" s="3" t="s">
        <v>206</v>
      </c>
      <c r="E9072" s="3" t="s">
        <v>100</v>
      </c>
      <c r="F9072" s="7">
        <v>45924.37234044497</v>
      </c>
      <c r="G9072" s="3" t="s">
        <v>10447</v>
      </c>
    </row>
    <row r="9073">
      <c r="A9073" s="3" t="s">
        <v>24195</v>
      </c>
      <c r="B9073" s="3" t="s">
        <v>8209</v>
      </c>
      <c r="C9073" s="5" t="s">
        <v>206</v>
      </c>
      <c r="D9073" s="3" t="s">
        <v>68</v>
      </c>
      <c r="E9073" s="3" t="s">
        <v>100</v>
      </c>
      <c r="F9073" s="7">
        <v>45924.37581266719</v>
      </c>
      <c r="G9073" s="3" t="s">
        <v>10450</v>
      </c>
    </row>
    <row r="9074">
      <c r="A9074" s="3" t="s">
        <v>24196</v>
      </c>
      <c r="B9074" s="3" t="s">
        <v>8211</v>
      </c>
      <c r="C9074" s="5" t="s">
        <v>45</v>
      </c>
      <c r="D9074" s="3" t="s">
        <v>221</v>
      </c>
      <c r="E9074" s="3" t="s">
        <v>204</v>
      </c>
      <c r="F9074" s="7">
        <v>45924.436570845945</v>
      </c>
      <c r="G9074" s="3" t="s">
        <v>24197</v>
      </c>
    </row>
    <row r="9075">
      <c r="A9075" s="3" t="s">
        <v>24198</v>
      </c>
      <c r="B9075" s="3" t="s">
        <v>8211</v>
      </c>
      <c r="C9075" s="5" t="s">
        <v>221</v>
      </c>
      <c r="D9075" s="3" t="s">
        <v>614</v>
      </c>
      <c r="E9075" s="3" t="s">
        <v>118</v>
      </c>
      <c r="F9075" s="7">
        <v>45924.44004306816</v>
      </c>
      <c r="G9075" s="3" t="s">
        <v>24199</v>
      </c>
    </row>
    <row r="9076">
      <c r="A9076" s="3" t="s">
        <v>24200</v>
      </c>
      <c r="B9076" s="3" t="s">
        <v>8211</v>
      </c>
      <c r="C9076" s="5" t="s">
        <v>614</v>
      </c>
      <c r="D9076" s="3" t="s">
        <v>206</v>
      </c>
      <c r="E9076" s="3" t="s">
        <v>100</v>
      </c>
      <c r="F9076" s="7">
        <v>45924.44351529039</v>
      </c>
      <c r="G9076" s="3" t="s">
        <v>24201</v>
      </c>
    </row>
    <row r="9077">
      <c r="A9077" s="3" t="s">
        <v>24202</v>
      </c>
      <c r="B9077" s="3" t="s">
        <v>8211</v>
      </c>
      <c r="C9077" s="5" t="s">
        <v>206</v>
      </c>
      <c r="D9077" s="3" t="s">
        <v>68</v>
      </c>
      <c r="E9077" s="3" t="s">
        <v>100</v>
      </c>
      <c r="F9077" s="7">
        <v>45924.44698751261</v>
      </c>
      <c r="G9077" s="3" t="s">
        <v>24203</v>
      </c>
    </row>
    <row r="9078">
      <c r="A9078" s="3" t="s">
        <v>24204</v>
      </c>
      <c r="B9078" s="3" t="s">
        <v>8213</v>
      </c>
      <c r="C9078" s="5" t="s">
        <v>45</v>
      </c>
      <c r="D9078" s="3" t="s">
        <v>221</v>
      </c>
      <c r="E9078" s="3" t="s">
        <v>193</v>
      </c>
      <c r="F9078" s="7">
        <v>45924.50774569135</v>
      </c>
      <c r="G9078" s="3" t="s">
        <v>7174</v>
      </c>
    </row>
    <row r="9079">
      <c r="A9079" s="3" t="s">
        <v>24205</v>
      </c>
      <c r="B9079" s="3" t="s">
        <v>8213</v>
      </c>
      <c r="C9079" s="5" t="s">
        <v>221</v>
      </c>
      <c r="D9079" s="3" t="s">
        <v>614</v>
      </c>
      <c r="E9079" s="3" t="s">
        <v>118</v>
      </c>
      <c r="F9079" s="7">
        <v>45924.51121791357</v>
      </c>
      <c r="G9079" s="3" t="s">
        <v>7177</v>
      </c>
    </row>
    <row r="9080">
      <c r="A9080" s="3" t="s">
        <v>24206</v>
      </c>
      <c r="B9080" s="3" t="s">
        <v>8213</v>
      </c>
      <c r="C9080" s="5" t="s">
        <v>614</v>
      </c>
      <c r="D9080" s="3" t="s">
        <v>206</v>
      </c>
      <c r="E9080" s="3" t="s">
        <v>100</v>
      </c>
      <c r="F9080" s="7">
        <v>45924.514690135795</v>
      </c>
      <c r="G9080" s="3" t="s">
        <v>7180</v>
      </c>
    </row>
    <row r="9081">
      <c r="A9081" s="3" t="s">
        <v>24207</v>
      </c>
      <c r="B9081" s="3" t="s">
        <v>8213</v>
      </c>
      <c r="C9081" s="5" t="s">
        <v>206</v>
      </c>
      <c r="D9081" s="3" t="s">
        <v>68</v>
      </c>
      <c r="E9081" s="3" t="s">
        <v>100</v>
      </c>
      <c r="F9081" s="7">
        <v>45924.518162358014</v>
      </c>
      <c r="G9081" s="3" t="s">
        <v>7182</v>
      </c>
    </row>
    <row r="9082">
      <c r="A9082" s="3" t="s">
        <v>24208</v>
      </c>
      <c r="B9082" s="3" t="s">
        <v>8216</v>
      </c>
      <c r="C9082" s="5" t="s">
        <v>45</v>
      </c>
      <c r="D9082" s="3" t="s">
        <v>221</v>
      </c>
      <c r="E9082" s="3" t="s">
        <v>126</v>
      </c>
      <c r="F9082" s="7">
        <v>45924.57892053677</v>
      </c>
      <c r="G9082" s="3" t="s">
        <v>24209</v>
      </c>
    </row>
    <row r="9083">
      <c r="A9083" s="3" t="s">
        <v>24210</v>
      </c>
      <c r="B9083" s="3" t="s">
        <v>8216</v>
      </c>
      <c r="C9083" s="5" t="s">
        <v>221</v>
      </c>
      <c r="D9083" s="3" t="s">
        <v>614</v>
      </c>
      <c r="E9083" s="3" t="s">
        <v>118</v>
      </c>
      <c r="F9083" s="7">
        <v>45924.58239275899</v>
      </c>
      <c r="G9083" s="3" t="s">
        <v>24211</v>
      </c>
    </row>
    <row r="9084">
      <c r="A9084" s="3" t="s">
        <v>24212</v>
      </c>
      <c r="B9084" s="3" t="s">
        <v>8216</v>
      </c>
      <c r="C9084" s="5" t="s">
        <v>614</v>
      </c>
      <c r="D9084" s="3" t="s">
        <v>206</v>
      </c>
      <c r="E9084" s="3" t="s">
        <v>100</v>
      </c>
      <c r="F9084" s="7">
        <v>45924.585864981214</v>
      </c>
      <c r="G9084" s="3" t="s">
        <v>24213</v>
      </c>
    </row>
    <row r="9085">
      <c r="A9085" s="3" t="s">
        <v>24214</v>
      </c>
      <c r="B9085" s="3" t="s">
        <v>8216</v>
      </c>
      <c r="C9085" s="5" t="s">
        <v>206</v>
      </c>
      <c r="D9085" s="3" t="s">
        <v>68</v>
      </c>
      <c r="E9085" s="3" t="s">
        <v>100</v>
      </c>
      <c r="F9085" s="7">
        <v>45924.58933720343</v>
      </c>
      <c r="G9085" s="3" t="s">
        <v>24215</v>
      </c>
    </row>
    <row r="9086">
      <c r="A9086" s="3" t="s">
        <v>24216</v>
      </c>
      <c r="B9086" s="3" t="s">
        <v>8219</v>
      </c>
      <c r="C9086" s="5" t="s">
        <v>45</v>
      </c>
      <c r="D9086" s="3" t="s">
        <v>221</v>
      </c>
      <c r="E9086" s="3" t="s">
        <v>276</v>
      </c>
      <c r="F9086" s="7">
        <v>45924.65009538219</v>
      </c>
      <c r="G9086" s="3" t="s">
        <v>3731</v>
      </c>
    </row>
    <row r="9087">
      <c r="A9087" s="3" t="s">
        <v>24217</v>
      </c>
      <c r="B9087" s="3" t="s">
        <v>8219</v>
      </c>
      <c r="C9087" s="5" t="s">
        <v>221</v>
      </c>
      <c r="D9087" s="3" t="s">
        <v>614</v>
      </c>
      <c r="E9087" s="3" t="s">
        <v>118</v>
      </c>
      <c r="F9087" s="7">
        <v>45924.65356760441</v>
      </c>
      <c r="G9087" s="3" t="s">
        <v>24218</v>
      </c>
    </row>
    <row r="9088">
      <c r="A9088" s="3" t="s">
        <v>24219</v>
      </c>
      <c r="B9088" s="3" t="s">
        <v>8219</v>
      </c>
      <c r="C9088" s="5" t="s">
        <v>614</v>
      </c>
      <c r="D9088" s="3" t="s">
        <v>206</v>
      </c>
      <c r="E9088" s="3" t="s">
        <v>100</v>
      </c>
      <c r="F9088" s="7">
        <v>45924.657039826634</v>
      </c>
      <c r="G9088" s="3" t="s">
        <v>24220</v>
      </c>
    </row>
    <row r="9089">
      <c r="A9089" s="3" t="s">
        <v>24221</v>
      </c>
      <c r="B9089" s="3" t="s">
        <v>8219</v>
      </c>
      <c r="C9089" s="5" t="s">
        <v>206</v>
      </c>
      <c r="D9089" s="3" t="s">
        <v>68</v>
      </c>
      <c r="E9089" s="3" t="s">
        <v>100</v>
      </c>
      <c r="F9089" s="7">
        <v>45924.66051204885</v>
      </c>
      <c r="G9089" s="3" t="s">
        <v>24222</v>
      </c>
    </row>
    <row r="9090">
      <c r="A9090" s="3" t="s">
        <v>24223</v>
      </c>
      <c r="B9090" s="3" t="s">
        <v>8222</v>
      </c>
      <c r="C9090" s="5" t="s">
        <v>45</v>
      </c>
      <c r="D9090" s="3" t="s">
        <v>221</v>
      </c>
      <c r="E9090" s="3" t="s">
        <v>605</v>
      </c>
      <c r="F9090" s="7">
        <v>45924.7212702276</v>
      </c>
      <c r="G9090" s="3" t="s">
        <v>7214</v>
      </c>
    </row>
    <row r="9091">
      <c r="A9091" s="3" t="s">
        <v>24224</v>
      </c>
      <c r="B9091" s="3" t="s">
        <v>8222</v>
      </c>
      <c r="C9091" s="5" t="s">
        <v>221</v>
      </c>
      <c r="D9091" s="3" t="s">
        <v>614</v>
      </c>
      <c r="E9091" s="3" t="s">
        <v>118</v>
      </c>
      <c r="F9091" s="7">
        <v>45924.72474244982</v>
      </c>
      <c r="G9091" s="3" t="s">
        <v>7217</v>
      </c>
    </row>
    <row r="9092">
      <c r="A9092" s="3" t="s">
        <v>24225</v>
      </c>
      <c r="B9092" s="3" t="s">
        <v>8222</v>
      </c>
      <c r="C9092" s="5" t="s">
        <v>614</v>
      </c>
      <c r="D9092" s="3" t="s">
        <v>206</v>
      </c>
      <c r="E9092" s="3" t="s">
        <v>100</v>
      </c>
      <c r="F9092" s="7">
        <v>45924.728214672046</v>
      </c>
      <c r="G9092" s="3" t="s">
        <v>7220</v>
      </c>
    </row>
    <row r="9093">
      <c r="A9093" s="3" t="s">
        <v>24226</v>
      </c>
      <c r="B9093" s="3" t="s">
        <v>8222</v>
      </c>
      <c r="C9093" s="5" t="s">
        <v>206</v>
      </c>
      <c r="D9093" s="3" t="s">
        <v>68</v>
      </c>
      <c r="E9093" s="3" t="s">
        <v>100</v>
      </c>
      <c r="F9093" s="7">
        <v>45924.731686894265</v>
      </c>
      <c r="G9093" s="3" t="s">
        <v>7223</v>
      </c>
    </row>
    <row r="9094">
      <c r="A9094" s="3" t="s">
        <v>24227</v>
      </c>
      <c r="B9094" s="3" t="s">
        <v>8225</v>
      </c>
      <c r="C9094" s="5" t="s">
        <v>45</v>
      </c>
      <c r="D9094" s="3" t="s">
        <v>221</v>
      </c>
      <c r="E9094" s="3" t="s">
        <v>976</v>
      </c>
      <c r="F9094" s="7">
        <v>45924.79244507301</v>
      </c>
      <c r="G9094" s="3" t="s">
        <v>5338</v>
      </c>
    </row>
    <row r="9095">
      <c r="A9095" s="3" t="s">
        <v>24228</v>
      </c>
      <c r="B9095" s="3" t="s">
        <v>8225</v>
      </c>
      <c r="C9095" s="5" t="s">
        <v>221</v>
      </c>
      <c r="D9095" s="3" t="s">
        <v>614</v>
      </c>
      <c r="E9095" s="3" t="s">
        <v>118</v>
      </c>
      <c r="F9095" s="7">
        <v>45924.79591729523</v>
      </c>
      <c r="G9095" s="3" t="s">
        <v>5341</v>
      </c>
    </row>
    <row r="9096">
      <c r="A9096" s="3" t="s">
        <v>24229</v>
      </c>
      <c r="B9096" s="3" t="s">
        <v>8225</v>
      </c>
      <c r="C9096" s="5" t="s">
        <v>614</v>
      </c>
      <c r="D9096" s="3" t="s">
        <v>206</v>
      </c>
      <c r="E9096" s="3" t="s">
        <v>100</v>
      </c>
      <c r="F9096" s="7">
        <v>45924.79938951746</v>
      </c>
      <c r="G9096" s="3" t="s">
        <v>5343</v>
      </c>
    </row>
    <row r="9097">
      <c r="A9097" s="3" t="s">
        <v>24230</v>
      </c>
      <c r="B9097" s="3" t="s">
        <v>8225</v>
      </c>
      <c r="C9097" s="5" t="s">
        <v>206</v>
      </c>
      <c r="D9097" s="3" t="s">
        <v>68</v>
      </c>
      <c r="E9097" s="3" t="s">
        <v>100</v>
      </c>
      <c r="F9097" s="7">
        <v>45924.80286173968</v>
      </c>
      <c r="G9097" s="3" t="s">
        <v>5346</v>
      </c>
    </row>
    <row r="9098">
      <c r="A9098" s="3" t="s">
        <v>24231</v>
      </c>
      <c r="B9098" s="3" t="s">
        <v>8228</v>
      </c>
      <c r="C9098" s="5" t="s">
        <v>45</v>
      </c>
      <c r="D9098" s="3" t="s">
        <v>221</v>
      </c>
      <c r="E9098" s="3" t="s">
        <v>972</v>
      </c>
      <c r="F9098" s="7">
        <v>45924.86361991843</v>
      </c>
      <c r="G9098" s="3" t="s">
        <v>7226</v>
      </c>
    </row>
    <row r="9099">
      <c r="A9099" s="3" t="s">
        <v>24232</v>
      </c>
      <c r="B9099" s="3" t="s">
        <v>8228</v>
      </c>
      <c r="C9099" s="5" t="s">
        <v>221</v>
      </c>
      <c r="D9099" s="3" t="s">
        <v>614</v>
      </c>
      <c r="E9099" s="3" t="s">
        <v>118</v>
      </c>
      <c r="F9099" s="7">
        <v>45924.86709214065</v>
      </c>
      <c r="G9099" s="3" t="s">
        <v>7229</v>
      </c>
    </row>
    <row r="9100">
      <c r="A9100" s="3" t="s">
        <v>24233</v>
      </c>
      <c r="B9100" s="3" t="s">
        <v>8228</v>
      </c>
      <c r="C9100" s="5" t="s">
        <v>614</v>
      </c>
      <c r="D9100" s="3" t="s">
        <v>206</v>
      </c>
      <c r="E9100" s="3" t="s">
        <v>100</v>
      </c>
      <c r="F9100" s="7">
        <v>45924.87056436288</v>
      </c>
      <c r="G9100" s="3" t="s">
        <v>7232</v>
      </c>
    </row>
    <row r="9101">
      <c r="A9101" s="3" t="s">
        <v>24234</v>
      </c>
      <c r="B9101" s="3" t="s">
        <v>8228</v>
      </c>
      <c r="C9101" s="5" t="s">
        <v>206</v>
      </c>
      <c r="D9101" s="3" t="s">
        <v>68</v>
      </c>
      <c r="E9101" s="3" t="s">
        <v>100</v>
      </c>
      <c r="F9101" s="7">
        <v>45924.8740365851</v>
      </c>
      <c r="G9101" s="3" t="s">
        <v>7235</v>
      </c>
    </row>
    <row r="9102">
      <c r="A9102" s="3" t="s">
        <v>24235</v>
      </c>
      <c r="B9102" s="3" t="s">
        <v>8232</v>
      </c>
      <c r="C9102" s="5" t="s">
        <v>45</v>
      </c>
      <c r="D9102" s="3" t="s">
        <v>221</v>
      </c>
      <c r="E9102" s="3" t="s">
        <v>488</v>
      </c>
      <c r="F9102" s="7">
        <v>45924.934794763845</v>
      </c>
      <c r="G9102" s="3" t="s">
        <v>7033</v>
      </c>
    </row>
    <row r="9103">
      <c r="A9103" s="3" t="s">
        <v>24236</v>
      </c>
      <c r="B9103" s="3" t="s">
        <v>8232</v>
      </c>
      <c r="C9103" s="5" t="s">
        <v>221</v>
      </c>
      <c r="D9103" s="3" t="s">
        <v>614</v>
      </c>
      <c r="E9103" s="3" t="s">
        <v>118</v>
      </c>
      <c r="F9103" s="7">
        <v>45924.938266986064</v>
      </c>
      <c r="G9103" s="3" t="s">
        <v>7036</v>
      </c>
    </row>
    <row r="9104">
      <c r="A9104" s="3" t="s">
        <v>24237</v>
      </c>
      <c r="B9104" s="3" t="s">
        <v>8232</v>
      </c>
      <c r="C9104" s="5" t="s">
        <v>614</v>
      </c>
      <c r="D9104" s="3" t="s">
        <v>206</v>
      </c>
      <c r="E9104" s="3" t="s">
        <v>100</v>
      </c>
      <c r="F9104" s="7">
        <v>45924.94173920829</v>
      </c>
      <c r="G9104" s="3" t="s">
        <v>7039</v>
      </c>
    </row>
    <row r="9105">
      <c r="A9105" s="3" t="s">
        <v>24238</v>
      </c>
      <c r="B9105" s="3" t="s">
        <v>8232</v>
      </c>
      <c r="C9105" s="5" t="s">
        <v>206</v>
      </c>
      <c r="D9105" s="3" t="s">
        <v>68</v>
      </c>
      <c r="E9105" s="3" t="s">
        <v>100</v>
      </c>
      <c r="F9105" s="7">
        <v>45924.94521143051</v>
      </c>
      <c r="G9105" s="3" t="s">
        <v>7042</v>
      </c>
    </row>
    <row r="9106">
      <c r="A9106" s="3" t="s">
        <v>24239</v>
      </c>
      <c r="B9106" s="3" t="s">
        <v>8236</v>
      </c>
      <c r="C9106" s="5" t="s">
        <v>45</v>
      </c>
      <c r="D9106" s="3" t="s">
        <v>221</v>
      </c>
      <c r="E9106" s="3" t="s">
        <v>519</v>
      </c>
      <c r="F9106" s="7">
        <v>45925.00596960926</v>
      </c>
      <c r="G9106" s="3" t="s">
        <v>8780</v>
      </c>
    </row>
    <row r="9107">
      <c r="A9107" s="3" t="s">
        <v>24240</v>
      </c>
      <c r="B9107" s="3" t="s">
        <v>8236</v>
      </c>
      <c r="C9107" s="5" t="s">
        <v>221</v>
      </c>
      <c r="D9107" s="3" t="s">
        <v>614</v>
      </c>
      <c r="E9107" s="3" t="s">
        <v>118</v>
      </c>
      <c r="F9107" s="7">
        <v>45925.00944183148</v>
      </c>
      <c r="G9107" s="3" t="s">
        <v>24241</v>
      </c>
    </row>
    <row r="9108">
      <c r="A9108" s="3" t="s">
        <v>24242</v>
      </c>
      <c r="B9108" s="3" t="s">
        <v>8236</v>
      </c>
      <c r="C9108" s="5" t="s">
        <v>614</v>
      </c>
      <c r="D9108" s="3" t="s">
        <v>206</v>
      </c>
      <c r="E9108" s="3" t="s">
        <v>100</v>
      </c>
      <c r="F9108" s="7">
        <v>45925.0129140537</v>
      </c>
      <c r="G9108" s="3" t="s">
        <v>24243</v>
      </c>
    </row>
    <row r="9109">
      <c r="A9109" s="3" t="s">
        <v>24244</v>
      </c>
      <c r="B9109" s="3" t="s">
        <v>8236</v>
      </c>
      <c r="C9109" s="5" t="s">
        <v>206</v>
      </c>
      <c r="D9109" s="3" t="s">
        <v>68</v>
      </c>
      <c r="E9109" s="3" t="s">
        <v>100</v>
      </c>
      <c r="F9109" s="7">
        <v>45925.01638627592</v>
      </c>
      <c r="G9109" s="3" t="s">
        <v>24245</v>
      </c>
    </row>
    <row r="9110">
      <c r="A9110" s="3" t="s">
        <v>24246</v>
      </c>
      <c r="B9110" s="3" t="s">
        <v>8239</v>
      </c>
      <c r="C9110" s="5" t="s">
        <v>45</v>
      </c>
      <c r="D9110" s="3" t="s">
        <v>221</v>
      </c>
      <c r="E9110" s="3" t="s">
        <v>363</v>
      </c>
      <c r="F9110" s="7">
        <v>45925.07714445468</v>
      </c>
      <c r="G9110" s="3" t="s">
        <v>24247</v>
      </c>
    </row>
    <row r="9111">
      <c r="A9111" s="3" t="s">
        <v>24248</v>
      </c>
      <c r="B9111" s="3" t="s">
        <v>8239</v>
      </c>
      <c r="C9111" s="5" t="s">
        <v>221</v>
      </c>
      <c r="D9111" s="3" t="s">
        <v>614</v>
      </c>
      <c r="E9111" s="3" t="s">
        <v>118</v>
      </c>
      <c r="F9111" s="7">
        <v>45925.080616676896</v>
      </c>
      <c r="G9111" s="3" t="s">
        <v>24249</v>
      </c>
    </row>
    <row r="9112">
      <c r="A9112" s="3" t="s">
        <v>24250</v>
      </c>
      <c r="B9112" s="3" t="s">
        <v>8239</v>
      </c>
      <c r="C9112" s="5" t="s">
        <v>614</v>
      </c>
      <c r="D9112" s="3" t="s">
        <v>206</v>
      </c>
      <c r="E9112" s="3" t="s">
        <v>100</v>
      </c>
      <c r="F9112" s="7">
        <v>45925.08408889912</v>
      </c>
      <c r="G9112" s="3" t="s">
        <v>24251</v>
      </c>
    </row>
    <row r="9113">
      <c r="A9113" s="3" t="s">
        <v>24252</v>
      </c>
      <c r="B9113" s="3" t="s">
        <v>8239</v>
      </c>
      <c r="C9113" s="5" t="s">
        <v>206</v>
      </c>
      <c r="D9113" s="3" t="s">
        <v>68</v>
      </c>
      <c r="E9113" s="3" t="s">
        <v>100</v>
      </c>
      <c r="F9113" s="7">
        <v>45925.08756112134</v>
      </c>
      <c r="G9113" s="3" t="s">
        <v>24253</v>
      </c>
    </row>
    <row r="9114">
      <c r="A9114" s="3" t="s">
        <v>24254</v>
      </c>
      <c r="B9114" s="3" t="s">
        <v>8242</v>
      </c>
      <c r="C9114" s="5" t="s">
        <v>45</v>
      </c>
      <c r="D9114" s="3" t="s">
        <v>221</v>
      </c>
      <c r="E9114" s="3" t="s">
        <v>130</v>
      </c>
      <c r="F9114" s="7">
        <v>45925.14831930009</v>
      </c>
      <c r="G9114" s="3" t="s">
        <v>6879</v>
      </c>
    </row>
    <row r="9115">
      <c r="A9115" s="3" t="s">
        <v>24255</v>
      </c>
      <c r="B9115" s="3" t="s">
        <v>8242</v>
      </c>
      <c r="C9115" s="5" t="s">
        <v>221</v>
      </c>
      <c r="D9115" s="3" t="s">
        <v>614</v>
      </c>
      <c r="E9115" s="3" t="s">
        <v>118</v>
      </c>
      <c r="F9115" s="7">
        <v>45925.15179152231</v>
      </c>
      <c r="G9115" s="3" t="s">
        <v>6882</v>
      </c>
    </row>
    <row r="9116">
      <c r="A9116" s="3" t="s">
        <v>24256</v>
      </c>
      <c r="B9116" s="3" t="s">
        <v>8242</v>
      </c>
      <c r="C9116" s="5" t="s">
        <v>614</v>
      </c>
      <c r="D9116" s="3" t="s">
        <v>206</v>
      </c>
      <c r="E9116" s="3" t="s">
        <v>100</v>
      </c>
      <c r="F9116" s="7">
        <v>45925.155263744535</v>
      </c>
      <c r="G9116" s="3" t="s">
        <v>6885</v>
      </c>
    </row>
    <row r="9117">
      <c r="A9117" s="3" t="s">
        <v>24257</v>
      </c>
      <c r="B9117" s="3" t="s">
        <v>8242</v>
      </c>
      <c r="C9117" s="5" t="s">
        <v>206</v>
      </c>
      <c r="D9117" s="3" t="s">
        <v>68</v>
      </c>
      <c r="E9117" s="3" t="s">
        <v>100</v>
      </c>
      <c r="F9117" s="7">
        <v>45925.158735966754</v>
      </c>
      <c r="G9117" s="3" t="s">
        <v>6888</v>
      </c>
    </row>
    <row r="9118">
      <c r="A9118" s="3" t="s">
        <v>24258</v>
      </c>
      <c r="B9118" s="3" t="s">
        <v>8245</v>
      </c>
      <c r="C9118" s="5" t="s">
        <v>45</v>
      </c>
      <c r="D9118" s="3" t="s">
        <v>221</v>
      </c>
      <c r="E9118" s="3" t="s">
        <v>536</v>
      </c>
      <c r="F9118" s="7">
        <v>45925.2194941455</v>
      </c>
      <c r="G9118" s="3" t="s">
        <v>6311</v>
      </c>
    </row>
    <row r="9119">
      <c r="A9119" s="3" t="s">
        <v>24259</v>
      </c>
      <c r="B9119" s="3" t="s">
        <v>8245</v>
      </c>
      <c r="C9119" s="5" t="s">
        <v>221</v>
      </c>
      <c r="D9119" s="3" t="s">
        <v>614</v>
      </c>
      <c r="E9119" s="3" t="s">
        <v>118</v>
      </c>
      <c r="F9119" s="7">
        <v>45925.22296636772</v>
      </c>
      <c r="G9119" s="3" t="s">
        <v>24260</v>
      </c>
    </row>
    <row r="9120">
      <c r="A9120" s="3" t="s">
        <v>24261</v>
      </c>
      <c r="B9120" s="3" t="s">
        <v>8245</v>
      </c>
      <c r="C9120" s="5" t="s">
        <v>614</v>
      </c>
      <c r="D9120" s="3" t="s">
        <v>206</v>
      </c>
      <c r="E9120" s="3" t="s">
        <v>100</v>
      </c>
      <c r="F9120" s="7">
        <v>45925.22643858995</v>
      </c>
      <c r="G9120" s="3" t="s">
        <v>24262</v>
      </c>
    </row>
    <row r="9121">
      <c r="A9121" s="3" t="s">
        <v>24263</v>
      </c>
      <c r="B9121" s="3" t="s">
        <v>8245</v>
      </c>
      <c r="C9121" s="5" t="s">
        <v>206</v>
      </c>
      <c r="D9121" s="3" t="s">
        <v>68</v>
      </c>
      <c r="E9121" s="3" t="s">
        <v>100</v>
      </c>
      <c r="F9121" s="7">
        <v>45925.229910812166</v>
      </c>
      <c r="G9121" s="3" t="s">
        <v>24264</v>
      </c>
    </row>
    <row r="9122">
      <c r="A9122" s="3" t="s">
        <v>24265</v>
      </c>
      <c r="B9122" s="3" t="s">
        <v>8248</v>
      </c>
      <c r="C9122" s="5" t="s">
        <v>45</v>
      </c>
      <c r="D9122" s="3" t="s">
        <v>221</v>
      </c>
      <c r="E9122" s="3" t="s">
        <v>632</v>
      </c>
      <c r="F9122" s="7">
        <v>45925.29066899092</v>
      </c>
      <c r="G9122" s="3" t="s">
        <v>22075</v>
      </c>
    </row>
    <row r="9123">
      <c r="A9123" s="3" t="s">
        <v>24266</v>
      </c>
      <c r="B9123" s="3" t="s">
        <v>8248</v>
      </c>
      <c r="C9123" s="5" t="s">
        <v>221</v>
      </c>
      <c r="D9123" s="3" t="s">
        <v>614</v>
      </c>
      <c r="E9123" s="3" t="s">
        <v>118</v>
      </c>
      <c r="F9123" s="7">
        <v>45925.29414121314</v>
      </c>
      <c r="G9123" s="3" t="s">
        <v>24267</v>
      </c>
    </row>
    <row r="9124">
      <c r="A9124" s="3" t="s">
        <v>24268</v>
      </c>
      <c r="B9124" s="3" t="s">
        <v>8248</v>
      </c>
      <c r="C9124" s="5" t="s">
        <v>614</v>
      </c>
      <c r="D9124" s="3" t="s">
        <v>206</v>
      </c>
      <c r="E9124" s="3" t="s">
        <v>100</v>
      </c>
      <c r="F9124" s="7">
        <v>45925.29761343537</v>
      </c>
      <c r="G9124" s="3" t="s">
        <v>24269</v>
      </c>
    </row>
    <row r="9125">
      <c r="A9125" s="3" t="s">
        <v>24270</v>
      </c>
      <c r="B9125" s="3" t="s">
        <v>8248</v>
      </c>
      <c r="C9125" s="5" t="s">
        <v>206</v>
      </c>
      <c r="D9125" s="3" t="s">
        <v>68</v>
      </c>
      <c r="E9125" s="3" t="s">
        <v>100</v>
      </c>
      <c r="F9125" s="7">
        <v>45925.301085657586</v>
      </c>
      <c r="G9125" s="3" t="s">
        <v>24271</v>
      </c>
    </row>
    <row r="9126">
      <c r="A9126" s="3" t="s">
        <v>24272</v>
      </c>
      <c r="B9126" s="3" t="s">
        <v>8251</v>
      </c>
      <c r="C9126" s="5" t="s">
        <v>45</v>
      </c>
      <c r="D9126" s="3" t="s">
        <v>221</v>
      </c>
      <c r="E9126" s="3" t="s">
        <v>282</v>
      </c>
      <c r="F9126" s="7">
        <v>45925.361843836334</v>
      </c>
      <c r="G9126" s="3" t="s">
        <v>7261</v>
      </c>
    </row>
    <row r="9127">
      <c r="A9127" s="3" t="s">
        <v>24273</v>
      </c>
      <c r="B9127" s="3" t="s">
        <v>8251</v>
      </c>
      <c r="C9127" s="5" t="s">
        <v>221</v>
      </c>
      <c r="D9127" s="3" t="s">
        <v>614</v>
      </c>
      <c r="E9127" s="3" t="s">
        <v>118</v>
      </c>
      <c r="F9127" s="7">
        <v>45925.36531605855</v>
      </c>
      <c r="G9127" s="3" t="s">
        <v>7264</v>
      </c>
    </row>
    <row r="9128">
      <c r="A9128" s="3" t="s">
        <v>24274</v>
      </c>
      <c r="B9128" s="3" t="s">
        <v>8251</v>
      </c>
      <c r="C9128" s="5" t="s">
        <v>614</v>
      </c>
      <c r="D9128" s="3" t="s">
        <v>206</v>
      </c>
      <c r="E9128" s="3" t="s">
        <v>100</v>
      </c>
      <c r="F9128" s="7">
        <v>45925.36878828078</v>
      </c>
      <c r="G9128" s="3" t="s">
        <v>7266</v>
      </c>
    </row>
    <row r="9129">
      <c r="A9129" s="3" t="s">
        <v>24275</v>
      </c>
      <c r="B9129" s="3" t="s">
        <v>8251</v>
      </c>
      <c r="C9129" s="5" t="s">
        <v>206</v>
      </c>
      <c r="D9129" s="3" t="s">
        <v>68</v>
      </c>
      <c r="E9129" s="3" t="s">
        <v>100</v>
      </c>
      <c r="F9129" s="7">
        <v>45925.372260503</v>
      </c>
      <c r="G9129" s="3" t="s">
        <v>7269</v>
      </c>
    </row>
    <row r="9130">
      <c r="A9130" s="3" t="s">
        <v>24276</v>
      </c>
      <c r="B9130" s="3" t="s">
        <v>8254</v>
      </c>
      <c r="C9130" s="5" t="s">
        <v>45</v>
      </c>
      <c r="D9130" s="3" t="s">
        <v>221</v>
      </c>
      <c r="E9130" s="3" t="s">
        <v>348</v>
      </c>
      <c r="F9130" s="7">
        <v>45925.433018681746</v>
      </c>
      <c r="G9130" s="3" t="s">
        <v>17986</v>
      </c>
    </row>
    <row r="9131">
      <c r="A9131" s="3" t="s">
        <v>24277</v>
      </c>
      <c r="B9131" s="3" t="s">
        <v>8254</v>
      </c>
      <c r="C9131" s="5" t="s">
        <v>221</v>
      </c>
      <c r="D9131" s="3" t="s">
        <v>614</v>
      </c>
      <c r="E9131" s="3" t="s">
        <v>118</v>
      </c>
      <c r="F9131" s="7">
        <v>45925.436490903965</v>
      </c>
      <c r="G9131" s="3" t="s">
        <v>17989</v>
      </c>
    </row>
    <row r="9132">
      <c r="A9132" s="3" t="s">
        <v>24278</v>
      </c>
      <c r="B9132" s="3" t="s">
        <v>8254</v>
      </c>
      <c r="C9132" s="5" t="s">
        <v>614</v>
      </c>
      <c r="D9132" s="3" t="s">
        <v>206</v>
      </c>
      <c r="E9132" s="3" t="s">
        <v>100</v>
      </c>
      <c r="F9132" s="7">
        <v>45925.43996312619</v>
      </c>
      <c r="G9132" s="3" t="s">
        <v>17992</v>
      </c>
    </row>
    <row r="9133">
      <c r="A9133" s="3" t="s">
        <v>24279</v>
      </c>
      <c r="B9133" s="3" t="s">
        <v>8254</v>
      </c>
      <c r="C9133" s="5" t="s">
        <v>206</v>
      </c>
      <c r="D9133" s="3" t="s">
        <v>68</v>
      </c>
      <c r="E9133" s="3" t="s">
        <v>100</v>
      </c>
      <c r="F9133" s="7">
        <v>45925.44343534841</v>
      </c>
      <c r="G9133" s="3" t="s">
        <v>17995</v>
      </c>
    </row>
    <row r="9134">
      <c r="A9134" s="3" t="s">
        <v>24280</v>
      </c>
      <c r="B9134" s="3" t="s">
        <v>8258</v>
      </c>
      <c r="C9134" s="5" t="s">
        <v>45</v>
      </c>
      <c r="D9134" s="3" t="s">
        <v>221</v>
      </c>
      <c r="E9134" s="3" t="s">
        <v>266</v>
      </c>
      <c r="F9134" s="7">
        <v>45925.504193527166</v>
      </c>
      <c r="G9134" s="3" t="s">
        <v>8698</v>
      </c>
    </row>
    <row r="9135">
      <c r="A9135" s="3" t="s">
        <v>24281</v>
      </c>
      <c r="B9135" s="3" t="s">
        <v>8258</v>
      </c>
      <c r="C9135" s="5" t="s">
        <v>221</v>
      </c>
      <c r="D9135" s="3" t="s">
        <v>614</v>
      </c>
      <c r="E9135" s="3" t="s">
        <v>118</v>
      </c>
      <c r="F9135" s="7">
        <v>45925.507665749385</v>
      </c>
      <c r="G9135" s="3" t="s">
        <v>8701</v>
      </c>
    </row>
    <row r="9136">
      <c r="A9136" s="3" t="s">
        <v>24282</v>
      </c>
      <c r="B9136" s="3" t="s">
        <v>8258</v>
      </c>
      <c r="C9136" s="5" t="s">
        <v>614</v>
      </c>
      <c r="D9136" s="3" t="s">
        <v>206</v>
      </c>
      <c r="E9136" s="3" t="s">
        <v>100</v>
      </c>
      <c r="F9136" s="7">
        <v>45925.51113797161</v>
      </c>
      <c r="G9136" s="3" t="s">
        <v>8704</v>
      </c>
    </row>
    <row r="9137">
      <c r="A9137" s="3" t="s">
        <v>24283</v>
      </c>
      <c r="B9137" s="3" t="s">
        <v>8258</v>
      </c>
      <c r="C9137" s="5" t="s">
        <v>206</v>
      </c>
      <c r="D9137" s="3" t="s">
        <v>68</v>
      </c>
      <c r="E9137" s="3" t="s">
        <v>100</v>
      </c>
      <c r="F9137" s="7">
        <v>45925.51461019383</v>
      </c>
      <c r="G9137" s="3" t="s">
        <v>8707</v>
      </c>
    </row>
    <row r="9138">
      <c r="A9138" s="3" t="s">
        <v>24284</v>
      </c>
      <c r="B9138" s="3" t="s">
        <v>8264</v>
      </c>
      <c r="C9138" s="5" t="s">
        <v>45</v>
      </c>
      <c r="D9138" s="3" t="s">
        <v>221</v>
      </c>
      <c r="E9138" s="3" t="s">
        <v>485</v>
      </c>
      <c r="F9138" s="7">
        <v>45925.575368372585</v>
      </c>
      <c r="G9138" s="3" t="s">
        <v>24285</v>
      </c>
    </row>
    <row r="9139">
      <c r="A9139" s="3" t="s">
        <v>24286</v>
      </c>
      <c r="B9139" s="3" t="s">
        <v>8264</v>
      </c>
      <c r="C9139" s="5" t="s">
        <v>221</v>
      </c>
      <c r="D9139" s="3" t="s">
        <v>181</v>
      </c>
      <c r="E9139" s="3" t="s">
        <v>118</v>
      </c>
      <c r="F9139" s="7">
        <v>45925.578840594804</v>
      </c>
      <c r="G9139" s="3" t="s">
        <v>24287</v>
      </c>
    </row>
    <row r="9140">
      <c r="A9140" s="3" t="s">
        <v>24288</v>
      </c>
      <c r="B9140" s="3" t="s">
        <v>8267</v>
      </c>
      <c r="C9140" s="5" t="s">
        <v>45</v>
      </c>
      <c r="D9140" s="3" t="s">
        <v>221</v>
      </c>
      <c r="E9140" s="3" t="s">
        <v>302</v>
      </c>
      <c r="F9140" s="7">
        <v>45925.64654321799</v>
      </c>
      <c r="G9140" s="3" t="s">
        <v>18347</v>
      </c>
    </row>
    <row r="9141">
      <c r="A9141" s="3" t="s">
        <v>24289</v>
      </c>
      <c r="B9141" s="3" t="s">
        <v>8267</v>
      </c>
      <c r="C9141" s="5" t="s">
        <v>221</v>
      </c>
      <c r="D9141" s="3" t="s">
        <v>614</v>
      </c>
      <c r="E9141" s="3" t="s">
        <v>118</v>
      </c>
      <c r="F9141" s="7">
        <v>45925.65001544021</v>
      </c>
      <c r="G9141" s="3" t="s">
        <v>18350</v>
      </c>
    </row>
    <row r="9142">
      <c r="A9142" s="3" t="s">
        <v>24290</v>
      </c>
      <c r="B9142" s="3" t="s">
        <v>8267</v>
      </c>
      <c r="C9142" s="5" t="s">
        <v>614</v>
      </c>
      <c r="D9142" s="3" t="s">
        <v>206</v>
      </c>
      <c r="E9142" s="3" t="s">
        <v>100</v>
      </c>
      <c r="F9142" s="7">
        <v>45925.653487662436</v>
      </c>
      <c r="G9142" s="3" t="s">
        <v>18353</v>
      </c>
    </row>
    <row r="9143">
      <c r="A9143" s="3" t="s">
        <v>24291</v>
      </c>
      <c r="B9143" s="3" t="s">
        <v>8267</v>
      </c>
      <c r="C9143" s="5" t="s">
        <v>206</v>
      </c>
      <c r="D9143" s="3" t="s">
        <v>68</v>
      </c>
      <c r="E9143" s="3" t="s">
        <v>100</v>
      </c>
      <c r="F9143" s="7">
        <v>45925.656959884654</v>
      </c>
      <c r="G9143" s="3" t="s">
        <v>18355</v>
      </c>
    </row>
    <row r="9144">
      <c r="A9144" s="3" t="s">
        <v>24292</v>
      </c>
      <c r="B9144" s="3" t="s">
        <v>8270</v>
      </c>
      <c r="C9144" s="5" t="s">
        <v>45</v>
      </c>
      <c r="D9144" s="3" t="s">
        <v>221</v>
      </c>
      <c r="E9144" s="3" t="s">
        <v>920</v>
      </c>
      <c r="F9144" s="7">
        <v>45925.71771806341</v>
      </c>
      <c r="G9144" s="3" t="s">
        <v>5696</v>
      </c>
    </row>
    <row r="9145">
      <c r="A9145" s="3" t="s">
        <v>24293</v>
      </c>
      <c r="B9145" s="3" t="s">
        <v>8270</v>
      </c>
      <c r="C9145" s="5" t="s">
        <v>221</v>
      </c>
      <c r="D9145" s="3" t="s">
        <v>181</v>
      </c>
      <c r="E9145" s="3" t="s">
        <v>118</v>
      </c>
      <c r="F9145" s="7">
        <v>45925.72119028563</v>
      </c>
      <c r="G9145" s="3" t="s">
        <v>24294</v>
      </c>
    </row>
    <row r="9146">
      <c r="A9146" s="3" t="s">
        <v>24295</v>
      </c>
      <c r="B9146" s="3" t="s">
        <v>8273</v>
      </c>
      <c r="C9146" s="5" t="s">
        <v>45</v>
      </c>
      <c r="D9146" s="3" t="s">
        <v>221</v>
      </c>
      <c r="E9146" s="3" t="s">
        <v>1028</v>
      </c>
      <c r="F9146" s="7">
        <v>45925.78889290883</v>
      </c>
      <c r="G9146" s="3" t="s">
        <v>19906</v>
      </c>
    </row>
    <row r="9147">
      <c r="A9147" s="3" t="s">
        <v>24296</v>
      </c>
      <c r="B9147" s="3" t="s">
        <v>8273</v>
      </c>
      <c r="C9147" s="5" t="s">
        <v>221</v>
      </c>
      <c r="D9147" s="3" t="s">
        <v>614</v>
      </c>
      <c r="E9147" s="3" t="s">
        <v>118</v>
      </c>
      <c r="F9147" s="7">
        <v>45925.79236513105</v>
      </c>
      <c r="G9147" s="3" t="s">
        <v>19908</v>
      </c>
    </row>
    <row r="9148">
      <c r="A9148" s="3" t="s">
        <v>24297</v>
      </c>
      <c r="B9148" s="3" t="s">
        <v>8273</v>
      </c>
      <c r="C9148" s="5" t="s">
        <v>614</v>
      </c>
      <c r="D9148" s="3" t="s">
        <v>206</v>
      </c>
      <c r="E9148" s="3" t="s">
        <v>100</v>
      </c>
      <c r="F9148" s="7">
        <v>45925.795837353275</v>
      </c>
      <c r="G9148" s="3" t="s">
        <v>19911</v>
      </c>
    </row>
    <row r="9149">
      <c r="A9149" s="3" t="s">
        <v>24298</v>
      </c>
      <c r="B9149" s="3" t="s">
        <v>8273</v>
      </c>
      <c r="C9149" s="5" t="s">
        <v>206</v>
      </c>
      <c r="D9149" s="3" t="s">
        <v>68</v>
      </c>
      <c r="E9149" s="3" t="s">
        <v>100</v>
      </c>
      <c r="F9149" s="7">
        <v>45925.799309575494</v>
      </c>
      <c r="G9149" s="3" t="s">
        <v>19914</v>
      </c>
    </row>
    <row r="9150">
      <c r="A9150" s="3" t="s">
        <v>24299</v>
      </c>
      <c r="B9150" s="3" t="s">
        <v>8276</v>
      </c>
      <c r="C9150" s="5" t="s">
        <v>45</v>
      </c>
      <c r="D9150" s="3" t="s">
        <v>221</v>
      </c>
      <c r="E9150" s="3" t="s">
        <v>512</v>
      </c>
      <c r="F9150" s="7">
        <v>45925.86006775424</v>
      </c>
      <c r="G9150" s="3" t="s">
        <v>13057</v>
      </c>
    </row>
    <row r="9151">
      <c r="A9151" s="3" t="s">
        <v>24300</v>
      </c>
      <c r="B9151" s="3" t="s">
        <v>8276</v>
      </c>
      <c r="C9151" s="5" t="s">
        <v>221</v>
      </c>
      <c r="D9151" s="3" t="s">
        <v>614</v>
      </c>
      <c r="E9151" s="3" t="s">
        <v>118</v>
      </c>
      <c r="F9151" s="7">
        <v>45925.86353997646</v>
      </c>
      <c r="G9151" s="3" t="s">
        <v>13061</v>
      </c>
    </row>
    <row r="9152">
      <c r="A9152" s="3" t="s">
        <v>24301</v>
      </c>
      <c r="B9152" s="3" t="s">
        <v>8276</v>
      </c>
      <c r="C9152" s="5" t="s">
        <v>614</v>
      </c>
      <c r="D9152" s="3" t="s">
        <v>206</v>
      </c>
      <c r="E9152" s="3" t="s">
        <v>100</v>
      </c>
      <c r="F9152" s="7">
        <v>45925.86701219869</v>
      </c>
      <c r="G9152" s="3" t="s">
        <v>13064</v>
      </c>
    </row>
    <row r="9153">
      <c r="A9153" s="3" t="s">
        <v>24302</v>
      </c>
      <c r="B9153" s="3" t="s">
        <v>8276</v>
      </c>
      <c r="C9153" s="5" t="s">
        <v>206</v>
      </c>
      <c r="D9153" s="3" t="s">
        <v>68</v>
      </c>
      <c r="E9153" s="3" t="s">
        <v>100</v>
      </c>
      <c r="F9153" s="7">
        <v>45925.870484420906</v>
      </c>
      <c r="G9153" s="3" t="s">
        <v>13068</v>
      </c>
    </row>
    <row r="9154">
      <c r="A9154" s="3" t="s">
        <v>24303</v>
      </c>
      <c r="B9154" s="3" t="s">
        <v>8280</v>
      </c>
      <c r="C9154" s="5" t="s">
        <v>45</v>
      </c>
      <c r="D9154" s="3" t="s">
        <v>221</v>
      </c>
      <c r="E9154" s="3" t="s">
        <v>619</v>
      </c>
      <c r="F9154" s="7">
        <v>45925.931242599654</v>
      </c>
      <c r="G9154" s="3" t="s">
        <v>7330</v>
      </c>
    </row>
    <row r="9155">
      <c r="A9155" s="3" t="s">
        <v>24304</v>
      </c>
      <c r="B9155" s="3" t="s">
        <v>8280</v>
      </c>
      <c r="C9155" s="5" t="s">
        <v>221</v>
      </c>
      <c r="D9155" s="3" t="s">
        <v>614</v>
      </c>
      <c r="E9155" s="3" t="s">
        <v>118</v>
      </c>
      <c r="F9155" s="7">
        <v>45925.93471482187</v>
      </c>
      <c r="G9155" s="3" t="s">
        <v>7333</v>
      </c>
    </row>
    <row r="9156">
      <c r="A9156" s="3" t="s">
        <v>24305</v>
      </c>
      <c r="B9156" s="3" t="s">
        <v>8280</v>
      </c>
      <c r="C9156" s="5" t="s">
        <v>614</v>
      </c>
      <c r="D9156" s="3" t="s">
        <v>206</v>
      </c>
      <c r="E9156" s="3" t="s">
        <v>100</v>
      </c>
      <c r="F9156" s="7">
        <v>45925.9381870441</v>
      </c>
      <c r="G9156" s="3" t="s">
        <v>7336</v>
      </c>
    </row>
    <row r="9157">
      <c r="A9157" s="3" t="s">
        <v>24306</v>
      </c>
      <c r="B9157" s="3" t="s">
        <v>8280</v>
      </c>
      <c r="C9157" s="5" t="s">
        <v>206</v>
      </c>
      <c r="D9157" s="3" t="s">
        <v>68</v>
      </c>
      <c r="E9157" s="3" t="s">
        <v>100</v>
      </c>
      <c r="F9157" s="7">
        <v>45925.94165926632</v>
      </c>
      <c r="G9157" s="3" t="s">
        <v>7339</v>
      </c>
    </row>
    <row r="9158">
      <c r="A9158" s="3" t="s">
        <v>24307</v>
      </c>
      <c r="B9158" s="3" t="s">
        <v>8283</v>
      </c>
      <c r="C9158" s="5" t="s">
        <v>45</v>
      </c>
      <c r="D9158" s="3" t="s">
        <v>221</v>
      </c>
      <c r="E9158" s="3" t="s">
        <v>344</v>
      </c>
      <c r="F9158" s="7">
        <v>45926.002417445074</v>
      </c>
      <c r="G9158" s="3" t="s">
        <v>7354</v>
      </c>
    </row>
    <row r="9159">
      <c r="A9159" s="3" t="s">
        <v>24308</v>
      </c>
      <c r="B9159" s="3" t="s">
        <v>8283</v>
      </c>
      <c r="C9159" s="5" t="s">
        <v>221</v>
      </c>
      <c r="D9159" s="3" t="s">
        <v>614</v>
      </c>
      <c r="E9159" s="3" t="s">
        <v>118</v>
      </c>
      <c r="F9159" s="7">
        <v>45926.00588966729</v>
      </c>
      <c r="G9159" s="3" t="s">
        <v>7357</v>
      </c>
    </row>
    <row r="9160">
      <c r="A9160" s="3" t="s">
        <v>24309</v>
      </c>
      <c r="B9160" s="3" t="s">
        <v>8283</v>
      </c>
      <c r="C9160" s="5" t="s">
        <v>614</v>
      </c>
      <c r="D9160" s="3" t="s">
        <v>206</v>
      </c>
      <c r="E9160" s="3" t="s">
        <v>100</v>
      </c>
      <c r="F9160" s="7">
        <v>45926.00936188952</v>
      </c>
      <c r="G9160" s="3" t="s">
        <v>7359</v>
      </c>
    </row>
    <row r="9161">
      <c r="A9161" s="3" t="s">
        <v>24310</v>
      </c>
      <c r="B9161" s="3" t="s">
        <v>8283</v>
      </c>
      <c r="C9161" s="5" t="s">
        <v>206</v>
      </c>
      <c r="D9161" s="3" t="s">
        <v>68</v>
      </c>
      <c r="E9161" s="3" t="s">
        <v>100</v>
      </c>
      <c r="F9161" s="7">
        <v>45926.01283411174</v>
      </c>
      <c r="G9161" s="3" t="s">
        <v>7362</v>
      </c>
    </row>
    <row r="9162">
      <c r="A9162" s="3" t="s">
        <v>24311</v>
      </c>
      <c r="B9162" s="3" t="s">
        <v>8285</v>
      </c>
      <c r="C9162" s="5" t="s">
        <v>45</v>
      </c>
      <c r="D9162" s="3" t="s">
        <v>221</v>
      </c>
      <c r="E9162" s="3" t="s">
        <v>763</v>
      </c>
      <c r="F9162" s="7">
        <v>45926.073592290486</v>
      </c>
      <c r="G9162" s="3" t="s">
        <v>7365</v>
      </c>
    </row>
    <row r="9163">
      <c r="A9163" s="3" t="s">
        <v>24312</v>
      </c>
      <c r="B9163" s="3" t="s">
        <v>8285</v>
      </c>
      <c r="C9163" s="5" t="s">
        <v>221</v>
      </c>
      <c r="D9163" s="3" t="s">
        <v>614</v>
      </c>
      <c r="E9163" s="3" t="s">
        <v>118</v>
      </c>
      <c r="F9163" s="7">
        <v>45926.077064512705</v>
      </c>
      <c r="G9163" s="3" t="s">
        <v>7368</v>
      </c>
    </row>
    <row r="9164">
      <c r="A9164" s="3" t="s">
        <v>24313</v>
      </c>
      <c r="B9164" s="3" t="s">
        <v>8285</v>
      </c>
      <c r="C9164" s="5" t="s">
        <v>614</v>
      </c>
      <c r="D9164" s="3" t="s">
        <v>206</v>
      </c>
      <c r="E9164" s="3" t="s">
        <v>100</v>
      </c>
      <c r="F9164" s="7">
        <v>45926.08053673493</v>
      </c>
      <c r="G9164" s="3" t="s">
        <v>7371</v>
      </c>
    </row>
    <row r="9165">
      <c r="A9165" s="3" t="s">
        <v>24314</v>
      </c>
      <c r="B9165" s="3" t="s">
        <v>8285</v>
      </c>
      <c r="C9165" s="5" t="s">
        <v>206</v>
      </c>
      <c r="D9165" s="3" t="s">
        <v>68</v>
      </c>
      <c r="E9165" s="3" t="s">
        <v>100</v>
      </c>
      <c r="F9165" s="7">
        <v>45926.08400895715</v>
      </c>
      <c r="G9165" s="3" t="s">
        <v>7374</v>
      </c>
    </row>
    <row r="9166">
      <c r="A9166" s="3" t="s">
        <v>24315</v>
      </c>
      <c r="B9166" s="3" t="s">
        <v>8287</v>
      </c>
      <c r="C9166" s="5" t="s">
        <v>45</v>
      </c>
      <c r="D9166" s="3" t="s">
        <v>221</v>
      </c>
      <c r="E9166" s="3" t="s">
        <v>523</v>
      </c>
      <c r="F9166" s="7">
        <v>45926.1447671359</v>
      </c>
      <c r="G9166" s="3" t="s">
        <v>7377</v>
      </c>
    </row>
    <row r="9167">
      <c r="A9167" s="3" t="s">
        <v>24316</v>
      </c>
      <c r="B9167" s="3" t="s">
        <v>8287</v>
      </c>
      <c r="C9167" s="5" t="s">
        <v>221</v>
      </c>
      <c r="D9167" s="3" t="s">
        <v>614</v>
      </c>
      <c r="E9167" s="3" t="s">
        <v>118</v>
      </c>
      <c r="F9167" s="7">
        <v>45926.14823935812</v>
      </c>
      <c r="G9167" s="3" t="s">
        <v>7380</v>
      </c>
    </row>
    <row r="9168">
      <c r="A9168" s="3" t="s">
        <v>24317</v>
      </c>
      <c r="B9168" s="3" t="s">
        <v>8287</v>
      </c>
      <c r="C9168" s="5" t="s">
        <v>614</v>
      </c>
      <c r="D9168" s="3" t="s">
        <v>206</v>
      </c>
      <c r="E9168" s="3" t="s">
        <v>100</v>
      </c>
      <c r="F9168" s="7">
        <v>45926.15171158034</v>
      </c>
      <c r="G9168" s="3" t="s">
        <v>7382</v>
      </c>
    </row>
    <row r="9169">
      <c r="A9169" s="3" t="s">
        <v>24318</v>
      </c>
      <c r="B9169" s="3" t="s">
        <v>8287</v>
      </c>
      <c r="C9169" s="5" t="s">
        <v>206</v>
      </c>
      <c r="D9169" s="3" t="s">
        <v>68</v>
      </c>
      <c r="E9169" s="3" t="s">
        <v>100</v>
      </c>
      <c r="F9169" s="7">
        <v>45926.15518380256</v>
      </c>
      <c r="G9169" s="3" t="s">
        <v>7385</v>
      </c>
    </row>
    <row r="9170">
      <c r="A9170" s="3" t="s">
        <v>24319</v>
      </c>
      <c r="B9170" s="3" t="s">
        <v>8289</v>
      </c>
      <c r="C9170" s="5" t="s">
        <v>45</v>
      </c>
      <c r="D9170" s="3" t="s">
        <v>221</v>
      </c>
      <c r="E9170" s="3" t="s">
        <v>694</v>
      </c>
      <c r="F9170" s="7">
        <v>45926.21594198132</v>
      </c>
      <c r="G9170" s="3" t="s">
        <v>4922</v>
      </c>
    </row>
    <row r="9171">
      <c r="A9171" s="3" t="s">
        <v>24320</v>
      </c>
      <c r="B9171" s="3" t="s">
        <v>8289</v>
      </c>
      <c r="C9171" s="5" t="s">
        <v>221</v>
      </c>
      <c r="D9171" s="3" t="s">
        <v>614</v>
      </c>
      <c r="E9171" s="3" t="s">
        <v>118</v>
      </c>
      <c r="F9171" s="7">
        <v>45926.21941420354</v>
      </c>
      <c r="G9171" s="3" t="s">
        <v>4925</v>
      </c>
    </row>
    <row r="9172">
      <c r="A9172" s="3" t="s">
        <v>24321</v>
      </c>
      <c r="B9172" s="3" t="s">
        <v>8289</v>
      </c>
      <c r="C9172" s="5" t="s">
        <v>614</v>
      </c>
      <c r="D9172" s="3" t="s">
        <v>206</v>
      </c>
      <c r="E9172" s="3" t="s">
        <v>100</v>
      </c>
      <c r="F9172" s="7">
        <v>45926.22288642576</v>
      </c>
      <c r="G9172" s="3" t="s">
        <v>4928</v>
      </c>
    </row>
    <row r="9173">
      <c r="A9173" s="3" t="s">
        <v>24322</v>
      </c>
      <c r="B9173" s="3" t="s">
        <v>8289</v>
      </c>
      <c r="C9173" s="5" t="s">
        <v>206</v>
      </c>
      <c r="D9173" s="3" t="s">
        <v>68</v>
      </c>
      <c r="E9173" s="3" t="s">
        <v>100</v>
      </c>
      <c r="F9173" s="7">
        <v>45926.22635864798</v>
      </c>
      <c r="G9173" s="3" t="s">
        <v>4931</v>
      </c>
    </row>
    <row r="9174">
      <c r="A9174" s="3" t="s">
        <v>24323</v>
      </c>
      <c r="B9174" s="3" t="s">
        <v>8291</v>
      </c>
      <c r="C9174" s="5" t="s">
        <v>45</v>
      </c>
      <c r="D9174" s="3" t="s">
        <v>221</v>
      </c>
      <c r="E9174" s="3" t="s">
        <v>550</v>
      </c>
      <c r="F9174" s="7">
        <v>45926.28711682673</v>
      </c>
      <c r="G9174" s="3" t="s">
        <v>24324</v>
      </c>
    </row>
    <row r="9175">
      <c r="A9175" s="3" t="s">
        <v>24325</v>
      </c>
      <c r="B9175" s="3" t="s">
        <v>8291</v>
      </c>
      <c r="C9175" s="5" t="s">
        <v>221</v>
      </c>
      <c r="D9175" s="3" t="s">
        <v>614</v>
      </c>
      <c r="E9175" s="3" t="s">
        <v>118</v>
      </c>
      <c r="F9175" s="7">
        <v>45926.29058904895</v>
      </c>
      <c r="G9175" s="3" t="s">
        <v>24326</v>
      </c>
    </row>
    <row r="9176">
      <c r="A9176" s="3" t="s">
        <v>24327</v>
      </c>
      <c r="B9176" s="3" t="s">
        <v>8291</v>
      </c>
      <c r="C9176" s="5" t="s">
        <v>614</v>
      </c>
      <c r="D9176" s="3" t="s">
        <v>206</v>
      </c>
      <c r="E9176" s="3" t="s">
        <v>100</v>
      </c>
      <c r="F9176" s="7">
        <v>45926.294061271175</v>
      </c>
      <c r="G9176" s="3" t="s">
        <v>24328</v>
      </c>
    </row>
    <row r="9177">
      <c r="A9177" s="3" t="s">
        <v>24329</v>
      </c>
      <c r="B9177" s="3" t="s">
        <v>8291</v>
      </c>
      <c r="C9177" s="5" t="s">
        <v>206</v>
      </c>
      <c r="D9177" s="3" t="s">
        <v>68</v>
      </c>
      <c r="E9177" s="3" t="s">
        <v>100</v>
      </c>
      <c r="F9177" s="7">
        <v>45926.297533493394</v>
      </c>
      <c r="G9177" s="3" t="s">
        <v>24330</v>
      </c>
    </row>
    <row r="9178">
      <c r="A9178" s="3" t="s">
        <v>24331</v>
      </c>
      <c r="B9178" s="3" t="s">
        <v>8295</v>
      </c>
      <c r="C9178" s="5" t="s">
        <v>45</v>
      </c>
      <c r="D9178" s="3" t="s">
        <v>221</v>
      </c>
      <c r="E9178" s="3" t="s">
        <v>189</v>
      </c>
      <c r="F9178" s="7">
        <v>45926.35829167214</v>
      </c>
      <c r="G9178" s="3" t="s">
        <v>7424</v>
      </c>
    </row>
    <row r="9179">
      <c r="A9179" s="3" t="s">
        <v>24332</v>
      </c>
      <c r="B9179" s="3" t="s">
        <v>8295</v>
      </c>
      <c r="C9179" s="5" t="s">
        <v>221</v>
      </c>
      <c r="D9179" s="3" t="s">
        <v>614</v>
      </c>
      <c r="E9179" s="3" t="s">
        <v>118</v>
      </c>
      <c r="F9179" s="7">
        <v>45926.36176389436</v>
      </c>
      <c r="G9179" s="3" t="s">
        <v>7427</v>
      </c>
    </row>
    <row r="9180">
      <c r="A9180" s="3" t="s">
        <v>24333</v>
      </c>
      <c r="B9180" s="3" t="s">
        <v>8295</v>
      </c>
      <c r="C9180" s="5" t="s">
        <v>614</v>
      </c>
      <c r="D9180" s="3" t="s">
        <v>206</v>
      </c>
      <c r="E9180" s="3" t="s">
        <v>100</v>
      </c>
      <c r="F9180" s="7">
        <v>45926.36523611659</v>
      </c>
      <c r="G9180" s="3" t="s">
        <v>7430</v>
      </c>
    </row>
    <row r="9181">
      <c r="A9181" s="3" t="s">
        <v>24334</v>
      </c>
      <c r="B9181" s="3" t="s">
        <v>8295</v>
      </c>
      <c r="C9181" s="5" t="s">
        <v>206</v>
      </c>
      <c r="D9181" s="3" t="s">
        <v>68</v>
      </c>
      <c r="E9181" s="3" t="s">
        <v>100</v>
      </c>
      <c r="F9181" s="7">
        <v>45926.36870833881</v>
      </c>
      <c r="G9181" s="3" t="s">
        <v>7433</v>
      </c>
    </row>
    <row r="9182">
      <c r="A9182" s="3" t="s">
        <v>24335</v>
      </c>
      <c r="B9182" s="3" t="s">
        <v>8299</v>
      </c>
      <c r="C9182" s="5" t="s">
        <v>45</v>
      </c>
      <c r="D9182" s="3" t="s">
        <v>221</v>
      </c>
      <c r="E9182" s="3" t="s">
        <v>586</v>
      </c>
      <c r="F9182" s="7">
        <v>45926.42946651756</v>
      </c>
      <c r="G9182" s="3" t="s">
        <v>9856</v>
      </c>
    </row>
    <row r="9183">
      <c r="A9183" s="3" t="s">
        <v>24336</v>
      </c>
      <c r="B9183" s="3" t="s">
        <v>8299</v>
      </c>
      <c r="C9183" s="5" t="s">
        <v>221</v>
      </c>
      <c r="D9183" s="3" t="s">
        <v>614</v>
      </c>
      <c r="E9183" s="3" t="s">
        <v>118</v>
      </c>
      <c r="F9183" s="7">
        <v>45926.43293873978</v>
      </c>
      <c r="G9183" s="3" t="s">
        <v>9859</v>
      </c>
    </row>
    <row r="9184">
      <c r="A9184" s="3" t="s">
        <v>24337</v>
      </c>
      <c r="B9184" s="3" t="s">
        <v>8299</v>
      </c>
      <c r="C9184" s="5" t="s">
        <v>614</v>
      </c>
      <c r="D9184" s="3" t="s">
        <v>206</v>
      </c>
      <c r="E9184" s="3" t="s">
        <v>100</v>
      </c>
      <c r="F9184" s="7">
        <v>45926.43641096201</v>
      </c>
      <c r="G9184" s="3" t="s">
        <v>9862</v>
      </c>
    </row>
    <row r="9185">
      <c r="A9185" s="3" t="s">
        <v>24338</v>
      </c>
      <c r="B9185" s="3" t="s">
        <v>8299</v>
      </c>
      <c r="C9185" s="5" t="s">
        <v>206</v>
      </c>
      <c r="D9185" s="3" t="s">
        <v>68</v>
      </c>
      <c r="E9185" s="3" t="s">
        <v>100</v>
      </c>
      <c r="F9185" s="7">
        <v>45926.439883184226</v>
      </c>
      <c r="G9185" s="3" t="s">
        <v>9866</v>
      </c>
    </row>
    <row r="9186">
      <c r="A9186" s="3" t="s">
        <v>24339</v>
      </c>
      <c r="B9186" s="3" t="s">
        <v>8302</v>
      </c>
      <c r="C9186" s="5" t="s">
        <v>45</v>
      </c>
      <c r="D9186" s="3" t="s">
        <v>221</v>
      </c>
      <c r="E9186" s="3" t="s">
        <v>763</v>
      </c>
      <c r="F9186" s="7">
        <v>45926.500641362974</v>
      </c>
      <c r="G9186" s="3" t="s">
        <v>7393</v>
      </c>
    </row>
    <row r="9187">
      <c r="A9187" s="3" t="s">
        <v>24340</v>
      </c>
      <c r="B9187" s="3" t="s">
        <v>8302</v>
      </c>
      <c r="C9187" s="5" t="s">
        <v>221</v>
      </c>
      <c r="D9187" s="3" t="s">
        <v>614</v>
      </c>
      <c r="E9187" s="3" t="s">
        <v>118</v>
      </c>
      <c r="F9187" s="7">
        <v>45926.50411358519</v>
      </c>
      <c r="G9187" s="3" t="s">
        <v>7396</v>
      </c>
    </row>
    <row r="9188">
      <c r="A9188" s="3" t="s">
        <v>24341</v>
      </c>
      <c r="B9188" s="3" t="s">
        <v>8302</v>
      </c>
      <c r="C9188" s="5" t="s">
        <v>614</v>
      </c>
      <c r="D9188" s="3" t="s">
        <v>206</v>
      </c>
      <c r="E9188" s="3" t="s">
        <v>100</v>
      </c>
      <c r="F9188" s="7">
        <v>45926.50758580742</v>
      </c>
      <c r="G9188" s="3" t="s">
        <v>7399</v>
      </c>
    </row>
    <row r="9189">
      <c r="A9189" s="3" t="s">
        <v>24342</v>
      </c>
      <c r="B9189" s="3" t="s">
        <v>8302</v>
      </c>
      <c r="C9189" s="5" t="s">
        <v>206</v>
      </c>
      <c r="D9189" s="3" t="s">
        <v>68</v>
      </c>
      <c r="E9189" s="3" t="s">
        <v>100</v>
      </c>
      <c r="F9189" s="7">
        <v>45926.51105802964</v>
      </c>
      <c r="G9189" s="3" t="s">
        <v>7402</v>
      </c>
    </row>
    <row r="9190">
      <c r="A9190" s="3" t="s">
        <v>24343</v>
      </c>
      <c r="B9190" s="3" t="s">
        <v>8305</v>
      </c>
      <c r="C9190" s="5" t="s">
        <v>45</v>
      </c>
      <c r="D9190" s="3" t="s">
        <v>221</v>
      </c>
      <c r="E9190" s="3" t="s">
        <v>226</v>
      </c>
      <c r="F9190" s="7">
        <v>45926.57181620839</v>
      </c>
      <c r="G9190" s="3" t="s">
        <v>7464</v>
      </c>
    </row>
    <row r="9191">
      <c r="A9191" s="3" t="s">
        <v>24344</v>
      </c>
      <c r="B9191" s="3" t="s">
        <v>8305</v>
      </c>
      <c r="C9191" s="5" t="s">
        <v>221</v>
      </c>
      <c r="D9191" s="3" t="s">
        <v>614</v>
      </c>
      <c r="E9191" s="3" t="s">
        <v>118</v>
      </c>
      <c r="F9191" s="7">
        <v>45926.575288430606</v>
      </c>
      <c r="G9191" s="3" t="s">
        <v>7467</v>
      </c>
    </row>
    <row r="9192">
      <c r="A9192" s="3" t="s">
        <v>24345</v>
      </c>
      <c r="B9192" s="3" t="s">
        <v>8305</v>
      </c>
      <c r="C9192" s="5" t="s">
        <v>614</v>
      </c>
      <c r="D9192" s="3" t="s">
        <v>206</v>
      </c>
      <c r="E9192" s="3" t="s">
        <v>100</v>
      </c>
      <c r="F9192" s="7">
        <v>45926.57876065283</v>
      </c>
      <c r="G9192" s="3" t="s">
        <v>7470</v>
      </c>
    </row>
    <row r="9193">
      <c r="A9193" s="3" t="s">
        <v>24346</v>
      </c>
      <c r="B9193" s="3" t="s">
        <v>8305</v>
      </c>
      <c r="C9193" s="5" t="s">
        <v>206</v>
      </c>
      <c r="D9193" s="3" t="s">
        <v>68</v>
      </c>
      <c r="E9193" s="3" t="s">
        <v>100</v>
      </c>
      <c r="F9193" s="7">
        <v>45926.58223287505</v>
      </c>
      <c r="G9193" s="3" t="s">
        <v>7473</v>
      </c>
    </row>
    <row r="9194">
      <c r="A9194" s="3" t="s">
        <v>24347</v>
      </c>
      <c r="B9194" s="3" t="s">
        <v>8308</v>
      </c>
      <c r="C9194" s="5" t="s">
        <v>45</v>
      </c>
      <c r="D9194" s="3" t="s">
        <v>221</v>
      </c>
      <c r="E9194" s="3" t="s">
        <v>193</v>
      </c>
      <c r="F9194" s="7">
        <v>45926.642991053806</v>
      </c>
      <c r="G9194" s="3" t="s">
        <v>24348</v>
      </c>
    </row>
    <row r="9195">
      <c r="A9195" s="3" t="s">
        <v>24349</v>
      </c>
      <c r="B9195" s="3" t="s">
        <v>8308</v>
      </c>
      <c r="C9195" s="5" t="s">
        <v>221</v>
      </c>
      <c r="D9195" s="3" t="s">
        <v>614</v>
      </c>
      <c r="E9195" s="3" t="s">
        <v>118</v>
      </c>
      <c r="F9195" s="7">
        <v>45926.646463276025</v>
      </c>
      <c r="G9195" s="3" t="s">
        <v>24350</v>
      </c>
    </row>
    <row r="9196">
      <c r="A9196" s="3" t="s">
        <v>24351</v>
      </c>
      <c r="B9196" s="3" t="s">
        <v>8308</v>
      </c>
      <c r="C9196" s="5" t="s">
        <v>614</v>
      </c>
      <c r="D9196" s="3" t="s">
        <v>206</v>
      </c>
      <c r="E9196" s="3" t="s">
        <v>100</v>
      </c>
      <c r="F9196" s="7">
        <v>45926.64993549825</v>
      </c>
      <c r="G9196" s="3" t="s">
        <v>24352</v>
      </c>
    </row>
    <row r="9197">
      <c r="A9197" s="3" t="s">
        <v>24353</v>
      </c>
      <c r="B9197" s="3" t="s">
        <v>8308</v>
      </c>
      <c r="C9197" s="5" t="s">
        <v>206</v>
      </c>
      <c r="D9197" s="3" t="s">
        <v>68</v>
      </c>
      <c r="E9197" s="3" t="s">
        <v>100</v>
      </c>
      <c r="F9197" s="7">
        <v>45926.65340772047</v>
      </c>
      <c r="G9197" s="3" t="s">
        <v>24354</v>
      </c>
    </row>
    <row r="9198">
      <c r="A9198" s="3" t="s">
        <v>24355</v>
      </c>
      <c r="B9198" s="3" t="s">
        <v>8311</v>
      </c>
      <c r="C9198" s="5" t="s">
        <v>45</v>
      </c>
      <c r="D9198" s="3" t="s">
        <v>221</v>
      </c>
      <c r="E9198" s="3" t="s">
        <v>698</v>
      </c>
      <c r="F9198" s="7">
        <v>45926.714165899226</v>
      </c>
      <c r="G9198" s="3" t="s">
        <v>24356</v>
      </c>
    </row>
    <row r="9199">
      <c r="A9199" s="3" t="s">
        <v>24357</v>
      </c>
      <c r="B9199" s="3" t="s">
        <v>8311</v>
      </c>
      <c r="C9199" s="5" t="s">
        <v>221</v>
      </c>
      <c r="D9199" s="3" t="s">
        <v>614</v>
      </c>
      <c r="E9199" s="3" t="s">
        <v>118</v>
      </c>
      <c r="F9199" s="7">
        <v>45926.717638121445</v>
      </c>
      <c r="G9199" s="3" t="s">
        <v>24358</v>
      </c>
    </row>
    <row r="9200">
      <c r="A9200" s="3" t="s">
        <v>24359</v>
      </c>
      <c r="B9200" s="3" t="s">
        <v>8311</v>
      </c>
      <c r="C9200" s="5" t="s">
        <v>614</v>
      </c>
      <c r="D9200" s="3" t="s">
        <v>206</v>
      </c>
      <c r="E9200" s="3" t="s">
        <v>100</v>
      </c>
      <c r="F9200" s="7">
        <v>45926.72111034367</v>
      </c>
      <c r="G9200" s="3" t="s">
        <v>24360</v>
      </c>
    </row>
    <row r="9201">
      <c r="A9201" s="3" t="s">
        <v>24361</v>
      </c>
      <c r="B9201" s="3" t="s">
        <v>8311</v>
      </c>
      <c r="C9201" s="5" t="s">
        <v>206</v>
      </c>
      <c r="D9201" s="3" t="s">
        <v>68</v>
      </c>
      <c r="E9201" s="3" t="s">
        <v>100</v>
      </c>
      <c r="F9201" s="7">
        <v>45926.72458256589</v>
      </c>
      <c r="G9201" s="3" t="s">
        <v>24362</v>
      </c>
    </row>
    <row r="9202">
      <c r="A9202" s="3" t="s">
        <v>24363</v>
      </c>
      <c r="B9202" s="3" t="s">
        <v>8314</v>
      </c>
      <c r="C9202" s="5" t="s">
        <v>45</v>
      </c>
      <c r="D9202" s="3" t="s">
        <v>221</v>
      </c>
      <c r="E9202" s="3" t="s">
        <v>767</v>
      </c>
      <c r="F9202" s="7">
        <v>45926.78534074464</v>
      </c>
      <c r="G9202" s="3" t="s">
        <v>6086</v>
      </c>
    </row>
    <row r="9203">
      <c r="A9203" s="3" t="s">
        <v>24364</v>
      </c>
      <c r="B9203" s="3" t="s">
        <v>8314</v>
      </c>
      <c r="C9203" s="5" t="s">
        <v>221</v>
      </c>
      <c r="D9203" s="3" t="s">
        <v>614</v>
      </c>
      <c r="E9203" s="3" t="s">
        <v>118</v>
      </c>
      <c r="F9203" s="7">
        <v>45926.78881296686</v>
      </c>
      <c r="G9203" s="3" t="s">
        <v>6088</v>
      </c>
    </row>
    <row r="9204">
      <c r="A9204" s="3" t="s">
        <v>24365</v>
      </c>
      <c r="B9204" s="3" t="s">
        <v>8314</v>
      </c>
      <c r="C9204" s="5" t="s">
        <v>614</v>
      </c>
      <c r="D9204" s="3" t="s">
        <v>206</v>
      </c>
      <c r="E9204" s="3" t="s">
        <v>100</v>
      </c>
      <c r="F9204" s="7">
        <v>45926.79228518908</v>
      </c>
      <c r="G9204" s="3" t="s">
        <v>6091</v>
      </c>
    </row>
    <row r="9205">
      <c r="A9205" s="3" t="s">
        <v>24366</v>
      </c>
      <c r="B9205" s="3" t="s">
        <v>8314</v>
      </c>
      <c r="C9205" s="5" t="s">
        <v>206</v>
      </c>
      <c r="D9205" s="3" t="s">
        <v>68</v>
      </c>
      <c r="E9205" s="3" t="s">
        <v>100</v>
      </c>
      <c r="F9205" s="7">
        <v>45926.7957574113</v>
      </c>
      <c r="G9205" s="3" t="s">
        <v>6094</v>
      </c>
    </row>
    <row r="9206">
      <c r="A9206" s="3" t="s">
        <v>24367</v>
      </c>
      <c r="B9206" s="3" t="s">
        <v>8317</v>
      </c>
      <c r="C9206" s="5" t="s">
        <v>45</v>
      </c>
      <c r="D9206" s="3" t="s">
        <v>221</v>
      </c>
      <c r="E9206" s="3" t="s">
        <v>640</v>
      </c>
      <c r="F9206" s="7">
        <v>45926.85651559005</v>
      </c>
      <c r="G9206" s="3" t="s">
        <v>23341</v>
      </c>
    </row>
    <row r="9207">
      <c r="A9207" s="3" t="s">
        <v>24368</v>
      </c>
      <c r="B9207" s="3" t="s">
        <v>8317</v>
      </c>
      <c r="C9207" s="5" t="s">
        <v>221</v>
      </c>
      <c r="D9207" s="3" t="s">
        <v>614</v>
      </c>
      <c r="E9207" s="3" t="s">
        <v>118</v>
      </c>
      <c r="F9207" s="7">
        <v>45926.85998781227</v>
      </c>
      <c r="G9207" s="3" t="s">
        <v>23344</v>
      </c>
    </row>
    <row r="9208">
      <c r="A9208" s="3" t="s">
        <v>24369</v>
      </c>
      <c r="B9208" s="3" t="s">
        <v>8317</v>
      </c>
      <c r="C9208" s="5" t="s">
        <v>614</v>
      </c>
      <c r="D9208" s="3" t="s">
        <v>206</v>
      </c>
      <c r="E9208" s="3" t="s">
        <v>100</v>
      </c>
      <c r="F9208" s="7">
        <v>45926.863460034496</v>
      </c>
      <c r="G9208" s="3" t="s">
        <v>23347</v>
      </c>
    </row>
    <row r="9209">
      <c r="A9209" s="3" t="s">
        <v>24370</v>
      </c>
      <c r="B9209" s="3" t="s">
        <v>8317</v>
      </c>
      <c r="C9209" s="5" t="s">
        <v>206</v>
      </c>
      <c r="D9209" s="3" t="s">
        <v>68</v>
      </c>
      <c r="E9209" s="3" t="s">
        <v>100</v>
      </c>
      <c r="F9209" s="7">
        <v>45926.866932256715</v>
      </c>
      <c r="G9209" s="3" t="s">
        <v>23350</v>
      </c>
    </row>
    <row r="9210">
      <c r="A9210" s="3" t="s">
        <v>24371</v>
      </c>
      <c r="B9210" s="3" t="s">
        <v>8320</v>
      </c>
      <c r="C9210" s="5" t="s">
        <v>45</v>
      </c>
      <c r="D9210" s="3" t="s">
        <v>221</v>
      </c>
      <c r="E9210" s="3" t="s">
        <v>676</v>
      </c>
      <c r="F9210" s="7">
        <v>45926.92769043547</v>
      </c>
      <c r="G9210" s="3" t="s">
        <v>8327</v>
      </c>
    </row>
    <row r="9211">
      <c r="A9211" s="3" t="s">
        <v>24372</v>
      </c>
      <c r="B9211" s="3" t="s">
        <v>8320</v>
      </c>
      <c r="C9211" s="5" t="s">
        <v>221</v>
      </c>
      <c r="D9211" s="3" t="s">
        <v>614</v>
      </c>
      <c r="E9211" s="3" t="s">
        <v>118</v>
      </c>
      <c r="F9211" s="7">
        <v>45926.93116265769</v>
      </c>
      <c r="G9211" s="3" t="s">
        <v>10208</v>
      </c>
    </row>
    <row r="9212">
      <c r="A9212" s="3" t="s">
        <v>24373</v>
      </c>
      <c r="B9212" s="3" t="s">
        <v>8320</v>
      </c>
      <c r="C9212" s="5" t="s">
        <v>614</v>
      </c>
      <c r="D9212" s="3" t="s">
        <v>206</v>
      </c>
      <c r="E9212" s="3" t="s">
        <v>100</v>
      </c>
      <c r="F9212" s="7">
        <v>45926.934634879915</v>
      </c>
      <c r="G9212" s="3" t="s">
        <v>10211</v>
      </c>
    </row>
    <row r="9213">
      <c r="A9213" s="3" t="s">
        <v>24374</v>
      </c>
      <c r="B9213" s="3" t="s">
        <v>8320</v>
      </c>
      <c r="C9213" s="5" t="s">
        <v>206</v>
      </c>
      <c r="D9213" s="3" t="s">
        <v>68</v>
      </c>
      <c r="E9213" s="3" t="s">
        <v>100</v>
      </c>
      <c r="F9213" s="7">
        <v>45926.938107102134</v>
      </c>
      <c r="G9213" s="3" t="s">
        <v>10213</v>
      </c>
    </row>
    <row r="9214">
      <c r="A9214" s="3" t="s">
        <v>24375</v>
      </c>
      <c r="B9214" s="3" t="s">
        <v>8323</v>
      </c>
      <c r="C9214" s="5" t="s">
        <v>45</v>
      </c>
      <c r="D9214" s="3" t="s">
        <v>221</v>
      </c>
      <c r="E9214" s="3" t="s">
        <v>135</v>
      </c>
      <c r="F9214" s="7">
        <v>45926.99886528088</v>
      </c>
      <c r="G9214" s="3" t="s">
        <v>7307</v>
      </c>
    </row>
    <row r="9215">
      <c r="A9215" s="3" t="s">
        <v>24376</v>
      </c>
      <c r="B9215" s="3" t="s">
        <v>8323</v>
      </c>
      <c r="C9215" s="5" t="s">
        <v>221</v>
      </c>
      <c r="D9215" s="3" t="s">
        <v>614</v>
      </c>
      <c r="E9215" s="3" t="s">
        <v>118</v>
      </c>
      <c r="F9215" s="7">
        <v>45927.0023375031</v>
      </c>
      <c r="G9215" s="3" t="s">
        <v>7310</v>
      </c>
    </row>
    <row r="9216">
      <c r="A9216" s="3" t="s">
        <v>24377</v>
      </c>
      <c r="B9216" s="3" t="s">
        <v>8323</v>
      </c>
      <c r="C9216" s="5" t="s">
        <v>614</v>
      </c>
      <c r="D9216" s="3" t="s">
        <v>206</v>
      </c>
      <c r="E9216" s="3" t="s">
        <v>100</v>
      </c>
      <c r="F9216" s="7">
        <v>45927.00580972533</v>
      </c>
      <c r="G9216" s="3" t="s">
        <v>7313</v>
      </c>
    </row>
    <row r="9217">
      <c r="A9217" s="3" t="s">
        <v>24378</v>
      </c>
      <c r="B9217" s="3" t="s">
        <v>8323</v>
      </c>
      <c r="C9217" s="5" t="s">
        <v>206</v>
      </c>
      <c r="D9217" s="3" t="s">
        <v>68</v>
      </c>
      <c r="E9217" s="3" t="s">
        <v>100</v>
      </c>
      <c r="F9217" s="7">
        <v>45927.00928194755</v>
      </c>
      <c r="G9217" s="3" t="s">
        <v>7316</v>
      </c>
    </row>
    <row r="9218">
      <c r="A9218" s="3" t="s">
        <v>24379</v>
      </c>
      <c r="B9218" s="3" t="s">
        <v>8326</v>
      </c>
      <c r="C9218" s="5" t="s">
        <v>45</v>
      </c>
      <c r="D9218" s="3" t="s">
        <v>221</v>
      </c>
      <c r="E9218" s="3" t="s">
        <v>980</v>
      </c>
      <c r="F9218" s="7">
        <v>45927.070040126295</v>
      </c>
      <c r="G9218" s="3" t="s">
        <v>24380</v>
      </c>
    </row>
    <row r="9219">
      <c r="A9219" s="3" t="s">
        <v>24381</v>
      </c>
      <c r="B9219" s="3" t="s">
        <v>8326</v>
      </c>
      <c r="C9219" s="5" t="s">
        <v>221</v>
      </c>
      <c r="D9219" s="3" t="s">
        <v>614</v>
      </c>
      <c r="E9219" s="3" t="s">
        <v>118</v>
      </c>
      <c r="F9219" s="7">
        <v>45927.073512348514</v>
      </c>
      <c r="G9219" s="3" t="s">
        <v>24382</v>
      </c>
    </row>
    <row r="9220">
      <c r="A9220" s="3" t="s">
        <v>24383</v>
      </c>
      <c r="B9220" s="3" t="s">
        <v>8326</v>
      </c>
      <c r="C9220" s="5" t="s">
        <v>614</v>
      </c>
      <c r="D9220" s="3" t="s">
        <v>206</v>
      </c>
      <c r="E9220" s="3" t="s">
        <v>100</v>
      </c>
      <c r="F9220" s="7">
        <v>45927.07698457074</v>
      </c>
      <c r="G9220" s="3" t="s">
        <v>24384</v>
      </c>
    </row>
    <row r="9221">
      <c r="A9221" s="3" t="s">
        <v>24385</v>
      </c>
      <c r="B9221" s="3" t="s">
        <v>8326</v>
      </c>
      <c r="C9221" s="5" t="s">
        <v>206</v>
      </c>
      <c r="D9221" s="3" t="s">
        <v>68</v>
      </c>
      <c r="E9221" s="3" t="s">
        <v>100</v>
      </c>
      <c r="F9221" s="7">
        <v>45927.08045679296</v>
      </c>
      <c r="G9221" s="3" t="s">
        <v>24386</v>
      </c>
    </row>
    <row r="9222">
      <c r="A9222" s="3" t="s">
        <v>24387</v>
      </c>
      <c r="B9222" s="3" t="s">
        <v>8329</v>
      </c>
      <c r="C9222" s="5" t="s">
        <v>45</v>
      </c>
      <c r="D9222" s="3" t="s">
        <v>221</v>
      </c>
      <c r="E9222" s="3" t="s">
        <v>710</v>
      </c>
      <c r="F9222" s="7">
        <v>45927.141214971714</v>
      </c>
      <c r="G9222" s="3" t="s">
        <v>20670</v>
      </c>
    </row>
    <row r="9223">
      <c r="A9223" s="3" t="s">
        <v>24388</v>
      </c>
      <c r="B9223" s="3" t="s">
        <v>8329</v>
      </c>
      <c r="C9223" s="5" t="s">
        <v>221</v>
      </c>
      <c r="D9223" s="3" t="s">
        <v>614</v>
      </c>
      <c r="E9223" s="3" t="s">
        <v>118</v>
      </c>
      <c r="F9223" s="7">
        <v>45927.14468719393</v>
      </c>
      <c r="G9223" s="3" t="s">
        <v>20672</v>
      </c>
    </row>
    <row r="9224">
      <c r="A9224" s="3" t="s">
        <v>24389</v>
      </c>
      <c r="B9224" s="3" t="s">
        <v>8329</v>
      </c>
      <c r="C9224" s="5" t="s">
        <v>614</v>
      </c>
      <c r="D9224" s="3" t="s">
        <v>206</v>
      </c>
      <c r="E9224" s="3" t="s">
        <v>100</v>
      </c>
      <c r="F9224" s="7">
        <v>45927.14815941616</v>
      </c>
      <c r="G9224" s="3" t="s">
        <v>20675</v>
      </c>
    </row>
    <row r="9225">
      <c r="A9225" s="3" t="s">
        <v>24390</v>
      </c>
      <c r="B9225" s="3" t="s">
        <v>8329</v>
      </c>
      <c r="C9225" s="5" t="s">
        <v>206</v>
      </c>
      <c r="D9225" s="3" t="s">
        <v>68</v>
      </c>
      <c r="E9225" s="3" t="s">
        <v>100</v>
      </c>
      <c r="F9225" s="7">
        <v>45927.15163163838</v>
      </c>
      <c r="G9225" s="3" t="s">
        <v>20678</v>
      </c>
    </row>
    <row r="9226">
      <c r="A9226" s="3" t="s">
        <v>24391</v>
      </c>
      <c r="B9226" s="3" t="s">
        <v>8333</v>
      </c>
      <c r="C9226" s="5" t="s">
        <v>45</v>
      </c>
      <c r="D9226" s="3" t="s">
        <v>221</v>
      </c>
      <c r="E9226" s="3" t="s">
        <v>380</v>
      </c>
      <c r="F9226" s="7">
        <v>45927.21238981713</v>
      </c>
      <c r="G9226" s="3" t="s">
        <v>7499</v>
      </c>
    </row>
    <row r="9227">
      <c r="A9227" s="3" t="s">
        <v>24392</v>
      </c>
      <c r="B9227" s="3" t="s">
        <v>8333</v>
      </c>
      <c r="C9227" s="5" t="s">
        <v>221</v>
      </c>
      <c r="D9227" s="3" t="s">
        <v>614</v>
      </c>
      <c r="E9227" s="3" t="s">
        <v>118</v>
      </c>
      <c r="F9227" s="7">
        <v>45927.215862039346</v>
      </c>
      <c r="G9227" s="3" t="s">
        <v>7502</v>
      </c>
    </row>
    <row r="9228">
      <c r="A9228" s="3" t="s">
        <v>24393</v>
      </c>
      <c r="B9228" s="3" t="s">
        <v>8333</v>
      </c>
      <c r="C9228" s="5" t="s">
        <v>614</v>
      </c>
      <c r="D9228" s="3" t="s">
        <v>206</v>
      </c>
      <c r="E9228" s="3" t="s">
        <v>100</v>
      </c>
      <c r="F9228" s="7">
        <v>45927.21933426157</v>
      </c>
      <c r="G9228" s="3" t="s">
        <v>7505</v>
      </c>
    </row>
    <row r="9229">
      <c r="A9229" s="3" t="s">
        <v>24394</v>
      </c>
      <c r="B9229" s="3" t="s">
        <v>8333</v>
      </c>
      <c r="C9229" s="5" t="s">
        <v>206</v>
      </c>
      <c r="D9229" s="3" t="s">
        <v>68</v>
      </c>
      <c r="E9229" s="3" t="s">
        <v>100</v>
      </c>
      <c r="F9229" s="7">
        <v>45927.22280648379</v>
      </c>
      <c r="G9229" s="3" t="s">
        <v>7508</v>
      </c>
    </row>
    <row r="9230">
      <c r="A9230" s="3" t="s">
        <v>24395</v>
      </c>
      <c r="B9230" s="3" t="s">
        <v>8336</v>
      </c>
      <c r="C9230" s="5" t="s">
        <v>45</v>
      </c>
      <c r="D9230" s="3" t="s">
        <v>221</v>
      </c>
      <c r="E9230" s="3" t="s">
        <v>197</v>
      </c>
      <c r="F9230" s="7">
        <v>45927.28356466254</v>
      </c>
      <c r="G9230" s="3" t="s">
        <v>7511</v>
      </c>
    </row>
    <row r="9231">
      <c r="A9231" s="3" t="s">
        <v>24396</v>
      </c>
      <c r="B9231" s="3" t="s">
        <v>8336</v>
      </c>
      <c r="C9231" s="5" t="s">
        <v>221</v>
      </c>
      <c r="D9231" s="3" t="s">
        <v>614</v>
      </c>
      <c r="E9231" s="3" t="s">
        <v>118</v>
      </c>
      <c r="F9231" s="7">
        <v>45927.28703688476</v>
      </c>
      <c r="G9231" s="3" t="s">
        <v>7514</v>
      </c>
    </row>
    <row r="9232">
      <c r="A9232" s="3" t="s">
        <v>24397</v>
      </c>
      <c r="B9232" s="3" t="s">
        <v>8336</v>
      </c>
      <c r="C9232" s="5" t="s">
        <v>614</v>
      </c>
      <c r="D9232" s="3" t="s">
        <v>206</v>
      </c>
      <c r="E9232" s="3" t="s">
        <v>100</v>
      </c>
      <c r="F9232" s="7">
        <v>45927.290509106984</v>
      </c>
      <c r="G9232" s="3" t="s">
        <v>7516</v>
      </c>
    </row>
    <row r="9233">
      <c r="A9233" s="3" t="s">
        <v>24398</v>
      </c>
      <c r="B9233" s="3" t="s">
        <v>8336</v>
      </c>
      <c r="C9233" s="5" t="s">
        <v>206</v>
      </c>
      <c r="D9233" s="3" t="s">
        <v>68</v>
      </c>
      <c r="E9233" s="3" t="s">
        <v>100</v>
      </c>
      <c r="F9233" s="7">
        <v>45927.2939813292</v>
      </c>
      <c r="G9233" s="3" t="s">
        <v>7519</v>
      </c>
    </row>
    <row r="9234">
      <c r="A9234" s="3" t="s">
        <v>24399</v>
      </c>
      <c r="B9234" s="3" t="s">
        <v>8340</v>
      </c>
      <c r="C9234" s="5" t="s">
        <v>45</v>
      </c>
      <c r="D9234" s="3" t="s">
        <v>221</v>
      </c>
      <c r="E9234" s="3" t="s">
        <v>900</v>
      </c>
      <c r="F9234" s="7">
        <v>45927.35473950796</v>
      </c>
      <c r="G9234" s="3" t="s">
        <v>19087</v>
      </c>
    </row>
    <row r="9235">
      <c r="A9235" s="3" t="s">
        <v>24400</v>
      </c>
      <c r="B9235" s="3" t="s">
        <v>8340</v>
      </c>
      <c r="C9235" s="5" t="s">
        <v>221</v>
      </c>
      <c r="D9235" s="3" t="s">
        <v>614</v>
      </c>
      <c r="E9235" s="3" t="s">
        <v>118</v>
      </c>
      <c r="F9235" s="7">
        <v>45927.35821173018</v>
      </c>
      <c r="G9235" s="3" t="s">
        <v>19090</v>
      </c>
    </row>
    <row r="9236">
      <c r="A9236" s="3" t="s">
        <v>24401</v>
      </c>
      <c r="B9236" s="3" t="s">
        <v>8340</v>
      </c>
      <c r="C9236" s="5" t="s">
        <v>614</v>
      </c>
      <c r="D9236" s="3" t="s">
        <v>206</v>
      </c>
      <c r="E9236" s="3" t="s">
        <v>100</v>
      </c>
      <c r="F9236" s="7">
        <v>45927.361683952404</v>
      </c>
      <c r="G9236" s="3" t="s">
        <v>19093</v>
      </c>
    </row>
    <row r="9237">
      <c r="A9237" s="3" t="s">
        <v>24402</v>
      </c>
      <c r="B9237" s="3" t="s">
        <v>8340</v>
      </c>
      <c r="C9237" s="5" t="s">
        <v>206</v>
      </c>
      <c r="D9237" s="3" t="s">
        <v>68</v>
      </c>
      <c r="E9237" s="3" t="s">
        <v>100</v>
      </c>
      <c r="F9237" s="7">
        <v>45927.36515617462</v>
      </c>
      <c r="G9237" s="3" t="s">
        <v>19096</v>
      </c>
    </row>
    <row r="9238">
      <c r="A9238" s="3" t="s">
        <v>24403</v>
      </c>
      <c r="B9238" s="3" t="s">
        <v>8343</v>
      </c>
      <c r="C9238" s="5" t="s">
        <v>45</v>
      </c>
      <c r="D9238" s="3" t="s">
        <v>221</v>
      </c>
      <c r="E9238" s="3" t="s">
        <v>496</v>
      </c>
      <c r="F9238" s="7">
        <v>45927.42591435337</v>
      </c>
      <c r="G9238" s="3" t="s">
        <v>7522</v>
      </c>
    </row>
    <row r="9239">
      <c r="A9239" s="3" t="s">
        <v>24404</v>
      </c>
      <c r="B9239" s="3" t="s">
        <v>8343</v>
      </c>
      <c r="C9239" s="5" t="s">
        <v>221</v>
      </c>
      <c r="D9239" s="3" t="s">
        <v>614</v>
      </c>
      <c r="E9239" s="3" t="s">
        <v>118</v>
      </c>
      <c r="F9239" s="7">
        <v>45927.42938657559</v>
      </c>
      <c r="G9239" s="3" t="s">
        <v>7525</v>
      </c>
    </row>
    <row r="9240">
      <c r="A9240" s="3" t="s">
        <v>24405</v>
      </c>
      <c r="B9240" s="3" t="s">
        <v>8343</v>
      </c>
      <c r="C9240" s="5" t="s">
        <v>614</v>
      </c>
      <c r="D9240" s="3" t="s">
        <v>206</v>
      </c>
      <c r="E9240" s="3" t="s">
        <v>100</v>
      </c>
      <c r="F9240" s="7">
        <v>45927.432858797816</v>
      </c>
      <c r="G9240" s="3" t="s">
        <v>7528</v>
      </c>
    </row>
    <row r="9241">
      <c r="A9241" s="3" t="s">
        <v>24406</v>
      </c>
      <c r="B9241" s="3" t="s">
        <v>8343</v>
      </c>
      <c r="C9241" s="5" t="s">
        <v>206</v>
      </c>
      <c r="D9241" s="3" t="s">
        <v>68</v>
      </c>
      <c r="E9241" s="3" t="s">
        <v>100</v>
      </c>
      <c r="F9241" s="7">
        <v>45927.436331020035</v>
      </c>
      <c r="G9241" s="3" t="s">
        <v>7531</v>
      </c>
    </row>
    <row r="9242">
      <c r="A9242" s="3" t="s">
        <v>24407</v>
      </c>
      <c r="B9242" s="3" t="s">
        <v>8345</v>
      </c>
      <c r="C9242" s="5" t="s">
        <v>45</v>
      </c>
      <c r="D9242" s="3" t="s">
        <v>221</v>
      </c>
      <c r="E9242" s="3" t="s">
        <v>453</v>
      </c>
      <c r="F9242" s="7">
        <v>45927.49708919878</v>
      </c>
      <c r="G9242" s="3" t="s">
        <v>5019</v>
      </c>
    </row>
    <row r="9243">
      <c r="A9243" s="3" t="s">
        <v>24408</v>
      </c>
      <c r="B9243" s="3" t="s">
        <v>8345</v>
      </c>
      <c r="C9243" s="5" t="s">
        <v>221</v>
      </c>
      <c r="D9243" s="3" t="s">
        <v>614</v>
      </c>
      <c r="E9243" s="3" t="s">
        <v>118</v>
      </c>
      <c r="F9243" s="7">
        <v>45927.500561421</v>
      </c>
      <c r="G9243" s="3" t="s">
        <v>5022</v>
      </c>
    </row>
    <row r="9244">
      <c r="A9244" s="3" t="s">
        <v>24409</v>
      </c>
      <c r="B9244" s="3" t="s">
        <v>8345</v>
      </c>
      <c r="C9244" s="5" t="s">
        <v>614</v>
      </c>
      <c r="D9244" s="3" t="s">
        <v>206</v>
      </c>
      <c r="E9244" s="3" t="s">
        <v>100</v>
      </c>
      <c r="F9244" s="7">
        <v>45927.50403364323</v>
      </c>
      <c r="G9244" s="3" t="s">
        <v>5025</v>
      </c>
    </row>
    <row r="9245">
      <c r="A9245" s="3" t="s">
        <v>24410</v>
      </c>
      <c r="B9245" s="3" t="s">
        <v>8345</v>
      </c>
      <c r="C9245" s="5" t="s">
        <v>206</v>
      </c>
      <c r="D9245" s="3" t="s">
        <v>68</v>
      </c>
      <c r="E9245" s="3" t="s">
        <v>100</v>
      </c>
      <c r="F9245" s="7">
        <v>45927.50750586545</v>
      </c>
      <c r="G9245" s="3" t="s">
        <v>5028</v>
      </c>
    </row>
    <row r="9246">
      <c r="A9246" s="3" t="s">
        <v>24411</v>
      </c>
      <c r="B9246" s="3" t="s">
        <v>8348</v>
      </c>
      <c r="C9246" s="5" t="s">
        <v>45</v>
      </c>
      <c r="D9246" s="3" t="s">
        <v>221</v>
      </c>
      <c r="E9246" s="3" t="s">
        <v>179</v>
      </c>
      <c r="F9246" s="7">
        <v>45927.5682640442</v>
      </c>
      <c r="G9246" s="3" t="s">
        <v>6510</v>
      </c>
    </row>
    <row r="9247">
      <c r="A9247" s="3" t="s">
        <v>24412</v>
      </c>
      <c r="B9247" s="3" t="s">
        <v>8348</v>
      </c>
      <c r="C9247" s="5" t="s">
        <v>221</v>
      </c>
      <c r="D9247" s="3" t="s">
        <v>195</v>
      </c>
      <c r="E9247" s="3" t="s">
        <v>179</v>
      </c>
      <c r="F9247" s="7">
        <v>45927.57173626642</v>
      </c>
      <c r="G9247" s="3" t="s">
        <v>24413</v>
      </c>
    </row>
    <row r="9248">
      <c r="A9248" s="3" t="s">
        <v>24414</v>
      </c>
      <c r="B9248" s="3" t="s">
        <v>8352</v>
      </c>
      <c r="C9248" s="5" t="s">
        <v>45</v>
      </c>
      <c r="D9248" s="3" t="s">
        <v>221</v>
      </c>
      <c r="E9248" s="3" t="s">
        <v>929</v>
      </c>
      <c r="F9248" s="7">
        <v>45927.63943888962</v>
      </c>
      <c r="G9248" s="3" t="s">
        <v>6614</v>
      </c>
    </row>
    <row r="9249">
      <c r="A9249" s="3" t="s">
        <v>24415</v>
      </c>
      <c r="B9249" s="3" t="s">
        <v>8352</v>
      </c>
      <c r="C9249" s="5" t="s">
        <v>221</v>
      </c>
      <c r="D9249" s="3" t="s">
        <v>614</v>
      </c>
      <c r="E9249" s="3" t="s">
        <v>118</v>
      </c>
      <c r="F9249" s="7">
        <v>45927.64291111184</v>
      </c>
      <c r="G9249" s="3" t="s">
        <v>6617</v>
      </c>
    </row>
    <row r="9250">
      <c r="A9250" s="3" t="s">
        <v>24416</v>
      </c>
      <c r="B9250" s="3" t="s">
        <v>8352</v>
      </c>
      <c r="C9250" s="5" t="s">
        <v>614</v>
      </c>
      <c r="D9250" s="3" t="s">
        <v>206</v>
      </c>
      <c r="E9250" s="3" t="s">
        <v>100</v>
      </c>
      <c r="F9250" s="7">
        <v>45927.64638333407</v>
      </c>
      <c r="G9250" s="3" t="s">
        <v>6619</v>
      </c>
    </row>
    <row r="9251">
      <c r="A9251" s="3" t="s">
        <v>24417</v>
      </c>
      <c r="B9251" s="3" t="s">
        <v>8352</v>
      </c>
      <c r="C9251" s="5" t="s">
        <v>206</v>
      </c>
      <c r="D9251" s="3" t="s">
        <v>68</v>
      </c>
      <c r="E9251" s="3" t="s">
        <v>100</v>
      </c>
      <c r="F9251" s="7">
        <v>45927.64985555629</v>
      </c>
      <c r="G9251" s="3" t="s">
        <v>6622</v>
      </c>
    </row>
    <row r="9252">
      <c r="A9252" s="3" t="s">
        <v>24418</v>
      </c>
      <c r="B9252" s="3" t="s">
        <v>8356</v>
      </c>
      <c r="C9252" s="5" t="s">
        <v>45</v>
      </c>
      <c r="D9252" s="3" t="s">
        <v>221</v>
      </c>
      <c r="E9252" s="3" t="s">
        <v>1034</v>
      </c>
      <c r="F9252" s="7">
        <v>45927.71061373503</v>
      </c>
      <c r="G9252" s="3" t="s">
        <v>16766</v>
      </c>
    </row>
    <row r="9253">
      <c r="A9253" s="3" t="s">
        <v>24419</v>
      </c>
      <c r="B9253" s="3" t="s">
        <v>8356</v>
      </c>
      <c r="C9253" s="5" t="s">
        <v>221</v>
      </c>
      <c r="D9253" s="3" t="s">
        <v>614</v>
      </c>
      <c r="E9253" s="3" t="s">
        <v>118</v>
      </c>
      <c r="F9253" s="7">
        <v>45927.71408595725</v>
      </c>
      <c r="G9253" s="3" t="s">
        <v>16769</v>
      </c>
    </row>
    <row r="9254">
      <c r="A9254" s="3" t="s">
        <v>24420</v>
      </c>
      <c r="B9254" s="3" t="s">
        <v>8356</v>
      </c>
      <c r="C9254" s="5" t="s">
        <v>614</v>
      </c>
      <c r="D9254" s="3" t="s">
        <v>206</v>
      </c>
      <c r="E9254" s="3" t="s">
        <v>100</v>
      </c>
      <c r="F9254" s="7">
        <v>45927.71755817947</v>
      </c>
      <c r="G9254" s="3" t="s">
        <v>16772</v>
      </c>
    </row>
    <row r="9255">
      <c r="A9255" s="3" t="s">
        <v>24421</v>
      </c>
      <c r="B9255" s="3" t="s">
        <v>8356</v>
      </c>
      <c r="C9255" s="5" t="s">
        <v>206</v>
      </c>
      <c r="D9255" s="3" t="s">
        <v>68</v>
      </c>
      <c r="E9255" s="3" t="s">
        <v>100</v>
      </c>
      <c r="F9255" s="7">
        <v>45927.72103040169</v>
      </c>
      <c r="G9255" s="3" t="s">
        <v>16775</v>
      </c>
    </row>
    <row r="9256">
      <c r="A9256" s="3" t="s">
        <v>24422</v>
      </c>
      <c r="B9256" s="3" t="s">
        <v>8359</v>
      </c>
      <c r="C9256" s="5" t="s">
        <v>45</v>
      </c>
      <c r="D9256" s="3" t="s">
        <v>221</v>
      </c>
      <c r="E9256" s="3" t="s">
        <v>510</v>
      </c>
      <c r="F9256" s="7">
        <v>45927.78178858045</v>
      </c>
      <c r="G9256" s="3" t="s">
        <v>7488</v>
      </c>
    </row>
    <row r="9257">
      <c r="A9257" s="3" t="s">
        <v>24423</v>
      </c>
      <c r="B9257" s="3" t="s">
        <v>8359</v>
      </c>
      <c r="C9257" s="5" t="s">
        <v>221</v>
      </c>
      <c r="D9257" s="3" t="s">
        <v>614</v>
      </c>
      <c r="E9257" s="3" t="s">
        <v>118</v>
      </c>
      <c r="F9257" s="7">
        <v>45927.785260802666</v>
      </c>
      <c r="G9257" s="3" t="s">
        <v>7491</v>
      </c>
    </row>
    <row r="9258">
      <c r="A9258" s="3" t="s">
        <v>24424</v>
      </c>
      <c r="B9258" s="3" t="s">
        <v>8359</v>
      </c>
      <c r="C9258" s="5" t="s">
        <v>614</v>
      </c>
      <c r="D9258" s="3" t="s">
        <v>206</v>
      </c>
      <c r="E9258" s="3" t="s">
        <v>100</v>
      </c>
      <c r="F9258" s="7">
        <v>45927.78873302489</v>
      </c>
      <c r="G9258" s="3" t="s">
        <v>7494</v>
      </c>
    </row>
    <row r="9259">
      <c r="A9259" s="3" t="s">
        <v>24425</v>
      </c>
      <c r="B9259" s="3" t="s">
        <v>8359</v>
      </c>
      <c r="C9259" s="5" t="s">
        <v>206</v>
      </c>
      <c r="D9259" s="3" t="s">
        <v>68</v>
      </c>
      <c r="E9259" s="3" t="s">
        <v>100</v>
      </c>
      <c r="F9259" s="7">
        <v>45927.79220524711</v>
      </c>
      <c r="G9259" s="3" t="s">
        <v>7496</v>
      </c>
    </row>
    <row r="9260">
      <c r="A9260" s="3" t="s">
        <v>24426</v>
      </c>
      <c r="B9260" s="3" t="s">
        <v>8361</v>
      </c>
      <c r="C9260" s="5" t="s">
        <v>45</v>
      </c>
      <c r="D9260" s="3" t="s">
        <v>221</v>
      </c>
      <c r="E9260" s="3" t="s">
        <v>282</v>
      </c>
      <c r="F9260" s="7">
        <v>45927.85296342587</v>
      </c>
      <c r="G9260" s="3" t="s">
        <v>24427</v>
      </c>
    </row>
    <row r="9261">
      <c r="A9261" s="3" t="s">
        <v>24428</v>
      </c>
      <c r="B9261" s="3" t="s">
        <v>8361</v>
      </c>
      <c r="C9261" s="5" t="s">
        <v>221</v>
      </c>
      <c r="D9261" s="3" t="s">
        <v>614</v>
      </c>
      <c r="E9261" s="3" t="s">
        <v>118</v>
      </c>
      <c r="F9261" s="7">
        <v>45927.856435648086</v>
      </c>
      <c r="G9261" s="3" t="s">
        <v>24429</v>
      </c>
    </row>
    <row r="9262">
      <c r="A9262" s="3" t="s">
        <v>24430</v>
      </c>
      <c r="B9262" s="3" t="s">
        <v>8361</v>
      </c>
      <c r="C9262" s="5" t="s">
        <v>614</v>
      </c>
      <c r="D9262" s="3" t="s">
        <v>206</v>
      </c>
      <c r="E9262" s="3" t="s">
        <v>100</v>
      </c>
      <c r="F9262" s="7">
        <v>45927.85990787031</v>
      </c>
      <c r="G9262" s="3" t="s">
        <v>24431</v>
      </c>
    </row>
    <row r="9263">
      <c r="A9263" s="3" t="s">
        <v>24432</v>
      </c>
      <c r="B9263" s="3" t="s">
        <v>8361</v>
      </c>
      <c r="C9263" s="5" t="s">
        <v>206</v>
      </c>
      <c r="D9263" s="3" t="s">
        <v>68</v>
      </c>
      <c r="E9263" s="3" t="s">
        <v>100</v>
      </c>
      <c r="F9263" s="7">
        <v>45927.86338009253</v>
      </c>
      <c r="G9263" s="3" t="s">
        <v>24433</v>
      </c>
    </row>
    <row r="9264">
      <c r="A9264" s="3" t="s">
        <v>24434</v>
      </c>
      <c r="B9264" s="3" t="s">
        <v>8363</v>
      </c>
      <c r="C9264" s="5" t="s">
        <v>45</v>
      </c>
      <c r="D9264" s="3" t="s">
        <v>221</v>
      </c>
      <c r="E9264" s="3" t="s">
        <v>377</v>
      </c>
      <c r="F9264" s="7">
        <v>45927.92413827128</v>
      </c>
      <c r="G9264" s="3" t="s">
        <v>4588</v>
      </c>
    </row>
    <row r="9265">
      <c r="A9265" s="3" t="s">
        <v>24435</v>
      </c>
      <c r="B9265" s="3" t="s">
        <v>8363</v>
      </c>
      <c r="C9265" s="5" t="s">
        <v>221</v>
      </c>
      <c r="D9265" s="3" t="s">
        <v>614</v>
      </c>
      <c r="E9265" s="3" t="s">
        <v>118</v>
      </c>
      <c r="F9265" s="7">
        <v>45927.9276104935</v>
      </c>
      <c r="G9265" s="3" t="s">
        <v>4591</v>
      </c>
    </row>
    <row r="9266">
      <c r="A9266" s="3" t="s">
        <v>24436</v>
      </c>
      <c r="B9266" s="3" t="s">
        <v>8363</v>
      </c>
      <c r="C9266" s="5" t="s">
        <v>614</v>
      </c>
      <c r="D9266" s="3" t="s">
        <v>206</v>
      </c>
      <c r="E9266" s="3" t="s">
        <v>100</v>
      </c>
      <c r="F9266" s="7">
        <v>45927.931082715724</v>
      </c>
      <c r="G9266" s="3" t="s">
        <v>4594</v>
      </c>
    </row>
    <row r="9267">
      <c r="A9267" s="3" t="s">
        <v>24437</v>
      </c>
      <c r="B9267" s="3" t="s">
        <v>8363</v>
      </c>
      <c r="C9267" s="5" t="s">
        <v>206</v>
      </c>
      <c r="D9267" s="3" t="s">
        <v>68</v>
      </c>
      <c r="E9267" s="3" t="s">
        <v>100</v>
      </c>
      <c r="F9267" s="7">
        <v>45927.93455493794</v>
      </c>
      <c r="G9267" s="3" t="s">
        <v>4597</v>
      </c>
    </row>
    <row r="9268">
      <c r="A9268" s="3" t="s">
        <v>24438</v>
      </c>
      <c r="B9268" s="3" t="s">
        <v>8365</v>
      </c>
      <c r="C9268" s="5" t="s">
        <v>45</v>
      </c>
      <c r="D9268" s="3" t="s">
        <v>221</v>
      </c>
      <c r="E9268" s="3" t="s">
        <v>488</v>
      </c>
      <c r="F9268" s="7">
        <v>45927.99531311669</v>
      </c>
      <c r="G9268" s="3" t="s">
        <v>7546</v>
      </c>
    </row>
    <row r="9269">
      <c r="A9269" s="3" t="s">
        <v>24439</v>
      </c>
      <c r="B9269" s="3" t="s">
        <v>8365</v>
      </c>
      <c r="C9269" s="5" t="s">
        <v>221</v>
      </c>
      <c r="D9269" s="3" t="s">
        <v>614</v>
      </c>
      <c r="E9269" s="3" t="s">
        <v>118</v>
      </c>
      <c r="F9269" s="7">
        <v>45927.99878533891</v>
      </c>
      <c r="G9269" s="3" t="s">
        <v>7549</v>
      </c>
    </row>
    <row r="9270">
      <c r="A9270" s="3" t="s">
        <v>24440</v>
      </c>
      <c r="B9270" s="3" t="s">
        <v>8365</v>
      </c>
      <c r="C9270" s="5" t="s">
        <v>614</v>
      </c>
      <c r="D9270" s="3" t="s">
        <v>206</v>
      </c>
      <c r="E9270" s="3" t="s">
        <v>100</v>
      </c>
      <c r="F9270" s="7">
        <v>45928.00225756114</v>
      </c>
      <c r="G9270" s="3" t="s">
        <v>7552</v>
      </c>
    </row>
    <row r="9271">
      <c r="A9271" s="3" t="s">
        <v>24441</v>
      </c>
      <c r="B9271" s="3" t="s">
        <v>8365</v>
      </c>
      <c r="C9271" s="5" t="s">
        <v>206</v>
      </c>
      <c r="D9271" s="3" t="s">
        <v>68</v>
      </c>
      <c r="E9271" s="3" t="s">
        <v>100</v>
      </c>
      <c r="F9271" s="7">
        <v>45928.005729783355</v>
      </c>
      <c r="G9271" s="3" t="s">
        <v>7555</v>
      </c>
    </row>
    <row r="9272">
      <c r="A9272" s="3" t="s">
        <v>24442</v>
      </c>
      <c r="B9272" s="3" t="s">
        <v>8367</v>
      </c>
      <c r="C9272" s="5" t="s">
        <v>45</v>
      </c>
      <c r="D9272" s="3" t="s">
        <v>221</v>
      </c>
      <c r="E9272" s="3" t="s">
        <v>398</v>
      </c>
      <c r="F9272" s="7">
        <v>45928.06648796211</v>
      </c>
      <c r="G9272" s="3" t="s">
        <v>7557</v>
      </c>
    </row>
    <row r="9273">
      <c r="A9273" s="3" t="s">
        <v>24443</v>
      </c>
      <c r="B9273" s="3" t="s">
        <v>8367</v>
      </c>
      <c r="C9273" s="5" t="s">
        <v>221</v>
      </c>
      <c r="D9273" s="3" t="s">
        <v>614</v>
      </c>
      <c r="E9273" s="3" t="s">
        <v>118</v>
      </c>
      <c r="F9273" s="7">
        <v>45928.06996018433</v>
      </c>
      <c r="G9273" s="3" t="s">
        <v>7560</v>
      </c>
    </row>
    <row r="9274">
      <c r="A9274" s="3" t="s">
        <v>24444</v>
      </c>
      <c r="B9274" s="3" t="s">
        <v>8367</v>
      </c>
      <c r="C9274" s="5" t="s">
        <v>614</v>
      </c>
      <c r="D9274" s="3" t="s">
        <v>206</v>
      </c>
      <c r="E9274" s="3" t="s">
        <v>100</v>
      </c>
      <c r="F9274" s="7">
        <v>45928.073432406556</v>
      </c>
      <c r="G9274" s="3" t="s">
        <v>7563</v>
      </c>
    </row>
    <row r="9275">
      <c r="A9275" s="3" t="s">
        <v>24445</v>
      </c>
      <c r="B9275" s="3" t="s">
        <v>8367</v>
      </c>
      <c r="C9275" s="5" t="s">
        <v>206</v>
      </c>
      <c r="D9275" s="3" t="s">
        <v>68</v>
      </c>
      <c r="E9275" s="3" t="s">
        <v>100</v>
      </c>
      <c r="F9275" s="7">
        <v>45928.076904628775</v>
      </c>
      <c r="G9275" s="3" t="s">
        <v>7566</v>
      </c>
    </row>
    <row r="9276">
      <c r="A9276" s="3" t="s">
        <v>24446</v>
      </c>
      <c r="B9276" s="3" t="s">
        <v>8370</v>
      </c>
      <c r="C9276" s="5" t="s">
        <v>45</v>
      </c>
      <c r="D9276" s="3" t="s">
        <v>221</v>
      </c>
      <c r="E9276" s="3" t="s">
        <v>505</v>
      </c>
      <c r="F9276" s="7">
        <v>45928.13766280752</v>
      </c>
      <c r="G9276" s="3" t="s">
        <v>4770</v>
      </c>
    </row>
    <row r="9277">
      <c r="A9277" s="3" t="s">
        <v>24447</v>
      </c>
      <c r="B9277" s="3" t="s">
        <v>8370</v>
      </c>
      <c r="C9277" s="5" t="s">
        <v>221</v>
      </c>
      <c r="D9277" s="3" t="s">
        <v>614</v>
      </c>
      <c r="E9277" s="3" t="s">
        <v>118</v>
      </c>
      <c r="F9277" s="7">
        <v>45928.14113502974</v>
      </c>
      <c r="G9277" s="3" t="s">
        <v>4773</v>
      </c>
    </row>
    <row r="9278">
      <c r="A9278" s="3" t="s">
        <v>24448</v>
      </c>
      <c r="B9278" s="3" t="s">
        <v>8370</v>
      </c>
      <c r="C9278" s="5" t="s">
        <v>614</v>
      </c>
      <c r="D9278" s="3" t="s">
        <v>206</v>
      </c>
      <c r="E9278" s="3" t="s">
        <v>100</v>
      </c>
      <c r="F9278" s="7">
        <v>45928.14460725197</v>
      </c>
      <c r="G9278" s="3" t="s">
        <v>4776</v>
      </c>
    </row>
    <row r="9279">
      <c r="A9279" s="3" t="s">
        <v>24449</v>
      </c>
      <c r="B9279" s="3" t="s">
        <v>8370</v>
      </c>
      <c r="C9279" s="5" t="s">
        <v>206</v>
      </c>
      <c r="D9279" s="3" t="s">
        <v>68</v>
      </c>
      <c r="E9279" s="3" t="s">
        <v>100</v>
      </c>
      <c r="F9279" s="7">
        <v>45928.14807947419</v>
      </c>
      <c r="G9279" s="3" t="s">
        <v>4779</v>
      </c>
    </row>
    <row r="9280">
      <c r="A9280" s="3" t="s">
        <v>24450</v>
      </c>
      <c r="B9280" s="3" t="s">
        <v>8373</v>
      </c>
      <c r="C9280" s="5" t="s">
        <v>45</v>
      </c>
      <c r="D9280" s="3" t="s">
        <v>221</v>
      </c>
      <c r="E9280" s="3" t="s">
        <v>934</v>
      </c>
      <c r="F9280" s="7">
        <v>45928.208837652935</v>
      </c>
      <c r="G9280" s="3" t="s">
        <v>24451</v>
      </c>
    </row>
    <row r="9281">
      <c r="A9281" s="3" t="s">
        <v>24452</v>
      </c>
      <c r="B9281" s="3" t="s">
        <v>8373</v>
      </c>
      <c r="C9281" s="5" t="s">
        <v>221</v>
      </c>
      <c r="D9281" s="3" t="s">
        <v>614</v>
      </c>
      <c r="E9281" s="3" t="s">
        <v>118</v>
      </c>
      <c r="F9281" s="7">
        <v>45928.212309875154</v>
      </c>
      <c r="G9281" s="3" t="s">
        <v>24453</v>
      </c>
    </row>
    <row r="9282">
      <c r="A9282" s="3" t="s">
        <v>24454</v>
      </c>
      <c r="B9282" s="3" t="s">
        <v>8373</v>
      </c>
      <c r="C9282" s="5" t="s">
        <v>614</v>
      </c>
      <c r="D9282" s="3" t="s">
        <v>206</v>
      </c>
      <c r="E9282" s="3" t="s">
        <v>100</v>
      </c>
      <c r="F9282" s="7">
        <v>45928.21578209738</v>
      </c>
      <c r="G9282" s="3" t="s">
        <v>24455</v>
      </c>
    </row>
    <row r="9283">
      <c r="A9283" s="3" t="s">
        <v>24456</v>
      </c>
      <c r="B9283" s="3" t="s">
        <v>8373</v>
      </c>
      <c r="C9283" s="5" t="s">
        <v>206</v>
      </c>
      <c r="D9283" s="3" t="s">
        <v>68</v>
      </c>
      <c r="E9283" s="3" t="s">
        <v>100</v>
      </c>
      <c r="F9283" s="7">
        <v>45928.2192543196</v>
      </c>
      <c r="G9283" s="3" t="s">
        <v>24457</v>
      </c>
    </row>
    <row r="9284">
      <c r="A9284" s="3" t="s">
        <v>24458</v>
      </c>
      <c r="B9284" s="3" t="s">
        <v>8376</v>
      </c>
      <c r="C9284" s="5" t="s">
        <v>45</v>
      </c>
      <c r="D9284" s="3" t="s">
        <v>221</v>
      </c>
      <c r="E9284" s="3" t="s">
        <v>395</v>
      </c>
      <c r="F9284" s="7">
        <v>45928.280012498355</v>
      </c>
      <c r="G9284" s="3" t="s">
        <v>5961</v>
      </c>
    </row>
    <row r="9285">
      <c r="A9285" s="3" t="s">
        <v>24459</v>
      </c>
      <c r="B9285" s="3" t="s">
        <v>8376</v>
      </c>
      <c r="C9285" s="5" t="s">
        <v>221</v>
      </c>
      <c r="D9285" s="3" t="s">
        <v>614</v>
      </c>
      <c r="E9285" s="3" t="s">
        <v>118</v>
      </c>
      <c r="F9285" s="7">
        <v>45928.283484720574</v>
      </c>
      <c r="G9285" s="3" t="s">
        <v>5964</v>
      </c>
    </row>
    <row r="9286">
      <c r="A9286" s="3" t="s">
        <v>24460</v>
      </c>
      <c r="B9286" s="3" t="s">
        <v>8376</v>
      </c>
      <c r="C9286" s="5" t="s">
        <v>614</v>
      </c>
      <c r="D9286" s="3" t="s">
        <v>206</v>
      </c>
      <c r="E9286" s="3" t="s">
        <v>100</v>
      </c>
      <c r="F9286" s="7">
        <v>45928.2869569428</v>
      </c>
      <c r="G9286" s="3" t="s">
        <v>5967</v>
      </c>
    </row>
    <row r="9287">
      <c r="A9287" s="3" t="s">
        <v>24461</v>
      </c>
      <c r="B9287" s="3" t="s">
        <v>8376</v>
      </c>
      <c r="C9287" s="5" t="s">
        <v>206</v>
      </c>
      <c r="D9287" s="3" t="s">
        <v>68</v>
      </c>
      <c r="E9287" s="3" t="s">
        <v>100</v>
      </c>
      <c r="F9287" s="7">
        <v>45928.29042916502</v>
      </c>
      <c r="G9287" s="3" t="s">
        <v>5970</v>
      </c>
    </row>
    <row r="9288">
      <c r="A9288" s="3" t="s">
        <v>24462</v>
      </c>
      <c r="B9288" s="3" t="s">
        <v>8380</v>
      </c>
      <c r="C9288" s="5" t="s">
        <v>45</v>
      </c>
      <c r="D9288" s="3" t="s">
        <v>221</v>
      </c>
      <c r="E9288" s="3" t="s">
        <v>886</v>
      </c>
      <c r="F9288" s="7">
        <v>45928.35118734377</v>
      </c>
      <c r="G9288" s="3" t="s">
        <v>24463</v>
      </c>
    </row>
    <row r="9289">
      <c r="A9289" s="3" t="s">
        <v>24464</v>
      </c>
      <c r="B9289" s="3" t="s">
        <v>8380</v>
      </c>
      <c r="C9289" s="5" t="s">
        <v>221</v>
      </c>
      <c r="D9289" s="3" t="s">
        <v>614</v>
      </c>
      <c r="E9289" s="3" t="s">
        <v>118</v>
      </c>
      <c r="F9289" s="7">
        <v>45928.35465956599</v>
      </c>
      <c r="G9289" s="3" t="s">
        <v>24465</v>
      </c>
    </row>
    <row r="9290">
      <c r="A9290" s="3" t="s">
        <v>24466</v>
      </c>
      <c r="B9290" s="3" t="s">
        <v>8380</v>
      </c>
      <c r="C9290" s="5" t="s">
        <v>614</v>
      </c>
      <c r="D9290" s="3" t="s">
        <v>206</v>
      </c>
      <c r="E9290" s="3" t="s">
        <v>100</v>
      </c>
      <c r="F9290" s="7">
        <v>45928.35813178821</v>
      </c>
      <c r="G9290" s="3" t="s">
        <v>24467</v>
      </c>
    </row>
    <row r="9291">
      <c r="A9291" s="3" t="s">
        <v>24468</v>
      </c>
      <c r="B9291" s="3" t="s">
        <v>8380</v>
      </c>
      <c r="C9291" s="5" t="s">
        <v>206</v>
      </c>
      <c r="D9291" s="3" t="s">
        <v>68</v>
      </c>
      <c r="E9291" s="3" t="s">
        <v>100</v>
      </c>
      <c r="F9291" s="7">
        <v>45928.36160401043</v>
      </c>
      <c r="G9291" s="3" t="s">
        <v>24469</v>
      </c>
    </row>
    <row r="9292">
      <c r="A9292" s="3" t="s">
        <v>24470</v>
      </c>
      <c r="B9292" s="3" t="s">
        <v>8384</v>
      </c>
      <c r="C9292" s="5" t="s">
        <v>45</v>
      </c>
      <c r="D9292" s="3" t="s">
        <v>221</v>
      </c>
      <c r="E9292" s="3" t="s">
        <v>442</v>
      </c>
      <c r="F9292" s="7">
        <v>45928.42236218918</v>
      </c>
      <c r="G9292" s="3" t="s">
        <v>4054</v>
      </c>
    </row>
    <row r="9293">
      <c r="A9293" s="3" t="s">
        <v>24471</v>
      </c>
      <c r="B9293" s="3" t="s">
        <v>8384</v>
      </c>
      <c r="C9293" s="5" t="s">
        <v>221</v>
      </c>
      <c r="D9293" s="3" t="s">
        <v>181</v>
      </c>
      <c r="E9293" s="3" t="s">
        <v>118</v>
      </c>
      <c r="F9293" s="7">
        <v>45928.4258344114</v>
      </c>
      <c r="G9293" s="3" t="s">
        <v>24472</v>
      </c>
    </row>
    <row r="9294">
      <c r="A9294" s="3" t="s">
        <v>24473</v>
      </c>
      <c r="B9294" s="3" t="s">
        <v>8387</v>
      </c>
      <c r="C9294" s="5" t="s">
        <v>45</v>
      </c>
      <c r="D9294" s="3" t="s">
        <v>221</v>
      </c>
      <c r="E9294" s="3" t="s">
        <v>998</v>
      </c>
      <c r="F9294" s="7">
        <v>45928.4935370346</v>
      </c>
      <c r="G9294" s="3" t="s">
        <v>23230</v>
      </c>
    </row>
    <row r="9295">
      <c r="A9295" s="3" t="s">
        <v>24474</v>
      </c>
      <c r="B9295" s="3" t="s">
        <v>8387</v>
      </c>
      <c r="C9295" s="5" t="s">
        <v>221</v>
      </c>
      <c r="D9295" s="3" t="s">
        <v>614</v>
      </c>
      <c r="E9295" s="3" t="s">
        <v>118</v>
      </c>
      <c r="F9295" s="7">
        <v>45928.49700925682</v>
      </c>
      <c r="G9295" s="3" t="s">
        <v>23233</v>
      </c>
    </row>
    <row r="9296">
      <c r="A9296" s="3" t="s">
        <v>24475</v>
      </c>
      <c r="B9296" s="3" t="s">
        <v>8387</v>
      </c>
      <c r="C9296" s="5" t="s">
        <v>614</v>
      </c>
      <c r="D9296" s="3" t="s">
        <v>206</v>
      </c>
      <c r="E9296" s="3" t="s">
        <v>100</v>
      </c>
      <c r="F9296" s="7">
        <v>45928.500481479045</v>
      </c>
      <c r="G9296" s="3" t="s">
        <v>23236</v>
      </c>
    </row>
    <row r="9297">
      <c r="A9297" s="3" t="s">
        <v>24476</v>
      </c>
      <c r="B9297" s="3" t="s">
        <v>8387</v>
      </c>
      <c r="C9297" s="5" t="s">
        <v>206</v>
      </c>
      <c r="D9297" s="3" t="s">
        <v>68</v>
      </c>
      <c r="E9297" s="3" t="s">
        <v>100</v>
      </c>
      <c r="F9297" s="7">
        <v>45928.50395370126</v>
      </c>
      <c r="G9297" s="3" t="s">
        <v>23239</v>
      </c>
    </row>
    <row r="9298">
      <c r="A9298" s="3" t="s">
        <v>24477</v>
      </c>
      <c r="B9298" s="3" t="s">
        <v>8390</v>
      </c>
      <c r="C9298" s="5" t="s">
        <v>45</v>
      </c>
      <c r="D9298" s="3" t="s">
        <v>221</v>
      </c>
      <c r="E9298" s="3" t="s">
        <v>793</v>
      </c>
      <c r="F9298" s="7">
        <v>45928.56471188001</v>
      </c>
      <c r="G9298" s="3" t="s">
        <v>18235</v>
      </c>
    </row>
    <row r="9299">
      <c r="A9299" s="3" t="s">
        <v>24478</v>
      </c>
      <c r="B9299" s="3" t="s">
        <v>8390</v>
      </c>
      <c r="C9299" s="5" t="s">
        <v>221</v>
      </c>
      <c r="D9299" s="3" t="s">
        <v>614</v>
      </c>
      <c r="E9299" s="3" t="s">
        <v>118</v>
      </c>
      <c r="F9299" s="7">
        <v>45928.56818410223</v>
      </c>
      <c r="G9299" s="3" t="s">
        <v>18238</v>
      </c>
    </row>
    <row r="9300">
      <c r="A9300" s="3" t="s">
        <v>24479</v>
      </c>
      <c r="B9300" s="3" t="s">
        <v>8390</v>
      </c>
      <c r="C9300" s="5" t="s">
        <v>614</v>
      </c>
      <c r="D9300" s="3" t="s">
        <v>206</v>
      </c>
      <c r="E9300" s="3" t="s">
        <v>100</v>
      </c>
      <c r="F9300" s="7">
        <v>45928.57165632446</v>
      </c>
      <c r="G9300" s="3" t="s">
        <v>18241</v>
      </c>
    </row>
    <row r="9301">
      <c r="A9301" s="3" t="s">
        <v>24480</v>
      </c>
      <c r="B9301" s="3" t="s">
        <v>8390</v>
      </c>
      <c r="C9301" s="5" t="s">
        <v>206</v>
      </c>
      <c r="D9301" s="3" t="s">
        <v>68</v>
      </c>
      <c r="E9301" s="3" t="s">
        <v>100</v>
      </c>
      <c r="F9301" s="7">
        <v>45928.575128546676</v>
      </c>
      <c r="G9301" s="3" t="s">
        <v>18243</v>
      </c>
    </row>
    <row r="9302">
      <c r="A9302" s="3" t="s">
        <v>24481</v>
      </c>
      <c r="B9302" s="3" t="s">
        <v>8393</v>
      </c>
      <c r="C9302" s="5" t="s">
        <v>45</v>
      </c>
      <c r="D9302" s="3" t="s">
        <v>221</v>
      </c>
      <c r="E9302" s="3" t="s">
        <v>575</v>
      </c>
      <c r="F9302" s="7">
        <v>45928.635886725424</v>
      </c>
      <c r="G9302" s="3" t="s">
        <v>22641</v>
      </c>
    </row>
    <row r="9303">
      <c r="A9303" s="3" t="s">
        <v>24482</v>
      </c>
      <c r="B9303" s="3" t="s">
        <v>8393</v>
      </c>
      <c r="C9303" s="5" t="s">
        <v>221</v>
      </c>
      <c r="D9303" s="3" t="s">
        <v>614</v>
      </c>
      <c r="E9303" s="3" t="s">
        <v>118</v>
      </c>
      <c r="F9303" s="7">
        <v>45928.63935894764</v>
      </c>
      <c r="G9303" s="3" t="s">
        <v>22644</v>
      </c>
    </row>
    <row r="9304">
      <c r="A9304" s="3" t="s">
        <v>24483</v>
      </c>
      <c r="B9304" s="3" t="s">
        <v>8393</v>
      </c>
      <c r="C9304" s="5" t="s">
        <v>614</v>
      </c>
      <c r="D9304" s="3" t="s">
        <v>206</v>
      </c>
      <c r="E9304" s="3" t="s">
        <v>100</v>
      </c>
      <c r="F9304" s="7">
        <v>45928.64283116987</v>
      </c>
      <c r="G9304" s="3" t="s">
        <v>22647</v>
      </c>
    </row>
    <row r="9305">
      <c r="A9305" s="3" t="s">
        <v>24484</v>
      </c>
      <c r="B9305" s="3" t="s">
        <v>8393</v>
      </c>
      <c r="C9305" s="5" t="s">
        <v>206</v>
      </c>
      <c r="D9305" s="3" t="s">
        <v>68</v>
      </c>
      <c r="E9305" s="3" t="s">
        <v>100</v>
      </c>
      <c r="F9305" s="7">
        <v>45928.64630339209</v>
      </c>
      <c r="G9305" s="3" t="s">
        <v>22650</v>
      </c>
    </row>
    <row r="9306">
      <c r="A9306" s="3" t="s">
        <v>24485</v>
      </c>
      <c r="B9306" s="3" t="s">
        <v>8397</v>
      </c>
      <c r="C9306" s="5" t="s">
        <v>45</v>
      </c>
      <c r="D9306" s="3" t="s">
        <v>221</v>
      </c>
      <c r="E9306" s="3" t="s">
        <v>1043</v>
      </c>
      <c r="F9306" s="7">
        <v>45928.70706157084</v>
      </c>
      <c r="G9306" s="3" t="s">
        <v>21166</v>
      </c>
    </row>
    <row r="9307">
      <c r="A9307" s="3" t="s">
        <v>24486</v>
      </c>
      <c r="B9307" s="3" t="s">
        <v>8397</v>
      </c>
      <c r="C9307" s="5" t="s">
        <v>221</v>
      </c>
      <c r="D9307" s="3" t="s">
        <v>614</v>
      </c>
      <c r="E9307" s="3" t="s">
        <v>118</v>
      </c>
      <c r="F9307" s="7">
        <v>45928.71053379306</v>
      </c>
      <c r="G9307" s="3" t="s">
        <v>21169</v>
      </c>
    </row>
    <row r="9308">
      <c r="A9308" s="3" t="s">
        <v>24487</v>
      </c>
      <c r="B9308" s="3" t="s">
        <v>8397</v>
      </c>
      <c r="C9308" s="5" t="s">
        <v>614</v>
      </c>
      <c r="D9308" s="3" t="s">
        <v>206</v>
      </c>
      <c r="E9308" s="3" t="s">
        <v>100</v>
      </c>
      <c r="F9308" s="7">
        <v>45928.71400601529</v>
      </c>
      <c r="G9308" s="3" t="s">
        <v>21171</v>
      </c>
    </row>
    <row r="9309">
      <c r="A9309" s="3" t="s">
        <v>24488</v>
      </c>
      <c r="B9309" s="3" t="s">
        <v>8397</v>
      </c>
      <c r="C9309" s="5" t="s">
        <v>206</v>
      </c>
      <c r="D9309" s="3" t="s">
        <v>68</v>
      </c>
      <c r="E9309" s="3" t="s">
        <v>100</v>
      </c>
      <c r="F9309" s="7">
        <v>45928.71747823751</v>
      </c>
      <c r="G9309" s="3" t="s">
        <v>21174</v>
      </c>
    </row>
    <row r="9310">
      <c r="A9310" s="3" t="s">
        <v>24489</v>
      </c>
      <c r="B9310" s="3" t="s">
        <v>8400</v>
      </c>
      <c r="C9310" s="5" t="s">
        <v>45</v>
      </c>
      <c r="D9310" s="3" t="s">
        <v>221</v>
      </c>
      <c r="E9310" s="3" t="s">
        <v>565</v>
      </c>
      <c r="F9310" s="7">
        <v>45928.77823641626</v>
      </c>
      <c r="G9310" s="3" t="s">
        <v>11756</v>
      </c>
    </row>
    <row r="9311">
      <c r="A9311" s="3" t="s">
        <v>24490</v>
      </c>
      <c r="B9311" s="3" t="s">
        <v>8400</v>
      </c>
      <c r="C9311" s="5" t="s">
        <v>221</v>
      </c>
      <c r="D9311" s="3" t="s">
        <v>614</v>
      </c>
      <c r="E9311" s="3" t="s">
        <v>118</v>
      </c>
      <c r="F9311" s="7">
        <v>45928.78170863848</v>
      </c>
      <c r="G9311" s="3" t="s">
        <v>11759</v>
      </c>
    </row>
    <row r="9312">
      <c r="A9312" s="3" t="s">
        <v>24491</v>
      </c>
      <c r="B9312" s="3" t="s">
        <v>8400</v>
      </c>
      <c r="C9312" s="5" t="s">
        <v>614</v>
      </c>
      <c r="D9312" s="3" t="s">
        <v>206</v>
      </c>
      <c r="E9312" s="3" t="s">
        <v>100</v>
      </c>
      <c r="F9312" s="7">
        <v>45928.78518086071</v>
      </c>
      <c r="G9312" s="3" t="s">
        <v>11762</v>
      </c>
    </row>
    <row r="9313">
      <c r="A9313" s="3" t="s">
        <v>24492</v>
      </c>
      <c r="B9313" s="3" t="s">
        <v>8400</v>
      </c>
      <c r="C9313" s="5" t="s">
        <v>206</v>
      </c>
      <c r="D9313" s="3" t="s">
        <v>68</v>
      </c>
      <c r="E9313" s="3" t="s">
        <v>100</v>
      </c>
      <c r="F9313" s="7">
        <v>45928.78865308293</v>
      </c>
      <c r="G9313" s="3" t="s">
        <v>11765</v>
      </c>
    </row>
    <row r="9314">
      <c r="A9314" s="3" t="s">
        <v>24493</v>
      </c>
      <c r="B9314" s="3" t="s">
        <v>8404</v>
      </c>
      <c r="C9314" s="5" t="s">
        <v>45</v>
      </c>
      <c r="D9314" s="3" t="s">
        <v>221</v>
      </c>
      <c r="E9314" s="3" t="s">
        <v>179</v>
      </c>
      <c r="F9314" s="7">
        <v>45928.84941126167</v>
      </c>
      <c r="G9314" s="3" t="s">
        <v>22872</v>
      </c>
    </row>
    <row r="9315">
      <c r="A9315" s="3" t="s">
        <v>24494</v>
      </c>
      <c r="B9315" s="3" t="s">
        <v>8404</v>
      </c>
      <c r="C9315" s="5" t="s">
        <v>221</v>
      </c>
      <c r="D9315" s="3" t="s">
        <v>614</v>
      </c>
      <c r="E9315" s="3" t="s">
        <v>118</v>
      </c>
      <c r="F9315" s="7">
        <v>45928.85288348389</v>
      </c>
      <c r="G9315" s="3" t="s">
        <v>22875</v>
      </c>
    </row>
    <row r="9316">
      <c r="A9316" s="3" t="s">
        <v>24495</v>
      </c>
      <c r="B9316" s="3" t="s">
        <v>8404</v>
      </c>
      <c r="C9316" s="5" t="s">
        <v>614</v>
      </c>
      <c r="D9316" s="3" t="s">
        <v>206</v>
      </c>
      <c r="E9316" s="3" t="s">
        <v>100</v>
      </c>
      <c r="F9316" s="7">
        <v>45928.85635570611</v>
      </c>
      <c r="G9316" s="3" t="s">
        <v>22878</v>
      </c>
    </row>
    <row r="9317">
      <c r="A9317" s="3" t="s">
        <v>24496</v>
      </c>
      <c r="B9317" s="3" t="s">
        <v>8404</v>
      </c>
      <c r="C9317" s="5" t="s">
        <v>206</v>
      </c>
      <c r="D9317" s="3" t="s">
        <v>68</v>
      </c>
      <c r="E9317" s="3" t="s">
        <v>100</v>
      </c>
      <c r="F9317" s="7">
        <v>45928.85982792833</v>
      </c>
      <c r="G9317" s="3" t="s">
        <v>22881</v>
      </c>
    </row>
    <row r="9318">
      <c r="A9318" s="3" t="s">
        <v>24497</v>
      </c>
      <c r="B9318" s="3" t="s">
        <v>8407</v>
      </c>
      <c r="C9318" s="5" t="s">
        <v>45</v>
      </c>
      <c r="D9318" s="3" t="s">
        <v>221</v>
      </c>
      <c r="E9318" s="3" t="s">
        <v>369</v>
      </c>
      <c r="F9318" s="7">
        <v>45928.92058610709</v>
      </c>
      <c r="G9318" s="3" t="s">
        <v>24498</v>
      </c>
    </row>
    <row r="9319">
      <c r="A9319" s="3" t="s">
        <v>24499</v>
      </c>
      <c r="B9319" s="3" t="s">
        <v>8407</v>
      </c>
      <c r="C9319" s="5" t="s">
        <v>221</v>
      </c>
      <c r="D9319" s="3" t="s">
        <v>614</v>
      </c>
      <c r="E9319" s="3" t="s">
        <v>118</v>
      </c>
      <c r="F9319" s="7">
        <v>45928.92405832931</v>
      </c>
      <c r="G9319" s="3" t="s">
        <v>24500</v>
      </c>
    </row>
    <row r="9320">
      <c r="A9320" s="3" t="s">
        <v>24501</v>
      </c>
      <c r="B9320" s="3" t="s">
        <v>8407</v>
      </c>
      <c r="C9320" s="5" t="s">
        <v>614</v>
      </c>
      <c r="D9320" s="3" t="s">
        <v>206</v>
      </c>
      <c r="E9320" s="3" t="s">
        <v>100</v>
      </c>
      <c r="F9320" s="7">
        <v>45928.92753055153</v>
      </c>
      <c r="G9320" s="3" t="s">
        <v>24502</v>
      </c>
    </row>
    <row r="9321">
      <c r="A9321" s="3" t="s">
        <v>24503</v>
      </c>
      <c r="B9321" s="3" t="s">
        <v>8407</v>
      </c>
      <c r="C9321" s="5" t="s">
        <v>206</v>
      </c>
      <c r="D9321" s="3" t="s">
        <v>68</v>
      </c>
      <c r="E9321" s="3" t="s">
        <v>100</v>
      </c>
      <c r="F9321" s="7">
        <v>45928.93100277375</v>
      </c>
      <c r="G9321" s="3" t="s">
        <v>24504</v>
      </c>
    </row>
    <row r="9322">
      <c r="A9322" s="3" t="s">
        <v>24505</v>
      </c>
      <c r="B9322" s="3" t="s">
        <v>8410</v>
      </c>
      <c r="C9322" s="5" t="s">
        <v>45</v>
      </c>
      <c r="D9322" s="3" t="s">
        <v>221</v>
      </c>
      <c r="E9322" s="3" t="s">
        <v>145</v>
      </c>
      <c r="F9322" s="7">
        <v>45928.99176095251</v>
      </c>
      <c r="G9322" s="3" t="s">
        <v>7569</v>
      </c>
    </row>
    <row r="9323">
      <c r="A9323" s="3" t="s">
        <v>24506</v>
      </c>
      <c r="B9323" s="3" t="s">
        <v>8410</v>
      </c>
      <c r="C9323" s="5" t="s">
        <v>221</v>
      </c>
      <c r="D9323" s="3" t="s">
        <v>614</v>
      </c>
      <c r="E9323" s="3" t="s">
        <v>118</v>
      </c>
      <c r="F9323" s="7">
        <v>45928.995233174726</v>
      </c>
      <c r="G9323" s="3" t="s">
        <v>7572</v>
      </c>
    </row>
    <row r="9324">
      <c r="A9324" s="3" t="s">
        <v>24507</v>
      </c>
      <c r="B9324" s="3" t="s">
        <v>8410</v>
      </c>
      <c r="C9324" s="5" t="s">
        <v>614</v>
      </c>
      <c r="D9324" s="3" t="s">
        <v>206</v>
      </c>
      <c r="E9324" s="3" t="s">
        <v>100</v>
      </c>
      <c r="F9324" s="7">
        <v>45928.99870539695</v>
      </c>
      <c r="G9324" s="3" t="s">
        <v>7575</v>
      </c>
    </row>
    <row r="9325">
      <c r="A9325" s="3" t="s">
        <v>24508</v>
      </c>
      <c r="B9325" s="3" t="s">
        <v>8410</v>
      </c>
      <c r="C9325" s="5" t="s">
        <v>206</v>
      </c>
      <c r="D9325" s="3" t="s">
        <v>68</v>
      </c>
      <c r="E9325" s="3" t="s">
        <v>100</v>
      </c>
      <c r="F9325" s="7">
        <v>45929.00217761917</v>
      </c>
      <c r="G9325" s="3" t="s">
        <v>7578</v>
      </c>
    </row>
    <row r="9326">
      <c r="A9326" s="3" t="s">
        <v>24509</v>
      </c>
      <c r="B9326" s="3" t="s">
        <v>8413</v>
      </c>
      <c r="C9326" s="5" t="s">
        <v>45</v>
      </c>
      <c r="D9326" s="3" t="s">
        <v>221</v>
      </c>
      <c r="E9326" s="3" t="s">
        <v>616</v>
      </c>
      <c r="F9326" s="7">
        <v>45929.06293579792</v>
      </c>
      <c r="G9326" s="3" t="s">
        <v>7581</v>
      </c>
    </row>
    <row r="9327">
      <c r="A9327" s="3" t="s">
        <v>24510</v>
      </c>
      <c r="B9327" s="3" t="s">
        <v>8413</v>
      </c>
      <c r="C9327" s="5" t="s">
        <v>221</v>
      </c>
      <c r="D9327" s="3" t="s">
        <v>614</v>
      </c>
      <c r="E9327" s="3" t="s">
        <v>118</v>
      </c>
      <c r="F9327" s="7">
        <v>45929.06640802014</v>
      </c>
      <c r="G9327" s="3" t="s">
        <v>7584</v>
      </c>
    </row>
    <row r="9328">
      <c r="A9328" s="3" t="s">
        <v>24511</v>
      </c>
      <c r="B9328" s="3" t="s">
        <v>8413</v>
      </c>
      <c r="C9328" s="5" t="s">
        <v>614</v>
      </c>
      <c r="D9328" s="3" t="s">
        <v>206</v>
      </c>
      <c r="E9328" s="3" t="s">
        <v>100</v>
      </c>
      <c r="F9328" s="7">
        <v>45929.069880242365</v>
      </c>
      <c r="G9328" s="3" t="s">
        <v>7586</v>
      </c>
    </row>
    <row r="9329">
      <c r="A9329" s="3" t="s">
        <v>24512</v>
      </c>
      <c r="B9329" s="3" t="s">
        <v>8413</v>
      </c>
      <c r="C9329" s="5" t="s">
        <v>206</v>
      </c>
      <c r="D9329" s="3" t="s">
        <v>68</v>
      </c>
      <c r="E9329" s="3" t="s">
        <v>100</v>
      </c>
      <c r="F9329" s="7">
        <v>45929.073352464584</v>
      </c>
      <c r="G9329" s="3" t="s">
        <v>7589</v>
      </c>
    </row>
    <row r="9330">
      <c r="A9330" s="3" t="s">
        <v>24513</v>
      </c>
      <c r="B9330" s="3" t="s">
        <v>8418</v>
      </c>
      <c r="C9330" s="5" t="s">
        <v>45</v>
      </c>
      <c r="D9330" s="3" t="s">
        <v>221</v>
      </c>
      <c r="E9330" s="3" t="s">
        <v>193</v>
      </c>
      <c r="F9330" s="7">
        <v>45929.13411064333</v>
      </c>
      <c r="G9330" s="3" t="s">
        <v>7296</v>
      </c>
    </row>
    <row r="9331">
      <c r="A9331" s="3" t="s">
        <v>24514</v>
      </c>
      <c r="B9331" s="3" t="s">
        <v>8418</v>
      </c>
      <c r="C9331" s="5" t="s">
        <v>221</v>
      </c>
      <c r="D9331" s="3" t="s">
        <v>614</v>
      </c>
      <c r="E9331" s="3" t="s">
        <v>118</v>
      </c>
      <c r="F9331" s="7">
        <v>45929.13758286555</v>
      </c>
      <c r="G9331" s="3" t="s">
        <v>7299</v>
      </c>
    </row>
    <row r="9332">
      <c r="A9332" s="3" t="s">
        <v>24515</v>
      </c>
      <c r="B9332" s="3" t="s">
        <v>8418</v>
      </c>
      <c r="C9332" s="5" t="s">
        <v>614</v>
      </c>
      <c r="D9332" s="3" t="s">
        <v>206</v>
      </c>
      <c r="E9332" s="3" t="s">
        <v>100</v>
      </c>
      <c r="F9332" s="7">
        <v>45929.14105508778</v>
      </c>
      <c r="G9332" s="3" t="s">
        <v>7301</v>
      </c>
    </row>
    <row r="9333">
      <c r="A9333" s="3" t="s">
        <v>24516</v>
      </c>
      <c r="B9333" s="3" t="s">
        <v>8418</v>
      </c>
      <c r="C9333" s="5" t="s">
        <v>206</v>
      </c>
      <c r="D9333" s="3" t="s">
        <v>68</v>
      </c>
      <c r="E9333" s="3" t="s">
        <v>100</v>
      </c>
      <c r="F9333" s="7">
        <v>45929.144527309996</v>
      </c>
      <c r="G9333" s="3" t="s">
        <v>7304</v>
      </c>
    </row>
    <row r="9334">
      <c r="A9334" s="3" t="s">
        <v>24517</v>
      </c>
      <c r="B9334" s="3" t="s">
        <v>8421</v>
      </c>
      <c r="C9334" s="5" t="s">
        <v>45</v>
      </c>
      <c r="D9334" s="3" t="s">
        <v>221</v>
      </c>
      <c r="E9334" s="3" t="s">
        <v>449</v>
      </c>
      <c r="F9334" s="7">
        <v>45929.20528548875</v>
      </c>
      <c r="G9334" s="3" t="s">
        <v>18976</v>
      </c>
    </row>
    <row r="9335">
      <c r="A9335" s="3" t="s">
        <v>24518</v>
      </c>
      <c r="B9335" s="3" t="s">
        <v>8421</v>
      </c>
      <c r="C9335" s="5" t="s">
        <v>221</v>
      </c>
      <c r="D9335" s="3" t="s">
        <v>614</v>
      </c>
      <c r="E9335" s="3" t="s">
        <v>118</v>
      </c>
      <c r="F9335" s="7">
        <v>45929.20875771097</v>
      </c>
      <c r="G9335" s="3" t="s">
        <v>18980</v>
      </c>
    </row>
    <row r="9336">
      <c r="A9336" s="3" t="s">
        <v>24519</v>
      </c>
      <c r="B9336" s="3" t="s">
        <v>8421</v>
      </c>
      <c r="C9336" s="5" t="s">
        <v>614</v>
      </c>
      <c r="D9336" s="3" t="s">
        <v>206</v>
      </c>
      <c r="E9336" s="3" t="s">
        <v>100</v>
      </c>
      <c r="F9336" s="7">
        <v>45929.2122299332</v>
      </c>
      <c r="G9336" s="3" t="s">
        <v>18983</v>
      </c>
    </row>
    <row r="9337">
      <c r="A9337" s="3" t="s">
        <v>24520</v>
      </c>
      <c r="B9337" s="3" t="s">
        <v>8421</v>
      </c>
      <c r="C9337" s="5" t="s">
        <v>206</v>
      </c>
      <c r="D9337" s="3" t="s">
        <v>68</v>
      </c>
      <c r="E9337" s="3" t="s">
        <v>100</v>
      </c>
      <c r="F9337" s="7">
        <v>45929.215702155416</v>
      </c>
      <c r="G9337" s="3" t="s">
        <v>18986</v>
      </c>
    </row>
    <row r="9338">
      <c r="A9338" s="3" t="s">
        <v>24521</v>
      </c>
      <c r="B9338" s="3" t="s">
        <v>8426</v>
      </c>
      <c r="C9338" s="5" t="s">
        <v>45</v>
      </c>
      <c r="D9338" s="3" t="s">
        <v>221</v>
      </c>
      <c r="E9338" s="3" t="s">
        <v>805</v>
      </c>
      <c r="F9338" s="7">
        <v>45929.276460334164</v>
      </c>
      <c r="G9338" s="3" t="s">
        <v>5623</v>
      </c>
    </row>
    <row r="9339">
      <c r="A9339" s="3" t="s">
        <v>24522</v>
      </c>
      <c r="B9339" s="3" t="s">
        <v>8426</v>
      </c>
      <c r="C9339" s="5" t="s">
        <v>221</v>
      </c>
      <c r="D9339" s="3" t="s">
        <v>614</v>
      </c>
      <c r="E9339" s="3" t="s">
        <v>118</v>
      </c>
      <c r="F9339" s="7">
        <v>45929.27993255638</v>
      </c>
      <c r="G9339" s="3" t="s">
        <v>7199</v>
      </c>
    </row>
    <row r="9340">
      <c r="A9340" s="3" t="s">
        <v>24523</v>
      </c>
      <c r="B9340" s="3" t="s">
        <v>8426</v>
      </c>
      <c r="C9340" s="5" t="s">
        <v>614</v>
      </c>
      <c r="D9340" s="3" t="s">
        <v>206</v>
      </c>
      <c r="E9340" s="3" t="s">
        <v>100</v>
      </c>
      <c r="F9340" s="7">
        <v>45929.28340477861</v>
      </c>
      <c r="G9340" s="3" t="s">
        <v>7201</v>
      </c>
    </row>
    <row r="9341">
      <c r="A9341" s="3" t="s">
        <v>24524</v>
      </c>
      <c r="B9341" s="3" t="s">
        <v>8426</v>
      </c>
      <c r="C9341" s="5" t="s">
        <v>206</v>
      </c>
      <c r="D9341" s="3" t="s">
        <v>68</v>
      </c>
      <c r="E9341" s="3" t="s">
        <v>100</v>
      </c>
      <c r="F9341" s="7">
        <v>45929.28687700083</v>
      </c>
      <c r="G9341" s="3" t="s">
        <v>7204</v>
      </c>
    </row>
    <row r="9342">
      <c r="A9342" s="3" t="s">
        <v>24525</v>
      </c>
      <c r="B9342" s="3" t="s">
        <v>8429</v>
      </c>
      <c r="C9342" s="5" t="s">
        <v>45</v>
      </c>
      <c r="D9342" s="3" t="s">
        <v>221</v>
      </c>
      <c r="E9342" s="3" t="s">
        <v>770</v>
      </c>
      <c r="F9342" s="7">
        <v>45929.347635179576</v>
      </c>
      <c r="G9342" s="3" t="s">
        <v>7592</v>
      </c>
    </row>
    <row r="9343">
      <c r="A9343" s="3" t="s">
        <v>24526</v>
      </c>
      <c r="B9343" s="3" t="s">
        <v>8429</v>
      </c>
      <c r="C9343" s="5" t="s">
        <v>221</v>
      </c>
      <c r="D9343" s="3" t="s">
        <v>614</v>
      </c>
      <c r="E9343" s="3" t="s">
        <v>118</v>
      </c>
      <c r="F9343" s="7">
        <v>45929.351107401795</v>
      </c>
      <c r="G9343" s="3" t="s">
        <v>7595</v>
      </c>
    </row>
    <row r="9344">
      <c r="A9344" s="3" t="s">
        <v>24527</v>
      </c>
      <c r="B9344" s="3" t="s">
        <v>8429</v>
      </c>
      <c r="C9344" s="5" t="s">
        <v>614</v>
      </c>
      <c r="D9344" s="3" t="s">
        <v>206</v>
      </c>
      <c r="E9344" s="3" t="s">
        <v>100</v>
      </c>
      <c r="F9344" s="7">
        <v>45929.35457962402</v>
      </c>
      <c r="G9344" s="3" t="s">
        <v>7598</v>
      </c>
    </row>
    <row r="9345">
      <c r="A9345" s="3" t="s">
        <v>24528</v>
      </c>
      <c r="B9345" s="3" t="s">
        <v>8429</v>
      </c>
      <c r="C9345" s="5" t="s">
        <v>206</v>
      </c>
      <c r="D9345" s="3" t="s">
        <v>68</v>
      </c>
      <c r="E9345" s="3" t="s">
        <v>100</v>
      </c>
      <c r="F9345" s="7">
        <v>45929.35805184624</v>
      </c>
      <c r="G9345" s="3" t="s">
        <v>7600</v>
      </c>
    </row>
    <row r="9346">
      <c r="A9346" s="3" t="s">
        <v>24529</v>
      </c>
      <c r="B9346" s="3" t="s">
        <v>8432</v>
      </c>
      <c r="C9346" s="5" t="s">
        <v>45</v>
      </c>
      <c r="D9346" s="3" t="s">
        <v>221</v>
      </c>
      <c r="E9346" s="3" t="s">
        <v>226</v>
      </c>
      <c r="F9346" s="7">
        <v>45929.418810024996</v>
      </c>
      <c r="G9346" s="3" t="s">
        <v>16492</v>
      </c>
    </row>
    <row r="9347">
      <c r="A9347" s="3" t="s">
        <v>24530</v>
      </c>
      <c r="B9347" s="3" t="s">
        <v>8432</v>
      </c>
      <c r="C9347" s="5" t="s">
        <v>221</v>
      </c>
      <c r="D9347" s="3" t="s">
        <v>614</v>
      </c>
      <c r="E9347" s="3" t="s">
        <v>118</v>
      </c>
      <c r="F9347" s="7">
        <v>45929.422282247215</v>
      </c>
      <c r="G9347" s="3" t="s">
        <v>16495</v>
      </c>
    </row>
    <row r="9348">
      <c r="A9348" s="3" t="s">
        <v>24531</v>
      </c>
      <c r="B9348" s="3" t="s">
        <v>8432</v>
      </c>
      <c r="C9348" s="5" t="s">
        <v>614</v>
      </c>
      <c r="D9348" s="3" t="s">
        <v>206</v>
      </c>
      <c r="E9348" s="3" t="s">
        <v>100</v>
      </c>
      <c r="F9348" s="7">
        <v>45929.42575446944</v>
      </c>
      <c r="G9348" s="3" t="s">
        <v>16498</v>
      </c>
    </row>
    <row r="9349">
      <c r="A9349" s="3" t="s">
        <v>24532</v>
      </c>
      <c r="B9349" s="3" t="s">
        <v>8432</v>
      </c>
      <c r="C9349" s="5" t="s">
        <v>206</v>
      </c>
      <c r="D9349" s="3" t="s">
        <v>68</v>
      </c>
      <c r="E9349" s="3" t="s">
        <v>100</v>
      </c>
      <c r="F9349" s="7">
        <v>45929.42922669166</v>
      </c>
      <c r="G9349" s="3" t="s">
        <v>16501</v>
      </c>
    </row>
    <row r="9350">
      <c r="A9350" s="3" t="s">
        <v>24533</v>
      </c>
      <c r="B9350" s="3" t="s">
        <v>8435</v>
      </c>
      <c r="C9350" s="5" t="s">
        <v>45</v>
      </c>
      <c r="D9350" s="3" t="s">
        <v>221</v>
      </c>
      <c r="E9350" s="3" t="s">
        <v>253</v>
      </c>
      <c r="F9350" s="7">
        <v>45929.48998487041</v>
      </c>
      <c r="G9350" s="3" t="s">
        <v>23169</v>
      </c>
    </row>
    <row r="9351">
      <c r="A9351" s="3" t="s">
        <v>24534</v>
      </c>
      <c r="B9351" s="3" t="s">
        <v>8435</v>
      </c>
      <c r="C9351" s="5" t="s">
        <v>221</v>
      </c>
      <c r="D9351" s="3" t="s">
        <v>614</v>
      </c>
      <c r="E9351" s="3" t="s">
        <v>118</v>
      </c>
      <c r="F9351" s="7">
        <v>45929.49345709263</v>
      </c>
      <c r="G9351" s="3" t="s">
        <v>23172</v>
      </c>
    </row>
    <row r="9352">
      <c r="A9352" s="3" t="s">
        <v>24535</v>
      </c>
      <c r="B9352" s="3" t="s">
        <v>8435</v>
      </c>
      <c r="C9352" s="5" t="s">
        <v>614</v>
      </c>
      <c r="D9352" s="3" t="s">
        <v>206</v>
      </c>
      <c r="E9352" s="3" t="s">
        <v>100</v>
      </c>
      <c r="F9352" s="7">
        <v>45929.49692931485</v>
      </c>
      <c r="G9352" s="3" t="s">
        <v>23175</v>
      </c>
    </row>
    <row r="9353">
      <c r="A9353" s="3" t="s">
        <v>24536</v>
      </c>
      <c r="B9353" s="3" t="s">
        <v>8435</v>
      </c>
      <c r="C9353" s="5" t="s">
        <v>206</v>
      </c>
      <c r="D9353" s="3" t="s">
        <v>68</v>
      </c>
      <c r="E9353" s="3" t="s">
        <v>100</v>
      </c>
      <c r="F9353" s="7">
        <v>45929.50040153707</v>
      </c>
      <c r="G9353" s="3" t="s">
        <v>23178</v>
      </c>
    </row>
    <row r="9354">
      <c r="A9354" s="3" t="s">
        <v>24537</v>
      </c>
      <c r="B9354" s="3" t="s">
        <v>8438</v>
      </c>
      <c r="C9354" s="5" t="s">
        <v>45</v>
      </c>
      <c r="D9354" s="3" t="s">
        <v>221</v>
      </c>
      <c r="E9354" s="3" t="s">
        <v>383</v>
      </c>
      <c r="F9354" s="7">
        <v>45929.56115971582</v>
      </c>
      <c r="G9354" s="3" t="s">
        <v>7756</v>
      </c>
    </row>
    <row r="9355">
      <c r="A9355" s="3" t="s">
        <v>24538</v>
      </c>
      <c r="B9355" s="3" t="s">
        <v>8438</v>
      </c>
      <c r="C9355" s="5" t="s">
        <v>221</v>
      </c>
      <c r="D9355" s="3" t="s">
        <v>614</v>
      </c>
      <c r="E9355" s="3" t="s">
        <v>118</v>
      </c>
      <c r="F9355" s="7">
        <v>45929.56463193804</v>
      </c>
      <c r="G9355" s="3" t="s">
        <v>7759</v>
      </c>
    </row>
    <row r="9356">
      <c r="A9356" s="3" t="s">
        <v>24539</v>
      </c>
      <c r="B9356" s="3" t="s">
        <v>8438</v>
      </c>
      <c r="C9356" s="5" t="s">
        <v>614</v>
      </c>
      <c r="D9356" s="3" t="s">
        <v>206</v>
      </c>
      <c r="E9356" s="3" t="s">
        <v>100</v>
      </c>
      <c r="F9356" s="7">
        <v>45929.568104160266</v>
      </c>
      <c r="G9356" s="3" t="s">
        <v>7762</v>
      </c>
    </row>
    <row r="9357">
      <c r="A9357" s="3" t="s">
        <v>24540</v>
      </c>
      <c r="B9357" s="3" t="s">
        <v>8438</v>
      </c>
      <c r="C9357" s="5" t="s">
        <v>206</v>
      </c>
      <c r="D9357" s="3" t="s">
        <v>68</v>
      </c>
      <c r="E9357" s="3" t="s">
        <v>100</v>
      </c>
      <c r="F9357" s="7">
        <v>45929.571576382485</v>
      </c>
      <c r="G9357" s="3" t="s">
        <v>7765</v>
      </c>
    </row>
    <row r="9358">
      <c r="A9358" s="3" t="s">
        <v>24541</v>
      </c>
      <c r="B9358" s="3" t="s">
        <v>8441</v>
      </c>
      <c r="C9358" s="5" t="s">
        <v>45</v>
      </c>
      <c r="D9358" s="3" t="s">
        <v>221</v>
      </c>
      <c r="E9358" s="3" t="s">
        <v>453</v>
      </c>
      <c r="F9358" s="7">
        <v>45929.63233456124</v>
      </c>
      <c r="G9358" s="3" t="s">
        <v>20072</v>
      </c>
    </row>
    <row r="9359">
      <c r="A9359" s="3" t="s">
        <v>24542</v>
      </c>
      <c r="B9359" s="3" t="s">
        <v>8441</v>
      </c>
      <c r="C9359" s="5" t="s">
        <v>221</v>
      </c>
      <c r="D9359" s="3" t="s">
        <v>614</v>
      </c>
      <c r="E9359" s="3" t="s">
        <v>118</v>
      </c>
      <c r="F9359" s="7">
        <v>45929.63580678346</v>
      </c>
      <c r="G9359" s="3" t="s">
        <v>20075</v>
      </c>
    </row>
    <row r="9360">
      <c r="A9360" s="3" t="s">
        <v>24543</v>
      </c>
      <c r="B9360" s="3" t="s">
        <v>8441</v>
      </c>
      <c r="C9360" s="5" t="s">
        <v>614</v>
      </c>
      <c r="D9360" s="3" t="s">
        <v>206</v>
      </c>
      <c r="E9360" s="3" t="s">
        <v>100</v>
      </c>
      <c r="F9360" s="7">
        <v>45929.639279005685</v>
      </c>
      <c r="G9360" s="3" t="s">
        <v>20078</v>
      </c>
    </row>
    <row r="9361">
      <c r="A9361" s="3" t="s">
        <v>24544</v>
      </c>
      <c r="B9361" s="3" t="s">
        <v>8441</v>
      </c>
      <c r="C9361" s="5" t="s">
        <v>206</v>
      </c>
      <c r="D9361" s="3" t="s">
        <v>68</v>
      </c>
      <c r="E9361" s="3" t="s">
        <v>100</v>
      </c>
      <c r="F9361" s="7">
        <v>45929.642751227904</v>
      </c>
      <c r="G9361" s="3" t="s">
        <v>20081</v>
      </c>
    </row>
    <row r="9362">
      <c r="A9362" s="3" t="s">
        <v>24545</v>
      </c>
      <c r="B9362" s="3" t="s">
        <v>8445</v>
      </c>
      <c r="C9362" s="5" t="s">
        <v>45</v>
      </c>
      <c r="D9362" s="3" t="s">
        <v>221</v>
      </c>
      <c r="E9362" s="3" t="s">
        <v>536</v>
      </c>
      <c r="F9362" s="7">
        <v>45929.70350940665</v>
      </c>
      <c r="G9362" s="3" t="s">
        <v>7604</v>
      </c>
    </row>
    <row r="9363">
      <c r="A9363" s="3" t="s">
        <v>24546</v>
      </c>
      <c r="B9363" s="3" t="s">
        <v>8445</v>
      </c>
      <c r="C9363" s="5" t="s">
        <v>221</v>
      </c>
      <c r="D9363" s="3" t="s">
        <v>614</v>
      </c>
      <c r="E9363" s="3" t="s">
        <v>118</v>
      </c>
      <c r="F9363" s="7">
        <v>45929.70698162887</v>
      </c>
      <c r="G9363" s="3" t="s">
        <v>7606</v>
      </c>
    </row>
    <row r="9364">
      <c r="A9364" s="3" t="s">
        <v>24547</v>
      </c>
      <c r="B9364" s="3" t="s">
        <v>8445</v>
      </c>
      <c r="C9364" s="5" t="s">
        <v>614</v>
      </c>
      <c r="D9364" s="3" t="s">
        <v>206</v>
      </c>
      <c r="E9364" s="3" t="s">
        <v>100</v>
      </c>
      <c r="F9364" s="7">
        <v>45929.7104538511</v>
      </c>
      <c r="G9364" s="3" t="s">
        <v>7609</v>
      </c>
    </row>
    <row r="9365">
      <c r="A9365" s="3" t="s">
        <v>24548</v>
      </c>
      <c r="B9365" s="3" t="s">
        <v>8445</v>
      </c>
      <c r="C9365" s="5" t="s">
        <v>206</v>
      </c>
      <c r="D9365" s="3" t="s">
        <v>68</v>
      </c>
      <c r="E9365" s="3" t="s">
        <v>100</v>
      </c>
      <c r="F9365" s="7">
        <v>45929.71392607332</v>
      </c>
      <c r="G9365" s="3" t="s">
        <v>7612</v>
      </c>
    </row>
    <row r="9366">
      <c r="A9366" s="3" t="s">
        <v>24549</v>
      </c>
      <c r="B9366" s="3" t="s">
        <v>8449</v>
      </c>
      <c r="C9366" s="5" t="s">
        <v>45</v>
      </c>
      <c r="D9366" s="3" t="s">
        <v>221</v>
      </c>
      <c r="E9366" s="3" t="s">
        <v>600</v>
      </c>
      <c r="F9366" s="7">
        <v>45929.774684252065</v>
      </c>
      <c r="G9366" s="3" t="s">
        <v>7682</v>
      </c>
    </row>
    <row r="9367">
      <c r="A9367" s="3" t="s">
        <v>24550</v>
      </c>
      <c r="B9367" s="3" t="s">
        <v>8449</v>
      </c>
      <c r="C9367" s="5" t="s">
        <v>221</v>
      </c>
      <c r="D9367" s="3" t="s">
        <v>614</v>
      </c>
      <c r="E9367" s="3" t="s">
        <v>118</v>
      </c>
      <c r="F9367" s="7">
        <v>45929.77815647428</v>
      </c>
      <c r="G9367" s="3" t="s">
        <v>7684</v>
      </c>
    </row>
    <row r="9368">
      <c r="A9368" s="3" t="s">
        <v>24551</v>
      </c>
      <c r="B9368" s="3" t="s">
        <v>8449</v>
      </c>
      <c r="C9368" s="5" t="s">
        <v>614</v>
      </c>
      <c r="D9368" s="3" t="s">
        <v>206</v>
      </c>
      <c r="E9368" s="3" t="s">
        <v>100</v>
      </c>
      <c r="F9368" s="7">
        <v>45929.78162869651</v>
      </c>
      <c r="G9368" s="3" t="s">
        <v>7687</v>
      </c>
    </row>
    <row r="9369">
      <c r="A9369" s="3" t="s">
        <v>24552</v>
      </c>
      <c r="B9369" s="3" t="s">
        <v>8449</v>
      </c>
      <c r="C9369" s="5" t="s">
        <v>206</v>
      </c>
      <c r="D9369" s="3" t="s">
        <v>68</v>
      </c>
      <c r="E9369" s="3" t="s">
        <v>100</v>
      </c>
      <c r="F9369" s="7">
        <v>45929.78510091873</v>
      </c>
      <c r="G9369" s="3" t="s">
        <v>7690</v>
      </c>
    </row>
    <row r="9370">
      <c r="A9370" s="3" t="s">
        <v>24553</v>
      </c>
      <c r="B9370" s="3" t="s">
        <v>8452</v>
      </c>
      <c r="C9370" s="5" t="s">
        <v>45</v>
      </c>
      <c r="D9370" s="3" t="s">
        <v>221</v>
      </c>
      <c r="E9370" s="3" t="s">
        <v>612</v>
      </c>
      <c r="F9370" s="7">
        <v>45929.845859097484</v>
      </c>
      <c r="G9370" s="3" t="s">
        <v>24554</v>
      </c>
    </row>
    <row r="9371">
      <c r="A9371" s="3" t="s">
        <v>24555</v>
      </c>
      <c r="B9371" s="3" t="s">
        <v>8452</v>
      </c>
      <c r="C9371" s="5" t="s">
        <v>221</v>
      </c>
      <c r="D9371" s="3" t="s">
        <v>614</v>
      </c>
      <c r="E9371" s="3" t="s">
        <v>118</v>
      </c>
      <c r="F9371" s="7">
        <v>45929.8493313197</v>
      </c>
      <c r="G9371" s="3" t="s">
        <v>24556</v>
      </c>
    </row>
    <row r="9372">
      <c r="A9372" s="3" t="s">
        <v>24557</v>
      </c>
      <c r="B9372" s="3" t="s">
        <v>8452</v>
      </c>
      <c r="C9372" s="5" t="s">
        <v>614</v>
      </c>
      <c r="D9372" s="3" t="s">
        <v>206</v>
      </c>
      <c r="E9372" s="3" t="s">
        <v>100</v>
      </c>
      <c r="F9372" s="7">
        <v>45929.85280354193</v>
      </c>
      <c r="G9372" s="3" t="s">
        <v>24558</v>
      </c>
    </row>
    <row r="9373">
      <c r="A9373" s="3" t="s">
        <v>24559</v>
      </c>
      <c r="B9373" s="3" t="s">
        <v>8452</v>
      </c>
      <c r="C9373" s="5" t="s">
        <v>206</v>
      </c>
      <c r="D9373" s="3" t="s">
        <v>68</v>
      </c>
      <c r="E9373" s="3" t="s">
        <v>100</v>
      </c>
      <c r="F9373" s="7">
        <v>45929.85627576415</v>
      </c>
      <c r="G9373" s="3" t="s">
        <v>24560</v>
      </c>
    </row>
    <row r="9374">
      <c r="A9374" s="3" t="s">
        <v>24561</v>
      </c>
      <c r="B9374" s="3" t="s">
        <v>8455</v>
      </c>
      <c r="C9374" s="5" t="s">
        <v>45</v>
      </c>
      <c r="D9374" s="3" t="s">
        <v>221</v>
      </c>
      <c r="E9374" s="3" t="s">
        <v>747</v>
      </c>
      <c r="F9374" s="7">
        <v>45929.917033942904</v>
      </c>
      <c r="G9374" s="3" t="s">
        <v>24562</v>
      </c>
    </row>
    <row r="9375">
      <c r="A9375" s="3" t="s">
        <v>24563</v>
      </c>
      <c r="B9375" s="3" t="s">
        <v>8455</v>
      </c>
      <c r="C9375" s="5" t="s">
        <v>221</v>
      </c>
      <c r="D9375" s="3" t="s">
        <v>614</v>
      </c>
      <c r="E9375" s="3" t="s">
        <v>118</v>
      </c>
      <c r="F9375" s="7">
        <v>45929.92050616512</v>
      </c>
      <c r="G9375" s="3" t="s">
        <v>24564</v>
      </c>
    </row>
    <row r="9376">
      <c r="A9376" s="3" t="s">
        <v>24565</v>
      </c>
      <c r="B9376" s="3" t="s">
        <v>8455</v>
      </c>
      <c r="C9376" s="5" t="s">
        <v>614</v>
      </c>
      <c r="D9376" s="3" t="s">
        <v>206</v>
      </c>
      <c r="E9376" s="3" t="s">
        <v>100</v>
      </c>
      <c r="F9376" s="7">
        <v>45929.92397838735</v>
      </c>
      <c r="G9376" s="3" t="s">
        <v>24566</v>
      </c>
    </row>
    <row r="9377">
      <c r="A9377" s="3" t="s">
        <v>24567</v>
      </c>
      <c r="B9377" s="3" t="s">
        <v>8455</v>
      </c>
      <c r="C9377" s="5" t="s">
        <v>206</v>
      </c>
      <c r="D9377" s="3" t="s">
        <v>68</v>
      </c>
      <c r="E9377" s="3" t="s">
        <v>100</v>
      </c>
      <c r="F9377" s="7">
        <v>45929.92745060957</v>
      </c>
      <c r="G9377" s="3" t="s">
        <v>24568</v>
      </c>
    </row>
    <row r="9378">
      <c r="A9378" s="3" t="s">
        <v>24569</v>
      </c>
      <c r="B9378" s="3" t="s">
        <v>8458</v>
      </c>
      <c r="C9378" s="5" t="s">
        <v>45</v>
      </c>
      <c r="D9378" s="3" t="s">
        <v>221</v>
      </c>
      <c r="E9378" s="3" t="s">
        <v>581</v>
      </c>
      <c r="F9378" s="7">
        <v>45929.98820878831</v>
      </c>
      <c r="G9378" s="3" t="s">
        <v>2770</v>
      </c>
    </row>
    <row r="9379">
      <c r="A9379" s="3" t="s">
        <v>24570</v>
      </c>
      <c r="B9379" s="3" t="s">
        <v>8458</v>
      </c>
      <c r="C9379" s="5" t="s">
        <v>221</v>
      </c>
      <c r="D9379" s="3" t="s">
        <v>195</v>
      </c>
      <c r="E9379" s="3" t="s">
        <v>581</v>
      </c>
      <c r="F9379" s="7">
        <v>45929.99168101053</v>
      </c>
      <c r="G9379" s="3" t="s">
        <v>3055</v>
      </c>
    </row>
    <row r="9380">
      <c r="A9380" s="3" t="s">
        <v>24571</v>
      </c>
      <c r="B9380" s="3" t="s">
        <v>8461</v>
      </c>
      <c r="C9380" s="5" t="s">
        <v>45</v>
      </c>
      <c r="D9380" s="3" t="s">
        <v>221</v>
      </c>
      <c r="E9380" s="3" t="s">
        <v>510</v>
      </c>
      <c r="F9380" s="7">
        <v>45930.05938363373</v>
      </c>
      <c r="G9380" s="3" t="s">
        <v>2770</v>
      </c>
    </row>
    <row r="9381">
      <c r="A9381" s="3" t="s">
        <v>24572</v>
      </c>
      <c r="B9381" s="3" t="s">
        <v>8461</v>
      </c>
      <c r="C9381" s="5" t="s">
        <v>221</v>
      </c>
      <c r="D9381" s="3" t="s">
        <v>181</v>
      </c>
      <c r="E9381" s="3" t="s">
        <v>118</v>
      </c>
      <c r="F9381" s="7">
        <v>45930.06285585595</v>
      </c>
      <c r="G9381" s="3" t="s">
        <v>2774</v>
      </c>
    </row>
    <row r="9382">
      <c r="A9382" s="3" t="s">
        <v>24573</v>
      </c>
      <c r="B9382" s="3" t="s">
        <v>8464</v>
      </c>
      <c r="C9382" s="5" t="s">
        <v>45</v>
      </c>
      <c r="D9382" s="3" t="s">
        <v>221</v>
      </c>
      <c r="E9382" s="3" t="s">
        <v>734</v>
      </c>
      <c r="F9382" s="7">
        <v>45930.13055847915</v>
      </c>
      <c r="G9382" s="3" t="s">
        <v>7721</v>
      </c>
    </row>
    <row r="9383">
      <c r="A9383" s="3" t="s">
        <v>24574</v>
      </c>
      <c r="B9383" s="3" t="s">
        <v>8464</v>
      </c>
      <c r="C9383" s="5" t="s">
        <v>221</v>
      </c>
      <c r="D9383" s="3" t="s">
        <v>614</v>
      </c>
      <c r="E9383" s="3" t="s">
        <v>118</v>
      </c>
      <c r="F9383" s="7">
        <v>45930.13403070137</v>
      </c>
      <c r="G9383" s="3" t="s">
        <v>7724</v>
      </c>
    </row>
    <row r="9384">
      <c r="A9384" s="3" t="s">
        <v>24575</v>
      </c>
      <c r="B9384" s="3" t="s">
        <v>8464</v>
      </c>
      <c r="C9384" s="5" t="s">
        <v>614</v>
      </c>
      <c r="D9384" s="3" t="s">
        <v>206</v>
      </c>
      <c r="E9384" s="3" t="s">
        <v>100</v>
      </c>
      <c r="F9384" s="7">
        <v>45930.13750292359</v>
      </c>
      <c r="G9384" s="3" t="s">
        <v>7727</v>
      </c>
    </row>
    <row r="9385">
      <c r="A9385" s="3" t="s">
        <v>24576</v>
      </c>
      <c r="B9385" s="3" t="s">
        <v>8464</v>
      </c>
      <c r="C9385" s="5" t="s">
        <v>206</v>
      </c>
      <c r="D9385" s="3" t="s">
        <v>68</v>
      </c>
      <c r="E9385" s="3" t="s">
        <v>100</v>
      </c>
      <c r="F9385" s="7">
        <v>45930.14097514581</v>
      </c>
      <c r="G9385" s="3" t="s">
        <v>7730</v>
      </c>
    </row>
    <row r="9386">
      <c r="A9386" s="3" t="s">
        <v>24577</v>
      </c>
      <c r="B9386" s="3" t="s">
        <v>8467</v>
      </c>
      <c r="C9386" s="5" t="s">
        <v>45</v>
      </c>
      <c r="D9386" s="3" t="s">
        <v>221</v>
      </c>
      <c r="E9386" s="3" t="s">
        <v>965</v>
      </c>
      <c r="F9386" s="7">
        <v>45930.20173332456</v>
      </c>
      <c r="G9386" s="3" t="s">
        <v>21271</v>
      </c>
    </row>
    <row r="9387">
      <c r="A9387" s="3" t="s">
        <v>24578</v>
      </c>
      <c r="B9387" s="3" t="s">
        <v>8467</v>
      </c>
      <c r="C9387" s="5" t="s">
        <v>221</v>
      </c>
      <c r="D9387" s="3" t="s">
        <v>614</v>
      </c>
      <c r="E9387" s="3" t="s">
        <v>118</v>
      </c>
      <c r="F9387" s="7">
        <v>45930.20520554678</v>
      </c>
      <c r="G9387" s="3" t="s">
        <v>21274</v>
      </c>
    </row>
    <row r="9388">
      <c r="A9388" s="3" t="s">
        <v>24579</v>
      </c>
      <c r="B9388" s="3" t="s">
        <v>8467</v>
      </c>
      <c r="C9388" s="5" t="s">
        <v>614</v>
      </c>
      <c r="D9388" s="3" t="s">
        <v>206</v>
      </c>
      <c r="E9388" s="3" t="s">
        <v>100</v>
      </c>
      <c r="F9388" s="7">
        <v>45930.208677769006</v>
      </c>
      <c r="G9388" s="3" t="s">
        <v>21277</v>
      </c>
    </row>
    <row r="9389">
      <c r="A9389" s="3" t="s">
        <v>24580</v>
      </c>
      <c r="B9389" s="3" t="s">
        <v>8467</v>
      </c>
      <c r="C9389" s="5" t="s">
        <v>206</v>
      </c>
      <c r="D9389" s="3" t="s">
        <v>68</v>
      </c>
      <c r="E9389" s="3" t="s">
        <v>100</v>
      </c>
      <c r="F9389" s="7">
        <v>45930.212149991225</v>
      </c>
      <c r="G9389" s="3" t="s">
        <v>21280</v>
      </c>
    </row>
    <row r="9390">
      <c r="A9390" s="3" t="s">
        <v>24581</v>
      </c>
      <c r="B9390" s="3" t="s">
        <v>8470</v>
      </c>
      <c r="C9390" s="5" t="s">
        <v>45</v>
      </c>
      <c r="D9390" s="3" t="s">
        <v>221</v>
      </c>
      <c r="E9390" s="3" t="s">
        <v>366</v>
      </c>
      <c r="F9390" s="7">
        <v>45930.27290816997</v>
      </c>
      <c r="G9390" s="3" t="s">
        <v>2770</v>
      </c>
    </row>
    <row r="9391">
      <c r="A9391" s="3" t="s">
        <v>24582</v>
      </c>
      <c r="B9391" s="3" t="s">
        <v>8470</v>
      </c>
      <c r="C9391" s="5" t="s">
        <v>221</v>
      </c>
      <c r="D9391" s="3" t="s">
        <v>195</v>
      </c>
      <c r="E9391" s="3" t="s">
        <v>366</v>
      </c>
      <c r="F9391" s="7">
        <v>45930.27638039219</v>
      </c>
      <c r="G9391" s="3" t="s">
        <v>3055</v>
      </c>
    </row>
    <row r="9392">
      <c r="A9392" s="3" t="s">
        <v>24583</v>
      </c>
      <c r="B9392" s="3" t="s">
        <v>8472</v>
      </c>
      <c r="C9392" s="5" t="s">
        <v>45</v>
      </c>
      <c r="D9392" s="3" t="s">
        <v>221</v>
      </c>
      <c r="E9392" s="3" t="s">
        <v>505</v>
      </c>
      <c r="F9392" s="7">
        <v>45930.34408301539</v>
      </c>
      <c r="G9392" s="3" t="s">
        <v>4770</v>
      </c>
    </row>
    <row r="9393">
      <c r="A9393" s="3" t="s">
        <v>24584</v>
      </c>
      <c r="B9393" s="3" t="s">
        <v>8472</v>
      </c>
      <c r="C9393" s="5" t="s">
        <v>221</v>
      </c>
      <c r="D9393" s="3" t="s">
        <v>614</v>
      </c>
      <c r="E9393" s="3" t="s">
        <v>118</v>
      </c>
      <c r="F9393" s="7">
        <v>45930.34755523761</v>
      </c>
      <c r="G9393" s="3" t="s">
        <v>4773</v>
      </c>
    </row>
    <row r="9394">
      <c r="A9394" s="3" t="s">
        <v>24585</v>
      </c>
      <c r="B9394" s="3" t="s">
        <v>8472</v>
      </c>
      <c r="C9394" s="5" t="s">
        <v>614</v>
      </c>
      <c r="D9394" s="3" t="s">
        <v>206</v>
      </c>
      <c r="E9394" s="3" t="s">
        <v>100</v>
      </c>
      <c r="F9394" s="7">
        <v>45930.35102745984</v>
      </c>
      <c r="G9394" s="3" t="s">
        <v>4776</v>
      </c>
    </row>
    <row r="9395">
      <c r="A9395" s="3" t="s">
        <v>24586</v>
      </c>
      <c r="B9395" s="3" t="s">
        <v>8472</v>
      </c>
      <c r="C9395" s="5" t="s">
        <v>206</v>
      </c>
      <c r="D9395" s="3" t="s">
        <v>68</v>
      </c>
      <c r="E9395" s="3" t="s">
        <v>100</v>
      </c>
      <c r="F9395" s="7">
        <v>45930.35449968206</v>
      </c>
      <c r="G9395" s="3" t="s">
        <v>4779</v>
      </c>
    </row>
    <row r="9396">
      <c r="A9396" s="3" t="s">
        <v>24587</v>
      </c>
      <c r="B9396" s="3" t="s">
        <v>8474</v>
      </c>
      <c r="C9396" s="5" t="s">
        <v>45</v>
      </c>
      <c r="D9396" s="3" t="s">
        <v>221</v>
      </c>
      <c r="E9396" s="3" t="s">
        <v>151</v>
      </c>
      <c r="F9396" s="7">
        <v>45930.415257860805</v>
      </c>
      <c r="G9396" s="3" t="s">
        <v>21815</v>
      </c>
    </row>
    <row r="9397">
      <c r="A9397" s="3" t="s">
        <v>24588</v>
      </c>
      <c r="B9397" s="3" t="s">
        <v>8474</v>
      </c>
      <c r="C9397" s="5" t="s">
        <v>221</v>
      </c>
      <c r="D9397" s="3" t="s">
        <v>614</v>
      </c>
      <c r="E9397" s="3" t="s">
        <v>118</v>
      </c>
      <c r="F9397" s="7">
        <v>45930.41873008302</v>
      </c>
      <c r="G9397" s="3" t="s">
        <v>24589</v>
      </c>
    </row>
    <row r="9398">
      <c r="A9398" s="3" t="s">
        <v>24590</v>
      </c>
      <c r="B9398" s="3" t="s">
        <v>8474</v>
      </c>
      <c r="C9398" s="5" t="s">
        <v>614</v>
      </c>
      <c r="D9398" s="3" t="s">
        <v>206</v>
      </c>
      <c r="E9398" s="3" t="s">
        <v>100</v>
      </c>
      <c r="F9398" s="7">
        <v>45930.42220230525</v>
      </c>
      <c r="G9398" s="3" t="s">
        <v>24591</v>
      </c>
    </row>
    <row r="9399">
      <c r="A9399" s="3" t="s">
        <v>24592</v>
      </c>
      <c r="B9399" s="3" t="s">
        <v>8474</v>
      </c>
      <c r="C9399" s="5" t="s">
        <v>206</v>
      </c>
      <c r="D9399" s="3" t="s">
        <v>68</v>
      </c>
      <c r="E9399" s="3" t="s">
        <v>100</v>
      </c>
      <c r="F9399" s="7">
        <v>45930.42567452747</v>
      </c>
      <c r="G9399" s="3" t="s">
        <v>24593</v>
      </c>
    </row>
    <row r="9400">
      <c r="A9400" s="3" t="s">
        <v>24594</v>
      </c>
      <c r="B9400" s="3" t="s">
        <v>8476</v>
      </c>
      <c r="C9400" s="5" t="s">
        <v>45</v>
      </c>
      <c r="D9400" s="3" t="s">
        <v>221</v>
      </c>
      <c r="E9400" s="3" t="s">
        <v>502</v>
      </c>
      <c r="F9400" s="7">
        <v>45930.48643270622</v>
      </c>
      <c r="G9400" s="3" t="s">
        <v>24595</v>
      </c>
    </row>
    <row r="9401">
      <c r="A9401" s="3" t="s">
        <v>24596</v>
      </c>
      <c r="B9401" s="3" t="s">
        <v>8476</v>
      </c>
      <c r="C9401" s="5" t="s">
        <v>221</v>
      </c>
      <c r="D9401" s="3" t="s">
        <v>614</v>
      </c>
      <c r="E9401" s="3" t="s">
        <v>118</v>
      </c>
      <c r="F9401" s="7">
        <v>45930.489904928436</v>
      </c>
      <c r="G9401" s="3" t="s">
        <v>24597</v>
      </c>
    </row>
    <row r="9402">
      <c r="A9402" s="3" t="s">
        <v>24598</v>
      </c>
      <c r="B9402" s="3" t="s">
        <v>8476</v>
      </c>
      <c r="C9402" s="5" t="s">
        <v>614</v>
      </c>
      <c r="D9402" s="3" t="s">
        <v>206</v>
      </c>
      <c r="E9402" s="3" t="s">
        <v>100</v>
      </c>
      <c r="F9402" s="7">
        <v>45930.49337715066</v>
      </c>
      <c r="G9402" s="3" t="s">
        <v>24599</v>
      </c>
    </row>
    <row r="9403">
      <c r="A9403" s="3" t="s">
        <v>24600</v>
      </c>
      <c r="B9403" s="3" t="s">
        <v>8476</v>
      </c>
      <c r="C9403" s="5" t="s">
        <v>206</v>
      </c>
      <c r="D9403" s="3" t="s">
        <v>68</v>
      </c>
      <c r="E9403" s="3" t="s">
        <v>100</v>
      </c>
      <c r="F9403" s="7">
        <v>45930.49684937288</v>
      </c>
      <c r="G9403" s="3" t="s">
        <v>24601</v>
      </c>
    </row>
    <row r="9404">
      <c r="A9404" s="3" t="s">
        <v>24602</v>
      </c>
      <c r="B9404" s="3" t="s">
        <v>8480</v>
      </c>
      <c r="C9404" s="5" t="s">
        <v>45</v>
      </c>
      <c r="D9404" s="3" t="s">
        <v>221</v>
      </c>
      <c r="E9404" s="3" t="s">
        <v>622</v>
      </c>
      <c r="F9404" s="7">
        <v>45930.55760755164</v>
      </c>
      <c r="G9404" s="3" t="s">
        <v>24075</v>
      </c>
    </row>
    <row r="9405">
      <c r="A9405" s="3" t="s">
        <v>24603</v>
      </c>
      <c r="B9405" s="3" t="s">
        <v>8480</v>
      </c>
      <c r="C9405" s="5" t="s">
        <v>221</v>
      </c>
      <c r="D9405" s="3" t="s">
        <v>614</v>
      </c>
      <c r="E9405" s="3" t="s">
        <v>118</v>
      </c>
      <c r="F9405" s="7">
        <v>45930.561079773855</v>
      </c>
      <c r="G9405" s="3" t="s">
        <v>24077</v>
      </c>
    </row>
    <row r="9406">
      <c r="A9406" s="3" t="s">
        <v>24604</v>
      </c>
      <c r="B9406" s="3" t="s">
        <v>8480</v>
      </c>
      <c r="C9406" s="5" t="s">
        <v>614</v>
      </c>
      <c r="D9406" s="3" t="s">
        <v>206</v>
      </c>
      <c r="E9406" s="3" t="s">
        <v>100</v>
      </c>
      <c r="F9406" s="7">
        <v>45930.56455199608</v>
      </c>
      <c r="G9406" s="3" t="s">
        <v>24079</v>
      </c>
    </row>
    <row r="9407">
      <c r="A9407" s="3" t="s">
        <v>24605</v>
      </c>
      <c r="B9407" s="3" t="s">
        <v>8480</v>
      </c>
      <c r="C9407" s="5" t="s">
        <v>206</v>
      </c>
      <c r="D9407" s="3" t="s">
        <v>68</v>
      </c>
      <c r="E9407" s="3" t="s">
        <v>100</v>
      </c>
      <c r="F9407" s="7">
        <v>45930.5680242183</v>
      </c>
      <c r="G9407" s="3" t="s">
        <v>24081</v>
      </c>
    </row>
    <row r="9408">
      <c r="A9408" s="3" t="s">
        <v>24606</v>
      </c>
      <c r="B9408" s="3" t="s">
        <v>8483</v>
      </c>
      <c r="C9408" s="5" t="s">
        <v>45</v>
      </c>
      <c r="D9408" s="3" t="s">
        <v>221</v>
      </c>
      <c r="E9408" s="3" t="s">
        <v>449</v>
      </c>
      <c r="F9408" s="7">
        <v>45930.628782397056</v>
      </c>
      <c r="G9408" s="3" t="s">
        <v>24607</v>
      </c>
    </row>
    <row r="9409">
      <c r="A9409" s="3" t="s">
        <v>24608</v>
      </c>
      <c r="B9409" s="3" t="s">
        <v>8483</v>
      </c>
      <c r="C9409" s="5" t="s">
        <v>221</v>
      </c>
      <c r="D9409" s="3" t="s">
        <v>614</v>
      </c>
      <c r="E9409" s="3" t="s">
        <v>118</v>
      </c>
      <c r="F9409" s="7">
        <v>45930.632254619275</v>
      </c>
      <c r="G9409" s="3" t="s">
        <v>24609</v>
      </c>
    </row>
    <row r="9410">
      <c r="A9410" s="3" t="s">
        <v>24610</v>
      </c>
      <c r="B9410" s="3" t="s">
        <v>8483</v>
      </c>
      <c r="C9410" s="5" t="s">
        <v>614</v>
      </c>
      <c r="D9410" s="3" t="s">
        <v>206</v>
      </c>
      <c r="E9410" s="3" t="s">
        <v>100</v>
      </c>
      <c r="F9410" s="7">
        <v>45930.6357268415</v>
      </c>
      <c r="G9410" s="3" t="s">
        <v>24611</v>
      </c>
    </row>
    <row r="9411">
      <c r="A9411" s="3" t="s">
        <v>24612</v>
      </c>
      <c r="B9411" s="3" t="s">
        <v>8483</v>
      </c>
      <c r="C9411" s="5" t="s">
        <v>206</v>
      </c>
      <c r="D9411" s="3" t="s">
        <v>68</v>
      </c>
      <c r="E9411" s="3" t="s">
        <v>100</v>
      </c>
      <c r="F9411" s="7">
        <v>45930.63919906372</v>
      </c>
      <c r="G9411" s="3" t="s">
        <v>24613</v>
      </c>
    </row>
    <row r="9412">
      <c r="A9412" s="3" t="s">
        <v>24614</v>
      </c>
      <c r="B9412" s="3" t="s">
        <v>8486</v>
      </c>
      <c r="C9412" s="5" t="s">
        <v>45</v>
      </c>
      <c r="D9412" s="3" t="s">
        <v>221</v>
      </c>
      <c r="E9412" s="3" t="s">
        <v>781</v>
      </c>
      <c r="F9412" s="7">
        <v>45930.69995724246</v>
      </c>
      <c r="G9412" s="3" t="s">
        <v>9783</v>
      </c>
    </row>
    <row r="9413">
      <c r="A9413" s="3" t="s">
        <v>24615</v>
      </c>
      <c r="B9413" s="3" t="s">
        <v>8486</v>
      </c>
      <c r="C9413" s="5" t="s">
        <v>221</v>
      </c>
      <c r="D9413" s="3" t="s">
        <v>614</v>
      </c>
      <c r="E9413" s="3" t="s">
        <v>118</v>
      </c>
      <c r="F9413" s="7">
        <v>45930.70342946468</v>
      </c>
      <c r="G9413" s="3" t="s">
        <v>9786</v>
      </c>
    </row>
    <row r="9414">
      <c r="A9414" s="3" t="s">
        <v>24616</v>
      </c>
      <c r="B9414" s="3" t="s">
        <v>8486</v>
      </c>
      <c r="C9414" s="5" t="s">
        <v>614</v>
      </c>
      <c r="D9414" s="3" t="s">
        <v>206</v>
      </c>
      <c r="E9414" s="3" t="s">
        <v>100</v>
      </c>
      <c r="F9414" s="7">
        <v>45930.706901686906</v>
      </c>
      <c r="G9414" s="3" t="s">
        <v>9790</v>
      </c>
    </row>
    <row r="9415">
      <c r="A9415" s="3" t="s">
        <v>24617</v>
      </c>
      <c r="B9415" s="3" t="s">
        <v>8486</v>
      </c>
      <c r="C9415" s="5" t="s">
        <v>206</v>
      </c>
      <c r="D9415" s="3" t="s">
        <v>68</v>
      </c>
      <c r="E9415" s="3" t="s">
        <v>100</v>
      </c>
      <c r="F9415" s="7">
        <v>45930.710373909125</v>
      </c>
      <c r="G9415" s="3" t="s">
        <v>9793</v>
      </c>
    </row>
    <row r="9416">
      <c r="A9416" s="3" t="s">
        <v>24618</v>
      </c>
      <c r="B9416" s="3" t="s">
        <v>8490</v>
      </c>
      <c r="C9416" s="5" t="s">
        <v>45</v>
      </c>
      <c r="D9416" s="3" t="s">
        <v>221</v>
      </c>
      <c r="E9416" s="3" t="s">
        <v>333</v>
      </c>
      <c r="F9416" s="7">
        <v>45930.77113208788</v>
      </c>
      <c r="G9416" s="3" t="s">
        <v>7744</v>
      </c>
    </row>
    <row r="9417">
      <c r="A9417" s="3" t="s">
        <v>24619</v>
      </c>
      <c r="B9417" s="3" t="s">
        <v>8490</v>
      </c>
      <c r="C9417" s="5" t="s">
        <v>221</v>
      </c>
      <c r="D9417" s="3" t="s">
        <v>614</v>
      </c>
      <c r="E9417" s="3" t="s">
        <v>118</v>
      </c>
      <c r="F9417" s="7">
        <v>45930.7746043101</v>
      </c>
      <c r="G9417" s="3" t="s">
        <v>7747</v>
      </c>
    </row>
    <row r="9418">
      <c r="A9418" s="3" t="s">
        <v>24620</v>
      </c>
      <c r="B9418" s="3" t="s">
        <v>8490</v>
      </c>
      <c r="C9418" s="5" t="s">
        <v>614</v>
      </c>
      <c r="D9418" s="3" t="s">
        <v>206</v>
      </c>
      <c r="E9418" s="3" t="s">
        <v>100</v>
      </c>
      <c r="F9418" s="7">
        <v>45930.778076532326</v>
      </c>
      <c r="G9418" s="3" t="s">
        <v>7750</v>
      </c>
    </row>
    <row r="9419">
      <c r="A9419" s="3" t="s">
        <v>24621</v>
      </c>
      <c r="B9419" s="3" t="s">
        <v>8490</v>
      </c>
      <c r="C9419" s="5" t="s">
        <v>206</v>
      </c>
      <c r="D9419" s="3" t="s">
        <v>68</v>
      </c>
      <c r="E9419" s="3" t="s">
        <v>100</v>
      </c>
      <c r="F9419" s="7">
        <v>45930.781548754545</v>
      </c>
      <c r="G9419" s="3" t="s">
        <v>7753</v>
      </c>
    </row>
    <row r="9420">
      <c r="A9420" s="3" t="s">
        <v>24622</v>
      </c>
      <c r="B9420" s="3" t="s">
        <v>8493</v>
      </c>
      <c r="C9420" s="5" t="s">
        <v>45</v>
      </c>
      <c r="D9420" s="3" t="s">
        <v>221</v>
      </c>
      <c r="E9420" s="3" t="s">
        <v>165</v>
      </c>
      <c r="F9420" s="7">
        <v>45930.84230693329</v>
      </c>
      <c r="G9420" s="3" t="s">
        <v>24623</v>
      </c>
    </row>
    <row r="9421">
      <c r="A9421" s="3" t="s">
        <v>24624</v>
      </c>
      <c r="B9421" s="3" t="s">
        <v>8493</v>
      </c>
      <c r="C9421" s="5" t="s">
        <v>221</v>
      </c>
      <c r="D9421" s="3" t="s">
        <v>614</v>
      </c>
      <c r="E9421" s="3" t="s">
        <v>118</v>
      </c>
      <c r="F9421" s="7">
        <v>45930.84577915551</v>
      </c>
      <c r="G9421" s="3" t="s">
        <v>24625</v>
      </c>
    </row>
    <row r="9422">
      <c r="A9422" s="3" t="s">
        <v>24626</v>
      </c>
      <c r="B9422" s="3" t="s">
        <v>8493</v>
      </c>
      <c r="C9422" s="5" t="s">
        <v>614</v>
      </c>
      <c r="D9422" s="3" t="s">
        <v>206</v>
      </c>
      <c r="E9422" s="3" t="s">
        <v>100</v>
      </c>
      <c r="F9422" s="7">
        <v>45930.84925137774</v>
      </c>
      <c r="G9422" s="3" t="s">
        <v>24627</v>
      </c>
    </row>
    <row r="9423">
      <c r="A9423" s="3" t="s">
        <v>24628</v>
      </c>
      <c r="B9423" s="3" t="s">
        <v>8493</v>
      </c>
      <c r="C9423" s="5" t="s">
        <v>206</v>
      </c>
      <c r="D9423" s="3" t="s">
        <v>68</v>
      </c>
      <c r="E9423" s="3" t="s">
        <v>100</v>
      </c>
      <c r="F9423" s="7">
        <v>45930.85272359996</v>
      </c>
      <c r="G9423" s="3" t="s">
        <v>24629</v>
      </c>
    </row>
    <row r="9424">
      <c r="A9424" s="3" t="s">
        <v>24630</v>
      </c>
      <c r="B9424" s="3" t="s">
        <v>8497</v>
      </c>
      <c r="C9424" s="5" t="s">
        <v>45</v>
      </c>
      <c r="D9424" s="3" t="s">
        <v>221</v>
      </c>
      <c r="E9424" s="3" t="s">
        <v>746</v>
      </c>
      <c r="F9424" s="7">
        <v>45930.91348177871</v>
      </c>
      <c r="G9424" s="3" t="s">
        <v>18028</v>
      </c>
    </row>
    <row r="9425">
      <c r="A9425" s="3" t="s">
        <v>24631</v>
      </c>
      <c r="B9425" s="3" t="s">
        <v>8497</v>
      </c>
      <c r="C9425" s="5" t="s">
        <v>221</v>
      </c>
      <c r="D9425" s="3" t="s">
        <v>614</v>
      </c>
      <c r="E9425" s="3" t="s">
        <v>118</v>
      </c>
      <c r="F9425" s="7">
        <v>45930.91695400093</v>
      </c>
      <c r="G9425" s="3" t="s">
        <v>18031</v>
      </c>
    </row>
    <row r="9426">
      <c r="A9426" s="3" t="s">
        <v>24632</v>
      </c>
      <c r="B9426" s="3" t="s">
        <v>8497</v>
      </c>
      <c r="C9426" s="5" t="s">
        <v>614</v>
      </c>
      <c r="D9426" s="3" t="s">
        <v>206</v>
      </c>
      <c r="E9426" s="3" t="s">
        <v>100</v>
      </c>
      <c r="F9426" s="7">
        <v>45930.92042622316</v>
      </c>
      <c r="G9426" s="3" t="s">
        <v>18034</v>
      </c>
    </row>
    <row r="9427">
      <c r="A9427" s="3" t="s">
        <v>24633</v>
      </c>
      <c r="B9427" s="3" t="s">
        <v>8497</v>
      </c>
      <c r="C9427" s="5" t="s">
        <v>206</v>
      </c>
      <c r="D9427" s="3" t="s">
        <v>68</v>
      </c>
      <c r="E9427" s="3" t="s">
        <v>100</v>
      </c>
      <c r="F9427" s="7">
        <v>45930.92389844538</v>
      </c>
      <c r="G9427" s="3" t="s">
        <v>18037</v>
      </c>
    </row>
    <row r="9428">
      <c r="A9428" s="3" t="s">
        <v>24634</v>
      </c>
      <c r="B9428" s="3" t="s">
        <v>8500</v>
      </c>
      <c r="C9428" s="5" t="s">
        <v>45</v>
      </c>
      <c r="D9428" s="3" t="s">
        <v>221</v>
      </c>
      <c r="E9428" s="3" t="s">
        <v>922</v>
      </c>
      <c r="F9428" s="7">
        <v>45930.984656624125</v>
      </c>
      <c r="G9428" s="3" t="s">
        <v>14478</v>
      </c>
    </row>
    <row r="9429">
      <c r="A9429" s="3" t="s">
        <v>24635</v>
      </c>
      <c r="B9429" s="3" t="s">
        <v>8500</v>
      </c>
      <c r="C9429" s="5" t="s">
        <v>221</v>
      </c>
      <c r="D9429" s="3" t="s">
        <v>614</v>
      </c>
      <c r="E9429" s="3" t="s">
        <v>118</v>
      </c>
      <c r="F9429" s="7">
        <v>45930.988128846344</v>
      </c>
      <c r="G9429" s="3" t="s">
        <v>14481</v>
      </c>
    </row>
    <row r="9430">
      <c r="A9430" s="3" t="s">
        <v>24636</v>
      </c>
      <c r="B9430" s="3" t="s">
        <v>8500</v>
      </c>
      <c r="C9430" s="5" t="s">
        <v>614</v>
      </c>
      <c r="D9430" s="3" t="s">
        <v>206</v>
      </c>
      <c r="E9430" s="3" t="s">
        <v>100</v>
      </c>
      <c r="F9430" s="7">
        <v>45930.99160106857</v>
      </c>
      <c r="G9430" s="3" t="s">
        <v>14484</v>
      </c>
    </row>
    <row r="9431">
      <c r="A9431" s="3" t="s">
        <v>24637</v>
      </c>
      <c r="B9431" s="3" t="s">
        <v>8500</v>
      </c>
      <c r="C9431" s="5" t="s">
        <v>206</v>
      </c>
      <c r="D9431" s="3" t="s">
        <v>68</v>
      </c>
      <c r="E9431" s="3" t="s">
        <v>100</v>
      </c>
      <c r="F9431" s="7">
        <v>45930.99507329079</v>
      </c>
      <c r="G9431" s="3" t="s">
        <v>14487</v>
      </c>
    </row>
    <row r="9432">
      <c r="A9432" s="3" t="s">
        <v>24638</v>
      </c>
      <c r="B9432" s="3" t="s">
        <v>8505</v>
      </c>
      <c r="C9432" s="5" t="s">
        <v>45</v>
      </c>
      <c r="D9432" s="3" t="s">
        <v>221</v>
      </c>
      <c r="E9432" s="3" t="s">
        <v>1043</v>
      </c>
      <c r="F9432" s="7">
        <v>45931.055831469545</v>
      </c>
      <c r="G9432" s="3" t="s">
        <v>5732</v>
      </c>
    </row>
    <row r="9433">
      <c r="A9433" s="3" t="s">
        <v>24639</v>
      </c>
      <c r="B9433" s="3" t="s">
        <v>8505</v>
      </c>
      <c r="C9433" s="5" t="s">
        <v>221</v>
      </c>
      <c r="D9433" s="3" t="s">
        <v>181</v>
      </c>
      <c r="E9433" s="3" t="s">
        <v>118</v>
      </c>
      <c r="F9433" s="7">
        <v>45931.05930369176</v>
      </c>
      <c r="G9433" s="3" t="s">
        <v>24640</v>
      </c>
    </row>
    <row r="9434">
      <c r="A9434" s="3" t="s">
        <v>24641</v>
      </c>
      <c r="B9434" s="3" t="s">
        <v>8508</v>
      </c>
      <c r="C9434" s="5" t="s">
        <v>45</v>
      </c>
      <c r="D9434" s="3" t="s">
        <v>221</v>
      </c>
      <c r="E9434" s="3" t="s">
        <v>765</v>
      </c>
      <c r="F9434" s="7">
        <v>45931.12700631495</v>
      </c>
      <c r="G9434" s="3" t="s">
        <v>24642</v>
      </c>
    </row>
    <row r="9435">
      <c r="A9435" s="3" t="s">
        <v>24643</v>
      </c>
      <c r="B9435" s="3" t="s">
        <v>8508</v>
      </c>
      <c r="C9435" s="5" t="s">
        <v>221</v>
      </c>
      <c r="D9435" s="3" t="s">
        <v>614</v>
      </c>
      <c r="E9435" s="3" t="s">
        <v>118</v>
      </c>
      <c r="F9435" s="7">
        <v>45931.13047853717</v>
      </c>
      <c r="G9435" s="3" t="s">
        <v>24644</v>
      </c>
    </row>
    <row r="9436">
      <c r="A9436" s="3" t="s">
        <v>24645</v>
      </c>
      <c r="B9436" s="3" t="s">
        <v>8508</v>
      </c>
      <c r="C9436" s="5" t="s">
        <v>614</v>
      </c>
      <c r="D9436" s="3" t="s">
        <v>206</v>
      </c>
      <c r="E9436" s="3" t="s">
        <v>100</v>
      </c>
      <c r="F9436" s="7">
        <v>45931.133950759395</v>
      </c>
      <c r="G9436" s="3" t="s">
        <v>24646</v>
      </c>
    </row>
    <row r="9437">
      <c r="A9437" s="3" t="s">
        <v>24647</v>
      </c>
      <c r="B9437" s="3" t="s">
        <v>8508</v>
      </c>
      <c r="C9437" s="5" t="s">
        <v>206</v>
      </c>
      <c r="D9437" s="3" t="s">
        <v>68</v>
      </c>
      <c r="E9437" s="3" t="s">
        <v>100</v>
      </c>
      <c r="F9437" s="7">
        <v>45931.137422981614</v>
      </c>
      <c r="G9437" s="3" t="s">
        <v>24648</v>
      </c>
    </row>
    <row r="9438">
      <c r="A9438" s="3" t="s">
        <v>24649</v>
      </c>
      <c r="B9438" s="3" t="s">
        <v>8511</v>
      </c>
      <c r="C9438" s="5" t="s">
        <v>45</v>
      </c>
      <c r="D9438" s="3" t="s">
        <v>221</v>
      </c>
      <c r="E9438" s="3" t="s">
        <v>287</v>
      </c>
      <c r="F9438" s="7">
        <v>45931.19818116037</v>
      </c>
      <c r="G9438" s="3" t="s">
        <v>4078</v>
      </c>
    </row>
    <row r="9439">
      <c r="A9439" s="3" t="s">
        <v>24650</v>
      </c>
      <c r="B9439" s="3" t="s">
        <v>8511</v>
      </c>
      <c r="C9439" s="5" t="s">
        <v>221</v>
      </c>
      <c r="D9439" s="3" t="s">
        <v>614</v>
      </c>
      <c r="E9439" s="3" t="s">
        <v>118</v>
      </c>
      <c r="F9439" s="7">
        <v>45931.20165338259</v>
      </c>
      <c r="G9439" s="3" t="s">
        <v>4080</v>
      </c>
    </row>
    <row r="9440">
      <c r="A9440" s="3" t="s">
        <v>24651</v>
      </c>
      <c r="B9440" s="3" t="s">
        <v>8511</v>
      </c>
      <c r="C9440" s="5" t="s">
        <v>614</v>
      </c>
      <c r="D9440" s="3" t="s">
        <v>206</v>
      </c>
      <c r="E9440" s="3" t="s">
        <v>100</v>
      </c>
      <c r="F9440" s="7">
        <v>45931.205125604814</v>
      </c>
      <c r="G9440" s="3" t="s">
        <v>4083</v>
      </c>
    </row>
    <row r="9441">
      <c r="A9441" s="3" t="s">
        <v>24652</v>
      </c>
      <c r="B9441" s="3" t="s">
        <v>8511</v>
      </c>
      <c r="C9441" s="5" t="s">
        <v>206</v>
      </c>
      <c r="D9441" s="3" t="s">
        <v>68</v>
      </c>
      <c r="E9441" s="3" t="s">
        <v>100</v>
      </c>
      <c r="F9441" s="7">
        <v>45931.20859782703</v>
      </c>
      <c r="G9441" s="3" t="s">
        <v>4086</v>
      </c>
    </row>
    <row r="9442">
      <c r="A9442" s="3" t="s">
        <v>24653</v>
      </c>
      <c r="B9442" s="3" t="s">
        <v>8514</v>
      </c>
      <c r="C9442" s="5" t="s">
        <v>45</v>
      </c>
      <c r="D9442" s="3" t="s">
        <v>221</v>
      </c>
      <c r="E9442" s="3" t="s">
        <v>299</v>
      </c>
      <c r="F9442" s="7">
        <v>45931.26935600579</v>
      </c>
      <c r="G9442" s="3" t="s">
        <v>24654</v>
      </c>
    </row>
    <row r="9443">
      <c r="A9443" s="3" t="s">
        <v>24655</v>
      </c>
      <c r="B9443" s="3" t="s">
        <v>8514</v>
      </c>
      <c r="C9443" s="5" t="s">
        <v>221</v>
      </c>
      <c r="D9443" s="3" t="s">
        <v>181</v>
      </c>
      <c r="E9443" s="3" t="s">
        <v>118</v>
      </c>
      <c r="F9443" s="7">
        <v>45931.27282822801</v>
      </c>
      <c r="G9443" s="3" t="s">
        <v>24656</v>
      </c>
    </row>
    <row r="9444">
      <c r="A9444" s="3" t="s">
        <v>24657</v>
      </c>
      <c r="B9444" s="3" t="s">
        <v>8518</v>
      </c>
      <c r="C9444" s="5" t="s">
        <v>45</v>
      </c>
      <c r="D9444" s="3" t="s">
        <v>221</v>
      </c>
      <c r="E9444" s="3" t="s">
        <v>193</v>
      </c>
      <c r="F9444" s="7">
        <v>45931.3405308512</v>
      </c>
      <c r="G9444" s="3" t="s">
        <v>7798</v>
      </c>
    </row>
    <row r="9445">
      <c r="A9445" s="3" t="s">
        <v>24658</v>
      </c>
      <c r="B9445" s="3" t="s">
        <v>8518</v>
      </c>
      <c r="C9445" s="5" t="s">
        <v>221</v>
      </c>
      <c r="D9445" s="3" t="s">
        <v>614</v>
      </c>
      <c r="E9445" s="3" t="s">
        <v>118</v>
      </c>
      <c r="F9445" s="7">
        <v>45931.34400307342</v>
      </c>
      <c r="G9445" s="3" t="s">
        <v>7801</v>
      </c>
    </row>
    <row r="9446">
      <c r="A9446" s="3" t="s">
        <v>24659</v>
      </c>
      <c r="B9446" s="3" t="s">
        <v>8518</v>
      </c>
      <c r="C9446" s="5" t="s">
        <v>614</v>
      </c>
      <c r="D9446" s="3" t="s">
        <v>206</v>
      </c>
      <c r="E9446" s="3" t="s">
        <v>100</v>
      </c>
      <c r="F9446" s="7">
        <v>45931.347475295646</v>
      </c>
      <c r="G9446" s="3" t="s">
        <v>7804</v>
      </c>
    </row>
    <row r="9447">
      <c r="A9447" s="3" t="s">
        <v>24660</v>
      </c>
      <c r="B9447" s="3" t="s">
        <v>8518</v>
      </c>
      <c r="C9447" s="5" t="s">
        <v>206</v>
      </c>
      <c r="D9447" s="3" t="s">
        <v>68</v>
      </c>
      <c r="E9447" s="3" t="s">
        <v>100</v>
      </c>
      <c r="F9447" s="7">
        <v>45931.350947517865</v>
      </c>
      <c r="G9447" s="3" t="s">
        <v>7806</v>
      </c>
    </row>
    <row r="9448">
      <c r="A9448" s="3" t="s">
        <v>24661</v>
      </c>
      <c r="B9448" s="3" t="s">
        <v>8522</v>
      </c>
      <c r="C9448" s="5" t="s">
        <v>45</v>
      </c>
      <c r="D9448" s="3" t="s">
        <v>221</v>
      </c>
      <c r="E9448" s="3" t="s">
        <v>430</v>
      </c>
      <c r="F9448" s="7">
        <v>45931.41170569661</v>
      </c>
      <c r="G9448" s="3" t="s">
        <v>6231</v>
      </c>
    </row>
    <row r="9449">
      <c r="A9449" s="3" t="s">
        <v>24662</v>
      </c>
      <c r="B9449" s="3" t="s">
        <v>8522</v>
      </c>
      <c r="C9449" s="5" t="s">
        <v>221</v>
      </c>
      <c r="D9449" s="3" t="s">
        <v>614</v>
      </c>
      <c r="E9449" s="3" t="s">
        <v>118</v>
      </c>
      <c r="F9449" s="7">
        <v>45931.41517791883</v>
      </c>
      <c r="G9449" s="3" t="s">
        <v>6234</v>
      </c>
    </row>
    <row r="9450">
      <c r="A9450" s="3" t="s">
        <v>24663</v>
      </c>
      <c r="B9450" s="3" t="s">
        <v>8522</v>
      </c>
      <c r="C9450" s="5" t="s">
        <v>614</v>
      </c>
      <c r="D9450" s="3" t="s">
        <v>206</v>
      </c>
      <c r="E9450" s="3" t="s">
        <v>100</v>
      </c>
      <c r="F9450" s="7">
        <v>45931.41865014106</v>
      </c>
      <c r="G9450" s="3" t="s">
        <v>6237</v>
      </c>
    </row>
    <row r="9451">
      <c r="A9451" s="3" t="s">
        <v>24664</v>
      </c>
      <c r="B9451" s="3" t="s">
        <v>8522</v>
      </c>
      <c r="C9451" s="5" t="s">
        <v>206</v>
      </c>
      <c r="D9451" s="3" t="s">
        <v>68</v>
      </c>
      <c r="E9451" s="3" t="s">
        <v>100</v>
      </c>
      <c r="F9451" s="7">
        <v>45931.42212236328</v>
      </c>
      <c r="G9451" s="3" t="s">
        <v>6240</v>
      </c>
    </row>
    <row r="9452">
      <c r="A9452" s="3" t="s">
        <v>24665</v>
      </c>
      <c r="B9452" s="3" t="s">
        <v>8525</v>
      </c>
      <c r="C9452" s="5" t="s">
        <v>45</v>
      </c>
      <c r="D9452" s="3" t="s">
        <v>221</v>
      </c>
      <c r="E9452" s="3" t="s">
        <v>507</v>
      </c>
      <c r="F9452" s="7">
        <v>45931.48288054203</v>
      </c>
      <c r="G9452" s="3" t="s">
        <v>5927</v>
      </c>
    </row>
    <row r="9453">
      <c r="A9453" s="3" t="s">
        <v>24666</v>
      </c>
      <c r="B9453" s="3" t="s">
        <v>8525</v>
      </c>
      <c r="C9453" s="5" t="s">
        <v>221</v>
      </c>
      <c r="D9453" s="3" t="s">
        <v>614</v>
      </c>
      <c r="E9453" s="3" t="s">
        <v>118</v>
      </c>
      <c r="F9453" s="7">
        <v>45931.48635276425</v>
      </c>
      <c r="G9453" s="3" t="s">
        <v>5930</v>
      </c>
    </row>
    <row r="9454">
      <c r="A9454" s="3" t="s">
        <v>24667</v>
      </c>
      <c r="B9454" s="3" t="s">
        <v>8525</v>
      </c>
      <c r="C9454" s="5" t="s">
        <v>614</v>
      </c>
      <c r="D9454" s="3" t="s">
        <v>206</v>
      </c>
      <c r="E9454" s="3" t="s">
        <v>100</v>
      </c>
      <c r="F9454" s="7">
        <v>45931.48982498648</v>
      </c>
      <c r="G9454" s="3" t="s">
        <v>5932</v>
      </c>
    </row>
    <row r="9455">
      <c r="A9455" s="3" t="s">
        <v>24668</v>
      </c>
      <c r="B9455" s="3" t="s">
        <v>8525</v>
      </c>
      <c r="C9455" s="5" t="s">
        <v>206</v>
      </c>
      <c r="D9455" s="3" t="s">
        <v>68</v>
      </c>
      <c r="E9455" s="3" t="s">
        <v>100</v>
      </c>
      <c r="F9455" s="7">
        <v>45931.4932972087</v>
      </c>
      <c r="G9455" s="3" t="s">
        <v>5935</v>
      </c>
    </row>
    <row r="9456">
      <c r="A9456" s="3" t="s">
        <v>24669</v>
      </c>
      <c r="B9456" s="3" t="s">
        <v>8528</v>
      </c>
      <c r="C9456" s="5" t="s">
        <v>45</v>
      </c>
      <c r="D9456" s="3" t="s">
        <v>221</v>
      </c>
      <c r="E9456" s="3" t="s">
        <v>848</v>
      </c>
      <c r="F9456" s="7">
        <v>45931.554055387445</v>
      </c>
      <c r="G9456" s="3" t="s">
        <v>15279</v>
      </c>
    </row>
    <row r="9457">
      <c r="A9457" s="3" t="s">
        <v>24670</v>
      </c>
      <c r="B9457" s="3" t="s">
        <v>8528</v>
      </c>
      <c r="C9457" s="5" t="s">
        <v>221</v>
      </c>
      <c r="D9457" s="3" t="s">
        <v>614</v>
      </c>
      <c r="E9457" s="3" t="s">
        <v>118</v>
      </c>
      <c r="F9457" s="7">
        <v>45931.557527609664</v>
      </c>
      <c r="G9457" s="3" t="s">
        <v>15281</v>
      </c>
    </row>
    <row r="9458">
      <c r="A9458" s="3" t="s">
        <v>24671</v>
      </c>
      <c r="B9458" s="3" t="s">
        <v>8528</v>
      </c>
      <c r="C9458" s="5" t="s">
        <v>614</v>
      </c>
      <c r="D9458" s="3" t="s">
        <v>206</v>
      </c>
      <c r="E9458" s="3" t="s">
        <v>100</v>
      </c>
      <c r="F9458" s="7">
        <v>45931.56099983189</v>
      </c>
      <c r="G9458" s="3" t="s">
        <v>15284</v>
      </c>
    </row>
    <row r="9459">
      <c r="A9459" s="3" t="s">
        <v>24672</v>
      </c>
      <c r="B9459" s="3" t="s">
        <v>8528</v>
      </c>
      <c r="C9459" s="5" t="s">
        <v>206</v>
      </c>
      <c r="D9459" s="3" t="s">
        <v>68</v>
      </c>
      <c r="E9459" s="3" t="s">
        <v>100</v>
      </c>
      <c r="F9459" s="7">
        <v>45931.56447205411</v>
      </c>
      <c r="G9459" s="3" t="s">
        <v>15287</v>
      </c>
    </row>
    <row r="9460">
      <c r="A9460" s="3" t="s">
        <v>24673</v>
      </c>
      <c r="B9460" s="3" t="s">
        <v>8531</v>
      </c>
      <c r="C9460" s="5" t="s">
        <v>45</v>
      </c>
      <c r="D9460" s="3" t="s">
        <v>221</v>
      </c>
      <c r="E9460" s="3" t="s">
        <v>468</v>
      </c>
      <c r="F9460" s="7">
        <v>45931.62523023286</v>
      </c>
      <c r="G9460" s="3" t="s">
        <v>24674</v>
      </c>
    </row>
    <row r="9461">
      <c r="A9461" s="3" t="s">
        <v>24675</v>
      </c>
      <c r="B9461" s="3" t="s">
        <v>8531</v>
      </c>
      <c r="C9461" s="5" t="s">
        <v>221</v>
      </c>
      <c r="D9461" s="3" t="s">
        <v>614</v>
      </c>
      <c r="E9461" s="3" t="s">
        <v>118</v>
      </c>
      <c r="F9461" s="7">
        <v>45931.62870245508</v>
      </c>
      <c r="G9461" s="3" t="s">
        <v>24676</v>
      </c>
    </row>
    <row r="9462">
      <c r="A9462" s="3" t="s">
        <v>24677</v>
      </c>
      <c r="B9462" s="3" t="s">
        <v>8531</v>
      </c>
      <c r="C9462" s="5" t="s">
        <v>614</v>
      </c>
      <c r="D9462" s="3" t="s">
        <v>206</v>
      </c>
      <c r="E9462" s="3" t="s">
        <v>100</v>
      </c>
      <c r="F9462" s="7">
        <v>45931.6321746773</v>
      </c>
      <c r="G9462" s="3" t="s">
        <v>24678</v>
      </c>
    </row>
    <row r="9463">
      <c r="A9463" s="3" t="s">
        <v>24679</v>
      </c>
      <c r="B9463" s="3" t="s">
        <v>8531</v>
      </c>
      <c r="C9463" s="5" t="s">
        <v>206</v>
      </c>
      <c r="D9463" s="3" t="s">
        <v>68</v>
      </c>
      <c r="E9463" s="3" t="s">
        <v>100</v>
      </c>
      <c r="F9463" s="7">
        <v>45931.63564689952</v>
      </c>
      <c r="G9463" s="3" t="s">
        <v>24680</v>
      </c>
    </row>
    <row r="9464">
      <c r="A9464" s="3" t="s">
        <v>24681</v>
      </c>
      <c r="B9464" s="3" t="s">
        <v>8534</v>
      </c>
      <c r="C9464" s="5" t="s">
        <v>45</v>
      </c>
      <c r="D9464" s="3" t="s">
        <v>221</v>
      </c>
      <c r="E9464" s="3" t="s">
        <v>1040</v>
      </c>
      <c r="F9464" s="7">
        <v>45931.69640507828</v>
      </c>
      <c r="G9464" s="3" t="s">
        <v>7129</v>
      </c>
    </row>
    <row r="9465">
      <c r="A9465" s="3" t="s">
        <v>24682</v>
      </c>
      <c r="B9465" s="3" t="s">
        <v>8534</v>
      </c>
      <c r="C9465" s="5" t="s">
        <v>221</v>
      </c>
      <c r="D9465" s="3" t="s">
        <v>614</v>
      </c>
      <c r="E9465" s="3" t="s">
        <v>118</v>
      </c>
      <c r="F9465" s="7">
        <v>45931.699877300496</v>
      </c>
      <c r="G9465" s="3" t="s">
        <v>7132</v>
      </c>
    </row>
    <row r="9466">
      <c r="A9466" s="3" t="s">
        <v>24683</v>
      </c>
      <c r="B9466" s="3" t="s">
        <v>8534</v>
      </c>
      <c r="C9466" s="5" t="s">
        <v>614</v>
      </c>
      <c r="D9466" s="3" t="s">
        <v>206</v>
      </c>
      <c r="E9466" s="3" t="s">
        <v>100</v>
      </c>
      <c r="F9466" s="7">
        <v>45931.70334952272</v>
      </c>
      <c r="G9466" s="3" t="s">
        <v>7135</v>
      </c>
    </row>
    <row r="9467">
      <c r="A9467" s="3" t="s">
        <v>24684</v>
      </c>
      <c r="B9467" s="3" t="s">
        <v>8534</v>
      </c>
      <c r="C9467" s="5" t="s">
        <v>206</v>
      </c>
      <c r="D9467" s="3" t="s">
        <v>68</v>
      </c>
      <c r="E9467" s="3" t="s">
        <v>100</v>
      </c>
      <c r="F9467" s="7">
        <v>45931.70682174494</v>
      </c>
      <c r="G9467" s="3" t="s">
        <v>7138</v>
      </c>
    </row>
    <row r="9468">
      <c r="A9468" s="3" t="s">
        <v>24685</v>
      </c>
      <c r="B9468" s="3" t="s">
        <v>8539</v>
      </c>
      <c r="C9468" s="5" t="s">
        <v>45</v>
      </c>
      <c r="D9468" s="3" t="s">
        <v>221</v>
      </c>
      <c r="E9468" s="3" t="s">
        <v>1034</v>
      </c>
      <c r="F9468" s="7">
        <v>45931.7675799237</v>
      </c>
      <c r="G9468" s="3" t="s">
        <v>7828</v>
      </c>
    </row>
    <row r="9469">
      <c r="A9469" s="3" t="s">
        <v>24686</v>
      </c>
      <c r="B9469" s="3" t="s">
        <v>8539</v>
      </c>
      <c r="C9469" s="5" t="s">
        <v>221</v>
      </c>
      <c r="D9469" s="3" t="s">
        <v>614</v>
      </c>
      <c r="E9469" s="3" t="s">
        <v>118</v>
      </c>
      <c r="F9469" s="7">
        <v>45931.771052145916</v>
      </c>
      <c r="G9469" s="3" t="s">
        <v>7831</v>
      </c>
    </row>
    <row r="9470">
      <c r="A9470" s="3" t="s">
        <v>24687</v>
      </c>
      <c r="B9470" s="3" t="s">
        <v>8539</v>
      </c>
      <c r="C9470" s="5" t="s">
        <v>614</v>
      </c>
      <c r="D9470" s="3" t="s">
        <v>206</v>
      </c>
      <c r="E9470" s="3" t="s">
        <v>100</v>
      </c>
      <c r="F9470" s="7">
        <v>45931.77452436814</v>
      </c>
      <c r="G9470" s="3" t="s">
        <v>7834</v>
      </c>
    </row>
    <row r="9471">
      <c r="A9471" s="3" t="s">
        <v>24688</v>
      </c>
      <c r="B9471" s="3" t="s">
        <v>8539</v>
      </c>
      <c r="C9471" s="5" t="s">
        <v>206</v>
      </c>
      <c r="D9471" s="3" t="s">
        <v>68</v>
      </c>
      <c r="E9471" s="3" t="s">
        <v>100</v>
      </c>
      <c r="F9471" s="7">
        <v>45931.77799659036</v>
      </c>
      <c r="G9471" s="3" t="s">
        <v>7837</v>
      </c>
    </row>
    <row r="9472">
      <c r="A9472" s="3" t="s">
        <v>24689</v>
      </c>
      <c r="B9472" s="3" t="s">
        <v>8542</v>
      </c>
      <c r="C9472" s="5" t="s">
        <v>45</v>
      </c>
      <c r="D9472" s="3" t="s">
        <v>221</v>
      </c>
      <c r="E9472" s="3" t="s">
        <v>224</v>
      </c>
      <c r="F9472" s="7">
        <v>45931.8387547691</v>
      </c>
      <c r="G9472" s="3" t="s">
        <v>10547</v>
      </c>
    </row>
    <row r="9473">
      <c r="A9473" s="3" t="s">
        <v>24690</v>
      </c>
      <c r="B9473" s="3" t="s">
        <v>8542</v>
      </c>
      <c r="C9473" s="5" t="s">
        <v>221</v>
      </c>
      <c r="D9473" s="3" t="s">
        <v>195</v>
      </c>
      <c r="E9473" s="3" t="s">
        <v>224</v>
      </c>
      <c r="F9473" s="7">
        <v>45931.84222699132</v>
      </c>
      <c r="G9473" s="3" t="s">
        <v>24691</v>
      </c>
    </row>
    <row r="9474">
      <c r="A9474" s="3" t="s">
        <v>24692</v>
      </c>
      <c r="B9474" s="3" t="s">
        <v>8545</v>
      </c>
      <c r="C9474" s="5" t="s">
        <v>45</v>
      </c>
      <c r="D9474" s="3" t="s">
        <v>221</v>
      </c>
      <c r="E9474" s="3" t="s">
        <v>263</v>
      </c>
      <c r="F9474" s="7">
        <v>45931.90992961452</v>
      </c>
      <c r="G9474" s="3" t="s">
        <v>23285</v>
      </c>
    </row>
    <row r="9475">
      <c r="A9475" s="3" t="s">
        <v>24693</v>
      </c>
      <c r="B9475" s="3" t="s">
        <v>8545</v>
      </c>
      <c r="C9475" s="5" t="s">
        <v>221</v>
      </c>
      <c r="D9475" s="3" t="s">
        <v>614</v>
      </c>
      <c r="E9475" s="3" t="s">
        <v>118</v>
      </c>
      <c r="F9475" s="7">
        <v>45931.91340183674</v>
      </c>
      <c r="G9475" s="3" t="s">
        <v>23288</v>
      </c>
    </row>
    <row r="9476">
      <c r="A9476" s="3" t="s">
        <v>24694</v>
      </c>
      <c r="B9476" s="3" t="s">
        <v>8545</v>
      </c>
      <c r="C9476" s="5" t="s">
        <v>614</v>
      </c>
      <c r="D9476" s="3" t="s">
        <v>206</v>
      </c>
      <c r="E9476" s="3" t="s">
        <v>100</v>
      </c>
      <c r="F9476" s="7">
        <v>45931.91687405897</v>
      </c>
      <c r="G9476" s="3" t="s">
        <v>23291</v>
      </c>
    </row>
    <row r="9477">
      <c r="A9477" s="3" t="s">
        <v>24695</v>
      </c>
      <c r="B9477" s="3" t="s">
        <v>8545</v>
      </c>
      <c r="C9477" s="5" t="s">
        <v>206</v>
      </c>
      <c r="D9477" s="3" t="s">
        <v>68</v>
      </c>
      <c r="E9477" s="3" t="s">
        <v>100</v>
      </c>
      <c r="F9477" s="7">
        <v>45931.920346281186</v>
      </c>
      <c r="G9477" s="3" t="s">
        <v>23294</v>
      </c>
    </row>
    <row r="9478">
      <c r="A9478" s="3" t="s">
        <v>24696</v>
      </c>
      <c r="B9478" s="3" t="s">
        <v>8548</v>
      </c>
      <c r="C9478" s="5" t="s">
        <v>45</v>
      </c>
      <c r="D9478" s="3" t="s">
        <v>221</v>
      </c>
      <c r="E9478" s="3" t="s">
        <v>763</v>
      </c>
      <c r="F9478" s="7">
        <v>45931.98110445994</v>
      </c>
      <c r="G9478" s="3" t="s">
        <v>22201</v>
      </c>
    </row>
    <row r="9479">
      <c r="A9479" s="3" t="s">
        <v>24697</v>
      </c>
      <c r="B9479" s="3" t="s">
        <v>8548</v>
      </c>
      <c r="C9479" s="5" t="s">
        <v>221</v>
      </c>
      <c r="D9479" s="3" t="s">
        <v>614</v>
      </c>
      <c r="E9479" s="3" t="s">
        <v>118</v>
      </c>
      <c r="F9479" s="7">
        <v>45931.98457668216</v>
      </c>
      <c r="G9479" s="3" t="s">
        <v>22204</v>
      </c>
    </row>
    <row r="9480">
      <c r="A9480" s="3" t="s">
        <v>24698</v>
      </c>
      <c r="B9480" s="3" t="s">
        <v>8548</v>
      </c>
      <c r="C9480" s="5" t="s">
        <v>614</v>
      </c>
      <c r="D9480" s="3" t="s">
        <v>206</v>
      </c>
      <c r="E9480" s="3" t="s">
        <v>100</v>
      </c>
      <c r="F9480" s="7">
        <v>45931.988048904386</v>
      </c>
      <c r="G9480" s="3" t="s">
        <v>22207</v>
      </c>
    </row>
    <row r="9481">
      <c r="A9481" s="3" t="s">
        <v>24699</v>
      </c>
      <c r="B9481" s="3" t="s">
        <v>8548</v>
      </c>
      <c r="C9481" s="5" t="s">
        <v>206</v>
      </c>
      <c r="D9481" s="3" t="s">
        <v>68</v>
      </c>
      <c r="E9481" s="3" t="s">
        <v>100</v>
      </c>
      <c r="F9481" s="7">
        <v>45931.991521126605</v>
      </c>
      <c r="G9481" s="3" t="s">
        <v>22210</v>
      </c>
    </row>
    <row r="9482">
      <c r="A9482" s="3" t="s">
        <v>24700</v>
      </c>
      <c r="B9482" s="3" t="s">
        <v>8552</v>
      </c>
      <c r="C9482" s="5" t="s">
        <v>45</v>
      </c>
      <c r="D9482" s="3" t="s">
        <v>221</v>
      </c>
      <c r="E9482" s="3" t="s">
        <v>987</v>
      </c>
      <c r="F9482" s="7">
        <v>45932.05227930535</v>
      </c>
      <c r="G9482" s="3" t="s">
        <v>7852</v>
      </c>
    </row>
    <row r="9483">
      <c r="A9483" s="3" t="s">
        <v>24701</v>
      </c>
      <c r="B9483" s="3" t="s">
        <v>8552</v>
      </c>
      <c r="C9483" s="5" t="s">
        <v>221</v>
      </c>
      <c r="D9483" s="3" t="s">
        <v>614</v>
      </c>
      <c r="E9483" s="3" t="s">
        <v>118</v>
      </c>
      <c r="F9483" s="7">
        <v>45932.05575152757</v>
      </c>
      <c r="G9483" s="3" t="s">
        <v>7855</v>
      </c>
    </row>
    <row r="9484">
      <c r="A9484" s="3" t="s">
        <v>24702</v>
      </c>
      <c r="B9484" s="3" t="s">
        <v>8552</v>
      </c>
      <c r="C9484" s="5" t="s">
        <v>614</v>
      </c>
      <c r="D9484" s="3" t="s">
        <v>206</v>
      </c>
      <c r="E9484" s="3" t="s">
        <v>100</v>
      </c>
      <c r="F9484" s="7">
        <v>45932.0592237498</v>
      </c>
      <c r="G9484" s="3" t="s">
        <v>7860</v>
      </c>
    </row>
    <row r="9485">
      <c r="A9485" s="3" t="s">
        <v>24703</v>
      </c>
      <c r="B9485" s="3" t="s">
        <v>8552</v>
      </c>
      <c r="C9485" s="5" t="s">
        <v>206</v>
      </c>
      <c r="D9485" s="3" t="s">
        <v>68</v>
      </c>
      <c r="E9485" s="3" t="s">
        <v>100</v>
      </c>
      <c r="F9485" s="7">
        <v>45932.06269597202</v>
      </c>
      <c r="G9485" s="3" t="s">
        <v>7863</v>
      </c>
    </row>
    <row r="9486">
      <c r="A9486" s="3" t="s">
        <v>24704</v>
      </c>
      <c r="B9486" s="3" t="s">
        <v>8556</v>
      </c>
      <c r="C9486" s="5" t="s">
        <v>45</v>
      </c>
      <c r="D9486" s="3" t="s">
        <v>221</v>
      </c>
      <c r="E9486" s="3" t="s">
        <v>536</v>
      </c>
      <c r="F9486" s="7">
        <v>45932.123454150766</v>
      </c>
      <c r="G9486" s="3" t="s">
        <v>9071</v>
      </c>
    </row>
    <row r="9487">
      <c r="A9487" s="3" t="s">
        <v>24705</v>
      </c>
      <c r="B9487" s="3" t="s">
        <v>8556</v>
      </c>
      <c r="C9487" s="5" t="s">
        <v>221</v>
      </c>
      <c r="D9487" s="3" t="s">
        <v>614</v>
      </c>
      <c r="E9487" s="3" t="s">
        <v>118</v>
      </c>
      <c r="F9487" s="7">
        <v>45932.126926372985</v>
      </c>
      <c r="G9487" s="3" t="s">
        <v>9074</v>
      </c>
    </row>
    <row r="9488">
      <c r="A9488" s="3" t="s">
        <v>24706</v>
      </c>
      <c r="B9488" s="3" t="s">
        <v>8556</v>
      </c>
      <c r="C9488" s="5" t="s">
        <v>614</v>
      </c>
      <c r="D9488" s="3" t="s">
        <v>206</v>
      </c>
      <c r="E9488" s="3" t="s">
        <v>100</v>
      </c>
      <c r="F9488" s="7">
        <v>45932.13039859521</v>
      </c>
      <c r="G9488" s="3" t="s">
        <v>9077</v>
      </c>
    </row>
    <row r="9489">
      <c r="A9489" s="3" t="s">
        <v>24707</v>
      </c>
      <c r="B9489" s="3" t="s">
        <v>8556</v>
      </c>
      <c r="C9489" s="5" t="s">
        <v>206</v>
      </c>
      <c r="D9489" s="3" t="s">
        <v>68</v>
      </c>
      <c r="E9489" s="3" t="s">
        <v>100</v>
      </c>
      <c r="F9489" s="7">
        <v>45932.13387081743</v>
      </c>
      <c r="G9489" s="3" t="s">
        <v>9080</v>
      </c>
    </row>
    <row r="9490">
      <c r="A9490" s="3" t="s">
        <v>24708</v>
      </c>
      <c r="B9490" s="3" t="s">
        <v>8559</v>
      </c>
      <c r="C9490" s="5" t="s">
        <v>45</v>
      </c>
      <c r="D9490" s="3" t="s">
        <v>221</v>
      </c>
      <c r="E9490" s="3" t="s">
        <v>727</v>
      </c>
      <c r="F9490" s="7">
        <v>45932.194628996185</v>
      </c>
      <c r="G9490" s="3" t="s">
        <v>2770</v>
      </c>
    </row>
    <row r="9491">
      <c r="A9491" s="3" t="s">
        <v>24709</v>
      </c>
      <c r="B9491" s="3" t="s">
        <v>8559</v>
      </c>
      <c r="C9491" s="5" t="s">
        <v>221</v>
      </c>
      <c r="D9491" s="3" t="s">
        <v>195</v>
      </c>
      <c r="E9491" s="3" t="s">
        <v>727</v>
      </c>
      <c r="F9491" s="7">
        <v>45932.198101218404</v>
      </c>
      <c r="G9491" s="3" t="s">
        <v>3055</v>
      </c>
    </row>
    <row r="9492">
      <c r="A9492" s="3" t="s">
        <v>24710</v>
      </c>
      <c r="B9492" s="3" t="s">
        <v>8562</v>
      </c>
      <c r="C9492" s="5" t="s">
        <v>45</v>
      </c>
      <c r="D9492" s="3" t="s">
        <v>221</v>
      </c>
      <c r="E9492" s="3" t="s">
        <v>202</v>
      </c>
      <c r="F9492" s="7">
        <v>45932.2658038416</v>
      </c>
      <c r="G9492" s="3" t="s">
        <v>4758</v>
      </c>
    </row>
    <row r="9493">
      <c r="A9493" s="3" t="s">
        <v>24711</v>
      </c>
      <c r="B9493" s="3" t="s">
        <v>8562</v>
      </c>
      <c r="C9493" s="5" t="s">
        <v>221</v>
      </c>
      <c r="D9493" s="3" t="s">
        <v>614</v>
      </c>
      <c r="E9493" s="3" t="s">
        <v>118</v>
      </c>
      <c r="F9493" s="7">
        <v>45932.26927606382</v>
      </c>
      <c r="G9493" s="3" t="s">
        <v>4761</v>
      </c>
    </row>
    <row r="9494">
      <c r="A9494" s="3" t="s">
        <v>24712</v>
      </c>
      <c r="B9494" s="3" t="s">
        <v>8562</v>
      </c>
      <c r="C9494" s="5" t="s">
        <v>614</v>
      </c>
      <c r="D9494" s="3" t="s">
        <v>206</v>
      </c>
      <c r="E9494" s="3" t="s">
        <v>100</v>
      </c>
      <c r="F9494" s="7">
        <v>45932.27274828604</v>
      </c>
      <c r="G9494" s="3" t="s">
        <v>4764</v>
      </c>
    </row>
    <row r="9495">
      <c r="A9495" s="3" t="s">
        <v>24713</v>
      </c>
      <c r="B9495" s="3" t="s">
        <v>8562</v>
      </c>
      <c r="C9495" s="5" t="s">
        <v>206</v>
      </c>
      <c r="D9495" s="3" t="s">
        <v>68</v>
      </c>
      <c r="E9495" s="3" t="s">
        <v>100</v>
      </c>
      <c r="F9495" s="7">
        <v>45932.27622050826</v>
      </c>
      <c r="G9495" s="3" t="s">
        <v>4767</v>
      </c>
    </row>
    <row r="9496">
      <c r="A9496" s="3" t="s">
        <v>24714</v>
      </c>
      <c r="B9496" s="3" t="s">
        <v>8565</v>
      </c>
      <c r="C9496" s="5" t="s">
        <v>45</v>
      </c>
      <c r="D9496" s="3" t="s">
        <v>221</v>
      </c>
      <c r="E9496" s="3" t="s">
        <v>911</v>
      </c>
      <c r="F9496" s="7">
        <v>45932.33697868701</v>
      </c>
      <c r="G9496" s="3" t="s">
        <v>7884</v>
      </c>
    </row>
    <row r="9497">
      <c r="A9497" s="3" t="s">
        <v>24715</v>
      </c>
      <c r="B9497" s="3" t="s">
        <v>8565</v>
      </c>
      <c r="C9497" s="5" t="s">
        <v>221</v>
      </c>
      <c r="D9497" s="3" t="s">
        <v>614</v>
      </c>
      <c r="E9497" s="3" t="s">
        <v>118</v>
      </c>
      <c r="F9497" s="7">
        <v>45932.34045090923</v>
      </c>
      <c r="G9497" s="3" t="s">
        <v>7887</v>
      </c>
    </row>
    <row r="9498">
      <c r="A9498" s="3" t="s">
        <v>24716</v>
      </c>
      <c r="B9498" s="3" t="s">
        <v>8565</v>
      </c>
      <c r="C9498" s="5" t="s">
        <v>614</v>
      </c>
      <c r="D9498" s="3" t="s">
        <v>206</v>
      </c>
      <c r="E9498" s="3" t="s">
        <v>100</v>
      </c>
      <c r="F9498" s="7">
        <v>45932.343923131455</v>
      </c>
      <c r="G9498" s="3" t="s">
        <v>7889</v>
      </c>
    </row>
    <row r="9499">
      <c r="A9499" s="3" t="s">
        <v>24717</v>
      </c>
      <c r="B9499" s="3" t="s">
        <v>8565</v>
      </c>
      <c r="C9499" s="5" t="s">
        <v>206</v>
      </c>
      <c r="D9499" s="3" t="s">
        <v>68</v>
      </c>
      <c r="E9499" s="3" t="s">
        <v>100</v>
      </c>
      <c r="F9499" s="7">
        <v>45932.347395353674</v>
      </c>
      <c r="G9499" s="3" t="s">
        <v>7892</v>
      </c>
    </row>
    <row r="9500">
      <c r="A9500" s="3" t="s">
        <v>24718</v>
      </c>
      <c r="B9500" s="3" t="s">
        <v>8569</v>
      </c>
      <c r="C9500" s="5" t="s">
        <v>45</v>
      </c>
      <c r="D9500" s="3" t="s">
        <v>221</v>
      </c>
      <c r="E9500" s="3" t="s">
        <v>830</v>
      </c>
      <c r="F9500" s="7">
        <v>45932.40815353243</v>
      </c>
      <c r="G9500" s="3" t="s">
        <v>2770</v>
      </c>
    </row>
    <row r="9501">
      <c r="A9501" s="3" t="s">
        <v>24719</v>
      </c>
      <c r="B9501" s="3" t="s">
        <v>8569</v>
      </c>
      <c r="C9501" s="5" t="s">
        <v>221</v>
      </c>
      <c r="D9501" s="3" t="s">
        <v>181</v>
      </c>
      <c r="E9501" s="3" t="s">
        <v>118</v>
      </c>
      <c r="F9501" s="7">
        <v>45932.41162575465</v>
      </c>
      <c r="G9501" s="3" t="s">
        <v>2774</v>
      </c>
    </row>
    <row r="9502">
      <c r="A9502" s="3" t="s">
        <v>24720</v>
      </c>
      <c r="B9502" s="3" t="s">
        <v>8572</v>
      </c>
      <c r="C9502" s="5" t="s">
        <v>45</v>
      </c>
      <c r="D9502" s="3" t="s">
        <v>221</v>
      </c>
      <c r="E9502" s="3" t="s">
        <v>491</v>
      </c>
      <c r="F9502" s="7">
        <v>45932.47932837784</v>
      </c>
      <c r="G9502" s="3" t="s">
        <v>7907</v>
      </c>
    </row>
    <row r="9503">
      <c r="A9503" s="3" t="s">
        <v>24721</v>
      </c>
      <c r="B9503" s="3" t="s">
        <v>8572</v>
      </c>
      <c r="C9503" s="5" t="s">
        <v>221</v>
      </c>
      <c r="D9503" s="3" t="s">
        <v>614</v>
      </c>
      <c r="E9503" s="3" t="s">
        <v>118</v>
      </c>
      <c r="F9503" s="7">
        <v>45932.48280060006</v>
      </c>
      <c r="G9503" s="3" t="s">
        <v>7910</v>
      </c>
    </row>
    <row r="9504">
      <c r="A9504" s="3" t="s">
        <v>24722</v>
      </c>
      <c r="B9504" s="3" t="s">
        <v>8572</v>
      </c>
      <c r="C9504" s="5" t="s">
        <v>614</v>
      </c>
      <c r="D9504" s="3" t="s">
        <v>206</v>
      </c>
      <c r="E9504" s="3" t="s">
        <v>100</v>
      </c>
      <c r="F9504" s="7">
        <v>45932.48627282229</v>
      </c>
      <c r="G9504" s="3" t="s">
        <v>7913</v>
      </c>
    </row>
    <row r="9505">
      <c r="A9505" s="3" t="s">
        <v>24723</v>
      </c>
      <c r="B9505" s="3" t="s">
        <v>8572</v>
      </c>
      <c r="C9505" s="5" t="s">
        <v>206</v>
      </c>
      <c r="D9505" s="3" t="s">
        <v>68</v>
      </c>
      <c r="E9505" s="3" t="s">
        <v>100</v>
      </c>
      <c r="F9505" s="7">
        <v>45932.489745044506</v>
      </c>
      <c r="G9505" s="3" t="s">
        <v>7916</v>
      </c>
    </row>
    <row r="9506">
      <c r="A9506" s="3" t="s">
        <v>24724</v>
      </c>
      <c r="B9506" s="3" t="s">
        <v>8576</v>
      </c>
      <c r="C9506" s="5" t="s">
        <v>45</v>
      </c>
      <c r="D9506" s="3" t="s">
        <v>221</v>
      </c>
      <c r="E9506" s="3" t="s">
        <v>554</v>
      </c>
      <c r="F9506" s="7">
        <v>45932.550503223254</v>
      </c>
      <c r="G9506" s="3" t="s">
        <v>7972</v>
      </c>
    </row>
    <row r="9507">
      <c r="A9507" s="3" t="s">
        <v>24725</v>
      </c>
      <c r="B9507" s="3" t="s">
        <v>8576</v>
      </c>
      <c r="C9507" s="5" t="s">
        <v>221</v>
      </c>
      <c r="D9507" s="3" t="s">
        <v>614</v>
      </c>
      <c r="E9507" s="3" t="s">
        <v>118</v>
      </c>
      <c r="F9507" s="7">
        <v>45932.55397544547</v>
      </c>
      <c r="G9507" s="3" t="s">
        <v>7974</v>
      </c>
    </row>
    <row r="9508">
      <c r="A9508" s="3" t="s">
        <v>24726</v>
      </c>
      <c r="B9508" s="3" t="s">
        <v>8576</v>
      </c>
      <c r="C9508" s="5" t="s">
        <v>614</v>
      </c>
      <c r="D9508" s="3" t="s">
        <v>206</v>
      </c>
      <c r="E9508" s="3" t="s">
        <v>100</v>
      </c>
      <c r="F9508" s="7">
        <v>45932.5574476677</v>
      </c>
      <c r="G9508" s="3" t="s">
        <v>7977</v>
      </c>
    </row>
    <row r="9509">
      <c r="A9509" s="3" t="s">
        <v>24727</v>
      </c>
      <c r="B9509" s="3" t="s">
        <v>8576</v>
      </c>
      <c r="C9509" s="5" t="s">
        <v>206</v>
      </c>
      <c r="D9509" s="3" t="s">
        <v>68</v>
      </c>
      <c r="E9509" s="3" t="s">
        <v>100</v>
      </c>
      <c r="F9509" s="7">
        <v>45932.56091988992</v>
      </c>
      <c r="G9509" s="3" t="s">
        <v>7980</v>
      </c>
    </row>
    <row r="9510">
      <c r="A9510" s="3" t="s">
        <v>24728</v>
      </c>
      <c r="B9510" s="3" t="s">
        <v>8579</v>
      </c>
      <c r="C9510" s="5" t="s">
        <v>45</v>
      </c>
      <c r="D9510" s="3" t="s">
        <v>221</v>
      </c>
      <c r="E9510" s="3" t="s">
        <v>377</v>
      </c>
      <c r="F9510" s="7">
        <v>45932.621678068674</v>
      </c>
      <c r="G9510" s="3" t="s">
        <v>5209</v>
      </c>
    </row>
    <row r="9511">
      <c r="A9511" s="3" t="s">
        <v>24729</v>
      </c>
      <c r="B9511" s="3" t="s">
        <v>8579</v>
      </c>
      <c r="C9511" s="5" t="s">
        <v>221</v>
      </c>
      <c r="D9511" s="3" t="s">
        <v>614</v>
      </c>
      <c r="E9511" s="3" t="s">
        <v>118</v>
      </c>
      <c r="F9511" s="7">
        <v>45932.62515029089</v>
      </c>
      <c r="G9511" s="3" t="s">
        <v>5213</v>
      </c>
    </row>
    <row r="9512">
      <c r="A9512" s="3" t="s">
        <v>24730</v>
      </c>
      <c r="B9512" s="3" t="s">
        <v>8579</v>
      </c>
      <c r="C9512" s="5" t="s">
        <v>614</v>
      </c>
      <c r="D9512" s="3" t="s">
        <v>206</v>
      </c>
      <c r="E9512" s="3" t="s">
        <v>100</v>
      </c>
      <c r="F9512" s="7">
        <v>45932.62862251312</v>
      </c>
      <c r="G9512" s="3" t="s">
        <v>5215</v>
      </c>
    </row>
    <row r="9513">
      <c r="A9513" s="3" t="s">
        <v>24731</v>
      </c>
      <c r="B9513" s="3" t="s">
        <v>8579</v>
      </c>
      <c r="C9513" s="5" t="s">
        <v>206</v>
      </c>
      <c r="D9513" s="3" t="s">
        <v>68</v>
      </c>
      <c r="E9513" s="3" t="s">
        <v>100</v>
      </c>
      <c r="F9513" s="7">
        <v>45932.63209473534</v>
      </c>
      <c r="G9513" s="3" t="s">
        <v>5218</v>
      </c>
    </row>
    <row r="9514">
      <c r="A9514" s="3" t="s">
        <v>24732</v>
      </c>
      <c r="B9514" s="3" t="s">
        <v>8582</v>
      </c>
      <c r="C9514" s="5" t="s">
        <v>45</v>
      </c>
      <c r="D9514" s="3" t="s">
        <v>221</v>
      </c>
      <c r="E9514" s="3" t="s">
        <v>622</v>
      </c>
      <c r="F9514" s="7">
        <v>45932.692852914086</v>
      </c>
      <c r="G9514" s="3" t="s">
        <v>24075</v>
      </c>
    </row>
    <row r="9515">
      <c r="A9515" s="3" t="s">
        <v>24733</v>
      </c>
      <c r="B9515" s="3" t="s">
        <v>8582</v>
      </c>
      <c r="C9515" s="5" t="s">
        <v>221</v>
      </c>
      <c r="D9515" s="3" t="s">
        <v>614</v>
      </c>
      <c r="E9515" s="3" t="s">
        <v>118</v>
      </c>
      <c r="F9515" s="7">
        <v>45932.696325136305</v>
      </c>
      <c r="G9515" s="3" t="s">
        <v>24077</v>
      </c>
    </row>
    <row r="9516">
      <c r="A9516" s="3" t="s">
        <v>24734</v>
      </c>
      <c r="B9516" s="3" t="s">
        <v>8582</v>
      </c>
      <c r="C9516" s="5" t="s">
        <v>614</v>
      </c>
      <c r="D9516" s="3" t="s">
        <v>206</v>
      </c>
      <c r="E9516" s="3" t="s">
        <v>100</v>
      </c>
      <c r="F9516" s="7">
        <v>45932.69979735853</v>
      </c>
      <c r="G9516" s="3" t="s">
        <v>24079</v>
      </c>
    </row>
    <row r="9517">
      <c r="A9517" s="3" t="s">
        <v>24735</v>
      </c>
      <c r="B9517" s="3" t="s">
        <v>8582</v>
      </c>
      <c r="C9517" s="5" t="s">
        <v>206</v>
      </c>
      <c r="D9517" s="3" t="s">
        <v>68</v>
      </c>
      <c r="E9517" s="3" t="s">
        <v>100</v>
      </c>
      <c r="F9517" s="7">
        <v>45932.70326958075</v>
      </c>
      <c r="G9517" s="3" t="s">
        <v>24081</v>
      </c>
    </row>
    <row r="9518">
      <c r="A9518" s="3" t="s">
        <v>24736</v>
      </c>
      <c r="B9518" s="3" t="s">
        <v>8585</v>
      </c>
      <c r="C9518" s="5" t="s">
        <v>45</v>
      </c>
      <c r="D9518" s="3" t="s">
        <v>221</v>
      </c>
      <c r="E9518" s="3" t="s">
        <v>330</v>
      </c>
      <c r="F9518" s="7">
        <v>45932.7640277595</v>
      </c>
      <c r="G9518" s="3" t="s">
        <v>24737</v>
      </c>
    </row>
    <row r="9519">
      <c r="A9519" s="3" t="s">
        <v>24738</v>
      </c>
      <c r="B9519" s="3" t="s">
        <v>8585</v>
      </c>
      <c r="C9519" s="5" t="s">
        <v>221</v>
      </c>
      <c r="D9519" s="3" t="s">
        <v>614</v>
      </c>
      <c r="E9519" s="3" t="s">
        <v>118</v>
      </c>
      <c r="F9519" s="7">
        <v>45932.76749998172</v>
      </c>
      <c r="G9519" s="3" t="s">
        <v>24739</v>
      </c>
    </row>
    <row r="9520">
      <c r="A9520" s="3" t="s">
        <v>24740</v>
      </c>
      <c r="B9520" s="3" t="s">
        <v>8585</v>
      </c>
      <c r="C9520" s="5" t="s">
        <v>614</v>
      </c>
      <c r="D9520" s="3" t="s">
        <v>206</v>
      </c>
      <c r="E9520" s="3" t="s">
        <v>100</v>
      </c>
      <c r="F9520" s="7">
        <v>45932.77097220394</v>
      </c>
      <c r="G9520" s="3" t="s">
        <v>24741</v>
      </c>
    </row>
    <row r="9521">
      <c r="A9521" s="3" t="s">
        <v>24742</v>
      </c>
      <c r="B9521" s="3" t="s">
        <v>8585</v>
      </c>
      <c r="C9521" s="5" t="s">
        <v>206</v>
      </c>
      <c r="D9521" s="3" t="s">
        <v>68</v>
      </c>
      <c r="E9521" s="3" t="s">
        <v>100</v>
      </c>
      <c r="F9521" s="7">
        <v>45932.77444442616</v>
      </c>
      <c r="G9521" s="3" t="s">
        <v>24743</v>
      </c>
    </row>
    <row r="9522">
      <c r="A9522" s="3" t="s">
        <v>24744</v>
      </c>
      <c r="B9522" s="3" t="s">
        <v>8588</v>
      </c>
      <c r="C9522" s="5" t="s">
        <v>45</v>
      </c>
      <c r="D9522" s="3" t="s">
        <v>221</v>
      </c>
      <c r="E9522" s="3" t="s">
        <v>516</v>
      </c>
      <c r="F9522" s="7">
        <v>45932.83520260492</v>
      </c>
      <c r="G9522" s="3" t="s">
        <v>11423</v>
      </c>
    </row>
    <row r="9523">
      <c r="A9523" s="3" t="s">
        <v>24745</v>
      </c>
      <c r="B9523" s="3" t="s">
        <v>8588</v>
      </c>
      <c r="C9523" s="5" t="s">
        <v>221</v>
      </c>
      <c r="D9523" s="3" t="s">
        <v>614</v>
      </c>
      <c r="E9523" s="3" t="s">
        <v>118</v>
      </c>
      <c r="F9523" s="7">
        <v>45932.83867482714</v>
      </c>
      <c r="G9523" s="3" t="s">
        <v>11426</v>
      </c>
    </row>
    <row r="9524">
      <c r="A9524" s="3" t="s">
        <v>24746</v>
      </c>
      <c r="B9524" s="3" t="s">
        <v>8588</v>
      </c>
      <c r="C9524" s="5" t="s">
        <v>614</v>
      </c>
      <c r="D9524" s="3" t="s">
        <v>206</v>
      </c>
      <c r="E9524" s="3" t="s">
        <v>100</v>
      </c>
      <c r="F9524" s="7">
        <v>45932.84214704936</v>
      </c>
      <c r="G9524" s="3" t="s">
        <v>11429</v>
      </c>
    </row>
    <row r="9525">
      <c r="A9525" s="3" t="s">
        <v>24747</v>
      </c>
      <c r="B9525" s="3" t="s">
        <v>8588</v>
      </c>
      <c r="C9525" s="5" t="s">
        <v>206</v>
      </c>
      <c r="D9525" s="3" t="s">
        <v>68</v>
      </c>
      <c r="E9525" s="3" t="s">
        <v>100</v>
      </c>
      <c r="F9525" s="7">
        <v>45932.84561927158</v>
      </c>
      <c r="G9525" s="3" t="s">
        <v>11432</v>
      </c>
    </row>
    <row r="9526">
      <c r="A9526" s="3" t="s">
        <v>24748</v>
      </c>
      <c r="B9526" s="3" t="s">
        <v>8591</v>
      </c>
      <c r="C9526" s="5" t="s">
        <v>45</v>
      </c>
      <c r="D9526" s="3" t="s">
        <v>221</v>
      </c>
      <c r="E9526" s="3" t="s">
        <v>449</v>
      </c>
      <c r="F9526" s="7">
        <v>45932.90637745034</v>
      </c>
      <c r="G9526" s="3" t="s">
        <v>7983</v>
      </c>
    </row>
    <row r="9527">
      <c r="A9527" s="3" t="s">
        <v>24749</v>
      </c>
      <c r="B9527" s="3" t="s">
        <v>8591</v>
      </c>
      <c r="C9527" s="5" t="s">
        <v>221</v>
      </c>
      <c r="D9527" s="3" t="s">
        <v>614</v>
      </c>
      <c r="E9527" s="3" t="s">
        <v>118</v>
      </c>
      <c r="F9527" s="7">
        <v>45932.90984967256</v>
      </c>
      <c r="G9527" s="3" t="s">
        <v>7986</v>
      </c>
    </row>
    <row r="9528">
      <c r="A9528" s="3" t="s">
        <v>24750</v>
      </c>
      <c r="B9528" s="3" t="s">
        <v>8591</v>
      </c>
      <c r="C9528" s="5" t="s">
        <v>614</v>
      </c>
      <c r="D9528" s="3" t="s">
        <v>206</v>
      </c>
      <c r="E9528" s="3" t="s">
        <v>100</v>
      </c>
      <c r="F9528" s="7">
        <v>45932.91332189478</v>
      </c>
      <c r="G9528" s="3" t="s">
        <v>7988</v>
      </c>
    </row>
    <row r="9529">
      <c r="A9529" s="3" t="s">
        <v>24751</v>
      </c>
      <c r="B9529" s="3" t="s">
        <v>8591</v>
      </c>
      <c r="C9529" s="5" t="s">
        <v>206</v>
      </c>
      <c r="D9529" s="3" t="s">
        <v>68</v>
      </c>
      <c r="E9529" s="3" t="s">
        <v>100</v>
      </c>
      <c r="F9529" s="7">
        <v>45932.916794117</v>
      </c>
      <c r="G9529" s="3" t="s">
        <v>7991</v>
      </c>
    </row>
    <row r="9530">
      <c r="A9530" s="3" t="s">
        <v>24752</v>
      </c>
      <c r="B9530" s="3" t="s">
        <v>8593</v>
      </c>
      <c r="C9530" s="5" t="s">
        <v>45</v>
      </c>
      <c r="D9530" s="3" t="s">
        <v>221</v>
      </c>
      <c r="E9530" s="3" t="s">
        <v>627</v>
      </c>
      <c r="F9530" s="7">
        <v>45932.97755229574</v>
      </c>
      <c r="G9530" s="3" t="s">
        <v>5833</v>
      </c>
    </row>
    <row r="9531">
      <c r="A9531" s="3" t="s">
        <v>24753</v>
      </c>
      <c r="B9531" s="3" t="s">
        <v>8593</v>
      </c>
      <c r="C9531" s="5" t="s">
        <v>221</v>
      </c>
      <c r="D9531" s="3" t="s">
        <v>181</v>
      </c>
      <c r="E9531" s="3" t="s">
        <v>118</v>
      </c>
      <c r="F9531" s="7">
        <v>45932.98102451796</v>
      </c>
      <c r="G9531" s="3" t="s">
        <v>24754</v>
      </c>
    </row>
    <row r="9532">
      <c r="A9532" s="3" t="s">
        <v>24755</v>
      </c>
      <c r="B9532" s="3" t="s">
        <v>8596</v>
      </c>
      <c r="C9532" s="5" t="s">
        <v>45</v>
      </c>
      <c r="D9532" s="3" t="s">
        <v>221</v>
      </c>
      <c r="E9532" s="3" t="s">
        <v>363</v>
      </c>
      <c r="F9532" s="7">
        <v>45933.04872714116</v>
      </c>
      <c r="G9532" s="3" t="s">
        <v>2770</v>
      </c>
    </row>
    <row r="9533">
      <c r="A9533" s="3" t="s">
        <v>24756</v>
      </c>
      <c r="B9533" s="3" t="s">
        <v>8596</v>
      </c>
      <c r="C9533" s="5" t="s">
        <v>221</v>
      </c>
      <c r="D9533" s="3" t="s">
        <v>195</v>
      </c>
      <c r="E9533" s="3" t="s">
        <v>363</v>
      </c>
      <c r="F9533" s="7">
        <v>45933.05219936338</v>
      </c>
      <c r="G9533" s="3" t="s">
        <v>3055</v>
      </c>
    </row>
    <row r="9534">
      <c r="A9534" s="3" t="s">
        <v>24757</v>
      </c>
      <c r="B9534" s="3" t="s">
        <v>8598</v>
      </c>
      <c r="C9534" s="5" t="s">
        <v>45</v>
      </c>
      <c r="D9534" s="3" t="s">
        <v>221</v>
      </c>
      <c r="E9534" s="3" t="s">
        <v>574</v>
      </c>
      <c r="F9534" s="7">
        <v>45933.11990198658</v>
      </c>
      <c r="G9534" s="3" t="s">
        <v>16409</v>
      </c>
    </row>
    <row r="9535">
      <c r="A9535" s="3" t="s">
        <v>24758</v>
      </c>
      <c r="B9535" s="3" t="s">
        <v>8598</v>
      </c>
      <c r="C9535" s="5" t="s">
        <v>221</v>
      </c>
      <c r="D9535" s="3" t="s">
        <v>614</v>
      </c>
      <c r="E9535" s="3" t="s">
        <v>118</v>
      </c>
      <c r="F9535" s="7">
        <v>45933.1233742088</v>
      </c>
      <c r="G9535" s="3" t="s">
        <v>16412</v>
      </c>
    </row>
    <row r="9536">
      <c r="A9536" s="3" t="s">
        <v>24759</v>
      </c>
      <c r="B9536" s="3" t="s">
        <v>8598</v>
      </c>
      <c r="C9536" s="5" t="s">
        <v>614</v>
      </c>
      <c r="D9536" s="3" t="s">
        <v>206</v>
      </c>
      <c r="E9536" s="3" t="s">
        <v>100</v>
      </c>
      <c r="F9536" s="7">
        <v>45933.12684643103</v>
      </c>
      <c r="G9536" s="3" t="s">
        <v>16414</v>
      </c>
    </row>
    <row r="9537">
      <c r="A9537" s="3" t="s">
        <v>24760</v>
      </c>
      <c r="B9537" s="3" t="s">
        <v>8598</v>
      </c>
      <c r="C9537" s="5" t="s">
        <v>206</v>
      </c>
      <c r="D9537" s="3" t="s">
        <v>68</v>
      </c>
      <c r="E9537" s="3" t="s">
        <v>100</v>
      </c>
      <c r="F9537" s="7">
        <v>45933.130318653246</v>
      </c>
      <c r="G9537" s="3" t="s">
        <v>16417</v>
      </c>
    </row>
    <row r="9538">
      <c r="A9538" s="3" t="s">
        <v>24761</v>
      </c>
      <c r="B9538" s="3" t="s">
        <v>8601</v>
      </c>
      <c r="C9538" s="5" t="s">
        <v>45</v>
      </c>
      <c r="D9538" s="3" t="s">
        <v>221</v>
      </c>
      <c r="E9538" s="3" t="s">
        <v>462</v>
      </c>
      <c r="F9538" s="7">
        <v>45933.191076831994</v>
      </c>
      <c r="G9538" s="3" t="s">
        <v>24762</v>
      </c>
    </row>
    <row r="9539">
      <c r="A9539" s="3" t="s">
        <v>24763</v>
      </c>
      <c r="B9539" s="3" t="s">
        <v>8601</v>
      </c>
      <c r="C9539" s="5" t="s">
        <v>221</v>
      </c>
      <c r="D9539" s="3" t="s">
        <v>195</v>
      </c>
      <c r="E9539" s="3" t="s">
        <v>462</v>
      </c>
      <c r="F9539" s="7">
        <v>45933.19454905421</v>
      </c>
      <c r="G9539" s="3" t="s">
        <v>24764</v>
      </c>
    </row>
    <row r="9540">
      <c r="A9540" s="3" t="s">
        <v>24765</v>
      </c>
      <c r="B9540" s="3" t="s">
        <v>8604</v>
      </c>
      <c r="C9540" s="5" t="s">
        <v>45</v>
      </c>
      <c r="D9540" s="3" t="s">
        <v>221</v>
      </c>
      <c r="E9540" s="3" t="s">
        <v>1040</v>
      </c>
      <c r="F9540" s="7">
        <v>45933.262251677406</v>
      </c>
      <c r="G9540" s="3" t="s">
        <v>7129</v>
      </c>
    </row>
    <row r="9541">
      <c r="A9541" s="3" t="s">
        <v>24766</v>
      </c>
      <c r="B9541" s="3" t="s">
        <v>8604</v>
      </c>
      <c r="C9541" s="5" t="s">
        <v>221</v>
      </c>
      <c r="D9541" s="3" t="s">
        <v>614</v>
      </c>
      <c r="E9541" s="3" t="s">
        <v>118</v>
      </c>
      <c r="F9541" s="7">
        <v>45933.265723899625</v>
      </c>
      <c r="G9541" s="3" t="s">
        <v>7132</v>
      </c>
    </row>
    <row r="9542">
      <c r="A9542" s="3" t="s">
        <v>24767</v>
      </c>
      <c r="B9542" s="3" t="s">
        <v>8604</v>
      </c>
      <c r="C9542" s="5" t="s">
        <v>614</v>
      </c>
      <c r="D9542" s="3" t="s">
        <v>206</v>
      </c>
      <c r="E9542" s="3" t="s">
        <v>100</v>
      </c>
      <c r="F9542" s="7">
        <v>45933.26919612185</v>
      </c>
      <c r="G9542" s="3" t="s">
        <v>7135</v>
      </c>
    </row>
    <row r="9543">
      <c r="A9543" s="3" t="s">
        <v>24768</v>
      </c>
      <c r="B9543" s="3" t="s">
        <v>8604</v>
      </c>
      <c r="C9543" s="5" t="s">
        <v>206</v>
      </c>
      <c r="D9543" s="3" t="s">
        <v>68</v>
      </c>
      <c r="E9543" s="3" t="s">
        <v>100</v>
      </c>
      <c r="F9543" s="7">
        <v>45933.27266834407</v>
      </c>
      <c r="G9543" s="3" t="s">
        <v>7138</v>
      </c>
    </row>
    <row r="9544">
      <c r="A9544" s="3" t="s">
        <v>24769</v>
      </c>
      <c r="B9544" s="3" t="s">
        <v>8608</v>
      </c>
      <c r="C9544" s="5" t="s">
        <v>45</v>
      </c>
      <c r="D9544" s="3" t="s">
        <v>221</v>
      </c>
      <c r="E9544" s="3" t="s">
        <v>168</v>
      </c>
      <c r="F9544" s="7">
        <v>45933.333426522826</v>
      </c>
      <c r="G9544" s="3" t="s">
        <v>4782</v>
      </c>
    </row>
    <row r="9545">
      <c r="A9545" s="3" t="s">
        <v>24770</v>
      </c>
      <c r="B9545" s="3" t="s">
        <v>8608</v>
      </c>
      <c r="C9545" s="5" t="s">
        <v>221</v>
      </c>
      <c r="D9545" s="3" t="s">
        <v>614</v>
      </c>
      <c r="E9545" s="3" t="s">
        <v>118</v>
      </c>
      <c r="F9545" s="7">
        <v>45933.336898745045</v>
      </c>
      <c r="G9545" s="3" t="s">
        <v>5411</v>
      </c>
    </row>
    <row r="9546">
      <c r="A9546" s="3" t="s">
        <v>24771</v>
      </c>
      <c r="B9546" s="3" t="s">
        <v>8608</v>
      </c>
      <c r="C9546" s="5" t="s">
        <v>614</v>
      </c>
      <c r="D9546" s="3" t="s">
        <v>206</v>
      </c>
      <c r="E9546" s="3" t="s">
        <v>100</v>
      </c>
      <c r="F9546" s="7">
        <v>45933.34037096727</v>
      </c>
      <c r="G9546" s="3" t="s">
        <v>5413</v>
      </c>
    </row>
    <row r="9547">
      <c r="A9547" s="3" t="s">
        <v>24772</v>
      </c>
      <c r="B9547" s="3" t="s">
        <v>8608</v>
      </c>
      <c r="C9547" s="5" t="s">
        <v>206</v>
      </c>
      <c r="D9547" s="3" t="s">
        <v>68</v>
      </c>
      <c r="E9547" s="3" t="s">
        <v>100</v>
      </c>
      <c r="F9547" s="7">
        <v>45933.34384318949</v>
      </c>
      <c r="G9547" s="3" t="s">
        <v>5417</v>
      </c>
    </row>
    <row r="9548">
      <c r="A9548" s="3" t="s">
        <v>24773</v>
      </c>
      <c r="B9548" s="3" t="s">
        <v>8612</v>
      </c>
      <c r="C9548" s="5" t="s">
        <v>45</v>
      </c>
      <c r="D9548" s="3" t="s">
        <v>221</v>
      </c>
      <c r="E9548" s="3" t="s">
        <v>993</v>
      </c>
      <c r="F9548" s="7">
        <v>45933.40460136824</v>
      </c>
      <c r="G9548" s="3" t="s">
        <v>11926</v>
      </c>
    </row>
    <row r="9549">
      <c r="A9549" s="3" t="s">
        <v>24774</v>
      </c>
      <c r="B9549" s="3" t="s">
        <v>8612</v>
      </c>
      <c r="C9549" s="5" t="s">
        <v>221</v>
      </c>
      <c r="D9549" s="3" t="s">
        <v>614</v>
      </c>
      <c r="E9549" s="3" t="s">
        <v>118</v>
      </c>
      <c r="F9549" s="7">
        <v>45933.40807359046</v>
      </c>
      <c r="G9549" s="3" t="s">
        <v>11929</v>
      </c>
    </row>
    <row r="9550">
      <c r="A9550" s="3" t="s">
        <v>24775</v>
      </c>
      <c r="B9550" s="3" t="s">
        <v>8612</v>
      </c>
      <c r="C9550" s="5" t="s">
        <v>614</v>
      </c>
      <c r="D9550" s="3" t="s">
        <v>206</v>
      </c>
      <c r="E9550" s="3" t="s">
        <v>100</v>
      </c>
      <c r="F9550" s="7">
        <v>45933.41154581268</v>
      </c>
      <c r="G9550" s="3" t="s">
        <v>11932</v>
      </c>
    </row>
    <row r="9551">
      <c r="A9551" s="3" t="s">
        <v>24776</v>
      </c>
      <c r="B9551" s="3" t="s">
        <v>8612</v>
      </c>
      <c r="C9551" s="5" t="s">
        <v>206</v>
      </c>
      <c r="D9551" s="3" t="s">
        <v>68</v>
      </c>
      <c r="E9551" s="3" t="s">
        <v>100</v>
      </c>
      <c r="F9551" s="7">
        <v>45933.4150180349</v>
      </c>
      <c r="G9551" s="3" t="s">
        <v>11935</v>
      </c>
    </row>
    <row r="9552">
      <c r="A9552" s="3" t="s">
        <v>24777</v>
      </c>
      <c r="B9552" s="3" t="s">
        <v>8615</v>
      </c>
      <c r="C9552" s="5" t="s">
        <v>45</v>
      </c>
      <c r="D9552" s="3" t="s">
        <v>221</v>
      </c>
      <c r="E9552" s="3" t="s">
        <v>501</v>
      </c>
      <c r="F9552" s="7">
        <v>45933.47577621365</v>
      </c>
      <c r="G9552" s="3" t="s">
        <v>5326</v>
      </c>
    </row>
    <row r="9553">
      <c r="A9553" s="3" t="s">
        <v>24778</v>
      </c>
      <c r="B9553" s="3" t="s">
        <v>8615</v>
      </c>
      <c r="C9553" s="5" t="s">
        <v>221</v>
      </c>
      <c r="D9553" s="3" t="s">
        <v>614</v>
      </c>
      <c r="E9553" s="3" t="s">
        <v>118</v>
      </c>
      <c r="F9553" s="7">
        <v>45933.47924843587</v>
      </c>
      <c r="G9553" s="3" t="s">
        <v>5329</v>
      </c>
    </row>
    <row r="9554">
      <c r="A9554" s="3" t="s">
        <v>24779</v>
      </c>
      <c r="B9554" s="3" t="s">
        <v>8615</v>
      </c>
      <c r="C9554" s="5" t="s">
        <v>614</v>
      </c>
      <c r="D9554" s="3" t="s">
        <v>206</v>
      </c>
      <c r="E9554" s="3" t="s">
        <v>100</v>
      </c>
      <c r="F9554" s="7">
        <v>45933.482720658096</v>
      </c>
      <c r="G9554" s="3" t="s">
        <v>5332</v>
      </c>
    </row>
    <row r="9555">
      <c r="A9555" s="3" t="s">
        <v>24780</v>
      </c>
      <c r="B9555" s="3" t="s">
        <v>8615</v>
      </c>
      <c r="C9555" s="5" t="s">
        <v>206</v>
      </c>
      <c r="D9555" s="3" t="s">
        <v>68</v>
      </c>
      <c r="E9555" s="3" t="s">
        <v>100</v>
      </c>
      <c r="F9555" s="7">
        <v>45933.486192880315</v>
      </c>
      <c r="G9555" s="3" t="s">
        <v>5335</v>
      </c>
    </row>
    <row r="9556">
      <c r="A9556" s="3" t="s">
        <v>24781</v>
      </c>
      <c r="B9556" s="3" t="s">
        <v>8618</v>
      </c>
      <c r="C9556" s="5" t="s">
        <v>45</v>
      </c>
      <c r="D9556" s="3" t="s">
        <v>221</v>
      </c>
      <c r="E9556" s="3" t="s">
        <v>789</v>
      </c>
      <c r="F9556" s="7">
        <v>45933.54695105907</v>
      </c>
      <c r="G9556" s="3" t="s">
        <v>6476</v>
      </c>
    </row>
    <row r="9557">
      <c r="A9557" s="3" t="s">
        <v>24782</v>
      </c>
      <c r="B9557" s="3" t="s">
        <v>8618</v>
      </c>
      <c r="C9557" s="5" t="s">
        <v>221</v>
      </c>
      <c r="D9557" s="3" t="s">
        <v>614</v>
      </c>
      <c r="E9557" s="3" t="s">
        <v>118</v>
      </c>
      <c r="F9557" s="7">
        <v>45933.55042328129</v>
      </c>
      <c r="G9557" s="3" t="s">
        <v>6479</v>
      </c>
    </row>
    <row r="9558">
      <c r="A9558" s="3" t="s">
        <v>24783</v>
      </c>
      <c r="B9558" s="3" t="s">
        <v>8618</v>
      </c>
      <c r="C9558" s="5" t="s">
        <v>614</v>
      </c>
      <c r="D9558" s="3" t="s">
        <v>206</v>
      </c>
      <c r="E9558" s="3" t="s">
        <v>100</v>
      </c>
      <c r="F9558" s="7">
        <v>45933.553895503515</v>
      </c>
      <c r="G9558" s="3" t="s">
        <v>6482</v>
      </c>
    </row>
    <row r="9559">
      <c r="A9559" s="3" t="s">
        <v>24784</v>
      </c>
      <c r="B9559" s="3" t="s">
        <v>8618</v>
      </c>
      <c r="C9559" s="5" t="s">
        <v>206</v>
      </c>
      <c r="D9559" s="3" t="s">
        <v>68</v>
      </c>
      <c r="E9559" s="3" t="s">
        <v>100</v>
      </c>
      <c r="F9559" s="7">
        <v>45933.557367725734</v>
      </c>
      <c r="G9559" s="3" t="s">
        <v>6485</v>
      </c>
    </row>
    <row r="9560">
      <c r="A9560" s="3" t="s">
        <v>24785</v>
      </c>
      <c r="B9560" s="3" t="s">
        <v>8621</v>
      </c>
      <c r="C9560" s="5" t="s">
        <v>45</v>
      </c>
      <c r="D9560" s="3" t="s">
        <v>221</v>
      </c>
      <c r="E9560" s="3" t="s">
        <v>293</v>
      </c>
      <c r="F9560" s="7">
        <v>45933.61812590449</v>
      </c>
      <c r="G9560" s="3" t="s">
        <v>6931</v>
      </c>
    </row>
    <row r="9561">
      <c r="A9561" s="3" t="s">
        <v>24786</v>
      </c>
      <c r="B9561" s="3" t="s">
        <v>8621</v>
      </c>
      <c r="C9561" s="5" t="s">
        <v>221</v>
      </c>
      <c r="D9561" s="3" t="s">
        <v>614</v>
      </c>
      <c r="E9561" s="3" t="s">
        <v>118</v>
      </c>
      <c r="F9561" s="7">
        <v>45933.62159812671</v>
      </c>
      <c r="G9561" s="3" t="s">
        <v>6934</v>
      </c>
    </row>
    <row r="9562">
      <c r="A9562" s="3" t="s">
        <v>24787</v>
      </c>
      <c r="B9562" s="3" t="s">
        <v>8621</v>
      </c>
      <c r="C9562" s="5" t="s">
        <v>614</v>
      </c>
      <c r="D9562" s="3" t="s">
        <v>206</v>
      </c>
      <c r="E9562" s="3" t="s">
        <v>100</v>
      </c>
      <c r="F9562" s="7">
        <v>45933.625070348935</v>
      </c>
      <c r="G9562" s="3" t="s">
        <v>6937</v>
      </c>
    </row>
    <row r="9563">
      <c r="A9563" s="3" t="s">
        <v>24788</v>
      </c>
      <c r="B9563" s="3" t="s">
        <v>8621</v>
      </c>
      <c r="C9563" s="5" t="s">
        <v>206</v>
      </c>
      <c r="D9563" s="3" t="s">
        <v>68</v>
      </c>
      <c r="E9563" s="3" t="s">
        <v>100</v>
      </c>
      <c r="F9563" s="7">
        <v>45933.628542571154</v>
      </c>
      <c r="G9563" s="3" t="s">
        <v>6940</v>
      </c>
    </row>
    <row r="9564">
      <c r="A9564" s="3" t="s">
        <v>24789</v>
      </c>
      <c r="B9564" s="3" t="s">
        <v>8625</v>
      </c>
      <c r="C9564" s="5" t="s">
        <v>45</v>
      </c>
      <c r="D9564" s="3" t="s">
        <v>221</v>
      </c>
      <c r="E9564" s="3" t="s">
        <v>197</v>
      </c>
      <c r="F9564" s="7">
        <v>45933.689300749895</v>
      </c>
      <c r="G9564" s="3" t="s">
        <v>24790</v>
      </c>
    </row>
    <row r="9565">
      <c r="A9565" s="3" t="s">
        <v>24791</v>
      </c>
      <c r="B9565" s="3" t="s">
        <v>8625</v>
      </c>
      <c r="C9565" s="5" t="s">
        <v>221</v>
      </c>
      <c r="D9565" s="3" t="s">
        <v>181</v>
      </c>
      <c r="E9565" s="3" t="s">
        <v>118</v>
      </c>
      <c r="F9565" s="7">
        <v>45933.692772972114</v>
      </c>
      <c r="G9565" s="3" t="s">
        <v>24792</v>
      </c>
    </row>
    <row r="9566">
      <c r="A9566" s="3" t="s">
        <v>24793</v>
      </c>
      <c r="B9566" s="3" t="s">
        <v>8628</v>
      </c>
      <c r="C9566" s="5" t="s">
        <v>45</v>
      </c>
      <c r="D9566" s="3" t="s">
        <v>221</v>
      </c>
      <c r="E9566" s="3" t="s">
        <v>922</v>
      </c>
      <c r="F9566" s="7">
        <v>45933.760475595314</v>
      </c>
      <c r="G9566" s="3" t="s">
        <v>8002</v>
      </c>
    </row>
    <row r="9567">
      <c r="A9567" s="3" t="s">
        <v>24794</v>
      </c>
      <c r="B9567" s="3" t="s">
        <v>8628</v>
      </c>
      <c r="C9567" s="5" t="s">
        <v>221</v>
      </c>
      <c r="D9567" s="3" t="s">
        <v>614</v>
      </c>
      <c r="E9567" s="3" t="s">
        <v>118</v>
      </c>
      <c r="F9567" s="7">
        <v>45933.76394781753</v>
      </c>
      <c r="G9567" s="3" t="s">
        <v>8005</v>
      </c>
    </row>
    <row r="9568">
      <c r="A9568" s="3" t="s">
        <v>24795</v>
      </c>
      <c r="B9568" s="3" t="s">
        <v>8628</v>
      </c>
      <c r="C9568" s="5" t="s">
        <v>614</v>
      </c>
      <c r="D9568" s="3" t="s">
        <v>206</v>
      </c>
      <c r="E9568" s="3" t="s">
        <v>100</v>
      </c>
      <c r="F9568" s="7">
        <v>45933.76742003976</v>
      </c>
      <c r="G9568" s="3" t="s">
        <v>8008</v>
      </c>
    </row>
    <row r="9569">
      <c r="A9569" s="3" t="s">
        <v>24796</v>
      </c>
      <c r="B9569" s="3" t="s">
        <v>8628</v>
      </c>
      <c r="C9569" s="5" t="s">
        <v>206</v>
      </c>
      <c r="D9569" s="3" t="s">
        <v>68</v>
      </c>
      <c r="E9569" s="3" t="s">
        <v>100</v>
      </c>
      <c r="F9569" s="7">
        <v>45933.77089226198</v>
      </c>
      <c r="G9569" s="3" t="s">
        <v>8011</v>
      </c>
    </row>
    <row r="9570">
      <c r="A9570" s="3" t="s">
        <v>24797</v>
      </c>
      <c r="B9570" s="3" t="s">
        <v>8632</v>
      </c>
      <c r="C9570" s="5" t="s">
        <v>45</v>
      </c>
      <c r="D9570" s="3" t="s">
        <v>221</v>
      </c>
      <c r="E9570" s="3" t="s">
        <v>598</v>
      </c>
      <c r="F9570" s="7">
        <v>45933.83165044073</v>
      </c>
      <c r="G9570" s="3" t="s">
        <v>24798</v>
      </c>
    </row>
    <row r="9571">
      <c r="A9571" s="3" t="s">
        <v>24799</v>
      </c>
      <c r="B9571" s="3" t="s">
        <v>8632</v>
      </c>
      <c r="C9571" s="5" t="s">
        <v>221</v>
      </c>
      <c r="D9571" s="3" t="s">
        <v>614</v>
      </c>
      <c r="E9571" s="3" t="s">
        <v>118</v>
      </c>
      <c r="F9571" s="7">
        <v>45933.835122662946</v>
      </c>
      <c r="G9571" s="3" t="s">
        <v>24800</v>
      </c>
    </row>
    <row r="9572">
      <c r="A9572" s="3" t="s">
        <v>24801</v>
      </c>
      <c r="B9572" s="3" t="s">
        <v>8632</v>
      </c>
      <c r="C9572" s="5" t="s">
        <v>614</v>
      </c>
      <c r="D9572" s="3" t="s">
        <v>206</v>
      </c>
      <c r="E9572" s="3" t="s">
        <v>100</v>
      </c>
      <c r="F9572" s="7">
        <v>45933.83859488517</v>
      </c>
      <c r="G9572" s="3" t="s">
        <v>24802</v>
      </c>
    </row>
    <row r="9573">
      <c r="A9573" s="3" t="s">
        <v>24803</v>
      </c>
      <c r="B9573" s="3" t="s">
        <v>8632</v>
      </c>
      <c r="C9573" s="5" t="s">
        <v>206</v>
      </c>
      <c r="D9573" s="3" t="s">
        <v>68</v>
      </c>
      <c r="E9573" s="3" t="s">
        <v>100</v>
      </c>
      <c r="F9573" s="7">
        <v>45933.84206710739</v>
      </c>
      <c r="G9573" s="3" t="s">
        <v>24804</v>
      </c>
    </row>
    <row r="9574">
      <c r="A9574" s="3" t="s">
        <v>24805</v>
      </c>
      <c r="B9574" s="3" t="s">
        <v>8635</v>
      </c>
      <c r="C9574" s="5" t="s">
        <v>45</v>
      </c>
      <c r="D9574" s="3" t="s">
        <v>221</v>
      </c>
      <c r="E9574" s="3" t="s">
        <v>395</v>
      </c>
      <c r="F9574" s="7">
        <v>45933.902825286146</v>
      </c>
      <c r="G9574" s="3" t="s">
        <v>24806</v>
      </c>
    </row>
    <row r="9575">
      <c r="A9575" s="3" t="s">
        <v>24807</v>
      </c>
      <c r="B9575" s="3" t="s">
        <v>8635</v>
      </c>
      <c r="C9575" s="5" t="s">
        <v>221</v>
      </c>
      <c r="D9575" s="3" t="s">
        <v>614</v>
      </c>
      <c r="E9575" s="3" t="s">
        <v>118</v>
      </c>
      <c r="F9575" s="7">
        <v>45933.906297508365</v>
      </c>
      <c r="G9575" s="3" t="s">
        <v>24808</v>
      </c>
    </row>
    <row r="9576">
      <c r="A9576" s="3" t="s">
        <v>24809</v>
      </c>
      <c r="B9576" s="3" t="s">
        <v>8635</v>
      </c>
      <c r="C9576" s="5" t="s">
        <v>614</v>
      </c>
      <c r="D9576" s="3" t="s">
        <v>206</v>
      </c>
      <c r="E9576" s="3" t="s">
        <v>100</v>
      </c>
      <c r="F9576" s="7">
        <v>45933.90976973059</v>
      </c>
      <c r="G9576" s="3" t="s">
        <v>24810</v>
      </c>
    </row>
    <row r="9577">
      <c r="A9577" s="3" t="s">
        <v>24811</v>
      </c>
      <c r="B9577" s="3" t="s">
        <v>8635</v>
      </c>
      <c r="C9577" s="5" t="s">
        <v>206</v>
      </c>
      <c r="D9577" s="3" t="s">
        <v>68</v>
      </c>
      <c r="E9577" s="3" t="s">
        <v>100</v>
      </c>
      <c r="F9577" s="7">
        <v>45933.91324195281</v>
      </c>
      <c r="G9577" s="3" t="s">
        <v>24812</v>
      </c>
    </row>
    <row r="9578">
      <c r="A9578" s="3" t="s">
        <v>24813</v>
      </c>
      <c r="B9578" s="3" t="s">
        <v>8638</v>
      </c>
      <c r="C9578" s="5" t="s">
        <v>45</v>
      </c>
      <c r="D9578" s="3" t="s">
        <v>221</v>
      </c>
      <c r="E9578" s="3" t="s">
        <v>903</v>
      </c>
      <c r="F9578" s="7">
        <v>45933.97400013156</v>
      </c>
      <c r="G9578" s="3" t="s">
        <v>8014</v>
      </c>
    </row>
    <row r="9579">
      <c r="A9579" s="3" t="s">
        <v>24814</v>
      </c>
      <c r="B9579" s="3" t="s">
        <v>8638</v>
      </c>
      <c r="C9579" s="5" t="s">
        <v>221</v>
      </c>
      <c r="D9579" s="3" t="s">
        <v>614</v>
      </c>
      <c r="E9579" s="3" t="s">
        <v>118</v>
      </c>
      <c r="F9579" s="7">
        <v>45933.97747235378</v>
      </c>
      <c r="G9579" s="3" t="s">
        <v>8017</v>
      </c>
    </row>
    <row r="9580">
      <c r="A9580" s="3" t="s">
        <v>24815</v>
      </c>
      <c r="B9580" s="3" t="s">
        <v>8638</v>
      </c>
      <c r="C9580" s="5" t="s">
        <v>614</v>
      </c>
      <c r="D9580" s="3" t="s">
        <v>206</v>
      </c>
      <c r="E9580" s="3" t="s">
        <v>100</v>
      </c>
      <c r="F9580" s="7">
        <v>45933.980944576004</v>
      </c>
      <c r="G9580" s="3" t="s">
        <v>8020</v>
      </c>
    </row>
    <row r="9581">
      <c r="A9581" s="3" t="s">
        <v>24816</v>
      </c>
      <c r="B9581" s="3" t="s">
        <v>8638</v>
      </c>
      <c r="C9581" s="5" t="s">
        <v>206</v>
      </c>
      <c r="D9581" s="3" t="s">
        <v>68</v>
      </c>
      <c r="E9581" s="3" t="s">
        <v>100</v>
      </c>
      <c r="F9581" s="7">
        <v>45933.98441679822</v>
      </c>
      <c r="G9581" s="3" t="s">
        <v>8024</v>
      </c>
    </row>
    <row r="9582">
      <c r="A9582" s="3" t="s">
        <v>24817</v>
      </c>
      <c r="B9582" s="3" t="s">
        <v>8641</v>
      </c>
      <c r="C9582" s="5" t="s">
        <v>45</v>
      </c>
      <c r="D9582" s="3" t="s">
        <v>221</v>
      </c>
      <c r="E9582" s="3" t="s">
        <v>510</v>
      </c>
      <c r="F9582" s="7">
        <v>45934.04517497698</v>
      </c>
      <c r="G9582" s="3" t="s">
        <v>8027</v>
      </c>
    </row>
    <row r="9583">
      <c r="A9583" s="3" t="s">
        <v>24818</v>
      </c>
      <c r="B9583" s="3" t="s">
        <v>8641</v>
      </c>
      <c r="C9583" s="5" t="s">
        <v>221</v>
      </c>
      <c r="D9583" s="3" t="s">
        <v>614</v>
      </c>
      <c r="E9583" s="3" t="s">
        <v>118</v>
      </c>
      <c r="F9583" s="7">
        <v>45934.0486471992</v>
      </c>
      <c r="G9583" s="3" t="s">
        <v>8030</v>
      </c>
    </row>
    <row r="9584">
      <c r="A9584" s="3" t="s">
        <v>24819</v>
      </c>
      <c r="B9584" s="3" t="s">
        <v>8641</v>
      </c>
      <c r="C9584" s="5" t="s">
        <v>614</v>
      </c>
      <c r="D9584" s="3" t="s">
        <v>206</v>
      </c>
      <c r="E9584" s="3" t="s">
        <v>100</v>
      </c>
      <c r="F9584" s="7">
        <v>45934.05211942142</v>
      </c>
      <c r="G9584" s="3" t="s">
        <v>8032</v>
      </c>
    </row>
    <row r="9585">
      <c r="A9585" s="3" t="s">
        <v>24820</v>
      </c>
      <c r="B9585" s="3" t="s">
        <v>8641</v>
      </c>
      <c r="C9585" s="5" t="s">
        <v>206</v>
      </c>
      <c r="D9585" s="3" t="s">
        <v>68</v>
      </c>
      <c r="E9585" s="3" t="s">
        <v>100</v>
      </c>
      <c r="F9585" s="7">
        <v>45934.05559164364</v>
      </c>
      <c r="G9585" s="3" t="s">
        <v>8035</v>
      </c>
    </row>
    <row r="9586">
      <c r="A9586" s="3" t="s">
        <v>24821</v>
      </c>
      <c r="B9586" s="3" t="s">
        <v>8644</v>
      </c>
      <c r="C9586" s="5" t="s">
        <v>45</v>
      </c>
      <c r="D9586" s="3" t="s">
        <v>221</v>
      </c>
      <c r="E9586" s="3" t="s">
        <v>535</v>
      </c>
      <c r="F9586" s="7">
        <v>45934.11634982238</v>
      </c>
      <c r="G9586" s="3" t="s">
        <v>20084</v>
      </c>
    </row>
    <row r="9587">
      <c r="A9587" s="3" t="s">
        <v>24822</v>
      </c>
      <c r="B9587" s="3" t="s">
        <v>8644</v>
      </c>
      <c r="C9587" s="5" t="s">
        <v>221</v>
      </c>
      <c r="D9587" s="3" t="s">
        <v>181</v>
      </c>
      <c r="E9587" s="3" t="s">
        <v>118</v>
      </c>
      <c r="F9587" s="7">
        <v>45934.1198220446</v>
      </c>
      <c r="G9587" s="3" t="s">
        <v>24823</v>
      </c>
    </row>
    <row r="9588">
      <c r="A9588" s="3" t="s">
        <v>24824</v>
      </c>
      <c r="B9588" s="3" t="s">
        <v>8647</v>
      </c>
      <c r="C9588" s="5" t="s">
        <v>45</v>
      </c>
      <c r="D9588" s="3" t="s">
        <v>221</v>
      </c>
      <c r="E9588" s="3" t="s">
        <v>1021</v>
      </c>
      <c r="F9588" s="7">
        <v>45934.1875246678</v>
      </c>
      <c r="G9588" s="3" t="s">
        <v>6783</v>
      </c>
    </row>
    <row r="9589">
      <c r="A9589" s="3" t="s">
        <v>24825</v>
      </c>
      <c r="B9589" s="3" t="s">
        <v>8647</v>
      </c>
      <c r="C9589" s="5" t="s">
        <v>221</v>
      </c>
      <c r="D9589" s="3" t="s">
        <v>614</v>
      </c>
      <c r="E9589" s="3" t="s">
        <v>118</v>
      </c>
      <c r="F9589" s="7">
        <v>45934.19099689002</v>
      </c>
      <c r="G9589" s="3" t="s">
        <v>6786</v>
      </c>
    </row>
    <row r="9590">
      <c r="A9590" s="3" t="s">
        <v>24826</v>
      </c>
      <c r="B9590" s="3" t="s">
        <v>8647</v>
      </c>
      <c r="C9590" s="5" t="s">
        <v>614</v>
      </c>
      <c r="D9590" s="3" t="s">
        <v>206</v>
      </c>
      <c r="E9590" s="3" t="s">
        <v>100</v>
      </c>
      <c r="F9590" s="7">
        <v>45934.19446911225</v>
      </c>
      <c r="G9590" s="3" t="s">
        <v>6789</v>
      </c>
    </row>
    <row r="9591">
      <c r="A9591" s="3" t="s">
        <v>24827</v>
      </c>
      <c r="B9591" s="3" t="s">
        <v>8647</v>
      </c>
      <c r="C9591" s="5" t="s">
        <v>206</v>
      </c>
      <c r="D9591" s="3" t="s">
        <v>68</v>
      </c>
      <c r="E9591" s="3" t="s">
        <v>100</v>
      </c>
      <c r="F9591" s="7">
        <v>45934.19794133447</v>
      </c>
      <c r="G9591" s="3" t="s">
        <v>6792</v>
      </c>
    </row>
    <row r="9592">
      <c r="A9592" s="3" t="s">
        <v>24828</v>
      </c>
      <c r="B9592" s="3" t="s">
        <v>8651</v>
      </c>
      <c r="C9592" s="5" t="s">
        <v>45</v>
      </c>
      <c r="D9592" s="3" t="s">
        <v>221</v>
      </c>
      <c r="E9592" s="3" t="s">
        <v>419</v>
      </c>
      <c r="F9592" s="7">
        <v>45934.25869951322</v>
      </c>
      <c r="G9592" s="3" t="s">
        <v>24829</v>
      </c>
    </row>
    <row r="9593">
      <c r="A9593" s="3" t="s">
        <v>24830</v>
      </c>
      <c r="B9593" s="3" t="s">
        <v>8651</v>
      </c>
      <c r="C9593" s="5" t="s">
        <v>221</v>
      </c>
      <c r="D9593" s="3" t="s">
        <v>195</v>
      </c>
      <c r="E9593" s="3" t="s">
        <v>419</v>
      </c>
      <c r="F9593" s="7">
        <v>45934.26217173544</v>
      </c>
      <c r="G9593" s="3" t="s">
        <v>24831</v>
      </c>
    </row>
    <row r="9594">
      <c r="A9594" s="3" t="s">
        <v>24832</v>
      </c>
      <c r="B9594" s="3" t="s">
        <v>8653</v>
      </c>
      <c r="C9594" s="5" t="s">
        <v>45</v>
      </c>
      <c r="D9594" s="3" t="s">
        <v>221</v>
      </c>
      <c r="E9594" s="3" t="s">
        <v>911</v>
      </c>
      <c r="F9594" s="7">
        <v>45934.329874358635</v>
      </c>
      <c r="G9594" s="3" t="s">
        <v>24833</v>
      </c>
    </row>
    <row r="9595">
      <c r="A9595" s="3" t="s">
        <v>24834</v>
      </c>
      <c r="B9595" s="3" t="s">
        <v>8653</v>
      </c>
      <c r="C9595" s="5" t="s">
        <v>221</v>
      </c>
      <c r="D9595" s="3" t="s">
        <v>614</v>
      </c>
      <c r="E9595" s="3" t="s">
        <v>118</v>
      </c>
      <c r="F9595" s="7">
        <v>45934.333346580854</v>
      </c>
      <c r="G9595" s="3" t="s">
        <v>24835</v>
      </c>
    </row>
    <row r="9596">
      <c r="A9596" s="3" t="s">
        <v>24836</v>
      </c>
      <c r="B9596" s="3" t="s">
        <v>8653</v>
      </c>
      <c r="C9596" s="5" t="s">
        <v>614</v>
      </c>
      <c r="D9596" s="3" t="s">
        <v>206</v>
      </c>
      <c r="E9596" s="3" t="s">
        <v>100</v>
      </c>
      <c r="F9596" s="7">
        <v>45934.33681880308</v>
      </c>
      <c r="G9596" s="3" t="s">
        <v>24837</v>
      </c>
    </row>
    <row r="9597">
      <c r="A9597" s="3" t="s">
        <v>24838</v>
      </c>
      <c r="B9597" s="3" t="s">
        <v>8653</v>
      </c>
      <c r="C9597" s="5" t="s">
        <v>206</v>
      </c>
      <c r="D9597" s="3" t="s">
        <v>68</v>
      </c>
      <c r="E9597" s="3" t="s">
        <v>100</v>
      </c>
      <c r="F9597" s="7">
        <v>45934.3402910253</v>
      </c>
      <c r="G9597" s="3" t="s">
        <v>24839</v>
      </c>
    </row>
    <row r="9598">
      <c r="A9598" s="3" t="s">
        <v>24840</v>
      </c>
      <c r="B9598" s="3" t="s">
        <v>8656</v>
      </c>
      <c r="C9598" s="5" t="s">
        <v>45</v>
      </c>
      <c r="D9598" s="3" t="s">
        <v>221</v>
      </c>
      <c r="E9598" s="3" t="s">
        <v>976</v>
      </c>
      <c r="F9598" s="7">
        <v>45934.40104920405</v>
      </c>
      <c r="G9598" s="3" t="s">
        <v>5338</v>
      </c>
    </row>
    <row r="9599">
      <c r="A9599" s="3" t="s">
        <v>24841</v>
      </c>
      <c r="B9599" s="3" t="s">
        <v>8656</v>
      </c>
      <c r="C9599" s="5" t="s">
        <v>221</v>
      </c>
      <c r="D9599" s="3" t="s">
        <v>614</v>
      </c>
      <c r="E9599" s="3" t="s">
        <v>118</v>
      </c>
      <c r="F9599" s="7">
        <v>45934.404521426266</v>
      </c>
      <c r="G9599" s="3" t="s">
        <v>5341</v>
      </c>
    </row>
    <row r="9600">
      <c r="A9600" s="3" t="s">
        <v>24842</v>
      </c>
      <c r="B9600" s="3" t="s">
        <v>8656</v>
      </c>
      <c r="C9600" s="5" t="s">
        <v>614</v>
      </c>
      <c r="D9600" s="3" t="s">
        <v>206</v>
      </c>
      <c r="E9600" s="3" t="s">
        <v>100</v>
      </c>
      <c r="F9600" s="7">
        <v>45934.40799364849</v>
      </c>
      <c r="G9600" s="3" t="s">
        <v>5343</v>
      </c>
    </row>
    <row r="9601">
      <c r="A9601" s="3" t="s">
        <v>24843</v>
      </c>
      <c r="B9601" s="3" t="s">
        <v>8656</v>
      </c>
      <c r="C9601" s="5" t="s">
        <v>206</v>
      </c>
      <c r="D9601" s="3" t="s">
        <v>68</v>
      </c>
      <c r="E9601" s="3" t="s">
        <v>100</v>
      </c>
      <c r="F9601" s="7">
        <v>45934.41146587071</v>
      </c>
      <c r="G9601" s="3" t="s">
        <v>5346</v>
      </c>
    </row>
    <row r="9602">
      <c r="A9602" s="3" t="s">
        <v>24844</v>
      </c>
      <c r="B9602" s="3" t="s">
        <v>8661</v>
      </c>
      <c r="C9602" s="5" t="s">
        <v>45</v>
      </c>
      <c r="D9602" s="3" t="s">
        <v>221</v>
      </c>
      <c r="E9602" s="3" t="s">
        <v>943</v>
      </c>
      <c r="F9602" s="7">
        <v>45934.47222404947</v>
      </c>
      <c r="G9602" s="3" t="s">
        <v>8052</v>
      </c>
    </row>
    <row r="9603">
      <c r="A9603" s="3" t="s">
        <v>24845</v>
      </c>
      <c r="B9603" s="3" t="s">
        <v>8661</v>
      </c>
      <c r="C9603" s="5" t="s">
        <v>221</v>
      </c>
      <c r="D9603" s="3" t="s">
        <v>614</v>
      </c>
      <c r="E9603" s="3" t="s">
        <v>118</v>
      </c>
      <c r="F9603" s="7">
        <v>45934.475696271686</v>
      </c>
      <c r="G9603" s="3" t="s">
        <v>8055</v>
      </c>
    </row>
    <row r="9604">
      <c r="A9604" s="3" t="s">
        <v>24846</v>
      </c>
      <c r="B9604" s="3" t="s">
        <v>8661</v>
      </c>
      <c r="C9604" s="5" t="s">
        <v>614</v>
      </c>
      <c r="D9604" s="3" t="s">
        <v>206</v>
      </c>
      <c r="E9604" s="3" t="s">
        <v>100</v>
      </c>
      <c r="F9604" s="7">
        <v>45934.47916849391</v>
      </c>
      <c r="G9604" s="3" t="s">
        <v>8059</v>
      </c>
    </row>
    <row r="9605">
      <c r="A9605" s="3" t="s">
        <v>24847</v>
      </c>
      <c r="B9605" s="3" t="s">
        <v>8661</v>
      </c>
      <c r="C9605" s="5" t="s">
        <v>206</v>
      </c>
      <c r="D9605" s="3" t="s">
        <v>68</v>
      </c>
      <c r="E9605" s="3" t="s">
        <v>100</v>
      </c>
      <c r="F9605" s="7">
        <v>45934.48264071613</v>
      </c>
      <c r="G9605" s="3" t="s">
        <v>8062</v>
      </c>
    </row>
    <row r="9606">
      <c r="A9606" s="3" t="s">
        <v>24848</v>
      </c>
      <c r="B9606" s="3" t="s">
        <v>8664</v>
      </c>
      <c r="C9606" s="5" t="s">
        <v>45</v>
      </c>
      <c r="D9606" s="3" t="s">
        <v>221</v>
      </c>
      <c r="E9606" s="3" t="s">
        <v>296</v>
      </c>
      <c r="F9606" s="7">
        <v>45934.54339889488</v>
      </c>
      <c r="G9606" s="3" t="s">
        <v>8512</v>
      </c>
    </row>
    <row r="9607">
      <c r="A9607" s="3" t="s">
        <v>24849</v>
      </c>
      <c r="B9607" s="3" t="s">
        <v>8664</v>
      </c>
      <c r="C9607" s="5" t="s">
        <v>221</v>
      </c>
      <c r="D9607" s="3" t="s">
        <v>614</v>
      </c>
      <c r="E9607" s="3" t="s">
        <v>118</v>
      </c>
      <c r="F9607" s="7">
        <v>45934.5468711171</v>
      </c>
      <c r="G9607" s="3" t="s">
        <v>8515</v>
      </c>
    </row>
    <row r="9608">
      <c r="A9608" s="3" t="s">
        <v>24850</v>
      </c>
      <c r="B9608" s="3" t="s">
        <v>8664</v>
      </c>
      <c r="C9608" s="5" t="s">
        <v>614</v>
      </c>
      <c r="D9608" s="3" t="s">
        <v>206</v>
      </c>
      <c r="E9608" s="3" t="s">
        <v>100</v>
      </c>
      <c r="F9608" s="7">
        <v>45934.550343339324</v>
      </c>
      <c r="G9608" s="3" t="s">
        <v>8517</v>
      </c>
    </row>
    <row r="9609">
      <c r="A9609" s="3" t="s">
        <v>24851</v>
      </c>
      <c r="B9609" s="3" t="s">
        <v>8664</v>
      </c>
      <c r="C9609" s="5" t="s">
        <v>206</v>
      </c>
      <c r="D9609" s="3" t="s">
        <v>68</v>
      </c>
      <c r="E9609" s="3" t="s">
        <v>100</v>
      </c>
      <c r="F9609" s="7">
        <v>45934.55381556154</v>
      </c>
      <c r="G9609" s="3" t="s">
        <v>8520</v>
      </c>
    </row>
    <row r="9610">
      <c r="A9610" s="3" t="s">
        <v>24852</v>
      </c>
      <c r="B9610" s="3" t="s">
        <v>8667</v>
      </c>
      <c r="C9610" s="5" t="s">
        <v>45</v>
      </c>
      <c r="D9610" s="3" t="s">
        <v>221</v>
      </c>
      <c r="E9610" s="3" t="s">
        <v>957</v>
      </c>
      <c r="F9610" s="7">
        <v>45934.61457374029</v>
      </c>
      <c r="G9610" s="3" t="s">
        <v>24853</v>
      </c>
    </row>
    <row r="9611">
      <c r="A9611" s="3" t="s">
        <v>24854</v>
      </c>
      <c r="B9611" s="3" t="s">
        <v>8667</v>
      </c>
      <c r="C9611" s="5" t="s">
        <v>221</v>
      </c>
      <c r="D9611" s="3" t="s">
        <v>614</v>
      </c>
      <c r="E9611" s="3" t="s">
        <v>118</v>
      </c>
      <c r="F9611" s="7">
        <v>45934.61804596251</v>
      </c>
      <c r="G9611" s="3" t="s">
        <v>24855</v>
      </c>
    </row>
    <row r="9612">
      <c r="A9612" s="3" t="s">
        <v>24856</v>
      </c>
      <c r="B9612" s="3" t="s">
        <v>8667</v>
      </c>
      <c r="C9612" s="5" t="s">
        <v>614</v>
      </c>
      <c r="D9612" s="3" t="s">
        <v>206</v>
      </c>
      <c r="E9612" s="3" t="s">
        <v>100</v>
      </c>
      <c r="F9612" s="7">
        <v>45934.62151818474</v>
      </c>
      <c r="G9612" s="3" t="s">
        <v>24857</v>
      </c>
    </row>
    <row r="9613">
      <c r="A9613" s="3" t="s">
        <v>24858</v>
      </c>
      <c r="B9613" s="3" t="s">
        <v>8667</v>
      </c>
      <c r="C9613" s="5" t="s">
        <v>206</v>
      </c>
      <c r="D9613" s="3" t="s">
        <v>68</v>
      </c>
      <c r="E9613" s="3" t="s">
        <v>100</v>
      </c>
      <c r="F9613" s="7">
        <v>45934.624990406955</v>
      </c>
      <c r="G9613" s="3" t="s">
        <v>24859</v>
      </c>
    </row>
    <row r="9614">
      <c r="A9614" s="3" t="s">
        <v>24860</v>
      </c>
      <c r="B9614" s="3" t="s">
        <v>8671</v>
      </c>
      <c r="C9614" s="5" t="s">
        <v>45</v>
      </c>
      <c r="D9614" s="3" t="s">
        <v>221</v>
      </c>
      <c r="E9614" s="3" t="s">
        <v>800</v>
      </c>
      <c r="F9614" s="7">
        <v>45934.68574858571</v>
      </c>
      <c r="G9614" s="3" t="s">
        <v>8108</v>
      </c>
    </row>
    <row r="9615">
      <c r="A9615" s="3" t="s">
        <v>24861</v>
      </c>
      <c r="B9615" s="3" t="s">
        <v>8671</v>
      </c>
      <c r="C9615" s="5" t="s">
        <v>221</v>
      </c>
      <c r="D9615" s="3" t="s">
        <v>614</v>
      </c>
      <c r="E9615" s="3" t="s">
        <v>118</v>
      </c>
      <c r="F9615" s="7">
        <v>45934.68922080793</v>
      </c>
      <c r="G9615" s="3" t="s">
        <v>8111</v>
      </c>
    </row>
    <row r="9616">
      <c r="A9616" s="3" t="s">
        <v>24862</v>
      </c>
      <c r="B9616" s="3" t="s">
        <v>8671</v>
      </c>
      <c r="C9616" s="5" t="s">
        <v>614</v>
      </c>
      <c r="D9616" s="3" t="s">
        <v>206</v>
      </c>
      <c r="E9616" s="3" t="s">
        <v>100</v>
      </c>
      <c r="F9616" s="7">
        <v>45934.692693030156</v>
      </c>
      <c r="G9616" s="3" t="s">
        <v>8114</v>
      </c>
    </row>
    <row r="9617">
      <c r="A9617" s="3" t="s">
        <v>24863</v>
      </c>
      <c r="B9617" s="3" t="s">
        <v>8671</v>
      </c>
      <c r="C9617" s="5" t="s">
        <v>206</v>
      </c>
      <c r="D9617" s="3" t="s">
        <v>68</v>
      </c>
      <c r="E9617" s="3" t="s">
        <v>100</v>
      </c>
      <c r="F9617" s="7">
        <v>45934.696165252375</v>
      </c>
      <c r="G9617" s="3" t="s">
        <v>8117</v>
      </c>
    </row>
    <row r="9618">
      <c r="A9618" s="3" t="s">
        <v>24864</v>
      </c>
      <c r="B9618" s="3" t="s">
        <v>8675</v>
      </c>
      <c r="C9618" s="5" t="s">
        <v>45</v>
      </c>
      <c r="D9618" s="3" t="s">
        <v>221</v>
      </c>
      <c r="E9618" s="3" t="s">
        <v>446</v>
      </c>
      <c r="F9618" s="7">
        <v>45934.75692343113</v>
      </c>
      <c r="G9618" s="3" t="s">
        <v>14549</v>
      </c>
    </row>
    <row r="9619">
      <c r="A9619" s="3" t="s">
        <v>24865</v>
      </c>
      <c r="B9619" s="3" t="s">
        <v>8675</v>
      </c>
      <c r="C9619" s="5" t="s">
        <v>221</v>
      </c>
      <c r="D9619" s="3" t="s">
        <v>614</v>
      </c>
      <c r="E9619" s="3" t="s">
        <v>118</v>
      </c>
      <c r="F9619" s="7">
        <v>45934.76039565335</v>
      </c>
      <c r="G9619" s="3" t="s">
        <v>14552</v>
      </c>
    </row>
    <row r="9620">
      <c r="A9620" s="3" t="s">
        <v>24866</v>
      </c>
      <c r="B9620" s="3" t="s">
        <v>8675</v>
      </c>
      <c r="C9620" s="5" t="s">
        <v>614</v>
      </c>
      <c r="D9620" s="3" t="s">
        <v>206</v>
      </c>
      <c r="E9620" s="3" t="s">
        <v>100</v>
      </c>
      <c r="F9620" s="7">
        <v>45934.763867875576</v>
      </c>
      <c r="G9620" s="3" t="s">
        <v>14555</v>
      </c>
    </row>
    <row r="9621">
      <c r="A9621" s="3" t="s">
        <v>24867</v>
      </c>
      <c r="B9621" s="3" t="s">
        <v>8675</v>
      </c>
      <c r="C9621" s="5" t="s">
        <v>206</v>
      </c>
      <c r="D9621" s="3" t="s">
        <v>68</v>
      </c>
      <c r="E9621" s="3" t="s">
        <v>100</v>
      </c>
      <c r="F9621" s="7">
        <v>45934.767340097795</v>
      </c>
      <c r="G9621" s="3" t="s">
        <v>14558</v>
      </c>
    </row>
    <row r="9622">
      <c r="A9622" s="3" t="s">
        <v>24868</v>
      </c>
      <c r="B9622" s="3" t="s">
        <v>8678</v>
      </c>
      <c r="C9622" s="5" t="s">
        <v>45</v>
      </c>
      <c r="D9622" s="3" t="s">
        <v>221</v>
      </c>
      <c r="E9622" s="3" t="s">
        <v>605</v>
      </c>
      <c r="F9622" s="7">
        <v>45934.828098276535</v>
      </c>
      <c r="G9622" s="3" t="s">
        <v>11009</v>
      </c>
    </row>
    <row r="9623">
      <c r="A9623" s="3" t="s">
        <v>24869</v>
      </c>
      <c r="B9623" s="3" t="s">
        <v>8678</v>
      </c>
      <c r="C9623" s="5" t="s">
        <v>221</v>
      </c>
      <c r="D9623" s="3" t="s">
        <v>614</v>
      </c>
      <c r="E9623" s="3" t="s">
        <v>118</v>
      </c>
      <c r="F9623" s="7">
        <v>45934.831570498754</v>
      </c>
      <c r="G9623" s="3" t="s">
        <v>11012</v>
      </c>
    </row>
    <row r="9624">
      <c r="A9624" s="3" t="s">
        <v>24870</v>
      </c>
      <c r="B9624" s="3" t="s">
        <v>8678</v>
      </c>
      <c r="C9624" s="5" t="s">
        <v>614</v>
      </c>
      <c r="D9624" s="3" t="s">
        <v>206</v>
      </c>
      <c r="E9624" s="3" t="s">
        <v>100</v>
      </c>
      <c r="F9624" s="7">
        <v>45934.83504272098</v>
      </c>
      <c r="G9624" s="3" t="s">
        <v>11014</v>
      </c>
    </row>
    <row r="9625">
      <c r="A9625" s="3" t="s">
        <v>24871</v>
      </c>
      <c r="B9625" s="3" t="s">
        <v>8678</v>
      </c>
      <c r="C9625" s="5" t="s">
        <v>206</v>
      </c>
      <c r="D9625" s="3" t="s">
        <v>68</v>
      </c>
      <c r="E9625" s="3" t="s">
        <v>100</v>
      </c>
      <c r="F9625" s="7">
        <v>45934.8385149432</v>
      </c>
      <c r="G9625" s="3" t="s">
        <v>11017</v>
      </c>
    </row>
    <row r="9626">
      <c r="A9626" s="3" t="s">
        <v>24872</v>
      </c>
      <c r="B9626" s="3" t="s">
        <v>8681</v>
      </c>
      <c r="C9626" s="5" t="s">
        <v>45</v>
      </c>
      <c r="D9626" s="3" t="s">
        <v>221</v>
      </c>
      <c r="E9626" s="3" t="s">
        <v>756</v>
      </c>
      <c r="F9626" s="7">
        <v>45934.899273121955</v>
      </c>
      <c r="G9626" s="3" t="s">
        <v>20397</v>
      </c>
    </row>
    <row r="9627">
      <c r="A9627" s="3" t="s">
        <v>24873</v>
      </c>
      <c r="B9627" s="3" t="s">
        <v>8681</v>
      </c>
      <c r="C9627" s="5" t="s">
        <v>221</v>
      </c>
      <c r="D9627" s="3" t="s">
        <v>614</v>
      </c>
      <c r="E9627" s="3" t="s">
        <v>118</v>
      </c>
      <c r="F9627" s="7">
        <v>45934.902745344174</v>
      </c>
      <c r="G9627" s="3" t="s">
        <v>20400</v>
      </c>
    </row>
    <row r="9628">
      <c r="A9628" s="3" t="s">
        <v>24874</v>
      </c>
      <c r="B9628" s="3" t="s">
        <v>8681</v>
      </c>
      <c r="C9628" s="5" t="s">
        <v>614</v>
      </c>
      <c r="D9628" s="3" t="s">
        <v>206</v>
      </c>
      <c r="E9628" s="3" t="s">
        <v>100</v>
      </c>
      <c r="F9628" s="7">
        <v>45934.9062175664</v>
      </c>
      <c r="G9628" s="3" t="s">
        <v>20402</v>
      </c>
    </row>
    <row r="9629">
      <c r="A9629" s="3" t="s">
        <v>24875</v>
      </c>
      <c r="B9629" s="3" t="s">
        <v>8681</v>
      </c>
      <c r="C9629" s="5" t="s">
        <v>206</v>
      </c>
      <c r="D9629" s="3" t="s">
        <v>68</v>
      </c>
      <c r="E9629" s="3" t="s">
        <v>100</v>
      </c>
      <c r="F9629" s="7">
        <v>45934.90968978862</v>
      </c>
      <c r="G9629" s="3" t="s">
        <v>20405</v>
      </c>
    </row>
    <row r="9630">
      <c r="A9630" s="3" t="s">
        <v>24876</v>
      </c>
      <c r="B9630" s="3" t="s">
        <v>8684</v>
      </c>
      <c r="C9630" s="5" t="s">
        <v>45</v>
      </c>
      <c r="D9630" s="3" t="s">
        <v>221</v>
      </c>
      <c r="E9630" s="3" t="s">
        <v>554</v>
      </c>
      <c r="F9630" s="7">
        <v>45934.970447967375</v>
      </c>
      <c r="G9630" s="3" t="s">
        <v>24877</v>
      </c>
    </row>
    <row r="9631">
      <c r="A9631" s="3" t="s">
        <v>24878</v>
      </c>
      <c r="B9631" s="3" t="s">
        <v>8684</v>
      </c>
      <c r="C9631" s="5" t="s">
        <v>221</v>
      </c>
      <c r="D9631" s="3" t="s">
        <v>614</v>
      </c>
      <c r="E9631" s="3" t="s">
        <v>118</v>
      </c>
      <c r="F9631" s="7">
        <v>45934.97392018959</v>
      </c>
      <c r="G9631" s="3" t="s">
        <v>24879</v>
      </c>
    </row>
    <row r="9632">
      <c r="A9632" s="3" t="s">
        <v>24880</v>
      </c>
      <c r="B9632" s="3" t="s">
        <v>8684</v>
      </c>
      <c r="C9632" s="5" t="s">
        <v>614</v>
      </c>
      <c r="D9632" s="3" t="s">
        <v>206</v>
      </c>
      <c r="E9632" s="3" t="s">
        <v>100</v>
      </c>
      <c r="F9632" s="7">
        <v>45934.97739241182</v>
      </c>
      <c r="G9632" s="3" t="s">
        <v>24881</v>
      </c>
    </row>
    <row r="9633">
      <c r="A9633" s="3" t="s">
        <v>24882</v>
      </c>
      <c r="B9633" s="3" t="s">
        <v>8684</v>
      </c>
      <c r="C9633" s="5" t="s">
        <v>206</v>
      </c>
      <c r="D9633" s="3" t="s">
        <v>68</v>
      </c>
      <c r="E9633" s="3" t="s">
        <v>100</v>
      </c>
      <c r="F9633" s="7">
        <v>45934.98086463404</v>
      </c>
      <c r="G9633" s="3" t="s">
        <v>24883</v>
      </c>
    </row>
    <row r="9634">
      <c r="A9634" s="3" t="s">
        <v>24884</v>
      </c>
      <c r="B9634" s="3" t="s">
        <v>8687</v>
      </c>
      <c r="C9634" s="5" t="s">
        <v>45</v>
      </c>
      <c r="D9634" s="3" t="s">
        <v>221</v>
      </c>
      <c r="E9634" s="3" t="s">
        <v>752</v>
      </c>
      <c r="F9634" s="7">
        <v>45935.04162281279</v>
      </c>
      <c r="G9634" s="3" t="s">
        <v>12956</v>
      </c>
    </row>
    <row r="9635">
      <c r="A9635" s="3" t="s">
        <v>24885</v>
      </c>
      <c r="B9635" s="3" t="s">
        <v>8687</v>
      </c>
      <c r="C9635" s="5" t="s">
        <v>221</v>
      </c>
      <c r="D9635" s="3" t="s">
        <v>614</v>
      </c>
      <c r="E9635" s="3" t="s">
        <v>118</v>
      </c>
      <c r="F9635" s="7">
        <v>45935.045095035006</v>
      </c>
      <c r="G9635" s="3" t="s">
        <v>12959</v>
      </c>
    </row>
    <row r="9636">
      <c r="A9636" s="3" t="s">
        <v>24886</v>
      </c>
      <c r="B9636" s="3" t="s">
        <v>8687</v>
      </c>
      <c r="C9636" s="5" t="s">
        <v>614</v>
      </c>
      <c r="D9636" s="3" t="s">
        <v>206</v>
      </c>
      <c r="E9636" s="3" t="s">
        <v>100</v>
      </c>
      <c r="F9636" s="7">
        <v>45935.04856725723</v>
      </c>
      <c r="G9636" s="3" t="s">
        <v>12962</v>
      </c>
    </row>
    <row r="9637">
      <c r="A9637" s="3" t="s">
        <v>24887</v>
      </c>
      <c r="B9637" s="3" t="s">
        <v>8687</v>
      </c>
      <c r="C9637" s="5" t="s">
        <v>206</v>
      </c>
      <c r="D9637" s="3" t="s">
        <v>68</v>
      </c>
      <c r="E9637" s="3" t="s">
        <v>100</v>
      </c>
      <c r="F9637" s="7">
        <v>45935.05203947945</v>
      </c>
      <c r="G9637" s="3" t="s">
        <v>12965</v>
      </c>
    </row>
    <row r="9638">
      <c r="A9638" s="3" t="s">
        <v>24888</v>
      </c>
      <c r="B9638" s="3" t="s">
        <v>8689</v>
      </c>
      <c r="C9638" s="5" t="s">
        <v>45</v>
      </c>
      <c r="D9638" s="3" t="s">
        <v>221</v>
      </c>
      <c r="E9638" s="3" t="s">
        <v>819</v>
      </c>
      <c r="F9638" s="7">
        <v>45935.1127976582</v>
      </c>
      <c r="G9638" s="3" t="s">
        <v>4539</v>
      </c>
    </row>
    <row r="9639">
      <c r="A9639" s="3" t="s">
        <v>24889</v>
      </c>
      <c r="B9639" s="3" t="s">
        <v>8689</v>
      </c>
      <c r="C9639" s="5" t="s">
        <v>221</v>
      </c>
      <c r="D9639" s="3" t="s">
        <v>614</v>
      </c>
      <c r="E9639" s="3" t="s">
        <v>118</v>
      </c>
      <c r="F9639" s="7">
        <v>45935.11626988042</v>
      </c>
      <c r="G9639" s="3" t="s">
        <v>4542</v>
      </c>
    </row>
    <row r="9640">
      <c r="A9640" s="3" t="s">
        <v>24890</v>
      </c>
      <c r="B9640" s="3" t="s">
        <v>8689</v>
      </c>
      <c r="C9640" s="5" t="s">
        <v>614</v>
      </c>
      <c r="D9640" s="3" t="s">
        <v>206</v>
      </c>
      <c r="E9640" s="3" t="s">
        <v>100</v>
      </c>
      <c r="F9640" s="7">
        <v>45935.119742102645</v>
      </c>
      <c r="G9640" s="3" t="s">
        <v>4545</v>
      </c>
    </row>
    <row r="9641">
      <c r="A9641" s="3" t="s">
        <v>24891</v>
      </c>
      <c r="B9641" s="3" t="s">
        <v>8689</v>
      </c>
      <c r="C9641" s="5" t="s">
        <v>206</v>
      </c>
      <c r="D9641" s="3" t="s">
        <v>68</v>
      </c>
      <c r="E9641" s="3" t="s">
        <v>100</v>
      </c>
      <c r="F9641" s="7">
        <v>45935.12321432486</v>
      </c>
      <c r="G9641" s="3" t="s">
        <v>4548</v>
      </c>
    </row>
    <row r="9642">
      <c r="A9642" s="3" t="s">
        <v>24892</v>
      </c>
      <c r="B9642" s="3" t="s">
        <v>8691</v>
      </c>
      <c r="C9642" s="5" t="s">
        <v>45</v>
      </c>
      <c r="D9642" s="3" t="s">
        <v>221</v>
      </c>
      <c r="E9642" s="3" t="s">
        <v>453</v>
      </c>
      <c r="F9642" s="7">
        <v>45935.18397250362</v>
      </c>
      <c r="G9642" s="3" t="s">
        <v>8187</v>
      </c>
    </row>
    <row r="9643">
      <c r="A9643" s="3" t="s">
        <v>24893</v>
      </c>
      <c r="B9643" s="3" t="s">
        <v>8691</v>
      </c>
      <c r="C9643" s="5" t="s">
        <v>221</v>
      </c>
      <c r="D9643" s="3" t="s">
        <v>614</v>
      </c>
      <c r="E9643" s="3" t="s">
        <v>118</v>
      </c>
      <c r="F9643" s="7">
        <v>45935.18744472584</v>
      </c>
      <c r="G9643" s="3" t="s">
        <v>8190</v>
      </c>
    </row>
    <row r="9644">
      <c r="A9644" s="3" t="s">
        <v>24894</v>
      </c>
      <c r="B9644" s="3" t="s">
        <v>8691</v>
      </c>
      <c r="C9644" s="5" t="s">
        <v>614</v>
      </c>
      <c r="D9644" s="3" t="s">
        <v>206</v>
      </c>
      <c r="E9644" s="3" t="s">
        <v>100</v>
      </c>
      <c r="F9644" s="7">
        <v>45935.190916948064</v>
      </c>
      <c r="G9644" s="3" t="s">
        <v>8193</v>
      </c>
    </row>
    <row r="9645">
      <c r="A9645" s="3" t="s">
        <v>24895</v>
      </c>
      <c r="B9645" s="3" t="s">
        <v>8691</v>
      </c>
      <c r="C9645" s="5" t="s">
        <v>206</v>
      </c>
      <c r="D9645" s="3" t="s">
        <v>68</v>
      </c>
      <c r="E9645" s="3" t="s">
        <v>100</v>
      </c>
      <c r="F9645" s="7">
        <v>45935.19438917028</v>
      </c>
      <c r="G9645" s="3" t="s">
        <v>8196</v>
      </c>
    </row>
    <row r="9646">
      <c r="A9646" s="3" t="s">
        <v>24896</v>
      </c>
      <c r="B9646" s="3" t="s">
        <v>8694</v>
      </c>
      <c r="C9646" s="5" t="s">
        <v>45</v>
      </c>
      <c r="D9646" s="3" t="s">
        <v>221</v>
      </c>
      <c r="E9646" s="3" t="s">
        <v>123</v>
      </c>
      <c r="F9646" s="7">
        <v>45935.25514734903</v>
      </c>
      <c r="G9646" s="3" t="s">
        <v>8217</v>
      </c>
    </row>
    <row r="9647">
      <c r="A9647" s="3" t="s">
        <v>24897</v>
      </c>
      <c r="B9647" s="3" t="s">
        <v>8694</v>
      </c>
      <c r="C9647" s="5" t="s">
        <v>221</v>
      </c>
      <c r="D9647" s="3" t="s">
        <v>614</v>
      </c>
      <c r="E9647" s="3" t="s">
        <v>118</v>
      </c>
      <c r="F9647" s="7">
        <v>45935.25861957125</v>
      </c>
      <c r="G9647" s="3" t="s">
        <v>8220</v>
      </c>
    </row>
    <row r="9648">
      <c r="A9648" s="3" t="s">
        <v>24898</v>
      </c>
      <c r="B9648" s="3" t="s">
        <v>8694</v>
      </c>
      <c r="C9648" s="5" t="s">
        <v>614</v>
      </c>
      <c r="D9648" s="3" t="s">
        <v>206</v>
      </c>
      <c r="E9648" s="3" t="s">
        <v>100</v>
      </c>
      <c r="F9648" s="7">
        <v>45935.26209179348</v>
      </c>
      <c r="G9648" s="3" t="s">
        <v>8223</v>
      </c>
    </row>
    <row r="9649">
      <c r="A9649" s="3" t="s">
        <v>24899</v>
      </c>
      <c r="B9649" s="3" t="s">
        <v>8694</v>
      </c>
      <c r="C9649" s="5" t="s">
        <v>206</v>
      </c>
      <c r="D9649" s="3" t="s">
        <v>68</v>
      </c>
      <c r="E9649" s="3" t="s">
        <v>100</v>
      </c>
      <c r="F9649" s="7">
        <v>45935.265564015695</v>
      </c>
      <c r="G9649" s="3" t="s">
        <v>8226</v>
      </c>
    </row>
    <row r="9650">
      <c r="A9650" s="3" t="s">
        <v>24900</v>
      </c>
      <c r="B9650" s="3" t="s">
        <v>8696</v>
      </c>
      <c r="C9650" s="5" t="s">
        <v>45</v>
      </c>
      <c r="D9650" s="3" t="s">
        <v>221</v>
      </c>
      <c r="E9650" s="3" t="s">
        <v>657</v>
      </c>
      <c r="F9650" s="7">
        <v>45935.32632219444</v>
      </c>
      <c r="G9650" s="3" t="s">
        <v>24901</v>
      </c>
    </row>
    <row r="9651">
      <c r="A9651" s="3" t="s">
        <v>24902</v>
      </c>
      <c r="B9651" s="3" t="s">
        <v>8696</v>
      </c>
      <c r="C9651" s="5" t="s">
        <v>221</v>
      </c>
      <c r="D9651" s="3" t="s">
        <v>181</v>
      </c>
      <c r="E9651" s="3" t="s">
        <v>118</v>
      </c>
      <c r="F9651" s="7">
        <v>45935.32979441666</v>
      </c>
      <c r="G9651" s="3" t="s">
        <v>24903</v>
      </c>
    </row>
    <row r="9652">
      <c r="A9652" s="3" t="s">
        <v>24904</v>
      </c>
      <c r="B9652" s="3" t="s">
        <v>8699</v>
      </c>
      <c r="C9652" s="5" t="s">
        <v>45</v>
      </c>
      <c r="D9652" s="3" t="s">
        <v>221</v>
      </c>
      <c r="E9652" s="3" t="s">
        <v>202</v>
      </c>
      <c r="F9652" s="7">
        <v>45935.39749703986</v>
      </c>
      <c r="G9652" s="3" t="s">
        <v>8292</v>
      </c>
    </row>
    <row r="9653">
      <c r="A9653" s="3" t="s">
        <v>24905</v>
      </c>
      <c r="B9653" s="3" t="s">
        <v>8699</v>
      </c>
      <c r="C9653" s="5" t="s">
        <v>221</v>
      </c>
      <c r="D9653" s="3" t="s">
        <v>614</v>
      </c>
      <c r="E9653" s="3" t="s">
        <v>118</v>
      </c>
      <c r="F9653" s="7">
        <v>45935.40096926208</v>
      </c>
      <c r="G9653" s="3" t="s">
        <v>8294</v>
      </c>
    </row>
    <row r="9654">
      <c r="A9654" s="3" t="s">
        <v>24906</v>
      </c>
      <c r="B9654" s="3" t="s">
        <v>8699</v>
      </c>
      <c r="C9654" s="5" t="s">
        <v>614</v>
      </c>
      <c r="D9654" s="3" t="s">
        <v>206</v>
      </c>
      <c r="E9654" s="3" t="s">
        <v>100</v>
      </c>
      <c r="F9654" s="7">
        <v>45935.40444148431</v>
      </c>
      <c r="G9654" s="3" t="s">
        <v>8297</v>
      </c>
    </row>
    <row r="9655">
      <c r="A9655" s="3" t="s">
        <v>24907</v>
      </c>
      <c r="B9655" s="3" t="s">
        <v>8699</v>
      </c>
      <c r="C9655" s="5" t="s">
        <v>206</v>
      </c>
      <c r="D9655" s="3" t="s">
        <v>68</v>
      </c>
      <c r="E9655" s="3" t="s">
        <v>100</v>
      </c>
      <c r="F9655" s="7">
        <v>45935.40791370653</v>
      </c>
      <c r="G9655" s="3" t="s">
        <v>8300</v>
      </c>
    </row>
    <row r="9656">
      <c r="A9656" s="3" t="s">
        <v>24908</v>
      </c>
      <c r="B9656" s="3" t="s">
        <v>8703</v>
      </c>
      <c r="C9656" s="5" t="s">
        <v>45</v>
      </c>
      <c r="D9656" s="3" t="s">
        <v>221</v>
      </c>
      <c r="E9656" s="3" t="s">
        <v>903</v>
      </c>
      <c r="F9656" s="7">
        <v>45935.468671885275</v>
      </c>
      <c r="G9656" s="3" t="s">
        <v>24909</v>
      </c>
    </row>
    <row r="9657">
      <c r="A9657" s="3" t="s">
        <v>24910</v>
      </c>
      <c r="B9657" s="3" t="s">
        <v>8703</v>
      </c>
      <c r="C9657" s="5" t="s">
        <v>221</v>
      </c>
      <c r="D9657" s="3" t="s">
        <v>195</v>
      </c>
      <c r="E9657" s="3" t="s">
        <v>903</v>
      </c>
      <c r="F9657" s="7">
        <v>45935.472144107494</v>
      </c>
      <c r="G9657" s="3" t="s">
        <v>24911</v>
      </c>
    </row>
    <row r="9658">
      <c r="A9658" s="3" t="s">
        <v>24912</v>
      </c>
      <c r="B9658" s="3" t="s">
        <v>8706</v>
      </c>
      <c r="C9658" s="5" t="s">
        <v>45</v>
      </c>
      <c r="D9658" s="3" t="s">
        <v>221</v>
      </c>
      <c r="E9658" s="3" t="s">
        <v>498</v>
      </c>
      <c r="F9658" s="7">
        <v>45935.53984673069</v>
      </c>
      <c r="G9658" s="3" t="s">
        <v>8368</v>
      </c>
    </row>
    <row r="9659">
      <c r="A9659" s="3" t="s">
        <v>24913</v>
      </c>
      <c r="B9659" s="3" t="s">
        <v>8706</v>
      </c>
      <c r="C9659" s="5" t="s">
        <v>221</v>
      </c>
      <c r="D9659" s="3" t="s">
        <v>614</v>
      </c>
      <c r="E9659" s="3" t="s">
        <v>118</v>
      </c>
      <c r="F9659" s="7">
        <v>45935.54331895291</v>
      </c>
      <c r="G9659" s="3" t="s">
        <v>8371</v>
      </c>
    </row>
    <row r="9660">
      <c r="A9660" s="3" t="s">
        <v>24914</v>
      </c>
      <c r="B9660" s="3" t="s">
        <v>8706</v>
      </c>
      <c r="C9660" s="5" t="s">
        <v>614</v>
      </c>
      <c r="D9660" s="3" t="s">
        <v>206</v>
      </c>
      <c r="E9660" s="3" t="s">
        <v>100</v>
      </c>
      <c r="F9660" s="7">
        <v>45935.54679117513</v>
      </c>
      <c r="G9660" s="3" t="s">
        <v>8374</v>
      </c>
    </row>
    <row r="9661">
      <c r="A9661" s="3" t="s">
        <v>24915</v>
      </c>
      <c r="B9661" s="3" t="s">
        <v>8706</v>
      </c>
      <c r="C9661" s="5" t="s">
        <v>206</v>
      </c>
      <c r="D9661" s="3" t="s">
        <v>68</v>
      </c>
      <c r="E9661" s="3" t="s">
        <v>100</v>
      </c>
      <c r="F9661" s="7">
        <v>45935.55026339735</v>
      </c>
      <c r="G9661" s="3" t="s">
        <v>8377</v>
      </c>
    </row>
    <row r="9662">
      <c r="A9662" s="3" t="s">
        <v>24916</v>
      </c>
      <c r="B9662" s="3" t="s">
        <v>8709</v>
      </c>
      <c r="C9662" s="5" t="s">
        <v>45</v>
      </c>
      <c r="D9662" s="3" t="s">
        <v>221</v>
      </c>
      <c r="E9662" s="3" t="s">
        <v>479</v>
      </c>
      <c r="F9662" s="7">
        <v>45935.61102157611</v>
      </c>
      <c r="G9662" s="3" t="s">
        <v>15970</v>
      </c>
    </row>
    <row r="9663">
      <c r="A9663" s="3" t="s">
        <v>24917</v>
      </c>
      <c r="B9663" s="3" t="s">
        <v>8709</v>
      </c>
      <c r="C9663" s="5" t="s">
        <v>221</v>
      </c>
      <c r="D9663" s="3" t="s">
        <v>614</v>
      </c>
      <c r="E9663" s="3" t="s">
        <v>118</v>
      </c>
      <c r="F9663" s="7">
        <v>45935.614493798326</v>
      </c>
      <c r="G9663" s="3" t="s">
        <v>17307</v>
      </c>
    </row>
    <row r="9664">
      <c r="A9664" s="3" t="s">
        <v>24918</v>
      </c>
      <c r="B9664" s="3" t="s">
        <v>8709</v>
      </c>
      <c r="C9664" s="5" t="s">
        <v>614</v>
      </c>
      <c r="D9664" s="3" t="s">
        <v>206</v>
      </c>
      <c r="E9664" s="3" t="s">
        <v>100</v>
      </c>
      <c r="F9664" s="7">
        <v>45935.61796602055</v>
      </c>
      <c r="G9664" s="3" t="s">
        <v>17310</v>
      </c>
    </row>
    <row r="9665">
      <c r="A9665" s="3" t="s">
        <v>24919</v>
      </c>
      <c r="B9665" s="3" t="s">
        <v>8709</v>
      </c>
      <c r="C9665" s="5" t="s">
        <v>206</v>
      </c>
      <c r="D9665" s="3" t="s">
        <v>68</v>
      </c>
      <c r="E9665" s="3" t="s">
        <v>100</v>
      </c>
      <c r="F9665" s="7">
        <v>45935.62143824277</v>
      </c>
      <c r="G9665" s="3" t="s">
        <v>17312</v>
      </c>
    </row>
    <row r="9666">
      <c r="A9666" s="3" t="s">
        <v>24920</v>
      </c>
      <c r="B9666" s="3" t="s">
        <v>8712</v>
      </c>
      <c r="C9666" s="5" t="s">
        <v>45</v>
      </c>
      <c r="D9666" s="3" t="s">
        <v>221</v>
      </c>
      <c r="E9666" s="3" t="s">
        <v>302</v>
      </c>
      <c r="F9666" s="7">
        <v>45935.68219642152</v>
      </c>
      <c r="G9666" s="3" t="s">
        <v>18347</v>
      </c>
    </row>
    <row r="9667">
      <c r="A9667" s="3" t="s">
        <v>24921</v>
      </c>
      <c r="B9667" s="3" t="s">
        <v>8712</v>
      </c>
      <c r="C9667" s="5" t="s">
        <v>221</v>
      </c>
      <c r="D9667" s="3" t="s">
        <v>181</v>
      </c>
      <c r="E9667" s="3" t="s">
        <v>118</v>
      </c>
      <c r="F9667" s="7">
        <v>45935.68566864374</v>
      </c>
      <c r="G9667" s="3" t="s">
        <v>24922</v>
      </c>
    </row>
    <row r="9668">
      <c r="A9668" s="3" t="s">
        <v>24923</v>
      </c>
      <c r="B9668" s="3" t="s">
        <v>8716</v>
      </c>
      <c r="C9668" s="5" t="s">
        <v>45</v>
      </c>
      <c r="D9668" s="3" t="s">
        <v>221</v>
      </c>
      <c r="E9668" s="3" t="s">
        <v>916</v>
      </c>
      <c r="F9668" s="7">
        <v>45935.75337126693</v>
      </c>
      <c r="G9668" s="3" t="s">
        <v>8391</v>
      </c>
    </row>
    <row r="9669">
      <c r="A9669" s="3" t="s">
        <v>24924</v>
      </c>
      <c r="B9669" s="3" t="s">
        <v>8716</v>
      </c>
      <c r="C9669" s="5" t="s">
        <v>221</v>
      </c>
      <c r="D9669" s="3" t="s">
        <v>614</v>
      </c>
      <c r="E9669" s="3" t="s">
        <v>118</v>
      </c>
      <c r="F9669" s="7">
        <v>45935.75684348915</v>
      </c>
      <c r="G9669" s="3" t="s">
        <v>8394</v>
      </c>
    </row>
    <row r="9670">
      <c r="A9670" s="3" t="s">
        <v>24925</v>
      </c>
      <c r="B9670" s="3" t="s">
        <v>8716</v>
      </c>
      <c r="C9670" s="5" t="s">
        <v>614</v>
      </c>
      <c r="D9670" s="3" t="s">
        <v>206</v>
      </c>
      <c r="E9670" s="3" t="s">
        <v>100</v>
      </c>
      <c r="F9670" s="7">
        <v>45935.76031571138</v>
      </c>
      <c r="G9670" s="3" t="s">
        <v>8396</v>
      </c>
    </row>
    <row r="9671">
      <c r="A9671" s="3" t="s">
        <v>24926</v>
      </c>
      <c r="B9671" s="3" t="s">
        <v>8716</v>
      </c>
      <c r="C9671" s="5" t="s">
        <v>206</v>
      </c>
      <c r="D9671" s="3" t="s">
        <v>68</v>
      </c>
      <c r="E9671" s="3" t="s">
        <v>100</v>
      </c>
      <c r="F9671" s="7">
        <v>45935.763787933596</v>
      </c>
      <c r="G9671" s="3" t="s">
        <v>8399</v>
      </c>
    </row>
    <row r="9672">
      <c r="A9672" s="3" t="s">
        <v>24927</v>
      </c>
      <c r="B9672" s="3" t="s">
        <v>8720</v>
      </c>
      <c r="C9672" s="5" t="s">
        <v>45</v>
      </c>
      <c r="D9672" s="3" t="s">
        <v>221</v>
      </c>
      <c r="E9672" s="3" t="s">
        <v>805</v>
      </c>
      <c r="F9672" s="7">
        <v>45935.82454611235</v>
      </c>
      <c r="G9672" s="3" t="s">
        <v>8402</v>
      </c>
    </row>
    <row r="9673">
      <c r="A9673" s="3" t="s">
        <v>24928</v>
      </c>
      <c r="B9673" s="3" t="s">
        <v>8720</v>
      </c>
      <c r="C9673" s="5" t="s">
        <v>221</v>
      </c>
      <c r="D9673" s="3" t="s">
        <v>614</v>
      </c>
      <c r="E9673" s="3" t="s">
        <v>118</v>
      </c>
      <c r="F9673" s="7">
        <v>45935.82801833457</v>
      </c>
      <c r="G9673" s="3" t="s">
        <v>8405</v>
      </c>
    </row>
    <row r="9674">
      <c r="A9674" s="3" t="s">
        <v>24929</v>
      </c>
      <c r="B9674" s="3" t="s">
        <v>8720</v>
      </c>
      <c r="C9674" s="5" t="s">
        <v>614</v>
      </c>
      <c r="D9674" s="3" t="s">
        <v>206</v>
      </c>
      <c r="E9674" s="3" t="s">
        <v>100</v>
      </c>
      <c r="F9674" s="7">
        <v>45935.8314905568</v>
      </c>
      <c r="G9674" s="3" t="s">
        <v>8408</v>
      </c>
    </row>
    <row r="9675">
      <c r="A9675" s="3" t="s">
        <v>24930</v>
      </c>
      <c r="B9675" s="3" t="s">
        <v>8720</v>
      </c>
      <c r="C9675" s="5" t="s">
        <v>206</v>
      </c>
      <c r="D9675" s="3" t="s">
        <v>68</v>
      </c>
      <c r="E9675" s="3" t="s">
        <v>100</v>
      </c>
      <c r="F9675" s="7">
        <v>45935.834962779016</v>
      </c>
      <c r="G9675" s="3" t="s">
        <v>8411</v>
      </c>
    </row>
    <row r="9676">
      <c r="A9676" s="3" t="s">
        <v>24931</v>
      </c>
      <c r="B9676" s="3" t="s">
        <v>8722</v>
      </c>
      <c r="C9676" s="5" t="s">
        <v>45</v>
      </c>
      <c r="D9676" s="3" t="s">
        <v>221</v>
      </c>
      <c r="E9676" s="3" t="s">
        <v>159</v>
      </c>
      <c r="F9676" s="7">
        <v>45935.89572095777</v>
      </c>
      <c r="G9676" s="3" t="s">
        <v>8901</v>
      </c>
    </row>
    <row r="9677">
      <c r="A9677" s="3" t="s">
        <v>24932</v>
      </c>
      <c r="B9677" s="3" t="s">
        <v>8722</v>
      </c>
      <c r="C9677" s="5" t="s">
        <v>221</v>
      </c>
      <c r="D9677" s="3" t="s">
        <v>614</v>
      </c>
      <c r="E9677" s="3" t="s">
        <v>118</v>
      </c>
      <c r="F9677" s="7">
        <v>45935.89919317999</v>
      </c>
      <c r="G9677" s="3" t="s">
        <v>8904</v>
      </c>
    </row>
    <row r="9678">
      <c r="A9678" s="3" t="s">
        <v>24933</v>
      </c>
      <c r="B9678" s="3" t="s">
        <v>8722</v>
      </c>
      <c r="C9678" s="5" t="s">
        <v>614</v>
      </c>
      <c r="D9678" s="3" t="s">
        <v>206</v>
      </c>
      <c r="E9678" s="3" t="s">
        <v>100</v>
      </c>
      <c r="F9678" s="7">
        <v>45935.90266540222</v>
      </c>
      <c r="G9678" s="3" t="s">
        <v>8907</v>
      </c>
    </row>
    <row r="9679">
      <c r="A9679" s="3" t="s">
        <v>24934</v>
      </c>
      <c r="B9679" s="3" t="s">
        <v>8722</v>
      </c>
      <c r="C9679" s="5" t="s">
        <v>206</v>
      </c>
      <c r="D9679" s="3" t="s">
        <v>68</v>
      </c>
      <c r="E9679" s="3" t="s">
        <v>100</v>
      </c>
      <c r="F9679" s="7">
        <v>45935.906137624435</v>
      </c>
      <c r="G9679" s="3" t="s">
        <v>8910</v>
      </c>
    </row>
    <row r="9680">
      <c r="A9680" s="3" t="s">
        <v>24935</v>
      </c>
      <c r="B9680" s="3" t="s">
        <v>8724</v>
      </c>
      <c r="C9680" s="5" t="s">
        <v>45</v>
      </c>
      <c r="D9680" s="3" t="s">
        <v>221</v>
      </c>
      <c r="E9680" s="3" t="s">
        <v>404</v>
      </c>
      <c r="F9680" s="7">
        <v>45935.966895803176</v>
      </c>
      <c r="G9680" s="3" t="s">
        <v>23421</v>
      </c>
    </row>
    <row r="9681">
      <c r="A9681" s="3" t="s">
        <v>24936</v>
      </c>
      <c r="B9681" s="3" t="s">
        <v>8724</v>
      </c>
      <c r="C9681" s="5" t="s">
        <v>221</v>
      </c>
      <c r="D9681" s="3" t="s">
        <v>614</v>
      </c>
      <c r="E9681" s="3" t="s">
        <v>118</v>
      </c>
      <c r="F9681" s="7">
        <v>45935.970368025395</v>
      </c>
      <c r="G9681" s="3" t="s">
        <v>24937</v>
      </c>
    </row>
    <row r="9682">
      <c r="A9682" s="3" t="s">
        <v>24938</v>
      </c>
      <c r="B9682" s="3" t="s">
        <v>8724</v>
      </c>
      <c r="C9682" s="5" t="s">
        <v>614</v>
      </c>
      <c r="D9682" s="3" t="s">
        <v>206</v>
      </c>
      <c r="E9682" s="3" t="s">
        <v>100</v>
      </c>
      <c r="F9682" s="7">
        <v>45935.97384024762</v>
      </c>
      <c r="G9682" s="3" t="s">
        <v>24939</v>
      </c>
    </row>
    <row r="9683">
      <c r="A9683" s="3" t="s">
        <v>24940</v>
      </c>
      <c r="B9683" s="3" t="s">
        <v>8724</v>
      </c>
      <c r="C9683" s="5" t="s">
        <v>206</v>
      </c>
      <c r="D9683" s="3" t="s">
        <v>68</v>
      </c>
      <c r="E9683" s="3" t="s">
        <v>100</v>
      </c>
      <c r="F9683" s="7">
        <v>45935.97731246984</v>
      </c>
      <c r="G9683" s="3" t="s">
        <v>24941</v>
      </c>
    </row>
    <row r="9684">
      <c r="A9684" s="3" t="s">
        <v>24942</v>
      </c>
      <c r="B9684" s="3" t="s">
        <v>8726</v>
      </c>
      <c r="C9684" s="5" t="s">
        <v>45</v>
      </c>
      <c r="D9684" s="3" t="s">
        <v>221</v>
      </c>
      <c r="E9684" s="3" t="s">
        <v>710</v>
      </c>
      <c r="F9684" s="7">
        <v>45936.038070648596</v>
      </c>
      <c r="G9684" s="3" t="s">
        <v>24943</v>
      </c>
    </row>
    <row r="9685">
      <c r="A9685" s="3" t="s">
        <v>24944</v>
      </c>
      <c r="B9685" s="3" t="s">
        <v>8726</v>
      </c>
      <c r="C9685" s="5" t="s">
        <v>221</v>
      </c>
      <c r="D9685" s="3" t="s">
        <v>614</v>
      </c>
      <c r="E9685" s="3" t="s">
        <v>118</v>
      </c>
      <c r="F9685" s="7">
        <v>45936.041542870815</v>
      </c>
      <c r="G9685" s="3" t="s">
        <v>24945</v>
      </c>
    </row>
    <row r="9686">
      <c r="A9686" s="3" t="s">
        <v>24946</v>
      </c>
      <c r="B9686" s="3" t="s">
        <v>8726</v>
      </c>
      <c r="C9686" s="5" t="s">
        <v>614</v>
      </c>
      <c r="D9686" s="3" t="s">
        <v>206</v>
      </c>
      <c r="E9686" s="3" t="s">
        <v>100</v>
      </c>
      <c r="F9686" s="7">
        <v>45936.04501509304</v>
      </c>
      <c r="G9686" s="3" t="s">
        <v>24947</v>
      </c>
    </row>
    <row r="9687">
      <c r="A9687" s="3" t="s">
        <v>24948</v>
      </c>
      <c r="B9687" s="3" t="s">
        <v>8726</v>
      </c>
      <c r="C9687" s="5" t="s">
        <v>206</v>
      </c>
      <c r="D9687" s="3" t="s">
        <v>68</v>
      </c>
      <c r="E9687" s="3" t="s">
        <v>100</v>
      </c>
      <c r="F9687" s="7">
        <v>45936.04848731526</v>
      </c>
      <c r="G9687" s="3" t="s">
        <v>24949</v>
      </c>
    </row>
    <row r="9688">
      <c r="A9688" s="3" t="s">
        <v>24950</v>
      </c>
      <c r="B9688" s="3" t="s">
        <v>8728</v>
      </c>
      <c r="C9688" s="5" t="s">
        <v>45</v>
      </c>
      <c r="D9688" s="3" t="s">
        <v>221</v>
      </c>
      <c r="E9688" s="3" t="s">
        <v>640</v>
      </c>
      <c r="F9688" s="7">
        <v>45936.109245494015</v>
      </c>
      <c r="G9688" s="3" t="s">
        <v>6637</v>
      </c>
    </row>
    <row r="9689">
      <c r="A9689" s="3" t="s">
        <v>24951</v>
      </c>
      <c r="B9689" s="3" t="s">
        <v>8728</v>
      </c>
      <c r="C9689" s="5" t="s">
        <v>221</v>
      </c>
      <c r="D9689" s="3" t="s">
        <v>614</v>
      </c>
      <c r="E9689" s="3" t="s">
        <v>118</v>
      </c>
      <c r="F9689" s="7">
        <v>45936.112717716234</v>
      </c>
      <c r="G9689" s="3" t="s">
        <v>6640</v>
      </c>
    </row>
    <row r="9690">
      <c r="A9690" s="3" t="s">
        <v>24952</v>
      </c>
      <c r="B9690" s="3" t="s">
        <v>8728</v>
      </c>
      <c r="C9690" s="5" t="s">
        <v>614</v>
      </c>
      <c r="D9690" s="3" t="s">
        <v>206</v>
      </c>
      <c r="E9690" s="3" t="s">
        <v>100</v>
      </c>
      <c r="F9690" s="7">
        <v>45936.11618993846</v>
      </c>
      <c r="G9690" s="3" t="s">
        <v>6642</v>
      </c>
    </row>
    <row r="9691">
      <c r="A9691" s="3" t="s">
        <v>24953</v>
      </c>
      <c r="B9691" s="3" t="s">
        <v>8728</v>
      </c>
      <c r="C9691" s="5" t="s">
        <v>206</v>
      </c>
      <c r="D9691" s="3" t="s">
        <v>68</v>
      </c>
      <c r="E9691" s="3" t="s">
        <v>100</v>
      </c>
      <c r="F9691" s="7">
        <v>45936.11966216068</v>
      </c>
      <c r="G9691" s="3" t="s">
        <v>6645</v>
      </c>
    </row>
    <row r="9692">
      <c r="A9692" s="3" t="s">
        <v>24954</v>
      </c>
      <c r="B9692" s="3" t="s">
        <v>8732</v>
      </c>
      <c r="C9692" s="5" t="s">
        <v>45</v>
      </c>
      <c r="D9692" s="3" t="s">
        <v>221</v>
      </c>
      <c r="E9692" s="3" t="s">
        <v>698</v>
      </c>
      <c r="F9692" s="7">
        <v>45936.18042033943</v>
      </c>
      <c r="G9692" s="3" t="s">
        <v>24356</v>
      </c>
    </row>
    <row r="9693">
      <c r="A9693" s="3" t="s">
        <v>24955</v>
      </c>
      <c r="B9693" s="3" t="s">
        <v>8732</v>
      </c>
      <c r="C9693" s="5" t="s">
        <v>221</v>
      </c>
      <c r="D9693" s="3" t="s">
        <v>614</v>
      </c>
      <c r="E9693" s="3" t="s">
        <v>118</v>
      </c>
      <c r="F9693" s="7">
        <v>45936.18389256165</v>
      </c>
      <c r="G9693" s="3" t="s">
        <v>24358</v>
      </c>
    </row>
    <row r="9694">
      <c r="A9694" s="3" t="s">
        <v>24956</v>
      </c>
      <c r="B9694" s="3" t="s">
        <v>8732</v>
      </c>
      <c r="C9694" s="5" t="s">
        <v>614</v>
      </c>
      <c r="D9694" s="3" t="s">
        <v>206</v>
      </c>
      <c r="E9694" s="3" t="s">
        <v>100</v>
      </c>
      <c r="F9694" s="7">
        <v>45936.18736478387</v>
      </c>
      <c r="G9694" s="3" t="s">
        <v>24360</v>
      </c>
    </row>
    <row r="9695">
      <c r="A9695" s="3" t="s">
        <v>24957</v>
      </c>
      <c r="B9695" s="3" t="s">
        <v>8732</v>
      </c>
      <c r="C9695" s="5" t="s">
        <v>206</v>
      </c>
      <c r="D9695" s="3" t="s">
        <v>68</v>
      </c>
      <c r="E9695" s="3" t="s">
        <v>100</v>
      </c>
      <c r="F9695" s="7">
        <v>45936.19083700609</v>
      </c>
      <c r="G9695" s="3" t="s">
        <v>24362</v>
      </c>
    </row>
    <row r="9696">
      <c r="A9696" s="3" t="s">
        <v>24958</v>
      </c>
      <c r="B9696" s="3" t="s">
        <v>8735</v>
      </c>
      <c r="C9696" s="5" t="s">
        <v>45</v>
      </c>
      <c r="D9696" s="3" t="s">
        <v>221</v>
      </c>
      <c r="E9696" s="3" t="s">
        <v>1037</v>
      </c>
      <c r="F9696" s="7">
        <v>45936.25159518484</v>
      </c>
      <c r="G9696" s="3" t="s">
        <v>6996</v>
      </c>
    </row>
    <row r="9697">
      <c r="A9697" s="3" t="s">
        <v>24959</v>
      </c>
      <c r="B9697" s="3" t="s">
        <v>8735</v>
      </c>
      <c r="C9697" s="5" t="s">
        <v>221</v>
      </c>
      <c r="D9697" s="3" t="s">
        <v>614</v>
      </c>
      <c r="E9697" s="3" t="s">
        <v>118</v>
      </c>
      <c r="F9697" s="7">
        <v>45936.25506740706</v>
      </c>
      <c r="G9697" s="3" t="s">
        <v>6999</v>
      </c>
    </row>
    <row r="9698">
      <c r="A9698" s="3" t="s">
        <v>24960</v>
      </c>
      <c r="B9698" s="3" t="s">
        <v>8735</v>
      </c>
      <c r="C9698" s="5" t="s">
        <v>614</v>
      </c>
      <c r="D9698" s="3" t="s">
        <v>206</v>
      </c>
      <c r="E9698" s="3" t="s">
        <v>100</v>
      </c>
      <c r="F9698" s="7">
        <v>45936.258539629285</v>
      </c>
      <c r="G9698" s="3" t="s">
        <v>7002</v>
      </c>
    </row>
    <row r="9699">
      <c r="A9699" s="3" t="s">
        <v>24961</v>
      </c>
      <c r="B9699" s="3" t="s">
        <v>8735</v>
      </c>
      <c r="C9699" s="5" t="s">
        <v>206</v>
      </c>
      <c r="D9699" s="3" t="s">
        <v>68</v>
      </c>
      <c r="E9699" s="3" t="s">
        <v>100</v>
      </c>
      <c r="F9699" s="7">
        <v>45936.262011851504</v>
      </c>
      <c r="G9699" s="3" t="s">
        <v>7005</v>
      </c>
    </row>
    <row r="9700">
      <c r="A9700" s="3" t="s">
        <v>24962</v>
      </c>
      <c r="B9700" s="3" t="s">
        <v>8738</v>
      </c>
      <c r="C9700" s="5" t="s">
        <v>45</v>
      </c>
      <c r="D9700" s="3" t="s">
        <v>221</v>
      </c>
      <c r="E9700" s="3" t="s">
        <v>598</v>
      </c>
      <c r="F9700" s="7">
        <v>45936.32277003026</v>
      </c>
      <c r="G9700" s="3" t="s">
        <v>5774</v>
      </c>
    </row>
    <row r="9701">
      <c r="A9701" s="3" t="s">
        <v>24963</v>
      </c>
      <c r="B9701" s="3" t="s">
        <v>8738</v>
      </c>
      <c r="C9701" s="5" t="s">
        <v>221</v>
      </c>
      <c r="D9701" s="3" t="s">
        <v>614</v>
      </c>
      <c r="E9701" s="3" t="s">
        <v>118</v>
      </c>
      <c r="F9701" s="7">
        <v>45936.32624225248</v>
      </c>
      <c r="G9701" s="3" t="s">
        <v>5777</v>
      </c>
    </row>
    <row r="9702">
      <c r="A9702" s="3" t="s">
        <v>24964</v>
      </c>
      <c r="B9702" s="3" t="s">
        <v>8738</v>
      </c>
      <c r="C9702" s="5" t="s">
        <v>614</v>
      </c>
      <c r="D9702" s="3" t="s">
        <v>206</v>
      </c>
      <c r="E9702" s="3" t="s">
        <v>100</v>
      </c>
      <c r="F9702" s="7">
        <v>45936.329714474705</v>
      </c>
      <c r="G9702" s="3" t="s">
        <v>5780</v>
      </c>
    </row>
    <row r="9703">
      <c r="A9703" s="3" t="s">
        <v>24965</v>
      </c>
      <c r="B9703" s="3" t="s">
        <v>8738</v>
      </c>
      <c r="C9703" s="5" t="s">
        <v>206</v>
      </c>
      <c r="D9703" s="3" t="s">
        <v>68</v>
      </c>
      <c r="E9703" s="3" t="s">
        <v>100</v>
      </c>
      <c r="F9703" s="7">
        <v>45936.333186696924</v>
      </c>
      <c r="G9703" s="3" t="s">
        <v>5783</v>
      </c>
    </row>
    <row r="9704">
      <c r="A9704" s="3" t="s">
        <v>24966</v>
      </c>
      <c r="B9704" s="3" t="s">
        <v>8742</v>
      </c>
      <c r="C9704" s="5" t="s">
        <v>45</v>
      </c>
      <c r="D9704" s="3" t="s">
        <v>221</v>
      </c>
      <c r="E9704" s="3" t="s">
        <v>1049</v>
      </c>
      <c r="F9704" s="7">
        <v>45936.39394487567</v>
      </c>
      <c r="G9704" s="3" t="s">
        <v>21207</v>
      </c>
    </row>
    <row r="9705">
      <c r="A9705" s="3" t="s">
        <v>24967</v>
      </c>
      <c r="B9705" s="3" t="s">
        <v>8742</v>
      </c>
      <c r="C9705" s="5" t="s">
        <v>221</v>
      </c>
      <c r="D9705" s="3" t="s">
        <v>614</v>
      </c>
      <c r="E9705" s="3" t="s">
        <v>118</v>
      </c>
      <c r="F9705" s="7">
        <v>45936.39741709789</v>
      </c>
      <c r="G9705" s="3" t="s">
        <v>21210</v>
      </c>
    </row>
    <row r="9706">
      <c r="A9706" s="3" t="s">
        <v>24968</v>
      </c>
      <c r="B9706" s="3" t="s">
        <v>8742</v>
      </c>
      <c r="C9706" s="5" t="s">
        <v>614</v>
      </c>
      <c r="D9706" s="3" t="s">
        <v>206</v>
      </c>
      <c r="E9706" s="3" t="s">
        <v>100</v>
      </c>
      <c r="F9706" s="7">
        <v>45936.40088932012</v>
      </c>
      <c r="G9706" s="3" t="s">
        <v>21213</v>
      </c>
    </row>
    <row r="9707">
      <c r="A9707" s="3" t="s">
        <v>24969</v>
      </c>
      <c r="B9707" s="3" t="s">
        <v>8742</v>
      </c>
      <c r="C9707" s="5" t="s">
        <v>206</v>
      </c>
      <c r="D9707" s="3" t="s">
        <v>68</v>
      </c>
      <c r="E9707" s="3" t="s">
        <v>100</v>
      </c>
      <c r="F9707" s="7">
        <v>45936.404361542336</v>
      </c>
      <c r="G9707" s="3" t="s">
        <v>21215</v>
      </c>
    </row>
    <row r="9708">
      <c r="A9708" s="3" t="s">
        <v>24970</v>
      </c>
      <c r="B9708" s="3" t="s">
        <v>8745</v>
      </c>
      <c r="C9708" s="5" t="s">
        <v>45</v>
      </c>
      <c r="D9708" s="3" t="s">
        <v>221</v>
      </c>
      <c r="E9708" s="3" t="s">
        <v>598</v>
      </c>
      <c r="F9708" s="7">
        <v>45936.465119721084</v>
      </c>
      <c r="G9708" s="3" t="s">
        <v>8414</v>
      </c>
    </row>
    <row r="9709">
      <c r="A9709" s="3" t="s">
        <v>24971</v>
      </c>
      <c r="B9709" s="3" t="s">
        <v>8745</v>
      </c>
      <c r="C9709" s="5" t="s">
        <v>221</v>
      </c>
      <c r="D9709" s="3" t="s">
        <v>614</v>
      </c>
      <c r="E9709" s="3" t="s">
        <v>118</v>
      </c>
      <c r="F9709" s="7">
        <v>45936.4685919433</v>
      </c>
      <c r="G9709" s="3" t="s">
        <v>8416</v>
      </c>
    </row>
    <row r="9710">
      <c r="A9710" s="3" t="s">
        <v>24972</v>
      </c>
      <c r="B9710" s="3" t="s">
        <v>8745</v>
      </c>
      <c r="C9710" s="5" t="s">
        <v>614</v>
      </c>
      <c r="D9710" s="3" t="s">
        <v>206</v>
      </c>
      <c r="E9710" s="3" t="s">
        <v>100</v>
      </c>
      <c r="F9710" s="7">
        <v>45936.47206416553</v>
      </c>
      <c r="G9710" s="3" t="s">
        <v>8419</v>
      </c>
    </row>
    <row r="9711">
      <c r="A9711" s="3" t="s">
        <v>24973</v>
      </c>
      <c r="B9711" s="3" t="s">
        <v>8745</v>
      </c>
      <c r="C9711" s="5" t="s">
        <v>206</v>
      </c>
      <c r="D9711" s="3" t="s">
        <v>68</v>
      </c>
      <c r="E9711" s="3" t="s">
        <v>100</v>
      </c>
      <c r="F9711" s="7">
        <v>45936.47553638775</v>
      </c>
      <c r="G9711" s="3" t="s">
        <v>8422</v>
      </c>
    </row>
    <row r="9712">
      <c r="A9712" s="3" t="s">
        <v>24974</v>
      </c>
      <c r="B9712" s="3" t="s">
        <v>8748</v>
      </c>
      <c r="C9712" s="5" t="s">
        <v>45</v>
      </c>
      <c r="D9712" s="3" t="s">
        <v>221</v>
      </c>
      <c r="E9712" s="3" t="s">
        <v>186</v>
      </c>
      <c r="F9712" s="7">
        <v>45936.536294566504</v>
      </c>
      <c r="G9712" s="3" t="s">
        <v>8424</v>
      </c>
    </row>
    <row r="9713">
      <c r="A9713" s="3" t="s">
        <v>24975</v>
      </c>
      <c r="B9713" s="3" t="s">
        <v>8748</v>
      </c>
      <c r="C9713" s="5" t="s">
        <v>221</v>
      </c>
      <c r="D9713" s="3" t="s">
        <v>614</v>
      </c>
      <c r="E9713" s="3" t="s">
        <v>118</v>
      </c>
      <c r="F9713" s="7">
        <v>45936.53976678872</v>
      </c>
      <c r="G9713" s="3" t="s">
        <v>8427</v>
      </c>
    </row>
    <row r="9714">
      <c r="A9714" s="3" t="s">
        <v>24976</v>
      </c>
      <c r="B9714" s="3" t="s">
        <v>8748</v>
      </c>
      <c r="C9714" s="5" t="s">
        <v>614</v>
      </c>
      <c r="D9714" s="3" t="s">
        <v>206</v>
      </c>
      <c r="E9714" s="3" t="s">
        <v>100</v>
      </c>
      <c r="F9714" s="7">
        <v>45936.54323901095</v>
      </c>
      <c r="G9714" s="3" t="s">
        <v>8430</v>
      </c>
    </row>
    <row r="9715">
      <c r="A9715" s="3" t="s">
        <v>24977</v>
      </c>
      <c r="B9715" s="3" t="s">
        <v>8748</v>
      </c>
      <c r="C9715" s="5" t="s">
        <v>206</v>
      </c>
      <c r="D9715" s="3" t="s">
        <v>68</v>
      </c>
      <c r="E9715" s="3" t="s">
        <v>100</v>
      </c>
      <c r="F9715" s="7">
        <v>45936.54671123317</v>
      </c>
      <c r="G9715" s="3" t="s">
        <v>8433</v>
      </c>
    </row>
    <row r="9716">
      <c r="A9716" s="3" t="s">
        <v>24978</v>
      </c>
      <c r="B9716" s="3" t="s">
        <v>8751</v>
      </c>
      <c r="C9716" s="5" t="s">
        <v>45</v>
      </c>
      <c r="D9716" s="3" t="s">
        <v>221</v>
      </c>
      <c r="E9716" s="3" t="s">
        <v>162</v>
      </c>
      <c r="F9716" s="7">
        <v>45936.60746941192</v>
      </c>
      <c r="G9716" s="3" t="s">
        <v>7659</v>
      </c>
    </row>
    <row r="9717">
      <c r="A9717" s="3" t="s">
        <v>24979</v>
      </c>
      <c r="B9717" s="3" t="s">
        <v>8751</v>
      </c>
      <c r="C9717" s="5" t="s">
        <v>221</v>
      </c>
      <c r="D9717" s="3" t="s">
        <v>614</v>
      </c>
      <c r="E9717" s="3" t="s">
        <v>118</v>
      </c>
      <c r="F9717" s="7">
        <v>45936.61094163414</v>
      </c>
      <c r="G9717" s="3" t="s">
        <v>7662</v>
      </c>
    </row>
    <row r="9718">
      <c r="A9718" s="3" t="s">
        <v>24980</v>
      </c>
      <c r="B9718" s="3" t="s">
        <v>8751</v>
      </c>
      <c r="C9718" s="5" t="s">
        <v>614</v>
      </c>
      <c r="D9718" s="3" t="s">
        <v>206</v>
      </c>
      <c r="E9718" s="3" t="s">
        <v>100</v>
      </c>
      <c r="F9718" s="7">
        <v>45936.61441385637</v>
      </c>
      <c r="G9718" s="3" t="s">
        <v>7664</v>
      </c>
    </row>
    <row r="9719">
      <c r="A9719" s="3" t="s">
        <v>24981</v>
      </c>
      <c r="B9719" s="3" t="s">
        <v>8751</v>
      </c>
      <c r="C9719" s="5" t="s">
        <v>206</v>
      </c>
      <c r="D9719" s="3" t="s">
        <v>68</v>
      </c>
      <c r="E9719" s="3" t="s">
        <v>100</v>
      </c>
      <c r="F9719" s="7">
        <v>45936.61788607859</v>
      </c>
      <c r="G9719" s="3" t="s">
        <v>7667</v>
      </c>
    </row>
    <row r="9720">
      <c r="A9720" s="3" t="s">
        <v>24982</v>
      </c>
      <c r="B9720" s="3" t="s">
        <v>8755</v>
      </c>
      <c r="C9720" s="5" t="s">
        <v>45</v>
      </c>
      <c r="D9720" s="3" t="s">
        <v>221</v>
      </c>
      <c r="E9720" s="3" t="s">
        <v>230</v>
      </c>
      <c r="F9720" s="7">
        <v>45936.67864425733</v>
      </c>
      <c r="G9720" s="3" t="s">
        <v>15734</v>
      </c>
    </row>
    <row r="9721">
      <c r="A9721" s="3" t="s">
        <v>24983</v>
      </c>
      <c r="B9721" s="3" t="s">
        <v>8755</v>
      </c>
      <c r="C9721" s="5" t="s">
        <v>221</v>
      </c>
      <c r="D9721" s="3" t="s">
        <v>614</v>
      </c>
      <c r="E9721" s="3" t="s">
        <v>118</v>
      </c>
      <c r="F9721" s="7">
        <v>45936.68211647955</v>
      </c>
      <c r="G9721" s="3" t="s">
        <v>15737</v>
      </c>
    </row>
    <row r="9722">
      <c r="A9722" s="3" t="s">
        <v>24984</v>
      </c>
      <c r="B9722" s="3" t="s">
        <v>8755</v>
      </c>
      <c r="C9722" s="5" t="s">
        <v>614</v>
      </c>
      <c r="D9722" s="3" t="s">
        <v>206</v>
      </c>
      <c r="E9722" s="3" t="s">
        <v>100</v>
      </c>
      <c r="F9722" s="7">
        <v>45936.685588701774</v>
      </c>
      <c r="G9722" s="3" t="s">
        <v>15740</v>
      </c>
    </row>
    <row r="9723">
      <c r="A9723" s="3" t="s">
        <v>24985</v>
      </c>
      <c r="B9723" s="3" t="s">
        <v>8755</v>
      </c>
      <c r="C9723" s="5" t="s">
        <v>206</v>
      </c>
      <c r="D9723" s="3" t="s">
        <v>68</v>
      </c>
      <c r="E9723" s="3" t="s">
        <v>100</v>
      </c>
      <c r="F9723" s="7">
        <v>45936.68906092399</v>
      </c>
      <c r="G9723" s="3" t="s">
        <v>15743</v>
      </c>
    </row>
    <row r="9724">
      <c r="A9724" s="3" t="s">
        <v>24986</v>
      </c>
      <c r="B9724" s="3" t="s">
        <v>8759</v>
      </c>
      <c r="C9724" s="5" t="s">
        <v>45</v>
      </c>
      <c r="D9724" s="3" t="s">
        <v>221</v>
      </c>
      <c r="E9724" s="3" t="s">
        <v>640</v>
      </c>
      <c r="F9724" s="7">
        <v>45936.74981910275</v>
      </c>
      <c r="G9724" s="3" t="s">
        <v>8436</v>
      </c>
    </row>
    <row r="9725">
      <c r="A9725" s="3" t="s">
        <v>24987</v>
      </c>
      <c r="B9725" s="3" t="s">
        <v>8759</v>
      </c>
      <c r="C9725" s="5" t="s">
        <v>221</v>
      </c>
      <c r="D9725" s="3" t="s">
        <v>614</v>
      </c>
      <c r="E9725" s="3" t="s">
        <v>118</v>
      </c>
      <c r="F9725" s="7">
        <v>45936.75329132497</v>
      </c>
      <c r="G9725" s="3" t="s">
        <v>8439</v>
      </c>
    </row>
    <row r="9726">
      <c r="A9726" s="3" t="s">
        <v>24988</v>
      </c>
      <c r="B9726" s="3" t="s">
        <v>8759</v>
      </c>
      <c r="C9726" s="5" t="s">
        <v>614</v>
      </c>
      <c r="D9726" s="3" t="s">
        <v>206</v>
      </c>
      <c r="E9726" s="3" t="s">
        <v>100</v>
      </c>
      <c r="F9726" s="7">
        <v>45936.75676354719</v>
      </c>
      <c r="G9726" s="3" t="s">
        <v>8442</v>
      </c>
    </row>
    <row r="9727">
      <c r="A9727" s="3" t="s">
        <v>24989</v>
      </c>
      <c r="B9727" s="3" t="s">
        <v>8759</v>
      </c>
      <c r="C9727" s="5" t="s">
        <v>206</v>
      </c>
      <c r="D9727" s="3" t="s">
        <v>68</v>
      </c>
      <c r="E9727" s="3" t="s">
        <v>100</v>
      </c>
      <c r="F9727" s="7">
        <v>45936.76023576941</v>
      </c>
      <c r="G9727" s="3" t="s">
        <v>8444</v>
      </c>
    </row>
    <row r="9728">
      <c r="A9728" s="3" t="s">
        <v>24990</v>
      </c>
      <c r="B9728" s="3" t="s">
        <v>8762</v>
      </c>
      <c r="C9728" s="5" t="s">
        <v>45</v>
      </c>
      <c r="D9728" s="3" t="s">
        <v>221</v>
      </c>
      <c r="E9728" s="3" t="s">
        <v>356</v>
      </c>
      <c r="F9728" s="7">
        <v>45936.82099394816</v>
      </c>
      <c r="G9728" s="3" t="s">
        <v>15629</v>
      </c>
    </row>
    <row r="9729">
      <c r="A9729" s="3" t="s">
        <v>24991</v>
      </c>
      <c r="B9729" s="3" t="s">
        <v>8762</v>
      </c>
      <c r="C9729" s="5" t="s">
        <v>221</v>
      </c>
      <c r="D9729" s="3" t="s">
        <v>181</v>
      </c>
      <c r="E9729" s="3" t="s">
        <v>118</v>
      </c>
      <c r="F9729" s="7">
        <v>45936.82446617038</v>
      </c>
      <c r="G9729" s="3" t="s">
        <v>18528</v>
      </c>
    </row>
    <row r="9730">
      <c r="A9730" s="3" t="s">
        <v>24992</v>
      </c>
      <c r="B9730" s="3" t="s">
        <v>8765</v>
      </c>
      <c r="C9730" s="5" t="s">
        <v>45</v>
      </c>
      <c r="D9730" s="3" t="s">
        <v>221</v>
      </c>
      <c r="E9730" s="3" t="s">
        <v>980</v>
      </c>
      <c r="F9730" s="7">
        <v>45936.89216879358</v>
      </c>
      <c r="G9730" s="3" t="s">
        <v>24380</v>
      </c>
    </row>
    <row r="9731">
      <c r="A9731" s="3" t="s">
        <v>24993</v>
      </c>
      <c r="B9731" s="3" t="s">
        <v>8765</v>
      </c>
      <c r="C9731" s="5" t="s">
        <v>221</v>
      </c>
      <c r="D9731" s="3" t="s">
        <v>614</v>
      </c>
      <c r="E9731" s="3" t="s">
        <v>118</v>
      </c>
      <c r="F9731" s="7">
        <v>45936.8956410158</v>
      </c>
      <c r="G9731" s="3" t="s">
        <v>24382</v>
      </c>
    </row>
    <row r="9732">
      <c r="A9732" s="3" t="s">
        <v>24994</v>
      </c>
      <c r="B9732" s="3" t="s">
        <v>8765</v>
      </c>
      <c r="C9732" s="5" t="s">
        <v>614</v>
      </c>
      <c r="D9732" s="3" t="s">
        <v>206</v>
      </c>
      <c r="E9732" s="3" t="s">
        <v>100</v>
      </c>
      <c r="F9732" s="7">
        <v>45936.899113238025</v>
      </c>
      <c r="G9732" s="3" t="s">
        <v>24384</v>
      </c>
    </row>
    <row r="9733">
      <c r="A9733" s="3" t="s">
        <v>24995</v>
      </c>
      <c r="B9733" s="3" t="s">
        <v>8765</v>
      </c>
      <c r="C9733" s="5" t="s">
        <v>206</v>
      </c>
      <c r="D9733" s="3" t="s">
        <v>68</v>
      </c>
      <c r="E9733" s="3" t="s">
        <v>100</v>
      </c>
      <c r="F9733" s="7">
        <v>45936.902585460244</v>
      </c>
      <c r="G9733" s="3" t="s">
        <v>24386</v>
      </c>
    </row>
    <row r="9734">
      <c r="A9734" s="3" t="s">
        <v>24996</v>
      </c>
      <c r="B9734" s="3" t="s">
        <v>8768</v>
      </c>
      <c r="C9734" s="5" t="s">
        <v>45</v>
      </c>
      <c r="D9734" s="3" t="s">
        <v>221</v>
      </c>
      <c r="E9734" s="3" t="s">
        <v>455</v>
      </c>
      <c r="F9734" s="7">
        <v>45936.96334363899</v>
      </c>
      <c r="G9734" s="3" t="s">
        <v>11235</v>
      </c>
    </row>
    <row r="9735">
      <c r="A9735" s="3" t="s">
        <v>24997</v>
      </c>
      <c r="B9735" s="3" t="s">
        <v>8768</v>
      </c>
      <c r="C9735" s="5" t="s">
        <v>221</v>
      </c>
      <c r="D9735" s="3" t="s">
        <v>614</v>
      </c>
      <c r="E9735" s="3" t="s">
        <v>118</v>
      </c>
      <c r="F9735" s="7">
        <v>45936.96681586121</v>
      </c>
      <c r="G9735" s="3" t="s">
        <v>11238</v>
      </c>
    </row>
    <row r="9736">
      <c r="A9736" s="3" t="s">
        <v>24998</v>
      </c>
      <c r="B9736" s="3" t="s">
        <v>8768</v>
      </c>
      <c r="C9736" s="5" t="s">
        <v>614</v>
      </c>
      <c r="D9736" s="3" t="s">
        <v>206</v>
      </c>
      <c r="E9736" s="3" t="s">
        <v>100</v>
      </c>
      <c r="F9736" s="7">
        <v>45936.97028808344</v>
      </c>
      <c r="G9736" s="3" t="s">
        <v>11241</v>
      </c>
    </row>
    <row r="9737">
      <c r="A9737" s="3" t="s">
        <v>24999</v>
      </c>
      <c r="B9737" s="3" t="s">
        <v>8768</v>
      </c>
      <c r="C9737" s="5" t="s">
        <v>206</v>
      </c>
      <c r="D9737" s="3" t="s">
        <v>68</v>
      </c>
      <c r="E9737" s="3" t="s">
        <v>100</v>
      </c>
      <c r="F9737" s="7">
        <v>45936.97376030566</v>
      </c>
      <c r="G9737" s="3" t="s">
        <v>11244</v>
      </c>
    </row>
    <row r="9738">
      <c r="A9738" s="3" t="s">
        <v>25000</v>
      </c>
      <c r="B9738" s="3" t="s">
        <v>8771</v>
      </c>
      <c r="C9738" s="5" t="s">
        <v>45</v>
      </c>
      <c r="D9738" s="3" t="s">
        <v>221</v>
      </c>
      <c r="E9738" s="3" t="s">
        <v>937</v>
      </c>
      <c r="F9738" s="7">
        <v>45937.03451848441</v>
      </c>
      <c r="G9738" s="3" t="s">
        <v>6667</v>
      </c>
    </row>
    <row r="9739">
      <c r="A9739" s="3" t="s">
        <v>25001</v>
      </c>
      <c r="B9739" s="3" t="s">
        <v>8771</v>
      </c>
      <c r="C9739" s="5" t="s">
        <v>221</v>
      </c>
      <c r="D9739" s="3" t="s">
        <v>181</v>
      </c>
      <c r="E9739" s="3" t="s">
        <v>118</v>
      </c>
      <c r="F9739" s="7">
        <v>45937.03799070663</v>
      </c>
      <c r="G9739" s="3" t="s">
        <v>25002</v>
      </c>
    </row>
    <row r="9740">
      <c r="A9740" s="3" t="s">
        <v>25003</v>
      </c>
      <c r="B9740" s="3" t="s">
        <v>8774</v>
      </c>
      <c r="C9740" s="5" t="s">
        <v>45</v>
      </c>
      <c r="D9740" s="3" t="s">
        <v>221</v>
      </c>
      <c r="E9740" s="3" t="s">
        <v>579</v>
      </c>
      <c r="F9740" s="7">
        <v>45937.10569332982</v>
      </c>
      <c r="G9740" s="3" t="s">
        <v>4031</v>
      </c>
    </row>
    <row r="9741">
      <c r="A9741" s="3" t="s">
        <v>25004</v>
      </c>
      <c r="B9741" s="3" t="s">
        <v>8774</v>
      </c>
      <c r="C9741" s="5" t="s">
        <v>221</v>
      </c>
      <c r="D9741" s="3" t="s">
        <v>614</v>
      </c>
      <c r="E9741" s="3" t="s">
        <v>118</v>
      </c>
      <c r="F9741" s="7">
        <v>45937.109165552036</v>
      </c>
      <c r="G9741" s="3" t="s">
        <v>4034</v>
      </c>
    </row>
    <row r="9742">
      <c r="A9742" s="3" t="s">
        <v>25005</v>
      </c>
      <c r="B9742" s="3" t="s">
        <v>8774</v>
      </c>
      <c r="C9742" s="5" t="s">
        <v>614</v>
      </c>
      <c r="D9742" s="3" t="s">
        <v>206</v>
      </c>
      <c r="E9742" s="3" t="s">
        <v>100</v>
      </c>
      <c r="F9742" s="7">
        <v>45937.11263777426</v>
      </c>
      <c r="G9742" s="3" t="s">
        <v>4037</v>
      </c>
    </row>
    <row r="9743">
      <c r="A9743" s="3" t="s">
        <v>25006</v>
      </c>
      <c r="B9743" s="3" t="s">
        <v>8774</v>
      </c>
      <c r="C9743" s="5" t="s">
        <v>206</v>
      </c>
      <c r="D9743" s="3" t="s">
        <v>68</v>
      </c>
      <c r="E9743" s="3" t="s">
        <v>100</v>
      </c>
      <c r="F9743" s="7">
        <v>45937.11610999648</v>
      </c>
      <c r="G9743" s="3" t="s">
        <v>4040</v>
      </c>
    </row>
    <row r="9744">
      <c r="A9744" s="3" t="s">
        <v>25007</v>
      </c>
      <c r="B9744" s="3" t="s">
        <v>8777</v>
      </c>
      <c r="C9744" s="5" t="s">
        <v>45</v>
      </c>
      <c r="D9744" s="3" t="s">
        <v>221</v>
      </c>
      <c r="E9744" s="3" t="s">
        <v>313</v>
      </c>
      <c r="F9744" s="7">
        <v>45937.17686817524</v>
      </c>
      <c r="G9744" s="3" t="s">
        <v>8447</v>
      </c>
    </row>
    <row r="9745">
      <c r="A9745" s="3" t="s">
        <v>25008</v>
      </c>
      <c r="B9745" s="3" t="s">
        <v>8777</v>
      </c>
      <c r="C9745" s="5" t="s">
        <v>221</v>
      </c>
      <c r="D9745" s="3" t="s">
        <v>614</v>
      </c>
      <c r="E9745" s="3" t="s">
        <v>118</v>
      </c>
      <c r="F9745" s="7">
        <v>45937.180340397455</v>
      </c>
      <c r="G9745" s="3" t="s">
        <v>8450</v>
      </c>
    </row>
    <row r="9746">
      <c r="A9746" s="3" t="s">
        <v>25009</v>
      </c>
      <c r="B9746" s="3" t="s">
        <v>8777</v>
      </c>
      <c r="C9746" s="5" t="s">
        <v>614</v>
      </c>
      <c r="D9746" s="3" t="s">
        <v>206</v>
      </c>
      <c r="E9746" s="3" t="s">
        <v>100</v>
      </c>
      <c r="F9746" s="7">
        <v>45937.18381261968</v>
      </c>
      <c r="G9746" s="3" t="s">
        <v>8453</v>
      </c>
    </row>
    <row r="9747">
      <c r="A9747" s="3" t="s">
        <v>25010</v>
      </c>
      <c r="B9747" s="3" t="s">
        <v>8777</v>
      </c>
      <c r="C9747" s="5" t="s">
        <v>206</v>
      </c>
      <c r="D9747" s="3" t="s">
        <v>68</v>
      </c>
      <c r="E9747" s="3" t="s">
        <v>100</v>
      </c>
      <c r="F9747" s="7">
        <v>45937.1872848419</v>
      </c>
      <c r="G9747" s="3" t="s">
        <v>8456</v>
      </c>
    </row>
    <row r="9748">
      <c r="A9748" s="3" t="s">
        <v>25011</v>
      </c>
      <c r="B9748" s="3" t="s">
        <v>8781</v>
      </c>
      <c r="C9748" s="5" t="s">
        <v>45</v>
      </c>
      <c r="D9748" s="3" t="s">
        <v>221</v>
      </c>
      <c r="E9748" s="3" t="s">
        <v>631</v>
      </c>
      <c r="F9748" s="7">
        <v>45937.248043020656</v>
      </c>
      <c r="G9748" s="3" t="s">
        <v>4574</v>
      </c>
    </row>
    <row r="9749">
      <c r="A9749" s="3" t="s">
        <v>25012</v>
      </c>
      <c r="B9749" s="3" t="s">
        <v>8781</v>
      </c>
      <c r="C9749" s="5" t="s">
        <v>221</v>
      </c>
      <c r="D9749" s="3" t="s">
        <v>614</v>
      </c>
      <c r="E9749" s="3" t="s">
        <v>118</v>
      </c>
      <c r="F9749" s="7">
        <v>45937.251515242875</v>
      </c>
      <c r="G9749" s="3" t="s">
        <v>4576</v>
      </c>
    </row>
    <row r="9750">
      <c r="A9750" s="3" t="s">
        <v>25013</v>
      </c>
      <c r="B9750" s="3" t="s">
        <v>8781</v>
      </c>
      <c r="C9750" s="5" t="s">
        <v>614</v>
      </c>
      <c r="D9750" s="3" t="s">
        <v>206</v>
      </c>
      <c r="E9750" s="3" t="s">
        <v>100</v>
      </c>
      <c r="F9750" s="7">
        <v>45937.2549874651</v>
      </c>
      <c r="G9750" s="3" t="s">
        <v>4579</v>
      </c>
    </row>
    <row r="9751">
      <c r="A9751" s="3" t="s">
        <v>25014</v>
      </c>
      <c r="B9751" s="3" t="s">
        <v>8781</v>
      </c>
      <c r="C9751" s="5" t="s">
        <v>206</v>
      </c>
      <c r="D9751" s="3" t="s">
        <v>68</v>
      </c>
      <c r="E9751" s="3" t="s">
        <v>100</v>
      </c>
      <c r="F9751" s="7">
        <v>45937.25845968732</v>
      </c>
      <c r="G9751" s="3" t="s">
        <v>4582</v>
      </c>
    </row>
    <row r="9752">
      <c r="A9752" s="3" t="s">
        <v>25015</v>
      </c>
      <c r="B9752" s="3" t="s">
        <v>8785</v>
      </c>
      <c r="C9752" s="5" t="s">
        <v>45</v>
      </c>
      <c r="D9752" s="3" t="s">
        <v>221</v>
      </c>
      <c r="E9752" s="3" t="s">
        <v>523</v>
      </c>
      <c r="F9752" s="7">
        <v>45937.31921786607</v>
      </c>
      <c r="G9752" s="3" t="s">
        <v>25016</v>
      </c>
    </row>
    <row r="9753">
      <c r="A9753" s="3" t="s">
        <v>25017</v>
      </c>
      <c r="B9753" s="3" t="s">
        <v>8785</v>
      </c>
      <c r="C9753" s="5" t="s">
        <v>221</v>
      </c>
      <c r="D9753" s="3" t="s">
        <v>181</v>
      </c>
      <c r="E9753" s="3" t="s">
        <v>118</v>
      </c>
      <c r="F9753" s="7">
        <v>45937.32269008829</v>
      </c>
      <c r="G9753" s="3" t="s">
        <v>25018</v>
      </c>
    </row>
    <row r="9754">
      <c r="A9754" s="3" t="s">
        <v>25019</v>
      </c>
      <c r="B9754" s="3" t="s">
        <v>8787</v>
      </c>
      <c r="C9754" s="5" t="s">
        <v>45</v>
      </c>
      <c r="D9754" s="3" t="s">
        <v>221</v>
      </c>
      <c r="E9754" s="3" t="s">
        <v>569</v>
      </c>
      <c r="F9754" s="7">
        <v>45937.39039271148</v>
      </c>
      <c r="G9754" s="3" t="s">
        <v>8478</v>
      </c>
    </row>
    <row r="9755">
      <c r="A9755" s="3" t="s">
        <v>25020</v>
      </c>
      <c r="B9755" s="3" t="s">
        <v>8787</v>
      </c>
      <c r="C9755" s="5" t="s">
        <v>221</v>
      </c>
      <c r="D9755" s="3" t="s">
        <v>614</v>
      </c>
      <c r="E9755" s="3" t="s">
        <v>118</v>
      </c>
      <c r="F9755" s="7">
        <v>45937.3938649337</v>
      </c>
      <c r="G9755" s="3" t="s">
        <v>8481</v>
      </c>
    </row>
    <row r="9756">
      <c r="A9756" s="3" t="s">
        <v>25021</v>
      </c>
      <c r="B9756" s="3" t="s">
        <v>8787</v>
      </c>
      <c r="C9756" s="5" t="s">
        <v>614</v>
      </c>
      <c r="D9756" s="3" t="s">
        <v>206</v>
      </c>
      <c r="E9756" s="3" t="s">
        <v>100</v>
      </c>
      <c r="F9756" s="7">
        <v>45937.397337155926</v>
      </c>
      <c r="G9756" s="3" t="s">
        <v>8484</v>
      </c>
    </row>
    <row r="9757">
      <c r="A9757" s="3" t="s">
        <v>25022</v>
      </c>
      <c r="B9757" s="3" t="s">
        <v>8787</v>
      </c>
      <c r="C9757" s="5" t="s">
        <v>206</v>
      </c>
      <c r="D9757" s="3" t="s">
        <v>68</v>
      </c>
      <c r="E9757" s="3" t="s">
        <v>100</v>
      </c>
      <c r="F9757" s="7">
        <v>45937.400809378145</v>
      </c>
      <c r="G9757" s="3" t="s">
        <v>8487</v>
      </c>
    </row>
    <row r="9758">
      <c r="A9758" s="3" t="s">
        <v>25023</v>
      </c>
      <c r="B9758" s="3" t="s">
        <v>8789</v>
      </c>
      <c r="C9758" s="5" t="s">
        <v>45</v>
      </c>
      <c r="D9758" s="3" t="s">
        <v>221</v>
      </c>
      <c r="E9758" s="3" t="s">
        <v>380</v>
      </c>
      <c r="F9758" s="7">
        <v>45937.4615675569</v>
      </c>
      <c r="G9758" s="3" t="s">
        <v>8912</v>
      </c>
    </row>
    <row r="9759">
      <c r="A9759" s="3" t="s">
        <v>25024</v>
      </c>
      <c r="B9759" s="3" t="s">
        <v>8789</v>
      </c>
      <c r="C9759" s="5" t="s">
        <v>221</v>
      </c>
      <c r="D9759" s="3" t="s">
        <v>614</v>
      </c>
      <c r="E9759" s="3" t="s">
        <v>118</v>
      </c>
      <c r="F9759" s="7">
        <v>45937.46503977912</v>
      </c>
      <c r="G9759" s="3" t="s">
        <v>8915</v>
      </c>
    </row>
    <row r="9760">
      <c r="A9760" s="3" t="s">
        <v>25025</v>
      </c>
      <c r="B9760" s="3" t="s">
        <v>8789</v>
      </c>
      <c r="C9760" s="5" t="s">
        <v>614</v>
      </c>
      <c r="D9760" s="3" t="s">
        <v>206</v>
      </c>
      <c r="E9760" s="3" t="s">
        <v>100</v>
      </c>
      <c r="F9760" s="7">
        <v>45937.468512001346</v>
      </c>
      <c r="G9760" s="3" t="s">
        <v>8918</v>
      </c>
    </row>
    <row r="9761">
      <c r="A9761" s="3" t="s">
        <v>25026</v>
      </c>
      <c r="B9761" s="3" t="s">
        <v>8789</v>
      </c>
      <c r="C9761" s="5" t="s">
        <v>206</v>
      </c>
      <c r="D9761" s="3" t="s">
        <v>68</v>
      </c>
      <c r="E9761" s="3" t="s">
        <v>100</v>
      </c>
      <c r="F9761" s="7">
        <v>45937.471984223565</v>
      </c>
      <c r="G9761" s="3" t="s">
        <v>8921</v>
      </c>
    </row>
    <row r="9762">
      <c r="A9762" s="3" t="s">
        <v>25027</v>
      </c>
      <c r="B9762" s="3" t="s">
        <v>8791</v>
      </c>
      <c r="C9762" s="5" t="s">
        <v>45</v>
      </c>
      <c r="D9762" s="3" t="s">
        <v>221</v>
      </c>
      <c r="E9762" s="3" t="s">
        <v>632</v>
      </c>
      <c r="F9762" s="7">
        <v>45937.53274240231</v>
      </c>
      <c r="G9762" s="3" t="s">
        <v>8489</v>
      </c>
    </row>
    <row r="9763">
      <c r="A9763" s="3" t="s">
        <v>25028</v>
      </c>
      <c r="B9763" s="3" t="s">
        <v>8791</v>
      </c>
      <c r="C9763" s="5" t="s">
        <v>221</v>
      </c>
      <c r="D9763" s="3" t="s">
        <v>614</v>
      </c>
      <c r="E9763" s="3" t="s">
        <v>118</v>
      </c>
      <c r="F9763" s="7">
        <v>45937.53621462453</v>
      </c>
      <c r="G9763" s="3" t="s">
        <v>8492</v>
      </c>
    </row>
    <row r="9764">
      <c r="A9764" s="3" t="s">
        <v>25029</v>
      </c>
      <c r="B9764" s="3" t="s">
        <v>8791</v>
      </c>
      <c r="C9764" s="5" t="s">
        <v>614</v>
      </c>
      <c r="D9764" s="3" t="s">
        <v>206</v>
      </c>
      <c r="E9764" s="3" t="s">
        <v>100</v>
      </c>
      <c r="F9764" s="7">
        <v>45937.53968684676</v>
      </c>
      <c r="G9764" s="3" t="s">
        <v>8495</v>
      </c>
    </row>
    <row r="9765">
      <c r="A9765" s="3" t="s">
        <v>25030</v>
      </c>
      <c r="B9765" s="3" t="s">
        <v>8791</v>
      </c>
      <c r="C9765" s="5" t="s">
        <v>206</v>
      </c>
      <c r="D9765" s="3" t="s">
        <v>68</v>
      </c>
      <c r="E9765" s="3" t="s">
        <v>100</v>
      </c>
      <c r="F9765" s="7">
        <v>45937.54315906898</v>
      </c>
      <c r="G9765" s="3" t="s">
        <v>8498</v>
      </c>
    </row>
    <row r="9766">
      <c r="A9766" s="3" t="s">
        <v>25031</v>
      </c>
      <c r="B9766" s="3" t="s">
        <v>8793</v>
      </c>
      <c r="C9766" s="5" t="s">
        <v>45</v>
      </c>
      <c r="D9766" s="3" t="s">
        <v>221</v>
      </c>
      <c r="E9766" s="3" t="s">
        <v>637</v>
      </c>
      <c r="F9766" s="7">
        <v>45937.603917247725</v>
      </c>
      <c r="G9766" s="3" t="s">
        <v>14301</v>
      </c>
    </row>
    <row r="9767">
      <c r="A9767" s="3" t="s">
        <v>25032</v>
      </c>
      <c r="B9767" s="3" t="s">
        <v>8793</v>
      </c>
      <c r="C9767" s="5" t="s">
        <v>221</v>
      </c>
      <c r="D9767" s="3" t="s">
        <v>614</v>
      </c>
      <c r="E9767" s="3" t="s">
        <v>118</v>
      </c>
      <c r="F9767" s="7">
        <v>45937.607389469944</v>
      </c>
      <c r="G9767" s="3" t="s">
        <v>14304</v>
      </c>
    </row>
    <row r="9768">
      <c r="A9768" s="3" t="s">
        <v>25033</v>
      </c>
      <c r="B9768" s="3" t="s">
        <v>8793</v>
      </c>
      <c r="C9768" s="5" t="s">
        <v>614</v>
      </c>
      <c r="D9768" s="3" t="s">
        <v>206</v>
      </c>
      <c r="E9768" s="3" t="s">
        <v>100</v>
      </c>
      <c r="F9768" s="7">
        <v>45937.61086169217</v>
      </c>
      <c r="G9768" s="3" t="s">
        <v>14306</v>
      </c>
    </row>
    <row r="9769">
      <c r="A9769" s="3" t="s">
        <v>25034</v>
      </c>
      <c r="B9769" s="3" t="s">
        <v>8793</v>
      </c>
      <c r="C9769" s="5" t="s">
        <v>206</v>
      </c>
      <c r="D9769" s="3" t="s">
        <v>68</v>
      </c>
      <c r="E9769" s="3" t="s">
        <v>100</v>
      </c>
      <c r="F9769" s="7">
        <v>45937.61433391439</v>
      </c>
      <c r="G9769" s="3" t="s">
        <v>14309</v>
      </c>
    </row>
    <row r="9770">
      <c r="A9770" s="3" t="s">
        <v>25035</v>
      </c>
      <c r="B9770" s="3" t="s">
        <v>8797</v>
      </c>
      <c r="C9770" s="5" t="s">
        <v>45</v>
      </c>
      <c r="D9770" s="3" t="s">
        <v>221</v>
      </c>
      <c r="E9770" s="3" t="s">
        <v>953</v>
      </c>
      <c r="F9770" s="7">
        <v>45937.675092093144</v>
      </c>
      <c r="G9770" s="3" t="s">
        <v>4193</v>
      </c>
    </row>
    <row r="9771">
      <c r="A9771" s="3" t="s">
        <v>25036</v>
      </c>
      <c r="B9771" s="3" t="s">
        <v>8797</v>
      </c>
      <c r="C9771" s="5" t="s">
        <v>221</v>
      </c>
      <c r="D9771" s="3" t="s">
        <v>614</v>
      </c>
      <c r="E9771" s="3" t="s">
        <v>118</v>
      </c>
      <c r="F9771" s="7">
        <v>45937.67856431536</v>
      </c>
      <c r="G9771" s="3" t="s">
        <v>4196</v>
      </c>
    </row>
    <row r="9772">
      <c r="A9772" s="3" t="s">
        <v>25037</v>
      </c>
      <c r="B9772" s="3" t="s">
        <v>8797</v>
      </c>
      <c r="C9772" s="5" t="s">
        <v>614</v>
      </c>
      <c r="D9772" s="3" t="s">
        <v>206</v>
      </c>
      <c r="E9772" s="3" t="s">
        <v>100</v>
      </c>
      <c r="F9772" s="7">
        <v>45937.68203653759</v>
      </c>
      <c r="G9772" s="3" t="s">
        <v>4199</v>
      </c>
    </row>
    <row r="9773">
      <c r="A9773" s="3" t="s">
        <v>25038</v>
      </c>
      <c r="B9773" s="3" t="s">
        <v>8797</v>
      </c>
      <c r="C9773" s="5" t="s">
        <v>206</v>
      </c>
      <c r="D9773" s="3" t="s">
        <v>68</v>
      </c>
      <c r="E9773" s="3" t="s">
        <v>100</v>
      </c>
      <c r="F9773" s="7">
        <v>45937.68550875981</v>
      </c>
      <c r="G9773" s="3" t="s">
        <v>4202</v>
      </c>
    </row>
    <row r="9774">
      <c r="A9774" s="3" t="s">
        <v>25039</v>
      </c>
      <c r="B9774" s="3" t="s">
        <v>8801</v>
      </c>
      <c r="C9774" s="5" t="s">
        <v>45</v>
      </c>
      <c r="D9774" s="3" t="s">
        <v>221</v>
      </c>
      <c r="E9774" s="3" t="s">
        <v>619</v>
      </c>
      <c r="F9774" s="7">
        <v>45937.746266938564</v>
      </c>
      <c r="G9774" s="3" t="s">
        <v>8710</v>
      </c>
    </row>
    <row r="9775">
      <c r="A9775" s="3" t="s">
        <v>25040</v>
      </c>
      <c r="B9775" s="3" t="s">
        <v>8801</v>
      </c>
      <c r="C9775" s="5" t="s">
        <v>221</v>
      </c>
      <c r="D9775" s="3" t="s">
        <v>614</v>
      </c>
      <c r="E9775" s="3" t="s">
        <v>118</v>
      </c>
      <c r="F9775" s="7">
        <v>45937.74973916078</v>
      </c>
      <c r="G9775" s="3" t="s">
        <v>8713</v>
      </c>
    </row>
    <row r="9776">
      <c r="A9776" s="3" t="s">
        <v>25041</v>
      </c>
      <c r="B9776" s="3" t="s">
        <v>8801</v>
      </c>
      <c r="C9776" s="5" t="s">
        <v>614</v>
      </c>
      <c r="D9776" s="3" t="s">
        <v>206</v>
      </c>
      <c r="E9776" s="3" t="s">
        <v>100</v>
      </c>
      <c r="F9776" s="7">
        <v>45937.75321138301</v>
      </c>
      <c r="G9776" s="3" t="s">
        <v>8715</v>
      </c>
    </row>
    <row r="9777">
      <c r="A9777" s="3" t="s">
        <v>25042</v>
      </c>
      <c r="B9777" s="3" t="s">
        <v>8801</v>
      </c>
      <c r="C9777" s="5" t="s">
        <v>206</v>
      </c>
      <c r="D9777" s="3" t="s">
        <v>68</v>
      </c>
      <c r="E9777" s="3" t="s">
        <v>100</v>
      </c>
      <c r="F9777" s="7">
        <v>45937.75668360523</v>
      </c>
      <c r="G9777" s="3" t="s">
        <v>8718</v>
      </c>
    </row>
    <row r="9778">
      <c r="A9778" s="3" t="s">
        <v>25043</v>
      </c>
      <c r="B9778" s="3" t="s">
        <v>8804</v>
      </c>
      <c r="C9778" s="5" t="s">
        <v>45</v>
      </c>
      <c r="D9778" s="3" t="s">
        <v>221</v>
      </c>
      <c r="E9778" s="3" t="s">
        <v>612</v>
      </c>
      <c r="F9778" s="7">
        <v>45937.81744178397</v>
      </c>
      <c r="G9778" s="3" t="s">
        <v>24554</v>
      </c>
    </row>
    <row r="9779">
      <c r="A9779" s="3" t="s">
        <v>25044</v>
      </c>
      <c r="B9779" s="3" t="s">
        <v>8804</v>
      </c>
      <c r="C9779" s="5" t="s">
        <v>221</v>
      </c>
      <c r="D9779" s="3" t="s">
        <v>614</v>
      </c>
      <c r="E9779" s="3" t="s">
        <v>118</v>
      </c>
      <c r="F9779" s="7">
        <v>45937.82091400619</v>
      </c>
      <c r="G9779" s="3" t="s">
        <v>24556</v>
      </c>
    </row>
    <row r="9780">
      <c r="A9780" s="3" t="s">
        <v>25045</v>
      </c>
      <c r="B9780" s="3" t="s">
        <v>8804</v>
      </c>
      <c r="C9780" s="5" t="s">
        <v>614</v>
      </c>
      <c r="D9780" s="3" t="s">
        <v>206</v>
      </c>
      <c r="E9780" s="3" t="s">
        <v>100</v>
      </c>
      <c r="F9780" s="7">
        <v>45937.824386228414</v>
      </c>
      <c r="G9780" s="3" t="s">
        <v>24558</v>
      </c>
    </row>
    <row r="9781">
      <c r="A9781" s="3" t="s">
        <v>25046</v>
      </c>
      <c r="B9781" s="3" t="s">
        <v>8804</v>
      </c>
      <c r="C9781" s="5" t="s">
        <v>206</v>
      </c>
      <c r="D9781" s="3" t="s">
        <v>68</v>
      </c>
      <c r="E9781" s="3" t="s">
        <v>100</v>
      </c>
      <c r="F9781" s="7">
        <v>45937.82785845063</v>
      </c>
      <c r="G9781" s="3" t="s">
        <v>24560</v>
      </c>
    </row>
    <row r="9782">
      <c r="A9782" s="3" t="s">
        <v>25047</v>
      </c>
      <c r="B9782" s="3" t="s">
        <v>8807</v>
      </c>
      <c r="C9782" s="5" t="s">
        <v>45</v>
      </c>
      <c r="D9782" s="3" t="s">
        <v>221</v>
      </c>
      <c r="E9782" s="3" t="s">
        <v>781</v>
      </c>
      <c r="F9782" s="7">
        <v>45937.88861662939</v>
      </c>
      <c r="G9782" s="3" t="s">
        <v>8501</v>
      </c>
    </row>
    <row r="9783">
      <c r="A9783" s="3" t="s">
        <v>25048</v>
      </c>
      <c r="B9783" s="3" t="s">
        <v>8807</v>
      </c>
      <c r="C9783" s="5" t="s">
        <v>221</v>
      </c>
      <c r="D9783" s="3" t="s">
        <v>614</v>
      </c>
      <c r="E9783" s="3" t="s">
        <v>118</v>
      </c>
      <c r="F9783" s="7">
        <v>45937.89208885161</v>
      </c>
      <c r="G9783" s="3" t="s">
        <v>8503</v>
      </c>
    </row>
    <row r="9784">
      <c r="A9784" s="3" t="s">
        <v>25049</v>
      </c>
      <c r="B9784" s="3" t="s">
        <v>8807</v>
      </c>
      <c r="C9784" s="5" t="s">
        <v>614</v>
      </c>
      <c r="D9784" s="3" t="s">
        <v>206</v>
      </c>
      <c r="E9784" s="3" t="s">
        <v>100</v>
      </c>
      <c r="F9784" s="7">
        <v>45937.895561073834</v>
      </c>
      <c r="G9784" s="3" t="s">
        <v>8506</v>
      </c>
    </row>
    <row r="9785">
      <c r="A9785" s="3" t="s">
        <v>25050</v>
      </c>
      <c r="B9785" s="3" t="s">
        <v>8807</v>
      </c>
      <c r="C9785" s="5" t="s">
        <v>206</v>
      </c>
      <c r="D9785" s="3" t="s">
        <v>68</v>
      </c>
      <c r="E9785" s="3" t="s">
        <v>100</v>
      </c>
      <c r="F9785" s="7">
        <v>45937.89903329605</v>
      </c>
      <c r="G9785" s="3" t="s">
        <v>8509</v>
      </c>
    </row>
    <row r="9786">
      <c r="A9786" s="3" t="s">
        <v>25051</v>
      </c>
      <c r="B9786" s="3" t="s">
        <v>8810</v>
      </c>
      <c r="C9786" s="5" t="s">
        <v>45</v>
      </c>
      <c r="D9786" s="3" t="s">
        <v>221</v>
      </c>
      <c r="E9786" s="3" t="s">
        <v>559</v>
      </c>
      <c r="F9786" s="7">
        <v>45937.95979147481</v>
      </c>
      <c r="G9786" s="3" t="s">
        <v>19486</v>
      </c>
    </row>
    <row r="9787">
      <c r="A9787" s="3" t="s">
        <v>25052</v>
      </c>
      <c r="B9787" s="3" t="s">
        <v>8810</v>
      </c>
      <c r="C9787" s="5" t="s">
        <v>221</v>
      </c>
      <c r="D9787" s="3" t="s">
        <v>614</v>
      </c>
      <c r="E9787" s="3" t="s">
        <v>118</v>
      </c>
      <c r="F9787" s="7">
        <v>45937.96326369703</v>
      </c>
      <c r="G9787" s="3" t="s">
        <v>19489</v>
      </c>
    </row>
    <row r="9788">
      <c r="A9788" s="3" t="s">
        <v>25053</v>
      </c>
      <c r="B9788" s="3" t="s">
        <v>8810</v>
      </c>
      <c r="C9788" s="5" t="s">
        <v>614</v>
      </c>
      <c r="D9788" s="3" t="s">
        <v>206</v>
      </c>
      <c r="E9788" s="3" t="s">
        <v>100</v>
      </c>
      <c r="F9788" s="7">
        <v>45937.96673591925</v>
      </c>
      <c r="G9788" s="3" t="s">
        <v>19492</v>
      </c>
    </row>
    <row r="9789">
      <c r="A9789" s="3" t="s">
        <v>25054</v>
      </c>
      <c r="B9789" s="3" t="s">
        <v>8810</v>
      </c>
      <c r="C9789" s="5" t="s">
        <v>206</v>
      </c>
      <c r="D9789" s="3" t="s">
        <v>68</v>
      </c>
      <c r="E9789" s="3" t="s">
        <v>100</v>
      </c>
      <c r="F9789" s="7">
        <v>45937.97020814147</v>
      </c>
      <c r="G9789" s="3" t="s">
        <v>19494</v>
      </c>
    </row>
    <row r="9790">
      <c r="A9790" s="3" t="s">
        <v>25055</v>
      </c>
      <c r="B9790" s="3" t="s">
        <v>8815</v>
      </c>
      <c r="C9790" s="5" t="s">
        <v>45</v>
      </c>
      <c r="D9790" s="3" t="s">
        <v>221</v>
      </c>
      <c r="E9790" s="3" t="s">
        <v>596</v>
      </c>
      <c r="F9790" s="7">
        <v>45938.03096632022</v>
      </c>
      <c r="G9790" s="3" t="s">
        <v>8580</v>
      </c>
    </row>
    <row r="9791">
      <c r="A9791" s="3" t="s">
        <v>25056</v>
      </c>
      <c r="B9791" s="3" t="s">
        <v>8815</v>
      </c>
      <c r="C9791" s="5" t="s">
        <v>221</v>
      </c>
      <c r="D9791" s="3" t="s">
        <v>614</v>
      </c>
      <c r="E9791" s="3" t="s">
        <v>118</v>
      </c>
      <c r="F9791" s="7">
        <v>45938.03443854244</v>
      </c>
      <c r="G9791" s="3" t="s">
        <v>8583</v>
      </c>
    </row>
    <row r="9792">
      <c r="A9792" s="3" t="s">
        <v>25057</v>
      </c>
      <c r="B9792" s="3" t="s">
        <v>8815</v>
      </c>
      <c r="C9792" s="5" t="s">
        <v>614</v>
      </c>
      <c r="D9792" s="3" t="s">
        <v>206</v>
      </c>
      <c r="E9792" s="3" t="s">
        <v>100</v>
      </c>
      <c r="F9792" s="7">
        <v>45938.037910764666</v>
      </c>
      <c r="G9792" s="3" t="s">
        <v>8586</v>
      </c>
    </row>
    <row r="9793">
      <c r="A9793" s="3" t="s">
        <v>25058</v>
      </c>
      <c r="B9793" s="3" t="s">
        <v>8815</v>
      </c>
      <c r="C9793" s="5" t="s">
        <v>206</v>
      </c>
      <c r="D9793" s="3" t="s">
        <v>68</v>
      </c>
      <c r="E9793" s="3" t="s">
        <v>100</v>
      </c>
      <c r="F9793" s="7">
        <v>45938.041382986885</v>
      </c>
      <c r="G9793" s="3" t="s">
        <v>8589</v>
      </c>
    </row>
    <row r="9794">
      <c r="A9794" s="3" t="s">
        <v>25059</v>
      </c>
      <c r="B9794" s="3" t="s">
        <v>8818</v>
      </c>
      <c r="C9794" s="5" t="s">
        <v>45</v>
      </c>
      <c r="D9794" s="3" t="s">
        <v>221</v>
      </c>
      <c r="E9794" s="3" t="s">
        <v>934</v>
      </c>
      <c r="F9794" s="7">
        <v>45938.10214116563</v>
      </c>
      <c r="G9794" s="3" t="s">
        <v>24451</v>
      </c>
    </row>
    <row r="9795">
      <c r="A9795" s="3" t="s">
        <v>25060</v>
      </c>
      <c r="B9795" s="3" t="s">
        <v>8818</v>
      </c>
      <c r="C9795" s="5" t="s">
        <v>221</v>
      </c>
      <c r="D9795" s="3" t="s">
        <v>181</v>
      </c>
      <c r="E9795" s="3" t="s">
        <v>118</v>
      </c>
      <c r="F9795" s="7">
        <v>45938.10561338785</v>
      </c>
      <c r="G9795" s="3" t="s">
        <v>25061</v>
      </c>
    </row>
    <row r="9796">
      <c r="A9796" s="3" t="s">
        <v>25062</v>
      </c>
      <c r="B9796" s="3" t="s">
        <v>8821</v>
      </c>
      <c r="C9796" s="5" t="s">
        <v>45</v>
      </c>
      <c r="D9796" s="3" t="s">
        <v>221</v>
      </c>
      <c r="E9796" s="3" t="s">
        <v>627</v>
      </c>
      <c r="F9796" s="7">
        <v>45938.17331601105</v>
      </c>
      <c r="G9796" s="3" t="s">
        <v>18096</v>
      </c>
    </row>
    <row r="9797">
      <c r="A9797" s="3" t="s">
        <v>25063</v>
      </c>
      <c r="B9797" s="3" t="s">
        <v>8821</v>
      </c>
      <c r="C9797" s="5" t="s">
        <v>221</v>
      </c>
      <c r="D9797" s="3" t="s">
        <v>614</v>
      </c>
      <c r="E9797" s="3" t="s">
        <v>118</v>
      </c>
      <c r="F9797" s="7">
        <v>45938.17678823327</v>
      </c>
      <c r="G9797" s="3" t="s">
        <v>18099</v>
      </c>
    </row>
    <row r="9798">
      <c r="A9798" s="3" t="s">
        <v>25064</v>
      </c>
      <c r="B9798" s="3" t="s">
        <v>8821</v>
      </c>
      <c r="C9798" s="5" t="s">
        <v>614</v>
      </c>
      <c r="D9798" s="3" t="s">
        <v>206</v>
      </c>
      <c r="E9798" s="3" t="s">
        <v>100</v>
      </c>
      <c r="F9798" s="7">
        <v>45938.1802604555</v>
      </c>
      <c r="G9798" s="3" t="s">
        <v>18102</v>
      </c>
    </row>
    <row r="9799">
      <c r="A9799" s="3" t="s">
        <v>25065</v>
      </c>
      <c r="B9799" s="3" t="s">
        <v>8821</v>
      </c>
      <c r="C9799" s="5" t="s">
        <v>206</v>
      </c>
      <c r="D9799" s="3" t="s">
        <v>68</v>
      </c>
      <c r="E9799" s="3" t="s">
        <v>100</v>
      </c>
      <c r="F9799" s="7">
        <v>45938.18373267772</v>
      </c>
      <c r="G9799" s="3" t="s">
        <v>18105</v>
      </c>
    </row>
    <row r="9800">
      <c r="A9800" s="3" t="s">
        <v>25066</v>
      </c>
      <c r="B9800" s="3" t="s">
        <v>8824</v>
      </c>
      <c r="C9800" s="5" t="s">
        <v>45</v>
      </c>
      <c r="D9800" s="3" t="s">
        <v>221</v>
      </c>
      <c r="E9800" s="3" t="s">
        <v>446</v>
      </c>
      <c r="F9800" s="7">
        <v>45938.244490856465</v>
      </c>
      <c r="G9800" s="3" t="s">
        <v>14549</v>
      </c>
    </row>
    <row r="9801">
      <c r="A9801" s="3" t="s">
        <v>25067</v>
      </c>
      <c r="B9801" s="3" t="s">
        <v>8824</v>
      </c>
      <c r="C9801" s="5" t="s">
        <v>221</v>
      </c>
      <c r="D9801" s="3" t="s">
        <v>614</v>
      </c>
      <c r="E9801" s="3" t="s">
        <v>118</v>
      </c>
      <c r="F9801" s="7">
        <v>45938.247963078684</v>
      </c>
      <c r="G9801" s="3" t="s">
        <v>14552</v>
      </c>
    </row>
    <row r="9802">
      <c r="A9802" s="3" t="s">
        <v>25068</v>
      </c>
      <c r="B9802" s="3" t="s">
        <v>8824</v>
      </c>
      <c r="C9802" s="5" t="s">
        <v>614</v>
      </c>
      <c r="D9802" s="3" t="s">
        <v>206</v>
      </c>
      <c r="E9802" s="3" t="s">
        <v>100</v>
      </c>
      <c r="F9802" s="7">
        <v>45938.25143530091</v>
      </c>
      <c r="G9802" s="3" t="s">
        <v>14555</v>
      </c>
    </row>
    <row r="9803">
      <c r="A9803" s="3" t="s">
        <v>25069</v>
      </c>
      <c r="B9803" s="3" t="s">
        <v>8824</v>
      </c>
      <c r="C9803" s="5" t="s">
        <v>206</v>
      </c>
      <c r="D9803" s="3" t="s">
        <v>68</v>
      </c>
      <c r="E9803" s="3" t="s">
        <v>100</v>
      </c>
      <c r="F9803" s="7">
        <v>45938.25490752313</v>
      </c>
      <c r="G9803" s="3" t="s">
        <v>14558</v>
      </c>
    </row>
    <row r="9804">
      <c r="A9804" s="3" t="s">
        <v>25070</v>
      </c>
      <c r="B9804" s="3" t="s">
        <v>8828</v>
      </c>
      <c r="C9804" s="5" t="s">
        <v>45</v>
      </c>
      <c r="D9804" s="3" t="s">
        <v>221</v>
      </c>
      <c r="E9804" s="3" t="s">
        <v>883</v>
      </c>
      <c r="F9804" s="7">
        <v>45938.31566570188</v>
      </c>
      <c r="G9804" s="3" t="s">
        <v>25071</v>
      </c>
    </row>
    <row r="9805">
      <c r="A9805" s="3" t="s">
        <v>25072</v>
      </c>
      <c r="B9805" s="3" t="s">
        <v>8828</v>
      </c>
      <c r="C9805" s="5" t="s">
        <v>221</v>
      </c>
      <c r="D9805" s="3" t="s">
        <v>614</v>
      </c>
      <c r="E9805" s="3" t="s">
        <v>118</v>
      </c>
      <c r="F9805" s="7">
        <v>45938.319137924096</v>
      </c>
      <c r="G9805" s="3" t="s">
        <v>25073</v>
      </c>
    </row>
    <row r="9806">
      <c r="A9806" s="3" t="s">
        <v>25074</v>
      </c>
      <c r="B9806" s="3" t="s">
        <v>8828</v>
      </c>
      <c r="C9806" s="5" t="s">
        <v>614</v>
      </c>
      <c r="D9806" s="3" t="s">
        <v>206</v>
      </c>
      <c r="E9806" s="3" t="s">
        <v>100</v>
      </c>
      <c r="F9806" s="7">
        <v>45938.32261014632</v>
      </c>
      <c r="G9806" s="3" t="s">
        <v>25075</v>
      </c>
    </row>
    <row r="9807">
      <c r="A9807" s="3" t="s">
        <v>25076</v>
      </c>
      <c r="B9807" s="3" t="s">
        <v>8828</v>
      </c>
      <c r="C9807" s="5" t="s">
        <v>206</v>
      </c>
      <c r="D9807" s="3" t="s">
        <v>68</v>
      </c>
      <c r="E9807" s="3" t="s">
        <v>100</v>
      </c>
      <c r="F9807" s="7">
        <v>45938.32608236854</v>
      </c>
      <c r="G9807" s="3" t="s">
        <v>25077</v>
      </c>
    </row>
    <row r="9808">
      <c r="A9808" s="3" t="s">
        <v>25078</v>
      </c>
      <c r="B9808" s="3" t="s">
        <v>8831</v>
      </c>
      <c r="C9808" s="5" t="s">
        <v>45</v>
      </c>
      <c r="D9808" s="3" t="s">
        <v>221</v>
      </c>
      <c r="E9808" s="3" t="s">
        <v>440</v>
      </c>
      <c r="F9808" s="7">
        <v>45938.3868405473</v>
      </c>
      <c r="G9808" s="3" t="s">
        <v>7779</v>
      </c>
    </row>
    <row r="9809">
      <c r="A9809" s="3" t="s">
        <v>25079</v>
      </c>
      <c r="B9809" s="3" t="s">
        <v>8831</v>
      </c>
      <c r="C9809" s="5" t="s">
        <v>221</v>
      </c>
      <c r="D9809" s="3" t="s">
        <v>614</v>
      </c>
      <c r="E9809" s="3" t="s">
        <v>118</v>
      </c>
      <c r="F9809" s="7">
        <v>45938.390312769516</v>
      </c>
      <c r="G9809" s="3" t="s">
        <v>7782</v>
      </c>
    </row>
    <row r="9810">
      <c r="A9810" s="3" t="s">
        <v>25080</v>
      </c>
      <c r="B9810" s="3" t="s">
        <v>8831</v>
      </c>
      <c r="C9810" s="5" t="s">
        <v>614</v>
      </c>
      <c r="D9810" s="3" t="s">
        <v>206</v>
      </c>
      <c r="E9810" s="3" t="s">
        <v>100</v>
      </c>
      <c r="F9810" s="7">
        <v>45938.39378499174</v>
      </c>
      <c r="G9810" s="3" t="s">
        <v>7785</v>
      </c>
    </row>
    <row r="9811">
      <c r="A9811" s="3" t="s">
        <v>25081</v>
      </c>
      <c r="B9811" s="3" t="s">
        <v>8831</v>
      </c>
      <c r="C9811" s="5" t="s">
        <v>206</v>
      </c>
      <c r="D9811" s="3" t="s">
        <v>68</v>
      </c>
      <c r="E9811" s="3" t="s">
        <v>100</v>
      </c>
      <c r="F9811" s="7">
        <v>45938.39725721396</v>
      </c>
      <c r="G9811" s="3" t="s">
        <v>7787</v>
      </c>
    </row>
    <row r="9812">
      <c r="A9812" s="3" t="s">
        <v>25082</v>
      </c>
      <c r="B9812" s="3" t="s">
        <v>8835</v>
      </c>
      <c r="C9812" s="5" t="s">
        <v>45</v>
      </c>
      <c r="D9812" s="3" t="s">
        <v>221</v>
      </c>
      <c r="E9812" s="3" t="s">
        <v>151</v>
      </c>
      <c r="F9812" s="7">
        <v>45938.45801539271</v>
      </c>
      <c r="G9812" s="3" t="s">
        <v>6097</v>
      </c>
    </row>
    <row r="9813">
      <c r="A9813" s="3" t="s">
        <v>25083</v>
      </c>
      <c r="B9813" s="3" t="s">
        <v>8835</v>
      </c>
      <c r="C9813" s="5" t="s">
        <v>221</v>
      </c>
      <c r="D9813" s="3" t="s">
        <v>614</v>
      </c>
      <c r="E9813" s="3" t="s">
        <v>118</v>
      </c>
      <c r="F9813" s="7">
        <v>45938.46148761493</v>
      </c>
      <c r="G9813" s="3" t="s">
        <v>6100</v>
      </c>
    </row>
    <row r="9814">
      <c r="A9814" s="3" t="s">
        <v>25084</v>
      </c>
      <c r="B9814" s="3" t="s">
        <v>8835</v>
      </c>
      <c r="C9814" s="5" t="s">
        <v>614</v>
      </c>
      <c r="D9814" s="3" t="s">
        <v>206</v>
      </c>
      <c r="E9814" s="3" t="s">
        <v>100</v>
      </c>
      <c r="F9814" s="7">
        <v>45938.464959837154</v>
      </c>
      <c r="G9814" s="3" t="s">
        <v>6103</v>
      </c>
    </row>
    <row r="9815">
      <c r="A9815" s="3" t="s">
        <v>25085</v>
      </c>
      <c r="B9815" s="3" t="s">
        <v>8835</v>
      </c>
      <c r="C9815" s="5" t="s">
        <v>206</v>
      </c>
      <c r="D9815" s="3" t="s">
        <v>68</v>
      </c>
      <c r="E9815" s="3" t="s">
        <v>100</v>
      </c>
      <c r="F9815" s="7">
        <v>45938.46843205937</v>
      </c>
      <c r="G9815" s="3" t="s">
        <v>6106</v>
      </c>
    </row>
    <row r="9816">
      <c r="A9816" s="3" t="s">
        <v>25086</v>
      </c>
      <c r="B9816" s="3" t="s">
        <v>8838</v>
      </c>
      <c r="C9816" s="5" t="s">
        <v>45</v>
      </c>
      <c r="D9816" s="3" t="s">
        <v>221</v>
      </c>
      <c r="E9816" s="3" t="s">
        <v>493</v>
      </c>
      <c r="F9816" s="7">
        <v>45938.52919023812</v>
      </c>
      <c r="G9816" s="3" t="s">
        <v>4460</v>
      </c>
    </row>
    <row r="9817">
      <c r="A9817" s="3" t="s">
        <v>25087</v>
      </c>
      <c r="B9817" s="3" t="s">
        <v>8838</v>
      </c>
      <c r="C9817" s="5" t="s">
        <v>221</v>
      </c>
      <c r="D9817" s="3" t="s">
        <v>614</v>
      </c>
      <c r="E9817" s="3" t="s">
        <v>118</v>
      </c>
      <c r="F9817" s="7">
        <v>45938.53266246034</v>
      </c>
      <c r="G9817" s="3" t="s">
        <v>4463</v>
      </c>
    </row>
    <row r="9818">
      <c r="A9818" s="3" t="s">
        <v>25088</v>
      </c>
      <c r="B9818" s="3" t="s">
        <v>8838</v>
      </c>
      <c r="C9818" s="5" t="s">
        <v>614</v>
      </c>
      <c r="D9818" s="3" t="s">
        <v>206</v>
      </c>
      <c r="E9818" s="3" t="s">
        <v>100</v>
      </c>
      <c r="F9818" s="7">
        <v>45938.53613468257</v>
      </c>
      <c r="G9818" s="3" t="s">
        <v>4466</v>
      </c>
    </row>
    <row r="9819">
      <c r="A9819" s="3" t="s">
        <v>25089</v>
      </c>
      <c r="B9819" s="3" t="s">
        <v>8838</v>
      </c>
      <c r="C9819" s="5" t="s">
        <v>206</v>
      </c>
      <c r="D9819" s="3" t="s">
        <v>68</v>
      </c>
      <c r="E9819" s="3" t="s">
        <v>100</v>
      </c>
      <c r="F9819" s="7">
        <v>45938.539606904786</v>
      </c>
      <c r="G9819" s="3" t="s">
        <v>4469</v>
      </c>
    </row>
    <row r="9820">
      <c r="A9820" s="3" t="s">
        <v>25090</v>
      </c>
      <c r="B9820" s="3" t="s">
        <v>8841</v>
      </c>
      <c r="C9820" s="5" t="s">
        <v>45</v>
      </c>
      <c r="D9820" s="3" t="s">
        <v>221</v>
      </c>
      <c r="E9820" s="3" t="s">
        <v>280</v>
      </c>
      <c r="F9820" s="7">
        <v>45938.60036508354</v>
      </c>
      <c r="G9820" s="3" t="s">
        <v>25091</v>
      </c>
    </row>
    <row r="9821">
      <c r="A9821" s="3" t="s">
        <v>25092</v>
      </c>
      <c r="B9821" s="3" t="s">
        <v>8841</v>
      </c>
      <c r="C9821" s="5" t="s">
        <v>221</v>
      </c>
      <c r="D9821" s="3" t="s">
        <v>614</v>
      </c>
      <c r="E9821" s="3" t="s">
        <v>118</v>
      </c>
      <c r="F9821" s="7">
        <v>45938.60383730576</v>
      </c>
      <c r="G9821" s="3" t="s">
        <v>25093</v>
      </c>
    </row>
    <row r="9822">
      <c r="A9822" s="3" t="s">
        <v>25094</v>
      </c>
      <c r="B9822" s="3" t="s">
        <v>8841</v>
      </c>
      <c r="C9822" s="5" t="s">
        <v>614</v>
      </c>
      <c r="D9822" s="3" t="s">
        <v>206</v>
      </c>
      <c r="E9822" s="3" t="s">
        <v>100</v>
      </c>
      <c r="F9822" s="7">
        <v>45938.607309527986</v>
      </c>
      <c r="G9822" s="3" t="s">
        <v>25095</v>
      </c>
    </row>
    <row r="9823">
      <c r="A9823" s="3" t="s">
        <v>25096</v>
      </c>
      <c r="B9823" s="3" t="s">
        <v>8841</v>
      </c>
      <c r="C9823" s="5" t="s">
        <v>206</v>
      </c>
      <c r="D9823" s="3" t="s">
        <v>68</v>
      </c>
      <c r="E9823" s="3" t="s">
        <v>100</v>
      </c>
      <c r="F9823" s="7">
        <v>45938.610781750205</v>
      </c>
      <c r="G9823" s="3" t="s">
        <v>25097</v>
      </c>
    </row>
    <row r="9824">
      <c r="A9824" s="3" t="s">
        <v>25098</v>
      </c>
      <c r="B9824" s="3" t="s">
        <v>8844</v>
      </c>
      <c r="C9824" s="5" t="s">
        <v>45</v>
      </c>
      <c r="D9824" s="3" t="s">
        <v>221</v>
      </c>
      <c r="E9824" s="3" t="s">
        <v>539</v>
      </c>
      <c r="F9824" s="7">
        <v>45938.67153992895</v>
      </c>
      <c r="G9824" s="3" t="s">
        <v>5685</v>
      </c>
    </row>
    <row r="9825">
      <c r="A9825" s="3" t="s">
        <v>25099</v>
      </c>
      <c r="B9825" s="3" t="s">
        <v>8844</v>
      </c>
      <c r="C9825" s="5" t="s">
        <v>221</v>
      </c>
      <c r="D9825" s="3" t="s">
        <v>614</v>
      </c>
      <c r="E9825" s="3" t="s">
        <v>118</v>
      </c>
      <c r="F9825" s="7">
        <v>45938.67501215117</v>
      </c>
      <c r="G9825" s="3" t="s">
        <v>5687</v>
      </c>
    </row>
    <row r="9826">
      <c r="A9826" s="3" t="s">
        <v>25100</v>
      </c>
      <c r="B9826" s="3" t="s">
        <v>8844</v>
      </c>
      <c r="C9826" s="5" t="s">
        <v>614</v>
      </c>
      <c r="D9826" s="3" t="s">
        <v>206</v>
      </c>
      <c r="E9826" s="3" t="s">
        <v>100</v>
      </c>
      <c r="F9826" s="7">
        <v>45938.6784843734</v>
      </c>
      <c r="G9826" s="3" t="s">
        <v>5690</v>
      </c>
    </row>
    <row r="9827">
      <c r="A9827" s="3" t="s">
        <v>25101</v>
      </c>
      <c r="B9827" s="3" t="s">
        <v>8844</v>
      </c>
      <c r="C9827" s="5" t="s">
        <v>206</v>
      </c>
      <c r="D9827" s="3" t="s">
        <v>68</v>
      </c>
      <c r="E9827" s="3" t="s">
        <v>100</v>
      </c>
      <c r="F9827" s="7">
        <v>45938.68195659562</v>
      </c>
      <c r="G9827" s="3" t="s">
        <v>5693</v>
      </c>
    </row>
    <row r="9828">
      <c r="A9828" s="3" t="s">
        <v>25102</v>
      </c>
      <c r="B9828" s="3" t="s">
        <v>8847</v>
      </c>
      <c r="C9828" s="5" t="s">
        <v>45</v>
      </c>
      <c r="D9828" s="3" t="s">
        <v>221</v>
      </c>
      <c r="E9828" s="3" t="s">
        <v>363</v>
      </c>
      <c r="F9828" s="7">
        <v>45938.742714774366</v>
      </c>
      <c r="G9828" s="3" t="s">
        <v>8599</v>
      </c>
    </row>
    <row r="9829">
      <c r="A9829" s="3" t="s">
        <v>25103</v>
      </c>
      <c r="B9829" s="3" t="s">
        <v>8847</v>
      </c>
      <c r="C9829" s="5" t="s">
        <v>221</v>
      </c>
      <c r="D9829" s="3" t="s">
        <v>614</v>
      </c>
      <c r="E9829" s="3" t="s">
        <v>118</v>
      </c>
      <c r="F9829" s="7">
        <v>45938.746186996585</v>
      </c>
      <c r="G9829" s="3" t="s">
        <v>8602</v>
      </c>
    </row>
    <row r="9830">
      <c r="A9830" s="3" t="s">
        <v>25104</v>
      </c>
      <c r="B9830" s="3" t="s">
        <v>8847</v>
      </c>
      <c r="C9830" s="5" t="s">
        <v>614</v>
      </c>
      <c r="D9830" s="3" t="s">
        <v>206</v>
      </c>
      <c r="E9830" s="3" t="s">
        <v>100</v>
      </c>
      <c r="F9830" s="7">
        <v>45938.74965921881</v>
      </c>
      <c r="G9830" s="3" t="s">
        <v>8605</v>
      </c>
    </row>
    <row r="9831">
      <c r="A9831" s="3" t="s">
        <v>25105</v>
      </c>
      <c r="B9831" s="3" t="s">
        <v>8847</v>
      </c>
      <c r="C9831" s="5" t="s">
        <v>206</v>
      </c>
      <c r="D9831" s="3" t="s">
        <v>68</v>
      </c>
      <c r="E9831" s="3" t="s">
        <v>100</v>
      </c>
      <c r="F9831" s="7">
        <v>45938.75313144103</v>
      </c>
      <c r="G9831" s="3" t="s">
        <v>8607</v>
      </c>
    </row>
    <row r="9832">
      <c r="A9832" s="3" t="s">
        <v>25106</v>
      </c>
      <c r="B9832" s="3" t="s">
        <v>8851</v>
      </c>
      <c r="C9832" s="5" t="s">
        <v>45</v>
      </c>
      <c r="D9832" s="3" t="s">
        <v>221</v>
      </c>
      <c r="E9832" s="3" t="s">
        <v>657</v>
      </c>
      <c r="F9832" s="7">
        <v>45938.813889619785</v>
      </c>
      <c r="G9832" s="3" t="s">
        <v>24901</v>
      </c>
    </row>
    <row r="9833">
      <c r="A9833" s="3" t="s">
        <v>25107</v>
      </c>
      <c r="B9833" s="3" t="s">
        <v>8851</v>
      </c>
      <c r="C9833" s="5" t="s">
        <v>221</v>
      </c>
      <c r="D9833" s="3" t="s">
        <v>614</v>
      </c>
      <c r="E9833" s="3" t="s">
        <v>118</v>
      </c>
      <c r="F9833" s="7">
        <v>45938.817361842004</v>
      </c>
      <c r="G9833" s="3" t="s">
        <v>25108</v>
      </c>
    </row>
    <row r="9834">
      <c r="A9834" s="3" t="s">
        <v>25109</v>
      </c>
      <c r="B9834" s="3" t="s">
        <v>8851</v>
      </c>
      <c r="C9834" s="5" t="s">
        <v>614</v>
      </c>
      <c r="D9834" s="3" t="s">
        <v>206</v>
      </c>
      <c r="E9834" s="3" t="s">
        <v>100</v>
      </c>
      <c r="F9834" s="7">
        <v>45938.82083406423</v>
      </c>
      <c r="G9834" s="3" t="s">
        <v>25110</v>
      </c>
    </row>
    <row r="9835">
      <c r="A9835" s="3" t="s">
        <v>25111</v>
      </c>
      <c r="B9835" s="3" t="s">
        <v>8851</v>
      </c>
      <c r="C9835" s="5" t="s">
        <v>206</v>
      </c>
      <c r="D9835" s="3" t="s">
        <v>68</v>
      </c>
      <c r="E9835" s="3" t="s">
        <v>100</v>
      </c>
      <c r="F9835" s="7">
        <v>45938.82430628645</v>
      </c>
      <c r="G9835" s="3" t="s">
        <v>25112</v>
      </c>
    </row>
    <row r="9836">
      <c r="A9836" s="3" t="s">
        <v>25113</v>
      </c>
      <c r="B9836" s="3" t="s">
        <v>8854</v>
      </c>
      <c r="C9836" s="5" t="s">
        <v>45</v>
      </c>
      <c r="D9836" s="3" t="s">
        <v>221</v>
      </c>
      <c r="E9836" s="3" t="s">
        <v>637</v>
      </c>
      <c r="F9836" s="7">
        <v>45938.885064465205</v>
      </c>
      <c r="G9836" s="3" t="s">
        <v>8639</v>
      </c>
    </row>
    <row r="9837">
      <c r="A9837" s="3" t="s">
        <v>25114</v>
      </c>
      <c r="B9837" s="3" t="s">
        <v>8854</v>
      </c>
      <c r="C9837" s="5" t="s">
        <v>221</v>
      </c>
      <c r="D9837" s="3" t="s">
        <v>614</v>
      </c>
      <c r="E9837" s="3" t="s">
        <v>118</v>
      </c>
      <c r="F9837" s="7">
        <v>45938.888536687424</v>
      </c>
      <c r="G9837" s="3" t="s">
        <v>8642</v>
      </c>
    </row>
    <row r="9838">
      <c r="A9838" s="3" t="s">
        <v>25115</v>
      </c>
      <c r="B9838" s="3" t="s">
        <v>8854</v>
      </c>
      <c r="C9838" s="5" t="s">
        <v>614</v>
      </c>
      <c r="D9838" s="3" t="s">
        <v>206</v>
      </c>
      <c r="E9838" s="3" t="s">
        <v>100</v>
      </c>
      <c r="F9838" s="7">
        <v>45938.89200890965</v>
      </c>
      <c r="G9838" s="3" t="s">
        <v>8645</v>
      </c>
    </row>
    <row r="9839">
      <c r="A9839" s="3" t="s">
        <v>25116</v>
      </c>
      <c r="B9839" s="3" t="s">
        <v>8854</v>
      </c>
      <c r="C9839" s="5" t="s">
        <v>206</v>
      </c>
      <c r="D9839" s="3" t="s">
        <v>68</v>
      </c>
      <c r="E9839" s="3" t="s">
        <v>100</v>
      </c>
      <c r="F9839" s="7">
        <v>45938.89548113187</v>
      </c>
      <c r="G9839" s="3" t="s">
        <v>8648</v>
      </c>
    </row>
    <row r="9840">
      <c r="A9840" s="3" t="s">
        <v>25117</v>
      </c>
      <c r="B9840" s="3" t="s">
        <v>8858</v>
      </c>
      <c r="C9840" s="5" t="s">
        <v>45</v>
      </c>
      <c r="D9840" s="3" t="s">
        <v>221</v>
      </c>
      <c r="E9840" s="3" t="s">
        <v>676</v>
      </c>
      <c r="F9840" s="7">
        <v>45938.95623931061</v>
      </c>
      <c r="G9840" s="3" t="s">
        <v>2770</v>
      </c>
    </row>
    <row r="9841">
      <c r="A9841" s="3" t="s">
        <v>25118</v>
      </c>
      <c r="B9841" s="3" t="s">
        <v>8858</v>
      </c>
      <c r="C9841" s="5" t="s">
        <v>221</v>
      </c>
      <c r="D9841" s="3" t="s">
        <v>195</v>
      </c>
      <c r="E9841" s="3" t="s">
        <v>676</v>
      </c>
      <c r="F9841" s="7">
        <v>45938.95971153283</v>
      </c>
      <c r="G9841" s="3" t="s">
        <v>3055</v>
      </c>
    </row>
    <row r="9842">
      <c r="A9842" s="3" t="s">
        <v>25119</v>
      </c>
      <c r="B9842" s="3" t="s">
        <v>8861</v>
      </c>
      <c r="C9842" s="5" t="s">
        <v>45</v>
      </c>
      <c r="D9842" s="3" t="s">
        <v>221</v>
      </c>
      <c r="E9842" s="3" t="s">
        <v>976</v>
      </c>
      <c r="F9842" s="7">
        <v>45939.02741415603</v>
      </c>
      <c r="G9842" s="3" t="s">
        <v>10940</v>
      </c>
    </row>
    <row r="9843">
      <c r="A9843" s="3" t="s">
        <v>25120</v>
      </c>
      <c r="B9843" s="3" t="s">
        <v>8861</v>
      </c>
      <c r="C9843" s="5" t="s">
        <v>221</v>
      </c>
      <c r="D9843" s="3" t="s">
        <v>614</v>
      </c>
      <c r="E9843" s="3" t="s">
        <v>118</v>
      </c>
      <c r="F9843" s="7">
        <v>45939.03088637825</v>
      </c>
      <c r="G9843" s="3" t="s">
        <v>10943</v>
      </c>
    </row>
    <row r="9844">
      <c r="A9844" s="3" t="s">
        <v>25121</v>
      </c>
      <c r="B9844" s="3" t="s">
        <v>8861</v>
      </c>
      <c r="C9844" s="5" t="s">
        <v>614</v>
      </c>
      <c r="D9844" s="3" t="s">
        <v>206</v>
      </c>
      <c r="E9844" s="3" t="s">
        <v>100</v>
      </c>
      <c r="F9844" s="7">
        <v>45939.034358600475</v>
      </c>
      <c r="G9844" s="3" t="s">
        <v>10946</v>
      </c>
    </row>
    <row r="9845">
      <c r="A9845" s="3" t="s">
        <v>25122</v>
      </c>
      <c r="B9845" s="3" t="s">
        <v>8861</v>
      </c>
      <c r="C9845" s="5" t="s">
        <v>206</v>
      </c>
      <c r="D9845" s="3" t="s">
        <v>68</v>
      </c>
      <c r="E9845" s="3" t="s">
        <v>100</v>
      </c>
      <c r="F9845" s="7">
        <v>45939.037830822694</v>
      </c>
      <c r="G9845" s="3" t="s">
        <v>10949</v>
      </c>
    </row>
    <row r="9846">
      <c r="A9846" s="3" t="s">
        <v>25123</v>
      </c>
      <c r="B9846" s="3" t="s">
        <v>8863</v>
      </c>
      <c r="C9846" s="5" t="s">
        <v>45</v>
      </c>
      <c r="D9846" s="3" t="s">
        <v>221</v>
      </c>
      <c r="E9846" s="3" t="s">
        <v>760</v>
      </c>
      <c r="F9846" s="7">
        <v>45939.09858900145</v>
      </c>
      <c r="G9846" s="3" t="s">
        <v>8654</v>
      </c>
    </row>
    <row r="9847">
      <c r="A9847" s="3" t="s">
        <v>25124</v>
      </c>
      <c r="B9847" s="3" t="s">
        <v>8863</v>
      </c>
      <c r="C9847" s="5" t="s">
        <v>221</v>
      </c>
      <c r="D9847" s="3" t="s">
        <v>614</v>
      </c>
      <c r="E9847" s="3" t="s">
        <v>118</v>
      </c>
      <c r="F9847" s="7">
        <v>45939.10206122367</v>
      </c>
      <c r="G9847" s="3" t="s">
        <v>8657</v>
      </c>
    </row>
    <row r="9848">
      <c r="A9848" s="3" t="s">
        <v>25125</v>
      </c>
      <c r="B9848" s="3" t="s">
        <v>8863</v>
      </c>
      <c r="C9848" s="5" t="s">
        <v>614</v>
      </c>
      <c r="D9848" s="3" t="s">
        <v>206</v>
      </c>
      <c r="E9848" s="3" t="s">
        <v>100</v>
      </c>
      <c r="F9848" s="7">
        <v>45939.105533445894</v>
      </c>
      <c r="G9848" s="3" t="s">
        <v>8659</v>
      </c>
    </row>
    <row r="9849">
      <c r="A9849" s="3" t="s">
        <v>25126</v>
      </c>
      <c r="B9849" s="3" t="s">
        <v>8863</v>
      </c>
      <c r="C9849" s="5" t="s">
        <v>206</v>
      </c>
      <c r="D9849" s="3" t="s">
        <v>68</v>
      </c>
      <c r="E9849" s="3" t="s">
        <v>100</v>
      </c>
      <c r="F9849" s="7">
        <v>45939.10900566811</v>
      </c>
      <c r="G9849" s="3" t="s">
        <v>8662</v>
      </c>
    </row>
    <row r="9850">
      <c r="A9850" s="3" t="s">
        <v>25127</v>
      </c>
      <c r="B9850" s="3" t="s">
        <v>8867</v>
      </c>
      <c r="C9850" s="5" t="s">
        <v>45</v>
      </c>
      <c r="D9850" s="3" t="s">
        <v>221</v>
      </c>
      <c r="E9850" s="3" t="s">
        <v>658</v>
      </c>
      <c r="F9850" s="7">
        <v>45939.16976384686</v>
      </c>
      <c r="G9850" s="3" t="s">
        <v>4658</v>
      </c>
    </row>
    <row r="9851">
      <c r="A9851" s="3" t="s">
        <v>25128</v>
      </c>
      <c r="B9851" s="3" t="s">
        <v>8867</v>
      </c>
      <c r="C9851" s="5" t="s">
        <v>221</v>
      </c>
      <c r="D9851" s="3" t="s">
        <v>614</v>
      </c>
      <c r="E9851" s="3" t="s">
        <v>118</v>
      </c>
      <c r="F9851" s="7">
        <v>45939.17323606908</v>
      </c>
      <c r="G9851" s="3" t="s">
        <v>4661</v>
      </c>
    </row>
    <row r="9852">
      <c r="A9852" s="3" t="s">
        <v>25129</v>
      </c>
      <c r="B9852" s="3" t="s">
        <v>8867</v>
      </c>
      <c r="C9852" s="5" t="s">
        <v>614</v>
      </c>
      <c r="D9852" s="3" t="s">
        <v>206</v>
      </c>
      <c r="E9852" s="3" t="s">
        <v>100</v>
      </c>
      <c r="F9852" s="7">
        <v>45939.17670829131</v>
      </c>
      <c r="G9852" s="3" t="s">
        <v>4664</v>
      </c>
    </row>
    <row r="9853">
      <c r="A9853" s="3" t="s">
        <v>25130</v>
      </c>
      <c r="B9853" s="3" t="s">
        <v>8867</v>
      </c>
      <c r="C9853" s="5" t="s">
        <v>206</v>
      </c>
      <c r="D9853" s="3" t="s">
        <v>68</v>
      </c>
      <c r="E9853" s="3" t="s">
        <v>100</v>
      </c>
      <c r="F9853" s="7">
        <v>45939.180180513526</v>
      </c>
      <c r="G9853" s="3" t="s">
        <v>4667</v>
      </c>
    </row>
    <row r="9854">
      <c r="A9854" s="3" t="s">
        <v>25131</v>
      </c>
      <c r="B9854" s="3" t="s">
        <v>8870</v>
      </c>
      <c r="C9854" s="5" t="s">
        <v>45</v>
      </c>
      <c r="D9854" s="3" t="s">
        <v>221</v>
      </c>
      <c r="E9854" s="3" t="s">
        <v>826</v>
      </c>
      <c r="F9854" s="7">
        <v>45939.24093869227</v>
      </c>
      <c r="G9854" s="3" t="s">
        <v>11577</v>
      </c>
    </row>
    <row r="9855">
      <c r="A9855" s="3" t="s">
        <v>25132</v>
      </c>
      <c r="B9855" s="3" t="s">
        <v>8870</v>
      </c>
      <c r="C9855" s="5" t="s">
        <v>221</v>
      </c>
      <c r="D9855" s="3" t="s">
        <v>195</v>
      </c>
      <c r="E9855" s="3" t="s">
        <v>826</v>
      </c>
      <c r="F9855" s="7">
        <v>45939.24441091449</v>
      </c>
      <c r="G9855" s="3" t="s">
        <v>25133</v>
      </c>
    </row>
    <row r="9856">
      <c r="A9856" s="3" t="s">
        <v>25134</v>
      </c>
      <c r="B9856" s="3" t="s">
        <v>8873</v>
      </c>
      <c r="C9856" s="5" t="s">
        <v>45</v>
      </c>
      <c r="D9856" s="3" t="s">
        <v>221</v>
      </c>
      <c r="E9856" s="3" t="s">
        <v>230</v>
      </c>
      <c r="F9856" s="7">
        <v>45939.31211353769</v>
      </c>
      <c r="G9856" s="3" t="s">
        <v>15734</v>
      </c>
    </row>
    <row r="9857">
      <c r="A9857" s="3" t="s">
        <v>25135</v>
      </c>
      <c r="B9857" s="3" t="s">
        <v>8873</v>
      </c>
      <c r="C9857" s="5" t="s">
        <v>221</v>
      </c>
      <c r="D9857" s="3" t="s">
        <v>195</v>
      </c>
      <c r="E9857" s="3" t="s">
        <v>230</v>
      </c>
      <c r="F9857" s="7">
        <v>45939.31558575991</v>
      </c>
      <c r="G9857" s="3" t="s">
        <v>25136</v>
      </c>
    </row>
    <row r="9858">
      <c r="A9858" s="3" t="s">
        <v>25137</v>
      </c>
      <c r="B9858" s="3" t="s">
        <v>8876</v>
      </c>
      <c r="C9858" s="5" t="s">
        <v>45</v>
      </c>
      <c r="D9858" s="3" t="s">
        <v>221</v>
      </c>
      <c r="E9858" s="3" t="s">
        <v>819</v>
      </c>
      <c r="F9858" s="7">
        <v>45939.383288383106</v>
      </c>
      <c r="G9858" s="3" t="s">
        <v>5999</v>
      </c>
    </row>
    <row r="9859">
      <c r="A9859" s="3" t="s">
        <v>25138</v>
      </c>
      <c r="B9859" s="3" t="s">
        <v>8876</v>
      </c>
      <c r="C9859" s="5" t="s">
        <v>221</v>
      </c>
      <c r="D9859" s="3" t="s">
        <v>614</v>
      </c>
      <c r="E9859" s="3" t="s">
        <v>118</v>
      </c>
      <c r="F9859" s="7">
        <v>45939.386760605325</v>
      </c>
      <c r="G9859" s="3" t="s">
        <v>6001</v>
      </c>
    </row>
    <row r="9860">
      <c r="A9860" s="3" t="s">
        <v>25139</v>
      </c>
      <c r="B9860" s="3" t="s">
        <v>8876</v>
      </c>
      <c r="C9860" s="5" t="s">
        <v>614</v>
      </c>
      <c r="D9860" s="3" t="s">
        <v>206</v>
      </c>
      <c r="E9860" s="3" t="s">
        <v>100</v>
      </c>
      <c r="F9860" s="7">
        <v>45939.39023282755</v>
      </c>
      <c r="G9860" s="3" t="s">
        <v>6004</v>
      </c>
    </row>
    <row r="9861">
      <c r="A9861" s="3" t="s">
        <v>25140</v>
      </c>
      <c r="B9861" s="3" t="s">
        <v>8876</v>
      </c>
      <c r="C9861" s="5" t="s">
        <v>206</v>
      </c>
      <c r="D9861" s="3" t="s">
        <v>68</v>
      </c>
      <c r="E9861" s="3" t="s">
        <v>100</v>
      </c>
      <c r="F9861" s="7">
        <v>45939.39370504977</v>
      </c>
      <c r="G9861" s="3" t="s">
        <v>6007</v>
      </c>
    </row>
    <row r="9862">
      <c r="A9862" s="3" t="s">
        <v>25141</v>
      </c>
      <c r="B9862" s="3" t="s">
        <v>8879</v>
      </c>
      <c r="C9862" s="5" t="s">
        <v>45</v>
      </c>
      <c r="D9862" s="3" t="s">
        <v>221</v>
      </c>
      <c r="E9862" s="3" t="s">
        <v>926</v>
      </c>
      <c r="F9862" s="7">
        <v>45939.45446322852</v>
      </c>
      <c r="G9862" s="3" t="s">
        <v>4946</v>
      </c>
    </row>
    <row r="9863">
      <c r="A9863" s="3" t="s">
        <v>25142</v>
      </c>
      <c r="B9863" s="3" t="s">
        <v>8879</v>
      </c>
      <c r="C9863" s="5" t="s">
        <v>221</v>
      </c>
      <c r="D9863" s="3" t="s">
        <v>614</v>
      </c>
      <c r="E9863" s="3" t="s">
        <v>118</v>
      </c>
      <c r="F9863" s="7">
        <v>45939.45793545074</v>
      </c>
      <c r="G9863" s="3" t="s">
        <v>4949</v>
      </c>
    </row>
    <row r="9864">
      <c r="A9864" s="3" t="s">
        <v>25143</v>
      </c>
      <c r="B9864" s="3" t="s">
        <v>8879</v>
      </c>
      <c r="C9864" s="5" t="s">
        <v>614</v>
      </c>
      <c r="D9864" s="3" t="s">
        <v>206</v>
      </c>
      <c r="E9864" s="3" t="s">
        <v>100</v>
      </c>
      <c r="F9864" s="7">
        <v>45939.46140767296</v>
      </c>
      <c r="G9864" s="3" t="s">
        <v>4952</v>
      </c>
    </row>
    <row r="9865">
      <c r="A9865" s="3" t="s">
        <v>25144</v>
      </c>
      <c r="B9865" s="3" t="s">
        <v>8879</v>
      </c>
      <c r="C9865" s="5" t="s">
        <v>206</v>
      </c>
      <c r="D9865" s="3" t="s">
        <v>68</v>
      </c>
      <c r="E9865" s="3" t="s">
        <v>100</v>
      </c>
      <c r="F9865" s="7">
        <v>45939.46487989518</v>
      </c>
      <c r="G9865" s="3" t="s">
        <v>4955</v>
      </c>
    </row>
    <row r="9866">
      <c r="A9866" s="3" t="s">
        <v>25145</v>
      </c>
      <c r="B9866" s="3" t="s">
        <v>8882</v>
      </c>
      <c r="C9866" s="5" t="s">
        <v>45</v>
      </c>
      <c r="D9866" s="3" t="s">
        <v>221</v>
      </c>
      <c r="E9866" s="3" t="s">
        <v>559</v>
      </c>
      <c r="F9866" s="7">
        <v>45939.52563807394</v>
      </c>
      <c r="G9866" s="3" t="s">
        <v>25146</v>
      </c>
    </row>
    <row r="9867">
      <c r="A9867" s="3" t="s">
        <v>25147</v>
      </c>
      <c r="B9867" s="3" t="s">
        <v>8882</v>
      </c>
      <c r="C9867" s="5" t="s">
        <v>221</v>
      </c>
      <c r="D9867" s="3" t="s">
        <v>614</v>
      </c>
      <c r="E9867" s="3" t="s">
        <v>118</v>
      </c>
      <c r="F9867" s="7">
        <v>45939.52911029616</v>
      </c>
      <c r="G9867" s="3" t="s">
        <v>25148</v>
      </c>
    </row>
    <row r="9868">
      <c r="A9868" s="3" t="s">
        <v>25149</v>
      </c>
      <c r="B9868" s="3" t="s">
        <v>8882</v>
      </c>
      <c r="C9868" s="5" t="s">
        <v>614</v>
      </c>
      <c r="D9868" s="3" t="s">
        <v>206</v>
      </c>
      <c r="E9868" s="3" t="s">
        <v>100</v>
      </c>
      <c r="F9868" s="7">
        <v>45939.53258251838</v>
      </c>
      <c r="G9868" s="3" t="s">
        <v>25150</v>
      </c>
    </row>
    <row r="9869">
      <c r="A9869" s="3" t="s">
        <v>25151</v>
      </c>
      <c r="B9869" s="3" t="s">
        <v>8882</v>
      </c>
      <c r="C9869" s="5" t="s">
        <v>206</v>
      </c>
      <c r="D9869" s="3" t="s">
        <v>68</v>
      </c>
      <c r="E9869" s="3" t="s">
        <v>100</v>
      </c>
      <c r="F9869" s="7">
        <v>45939.5360547406</v>
      </c>
      <c r="G9869" s="3" t="s">
        <v>25152</v>
      </c>
    </row>
    <row r="9870">
      <c r="A9870" s="3" t="s">
        <v>25153</v>
      </c>
      <c r="B9870" s="3" t="s">
        <v>8885</v>
      </c>
      <c r="C9870" s="5" t="s">
        <v>45</v>
      </c>
      <c r="D9870" s="3" t="s">
        <v>221</v>
      </c>
      <c r="E9870" s="3" t="s">
        <v>669</v>
      </c>
      <c r="F9870" s="7">
        <v>45939.59681291935</v>
      </c>
      <c r="G9870" s="3" t="s">
        <v>25154</v>
      </c>
    </row>
    <row r="9871">
      <c r="A9871" s="3" t="s">
        <v>25155</v>
      </c>
      <c r="B9871" s="3" t="s">
        <v>8885</v>
      </c>
      <c r="C9871" s="5" t="s">
        <v>221</v>
      </c>
      <c r="D9871" s="3" t="s">
        <v>614</v>
      </c>
      <c r="E9871" s="3" t="s">
        <v>118</v>
      </c>
      <c r="F9871" s="7">
        <v>45939.60028514157</v>
      </c>
      <c r="G9871" s="3" t="s">
        <v>25156</v>
      </c>
    </row>
    <row r="9872">
      <c r="A9872" s="3" t="s">
        <v>25157</v>
      </c>
      <c r="B9872" s="3" t="s">
        <v>8885</v>
      </c>
      <c r="C9872" s="5" t="s">
        <v>614</v>
      </c>
      <c r="D9872" s="3" t="s">
        <v>206</v>
      </c>
      <c r="E9872" s="3" t="s">
        <v>100</v>
      </c>
      <c r="F9872" s="7">
        <v>45939.603757363795</v>
      </c>
      <c r="G9872" s="3" t="s">
        <v>25158</v>
      </c>
    </row>
    <row r="9873">
      <c r="A9873" s="3" t="s">
        <v>25159</v>
      </c>
      <c r="B9873" s="3" t="s">
        <v>8885</v>
      </c>
      <c r="C9873" s="5" t="s">
        <v>206</v>
      </c>
      <c r="D9873" s="3" t="s">
        <v>68</v>
      </c>
      <c r="E9873" s="3" t="s">
        <v>100</v>
      </c>
      <c r="F9873" s="7">
        <v>45939.607229586014</v>
      </c>
      <c r="G9873" s="3" t="s">
        <v>25160</v>
      </c>
    </row>
    <row r="9874">
      <c r="A9874" s="3" t="s">
        <v>25161</v>
      </c>
      <c r="B9874" s="3" t="s">
        <v>8887</v>
      </c>
      <c r="C9874" s="5" t="s">
        <v>45</v>
      </c>
      <c r="D9874" s="3" t="s">
        <v>221</v>
      </c>
      <c r="E9874" s="3" t="s">
        <v>619</v>
      </c>
      <c r="F9874" s="7">
        <v>45939.66798776476</v>
      </c>
      <c r="G9874" s="3" t="s">
        <v>8746</v>
      </c>
    </row>
    <row r="9875">
      <c r="A9875" s="3" t="s">
        <v>25162</v>
      </c>
      <c r="B9875" s="3" t="s">
        <v>8887</v>
      </c>
      <c r="C9875" s="5" t="s">
        <v>221</v>
      </c>
      <c r="D9875" s="3" t="s">
        <v>614</v>
      </c>
      <c r="E9875" s="3" t="s">
        <v>118</v>
      </c>
      <c r="F9875" s="7">
        <v>45939.67145998698</v>
      </c>
      <c r="G9875" s="3" t="s">
        <v>8749</v>
      </c>
    </row>
    <row r="9876">
      <c r="A9876" s="3" t="s">
        <v>25163</v>
      </c>
      <c r="B9876" s="3" t="s">
        <v>8887</v>
      </c>
      <c r="C9876" s="5" t="s">
        <v>614</v>
      </c>
      <c r="D9876" s="3" t="s">
        <v>206</v>
      </c>
      <c r="E9876" s="3" t="s">
        <v>100</v>
      </c>
      <c r="F9876" s="7">
        <v>45939.67493220921</v>
      </c>
      <c r="G9876" s="3" t="s">
        <v>8752</v>
      </c>
    </row>
    <row r="9877">
      <c r="A9877" s="3" t="s">
        <v>25164</v>
      </c>
      <c r="B9877" s="3" t="s">
        <v>8887</v>
      </c>
      <c r="C9877" s="5" t="s">
        <v>206</v>
      </c>
      <c r="D9877" s="3" t="s">
        <v>68</v>
      </c>
      <c r="E9877" s="3" t="s">
        <v>100</v>
      </c>
      <c r="F9877" s="7">
        <v>45939.678404431426</v>
      </c>
      <c r="G9877" s="3" t="s">
        <v>8754</v>
      </c>
    </row>
    <row r="9878">
      <c r="A9878" s="3" t="s">
        <v>25165</v>
      </c>
      <c r="B9878" s="3" t="s">
        <v>8890</v>
      </c>
      <c r="C9878" s="5" t="s">
        <v>45</v>
      </c>
      <c r="D9878" s="3" t="s">
        <v>221</v>
      </c>
      <c r="E9878" s="3" t="s">
        <v>493</v>
      </c>
      <c r="F9878" s="7">
        <v>45939.73916261018</v>
      </c>
      <c r="G9878" s="3" t="s">
        <v>16077</v>
      </c>
    </row>
    <row r="9879">
      <c r="A9879" s="3" t="s">
        <v>25166</v>
      </c>
      <c r="B9879" s="3" t="s">
        <v>8890</v>
      </c>
      <c r="C9879" s="5" t="s">
        <v>221</v>
      </c>
      <c r="D9879" s="3" t="s">
        <v>614</v>
      </c>
      <c r="E9879" s="3" t="s">
        <v>118</v>
      </c>
      <c r="F9879" s="7">
        <v>45939.7426348324</v>
      </c>
      <c r="G9879" s="3" t="s">
        <v>16080</v>
      </c>
    </row>
    <row r="9880">
      <c r="A9880" s="3" t="s">
        <v>25167</v>
      </c>
      <c r="B9880" s="3" t="s">
        <v>8890</v>
      </c>
      <c r="C9880" s="5" t="s">
        <v>614</v>
      </c>
      <c r="D9880" s="3" t="s">
        <v>206</v>
      </c>
      <c r="E9880" s="3" t="s">
        <v>100</v>
      </c>
      <c r="F9880" s="7">
        <v>45939.74610705463</v>
      </c>
      <c r="G9880" s="3" t="s">
        <v>16083</v>
      </c>
    </row>
    <row r="9881">
      <c r="A9881" s="3" t="s">
        <v>25168</v>
      </c>
      <c r="B9881" s="3" t="s">
        <v>8890</v>
      </c>
      <c r="C9881" s="5" t="s">
        <v>206</v>
      </c>
      <c r="D9881" s="3" t="s">
        <v>68</v>
      </c>
      <c r="E9881" s="3" t="s">
        <v>100</v>
      </c>
      <c r="F9881" s="7">
        <v>45939.749579276846</v>
      </c>
      <c r="G9881" s="3" t="s">
        <v>16086</v>
      </c>
    </row>
    <row r="9882">
      <c r="A9882" s="3" t="s">
        <v>25169</v>
      </c>
      <c r="B9882" s="3" t="s">
        <v>8893</v>
      </c>
      <c r="C9882" s="5" t="s">
        <v>45</v>
      </c>
      <c r="D9882" s="3" t="s">
        <v>221</v>
      </c>
      <c r="E9882" s="3" t="s">
        <v>126</v>
      </c>
      <c r="F9882" s="7">
        <v>45939.810337455594</v>
      </c>
      <c r="G9882" s="3" t="s">
        <v>8769</v>
      </c>
    </row>
    <row r="9883">
      <c r="A9883" s="3" t="s">
        <v>25170</v>
      </c>
      <c r="B9883" s="3" t="s">
        <v>8893</v>
      </c>
      <c r="C9883" s="5" t="s">
        <v>221</v>
      </c>
      <c r="D9883" s="3" t="s">
        <v>614</v>
      </c>
      <c r="E9883" s="3" t="s">
        <v>118</v>
      </c>
      <c r="F9883" s="7">
        <v>45939.81380967781</v>
      </c>
      <c r="G9883" s="3" t="s">
        <v>8772</v>
      </c>
    </row>
    <row r="9884">
      <c r="A9884" s="3" t="s">
        <v>25171</v>
      </c>
      <c r="B9884" s="3" t="s">
        <v>8893</v>
      </c>
      <c r="C9884" s="5" t="s">
        <v>614</v>
      </c>
      <c r="D9884" s="3" t="s">
        <v>206</v>
      </c>
      <c r="E9884" s="3" t="s">
        <v>100</v>
      </c>
      <c r="F9884" s="7">
        <v>45939.81728190004</v>
      </c>
      <c r="G9884" s="3" t="s">
        <v>8775</v>
      </c>
    </row>
    <row r="9885">
      <c r="A9885" s="3" t="s">
        <v>25172</v>
      </c>
      <c r="B9885" s="3" t="s">
        <v>8893</v>
      </c>
      <c r="C9885" s="5" t="s">
        <v>206</v>
      </c>
      <c r="D9885" s="3" t="s">
        <v>68</v>
      </c>
      <c r="E9885" s="3" t="s">
        <v>100</v>
      </c>
      <c r="F9885" s="7">
        <v>45939.82075412226</v>
      </c>
      <c r="G9885" s="3" t="s">
        <v>8778</v>
      </c>
    </row>
    <row r="9886">
      <c r="A9886" s="3" t="s">
        <v>25173</v>
      </c>
      <c r="B9886" s="3" t="s">
        <v>8897</v>
      </c>
      <c r="C9886" s="5" t="s">
        <v>45</v>
      </c>
      <c r="D9886" s="3" t="s">
        <v>221</v>
      </c>
      <c r="E9886" s="3" t="s">
        <v>202</v>
      </c>
      <c r="F9886" s="7">
        <v>45939.881512301006</v>
      </c>
      <c r="G9886" s="3" t="s">
        <v>14836</v>
      </c>
    </row>
    <row r="9887">
      <c r="A9887" s="3" t="s">
        <v>25174</v>
      </c>
      <c r="B9887" s="3" t="s">
        <v>8897</v>
      </c>
      <c r="C9887" s="5" t="s">
        <v>221</v>
      </c>
      <c r="D9887" s="3" t="s">
        <v>614</v>
      </c>
      <c r="E9887" s="3" t="s">
        <v>118</v>
      </c>
      <c r="F9887" s="7">
        <v>45939.884984523225</v>
      </c>
      <c r="G9887" s="3" t="s">
        <v>14839</v>
      </c>
    </row>
    <row r="9888">
      <c r="A9888" s="3" t="s">
        <v>25175</v>
      </c>
      <c r="B9888" s="3" t="s">
        <v>8897</v>
      </c>
      <c r="C9888" s="5" t="s">
        <v>614</v>
      </c>
      <c r="D9888" s="3" t="s">
        <v>206</v>
      </c>
      <c r="E9888" s="3" t="s">
        <v>100</v>
      </c>
      <c r="F9888" s="7">
        <v>45939.88845674545</v>
      </c>
      <c r="G9888" s="3" t="s">
        <v>14842</v>
      </c>
    </row>
    <row r="9889">
      <c r="A9889" s="3" t="s">
        <v>25176</v>
      </c>
      <c r="B9889" s="3" t="s">
        <v>8897</v>
      </c>
      <c r="C9889" s="5" t="s">
        <v>206</v>
      </c>
      <c r="D9889" s="3" t="s">
        <v>68</v>
      </c>
      <c r="E9889" s="3" t="s">
        <v>100</v>
      </c>
      <c r="F9889" s="7">
        <v>45939.89192896767</v>
      </c>
      <c r="G9889" s="3" t="s">
        <v>14845</v>
      </c>
    </row>
    <row r="9890">
      <c r="A9890" s="3" t="s">
        <v>25177</v>
      </c>
      <c r="B9890" s="3" t="s">
        <v>8900</v>
      </c>
      <c r="C9890" s="5" t="s">
        <v>45</v>
      </c>
      <c r="D9890" s="3" t="s">
        <v>221</v>
      </c>
      <c r="E9890" s="3" t="s">
        <v>615</v>
      </c>
      <c r="F9890" s="7">
        <v>45939.952687146426</v>
      </c>
      <c r="G9890" s="3" t="s">
        <v>25178</v>
      </c>
    </row>
    <row r="9891">
      <c r="A9891" s="3" t="s">
        <v>25179</v>
      </c>
      <c r="B9891" s="3" t="s">
        <v>8900</v>
      </c>
      <c r="C9891" s="5" t="s">
        <v>221</v>
      </c>
      <c r="D9891" s="3" t="s">
        <v>614</v>
      </c>
      <c r="E9891" s="3" t="s">
        <v>118</v>
      </c>
      <c r="F9891" s="7">
        <v>45939.956159368645</v>
      </c>
      <c r="G9891" s="3" t="s">
        <v>25180</v>
      </c>
    </row>
    <row r="9892">
      <c r="A9892" s="3" t="s">
        <v>25181</v>
      </c>
      <c r="B9892" s="3" t="s">
        <v>8900</v>
      </c>
      <c r="C9892" s="5" t="s">
        <v>614</v>
      </c>
      <c r="D9892" s="3" t="s">
        <v>206</v>
      </c>
      <c r="E9892" s="3" t="s">
        <v>100</v>
      </c>
      <c r="F9892" s="7">
        <v>45939.95963159087</v>
      </c>
      <c r="G9892" s="3" t="s">
        <v>25182</v>
      </c>
    </row>
    <row r="9893">
      <c r="A9893" s="3" t="s">
        <v>25183</v>
      </c>
      <c r="B9893" s="3" t="s">
        <v>8900</v>
      </c>
      <c r="C9893" s="5" t="s">
        <v>206</v>
      </c>
      <c r="D9893" s="3" t="s">
        <v>68</v>
      </c>
      <c r="E9893" s="3" t="s">
        <v>100</v>
      </c>
      <c r="F9893" s="7">
        <v>45939.96310381309</v>
      </c>
      <c r="G9893" s="3" t="s">
        <v>25184</v>
      </c>
    </row>
    <row r="9894">
      <c r="A9894" s="3" t="s">
        <v>25185</v>
      </c>
      <c r="B9894" s="3" t="s">
        <v>8903</v>
      </c>
      <c r="C9894" s="5" t="s">
        <v>45</v>
      </c>
      <c r="D9894" s="3" t="s">
        <v>221</v>
      </c>
      <c r="E9894" s="3" t="s">
        <v>819</v>
      </c>
      <c r="F9894" s="7">
        <v>45940.023861991845</v>
      </c>
      <c r="G9894" s="3" t="s">
        <v>8827</v>
      </c>
    </row>
    <row r="9895">
      <c r="A9895" s="3" t="s">
        <v>25186</v>
      </c>
      <c r="B9895" s="3" t="s">
        <v>8903</v>
      </c>
      <c r="C9895" s="5" t="s">
        <v>221</v>
      </c>
      <c r="D9895" s="3" t="s">
        <v>614</v>
      </c>
      <c r="E9895" s="3" t="s">
        <v>118</v>
      </c>
      <c r="F9895" s="7">
        <v>45940.027334214064</v>
      </c>
      <c r="G9895" s="3" t="s">
        <v>8830</v>
      </c>
    </row>
    <row r="9896">
      <c r="A9896" s="3" t="s">
        <v>25187</v>
      </c>
      <c r="B9896" s="3" t="s">
        <v>8903</v>
      </c>
      <c r="C9896" s="5" t="s">
        <v>614</v>
      </c>
      <c r="D9896" s="3" t="s">
        <v>206</v>
      </c>
      <c r="E9896" s="3" t="s">
        <v>100</v>
      </c>
      <c r="F9896" s="7">
        <v>45940.03080643629</v>
      </c>
      <c r="G9896" s="3" t="s">
        <v>8833</v>
      </c>
    </row>
    <row r="9897">
      <c r="A9897" s="3" t="s">
        <v>25188</v>
      </c>
      <c r="B9897" s="3" t="s">
        <v>8903</v>
      </c>
      <c r="C9897" s="5" t="s">
        <v>206</v>
      </c>
      <c r="D9897" s="3" t="s">
        <v>68</v>
      </c>
      <c r="E9897" s="3" t="s">
        <v>100</v>
      </c>
      <c r="F9897" s="7">
        <v>45940.03427865851</v>
      </c>
      <c r="G9897" s="3" t="s">
        <v>8836</v>
      </c>
    </row>
    <row r="9898">
      <c r="A9898" s="3" t="s">
        <v>25189</v>
      </c>
      <c r="B9898" s="3" t="s">
        <v>8906</v>
      </c>
      <c r="C9898" s="5" t="s">
        <v>45</v>
      </c>
      <c r="D9898" s="3" t="s">
        <v>221</v>
      </c>
      <c r="E9898" s="3" t="s">
        <v>1008</v>
      </c>
      <c r="F9898" s="7">
        <v>45940.09503683725</v>
      </c>
      <c r="G9898" s="3" t="s">
        <v>18591</v>
      </c>
    </row>
    <row r="9899">
      <c r="A9899" s="3" t="s">
        <v>25190</v>
      </c>
      <c r="B9899" s="3" t="s">
        <v>8906</v>
      </c>
      <c r="C9899" s="5" t="s">
        <v>221</v>
      </c>
      <c r="D9899" s="3" t="s">
        <v>614</v>
      </c>
      <c r="E9899" s="3" t="s">
        <v>118</v>
      </c>
      <c r="F9899" s="7">
        <v>45940.09850905947</v>
      </c>
      <c r="G9899" s="3" t="s">
        <v>18594</v>
      </c>
    </row>
    <row r="9900">
      <c r="A9900" s="3" t="s">
        <v>25191</v>
      </c>
      <c r="B9900" s="3" t="s">
        <v>8906</v>
      </c>
      <c r="C9900" s="5" t="s">
        <v>614</v>
      </c>
      <c r="D9900" s="3" t="s">
        <v>206</v>
      </c>
      <c r="E9900" s="3" t="s">
        <v>100</v>
      </c>
      <c r="F9900" s="7">
        <v>45940.101981281696</v>
      </c>
      <c r="G9900" s="3" t="s">
        <v>18597</v>
      </c>
    </row>
    <row r="9901">
      <c r="A9901" s="3" t="s">
        <v>25192</v>
      </c>
      <c r="B9901" s="3" t="s">
        <v>8906</v>
      </c>
      <c r="C9901" s="5" t="s">
        <v>206</v>
      </c>
      <c r="D9901" s="3" t="s">
        <v>68</v>
      </c>
      <c r="E9901" s="3" t="s">
        <v>100</v>
      </c>
      <c r="F9901" s="7">
        <v>45940.105453503915</v>
      </c>
      <c r="G9901" s="3" t="s">
        <v>18599</v>
      </c>
    </row>
    <row r="9902">
      <c r="A9902" s="3" t="s">
        <v>25193</v>
      </c>
      <c r="B9902" s="3" t="s">
        <v>8909</v>
      </c>
      <c r="C9902" s="5" t="s">
        <v>45</v>
      </c>
      <c r="D9902" s="3" t="s">
        <v>221</v>
      </c>
      <c r="E9902" s="3" t="s">
        <v>731</v>
      </c>
      <c r="F9902" s="7">
        <v>45940.16621168267</v>
      </c>
      <c r="G9902" s="3" t="s">
        <v>8839</v>
      </c>
    </row>
    <row r="9903">
      <c r="A9903" s="3" t="s">
        <v>25194</v>
      </c>
      <c r="B9903" s="3" t="s">
        <v>8909</v>
      </c>
      <c r="C9903" s="5" t="s">
        <v>221</v>
      </c>
      <c r="D9903" s="3" t="s">
        <v>614</v>
      </c>
      <c r="E9903" s="3" t="s">
        <v>118</v>
      </c>
      <c r="F9903" s="7">
        <v>45940.16968390489</v>
      </c>
      <c r="G9903" s="3" t="s">
        <v>8842</v>
      </c>
    </row>
    <row r="9904">
      <c r="A9904" s="3" t="s">
        <v>25195</v>
      </c>
      <c r="B9904" s="3" t="s">
        <v>8909</v>
      </c>
      <c r="C9904" s="5" t="s">
        <v>614</v>
      </c>
      <c r="D9904" s="3" t="s">
        <v>206</v>
      </c>
      <c r="E9904" s="3" t="s">
        <v>100</v>
      </c>
      <c r="F9904" s="7">
        <v>45940.173156127115</v>
      </c>
      <c r="G9904" s="3" t="s">
        <v>8845</v>
      </c>
    </row>
    <row r="9905">
      <c r="A9905" s="3" t="s">
        <v>25196</v>
      </c>
      <c r="B9905" s="3" t="s">
        <v>8909</v>
      </c>
      <c r="C9905" s="5" t="s">
        <v>206</v>
      </c>
      <c r="D9905" s="3" t="s">
        <v>68</v>
      </c>
      <c r="E9905" s="3" t="s">
        <v>100</v>
      </c>
      <c r="F9905" s="7">
        <v>45940.176628349334</v>
      </c>
      <c r="G9905" s="3" t="s">
        <v>8848</v>
      </c>
    </row>
    <row r="9906">
      <c r="A9906" s="3" t="s">
        <v>25197</v>
      </c>
      <c r="B9906" s="3" t="s">
        <v>8914</v>
      </c>
      <c r="C9906" s="5" t="s">
        <v>45</v>
      </c>
      <c r="D9906" s="3" t="s">
        <v>221</v>
      </c>
      <c r="E9906" s="3" t="s">
        <v>934</v>
      </c>
      <c r="F9906" s="7">
        <v>45940.23738652809</v>
      </c>
      <c r="G9906" s="3" t="s">
        <v>24451</v>
      </c>
    </row>
    <row r="9907">
      <c r="A9907" s="3" t="s">
        <v>25198</v>
      </c>
      <c r="B9907" s="3" t="s">
        <v>8914</v>
      </c>
      <c r="C9907" s="5" t="s">
        <v>221</v>
      </c>
      <c r="D9907" s="3" t="s">
        <v>614</v>
      </c>
      <c r="E9907" s="3" t="s">
        <v>118</v>
      </c>
      <c r="F9907" s="7">
        <v>45940.24085875031</v>
      </c>
      <c r="G9907" s="3" t="s">
        <v>24453</v>
      </c>
    </row>
    <row r="9908">
      <c r="A9908" s="3" t="s">
        <v>25199</v>
      </c>
      <c r="B9908" s="3" t="s">
        <v>8914</v>
      </c>
      <c r="C9908" s="5" t="s">
        <v>614</v>
      </c>
      <c r="D9908" s="3" t="s">
        <v>206</v>
      </c>
      <c r="E9908" s="3" t="s">
        <v>100</v>
      </c>
      <c r="F9908" s="7">
        <v>45940.244330972535</v>
      </c>
      <c r="G9908" s="3" t="s">
        <v>24455</v>
      </c>
    </row>
    <row r="9909">
      <c r="A9909" s="3" t="s">
        <v>25200</v>
      </c>
      <c r="B9909" s="3" t="s">
        <v>8914</v>
      </c>
      <c r="C9909" s="5" t="s">
        <v>206</v>
      </c>
      <c r="D9909" s="3" t="s">
        <v>68</v>
      </c>
      <c r="E9909" s="3" t="s">
        <v>100</v>
      </c>
      <c r="F9909" s="7">
        <v>45940.247803194754</v>
      </c>
      <c r="G9909" s="3" t="s">
        <v>24457</v>
      </c>
    </row>
    <row r="9910">
      <c r="A9910" s="3" t="s">
        <v>25201</v>
      </c>
      <c r="B9910" s="3" t="s">
        <v>8917</v>
      </c>
      <c r="C9910" s="5" t="s">
        <v>45</v>
      </c>
      <c r="D9910" s="3" t="s">
        <v>221</v>
      </c>
      <c r="E9910" s="3" t="s">
        <v>593</v>
      </c>
      <c r="F9910" s="7">
        <v>45940.3085613735</v>
      </c>
      <c r="G9910" s="3" t="s">
        <v>25202</v>
      </c>
    </row>
    <row r="9911">
      <c r="A9911" s="3" t="s">
        <v>25203</v>
      </c>
      <c r="B9911" s="3" t="s">
        <v>8917</v>
      </c>
      <c r="C9911" s="5" t="s">
        <v>221</v>
      </c>
      <c r="D9911" s="3" t="s">
        <v>614</v>
      </c>
      <c r="E9911" s="3" t="s">
        <v>118</v>
      </c>
      <c r="F9911" s="7">
        <v>45940.31203359572</v>
      </c>
      <c r="G9911" s="3" t="s">
        <v>25204</v>
      </c>
    </row>
    <row r="9912">
      <c r="A9912" s="3" t="s">
        <v>25205</v>
      </c>
      <c r="B9912" s="3" t="s">
        <v>8917</v>
      </c>
      <c r="C9912" s="5" t="s">
        <v>614</v>
      </c>
      <c r="D9912" s="3" t="s">
        <v>206</v>
      </c>
      <c r="E9912" s="3" t="s">
        <v>100</v>
      </c>
      <c r="F9912" s="7">
        <v>45940.31550581795</v>
      </c>
      <c r="G9912" s="3" t="s">
        <v>25206</v>
      </c>
    </row>
    <row r="9913">
      <c r="A9913" s="3" t="s">
        <v>25207</v>
      </c>
      <c r="B9913" s="3" t="s">
        <v>8917</v>
      </c>
      <c r="C9913" s="5" t="s">
        <v>206</v>
      </c>
      <c r="D9913" s="3" t="s">
        <v>68</v>
      </c>
      <c r="E9913" s="3" t="s">
        <v>100</v>
      </c>
      <c r="F9913" s="7">
        <v>45940.318978040166</v>
      </c>
      <c r="G9913" s="3" t="s">
        <v>25208</v>
      </c>
    </row>
    <row r="9914">
      <c r="A9914" s="3" t="s">
        <v>25209</v>
      </c>
      <c r="B9914" s="3" t="s">
        <v>8920</v>
      </c>
      <c r="C9914" s="5" t="s">
        <v>45</v>
      </c>
      <c r="D9914" s="3" t="s">
        <v>221</v>
      </c>
      <c r="E9914" s="3" t="s">
        <v>341</v>
      </c>
      <c r="F9914" s="7">
        <v>45940.379736218914</v>
      </c>
      <c r="G9914" s="3" t="s">
        <v>17036</v>
      </c>
    </row>
    <row r="9915">
      <c r="A9915" s="3" t="s">
        <v>25210</v>
      </c>
      <c r="B9915" s="3" t="s">
        <v>8920</v>
      </c>
      <c r="C9915" s="5" t="s">
        <v>221</v>
      </c>
      <c r="D9915" s="3" t="s">
        <v>614</v>
      </c>
      <c r="E9915" s="3" t="s">
        <v>118</v>
      </c>
      <c r="F9915" s="7">
        <v>45940.38320844113</v>
      </c>
      <c r="G9915" s="3" t="s">
        <v>17039</v>
      </c>
    </row>
    <row r="9916">
      <c r="A9916" s="3" t="s">
        <v>25211</v>
      </c>
      <c r="B9916" s="3" t="s">
        <v>8920</v>
      </c>
      <c r="C9916" s="5" t="s">
        <v>614</v>
      </c>
      <c r="D9916" s="3" t="s">
        <v>206</v>
      </c>
      <c r="E9916" s="3" t="s">
        <v>100</v>
      </c>
      <c r="F9916" s="7">
        <v>45940.38668066336</v>
      </c>
      <c r="G9916" s="3" t="s">
        <v>17041</v>
      </c>
    </row>
    <row r="9917">
      <c r="A9917" s="3" t="s">
        <v>25212</v>
      </c>
      <c r="B9917" s="3" t="s">
        <v>8920</v>
      </c>
      <c r="C9917" s="5" t="s">
        <v>206</v>
      </c>
      <c r="D9917" s="3" t="s">
        <v>68</v>
      </c>
      <c r="E9917" s="3" t="s">
        <v>100</v>
      </c>
      <c r="F9917" s="7">
        <v>45940.39015288558</v>
      </c>
      <c r="G9917" s="3" t="s">
        <v>17044</v>
      </c>
    </row>
    <row r="9918">
      <c r="A9918" s="3" t="s">
        <v>25213</v>
      </c>
      <c r="B9918" s="3" t="s">
        <v>8923</v>
      </c>
      <c r="C9918" s="5" t="s">
        <v>45</v>
      </c>
      <c r="D9918" s="3" t="s">
        <v>221</v>
      </c>
      <c r="E9918" s="3" t="s">
        <v>746</v>
      </c>
      <c r="F9918" s="7">
        <v>45940.450911064334</v>
      </c>
      <c r="G9918" s="3" t="s">
        <v>18028</v>
      </c>
    </row>
    <row r="9919">
      <c r="A9919" s="3" t="s">
        <v>25214</v>
      </c>
      <c r="B9919" s="3" t="s">
        <v>8923</v>
      </c>
      <c r="C9919" s="5" t="s">
        <v>221</v>
      </c>
      <c r="D9919" s="3" t="s">
        <v>181</v>
      </c>
      <c r="E9919" s="3" t="s">
        <v>118</v>
      </c>
      <c r="F9919" s="7">
        <v>45940.45438328655</v>
      </c>
      <c r="G9919" s="3" t="s">
        <v>25215</v>
      </c>
    </row>
    <row r="9920">
      <c r="A9920" s="3" t="s">
        <v>25216</v>
      </c>
      <c r="B9920" s="3" t="s">
        <v>8925</v>
      </c>
      <c r="C9920" s="5" t="s">
        <v>45</v>
      </c>
      <c r="D9920" s="3" t="s">
        <v>221</v>
      </c>
      <c r="E9920" s="3" t="s">
        <v>519</v>
      </c>
      <c r="F9920" s="7">
        <v>45940.522085909746</v>
      </c>
      <c r="G9920" s="3" t="s">
        <v>8780</v>
      </c>
    </row>
    <row r="9921">
      <c r="A9921" s="3" t="s">
        <v>25217</v>
      </c>
      <c r="B9921" s="3" t="s">
        <v>8925</v>
      </c>
      <c r="C9921" s="5" t="s">
        <v>221</v>
      </c>
      <c r="D9921" s="3" t="s">
        <v>614</v>
      </c>
      <c r="E9921" s="3" t="s">
        <v>118</v>
      </c>
      <c r="F9921" s="7">
        <v>45940.525558131965</v>
      </c>
      <c r="G9921" s="3" t="s">
        <v>24241</v>
      </c>
    </row>
    <row r="9922">
      <c r="A9922" s="3" t="s">
        <v>25218</v>
      </c>
      <c r="B9922" s="3" t="s">
        <v>8925</v>
      </c>
      <c r="C9922" s="5" t="s">
        <v>614</v>
      </c>
      <c r="D9922" s="3" t="s">
        <v>206</v>
      </c>
      <c r="E9922" s="3" t="s">
        <v>100</v>
      </c>
      <c r="F9922" s="7">
        <v>45940.52903035419</v>
      </c>
      <c r="G9922" s="3" t="s">
        <v>24243</v>
      </c>
    </row>
    <row r="9923">
      <c r="A9923" s="3" t="s">
        <v>25219</v>
      </c>
      <c r="B9923" s="3" t="s">
        <v>8925</v>
      </c>
      <c r="C9923" s="5" t="s">
        <v>206</v>
      </c>
      <c r="D9923" s="3" t="s">
        <v>68</v>
      </c>
      <c r="E9923" s="3" t="s">
        <v>100</v>
      </c>
      <c r="F9923" s="7">
        <v>45940.53250257641</v>
      </c>
      <c r="G9923" s="3" t="s">
        <v>24245</v>
      </c>
    </row>
    <row r="9924">
      <c r="A9924" s="3" t="s">
        <v>25220</v>
      </c>
      <c r="B9924" s="3" t="s">
        <v>8927</v>
      </c>
      <c r="C9924" s="5" t="s">
        <v>45</v>
      </c>
      <c r="D9924" s="3" t="s">
        <v>221</v>
      </c>
      <c r="E9924" s="3" t="s">
        <v>990</v>
      </c>
      <c r="F9924" s="7">
        <v>45940.59326075516</v>
      </c>
      <c r="G9924" s="3" t="s">
        <v>10142</v>
      </c>
    </row>
    <row r="9925">
      <c r="A9925" s="3" t="s">
        <v>25221</v>
      </c>
      <c r="B9925" s="3" t="s">
        <v>8927</v>
      </c>
      <c r="C9925" s="5" t="s">
        <v>221</v>
      </c>
      <c r="D9925" s="3" t="s">
        <v>614</v>
      </c>
      <c r="E9925" s="3" t="s">
        <v>118</v>
      </c>
      <c r="F9925" s="7">
        <v>45940.59673297738</v>
      </c>
      <c r="G9925" s="3" t="s">
        <v>10145</v>
      </c>
    </row>
    <row r="9926">
      <c r="A9926" s="3" t="s">
        <v>25222</v>
      </c>
      <c r="B9926" s="3" t="s">
        <v>8927</v>
      </c>
      <c r="C9926" s="5" t="s">
        <v>614</v>
      </c>
      <c r="D9926" s="3" t="s">
        <v>206</v>
      </c>
      <c r="E9926" s="3" t="s">
        <v>100</v>
      </c>
      <c r="F9926" s="7">
        <v>45940.600205199604</v>
      </c>
      <c r="G9926" s="3" t="s">
        <v>10148</v>
      </c>
    </row>
    <row r="9927">
      <c r="A9927" s="3" t="s">
        <v>25223</v>
      </c>
      <c r="B9927" s="3" t="s">
        <v>8927</v>
      </c>
      <c r="C9927" s="5" t="s">
        <v>206</v>
      </c>
      <c r="D9927" s="3" t="s">
        <v>68</v>
      </c>
      <c r="E9927" s="3" t="s">
        <v>100</v>
      </c>
      <c r="F9927" s="7">
        <v>45940.60367742182</v>
      </c>
      <c r="G9927" s="3" t="s">
        <v>10151</v>
      </c>
    </row>
    <row r="9928">
      <c r="A9928" s="3" t="s">
        <v>25224</v>
      </c>
      <c r="B9928" s="3" t="s">
        <v>8931</v>
      </c>
      <c r="C9928" s="5" t="s">
        <v>45</v>
      </c>
      <c r="D9928" s="3" t="s">
        <v>221</v>
      </c>
      <c r="E9928" s="3" t="s">
        <v>380</v>
      </c>
      <c r="F9928" s="7">
        <v>45940.66443560058</v>
      </c>
      <c r="G9928" s="3" t="s">
        <v>2770</v>
      </c>
    </row>
    <row r="9929">
      <c r="A9929" s="3" t="s">
        <v>25225</v>
      </c>
      <c r="B9929" s="3" t="s">
        <v>8931</v>
      </c>
      <c r="C9929" s="5" t="s">
        <v>221</v>
      </c>
      <c r="D9929" s="3" t="s">
        <v>181</v>
      </c>
      <c r="E9929" s="3" t="s">
        <v>118</v>
      </c>
      <c r="F9929" s="7">
        <v>45940.6679078228</v>
      </c>
      <c r="G9929" s="3" t="s">
        <v>2774</v>
      </c>
    </row>
    <row r="9930">
      <c r="A9930" s="3" t="s">
        <v>25226</v>
      </c>
      <c r="B9930" s="3" t="s">
        <v>8934</v>
      </c>
      <c r="C9930" s="5" t="s">
        <v>45</v>
      </c>
      <c r="D9930" s="3" t="s">
        <v>221</v>
      </c>
      <c r="E9930" s="3" t="s">
        <v>770</v>
      </c>
      <c r="F9930" s="7">
        <v>45940.73561044599</v>
      </c>
      <c r="G9930" s="3" t="s">
        <v>11950</v>
      </c>
    </row>
    <row r="9931">
      <c r="A9931" s="3" t="s">
        <v>25227</v>
      </c>
      <c r="B9931" s="3" t="s">
        <v>8934</v>
      </c>
      <c r="C9931" s="5" t="s">
        <v>221</v>
      </c>
      <c r="D9931" s="3" t="s">
        <v>614</v>
      </c>
      <c r="E9931" s="3" t="s">
        <v>118</v>
      </c>
      <c r="F9931" s="7">
        <v>45940.73908266821</v>
      </c>
      <c r="G9931" s="3" t="s">
        <v>11953</v>
      </c>
    </row>
    <row r="9932">
      <c r="A9932" s="3" t="s">
        <v>25228</v>
      </c>
      <c r="B9932" s="3" t="s">
        <v>8934</v>
      </c>
      <c r="C9932" s="5" t="s">
        <v>614</v>
      </c>
      <c r="D9932" s="3" t="s">
        <v>206</v>
      </c>
      <c r="E9932" s="3" t="s">
        <v>100</v>
      </c>
      <c r="F9932" s="7">
        <v>45940.742554890436</v>
      </c>
      <c r="G9932" s="3" t="s">
        <v>11956</v>
      </c>
    </row>
    <row r="9933">
      <c r="A9933" s="3" t="s">
        <v>25229</v>
      </c>
      <c r="B9933" s="3" t="s">
        <v>8934</v>
      </c>
      <c r="C9933" s="5" t="s">
        <v>206</v>
      </c>
      <c r="D9933" s="3" t="s">
        <v>68</v>
      </c>
      <c r="E9933" s="3" t="s">
        <v>100</v>
      </c>
      <c r="F9933" s="7">
        <v>45940.746027112655</v>
      </c>
      <c r="G9933" s="3" t="s">
        <v>11959</v>
      </c>
    </row>
    <row r="9934">
      <c r="A9934" s="3" t="s">
        <v>25230</v>
      </c>
      <c r="B9934" s="3" t="s">
        <v>8937</v>
      </c>
      <c r="C9934" s="5" t="s">
        <v>45</v>
      </c>
      <c r="D9934" s="3" t="s">
        <v>221</v>
      </c>
      <c r="E9934" s="3" t="s">
        <v>848</v>
      </c>
      <c r="F9934" s="7">
        <v>45940.8067852914</v>
      </c>
      <c r="G9934" s="3" t="s">
        <v>25231</v>
      </c>
    </row>
    <row r="9935">
      <c r="A9935" s="3" t="s">
        <v>25232</v>
      </c>
      <c r="B9935" s="3" t="s">
        <v>8937</v>
      </c>
      <c r="C9935" s="5" t="s">
        <v>221</v>
      </c>
      <c r="D9935" s="3" t="s">
        <v>614</v>
      </c>
      <c r="E9935" s="3" t="s">
        <v>118</v>
      </c>
      <c r="F9935" s="7">
        <v>45940.81025751362</v>
      </c>
      <c r="G9935" s="3" t="s">
        <v>25233</v>
      </c>
    </row>
    <row r="9936">
      <c r="A9936" s="3" t="s">
        <v>25234</v>
      </c>
      <c r="B9936" s="3" t="s">
        <v>8937</v>
      </c>
      <c r="C9936" s="5" t="s">
        <v>614</v>
      </c>
      <c r="D9936" s="3" t="s">
        <v>206</v>
      </c>
      <c r="E9936" s="3" t="s">
        <v>100</v>
      </c>
      <c r="F9936" s="7">
        <v>45940.81372973585</v>
      </c>
      <c r="G9936" s="3" t="s">
        <v>25235</v>
      </c>
    </row>
    <row r="9937">
      <c r="A9937" s="3" t="s">
        <v>25236</v>
      </c>
      <c r="B9937" s="3" t="s">
        <v>8937</v>
      </c>
      <c r="C9937" s="5" t="s">
        <v>206</v>
      </c>
      <c r="D9937" s="3" t="s">
        <v>68</v>
      </c>
      <c r="E9937" s="3" t="s">
        <v>100</v>
      </c>
      <c r="F9937" s="7">
        <v>45940.81720195807</v>
      </c>
      <c r="G9937" s="3" t="s">
        <v>25237</v>
      </c>
    </row>
    <row r="9938">
      <c r="A9938" s="3" t="s">
        <v>25238</v>
      </c>
      <c r="B9938" s="3" t="s">
        <v>8941</v>
      </c>
      <c r="C9938" s="5" t="s">
        <v>45</v>
      </c>
      <c r="D9938" s="3" t="s">
        <v>221</v>
      </c>
      <c r="E9938" s="3" t="s">
        <v>316</v>
      </c>
      <c r="F9938" s="7">
        <v>45940.87796013682</v>
      </c>
      <c r="G9938" s="3" t="s">
        <v>12238</v>
      </c>
    </row>
    <row r="9939">
      <c r="A9939" s="3" t="s">
        <v>25239</v>
      </c>
      <c r="B9939" s="3" t="s">
        <v>8941</v>
      </c>
      <c r="C9939" s="5" t="s">
        <v>221</v>
      </c>
      <c r="D9939" s="3" t="s">
        <v>614</v>
      </c>
      <c r="E9939" s="3" t="s">
        <v>118</v>
      </c>
      <c r="F9939" s="7">
        <v>45940.88143235904</v>
      </c>
      <c r="G9939" s="3" t="s">
        <v>12242</v>
      </c>
    </row>
    <row r="9940">
      <c r="A9940" s="3" t="s">
        <v>25240</v>
      </c>
      <c r="B9940" s="3" t="s">
        <v>8941</v>
      </c>
      <c r="C9940" s="5" t="s">
        <v>614</v>
      </c>
      <c r="D9940" s="3" t="s">
        <v>206</v>
      </c>
      <c r="E9940" s="3" t="s">
        <v>100</v>
      </c>
      <c r="F9940" s="7">
        <v>45940.88490458127</v>
      </c>
      <c r="G9940" s="3" t="s">
        <v>12245</v>
      </c>
    </row>
    <row r="9941">
      <c r="A9941" s="3" t="s">
        <v>25241</v>
      </c>
      <c r="B9941" s="3" t="s">
        <v>8941</v>
      </c>
      <c r="C9941" s="5" t="s">
        <v>206</v>
      </c>
      <c r="D9941" s="3" t="s">
        <v>68</v>
      </c>
      <c r="E9941" s="3" t="s">
        <v>100</v>
      </c>
      <c r="F9941" s="7">
        <v>45940.88837680349</v>
      </c>
      <c r="G9941" s="3" t="s">
        <v>12248</v>
      </c>
    </row>
    <row r="9942">
      <c r="A9942" s="3" t="s">
        <v>25242</v>
      </c>
      <c r="B9942" s="3" t="s">
        <v>8945</v>
      </c>
      <c r="C9942" s="5" t="s">
        <v>45</v>
      </c>
      <c r="D9942" s="3" t="s">
        <v>221</v>
      </c>
      <c r="E9942" s="3" t="s">
        <v>253</v>
      </c>
      <c r="F9942" s="7">
        <v>45940.94913498224</v>
      </c>
      <c r="G9942" s="3" t="s">
        <v>23169</v>
      </c>
    </row>
    <row r="9943">
      <c r="A9943" s="3" t="s">
        <v>25243</v>
      </c>
      <c r="B9943" s="3" t="s">
        <v>8945</v>
      </c>
      <c r="C9943" s="5" t="s">
        <v>221</v>
      </c>
      <c r="D9943" s="3" t="s">
        <v>181</v>
      </c>
      <c r="E9943" s="3" t="s">
        <v>118</v>
      </c>
      <c r="F9943" s="7">
        <v>45940.95260720446</v>
      </c>
      <c r="G9943" s="3" t="s">
        <v>25244</v>
      </c>
    </row>
    <row r="9944">
      <c r="A9944" s="3" t="s">
        <v>25245</v>
      </c>
      <c r="B9944" s="3" t="s">
        <v>8948</v>
      </c>
      <c r="C9944" s="5" t="s">
        <v>45</v>
      </c>
      <c r="D9944" s="3" t="s">
        <v>221</v>
      </c>
      <c r="E9944" s="3" t="s">
        <v>523</v>
      </c>
      <c r="F9944" s="7">
        <v>45941.02030982765</v>
      </c>
      <c r="G9944" s="3" t="s">
        <v>25016</v>
      </c>
    </row>
    <row r="9945">
      <c r="A9945" s="3" t="s">
        <v>25246</v>
      </c>
      <c r="B9945" s="3" t="s">
        <v>8948</v>
      </c>
      <c r="C9945" s="5" t="s">
        <v>221</v>
      </c>
      <c r="D9945" s="3" t="s">
        <v>614</v>
      </c>
      <c r="E9945" s="3" t="s">
        <v>118</v>
      </c>
      <c r="F9945" s="7">
        <v>45941.023782049866</v>
      </c>
      <c r="G9945" s="3" t="s">
        <v>25247</v>
      </c>
    </row>
    <row r="9946">
      <c r="A9946" s="3" t="s">
        <v>25248</v>
      </c>
      <c r="B9946" s="3" t="s">
        <v>8948</v>
      </c>
      <c r="C9946" s="5" t="s">
        <v>614</v>
      </c>
      <c r="D9946" s="3" t="s">
        <v>206</v>
      </c>
      <c r="E9946" s="3" t="s">
        <v>100</v>
      </c>
      <c r="F9946" s="7">
        <v>45941.02725427209</v>
      </c>
      <c r="G9946" s="3" t="s">
        <v>25249</v>
      </c>
    </row>
    <row r="9947">
      <c r="A9947" s="3" t="s">
        <v>25250</v>
      </c>
      <c r="B9947" s="3" t="s">
        <v>8948</v>
      </c>
      <c r="C9947" s="5" t="s">
        <v>206</v>
      </c>
      <c r="D9947" s="3" t="s">
        <v>68</v>
      </c>
      <c r="E9947" s="3" t="s">
        <v>100</v>
      </c>
      <c r="F9947" s="7">
        <v>45941.03072649431</v>
      </c>
      <c r="G9947" s="3" t="s">
        <v>25251</v>
      </c>
    </row>
    <row r="9948">
      <c r="A9948" s="3" t="s">
        <v>25252</v>
      </c>
      <c r="B9948" s="3" t="s">
        <v>8951</v>
      </c>
      <c r="C9948" s="5" t="s">
        <v>45</v>
      </c>
      <c r="D9948" s="3" t="s">
        <v>221</v>
      </c>
      <c r="E9948" s="3" t="s">
        <v>296</v>
      </c>
      <c r="F9948" s="7">
        <v>45941.09148467307</v>
      </c>
      <c r="G9948" s="3" t="s">
        <v>8889</v>
      </c>
    </row>
    <row r="9949">
      <c r="A9949" s="3" t="s">
        <v>25253</v>
      </c>
      <c r="B9949" s="3" t="s">
        <v>8951</v>
      </c>
      <c r="C9949" s="5" t="s">
        <v>221</v>
      </c>
      <c r="D9949" s="3" t="s">
        <v>614</v>
      </c>
      <c r="E9949" s="3" t="s">
        <v>118</v>
      </c>
      <c r="F9949" s="7">
        <v>45941.094956895286</v>
      </c>
      <c r="G9949" s="3" t="s">
        <v>8892</v>
      </c>
    </row>
    <row r="9950">
      <c r="A9950" s="3" t="s">
        <v>25254</v>
      </c>
      <c r="B9950" s="3" t="s">
        <v>8951</v>
      </c>
      <c r="C9950" s="5" t="s">
        <v>614</v>
      </c>
      <c r="D9950" s="3" t="s">
        <v>206</v>
      </c>
      <c r="E9950" s="3" t="s">
        <v>100</v>
      </c>
      <c r="F9950" s="7">
        <v>45941.09842911751</v>
      </c>
      <c r="G9950" s="3" t="s">
        <v>8895</v>
      </c>
    </row>
    <row r="9951">
      <c r="A9951" s="3" t="s">
        <v>25255</v>
      </c>
      <c r="B9951" s="3" t="s">
        <v>8951</v>
      </c>
      <c r="C9951" s="5" t="s">
        <v>206</v>
      </c>
      <c r="D9951" s="3" t="s">
        <v>68</v>
      </c>
      <c r="E9951" s="3" t="s">
        <v>100</v>
      </c>
      <c r="F9951" s="7">
        <v>45941.10190133973</v>
      </c>
      <c r="G9951" s="3" t="s">
        <v>8898</v>
      </c>
    </row>
    <row r="9952">
      <c r="A9952" s="3" t="s">
        <v>25256</v>
      </c>
      <c r="B9952" s="3" t="s">
        <v>8955</v>
      </c>
      <c r="C9952" s="5" t="s">
        <v>45</v>
      </c>
      <c r="D9952" s="3" t="s">
        <v>221</v>
      </c>
      <c r="E9952" s="3" t="s">
        <v>805</v>
      </c>
      <c r="F9952" s="7">
        <v>45941.162659518486</v>
      </c>
      <c r="G9952" s="3" t="s">
        <v>12701</v>
      </c>
    </row>
    <row r="9953">
      <c r="A9953" s="3" t="s">
        <v>25257</v>
      </c>
      <c r="B9953" s="3" t="s">
        <v>8955</v>
      </c>
      <c r="C9953" s="5" t="s">
        <v>221</v>
      </c>
      <c r="D9953" s="3" t="s">
        <v>614</v>
      </c>
      <c r="E9953" s="3" t="s">
        <v>118</v>
      </c>
      <c r="F9953" s="7">
        <v>45941.166131740705</v>
      </c>
      <c r="G9953" s="3" t="s">
        <v>12704</v>
      </c>
    </row>
    <row r="9954">
      <c r="A9954" s="3" t="s">
        <v>25258</v>
      </c>
      <c r="B9954" s="3" t="s">
        <v>8955</v>
      </c>
      <c r="C9954" s="5" t="s">
        <v>614</v>
      </c>
      <c r="D9954" s="3" t="s">
        <v>206</v>
      </c>
      <c r="E9954" s="3" t="s">
        <v>100</v>
      </c>
      <c r="F9954" s="7">
        <v>45941.16960396293</v>
      </c>
      <c r="G9954" s="3" t="s">
        <v>12707</v>
      </c>
    </row>
    <row r="9955">
      <c r="A9955" s="3" t="s">
        <v>25259</v>
      </c>
      <c r="B9955" s="3" t="s">
        <v>8955</v>
      </c>
      <c r="C9955" s="5" t="s">
        <v>206</v>
      </c>
      <c r="D9955" s="3" t="s">
        <v>68</v>
      </c>
      <c r="E9955" s="3" t="s">
        <v>100</v>
      </c>
      <c r="F9955" s="7">
        <v>45941.17307618515</v>
      </c>
      <c r="G9955" s="3" t="s">
        <v>12710</v>
      </c>
    </row>
    <row r="9956">
      <c r="A9956" s="3" t="s">
        <v>25260</v>
      </c>
      <c r="B9956" s="3" t="s">
        <v>8959</v>
      </c>
      <c r="C9956" s="5" t="s">
        <v>45</v>
      </c>
      <c r="D9956" s="3" t="s">
        <v>221</v>
      </c>
      <c r="E9956" s="3" t="s">
        <v>587</v>
      </c>
      <c r="F9956" s="7">
        <v>45941.2338343639</v>
      </c>
      <c r="G9956" s="3" t="s">
        <v>25261</v>
      </c>
    </row>
    <row r="9957">
      <c r="A9957" s="3" t="s">
        <v>25262</v>
      </c>
      <c r="B9957" s="3" t="s">
        <v>8959</v>
      </c>
      <c r="C9957" s="5" t="s">
        <v>221</v>
      </c>
      <c r="D9957" s="3" t="s">
        <v>614</v>
      </c>
      <c r="E9957" s="3" t="s">
        <v>118</v>
      </c>
      <c r="F9957" s="7">
        <v>45941.23730658612</v>
      </c>
      <c r="G9957" s="3" t="s">
        <v>25263</v>
      </c>
    </row>
    <row r="9958">
      <c r="A9958" s="3" t="s">
        <v>25264</v>
      </c>
      <c r="B9958" s="3" t="s">
        <v>8959</v>
      </c>
      <c r="C9958" s="5" t="s">
        <v>614</v>
      </c>
      <c r="D9958" s="3" t="s">
        <v>206</v>
      </c>
      <c r="E9958" s="3" t="s">
        <v>100</v>
      </c>
      <c r="F9958" s="7">
        <v>45941.240778808344</v>
      </c>
      <c r="G9958" s="3" t="s">
        <v>25265</v>
      </c>
    </row>
    <row r="9959">
      <c r="A9959" s="3" t="s">
        <v>25266</v>
      </c>
      <c r="B9959" s="3" t="s">
        <v>8959</v>
      </c>
      <c r="C9959" s="5" t="s">
        <v>206</v>
      </c>
      <c r="D9959" s="3" t="s">
        <v>68</v>
      </c>
      <c r="E9959" s="3" t="s">
        <v>100</v>
      </c>
      <c r="F9959" s="7">
        <v>45941.24425103056</v>
      </c>
      <c r="G9959" s="3" t="s">
        <v>25267</v>
      </c>
    </row>
    <row r="9960">
      <c r="A9960" s="3" t="s">
        <v>25268</v>
      </c>
      <c r="B9960" s="3" t="s">
        <v>8961</v>
      </c>
      <c r="C9960" s="5" t="s">
        <v>45</v>
      </c>
      <c r="D9960" s="3" t="s">
        <v>221</v>
      </c>
      <c r="E9960" s="3" t="s">
        <v>793</v>
      </c>
      <c r="F9960" s="7">
        <v>45941.30500920931</v>
      </c>
      <c r="G9960" s="3" t="s">
        <v>18235</v>
      </c>
    </row>
    <row r="9961">
      <c r="A9961" s="3" t="s">
        <v>25269</v>
      </c>
      <c r="B9961" s="3" t="s">
        <v>8961</v>
      </c>
      <c r="C9961" s="5" t="s">
        <v>221</v>
      </c>
      <c r="D9961" s="3" t="s">
        <v>614</v>
      </c>
      <c r="E9961" s="3" t="s">
        <v>118</v>
      </c>
      <c r="F9961" s="7">
        <v>45941.30848143153</v>
      </c>
      <c r="G9961" s="3" t="s">
        <v>18238</v>
      </c>
    </row>
    <row r="9962">
      <c r="A9962" s="3" t="s">
        <v>25270</v>
      </c>
      <c r="B9962" s="3" t="s">
        <v>8961</v>
      </c>
      <c r="C9962" s="5" t="s">
        <v>614</v>
      </c>
      <c r="D9962" s="3" t="s">
        <v>206</v>
      </c>
      <c r="E9962" s="3" t="s">
        <v>100</v>
      </c>
      <c r="F9962" s="7">
        <v>45941.311953653756</v>
      </c>
      <c r="G9962" s="3" t="s">
        <v>18241</v>
      </c>
    </row>
    <row r="9963">
      <c r="A9963" s="3" t="s">
        <v>25271</v>
      </c>
      <c r="B9963" s="3" t="s">
        <v>8961</v>
      </c>
      <c r="C9963" s="5" t="s">
        <v>206</v>
      </c>
      <c r="D9963" s="3" t="s">
        <v>68</v>
      </c>
      <c r="E9963" s="3" t="s">
        <v>100</v>
      </c>
      <c r="F9963" s="7">
        <v>45941.315425875975</v>
      </c>
      <c r="G9963" s="3" t="s">
        <v>18243</v>
      </c>
    </row>
    <row r="9964">
      <c r="A9964" s="3" t="s">
        <v>25272</v>
      </c>
      <c r="B9964" s="3" t="s">
        <v>8963</v>
      </c>
      <c r="C9964" s="5" t="s">
        <v>45</v>
      </c>
      <c r="D9964" s="3" t="s">
        <v>221</v>
      </c>
      <c r="E9964" s="3" t="s">
        <v>512</v>
      </c>
      <c r="F9964" s="7">
        <v>45941.37618405473</v>
      </c>
      <c r="G9964" s="3" t="s">
        <v>8949</v>
      </c>
    </row>
    <row r="9965">
      <c r="A9965" s="3" t="s">
        <v>25273</v>
      </c>
      <c r="B9965" s="3" t="s">
        <v>8963</v>
      </c>
      <c r="C9965" s="5" t="s">
        <v>221</v>
      </c>
      <c r="D9965" s="3" t="s">
        <v>614</v>
      </c>
      <c r="E9965" s="3" t="s">
        <v>118</v>
      </c>
      <c r="F9965" s="7">
        <v>45941.37965627695</v>
      </c>
      <c r="G9965" s="3" t="s">
        <v>8952</v>
      </c>
    </row>
    <row r="9966">
      <c r="A9966" s="3" t="s">
        <v>25274</v>
      </c>
      <c r="B9966" s="3" t="s">
        <v>8963</v>
      </c>
      <c r="C9966" s="5" t="s">
        <v>614</v>
      </c>
      <c r="D9966" s="3" t="s">
        <v>206</v>
      </c>
      <c r="E9966" s="3" t="s">
        <v>100</v>
      </c>
      <c r="F9966" s="7">
        <v>45941.383128499176</v>
      </c>
      <c r="G9966" s="3" t="s">
        <v>8954</v>
      </c>
    </row>
    <row r="9967">
      <c r="A9967" s="3" t="s">
        <v>25275</v>
      </c>
      <c r="B9967" s="3" t="s">
        <v>8963</v>
      </c>
      <c r="C9967" s="5" t="s">
        <v>206</v>
      </c>
      <c r="D9967" s="3" t="s">
        <v>68</v>
      </c>
      <c r="E9967" s="3" t="s">
        <v>100</v>
      </c>
      <c r="F9967" s="7">
        <v>45941.386600721395</v>
      </c>
      <c r="G9967" s="3" t="s">
        <v>8957</v>
      </c>
    </row>
    <row r="9968">
      <c r="A9968" s="3" t="s">
        <v>25276</v>
      </c>
      <c r="B9968" s="3" t="s">
        <v>8965</v>
      </c>
      <c r="C9968" s="5" t="s">
        <v>45</v>
      </c>
      <c r="D9968" s="3" t="s">
        <v>221</v>
      </c>
      <c r="E9968" s="3" t="s">
        <v>1028</v>
      </c>
      <c r="F9968" s="7">
        <v>45941.44735890014</v>
      </c>
      <c r="G9968" s="3" t="s">
        <v>19906</v>
      </c>
    </row>
    <row r="9969">
      <c r="A9969" s="3" t="s">
        <v>25277</v>
      </c>
      <c r="B9969" s="3" t="s">
        <v>8965</v>
      </c>
      <c r="C9969" s="5" t="s">
        <v>221</v>
      </c>
      <c r="D9969" s="3" t="s">
        <v>614</v>
      </c>
      <c r="E9969" s="3" t="s">
        <v>118</v>
      </c>
      <c r="F9969" s="7">
        <v>45941.45083112236</v>
      </c>
      <c r="G9969" s="3" t="s">
        <v>19908</v>
      </c>
    </row>
    <row r="9970">
      <c r="A9970" s="3" t="s">
        <v>25278</v>
      </c>
      <c r="B9970" s="3" t="s">
        <v>8965</v>
      </c>
      <c r="C9970" s="5" t="s">
        <v>614</v>
      </c>
      <c r="D9970" s="3" t="s">
        <v>206</v>
      </c>
      <c r="E9970" s="3" t="s">
        <v>100</v>
      </c>
      <c r="F9970" s="7">
        <v>45941.45430334459</v>
      </c>
      <c r="G9970" s="3" t="s">
        <v>19911</v>
      </c>
    </row>
    <row r="9971">
      <c r="A9971" s="3" t="s">
        <v>25279</v>
      </c>
      <c r="B9971" s="3" t="s">
        <v>8965</v>
      </c>
      <c r="C9971" s="5" t="s">
        <v>206</v>
      </c>
      <c r="D9971" s="3" t="s">
        <v>68</v>
      </c>
      <c r="E9971" s="3" t="s">
        <v>100</v>
      </c>
      <c r="F9971" s="7">
        <v>45941.45777556681</v>
      </c>
      <c r="G9971" s="3" t="s">
        <v>19914</v>
      </c>
    </row>
    <row r="9972">
      <c r="A9972" s="3" t="s">
        <v>25280</v>
      </c>
      <c r="B9972" s="3" t="s">
        <v>8967</v>
      </c>
      <c r="C9972" s="5" t="s">
        <v>45</v>
      </c>
      <c r="D9972" s="3" t="s">
        <v>221</v>
      </c>
      <c r="E9972" s="3" t="s">
        <v>691</v>
      </c>
      <c r="F9972" s="7">
        <v>45941.518533745555</v>
      </c>
      <c r="G9972" s="3" t="s">
        <v>19658</v>
      </c>
    </row>
    <row r="9973">
      <c r="A9973" s="3" t="s">
        <v>25281</v>
      </c>
      <c r="B9973" s="3" t="s">
        <v>8967</v>
      </c>
      <c r="C9973" s="5" t="s">
        <v>221</v>
      </c>
      <c r="D9973" s="3" t="s">
        <v>614</v>
      </c>
      <c r="E9973" s="3" t="s">
        <v>118</v>
      </c>
      <c r="F9973" s="7">
        <v>45941.522005967774</v>
      </c>
      <c r="G9973" s="3" t="s">
        <v>19661</v>
      </c>
    </row>
    <row r="9974">
      <c r="A9974" s="3" t="s">
        <v>25282</v>
      </c>
      <c r="B9974" s="3" t="s">
        <v>8967</v>
      </c>
      <c r="C9974" s="5" t="s">
        <v>614</v>
      </c>
      <c r="D9974" s="3" t="s">
        <v>206</v>
      </c>
      <c r="E9974" s="3" t="s">
        <v>100</v>
      </c>
      <c r="F9974" s="7">
        <v>45941.52547819</v>
      </c>
      <c r="G9974" s="3" t="s">
        <v>19664</v>
      </c>
    </row>
    <row r="9975">
      <c r="A9975" s="3" t="s">
        <v>25283</v>
      </c>
      <c r="B9975" s="3" t="s">
        <v>8967</v>
      </c>
      <c r="C9975" s="5" t="s">
        <v>206</v>
      </c>
      <c r="D9975" s="3" t="s">
        <v>68</v>
      </c>
      <c r="E9975" s="3" t="s">
        <v>100</v>
      </c>
      <c r="F9975" s="7">
        <v>45941.52895041222</v>
      </c>
      <c r="G9975" s="3" t="s">
        <v>19667</v>
      </c>
    </row>
    <row r="9976">
      <c r="A9976" s="3" t="s">
        <v>25284</v>
      </c>
      <c r="B9976" s="3" t="s">
        <v>8970</v>
      </c>
      <c r="C9976" s="5" t="s">
        <v>45</v>
      </c>
      <c r="D9976" s="3" t="s">
        <v>221</v>
      </c>
      <c r="E9976" s="3" t="s">
        <v>145</v>
      </c>
      <c r="F9976" s="7">
        <v>45941.589708590975</v>
      </c>
      <c r="G9976" s="3" t="s">
        <v>8610</v>
      </c>
    </row>
    <row r="9977">
      <c r="A9977" s="3" t="s">
        <v>25285</v>
      </c>
      <c r="B9977" s="3" t="s">
        <v>8970</v>
      </c>
      <c r="C9977" s="5" t="s">
        <v>221</v>
      </c>
      <c r="D9977" s="3" t="s">
        <v>181</v>
      </c>
      <c r="E9977" s="3" t="s">
        <v>118</v>
      </c>
      <c r="F9977" s="7">
        <v>45941.59318081319</v>
      </c>
      <c r="G9977" s="3" t="s">
        <v>8613</v>
      </c>
    </row>
    <row r="9978">
      <c r="A9978" s="3" t="s">
        <v>25286</v>
      </c>
      <c r="B9978" s="3" t="s">
        <v>8973</v>
      </c>
      <c r="C9978" s="5" t="s">
        <v>45</v>
      </c>
      <c r="D9978" s="3" t="s">
        <v>221</v>
      </c>
      <c r="E9978" s="3" t="s">
        <v>870</v>
      </c>
      <c r="F9978" s="7">
        <v>45941.66088343639</v>
      </c>
      <c r="G9978" s="3" t="s">
        <v>25287</v>
      </c>
    </row>
    <row r="9979">
      <c r="A9979" s="3" t="s">
        <v>25288</v>
      </c>
      <c r="B9979" s="3" t="s">
        <v>8973</v>
      </c>
      <c r="C9979" s="5" t="s">
        <v>221</v>
      </c>
      <c r="D9979" s="3" t="s">
        <v>614</v>
      </c>
      <c r="E9979" s="3" t="s">
        <v>118</v>
      </c>
      <c r="F9979" s="7">
        <v>45941.664355658606</v>
      </c>
      <c r="G9979" s="3" t="s">
        <v>25289</v>
      </c>
    </row>
    <row r="9980">
      <c r="A9980" s="3" t="s">
        <v>25290</v>
      </c>
      <c r="B9980" s="3" t="s">
        <v>8973</v>
      </c>
      <c r="C9980" s="5" t="s">
        <v>614</v>
      </c>
      <c r="D9980" s="3" t="s">
        <v>206</v>
      </c>
      <c r="E9980" s="3" t="s">
        <v>100</v>
      </c>
      <c r="F9980" s="7">
        <v>45941.66782788083</v>
      </c>
      <c r="G9980" s="3" t="s">
        <v>25291</v>
      </c>
    </row>
    <row r="9981">
      <c r="A9981" s="3" t="s">
        <v>25292</v>
      </c>
      <c r="B9981" s="3" t="s">
        <v>8973</v>
      </c>
      <c r="C9981" s="5" t="s">
        <v>206</v>
      </c>
      <c r="D9981" s="3" t="s">
        <v>68</v>
      </c>
      <c r="E9981" s="3" t="s">
        <v>100</v>
      </c>
      <c r="F9981" s="7">
        <v>45941.67130010305</v>
      </c>
      <c r="G9981" s="3" t="s">
        <v>25293</v>
      </c>
    </row>
    <row r="9982">
      <c r="A9982" s="3" t="s">
        <v>25294</v>
      </c>
      <c r="B9982" s="3" t="s">
        <v>8976</v>
      </c>
      <c r="C9982" s="5" t="s">
        <v>45</v>
      </c>
      <c r="D9982" s="3" t="s">
        <v>221</v>
      </c>
      <c r="E9982" s="3" t="s">
        <v>643</v>
      </c>
      <c r="F9982" s="7">
        <v>45941.7320582818</v>
      </c>
      <c r="G9982" s="3" t="s">
        <v>7106</v>
      </c>
    </row>
    <row r="9983">
      <c r="A9983" s="3" t="s">
        <v>25295</v>
      </c>
      <c r="B9983" s="3" t="s">
        <v>8976</v>
      </c>
      <c r="C9983" s="5" t="s">
        <v>221</v>
      </c>
      <c r="D9983" s="3" t="s">
        <v>614</v>
      </c>
      <c r="E9983" s="3" t="s">
        <v>118</v>
      </c>
      <c r="F9983" s="7">
        <v>45941.73553050402</v>
      </c>
      <c r="G9983" s="3" t="s">
        <v>7109</v>
      </c>
    </row>
    <row r="9984">
      <c r="A9984" s="3" t="s">
        <v>25296</v>
      </c>
      <c r="B9984" s="3" t="s">
        <v>8976</v>
      </c>
      <c r="C9984" s="5" t="s">
        <v>614</v>
      </c>
      <c r="D9984" s="3" t="s">
        <v>206</v>
      </c>
      <c r="E9984" s="3" t="s">
        <v>100</v>
      </c>
      <c r="F9984" s="7">
        <v>45941.739002726245</v>
      </c>
      <c r="G9984" s="3" t="s">
        <v>7112</v>
      </c>
    </row>
    <row r="9985">
      <c r="A9985" s="3" t="s">
        <v>25297</v>
      </c>
      <c r="B9985" s="3" t="s">
        <v>8976</v>
      </c>
      <c r="C9985" s="5" t="s">
        <v>206</v>
      </c>
      <c r="D9985" s="3" t="s">
        <v>68</v>
      </c>
      <c r="E9985" s="3" t="s">
        <v>100</v>
      </c>
      <c r="F9985" s="7">
        <v>45941.74247494846</v>
      </c>
      <c r="G9985" s="3" t="s">
        <v>7114</v>
      </c>
    </row>
    <row r="9986">
      <c r="A9986" s="3" t="s">
        <v>25298</v>
      </c>
      <c r="B9986" s="3" t="s">
        <v>8979</v>
      </c>
      <c r="C9986" s="5" t="s">
        <v>45</v>
      </c>
      <c r="D9986" s="3" t="s">
        <v>221</v>
      </c>
      <c r="E9986" s="3" t="s">
        <v>662</v>
      </c>
      <c r="F9986" s="7">
        <v>45941.80323312722</v>
      </c>
      <c r="G9986" s="3" t="s">
        <v>22505</v>
      </c>
    </row>
    <row r="9987">
      <c r="A9987" s="3" t="s">
        <v>25299</v>
      </c>
      <c r="B9987" s="3" t="s">
        <v>8979</v>
      </c>
      <c r="C9987" s="5" t="s">
        <v>221</v>
      </c>
      <c r="D9987" s="3" t="s">
        <v>614</v>
      </c>
      <c r="E9987" s="3" t="s">
        <v>118</v>
      </c>
      <c r="F9987" s="7">
        <v>45941.80670534944</v>
      </c>
      <c r="G9987" s="3" t="s">
        <v>22508</v>
      </c>
    </row>
    <row r="9988">
      <c r="A9988" s="3" t="s">
        <v>25300</v>
      </c>
      <c r="B9988" s="3" t="s">
        <v>8979</v>
      </c>
      <c r="C9988" s="5" t="s">
        <v>614</v>
      </c>
      <c r="D9988" s="3" t="s">
        <v>206</v>
      </c>
      <c r="E9988" s="3" t="s">
        <v>100</v>
      </c>
      <c r="F9988" s="7">
        <v>45941.810177571664</v>
      </c>
      <c r="G9988" s="3" t="s">
        <v>22510</v>
      </c>
    </row>
    <row r="9989">
      <c r="A9989" s="3" t="s">
        <v>25301</v>
      </c>
      <c r="B9989" s="3" t="s">
        <v>8979</v>
      </c>
      <c r="C9989" s="5" t="s">
        <v>206</v>
      </c>
      <c r="D9989" s="3" t="s">
        <v>68</v>
      </c>
      <c r="E9989" s="3" t="s">
        <v>100</v>
      </c>
      <c r="F9989" s="7">
        <v>45941.81364979388</v>
      </c>
      <c r="G9989" s="3" t="s">
        <v>22513</v>
      </c>
    </row>
    <row r="9990">
      <c r="A9990" s="3" t="s">
        <v>25302</v>
      </c>
      <c r="B9990" s="3" t="s">
        <v>8981</v>
      </c>
      <c r="C9990" s="5" t="s">
        <v>45</v>
      </c>
      <c r="D9990" s="3" t="s">
        <v>221</v>
      </c>
      <c r="E9990" s="3" t="s">
        <v>746</v>
      </c>
      <c r="F9990" s="7">
        <v>45941.87440797263</v>
      </c>
      <c r="G9990" s="3" t="s">
        <v>25303</v>
      </c>
    </row>
    <row r="9991">
      <c r="A9991" s="3" t="s">
        <v>25304</v>
      </c>
      <c r="B9991" s="3" t="s">
        <v>8981</v>
      </c>
      <c r="C9991" s="5" t="s">
        <v>221</v>
      </c>
      <c r="D9991" s="3" t="s">
        <v>614</v>
      </c>
      <c r="E9991" s="3" t="s">
        <v>118</v>
      </c>
      <c r="F9991" s="7">
        <v>45941.87788019485</v>
      </c>
      <c r="G9991" s="3" t="s">
        <v>25305</v>
      </c>
    </row>
    <row r="9992">
      <c r="A9992" s="3" t="s">
        <v>25306</v>
      </c>
      <c r="B9992" s="3" t="s">
        <v>8981</v>
      </c>
      <c r="C9992" s="5" t="s">
        <v>614</v>
      </c>
      <c r="D9992" s="3" t="s">
        <v>206</v>
      </c>
      <c r="E9992" s="3" t="s">
        <v>100</v>
      </c>
      <c r="F9992" s="7">
        <v>45941.88135241708</v>
      </c>
      <c r="G9992" s="3" t="s">
        <v>25307</v>
      </c>
    </row>
    <row r="9993">
      <c r="A9993" s="3" t="s">
        <v>25308</v>
      </c>
      <c r="B9993" s="3" t="s">
        <v>8981</v>
      </c>
      <c r="C9993" s="5" t="s">
        <v>206</v>
      </c>
      <c r="D9993" s="3" t="s">
        <v>68</v>
      </c>
      <c r="E9993" s="3" t="s">
        <v>100</v>
      </c>
      <c r="F9993" s="7">
        <v>45941.884824639295</v>
      </c>
      <c r="G9993" s="3" t="s">
        <v>25309</v>
      </c>
    </row>
    <row r="9994">
      <c r="A9994" s="3" t="s">
        <v>25310</v>
      </c>
      <c r="B9994" s="3" t="s">
        <v>8984</v>
      </c>
      <c r="C9994" s="5" t="s">
        <v>45</v>
      </c>
      <c r="D9994" s="3" t="s">
        <v>221</v>
      </c>
      <c r="E9994" s="3" t="s">
        <v>197</v>
      </c>
      <c r="F9994" s="7">
        <v>45941.94558281804</v>
      </c>
      <c r="G9994" s="3" t="s">
        <v>24790</v>
      </c>
    </row>
    <row r="9995">
      <c r="A9995" s="3" t="s">
        <v>25311</v>
      </c>
      <c r="B9995" s="3" t="s">
        <v>8984</v>
      </c>
      <c r="C9995" s="5" t="s">
        <v>221</v>
      </c>
      <c r="D9995" s="3" t="s">
        <v>181</v>
      </c>
      <c r="E9995" s="3" t="s">
        <v>118</v>
      </c>
      <c r="F9995" s="7">
        <v>45941.94905504026</v>
      </c>
      <c r="G9995" s="3" t="s">
        <v>24792</v>
      </c>
    </row>
    <row r="9996">
      <c r="A9996" s="3" t="s">
        <v>25312</v>
      </c>
      <c r="B9996" s="3" t="s">
        <v>8986</v>
      </c>
      <c r="C9996" s="5" t="s">
        <v>45</v>
      </c>
      <c r="D9996" s="3" t="s">
        <v>221</v>
      </c>
      <c r="E9996" s="3" t="s">
        <v>906</v>
      </c>
      <c r="F9996" s="7">
        <v>45942.01675766346</v>
      </c>
      <c r="G9996" s="3" t="s">
        <v>8968</v>
      </c>
    </row>
    <row r="9997">
      <c r="A9997" s="3" t="s">
        <v>25313</v>
      </c>
      <c r="B9997" s="3" t="s">
        <v>8986</v>
      </c>
      <c r="C9997" s="5" t="s">
        <v>221</v>
      </c>
      <c r="D9997" s="3" t="s">
        <v>614</v>
      </c>
      <c r="E9997" s="3" t="s">
        <v>118</v>
      </c>
      <c r="F9997" s="7">
        <v>45942.02022988568</v>
      </c>
      <c r="G9997" s="3" t="s">
        <v>8971</v>
      </c>
    </row>
    <row r="9998">
      <c r="A9998" s="3" t="s">
        <v>25314</v>
      </c>
      <c r="B9998" s="3" t="s">
        <v>8986</v>
      </c>
      <c r="C9998" s="5" t="s">
        <v>614</v>
      </c>
      <c r="D9998" s="3" t="s">
        <v>206</v>
      </c>
      <c r="E9998" s="3" t="s">
        <v>100</v>
      </c>
      <c r="F9998" s="7">
        <v>45942.02370210791</v>
      </c>
      <c r="G9998" s="3" t="s">
        <v>8974</v>
      </c>
    </row>
    <row r="9999">
      <c r="A9999" s="3" t="s">
        <v>25315</v>
      </c>
      <c r="B9999" s="3" t="s">
        <v>8986</v>
      </c>
      <c r="C9999" s="5" t="s">
        <v>206</v>
      </c>
      <c r="D9999" s="3" t="s">
        <v>68</v>
      </c>
      <c r="E9999" s="3" t="s">
        <v>100</v>
      </c>
      <c r="F9999" s="7">
        <v>45942.02717433013</v>
      </c>
      <c r="G9999" s="3" t="s">
        <v>8977</v>
      </c>
    </row>
    <row r="10000">
      <c r="A10000" s="3" t="s">
        <v>25316</v>
      </c>
      <c r="B10000" s="3" t="s">
        <v>8989</v>
      </c>
      <c r="C10000" s="5" t="s">
        <v>45</v>
      </c>
      <c r="D10000" s="3" t="s">
        <v>221</v>
      </c>
      <c r="E10000" s="3" t="s">
        <v>819</v>
      </c>
      <c r="F10000" s="7">
        <v>45942.08793250888</v>
      </c>
      <c r="G10000" s="3" t="s">
        <v>9869</v>
      </c>
    </row>
    <row r="10001">
      <c r="A10001" s="3" t="s">
        <v>25317</v>
      </c>
      <c r="B10001" s="3" t="s">
        <v>8989</v>
      </c>
      <c r="C10001" s="5" t="s">
        <v>221</v>
      </c>
      <c r="D10001" s="3" t="s">
        <v>195</v>
      </c>
      <c r="E10001" s="3" t="s">
        <v>819</v>
      </c>
      <c r="F10001" s="7">
        <v>45942.0914047311</v>
      </c>
      <c r="G10001" s="3" t="s">
        <v>25318</v>
      </c>
    </row>
    <row r="10002">
      <c r="A10002" s="3" t="s">
        <v>25319</v>
      </c>
      <c r="B10002" s="3" t="s">
        <v>8992</v>
      </c>
      <c r="C10002" s="5" t="s">
        <v>45</v>
      </c>
      <c r="D10002" s="3" t="s">
        <v>221</v>
      </c>
      <c r="E10002" s="3" t="s">
        <v>600</v>
      </c>
      <c r="F10002" s="7">
        <v>45942.15910735429</v>
      </c>
      <c r="G10002" s="3" t="s">
        <v>8987</v>
      </c>
    </row>
    <row r="10003">
      <c r="A10003" s="3" t="s">
        <v>25320</v>
      </c>
      <c r="B10003" s="3" t="s">
        <v>8992</v>
      </c>
      <c r="C10003" s="5" t="s">
        <v>221</v>
      </c>
      <c r="D10003" s="3" t="s">
        <v>614</v>
      </c>
      <c r="E10003" s="3" t="s">
        <v>118</v>
      </c>
      <c r="F10003" s="7">
        <v>45942.16257957651</v>
      </c>
      <c r="G10003" s="3" t="s">
        <v>8990</v>
      </c>
    </row>
    <row r="10004">
      <c r="A10004" s="3" t="s">
        <v>25321</v>
      </c>
      <c r="B10004" s="3" t="s">
        <v>8992</v>
      </c>
      <c r="C10004" s="5" t="s">
        <v>614</v>
      </c>
      <c r="D10004" s="3" t="s">
        <v>206</v>
      </c>
      <c r="E10004" s="3" t="s">
        <v>100</v>
      </c>
      <c r="F10004" s="7">
        <v>45942.16605179873</v>
      </c>
      <c r="G10004" s="3" t="s">
        <v>8993</v>
      </c>
    </row>
    <row r="10005">
      <c r="A10005" s="3" t="s">
        <v>25322</v>
      </c>
      <c r="B10005" s="3" t="s">
        <v>8992</v>
      </c>
      <c r="C10005" s="5" t="s">
        <v>206</v>
      </c>
      <c r="D10005" s="3" t="s">
        <v>68</v>
      </c>
      <c r="E10005" s="3" t="s">
        <v>100</v>
      </c>
      <c r="F10005" s="7">
        <v>45942.16952402095</v>
      </c>
      <c r="G10005" s="3" t="s">
        <v>8996</v>
      </c>
    </row>
    <row r="10006">
      <c r="A10006" s="3" t="s">
        <v>25323</v>
      </c>
      <c r="B10006" s="3" t="s">
        <v>8995</v>
      </c>
      <c r="C10006" s="5" t="s">
        <v>45</v>
      </c>
      <c r="D10006" s="3" t="s">
        <v>221</v>
      </c>
      <c r="E10006" s="3" t="s">
        <v>767</v>
      </c>
      <c r="F10006" s="7">
        <v>45942.23028219971</v>
      </c>
      <c r="G10006" s="3" t="s">
        <v>6086</v>
      </c>
    </row>
    <row r="10007">
      <c r="A10007" s="3" t="s">
        <v>25324</v>
      </c>
      <c r="B10007" s="3" t="s">
        <v>8995</v>
      </c>
      <c r="C10007" s="5" t="s">
        <v>221</v>
      </c>
      <c r="D10007" s="3" t="s">
        <v>614</v>
      </c>
      <c r="E10007" s="3" t="s">
        <v>118</v>
      </c>
      <c r="F10007" s="7">
        <v>45942.233754421926</v>
      </c>
      <c r="G10007" s="3" t="s">
        <v>6088</v>
      </c>
    </row>
    <row r="10008">
      <c r="A10008" s="3" t="s">
        <v>25325</v>
      </c>
      <c r="B10008" s="3" t="s">
        <v>8995</v>
      </c>
      <c r="C10008" s="5" t="s">
        <v>614</v>
      </c>
      <c r="D10008" s="3" t="s">
        <v>206</v>
      </c>
      <c r="E10008" s="3" t="s">
        <v>100</v>
      </c>
      <c r="F10008" s="7">
        <v>45942.23722664415</v>
      </c>
      <c r="G10008" s="3" t="s">
        <v>6091</v>
      </c>
    </row>
    <row r="10009">
      <c r="A10009" s="3" t="s">
        <v>25326</v>
      </c>
      <c r="B10009" s="3" t="s">
        <v>8995</v>
      </c>
      <c r="C10009" s="5" t="s">
        <v>206</v>
      </c>
      <c r="D10009" s="3" t="s">
        <v>68</v>
      </c>
      <c r="E10009" s="3" t="s">
        <v>100</v>
      </c>
      <c r="F10009" s="7">
        <v>45942.24069886637</v>
      </c>
      <c r="G10009" s="3" t="s">
        <v>6094</v>
      </c>
    </row>
    <row r="10010">
      <c r="A10010" s="3" t="s">
        <v>25327</v>
      </c>
      <c r="B10010" s="3" t="s">
        <v>8998</v>
      </c>
      <c r="C10010" s="5" t="s">
        <v>45</v>
      </c>
      <c r="D10010" s="3" t="s">
        <v>221</v>
      </c>
      <c r="E10010" s="3" t="s">
        <v>708</v>
      </c>
      <c r="F10010" s="7">
        <v>45942.30145704513</v>
      </c>
      <c r="G10010" s="3" t="s">
        <v>19713</v>
      </c>
    </row>
    <row r="10011">
      <c r="A10011" s="3" t="s">
        <v>25328</v>
      </c>
      <c r="B10011" s="3" t="s">
        <v>8998</v>
      </c>
      <c r="C10011" s="5" t="s">
        <v>221</v>
      </c>
      <c r="D10011" s="3" t="s">
        <v>614</v>
      </c>
      <c r="E10011" s="3" t="s">
        <v>118</v>
      </c>
      <c r="F10011" s="7">
        <v>45942.304929267346</v>
      </c>
      <c r="G10011" s="3" t="s">
        <v>19716</v>
      </c>
    </row>
    <row r="10012">
      <c r="A10012" s="3" t="s">
        <v>25329</v>
      </c>
      <c r="B10012" s="3" t="s">
        <v>8998</v>
      </c>
      <c r="C10012" s="5" t="s">
        <v>614</v>
      </c>
      <c r="D10012" s="3" t="s">
        <v>206</v>
      </c>
      <c r="E10012" s="3" t="s">
        <v>100</v>
      </c>
      <c r="F10012" s="7">
        <v>45942.30840148957</v>
      </c>
      <c r="G10012" s="3" t="s">
        <v>19719</v>
      </c>
    </row>
    <row r="10013">
      <c r="A10013" s="3" t="s">
        <v>25330</v>
      </c>
      <c r="B10013" s="3" t="s">
        <v>8998</v>
      </c>
      <c r="C10013" s="5" t="s">
        <v>206</v>
      </c>
      <c r="D10013" s="3" t="s">
        <v>68</v>
      </c>
      <c r="E10013" s="3" t="s">
        <v>100</v>
      </c>
      <c r="F10013" s="7">
        <v>45942.31187371179</v>
      </c>
      <c r="G10013" s="3" t="s">
        <v>19722</v>
      </c>
    </row>
    <row r="10014">
      <c r="A10014" s="3" t="s">
        <v>25331</v>
      </c>
      <c r="B10014" s="3" t="s">
        <v>9000</v>
      </c>
      <c r="C10014" s="5" t="s">
        <v>45</v>
      </c>
      <c r="D10014" s="3" t="s">
        <v>221</v>
      </c>
      <c r="E10014" s="3" t="s">
        <v>1021</v>
      </c>
      <c r="F10014" s="7">
        <v>45942.37263189054</v>
      </c>
      <c r="G10014" s="3" t="s">
        <v>9043</v>
      </c>
    </row>
    <row r="10015">
      <c r="A10015" s="3" t="s">
        <v>25332</v>
      </c>
      <c r="B10015" s="3" t="s">
        <v>9000</v>
      </c>
      <c r="C10015" s="5" t="s">
        <v>221</v>
      </c>
      <c r="D10015" s="3" t="s">
        <v>614</v>
      </c>
      <c r="E10015" s="3" t="s">
        <v>118</v>
      </c>
      <c r="F10015" s="7">
        <v>45942.37610411276</v>
      </c>
      <c r="G10015" s="3" t="s">
        <v>9046</v>
      </c>
    </row>
    <row r="10016">
      <c r="A10016" s="3" t="s">
        <v>25333</v>
      </c>
      <c r="B10016" s="3" t="s">
        <v>9000</v>
      </c>
      <c r="C10016" s="5" t="s">
        <v>614</v>
      </c>
      <c r="D10016" s="3" t="s">
        <v>206</v>
      </c>
      <c r="E10016" s="3" t="s">
        <v>100</v>
      </c>
      <c r="F10016" s="7">
        <v>45942.379576334984</v>
      </c>
      <c r="G10016" s="3" t="s">
        <v>9049</v>
      </c>
    </row>
    <row r="10017">
      <c r="A10017" s="3" t="s">
        <v>25334</v>
      </c>
      <c r="B10017" s="3" t="s">
        <v>9000</v>
      </c>
      <c r="C10017" s="5" t="s">
        <v>206</v>
      </c>
      <c r="D10017" s="3" t="s">
        <v>68</v>
      </c>
      <c r="E10017" s="3" t="s">
        <v>100</v>
      </c>
      <c r="F10017" s="7">
        <v>45942.3830485572</v>
      </c>
      <c r="G10017" s="3" t="s">
        <v>9051</v>
      </c>
    </row>
    <row r="10018">
      <c r="A10018" s="3" t="s">
        <v>25335</v>
      </c>
      <c r="B10018" s="3" t="s">
        <v>9003</v>
      </c>
      <c r="C10018" s="5" t="s">
        <v>45</v>
      </c>
      <c r="D10018" s="3" t="s">
        <v>221</v>
      </c>
      <c r="E10018" s="3" t="s">
        <v>1011</v>
      </c>
      <c r="F10018" s="7">
        <v>45942.44380673595</v>
      </c>
      <c r="G10018" s="3" t="s">
        <v>9128</v>
      </c>
    </row>
    <row r="10019">
      <c r="A10019" s="3" t="s">
        <v>25336</v>
      </c>
      <c r="B10019" s="3" t="s">
        <v>9003</v>
      </c>
      <c r="C10019" s="5" t="s">
        <v>221</v>
      </c>
      <c r="D10019" s="3" t="s">
        <v>614</v>
      </c>
      <c r="E10019" s="3" t="s">
        <v>118</v>
      </c>
      <c r="F10019" s="7">
        <v>45942.44727895817</v>
      </c>
      <c r="G10019" s="3" t="s">
        <v>9131</v>
      </c>
    </row>
    <row r="10020">
      <c r="A10020" s="3" t="s">
        <v>25337</v>
      </c>
      <c r="B10020" s="3" t="s">
        <v>9003</v>
      </c>
      <c r="C10020" s="5" t="s">
        <v>614</v>
      </c>
      <c r="D10020" s="3" t="s">
        <v>206</v>
      </c>
      <c r="E10020" s="3" t="s">
        <v>100</v>
      </c>
      <c r="F10020" s="7">
        <v>45942.4507511804</v>
      </c>
      <c r="G10020" s="3" t="s">
        <v>9134</v>
      </c>
    </row>
    <row r="10021">
      <c r="A10021" s="3" t="s">
        <v>25338</v>
      </c>
      <c r="B10021" s="3" t="s">
        <v>9003</v>
      </c>
      <c r="C10021" s="5" t="s">
        <v>206</v>
      </c>
      <c r="D10021" s="3" t="s">
        <v>68</v>
      </c>
      <c r="E10021" s="3" t="s">
        <v>100</v>
      </c>
      <c r="F10021" s="7">
        <v>45942.454223402616</v>
      </c>
      <c r="G10021" s="3" t="s">
        <v>9137</v>
      </c>
    </row>
    <row r="10022">
      <c r="A10022" s="3" t="s">
        <v>25339</v>
      </c>
      <c r="B10022" s="3" t="s">
        <v>9007</v>
      </c>
      <c r="C10022" s="5" t="s">
        <v>45</v>
      </c>
      <c r="D10022" s="3" t="s">
        <v>221</v>
      </c>
      <c r="E10022" s="3" t="s">
        <v>159</v>
      </c>
      <c r="F10022" s="7">
        <v>45942.51498158137</v>
      </c>
      <c r="G10022" s="3" t="s">
        <v>8901</v>
      </c>
    </row>
    <row r="10023">
      <c r="A10023" s="3" t="s">
        <v>25340</v>
      </c>
      <c r="B10023" s="3" t="s">
        <v>9007</v>
      </c>
      <c r="C10023" s="5" t="s">
        <v>221</v>
      </c>
      <c r="D10023" s="3" t="s">
        <v>181</v>
      </c>
      <c r="E10023" s="3" t="s">
        <v>118</v>
      </c>
      <c r="F10023" s="7">
        <v>45942.51845380359</v>
      </c>
      <c r="G10023" s="3" t="s">
        <v>25341</v>
      </c>
    </row>
    <row r="10024">
      <c r="A10024" s="3" t="s">
        <v>25342</v>
      </c>
      <c r="B10024" s="3" t="s">
        <v>9011</v>
      </c>
      <c r="C10024" s="5" t="s">
        <v>45</v>
      </c>
      <c r="D10024" s="3" t="s">
        <v>221</v>
      </c>
      <c r="E10024" s="3" t="s">
        <v>373</v>
      </c>
      <c r="F10024" s="7">
        <v>45942.58615642678</v>
      </c>
      <c r="G10024" s="3" t="s">
        <v>10250</v>
      </c>
    </row>
    <row r="10025">
      <c r="A10025" s="3" t="s">
        <v>25343</v>
      </c>
      <c r="B10025" s="3" t="s">
        <v>9011</v>
      </c>
      <c r="C10025" s="5" t="s">
        <v>221</v>
      </c>
      <c r="D10025" s="3" t="s">
        <v>614</v>
      </c>
      <c r="E10025" s="3" t="s">
        <v>118</v>
      </c>
      <c r="F10025" s="7">
        <v>45942.589628649</v>
      </c>
      <c r="G10025" s="3" t="s">
        <v>10254</v>
      </c>
    </row>
    <row r="10026">
      <c r="A10026" s="3" t="s">
        <v>25344</v>
      </c>
      <c r="B10026" s="3" t="s">
        <v>9011</v>
      </c>
      <c r="C10026" s="5" t="s">
        <v>614</v>
      </c>
      <c r="D10026" s="3" t="s">
        <v>206</v>
      </c>
      <c r="E10026" s="3" t="s">
        <v>100</v>
      </c>
      <c r="F10026" s="7">
        <v>45942.59310087123</v>
      </c>
      <c r="G10026" s="3" t="s">
        <v>10257</v>
      </c>
    </row>
    <row r="10027">
      <c r="A10027" s="3" t="s">
        <v>25345</v>
      </c>
      <c r="B10027" s="3" t="s">
        <v>9011</v>
      </c>
      <c r="C10027" s="5" t="s">
        <v>206</v>
      </c>
      <c r="D10027" s="3" t="s">
        <v>68</v>
      </c>
      <c r="E10027" s="3" t="s">
        <v>100</v>
      </c>
      <c r="F10027" s="7">
        <v>45942.59657309345</v>
      </c>
      <c r="G10027" s="3" t="s">
        <v>10260</v>
      </c>
    </row>
    <row r="10028">
      <c r="A10028" s="3" t="s">
        <v>25346</v>
      </c>
      <c r="B10028" s="3" t="s">
        <v>9014</v>
      </c>
      <c r="C10028" s="5" t="s">
        <v>45</v>
      </c>
      <c r="D10028" s="3" t="s">
        <v>221</v>
      </c>
      <c r="E10028" s="3" t="s">
        <v>411</v>
      </c>
      <c r="F10028" s="7">
        <v>45942.657331272196</v>
      </c>
      <c r="G10028" s="3" t="s">
        <v>9199</v>
      </c>
    </row>
    <row r="10029">
      <c r="A10029" s="3" t="s">
        <v>25347</v>
      </c>
      <c r="B10029" s="3" t="s">
        <v>9014</v>
      </c>
      <c r="C10029" s="5" t="s">
        <v>221</v>
      </c>
      <c r="D10029" s="3" t="s">
        <v>614</v>
      </c>
      <c r="E10029" s="3" t="s">
        <v>118</v>
      </c>
      <c r="F10029" s="7">
        <v>45942.660803494415</v>
      </c>
      <c r="G10029" s="3" t="s">
        <v>9202</v>
      </c>
    </row>
    <row r="10030">
      <c r="A10030" s="3" t="s">
        <v>25348</v>
      </c>
      <c r="B10030" s="3" t="s">
        <v>9014</v>
      </c>
      <c r="C10030" s="5" t="s">
        <v>614</v>
      </c>
      <c r="D10030" s="3" t="s">
        <v>206</v>
      </c>
      <c r="E10030" s="3" t="s">
        <v>100</v>
      </c>
      <c r="F10030" s="7">
        <v>45942.66427571664</v>
      </c>
      <c r="G10030" s="3" t="s">
        <v>9205</v>
      </c>
    </row>
    <row r="10031">
      <c r="A10031" s="3" t="s">
        <v>25349</v>
      </c>
      <c r="B10031" s="3" t="s">
        <v>9014</v>
      </c>
      <c r="C10031" s="5" t="s">
        <v>206</v>
      </c>
      <c r="D10031" s="3" t="s">
        <v>68</v>
      </c>
      <c r="E10031" s="3" t="s">
        <v>100</v>
      </c>
      <c r="F10031" s="7">
        <v>45942.66774793886</v>
      </c>
      <c r="G10031" s="3" t="s">
        <v>9208</v>
      </c>
    </row>
    <row r="10032">
      <c r="A10032" s="3" t="s">
        <v>25350</v>
      </c>
      <c r="B10032" s="3" t="s">
        <v>9018</v>
      </c>
      <c r="C10032" s="5" t="s">
        <v>45</v>
      </c>
      <c r="D10032" s="3" t="s">
        <v>221</v>
      </c>
      <c r="E10032" s="3" t="s">
        <v>247</v>
      </c>
      <c r="F10032" s="7">
        <v>45942.728506117615</v>
      </c>
      <c r="G10032" s="3" t="s">
        <v>9211</v>
      </c>
    </row>
    <row r="10033">
      <c r="A10033" s="3" t="s">
        <v>25351</v>
      </c>
      <c r="B10033" s="3" t="s">
        <v>9018</v>
      </c>
      <c r="C10033" s="5" t="s">
        <v>221</v>
      </c>
      <c r="D10033" s="3" t="s">
        <v>614</v>
      </c>
      <c r="E10033" s="3" t="s">
        <v>118</v>
      </c>
      <c r="F10033" s="7">
        <v>45942.731978339834</v>
      </c>
      <c r="G10033" s="3" t="s">
        <v>9213</v>
      </c>
    </row>
    <row r="10034">
      <c r="A10034" s="3" t="s">
        <v>25352</v>
      </c>
      <c r="B10034" s="3" t="s">
        <v>9018</v>
      </c>
      <c r="C10034" s="5" t="s">
        <v>614</v>
      </c>
      <c r="D10034" s="3" t="s">
        <v>206</v>
      </c>
      <c r="E10034" s="3" t="s">
        <v>100</v>
      </c>
      <c r="F10034" s="7">
        <v>45942.73545056206</v>
      </c>
      <c r="G10034" s="3" t="s">
        <v>9216</v>
      </c>
    </row>
    <row r="10035">
      <c r="A10035" s="3" t="s">
        <v>25353</v>
      </c>
      <c r="B10035" s="3" t="s">
        <v>9018</v>
      </c>
      <c r="C10035" s="5" t="s">
        <v>206</v>
      </c>
      <c r="D10035" s="3" t="s">
        <v>68</v>
      </c>
      <c r="E10035" s="3" t="s">
        <v>100</v>
      </c>
      <c r="F10035" s="7">
        <v>45942.73892278428</v>
      </c>
      <c r="G10035" s="3" t="s">
        <v>9219</v>
      </c>
    </row>
    <row r="10036">
      <c r="A10036" s="3" t="s">
        <v>25354</v>
      </c>
      <c r="B10036" s="3" t="s">
        <v>9021</v>
      </c>
      <c r="C10036" s="5" t="s">
        <v>45</v>
      </c>
      <c r="D10036" s="3" t="s">
        <v>221</v>
      </c>
      <c r="E10036" s="3" t="s">
        <v>316</v>
      </c>
      <c r="F10036" s="7">
        <v>45942.79968096303</v>
      </c>
      <c r="G10036" s="3" t="s">
        <v>25355</v>
      </c>
    </row>
    <row r="10037">
      <c r="A10037" s="3" t="s">
        <v>25356</v>
      </c>
      <c r="B10037" s="3" t="s">
        <v>9021</v>
      </c>
      <c r="C10037" s="5" t="s">
        <v>221</v>
      </c>
      <c r="D10037" s="3" t="s">
        <v>614</v>
      </c>
      <c r="E10037" s="3" t="s">
        <v>118</v>
      </c>
      <c r="F10037" s="7">
        <v>45942.80315318525</v>
      </c>
      <c r="G10037" s="3" t="s">
        <v>25357</v>
      </c>
    </row>
    <row r="10038">
      <c r="A10038" s="3" t="s">
        <v>25358</v>
      </c>
      <c r="B10038" s="3" t="s">
        <v>9021</v>
      </c>
      <c r="C10038" s="5" t="s">
        <v>614</v>
      </c>
      <c r="D10038" s="3" t="s">
        <v>206</v>
      </c>
      <c r="E10038" s="3" t="s">
        <v>100</v>
      </c>
      <c r="F10038" s="7">
        <v>45942.80662540747</v>
      </c>
      <c r="G10038" s="3" t="s">
        <v>25359</v>
      </c>
    </row>
    <row r="10039">
      <c r="A10039" s="3" t="s">
        <v>25360</v>
      </c>
      <c r="B10039" s="3" t="s">
        <v>9021</v>
      </c>
      <c r="C10039" s="5" t="s">
        <v>206</v>
      </c>
      <c r="D10039" s="3" t="s">
        <v>68</v>
      </c>
      <c r="E10039" s="3" t="s">
        <v>100</v>
      </c>
      <c r="F10039" s="7">
        <v>45942.81009762969</v>
      </c>
      <c r="G10039" s="3" t="s">
        <v>25361</v>
      </c>
    </row>
    <row r="10040">
      <c r="A10040" s="3" t="s">
        <v>25362</v>
      </c>
      <c r="B10040" s="3" t="s">
        <v>9025</v>
      </c>
      <c r="C10040" s="5" t="s">
        <v>45</v>
      </c>
      <c r="D10040" s="3" t="s">
        <v>221</v>
      </c>
      <c r="E10040" s="3" t="s">
        <v>247</v>
      </c>
      <c r="F10040" s="7">
        <v>45942.87085580844</v>
      </c>
      <c r="G10040" s="3" t="s">
        <v>14938</v>
      </c>
    </row>
    <row r="10041">
      <c r="A10041" s="3" t="s">
        <v>25363</v>
      </c>
      <c r="B10041" s="3" t="s">
        <v>9025</v>
      </c>
      <c r="C10041" s="5" t="s">
        <v>221</v>
      </c>
      <c r="D10041" s="3" t="s">
        <v>614</v>
      </c>
      <c r="E10041" s="3" t="s">
        <v>118</v>
      </c>
      <c r="F10041" s="7">
        <v>45942.87432803066</v>
      </c>
      <c r="G10041" s="3" t="s">
        <v>14941</v>
      </c>
    </row>
    <row r="10042">
      <c r="A10042" s="3" t="s">
        <v>25364</v>
      </c>
      <c r="B10042" s="3" t="s">
        <v>9025</v>
      </c>
      <c r="C10042" s="5" t="s">
        <v>614</v>
      </c>
      <c r="D10042" s="3" t="s">
        <v>206</v>
      </c>
      <c r="E10042" s="3" t="s">
        <v>100</v>
      </c>
      <c r="F10042" s="7">
        <v>45942.877800252885</v>
      </c>
      <c r="G10042" s="3" t="s">
        <v>14944</v>
      </c>
    </row>
    <row r="10043">
      <c r="A10043" s="3" t="s">
        <v>25365</v>
      </c>
      <c r="B10043" s="3" t="s">
        <v>9025</v>
      </c>
      <c r="C10043" s="5" t="s">
        <v>206</v>
      </c>
      <c r="D10043" s="3" t="s">
        <v>68</v>
      </c>
      <c r="E10043" s="3" t="s">
        <v>100</v>
      </c>
      <c r="F10043" s="7">
        <v>45942.881272475104</v>
      </c>
      <c r="G10043" s="3" t="s">
        <v>14947</v>
      </c>
    </row>
    <row r="10044">
      <c r="A10044" s="3" t="s">
        <v>25366</v>
      </c>
      <c r="B10044" s="3" t="s">
        <v>9028</v>
      </c>
      <c r="C10044" s="5" t="s">
        <v>45</v>
      </c>
      <c r="D10044" s="3" t="s">
        <v>221</v>
      </c>
      <c r="E10044" s="3" t="s">
        <v>168</v>
      </c>
      <c r="F10044" s="7">
        <v>45942.94203065386</v>
      </c>
      <c r="G10044" s="3" t="s">
        <v>9267</v>
      </c>
    </row>
    <row r="10045">
      <c r="A10045" s="3" t="s">
        <v>25367</v>
      </c>
      <c r="B10045" s="3" t="s">
        <v>9028</v>
      </c>
      <c r="C10045" s="5" t="s">
        <v>221</v>
      </c>
      <c r="D10045" s="3" t="s">
        <v>614</v>
      </c>
      <c r="E10045" s="3" t="s">
        <v>118</v>
      </c>
      <c r="F10045" s="7">
        <v>45942.94550287608</v>
      </c>
      <c r="G10045" s="3" t="s">
        <v>9270</v>
      </c>
    </row>
    <row r="10046">
      <c r="A10046" s="3" t="s">
        <v>25368</v>
      </c>
      <c r="B10046" s="3" t="s">
        <v>9028</v>
      </c>
      <c r="C10046" s="5" t="s">
        <v>614</v>
      </c>
      <c r="D10046" s="3" t="s">
        <v>206</v>
      </c>
      <c r="E10046" s="3" t="s">
        <v>100</v>
      </c>
      <c r="F10046" s="7">
        <v>45942.948975098305</v>
      </c>
      <c r="G10046" s="3" t="s">
        <v>9272</v>
      </c>
    </row>
    <row r="10047">
      <c r="A10047" s="3" t="s">
        <v>25369</v>
      </c>
      <c r="B10047" s="3" t="s">
        <v>9028</v>
      </c>
      <c r="C10047" s="5" t="s">
        <v>206</v>
      </c>
      <c r="D10047" s="3" t="s">
        <v>68</v>
      </c>
      <c r="E10047" s="3" t="s">
        <v>100</v>
      </c>
      <c r="F10047" s="7">
        <v>45942.952447320524</v>
      </c>
      <c r="G10047" s="3" t="s">
        <v>9275</v>
      </c>
    </row>
    <row r="10048">
      <c r="A10048" s="3" t="s">
        <v>25370</v>
      </c>
      <c r="B10048" s="3" t="s">
        <v>9031</v>
      </c>
      <c r="C10048" s="5" t="s">
        <v>45</v>
      </c>
      <c r="D10048" s="3" t="s">
        <v>221</v>
      </c>
      <c r="E10048" s="3" t="s">
        <v>691</v>
      </c>
      <c r="F10048" s="7">
        <v>45943.01320549927</v>
      </c>
      <c r="G10048" s="3" t="s">
        <v>19658</v>
      </c>
    </row>
    <row r="10049">
      <c r="A10049" s="3" t="s">
        <v>25371</v>
      </c>
      <c r="B10049" s="3" t="s">
        <v>9031</v>
      </c>
      <c r="C10049" s="5" t="s">
        <v>221</v>
      </c>
      <c r="D10049" s="3" t="s">
        <v>614</v>
      </c>
      <c r="E10049" s="3" t="s">
        <v>118</v>
      </c>
      <c r="F10049" s="7">
        <v>45943.01667772149</v>
      </c>
      <c r="G10049" s="3" t="s">
        <v>19661</v>
      </c>
    </row>
    <row r="10050">
      <c r="A10050" s="3" t="s">
        <v>25372</v>
      </c>
      <c r="B10050" s="3" t="s">
        <v>9031</v>
      </c>
      <c r="C10050" s="5" t="s">
        <v>614</v>
      </c>
      <c r="D10050" s="3" t="s">
        <v>206</v>
      </c>
      <c r="E10050" s="3" t="s">
        <v>100</v>
      </c>
      <c r="F10050" s="7">
        <v>45943.02014994372</v>
      </c>
      <c r="G10050" s="3" t="s">
        <v>19664</v>
      </c>
    </row>
    <row r="10051">
      <c r="A10051" s="3" t="s">
        <v>25373</v>
      </c>
      <c r="B10051" s="3" t="s">
        <v>9031</v>
      </c>
      <c r="C10051" s="5" t="s">
        <v>206</v>
      </c>
      <c r="D10051" s="3" t="s">
        <v>68</v>
      </c>
      <c r="E10051" s="3" t="s">
        <v>100</v>
      </c>
      <c r="F10051" s="7">
        <v>45943.023622165936</v>
      </c>
      <c r="G10051" s="3" t="s">
        <v>19667</v>
      </c>
    </row>
    <row r="10052">
      <c r="A10052" s="3" t="s">
        <v>25374</v>
      </c>
      <c r="B10052" s="3" t="s">
        <v>9033</v>
      </c>
      <c r="C10052" s="5" t="s">
        <v>45</v>
      </c>
      <c r="D10052" s="3" t="s">
        <v>221</v>
      </c>
      <c r="E10052" s="3" t="s">
        <v>1026</v>
      </c>
      <c r="F10052" s="7">
        <v>45943.084380344684</v>
      </c>
      <c r="G10052" s="3" t="s">
        <v>24051</v>
      </c>
    </row>
    <row r="10053">
      <c r="A10053" s="3" t="s">
        <v>25375</v>
      </c>
      <c r="B10053" s="3" t="s">
        <v>9033</v>
      </c>
      <c r="C10053" s="5" t="s">
        <v>221</v>
      </c>
      <c r="D10053" s="3" t="s">
        <v>614</v>
      </c>
      <c r="E10053" s="3" t="s">
        <v>118</v>
      </c>
      <c r="F10053" s="7">
        <v>45943.0878525669</v>
      </c>
      <c r="G10053" s="3" t="s">
        <v>25376</v>
      </c>
    </row>
    <row r="10054">
      <c r="A10054" s="3" t="s">
        <v>25377</v>
      </c>
      <c r="B10054" s="3" t="s">
        <v>9033</v>
      </c>
      <c r="C10054" s="5" t="s">
        <v>614</v>
      </c>
      <c r="D10054" s="3" t="s">
        <v>206</v>
      </c>
      <c r="E10054" s="3" t="s">
        <v>100</v>
      </c>
      <c r="F10054" s="7">
        <v>45943.09132478913</v>
      </c>
      <c r="G10054" s="3" t="s">
        <v>25378</v>
      </c>
    </row>
    <row r="10055">
      <c r="A10055" s="3" t="s">
        <v>25379</v>
      </c>
      <c r="B10055" s="3" t="s">
        <v>9033</v>
      </c>
      <c r="C10055" s="5" t="s">
        <v>206</v>
      </c>
      <c r="D10055" s="3" t="s">
        <v>68</v>
      </c>
      <c r="E10055" s="3" t="s">
        <v>100</v>
      </c>
      <c r="F10055" s="7">
        <v>45943.09479701135</v>
      </c>
      <c r="G10055" s="3" t="s">
        <v>25380</v>
      </c>
    </row>
    <row r="10056">
      <c r="A10056" s="3" t="s">
        <v>25381</v>
      </c>
      <c r="B10056" s="3" t="s">
        <v>9036</v>
      </c>
      <c r="C10056" s="5" t="s">
        <v>45</v>
      </c>
      <c r="D10056" s="3" t="s">
        <v>221</v>
      </c>
      <c r="E10056" s="3" t="s">
        <v>838</v>
      </c>
      <c r="F10056" s="7">
        <v>45943.155555190104</v>
      </c>
      <c r="G10056" s="3" t="s">
        <v>22859</v>
      </c>
    </row>
    <row r="10057">
      <c r="A10057" s="3" t="s">
        <v>25382</v>
      </c>
      <c r="B10057" s="3" t="s">
        <v>9036</v>
      </c>
      <c r="C10057" s="5" t="s">
        <v>221</v>
      </c>
      <c r="D10057" s="3" t="s">
        <v>614</v>
      </c>
      <c r="E10057" s="3" t="s">
        <v>118</v>
      </c>
      <c r="F10057" s="7">
        <v>45943.15902741232</v>
      </c>
      <c r="G10057" s="3" t="s">
        <v>25383</v>
      </c>
    </row>
    <row r="10058">
      <c r="A10058" s="3" t="s">
        <v>25384</v>
      </c>
      <c r="B10058" s="3" t="s">
        <v>9036</v>
      </c>
      <c r="C10058" s="5" t="s">
        <v>614</v>
      </c>
      <c r="D10058" s="3" t="s">
        <v>206</v>
      </c>
      <c r="E10058" s="3" t="s">
        <v>100</v>
      </c>
      <c r="F10058" s="7">
        <v>45943.16249963455</v>
      </c>
      <c r="G10058" s="3" t="s">
        <v>25385</v>
      </c>
    </row>
    <row r="10059">
      <c r="A10059" s="3" t="s">
        <v>25386</v>
      </c>
      <c r="B10059" s="3" t="s">
        <v>9036</v>
      </c>
      <c r="C10059" s="5" t="s">
        <v>206</v>
      </c>
      <c r="D10059" s="3" t="s">
        <v>68</v>
      </c>
      <c r="E10059" s="3" t="s">
        <v>100</v>
      </c>
      <c r="F10059" s="7">
        <v>45943.16597185677</v>
      </c>
      <c r="G10059" s="3" t="s">
        <v>25387</v>
      </c>
    </row>
    <row r="10060">
      <c r="A10060" s="3" t="s">
        <v>25388</v>
      </c>
      <c r="B10060" s="3" t="s">
        <v>9039</v>
      </c>
      <c r="C10060" s="5" t="s">
        <v>45</v>
      </c>
      <c r="D10060" s="3" t="s">
        <v>221</v>
      </c>
      <c r="E10060" s="3" t="s">
        <v>145</v>
      </c>
      <c r="F10060" s="7">
        <v>45943.22673003552</v>
      </c>
      <c r="G10060" s="3" t="s">
        <v>11310</v>
      </c>
    </row>
    <row r="10061">
      <c r="A10061" s="3" t="s">
        <v>25389</v>
      </c>
      <c r="B10061" s="3" t="s">
        <v>9039</v>
      </c>
      <c r="C10061" s="5" t="s">
        <v>221</v>
      </c>
      <c r="D10061" s="3" t="s">
        <v>614</v>
      </c>
      <c r="E10061" s="3" t="s">
        <v>118</v>
      </c>
      <c r="F10061" s="7">
        <v>45943.23020225774</v>
      </c>
      <c r="G10061" s="3" t="s">
        <v>11353</v>
      </c>
    </row>
    <row r="10062">
      <c r="A10062" s="3" t="s">
        <v>25390</v>
      </c>
      <c r="B10062" s="3" t="s">
        <v>9039</v>
      </c>
      <c r="C10062" s="5" t="s">
        <v>614</v>
      </c>
      <c r="D10062" s="3" t="s">
        <v>206</v>
      </c>
      <c r="E10062" s="3" t="s">
        <v>100</v>
      </c>
      <c r="F10062" s="7">
        <v>45943.23367447997</v>
      </c>
      <c r="G10062" s="3" t="s">
        <v>11355</v>
      </c>
    </row>
    <row r="10063">
      <c r="A10063" s="3" t="s">
        <v>25391</v>
      </c>
      <c r="B10063" s="3" t="s">
        <v>9039</v>
      </c>
      <c r="C10063" s="5" t="s">
        <v>206</v>
      </c>
      <c r="D10063" s="3" t="s">
        <v>68</v>
      </c>
      <c r="E10063" s="3" t="s">
        <v>100</v>
      </c>
      <c r="F10063" s="7">
        <v>45943.23714670219</v>
      </c>
      <c r="G10063" s="3" t="s">
        <v>11358</v>
      </c>
    </row>
    <row r="10064">
      <c r="A10064" s="3" t="s">
        <v>25392</v>
      </c>
      <c r="B10064" s="3" t="s">
        <v>9042</v>
      </c>
      <c r="C10064" s="5" t="s">
        <v>45</v>
      </c>
      <c r="D10064" s="3" t="s">
        <v>221</v>
      </c>
      <c r="E10064" s="3" t="s">
        <v>579</v>
      </c>
      <c r="F10064" s="7">
        <v>45943.29790488093</v>
      </c>
      <c r="G10064" s="3" t="s">
        <v>9278</v>
      </c>
    </row>
    <row r="10065">
      <c r="A10065" s="3" t="s">
        <v>25393</v>
      </c>
      <c r="B10065" s="3" t="s">
        <v>9042</v>
      </c>
      <c r="C10065" s="5" t="s">
        <v>221</v>
      </c>
      <c r="D10065" s="3" t="s">
        <v>614</v>
      </c>
      <c r="E10065" s="3" t="s">
        <v>118</v>
      </c>
      <c r="F10065" s="7">
        <v>45943.30137710315</v>
      </c>
      <c r="G10065" s="3" t="s">
        <v>9281</v>
      </c>
    </row>
    <row r="10066">
      <c r="A10066" s="3" t="s">
        <v>25394</v>
      </c>
      <c r="B10066" s="3" t="s">
        <v>9042</v>
      </c>
      <c r="C10066" s="5" t="s">
        <v>614</v>
      </c>
      <c r="D10066" s="3" t="s">
        <v>206</v>
      </c>
      <c r="E10066" s="3" t="s">
        <v>100</v>
      </c>
      <c r="F10066" s="7">
        <v>45943.304849325374</v>
      </c>
      <c r="G10066" s="3" t="s">
        <v>9284</v>
      </c>
    </row>
    <row r="10067">
      <c r="A10067" s="3" t="s">
        <v>25395</v>
      </c>
      <c r="B10067" s="3" t="s">
        <v>9042</v>
      </c>
      <c r="C10067" s="5" t="s">
        <v>206</v>
      </c>
      <c r="D10067" s="3" t="s">
        <v>68</v>
      </c>
      <c r="E10067" s="3" t="s">
        <v>100</v>
      </c>
      <c r="F10067" s="7">
        <v>45943.30832154759</v>
      </c>
      <c r="G10067" s="3" t="s">
        <v>9288</v>
      </c>
    </row>
    <row r="10068">
      <c r="A10068" s="3" t="s">
        <v>25396</v>
      </c>
      <c r="B10068" s="3" t="s">
        <v>9045</v>
      </c>
      <c r="C10068" s="5" t="s">
        <v>45</v>
      </c>
      <c r="D10068" s="3" t="s">
        <v>221</v>
      </c>
      <c r="E10068" s="3" t="s">
        <v>793</v>
      </c>
      <c r="F10068" s="7">
        <v>45943.36907972635</v>
      </c>
      <c r="G10068" s="3" t="s">
        <v>18235</v>
      </c>
    </row>
    <row r="10069">
      <c r="A10069" s="3" t="s">
        <v>25397</v>
      </c>
      <c r="B10069" s="3" t="s">
        <v>9045</v>
      </c>
      <c r="C10069" s="5" t="s">
        <v>221</v>
      </c>
      <c r="D10069" s="3" t="s">
        <v>614</v>
      </c>
      <c r="E10069" s="3" t="s">
        <v>118</v>
      </c>
      <c r="F10069" s="7">
        <v>45943.37255194857</v>
      </c>
      <c r="G10069" s="3" t="s">
        <v>18238</v>
      </c>
    </row>
    <row r="10070">
      <c r="A10070" s="3" t="s">
        <v>25398</v>
      </c>
      <c r="B10070" s="3" t="s">
        <v>9045</v>
      </c>
      <c r="C10070" s="5" t="s">
        <v>614</v>
      </c>
      <c r="D10070" s="3" t="s">
        <v>206</v>
      </c>
      <c r="E10070" s="3" t="s">
        <v>100</v>
      </c>
      <c r="F10070" s="7">
        <v>45943.37602417079</v>
      </c>
      <c r="G10070" s="3" t="s">
        <v>18241</v>
      </c>
    </row>
    <row r="10071">
      <c r="A10071" s="3" t="s">
        <v>25399</v>
      </c>
      <c r="B10071" s="3" t="s">
        <v>9045</v>
      </c>
      <c r="C10071" s="5" t="s">
        <v>206</v>
      </c>
      <c r="D10071" s="3" t="s">
        <v>68</v>
      </c>
      <c r="E10071" s="3" t="s">
        <v>100</v>
      </c>
      <c r="F10071" s="7">
        <v>45943.37949639301</v>
      </c>
      <c r="G10071" s="3" t="s">
        <v>18243</v>
      </c>
    </row>
    <row r="10072">
      <c r="A10072" s="3" t="s">
        <v>25400</v>
      </c>
      <c r="B10072" s="3" t="s">
        <v>9048</v>
      </c>
      <c r="C10072" s="5" t="s">
        <v>45</v>
      </c>
      <c r="D10072" s="3" t="s">
        <v>221</v>
      </c>
      <c r="E10072" s="3" t="s">
        <v>186</v>
      </c>
      <c r="F10072" s="7">
        <v>45943.44025457177</v>
      </c>
      <c r="G10072" s="3" t="s">
        <v>25401</v>
      </c>
    </row>
    <row r="10073">
      <c r="A10073" s="3" t="s">
        <v>25402</v>
      </c>
      <c r="B10073" s="3" t="s">
        <v>9048</v>
      </c>
      <c r="C10073" s="5" t="s">
        <v>221</v>
      </c>
      <c r="D10073" s="3" t="s">
        <v>614</v>
      </c>
      <c r="E10073" s="3" t="s">
        <v>118</v>
      </c>
      <c r="F10073" s="7">
        <v>45943.44372679399</v>
      </c>
      <c r="G10073" s="3" t="s">
        <v>25403</v>
      </c>
    </row>
    <row r="10074">
      <c r="A10074" s="3" t="s">
        <v>25404</v>
      </c>
      <c r="B10074" s="3" t="s">
        <v>9048</v>
      </c>
      <c r="C10074" s="5" t="s">
        <v>614</v>
      </c>
      <c r="D10074" s="3" t="s">
        <v>206</v>
      </c>
      <c r="E10074" s="3" t="s">
        <v>100</v>
      </c>
      <c r="F10074" s="7">
        <v>45943.44719901621</v>
      </c>
      <c r="G10074" s="3" t="s">
        <v>25405</v>
      </c>
    </row>
    <row r="10075">
      <c r="A10075" s="3" t="s">
        <v>25406</v>
      </c>
      <c r="B10075" s="3" t="s">
        <v>9048</v>
      </c>
      <c r="C10075" s="5" t="s">
        <v>206</v>
      </c>
      <c r="D10075" s="3" t="s">
        <v>68</v>
      </c>
      <c r="E10075" s="3" t="s">
        <v>100</v>
      </c>
      <c r="F10075" s="7">
        <v>45943.45067123843</v>
      </c>
      <c r="G10075" s="3" t="s">
        <v>25407</v>
      </c>
    </row>
    <row r="10076">
      <c r="A10076" s="3" t="s">
        <v>25408</v>
      </c>
      <c r="B10076" s="3" t="s">
        <v>9052</v>
      </c>
      <c r="C10076" s="5" t="s">
        <v>45</v>
      </c>
      <c r="D10076" s="3" t="s">
        <v>221</v>
      </c>
      <c r="E10076" s="3" t="s">
        <v>455</v>
      </c>
      <c r="F10076" s="7">
        <v>45943.51142941718</v>
      </c>
      <c r="G10076" s="3" t="s">
        <v>11235</v>
      </c>
    </row>
    <row r="10077">
      <c r="A10077" s="3" t="s">
        <v>25409</v>
      </c>
      <c r="B10077" s="3" t="s">
        <v>9052</v>
      </c>
      <c r="C10077" s="5" t="s">
        <v>221</v>
      </c>
      <c r="D10077" s="3" t="s">
        <v>614</v>
      </c>
      <c r="E10077" s="3" t="s">
        <v>118</v>
      </c>
      <c r="F10077" s="7">
        <v>45943.5149016394</v>
      </c>
      <c r="G10077" s="3" t="s">
        <v>11238</v>
      </c>
    </row>
    <row r="10078">
      <c r="A10078" s="3" t="s">
        <v>25410</v>
      </c>
      <c r="B10078" s="3" t="s">
        <v>9052</v>
      </c>
      <c r="C10078" s="5" t="s">
        <v>614</v>
      </c>
      <c r="D10078" s="3" t="s">
        <v>206</v>
      </c>
      <c r="E10078" s="3" t="s">
        <v>100</v>
      </c>
      <c r="F10078" s="7">
        <v>45943.518373861625</v>
      </c>
      <c r="G10078" s="3" t="s">
        <v>11241</v>
      </c>
    </row>
    <row r="10079">
      <c r="A10079" s="3" t="s">
        <v>25411</v>
      </c>
      <c r="B10079" s="3" t="s">
        <v>9052</v>
      </c>
      <c r="C10079" s="5" t="s">
        <v>206</v>
      </c>
      <c r="D10079" s="3" t="s">
        <v>68</v>
      </c>
      <c r="E10079" s="3" t="s">
        <v>100</v>
      </c>
      <c r="F10079" s="7">
        <v>45943.521846083844</v>
      </c>
      <c r="G10079" s="3" t="s">
        <v>11244</v>
      </c>
    </row>
    <row r="10080">
      <c r="A10080" s="3" t="s">
        <v>25412</v>
      </c>
      <c r="B10080" s="3" t="s">
        <v>9055</v>
      </c>
      <c r="C10080" s="5" t="s">
        <v>45</v>
      </c>
      <c r="D10080" s="3" t="s">
        <v>221</v>
      </c>
      <c r="E10080" s="3" t="s">
        <v>760</v>
      </c>
      <c r="F10080" s="7">
        <v>45943.58260426259</v>
      </c>
      <c r="G10080" s="3" t="s">
        <v>25413</v>
      </c>
    </row>
    <row r="10081">
      <c r="A10081" s="3" t="s">
        <v>25414</v>
      </c>
      <c r="B10081" s="3" t="s">
        <v>9055</v>
      </c>
      <c r="C10081" s="5" t="s">
        <v>221</v>
      </c>
      <c r="D10081" s="3" t="s">
        <v>614</v>
      </c>
      <c r="E10081" s="3" t="s">
        <v>118</v>
      </c>
      <c r="F10081" s="7">
        <v>45943.58607648481</v>
      </c>
      <c r="G10081" s="3" t="s">
        <v>25415</v>
      </c>
    </row>
    <row r="10082">
      <c r="A10082" s="3" t="s">
        <v>25416</v>
      </c>
      <c r="B10082" s="3" t="s">
        <v>9055</v>
      </c>
      <c r="C10082" s="5" t="s">
        <v>614</v>
      </c>
      <c r="D10082" s="3" t="s">
        <v>206</v>
      </c>
      <c r="E10082" s="3" t="s">
        <v>100</v>
      </c>
      <c r="F10082" s="7">
        <v>45943.58954870704</v>
      </c>
      <c r="G10082" s="3" t="s">
        <v>25417</v>
      </c>
    </row>
    <row r="10083">
      <c r="A10083" s="3" t="s">
        <v>25418</v>
      </c>
      <c r="B10083" s="3" t="s">
        <v>9055</v>
      </c>
      <c r="C10083" s="5" t="s">
        <v>206</v>
      </c>
      <c r="D10083" s="3" t="s">
        <v>68</v>
      </c>
      <c r="E10083" s="3" t="s">
        <v>100</v>
      </c>
      <c r="F10083" s="7">
        <v>45943.59302092926</v>
      </c>
      <c r="G10083" s="3" t="s">
        <v>25419</v>
      </c>
    </row>
    <row r="10084">
      <c r="A10084" s="3" t="s">
        <v>25420</v>
      </c>
      <c r="B10084" s="3" t="s">
        <v>9056</v>
      </c>
      <c r="C10084" s="5" t="s">
        <v>45</v>
      </c>
      <c r="D10084" s="3" t="s">
        <v>221</v>
      </c>
      <c r="E10084" s="3" t="s">
        <v>247</v>
      </c>
      <c r="F10084" s="7">
        <v>45943.65377910801</v>
      </c>
      <c r="G10084" s="3" t="s">
        <v>9332</v>
      </c>
    </row>
    <row r="10085">
      <c r="A10085" s="3" t="s">
        <v>25421</v>
      </c>
      <c r="B10085" s="3" t="s">
        <v>9056</v>
      </c>
      <c r="C10085" s="5" t="s">
        <v>221</v>
      </c>
      <c r="D10085" s="3" t="s">
        <v>614</v>
      </c>
      <c r="E10085" s="3" t="s">
        <v>118</v>
      </c>
      <c r="F10085" s="7">
        <v>45943.65725133023</v>
      </c>
      <c r="G10085" s="3" t="s">
        <v>9335</v>
      </c>
    </row>
    <row r="10086">
      <c r="A10086" s="3" t="s">
        <v>25422</v>
      </c>
      <c r="B10086" s="3" t="s">
        <v>9056</v>
      </c>
      <c r="C10086" s="5" t="s">
        <v>614</v>
      </c>
      <c r="D10086" s="3" t="s">
        <v>206</v>
      </c>
      <c r="E10086" s="3" t="s">
        <v>100</v>
      </c>
      <c r="F10086" s="7">
        <v>45943.66072355246</v>
      </c>
      <c r="G10086" s="3" t="s">
        <v>9337</v>
      </c>
    </row>
    <row r="10087">
      <c r="A10087" s="3" t="s">
        <v>25423</v>
      </c>
      <c r="B10087" s="3" t="s">
        <v>9056</v>
      </c>
      <c r="C10087" s="5" t="s">
        <v>206</v>
      </c>
      <c r="D10087" s="3" t="s">
        <v>68</v>
      </c>
      <c r="E10087" s="3" t="s">
        <v>100</v>
      </c>
      <c r="F10087" s="7">
        <v>45943.664195774676</v>
      </c>
      <c r="G10087" s="3" t="s">
        <v>9340</v>
      </c>
    </row>
    <row r="10088">
      <c r="A10088" s="3" t="s">
        <v>25424</v>
      </c>
      <c r="B10088" s="3" t="s">
        <v>9058</v>
      </c>
      <c r="C10088" s="5" t="s">
        <v>45</v>
      </c>
      <c r="D10088" s="3" t="s">
        <v>221</v>
      </c>
      <c r="E10088" s="3" t="s">
        <v>778</v>
      </c>
      <c r="F10088" s="7">
        <v>45943.724953953424</v>
      </c>
      <c r="G10088" s="3" t="s">
        <v>14433</v>
      </c>
    </row>
    <row r="10089">
      <c r="A10089" s="3" t="s">
        <v>25425</v>
      </c>
      <c r="B10089" s="3" t="s">
        <v>9058</v>
      </c>
      <c r="C10089" s="5" t="s">
        <v>221</v>
      </c>
      <c r="D10089" s="3" t="s">
        <v>614</v>
      </c>
      <c r="E10089" s="3" t="s">
        <v>118</v>
      </c>
      <c r="F10089" s="7">
        <v>45943.72842617564</v>
      </c>
      <c r="G10089" s="3" t="s">
        <v>14436</v>
      </c>
    </row>
    <row r="10090">
      <c r="A10090" s="3" t="s">
        <v>25426</v>
      </c>
      <c r="B10090" s="3" t="s">
        <v>9058</v>
      </c>
      <c r="C10090" s="5" t="s">
        <v>614</v>
      </c>
      <c r="D10090" s="3" t="s">
        <v>206</v>
      </c>
      <c r="E10090" s="3" t="s">
        <v>100</v>
      </c>
      <c r="F10090" s="7">
        <v>45943.73189839787</v>
      </c>
      <c r="G10090" s="3" t="s">
        <v>14439</v>
      </c>
    </row>
    <row r="10091">
      <c r="A10091" s="3" t="s">
        <v>25427</v>
      </c>
      <c r="B10091" s="3" t="s">
        <v>9058</v>
      </c>
      <c r="C10091" s="5" t="s">
        <v>206</v>
      </c>
      <c r="D10091" s="3" t="s">
        <v>68</v>
      </c>
      <c r="E10091" s="3" t="s">
        <v>100</v>
      </c>
      <c r="F10091" s="7">
        <v>45943.73537062009</v>
      </c>
      <c r="G10091" s="3" t="s">
        <v>14442</v>
      </c>
    </row>
    <row r="10092">
      <c r="A10092" s="3" t="s">
        <v>25428</v>
      </c>
      <c r="B10092" s="3" t="s">
        <v>9060</v>
      </c>
      <c r="C10092" s="5" t="s">
        <v>45</v>
      </c>
      <c r="D10092" s="3" t="s">
        <v>221</v>
      </c>
      <c r="E10092" s="3" t="s">
        <v>307</v>
      </c>
      <c r="F10092" s="7">
        <v>45943.79612879884</v>
      </c>
      <c r="G10092" s="3" t="s">
        <v>9355</v>
      </c>
    </row>
    <row r="10093">
      <c r="A10093" s="3" t="s">
        <v>25429</v>
      </c>
      <c r="B10093" s="3" t="s">
        <v>9060</v>
      </c>
      <c r="C10093" s="5" t="s">
        <v>221</v>
      </c>
      <c r="D10093" s="3" t="s">
        <v>614</v>
      </c>
      <c r="E10093" s="3" t="s">
        <v>118</v>
      </c>
      <c r="F10093" s="7">
        <v>45943.799601021055</v>
      </c>
      <c r="G10093" s="3" t="s">
        <v>9358</v>
      </c>
    </row>
    <row r="10094">
      <c r="A10094" s="3" t="s">
        <v>25430</v>
      </c>
      <c r="B10094" s="3" t="s">
        <v>9060</v>
      </c>
      <c r="C10094" s="5" t="s">
        <v>614</v>
      </c>
      <c r="D10094" s="3" t="s">
        <v>206</v>
      </c>
      <c r="E10094" s="3" t="s">
        <v>100</v>
      </c>
      <c r="F10094" s="7">
        <v>45943.80307324328</v>
      </c>
      <c r="G10094" s="3" t="s">
        <v>9361</v>
      </c>
    </row>
    <row r="10095">
      <c r="A10095" s="3" t="s">
        <v>25431</v>
      </c>
      <c r="B10095" s="3" t="s">
        <v>9060</v>
      </c>
      <c r="C10095" s="5" t="s">
        <v>206</v>
      </c>
      <c r="D10095" s="3" t="s">
        <v>68</v>
      </c>
      <c r="E10095" s="3" t="s">
        <v>100</v>
      </c>
      <c r="F10095" s="7">
        <v>45943.8065454655</v>
      </c>
      <c r="G10095" s="3" t="s">
        <v>9363</v>
      </c>
    </row>
    <row r="10096">
      <c r="A10096" s="3" t="s">
        <v>25432</v>
      </c>
      <c r="B10096" s="3" t="s">
        <v>9063</v>
      </c>
      <c r="C10096" s="5" t="s">
        <v>45</v>
      </c>
      <c r="D10096" s="3" t="s">
        <v>221</v>
      </c>
      <c r="E10096" s="3" t="s">
        <v>586</v>
      </c>
      <c r="F10096" s="7">
        <v>45943.867303644256</v>
      </c>
      <c r="G10096" s="3" t="s">
        <v>2770</v>
      </c>
    </row>
    <row r="10097">
      <c r="A10097" s="3" t="s">
        <v>25433</v>
      </c>
      <c r="B10097" s="3" t="s">
        <v>9063</v>
      </c>
      <c r="C10097" s="5" t="s">
        <v>221</v>
      </c>
      <c r="D10097" s="3" t="s">
        <v>181</v>
      </c>
      <c r="E10097" s="3" t="s">
        <v>118</v>
      </c>
      <c r="F10097" s="7">
        <v>45943.870775866475</v>
      </c>
      <c r="G10097" s="3" t="s">
        <v>2774</v>
      </c>
    </row>
    <row r="10098">
      <c r="A10098" s="3" t="s">
        <v>25434</v>
      </c>
      <c r="B10098" s="3" t="s">
        <v>9065</v>
      </c>
      <c r="C10098" s="5" t="s">
        <v>45</v>
      </c>
      <c r="D10098" s="3" t="s">
        <v>221</v>
      </c>
      <c r="E10098" s="3" t="s">
        <v>224</v>
      </c>
      <c r="F10098" s="7">
        <v>45943.938478489676</v>
      </c>
      <c r="G10098" s="3" t="s">
        <v>10547</v>
      </c>
    </row>
    <row r="10099">
      <c r="A10099" s="3" t="s">
        <v>25435</v>
      </c>
      <c r="B10099" s="3" t="s">
        <v>9065</v>
      </c>
      <c r="C10099" s="5" t="s">
        <v>221</v>
      </c>
      <c r="D10099" s="3" t="s">
        <v>614</v>
      </c>
      <c r="E10099" s="3" t="s">
        <v>118</v>
      </c>
      <c r="F10099" s="7">
        <v>45943.941950711895</v>
      </c>
      <c r="G10099" s="3" t="s">
        <v>10550</v>
      </c>
    </row>
    <row r="10100">
      <c r="A10100" s="3" t="s">
        <v>25436</v>
      </c>
      <c r="B10100" s="3" t="s">
        <v>9065</v>
      </c>
      <c r="C10100" s="5" t="s">
        <v>614</v>
      </c>
      <c r="D10100" s="3" t="s">
        <v>206</v>
      </c>
      <c r="E10100" s="3" t="s">
        <v>100</v>
      </c>
      <c r="F10100" s="7">
        <v>45943.94542293412</v>
      </c>
      <c r="G10100" s="3" t="s">
        <v>10553</v>
      </c>
    </row>
    <row r="10101">
      <c r="A10101" s="3" t="s">
        <v>25437</v>
      </c>
      <c r="B10101" s="3" t="s">
        <v>9065</v>
      </c>
      <c r="C10101" s="5" t="s">
        <v>206</v>
      </c>
      <c r="D10101" s="3" t="s">
        <v>68</v>
      </c>
      <c r="E10101" s="3" t="s">
        <v>100</v>
      </c>
      <c r="F10101" s="7">
        <v>45943.94889515634</v>
      </c>
      <c r="G10101" s="3" t="s">
        <v>10555</v>
      </c>
    </row>
    <row r="10102">
      <c r="A10102" s="3" t="s">
        <v>25438</v>
      </c>
      <c r="B10102" s="3" t="s">
        <v>9067</v>
      </c>
      <c r="C10102" s="5" t="s">
        <v>45</v>
      </c>
      <c r="D10102" s="3" t="s">
        <v>221</v>
      </c>
      <c r="E10102" s="3" t="s">
        <v>1037</v>
      </c>
      <c r="F10102" s="7">
        <v>45944.00965333508</v>
      </c>
      <c r="G10102" s="3" t="s">
        <v>6996</v>
      </c>
    </row>
    <row r="10103">
      <c r="A10103" s="3" t="s">
        <v>25439</v>
      </c>
      <c r="B10103" s="3" t="s">
        <v>9067</v>
      </c>
      <c r="C10103" s="5" t="s">
        <v>221</v>
      </c>
      <c r="D10103" s="3" t="s">
        <v>614</v>
      </c>
      <c r="E10103" s="3" t="s">
        <v>118</v>
      </c>
      <c r="F10103" s="7">
        <v>45944.0131255573</v>
      </c>
      <c r="G10103" s="3" t="s">
        <v>6999</v>
      </c>
    </row>
    <row r="10104">
      <c r="A10104" s="3" t="s">
        <v>25440</v>
      </c>
      <c r="B10104" s="3" t="s">
        <v>9067</v>
      </c>
      <c r="C10104" s="5" t="s">
        <v>614</v>
      </c>
      <c r="D10104" s="3" t="s">
        <v>206</v>
      </c>
      <c r="E10104" s="3" t="s">
        <v>100</v>
      </c>
      <c r="F10104" s="7">
        <v>45944.016597779526</v>
      </c>
      <c r="G10104" s="3" t="s">
        <v>7002</v>
      </c>
    </row>
    <row r="10105">
      <c r="A10105" s="3" t="s">
        <v>25441</v>
      </c>
      <c r="B10105" s="3" t="s">
        <v>9067</v>
      </c>
      <c r="C10105" s="5" t="s">
        <v>206</v>
      </c>
      <c r="D10105" s="3" t="s">
        <v>68</v>
      </c>
      <c r="E10105" s="3" t="s">
        <v>100</v>
      </c>
      <c r="F10105" s="7">
        <v>45944.020070001745</v>
      </c>
      <c r="G10105" s="3" t="s">
        <v>7005</v>
      </c>
    </row>
    <row r="10106">
      <c r="A10106" s="3" t="s">
        <v>25442</v>
      </c>
      <c r="B10106" s="3" t="s">
        <v>9069</v>
      </c>
      <c r="C10106" s="5" t="s">
        <v>45</v>
      </c>
      <c r="D10106" s="3" t="s">
        <v>221</v>
      </c>
      <c r="E10106" s="3" t="s">
        <v>123</v>
      </c>
      <c r="F10106" s="7">
        <v>45944.0808281805</v>
      </c>
      <c r="G10106" s="3" t="s">
        <v>8229</v>
      </c>
    </row>
    <row r="10107">
      <c r="A10107" s="3" t="s">
        <v>25443</v>
      </c>
      <c r="B10107" s="3" t="s">
        <v>9069</v>
      </c>
      <c r="C10107" s="5" t="s">
        <v>221</v>
      </c>
      <c r="D10107" s="3" t="s">
        <v>614</v>
      </c>
      <c r="E10107" s="3" t="s">
        <v>118</v>
      </c>
      <c r="F10107" s="7">
        <v>45944.08430040272</v>
      </c>
      <c r="G10107" s="3" t="s">
        <v>8231</v>
      </c>
    </row>
    <row r="10108">
      <c r="A10108" s="3" t="s">
        <v>25444</v>
      </c>
      <c r="B10108" s="3" t="s">
        <v>9069</v>
      </c>
      <c r="C10108" s="5" t="s">
        <v>614</v>
      </c>
      <c r="D10108" s="3" t="s">
        <v>206</v>
      </c>
      <c r="E10108" s="3" t="s">
        <v>100</v>
      </c>
      <c r="F10108" s="7">
        <v>45944.087772624946</v>
      </c>
      <c r="G10108" s="3" t="s">
        <v>8234</v>
      </c>
    </row>
    <row r="10109">
      <c r="A10109" s="3" t="s">
        <v>25445</v>
      </c>
      <c r="B10109" s="3" t="s">
        <v>9069</v>
      </c>
      <c r="C10109" s="5" t="s">
        <v>206</v>
      </c>
      <c r="D10109" s="3" t="s">
        <v>68</v>
      </c>
      <c r="E10109" s="3" t="s">
        <v>100</v>
      </c>
      <c r="F10109" s="7">
        <v>45944.091244847164</v>
      </c>
      <c r="G10109" s="3" t="s">
        <v>8237</v>
      </c>
    </row>
    <row r="10110">
      <c r="A10110" s="3" t="s">
        <v>25446</v>
      </c>
      <c r="B10110" s="3" t="s">
        <v>9072</v>
      </c>
      <c r="C10110" s="5" t="s">
        <v>45</v>
      </c>
      <c r="D10110" s="3" t="s">
        <v>221</v>
      </c>
      <c r="E10110" s="3" t="s">
        <v>934</v>
      </c>
      <c r="F10110" s="7">
        <v>45944.15200302591</v>
      </c>
      <c r="G10110" s="3" t="s">
        <v>24451</v>
      </c>
    </row>
    <row r="10111">
      <c r="A10111" s="3" t="s">
        <v>25447</v>
      </c>
      <c r="B10111" s="3" t="s">
        <v>9072</v>
      </c>
      <c r="C10111" s="5" t="s">
        <v>221</v>
      </c>
      <c r="D10111" s="3" t="s">
        <v>614</v>
      </c>
      <c r="E10111" s="3" t="s">
        <v>118</v>
      </c>
      <c r="F10111" s="7">
        <v>45944.15547524813</v>
      </c>
      <c r="G10111" s="3" t="s">
        <v>24453</v>
      </c>
    </row>
    <row r="10112">
      <c r="A10112" s="3" t="s">
        <v>25448</v>
      </c>
      <c r="B10112" s="3" t="s">
        <v>9072</v>
      </c>
      <c r="C10112" s="5" t="s">
        <v>614</v>
      </c>
      <c r="D10112" s="3" t="s">
        <v>206</v>
      </c>
      <c r="E10112" s="3" t="s">
        <v>100</v>
      </c>
      <c r="F10112" s="7">
        <v>45944.15894747036</v>
      </c>
      <c r="G10112" s="3" t="s">
        <v>24455</v>
      </c>
    </row>
    <row r="10113">
      <c r="A10113" s="3" t="s">
        <v>25449</v>
      </c>
      <c r="B10113" s="3" t="s">
        <v>9072</v>
      </c>
      <c r="C10113" s="5" t="s">
        <v>206</v>
      </c>
      <c r="D10113" s="3" t="s">
        <v>68</v>
      </c>
      <c r="E10113" s="3" t="s">
        <v>100</v>
      </c>
      <c r="F10113" s="7">
        <v>45944.16241969258</v>
      </c>
      <c r="G10113" s="3" t="s">
        <v>24457</v>
      </c>
    </row>
    <row r="10114">
      <c r="A10114" s="3" t="s">
        <v>25450</v>
      </c>
      <c r="B10114" s="3" t="s">
        <v>9076</v>
      </c>
      <c r="C10114" s="5" t="s">
        <v>45</v>
      </c>
      <c r="D10114" s="3" t="s">
        <v>221</v>
      </c>
      <c r="E10114" s="3" t="s">
        <v>224</v>
      </c>
      <c r="F10114" s="7">
        <v>45944.22317787133</v>
      </c>
      <c r="G10114" s="3" t="s">
        <v>9378</v>
      </c>
    </row>
    <row r="10115">
      <c r="A10115" s="3" t="s">
        <v>25451</v>
      </c>
      <c r="B10115" s="3" t="s">
        <v>9076</v>
      </c>
      <c r="C10115" s="5" t="s">
        <v>221</v>
      </c>
      <c r="D10115" s="3" t="s">
        <v>614</v>
      </c>
      <c r="E10115" s="3" t="s">
        <v>118</v>
      </c>
      <c r="F10115" s="7">
        <v>45944.22665009355</v>
      </c>
      <c r="G10115" s="3" t="s">
        <v>9380</v>
      </c>
    </row>
    <row r="10116">
      <c r="A10116" s="3" t="s">
        <v>25452</v>
      </c>
      <c r="B10116" s="3" t="s">
        <v>9076</v>
      </c>
      <c r="C10116" s="5" t="s">
        <v>614</v>
      </c>
      <c r="D10116" s="3" t="s">
        <v>206</v>
      </c>
      <c r="E10116" s="3" t="s">
        <v>100</v>
      </c>
      <c r="F10116" s="7">
        <v>45944.23012231578</v>
      </c>
      <c r="G10116" s="3" t="s">
        <v>9383</v>
      </c>
    </row>
    <row r="10117">
      <c r="A10117" s="3" t="s">
        <v>25453</v>
      </c>
      <c r="B10117" s="3" t="s">
        <v>9076</v>
      </c>
      <c r="C10117" s="5" t="s">
        <v>206</v>
      </c>
      <c r="D10117" s="3" t="s">
        <v>68</v>
      </c>
      <c r="E10117" s="3" t="s">
        <v>100</v>
      </c>
      <c r="F10117" s="7">
        <v>45944.233594538</v>
      </c>
      <c r="G10117" s="3" t="s">
        <v>9386</v>
      </c>
    </row>
    <row r="10118">
      <c r="A10118" s="3" t="s">
        <v>25454</v>
      </c>
      <c r="B10118" s="3" t="s">
        <v>9079</v>
      </c>
      <c r="C10118" s="5" t="s">
        <v>45</v>
      </c>
      <c r="D10118" s="3" t="s">
        <v>221</v>
      </c>
      <c r="E10118" s="3" t="s">
        <v>310</v>
      </c>
      <c r="F10118" s="7">
        <v>45944.294352716744</v>
      </c>
      <c r="G10118" s="3" t="s">
        <v>9484</v>
      </c>
    </row>
    <row r="10119">
      <c r="A10119" s="3" t="s">
        <v>25455</v>
      </c>
      <c r="B10119" s="3" t="s">
        <v>9079</v>
      </c>
      <c r="C10119" s="5" t="s">
        <v>221</v>
      </c>
      <c r="D10119" s="3" t="s">
        <v>614</v>
      </c>
      <c r="E10119" s="3" t="s">
        <v>118</v>
      </c>
      <c r="F10119" s="7">
        <v>45944.29782493896</v>
      </c>
      <c r="G10119" s="3" t="s">
        <v>9487</v>
      </c>
    </row>
    <row r="10120">
      <c r="A10120" s="3" t="s">
        <v>25456</v>
      </c>
      <c r="B10120" s="3" t="s">
        <v>9079</v>
      </c>
      <c r="C10120" s="5" t="s">
        <v>614</v>
      </c>
      <c r="D10120" s="3" t="s">
        <v>206</v>
      </c>
      <c r="E10120" s="3" t="s">
        <v>100</v>
      </c>
      <c r="F10120" s="7">
        <v>45944.30129716119</v>
      </c>
      <c r="G10120" s="3" t="s">
        <v>9489</v>
      </c>
    </row>
    <row r="10121">
      <c r="A10121" s="3" t="s">
        <v>25457</v>
      </c>
      <c r="B10121" s="3" t="s">
        <v>9079</v>
      </c>
      <c r="C10121" s="5" t="s">
        <v>206</v>
      </c>
      <c r="D10121" s="3" t="s">
        <v>68</v>
      </c>
      <c r="E10121" s="3" t="s">
        <v>100</v>
      </c>
      <c r="F10121" s="7">
        <v>45944.30476938341</v>
      </c>
      <c r="G10121" s="3" t="s">
        <v>9492</v>
      </c>
    </row>
    <row r="10122">
      <c r="A10122" s="3" t="s">
        <v>25458</v>
      </c>
      <c r="B10122" s="3" t="s">
        <v>9082</v>
      </c>
      <c r="C10122" s="5" t="s">
        <v>45</v>
      </c>
      <c r="D10122" s="3" t="s">
        <v>221</v>
      </c>
      <c r="E10122" s="3" t="s">
        <v>596</v>
      </c>
      <c r="F10122" s="7">
        <v>45944.365527562164</v>
      </c>
      <c r="G10122" s="3" t="s">
        <v>11404</v>
      </c>
    </row>
    <row r="10123">
      <c r="A10123" s="3" t="s">
        <v>25459</v>
      </c>
      <c r="B10123" s="3" t="s">
        <v>9082</v>
      </c>
      <c r="C10123" s="5" t="s">
        <v>221</v>
      </c>
      <c r="D10123" s="3" t="s">
        <v>614</v>
      </c>
      <c r="E10123" s="3" t="s">
        <v>118</v>
      </c>
      <c r="F10123" s="7">
        <v>45944.36899978438</v>
      </c>
      <c r="G10123" s="3" t="s">
        <v>11407</v>
      </c>
    </row>
    <row r="10124">
      <c r="A10124" s="3" t="s">
        <v>25460</v>
      </c>
      <c r="B10124" s="3" t="s">
        <v>9082</v>
      </c>
      <c r="C10124" s="5" t="s">
        <v>614</v>
      </c>
      <c r="D10124" s="3" t="s">
        <v>206</v>
      </c>
      <c r="E10124" s="3" t="s">
        <v>100</v>
      </c>
      <c r="F10124" s="7">
        <v>45944.37247200661</v>
      </c>
      <c r="G10124" s="3" t="s">
        <v>11410</v>
      </c>
    </row>
    <row r="10125">
      <c r="A10125" s="3" t="s">
        <v>25461</v>
      </c>
      <c r="B10125" s="3" t="s">
        <v>9082</v>
      </c>
      <c r="C10125" s="5" t="s">
        <v>206</v>
      </c>
      <c r="D10125" s="3" t="s">
        <v>68</v>
      </c>
      <c r="E10125" s="3" t="s">
        <v>100</v>
      </c>
      <c r="F10125" s="7">
        <v>45944.37594422883</v>
      </c>
      <c r="G10125" s="3" t="s">
        <v>11413</v>
      </c>
    </row>
    <row r="10126">
      <c r="A10126" s="3" t="s">
        <v>25462</v>
      </c>
      <c r="B10126" s="3" t="s">
        <v>9084</v>
      </c>
      <c r="C10126" s="5" t="s">
        <v>45</v>
      </c>
      <c r="D10126" s="3" t="s">
        <v>221</v>
      </c>
      <c r="E10126" s="3" t="s">
        <v>521</v>
      </c>
      <c r="F10126" s="7">
        <v>45944.43670240757</v>
      </c>
      <c r="G10126" s="3" t="s">
        <v>10910</v>
      </c>
    </row>
    <row r="10127">
      <c r="A10127" s="3" t="s">
        <v>25463</v>
      </c>
      <c r="B10127" s="3" t="s">
        <v>9084</v>
      </c>
      <c r="C10127" s="5" t="s">
        <v>221</v>
      </c>
      <c r="D10127" s="3" t="s">
        <v>614</v>
      </c>
      <c r="E10127" s="3" t="s">
        <v>118</v>
      </c>
      <c r="F10127" s="7">
        <v>45944.44017462979</v>
      </c>
      <c r="G10127" s="3" t="s">
        <v>25464</v>
      </c>
    </row>
    <row r="10128">
      <c r="A10128" s="3" t="s">
        <v>25465</v>
      </c>
      <c r="B10128" s="3" t="s">
        <v>9084</v>
      </c>
      <c r="C10128" s="5" t="s">
        <v>614</v>
      </c>
      <c r="D10128" s="3" t="s">
        <v>206</v>
      </c>
      <c r="E10128" s="3" t="s">
        <v>100</v>
      </c>
      <c r="F10128" s="7">
        <v>45944.443646852014</v>
      </c>
      <c r="G10128" s="3" t="s">
        <v>25466</v>
      </c>
    </row>
    <row r="10129">
      <c r="A10129" s="3" t="s">
        <v>25467</v>
      </c>
      <c r="B10129" s="3" t="s">
        <v>9084</v>
      </c>
      <c r="C10129" s="5" t="s">
        <v>206</v>
      </c>
      <c r="D10129" s="3" t="s">
        <v>68</v>
      </c>
      <c r="E10129" s="3" t="s">
        <v>100</v>
      </c>
      <c r="F10129" s="7">
        <v>45944.44711907423</v>
      </c>
      <c r="G10129" s="3" t="s">
        <v>25468</v>
      </c>
    </row>
    <row r="10130">
      <c r="A10130" s="3" t="s">
        <v>25469</v>
      </c>
      <c r="B10130" s="3" t="s">
        <v>9086</v>
      </c>
      <c r="C10130" s="5" t="s">
        <v>45</v>
      </c>
      <c r="D10130" s="3" t="s">
        <v>221</v>
      </c>
      <c r="E10130" s="3" t="s">
        <v>805</v>
      </c>
      <c r="F10130" s="7">
        <v>45944.50787725299</v>
      </c>
      <c r="G10130" s="3" t="s">
        <v>9506</v>
      </c>
    </row>
    <row r="10131">
      <c r="A10131" s="3" t="s">
        <v>25470</v>
      </c>
      <c r="B10131" s="3" t="s">
        <v>9086</v>
      </c>
      <c r="C10131" s="5" t="s">
        <v>221</v>
      </c>
      <c r="D10131" s="3" t="s">
        <v>614</v>
      </c>
      <c r="E10131" s="3" t="s">
        <v>118</v>
      </c>
      <c r="F10131" s="7">
        <v>45944.51134947521</v>
      </c>
      <c r="G10131" s="3" t="s">
        <v>9509</v>
      </c>
    </row>
    <row r="10132">
      <c r="A10132" s="3" t="s">
        <v>25471</v>
      </c>
      <c r="B10132" s="3" t="s">
        <v>9086</v>
      </c>
      <c r="C10132" s="5" t="s">
        <v>614</v>
      </c>
      <c r="D10132" s="3" t="s">
        <v>206</v>
      </c>
      <c r="E10132" s="3" t="s">
        <v>100</v>
      </c>
      <c r="F10132" s="7">
        <v>45944.514821697434</v>
      </c>
      <c r="G10132" s="3" t="s">
        <v>9512</v>
      </c>
    </row>
    <row r="10133">
      <c r="A10133" s="3" t="s">
        <v>25472</v>
      </c>
      <c r="B10133" s="3" t="s">
        <v>9086</v>
      </c>
      <c r="C10133" s="5" t="s">
        <v>206</v>
      </c>
      <c r="D10133" s="3" t="s">
        <v>68</v>
      </c>
      <c r="E10133" s="3" t="s">
        <v>100</v>
      </c>
      <c r="F10133" s="7">
        <v>45944.51829391965</v>
      </c>
      <c r="G10133" s="3" t="s">
        <v>9515</v>
      </c>
    </row>
    <row r="10134">
      <c r="A10134" s="3" t="s">
        <v>25473</v>
      </c>
      <c r="B10134" s="3" t="s">
        <v>9088</v>
      </c>
      <c r="C10134" s="5" t="s">
        <v>45</v>
      </c>
      <c r="D10134" s="3" t="s">
        <v>221</v>
      </c>
      <c r="E10134" s="3" t="s">
        <v>449</v>
      </c>
      <c r="F10134" s="7">
        <v>45944.57905209841</v>
      </c>
      <c r="G10134" s="3" t="s">
        <v>10513</v>
      </c>
    </row>
    <row r="10135">
      <c r="A10135" s="3" t="s">
        <v>25474</v>
      </c>
      <c r="B10135" s="3" t="s">
        <v>9088</v>
      </c>
      <c r="C10135" s="5" t="s">
        <v>221</v>
      </c>
      <c r="D10135" s="3" t="s">
        <v>614</v>
      </c>
      <c r="E10135" s="3" t="s">
        <v>118</v>
      </c>
      <c r="F10135" s="7">
        <v>45944.58252432063</v>
      </c>
      <c r="G10135" s="3" t="s">
        <v>10516</v>
      </c>
    </row>
    <row r="10136">
      <c r="A10136" s="3" t="s">
        <v>25475</v>
      </c>
      <c r="B10136" s="3" t="s">
        <v>9088</v>
      </c>
      <c r="C10136" s="5" t="s">
        <v>614</v>
      </c>
      <c r="D10136" s="3" t="s">
        <v>206</v>
      </c>
      <c r="E10136" s="3" t="s">
        <v>100</v>
      </c>
      <c r="F10136" s="7">
        <v>45944.58599654285</v>
      </c>
      <c r="G10136" s="3" t="s">
        <v>10519</v>
      </c>
    </row>
    <row r="10137">
      <c r="A10137" s="3" t="s">
        <v>25476</v>
      </c>
      <c r="B10137" s="3" t="s">
        <v>9088</v>
      </c>
      <c r="C10137" s="5" t="s">
        <v>206</v>
      </c>
      <c r="D10137" s="3" t="s">
        <v>68</v>
      </c>
      <c r="E10137" s="3" t="s">
        <v>100</v>
      </c>
      <c r="F10137" s="7">
        <v>45944.58946876507</v>
      </c>
      <c r="G10137" s="3" t="s">
        <v>10522</v>
      </c>
    </row>
    <row r="10138">
      <c r="A10138" s="3" t="s">
        <v>25477</v>
      </c>
      <c r="B10138" s="3" t="s">
        <v>9091</v>
      </c>
      <c r="C10138" s="5" t="s">
        <v>45</v>
      </c>
      <c r="D10138" s="3" t="s">
        <v>221</v>
      </c>
      <c r="E10138" s="3" t="s">
        <v>819</v>
      </c>
      <c r="F10138" s="7">
        <v>45944.65022694382</v>
      </c>
      <c r="G10138" s="3" t="s">
        <v>9869</v>
      </c>
    </row>
    <row r="10139">
      <c r="A10139" s="3" t="s">
        <v>25478</v>
      </c>
      <c r="B10139" s="3" t="s">
        <v>9091</v>
      </c>
      <c r="C10139" s="5" t="s">
        <v>221</v>
      </c>
      <c r="D10139" s="3" t="s">
        <v>195</v>
      </c>
      <c r="E10139" s="3" t="s">
        <v>819</v>
      </c>
      <c r="F10139" s="7">
        <v>45944.65369916604</v>
      </c>
      <c r="G10139" s="3" t="s">
        <v>25318</v>
      </c>
    </row>
    <row r="10140">
      <c r="A10140" s="3" t="s">
        <v>25479</v>
      </c>
      <c r="B10140" s="3" t="s">
        <v>9094</v>
      </c>
      <c r="C10140" s="5" t="s">
        <v>45</v>
      </c>
      <c r="D10140" s="3" t="s">
        <v>221</v>
      </c>
      <c r="E10140" s="3" t="s">
        <v>758</v>
      </c>
      <c r="F10140" s="7">
        <v>45944.72140178923</v>
      </c>
      <c r="G10140" s="3" t="s">
        <v>22474</v>
      </c>
    </row>
    <row r="10141">
      <c r="A10141" s="3" t="s">
        <v>25480</v>
      </c>
      <c r="B10141" s="3" t="s">
        <v>9094</v>
      </c>
      <c r="C10141" s="5" t="s">
        <v>221</v>
      </c>
      <c r="D10141" s="3" t="s">
        <v>614</v>
      </c>
      <c r="E10141" s="3" t="s">
        <v>118</v>
      </c>
      <c r="F10141" s="7">
        <v>45944.72487401145</v>
      </c>
      <c r="G10141" s="3" t="s">
        <v>22477</v>
      </c>
    </row>
    <row r="10142">
      <c r="A10142" s="3" t="s">
        <v>25481</v>
      </c>
      <c r="B10142" s="3" t="s">
        <v>9094</v>
      </c>
      <c r="C10142" s="5" t="s">
        <v>614</v>
      </c>
      <c r="D10142" s="3" t="s">
        <v>206</v>
      </c>
      <c r="E10142" s="3" t="s">
        <v>100</v>
      </c>
      <c r="F10142" s="7">
        <v>45944.72834623368</v>
      </c>
      <c r="G10142" s="3" t="s">
        <v>22480</v>
      </c>
    </row>
    <row r="10143">
      <c r="A10143" s="3" t="s">
        <v>25482</v>
      </c>
      <c r="B10143" s="3" t="s">
        <v>9094</v>
      </c>
      <c r="C10143" s="5" t="s">
        <v>206</v>
      </c>
      <c r="D10143" s="3" t="s">
        <v>68</v>
      </c>
      <c r="E10143" s="3" t="s">
        <v>100</v>
      </c>
      <c r="F10143" s="7">
        <v>45944.7318184559</v>
      </c>
      <c r="G10143" s="3" t="s">
        <v>22483</v>
      </c>
    </row>
    <row r="10144">
      <c r="A10144" s="3" t="s">
        <v>25483</v>
      </c>
      <c r="B10144" s="3" t="s">
        <v>9097</v>
      </c>
      <c r="C10144" s="5" t="s">
        <v>45</v>
      </c>
      <c r="D10144" s="3" t="s">
        <v>221</v>
      </c>
      <c r="E10144" s="3" t="s">
        <v>260</v>
      </c>
      <c r="F10144" s="7">
        <v>45944.79257663465</v>
      </c>
      <c r="G10144" s="3" t="s">
        <v>8349</v>
      </c>
    </row>
    <row r="10145">
      <c r="A10145" s="3" t="s">
        <v>25484</v>
      </c>
      <c r="B10145" s="3" t="s">
        <v>9097</v>
      </c>
      <c r="C10145" s="5" t="s">
        <v>221</v>
      </c>
      <c r="D10145" s="3" t="s">
        <v>614</v>
      </c>
      <c r="E10145" s="3" t="s">
        <v>118</v>
      </c>
      <c r="F10145" s="7">
        <v>45944.79604885687</v>
      </c>
      <c r="G10145" s="3" t="s">
        <v>8351</v>
      </c>
    </row>
    <row r="10146">
      <c r="A10146" s="3" t="s">
        <v>25485</v>
      </c>
      <c r="B10146" s="3" t="s">
        <v>9097</v>
      </c>
      <c r="C10146" s="5" t="s">
        <v>614</v>
      </c>
      <c r="D10146" s="3" t="s">
        <v>206</v>
      </c>
      <c r="E10146" s="3" t="s">
        <v>100</v>
      </c>
      <c r="F10146" s="7">
        <v>45944.7995210791</v>
      </c>
      <c r="G10146" s="3" t="s">
        <v>8354</v>
      </c>
    </row>
    <row r="10147">
      <c r="A10147" s="3" t="s">
        <v>25486</v>
      </c>
      <c r="B10147" s="3" t="s">
        <v>9097</v>
      </c>
      <c r="C10147" s="5" t="s">
        <v>206</v>
      </c>
      <c r="D10147" s="3" t="s">
        <v>68</v>
      </c>
      <c r="E10147" s="3" t="s">
        <v>100</v>
      </c>
      <c r="F10147" s="7">
        <v>45944.80299330132</v>
      </c>
      <c r="G10147" s="3" t="s">
        <v>8357</v>
      </c>
    </row>
    <row r="10148">
      <c r="A10148" s="3" t="s">
        <v>25487</v>
      </c>
      <c r="B10148" s="3" t="s">
        <v>9101</v>
      </c>
      <c r="C10148" s="5" t="s">
        <v>45</v>
      </c>
      <c r="D10148" s="3" t="s">
        <v>221</v>
      </c>
      <c r="E10148" s="3" t="s">
        <v>145</v>
      </c>
      <c r="F10148" s="7">
        <v>45944.863751480065</v>
      </c>
      <c r="G10148" s="3" t="s">
        <v>9596</v>
      </c>
    </row>
    <row r="10149">
      <c r="A10149" s="3" t="s">
        <v>25488</v>
      </c>
      <c r="B10149" s="3" t="s">
        <v>9101</v>
      </c>
      <c r="C10149" s="5" t="s">
        <v>221</v>
      </c>
      <c r="D10149" s="3" t="s">
        <v>614</v>
      </c>
      <c r="E10149" s="3" t="s">
        <v>118</v>
      </c>
      <c r="F10149" s="7">
        <v>45944.867223702284</v>
      </c>
      <c r="G10149" s="3" t="s">
        <v>9599</v>
      </c>
    </row>
    <row r="10150">
      <c r="A10150" s="3" t="s">
        <v>25489</v>
      </c>
      <c r="B10150" s="3" t="s">
        <v>9101</v>
      </c>
      <c r="C10150" s="5" t="s">
        <v>614</v>
      </c>
      <c r="D10150" s="3" t="s">
        <v>206</v>
      </c>
      <c r="E10150" s="3" t="s">
        <v>100</v>
      </c>
      <c r="F10150" s="7">
        <v>45944.87069592451</v>
      </c>
      <c r="G10150" s="3" t="s">
        <v>9602</v>
      </c>
    </row>
    <row r="10151">
      <c r="A10151" s="3" t="s">
        <v>25490</v>
      </c>
      <c r="B10151" s="3" t="s">
        <v>9101</v>
      </c>
      <c r="C10151" s="5" t="s">
        <v>206</v>
      </c>
      <c r="D10151" s="3" t="s">
        <v>68</v>
      </c>
      <c r="E10151" s="3" t="s">
        <v>100</v>
      </c>
      <c r="F10151" s="7">
        <v>45944.87416814673</v>
      </c>
      <c r="G10151" s="3" t="s">
        <v>9606</v>
      </c>
    </row>
    <row r="10152">
      <c r="A10152" s="3" t="s">
        <v>25491</v>
      </c>
      <c r="B10152" s="3" t="s">
        <v>9104</v>
      </c>
      <c r="C10152" s="5" t="s">
        <v>45</v>
      </c>
      <c r="D10152" s="3" t="s">
        <v>221</v>
      </c>
      <c r="E10152" s="3" t="s">
        <v>404</v>
      </c>
      <c r="F10152" s="7">
        <v>45944.93492632548</v>
      </c>
      <c r="G10152" s="3" t="s">
        <v>23421</v>
      </c>
    </row>
    <row r="10153">
      <c r="A10153" s="3" t="s">
        <v>25492</v>
      </c>
      <c r="B10153" s="3" t="s">
        <v>9104</v>
      </c>
      <c r="C10153" s="5" t="s">
        <v>221</v>
      </c>
      <c r="D10153" s="3" t="s">
        <v>614</v>
      </c>
      <c r="E10153" s="3" t="s">
        <v>118</v>
      </c>
      <c r="F10153" s="7">
        <v>45944.938398547696</v>
      </c>
      <c r="G10153" s="3" t="s">
        <v>24937</v>
      </c>
    </row>
    <row r="10154">
      <c r="A10154" s="3" t="s">
        <v>25493</v>
      </c>
      <c r="B10154" s="3" t="s">
        <v>9104</v>
      </c>
      <c r="C10154" s="5" t="s">
        <v>614</v>
      </c>
      <c r="D10154" s="3" t="s">
        <v>206</v>
      </c>
      <c r="E10154" s="3" t="s">
        <v>100</v>
      </c>
      <c r="F10154" s="7">
        <v>45944.94187076992</v>
      </c>
      <c r="G10154" s="3" t="s">
        <v>24939</v>
      </c>
    </row>
    <row r="10155">
      <c r="A10155" s="3" t="s">
        <v>25494</v>
      </c>
      <c r="B10155" s="3" t="s">
        <v>9104</v>
      </c>
      <c r="C10155" s="5" t="s">
        <v>206</v>
      </c>
      <c r="D10155" s="3" t="s">
        <v>68</v>
      </c>
      <c r="E10155" s="3" t="s">
        <v>100</v>
      </c>
      <c r="F10155" s="7">
        <v>45944.94534299214</v>
      </c>
      <c r="G10155" s="3" t="s">
        <v>24941</v>
      </c>
    </row>
    <row r="10156">
      <c r="A10156" s="3" t="s">
        <v>25495</v>
      </c>
      <c r="B10156" s="3" t="s">
        <v>9106</v>
      </c>
      <c r="C10156" s="5" t="s">
        <v>45</v>
      </c>
      <c r="D10156" s="3" t="s">
        <v>221</v>
      </c>
      <c r="E10156" s="3" t="s">
        <v>546</v>
      </c>
      <c r="F10156" s="7">
        <v>45945.0061011709</v>
      </c>
      <c r="G10156" s="3" t="s">
        <v>9425</v>
      </c>
    </row>
    <row r="10157">
      <c r="A10157" s="3" t="s">
        <v>25496</v>
      </c>
      <c r="B10157" s="3" t="s">
        <v>9106</v>
      </c>
      <c r="C10157" s="5" t="s">
        <v>221</v>
      </c>
      <c r="D10157" s="3" t="s">
        <v>614</v>
      </c>
      <c r="E10157" s="3" t="s">
        <v>118</v>
      </c>
      <c r="F10157" s="7">
        <v>45945.009573393116</v>
      </c>
      <c r="G10157" s="3" t="s">
        <v>9428</v>
      </c>
    </row>
    <row r="10158">
      <c r="A10158" s="3" t="s">
        <v>25497</v>
      </c>
      <c r="B10158" s="3" t="s">
        <v>9106</v>
      </c>
      <c r="C10158" s="5" t="s">
        <v>614</v>
      </c>
      <c r="D10158" s="3" t="s">
        <v>206</v>
      </c>
      <c r="E10158" s="3" t="s">
        <v>100</v>
      </c>
      <c r="F10158" s="7">
        <v>45945.01304561534</v>
      </c>
      <c r="G10158" s="3" t="s">
        <v>9431</v>
      </c>
    </row>
    <row r="10159">
      <c r="A10159" s="3" t="s">
        <v>25498</v>
      </c>
      <c r="B10159" s="3" t="s">
        <v>9106</v>
      </c>
      <c r="C10159" s="5" t="s">
        <v>206</v>
      </c>
      <c r="D10159" s="3" t="s">
        <v>68</v>
      </c>
      <c r="E10159" s="3" t="s">
        <v>100</v>
      </c>
      <c r="F10159" s="7">
        <v>45945.01651783756</v>
      </c>
      <c r="G10159" s="3" t="s">
        <v>9434</v>
      </c>
    </row>
    <row r="10160">
      <c r="A10160" s="3" t="s">
        <v>25499</v>
      </c>
      <c r="B10160" s="3" t="s">
        <v>9108</v>
      </c>
      <c r="C10160" s="5" t="s">
        <v>45</v>
      </c>
      <c r="D10160" s="3" t="s">
        <v>221</v>
      </c>
      <c r="E10160" s="3" t="s">
        <v>702</v>
      </c>
      <c r="F10160" s="7">
        <v>45945.077276016316</v>
      </c>
      <c r="G10160" s="3" t="s">
        <v>5617</v>
      </c>
    </row>
    <row r="10161">
      <c r="A10161" s="3" t="s">
        <v>25500</v>
      </c>
      <c r="B10161" s="3" t="s">
        <v>9108</v>
      </c>
      <c r="C10161" s="5" t="s">
        <v>221</v>
      </c>
      <c r="D10161" s="3" t="s">
        <v>614</v>
      </c>
      <c r="E10161" s="3" t="s">
        <v>118</v>
      </c>
      <c r="F10161" s="7">
        <v>45945.080748238535</v>
      </c>
      <c r="G10161" s="3" t="s">
        <v>12838</v>
      </c>
    </row>
    <row r="10162">
      <c r="A10162" s="3" t="s">
        <v>25501</v>
      </c>
      <c r="B10162" s="3" t="s">
        <v>9108</v>
      </c>
      <c r="C10162" s="5" t="s">
        <v>614</v>
      </c>
      <c r="D10162" s="3" t="s">
        <v>206</v>
      </c>
      <c r="E10162" s="3" t="s">
        <v>100</v>
      </c>
      <c r="F10162" s="7">
        <v>45945.08422046076</v>
      </c>
      <c r="G10162" s="3" t="s">
        <v>12841</v>
      </c>
    </row>
    <row r="10163">
      <c r="A10163" s="3" t="s">
        <v>25502</v>
      </c>
      <c r="B10163" s="3" t="s">
        <v>9108</v>
      </c>
      <c r="C10163" s="5" t="s">
        <v>206</v>
      </c>
      <c r="D10163" s="3" t="s">
        <v>68</v>
      </c>
      <c r="E10163" s="3" t="s">
        <v>100</v>
      </c>
      <c r="F10163" s="7">
        <v>45945.08769268298</v>
      </c>
      <c r="G10163" s="3" t="s">
        <v>12844</v>
      </c>
    </row>
    <row r="10164">
      <c r="A10164" s="3" t="s">
        <v>25503</v>
      </c>
      <c r="B10164" s="3" t="s">
        <v>9110</v>
      </c>
      <c r="C10164" s="5" t="s">
        <v>45</v>
      </c>
      <c r="D10164" s="3" t="s">
        <v>221</v>
      </c>
      <c r="E10164" s="3" t="s">
        <v>481</v>
      </c>
      <c r="F10164" s="7">
        <v>45945.14845086172</v>
      </c>
      <c r="G10164" s="3" t="s">
        <v>15757</v>
      </c>
    </row>
    <row r="10165">
      <c r="A10165" s="3" t="s">
        <v>25504</v>
      </c>
      <c r="B10165" s="3" t="s">
        <v>9110</v>
      </c>
      <c r="C10165" s="5" t="s">
        <v>221</v>
      </c>
      <c r="D10165" s="3" t="s">
        <v>614</v>
      </c>
      <c r="E10165" s="3" t="s">
        <v>118</v>
      </c>
      <c r="F10165" s="7">
        <v>45945.15192308394</v>
      </c>
      <c r="G10165" s="3" t="s">
        <v>15760</v>
      </c>
    </row>
    <row r="10166">
      <c r="A10166" s="3" t="s">
        <v>25505</v>
      </c>
      <c r="B10166" s="3" t="s">
        <v>9110</v>
      </c>
      <c r="C10166" s="5" t="s">
        <v>614</v>
      </c>
      <c r="D10166" s="3" t="s">
        <v>206</v>
      </c>
      <c r="E10166" s="3" t="s">
        <v>100</v>
      </c>
      <c r="F10166" s="7">
        <v>45945.15539530617</v>
      </c>
      <c r="G10166" s="3" t="s">
        <v>15762</v>
      </c>
    </row>
    <row r="10167">
      <c r="A10167" s="3" t="s">
        <v>25506</v>
      </c>
      <c r="B10167" s="3" t="s">
        <v>9110</v>
      </c>
      <c r="C10167" s="5" t="s">
        <v>206</v>
      </c>
      <c r="D10167" s="3" t="s">
        <v>68</v>
      </c>
      <c r="E10167" s="3" t="s">
        <v>100</v>
      </c>
      <c r="F10167" s="7">
        <v>45945.158867528386</v>
      </c>
      <c r="G10167" s="3" t="s">
        <v>15765</v>
      </c>
    </row>
    <row r="10168">
      <c r="A10168" s="3" t="s">
        <v>25507</v>
      </c>
      <c r="B10168" s="3" t="s">
        <v>9111</v>
      </c>
      <c r="C10168" s="5" t="s">
        <v>45</v>
      </c>
      <c r="D10168" s="3" t="s">
        <v>221</v>
      </c>
      <c r="E10168" s="3" t="s">
        <v>934</v>
      </c>
      <c r="F10168" s="7">
        <v>45945.21962570714</v>
      </c>
      <c r="G10168" s="3" t="s">
        <v>24451</v>
      </c>
    </row>
    <row r="10169">
      <c r="A10169" s="3" t="s">
        <v>25508</v>
      </c>
      <c r="B10169" s="3" t="s">
        <v>9111</v>
      </c>
      <c r="C10169" s="5" t="s">
        <v>221</v>
      </c>
      <c r="D10169" s="3" t="s">
        <v>614</v>
      </c>
      <c r="E10169" s="3" t="s">
        <v>118</v>
      </c>
      <c r="F10169" s="7">
        <v>45945.22309792936</v>
      </c>
      <c r="G10169" s="3" t="s">
        <v>24453</v>
      </c>
    </row>
    <row r="10170">
      <c r="A10170" s="3" t="s">
        <v>25509</v>
      </c>
      <c r="B10170" s="3" t="s">
        <v>9111</v>
      </c>
      <c r="C10170" s="5" t="s">
        <v>614</v>
      </c>
      <c r="D10170" s="3" t="s">
        <v>206</v>
      </c>
      <c r="E10170" s="3" t="s">
        <v>100</v>
      </c>
      <c r="F10170" s="7">
        <v>45945.226570151586</v>
      </c>
      <c r="G10170" s="3" t="s">
        <v>24455</v>
      </c>
    </row>
    <row r="10171">
      <c r="A10171" s="3" t="s">
        <v>25510</v>
      </c>
      <c r="B10171" s="3" t="s">
        <v>9111</v>
      </c>
      <c r="C10171" s="5" t="s">
        <v>206</v>
      </c>
      <c r="D10171" s="3" t="s">
        <v>68</v>
      </c>
      <c r="E10171" s="3" t="s">
        <v>100</v>
      </c>
      <c r="F10171" s="7">
        <v>45945.230042373805</v>
      </c>
      <c r="G10171" s="3" t="s">
        <v>24457</v>
      </c>
    </row>
    <row r="10172">
      <c r="A10172" s="3" t="s">
        <v>25511</v>
      </c>
      <c r="B10172" s="3" t="s">
        <v>9114</v>
      </c>
      <c r="C10172" s="5" t="s">
        <v>45</v>
      </c>
      <c r="D10172" s="3" t="s">
        <v>221</v>
      </c>
      <c r="E10172" s="3" t="s">
        <v>972</v>
      </c>
      <c r="F10172" s="7">
        <v>45945.29080055255</v>
      </c>
      <c r="G10172" s="3" t="s">
        <v>25512</v>
      </c>
    </row>
    <row r="10173">
      <c r="A10173" s="3" t="s">
        <v>25513</v>
      </c>
      <c r="B10173" s="3" t="s">
        <v>9114</v>
      </c>
      <c r="C10173" s="5" t="s">
        <v>221</v>
      </c>
      <c r="D10173" s="3" t="s">
        <v>614</v>
      </c>
      <c r="E10173" s="3" t="s">
        <v>118</v>
      </c>
      <c r="F10173" s="7">
        <v>45945.29427277477</v>
      </c>
      <c r="G10173" s="3" t="s">
        <v>25514</v>
      </c>
    </row>
    <row r="10174">
      <c r="A10174" s="3" t="s">
        <v>25515</v>
      </c>
      <c r="B10174" s="3" t="s">
        <v>9114</v>
      </c>
      <c r="C10174" s="5" t="s">
        <v>614</v>
      </c>
      <c r="D10174" s="3" t="s">
        <v>206</v>
      </c>
      <c r="E10174" s="3" t="s">
        <v>100</v>
      </c>
      <c r="F10174" s="7">
        <v>45945.297744997</v>
      </c>
      <c r="G10174" s="3" t="s">
        <v>25516</v>
      </c>
    </row>
    <row r="10175">
      <c r="A10175" s="3" t="s">
        <v>25517</v>
      </c>
      <c r="B10175" s="3" t="s">
        <v>9114</v>
      </c>
      <c r="C10175" s="5" t="s">
        <v>206</v>
      </c>
      <c r="D10175" s="3" t="s">
        <v>68</v>
      </c>
      <c r="E10175" s="3" t="s">
        <v>100</v>
      </c>
      <c r="F10175" s="7">
        <v>45945.30121721922</v>
      </c>
      <c r="G10175" s="3" t="s">
        <v>25518</v>
      </c>
    </row>
    <row r="10176">
      <c r="A10176" s="3" t="s">
        <v>25519</v>
      </c>
      <c r="B10176" s="3" t="s">
        <v>9116</v>
      </c>
      <c r="C10176" s="5" t="s">
        <v>45</v>
      </c>
      <c r="D10176" s="3" t="s">
        <v>221</v>
      </c>
      <c r="E10176" s="3" t="s">
        <v>655</v>
      </c>
      <c r="F10176" s="7">
        <v>45945.36197539797</v>
      </c>
      <c r="G10176" s="3" t="s">
        <v>25520</v>
      </c>
    </row>
    <row r="10177">
      <c r="A10177" s="3" t="s">
        <v>25521</v>
      </c>
      <c r="B10177" s="3" t="s">
        <v>9116</v>
      </c>
      <c r="C10177" s="5" t="s">
        <v>221</v>
      </c>
      <c r="D10177" s="3" t="s">
        <v>614</v>
      </c>
      <c r="E10177" s="3" t="s">
        <v>118</v>
      </c>
      <c r="F10177" s="7">
        <v>45945.36544762019</v>
      </c>
      <c r="G10177" s="3" t="s">
        <v>25522</v>
      </c>
    </row>
    <row r="10178">
      <c r="A10178" s="3" t="s">
        <v>25523</v>
      </c>
      <c r="B10178" s="3" t="s">
        <v>9116</v>
      </c>
      <c r="C10178" s="5" t="s">
        <v>614</v>
      </c>
      <c r="D10178" s="3" t="s">
        <v>206</v>
      </c>
      <c r="E10178" s="3" t="s">
        <v>100</v>
      </c>
      <c r="F10178" s="7">
        <v>45945.36891984242</v>
      </c>
      <c r="G10178" s="3" t="s">
        <v>25524</v>
      </c>
    </row>
    <row r="10179">
      <c r="A10179" s="3" t="s">
        <v>25525</v>
      </c>
      <c r="B10179" s="3" t="s">
        <v>9116</v>
      </c>
      <c r="C10179" s="5" t="s">
        <v>206</v>
      </c>
      <c r="D10179" s="3" t="s">
        <v>68</v>
      </c>
      <c r="E10179" s="3" t="s">
        <v>100</v>
      </c>
      <c r="F10179" s="7">
        <v>45945.37239206464</v>
      </c>
      <c r="G10179" s="3" t="s">
        <v>25526</v>
      </c>
    </row>
    <row r="10180">
      <c r="A10180" s="3" t="s">
        <v>25527</v>
      </c>
      <c r="B10180" s="3" t="s">
        <v>9119</v>
      </c>
      <c r="C10180" s="5" t="s">
        <v>45</v>
      </c>
      <c r="D10180" s="3" t="s">
        <v>221</v>
      </c>
      <c r="E10180" s="3" t="s">
        <v>156</v>
      </c>
      <c r="F10180" s="7">
        <v>45945.433150243385</v>
      </c>
      <c r="G10180" s="3" t="s">
        <v>19857</v>
      </c>
    </row>
    <row r="10181">
      <c r="A10181" s="3" t="s">
        <v>25528</v>
      </c>
      <c r="B10181" s="3" t="s">
        <v>9119</v>
      </c>
      <c r="C10181" s="5" t="s">
        <v>221</v>
      </c>
      <c r="D10181" s="3" t="s">
        <v>614</v>
      </c>
      <c r="E10181" s="3" t="s">
        <v>118</v>
      </c>
      <c r="F10181" s="7">
        <v>45945.436622465604</v>
      </c>
      <c r="G10181" s="3" t="s">
        <v>19860</v>
      </c>
    </row>
    <row r="10182">
      <c r="A10182" s="3" t="s">
        <v>25529</v>
      </c>
      <c r="B10182" s="3" t="s">
        <v>9119</v>
      </c>
      <c r="C10182" s="5" t="s">
        <v>614</v>
      </c>
      <c r="D10182" s="3" t="s">
        <v>206</v>
      </c>
      <c r="E10182" s="3" t="s">
        <v>100</v>
      </c>
      <c r="F10182" s="7">
        <v>45945.44009468783</v>
      </c>
      <c r="G10182" s="3" t="s">
        <v>19863</v>
      </c>
    </row>
    <row r="10183">
      <c r="A10183" s="3" t="s">
        <v>25530</v>
      </c>
      <c r="B10183" s="3" t="s">
        <v>9119</v>
      </c>
      <c r="C10183" s="5" t="s">
        <v>206</v>
      </c>
      <c r="D10183" s="3" t="s">
        <v>68</v>
      </c>
      <c r="E10183" s="3" t="s">
        <v>100</v>
      </c>
      <c r="F10183" s="7">
        <v>45945.44356691005</v>
      </c>
      <c r="G10183" s="3" t="s">
        <v>19866</v>
      </c>
    </row>
    <row r="10184">
      <c r="A10184" s="3" t="s">
        <v>25531</v>
      </c>
      <c r="B10184" s="3" t="s">
        <v>9123</v>
      </c>
      <c r="C10184" s="5" t="s">
        <v>45</v>
      </c>
      <c r="D10184" s="3" t="s">
        <v>221</v>
      </c>
      <c r="E10184" s="3" t="s">
        <v>485</v>
      </c>
      <c r="F10184" s="7">
        <v>45945.504325088805</v>
      </c>
      <c r="G10184" s="3" t="s">
        <v>7342</v>
      </c>
    </row>
    <row r="10185">
      <c r="A10185" s="3" t="s">
        <v>25532</v>
      </c>
      <c r="B10185" s="3" t="s">
        <v>9123</v>
      </c>
      <c r="C10185" s="5" t="s">
        <v>221</v>
      </c>
      <c r="D10185" s="3" t="s">
        <v>614</v>
      </c>
      <c r="E10185" s="3" t="s">
        <v>118</v>
      </c>
      <c r="F10185" s="7">
        <v>45945.507797311024</v>
      </c>
      <c r="G10185" s="3" t="s">
        <v>7345</v>
      </c>
    </row>
    <row r="10186">
      <c r="A10186" s="3" t="s">
        <v>25533</v>
      </c>
      <c r="B10186" s="3" t="s">
        <v>9123</v>
      </c>
      <c r="C10186" s="5" t="s">
        <v>614</v>
      </c>
      <c r="D10186" s="3" t="s">
        <v>206</v>
      </c>
      <c r="E10186" s="3" t="s">
        <v>100</v>
      </c>
      <c r="F10186" s="7">
        <v>45945.51126953325</v>
      </c>
      <c r="G10186" s="3" t="s">
        <v>7348</v>
      </c>
    </row>
    <row r="10187">
      <c r="A10187" s="3" t="s">
        <v>25534</v>
      </c>
      <c r="B10187" s="3" t="s">
        <v>9123</v>
      </c>
      <c r="C10187" s="5" t="s">
        <v>206</v>
      </c>
      <c r="D10187" s="3" t="s">
        <v>68</v>
      </c>
      <c r="E10187" s="3" t="s">
        <v>100</v>
      </c>
      <c r="F10187" s="7">
        <v>45945.51474175547</v>
      </c>
      <c r="G10187" s="3" t="s">
        <v>7351</v>
      </c>
    </row>
    <row r="10188">
      <c r="A10188" s="3" t="s">
        <v>25535</v>
      </c>
      <c r="B10188" s="3" t="s">
        <v>9126</v>
      </c>
      <c r="C10188" s="5" t="s">
        <v>45</v>
      </c>
      <c r="D10188" s="3" t="s">
        <v>221</v>
      </c>
      <c r="E10188" s="3" t="s">
        <v>911</v>
      </c>
      <c r="F10188" s="7">
        <v>45945.57549993422</v>
      </c>
      <c r="G10188" s="3" t="s">
        <v>13996</v>
      </c>
    </row>
    <row r="10189">
      <c r="A10189" s="3" t="s">
        <v>25536</v>
      </c>
      <c r="B10189" s="3" t="s">
        <v>9126</v>
      </c>
      <c r="C10189" s="5" t="s">
        <v>221</v>
      </c>
      <c r="D10189" s="3" t="s">
        <v>614</v>
      </c>
      <c r="E10189" s="3" t="s">
        <v>118</v>
      </c>
      <c r="F10189" s="7">
        <v>45945.578972156436</v>
      </c>
      <c r="G10189" s="3" t="s">
        <v>13998</v>
      </c>
    </row>
    <row r="10190">
      <c r="A10190" s="3" t="s">
        <v>25537</v>
      </c>
      <c r="B10190" s="3" t="s">
        <v>9126</v>
      </c>
      <c r="C10190" s="5" t="s">
        <v>614</v>
      </c>
      <c r="D10190" s="3" t="s">
        <v>206</v>
      </c>
      <c r="E10190" s="3" t="s">
        <v>100</v>
      </c>
      <c r="F10190" s="7">
        <v>45945.58244437866</v>
      </c>
      <c r="G10190" s="3" t="s">
        <v>14001</v>
      </c>
    </row>
    <row r="10191">
      <c r="A10191" s="3" t="s">
        <v>25538</v>
      </c>
      <c r="B10191" s="3" t="s">
        <v>9126</v>
      </c>
      <c r="C10191" s="5" t="s">
        <v>206</v>
      </c>
      <c r="D10191" s="3" t="s">
        <v>68</v>
      </c>
      <c r="E10191" s="3" t="s">
        <v>100</v>
      </c>
      <c r="F10191" s="7">
        <v>45945.58591660088</v>
      </c>
      <c r="G10191" s="3" t="s">
        <v>14004</v>
      </c>
    </row>
    <row r="10192">
      <c r="A10192" s="3" t="s">
        <v>25539</v>
      </c>
      <c r="B10192" s="3" t="s">
        <v>9129</v>
      </c>
      <c r="C10192" s="5" t="s">
        <v>45</v>
      </c>
      <c r="D10192" s="3" t="s">
        <v>221</v>
      </c>
      <c r="E10192" s="3" t="s">
        <v>722</v>
      </c>
      <c r="F10192" s="7">
        <v>45945.64667477963</v>
      </c>
      <c r="G10192" s="3" t="s">
        <v>14712</v>
      </c>
    </row>
    <row r="10193">
      <c r="A10193" s="3" t="s">
        <v>25540</v>
      </c>
      <c r="B10193" s="3" t="s">
        <v>9129</v>
      </c>
      <c r="C10193" s="5" t="s">
        <v>221</v>
      </c>
      <c r="D10193" s="3" t="s">
        <v>614</v>
      </c>
      <c r="E10193" s="3" t="s">
        <v>118</v>
      </c>
      <c r="F10193" s="7">
        <v>45945.65014700185</v>
      </c>
      <c r="G10193" s="3" t="s">
        <v>14715</v>
      </c>
    </row>
    <row r="10194">
      <c r="A10194" s="3" t="s">
        <v>25541</v>
      </c>
      <c r="B10194" s="3" t="s">
        <v>9129</v>
      </c>
      <c r="C10194" s="5" t="s">
        <v>614</v>
      </c>
      <c r="D10194" s="3" t="s">
        <v>206</v>
      </c>
      <c r="E10194" s="3" t="s">
        <v>100</v>
      </c>
      <c r="F10194" s="7">
        <v>45945.653619224075</v>
      </c>
      <c r="G10194" s="3" t="s">
        <v>14718</v>
      </c>
    </row>
    <row r="10195">
      <c r="A10195" s="3" t="s">
        <v>25542</v>
      </c>
      <c r="B10195" s="3" t="s">
        <v>9129</v>
      </c>
      <c r="C10195" s="5" t="s">
        <v>206</v>
      </c>
      <c r="D10195" s="3" t="s">
        <v>68</v>
      </c>
      <c r="E10195" s="3" t="s">
        <v>100</v>
      </c>
      <c r="F10195" s="7">
        <v>45945.65709144629</v>
      </c>
      <c r="G10195" s="3" t="s">
        <v>14721</v>
      </c>
    </row>
    <row r="10196">
      <c r="A10196" s="3" t="s">
        <v>25543</v>
      </c>
      <c r="B10196" s="3" t="s">
        <v>9132</v>
      </c>
      <c r="C10196" s="5" t="s">
        <v>45</v>
      </c>
      <c r="D10196" s="3" t="s">
        <v>221</v>
      </c>
      <c r="E10196" s="3" t="s">
        <v>395</v>
      </c>
      <c r="F10196" s="7">
        <v>45945.71784962505</v>
      </c>
      <c r="G10196" s="3" t="s">
        <v>9629</v>
      </c>
    </row>
    <row r="10197">
      <c r="A10197" s="3" t="s">
        <v>25544</v>
      </c>
      <c r="B10197" s="3" t="s">
        <v>9132</v>
      </c>
      <c r="C10197" s="5" t="s">
        <v>221</v>
      </c>
      <c r="D10197" s="3" t="s">
        <v>614</v>
      </c>
      <c r="E10197" s="3" t="s">
        <v>118</v>
      </c>
      <c r="F10197" s="7">
        <v>45945.72132184727</v>
      </c>
      <c r="G10197" s="3" t="s">
        <v>9632</v>
      </c>
    </row>
    <row r="10198">
      <c r="A10198" s="3" t="s">
        <v>25545</v>
      </c>
      <c r="B10198" s="3" t="s">
        <v>9132</v>
      </c>
      <c r="C10198" s="5" t="s">
        <v>614</v>
      </c>
      <c r="D10198" s="3" t="s">
        <v>206</v>
      </c>
      <c r="E10198" s="3" t="s">
        <v>100</v>
      </c>
      <c r="F10198" s="7">
        <v>45945.724794069494</v>
      </c>
      <c r="G10198" s="3" t="s">
        <v>9636</v>
      </c>
    </row>
    <row r="10199">
      <c r="A10199" s="3" t="s">
        <v>25546</v>
      </c>
      <c r="B10199" s="3" t="s">
        <v>9132</v>
      </c>
      <c r="C10199" s="5" t="s">
        <v>206</v>
      </c>
      <c r="D10199" s="3" t="s">
        <v>68</v>
      </c>
      <c r="E10199" s="3" t="s">
        <v>100</v>
      </c>
      <c r="F10199" s="7">
        <v>45945.72826629171</v>
      </c>
      <c r="G10199" s="3" t="s">
        <v>9639</v>
      </c>
    </row>
    <row r="10200">
      <c r="A10200" s="3" t="s">
        <v>25547</v>
      </c>
      <c r="B10200" s="3" t="s">
        <v>9136</v>
      </c>
      <c r="C10200" s="5" t="s">
        <v>45</v>
      </c>
      <c r="D10200" s="3" t="s">
        <v>221</v>
      </c>
      <c r="E10200" s="3" t="s">
        <v>1008</v>
      </c>
      <c r="F10200" s="7">
        <v>45945.78902447046</v>
      </c>
      <c r="G10200" s="3" t="s">
        <v>18591</v>
      </c>
    </row>
    <row r="10201">
      <c r="A10201" s="3" t="s">
        <v>25548</v>
      </c>
      <c r="B10201" s="3" t="s">
        <v>9136</v>
      </c>
      <c r="C10201" s="5" t="s">
        <v>221</v>
      </c>
      <c r="D10201" s="3" t="s">
        <v>614</v>
      </c>
      <c r="E10201" s="3" t="s">
        <v>118</v>
      </c>
      <c r="F10201" s="7">
        <v>45945.79249669268</v>
      </c>
      <c r="G10201" s="3" t="s">
        <v>18594</v>
      </c>
    </row>
    <row r="10202">
      <c r="A10202" s="3" t="s">
        <v>25549</v>
      </c>
      <c r="B10202" s="3" t="s">
        <v>9136</v>
      </c>
      <c r="C10202" s="5" t="s">
        <v>614</v>
      </c>
      <c r="D10202" s="3" t="s">
        <v>206</v>
      </c>
      <c r="E10202" s="3" t="s">
        <v>100</v>
      </c>
      <c r="F10202" s="7">
        <v>45945.79596891491</v>
      </c>
      <c r="G10202" s="3" t="s">
        <v>18597</v>
      </c>
    </row>
    <row r="10203">
      <c r="A10203" s="3" t="s">
        <v>25550</v>
      </c>
      <c r="B10203" s="3" t="s">
        <v>9136</v>
      </c>
      <c r="C10203" s="5" t="s">
        <v>206</v>
      </c>
      <c r="D10203" s="3" t="s">
        <v>68</v>
      </c>
      <c r="E10203" s="3" t="s">
        <v>100</v>
      </c>
      <c r="F10203" s="7">
        <v>45945.799441137126</v>
      </c>
      <c r="G10203" s="3" t="s">
        <v>18599</v>
      </c>
    </row>
    <row r="10204">
      <c r="A10204" s="3" t="s">
        <v>25551</v>
      </c>
      <c r="B10204" s="3" t="s">
        <v>9139</v>
      </c>
      <c r="C10204" s="5" t="s">
        <v>45</v>
      </c>
      <c r="D10204" s="3" t="s">
        <v>221</v>
      </c>
      <c r="E10204" s="3" t="s">
        <v>550</v>
      </c>
      <c r="F10204" s="7">
        <v>45945.86019931587</v>
      </c>
      <c r="G10204" s="3" t="s">
        <v>24324</v>
      </c>
    </row>
    <row r="10205">
      <c r="A10205" s="3" t="s">
        <v>25552</v>
      </c>
      <c r="B10205" s="3" t="s">
        <v>9139</v>
      </c>
      <c r="C10205" s="5" t="s">
        <v>221</v>
      </c>
      <c r="D10205" s="3" t="s">
        <v>614</v>
      </c>
      <c r="E10205" s="3" t="s">
        <v>118</v>
      </c>
      <c r="F10205" s="7">
        <v>45945.86367153809</v>
      </c>
      <c r="G10205" s="3" t="s">
        <v>24326</v>
      </c>
    </row>
    <row r="10206">
      <c r="A10206" s="3" t="s">
        <v>25553</v>
      </c>
      <c r="B10206" s="3" t="s">
        <v>9139</v>
      </c>
      <c r="C10206" s="5" t="s">
        <v>614</v>
      </c>
      <c r="D10206" s="3" t="s">
        <v>206</v>
      </c>
      <c r="E10206" s="3" t="s">
        <v>100</v>
      </c>
      <c r="F10206" s="7">
        <v>45945.86714376032</v>
      </c>
      <c r="G10206" s="3" t="s">
        <v>24328</v>
      </c>
    </row>
    <row r="10207">
      <c r="A10207" s="3" t="s">
        <v>25554</v>
      </c>
      <c r="B10207" s="3" t="s">
        <v>9139</v>
      </c>
      <c r="C10207" s="5" t="s">
        <v>206</v>
      </c>
      <c r="D10207" s="3" t="s">
        <v>68</v>
      </c>
      <c r="E10207" s="3" t="s">
        <v>100</v>
      </c>
      <c r="F10207" s="7">
        <v>45945.87061598254</v>
      </c>
      <c r="G10207" s="3" t="s">
        <v>24330</v>
      </c>
    </row>
    <row r="10208">
      <c r="A10208" s="3" t="s">
        <v>25555</v>
      </c>
      <c r="B10208" s="3" t="s">
        <v>9142</v>
      </c>
      <c r="C10208" s="5" t="s">
        <v>45</v>
      </c>
      <c r="D10208" s="3" t="s">
        <v>221</v>
      </c>
      <c r="E10208" s="3" t="s">
        <v>830</v>
      </c>
      <c r="F10208" s="7">
        <v>45945.93137416129</v>
      </c>
      <c r="G10208" s="3" t="s">
        <v>9656</v>
      </c>
    </row>
    <row r="10209">
      <c r="A10209" s="3" t="s">
        <v>25556</v>
      </c>
      <c r="B10209" s="3" t="s">
        <v>9142</v>
      </c>
      <c r="C10209" s="5" t="s">
        <v>221</v>
      </c>
      <c r="D10209" s="3" t="s">
        <v>614</v>
      </c>
      <c r="E10209" s="3" t="s">
        <v>118</v>
      </c>
      <c r="F10209" s="7">
        <v>45945.93484638351</v>
      </c>
      <c r="G10209" s="3" t="s">
        <v>9660</v>
      </c>
    </row>
    <row r="10210">
      <c r="A10210" s="3" t="s">
        <v>25557</v>
      </c>
      <c r="B10210" s="3" t="s">
        <v>9142</v>
      </c>
      <c r="C10210" s="5" t="s">
        <v>614</v>
      </c>
      <c r="D10210" s="3" t="s">
        <v>206</v>
      </c>
      <c r="E10210" s="3" t="s">
        <v>100</v>
      </c>
      <c r="F10210" s="7">
        <v>45945.93831860574</v>
      </c>
      <c r="G10210" s="3" t="s">
        <v>9663</v>
      </c>
    </row>
    <row r="10211">
      <c r="A10211" s="3" t="s">
        <v>25558</v>
      </c>
      <c r="B10211" s="3" t="s">
        <v>9142</v>
      </c>
      <c r="C10211" s="5" t="s">
        <v>206</v>
      </c>
      <c r="D10211" s="3" t="s">
        <v>68</v>
      </c>
      <c r="E10211" s="3" t="s">
        <v>100</v>
      </c>
      <c r="F10211" s="7">
        <v>45945.94179082796</v>
      </c>
      <c r="G10211" s="3" t="s">
        <v>9667</v>
      </c>
    </row>
    <row r="10212">
      <c r="A10212" s="3" t="s">
        <v>25559</v>
      </c>
      <c r="B10212" s="3" t="s">
        <v>9145</v>
      </c>
      <c r="C10212" s="5" t="s">
        <v>45</v>
      </c>
      <c r="D10212" s="3" t="s">
        <v>221</v>
      </c>
      <c r="E10212" s="3" t="s">
        <v>179</v>
      </c>
      <c r="F10212" s="7">
        <v>45946.002549006706</v>
      </c>
      <c r="G10212" s="3" t="s">
        <v>6510</v>
      </c>
    </row>
    <row r="10213">
      <c r="A10213" s="3" t="s">
        <v>25560</v>
      </c>
      <c r="B10213" s="3" t="s">
        <v>9145</v>
      </c>
      <c r="C10213" s="5" t="s">
        <v>221</v>
      </c>
      <c r="D10213" s="3" t="s">
        <v>614</v>
      </c>
      <c r="E10213" s="3" t="s">
        <v>118</v>
      </c>
      <c r="F10213" s="7">
        <v>45946.006021228925</v>
      </c>
      <c r="G10213" s="3" t="s">
        <v>6513</v>
      </c>
    </row>
    <row r="10214">
      <c r="A10214" s="3" t="s">
        <v>25561</v>
      </c>
      <c r="B10214" s="3" t="s">
        <v>9145</v>
      </c>
      <c r="C10214" s="5" t="s">
        <v>614</v>
      </c>
      <c r="D10214" s="3" t="s">
        <v>206</v>
      </c>
      <c r="E10214" s="3" t="s">
        <v>100</v>
      </c>
      <c r="F10214" s="7">
        <v>45946.00949345115</v>
      </c>
      <c r="G10214" s="3" t="s">
        <v>6516</v>
      </c>
    </row>
    <row r="10215">
      <c r="A10215" s="3" t="s">
        <v>25562</v>
      </c>
      <c r="B10215" s="3" t="s">
        <v>9145</v>
      </c>
      <c r="C10215" s="5" t="s">
        <v>206</v>
      </c>
      <c r="D10215" s="3" t="s">
        <v>68</v>
      </c>
      <c r="E10215" s="3" t="s">
        <v>100</v>
      </c>
      <c r="F10215" s="7">
        <v>45946.01296567337</v>
      </c>
      <c r="G10215" s="3" t="s">
        <v>6519</v>
      </c>
    </row>
    <row r="10216">
      <c r="A10216" s="3" t="s">
        <v>25563</v>
      </c>
      <c r="B10216" s="3" t="s">
        <v>9148</v>
      </c>
      <c r="C10216" s="5" t="s">
        <v>45</v>
      </c>
      <c r="D10216" s="3" t="s">
        <v>221</v>
      </c>
      <c r="E10216" s="3" t="s">
        <v>179</v>
      </c>
      <c r="F10216" s="7">
        <v>45946.07372385212</v>
      </c>
      <c r="G10216" s="3" t="s">
        <v>9697</v>
      </c>
    </row>
    <row r="10217">
      <c r="A10217" s="3" t="s">
        <v>25564</v>
      </c>
      <c r="B10217" s="3" t="s">
        <v>9148</v>
      </c>
      <c r="C10217" s="5" t="s">
        <v>221</v>
      </c>
      <c r="D10217" s="3" t="s">
        <v>614</v>
      </c>
      <c r="E10217" s="3" t="s">
        <v>118</v>
      </c>
      <c r="F10217" s="7">
        <v>45946.07719607434</v>
      </c>
      <c r="G10217" s="3" t="s">
        <v>9700</v>
      </c>
    </row>
    <row r="10218">
      <c r="A10218" s="3" t="s">
        <v>25565</v>
      </c>
      <c r="B10218" s="3" t="s">
        <v>9148</v>
      </c>
      <c r="C10218" s="5" t="s">
        <v>614</v>
      </c>
      <c r="D10218" s="3" t="s">
        <v>206</v>
      </c>
      <c r="E10218" s="3" t="s">
        <v>100</v>
      </c>
      <c r="F10218" s="7">
        <v>45946.08066829656</v>
      </c>
      <c r="G10218" s="3" t="s">
        <v>9704</v>
      </c>
    </row>
    <row r="10219">
      <c r="A10219" s="3" t="s">
        <v>25566</v>
      </c>
      <c r="B10219" s="3" t="s">
        <v>9148</v>
      </c>
      <c r="C10219" s="5" t="s">
        <v>206</v>
      </c>
      <c r="D10219" s="3" t="s">
        <v>68</v>
      </c>
      <c r="E10219" s="3" t="s">
        <v>100</v>
      </c>
      <c r="F10219" s="7">
        <v>45946.08414051878</v>
      </c>
      <c r="G10219" s="3" t="s">
        <v>9707</v>
      </c>
    </row>
    <row r="10220">
      <c r="A10220" s="3" t="s">
        <v>25567</v>
      </c>
      <c r="B10220" s="3" t="s">
        <v>9152</v>
      </c>
      <c r="C10220" s="5" t="s">
        <v>45</v>
      </c>
      <c r="D10220" s="3" t="s">
        <v>221</v>
      </c>
      <c r="E10220" s="3" t="s">
        <v>886</v>
      </c>
      <c r="F10220" s="7">
        <v>45946.14489869754</v>
      </c>
      <c r="G10220" s="3" t="s">
        <v>25568</v>
      </c>
    </row>
    <row r="10221">
      <c r="A10221" s="3" t="s">
        <v>25569</v>
      </c>
      <c r="B10221" s="3" t="s">
        <v>9152</v>
      </c>
      <c r="C10221" s="5" t="s">
        <v>221</v>
      </c>
      <c r="D10221" s="3" t="s">
        <v>614</v>
      </c>
      <c r="E10221" s="3" t="s">
        <v>118</v>
      </c>
      <c r="F10221" s="7">
        <v>45946.14837091976</v>
      </c>
      <c r="G10221" s="3" t="s">
        <v>25570</v>
      </c>
    </row>
    <row r="10222">
      <c r="A10222" s="3" t="s">
        <v>25571</v>
      </c>
      <c r="B10222" s="3" t="s">
        <v>9152</v>
      </c>
      <c r="C10222" s="5" t="s">
        <v>614</v>
      </c>
      <c r="D10222" s="3" t="s">
        <v>206</v>
      </c>
      <c r="E10222" s="3" t="s">
        <v>100</v>
      </c>
      <c r="F10222" s="7">
        <v>45946.15184314198</v>
      </c>
      <c r="G10222" s="3" t="s">
        <v>25572</v>
      </c>
    </row>
    <row r="10223">
      <c r="A10223" s="3" t="s">
        <v>25573</v>
      </c>
      <c r="B10223" s="3" t="s">
        <v>9152</v>
      </c>
      <c r="C10223" s="5" t="s">
        <v>206</v>
      </c>
      <c r="D10223" s="3" t="s">
        <v>68</v>
      </c>
      <c r="E10223" s="3" t="s">
        <v>100</v>
      </c>
      <c r="F10223" s="7">
        <v>45946.1553153642</v>
      </c>
      <c r="G10223" s="3" t="s">
        <v>25574</v>
      </c>
    </row>
    <row r="10224">
      <c r="A10224" s="3" t="s">
        <v>25575</v>
      </c>
      <c r="B10224" s="3" t="s">
        <v>9155</v>
      </c>
      <c r="C10224" s="5" t="s">
        <v>45</v>
      </c>
      <c r="D10224" s="3" t="s">
        <v>221</v>
      </c>
      <c r="E10224" s="3" t="s">
        <v>293</v>
      </c>
      <c r="F10224" s="7">
        <v>45946.21607354296</v>
      </c>
      <c r="G10224" s="3" t="s">
        <v>10273</v>
      </c>
    </row>
    <row r="10225">
      <c r="A10225" s="3" t="s">
        <v>25576</v>
      </c>
      <c r="B10225" s="3" t="s">
        <v>9155</v>
      </c>
      <c r="C10225" s="5" t="s">
        <v>221</v>
      </c>
      <c r="D10225" s="3" t="s">
        <v>614</v>
      </c>
      <c r="E10225" s="3" t="s">
        <v>118</v>
      </c>
      <c r="F10225" s="7">
        <v>45946.219545765176</v>
      </c>
      <c r="G10225" s="3" t="s">
        <v>10592</v>
      </c>
    </row>
    <row r="10226">
      <c r="A10226" s="3" t="s">
        <v>25577</v>
      </c>
      <c r="B10226" s="3" t="s">
        <v>9155</v>
      </c>
      <c r="C10226" s="5" t="s">
        <v>614</v>
      </c>
      <c r="D10226" s="3" t="s">
        <v>206</v>
      </c>
      <c r="E10226" s="3" t="s">
        <v>100</v>
      </c>
      <c r="F10226" s="7">
        <v>45946.2230179874</v>
      </c>
      <c r="G10226" s="3" t="s">
        <v>10595</v>
      </c>
    </row>
    <row r="10227">
      <c r="A10227" s="3" t="s">
        <v>25578</v>
      </c>
      <c r="B10227" s="3" t="s">
        <v>9155</v>
      </c>
      <c r="C10227" s="5" t="s">
        <v>206</v>
      </c>
      <c r="D10227" s="3" t="s">
        <v>68</v>
      </c>
      <c r="E10227" s="3" t="s">
        <v>100</v>
      </c>
      <c r="F10227" s="7">
        <v>45946.22649020962</v>
      </c>
      <c r="G10227" s="3" t="s">
        <v>10597</v>
      </c>
    </row>
    <row r="10228">
      <c r="A10228" s="3" t="s">
        <v>25579</v>
      </c>
      <c r="B10228" s="3" t="s">
        <v>9158</v>
      </c>
      <c r="C10228" s="5" t="s">
        <v>45</v>
      </c>
      <c r="D10228" s="3" t="s">
        <v>221</v>
      </c>
      <c r="E10228" s="3" t="s">
        <v>156</v>
      </c>
      <c r="F10228" s="7">
        <v>45946.28724838836</v>
      </c>
      <c r="G10228" s="3" t="s">
        <v>19857</v>
      </c>
    </row>
    <row r="10229">
      <c r="A10229" s="3" t="s">
        <v>25580</v>
      </c>
      <c r="B10229" s="3" t="s">
        <v>9158</v>
      </c>
      <c r="C10229" s="5" t="s">
        <v>221</v>
      </c>
      <c r="D10229" s="3" t="s">
        <v>195</v>
      </c>
      <c r="E10229" s="3" t="s">
        <v>156</v>
      </c>
      <c r="F10229" s="7">
        <v>45946.29072061058</v>
      </c>
      <c r="G10229" s="3" t="s">
        <v>25581</v>
      </c>
    </row>
    <row r="10230">
      <c r="A10230" s="3" t="s">
        <v>25582</v>
      </c>
      <c r="B10230" s="3" t="s">
        <v>9162</v>
      </c>
      <c r="C10230" s="5" t="s">
        <v>45</v>
      </c>
      <c r="D10230" s="3" t="s">
        <v>221</v>
      </c>
      <c r="E10230" s="3" t="s">
        <v>629</v>
      </c>
      <c r="F10230" s="7">
        <v>45946.35842323378</v>
      </c>
      <c r="G10230" s="3" t="s">
        <v>12820</v>
      </c>
    </row>
    <row r="10231">
      <c r="A10231" s="3" t="s">
        <v>25583</v>
      </c>
      <c r="B10231" s="3" t="s">
        <v>9162</v>
      </c>
      <c r="C10231" s="5" t="s">
        <v>221</v>
      </c>
      <c r="D10231" s="3" t="s">
        <v>614</v>
      </c>
      <c r="E10231" s="3" t="s">
        <v>118</v>
      </c>
      <c r="F10231" s="7">
        <v>45946.361895456</v>
      </c>
      <c r="G10231" s="3" t="s">
        <v>25584</v>
      </c>
    </row>
    <row r="10232">
      <c r="A10232" s="3" t="s">
        <v>25585</v>
      </c>
      <c r="B10232" s="3" t="s">
        <v>9162</v>
      </c>
      <c r="C10232" s="5" t="s">
        <v>614</v>
      </c>
      <c r="D10232" s="3" t="s">
        <v>206</v>
      </c>
      <c r="E10232" s="3" t="s">
        <v>100</v>
      </c>
      <c r="F10232" s="7">
        <v>45946.36536767823</v>
      </c>
      <c r="G10232" s="3" t="s">
        <v>25586</v>
      </c>
    </row>
    <row r="10233">
      <c r="A10233" s="3" t="s">
        <v>25587</v>
      </c>
      <c r="B10233" s="3" t="s">
        <v>9162</v>
      </c>
      <c r="C10233" s="5" t="s">
        <v>206</v>
      </c>
      <c r="D10233" s="3" t="s">
        <v>68</v>
      </c>
      <c r="E10233" s="3" t="s">
        <v>100</v>
      </c>
      <c r="F10233" s="7">
        <v>45946.368839900446</v>
      </c>
      <c r="G10233" s="3" t="s">
        <v>25588</v>
      </c>
    </row>
    <row r="10234">
      <c r="A10234" s="3" t="s">
        <v>25589</v>
      </c>
      <c r="B10234" s="3" t="s">
        <v>9165</v>
      </c>
      <c r="C10234" s="5" t="s">
        <v>45</v>
      </c>
      <c r="D10234" s="3" t="s">
        <v>221</v>
      </c>
      <c r="E10234" s="3" t="s">
        <v>326</v>
      </c>
      <c r="F10234" s="7">
        <v>45946.4295980792</v>
      </c>
      <c r="G10234" s="3" t="s">
        <v>9717</v>
      </c>
    </row>
    <row r="10235">
      <c r="A10235" s="3" t="s">
        <v>25590</v>
      </c>
      <c r="B10235" s="3" t="s">
        <v>9165</v>
      </c>
      <c r="C10235" s="5" t="s">
        <v>221</v>
      </c>
      <c r="D10235" s="3" t="s">
        <v>614</v>
      </c>
      <c r="E10235" s="3" t="s">
        <v>118</v>
      </c>
      <c r="F10235" s="7">
        <v>45946.43307030142</v>
      </c>
      <c r="G10235" s="3" t="s">
        <v>9720</v>
      </c>
    </row>
    <row r="10236">
      <c r="A10236" s="3" t="s">
        <v>25591</v>
      </c>
      <c r="B10236" s="3" t="s">
        <v>9165</v>
      </c>
      <c r="C10236" s="5" t="s">
        <v>614</v>
      </c>
      <c r="D10236" s="3" t="s">
        <v>206</v>
      </c>
      <c r="E10236" s="3" t="s">
        <v>100</v>
      </c>
      <c r="F10236" s="7">
        <v>45946.43654252365</v>
      </c>
      <c r="G10236" s="3" t="s">
        <v>9724</v>
      </c>
    </row>
    <row r="10237">
      <c r="A10237" s="3" t="s">
        <v>25592</v>
      </c>
      <c r="B10237" s="3" t="s">
        <v>9165</v>
      </c>
      <c r="C10237" s="5" t="s">
        <v>206</v>
      </c>
      <c r="D10237" s="3" t="s">
        <v>68</v>
      </c>
      <c r="E10237" s="3" t="s">
        <v>100</v>
      </c>
      <c r="F10237" s="7">
        <v>45946.440014745865</v>
      </c>
      <c r="G10237" s="3" t="s">
        <v>9727</v>
      </c>
    </row>
    <row r="10238">
      <c r="A10238" s="3" t="s">
        <v>25593</v>
      </c>
      <c r="B10238" s="3" t="s">
        <v>9169</v>
      </c>
      <c r="C10238" s="5" t="s">
        <v>45</v>
      </c>
      <c r="D10238" s="3" t="s">
        <v>221</v>
      </c>
      <c r="E10238" s="3" t="s">
        <v>672</v>
      </c>
      <c r="F10238" s="7">
        <v>45946.50077292461</v>
      </c>
      <c r="G10238" s="3" t="s">
        <v>9730</v>
      </c>
    </row>
    <row r="10239">
      <c r="A10239" s="3" t="s">
        <v>25594</v>
      </c>
      <c r="B10239" s="3" t="s">
        <v>9169</v>
      </c>
      <c r="C10239" s="5" t="s">
        <v>221</v>
      </c>
      <c r="D10239" s="3" t="s">
        <v>614</v>
      </c>
      <c r="E10239" s="3" t="s">
        <v>118</v>
      </c>
      <c r="F10239" s="7">
        <v>45946.50424514683</v>
      </c>
      <c r="G10239" s="3" t="s">
        <v>9734</v>
      </c>
    </row>
    <row r="10240">
      <c r="A10240" s="3" t="s">
        <v>25595</v>
      </c>
      <c r="B10240" s="3" t="s">
        <v>9169</v>
      </c>
      <c r="C10240" s="5" t="s">
        <v>614</v>
      </c>
      <c r="D10240" s="3" t="s">
        <v>206</v>
      </c>
      <c r="E10240" s="3" t="s">
        <v>100</v>
      </c>
      <c r="F10240" s="7">
        <v>45946.50771736906</v>
      </c>
      <c r="G10240" s="3" t="s">
        <v>9737</v>
      </c>
    </row>
    <row r="10241">
      <c r="A10241" s="3" t="s">
        <v>25596</v>
      </c>
      <c r="B10241" s="3" t="s">
        <v>9169</v>
      </c>
      <c r="C10241" s="5" t="s">
        <v>206</v>
      </c>
      <c r="D10241" s="3" t="s">
        <v>68</v>
      </c>
      <c r="E10241" s="3" t="s">
        <v>100</v>
      </c>
      <c r="F10241" s="7">
        <v>45946.51118959128</v>
      </c>
      <c r="G10241" s="3" t="s">
        <v>9740</v>
      </c>
    </row>
    <row r="10242">
      <c r="A10242" s="3" t="s">
        <v>25597</v>
      </c>
      <c r="B10242" s="3" t="s">
        <v>9172</v>
      </c>
      <c r="C10242" s="5" t="s">
        <v>45</v>
      </c>
      <c r="D10242" s="3" t="s">
        <v>221</v>
      </c>
      <c r="E10242" s="3" t="s">
        <v>760</v>
      </c>
      <c r="F10242" s="7">
        <v>45946.571947770026</v>
      </c>
      <c r="G10242" s="3" t="s">
        <v>25413</v>
      </c>
    </row>
    <row r="10243">
      <c r="A10243" s="3" t="s">
        <v>25598</v>
      </c>
      <c r="B10243" s="3" t="s">
        <v>9172</v>
      </c>
      <c r="C10243" s="5" t="s">
        <v>221</v>
      </c>
      <c r="D10243" s="3" t="s">
        <v>614</v>
      </c>
      <c r="E10243" s="3" t="s">
        <v>118</v>
      </c>
      <c r="F10243" s="7">
        <v>45946.575419992245</v>
      </c>
      <c r="G10243" s="3" t="s">
        <v>25415</v>
      </c>
    </row>
    <row r="10244">
      <c r="A10244" s="3" t="s">
        <v>25599</v>
      </c>
      <c r="B10244" s="3" t="s">
        <v>9172</v>
      </c>
      <c r="C10244" s="5" t="s">
        <v>614</v>
      </c>
      <c r="D10244" s="3" t="s">
        <v>206</v>
      </c>
      <c r="E10244" s="3" t="s">
        <v>100</v>
      </c>
      <c r="F10244" s="7">
        <v>45946.57889221447</v>
      </c>
      <c r="G10244" s="3" t="s">
        <v>25417</v>
      </c>
    </row>
    <row r="10245">
      <c r="A10245" s="3" t="s">
        <v>25600</v>
      </c>
      <c r="B10245" s="3" t="s">
        <v>9172</v>
      </c>
      <c r="C10245" s="5" t="s">
        <v>206</v>
      </c>
      <c r="D10245" s="3" t="s">
        <v>68</v>
      </c>
      <c r="E10245" s="3" t="s">
        <v>100</v>
      </c>
      <c r="F10245" s="7">
        <v>45946.58236443669</v>
      </c>
      <c r="G10245" s="3" t="s">
        <v>25419</v>
      </c>
    </row>
    <row r="10246">
      <c r="A10246" s="3" t="s">
        <v>25601</v>
      </c>
      <c r="B10246" s="3" t="s">
        <v>9176</v>
      </c>
      <c r="C10246" s="5" t="s">
        <v>45</v>
      </c>
      <c r="D10246" s="3" t="s">
        <v>221</v>
      </c>
      <c r="E10246" s="3" t="s">
        <v>752</v>
      </c>
      <c r="F10246" s="7">
        <v>45946.643122615445</v>
      </c>
      <c r="G10246" s="3" t="s">
        <v>15338</v>
      </c>
    </row>
    <row r="10247">
      <c r="A10247" s="3" t="s">
        <v>25602</v>
      </c>
      <c r="B10247" s="3" t="s">
        <v>9176</v>
      </c>
      <c r="C10247" s="5" t="s">
        <v>221</v>
      </c>
      <c r="D10247" s="3" t="s">
        <v>614</v>
      </c>
      <c r="E10247" s="3" t="s">
        <v>118</v>
      </c>
      <c r="F10247" s="7">
        <v>45946.646594837664</v>
      </c>
      <c r="G10247" s="3" t="s">
        <v>15341</v>
      </c>
    </row>
    <row r="10248">
      <c r="A10248" s="3" t="s">
        <v>25603</v>
      </c>
      <c r="B10248" s="3" t="s">
        <v>9176</v>
      </c>
      <c r="C10248" s="5" t="s">
        <v>614</v>
      </c>
      <c r="D10248" s="3" t="s">
        <v>206</v>
      </c>
      <c r="E10248" s="3" t="s">
        <v>100</v>
      </c>
      <c r="F10248" s="7">
        <v>45946.65006705989</v>
      </c>
      <c r="G10248" s="3" t="s">
        <v>15344</v>
      </c>
    </row>
    <row r="10249">
      <c r="A10249" s="3" t="s">
        <v>25604</v>
      </c>
      <c r="B10249" s="3" t="s">
        <v>9176</v>
      </c>
      <c r="C10249" s="5" t="s">
        <v>206</v>
      </c>
      <c r="D10249" s="3" t="s">
        <v>68</v>
      </c>
      <c r="E10249" s="3" t="s">
        <v>100</v>
      </c>
      <c r="F10249" s="7">
        <v>45946.65353928211</v>
      </c>
      <c r="G10249" s="3" t="s">
        <v>15347</v>
      </c>
    </row>
    <row r="10250">
      <c r="A10250" s="3" t="s">
        <v>25605</v>
      </c>
      <c r="B10250" s="3" t="s">
        <v>9179</v>
      </c>
      <c r="C10250" s="5" t="s">
        <v>45</v>
      </c>
      <c r="D10250" s="3" t="s">
        <v>221</v>
      </c>
      <c r="E10250" s="3" t="s">
        <v>440</v>
      </c>
      <c r="F10250" s="7">
        <v>45946.71429746086</v>
      </c>
      <c r="G10250" s="3" t="s">
        <v>7779</v>
      </c>
    </row>
    <row r="10251">
      <c r="A10251" s="3" t="s">
        <v>25606</v>
      </c>
      <c r="B10251" s="3" t="s">
        <v>9179</v>
      </c>
      <c r="C10251" s="5" t="s">
        <v>221</v>
      </c>
      <c r="D10251" s="3" t="s">
        <v>614</v>
      </c>
      <c r="E10251" s="3" t="s">
        <v>118</v>
      </c>
      <c r="F10251" s="7">
        <v>45946.71776968308</v>
      </c>
      <c r="G10251" s="3" t="s">
        <v>7782</v>
      </c>
    </row>
    <row r="10252">
      <c r="A10252" s="3" t="s">
        <v>25607</v>
      </c>
      <c r="B10252" s="3" t="s">
        <v>9179</v>
      </c>
      <c r="C10252" s="5" t="s">
        <v>614</v>
      </c>
      <c r="D10252" s="3" t="s">
        <v>206</v>
      </c>
      <c r="E10252" s="3" t="s">
        <v>100</v>
      </c>
      <c r="F10252" s="7">
        <v>45946.7212419053</v>
      </c>
      <c r="G10252" s="3" t="s">
        <v>7785</v>
      </c>
    </row>
    <row r="10253">
      <c r="A10253" s="3" t="s">
        <v>25608</v>
      </c>
      <c r="B10253" s="3" t="s">
        <v>9179</v>
      </c>
      <c r="C10253" s="5" t="s">
        <v>206</v>
      </c>
      <c r="D10253" s="3" t="s">
        <v>68</v>
      </c>
      <c r="E10253" s="3" t="s">
        <v>100</v>
      </c>
      <c r="F10253" s="7">
        <v>45946.72471412752</v>
      </c>
      <c r="G10253" s="3" t="s">
        <v>7787</v>
      </c>
    </row>
    <row r="10254">
      <c r="A10254" s="3" t="s">
        <v>25609</v>
      </c>
      <c r="B10254" s="3" t="s">
        <v>9181</v>
      </c>
      <c r="C10254" s="5" t="s">
        <v>45</v>
      </c>
      <c r="D10254" s="3" t="s">
        <v>221</v>
      </c>
      <c r="E10254" s="3" t="s">
        <v>247</v>
      </c>
      <c r="F10254" s="7">
        <v>45946.78547230627</v>
      </c>
      <c r="G10254" s="3" t="s">
        <v>13137</v>
      </c>
    </row>
    <row r="10255">
      <c r="A10255" s="3" t="s">
        <v>25610</v>
      </c>
      <c r="B10255" s="3" t="s">
        <v>9181</v>
      </c>
      <c r="C10255" s="5" t="s">
        <v>221</v>
      </c>
      <c r="D10255" s="3" t="s">
        <v>614</v>
      </c>
      <c r="E10255" s="3" t="s">
        <v>118</v>
      </c>
      <c r="F10255" s="7">
        <v>45946.78894452849</v>
      </c>
      <c r="G10255" s="3" t="s">
        <v>13140</v>
      </c>
    </row>
    <row r="10256">
      <c r="A10256" s="3" t="s">
        <v>25611</v>
      </c>
      <c r="B10256" s="3" t="s">
        <v>9181</v>
      </c>
      <c r="C10256" s="5" t="s">
        <v>614</v>
      </c>
      <c r="D10256" s="3" t="s">
        <v>206</v>
      </c>
      <c r="E10256" s="3" t="s">
        <v>100</v>
      </c>
      <c r="F10256" s="7">
        <v>45946.792416750715</v>
      </c>
      <c r="G10256" s="3" t="s">
        <v>13144</v>
      </c>
    </row>
    <row r="10257">
      <c r="A10257" s="3" t="s">
        <v>25612</v>
      </c>
      <c r="B10257" s="3" t="s">
        <v>9181</v>
      </c>
      <c r="C10257" s="5" t="s">
        <v>206</v>
      </c>
      <c r="D10257" s="3" t="s">
        <v>68</v>
      </c>
      <c r="E10257" s="3" t="s">
        <v>100</v>
      </c>
      <c r="F10257" s="7">
        <v>45946.795888972934</v>
      </c>
      <c r="G10257" s="3" t="s">
        <v>13147</v>
      </c>
    </row>
    <row r="10258">
      <c r="A10258" s="3" t="s">
        <v>25613</v>
      </c>
      <c r="B10258" s="3" t="s">
        <v>9183</v>
      </c>
      <c r="C10258" s="5" t="s">
        <v>45</v>
      </c>
      <c r="D10258" s="3" t="s">
        <v>221</v>
      </c>
      <c r="E10258" s="3" t="s">
        <v>462</v>
      </c>
      <c r="F10258" s="7">
        <v>45946.85664715169</v>
      </c>
      <c r="G10258" s="3" t="s">
        <v>24762</v>
      </c>
    </row>
    <row r="10259">
      <c r="A10259" s="3" t="s">
        <v>25614</v>
      </c>
      <c r="B10259" s="3" t="s">
        <v>9183</v>
      </c>
      <c r="C10259" s="5" t="s">
        <v>221</v>
      </c>
      <c r="D10259" s="3" t="s">
        <v>614</v>
      </c>
      <c r="E10259" s="3" t="s">
        <v>118</v>
      </c>
      <c r="F10259" s="7">
        <v>45946.86011937391</v>
      </c>
      <c r="G10259" s="3" t="s">
        <v>25615</v>
      </c>
    </row>
    <row r="10260">
      <c r="A10260" s="3" t="s">
        <v>25616</v>
      </c>
      <c r="B10260" s="3" t="s">
        <v>9183</v>
      </c>
      <c r="C10260" s="5" t="s">
        <v>614</v>
      </c>
      <c r="D10260" s="3" t="s">
        <v>206</v>
      </c>
      <c r="E10260" s="3" t="s">
        <v>100</v>
      </c>
      <c r="F10260" s="7">
        <v>45946.863591596135</v>
      </c>
      <c r="G10260" s="3" t="s">
        <v>25617</v>
      </c>
    </row>
    <row r="10261">
      <c r="A10261" s="3" t="s">
        <v>25618</v>
      </c>
      <c r="B10261" s="3" t="s">
        <v>9183</v>
      </c>
      <c r="C10261" s="5" t="s">
        <v>206</v>
      </c>
      <c r="D10261" s="3" t="s">
        <v>68</v>
      </c>
      <c r="E10261" s="3" t="s">
        <v>100</v>
      </c>
      <c r="F10261" s="7">
        <v>45946.867063818354</v>
      </c>
      <c r="G10261" s="3" t="s">
        <v>25619</v>
      </c>
    </row>
    <row r="10262">
      <c r="A10262" s="3" t="s">
        <v>25620</v>
      </c>
      <c r="B10262" s="3" t="s">
        <v>9185</v>
      </c>
      <c r="C10262" s="5" t="s">
        <v>45</v>
      </c>
      <c r="D10262" s="3" t="s">
        <v>221</v>
      </c>
      <c r="E10262" s="3" t="s">
        <v>356</v>
      </c>
      <c r="F10262" s="7">
        <v>45946.9278219971</v>
      </c>
      <c r="G10262" s="3" t="s">
        <v>23923</v>
      </c>
    </row>
    <row r="10263">
      <c r="A10263" s="3" t="s">
        <v>25621</v>
      </c>
      <c r="B10263" s="3" t="s">
        <v>9185</v>
      </c>
      <c r="C10263" s="5" t="s">
        <v>221</v>
      </c>
      <c r="D10263" s="3" t="s">
        <v>614</v>
      </c>
      <c r="E10263" s="3" t="s">
        <v>118</v>
      </c>
      <c r="F10263" s="7">
        <v>45946.93129421932</v>
      </c>
      <c r="G10263" s="3" t="s">
        <v>25622</v>
      </c>
    </row>
    <row r="10264">
      <c r="A10264" s="3" t="s">
        <v>25623</v>
      </c>
      <c r="B10264" s="3" t="s">
        <v>9185</v>
      </c>
      <c r="C10264" s="5" t="s">
        <v>614</v>
      </c>
      <c r="D10264" s="3" t="s">
        <v>206</v>
      </c>
      <c r="E10264" s="3" t="s">
        <v>100</v>
      </c>
      <c r="F10264" s="7">
        <v>45946.93476644155</v>
      </c>
      <c r="G10264" s="3" t="s">
        <v>25624</v>
      </c>
    </row>
    <row r="10265">
      <c r="A10265" s="3" t="s">
        <v>25625</v>
      </c>
      <c r="B10265" s="3" t="s">
        <v>9185</v>
      </c>
      <c r="C10265" s="5" t="s">
        <v>206</v>
      </c>
      <c r="D10265" s="3" t="s">
        <v>68</v>
      </c>
      <c r="E10265" s="3" t="s">
        <v>100</v>
      </c>
      <c r="F10265" s="7">
        <v>45946.938238663766</v>
      </c>
      <c r="G10265" s="3" t="s">
        <v>25626</v>
      </c>
    </row>
    <row r="10266">
      <c r="A10266" s="3" t="s">
        <v>25627</v>
      </c>
      <c r="B10266" s="3" t="s">
        <v>9187</v>
      </c>
      <c r="C10266" s="5" t="s">
        <v>45</v>
      </c>
      <c r="D10266" s="3" t="s">
        <v>221</v>
      </c>
      <c r="E10266" s="3" t="s">
        <v>282</v>
      </c>
      <c r="F10266" s="7">
        <v>45946.998996842514</v>
      </c>
      <c r="G10266" s="3" t="s">
        <v>9437</v>
      </c>
    </row>
    <row r="10267">
      <c r="A10267" s="3" t="s">
        <v>25628</v>
      </c>
      <c r="B10267" s="3" t="s">
        <v>9187</v>
      </c>
      <c r="C10267" s="5" t="s">
        <v>221</v>
      </c>
      <c r="D10267" s="3" t="s">
        <v>614</v>
      </c>
      <c r="E10267" s="3" t="s">
        <v>118</v>
      </c>
      <c r="F10267" s="7">
        <v>45947.00246906473</v>
      </c>
      <c r="G10267" s="3" t="s">
        <v>9440</v>
      </c>
    </row>
    <row r="10268">
      <c r="A10268" s="3" t="s">
        <v>25629</v>
      </c>
      <c r="B10268" s="3" t="s">
        <v>9187</v>
      </c>
      <c r="C10268" s="5" t="s">
        <v>614</v>
      </c>
      <c r="D10268" s="3" t="s">
        <v>206</v>
      </c>
      <c r="E10268" s="3" t="s">
        <v>100</v>
      </c>
      <c r="F10268" s="7">
        <v>45947.00594128696</v>
      </c>
      <c r="G10268" s="3" t="s">
        <v>9442</v>
      </c>
    </row>
    <row r="10269">
      <c r="A10269" s="3" t="s">
        <v>25630</v>
      </c>
      <c r="B10269" s="3" t="s">
        <v>9187</v>
      </c>
      <c r="C10269" s="5" t="s">
        <v>206</v>
      </c>
      <c r="D10269" s="3" t="s">
        <v>68</v>
      </c>
      <c r="E10269" s="3" t="s">
        <v>100</v>
      </c>
      <c r="F10269" s="7">
        <v>45947.00941350918</v>
      </c>
      <c r="G10269" s="3" t="s">
        <v>9445</v>
      </c>
    </row>
    <row r="10270">
      <c r="A10270" s="3" t="s">
        <v>25631</v>
      </c>
      <c r="B10270" s="3" t="s">
        <v>9190</v>
      </c>
      <c r="C10270" s="5" t="s">
        <v>45</v>
      </c>
      <c r="D10270" s="3" t="s">
        <v>221</v>
      </c>
      <c r="E10270" s="3" t="s">
        <v>565</v>
      </c>
      <c r="F10270" s="7">
        <v>45947.070171687934</v>
      </c>
      <c r="G10270" s="3" t="s">
        <v>25632</v>
      </c>
    </row>
    <row r="10271">
      <c r="A10271" s="3" t="s">
        <v>25633</v>
      </c>
      <c r="B10271" s="3" t="s">
        <v>9190</v>
      </c>
      <c r="C10271" s="5" t="s">
        <v>221</v>
      </c>
      <c r="D10271" s="3" t="s">
        <v>614</v>
      </c>
      <c r="E10271" s="3" t="s">
        <v>118</v>
      </c>
      <c r="F10271" s="7">
        <v>45947.07364391015</v>
      </c>
      <c r="G10271" s="3" t="s">
        <v>25634</v>
      </c>
    </row>
    <row r="10272">
      <c r="A10272" s="3" t="s">
        <v>25635</v>
      </c>
      <c r="B10272" s="3" t="s">
        <v>9190</v>
      </c>
      <c r="C10272" s="5" t="s">
        <v>614</v>
      </c>
      <c r="D10272" s="3" t="s">
        <v>206</v>
      </c>
      <c r="E10272" s="3" t="s">
        <v>100</v>
      </c>
      <c r="F10272" s="7">
        <v>45947.07711613238</v>
      </c>
      <c r="G10272" s="3" t="s">
        <v>25636</v>
      </c>
    </row>
    <row r="10273">
      <c r="A10273" s="3" t="s">
        <v>25637</v>
      </c>
      <c r="B10273" s="3" t="s">
        <v>9190</v>
      </c>
      <c r="C10273" s="5" t="s">
        <v>206</v>
      </c>
      <c r="D10273" s="3" t="s">
        <v>68</v>
      </c>
      <c r="E10273" s="3" t="s">
        <v>100</v>
      </c>
      <c r="F10273" s="7">
        <v>45947.0805883546</v>
      </c>
      <c r="G10273" s="3" t="s">
        <v>25638</v>
      </c>
    </row>
    <row r="10274">
      <c r="A10274" s="3" t="s">
        <v>25639</v>
      </c>
      <c r="B10274" s="3" t="s">
        <v>9193</v>
      </c>
      <c r="C10274" s="5" t="s">
        <v>45</v>
      </c>
      <c r="D10274" s="3" t="s">
        <v>221</v>
      </c>
      <c r="E10274" s="3" t="s">
        <v>391</v>
      </c>
      <c r="F10274" s="7">
        <v>45947.141346533346</v>
      </c>
      <c r="G10274" s="3" t="s">
        <v>9770</v>
      </c>
    </row>
    <row r="10275">
      <c r="A10275" s="3" t="s">
        <v>25640</v>
      </c>
      <c r="B10275" s="3" t="s">
        <v>9193</v>
      </c>
      <c r="C10275" s="5" t="s">
        <v>221</v>
      </c>
      <c r="D10275" s="3" t="s">
        <v>614</v>
      </c>
      <c r="E10275" s="3" t="s">
        <v>118</v>
      </c>
      <c r="F10275" s="7">
        <v>45947.144818755565</v>
      </c>
      <c r="G10275" s="3" t="s">
        <v>9773</v>
      </c>
    </row>
    <row r="10276">
      <c r="A10276" s="3" t="s">
        <v>25641</v>
      </c>
      <c r="B10276" s="3" t="s">
        <v>9193</v>
      </c>
      <c r="C10276" s="5" t="s">
        <v>614</v>
      </c>
      <c r="D10276" s="3" t="s">
        <v>206</v>
      </c>
      <c r="E10276" s="3" t="s">
        <v>100</v>
      </c>
      <c r="F10276" s="7">
        <v>45947.14829097779</v>
      </c>
      <c r="G10276" s="3" t="s">
        <v>9776</v>
      </c>
    </row>
    <row r="10277">
      <c r="A10277" s="3" t="s">
        <v>25642</v>
      </c>
      <c r="B10277" s="3" t="s">
        <v>9193</v>
      </c>
      <c r="C10277" s="5" t="s">
        <v>206</v>
      </c>
      <c r="D10277" s="3" t="s">
        <v>68</v>
      </c>
      <c r="E10277" s="3" t="s">
        <v>100</v>
      </c>
      <c r="F10277" s="7">
        <v>45947.15176320001</v>
      </c>
      <c r="G10277" s="3" t="s">
        <v>9779</v>
      </c>
    </row>
    <row r="10278">
      <c r="A10278" s="3" t="s">
        <v>25643</v>
      </c>
      <c r="B10278" s="3" t="s">
        <v>9198</v>
      </c>
      <c r="C10278" s="5" t="s">
        <v>45</v>
      </c>
      <c r="D10278" s="3" t="s">
        <v>221</v>
      </c>
      <c r="E10278" s="3" t="s">
        <v>665</v>
      </c>
      <c r="F10278" s="7">
        <v>45947.212521378766</v>
      </c>
      <c r="G10278" s="3" t="s">
        <v>9796</v>
      </c>
    </row>
    <row r="10279">
      <c r="A10279" s="3" t="s">
        <v>25644</v>
      </c>
      <c r="B10279" s="3" t="s">
        <v>9198</v>
      </c>
      <c r="C10279" s="5" t="s">
        <v>221</v>
      </c>
      <c r="D10279" s="3" t="s">
        <v>614</v>
      </c>
      <c r="E10279" s="3" t="s">
        <v>118</v>
      </c>
      <c r="F10279" s="7">
        <v>45947.215993600985</v>
      </c>
      <c r="G10279" s="3" t="s">
        <v>9800</v>
      </c>
    </row>
    <row r="10280">
      <c r="A10280" s="3" t="s">
        <v>25645</v>
      </c>
      <c r="B10280" s="3" t="s">
        <v>9198</v>
      </c>
      <c r="C10280" s="5" t="s">
        <v>614</v>
      </c>
      <c r="D10280" s="3" t="s">
        <v>206</v>
      </c>
      <c r="E10280" s="3" t="s">
        <v>100</v>
      </c>
      <c r="F10280" s="7">
        <v>45947.21946582321</v>
      </c>
      <c r="G10280" s="3" t="s">
        <v>9803</v>
      </c>
    </row>
    <row r="10281">
      <c r="A10281" s="3" t="s">
        <v>25646</v>
      </c>
      <c r="B10281" s="3" t="s">
        <v>9198</v>
      </c>
      <c r="C10281" s="5" t="s">
        <v>206</v>
      </c>
      <c r="D10281" s="3" t="s">
        <v>68</v>
      </c>
      <c r="E10281" s="3" t="s">
        <v>100</v>
      </c>
      <c r="F10281" s="7">
        <v>45947.22293804543</v>
      </c>
      <c r="G10281" s="3" t="s">
        <v>9806</v>
      </c>
    </row>
    <row r="10282">
      <c r="A10282" s="3" t="s">
        <v>25647</v>
      </c>
      <c r="B10282" s="3" t="s">
        <v>9201</v>
      </c>
      <c r="C10282" s="5" t="s">
        <v>45</v>
      </c>
      <c r="D10282" s="3" t="s">
        <v>221</v>
      </c>
      <c r="E10282" s="3" t="s">
        <v>356</v>
      </c>
      <c r="F10282" s="7">
        <v>45947.28369622418</v>
      </c>
      <c r="G10282" s="3" t="s">
        <v>9843</v>
      </c>
    </row>
    <row r="10283">
      <c r="A10283" s="3" t="s">
        <v>25648</v>
      </c>
      <c r="B10283" s="3" t="s">
        <v>9201</v>
      </c>
      <c r="C10283" s="5" t="s">
        <v>221</v>
      </c>
      <c r="D10283" s="3" t="s">
        <v>614</v>
      </c>
      <c r="E10283" s="3" t="s">
        <v>118</v>
      </c>
      <c r="F10283" s="7">
        <v>45947.2871684464</v>
      </c>
      <c r="G10283" s="3" t="s">
        <v>9846</v>
      </c>
    </row>
    <row r="10284">
      <c r="A10284" s="3" t="s">
        <v>25649</v>
      </c>
      <c r="B10284" s="3" t="s">
        <v>9201</v>
      </c>
      <c r="C10284" s="5" t="s">
        <v>614</v>
      </c>
      <c r="D10284" s="3" t="s">
        <v>206</v>
      </c>
      <c r="E10284" s="3" t="s">
        <v>100</v>
      </c>
      <c r="F10284" s="7">
        <v>45947.29064066862</v>
      </c>
      <c r="G10284" s="3" t="s">
        <v>9849</v>
      </c>
    </row>
    <row r="10285">
      <c r="A10285" s="3" t="s">
        <v>25650</v>
      </c>
      <c r="B10285" s="3" t="s">
        <v>9201</v>
      </c>
      <c r="C10285" s="5" t="s">
        <v>206</v>
      </c>
      <c r="D10285" s="3" t="s">
        <v>68</v>
      </c>
      <c r="E10285" s="3" t="s">
        <v>100</v>
      </c>
      <c r="F10285" s="7">
        <v>45947.29411289084</v>
      </c>
      <c r="G10285" s="3" t="s">
        <v>9853</v>
      </c>
    </row>
    <row r="10286">
      <c r="A10286" s="3" t="s">
        <v>25651</v>
      </c>
      <c r="B10286" s="3" t="s">
        <v>9204</v>
      </c>
      <c r="C10286" s="5" t="s">
        <v>45</v>
      </c>
      <c r="D10286" s="3" t="s">
        <v>221</v>
      </c>
      <c r="E10286" s="3" t="s">
        <v>953</v>
      </c>
      <c r="F10286" s="7">
        <v>45947.3548710696</v>
      </c>
      <c r="G10286" s="3" t="s">
        <v>9883</v>
      </c>
    </row>
    <row r="10287">
      <c r="A10287" s="3" t="s">
        <v>25652</v>
      </c>
      <c r="B10287" s="3" t="s">
        <v>9204</v>
      </c>
      <c r="C10287" s="5" t="s">
        <v>221</v>
      </c>
      <c r="D10287" s="3" t="s">
        <v>614</v>
      </c>
      <c r="E10287" s="3" t="s">
        <v>118</v>
      </c>
      <c r="F10287" s="7">
        <v>45947.35834329182</v>
      </c>
      <c r="G10287" s="3" t="s">
        <v>9886</v>
      </c>
    </row>
    <row r="10288">
      <c r="A10288" s="3" t="s">
        <v>25653</v>
      </c>
      <c r="B10288" s="3" t="s">
        <v>9204</v>
      </c>
      <c r="C10288" s="5" t="s">
        <v>614</v>
      </c>
      <c r="D10288" s="3" t="s">
        <v>206</v>
      </c>
      <c r="E10288" s="3" t="s">
        <v>100</v>
      </c>
      <c r="F10288" s="7">
        <v>45947.36181551404</v>
      </c>
      <c r="G10288" s="3" t="s">
        <v>9890</v>
      </c>
    </row>
    <row r="10289">
      <c r="A10289" s="3" t="s">
        <v>25654</v>
      </c>
      <c r="B10289" s="3" t="s">
        <v>9204</v>
      </c>
      <c r="C10289" s="5" t="s">
        <v>206</v>
      </c>
      <c r="D10289" s="3" t="s">
        <v>68</v>
      </c>
      <c r="E10289" s="3" t="s">
        <v>100</v>
      </c>
      <c r="F10289" s="7">
        <v>45947.36528773626</v>
      </c>
      <c r="G10289" s="3" t="s">
        <v>9893</v>
      </c>
    </row>
    <row r="10290">
      <c r="A10290" s="3" t="s">
        <v>25655</v>
      </c>
      <c r="B10290" s="3" t="s">
        <v>9207</v>
      </c>
      <c r="C10290" s="5" t="s">
        <v>45</v>
      </c>
      <c r="D10290" s="3" t="s">
        <v>221</v>
      </c>
      <c r="E10290" s="3" t="s">
        <v>796</v>
      </c>
      <c r="F10290" s="7">
        <v>45947.426045915</v>
      </c>
      <c r="G10290" s="3" t="s">
        <v>8315</v>
      </c>
    </row>
    <row r="10291">
      <c r="A10291" s="3" t="s">
        <v>25656</v>
      </c>
      <c r="B10291" s="3" t="s">
        <v>9207</v>
      </c>
      <c r="C10291" s="5" t="s">
        <v>221</v>
      </c>
      <c r="D10291" s="3" t="s">
        <v>614</v>
      </c>
      <c r="E10291" s="3" t="s">
        <v>118</v>
      </c>
      <c r="F10291" s="7">
        <v>45947.42951813722</v>
      </c>
      <c r="G10291" s="3" t="s">
        <v>8318</v>
      </c>
    </row>
    <row r="10292">
      <c r="A10292" s="3" t="s">
        <v>25657</v>
      </c>
      <c r="B10292" s="3" t="s">
        <v>9207</v>
      </c>
      <c r="C10292" s="5" t="s">
        <v>614</v>
      </c>
      <c r="D10292" s="3" t="s">
        <v>206</v>
      </c>
      <c r="E10292" s="3" t="s">
        <v>100</v>
      </c>
      <c r="F10292" s="7">
        <v>45947.43299035945</v>
      </c>
      <c r="G10292" s="3" t="s">
        <v>8321</v>
      </c>
    </row>
    <row r="10293">
      <c r="A10293" s="3" t="s">
        <v>25658</v>
      </c>
      <c r="B10293" s="3" t="s">
        <v>9207</v>
      </c>
      <c r="C10293" s="5" t="s">
        <v>206</v>
      </c>
      <c r="D10293" s="3" t="s">
        <v>68</v>
      </c>
      <c r="E10293" s="3" t="s">
        <v>100</v>
      </c>
      <c r="F10293" s="7">
        <v>45947.43646258167</v>
      </c>
      <c r="G10293" s="3" t="s">
        <v>8324</v>
      </c>
    </row>
    <row r="10294">
      <c r="A10294" s="3" t="s">
        <v>25659</v>
      </c>
      <c r="B10294" s="3" t="s">
        <v>9210</v>
      </c>
      <c r="C10294" s="5" t="s">
        <v>45</v>
      </c>
      <c r="D10294" s="3" t="s">
        <v>221</v>
      </c>
      <c r="E10294" s="3" t="s">
        <v>731</v>
      </c>
      <c r="F10294" s="7">
        <v>45947.49722076042</v>
      </c>
      <c r="G10294" s="3" t="s">
        <v>25660</v>
      </c>
    </row>
    <row r="10295">
      <c r="A10295" s="3" t="s">
        <v>25661</v>
      </c>
      <c r="B10295" s="3" t="s">
        <v>9210</v>
      </c>
      <c r="C10295" s="5" t="s">
        <v>221</v>
      </c>
      <c r="D10295" s="3" t="s">
        <v>614</v>
      </c>
      <c r="E10295" s="3" t="s">
        <v>118</v>
      </c>
      <c r="F10295" s="7">
        <v>45947.50069298264</v>
      </c>
      <c r="G10295" s="3" t="s">
        <v>25662</v>
      </c>
    </row>
    <row r="10296">
      <c r="A10296" s="3" t="s">
        <v>25663</v>
      </c>
      <c r="B10296" s="3" t="s">
        <v>9210</v>
      </c>
      <c r="C10296" s="5" t="s">
        <v>614</v>
      </c>
      <c r="D10296" s="3" t="s">
        <v>206</v>
      </c>
      <c r="E10296" s="3" t="s">
        <v>100</v>
      </c>
      <c r="F10296" s="7">
        <v>45947.50416520487</v>
      </c>
      <c r="G10296" s="3" t="s">
        <v>25664</v>
      </c>
    </row>
    <row r="10297">
      <c r="A10297" s="3" t="s">
        <v>25665</v>
      </c>
      <c r="B10297" s="3" t="s">
        <v>9210</v>
      </c>
      <c r="C10297" s="5" t="s">
        <v>206</v>
      </c>
      <c r="D10297" s="3" t="s">
        <v>68</v>
      </c>
      <c r="E10297" s="3" t="s">
        <v>100</v>
      </c>
      <c r="F10297" s="7">
        <v>45947.50763742709</v>
      </c>
      <c r="G10297" s="3" t="s">
        <v>25666</v>
      </c>
    </row>
    <row r="10298">
      <c r="A10298" s="3" t="s">
        <v>25667</v>
      </c>
      <c r="B10298" s="3" t="s">
        <v>9215</v>
      </c>
      <c r="C10298" s="5" t="s">
        <v>45</v>
      </c>
      <c r="D10298" s="3" t="s">
        <v>221</v>
      </c>
      <c r="E10298" s="3" t="s">
        <v>575</v>
      </c>
      <c r="F10298" s="7">
        <v>45947.56839560584</v>
      </c>
      <c r="G10298" s="3" t="s">
        <v>22641</v>
      </c>
    </row>
    <row r="10299">
      <c r="A10299" s="3" t="s">
        <v>25668</v>
      </c>
      <c r="B10299" s="3" t="s">
        <v>9215</v>
      </c>
      <c r="C10299" s="5" t="s">
        <v>221</v>
      </c>
      <c r="D10299" s="3" t="s">
        <v>614</v>
      </c>
      <c r="E10299" s="3" t="s">
        <v>118</v>
      </c>
      <c r="F10299" s="7">
        <v>45947.57186782806</v>
      </c>
      <c r="G10299" s="3" t="s">
        <v>22644</v>
      </c>
    </row>
    <row r="10300">
      <c r="A10300" s="3" t="s">
        <v>25669</v>
      </c>
      <c r="B10300" s="3" t="s">
        <v>9215</v>
      </c>
      <c r="C10300" s="5" t="s">
        <v>614</v>
      </c>
      <c r="D10300" s="3" t="s">
        <v>206</v>
      </c>
      <c r="E10300" s="3" t="s">
        <v>100</v>
      </c>
      <c r="F10300" s="7">
        <v>45947.57534005029</v>
      </c>
      <c r="G10300" s="3" t="s">
        <v>22647</v>
      </c>
    </row>
    <row r="10301">
      <c r="A10301" s="3" t="s">
        <v>25670</v>
      </c>
      <c r="B10301" s="3" t="s">
        <v>9215</v>
      </c>
      <c r="C10301" s="5" t="s">
        <v>206</v>
      </c>
      <c r="D10301" s="3" t="s">
        <v>68</v>
      </c>
      <c r="E10301" s="3" t="s">
        <v>100</v>
      </c>
      <c r="F10301" s="7">
        <v>45947.578812272506</v>
      </c>
      <c r="G10301" s="3" t="s">
        <v>22650</v>
      </c>
    </row>
    <row r="10302">
      <c r="A10302" s="3" t="s">
        <v>25671</v>
      </c>
      <c r="B10302" s="3" t="s">
        <v>9218</v>
      </c>
      <c r="C10302" s="5" t="s">
        <v>45</v>
      </c>
      <c r="D10302" s="3" t="s">
        <v>221</v>
      </c>
      <c r="E10302" s="3" t="s">
        <v>442</v>
      </c>
      <c r="F10302" s="7">
        <v>45947.639570451254</v>
      </c>
      <c r="G10302" s="3" t="s">
        <v>4054</v>
      </c>
    </row>
    <row r="10303">
      <c r="A10303" s="3" t="s">
        <v>25672</v>
      </c>
      <c r="B10303" s="3" t="s">
        <v>9218</v>
      </c>
      <c r="C10303" s="5" t="s">
        <v>221</v>
      </c>
      <c r="D10303" s="3" t="s">
        <v>614</v>
      </c>
      <c r="E10303" s="3" t="s">
        <v>118</v>
      </c>
      <c r="F10303" s="7">
        <v>45947.64304267347</v>
      </c>
      <c r="G10303" s="3" t="s">
        <v>4057</v>
      </c>
    </row>
    <row r="10304">
      <c r="A10304" s="3" t="s">
        <v>25673</v>
      </c>
      <c r="B10304" s="3" t="s">
        <v>9218</v>
      </c>
      <c r="C10304" s="5" t="s">
        <v>614</v>
      </c>
      <c r="D10304" s="3" t="s">
        <v>206</v>
      </c>
      <c r="E10304" s="3" t="s">
        <v>100</v>
      </c>
      <c r="F10304" s="7">
        <v>45947.6465148957</v>
      </c>
      <c r="G10304" s="3" t="s">
        <v>4060</v>
      </c>
    </row>
    <row r="10305">
      <c r="A10305" s="3" t="s">
        <v>25674</v>
      </c>
      <c r="B10305" s="3" t="s">
        <v>9218</v>
      </c>
      <c r="C10305" s="5" t="s">
        <v>206</v>
      </c>
      <c r="D10305" s="3" t="s">
        <v>68</v>
      </c>
      <c r="E10305" s="3" t="s">
        <v>100</v>
      </c>
      <c r="F10305" s="7">
        <v>45947.64998711792</v>
      </c>
      <c r="G10305" s="3" t="s">
        <v>4063</v>
      </c>
    </row>
    <row r="10306">
      <c r="A10306" s="3" t="s">
        <v>25675</v>
      </c>
      <c r="B10306" s="3" t="s">
        <v>9221</v>
      </c>
      <c r="C10306" s="5" t="s">
        <v>45</v>
      </c>
      <c r="D10306" s="3" t="s">
        <v>221</v>
      </c>
      <c r="E10306" s="3" t="s">
        <v>1021</v>
      </c>
      <c r="F10306" s="7">
        <v>45947.71074529667</v>
      </c>
      <c r="G10306" s="3" t="s">
        <v>10645</v>
      </c>
    </row>
    <row r="10307">
      <c r="A10307" s="3" t="s">
        <v>25676</v>
      </c>
      <c r="B10307" s="3" t="s">
        <v>9221</v>
      </c>
      <c r="C10307" s="5" t="s">
        <v>221</v>
      </c>
      <c r="D10307" s="3" t="s">
        <v>614</v>
      </c>
      <c r="E10307" s="3" t="s">
        <v>118</v>
      </c>
      <c r="F10307" s="7">
        <v>45947.714217518886</v>
      </c>
      <c r="G10307" s="3" t="s">
        <v>10648</v>
      </c>
    </row>
    <row r="10308">
      <c r="A10308" s="3" t="s">
        <v>25677</v>
      </c>
      <c r="B10308" s="3" t="s">
        <v>9221</v>
      </c>
      <c r="C10308" s="5" t="s">
        <v>614</v>
      </c>
      <c r="D10308" s="3" t="s">
        <v>206</v>
      </c>
      <c r="E10308" s="3" t="s">
        <v>100</v>
      </c>
      <c r="F10308" s="7">
        <v>45947.71768974111</v>
      </c>
      <c r="G10308" s="3" t="s">
        <v>10651</v>
      </c>
    </row>
    <row r="10309">
      <c r="A10309" s="3" t="s">
        <v>25678</v>
      </c>
      <c r="B10309" s="3" t="s">
        <v>9221</v>
      </c>
      <c r="C10309" s="5" t="s">
        <v>206</v>
      </c>
      <c r="D10309" s="3" t="s">
        <v>68</v>
      </c>
      <c r="E10309" s="3" t="s">
        <v>100</v>
      </c>
      <c r="F10309" s="7">
        <v>45947.72116196333</v>
      </c>
      <c r="G10309" s="3" t="s">
        <v>10653</v>
      </c>
    </row>
    <row r="10310">
      <c r="A10310" s="3" t="s">
        <v>25679</v>
      </c>
      <c r="B10310" s="3" t="s">
        <v>9223</v>
      </c>
      <c r="C10310" s="5" t="s">
        <v>45</v>
      </c>
      <c r="D10310" s="3" t="s">
        <v>221</v>
      </c>
      <c r="E10310" s="3" t="s">
        <v>239</v>
      </c>
      <c r="F10310" s="7">
        <v>45947.781920142086</v>
      </c>
      <c r="G10310" s="3" t="s">
        <v>25680</v>
      </c>
    </row>
    <row r="10311">
      <c r="A10311" s="3" t="s">
        <v>25681</v>
      </c>
      <c r="B10311" s="3" t="s">
        <v>9223</v>
      </c>
      <c r="C10311" s="5" t="s">
        <v>221</v>
      </c>
      <c r="D10311" s="3" t="s">
        <v>614</v>
      </c>
      <c r="E10311" s="3" t="s">
        <v>118</v>
      </c>
      <c r="F10311" s="7">
        <v>45947.785392364305</v>
      </c>
      <c r="G10311" s="3" t="s">
        <v>25682</v>
      </c>
    </row>
    <row r="10312">
      <c r="A10312" s="3" t="s">
        <v>25683</v>
      </c>
      <c r="B10312" s="3" t="s">
        <v>9223</v>
      </c>
      <c r="C10312" s="5" t="s">
        <v>614</v>
      </c>
      <c r="D10312" s="3" t="s">
        <v>206</v>
      </c>
      <c r="E10312" s="3" t="s">
        <v>100</v>
      </c>
      <c r="F10312" s="7">
        <v>45947.78886458653</v>
      </c>
      <c r="G10312" s="3" t="s">
        <v>25684</v>
      </c>
    </row>
    <row r="10313">
      <c r="A10313" s="3" t="s">
        <v>25685</v>
      </c>
      <c r="B10313" s="3" t="s">
        <v>9223</v>
      </c>
      <c r="C10313" s="5" t="s">
        <v>206</v>
      </c>
      <c r="D10313" s="3" t="s">
        <v>68</v>
      </c>
      <c r="E10313" s="3" t="s">
        <v>100</v>
      </c>
      <c r="F10313" s="7">
        <v>45947.79233680875</v>
      </c>
      <c r="G10313" s="3" t="s">
        <v>25686</v>
      </c>
    </row>
    <row r="10314">
      <c r="A10314" s="3" t="s">
        <v>25687</v>
      </c>
      <c r="B10314" s="3" t="s">
        <v>9226</v>
      </c>
      <c r="C10314" s="5" t="s">
        <v>45</v>
      </c>
      <c r="D10314" s="3" t="s">
        <v>221</v>
      </c>
      <c r="E10314" s="3" t="s">
        <v>778</v>
      </c>
      <c r="F10314" s="7">
        <v>45947.8530949875</v>
      </c>
      <c r="G10314" s="3" t="s">
        <v>9915</v>
      </c>
    </row>
    <row r="10315">
      <c r="A10315" s="3" t="s">
        <v>25688</v>
      </c>
      <c r="B10315" s="3" t="s">
        <v>9226</v>
      </c>
      <c r="C10315" s="5" t="s">
        <v>221</v>
      </c>
      <c r="D10315" s="3" t="s">
        <v>614</v>
      </c>
      <c r="E10315" s="3" t="s">
        <v>118</v>
      </c>
      <c r="F10315" s="7">
        <v>45947.85656720972</v>
      </c>
      <c r="G10315" s="3" t="s">
        <v>9919</v>
      </c>
    </row>
    <row r="10316">
      <c r="A10316" s="3" t="s">
        <v>25689</v>
      </c>
      <c r="B10316" s="3" t="s">
        <v>9226</v>
      </c>
      <c r="C10316" s="5" t="s">
        <v>614</v>
      </c>
      <c r="D10316" s="3" t="s">
        <v>206</v>
      </c>
      <c r="E10316" s="3" t="s">
        <v>100</v>
      </c>
      <c r="F10316" s="7">
        <v>45947.860039431944</v>
      </c>
      <c r="G10316" s="3" t="s">
        <v>9922</v>
      </c>
    </row>
    <row r="10317">
      <c r="A10317" s="3" t="s">
        <v>25690</v>
      </c>
      <c r="B10317" s="3" t="s">
        <v>9226</v>
      </c>
      <c r="C10317" s="5" t="s">
        <v>206</v>
      </c>
      <c r="D10317" s="3" t="s">
        <v>68</v>
      </c>
      <c r="E10317" s="3" t="s">
        <v>100</v>
      </c>
      <c r="F10317" s="7">
        <v>45947.86351165416</v>
      </c>
      <c r="G10317" s="3" t="s">
        <v>9925</v>
      </c>
    </row>
    <row r="10318">
      <c r="A10318" s="3" t="s">
        <v>25691</v>
      </c>
      <c r="B10318" s="3" t="s">
        <v>9228</v>
      </c>
      <c r="C10318" s="5" t="s">
        <v>45</v>
      </c>
      <c r="D10318" s="3" t="s">
        <v>221</v>
      </c>
      <c r="E10318" s="3" t="s">
        <v>519</v>
      </c>
      <c r="F10318" s="7">
        <v>45947.92426983291</v>
      </c>
      <c r="G10318" s="3" t="s">
        <v>7459</v>
      </c>
    </row>
    <row r="10319">
      <c r="A10319" s="3" t="s">
        <v>25692</v>
      </c>
      <c r="B10319" s="3" t="s">
        <v>9228</v>
      </c>
      <c r="C10319" s="5" t="s">
        <v>221</v>
      </c>
      <c r="D10319" s="3" t="s">
        <v>614</v>
      </c>
      <c r="E10319" s="3" t="s">
        <v>118</v>
      </c>
      <c r="F10319" s="7">
        <v>45947.92774205513</v>
      </c>
      <c r="G10319" s="3" t="s">
        <v>14771</v>
      </c>
    </row>
    <row r="10320">
      <c r="A10320" s="3" t="s">
        <v>25693</v>
      </c>
      <c r="B10320" s="3" t="s">
        <v>9228</v>
      </c>
      <c r="C10320" s="5" t="s">
        <v>614</v>
      </c>
      <c r="D10320" s="3" t="s">
        <v>206</v>
      </c>
      <c r="E10320" s="3" t="s">
        <v>100</v>
      </c>
      <c r="F10320" s="7">
        <v>45947.931214277356</v>
      </c>
      <c r="G10320" s="3" t="s">
        <v>14773</v>
      </c>
    </row>
    <row r="10321">
      <c r="A10321" s="3" t="s">
        <v>25694</v>
      </c>
      <c r="B10321" s="3" t="s">
        <v>9228</v>
      </c>
      <c r="C10321" s="5" t="s">
        <v>206</v>
      </c>
      <c r="D10321" s="3" t="s">
        <v>68</v>
      </c>
      <c r="E10321" s="3" t="s">
        <v>100</v>
      </c>
      <c r="F10321" s="7">
        <v>45947.934686499575</v>
      </c>
      <c r="G10321" s="3" t="s">
        <v>14776</v>
      </c>
    </row>
    <row r="10322">
      <c r="A10322" s="3" t="s">
        <v>25695</v>
      </c>
      <c r="B10322" s="3" t="s">
        <v>9230</v>
      </c>
      <c r="C10322" s="5" t="s">
        <v>45</v>
      </c>
      <c r="D10322" s="3" t="s">
        <v>221</v>
      </c>
      <c r="E10322" s="3" t="s">
        <v>510</v>
      </c>
      <c r="F10322" s="7">
        <v>45947.99544467833</v>
      </c>
      <c r="G10322" s="3" t="s">
        <v>13189</v>
      </c>
    </row>
    <row r="10323">
      <c r="A10323" s="3" t="s">
        <v>25696</v>
      </c>
      <c r="B10323" s="3" t="s">
        <v>9230</v>
      </c>
      <c r="C10323" s="5" t="s">
        <v>221</v>
      </c>
      <c r="D10323" s="3" t="s">
        <v>614</v>
      </c>
      <c r="E10323" s="3" t="s">
        <v>118</v>
      </c>
      <c r="F10323" s="7">
        <v>45947.99891690055</v>
      </c>
      <c r="G10323" s="3" t="s">
        <v>13193</v>
      </c>
    </row>
    <row r="10324">
      <c r="A10324" s="3" t="s">
        <v>25697</v>
      </c>
      <c r="B10324" s="3" t="s">
        <v>9230</v>
      </c>
      <c r="C10324" s="5" t="s">
        <v>614</v>
      </c>
      <c r="D10324" s="3" t="s">
        <v>206</v>
      </c>
      <c r="E10324" s="3" t="s">
        <v>100</v>
      </c>
      <c r="F10324" s="7">
        <v>45948.002389122776</v>
      </c>
      <c r="G10324" s="3" t="s">
        <v>13197</v>
      </c>
    </row>
    <row r="10325">
      <c r="A10325" s="3" t="s">
        <v>25698</v>
      </c>
      <c r="B10325" s="3" t="s">
        <v>9230</v>
      </c>
      <c r="C10325" s="5" t="s">
        <v>206</v>
      </c>
      <c r="D10325" s="3" t="s">
        <v>68</v>
      </c>
      <c r="E10325" s="3" t="s">
        <v>100</v>
      </c>
      <c r="F10325" s="7">
        <v>45948.005861344995</v>
      </c>
      <c r="G10325" s="3" t="s">
        <v>13200</v>
      </c>
    </row>
    <row r="10326">
      <c r="A10326" s="3" t="s">
        <v>25699</v>
      </c>
      <c r="B10326" s="3" t="s">
        <v>9232</v>
      </c>
      <c r="C10326" s="5" t="s">
        <v>45</v>
      </c>
      <c r="D10326" s="3" t="s">
        <v>221</v>
      </c>
      <c r="E10326" s="3" t="s">
        <v>496</v>
      </c>
      <c r="F10326" s="7">
        <v>45948.06661952375</v>
      </c>
      <c r="G10326" s="3" t="s">
        <v>10119</v>
      </c>
    </row>
    <row r="10327">
      <c r="A10327" s="3" t="s">
        <v>25700</v>
      </c>
      <c r="B10327" s="3" t="s">
        <v>9232</v>
      </c>
      <c r="C10327" s="5" t="s">
        <v>221</v>
      </c>
      <c r="D10327" s="3" t="s">
        <v>614</v>
      </c>
      <c r="E10327" s="3" t="s">
        <v>118</v>
      </c>
      <c r="F10327" s="7">
        <v>45948.07009174597</v>
      </c>
      <c r="G10327" s="3" t="s">
        <v>10122</v>
      </c>
    </row>
    <row r="10328">
      <c r="A10328" s="3" t="s">
        <v>25701</v>
      </c>
      <c r="B10328" s="3" t="s">
        <v>9232</v>
      </c>
      <c r="C10328" s="5" t="s">
        <v>614</v>
      </c>
      <c r="D10328" s="3" t="s">
        <v>206</v>
      </c>
      <c r="E10328" s="3" t="s">
        <v>100</v>
      </c>
      <c r="F10328" s="7">
        <v>45948.073563968195</v>
      </c>
      <c r="G10328" s="3" t="s">
        <v>10125</v>
      </c>
    </row>
    <row r="10329">
      <c r="A10329" s="3" t="s">
        <v>25702</v>
      </c>
      <c r="B10329" s="3" t="s">
        <v>9232</v>
      </c>
      <c r="C10329" s="5" t="s">
        <v>206</v>
      </c>
      <c r="D10329" s="3" t="s">
        <v>68</v>
      </c>
      <c r="E10329" s="3" t="s">
        <v>100</v>
      </c>
      <c r="F10329" s="7">
        <v>45948.077036190414</v>
      </c>
      <c r="G10329" s="3" t="s">
        <v>10128</v>
      </c>
    </row>
    <row r="10330">
      <c r="A10330" s="3" t="s">
        <v>25703</v>
      </c>
      <c r="B10330" s="3" t="s">
        <v>9234</v>
      </c>
      <c r="C10330" s="5" t="s">
        <v>45</v>
      </c>
      <c r="D10330" s="3" t="s">
        <v>221</v>
      </c>
      <c r="E10330" s="3" t="s">
        <v>961</v>
      </c>
      <c r="F10330" s="7">
        <v>45948.137794369155</v>
      </c>
      <c r="G10330" s="3" t="s">
        <v>25704</v>
      </c>
    </row>
    <row r="10331">
      <c r="A10331" s="3" t="s">
        <v>25705</v>
      </c>
      <c r="B10331" s="3" t="s">
        <v>9234</v>
      </c>
      <c r="C10331" s="5" t="s">
        <v>221</v>
      </c>
      <c r="D10331" s="3" t="s">
        <v>614</v>
      </c>
      <c r="E10331" s="3" t="s">
        <v>118</v>
      </c>
      <c r="F10331" s="7">
        <v>45948.141266591374</v>
      </c>
      <c r="G10331" s="3" t="s">
        <v>25706</v>
      </c>
    </row>
    <row r="10332">
      <c r="A10332" s="3" t="s">
        <v>25707</v>
      </c>
      <c r="B10332" s="3" t="s">
        <v>9234</v>
      </c>
      <c r="C10332" s="5" t="s">
        <v>614</v>
      </c>
      <c r="D10332" s="3" t="s">
        <v>206</v>
      </c>
      <c r="E10332" s="3" t="s">
        <v>100</v>
      </c>
      <c r="F10332" s="7">
        <v>45948.1447388136</v>
      </c>
      <c r="G10332" s="3" t="s">
        <v>25708</v>
      </c>
    </row>
    <row r="10333">
      <c r="A10333" s="3" t="s">
        <v>25709</v>
      </c>
      <c r="B10333" s="3" t="s">
        <v>9234</v>
      </c>
      <c r="C10333" s="5" t="s">
        <v>206</v>
      </c>
      <c r="D10333" s="3" t="s">
        <v>68</v>
      </c>
      <c r="E10333" s="3" t="s">
        <v>100</v>
      </c>
      <c r="F10333" s="7">
        <v>45948.14821103582</v>
      </c>
      <c r="G10333" s="3" t="s">
        <v>25710</v>
      </c>
    </row>
    <row r="10334">
      <c r="A10334" s="3" t="s">
        <v>25711</v>
      </c>
      <c r="B10334" s="3" t="s">
        <v>9237</v>
      </c>
      <c r="C10334" s="5" t="s">
        <v>45</v>
      </c>
      <c r="D10334" s="3" t="s">
        <v>221</v>
      </c>
      <c r="E10334" s="3" t="s">
        <v>650</v>
      </c>
      <c r="F10334" s="7">
        <v>45948.208969214575</v>
      </c>
      <c r="G10334" s="3" t="s">
        <v>6556</v>
      </c>
    </row>
    <row r="10335">
      <c r="A10335" s="3" t="s">
        <v>25712</v>
      </c>
      <c r="B10335" s="3" t="s">
        <v>9237</v>
      </c>
      <c r="C10335" s="5" t="s">
        <v>221</v>
      </c>
      <c r="D10335" s="3" t="s">
        <v>614</v>
      </c>
      <c r="E10335" s="3" t="s">
        <v>118</v>
      </c>
      <c r="F10335" s="7">
        <v>45948.21244143679</v>
      </c>
      <c r="G10335" s="3" t="s">
        <v>6559</v>
      </c>
    </row>
    <row r="10336">
      <c r="A10336" s="3" t="s">
        <v>25713</v>
      </c>
      <c r="B10336" s="3" t="s">
        <v>9237</v>
      </c>
      <c r="C10336" s="5" t="s">
        <v>614</v>
      </c>
      <c r="D10336" s="3" t="s">
        <v>206</v>
      </c>
      <c r="E10336" s="3" t="s">
        <v>100</v>
      </c>
      <c r="F10336" s="7">
        <v>45948.21591365902</v>
      </c>
      <c r="G10336" s="3" t="s">
        <v>6562</v>
      </c>
    </row>
    <row r="10337">
      <c r="A10337" s="3" t="s">
        <v>25714</v>
      </c>
      <c r="B10337" s="3" t="s">
        <v>9237</v>
      </c>
      <c r="C10337" s="5" t="s">
        <v>206</v>
      </c>
      <c r="D10337" s="3" t="s">
        <v>68</v>
      </c>
      <c r="E10337" s="3" t="s">
        <v>100</v>
      </c>
      <c r="F10337" s="7">
        <v>45948.21938588124</v>
      </c>
      <c r="G10337" s="3" t="s">
        <v>6565</v>
      </c>
    </row>
    <row r="10338">
      <c r="A10338" s="3" t="s">
        <v>25715</v>
      </c>
      <c r="B10338" s="3" t="s">
        <v>9240</v>
      </c>
      <c r="C10338" s="5" t="s">
        <v>45</v>
      </c>
      <c r="D10338" s="3" t="s">
        <v>221</v>
      </c>
      <c r="E10338" s="3" t="s">
        <v>713</v>
      </c>
      <c r="F10338" s="7">
        <v>45948.28014405999</v>
      </c>
      <c r="G10338" s="3" t="s">
        <v>9616</v>
      </c>
    </row>
    <row r="10339">
      <c r="A10339" s="3" t="s">
        <v>25716</v>
      </c>
      <c r="B10339" s="3" t="s">
        <v>9240</v>
      </c>
      <c r="C10339" s="5" t="s">
        <v>221</v>
      </c>
      <c r="D10339" s="3" t="s">
        <v>614</v>
      </c>
      <c r="E10339" s="3" t="s">
        <v>118</v>
      </c>
      <c r="F10339" s="7">
        <v>45948.283616282206</v>
      </c>
      <c r="G10339" s="3" t="s">
        <v>9619</v>
      </c>
    </row>
    <row r="10340">
      <c r="A10340" s="3" t="s">
        <v>25717</v>
      </c>
      <c r="B10340" s="3" t="s">
        <v>9240</v>
      </c>
      <c r="C10340" s="5" t="s">
        <v>614</v>
      </c>
      <c r="D10340" s="3" t="s">
        <v>206</v>
      </c>
      <c r="E10340" s="3" t="s">
        <v>100</v>
      </c>
      <c r="F10340" s="7">
        <v>45948.28708850443</v>
      </c>
      <c r="G10340" s="3" t="s">
        <v>9622</v>
      </c>
    </row>
    <row r="10341">
      <c r="A10341" s="3" t="s">
        <v>25718</v>
      </c>
      <c r="B10341" s="3" t="s">
        <v>9240</v>
      </c>
      <c r="C10341" s="5" t="s">
        <v>206</v>
      </c>
      <c r="D10341" s="3" t="s">
        <v>68</v>
      </c>
      <c r="E10341" s="3" t="s">
        <v>100</v>
      </c>
      <c r="F10341" s="7">
        <v>45948.29056072665</v>
      </c>
      <c r="G10341" s="3" t="s">
        <v>9625</v>
      </c>
    </row>
    <row r="10342">
      <c r="A10342" s="3" t="s">
        <v>25719</v>
      </c>
      <c r="B10342" s="3" t="s">
        <v>9243</v>
      </c>
      <c r="C10342" s="5" t="s">
        <v>45</v>
      </c>
      <c r="D10342" s="3" t="s">
        <v>221</v>
      </c>
      <c r="E10342" s="3" t="s">
        <v>756</v>
      </c>
      <c r="F10342" s="7">
        <v>45948.35131890541</v>
      </c>
      <c r="G10342" s="3" t="s">
        <v>20397</v>
      </c>
    </row>
    <row r="10343">
      <c r="A10343" s="3" t="s">
        <v>25720</v>
      </c>
      <c r="B10343" s="3" t="s">
        <v>9243</v>
      </c>
      <c r="C10343" s="5" t="s">
        <v>221</v>
      </c>
      <c r="D10343" s="3" t="s">
        <v>614</v>
      </c>
      <c r="E10343" s="3" t="s">
        <v>118</v>
      </c>
      <c r="F10343" s="7">
        <v>45948.354791127626</v>
      </c>
      <c r="G10343" s="3" t="s">
        <v>20400</v>
      </c>
    </row>
    <row r="10344">
      <c r="A10344" s="3" t="s">
        <v>25721</v>
      </c>
      <c r="B10344" s="3" t="s">
        <v>9243</v>
      </c>
      <c r="C10344" s="5" t="s">
        <v>614</v>
      </c>
      <c r="D10344" s="3" t="s">
        <v>206</v>
      </c>
      <c r="E10344" s="3" t="s">
        <v>100</v>
      </c>
      <c r="F10344" s="7">
        <v>45948.35826334985</v>
      </c>
      <c r="G10344" s="3" t="s">
        <v>20402</v>
      </c>
    </row>
    <row r="10345">
      <c r="A10345" s="3" t="s">
        <v>25722</v>
      </c>
      <c r="B10345" s="3" t="s">
        <v>9243</v>
      </c>
      <c r="C10345" s="5" t="s">
        <v>206</v>
      </c>
      <c r="D10345" s="3" t="s">
        <v>68</v>
      </c>
      <c r="E10345" s="3" t="s">
        <v>100</v>
      </c>
      <c r="F10345" s="7">
        <v>45948.36173557207</v>
      </c>
      <c r="G10345" s="3" t="s">
        <v>20405</v>
      </c>
    </row>
    <row r="10346">
      <c r="A10346" s="3" t="s">
        <v>25723</v>
      </c>
      <c r="B10346" s="3" t="s">
        <v>9246</v>
      </c>
      <c r="C10346" s="5" t="s">
        <v>45</v>
      </c>
      <c r="D10346" s="3" t="s">
        <v>221</v>
      </c>
      <c r="E10346" s="3" t="s">
        <v>215</v>
      </c>
      <c r="F10346" s="7">
        <v>45948.42249375082</v>
      </c>
      <c r="G10346" s="3" t="s">
        <v>20858</v>
      </c>
    </row>
    <row r="10347">
      <c r="A10347" s="3" t="s">
        <v>25724</v>
      </c>
      <c r="B10347" s="3" t="s">
        <v>9246</v>
      </c>
      <c r="C10347" s="5" t="s">
        <v>221</v>
      </c>
      <c r="D10347" s="3" t="s">
        <v>614</v>
      </c>
      <c r="E10347" s="3" t="s">
        <v>118</v>
      </c>
      <c r="F10347" s="7">
        <v>45948.42596597304</v>
      </c>
      <c r="G10347" s="3" t="s">
        <v>21682</v>
      </c>
    </row>
    <row r="10348">
      <c r="A10348" s="3" t="s">
        <v>25725</v>
      </c>
      <c r="B10348" s="3" t="s">
        <v>9246</v>
      </c>
      <c r="C10348" s="5" t="s">
        <v>614</v>
      </c>
      <c r="D10348" s="3" t="s">
        <v>206</v>
      </c>
      <c r="E10348" s="3" t="s">
        <v>100</v>
      </c>
      <c r="F10348" s="7">
        <v>45948.429438195264</v>
      </c>
      <c r="G10348" s="3" t="s">
        <v>21685</v>
      </c>
    </row>
    <row r="10349">
      <c r="A10349" s="3" t="s">
        <v>25726</v>
      </c>
      <c r="B10349" s="3" t="s">
        <v>9246</v>
      </c>
      <c r="C10349" s="5" t="s">
        <v>206</v>
      </c>
      <c r="D10349" s="3" t="s">
        <v>68</v>
      </c>
      <c r="E10349" s="3" t="s">
        <v>100</v>
      </c>
      <c r="F10349" s="7">
        <v>45948.43291041748</v>
      </c>
      <c r="G10349" s="3" t="s">
        <v>21687</v>
      </c>
    </row>
    <row r="10350">
      <c r="A10350" s="3" t="s">
        <v>25727</v>
      </c>
      <c r="B10350" s="3" t="s">
        <v>9249</v>
      </c>
      <c r="C10350" s="5" t="s">
        <v>45</v>
      </c>
      <c r="D10350" s="3" t="s">
        <v>221</v>
      </c>
      <c r="E10350" s="3" t="s">
        <v>250</v>
      </c>
      <c r="F10350" s="7">
        <v>45948.49366859624</v>
      </c>
      <c r="G10350" s="3" t="s">
        <v>9929</v>
      </c>
    </row>
    <row r="10351">
      <c r="A10351" s="3" t="s">
        <v>25728</v>
      </c>
      <c r="B10351" s="3" t="s">
        <v>9249</v>
      </c>
      <c r="C10351" s="5" t="s">
        <v>221</v>
      </c>
      <c r="D10351" s="3" t="s">
        <v>614</v>
      </c>
      <c r="E10351" s="3" t="s">
        <v>118</v>
      </c>
      <c r="F10351" s="7">
        <v>45948.49714081846</v>
      </c>
      <c r="G10351" s="3" t="s">
        <v>9932</v>
      </c>
    </row>
    <row r="10352">
      <c r="A10352" s="3" t="s">
        <v>25729</v>
      </c>
      <c r="B10352" s="3" t="s">
        <v>9249</v>
      </c>
      <c r="C10352" s="5" t="s">
        <v>614</v>
      </c>
      <c r="D10352" s="3" t="s">
        <v>206</v>
      </c>
      <c r="E10352" s="3" t="s">
        <v>100</v>
      </c>
      <c r="F10352" s="7">
        <v>45948.500613040684</v>
      </c>
      <c r="G10352" s="3" t="s">
        <v>9935</v>
      </c>
    </row>
    <row r="10353">
      <c r="A10353" s="3" t="s">
        <v>25730</v>
      </c>
      <c r="B10353" s="3" t="s">
        <v>9249</v>
      </c>
      <c r="C10353" s="5" t="s">
        <v>206</v>
      </c>
      <c r="D10353" s="3" t="s">
        <v>68</v>
      </c>
      <c r="E10353" s="3" t="s">
        <v>100</v>
      </c>
      <c r="F10353" s="7">
        <v>45948.5040852629</v>
      </c>
      <c r="G10353" s="3" t="s">
        <v>9939</v>
      </c>
    </row>
    <row r="10354">
      <c r="A10354" s="3" t="s">
        <v>25731</v>
      </c>
      <c r="B10354" s="3" t="s">
        <v>9252</v>
      </c>
      <c r="C10354" s="5" t="s">
        <v>45</v>
      </c>
      <c r="D10354" s="3" t="s">
        <v>221</v>
      </c>
      <c r="E10354" s="3" t="s">
        <v>530</v>
      </c>
      <c r="F10354" s="7">
        <v>45948.56484344165</v>
      </c>
      <c r="G10354" s="3" t="s">
        <v>11787</v>
      </c>
    </row>
    <row r="10355">
      <c r="A10355" s="3" t="s">
        <v>25732</v>
      </c>
      <c r="B10355" s="3" t="s">
        <v>9252</v>
      </c>
      <c r="C10355" s="5" t="s">
        <v>221</v>
      </c>
      <c r="D10355" s="3" t="s">
        <v>181</v>
      </c>
      <c r="E10355" s="3" t="s">
        <v>118</v>
      </c>
      <c r="F10355" s="7">
        <v>45948.56831566387</v>
      </c>
      <c r="G10355" s="3" t="s">
        <v>16451</v>
      </c>
    </row>
    <row r="10356">
      <c r="A10356" s="3" t="s">
        <v>25733</v>
      </c>
      <c r="B10356" s="3" t="s">
        <v>9255</v>
      </c>
      <c r="C10356" s="5" t="s">
        <v>45</v>
      </c>
      <c r="D10356" s="3" t="s">
        <v>221</v>
      </c>
      <c r="E10356" s="3" t="s">
        <v>1021</v>
      </c>
      <c r="F10356" s="7">
        <v>45948.63601828706</v>
      </c>
      <c r="G10356" s="3" t="s">
        <v>12644</v>
      </c>
    </row>
    <row r="10357">
      <c r="A10357" s="3" t="s">
        <v>25734</v>
      </c>
      <c r="B10357" s="3" t="s">
        <v>9255</v>
      </c>
      <c r="C10357" s="5" t="s">
        <v>221</v>
      </c>
      <c r="D10357" s="3" t="s">
        <v>614</v>
      </c>
      <c r="E10357" s="3" t="s">
        <v>118</v>
      </c>
      <c r="F10357" s="7">
        <v>45948.63949050928</v>
      </c>
      <c r="G10357" s="3" t="s">
        <v>12647</v>
      </c>
    </row>
    <row r="10358">
      <c r="A10358" s="3" t="s">
        <v>25735</v>
      </c>
      <c r="B10358" s="3" t="s">
        <v>9255</v>
      </c>
      <c r="C10358" s="5" t="s">
        <v>614</v>
      </c>
      <c r="D10358" s="3" t="s">
        <v>206</v>
      </c>
      <c r="E10358" s="3" t="s">
        <v>100</v>
      </c>
      <c r="F10358" s="7">
        <v>45948.64296273151</v>
      </c>
      <c r="G10358" s="3" t="s">
        <v>12650</v>
      </c>
    </row>
    <row r="10359">
      <c r="A10359" s="3" t="s">
        <v>25736</v>
      </c>
      <c r="B10359" s="3" t="s">
        <v>9255</v>
      </c>
      <c r="C10359" s="5" t="s">
        <v>206</v>
      </c>
      <c r="D10359" s="3" t="s">
        <v>68</v>
      </c>
      <c r="E10359" s="3" t="s">
        <v>100</v>
      </c>
      <c r="F10359" s="7">
        <v>45948.64643495373</v>
      </c>
      <c r="G10359" s="3" t="s">
        <v>12654</v>
      </c>
    </row>
    <row r="10360">
      <c r="A10360" s="3" t="s">
        <v>25737</v>
      </c>
      <c r="B10360" s="3" t="s">
        <v>9258</v>
      </c>
      <c r="C10360" s="5" t="s">
        <v>45</v>
      </c>
      <c r="D10360" s="3" t="s">
        <v>221</v>
      </c>
      <c r="E10360" s="3" t="s">
        <v>186</v>
      </c>
      <c r="F10360" s="7">
        <v>45948.70719313248</v>
      </c>
      <c r="G10360" s="3" t="s">
        <v>25401</v>
      </c>
    </row>
    <row r="10361">
      <c r="A10361" s="3" t="s">
        <v>25738</v>
      </c>
      <c r="B10361" s="3" t="s">
        <v>9258</v>
      </c>
      <c r="C10361" s="5" t="s">
        <v>221</v>
      </c>
      <c r="D10361" s="3" t="s">
        <v>614</v>
      </c>
      <c r="E10361" s="3" t="s">
        <v>118</v>
      </c>
      <c r="F10361" s="7">
        <v>45948.7106653547</v>
      </c>
      <c r="G10361" s="3" t="s">
        <v>25403</v>
      </c>
    </row>
    <row r="10362">
      <c r="A10362" s="3" t="s">
        <v>25739</v>
      </c>
      <c r="B10362" s="3" t="s">
        <v>9258</v>
      </c>
      <c r="C10362" s="5" t="s">
        <v>614</v>
      </c>
      <c r="D10362" s="3" t="s">
        <v>206</v>
      </c>
      <c r="E10362" s="3" t="s">
        <v>100</v>
      </c>
      <c r="F10362" s="7">
        <v>45948.71413757693</v>
      </c>
      <c r="G10362" s="3" t="s">
        <v>25405</v>
      </c>
    </row>
    <row r="10363">
      <c r="A10363" s="3" t="s">
        <v>25740</v>
      </c>
      <c r="B10363" s="3" t="s">
        <v>9258</v>
      </c>
      <c r="C10363" s="5" t="s">
        <v>206</v>
      </c>
      <c r="D10363" s="3" t="s">
        <v>68</v>
      </c>
      <c r="E10363" s="3" t="s">
        <v>100</v>
      </c>
      <c r="F10363" s="7">
        <v>45948.71760979915</v>
      </c>
      <c r="G10363" s="3" t="s">
        <v>25407</v>
      </c>
    </row>
    <row r="10364">
      <c r="A10364" s="3" t="s">
        <v>25741</v>
      </c>
      <c r="B10364" s="3" t="s">
        <v>9262</v>
      </c>
      <c r="C10364" s="5" t="s">
        <v>45</v>
      </c>
      <c r="D10364" s="3" t="s">
        <v>221</v>
      </c>
      <c r="E10364" s="3" t="s">
        <v>760</v>
      </c>
      <c r="F10364" s="7">
        <v>45948.778367977895</v>
      </c>
      <c r="G10364" s="3" t="s">
        <v>9020</v>
      </c>
    </row>
    <row r="10365">
      <c r="A10365" s="3" t="s">
        <v>25742</v>
      </c>
      <c r="B10365" s="3" t="s">
        <v>9262</v>
      </c>
      <c r="C10365" s="5" t="s">
        <v>221</v>
      </c>
      <c r="D10365" s="3" t="s">
        <v>614</v>
      </c>
      <c r="E10365" s="3" t="s">
        <v>118</v>
      </c>
      <c r="F10365" s="7">
        <v>45948.781840200114</v>
      </c>
      <c r="G10365" s="3" t="s">
        <v>9023</v>
      </c>
    </row>
    <row r="10366">
      <c r="A10366" s="3" t="s">
        <v>25743</v>
      </c>
      <c r="B10366" s="3" t="s">
        <v>9262</v>
      </c>
      <c r="C10366" s="5" t="s">
        <v>614</v>
      </c>
      <c r="D10366" s="3" t="s">
        <v>206</v>
      </c>
      <c r="E10366" s="3" t="s">
        <v>100</v>
      </c>
      <c r="F10366" s="7">
        <v>45948.78531242234</v>
      </c>
      <c r="G10366" s="3" t="s">
        <v>9026</v>
      </c>
    </row>
    <row r="10367">
      <c r="A10367" s="3" t="s">
        <v>25744</v>
      </c>
      <c r="B10367" s="3" t="s">
        <v>9262</v>
      </c>
      <c r="C10367" s="5" t="s">
        <v>206</v>
      </c>
      <c r="D10367" s="3" t="s">
        <v>68</v>
      </c>
      <c r="E10367" s="3" t="s">
        <v>100</v>
      </c>
      <c r="F10367" s="7">
        <v>45948.78878464456</v>
      </c>
      <c r="G10367" s="3" t="s">
        <v>9029</v>
      </c>
    </row>
    <row r="10368">
      <c r="A10368" s="3" t="s">
        <v>25745</v>
      </c>
      <c r="B10368" s="3" t="s">
        <v>9266</v>
      </c>
      <c r="C10368" s="5" t="s">
        <v>45</v>
      </c>
      <c r="D10368" s="3" t="s">
        <v>221</v>
      </c>
      <c r="E10368" s="3" t="s">
        <v>669</v>
      </c>
      <c r="F10368" s="7">
        <v>45948.84954282331</v>
      </c>
      <c r="G10368" s="3" t="s">
        <v>25154</v>
      </c>
    </row>
    <row r="10369">
      <c r="A10369" s="3" t="s">
        <v>25746</v>
      </c>
      <c r="B10369" s="3" t="s">
        <v>9266</v>
      </c>
      <c r="C10369" s="5" t="s">
        <v>221</v>
      </c>
      <c r="D10369" s="3" t="s">
        <v>614</v>
      </c>
      <c r="E10369" s="3" t="s">
        <v>118</v>
      </c>
      <c r="F10369" s="7">
        <v>45948.853015045526</v>
      </c>
      <c r="G10369" s="3" t="s">
        <v>25156</v>
      </c>
    </row>
    <row r="10370">
      <c r="A10370" s="3" t="s">
        <v>25747</v>
      </c>
      <c r="B10370" s="3" t="s">
        <v>9266</v>
      </c>
      <c r="C10370" s="5" t="s">
        <v>614</v>
      </c>
      <c r="D10370" s="3" t="s">
        <v>206</v>
      </c>
      <c r="E10370" s="3" t="s">
        <v>100</v>
      </c>
      <c r="F10370" s="7">
        <v>45948.85648726775</v>
      </c>
      <c r="G10370" s="3" t="s">
        <v>25158</v>
      </c>
    </row>
    <row r="10371">
      <c r="A10371" s="3" t="s">
        <v>25748</v>
      </c>
      <c r="B10371" s="3" t="s">
        <v>9266</v>
      </c>
      <c r="C10371" s="5" t="s">
        <v>206</v>
      </c>
      <c r="D10371" s="3" t="s">
        <v>68</v>
      </c>
      <c r="E10371" s="3" t="s">
        <v>100</v>
      </c>
      <c r="F10371" s="7">
        <v>45948.85995948997</v>
      </c>
      <c r="G10371" s="3" t="s">
        <v>25160</v>
      </c>
    </row>
    <row r="10372">
      <c r="A10372" s="3" t="s">
        <v>25749</v>
      </c>
      <c r="B10372" s="3" t="s">
        <v>9269</v>
      </c>
      <c r="C10372" s="5" t="s">
        <v>45</v>
      </c>
      <c r="D10372" s="3" t="s">
        <v>221</v>
      </c>
      <c r="E10372" s="3" t="s">
        <v>141</v>
      </c>
      <c r="F10372" s="7">
        <v>45948.92071766873</v>
      </c>
      <c r="G10372" s="3" t="s">
        <v>9970</v>
      </c>
    </row>
    <row r="10373">
      <c r="A10373" s="3" t="s">
        <v>25750</v>
      </c>
      <c r="B10373" s="3" t="s">
        <v>9269</v>
      </c>
      <c r="C10373" s="5" t="s">
        <v>221</v>
      </c>
      <c r="D10373" s="3" t="s">
        <v>614</v>
      </c>
      <c r="E10373" s="3" t="s">
        <v>118</v>
      </c>
      <c r="F10373" s="7">
        <v>45948.924189890946</v>
      </c>
      <c r="G10373" s="3" t="s">
        <v>9973</v>
      </c>
    </row>
    <row r="10374">
      <c r="A10374" s="3" t="s">
        <v>25751</v>
      </c>
      <c r="B10374" s="3" t="s">
        <v>9269</v>
      </c>
      <c r="C10374" s="5" t="s">
        <v>614</v>
      </c>
      <c r="D10374" s="3" t="s">
        <v>206</v>
      </c>
      <c r="E10374" s="3" t="s">
        <v>100</v>
      </c>
      <c r="F10374" s="7">
        <v>45948.92766211317</v>
      </c>
      <c r="G10374" s="3" t="s">
        <v>9976</v>
      </c>
    </row>
    <row r="10375">
      <c r="A10375" s="3" t="s">
        <v>25752</v>
      </c>
      <c r="B10375" s="3" t="s">
        <v>9269</v>
      </c>
      <c r="C10375" s="5" t="s">
        <v>206</v>
      </c>
      <c r="D10375" s="3" t="s">
        <v>68</v>
      </c>
      <c r="E10375" s="3" t="s">
        <v>100</v>
      </c>
      <c r="F10375" s="7">
        <v>45948.93113433539</v>
      </c>
      <c r="G10375" s="3" t="s">
        <v>9980</v>
      </c>
    </row>
    <row r="10376">
      <c r="A10376" s="3" t="s">
        <v>25753</v>
      </c>
      <c r="B10376" s="3" t="s">
        <v>9273</v>
      </c>
      <c r="C10376" s="5" t="s">
        <v>45</v>
      </c>
      <c r="D10376" s="3" t="s">
        <v>221</v>
      </c>
      <c r="E10376" s="3" t="s">
        <v>202</v>
      </c>
      <c r="F10376" s="7">
        <v>45948.99189251414</v>
      </c>
      <c r="G10376" s="3" t="s">
        <v>15058</v>
      </c>
    </row>
    <row r="10377">
      <c r="A10377" s="3" t="s">
        <v>25754</v>
      </c>
      <c r="B10377" s="3" t="s">
        <v>9273</v>
      </c>
      <c r="C10377" s="5" t="s">
        <v>221</v>
      </c>
      <c r="D10377" s="3" t="s">
        <v>614</v>
      </c>
      <c r="E10377" s="3" t="s">
        <v>118</v>
      </c>
      <c r="F10377" s="7">
        <v>45948.99536473636</v>
      </c>
      <c r="G10377" s="3" t="s">
        <v>15061</v>
      </c>
    </row>
    <row r="10378">
      <c r="A10378" s="3" t="s">
        <v>25755</v>
      </c>
      <c r="B10378" s="3" t="s">
        <v>9273</v>
      </c>
      <c r="C10378" s="5" t="s">
        <v>614</v>
      </c>
      <c r="D10378" s="3" t="s">
        <v>206</v>
      </c>
      <c r="E10378" s="3" t="s">
        <v>100</v>
      </c>
      <c r="F10378" s="7">
        <v>45948.998836958584</v>
      </c>
      <c r="G10378" s="3" t="s">
        <v>15064</v>
      </c>
    </row>
    <row r="10379">
      <c r="A10379" s="3" t="s">
        <v>25756</v>
      </c>
      <c r="B10379" s="3" t="s">
        <v>9273</v>
      </c>
      <c r="C10379" s="5" t="s">
        <v>206</v>
      </c>
      <c r="D10379" s="3" t="s">
        <v>68</v>
      </c>
      <c r="E10379" s="3" t="s">
        <v>100</v>
      </c>
      <c r="F10379" s="7">
        <v>45949.0023091808</v>
      </c>
      <c r="G10379" s="3" t="s">
        <v>15067</v>
      </c>
    </row>
    <row r="10380">
      <c r="A10380" s="3" t="s">
        <v>25757</v>
      </c>
      <c r="B10380" s="3" t="s">
        <v>9277</v>
      </c>
      <c r="C10380" s="5" t="s">
        <v>45</v>
      </c>
      <c r="D10380" s="3" t="s">
        <v>221</v>
      </c>
      <c r="E10380" s="3" t="s">
        <v>363</v>
      </c>
      <c r="F10380" s="7">
        <v>45949.06306735955</v>
      </c>
      <c r="G10380" s="3" t="s">
        <v>9558</v>
      </c>
    </row>
    <row r="10381">
      <c r="A10381" s="3" t="s">
        <v>25758</v>
      </c>
      <c r="B10381" s="3" t="s">
        <v>9277</v>
      </c>
      <c r="C10381" s="5" t="s">
        <v>221</v>
      </c>
      <c r="D10381" s="3" t="s">
        <v>614</v>
      </c>
      <c r="E10381" s="3" t="s">
        <v>118</v>
      </c>
      <c r="F10381" s="7">
        <v>45949.06653958177</v>
      </c>
      <c r="G10381" s="3" t="s">
        <v>9561</v>
      </c>
    </row>
    <row r="10382">
      <c r="A10382" s="3" t="s">
        <v>25759</v>
      </c>
      <c r="B10382" s="3" t="s">
        <v>9277</v>
      </c>
      <c r="C10382" s="5" t="s">
        <v>614</v>
      </c>
      <c r="D10382" s="3" t="s">
        <v>206</v>
      </c>
      <c r="E10382" s="3" t="s">
        <v>100</v>
      </c>
      <c r="F10382" s="7">
        <v>45949.070011804</v>
      </c>
      <c r="G10382" s="3" t="s">
        <v>9564</v>
      </c>
    </row>
    <row r="10383">
      <c r="A10383" s="3" t="s">
        <v>25760</v>
      </c>
      <c r="B10383" s="3" t="s">
        <v>9277</v>
      </c>
      <c r="C10383" s="5" t="s">
        <v>206</v>
      </c>
      <c r="D10383" s="3" t="s">
        <v>68</v>
      </c>
      <c r="E10383" s="3" t="s">
        <v>100</v>
      </c>
      <c r="F10383" s="7">
        <v>45949.073484026216</v>
      </c>
      <c r="G10383" s="3" t="s">
        <v>9567</v>
      </c>
    </row>
    <row r="10384">
      <c r="A10384" s="3" t="s">
        <v>25761</v>
      </c>
      <c r="B10384" s="3" t="s">
        <v>9280</v>
      </c>
      <c r="C10384" s="5" t="s">
        <v>45</v>
      </c>
      <c r="D10384" s="3" t="s">
        <v>221</v>
      </c>
      <c r="E10384" s="3" t="s">
        <v>937</v>
      </c>
      <c r="F10384" s="7">
        <v>45949.13424220497</v>
      </c>
      <c r="G10384" s="3" t="s">
        <v>6667</v>
      </c>
    </row>
    <row r="10385">
      <c r="A10385" s="3" t="s">
        <v>25762</v>
      </c>
      <c r="B10385" s="3" t="s">
        <v>9280</v>
      </c>
      <c r="C10385" s="5" t="s">
        <v>221</v>
      </c>
      <c r="D10385" s="3" t="s">
        <v>614</v>
      </c>
      <c r="E10385" s="3" t="s">
        <v>118</v>
      </c>
      <c r="F10385" s="7">
        <v>45949.13771442719</v>
      </c>
      <c r="G10385" s="3" t="s">
        <v>6670</v>
      </c>
    </row>
    <row r="10386">
      <c r="A10386" s="3" t="s">
        <v>25763</v>
      </c>
      <c r="B10386" s="3" t="s">
        <v>9280</v>
      </c>
      <c r="C10386" s="5" t="s">
        <v>614</v>
      </c>
      <c r="D10386" s="3" t="s">
        <v>206</v>
      </c>
      <c r="E10386" s="3" t="s">
        <v>100</v>
      </c>
      <c r="F10386" s="7">
        <v>45949.141186649416</v>
      </c>
      <c r="G10386" s="3" t="s">
        <v>6673</v>
      </c>
    </row>
    <row r="10387">
      <c r="A10387" s="3" t="s">
        <v>25764</v>
      </c>
      <c r="B10387" s="3" t="s">
        <v>9280</v>
      </c>
      <c r="C10387" s="5" t="s">
        <v>206</v>
      </c>
      <c r="D10387" s="3" t="s">
        <v>68</v>
      </c>
      <c r="E10387" s="3" t="s">
        <v>100</v>
      </c>
      <c r="F10387" s="7">
        <v>45949.144658871635</v>
      </c>
      <c r="G10387" s="3" t="s">
        <v>6676</v>
      </c>
    </row>
    <row r="10388">
      <c r="A10388" s="3" t="s">
        <v>25765</v>
      </c>
      <c r="B10388" s="3" t="s">
        <v>9283</v>
      </c>
      <c r="C10388" s="5" t="s">
        <v>45</v>
      </c>
      <c r="D10388" s="3" t="s">
        <v>221</v>
      </c>
      <c r="E10388" s="3" t="s">
        <v>581</v>
      </c>
      <c r="F10388" s="7">
        <v>45949.20541705039</v>
      </c>
      <c r="G10388" s="3" t="s">
        <v>9983</v>
      </c>
    </row>
    <row r="10389">
      <c r="A10389" s="3" t="s">
        <v>25766</v>
      </c>
      <c r="B10389" s="3" t="s">
        <v>9283</v>
      </c>
      <c r="C10389" s="5" t="s">
        <v>221</v>
      </c>
      <c r="D10389" s="3" t="s">
        <v>614</v>
      </c>
      <c r="E10389" s="3" t="s">
        <v>118</v>
      </c>
      <c r="F10389" s="7">
        <v>45949.20888927261</v>
      </c>
      <c r="G10389" s="3" t="s">
        <v>9986</v>
      </c>
    </row>
    <row r="10390">
      <c r="A10390" s="3" t="s">
        <v>25767</v>
      </c>
      <c r="B10390" s="3" t="s">
        <v>9283</v>
      </c>
      <c r="C10390" s="5" t="s">
        <v>614</v>
      </c>
      <c r="D10390" s="3" t="s">
        <v>206</v>
      </c>
      <c r="E10390" s="3" t="s">
        <v>100</v>
      </c>
      <c r="F10390" s="7">
        <v>45949.212361494836</v>
      </c>
      <c r="G10390" s="3" t="s">
        <v>9990</v>
      </c>
    </row>
    <row r="10391">
      <c r="A10391" s="3" t="s">
        <v>25768</v>
      </c>
      <c r="B10391" s="3" t="s">
        <v>9283</v>
      </c>
      <c r="C10391" s="5" t="s">
        <v>206</v>
      </c>
      <c r="D10391" s="3" t="s">
        <v>68</v>
      </c>
      <c r="E10391" s="3" t="s">
        <v>100</v>
      </c>
      <c r="F10391" s="7">
        <v>45949.215833717055</v>
      </c>
      <c r="G10391" s="3" t="s">
        <v>9993</v>
      </c>
    </row>
    <row r="10392">
      <c r="A10392" s="3" t="s">
        <v>25769</v>
      </c>
      <c r="B10392" s="3" t="s">
        <v>9285</v>
      </c>
      <c r="C10392" s="5" t="s">
        <v>45</v>
      </c>
      <c r="D10392" s="3" t="s">
        <v>221</v>
      </c>
      <c r="E10392" s="3" t="s">
        <v>313</v>
      </c>
      <c r="F10392" s="7">
        <v>45949.276591895796</v>
      </c>
      <c r="G10392" s="3" t="s">
        <v>25770</v>
      </c>
    </row>
    <row r="10393">
      <c r="A10393" s="3" t="s">
        <v>25771</v>
      </c>
      <c r="B10393" s="3" t="s">
        <v>9285</v>
      </c>
      <c r="C10393" s="5" t="s">
        <v>221</v>
      </c>
      <c r="D10393" s="3" t="s">
        <v>614</v>
      </c>
      <c r="E10393" s="3" t="s">
        <v>118</v>
      </c>
      <c r="F10393" s="7">
        <v>45949.280064118015</v>
      </c>
      <c r="G10393" s="3" t="s">
        <v>25772</v>
      </c>
    </row>
    <row r="10394">
      <c r="A10394" s="3" t="s">
        <v>25773</v>
      </c>
      <c r="B10394" s="3" t="s">
        <v>9285</v>
      </c>
      <c r="C10394" s="5" t="s">
        <v>614</v>
      </c>
      <c r="D10394" s="3" t="s">
        <v>206</v>
      </c>
      <c r="E10394" s="3" t="s">
        <v>100</v>
      </c>
      <c r="F10394" s="7">
        <v>45949.28353634024</v>
      </c>
      <c r="G10394" s="3" t="s">
        <v>25774</v>
      </c>
    </row>
    <row r="10395">
      <c r="A10395" s="3" t="s">
        <v>25775</v>
      </c>
      <c r="B10395" s="3" t="s">
        <v>9285</v>
      </c>
      <c r="C10395" s="5" t="s">
        <v>206</v>
      </c>
      <c r="D10395" s="3" t="s">
        <v>68</v>
      </c>
      <c r="E10395" s="3" t="s">
        <v>100</v>
      </c>
      <c r="F10395" s="7">
        <v>45949.28700856246</v>
      </c>
      <c r="G10395" s="3" t="s">
        <v>25776</v>
      </c>
    </row>
    <row r="10396">
      <c r="A10396" s="3" t="s">
        <v>25777</v>
      </c>
      <c r="B10396" s="3" t="s">
        <v>9287</v>
      </c>
      <c r="C10396" s="5" t="s">
        <v>45</v>
      </c>
      <c r="D10396" s="3" t="s">
        <v>221</v>
      </c>
      <c r="E10396" s="3" t="s">
        <v>725</v>
      </c>
      <c r="F10396" s="7">
        <v>45949.347766741215</v>
      </c>
      <c r="G10396" s="3" t="s">
        <v>18531</v>
      </c>
    </row>
    <row r="10397">
      <c r="A10397" s="3" t="s">
        <v>25778</v>
      </c>
      <c r="B10397" s="3" t="s">
        <v>9287</v>
      </c>
      <c r="C10397" s="5" t="s">
        <v>221</v>
      </c>
      <c r="D10397" s="3" t="s">
        <v>614</v>
      </c>
      <c r="E10397" s="3" t="s">
        <v>118</v>
      </c>
      <c r="F10397" s="7">
        <v>45949.351238963434</v>
      </c>
      <c r="G10397" s="3" t="s">
        <v>18534</v>
      </c>
    </row>
    <row r="10398">
      <c r="A10398" s="3" t="s">
        <v>25779</v>
      </c>
      <c r="B10398" s="3" t="s">
        <v>9287</v>
      </c>
      <c r="C10398" s="5" t="s">
        <v>614</v>
      </c>
      <c r="D10398" s="3" t="s">
        <v>206</v>
      </c>
      <c r="E10398" s="3" t="s">
        <v>100</v>
      </c>
      <c r="F10398" s="7">
        <v>45949.35471118566</v>
      </c>
      <c r="G10398" s="3" t="s">
        <v>18536</v>
      </c>
    </row>
    <row r="10399">
      <c r="A10399" s="3" t="s">
        <v>25780</v>
      </c>
      <c r="B10399" s="3" t="s">
        <v>9287</v>
      </c>
      <c r="C10399" s="5" t="s">
        <v>206</v>
      </c>
      <c r="D10399" s="3" t="s">
        <v>68</v>
      </c>
      <c r="E10399" s="3" t="s">
        <v>100</v>
      </c>
      <c r="F10399" s="7">
        <v>45949.35818340788</v>
      </c>
      <c r="G10399" s="3" t="s">
        <v>18539</v>
      </c>
    </row>
    <row r="10400">
      <c r="A10400" s="3" t="s">
        <v>25781</v>
      </c>
      <c r="B10400" s="3" t="s">
        <v>9290</v>
      </c>
      <c r="C10400" s="5" t="s">
        <v>45</v>
      </c>
      <c r="D10400" s="3" t="s">
        <v>221</v>
      </c>
      <c r="E10400" s="3" t="s">
        <v>211</v>
      </c>
      <c r="F10400" s="7">
        <v>45949.418941586635</v>
      </c>
      <c r="G10400" s="3" t="s">
        <v>18185</v>
      </c>
    </row>
    <row r="10401">
      <c r="A10401" s="3" t="s">
        <v>25782</v>
      </c>
      <c r="B10401" s="3" t="s">
        <v>9290</v>
      </c>
      <c r="C10401" s="5" t="s">
        <v>221</v>
      </c>
      <c r="D10401" s="3" t="s">
        <v>614</v>
      </c>
      <c r="E10401" s="3" t="s">
        <v>118</v>
      </c>
      <c r="F10401" s="7">
        <v>45949.422413808854</v>
      </c>
      <c r="G10401" s="3" t="s">
        <v>18188</v>
      </c>
    </row>
    <row r="10402">
      <c r="A10402" s="3" t="s">
        <v>25783</v>
      </c>
      <c r="B10402" s="3" t="s">
        <v>9290</v>
      </c>
      <c r="C10402" s="5" t="s">
        <v>614</v>
      </c>
      <c r="D10402" s="3" t="s">
        <v>206</v>
      </c>
      <c r="E10402" s="3" t="s">
        <v>100</v>
      </c>
      <c r="F10402" s="7">
        <v>45949.42588603108</v>
      </c>
      <c r="G10402" s="3" t="s">
        <v>18190</v>
      </c>
    </row>
    <row r="10403">
      <c r="A10403" s="3" t="s">
        <v>25784</v>
      </c>
      <c r="B10403" s="3" t="s">
        <v>9290</v>
      </c>
      <c r="C10403" s="5" t="s">
        <v>206</v>
      </c>
      <c r="D10403" s="3" t="s">
        <v>68</v>
      </c>
      <c r="E10403" s="3" t="s">
        <v>100</v>
      </c>
      <c r="F10403" s="7">
        <v>45949.4293582533</v>
      </c>
      <c r="G10403" s="3" t="s">
        <v>18193</v>
      </c>
    </row>
    <row r="10404">
      <c r="A10404" s="3" t="s">
        <v>25785</v>
      </c>
      <c r="B10404" s="3" t="s">
        <v>9292</v>
      </c>
      <c r="C10404" s="5" t="s">
        <v>45</v>
      </c>
      <c r="D10404" s="3" t="s">
        <v>221</v>
      </c>
      <c r="E10404" s="3" t="s">
        <v>870</v>
      </c>
      <c r="F10404" s="7">
        <v>45949.49011643205</v>
      </c>
      <c r="G10404" s="3" t="s">
        <v>10078</v>
      </c>
    </row>
    <row r="10405">
      <c r="A10405" s="3" t="s">
        <v>25786</v>
      </c>
      <c r="B10405" s="3" t="s">
        <v>9292</v>
      </c>
      <c r="C10405" s="5" t="s">
        <v>221</v>
      </c>
      <c r="D10405" s="3" t="s">
        <v>614</v>
      </c>
      <c r="E10405" s="3" t="s">
        <v>118</v>
      </c>
      <c r="F10405" s="7">
        <v>45949.493588654266</v>
      </c>
      <c r="G10405" s="3" t="s">
        <v>10082</v>
      </c>
    </row>
    <row r="10406">
      <c r="A10406" s="3" t="s">
        <v>25787</v>
      </c>
      <c r="B10406" s="3" t="s">
        <v>9292</v>
      </c>
      <c r="C10406" s="5" t="s">
        <v>614</v>
      </c>
      <c r="D10406" s="3" t="s">
        <v>206</v>
      </c>
      <c r="E10406" s="3" t="s">
        <v>100</v>
      </c>
      <c r="F10406" s="7">
        <v>45949.49706087649</v>
      </c>
      <c r="G10406" s="3" t="s">
        <v>10085</v>
      </c>
    </row>
    <row r="10407">
      <c r="A10407" s="3" t="s">
        <v>25788</v>
      </c>
      <c r="B10407" s="3" t="s">
        <v>9292</v>
      </c>
      <c r="C10407" s="5" t="s">
        <v>206</v>
      </c>
      <c r="D10407" s="3" t="s">
        <v>68</v>
      </c>
      <c r="E10407" s="3" t="s">
        <v>100</v>
      </c>
      <c r="F10407" s="7">
        <v>45949.50053309871</v>
      </c>
      <c r="G10407" s="3" t="s">
        <v>10088</v>
      </c>
    </row>
    <row r="10408">
      <c r="A10408" s="3" t="s">
        <v>25789</v>
      </c>
      <c r="B10408" s="3" t="s">
        <v>9295</v>
      </c>
      <c r="C10408" s="5" t="s">
        <v>45</v>
      </c>
      <c r="D10408" s="3" t="s">
        <v>221</v>
      </c>
      <c r="E10408" s="3" t="s">
        <v>727</v>
      </c>
      <c r="F10408" s="7">
        <v>45949.56129127746</v>
      </c>
      <c r="G10408" s="3" t="s">
        <v>10131</v>
      </c>
    </row>
    <row r="10409">
      <c r="A10409" s="3" t="s">
        <v>25790</v>
      </c>
      <c r="B10409" s="3" t="s">
        <v>9295</v>
      </c>
      <c r="C10409" s="5" t="s">
        <v>221</v>
      </c>
      <c r="D10409" s="3" t="s">
        <v>614</v>
      </c>
      <c r="E10409" s="3" t="s">
        <v>118</v>
      </c>
      <c r="F10409" s="7">
        <v>45949.56476349968</v>
      </c>
      <c r="G10409" s="3" t="s">
        <v>10134</v>
      </c>
    </row>
    <row r="10410">
      <c r="A10410" s="3" t="s">
        <v>25791</v>
      </c>
      <c r="B10410" s="3" t="s">
        <v>9295</v>
      </c>
      <c r="C10410" s="5" t="s">
        <v>614</v>
      </c>
      <c r="D10410" s="3" t="s">
        <v>206</v>
      </c>
      <c r="E10410" s="3" t="s">
        <v>100</v>
      </c>
      <c r="F10410" s="7">
        <v>45949.568235721905</v>
      </c>
      <c r="G10410" s="3" t="s">
        <v>10136</v>
      </c>
    </row>
    <row r="10411">
      <c r="A10411" s="3" t="s">
        <v>25792</v>
      </c>
      <c r="B10411" s="3" t="s">
        <v>9295</v>
      </c>
      <c r="C10411" s="5" t="s">
        <v>206</v>
      </c>
      <c r="D10411" s="3" t="s">
        <v>68</v>
      </c>
      <c r="E10411" s="3" t="s">
        <v>100</v>
      </c>
      <c r="F10411" s="7">
        <v>45949.571707944124</v>
      </c>
      <c r="G10411" s="3" t="s">
        <v>10139</v>
      </c>
    </row>
    <row r="10412">
      <c r="A10412" s="3" t="s">
        <v>25793</v>
      </c>
      <c r="B10412" s="3" t="s">
        <v>9297</v>
      </c>
      <c r="C10412" s="5" t="s">
        <v>45</v>
      </c>
      <c r="D10412" s="3" t="s">
        <v>221</v>
      </c>
      <c r="E10412" s="3" t="s">
        <v>853</v>
      </c>
      <c r="F10412" s="7">
        <v>45949.63246612288</v>
      </c>
      <c r="G10412" s="3" t="s">
        <v>7388</v>
      </c>
    </row>
    <row r="10413">
      <c r="A10413" s="3" t="s">
        <v>25794</v>
      </c>
      <c r="B10413" s="3" t="s">
        <v>9297</v>
      </c>
      <c r="C10413" s="5" t="s">
        <v>221</v>
      </c>
      <c r="D10413" s="3" t="s">
        <v>614</v>
      </c>
      <c r="E10413" s="3" t="s">
        <v>118</v>
      </c>
      <c r="F10413" s="7">
        <v>45949.6359383451</v>
      </c>
      <c r="G10413" s="3" t="s">
        <v>25795</v>
      </c>
    </row>
    <row r="10414">
      <c r="A10414" s="3" t="s">
        <v>25796</v>
      </c>
      <c r="B10414" s="3" t="s">
        <v>9297</v>
      </c>
      <c r="C10414" s="5" t="s">
        <v>614</v>
      </c>
      <c r="D10414" s="3" t="s">
        <v>206</v>
      </c>
      <c r="E10414" s="3" t="s">
        <v>100</v>
      </c>
      <c r="F10414" s="7">
        <v>45949.639410567324</v>
      </c>
      <c r="G10414" s="3" t="s">
        <v>25797</v>
      </c>
    </row>
    <row r="10415">
      <c r="A10415" s="3" t="s">
        <v>25798</v>
      </c>
      <c r="B10415" s="3" t="s">
        <v>9297</v>
      </c>
      <c r="C10415" s="5" t="s">
        <v>206</v>
      </c>
      <c r="D10415" s="3" t="s">
        <v>68</v>
      </c>
      <c r="E10415" s="3" t="s">
        <v>100</v>
      </c>
      <c r="F10415" s="7">
        <v>45949.64288278954</v>
      </c>
      <c r="G10415" s="3" t="s">
        <v>25799</v>
      </c>
    </row>
    <row r="10416">
      <c r="A10416" s="3" t="s">
        <v>25800</v>
      </c>
      <c r="B10416" s="3" t="s">
        <v>9299</v>
      </c>
      <c r="C10416" s="5" t="s">
        <v>45</v>
      </c>
      <c r="D10416" s="3" t="s">
        <v>221</v>
      </c>
      <c r="E10416" s="3" t="s">
        <v>632</v>
      </c>
      <c r="F10416" s="7">
        <v>45949.70364096829</v>
      </c>
      <c r="G10416" s="3" t="s">
        <v>11626</v>
      </c>
    </row>
    <row r="10417">
      <c r="A10417" s="3" t="s">
        <v>25801</v>
      </c>
      <c r="B10417" s="3" t="s">
        <v>9299</v>
      </c>
      <c r="C10417" s="5" t="s">
        <v>221</v>
      </c>
      <c r="D10417" s="3" t="s">
        <v>614</v>
      </c>
      <c r="E10417" s="3" t="s">
        <v>118</v>
      </c>
      <c r="F10417" s="7">
        <v>45949.70711319051</v>
      </c>
      <c r="G10417" s="3" t="s">
        <v>11629</v>
      </c>
    </row>
    <row r="10418">
      <c r="A10418" s="3" t="s">
        <v>25802</v>
      </c>
      <c r="B10418" s="3" t="s">
        <v>9299</v>
      </c>
      <c r="C10418" s="5" t="s">
        <v>614</v>
      </c>
      <c r="D10418" s="3" t="s">
        <v>206</v>
      </c>
      <c r="E10418" s="3" t="s">
        <v>100</v>
      </c>
      <c r="F10418" s="7">
        <v>45949.71058541274</v>
      </c>
      <c r="G10418" s="3" t="s">
        <v>11633</v>
      </c>
    </row>
    <row r="10419">
      <c r="A10419" s="3" t="s">
        <v>25803</v>
      </c>
      <c r="B10419" s="3" t="s">
        <v>9299</v>
      </c>
      <c r="C10419" s="5" t="s">
        <v>206</v>
      </c>
      <c r="D10419" s="3" t="s">
        <v>68</v>
      </c>
      <c r="E10419" s="3" t="s">
        <v>100</v>
      </c>
      <c r="F10419" s="7">
        <v>45949.714057634956</v>
      </c>
      <c r="G10419" s="3" t="s">
        <v>11636</v>
      </c>
    </row>
    <row r="10420">
      <c r="A10420" s="3" t="s">
        <v>25804</v>
      </c>
      <c r="B10420" s="3" t="s">
        <v>9301</v>
      </c>
      <c r="C10420" s="5" t="s">
        <v>45</v>
      </c>
      <c r="D10420" s="3" t="s">
        <v>221</v>
      </c>
      <c r="E10420" s="3" t="s">
        <v>282</v>
      </c>
      <c r="F10420" s="7">
        <v>45949.774815813704</v>
      </c>
      <c r="G10420" s="3" t="s">
        <v>10179</v>
      </c>
    </row>
    <row r="10421">
      <c r="A10421" s="3" t="s">
        <v>25805</v>
      </c>
      <c r="B10421" s="3" t="s">
        <v>9301</v>
      </c>
      <c r="C10421" s="5" t="s">
        <v>221</v>
      </c>
      <c r="D10421" s="3" t="s">
        <v>614</v>
      </c>
      <c r="E10421" s="3" t="s">
        <v>118</v>
      </c>
      <c r="F10421" s="7">
        <v>45949.77828803592</v>
      </c>
      <c r="G10421" s="3" t="s">
        <v>10182</v>
      </c>
    </row>
    <row r="10422">
      <c r="A10422" s="3" t="s">
        <v>25806</v>
      </c>
      <c r="B10422" s="3" t="s">
        <v>9301</v>
      </c>
      <c r="C10422" s="5" t="s">
        <v>614</v>
      </c>
      <c r="D10422" s="3" t="s">
        <v>206</v>
      </c>
      <c r="E10422" s="3" t="s">
        <v>100</v>
      </c>
      <c r="F10422" s="7">
        <v>45949.78176025815</v>
      </c>
      <c r="G10422" s="3" t="s">
        <v>10185</v>
      </c>
    </row>
    <row r="10423">
      <c r="A10423" s="3" t="s">
        <v>25807</v>
      </c>
      <c r="B10423" s="3" t="s">
        <v>9301</v>
      </c>
      <c r="C10423" s="5" t="s">
        <v>206</v>
      </c>
      <c r="D10423" s="3" t="s">
        <v>68</v>
      </c>
      <c r="E10423" s="3" t="s">
        <v>100</v>
      </c>
      <c r="F10423" s="7">
        <v>45949.78523248037</v>
      </c>
      <c r="G10423" s="3" t="s">
        <v>10189</v>
      </c>
    </row>
    <row r="10424">
      <c r="A10424" s="3" t="s">
        <v>25808</v>
      </c>
      <c r="B10424" s="3" t="s">
        <v>9303</v>
      </c>
      <c r="C10424" s="5" t="s">
        <v>45</v>
      </c>
      <c r="D10424" s="3" t="s">
        <v>221</v>
      </c>
      <c r="E10424" s="3" t="s">
        <v>972</v>
      </c>
      <c r="F10424" s="7">
        <v>45949.84599065912</v>
      </c>
      <c r="G10424" s="3" t="s">
        <v>25512</v>
      </c>
    </row>
    <row r="10425">
      <c r="A10425" s="3" t="s">
        <v>25809</v>
      </c>
      <c r="B10425" s="3" t="s">
        <v>9303</v>
      </c>
      <c r="C10425" s="5" t="s">
        <v>221</v>
      </c>
      <c r="D10425" s="3" t="s">
        <v>614</v>
      </c>
      <c r="E10425" s="3" t="s">
        <v>118</v>
      </c>
      <c r="F10425" s="7">
        <v>45949.84946288134</v>
      </c>
      <c r="G10425" s="3" t="s">
        <v>25514</v>
      </c>
    </row>
    <row r="10426">
      <c r="A10426" s="3" t="s">
        <v>25810</v>
      </c>
      <c r="B10426" s="3" t="s">
        <v>9303</v>
      </c>
      <c r="C10426" s="5" t="s">
        <v>614</v>
      </c>
      <c r="D10426" s="3" t="s">
        <v>206</v>
      </c>
      <c r="E10426" s="3" t="s">
        <v>100</v>
      </c>
      <c r="F10426" s="7">
        <v>45949.85293510357</v>
      </c>
      <c r="G10426" s="3" t="s">
        <v>25516</v>
      </c>
    </row>
    <row r="10427">
      <c r="A10427" s="3" t="s">
        <v>25811</v>
      </c>
      <c r="B10427" s="3" t="s">
        <v>9303</v>
      </c>
      <c r="C10427" s="5" t="s">
        <v>206</v>
      </c>
      <c r="D10427" s="3" t="s">
        <v>68</v>
      </c>
      <c r="E10427" s="3" t="s">
        <v>100</v>
      </c>
      <c r="F10427" s="7">
        <v>45949.85640732579</v>
      </c>
      <c r="G10427" s="3" t="s">
        <v>25518</v>
      </c>
    </row>
    <row r="10428">
      <c r="A10428" s="3" t="s">
        <v>25812</v>
      </c>
      <c r="B10428" s="3" t="s">
        <v>9306</v>
      </c>
      <c r="C10428" s="5" t="s">
        <v>45</v>
      </c>
      <c r="D10428" s="3" t="s">
        <v>221</v>
      </c>
      <c r="E10428" s="3" t="s">
        <v>619</v>
      </c>
      <c r="F10428" s="7">
        <v>45949.917165504536</v>
      </c>
      <c r="G10428" s="3" t="s">
        <v>25813</v>
      </c>
    </row>
    <row r="10429">
      <c r="A10429" s="3" t="s">
        <v>25814</v>
      </c>
      <c r="B10429" s="3" t="s">
        <v>9306</v>
      </c>
      <c r="C10429" s="5" t="s">
        <v>221</v>
      </c>
      <c r="D10429" s="3" t="s">
        <v>195</v>
      </c>
      <c r="E10429" s="3" t="s">
        <v>619</v>
      </c>
      <c r="F10429" s="7">
        <v>45949.920637726755</v>
      </c>
      <c r="G10429" s="3" t="s">
        <v>25815</v>
      </c>
    </row>
    <row r="10430">
      <c r="A10430" s="3" t="s">
        <v>25816</v>
      </c>
      <c r="B10430" s="3" t="s">
        <v>9309</v>
      </c>
      <c r="C10430" s="5" t="s">
        <v>45</v>
      </c>
      <c r="D10430" s="3" t="s">
        <v>221</v>
      </c>
      <c r="E10430" s="3" t="s">
        <v>579</v>
      </c>
      <c r="F10430" s="7">
        <v>45949.98834034995</v>
      </c>
      <c r="G10430" s="3" t="s">
        <v>25817</v>
      </c>
    </row>
    <row r="10431">
      <c r="A10431" s="3" t="s">
        <v>25818</v>
      </c>
      <c r="B10431" s="3" t="s">
        <v>9309</v>
      </c>
      <c r="C10431" s="5" t="s">
        <v>221</v>
      </c>
      <c r="D10431" s="3" t="s">
        <v>614</v>
      </c>
      <c r="E10431" s="3" t="s">
        <v>118</v>
      </c>
      <c r="F10431" s="7">
        <v>45949.99181257217</v>
      </c>
      <c r="G10431" s="3" t="s">
        <v>25819</v>
      </c>
    </row>
    <row r="10432">
      <c r="A10432" s="3" t="s">
        <v>25820</v>
      </c>
      <c r="B10432" s="3" t="s">
        <v>9309</v>
      </c>
      <c r="C10432" s="5" t="s">
        <v>614</v>
      </c>
      <c r="D10432" s="3" t="s">
        <v>206</v>
      </c>
      <c r="E10432" s="3" t="s">
        <v>100</v>
      </c>
      <c r="F10432" s="7">
        <v>45949.99528479439</v>
      </c>
      <c r="G10432" s="3" t="s">
        <v>25821</v>
      </c>
    </row>
    <row r="10433">
      <c r="A10433" s="3" t="s">
        <v>25822</v>
      </c>
      <c r="B10433" s="3" t="s">
        <v>9309</v>
      </c>
      <c r="C10433" s="5" t="s">
        <v>206</v>
      </c>
      <c r="D10433" s="3" t="s">
        <v>68</v>
      </c>
      <c r="E10433" s="3" t="s">
        <v>100</v>
      </c>
      <c r="F10433" s="7">
        <v>45949.99875701661</v>
      </c>
      <c r="G10433" s="3" t="s">
        <v>25823</v>
      </c>
    </row>
    <row r="10434">
      <c r="A10434" s="3" t="s">
        <v>25824</v>
      </c>
      <c r="B10434" s="3" t="s">
        <v>9313</v>
      </c>
      <c r="C10434" s="5" t="s">
        <v>45</v>
      </c>
      <c r="D10434" s="3" t="s">
        <v>221</v>
      </c>
      <c r="E10434" s="3" t="s">
        <v>1043</v>
      </c>
      <c r="F10434" s="7">
        <v>45950.05951519537</v>
      </c>
      <c r="G10434" s="3" t="s">
        <v>21166</v>
      </c>
    </row>
    <row r="10435">
      <c r="A10435" s="3" t="s">
        <v>25825</v>
      </c>
      <c r="B10435" s="3" t="s">
        <v>9313</v>
      </c>
      <c r="C10435" s="5" t="s">
        <v>221</v>
      </c>
      <c r="D10435" s="3" t="s">
        <v>614</v>
      </c>
      <c r="E10435" s="3" t="s">
        <v>118</v>
      </c>
      <c r="F10435" s="7">
        <v>45950.06298741759</v>
      </c>
      <c r="G10435" s="3" t="s">
        <v>21169</v>
      </c>
    </row>
    <row r="10436">
      <c r="A10436" s="3" t="s">
        <v>25826</v>
      </c>
      <c r="B10436" s="3" t="s">
        <v>9313</v>
      </c>
      <c r="C10436" s="5" t="s">
        <v>614</v>
      </c>
      <c r="D10436" s="3" t="s">
        <v>206</v>
      </c>
      <c r="E10436" s="3" t="s">
        <v>100</v>
      </c>
      <c r="F10436" s="7">
        <v>45950.06645963981</v>
      </c>
      <c r="G10436" s="3" t="s">
        <v>21171</v>
      </c>
    </row>
    <row r="10437">
      <c r="A10437" s="3" t="s">
        <v>25827</v>
      </c>
      <c r="B10437" s="3" t="s">
        <v>9313</v>
      </c>
      <c r="C10437" s="5" t="s">
        <v>206</v>
      </c>
      <c r="D10437" s="3" t="s">
        <v>68</v>
      </c>
      <c r="E10437" s="3" t="s">
        <v>100</v>
      </c>
      <c r="F10437" s="7">
        <v>45950.06993186203</v>
      </c>
      <c r="G10437" s="3" t="s">
        <v>21174</v>
      </c>
    </row>
    <row r="10438">
      <c r="A10438" s="3" t="s">
        <v>25828</v>
      </c>
      <c r="B10438" s="3" t="s">
        <v>9316</v>
      </c>
      <c r="C10438" s="5" t="s">
        <v>45</v>
      </c>
      <c r="D10438" s="3" t="s">
        <v>221</v>
      </c>
      <c r="E10438" s="3" t="s">
        <v>193</v>
      </c>
      <c r="F10438" s="7">
        <v>45950.13069004078</v>
      </c>
      <c r="G10438" s="3" t="s">
        <v>8729</v>
      </c>
    </row>
    <row r="10439">
      <c r="A10439" s="3" t="s">
        <v>25829</v>
      </c>
      <c r="B10439" s="3" t="s">
        <v>9316</v>
      </c>
      <c r="C10439" s="5" t="s">
        <v>221</v>
      </c>
      <c r="D10439" s="3" t="s">
        <v>614</v>
      </c>
      <c r="E10439" s="3" t="s">
        <v>118</v>
      </c>
      <c r="F10439" s="7">
        <v>45950.134162263</v>
      </c>
      <c r="G10439" s="3" t="s">
        <v>25830</v>
      </c>
    </row>
    <row r="10440">
      <c r="A10440" s="3" t="s">
        <v>25831</v>
      </c>
      <c r="B10440" s="3" t="s">
        <v>9316</v>
      </c>
      <c r="C10440" s="5" t="s">
        <v>614</v>
      </c>
      <c r="D10440" s="3" t="s">
        <v>206</v>
      </c>
      <c r="E10440" s="3" t="s">
        <v>100</v>
      </c>
      <c r="F10440" s="7">
        <v>45950.137634485225</v>
      </c>
      <c r="G10440" s="3" t="s">
        <v>25832</v>
      </c>
    </row>
    <row r="10441">
      <c r="A10441" s="3" t="s">
        <v>25833</v>
      </c>
      <c r="B10441" s="3" t="s">
        <v>9316</v>
      </c>
      <c r="C10441" s="5" t="s">
        <v>206</v>
      </c>
      <c r="D10441" s="3" t="s">
        <v>68</v>
      </c>
      <c r="E10441" s="3" t="s">
        <v>100</v>
      </c>
      <c r="F10441" s="7">
        <v>45950.141106707444</v>
      </c>
      <c r="G10441" s="3" t="s">
        <v>25834</v>
      </c>
    </row>
    <row r="10442">
      <c r="A10442" s="3" t="s">
        <v>25835</v>
      </c>
      <c r="B10442" s="3" t="s">
        <v>9318</v>
      </c>
      <c r="C10442" s="5" t="s">
        <v>45</v>
      </c>
      <c r="D10442" s="3" t="s">
        <v>221</v>
      </c>
      <c r="E10442" s="3" t="s">
        <v>215</v>
      </c>
      <c r="F10442" s="7">
        <v>45950.2018648862</v>
      </c>
      <c r="G10442" s="3" t="s">
        <v>10192</v>
      </c>
    </row>
    <row r="10443">
      <c r="A10443" s="3" t="s">
        <v>25836</v>
      </c>
      <c r="B10443" s="3" t="s">
        <v>9318</v>
      </c>
      <c r="C10443" s="5" t="s">
        <v>221</v>
      </c>
      <c r="D10443" s="3" t="s">
        <v>614</v>
      </c>
      <c r="E10443" s="3" t="s">
        <v>118</v>
      </c>
      <c r="F10443" s="7">
        <v>45950.20533710842</v>
      </c>
      <c r="G10443" s="3" t="s">
        <v>10196</v>
      </c>
    </row>
    <row r="10444">
      <c r="A10444" s="3" t="s">
        <v>25837</v>
      </c>
      <c r="B10444" s="3" t="s">
        <v>9318</v>
      </c>
      <c r="C10444" s="5" t="s">
        <v>614</v>
      </c>
      <c r="D10444" s="3" t="s">
        <v>206</v>
      </c>
      <c r="E10444" s="3" t="s">
        <v>100</v>
      </c>
      <c r="F10444" s="7">
        <v>45950.208809330645</v>
      </c>
      <c r="G10444" s="3" t="s">
        <v>10199</v>
      </c>
    </row>
    <row r="10445">
      <c r="A10445" s="3" t="s">
        <v>25838</v>
      </c>
      <c r="B10445" s="3" t="s">
        <v>9318</v>
      </c>
      <c r="C10445" s="5" t="s">
        <v>206</v>
      </c>
      <c r="D10445" s="3" t="s">
        <v>68</v>
      </c>
      <c r="E10445" s="3" t="s">
        <v>100</v>
      </c>
      <c r="F10445" s="7">
        <v>45950.212281552864</v>
      </c>
      <c r="G10445" s="3" t="s">
        <v>10203</v>
      </c>
    </row>
    <row r="10446">
      <c r="A10446" s="3" t="s">
        <v>25839</v>
      </c>
      <c r="B10446" s="3" t="s">
        <v>9320</v>
      </c>
      <c r="C10446" s="5" t="s">
        <v>45</v>
      </c>
      <c r="D10446" s="3" t="s">
        <v>221</v>
      </c>
      <c r="E10446" s="3" t="s">
        <v>493</v>
      </c>
      <c r="F10446" s="7">
        <v>45950.27303973161</v>
      </c>
      <c r="G10446" s="3" t="s">
        <v>10216</v>
      </c>
    </row>
    <row r="10447">
      <c r="A10447" s="3" t="s">
        <v>25840</v>
      </c>
      <c r="B10447" s="3" t="s">
        <v>9320</v>
      </c>
      <c r="C10447" s="5" t="s">
        <v>221</v>
      </c>
      <c r="D10447" s="3" t="s">
        <v>614</v>
      </c>
      <c r="E10447" s="3" t="s">
        <v>118</v>
      </c>
      <c r="F10447" s="7">
        <v>45950.27651195383</v>
      </c>
      <c r="G10447" s="3" t="s">
        <v>10219</v>
      </c>
    </row>
    <row r="10448">
      <c r="A10448" s="3" t="s">
        <v>25841</v>
      </c>
      <c r="B10448" s="3" t="s">
        <v>9320</v>
      </c>
      <c r="C10448" s="5" t="s">
        <v>614</v>
      </c>
      <c r="D10448" s="3" t="s">
        <v>206</v>
      </c>
      <c r="E10448" s="3" t="s">
        <v>100</v>
      </c>
      <c r="F10448" s="7">
        <v>45950.27998417606</v>
      </c>
      <c r="G10448" s="3" t="s">
        <v>10222</v>
      </c>
    </row>
    <row r="10449">
      <c r="A10449" s="3" t="s">
        <v>25842</v>
      </c>
      <c r="B10449" s="3" t="s">
        <v>9320</v>
      </c>
      <c r="C10449" s="5" t="s">
        <v>206</v>
      </c>
      <c r="D10449" s="3" t="s">
        <v>68</v>
      </c>
      <c r="E10449" s="3" t="s">
        <v>100</v>
      </c>
      <c r="F10449" s="7">
        <v>45950.283456398276</v>
      </c>
      <c r="G10449" s="3" t="s">
        <v>10225</v>
      </c>
    </row>
    <row r="10450">
      <c r="A10450" s="3" t="s">
        <v>25843</v>
      </c>
      <c r="B10450" s="3" t="s">
        <v>9322</v>
      </c>
      <c r="C10450" s="5" t="s">
        <v>45</v>
      </c>
      <c r="D10450" s="3" t="s">
        <v>221</v>
      </c>
      <c r="E10450" s="3" t="s">
        <v>179</v>
      </c>
      <c r="F10450" s="7">
        <v>45950.34421457703</v>
      </c>
      <c r="G10450" s="3" t="s">
        <v>14445</v>
      </c>
    </row>
    <row r="10451">
      <c r="A10451" s="3" t="s">
        <v>25844</v>
      </c>
      <c r="B10451" s="3" t="s">
        <v>9322</v>
      </c>
      <c r="C10451" s="5" t="s">
        <v>221</v>
      </c>
      <c r="D10451" s="3" t="s">
        <v>614</v>
      </c>
      <c r="E10451" s="3" t="s">
        <v>118</v>
      </c>
      <c r="F10451" s="7">
        <v>45950.34768679925</v>
      </c>
      <c r="G10451" s="3" t="s">
        <v>14447</v>
      </c>
    </row>
    <row r="10452">
      <c r="A10452" s="3" t="s">
        <v>25845</v>
      </c>
      <c r="B10452" s="3" t="s">
        <v>9322</v>
      </c>
      <c r="C10452" s="5" t="s">
        <v>614</v>
      </c>
      <c r="D10452" s="3" t="s">
        <v>206</v>
      </c>
      <c r="E10452" s="3" t="s">
        <v>100</v>
      </c>
      <c r="F10452" s="7">
        <v>45950.35115902148</v>
      </c>
      <c r="G10452" s="3" t="s">
        <v>14450</v>
      </c>
    </row>
    <row r="10453">
      <c r="A10453" s="3" t="s">
        <v>25846</v>
      </c>
      <c r="B10453" s="3" t="s">
        <v>9322</v>
      </c>
      <c r="C10453" s="5" t="s">
        <v>206</v>
      </c>
      <c r="D10453" s="3" t="s">
        <v>68</v>
      </c>
      <c r="E10453" s="3" t="s">
        <v>100</v>
      </c>
      <c r="F10453" s="7">
        <v>45950.354631243696</v>
      </c>
      <c r="G10453" s="3" t="s">
        <v>14453</v>
      </c>
    </row>
    <row r="10454">
      <c r="A10454" s="3" t="s">
        <v>25847</v>
      </c>
      <c r="B10454" s="3" t="s">
        <v>9324</v>
      </c>
      <c r="C10454" s="5" t="s">
        <v>45</v>
      </c>
      <c r="D10454" s="3" t="s">
        <v>221</v>
      </c>
      <c r="E10454" s="3" t="s">
        <v>219</v>
      </c>
      <c r="F10454" s="7">
        <v>45950.41538942244</v>
      </c>
      <c r="G10454" s="3" t="s">
        <v>13217</v>
      </c>
    </row>
    <row r="10455">
      <c r="A10455" s="3" t="s">
        <v>25848</v>
      </c>
      <c r="B10455" s="3" t="s">
        <v>9324</v>
      </c>
      <c r="C10455" s="5" t="s">
        <v>221</v>
      </c>
      <c r="D10455" s="3" t="s">
        <v>614</v>
      </c>
      <c r="E10455" s="3" t="s">
        <v>118</v>
      </c>
      <c r="F10455" s="7">
        <v>45950.418861644655</v>
      </c>
      <c r="G10455" s="3" t="s">
        <v>13221</v>
      </c>
    </row>
    <row r="10456">
      <c r="A10456" s="3" t="s">
        <v>25849</v>
      </c>
      <c r="B10456" s="3" t="s">
        <v>9324</v>
      </c>
      <c r="C10456" s="5" t="s">
        <v>614</v>
      </c>
      <c r="D10456" s="3" t="s">
        <v>206</v>
      </c>
      <c r="E10456" s="3" t="s">
        <v>100</v>
      </c>
      <c r="F10456" s="7">
        <v>45950.42233386688</v>
      </c>
      <c r="G10456" s="3" t="s">
        <v>13224</v>
      </c>
    </row>
    <row r="10457">
      <c r="A10457" s="3" t="s">
        <v>25850</v>
      </c>
      <c r="B10457" s="3" t="s">
        <v>9324</v>
      </c>
      <c r="C10457" s="5" t="s">
        <v>206</v>
      </c>
      <c r="D10457" s="3" t="s">
        <v>68</v>
      </c>
      <c r="E10457" s="3" t="s">
        <v>100</v>
      </c>
      <c r="F10457" s="7">
        <v>45950.4258060891</v>
      </c>
      <c r="G10457" s="3" t="s">
        <v>13227</v>
      </c>
    </row>
    <row r="10458">
      <c r="A10458" s="3" t="s">
        <v>25851</v>
      </c>
      <c r="B10458" s="3" t="s">
        <v>9327</v>
      </c>
      <c r="C10458" s="5" t="s">
        <v>45</v>
      </c>
      <c r="D10458" s="3" t="s">
        <v>221</v>
      </c>
      <c r="E10458" s="3" t="s">
        <v>348</v>
      </c>
      <c r="F10458" s="7">
        <v>45950.486564267856</v>
      </c>
      <c r="G10458" s="3" t="s">
        <v>17986</v>
      </c>
    </row>
    <row r="10459">
      <c r="A10459" s="3" t="s">
        <v>25852</v>
      </c>
      <c r="B10459" s="3" t="s">
        <v>9327</v>
      </c>
      <c r="C10459" s="5" t="s">
        <v>221</v>
      </c>
      <c r="D10459" s="3" t="s">
        <v>614</v>
      </c>
      <c r="E10459" s="3" t="s">
        <v>118</v>
      </c>
      <c r="F10459" s="7">
        <v>45950.490036490075</v>
      </c>
      <c r="G10459" s="3" t="s">
        <v>17989</v>
      </c>
    </row>
    <row r="10460">
      <c r="A10460" s="3" t="s">
        <v>25853</v>
      </c>
      <c r="B10460" s="3" t="s">
        <v>9327</v>
      </c>
      <c r="C10460" s="5" t="s">
        <v>614</v>
      </c>
      <c r="D10460" s="3" t="s">
        <v>206</v>
      </c>
      <c r="E10460" s="3" t="s">
        <v>100</v>
      </c>
      <c r="F10460" s="7">
        <v>45950.4935087123</v>
      </c>
      <c r="G10460" s="3" t="s">
        <v>17992</v>
      </c>
    </row>
    <row r="10461">
      <c r="A10461" s="3" t="s">
        <v>25854</v>
      </c>
      <c r="B10461" s="3" t="s">
        <v>9327</v>
      </c>
      <c r="C10461" s="5" t="s">
        <v>206</v>
      </c>
      <c r="D10461" s="3" t="s">
        <v>68</v>
      </c>
      <c r="E10461" s="3" t="s">
        <v>100</v>
      </c>
      <c r="F10461" s="7">
        <v>45950.49698093452</v>
      </c>
      <c r="G10461" s="3" t="s">
        <v>17995</v>
      </c>
    </row>
    <row r="10462">
      <c r="A10462" s="3" t="s">
        <v>25855</v>
      </c>
      <c r="B10462" s="3" t="s">
        <v>9329</v>
      </c>
      <c r="C10462" s="5" t="s">
        <v>45</v>
      </c>
      <c r="D10462" s="3" t="s">
        <v>221</v>
      </c>
      <c r="E10462" s="3" t="s">
        <v>400</v>
      </c>
      <c r="F10462" s="7">
        <v>45950.557739113276</v>
      </c>
      <c r="G10462" s="3" t="s">
        <v>12422</v>
      </c>
    </row>
    <row r="10463">
      <c r="A10463" s="3" t="s">
        <v>25856</v>
      </c>
      <c r="B10463" s="3" t="s">
        <v>9329</v>
      </c>
      <c r="C10463" s="5" t="s">
        <v>221</v>
      </c>
      <c r="D10463" s="3" t="s">
        <v>614</v>
      </c>
      <c r="E10463" s="3" t="s">
        <v>118</v>
      </c>
      <c r="F10463" s="7">
        <v>45950.561211335495</v>
      </c>
      <c r="G10463" s="3" t="s">
        <v>12424</v>
      </c>
    </row>
    <row r="10464">
      <c r="A10464" s="3" t="s">
        <v>25857</v>
      </c>
      <c r="B10464" s="3" t="s">
        <v>9329</v>
      </c>
      <c r="C10464" s="5" t="s">
        <v>614</v>
      </c>
      <c r="D10464" s="3" t="s">
        <v>206</v>
      </c>
      <c r="E10464" s="3" t="s">
        <v>100</v>
      </c>
      <c r="F10464" s="7">
        <v>45950.56468355772</v>
      </c>
      <c r="G10464" s="3" t="s">
        <v>12427</v>
      </c>
    </row>
    <row r="10465">
      <c r="A10465" s="3" t="s">
        <v>25858</v>
      </c>
      <c r="B10465" s="3" t="s">
        <v>9329</v>
      </c>
      <c r="C10465" s="5" t="s">
        <v>206</v>
      </c>
      <c r="D10465" s="3" t="s">
        <v>68</v>
      </c>
      <c r="E10465" s="3" t="s">
        <v>100</v>
      </c>
      <c r="F10465" s="7">
        <v>45950.56815577994</v>
      </c>
      <c r="G10465" s="3" t="s">
        <v>12431</v>
      </c>
    </row>
    <row r="10466">
      <c r="A10466" s="3" t="s">
        <v>25859</v>
      </c>
      <c r="B10466" s="3" t="s">
        <v>9331</v>
      </c>
      <c r="C10466" s="5" t="s">
        <v>45</v>
      </c>
      <c r="D10466" s="3" t="s">
        <v>221</v>
      </c>
      <c r="E10466" s="3" t="s">
        <v>1011</v>
      </c>
      <c r="F10466" s="7">
        <v>45950.62891395869</v>
      </c>
      <c r="G10466" s="3" t="s">
        <v>9589</v>
      </c>
    </row>
    <row r="10467">
      <c r="A10467" s="3" t="s">
        <v>25860</v>
      </c>
      <c r="B10467" s="3" t="s">
        <v>9331</v>
      </c>
      <c r="C10467" s="5" t="s">
        <v>221</v>
      </c>
      <c r="D10467" s="3" t="s">
        <v>614</v>
      </c>
      <c r="E10467" s="3" t="s">
        <v>118</v>
      </c>
      <c r="F10467" s="7">
        <v>45950.63238618091</v>
      </c>
      <c r="G10467" s="3" t="s">
        <v>23663</v>
      </c>
    </row>
    <row r="10468">
      <c r="A10468" s="3" t="s">
        <v>25861</v>
      </c>
      <c r="B10468" s="3" t="s">
        <v>9331</v>
      </c>
      <c r="C10468" s="5" t="s">
        <v>614</v>
      </c>
      <c r="D10468" s="3" t="s">
        <v>206</v>
      </c>
      <c r="E10468" s="3" t="s">
        <v>100</v>
      </c>
      <c r="F10468" s="7">
        <v>45950.63585840313</v>
      </c>
      <c r="G10468" s="3" t="s">
        <v>23665</v>
      </c>
    </row>
    <row r="10469">
      <c r="A10469" s="3" t="s">
        <v>25862</v>
      </c>
      <c r="B10469" s="3" t="s">
        <v>9331</v>
      </c>
      <c r="C10469" s="5" t="s">
        <v>206</v>
      </c>
      <c r="D10469" s="3" t="s">
        <v>68</v>
      </c>
      <c r="E10469" s="3" t="s">
        <v>100</v>
      </c>
      <c r="F10469" s="7">
        <v>45950.63933062535</v>
      </c>
      <c r="G10469" s="3" t="s">
        <v>23667</v>
      </c>
    </row>
    <row r="10470">
      <c r="A10470" s="3" t="s">
        <v>25863</v>
      </c>
      <c r="B10470" s="3" t="s">
        <v>9334</v>
      </c>
      <c r="C10470" s="5" t="s">
        <v>45</v>
      </c>
      <c r="D10470" s="3" t="s">
        <v>221</v>
      </c>
      <c r="E10470" s="3" t="s">
        <v>282</v>
      </c>
      <c r="F10470" s="7">
        <v>45950.7000888041</v>
      </c>
      <c r="G10470" s="3" t="s">
        <v>11700</v>
      </c>
    </row>
    <row r="10471">
      <c r="A10471" s="3" t="s">
        <v>25864</v>
      </c>
      <c r="B10471" s="3" t="s">
        <v>9334</v>
      </c>
      <c r="C10471" s="5" t="s">
        <v>221</v>
      </c>
      <c r="D10471" s="3" t="s">
        <v>614</v>
      </c>
      <c r="E10471" s="3" t="s">
        <v>118</v>
      </c>
      <c r="F10471" s="7">
        <v>45950.70356102632</v>
      </c>
      <c r="G10471" s="3" t="s">
        <v>11703</v>
      </c>
    </row>
    <row r="10472">
      <c r="A10472" s="3" t="s">
        <v>25865</v>
      </c>
      <c r="B10472" s="3" t="s">
        <v>9334</v>
      </c>
      <c r="C10472" s="5" t="s">
        <v>614</v>
      </c>
      <c r="D10472" s="3" t="s">
        <v>206</v>
      </c>
      <c r="E10472" s="3" t="s">
        <v>100</v>
      </c>
      <c r="F10472" s="7">
        <v>45950.707033248545</v>
      </c>
      <c r="G10472" s="3" t="s">
        <v>11706</v>
      </c>
    </row>
    <row r="10473">
      <c r="A10473" s="3" t="s">
        <v>25866</v>
      </c>
      <c r="B10473" s="3" t="s">
        <v>9334</v>
      </c>
      <c r="C10473" s="5" t="s">
        <v>206</v>
      </c>
      <c r="D10473" s="3" t="s">
        <v>68</v>
      </c>
      <c r="E10473" s="3" t="s">
        <v>100</v>
      </c>
      <c r="F10473" s="7">
        <v>45950.710505470764</v>
      </c>
      <c r="G10473" s="3" t="s">
        <v>11709</v>
      </c>
    </row>
    <row r="10474">
      <c r="A10474" s="3" t="s">
        <v>25867</v>
      </c>
      <c r="B10474" s="3" t="s">
        <v>9338</v>
      </c>
      <c r="C10474" s="5" t="s">
        <v>45</v>
      </c>
      <c r="D10474" s="3" t="s">
        <v>221</v>
      </c>
      <c r="E10474" s="3" t="s">
        <v>725</v>
      </c>
      <c r="F10474" s="7">
        <v>45950.77126364952</v>
      </c>
      <c r="G10474" s="3" t="s">
        <v>18531</v>
      </c>
    </row>
    <row r="10475">
      <c r="A10475" s="3" t="s">
        <v>25868</v>
      </c>
      <c r="B10475" s="3" t="s">
        <v>9338</v>
      </c>
      <c r="C10475" s="5" t="s">
        <v>221</v>
      </c>
      <c r="D10475" s="3" t="s">
        <v>614</v>
      </c>
      <c r="E10475" s="3" t="s">
        <v>118</v>
      </c>
      <c r="F10475" s="7">
        <v>45950.77473587174</v>
      </c>
      <c r="G10475" s="3" t="s">
        <v>18534</v>
      </c>
    </row>
    <row r="10476">
      <c r="A10476" s="3" t="s">
        <v>25869</v>
      </c>
      <c r="B10476" s="3" t="s">
        <v>9338</v>
      </c>
      <c r="C10476" s="5" t="s">
        <v>614</v>
      </c>
      <c r="D10476" s="3" t="s">
        <v>206</v>
      </c>
      <c r="E10476" s="3" t="s">
        <v>100</v>
      </c>
      <c r="F10476" s="7">
        <v>45950.778208093965</v>
      </c>
      <c r="G10476" s="3" t="s">
        <v>18536</v>
      </c>
    </row>
    <row r="10477">
      <c r="A10477" s="3" t="s">
        <v>25870</v>
      </c>
      <c r="B10477" s="3" t="s">
        <v>9338</v>
      </c>
      <c r="C10477" s="5" t="s">
        <v>206</v>
      </c>
      <c r="D10477" s="3" t="s">
        <v>68</v>
      </c>
      <c r="E10477" s="3" t="s">
        <v>100</v>
      </c>
      <c r="F10477" s="7">
        <v>45950.781680316184</v>
      </c>
      <c r="G10477" s="3" t="s">
        <v>18539</v>
      </c>
    </row>
    <row r="10478">
      <c r="A10478" s="3" t="s">
        <v>25871</v>
      </c>
      <c r="B10478" s="3" t="s">
        <v>9341</v>
      </c>
      <c r="C10478" s="5" t="s">
        <v>45</v>
      </c>
      <c r="D10478" s="3" t="s">
        <v>221</v>
      </c>
      <c r="E10478" s="3" t="s">
        <v>224</v>
      </c>
      <c r="F10478" s="7">
        <v>45950.84243849493</v>
      </c>
      <c r="G10478" s="3" t="s">
        <v>9996</v>
      </c>
    </row>
    <row r="10479">
      <c r="A10479" s="3" t="s">
        <v>25872</v>
      </c>
      <c r="B10479" s="3" t="s">
        <v>9341</v>
      </c>
      <c r="C10479" s="5" t="s">
        <v>221</v>
      </c>
      <c r="D10479" s="3" t="s">
        <v>614</v>
      </c>
      <c r="E10479" s="3" t="s">
        <v>118</v>
      </c>
      <c r="F10479" s="7">
        <v>45950.84591071715</v>
      </c>
      <c r="G10479" s="3" t="s">
        <v>12468</v>
      </c>
    </row>
    <row r="10480">
      <c r="A10480" s="3" t="s">
        <v>25873</v>
      </c>
      <c r="B10480" s="3" t="s">
        <v>9341</v>
      </c>
      <c r="C10480" s="5" t="s">
        <v>614</v>
      </c>
      <c r="D10480" s="3" t="s">
        <v>206</v>
      </c>
      <c r="E10480" s="3" t="s">
        <v>100</v>
      </c>
      <c r="F10480" s="7">
        <v>45950.84938293938</v>
      </c>
      <c r="G10480" s="3" t="s">
        <v>12471</v>
      </c>
    </row>
    <row r="10481">
      <c r="A10481" s="3" t="s">
        <v>25874</v>
      </c>
      <c r="B10481" s="3" t="s">
        <v>9341</v>
      </c>
      <c r="C10481" s="5" t="s">
        <v>206</v>
      </c>
      <c r="D10481" s="3" t="s">
        <v>68</v>
      </c>
      <c r="E10481" s="3" t="s">
        <v>100</v>
      </c>
      <c r="F10481" s="7">
        <v>45950.8528551616</v>
      </c>
      <c r="G10481" s="3" t="s">
        <v>12474</v>
      </c>
    </row>
    <row r="10482">
      <c r="A10482" s="3" t="s">
        <v>25875</v>
      </c>
      <c r="B10482" s="3" t="s">
        <v>9345</v>
      </c>
      <c r="C10482" s="5" t="s">
        <v>45</v>
      </c>
      <c r="D10482" s="3" t="s">
        <v>221</v>
      </c>
      <c r="E10482" s="3" t="s">
        <v>406</v>
      </c>
      <c r="F10482" s="7">
        <v>45950.913613340344</v>
      </c>
      <c r="G10482" s="3" t="s">
        <v>10844</v>
      </c>
    </row>
    <row r="10483">
      <c r="A10483" s="3" t="s">
        <v>25876</v>
      </c>
      <c r="B10483" s="3" t="s">
        <v>9345</v>
      </c>
      <c r="C10483" s="5" t="s">
        <v>221</v>
      </c>
      <c r="D10483" s="3" t="s">
        <v>614</v>
      </c>
      <c r="E10483" s="3" t="s">
        <v>118</v>
      </c>
      <c r="F10483" s="7">
        <v>45950.91708556256</v>
      </c>
      <c r="G10483" s="3" t="s">
        <v>10847</v>
      </c>
    </row>
    <row r="10484">
      <c r="A10484" s="3" t="s">
        <v>25877</v>
      </c>
      <c r="B10484" s="3" t="s">
        <v>9345</v>
      </c>
      <c r="C10484" s="5" t="s">
        <v>614</v>
      </c>
      <c r="D10484" s="3" t="s">
        <v>206</v>
      </c>
      <c r="E10484" s="3" t="s">
        <v>100</v>
      </c>
      <c r="F10484" s="7">
        <v>45950.92055778479</v>
      </c>
      <c r="G10484" s="3" t="s">
        <v>10850</v>
      </c>
    </row>
    <row r="10485">
      <c r="A10485" s="3" t="s">
        <v>25878</v>
      </c>
      <c r="B10485" s="3" t="s">
        <v>9345</v>
      </c>
      <c r="C10485" s="5" t="s">
        <v>206</v>
      </c>
      <c r="D10485" s="3" t="s">
        <v>68</v>
      </c>
      <c r="E10485" s="3" t="s">
        <v>100</v>
      </c>
      <c r="F10485" s="7">
        <v>45950.92403000701</v>
      </c>
      <c r="G10485" s="3" t="s">
        <v>10853</v>
      </c>
    </row>
    <row r="10486">
      <c r="A10486" s="3" t="s">
        <v>25879</v>
      </c>
      <c r="B10486" s="3" t="s">
        <v>9348</v>
      </c>
      <c r="C10486" s="5" t="s">
        <v>45</v>
      </c>
      <c r="D10486" s="3" t="s">
        <v>221</v>
      </c>
      <c r="E10486" s="3" t="s">
        <v>1040</v>
      </c>
      <c r="F10486" s="7">
        <v>45950.984788185764</v>
      </c>
      <c r="G10486" s="3" t="s">
        <v>7238</v>
      </c>
    </row>
    <row r="10487">
      <c r="A10487" s="3" t="s">
        <v>25880</v>
      </c>
      <c r="B10487" s="3" t="s">
        <v>9348</v>
      </c>
      <c r="C10487" s="5" t="s">
        <v>221</v>
      </c>
      <c r="D10487" s="3" t="s">
        <v>614</v>
      </c>
      <c r="E10487" s="3" t="s">
        <v>118</v>
      </c>
      <c r="F10487" s="7">
        <v>45950.98826040798</v>
      </c>
      <c r="G10487" s="3" t="s">
        <v>7241</v>
      </c>
    </row>
    <row r="10488">
      <c r="A10488" s="3" t="s">
        <v>25881</v>
      </c>
      <c r="B10488" s="3" t="s">
        <v>9348</v>
      </c>
      <c r="C10488" s="5" t="s">
        <v>614</v>
      </c>
      <c r="D10488" s="3" t="s">
        <v>206</v>
      </c>
      <c r="E10488" s="3" t="s">
        <v>100</v>
      </c>
      <c r="F10488" s="7">
        <v>45950.99173263021</v>
      </c>
      <c r="G10488" s="3" t="s">
        <v>7244</v>
      </c>
    </row>
    <row r="10489">
      <c r="A10489" s="3" t="s">
        <v>25882</v>
      </c>
      <c r="B10489" s="3" t="s">
        <v>9348</v>
      </c>
      <c r="C10489" s="5" t="s">
        <v>206</v>
      </c>
      <c r="D10489" s="3" t="s">
        <v>68</v>
      </c>
      <c r="E10489" s="3" t="s">
        <v>100</v>
      </c>
      <c r="F10489" s="7">
        <v>45950.99520485243</v>
      </c>
      <c r="G10489" s="3" t="s">
        <v>7246</v>
      </c>
    </row>
    <row r="10490">
      <c r="A10490" s="3" t="s">
        <v>25883</v>
      </c>
      <c r="B10490" s="3" t="s">
        <v>9351</v>
      </c>
      <c r="C10490" s="5" t="s">
        <v>45</v>
      </c>
      <c r="D10490" s="3" t="s">
        <v>221</v>
      </c>
      <c r="E10490" s="3" t="s">
        <v>336</v>
      </c>
      <c r="F10490" s="7">
        <v>45951.05596303118</v>
      </c>
      <c r="G10490" s="3" t="s">
        <v>10236</v>
      </c>
    </row>
    <row r="10491">
      <c r="A10491" s="3" t="s">
        <v>25884</v>
      </c>
      <c r="B10491" s="3" t="s">
        <v>9351</v>
      </c>
      <c r="C10491" s="5" t="s">
        <v>221</v>
      </c>
      <c r="D10491" s="3" t="s">
        <v>614</v>
      </c>
      <c r="E10491" s="3" t="s">
        <v>118</v>
      </c>
      <c r="F10491" s="7">
        <v>45951.0594352534</v>
      </c>
      <c r="G10491" s="3" t="s">
        <v>10240</v>
      </c>
    </row>
    <row r="10492">
      <c r="A10492" s="3" t="s">
        <v>25885</v>
      </c>
      <c r="B10492" s="3" t="s">
        <v>9351</v>
      </c>
      <c r="C10492" s="5" t="s">
        <v>614</v>
      </c>
      <c r="D10492" s="3" t="s">
        <v>206</v>
      </c>
      <c r="E10492" s="3" t="s">
        <v>100</v>
      </c>
      <c r="F10492" s="7">
        <v>45951.06290747563</v>
      </c>
      <c r="G10492" s="3" t="s">
        <v>10243</v>
      </c>
    </row>
    <row r="10493">
      <c r="A10493" s="3" t="s">
        <v>25886</v>
      </c>
      <c r="B10493" s="3" t="s">
        <v>9351</v>
      </c>
      <c r="C10493" s="5" t="s">
        <v>206</v>
      </c>
      <c r="D10493" s="3" t="s">
        <v>68</v>
      </c>
      <c r="E10493" s="3" t="s">
        <v>100</v>
      </c>
      <c r="F10493" s="7">
        <v>45951.06637969785</v>
      </c>
      <c r="G10493" s="3" t="s">
        <v>10247</v>
      </c>
    </row>
    <row r="10494">
      <c r="A10494" s="3" t="s">
        <v>25887</v>
      </c>
      <c r="B10494" s="3" t="s">
        <v>9354</v>
      </c>
      <c r="C10494" s="5" t="s">
        <v>45</v>
      </c>
      <c r="D10494" s="3" t="s">
        <v>221</v>
      </c>
      <c r="E10494" s="3" t="s">
        <v>947</v>
      </c>
      <c r="F10494" s="7">
        <v>45951.12713787659</v>
      </c>
      <c r="G10494" s="3" t="s">
        <v>19675</v>
      </c>
    </row>
    <row r="10495">
      <c r="A10495" s="3" t="s">
        <v>25888</v>
      </c>
      <c r="B10495" s="3" t="s">
        <v>9354</v>
      </c>
      <c r="C10495" s="5" t="s">
        <v>221</v>
      </c>
      <c r="D10495" s="3" t="s">
        <v>614</v>
      </c>
      <c r="E10495" s="3" t="s">
        <v>118</v>
      </c>
      <c r="F10495" s="7">
        <v>45951.13061009881</v>
      </c>
      <c r="G10495" s="3" t="s">
        <v>19678</v>
      </c>
    </row>
    <row r="10496">
      <c r="A10496" s="3" t="s">
        <v>25889</v>
      </c>
      <c r="B10496" s="3" t="s">
        <v>9354</v>
      </c>
      <c r="C10496" s="5" t="s">
        <v>614</v>
      </c>
      <c r="D10496" s="3" t="s">
        <v>206</v>
      </c>
      <c r="E10496" s="3" t="s">
        <v>100</v>
      </c>
      <c r="F10496" s="7">
        <v>45951.134082321034</v>
      </c>
      <c r="G10496" s="3" t="s">
        <v>19681</v>
      </c>
    </row>
    <row r="10497">
      <c r="A10497" s="3" t="s">
        <v>25890</v>
      </c>
      <c r="B10497" s="3" t="s">
        <v>9354</v>
      </c>
      <c r="C10497" s="5" t="s">
        <v>206</v>
      </c>
      <c r="D10497" s="3" t="s">
        <v>68</v>
      </c>
      <c r="E10497" s="3" t="s">
        <v>100</v>
      </c>
      <c r="F10497" s="7">
        <v>45951.13755454325</v>
      </c>
      <c r="G10497" s="3" t="s">
        <v>19684</v>
      </c>
    </row>
    <row r="10498">
      <c r="A10498" s="3" t="s">
        <v>25891</v>
      </c>
      <c r="B10498" s="3" t="s">
        <v>9357</v>
      </c>
      <c r="C10498" s="5" t="s">
        <v>45</v>
      </c>
      <c r="D10498" s="3" t="s">
        <v>221</v>
      </c>
      <c r="E10498" s="3" t="s">
        <v>233</v>
      </c>
      <c r="F10498" s="7">
        <v>45951.19831272201</v>
      </c>
      <c r="G10498" s="3" t="s">
        <v>6568</v>
      </c>
    </row>
    <row r="10499">
      <c r="A10499" s="3" t="s">
        <v>25892</v>
      </c>
      <c r="B10499" s="3" t="s">
        <v>9357</v>
      </c>
      <c r="C10499" s="5" t="s">
        <v>221</v>
      </c>
      <c r="D10499" s="3" t="s">
        <v>614</v>
      </c>
      <c r="E10499" s="3" t="s">
        <v>118</v>
      </c>
      <c r="F10499" s="7">
        <v>45951.20178494423</v>
      </c>
      <c r="G10499" s="3" t="s">
        <v>6570</v>
      </c>
    </row>
    <row r="10500">
      <c r="A10500" s="3" t="s">
        <v>25893</v>
      </c>
      <c r="B10500" s="3" t="s">
        <v>9357</v>
      </c>
      <c r="C10500" s="5" t="s">
        <v>614</v>
      </c>
      <c r="D10500" s="3" t="s">
        <v>206</v>
      </c>
      <c r="E10500" s="3" t="s">
        <v>100</v>
      </c>
      <c r="F10500" s="7">
        <v>45951.20525716645</v>
      </c>
      <c r="G10500" s="3" t="s">
        <v>6573</v>
      </c>
    </row>
    <row r="10501">
      <c r="A10501" s="3" t="s">
        <v>25894</v>
      </c>
      <c r="B10501" s="3" t="s">
        <v>9357</v>
      </c>
      <c r="C10501" s="5" t="s">
        <v>206</v>
      </c>
      <c r="D10501" s="3" t="s">
        <v>68</v>
      </c>
      <c r="E10501" s="3" t="s">
        <v>100</v>
      </c>
      <c r="F10501" s="7">
        <v>45951.20872938867</v>
      </c>
      <c r="G10501" s="3" t="s">
        <v>6576</v>
      </c>
    </row>
    <row r="10502">
      <c r="A10502" s="3" t="s">
        <v>25895</v>
      </c>
      <c r="B10502" s="3" t="s">
        <v>9360</v>
      </c>
      <c r="C10502" s="5" t="s">
        <v>45</v>
      </c>
      <c r="D10502" s="3" t="s">
        <v>221</v>
      </c>
      <c r="E10502" s="3" t="s">
        <v>189</v>
      </c>
      <c r="F10502" s="7">
        <v>45951.26948756742</v>
      </c>
      <c r="G10502" s="3" t="s">
        <v>12488</v>
      </c>
    </row>
    <row r="10503">
      <c r="A10503" s="3" t="s">
        <v>25896</v>
      </c>
      <c r="B10503" s="3" t="s">
        <v>9360</v>
      </c>
      <c r="C10503" s="5" t="s">
        <v>221</v>
      </c>
      <c r="D10503" s="3" t="s">
        <v>614</v>
      </c>
      <c r="E10503" s="3" t="s">
        <v>118</v>
      </c>
      <c r="F10503" s="7">
        <v>45951.27295978964</v>
      </c>
      <c r="G10503" s="3" t="s">
        <v>12491</v>
      </c>
    </row>
    <row r="10504">
      <c r="A10504" s="3" t="s">
        <v>25897</v>
      </c>
      <c r="B10504" s="3" t="s">
        <v>9360</v>
      </c>
      <c r="C10504" s="5" t="s">
        <v>614</v>
      </c>
      <c r="D10504" s="3" t="s">
        <v>206</v>
      </c>
      <c r="E10504" s="3" t="s">
        <v>100</v>
      </c>
      <c r="F10504" s="7">
        <v>45951.276432011866</v>
      </c>
      <c r="G10504" s="3" t="s">
        <v>12494</v>
      </c>
    </row>
    <row r="10505">
      <c r="A10505" s="3" t="s">
        <v>25898</v>
      </c>
      <c r="B10505" s="3" t="s">
        <v>9360</v>
      </c>
      <c r="C10505" s="5" t="s">
        <v>206</v>
      </c>
      <c r="D10505" s="3" t="s">
        <v>68</v>
      </c>
      <c r="E10505" s="3" t="s">
        <v>100</v>
      </c>
      <c r="F10505" s="7">
        <v>45951.279904234085</v>
      </c>
      <c r="G10505" s="3" t="s">
        <v>12497</v>
      </c>
    </row>
    <row r="10506">
      <c r="A10506" s="3" t="s">
        <v>25899</v>
      </c>
      <c r="B10506" s="3" t="s">
        <v>9364</v>
      </c>
      <c r="C10506" s="5" t="s">
        <v>45</v>
      </c>
      <c r="D10506" s="3" t="s">
        <v>221</v>
      </c>
      <c r="E10506" s="3" t="s">
        <v>524</v>
      </c>
      <c r="F10506" s="7">
        <v>45951.34066241284</v>
      </c>
      <c r="G10506" s="3" t="s">
        <v>5450</v>
      </c>
    </row>
    <row r="10507">
      <c r="A10507" s="3" t="s">
        <v>25900</v>
      </c>
      <c r="B10507" s="3" t="s">
        <v>9364</v>
      </c>
      <c r="C10507" s="5" t="s">
        <v>221</v>
      </c>
      <c r="D10507" s="3" t="s">
        <v>614</v>
      </c>
      <c r="E10507" s="3" t="s">
        <v>118</v>
      </c>
      <c r="F10507" s="7">
        <v>45951.34413463506</v>
      </c>
      <c r="G10507" s="3" t="s">
        <v>11062</v>
      </c>
    </row>
    <row r="10508">
      <c r="A10508" s="3" t="s">
        <v>25901</v>
      </c>
      <c r="B10508" s="3" t="s">
        <v>9364</v>
      </c>
      <c r="C10508" s="5" t="s">
        <v>614</v>
      </c>
      <c r="D10508" s="3" t="s">
        <v>206</v>
      </c>
      <c r="E10508" s="3" t="s">
        <v>100</v>
      </c>
      <c r="F10508" s="7">
        <v>45951.347606857285</v>
      </c>
      <c r="G10508" s="3" t="s">
        <v>11064</v>
      </c>
    </row>
    <row r="10509">
      <c r="A10509" s="3" t="s">
        <v>25902</v>
      </c>
      <c r="B10509" s="3" t="s">
        <v>9364</v>
      </c>
      <c r="C10509" s="5" t="s">
        <v>206</v>
      </c>
      <c r="D10509" s="3" t="s">
        <v>68</v>
      </c>
      <c r="E10509" s="3" t="s">
        <v>100</v>
      </c>
      <c r="F10509" s="7">
        <v>45951.351079079504</v>
      </c>
      <c r="G10509" s="3" t="s">
        <v>11067</v>
      </c>
    </row>
    <row r="10510">
      <c r="A10510" s="3" t="s">
        <v>25903</v>
      </c>
      <c r="B10510" s="3" t="s">
        <v>9367</v>
      </c>
      <c r="C10510" s="5" t="s">
        <v>45</v>
      </c>
      <c r="D10510" s="3" t="s">
        <v>221</v>
      </c>
      <c r="E10510" s="3" t="s">
        <v>333</v>
      </c>
      <c r="F10510" s="7">
        <v>45951.41183725825</v>
      </c>
      <c r="G10510" s="3" t="s">
        <v>18279</v>
      </c>
    </row>
    <row r="10511">
      <c r="A10511" s="3" t="s">
        <v>25904</v>
      </c>
      <c r="B10511" s="3" t="s">
        <v>9367</v>
      </c>
      <c r="C10511" s="5" t="s">
        <v>221</v>
      </c>
      <c r="D10511" s="3" t="s">
        <v>614</v>
      </c>
      <c r="E10511" s="3" t="s">
        <v>118</v>
      </c>
      <c r="F10511" s="7">
        <v>45951.41530948047</v>
      </c>
      <c r="G10511" s="3" t="s">
        <v>18282</v>
      </c>
    </row>
    <row r="10512">
      <c r="A10512" s="3" t="s">
        <v>25905</v>
      </c>
      <c r="B10512" s="3" t="s">
        <v>9367</v>
      </c>
      <c r="C10512" s="5" t="s">
        <v>614</v>
      </c>
      <c r="D10512" s="3" t="s">
        <v>206</v>
      </c>
      <c r="E10512" s="3" t="s">
        <v>100</v>
      </c>
      <c r="F10512" s="7">
        <v>45951.4187817027</v>
      </c>
      <c r="G10512" s="3" t="s">
        <v>18285</v>
      </c>
    </row>
    <row r="10513">
      <c r="A10513" s="3" t="s">
        <v>25906</v>
      </c>
      <c r="B10513" s="3" t="s">
        <v>9367</v>
      </c>
      <c r="C10513" s="5" t="s">
        <v>206</v>
      </c>
      <c r="D10513" s="3" t="s">
        <v>68</v>
      </c>
      <c r="E10513" s="3" t="s">
        <v>100</v>
      </c>
      <c r="F10513" s="7">
        <v>45951.42225392492</v>
      </c>
      <c r="G10513" s="3" t="s">
        <v>18288</v>
      </c>
    </row>
    <row r="10514">
      <c r="A10514" s="3" t="s">
        <v>25907</v>
      </c>
      <c r="B10514" s="3" t="s">
        <v>9371</v>
      </c>
      <c r="C10514" s="5" t="s">
        <v>45</v>
      </c>
      <c r="D10514" s="3" t="s">
        <v>221</v>
      </c>
      <c r="E10514" s="3" t="s">
        <v>219</v>
      </c>
      <c r="F10514" s="7">
        <v>45951.48301210367</v>
      </c>
      <c r="G10514" s="3" t="s">
        <v>10279</v>
      </c>
    </row>
    <row r="10515">
      <c r="A10515" s="3" t="s">
        <v>25908</v>
      </c>
      <c r="B10515" s="3" t="s">
        <v>9371</v>
      </c>
      <c r="C10515" s="5" t="s">
        <v>221</v>
      </c>
      <c r="D10515" s="3" t="s">
        <v>614</v>
      </c>
      <c r="E10515" s="3" t="s">
        <v>118</v>
      </c>
      <c r="F10515" s="7">
        <v>45951.48648432589</v>
      </c>
      <c r="G10515" s="3" t="s">
        <v>10282</v>
      </c>
    </row>
    <row r="10516">
      <c r="A10516" s="3" t="s">
        <v>25909</v>
      </c>
      <c r="B10516" s="3" t="s">
        <v>9371</v>
      </c>
      <c r="C10516" s="5" t="s">
        <v>614</v>
      </c>
      <c r="D10516" s="3" t="s">
        <v>206</v>
      </c>
      <c r="E10516" s="3" t="s">
        <v>100</v>
      </c>
      <c r="F10516" s="7">
        <v>45951.48995654812</v>
      </c>
      <c r="G10516" s="3" t="s">
        <v>10285</v>
      </c>
    </row>
    <row r="10517">
      <c r="A10517" s="3" t="s">
        <v>25910</v>
      </c>
      <c r="B10517" s="3" t="s">
        <v>9371</v>
      </c>
      <c r="C10517" s="5" t="s">
        <v>206</v>
      </c>
      <c r="D10517" s="3" t="s">
        <v>68</v>
      </c>
      <c r="E10517" s="3" t="s">
        <v>100</v>
      </c>
      <c r="F10517" s="7">
        <v>45951.493428770336</v>
      </c>
      <c r="G10517" s="3" t="s">
        <v>10288</v>
      </c>
    </row>
    <row r="10518">
      <c r="A10518" s="3" t="s">
        <v>25911</v>
      </c>
      <c r="B10518" s="3" t="s">
        <v>9374</v>
      </c>
      <c r="C10518" s="5" t="s">
        <v>45</v>
      </c>
      <c r="D10518" s="3" t="s">
        <v>221</v>
      </c>
      <c r="E10518" s="3" t="s">
        <v>230</v>
      </c>
      <c r="F10518" s="7">
        <v>45951.55418694908</v>
      </c>
      <c r="G10518" s="3" t="s">
        <v>10805</v>
      </c>
    </row>
    <row r="10519">
      <c r="A10519" s="3" t="s">
        <v>25912</v>
      </c>
      <c r="B10519" s="3" t="s">
        <v>9374</v>
      </c>
      <c r="C10519" s="5" t="s">
        <v>221</v>
      </c>
      <c r="D10519" s="3" t="s">
        <v>614</v>
      </c>
      <c r="E10519" s="3" t="s">
        <v>118</v>
      </c>
      <c r="F10519" s="7">
        <v>45951.557659171296</v>
      </c>
      <c r="G10519" s="3" t="s">
        <v>25913</v>
      </c>
    </row>
    <row r="10520">
      <c r="A10520" s="3" t="s">
        <v>25914</v>
      </c>
      <c r="B10520" s="3" t="s">
        <v>9374</v>
      </c>
      <c r="C10520" s="5" t="s">
        <v>614</v>
      </c>
      <c r="D10520" s="3" t="s">
        <v>206</v>
      </c>
      <c r="E10520" s="3" t="s">
        <v>100</v>
      </c>
      <c r="F10520" s="7">
        <v>45951.56113139352</v>
      </c>
      <c r="G10520" s="3" t="s">
        <v>25915</v>
      </c>
    </row>
    <row r="10521">
      <c r="A10521" s="3" t="s">
        <v>25916</v>
      </c>
      <c r="B10521" s="3" t="s">
        <v>9374</v>
      </c>
      <c r="C10521" s="5" t="s">
        <v>206</v>
      </c>
      <c r="D10521" s="3" t="s">
        <v>68</v>
      </c>
      <c r="E10521" s="3" t="s">
        <v>100</v>
      </c>
      <c r="F10521" s="7">
        <v>45951.56460361574</v>
      </c>
      <c r="G10521" s="3" t="s">
        <v>25917</v>
      </c>
    </row>
    <row r="10522">
      <c r="A10522" s="3" t="s">
        <v>25918</v>
      </c>
      <c r="B10522" s="3" t="s">
        <v>9377</v>
      </c>
      <c r="C10522" s="5" t="s">
        <v>45</v>
      </c>
      <c r="D10522" s="3" t="s">
        <v>221</v>
      </c>
      <c r="E10522" s="3" t="s">
        <v>629</v>
      </c>
      <c r="F10522" s="7">
        <v>45951.6253617945</v>
      </c>
      <c r="G10522" s="3" t="s">
        <v>10403</v>
      </c>
    </row>
    <row r="10523">
      <c r="A10523" s="3" t="s">
        <v>25919</v>
      </c>
      <c r="B10523" s="3" t="s">
        <v>9377</v>
      </c>
      <c r="C10523" s="5" t="s">
        <v>221</v>
      </c>
      <c r="D10523" s="3" t="s">
        <v>614</v>
      </c>
      <c r="E10523" s="3" t="s">
        <v>118</v>
      </c>
      <c r="F10523" s="7">
        <v>45951.628834016716</v>
      </c>
      <c r="G10523" s="3" t="s">
        <v>10406</v>
      </c>
    </row>
    <row r="10524">
      <c r="A10524" s="3" t="s">
        <v>25920</v>
      </c>
      <c r="B10524" s="3" t="s">
        <v>9377</v>
      </c>
      <c r="C10524" s="5" t="s">
        <v>614</v>
      </c>
      <c r="D10524" s="3" t="s">
        <v>206</v>
      </c>
      <c r="E10524" s="3" t="s">
        <v>100</v>
      </c>
      <c r="F10524" s="7">
        <v>45951.63230623894</v>
      </c>
      <c r="G10524" s="3" t="s">
        <v>10409</v>
      </c>
    </row>
    <row r="10525">
      <c r="A10525" s="3" t="s">
        <v>25921</v>
      </c>
      <c r="B10525" s="3" t="s">
        <v>9377</v>
      </c>
      <c r="C10525" s="5" t="s">
        <v>206</v>
      </c>
      <c r="D10525" s="3" t="s">
        <v>68</v>
      </c>
      <c r="E10525" s="3" t="s">
        <v>100</v>
      </c>
      <c r="F10525" s="7">
        <v>45951.63577846116</v>
      </c>
      <c r="G10525" s="3" t="s">
        <v>10412</v>
      </c>
    </row>
    <row r="10526">
      <c r="A10526" s="3" t="s">
        <v>25922</v>
      </c>
      <c r="B10526" s="3" t="s">
        <v>9382</v>
      </c>
      <c r="C10526" s="5" t="s">
        <v>45</v>
      </c>
      <c r="D10526" s="3" t="s">
        <v>221</v>
      </c>
      <c r="E10526" s="3" t="s">
        <v>561</v>
      </c>
      <c r="F10526" s="7">
        <v>45951.696536639916</v>
      </c>
      <c r="G10526" s="3" t="s">
        <v>10495</v>
      </c>
    </row>
    <row r="10527">
      <c r="A10527" s="3" t="s">
        <v>25923</v>
      </c>
      <c r="B10527" s="3" t="s">
        <v>9382</v>
      </c>
      <c r="C10527" s="5" t="s">
        <v>221</v>
      </c>
      <c r="D10527" s="3" t="s">
        <v>614</v>
      </c>
      <c r="E10527" s="3" t="s">
        <v>118</v>
      </c>
      <c r="F10527" s="7">
        <v>45951.700008862135</v>
      </c>
      <c r="G10527" s="3" t="s">
        <v>10498</v>
      </c>
    </row>
    <row r="10528">
      <c r="A10528" s="3" t="s">
        <v>25924</v>
      </c>
      <c r="B10528" s="3" t="s">
        <v>9382</v>
      </c>
      <c r="C10528" s="5" t="s">
        <v>614</v>
      </c>
      <c r="D10528" s="3" t="s">
        <v>206</v>
      </c>
      <c r="E10528" s="3" t="s">
        <v>100</v>
      </c>
      <c r="F10528" s="7">
        <v>45951.70348108436</v>
      </c>
      <c r="G10528" s="3" t="s">
        <v>10500</v>
      </c>
    </row>
    <row r="10529">
      <c r="A10529" s="3" t="s">
        <v>25925</v>
      </c>
      <c r="B10529" s="3" t="s">
        <v>9382</v>
      </c>
      <c r="C10529" s="5" t="s">
        <v>206</v>
      </c>
      <c r="D10529" s="3" t="s">
        <v>68</v>
      </c>
      <c r="E10529" s="3" t="s">
        <v>100</v>
      </c>
      <c r="F10529" s="7">
        <v>45951.70695330658</v>
      </c>
      <c r="G10529" s="3" t="s">
        <v>10503</v>
      </c>
    </row>
    <row r="10530">
      <c r="A10530" s="3" t="s">
        <v>25926</v>
      </c>
      <c r="B10530" s="3" t="s">
        <v>9385</v>
      </c>
      <c r="C10530" s="5" t="s">
        <v>45</v>
      </c>
      <c r="D10530" s="3" t="s">
        <v>221</v>
      </c>
      <c r="E10530" s="3" t="s">
        <v>1030</v>
      </c>
      <c r="F10530" s="7">
        <v>45951.76771148533</v>
      </c>
      <c r="G10530" s="3" t="s">
        <v>7272</v>
      </c>
    </row>
    <row r="10531">
      <c r="A10531" s="3" t="s">
        <v>25927</v>
      </c>
      <c r="B10531" s="3" t="s">
        <v>9385</v>
      </c>
      <c r="C10531" s="5" t="s">
        <v>221</v>
      </c>
      <c r="D10531" s="3" t="s">
        <v>614</v>
      </c>
      <c r="E10531" s="3" t="s">
        <v>118</v>
      </c>
      <c r="F10531" s="7">
        <v>45951.77118370755</v>
      </c>
      <c r="G10531" s="3" t="s">
        <v>7275</v>
      </c>
    </row>
    <row r="10532">
      <c r="A10532" s="3" t="s">
        <v>25928</v>
      </c>
      <c r="B10532" s="3" t="s">
        <v>9385</v>
      </c>
      <c r="C10532" s="5" t="s">
        <v>614</v>
      </c>
      <c r="D10532" s="3" t="s">
        <v>206</v>
      </c>
      <c r="E10532" s="3" t="s">
        <v>100</v>
      </c>
      <c r="F10532" s="7">
        <v>45951.774655929774</v>
      </c>
      <c r="G10532" s="3" t="s">
        <v>7278</v>
      </c>
    </row>
    <row r="10533">
      <c r="A10533" s="3" t="s">
        <v>25929</v>
      </c>
      <c r="B10533" s="3" t="s">
        <v>9385</v>
      </c>
      <c r="C10533" s="5" t="s">
        <v>206</v>
      </c>
      <c r="D10533" s="3" t="s">
        <v>68</v>
      </c>
      <c r="E10533" s="3" t="s">
        <v>100</v>
      </c>
      <c r="F10533" s="7">
        <v>45951.77812815199</v>
      </c>
      <c r="G10533" s="3" t="s">
        <v>7281</v>
      </c>
    </row>
    <row r="10534">
      <c r="A10534" s="3" t="s">
        <v>25930</v>
      </c>
      <c r="B10534" s="3" t="s">
        <v>9388</v>
      </c>
      <c r="C10534" s="5" t="s">
        <v>45</v>
      </c>
      <c r="D10534" s="3" t="s">
        <v>221</v>
      </c>
      <c r="E10534" s="3" t="s">
        <v>352</v>
      </c>
      <c r="F10534" s="7">
        <v>45951.83888633074</v>
      </c>
      <c r="G10534" s="3" t="s">
        <v>10536</v>
      </c>
    </row>
    <row r="10535">
      <c r="A10535" s="3" t="s">
        <v>25931</v>
      </c>
      <c r="B10535" s="3" t="s">
        <v>9388</v>
      </c>
      <c r="C10535" s="5" t="s">
        <v>221</v>
      </c>
      <c r="D10535" s="3" t="s">
        <v>614</v>
      </c>
      <c r="E10535" s="3" t="s">
        <v>118</v>
      </c>
      <c r="F10535" s="7">
        <v>45951.84235855296</v>
      </c>
      <c r="G10535" s="3" t="s">
        <v>10539</v>
      </c>
    </row>
    <row r="10536">
      <c r="A10536" s="3" t="s">
        <v>25932</v>
      </c>
      <c r="B10536" s="3" t="s">
        <v>9388</v>
      </c>
      <c r="C10536" s="5" t="s">
        <v>614</v>
      </c>
      <c r="D10536" s="3" t="s">
        <v>206</v>
      </c>
      <c r="E10536" s="3" t="s">
        <v>100</v>
      </c>
      <c r="F10536" s="7">
        <v>45951.845830775186</v>
      </c>
      <c r="G10536" s="3" t="s">
        <v>10541</v>
      </c>
    </row>
    <row r="10537">
      <c r="A10537" s="3" t="s">
        <v>25933</v>
      </c>
      <c r="B10537" s="3" t="s">
        <v>9388</v>
      </c>
      <c r="C10537" s="5" t="s">
        <v>206</v>
      </c>
      <c r="D10537" s="3" t="s">
        <v>68</v>
      </c>
      <c r="E10537" s="3" t="s">
        <v>100</v>
      </c>
      <c r="F10537" s="7">
        <v>45951.849302997405</v>
      </c>
      <c r="G10537" s="3" t="s">
        <v>10544</v>
      </c>
    </row>
    <row r="10538">
      <c r="A10538" s="3" t="s">
        <v>25934</v>
      </c>
      <c r="B10538" s="3" t="s">
        <v>9390</v>
      </c>
      <c r="C10538" s="5" t="s">
        <v>45</v>
      </c>
      <c r="D10538" s="3" t="s">
        <v>221</v>
      </c>
      <c r="E10538" s="3" t="s">
        <v>151</v>
      </c>
      <c r="F10538" s="7">
        <v>45951.91006117616</v>
      </c>
      <c r="G10538" s="3" t="s">
        <v>10570</v>
      </c>
    </row>
    <row r="10539">
      <c r="A10539" s="3" t="s">
        <v>25935</v>
      </c>
      <c r="B10539" s="3" t="s">
        <v>9390</v>
      </c>
      <c r="C10539" s="5" t="s">
        <v>221</v>
      </c>
      <c r="D10539" s="3" t="s">
        <v>614</v>
      </c>
      <c r="E10539" s="3" t="s">
        <v>118</v>
      </c>
      <c r="F10539" s="7">
        <v>45951.91353339838</v>
      </c>
      <c r="G10539" s="3" t="s">
        <v>10572</v>
      </c>
    </row>
    <row r="10540">
      <c r="A10540" s="3" t="s">
        <v>25936</v>
      </c>
      <c r="B10540" s="3" t="s">
        <v>9390</v>
      </c>
      <c r="C10540" s="5" t="s">
        <v>614</v>
      </c>
      <c r="D10540" s="3" t="s">
        <v>206</v>
      </c>
      <c r="E10540" s="3" t="s">
        <v>100</v>
      </c>
      <c r="F10540" s="7">
        <v>45951.917005620606</v>
      </c>
      <c r="G10540" s="3" t="s">
        <v>10575</v>
      </c>
    </row>
    <row r="10541">
      <c r="A10541" s="3" t="s">
        <v>25937</v>
      </c>
      <c r="B10541" s="3" t="s">
        <v>9390</v>
      </c>
      <c r="C10541" s="5" t="s">
        <v>206</v>
      </c>
      <c r="D10541" s="3" t="s">
        <v>68</v>
      </c>
      <c r="E10541" s="3" t="s">
        <v>100</v>
      </c>
      <c r="F10541" s="7">
        <v>45951.920477842825</v>
      </c>
      <c r="G10541" s="3" t="s">
        <v>10578</v>
      </c>
    </row>
    <row r="10542">
      <c r="A10542" s="3" t="s">
        <v>25938</v>
      </c>
      <c r="B10542" s="3" t="s">
        <v>9392</v>
      </c>
      <c r="C10542" s="5" t="s">
        <v>45</v>
      </c>
      <c r="D10542" s="3" t="s">
        <v>221</v>
      </c>
      <c r="E10542" s="3" t="s">
        <v>233</v>
      </c>
      <c r="F10542" s="7">
        <v>45951.98123602157</v>
      </c>
      <c r="G10542" s="3" t="s">
        <v>10634</v>
      </c>
    </row>
    <row r="10543">
      <c r="A10543" s="3" t="s">
        <v>25939</v>
      </c>
      <c r="B10543" s="3" t="s">
        <v>9392</v>
      </c>
      <c r="C10543" s="5" t="s">
        <v>221</v>
      </c>
      <c r="D10543" s="3" t="s">
        <v>614</v>
      </c>
      <c r="E10543" s="3" t="s">
        <v>118</v>
      </c>
      <c r="F10543" s="7">
        <v>45951.98470824379</v>
      </c>
      <c r="G10543" s="3" t="s">
        <v>10637</v>
      </c>
    </row>
    <row r="10544">
      <c r="A10544" s="3" t="s">
        <v>25940</v>
      </c>
      <c r="B10544" s="3" t="s">
        <v>9392</v>
      </c>
      <c r="C10544" s="5" t="s">
        <v>614</v>
      </c>
      <c r="D10544" s="3" t="s">
        <v>206</v>
      </c>
      <c r="E10544" s="3" t="s">
        <v>100</v>
      </c>
      <c r="F10544" s="7">
        <v>45951.98818046602</v>
      </c>
      <c r="G10544" s="3" t="s">
        <v>10639</v>
      </c>
    </row>
    <row r="10545">
      <c r="A10545" s="3" t="s">
        <v>25941</v>
      </c>
      <c r="B10545" s="3" t="s">
        <v>9392</v>
      </c>
      <c r="C10545" s="5" t="s">
        <v>206</v>
      </c>
      <c r="D10545" s="3" t="s">
        <v>68</v>
      </c>
      <c r="E10545" s="3" t="s">
        <v>100</v>
      </c>
      <c r="F10545" s="7">
        <v>45951.99165268824</v>
      </c>
      <c r="G10545" s="3" t="s">
        <v>10642</v>
      </c>
    </row>
    <row r="10546">
      <c r="A10546" s="3" t="s">
        <v>25942</v>
      </c>
      <c r="B10546" s="3" t="s">
        <v>9394</v>
      </c>
      <c r="C10546" s="5" t="s">
        <v>45</v>
      </c>
      <c r="D10546" s="3" t="s">
        <v>221</v>
      </c>
      <c r="E10546" s="3" t="s">
        <v>830</v>
      </c>
      <c r="F10546" s="7">
        <v>45952.052410866985</v>
      </c>
      <c r="G10546" s="3" t="s">
        <v>12438</v>
      </c>
    </row>
    <row r="10547">
      <c r="A10547" s="3" t="s">
        <v>25943</v>
      </c>
      <c r="B10547" s="3" t="s">
        <v>9394</v>
      </c>
      <c r="C10547" s="5" t="s">
        <v>221</v>
      </c>
      <c r="D10547" s="3" t="s">
        <v>181</v>
      </c>
      <c r="E10547" s="3" t="s">
        <v>118</v>
      </c>
      <c r="F10547" s="7">
        <v>45952.055883089204</v>
      </c>
      <c r="G10547" s="3" t="s">
        <v>25944</v>
      </c>
    </row>
    <row r="10548">
      <c r="A10548" s="3" t="s">
        <v>25945</v>
      </c>
      <c r="B10548" s="3" t="s">
        <v>9396</v>
      </c>
      <c r="C10548" s="5" t="s">
        <v>45</v>
      </c>
      <c r="D10548" s="3" t="s">
        <v>221</v>
      </c>
      <c r="E10548" s="3" t="s">
        <v>126</v>
      </c>
      <c r="F10548" s="7">
        <v>45952.123585712405</v>
      </c>
      <c r="G10548" s="3" t="s">
        <v>16111</v>
      </c>
    </row>
    <row r="10549">
      <c r="A10549" s="3" t="s">
        <v>25946</v>
      </c>
      <c r="B10549" s="3" t="s">
        <v>9396</v>
      </c>
      <c r="C10549" s="5" t="s">
        <v>221</v>
      </c>
      <c r="D10549" s="3" t="s">
        <v>614</v>
      </c>
      <c r="E10549" s="3" t="s">
        <v>118</v>
      </c>
      <c r="F10549" s="7">
        <v>45952.127057934624</v>
      </c>
      <c r="G10549" s="3" t="s">
        <v>16113</v>
      </c>
    </row>
    <row r="10550">
      <c r="A10550" s="3" t="s">
        <v>25947</v>
      </c>
      <c r="B10550" s="3" t="s">
        <v>9396</v>
      </c>
      <c r="C10550" s="5" t="s">
        <v>614</v>
      </c>
      <c r="D10550" s="3" t="s">
        <v>206</v>
      </c>
      <c r="E10550" s="3" t="s">
        <v>100</v>
      </c>
      <c r="F10550" s="7">
        <v>45952.13053015685</v>
      </c>
      <c r="G10550" s="3" t="s">
        <v>16116</v>
      </c>
    </row>
    <row r="10551">
      <c r="A10551" s="3" t="s">
        <v>25948</v>
      </c>
      <c r="B10551" s="3" t="s">
        <v>9396</v>
      </c>
      <c r="C10551" s="5" t="s">
        <v>206</v>
      </c>
      <c r="D10551" s="3" t="s">
        <v>68</v>
      </c>
      <c r="E10551" s="3" t="s">
        <v>100</v>
      </c>
      <c r="F10551" s="7">
        <v>45952.13400237907</v>
      </c>
      <c r="G10551" s="3" t="s">
        <v>16118</v>
      </c>
    </row>
    <row r="10552">
      <c r="A10552" s="3" t="s">
        <v>25949</v>
      </c>
      <c r="B10552" s="3" t="s">
        <v>9400</v>
      </c>
      <c r="C10552" s="5" t="s">
        <v>45</v>
      </c>
      <c r="D10552" s="3" t="s">
        <v>221</v>
      </c>
      <c r="E10552" s="3" t="s">
        <v>313</v>
      </c>
      <c r="F10552" s="7">
        <v>45952.194760557824</v>
      </c>
      <c r="G10552" s="3" t="s">
        <v>25770</v>
      </c>
    </row>
    <row r="10553">
      <c r="A10553" s="3" t="s">
        <v>25950</v>
      </c>
      <c r="B10553" s="3" t="s">
        <v>9400</v>
      </c>
      <c r="C10553" s="5" t="s">
        <v>221</v>
      </c>
      <c r="D10553" s="3" t="s">
        <v>614</v>
      </c>
      <c r="E10553" s="3" t="s">
        <v>118</v>
      </c>
      <c r="F10553" s="7">
        <v>45952.19823278004</v>
      </c>
      <c r="G10553" s="3" t="s">
        <v>25772</v>
      </c>
    </row>
    <row r="10554">
      <c r="A10554" s="3" t="s">
        <v>25951</v>
      </c>
      <c r="B10554" s="3" t="s">
        <v>9400</v>
      </c>
      <c r="C10554" s="5" t="s">
        <v>614</v>
      </c>
      <c r="D10554" s="3" t="s">
        <v>206</v>
      </c>
      <c r="E10554" s="3" t="s">
        <v>100</v>
      </c>
      <c r="F10554" s="7">
        <v>45952.20170500227</v>
      </c>
      <c r="G10554" s="3" t="s">
        <v>25774</v>
      </c>
    </row>
    <row r="10555">
      <c r="A10555" s="3" t="s">
        <v>25952</v>
      </c>
      <c r="B10555" s="3" t="s">
        <v>9400</v>
      </c>
      <c r="C10555" s="5" t="s">
        <v>206</v>
      </c>
      <c r="D10555" s="3" t="s">
        <v>68</v>
      </c>
      <c r="E10555" s="3" t="s">
        <v>100</v>
      </c>
      <c r="F10555" s="7">
        <v>45952.20517722449</v>
      </c>
      <c r="G10555" s="3" t="s">
        <v>25776</v>
      </c>
    </row>
    <row r="10556">
      <c r="A10556" s="3" t="s">
        <v>25953</v>
      </c>
      <c r="B10556" s="3" t="s">
        <v>9404</v>
      </c>
      <c r="C10556" s="5" t="s">
        <v>45</v>
      </c>
      <c r="D10556" s="3" t="s">
        <v>221</v>
      </c>
      <c r="E10556" s="3" t="s">
        <v>455</v>
      </c>
      <c r="F10556" s="7">
        <v>45952.26593540323</v>
      </c>
      <c r="G10556" s="3" t="s">
        <v>25954</v>
      </c>
    </row>
    <row r="10557">
      <c r="A10557" s="3" t="s">
        <v>25955</v>
      </c>
      <c r="B10557" s="3" t="s">
        <v>9404</v>
      </c>
      <c r="C10557" s="5" t="s">
        <v>221</v>
      </c>
      <c r="D10557" s="3" t="s">
        <v>614</v>
      </c>
      <c r="E10557" s="3" t="s">
        <v>118</v>
      </c>
      <c r="F10557" s="7">
        <v>45952.26940762545</v>
      </c>
      <c r="G10557" s="3" t="s">
        <v>25956</v>
      </c>
    </row>
    <row r="10558">
      <c r="A10558" s="3" t="s">
        <v>25957</v>
      </c>
      <c r="B10558" s="3" t="s">
        <v>9404</v>
      </c>
      <c r="C10558" s="5" t="s">
        <v>614</v>
      </c>
      <c r="D10558" s="3" t="s">
        <v>206</v>
      </c>
      <c r="E10558" s="3" t="s">
        <v>100</v>
      </c>
      <c r="F10558" s="7">
        <v>45952.272879847675</v>
      </c>
      <c r="G10558" s="3" t="s">
        <v>25958</v>
      </c>
    </row>
    <row r="10559">
      <c r="A10559" s="3" t="s">
        <v>25959</v>
      </c>
      <c r="B10559" s="3" t="s">
        <v>9404</v>
      </c>
      <c r="C10559" s="5" t="s">
        <v>206</v>
      </c>
      <c r="D10559" s="3" t="s">
        <v>68</v>
      </c>
      <c r="E10559" s="3" t="s">
        <v>100</v>
      </c>
      <c r="F10559" s="7">
        <v>45952.27635206989</v>
      </c>
      <c r="G10559" s="3" t="s">
        <v>25960</v>
      </c>
    </row>
    <row r="10560">
      <c r="A10560" s="3" t="s">
        <v>25961</v>
      </c>
      <c r="B10560" s="3" t="s">
        <v>9407</v>
      </c>
      <c r="C10560" s="5" t="s">
        <v>45</v>
      </c>
      <c r="D10560" s="3" t="s">
        <v>221</v>
      </c>
      <c r="E10560" s="3" t="s">
        <v>822</v>
      </c>
      <c r="F10560" s="7">
        <v>45952.33711024865</v>
      </c>
      <c r="G10560" s="3" t="s">
        <v>10673</v>
      </c>
    </row>
    <row r="10561">
      <c r="A10561" s="3" t="s">
        <v>25962</v>
      </c>
      <c r="B10561" s="3" t="s">
        <v>9407</v>
      </c>
      <c r="C10561" s="5" t="s">
        <v>221</v>
      </c>
      <c r="D10561" s="3" t="s">
        <v>614</v>
      </c>
      <c r="E10561" s="3" t="s">
        <v>118</v>
      </c>
      <c r="F10561" s="7">
        <v>45952.34058247087</v>
      </c>
      <c r="G10561" s="3" t="s">
        <v>10676</v>
      </c>
    </row>
    <row r="10562">
      <c r="A10562" s="3" t="s">
        <v>25963</v>
      </c>
      <c r="B10562" s="3" t="s">
        <v>9407</v>
      </c>
      <c r="C10562" s="5" t="s">
        <v>614</v>
      </c>
      <c r="D10562" s="3" t="s">
        <v>206</v>
      </c>
      <c r="E10562" s="3" t="s">
        <v>100</v>
      </c>
      <c r="F10562" s="7">
        <v>45952.344054693094</v>
      </c>
      <c r="G10562" s="3" t="s">
        <v>10679</v>
      </c>
    </row>
    <row r="10563">
      <c r="A10563" s="3" t="s">
        <v>25964</v>
      </c>
      <c r="B10563" s="3" t="s">
        <v>9407</v>
      </c>
      <c r="C10563" s="5" t="s">
        <v>206</v>
      </c>
      <c r="D10563" s="3" t="s">
        <v>68</v>
      </c>
      <c r="E10563" s="3" t="s">
        <v>100</v>
      </c>
      <c r="F10563" s="7">
        <v>45952.34752691531</v>
      </c>
      <c r="G10563" s="3" t="s">
        <v>10682</v>
      </c>
    </row>
    <row r="10564">
      <c r="A10564" s="3" t="s">
        <v>25965</v>
      </c>
      <c r="B10564" s="3" t="s">
        <v>9410</v>
      </c>
      <c r="C10564" s="5" t="s">
        <v>45</v>
      </c>
      <c r="D10564" s="3" t="s">
        <v>221</v>
      </c>
      <c r="E10564" s="3" t="s">
        <v>388</v>
      </c>
      <c r="F10564" s="7">
        <v>45952.40828509407</v>
      </c>
      <c r="G10564" s="3" t="s">
        <v>21743</v>
      </c>
    </row>
    <row r="10565">
      <c r="A10565" s="3" t="s">
        <v>25966</v>
      </c>
      <c r="B10565" s="3" t="s">
        <v>9410</v>
      </c>
      <c r="C10565" s="5" t="s">
        <v>221</v>
      </c>
      <c r="D10565" s="3" t="s">
        <v>195</v>
      </c>
      <c r="E10565" s="3" t="s">
        <v>388</v>
      </c>
      <c r="F10565" s="7">
        <v>45952.41175731629</v>
      </c>
      <c r="G10565" s="3" t="s">
        <v>25967</v>
      </c>
    </row>
    <row r="10566">
      <c r="A10566" s="3" t="s">
        <v>25968</v>
      </c>
      <c r="B10566" s="3" t="s">
        <v>9413</v>
      </c>
      <c r="C10566" s="5" t="s">
        <v>45</v>
      </c>
      <c r="D10566" s="3" t="s">
        <v>221</v>
      </c>
      <c r="E10566" s="3" t="s">
        <v>990</v>
      </c>
      <c r="F10566" s="7">
        <v>45952.47945993948</v>
      </c>
      <c r="G10566" s="3" t="s">
        <v>10142</v>
      </c>
    </row>
    <row r="10567">
      <c r="A10567" s="3" t="s">
        <v>25969</v>
      </c>
      <c r="B10567" s="3" t="s">
        <v>9413</v>
      </c>
      <c r="C10567" s="5" t="s">
        <v>221</v>
      </c>
      <c r="D10567" s="3" t="s">
        <v>614</v>
      </c>
      <c r="E10567" s="3" t="s">
        <v>118</v>
      </c>
      <c r="F10567" s="7">
        <v>45952.4829321617</v>
      </c>
      <c r="G10567" s="3" t="s">
        <v>10145</v>
      </c>
    </row>
    <row r="10568">
      <c r="A10568" s="3" t="s">
        <v>25970</v>
      </c>
      <c r="B10568" s="3" t="s">
        <v>9413</v>
      </c>
      <c r="C10568" s="5" t="s">
        <v>614</v>
      </c>
      <c r="D10568" s="3" t="s">
        <v>206</v>
      </c>
      <c r="E10568" s="3" t="s">
        <v>100</v>
      </c>
      <c r="F10568" s="7">
        <v>45952.486404383926</v>
      </c>
      <c r="G10568" s="3" t="s">
        <v>10148</v>
      </c>
    </row>
    <row r="10569">
      <c r="A10569" s="3" t="s">
        <v>25971</v>
      </c>
      <c r="B10569" s="3" t="s">
        <v>9413</v>
      </c>
      <c r="C10569" s="5" t="s">
        <v>206</v>
      </c>
      <c r="D10569" s="3" t="s">
        <v>68</v>
      </c>
      <c r="E10569" s="3" t="s">
        <v>100</v>
      </c>
      <c r="F10569" s="7">
        <v>45952.489876606145</v>
      </c>
      <c r="G10569" s="3" t="s">
        <v>10151</v>
      </c>
    </row>
    <row r="10570">
      <c r="A10570" s="3" t="s">
        <v>25972</v>
      </c>
      <c r="B10570" s="3" t="s">
        <v>9416</v>
      </c>
      <c r="C10570" s="5" t="s">
        <v>45</v>
      </c>
      <c r="D10570" s="3" t="s">
        <v>221</v>
      </c>
      <c r="E10570" s="3" t="s">
        <v>763</v>
      </c>
      <c r="F10570" s="7">
        <v>45952.55063478489</v>
      </c>
      <c r="G10570" s="3" t="s">
        <v>10689</v>
      </c>
    </row>
    <row r="10571">
      <c r="A10571" s="3" t="s">
        <v>25973</v>
      </c>
      <c r="B10571" s="3" t="s">
        <v>9416</v>
      </c>
      <c r="C10571" s="5" t="s">
        <v>221</v>
      </c>
      <c r="D10571" s="3" t="s">
        <v>614</v>
      </c>
      <c r="E10571" s="3" t="s">
        <v>118</v>
      </c>
      <c r="F10571" s="7">
        <v>45952.55410700711</v>
      </c>
      <c r="G10571" s="3" t="s">
        <v>10692</v>
      </c>
    </row>
    <row r="10572">
      <c r="A10572" s="3" t="s">
        <v>25974</v>
      </c>
      <c r="B10572" s="3" t="s">
        <v>9416</v>
      </c>
      <c r="C10572" s="5" t="s">
        <v>614</v>
      </c>
      <c r="D10572" s="3" t="s">
        <v>206</v>
      </c>
      <c r="E10572" s="3" t="s">
        <v>100</v>
      </c>
      <c r="F10572" s="7">
        <v>45952.55757922934</v>
      </c>
      <c r="G10572" s="3" t="s">
        <v>10695</v>
      </c>
    </row>
    <row r="10573">
      <c r="A10573" s="3" t="s">
        <v>25975</v>
      </c>
      <c r="B10573" s="3" t="s">
        <v>9416</v>
      </c>
      <c r="C10573" s="5" t="s">
        <v>206</v>
      </c>
      <c r="D10573" s="3" t="s">
        <v>68</v>
      </c>
      <c r="E10573" s="3" t="s">
        <v>100</v>
      </c>
      <c r="F10573" s="7">
        <v>45952.56105145156</v>
      </c>
      <c r="G10573" s="3" t="s">
        <v>10698</v>
      </c>
    </row>
    <row r="10574">
      <c r="A10574" s="3" t="s">
        <v>25976</v>
      </c>
      <c r="B10574" s="3" t="s">
        <v>9421</v>
      </c>
      <c r="C10574" s="5" t="s">
        <v>45</v>
      </c>
      <c r="D10574" s="3" t="s">
        <v>221</v>
      </c>
      <c r="E10574" s="3" t="s">
        <v>479</v>
      </c>
      <c r="F10574" s="7">
        <v>45952.62180963031</v>
      </c>
      <c r="G10574" s="3" t="s">
        <v>15970</v>
      </c>
    </row>
    <row r="10575">
      <c r="A10575" s="3" t="s">
        <v>25977</v>
      </c>
      <c r="B10575" s="3" t="s">
        <v>9421</v>
      </c>
      <c r="C10575" s="5" t="s">
        <v>221</v>
      </c>
      <c r="D10575" s="3" t="s">
        <v>614</v>
      </c>
      <c r="E10575" s="3" t="s">
        <v>118</v>
      </c>
      <c r="F10575" s="7">
        <v>45952.62528185253</v>
      </c>
      <c r="G10575" s="3" t="s">
        <v>17307</v>
      </c>
    </row>
    <row r="10576">
      <c r="A10576" s="3" t="s">
        <v>25978</v>
      </c>
      <c r="B10576" s="3" t="s">
        <v>9421</v>
      </c>
      <c r="C10576" s="5" t="s">
        <v>614</v>
      </c>
      <c r="D10576" s="3" t="s">
        <v>206</v>
      </c>
      <c r="E10576" s="3" t="s">
        <v>100</v>
      </c>
      <c r="F10576" s="7">
        <v>45952.62875407476</v>
      </c>
      <c r="G10576" s="3" t="s">
        <v>17310</v>
      </c>
    </row>
    <row r="10577">
      <c r="A10577" s="3" t="s">
        <v>25979</v>
      </c>
      <c r="B10577" s="3" t="s">
        <v>9421</v>
      </c>
      <c r="C10577" s="5" t="s">
        <v>206</v>
      </c>
      <c r="D10577" s="3" t="s">
        <v>68</v>
      </c>
      <c r="E10577" s="3" t="s">
        <v>100</v>
      </c>
      <c r="F10577" s="7">
        <v>45952.63222629698</v>
      </c>
      <c r="G10577" s="3" t="s">
        <v>17312</v>
      </c>
    </row>
    <row r="10578">
      <c r="A10578" s="3" t="s">
        <v>25980</v>
      </c>
      <c r="B10578" s="3" t="s">
        <v>9424</v>
      </c>
      <c r="C10578" s="5" t="s">
        <v>45</v>
      </c>
      <c r="D10578" s="3" t="s">
        <v>221</v>
      </c>
      <c r="E10578" s="3" t="s">
        <v>593</v>
      </c>
      <c r="F10578" s="7">
        <v>45952.692984475725</v>
      </c>
      <c r="G10578" s="3" t="s">
        <v>25202</v>
      </c>
    </row>
    <row r="10579">
      <c r="A10579" s="3" t="s">
        <v>25981</v>
      </c>
      <c r="B10579" s="3" t="s">
        <v>9424</v>
      </c>
      <c r="C10579" s="5" t="s">
        <v>221</v>
      </c>
      <c r="D10579" s="3" t="s">
        <v>181</v>
      </c>
      <c r="E10579" s="3" t="s">
        <v>118</v>
      </c>
      <c r="F10579" s="7">
        <v>45952.696456697944</v>
      </c>
      <c r="G10579" s="3" t="s">
        <v>25982</v>
      </c>
    </row>
    <row r="10580">
      <c r="A10580" s="3" t="s">
        <v>25983</v>
      </c>
      <c r="B10580" s="3" t="s">
        <v>9426</v>
      </c>
      <c r="C10580" s="5" t="s">
        <v>45</v>
      </c>
      <c r="D10580" s="3" t="s">
        <v>221</v>
      </c>
      <c r="E10580" s="3" t="s">
        <v>211</v>
      </c>
      <c r="F10580" s="7">
        <v>45952.76415932114</v>
      </c>
      <c r="G10580" s="3" t="s">
        <v>10701</v>
      </c>
    </row>
    <row r="10581">
      <c r="A10581" s="3" t="s">
        <v>25984</v>
      </c>
      <c r="B10581" s="3" t="s">
        <v>9426</v>
      </c>
      <c r="C10581" s="5" t="s">
        <v>221</v>
      </c>
      <c r="D10581" s="3" t="s">
        <v>614</v>
      </c>
      <c r="E10581" s="3" t="s">
        <v>118</v>
      </c>
      <c r="F10581" s="7">
        <v>45952.76763154336</v>
      </c>
      <c r="G10581" s="3" t="s">
        <v>10703</v>
      </c>
    </row>
    <row r="10582">
      <c r="A10582" s="3" t="s">
        <v>25985</v>
      </c>
      <c r="B10582" s="3" t="s">
        <v>9426</v>
      </c>
      <c r="C10582" s="5" t="s">
        <v>614</v>
      </c>
      <c r="D10582" s="3" t="s">
        <v>206</v>
      </c>
      <c r="E10582" s="3" t="s">
        <v>100</v>
      </c>
      <c r="F10582" s="7">
        <v>45952.77110376558</v>
      </c>
      <c r="G10582" s="3" t="s">
        <v>10706</v>
      </c>
    </row>
    <row r="10583">
      <c r="A10583" s="3" t="s">
        <v>25986</v>
      </c>
      <c r="B10583" s="3" t="s">
        <v>9426</v>
      </c>
      <c r="C10583" s="5" t="s">
        <v>206</v>
      </c>
      <c r="D10583" s="3" t="s">
        <v>68</v>
      </c>
      <c r="E10583" s="3" t="s">
        <v>100</v>
      </c>
      <c r="F10583" s="7">
        <v>45952.7745759878</v>
      </c>
      <c r="G10583" s="3" t="s">
        <v>10709</v>
      </c>
    </row>
    <row r="10584">
      <c r="A10584" s="3" t="s">
        <v>25987</v>
      </c>
      <c r="B10584" s="3" t="s">
        <v>9429</v>
      </c>
      <c r="C10584" s="5" t="s">
        <v>45</v>
      </c>
      <c r="D10584" s="3" t="s">
        <v>221</v>
      </c>
      <c r="E10584" s="3" t="s">
        <v>609</v>
      </c>
      <c r="F10584" s="7">
        <v>45952.83533416656</v>
      </c>
      <c r="G10584" s="3" t="s">
        <v>4164</v>
      </c>
    </row>
    <row r="10585">
      <c r="A10585" s="3" t="s">
        <v>25988</v>
      </c>
      <c r="B10585" s="3" t="s">
        <v>9429</v>
      </c>
      <c r="C10585" s="5" t="s">
        <v>221</v>
      </c>
      <c r="D10585" s="3" t="s">
        <v>614</v>
      </c>
      <c r="E10585" s="3" t="s">
        <v>118</v>
      </c>
      <c r="F10585" s="7">
        <v>45952.838806388776</v>
      </c>
      <c r="G10585" s="3" t="s">
        <v>4167</v>
      </c>
    </row>
    <row r="10586">
      <c r="A10586" s="3" t="s">
        <v>25989</v>
      </c>
      <c r="B10586" s="3" t="s">
        <v>9429</v>
      </c>
      <c r="C10586" s="5" t="s">
        <v>614</v>
      </c>
      <c r="D10586" s="3" t="s">
        <v>206</v>
      </c>
      <c r="E10586" s="3" t="s">
        <v>100</v>
      </c>
      <c r="F10586" s="7">
        <v>45952.842278611</v>
      </c>
      <c r="G10586" s="3" t="s">
        <v>4169</v>
      </c>
    </row>
    <row r="10587">
      <c r="A10587" s="3" t="s">
        <v>25990</v>
      </c>
      <c r="B10587" s="3" t="s">
        <v>9429</v>
      </c>
      <c r="C10587" s="5" t="s">
        <v>206</v>
      </c>
      <c r="D10587" s="3" t="s">
        <v>68</v>
      </c>
      <c r="E10587" s="3" t="s">
        <v>100</v>
      </c>
      <c r="F10587" s="7">
        <v>45952.84575083322</v>
      </c>
      <c r="G10587" s="3" t="s">
        <v>4172</v>
      </c>
    </row>
    <row r="10588">
      <c r="A10588" s="3" t="s">
        <v>25991</v>
      </c>
      <c r="B10588" s="3" t="s">
        <v>9433</v>
      </c>
      <c r="C10588" s="5" t="s">
        <v>45</v>
      </c>
      <c r="D10588" s="3" t="s">
        <v>221</v>
      </c>
      <c r="E10588" s="3" t="s">
        <v>587</v>
      </c>
      <c r="F10588" s="7">
        <v>45952.90650901197</v>
      </c>
      <c r="G10588" s="3" t="s">
        <v>25261</v>
      </c>
    </row>
    <row r="10589">
      <c r="A10589" s="3" t="s">
        <v>25992</v>
      </c>
      <c r="B10589" s="3" t="s">
        <v>9433</v>
      </c>
      <c r="C10589" s="5" t="s">
        <v>221</v>
      </c>
      <c r="D10589" s="3" t="s">
        <v>614</v>
      </c>
      <c r="E10589" s="3" t="s">
        <v>118</v>
      </c>
      <c r="F10589" s="7">
        <v>45952.90998123419</v>
      </c>
      <c r="G10589" s="3" t="s">
        <v>25263</v>
      </c>
    </row>
    <row r="10590">
      <c r="A10590" s="3" t="s">
        <v>25993</v>
      </c>
      <c r="B10590" s="3" t="s">
        <v>9433</v>
      </c>
      <c r="C10590" s="5" t="s">
        <v>614</v>
      </c>
      <c r="D10590" s="3" t="s">
        <v>206</v>
      </c>
      <c r="E10590" s="3" t="s">
        <v>100</v>
      </c>
      <c r="F10590" s="7">
        <v>45952.913453456415</v>
      </c>
      <c r="G10590" s="3" t="s">
        <v>25265</v>
      </c>
    </row>
    <row r="10591">
      <c r="A10591" s="3" t="s">
        <v>25994</v>
      </c>
      <c r="B10591" s="3" t="s">
        <v>9433</v>
      </c>
      <c r="C10591" s="5" t="s">
        <v>206</v>
      </c>
      <c r="D10591" s="3" t="s">
        <v>68</v>
      </c>
      <c r="E10591" s="3" t="s">
        <v>100</v>
      </c>
      <c r="F10591" s="7">
        <v>45952.91692567863</v>
      </c>
      <c r="G10591" s="3" t="s">
        <v>25267</v>
      </c>
    </row>
    <row r="10592">
      <c r="A10592" s="3" t="s">
        <v>25995</v>
      </c>
      <c r="B10592" s="3" t="s">
        <v>9436</v>
      </c>
      <c r="C10592" s="5" t="s">
        <v>45</v>
      </c>
      <c r="D10592" s="3" t="s">
        <v>221</v>
      </c>
      <c r="E10592" s="3" t="s">
        <v>326</v>
      </c>
      <c r="F10592" s="7">
        <v>45952.97768385738</v>
      </c>
      <c r="G10592" s="3" t="s">
        <v>12088</v>
      </c>
    </row>
    <row r="10593">
      <c r="A10593" s="3" t="s">
        <v>25996</v>
      </c>
      <c r="B10593" s="3" t="s">
        <v>9436</v>
      </c>
      <c r="C10593" s="5" t="s">
        <v>221</v>
      </c>
      <c r="D10593" s="3" t="s">
        <v>614</v>
      </c>
      <c r="E10593" s="3" t="s">
        <v>118</v>
      </c>
      <c r="F10593" s="7">
        <v>45952.9811560796</v>
      </c>
      <c r="G10593" s="3" t="s">
        <v>12091</v>
      </c>
    </row>
    <row r="10594">
      <c r="A10594" s="3" t="s">
        <v>25997</v>
      </c>
      <c r="B10594" s="3" t="s">
        <v>9436</v>
      </c>
      <c r="C10594" s="5" t="s">
        <v>614</v>
      </c>
      <c r="D10594" s="3" t="s">
        <v>206</v>
      </c>
      <c r="E10594" s="3" t="s">
        <v>100</v>
      </c>
      <c r="F10594" s="7">
        <v>45952.98462830183</v>
      </c>
      <c r="G10594" s="3" t="s">
        <v>12094</v>
      </c>
    </row>
    <row r="10595">
      <c r="A10595" s="3" t="s">
        <v>25998</v>
      </c>
      <c r="B10595" s="3" t="s">
        <v>9436</v>
      </c>
      <c r="C10595" s="5" t="s">
        <v>206</v>
      </c>
      <c r="D10595" s="3" t="s">
        <v>68</v>
      </c>
      <c r="E10595" s="3" t="s">
        <v>100</v>
      </c>
      <c r="F10595" s="7">
        <v>45952.988100524046</v>
      </c>
      <c r="G10595" s="3" t="s">
        <v>12097</v>
      </c>
    </row>
    <row r="10596">
      <c r="A10596" s="3" t="s">
        <v>25999</v>
      </c>
      <c r="B10596" s="3" t="s">
        <v>9439</v>
      </c>
      <c r="C10596" s="5" t="s">
        <v>45</v>
      </c>
      <c r="D10596" s="3" t="s">
        <v>221</v>
      </c>
      <c r="E10596" s="3" t="s">
        <v>725</v>
      </c>
      <c r="F10596" s="7">
        <v>45953.0488587028</v>
      </c>
      <c r="G10596" s="3" t="s">
        <v>18531</v>
      </c>
    </row>
    <row r="10597">
      <c r="A10597" s="3" t="s">
        <v>26000</v>
      </c>
      <c r="B10597" s="3" t="s">
        <v>9439</v>
      </c>
      <c r="C10597" s="5" t="s">
        <v>221</v>
      </c>
      <c r="D10597" s="3" t="s">
        <v>614</v>
      </c>
      <c r="E10597" s="3" t="s">
        <v>118</v>
      </c>
      <c r="F10597" s="7">
        <v>45953.05233092502</v>
      </c>
      <c r="G10597" s="3" t="s">
        <v>18534</v>
      </c>
    </row>
    <row r="10598">
      <c r="A10598" s="3" t="s">
        <v>26001</v>
      </c>
      <c r="B10598" s="3" t="s">
        <v>9439</v>
      </c>
      <c r="C10598" s="5" t="s">
        <v>614</v>
      </c>
      <c r="D10598" s="3" t="s">
        <v>206</v>
      </c>
      <c r="E10598" s="3" t="s">
        <v>100</v>
      </c>
      <c r="F10598" s="7">
        <v>45953.05580314725</v>
      </c>
      <c r="G10598" s="3" t="s">
        <v>18536</v>
      </c>
    </row>
    <row r="10599">
      <c r="A10599" s="3" t="s">
        <v>26002</v>
      </c>
      <c r="B10599" s="3" t="s">
        <v>9439</v>
      </c>
      <c r="C10599" s="5" t="s">
        <v>206</v>
      </c>
      <c r="D10599" s="3" t="s">
        <v>68</v>
      </c>
      <c r="E10599" s="3" t="s">
        <v>100</v>
      </c>
      <c r="F10599" s="7">
        <v>45953.059275369465</v>
      </c>
      <c r="G10599" s="3" t="s">
        <v>18539</v>
      </c>
    </row>
    <row r="10600">
      <c r="A10600" s="3" t="s">
        <v>26003</v>
      </c>
      <c r="B10600" s="3" t="s">
        <v>9443</v>
      </c>
      <c r="C10600" s="5" t="s">
        <v>45</v>
      </c>
      <c r="D10600" s="3" t="s">
        <v>221</v>
      </c>
      <c r="E10600" s="3" t="s">
        <v>468</v>
      </c>
      <c r="F10600" s="7">
        <v>45953.12003354821</v>
      </c>
      <c r="G10600" s="3" t="s">
        <v>10712</v>
      </c>
    </row>
    <row r="10601">
      <c r="A10601" s="3" t="s">
        <v>26004</v>
      </c>
      <c r="B10601" s="3" t="s">
        <v>9443</v>
      </c>
      <c r="C10601" s="5" t="s">
        <v>221</v>
      </c>
      <c r="D10601" s="3" t="s">
        <v>614</v>
      </c>
      <c r="E10601" s="3" t="s">
        <v>118</v>
      </c>
      <c r="F10601" s="7">
        <v>45953.12350577043</v>
      </c>
      <c r="G10601" s="3" t="s">
        <v>10714</v>
      </c>
    </row>
    <row r="10602">
      <c r="A10602" s="3" t="s">
        <v>26005</v>
      </c>
      <c r="B10602" s="3" t="s">
        <v>9443</v>
      </c>
      <c r="C10602" s="5" t="s">
        <v>614</v>
      </c>
      <c r="D10602" s="3" t="s">
        <v>206</v>
      </c>
      <c r="E10602" s="3" t="s">
        <v>100</v>
      </c>
      <c r="F10602" s="7">
        <v>45953.12697799266</v>
      </c>
      <c r="G10602" s="3" t="s">
        <v>10717</v>
      </c>
    </row>
    <row r="10603">
      <c r="A10603" s="3" t="s">
        <v>26006</v>
      </c>
      <c r="B10603" s="3" t="s">
        <v>9443</v>
      </c>
      <c r="C10603" s="5" t="s">
        <v>206</v>
      </c>
      <c r="D10603" s="3" t="s">
        <v>68</v>
      </c>
      <c r="E10603" s="3" t="s">
        <v>100</v>
      </c>
      <c r="F10603" s="7">
        <v>45953.13045021488</v>
      </c>
      <c r="G10603" s="3" t="s">
        <v>10721</v>
      </c>
    </row>
    <row r="10604">
      <c r="A10604" s="3" t="s">
        <v>26007</v>
      </c>
      <c r="B10604" s="3" t="s">
        <v>9447</v>
      </c>
      <c r="C10604" s="5" t="s">
        <v>45</v>
      </c>
      <c r="D10604" s="3" t="s">
        <v>221</v>
      </c>
      <c r="E10604" s="3" t="s">
        <v>822</v>
      </c>
      <c r="F10604" s="7">
        <v>45953.19120839363</v>
      </c>
      <c r="G10604" s="3" t="s">
        <v>23923</v>
      </c>
    </row>
    <row r="10605">
      <c r="A10605" s="3" t="s">
        <v>26008</v>
      </c>
      <c r="B10605" s="3" t="s">
        <v>9447</v>
      </c>
      <c r="C10605" s="5" t="s">
        <v>221</v>
      </c>
      <c r="D10605" s="3" t="s">
        <v>614</v>
      </c>
      <c r="E10605" s="3" t="s">
        <v>118</v>
      </c>
      <c r="F10605" s="7">
        <v>45953.19468061585</v>
      </c>
      <c r="G10605" s="3" t="s">
        <v>25622</v>
      </c>
    </row>
    <row r="10606">
      <c r="A10606" s="3" t="s">
        <v>26009</v>
      </c>
      <c r="B10606" s="3" t="s">
        <v>9447</v>
      </c>
      <c r="C10606" s="5" t="s">
        <v>614</v>
      </c>
      <c r="D10606" s="3" t="s">
        <v>206</v>
      </c>
      <c r="E10606" s="3" t="s">
        <v>100</v>
      </c>
      <c r="F10606" s="7">
        <v>45953.19815283808</v>
      </c>
      <c r="G10606" s="3" t="s">
        <v>25624</v>
      </c>
    </row>
    <row r="10607">
      <c r="A10607" s="3" t="s">
        <v>26010</v>
      </c>
      <c r="B10607" s="3" t="s">
        <v>9447</v>
      </c>
      <c r="C10607" s="5" t="s">
        <v>206</v>
      </c>
      <c r="D10607" s="3" t="s">
        <v>68</v>
      </c>
      <c r="E10607" s="3" t="s">
        <v>100</v>
      </c>
      <c r="F10607" s="7">
        <v>45953.2016250603</v>
      </c>
      <c r="G10607" s="3" t="s">
        <v>25626</v>
      </c>
    </row>
    <row r="10608">
      <c r="A10608" s="3" t="s">
        <v>26011</v>
      </c>
      <c r="B10608" s="3" t="s">
        <v>9449</v>
      </c>
      <c r="C10608" s="5" t="s">
        <v>45</v>
      </c>
      <c r="D10608" s="3" t="s">
        <v>221</v>
      </c>
      <c r="E10608" s="3" t="s">
        <v>710</v>
      </c>
      <c r="F10608" s="7">
        <v>45953.262383239045</v>
      </c>
      <c r="G10608" s="3" t="s">
        <v>10769</v>
      </c>
    </row>
    <row r="10609">
      <c r="A10609" s="3" t="s">
        <v>26012</v>
      </c>
      <c r="B10609" s="3" t="s">
        <v>9449</v>
      </c>
      <c r="C10609" s="5" t="s">
        <v>221</v>
      </c>
      <c r="D10609" s="3" t="s">
        <v>614</v>
      </c>
      <c r="E10609" s="3" t="s">
        <v>118</v>
      </c>
      <c r="F10609" s="7">
        <v>45953.265855461264</v>
      </c>
      <c r="G10609" s="3" t="s">
        <v>10772</v>
      </c>
    </row>
    <row r="10610">
      <c r="A10610" s="3" t="s">
        <v>26013</v>
      </c>
      <c r="B10610" s="3" t="s">
        <v>9449</v>
      </c>
      <c r="C10610" s="5" t="s">
        <v>614</v>
      </c>
      <c r="D10610" s="3" t="s">
        <v>206</v>
      </c>
      <c r="E10610" s="3" t="s">
        <v>100</v>
      </c>
      <c r="F10610" s="7">
        <v>45953.26932768349</v>
      </c>
      <c r="G10610" s="3" t="s">
        <v>10775</v>
      </c>
    </row>
    <row r="10611">
      <c r="A10611" s="3" t="s">
        <v>26014</v>
      </c>
      <c r="B10611" s="3" t="s">
        <v>9449</v>
      </c>
      <c r="C10611" s="5" t="s">
        <v>206</v>
      </c>
      <c r="D10611" s="3" t="s">
        <v>68</v>
      </c>
      <c r="E10611" s="3" t="s">
        <v>100</v>
      </c>
      <c r="F10611" s="7">
        <v>45953.27279990571</v>
      </c>
      <c r="G10611" s="3" t="s">
        <v>10778</v>
      </c>
    </row>
    <row r="10612">
      <c r="A10612" s="3" t="s">
        <v>26015</v>
      </c>
      <c r="B10612" s="3" t="s">
        <v>9451</v>
      </c>
      <c r="C10612" s="5" t="s">
        <v>45</v>
      </c>
      <c r="D10612" s="3" t="s">
        <v>221</v>
      </c>
      <c r="E10612" s="3" t="s">
        <v>722</v>
      </c>
      <c r="F10612" s="7">
        <v>45953.333558084465</v>
      </c>
      <c r="G10612" s="3" t="s">
        <v>14712</v>
      </c>
    </row>
    <row r="10613">
      <c r="A10613" s="3" t="s">
        <v>26016</v>
      </c>
      <c r="B10613" s="3" t="s">
        <v>9451</v>
      </c>
      <c r="C10613" s="5" t="s">
        <v>221</v>
      </c>
      <c r="D10613" s="3" t="s">
        <v>614</v>
      </c>
      <c r="E10613" s="3" t="s">
        <v>118</v>
      </c>
      <c r="F10613" s="7">
        <v>45953.337030306684</v>
      </c>
      <c r="G10613" s="3" t="s">
        <v>14715</v>
      </c>
    </row>
    <row r="10614">
      <c r="A10614" s="3" t="s">
        <v>26017</v>
      </c>
      <c r="B10614" s="3" t="s">
        <v>9451</v>
      </c>
      <c r="C10614" s="5" t="s">
        <v>614</v>
      </c>
      <c r="D10614" s="3" t="s">
        <v>206</v>
      </c>
      <c r="E10614" s="3" t="s">
        <v>100</v>
      </c>
      <c r="F10614" s="7">
        <v>45953.34050252891</v>
      </c>
      <c r="G10614" s="3" t="s">
        <v>14718</v>
      </c>
    </row>
    <row r="10615">
      <c r="A10615" s="3" t="s">
        <v>26018</v>
      </c>
      <c r="B10615" s="3" t="s">
        <v>9451</v>
      </c>
      <c r="C10615" s="5" t="s">
        <v>206</v>
      </c>
      <c r="D10615" s="3" t="s">
        <v>68</v>
      </c>
      <c r="E10615" s="3" t="s">
        <v>100</v>
      </c>
      <c r="F10615" s="7">
        <v>45953.34397475113</v>
      </c>
      <c r="G10615" s="3" t="s">
        <v>14721</v>
      </c>
    </row>
    <row r="10616">
      <c r="A10616" s="3" t="s">
        <v>26019</v>
      </c>
      <c r="B10616" s="3" t="s">
        <v>9453</v>
      </c>
      <c r="C10616" s="5" t="s">
        <v>45</v>
      </c>
      <c r="D10616" s="3" t="s">
        <v>221</v>
      </c>
      <c r="E10616" s="3" t="s">
        <v>1043</v>
      </c>
      <c r="F10616" s="7">
        <v>45953.40473292987</v>
      </c>
      <c r="G10616" s="3" t="s">
        <v>5732</v>
      </c>
    </row>
    <row r="10617">
      <c r="A10617" s="3" t="s">
        <v>26020</v>
      </c>
      <c r="B10617" s="3" t="s">
        <v>9453</v>
      </c>
      <c r="C10617" s="5" t="s">
        <v>221</v>
      </c>
      <c r="D10617" s="3" t="s">
        <v>614</v>
      </c>
      <c r="E10617" s="3" t="s">
        <v>118</v>
      </c>
      <c r="F10617" s="7">
        <v>45953.40820515209</v>
      </c>
      <c r="G10617" s="3" t="s">
        <v>5735</v>
      </c>
    </row>
    <row r="10618">
      <c r="A10618" s="3" t="s">
        <v>26021</v>
      </c>
      <c r="B10618" s="3" t="s">
        <v>9453</v>
      </c>
      <c r="C10618" s="5" t="s">
        <v>614</v>
      </c>
      <c r="D10618" s="3" t="s">
        <v>206</v>
      </c>
      <c r="E10618" s="3" t="s">
        <v>100</v>
      </c>
      <c r="F10618" s="7">
        <v>45953.411677374315</v>
      </c>
      <c r="G10618" s="3" t="s">
        <v>5738</v>
      </c>
    </row>
    <row r="10619">
      <c r="A10619" s="3" t="s">
        <v>26022</v>
      </c>
      <c r="B10619" s="3" t="s">
        <v>9453</v>
      </c>
      <c r="C10619" s="5" t="s">
        <v>206</v>
      </c>
      <c r="D10619" s="3" t="s">
        <v>68</v>
      </c>
      <c r="E10619" s="3" t="s">
        <v>100</v>
      </c>
      <c r="F10619" s="7">
        <v>45953.415149596534</v>
      </c>
      <c r="G10619" s="3" t="s">
        <v>5741</v>
      </c>
    </row>
    <row r="10620">
      <c r="A10620" s="3" t="s">
        <v>26023</v>
      </c>
      <c r="B10620" s="3" t="s">
        <v>9455</v>
      </c>
      <c r="C10620" s="5" t="s">
        <v>45</v>
      </c>
      <c r="D10620" s="3" t="s">
        <v>221</v>
      </c>
      <c r="E10620" s="3" t="s">
        <v>436</v>
      </c>
      <c r="F10620" s="7">
        <v>45953.47590777529</v>
      </c>
      <c r="G10620" s="3" t="s">
        <v>7732</v>
      </c>
    </row>
    <row r="10621">
      <c r="A10621" s="3" t="s">
        <v>26024</v>
      </c>
      <c r="B10621" s="3" t="s">
        <v>9455</v>
      </c>
      <c r="C10621" s="5" t="s">
        <v>221</v>
      </c>
      <c r="D10621" s="3" t="s">
        <v>614</v>
      </c>
      <c r="E10621" s="3" t="s">
        <v>118</v>
      </c>
      <c r="F10621" s="7">
        <v>45953.47937999751</v>
      </c>
      <c r="G10621" s="3" t="s">
        <v>7735</v>
      </c>
    </row>
    <row r="10622">
      <c r="A10622" s="3" t="s">
        <v>26025</v>
      </c>
      <c r="B10622" s="3" t="s">
        <v>9455</v>
      </c>
      <c r="C10622" s="5" t="s">
        <v>614</v>
      </c>
      <c r="D10622" s="3" t="s">
        <v>206</v>
      </c>
      <c r="E10622" s="3" t="s">
        <v>100</v>
      </c>
      <c r="F10622" s="7">
        <v>45953.482852219735</v>
      </c>
      <c r="G10622" s="3" t="s">
        <v>7738</v>
      </c>
    </row>
    <row r="10623">
      <c r="A10623" s="3" t="s">
        <v>26026</v>
      </c>
      <c r="B10623" s="3" t="s">
        <v>9455</v>
      </c>
      <c r="C10623" s="5" t="s">
        <v>206</v>
      </c>
      <c r="D10623" s="3" t="s">
        <v>68</v>
      </c>
      <c r="E10623" s="3" t="s">
        <v>100</v>
      </c>
      <c r="F10623" s="7">
        <v>45953.486324441954</v>
      </c>
      <c r="G10623" s="3" t="s">
        <v>7741</v>
      </c>
    </row>
    <row r="10624">
      <c r="A10624" s="3" t="s">
        <v>26027</v>
      </c>
      <c r="B10624" s="3" t="s">
        <v>9458</v>
      </c>
      <c r="C10624" s="5" t="s">
        <v>45</v>
      </c>
      <c r="D10624" s="3" t="s">
        <v>221</v>
      </c>
      <c r="E10624" s="3" t="s">
        <v>961</v>
      </c>
      <c r="F10624" s="7">
        <v>45953.54708262071</v>
      </c>
      <c r="G10624" s="3" t="s">
        <v>10793</v>
      </c>
    </row>
    <row r="10625">
      <c r="A10625" s="3" t="s">
        <v>26028</v>
      </c>
      <c r="B10625" s="3" t="s">
        <v>9458</v>
      </c>
      <c r="C10625" s="5" t="s">
        <v>221</v>
      </c>
      <c r="D10625" s="3" t="s">
        <v>614</v>
      </c>
      <c r="E10625" s="3" t="s">
        <v>118</v>
      </c>
      <c r="F10625" s="7">
        <v>45953.55055484293</v>
      </c>
      <c r="G10625" s="3" t="s">
        <v>10796</v>
      </c>
    </row>
    <row r="10626">
      <c r="A10626" s="3" t="s">
        <v>26029</v>
      </c>
      <c r="B10626" s="3" t="s">
        <v>9458</v>
      </c>
      <c r="C10626" s="5" t="s">
        <v>614</v>
      </c>
      <c r="D10626" s="3" t="s">
        <v>206</v>
      </c>
      <c r="E10626" s="3" t="s">
        <v>100</v>
      </c>
      <c r="F10626" s="7">
        <v>45953.554027065155</v>
      </c>
      <c r="G10626" s="3" t="s">
        <v>10799</v>
      </c>
    </row>
    <row r="10627">
      <c r="A10627" s="3" t="s">
        <v>26030</v>
      </c>
      <c r="B10627" s="3" t="s">
        <v>9458</v>
      </c>
      <c r="C10627" s="5" t="s">
        <v>206</v>
      </c>
      <c r="D10627" s="3" t="s">
        <v>68</v>
      </c>
      <c r="E10627" s="3" t="s">
        <v>100</v>
      </c>
      <c r="F10627" s="7">
        <v>45953.55749928737</v>
      </c>
      <c r="G10627" s="3" t="s">
        <v>10802</v>
      </c>
    </row>
    <row r="10628">
      <c r="A10628" s="3" t="s">
        <v>26031</v>
      </c>
      <c r="B10628" s="3" t="s">
        <v>9459</v>
      </c>
      <c r="C10628" s="5" t="s">
        <v>45</v>
      </c>
      <c r="D10628" s="3" t="s">
        <v>221</v>
      </c>
      <c r="E10628" s="3" t="s">
        <v>430</v>
      </c>
      <c r="F10628" s="7">
        <v>45953.61825746612</v>
      </c>
      <c r="G10628" s="3" t="s">
        <v>10810</v>
      </c>
    </row>
    <row r="10629">
      <c r="A10629" s="3" t="s">
        <v>26032</v>
      </c>
      <c r="B10629" s="3" t="s">
        <v>9459</v>
      </c>
      <c r="C10629" s="5" t="s">
        <v>221</v>
      </c>
      <c r="D10629" s="3" t="s">
        <v>614</v>
      </c>
      <c r="E10629" s="3" t="s">
        <v>118</v>
      </c>
      <c r="F10629" s="7">
        <v>45953.62172968834</v>
      </c>
      <c r="G10629" s="3" t="s">
        <v>10813</v>
      </c>
    </row>
    <row r="10630">
      <c r="A10630" s="3" t="s">
        <v>26033</v>
      </c>
      <c r="B10630" s="3" t="s">
        <v>9459</v>
      </c>
      <c r="C10630" s="5" t="s">
        <v>614</v>
      </c>
      <c r="D10630" s="3" t="s">
        <v>206</v>
      </c>
      <c r="E10630" s="3" t="s">
        <v>100</v>
      </c>
      <c r="F10630" s="7">
        <v>45953.62520191057</v>
      </c>
      <c r="G10630" s="3" t="s">
        <v>10816</v>
      </c>
    </row>
    <row r="10631">
      <c r="A10631" s="3" t="s">
        <v>26034</v>
      </c>
      <c r="B10631" s="3" t="s">
        <v>9459</v>
      </c>
      <c r="C10631" s="5" t="s">
        <v>206</v>
      </c>
      <c r="D10631" s="3" t="s">
        <v>68</v>
      </c>
      <c r="E10631" s="3" t="s">
        <v>100</v>
      </c>
      <c r="F10631" s="7">
        <v>45953.628674132786</v>
      </c>
      <c r="G10631" s="3" t="s">
        <v>10819</v>
      </c>
    </row>
    <row r="10632">
      <c r="A10632" s="3" t="s">
        <v>26035</v>
      </c>
      <c r="B10632" s="3" t="s">
        <v>9464</v>
      </c>
      <c r="C10632" s="5" t="s">
        <v>45</v>
      </c>
      <c r="D10632" s="3" t="s">
        <v>221</v>
      </c>
      <c r="E10632" s="3" t="s">
        <v>475</v>
      </c>
      <c r="F10632" s="7">
        <v>45953.689432311534</v>
      </c>
      <c r="G10632" s="3" t="s">
        <v>16986</v>
      </c>
    </row>
    <row r="10633">
      <c r="A10633" s="3" t="s">
        <v>26036</v>
      </c>
      <c r="B10633" s="3" t="s">
        <v>9464</v>
      </c>
      <c r="C10633" s="5" t="s">
        <v>221</v>
      </c>
      <c r="D10633" s="3" t="s">
        <v>614</v>
      </c>
      <c r="E10633" s="3" t="s">
        <v>118</v>
      </c>
      <c r="F10633" s="7">
        <v>45953.69290453375</v>
      </c>
      <c r="G10633" s="3" t="s">
        <v>16988</v>
      </c>
    </row>
    <row r="10634">
      <c r="A10634" s="3" t="s">
        <v>26037</v>
      </c>
      <c r="B10634" s="3" t="s">
        <v>9464</v>
      </c>
      <c r="C10634" s="5" t="s">
        <v>614</v>
      </c>
      <c r="D10634" s="3" t="s">
        <v>206</v>
      </c>
      <c r="E10634" s="3" t="s">
        <v>100</v>
      </c>
      <c r="F10634" s="7">
        <v>45953.69637675598</v>
      </c>
      <c r="G10634" s="3" t="s">
        <v>16991</v>
      </c>
    </row>
    <row r="10635">
      <c r="A10635" s="3" t="s">
        <v>26038</v>
      </c>
      <c r="B10635" s="3" t="s">
        <v>9464</v>
      </c>
      <c r="C10635" s="5" t="s">
        <v>206</v>
      </c>
      <c r="D10635" s="3" t="s">
        <v>68</v>
      </c>
      <c r="E10635" s="3" t="s">
        <v>100</v>
      </c>
      <c r="F10635" s="7">
        <v>45953.6998489782</v>
      </c>
      <c r="G10635" s="3" t="s">
        <v>16994</v>
      </c>
    </row>
    <row r="10636">
      <c r="A10636" s="3" t="s">
        <v>26039</v>
      </c>
      <c r="B10636" s="3" t="s">
        <v>9467</v>
      </c>
      <c r="C10636" s="5" t="s">
        <v>45</v>
      </c>
      <c r="D10636" s="3" t="s">
        <v>221</v>
      </c>
      <c r="E10636" s="3" t="s">
        <v>947</v>
      </c>
      <c r="F10636" s="7">
        <v>45953.76060715695</v>
      </c>
      <c r="G10636" s="3" t="s">
        <v>19675</v>
      </c>
    </row>
    <row r="10637">
      <c r="A10637" s="3" t="s">
        <v>26040</v>
      </c>
      <c r="B10637" s="3" t="s">
        <v>9467</v>
      </c>
      <c r="C10637" s="5" t="s">
        <v>221</v>
      </c>
      <c r="D10637" s="3" t="s">
        <v>614</v>
      </c>
      <c r="E10637" s="3" t="s">
        <v>118</v>
      </c>
      <c r="F10637" s="7">
        <v>45953.76407937917</v>
      </c>
      <c r="G10637" s="3" t="s">
        <v>19678</v>
      </c>
    </row>
    <row r="10638">
      <c r="A10638" s="3" t="s">
        <v>26041</v>
      </c>
      <c r="B10638" s="3" t="s">
        <v>9467</v>
      </c>
      <c r="C10638" s="5" t="s">
        <v>614</v>
      </c>
      <c r="D10638" s="3" t="s">
        <v>206</v>
      </c>
      <c r="E10638" s="3" t="s">
        <v>100</v>
      </c>
      <c r="F10638" s="7">
        <v>45953.7675516014</v>
      </c>
      <c r="G10638" s="3" t="s">
        <v>19681</v>
      </c>
    </row>
    <row r="10639">
      <c r="A10639" s="3" t="s">
        <v>26042</v>
      </c>
      <c r="B10639" s="3" t="s">
        <v>9467</v>
      </c>
      <c r="C10639" s="5" t="s">
        <v>206</v>
      </c>
      <c r="D10639" s="3" t="s">
        <v>68</v>
      </c>
      <c r="E10639" s="3" t="s">
        <v>100</v>
      </c>
      <c r="F10639" s="7">
        <v>45953.77102382362</v>
      </c>
      <c r="G10639" s="3" t="s">
        <v>19684</v>
      </c>
    </row>
    <row r="10640">
      <c r="A10640" s="3" t="s">
        <v>26043</v>
      </c>
      <c r="B10640" s="3" t="s">
        <v>9470</v>
      </c>
      <c r="C10640" s="5" t="s">
        <v>45</v>
      </c>
      <c r="D10640" s="3" t="s">
        <v>221</v>
      </c>
      <c r="E10640" s="3" t="s">
        <v>805</v>
      </c>
      <c r="F10640" s="7">
        <v>45953.831782002366</v>
      </c>
      <c r="G10640" s="3" t="s">
        <v>22075</v>
      </c>
    </row>
    <row r="10641">
      <c r="A10641" s="3" t="s">
        <v>26044</v>
      </c>
      <c r="B10641" s="3" t="s">
        <v>9470</v>
      </c>
      <c r="C10641" s="5" t="s">
        <v>221</v>
      </c>
      <c r="D10641" s="3" t="s">
        <v>614</v>
      </c>
      <c r="E10641" s="3" t="s">
        <v>118</v>
      </c>
      <c r="F10641" s="7">
        <v>45953.835254224585</v>
      </c>
      <c r="G10641" s="3" t="s">
        <v>24267</v>
      </c>
    </row>
    <row r="10642">
      <c r="A10642" s="3" t="s">
        <v>26045</v>
      </c>
      <c r="B10642" s="3" t="s">
        <v>9470</v>
      </c>
      <c r="C10642" s="5" t="s">
        <v>614</v>
      </c>
      <c r="D10642" s="3" t="s">
        <v>206</v>
      </c>
      <c r="E10642" s="3" t="s">
        <v>100</v>
      </c>
      <c r="F10642" s="7">
        <v>45953.83872644681</v>
      </c>
      <c r="G10642" s="3" t="s">
        <v>24269</v>
      </c>
    </row>
    <row r="10643">
      <c r="A10643" s="3" t="s">
        <v>26046</v>
      </c>
      <c r="B10643" s="3" t="s">
        <v>9470</v>
      </c>
      <c r="C10643" s="5" t="s">
        <v>206</v>
      </c>
      <c r="D10643" s="3" t="s">
        <v>68</v>
      </c>
      <c r="E10643" s="3" t="s">
        <v>100</v>
      </c>
      <c r="F10643" s="7">
        <v>45953.84219866903</v>
      </c>
      <c r="G10643" s="3" t="s">
        <v>24271</v>
      </c>
    </row>
    <row r="10644">
      <c r="A10644" s="3" t="s">
        <v>26047</v>
      </c>
      <c r="B10644" s="3" t="s">
        <v>9471</v>
      </c>
      <c r="C10644" s="5" t="s">
        <v>45</v>
      </c>
      <c r="D10644" s="3" t="s">
        <v>221</v>
      </c>
      <c r="E10644" s="3" t="s">
        <v>123</v>
      </c>
      <c r="F10644" s="7">
        <v>45953.90295684778</v>
      </c>
      <c r="G10644" s="3" t="s">
        <v>8229</v>
      </c>
    </row>
    <row r="10645">
      <c r="A10645" s="3" t="s">
        <v>26048</v>
      </c>
      <c r="B10645" s="3" t="s">
        <v>9471</v>
      </c>
      <c r="C10645" s="5" t="s">
        <v>221</v>
      </c>
      <c r="D10645" s="3" t="s">
        <v>614</v>
      </c>
      <c r="E10645" s="3" t="s">
        <v>118</v>
      </c>
      <c r="F10645" s="7">
        <v>45953.90642907</v>
      </c>
      <c r="G10645" s="3" t="s">
        <v>8231</v>
      </c>
    </row>
    <row r="10646">
      <c r="A10646" s="3" t="s">
        <v>26049</v>
      </c>
      <c r="B10646" s="3" t="s">
        <v>9471</v>
      </c>
      <c r="C10646" s="5" t="s">
        <v>614</v>
      </c>
      <c r="D10646" s="3" t="s">
        <v>206</v>
      </c>
      <c r="E10646" s="3" t="s">
        <v>100</v>
      </c>
      <c r="F10646" s="7">
        <v>45953.90990129222</v>
      </c>
      <c r="G10646" s="3" t="s">
        <v>8234</v>
      </c>
    </row>
    <row r="10647">
      <c r="A10647" s="3" t="s">
        <v>26050</v>
      </c>
      <c r="B10647" s="3" t="s">
        <v>9471</v>
      </c>
      <c r="C10647" s="5" t="s">
        <v>206</v>
      </c>
      <c r="D10647" s="3" t="s">
        <v>68</v>
      </c>
      <c r="E10647" s="3" t="s">
        <v>100</v>
      </c>
      <c r="F10647" s="7">
        <v>45953.91337351444</v>
      </c>
      <c r="G10647" s="3" t="s">
        <v>8237</v>
      </c>
    </row>
    <row r="10648">
      <c r="A10648" s="3" t="s">
        <v>26051</v>
      </c>
      <c r="B10648" s="3" t="s">
        <v>9474</v>
      </c>
      <c r="C10648" s="5" t="s">
        <v>45</v>
      </c>
      <c r="D10648" s="3" t="s">
        <v>221</v>
      </c>
      <c r="E10648" s="3" t="s">
        <v>479</v>
      </c>
      <c r="F10648" s="7">
        <v>45953.9741316932</v>
      </c>
      <c r="G10648" s="3" t="s">
        <v>15970</v>
      </c>
    </row>
    <row r="10649">
      <c r="A10649" s="3" t="s">
        <v>26052</v>
      </c>
      <c r="B10649" s="3" t="s">
        <v>9474</v>
      </c>
      <c r="C10649" s="5" t="s">
        <v>221</v>
      </c>
      <c r="D10649" s="3" t="s">
        <v>614</v>
      </c>
      <c r="E10649" s="3" t="s">
        <v>118</v>
      </c>
      <c r="F10649" s="7">
        <v>45953.97760391542</v>
      </c>
      <c r="G10649" s="3" t="s">
        <v>17307</v>
      </c>
    </row>
    <row r="10650">
      <c r="A10650" s="3" t="s">
        <v>26053</v>
      </c>
      <c r="B10650" s="3" t="s">
        <v>9474</v>
      </c>
      <c r="C10650" s="5" t="s">
        <v>614</v>
      </c>
      <c r="D10650" s="3" t="s">
        <v>206</v>
      </c>
      <c r="E10650" s="3" t="s">
        <v>100</v>
      </c>
      <c r="F10650" s="7">
        <v>45953.98107613764</v>
      </c>
      <c r="G10650" s="3" t="s">
        <v>17310</v>
      </c>
    </row>
    <row r="10651">
      <c r="A10651" s="3" t="s">
        <v>26054</v>
      </c>
      <c r="B10651" s="3" t="s">
        <v>9474</v>
      </c>
      <c r="C10651" s="5" t="s">
        <v>206</v>
      </c>
      <c r="D10651" s="3" t="s">
        <v>68</v>
      </c>
      <c r="E10651" s="3" t="s">
        <v>100</v>
      </c>
      <c r="F10651" s="7">
        <v>45953.98454835986</v>
      </c>
      <c r="G10651" s="3" t="s">
        <v>17312</v>
      </c>
    </row>
    <row r="10652">
      <c r="A10652" s="3" t="s">
        <v>26055</v>
      </c>
      <c r="B10652" s="3" t="s">
        <v>9477</v>
      </c>
      <c r="C10652" s="5" t="s">
        <v>45</v>
      </c>
      <c r="D10652" s="3" t="s">
        <v>221</v>
      </c>
      <c r="E10652" s="3" t="s">
        <v>250</v>
      </c>
      <c r="F10652" s="7">
        <v>45954.04530653862</v>
      </c>
      <c r="G10652" s="3" t="s">
        <v>14351</v>
      </c>
    </row>
    <row r="10653">
      <c r="A10653" s="3" t="s">
        <v>26056</v>
      </c>
      <c r="B10653" s="3" t="s">
        <v>9477</v>
      </c>
      <c r="C10653" s="5" t="s">
        <v>221</v>
      </c>
      <c r="D10653" s="3" t="s">
        <v>614</v>
      </c>
      <c r="E10653" s="3" t="s">
        <v>118</v>
      </c>
      <c r="F10653" s="7">
        <v>45954.048778760836</v>
      </c>
      <c r="G10653" s="3" t="s">
        <v>14354</v>
      </c>
    </row>
    <row r="10654">
      <c r="A10654" s="3" t="s">
        <v>26057</v>
      </c>
      <c r="B10654" s="3" t="s">
        <v>9477</v>
      </c>
      <c r="C10654" s="5" t="s">
        <v>614</v>
      </c>
      <c r="D10654" s="3" t="s">
        <v>206</v>
      </c>
      <c r="E10654" s="3" t="s">
        <v>100</v>
      </c>
      <c r="F10654" s="7">
        <v>45954.05225098306</v>
      </c>
      <c r="G10654" s="3" t="s">
        <v>14357</v>
      </c>
    </row>
    <row r="10655">
      <c r="A10655" s="3" t="s">
        <v>26058</v>
      </c>
      <c r="B10655" s="3" t="s">
        <v>9477</v>
      </c>
      <c r="C10655" s="5" t="s">
        <v>206</v>
      </c>
      <c r="D10655" s="3" t="s">
        <v>68</v>
      </c>
      <c r="E10655" s="3" t="s">
        <v>100</v>
      </c>
      <c r="F10655" s="7">
        <v>45954.05572320528</v>
      </c>
      <c r="G10655" s="3" t="s">
        <v>14360</v>
      </c>
    </row>
    <row r="10656">
      <c r="A10656" s="3" t="s">
        <v>26059</v>
      </c>
      <c r="B10656" s="3" t="s">
        <v>9481</v>
      </c>
      <c r="C10656" s="5" t="s">
        <v>45</v>
      </c>
      <c r="D10656" s="3" t="s">
        <v>221</v>
      </c>
      <c r="E10656" s="3" t="s">
        <v>250</v>
      </c>
      <c r="F10656" s="7">
        <v>45954.11648138402</v>
      </c>
      <c r="G10656" s="3" t="s">
        <v>14351</v>
      </c>
    </row>
    <row r="10657">
      <c r="A10657" s="3" t="s">
        <v>26060</v>
      </c>
      <c r="B10657" s="3" t="s">
        <v>9481</v>
      </c>
      <c r="C10657" s="5" t="s">
        <v>221</v>
      </c>
      <c r="D10657" s="3" t="s">
        <v>614</v>
      </c>
      <c r="E10657" s="3" t="s">
        <v>118</v>
      </c>
      <c r="F10657" s="7">
        <v>45954.11995360624</v>
      </c>
      <c r="G10657" s="3" t="s">
        <v>14354</v>
      </c>
    </row>
    <row r="10658">
      <c r="A10658" s="3" t="s">
        <v>26061</v>
      </c>
      <c r="B10658" s="3" t="s">
        <v>9481</v>
      </c>
      <c r="C10658" s="5" t="s">
        <v>614</v>
      </c>
      <c r="D10658" s="3" t="s">
        <v>206</v>
      </c>
      <c r="E10658" s="3" t="s">
        <v>100</v>
      </c>
      <c r="F10658" s="7">
        <v>45954.12342582847</v>
      </c>
      <c r="G10658" s="3" t="s">
        <v>14357</v>
      </c>
    </row>
    <row r="10659">
      <c r="A10659" s="3" t="s">
        <v>26062</v>
      </c>
      <c r="B10659" s="3" t="s">
        <v>9481</v>
      </c>
      <c r="C10659" s="5" t="s">
        <v>206</v>
      </c>
      <c r="D10659" s="3" t="s">
        <v>68</v>
      </c>
      <c r="E10659" s="3" t="s">
        <v>100</v>
      </c>
      <c r="F10659" s="7">
        <v>45954.12689805069</v>
      </c>
      <c r="G10659" s="3" t="s">
        <v>14360</v>
      </c>
    </row>
    <row r="10660">
      <c r="A10660" s="3" t="s">
        <v>26063</v>
      </c>
      <c r="B10660" s="3" t="s">
        <v>9483</v>
      </c>
      <c r="C10660" s="5" t="s">
        <v>45</v>
      </c>
      <c r="D10660" s="3" t="s">
        <v>221</v>
      </c>
      <c r="E10660" s="3" t="s">
        <v>969</v>
      </c>
      <c r="F10660" s="7">
        <v>45954.18765622944</v>
      </c>
      <c r="G10660" s="3" t="s">
        <v>8568</v>
      </c>
    </row>
    <row r="10661">
      <c r="A10661" s="3" t="s">
        <v>26064</v>
      </c>
      <c r="B10661" s="3" t="s">
        <v>9483</v>
      </c>
      <c r="C10661" s="5" t="s">
        <v>221</v>
      </c>
      <c r="D10661" s="3" t="s">
        <v>614</v>
      </c>
      <c r="E10661" s="3" t="s">
        <v>118</v>
      </c>
      <c r="F10661" s="7">
        <v>45954.19112845166</v>
      </c>
      <c r="G10661" s="3" t="s">
        <v>8571</v>
      </c>
    </row>
    <row r="10662">
      <c r="A10662" s="3" t="s">
        <v>26065</v>
      </c>
      <c r="B10662" s="3" t="s">
        <v>9483</v>
      </c>
      <c r="C10662" s="5" t="s">
        <v>614</v>
      </c>
      <c r="D10662" s="3" t="s">
        <v>206</v>
      </c>
      <c r="E10662" s="3" t="s">
        <v>100</v>
      </c>
      <c r="F10662" s="7">
        <v>45954.19460067389</v>
      </c>
      <c r="G10662" s="3" t="s">
        <v>8574</v>
      </c>
    </row>
    <row r="10663">
      <c r="A10663" s="3" t="s">
        <v>26066</v>
      </c>
      <c r="B10663" s="3" t="s">
        <v>9483</v>
      </c>
      <c r="C10663" s="5" t="s">
        <v>206</v>
      </c>
      <c r="D10663" s="3" t="s">
        <v>68</v>
      </c>
      <c r="E10663" s="3" t="s">
        <v>100</v>
      </c>
      <c r="F10663" s="7">
        <v>45954.198072896106</v>
      </c>
      <c r="G10663" s="3" t="s">
        <v>8577</v>
      </c>
    </row>
    <row r="10664">
      <c r="A10664" s="3" t="s">
        <v>26067</v>
      </c>
      <c r="B10664" s="3" t="s">
        <v>9486</v>
      </c>
      <c r="C10664" s="5" t="s">
        <v>45</v>
      </c>
      <c r="D10664" s="3" t="s">
        <v>221</v>
      </c>
      <c r="E10664" s="3" t="s">
        <v>698</v>
      </c>
      <c r="F10664" s="7">
        <v>45954.258831074854</v>
      </c>
      <c r="G10664" s="3" t="s">
        <v>8169</v>
      </c>
    </row>
    <row r="10665">
      <c r="A10665" s="3" t="s">
        <v>26068</v>
      </c>
      <c r="B10665" s="3" t="s">
        <v>9486</v>
      </c>
      <c r="C10665" s="5" t="s">
        <v>221</v>
      </c>
      <c r="D10665" s="3" t="s">
        <v>614</v>
      </c>
      <c r="E10665" s="3" t="s">
        <v>118</v>
      </c>
      <c r="F10665" s="7">
        <v>45954.26230329707</v>
      </c>
      <c r="G10665" s="3" t="s">
        <v>8172</v>
      </c>
    </row>
    <row r="10666">
      <c r="A10666" s="3" t="s">
        <v>26069</v>
      </c>
      <c r="B10666" s="3" t="s">
        <v>9486</v>
      </c>
      <c r="C10666" s="5" t="s">
        <v>614</v>
      </c>
      <c r="D10666" s="3" t="s">
        <v>206</v>
      </c>
      <c r="E10666" s="3" t="s">
        <v>100</v>
      </c>
      <c r="F10666" s="7">
        <v>45954.2657755193</v>
      </c>
      <c r="G10666" s="3" t="s">
        <v>8175</v>
      </c>
    </row>
    <row r="10667">
      <c r="A10667" s="3" t="s">
        <v>26070</v>
      </c>
      <c r="B10667" s="3" t="s">
        <v>9486</v>
      </c>
      <c r="C10667" s="5" t="s">
        <v>206</v>
      </c>
      <c r="D10667" s="3" t="s">
        <v>68</v>
      </c>
      <c r="E10667" s="3" t="s">
        <v>100</v>
      </c>
      <c r="F10667" s="7">
        <v>45954.26924774152</v>
      </c>
      <c r="G10667" s="3" t="s">
        <v>8178</v>
      </c>
    </row>
    <row r="10668">
      <c r="A10668" s="3" t="s">
        <v>26071</v>
      </c>
      <c r="B10668" s="3" t="s">
        <v>9490</v>
      </c>
      <c r="C10668" s="5" t="s">
        <v>45</v>
      </c>
      <c r="D10668" s="3" t="s">
        <v>221</v>
      </c>
      <c r="E10668" s="3" t="s">
        <v>616</v>
      </c>
      <c r="F10668" s="7">
        <v>45954.330005920274</v>
      </c>
      <c r="G10668" s="3" t="s">
        <v>26072</v>
      </c>
    </row>
    <row r="10669">
      <c r="A10669" s="3" t="s">
        <v>26073</v>
      </c>
      <c r="B10669" s="3" t="s">
        <v>9490</v>
      </c>
      <c r="C10669" s="5" t="s">
        <v>221</v>
      </c>
      <c r="D10669" s="3" t="s">
        <v>614</v>
      </c>
      <c r="E10669" s="3" t="s">
        <v>118</v>
      </c>
      <c r="F10669" s="7">
        <v>45954.33347814249</v>
      </c>
      <c r="G10669" s="3" t="s">
        <v>26074</v>
      </c>
    </row>
    <row r="10670">
      <c r="A10670" s="3" t="s">
        <v>26075</v>
      </c>
      <c r="B10670" s="3" t="s">
        <v>9490</v>
      </c>
      <c r="C10670" s="5" t="s">
        <v>614</v>
      </c>
      <c r="D10670" s="3" t="s">
        <v>206</v>
      </c>
      <c r="E10670" s="3" t="s">
        <v>100</v>
      </c>
      <c r="F10670" s="7">
        <v>45954.33695036472</v>
      </c>
      <c r="G10670" s="3" t="s">
        <v>26076</v>
      </c>
    </row>
    <row r="10671">
      <c r="A10671" s="3" t="s">
        <v>26077</v>
      </c>
      <c r="B10671" s="3" t="s">
        <v>9490</v>
      </c>
      <c r="C10671" s="5" t="s">
        <v>206</v>
      </c>
      <c r="D10671" s="3" t="s">
        <v>68</v>
      </c>
      <c r="E10671" s="3" t="s">
        <v>100</v>
      </c>
      <c r="F10671" s="7">
        <v>45954.34042258694</v>
      </c>
      <c r="G10671" s="3" t="s">
        <v>26078</v>
      </c>
    </row>
    <row r="10672">
      <c r="A10672" s="3" t="s">
        <v>26079</v>
      </c>
      <c r="B10672" s="3" t="s">
        <v>9494</v>
      </c>
      <c r="C10672" s="5" t="s">
        <v>45</v>
      </c>
      <c r="D10672" s="3" t="s">
        <v>221</v>
      </c>
      <c r="E10672" s="3" t="s">
        <v>373</v>
      </c>
      <c r="F10672" s="7">
        <v>45954.401180765686</v>
      </c>
      <c r="G10672" s="3" t="s">
        <v>10250</v>
      </c>
    </row>
    <row r="10673">
      <c r="A10673" s="3" t="s">
        <v>26080</v>
      </c>
      <c r="B10673" s="3" t="s">
        <v>9494</v>
      </c>
      <c r="C10673" s="5" t="s">
        <v>221</v>
      </c>
      <c r="D10673" s="3" t="s">
        <v>614</v>
      </c>
      <c r="E10673" s="3" t="s">
        <v>118</v>
      </c>
      <c r="F10673" s="7">
        <v>45954.404652987905</v>
      </c>
      <c r="G10673" s="3" t="s">
        <v>10254</v>
      </c>
    </row>
    <row r="10674">
      <c r="A10674" s="3" t="s">
        <v>26081</v>
      </c>
      <c r="B10674" s="3" t="s">
        <v>9494</v>
      </c>
      <c r="C10674" s="5" t="s">
        <v>614</v>
      </c>
      <c r="D10674" s="3" t="s">
        <v>206</v>
      </c>
      <c r="E10674" s="3" t="s">
        <v>100</v>
      </c>
      <c r="F10674" s="7">
        <v>45954.40812521013</v>
      </c>
      <c r="G10674" s="3" t="s">
        <v>10257</v>
      </c>
    </row>
    <row r="10675">
      <c r="A10675" s="3" t="s">
        <v>26082</v>
      </c>
      <c r="B10675" s="3" t="s">
        <v>9494</v>
      </c>
      <c r="C10675" s="5" t="s">
        <v>206</v>
      </c>
      <c r="D10675" s="3" t="s">
        <v>68</v>
      </c>
      <c r="E10675" s="3" t="s">
        <v>100</v>
      </c>
      <c r="F10675" s="7">
        <v>45954.41159743235</v>
      </c>
      <c r="G10675" s="3" t="s">
        <v>10260</v>
      </c>
    </row>
    <row r="10676">
      <c r="A10676" s="3" t="s">
        <v>26083</v>
      </c>
      <c r="B10676" s="3" t="s">
        <v>9497</v>
      </c>
      <c r="C10676" s="5" t="s">
        <v>45</v>
      </c>
      <c r="D10676" s="3" t="s">
        <v>221</v>
      </c>
      <c r="E10676" s="3" t="s">
        <v>501</v>
      </c>
      <c r="F10676" s="7">
        <v>45954.472355611106</v>
      </c>
      <c r="G10676" s="3" t="s">
        <v>8794</v>
      </c>
    </row>
    <row r="10677">
      <c r="A10677" s="3" t="s">
        <v>26084</v>
      </c>
      <c r="B10677" s="3" t="s">
        <v>9497</v>
      </c>
      <c r="C10677" s="5" t="s">
        <v>221</v>
      </c>
      <c r="D10677" s="3" t="s">
        <v>614</v>
      </c>
      <c r="E10677" s="3" t="s">
        <v>118</v>
      </c>
      <c r="F10677" s="7">
        <v>45954.475827833325</v>
      </c>
      <c r="G10677" s="3" t="s">
        <v>8796</v>
      </c>
    </row>
    <row r="10678">
      <c r="A10678" s="3" t="s">
        <v>26085</v>
      </c>
      <c r="B10678" s="3" t="s">
        <v>9497</v>
      </c>
      <c r="C10678" s="5" t="s">
        <v>614</v>
      </c>
      <c r="D10678" s="3" t="s">
        <v>206</v>
      </c>
      <c r="E10678" s="3" t="s">
        <v>100</v>
      </c>
      <c r="F10678" s="7">
        <v>45954.47930005555</v>
      </c>
      <c r="G10678" s="3" t="s">
        <v>8799</v>
      </c>
    </row>
    <row r="10679">
      <c r="A10679" s="3" t="s">
        <v>26086</v>
      </c>
      <c r="B10679" s="3" t="s">
        <v>9497</v>
      </c>
      <c r="C10679" s="5" t="s">
        <v>206</v>
      </c>
      <c r="D10679" s="3" t="s">
        <v>68</v>
      </c>
      <c r="E10679" s="3" t="s">
        <v>100</v>
      </c>
      <c r="F10679" s="7">
        <v>45954.48277227777</v>
      </c>
      <c r="G10679" s="3" t="s">
        <v>8802</v>
      </c>
    </row>
    <row r="10680">
      <c r="A10680" s="3" t="s">
        <v>26087</v>
      </c>
      <c r="B10680" s="3" t="s">
        <v>9500</v>
      </c>
      <c r="C10680" s="5" t="s">
        <v>45</v>
      </c>
      <c r="D10680" s="3" t="s">
        <v>221</v>
      </c>
      <c r="E10680" s="3" t="s">
        <v>366</v>
      </c>
      <c r="F10680" s="7">
        <v>45954.54353045651</v>
      </c>
      <c r="G10680" s="3" t="s">
        <v>10833</v>
      </c>
    </row>
    <row r="10681">
      <c r="A10681" s="3" t="s">
        <v>26088</v>
      </c>
      <c r="B10681" s="3" t="s">
        <v>9500</v>
      </c>
      <c r="C10681" s="5" t="s">
        <v>221</v>
      </c>
      <c r="D10681" s="3" t="s">
        <v>614</v>
      </c>
      <c r="E10681" s="3" t="s">
        <v>118</v>
      </c>
      <c r="F10681" s="7">
        <v>45954.54700267873</v>
      </c>
      <c r="G10681" s="3" t="s">
        <v>10836</v>
      </c>
    </row>
    <row r="10682">
      <c r="A10682" s="3" t="s">
        <v>26089</v>
      </c>
      <c r="B10682" s="3" t="s">
        <v>9500</v>
      </c>
      <c r="C10682" s="5" t="s">
        <v>614</v>
      </c>
      <c r="D10682" s="3" t="s">
        <v>206</v>
      </c>
      <c r="E10682" s="3" t="s">
        <v>100</v>
      </c>
      <c r="F10682" s="7">
        <v>45954.550474900956</v>
      </c>
      <c r="G10682" s="3" t="s">
        <v>10838</v>
      </c>
    </row>
    <row r="10683">
      <c r="A10683" s="3" t="s">
        <v>26090</v>
      </c>
      <c r="B10683" s="3" t="s">
        <v>9500</v>
      </c>
      <c r="C10683" s="5" t="s">
        <v>206</v>
      </c>
      <c r="D10683" s="3" t="s">
        <v>68</v>
      </c>
      <c r="E10683" s="3" t="s">
        <v>100</v>
      </c>
      <c r="F10683" s="7">
        <v>45954.553947123175</v>
      </c>
      <c r="G10683" s="3" t="s">
        <v>10841</v>
      </c>
    </row>
    <row r="10684">
      <c r="A10684" s="3" t="s">
        <v>26091</v>
      </c>
      <c r="B10684" s="3" t="s">
        <v>9504</v>
      </c>
      <c r="C10684" s="5" t="s">
        <v>45</v>
      </c>
      <c r="D10684" s="3" t="s">
        <v>221</v>
      </c>
      <c r="E10684" s="3" t="s">
        <v>296</v>
      </c>
      <c r="F10684" s="7">
        <v>45954.61470530193</v>
      </c>
      <c r="G10684" s="3" t="s">
        <v>11536</v>
      </c>
    </row>
    <row r="10685">
      <c r="A10685" s="3" t="s">
        <v>26092</v>
      </c>
      <c r="B10685" s="3" t="s">
        <v>9504</v>
      </c>
      <c r="C10685" s="5" t="s">
        <v>221</v>
      </c>
      <c r="D10685" s="3" t="s">
        <v>614</v>
      </c>
      <c r="E10685" s="3" t="s">
        <v>118</v>
      </c>
      <c r="F10685" s="7">
        <v>45954.61817752415</v>
      </c>
      <c r="G10685" s="3" t="s">
        <v>11539</v>
      </c>
    </row>
    <row r="10686">
      <c r="A10686" s="3" t="s">
        <v>26093</v>
      </c>
      <c r="B10686" s="3" t="s">
        <v>9504</v>
      </c>
      <c r="C10686" s="5" t="s">
        <v>614</v>
      </c>
      <c r="D10686" s="3" t="s">
        <v>206</v>
      </c>
      <c r="E10686" s="3" t="s">
        <v>100</v>
      </c>
      <c r="F10686" s="7">
        <v>45954.621649746376</v>
      </c>
      <c r="G10686" s="3" t="s">
        <v>11542</v>
      </c>
    </row>
    <row r="10687">
      <c r="A10687" s="3" t="s">
        <v>26094</v>
      </c>
      <c r="B10687" s="3" t="s">
        <v>9504</v>
      </c>
      <c r="C10687" s="5" t="s">
        <v>206</v>
      </c>
      <c r="D10687" s="3" t="s">
        <v>68</v>
      </c>
      <c r="E10687" s="3" t="s">
        <v>100</v>
      </c>
      <c r="F10687" s="7">
        <v>45954.625121968595</v>
      </c>
      <c r="G10687" s="3" t="s">
        <v>11544</v>
      </c>
    </row>
    <row r="10688">
      <c r="A10688" s="3" t="s">
        <v>26095</v>
      </c>
      <c r="B10688" s="3" t="s">
        <v>9507</v>
      </c>
      <c r="C10688" s="5" t="s">
        <v>45</v>
      </c>
      <c r="D10688" s="3" t="s">
        <v>221</v>
      </c>
      <c r="E10688" s="3" t="s">
        <v>336</v>
      </c>
      <c r="F10688" s="7">
        <v>45954.68588014735</v>
      </c>
      <c r="G10688" s="3" t="s">
        <v>26096</v>
      </c>
    </row>
    <row r="10689">
      <c r="A10689" s="3" t="s">
        <v>26097</v>
      </c>
      <c r="B10689" s="3" t="s">
        <v>9507</v>
      </c>
      <c r="C10689" s="5" t="s">
        <v>221</v>
      </c>
      <c r="D10689" s="3" t="s">
        <v>614</v>
      </c>
      <c r="E10689" s="3" t="s">
        <v>118</v>
      </c>
      <c r="F10689" s="7">
        <v>45954.68935236957</v>
      </c>
      <c r="G10689" s="3" t="s">
        <v>26098</v>
      </c>
    </row>
    <row r="10690">
      <c r="A10690" s="3" t="s">
        <v>26099</v>
      </c>
      <c r="B10690" s="3" t="s">
        <v>9507</v>
      </c>
      <c r="C10690" s="5" t="s">
        <v>614</v>
      </c>
      <c r="D10690" s="3" t="s">
        <v>206</v>
      </c>
      <c r="E10690" s="3" t="s">
        <v>100</v>
      </c>
      <c r="F10690" s="7">
        <v>45954.692824591795</v>
      </c>
      <c r="G10690" s="3" t="s">
        <v>26100</v>
      </c>
    </row>
    <row r="10691">
      <c r="A10691" s="3" t="s">
        <v>26101</v>
      </c>
      <c r="B10691" s="3" t="s">
        <v>9507</v>
      </c>
      <c r="C10691" s="5" t="s">
        <v>206</v>
      </c>
      <c r="D10691" s="3" t="s">
        <v>68</v>
      </c>
      <c r="E10691" s="3" t="s">
        <v>100</v>
      </c>
      <c r="F10691" s="7">
        <v>45954.696296814014</v>
      </c>
      <c r="G10691" s="3" t="s">
        <v>26102</v>
      </c>
    </row>
    <row r="10692">
      <c r="A10692" s="3" t="s">
        <v>26103</v>
      </c>
      <c r="B10692" s="3" t="s">
        <v>9511</v>
      </c>
      <c r="C10692" s="5" t="s">
        <v>45</v>
      </c>
      <c r="D10692" s="3" t="s">
        <v>221</v>
      </c>
      <c r="E10692" s="3" t="s">
        <v>793</v>
      </c>
      <c r="F10692" s="7">
        <v>45954.75705499276</v>
      </c>
      <c r="G10692" s="3" t="s">
        <v>18235</v>
      </c>
    </row>
    <row r="10693">
      <c r="A10693" s="3" t="s">
        <v>26104</v>
      </c>
      <c r="B10693" s="3" t="s">
        <v>9511</v>
      </c>
      <c r="C10693" s="5" t="s">
        <v>221</v>
      </c>
      <c r="D10693" s="3" t="s">
        <v>614</v>
      </c>
      <c r="E10693" s="3" t="s">
        <v>118</v>
      </c>
      <c r="F10693" s="7">
        <v>45954.76052721498</v>
      </c>
      <c r="G10693" s="3" t="s">
        <v>18238</v>
      </c>
    </row>
    <row r="10694">
      <c r="A10694" s="3" t="s">
        <v>26105</v>
      </c>
      <c r="B10694" s="3" t="s">
        <v>9511</v>
      </c>
      <c r="C10694" s="5" t="s">
        <v>614</v>
      </c>
      <c r="D10694" s="3" t="s">
        <v>206</v>
      </c>
      <c r="E10694" s="3" t="s">
        <v>100</v>
      </c>
      <c r="F10694" s="7">
        <v>45954.76399943721</v>
      </c>
      <c r="G10694" s="3" t="s">
        <v>18241</v>
      </c>
    </row>
    <row r="10695">
      <c r="A10695" s="3" t="s">
        <v>26106</v>
      </c>
      <c r="B10695" s="3" t="s">
        <v>9511</v>
      </c>
      <c r="C10695" s="5" t="s">
        <v>206</v>
      </c>
      <c r="D10695" s="3" t="s">
        <v>68</v>
      </c>
      <c r="E10695" s="3" t="s">
        <v>100</v>
      </c>
      <c r="F10695" s="7">
        <v>45954.76747165943</v>
      </c>
      <c r="G10695" s="3" t="s">
        <v>18243</v>
      </c>
    </row>
    <row r="10696">
      <c r="A10696" s="3" t="s">
        <v>26107</v>
      </c>
      <c r="B10696" s="3" t="s">
        <v>9514</v>
      </c>
      <c r="C10696" s="5" t="s">
        <v>45</v>
      </c>
      <c r="D10696" s="3" t="s">
        <v>221</v>
      </c>
      <c r="E10696" s="3" t="s">
        <v>586</v>
      </c>
      <c r="F10696" s="7">
        <v>45954.828229838175</v>
      </c>
      <c r="G10696" s="3" t="s">
        <v>10855</v>
      </c>
    </row>
    <row r="10697">
      <c r="A10697" s="3" t="s">
        <v>26108</v>
      </c>
      <c r="B10697" s="3" t="s">
        <v>9514</v>
      </c>
      <c r="C10697" s="5" t="s">
        <v>221</v>
      </c>
      <c r="D10697" s="3" t="s">
        <v>614</v>
      </c>
      <c r="E10697" s="3" t="s">
        <v>118</v>
      </c>
      <c r="F10697" s="7">
        <v>45954.83170206039</v>
      </c>
      <c r="G10697" s="3" t="s">
        <v>10858</v>
      </c>
    </row>
    <row r="10698">
      <c r="A10698" s="3" t="s">
        <v>26109</v>
      </c>
      <c r="B10698" s="3" t="s">
        <v>9514</v>
      </c>
      <c r="C10698" s="5" t="s">
        <v>614</v>
      </c>
      <c r="D10698" s="3" t="s">
        <v>206</v>
      </c>
      <c r="E10698" s="3" t="s">
        <v>100</v>
      </c>
      <c r="F10698" s="7">
        <v>45954.83517428262</v>
      </c>
      <c r="G10698" s="3" t="s">
        <v>10861</v>
      </c>
    </row>
    <row r="10699">
      <c r="A10699" s="3" t="s">
        <v>26110</v>
      </c>
      <c r="B10699" s="3" t="s">
        <v>9514</v>
      </c>
      <c r="C10699" s="5" t="s">
        <v>206</v>
      </c>
      <c r="D10699" s="3" t="s">
        <v>68</v>
      </c>
      <c r="E10699" s="3" t="s">
        <v>100</v>
      </c>
      <c r="F10699" s="7">
        <v>45954.83864650484</v>
      </c>
      <c r="G10699" s="3" t="s">
        <v>10864</v>
      </c>
    </row>
    <row r="10700">
      <c r="A10700" s="3" t="s">
        <v>26111</v>
      </c>
      <c r="B10700" s="3" t="s">
        <v>9517</v>
      </c>
      <c r="C10700" s="5" t="s">
        <v>45</v>
      </c>
      <c r="D10700" s="3" t="s">
        <v>221</v>
      </c>
      <c r="E10700" s="3" t="s">
        <v>559</v>
      </c>
      <c r="F10700" s="7">
        <v>45954.899404683594</v>
      </c>
      <c r="G10700" s="3" t="s">
        <v>10874</v>
      </c>
    </row>
    <row r="10701">
      <c r="A10701" s="3" t="s">
        <v>26112</v>
      </c>
      <c r="B10701" s="3" t="s">
        <v>9517</v>
      </c>
      <c r="C10701" s="5" t="s">
        <v>221</v>
      </c>
      <c r="D10701" s="3" t="s">
        <v>614</v>
      </c>
      <c r="E10701" s="3" t="s">
        <v>118</v>
      </c>
      <c r="F10701" s="7">
        <v>45954.90287690581</v>
      </c>
      <c r="G10701" s="3" t="s">
        <v>10877</v>
      </c>
    </row>
    <row r="10702">
      <c r="A10702" s="3" t="s">
        <v>26113</v>
      </c>
      <c r="B10702" s="3" t="s">
        <v>9517</v>
      </c>
      <c r="C10702" s="5" t="s">
        <v>614</v>
      </c>
      <c r="D10702" s="3" t="s">
        <v>206</v>
      </c>
      <c r="E10702" s="3" t="s">
        <v>100</v>
      </c>
      <c r="F10702" s="7">
        <v>45954.90634912804</v>
      </c>
      <c r="G10702" s="3" t="s">
        <v>10881</v>
      </c>
    </row>
    <row r="10703">
      <c r="A10703" s="3" t="s">
        <v>26114</v>
      </c>
      <c r="B10703" s="3" t="s">
        <v>9517</v>
      </c>
      <c r="C10703" s="5" t="s">
        <v>206</v>
      </c>
      <c r="D10703" s="3" t="s">
        <v>68</v>
      </c>
      <c r="E10703" s="3" t="s">
        <v>100</v>
      </c>
      <c r="F10703" s="7">
        <v>45954.90982135026</v>
      </c>
      <c r="G10703" s="3" t="s">
        <v>10884</v>
      </c>
    </row>
    <row r="10704">
      <c r="A10704" s="3" t="s">
        <v>26115</v>
      </c>
      <c r="B10704" s="3" t="s">
        <v>9519</v>
      </c>
      <c r="C10704" s="5" t="s">
        <v>45</v>
      </c>
      <c r="D10704" s="3" t="s">
        <v>221</v>
      </c>
      <c r="E10704" s="3" t="s">
        <v>957</v>
      </c>
      <c r="F10704" s="7">
        <v>45954.97057952901</v>
      </c>
      <c r="G10704" s="3" t="s">
        <v>24853</v>
      </c>
    </row>
    <row r="10705">
      <c r="A10705" s="3" t="s">
        <v>26116</v>
      </c>
      <c r="B10705" s="3" t="s">
        <v>9519</v>
      </c>
      <c r="C10705" s="5" t="s">
        <v>221</v>
      </c>
      <c r="D10705" s="3" t="s">
        <v>614</v>
      </c>
      <c r="E10705" s="3" t="s">
        <v>118</v>
      </c>
      <c r="F10705" s="7">
        <v>45954.974051751225</v>
      </c>
      <c r="G10705" s="3" t="s">
        <v>24855</v>
      </c>
    </row>
    <row r="10706">
      <c r="A10706" s="3" t="s">
        <v>26117</v>
      </c>
      <c r="B10706" s="3" t="s">
        <v>9519</v>
      </c>
      <c r="C10706" s="5" t="s">
        <v>614</v>
      </c>
      <c r="D10706" s="3" t="s">
        <v>206</v>
      </c>
      <c r="E10706" s="3" t="s">
        <v>100</v>
      </c>
      <c r="F10706" s="7">
        <v>45954.97752397345</v>
      </c>
      <c r="G10706" s="3" t="s">
        <v>24857</v>
      </c>
    </row>
    <row r="10707">
      <c r="A10707" s="3" t="s">
        <v>26118</v>
      </c>
      <c r="B10707" s="3" t="s">
        <v>9519</v>
      </c>
      <c r="C10707" s="5" t="s">
        <v>206</v>
      </c>
      <c r="D10707" s="3" t="s">
        <v>68</v>
      </c>
      <c r="E10707" s="3" t="s">
        <v>100</v>
      </c>
      <c r="F10707" s="7">
        <v>45954.98099619567</v>
      </c>
      <c r="G10707" s="3" t="s">
        <v>24859</v>
      </c>
    </row>
    <row r="10708">
      <c r="A10708" s="3" t="s">
        <v>26119</v>
      </c>
      <c r="B10708" s="3" t="s">
        <v>9520</v>
      </c>
      <c r="C10708" s="5" t="s">
        <v>45</v>
      </c>
      <c r="D10708" s="3" t="s">
        <v>221</v>
      </c>
      <c r="E10708" s="3" t="s">
        <v>953</v>
      </c>
      <c r="F10708" s="7">
        <v>45955.04175437442</v>
      </c>
      <c r="G10708" s="3" t="s">
        <v>26120</v>
      </c>
    </row>
    <row r="10709">
      <c r="A10709" s="3" t="s">
        <v>26121</v>
      </c>
      <c r="B10709" s="3" t="s">
        <v>9520</v>
      </c>
      <c r="C10709" s="5" t="s">
        <v>221</v>
      </c>
      <c r="D10709" s="3" t="s">
        <v>614</v>
      </c>
      <c r="E10709" s="3" t="s">
        <v>118</v>
      </c>
      <c r="F10709" s="7">
        <v>45955.04522659664</v>
      </c>
      <c r="G10709" s="3" t="s">
        <v>26122</v>
      </c>
    </row>
    <row r="10710">
      <c r="A10710" s="3" t="s">
        <v>26123</v>
      </c>
      <c r="B10710" s="3" t="s">
        <v>9520</v>
      </c>
      <c r="C10710" s="5" t="s">
        <v>614</v>
      </c>
      <c r="D10710" s="3" t="s">
        <v>206</v>
      </c>
      <c r="E10710" s="3" t="s">
        <v>100</v>
      </c>
      <c r="F10710" s="7">
        <v>45955.048698818864</v>
      </c>
      <c r="G10710" s="3" t="s">
        <v>26124</v>
      </c>
    </row>
    <row r="10711">
      <c r="A10711" s="3" t="s">
        <v>26125</v>
      </c>
      <c r="B10711" s="3" t="s">
        <v>9520</v>
      </c>
      <c r="C10711" s="5" t="s">
        <v>206</v>
      </c>
      <c r="D10711" s="3" t="s">
        <v>68</v>
      </c>
      <c r="E10711" s="3" t="s">
        <v>100</v>
      </c>
      <c r="F10711" s="7">
        <v>45955.05217104108</v>
      </c>
      <c r="G10711" s="3" t="s">
        <v>26126</v>
      </c>
    </row>
    <row r="10712">
      <c r="A10712" s="3" t="s">
        <v>26127</v>
      </c>
      <c r="B10712" s="3" t="s">
        <v>9522</v>
      </c>
      <c r="C10712" s="5" t="s">
        <v>45</v>
      </c>
      <c r="D10712" s="3" t="s">
        <v>221</v>
      </c>
      <c r="E10712" s="3" t="s">
        <v>987</v>
      </c>
      <c r="F10712" s="7">
        <v>45955.11292921984</v>
      </c>
      <c r="G10712" s="3" t="s">
        <v>15842</v>
      </c>
    </row>
    <row r="10713">
      <c r="A10713" s="3" t="s">
        <v>26128</v>
      </c>
      <c r="B10713" s="3" t="s">
        <v>9522</v>
      </c>
      <c r="C10713" s="5" t="s">
        <v>221</v>
      </c>
      <c r="D10713" s="3" t="s">
        <v>614</v>
      </c>
      <c r="E10713" s="3" t="s">
        <v>118</v>
      </c>
      <c r="F10713" s="7">
        <v>45955.11640144206</v>
      </c>
      <c r="G10713" s="3" t="s">
        <v>15845</v>
      </c>
    </row>
    <row r="10714">
      <c r="A10714" s="3" t="s">
        <v>26129</v>
      </c>
      <c r="B10714" s="3" t="s">
        <v>9522</v>
      </c>
      <c r="C10714" s="5" t="s">
        <v>614</v>
      </c>
      <c r="D10714" s="3" t="s">
        <v>206</v>
      </c>
      <c r="E10714" s="3" t="s">
        <v>100</v>
      </c>
      <c r="F10714" s="7">
        <v>45955.119873664284</v>
      </c>
      <c r="G10714" s="3" t="s">
        <v>15848</v>
      </c>
    </row>
    <row r="10715">
      <c r="A10715" s="3" t="s">
        <v>26130</v>
      </c>
      <c r="B10715" s="3" t="s">
        <v>9522</v>
      </c>
      <c r="C10715" s="5" t="s">
        <v>206</v>
      </c>
      <c r="D10715" s="3" t="s">
        <v>68</v>
      </c>
      <c r="E10715" s="3" t="s">
        <v>100</v>
      </c>
      <c r="F10715" s="7">
        <v>45955.1233458865</v>
      </c>
      <c r="G10715" s="3" t="s">
        <v>15850</v>
      </c>
    </row>
    <row r="10716">
      <c r="A10716" s="3" t="s">
        <v>26131</v>
      </c>
      <c r="B10716" s="3" t="s">
        <v>9525</v>
      </c>
      <c r="C10716" s="5" t="s">
        <v>45</v>
      </c>
      <c r="D10716" s="3" t="s">
        <v>221</v>
      </c>
      <c r="E10716" s="3" t="s">
        <v>752</v>
      </c>
      <c r="F10716" s="7">
        <v>45955.18410406526</v>
      </c>
      <c r="G10716" s="3" t="s">
        <v>10898</v>
      </c>
    </row>
    <row r="10717">
      <c r="A10717" s="3" t="s">
        <v>26132</v>
      </c>
      <c r="B10717" s="3" t="s">
        <v>9525</v>
      </c>
      <c r="C10717" s="5" t="s">
        <v>221</v>
      </c>
      <c r="D10717" s="3" t="s">
        <v>614</v>
      </c>
      <c r="E10717" s="3" t="s">
        <v>118</v>
      </c>
      <c r="F10717" s="7">
        <v>45955.18757628748</v>
      </c>
      <c r="G10717" s="3" t="s">
        <v>10902</v>
      </c>
    </row>
    <row r="10718">
      <c r="A10718" s="3" t="s">
        <v>26133</v>
      </c>
      <c r="B10718" s="3" t="s">
        <v>9525</v>
      </c>
      <c r="C10718" s="5" t="s">
        <v>614</v>
      </c>
      <c r="D10718" s="3" t="s">
        <v>206</v>
      </c>
      <c r="E10718" s="3" t="s">
        <v>100</v>
      </c>
      <c r="F10718" s="7">
        <v>45955.1910485097</v>
      </c>
      <c r="G10718" s="3" t="s">
        <v>10904</v>
      </c>
    </row>
    <row r="10719">
      <c r="A10719" s="3" t="s">
        <v>26134</v>
      </c>
      <c r="B10719" s="3" t="s">
        <v>9525</v>
      </c>
      <c r="C10719" s="5" t="s">
        <v>206</v>
      </c>
      <c r="D10719" s="3" t="s">
        <v>68</v>
      </c>
      <c r="E10719" s="3" t="s">
        <v>100</v>
      </c>
      <c r="F10719" s="7">
        <v>45955.19452073192</v>
      </c>
      <c r="G10719" s="3" t="s">
        <v>10907</v>
      </c>
    </row>
    <row r="10720">
      <c r="A10720" s="3" t="s">
        <v>26135</v>
      </c>
      <c r="B10720" s="3" t="s">
        <v>9528</v>
      </c>
      <c r="C10720" s="5" t="s">
        <v>45</v>
      </c>
      <c r="D10720" s="3" t="s">
        <v>221</v>
      </c>
      <c r="E10720" s="3" t="s">
        <v>793</v>
      </c>
      <c r="F10720" s="7">
        <v>45955.25527891066</v>
      </c>
      <c r="G10720" s="3" t="s">
        <v>26136</v>
      </c>
    </row>
    <row r="10721">
      <c r="A10721" s="3" t="s">
        <v>26137</v>
      </c>
      <c r="B10721" s="3" t="s">
        <v>9528</v>
      </c>
      <c r="C10721" s="5" t="s">
        <v>221</v>
      </c>
      <c r="D10721" s="3" t="s">
        <v>614</v>
      </c>
      <c r="E10721" s="3" t="s">
        <v>118</v>
      </c>
      <c r="F10721" s="7">
        <v>45955.25875113288</v>
      </c>
      <c r="G10721" s="3" t="s">
        <v>26138</v>
      </c>
    </row>
    <row r="10722">
      <c r="A10722" s="3" t="s">
        <v>26139</v>
      </c>
      <c r="B10722" s="3" t="s">
        <v>9528</v>
      </c>
      <c r="C10722" s="5" t="s">
        <v>614</v>
      </c>
      <c r="D10722" s="3" t="s">
        <v>206</v>
      </c>
      <c r="E10722" s="3" t="s">
        <v>100</v>
      </c>
      <c r="F10722" s="7">
        <v>45955.26222335511</v>
      </c>
      <c r="G10722" s="3" t="s">
        <v>26140</v>
      </c>
    </row>
    <row r="10723">
      <c r="A10723" s="3" t="s">
        <v>26141</v>
      </c>
      <c r="B10723" s="3" t="s">
        <v>9528</v>
      </c>
      <c r="C10723" s="5" t="s">
        <v>206</v>
      </c>
      <c r="D10723" s="3" t="s">
        <v>68</v>
      </c>
      <c r="E10723" s="3" t="s">
        <v>100</v>
      </c>
      <c r="F10723" s="7">
        <v>45955.26569557733</v>
      </c>
      <c r="G10723" s="3" t="s">
        <v>26142</v>
      </c>
    </row>
    <row r="10724">
      <c r="A10724" s="3" t="s">
        <v>26143</v>
      </c>
      <c r="B10724" s="3" t="s">
        <v>9531</v>
      </c>
      <c r="C10724" s="5" t="s">
        <v>45</v>
      </c>
      <c r="D10724" s="3" t="s">
        <v>221</v>
      </c>
      <c r="E10724" s="3" t="s">
        <v>587</v>
      </c>
      <c r="F10724" s="7">
        <v>45955.32645375608</v>
      </c>
      <c r="G10724" s="3" t="s">
        <v>25261</v>
      </c>
    </row>
    <row r="10725">
      <c r="A10725" s="3" t="s">
        <v>26144</v>
      </c>
      <c r="B10725" s="3" t="s">
        <v>9531</v>
      </c>
      <c r="C10725" s="5" t="s">
        <v>221</v>
      </c>
      <c r="D10725" s="3" t="s">
        <v>614</v>
      </c>
      <c r="E10725" s="3" t="s">
        <v>118</v>
      </c>
      <c r="F10725" s="7">
        <v>45955.3299259783</v>
      </c>
      <c r="G10725" s="3" t="s">
        <v>25263</v>
      </c>
    </row>
    <row r="10726">
      <c r="A10726" s="3" t="s">
        <v>26145</v>
      </c>
      <c r="B10726" s="3" t="s">
        <v>9531</v>
      </c>
      <c r="C10726" s="5" t="s">
        <v>614</v>
      </c>
      <c r="D10726" s="3" t="s">
        <v>206</v>
      </c>
      <c r="E10726" s="3" t="s">
        <v>100</v>
      </c>
      <c r="F10726" s="7">
        <v>45955.33339820053</v>
      </c>
      <c r="G10726" s="3" t="s">
        <v>25265</v>
      </c>
    </row>
    <row r="10727">
      <c r="A10727" s="3" t="s">
        <v>26146</v>
      </c>
      <c r="B10727" s="3" t="s">
        <v>9531</v>
      </c>
      <c r="C10727" s="5" t="s">
        <v>206</v>
      </c>
      <c r="D10727" s="3" t="s">
        <v>68</v>
      </c>
      <c r="E10727" s="3" t="s">
        <v>100</v>
      </c>
      <c r="F10727" s="7">
        <v>45955.33687042275</v>
      </c>
      <c r="G10727" s="3" t="s">
        <v>25267</v>
      </c>
    </row>
    <row r="10728">
      <c r="A10728" s="3" t="s">
        <v>26147</v>
      </c>
      <c r="B10728" s="3" t="s">
        <v>9533</v>
      </c>
      <c r="C10728" s="5" t="s">
        <v>45</v>
      </c>
      <c r="D10728" s="3" t="s">
        <v>221</v>
      </c>
      <c r="E10728" s="3" t="s">
        <v>414</v>
      </c>
      <c r="F10728" s="7">
        <v>45955.3976286015</v>
      </c>
      <c r="G10728" s="3" t="s">
        <v>21020</v>
      </c>
    </row>
    <row r="10729">
      <c r="A10729" s="3" t="s">
        <v>26148</v>
      </c>
      <c r="B10729" s="3" t="s">
        <v>9533</v>
      </c>
      <c r="C10729" s="5" t="s">
        <v>221</v>
      </c>
      <c r="D10729" s="3" t="s">
        <v>181</v>
      </c>
      <c r="E10729" s="3" t="s">
        <v>118</v>
      </c>
      <c r="F10729" s="7">
        <v>45955.40110082372</v>
      </c>
      <c r="G10729" s="3" t="s">
        <v>26149</v>
      </c>
    </row>
    <row r="10730">
      <c r="A10730" s="3" t="s">
        <v>26150</v>
      </c>
      <c r="B10730" s="3" t="s">
        <v>9535</v>
      </c>
      <c r="C10730" s="5" t="s">
        <v>45</v>
      </c>
      <c r="D10730" s="3" t="s">
        <v>221</v>
      </c>
      <c r="E10730" s="3" t="s">
        <v>864</v>
      </c>
      <c r="F10730" s="7">
        <v>45955.468803446915</v>
      </c>
      <c r="G10730" s="3" t="s">
        <v>10917</v>
      </c>
    </row>
    <row r="10731">
      <c r="A10731" s="3" t="s">
        <v>26151</v>
      </c>
      <c r="B10731" s="3" t="s">
        <v>9535</v>
      </c>
      <c r="C10731" s="5" t="s">
        <v>221</v>
      </c>
      <c r="D10731" s="3" t="s">
        <v>614</v>
      </c>
      <c r="E10731" s="3" t="s">
        <v>118</v>
      </c>
      <c r="F10731" s="7">
        <v>45955.47227566913</v>
      </c>
      <c r="G10731" s="3" t="s">
        <v>10920</v>
      </c>
    </row>
    <row r="10732">
      <c r="A10732" s="3" t="s">
        <v>26152</v>
      </c>
      <c r="B10732" s="3" t="s">
        <v>9535</v>
      </c>
      <c r="C10732" s="5" t="s">
        <v>614</v>
      </c>
      <c r="D10732" s="3" t="s">
        <v>206</v>
      </c>
      <c r="E10732" s="3" t="s">
        <v>100</v>
      </c>
      <c r="F10732" s="7">
        <v>45955.47574789136</v>
      </c>
      <c r="G10732" s="3" t="s">
        <v>10923</v>
      </c>
    </row>
    <row r="10733">
      <c r="A10733" s="3" t="s">
        <v>26153</v>
      </c>
      <c r="B10733" s="3" t="s">
        <v>9535</v>
      </c>
      <c r="C10733" s="5" t="s">
        <v>206</v>
      </c>
      <c r="D10733" s="3" t="s">
        <v>68</v>
      </c>
      <c r="E10733" s="3" t="s">
        <v>100</v>
      </c>
      <c r="F10733" s="7">
        <v>45955.47922011358</v>
      </c>
      <c r="G10733" s="3" t="s">
        <v>10926</v>
      </c>
    </row>
    <row r="10734">
      <c r="A10734" s="3" t="s">
        <v>26154</v>
      </c>
      <c r="B10734" s="3" t="s">
        <v>9538</v>
      </c>
      <c r="C10734" s="5" t="s">
        <v>45</v>
      </c>
      <c r="D10734" s="3" t="s">
        <v>221</v>
      </c>
      <c r="E10734" s="3" t="s">
        <v>204</v>
      </c>
      <c r="F10734" s="7">
        <v>45955.53997829233</v>
      </c>
      <c r="G10734" s="3" t="s">
        <v>10987</v>
      </c>
    </row>
    <row r="10735">
      <c r="A10735" s="3" t="s">
        <v>26155</v>
      </c>
      <c r="B10735" s="3" t="s">
        <v>9538</v>
      </c>
      <c r="C10735" s="5" t="s">
        <v>221</v>
      </c>
      <c r="D10735" s="3" t="s">
        <v>614</v>
      </c>
      <c r="E10735" s="3" t="s">
        <v>118</v>
      </c>
      <c r="F10735" s="7">
        <v>45955.543450514546</v>
      </c>
      <c r="G10735" s="3" t="s">
        <v>10989</v>
      </c>
    </row>
    <row r="10736">
      <c r="A10736" s="3" t="s">
        <v>26156</v>
      </c>
      <c r="B10736" s="3" t="s">
        <v>9538</v>
      </c>
      <c r="C10736" s="5" t="s">
        <v>614</v>
      </c>
      <c r="D10736" s="3" t="s">
        <v>206</v>
      </c>
      <c r="E10736" s="3" t="s">
        <v>100</v>
      </c>
      <c r="F10736" s="7">
        <v>45955.54692273677</v>
      </c>
      <c r="G10736" s="3" t="s">
        <v>10992</v>
      </c>
    </row>
    <row r="10737">
      <c r="A10737" s="3" t="s">
        <v>26157</v>
      </c>
      <c r="B10737" s="3" t="s">
        <v>9538</v>
      </c>
      <c r="C10737" s="5" t="s">
        <v>206</v>
      </c>
      <c r="D10737" s="3" t="s">
        <v>68</v>
      </c>
      <c r="E10737" s="3" t="s">
        <v>100</v>
      </c>
      <c r="F10737" s="7">
        <v>45955.55039495899</v>
      </c>
      <c r="G10737" s="3" t="s">
        <v>10995</v>
      </c>
    </row>
    <row r="10738">
      <c r="A10738" s="3" t="s">
        <v>26158</v>
      </c>
      <c r="B10738" s="3" t="s">
        <v>9541</v>
      </c>
      <c r="C10738" s="5" t="s">
        <v>45</v>
      </c>
      <c r="D10738" s="3" t="s">
        <v>221</v>
      </c>
      <c r="E10738" s="3" t="s">
        <v>453</v>
      </c>
      <c r="F10738" s="7">
        <v>45955.61115313775</v>
      </c>
      <c r="G10738" s="3" t="s">
        <v>8676</v>
      </c>
    </row>
    <row r="10739">
      <c r="A10739" s="3" t="s">
        <v>26159</v>
      </c>
      <c r="B10739" s="3" t="s">
        <v>9541</v>
      </c>
      <c r="C10739" s="5" t="s">
        <v>221</v>
      </c>
      <c r="D10739" s="3" t="s">
        <v>614</v>
      </c>
      <c r="E10739" s="3" t="s">
        <v>118</v>
      </c>
      <c r="F10739" s="7">
        <v>45955.614625359965</v>
      </c>
      <c r="G10739" s="3" t="s">
        <v>8679</v>
      </c>
    </row>
    <row r="10740">
      <c r="A10740" s="3" t="s">
        <v>26160</v>
      </c>
      <c r="B10740" s="3" t="s">
        <v>9541</v>
      </c>
      <c r="C10740" s="5" t="s">
        <v>614</v>
      </c>
      <c r="D10740" s="3" t="s">
        <v>206</v>
      </c>
      <c r="E10740" s="3" t="s">
        <v>100</v>
      </c>
      <c r="F10740" s="7">
        <v>45955.61809758219</v>
      </c>
      <c r="G10740" s="3" t="s">
        <v>8682</v>
      </c>
    </row>
    <row r="10741">
      <c r="A10741" s="3" t="s">
        <v>26161</v>
      </c>
      <c r="B10741" s="3" t="s">
        <v>9541</v>
      </c>
      <c r="C10741" s="5" t="s">
        <v>206</v>
      </c>
      <c r="D10741" s="3" t="s">
        <v>68</v>
      </c>
      <c r="E10741" s="3" t="s">
        <v>100</v>
      </c>
      <c r="F10741" s="7">
        <v>45955.62156980441</v>
      </c>
      <c r="G10741" s="3" t="s">
        <v>8685</v>
      </c>
    </row>
    <row r="10742">
      <c r="A10742" s="3" t="s">
        <v>26162</v>
      </c>
      <c r="B10742" s="3" t="s">
        <v>9543</v>
      </c>
      <c r="C10742" s="5" t="s">
        <v>45</v>
      </c>
      <c r="D10742" s="3" t="s">
        <v>221</v>
      </c>
      <c r="E10742" s="3" t="s">
        <v>886</v>
      </c>
      <c r="F10742" s="7">
        <v>45955.68232798316</v>
      </c>
      <c r="G10742" s="3" t="s">
        <v>11020</v>
      </c>
    </row>
    <row r="10743">
      <c r="A10743" s="3" t="s">
        <v>26163</v>
      </c>
      <c r="B10743" s="3" t="s">
        <v>9543</v>
      </c>
      <c r="C10743" s="5" t="s">
        <v>221</v>
      </c>
      <c r="D10743" s="3" t="s">
        <v>614</v>
      </c>
      <c r="E10743" s="3" t="s">
        <v>118</v>
      </c>
      <c r="F10743" s="7">
        <v>45955.68580020538</v>
      </c>
      <c r="G10743" s="3" t="s">
        <v>11022</v>
      </c>
    </row>
    <row r="10744">
      <c r="A10744" s="3" t="s">
        <v>26164</v>
      </c>
      <c r="B10744" s="3" t="s">
        <v>9543</v>
      </c>
      <c r="C10744" s="5" t="s">
        <v>614</v>
      </c>
      <c r="D10744" s="3" t="s">
        <v>206</v>
      </c>
      <c r="E10744" s="3" t="s">
        <v>100</v>
      </c>
      <c r="F10744" s="7">
        <v>45955.689272427604</v>
      </c>
      <c r="G10744" s="3" t="s">
        <v>11025</v>
      </c>
    </row>
    <row r="10745">
      <c r="A10745" s="3" t="s">
        <v>26165</v>
      </c>
      <c r="B10745" s="3" t="s">
        <v>9543</v>
      </c>
      <c r="C10745" s="5" t="s">
        <v>206</v>
      </c>
      <c r="D10745" s="3" t="s">
        <v>68</v>
      </c>
      <c r="E10745" s="3" t="s">
        <v>100</v>
      </c>
      <c r="F10745" s="7">
        <v>45955.69274464982</v>
      </c>
      <c r="G10745" s="3" t="s">
        <v>11029</v>
      </c>
    </row>
    <row r="10746">
      <c r="A10746" s="3" t="s">
        <v>26166</v>
      </c>
      <c r="B10746" s="3" t="s">
        <v>9546</v>
      </c>
      <c r="C10746" s="5" t="s">
        <v>45</v>
      </c>
      <c r="D10746" s="3" t="s">
        <v>221</v>
      </c>
      <c r="E10746" s="3" t="s">
        <v>369</v>
      </c>
      <c r="F10746" s="7">
        <v>45955.75350282857</v>
      </c>
      <c r="G10746" s="3" t="s">
        <v>11032</v>
      </c>
    </row>
    <row r="10747">
      <c r="A10747" s="3" t="s">
        <v>26167</v>
      </c>
      <c r="B10747" s="3" t="s">
        <v>9546</v>
      </c>
      <c r="C10747" s="5" t="s">
        <v>221</v>
      </c>
      <c r="D10747" s="3" t="s">
        <v>614</v>
      </c>
      <c r="E10747" s="3" t="s">
        <v>118</v>
      </c>
      <c r="F10747" s="7">
        <v>45955.75697505079</v>
      </c>
      <c r="G10747" s="3" t="s">
        <v>11035</v>
      </c>
    </row>
    <row r="10748">
      <c r="A10748" s="3" t="s">
        <v>26168</v>
      </c>
      <c r="B10748" s="3" t="s">
        <v>9546</v>
      </c>
      <c r="C10748" s="5" t="s">
        <v>614</v>
      </c>
      <c r="D10748" s="3" t="s">
        <v>206</v>
      </c>
      <c r="E10748" s="3" t="s">
        <v>100</v>
      </c>
      <c r="F10748" s="7">
        <v>45955.760447273016</v>
      </c>
      <c r="G10748" s="3" t="s">
        <v>11038</v>
      </c>
    </row>
    <row r="10749">
      <c r="A10749" s="3" t="s">
        <v>26169</v>
      </c>
      <c r="B10749" s="3" t="s">
        <v>9546</v>
      </c>
      <c r="C10749" s="5" t="s">
        <v>206</v>
      </c>
      <c r="D10749" s="3" t="s">
        <v>68</v>
      </c>
      <c r="E10749" s="3" t="s">
        <v>100</v>
      </c>
      <c r="F10749" s="7">
        <v>45955.763919495235</v>
      </c>
      <c r="G10749" s="3" t="s">
        <v>11040</v>
      </c>
    </row>
    <row r="10750">
      <c r="A10750" s="3" t="s">
        <v>26170</v>
      </c>
      <c r="B10750" s="3" t="s">
        <v>9549</v>
      </c>
      <c r="C10750" s="5" t="s">
        <v>45</v>
      </c>
      <c r="D10750" s="3" t="s">
        <v>221</v>
      </c>
      <c r="E10750" s="3" t="s">
        <v>793</v>
      </c>
      <c r="F10750" s="7">
        <v>45955.82467767399</v>
      </c>
      <c r="G10750" s="3" t="s">
        <v>2770</v>
      </c>
    </row>
    <row r="10751">
      <c r="A10751" s="3" t="s">
        <v>26171</v>
      </c>
      <c r="B10751" s="3" t="s">
        <v>9549</v>
      </c>
      <c r="C10751" s="5" t="s">
        <v>221</v>
      </c>
      <c r="D10751" s="3" t="s">
        <v>195</v>
      </c>
      <c r="E10751" s="3" t="s">
        <v>793</v>
      </c>
      <c r="F10751" s="7">
        <v>45955.82814989621</v>
      </c>
      <c r="G10751" s="3" t="s">
        <v>3055</v>
      </c>
    </row>
    <row r="10752">
      <c r="A10752" s="3" t="s">
        <v>26172</v>
      </c>
      <c r="B10752" s="3" t="s">
        <v>9556</v>
      </c>
      <c r="C10752" s="5" t="s">
        <v>45</v>
      </c>
      <c r="D10752" s="3" t="s">
        <v>221</v>
      </c>
      <c r="E10752" s="3" t="s">
        <v>179</v>
      </c>
      <c r="F10752" s="7">
        <v>45955.8958525194</v>
      </c>
      <c r="G10752" s="3" t="s">
        <v>14445</v>
      </c>
    </row>
    <row r="10753">
      <c r="A10753" s="3" t="s">
        <v>26173</v>
      </c>
      <c r="B10753" s="3" t="s">
        <v>9556</v>
      </c>
      <c r="C10753" s="5" t="s">
        <v>221</v>
      </c>
      <c r="D10753" s="3" t="s">
        <v>181</v>
      </c>
      <c r="E10753" s="3" t="s">
        <v>118</v>
      </c>
      <c r="F10753" s="7">
        <v>45955.89932474162</v>
      </c>
      <c r="G10753" s="3" t="s">
        <v>26174</v>
      </c>
    </row>
    <row r="10754">
      <c r="A10754" s="3" t="s">
        <v>26175</v>
      </c>
      <c r="B10754" s="3" t="s">
        <v>9559</v>
      </c>
      <c r="C10754" s="5" t="s">
        <v>45</v>
      </c>
      <c r="D10754" s="3" t="s">
        <v>221</v>
      </c>
      <c r="E10754" s="3" t="s">
        <v>785</v>
      </c>
      <c r="F10754" s="7">
        <v>45955.967027364815</v>
      </c>
      <c r="G10754" s="3" t="s">
        <v>4736</v>
      </c>
    </row>
    <row r="10755">
      <c r="A10755" s="3" t="s">
        <v>26176</v>
      </c>
      <c r="B10755" s="3" t="s">
        <v>9559</v>
      </c>
      <c r="C10755" s="5" t="s">
        <v>221</v>
      </c>
      <c r="D10755" s="3" t="s">
        <v>614</v>
      </c>
      <c r="E10755" s="3" t="s">
        <v>118</v>
      </c>
      <c r="F10755" s="7">
        <v>45955.970499587034</v>
      </c>
      <c r="G10755" s="3" t="s">
        <v>4738</v>
      </c>
    </row>
    <row r="10756">
      <c r="A10756" s="3" t="s">
        <v>26177</v>
      </c>
      <c r="B10756" s="3" t="s">
        <v>9559</v>
      </c>
      <c r="C10756" s="5" t="s">
        <v>614</v>
      </c>
      <c r="D10756" s="3" t="s">
        <v>206</v>
      </c>
      <c r="E10756" s="3" t="s">
        <v>100</v>
      </c>
      <c r="F10756" s="7">
        <v>45955.97397180926</v>
      </c>
      <c r="G10756" s="3" t="s">
        <v>4741</v>
      </c>
    </row>
    <row r="10757">
      <c r="A10757" s="3" t="s">
        <v>26178</v>
      </c>
      <c r="B10757" s="3" t="s">
        <v>9559</v>
      </c>
      <c r="C10757" s="5" t="s">
        <v>206</v>
      </c>
      <c r="D10757" s="3" t="s">
        <v>68</v>
      </c>
      <c r="E10757" s="3" t="s">
        <v>100</v>
      </c>
      <c r="F10757" s="7">
        <v>45955.97744403148</v>
      </c>
      <c r="G10757" s="3" t="s">
        <v>4744</v>
      </c>
    </row>
    <row r="10758">
      <c r="A10758" s="3" t="s">
        <v>26179</v>
      </c>
      <c r="B10758" s="3" t="s">
        <v>9563</v>
      </c>
      <c r="C10758" s="5" t="s">
        <v>45</v>
      </c>
      <c r="D10758" s="3" t="s">
        <v>221</v>
      </c>
      <c r="E10758" s="3" t="s">
        <v>746</v>
      </c>
      <c r="F10758" s="7">
        <v>45956.038202210235</v>
      </c>
      <c r="G10758" s="3" t="s">
        <v>11049</v>
      </c>
    </row>
    <row r="10759">
      <c r="A10759" s="3" t="s">
        <v>26180</v>
      </c>
      <c r="B10759" s="3" t="s">
        <v>9563</v>
      </c>
      <c r="C10759" s="5" t="s">
        <v>221</v>
      </c>
      <c r="D10759" s="3" t="s">
        <v>614</v>
      </c>
      <c r="E10759" s="3" t="s">
        <v>118</v>
      </c>
      <c r="F10759" s="7">
        <v>45956.041674432454</v>
      </c>
      <c r="G10759" s="3" t="s">
        <v>11051</v>
      </c>
    </row>
    <row r="10760">
      <c r="A10760" s="3" t="s">
        <v>26181</v>
      </c>
      <c r="B10760" s="3" t="s">
        <v>9563</v>
      </c>
      <c r="C10760" s="5" t="s">
        <v>614</v>
      </c>
      <c r="D10760" s="3" t="s">
        <v>206</v>
      </c>
      <c r="E10760" s="3" t="s">
        <v>100</v>
      </c>
      <c r="F10760" s="7">
        <v>45956.04514665468</v>
      </c>
      <c r="G10760" s="3" t="s">
        <v>11054</v>
      </c>
    </row>
    <row r="10761">
      <c r="A10761" s="3" t="s">
        <v>26182</v>
      </c>
      <c r="B10761" s="3" t="s">
        <v>9563</v>
      </c>
      <c r="C10761" s="5" t="s">
        <v>206</v>
      </c>
      <c r="D10761" s="3" t="s">
        <v>68</v>
      </c>
      <c r="E10761" s="3" t="s">
        <v>100</v>
      </c>
      <c r="F10761" s="7">
        <v>45956.0486188769</v>
      </c>
      <c r="G10761" s="3" t="s">
        <v>11057</v>
      </c>
    </row>
    <row r="10762">
      <c r="A10762" s="3" t="s">
        <v>26183</v>
      </c>
      <c r="B10762" s="3" t="s">
        <v>9566</v>
      </c>
      <c r="C10762" s="5" t="s">
        <v>45</v>
      </c>
      <c r="D10762" s="3" t="s">
        <v>221</v>
      </c>
      <c r="E10762" s="3" t="s">
        <v>230</v>
      </c>
      <c r="F10762" s="7">
        <v>45956.10937705565</v>
      </c>
      <c r="G10762" s="3" t="s">
        <v>11108</v>
      </c>
    </row>
    <row r="10763">
      <c r="A10763" s="3" t="s">
        <v>26184</v>
      </c>
      <c r="B10763" s="3" t="s">
        <v>9566</v>
      </c>
      <c r="C10763" s="5" t="s">
        <v>221</v>
      </c>
      <c r="D10763" s="3" t="s">
        <v>614</v>
      </c>
      <c r="E10763" s="3" t="s">
        <v>118</v>
      </c>
      <c r="F10763" s="7">
        <v>45956.112849277866</v>
      </c>
      <c r="G10763" s="3" t="s">
        <v>11111</v>
      </c>
    </row>
    <row r="10764">
      <c r="A10764" s="3" t="s">
        <v>26185</v>
      </c>
      <c r="B10764" s="3" t="s">
        <v>9566</v>
      </c>
      <c r="C10764" s="5" t="s">
        <v>614</v>
      </c>
      <c r="D10764" s="3" t="s">
        <v>206</v>
      </c>
      <c r="E10764" s="3" t="s">
        <v>100</v>
      </c>
      <c r="F10764" s="7">
        <v>45956.11632150009</v>
      </c>
      <c r="G10764" s="3" t="s">
        <v>11114</v>
      </c>
    </row>
    <row r="10765">
      <c r="A10765" s="3" t="s">
        <v>26186</v>
      </c>
      <c r="B10765" s="3" t="s">
        <v>9566</v>
      </c>
      <c r="C10765" s="5" t="s">
        <v>206</v>
      </c>
      <c r="D10765" s="3" t="s">
        <v>68</v>
      </c>
      <c r="E10765" s="3" t="s">
        <v>100</v>
      </c>
      <c r="F10765" s="7">
        <v>45956.11979372231</v>
      </c>
      <c r="G10765" s="3" t="s">
        <v>11117</v>
      </c>
    </row>
    <row r="10766">
      <c r="A10766" s="3" t="s">
        <v>26187</v>
      </c>
      <c r="B10766" s="3" t="s">
        <v>9569</v>
      </c>
      <c r="C10766" s="5" t="s">
        <v>45</v>
      </c>
      <c r="D10766" s="3" t="s">
        <v>221</v>
      </c>
      <c r="E10766" s="3" t="s">
        <v>598</v>
      </c>
      <c r="F10766" s="7">
        <v>45956.18055190106</v>
      </c>
      <c r="G10766" s="3" t="s">
        <v>26188</v>
      </c>
    </row>
    <row r="10767">
      <c r="A10767" s="3" t="s">
        <v>26189</v>
      </c>
      <c r="B10767" s="3" t="s">
        <v>9569</v>
      </c>
      <c r="C10767" s="5" t="s">
        <v>221</v>
      </c>
      <c r="D10767" s="3" t="s">
        <v>614</v>
      </c>
      <c r="E10767" s="3" t="s">
        <v>118</v>
      </c>
      <c r="F10767" s="7">
        <v>45956.18402412328</v>
      </c>
      <c r="G10767" s="3" t="s">
        <v>26190</v>
      </c>
    </row>
    <row r="10768">
      <c r="A10768" s="3" t="s">
        <v>26191</v>
      </c>
      <c r="B10768" s="3" t="s">
        <v>9569</v>
      </c>
      <c r="C10768" s="5" t="s">
        <v>614</v>
      </c>
      <c r="D10768" s="3" t="s">
        <v>206</v>
      </c>
      <c r="E10768" s="3" t="s">
        <v>100</v>
      </c>
      <c r="F10768" s="7">
        <v>45956.187496345505</v>
      </c>
      <c r="G10768" s="3" t="s">
        <v>26192</v>
      </c>
    </row>
    <row r="10769">
      <c r="A10769" s="3" t="s">
        <v>26193</v>
      </c>
      <c r="B10769" s="3" t="s">
        <v>9569</v>
      </c>
      <c r="C10769" s="5" t="s">
        <v>206</v>
      </c>
      <c r="D10769" s="3" t="s">
        <v>68</v>
      </c>
      <c r="E10769" s="3" t="s">
        <v>100</v>
      </c>
      <c r="F10769" s="7">
        <v>45956.190968567724</v>
      </c>
      <c r="G10769" s="3" t="s">
        <v>26194</v>
      </c>
    </row>
    <row r="10770">
      <c r="A10770" s="3" t="s">
        <v>26195</v>
      </c>
      <c r="B10770" s="3" t="s">
        <v>9573</v>
      </c>
      <c r="C10770" s="5" t="s">
        <v>45</v>
      </c>
      <c r="D10770" s="3" t="s">
        <v>221</v>
      </c>
      <c r="E10770" s="3" t="s">
        <v>322</v>
      </c>
      <c r="F10770" s="7">
        <v>45956.25172674648</v>
      </c>
      <c r="G10770" s="3" t="s">
        <v>9495</v>
      </c>
    </row>
    <row r="10771">
      <c r="A10771" s="3" t="s">
        <v>26196</v>
      </c>
      <c r="B10771" s="3" t="s">
        <v>9573</v>
      </c>
      <c r="C10771" s="5" t="s">
        <v>221</v>
      </c>
      <c r="D10771" s="3" t="s">
        <v>614</v>
      </c>
      <c r="E10771" s="3" t="s">
        <v>118</v>
      </c>
      <c r="F10771" s="7">
        <v>45956.2551989687</v>
      </c>
      <c r="G10771" s="3" t="s">
        <v>9498</v>
      </c>
    </row>
    <row r="10772">
      <c r="A10772" s="3" t="s">
        <v>26197</v>
      </c>
      <c r="B10772" s="3" t="s">
        <v>9573</v>
      </c>
      <c r="C10772" s="5" t="s">
        <v>614</v>
      </c>
      <c r="D10772" s="3" t="s">
        <v>206</v>
      </c>
      <c r="E10772" s="3" t="s">
        <v>100</v>
      </c>
      <c r="F10772" s="7">
        <v>45956.258671190924</v>
      </c>
      <c r="G10772" s="3" t="s">
        <v>9501</v>
      </c>
    </row>
    <row r="10773">
      <c r="A10773" s="3" t="s">
        <v>26198</v>
      </c>
      <c r="B10773" s="3" t="s">
        <v>9573</v>
      </c>
      <c r="C10773" s="5" t="s">
        <v>206</v>
      </c>
      <c r="D10773" s="3" t="s">
        <v>68</v>
      </c>
      <c r="E10773" s="3" t="s">
        <v>100</v>
      </c>
      <c r="F10773" s="7">
        <v>45956.26214341314</v>
      </c>
      <c r="G10773" s="3" t="s">
        <v>9503</v>
      </c>
    </row>
    <row r="10774">
      <c r="A10774" s="3" t="s">
        <v>26199</v>
      </c>
      <c r="B10774" s="3" t="s">
        <v>9577</v>
      </c>
      <c r="C10774" s="5" t="s">
        <v>45</v>
      </c>
      <c r="D10774" s="3" t="s">
        <v>221</v>
      </c>
      <c r="E10774" s="3" t="s">
        <v>430</v>
      </c>
      <c r="F10774" s="7">
        <v>45956.3229015919</v>
      </c>
      <c r="G10774" s="3" t="s">
        <v>22176</v>
      </c>
    </row>
    <row r="10775">
      <c r="A10775" s="3" t="s">
        <v>26200</v>
      </c>
      <c r="B10775" s="3" t="s">
        <v>9577</v>
      </c>
      <c r="C10775" s="5" t="s">
        <v>221</v>
      </c>
      <c r="D10775" s="3" t="s">
        <v>614</v>
      </c>
      <c r="E10775" s="3" t="s">
        <v>118</v>
      </c>
      <c r="F10775" s="7">
        <v>45956.32637381412</v>
      </c>
      <c r="G10775" s="3" t="s">
        <v>26201</v>
      </c>
    </row>
    <row r="10776">
      <c r="A10776" s="3" t="s">
        <v>26202</v>
      </c>
      <c r="B10776" s="3" t="s">
        <v>9577</v>
      </c>
      <c r="C10776" s="5" t="s">
        <v>614</v>
      </c>
      <c r="D10776" s="3" t="s">
        <v>206</v>
      </c>
      <c r="E10776" s="3" t="s">
        <v>100</v>
      </c>
      <c r="F10776" s="7">
        <v>45956.329846036344</v>
      </c>
      <c r="G10776" s="3" t="s">
        <v>26203</v>
      </c>
    </row>
    <row r="10777">
      <c r="A10777" s="3" t="s">
        <v>26204</v>
      </c>
      <c r="B10777" s="3" t="s">
        <v>9577</v>
      </c>
      <c r="C10777" s="5" t="s">
        <v>206</v>
      </c>
      <c r="D10777" s="3" t="s">
        <v>68</v>
      </c>
      <c r="E10777" s="3" t="s">
        <v>100</v>
      </c>
      <c r="F10777" s="7">
        <v>45956.33331825856</v>
      </c>
      <c r="G10777" s="3" t="s">
        <v>26205</v>
      </c>
    </row>
    <row r="10778">
      <c r="A10778" s="3" t="s">
        <v>26206</v>
      </c>
      <c r="B10778" s="3" t="s">
        <v>9580</v>
      </c>
      <c r="C10778" s="5" t="s">
        <v>45</v>
      </c>
      <c r="D10778" s="3" t="s">
        <v>221</v>
      </c>
      <c r="E10778" s="3" t="s">
        <v>145</v>
      </c>
      <c r="F10778" s="7">
        <v>45956.394076437304</v>
      </c>
      <c r="G10778" s="3" t="s">
        <v>14779</v>
      </c>
    </row>
    <row r="10779">
      <c r="A10779" s="3" t="s">
        <v>26207</v>
      </c>
      <c r="B10779" s="3" t="s">
        <v>9580</v>
      </c>
      <c r="C10779" s="5" t="s">
        <v>221</v>
      </c>
      <c r="D10779" s="3" t="s">
        <v>181</v>
      </c>
      <c r="E10779" s="3" t="s">
        <v>118</v>
      </c>
      <c r="F10779" s="7">
        <v>45956.39754865952</v>
      </c>
      <c r="G10779" s="3" t="s">
        <v>26208</v>
      </c>
    </row>
    <row r="10780">
      <c r="A10780" s="3" t="s">
        <v>26209</v>
      </c>
      <c r="B10780" s="3" t="s">
        <v>9582</v>
      </c>
      <c r="C10780" s="5" t="s">
        <v>45</v>
      </c>
      <c r="D10780" s="3" t="s">
        <v>221</v>
      </c>
      <c r="E10780" s="3" t="s">
        <v>510</v>
      </c>
      <c r="F10780" s="7">
        <v>45956.46525128272</v>
      </c>
      <c r="G10780" s="3" t="s">
        <v>11120</v>
      </c>
    </row>
    <row r="10781">
      <c r="A10781" s="3" t="s">
        <v>26210</v>
      </c>
      <c r="B10781" s="3" t="s">
        <v>9582</v>
      </c>
      <c r="C10781" s="5" t="s">
        <v>221</v>
      </c>
      <c r="D10781" s="3" t="s">
        <v>614</v>
      </c>
      <c r="E10781" s="3" t="s">
        <v>118</v>
      </c>
      <c r="F10781" s="7">
        <v>45956.46872350494</v>
      </c>
      <c r="G10781" s="3" t="s">
        <v>11122</v>
      </c>
    </row>
    <row r="10782">
      <c r="A10782" s="3" t="s">
        <v>26211</v>
      </c>
      <c r="B10782" s="3" t="s">
        <v>9582</v>
      </c>
      <c r="C10782" s="5" t="s">
        <v>614</v>
      </c>
      <c r="D10782" s="3" t="s">
        <v>206</v>
      </c>
      <c r="E10782" s="3" t="s">
        <v>100</v>
      </c>
      <c r="F10782" s="7">
        <v>45956.47219572717</v>
      </c>
      <c r="G10782" s="3" t="s">
        <v>11125</v>
      </c>
    </row>
    <row r="10783">
      <c r="A10783" s="3" t="s">
        <v>26212</v>
      </c>
      <c r="B10783" s="3" t="s">
        <v>9582</v>
      </c>
      <c r="C10783" s="5" t="s">
        <v>206</v>
      </c>
      <c r="D10783" s="3" t="s">
        <v>68</v>
      </c>
      <c r="E10783" s="3" t="s">
        <v>100</v>
      </c>
      <c r="F10783" s="7">
        <v>45956.47566794939</v>
      </c>
      <c r="G10783" s="3" t="s">
        <v>11128</v>
      </c>
    </row>
    <row r="10784">
      <c r="A10784" s="3" t="s">
        <v>26213</v>
      </c>
      <c r="B10784" s="3" t="s">
        <v>9584</v>
      </c>
      <c r="C10784" s="5" t="s">
        <v>45</v>
      </c>
      <c r="D10784" s="3" t="s">
        <v>221</v>
      </c>
      <c r="E10784" s="3" t="s">
        <v>632</v>
      </c>
      <c r="F10784" s="7">
        <v>45956.53642612814</v>
      </c>
      <c r="G10784" s="3" t="s">
        <v>9238</v>
      </c>
    </row>
    <row r="10785">
      <c r="A10785" s="3" t="s">
        <v>26214</v>
      </c>
      <c r="B10785" s="3" t="s">
        <v>9584</v>
      </c>
      <c r="C10785" s="5" t="s">
        <v>221</v>
      </c>
      <c r="D10785" s="3" t="s">
        <v>181</v>
      </c>
      <c r="E10785" s="3" t="s">
        <v>118</v>
      </c>
      <c r="F10785" s="7">
        <v>45956.53989835036</v>
      </c>
      <c r="G10785" s="3" t="s">
        <v>26215</v>
      </c>
    </row>
    <row r="10786">
      <c r="A10786" s="3" t="s">
        <v>26216</v>
      </c>
      <c r="B10786" s="3" t="s">
        <v>9586</v>
      </c>
      <c r="C10786" s="5" t="s">
        <v>45</v>
      </c>
      <c r="D10786" s="3" t="s">
        <v>221</v>
      </c>
      <c r="E10786" s="3" t="s">
        <v>479</v>
      </c>
      <c r="F10786" s="7">
        <v>45956.607600973555</v>
      </c>
      <c r="G10786" s="3" t="s">
        <v>15861</v>
      </c>
    </row>
    <row r="10787">
      <c r="A10787" s="3" t="s">
        <v>26217</v>
      </c>
      <c r="B10787" s="3" t="s">
        <v>9586</v>
      </c>
      <c r="C10787" s="5" t="s">
        <v>221</v>
      </c>
      <c r="D10787" s="3" t="s">
        <v>614</v>
      </c>
      <c r="E10787" s="3" t="s">
        <v>118</v>
      </c>
      <c r="F10787" s="7">
        <v>45956.611073195774</v>
      </c>
      <c r="G10787" s="3" t="s">
        <v>26218</v>
      </c>
    </row>
    <row r="10788">
      <c r="A10788" s="3" t="s">
        <v>26219</v>
      </c>
      <c r="B10788" s="3" t="s">
        <v>9586</v>
      </c>
      <c r="C10788" s="5" t="s">
        <v>614</v>
      </c>
      <c r="D10788" s="3" t="s">
        <v>206</v>
      </c>
      <c r="E10788" s="3" t="s">
        <v>100</v>
      </c>
      <c r="F10788" s="7">
        <v>45956.614545418</v>
      </c>
      <c r="G10788" s="3" t="s">
        <v>26220</v>
      </c>
    </row>
    <row r="10789">
      <c r="A10789" s="3" t="s">
        <v>26221</v>
      </c>
      <c r="B10789" s="3" t="s">
        <v>9586</v>
      </c>
      <c r="C10789" s="5" t="s">
        <v>206</v>
      </c>
      <c r="D10789" s="3" t="s">
        <v>68</v>
      </c>
      <c r="E10789" s="3" t="s">
        <v>100</v>
      </c>
      <c r="F10789" s="7">
        <v>45956.61801764022</v>
      </c>
      <c r="G10789" s="3" t="s">
        <v>26222</v>
      </c>
    </row>
    <row r="10790">
      <c r="A10790" s="3" t="s">
        <v>26223</v>
      </c>
      <c r="B10790" s="3" t="s">
        <v>9588</v>
      </c>
      <c r="C10790" s="5" t="s">
        <v>45</v>
      </c>
      <c r="D10790" s="3" t="s">
        <v>221</v>
      </c>
      <c r="E10790" s="3" t="s">
        <v>939</v>
      </c>
      <c r="F10790" s="7">
        <v>45956.67877581897</v>
      </c>
      <c r="G10790" s="3" t="s">
        <v>11137</v>
      </c>
    </row>
    <row r="10791">
      <c r="A10791" s="3" t="s">
        <v>26224</v>
      </c>
      <c r="B10791" s="3" t="s">
        <v>9588</v>
      </c>
      <c r="C10791" s="5" t="s">
        <v>221</v>
      </c>
      <c r="D10791" s="3" t="s">
        <v>614</v>
      </c>
      <c r="E10791" s="3" t="s">
        <v>118</v>
      </c>
      <c r="F10791" s="7">
        <v>45956.68224804119</v>
      </c>
      <c r="G10791" s="3" t="s">
        <v>11140</v>
      </c>
    </row>
    <row r="10792">
      <c r="A10792" s="3" t="s">
        <v>26225</v>
      </c>
      <c r="B10792" s="3" t="s">
        <v>9588</v>
      </c>
      <c r="C10792" s="5" t="s">
        <v>614</v>
      </c>
      <c r="D10792" s="3" t="s">
        <v>206</v>
      </c>
      <c r="E10792" s="3" t="s">
        <v>100</v>
      </c>
      <c r="F10792" s="7">
        <v>45956.68572026341</v>
      </c>
      <c r="G10792" s="3" t="s">
        <v>11143</v>
      </c>
    </row>
    <row r="10793">
      <c r="A10793" s="3" t="s">
        <v>26226</v>
      </c>
      <c r="B10793" s="3" t="s">
        <v>9588</v>
      </c>
      <c r="C10793" s="5" t="s">
        <v>206</v>
      </c>
      <c r="D10793" s="3" t="s">
        <v>68</v>
      </c>
      <c r="E10793" s="3" t="s">
        <v>100</v>
      </c>
      <c r="F10793" s="7">
        <v>45956.68919248563</v>
      </c>
      <c r="G10793" s="3" t="s">
        <v>11145</v>
      </c>
    </row>
    <row r="10794">
      <c r="A10794" s="3" t="s">
        <v>26227</v>
      </c>
      <c r="B10794" s="3" t="s">
        <v>9591</v>
      </c>
      <c r="C10794" s="5" t="s">
        <v>45</v>
      </c>
      <c r="D10794" s="3" t="s">
        <v>221</v>
      </c>
      <c r="E10794" s="3" t="s">
        <v>356</v>
      </c>
      <c r="F10794" s="7">
        <v>45956.74995066439</v>
      </c>
      <c r="G10794" s="3" t="s">
        <v>24674</v>
      </c>
    </row>
    <row r="10795">
      <c r="A10795" s="3" t="s">
        <v>26228</v>
      </c>
      <c r="B10795" s="3" t="s">
        <v>9591</v>
      </c>
      <c r="C10795" s="5" t="s">
        <v>221</v>
      </c>
      <c r="D10795" s="3" t="s">
        <v>614</v>
      </c>
      <c r="E10795" s="3" t="s">
        <v>118</v>
      </c>
      <c r="F10795" s="7">
        <v>45956.753422886606</v>
      </c>
      <c r="G10795" s="3" t="s">
        <v>24676</v>
      </c>
    </row>
    <row r="10796">
      <c r="A10796" s="3" t="s">
        <v>26229</v>
      </c>
      <c r="B10796" s="3" t="s">
        <v>9591</v>
      </c>
      <c r="C10796" s="5" t="s">
        <v>614</v>
      </c>
      <c r="D10796" s="3" t="s">
        <v>206</v>
      </c>
      <c r="E10796" s="3" t="s">
        <v>100</v>
      </c>
      <c r="F10796" s="7">
        <v>45956.75689510883</v>
      </c>
      <c r="G10796" s="3" t="s">
        <v>24678</v>
      </c>
    </row>
    <row r="10797">
      <c r="A10797" s="3" t="s">
        <v>26230</v>
      </c>
      <c r="B10797" s="3" t="s">
        <v>9591</v>
      </c>
      <c r="C10797" s="5" t="s">
        <v>206</v>
      </c>
      <c r="D10797" s="3" t="s">
        <v>68</v>
      </c>
      <c r="E10797" s="3" t="s">
        <v>100</v>
      </c>
      <c r="F10797" s="7">
        <v>45956.76036733105</v>
      </c>
      <c r="G10797" s="3" t="s">
        <v>24680</v>
      </c>
    </row>
    <row r="10798">
      <c r="A10798" s="3" t="s">
        <v>26231</v>
      </c>
      <c r="B10798" s="3" t="s">
        <v>9593</v>
      </c>
      <c r="C10798" s="5" t="s">
        <v>45</v>
      </c>
      <c r="D10798" s="3" t="s">
        <v>221</v>
      </c>
      <c r="E10798" s="3" t="s">
        <v>752</v>
      </c>
      <c r="F10798" s="7">
        <v>45956.8211255098</v>
      </c>
      <c r="G10798" s="3" t="s">
        <v>13840</v>
      </c>
    </row>
    <row r="10799">
      <c r="A10799" s="3" t="s">
        <v>26232</v>
      </c>
      <c r="B10799" s="3" t="s">
        <v>9593</v>
      </c>
      <c r="C10799" s="5" t="s">
        <v>221</v>
      </c>
      <c r="D10799" s="3" t="s">
        <v>614</v>
      </c>
      <c r="E10799" s="3" t="s">
        <v>118</v>
      </c>
      <c r="F10799" s="7">
        <v>45956.82459773202</v>
      </c>
      <c r="G10799" s="3" t="s">
        <v>13843</v>
      </c>
    </row>
    <row r="10800">
      <c r="A10800" s="3" t="s">
        <v>26233</v>
      </c>
      <c r="B10800" s="3" t="s">
        <v>9593</v>
      </c>
      <c r="C10800" s="5" t="s">
        <v>614</v>
      </c>
      <c r="D10800" s="3" t="s">
        <v>206</v>
      </c>
      <c r="E10800" s="3" t="s">
        <v>100</v>
      </c>
      <c r="F10800" s="7">
        <v>45956.828069954245</v>
      </c>
      <c r="G10800" s="3" t="s">
        <v>13846</v>
      </c>
    </row>
    <row r="10801">
      <c r="A10801" s="3" t="s">
        <v>26234</v>
      </c>
      <c r="B10801" s="3" t="s">
        <v>9593</v>
      </c>
      <c r="C10801" s="5" t="s">
        <v>206</v>
      </c>
      <c r="D10801" s="3" t="s">
        <v>68</v>
      </c>
      <c r="E10801" s="3" t="s">
        <v>100</v>
      </c>
      <c r="F10801" s="7">
        <v>45956.831542176464</v>
      </c>
      <c r="G10801" s="3" t="s">
        <v>13848</v>
      </c>
    </row>
    <row r="10802">
      <c r="A10802" s="3" t="s">
        <v>26235</v>
      </c>
      <c r="B10802" s="3" t="s">
        <v>9595</v>
      </c>
      <c r="C10802" s="5" t="s">
        <v>45</v>
      </c>
      <c r="D10802" s="3" t="s">
        <v>221</v>
      </c>
      <c r="E10802" s="3" t="s">
        <v>247</v>
      </c>
      <c r="F10802" s="7">
        <v>45956.89230035521</v>
      </c>
      <c r="G10802" s="3" t="s">
        <v>19972</v>
      </c>
    </row>
    <row r="10803">
      <c r="A10803" s="3" t="s">
        <v>26236</v>
      </c>
      <c r="B10803" s="3" t="s">
        <v>9595</v>
      </c>
      <c r="C10803" s="5" t="s">
        <v>221</v>
      </c>
      <c r="D10803" s="3" t="s">
        <v>614</v>
      </c>
      <c r="E10803" s="3" t="s">
        <v>118</v>
      </c>
      <c r="F10803" s="7">
        <v>45956.89577257743</v>
      </c>
      <c r="G10803" s="3" t="s">
        <v>19975</v>
      </c>
    </row>
    <row r="10804">
      <c r="A10804" s="3" t="s">
        <v>26237</v>
      </c>
      <c r="B10804" s="3" t="s">
        <v>9595</v>
      </c>
      <c r="C10804" s="5" t="s">
        <v>614</v>
      </c>
      <c r="D10804" s="3" t="s">
        <v>206</v>
      </c>
      <c r="E10804" s="3" t="s">
        <v>100</v>
      </c>
      <c r="F10804" s="7">
        <v>45956.89924479966</v>
      </c>
      <c r="G10804" s="3" t="s">
        <v>19978</v>
      </c>
    </row>
    <row r="10805">
      <c r="A10805" s="3" t="s">
        <v>26238</v>
      </c>
      <c r="B10805" s="3" t="s">
        <v>9595</v>
      </c>
      <c r="C10805" s="5" t="s">
        <v>206</v>
      </c>
      <c r="D10805" s="3" t="s">
        <v>68</v>
      </c>
      <c r="E10805" s="3" t="s">
        <v>100</v>
      </c>
      <c r="F10805" s="7">
        <v>45956.902717021876</v>
      </c>
      <c r="G10805" s="3" t="s">
        <v>19980</v>
      </c>
    </row>
    <row r="10806">
      <c r="A10806" s="3" t="s">
        <v>26239</v>
      </c>
      <c r="B10806" s="3" t="s">
        <v>9598</v>
      </c>
      <c r="C10806" s="5" t="s">
        <v>45</v>
      </c>
      <c r="D10806" s="3" t="s">
        <v>221</v>
      </c>
      <c r="E10806" s="3" t="s">
        <v>287</v>
      </c>
      <c r="F10806" s="7">
        <v>45956.96347520063</v>
      </c>
      <c r="G10806" s="3" t="s">
        <v>11148</v>
      </c>
    </row>
    <row r="10807">
      <c r="A10807" s="3" t="s">
        <v>26240</v>
      </c>
      <c r="B10807" s="3" t="s">
        <v>9598</v>
      </c>
      <c r="C10807" s="5" t="s">
        <v>221</v>
      </c>
      <c r="D10807" s="3" t="s">
        <v>614</v>
      </c>
      <c r="E10807" s="3" t="s">
        <v>118</v>
      </c>
      <c r="F10807" s="7">
        <v>45956.96694742285</v>
      </c>
      <c r="G10807" s="3" t="s">
        <v>11151</v>
      </c>
    </row>
    <row r="10808">
      <c r="A10808" s="3" t="s">
        <v>26241</v>
      </c>
      <c r="B10808" s="3" t="s">
        <v>9598</v>
      </c>
      <c r="C10808" s="5" t="s">
        <v>614</v>
      </c>
      <c r="D10808" s="3" t="s">
        <v>206</v>
      </c>
      <c r="E10808" s="3" t="s">
        <v>100</v>
      </c>
      <c r="F10808" s="7">
        <v>45956.97041964508</v>
      </c>
      <c r="G10808" s="3" t="s">
        <v>11154</v>
      </c>
    </row>
    <row r="10809">
      <c r="A10809" s="3" t="s">
        <v>26242</v>
      </c>
      <c r="B10809" s="3" t="s">
        <v>9598</v>
      </c>
      <c r="C10809" s="5" t="s">
        <v>206</v>
      </c>
      <c r="D10809" s="3" t="s">
        <v>68</v>
      </c>
      <c r="E10809" s="3" t="s">
        <v>100</v>
      </c>
      <c r="F10809" s="7">
        <v>45956.973891867296</v>
      </c>
      <c r="G10809" s="3" t="s">
        <v>11157</v>
      </c>
    </row>
    <row r="10810">
      <c r="A10810" s="3" t="s">
        <v>26243</v>
      </c>
      <c r="B10810" s="3" t="s">
        <v>9601</v>
      </c>
      <c r="C10810" s="5" t="s">
        <v>45</v>
      </c>
      <c r="D10810" s="3" t="s">
        <v>221</v>
      </c>
      <c r="E10810" s="3" t="s">
        <v>934</v>
      </c>
      <c r="F10810" s="7">
        <v>45957.034650046044</v>
      </c>
      <c r="G10810" s="3" t="s">
        <v>24451</v>
      </c>
    </row>
    <row r="10811">
      <c r="A10811" s="3" t="s">
        <v>26244</v>
      </c>
      <c r="B10811" s="3" t="s">
        <v>9601</v>
      </c>
      <c r="C10811" s="5" t="s">
        <v>221</v>
      </c>
      <c r="D10811" s="3" t="s">
        <v>614</v>
      </c>
      <c r="E10811" s="3" t="s">
        <v>118</v>
      </c>
      <c r="F10811" s="7">
        <v>45957.03812226826</v>
      </c>
      <c r="G10811" s="3" t="s">
        <v>24453</v>
      </c>
    </row>
    <row r="10812">
      <c r="A10812" s="3" t="s">
        <v>26245</v>
      </c>
      <c r="B10812" s="3" t="s">
        <v>9601</v>
      </c>
      <c r="C10812" s="5" t="s">
        <v>614</v>
      </c>
      <c r="D10812" s="3" t="s">
        <v>206</v>
      </c>
      <c r="E10812" s="3" t="s">
        <v>100</v>
      </c>
      <c r="F10812" s="7">
        <v>45957.04159449049</v>
      </c>
      <c r="G10812" s="3" t="s">
        <v>24455</v>
      </c>
    </row>
    <row r="10813">
      <c r="A10813" s="3" t="s">
        <v>26246</v>
      </c>
      <c r="B10813" s="3" t="s">
        <v>9601</v>
      </c>
      <c r="C10813" s="5" t="s">
        <v>206</v>
      </c>
      <c r="D10813" s="3" t="s">
        <v>68</v>
      </c>
      <c r="E10813" s="3" t="s">
        <v>100</v>
      </c>
      <c r="F10813" s="7">
        <v>45957.04506671271</v>
      </c>
      <c r="G10813" s="3" t="s">
        <v>24457</v>
      </c>
    </row>
    <row r="10814">
      <c r="A10814" s="3" t="s">
        <v>26247</v>
      </c>
      <c r="B10814" s="3" t="s">
        <v>9603</v>
      </c>
      <c r="C10814" s="5" t="s">
        <v>45</v>
      </c>
      <c r="D10814" s="3" t="s">
        <v>221</v>
      </c>
      <c r="E10814" s="3" t="s">
        <v>145</v>
      </c>
      <c r="F10814" s="7">
        <v>45957.105824891456</v>
      </c>
      <c r="G10814" s="3" t="s">
        <v>16597</v>
      </c>
    </row>
    <row r="10815">
      <c r="A10815" s="3" t="s">
        <v>26248</v>
      </c>
      <c r="B10815" s="3" t="s">
        <v>9603</v>
      </c>
      <c r="C10815" s="5" t="s">
        <v>221</v>
      </c>
      <c r="D10815" s="3" t="s">
        <v>614</v>
      </c>
      <c r="E10815" s="3" t="s">
        <v>118</v>
      </c>
      <c r="F10815" s="7">
        <v>45957.109297113675</v>
      </c>
      <c r="G10815" s="3" t="s">
        <v>16600</v>
      </c>
    </row>
    <row r="10816">
      <c r="A10816" s="3" t="s">
        <v>26249</v>
      </c>
      <c r="B10816" s="3" t="s">
        <v>9603</v>
      </c>
      <c r="C10816" s="5" t="s">
        <v>614</v>
      </c>
      <c r="D10816" s="3" t="s">
        <v>206</v>
      </c>
      <c r="E10816" s="3" t="s">
        <v>100</v>
      </c>
      <c r="F10816" s="7">
        <v>45957.1127693359</v>
      </c>
      <c r="G10816" s="3" t="s">
        <v>16603</v>
      </c>
    </row>
    <row r="10817">
      <c r="A10817" s="3" t="s">
        <v>26250</v>
      </c>
      <c r="B10817" s="3" t="s">
        <v>9603</v>
      </c>
      <c r="C10817" s="5" t="s">
        <v>206</v>
      </c>
      <c r="D10817" s="3" t="s">
        <v>68</v>
      </c>
      <c r="E10817" s="3" t="s">
        <v>100</v>
      </c>
      <c r="F10817" s="7">
        <v>45957.11624155812</v>
      </c>
      <c r="G10817" s="3" t="s">
        <v>16606</v>
      </c>
    </row>
    <row r="10818">
      <c r="A10818" s="3" t="s">
        <v>26251</v>
      </c>
      <c r="B10818" s="3" t="s">
        <v>9605</v>
      </c>
      <c r="C10818" s="5" t="s">
        <v>45</v>
      </c>
      <c r="D10818" s="3" t="s">
        <v>221</v>
      </c>
      <c r="E10818" s="3" t="s">
        <v>330</v>
      </c>
      <c r="F10818" s="7">
        <v>45957.176999736876</v>
      </c>
      <c r="G10818" s="3" t="s">
        <v>11192</v>
      </c>
    </row>
    <row r="10819">
      <c r="A10819" s="3" t="s">
        <v>26252</v>
      </c>
      <c r="B10819" s="3" t="s">
        <v>9605</v>
      </c>
      <c r="C10819" s="5" t="s">
        <v>221</v>
      </c>
      <c r="D10819" s="3" t="s">
        <v>614</v>
      </c>
      <c r="E10819" s="3" t="s">
        <v>118</v>
      </c>
      <c r="F10819" s="7">
        <v>45957.180471959095</v>
      </c>
      <c r="G10819" s="3" t="s">
        <v>11194</v>
      </c>
    </row>
    <row r="10820">
      <c r="A10820" s="3" t="s">
        <v>26253</v>
      </c>
      <c r="B10820" s="3" t="s">
        <v>9605</v>
      </c>
      <c r="C10820" s="5" t="s">
        <v>614</v>
      </c>
      <c r="D10820" s="3" t="s">
        <v>206</v>
      </c>
      <c r="E10820" s="3" t="s">
        <v>100</v>
      </c>
      <c r="F10820" s="7">
        <v>45957.18394418132</v>
      </c>
      <c r="G10820" s="3" t="s">
        <v>11197</v>
      </c>
    </row>
    <row r="10821">
      <c r="A10821" s="3" t="s">
        <v>26254</v>
      </c>
      <c r="B10821" s="3" t="s">
        <v>9605</v>
      </c>
      <c r="C10821" s="5" t="s">
        <v>206</v>
      </c>
      <c r="D10821" s="3" t="s">
        <v>68</v>
      </c>
      <c r="E10821" s="3" t="s">
        <v>100</v>
      </c>
      <c r="F10821" s="7">
        <v>45957.18741640354</v>
      </c>
      <c r="G10821" s="3" t="s">
        <v>11200</v>
      </c>
    </row>
    <row r="10822">
      <c r="A10822" s="3" t="s">
        <v>26255</v>
      </c>
      <c r="B10822" s="3" t="s">
        <v>9608</v>
      </c>
      <c r="C10822" s="5" t="s">
        <v>45</v>
      </c>
      <c r="D10822" s="3" t="s">
        <v>221</v>
      </c>
      <c r="E10822" s="3" t="s">
        <v>800</v>
      </c>
      <c r="F10822" s="7">
        <v>45957.24817458229</v>
      </c>
      <c r="G10822" s="3" t="s">
        <v>26256</v>
      </c>
    </row>
    <row r="10823">
      <c r="A10823" s="3" t="s">
        <v>26257</v>
      </c>
      <c r="B10823" s="3" t="s">
        <v>9608</v>
      </c>
      <c r="C10823" s="5" t="s">
        <v>221</v>
      </c>
      <c r="D10823" s="3" t="s">
        <v>614</v>
      </c>
      <c r="E10823" s="3" t="s">
        <v>118</v>
      </c>
      <c r="F10823" s="7">
        <v>45957.25164680451</v>
      </c>
      <c r="G10823" s="3" t="s">
        <v>26258</v>
      </c>
    </row>
    <row r="10824">
      <c r="A10824" s="3" t="s">
        <v>26259</v>
      </c>
      <c r="B10824" s="3" t="s">
        <v>9608</v>
      </c>
      <c r="C10824" s="5" t="s">
        <v>614</v>
      </c>
      <c r="D10824" s="3" t="s">
        <v>206</v>
      </c>
      <c r="E10824" s="3" t="s">
        <v>100</v>
      </c>
      <c r="F10824" s="7">
        <v>45957.25511902673</v>
      </c>
      <c r="G10824" s="3" t="s">
        <v>26260</v>
      </c>
    </row>
    <row r="10825">
      <c r="A10825" s="3" t="s">
        <v>26261</v>
      </c>
      <c r="B10825" s="3" t="s">
        <v>9608</v>
      </c>
      <c r="C10825" s="5" t="s">
        <v>206</v>
      </c>
      <c r="D10825" s="3" t="s">
        <v>68</v>
      </c>
      <c r="E10825" s="3" t="s">
        <v>100</v>
      </c>
      <c r="F10825" s="7">
        <v>45957.25859124895</v>
      </c>
      <c r="G10825" s="3" t="s">
        <v>26262</v>
      </c>
    </row>
    <row r="10826">
      <c r="A10826" s="3" t="s">
        <v>26263</v>
      </c>
      <c r="B10826" s="3" t="s">
        <v>9611</v>
      </c>
      <c r="C10826" s="5" t="s">
        <v>45</v>
      </c>
      <c r="D10826" s="3" t="s">
        <v>221</v>
      </c>
      <c r="E10826" s="3" t="s">
        <v>239</v>
      </c>
      <c r="F10826" s="7">
        <v>45957.3193494277</v>
      </c>
      <c r="G10826" s="3" t="s">
        <v>25680</v>
      </c>
    </row>
    <row r="10827">
      <c r="A10827" s="3" t="s">
        <v>26264</v>
      </c>
      <c r="B10827" s="3" t="s">
        <v>9611</v>
      </c>
      <c r="C10827" s="5" t="s">
        <v>221</v>
      </c>
      <c r="D10827" s="3" t="s">
        <v>614</v>
      </c>
      <c r="E10827" s="3" t="s">
        <v>118</v>
      </c>
      <c r="F10827" s="7">
        <v>45957.32282164992</v>
      </c>
      <c r="G10827" s="3" t="s">
        <v>25682</v>
      </c>
    </row>
    <row r="10828">
      <c r="A10828" s="3" t="s">
        <v>26265</v>
      </c>
      <c r="B10828" s="3" t="s">
        <v>9611</v>
      </c>
      <c r="C10828" s="5" t="s">
        <v>614</v>
      </c>
      <c r="D10828" s="3" t="s">
        <v>206</v>
      </c>
      <c r="E10828" s="3" t="s">
        <v>100</v>
      </c>
      <c r="F10828" s="7">
        <v>45957.326293872145</v>
      </c>
      <c r="G10828" s="3" t="s">
        <v>25684</v>
      </c>
    </row>
    <row r="10829">
      <c r="A10829" s="3" t="s">
        <v>26266</v>
      </c>
      <c r="B10829" s="3" t="s">
        <v>9611</v>
      </c>
      <c r="C10829" s="5" t="s">
        <v>206</v>
      </c>
      <c r="D10829" s="3" t="s">
        <v>68</v>
      </c>
      <c r="E10829" s="3" t="s">
        <v>100</v>
      </c>
      <c r="F10829" s="7">
        <v>45957.329766094364</v>
      </c>
      <c r="G10829" s="3" t="s">
        <v>25686</v>
      </c>
    </row>
    <row r="10830">
      <c r="A10830" s="3" t="s">
        <v>26267</v>
      </c>
      <c r="B10830" s="3" t="s">
        <v>9613</v>
      </c>
      <c r="C10830" s="5" t="s">
        <v>45</v>
      </c>
      <c r="D10830" s="3" t="s">
        <v>221</v>
      </c>
      <c r="E10830" s="3" t="s">
        <v>208</v>
      </c>
      <c r="F10830" s="7">
        <v>45957.39052427312</v>
      </c>
      <c r="G10830" s="3" t="s">
        <v>26268</v>
      </c>
    </row>
    <row r="10831">
      <c r="A10831" s="3" t="s">
        <v>26269</v>
      </c>
      <c r="B10831" s="3" t="s">
        <v>9613</v>
      </c>
      <c r="C10831" s="5" t="s">
        <v>221</v>
      </c>
      <c r="D10831" s="3" t="s">
        <v>614</v>
      </c>
      <c r="E10831" s="3" t="s">
        <v>118</v>
      </c>
      <c r="F10831" s="7">
        <v>45957.39399649534</v>
      </c>
      <c r="G10831" s="3" t="s">
        <v>26270</v>
      </c>
    </row>
    <row r="10832">
      <c r="A10832" s="3" t="s">
        <v>26271</v>
      </c>
      <c r="B10832" s="3" t="s">
        <v>9613</v>
      </c>
      <c r="C10832" s="5" t="s">
        <v>614</v>
      </c>
      <c r="D10832" s="3" t="s">
        <v>206</v>
      </c>
      <c r="E10832" s="3" t="s">
        <v>100</v>
      </c>
      <c r="F10832" s="7">
        <v>45957.397468717565</v>
      </c>
      <c r="G10832" s="3" t="s">
        <v>26272</v>
      </c>
    </row>
    <row r="10833">
      <c r="A10833" s="3" t="s">
        <v>26273</v>
      </c>
      <c r="B10833" s="3" t="s">
        <v>9613</v>
      </c>
      <c r="C10833" s="5" t="s">
        <v>206</v>
      </c>
      <c r="D10833" s="3" t="s">
        <v>68</v>
      </c>
      <c r="E10833" s="3" t="s">
        <v>100</v>
      </c>
      <c r="F10833" s="7">
        <v>45957.400940939784</v>
      </c>
      <c r="G10833" s="3" t="s">
        <v>26274</v>
      </c>
    </row>
    <row r="10834">
      <c r="A10834" s="3" t="s">
        <v>26275</v>
      </c>
      <c r="B10834" s="3" t="s">
        <v>9615</v>
      </c>
      <c r="C10834" s="5" t="s">
        <v>45</v>
      </c>
      <c r="D10834" s="3" t="s">
        <v>221</v>
      </c>
      <c r="E10834" s="3" t="s">
        <v>972</v>
      </c>
      <c r="F10834" s="7">
        <v>45957.46169911854</v>
      </c>
      <c r="G10834" s="3" t="s">
        <v>25512</v>
      </c>
    </row>
    <row r="10835">
      <c r="A10835" s="3" t="s">
        <v>26276</v>
      </c>
      <c r="B10835" s="3" t="s">
        <v>9615</v>
      </c>
      <c r="C10835" s="5" t="s">
        <v>221</v>
      </c>
      <c r="D10835" s="3" t="s">
        <v>614</v>
      </c>
      <c r="E10835" s="3" t="s">
        <v>118</v>
      </c>
      <c r="F10835" s="7">
        <v>45957.46517134076</v>
      </c>
      <c r="G10835" s="3" t="s">
        <v>25514</v>
      </c>
    </row>
    <row r="10836">
      <c r="A10836" s="3" t="s">
        <v>26277</v>
      </c>
      <c r="B10836" s="3" t="s">
        <v>9615</v>
      </c>
      <c r="C10836" s="5" t="s">
        <v>614</v>
      </c>
      <c r="D10836" s="3" t="s">
        <v>206</v>
      </c>
      <c r="E10836" s="3" t="s">
        <v>100</v>
      </c>
      <c r="F10836" s="7">
        <v>45957.468643562985</v>
      </c>
      <c r="G10836" s="3" t="s">
        <v>25516</v>
      </c>
    </row>
    <row r="10837">
      <c r="A10837" s="3" t="s">
        <v>26278</v>
      </c>
      <c r="B10837" s="3" t="s">
        <v>9615</v>
      </c>
      <c r="C10837" s="5" t="s">
        <v>206</v>
      </c>
      <c r="D10837" s="3" t="s">
        <v>68</v>
      </c>
      <c r="E10837" s="3" t="s">
        <v>100</v>
      </c>
      <c r="F10837" s="7">
        <v>45957.472115785204</v>
      </c>
      <c r="G10837" s="3" t="s">
        <v>25518</v>
      </c>
    </row>
    <row r="10838">
      <c r="A10838" s="3" t="s">
        <v>26279</v>
      </c>
      <c r="B10838" s="3" t="s">
        <v>9618</v>
      </c>
      <c r="C10838" s="5" t="s">
        <v>45</v>
      </c>
      <c r="D10838" s="3" t="s">
        <v>221</v>
      </c>
      <c r="E10838" s="3" t="s">
        <v>640</v>
      </c>
      <c r="F10838" s="7">
        <v>45957.532873963944</v>
      </c>
      <c r="G10838" s="3" t="s">
        <v>26280</v>
      </c>
    </row>
    <row r="10839">
      <c r="A10839" s="3" t="s">
        <v>26281</v>
      </c>
      <c r="B10839" s="3" t="s">
        <v>9618</v>
      </c>
      <c r="C10839" s="5" t="s">
        <v>221</v>
      </c>
      <c r="D10839" s="3" t="s">
        <v>614</v>
      </c>
      <c r="E10839" s="3" t="s">
        <v>118</v>
      </c>
      <c r="F10839" s="7">
        <v>45957.53634618616</v>
      </c>
      <c r="G10839" s="3" t="s">
        <v>26282</v>
      </c>
    </row>
    <row r="10840">
      <c r="A10840" s="3" t="s">
        <v>26283</v>
      </c>
      <c r="B10840" s="3" t="s">
        <v>9618</v>
      </c>
      <c r="C10840" s="5" t="s">
        <v>614</v>
      </c>
      <c r="D10840" s="3" t="s">
        <v>206</v>
      </c>
      <c r="E10840" s="3" t="s">
        <v>100</v>
      </c>
      <c r="F10840" s="7">
        <v>45957.53981840839</v>
      </c>
      <c r="G10840" s="3" t="s">
        <v>26284</v>
      </c>
    </row>
    <row r="10841">
      <c r="A10841" s="3" t="s">
        <v>26285</v>
      </c>
      <c r="B10841" s="3" t="s">
        <v>9618</v>
      </c>
      <c r="C10841" s="5" t="s">
        <v>206</v>
      </c>
      <c r="D10841" s="3" t="s">
        <v>68</v>
      </c>
      <c r="E10841" s="3" t="s">
        <v>100</v>
      </c>
      <c r="F10841" s="7">
        <v>45957.54329063061</v>
      </c>
      <c r="G10841" s="3" t="s">
        <v>26286</v>
      </c>
    </row>
    <row r="10842">
      <c r="A10842" s="3" t="s">
        <v>26287</v>
      </c>
      <c r="B10842" s="3" t="s">
        <v>9621</v>
      </c>
      <c r="C10842" s="5" t="s">
        <v>45</v>
      </c>
      <c r="D10842" s="3" t="s">
        <v>221</v>
      </c>
      <c r="E10842" s="3" t="s">
        <v>383</v>
      </c>
      <c r="F10842" s="7">
        <v>45957.604048809364</v>
      </c>
      <c r="G10842" s="3" t="s">
        <v>7756</v>
      </c>
    </row>
    <row r="10843">
      <c r="A10843" s="3" t="s">
        <v>26288</v>
      </c>
      <c r="B10843" s="3" t="s">
        <v>9621</v>
      </c>
      <c r="C10843" s="5" t="s">
        <v>221</v>
      </c>
      <c r="D10843" s="3" t="s">
        <v>614</v>
      </c>
      <c r="E10843" s="3" t="s">
        <v>118</v>
      </c>
      <c r="F10843" s="7">
        <v>45957.60752103158</v>
      </c>
      <c r="G10843" s="3" t="s">
        <v>7759</v>
      </c>
    </row>
    <row r="10844">
      <c r="A10844" s="3" t="s">
        <v>26289</v>
      </c>
      <c r="B10844" s="3" t="s">
        <v>9621</v>
      </c>
      <c r="C10844" s="5" t="s">
        <v>614</v>
      </c>
      <c r="D10844" s="3" t="s">
        <v>206</v>
      </c>
      <c r="E10844" s="3" t="s">
        <v>100</v>
      </c>
      <c r="F10844" s="7">
        <v>45957.61099325381</v>
      </c>
      <c r="G10844" s="3" t="s">
        <v>7762</v>
      </c>
    </row>
    <row r="10845">
      <c r="A10845" s="3" t="s">
        <v>26290</v>
      </c>
      <c r="B10845" s="3" t="s">
        <v>9621</v>
      </c>
      <c r="C10845" s="5" t="s">
        <v>206</v>
      </c>
      <c r="D10845" s="3" t="s">
        <v>68</v>
      </c>
      <c r="E10845" s="3" t="s">
        <v>100</v>
      </c>
      <c r="F10845" s="7">
        <v>45957.61446547603</v>
      </c>
      <c r="G10845" s="3" t="s">
        <v>7765</v>
      </c>
    </row>
    <row r="10846">
      <c r="A10846" s="3" t="s">
        <v>26291</v>
      </c>
      <c r="B10846" s="3" t="s">
        <v>9624</v>
      </c>
      <c r="C10846" s="5" t="s">
        <v>45</v>
      </c>
      <c r="D10846" s="3" t="s">
        <v>221</v>
      </c>
      <c r="E10846" s="3" t="s">
        <v>419</v>
      </c>
      <c r="F10846" s="7">
        <v>45957.67522365478</v>
      </c>
      <c r="G10846" s="3" t="s">
        <v>7895</v>
      </c>
    </row>
    <row r="10847">
      <c r="A10847" s="3" t="s">
        <v>26292</v>
      </c>
      <c r="B10847" s="3" t="s">
        <v>9624</v>
      </c>
      <c r="C10847" s="5" t="s">
        <v>221</v>
      </c>
      <c r="D10847" s="3" t="s">
        <v>614</v>
      </c>
      <c r="E10847" s="3" t="s">
        <v>118</v>
      </c>
      <c r="F10847" s="7">
        <v>45957.678695877</v>
      </c>
      <c r="G10847" s="3" t="s">
        <v>7898</v>
      </c>
    </row>
    <row r="10848">
      <c r="A10848" s="3" t="s">
        <v>26293</v>
      </c>
      <c r="B10848" s="3" t="s">
        <v>9624</v>
      </c>
      <c r="C10848" s="5" t="s">
        <v>614</v>
      </c>
      <c r="D10848" s="3" t="s">
        <v>206</v>
      </c>
      <c r="E10848" s="3" t="s">
        <v>100</v>
      </c>
      <c r="F10848" s="7">
        <v>45957.68216809923</v>
      </c>
      <c r="G10848" s="3" t="s">
        <v>7901</v>
      </c>
    </row>
    <row r="10849">
      <c r="A10849" s="3" t="s">
        <v>26294</v>
      </c>
      <c r="B10849" s="3" t="s">
        <v>9624</v>
      </c>
      <c r="C10849" s="5" t="s">
        <v>206</v>
      </c>
      <c r="D10849" s="3" t="s">
        <v>68</v>
      </c>
      <c r="E10849" s="3" t="s">
        <v>100</v>
      </c>
      <c r="F10849" s="7">
        <v>45957.68564032145</v>
      </c>
      <c r="G10849" s="3" t="s">
        <v>7904</v>
      </c>
    </row>
    <row r="10850">
      <c r="A10850" s="3" t="s">
        <v>26295</v>
      </c>
      <c r="B10850" s="3" t="s">
        <v>9626</v>
      </c>
      <c r="C10850" s="5" t="s">
        <v>45</v>
      </c>
      <c r="D10850" s="3" t="s">
        <v>221</v>
      </c>
      <c r="E10850" s="3" t="s">
        <v>1040</v>
      </c>
      <c r="F10850" s="7">
        <v>45957.746398500196</v>
      </c>
      <c r="G10850" s="3" t="s">
        <v>11224</v>
      </c>
    </row>
    <row r="10851">
      <c r="A10851" s="3" t="s">
        <v>26296</v>
      </c>
      <c r="B10851" s="3" t="s">
        <v>9626</v>
      </c>
      <c r="C10851" s="5" t="s">
        <v>221</v>
      </c>
      <c r="D10851" s="3" t="s">
        <v>614</v>
      </c>
      <c r="E10851" s="3" t="s">
        <v>118</v>
      </c>
      <c r="F10851" s="7">
        <v>45957.749870722415</v>
      </c>
      <c r="G10851" s="3" t="s">
        <v>11226</v>
      </c>
    </row>
    <row r="10852">
      <c r="A10852" s="3" t="s">
        <v>26297</v>
      </c>
      <c r="B10852" s="3" t="s">
        <v>9626</v>
      </c>
      <c r="C10852" s="5" t="s">
        <v>614</v>
      </c>
      <c r="D10852" s="3" t="s">
        <v>206</v>
      </c>
      <c r="E10852" s="3" t="s">
        <v>100</v>
      </c>
      <c r="F10852" s="7">
        <v>45957.75334294464</v>
      </c>
      <c r="G10852" s="3" t="s">
        <v>11229</v>
      </c>
    </row>
    <row r="10853">
      <c r="A10853" s="3" t="s">
        <v>26298</v>
      </c>
      <c r="B10853" s="3" t="s">
        <v>9626</v>
      </c>
      <c r="C10853" s="5" t="s">
        <v>206</v>
      </c>
      <c r="D10853" s="3" t="s">
        <v>68</v>
      </c>
      <c r="E10853" s="3" t="s">
        <v>100</v>
      </c>
      <c r="F10853" s="7">
        <v>45957.75681516686</v>
      </c>
      <c r="G10853" s="3" t="s">
        <v>11232</v>
      </c>
    </row>
    <row r="10854">
      <c r="A10854" s="3" t="s">
        <v>26299</v>
      </c>
      <c r="B10854" s="3" t="s">
        <v>9628</v>
      </c>
      <c r="C10854" s="5" t="s">
        <v>45</v>
      </c>
      <c r="D10854" s="3" t="s">
        <v>221</v>
      </c>
      <c r="E10854" s="3" t="s">
        <v>341</v>
      </c>
      <c r="F10854" s="7">
        <v>45957.81757334561</v>
      </c>
      <c r="G10854" s="3" t="s">
        <v>26300</v>
      </c>
    </row>
    <row r="10855">
      <c r="A10855" s="3" t="s">
        <v>26301</v>
      </c>
      <c r="B10855" s="3" t="s">
        <v>9628</v>
      </c>
      <c r="C10855" s="5" t="s">
        <v>221</v>
      </c>
      <c r="D10855" s="3" t="s">
        <v>614</v>
      </c>
      <c r="E10855" s="3" t="s">
        <v>118</v>
      </c>
      <c r="F10855" s="7">
        <v>45957.82104556783</v>
      </c>
      <c r="G10855" s="3" t="s">
        <v>26302</v>
      </c>
    </row>
    <row r="10856">
      <c r="A10856" s="3" t="s">
        <v>26303</v>
      </c>
      <c r="B10856" s="3" t="s">
        <v>9628</v>
      </c>
      <c r="C10856" s="5" t="s">
        <v>614</v>
      </c>
      <c r="D10856" s="3" t="s">
        <v>206</v>
      </c>
      <c r="E10856" s="3" t="s">
        <v>100</v>
      </c>
      <c r="F10856" s="7">
        <v>45957.82451779005</v>
      </c>
      <c r="G10856" s="3" t="s">
        <v>26304</v>
      </c>
    </row>
    <row r="10857">
      <c r="A10857" s="3" t="s">
        <v>26305</v>
      </c>
      <c r="B10857" s="3" t="s">
        <v>9628</v>
      </c>
      <c r="C10857" s="5" t="s">
        <v>206</v>
      </c>
      <c r="D10857" s="3" t="s">
        <v>68</v>
      </c>
      <c r="E10857" s="3" t="s">
        <v>100</v>
      </c>
      <c r="F10857" s="7">
        <v>45957.82799001227</v>
      </c>
      <c r="G10857" s="3" t="s">
        <v>26306</v>
      </c>
    </row>
    <row r="10858">
      <c r="A10858" s="3" t="s">
        <v>26307</v>
      </c>
      <c r="B10858" s="3" t="s">
        <v>9631</v>
      </c>
      <c r="C10858" s="5" t="s">
        <v>45</v>
      </c>
      <c r="D10858" s="3" t="s">
        <v>221</v>
      </c>
      <c r="E10858" s="3" t="s">
        <v>612</v>
      </c>
      <c r="F10858" s="7">
        <v>45957.88874819103</v>
      </c>
      <c r="G10858" s="3" t="s">
        <v>24554</v>
      </c>
    </row>
    <row r="10859">
      <c r="A10859" s="3" t="s">
        <v>26308</v>
      </c>
      <c r="B10859" s="3" t="s">
        <v>9631</v>
      </c>
      <c r="C10859" s="5" t="s">
        <v>221</v>
      </c>
      <c r="D10859" s="3" t="s">
        <v>181</v>
      </c>
      <c r="E10859" s="3" t="s">
        <v>118</v>
      </c>
      <c r="F10859" s="7">
        <v>45957.89222041325</v>
      </c>
      <c r="G10859" s="3" t="s">
        <v>26309</v>
      </c>
    </row>
    <row r="10860">
      <c r="A10860" s="3" t="s">
        <v>26310</v>
      </c>
      <c r="B10860" s="3" t="s">
        <v>9633</v>
      </c>
      <c r="C10860" s="5" t="s">
        <v>45</v>
      </c>
      <c r="D10860" s="3" t="s">
        <v>221</v>
      </c>
      <c r="E10860" s="3" t="s">
        <v>455</v>
      </c>
      <c r="F10860" s="7">
        <v>45957.95992303644</v>
      </c>
      <c r="G10860" s="3" t="s">
        <v>11252</v>
      </c>
    </row>
    <row r="10861">
      <c r="A10861" s="3" t="s">
        <v>26311</v>
      </c>
      <c r="B10861" s="3" t="s">
        <v>9633</v>
      </c>
      <c r="C10861" s="5" t="s">
        <v>221</v>
      </c>
      <c r="D10861" s="3" t="s">
        <v>614</v>
      </c>
      <c r="E10861" s="3" t="s">
        <v>118</v>
      </c>
      <c r="F10861" s="7">
        <v>45957.96339525866</v>
      </c>
      <c r="G10861" s="3" t="s">
        <v>11255</v>
      </c>
    </row>
    <row r="10862">
      <c r="A10862" s="3" t="s">
        <v>26312</v>
      </c>
      <c r="B10862" s="3" t="s">
        <v>9633</v>
      </c>
      <c r="C10862" s="5" t="s">
        <v>614</v>
      </c>
      <c r="D10862" s="3" t="s">
        <v>206</v>
      </c>
      <c r="E10862" s="3" t="s">
        <v>100</v>
      </c>
      <c r="F10862" s="7">
        <v>45957.966867480885</v>
      </c>
      <c r="G10862" s="3" t="s">
        <v>11259</v>
      </c>
    </row>
    <row r="10863">
      <c r="A10863" s="3" t="s">
        <v>26313</v>
      </c>
      <c r="B10863" s="3" t="s">
        <v>9633</v>
      </c>
      <c r="C10863" s="5" t="s">
        <v>206</v>
      </c>
      <c r="D10863" s="3" t="s">
        <v>68</v>
      </c>
      <c r="E10863" s="3" t="s">
        <v>100</v>
      </c>
      <c r="F10863" s="7">
        <v>45957.970339703104</v>
      </c>
      <c r="G10863" s="3" t="s">
        <v>11262</v>
      </c>
    </row>
    <row r="10864">
      <c r="A10864" s="3" t="s">
        <v>26314</v>
      </c>
      <c r="B10864" s="3" t="s">
        <v>9635</v>
      </c>
      <c r="C10864" s="5" t="s">
        <v>45</v>
      </c>
      <c r="D10864" s="3" t="s">
        <v>221</v>
      </c>
      <c r="E10864" s="3" t="s">
        <v>916</v>
      </c>
      <c r="F10864" s="7">
        <v>45958.03109788185</v>
      </c>
      <c r="G10864" s="3" t="s">
        <v>13014</v>
      </c>
    </row>
    <row r="10865">
      <c r="A10865" s="3" t="s">
        <v>26315</v>
      </c>
      <c r="B10865" s="3" t="s">
        <v>9635</v>
      </c>
      <c r="C10865" s="5" t="s">
        <v>221</v>
      </c>
      <c r="D10865" s="3" t="s">
        <v>614</v>
      </c>
      <c r="E10865" s="3" t="s">
        <v>118</v>
      </c>
      <c r="F10865" s="7">
        <v>45958.03457010407</v>
      </c>
      <c r="G10865" s="3" t="s">
        <v>13017</v>
      </c>
    </row>
    <row r="10866">
      <c r="A10866" s="3" t="s">
        <v>26316</v>
      </c>
      <c r="B10866" s="3" t="s">
        <v>9635</v>
      </c>
      <c r="C10866" s="5" t="s">
        <v>614</v>
      </c>
      <c r="D10866" s="3" t="s">
        <v>206</v>
      </c>
      <c r="E10866" s="3" t="s">
        <v>100</v>
      </c>
      <c r="F10866" s="7">
        <v>45958.0380423263</v>
      </c>
      <c r="G10866" s="3" t="s">
        <v>13020</v>
      </c>
    </row>
    <row r="10867">
      <c r="A10867" s="3" t="s">
        <v>26317</v>
      </c>
      <c r="B10867" s="3" t="s">
        <v>9635</v>
      </c>
      <c r="C10867" s="5" t="s">
        <v>206</v>
      </c>
      <c r="D10867" s="3" t="s">
        <v>68</v>
      </c>
      <c r="E10867" s="3" t="s">
        <v>100</v>
      </c>
      <c r="F10867" s="7">
        <v>45958.04151454852</v>
      </c>
      <c r="G10867" s="3" t="s">
        <v>13024</v>
      </c>
    </row>
    <row r="10868">
      <c r="A10868" s="3" t="s">
        <v>26318</v>
      </c>
      <c r="B10868" s="3" t="s">
        <v>9638</v>
      </c>
      <c r="C10868" s="5" t="s">
        <v>45</v>
      </c>
      <c r="D10868" s="3" t="s">
        <v>221</v>
      </c>
      <c r="E10868" s="3" t="s">
        <v>650</v>
      </c>
      <c r="F10868" s="7">
        <v>45958.10227272727</v>
      </c>
      <c r="G10868" s="3" t="s">
        <v>6556</v>
      </c>
    </row>
    <row r="10869">
      <c r="A10869" s="3" t="s">
        <v>26319</v>
      </c>
      <c r="B10869" s="3" t="s">
        <v>9638</v>
      </c>
      <c r="C10869" s="5" t="s">
        <v>221</v>
      </c>
      <c r="D10869" s="3" t="s">
        <v>614</v>
      </c>
      <c r="E10869" s="3" t="s">
        <v>118</v>
      </c>
      <c r="F10869" s="7">
        <v>45958.10574494949</v>
      </c>
      <c r="G10869" s="3" t="s">
        <v>6559</v>
      </c>
    </row>
    <row r="10870">
      <c r="A10870" s="3" t="s">
        <v>26320</v>
      </c>
      <c r="B10870" s="3" t="s">
        <v>9638</v>
      </c>
      <c r="C10870" s="5" t="s">
        <v>614</v>
      </c>
      <c r="D10870" s="3" t="s">
        <v>206</v>
      </c>
      <c r="E10870" s="3" t="s">
        <v>100</v>
      </c>
      <c r="F10870" s="7">
        <v>45958.10921717172</v>
      </c>
      <c r="G10870" s="3" t="s">
        <v>6562</v>
      </c>
    </row>
    <row r="10871">
      <c r="A10871" s="3" t="s">
        <v>26321</v>
      </c>
      <c r="B10871" s="3" t="s">
        <v>9638</v>
      </c>
      <c r="C10871" s="5" t="s">
        <v>206</v>
      </c>
      <c r="D10871" s="3" t="s">
        <v>68</v>
      </c>
      <c r="E10871" s="3" t="s">
        <v>100</v>
      </c>
      <c r="F10871" s="7">
        <v>45958.112689393936</v>
      </c>
      <c r="G10871" s="3" t="s">
        <v>6565</v>
      </c>
    </row>
    <row r="10872">
      <c r="A10872" s="3" t="s">
        <v>26322</v>
      </c>
      <c r="B10872" s="3" t="s">
        <v>9641</v>
      </c>
      <c r="C10872" s="5" t="s">
        <v>45</v>
      </c>
      <c r="D10872" s="3" t="s">
        <v>221</v>
      </c>
      <c r="E10872" s="3" t="s">
        <v>336</v>
      </c>
      <c r="F10872" s="7">
        <v>45958.173447572684</v>
      </c>
      <c r="G10872" s="3" t="s">
        <v>26096</v>
      </c>
    </row>
    <row r="10873">
      <c r="A10873" s="3" t="s">
        <v>26323</v>
      </c>
      <c r="B10873" s="3" t="s">
        <v>9641</v>
      </c>
      <c r="C10873" s="5" t="s">
        <v>221</v>
      </c>
      <c r="D10873" s="3" t="s">
        <v>614</v>
      </c>
      <c r="E10873" s="3" t="s">
        <v>118</v>
      </c>
      <c r="F10873" s="7">
        <v>45958.1769197949</v>
      </c>
      <c r="G10873" s="3" t="s">
        <v>26098</v>
      </c>
    </row>
    <row r="10874">
      <c r="A10874" s="3" t="s">
        <v>26324</v>
      </c>
      <c r="B10874" s="3" t="s">
        <v>9641</v>
      </c>
      <c r="C10874" s="5" t="s">
        <v>614</v>
      </c>
      <c r="D10874" s="3" t="s">
        <v>206</v>
      </c>
      <c r="E10874" s="3" t="s">
        <v>100</v>
      </c>
      <c r="F10874" s="7">
        <v>45958.18039201713</v>
      </c>
      <c r="G10874" s="3" t="s">
        <v>26100</v>
      </c>
    </row>
    <row r="10875">
      <c r="A10875" s="3" t="s">
        <v>26325</v>
      </c>
      <c r="B10875" s="3" t="s">
        <v>9641</v>
      </c>
      <c r="C10875" s="5" t="s">
        <v>206</v>
      </c>
      <c r="D10875" s="3" t="s">
        <v>68</v>
      </c>
      <c r="E10875" s="3" t="s">
        <v>100</v>
      </c>
      <c r="F10875" s="7">
        <v>45958.18386423935</v>
      </c>
      <c r="G10875" s="3" t="s">
        <v>26102</v>
      </c>
    </row>
    <row r="10876">
      <c r="A10876" s="3" t="s">
        <v>26326</v>
      </c>
      <c r="B10876" s="3" t="s">
        <v>9642</v>
      </c>
      <c r="C10876" s="5" t="s">
        <v>45</v>
      </c>
      <c r="D10876" s="3" t="s">
        <v>221</v>
      </c>
      <c r="E10876" s="3" t="s">
        <v>600</v>
      </c>
      <c r="F10876" s="7">
        <v>45958.2446224181</v>
      </c>
      <c r="G10876" s="3" t="s">
        <v>21897</v>
      </c>
    </row>
    <row r="10877">
      <c r="A10877" s="3" t="s">
        <v>26327</v>
      </c>
      <c r="B10877" s="3" t="s">
        <v>9642</v>
      </c>
      <c r="C10877" s="5" t="s">
        <v>221</v>
      </c>
      <c r="D10877" s="3" t="s">
        <v>614</v>
      </c>
      <c r="E10877" s="3" t="s">
        <v>118</v>
      </c>
      <c r="F10877" s="7">
        <v>45958.248094640316</v>
      </c>
      <c r="G10877" s="3" t="s">
        <v>21900</v>
      </c>
    </row>
    <row r="10878">
      <c r="A10878" s="3" t="s">
        <v>26328</v>
      </c>
      <c r="B10878" s="3" t="s">
        <v>9642</v>
      </c>
      <c r="C10878" s="5" t="s">
        <v>614</v>
      </c>
      <c r="D10878" s="3" t="s">
        <v>206</v>
      </c>
      <c r="E10878" s="3" t="s">
        <v>100</v>
      </c>
      <c r="F10878" s="7">
        <v>45958.25156686254</v>
      </c>
      <c r="G10878" s="3" t="s">
        <v>21903</v>
      </c>
    </row>
    <row r="10879">
      <c r="A10879" s="3" t="s">
        <v>26329</v>
      </c>
      <c r="B10879" s="3" t="s">
        <v>9642</v>
      </c>
      <c r="C10879" s="5" t="s">
        <v>206</v>
      </c>
      <c r="D10879" s="3" t="s">
        <v>68</v>
      </c>
      <c r="E10879" s="3" t="s">
        <v>100</v>
      </c>
      <c r="F10879" s="7">
        <v>45958.25503908476</v>
      </c>
      <c r="G10879" s="3" t="s">
        <v>21906</v>
      </c>
    </row>
    <row r="10880">
      <c r="A10880" s="3" t="s">
        <v>26330</v>
      </c>
      <c r="B10880" s="3" t="s">
        <v>9645</v>
      </c>
      <c r="C10880" s="5" t="s">
        <v>45</v>
      </c>
      <c r="D10880" s="3" t="s">
        <v>221</v>
      </c>
      <c r="E10880" s="3" t="s">
        <v>961</v>
      </c>
      <c r="F10880" s="7">
        <v>45958.315797263516</v>
      </c>
      <c r="G10880" s="3" t="s">
        <v>20022</v>
      </c>
    </row>
    <row r="10881">
      <c r="A10881" s="3" t="s">
        <v>26331</v>
      </c>
      <c r="B10881" s="3" t="s">
        <v>9645</v>
      </c>
      <c r="C10881" s="5" t="s">
        <v>221</v>
      </c>
      <c r="D10881" s="3" t="s">
        <v>181</v>
      </c>
      <c r="E10881" s="3" t="s">
        <v>118</v>
      </c>
      <c r="F10881" s="7">
        <v>45958.319269485735</v>
      </c>
      <c r="G10881" s="3" t="s">
        <v>26332</v>
      </c>
    </row>
    <row r="10882">
      <c r="A10882" s="3" t="s">
        <v>26333</v>
      </c>
      <c r="B10882" s="3" t="s">
        <v>9648</v>
      </c>
      <c r="C10882" s="5" t="s">
        <v>45</v>
      </c>
      <c r="D10882" s="3" t="s">
        <v>221</v>
      </c>
      <c r="E10882" s="3" t="s">
        <v>530</v>
      </c>
      <c r="F10882" s="7">
        <v>45958.386972108936</v>
      </c>
      <c r="G10882" s="3" t="s">
        <v>11787</v>
      </c>
    </row>
    <row r="10883">
      <c r="A10883" s="3" t="s">
        <v>26334</v>
      </c>
      <c r="B10883" s="3" t="s">
        <v>9648</v>
      </c>
      <c r="C10883" s="5" t="s">
        <v>221</v>
      </c>
      <c r="D10883" s="3" t="s">
        <v>614</v>
      </c>
      <c r="E10883" s="3" t="s">
        <v>118</v>
      </c>
      <c r="F10883" s="7">
        <v>45958.390444331155</v>
      </c>
      <c r="G10883" s="3" t="s">
        <v>11790</v>
      </c>
    </row>
    <row r="10884">
      <c r="A10884" s="3" t="s">
        <v>26335</v>
      </c>
      <c r="B10884" s="3" t="s">
        <v>9648</v>
      </c>
      <c r="C10884" s="5" t="s">
        <v>614</v>
      </c>
      <c r="D10884" s="3" t="s">
        <v>206</v>
      </c>
      <c r="E10884" s="3" t="s">
        <v>100</v>
      </c>
      <c r="F10884" s="7">
        <v>45958.39391655338</v>
      </c>
      <c r="G10884" s="3" t="s">
        <v>11795</v>
      </c>
    </row>
    <row r="10885">
      <c r="A10885" s="3" t="s">
        <v>26336</v>
      </c>
      <c r="B10885" s="3" t="s">
        <v>9648</v>
      </c>
      <c r="C10885" s="5" t="s">
        <v>206</v>
      </c>
      <c r="D10885" s="3" t="s">
        <v>68</v>
      </c>
      <c r="E10885" s="3" t="s">
        <v>100</v>
      </c>
      <c r="F10885" s="7">
        <v>45958.3973887756</v>
      </c>
      <c r="G10885" s="3" t="s">
        <v>11798</v>
      </c>
    </row>
    <row r="10886">
      <c r="A10886" s="3" t="s">
        <v>26337</v>
      </c>
      <c r="B10886" s="3" t="s">
        <v>9650</v>
      </c>
      <c r="C10886" s="5" t="s">
        <v>45</v>
      </c>
      <c r="D10886" s="3" t="s">
        <v>221</v>
      </c>
      <c r="E10886" s="3" t="s">
        <v>903</v>
      </c>
      <c r="F10886" s="7">
        <v>45958.45814695434</v>
      </c>
      <c r="G10886" s="3" t="s">
        <v>9256</v>
      </c>
    </row>
    <row r="10887">
      <c r="A10887" s="3" t="s">
        <v>26338</v>
      </c>
      <c r="B10887" s="3" t="s">
        <v>9650</v>
      </c>
      <c r="C10887" s="5" t="s">
        <v>221</v>
      </c>
      <c r="D10887" s="3" t="s">
        <v>614</v>
      </c>
      <c r="E10887" s="3" t="s">
        <v>118</v>
      </c>
      <c r="F10887" s="7">
        <v>45958.46161917656</v>
      </c>
      <c r="G10887" s="3" t="s">
        <v>9259</v>
      </c>
    </row>
    <row r="10888">
      <c r="A10888" s="3" t="s">
        <v>26339</v>
      </c>
      <c r="B10888" s="3" t="s">
        <v>9650</v>
      </c>
      <c r="C10888" s="5" t="s">
        <v>614</v>
      </c>
      <c r="D10888" s="3" t="s">
        <v>206</v>
      </c>
      <c r="E10888" s="3" t="s">
        <v>100</v>
      </c>
      <c r="F10888" s="7">
        <v>45958.465091398786</v>
      </c>
      <c r="G10888" s="3" t="s">
        <v>9261</v>
      </c>
    </row>
    <row r="10889">
      <c r="A10889" s="3" t="s">
        <v>26340</v>
      </c>
      <c r="B10889" s="3" t="s">
        <v>9650</v>
      </c>
      <c r="C10889" s="5" t="s">
        <v>206</v>
      </c>
      <c r="D10889" s="3" t="s">
        <v>68</v>
      </c>
      <c r="E10889" s="3" t="s">
        <v>100</v>
      </c>
      <c r="F10889" s="7">
        <v>45958.468563621005</v>
      </c>
      <c r="G10889" s="3" t="s">
        <v>9264</v>
      </c>
    </row>
    <row r="10890">
      <c r="A10890" s="3" t="s">
        <v>26341</v>
      </c>
      <c r="B10890" s="3" t="s">
        <v>9652</v>
      </c>
      <c r="C10890" s="5" t="s">
        <v>45</v>
      </c>
      <c r="D10890" s="3" t="s">
        <v>221</v>
      </c>
      <c r="E10890" s="3" t="s">
        <v>665</v>
      </c>
      <c r="F10890" s="7">
        <v>45958.52932179976</v>
      </c>
      <c r="G10890" s="3" t="s">
        <v>10330</v>
      </c>
    </row>
    <row r="10891">
      <c r="A10891" s="3" t="s">
        <v>26342</v>
      </c>
      <c r="B10891" s="3" t="s">
        <v>9652</v>
      </c>
      <c r="C10891" s="5" t="s">
        <v>221</v>
      </c>
      <c r="D10891" s="3" t="s">
        <v>195</v>
      </c>
      <c r="E10891" s="3" t="s">
        <v>665</v>
      </c>
      <c r="F10891" s="7">
        <v>45958.53279402198</v>
      </c>
      <c r="G10891" s="3" t="s">
        <v>26343</v>
      </c>
    </row>
    <row r="10892">
      <c r="A10892" s="3" t="s">
        <v>26344</v>
      </c>
      <c r="B10892" s="3" t="s">
        <v>9655</v>
      </c>
      <c r="C10892" s="5" t="s">
        <v>45</v>
      </c>
      <c r="D10892" s="3" t="s">
        <v>221</v>
      </c>
      <c r="E10892" s="3" t="s">
        <v>883</v>
      </c>
      <c r="F10892" s="7">
        <v>45958.60049664518</v>
      </c>
      <c r="G10892" s="3" t="s">
        <v>25071</v>
      </c>
    </row>
    <row r="10893">
      <c r="A10893" s="3" t="s">
        <v>26345</v>
      </c>
      <c r="B10893" s="3" t="s">
        <v>9655</v>
      </c>
      <c r="C10893" s="5" t="s">
        <v>221</v>
      </c>
      <c r="D10893" s="3" t="s">
        <v>614</v>
      </c>
      <c r="E10893" s="3" t="s">
        <v>118</v>
      </c>
      <c r="F10893" s="7">
        <v>45958.6039688674</v>
      </c>
      <c r="G10893" s="3" t="s">
        <v>25073</v>
      </c>
    </row>
    <row r="10894">
      <c r="A10894" s="3" t="s">
        <v>26346</v>
      </c>
      <c r="B10894" s="3" t="s">
        <v>9655</v>
      </c>
      <c r="C10894" s="5" t="s">
        <v>614</v>
      </c>
      <c r="D10894" s="3" t="s">
        <v>206</v>
      </c>
      <c r="E10894" s="3" t="s">
        <v>100</v>
      </c>
      <c r="F10894" s="7">
        <v>45958.607441089625</v>
      </c>
      <c r="G10894" s="3" t="s">
        <v>25075</v>
      </c>
    </row>
    <row r="10895">
      <c r="A10895" s="3" t="s">
        <v>26347</v>
      </c>
      <c r="B10895" s="3" t="s">
        <v>9655</v>
      </c>
      <c r="C10895" s="5" t="s">
        <v>206</v>
      </c>
      <c r="D10895" s="3" t="s">
        <v>68</v>
      </c>
      <c r="E10895" s="3" t="s">
        <v>100</v>
      </c>
      <c r="F10895" s="7">
        <v>45958.610913311844</v>
      </c>
      <c r="G10895" s="3" t="s">
        <v>25077</v>
      </c>
    </row>
    <row r="10896">
      <c r="A10896" s="3" t="s">
        <v>26348</v>
      </c>
      <c r="B10896" s="3" t="s">
        <v>9658</v>
      </c>
      <c r="C10896" s="5" t="s">
        <v>45</v>
      </c>
      <c r="D10896" s="3" t="s">
        <v>221</v>
      </c>
      <c r="E10896" s="3" t="s">
        <v>929</v>
      </c>
      <c r="F10896" s="7">
        <v>45958.67167149059</v>
      </c>
      <c r="G10896" s="3" t="s">
        <v>20630</v>
      </c>
    </row>
    <row r="10897">
      <c r="A10897" s="3" t="s">
        <v>26349</v>
      </c>
      <c r="B10897" s="3" t="s">
        <v>9658</v>
      </c>
      <c r="C10897" s="5" t="s">
        <v>221</v>
      </c>
      <c r="D10897" s="3" t="s">
        <v>195</v>
      </c>
      <c r="E10897" s="3" t="s">
        <v>929</v>
      </c>
      <c r="F10897" s="7">
        <v>45958.67514371281</v>
      </c>
      <c r="G10897" s="3" t="s">
        <v>26350</v>
      </c>
    </row>
    <row r="10898">
      <c r="A10898" s="3" t="s">
        <v>26351</v>
      </c>
      <c r="B10898" s="3" t="s">
        <v>9659</v>
      </c>
      <c r="C10898" s="5" t="s">
        <v>45</v>
      </c>
      <c r="D10898" s="3" t="s">
        <v>221</v>
      </c>
      <c r="E10898" s="3" t="s">
        <v>330</v>
      </c>
      <c r="F10898" s="7">
        <v>45958.742846336005</v>
      </c>
      <c r="G10898" s="3" t="s">
        <v>17970</v>
      </c>
    </row>
    <row r="10899">
      <c r="A10899" s="3" t="s">
        <v>26352</v>
      </c>
      <c r="B10899" s="3" t="s">
        <v>9659</v>
      </c>
      <c r="C10899" s="5" t="s">
        <v>221</v>
      </c>
      <c r="D10899" s="3" t="s">
        <v>181</v>
      </c>
      <c r="E10899" s="3" t="s">
        <v>118</v>
      </c>
      <c r="F10899" s="7">
        <v>45958.746318558224</v>
      </c>
      <c r="G10899" s="3" t="s">
        <v>26353</v>
      </c>
    </row>
    <row r="10900">
      <c r="A10900" s="3" t="s">
        <v>26354</v>
      </c>
      <c r="B10900" s="3" t="s">
        <v>9662</v>
      </c>
      <c r="C10900" s="5" t="s">
        <v>45</v>
      </c>
      <c r="D10900" s="3" t="s">
        <v>221</v>
      </c>
      <c r="E10900" s="3" t="s">
        <v>1001</v>
      </c>
      <c r="F10900" s="7">
        <v>45958.814021181424</v>
      </c>
      <c r="G10900" s="3" t="s">
        <v>2770</v>
      </c>
    </row>
    <row r="10901">
      <c r="A10901" s="3" t="s">
        <v>26355</v>
      </c>
      <c r="B10901" s="3" t="s">
        <v>9662</v>
      </c>
      <c r="C10901" s="5" t="s">
        <v>221</v>
      </c>
      <c r="D10901" s="3" t="s">
        <v>195</v>
      </c>
      <c r="E10901" s="3" t="s">
        <v>1001</v>
      </c>
      <c r="F10901" s="7">
        <v>45958.81749340364</v>
      </c>
      <c r="G10901" s="3" t="s">
        <v>3055</v>
      </c>
    </row>
    <row r="10902">
      <c r="A10902" s="3" t="s">
        <v>26356</v>
      </c>
      <c r="B10902" s="3" t="s">
        <v>9665</v>
      </c>
      <c r="C10902" s="5" t="s">
        <v>45</v>
      </c>
      <c r="D10902" s="3" t="s">
        <v>221</v>
      </c>
      <c r="E10902" s="3" t="s">
        <v>479</v>
      </c>
      <c r="F10902" s="7">
        <v>45958.88519602684</v>
      </c>
      <c r="G10902" s="3" t="s">
        <v>11265</v>
      </c>
    </row>
    <row r="10903">
      <c r="A10903" s="3" t="s">
        <v>26357</v>
      </c>
      <c r="B10903" s="3" t="s">
        <v>9665</v>
      </c>
      <c r="C10903" s="5" t="s">
        <v>221</v>
      </c>
      <c r="D10903" s="3" t="s">
        <v>614</v>
      </c>
      <c r="E10903" s="3" t="s">
        <v>118</v>
      </c>
      <c r="F10903" s="7">
        <v>45958.888668249056</v>
      </c>
      <c r="G10903" s="3" t="s">
        <v>11268</v>
      </c>
    </row>
    <row r="10904">
      <c r="A10904" s="3" t="s">
        <v>26358</v>
      </c>
      <c r="B10904" s="3" t="s">
        <v>9665</v>
      </c>
      <c r="C10904" s="5" t="s">
        <v>614</v>
      </c>
      <c r="D10904" s="3" t="s">
        <v>206</v>
      </c>
      <c r="E10904" s="3" t="s">
        <v>100</v>
      </c>
      <c r="F10904" s="7">
        <v>45958.89214047128</v>
      </c>
      <c r="G10904" s="3" t="s">
        <v>11271</v>
      </c>
    </row>
    <row r="10905">
      <c r="A10905" s="3" t="s">
        <v>26359</v>
      </c>
      <c r="B10905" s="3" t="s">
        <v>9665</v>
      </c>
      <c r="C10905" s="5" t="s">
        <v>206</v>
      </c>
      <c r="D10905" s="3" t="s">
        <v>68</v>
      </c>
      <c r="E10905" s="3" t="s">
        <v>100</v>
      </c>
      <c r="F10905" s="7">
        <v>45958.8956126935</v>
      </c>
      <c r="G10905" s="3" t="s">
        <v>11273</v>
      </c>
    </row>
    <row r="10906">
      <c r="A10906" s="3" t="s">
        <v>26360</v>
      </c>
      <c r="B10906" s="3" t="s">
        <v>9666</v>
      </c>
      <c r="C10906" s="5" t="s">
        <v>45</v>
      </c>
      <c r="D10906" s="3" t="s">
        <v>221</v>
      </c>
      <c r="E10906" s="3" t="s">
        <v>505</v>
      </c>
      <c r="F10906" s="7">
        <v>45958.95637087225</v>
      </c>
      <c r="G10906" s="3" t="s">
        <v>3690</v>
      </c>
    </row>
    <row r="10907">
      <c r="A10907" s="3" t="s">
        <v>26361</v>
      </c>
      <c r="B10907" s="3" t="s">
        <v>9666</v>
      </c>
      <c r="C10907" s="5" t="s">
        <v>221</v>
      </c>
      <c r="D10907" s="3" t="s">
        <v>614</v>
      </c>
      <c r="E10907" s="3" t="s">
        <v>118</v>
      </c>
      <c r="F10907" s="7">
        <v>45958.95984309447</v>
      </c>
      <c r="G10907" s="3" t="s">
        <v>9034</v>
      </c>
    </row>
    <row r="10908">
      <c r="A10908" s="3" t="s">
        <v>26362</v>
      </c>
      <c r="B10908" s="3" t="s">
        <v>9666</v>
      </c>
      <c r="C10908" s="5" t="s">
        <v>614</v>
      </c>
      <c r="D10908" s="3" t="s">
        <v>206</v>
      </c>
      <c r="E10908" s="3" t="s">
        <v>100</v>
      </c>
      <c r="F10908" s="7">
        <v>45958.963315316694</v>
      </c>
      <c r="G10908" s="3" t="s">
        <v>9037</v>
      </c>
    </row>
    <row r="10909">
      <c r="A10909" s="3" t="s">
        <v>26363</v>
      </c>
      <c r="B10909" s="3" t="s">
        <v>9666</v>
      </c>
      <c r="C10909" s="5" t="s">
        <v>206</v>
      </c>
      <c r="D10909" s="3" t="s">
        <v>68</v>
      </c>
      <c r="E10909" s="3" t="s">
        <v>100</v>
      </c>
      <c r="F10909" s="7">
        <v>45958.96678753891</v>
      </c>
      <c r="G10909" s="3" t="s">
        <v>9040</v>
      </c>
    </row>
    <row r="10910">
      <c r="A10910" s="3" t="s">
        <v>26364</v>
      </c>
      <c r="B10910" s="3" t="s">
        <v>9669</v>
      </c>
      <c r="C10910" s="5" t="s">
        <v>45</v>
      </c>
      <c r="D10910" s="3" t="s">
        <v>221</v>
      </c>
      <c r="E10910" s="3" t="s">
        <v>747</v>
      </c>
      <c r="F10910" s="7">
        <v>45959.02754571767</v>
      </c>
      <c r="G10910" s="3" t="s">
        <v>11276</v>
      </c>
    </row>
    <row r="10911">
      <c r="A10911" s="3" t="s">
        <v>26365</v>
      </c>
      <c r="B10911" s="3" t="s">
        <v>9669</v>
      </c>
      <c r="C10911" s="5" t="s">
        <v>221</v>
      </c>
      <c r="D10911" s="3" t="s">
        <v>614</v>
      </c>
      <c r="E10911" s="3" t="s">
        <v>118</v>
      </c>
      <c r="F10911" s="7">
        <v>45959.03101793989</v>
      </c>
      <c r="G10911" s="3" t="s">
        <v>11279</v>
      </c>
    </row>
    <row r="10912">
      <c r="A10912" s="3" t="s">
        <v>26366</v>
      </c>
      <c r="B10912" s="3" t="s">
        <v>9669</v>
      </c>
      <c r="C10912" s="5" t="s">
        <v>614</v>
      </c>
      <c r="D10912" s="3" t="s">
        <v>206</v>
      </c>
      <c r="E10912" s="3" t="s">
        <v>100</v>
      </c>
      <c r="F10912" s="7">
        <v>45959.034490162114</v>
      </c>
      <c r="G10912" s="3" t="s">
        <v>11282</v>
      </c>
    </row>
    <row r="10913">
      <c r="A10913" s="3" t="s">
        <v>26367</v>
      </c>
      <c r="B10913" s="3" t="s">
        <v>9669</v>
      </c>
      <c r="C10913" s="5" t="s">
        <v>206</v>
      </c>
      <c r="D10913" s="3" t="s">
        <v>68</v>
      </c>
      <c r="E10913" s="3" t="s">
        <v>100</v>
      </c>
      <c r="F10913" s="7">
        <v>45959.03796238433</v>
      </c>
      <c r="G10913" s="3" t="s">
        <v>11284</v>
      </c>
    </row>
    <row r="10914">
      <c r="A10914" s="3" t="s">
        <v>26368</v>
      </c>
      <c r="B10914" s="3" t="s">
        <v>9671</v>
      </c>
      <c r="C10914" s="5" t="s">
        <v>45</v>
      </c>
      <c r="D10914" s="3" t="s">
        <v>221</v>
      </c>
      <c r="E10914" s="3" t="s">
        <v>593</v>
      </c>
      <c r="F10914" s="7">
        <v>45959.09872056308</v>
      </c>
      <c r="G10914" s="3" t="s">
        <v>6690</v>
      </c>
    </row>
    <row r="10915">
      <c r="A10915" s="3" t="s">
        <v>26369</v>
      </c>
      <c r="B10915" s="3" t="s">
        <v>9671</v>
      </c>
      <c r="C10915" s="5" t="s">
        <v>221</v>
      </c>
      <c r="D10915" s="3" t="s">
        <v>614</v>
      </c>
      <c r="E10915" s="3" t="s">
        <v>118</v>
      </c>
      <c r="F10915" s="7">
        <v>45959.1021927853</v>
      </c>
      <c r="G10915" s="3" t="s">
        <v>6693</v>
      </c>
    </row>
    <row r="10916">
      <c r="A10916" s="3" t="s">
        <v>26370</v>
      </c>
      <c r="B10916" s="3" t="s">
        <v>9671</v>
      </c>
      <c r="C10916" s="5" t="s">
        <v>614</v>
      </c>
      <c r="D10916" s="3" t="s">
        <v>206</v>
      </c>
      <c r="E10916" s="3" t="s">
        <v>100</v>
      </c>
      <c r="F10916" s="7">
        <v>45959.105665007526</v>
      </c>
      <c r="G10916" s="3" t="s">
        <v>6696</v>
      </c>
    </row>
    <row r="10917">
      <c r="A10917" s="3" t="s">
        <v>26371</v>
      </c>
      <c r="B10917" s="3" t="s">
        <v>9671</v>
      </c>
      <c r="C10917" s="5" t="s">
        <v>206</v>
      </c>
      <c r="D10917" s="3" t="s">
        <v>68</v>
      </c>
      <c r="E10917" s="3" t="s">
        <v>100</v>
      </c>
      <c r="F10917" s="7">
        <v>45959.109137229745</v>
      </c>
      <c r="G10917" s="3" t="s">
        <v>6699</v>
      </c>
    </row>
    <row r="10918">
      <c r="A10918" s="3" t="s">
        <v>26372</v>
      </c>
      <c r="B10918" s="3" t="s">
        <v>9673</v>
      </c>
      <c r="C10918" s="5" t="s">
        <v>45</v>
      </c>
      <c r="D10918" s="3" t="s">
        <v>221</v>
      </c>
      <c r="E10918" s="3" t="s">
        <v>600</v>
      </c>
      <c r="F10918" s="7">
        <v>45959.16989540849</v>
      </c>
      <c r="G10918" s="3" t="s">
        <v>11287</v>
      </c>
    </row>
    <row r="10919">
      <c r="A10919" s="3" t="s">
        <v>26373</v>
      </c>
      <c r="B10919" s="3" t="s">
        <v>9673</v>
      </c>
      <c r="C10919" s="5" t="s">
        <v>221</v>
      </c>
      <c r="D10919" s="3" t="s">
        <v>614</v>
      </c>
      <c r="E10919" s="3" t="s">
        <v>118</v>
      </c>
      <c r="F10919" s="7">
        <v>45959.17336763071</v>
      </c>
      <c r="G10919" s="3" t="s">
        <v>11290</v>
      </c>
    </row>
    <row r="10920">
      <c r="A10920" s="3" t="s">
        <v>26374</v>
      </c>
      <c r="B10920" s="3" t="s">
        <v>9673</v>
      </c>
      <c r="C10920" s="5" t="s">
        <v>614</v>
      </c>
      <c r="D10920" s="3" t="s">
        <v>206</v>
      </c>
      <c r="E10920" s="3" t="s">
        <v>100</v>
      </c>
      <c r="F10920" s="7">
        <v>45959.17683985294</v>
      </c>
      <c r="G10920" s="3" t="s">
        <v>11293</v>
      </c>
    </row>
    <row r="10921">
      <c r="A10921" s="3" t="s">
        <v>26375</v>
      </c>
      <c r="B10921" s="3" t="s">
        <v>9673</v>
      </c>
      <c r="C10921" s="5" t="s">
        <v>206</v>
      </c>
      <c r="D10921" s="3" t="s">
        <v>68</v>
      </c>
      <c r="E10921" s="3" t="s">
        <v>100</v>
      </c>
      <c r="F10921" s="7">
        <v>45959.18031207516</v>
      </c>
      <c r="G10921" s="3" t="s">
        <v>11296</v>
      </c>
    </row>
    <row r="10922">
      <c r="A10922" s="3" t="s">
        <v>26376</v>
      </c>
      <c r="B10922" s="3" t="s">
        <v>9676</v>
      </c>
      <c r="C10922" s="5" t="s">
        <v>45</v>
      </c>
      <c r="D10922" s="3" t="s">
        <v>221</v>
      </c>
      <c r="E10922" s="3" t="s">
        <v>293</v>
      </c>
      <c r="F10922" s="7">
        <v>45959.24107025391</v>
      </c>
      <c r="G10922" s="3" t="s">
        <v>11299</v>
      </c>
    </row>
    <row r="10923">
      <c r="A10923" s="3" t="s">
        <v>26377</v>
      </c>
      <c r="B10923" s="3" t="s">
        <v>9676</v>
      </c>
      <c r="C10923" s="5" t="s">
        <v>221</v>
      </c>
      <c r="D10923" s="3" t="s">
        <v>614</v>
      </c>
      <c r="E10923" s="3" t="s">
        <v>118</v>
      </c>
      <c r="F10923" s="7">
        <v>45959.24454247613</v>
      </c>
      <c r="G10923" s="3" t="s">
        <v>11302</v>
      </c>
    </row>
    <row r="10924">
      <c r="A10924" s="3" t="s">
        <v>26378</v>
      </c>
      <c r="B10924" s="3" t="s">
        <v>9676</v>
      </c>
      <c r="C10924" s="5" t="s">
        <v>614</v>
      </c>
      <c r="D10924" s="3" t="s">
        <v>206</v>
      </c>
      <c r="E10924" s="3" t="s">
        <v>100</v>
      </c>
      <c r="F10924" s="7">
        <v>45959.24801469836</v>
      </c>
      <c r="G10924" s="3" t="s">
        <v>11304</v>
      </c>
    </row>
    <row r="10925">
      <c r="A10925" s="3" t="s">
        <v>26379</v>
      </c>
      <c r="B10925" s="3" t="s">
        <v>9676</v>
      </c>
      <c r="C10925" s="5" t="s">
        <v>206</v>
      </c>
      <c r="D10925" s="3" t="s">
        <v>68</v>
      </c>
      <c r="E10925" s="3" t="s">
        <v>100</v>
      </c>
      <c r="F10925" s="7">
        <v>45959.25148692058</v>
      </c>
      <c r="G10925" s="3" t="s">
        <v>11307</v>
      </c>
    </row>
    <row r="10926">
      <c r="A10926" s="3" t="s">
        <v>26380</v>
      </c>
      <c r="B10926" s="3" t="s">
        <v>9679</v>
      </c>
      <c r="C10926" s="5" t="s">
        <v>45</v>
      </c>
      <c r="D10926" s="3" t="s">
        <v>221</v>
      </c>
      <c r="E10926" s="3" t="s">
        <v>886</v>
      </c>
      <c r="F10926" s="7">
        <v>45959.312245099325</v>
      </c>
      <c r="G10926" s="3" t="s">
        <v>26381</v>
      </c>
    </row>
    <row r="10927">
      <c r="A10927" s="3" t="s">
        <v>26382</v>
      </c>
      <c r="B10927" s="3" t="s">
        <v>9679</v>
      </c>
      <c r="C10927" s="5" t="s">
        <v>221</v>
      </c>
      <c r="D10927" s="3" t="s">
        <v>614</v>
      </c>
      <c r="E10927" s="3" t="s">
        <v>118</v>
      </c>
      <c r="F10927" s="7">
        <v>45959.315717321544</v>
      </c>
      <c r="G10927" s="3" t="s">
        <v>26383</v>
      </c>
    </row>
    <row r="10928">
      <c r="A10928" s="3" t="s">
        <v>26384</v>
      </c>
      <c r="B10928" s="3" t="s">
        <v>9679</v>
      </c>
      <c r="C10928" s="5" t="s">
        <v>614</v>
      </c>
      <c r="D10928" s="3" t="s">
        <v>206</v>
      </c>
      <c r="E10928" s="3" t="s">
        <v>100</v>
      </c>
      <c r="F10928" s="7">
        <v>45959.31918954377</v>
      </c>
      <c r="G10928" s="3" t="s">
        <v>26385</v>
      </c>
    </row>
    <row r="10929">
      <c r="A10929" s="3" t="s">
        <v>26386</v>
      </c>
      <c r="B10929" s="3" t="s">
        <v>9679</v>
      </c>
      <c r="C10929" s="5" t="s">
        <v>206</v>
      </c>
      <c r="D10929" s="3" t="s">
        <v>68</v>
      </c>
      <c r="E10929" s="3" t="s">
        <v>100</v>
      </c>
      <c r="F10929" s="7">
        <v>45959.32266176599</v>
      </c>
      <c r="G10929" s="3" t="s">
        <v>26387</v>
      </c>
    </row>
    <row r="10930">
      <c r="A10930" s="3" t="s">
        <v>26388</v>
      </c>
      <c r="B10930" s="3" t="s">
        <v>9681</v>
      </c>
      <c r="C10930" s="5" t="s">
        <v>45</v>
      </c>
      <c r="D10930" s="3" t="s">
        <v>221</v>
      </c>
      <c r="E10930" s="3" t="s">
        <v>575</v>
      </c>
      <c r="F10930" s="7">
        <v>45959.38341994474</v>
      </c>
      <c r="G10930" s="3" t="s">
        <v>5950</v>
      </c>
    </row>
    <row r="10931">
      <c r="A10931" s="3" t="s">
        <v>26389</v>
      </c>
      <c r="B10931" s="3" t="s">
        <v>9681</v>
      </c>
      <c r="C10931" s="5" t="s">
        <v>221</v>
      </c>
      <c r="D10931" s="3" t="s">
        <v>614</v>
      </c>
      <c r="E10931" s="3" t="s">
        <v>118</v>
      </c>
      <c r="F10931" s="7">
        <v>45959.38689216696</v>
      </c>
      <c r="G10931" s="3" t="s">
        <v>5953</v>
      </c>
    </row>
    <row r="10932">
      <c r="A10932" s="3" t="s">
        <v>26390</v>
      </c>
      <c r="B10932" s="3" t="s">
        <v>9681</v>
      </c>
      <c r="C10932" s="5" t="s">
        <v>614</v>
      </c>
      <c r="D10932" s="3" t="s">
        <v>206</v>
      </c>
      <c r="E10932" s="3" t="s">
        <v>100</v>
      </c>
      <c r="F10932" s="7">
        <v>45959.39036438918</v>
      </c>
      <c r="G10932" s="3" t="s">
        <v>5956</v>
      </c>
    </row>
    <row r="10933">
      <c r="A10933" s="3" t="s">
        <v>26391</v>
      </c>
      <c r="B10933" s="3" t="s">
        <v>9681</v>
      </c>
      <c r="C10933" s="5" t="s">
        <v>206</v>
      </c>
      <c r="D10933" s="3" t="s">
        <v>68</v>
      </c>
      <c r="E10933" s="3" t="s">
        <v>100</v>
      </c>
      <c r="F10933" s="7">
        <v>45959.3938366114</v>
      </c>
      <c r="G10933" s="3" t="s">
        <v>5958</v>
      </c>
    </row>
    <row r="10934">
      <c r="A10934" s="3" t="s">
        <v>26392</v>
      </c>
      <c r="B10934" s="3" t="s">
        <v>9683</v>
      </c>
      <c r="C10934" s="5" t="s">
        <v>45</v>
      </c>
      <c r="D10934" s="3" t="s">
        <v>221</v>
      </c>
      <c r="E10934" s="3" t="s">
        <v>193</v>
      </c>
      <c r="F10934" s="7">
        <v>45959.45459479016</v>
      </c>
      <c r="G10934" s="3" t="s">
        <v>8729</v>
      </c>
    </row>
    <row r="10935">
      <c r="A10935" s="3" t="s">
        <v>26393</v>
      </c>
      <c r="B10935" s="3" t="s">
        <v>9683</v>
      </c>
      <c r="C10935" s="5" t="s">
        <v>221</v>
      </c>
      <c r="D10935" s="3" t="s">
        <v>614</v>
      </c>
      <c r="E10935" s="3" t="s">
        <v>118</v>
      </c>
      <c r="F10935" s="7">
        <v>45959.458067012376</v>
      </c>
      <c r="G10935" s="3" t="s">
        <v>25830</v>
      </c>
    </row>
    <row r="10936">
      <c r="A10936" s="3" t="s">
        <v>26394</v>
      </c>
      <c r="B10936" s="3" t="s">
        <v>9683</v>
      </c>
      <c r="C10936" s="5" t="s">
        <v>614</v>
      </c>
      <c r="D10936" s="3" t="s">
        <v>206</v>
      </c>
      <c r="E10936" s="3" t="s">
        <v>100</v>
      </c>
      <c r="F10936" s="7">
        <v>45959.4615392346</v>
      </c>
      <c r="G10936" s="3" t="s">
        <v>25832</v>
      </c>
    </row>
    <row r="10937">
      <c r="A10937" s="3" t="s">
        <v>26395</v>
      </c>
      <c r="B10937" s="3" t="s">
        <v>9683</v>
      </c>
      <c r="C10937" s="5" t="s">
        <v>206</v>
      </c>
      <c r="D10937" s="3" t="s">
        <v>68</v>
      </c>
      <c r="E10937" s="3" t="s">
        <v>100</v>
      </c>
      <c r="F10937" s="7">
        <v>45959.46501145682</v>
      </c>
      <c r="G10937" s="3" t="s">
        <v>25834</v>
      </c>
    </row>
    <row r="10938">
      <c r="A10938" s="3" t="s">
        <v>26396</v>
      </c>
      <c r="B10938" s="3" t="s">
        <v>9686</v>
      </c>
      <c r="C10938" s="5" t="s">
        <v>45</v>
      </c>
      <c r="D10938" s="3" t="s">
        <v>221</v>
      </c>
      <c r="E10938" s="3" t="s">
        <v>853</v>
      </c>
      <c r="F10938" s="7">
        <v>45959.52576963558</v>
      </c>
      <c r="G10938" s="3" t="s">
        <v>7388</v>
      </c>
    </row>
    <row r="10939">
      <c r="A10939" s="3" t="s">
        <v>26397</v>
      </c>
      <c r="B10939" s="3" t="s">
        <v>9686</v>
      </c>
      <c r="C10939" s="5" t="s">
        <v>221</v>
      </c>
      <c r="D10939" s="3" t="s">
        <v>614</v>
      </c>
      <c r="E10939" s="3" t="s">
        <v>118</v>
      </c>
      <c r="F10939" s="7">
        <v>45959.529241857796</v>
      </c>
      <c r="G10939" s="3" t="s">
        <v>25795</v>
      </c>
    </row>
    <row r="10940">
      <c r="A10940" s="3" t="s">
        <v>26398</v>
      </c>
      <c r="B10940" s="3" t="s">
        <v>9686</v>
      </c>
      <c r="C10940" s="5" t="s">
        <v>614</v>
      </c>
      <c r="D10940" s="3" t="s">
        <v>206</v>
      </c>
      <c r="E10940" s="3" t="s">
        <v>100</v>
      </c>
      <c r="F10940" s="7">
        <v>45959.53271408002</v>
      </c>
      <c r="G10940" s="3" t="s">
        <v>25797</v>
      </c>
    </row>
    <row r="10941">
      <c r="A10941" s="3" t="s">
        <v>26399</v>
      </c>
      <c r="B10941" s="3" t="s">
        <v>9686</v>
      </c>
      <c r="C10941" s="5" t="s">
        <v>206</v>
      </c>
      <c r="D10941" s="3" t="s">
        <v>68</v>
      </c>
      <c r="E10941" s="3" t="s">
        <v>100</v>
      </c>
      <c r="F10941" s="7">
        <v>45959.53618630224</v>
      </c>
      <c r="G10941" s="3" t="s">
        <v>25799</v>
      </c>
    </row>
    <row r="10942">
      <c r="A10942" s="3" t="s">
        <v>26400</v>
      </c>
      <c r="B10942" s="3" t="s">
        <v>9688</v>
      </c>
      <c r="C10942" s="5" t="s">
        <v>45</v>
      </c>
      <c r="D10942" s="3" t="s">
        <v>221</v>
      </c>
      <c r="E10942" s="3" t="s">
        <v>383</v>
      </c>
      <c r="F10942" s="7">
        <v>45959.59694448098</v>
      </c>
      <c r="G10942" s="3" t="s">
        <v>7756</v>
      </c>
    </row>
    <row r="10943">
      <c r="A10943" s="3" t="s">
        <v>26401</v>
      </c>
      <c r="B10943" s="3" t="s">
        <v>9688</v>
      </c>
      <c r="C10943" s="5" t="s">
        <v>221</v>
      </c>
      <c r="D10943" s="3" t="s">
        <v>614</v>
      </c>
      <c r="E10943" s="3" t="s">
        <v>118</v>
      </c>
      <c r="F10943" s="7">
        <v>45959.6004167032</v>
      </c>
      <c r="G10943" s="3" t="s">
        <v>7759</v>
      </c>
    </row>
    <row r="10944">
      <c r="A10944" s="3" t="s">
        <v>26402</v>
      </c>
      <c r="B10944" s="3" t="s">
        <v>9688</v>
      </c>
      <c r="C10944" s="5" t="s">
        <v>614</v>
      </c>
      <c r="D10944" s="3" t="s">
        <v>206</v>
      </c>
      <c r="E10944" s="3" t="s">
        <v>100</v>
      </c>
      <c r="F10944" s="7">
        <v>45959.60388892543</v>
      </c>
      <c r="G10944" s="3" t="s">
        <v>7762</v>
      </c>
    </row>
    <row r="10945">
      <c r="A10945" s="3" t="s">
        <v>26403</v>
      </c>
      <c r="B10945" s="3" t="s">
        <v>9688</v>
      </c>
      <c r="C10945" s="5" t="s">
        <v>206</v>
      </c>
      <c r="D10945" s="3" t="s">
        <v>68</v>
      </c>
      <c r="E10945" s="3" t="s">
        <v>100</v>
      </c>
      <c r="F10945" s="7">
        <v>45959.607361147646</v>
      </c>
      <c r="G10945" s="3" t="s">
        <v>7765</v>
      </c>
    </row>
    <row r="10946">
      <c r="A10946" s="3" t="s">
        <v>26404</v>
      </c>
      <c r="B10946" s="3" t="s">
        <v>9690</v>
      </c>
      <c r="C10946" s="5" t="s">
        <v>45</v>
      </c>
      <c r="D10946" s="3" t="s">
        <v>221</v>
      </c>
      <c r="E10946" s="3" t="s">
        <v>472</v>
      </c>
      <c r="F10946" s="7">
        <v>45959.6681193264</v>
      </c>
      <c r="G10946" s="3" t="s">
        <v>2770</v>
      </c>
    </row>
    <row r="10947">
      <c r="A10947" s="3" t="s">
        <v>26405</v>
      </c>
      <c r="B10947" s="3" t="s">
        <v>9690</v>
      </c>
      <c r="C10947" s="5" t="s">
        <v>221</v>
      </c>
      <c r="D10947" s="3" t="s">
        <v>181</v>
      </c>
      <c r="E10947" s="3" t="s">
        <v>118</v>
      </c>
      <c r="F10947" s="7">
        <v>45959.67159154862</v>
      </c>
      <c r="G10947" s="3" t="s">
        <v>2774</v>
      </c>
    </row>
    <row r="10948">
      <c r="A10948" s="3" t="s">
        <v>26406</v>
      </c>
      <c r="B10948" s="3" t="s">
        <v>9693</v>
      </c>
      <c r="C10948" s="5" t="s">
        <v>45</v>
      </c>
      <c r="D10948" s="3" t="s">
        <v>221</v>
      </c>
      <c r="E10948" s="3" t="s">
        <v>135</v>
      </c>
      <c r="F10948" s="7">
        <v>45959.73929417182</v>
      </c>
      <c r="G10948" s="3" t="s">
        <v>7307</v>
      </c>
    </row>
    <row r="10949">
      <c r="A10949" s="3" t="s">
        <v>26407</v>
      </c>
      <c r="B10949" s="3" t="s">
        <v>9693</v>
      </c>
      <c r="C10949" s="5" t="s">
        <v>221</v>
      </c>
      <c r="D10949" s="3" t="s">
        <v>181</v>
      </c>
      <c r="E10949" s="3" t="s">
        <v>118</v>
      </c>
      <c r="F10949" s="7">
        <v>45959.74276639404</v>
      </c>
      <c r="G10949" s="3" t="s">
        <v>26408</v>
      </c>
    </row>
    <row r="10950">
      <c r="A10950" s="3" t="s">
        <v>26409</v>
      </c>
      <c r="B10950" s="3" t="s">
        <v>9696</v>
      </c>
      <c r="C10950" s="5" t="s">
        <v>45</v>
      </c>
      <c r="D10950" s="3" t="s">
        <v>221</v>
      </c>
      <c r="E10950" s="3" t="s">
        <v>419</v>
      </c>
      <c r="F10950" s="7">
        <v>45959.81046901723</v>
      </c>
      <c r="G10950" s="3" t="s">
        <v>11361</v>
      </c>
    </row>
    <row r="10951">
      <c r="A10951" s="3" t="s">
        <v>26410</v>
      </c>
      <c r="B10951" s="3" t="s">
        <v>9696</v>
      </c>
      <c r="C10951" s="5" t="s">
        <v>221</v>
      </c>
      <c r="D10951" s="3" t="s">
        <v>614</v>
      </c>
      <c r="E10951" s="3" t="s">
        <v>118</v>
      </c>
      <c r="F10951" s="7">
        <v>45959.81394123945</v>
      </c>
      <c r="G10951" s="3" t="s">
        <v>11364</v>
      </c>
    </row>
    <row r="10952">
      <c r="A10952" s="3" t="s">
        <v>26411</v>
      </c>
      <c r="B10952" s="3" t="s">
        <v>9696</v>
      </c>
      <c r="C10952" s="5" t="s">
        <v>614</v>
      </c>
      <c r="D10952" s="3" t="s">
        <v>206</v>
      </c>
      <c r="E10952" s="3" t="s">
        <v>100</v>
      </c>
      <c r="F10952" s="7">
        <v>45959.81741346168</v>
      </c>
      <c r="G10952" s="3" t="s">
        <v>11367</v>
      </c>
    </row>
    <row r="10953">
      <c r="A10953" s="3" t="s">
        <v>26412</v>
      </c>
      <c r="B10953" s="3" t="s">
        <v>9696</v>
      </c>
      <c r="C10953" s="5" t="s">
        <v>206</v>
      </c>
      <c r="D10953" s="3" t="s">
        <v>68</v>
      </c>
      <c r="E10953" s="3" t="s">
        <v>100</v>
      </c>
      <c r="F10953" s="7">
        <v>45959.8208856839</v>
      </c>
      <c r="G10953" s="3" t="s">
        <v>11370</v>
      </c>
    </row>
    <row r="10954">
      <c r="A10954" s="3" t="s">
        <v>26413</v>
      </c>
      <c r="B10954" s="3" t="s">
        <v>9698</v>
      </c>
      <c r="C10954" s="5" t="s">
        <v>45</v>
      </c>
      <c r="D10954" s="3" t="s">
        <v>221</v>
      </c>
      <c r="E10954" s="3" t="s">
        <v>383</v>
      </c>
      <c r="F10954" s="7">
        <v>45959.881643862645</v>
      </c>
      <c r="G10954" s="3" t="s">
        <v>7756</v>
      </c>
    </row>
    <row r="10955">
      <c r="A10955" s="3" t="s">
        <v>26414</v>
      </c>
      <c r="B10955" s="3" t="s">
        <v>9698</v>
      </c>
      <c r="C10955" s="5" t="s">
        <v>221</v>
      </c>
      <c r="D10955" s="3" t="s">
        <v>614</v>
      </c>
      <c r="E10955" s="3" t="s">
        <v>118</v>
      </c>
      <c r="F10955" s="7">
        <v>45959.885116084864</v>
      </c>
      <c r="G10955" s="3" t="s">
        <v>7759</v>
      </c>
    </row>
    <row r="10956">
      <c r="A10956" s="3" t="s">
        <v>26415</v>
      </c>
      <c r="B10956" s="3" t="s">
        <v>9698</v>
      </c>
      <c r="C10956" s="5" t="s">
        <v>614</v>
      </c>
      <c r="D10956" s="3" t="s">
        <v>206</v>
      </c>
      <c r="E10956" s="3" t="s">
        <v>100</v>
      </c>
      <c r="F10956" s="7">
        <v>45959.88858830709</v>
      </c>
      <c r="G10956" s="3" t="s">
        <v>7762</v>
      </c>
    </row>
    <row r="10957">
      <c r="A10957" s="3" t="s">
        <v>26416</v>
      </c>
      <c r="B10957" s="3" t="s">
        <v>9698</v>
      </c>
      <c r="C10957" s="5" t="s">
        <v>206</v>
      </c>
      <c r="D10957" s="3" t="s">
        <v>68</v>
      </c>
      <c r="E10957" s="3" t="s">
        <v>100</v>
      </c>
      <c r="F10957" s="7">
        <v>45959.89206052931</v>
      </c>
      <c r="G10957" s="3" t="s">
        <v>7765</v>
      </c>
    </row>
    <row r="10958">
      <c r="A10958" s="3" t="s">
        <v>26417</v>
      </c>
      <c r="B10958" s="3" t="s">
        <v>9701</v>
      </c>
      <c r="C10958" s="5" t="s">
        <v>45</v>
      </c>
      <c r="D10958" s="3" t="s">
        <v>221</v>
      </c>
      <c r="E10958" s="3" t="s">
        <v>1021</v>
      </c>
      <c r="F10958" s="7">
        <v>45959.952818708065</v>
      </c>
      <c r="G10958" s="3" t="s">
        <v>11435</v>
      </c>
    </row>
    <row r="10959">
      <c r="A10959" s="3" t="s">
        <v>26418</v>
      </c>
      <c r="B10959" s="3" t="s">
        <v>9701</v>
      </c>
      <c r="C10959" s="5" t="s">
        <v>221</v>
      </c>
      <c r="D10959" s="3" t="s">
        <v>614</v>
      </c>
      <c r="E10959" s="3" t="s">
        <v>118</v>
      </c>
      <c r="F10959" s="7">
        <v>45959.956290930284</v>
      </c>
      <c r="G10959" s="3" t="s">
        <v>11437</v>
      </c>
    </row>
    <row r="10960">
      <c r="A10960" s="3" t="s">
        <v>26419</v>
      </c>
      <c r="B10960" s="3" t="s">
        <v>9701</v>
      </c>
      <c r="C10960" s="5" t="s">
        <v>614</v>
      </c>
      <c r="D10960" s="3" t="s">
        <v>206</v>
      </c>
      <c r="E10960" s="3" t="s">
        <v>100</v>
      </c>
      <c r="F10960" s="7">
        <v>45959.95976315251</v>
      </c>
      <c r="G10960" s="3" t="s">
        <v>11440</v>
      </c>
    </row>
    <row r="10961">
      <c r="A10961" s="3" t="s">
        <v>26420</v>
      </c>
      <c r="B10961" s="3" t="s">
        <v>9701</v>
      </c>
      <c r="C10961" s="5" t="s">
        <v>206</v>
      </c>
      <c r="D10961" s="3" t="s">
        <v>68</v>
      </c>
      <c r="E10961" s="3" t="s">
        <v>100</v>
      </c>
      <c r="F10961" s="7">
        <v>45959.96323537473</v>
      </c>
      <c r="G10961" s="3" t="s">
        <v>11443</v>
      </c>
    </row>
    <row r="10962">
      <c r="A10962" s="3" t="s">
        <v>26421</v>
      </c>
      <c r="B10962" s="3" t="s">
        <v>9703</v>
      </c>
      <c r="C10962" s="5" t="s">
        <v>45</v>
      </c>
      <c r="D10962" s="3" t="s">
        <v>221</v>
      </c>
      <c r="E10962" s="3" t="s">
        <v>731</v>
      </c>
      <c r="F10962" s="7">
        <v>45960.02399355348</v>
      </c>
      <c r="G10962" s="3" t="s">
        <v>25660</v>
      </c>
    </row>
    <row r="10963">
      <c r="A10963" s="3" t="s">
        <v>26422</v>
      </c>
      <c r="B10963" s="3" t="s">
        <v>9703</v>
      </c>
      <c r="C10963" s="5" t="s">
        <v>221</v>
      </c>
      <c r="D10963" s="3" t="s">
        <v>181</v>
      </c>
      <c r="E10963" s="3" t="s">
        <v>118</v>
      </c>
      <c r="F10963" s="7">
        <v>45960.027465775696</v>
      </c>
      <c r="G10963" s="3" t="s">
        <v>26423</v>
      </c>
    </row>
    <row r="10964">
      <c r="A10964" s="3" t="s">
        <v>26424</v>
      </c>
      <c r="B10964" s="3" t="s">
        <v>9706</v>
      </c>
      <c r="C10964" s="5" t="s">
        <v>45</v>
      </c>
      <c r="D10964" s="3" t="s">
        <v>221</v>
      </c>
      <c r="E10964" s="3" t="s">
        <v>615</v>
      </c>
      <c r="F10964" s="7">
        <v>45960.09516839889</v>
      </c>
      <c r="G10964" s="3" t="s">
        <v>11453</v>
      </c>
    </row>
    <row r="10965">
      <c r="A10965" s="3" t="s">
        <v>26425</v>
      </c>
      <c r="B10965" s="3" t="s">
        <v>9706</v>
      </c>
      <c r="C10965" s="5" t="s">
        <v>221</v>
      </c>
      <c r="D10965" s="3" t="s">
        <v>614</v>
      </c>
      <c r="E10965" s="3" t="s">
        <v>118</v>
      </c>
      <c r="F10965" s="7">
        <v>45960.09864062111</v>
      </c>
      <c r="G10965" s="3" t="s">
        <v>11456</v>
      </c>
    </row>
    <row r="10966">
      <c r="A10966" s="3" t="s">
        <v>26426</v>
      </c>
      <c r="B10966" s="3" t="s">
        <v>9706</v>
      </c>
      <c r="C10966" s="5" t="s">
        <v>614</v>
      </c>
      <c r="D10966" s="3" t="s">
        <v>206</v>
      </c>
      <c r="E10966" s="3" t="s">
        <v>100</v>
      </c>
      <c r="F10966" s="7">
        <v>45960.102112843335</v>
      </c>
      <c r="G10966" s="3" t="s">
        <v>11459</v>
      </c>
    </row>
    <row r="10967">
      <c r="A10967" s="3" t="s">
        <v>26427</v>
      </c>
      <c r="B10967" s="3" t="s">
        <v>9706</v>
      </c>
      <c r="C10967" s="5" t="s">
        <v>206</v>
      </c>
      <c r="D10967" s="3" t="s">
        <v>68</v>
      </c>
      <c r="E10967" s="3" t="s">
        <v>100</v>
      </c>
      <c r="F10967" s="7">
        <v>45960.105585065554</v>
      </c>
      <c r="G10967" s="3" t="s">
        <v>11461</v>
      </c>
    </row>
    <row r="10968">
      <c r="A10968" s="3" t="s">
        <v>26428</v>
      </c>
      <c r="B10968" s="3" t="s">
        <v>9709</v>
      </c>
      <c r="C10968" s="5" t="s">
        <v>45</v>
      </c>
      <c r="D10968" s="3" t="s">
        <v>221</v>
      </c>
      <c r="E10968" s="3" t="s">
        <v>559</v>
      </c>
      <c r="F10968" s="7">
        <v>45960.16634324431</v>
      </c>
      <c r="G10968" s="3" t="s">
        <v>16238</v>
      </c>
    </row>
    <row r="10969">
      <c r="A10969" s="3" t="s">
        <v>26429</v>
      </c>
      <c r="B10969" s="3" t="s">
        <v>9709</v>
      </c>
      <c r="C10969" s="5" t="s">
        <v>221</v>
      </c>
      <c r="D10969" s="3" t="s">
        <v>614</v>
      </c>
      <c r="E10969" s="3" t="s">
        <v>118</v>
      </c>
      <c r="F10969" s="7">
        <v>45960.16981546653</v>
      </c>
      <c r="G10969" s="3" t="s">
        <v>26430</v>
      </c>
    </row>
    <row r="10970">
      <c r="A10970" s="3" t="s">
        <v>26431</v>
      </c>
      <c r="B10970" s="3" t="s">
        <v>9709</v>
      </c>
      <c r="C10970" s="5" t="s">
        <v>614</v>
      </c>
      <c r="D10970" s="3" t="s">
        <v>206</v>
      </c>
      <c r="E10970" s="3" t="s">
        <v>100</v>
      </c>
      <c r="F10970" s="7">
        <v>45960.173287688754</v>
      </c>
      <c r="G10970" s="3" t="s">
        <v>26432</v>
      </c>
    </row>
    <row r="10971">
      <c r="A10971" s="3" t="s">
        <v>26433</v>
      </c>
      <c r="B10971" s="3" t="s">
        <v>9709</v>
      </c>
      <c r="C10971" s="5" t="s">
        <v>206</v>
      </c>
      <c r="D10971" s="3" t="s">
        <v>68</v>
      </c>
      <c r="E10971" s="3" t="s">
        <v>100</v>
      </c>
      <c r="F10971" s="7">
        <v>45960.17675991097</v>
      </c>
      <c r="G10971" s="3" t="s">
        <v>26434</v>
      </c>
    </row>
    <row r="10972">
      <c r="A10972" s="3" t="s">
        <v>26435</v>
      </c>
      <c r="B10972" s="3" t="s">
        <v>9711</v>
      </c>
      <c r="C10972" s="5" t="s">
        <v>45</v>
      </c>
      <c r="D10972" s="3" t="s">
        <v>221</v>
      </c>
      <c r="E10972" s="3" t="s">
        <v>767</v>
      </c>
      <c r="F10972" s="7">
        <v>45960.23751808972</v>
      </c>
      <c r="G10972" s="3" t="s">
        <v>6086</v>
      </c>
    </row>
    <row r="10973">
      <c r="A10973" s="3" t="s">
        <v>26436</v>
      </c>
      <c r="B10973" s="3" t="s">
        <v>9711</v>
      </c>
      <c r="C10973" s="5" t="s">
        <v>221</v>
      </c>
      <c r="D10973" s="3" t="s">
        <v>614</v>
      </c>
      <c r="E10973" s="3" t="s">
        <v>118</v>
      </c>
      <c r="F10973" s="7">
        <v>45960.24099031194</v>
      </c>
      <c r="G10973" s="3" t="s">
        <v>6088</v>
      </c>
    </row>
    <row r="10974">
      <c r="A10974" s="3" t="s">
        <v>26437</v>
      </c>
      <c r="B10974" s="3" t="s">
        <v>9711</v>
      </c>
      <c r="C10974" s="5" t="s">
        <v>614</v>
      </c>
      <c r="D10974" s="3" t="s">
        <v>206</v>
      </c>
      <c r="E10974" s="3" t="s">
        <v>100</v>
      </c>
      <c r="F10974" s="7">
        <v>45960.24446253417</v>
      </c>
      <c r="G10974" s="3" t="s">
        <v>6091</v>
      </c>
    </row>
    <row r="10975">
      <c r="A10975" s="3" t="s">
        <v>26438</v>
      </c>
      <c r="B10975" s="3" t="s">
        <v>9711</v>
      </c>
      <c r="C10975" s="5" t="s">
        <v>206</v>
      </c>
      <c r="D10975" s="3" t="s">
        <v>68</v>
      </c>
      <c r="E10975" s="3" t="s">
        <v>100</v>
      </c>
      <c r="F10975" s="7">
        <v>45960.247934756386</v>
      </c>
      <c r="G10975" s="3" t="s">
        <v>6094</v>
      </c>
    </row>
    <row r="10976">
      <c r="A10976" s="3" t="s">
        <v>26439</v>
      </c>
      <c r="B10976" s="3" t="s">
        <v>9713</v>
      </c>
      <c r="C10976" s="5" t="s">
        <v>45</v>
      </c>
      <c r="D10976" s="3" t="s">
        <v>221</v>
      </c>
      <c r="E10976" s="3" t="s">
        <v>678</v>
      </c>
      <c r="F10976" s="7">
        <v>45960.308692935134</v>
      </c>
      <c r="G10976" s="3" t="s">
        <v>18208</v>
      </c>
    </row>
    <row r="10977">
      <c r="A10977" s="3" t="s">
        <v>26440</v>
      </c>
      <c r="B10977" s="3" t="s">
        <v>9713</v>
      </c>
      <c r="C10977" s="5" t="s">
        <v>221</v>
      </c>
      <c r="D10977" s="3" t="s">
        <v>614</v>
      </c>
      <c r="E10977" s="3" t="s">
        <v>118</v>
      </c>
      <c r="F10977" s="7">
        <v>45960.31216515735</v>
      </c>
      <c r="G10977" s="3" t="s">
        <v>18210</v>
      </c>
    </row>
    <row r="10978">
      <c r="A10978" s="3" t="s">
        <v>26441</v>
      </c>
      <c r="B10978" s="3" t="s">
        <v>9713</v>
      </c>
      <c r="C10978" s="5" t="s">
        <v>614</v>
      </c>
      <c r="D10978" s="3" t="s">
        <v>206</v>
      </c>
      <c r="E10978" s="3" t="s">
        <v>100</v>
      </c>
      <c r="F10978" s="7">
        <v>45960.31563737958</v>
      </c>
      <c r="G10978" s="3" t="s">
        <v>18213</v>
      </c>
    </row>
    <row r="10979">
      <c r="A10979" s="3" t="s">
        <v>26442</v>
      </c>
      <c r="B10979" s="3" t="s">
        <v>9713</v>
      </c>
      <c r="C10979" s="5" t="s">
        <v>206</v>
      </c>
      <c r="D10979" s="3" t="s">
        <v>68</v>
      </c>
      <c r="E10979" s="3" t="s">
        <v>100</v>
      </c>
      <c r="F10979" s="7">
        <v>45960.3191096018</v>
      </c>
      <c r="G10979" s="3" t="s">
        <v>18216</v>
      </c>
    </row>
    <row r="10980">
      <c r="A10980" s="3" t="s">
        <v>26443</v>
      </c>
      <c r="B10980" s="3" t="s">
        <v>9716</v>
      </c>
      <c r="C10980" s="5" t="s">
        <v>45</v>
      </c>
      <c r="D10980" s="3" t="s">
        <v>221</v>
      </c>
      <c r="E10980" s="3" t="s">
        <v>987</v>
      </c>
      <c r="F10980" s="7">
        <v>45960.37986778055</v>
      </c>
      <c r="G10980" s="3" t="s">
        <v>11493</v>
      </c>
    </row>
    <row r="10981">
      <c r="A10981" s="3" t="s">
        <v>26444</v>
      </c>
      <c r="B10981" s="3" t="s">
        <v>9716</v>
      </c>
      <c r="C10981" s="5" t="s">
        <v>221</v>
      </c>
      <c r="D10981" s="3" t="s">
        <v>614</v>
      </c>
      <c r="E10981" s="3" t="s">
        <v>118</v>
      </c>
      <c r="F10981" s="7">
        <v>45960.38334000277</v>
      </c>
      <c r="G10981" s="3" t="s">
        <v>11496</v>
      </c>
    </row>
    <row r="10982">
      <c r="A10982" s="3" t="s">
        <v>26445</v>
      </c>
      <c r="B10982" s="3" t="s">
        <v>9716</v>
      </c>
      <c r="C10982" s="5" t="s">
        <v>614</v>
      </c>
      <c r="D10982" s="3" t="s">
        <v>206</v>
      </c>
      <c r="E10982" s="3" t="s">
        <v>100</v>
      </c>
      <c r="F10982" s="7">
        <v>45960.386812225</v>
      </c>
      <c r="G10982" s="3" t="s">
        <v>11499</v>
      </c>
    </row>
    <row r="10983">
      <c r="A10983" s="3" t="s">
        <v>26446</v>
      </c>
      <c r="B10983" s="3" t="s">
        <v>9716</v>
      </c>
      <c r="C10983" s="5" t="s">
        <v>206</v>
      </c>
      <c r="D10983" s="3" t="s">
        <v>68</v>
      </c>
      <c r="E10983" s="3" t="s">
        <v>100</v>
      </c>
      <c r="F10983" s="7">
        <v>45960.39028444722</v>
      </c>
      <c r="G10983" s="3" t="s">
        <v>11501</v>
      </c>
    </row>
    <row r="10984">
      <c r="A10984" s="3" t="s">
        <v>26447</v>
      </c>
      <c r="B10984" s="3" t="s">
        <v>9719</v>
      </c>
      <c r="C10984" s="5" t="s">
        <v>45</v>
      </c>
      <c r="D10984" s="3" t="s">
        <v>221</v>
      </c>
      <c r="E10984" s="3" t="s">
        <v>593</v>
      </c>
      <c r="F10984" s="7">
        <v>45960.451042625966</v>
      </c>
      <c r="G10984" s="3" t="s">
        <v>11560</v>
      </c>
    </row>
    <row r="10985">
      <c r="A10985" s="3" t="s">
        <v>26448</v>
      </c>
      <c r="B10985" s="3" t="s">
        <v>9719</v>
      </c>
      <c r="C10985" s="5" t="s">
        <v>221</v>
      </c>
      <c r="D10985" s="3" t="s">
        <v>614</v>
      </c>
      <c r="E10985" s="3" t="s">
        <v>118</v>
      </c>
      <c r="F10985" s="7">
        <v>45960.454514848185</v>
      </c>
      <c r="G10985" s="3" t="s">
        <v>11563</v>
      </c>
    </row>
    <row r="10986">
      <c r="A10986" s="3" t="s">
        <v>26449</v>
      </c>
      <c r="B10986" s="3" t="s">
        <v>9719</v>
      </c>
      <c r="C10986" s="5" t="s">
        <v>614</v>
      </c>
      <c r="D10986" s="3" t="s">
        <v>206</v>
      </c>
      <c r="E10986" s="3" t="s">
        <v>100</v>
      </c>
      <c r="F10986" s="7">
        <v>45960.45798707041</v>
      </c>
      <c r="G10986" s="3" t="s">
        <v>11566</v>
      </c>
    </row>
    <row r="10987">
      <c r="A10987" s="3" t="s">
        <v>26450</v>
      </c>
      <c r="B10987" s="3" t="s">
        <v>9719</v>
      </c>
      <c r="C10987" s="5" t="s">
        <v>206</v>
      </c>
      <c r="D10987" s="3" t="s">
        <v>68</v>
      </c>
      <c r="E10987" s="3" t="s">
        <v>100</v>
      </c>
      <c r="F10987" s="7">
        <v>45960.46145929263</v>
      </c>
      <c r="G10987" s="3" t="s">
        <v>11569</v>
      </c>
    </row>
    <row r="10988">
      <c r="A10988" s="3" t="s">
        <v>26451</v>
      </c>
      <c r="B10988" s="3" t="s">
        <v>9721</v>
      </c>
      <c r="C10988" s="5" t="s">
        <v>45</v>
      </c>
      <c r="D10988" s="3" t="s">
        <v>221</v>
      </c>
      <c r="E10988" s="3" t="s">
        <v>414</v>
      </c>
      <c r="F10988" s="7">
        <v>45960.52221747138</v>
      </c>
      <c r="G10988" s="3" t="s">
        <v>21020</v>
      </c>
    </row>
    <row r="10989">
      <c r="A10989" s="3" t="s">
        <v>26452</v>
      </c>
      <c r="B10989" s="3" t="s">
        <v>9721</v>
      </c>
      <c r="C10989" s="5" t="s">
        <v>221</v>
      </c>
      <c r="D10989" s="3" t="s">
        <v>614</v>
      </c>
      <c r="E10989" s="3" t="s">
        <v>118</v>
      </c>
      <c r="F10989" s="7">
        <v>45960.5256896936</v>
      </c>
      <c r="G10989" s="3" t="s">
        <v>21023</v>
      </c>
    </row>
    <row r="10990">
      <c r="A10990" s="3" t="s">
        <v>26453</v>
      </c>
      <c r="B10990" s="3" t="s">
        <v>9721</v>
      </c>
      <c r="C10990" s="5" t="s">
        <v>614</v>
      </c>
      <c r="D10990" s="3" t="s">
        <v>206</v>
      </c>
      <c r="E10990" s="3" t="s">
        <v>100</v>
      </c>
      <c r="F10990" s="7">
        <v>45960.52916191582</v>
      </c>
      <c r="G10990" s="3" t="s">
        <v>21026</v>
      </c>
    </row>
    <row r="10991">
      <c r="A10991" s="3" t="s">
        <v>26454</v>
      </c>
      <c r="B10991" s="3" t="s">
        <v>9721</v>
      </c>
      <c r="C10991" s="5" t="s">
        <v>206</v>
      </c>
      <c r="D10991" s="3" t="s">
        <v>68</v>
      </c>
      <c r="E10991" s="3" t="s">
        <v>100</v>
      </c>
      <c r="F10991" s="7">
        <v>45960.53263413804</v>
      </c>
      <c r="G10991" s="3" t="s">
        <v>21029</v>
      </c>
    </row>
    <row r="10992">
      <c r="A10992" s="3" t="s">
        <v>26455</v>
      </c>
      <c r="B10992" s="3" t="s">
        <v>9723</v>
      </c>
      <c r="C10992" s="5" t="s">
        <v>45</v>
      </c>
      <c r="D10992" s="3" t="s">
        <v>221</v>
      </c>
      <c r="E10992" s="3" t="s">
        <v>645</v>
      </c>
      <c r="F10992" s="7">
        <v>45960.5933923168</v>
      </c>
      <c r="G10992" s="3" t="s">
        <v>26456</v>
      </c>
    </row>
    <row r="10993">
      <c r="A10993" s="3" t="s">
        <v>26457</v>
      </c>
      <c r="B10993" s="3" t="s">
        <v>9723</v>
      </c>
      <c r="C10993" s="5" t="s">
        <v>221</v>
      </c>
      <c r="D10993" s="3" t="s">
        <v>614</v>
      </c>
      <c r="E10993" s="3" t="s">
        <v>118</v>
      </c>
      <c r="F10993" s="7">
        <v>45960.59686453902</v>
      </c>
      <c r="G10993" s="3" t="s">
        <v>26458</v>
      </c>
    </row>
    <row r="10994">
      <c r="A10994" s="3" t="s">
        <v>26459</v>
      </c>
      <c r="B10994" s="3" t="s">
        <v>9723</v>
      </c>
      <c r="C10994" s="5" t="s">
        <v>614</v>
      </c>
      <c r="D10994" s="3" t="s">
        <v>206</v>
      </c>
      <c r="E10994" s="3" t="s">
        <v>100</v>
      </c>
      <c r="F10994" s="7">
        <v>45960.60033676124</v>
      </c>
      <c r="G10994" s="3" t="s">
        <v>26460</v>
      </c>
    </row>
    <row r="10995">
      <c r="A10995" s="3" t="s">
        <v>26461</v>
      </c>
      <c r="B10995" s="3" t="s">
        <v>9723</v>
      </c>
      <c r="C10995" s="5" t="s">
        <v>206</v>
      </c>
      <c r="D10995" s="3" t="s">
        <v>68</v>
      </c>
      <c r="E10995" s="3" t="s">
        <v>100</v>
      </c>
      <c r="F10995" s="7">
        <v>45960.60380898346</v>
      </c>
      <c r="G10995" s="3" t="s">
        <v>26462</v>
      </c>
    </row>
    <row r="10996">
      <c r="A10996" s="3" t="s">
        <v>26463</v>
      </c>
      <c r="B10996" s="3" t="s">
        <v>9726</v>
      </c>
      <c r="C10996" s="5" t="s">
        <v>45</v>
      </c>
      <c r="D10996" s="3" t="s">
        <v>221</v>
      </c>
      <c r="E10996" s="3" t="s">
        <v>1028</v>
      </c>
      <c r="F10996" s="7">
        <v>45960.66456716222</v>
      </c>
      <c r="G10996" s="3" t="s">
        <v>26464</v>
      </c>
    </row>
    <row r="10997">
      <c r="A10997" s="3" t="s">
        <v>26465</v>
      </c>
      <c r="B10997" s="3" t="s">
        <v>9726</v>
      </c>
      <c r="C10997" s="5" t="s">
        <v>221</v>
      </c>
      <c r="D10997" s="3" t="s">
        <v>614</v>
      </c>
      <c r="E10997" s="3" t="s">
        <v>118</v>
      </c>
      <c r="F10997" s="7">
        <v>45960.668039384436</v>
      </c>
      <c r="G10997" s="3" t="s">
        <v>26466</v>
      </c>
    </row>
    <row r="10998">
      <c r="A10998" s="3" t="s">
        <v>26467</v>
      </c>
      <c r="B10998" s="3" t="s">
        <v>9726</v>
      </c>
      <c r="C10998" s="5" t="s">
        <v>614</v>
      </c>
      <c r="D10998" s="3" t="s">
        <v>206</v>
      </c>
      <c r="E10998" s="3" t="s">
        <v>100</v>
      </c>
      <c r="F10998" s="7">
        <v>45960.67151160666</v>
      </c>
      <c r="G10998" s="3" t="s">
        <v>26468</v>
      </c>
    </row>
    <row r="10999">
      <c r="A10999" s="3" t="s">
        <v>26469</v>
      </c>
      <c r="B10999" s="3" t="s">
        <v>9726</v>
      </c>
      <c r="C10999" s="5" t="s">
        <v>206</v>
      </c>
      <c r="D10999" s="3" t="s">
        <v>68</v>
      </c>
      <c r="E10999" s="3" t="s">
        <v>100</v>
      </c>
      <c r="F10999" s="7">
        <v>45960.67498382888</v>
      </c>
      <c r="G10999" s="3" t="s">
        <v>26470</v>
      </c>
    </row>
    <row r="11000">
      <c r="A11000" s="3" t="s">
        <v>26471</v>
      </c>
      <c r="B11000" s="3" t="s">
        <v>9729</v>
      </c>
      <c r="C11000" s="5" t="s">
        <v>45</v>
      </c>
      <c r="D11000" s="3" t="s">
        <v>221</v>
      </c>
      <c r="E11000" s="3" t="s">
        <v>468</v>
      </c>
      <c r="F11000" s="7">
        <v>45960.73574200762</v>
      </c>
      <c r="G11000" s="3" t="s">
        <v>12888</v>
      </c>
    </row>
    <row r="11001">
      <c r="A11001" s="3" t="s">
        <v>26472</v>
      </c>
      <c r="B11001" s="3" t="s">
        <v>9729</v>
      </c>
      <c r="C11001" s="5" t="s">
        <v>221</v>
      </c>
      <c r="D11001" s="3" t="s">
        <v>614</v>
      </c>
      <c r="E11001" s="3" t="s">
        <v>118</v>
      </c>
      <c r="F11001" s="7">
        <v>45960.73921422984</v>
      </c>
      <c r="G11001" s="3" t="s">
        <v>12892</v>
      </c>
    </row>
    <row r="11002">
      <c r="A11002" s="3" t="s">
        <v>26473</v>
      </c>
      <c r="B11002" s="3" t="s">
        <v>9729</v>
      </c>
      <c r="C11002" s="5" t="s">
        <v>614</v>
      </c>
      <c r="D11002" s="3" t="s">
        <v>206</v>
      </c>
      <c r="E11002" s="3" t="s">
        <v>100</v>
      </c>
      <c r="F11002" s="7">
        <v>45960.74268645207</v>
      </c>
      <c r="G11002" s="3" t="s">
        <v>12895</v>
      </c>
    </row>
    <row r="11003">
      <c r="A11003" s="3" t="s">
        <v>26474</v>
      </c>
      <c r="B11003" s="3" t="s">
        <v>9729</v>
      </c>
      <c r="C11003" s="5" t="s">
        <v>206</v>
      </c>
      <c r="D11003" s="3" t="s">
        <v>68</v>
      </c>
      <c r="E11003" s="3" t="s">
        <v>100</v>
      </c>
      <c r="F11003" s="7">
        <v>45960.74615867429</v>
      </c>
      <c r="G11003" s="3" t="s">
        <v>12898</v>
      </c>
    </row>
    <row r="11004">
      <c r="A11004" s="3" t="s">
        <v>26475</v>
      </c>
      <c r="B11004" s="3" t="s">
        <v>9731</v>
      </c>
      <c r="C11004" s="5" t="s">
        <v>45</v>
      </c>
      <c r="D11004" s="3" t="s">
        <v>221</v>
      </c>
      <c r="E11004" s="3" t="s">
        <v>369</v>
      </c>
      <c r="F11004" s="7">
        <v>45960.80691685304</v>
      </c>
      <c r="G11004" s="3" t="s">
        <v>26476</v>
      </c>
    </row>
    <row r="11005">
      <c r="A11005" s="3" t="s">
        <v>26477</v>
      </c>
      <c r="B11005" s="3" t="s">
        <v>9731</v>
      </c>
      <c r="C11005" s="5" t="s">
        <v>221</v>
      </c>
      <c r="D11005" s="3" t="s">
        <v>614</v>
      </c>
      <c r="E11005" s="3" t="s">
        <v>118</v>
      </c>
      <c r="F11005" s="7">
        <v>45960.81038907526</v>
      </c>
      <c r="G11005" s="3" t="s">
        <v>26478</v>
      </c>
    </row>
    <row r="11006">
      <c r="A11006" s="3" t="s">
        <v>26479</v>
      </c>
      <c r="B11006" s="3" t="s">
        <v>9731</v>
      </c>
      <c r="C11006" s="5" t="s">
        <v>614</v>
      </c>
      <c r="D11006" s="3" t="s">
        <v>206</v>
      </c>
      <c r="E11006" s="3" t="s">
        <v>100</v>
      </c>
      <c r="F11006" s="7">
        <v>45960.81386129749</v>
      </c>
      <c r="G11006" s="3" t="s">
        <v>26480</v>
      </c>
    </row>
    <row r="11007">
      <c r="A11007" s="3" t="s">
        <v>26481</v>
      </c>
      <c r="B11007" s="3" t="s">
        <v>9731</v>
      </c>
      <c r="C11007" s="5" t="s">
        <v>206</v>
      </c>
      <c r="D11007" s="3" t="s">
        <v>68</v>
      </c>
      <c r="E11007" s="3" t="s">
        <v>100</v>
      </c>
      <c r="F11007" s="7">
        <v>45960.817333519706</v>
      </c>
      <c r="G11007" s="3" t="s">
        <v>26482</v>
      </c>
    </row>
    <row r="11008">
      <c r="A11008" s="3" t="s">
        <v>26483</v>
      </c>
      <c r="B11008" s="3" t="s">
        <v>9733</v>
      </c>
      <c r="C11008" s="5" t="s">
        <v>45</v>
      </c>
      <c r="D11008" s="3" t="s">
        <v>221</v>
      </c>
      <c r="E11008" s="3" t="s">
        <v>691</v>
      </c>
      <c r="F11008" s="7">
        <v>45960.87809169846</v>
      </c>
      <c r="G11008" s="3" t="s">
        <v>19658</v>
      </c>
    </row>
    <row r="11009">
      <c r="A11009" s="3" t="s">
        <v>26484</v>
      </c>
      <c r="B11009" s="3" t="s">
        <v>9733</v>
      </c>
      <c r="C11009" s="5" t="s">
        <v>221</v>
      </c>
      <c r="D11009" s="3" t="s">
        <v>614</v>
      </c>
      <c r="E11009" s="3" t="s">
        <v>118</v>
      </c>
      <c r="F11009" s="7">
        <v>45960.88156392068</v>
      </c>
      <c r="G11009" s="3" t="s">
        <v>19661</v>
      </c>
    </row>
    <row r="11010">
      <c r="A11010" s="3" t="s">
        <v>26485</v>
      </c>
      <c r="B11010" s="3" t="s">
        <v>9733</v>
      </c>
      <c r="C11010" s="5" t="s">
        <v>614</v>
      </c>
      <c r="D11010" s="3" t="s">
        <v>206</v>
      </c>
      <c r="E11010" s="3" t="s">
        <v>100</v>
      </c>
      <c r="F11010" s="7">
        <v>45960.88503614291</v>
      </c>
      <c r="G11010" s="3" t="s">
        <v>19664</v>
      </c>
    </row>
    <row r="11011">
      <c r="A11011" s="3" t="s">
        <v>26486</v>
      </c>
      <c r="B11011" s="3" t="s">
        <v>9733</v>
      </c>
      <c r="C11011" s="5" t="s">
        <v>206</v>
      </c>
      <c r="D11011" s="3" t="s">
        <v>68</v>
      </c>
      <c r="E11011" s="3" t="s">
        <v>100</v>
      </c>
      <c r="F11011" s="7">
        <v>45960.888508365126</v>
      </c>
      <c r="G11011" s="3" t="s">
        <v>19667</v>
      </c>
    </row>
    <row r="11012">
      <c r="A11012" s="3" t="s">
        <v>26487</v>
      </c>
      <c r="B11012" s="3" t="s">
        <v>9736</v>
      </c>
      <c r="C11012" s="5" t="s">
        <v>45</v>
      </c>
      <c r="D11012" s="3" t="s">
        <v>221</v>
      </c>
      <c r="E11012" s="3" t="s">
        <v>557</v>
      </c>
      <c r="F11012" s="7">
        <v>45960.949266543874</v>
      </c>
      <c r="G11012" s="3" t="s">
        <v>11588</v>
      </c>
    </row>
    <row r="11013">
      <c r="A11013" s="3" t="s">
        <v>26488</v>
      </c>
      <c r="B11013" s="3" t="s">
        <v>9736</v>
      </c>
      <c r="C11013" s="5" t="s">
        <v>221</v>
      </c>
      <c r="D11013" s="3" t="s">
        <v>614</v>
      </c>
      <c r="E11013" s="3" t="s">
        <v>118</v>
      </c>
      <c r="F11013" s="7">
        <v>45960.95273876609</v>
      </c>
      <c r="G11013" s="3" t="s">
        <v>11591</v>
      </c>
    </row>
    <row r="11014">
      <c r="A11014" s="3" t="s">
        <v>26489</v>
      </c>
      <c r="B11014" s="3" t="s">
        <v>9736</v>
      </c>
      <c r="C11014" s="5" t="s">
        <v>614</v>
      </c>
      <c r="D11014" s="3" t="s">
        <v>206</v>
      </c>
      <c r="E11014" s="3" t="s">
        <v>100</v>
      </c>
      <c r="F11014" s="7">
        <v>45960.95621098832</v>
      </c>
      <c r="G11014" s="3" t="s">
        <v>11594</v>
      </c>
    </row>
    <row r="11015">
      <c r="A11015" s="3" t="s">
        <v>26490</v>
      </c>
      <c r="B11015" s="3" t="s">
        <v>9736</v>
      </c>
      <c r="C11015" s="5" t="s">
        <v>206</v>
      </c>
      <c r="D11015" s="3" t="s">
        <v>68</v>
      </c>
      <c r="E11015" s="3" t="s">
        <v>100</v>
      </c>
      <c r="F11015" s="7">
        <v>45960.95968321054</v>
      </c>
      <c r="G11015" s="3" t="s">
        <v>11597</v>
      </c>
    </row>
    <row r="11016">
      <c r="A11016" s="3" t="s">
        <v>26491</v>
      </c>
      <c r="B11016" s="3" t="s">
        <v>9739</v>
      </c>
      <c r="C11016" s="5" t="s">
        <v>45</v>
      </c>
      <c r="D11016" s="3" t="s">
        <v>221</v>
      </c>
      <c r="E11016" s="3" t="s">
        <v>330</v>
      </c>
      <c r="F11016" s="7">
        <v>45961.020441389286</v>
      </c>
      <c r="G11016" s="3" t="s">
        <v>17970</v>
      </c>
    </row>
    <row r="11017">
      <c r="A11017" s="3" t="s">
        <v>26492</v>
      </c>
      <c r="B11017" s="3" t="s">
        <v>9739</v>
      </c>
      <c r="C11017" s="5" t="s">
        <v>221</v>
      </c>
      <c r="D11017" s="3" t="s">
        <v>614</v>
      </c>
      <c r="E11017" s="3" t="s">
        <v>118</v>
      </c>
      <c r="F11017" s="7">
        <v>45961.023913611505</v>
      </c>
      <c r="G11017" s="3" t="s">
        <v>19775</v>
      </c>
    </row>
    <row r="11018">
      <c r="A11018" s="3" t="s">
        <v>26493</v>
      </c>
      <c r="B11018" s="3" t="s">
        <v>9739</v>
      </c>
      <c r="C11018" s="5" t="s">
        <v>614</v>
      </c>
      <c r="D11018" s="3" t="s">
        <v>206</v>
      </c>
      <c r="E11018" s="3" t="s">
        <v>100</v>
      </c>
      <c r="F11018" s="7">
        <v>45961.02738583373</v>
      </c>
      <c r="G11018" s="3" t="s">
        <v>19778</v>
      </c>
    </row>
    <row r="11019">
      <c r="A11019" s="3" t="s">
        <v>26494</v>
      </c>
      <c r="B11019" s="3" t="s">
        <v>9739</v>
      </c>
      <c r="C11019" s="5" t="s">
        <v>206</v>
      </c>
      <c r="D11019" s="3" t="s">
        <v>68</v>
      </c>
      <c r="E11019" s="3" t="s">
        <v>100</v>
      </c>
      <c r="F11019" s="7">
        <v>45961.03085805595</v>
      </c>
      <c r="G11019" s="3" t="s">
        <v>19781</v>
      </c>
    </row>
    <row r="11020">
      <c r="A11020" s="3" t="s">
        <v>26495</v>
      </c>
      <c r="B11020" s="3" t="s">
        <v>9742</v>
      </c>
      <c r="C11020" s="5" t="s">
        <v>45</v>
      </c>
      <c r="D11020" s="3" t="s">
        <v>221</v>
      </c>
      <c r="E11020" s="3" t="s">
        <v>515</v>
      </c>
      <c r="F11020" s="7">
        <v>45961.091616234706</v>
      </c>
      <c r="G11020" s="3" t="s">
        <v>7615</v>
      </c>
    </row>
    <row r="11021">
      <c r="A11021" s="3" t="s">
        <v>26496</v>
      </c>
      <c r="B11021" s="3" t="s">
        <v>9742</v>
      </c>
      <c r="C11021" s="5" t="s">
        <v>221</v>
      </c>
      <c r="D11021" s="3" t="s">
        <v>195</v>
      </c>
      <c r="E11021" s="3" t="s">
        <v>515</v>
      </c>
      <c r="F11021" s="7">
        <v>45961.095088456925</v>
      </c>
      <c r="G11021" s="3" t="s">
        <v>26497</v>
      </c>
    </row>
    <row r="11022">
      <c r="A11022" s="3" t="s">
        <v>26498</v>
      </c>
      <c r="B11022" s="3" t="s">
        <v>9743</v>
      </c>
      <c r="C11022" s="5" t="s">
        <v>45</v>
      </c>
      <c r="D11022" s="3" t="s">
        <v>221</v>
      </c>
      <c r="E11022" s="3" t="s">
        <v>609</v>
      </c>
      <c r="F11022" s="7">
        <v>45961.16279108012</v>
      </c>
      <c r="G11022" s="3" t="s">
        <v>4164</v>
      </c>
    </row>
    <row r="11023">
      <c r="A11023" s="3" t="s">
        <v>26499</v>
      </c>
      <c r="B11023" s="3" t="s">
        <v>9743</v>
      </c>
      <c r="C11023" s="5" t="s">
        <v>221</v>
      </c>
      <c r="D11023" s="3" t="s">
        <v>614</v>
      </c>
      <c r="E11023" s="3" t="s">
        <v>118</v>
      </c>
      <c r="F11023" s="7">
        <v>45961.16626330234</v>
      </c>
      <c r="G11023" s="3" t="s">
        <v>4167</v>
      </c>
    </row>
    <row r="11024">
      <c r="A11024" s="3" t="s">
        <v>26500</v>
      </c>
      <c r="B11024" s="3" t="s">
        <v>9743</v>
      </c>
      <c r="C11024" s="5" t="s">
        <v>614</v>
      </c>
      <c r="D11024" s="3" t="s">
        <v>206</v>
      </c>
      <c r="E11024" s="3" t="s">
        <v>100</v>
      </c>
      <c r="F11024" s="7">
        <v>45961.16973552456</v>
      </c>
      <c r="G11024" s="3" t="s">
        <v>4169</v>
      </c>
    </row>
    <row r="11025">
      <c r="A11025" s="3" t="s">
        <v>26501</v>
      </c>
      <c r="B11025" s="3" t="s">
        <v>9743</v>
      </c>
      <c r="C11025" s="5" t="s">
        <v>206</v>
      </c>
      <c r="D11025" s="3" t="s">
        <v>68</v>
      </c>
      <c r="E11025" s="3" t="s">
        <v>100</v>
      </c>
      <c r="F11025" s="7">
        <v>45961.17320774678</v>
      </c>
      <c r="G11025" s="3" t="s">
        <v>4172</v>
      </c>
    </row>
    <row r="11026">
      <c r="A11026" s="3" t="s">
        <v>26502</v>
      </c>
      <c r="B11026" s="3" t="s">
        <v>9746</v>
      </c>
      <c r="C11026" s="5" t="s">
        <v>45</v>
      </c>
      <c r="D11026" s="3" t="s">
        <v>221</v>
      </c>
      <c r="E11026" s="3" t="s">
        <v>746</v>
      </c>
      <c r="F11026" s="7">
        <v>45961.23396592553</v>
      </c>
      <c r="G11026" s="3" t="s">
        <v>17773</v>
      </c>
    </row>
    <row r="11027">
      <c r="A11027" s="3" t="s">
        <v>26503</v>
      </c>
      <c r="B11027" s="3" t="s">
        <v>9746</v>
      </c>
      <c r="C11027" s="5" t="s">
        <v>221</v>
      </c>
      <c r="D11027" s="3" t="s">
        <v>614</v>
      </c>
      <c r="E11027" s="3" t="s">
        <v>118</v>
      </c>
      <c r="F11027" s="7">
        <v>45961.23743814775</v>
      </c>
      <c r="G11027" s="3" t="s">
        <v>17776</v>
      </c>
    </row>
    <row r="11028">
      <c r="A11028" s="3" t="s">
        <v>26504</v>
      </c>
      <c r="B11028" s="3" t="s">
        <v>9746</v>
      </c>
      <c r="C11028" s="5" t="s">
        <v>614</v>
      </c>
      <c r="D11028" s="3" t="s">
        <v>206</v>
      </c>
      <c r="E11028" s="3" t="s">
        <v>100</v>
      </c>
      <c r="F11028" s="7">
        <v>45961.240910369976</v>
      </c>
      <c r="G11028" s="3" t="s">
        <v>17779</v>
      </c>
    </row>
    <row r="11029">
      <c r="A11029" s="3" t="s">
        <v>26505</v>
      </c>
      <c r="B11029" s="3" t="s">
        <v>9746</v>
      </c>
      <c r="C11029" s="5" t="s">
        <v>206</v>
      </c>
      <c r="D11029" s="3" t="s">
        <v>68</v>
      </c>
      <c r="E11029" s="3" t="s">
        <v>100</v>
      </c>
      <c r="F11029" s="7">
        <v>45961.244382592195</v>
      </c>
      <c r="G11029" s="3" t="s">
        <v>17782</v>
      </c>
    </row>
    <row r="11030">
      <c r="A11030" s="3" t="s">
        <v>26506</v>
      </c>
      <c r="B11030" s="3" t="s">
        <v>9749</v>
      </c>
      <c r="C11030" s="5" t="s">
        <v>45</v>
      </c>
      <c r="D11030" s="3" t="s">
        <v>221</v>
      </c>
      <c r="E11030" s="3" t="s">
        <v>336</v>
      </c>
      <c r="F11030" s="7">
        <v>45961.30514077095</v>
      </c>
      <c r="G11030" s="3" t="s">
        <v>26096</v>
      </c>
    </row>
    <row r="11031">
      <c r="A11031" s="3" t="s">
        <v>26507</v>
      </c>
      <c r="B11031" s="3" t="s">
        <v>9749</v>
      </c>
      <c r="C11031" s="5" t="s">
        <v>221</v>
      </c>
      <c r="D11031" s="3" t="s">
        <v>614</v>
      </c>
      <c r="E11031" s="3" t="s">
        <v>118</v>
      </c>
      <c r="F11031" s="7">
        <v>45961.30861299317</v>
      </c>
      <c r="G11031" s="3" t="s">
        <v>26098</v>
      </c>
    </row>
    <row r="11032">
      <c r="A11032" s="3" t="s">
        <v>26508</v>
      </c>
      <c r="B11032" s="3" t="s">
        <v>9749</v>
      </c>
      <c r="C11032" s="5" t="s">
        <v>614</v>
      </c>
      <c r="D11032" s="3" t="s">
        <v>206</v>
      </c>
      <c r="E11032" s="3" t="s">
        <v>100</v>
      </c>
      <c r="F11032" s="7">
        <v>45961.312085215395</v>
      </c>
      <c r="G11032" s="3" t="s">
        <v>26100</v>
      </c>
    </row>
    <row r="11033">
      <c r="A11033" s="3" t="s">
        <v>26509</v>
      </c>
      <c r="B11033" s="3" t="s">
        <v>9749</v>
      </c>
      <c r="C11033" s="5" t="s">
        <v>206</v>
      </c>
      <c r="D11033" s="3" t="s">
        <v>68</v>
      </c>
      <c r="E11033" s="3" t="s">
        <v>100</v>
      </c>
      <c r="F11033" s="7">
        <v>45961.315557437614</v>
      </c>
      <c r="G11033" s="3" t="s">
        <v>26102</v>
      </c>
    </row>
    <row r="11034">
      <c r="A11034" s="3" t="s">
        <v>26510</v>
      </c>
      <c r="B11034" s="3" t="s">
        <v>9752</v>
      </c>
      <c r="C11034" s="5" t="s">
        <v>45</v>
      </c>
      <c r="D11034" s="3" t="s">
        <v>221</v>
      </c>
      <c r="E11034" s="3" t="s">
        <v>1026</v>
      </c>
      <c r="F11034" s="7">
        <v>45961.37631561637</v>
      </c>
      <c r="G11034" s="3" t="s">
        <v>11607</v>
      </c>
    </row>
    <row r="11035">
      <c r="A11035" s="3" t="s">
        <v>26511</v>
      </c>
      <c r="B11035" s="3" t="s">
        <v>9752</v>
      </c>
      <c r="C11035" s="5" t="s">
        <v>221</v>
      </c>
      <c r="D11035" s="3" t="s">
        <v>614</v>
      </c>
      <c r="E11035" s="3" t="s">
        <v>118</v>
      </c>
      <c r="F11035" s="7">
        <v>45961.37978783859</v>
      </c>
      <c r="G11035" s="3" t="s">
        <v>11610</v>
      </c>
    </row>
    <row r="11036">
      <c r="A11036" s="3" t="s">
        <v>26512</v>
      </c>
      <c r="B11036" s="3" t="s">
        <v>9752</v>
      </c>
      <c r="C11036" s="5" t="s">
        <v>614</v>
      </c>
      <c r="D11036" s="3" t="s">
        <v>206</v>
      </c>
      <c r="E11036" s="3" t="s">
        <v>100</v>
      </c>
      <c r="F11036" s="7">
        <v>45961.383260060815</v>
      </c>
      <c r="G11036" s="3" t="s">
        <v>11613</v>
      </c>
    </row>
    <row r="11037">
      <c r="A11037" s="3" t="s">
        <v>26513</v>
      </c>
      <c r="B11037" s="3" t="s">
        <v>9752</v>
      </c>
      <c r="C11037" s="5" t="s">
        <v>206</v>
      </c>
      <c r="D11037" s="3" t="s">
        <v>68</v>
      </c>
      <c r="E11037" s="3" t="s">
        <v>100</v>
      </c>
      <c r="F11037" s="7">
        <v>45961.386732283034</v>
      </c>
      <c r="G11037" s="3" t="s">
        <v>11615</v>
      </c>
    </row>
    <row r="11038">
      <c r="A11038" s="3" t="s">
        <v>26514</v>
      </c>
      <c r="B11038" s="3" t="s">
        <v>9754</v>
      </c>
      <c r="C11038" s="5" t="s">
        <v>45</v>
      </c>
      <c r="D11038" s="3" t="s">
        <v>221</v>
      </c>
      <c r="E11038" s="3" t="s">
        <v>373</v>
      </c>
      <c r="F11038" s="7">
        <v>45961.447490461775</v>
      </c>
      <c r="G11038" s="3" t="s">
        <v>10250</v>
      </c>
    </row>
    <row r="11039">
      <c r="A11039" s="3" t="s">
        <v>26515</v>
      </c>
      <c r="B11039" s="3" t="s">
        <v>9754</v>
      </c>
      <c r="C11039" s="5" t="s">
        <v>221</v>
      </c>
      <c r="D11039" s="3" t="s">
        <v>614</v>
      </c>
      <c r="E11039" s="3" t="s">
        <v>118</v>
      </c>
      <c r="F11039" s="7">
        <v>45961.45096268399</v>
      </c>
      <c r="G11039" s="3" t="s">
        <v>10254</v>
      </c>
    </row>
    <row r="11040">
      <c r="A11040" s="3" t="s">
        <v>26516</v>
      </c>
      <c r="B11040" s="3" t="s">
        <v>9754</v>
      </c>
      <c r="C11040" s="5" t="s">
        <v>614</v>
      </c>
      <c r="D11040" s="3" t="s">
        <v>206</v>
      </c>
      <c r="E11040" s="3" t="s">
        <v>100</v>
      </c>
      <c r="F11040" s="7">
        <v>45961.45443490622</v>
      </c>
      <c r="G11040" s="3" t="s">
        <v>10257</v>
      </c>
    </row>
    <row r="11041">
      <c r="A11041" s="3" t="s">
        <v>26517</v>
      </c>
      <c r="B11041" s="3" t="s">
        <v>9754</v>
      </c>
      <c r="C11041" s="5" t="s">
        <v>206</v>
      </c>
      <c r="D11041" s="3" t="s">
        <v>68</v>
      </c>
      <c r="E11041" s="3" t="s">
        <v>100</v>
      </c>
      <c r="F11041" s="7">
        <v>45961.45790712844</v>
      </c>
      <c r="G11041" s="3" t="s">
        <v>10260</v>
      </c>
    </row>
    <row r="11042">
      <c r="A11042" s="3" t="s">
        <v>26518</v>
      </c>
      <c r="B11042" s="3" t="s">
        <v>9756</v>
      </c>
      <c r="C11042" s="5" t="s">
        <v>45</v>
      </c>
      <c r="D11042" s="3" t="s">
        <v>221</v>
      </c>
      <c r="E11042" s="3" t="s">
        <v>652</v>
      </c>
      <c r="F11042" s="7">
        <v>45961.518665307194</v>
      </c>
      <c r="G11042" s="3" t="s">
        <v>13864</v>
      </c>
    </row>
    <row r="11043">
      <c r="A11043" s="3" t="s">
        <v>26519</v>
      </c>
      <c r="B11043" s="3" t="s">
        <v>9756</v>
      </c>
      <c r="C11043" s="5" t="s">
        <v>221</v>
      </c>
      <c r="D11043" s="3" t="s">
        <v>614</v>
      </c>
      <c r="E11043" s="3" t="s">
        <v>118</v>
      </c>
      <c r="F11043" s="7">
        <v>45961.52213752941</v>
      </c>
      <c r="G11043" s="3" t="s">
        <v>23985</v>
      </c>
    </row>
    <row r="11044">
      <c r="A11044" s="3" t="s">
        <v>26520</v>
      </c>
      <c r="B11044" s="3" t="s">
        <v>9756</v>
      </c>
      <c r="C11044" s="5" t="s">
        <v>614</v>
      </c>
      <c r="D11044" s="3" t="s">
        <v>206</v>
      </c>
      <c r="E11044" s="3" t="s">
        <v>100</v>
      </c>
      <c r="F11044" s="7">
        <v>45961.52560975164</v>
      </c>
      <c r="G11044" s="3" t="s">
        <v>23987</v>
      </c>
    </row>
    <row r="11045">
      <c r="A11045" s="3" t="s">
        <v>26521</v>
      </c>
      <c r="B11045" s="3" t="s">
        <v>9756</v>
      </c>
      <c r="C11045" s="5" t="s">
        <v>206</v>
      </c>
      <c r="D11045" s="3" t="s">
        <v>68</v>
      </c>
      <c r="E11045" s="3" t="s">
        <v>100</v>
      </c>
      <c r="F11045" s="7">
        <v>45961.52908197386</v>
      </c>
      <c r="G11045" s="3" t="s">
        <v>23989</v>
      </c>
    </row>
    <row r="11046">
      <c r="A11046" s="3" t="s">
        <v>26522</v>
      </c>
      <c r="B11046" s="3" t="s">
        <v>9759</v>
      </c>
      <c r="C11046" s="5" t="s">
        <v>45</v>
      </c>
      <c r="D11046" s="3" t="s">
        <v>221</v>
      </c>
      <c r="E11046" s="3" t="s">
        <v>1008</v>
      </c>
      <c r="F11046" s="7">
        <v>45961.58984015261</v>
      </c>
      <c r="G11046" s="3" t="s">
        <v>18591</v>
      </c>
    </row>
    <row r="11047">
      <c r="A11047" s="3" t="s">
        <v>26523</v>
      </c>
      <c r="B11047" s="3" t="s">
        <v>9759</v>
      </c>
      <c r="C11047" s="5" t="s">
        <v>221</v>
      </c>
      <c r="D11047" s="3" t="s">
        <v>181</v>
      </c>
      <c r="E11047" s="3" t="s">
        <v>118</v>
      </c>
      <c r="F11047" s="7">
        <v>45961.593312374825</v>
      </c>
      <c r="G11047" s="3" t="s">
        <v>20727</v>
      </c>
    </row>
    <row r="11048">
      <c r="A11048" s="3" t="s">
        <v>26524</v>
      </c>
      <c r="B11048" s="3" t="s">
        <v>9762</v>
      </c>
      <c r="C11048" s="5" t="s">
        <v>45</v>
      </c>
      <c r="D11048" s="3" t="s">
        <v>221</v>
      </c>
      <c r="E11048" s="3" t="s">
        <v>953</v>
      </c>
      <c r="F11048" s="7">
        <v>45961.661014998026</v>
      </c>
      <c r="G11048" s="3" t="s">
        <v>26120</v>
      </c>
    </row>
    <row r="11049">
      <c r="A11049" s="3" t="s">
        <v>26525</v>
      </c>
      <c r="B11049" s="3" t="s">
        <v>9762</v>
      </c>
      <c r="C11049" s="5" t="s">
        <v>221</v>
      </c>
      <c r="D11049" s="3" t="s">
        <v>614</v>
      </c>
      <c r="E11049" s="3" t="s">
        <v>118</v>
      </c>
      <c r="F11049" s="7">
        <v>45961.664487220245</v>
      </c>
      <c r="G11049" s="3" t="s">
        <v>26122</v>
      </c>
    </row>
    <row r="11050">
      <c r="A11050" s="3" t="s">
        <v>26526</v>
      </c>
      <c r="B11050" s="3" t="s">
        <v>9762</v>
      </c>
      <c r="C11050" s="5" t="s">
        <v>614</v>
      </c>
      <c r="D11050" s="3" t="s">
        <v>206</v>
      </c>
      <c r="E11050" s="3" t="s">
        <v>100</v>
      </c>
      <c r="F11050" s="7">
        <v>45961.66795944247</v>
      </c>
      <c r="G11050" s="3" t="s">
        <v>26124</v>
      </c>
    </row>
    <row r="11051">
      <c r="A11051" s="3" t="s">
        <v>26527</v>
      </c>
      <c r="B11051" s="3" t="s">
        <v>9762</v>
      </c>
      <c r="C11051" s="5" t="s">
        <v>206</v>
      </c>
      <c r="D11051" s="3" t="s">
        <v>68</v>
      </c>
      <c r="E11051" s="3" t="s">
        <v>100</v>
      </c>
      <c r="F11051" s="7">
        <v>45961.67143166469</v>
      </c>
      <c r="G11051" s="3" t="s">
        <v>26126</v>
      </c>
    </row>
    <row r="11052">
      <c r="A11052" s="3" t="s">
        <v>26528</v>
      </c>
      <c r="B11052" s="3" t="s">
        <v>9764</v>
      </c>
      <c r="C11052" s="5" t="s">
        <v>45</v>
      </c>
      <c r="D11052" s="3" t="s">
        <v>221</v>
      </c>
      <c r="E11052" s="3" t="s">
        <v>453</v>
      </c>
      <c r="F11052" s="7">
        <v>45961.73218984344</v>
      </c>
      <c r="G11052" s="3" t="s">
        <v>8676</v>
      </c>
    </row>
    <row r="11053">
      <c r="A11053" s="3" t="s">
        <v>26529</v>
      </c>
      <c r="B11053" s="3" t="s">
        <v>9764</v>
      </c>
      <c r="C11053" s="5" t="s">
        <v>221</v>
      </c>
      <c r="D11053" s="3" t="s">
        <v>614</v>
      </c>
      <c r="E11053" s="3" t="s">
        <v>118</v>
      </c>
      <c r="F11053" s="7">
        <v>45961.73566206566</v>
      </c>
      <c r="G11053" s="3" t="s">
        <v>8679</v>
      </c>
    </row>
    <row r="11054">
      <c r="A11054" s="3" t="s">
        <v>26530</v>
      </c>
      <c r="B11054" s="3" t="s">
        <v>9764</v>
      </c>
      <c r="C11054" s="5" t="s">
        <v>614</v>
      </c>
      <c r="D11054" s="3" t="s">
        <v>206</v>
      </c>
      <c r="E11054" s="3" t="s">
        <v>100</v>
      </c>
      <c r="F11054" s="7">
        <v>45961.739134287884</v>
      </c>
      <c r="G11054" s="3" t="s">
        <v>8682</v>
      </c>
    </row>
    <row r="11055">
      <c r="A11055" s="3" t="s">
        <v>26531</v>
      </c>
      <c r="B11055" s="3" t="s">
        <v>9764</v>
      </c>
      <c r="C11055" s="5" t="s">
        <v>206</v>
      </c>
      <c r="D11055" s="3" t="s">
        <v>68</v>
      </c>
      <c r="E11055" s="3" t="s">
        <v>100</v>
      </c>
      <c r="F11055" s="7">
        <v>45961.7426065101</v>
      </c>
      <c r="G11055" s="3" t="s">
        <v>8685</v>
      </c>
    </row>
    <row r="11056">
      <c r="A11056" s="3" t="s">
        <v>26532</v>
      </c>
      <c r="B11056" s="3" t="s">
        <v>9766</v>
      </c>
      <c r="C11056" s="5" t="s">
        <v>45</v>
      </c>
      <c r="D11056" s="3" t="s">
        <v>221</v>
      </c>
      <c r="E11056" s="3" t="s">
        <v>524</v>
      </c>
      <c r="F11056" s="7">
        <v>45961.80336468886</v>
      </c>
      <c r="G11056" s="3" t="s">
        <v>11653</v>
      </c>
    </row>
    <row r="11057">
      <c r="A11057" s="3" t="s">
        <v>26533</v>
      </c>
      <c r="B11057" s="3" t="s">
        <v>9766</v>
      </c>
      <c r="C11057" s="5" t="s">
        <v>221</v>
      </c>
      <c r="D11057" s="3" t="s">
        <v>614</v>
      </c>
      <c r="E11057" s="3" t="s">
        <v>118</v>
      </c>
      <c r="F11057" s="7">
        <v>45961.80683691108</v>
      </c>
      <c r="G11057" s="3" t="s">
        <v>11656</v>
      </c>
    </row>
    <row r="11058">
      <c r="A11058" s="3" t="s">
        <v>26534</v>
      </c>
      <c r="B11058" s="3" t="s">
        <v>9766</v>
      </c>
      <c r="C11058" s="5" t="s">
        <v>614</v>
      </c>
      <c r="D11058" s="3" t="s">
        <v>206</v>
      </c>
      <c r="E11058" s="3" t="s">
        <v>100</v>
      </c>
      <c r="F11058" s="7">
        <v>45961.8103091333</v>
      </c>
      <c r="G11058" s="3" t="s">
        <v>11659</v>
      </c>
    </row>
    <row r="11059">
      <c r="A11059" s="3" t="s">
        <v>26535</v>
      </c>
      <c r="B11059" s="3" t="s">
        <v>9766</v>
      </c>
      <c r="C11059" s="5" t="s">
        <v>206</v>
      </c>
      <c r="D11059" s="3" t="s">
        <v>68</v>
      </c>
      <c r="E11059" s="3" t="s">
        <v>100</v>
      </c>
      <c r="F11059" s="7">
        <v>45961.81378135552</v>
      </c>
      <c r="G11059" s="3" t="s">
        <v>11661</v>
      </c>
    </row>
    <row r="11060">
      <c r="A11060" s="3" t="s">
        <v>26536</v>
      </c>
      <c r="B11060" s="3" t="s">
        <v>9769</v>
      </c>
      <c r="C11060" s="5" t="s">
        <v>45</v>
      </c>
      <c r="D11060" s="3" t="s">
        <v>221</v>
      </c>
      <c r="E11060" s="3" t="s">
        <v>591</v>
      </c>
      <c r="F11060" s="7">
        <v>45961.87453953426</v>
      </c>
      <c r="G11060" s="3" t="s">
        <v>11676</v>
      </c>
    </row>
    <row r="11061">
      <c r="A11061" s="3" t="s">
        <v>26537</v>
      </c>
      <c r="B11061" s="3" t="s">
        <v>9769</v>
      </c>
      <c r="C11061" s="5" t="s">
        <v>221</v>
      </c>
      <c r="D11061" s="3" t="s">
        <v>614</v>
      </c>
      <c r="E11061" s="3" t="s">
        <v>118</v>
      </c>
      <c r="F11061" s="7">
        <v>45961.87801175648</v>
      </c>
      <c r="G11061" s="3" t="s">
        <v>11678</v>
      </c>
    </row>
    <row r="11062">
      <c r="A11062" s="3" t="s">
        <v>26538</v>
      </c>
      <c r="B11062" s="3" t="s">
        <v>9769</v>
      </c>
      <c r="C11062" s="5" t="s">
        <v>614</v>
      </c>
      <c r="D11062" s="3" t="s">
        <v>206</v>
      </c>
      <c r="E11062" s="3" t="s">
        <v>100</v>
      </c>
      <c r="F11062" s="7">
        <v>45961.88148397871</v>
      </c>
      <c r="G11062" s="3" t="s">
        <v>11681</v>
      </c>
    </row>
    <row r="11063">
      <c r="A11063" s="3" t="s">
        <v>26539</v>
      </c>
      <c r="B11063" s="3" t="s">
        <v>9769</v>
      </c>
      <c r="C11063" s="5" t="s">
        <v>206</v>
      </c>
      <c r="D11063" s="3" t="s">
        <v>68</v>
      </c>
      <c r="E11063" s="3" t="s">
        <v>100</v>
      </c>
      <c r="F11063" s="7">
        <v>45961.88495620093</v>
      </c>
      <c r="G11063" s="3" t="s">
        <v>11684</v>
      </c>
    </row>
    <row r="11064">
      <c r="A11064" s="3" t="s">
        <v>26540</v>
      </c>
      <c r="B11064" s="3" t="s">
        <v>9772</v>
      </c>
      <c r="C11064" s="5" t="s">
        <v>45</v>
      </c>
      <c r="D11064" s="3" t="s">
        <v>221</v>
      </c>
      <c r="E11064" s="3" t="s">
        <v>655</v>
      </c>
      <c r="F11064" s="7">
        <v>45961.94571437968</v>
      </c>
      <c r="G11064" s="3" t="s">
        <v>11734</v>
      </c>
    </row>
    <row r="11065">
      <c r="A11065" s="3" t="s">
        <v>26541</v>
      </c>
      <c r="B11065" s="3" t="s">
        <v>9772</v>
      </c>
      <c r="C11065" s="5" t="s">
        <v>221</v>
      </c>
      <c r="D11065" s="3" t="s">
        <v>614</v>
      </c>
      <c r="E11065" s="3" t="s">
        <v>118</v>
      </c>
      <c r="F11065" s="7">
        <v>45961.9491866019</v>
      </c>
      <c r="G11065" s="3" t="s">
        <v>11737</v>
      </c>
    </row>
    <row r="11066">
      <c r="A11066" s="3" t="s">
        <v>26542</v>
      </c>
      <c r="B11066" s="3" t="s">
        <v>9772</v>
      </c>
      <c r="C11066" s="5" t="s">
        <v>614</v>
      </c>
      <c r="D11066" s="3" t="s">
        <v>206</v>
      </c>
      <c r="E11066" s="3" t="s">
        <v>100</v>
      </c>
      <c r="F11066" s="7">
        <v>45961.95265882413</v>
      </c>
      <c r="G11066" s="3" t="s">
        <v>11740</v>
      </c>
    </row>
    <row r="11067">
      <c r="A11067" s="3" t="s">
        <v>26543</v>
      </c>
      <c r="B11067" s="3" t="s">
        <v>9772</v>
      </c>
      <c r="C11067" s="5" t="s">
        <v>206</v>
      </c>
      <c r="D11067" s="3" t="s">
        <v>68</v>
      </c>
      <c r="E11067" s="3" t="s">
        <v>100</v>
      </c>
      <c r="F11067" s="7">
        <v>45961.95613104635</v>
      </c>
      <c r="G11067" s="3" t="s">
        <v>11742</v>
      </c>
    </row>
    <row r="11068">
      <c r="A11068" s="3" t="s">
        <v>26544</v>
      </c>
      <c r="B11068" s="3" t="s">
        <v>9775</v>
      </c>
      <c r="C11068" s="5" t="s">
        <v>45</v>
      </c>
      <c r="D11068" s="3" t="s">
        <v>221</v>
      </c>
      <c r="E11068" s="3" t="s">
        <v>411</v>
      </c>
      <c r="F11068" s="7">
        <v>45962.0168892251</v>
      </c>
      <c r="G11068" s="3" t="s">
        <v>13951</v>
      </c>
    </row>
    <row r="11069">
      <c r="A11069" s="3" t="s">
        <v>26545</v>
      </c>
      <c r="B11069" s="3" t="s">
        <v>9775</v>
      </c>
      <c r="C11069" s="5" t="s">
        <v>221</v>
      </c>
      <c r="D11069" s="3" t="s">
        <v>195</v>
      </c>
      <c r="E11069" s="3" t="s">
        <v>411</v>
      </c>
      <c r="F11069" s="7">
        <v>45962.02036144732</v>
      </c>
      <c r="G11069" s="3" t="s">
        <v>26546</v>
      </c>
    </row>
    <row r="11070">
      <c r="A11070" s="3" t="s">
        <v>26547</v>
      </c>
      <c r="B11070" s="3" t="s">
        <v>9778</v>
      </c>
      <c r="C11070" s="5" t="s">
        <v>45</v>
      </c>
      <c r="D11070" s="3" t="s">
        <v>221</v>
      </c>
      <c r="E11070" s="3" t="s">
        <v>436</v>
      </c>
      <c r="F11070" s="7">
        <v>45962.088064070515</v>
      </c>
      <c r="G11070" s="3" t="s">
        <v>7732</v>
      </c>
    </row>
    <row r="11071">
      <c r="A11071" s="3" t="s">
        <v>26548</v>
      </c>
      <c r="B11071" s="3" t="s">
        <v>9778</v>
      </c>
      <c r="C11071" s="5" t="s">
        <v>221</v>
      </c>
      <c r="D11071" s="3" t="s">
        <v>614</v>
      </c>
      <c r="E11071" s="3" t="s">
        <v>118</v>
      </c>
      <c r="F11071" s="7">
        <v>45962.09153629273</v>
      </c>
      <c r="G11071" s="3" t="s">
        <v>7735</v>
      </c>
    </row>
    <row r="11072">
      <c r="A11072" s="3" t="s">
        <v>26549</v>
      </c>
      <c r="B11072" s="3" t="s">
        <v>9778</v>
      </c>
      <c r="C11072" s="5" t="s">
        <v>614</v>
      </c>
      <c r="D11072" s="3" t="s">
        <v>206</v>
      </c>
      <c r="E11072" s="3" t="s">
        <v>100</v>
      </c>
      <c r="F11072" s="7">
        <v>45962.09500851496</v>
      </c>
      <c r="G11072" s="3" t="s">
        <v>7738</v>
      </c>
    </row>
    <row r="11073">
      <c r="A11073" s="3" t="s">
        <v>26550</v>
      </c>
      <c r="B11073" s="3" t="s">
        <v>9778</v>
      </c>
      <c r="C11073" s="5" t="s">
        <v>206</v>
      </c>
      <c r="D11073" s="3" t="s">
        <v>68</v>
      </c>
      <c r="E11073" s="3" t="s">
        <v>100</v>
      </c>
      <c r="F11073" s="7">
        <v>45962.09848073718</v>
      </c>
      <c r="G11073" s="3" t="s">
        <v>7741</v>
      </c>
    </row>
    <row r="11074">
      <c r="A11074" s="3" t="s">
        <v>26551</v>
      </c>
      <c r="B11074" s="3" t="s">
        <v>9780</v>
      </c>
      <c r="C11074" s="5" t="s">
        <v>45</v>
      </c>
      <c r="D11074" s="3" t="s">
        <v>221</v>
      </c>
      <c r="E11074" s="3" t="s">
        <v>404</v>
      </c>
      <c r="F11074" s="7">
        <v>45962.15923891593</v>
      </c>
      <c r="G11074" s="3" t="s">
        <v>23421</v>
      </c>
    </row>
    <row r="11075">
      <c r="A11075" s="3" t="s">
        <v>26552</v>
      </c>
      <c r="B11075" s="3" t="s">
        <v>9780</v>
      </c>
      <c r="C11075" s="5" t="s">
        <v>221</v>
      </c>
      <c r="D11075" s="3" t="s">
        <v>614</v>
      </c>
      <c r="E11075" s="3" t="s">
        <v>118</v>
      </c>
      <c r="F11075" s="7">
        <v>45962.162711138146</v>
      </c>
      <c r="G11075" s="3" t="s">
        <v>24937</v>
      </c>
    </row>
    <row r="11076">
      <c r="A11076" s="3" t="s">
        <v>26553</v>
      </c>
      <c r="B11076" s="3" t="s">
        <v>9780</v>
      </c>
      <c r="C11076" s="5" t="s">
        <v>614</v>
      </c>
      <c r="D11076" s="3" t="s">
        <v>206</v>
      </c>
      <c r="E11076" s="3" t="s">
        <v>100</v>
      </c>
      <c r="F11076" s="7">
        <v>45962.16618336037</v>
      </c>
      <c r="G11076" s="3" t="s">
        <v>24939</v>
      </c>
    </row>
    <row r="11077">
      <c r="A11077" s="3" t="s">
        <v>26554</v>
      </c>
      <c r="B11077" s="3" t="s">
        <v>9780</v>
      </c>
      <c r="C11077" s="5" t="s">
        <v>206</v>
      </c>
      <c r="D11077" s="3" t="s">
        <v>68</v>
      </c>
      <c r="E11077" s="3" t="s">
        <v>100</v>
      </c>
      <c r="F11077" s="7">
        <v>45962.16965558259</v>
      </c>
      <c r="G11077" s="3" t="s">
        <v>24941</v>
      </c>
    </row>
    <row r="11078">
      <c r="A11078" s="3" t="s">
        <v>26555</v>
      </c>
      <c r="B11078" s="3" t="s">
        <v>9782</v>
      </c>
      <c r="C11078" s="5" t="s">
        <v>45</v>
      </c>
      <c r="D11078" s="3" t="s">
        <v>221</v>
      </c>
      <c r="E11078" s="3" t="s">
        <v>713</v>
      </c>
      <c r="F11078" s="7">
        <v>45962.23041376135</v>
      </c>
      <c r="G11078" s="3" t="s">
        <v>10738</v>
      </c>
    </row>
    <row r="11079">
      <c r="A11079" s="3" t="s">
        <v>26556</v>
      </c>
      <c r="B11079" s="3" t="s">
        <v>9782</v>
      </c>
      <c r="C11079" s="5" t="s">
        <v>221</v>
      </c>
      <c r="D11079" s="3" t="s">
        <v>614</v>
      </c>
      <c r="E11079" s="3" t="s">
        <v>118</v>
      </c>
      <c r="F11079" s="7">
        <v>45962.233885983565</v>
      </c>
      <c r="G11079" s="3" t="s">
        <v>26557</v>
      </c>
    </row>
    <row r="11080">
      <c r="A11080" s="3" t="s">
        <v>26558</v>
      </c>
      <c r="B11080" s="3" t="s">
        <v>9782</v>
      </c>
      <c r="C11080" s="5" t="s">
        <v>614</v>
      </c>
      <c r="D11080" s="3" t="s">
        <v>206</v>
      </c>
      <c r="E11080" s="3" t="s">
        <v>100</v>
      </c>
      <c r="F11080" s="7">
        <v>45962.23735820579</v>
      </c>
      <c r="G11080" s="3" t="s">
        <v>26559</v>
      </c>
    </row>
    <row r="11081">
      <c r="A11081" s="3" t="s">
        <v>26560</v>
      </c>
      <c r="B11081" s="3" t="s">
        <v>9782</v>
      </c>
      <c r="C11081" s="5" t="s">
        <v>206</v>
      </c>
      <c r="D11081" s="3" t="s">
        <v>68</v>
      </c>
      <c r="E11081" s="3" t="s">
        <v>100</v>
      </c>
      <c r="F11081" s="7">
        <v>45962.24083042801</v>
      </c>
      <c r="G11081" s="3" t="s">
        <v>26561</v>
      </c>
    </row>
    <row r="11082">
      <c r="A11082" s="3" t="s">
        <v>26562</v>
      </c>
      <c r="B11082" s="3" t="s">
        <v>9785</v>
      </c>
      <c r="C11082" s="5" t="s">
        <v>45</v>
      </c>
      <c r="D11082" s="3" t="s">
        <v>221</v>
      </c>
      <c r="E11082" s="3" t="s">
        <v>767</v>
      </c>
      <c r="F11082" s="7">
        <v>45962.30158860676</v>
      </c>
      <c r="G11082" s="3" t="s">
        <v>14243</v>
      </c>
    </row>
    <row r="11083">
      <c r="A11083" s="3" t="s">
        <v>26563</v>
      </c>
      <c r="B11083" s="3" t="s">
        <v>9785</v>
      </c>
      <c r="C11083" s="5" t="s">
        <v>221</v>
      </c>
      <c r="D11083" s="3" t="s">
        <v>614</v>
      </c>
      <c r="E11083" s="3" t="s">
        <v>118</v>
      </c>
      <c r="F11083" s="7">
        <v>45962.30506082898</v>
      </c>
      <c r="G11083" s="3" t="s">
        <v>14246</v>
      </c>
    </row>
    <row r="11084">
      <c r="A11084" s="3" t="s">
        <v>26564</v>
      </c>
      <c r="B11084" s="3" t="s">
        <v>9785</v>
      </c>
      <c r="C11084" s="5" t="s">
        <v>614</v>
      </c>
      <c r="D11084" s="3" t="s">
        <v>206</v>
      </c>
      <c r="E11084" s="3" t="s">
        <v>100</v>
      </c>
      <c r="F11084" s="7">
        <v>45962.308533051204</v>
      </c>
      <c r="G11084" s="3" t="s">
        <v>14249</v>
      </c>
    </row>
    <row r="11085">
      <c r="A11085" s="3" t="s">
        <v>26565</v>
      </c>
      <c r="B11085" s="3" t="s">
        <v>9785</v>
      </c>
      <c r="C11085" s="5" t="s">
        <v>206</v>
      </c>
      <c r="D11085" s="3" t="s">
        <v>68</v>
      </c>
      <c r="E11085" s="3" t="s">
        <v>100</v>
      </c>
      <c r="F11085" s="7">
        <v>45962.31200527342</v>
      </c>
      <c r="G11085" s="3" t="s">
        <v>14252</v>
      </c>
    </row>
    <row r="11086">
      <c r="A11086" s="3" t="s">
        <v>26566</v>
      </c>
      <c r="B11086" s="3" t="s">
        <v>9787</v>
      </c>
      <c r="C11086" s="5" t="s">
        <v>45</v>
      </c>
      <c r="D11086" s="3" t="s">
        <v>221</v>
      </c>
      <c r="E11086" s="3" t="s">
        <v>516</v>
      </c>
      <c r="F11086" s="7">
        <v>45962.37276345217</v>
      </c>
      <c r="G11086" s="3" t="s">
        <v>11855</v>
      </c>
    </row>
    <row r="11087">
      <c r="A11087" s="3" t="s">
        <v>26567</v>
      </c>
      <c r="B11087" s="3" t="s">
        <v>9787</v>
      </c>
      <c r="C11087" s="5" t="s">
        <v>221</v>
      </c>
      <c r="D11087" s="3" t="s">
        <v>614</v>
      </c>
      <c r="E11087" s="3" t="s">
        <v>118</v>
      </c>
      <c r="F11087" s="7">
        <v>45962.37623567439</v>
      </c>
      <c r="G11087" s="3" t="s">
        <v>11858</v>
      </c>
    </row>
    <row r="11088">
      <c r="A11088" s="3" t="s">
        <v>26568</v>
      </c>
      <c r="B11088" s="3" t="s">
        <v>9787</v>
      </c>
      <c r="C11088" s="5" t="s">
        <v>614</v>
      </c>
      <c r="D11088" s="3" t="s">
        <v>206</v>
      </c>
      <c r="E11088" s="3" t="s">
        <v>100</v>
      </c>
      <c r="F11088" s="7">
        <v>45962.379707896616</v>
      </c>
      <c r="G11088" s="3" t="s">
        <v>11861</v>
      </c>
    </row>
    <row r="11089">
      <c r="A11089" s="3" t="s">
        <v>26569</v>
      </c>
      <c r="B11089" s="3" t="s">
        <v>9787</v>
      </c>
      <c r="C11089" s="5" t="s">
        <v>206</v>
      </c>
      <c r="D11089" s="3" t="s">
        <v>68</v>
      </c>
      <c r="E11089" s="3" t="s">
        <v>100</v>
      </c>
      <c r="F11089" s="7">
        <v>45962.383180118835</v>
      </c>
      <c r="G11089" s="3" t="s">
        <v>11865</v>
      </c>
    </row>
    <row r="11090">
      <c r="A11090" s="3" t="s">
        <v>26570</v>
      </c>
      <c r="B11090" s="3" t="s">
        <v>9789</v>
      </c>
      <c r="C11090" s="5" t="s">
        <v>45</v>
      </c>
      <c r="D11090" s="3" t="s">
        <v>221</v>
      </c>
      <c r="E11090" s="3" t="s">
        <v>524</v>
      </c>
      <c r="F11090" s="7">
        <v>45962.44393829759</v>
      </c>
      <c r="G11090" s="3" t="s">
        <v>15900</v>
      </c>
    </row>
    <row r="11091">
      <c r="A11091" s="3" t="s">
        <v>26571</v>
      </c>
      <c r="B11091" s="3" t="s">
        <v>9789</v>
      </c>
      <c r="C11091" s="5" t="s">
        <v>221</v>
      </c>
      <c r="D11091" s="3" t="s">
        <v>614</v>
      </c>
      <c r="E11091" s="3" t="s">
        <v>118</v>
      </c>
      <c r="F11091" s="7">
        <v>45962.44741051981</v>
      </c>
      <c r="G11091" s="3" t="s">
        <v>15902</v>
      </c>
    </row>
    <row r="11092">
      <c r="A11092" s="3" t="s">
        <v>26572</v>
      </c>
      <c r="B11092" s="3" t="s">
        <v>9789</v>
      </c>
      <c r="C11092" s="5" t="s">
        <v>614</v>
      </c>
      <c r="D11092" s="3" t="s">
        <v>206</v>
      </c>
      <c r="E11092" s="3" t="s">
        <v>100</v>
      </c>
      <c r="F11092" s="7">
        <v>45962.450882742036</v>
      </c>
      <c r="G11092" s="3" t="s">
        <v>15905</v>
      </c>
    </row>
    <row r="11093">
      <c r="A11093" s="3" t="s">
        <v>26573</v>
      </c>
      <c r="B11093" s="3" t="s">
        <v>9789</v>
      </c>
      <c r="C11093" s="5" t="s">
        <v>206</v>
      </c>
      <c r="D11093" s="3" t="s">
        <v>68</v>
      </c>
      <c r="E11093" s="3" t="s">
        <v>100</v>
      </c>
      <c r="F11093" s="7">
        <v>45962.454354964255</v>
      </c>
      <c r="G11093" s="3" t="s">
        <v>15908</v>
      </c>
    </row>
    <row r="11094">
      <c r="A11094" s="3" t="s">
        <v>26574</v>
      </c>
      <c r="B11094" s="3" t="s">
        <v>9792</v>
      </c>
      <c r="C11094" s="5" t="s">
        <v>45</v>
      </c>
      <c r="D11094" s="3" t="s">
        <v>221</v>
      </c>
      <c r="E11094" s="3" t="s">
        <v>455</v>
      </c>
      <c r="F11094" s="7">
        <v>45962.51511314301</v>
      </c>
      <c r="G11094" s="3" t="s">
        <v>13985</v>
      </c>
    </row>
    <row r="11095">
      <c r="A11095" s="3" t="s">
        <v>26575</v>
      </c>
      <c r="B11095" s="3" t="s">
        <v>9792</v>
      </c>
      <c r="C11095" s="5" t="s">
        <v>221</v>
      </c>
      <c r="D11095" s="3" t="s">
        <v>614</v>
      </c>
      <c r="E11095" s="3" t="s">
        <v>118</v>
      </c>
      <c r="F11095" s="7">
        <v>45962.51858536523</v>
      </c>
      <c r="G11095" s="3" t="s">
        <v>13987</v>
      </c>
    </row>
    <row r="11096">
      <c r="A11096" s="3" t="s">
        <v>26576</v>
      </c>
      <c r="B11096" s="3" t="s">
        <v>9792</v>
      </c>
      <c r="C11096" s="5" t="s">
        <v>614</v>
      </c>
      <c r="D11096" s="3" t="s">
        <v>206</v>
      </c>
      <c r="E11096" s="3" t="s">
        <v>100</v>
      </c>
      <c r="F11096" s="7">
        <v>45962.522057587455</v>
      </c>
      <c r="G11096" s="3" t="s">
        <v>13990</v>
      </c>
    </row>
    <row r="11097">
      <c r="A11097" s="3" t="s">
        <v>26577</v>
      </c>
      <c r="B11097" s="3" t="s">
        <v>9792</v>
      </c>
      <c r="C11097" s="5" t="s">
        <v>206</v>
      </c>
      <c r="D11097" s="3" t="s">
        <v>68</v>
      </c>
      <c r="E11097" s="3" t="s">
        <v>100</v>
      </c>
      <c r="F11097" s="7">
        <v>45962.525529809674</v>
      </c>
      <c r="G11097" s="3" t="s">
        <v>13993</v>
      </c>
    </row>
    <row r="11098">
      <c r="A11098" s="3" t="s">
        <v>26578</v>
      </c>
      <c r="B11098" s="3" t="s">
        <v>9795</v>
      </c>
      <c r="C11098" s="5" t="s">
        <v>45</v>
      </c>
      <c r="D11098" s="3" t="s">
        <v>221</v>
      </c>
      <c r="E11098" s="3" t="s">
        <v>906</v>
      </c>
      <c r="F11098" s="7">
        <v>45962.586287988415</v>
      </c>
      <c r="G11098" s="3" t="s">
        <v>20987</v>
      </c>
    </row>
    <row r="11099">
      <c r="A11099" s="3" t="s">
        <v>26579</v>
      </c>
      <c r="B11099" s="3" t="s">
        <v>9795</v>
      </c>
      <c r="C11099" s="5" t="s">
        <v>221</v>
      </c>
      <c r="D11099" s="3" t="s">
        <v>614</v>
      </c>
      <c r="E11099" s="3" t="s">
        <v>118</v>
      </c>
      <c r="F11099" s="7">
        <v>45962.589760210634</v>
      </c>
      <c r="G11099" s="3" t="s">
        <v>20989</v>
      </c>
    </row>
    <row r="11100">
      <c r="A11100" s="3" t="s">
        <v>26580</v>
      </c>
      <c r="B11100" s="3" t="s">
        <v>9795</v>
      </c>
      <c r="C11100" s="5" t="s">
        <v>614</v>
      </c>
      <c r="D11100" s="3" t="s">
        <v>206</v>
      </c>
      <c r="E11100" s="3" t="s">
        <v>100</v>
      </c>
      <c r="F11100" s="7">
        <v>45962.59323243286</v>
      </c>
      <c r="G11100" s="3" t="s">
        <v>20992</v>
      </c>
    </row>
    <row r="11101">
      <c r="A11101" s="3" t="s">
        <v>26581</v>
      </c>
      <c r="B11101" s="3" t="s">
        <v>9795</v>
      </c>
      <c r="C11101" s="5" t="s">
        <v>206</v>
      </c>
      <c r="D11101" s="3" t="s">
        <v>68</v>
      </c>
      <c r="E11101" s="3" t="s">
        <v>100</v>
      </c>
      <c r="F11101" s="7">
        <v>45962.59670465508</v>
      </c>
      <c r="G11101" s="3" t="s">
        <v>20995</v>
      </c>
    </row>
    <row r="11102">
      <c r="A11102" s="3" t="s">
        <v>26582</v>
      </c>
      <c r="B11102" s="3" t="s">
        <v>9797</v>
      </c>
      <c r="C11102" s="5" t="s">
        <v>45</v>
      </c>
      <c r="D11102" s="3" t="s">
        <v>221</v>
      </c>
      <c r="E11102" s="3" t="s">
        <v>287</v>
      </c>
      <c r="F11102" s="7">
        <v>45962.657462833835</v>
      </c>
      <c r="G11102" s="3" t="s">
        <v>26583</v>
      </c>
    </row>
    <row r="11103">
      <c r="A11103" s="3" t="s">
        <v>26584</v>
      </c>
      <c r="B11103" s="3" t="s">
        <v>9797</v>
      </c>
      <c r="C11103" s="5" t="s">
        <v>221</v>
      </c>
      <c r="D11103" s="3" t="s">
        <v>614</v>
      </c>
      <c r="E11103" s="3" t="s">
        <v>118</v>
      </c>
      <c r="F11103" s="7">
        <v>45962.660935056054</v>
      </c>
      <c r="G11103" s="3" t="s">
        <v>26585</v>
      </c>
    </row>
    <row r="11104">
      <c r="A11104" s="3" t="s">
        <v>26586</v>
      </c>
      <c r="B11104" s="3" t="s">
        <v>9797</v>
      </c>
      <c r="C11104" s="5" t="s">
        <v>614</v>
      </c>
      <c r="D11104" s="3" t="s">
        <v>206</v>
      </c>
      <c r="E11104" s="3" t="s">
        <v>100</v>
      </c>
      <c r="F11104" s="7">
        <v>45962.66440727828</v>
      </c>
      <c r="G11104" s="3" t="s">
        <v>26587</v>
      </c>
    </row>
    <row r="11105">
      <c r="A11105" s="3" t="s">
        <v>26588</v>
      </c>
      <c r="B11105" s="3" t="s">
        <v>9797</v>
      </c>
      <c r="C11105" s="5" t="s">
        <v>206</v>
      </c>
      <c r="D11105" s="3" t="s">
        <v>68</v>
      </c>
      <c r="E11105" s="3" t="s">
        <v>100</v>
      </c>
      <c r="F11105" s="7">
        <v>45962.6678795005</v>
      </c>
      <c r="G11105" s="3" t="s">
        <v>26589</v>
      </c>
    </row>
    <row r="11106">
      <c r="A11106" s="3" t="s">
        <v>26590</v>
      </c>
      <c r="B11106" s="3" t="s">
        <v>9799</v>
      </c>
      <c r="C11106" s="5" t="s">
        <v>45</v>
      </c>
      <c r="D11106" s="3" t="s">
        <v>221</v>
      </c>
      <c r="E11106" s="3" t="s">
        <v>900</v>
      </c>
      <c r="F11106" s="7">
        <v>45962.728637679254</v>
      </c>
      <c r="G11106" s="3" t="s">
        <v>11892</v>
      </c>
    </row>
    <row r="11107">
      <c r="A11107" s="3" t="s">
        <v>26591</v>
      </c>
      <c r="B11107" s="3" t="s">
        <v>9799</v>
      </c>
      <c r="C11107" s="5" t="s">
        <v>221</v>
      </c>
      <c r="D11107" s="3" t="s">
        <v>614</v>
      </c>
      <c r="E11107" s="3" t="s">
        <v>118</v>
      </c>
      <c r="F11107" s="7">
        <v>45962.73210990147</v>
      </c>
      <c r="G11107" s="3" t="s">
        <v>11895</v>
      </c>
    </row>
    <row r="11108">
      <c r="A11108" s="3" t="s">
        <v>26592</v>
      </c>
      <c r="B11108" s="3" t="s">
        <v>9799</v>
      </c>
      <c r="C11108" s="5" t="s">
        <v>614</v>
      </c>
      <c r="D11108" s="3" t="s">
        <v>206</v>
      </c>
      <c r="E11108" s="3" t="s">
        <v>100</v>
      </c>
      <c r="F11108" s="7">
        <v>45962.7355821237</v>
      </c>
      <c r="G11108" s="3" t="s">
        <v>11898</v>
      </c>
    </row>
    <row r="11109">
      <c r="A11109" s="3" t="s">
        <v>26593</v>
      </c>
      <c r="B11109" s="3" t="s">
        <v>9799</v>
      </c>
      <c r="C11109" s="5" t="s">
        <v>206</v>
      </c>
      <c r="D11109" s="3" t="s">
        <v>68</v>
      </c>
      <c r="E11109" s="3" t="s">
        <v>100</v>
      </c>
      <c r="F11109" s="7">
        <v>45962.73905434592</v>
      </c>
      <c r="G11109" s="3" t="s">
        <v>11901</v>
      </c>
    </row>
    <row r="11110">
      <c r="A11110" s="3" t="s">
        <v>26594</v>
      </c>
      <c r="B11110" s="3" t="s">
        <v>9802</v>
      </c>
      <c r="C11110" s="5" t="s">
        <v>45</v>
      </c>
      <c r="D11110" s="3" t="s">
        <v>221</v>
      </c>
      <c r="E11110" s="3" t="s">
        <v>424</v>
      </c>
      <c r="F11110" s="7">
        <v>45962.79981252467</v>
      </c>
      <c r="G11110" s="3" t="s">
        <v>10291</v>
      </c>
    </row>
    <row r="11111">
      <c r="A11111" s="3" t="s">
        <v>26595</v>
      </c>
      <c r="B11111" s="3" t="s">
        <v>9802</v>
      </c>
      <c r="C11111" s="5" t="s">
        <v>221</v>
      </c>
      <c r="D11111" s="3" t="s">
        <v>614</v>
      </c>
      <c r="E11111" s="3" t="s">
        <v>118</v>
      </c>
      <c r="F11111" s="7">
        <v>45962.803284746886</v>
      </c>
      <c r="G11111" s="3" t="s">
        <v>10294</v>
      </c>
    </row>
    <row r="11112">
      <c r="A11112" s="3" t="s">
        <v>26596</v>
      </c>
      <c r="B11112" s="3" t="s">
        <v>9802</v>
      </c>
      <c r="C11112" s="5" t="s">
        <v>614</v>
      </c>
      <c r="D11112" s="3" t="s">
        <v>206</v>
      </c>
      <c r="E11112" s="3" t="s">
        <v>100</v>
      </c>
      <c r="F11112" s="7">
        <v>45962.80675696911</v>
      </c>
      <c r="G11112" s="3" t="s">
        <v>10296</v>
      </c>
    </row>
    <row r="11113">
      <c r="A11113" s="3" t="s">
        <v>26597</v>
      </c>
      <c r="B11113" s="3" t="s">
        <v>9802</v>
      </c>
      <c r="C11113" s="5" t="s">
        <v>206</v>
      </c>
      <c r="D11113" s="3" t="s">
        <v>68</v>
      </c>
      <c r="E11113" s="3" t="s">
        <v>100</v>
      </c>
      <c r="F11113" s="7">
        <v>45962.81022919133</v>
      </c>
      <c r="G11113" s="3" t="s">
        <v>10299</v>
      </c>
    </row>
    <row r="11114">
      <c r="A11114" s="3" t="s">
        <v>26598</v>
      </c>
      <c r="B11114" s="3" t="s">
        <v>9805</v>
      </c>
      <c r="C11114" s="5" t="s">
        <v>45</v>
      </c>
      <c r="D11114" s="3" t="s">
        <v>221</v>
      </c>
      <c r="E11114" s="3" t="s">
        <v>708</v>
      </c>
      <c r="F11114" s="7">
        <v>45962.87098737008</v>
      </c>
      <c r="G11114" s="3" t="s">
        <v>2770</v>
      </c>
    </row>
    <row r="11115">
      <c r="A11115" s="3" t="s">
        <v>26599</v>
      </c>
      <c r="B11115" s="3" t="s">
        <v>9805</v>
      </c>
      <c r="C11115" s="5" t="s">
        <v>221</v>
      </c>
      <c r="D11115" s="3" t="s">
        <v>181</v>
      </c>
      <c r="E11115" s="3" t="s">
        <v>118</v>
      </c>
      <c r="F11115" s="7">
        <v>45962.8744595923</v>
      </c>
      <c r="G11115" s="3" t="s">
        <v>2774</v>
      </c>
    </row>
    <row r="11116">
      <c r="A11116" s="3" t="s">
        <v>26600</v>
      </c>
      <c r="B11116" s="3" t="s">
        <v>9808</v>
      </c>
      <c r="C11116" s="5" t="s">
        <v>45</v>
      </c>
      <c r="D11116" s="3" t="s">
        <v>221</v>
      </c>
      <c r="E11116" s="3" t="s">
        <v>655</v>
      </c>
      <c r="F11116" s="7">
        <v>45962.9421622155</v>
      </c>
      <c r="G11116" s="3" t="s">
        <v>26601</v>
      </c>
    </row>
    <row r="11117">
      <c r="A11117" s="3" t="s">
        <v>26602</v>
      </c>
      <c r="B11117" s="3" t="s">
        <v>9808</v>
      </c>
      <c r="C11117" s="5" t="s">
        <v>221</v>
      </c>
      <c r="D11117" s="3" t="s">
        <v>614</v>
      </c>
      <c r="E11117" s="3" t="s">
        <v>118</v>
      </c>
      <c r="F11117" s="7">
        <v>45962.94563443772</v>
      </c>
      <c r="G11117" s="3" t="s">
        <v>26603</v>
      </c>
    </row>
    <row r="11118">
      <c r="A11118" s="3" t="s">
        <v>26604</v>
      </c>
      <c r="B11118" s="3" t="s">
        <v>9808</v>
      </c>
      <c r="C11118" s="5" t="s">
        <v>614</v>
      </c>
      <c r="D11118" s="3" t="s">
        <v>206</v>
      </c>
      <c r="E11118" s="3" t="s">
        <v>100</v>
      </c>
      <c r="F11118" s="7">
        <v>45962.949106659944</v>
      </c>
      <c r="G11118" s="3" t="s">
        <v>26605</v>
      </c>
    </row>
    <row r="11119">
      <c r="A11119" s="3" t="s">
        <v>26606</v>
      </c>
      <c r="B11119" s="3" t="s">
        <v>9808</v>
      </c>
      <c r="C11119" s="5" t="s">
        <v>206</v>
      </c>
      <c r="D11119" s="3" t="s">
        <v>68</v>
      </c>
      <c r="E11119" s="3" t="s">
        <v>100</v>
      </c>
      <c r="F11119" s="7">
        <v>45962.95257888216</v>
      </c>
      <c r="G11119" s="3" t="s">
        <v>26607</v>
      </c>
    </row>
    <row r="11120">
      <c r="A11120" s="3" t="s">
        <v>26608</v>
      </c>
      <c r="B11120" s="3" t="s">
        <v>9810</v>
      </c>
      <c r="C11120" s="5" t="s">
        <v>45</v>
      </c>
      <c r="D11120" s="3" t="s">
        <v>221</v>
      </c>
      <c r="E11120" s="3" t="s">
        <v>672</v>
      </c>
      <c r="F11120" s="7">
        <v>45963.01333706091</v>
      </c>
      <c r="G11120" s="3" t="s">
        <v>12820</v>
      </c>
    </row>
    <row r="11121">
      <c r="A11121" s="3" t="s">
        <v>26609</v>
      </c>
      <c r="B11121" s="3" t="s">
        <v>9810</v>
      </c>
      <c r="C11121" s="5" t="s">
        <v>221</v>
      </c>
      <c r="D11121" s="3" t="s">
        <v>614</v>
      </c>
      <c r="E11121" s="3" t="s">
        <v>118</v>
      </c>
      <c r="F11121" s="7">
        <v>45963.01680928313</v>
      </c>
      <c r="G11121" s="3" t="s">
        <v>25584</v>
      </c>
    </row>
    <row r="11122">
      <c r="A11122" s="3" t="s">
        <v>26610</v>
      </c>
      <c r="B11122" s="3" t="s">
        <v>9810</v>
      </c>
      <c r="C11122" s="5" t="s">
        <v>614</v>
      </c>
      <c r="D11122" s="3" t="s">
        <v>206</v>
      </c>
      <c r="E11122" s="3" t="s">
        <v>100</v>
      </c>
      <c r="F11122" s="7">
        <v>45963.020281505356</v>
      </c>
      <c r="G11122" s="3" t="s">
        <v>25586</v>
      </c>
    </row>
    <row r="11123">
      <c r="A11123" s="3" t="s">
        <v>26611</v>
      </c>
      <c r="B11123" s="3" t="s">
        <v>9810</v>
      </c>
      <c r="C11123" s="5" t="s">
        <v>206</v>
      </c>
      <c r="D11123" s="3" t="s">
        <v>68</v>
      </c>
      <c r="E11123" s="3" t="s">
        <v>100</v>
      </c>
      <c r="F11123" s="7">
        <v>45963.023753727575</v>
      </c>
      <c r="G11123" s="3" t="s">
        <v>25588</v>
      </c>
    </row>
    <row r="11124">
      <c r="A11124" s="3" t="s">
        <v>26612</v>
      </c>
      <c r="B11124" s="3" t="s">
        <v>9812</v>
      </c>
      <c r="C11124" s="5" t="s">
        <v>45</v>
      </c>
      <c r="D11124" s="3" t="s">
        <v>221</v>
      </c>
      <c r="E11124" s="3" t="s">
        <v>130</v>
      </c>
      <c r="F11124" s="7">
        <v>45963.08451190632</v>
      </c>
      <c r="G11124" s="3" t="s">
        <v>16631</v>
      </c>
    </row>
    <row r="11125">
      <c r="A11125" s="3" t="s">
        <v>26613</v>
      </c>
      <c r="B11125" s="3" t="s">
        <v>9812</v>
      </c>
      <c r="C11125" s="5" t="s">
        <v>221</v>
      </c>
      <c r="D11125" s="3" t="s">
        <v>614</v>
      </c>
      <c r="E11125" s="3" t="s">
        <v>118</v>
      </c>
      <c r="F11125" s="7">
        <v>45963.08798412854</v>
      </c>
      <c r="G11125" s="3" t="s">
        <v>16634</v>
      </c>
    </row>
    <row r="11126">
      <c r="A11126" s="3" t="s">
        <v>26614</v>
      </c>
      <c r="B11126" s="3" t="s">
        <v>9812</v>
      </c>
      <c r="C11126" s="5" t="s">
        <v>614</v>
      </c>
      <c r="D11126" s="3" t="s">
        <v>206</v>
      </c>
      <c r="E11126" s="3" t="s">
        <v>100</v>
      </c>
      <c r="F11126" s="7">
        <v>45963.09145635077</v>
      </c>
      <c r="G11126" s="3" t="s">
        <v>16636</v>
      </c>
    </row>
    <row r="11127">
      <c r="A11127" s="3" t="s">
        <v>26615</v>
      </c>
      <c r="B11127" s="3" t="s">
        <v>9812</v>
      </c>
      <c r="C11127" s="5" t="s">
        <v>206</v>
      </c>
      <c r="D11127" s="3" t="s">
        <v>68</v>
      </c>
      <c r="E11127" s="3" t="s">
        <v>100</v>
      </c>
      <c r="F11127" s="7">
        <v>45963.09492857299</v>
      </c>
      <c r="G11127" s="3" t="s">
        <v>16639</v>
      </c>
    </row>
    <row r="11128">
      <c r="A11128" s="3" t="s">
        <v>26616</v>
      </c>
      <c r="B11128" s="3" t="s">
        <v>9815</v>
      </c>
      <c r="C11128" s="5" t="s">
        <v>45</v>
      </c>
      <c r="D11128" s="3" t="s">
        <v>221</v>
      </c>
      <c r="E11128" s="3" t="s">
        <v>643</v>
      </c>
      <c r="F11128" s="7">
        <v>45963.15568675174</v>
      </c>
      <c r="G11128" s="3" t="s">
        <v>11903</v>
      </c>
    </row>
    <row r="11129">
      <c r="A11129" s="3" t="s">
        <v>26617</v>
      </c>
      <c r="B11129" s="3" t="s">
        <v>9815</v>
      </c>
      <c r="C11129" s="5" t="s">
        <v>221</v>
      </c>
      <c r="D11129" s="3" t="s">
        <v>614</v>
      </c>
      <c r="E11129" s="3" t="s">
        <v>118</v>
      </c>
      <c r="F11129" s="7">
        <v>45963.15915897396</v>
      </c>
      <c r="G11129" s="3" t="s">
        <v>11906</v>
      </c>
    </row>
    <row r="11130">
      <c r="A11130" s="3" t="s">
        <v>26618</v>
      </c>
      <c r="B11130" s="3" t="s">
        <v>9815</v>
      </c>
      <c r="C11130" s="5" t="s">
        <v>614</v>
      </c>
      <c r="D11130" s="3" t="s">
        <v>206</v>
      </c>
      <c r="E11130" s="3" t="s">
        <v>100</v>
      </c>
      <c r="F11130" s="7">
        <v>45963.16263119619</v>
      </c>
      <c r="G11130" s="3" t="s">
        <v>11909</v>
      </c>
    </row>
    <row r="11131">
      <c r="A11131" s="3" t="s">
        <v>26619</v>
      </c>
      <c r="B11131" s="3" t="s">
        <v>9815</v>
      </c>
      <c r="C11131" s="5" t="s">
        <v>206</v>
      </c>
      <c r="D11131" s="3" t="s">
        <v>68</v>
      </c>
      <c r="E11131" s="3" t="s">
        <v>100</v>
      </c>
      <c r="F11131" s="7">
        <v>45963.16610341841</v>
      </c>
      <c r="G11131" s="3" t="s">
        <v>11912</v>
      </c>
    </row>
    <row r="11132">
      <c r="A11132" s="3" t="s">
        <v>26620</v>
      </c>
      <c r="B11132" s="3" t="s">
        <v>9818</v>
      </c>
      <c r="C11132" s="5" t="s">
        <v>45</v>
      </c>
      <c r="D11132" s="3" t="s">
        <v>221</v>
      </c>
      <c r="E11132" s="3" t="s">
        <v>204</v>
      </c>
      <c r="F11132" s="7">
        <v>45963.226861597155</v>
      </c>
      <c r="G11132" s="3" t="s">
        <v>11717</v>
      </c>
    </row>
    <row r="11133">
      <c r="A11133" s="3" t="s">
        <v>26621</v>
      </c>
      <c r="B11133" s="3" t="s">
        <v>9818</v>
      </c>
      <c r="C11133" s="5" t="s">
        <v>221</v>
      </c>
      <c r="D11133" s="3" t="s">
        <v>614</v>
      </c>
      <c r="E11133" s="3" t="s">
        <v>118</v>
      </c>
      <c r="F11133" s="7">
        <v>45963.230333819374</v>
      </c>
      <c r="G11133" s="3" t="s">
        <v>13530</v>
      </c>
    </row>
    <row r="11134">
      <c r="A11134" s="3" t="s">
        <v>26622</v>
      </c>
      <c r="B11134" s="3" t="s">
        <v>9818</v>
      </c>
      <c r="C11134" s="5" t="s">
        <v>614</v>
      </c>
      <c r="D11134" s="3" t="s">
        <v>206</v>
      </c>
      <c r="E11134" s="3" t="s">
        <v>100</v>
      </c>
      <c r="F11134" s="7">
        <v>45963.2338060416</v>
      </c>
      <c r="G11134" s="3" t="s">
        <v>13532</v>
      </c>
    </row>
    <row r="11135">
      <c r="A11135" s="3" t="s">
        <v>26623</v>
      </c>
      <c r="B11135" s="3" t="s">
        <v>9818</v>
      </c>
      <c r="C11135" s="5" t="s">
        <v>206</v>
      </c>
      <c r="D11135" s="3" t="s">
        <v>68</v>
      </c>
      <c r="E11135" s="3" t="s">
        <v>100</v>
      </c>
      <c r="F11135" s="7">
        <v>45963.23727826382</v>
      </c>
      <c r="G11135" s="3" t="s">
        <v>13535</v>
      </c>
    </row>
    <row r="11136">
      <c r="A11136" s="3" t="s">
        <v>26624</v>
      </c>
      <c r="B11136" s="3" t="s">
        <v>9821</v>
      </c>
      <c r="C11136" s="5" t="s">
        <v>45</v>
      </c>
      <c r="D11136" s="3" t="s">
        <v>221</v>
      </c>
      <c r="E11136" s="3" t="s">
        <v>561</v>
      </c>
      <c r="F11136" s="7">
        <v>45963.29803644257</v>
      </c>
      <c r="G11136" s="3" t="s">
        <v>12167</v>
      </c>
    </row>
    <row r="11137">
      <c r="A11137" s="3" t="s">
        <v>26625</v>
      </c>
      <c r="B11137" s="3" t="s">
        <v>9821</v>
      </c>
      <c r="C11137" s="5" t="s">
        <v>221</v>
      </c>
      <c r="D11137" s="3" t="s">
        <v>614</v>
      </c>
      <c r="E11137" s="3" t="s">
        <v>118</v>
      </c>
      <c r="F11137" s="7">
        <v>45963.30150866479</v>
      </c>
      <c r="G11137" s="3" t="s">
        <v>12170</v>
      </c>
    </row>
    <row r="11138">
      <c r="A11138" s="3" t="s">
        <v>26626</v>
      </c>
      <c r="B11138" s="3" t="s">
        <v>9821</v>
      </c>
      <c r="C11138" s="5" t="s">
        <v>614</v>
      </c>
      <c r="D11138" s="3" t="s">
        <v>206</v>
      </c>
      <c r="E11138" s="3" t="s">
        <v>100</v>
      </c>
      <c r="F11138" s="7">
        <v>45963.30498088701</v>
      </c>
      <c r="G11138" s="3" t="s">
        <v>12173</v>
      </c>
    </row>
    <row r="11139">
      <c r="A11139" s="3" t="s">
        <v>26627</v>
      </c>
      <c r="B11139" s="3" t="s">
        <v>9821</v>
      </c>
      <c r="C11139" s="5" t="s">
        <v>206</v>
      </c>
      <c r="D11139" s="3" t="s">
        <v>68</v>
      </c>
      <c r="E11139" s="3" t="s">
        <v>100</v>
      </c>
      <c r="F11139" s="7">
        <v>45963.30845310923</v>
      </c>
      <c r="G11139" s="3" t="s">
        <v>12176</v>
      </c>
    </row>
    <row r="11140">
      <c r="A11140" s="3" t="s">
        <v>26628</v>
      </c>
      <c r="B11140" s="3" t="s">
        <v>9822</v>
      </c>
      <c r="C11140" s="5" t="s">
        <v>45</v>
      </c>
      <c r="D11140" s="3" t="s">
        <v>221</v>
      </c>
      <c r="E11140" s="3" t="s">
        <v>442</v>
      </c>
      <c r="F11140" s="7">
        <v>45963.36921128799</v>
      </c>
      <c r="G11140" s="3" t="s">
        <v>4054</v>
      </c>
    </row>
    <row r="11141">
      <c r="A11141" s="3" t="s">
        <v>26629</v>
      </c>
      <c r="B11141" s="3" t="s">
        <v>9822</v>
      </c>
      <c r="C11141" s="5" t="s">
        <v>221</v>
      </c>
      <c r="D11141" s="3" t="s">
        <v>614</v>
      </c>
      <c r="E11141" s="3" t="s">
        <v>118</v>
      </c>
      <c r="F11141" s="7">
        <v>45963.372683510206</v>
      </c>
      <c r="G11141" s="3" t="s">
        <v>4057</v>
      </c>
    </row>
    <row r="11142">
      <c r="A11142" s="3" t="s">
        <v>26630</v>
      </c>
      <c r="B11142" s="3" t="s">
        <v>9822</v>
      </c>
      <c r="C11142" s="5" t="s">
        <v>614</v>
      </c>
      <c r="D11142" s="3" t="s">
        <v>206</v>
      </c>
      <c r="E11142" s="3" t="s">
        <v>100</v>
      </c>
      <c r="F11142" s="7">
        <v>45963.37615573243</v>
      </c>
      <c r="G11142" s="3" t="s">
        <v>4060</v>
      </c>
    </row>
    <row r="11143">
      <c r="A11143" s="3" t="s">
        <v>26631</v>
      </c>
      <c r="B11143" s="3" t="s">
        <v>9822</v>
      </c>
      <c r="C11143" s="5" t="s">
        <v>206</v>
      </c>
      <c r="D11143" s="3" t="s">
        <v>68</v>
      </c>
      <c r="E11143" s="3" t="s">
        <v>100</v>
      </c>
      <c r="F11143" s="7">
        <v>45963.37962795465</v>
      </c>
      <c r="G11143" s="3" t="s">
        <v>4063</v>
      </c>
    </row>
    <row r="11144">
      <c r="A11144" s="3" t="s">
        <v>26632</v>
      </c>
      <c r="B11144" s="3" t="s">
        <v>9824</v>
      </c>
      <c r="C11144" s="5" t="s">
        <v>45</v>
      </c>
      <c r="D11144" s="3" t="s">
        <v>221</v>
      </c>
      <c r="E11144" s="3" t="s">
        <v>627</v>
      </c>
      <c r="F11144" s="7">
        <v>45963.4403861334</v>
      </c>
      <c r="G11144" s="3" t="s">
        <v>2770</v>
      </c>
    </row>
    <row r="11145">
      <c r="A11145" s="3" t="s">
        <v>26633</v>
      </c>
      <c r="B11145" s="3" t="s">
        <v>9824</v>
      </c>
      <c r="C11145" s="5" t="s">
        <v>221</v>
      </c>
      <c r="D11145" s="3" t="s">
        <v>181</v>
      </c>
      <c r="E11145" s="3" t="s">
        <v>118</v>
      </c>
      <c r="F11145" s="7">
        <v>45963.44385835562</v>
      </c>
      <c r="G11145" s="3" t="s">
        <v>2774</v>
      </c>
    </row>
    <row r="11146">
      <c r="A11146" s="3" t="s">
        <v>26634</v>
      </c>
      <c r="B11146" s="3" t="s">
        <v>9826</v>
      </c>
      <c r="C11146" s="5" t="s">
        <v>45</v>
      </c>
      <c r="D11146" s="3" t="s">
        <v>221</v>
      </c>
      <c r="E11146" s="3" t="s">
        <v>479</v>
      </c>
      <c r="F11146" s="7">
        <v>45963.51156097881</v>
      </c>
      <c r="G11146" s="3" t="s">
        <v>14724</v>
      </c>
    </row>
    <row r="11147">
      <c r="A11147" s="3" t="s">
        <v>26635</v>
      </c>
      <c r="B11147" s="3" t="s">
        <v>9826</v>
      </c>
      <c r="C11147" s="5" t="s">
        <v>221</v>
      </c>
      <c r="D11147" s="3" t="s">
        <v>614</v>
      </c>
      <c r="E11147" s="3" t="s">
        <v>118</v>
      </c>
      <c r="F11147" s="7">
        <v>45963.51503320103</v>
      </c>
      <c r="G11147" s="3" t="s">
        <v>14727</v>
      </c>
    </row>
    <row r="11148">
      <c r="A11148" s="3" t="s">
        <v>26636</v>
      </c>
      <c r="B11148" s="3" t="s">
        <v>9826</v>
      </c>
      <c r="C11148" s="5" t="s">
        <v>614</v>
      </c>
      <c r="D11148" s="3" t="s">
        <v>206</v>
      </c>
      <c r="E11148" s="3" t="s">
        <v>100</v>
      </c>
      <c r="F11148" s="7">
        <v>45963.51850542326</v>
      </c>
      <c r="G11148" s="3" t="s">
        <v>14729</v>
      </c>
    </row>
    <row r="11149">
      <c r="A11149" s="3" t="s">
        <v>26637</v>
      </c>
      <c r="B11149" s="3" t="s">
        <v>9826</v>
      </c>
      <c r="C11149" s="5" t="s">
        <v>206</v>
      </c>
      <c r="D11149" s="3" t="s">
        <v>68</v>
      </c>
      <c r="E11149" s="3" t="s">
        <v>100</v>
      </c>
      <c r="F11149" s="7">
        <v>45963.521977645476</v>
      </c>
      <c r="G11149" s="3" t="s">
        <v>14732</v>
      </c>
    </row>
    <row r="11150">
      <c r="A11150" s="3" t="s">
        <v>26638</v>
      </c>
      <c r="B11150" s="3" t="s">
        <v>9827</v>
      </c>
      <c r="C11150" s="5" t="s">
        <v>45</v>
      </c>
      <c r="D11150" s="3" t="s">
        <v>221</v>
      </c>
      <c r="E11150" s="3" t="s">
        <v>373</v>
      </c>
      <c r="F11150" s="7">
        <v>45963.58273582423</v>
      </c>
      <c r="G11150" s="3" t="s">
        <v>12942</v>
      </c>
    </row>
    <row r="11151">
      <c r="A11151" s="3" t="s">
        <v>26639</v>
      </c>
      <c r="B11151" s="3" t="s">
        <v>9827</v>
      </c>
      <c r="C11151" s="5" t="s">
        <v>221</v>
      </c>
      <c r="D11151" s="3" t="s">
        <v>614</v>
      </c>
      <c r="E11151" s="3" t="s">
        <v>118</v>
      </c>
      <c r="F11151" s="7">
        <v>45963.58620804645</v>
      </c>
      <c r="G11151" s="3" t="s">
        <v>12946</v>
      </c>
    </row>
    <row r="11152">
      <c r="A11152" s="3" t="s">
        <v>26640</v>
      </c>
      <c r="B11152" s="3" t="s">
        <v>9827</v>
      </c>
      <c r="C11152" s="5" t="s">
        <v>614</v>
      </c>
      <c r="D11152" s="3" t="s">
        <v>206</v>
      </c>
      <c r="E11152" s="3" t="s">
        <v>100</v>
      </c>
      <c r="F11152" s="7">
        <v>45963.58968026868</v>
      </c>
      <c r="G11152" s="3" t="s">
        <v>12949</v>
      </c>
    </row>
    <row r="11153">
      <c r="A11153" s="3" t="s">
        <v>26641</v>
      </c>
      <c r="B11153" s="3" t="s">
        <v>9827</v>
      </c>
      <c r="C11153" s="5" t="s">
        <v>206</v>
      </c>
      <c r="D11153" s="3" t="s">
        <v>68</v>
      </c>
      <c r="E11153" s="3" t="s">
        <v>100</v>
      </c>
      <c r="F11153" s="7">
        <v>45963.593152490896</v>
      </c>
      <c r="G11153" s="3" t="s">
        <v>12952</v>
      </c>
    </row>
    <row r="11154">
      <c r="A11154" s="3" t="s">
        <v>26642</v>
      </c>
      <c r="B11154" s="3" t="s">
        <v>9829</v>
      </c>
      <c r="C11154" s="5" t="s">
        <v>45</v>
      </c>
      <c r="D11154" s="3" t="s">
        <v>221</v>
      </c>
      <c r="E11154" s="3" t="s">
        <v>510</v>
      </c>
      <c r="F11154" s="7">
        <v>45963.65391066965</v>
      </c>
      <c r="G11154" s="3" t="s">
        <v>16144</v>
      </c>
    </row>
    <row r="11155">
      <c r="A11155" s="3" t="s">
        <v>26643</v>
      </c>
      <c r="B11155" s="3" t="s">
        <v>9829</v>
      </c>
      <c r="C11155" s="5" t="s">
        <v>221</v>
      </c>
      <c r="D11155" s="3" t="s">
        <v>614</v>
      </c>
      <c r="E11155" s="3" t="s">
        <v>118</v>
      </c>
      <c r="F11155" s="7">
        <v>45963.65738289187</v>
      </c>
      <c r="G11155" s="3" t="s">
        <v>16147</v>
      </c>
    </row>
    <row r="11156">
      <c r="A11156" s="3" t="s">
        <v>26644</v>
      </c>
      <c r="B11156" s="3" t="s">
        <v>9829</v>
      </c>
      <c r="C11156" s="5" t="s">
        <v>614</v>
      </c>
      <c r="D11156" s="3" t="s">
        <v>206</v>
      </c>
      <c r="E11156" s="3" t="s">
        <v>100</v>
      </c>
      <c r="F11156" s="7">
        <v>45963.660855114096</v>
      </c>
      <c r="G11156" s="3" t="s">
        <v>16150</v>
      </c>
    </row>
    <row r="11157">
      <c r="A11157" s="3" t="s">
        <v>26645</v>
      </c>
      <c r="B11157" s="3" t="s">
        <v>9829</v>
      </c>
      <c r="C11157" s="5" t="s">
        <v>206</v>
      </c>
      <c r="D11157" s="3" t="s">
        <v>68</v>
      </c>
      <c r="E11157" s="3" t="s">
        <v>100</v>
      </c>
      <c r="F11157" s="7">
        <v>45963.664327336315</v>
      </c>
      <c r="G11157" s="3" t="s">
        <v>16153</v>
      </c>
    </row>
    <row r="11158">
      <c r="A11158" s="3" t="s">
        <v>26646</v>
      </c>
      <c r="B11158" s="3" t="s">
        <v>9830</v>
      </c>
      <c r="C11158" s="5" t="s">
        <v>45</v>
      </c>
      <c r="D11158" s="3" t="s">
        <v>221</v>
      </c>
      <c r="E11158" s="3" t="s">
        <v>601</v>
      </c>
      <c r="F11158" s="7">
        <v>45963.725085515056</v>
      </c>
      <c r="G11158" s="3" t="s">
        <v>22804</v>
      </c>
    </row>
    <row r="11159">
      <c r="A11159" s="3" t="s">
        <v>26647</v>
      </c>
      <c r="B11159" s="3" t="s">
        <v>9830</v>
      </c>
      <c r="C11159" s="5" t="s">
        <v>221</v>
      </c>
      <c r="D11159" s="3" t="s">
        <v>614</v>
      </c>
      <c r="E11159" s="3" t="s">
        <v>118</v>
      </c>
      <c r="F11159" s="7">
        <v>45963.728557737275</v>
      </c>
      <c r="G11159" s="3" t="s">
        <v>22807</v>
      </c>
    </row>
    <row r="11160">
      <c r="A11160" s="3" t="s">
        <v>26648</v>
      </c>
      <c r="B11160" s="3" t="s">
        <v>9830</v>
      </c>
      <c r="C11160" s="5" t="s">
        <v>614</v>
      </c>
      <c r="D11160" s="3" t="s">
        <v>206</v>
      </c>
      <c r="E11160" s="3" t="s">
        <v>100</v>
      </c>
      <c r="F11160" s="7">
        <v>45963.7320299595</v>
      </c>
      <c r="G11160" s="3" t="s">
        <v>22810</v>
      </c>
    </row>
    <row r="11161">
      <c r="A11161" s="3" t="s">
        <v>26649</v>
      </c>
      <c r="B11161" s="3" t="s">
        <v>9830</v>
      </c>
      <c r="C11161" s="5" t="s">
        <v>206</v>
      </c>
      <c r="D11161" s="3" t="s">
        <v>68</v>
      </c>
      <c r="E11161" s="3" t="s">
        <v>100</v>
      </c>
      <c r="F11161" s="7">
        <v>45963.73550218172</v>
      </c>
      <c r="G11161" s="3" t="s">
        <v>22813</v>
      </c>
    </row>
    <row r="11162">
      <c r="A11162" s="3" t="s">
        <v>26650</v>
      </c>
      <c r="B11162" s="3" t="s">
        <v>9832</v>
      </c>
      <c r="C11162" s="5" t="s">
        <v>45</v>
      </c>
      <c r="D11162" s="3" t="s">
        <v>221</v>
      </c>
      <c r="E11162" s="3" t="s">
        <v>657</v>
      </c>
      <c r="F11162" s="7">
        <v>45963.796260360476</v>
      </c>
      <c r="G11162" s="3" t="s">
        <v>9397</v>
      </c>
    </row>
    <row r="11163">
      <c r="A11163" s="3" t="s">
        <v>26651</v>
      </c>
      <c r="B11163" s="3" t="s">
        <v>9832</v>
      </c>
      <c r="C11163" s="5" t="s">
        <v>221</v>
      </c>
      <c r="D11163" s="3" t="s">
        <v>614</v>
      </c>
      <c r="E11163" s="3" t="s">
        <v>118</v>
      </c>
      <c r="F11163" s="7">
        <v>45963.799732582695</v>
      </c>
      <c r="G11163" s="3" t="s">
        <v>9399</v>
      </c>
    </row>
    <row r="11164">
      <c r="A11164" s="3" t="s">
        <v>26652</v>
      </c>
      <c r="B11164" s="3" t="s">
        <v>9832</v>
      </c>
      <c r="C11164" s="5" t="s">
        <v>614</v>
      </c>
      <c r="D11164" s="3" t="s">
        <v>206</v>
      </c>
      <c r="E11164" s="3" t="s">
        <v>100</v>
      </c>
      <c r="F11164" s="7">
        <v>45963.80320480492</v>
      </c>
      <c r="G11164" s="3" t="s">
        <v>9402</v>
      </c>
    </row>
    <row r="11165">
      <c r="A11165" s="3" t="s">
        <v>26653</v>
      </c>
      <c r="B11165" s="3" t="s">
        <v>9832</v>
      </c>
      <c r="C11165" s="5" t="s">
        <v>206</v>
      </c>
      <c r="D11165" s="3" t="s">
        <v>68</v>
      </c>
      <c r="E11165" s="3" t="s">
        <v>100</v>
      </c>
      <c r="F11165" s="7">
        <v>45963.80667702714</v>
      </c>
      <c r="G11165" s="3" t="s">
        <v>9405</v>
      </c>
    </row>
    <row r="11166">
      <c r="A11166" s="3" t="s">
        <v>26654</v>
      </c>
      <c r="B11166" s="3" t="s">
        <v>9834</v>
      </c>
      <c r="C11166" s="5" t="s">
        <v>45</v>
      </c>
      <c r="D11166" s="3" t="s">
        <v>221</v>
      </c>
      <c r="E11166" s="3" t="s">
        <v>605</v>
      </c>
      <c r="F11166" s="7">
        <v>45963.867435205895</v>
      </c>
      <c r="G11166" s="3" t="s">
        <v>11938</v>
      </c>
    </row>
    <row r="11167">
      <c r="A11167" s="3" t="s">
        <v>26655</v>
      </c>
      <c r="B11167" s="3" t="s">
        <v>9834</v>
      </c>
      <c r="C11167" s="5" t="s">
        <v>221</v>
      </c>
      <c r="D11167" s="3" t="s">
        <v>614</v>
      </c>
      <c r="E11167" s="3" t="s">
        <v>118</v>
      </c>
      <c r="F11167" s="7">
        <v>45963.870907428114</v>
      </c>
      <c r="G11167" s="3" t="s">
        <v>11941</v>
      </c>
    </row>
    <row r="11168">
      <c r="A11168" s="3" t="s">
        <v>26656</v>
      </c>
      <c r="B11168" s="3" t="s">
        <v>9834</v>
      </c>
      <c r="C11168" s="5" t="s">
        <v>614</v>
      </c>
      <c r="D11168" s="3" t="s">
        <v>206</v>
      </c>
      <c r="E11168" s="3" t="s">
        <v>100</v>
      </c>
      <c r="F11168" s="7">
        <v>45963.87437965034</v>
      </c>
      <c r="G11168" s="3" t="s">
        <v>11944</v>
      </c>
    </row>
    <row r="11169">
      <c r="A11169" s="3" t="s">
        <v>26657</v>
      </c>
      <c r="B11169" s="3" t="s">
        <v>9834</v>
      </c>
      <c r="C11169" s="5" t="s">
        <v>206</v>
      </c>
      <c r="D11169" s="3" t="s">
        <v>68</v>
      </c>
      <c r="E11169" s="3" t="s">
        <v>100</v>
      </c>
      <c r="F11169" s="7">
        <v>45963.87785187256</v>
      </c>
      <c r="G11169" s="3" t="s">
        <v>11947</v>
      </c>
    </row>
    <row r="11170">
      <c r="A11170" s="3" t="s">
        <v>26658</v>
      </c>
      <c r="B11170" s="3" t="s">
        <v>9835</v>
      </c>
      <c r="C11170" s="5" t="s">
        <v>45</v>
      </c>
      <c r="D11170" s="3" t="s">
        <v>221</v>
      </c>
      <c r="E11170" s="3" t="s">
        <v>224</v>
      </c>
      <c r="F11170" s="7">
        <v>45963.93861005131</v>
      </c>
      <c r="G11170" s="3" t="s">
        <v>11971</v>
      </c>
    </row>
    <row r="11171">
      <c r="A11171" s="3" t="s">
        <v>26659</v>
      </c>
      <c r="B11171" s="3" t="s">
        <v>9835</v>
      </c>
      <c r="C11171" s="5" t="s">
        <v>221</v>
      </c>
      <c r="D11171" s="3" t="s">
        <v>614</v>
      </c>
      <c r="E11171" s="3" t="s">
        <v>118</v>
      </c>
      <c r="F11171" s="7">
        <v>45963.94208227353</v>
      </c>
      <c r="G11171" s="3" t="s">
        <v>11974</v>
      </c>
    </row>
    <row r="11172">
      <c r="A11172" s="3" t="s">
        <v>26660</v>
      </c>
      <c r="B11172" s="3" t="s">
        <v>9835</v>
      </c>
      <c r="C11172" s="5" t="s">
        <v>614</v>
      </c>
      <c r="D11172" s="3" t="s">
        <v>206</v>
      </c>
      <c r="E11172" s="3" t="s">
        <v>100</v>
      </c>
      <c r="F11172" s="7">
        <v>45963.94555449575</v>
      </c>
      <c r="G11172" s="3" t="s">
        <v>11977</v>
      </c>
    </row>
    <row r="11173">
      <c r="A11173" s="3" t="s">
        <v>26661</v>
      </c>
      <c r="B11173" s="3" t="s">
        <v>9835</v>
      </c>
      <c r="C11173" s="5" t="s">
        <v>206</v>
      </c>
      <c r="D11173" s="3" t="s">
        <v>68</v>
      </c>
      <c r="E11173" s="3" t="s">
        <v>100</v>
      </c>
      <c r="F11173" s="7">
        <v>45963.94902671797</v>
      </c>
      <c r="G11173" s="3" t="s">
        <v>11980</v>
      </c>
    </row>
    <row r="11174">
      <c r="A11174" s="3" t="s">
        <v>26662</v>
      </c>
      <c r="B11174" s="3" t="s">
        <v>9837</v>
      </c>
      <c r="C11174" s="5" t="s">
        <v>45</v>
      </c>
      <c r="D11174" s="3" t="s">
        <v>221</v>
      </c>
      <c r="E11174" s="3" t="s">
        <v>204</v>
      </c>
      <c r="F11174" s="7">
        <v>45964.00978489672</v>
      </c>
      <c r="G11174" s="3" t="s">
        <v>11997</v>
      </c>
    </row>
    <row r="11175">
      <c r="A11175" s="3" t="s">
        <v>26663</v>
      </c>
      <c r="B11175" s="3" t="s">
        <v>9837</v>
      </c>
      <c r="C11175" s="5" t="s">
        <v>221</v>
      </c>
      <c r="D11175" s="3" t="s">
        <v>614</v>
      </c>
      <c r="E11175" s="3" t="s">
        <v>118</v>
      </c>
      <c r="F11175" s="7">
        <v>45964.01325711894</v>
      </c>
      <c r="G11175" s="3" t="s">
        <v>12000</v>
      </c>
    </row>
    <row r="11176">
      <c r="A11176" s="3" t="s">
        <v>26664</v>
      </c>
      <c r="B11176" s="3" t="s">
        <v>9837</v>
      </c>
      <c r="C11176" s="5" t="s">
        <v>614</v>
      </c>
      <c r="D11176" s="3" t="s">
        <v>206</v>
      </c>
      <c r="E11176" s="3" t="s">
        <v>100</v>
      </c>
      <c r="F11176" s="7">
        <v>45964.016729341165</v>
      </c>
      <c r="G11176" s="3" t="s">
        <v>12003</v>
      </c>
    </row>
    <row r="11177">
      <c r="A11177" s="3" t="s">
        <v>26665</v>
      </c>
      <c r="B11177" s="3" t="s">
        <v>9837</v>
      </c>
      <c r="C11177" s="5" t="s">
        <v>206</v>
      </c>
      <c r="D11177" s="3" t="s">
        <v>68</v>
      </c>
      <c r="E11177" s="3" t="s">
        <v>100</v>
      </c>
      <c r="F11177" s="7">
        <v>45964.020201563384</v>
      </c>
      <c r="G11177" s="3" t="s">
        <v>12006</v>
      </c>
    </row>
    <row r="11178">
      <c r="A11178" s="3" t="s">
        <v>26666</v>
      </c>
      <c r="B11178" s="3" t="s">
        <v>9839</v>
      </c>
      <c r="C11178" s="5" t="s">
        <v>45</v>
      </c>
      <c r="D11178" s="3" t="s">
        <v>221</v>
      </c>
      <c r="E11178" s="3" t="s">
        <v>789</v>
      </c>
      <c r="F11178" s="7">
        <v>45964.08095974214</v>
      </c>
      <c r="G11178" s="3" t="s">
        <v>10997</v>
      </c>
    </row>
    <row r="11179">
      <c r="A11179" s="3" t="s">
        <v>26667</v>
      </c>
      <c r="B11179" s="3" t="s">
        <v>9839</v>
      </c>
      <c r="C11179" s="5" t="s">
        <v>221</v>
      </c>
      <c r="D11179" s="3" t="s">
        <v>614</v>
      </c>
      <c r="E11179" s="3" t="s">
        <v>118</v>
      </c>
      <c r="F11179" s="7">
        <v>45964.08443196436</v>
      </c>
      <c r="G11179" s="3" t="s">
        <v>11000</v>
      </c>
    </row>
    <row r="11180">
      <c r="A11180" s="3" t="s">
        <v>26668</v>
      </c>
      <c r="B11180" s="3" t="s">
        <v>9839</v>
      </c>
      <c r="C11180" s="5" t="s">
        <v>614</v>
      </c>
      <c r="D11180" s="3" t="s">
        <v>206</v>
      </c>
      <c r="E11180" s="3" t="s">
        <v>100</v>
      </c>
      <c r="F11180" s="7">
        <v>45964.087904186585</v>
      </c>
      <c r="G11180" s="3" t="s">
        <v>11003</v>
      </c>
    </row>
    <row r="11181">
      <c r="A11181" s="3" t="s">
        <v>26669</v>
      </c>
      <c r="B11181" s="3" t="s">
        <v>9839</v>
      </c>
      <c r="C11181" s="5" t="s">
        <v>206</v>
      </c>
      <c r="D11181" s="3" t="s">
        <v>68</v>
      </c>
      <c r="E11181" s="3" t="s">
        <v>100</v>
      </c>
      <c r="F11181" s="7">
        <v>45964.0913764088</v>
      </c>
      <c r="G11181" s="3" t="s">
        <v>11006</v>
      </c>
    </row>
    <row r="11182">
      <c r="A11182" s="3" t="s">
        <v>26670</v>
      </c>
      <c r="B11182" s="3" t="s">
        <v>9840</v>
      </c>
      <c r="C11182" s="5" t="s">
        <v>45</v>
      </c>
      <c r="D11182" s="3" t="s">
        <v>221</v>
      </c>
      <c r="E11182" s="3" t="s">
        <v>1001</v>
      </c>
      <c r="F11182" s="7">
        <v>45964.15213458755</v>
      </c>
      <c r="G11182" s="3" t="s">
        <v>2770</v>
      </c>
    </row>
    <row r="11183">
      <c r="A11183" s="3" t="s">
        <v>26671</v>
      </c>
      <c r="B11183" s="3" t="s">
        <v>9840</v>
      </c>
      <c r="C11183" s="5" t="s">
        <v>221</v>
      </c>
      <c r="D11183" s="3" t="s">
        <v>181</v>
      </c>
      <c r="E11183" s="3" t="s">
        <v>118</v>
      </c>
      <c r="F11183" s="7">
        <v>45964.15560680977</v>
      </c>
      <c r="G11183" s="3" t="s">
        <v>2774</v>
      </c>
    </row>
    <row r="11184">
      <c r="A11184" s="3" t="s">
        <v>26672</v>
      </c>
      <c r="B11184" s="3" t="s">
        <v>9842</v>
      </c>
      <c r="C11184" s="5" t="s">
        <v>45</v>
      </c>
      <c r="D11184" s="3" t="s">
        <v>221</v>
      </c>
      <c r="E11184" s="3" t="s">
        <v>293</v>
      </c>
      <c r="F11184" s="7">
        <v>45964.223309432964</v>
      </c>
      <c r="G11184" s="3" t="s">
        <v>21088</v>
      </c>
    </row>
    <row r="11185">
      <c r="A11185" s="3" t="s">
        <v>26673</v>
      </c>
      <c r="B11185" s="3" t="s">
        <v>9842</v>
      </c>
      <c r="C11185" s="5" t="s">
        <v>221</v>
      </c>
      <c r="D11185" s="3" t="s">
        <v>614</v>
      </c>
      <c r="E11185" s="3" t="s">
        <v>118</v>
      </c>
      <c r="F11185" s="7">
        <v>45964.22678165518</v>
      </c>
      <c r="G11185" s="3" t="s">
        <v>21529</v>
      </c>
    </row>
    <row r="11186">
      <c r="A11186" s="3" t="s">
        <v>26674</v>
      </c>
      <c r="B11186" s="3" t="s">
        <v>9842</v>
      </c>
      <c r="C11186" s="5" t="s">
        <v>614</v>
      </c>
      <c r="D11186" s="3" t="s">
        <v>206</v>
      </c>
      <c r="E11186" s="3" t="s">
        <v>100</v>
      </c>
      <c r="F11186" s="7">
        <v>45964.23025387741</v>
      </c>
      <c r="G11186" s="3" t="s">
        <v>21532</v>
      </c>
    </row>
    <row r="11187">
      <c r="A11187" s="3" t="s">
        <v>26675</v>
      </c>
      <c r="B11187" s="3" t="s">
        <v>9842</v>
      </c>
      <c r="C11187" s="5" t="s">
        <v>206</v>
      </c>
      <c r="D11187" s="3" t="s">
        <v>68</v>
      </c>
      <c r="E11187" s="3" t="s">
        <v>100</v>
      </c>
      <c r="F11187" s="7">
        <v>45964.23372609963</v>
      </c>
      <c r="G11187" s="3" t="s">
        <v>21534</v>
      </c>
    </row>
    <row r="11188">
      <c r="A11188" s="3" t="s">
        <v>26676</v>
      </c>
      <c r="B11188" s="3" t="s">
        <v>9845</v>
      </c>
      <c r="C11188" s="5" t="s">
        <v>45</v>
      </c>
      <c r="D11188" s="3" t="s">
        <v>221</v>
      </c>
      <c r="E11188" s="3" t="s">
        <v>211</v>
      </c>
      <c r="F11188" s="7">
        <v>45964.29448427838</v>
      </c>
      <c r="G11188" s="3" t="s">
        <v>17559</v>
      </c>
    </row>
    <row r="11189">
      <c r="A11189" s="3" t="s">
        <v>26677</v>
      </c>
      <c r="B11189" s="3" t="s">
        <v>9845</v>
      </c>
      <c r="C11189" s="5" t="s">
        <v>221</v>
      </c>
      <c r="D11189" s="3" t="s">
        <v>614</v>
      </c>
      <c r="E11189" s="3" t="s">
        <v>118</v>
      </c>
      <c r="F11189" s="7">
        <v>45964.2979565006</v>
      </c>
      <c r="G11189" s="3" t="s">
        <v>17562</v>
      </c>
    </row>
    <row r="11190">
      <c r="A11190" s="3" t="s">
        <v>26678</v>
      </c>
      <c r="B11190" s="3" t="s">
        <v>9845</v>
      </c>
      <c r="C11190" s="5" t="s">
        <v>614</v>
      </c>
      <c r="D11190" s="3" t="s">
        <v>206</v>
      </c>
      <c r="E11190" s="3" t="s">
        <v>100</v>
      </c>
      <c r="F11190" s="7">
        <v>45964.30142872283</v>
      </c>
      <c r="G11190" s="3" t="s">
        <v>17565</v>
      </c>
    </row>
    <row r="11191">
      <c r="A11191" s="3" t="s">
        <v>26679</v>
      </c>
      <c r="B11191" s="3" t="s">
        <v>9845</v>
      </c>
      <c r="C11191" s="5" t="s">
        <v>206</v>
      </c>
      <c r="D11191" s="3" t="s">
        <v>68</v>
      </c>
      <c r="E11191" s="3" t="s">
        <v>100</v>
      </c>
      <c r="F11191" s="7">
        <v>45964.30490094505</v>
      </c>
      <c r="G11191" s="3" t="s">
        <v>17567</v>
      </c>
    </row>
    <row r="11192">
      <c r="A11192" s="3" t="s">
        <v>26680</v>
      </c>
      <c r="B11192" s="3" t="s">
        <v>9848</v>
      </c>
      <c r="C11192" s="5" t="s">
        <v>45</v>
      </c>
      <c r="D11192" s="3" t="s">
        <v>221</v>
      </c>
      <c r="E11192" s="3" t="s">
        <v>507</v>
      </c>
      <c r="F11192" s="7">
        <v>45964.3656591238</v>
      </c>
      <c r="G11192" s="3" t="s">
        <v>12010</v>
      </c>
    </row>
    <row r="11193">
      <c r="A11193" s="3" t="s">
        <v>26681</v>
      </c>
      <c r="B11193" s="3" t="s">
        <v>9848</v>
      </c>
      <c r="C11193" s="5" t="s">
        <v>221</v>
      </c>
      <c r="D11193" s="3" t="s">
        <v>614</v>
      </c>
      <c r="E11193" s="3" t="s">
        <v>118</v>
      </c>
      <c r="F11193" s="7">
        <v>45964.36913134602</v>
      </c>
      <c r="G11193" s="3" t="s">
        <v>12013</v>
      </c>
    </row>
    <row r="11194">
      <c r="A11194" s="3" t="s">
        <v>26682</v>
      </c>
      <c r="B11194" s="3" t="s">
        <v>9848</v>
      </c>
      <c r="C11194" s="5" t="s">
        <v>614</v>
      </c>
      <c r="D11194" s="3" t="s">
        <v>206</v>
      </c>
      <c r="E11194" s="3" t="s">
        <v>100</v>
      </c>
      <c r="F11194" s="7">
        <v>45964.37260356825</v>
      </c>
      <c r="G11194" s="3" t="s">
        <v>12016</v>
      </c>
    </row>
    <row r="11195">
      <c r="A11195" s="3" t="s">
        <v>26683</v>
      </c>
      <c r="B11195" s="3" t="s">
        <v>9848</v>
      </c>
      <c r="C11195" s="5" t="s">
        <v>206</v>
      </c>
      <c r="D11195" s="3" t="s">
        <v>68</v>
      </c>
      <c r="E11195" s="3" t="s">
        <v>100</v>
      </c>
      <c r="F11195" s="7">
        <v>45964.37607579047</v>
      </c>
      <c r="G11195" s="3" t="s">
        <v>12020</v>
      </c>
    </row>
    <row r="11196">
      <c r="A11196" s="3" t="s">
        <v>26684</v>
      </c>
      <c r="B11196" s="3" t="s">
        <v>9850</v>
      </c>
      <c r="C11196" s="5" t="s">
        <v>45</v>
      </c>
      <c r="D11196" s="3" t="s">
        <v>221</v>
      </c>
      <c r="E11196" s="3" t="s">
        <v>535</v>
      </c>
      <c r="F11196" s="7">
        <v>45964.43683396921</v>
      </c>
      <c r="G11196" s="3" t="s">
        <v>15209</v>
      </c>
    </row>
    <row r="11197">
      <c r="A11197" s="3" t="s">
        <v>26685</v>
      </c>
      <c r="B11197" s="3" t="s">
        <v>9850</v>
      </c>
      <c r="C11197" s="5" t="s">
        <v>221</v>
      </c>
      <c r="D11197" s="3" t="s">
        <v>614</v>
      </c>
      <c r="E11197" s="3" t="s">
        <v>118</v>
      </c>
      <c r="F11197" s="7">
        <v>45964.44030619143</v>
      </c>
      <c r="G11197" s="3" t="s">
        <v>15212</v>
      </c>
    </row>
    <row r="11198">
      <c r="A11198" s="3" t="s">
        <v>26686</v>
      </c>
      <c r="B11198" s="3" t="s">
        <v>9850</v>
      </c>
      <c r="C11198" s="5" t="s">
        <v>614</v>
      </c>
      <c r="D11198" s="3" t="s">
        <v>206</v>
      </c>
      <c r="E11198" s="3" t="s">
        <v>100</v>
      </c>
      <c r="F11198" s="7">
        <v>45964.44377841365</v>
      </c>
      <c r="G11198" s="3" t="s">
        <v>15215</v>
      </c>
    </row>
    <row r="11199">
      <c r="A11199" s="3" t="s">
        <v>26687</v>
      </c>
      <c r="B11199" s="3" t="s">
        <v>9850</v>
      </c>
      <c r="C11199" s="5" t="s">
        <v>206</v>
      </c>
      <c r="D11199" s="3" t="s">
        <v>68</v>
      </c>
      <c r="E11199" s="3" t="s">
        <v>100</v>
      </c>
      <c r="F11199" s="7">
        <v>45964.44725063587</v>
      </c>
      <c r="G11199" s="3" t="s">
        <v>15218</v>
      </c>
    </row>
    <row r="11200">
      <c r="A11200" s="3" t="s">
        <v>26688</v>
      </c>
      <c r="B11200" s="3" t="s">
        <v>9852</v>
      </c>
      <c r="C11200" s="5" t="s">
        <v>45</v>
      </c>
      <c r="D11200" s="3" t="s">
        <v>221</v>
      </c>
      <c r="E11200" s="3" t="s">
        <v>524</v>
      </c>
      <c r="F11200" s="7">
        <v>45964.50800881463</v>
      </c>
      <c r="G11200" s="3" t="s">
        <v>12023</v>
      </c>
    </row>
    <row r="11201">
      <c r="A11201" s="3" t="s">
        <v>26689</v>
      </c>
      <c r="B11201" s="3" t="s">
        <v>9852</v>
      </c>
      <c r="C11201" s="5" t="s">
        <v>221</v>
      </c>
      <c r="D11201" s="3" t="s">
        <v>614</v>
      </c>
      <c r="E11201" s="3" t="s">
        <v>118</v>
      </c>
      <c r="F11201" s="7">
        <v>45964.51148103685</v>
      </c>
      <c r="G11201" s="3" t="s">
        <v>12027</v>
      </c>
    </row>
    <row r="11202">
      <c r="A11202" s="3" t="s">
        <v>26690</v>
      </c>
      <c r="B11202" s="3" t="s">
        <v>9852</v>
      </c>
      <c r="C11202" s="5" t="s">
        <v>614</v>
      </c>
      <c r="D11202" s="3" t="s">
        <v>206</v>
      </c>
      <c r="E11202" s="3" t="s">
        <v>100</v>
      </c>
      <c r="F11202" s="7">
        <v>45964.51495325907</v>
      </c>
      <c r="G11202" s="3" t="s">
        <v>12030</v>
      </c>
    </row>
    <row r="11203">
      <c r="A11203" s="3" t="s">
        <v>26691</v>
      </c>
      <c r="B11203" s="3" t="s">
        <v>9852</v>
      </c>
      <c r="C11203" s="5" t="s">
        <v>206</v>
      </c>
      <c r="D11203" s="3" t="s">
        <v>68</v>
      </c>
      <c r="E11203" s="3" t="s">
        <v>100</v>
      </c>
      <c r="F11203" s="7">
        <v>45964.51842548129</v>
      </c>
      <c r="G11203" s="3" t="s">
        <v>12032</v>
      </c>
    </row>
    <row r="11204">
      <c r="A11204" s="3" t="s">
        <v>26692</v>
      </c>
      <c r="B11204" s="3" t="s">
        <v>9855</v>
      </c>
      <c r="C11204" s="5" t="s">
        <v>45</v>
      </c>
      <c r="D11204" s="3" t="s">
        <v>221</v>
      </c>
      <c r="E11204" s="3" t="s">
        <v>773</v>
      </c>
      <c r="F11204" s="7">
        <v>45964.57918366004</v>
      </c>
      <c r="G11204" s="3" t="s">
        <v>26693</v>
      </c>
    </row>
    <row r="11205">
      <c r="A11205" s="3" t="s">
        <v>26694</v>
      </c>
      <c r="B11205" s="3" t="s">
        <v>9855</v>
      </c>
      <c r="C11205" s="5" t="s">
        <v>221</v>
      </c>
      <c r="D11205" s="3" t="s">
        <v>614</v>
      </c>
      <c r="E11205" s="3" t="s">
        <v>118</v>
      </c>
      <c r="F11205" s="7">
        <v>45964.58265588226</v>
      </c>
      <c r="G11205" s="3" t="s">
        <v>26695</v>
      </c>
    </row>
    <row r="11206">
      <c r="A11206" s="3" t="s">
        <v>26696</v>
      </c>
      <c r="B11206" s="3" t="s">
        <v>9855</v>
      </c>
      <c r="C11206" s="5" t="s">
        <v>614</v>
      </c>
      <c r="D11206" s="3" t="s">
        <v>206</v>
      </c>
      <c r="E11206" s="3" t="s">
        <v>100</v>
      </c>
      <c r="F11206" s="7">
        <v>45964.586128104485</v>
      </c>
      <c r="G11206" s="3" t="s">
        <v>26697</v>
      </c>
    </row>
    <row r="11207">
      <c r="A11207" s="3" t="s">
        <v>26698</v>
      </c>
      <c r="B11207" s="3" t="s">
        <v>9855</v>
      </c>
      <c r="C11207" s="5" t="s">
        <v>206</v>
      </c>
      <c r="D11207" s="3" t="s">
        <v>68</v>
      </c>
      <c r="E11207" s="3" t="s">
        <v>100</v>
      </c>
      <c r="F11207" s="7">
        <v>45964.589600326704</v>
      </c>
      <c r="G11207" s="3" t="s">
        <v>26699</v>
      </c>
    </row>
    <row r="11208">
      <c r="A11208" s="3" t="s">
        <v>26700</v>
      </c>
      <c r="B11208" s="3" t="s">
        <v>9858</v>
      </c>
      <c r="C11208" s="5" t="s">
        <v>45</v>
      </c>
      <c r="D11208" s="3" t="s">
        <v>221</v>
      </c>
      <c r="E11208" s="3" t="s">
        <v>627</v>
      </c>
      <c r="F11208" s="7">
        <v>45964.65035850546</v>
      </c>
      <c r="G11208" s="3" t="s">
        <v>2770</v>
      </c>
    </row>
    <row r="11209">
      <c r="A11209" s="3" t="s">
        <v>26701</v>
      </c>
      <c r="B11209" s="3" t="s">
        <v>9858</v>
      </c>
      <c r="C11209" s="5" t="s">
        <v>221</v>
      </c>
      <c r="D11209" s="3" t="s">
        <v>181</v>
      </c>
      <c r="E11209" s="3" t="s">
        <v>118</v>
      </c>
      <c r="F11209" s="7">
        <v>45964.65383072768</v>
      </c>
      <c r="G11209" s="3" t="s">
        <v>2774</v>
      </c>
    </row>
    <row r="11210">
      <c r="A11210" s="3" t="s">
        <v>26702</v>
      </c>
      <c r="B11210" s="3" t="s">
        <v>9861</v>
      </c>
      <c r="C11210" s="5" t="s">
        <v>45</v>
      </c>
      <c r="D11210" s="3" t="s">
        <v>221</v>
      </c>
      <c r="E11210" s="3" t="s">
        <v>934</v>
      </c>
      <c r="F11210" s="7">
        <v>45964.72153335087</v>
      </c>
      <c r="G11210" s="3" t="s">
        <v>5642</v>
      </c>
    </row>
    <row r="11211">
      <c r="A11211" s="3" t="s">
        <v>26703</v>
      </c>
      <c r="B11211" s="3" t="s">
        <v>9861</v>
      </c>
      <c r="C11211" s="5" t="s">
        <v>221</v>
      </c>
      <c r="D11211" s="3" t="s">
        <v>614</v>
      </c>
      <c r="E11211" s="3" t="s">
        <v>118</v>
      </c>
      <c r="F11211" s="7">
        <v>45964.72500557309</v>
      </c>
      <c r="G11211" s="3" t="s">
        <v>5645</v>
      </c>
    </row>
    <row r="11212">
      <c r="A11212" s="3" t="s">
        <v>26704</v>
      </c>
      <c r="B11212" s="3" t="s">
        <v>9861</v>
      </c>
      <c r="C11212" s="5" t="s">
        <v>614</v>
      </c>
      <c r="D11212" s="3" t="s">
        <v>206</v>
      </c>
      <c r="E11212" s="3" t="s">
        <v>100</v>
      </c>
      <c r="F11212" s="7">
        <v>45964.72847779532</v>
      </c>
      <c r="G11212" s="3" t="s">
        <v>5648</v>
      </c>
    </row>
    <row r="11213">
      <c r="A11213" s="3" t="s">
        <v>26705</v>
      </c>
      <c r="B11213" s="3" t="s">
        <v>9861</v>
      </c>
      <c r="C11213" s="5" t="s">
        <v>206</v>
      </c>
      <c r="D11213" s="3" t="s">
        <v>68</v>
      </c>
      <c r="E11213" s="3" t="s">
        <v>100</v>
      </c>
      <c r="F11213" s="7">
        <v>45964.731950017536</v>
      </c>
      <c r="G11213" s="3" t="s">
        <v>5651</v>
      </c>
    </row>
    <row r="11214">
      <c r="A11214" s="3" t="s">
        <v>26706</v>
      </c>
      <c r="B11214" s="3" t="s">
        <v>9863</v>
      </c>
      <c r="C11214" s="5" t="s">
        <v>45</v>
      </c>
      <c r="D11214" s="3" t="s">
        <v>221</v>
      </c>
      <c r="E11214" s="3" t="s">
        <v>404</v>
      </c>
      <c r="F11214" s="7">
        <v>45964.79270819629</v>
      </c>
      <c r="G11214" s="3" t="s">
        <v>8874</v>
      </c>
    </row>
    <row r="11215">
      <c r="A11215" s="3" t="s">
        <v>26707</v>
      </c>
      <c r="B11215" s="3" t="s">
        <v>9863</v>
      </c>
      <c r="C11215" s="5" t="s">
        <v>221</v>
      </c>
      <c r="D11215" s="3" t="s">
        <v>614</v>
      </c>
      <c r="E11215" s="3" t="s">
        <v>118</v>
      </c>
      <c r="F11215" s="7">
        <v>45964.79618041851</v>
      </c>
      <c r="G11215" s="3" t="s">
        <v>8877</v>
      </c>
    </row>
    <row r="11216">
      <c r="A11216" s="3" t="s">
        <v>26708</v>
      </c>
      <c r="B11216" s="3" t="s">
        <v>9863</v>
      </c>
      <c r="C11216" s="5" t="s">
        <v>614</v>
      </c>
      <c r="D11216" s="3" t="s">
        <v>206</v>
      </c>
      <c r="E11216" s="3" t="s">
        <v>100</v>
      </c>
      <c r="F11216" s="7">
        <v>45964.79965264074</v>
      </c>
      <c r="G11216" s="3" t="s">
        <v>8880</v>
      </c>
    </row>
    <row r="11217">
      <c r="A11217" s="3" t="s">
        <v>26709</v>
      </c>
      <c r="B11217" s="3" t="s">
        <v>9863</v>
      </c>
      <c r="C11217" s="5" t="s">
        <v>206</v>
      </c>
      <c r="D11217" s="3" t="s">
        <v>68</v>
      </c>
      <c r="E11217" s="3" t="s">
        <v>100</v>
      </c>
      <c r="F11217" s="7">
        <v>45964.803124862956</v>
      </c>
      <c r="G11217" s="3" t="s">
        <v>8883</v>
      </c>
    </row>
    <row r="11218">
      <c r="A11218" s="3" t="s">
        <v>26710</v>
      </c>
      <c r="B11218" s="3" t="s">
        <v>9865</v>
      </c>
      <c r="C11218" s="5" t="s">
        <v>45</v>
      </c>
      <c r="D11218" s="3" t="s">
        <v>221</v>
      </c>
      <c r="E11218" s="3" t="s">
        <v>949</v>
      </c>
      <c r="F11218" s="7">
        <v>45964.8638830417</v>
      </c>
      <c r="G11218" s="3" t="s">
        <v>26711</v>
      </c>
    </row>
    <row r="11219">
      <c r="A11219" s="3" t="s">
        <v>26712</v>
      </c>
      <c r="B11219" s="3" t="s">
        <v>9865</v>
      </c>
      <c r="C11219" s="5" t="s">
        <v>221</v>
      </c>
      <c r="D11219" s="3" t="s">
        <v>614</v>
      </c>
      <c r="E11219" s="3" t="s">
        <v>118</v>
      </c>
      <c r="F11219" s="7">
        <v>45964.867355263916</v>
      </c>
      <c r="G11219" s="3" t="s">
        <v>26713</v>
      </c>
    </row>
    <row r="11220">
      <c r="A11220" s="3" t="s">
        <v>26714</v>
      </c>
      <c r="B11220" s="3" t="s">
        <v>9865</v>
      </c>
      <c r="C11220" s="5" t="s">
        <v>614</v>
      </c>
      <c r="D11220" s="3" t="s">
        <v>206</v>
      </c>
      <c r="E11220" s="3" t="s">
        <v>100</v>
      </c>
      <c r="F11220" s="7">
        <v>45964.87082748614</v>
      </c>
      <c r="G11220" s="3" t="s">
        <v>26715</v>
      </c>
    </row>
    <row r="11221">
      <c r="A11221" s="3" t="s">
        <v>26716</v>
      </c>
      <c r="B11221" s="3" t="s">
        <v>9865</v>
      </c>
      <c r="C11221" s="5" t="s">
        <v>206</v>
      </c>
      <c r="D11221" s="3" t="s">
        <v>68</v>
      </c>
      <c r="E11221" s="3" t="s">
        <v>100</v>
      </c>
      <c r="F11221" s="7">
        <v>45964.87429970836</v>
      </c>
      <c r="G11221" s="3" t="s">
        <v>26717</v>
      </c>
    </row>
    <row r="11222">
      <c r="A11222" s="3" t="s">
        <v>26718</v>
      </c>
      <c r="B11222" s="3" t="s">
        <v>9868</v>
      </c>
      <c r="C11222" s="5" t="s">
        <v>45</v>
      </c>
      <c r="D11222" s="3" t="s">
        <v>221</v>
      </c>
      <c r="E11222" s="3" t="s">
        <v>841</v>
      </c>
      <c r="F11222" s="7">
        <v>45964.935057887116</v>
      </c>
      <c r="G11222" s="3" t="s">
        <v>12065</v>
      </c>
    </row>
    <row r="11223">
      <c r="A11223" s="3" t="s">
        <v>26719</v>
      </c>
      <c r="B11223" s="3" t="s">
        <v>9868</v>
      </c>
      <c r="C11223" s="5" t="s">
        <v>221</v>
      </c>
      <c r="D11223" s="3" t="s">
        <v>614</v>
      </c>
      <c r="E11223" s="3" t="s">
        <v>118</v>
      </c>
      <c r="F11223" s="7">
        <v>45964.938530109335</v>
      </c>
      <c r="G11223" s="3" t="s">
        <v>12068</v>
      </c>
    </row>
    <row r="11224">
      <c r="A11224" s="3" t="s">
        <v>26720</v>
      </c>
      <c r="B11224" s="3" t="s">
        <v>9868</v>
      </c>
      <c r="C11224" s="5" t="s">
        <v>614</v>
      </c>
      <c r="D11224" s="3" t="s">
        <v>206</v>
      </c>
      <c r="E11224" s="3" t="s">
        <v>100</v>
      </c>
      <c r="F11224" s="7">
        <v>45964.94200233156</v>
      </c>
      <c r="G11224" s="3" t="s">
        <v>12071</v>
      </c>
    </row>
    <row r="11225">
      <c r="A11225" s="3" t="s">
        <v>26721</v>
      </c>
      <c r="B11225" s="3" t="s">
        <v>9868</v>
      </c>
      <c r="C11225" s="5" t="s">
        <v>206</v>
      </c>
      <c r="D11225" s="3" t="s">
        <v>68</v>
      </c>
      <c r="E11225" s="3" t="s">
        <v>100</v>
      </c>
      <c r="F11225" s="7">
        <v>45964.94547455378</v>
      </c>
      <c r="G11225" s="3" t="s">
        <v>12074</v>
      </c>
    </row>
    <row r="11226">
      <c r="A11226" s="3" t="s">
        <v>26722</v>
      </c>
      <c r="B11226" s="3" t="s">
        <v>9871</v>
      </c>
      <c r="C11226" s="5" t="s">
        <v>45</v>
      </c>
      <c r="D11226" s="3" t="s">
        <v>221</v>
      </c>
      <c r="E11226" s="3" t="s">
        <v>498</v>
      </c>
      <c r="F11226" s="7">
        <v>45965.006232732536</v>
      </c>
      <c r="G11226" s="3" t="s">
        <v>9140</v>
      </c>
    </row>
    <row r="11227">
      <c r="A11227" s="3" t="s">
        <v>26723</v>
      </c>
      <c r="B11227" s="3" t="s">
        <v>9871</v>
      </c>
      <c r="C11227" s="5" t="s">
        <v>221</v>
      </c>
      <c r="D11227" s="3" t="s">
        <v>614</v>
      </c>
      <c r="E11227" s="3" t="s">
        <v>118</v>
      </c>
      <c r="F11227" s="7">
        <v>45965.009704954755</v>
      </c>
      <c r="G11227" s="3" t="s">
        <v>13206</v>
      </c>
    </row>
    <row r="11228">
      <c r="A11228" s="3" t="s">
        <v>26724</v>
      </c>
      <c r="B11228" s="3" t="s">
        <v>9871</v>
      </c>
      <c r="C11228" s="5" t="s">
        <v>614</v>
      </c>
      <c r="D11228" s="3" t="s">
        <v>206</v>
      </c>
      <c r="E11228" s="3" t="s">
        <v>100</v>
      </c>
      <c r="F11228" s="7">
        <v>45965.01317717698</v>
      </c>
      <c r="G11228" s="3" t="s">
        <v>13210</v>
      </c>
    </row>
    <row r="11229">
      <c r="A11229" s="3" t="s">
        <v>26725</v>
      </c>
      <c r="B11229" s="3" t="s">
        <v>9871</v>
      </c>
      <c r="C11229" s="5" t="s">
        <v>206</v>
      </c>
      <c r="D11229" s="3" t="s">
        <v>68</v>
      </c>
      <c r="E11229" s="3" t="s">
        <v>100</v>
      </c>
      <c r="F11229" s="7">
        <v>45965.0166493992</v>
      </c>
      <c r="G11229" s="3" t="s">
        <v>13214</v>
      </c>
    </row>
    <row r="11230">
      <c r="A11230" s="3" t="s">
        <v>26726</v>
      </c>
      <c r="B11230" s="3" t="s">
        <v>9872</v>
      </c>
      <c r="C11230" s="5" t="s">
        <v>45</v>
      </c>
      <c r="D11230" s="3" t="s">
        <v>221</v>
      </c>
      <c r="E11230" s="3" t="s">
        <v>864</v>
      </c>
      <c r="F11230" s="7">
        <v>45965.07740757795</v>
      </c>
      <c r="G11230" s="3" t="s">
        <v>11096</v>
      </c>
    </row>
    <row r="11231">
      <c r="A11231" s="3" t="s">
        <v>26727</v>
      </c>
      <c r="B11231" s="3" t="s">
        <v>9872</v>
      </c>
      <c r="C11231" s="5" t="s">
        <v>221</v>
      </c>
      <c r="D11231" s="3" t="s">
        <v>614</v>
      </c>
      <c r="E11231" s="3" t="s">
        <v>118</v>
      </c>
      <c r="F11231" s="7">
        <v>45965.08087980017</v>
      </c>
      <c r="G11231" s="3" t="s">
        <v>11099</v>
      </c>
    </row>
    <row r="11232">
      <c r="A11232" s="3" t="s">
        <v>26728</v>
      </c>
      <c r="B11232" s="3" t="s">
        <v>9872</v>
      </c>
      <c r="C11232" s="5" t="s">
        <v>614</v>
      </c>
      <c r="D11232" s="3" t="s">
        <v>206</v>
      </c>
      <c r="E11232" s="3" t="s">
        <v>100</v>
      </c>
      <c r="F11232" s="7">
        <v>45965.08435202239</v>
      </c>
      <c r="G11232" s="3" t="s">
        <v>11101</v>
      </c>
    </row>
    <row r="11233">
      <c r="A11233" s="3" t="s">
        <v>26729</v>
      </c>
      <c r="B11233" s="3" t="s">
        <v>9872</v>
      </c>
      <c r="C11233" s="5" t="s">
        <v>206</v>
      </c>
      <c r="D11233" s="3" t="s">
        <v>68</v>
      </c>
      <c r="E11233" s="3" t="s">
        <v>100</v>
      </c>
      <c r="F11233" s="7">
        <v>45965.08782424461</v>
      </c>
      <c r="G11233" s="3" t="s">
        <v>11105</v>
      </c>
    </row>
    <row r="11234">
      <c r="A11234" s="3" t="s">
        <v>26730</v>
      </c>
      <c r="B11234" s="3" t="s">
        <v>9875</v>
      </c>
      <c r="C11234" s="5" t="s">
        <v>45</v>
      </c>
      <c r="D11234" s="3" t="s">
        <v>221</v>
      </c>
      <c r="E11234" s="3" t="s">
        <v>877</v>
      </c>
      <c r="F11234" s="7">
        <v>45965.14858242336</v>
      </c>
      <c r="G11234" s="3" t="s">
        <v>20609</v>
      </c>
    </row>
    <row r="11235">
      <c r="A11235" s="3" t="s">
        <v>26731</v>
      </c>
      <c r="B11235" s="3" t="s">
        <v>9875</v>
      </c>
      <c r="C11235" s="5" t="s">
        <v>221</v>
      </c>
      <c r="D11235" s="3" t="s">
        <v>614</v>
      </c>
      <c r="E11235" s="3" t="s">
        <v>118</v>
      </c>
      <c r="F11235" s="7">
        <v>45965.15205464558</v>
      </c>
      <c r="G11235" s="3" t="s">
        <v>20611</v>
      </c>
    </row>
    <row r="11236">
      <c r="A11236" s="3" t="s">
        <v>26732</v>
      </c>
      <c r="B11236" s="3" t="s">
        <v>9875</v>
      </c>
      <c r="C11236" s="5" t="s">
        <v>614</v>
      </c>
      <c r="D11236" s="3" t="s">
        <v>206</v>
      </c>
      <c r="E11236" s="3" t="s">
        <v>100</v>
      </c>
      <c r="F11236" s="7">
        <v>45965.155526867806</v>
      </c>
      <c r="G11236" s="3" t="s">
        <v>20614</v>
      </c>
    </row>
    <row r="11237">
      <c r="A11237" s="3" t="s">
        <v>26733</v>
      </c>
      <c r="B11237" s="3" t="s">
        <v>9875</v>
      </c>
      <c r="C11237" s="5" t="s">
        <v>206</v>
      </c>
      <c r="D11237" s="3" t="s">
        <v>68</v>
      </c>
      <c r="E11237" s="3" t="s">
        <v>100</v>
      </c>
      <c r="F11237" s="7">
        <v>45965.158999090025</v>
      </c>
      <c r="G11237" s="3" t="s">
        <v>20617</v>
      </c>
    </row>
    <row r="11238">
      <c r="A11238" s="3" t="s">
        <v>26734</v>
      </c>
      <c r="B11238" s="3" t="s">
        <v>9878</v>
      </c>
      <c r="C11238" s="5" t="s">
        <v>45</v>
      </c>
      <c r="D11238" s="3" t="s">
        <v>221</v>
      </c>
      <c r="E11238" s="3" t="s">
        <v>763</v>
      </c>
      <c r="F11238" s="7">
        <v>45965.21975726878</v>
      </c>
      <c r="G11238" s="3" t="s">
        <v>13084</v>
      </c>
    </row>
    <row r="11239">
      <c r="A11239" s="3" t="s">
        <v>26735</v>
      </c>
      <c r="B11239" s="3" t="s">
        <v>9878</v>
      </c>
      <c r="C11239" s="5" t="s">
        <v>221</v>
      </c>
      <c r="D11239" s="3" t="s">
        <v>195</v>
      </c>
      <c r="E11239" s="3" t="s">
        <v>763</v>
      </c>
      <c r="F11239" s="7">
        <v>45965.223229491</v>
      </c>
      <c r="G11239" s="3" t="s">
        <v>26736</v>
      </c>
    </row>
    <row r="11240">
      <c r="A11240" s="3" t="s">
        <v>26737</v>
      </c>
      <c r="B11240" s="3" t="s">
        <v>9880</v>
      </c>
      <c r="C11240" s="5" t="s">
        <v>45</v>
      </c>
      <c r="D11240" s="3" t="s">
        <v>221</v>
      </c>
      <c r="E11240" s="3" t="s">
        <v>253</v>
      </c>
      <c r="F11240" s="7">
        <v>45965.29093211419</v>
      </c>
      <c r="G11240" s="3" t="s">
        <v>23169</v>
      </c>
    </row>
    <row r="11241">
      <c r="A11241" s="3" t="s">
        <v>26738</v>
      </c>
      <c r="B11241" s="3" t="s">
        <v>9880</v>
      </c>
      <c r="C11241" s="5" t="s">
        <v>221</v>
      </c>
      <c r="D11241" s="3" t="s">
        <v>614</v>
      </c>
      <c r="E11241" s="3" t="s">
        <v>118</v>
      </c>
      <c r="F11241" s="7">
        <v>45965.29440433641</v>
      </c>
      <c r="G11241" s="3" t="s">
        <v>23172</v>
      </c>
    </row>
    <row r="11242">
      <c r="A11242" s="3" t="s">
        <v>26739</v>
      </c>
      <c r="B11242" s="3" t="s">
        <v>9880</v>
      </c>
      <c r="C11242" s="5" t="s">
        <v>614</v>
      </c>
      <c r="D11242" s="3" t="s">
        <v>206</v>
      </c>
      <c r="E11242" s="3" t="s">
        <v>100</v>
      </c>
      <c r="F11242" s="7">
        <v>45965.29787655864</v>
      </c>
      <c r="G11242" s="3" t="s">
        <v>23175</v>
      </c>
    </row>
    <row r="11243">
      <c r="A11243" s="3" t="s">
        <v>26740</v>
      </c>
      <c r="B11243" s="3" t="s">
        <v>9880</v>
      </c>
      <c r="C11243" s="5" t="s">
        <v>206</v>
      </c>
      <c r="D11243" s="3" t="s">
        <v>68</v>
      </c>
      <c r="E11243" s="3" t="s">
        <v>100</v>
      </c>
      <c r="F11243" s="7">
        <v>45965.30134878086</v>
      </c>
      <c r="G11243" s="3" t="s">
        <v>23178</v>
      </c>
    </row>
    <row r="11244">
      <c r="A11244" s="3" t="s">
        <v>26741</v>
      </c>
      <c r="B11244" s="3" t="s">
        <v>9882</v>
      </c>
      <c r="C11244" s="5" t="s">
        <v>45</v>
      </c>
      <c r="D11244" s="3" t="s">
        <v>221</v>
      </c>
      <c r="E11244" s="3" t="s">
        <v>366</v>
      </c>
      <c r="F11244" s="7">
        <v>45965.362106959605</v>
      </c>
      <c r="G11244" s="3" t="s">
        <v>26742</v>
      </c>
    </row>
    <row r="11245">
      <c r="A11245" s="3" t="s">
        <v>26743</v>
      </c>
      <c r="B11245" s="3" t="s">
        <v>9882</v>
      </c>
      <c r="C11245" s="5" t="s">
        <v>221</v>
      </c>
      <c r="D11245" s="3" t="s">
        <v>614</v>
      </c>
      <c r="E11245" s="3" t="s">
        <v>118</v>
      </c>
      <c r="F11245" s="7">
        <v>45965.365579181824</v>
      </c>
      <c r="G11245" s="3" t="s">
        <v>26744</v>
      </c>
    </row>
    <row r="11246">
      <c r="A11246" s="3" t="s">
        <v>26745</v>
      </c>
      <c r="B11246" s="3" t="s">
        <v>9882</v>
      </c>
      <c r="C11246" s="5" t="s">
        <v>614</v>
      </c>
      <c r="D11246" s="3" t="s">
        <v>206</v>
      </c>
      <c r="E11246" s="3" t="s">
        <v>100</v>
      </c>
      <c r="F11246" s="7">
        <v>45965.36905140405</v>
      </c>
      <c r="G11246" s="3" t="s">
        <v>26746</v>
      </c>
    </row>
    <row r="11247">
      <c r="A11247" s="3" t="s">
        <v>26747</v>
      </c>
      <c r="B11247" s="3" t="s">
        <v>9882</v>
      </c>
      <c r="C11247" s="5" t="s">
        <v>206</v>
      </c>
      <c r="D11247" s="3" t="s">
        <v>68</v>
      </c>
      <c r="E11247" s="3" t="s">
        <v>100</v>
      </c>
      <c r="F11247" s="7">
        <v>45965.37252362627</v>
      </c>
      <c r="G11247" s="3" t="s">
        <v>26748</v>
      </c>
    </row>
    <row r="11248">
      <c r="A11248" s="3" t="s">
        <v>26749</v>
      </c>
      <c r="B11248" s="3" t="s">
        <v>9885</v>
      </c>
      <c r="C11248" s="5" t="s">
        <v>45</v>
      </c>
      <c r="D11248" s="3" t="s">
        <v>221</v>
      </c>
      <c r="E11248" s="3" t="s">
        <v>496</v>
      </c>
      <c r="F11248" s="7">
        <v>45965.433281805024</v>
      </c>
      <c r="G11248" s="3" t="s">
        <v>12117</v>
      </c>
    </row>
    <row r="11249">
      <c r="A11249" s="3" t="s">
        <v>26750</v>
      </c>
      <c r="B11249" s="3" t="s">
        <v>9885</v>
      </c>
      <c r="C11249" s="5" t="s">
        <v>221</v>
      </c>
      <c r="D11249" s="3" t="s">
        <v>614</v>
      </c>
      <c r="E11249" s="3" t="s">
        <v>118</v>
      </c>
      <c r="F11249" s="7">
        <v>45965.43675402724</v>
      </c>
      <c r="G11249" s="3" t="s">
        <v>12121</v>
      </c>
    </row>
    <row r="11250">
      <c r="A11250" s="3" t="s">
        <v>26751</v>
      </c>
      <c r="B11250" s="3" t="s">
        <v>9885</v>
      </c>
      <c r="C11250" s="5" t="s">
        <v>614</v>
      </c>
      <c r="D11250" s="3" t="s">
        <v>206</v>
      </c>
      <c r="E11250" s="3" t="s">
        <v>100</v>
      </c>
      <c r="F11250" s="7">
        <v>45965.44022624947</v>
      </c>
      <c r="G11250" s="3" t="s">
        <v>12124</v>
      </c>
    </row>
    <row r="11251">
      <c r="A11251" s="3" t="s">
        <v>26752</v>
      </c>
      <c r="B11251" s="3" t="s">
        <v>9885</v>
      </c>
      <c r="C11251" s="5" t="s">
        <v>206</v>
      </c>
      <c r="D11251" s="3" t="s">
        <v>68</v>
      </c>
      <c r="E11251" s="3" t="s">
        <v>100</v>
      </c>
      <c r="F11251" s="7">
        <v>45965.44369847169</v>
      </c>
      <c r="G11251" s="3" t="s">
        <v>12128</v>
      </c>
    </row>
    <row r="11252">
      <c r="A11252" s="3" t="s">
        <v>26753</v>
      </c>
      <c r="B11252" s="3" t="s">
        <v>9887</v>
      </c>
      <c r="C11252" s="5" t="s">
        <v>45</v>
      </c>
      <c r="D11252" s="3" t="s">
        <v>221</v>
      </c>
      <c r="E11252" s="3" t="s">
        <v>559</v>
      </c>
      <c r="F11252" s="7">
        <v>45965.504456650444</v>
      </c>
      <c r="G11252" s="3" t="s">
        <v>16238</v>
      </c>
    </row>
    <row r="11253">
      <c r="A11253" s="3" t="s">
        <v>26754</v>
      </c>
      <c r="B11253" s="3" t="s">
        <v>9887</v>
      </c>
      <c r="C11253" s="5" t="s">
        <v>221</v>
      </c>
      <c r="D11253" s="3" t="s">
        <v>181</v>
      </c>
      <c r="E11253" s="3" t="s">
        <v>118</v>
      </c>
      <c r="F11253" s="7">
        <v>45965.50792887266</v>
      </c>
      <c r="G11253" s="3" t="s">
        <v>26755</v>
      </c>
    </row>
    <row r="11254">
      <c r="A11254" s="3" t="s">
        <v>26756</v>
      </c>
      <c r="B11254" s="3" t="s">
        <v>9889</v>
      </c>
      <c r="C11254" s="5" t="s">
        <v>45</v>
      </c>
      <c r="D11254" s="3" t="s">
        <v>221</v>
      </c>
      <c r="E11254" s="3" t="s">
        <v>373</v>
      </c>
      <c r="F11254" s="7">
        <v>45965.57563149585</v>
      </c>
      <c r="G11254" s="3" t="s">
        <v>12131</v>
      </c>
    </row>
    <row r="11255">
      <c r="A11255" s="3" t="s">
        <v>26757</v>
      </c>
      <c r="B11255" s="3" t="s">
        <v>9889</v>
      </c>
      <c r="C11255" s="5" t="s">
        <v>221</v>
      </c>
      <c r="D11255" s="3" t="s">
        <v>614</v>
      </c>
      <c r="E11255" s="3" t="s">
        <v>118</v>
      </c>
      <c r="F11255" s="7">
        <v>45965.57910371807</v>
      </c>
      <c r="G11255" s="3" t="s">
        <v>12133</v>
      </c>
    </row>
    <row r="11256">
      <c r="A11256" s="3" t="s">
        <v>26758</v>
      </c>
      <c r="B11256" s="3" t="s">
        <v>9889</v>
      </c>
      <c r="C11256" s="5" t="s">
        <v>614</v>
      </c>
      <c r="D11256" s="3" t="s">
        <v>206</v>
      </c>
      <c r="E11256" s="3" t="s">
        <v>100</v>
      </c>
      <c r="F11256" s="7">
        <v>45965.582575940294</v>
      </c>
      <c r="G11256" s="3" t="s">
        <v>12136</v>
      </c>
    </row>
    <row r="11257">
      <c r="A11257" s="3" t="s">
        <v>26759</v>
      </c>
      <c r="B11257" s="3" t="s">
        <v>9889</v>
      </c>
      <c r="C11257" s="5" t="s">
        <v>206</v>
      </c>
      <c r="D11257" s="3" t="s">
        <v>68</v>
      </c>
      <c r="E11257" s="3" t="s">
        <v>100</v>
      </c>
      <c r="F11257" s="7">
        <v>45965.58604816251</v>
      </c>
      <c r="G11257" s="3" t="s">
        <v>12139</v>
      </c>
    </row>
    <row r="11258">
      <c r="A11258" s="3" t="s">
        <v>26760</v>
      </c>
      <c r="B11258" s="3" t="s">
        <v>9892</v>
      </c>
      <c r="C11258" s="5" t="s">
        <v>45</v>
      </c>
      <c r="D11258" s="3" t="s">
        <v>221</v>
      </c>
      <c r="E11258" s="3" t="s">
        <v>629</v>
      </c>
      <c r="F11258" s="7">
        <v>45965.64680634127</v>
      </c>
      <c r="G11258" s="3" t="s">
        <v>12582</v>
      </c>
    </row>
    <row r="11259">
      <c r="A11259" s="3" t="s">
        <v>26761</v>
      </c>
      <c r="B11259" s="3" t="s">
        <v>9892</v>
      </c>
      <c r="C11259" s="5" t="s">
        <v>221</v>
      </c>
      <c r="D11259" s="3" t="s">
        <v>614</v>
      </c>
      <c r="E11259" s="3" t="s">
        <v>118</v>
      </c>
      <c r="F11259" s="7">
        <v>45965.65027856349</v>
      </c>
      <c r="G11259" s="3" t="s">
        <v>12585</v>
      </c>
    </row>
    <row r="11260">
      <c r="A11260" s="3" t="s">
        <v>26762</v>
      </c>
      <c r="B11260" s="3" t="s">
        <v>9892</v>
      </c>
      <c r="C11260" s="5" t="s">
        <v>614</v>
      </c>
      <c r="D11260" s="3" t="s">
        <v>206</v>
      </c>
      <c r="E11260" s="3" t="s">
        <v>100</v>
      </c>
      <c r="F11260" s="7">
        <v>45965.653750785714</v>
      </c>
      <c r="G11260" s="3" t="s">
        <v>12588</v>
      </c>
    </row>
    <row r="11261">
      <c r="A11261" s="3" t="s">
        <v>26763</v>
      </c>
      <c r="B11261" s="3" t="s">
        <v>9892</v>
      </c>
      <c r="C11261" s="5" t="s">
        <v>206</v>
      </c>
      <c r="D11261" s="3" t="s">
        <v>68</v>
      </c>
      <c r="E11261" s="3" t="s">
        <v>100</v>
      </c>
      <c r="F11261" s="7">
        <v>45965.65722300793</v>
      </c>
      <c r="G11261" s="3" t="s">
        <v>12591</v>
      </c>
    </row>
    <row r="11262">
      <c r="A11262" s="3" t="s">
        <v>26764</v>
      </c>
      <c r="B11262" s="3" t="s">
        <v>9895</v>
      </c>
      <c r="C11262" s="5" t="s">
        <v>45</v>
      </c>
      <c r="D11262" s="3" t="s">
        <v>221</v>
      </c>
      <c r="E11262" s="3" t="s">
        <v>485</v>
      </c>
      <c r="F11262" s="7">
        <v>45965.71798118669</v>
      </c>
      <c r="G11262" s="3" t="s">
        <v>12154</v>
      </c>
    </row>
    <row r="11263">
      <c r="A11263" s="3" t="s">
        <v>26765</v>
      </c>
      <c r="B11263" s="3" t="s">
        <v>9895</v>
      </c>
      <c r="C11263" s="5" t="s">
        <v>221</v>
      </c>
      <c r="D11263" s="3" t="s">
        <v>614</v>
      </c>
      <c r="E11263" s="3" t="s">
        <v>118</v>
      </c>
      <c r="F11263" s="7">
        <v>45965.72145340891</v>
      </c>
      <c r="G11263" s="3" t="s">
        <v>12157</v>
      </c>
    </row>
    <row r="11264">
      <c r="A11264" s="3" t="s">
        <v>26766</v>
      </c>
      <c r="B11264" s="3" t="s">
        <v>9895</v>
      </c>
      <c r="C11264" s="5" t="s">
        <v>614</v>
      </c>
      <c r="D11264" s="3" t="s">
        <v>206</v>
      </c>
      <c r="E11264" s="3" t="s">
        <v>100</v>
      </c>
      <c r="F11264" s="7">
        <v>45965.72492563113</v>
      </c>
      <c r="G11264" s="3" t="s">
        <v>12160</v>
      </c>
    </row>
    <row r="11265">
      <c r="A11265" s="3" t="s">
        <v>26767</v>
      </c>
      <c r="B11265" s="3" t="s">
        <v>9895</v>
      </c>
      <c r="C11265" s="5" t="s">
        <v>206</v>
      </c>
      <c r="D11265" s="3" t="s">
        <v>68</v>
      </c>
      <c r="E11265" s="3" t="s">
        <v>100</v>
      </c>
      <c r="F11265" s="7">
        <v>45965.72839785335</v>
      </c>
      <c r="G11265" s="3" t="s">
        <v>12164</v>
      </c>
    </row>
    <row r="11266">
      <c r="A11266" s="3" t="s">
        <v>26768</v>
      </c>
      <c r="B11266" s="3" t="s">
        <v>9896</v>
      </c>
      <c r="C11266" s="5" t="s">
        <v>45</v>
      </c>
      <c r="D11266" s="3" t="s">
        <v>221</v>
      </c>
      <c r="E11266" s="3" t="s">
        <v>533</v>
      </c>
      <c r="F11266" s="7">
        <v>45965.7891560321</v>
      </c>
      <c r="G11266" s="3" t="s">
        <v>24165</v>
      </c>
    </row>
    <row r="11267">
      <c r="A11267" s="3" t="s">
        <v>26769</v>
      </c>
      <c r="B11267" s="3" t="s">
        <v>9896</v>
      </c>
      <c r="C11267" s="5" t="s">
        <v>221</v>
      </c>
      <c r="D11267" s="3" t="s">
        <v>614</v>
      </c>
      <c r="E11267" s="3" t="s">
        <v>118</v>
      </c>
      <c r="F11267" s="7">
        <v>45965.79262825432</v>
      </c>
      <c r="G11267" s="3" t="s">
        <v>24167</v>
      </c>
    </row>
    <row r="11268">
      <c r="A11268" s="3" t="s">
        <v>26770</v>
      </c>
      <c r="B11268" s="3" t="s">
        <v>9896</v>
      </c>
      <c r="C11268" s="5" t="s">
        <v>614</v>
      </c>
      <c r="D11268" s="3" t="s">
        <v>206</v>
      </c>
      <c r="E11268" s="3" t="s">
        <v>100</v>
      </c>
      <c r="F11268" s="7">
        <v>45965.796100476546</v>
      </c>
      <c r="G11268" s="3" t="s">
        <v>24169</v>
      </c>
    </row>
    <row r="11269">
      <c r="A11269" s="3" t="s">
        <v>26771</v>
      </c>
      <c r="B11269" s="3" t="s">
        <v>9896</v>
      </c>
      <c r="C11269" s="5" t="s">
        <v>206</v>
      </c>
      <c r="D11269" s="3" t="s">
        <v>68</v>
      </c>
      <c r="E11269" s="3" t="s">
        <v>100</v>
      </c>
      <c r="F11269" s="7">
        <v>45965.799572698765</v>
      </c>
      <c r="G11269" s="3" t="s">
        <v>24171</v>
      </c>
    </row>
    <row r="11270">
      <c r="A11270" s="3" t="s">
        <v>26772</v>
      </c>
      <c r="B11270" s="3" t="s">
        <v>9898</v>
      </c>
      <c r="C11270" s="5" t="s">
        <v>45</v>
      </c>
      <c r="D11270" s="3" t="s">
        <v>221</v>
      </c>
      <c r="E11270" s="3" t="s">
        <v>165</v>
      </c>
      <c r="F11270" s="7">
        <v>45965.86033087751</v>
      </c>
      <c r="G11270" s="3" t="s">
        <v>24623</v>
      </c>
    </row>
    <row r="11271">
      <c r="A11271" s="3" t="s">
        <v>26773</v>
      </c>
      <c r="B11271" s="3" t="s">
        <v>9898</v>
      </c>
      <c r="C11271" s="5" t="s">
        <v>221</v>
      </c>
      <c r="D11271" s="3" t="s">
        <v>614</v>
      </c>
      <c r="E11271" s="3" t="s">
        <v>118</v>
      </c>
      <c r="F11271" s="7">
        <v>45965.86380309973</v>
      </c>
      <c r="G11271" s="3" t="s">
        <v>24625</v>
      </c>
    </row>
    <row r="11272">
      <c r="A11272" s="3" t="s">
        <v>26774</v>
      </c>
      <c r="B11272" s="3" t="s">
        <v>9898</v>
      </c>
      <c r="C11272" s="5" t="s">
        <v>614</v>
      </c>
      <c r="D11272" s="3" t="s">
        <v>206</v>
      </c>
      <c r="E11272" s="3" t="s">
        <v>100</v>
      </c>
      <c r="F11272" s="7">
        <v>45965.86727532196</v>
      </c>
      <c r="G11272" s="3" t="s">
        <v>24627</v>
      </c>
    </row>
    <row r="11273">
      <c r="A11273" s="3" t="s">
        <v>26775</v>
      </c>
      <c r="B11273" s="3" t="s">
        <v>9898</v>
      </c>
      <c r="C11273" s="5" t="s">
        <v>206</v>
      </c>
      <c r="D11273" s="3" t="s">
        <v>68</v>
      </c>
      <c r="E11273" s="3" t="s">
        <v>100</v>
      </c>
      <c r="F11273" s="7">
        <v>45965.87074754418</v>
      </c>
      <c r="G11273" s="3" t="s">
        <v>24629</v>
      </c>
    </row>
    <row r="11274">
      <c r="A11274" s="3" t="s">
        <v>26776</v>
      </c>
      <c r="B11274" s="3" t="s">
        <v>9900</v>
      </c>
      <c r="C11274" s="5" t="s">
        <v>45</v>
      </c>
      <c r="D11274" s="3" t="s">
        <v>221</v>
      </c>
      <c r="E11274" s="3" t="s">
        <v>903</v>
      </c>
      <c r="F11274" s="7">
        <v>45965.93150572293</v>
      </c>
      <c r="G11274" s="3" t="s">
        <v>12179</v>
      </c>
    </row>
    <row r="11275">
      <c r="A11275" s="3" t="s">
        <v>26777</v>
      </c>
      <c r="B11275" s="3" t="s">
        <v>9900</v>
      </c>
      <c r="C11275" s="5" t="s">
        <v>221</v>
      </c>
      <c r="D11275" s="3" t="s">
        <v>614</v>
      </c>
      <c r="E11275" s="3" t="s">
        <v>118</v>
      </c>
      <c r="F11275" s="7">
        <v>45965.93497794515</v>
      </c>
      <c r="G11275" s="3" t="s">
        <v>12182</v>
      </c>
    </row>
    <row r="11276">
      <c r="A11276" s="3" t="s">
        <v>26778</v>
      </c>
      <c r="B11276" s="3" t="s">
        <v>9900</v>
      </c>
      <c r="C11276" s="5" t="s">
        <v>614</v>
      </c>
      <c r="D11276" s="3" t="s">
        <v>206</v>
      </c>
      <c r="E11276" s="3" t="s">
        <v>100</v>
      </c>
      <c r="F11276" s="7">
        <v>45965.93845016738</v>
      </c>
      <c r="G11276" s="3" t="s">
        <v>12185</v>
      </c>
    </row>
    <row r="11277">
      <c r="A11277" s="3" t="s">
        <v>26779</v>
      </c>
      <c r="B11277" s="3" t="s">
        <v>9900</v>
      </c>
      <c r="C11277" s="5" t="s">
        <v>206</v>
      </c>
      <c r="D11277" s="3" t="s">
        <v>68</v>
      </c>
      <c r="E11277" s="3" t="s">
        <v>100</v>
      </c>
      <c r="F11277" s="7">
        <v>45965.9419223896</v>
      </c>
      <c r="G11277" s="3" t="s">
        <v>12188</v>
      </c>
    </row>
    <row r="11278">
      <c r="A11278" s="3" t="s">
        <v>26780</v>
      </c>
      <c r="B11278" s="3" t="s">
        <v>9902</v>
      </c>
      <c r="C11278" s="5" t="s">
        <v>45</v>
      </c>
      <c r="D11278" s="3" t="s">
        <v>221</v>
      </c>
      <c r="E11278" s="3" t="s">
        <v>672</v>
      </c>
      <c r="F11278" s="7">
        <v>45966.002680568345</v>
      </c>
      <c r="G11278" s="3" t="s">
        <v>12203</v>
      </c>
    </row>
    <row r="11279">
      <c r="A11279" s="3" t="s">
        <v>26781</v>
      </c>
      <c r="B11279" s="3" t="s">
        <v>9902</v>
      </c>
      <c r="C11279" s="5" t="s">
        <v>221</v>
      </c>
      <c r="D11279" s="3" t="s">
        <v>614</v>
      </c>
      <c r="E11279" s="3" t="s">
        <v>118</v>
      </c>
      <c r="F11279" s="7">
        <v>45966.006152790564</v>
      </c>
      <c r="G11279" s="3" t="s">
        <v>12206</v>
      </c>
    </row>
    <row r="11280">
      <c r="A11280" s="3" t="s">
        <v>26782</v>
      </c>
      <c r="B11280" s="3" t="s">
        <v>9902</v>
      </c>
      <c r="C11280" s="5" t="s">
        <v>614</v>
      </c>
      <c r="D11280" s="3" t="s">
        <v>206</v>
      </c>
      <c r="E11280" s="3" t="s">
        <v>100</v>
      </c>
      <c r="F11280" s="7">
        <v>45966.00962501279</v>
      </c>
      <c r="G11280" s="3" t="s">
        <v>12209</v>
      </c>
    </row>
    <row r="11281">
      <c r="A11281" s="3" t="s">
        <v>26783</v>
      </c>
      <c r="B11281" s="3" t="s">
        <v>9902</v>
      </c>
      <c r="C11281" s="5" t="s">
        <v>206</v>
      </c>
      <c r="D11281" s="3" t="s">
        <v>68</v>
      </c>
      <c r="E11281" s="3" t="s">
        <v>100</v>
      </c>
      <c r="F11281" s="7">
        <v>45966.01309723501</v>
      </c>
      <c r="G11281" s="3" t="s">
        <v>12211</v>
      </c>
    </row>
    <row r="11282">
      <c r="A11282" s="3" t="s">
        <v>26784</v>
      </c>
      <c r="B11282" s="3" t="s">
        <v>9903</v>
      </c>
      <c r="C11282" s="5" t="s">
        <v>45</v>
      </c>
      <c r="D11282" s="3" t="s">
        <v>221</v>
      </c>
      <c r="E11282" s="3" t="s">
        <v>307</v>
      </c>
      <c r="F11282" s="7">
        <v>45966.07385541376</v>
      </c>
      <c r="G11282" s="3" t="s">
        <v>10352</v>
      </c>
    </row>
    <row r="11283">
      <c r="A11283" s="3" t="s">
        <v>26785</v>
      </c>
      <c r="B11283" s="3" t="s">
        <v>9903</v>
      </c>
      <c r="C11283" s="5" t="s">
        <v>221</v>
      </c>
      <c r="D11283" s="3" t="s">
        <v>181</v>
      </c>
      <c r="E11283" s="3" t="s">
        <v>118</v>
      </c>
      <c r="F11283" s="7">
        <v>45966.077327635976</v>
      </c>
      <c r="G11283" s="3" t="s">
        <v>26786</v>
      </c>
    </row>
    <row r="11284">
      <c r="A11284" s="3" t="s">
        <v>26787</v>
      </c>
      <c r="B11284" s="3" t="s">
        <v>9905</v>
      </c>
      <c r="C11284" s="5" t="s">
        <v>45</v>
      </c>
      <c r="D11284" s="3" t="s">
        <v>221</v>
      </c>
      <c r="E11284" s="3" t="s">
        <v>145</v>
      </c>
      <c r="F11284" s="7">
        <v>45966.14503025918</v>
      </c>
      <c r="G11284" s="3" t="s">
        <v>12266</v>
      </c>
    </row>
    <row r="11285">
      <c r="A11285" s="3" t="s">
        <v>26788</v>
      </c>
      <c r="B11285" s="3" t="s">
        <v>9905</v>
      </c>
      <c r="C11285" s="5" t="s">
        <v>221</v>
      </c>
      <c r="D11285" s="3" t="s">
        <v>614</v>
      </c>
      <c r="E11285" s="3" t="s">
        <v>118</v>
      </c>
      <c r="F11285" s="7">
        <v>45966.148502481396</v>
      </c>
      <c r="G11285" s="3" t="s">
        <v>12269</v>
      </c>
    </row>
    <row r="11286">
      <c r="A11286" s="3" t="s">
        <v>26789</v>
      </c>
      <c r="B11286" s="3" t="s">
        <v>9905</v>
      </c>
      <c r="C11286" s="5" t="s">
        <v>614</v>
      </c>
      <c r="D11286" s="3" t="s">
        <v>206</v>
      </c>
      <c r="E11286" s="3" t="s">
        <v>100</v>
      </c>
      <c r="F11286" s="7">
        <v>45966.15197470362</v>
      </c>
      <c r="G11286" s="3" t="s">
        <v>12272</v>
      </c>
    </row>
    <row r="11287">
      <c r="A11287" s="3" t="s">
        <v>26790</v>
      </c>
      <c r="B11287" s="3" t="s">
        <v>9905</v>
      </c>
      <c r="C11287" s="5" t="s">
        <v>206</v>
      </c>
      <c r="D11287" s="3" t="s">
        <v>68</v>
      </c>
      <c r="E11287" s="3" t="s">
        <v>100</v>
      </c>
      <c r="F11287" s="7">
        <v>45966.15544692584</v>
      </c>
      <c r="G11287" s="3" t="s">
        <v>12276</v>
      </c>
    </row>
    <row r="11288">
      <c r="A11288" s="3" t="s">
        <v>26791</v>
      </c>
      <c r="B11288" s="3" t="s">
        <v>9907</v>
      </c>
      <c r="C11288" s="5" t="s">
        <v>45</v>
      </c>
      <c r="D11288" s="3" t="s">
        <v>221</v>
      </c>
      <c r="E11288" s="3" t="s">
        <v>767</v>
      </c>
      <c r="F11288" s="7">
        <v>45966.21620510459</v>
      </c>
      <c r="G11288" s="3" t="s">
        <v>12334</v>
      </c>
    </row>
    <row r="11289">
      <c r="A11289" s="3" t="s">
        <v>26792</v>
      </c>
      <c r="B11289" s="3" t="s">
        <v>9907</v>
      </c>
      <c r="C11289" s="5" t="s">
        <v>221</v>
      </c>
      <c r="D11289" s="3" t="s">
        <v>614</v>
      </c>
      <c r="E11289" s="3" t="s">
        <v>118</v>
      </c>
      <c r="F11289" s="7">
        <v>45966.21967732681</v>
      </c>
      <c r="G11289" s="3" t="s">
        <v>12337</v>
      </c>
    </row>
    <row r="11290">
      <c r="A11290" s="3" t="s">
        <v>26793</v>
      </c>
      <c r="B11290" s="3" t="s">
        <v>9907</v>
      </c>
      <c r="C11290" s="5" t="s">
        <v>614</v>
      </c>
      <c r="D11290" s="3" t="s">
        <v>206</v>
      </c>
      <c r="E11290" s="3" t="s">
        <v>100</v>
      </c>
      <c r="F11290" s="7">
        <v>45966.223149549034</v>
      </c>
      <c r="G11290" s="3" t="s">
        <v>12340</v>
      </c>
    </row>
    <row r="11291">
      <c r="A11291" s="3" t="s">
        <v>26794</v>
      </c>
      <c r="B11291" s="3" t="s">
        <v>9907</v>
      </c>
      <c r="C11291" s="5" t="s">
        <v>206</v>
      </c>
      <c r="D11291" s="3" t="s">
        <v>68</v>
      </c>
      <c r="E11291" s="3" t="s">
        <v>100</v>
      </c>
      <c r="F11291" s="7">
        <v>45966.22662177125</v>
      </c>
      <c r="G11291" s="3" t="s">
        <v>12342</v>
      </c>
    </row>
    <row r="11292">
      <c r="A11292" s="3" t="s">
        <v>26795</v>
      </c>
      <c r="B11292" s="3" t="s">
        <v>9908</v>
      </c>
      <c r="C11292" s="5" t="s">
        <v>45</v>
      </c>
      <c r="D11292" s="3" t="s">
        <v>221</v>
      </c>
      <c r="E11292" s="3" t="s">
        <v>414</v>
      </c>
      <c r="F11292" s="7">
        <v>45966.28737995</v>
      </c>
      <c r="G11292" s="3" t="s">
        <v>21020</v>
      </c>
    </row>
    <row r="11293">
      <c r="A11293" s="3" t="s">
        <v>26796</v>
      </c>
      <c r="B11293" s="3" t="s">
        <v>9908</v>
      </c>
      <c r="C11293" s="5" t="s">
        <v>221</v>
      </c>
      <c r="D11293" s="3" t="s">
        <v>614</v>
      </c>
      <c r="E11293" s="3" t="s">
        <v>118</v>
      </c>
      <c r="F11293" s="7">
        <v>45966.29085217222</v>
      </c>
      <c r="G11293" s="3" t="s">
        <v>21023</v>
      </c>
    </row>
    <row r="11294">
      <c r="A11294" s="3" t="s">
        <v>26797</v>
      </c>
      <c r="B11294" s="3" t="s">
        <v>9908</v>
      </c>
      <c r="C11294" s="5" t="s">
        <v>614</v>
      </c>
      <c r="D11294" s="3" t="s">
        <v>206</v>
      </c>
      <c r="E11294" s="3" t="s">
        <v>100</v>
      </c>
      <c r="F11294" s="7">
        <v>45966.29432439445</v>
      </c>
      <c r="G11294" s="3" t="s">
        <v>21026</v>
      </c>
    </row>
    <row r="11295">
      <c r="A11295" s="3" t="s">
        <v>26798</v>
      </c>
      <c r="B11295" s="3" t="s">
        <v>9908</v>
      </c>
      <c r="C11295" s="5" t="s">
        <v>206</v>
      </c>
      <c r="D11295" s="3" t="s">
        <v>68</v>
      </c>
      <c r="E11295" s="3" t="s">
        <v>100</v>
      </c>
      <c r="F11295" s="7">
        <v>45966.297796616665</v>
      </c>
      <c r="G11295" s="3" t="s">
        <v>21029</v>
      </c>
    </row>
    <row r="11296">
      <c r="A11296" s="3" t="s">
        <v>26799</v>
      </c>
      <c r="B11296" s="3" t="s">
        <v>9910</v>
      </c>
      <c r="C11296" s="5" t="s">
        <v>45</v>
      </c>
      <c r="D11296" s="3" t="s">
        <v>221</v>
      </c>
      <c r="E11296" s="3" t="s">
        <v>591</v>
      </c>
      <c r="F11296" s="7">
        <v>45966.35855479542</v>
      </c>
      <c r="G11296" s="3" t="s">
        <v>15958</v>
      </c>
    </row>
    <row r="11297">
      <c r="A11297" s="3" t="s">
        <v>26800</v>
      </c>
      <c r="B11297" s="3" t="s">
        <v>9910</v>
      </c>
      <c r="C11297" s="5" t="s">
        <v>221</v>
      </c>
      <c r="D11297" s="3" t="s">
        <v>614</v>
      </c>
      <c r="E11297" s="3" t="s">
        <v>118</v>
      </c>
      <c r="F11297" s="7">
        <v>45966.36202701764</v>
      </c>
      <c r="G11297" s="3" t="s">
        <v>15961</v>
      </c>
    </row>
    <row r="11298">
      <c r="A11298" s="3" t="s">
        <v>26801</v>
      </c>
      <c r="B11298" s="3" t="s">
        <v>9910</v>
      </c>
      <c r="C11298" s="5" t="s">
        <v>614</v>
      </c>
      <c r="D11298" s="3" t="s">
        <v>206</v>
      </c>
      <c r="E11298" s="3" t="s">
        <v>100</v>
      </c>
      <c r="F11298" s="7">
        <v>45966.365499239866</v>
      </c>
      <c r="G11298" s="3" t="s">
        <v>15964</v>
      </c>
    </row>
    <row r="11299">
      <c r="A11299" s="3" t="s">
        <v>26802</v>
      </c>
      <c r="B11299" s="3" t="s">
        <v>9910</v>
      </c>
      <c r="C11299" s="5" t="s">
        <v>206</v>
      </c>
      <c r="D11299" s="3" t="s">
        <v>68</v>
      </c>
      <c r="E11299" s="3" t="s">
        <v>100</v>
      </c>
      <c r="F11299" s="7">
        <v>45966.368971462085</v>
      </c>
      <c r="G11299" s="3" t="s">
        <v>15967</v>
      </c>
    </row>
    <row r="11300">
      <c r="A11300" s="3" t="s">
        <v>26803</v>
      </c>
      <c r="B11300" s="3" t="s">
        <v>9912</v>
      </c>
      <c r="C11300" s="5" t="s">
        <v>45</v>
      </c>
      <c r="D11300" s="3" t="s">
        <v>221</v>
      </c>
      <c r="E11300" s="3" t="s">
        <v>631</v>
      </c>
      <c r="F11300" s="7">
        <v>45966.42972964083</v>
      </c>
      <c r="G11300" s="3" t="s">
        <v>4574</v>
      </c>
    </row>
    <row r="11301">
      <c r="A11301" s="3" t="s">
        <v>26804</v>
      </c>
      <c r="B11301" s="3" t="s">
        <v>9912</v>
      </c>
      <c r="C11301" s="5" t="s">
        <v>221</v>
      </c>
      <c r="D11301" s="3" t="s">
        <v>181</v>
      </c>
      <c r="E11301" s="3" t="s">
        <v>118</v>
      </c>
      <c r="F11301" s="7">
        <v>45966.43320186305</v>
      </c>
      <c r="G11301" s="3" t="s">
        <v>26805</v>
      </c>
    </row>
    <row r="11302">
      <c r="A11302" s="3" t="s">
        <v>26806</v>
      </c>
      <c r="B11302" s="3" t="s">
        <v>9914</v>
      </c>
      <c r="C11302" s="5" t="s">
        <v>45</v>
      </c>
      <c r="D11302" s="3" t="s">
        <v>221</v>
      </c>
      <c r="E11302" s="3" t="s">
        <v>557</v>
      </c>
      <c r="F11302" s="7">
        <v>45966.500904486245</v>
      </c>
      <c r="G11302" s="3" t="s">
        <v>13585</v>
      </c>
    </row>
    <row r="11303">
      <c r="A11303" s="3" t="s">
        <v>26807</v>
      </c>
      <c r="B11303" s="3" t="s">
        <v>9914</v>
      </c>
      <c r="C11303" s="5" t="s">
        <v>221</v>
      </c>
      <c r="D11303" s="3" t="s">
        <v>614</v>
      </c>
      <c r="E11303" s="3" t="s">
        <v>118</v>
      </c>
      <c r="F11303" s="7">
        <v>45966.504376708464</v>
      </c>
      <c r="G11303" s="3" t="s">
        <v>13587</v>
      </c>
    </row>
    <row r="11304">
      <c r="A11304" s="3" t="s">
        <v>26808</v>
      </c>
      <c r="B11304" s="3" t="s">
        <v>9914</v>
      </c>
      <c r="C11304" s="5" t="s">
        <v>614</v>
      </c>
      <c r="D11304" s="3" t="s">
        <v>206</v>
      </c>
      <c r="E11304" s="3" t="s">
        <v>100</v>
      </c>
      <c r="F11304" s="7">
        <v>45966.50784893069</v>
      </c>
      <c r="G11304" s="3" t="s">
        <v>13590</v>
      </c>
    </row>
    <row r="11305">
      <c r="A11305" s="3" t="s">
        <v>26809</v>
      </c>
      <c r="B11305" s="3" t="s">
        <v>9914</v>
      </c>
      <c r="C11305" s="5" t="s">
        <v>206</v>
      </c>
      <c r="D11305" s="3" t="s">
        <v>68</v>
      </c>
      <c r="E11305" s="3" t="s">
        <v>100</v>
      </c>
      <c r="F11305" s="7">
        <v>45966.51132115291</v>
      </c>
      <c r="G11305" s="3" t="s">
        <v>13593</v>
      </c>
    </row>
    <row r="11306">
      <c r="A11306" s="3" t="s">
        <v>26810</v>
      </c>
      <c r="B11306" s="3" t="s">
        <v>9916</v>
      </c>
      <c r="C11306" s="5" t="s">
        <v>45</v>
      </c>
      <c r="D11306" s="3" t="s">
        <v>221</v>
      </c>
      <c r="E11306" s="3" t="s">
        <v>561</v>
      </c>
      <c r="F11306" s="7">
        <v>45966.572079331665</v>
      </c>
      <c r="G11306" s="3" t="s">
        <v>12353</v>
      </c>
    </row>
    <row r="11307">
      <c r="A11307" s="3" t="s">
        <v>26811</v>
      </c>
      <c r="B11307" s="3" t="s">
        <v>9916</v>
      </c>
      <c r="C11307" s="5" t="s">
        <v>221</v>
      </c>
      <c r="D11307" s="3" t="s">
        <v>614</v>
      </c>
      <c r="E11307" s="3" t="s">
        <v>118</v>
      </c>
      <c r="F11307" s="7">
        <v>45966.575551553884</v>
      </c>
      <c r="G11307" s="3" t="s">
        <v>12356</v>
      </c>
    </row>
    <row r="11308">
      <c r="A11308" s="3" t="s">
        <v>26812</v>
      </c>
      <c r="B11308" s="3" t="s">
        <v>9916</v>
      </c>
      <c r="C11308" s="5" t="s">
        <v>614</v>
      </c>
      <c r="D11308" s="3" t="s">
        <v>206</v>
      </c>
      <c r="E11308" s="3" t="s">
        <v>100</v>
      </c>
      <c r="F11308" s="7">
        <v>45966.57902377611</v>
      </c>
      <c r="G11308" s="3" t="s">
        <v>12358</v>
      </c>
    </row>
    <row r="11309">
      <c r="A11309" s="3" t="s">
        <v>26813</v>
      </c>
      <c r="B11309" s="3" t="s">
        <v>9916</v>
      </c>
      <c r="C11309" s="5" t="s">
        <v>206</v>
      </c>
      <c r="D11309" s="3" t="s">
        <v>68</v>
      </c>
      <c r="E11309" s="3" t="s">
        <v>100</v>
      </c>
      <c r="F11309" s="7">
        <v>45966.58249599833</v>
      </c>
      <c r="G11309" s="3" t="s">
        <v>12361</v>
      </c>
    </row>
    <row r="11310">
      <c r="A11310" s="3" t="s">
        <v>26814</v>
      </c>
      <c r="B11310" s="3" t="s">
        <v>9918</v>
      </c>
      <c r="C11310" s="5" t="s">
        <v>45</v>
      </c>
      <c r="D11310" s="3" t="s">
        <v>221</v>
      </c>
      <c r="E11310" s="3" t="s">
        <v>920</v>
      </c>
      <c r="F11310" s="7">
        <v>45966.643254177085</v>
      </c>
      <c r="G11310" s="3" t="s">
        <v>26815</v>
      </c>
    </row>
    <row r="11311">
      <c r="A11311" s="3" t="s">
        <v>26816</v>
      </c>
      <c r="B11311" s="3" t="s">
        <v>9918</v>
      </c>
      <c r="C11311" s="5" t="s">
        <v>221</v>
      </c>
      <c r="D11311" s="3" t="s">
        <v>614</v>
      </c>
      <c r="E11311" s="3" t="s">
        <v>118</v>
      </c>
      <c r="F11311" s="7">
        <v>45966.6467263993</v>
      </c>
      <c r="G11311" s="3" t="s">
        <v>26817</v>
      </c>
    </row>
    <row r="11312">
      <c r="A11312" s="3" t="s">
        <v>26818</v>
      </c>
      <c r="B11312" s="3" t="s">
        <v>9918</v>
      </c>
      <c r="C11312" s="5" t="s">
        <v>614</v>
      </c>
      <c r="D11312" s="3" t="s">
        <v>206</v>
      </c>
      <c r="E11312" s="3" t="s">
        <v>100</v>
      </c>
      <c r="F11312" s="7">
        <v>45966.65019862153</v>
      </c>
      <c r="G11312" s="3" t="s">
        <v>26819</v>
      </c>
    </row>
    <row r="11313">
      <c r="A11313" s="3" t="s">
        <v>26820</v>
      </c>
      <c r="B11313" s="3" t="s">
        <v>9918</v>
      </c>
      <c r="C11313" s="5" t="s">
        <v>206</v>
      </c>
      <c r="D11313" s="3" t="s">
        <v>68</v>
      </c>
      <c r="E11313" s="3" t="s">
        <v>100</v>
      </c>
      <c r="F11313" s="7">
        <v>45966.65367084375</v>
      </c>
      <c r="G11313" s="3" t="s">
        <v>26821</v>
      </c>
    </row>
    <row r="11314">
      <c r="A11314" s="3" t="s">
        <v>26822</v>
      </c>
      <c r="B11314" s="3" t="s">
        <v>9921</v>
      </c>
      <c r="C11314" s="5" t="s">
        <v>45</v>
      </c>
      <c r="D11314" s="3" t="s">
        <v>221</v>
      </c>
      <c r="E11314" s="3" t="s">
        <v>168</v>
      </c>
      <c r="F11314" s="7">
        <v>45966.71442902249</v>
      </c>
      <c r="G11314" s="3" t="s">
        <v>12142</v>
      </c>
    </row>
    <row r="11315">
      <c r="A11315" s="3" t="s">
        <v>26823</v>
      </c>
      <c r="B11315" s="3" t="s">
        <v>9921</v>
      </c>
      <c r="C11315" s="5" t="s">
        <v>221</v>
      </c>
      <c r="D11315" s="3" t="s">
        <v>614</v>
      </c>
      <c r="E11315" s="3" t="s">
        <v>118</v>
      </c>
      <c r="F11315" s="7">
        <v>45966.71790124471</v>
      </c>
      <c r="G11315" s="3" t="s">
        <v>12145</v>
      </c>
    </row>
    <row r="11316">
      <c r="A11316" s="3" t="s">
        <v>26824</v>
      </c>
      <c r="B11316" s="3" t="s">
        <v>9921</v>
      </c>
      <c r="C11316" s="5" t="s">
        <v>614</v>
      </c>
      <c r="D11316" s="3" t="s">
        <v>206</v>
      </c>
      <c r="E11316" s="3" t="s">
        <v>100</v>
      </c>
      <c r="F11316" s="7">
        <v>45966.721373466935</v>
      </c>
      <c r="G11316" s="3" t="s">
        <v>12148</v>
      </c>
    </row>
    <row r="11317">
      <c r="A11317" s="3" t="s">
        <v>26825</v>
      </c>
      <c r="B11317" s="3" t="s">
        <v>9921</v>
      </c>
      <c r="C11317" s="5" t="s">
        <v>206</v>
      </c>
      <c r="D11317" s="3" t="s">
        <v>68</v>
      </c>
      <c r="E11317" s="3" t="s">
        <v>100</v>
      </c>
      <c r="F11317" s="7">
        <v>45966.724845689154</v>
      </c>
      <c r="G11317" s="3" t="s">
        <v>12151</v>
      </c>
    </row>
    <row r="11318">
      <c r="A11318" s="3" t="s">
        <v>26826</v>
      </c>
      <c r="B11318" s="3" t="s">
        <v>9924</v>
      </c>
      <c r="C11318" s="5" t="s">
        <v>45</v>
      </c>
      <c r="D11318" s="3" t="s">
        <v>221</v>
      </c>
      <c r="E11318" s="3" t="s">
        <v>886</v>
      </c>
      <c r="F11318" s="7">
        <v>45966.78560386791</v>
      </c>
      <c r="G11318" s="3" t="s">
        <v>26381</v>
      </c>
    </row>
    <row r="11319">
      <c r="A11319" s="3" t="s">
        <v>26827</v>
      </c>
      <c r="B11319" s="3" t="s">
        <v>9924</v>
      </c>
      <c r="C11319" s="5" t="s">
        <v>221</v>
      </c>
      <c r="D11319" s="3" t="s">
        <v>614</v>
      </c>
      <c r="E11319" s="3" t="s">
        <v>118</v>
      </c>
      <c r="F11319" s="7">
        <v>45966.78907609013</v>
      </c>
      <c r="G11319" s="3" t="s">
        <v>26383</v>
      </c>
    </row>
    <row r="11320">
      <c r="A11320" s="3" t="s">
        <v>26828</v>
      </c>
      <c r="B11320" s="3" t="s">
        <v>9924</v>
      </c>
      <c r="C11320" s="5" t="s">
        <v>614</v>
      </c>
      <c r="D11320" s="3" t="s">
        <v>206</v>
      </c>
      <c r="E11320" s="3" t="s">
        <v>100</v>
      </c>
      <c r="F11320" s="7">
        <v>45966.792548312354</v>
      </c>
      <c r="G11320" s="3" t="s">
        <v>26385</v>
      </c>
    </row>
    <row r="11321">
      <c r="A11321" s="3" t="s">
        <v>26829</v>
      </c>
      <c r="B11321" s="3" t="s">
        <v>9924</v>
      </c>
      <c r="C11321" s="5" t="s">
        <v>206</v>
      </c>
      <c r="D11321" s="3" t="s">
        <v>68</v>
      </c>
      <c r="E11321" s="3" t="s">
        <v>100</v>
      </c>
      <c r="F11321" s="7">
        <v>45966.79602053457</v>
      </c>
      <c r="G11321" s="3" t="s">
        <v>26387</v>
      </c>
    </row>
    <row r="11322">
      <c r="A11322" s="3" t="s">
        <v>26830</v>
      </c>
      <c r="B11322" s="3" t="s">
        <v>9926</v>
      </c>
      <c r="C11322" s="5" t="s">
        <v>45</v>
      </c>
      <c r="D11322" s="3" t="s">
        <v>221</v>
      </c>
      <c r="E11322" s="3" t="s">
        <v>547</v>
      </c>
      <c r="F11322" s="7">
        <v>45966.85677871333</v>
      </c>
      <c r="G11322" s="3" t="s">
        <v>9004</v>
      </c>
    </row>
    <row r="11323">
      <c r="A11323" s="3" t="s">
        <v>26831</v>
      </c>
      <c r="B11323" s="3" t="s">
        <v>9926</v>
      </c>
      <c r="C11323" s="5" t="s">
        <v>221</v>
      </c>
      <c r="D11323" s="3" t="s">
        <v>181</v>
      </c>
      <c r="E11323" s="3" t="s">
        <v>118</v>
      </c>
      <c r="F11323" s="7">
        <v>45966.86025093555</v>
      </c>
      <c r="G11323" s="3" t="s">
        <v>26832</v>
      </c>
    </row>
    <row r="11324">
      <c r="A11324" s="3" t="s">
        <v>26833</v>
      </c>
      <c r="B11324" s="3" t="s">
        <v>9928</v>
      </c>
      <c r="C11324" s="5" t="s">
        <v>45</v>
      </c>
      <c r="D11324" s="3" t="s">
        <v>221</v>
      </c>
      <c r="E11324" s="3" t="s">
        <v>767</v>
      </c>
      <c r="F11324" s="7">
        <v>45966.92795355874</v>
      </c>
      <c r="G11324" s="3" t="s">
        <v>16811</v>
      </c>
    </row>
    <row r="11325">
      <c r="A11325" s="3" t="s">
        <v>26834</v>
      </c>
      <c r="B11325" s="3" t="s">
        <v>9928</v>
      </c>
      <c r="C11325" s="5" t="s">
        <v>221</v>
      </c>
      <c r="D11325" s="3" t="s">
        <v>614</v>
      </c>
      <c r="E11325" s="3" t="s">
        <v>118</v>
      </c>
      <c r="F11325" s="7">
        <v>45966.93142578096</v>
      </c>
      <c r="G11325" s="3" t="s">
        <v>16814</v>
      </c>
    </row>
    <row r="11326">
      <c r="A11326" s="3" t="s">
        <v>26835</v>
      </c>
      <c r="B11326" s="3" t="s">
        <v>9928</v>
      </c>
      <c r="C11326" s="5" t="s">
        <v>614</v>
      </c>
      <c r="D11326" s="3" t="s">
        <v>206</v>
      </c>
      <c r="E11326" s="3" t="s">
        <v>100</v>
      </c>
      <c r="F11326" s="7">
        <v>45966.93489800319</v>
      </c>
      <c r="G11326" s="3" t="s">
        <v>16817</v>
      </c>
    </row>
    <row r="11327">
      <c r="A11327" s="3" t="s">
        <v>26836</v>
      </c>
      <c r="B11327" s="3" t="s">
        <v>9928</v>
      </c>
      <c r="C11327" s="5" t="s">
        <v>206</v>
      </c>
      <c r="D11327" s="3" t="s">
        <v>68</v>
      </c>
      <c r="E11327" s="3" t="s">
        <v>100</v>
      </c>
      <c r="F11327" s="7">
        <v>45966.938370225405</v>
      </c>
      <c r="G11327" s="3" t="s">
        <v>16820</v>
      </c>
    </row>
    <row r="11328">
      <c r="A11328" s="3" t="s">
        <v>26837</v>
      </c>
      <c r="B11328" s="3" t="s">
        <v>9931</v>
      </c>
      <c r="C11328" s="5" t="s">
        <v>45</v>
      </c>
      <c r="D11328" s="3" t="s">
        <v>221</v>
      </c>
      <c r="E11328" s="3" t="s">
        <v>650</v>
      </c>
      <c r="F11328" s="7">
        <v>45966.99912840415</v>
      </c>
      <c r="G11328" s="3" t="s">
        <v>10173</v>
      </c>
    </row>
    <row r="11329">
      <c r="A11329" s="3" t="s">
        <v>26838</v>
      </c>
      <c r="B11329" s="3" t="s">
        <v>9931</v>
      </c>
      <c r="C11329" s="5" t="s">
        <v>221</v>
      </c>
      <c r="D11329" s="3" t="s">
        <v>614</v>
      </c>
      <c r="E11329" s="3" t="s">
        <v>118</v>
      </c>
      <c r="F11329" s="7">
        <v>45967.00260062637</v>
      </c>
      <c r="G11329" s="3" t="s">
        <v>14172</v>
      </c>
    </row>
    <row r="11330">
      <c r="A11330" s="3" t="s">
        <v>26839</v>
      </c>
      <c r="B11330" s="3" t="s">
        <v>9931</v>
      </c>
      <c r="C11330" s="5" t="s">
        <v>614</v>
      </c>
      <c r="D11330" s="3" t="s">
        <v>206</v>
      </c>
      <c r="E11330" s="3" t="s">
        <v>100</v>
      </c>
      <c r="F11330" s="7">
        <v>45967.0060728486</v>
      </c>
      <c r="G11330" s="3" t="s">
        <v>14175</v>
      </c>
    </row>
    <row r="11331">
      <c r="A11331" s="3" t="s">
        <v>26840</v>
      </c>
      <c r="B11331" s="3" t="s">
        <v>9931</v>
      </c>
      <c r="C11331" s="5" t="s">
        <v>206</v>
      </c>
      <c r="D11331" s="3" t="s">
        <v>68</v>
      </c>
      <c r="E11331" s="3" t="s">
        <v>100</v>
      </c>
      <c r="F11331" s="7">
        <v>45967.00954507082</v>
      </c>
      <c r="G11331" s="3" t="s">
        <v>14178</v>
      </c>
    </row>
    <row r="11332">
      <c r="A11332" s="3" t="s">
        <v>26841</v>
      </c>
      <c r="B11332" s="3" t="s">
        <v>9934</v>
      </c>
      <c r="C11332" s="5" t="s">
        <v>45</v>
      </c>
      <c r="D11332" s="3" t="s">
        <v>221</v>
      </c>
      <c r="E11332" s="3" t="s">
        <v>929</v>
      </c>
      <c r="F11332" s="7">
        <v>45967.07030324957</v>
      </c>
      <c r="G11332" s="3" t="s">
        <v>6614</v>
      </c>
    </row>
    <row r="11333">
      <c r="A11333" s="3" t="s">
        <v>26842</v>
      </c>
      <c r="B11333" s="3" t="s">
        <v>9934</v>
      </c>
      <c r="C11333" s="5" t="s">
        <v>221</v>
      </c>
      <c r="D11333" s="3" t="s">
        <v>614</v>
      </c>
      <c r="E11333" s="3" t="s">
        <v>118</v>
      </c>
      <c r="F11333" s="7">
        <v>45967.07377547179</v>
      </c>
      <c r="G11333" s="3" t="s">
        <v>6617</v>
      </c>
    </row>
    <row r="11334">
      <c r="A11334" s="3" t="s">
        <v>26843</v>
      </c>
      <c r="B11334" s="3" t="s">
        <v>9934</v>
      </c>
      <c r="C11334" s="5" t="s">
        <v>614</v>
      </c>
      <c r="D11334" s="3" t="s">
        <v>206</v>
      </c>
      <c r="E11334" s="3" t="s">
        <v>100</v>
      </c>
      <c r="F11334" s="7">
        <v>45967.07724769402</v>
      </c>
      <c r="G11334" s="3" t="s">
        <v>6619</v>
      </c>
    </row>
    <row r="11335">
      <c r="A11335" s="3" t="s">
        <v>26844</v>
      </c>
      <c r="B11335" s="3" t="s">
        <v>9934</v>
      </c>
      <c r="C11335" s="5" t="s">
        <v>206</v>
      </c>
      <c r="D11335" s="3" t="s">
        <v>68</v>
      </c>
      <c r="E11335" s="3" t="s">
        <v>100</v>
      </c>
      <c r="F11335" s="7">
        <v>45967.08071991624</v>
      </c>
      <c r="G11335" s="3" t="s">
        <v>6622</v>
      </c>
    </row>
    <row r="11336">
      <c r="A11336" s="3" t="s">
        <v>26845</v>
      </c>
      <c r="B11336" s="3" t="s">
        <v>9936</v>
      </c>
      <c r="C11336" s="5" t="s">
        <v>45</v>
      </c>
      <c r="D11336" s="3" t="s">
        <v>221</v>
      </c>
      <c r="E11336" s="3" t="s">
        <v>710</v>
      </c>
      <c r="F11336" s="7">
        <v>45967.141478094985</v>
      </c>
      <c r="G11336" s="3" t="s">
        <v>26846</v>
      </c>
    </row>
    <row r="11337">
      <c r="A11337" s="3" t="s">
        <v>26847</v>
      </c>
      <c r="B11337" s="3" t="s">
        <v>9936</v>
      </c>
      <c r="C11337" s="5" t="s">
        <v>221</v>
      </c>
      <c r="D11337" s="3" t="s">
        <v>181</v>
      </c>
      <c r="E11337" s="3" t="s">
        <v>118</v>
      </c>
      <c r="F11337" s="7">
        <v>45967.144950317204</v>
      </c>
      <c r="G11337" s="3" t="s">
        <v>26848</v>
      </c>
    </row>
    <row r="11338">
      <c r="A11338" s="3" t="s">
        <v>26849</v>
      </c>
      <c r="B11338" s="3" t="s">
        <v>9938</v>
      </c>
      <c r="C11338" s="5" t="s">
        <v>45</v>
      </c>
      <c r="D11338" s="3" t="s">
        <v>221</v>
      </c>
      <c r="E11338" s="3" t="s">
        <v>462</v>
      </c>
      <c r="F11338" s="7">
        <v>45967.2126529404</v>
      </c>
      <c r="G11338" s="3" t="s">
        <v>12364</v>
      </c>
    </row>
    <row r="11339">
      <c r="A11339" s="3" t="s">
        <v>26850</v>
      </c>
      <c r="B11339" s="3" t="s">
        <v>9938</v>
      </c>
      <c r="C11339" s="5" t="s">
        <v>221</v>
      </c>
      <c r="D11339" s="3" t="s">
        <v>614</v>
      </c>
      <c r="E11339" s="3" t="s">
        <v>118</v>
      </c>
      <c r="F11339" s="7">
        <v>45967.21612516262</v>
      </c>
      <c r="G11339" s="3" t="s">
        <v>12366</v>
      </c>
    </row>
    <row r="11340">
      <c r="A11340" s="3" t="s">
        <v>26851</v>
      </c>
      <c r="B11340" s="3" t="s">
        <v>9938</v>
      </c>
      <c r="C11340" s="5" t="s">
        <v>614</v>
      </c>
      <c r="D11340" s="3" t="s">
        <v>206</v>
      </c>
      <c r="E11340" s="3" t="s">
        <v>100</v>
      </c>
      <c r="F11340" s="7">
        <v>45967.21959738484</v>
      </c>
      <c r="G11340" s="3" t="s">
        <v>12369</v>
      </c>
    </row>
    <row r="11341">
      <c r="A11341" s="3" t="s">
        <v>26852</v>
      </c>
      <c r="B11341" s="3" t="s">
        <v>9938</v>
      </c>
      <c r="C11341" s="5" t="s">
        <v>206</v>
      </c>
      <c r="D11341" s="3" t="s">
        <v>68</v>
      </c>
      <c r="E11341" s="3" t="s">
        <v>100</v>
      </c>
      <c r="F11341" s="7">
        <v>45967.22306960706</v>
      </c>
      <c r="G11341" s="3" t="s">
        <v>12372</v>
      </c>
    </row>
    <row r="11342">
      <c r="A11342" s="3" t="s">
        <v>26853</v>
      </c>
      <c r="B11342" s="3" t="s">
        <v>9941</v>
      </c>
      <c r="C11342" s="5" t="s">
        <v>45</v>
      </c>
      <c r="D11342" s="3" t="s">
        <v>221</v>
      </c>
      <c r="E11342" s="3" t="s">
        <v>307</v>
      </c>
      <c r="F11342" s="7">
        <v>45967.28382778582</v>
      </c>
      <c r="G11342" s="3" t="s">
        <v>10352</v>
      </c>
    </row>
    <row r="11343">
      <c r="A11343" s="3" t="s">
        <v>26854</v>
      </c>
      <c r="B11343" s="3" t="s">
        <v>9941</v>
      </c>
      <c r="C11343" s="5" t="s">
        <v>221</v>
      </c>
      <c r="D11343" s="3" t="s">
        <v>195</v>
      </c>
      <c r="E11343" s="3" t="s">
        <v>307</v>
      </c>
      <c r="F11343" s="7">
        <v>45967.287300008036</v>
      </c>
      <c r="G11343" s="3" t="s">
        <v>26855</v>
      </c>
    </row>
    <row r="11344">
      <c r="A11344" s="3" t="s">
        <v>26856</v>
      </c>
      <c r="B11344" s="3" t="s">
        <v>9942</v>
      </c>
      <c r="C11344" s="5" t="s">
        <v>45</v>
      </c>
      <c r="D11344" s="3" t="s">
        <v>221</v>
      </c>
      <c r="E11344" s="3" t="s">
        <v>800</v>
      </c>
      <c r="F11344" s="7">
        <v>45967.35500263124</v>
      </c>
      <c r="G11344" s="3" t="s">
        <v>13891</v>
      </c>
    </row>
    <row r="11345">
      <c r="A11345" s="3" t="s">
        <v>26857</v>
      </c>
      <c r="B11345" s="3" t="s">
        <v>9942</v>
      </c>
      <c r="C11345" s="5" t="s">
        <v>221</v>
      </c>
      <c r="D11345" s="3" t="s">
        <v>614</v>
      </c>
      <c r="E11345" s="3" t="s">
        <v>118</v>
      </c>
      <c r="F11345" s="7">
        <v>45967.358474853456</v>
      </c>
      <c r="G11345" s="3" t="s">
        <v>13894</v>
      </c>
    </row>
    <row r="11346">
      <c r="A11346" s="3" t="s">
        <v>26858</v>
      </c>
      <c r="B11346" s="3" t="s">
        <v>9942</v>
      </c>
      <c r="C11346" s="5" t="s">
        <v>614</v>
      </c>
      <c r="D11346" s="3" t="s">
        <v>206</v>
      </c>
      <c r="E11346" s="3" t="s">
        <v>100</v>
      </c>
      <c r="F11346" s="7">
        <v>45967.36194707568</v>
      </c>
      <c r="G11346" s="3" t="s">
        <v>13897</v>
      </c>
    </row>
    <row r="11347">
      <c r="A11347" s="3" t="s">
        <v>26859</v>
      </c>
      <c r="B11347" s="3" t="s">
        <v>9942</v>
      </c>
      <c r="C11347" s="5" t="s">
        <v>206</v>
      </c>
      <c r="D11347" s="3" t="s">
        <v>68</v>
      </c>
      <c r="E11347" s="3" t="s">
        <v>100</v>
      </c>
      <c r="F11347" s="7">
        <v>45967.3654192979</v>
      </c>
      <c r="G11347" s="3" t="s">
        <v>13899</v>
      </c>
    </row>
    <row r="11348">
      <c r="A11348" s="3" t="s">
        <v>26860</v>
      </c>
      <c r="B11348" s="3" t="s">
        <v>9945</v>
      </c>
      <c r="C11348" s="5" t="s">
        <v>45</v>
      </c>
      <c r="D11348" s="3" t="s">
        <v>221</v>
      </c>
      <c r="E11348" s="3" t="s">
        <v>472</v>
      </c>
      <c r="F11348" s="7">
        <v>45967.42617747664</v>
      </c>
      <c r="G11348" s="3" t="s">
        <v>12405</v>
      </c>
    </row>
    <row r="11349">
      <c r="A11349" s="3" t="s">
        <v>26861</v>
      </c>
      <c r="B11349" s="3" t="s">
        <v>9945</v>
      </c>
      <c r="C11349" s="5" t="s">
        <v>221</v>
      </c>
      <c r="D11349" s="3" t="s">
        <v>614</v>
      </c>
      <c r="E11349" s="3" t="s">
        <v>118</v>
      </c>
      <c r="F11349" s="7">
        <v>45967.42964969886</v>
      </c>
      <c r="G11349" s="3" t="s">
        <v>12408</v>
      </c>
    </row>
    <row r="11350">
      <c r="A11350" s="3" t="s">
        <v>26862</v>
      </c>
      <c r="B11350" s="3" t="s">
        <v>9945</v>
      </c>
      <c r="C11350" s="5" t="s">
        <v>614</v>
      </c>
      <c r="D11350" s="3" t="s">
        <v>206</v>
      </c>
      <c r="E11350" s="3" t="s">
        <v>100</v>
      </c>
      <c r="F11350" s="7">
        <v>45967.43312192109</v>
      </c>
      <c r="G11350" s="3" t="s">
        <v>12411</v>
      </c>
    </row>
    <row r="11351">
      <c r="A11351" s="3" t="s">
        <v>26863</v>
      </c>
      <c r="B11351" s="3" t="s">
        <v>9945</v>
      </c>
      <c r="C11351" s="5" t="s">
        <v>206</v>
      </c>
      <c r="D11351" s="3" t="s">
        <v>68</v>
      </c>
      <c r="E11351" s="3" t="s">
        <v>100</v>
      </c>
      <c r="F11351" s="7">
        <v>45967.436594143306</v>
      </c>
      <c r="G11351" s="3" t="s">
        <v>12414</v>
      </c>
    </row>
    <row r="11352">
      <c r="A11352" s="3" t="s">
        <v>26864</v>
      </c>
      <c r="B11352" s="3" t="s">
        <v>9948</v>
      </c>
      <c r="C11352" s="5" t="s">
        <v>45</v>
      </c>
      <c r="D11352" s="3" t="s">
        <v>221</v>
      </c>
      <c r="E11352" s="3" t="s">
        <v>256</v>
      </c>
      <c r="F11352" s="7">
        <v>45967.49735232206</v>
      </c>
      <c r="G11352" s="3" t="s">
        <v>2770</v>
      </c>
    </row>
    <row r="11353">
      <c r="A11353" s="3" t="s">
        <v>26865</v>
      </c>
      <c r="B11353" s="3" t="s">
        <v>9948</v>
      </c>
      <c r="C11353" s="5" t="s">
        <v>221</v>
      </c>
      <c r="D11353" s="3" t="s">
        <v>181</v>
      </c>
      <c r="E11353" s="3" t="s">
        <v>118</v>
      </c>
      <c r="F11353" s="7">
        <v>45967.50082454428</v>
      </c>
      <c r="G11353" s="3" t="s">
        <v>2774</v>
      </c>
    </row>
    <row r="11354">
      <c r="A11354" s="3" t="s">
        <v>26866</v>
      </c>
      <c r="B11354" s="3" t="s">
        <v>9950</v>
      </c>
      <c r="C11354" s="5" t="s">
        <v>45</v>
      </c>
      <c r="D11354" s="3" t="s">
        <v>221</v>
      </c>
      <c r="E11354" s="3" t="s">
        <v>373</v>
      </c>
      <c r="F11354" s="7">
        <v>45967.568527167474</v>
      </c>
      <c r="G11354" s="3" t="s">
        <v>12383</v>
      </c>
    </row>
    <row r="11355">
      <c r="A11355" s="3" t="s">
        <v>26867</v>
      </c>
      <c r="B11355" s="3" t="s">
        <v>9950</v>
      </c>
      <c r="C11355" s="5" t="s">
        <v>221</v>
      </c>
      <c r="D11355" s="3" t="s">
        <v>614</v>
      </c>
      <c r="E11355" s="3" t="s">
        <v>118</v>
      </c>
      <c r="F11355" s="7">
        <v>45967.57199938969</v>
      </c>
      <c r="G11355" s="3" t="s">
        <v>12385</v>
      </c>
    </row>
    <row r="11356">
      <c r="A11356" s="3" t="s">
        <v>26868</v>
      </c>
      <c r="B11356" s="3" t="s">
        <v>9950</v>
      </c>
      <c r="C11356" s="5" t="s">
        <v>614</v>
      </c>
      <c r="D11356" s="3" t="s">
        <v>206</v>
      </c>
      <c r="E11356" s="3" t="s">
        <v>100</v>
      </c>
      <c r="F11356" s="7">
        <v>45967.57547161192</v>
      </c>
      <c r="G11356" s="3" t="s">
        <v>12388</v>
      </c>
    </row>
    <row r="11357">
      <c r="A11357" s="3" t="s">
        <v>26869</v>
      </c>
      <c r="B11357" s="3" t="s">
        <v>9950</v>
      </c>
      <c r="C11357" s="5" t="s">
        <v>206</v>
      </c>
      <c r="D11357" s="3" t="s">
        <v>68</v>
      </c>
      <c r="E11357" s="3" t="s">
        <v>100</v>
      </c>
      <c r="F11357" s="7">
        <v>45967.57894383414</v>
      </c>
      <c r="G11357" s="3" t="s">
        <v>12391</v>
      </c>
    </row>
    <row r="11358">
      <c r="A11358" s="3" t="s">
        <v>26870</v>
      </c>
      <c r="B11358" s="3" t="s">
        <v>9952</v>
      </c>
      <c r="C11358" s="5" t="s">
        <v>45</v>
      </c>
      <c r="D11358" s="3" t="s">
        <v>221</v>
      </c>
      <c r="E11358" s="3" t="s">
        <v>922</v>
      </c>
      <c r="F11358" s="7">
        <v>45967.63970201289</v>
      </c>
      <c r="G11358" s="3" t="s">
        <v>10430</v>
      </c>
    </row>
    <row r="11359">
      <c r="A11359" s="3" t="s">
        <v>26871</v>
      </c>
      <c r="B11359" s="3" t="s">
        <v>9952</v>
      </c>
      <c r="C11359" s="5" t="s">
        <v>221</v>
      </c>
      <c r="D11359" s="3" t="s">
        <v>614</v>
      </c>
      <c r="E11359" s="3" t="s">
        <v>118</v>
      </c>
      <c r="F11359" s="7">
        <v>45967.64317423511</v>
      </c>
      <c r="G11359" s="3" t="s">
        <v>10433</v>
      </c>
    </row>
    <row r="11360">
      <c r="A11360" s="3" t="s">
        <v>26872</v>
      </c>
      <c r="B11360" s="3" t="s">
        <v>9952</v>
      </c>
      <c r="C11360" s="5" t="s">
        <v>614</v>
      </c>
      <c r="D11360" s="3" t="s">
        <v>206</v>
      </c>
      <c r="E11360" s="3" t="s">
        <v>100</v>
      </c>
      <c r="F11360" s="7">
        <v>45967.64664645734</v>
      </c>
      <c r="G11360" s="3" t="s">
        <v>10436</v>
      </c>
    </row>
    <row r="11361">
      <c r="A11361" s="3" t="s">
        <v>26873</v>
      </c>
      <c r="B11361" s="3" t="s">
        <v>9952</v>
      </c>
      <c r="C11361" s="5" t="s">
        <v>206</v>
      </c>
      <c r="D11361" s="3" t="s">
        <v>68</v>
      </c>
      <c r="E11361" s="3" t="s">
        <v>100</v>
      </c>
      <c r="F11361" s="7">
        <v>45967.65011867956</v>
      </c>
      <c r="G11361" s="3" t="s">
        <v>10439</v>
      </c>
    </row>
    <row r="11362">
      <c r="A11362" s="3" t="s">
        <v>26874</v>
      </c>
      <c r="B11362" s="3" t="s">
        <v>9955</v>
      </c>
      <c r="C11362" s="5" t="s">
        <v>45</v>
      </c>
      <c r="D11362" s="3" t="s">
        <v>221</v>
      </c>
      <c r="E11362" s="3" t="s">
        <v>145</v>
      </c>
      <c r="F11362" s="7">
        <v>45967.710876858306</v>
      </c>
      <c r="G11362" s="3" t="s">
        <v>25704</v>
      </c>
    </row>
    <row r="11363">
      <c r="A11363" s="3" t="s">
        <v>26875</v>
      </c>
      <c r="B11363" s="3" t="s">
        <v>9955</v>
      </c>
      <c r="C11363" s="5" t="s">
        <v>221</v>
      </c>
      <c r="D11363" s="3" t="s">
        <v>614</v>
      </c>
      <c r="E11363" s="3" t="s">
        <v>118</v>
      </c>
      <c r="F11363" s="7">
        <v>45967.714349080525</v>
      </c>
      <c r="G11363" s="3" t="s">
        <v>25706</v>
      </c>
    </row>
    <row r="11364">
      <c r="A11364" s="3" t="s">
        <v>26876</v>
      </c>
      <c r="B11364" s="3" t="s">
        <v>9955</v>
      </c>
      <c r="C11364" s="5" t="s">
        <v>614</v>
      </c>
      <c r="D11364" s="3" t="s">
        <v>206</v>
      </c>
      <c r="E11364" s="3" t="s">
        <v>100</v>
      </c>
      <c r="F11364" s="7">
        <v>45967.71782130275</v>
      </c>
      <c r="G11364" s="3" t="s">
        <v>25708</v>
      </c>
    </row>
    <row r="11365">
      <c r="A11365" s="3" t="s">
        <v>26877</v>
      </c>
      <c r="B11365" s="3" t="s">
        <v>9955</v>
      </c>
      <c r="C11365" s="5" t="s">
        <v>206</v>
      </c>
      <c r="D11365" s="3" t="s">
        <v>68</v>
      </c>
      <c r="E11365" s="3" t="s">
        <v>100</v>
      </c>
      <c r="F11365" s="7">
        <v>45967.72129352497</v>
      </c>
      <c r="G11365" s="3" t="s">
        <v>25710</v>
      </c>
    </row>
    <row r="11366">
      <c r="A11366" s="3" t="s">
        <v>26878</v>
      </c>
      <c r="B11366" s="3" t="s">
        <v>9958</v>
      </c>
      <c r="C11366" s="5" t="s">
        <v>45</v>
      </c>
      <c r="D11366" s="3" t="s">
        <v>221</v>
      </c>
      <c r="E11366" s="3" t="s">
        <v>539</v>
      </c>
      <c r="F11366" s="7">
        <v>45967.782051703725</v>
      </c>
      <c r="G11366" s="3" t="s">
        <v>5685</v>
      </c>
    </row>
    <row r="11367">
      <c r="A11367" s="3" t="s">
        <v>26879</v>
      </c>
      <c r="B11367" s="3" t="s">
        <v>9958</v>
      </c>
      <c r="C11367" s="5" t="s">
        <v>221</v>
      </c>
      <c r="D11367" s="3" t="s">
        <v>181</v>
      </c>
      <c r="E11367" s="3" t="s">
        <v>118</v>
      </c>
      <c r="F11367" s="7">
        <v>45967.785523925944</v>
      </c>
      <c r="G11367" s="3" t="s">
        <v>6797</v>
      </c>
    </row>
    <row r="11368">
      <c r="A11368" s="3" t="s">
        <v>26880</v>
      </c>
      <c r="B11368" s="3" t="s">
        <v>9959</v>
      </c>
      <c r="C11368" s="5" t="s">
        <v>45</v>
      </c>
      <c r="D11368" s="3" t="s">
        <v>221</v>
      </c>
      <c r="E11368" s="3" t="s">
        <v>472</v>
      </c>
      <c r="F11368" s="7">
        <v>45967.85322654913</v>
      </c>
      <c r="G11368" s="3" t="s">
        <v>13032</v>
      </c>
    </row>
    <row r="11369">
      <c r="A11369" s="3" t="s">
        <v>26881</v>
      </c>
      <c r="B11369" s="3" t="s">
        <v>9959</v>
      </c>
      <c r="C11369" s="5" t="s">
        <v>221</v>
      </c>
      <c r="D11369" s="3" t="s">
        <v>614</v>
      </c>
      <c r="E11369" s="3" t="s">
        <v>118</v>
      </c>
      <c r="F11369" s="7">
        <v>45967.85669877135</v>
      </c>
      <c r="G11369" s="3" t="s">
        <v>26882</v>
      </c>
    </row>
    <row r="11370">
      <c r="A11370" s="3" t="s">
        <v>26883</v>
      </c>
      <c r="B11370" s="3" t="s">
        <v>9959</v>
      </c>
      <c r="C11370" s="5" t="s">
        <v>614</v>
      </c>
      <c r="D11370" s="3" t="s">
        <v>206</v>
      </c>
      <c r="E11370" s="3" t="s">
        <v>100</v>
      </c>
      <c r="F11370" s="7">
        <v>45967.860170993576</v>
      </c>
      <c r="G11370" s="3" t="s">
        <v>26884</v>
      </c>
    </row>
    <row r="11371">
      <c r="A11371" s="3" t="s">
        <v>26885</v>
      </c>
      <c r="B11371" s="3" t="s">
        <v>9959</v>
      </c>
      <c r="C11371" s="5" t="s">
        <v>206</v>
      </c>
      <c r="D11371" s="3" t="s">
        <v>68</v>
      </c>
      <c r="E11371" s="3" t="s">
        <v>100</v>
      </c>
      <c r="F11371" s="7">
        <v>45967.863643215795</v>
      </c>
      <c r="G11371" s="3" t="s">
        <v>26886</v>
      </c>
    </row>
    <row r="11372">
      <c r="A11372" s="3" t="s">
        <v>26887</v>
      </c>
      <c r="B11372" s="3" t="s">
        <v>9962</v>
      </c>
      <c r="C11372" s="5" t="s">
        <v>45</v>
      </c>
      <c r="D11372" s="3" t="s">
        <v>221</v>
      </c>
      <c r="E11372" s="3" t="s">
        <v>481</v>
      </c>
      <c r="F11372" s="7">
        <v>45967.92440139455</v>
      </c>
      <c r="G11372" s="3" t="s">
        <v>12500</v>
      </c>
    </row>
    <row r="11373">
      <c r="A11373" s="3" t="s">
        <v>26888</v>
      </c>
      <c r="B11373" s="3" t="s">
        <v>9962</v>
      </c>
      <c r="C11373" s="5" t="s">
        <v>221</v>
      </c>
      <c r="D11373" s="3" t="s">
        <v>614</v>
      </c>
      <c r="E11373" s="3" t="s">
        <v>118</v>
      </c>
      <c r="F11373" s="7">
        <v>45967.92787361677</v>
      </c>
      <c r="G11373" s="3" t="s">
        <v>12503</v>
      </c>
    </row>
    <row r="11374">
      <c r="A11374" s="3" t="s">
        <v>26889</v>
      </c>
      <c r="B11374" s="3" t="s">
        <v>9962</v>
      </c>
      <c r="C11374" s="5" t="s">
        <v>614</v>
      </c>
      <c r="D11374" s="3" t="s">
        <v>206</v>
      </c>
      <c r="E11374" s="3" t="s">
        <v>100</v>
      </c>
      <c r="F11374" s="7">
        <v>45967.931345838995</v>
      </c>
      <c r="G11374" s="3" t="s">
        <v>12507</v>
      </c>
    </row>
    <row r="11375">
      <c r="A11375" s="3" t="s">
        <v>26890</v>
      </c>
      <c r="B11375" s="3" t="s">
        <v>9962</v>
      </c>
      <c r="C11375" s="5" t="s">
        <v>206</v>
      </c>
      <c r="D11375" s="3" t="s">
        <v>68</v>
      </c>
      <c r="E11375" s="3" t="s">
        <v>100</v>
      </c>
      <c r="F11375" s="7">
        <v>45967.934818061214</v>
      </c>
      <c r="G11375" s="3" t="s">
        <v>12510</v>
      </c>
    </row>
    <row r="11376">
      <c r="A11376" s="3" t="s">
        <v>26891</v>
      </c>
      <c r="B11376" s="3" t="s">
        <v>9965</v>
      </c>
      <c r="C11376" s="5" t="s">
        <v>45</v>
      </c>
      <c r="D11376" s="3" t="s">
        <v>221</v>
      </c>
      <c r="E11376" s="3" t="s">
        <v>516</v>
      </c>
      <c r="F11376" s="7">
        <v>45967.99557623997</v>
      </c>
      <c r="G11376" s="3" t="s">
        <v>13608</v>
      </c>
    </row>
    <row r="11377">
      <c r="A11377" s="3" t="s">
        <v>26892</v>
      </c>
      <c r="B11377" s="3" t="s">
        <v>9965</v>
      </c>
      <c r="C11377" s="5" t="s">
        <v>221</v>
      </c>
      <c r="D11377" s="3" t="s">
        <v>614</v>
      </c>
      <c r="E11377" s="3" t="s">
        <v>118</v>
      </c>
      <c r="F11377" s="7">
        <v>45967.99904846219</v>
      </c>
      <c r="G11377" s="3" t="s">
        <v>13611</v>
      </c>
    </row>
    <row r="11378">
      <c r="A11378" s="3" t="s">
        <v>26893</v>
      </c>
      <c r="B11378" s="3" t="s">
        <v>9965</v>
      </c>
      <c r="C11378" s="5" t="s">
        <v>614</v>
      </c>
      <c r="D11378" s="3" t="s">
        <v>206</v>
      </c>
      <c r="E11378" s="3" t="s">
        <v>100</v>
      </c>
      <c r="F11378" s="7">
        <v>45968.002520684415</v>
      </c>
      <c r="G11378" s="3" t="s">
        <v>13614</v>
      </c>
    </row>
    <row r="11379">
      <c r="A11379" s="3" t="s">
        <v>26894</v>
      </c>
      <c r="B11379" s="3" t="s">
        <v>9965</v>
      </c>
      <c r="C11379" s="5" t="s">
        <v>206</v>
      </c>
      <c r="D11379" s="3" t="s">
        <v>68</v>
      </c>
      <c r="E11379" s="3" t="s">
        <v>100</v>
      </c>
      <c r="F11379" s="7">
        <v>45968.005992906634</v>
      </c>
      <c r="G11379" s="3" t="s">
        <v>13617</v>
      </c>
    </row>
    <row r="11380">
      <c r="A11380" s="3" t="s">
        <v>26895</v>
      </c>
      <c r="B11380" s="3" t="s">
        <v>9967</v>
      </c>
      <c r="C11380" s="5" t="s">
        <v>45</v>
      </c>
      <c r="D11380" s="3" t="s">
        <v>221</v>
      </c>
      <c r="E11380" s="3" t="s">
        <v>565</v>
      </c>
      <c r="F11380" s="7">
        <v>45968.06675108538</v>
      </c>
      <c r="G11380" s="3" t="s">
        <v>12513</v>
      </c>
    </row>
    <row r="11381">
      <c r="A11381" s="3" t="s">
        <v>26896</v>
      </c>
      <c r="B11381" s="3" t="s">
        <v>9967</v>
      </c>
      <c r="C11381" s="5" t="s">
        <v>221</v>
      </c>
      <c r="D11381" s="3" t="s">
        <v>614</v>
      </c>
      <c r="E11381" s="3" t="s">
        <v>118</v>
      </c>
      <c r="F11381" s="7">
        <v>45968.0702233076</v>
      </c>
      <c r="G11381" s="3" t="s">
        <v>12516</v>
      </c>
    </row>
    <row r="11382">
      <c r="A11382" s="3" t="s">
        <v>26897</v>
      </c>
      <c r="B11382" s="3" t="s">
        <v>9967</v>
      </c>
      <c r="C11382" s="5" t="s">
        <v>614</v>
      </c>
      <c r="D11382" s="3" t="s">
        <v>206</v>
      </c>
      <c r="E11382" s="3" t="s">
        <v>100</v>
      </c>
      <c r="F11382" s="7">
        <v>45968.07369552983</v>
      </c>
      <c r="G11382" s="3" t="s">
        <v>12519</v>
      </c>
    </row>
    <row r="11383">
      <c r="A11383" s="3" t="s">
        <v>26898</v>
      </c>
      <c r="B11383" s="3" t="s">
        <v>9967</v>
      </c>
      <c r="C11383" s="5" t="s">
        <v>206</v>
      </c>
      <c r="D11383" s="3" t="s">
        <v>68</v>
      </c>
      <c r="E11383" s="3" t="s">
        <v>100</v>
      </c>
      <c r="F11383" s="7">
        <v>45968.077167752046</v>
      </c>
      <c r="G11383" s="3" t="s">
        <v>12522</v>
      </c>
    </row>
    <row r="11384">
      <c r="A11384" s="3" t="s">
        <v>26899</v>
      </c>
      <c r="B11384" s="3" t="s">
        <v>9969</v>
      </c>
      <c r="C11384" s="5" t="s">
        <v>45</v>
      </c>
      <c r="D11384" s="3" t="s">
        <v>221</v>
      </c>
      <c r="E11384" s="3" t="s">
        <v>735</v>
      </c>
      <c r="F11384" s="7">
        <v>45968.137925930794</v>
      </c>
      <c r="G11384" s="3" t="s">
        <v>12570</v>
      </c>
    </row>
    <row r="11385">
      <c r="A11385" s="3" t="s">
        <v>26900</v>
      </c>
      <c r="B11385" s="3" t="s">
        <v>9969</v>
      </c>
      <c r="C11385" s="5" t="s">
        <v>221</v>
      </c>
      <c r="D11385" s="3" t="s">
        <v>614</v>
      </c>
      <c r="E11385" s="3" t="s">
        <v>118</v>
      </c>
      <c r="F11385" s="7">
        <v>45968.14139815301</v>
      </c>
      <c r="G11385" s="3" t="s">
        <v>12573</v>
      </c>
    </row>
    <row r="11386">
      <c r="A11386" s="3" t="s">
        <v>26901</v>
      </c>
      <c r="B11386" s="3" t="s">
        <v>9969</v>
      </c>
      <c r="C11386" s="5" t="s">
        <v>614</v>
      </c>
      <c r="D11386" s="3" t="s">
        <v>206</v>
      </c>
      <c r="E11386" s="3" t="s">
        <v>100</v>
      </c>
      <c r="F11386" s="7">
        <v>45968.14487037524</v>
      </c>
      <c r="G11386" s="3" t="s">
        <v>12576</v>
      </c>
    </row>
    <row r="11387">
      <c r="A11387" s="3" t="s">
        <v>26902</v>
      </c>
      <c r="B11387" s="3" t="s">
        <v>9969</v>
      </c>
      <c r="C11387" s="5" t="s">
        <v>206</v>
      </c>
      <c r="D11387" s="3" t="s">
        <v>68</v>
      </c>
      <c r="E11387" s="3" t="s">
        <v>100</v>
      </c>
      <c r="F11387" s="7">
        <v>45968.14834259746</v>
      </c>
      <c r="G11387" s="3" t="s">
        <v>12579</v>
      </c>
    </row>
    <row r="11388">
      <c r="A11388" s="3" t="s">
        <v>26903</v>
      </c>
      <c r="B11388" s="3" t="s">
        <v>9972</v>
      </c>
      <c r="C11388" s="5" t="s">
        <v>45</v>
      </c>
      <c r="D11388" s="3" t="s">
        <v>221</v>
      </c>
      <c r="E11388" s="3" t="s">
        <v>524</v>
      </c>
      <c r="F11388" s="7">
        <v>45968.209100776214</v>
      </c>
      <c r="G11388" s="3" t="s">
        <v>14411</v>
      </c>
    </row>
    <row r="11389">
      <c r="A11389" s="3" t="s">
        <v>26904</v>
      </c>
      <c r="B11389" s="3" t="s">
        <v>9972</v>
      </c>
      <c r="C11389" s="5" t="s">
        <v>221</v>
      </c>
      <c r="D11389" s="3" t="s">
        <v>614</v>
      </c>
      <c r="E11389" s="3" t="s">
        <v>118</v>
      </c>
      <c r="F11389" s="7">
        <v>45968.21257299843</v>
      </c>
      <c r="G11389" s="3" t="s">
        <v>14413</v>
      </c>
    </row>
    <row r="11390">
      <c r="A11390" s="3" t="s">
        <v>26905</v>
      </c>
      <c r="B11390" s="3" t="s">
        <v>9972</v>
      </c>
      <c r="C11390" s="5" t="s">
        <v>614</v>
      </c>
      <c r="D11390" s="3" t="s">
        <v>206</v>
      </c>
      <c r="E11390" s="3" t="s">
        <v>100</v>
      </c>
      <c r="F11390" s="7">
        <v>45968.21604522066</v>
      </c>
      <c r="G11390" s="3" t="s">
        <v>14416</v>
      </c>
    </row>
    <row r="11391">
      <c r="A11391" s="3" t="s">
        <v>26906</v>
      </c>
      <c r="B11391" s="3" t="s">
        <v>9972</v>
      </c>
      <c r="C11391" s="5" t="s">
        <v>206</v>
      </c>
      <c r="D11391" s="3" t="s">
        <v>68</v>
      </c>
      <c r="E11391" s="3" t="s">
        <v>100</v>
      </c>
      <c r="F11391" s="7">
        <v>45968.21951744288</v>
      </c>
      <c r="G11391" s="3" t="s">
        <v>14419</v>
      </c>
    </row>
    <row r="11392">
      <c r="A11392" s="3" t="s">
        <v>26907</v>
      </c>
      <c r="B11392" s="3" t="s">
        <v>9975</v>
      </c>
      <c r="C11392" s="5" t="s">
        <v>45</v>
      </c>
      <c r="D11392" s="3" t="s">
        <v>221</v>
      </c>
      <c r="E11392" s="3" t="s">
        <v>830</v>
      </c>
      <c r="F11392" s="7">
        <v>45968.280275621626</v>
      </c>
      <c r="G11392" s="3" t="s">
        <v>26908</v>
      </c>
    </row>
    <row r="11393">
      <c r="A11393" s="3" t="s">
        <v>26909</v>
      </c>
      <c r="B11393" s="3" t="s">
        <v>9975</v>
      </c>
      <c r="C11393" s="5" t="s">
        <v>221</v>
      </c>
      <c r="D11393" s="3" t="s">
        <v>614</v>
      </c>
      <c r="E11393" s="3" t="s">
        <v>118</v>
      </c>
      <c r="F11393" s="7">
        <v>45968.283747843845</v>
      </c>
      <c r="G11393" s="3" t="s">
        <v>26910</v>
      </c>
    </row>
    <row r="11394">
      <c r="A11394" s="3" t="s">
        <v>26911</v>
      </c>
      <c r="B11394" s="3" t="s">
        <v>9975</v>
      </c>
      <c r="C11394" s="5" t="s">
        <v>614</v>
      </c>
      <c r="D11394" s="3" t="s">
        <v>206</v>
      </c>
      <c r="E11394" s="3" t="s">
        <v>100</v>
      </c>
      <c r="F11394" s="7">
        <v>45968.28722006607</v>
      </c>
      <c r="G11394" s="3" t="s">
        <v>26912</v>
      </c>
    </row>
    <row r="11395">
      <c r="A11395" s="3" t="s">
        <v>26913</v>
      </c>
      <c r="B11395" s="3" t="s">
        <v>9975</v>
      </c>
      <c r="C11395" s="5" t="s">
        <v>206</v>
      </c>
      <c r="D11395" s="3" t="s">
        <v>68</v>
      </c>
      <c r="E11395" s="3" t="s">
        <v>100</v>
      </c>
      <c r="F11395" s="7">
        <v>45968.29069228829</v>
      </c>
      <c r="G11395" s="3" t="s">
        <v>26914</v>
      </c>
    </row>
    <row r="11396">
      <c r="A11396" s="3" t="s">
        <v>26915</v>
      </c>
      <c r="B11396" s="3" t="s">
        <v>9977</v>
      </c>
      <c r="C11396" s="5" t="s">
        <v>45</v>
      </c>
      <c r="D11396" s="3" t="s">
        <v>221</v>
      </c>
      <c r="E11396" s="3" t="s">
        <v>1008</v>
      </c>
      <c r="F11396" s="7">
        <v>45968.35145046704</v>
      </c>
      <c r="G11396" s="3" t="s">
        <v>18591</v>
      </c>
    </row>
    <row r="11397">
      <c r="A11397" s="3" t="s">
        <v>26916</v>
      </c>
      <c r="B11397" s="3" t="s">
        <v>9977</v>
      </c>
      <c r="C11397" s="5" t="s">
        <v>221</v>
      </c>
      <c r="D11397" s="3" t="s">
        <v>614</v>
      </c>
      <c r="E11397" s="3" t="s">
        <v>118</v>
      </c>
      <c r="F11397" s="7">
        <v>45968.35492268926</v>
      </c>
      <c r="G11397" s="3" t="s">
        <v>18594</v>
      </c>
    </row>
    <row r="11398">
      <c r="A11398" s="3" t="s">
        <v>26917</v>
      </c>
      <c r="B11398" s="3" t="s">
        <v>9977</v>
      </c>
      <c r="C11398" s="5" t="s">
        <v>614</v>
      </c>
      <c r="D11398" s="3" t="s">
        <v>206</v>
      </c>
      <c r="E11398" s="3" t="s">
        <v>100</v>
      </c>
      <c r="F11398" s="7">
        <v>45968.35839491148</v>
      </c>
      <c r="G11398" s="3" t="s">
        <v>18597</v>
      </c>
    </row>
    <row r="11399">
      <c r="A11399" s="3" t="s">
        <v>26918</v>
      </c>
      <c r="B11399" s="3" t="s">
        <v>9977</v>
      </c>
      <c r="C11399" s="5" t="s">
        <v>206</v>
      </c>
      <c r="D11399" s="3" t="s">
        <v>68</v>
      </c>
      <c r="E11399" s="3" t="s">
        <v>100</v>
      </c>
      <c r="F11399" s="7">
        <v>45968.3618671337</v>
      </c>
      <c r="G11399" s="3" t="s">
        <v>18599</v>
      </c>
    </row>
    <row r="11400">
      <c r="A11400" s="3" t="s">
        <v>26919</v>
      </c>
      <c r="B11400" s="3" t="s">
        <v>9979</v>
      </c>
      <c r="C11400" s="5" t="s">
        <v>45</v>
      </c>
      <c r="D11400" s="3" t="s">
        <v>221</v>
      </c>
      <c r="E11400" s="3" t="s">
        <v>574</v>
      </c>
      <c r="F11400" s="7">
        <v>45968.42262531246</v>
      </c>
      <c r="G11400" s="3" t="s">
        <v>12598</v>
      </c>
    </row>
    <row r="11401">
      <c r="A11401" s="3" t="s">
        <v>26920</v>
      </c>
      <c r="B11401" s="3" t="s">
        <v>9979</v>
      </c>
      <c r="C11401" s="5" t="s">
        <v>221</v>
      </c>
      <c r="D11401" s="3" t="s">
        <v>614</v>
      </c>
      <c r="E11401" s="3" t="s">
        <v>118</v>
      </c>
      <c r="F11401" s="7">
        <v>45968.42609753468</v>
      </c>
      <c r="G11401" s="3" t="s">
        <v>12601</v>
      </c>
    </row>
    <row r="11402">
      <c r="A11402" s="3" t="s">
        <v>26921</v>
      </c>
      <c r="B11402" s="3" t="s">
        <v>9979</v>
      </c>
      <c r="C11402" s="5" t="s">
        <v>614</v>
      </c>
      <c r="D11402" s="3" t="s">
        <v>206</v>
      </c>
      <c r="E11402" s="3" t="s">
        <v>100</v>
      </c>
      <c r="F11402" s="7">
        <v>45968.4295697569</v>
      </c>
      <c r="G11402" s="3" t="s">
        <v>12604</v>
      </c>
    </row>
    <row r="11403">
      <c r="A11403" s="3" t="s">
        <v>26922</v>
      </c>
      <c r="B11403" s="3" t="s">
        <v>9979</v>
      </c>
      <c r="C11403" s="5" t="s">
        <v>206</v>
      </c>
      <c r="D11403" s="3" t="s">
        <v>68</v>
      </c>
      <c r="E11403" s="3" t="s">
        <v>100</v>
      </c>
      <c r="F11403" s="7">
        <v>45968.43304197912</v>
      </c>
      <c r="G11403" s="3" t="s">
        <v>12607</v>
      </c>
    </row>
    <row r="11404">
      <c r="A11404" s="3" t="s">
        <v>26923</v>
      </c>
      <c r="B11404" s="3" t="s">
        <v>9982</v>
      </c>
      <c r="C11404" s="5" t="s">
        <v>45</v>
      </c>
      <c r="D11404" s="3" t="s">
        <v>221</v>
      </c>
      <c r="E11404" s="3" t="s">
        <v>550</v>
      </c>
      <c r="F11404" s="7">
        <v>45968.49380015788</v>
      </c>
      <c r="G11404" s="3" t="s">
        <v>24324</v>
      </c>
    </row>
    <row r="11405">
      <c r="A11405" s="3" t="s">
        <v>26924</v>
      </c>
      <c r="B11405" s="3" t="s">
        <v>9982</v>
      </c>
      <c r="C11405" s="5" t="s">
        <v>221</v>
      </c>
      <c r="D11405" s="3" t="s">
        <v>614</v>
      </c>
      <c r="E11405" s="3" t="s">
        <v>118</v>
      </c>
      <c r="F11405" s="7">
        <v>45968.4972723801</v>
      </c>
      <c r="G11405" s="3" t="s">
        <v>24326</v>
      </c>
    </row>
    <row r="11406">
      <c r="A11406" s="3" t="s">
        <v>26925</v>
      </c>
      <c r="B11406" s="3" t="s">
        <v>9982</v>
      </c>
      <c r="C11406" s="5" t="s">
        <v>614</v>
      </c>
      <c r="D11406" s="3" t="s">
        <v>206</v>
      </c>
      <c r="E11406" s="3" t="s">
        <v>100</v>
      </c>
      <c r="F11406" s="7">
        <v>45968.50074460232</v>
      </c>
      <c r="G11406" s="3" t="s">
        <v>24328</v>
      </c>
    </row>
    <row r="11407">
      <c r="A11407" s="3" t="s">
        <v>26926</v>
      </c>
      <c r="B11407" s="3" t="s">
        <v>9982</v>
      </c>
      <c r="C11407" s="5" t="s">
        <v>206</v>
      </c>
      <c r="D11407" s="3" t="s">
        <v>68</v>
      </c>
      <c r="E11407" s="3" t="s">
        <v>100</v>
      </c>
      <c r="F11407" s="7">
        <v>45968.50421682454</v>
      </c>
      <c r="G11407" s="3" t="s">
        <v>24330</v>
      </c>
    </row>
    <row r="11408">
      <c r="A11408" s="3" t="s">
        <v>26927</v>
      </c>
      <c r="B11408" s="3" t="s">
        <v>9985</v>
      </c>
      <c r="C11408" s="5" t="s">
        <v>45</v>
      </c>
      <c r="D11408" s="3" t="s">
        <v>221</v>
      </c>
      <c r="E11408" s="3" t="s">
        <v>414</v>
      </c>
      <c r="F11408" s="7">
        <v>45968.56497500328</v>
      </c>
      <c r="G11408" s="3" t="s">
        <v>21020</v>
      </c>
    </row>
    <row r="11409">
      <c r="A11409" s="3" t="s">
        <v>26928</v>
      </c>
      <c r="B11409" s="3" t="s">
        <v>9985</v>
      </c>
      <c r="C11409" s="5" t="s">
        <v>221</v>
      </c>
      <c r="D11409" s="3" t="s">
        <v>614</v>
      </c>
      <c r="E11409" s="3" t="s">
        <v>118</v>
      </c>
      <c r="F11409" s="7">
        <v>45968.5684472255</v>
      </c>
      <c r="G11409" s="3" t="s">
        <v>21023</v>
      </c>
    </row>
    <row r="11410">
      <c r="A11410" s="3" t="s">
        <v>26929</v>
      </c>
      <c r="B11410" s="3" t="s">
        <v>9985</v>
      </c>
      <c r="C11410" s="5" t="s">
        <v>614</v>
      </c>
      <c r="D11410" s="3" t="s">
        <v>206</v>
      </c>
      <c r="E11410" s="3" t="s">
        <v>100</v>
      </c>
      <c r="F11410" s="7">
        <v>45968.57191944773</v>
      </c>
      <c r="G11410" s="3" t="s">
        <v>21026</v>
      </c>
    </row>
    <row r="11411">
      <c r="A11411" s="3" t="s">
        <v>26930</v>
      </c>
      <c r="B11411" s="3" t="s">
        <v>9985</v>
      </c>
      <c r="C11411" s="5" t="s">
        <v>206</v>
      </c>
      <c r="D11411" s="3" t="s">
        <v>68</v>
      </c>
      <c r="E11411" s="3" t="s">
        <v>100</v>
      </c>
      <c r="F11411" s="7">
        <v>45968.57539166995</v>
      </c>
      <c r="G11411" s="3" t="s">
        <v>21029</v>
      </c>
    </row>
    <row r="11412">
      <c r="A11412" s="3" t="s">
        <v>26931</v>
      </c>
      <c r="B11412" s="3" t="s">
        <v>9987</v>
      </c>
      <c r="C11412" s="5" t="s">
        <v>45</v>
      </c>
      <c r="D11412" s="3" t="s">
        <v>221</v>
      </c>
      <c r="E11412" s="3" t="s">
        <v>336</v>
      </c>
      <c r="F11412" s="7">
        <v>45968.6361498487</v>
      </c>
      <c r="G11412" s="3" t="s">
        <v>26096</v>
      </c>
    </row>
    <row r="11413">
      <c r="A11413" s="3" t="s">
        <v>26932</v>
      </c>
      <c r="B11413" s="3" t="s">
        <v>9987</v>
      </c>
      <c r="C11413" s="5" t="s">
        <v>221</v>
      </c>
      <c r="D11413" s="3" t="s">
        <v>614</v>
      </c>
      <c r="E11413" s="3" t="s">
        <v>118</v>
      </c>
      <c r="F11413" s="7">
        <v>45968.63962207092</v>
      </c>
      <c r="G11413" s="3" t="s">
        <v>26098</v>
      </c>
    </row>
    <row r="11414">
      <c r="A11414" s="3" t="s">
        <v>26933</v>
      </c>
      <c r="B11414" s="3" t="s">
        <v>9987</v>
      </c>
      <c r="C11414" s="5" t="s">
        <v>614</v>
      </c>
      <c r="D11414" s="3" t="s">
        <v>206</v>
      </c>
      <c r="E11414" s="3" t="s">
        <v>100</v>
      </c>
      <c r="F11414" s="7">
        <v>45968.64309429315</v>
      </c>
      <c r="G11414" s="3" t="s">
        <v>26100</v>
      </c>
    </row>
    <row r="11415">
      <c r="A11415" s="3" t="s">
        <v>26934</v>
      </c>
      <c r="B11415" s="3" t="s">
        <v>9987</v>
      </c>
      <c r="C11415" s="5" t="s">
        <v>206</v>
      </c>
      <c r="D11415" s="3" t="s">
        <v>68</v>
      </c>
      <c r="E11415" s="3" t="s">
        <v>100</v>
      </c>
      <c r="F11415" s="7">
        <v>45968.64656651537</v>
      </c>
      <c r="G11415" s="3" t="s">
        <v>26102</v>
      </c>
    </row>
    <row r="11416">
      <c r="A11416" s="3" t="s">
        <v>26935</v>
      </c>
      <c r="B11416" s="3" t="s">
        <v>9989</v>
      </c>
      <c r="C11416" s="5" t="s">
        <v>45</v>
      </c>
      <c r="D11416" s="3" t="s">
        <v>221</v>
      </c>
      <c r="E11416" s="3" t="s">
        <v>605</v>
      </c>
      <c r="F11416" s="7">
        <v>45968.707324694115</v>
      </c>
      <c r="G11416" s="3" t="s">
        <v>26936</v>
      </c>
    </row>
    <row r="11417">
      <c r="A11417" s="3" t="s">
        <v>26937</v>
      </c>
      <c r="B11417" s="3" t="s">
        <v>9989</v>
      </c>
      <c r="C11417" s="5" t="s">
        <v>221</v>
      </c>
      <c r="D11417" s="3" t="s">
        <v>614</v>
      </c>
      <c r="E11417" s="3" t="s">
        <v>118</v>
      </c>
      <c r="F11417" s="7">
        <v>45968.71079691633</v>
      </c>
      <c r="G11417" s="3" t="s">
        <v>26938</v>
      </c>
    </row>
    <row r="11418">
      <c r="A11418" s="3" t="s">
        <v>26939</v>
      </c>
      <c r="B11418" s="3" t="s">
        <v>9989</v>
      </c>
      <c r="C11418" s="5" t="s">
        <v>614</v>
      </c>
      <c r="D11418" s="3" t="s">
        <v>206</v>
      </c>
      <c r="E11418" s="3" t="s">
        <v>100</v>
      </c>
      <c r="F11418" s="7">
        <v>45968.71426913856</v>
      </c>
      <c r="G11418" s="3" t="s">
        <v>26940</v>
      </c>
    </row>
    <row r="11419">
      <c r="A11419" s="3" t="s">
        <v>26941</v>
      </c>
      <c r="B11419" s="3" t="s">
        <v>9989</v>
      </c>
      <c r="C11419" s="5" t="s">
        <v>206</v>
      </c>
      <c r="D11419" s="3" t="s">
        <v>68</v>
      </c>
      <c r="E11419" s="3" t="s">
        <v>100</v>
      </c>
      <c r="F11419" s="7">
        <v>45968.71774136078</v>
      </c>
      <c r="G11419" s="3" t="s">
        <v>26942</v>
      </c>
    </row>
    <row r="11420">
      <c r="A11420" s="3" t="s">
        <v>26943</v>
      </c>
      <c r="B11420" s="3" t="s">
        <v>9992</v>
      </c>
      <c r="C11420" s="5" t="s">
        <v>45</v>
      </c>
      <c r="D11420" s="3" t="s">
        <v>221</v>
      </c>
      <c r="E11420" s="3" t="s">
        <v>926</v>
      </c>
      <c r="F11420" s="7">
        <v>45968.778499539534</v>
      </c>
      <c r="G11420" s="3" t="s">
        <v>12609</v>
      </c>
    </row>
    <row r="11421">
      <c r="A11421" s="3" t="s">
        <v>26944</v>
      </c>
      <c r="B11421" s="3" t="s">
        <v>9992</v>
      </c>
      <c r="C11421" s="5" t="s">
        <v>221</v>
      </c>
      <c r="D11421" s="3" t="s">
        <v>614</v>
      </c>
      <c r="E11421" s="3" t="s">
        <v>118</v>
      </c>
      <c r="F11421" s="7">
        <v>45968.78197176175</v>
      </c>
      <c r="G11421" s="3" t="s">
        <v>12612</v>
      </c>
    </row>
    <row r="11422">
      <c r="A11422" s="3" t="s">
        <v>26945</v>
      </c>
      <c r="B11422" s="3" t="s">
        <v>9992</v>
      </c>
      <c r="C11422" s="5" t="s">
        <v>614</v>
      </c>
      <c r="D11422" s="3" t="s">
        <v>206</v>
      </c>
      <c r="E11422" s="3" t="s">
        <v>100</v>
      </c>
      <c r="F11422" s="7">
        <v>45968.78544398398</v>
      </c>
      <c r="G11422" s="3" t="s">
        <v>12616</v>
      </c>
    </row>
    <row r="11423">
      <c r="A11423" s="3" t="s">
        <v>26946</v>
      </c>
      <c r="B11423" s="3" t="s">
        <v>9992</v>
      </c>
      <c r="C11423" s="5" t="s">
        <v>206</v>
      </c>
      <c r="D11423" s="3" t="s">
        <v>68</v>
      </c>
      <c r="E11423" s="3" t="s">
        <v>100</v>
      </c>
      <c r="F11423" s="7">
        <v>45968.7889162062</v>
      </c>
      <c r="G11423" s="3" t="s">
        <v>12618</v>
      </c>
    </row>
    <row r="11424">
      <c r="A11424" s="3" t="s">
        <v>26947</v>
      </c>
      <c r="B11424" s="3" t="s">
        <v>9995</v>
      </c>
      <c r="C11424" s="5" t="s">
        <v>45</v>
      </c>
      <c r="D11424" s="3" t="s">
        <v>221</v>
      </c>
      <c r="E11424" s="3" t="s">
        <v>211</v>
      </c>
      <c r="F11424" s="7">
        <v>45968.84967438495</v>
      </c>
      <c r="G11424" s="3" t="s">
        <v>12689</v>
      </c>
    </row>
    <row r="11425">
      <c r="A11425" s="3" t="s">
        <v>26948</v>
      </c>
      <c r="B11425" s="3" t="s">
        <v>9995</v>
      </c>
      <c r="C11425" s="5" t="s">
        <v>221</v>
      </c>
      <c r="D11425" s="3" t="s">
        <v>614</v>
      </c>
      <c r="E11425" s="3" t="s">
        <v>118</v>
      </c>
      <c r="F11425" s="7">
        <v>45968.853146607165</v>
      </c>
      <c r="G11425" s="3" t="s">
        <v>12692</v>
      </c>
    </row>
    <row r="11426">
      <c r="A11426" s="3" t="s">
        <v>26949</v>
      </c>
      <c r="B11426" s="3" t="s">
        <v>9995</v>
      </c>
      <c r="C11426" s="5" t="s">
        <v>614</v>
      </c>
      <c r="D11426" s="3" t="s">
        <v>206</v>
      </c>
      <c r="E11426" s="3" t="s">
        <v>100</v>
      </c>
      <c r="F11426" s="7">
        <v>45968.85661882939</v>
      </c>
      <c r="G11426" s="3" t="s">
        <v>12695</v>
      </c>
    </row>
    <row r="11427">
      <c r="A11427" s="3" t="s">
        <v>26950</v>
      </c>
      <c r="B11427" s="3" t="s">
        <v>9995</v>
      </c>
      <c r="C11427" s="5" t="s">
        <v>206</v>
      </c>
      <c r="D11427" s="3" t="s">
        <v>68</v>
      </c>
      <c r="E11427" s="3" t="s">
        <v>100</v>
      </c>
      <c r="F11427" s="7">
        <v>45968.86009105161</v>
      </c>
      <c r="G11427" s="3" t="s">
        <v>12698</v>
      </c>
    </row>
    <row r="11428">
      <c r="A11428" s="3" t="s">
        <v>26951</v>
      </c>
      <c r="B11428" s="3" t="s">
        <v>9997</v>
      </c>
      <c r="C11428" s="5" t="s">
        <v>45</v>
      </c>
      <c r="D11428" s="3" t="s">
        <v>221</v>
      </c>
      <c r="E11428" s="3" t="s">
        <v>224</v>
      </c>
      <c r="F11428" s="7">
        <v>45968.920849230366</v>
      </c>
      <c r="G11428" s="3" t="s">
        <v>16800</v>
      </c>
    </row>
    <row r="11429">
      <c r="A11429" s="3" t="s">
        <v>26952</v>
      </c>
      <c r="B11429" s="3" t="s">
        <v>9997</v>
      </c>
      <c r="C11429" s="5" t="s">
        <v>221</v>
      </c>
      <c r="D11429" s="3" t="s">
        <v>614</v>
      </c>
      <c r="E11429" s="3" t="s">
        <v>118</v>
      </c>
      <c r="F11429" s="7">
        <v>45968.924321452585</v>
      </c>
      <c r="G11429" s="3" t="s">
        <v>16803</v>
      </c>
    </row>
    <row r="11430">
      <c r="A11430" s="3" t="s">
        <v>26953</v>
      </c>
      <c r="B11430" s="3" t="s">
        <v>9997</v>
      </c>
      <c r="C11430" s="5" t="s">
        <v>614</v>
      </c>
      <c r="D11430" s="3" t="s">
        <v>206</v>
      </c>
      <c r="E11430" s="3" t="s">
        <v>100</v>
      </c>
      <c r="F11430" s="7">
        <v>45968.92779367481</v>
      </c>
      <c r="G11430" s="3" t="s">
        <v>16806</v>
      </c>
    </row>
    <row r="11431">
      <c r="A11431" s="3" t="s">
        <v>26954</v>
      </c>
      <c r="B11431" s="3" t="s">
        <v>9997</v>
      </c>
      <c r="C11431" s="5" t="s">
        <v>206</v>
      </c>
      <c r="D11431" s="3" t="s">
        <v>68</v>
      </c>
      <c r="E11431" s="3" t="s">
        <v>100</v>
      </c>
      <c r="F11431" s="7">
        <v>45968.93126589703</v>
      </c>
      <c r="G11431" s="3" t="s">
        <v>16808</v>
      </c>
    </row>
    <row r="11432">
      <c r="A11432" s="3" t="s">
        <v>26955</v>
      </c>
      <c r="B11432" s="3" t="s">
        <v>9999</v>
      </c>
      <c r="C11432" s="5" t="s">
        <v>45</v>
      </c>
      <c r="D11432" s="3" t="s">
        <v>221</v>
      </c>
      <c r="E11432" s="3" t="s">
        <v>949</v>
      </c>
      <c r="F11432" s="7">
        <v>45968.99202407578</v>
      </c>
      <c r="G11432" s="3" t="s">
        <v>12725</v>
      </c>
    </row>
    <row r="11433">
      <c r="A11433" s="3" t="s">
        <v>26956</v>
      </c>
      <c r="B11433" s="3" t="s">
        <v>9999</v>
      </c>
      <c r="C11433" s="5" t="s">
        <v>221</v>
      </c>
      <c r="D11433" s="3" t="s">
        <v>614</v>
      </c>
      <c r="E11433" s="3" t="s">
        <v>118</v>
      </c>
      <c r="F11433" s="7">
        <v>45968.995496298</v>
      </c>
      <c r="G11433" s="3" t="s">
        <v>12728</v>
      </c>
    </row>
    <row r="11434">
      <c r="A11434" s="3" t="s">
        <v>26957</v>
      </c>
      <c r="B11434" s="3" t="s">
        <v>9999</v>
      </c>
      <c r="C11434" s="5" t="s">
        <v>614</v>
      </c>
      <c r="D11434" s="3" t="s">
        <v>206</v>
      </c>
      <c r="E11434" s="3" t="s">
        <v>100</v>
      </c>
      <c r="F11434" s="7">
        <v>45968.99896852022</v>
      </c>
      <c r="G11434" s="3" t="s">
        <v>12732</v>
      </c>
    </row>
    <row r="11435">
      <c r="A11435" s="3" t="s">
        <v>26958</v>
      </c>
      <c r="B11435" s="3" t="s">
        <v>9999</v>
      </c>
      <c r="C11435" s="5" t="s">
        <v>206</v>
      </c>
      <c r="D11435" s="3" t="s">
        <v>68</v>
      </c>
      <c r="E11435" s="3" t="s">
        <v>100</v>
      </c>
      <c r="F11435" s="7">
        <v>45969.00244074244</v>
      </c>
      <c r="G11435" s="3" t="s">
        <v>12735</v>
      </c>
    </row>
    <row r="11436">
      <c r="A11436" s="3" t="s">
        <v>26959</v>
      </c>
      <c r="B11436" s="3" t="s">
        <v>10002</v>
      </c>
      <c r="C11436" s="5" t="s">
        <v>45</v>
      </c>
      <c r="D11436" s="3" t="s">
        <v>221</v>
      </c>
      <c r="E11436" s="3" t="s">
        <v>976</v>
      </c>
      <c r="F11436" s="7">
        <v>45969.06319892119</v>
      </c>
      <c r="G11436" s="3" t="s">
        <v>12750</v>
      </c>
    </row>
    <row r="11437">
      <c r="A11437" s="3" t="s">
        <v>26960</v>
      </c>
      <c r="B11437" s="3" t="s">
        <v>10002</v>
      </c>
      <c r="C11437" s="5" t="s">
        <v>221</v>
      </c>
      <c r="D11437" s="3" t="s">
        <v>614</v>
      </c>
      <c r="E11437" s="3" t="s">
        <v>118</v>
      </c>
      <c r="F11437" s="7">
        <v>45969.06667114341</v>
      </c>
      <c r="G11437" s="3" t="s">
        <v>12753</v>
      </c>
    </row>
    <row r="11438">
      <c r="A11438" s="3" t="s">
        <v>26961</v>
      </c>
      <c r="B11438" s="3" t="s">
        <v>10002</v>
      </c>
      <c r="C11438" s="5" t="s">
        <v>614</v>
      </c>
      <c r="D11438" s="3" t="s">
        <v>206</v>
      </c>
      <c r="E11438" s="3" t="s">
        <v>100</v>
      </c>
      <c r="F11438" s="7">
        <v>45969.070143365636</v>
      </c>
      <c r="G11438" s="3" t="s">
        <v>12755</v>
      </c>
    </row>
    <row r="11439">
      <c r="A11439" s="3" t="s">
        <v>26962</v>
      </c>
      <c r="B11439" s="3" t="s">
        <v>10002</v>
      </c>
      <c r="C11439" s="5" t="s">
        <v>206</v>
      </c>
      <c r="D11439" s="3" t="s">
        <v>68</v>
      </c>
      <c r="E11439" s="3" t="s">
        <v>100</v>
      </c>
      <c r="F11439" s="7">
        <v>45969.073615587855</v>
      </c>
      <c r="G11439" s="3" t="s">
        <v>12758</v>
      </c>
    </row>
    <row r="11440">
      <c r="A11440" s="3" t="s">
        <v>26963</v>
      </c>
      <c r="B11440" s="3" t="s">
        <v>10004</v>
      </c>
      <c r="C11440" s="5" t="s">
        <v>45</v>
      </c>
      <c r="D11440" s="3" t="s">
        <v>221</v>
      </c>
      <c r="E11440" s="3" t="s">
        <v>307</v>
      </c>
      <c r="F11440" s="7">
        <v>45969.13437376661</v>
      </c>
      <c r="G11440" s="3" t="s">
        <v>10352</v>
      </c>
    </row>
    <row r="11441">
      <c r="A11441" s="3" t="s">
        <v>26964</v>
      </c>
      <c r="B11441" s="3" t="s">
        <v>10004</v>
      </c>
      <c r="C11441" s="5" t="s">
        <v>221</v>
      </c>
      <c r="D11441" s="3" t="s">
        <v>614</v>
      </c>
      <c r="E11441" s="3" t="s">
        <v>118</v>
      </c>
      <c r="F11441" s="7">
        <v>45969.13784598883</v>
      </c>
      <c r="G11441" s="3" t="s">
        <v>10355</v>
      </c>
    </row>
    <row r="11442">
      <c r="A11442" s="3" t="s">
        <v>26965</v>
      </c>
      <c r="B11442" s="3" t="s">
        <v>10004</v>
      </c>
      <c r="C11442" s="5" t="s">
        <v>614</v>
      </c>
      <c r="D11442" s="3" t="s">
        <v>206</v>
      </c>
      <c r="E11442" s="3" t="s">
        <v>100</v>
      </c>
      <c r="F11442" s="7">
        <v>45969.141318211055</v>
      </c>
      <c r="G11442" s="3" t="s">
        <v>10358</v>
      </c>
    </row>
    <row r="11443">
      <c r="A11443" s="3" t="s">
        <v>26966</v>
      </c>
      <c r="B11443" s="3" t="s">
        <v>10004</v>
      </c>
      <c r="C11443" s="5" t="s">
        <v>206</v>
      </c>
      <c r="D11443" s="3" t="s">
        <v>68</v>
      </c>
      <c r="E11443" s="3" t="s">
        <v>100</v>
      </c>
      <c r="F11443" s="7">
        <v>45969.144790433274</v>
      </c>
      <c r="G11443" s="3" t="s">
        <v>10361</v>
      </c>
    </row>
    <row r="11444">
      <c r="A11444" s="3" t="s">
        <v>26967</v>
      </c>
      <c r="B11444" s="3" t="s">
        <v>10006</v>
      </c>
      <c r="C11444" s="5" t="s">
        <v>45</v>
      </c>
      <c r="D11444" s="3" t="s">
        <v>221</v>
      </c>
      <c r="E11444" s="3" t="s">
        <v>980</v>
      </c>
      <c r="F11444" s="7">
        <v>45969.20554861202</v>
      </c>
      <c r="G11444" s="3" t="s">
        <v>24380</v>
      </c>
    </row>
    <row r="11445">
      <c r="A11445" s="3" t="s">
        <v>26968</v>
      </c>
      <c r="B11445" s="3" t="s">
        <v>10006</v>
      </c>
      <c r="C11445" s="5" t="s">
        <v>221</v>
      </c>
      <c r="D11445" s="3" t="s">
        <v>614</v>
      </c>
      <c r="E11445" s="3" t="s">
        <v>118</v>
      </c>
      <c r="F11445" s="7">
        <v>45969.20902083424</v>
      </c>
      <c r="G11445" s="3" t="s">
        <v>24382</v>
      </c>
    </row>
    <row r="11446">
      <c r="A11446" s="3" t="s">
        <v>26969</v>
      </c>
      <c r="B11446" s="3" t="s">
        <v>10006</v>
      </c>
      <c r="C11446" s="5" t="s">
        <v>614</v>
      </c>
      <c r="D11446" s="3" t="s">
        <v>206</v>
      </c>
      <c r="E11446" s="3" t="s">
        <v>100</v>
      </c>
      <c r="F11446" s="7">
        <v>45969.21249305647</v>
      </c>
      <c r="G11446" s="3" t="s">
        <v>24384</v>
      </c>
    </row>
    <row r="11447">
      <c r="A11447" s="3" t="s">
        <v>26970</v>
      </c>
      <c r="B11447" s="3" t="s">
        <v>10006</v>
      </c>
      <c r="C11447" s="5" t="s">
        <v>206</v>
      </c>
      <c r="D11447" s="3" t="s">
        <v>68</v>
      </c>
      <c r="E11447" s="3" t="s">
        <v>100</v>
      </c>
      <c r="F11447" s="7">
        <v>45969.21596527869</v>
      </c>
      <c r="G11447" s="3" t="s">
        <v>24386</v>
      </c>
    </row>
    <row r="11448">
      <c r="A11448" s="3" t="s">
        <v>26971</v>
      </c>
      <c r="B11448" s="3" t="s">
        <v>10009</v>
      </c>
      <c r="C11448" s="5" t="s">
        <v>45</v>
      </c>
      <c r="D11448" s="3" t="s">
        <v>221</v>
      </c>
      <c r="E11448" s="3" t="s">
        <v>579</v>
      </c>
      <c r="F11448" s="7">
        <v>45969.276723457435</v>
      </c>
      <c r="G11448" s="3" t="s">
        <v>25817</v>
      </c>
    </row>
    <row r="11449">
      <c r="A11449" s="3" t="s">
        <v>26972</v>
      </c>
      <c r="B11449" s="3" t="s">
        <v>10009</v>
      </c>
      <c r="C11449" s="5" t="s">
        <v>221</v>
      </c>
      <c r="D11449" s="3" t="s">
        <v>614</v>
      </c>
      <c r="E11449" s="3" t="s">
        <v>118</v>
      </c>
      <c r="F11449" s="7">
        <v>45969.280195679654</v>
      </c>
      <c r="G11449" s="3" t="s">
        <v>25819</v>
      </c>
    </row>
    <row r="11450">
      <c r="A11450" s="3" t="s">
        <v>26973</v>
      </c>
      <c r="B11450" s="3" t="s">
        <v>10009</v>
      </c>
      <c r="C11450" s="5" t="s">
        <v>614</v>
      </c>
      <c r="D11450" s="3" t="s">
        <v>206</v>
      </c>
      <c r="E11450" s="3" t="s">
        <v>100</v>
      </c>
      <c r="F11450" s="7">
        <v>45969.28366790188</v>
      </c>
      <c r="G11450" s="3" t="s">
        <v>25821</v>
      </c>
    </row>
    <row r="11451">
      <c r="A11451" s="3" t="s">
        <v>26974</v>
      </c>
      <c r="B11451" s="3" t="s">
        <v>10009</v>
      </c>
      <c r="C11451" s="5" t="s">
        <v>206</v>
      </c>
      <c r="D11451" s="3" t="s">
        <v>68</v>
      </c>
      <c r="E11451" s="3" t="s">
        <v>100</v>
      </c>
      <c r="F11451" s="7">
        <v>45969.2871401241</v>
      </c>
      <c r="G11451" s="3" t="s">
        <v>25823</v>
      </c>
    </row>
    <row r="11452">
      <c r="A11452" s="3" t="s">
        <v>26975</v>
      </c>
      <c r="B11452" s="3" t="s">
        <v>10012</v>
      </c>
      <c r="C11452" s="5" t="s">
        <v>45</v>
      </c>
      <c r="D11452" s="3" t="s">
        <v>221</v>
      </c>
      <c r="E11452" s="3" t="s">
        <v>230</v>
      </c>
      <c r="F11452" s="7">
        <v>45969.347898302854</v>
      </c>
      <c r="G11452" s="3" t="s">
        <v>26976</v>
      </c>
    </row>
    <row r="11453">
      <c r="A11453" s="3" t="s">
        <v>26977</v>
      </c>
      <c r="B11453" s="3" t="s">
        <v>10012</v>
      </c>
      <c r="C11453" s="5" t="s">
        <v>221</v>
      </c>
      <c r="D11453" s="3" t="s">
        <v>614</v>
      </c>
      <c r="E11453" s="3" t="s">
        <v>118</v>
      </c>
      <c r="F11453" s="7">
        <v>45969.35137052507</v>
      </c>
      <c r="G11453" s="3" t="s">
        <v>26978</v>
      </c>
    </row>
    <row r="11454">
      <c r="A11454" s="3" t="s">
        <v>26979</v>
      </c>
      <c r="B11454" s="3" t="s">
        <v>10012</v>
      </c>
      <c r="C11454" s="5" t="s">
        <v>614</v>
      </c>
      <c r="D11454" s="3" t="s">
        <v>206</v>
      </c>
      <c r="E11454" s="3" t="s">
        <v>100</v>
      </c>
      <c r="F11454" s="7">
        <v>45969.3548427473</v>
      </c>
      <c r="G11454" s="3" t="s">
        <v>26980</v>
      </c>
    </row>
    <row r="11455">
      <c r="A11455" s="3" t="s">
        <v>26981</v>
      </c>
      <c r="B11455" s="3" t="s">
        <v>10012</v>
      </c>
      <c r="C11455" s="5" t="s">
        <v>206</v>
      </c>
      <c r="D11455" s="3" t="s">
        <v>68</v>
      </c>
      <c r="E11455" s="3" t="s">
        <v>100</v>
      </c>
      <c r="F11455" s="7">
        <v>45969.35831496952</v>
      </c>
      <c r="G11455" s="3" t="s">
        <v>26982</v>
      </c>
    </row>
    <row r="11456">
      <c r="A11456" s="3" t="s">
        <v>26983</v>
      </c>
      <c r="B11456" s="3" t="s">
        <v>10014</v>
      </c>
      <c r="C11456" s="5" t="s">
        <v>45</v>
      </c>
      <c r="D11456" s="3" t="s">
        <v>221</v>
      </c>
      <c r="E11456" s="3" t="s">
        <v>694</v>
      </c>
      <c r="F11456" s="7">
        <v>45969.41907314827</v>
      </c>
      <c r="G11456" s="3" t="s">
        <v>4922</v>
      </c>
    </row>
    <row r="11457">
      <c r="A11457" s="3" t="s">
        <v>26984</v>
      </c>
      <c r="B11457" s="3" t="s">
        <v>10014</v>
      </c>
      <c r="C11457" s="5" t="s">
        <v>221</v>
      </c>
      <c r="D11457" s="3" t="s">
        <v>181</v>
      </c>
      <c r="E11457" s="3" t="s">
        <v>118</v>
      </c>
      <c r="F11457" s="7">
        <v>45969.422545370486</v>
      </c>
      <c r="G11457" s="3" t="s">
        <v>26985</v>
      </c>
    </row>
    <row r="11458">
      <c r="A11458" s="3" t="s">
        <v>26986</v>
      </c>
      <c r="B11458" s="3" t="s">
        <v>10016</v>
      </c>
      <c r="C11458" s="5" t="s">
        <v>45</v>
      </c>
      <c r="D11458" s="3" t="s">
        <v>221</v>
      </c>
      <c r="E11458" s="3" t="s">
        <v>691</v>
      </c>
      <c r="F11458" s="7">
        <v>45969.49024799368</v>
      </c>
      <c r="G11458" s="3" t="s">
        <v>19658</v>
      </c>
    </row>
    <row r="11459">
      <c r="A11459" s="3" t="s">
        <v>26987</v>
      </c>
      <c r="B11459" s="3" t="s">
        <v>10016</v>
      </c>
      <c r="C11459" s="5" t="s">
        <v>221</v>
      </c>
      <c r="D11459" s="3" t="s">
        <v>614</v>
      </c>
      <c r="E11459" s="3" t="s">
        <v>118</v>
      </c>
      <c r="F11459" s="7">
        <v>45969.4937202159</v>
      </c>
      <c r="G11459" s="3" t="s">
        <v>19661</v>
      </c>
    </row>
    <row r="11460">
      <c r="A11460" s="3" t="s">
        <v>26988</v>
      </c>
      <c r="B11460" s="3" t="s">
        <v>10016</v>
      </c>
      <c r="C11460" s="5" t="s">
        <v>614</v>
      </c>
      <c r="D11460" s="3" t="s">
        <v>206</v>
      </c>
      <c r="E11460" s="3" t="s">
        <v>100</v>
      </c>
      <c r="F11460" s="7">
        <v>45969.497192438124</v>
      </c>
      <c r="G11460" s="3" t="s">
        <v>19664</v>
      </c>
    </row>
    <row r="11461">
      <c r="A11461" s="3" t="s">
        <v>26989</v>
      </c>
      <c r="B11461" s="3" t="s">
        <v>10016</v>
      </c>
      <c r="C11461" s="5" t="s">
        <v>206</v>
      </c>
      <c r="D11461" s="3" t="s">
        <v>68</v>
      </c>
      <c r="E11461" s="3" t="s">
        <v>100</v>
      </c>
      <c r="F11461" s="7">
        <v>45969.50066466034</v>
      </c>
      <c r="G11461" s="3" t="s">
        <v>19667</v>
      </c>
    </row>
    <row r="11462">
      <c r="A11462" s="3" t="s">
        <v>26990</v>
      </c>
      <c r="B11462" s="3" t="s">
        <v>10019</v>
      </c>
      <c r="C11462" s="5" t="s">
        <v>45</v>
      </c>
      <c r="D11462" s="3" t="s">
        <v>221</v>
      </c>
      <c r="E11462" s="3" t="s">
        <v>811</v>
      </c>
      <c r="F11462" s="7">
        <v>45969.5614228391</v>
      </c>
      <c r="G11462" s="3" t="s">
        <v>5171</v>
      </c>
    </row>
    <row r="11463">
      <c r="A11463" s="3" t="s">
        <v>26991</v>
      </c>
      <c r="B11463" s="3" t="s">
        <v>10019</v>
      </c>
      <c r="C11463" s="5" t="s">
        <v>221</v>
      </c>
      <c r="D11463" s="3" t="s">
        <v>614</v>
      </c>
      <c r="E11463" s="3" t="s">
        <v>118</v>
      </c>
      <c r="F11463" s="7">
        <v>45969.56489506132</v>
      </c>
      <c r="G11463" s="3" t="s">
        <v>12316</v>
      </c>
    </row>
    <row r="11464">
      <c r="A11464" s="3" t="s">
        <v>26992</v>
      </c>
      <c r="B11464" s="3" t="s">
        <v>10019</v>
      </c>
      <c r="C11464" s="5" t="s">
        <v>614</v>
      </c>
      <c r="D11464" s="3" t="s">
        <v>206</v>
      </c>
      <c r="E11464" s="3" t="s">
        <v>100</v>
      </c>
      <c r="F11464" s="7">
        <v>45969.568367283544</v>
      </c>
      <c r="G11464" s="3" t="s">
        <v>12319</v>
      </c>
    </row>
    <row r="11465">
      <c r="A11465" s="3" t="s">
        <v>26993</v>
      </c>
      <c r="B11465" s="3" t="s">
        <v>10019</v>
      </c>
      <c r="C11465" s="5" t="s">
        <v>206</v>
      </c>
      <c r="D11465" s="3" t="s">
        <v>68</v>
      </c>
      <c r="E11465" s="3" t="s">
        <v>100</v>
      </c>
      <c r="F11465" s="7">
        <v>45969.57183950576</v>
      </c>
      <c r="G11465" s="3" t="s">
        <v>12322</v>
      </c>
    </row>
    <row r="11466">
      <c r="A11466" s="3" t="s">
        <v>26994</v>
      </c>
      <c r="B11466" s="3" t="s">
        <v>10022</v>
      </c>
      <c r="C11466" s="5" t="s">
        <v>45</v>
      </c>
      <c r="D11466" s="3" t="s">
        <v>221</v>
      </c>
      <c r="E11466" s="3" t="s">
        <v>655</v>
      </c>
      <c r="F11466" s="7">
        <v>45969.63259768452</v>
      </c>
      <c r="G11466" s="3" t="s">
        <v>26601</v>
      </c>
    </row>
    <row r="11467">
      <c r="A11467" s="3" t="s">
        <v>26995</v>
      </c>
      <c r="B11467" s="3" t="s">
        <v>10022</v>
      </c>
      <c r="C11467" s="5" t="s">
        <v>221</v>
      </c>
      <c r="D11467" s="3" t="s">
        <v>614</v>
      </c>
      <c r="E11467" s="3" t="s">
        <v>118</v>
      </c>
      <c r="F11467" s="7">
        <v>45969.63606990674</v>
      </c>
      <c r="G11467" s="3" t="s">
        <v>26603</v>
      </c>
    </row>
    <row r="11468">
      <c r="A11468" s="3" t="s">
        <v>26996</v>
      </c>
      <c r="B11468" s="3" t="s">
        <v>10022</v>
      </c>
      <c r="C11468" s="5" t="s">
        <v>614</v>
      </c>
      <c r="D11468" s="3" t="s">
        <v>206</v>
      </c>
      <c r="E11468" s="3" t="s">
        <v>100</v>
      </c>
      <c r="F11468" s="7">
        <v>45969.63954212896</v>
      </c>
      <c r="G11468" s="3" t="s">
        <v>26605</v>
      </c>
    </row>
    <row r="11469">
      <c r="A11469" s="3" t="s">
        <v>26997</v>
      </c>
      <c r="B11469" s="3" t="s">
        <v>10022</v>
      </c>
      <c r="C11469" s="5" t="s">
        <v>206</v>
      </c>
      <c r="D11469" s="3" t="s">
        <v>68</v>
      </c>
      <c r="E11469" s="3" t="s">
        <v>100</v>
      </c>
      <c r="F11469" s="7">
        <v>45969.64301435118</v>
      </c>
      <c r="G11469" s="3" t="s">
        <v>26607</v>
      </c>
    </row>
    <row r="11470">
      <c r="A11470" s="3" t="s">
        <v>26998</v>
      </c>
      <c r="B11470" s="3" t="s">
        <v>10024</v>
      </c>
      <c r="C11470" s="5" t="s">
        <v>45</v>
      </c>
      <c r="D11470" s="3" t="s">
        <v>221</v>
      </c>
      <c r="E11470" s="3" t="s">
        <v>336</v>
      </c>
      <c r="F11470" s="7">
        <v>45969.70377252992</v>
      </c>
      <c r="G11470" s="3" t="s">
        <v>26096</v>
      </c>
    </row>
    <row r="11471">
      <c r="A11471" s="3" t="s">
        <v>26999</v>
      </c>
      <c r="B11471" s="3" t="s">
        <v>10024</v>
      </c>
      <c r="C11471" s="5" t="s">
        <v>221</v>
      </c>
      <c r="D11471" s="3" t="s">
        <v>614</v>
      </c>
      <c r="E11471" s="3" t="s">
        <v>118</v>
      </c>
      <c r="F11471" s="7">
        <v>45969.70724475214</v>
      </c>
      <c r="G11471" s="3" t="s">
        <v>26098</v>
      </c>
    </row>
    <row r="11472">
      <c r="A11472" s="3" t="s">
        <v>27000</v>
      </c>
      <c r="B11472" s="3" t="s">
        <v>10024</v>
      </c>
      <c r="C11472" s="5" t="s">
        <v>614</v>
      </c>
      <c r="D11472" s="3" t="s">
        <v>206</v>
      </c>
      <c r="E11472" s="3" t="s">
        <v>100</v>
      </c>
      <c r="F11472" s="7">
        <v>45969.71071697437</v>
      </c>
      <c r="G11472" s="3" t="s">
        <v>26100</v>
      </c>
    </row>
    <row r="11473">
      <c r="A11473" s="3" t="s">
        <v>27001</v>
      </c>
      <c r="B11473" s="3" t="s">
        <v>10024</v>
      </c>
      <c r="C11473" s="5" t="s">
        <v>206</v>
      </c>
      <c r="D11473" s="3" t="s">
        <v>68</v>
      </c>
      <c r="E11473" s="3" t="s">
        <v>100</v>
      </c>
      <c r="F11473" s="7">
        <v>45969.71418919659</v>
      </c>
      <c r="G11473" s="3" t="s">
        <v>26102</v>
      </c>
    </row>
    <row r="11474">
      <c r="A11474" s="3" t="s">
        <v>27002</v>
      </c>
      <c r="B11474" s="3" t="s">
        <v>10026</v>
      </c>
      <c r="C11474" s="5" t="s">
        <v>45</v>
      </c>
      <c r="D11474" s="3" t="s">
        <v>221</v>
      </c>
      <c r="E11474" s="3" t="s">
        <v>516</v>
      </c>
      <c r="F11474" s="7">
        <v>45969.77494737534</v>
      </c>
      <c r="G11474" s="3" t="s">
        <v>12793</v>
      </c>
    </row>
    <row r="11475">
      <c r="A11475" s="3" t="s">
        <v>27003</v>
      </c>
      <c r="B11475" s="3" t="s">
        <v>10026</v>
      </c>
      <c r="C11475" s="5" t="s">
        <v>221</v>
      </c>
      <c r="D11475" s="3" t="s">
        <v>614</v>
      </c>
      <c r="E11475" s="3" t="s">
        <v>118</v>
      </c>
      <c r="F11475" s="7">
        <v>45969.77841959756</v>
      </c>
      <c r="G11475" s="3" t="s">
        <v>12796</v>
      </c>
    </row>
    <row r="11476">
      <c r="A11476" s="3" t="s">
        <v>27004</v>
      </c>
      <c r="B11476" s="3" t="s">
        <v>10026</v>
      </c>
      <c r="C11476" s="5" t="s">
        <v>614</v>
      </c>
      <c r="D11476" s="3" t="s">
        <v>206</v>
      </c>
      <c r="E11476" s="3" t="s">
        <v>100</v>
      </c>
      <c r="F11476" s="7">
        <v>45969.78189181979</v>
      </c>
      <c r="G11476" s="3" t="s">
        <v>12798</v>
      </c>
    </row>
    <row r="11477">
      <c r="A11477" s="3" t="s">
        <v>27005</v>
      </c>
      <c r="B11477" s="3" t="s">
        <v>10026</v>
      </c>
      <c r="C11477" s="5" t="s">
        <v>206</v>
      </c>
      <c r="D11477" s="3" t="s">
        <v>68</v>
      </c>
      <c r="E11477" s="3" t="s">
        <v>100</v>
      </c>
      <c r="F11477" s="7">
        <v>45969.78536404201</v>
      </c>
      <c r="G11477" s="3" t="s">
        <v>12801</v>
      </c>
    </row>
    <row r="11478">
      <c r="A11478" s="3" t="s">
        <v>27006</v>
      </c>
      <c r="B11478" s="3" t="s">
        <v>10029</v>
      </c>
      <c r="C11478" s="5" t="s">
        <v>45</v>
      </c>
      <c r="D11478" s="3" t="s">
        <v>221</v>
      </c>
      <c r="E11478" s="3" t="s">
        <v>565</v>
      </c>
      <c r="F11478" s="7">
        <v>45969.84612222076</v>
      </c>
      <c r="G11478" s="3" t="s">
        <v>17747</v>
      </c>
    </row>
    <row r="11479">
      <c r="A11479" s="3" t="s">
        <v>27007</v>
      </c>
      <c r="B11479" s="3" t="s">
        <v>10029</v>
      </c>
      <c r="C11479" s="5" t="s">
        <v>221</v>
      </c>
      <c r="D11479" s="3" t="s">
        <v>614</v>
      </c>
      <c r="E11479" s="3" t="s">
        <v>118</v>
      </c>
      <c r="F11479" s="7">
        <v>45969.84959444298</v>
      </c>
      <c r="G11479" s="3" t="s">
        <v>17750</v>
      </c>
    </row>
    <row r="11480">
      <c r="A11480" s="3" t="s">
        <v>27008</v>
      </c>
      <c r="B11480" s="3" t="s">
        <v>10029</v>
      </c>
      <c r="C11480" s="5" t="s">
        <v>614</v>
      </c>
      <c r="D11480" s="3" t="s">
        <v>206</v>
      </c>
      <c r="E11480" s="3" t="s">
        <v>100</v>
      </c>
      <c r="F11480" s="7">
        <v>45969.85306666521</v>
      </c>
      <c r="G11480" s="3" t="s">
        <v>17752</v>
      </c>
    </row>
    <row r="11481">
      <c r="A11481" s="3" t="s">
        <v>27009</v>
      </c>
      <c r="B11481" s="3" t="s">
        <v>10029</v>
      </c>
      <c r="C11481" s="5" t="s">
        <v>206</v>
      </c>
      <c r="D11481" s="3" t="s">
        <v>68</v>
      </c>
      <c r="E11481" s="3" t="s">
        <v>100</v>
      </c>
      <c r="F11481" s="7">
        <v>45969.85653888743</v>
      </c>
      <c r="G11481" s="3" t="s">
        <v>17755</v>
      </c>
    </row>
    <row r="11482">
      <c r="A11482" s="3" t="s">
        <v>27010</v>
      </c>
      <c r="B11482" s="3" t="s">
        <v>10030</v>
      </c>
      <c r="C11482" s="5" t="s">
        <v>45</v>
      </c>
      <c r="D11482" s="3" t="s">
        <v>221</v>
      </c>
      <c r="E11482" s="3" t="s">
        <v>752</v>
      </c>
      <c r="F11482" s="7">
        <v>45969.917297066175</v>
      </c>
      <c r="G11482" s="3" t="s">
        <v>12804</v>
      </c>
    </row>
    <row r="11483">
      <c r="A11483" s="3" t="s">
        <v>27011</v>
      </c>
      <c r="B11483" s="3" t="s">
        <v>10030</v>
      </c>
      <c r="C11483" s="5" t="s">
        <v>221</v>
      </c>
      <c r="D11483" s="3" t="s">
        <v>614</v>
      </c>
      <c r="E11483" s="3" t="s">
        <v>118</v>
      </c>
      <c r="F11483" s="7">
        <v>45969.920769288394</v>
      </c>
      <c r="G11483" s="3" t="s">
        <v>12807</v>
      </c>
    </row>
    <row r="11484">
      <c r="A11484" s="3" t="s">
        <v>27012</v>
      </c>
      <c r="B11484" s="3" t="s">
        <v>10030</v>
      </c>
      <c r="C11484" s="5" t="s">
        <v>614</v>
      </c>
      <c r="D11484" s="3" t="s">
        <v>206</v>
      </c>
      <c r="E11484" s="3" t="s">
        <v>100</v>
      </c>
      <c r="F11484" s="7">
        <v>45969.92424151062</v>
      </c>
      <c r="G11484" s="3" t="s">
        <v>12810</v>
      </c>
    </row>
    <row r="11485">
      <c r="A11485" s="3" t="s">
        <v>27013</v>
      </c>
      <c r="B11485" s="3" t="s">
        <v>10030</v>
      </c>
      <c r="C11485" s="5" t="s">
        <v>206</v>
      </c>
      <c r="D11485" s="3" t="s">
        <v>68</v>
      </c>
      <c r="E11485" s="3" t="s">
        <v>100</v>
      </c>
      <c r="F11485" s="7">
        <v>45969.92771373284</v>
      </c>
      <c r="G11485" s="3" t="s">
        <v>12813</v>
      </c>
    </row>
    <row r="11486">
      <c r="A11486" s="3" t="s">
        <v>27014</v>
      </c>
      <c r="B11486" s="3" t="s">
        <v>10032</v>
      </c>
      <c r="C11486" s="5" t="s">
        <v>45</v>
      </c>
      <c r="D11486" s="3" t="s">
        <v>221</v>
      </c>
      <c r="E11486" s="3" t="s">
        <v>559</v>
      </c>
      <c r="F11486" s="7">
        <v>45969.98847191159</v>
      </c>
      <c r="G11486" s="3" t="s">
        <v>16238</v>
      </c>
    </row>
    <row r="11487">
      <c r="A11487" s="3" t="s">
        <v>27015</v>
      </c>
      <c r="B11487" s="3" t="s">
        <v>10032</v>
      </c>
      <c r="C11487" s="5" t="s">
        <v>221</v>
      </c>
      <c r="D11487" s="3" t="s">
        <v>614</v>
      </c>
      <c r="E11487" s="3" t="s">
        <v>118</v>
      </c>
      <c r="F11487" s="7">
        <v>45969.991944133806</v>
      </c>
      <c r="G11487" s="3" t="s">
        <v>26430</v>
      </c>
    </row>
    <row r="11488">
      <c r="A11488" s="3" t="s">
        <v>27016</v>
      </c>
      <c r="B11488" s="3" t="s">
        <v>10032</v>
      </c>
      <c r="C11488" s="5" t="s">
        <v>614</v>
      </c>
      <c r="D11488" s="3" t="s">
        <v>206</v>
      </c>
      <c r="E11488" s="3" t="s">
        <v>100</v>
      </c>
      <c r="F11488" s="7">
        <v>45969.99541635603</v>
      </c>
      <c r="G11488" s="3" t="s">
        <v>26432</v>
      </c>
    </row>
    <row r="11489">
      <c r="A11489" s="3" t="s">
        <v>27017</v>
      </c>
      <c r="B11489" s="3" t="s">
        <v>10032</v>
      </c>
      <c r="C11489" s="5" t="s">
        <v>206</v>
      </c>
      <c r="D11489" s="3" t="s">
        <v>68</v>
      </c>
      <c r="E11489" s="3" t="s">
        <v>100</v>
      </c>
      <c r="F11489" s="7">
        <v>45969.99888857825</v>
      </c>
      <c r="G11489" s="3" t="s">
        <v>26434</v>
      </c>
    </row>
    <row r="11490">
      <c r="A11490" s="3" t="s">
        <v>27018</v>
      </c>
      <c r="B11490" s="3" t="s">
        <v>10034</v>
      </c>
      <c r="C11490" s="5" t="s">
        <v>45</v>
      </c>
      <c r="D11490" s="3" t="s">
        <v>221</v>
      </c>
      <c r="E11490" s="3" t="s">
        <v>796</v>
      </c>
      <c r="F11490" s="7">
        <v>45970.05964675701</v>
      </c>
      <c r="G11490" s="3" t="s">
        <v>27019</v>
      </c>
    </row>
    <row r="11491">
      <c r="A11491" s="3" t="s">
        <v>27020</v>
      </c>
      <c r="B11491" s="3" t="s">
        <v>10034</v>
      </c>
      <c r="C11491" s="5" t="s">
        <v>221</v>
      </c>
      <c r="D11491" s="3" t="s">
        <v>181</v>
      </c>
      <c r="E11491" s="3" t="s">
        <v>118</v>
      </c>
      <c r="F11491" s="7">
        <v>45970.063118979226</v>
      </c>
      <c r="G11491" s="3" t="s">
        <v>27021</v>
      </c>
    </row>
    <row r="11492">
      <c r="A11492" s="3" t="s">
        <v>27022</v>
      </c>
      <c r="B11492" s="3" t="s">
        <v>10036</v>
      </c>
      <c r="C11492" s="5" t="s">
        <v>45</v>
      </c>
      <c r="D11492" s="3" t="s">
        <v>221</v>
      </c>
      <c r="E11492" s="3" t="s">
        <v>596</v>
      </c>
      <c r="F11492" s="7">
        <v>45970.13082160242</v>
      </c>
      <c r="G11492" s="3" t="s">
        <v>24247</v>
      </c>
    </row>
    <row r="11493">
      <c r="A11493" s="3" t="s">
        <v>27023</v>
      </c>
      <c r="B11493" s="3" t="s">
        <v>10036</v>
      </c>
      <c r="C11493" s="5" t="s">
        <v>221</v>
      </c>
      <c r="D11493" s="3" t="s">
        <v>614</v>
      </c>
      <c r="E11493" s="3" t="s">
        <v>118</v>
      </c>
      <c r="F11493" s="7">
        <v>45970.13429382464</v>
      </c>
      <c r="G11493" s="3" t="s">
        <v>24249</v>
      </c>
    </row>
    <row r="11494">
      <c r="A11494" s="3" t="s">
        <v>27024</v>
      </c>
      <c r="B11494" s="3" t="s">
        <v>10036</v>
      </c>
      <c r="C11494" s="5" t="s">
        <v>614</v>
      </c>
      <c r="D11494" s="3" t="s">
        <v>206</v>
      </c>
      <c r="E11494" s="3" t="s">
        <v>100</v>
      </c>
      <c r="F11494" s="7">
        <v>45970.137766046864</v>
      </c>
      <c r="G11494" s="3" t="s">
        <v>24251</v>
      </c>
    </row>
    <row r="11495">
      <c r="A11495" s="3" t="s">
        <v>27025</v>
      </c>
      <c r="B11495" s="3" t="s">
        <v>10036</v>
      </c>
      <c r="C11495" s="5" t="s">
        <v>206</v>
      </c>
      <c r="D11495" s="3" t="s">
        <v>68</v>
      </c>
      <c r="E11495" s="3" t="s">
        <v>100</v>
      </c>
      <c r="F11495" s="7">
        <v>45970.14123826908</v>
      </c>
      <c r="G11495" s="3" t="s">
        <v>24253</v>
      </c>
    </row>
    <row r="11496">
      <c r="A11496" s="3" t="s">
        <v>27026</v>
      </c>
      <c r="B11496" s="3" t="s">
        <v>10037</v>
      </c>
      <c r="C11496" s="5" t="s">
        <v>45</v>
      </c>
      <c r="D11496" s="3" t="s">
        <v>221</v>
      </c>
      <c r="E11496" s="3" t="s">
        <v>629</v>
      </c>
      <c r="F11496" s="7">
        <v>45970.20199644783</v>
      </c>
      <c r="G11496" s="3" t="s">
        <v>12582</v>
      </c>
    </row>
    <row r="11497">
      <c r="A11497" s="3" t="s">
        <v>27027</v>
      </c>
      <c r="B11497" s="3" t="s">
        <v>10037</v>
      </c>
      <c r="C11497" s="5" t="s">
        <v>221</v>
      </c>
      <c r="D11497" s="3" t="s">
        <v>614</v>
      </c>
      <c r="E11497" s="3" t="s">
        <v>118</v>
      </c>
      <c r="F11497" s="7">
        <v>45970.20546867005</v>
      </c>
      <c r="G11497" s="3" t="s">
        <v>12585</v>
      </c>
    </row>
    <row r="11498">
      <c r="A11498" s="3" t="s">
        <v>27028</v>
      </c>
      <c r="B11498" s="3" t="s">
        <v>10037</v>
      </c>
      <c r="C11498" s="5" t="s">
        <v>614</v>
      </c>
      <c r="D11498" s="3" t="s">
        <v>206</v>
      </c>
      <c r="E11498" s="3" t="s">
        <v>100</v>
      </c>
      <c r="F11498" s="7">
        <v>45970.20894089228</v>
      </c>
      <c r="G11498" s="3" t="s">
        <v>12588</v>
      </c>
    </row>
    <row r="11499">
      <c r="A11499" s="3" t="s">
        <v>27029</v>
      </c>
      <c r="B11499" s="3" t="s">
        <v>10037</v>
      </c>
      <c r="C11499" s="5" t="s">
        <v>206</v>
      </c>
      <c r="D11499" s="3" t="s">
        <v>68</v>
      </c>
      <c r="E11499" s="3" t="s">
        <v>100</v>
      </c>
      <c r="F11499" s="7">
        <v>45970.212413114496</v>
      </c>
      <c r="G11499" s="3" t="s">
        <v>12591</v>
      </c>
    </row>
    <row r="11500">
      <c r="A11500" s="3" t="s">
        <v>27030</v>
      </c>
      <c r="B11500" s="3" t="s">
        <v>10039</v>
      </c>
      <c r="C11500" s="5" t="s">
        <v>45</v>
      </c>
      <c r="D11500" s="3" t="s">
        <v>221</v>
      </c>
      <c r="E11500" s="3" t="s">
        <v>937</v>
      </c>
      <c r="F11500" s="7">
        <v>45970.27317129325</v>
      </c>
      <c r="G11500" s="3" t="s">
        <v>6667</v>
      </c>
    </row>
    <row r="11501">
      <c r="A11501" s="3" t="s">
        <v>27031</v>
      </c>
      <c r="B11501" s="3" t="s">
        <v>10039</v>
      </c>
      <c r="C11501" s="5" t="s">
        <v>221</v>
      </c>
      <c r="D11501" s="3" t="s">
        <v>614</v>
      </c>
      <c r="E11501" s="3" t="s">
        <v>118</v>
      </c>
      <c r="F11501" s="7">
        <v>45970.27664351547</v>
      </c>
      <c r="G11501" s="3" t="s">
        <v>6670</v>
      </c>
    </row>
    <row r="11502">
      <c r="A11502" s="3" t="s">
        <v>27032</v>
      </c>
      <c r="B11502" s="3" t="s">
        <v>10039</v>
      </c>
      <c r="C11502" s="5" t="s">
        <v>614</v>
      </c>
      <c r="D11502" s="3" t="s">
        <v>206</v>
      </c>
      <c r="E11502" s="3" t="s">
        <v>100</v>
      </c>
      <c r="F11502" s="7">
        <v>45970.280115737696</v>
      </c>
      <c r="G11502" s="3" t="s">
        <v>6673</v>
      </c>
    </row>
    <row r="11503">
      <c r="A11503" s="3" t="s">
        <v>27033</v>
      </c>
      <c r="B11503" s="3" t="s">
        <v>10039</v>
      </c>
      <c r="C11503" s="5" t="s">
        <v>206</v>
      </c>
      <c r="D11503" s="3" t="s">
        <v>68</v>
      </c>
      <c r="E11503" s="3" t="s">
        <v>100</v>
      </c>
      <c r="F11503" s="7">
        <v>45970.283587959915</v>
      </c>
      <c r="G11503" s="3" t="s">
        <v>6676</v>
      </c>
    </row>
    <row r="11504">
      <c r="A11504" s="3" t="s">
        <v>27034</v>
      </c>
      <c r="B11504" s="3" t="s">
        <v>10042</v>
      </c>
      <c r="C11504" s="5" t="s">
        <v>45</v>
      </c>
      <c r="D11504" s="3" t="s">
        <v>221</v>
      </c>
      <c r="E11504" s="3" t="s">
        <v>669</v>
      </c>
      <c r="F11504" s="7">
        <v>45970.34434613866</v>
      </c>
      <c r="G11504" s="3" t="s">
        <v>25154</v>
      </c>
    </row>
    <row r="11505">
      <c r="A11505" s="3" t="s">
        <v>27035</v>
      </c>
      <c r="B11505" s="3" t="s">
        <v>10042</v>
      </c>
      <c r="C11505" s="5" t="s">
        <v>221</v>
      </c>
      <c r="D11505" s="3" t="s">
        <v>614</v>
      </c>
      <c r="E11505" s="3" t="s">
        <v>118</v>
      </c>
      <c r="F11505" s="7">
        <v>45970.34781836088</v>
      </c>
      <c r="G11505" s="3" t="s">
        <v>25156</v>
      </c>
    </row>
    <row r="11506">
      <c r="A11506" s="3" t="s">
        <v>27036</v>
      </c>
      <c r="B11506" s="3" t="s">
        <v>10042</v>
      </c>
      <c r="C11506" s="5" t="s">
        <v>614</v>
      </c>
      <c r="D11506" s="3" t="s">
        <v>206</v>
      </c>
      <c r="E11506" s="3" t="s">
        <v>100</v>
      </c>
      <c r="F11506" s="7">
        <v>45970.35129058311</v>
      </c>
      <c r="G11506" s="3" t="s">
        <v>25158</v>
      </c>
    </row>
    <row r="11507">
      <c r="A11507" s="3" t="s">
        <v>27037</v>
      </c>
      <c r="B11507" s="3" t="s">
        <v>10042</v>
      </c>
      <c r="C11507" s="5" t="s">
        <v>206</v>
      </c>
      <c r="D11507" s="3" t="s">
        <v>68</v>
      </c>
      <c r="E11507" s="3" t="s">
        <v>100</v>
      </c>
      <c r="F11507" s="7">
        <v>45970.35476280533</v>
      </c>
      <c r="G11507" s="3" t="s">
        <v>25160</v>
      </c>
    </row>
    <row r="11508">
      <c r="A11508" s="3" t="s">
        <v>27038</v>
      </c>
      <c r="B11508" s="3" t="s">
        <v>10044</v>
      </c>
      <c r="C11508" s="5" t="s">
        <v>45</v>
      </c>
      <c r="D11508" s="3" t="s">
        <v>221</v>
      </c>
      <c r="E11508" s="3" t="s">
        <v>860</v>
      </c>
      <c r="F11508" s="7">
        <v>45970.415520984076</v>
      </c>
      <c r="G11508" s="3" t="s">
        <v>18755</v>
      </c>
    </row>
    <row r="11509">
      <c r="A11509" s="3" t="s">
        <v>27039</v>
      </c>
      <c r="B11509" s="3" t="s">
        <v>10044</v>
      </c>
      <c r="C11509" s="5" t="s">
        <v>221</v>
      </c>
      <c r="D11509" s="3" t="s">
        <v>195</v>
      </c>
      <c r="E11509" s="3" t="s">
        <v>860</v>
      </c>
      <c r="F11509" s="7">
        <v>45970.418993206295</v>
      </c>
      <c r="G11509" s="3" t="s">
        <v>27040</v>
      </c>
    </row>
    <row r="11510">
      <c r="A11510" s="3" t="s">
        <v>27041</v>
      </c>
      <c r="B11510" s="3" t="s">
        <v>10046</v>
      </c>
      <c r="C11510" s="5" t="s">
        <v>45</v>
      </c>
      <c r="D11510" s="3" t="s">
        <v>221</v>
      </c>
      <c r="E11510" s="3" t="s">
        <v>752</v>
      </c>
      <c r="F11510" s="7">
        <v>45970.486695829495</v>
      </c>
      <c r="G11510" s="3" t="s">
        <v>14107</v>
      </c>
    </row>
    <row r="11511">
      <c r="A11511" s="3" t="s">
        <v>27042</v>
      </c>
      <c r="B11511" s="3" t="s">
        <v>10046</v>
      </c>
      <c r="C11511" s="5" t="s">
        <v>221</v>
      </c>
      <c r="D11511" s="3" t="s">
        <v>614</v>
      </c>
      <c r="E11511" s="3" t="s">
        <v>118</v>
      </c>
      <c r="F11511" s="7">
        <v>45970.490168051714</v>
      </c>
      <c r="G11511" s="3" t="s">
        <v>14110</v>
      </c>
    </row>
    <row r="11512">
      <c r="A11512" s="3" t="s">
        <v>27043</v>
      </c>
      <c r="B11512" s="3" t="s">
        <v>10046</v>
      </c>
      <c r="C11512" s="5" t="s">
        <v>614</v>
      </c>
      <c r="D11512" s="3" t="s">
        <v>206</v>
      </c>
      <c r="E11512" s="3" t="s">
        <v>100</v>
      </c>
      <c r="F11512" s="7">
        <v>45970.49364027394</v>
      </c>
      <c r="G11512" s="3" t="s">
        <v>14112</v>
      </c>
    </row>
    <row r="11513">
      <c r="A11513" s="3" t="s">
        <v>27044</v>
      </c>
      <c r="B11513" s="3" t="s">
        <v>10046</v>
      </c>
      <c r="C11513" s="5" t="s">
        <v>206</v>
      </c>
      <c r="D11513" s="3" t="s">
        <v>68</v>
      </c>
      <c r="E11513" s="3" t="s">
        <v>100</v>
      </c>
      <c r="F11513" s="7">
        <v>45970.49711249616</v>
      </c>
      <c r="G11513" s="3" t="s">
        <v>14115</v>
      </c>
    </row>
    <row r="11514">
      <c r="A11514" s="3" t="s">
        <v>27045</v>
      </c>
      <c r="B11514" s="3" t="s">
        <v>10049</v>
      </c>
      <c r="C11514" s="5" t="s">
        <v>45</v>
      </c>
      <c r="D11514" s="3" t="s">
        <v>221</v>
      </c>
      <c r="E11514" s="3" t="s">
        <v>391</v>
      </c>
      <c r="F11514" s="7">
        <v>45970.55787067491</v>
      </c>
      <c r="G11514" s="3" t="s">
        <v>27046</v>
      </c>
    </row>
    <row r="11515">
      <c r="A11515" s="3" t="s">
        <v>27047</v>
      </c>
      <c r="B11515" s="3" t="s">
        <v>10049</v>
      </c>
      <c r="C11515" s="5" t="s">
        <v>221</v>
      </c>
      <c r="D11515" s="3" t="s">
        <v>614</v>
      </c>
      <c r="E11515" s="3" t="s">
        <v>118</v>
      </c>
      <c r="F11515" s="7">
        <v>45970.56134289713</v>
      </c>
      <c r="G11515" s="3" t="s">
        <v>27048</v>
      </c>
    </row>
    <row r="11516">
      <c r="A11516" s="3" t="s">
        <v>27049</v>
      </c>
      <c r="B11516" s="3" t="s">
        <v>10049</v>
      </c>
      <c r="C11516" s="5" t="s">
        <v>614</v>
      </c>
      <c r="D11516" s="3" t="s">
        <v>206</v>
      </c>
      <c r="E11516" s="3" t="s">
        <v>100</v>
      </c>
      <c r="F11516" s="7">
        <v>45970.56481511935</v>
      </c>
      <c r="G11516" s="3" t="s">
        <v>27050</v>
      </c>
    </row>
    <row r="11517">
      <c r="A11517" s="3" t="s">
        <v>27051</v>
      </c>
      <c r="B11517" s="3" t="s">
        <v>10049</v>
      </c>
      <c r="C11517" s="5" t="s">
        <v>206</v>
      </c>
      <c r="D11517" s="3" t="s">
        <v>68</v>
      </c>
      <c r="E11517" s="3" t="s">
        <v>100</v>
      </c>
      <c r="F11517" s="7">
        <v>45970.56828734157</v>
      </c>
      <c r="G11517" s="3" t="s">
        <v>27052</v>
      </c>
    </row>
    <row r="11518">
      <c r="A11518" s="3" t="s">
        <v>27053</v>
      </c>
      <c r="B11518" s="3" t="s">
        <v>10052</v>
      </c>
      <c r="C11518" s="5" t="s">
        <v>45</v>
      </c>
      <c r="D11518" s="3" t="s">
        <v>221</v>
      </c>
      <c r="E11518" s="3" t="s">
        <v>512</v>
      </c>
      <c r="F11518" s="7">
        <v>45970.62904552032</v>
      </c>
      <c r="G11518" s="3" t="s">
        <v>10525</v>
      </c>
    </row>
    <row r="11519">
      <c r="A11519" s="3" t="s">
        <v>27054</v>
      </c>
      <c r="B11519" s="3" t="s">
        <v>10052</v>
      </c>
      <c r="C11519" s="5" t="s">
        <v>221</v>
      </c>
      <c r="D11519" s="3" t="s">
        <v>614</v>
      </c>
      <c r="E11519" s="3" t="s">
        <v>118</v>
      </c>
      <c r="F11519" s="7">
        <v>45970.63251774254</v>
      </c>
      <c r="G11519" s="3" t="s">
        <v>10527</v>
      </c>
    </row>
    <row r="11520">
      <c r="A11520" s="3" t="s">
        <v>27055</v>
      </c>
      <c r="B11520" s="3" t="s">
        <v>10052</v>
      </c>
      <c r="C11520" s="5" t="s">
        <v>614</v>
      </c>
      <c r="D11520" s="3" t="s">
        <v>206</v>
      </c>
      <c r="E11520" s="3" t="s">
        <v>100</v>
      </c>
      <c r="F11520" s="7">
        <v>45970.635989964765</v>
      </c>
      <c r="G11520" s="3" t="s">
        <v>10530</v>
      </c>
    </row>
    <row r="11521">
      <c r="A11521" s="3" t="s">
        <v>27056</v>
      </c>
      <c r="B11521" s="3" t="s">
        <v>10052</v>
      </c>
      <c r="C11521" s="5" t="s">
        <v>206</v>
      </c>
      <c r="D11521" s="3" t="s">
        <v>68</v>
      </c>
      <c r="E11521" s="3" t="s">
        <v>100</v>
      </c>
      <c r="F11521" s="7">
        <v>45970.639462186984</v>
      </c>
      <c r="G11521" s="3" t="s">
        <v>10533</v>
      </c>
    </row>
    <row r="11522">
      <c r="A11522" s="3" t="s">
        <v>27057</v>
      </c>
      <c r="B11522" s="3" t="s">
        <v>10053</v>
      </c>
      <c r="C11522" s="5" t="s">
        <v>45</v>
      </c>
      <c r="D11522" s="3" t="s">
        <v>221</v>
      </c>
      <c r="E11522" s="3" t="s">
        <v>908</v>
      </c>
      <c r="F11522" s="7">
        <v>45970.70022036574</v>
      </c>
      <c r="G11522" s="3" t="s">
        <v>6857</v>
      </c>
    </row>
    <row r="11523">
      <c r="A11523" s="3" t="s">
        <v>27058</v>
      </c>
      <c r="B11523" s="3" t="s">
        <v>10053</v>
      </c>
      <c r="C11523" s="5" t="s">
        <v>221</v>
      </c>
      <c r="D11523" s="3" t="s">
        <v>614</v>
      </c>
      <c r="E11523" s="3" t="s">
        <v>118</v>
      </c>
      <c r="F11523" s="7">
        <v>45970.70369258796</v>
      </c>
      <c r="G11523" s="3" t="s">
        <v>6859</v>
      </c>
    </row>
    <row r="11524">
      <c r="A11524" s="3" t="s">
        <v>27059</v>
      </c>
      <c r="B11524" s="3" t="s">
        <v>10053</v>
      </c>
      <c r="C11524" s="5" t="s">
        <v>614</v>
      </c>
      <c r="D11524" s="3" t="s">
        <v>206</v>
      </c>
      <c r="E11524" s="3" t="s">
        <v>100</v>
      </c>
      <c r="F11524" s="7">
        <v>45970.707164810185</v>
      </c>
      <c r="G11524" s="3" t="s">
        <v>6862</v>
      </c>
    </row>
    <row r="11525">
      <c r="A11525" s="3" t="s">
        <v>27060</v>
      </c>
      <c r="B11525" s="3" t="s">
        <v>10053</v>
      </c>
      <c r="C11525" s="5" t="s">
        <v>206</v>
      </c>
      <c r="D11525" s="3" t="s">
        <v>68</v>
      </c>
      <c r="E11525" s="3" t="s">
        <v>100</v>
      </c>
      <c r="F11525" s="7">
        <v>45970.7106370324</v>
      </c>
      <c r="G11525" s="3" t="s">
        <v>6865</v>
      </c>
    </row>
    <row r="11526">
      <c r="A11526" s="3" t="s">
        <v>27061</v>
      </c>
      <c r="B11526" s="3" t="s">
        <v>10056</v>
      </c>
      <c r="C11526" s="5" t="s">
        <v>45</v>
      </c>
      <c r="D11526" s="3" t="s">
        <v>221</v>
      </c>
      <c r="E11526" s="3" t="s">
        <v>637</v>
      </c>
      <c r="F11526" s="7">
        <v>45970.77139521116</v>
      </c>
      <c r="G11526" s="3" t="s">
        <v>10155</v>
      </c>
    </row>
    <row r="11527">
      <c r="A11527" s="3" t="s">
        <v>27062</v>
      </c>
      <c r="B11527" s="3" t="s">
        <v>10056</v>
      </c>
      <c r="C11527" s="5" t="s">
        <v>221</v>
      </c>
      <c r="D11527" s="3" t="s">
        <v>614</v>
      </c>
      <c r="E11527" s="3" t="s">
        <v>118</v>
      </c>
      <c r="F11527" s="7">
        <v>45970.77486743338</v>
      </c>
      <c r="G11527" s="3" t="s">
        <v>20294</v>
      </c>
    </row>
    <row r="11528">
      <c r="A11528" s="3" t="s">
        <v>27063</v>
      </c>
      <c r="B11528" s="3" t="s">
        <v>10056</v>
      </c>
      <c r="C11528" s="5" t="s">
        <v>614</v>
      </c>
      <c r="D11528" s="3" t="s">
        <v>206</v>
      </c>
      <c r="E11528" s="3" t="s">
        <v>100</v>
      </c>
      <c r="F11528" s="7">
        <v>45970.778339655604</v>
      </c>
      <c r="G11528" s="3" t="s">
        <v>20297</v>
      </c>
    </row>
    <row r="11529">
      <c r="A11529" s="3" t="s">
        <v>27064</v>
      </c>
      <c r="B11529" s="3" t="s">
        <v>10056</v>
      </c>
      <c r="C11529" s="5" t="s">
        <v>206</v>
      </c>
      <c r="D11529" s="3" t="s">
        <v>68</v>
      </c>
      <c r="E11529" s="3" t="s">
        <v>100</v>
      </c>
      <c r="F11529" s="7">
        <v>45970.78181187782</v>
      </c>
      <c r="G11529" s="3" t="s">
        <v>20299</v>
      </c>
    </row>
    <row r="11530">
      <c r="A11530" s="3" t="s">
        <v>27065</v>
      </c>
      <c r="B11530" s="3" t="s">
        <v>10059</v>
      </c>
      <c r="C11530" s="5" t="s">
        <v>45</v>
      </c>
      <c r="D11530" s="3" t="s">
        <v>221</v>
      </c>
      <c r="E11530" s="3" t="s">
        <v>676</v>
      </c>
      <c r="F11530" s="7">
        <v>45970.842570056564</v>
      </c>
      <c r="G11530" s="3" t="s">
        <v>12861</v>
      </c>
    </row>
    <row r="11531">
      <c r="A11531" s="3" t="s">
        <v>27066</v>
      </c>
      <c r="B11531" s="3" t="s">
        <v>10059</v>
      </c>
      <c r="C11531" s="5" t="s">
        <v>221</v>
      </c>
      <c r="D11531" s="3" t="s">
        <v>614</v>
      </c>
      <c r="E11531" s="3" t="s">
        <v>118</v>
      </c>
      <c r="F11531" s="7">
        <v>45970.84604227878</v>
      </c>
      <c r="G11531" s="3" t="s">
        <v>12865</v>
      </c>
    </row>
    <row r="11532">
      <c r="A11532" s="3" t="s">
        <v>27067</v>
      </c>
      <c r="B11532" s="3" t="s">
        <v>10059</v>
      </c>
      <c r="C11532" s="5" t="s">
        <v>614</v>
      </c>
      <c r="D11532" s="3" t="s">
        <v>206</v>
      </c>
      <c r="E11532" s="3" t="s">
        <v>100</v>
      </c>
      <c r="F11532" s="7">
        <v>45970.84951450101</v>
      </c>
      <c r="G11532" s="3" t="s">
        <v>12868</v>
      </c>
    </row>
    <row r="11533">
      <c r="A11533" s="3" t="s">
        <v>27068</v>
      </c>
      <c r="B11533" s="3" t="s">
        <v>10059</v>
      </c>
      <c r="C11533" s="5" t="s">
        <v>206</v>
      </c>
      <c r="D11533" s="3" t="s">
        <v>68</v>
      </c>
      <c r="E11533" s="3" t="s">
        <v>100</v>
      </c>
      <c r="F11533" s="7">
        <v>45970.85298672323</v>
      </c>
      <c r="G11533" s="3" t="s">
        <v>12871</v>
      </c>
    </row>
    <row r="11534">
      <c r="A11534" s="3" t="s">
        <v>27069</v>
      </c>
      <c r="B11534" s="3" t="s">
        <v>10062</v>
      </c>
      <c r="C11534" s="5" t="s">
        <v>45</v>
      </c>
      <c r="D11534" s="3" t="s">
        <v>221</v>
      </c>
      <c r="E11534" s="3" t="s">
        <v>1001</v>
      </c>
      <c r="F11534" s="7">
        <v>45970.91374490198</v>
      </c>
      <c r="G11534" s="3" t="s">
        <v>12901</v>
      </c>
    </row>
    <row r="11535">
      <c r="A11535" s="3" t="s">
        <v>27070</v>
      </c>
      <c r="B11535" s="3" t="s">
        <v>10062</v>
      </c>
      <c r="C11535" s="5" t="s">
        <v>221</v>
      </c>
      <c r="D11535" s="3" t="s">
        <v>614</v>
      </c>
      <c r="E11535" s="3" t="s">
        <v>118</v>
      </c>
      <c r="F11535" s="7">
        <v>45970.9172171242</v>
      </c>
      <c r="G11535" s="3" t="s">
        <v>12905</v>
      </c>
    </row>
    <row r="11536">
      <c r="A11536" s="3" t="s">
        <v>27071</v>
      </c>
      <c r="B11536" s="3" t="s">
        <v>10062</v>
      </c>
      <c r="C11536" s="5" t="s">
        <v>614</v>
      </c>
      <c r="D11536" s="3" t="s">
        <v>206</v>
      </c>
      <c r="E11536" s="3" t="s">
        <v>100</v>
      </c>
      <c r="F11536" s="7">
        <v>45970.92068934643</v>
      </c>
      <c r="G11536" s="3" t="s">
        <v>12908</v>
      </c>
    </row>
    <row r="11537">
      <c r="A11537" s="3" t="s">
        <v>27072</v>
      </c>
      <c r="B11537" s="3" t="s">
        <v>10062</v>
      </c>
      <c r="C11537" s="5" t="s">
        <v>206</v>
      </c>
      <c r="D11537" s="3" t="s">
        <v>68</v>
      </c>
      <c r="E11537" s="3" t="s">
        <v>100</v>
      </c>
      <c r="F11537" s="7">
        <v>45970.92416156865</v>
      </c>
      <c r="G11537" s="3" t="s">
        <v>12911</v>
      </c>
    </row>
    <row r="11538">
      <c r="A11538" s="3" t="s">
        <v>27073</v>
      </c>
      <c r="B11538" s="3" t="s">
        <v>10065</v>
      </c>
      <c r="C11538" s="5" t="s">
        <v>45</v>
      </c>
      <c r="D11538" s="3" t="s">
        <v>221</v>
      </c>
      <c r="E11538" s="3" t="s">
        <v>481</v>
      </c>
      <c r="F11538" s="7">
        <v>45970.9849197474</v>
      </c>
      <c r="G11538" s="3" t="s">
        <v>27074</v>
      </c>
    </row>
    <row r="11539">
      <c r="A11539" s="3" t="s">
        <v>27075</v>
      </c>
      <c r="B11539" s="3" t="s">
        <v>10065</v>
      </c>
      <c r="C11539" s="5" t="s">
        <v>221</v>
      </c>
      <c r="D11539" s="3" t="s">
        <v>614</v>
      </c>
      <c r="E11539" s="3" t="s">
        <v>118</v>
      </c>
      <c r="F11539" s="7">
        <v>45970.98839196962</v>
      </c>
      <c r="G11539" s="3" t="s">
        <v>27076</v>
      </c>
    </row>
    <row r="11540">
      <c r="A11540" s="3" t="s">
        <v>27077</v>
      </c>
      <c r="B11540" s="3" t="s">
        <v>10065</v>
      </c>
      <c r="C11540" s="5" t="s">
        <v>614</v>
      </c>
      <c r="D11540" s="3" t="s">
        <v>206</v>
      </c>
      <c r="E11540" s="3" t="s">
        <v>100</v>
      </c>
      <c r="F11540" s="7">
        <v>45970.99186419185</v>
      </c>
      <c r="G11540" s="3" t="s">
        <v>27078</v>
      </c>
    </row>
    <row r="11541">
      <c r="A11541" s="3" t="s">
        <v>27079</v>
      </c>
      <c r="B11541" s="3" t="s">
        <v>10065</v>
      </c>
      <c r="C11541" s="5" t="s">
        <v>206</v>
      </c>
      <c r="D11541" s="3" t="s">
        <v>68</v>
      </c>
      <c r="E11541" s="3" t="s">
        <v>100</v>
      </c>
      <c r="F11541" s="7">
        <v>45970.99533641407</v>
      </c>
      <c r="G11541" s="3" t="s">
        <v>27080</v>
      </c>
    </row>
    <row r="11542">
      <c r="A11542" s="3" t="s">
        <v>27081</v>
      </c>
      <c r="B11542" s="3" t="s">
        <v>10067</v>
      </c>
      <c r="C11542" s="5" t="s">
        <v>45</v>
      </c>
      <c r="D11542" s="3" t="s">
        <v>221</v>
      </c>
      <c r="E11542" s="3" t="s">
        <v>341</v>
      </c>
      <c r="F11542" s="7">
        <v>45971.056094592815</v>
      </c>
      <c r="G11542" s="3" t="s">
        <v>13001</v>
      </c>
    </row>
    <row r="11543">
      <c r="A11543" s="3" t="s">
        <v>27082</v>
      </c>
      <c r="B11543" s="3" t="s">
        <v>10067</v>
      </c>
      <c r="C11543" s="5" t="s">
        <v>221</v>
      </c>
      <c r="D11543" s="3" t="s">
        <v>614</v>
      </c>
      <c r="E11543" s="3" t="s">
        <v>118</v>
      </c>
      <c r="F11543" s="7">
        <v>45971.059566815034</v>
      </c>
      <c r="G11543" s="3" t="s">
        <v>13005</v>
      </c>
    </row>
    <row r="11544">
      <c r="A11544" s="3" t="s">
        <v>27083</v>
      </c>
      <c r="B11544" s="3" t="s">
        <v>10067</v>
      </c>
      <c r="C11544" s="5" t="s">
        <v>614</v>
      </c>
      <c r="D11544" s="3" t="s">
        <v>206</v>
      </c>
      <c r="E11544" s="3" t="s">
        <v>100</v>
      </c>
      <c r="F11544" s="7">
        <v>45971.06303903726</v>
      </c>
      <c r="G11544" s="3" t="s">
        <v>13008</v>
      </c>
    </row>
    <row r="11545">
      <c r="A11545" s="3" t="s">
        <v>27084</v>
      </c>
      <c r="B11545" s="3" t="s">
        <v>10067</v>
      </c>
      <c r="C11545" s="5" t="s">
        <v>206</v>
      </c>
      <c r="D11545" s="3" t="s">
        <v>68</v>
      </c>
      <c r="E11545" s="3" t="s">
        <v>100</v>
      </c>
      <c r="F11545" s="7">
        <v>45971.06651125948</v>
      </c>
      <c r="G11545" s="3" t="s">
        <v>13011</v>
      </c>
    </row>
    <row r="11546">
      <c r="A11546" s="3" t="s">
        <v>27085</v>
      </c>
      <c r="B11546" s="3" t="s">
        <v>10070</v>
      </c>
      <c r="C11546" s="5" t="s">
        <v>45</v>
      </c>
      <c r="D11546" s="3" t="s">
        <v>221</v>
      </c>
      <c r="E11546" s="3" t="s">
        <v>694</v>
      </c>
      <c r="F11546" s="7">
        <v>45971.12726943823</v>
      </c>
      <c r="G11546" s="3" t="s">
        <v>4922</v>
      </c>
    </row>
    <row r="11547">
      <c r="A11547" s="3" t="s">
        <v>27086</v>
      </c>
      <c r="B11547" s="3" t="s">
        <v>10070</v>
      </c>
      <c r="C11547" s="5" t="s">
        <v>221</v>
      </c>
      <c r="D11547" s="3" t="s">
        <v>614</v>
      </c>
      <c r="E11547" s="3" t="s">
        <v>118</v>
      </c>
      <c r="F11547" s="7">
        <v>45971.13074166045</v>
      </c>
      <c r="G11547" s="3" t="s">
        <v>4925</v>
      </c>
    </row>
    <row r="11548">
      <c r="A11548" s="3" t="s">
        <v>27087</v>
      </c>
      <c r="B11548" s="3" t="s">
        <v>10070</v>
      </c>
      <c r="C11548" s="5" t="s">
        <v>614</v>
      </c>
      <c r="D11548" s="3" t="s">
        <v>206</v>
      </c>
      <c r="E11548" s="3" t="s">
        <v>100</v>
      </c>
      <c r="F11548" s="7">
        <v>45971.13421388267</v>
      </c>
      <c r="G11548" s="3" t="s">
        <v>4928</v>
      </c>
    </row>
    <row r="11549">
      <c r="A11549" s="3" t="s">
        <v>27088</v>
      </c>
      <c r="B11549" s="3" t="s">
        <v>10070</v>
      </c>
      <c r="C11549" s="5" t="s">
        <v>206</v>
      </c>
      <c r="D11549" s="3" t="s">
        <v>68</v>
      </c>
      <c r="E11549" s="3" t="s">
        <v>100</v>
      </c>
      <c r="F11549" s="7">
        <v>45971.13768610489</v>
      </c>
      <c r="G11549" s="3" t="s">
        <v>4931</v>
      </c>
    </row>
    <row r="11550">
      <c r="A11550" s="3" t="s">
        <v>27089</v>
      </c>
      <c r="B11550" s="3" t="s">
        <v>10072</v>
      </c>
      <c r="C11550" s="5" t="s">
        <v>45</v>
      </c>
      <c r="D11550" s="3" t="s">
        <v>221</v>
      </c>
      <c r="E11550" s="3" t="s">
        <v>493</v>
      </c>
      <c r="F11550" s="7">
        <v>45971.19844428365</v>
      </c>
      <c r="G11550" s="3" t="s">
        <v>27090</v>
      </c>
    </row>
    <row r="11551">
      <c r="A11551" s="3" t="s">
        <v>27091</v>
      </c>
      <c r="B11551" s="3" t="s">
        <v>10072</v>
      </c>
      <c r="C11551" s="5" t="s">
        <v>221</v>
      </c>
      <c r="D11551" s="3" t="s">
        <v>614</v>
      </c>
      <c r="E11551" s="3" t="s">
        <v>118</v>
      </c>
      <c r="F11551" s="7">
        <v>45971.20191650587</v>
      </c>
      <c r="G11551" s="3" t="s">
        <v>27092</v>
      </c>
    </row>
    <row r="11552">
      <c r="A11552" s="3" t="s">
        <v>27093</v>
      </c>
      <c r="B11552" s="3" t="s">
        <v>10072</v>
      </c>
      <c r="C11552" s="5" t="s">
        <v>614</v>
      </c>
      <c r="D11552" s="3" t="s">
        <v>206</v>
      </c>
      <c r="E11552" s="3" t="s">
        <v>100</v>
      </c>
      <c r="F11552" s="7">
        <v>45971.20538872809</v>
      </c>
      <c r="G11552" s="3" t="s">
        <v>27094</v>
      </c>
    </row>
    <row r="11553">
      <c r="A11553" s="3" t="s">
        <v>27095</v>
      </c>
      <c r="B11553" s="3" t="s">
        <v>10072</v>
      </c>
      <c r="C11553" s="5" t="s">
        <v>206</v>
      </c>
      <c r="D11553" s="3" t="s">
        <v>68</v>
      </c>
      <c r="E11553" s="3" t="s">
        <v>100</v>
      </c>
      <c r="F11553" s="7">
        <v>45971.20886095031</v>
      </c>
      <c r="G11553" s="3" t="s">
        <v>27096</v>
      </c>
    </row>
    <row r="11554">
      <c r="A11554" s="3" t="s">
        <v>27097</v>
      </c>
      <c r="B11554" s="3" t="s">
        <v>10074</v>
      </c>
      <c r="C11554" s="5" t="s">
        <v>45</v>
      </c>
      <c r="D11554" s="3" t="s">
        <v>221</v>
      </c>
      <c r="E11554" s="3" t="s">
        <v>123</v>
      </c>
      <c r="F11554" s="7">
        <v>45971.26961912906</v>
      </c>
      <c r="G11554" s="3" t="s">
        <v>8229</v>
      </c>
    </row>
    <row r="11555">
      <c r="A11555" s="3" t="s">
        <v>27098</v>
      </c>
      <c r="B11555" s="3" t="s">
        <v>10074</v>
      </c>
      <c r="C11555" s="5" t="s">
        <v>221</v>
      </c>
      <c r="D11555" s="3" t="s">
        <v>614</v>
      </c>
      <c r="E11555" s="3" t="s">
        <v>118</v>
      </c>
      <c r="F11555" s="7">
        <v>45971.27309135128</v>
      </c>
      <c r="G11555" s="3" t="s">
        <v>8231</v>
      </c>
    </row>
    <row r="11556">
      <c r="A11556" s="3" t="s">
        <v>27099</v>
      </c>
      <c r="B11556" s="3" t="s">
        <v>10074</v>
      </c>
      <c r="C11556" s="5" t="s">
        <v>614</v>
      </c>
      <c r="D11556" s="3" t="s">
        <v>206</v>
      </c>
      <c r="E11556" s="3" t="s">
        <v>100</v>
      </c>
      <c r="F11556" s="7">
        <v>45971.276563573505</v>
      </c>
      <c r="G11556" s="3" t="s">
        <v>8234</v>
      </c>
    </row>
    <row r="11557">
      <c r="A11557" s="3" t="s">
        <v>27100</v>
      </c>
      <c r="B11557" s="3" t="s">
        <v>10074</v>
      </c>
      <c r="C11557" s="5" t="s">
        <v>206</v>
      </c>
      <c r="D11557" s="3" t="s">
        <v>68</v>
      </c>
      <c r="E11557" s="3" t="s">
        <v>100</v>
      </c>
      <c r="F11557" s="7">
        <v>45971.280035795724</v>
      </c>
      <c r="G11557" s="3" t="s">
        <v>8237</v>
      </c>
    </row>
    <row r="11558">
      <c r="A11558" s="3" t="s">
        <v>27101</v>
      </c>
      <c r="B11558" s="3" t="s">
        <v>10077</v>
      </c>
      <c r="C11558" s="5" t="s">
        <v>45</v>
      </c>
      <c r="D11558" s="3" t="s">
        <v>221</v>
      </c>
      <c r="E11558" s="3" t="s">
        <v>165</v>
      </c>
      <c r="F11558" s="7">
        <v>45971.34079397447</v>
      </c>
      <c r="G11558" s="3" t="s">
        <v>24623</v>
      </c>
    </row>
    <row r="11559">
      <c r="A11559" s="3" t="s">
        <v>27102</v>
      </c>
      <c r="B11559" s="3" t="s">
        <v>10077</v>
      </c>
      <c r="C11559" s="5" t="s">
        <v>221</v>
      </c>
      <c r="D11559" s="3" t="s">
        <v>614</v>
      </c>
      <c r="E11559" s="3" t="s">
        <v>118</v>
      </c>
      <c r="F11559" s="7">
        <v>45971.34426619669</v>
      </c>
      <c r="G11559" s="3" t="s">
        <v>24625</v>
      </c>
    </row>
    <row r="11560">
      <c r="A11560" s="3" t="s">
        <v>27103</v>
      </c>
      <c r="B11560" s="3" t="s">
        <v>10077</v>
      </c>
      <c r="C11560" s="5" t="s">
        <v>614</v>
      </c>
      <c r="D11560" s="3" t="s">
        <v>206</v>
      </c>
      <c r="E11560" s="3" t="s">
        <v>100</v>
      </c>
      <c r="F11560" s="7">
        <v>45971.34773841892</v>
      </c>
      <c r="G11560" s="3" t="s">
        <v>24627</v>
      </c>
    </row>
    <row r="11561">
      <c r="A11561" s="3" t="s">
        <v>27104</v>
      </c>
      <c r="B11561" s="3" t="s">
        <v>10077</v>
      </c>
      <c r="C11561" s="5" t="s">
        <v>206</v>
      </c>
      <c r="D11561" s="3" t="s">
        <v>68</v>
      </c>
      <c r="E11561" s="3" t="s">
        <v>100</v>
      </c>
      <c r="F11561" s="7">
        <v>45971.351210641136</v>
      </c>
      <c r="G11561" s="3" t="s">
        <v>24629</v>
      </c>
    </row>
    <row r="11562">
      <c r="A11562" s="3" t="s">
        <v>27105</v>
      </c>
      <c r="B11562" s="3" t="s">
        <v>10079</v>
      </c>
      <c r="C11562" s="5" t="s">
        <v>45</v>
      </c>
      <c r="D11562" s="3" t="s">
        <v>221</v>
      </c>
      <c r="E11562" s="3" t="s">
        <v>1028</v>
      </c>
      <c r="F11562" s="7">
        <v>45971.41196881989</v>
      </c>
      <c r="G11562" s="3" t="s">
        <v>13110</v>
      </c>
    </row>
    <row r="11563">
      <c r="A11563" s="3" t="s">
        <v>27106</v>
      </c>
      <c r="B11563" s="3" t="s">
        <v>10079</v>
      </c>
      <c r="C11563" s="5" t="s">
        <v>221</v>
      </c>
      <c r="D11563" s="3" t="s">
        <v>614</v>
      </c>
      <c r="E11563" s="3" t="s">
        <v>118</v>
      </c>
      <c r="F11563" s="7">
        <v>45971.41544104211</v>
      </c>
      <c r="G11563" s="3" t="s">
        <v>13114</v>
      </c>
    </row>
    <row r="11564">
      <c r="A11564" s="3" t="s">
        <v>27107</v>
      </c>
      <c r="B11564" s="3" t="s">
        <v>10079</v>
      </c>
      <c r="C11564" s="5" t="s">
        <v>614</v>
      </c>
      <c r="D11564" s="3" t="s">
        <v>206</v>
      </c>
      <c r="E11564" s="3" t="s">
        <v>100</v>
      </c>
      <c r="F11564" s="7">
        <v>45971.41891326434</v>
      </c>
      <c r="G11564" s="3" t="s">
        <v>13117</v>
      </c>
    </row>
    <row r="11565">
      <c r="A11565" s="3" t="s">
        <v>27108</v>
      </c>
      <c r="B11565" s="3" t="s">
        <v>10079</v>
      </c>
      <c r="C11565" s="5" t="s">
        <v>206</v>
      </c>
      <c r="D11565" s="3" t="s">
        <v>68</v>
      </c>
      <c r="E11565" s="3" t="s">
        <v>100</v>
      </c>
      <c r="F11565" s="7">
        <v>45971.422385486556</v>
      </c>
      <c r="G11565" s="3" t="s">
        <v>13121</v>
      </c>
    </row>
    <row r="11566">
      <c r="A11566" s="3" t="s">
        <v>27109</v>
      </c>
      <c r="B11566" s="3" t="s">
        <v>10081</v>
      </c>
      <c r="C11566" s="5" t="s">
        <v>45</v>
      </c>
      <c r="D11566" s="3" t="s">
        <v>221</v>
      </c>
      <c r="E11566" s="3" t="s">
        <v>725</v>
      </c>
      <c r="F11566" s="7">
        <v>45971.483143665304</v>
      </c>
      <c r="G11566" s="3" t="s">
        <v>27110</v>
      </c>
    </row>
    <row r="11567">
      <c r="A11567" s="3" t="s">
        <v>27111</v>
      </c>
      <c r="B11567" s="3" t="s">
        <v>10081</v>
      </c>
      <c r="C11567" s="5" t="s">
        <v>221</v>
      </c>
      <c r="D11567" s="3" t="s">
        <v>614</v>
      </c>
      <c r="E11567" s="3" t="s">
        <v>118</v>
      </c>
      <c r="F11567" s="7">
        <v>45971.48661588752</v>
      </c>
      <c r="G11567" s="3" t="s">
        <v>27112</v>
      </c>
    </row>
    <row r="11568">
      <c r="A11568" s="3" t="s">
        <v>27113</v>
      </c>
      <c r="B11568" s="3" t="s">
        <v>10081</v>
      </c>
      <c r="C11568" s="5" t="s">
        <v>614</v>
      </c>
      <c r="D11568" s="3" t="s">
        <v>206</v>
      </c>
      <c r="E11568" s="3" t="s">
        <v>100</v>
      </c>
      <c r="F11568" s="7">
        <v>45971.49008810975</v>
      </c>
      <c r="G11568" s="3" t="s">
        <v>27114</v>
      </c>
    </row>
    <row r="11569">
      <c r="A11569" s="3" t="s">
        <v>27115</v>
      </c>
      <c r="B11569" s="3" t="s">
        <v>10081</v>
      </c>
      <c r="C11569" s="5" t="s">
        <v>206</v>
      </c>
      <c r="D11569" s="3" t="s">
        <v>68</v>
      </c>
      <c r="E11569" s="3" t="s">
        <v>100</v>
      </c>
      <c r="F11569" s="7">
        <v>45971.49356033197</v>
      </c>
      <c r="G11569" s="3" t="s">
        <v>27116</v>
      </c>
    </row>
    <row r="11570">
      <c r="A11570" s="3" t="s">
        <v>27117</v>
      </c>
      <c r="B11570" s="3" t="s">
        <v>10084</v>
      </c>
      <c r="C11570" s="5" t="s">
        <v>45</v>
      </c>
      <c r="D11570" s="3" t="s">
        <v>221</v>
      </c>
      <c r="E11570" s="3" t="s">
        <v>226</v>
      </c>
      <c r="F11570" s="7">
        <v>45971.554318510716</v>
      </c>
      <c r="G11570" s="3" t="s">
        <v>2770</v>
      </c>
    </row>
    <row r="11571">
      <c r="A11571" s="3" t="s">
        <v>27118</v>
      </c>
      <c r="B11571" s="3" t="s">
        <v>10084</v>
      </c>
      <c r="C11571" s="5" t="s">
        <v>221</v>
      </c>
      <c r="D11571" s="3" t="s">
        <v>181</v>
      </c>
      <c r="E11571" s="3" t="s">
        <v>118</v>
      </c>
      <c r="F11571" s="7">
        <v>45971.557790732935</v>
      </c>
      <c r="G11571" s="3" t="s">
        <v>2774</v>
      </c>
    </row>
    <row r="11572">
      <c r="A11572" s="3" t="s">
        <v>27119</v>
      </c>
      <c r="B11572" s="3" t="s">
        <v>10087</v>
      </c>
      <c r="C11572" s="5" t="s">
        <v>45</v>
      </c>
      <c r="D11572" s="3" t="s">
        <v>221</v>
      </c>
      <c r="E11572" s="3" t="s">
        <v>957</v>
      </c>
      <c r="F11572" s="7">
        <v>45971.625493356136</v>
      </c>
      <c r="G11572" s="3" t="s">
        <v>27120</v>
      </c>
    </row>
    <row r="11573">
      <c r="A11573" s="3" t="s">
        <v>27121</v>
      </c>
      <c r="B11573" s="3" t="s">
        <v>10087</v>
      </c>
      <c r="C11573" s="5" t="s">
        <v>221</v>
      </c>
      <c r="D11573" s="3" t="s">
        <v>614</v>
      </c>
      <c r="E11573" s="3" t="s">
        <v>118</v>
      </c>
      <c r="F11573" s="7">
        <v>45971.628965578355</v>
      </c>
      <c r="G11573" s="3" t="s">
        <v>27122</v>
      </c>
    </row>
    <row r="11574">
      <c r="A11574" s="3" t="s">
        <v>27123</v>
      </c>
      <c r="B11574" s="3" t="s">
        <v>10087</v>
      </c>
      <c r="C11574" s="5" t="s">
        <v>614</v>
      </c>
      <c r="D11574" s="3" t="s">
        <v>206</v>
      </c>
      <c r="E11574" s="3" t="s">
        <v>100</v>
      </c>
      <c r="F11574" s="7">
        <v>45971.63243780058</v>
      </c>
      <c r="G11574" s="3" t="s">
        <v>27124</v>
      </c>
    </row>
    <row r="11575">
      <c r="A11575" s="3" t="s">
        <v>27125</v>
      </c>
      <c r="B11575" s="3" t="s">
        <v>10087</v>
      </c>
      <c r="C11575" s="5" t="s">
        <v>206</v>
      </c>
      <c r="D11575" s="3" t="s">
        <v>68</v>
      </c>
      <c r="E11575" s="3" t="s">
        <v>100</v>
      </c>
      <c r="F11575" s="7">
        <v>45971.6359100228</v>
      </c>
      <c r="G11575" s="3" t="s">
        <v>27126</v>
      </c>
    </row>
    <row r="11576">
      <c r="A11576" s="3" t="s">
        <v>27127</v>
      </c>
      <c r="B11576" s="3" t="s">
        <v>10089</v>
      </c>
      <c r="C11576" s="5" t="s">
        <v>45</v>
      </c>
      <c r="D11576" s="3" t="s">
        <v>221</v>
      </c>
      <c r="E11576" s="3" t="s">
        <v>957</v>
      </c>
      <c r="F11576" s="7">
        <v>45971.69666820155</v>
      </c>
      <c r="G11576" s="3" t="s">
        <v>13263</v>
      </c>
    </row>
    <row r="11577">
      <c r="A11577" s="3" t="s">
        <v>27128</v>
      </c>
      <c r="B11577" s="3" t="s">
        <v>10089</v>
      </c>
      <c r="C11577" s="5" t="s">
        <v>221</v>
      </c>
      <c r="D11577" s="3" t="s">
        <v>614</v>
      </c>
      <c r="E11577" s="3" t="s">
        <v>118</v>
      </c>
      <c r="F11577" s="7">
        <v>45971.70014042377</v>
      </c>
      <c r="G11577" s="3" t="s">
        <v>13266</v>
      </c>
    </row>
    <row r="11578">
      <c r="A11578" s="3" t="s">
        <v>27129</v>
      </c>
      <c r="B11578" s="3" t="s">
        <v>10089</v>
      </c>
      <c r="C11578" s="5" t="s">
        <v>614</v>
      </c>
      <c r="D11578" s="3" t="s">
        <v>206</v>
      </c>
      <c r="E11578" s="3" t="s">
        <v>100</v>
      </c>
      <c r="F11578" s="7">
        <v>45971.70361264599</v>
      </c>
      <c r="G11578" s="3" t="s">
        <v>13270</v>
      </c>
    </row>
    <row r="11579">
      <c r="A11579" s="3" t="s">
        <v>27130</v>
      </c>
      <c r="B11579" s="3" t="s">
        <v>10089</v>
      </c>
      <c r="C11579" s="5" t="s">
        <v>206</v>
      </c>
      <c r="D11579" s="3" t="s">
        <v>68</v>
      </c>
      <c r="E11579" s="3" t="s">
        <v>100</v>
      </c>
      <c r="F11579" s="7">
        <v>45971.70708486821</v>
      </c>
      <c r="G11579" s="3" t="s">
        <v>13273</v>
      </c>
    </row>
    <row r="11580">
      <c r="A11580" s="3" t="s">
        <v>27131</v>
      </c>
      <c r="B11580" s="3" t="s">
        <v>10091</v>
      </c>
      <c r="C11580" s="5" t="s">
        <v>45</v>
      </c>
      <c r="D11580" s="3" t="s">
        <v>221</v>
      </c>
      <c r="E11580" s="3" t="s">
        <v>348</v>
      </c>
      <c r="F11580" s="7">
        <v>45971.76784304696</v>
      </c>
      <c r="G11580" s="3" t="s">
        <v>27132</v>
      </c>
    </row>
    <row r="11581">
      <c r="A11581" s="3" t="s">
        <v>27133</v>
      </c>
      <c r="B11581" s="3" t="s">
        <v>10091</v>
      </c>
      <c r="C11581" s="5" t="s">
        <v>221</v>
      </c>
      <c r="D11581" s="3" t="s">
        <v>614</v>
      </c>
      <c r="E11581" s="3" t="s">
        <v>118</v>
      </c>
      <c r="F11581" s="7">
        <v>45971.77131526918</v>
      </c>
      <c r="G11581" s="3" t="s">
        <v>27134</v>
      </c>
    </row>
    <row r="11582">
      <c r="A11582" s="3" t="s">
        <v>27135</v>
      </c>
      <c r="B11582" s="3" t="s">
        <v>10091</v>
      </c>
      <c r="C11582" s="5" t="s">
        <v>614</v>
      </c>
      <c r="D11582" s="3" t="s">
        <v>206</v>
      </c>
      <c r="E11582" s="3" t="s">
        <v>100</v>
      </c>
      <c r="F11582" s="7">
        <v>45971.774787491406</v>
      </c>
      <c r="G11582" s="3" t="s">
        <v>27136</v>
      </c>
    </row>
    <row r="11583">
      <c r="A11583" s="3" t="s">
        <v>27137</v>
      </c>
      <c r="B11583" s="3" t="s">
        <v>10091</v>
      </c>
      <c r="C11583" s="5" t="s">
        <v>206</v>
      </c>
      <c r="D11583" s="3" t="s">
        <v>68</v>
      </c>
      <c r="E11583" s="3" t="s">
        <v>100</v>
      </c>
      <c r="F11583" s="7">
        <v>45971.778259713625</v>
      </c>
      <c r="G11583" s="3" t="s">
        <v>27138</v>
      </c>
    </row>
    <row r="11584">
      <c r="A11584" s="3" t="s">
        <v>27139</v>
      </c>
      <c r="B11584" s="3" t="s">
        <v>10094</v>
      </c>
      <c r="C11584" s="5" t="s">
        <v>45</v>
      </c>
      <c r="D11584" s="3" t="s">
        <v>221</v>
      </c>
      <c r="E11584" s="3" t="s">
        <v>290</v>
      </c>
      <c r="F11584" s="7">
        <v>45971.83901789238</v>
      </c>
      <c r="G11584" s="3" t="s">
        <v>15520</v>
      </c>
    </row>
    <row r="11585">
      <c r="A11585" s="3" t="s">
        <v>27140</v>
      </c>
      <c r="B11585" s="3" t="s">
        <v>10094</v>
      </c>
      <c r="C11585" s="5" t="s">
        <v>221</v>
      </c>
      <c r="D11585" s="3" t="s">
        <v>614</v>
      </c>
      <c r="E11585" s="3" t="s">
        <v>118</v>
      </c>
      <c r="F11585" s="7">
        <v>45971.8424901146</v>
      </c>
      <c r="G11585" s="3" t="s">
        <v>15523</v>
      </c>
    </row>
    <row r="11586">
      <c r="A11586" s="3" t="s">
        <v>27141</v>
      </c>
      <c r="B11586" s="3" t="s">
        <v>10094</v>
      </c>
      <c r="C11586" s="5" t="s">
        <v>614</v>
      </c>
      <c r="D11586" s="3" t="s">
        <v>206</v>
      </c>
      <c r="E11586" s="3" t="s">
        <v>100</v>
      </c>
      <c r="F11586" s="7">
        <v>45971.845962336825</v>
      </c>
      <c r="G11586" s="3" t="s">
        <v>15526</v>
      </c>
    </row>
    <row r="11587">
      <c r="A11587" s="3" t="s">
        <v>27142</v>
      </c>
      <c r="B11587" s="3" t="s">
        <v>10094</v>
      </c>
      <c r="C11587" s="5" t="s">
        <v>206</v>
      </c>
      <c r="D11587" s="3" t="s">
        <v>68</v>
      </c>
      <c r="E11587" s="3" t="s">
        <v>100</v>
      </c>
      <c r="F11587" s="7">
        <v>45971.849434559044</v>
      </c>
      <c r="G11587" s="3" t="s">
        <v>15528</v>
      </c>
    </row>
    <row r="11588">
      <c r="A11588" s="3" t="s">
        <v>27143</v>
      </c>
      <c r="B11588" s="3" t="s">
        <v>10096</v>
      </c>
      <c r="C11588" s="5" t="s">
        <v>45</v>
      </c>
      <c r="D11588" s="3" t="s">
        <v>221</v>
      </c>
      <c r="E11588" s="3" t="s">
        <v>135</v>
      </c>
      <c r="F11588" s="7">
        <v>45971.9101927378</v>
      </c>
      <c r="G11588" s="3" t="s">
        <v>7307</v>
      </c>
    </row>
    <row r="11589">
      <c r="A11589" s="3" t="s">
        <v>27144</v>
      </c>
      <c r="B11589" s="3" t="s">
        <v>10096</v>
      </c>
      <c r="C11589" s="5" t="s">
        <v>221</v>
      </c>
      <c r="D11589" s="3" t="s">
        <v>614</v>
      </c>
      <c r="E11589" s="3" t="s">
        <v>118</v>
      </c>
      <c r="F11589" s="7">
        <v>45971.91366496002</v>
      </c>
      <c r="G11589" s="3" t="s">
        <v>7310</v>
      </c>
    </row>
    <row r="11590">
      <c r="A11590" s="3" t="s">
        <v>27145</v>
      </c>
      <c r="B11590" s="3" t="s">
        <v>10096</v>
      </c>
      <c r="C11590" s="5" t="s">
        <v>614</v>
      </c>
      <c r="D11590" s="3" t="s">
        <v>206</v>
      </c>
      <c r="E11590" s="3" t="s">
        <v>100</v>
      </c>
      <c r="F11590" s="7">
        <v>45971.917137182245</v>
      </c>
      <c r="G11590" s="3" t="s">
        <v>7313</v>
      </c>
    </row>
    <row r="11591">
      <c r="A11591" s="3" t="s">
        <v>27146</v>
      </c>
      <c r="B11591" s="3" t="s">
        <v>10096</v>
      </c>
      <c r="C11591" s="5" t="s">
        <v>206</v>
      </c>
      <c r="D11591" s="3" t="s">
        <v>68</v>
      </c>
      <c r="E11591" s="3" t="s">
        <v>100</v>
      </c>
      <c r="F11591" s="7">
        <v>45971.920609404464</v>
      </c>
      <c r="G11591" s="3" t="s">
        <v>7316</v>
      </c>
    </row>
    <row r="11592">
      <c r="A11592" s="3" t="s">
        <v>27147</v>
      </c>
      <c r="B11592" s="3" t="s">
        <v>10098</v>
      </c>
      <c r="C11592" s="5" t="s">
        <v>45</v>
      </c>
      <c r="D11592" s="3" t="s">
        <v>221</v>
      </c>
      <c r="E11592" s="3" t="s">
        <v>336</v>
      </c>
      <c r="F11592" s="7">
        <v>45971.98136758321</v>
      </c>
      <c r="G11592" s="3" t="s">
        <v>26096</v>
      </c>
    </row>
    <row r="11593">
      <c r="A11593" s="3" t="s">
        <v>27148</v>
      </c>
      <c r="B11593" s="3" t="s">
        <v>10098</v>
      </c>
      <c r="C11593" s="5" t="s">
        <v>221</v>
      </c>
      <c r="D11593" s="3" t="s">
        <v>614</v>
      </c>
      <c r="E11593" s="3" t="s">
        <v>118</v>
      </c>
      <c r="F11593" s="7">
        <v>45971.98483980543</v>
      </c>
      <c r="G11593" s="3" t="s">
        <v>26098</v>
      </c>
    </row>
    <row r="11594">
      <c r="A11594" s="3" t="s">
        <v>27149</v>
      </c>
      <c r="B11594" s="3" t="s">
        <v>10098</v>
      </c>
      <c r="C11594" s="5" t="s">
        <v>614</v>
      </c>
      <c r="D11594" s="3" t="s">
        <v>206</v>
      </c>
      <c r="E11594" s="3" t="s">
        <v>100</v>
      </c>
      <c r="F11594" s="7">
        <v>45971.98831202766</v>
      </c>
      <c r="G11594" s="3" t="s">
        <v>26100</v>
      </c>
    </row>
    <row r="11595">
      <c r="A11595" s="3" t="s">
        <v>27150</v>
      </c>
      <c r="B11595" s="3" t="s">
        <v>10098</v>
      </c>
      <c r="C11595" s="5" t="s">
        <v>206</v>
      </c>
      <c r="D11595" s="3" t="s">
        <v>68</v>
      </c>
      <c r="E11595" s="3" t="s">
        <v>100</v>
      </c>
      <c r="F11595" s="7">
        <v>45971.991784249876</v>
      </c>
      <c r="G11595" s="3" t="s">
        <v>26102</v>
      </c>
    </row>
    <row r="11596">
      <c r="A11596" s="3" t="s">
        <v>27151</v>
      </c>
      <c r="B11596" s="3" t="s">
        <v>10101</v>
      </c>
      <c r="C11596" s="5" t="s">
        <v>45</v>
      </c>
      <c r="D11596" s="3" t="s">
        <v>221</v>
      </c>
      <c r="E11596" s="3" t="s">
        <v>819</v>
      </c>
      <c r="F11596" s="7">
        <v>45972.052542428624</v>
      </c>
      <c r="G11596" s="3" t="s">
        <v>21489</v>
      </c>
    </row>
    <row r="11597">
      <c r="A11597" s="3" t="s">
        <v>27152</v>
      </c>
      <c r="B11597" s="3" t="s">
        <v>10101</v>
      </c>
      <c r="C11597" s="5" t="s">
        <v>221</v>
      </c>
      <c r="D11597" s="3" t="s">
        <v>614</v>
      </c>
      <c r="E11597" s="3" t="s">
        <v>118</v>
      </c>
      <c r="F11597" s="7">
        <v>45972.05601465084</v>
      </c>
      <c r="G11597" s="3" t="s">
        <v>21492</v>
      </c>
    </row>
    <row r="11598">
      <c r="A11598" s="3" t="s">
        <v>27153</v>
      </c>
      <c r="B11598" s="3" t="s">
        <v>10101</v>
      </c>
      <c r="C11598" s="5" t="s">
        <v>614</v>
      </c>
      <c r="D11598" s="3" t="s">
        <v>206</v>
      </c>
      <c r="E11598" s="3" t="s">
        <v>100</v>
      </c>
      <c r="F11598" s="7">
        <v>45972.05948687307</v>
      </c>
      <c r="G11598" s="3" t="s">
        <v>21495</v>
      </c>
    </row>
    <row r="11599">
      <c r="A11599" s="3" t="s">
        <v>27154</v>
      </c>
      <c r="B11599" s="3" t="s">
        <v>10101</v>
      </c>
      <c r="C11599" s="5" t="s">
        <v>206</v>
      </c>
      <c r="D11599" s="3" t="s">
        <v>68</v>
      </c>
      <c r="E11599" s="3" t="s">
        <v>100</v>
      </c>
      <c r="F11599" s="7">
        <v>45972.06295909529</v>
      </c>
      <c r="G11599" s="3" t="s">
        <v>21498</v>
      </c>
    </row>
    <row r="11600">
      <c r="A11600" s="3" t="s">
        <v>27155</v>
      </c>
      <c r="B11600" s="3" t="s">
        <v>10104</v>
      </c>
      <c r="C11600" s="5" t="s">
        <v>45</v>
      </c>
      <c r="D11600" s="3" t="s">
        <v>221</v>
      </c>
      <c r="E11600" s="3" t="s">
        <v>601</v>
      </c>
      <c r="F11600" s="7">
        <v>45972.123717274044</v>
      </c>
      <c r="G11600" s="3" t="s">
        <v>22804</v>
      </c>
    </row>
    <row r="11601">
      <c r="A11601" s="3" t="s">
        <v>27156</v>
      </c>
      <c r="B11601" s="3" t="s">
        <v>10104</v>
      </c>
      <c r="C11601" s="5" t="s">
        <v>221</v>
      </c>
      <c r="D11601" s="3" t="s">
        <v>614</v>
      </c>
      <c r="E11601" s="3" t="s">
        <v>118</v>
      </c>
      <c r="F11601" s="7">
        <v>45972.12718949626</v>
      </c>
      <c r="G11601" s="3" t="s">
        <v>22807</v>
      </c>
    </row>
    <row r="11602">
      <c r="A11602" s="3" t="s">
        <v>27157</v>
      </c>
      <c r="B11602" s="3" t="s">
        <v>10104</v>
      </c>
      <c r="C11602" s="5" t="s">
        <v>614</v>
      </c>
      <c r="D11602" s="3" t="s">
        <v>206</v>
      </c>
      <c r="E11602" s="3" t="s">
        <v>100</v>
      </c>
      <c r="F11602" s="7">
        <v>45972.13066171849</v>
      </c>
      <c r="G11602" s="3" t="s">
        <v>22810</v>
      </c>
    </row>
    <row r="11603">
      <c r="A11603" s="3" t="s">
        <v>27158</v>
      </c>
      <c r="B11603" s="3" t="s">
        <v>10104</v>
      </c>
      <c r="C11603" s="5" t="s">
        <v>206</v>
      </c>
      <c r="D11603" s="3" t="s">
        <v>68</v>
      </c>
      <c r="E11603" s="3" t="s">
        <v>100</v>
      </c>
      <c r="F11603" s="7">
        <v>45972.13413394071</v>
      </c>
      <c r="G11603" s="3" t="s">
        <v>22813</v>
      </c>
    </row>
    <row r="11604">
      <c r="A11604" s="3" t="s">
        <v>27159</v>
      </c>
      <c r="B11604" s="3" t="s">
        <v>10106</v>
      </c>
      <c r="C11604" s="5" t="s">
        <v>45</v>
      </c>
      <c r="D11604" s="3" t="s">
        <v>221</v>
      </c>
      <c r="E11604" s="3" t="s">
        <v>811</v>
      </c>
      <c r="F11604" s="7">
        <v>45972.194892119456</v>
      </c>
      <c r="G11604" s="3" t="s">
        <v>13289</v>
      </c>
    </row>
    <row r="11605">
      <c r="A11605" s="3" t="s">
        <v>27160</v>
      </c>
      <c r="B11605" s="3" t="s">
        <v>10106</v>
      </c>
      <c r="C11605" s="5" t="s">
        <v>221</v>
      </c>
      <c r="D11605" s="3" t="s">
        <v>614</v>
      </c>
      <c r="E11605" s="3" t="s">
        <v>118</v>
      </c>
      <c r="F11605" s="7">
        <v>45972.198364341675</v>
      </c>
      <c r="G11605" s="3" t="s">
        <v>13292</v>
      </c>
    </row>
    <row r="11606">
      <c r="A11606" s="3" t="s">
        <v>27161</v>
      </c>
      <c r="B11606" s="3" t="s">
        <v>10106</v>
      </c>
      <c r="C11606" s="5" t="s">
        <v>614</v>
      </c>
      <c r="D11606" s="3" t="s">
        <v>206</v>
      </c>
      <c r="E11606" s="3" t="s">
        <v>100</v>
      </c>
      <c r="F11606" s="7">
        <v>45972.2018365639</v>
      </c>
      <c r="G11606" s="3" t="s">
        <v>13295</v>
      </c>
    </row>
    <row r="11607">
      <c r="A11607" s="3" t="s">
        <v>27162</v>
      </c>
      <c r="B11607" s="3" t="s">
        <v>10106</v>
      </c>
      <c r="C11607" s="5" t="s">
        <v>206</v>
      </c>
      <c r="D11607" s="3" t="s">
        <v>68</v>
      </c>
      <c r="E11607" s="3" t="s">
        <v>100</v>
      </c>
      <c r="F11607" s="7">
        <v>45972.20530878612</v>
      </c>
      <c r="G11607" s="3" t="s">
        <v>13299</v>
      </c>
    </row>
    <row r="11608">
      <c r="A11608" s="3" t="s">
        <v>27163</v>
      </c>
      <c r="B11608" s="3" t="s">
        <v>10108</v>
      </c>
      <c r="C11608" s="5" t="s">
        <v>45</v>
      </c>
      <c r="D11608" s="3" t="s">
        <v>221</v>
      </c>
      <c r="E11608" s="3" t="s">
        <v>507</v>
      </c>
      <c r="F11608" s="7">
        <v>45972.26606696487</v>
      </c>
      <c r="G11608" s="3" t="s">
        <v>27164</v>
      </c>
    </row>
    <row r="11609">
      <c r="A11609" s="3" t="s">
        <v>27165</v>
      </c>
      <c r="B11609" s="3" t="s">
        <v>10108</v>
      </c>
      <c r="C11609" s="5" t="s">
        <v>221</v>
      </c>
      <c r="D11609" s="3" t="s">
        <v>614</v>
      </c>
      <c r="E11609" s="3" t="s">
        <v>118</v>
      </c>
      <c r="F11609" s="7">
        <v>45972.26953918709</v>
      </c>
      <c r="G11609" s="3" t="s">
        <v>27166</v>
      </c>
    </row>
    <row r="11610">
      <c r="A11610" s="3" t="s">
        <v>27167</v>
      </c>
      <c r="B11610" s="3" t="s">
        <v>10108</v>
      </c>
      <c r="C11610" s="5" t="s">
        <v>614</v>
      </c>
      <c r="D11610" s="3" t="s">
        <v>206</v>
      </c>
      <c r="E11610" s="3" t="s">
        <v>100</v>
      </c>
      <c r="F11610" s="7">
        <v>45972.273011409314</v>
      </c>
      <c r="G11610" s="3" t="s">
        <v>27168</v>
      </c>
    </row>
    <row r="11611">
      <c r="A11611" s="3" t="s">
        <v>27169</v>
      </c>
      <c r="B11611" s="3" t="s">
        <v>10108</v>
      </c>
      <c r="C11611" s="5" t="s">
        <v>206</v>
      </c>
      <c r="D11611" s="3" t="s">
        <v>68</v>
      </c>
      <c r="E11611" s="3" t="s">
        <v>100</v>
      </c>
      <c r="F11611" s="7">
        <v>45972.27648363153</v>
      </c>
      <c r="G11611" s="3" t="s">
        <v>27170</v>
      </c>
    </row>
    <row r="11612">
      <c r="A11612" s="3" t="s">
        <v>27171</v>
      </c>
      <c r="B11612" s="3" t="s">
        <v>10111</v>
      </c>
      <c r="C11612" s="5" t="s">
        <v>45</v>
      </c>
      <c r="D11612" s="3" t="s">
        <v>221</v>
      </c>
      <c r="E11612" s="3" t="s">
        <v>189</v>
      </c>
      <c r="F11612" s="7">
        <v>45972.33724181029</v>
      </c>
      <c r="G11612" s="3" t="s">
        <v>9015</v>
      </c>
    </row>
    <row r="11613">
      <c r="A11613" s="3" t="s">
        <v>27172</v>
      </c>
      <c r="B11613" s="3" t="s">
        <v>10111</v>
      </c>
      <c r="C11613" s="5" t="s">
        <v>221</v>
      </c>
      <c r="D11613" s="3" t="s">
        <v>614</v>
      </c>
      <c r="E11613" s="3" t="s">
        <v>118</v>
      </c>
      <c r="F11613" s="7">
        <v>45972.34071403251</v>
      </c>
      <c r="G11613" s="3" t="s">
        <v>17580</v>
      </c>
    </row>
    <row r="11614">
      <c r="A11614" s="3" t="s">
        <v>27173</v>
      </c>
      <c r="B11614" s="3" t="s">
        <v>10111</v>
      </c>
      <c r="C11614" s="5" t="s">
        <v>614</v>
      </c>
      <c r="D11614" s="3" t="s">
        <v>206</v>
      </c>
      <c r="E11614" s="3" t="s">
        <v>100</v>
      </c>
      <c r="F11614" s="7">
        <v>45972.34418625473</v>
      </c>
      <c r="G11614" s="3" t="s">
        <v>17583</v>
      </c>
    </row>
    <row r="11615">
      <c r="A11615" s="3" t="s">
        <v>27174</v>
      </c>
      <c r="B11615" s="3" t="s">
        <v>10111</v>
      </c>
      <c r="C11615" s="5" t="s">
        <v>206</v>
      </c>
      <c r="D11615" s="3" t="s">
        <v>68</v>
      </c>
      <c r="E11615" s="3" t="s">
        <v>100</v>
      </c>
      <c r="F11615" s="7">
        <v>45972.34765847695</v>
      </c>
      <c r="G11615" s="3" t="s">
        <v>17586</v>
      </c>
    </row>
    <row r="11616">
      <c r="A11616" s="3" t="s">
        <v>27175</v>
      </c>
      <c r="B11616" s="3" t="s">
        <v>10113</v>
      </c>
      <c r="C11616" s="5" t="s">
        <v>45</v>
      </c>
      <c r="D11616" s="3" t="s">
        <v>221</v>
      </c>
      <c r="E11616" s="3" t="s">
        <v>993</v>
      </c>
      <c r="F11616" s="7">
        <v>45972.4084166557</v>
      </c>
      <c r="G11616" s="3" t="s">
        <v>13312</v>
      </c>
    </row>
    <row r="11617">
      <c r="A11617" s="3" t="s">
        <v>27176</v>
      </c>
      <c r="B11617" s="3" t="s">
        <v>10113</v>
      </c>
      <c r="C11617" s="5" t="s">
        <v>221</v>
      </c>
      <c r="D11617" s="3" t="s">
        <v>614</v>
      </c>
      <c r="E11617" s="3" t="s">
        <v>118</v>
      </c>
      <c r="F11617" s="7">
        <v>45972.41188887792</v>
      </c>
      <c r="G11617" s="3" t="s">
        <v>13315</v>
      </c>
    </row>
    <row r="11618">
      <c r="A11618" s="3" t="s">
        <v>27177</v>
      </c>
      <c r="B11618" s="3" t="s">
        <v>10113</v>
      </c>
      <c r="C11618" s="5" t="s">
        <v>614</v>
      </c>
      <c r="D11618" s="3" t="s">
        <v>206</v>
      </c>
      <c r="E11618" s="3" t="s">
        <v>100</v>
      </c>
      <c r="F11618" s="7">
        <v>45972.415361100146</v>
      </c>
      <c r="G11618" s="3" t="s">
        <v>13319</v>
      </c>
    </row>
    <row r="11619">
      <c r="A11619" s="3" t="s">
        <v>27178</v>
      </c>
      <c r="B11619" s="3" t="s">
        <v>10113</v>
      </c>
      <c r="C11619" s="5" t="s">
        <v>206</v>
      </c>
      <c r="D11619" s="3" t="s">
        <v>68</v>
      </c>
      <c r="E11619" s="3" t="s">
        <v>100</v>
      </c>
      <c r="F11619" s="7">
        <v>45972.418833322365</v>
      </c>
      <c r="G11619" s="3" t="s">
        <v>13322</v>
      </c>
    </row>
    <row r="11620">
      <c r="A11620" s="3" t="s">
        <v>27179</v>
      </c>
      <c r="B11620" s="3" t="s">
        <v>10115</v>
      </c>
      <c r="C11620" s="5" t="s">
        <v>45</v>
      </c>
      <c r="D11620" s="3" t="s">
        <v>221</v>
      </c>
      <c r="E11620" s="3" t="s">
        <v>760</v>
      </c>
      <c r="F11620" s="7">
        <v>45972.47959150111</v>
      </c>
      <c r="G11620" s="3" t="s">
        <v>13326</v>
      </c>
    </row>
    <row r="11621">
      <c r="A11621" s="3" t="s">
        <v>27180</v>
      </c>
      <c r="B11621" s="3" t="s">
        <v>10115</v>
      </c>
      <c r="C11621" s="5" t="s">
        <v>221</v>
      </c>
      <c r="D11621" s="3" t="s">
        <v>614</v>
      </c>
      <c r="E11621" s="3" t="s">
        <v>118</v>
      </c>
      <c r="F11621" s="7">
        <v>45972.48306372333</v>
      </c>
      <c r="G11621" s="3" t="s">
        <v>13330</v>
      </c>
    </row>
    <row r="11622">
      <c r="A11622" s="3" t="s">
        <v>27181</v>
      </c>
      <c r="B11622" s="3" t="s">
        <v>10115</v>
      </c>
      <c r="C11622" s="5" t="s">
        <v>614</v>
      </c>
      <c r="D11622" s="3" t="s">
        <v>206</v>
      </c>
      <c r="E11622" s="3" t="s">
        <v>100</v>
      </c>
      <c r="F11622" s="7">
        <v>45972.48653594556</v>
      </c>
      <c r="G11622" s="3" t="s">
        <v>13333</v>
      </c>
    </row>
    <row r="11623">
      <c r="A11623" s="3" t="s">
        <v>27182</v>
      </c>
      <c r="B11623" s="3" t="s">
        <v>10115</v>
      </c>
      <c r="C11623" s="5" t="s">
        <v>206</v>
      </c>
      <c r="D11623" s="3" t="s">
        <v>68</v>
      </c>
      <c r="E11623" s="3" t="s">
        <v>100</v>
      </c>
      <c r="F11623" s="7">
        <v>45972.49000816778</v>
      </c>
      <c r="G11623" s="3" t="s">
        <v>13337</v>
      </c>
    </row>
    <row r="11624">
      <c r="A11624" s="3" t="s">
        <v>27183</v>
      </c>
      <c r="B11624" s="3" t="s">
        <v>10118</v>
      </c>
      <c r="C11624" s="5" t="s">
        <v>45</v>
      </c>
      <c r="D11624" s="3" t="s">
        <v>221</v>
      </c>
      <c r="E11624" s="3" t="s">
        <v>760</v>
      </c>
      <c r="F11624" s="7">
        <v>45972.55076634653</v>
      </c>
      <c r="G11624" s="3" t="s">
        <v>19602</v>
      </c>
    </row>
    <row r="11625">
      <c r="A11625" s="3" t="s">
        <v>27184</v>
      </c>
      <c r="B11625" s="3" t="s">
        <v>10118</v>
      </c>
      <c r="C11625" s="5" t="s">
        <v>221</v>
      </c>
      <c r="D11625" s="3" t="s">
        <v>614</v>
      </c>
      <c r="E11625" s="3" t="s">
        <v>118</v>
      </c>
      <c r="F11625" s="7">
        <v>45972.55423856875</v>
      </c>
      <c r="G11625" s="3" t="s">
        <v>19605</v>
      </c>
    </row>
    <row r="11626">
      <c r="A11626" s="3" t="s">
        <v>27185</v>
      </c>
      <c r="B11626" s="3" t="s">
        <v>10118</v>
      </c>
      <c r="C11626" s="5" t="s">
        <v>614</v>
      </c>
      <c r="D11626" s="3" t="s">
        <v>206</v>
      </c>
      <c r="E11626" s="3" t="s">
        <v>100</v>
      </c>
      <c r="F11626" s="7">
        <v>45972.55771079098</v>
      </c>
      <c r="G11626" s="3" t="s">
        <v>19607</v>
      </c>
    </row>
    <row r="11627">
      <c r="A11627" s="3" t="s">
        <v>27186</v>
      </c>
      <c r="B11627" s="3" t="s">
        <v>10118</v>
      </c>
      <c r="C11627" s="5" t="s">
        <v>206</v>
      </c>
      <c r="D11627" s="3" t="s">
        <v>68</v>
      </c>
      <c r="E11627" s="3" t="s">
        <v>100</v>
      </c>
      <c r="F11627" s="7">
        <v>45972.5611830132</v>
      </c>
      <c r="G11627" s="3" t="s">
        <v>19610</v>
      </c>
    </row>
    <row r="11628">
      <c r="A11628" s="3" t="s">
        <v>27187</v>
      </c>
      <c r="B11628" s="3" t="s">
        <v>10121</v>
      </c>
      <c r="C11628" s="5" t="s">
        <v>45</v>
      </c>
      <c r="D11628" s="3" t="s">
        <v>221</v>
      </c>
      <c r="E11628" s="3" t="s">
        <v>574</v>
      </c>
      <c r="F11628" s="7">
        <v>45972.621941191945</v>
      </c>
      <c r="G11628" s="3" t="s">
        <v>15196</v>
      </c>
    </row>
    <row r="11629">
      <c r="A11629" s="3" t="s">
        <v>27188</v>
      </c>
      <c r="B11629" s="3" t="s">
        <v>10121</v>
      </c>
      <c r="C11629" s="5" t="s">
        <v>221</v>
      </c>
      <c r="D11629" s="3" t="s">
        <v>614</v>
      </c>
      <c r="E11629" s="3" t="s">
        <v>118</v>
      </c>
      <c r="F11629" s="7">
        <v>45972.62541341416</v>
      </c>
      <c r="G11629" s="3" t="s">
        <v>15199</v>
      </c>
    </row>
    <row r="11630">
      <c r="A11630" s="3" t="s">
        <v>27189</v>
      </c>
      <c r="B11630" s="3" t="s">
        <v>10121</v>
      </c>
      <c r="C11630" s="5" t="s">
        <v>614</v>
      </c>
      <c r="D11630" s="3" t="s">
        <v>206</v>
      </c>
      <c r="E11630" s="3" t="s">
        <v>100</v>
      </c>
      <c r="F11630" s="7">
        <v>45972.62888563639</v>
      </c>
      <c r="G11630" s="3" t="s">
        <v>15203</v>
      </c>
    </row>
    <row r="11631">
      <c r="A11631" s="3" t="s">
        <v>27190</v>
      </c>
      <c r="B11631" s="3" t="s">
        <v>10121</v>
      </c>
      <c r="C11631" s="5" t="s">
        <v>206</v>
      </c>
      <c r="D11631" s="3" t="s">
        <v>68</v>
      </c>
      <c r="E11631" s="3" t="s">
        <v>100</v>
      </c>
      <c r="F11631" s="7">
        <v>45972.63235785861</v>
      </c>
      <c r="G11631" s="3" t="s">
        <v>15206</v>
      </c>
    </row>
    <row r="11632">
      <c r="A11632" s="3" t="s">
        <v>27191</v>
      </c>
      <c r="B11632" s="3" t="s">
        <v>10124</v>
      </c>
      <c r="C11632" s="5" t="s">
        <v>45</v>
      </c>
      <c r="D11632" s="3" t="s">
        <v>221</v>
      </c>
      <c r="E11632" s="3" t="s">
        <v>536</v>
      </c>
      <c r="F11632" s="7">
        <v>45972.69311603736</v>
      </c>
      <c r="G11632" s="3" t="s">
        <v>13368</v>
      </c>
    </row>
    <row r="11633">
      <c r="A11633" s="3" t="s">
        <v>27192</v>
      </c>
      <c r="B11633" s="3" t="s">
        <v>10124</v>
      </c>
      <c r="C11633" s="5" t="s">
        <v>221</v>
      </c>
      <c r="D11633" s="3" t="s">
        <v>614</v>
      </c>
      <c r="E11633" s="3" t="s">
        <v>118</v>
      </c>
      <c r="F11633" s="7">
        <v>45972.696588259576</v>
      </c>
      <c r="G11633" s="3" t="s">
        <v>13371</v>
      </c>
    </row>
    <row r="11634">
      <c r="A11634" s="3" t="s">
        <v>27193</v>
      </c>
      <c r="B11634" s="3" t="s">
        <v>10124</v>
      </c>
      <c r="C11634" s="5" t="s">
        <v>614</v>
      </c>
      <c r="D11634" s="3" t="s">
        <v>206</v>
      </c>
      <c r="E11634" s="3" t="s">
        <v>100</v>
      </c>
      <c r="F11634" s="7">
        <v>45972.7000604818</v>
      </c>
      <c r="G11634" s="3" t="s">
        <v>13373</v>
      </c>
    </row>
    <row r="11635">
      <c r="A11635" s="3" t="s">
        <v>27194</v>
      </c>
      <c r="B11635" s="3" t="s">
        <v>10124</v>
      </c>
      <c r="C11635" s="5" t="s">
        <v>206</v>
      </c>
      <c r="D11635" s="3" t="s">
        <v>68</v>
      </c>
      <c r="E11635" s="3" t="s">
        <v>100</v>
      </c>
      <c r="F11635" s="7">
        <v>45972.70353270402</v>
      </c>
      <c r="G11635" s="3" t="s">
        <v>13376</v>
      </c>
    </row>
    <row r="11636">
      <c r="A11636" s="3" t="s">
        <v>27195</v>
      </c>
      <c r="B11636" s="3" t="s">
        <v>10127</v>
      </c>
      <c r="C11636" s="5" t="s">
        <v>45</v>
      </c>
      <c r="D11636" s="3" t="s">
        <v>221</v>
      </c>
      <c r="E11636" s="3" t="s">
        <v>622</v>
      </c>
      <c r="F11636" s="7">
        <v>45972.76429088278</v>
      </c>
      <c r="G11636" s="3" t="s">
        <v>24075</v>
      </c>
    </row>
    <row r="11637">
      <c r="A11637" s="3" t="s">
        <v>27196</v>
      </c>
      <c r="B11637" s="3" t="s">
        <v>10127</v>
      </c>
      <c r="C11637" s="5" t="s">
        <v>221</v>
      </c>
      <c r="D11637" s="3" t="s">
        <v>614</v>
      </c>
      <c r="E11637" s="3" t="s">
        <v>118</v>
      </c>
      <c r="F11637" s="7">
        <v>45972.767763104996</v>
      </c>
      <c r="G11637" s="3" t="s">
        <v>24077</v>
      </c>
    </row>
    <row r="11638">
      <c r="A11638" s="3" t="s">
        <v>27197</v>
      </c>
      <c r="B11638" s="3" t="s">
        <v>10127</v>
      </c>
      <c r="C11638" s="5" t="s">
        <v>614</v>
      </c>
      <c r="D11638" s="3" t="s">
        <v>206</v>
      </c>
      <c r="E11638" s="3" t="s">
        <v>100</v>
      </c>
      <c r="F11638" s="7">
        <v>45972.77123532722</v>
      </c>
      <c r="G11638" s="3" t="s">
        <v>24079</v>
      </c>
    </row>
    <row r="11639">
      <c r="A11639" s="3" t="s">
        <v>27198</v>
      </c>
      <c r="B11639" s="3" t="s">
        <v>10127</v>
      </c>
      <c r="C11639" s="5" t="s">
        <v>206</v>
      </c>
      <c r="D11639" s="3" t="s">
        <v>68</v>
      </c>
      <c r="E11639" s="3" t="s">
        <v>100</v>
      </c>
      <c r="F11639" s="7">
        <v>45972.77470754944</v>
      </c>
      <c r="G11639" s="3" t="s">
        <v>24081</v>
      </c>
    </row>
    <row r="11640">
      <c r="A11640" s="3" t="s">
        <v>27199</v>
      </c>
      <c r="B11640" s="3" t="s">
        <v>10130</v>
      </c>
      <c r="C11640" s="5" t="s">
        <v>45</v>
      </c>
      <c r="D11640" s="3" t="s">
        <v>221</v>
      </c>
      <c r="E11640" s="3" t="s">
        <v>383</v>
      </c>
      <c r="F11640" s="7">
        <v>45972.835465728196</v>
      </c>
      <c r="G11640" s="3" t="s">
        <v>9943</v>
      </c>
    </row>
    <row r="11641">
      <c r="A11641" s="3" t="s">
        <v>27200</v>
      </c>
      <c r="B11641" s="3" t="s">
        <v>10130</v>
      </c>
      <c r="C11641" s="5" t="s">
        <v>221</v>
      </c>
      <c r="D11641" s="3" t="s">
        <v>614</v>
      </c>
      <c r="E11641" s="3" t="s">
        <v>118</v>
      </c>
      <c r="F11641" s="7">
        <v>45972.838937950415</v>
      </c>
      <c r="G11641" s="3" t="s">
        <v>9946</v>
      </c>
    </row>
    <row r="11642">
      <c r="A11642" s="3" t="s">
        <v>27201</v>
      </c>
      <c r="B11642" s="3" t="s">
        <v>10130</v>
      </c>
      <c r="C11642" s="5" t="s">
        <v>614</v>
      </c>
      <c r="D11642" s="3" t="s">
        <v>206</v>
      </c>
      <c r="E11642" s="3" t="s">
        <v>100</v>
      </c>
      <c r="F11642" s="7">
        <v>45972.84241017264</v>
      </c>
      <c r="G11642" s="3" t="s">
        <v>9949</v>
      </c>
    </row>
    <row r="11643">
      <c r="A11643" s="3" t="s">
        <v>27202</v>
      </c>
      <c r="B11643" s="3" t="s">
        <v>10130</v>
      </c>
      <c r="C11643" s="5" t="s">
        <v>206</v>
      </c>
      <c r="D11643" s="3" t="s">
        <v>68</v>
      </c>
      <c r="E11643" s="3" t="s">
        <v>100</v>
      </c>
      <c r="F11643" s="7">
        <v>45972.84588239486</v>
      </c>
      <c r="G11643" s="3" t="s">
        <v>9953</v>
      </c>
    </row>
    <row r="11644">
      <c r="A11644" s="3" t="s">
        <v>27203</v>
      </c>
      <c r="B11644" s="3" t="s">
        <v>10133</v>
      </c>
      <c r="C11644" s="5" t="s">
        <v>45</v>
      </c>
      <c r="D11644" s="3" t="s">
        <v>221</v>
      </c>
      <c r="E11644" s="3" t="s">
        <v>449</v>
      </c>
      <c r="F11644" s="7">
        <v>45972.9066405736</v>
      </c>
      <c r="G11644" s="3" t="s">
        <v>13379</v>
      </c>
    </row>
    <row r="11645">
      <c r="A11645" s="3" t="s">
        <v>27204</v>
      </c>
      <c r="B11645" s="3" t="s">
        <v>10133</v>
      </c>
      <c r="C11645" s="5" t="s">
        <v>221</v>
      </c>
      <c r="D11645" s="3" t="s">
        <v>614</v>
      </c>
      <c r="E11645" s="3" t="s">
        <v>118</v>
      </c>
      <c r="F11645" s="7">
        <v>45972.91011279582</v>
      </c>
      <c r="G11645" s="3" t="s">
        <v>13382</v>
      </c>
    </row>
    <row r="11646">
      <c r="A11646" s="3" t="s">
        <v>27205</v>
      </c>
      <c r="B11646" s="3" t="s">
        <v>10133</v>
      </c>
      <c r="C11646" s="5" t="s">
        <v>614</v>
      </c>
      <c r="D11646" s="3" t="s">
        <v>206</v>
      </c>
      <c r="E11646" s="3" t="s">
        <v>100</v>
      </c>
      <c r="F11646" s="7">
        <v>45972.91358501805</v>
      </c>
      <c r="G11646" s="3" t="s">
        <v>13386</v>
      </c>
    </row>
    <row r="11647">
      <c r="A11647" s="3" t="s">
        <v>27206</v>
      </c>
      <c r="B11647" s="3" t="s">
        <v>10133</v>
      </c>
      <c r="C11647" s="5" t="s">
        <v>206</v>
      </c>
      <c r="D11647" s="3" t="s">
        <v>68</v>
      </c>
      <c r="E11647" s="3" t="s">
        <v>100</v>
      </c>
      <c r="F11647" s="7">
        <v>45972.917057240265</v>
      </c>
      <c r="G11647" s="3" t="s">
        <v>13389</v>
      </c>
    </row>
    <row r="11648">
      <c r="A11648" s="3" t="s">
        <v>27207</v>
      </c>
      <c r="B11648" s="3" t="s">
        <v>10138</v>
      </c>
      <c r="C11648" s="5" t="s">
        <v>45</v>
      </c>
      <c r="D11648" s="3" t="s">
        <v>221</v>
      </c>
      <c r="E11648" s="3" t="s">
        <v>493</v>
      </c>
      <c r="F11648" s="7">
        <v>45972.97781541902</v>
      </c>
      <c r="G11648" s="3" t="s">
        <v>27090</v>
      </c>
    </row>
    <row r="11649">
      <c r="A11649" s="3" t="s">
        <v>27208</v>
      </c>
      <c r="B11649" s="3" t="s">
        <v>10138</v>
      </c>
      <c r="C11649" s="5" t="s">
        <v>221</v>
      </c>
      <c r="D11649" s="3" t="s">
        <v>614</v>
      </c>
      <c r="E11649" s="3" t="s">
        <v>118</v>
      </c>
      <c r="F11649" s="7">
        <v>45972.98128764124</v>
      </c>
      <c r="G11649" s="3" t="s">
        <v>27092</v>
      </c>
    </row>
    <row r="11650">
      <c r="A11650" s="3" t="s">
        <v>27209</v>
      </c>
      <c r="B11650" s="3" t="s">
        <v>10138</v>
      </c>
      <c r="C11650" s="5" t="s">
        <v>614</v>
      </c>
      <c r="D11650" s="3" t="s">
        <v>206</v>
      </c>
      <c r="E11650" s="3" t="s">
        <v>100</v>
      </c>
      <c r="F11650" s="7">
        <v>45972.984759863466</v>
      </c>
      <c r="G11650" s="3" t="s">
        <v>27094</v>
      </c>
    </row>
    <row r="11651">
      <c r="A11651" s="3" t="s">
        <v>27210</v>
      </c>
      <c r="B11651" s="3" t="s">
        <v>10138</v>
      </c>
      <c r="C11651" s="5" t="s">
        <v>206</v>
      </c>
      <c r="D11651" s="3" t="s">
        <v>68</v>
      </c>
      <c r="E11651" s="3" t="s">
        <v>100</v>
      </c>
      <c r="F11651" s="7">
        <v>45972.988232085685</v>
      </c>
      <c r="G11651" s="3" t="s">
        <v>27096</v>
      </c>
    </row>
    <row r="11652">
      <c r="A11652" s="3" t="s">
        <v>27211</v>
      </c>
      <c r="B11652" s="3" t="s">
        <v>10141</v>
      </c>
      <c r="C11652" s="5" t="s">
        <v>45</v>
      </c>
      <c r="D11652" s="3" t="s">
        <v>221</v>
      </c>
      <c r="E11652" s="3" t="s">
        <v>215</v>
      </c>
      <c r="F11652" s="7">
        <v>45973.04899026444</v>
      </c>
      <c r="G11652" s="3" t="s">
        <v>17484</v>
      </c>
    </row>
    <row r="11653">
      <c r="A11653" s="3" t="s">
        <v>27212</v>
      </c>
      <c r="B11653" s="3" t="s">
        <v>10141</v>
      </c>
      <c r="C11653" s="5" t="s">
        <v>221</v>
      </c>
      <c r="D11653" s="3" t="s">
        <v>614</v>
      </c>
      <c r="E11653" s="3" t="s">
        <v>118</v>
      </c>
      <c r="F11653" s="7">
        <v>45973.05246248666</v>
      </c>
      <c r="G11653" s="3" t="s">
        <v>17487</v>
      </c>
    </row>
    <row r="11654">
      <c r="A11654" s="3" t="s">
        <v>27213</v>
      </c>
      <c r="B11654" s="3" t="s">
        <v>10141</v>
      </c>
      <c r="C11654" s="5" t="s">
        <v>614</v>
      </c>
      <c r="D11654" s="3" t="s">
        <v>206</v>
      </c>
      <c r="E11654" s="3" t="s">
        <v>100</v>
      </c>
      <c r="F11654" s="7">
        <v>45973.055934708886</v>
      </c>
      <c r="G11654" s="3" t="s">
        <v>17490</v>
      </c>
    </row>
    <row r="11655">
      <c r="A11655" s="3" t="s">
        <v>27214</v>
      </c>
      <c r="B11655" s="3" t="s">
        <v>10141</v>
      </c>
      <c r="C11655" s="5" t="s">
        <v>206</v>
      </c>
      <c r="D11655" s="3" t="s">
        <v>68</v>
      </c>
      <c r="E11655" s="3" t="s">
        <v>100</v>
      </c>
      <c r="F11655" s="7">
        <v>45973.059406931105</v>
      </c>
      <c r="G11655" s="3" t="s">
        <v>17493</v>
      </c>
    </row>
    <row r="11656">
      <c r="A11656" s="3" t="s">
        <v>27215</v>
      </c>
      <c r="B11656" s="3" t="s">
        <v>10144</v>
      </c>
      <c r="C11656" s="5" t="s">
        <v>45</v>
      </c>
      <c r="D11656" s="3" t="s">
        <v>221</v>
      </c>
      <c r="E11656" s="3" t="s">
        <v>496</v>
      </c>
      <c r="F11656" s="7">
        <v>45973.12016510985</v>
      </c>
      <c r="G11656" s="3" t="s">
        <v>13404</v>
      </c>
    </row>
    <row r="11657">
      <c r="A11657" s="3" t="s">
        <v>27216</v>
      </c>
      <c r="B11657" s="3" t="s">
        <v>10144</v>
      </c>
      <c r="C11657" s="5" t="s">
        <v>221</v>
      </c>
      <c r="D11657" s="3" t="s">
        <v>614</v>
      </c>
      <c r="E11657" s="3" t="s">
        <v>118</v>
      </c>
      <c r="F11657" s="7">
        <v>45973.12363733207</v>
      </c>
      <c r="G11657" s="3" t="s">
        <v>13407</v>
      </c>
    </row>
    <row r="11658">
      <c r="A11658" s="3" t="s">
        <v>27217</v>
      </c>
      <c r="B11658" s="3" t="s">
        <v>10144</v>
      </c>
      <c r="C11658" s="5" t="s">
        <v>614</v>
      </c>
      <c r="D11658" s="3" t="s">
        <v>206</v>
      </c>
      <c r="E11658" s="3" t="s">
        <v>100</v>
      </c>
      <c r="F11658" s="7">
        <v>45973.1271095543</v>
      </c>
      <c r="G11658" s="3" t="s">
        <v>13409</v>
      </c>
    </row>
    <row r="11659">
      <c r="A11659" s="3" t="s">
        <v>27218</v>
      </c>
      <c r="B11659" s="3" t="s">
        <v>10144</v>
      </c>
      <c r="C11659" s="5" t="s">
        <v>206</v>
      </c>
      <c r="D11659" s="3" t="s">
        <v>68</v>
      </c>
      <c r="E11659" s="3" t="s">
        <v>100</v>
      </c>
      <c r="F11659" s="7">
        <v>45973.13058177652</v>
      </c>
      <c r="G11659" s="3" t="s">
        <v>13412</v>
      </c>
    </row>
    <row r="11660">
      <c r="A11660" s="3" t="s">
        <v>27219</v>
      </c>
      <c r="B11660" s="3" t="s">
        <v>10147</v>
      </c>
      <c r="C11660" s="5" t="s">
        <v>45</v>
      </c>
      <c r="D11660" s="3" t="s">
        <v>221</v>
      </c>
      <c r="E11660" s="3" t="s">
        <v>260</v>
      </c>
      <c r="F11660" s="7">
        <v>45973.191339955265</v>
      </c>
      <c r="G11660" s="3" t="s">
        <v>9146</v>
      </c>
    </row>
    <row r="11661">
      <c r="A11661" s="3" t="s">
        <v>27220</v>
      </c>
      <c r="B11661" s="3" t="s">
        <v>10147</v>
      </c>
      <c r="C11661" s="5" t="s">
        <v>221</v>
      </c>
      <c r="D11661" s="3" t="s">
        <v>614</v>
      </c>
      <c r="E11661" s="3" t="s">
        <v>118</v>
      </c>
      <c r="F11661" s="7">
        <v>45973.194812177484</v>
      </c>
      <c r="G11661" s="3" t="s">
        <v>9149</v>
      </c>
    </row>
    <row r="11662">
      <c r="A11662" s="3" t="s">
        <v>27221</v>
      </c>
      <c r="B11662" s="3" t="s">
        <v>10147</v>
      </c>
      <c r="C11662" s="5" t="s">
        <v>614</v>
      </c>
      <c r="D11662" s="3" t="s">
        <v>206</v>
      </c>
      <c r="E11662" s="3" t="s">
        <v>100</v>
      </c>
      <c r="F11662" s="7">
        <v>45973.19828439971</v>
      </c>
      <c r="G11662" s="3" t="s">
        <v>9151</v>
      </c>
    </row>
    <row r="11663">
      <c r="A11663" s="3" t="s">
        <v>27222</v>
      </c>
      <c r="B11663" s="3" t="s">
        <v>10147</v>
      </c>
      <c r="C11663" s="5" t="s">
        <v>206</v>
      </c>
      <c r="D11663" s="3" t="s">
        <v>68</v>
      </c>
      <c r="E11663" s="3" t="s">
        <v>100</v>
      </c>
      <c r="F11663" s="7">
        <v>45973.20175662193</v>
      </c>
      <c r="G11663" s="3" t="s">
        <v>9154</v>
      </c>
    </row>
    <row r="11664">
      <c r="A11664" s="3" t="s">
        <v>27223</v>
      </c>
      <c r="B11664" s="3" t="s">
        <v>10150</v>
      </c>
      <c r="C11664" s="5" t="s">
        <v>45</v>
      </c>
      <c r="D11664" s="3" t="s">
        <v>221</v>
      </c>
      <c r="E11664" s="3" t="s">
        <v>479</v>
      </c>
      <c r="F11664" s="7">
        <v>45973.262514800685</v>
      </c>
      <c r="G11664" s="3" t="s">
        <v>13445</v>
      </c>
    </row>
    <row r="11665">
      <c r="A11665" s="3" t="s">
        <v>27224</v>
      </c>
      <c r="B11665" s="3" t="s">
        <v>10150</v>
      </c>
      <c r="C11665" s="5" t="s">
        <v>221</v>
      </c>
      <c r="D11665" s="3" t="s">
        <v>614</v>
      </c>
      <c r="E11665" s="3" t="s">
        <v>118</v>
      </c>
      <c r="F11665" s="7">
        <v>45973.2659870229</v>
      </c>
      <c r="G11665" s="3" t="s">
        <v>13448</v>
      </c>
    </row>
    <row r="11666">
      <c r="A11666" s="3" t="s">
        <v>27225</v>
      </c>
      <c r="B11666" s="3" t="s">
        <v>10150</v>
      </c>
      <c r="C11666" s="5" t="s">
        <v>614</v>
      </c>
      <c r="D11666" s="3" t="s">
        <v>206</v>
      </c>
      <c r="E11666" s="3" t="s">
        <v>100</v>
      </c>
      <c r="F11666" s="7">
        <v>45973.26945924513</v>
      </c>
      <c r="G11666" s="3" t="s">
        <v>13450</v>
      </c>
    </row>
    <row r="11667">
      <c r="A11667" s="3" t="s">
        <v>27226</v>
      </c>
      <c r="B11667" s="3" t="s">
        <v>10150</v>
      </c>
      <c r="C11667" s="5" t="s">
        <v>206</v>
      </c>
      <c r="D11667" s="3" t="s">
        <v>68</v>
      </c>
      <c r="E11667" s="3" t="s">
        <v>100</v>
      </c>
      <c r="F11667" s="7">
        <v>45973.27293146735</v>
      </c>
      <c r="G11667" s="3" t="s">
        <v>13453</v>
      </c>
    </row>
    <row r="11668">
      <c r="A11668" s="3" t="s">
        <v>27227</v>
      </c>
      <c r="B11668" s="3" t="s">
        <v>10152</v>
      </c>
      <c r="C11668" s="5" t="s">
        <v>45</v>
      </c>
      <c r="D11668" s="3" t="s">
        <v>221</v>
      </c>
      <c r="E11668" s="3" t="s">
        <v>462</v>
      </c>
      <c r="F11668" s="7">
        <v>45973.3336896461</v>
      </c>
      <c r="G11668" s="3" t="s">
        <v>15416</v>
      </c>
    </row>
    <row r="11669">
      <c r="A11669" s="3" t="s">
        <v>27228</v>
      </c>
      <c r="B11669" s="3" t="s">
        <v>10152</v>
      </c>
      <c r="C11669" s="5" t="s">
        <v>221</v>
      </c>
      <c r="D11669" s="3" t="s">
        <v>614</v>
      </c>
      <c r="E11669" s="3" t="s">
        <v>118</v>
      </c>
      <c r="F11669" s="7">
        <v>45973.337161868316</v>
      </c>
      <c r="G11669" s="3" t="s">
        <v>15419</v>
      </c>
    </row>
    <row r="11670">
      <c r="A11670" s="3" t="s">
        <v>27229</v>
      </c>
      <c r="B11670" s="3" t="s">
        <v>10152</v>
      </c>
      <c r="C11670" s="5" t="s">
        <v>614</v>
      </c>
      <c r="D11670" s="3" t="s">
        <v>206</v>
      </c>
      <c r="E11670" s="3" t="s">
        <v>100</v>
      </c>
      <c r="F11670" s="7">
        <v>45973.34063409054</v>
      </c>
      <c r="G11670" s="3" t="s">
        <v>15422</v>
      </c>
    </row>
    <row r="11671">
      <c r="A11671" s="3" t="s">
        <v>27230</v>
      </c>
      <c r="B11671" s="3" t="s">
        <v>10152</v>
      </c>
      <c r="C11671" s="5" t="s">
        <v>206</v>
      </c>
      <c r="D11671" s="3" t="s">
        <v>68</v>
      </c>
      <c r="E11671" s="3" t="s">
        <v>100</v>
      </c>
      <c r="F11671" s="7">
        <v>45973.34410631276</v>
      </c>
      <c r="G11671" s="3" t="s">
        <v>15425</v>
      </c>
    </row>
    <row r="11672">
      <c r="A11672" s="3" t="s">
        <v>27231</v>
      </c>
      <c r="B11672" s="3" t="s">
        <v>10154</v>
      </c>
      <c r="C11672" s="5" t="s">
        <v>45</v>
      </c>
      <c r="D11672" s="3" t="s">
        <v>221</v>
      </c>
      <c r="E11672" s="3" t="s">
        <v>442</v>
      </c>
      <c r="F11672" s="7">
        <v>45973.40486449151</v>
      </c>
      <c r="G11672" s="3" t="s">
        <v>6109</v>
      </c>
    </row>
    <row r="11673">
      <c r="A11673" s="3" t="s">
        <v>27232</v>
      </c>
      <c r="B11673" s="3" t="s">
        <v>10154</v>
      </c>
      <c r="C11673" s="5" t="s">
        <v>221</v>
      </c>
      <c r="D11673" s="3" t="s">
        <v>614</v>
      </c>
      <c r="E11673" s="3" t="s">
        <v>118</v>
      </c>
      <c r="F11673" s="7">
        <v>45973.40833671373</v>
      </c>
      <c r="G11673" s="3" t="s">
        <v>6113</v>
      </c>
    </row>
    <row r="11674">
      <c r="A11674" s="3" t="s">
        <v>27233</v>
      </c>
      <c r="B11674" s="3" t="s">
        <v>10154</v>
      </c>
      <c r="C11674" s="5" t="s">
        <v>614</v>
      </c>
      <c r="D11674" s="3" t="s">
        <v>206</v>
      </c>
      <c r="E11674" s="3" t="s">
        <v>100</v>
      </c>
      <c r="F11674" s="7">
        <v>45973.411808935954</v>
      </c>
      <c r="G11674" s="3" t="s">
        <v>6116</v>
      </c>
    </row>
    <row r="11675">
      <c r="A11675" s="3" t="s">
        <v>27234</v>
      </c>
      <c r="B11675" s="3" t="s">
        <v>10154</v>
      </c>
      <c r="C11675" s="5" t="s">
        <v>206</v>
      </c>
      <c r="D11675" s="3" t="s">
        <v>68</v>
      </c>
      <c r="E11675" s="3" t="s">
        <v>100</v>
      </c>
      <c r="F11675" s="7">
        <v>45973.41528115817</v>
      </c>
      <c r="G11675" s="3" t="s">
        <v>6120</v>
      </c>
    </row>
    <row r="11676">
      <c r="A11676" s="3" t="s">
        <v>27235</v>
      </c>
      <c r="B11676" s="3" t="s">
        <v>10157</v>
      </c>
      <c r="C11676" s="5" t="s">
        <v>45</v>
      </c>
      <c r="D11676" s="3" t="s">
        <v>221</v>
      </c>
      <c r="E11676" s="3" t="s">
        <v>722</v>
      </c>
      <c r="F11676" s="7">
        <v>45973.47603933693</v>
      </c>
      <c r="G11676" s="3" t="s">
        <v>14712</v>
      </c>
    </row>
    <row r="11677">
      <c r="A11677" s="3" t="s">
        <v>27236</v>
      </c>
      <c r="B11677" s="3" t="s">
        <v>10157</v>
      </c>
      <c r="C11677" s="5" t="s">
        <v>221</v>
      </c>
      <c r="D11677" s="3" t="s">
        <v>614</v>
      </c>
      <c r="E11677" s="3" t="s">
        <v>118</v>
      </c>
      <c r="F11677" s="7">
        <v>45973.47951155915</v>
      </c>
      <c r="G11677" s="3" t="s">
        <v>14715</v>
      </c>
    </row>
    <row r="11678">
      <c r="A11678" s="3" t="s">
        <v>27237</v>
      </c>
      <c r="B11678" s="3" t="s">
        <v>10157</v>
      </c>
      <c r="C11678" s="5" t="s">
        <v>614</v>
      </c>
      <c r="D11678" s="3" t="s">
        <v>206</v>
      </c>
      <c r="E11678" s="3" t="s">
        <v>100</v>
      </c>
      <c r="F11678" s="7">
        <v>45973.482983781374</v>
      </c>
      <c r="G11678" s="3" t="s">
        <v>14718</v>
      </c>
    </row>
    <row r="11679">
      <c r="A11679" s="3" t="s">
        <v>27238</v>
      </c>
      <c r="B11679" s="3" t="s">
        <v>10157</v>
      </c>
      <c r="C11679" s="5" t="s">
        <v>206</v>
      </c>
      <c r="D11679" s="3" t="s">
        <v>68</v>
      </c>
      <c r="E11679" s="3" t="s">
        <v>100</v>
      </c>
      <c r="F11679" s="7">
        <v>45973.48645600359</v>
      </c>
      <c r="G11679" s="3" t="s">
        <v>14721</v>
      </c>
    </row>
    <row r="11680">
      <c r="A11680" s="3" t="s">
        <v>27239</v>
      </c>
      <c r="B11680" s="3" t="s">
        <v>10160</v>
      </c>
      <c r="C11680" s="5" t="s">
        <v>45</v>
      </c>
      <c r="D11680" s="3" t="s">
        <v>221</v>
      </c>
      <c r="E11680" s="3" t="s">
        <v>561</v>
      </c>
      <c r="F11680" s="7">
        <v>45973.54721418234</v>
      </c>
      <c r="G11680" s="3" t="s">
        <v>13688</v>
      </c>
    </row>
    <row r="11681">
      <c r="A11681" s="3" t="s">
        <v>27240</v>
      </c>
      <c r="B11681" s="3" t="s">
        <v>10160</v>
      </c>
      <c r="C11681" s="5" t="s">
        <v>221</v>
      </c>
      <c r="D11681" s="3" t="s">
        <v>614</v>
      </c>
      <c r="E11681" s="3" t="s">
        <v>118</v>
      </c>
      <c r="F11681" s="7">
        <v>45973.55068640456</v>
      </c>
      <c r="G11681" s="3" t="s">
        <v>13691</v>
      </c>
    </row>
    <row r="11682">
      <c r="A11682" s="3" t="s">
        <v>27241</v>
      </c>
      <c r="B11682" s="3" t="s">
        <v>10160</v>
      </c>
      <c r="C11682" s="5" t="s">
        <v>614</v>
      </c>
      <c r="D11682" s="3" t="s">
        <v>206</v>
      </c>
      <c r="E11682" s="3" t="s">
        <v>100</v>
      </c>
      <c r="F11682" s="7">
        <v>45973.55415862679</v>
      </c>
      <c r="G11682" s="3" t="s">
        <v>13694</v>
      </c>
    </row>
    <row r="11683">
      <c r="A11683" s="3" t="s">
        <v>27242</v>
      </c>
      <c r="B11683" s="3" t="s">
        <v>10160</v>
      </c>
      <c r="C11683" s="5" t="s">
        <v>206</v>
      </c>
      <c r="D11683" s="3" t="s">
        <v>68</v>
      </c>
      <c r="E11683" s="3" t="s">
        <v>100</v>
      </c>
      <c r="F11683" s="7">
        <v>45973.557630849005</v>
      </c>
      <c r="G11683" s="3" t="s">
        <v>13697</v>
      </c>
    </row>
    <row r="11684">
      <c r="A11684" s="3" t="s">
        <v>27243</v>
      </c>
      <c r="B11684" s="3" t="s">
        <v>10163</v>
      </c>
      <c r="C11684" s="5" t="s">
        <v>45</v>
      </c>
      <c r="D11684" s="3" t="s">
        <v>221</v>
      </c>
      <c r="E11684" s="3" t="s">
        <v>637</v>
      </c>
      <c r="F11684" s="7">
        <v>45973.61838902775</v>
      </c>
      <c r="G11684" s="3" t="s">
        <v>13464</v>
      </c>
    </row>
    <row r="11685">
      <c r="A11685" s="3" t="s">
        <v>27244</v>
      </c>
      <c r="B11685" s="3" t="s">
        <v>10163</v>
      </c>
      <c r="C11685" s="5" t="s">
        <v>221</v>
      </c>
      <c r="D11685" s="3" t="s">
        <v>614</v>
      </c>
      <c r="E11685" s="3" t="s">
        <v>118</v>
      </c>
      <c r="F11685" s="7">
        <v>45973.62186124997</v>
      </c>
      <c r="G11685" s="3" t="s">
        <v>13467</v>
      </c>
    </row>
    <row r="11686">
      <c r="A11686" s="3" t="s">
        <v>27245</v>
      </c>
      <c r="B11686" s="3" t="s">
        <v>10163</v>
      </c>
      <c r="C11686" s="5" t="s">
        <v>614</v>
      </c>
      <c r="D11686" s="3" t="s">
        <v>206</v>
      </c>
      <c r="E11686" s="3" t="s">
        <v>100</v>
      </c>
      <c r="F11686" s="7">
        <v>45973.6253334722</v>
      </c>
      <c r="G11686" s="3" t="s">
        <v>13470</v>
      </c>
    </row>
    <row r="11687">
      <c r="A11687" s="3" t="s">
        <v>27246</v>
      </c>
      <c r="B11687" s="3" t="s">
        <v>10163</v>
      </c>
      <c r="C11687" s="5" t="s">
        <v>206</v>
      </c>
      <c r="D11687" s="3" t="s">
        <v>68</v>
      </c>
      <c r="E11687" s="3" t="s">
        <v>100</v>
      </c>
      <c r="F11687" s="7">
        <v>45973.62880569442</v>
      </c>
      <c r="G11687" s="3" t="s">
        <v>13473</v>
      </c>
    </row>
    <row r="11688">
      <c r="A11688" s="3" t="s">
        <v>27247</v>
      </c>
      <c r="B11688" s="3" t="s">
        <v>10166</v>
      </c>
      <c r="C11688" s="5" t="s">
        <v>45</v>
      </c>
      <c r="D11688" s="3" t="s">
        <v>221</v>
      </c>
      <c r="E11688" s="3" t="s">
        <v>622</v>
      </c>
      <c r="F11688" s="7">
        <v>45973.68956387317</v>
      </c>
      <c r="G11688" s="3" t="s">
        <v>24075</v>
      </c>
    </row>
    <row r="11689">
      <c r="A11689" s="3" t="s">
        <v>27248</v>
      </c>
      <c r="B11689" s="3" t="s">
        <v>10166</v>
      </c>
      <c r="C11689" s="5" t="s">
        <v>221</v>
      </c>
      <c r="D11689" s="3" t="s">
        <v>614</v>
      </c>
      <c r="E11689" s="3" t="s">
        <v>118</v>
      </c>
      <c r="F11689" s="7">
        <v>45973.69303609539</v>
      </c>
      <c r="G11689" s="3" t="s">
        <v>24077</v>
      </c>
    </row>
    <row r="11690">
      <c r="A11690" s="3" t="s">
        <v>27249</v>
      </c>
      <c r="B11690" s="3" t="s">
        <v>10166</v>
      </c>
      <c r="C11690" s="5" t="s">
        <v>614</v>
      </c>
      <c r="D11690" s="3" t="s">
        <v>206</v>
      </c>
      <c r="E11690" s="3" t="s">
        <v>100</v>
      </c>
      <c r="F11690" s="7">
        <v>45973.69650831762</v>
      </c>
      <c r="G11690" s="3" t="s">
        <v>24079</v>
      </c>
    </row>
    <row r="11691">
      <c r="A11691" s="3" t="s">
        <v>27250</v>
      </c>
      <c r="B11691" s="3" t="s">
        <v>10166</v>
      </c>
      <c r="C11691" s="5" t="s">
        <v>206</v>
      </c>
      <c r="D11691" s="3" t="s">
        <v>68</v>
      </c>
      <c r="E11691" s="3" t="s">
        <v>100</v>
      </c>
      <c r="F11691" s="7">
        <v>45973.69998053984</v>
      </c>
      <c r="G11691" s="3" t="s">
        <v>24081</v>
      </c>
    </row>
    <row r="11692">
      <c r="A11692" s="3" t="s">
        <v>27251</v>
      </c>
      <c r="B11692" s="3" t="s">
        <v>10169</v>
      </c>
      <c r="C11692" s="5" t="s">
        <v>45</v>
      </c>
      <c r="D11692" s="3" t="s">
        <v>221</v>
      </c>
      <c r="E11692" s="3" t="s">
        <v>913</v>
      </c>
      <c r="F11692" s="7">
        <v>45973.760738718585</v>
      </c>
      <c r="G11692" s="3" t="s">
        <v>12252</v>
      </c>
    </row>
    <row r="11693">
      <c r="A11693" s="3" t="s">
        <v>27252</v>
      </c>
      <c r="B11693" s="3" t="s">
        <v>10169</v>
      </c>
      <c r="C11693" s="5" t="s">
        <v>221</v>
      </c>
      <c r="D11693" s="3" t="s">
        <v>614</v>
      </c>
      <c r="E11693" s="3" t="s">
        <v>118</v>
      </c>
      <c r="F11693" s="7">
        <v>45973.764210940804</v>
      </c>
      <c r="G11693" s="3" t="s">
        <v>12255</v>
      </c>
    </row>
    <row r="11694">
      <c r="A11694" s="3" t="s">
        <v>27253</v>
      </c>
      <c r="B11694" s="3" t="s">
        <v>10169</v>
      </c>
      <c r="C11694" s="5" t="s">
        <v>614</v>
      </c>
      <c r="D11694" s="3" t="s">
        <v>206</v>
      </c>
      <c r="E11694" s="3" t="s">
        <v>100</v>
      </c>
      <c r="F11694" s="7">
        <v>45973.76768316303</v>
      </c>
      <c r="G11694" s="3" t="s">
        <v>12259</v>
      </c>
    </row>
    <row r="11695">
      <c r="A11695" s="3" t="s">
        <v>27254</v>
      </c>
      <c r="B11695" s="3" t="s">
        <v>10169</v>
      </c>
      <c r="C11695" s="5" t="s">
        <v>206</v>
      </c>
      <c r="D11695" s="3" t="s">
        <v>68</v>
      </c>
      <c r="E11695" s="3" t="s">
        <v>100</v>
      </c>
      <c r="F11695" s="7">
        <v>45973.77115538525</v>
      </c>
      <c r="G11695" s="3" t="s">
        <v>12262</v>
      </c>
    </row>
    <row r="11696">
      <c r="A11696" s="3" t="s">
        <v>27255</v>
      </c>
      <c r="B11696" s="3" t="s">
        <v>10172</v>
      </c>
      <c r="C11696" s="5" t="s">
        <v>45</v>
      </c>
      <c r="D11696" s="3" t="s">
        <v>221</v>
      </c>
      <c r="E11696" s="3" t="s">
        <v>330</v>
      </c>
      <c r="F11696" s="7">
        <v>45973.831913564</v>
      </c>
      <c r="G11696" s="3" t="s">
        <v>17970</v>
      </c>
    </row>
    <row r="11697">
      <c r="A11697" s="3" t="s">
        <v>27256</v>
      </c>
      <c r="B11697" s="3" t="s">
        <v>10172</v>
      </c>
      <c r="C11697" s="5" t="s">
        <v>221</v>
      </c>
      <c r="D11697" s="3" t="s">
        <v>614</v>
      </c>
      <c r="E11697" s="3" t="s">
        <v>118</v>
      </c>
      <c r="F11697" s="7">
        <v>45973.83538578622</v>
      </c>
      <c r="G11697" s="3" t="s">
        <v>19775</v>
      </c>
    </row>
    <row r="11698">
      <c r="A11698" s="3" t="s">
        <v>27257</v>
      </c>
      <c r="B11698" s="3" t="s">
        <v>10172</v>
      </c>
      <c r="C11698" s="5" t="s">
        <v>614</v>
      </c>
      <c r="D11698" s="3" t="s">
        <v>206</v>
      </c>
      <c r="E11698" s="3" t="s">
        <v>100</v>
      </c>
      <c r="F11698" s="7">
        <v>45973.83885800844</v>
      </c>
      <c r="G11698" s="3" t="s">
        <v>19778</v>
      </c>
    </row>
    <row r="11699">
      <c r="A11699" s="3" t="s">
        <v>27258</v>
      </c>
      <c r="B11699" s="3" t="s">
        <v>10172</v>
      </c>
      <c r="C11699" s="5" t="s">
        <v>206</v>
      </c>
      <c r="D11699" s="3" t="s">
        <v>68</v>
      </c>
      <c r="E11699" s="3" t="s">
        <v>100</v>
      </c>
      <c r="F11699" s="7">
        <v>45973.84233023066</v>
      </c>
      <c r="G11699" s="3" t="s">
        <v>19781</v>
      </c>
    </row>
    <row r="11700">
      <c r="A11700" s="3" t="s">
        <v>27259</v>
      </c>
      <c r="B11700" s="3" t="s">
        <v>10176</v>
      </c>
      <c r="C11700" s="5" t="s">
        <v>45</v>
      </c>
      <c r="D11700" s="3" t="s">
        <v>221</v>
      </c>
      <c r="E11700" s="3" t="s">
        <v>356</v>
      </c>
      <c r="F11700" s="7">
        <v>45973.90308840942</v>
      </c>
      <c r="G11700" s="3" t="s">
        <v>13476</v>
      </c>
    </row>
    <row r="11701">
      <c r="A11701" s="3" t="s">
        <v>27260</v>
      </c>
      <c r="B11701" s="3" t="s">
        <v>10176</v>
      </c>
      <c r="C11701" s="5" t="s">
        <v>221</v>
      </c>
      <c r="D11701" s="3" t="s">
        <v>614</v>
      </c>
      <c r="E11701" s="3" t="s">
        <v>118</v>
      </c>
      <c r="F11701" s="7">
        <v>45973.906560631636</v>
      </c>
      <c r="G11701" s="3" t="s">
        <v>13478</v>
      </c>
    </row>
    <row r="11702">
      <c r="A11702" s="3" t="s">
        <v>27261</v>
      </c>
      <c r="B11702" s="3" t="s">
        <v>10176</v>
      </c>
      <c r="C11702" s="5" t="s">
        <v>614</v>
      </c>
      <c r="D11702" s="3" t="s">
        <v>206</v>
      </c>
      <c r="E11702" s="3" t="s">
        <v>100</v>
      </c>
      <c r="F11702" s="7">
        <v>45973.91003285386</v>
      </c>
      <c r="G11702" s="3" t="s">
        <v>13481</v>
      </c>
    </row>
    <row r="11703">
      <c r="A11703" s="3" t="s">
        <v>27262</v>
      </c>
      <c r="B11703" s="3" t="s">
        <v>10176</v>
      </c>
      <c r="C11703" s="5" t="s">
        <v>206</v>
      </c>
      <c r="D11703" s="3" t="s">
        <v>68</v>
      </c>
      <c r="E11703" s="3" t="s">
        <v>100</v>
      </c>
      <c r="F11703" s="7">
        <v>45973.91350507608</v>
      </c>
      <c r="G11703" s="3" t="s">
        <v>13484</v>
      </c>
    </row>
    <row r="11704">
      <c r="A11704" s="3" t="s">
        <v>27263</v>
      </c>
      <c r="B11704" s="3" t="s">
        <v>10178</v>
      </c>
      <c r="C11704" s="5" t="s">
        <v>45</v>
      </c>
      <c r="D11704" s="3" t="s">
        <v>221</v>
      </c>
      <c r="E11704" s="3" t="s">
        <v>727</v>
      </c>
      <c r="F11704" s="7">
        <v>45973.97426325484</v>
      </c>
      <c r="G11704" s="3" t="s">
        <v>17892</v>
      </c>
    </row>
    <row r="11705">
      <c r="A11705" s="3" t="s">
        <v>27264</v>
      </c>
      <c r="B11705" s="3" t="s">
        <v>10178</v>
      </c>
      <c r="C11705" s="5" t="s">
        <v>221</v>
      </c>
      <c r="D11705" s="3" t="s">
        <v>614</v>
      </c>
      <c r="E11705" s="3" t="s">
        <v>118</v>
      </c>
      <c r="F11705" s="7">
        <v>45973.977735477056</v>
      </c>
      <c r="G11705" s="3" t="s">
        <v>17895</v>
      </c>
    </row>
    <row r="11706">
      <c r="A11706" s="3" t="s">
        <v>27265</v>
      </c>
      <c r="B11706" s="3" t="s">
        <v>10178</v>
      </c>
      <c r="C11706" s="5" t="s">
        <v>614</v>
      </c>
      <c r="D11706" s="3" t="s">
        <v>206</v>
      </c>
      <c r="E11706" s="3" t="s">
        <v>100</v>
      </c>
      <c r="F11706" s="7">
        <v>45973.98120769928</v>
      </c>
      <c r="G11706" s="3" t="s">
        <v>17897</v>
      </c>
    </row>
    <row r="11707">
      <c r="A11707" s="3" t="s">
        <v>27266</v>
      </c>
      <c r="B11707" s="3" t="s">
        <v>10178</v>
      </c>
      <c r="C11707" s="5" t="s">
        <v>206</v>
      </c>
      <c r="D11707" s="3" t="s">
        <v>68</v>
      </c>
      <c r="E11707" s="3" t="s">
        <v>100</v>
      </c>
      <c r="F11707" s="7">
        <v>45973.9846799215</v>
      </c>
      <c r="G11707" s="3" t="s">
        <v>17900</v>
      </c>
    </row>
    <row r="11708">
      <c r="A11708" s="3" t="s">
        <v>27267</v>
      </c>
      <c r="B11708" s="3" t="s">
        <v>10181</v>
      </c>
      <c r="C11708" s="5" t="s">
        <v>45</v>
      </c>
      <c r="D11708" s="3" t="s">
        <v>221</v>
      </c>
      <c r="E11708" s="3" t="s">
        <v>243</v>
      </c>
      <c r="F11708" s="7">
        <v>45974.04543810024</v>
      </c>
      <c r="G11708" s="3" t="s">
        <v>20950</v>
      </c>
    </row>
    <row r="11709">
      <c r="A11709" s="3" t="s">
        <v>27268</v>
      </c>
      <c r="B11709" s="3" t="s">
        <v>10181</v>
      </c>
      <c r="C11709" s="5" t="s">
        <v>221</v>
      </c>
      <c r="D11709" s="3" t="s">
        <v>614</v>
      </c>
      <c r="E11709" s="3" t="s">
        <v>118</v>
      </c>
      <c r="F11709" s="7">
        <v>45974.04891032246</v>
      </c>
      <c r="G11709" s="3" t="s">
        <v>20953</v>
      </c>
    </row>
    <row r="11710">
      <c r="A11710" s="3" t="s">
        <v>27269</v>
      </c>
      <c r="B11710" s="3" t="s">
        <v>10181</v>
      </c>
      <c r="C11710" s="5" t="s">
        <v>614</v>
      </c>
      <c r="D11710" s="3" t="s">
        <v>206</v>
      </c>
      <c r="E11710" s="3" t="s">
        <v>100</v>
      </c>
      <c r="F11710" s="7">
        <v>45974.05238254469</v>
      </c>
      <c r="G11710" s="3" t="s">
        <v>20956</v>
      </c>
    </row>
    <row r="11711">
      <c r="A11711" s="3" t="s">
        <v>27270</v>
      </c>
      <c r="B11711" s="3" t="s">
        <v>10181</v>
      </c>
      <c r="C11711" s="5" t="s">
        <v>206</v>
      </c>
      <c r="D11711" s="3" t="s">
        <v>68</v>
      </c>
      <c r="E11711" s="3" t="s">
        <v>100</v>
      </c>
      <c r="F11711" s="7">
        <v>45974.055854766906</v>
      </c>
      <c r="G11711" s="3" t="s">
        <v>20959</v>
      </c>
    </row>
    <row r="11712">
      <c r="A11712" s="3" t="s">
        <v>27271</v>
      </c>
      <c r="B11712" s="3" t="s">
        <v>10184</v>
      </c>
      <c r="C11712" s="5" t="s">
        <v>45</v>
      </c>
      <c r="D11712" s="3" t="s">
        <v>221</v>
      </c>
      <c r="E11712" s="3" t="s">
        <v>953</v>
      </c>
      <c r="F11712" s="7">
        <v>45974.11661294566</v>
      </c>
      <c r="G11712" s="3" t="s">
        <v>12713</v>
      </c>
    </row>
    <row r="11713">
      <c r="A11713" s="3" t="s">
        <v>27272</v>
      </c>
      <c r="B11713" s="3" t="s">
        <v>10184</v>
      </c>
      <c r="C11713" s="5" t="s">
        <v>221</v>
      </c>
      <c r="D11713" s="3" t="s">
        <v>614</v>
      </c>
      <c r="E11713" s="3" t="s">
        <v>118</v>
      </c>
      <c r="F11713" s="7">
        <v>45974.12008516788</v>
      </c>
      <c r="G11713" s="3" t="s">
        <v>12716</v>
      </c>
    </row>
    <row r="11714">
      <c r="A11714" s="3" t="s">
        <v>27273</v>
      </c>
      <c r="B11714" s="3" t="s">
        <v>10184</v>
      </c>
      <c r="C11714" s="5" t="s">
        <v>614</v>
      </c>
      <c r="D11714" s="3" t="s">
        <v>206</v>
      </c>
      <c r="E11714" s="3" t="s">
        <v>100</v>
      </c>
      <c r="F11714" s="7">
        <v>45974.12355739011</v>
      </c>
      <c r="G11714" s="3" t="s">
        <v>12718</v>
      </c>
    </row>
    <row r="11715">
      <c r="A11715" s="3" t="s">
        <v>27274</v>
      </c>
      <c r="B11715" s="3" t="s">
        <v>10184</v>
      </c>
      <c r="C11715" s="5" t="s">
        <v>206</v>
      </c>
      <c r="D11715" s="3" t="s">
        <v>68</v>
      </c>
      <c r="E11715" s="3" t="s">
        <v>100</v>
      </c>
      <c r="F11715" s="7">
        <v>45974.127029612326</v>
      </c>
      <c r="G11715" s="3" t="s">
        <v>12721</v>
      </c>
    </row>
    <row r="11716">
      <c r="A11716" s="3" t="s">
        <v>27275</v>
      </c>
      <c r="B11716" s="3" t="s">
        <v>10186</v>
      </c>
      <c r="C11716" s="5" t="s">
        <v>45</v>
      </c>
      <c r="D11716" s="3" t="s">
        <v>221</v>
      </c>
      <c r="E11716" s="3" t="s">
        <v>481</v>
      </c>
      <c r="F11716" s="7">
        <v>45974.18778779108</v>
      </c>
      <c r="G11716" s="3" t="s">
        <v>27074</v>
      </c>
    </row>
    <row r="11717">
      <c r="A11717" s="3" t="s">
        <v>27276</v>
      </c>
      <c r="B11717" s="3" t="s">
        <v>10186</v>
      </c>
      <c r="C11717" s="5" t="s">
        <v>221</v>
      </c>
      <c r="D11717" s="3" t="s">
        <v>614</v>
      </c>
      <c r="E11717" s="3" t="s">
        <v>118</v>
      </c>
      <c r="F11717" s="7">
        <v>45974.1912600133</v>
      </c>
      <c r="G11717" s="3" t="s">
        <v>27076</v>
      </c>
    </row>
    <row r="11718">
      <c r="A11718" s="3" t="s">
        <v>27277</v>
      </c>
      <c r="B11718" s="3" t="s">
        <v>10186</v>
      </c>
      <c r="C11718" s="5" t="s">
        <v>614</v>
      </c>
      <c r="D11718" s="3" t="s">
        <v>206</v>
      </c>
      <c r="E11718" s="3" t="s">
        <v>100</v>
      </c>
      <c r="F11718" s="7">
        <v>45974.194732235526</v>
      </c>
      <c r="G11718" s="3" t="s">
        <v>27078</v>
      </c>
    </row>
    <row r="11719">
      <c r="A11719" s="3" t="s">
        <v>27278</v>
      </c>
      <c r="B11719" s="3" t="s">
        <v>10186</v>
      </c>
      <c r="C11719" s="5" t="s">
        <v>206</v>
      </c>
      <c r="D11719" s="3" t="s">
        <v>68</v>
      </c>
      <c r="E11719" s="3" t="s">
        <v>100</v>
      </c>
      <c r="F11719" s="7">
        <v>45974.198204457745</v>
      </c>
      <c r="G11719" s="3" t="s">
        <v>27080</v>
      </c>
    </row>
    <row r="11720">
      <c r="A11720" s="3" t="s">
        <v>27279</v>
      </c>
      <c r="B11720" s="3" t="s">
        <v>10188</v>
      </c>
      <c r="C11720" s="5" t="s">
        <v>45</v>
      </c>
      <c r="D11720" s="3" t="s">
        <v>221</v>
      </c>
      <c r="E11720" s="3" t="s">
        <v>672</v>
      </c>
      <c r="F11720" s="7">
        <v>45974.25896263649</v>
      </c>
      <c r="G11720" s="3" t="s">
        <v>14875</v>
      </c>
    </row>
    <row r="11721">
      <c r="A11721" s="3" t="s">
        <v>27280</v>
      </c>
      <c r="B11721" s="3" t="s">
        <v>10188</v>
      </c>
      <c r="C11721" s="5" t="s">
        <v>221</v>
      </c>
      <c r="D11721" s="3" t="s">
        <v>181</v>
      </c>
      <c r="E11721" s="3" t="s">
        <v>118</v>
      </c>
      <c r="F11721" s="7">
        <v>45974.26243485871</v>
      </c>
      <c r="G11721" s="3" t="s">
        <v>27281</v>
      </c>
    </row>
    <row r="11722">
      <c r="A11722" s="3" t="s">
        <v>27282</v>
      </c>
      <c r="B11722" s="3" t="s">
        <v>10191</v>
      </c>
      <c r="C11722" s="5" t="s">
        <v>45</v>
      </c>
      <c r="D11722" s="3" t="s">
        <v>221</v>
      </c>
      <c r="E11722" s="3" t="s">
        <v>266</v>
      </c>
      <c r="F11722" s="7">
        <v>45974.330137481906</v>
      </c>
      <c r="G11722" s="3" t="s">
        <v>13487</v>
      </c>
    </row>
    <row r="11723">
      <c r="A11723" s="3" t="s">
        <v>27283</v>
      </c>
      <c r="B11723" s="3" t="s">
        <v>10191</v>
      </c>
      <c r="C11723" s="5" t="s">
        <v>221</v>
      </c>
      <c r="D11723" s="3" t="s">
        <v>614</v>
      </c>
      <c r="E11723" s="3" t="s">
        <v>118</v>
      </c>
      <c r="F11723" s="7">
        <v>45974.333609704125</v>
      </c>
      <c r="G11723" s="3" t="s">
        <v>13490</v>
      </c>
    </row>
    <row r="11724">
      <c r="A11724" s="3" t="s">
        <v>27284</v>
      </c>
      <c r="B11724" s="3" t="s">
        <v>10191</v>
      </c>
      <c r="C11724" s="5" t="s">
        <v>614</v>
      </c>
      <c r="D11724" s="3" t="s">
        <v>206</v>
      </c>
      <c r="E11724" s="3" t="s">
        <v>100</v>
      </c>
      <c r="F11724" s="7">
        <v>45974.33708192635</v>
      </c>
      <c r="G11724" s="3" t="s">
        <v>13493</v>
      </c>
    </row>
    <row r="11725">
      <c r="A11725" s="3" t="s">
        <v>27285</v>
      </c>
      <c r="B11725" s="3" t="s">
        <v>10191</v>
      </c>
      <c r="C11725" s="5" t="s">
        <v>206</v>
      </c>
      <c r="D11725" s="3" t="s">
        <v>68</v>
      </c>
      <c r="E11725" s="3" t="s">
        <v>100</v>
      </c>
      <c r="F11725" s="7">
        <v>45974.34055414857</v>
      </c>
      <c r="G11725" s="3" t="s">
        <v>13495</v>
      </c>
    </row>
    <row r="11726">
      <c r="A11726" s="3" t="s">
        <v>27286</v>
      </c>
      <c r="B11726" s="3" t="s">
        <v>10193</v>
      </c>
      <c r="C11726" s="5" t="s">
        <v>45</v>
      </c>
      <c r="D11726" s="3" t="s">
        <v>221</v>
      </c>
      <c r="E11726" s="3" t="s">
        <v>957</v>
      </c>
      <c r="F11726" s="7">
        <v>45974.401312327325</v>
      </c>
      <c r="G11726" s="3" t="s">
        <v>27287</v>
      </c>
    </row>
    <row r="11727">
      <c r="A11727" s="3" t="s">
        <v>27288</v>
      </c>
      <c r="B11727" s="3" t="s">
        <v>10193</v>
      </c>
      <c r="C11727" s="5" t="s">
        <v>221</v>
      </c>
      <c r="D11727" s="3" t="s">
        <v>614</v>
      </c>
      <c r="E11727" s="3" t="s">
        <v>118</v>
      </c>
      <c r="F11727" s="7">
        <v>45974.404784549544</v>
      </c>
      <c r="G11727" s="3" t="s">
        <v>27289</v>
      </c>
    </row>
    <row r="11728">
      <c r="A11728" s="3" t="s">
        <v>27290</v>
      </c>
      <c r="B11728" s="3" t="s">
        <v>10193</v>
      </c>
      <c r="C11728" s="5" t="s">
        <v>614</v>
      </c>
      <c r="D11728" s="3" t="s">
        <v>206</v>
      </c>
      <c r="E11728" s="3" t="s">
        <v>100</v>
      </c>
      <c r="F11728" s="7">
        <v>45974.40825677177</v>
      </c>
      <c r="G11728" s="3" t="s">
        <v>27291</v>
      </c>
    </row>
    <row r="11729">
      <c r="A11729" s="3" t="s">
        <v>27292</v>
      </c>
      <c r="B11729" s="3" t="s">
        <v>10193</v>
      </c>
      <c r="C11729" s="5" t="s">
        <v>206</v>
      </c>
      <c r="D11729" s="3" t="s">
        <v>68</v>
      </c>
      <c r="E11729" s="3" t="s">
        <v>100</v>
      </c>
      <c r="F11729" s="7">
        <v>45974.41172899399</v>
      </c>
      <c r="G11729" s="3" t="s">
        <v>27293</v>
      </c>
    </row>
    <row r="11730">
      <c r="A11730" s="3" t="s">
        <v>27294</v>
      </c>
      <c r="B11730" s="3" t="s">
        <v>10195</v>
      </c>
      <c r="C11730" s="5" t="s">
        <v>45</v>
      </c>
      <c r="D11730" s="3" t="s">
        <v>221</v>
      </c>
      <c r="E11730" s="3" t="s">
        <v>204</v>
      </c>
      <c r="F11730" s="7">
        <v>45974.47248717274</v>
      </c>
      <c r="G11730" s="3" t="s">
        <v>14909</v>
      </c>
    </row>
    <row r="11731">
      <c r="A11731" s="3" t="s">
        <v>27295</v>
      </c>
      <c r="B11731" s="3" t="s">
        <v>10195</v>
      </c>
      <c r="C11731" s="5" t="s">
        <v>221</v>
      </c>
      <c r="D11731" s="3" t="s">
        <v>614</v>
      </c>
      <c r="E11731" s="3" t="s">
        <v>118</v>
      </c>
      <c r="F11731" s="7">
        <v>45974.47595939496</v>
      </c>
      <c r="G11731" s="3" t="s">
        <v>14912</v>
      </c>
    </row>
    <row r="11732">
      <c r="A11732" s="3" t="s">
        <v>27296</v>
      </c>
      <c r="B11732" s="3" t="s">
        <v>10195</v>
      </c>
      <c r="C11732" s="5" t="s">
        <v>614</v>
      </c>
      <c r="D11732" s="3" t="s">
        <v>206</v>
      </c>
      <c r="E11732" s="3" t="s">
        <v>100</v>
      </c>
      <c r="F11732" s="7">
        <v>45974.47943161718</v>
      </c>
      <c r="G11732" s="3" t="s">
        <v>14914</v>
      </c>
    </row>
    <row r="11733">
      <c r="A11733" s="3" t="s">
        <v>27297</v>
      </c>
      <c r="B11733" s="3" t="s">
        <v>10195</v>
      </c>
      <c r="C11733" s="5" t="s">
        <v>206</v>
      </c>
      <c r="D11733" s="3" t="s">
        <v>68</v>
      </c>
      <c r="E11733" s="3" t="s">
        <v>100</v>
      </c>
      <c r="F11733" s="7">
        <v>45974.4829038394</v>
      </c>
      <c r="G11733" s="3" t="s">
        <v>14917</v>
      </c>
    </row>
    <row r="11734">
      <c r="A11734" s="3" t="s">
        <v>27298</v>
      </c>
      <c r="B11734" s="3" t="s">
        <v>10198</v>
      </c>
      <c r="C11734" s="5" t="s">
        <v>45</v>
      </c>
      <c r="D11734" s="3" t="s">
        <v>221</v>
      </c>
      <c r="E11734" s="3" t="s">
        <v>488</v>
      </c>
      <c r="F11734" s="7">
        <v>45974.54366201815</v>
      </c>
      <c r="G11734" s="3" t="s">
        <v>27299</v>
      </c>
    </row>
    <row r="11735">
      <c r="A11735" s="3" t="s">
        <v>27300</v>
      </c>
      <c r="B11735" s="3" t="s">
        <v>10198</v>
      </c>
      <c r="C11735" s="5" t="s">
        <v>221</v>
      </c>
      <c r="D11735" s="3" t="s">
        <v>614</v>
      </c>
      <c r="E11735" s="3" t="s">
        <v>118</v>
      </c>
      <c r="F11735" s="7">
        <v>45974.54713424037</v>
      </c>
      <c r="G11735" s="3" t="s">
        <v>27301</v>
      </c>
    </row>
    <row r="11736">
      <c r="A11736" s="3" t="s">
        <v>27302</v>
      </c>
      <c r="B11736" s="3" t="s">
        <v>10198</v>
      </c>
      <c r="C11736" s="5" t="s">
        <v>614</v>
      </c>
      <c r="D11736" s="3" t="s">
        <v>206</v>
      </c>
      <c r="E11736" s="3" t="s">
        <v>100</v>
      </c>
      <c r="F11736" s="7">
        <v>45974.550606462595</v>
      </c>
      <c r="G11736" s="3" t="s">
        <v>27303</v>
      </c>
    </row>
    <row r="11737">
      <c r="A11737" s="3" t="s">
        <v>27304</v>
      </c>
      <c r="B11737" s="3" t="s">
        <v>10198</v>
      </c>
      <c r="C11737" s="5" t="s">
        <v>206</v>
      </c>
      <c r="D11737" s="3" t="s">
        <v>68</v>
      </c>
      <c r="E11737" s="3" t="s">
        <v>100</v>
      </c>
      <c r="F11737" s="7">
        <v>45974.554078684814</v>
      </c>
      <c r="G11737" s="3" t="s">
        <v>27305</v>
      </c>
    </row>
    <row r="11738">
      <c r="A11738" s="3" t="s">
        <v>27306</v>
      </c>
      <c r="B11738" s="3" t="s">
        <v>10201</v>
      </c>
      <c r="C11738" s="5" t="s">
        <v>45</v>
      </c>
      <c r="D11738" s="3" t="s">
        <v>221</v>
      </c>
      <c r="E11738" s="3" t="s">
        <v>123</v>
      </c>
      <c r="F11738" s="7">
        <v>45974.61483686357</v>
      </c>
      <c r="G11738" s="3" t="s">
        <v>8229</v>
      </c>
    </row>
    <row r="11739">
      <c r="A11739" s="3" t="s">
        <v>27307</v>
      </c>
      <c r="B11739" s="3" t="s">
        <v>10201</v>
      </c>
      <c r="C11739" s="5" t="s">
        <v>221</v>
      </c>
      <c r="D11739" s="3" t="s">
        <v>614</v>
      </c>
      <c r="E11739" s="3" t="s">
        <v>118</v>
      </c>
      <c r="F11739" s="7">
        <v>45974.61830908579</v>
      </c>
      <c r="G11739" s="3" t="s">
        <v>8231</v>
      </c>
    </row>
    <row r="11740">
      <c r="A11740" s="3" t="s">
        <v>27308</v>
      </c>
      <c r="B11740" s="3" t="s">
        <v>10201</v>
      </c>
      <c r="C11740" s="5" t="s">
        <v>614</v>
      </c>
      <c r="D11740" s="3" t="s">
        <v>206</v>
      </c>
      <c r="E11740" s="3" t="s">
        <v>100</v>
      </c>
      <c r="F11740" s="7">
        <v>45974.621781308015</v>
      </c>
      <c r="G11740" s="3" t="s">
        <v>8234</v>
      </c>
    </row>
    <row r="11741">
      <c r="A11741" s="3" t="s">
        <v>27309</v>
      </c>
      <c r="B11741" s="3" t="s">
        <v>10201</v>
      </c>
      <c r="C11741" s="5" t="s">
        <v>206</v>
      </c>
      <c r="D11741" s="3" t="s">
        <v>68</v>
      </c>
      <c r="E11741" s="3" t="s">
        <v>100</v>
      </c>
      <c r="F11741" s="7">
        <v>45974.625253530234</v>
      </c>
      <c r="G11741" s="3" t="s">
        <v>8237</v>
      </c>
    </row>
    <row r="11742">
      <c r="A11742" s="3" t="s">
        <v>27310</v>
      </c>
      <c r="B11742" s="3" t="s">
        <v>10202</v>
      </c>
      <c r="C11742" s="5" t="s">
        <v>45</v>
      </c>
      <c r="D11742" s="3" t="s">
        <v>221</v>
      </c>
      <c r="E11742" s="3" t="s">
        <v>694</v>
      </c>
      <c r="F11742" s="7">
        <v>45974.68601170898</v>
      </c>
      <c r="G11742" s="3" t="s">
        <v>7413</v>
      </c>
    </row>
    <row r="11743">
      <c r="A11743" s="3" t="s">
        <v>27311</v>
      </c>
      <c r="B11743" s="3" t="s">
        <v>10202</v>
      </c>
      <c r="C11743" s="5" t="s">
        <v>221</v>
      </c>
      <c r="D11743" s="3" t="s">
        <v>614</v>
      </c>
      <c r="E11743" s="3" t="s">
        <v>118</v>
      </c>
      <c r="F11743" s="7">
        <v>45974.6894839312</v>
      </c>
      <c r="G11743" s="3" t="s">
        <v>7416</v>
      </c>
    </row>
    <row r="11744">
      <c r="A11744" s="3" t="s">
        <v>27312</v>
      </c>
      <c r="B11744" s="3" t="s">
        <v>10202</v>
      </c>
      <c r="C11744" s="5" t="s">
        <v>614</v>
      </c>
      <c r="D11744" s="3" t="s">
        <v>206</v>
      </c>
      <c r="E11744" s="3" t="s">
        <v>100</v>
      </c>
      <c r="F11744" s="7">
        <v>45974.69295615343</v>
      </c>
      <c r="G11744" s="3" t="s">
        <v>7418</v>
      </c>
    </row>
    <row r="11745">
      <c r="A11745" s="3" t="s">
        <v>27313</v>
      </c>
      <c r="B11745" s="3" t="s">
        <v>10202</v>
      </c>
      <c r="C11745" s="5" t="s">
        <v>206</v>
      </c>
      <c r="D11745" s="3" t="s">
        <v>68</v>
      </c>
      <c r="E11745" s="3" t="s">
        <v>100</v>
      </c>
      <c r="F11745" s="7">
        <v>45974.696428375646</v>
      </c>
      <c r="G11745" s="3" t="s">
        <v>7421</v>
      </c>
    </row>
    <row r="11746">
      <c r="A11746" s="3" t="s">
        <v>27314</v>
      </c>
      <c r="B11746" s="3" t="s">
        <v>10205</v>
      </c>
      <c r="C11746" s="5" t="s">
        <v>45</v>
      </c>
      <c r="D11746" s="3" t="s">
        <v>221</v>
      </c>
      <c r="E11746" s="3" t="s">
        <v>631</v>
      </c>
      <c r="F11746" s="7">
        <v>45974.757186554394</v>
      </c>
      <c r="G11746" s="3" t="s">
        <v>4574</v>
      </c>
    </row>
    <row r="11747">
      <c r="A11747" s="3" t="s">
        <v>27315</v>
      </c>
      <c r="B11747" s="3" t="s">
        <v>10205</v>
      </c>
      <c r="C11747" s="5" t="s">
        <v>221</v>
      </c>
      <c r="D11747" s="3" t="s">
        <v>614</v>
      </c>
      <c r="E11747" s="3" t="s">
        <v>118</v>
      </c>
      <c r="F11747" s="7">
        <v>45974.76065877661</v>
      </c>
      <c r="G11747" s="3" t="s">
        <v>4576</v>
      </c>
    </row>
    <row r="11748">
      <c r="A11748" s="3" t="s">
        <v>27316</v>
      </c>
      <c r="B11748" s="3" t="s">
        <v>10205</v>
      </c>
      <c r="C11748" s="5" t="s">
        <v>614</v>
      </c>
      <c r="D11748" s="3" t="s">
        <v>206</v>
      </c>
      <c r="E11748" s="3" t="s">
        <v>100</v>
      </c>
      <c r="F11748" s="7">
        <v>45974.76413099884</v>
      </c>
      <c r="G11748" s="3" t="s">
        <v>4579</v>
      </c>
    </row>
    <row r="11749">
      <c r="A11749" s="3" t="s">
        <v>27317</v>
      </c>
      <c r="B11749" s="3" t="s">
        <v>10205</v>
      </c>
      <c r="C11749" s="5" t="s">
        <v>206</v>
      </c>
      <c r="D11749" s="3" t="s">
        <v>68</v>
      </c>
      <c r="E11749" s="3" t="s">
        <v>100</v>
      </c>
      <c r="F11749" s="7">
        <v>45974.76760322106</v>
      </c>
      <c r="G11749" s="3" t="s">
        <v>4582</v>
      </c>
    </row>
    <row r="11750">
      <c r="A11750" s="3" t="s">
        <v>27318</v>
      </c>
      <c r="B11750" s="3" t="s">
        <v>10207</v>
      </c>
      <c r="C11750" s="5" t="s">
        <v>45</v>
      </c>
      <c r="D11750" s="3" t="s">
        <v>221</v>
      </c>
      <c r="E11750" s="3" t="s">
        <v>330</v>
      </c>
      <c r="F11750" s="7">
        <v>45974.828361399814</v>
      </c>
      <c r="G11750" s="3" t="s">
        <v>22189</v>
      </c>
    </row>
    <row r="11751">
      <c r="A11751" s="3" t="s">
        <v>27319</v>
      </c>
      <c r="B11751" s="3" t="s">
        <v>10207</v>
      </c>
      <c r="C11751" s="5" t="s">
        <v>221</v>
      </c>
      <c r="D11751" s="3" t="s">
        <v>614</v>
      </c>
      <c r="E11751" s="3" t="s">
        <v>118</v>
      </c>
      <c r="F11751" s="7">
        <v>45974.83183362203</v>
      </c>
      <c r="G11751" s="3" t="s">
        <v>22192</v>
      </c>
    </row>
    <row r="11752">
      <c r="A11752" s="3" t="s">
        <v>27320</v>
      </c>
      <c r="B11752" s="3" t="s">
        <v>10207</v>
      </c>
      <c r="C11752" s="5" t="s">
        <v>614</v>
      </c>
      <c r="D11752" s="3" t="s">
        <v>206</v>
      </c>
      <c r="E11752" s="3" t="s">
        <v>100</v>
      </c>
      <c r="F11752" s="7">
        <v>45974.83530584426</v>
      </c>
      <c r="G11752" s="3" t="s">
        <v>22195</v>
      </c>
    </row>
    <row r="11753">
      <c r="A11753" s="3" t="s">
        <v>27321</v>
      </c>
      <c r="B11753" s="3" t="s">
        <v>10207</v>
      </c>
      <c r="C11753" s="5" t="s">
        <v>206</v>
      </c>
      <c r="D11753" s="3" t="s">
        <v>68</v>
      </c>
      <c r="E11753" s="3" t="s">
        <v>100</v>
      </c>
      <c r="F11753" s="7">
        <v>45974.83877806648</v>
      </c>
      <c r="G11753" s="3" t="s">
        <v>22198</v>
      </c>
    </row>
    <row r="11754">
      <c r="A11754" s="3" t="s">
        <v>27322</v>
      </c>
      <c r="B11754" s="3" t="s">
        <v>10210</v>
      </c>
      <c r="C11754" s="5" t="s">
        <v>45</v>
      </c>
      <c r="D11754" s="3" t="s">
        <v>221</v>
      </c>
      <c r="E11754" s="3" t="s">
        <v>934</v>
      </c>
      <c r="F11754" s="7">
        <v>45974.899536245226</v>
      </c>
      <c r="G11754" s="3" t="s">
        <v>13498</v>
      </c>
    </row>
    <row r="11755">
      <c r="A11755" s="3" t="s">
        <v>27323</v>
      </c>
      <c r="B11755" s="3" t="s">
        <v>10210</v>
      </c>
      <c r="C11755" s="5" t="s">
        <v>221</v>
      </c>
      <c r="D11755" s="3" t="s">
        <v>614</v>
      </c>
      <c r="E11755" s="3" t="s">
        <v>118</v>
      </c>
      <c r="F11755" s="7">
        <v>45974.903008467445</v>
      </c>
      <c r="G11755" s="3" t="s">
        <v>13501</v>
      </c>
    </row>
    <row r="11756">
      <c r="A11756" s="3" t="s">
        <v>27324</v>
      </c>
      <c r="B11756" s="3" t="s">
        <v>10210</v>
      </c>
      <c r="C11756" s="5" t="s">
        <v>614</v>
      </c>
      <c r="D11756" s="3" t="s">
        <v>206</v>
      </c>
      <c r="E11756" s="3" t="s">
        <v>100</v>
      </c>
      <c r="F11756" s="7">
        <v>45974.90648068967</v>
      </c>
      <c r="G11756" s="3" t="s">
        <v>13504</v>
      </c>
    </row>
    <row r="11757">
      <c r="A11757" s="3" t="s">
        <v>27325</v>
      </c>
      <c r="B11757" s="3" t="s">
        <v>10210</v>
      </c>
      <c r="C11757" s="5" t="s">
        <v>206</v>
      </c>
      <c r="D11757" s="3" t="s">
        <v>68</v>
      </c>
      <c r="E11757" s="3" t="s">
        <v>100</v>
      </c>
      <c r="F11757" s="7">
        <v>45974.90995291189</v>
      </c>
      <c r="G11757" s="3" t="s">
        <v>13507</v>
      </c>
    </row>
    <row r="11758">
      <c r="A11758" s="3" t="s">
        <v>27326</v>
      </c>
      <c r="B11758" s="3" t="s">
        <v>10214</v>
      </c>
      <c r="C11758" s="5" t="s">
        <v>45</v>
      </c>
      <c r="D11758" s="3" t="s">
        <v>221</v>
      </c>
      <c r="E11758" s="3" t="s">
        <v>466</v>
      </c>
      <c r="F11758" s="7">
        <v>45974.970711090646</v>
      </c>
      <c r="G11758" s="3" t="s">
        <v>6498</v>
      </c>
    </row>
    <row r="11759">
      <c r="A11759" s="3" t="s">
        <v>27327</v>
      </c>
      <c r="B11759" s="3" t="s">
        <v>10214</v>
      </c>
      <c r="C11759" s="5" t="s">
        <v>221</v>
      </c>
      <c r="D11759" s="3" t="s">
        <v>614</v>
      </c>
      <c r="E11759" s="3" t="s">
        <v>118</v>
      </c>
      <c r="F11759" s="7">
        <v>45974.974183312865</v>
      </c>
      <c r="G11759" s="3" t="s">
        <v>6501</v>
      </c>
    </row>
    <row r="11760">
      <c r="A11760" s="3" t="s">
        <v>27328</v>
      </c>
      <c r="B11760" s="3" t="s">
        <v>10214</v>
      </c>
      <c r="C11760" s="5" t="s">
        <v>614</v>
      </c>
      <c r="D11760" s="3" t="s">
        <v>206</v>
      </c>
      <c r="E11760" s="3" t="s">
        <v>100</v>
      </c>
      <c r="F11760" s="7">
        <v>45974.97765553509</v>
      </c>
      <c r="G11760" s="3" t="s">
        <v>6504</v>
      </c>
    </row>
    <row r="11761">
      <c r="A11761" s="3" t="s">
        <v>27329</v>
      </c>
      <c r="B11761" s="3" t="s">
        <v>10214</v>
      </c>
      <c r="C11761" s="5" t="s">
        <v>206</v>
      </c>
      <c r="D11761" s="3" t="s">
        <v>68</v>
      </c>
      <c r="E11761" s="3" t="s">
        <v>100</v>
      </c>
      <c r="F11761" s="7">
        <v>45974.98112775731</v>
      </c>
      <c r="G11761" s="3" t="s">
        <v>6507</v>
      </c>
    </row>
    <row r="11762">
      <c r="A11762" s="3" t="s">
        <v>27330</v>
      </c>
      <c r="B11762" s="3" t="s">
        <v>10218</v>
      </c>
      <c r="C11762" s="5" t="s">
        <v>45</v>
      </c>
      <c r="D11762" s="3" t="s">
        <v>221</v>
      </c>
      <c r="E11762" s="3" t="s">
        <v>523</v>
      </c>
      <c r="F11762" s="7">
        <v>45975.04188593606</v>
      </c>
      <c r="G11762" s="3" t="s">
        <v>25016</v>
      </c>
    </row>
    <row r="11763">
      <c r="A11763" s="3" t="s">
        <v>27331</v>
      </c>
      <c r="B11763" s="3" t="s">
        <v>10218</v>
      </c>
      <c r="C11763" s="5" t="s">
        <v>221</v>
      </c>
      <c r="D11763" s="3" t="s">
        <v>181</v>
      </c>
      <c r="E11763" s="3" t="s">
        <v>118</v>
      </c>
      <c r="F11763" s="7">
        <v>45975.04535815828</v>
      </c>
      <c r="G11763" s="3" t="s">
        <v>25018</v>
      </c>
    </row>
    <row r="11764">
      <c r="A11764" s="3" t="s">
        <v>27332</v>
      </c>
      <c r="B11764" s="3" t="s">
        <v>10221</v>
      </c>
      <c r="C11764" s="5" t="s">
        <v>45</v>
      </c>
      <c r="D11764" s="3" t="s">
        <v>221</v>
      </c>
      <c r="E11764" s="3" t="s">
        <v>541</v>
      </c>
      <c r="F11764" s="7">
        <v>45975.11306078148</v>
      </c>
      <c r="G11764" s="3" t="s">
        <v>13538</v>
      </c>
    </row>
    <row r="11765">
      <c r="A11765" s="3" t="s">
        <v>27333</v>
      </c>
      <c r="B11765" s="3" t="s">
        <v>10221</v>
      </c>
      <c r="C11765" s="5" t="s">
        <v>221</v>
      </c>
      <c r="D11765" s="3" t="s">
        <v>614</v>
      </c>
      <c r="E11765" s="3" t="s">
        <v>118</v>
      </c>
      <c r="F11765" s="7">
        <v>45975.1165330037</v>
      </c>
      <c r="G11765" s="3" t="s">
        <v>13541</v>
      </c>
    </row>
    <row r="11766">
      <c r="A11766" s="3" t="s">
        <v>27334</v>
      </c>
      <c r="B11766" s="3" t="s">
        <v>10221</v>
      </c>
      <c r="C11766" s="5" t="s">
        <v>614</v>
      </c>
      <c r="D11766" s="3" t="s">
        <v>206</v>
      </c>
      <c r="E11766" s="3" t="s">
        <v>100</v>
      </c>
      <c r="F11766" s="7">
        <v>45975.12000522592</v>
      </c>
      <c r="G11766" s="3" t="s">
        <v>13544</v>
      </c>
    </row>
    <row r="11767">
      <c r="A11767" s="3" t="s">
        <v>27335</v>
      </c>
      <c r="B11767" s="3" t="s">
        <v>10221</v>
      </c>
      <c r="C11767" s="5" t="s">
        <v>206</v>
      </c>
      <c r="D11767" s="3" t="s">
        <v>68</v>
      </c>
      <c r="E11767" s="3" t="s">
        <v>100</v>
      </c>
      <c r="F11767" s="7">
        <v>45975.12347744814</v>
      </c>
      <c r="G11767" s="3" t="s">
        <v>13547</v>
      </c>
    </row>
    <row r="11768">
      <c r="A11768" s="3" t="s">
        <v>27336</v>
      </c>
      <c r="B11768" s="3" t="s">
        <v>10224</v>
      </c>
      <c r="C11768" s="5" t="s">
        <v>45</v>
      </c>
      <c r="D11768" s="3" t="s">
        <v>221</v>
      </c>
      <c r="E11768" s="3" t="s">
        <v>1011</v>
      </c>
      <c r="F11768" s="7">
        <v>45975.18423562688</v>
      </c>
      <c r="G11768" s="3" t="s">
        <v>13554</v>
      </c>
    </row>
    <row r="11769">
      <c r="A11769" s="3" t="s">
        <v>27337</v>
      </c>
      <c r="B11769" s="3" t="s">
        <v>10224</v>
      </c>
      <c r="C11769" s="5" t="s">
        <v>221</v>
      </c>
      <c r="D11769" s="3" t="s">
        <v>614</v>
      </c>
      <c r="E11769" s="3" t="s">
        <v>118</v>
      </c>
      <c r="F11769" s="7">
        <v>45975.1877078491</v>
      </c>
      <c r="G11769" s="3" t="s">
        <v>13557</v>
      </c>
    </row>
    <row r="11770">
      <c r="A11770" s="3" t="s">
        <v>27338</v>
      </c>
      <c r="B11770" s="3" t="s">
        <v>10224</v>
      </c>
      <c r="C11770" s="5" t="s">
        <v>614</v>
      </c>
      <c r="D11770" s="3" t="s">
        <v>206</v>
      </c>
      <c r="E11770" s="3" t="s">
        <v>100</v>
      </c>
      <c r="F11770" s="7">
        <v>45975.19118007133</v>
      </c>
      <c r="G11770" s="3" t="s">
        <v>13560</v>
      </c>
    </row>
    <row r="11771">
      <c r="A11771" s="3" t="s">
        <v>27339</v>
      </c>
      <c r="B11771" s="3" t="s">
        <v>10224</v>
      </c>
      <c r="C11771" s="5" t="s">
        <v>206</v>
      </c>
      <c r="D11771" s="3" t="s">
        <v>68</v>
      </c>
      <c r="E11771" s="3" t="s">
        <v>100</v>
      </c>
      <c r="F11771" s="7">
        <v>45975.19465229355</v>
      </c>
      <c r="G11771" s="3" t="s">
        <v>13563</v>
      </c>
    </row>
    <row r="11772">
      <c r="A11772" s="3" t="s">
        <v>27340</v>
      </c>
      <c r="B11772" s="3" t="s">
        <v>10227</v>
      </c>
      <c r="C11772" s="5" t="s">
        <v>45</v>
      </c>
      <c r="D11772" s="3" t="s">
        <v>221</v>
      </c>
      <c r="E11772" s="3" t="s">
        <v>883</v>
      </c>
      <c r="F11772" s="7">
        <v>45975.2554104723</v>
      </c>
      <c r="G11772" s="3" t="s">
        <v>13510</v>
      </c>
    </row>
    <row r="11773">
      <c r="A11773" s="3" t="s">
        <v>27341</v>
      </c>
      <c r="B11773" s="3" t="s">
        <v>10227</v>
      </c>
      <c r="C11773" s="5" t="s">
        <v>221</v>
      </c>
      <c r="D11773" s="3" t="s">
        <v>614</v>
      </c>
      <c r="E11773" s="3" t="s">
        <v>118</v>
      </c>
      <c r="F11773" s="7">
        <v>45975.25888269452</v>
      </c>
      <c r="G11773" s="3" t="s">
        <v>13512</v>
      </c>
    </row>
    <row r="11774">
      <c r="A11774" s="3" t="s">
        <v>27342</v>
      </c>
      <c r="B11774" s="3" t="s">
        <v>10227</v>
      </c>
      <c r="C11774" s="5" t="s">
        <v>614</v>
      </c>
      <c r="D11774" s="3" t="s">
        <v>206</v>
      </c>
      <c r="E11774" s="3" t="s">
        <v>100</v>
      </c>
      <c r="F11774" s="7">
        <v>45975.26235491675</v>
      </c>
      <c r="G11774" s="3" t="s">
        <v>13515</v>
      </c>
    </row>
    <row r="11775">
      <c r="A11775" s="3" t="s">
        <v>27343</v>
      </c>
      <c r="B11775" s="3" t="s">
        <v>10227</v>
      </c>
      <c r="C11775" s="5" t="s">
        <v>206</v>
      </c>
      <c r="D11775" s="3" t="s">
        <v>68</v>
      </c>
      <c r="E11775" s="3" t="s">
        <v>100</v>
      </c>
      <c r="F11775" s="7">
        <v>45975.26582713897</v>
      </c>
      <c r="G11775" s="3" t="s">
        <v>13517</v>
      </c>
    </row>
    <row r="11776">
      <c r="A11776" s="3" t="s">
        <v>27344</v>
      </c>
      <c r="B11776" s="3" t="s">
        <v>10230</v>
      </c>
      <c r="C11776" s="5" t="s">
        <v>45</v>
      </c>
      <c r="D11776" s="3" t="s">
        <v>221</v>
      </c>
      <c r="E11776" s="3" t="s">
        <v>430</v>
      </c>
      <c r="F11776" s="7">
        <v>45975.32658531772</v>
      </c>
      <c r="G11776" s="3" t="s">
        <v>22176</v>
      </c>
    </row>
    <row r="11777">
      <c r="A11777" s="3" t="s">
        <v>27345</v>
      </c>
      <c r="B11777" s="3" t="s">
        <v>10230</v>
      </c>
      <c r="C11777" s="5" t="s">
        <v>221</v>
      </c>
      <c r="D11777" s="3" t="s">
        <v>614</v>
      </c>
      <c r="E11777" s="3" t="s">
        <v>118</v>
      </c>
      <c r="F11777" s="7">
        <v>45975.33005753994</v>
      </c>
      <c r="G11777" s="3" t="s">
        <v>26201</v>
      </c>
    </row>
    <row r="11778">
      <c r="A11778" s="3" t="s">
        <v>27346</v>
      </c>
      <c r="B11778" s="3" t="s">
        <v>10230</v>
      </c>
      <c r="C11778" s="5" t="s">
        <v>614</v>
      </c>
      <c r="D11778" s="3" t="s">
        <v>206</v>
      </c>
      <c r="E11778" s="3" t="s">
        <v>100</v>
      </c>
      <c r="F11778" s="7">
        <v>45975.33352976217</v>
      </c>
      <c r="G11778" s="3" t="s">
        <v>26203</v>
      </c>
    </row>
    <row r="11779">
      <c r="A11779" s="3" t="s">
        <v>27347</v>
      </c>
      <c r="B11779" s="3" t="s">
        <v>10230</v>
      </c>
      <c r="C11779" s="5" t="s">
        <v>206</v>
      </c>
      <c r="D11779" s="3" t="s">
        <v>68</v>
      </c>
      <c r="E11779" s="3" t="s">
        <v>100</v>
      </c>
      <c r="F11779" s="7">
        <v>45975.337001984386</v>
      </c>
      <c r="G11779" s="3" t="s">
        <v>26205</v>
      </c>
    </row>
    <row r="11780">
      <c r="A11780" s="3" t="s">
        <v>27348</v>
      </c>
      <c r="B11780" s="3" t="s">
        <v>10232</v>
      </c>
      <c r="C11780" s="5" t="s">
        <v>45</v>
      </c>
      <c r="D11780" s="3" t="s">
        <v>221</v>
      </c>
      <c r="E11780" s="3" t="s">
        <v>276</v>
      </c>
      <c r="F11780" s="7">
        <v>45975.397760163134</v>
      </c>
      <c r="G11780" s="3" t="s">
        <v>3731</v>
      </c>
    </row>
    <row r="11781">
      <c r="A11781" s="3" t="s">
        <v>27349</v>
      </c>
      <c r="B11781" s="3" t="s">
        <v>10232</v>
      </c>
      <c r="C11781" s="5" t="s">
        <v>221</v>
      </c>
      <c r="D11781" s="3" t="s">
        <v>614</v>
      </c>
      <c r="E11781" s="3" t="s">
        <v>118</v>
      </c>
      <c r="F11781" s="7">
        <v>45975.40123238535</v>
      </c>
      <c r="G11781" s="3" t="s">
        <v>24218</v>
      </c>
    </row>
    <row r="11782">
      <c r="A11782" s="3" t="s">
        <v>27350</v>
      </c>
      <c r="B11782" s="3" t="s">
        <v>10232</v>
      </c>
      <c r="C11782" s="5" t="s">
        <v>614</v>
      </c>
      <c r="D11782" s="3" t="s">
        <v>206</v>
      </c>
      <c r="E11782" s="3" t="s">
        <v>100</v>
      </c>
      <c r="F11782" s="7">
        <v>45975.40470460758</v>
      </c>
      <c r="G11782" s="3" t="s">
        <v>24220</v>
      </c>
    </row>
    <row r="11783">
      <c r="A11783" s="3" t="s">
        <v>27351</v>
      </c>
      <c r="B11783" s="3" t="s">
        <v>10232</v>
      </c>
      <c r="C11783" s="5" t="s">
        <v>206</v>
      </c>
      <c r="D11783" s="3" t="s">
        <v>68</v>
      </c>
      <c r="E11783" s="3" t="s">
        <v>100</v>
      </c>
      <c r="F11783" s="7">
        <v>45975.4081768298</v>
      </c>
      <c r="G11783" s="3" t="s">
        <v>24222</v>
      </c>
    </row>
    <row r="11784">
      <c r="A11784" s="3" t="s">
        <v>27352</v>
      </c>
      <c r="B11784" s="3" t="s">
        <v>10233</v>
      </c>
      <c r="C11784" s="5" t="s">
        <v>45</v>
      </c>
      <c r="D11784" s="3" t="s">
        <v>221</v>
      </c>
      <c r="E11784" s="3" t="s">
        <v>1021</v>
      </c>
      <c r="F11784" s="7">
        <v>45975.46893500855</v>
      </c>
      <c r="G11784" s="3" t="s">
        <v>11571</v>
      </c>
    </row>
    <row r="11785">
      <c r="A11785" s="3" t="s">
        <v>27353</v>
      </c>
      <c r="B11785" s="3" t="s">
        <v>10233</v>
      </c>
      <c r="C11785" s="5" t="s">
        <v>221</v>
      </c>
      <c r="D11785" s="3" t="s">
        <v>614</v>
      </c>
      <c r="E11785" s="3" t="s">
        <v>118</v>
      </c>
      <c r="F11785" s="7">
        <v>45975.472407230765</v>
      </c>
      <c r="G11785" s="3" t="s">
        <v>27354</v>
      </c>
    </row>
    <row r="11786">
      <c r="A11786" s="3" t="s">
        <v>27355</v>
      </c>
      <c r="B11786" s="3" t="s">
        <v>10233</v>
      </c>
      <c r="C11786" s="5" t="s">
        <v>614</v>
      </c>
      <c r="D11786" s="3" t="s">
        <v>206</v>
      </c>
      <c r="E11786" s="3" t="s">
        <v>100</v>
      </c>
      <c r="F11786" s="7">
        <v>45975.47587945299</v>
      </c>
      <c r="G11786" s="3" t="s">
        <v>27356</v>
      </c>
    </row>
    <row r="11787">
      <c r="A11787" s="3" t="s">
        <v>27357</v>
      </c>
      <c r="B11787" s="3" t="s">
        <v>10233</v>
      </c>
      <c r="C11787" s="5" t="s">
        <v>206</v>
      </c>
      <c r="D11787" s="3" t="s">
        <v>68</v>
      </c>
      <c r="E11787" s="3" t="s">
        <v>100</v>
      </c>
      <c r="F11787" s="7">
        <v>45975.47935167521</v>
      </c>
      <c r="G11787" s="3" t="s">
        <v>27358</v>
      </c>
    </row>
    <row r="11788">
      <c r="A11788" s="3" t="s">
        <v>27359</v>
      </c>
      <c r="B11788" s="3" t="s">
        <v>10235</v>
      </c>
      <c r="C11788" s="5" t="s">
        <v>45</v>
      </c>
      <c r="D11788" s="3" t="s">
        <v>221</v>
      </c>
      <c r="E11788" s="3" t="s">
        <v>694</v>
      </c>
      <c r="F11788" s="7">
        <v>45975.540109853966</v>
      </c>
      <c r="G11788" s="3" t="s">
        <v>13566</v>
      </c>
    </row>
    <row r="11789">
      <c r="A11789" s="3" t="s">
        <v>27360</v>
      </c>
      <c r="B11789" s="3" t="s">
        <v>10235</v>
      </c>
      <c r="C11789" s="5" t="s">
        <v>221</v>
      </c>
      <c r="D11789" s="3" t="s">
        <v>614</v>
      </c>
      <c r="E11789" s="3" t="s">
        <v>118</v>
      </c>
      <c r="F11789" s="7">
        <v>45975.543582076185</v>
      </c>
      <c r="G11789" s="3" t="s">
        <v>13568</v>
      </c>
    </row>
    <row r="11790">
      <c r="A11790" s="3" t="s">
        <v>27361</v>
      </c>
      <c r="B11790" s="3" t="s">
        <v>10235</v>
      </c>
      <c r="C11790" s="5" t="s">
        <v>614</v>
      </c>
      <c r="D11790" s="3" t="s">
        <v>206</v>
      </c>
      <c r="E11790" s="3" t="s">
        <v>100</v>
      </c>
      <c r="F11790" s="7">
        <v>45975.54705429841</v>
      </c>
      <c r="G11790" s="3" t="s">
        <v>13571</v>
      </c>
    </row>
    <row r="11791">
      <c r="A11791" s="3" t="s">
        <v>27362</v>
      </c>
      <c r="B11791" s="3" t="s">
        <v>10235</v>
      </c>
      <c r="C11791" s="5" t="s">
        <v>206</v>
      </c>
      <c r="D11791" s="3" t="s">
        <v>68</v>
      </c>
      <c r="E11791" s="3" t="s">
        <v>100</v>
      </c>
      <c r="F11791" s="7">
        <v>45975.55052652063</v>
      </c>
      <c r="G11791" s="3" t="s">
        <v>13574</v>
      </c>
    </row>
    <row r="11792">
      <c r="A11792" s="3" t="s">
        <v>27363</v>
      </c>
      <c r="B11792" s="3" t="s">
        <v>10238</v>
      </c>
      <c r="C11792" s="5" t="s">
        <v>45</v>
      </c>
      <c r="D11792" s="3" t="s">
        <v>221</v>
      </c>
      <c r="E11792" s="3" t="s">
        <v>990</v>
      </c>
      <c r="F11792" s="7">
        <v>45975.61128469938</v>
      </c>
      <c r="G11792" s="3" t="s">
        <v>27364</v>
      </c>
    </row>
    <row r="11793">
      <c r="A11793" s="3" t="s">
        <v>27365</v>
      </c>
      <c r="B11793" s="3" t="s">
        <v>10238</v>
      </c>
      <c r="C11793" s="5" t="s">
        <v>221</v>
      </c>
      <c r="D11793" s="3" t="s">
        <v>614</v>
      </c>
      <c r="E11793" s="3" t="s">
        <v>118</v>
      </c>
      <c r="F11793" s="7">
        <v>45975.6147569216</v>
      </c>
      <c r="G11793" s="3" t="s">
        <v>27366</v>
      </c>
    </row>
    <row r="11794">
      <c r="A11794" s="3" t="s">
        <v>27367</v>
      </c>
      <c r="B11794" s="3" t="s">
        <v>10238</v>
      </c>
      <c r="C11794" s="5" t="s">
        <v>614</v>
      </c>
      <c r="D11794" s="3" t="s">
        <v>206</v>
      </c>
      <c r="E11794" s="3" t="s">
        <v>100</v>
      </c>
      <c r="F11794" s="7">
        <v>45975.61822914382</v>
      </c>
      <c r="G11794" s="3" t="s">
        <v>27368</v>
      </c>
    </row>
    <row r="11795">
      <c r="A11795" s="3" t="s">
        <v>27369</v>
      </c>
      <c r="B11795" s="3" t="s">
        <v>10238</v>
      </c>
      <c r="C11795" s="5" t="s">
        <v>206</v>
      </c>
      <c r="D11795" s="3" t="s">
        <v>68</v>
      </c>
      <c r="E11795" s="3" t="s">
        <v>100</v>
      </c>
      <c r="F11795" s="7">
        <v>45975.62170136604</v>
      </c>
      <c r="G11795" s="3" t="s">
        <v>27370</v>
      </c>
    </row>
    <row r="11796">
      <c r="A11796" s="3" t="s">
        <v>27371</v>
      </c>
      <c r="B11796" s="3" t="s">
        <v>10239</v>
      </c>
      <c r="C11796" s="5" t="s">
        <v>45</v>
      </c>
      <c r="D11796" s="3" t="s">
        <v>221</v>
      </c>
      <c r="E11796" s="3" t="s">
        <v>980</v>
      </c>
      <c r="F11796" s="7">
        <v>45975.68245954479</v>
      </c>
      <c r="G11796" s="3" t="s">
        <v>13159</v>
      </c>
    </row>
    <row r="11797">
      <c r="A11797" s="3" t="s">
        <v>27372</v>
      </c>
      <c r="B11797" s="3" t="s">
        <v>10239</v>
      </c>
      <c r="C11797" s="5" t="s">
        <v>221</v>
      </c>
      <c r="D11797" s="3" t="s">
        <v>181</v>
      </c>
      <c r="E11797" s="3" t="s">
        <v>118</v>
      </c>
      <c r="F11797" s="7">
        <v>45975.68593176701</v>
      </c>
      <c r="G11797" s="3" t="s">
        <v>27373</v>
      </c>
    </row>
    <row r="11798">
      <c r="A11798" s="3" t="s">
        <v>27374</v>
      </c>
      <c r="B11798" s="3" t="s">
        <v>10242</v>
      </c>
      <c r="C11798" s="5" t="s">
        <v>45</v>
      </c>
      <c r="D11798" s="3" t="s">
        <v>221</v>
      </c>
      <c r="E11798" s="3" t="s">
        <v>175</v>
      </c>
      <c r="F11798" s="7">
        <v>45975.75363439021</v>
      </c>
      <c r="G11798" s="3" t="s">
        <v>27375</v>
      </c>
    </row>
    <row r="11799">
      <c r="A11799" s="3" t="s">
        <v>27376</v>
      </c>
      <c r="B11799" s="3" t="s">
        <v>10242</v>
      </c>
      <c r="C11799" s="5" t="s">
        <v>221</v>
      </c>
      <c r="D11799" s="3" t="s">
        <v>614</v>
      </c>
      <c r="E11799" s="3" t="s">
        <v>118</v>
      </c>
      <c r="F11799" s="7">
        <v>45975.75710661243</v>
      </c>
      <c r="G11799" s="3" t="s">
        <v>27377</v>
      </c>
    </row>
    <row r="11800">
      <c r="A11800" s="3" t="s">
        <v>27378</v>
      </c>
      <c r="B11800" s="3" t="s">
        <v>10242</v>
      </c>
      <c r="C11800" s="5" t="s">
        <v>614</v>
      </c>
      <c r="D11800" s="3" t="s">
        <v>206</v>
      </c>
      <c r="E11800" s="3" t="s">
        <v>100</v>
      </c>
      <c r="F11800" s="7">
        <v>45975.760578834655</v>
      </c>
      <c r="G11800" s="3" t="s">
        <v>27379</v>
      </c>
    </row>
    <row r="11801">
      <c r="A11801" s="3" t="s">
        <v>27380</v>
      </c>
      <c r="B11801" s="3" t="s">
        <v>10242</v>
      </c>
      <c r="C11801" s="5" t="s">
        <v>206</v>
      </c>
      <c r="D11801" s="3" t="s">
        <v>68</v>
      </c>
      <c r="E11801" s="3" t="s">
        <v>100</v>
      </c>
      <c r="F11801" s="7">
        <v>45975.764051056874</v>
      </c>
      <c r="G11801" s="3" t="s">
        <v>27381</v>
      </c>
    </row>
    <row r="11802">
      <c r="A11802" s="3" t="s">
        <v>27382</v>
      </c>
      <c r="B11802" s="3" t="s">
        <v>10245</v>
      </c>
      <c r="C11802" s="5" t="s">
        <v>45</v>
      </c>
      <c r="D11802" s="3" t="s">
        <v>221</v>
      </c>
      <c r="E11802" s="3" t="s">
        <v>383</v>
      </c>
      <c r="F11802" s="7">
        <v>45975.82480923563</v>
      </c>
      <c r="G11802" s="3" t="s">
        <v>13620</v>
      </c>
    </row>
    <row r="11803">
      <c r="A11803" s="3" t="s">
        <v>27383</v>
      </c>
      <c r="B11803" s="3" t="s">
        <v>10245</v>
      </c>
      <c r="C11803" s="5" t="s">
        <v>221</v>
      </c>
      <c r="D11803" s="3" t="s">
        <v>614</v>
      </c>
      <c r="E11803" s="3" t="s">
        <v>118</v>
      </c>
      <c r="F11803" s="7">
        <v>45975.82828145785</v>
      </c>
      <c r="G11803" s="3" t="s">
        <v>13622</v>
      </c>
    </row>
    <row r="11804">
      <c r="A11804" s="3" t="s">
        <v>27384</v>
      </c>
      <c r="B11804" s="3" t="s">
        <v>10245</v>
      </c>
      <c r="C11804" s="5" t="s">
        <v>614</v>
      </c>
      <c r="D11804" s="3" t="s">
        <v>206</v>
      </c>
      <c r="E11804" s="3" t="s">
        <v>100</v>
      </c>
      <c r="F11804" s="7">
        <v>45975.831753680075</v>
      </c>
      <c r="G11804" s="3" t="s">
        <v>13625</v>
      </c>
    </row>
    <row r="11805">
      <c r="A11805" s="3" t="s">
        <v>27385</v>
      </c>
      <c r="B11805" s="3" t="s">
        <v>10245</v>
      </c>
      <c r="C11805" s="5" t="s">
        <v>206</v>
      </c>
      <c r="D11805" s="3" t="s">
        <v>68</v>
      </c>
      <c r="E11805" s="3" t="s">
        <v>100</v>
      </c>
      <c r="F11805" s="7">
        <v>45975.835225902294</v>
      </c>
      <c r="G11805" s="3" t="s">
        <v>13628</v>
      </c>
    </row>
    <row r="11806">
      <c r="A11806" s="3" t="s">
        <v>27386</v>
      </c>
      <c r="B11806" s="3" t="s">
        <v>10246</v>
      </c>
      <c r="C11806" s="5" t="s">
        <v>45</v>
      </c>
      <c r="D11806" s="3" t="s">
        <v>221</v>
      </c>
      <c r="E11806" s="3" t="s">
        <v>665</v>
      </c>
      <c r="F11806" s="7">
        <v>45975.895984081035</v>
      </c>
      <c r="G11806" s="3" t="s">
        <v>9809</v>
      </c>
    </row>
    <row r="11807">
      <c r="A11807" s="3" t="s">
        <v>27387</v>
      </c>
      <c r="B11807" s="3" t="s">
        <v>10246</v>
      </c>
      <c r="C11807" s="5" t="s">
        <v>221</v>
      </c>
      <c r="D11807" s="3" t="s">
        <v>614</v>
      </c>
      <c r="E11807" s="3" t="s">
        <v>118</v>
      </c>
      <c r="F11807" s="7">
        <v>45975.899456303254</v>
      </c>
      <c r="G11807" s="3" t="s">
        <v>9813</v>
      </c>
    </row>
    <row r="11808">
      <c r="A11808" s="3" t="s">
        <v>27388</v>
      </c>
      <c r="B11808" s="3" t="s">
        <v>10246</v>
      </c>
      <c r="C11808" s="5" t="s">
        <v>614</v>
      </c>
      <c r="D11808" s="3" t="s">
        <v>206</v>
      </c>
      <c r="E11808" s="3" t="s">
        <v>100</v>
      </c>
      <c r="F11808" s="7">
        <v>45975.90292852548</v>
      </c>
      <c r="G11808" s="3" t="s">
        <v>9816</v>
      </c>
    </row>
    <row r="11809">
      <c r="A11809" s="3" t="s">
        <v>27389</v>
      </c>
      <c r="B11809" s="3" t="s">
        <v>10246</v>
      </c>
      <c r="C11809" s="5" t="s">
        <v>206</v>
      </c>
      <c r="D11809" s="3" t="s">
        <v>68</v>
      </c>
      <c r="E11809" s="3" t="s">
        <v>100</v>
      </c>
      <c r="F11809" s="7">
        <v>45975.9064007477</v>
      </c>
      <c r="G11809" s="3" t="s">
        <v>9819</v>
      </c>
    </row>
    <row r="11810">
      <c r="A11810" s="3" t="s">
        <v>27390</v>
      </c>
      <c r="B11810" s="3" t="s">
        <v>10249</v>
      </c>
      <c r="C11810" s="5" t="s">
        <v>45</v>
      </c>
      <c r="D11810" s="3" t="s">
        <v>221</v>
      </c>
      <c r="E11810" s="3" t="s">
        <v>186</v>
      </c>
      <c r="F11810" s="7">
        <v>45975.967158926454</v>
      </c>
      <c r="G11810" s="3" t="s">
        <v>25401</v>
      </c>
    </row>
    <row r="11811">
      <c r="A11811" s="3" t="s">
        <v>27391</v>
      </c>
      <c r="B11811" s="3" t="s">
        <v>10249</v>
      </c>
      <c r="C11811" s="5" t="s">
        <v>221</v>
      </c>
      <c r="D11811" s="3" t="s">
        <v>614</v>
      </c>
      <c r="E11811" s="3" t="s">
        <v>118</v>
      </c>
      <c r="F11811" s="7">
        <v>45975.97063114867</v>
      </c>
      <c r="G11811" s="3" t="s">
        <v>25403</v>
      </c>
    </row>
    <row r="11812">
      <c r="A11812" s="3" t="s">
        <v>27392</v>
      </c>
      <c r="B11812" s="3" t="s">
        <v>10249</v>
      </c>
      <c r="C11812" s="5" t="s">
        <v>614</v>
      </c>
      <c r="D11812" s="3" t="s">
        <v>206</v>
      </c>
      <c r="E11812" s="3" t="s">
        <v>100</v>
      </c>
      <c r="F11812" s="7">
        <v>45975.9741033709</v>
      </c>
      <c r="G11812" s="3" t="s">
        <v>25405</v>
      </c>
    </row>
    <row r="11813">
      <c r="A11813" s="3" t="s">
        <v>27393</v>
      </c>
      <c r="B11813" s="3" t="s">
        <v>10249</v>
      </c>
      <c r="C11813" s="5" t="s">
        <v>206</v>
      </c>
      <c r="D11813" s="3" t="s">
        <v>68</v>
      </c>
      <c r="E11813" s="3" t="s">
        <v>100</v>
      </c>
      <c r="F11813" s="7">
        <v>45975.97757559312</v>
      </c>
      <c r="G11813" s="3" t="s">
        <v>25407</v>
      </c>
    </row>
    <row r="11814">
      <c r="A11814" s="3" t="s">
        <v>27394</v>
      </c>
      <c r="B11814" s="3" t="s">
        <v>10252</v>
      </c>
      <c r="C11814" s="5" t="s">
        <v>45</v>
      </c>
      <c r="D11814" s="3" t="s">
        <v>221</v>
      </c>
      <c r="E11814" s="3" t="s">
        <v>725</v>
      </c>
      <c r="F11814" s="7">
        <v>45976.03833377187</v>
      </c>
      <c r="G11814" s="3" t="s">
        <v>13639</v>
      </c>
    </row>
    <row r="11815">
      <c r="A11815" s="3" t="s">
        <v>27395</v>
      </c>
      <c r="B11815" s="3" t="s">
        <v>10252</v>
      </c>
      <c r="C11815" s="5" t="s">
        <v>221</v>
      </c>
      <c r="D11815" s="3" t="s">
        <v>614</v>
      </c>
      <c r="E11815" s="3" t="s">
        <v>118</v>
      </c>
      <c r="F11815" s="7">
        <v>45976.041805994086</v>
      </c>
      <c r="G11815" s="3" t="s">
        <v>13642</v>
      </c>
    </row>
    <row r="11816">
      <c r="A11816" s="3" t="s">
        <v>27396</v>
      </c>
      <c r="B11816" s="3" t="s">
        <v>10252</v>
      </c>
      <c r="C11816" s="5" t="s">
        <v>614</v>
      </c>
      <c r="D11816" s="3" t="s">
        <v>206</v>
      </c>
      <c r="E11816" s="3" t="s">
        <v>100</v>
      </c>
      <c r="F11816" s="7">
        <v>45976.04527821631</v>
      </c>
      <c r="G11816" s="3" t="s">
        <v>13644</v>
      </c>
    </row>
    <row r="11817">
      <c r="A11817" s="3" t="s">
        <v>27397</v>
      </c>
      <c r="B11817" s="3" t="s">
        <v>10252</v>
      </c>
      <c r="C11817" s="5" t="s">
        <v>206</v>
      </c>
      <c r="D11817" s="3" t="s">
        <v>68</v>
      </c>
      <c r="E11817" s="3" t="s">
        <v>100</v>
      </c>
      <c r="F11817" s="7">
        <v>45976.04875043853</v>
      </c>
      <c r="G11817" s="3" t="s">
        <v>13647</v>
      </c>
    </row>
    <row r="11818">
      <c r="A11818" s="3" t="s">
        <v>27398</v>
      </c>
      <c r="B11818" s="3" t="s">
        <v>10253</v>
      </c>
      <c r="C11818" s="5" t="s">
        <v>45</v>
      </c>
      <c r="D11818" s="3" t="s">
        <v>221</v>
      </c>
      <c r="E11818" s="3" t="s">
        <v>853</v>
      </c>
      <c r="F11818" s="7">
        <v>45976.109508617286</v>
      </c>
      <c r="G11818" s="3" t="s">
        <v>7388</v>
      </c>
    </row>
    <row r="11819">
      <c r="A11819" s="3" t="s">
        <v>27399</v>
      </c>
      <c r="B11819" s="3" t="s">
        <v>10253</v>
      </c>
      <c r="C11819" s="5" t="s">
        <v>221</v>
      </c>
      <c r="D11819" s="3" t="s">
        <v>614</v>
      </c>
      <c r="E11819" s="3" t="s">
        <v>118</v>
      </c>
      <c r="F11819" s="7">
        <v>45976.112980839505</v>
      </c>
      <c r="G11819" s="3" t="s">
        <v>25795</v>
      </c>
    </row>
    <row r="11820">
      <c r="A11820" s="3" t="s">
        <v>27400</v>
      </c>
      <c r="B11820" s="3" t="s">
        <v>10253</v>
      </c>
      <c r="C11820" s="5" t="s">
        <v>614</v>
      </c>
      <c r="D11820" s="3" t="s">
        <v>206</v>
      </c>
      <c r="E11820" s="3" t="s">
        <v>100</v>
      </c>
      <c r="F11820" s="7">
        <v>45976.11645306173</v>
      </c>
      <c r="G11820" s="3" t="s">
        <v>25797</v>
      </c>
    </row>
    <row r="11821">
      <c r="A11821" s="3" t="s">
        <v>27401</v>
      </c>
      <c r="B11821" s="3" t="s">
        <v>10253</v>
      </c>
      <c r="C11821" s="5" t="s">
        <v>206</v>
      </c>
      <c r="D11821" s="3" t="s">
        <v>68</v>
      </c>
      <c r="E11821" s="3" t="s">
        <v>100</v>
      </c>
      <c r="F11821" s="7">
        <v>45976.11992528395</v>
      </c>
      <c r="G11821" s="3" t="s">
        <v>25799</v>
      </c>
    </row>
    <row r="11822">
      <c r="A11822" s="3" t="s">
        <v>27402</v>
      </c>
      <c r="B11822" s="3" t="s">
        <v>10256</v>
      </c>
      <c r="C11822" s="5" t="s">
        <v>45</v>
      </c>
      <c r="D11822" s="3" t="s">
        <v>221</v>
      </c>
      <c r="E11822" s="3" t="s">
        <v>657</v>
      </c>
      <c r="F11822" s="7">
        <v>45976.1806834627</v>
      </c>
      <c r="G11822" s="3" t="s">
        <v>13651</v>
      </c>
    </row>
    <row r="11823">
      <c r="A11823" s="3" t="s">
        <v>27403</v>
      </c>
      <c r="B11823" s="3" t="s">
        <v>10256</v>
      </c>
      <c r="C11823" s="5" t="s">
        <v>221</v>
      </c>
      <c r="D11823" s="3" t="s">
        <v>614</v>
      </c>
      <c r="E11823" s="3" t="s">
        <v>118</v>
      </c>
      <c r="F11823" s="7">
        <v>45976.18415568492</v>
      </c>
      <c r="G11823" s="3" t="s">
        <v>13653</v>
      </c>
    </row>
    <row r="11824">
      <c r="A11824" s="3" t="s">
        <v>27404</v>
      </c>
      <c r="B11824" s="3" t="s">
        <v>10256</v>
      </c>
      <c r="C11824" s="5" t="s">
        <v>614</v>
      </c>
      <c r="D11824" s="3" t="s">
        <v>206</v>
      </c>
      <c r="E11824" s="3" t="s">
        <v>100</v>
      </c>
      <c r="F11824" s="7">
        <v>45976.187627907144</v>
      </c>
      <c r="G11824" s="3" t="s">
        <v>13656</v>
      </c>
    </row>
    <row r="11825">
      <c r="A11825" s="3" t="s">
        <v>27405</v>
      </c>
      <c r="B11825" s="3" t="s">
        <v>10256</v>
      </c>
      <c r="C11825" s="5" t="s">
        <v>206</v>
      </c>
      <c r="D11825" s="3" t="s">
        <v>68</v>
      </c>
      <c r="E11825" s="3" t="s">
        <v>100</v>
      </c>
      <c r="F11825" s="7">
        <v>45976.19110012936</v>
      </c>
      <c r="G11825" s="3" t="s">
        <v>13659</v>
      </c>
    </row>
    <row r="11826">
      <c r="A11826" s="3" t="s">
        <v>27406</v>
      </c>
      <c r="B11826" s="3" t="s">
        <v>10259</v>
      </c>
      <c r="C11826" s="5" t="s">
        <v>45</v>
      </c>
      <c r="D11826" s="3" t="s">
        <v>221</v>
      </c>
      <c r="E11826" s="3" t="s">
        <v>877</v>
      </c>
      <c r="F11826" s="7">
        <v>45976.25185830812</v>
      </c>
      <c r="G11826" s="3" t="s">
        <v>27407</v>
      </c>
    </row>
    <row r="11827">
      <c r="A11827" s="3" t="s">
        <v>27408</v>
      </c>
      <c r="B11827" s="3" t="s">
        <v>10259</v>
      </c>
      <c r="C11827" s="5" t="s">
        <v>221</v>
      </c>
      <c r="D11827" s="3" t="s">
        <v>614</v>
      </c>
      <c r="E11827" s="3" t="s">
        <v>118</v>
      </c>
      <c r="F11827" s="7">
        <v>45976.25533053034</v>
      </c>
      <c r="G11827" s="3" t="s">
        <v>27409</v>
      </c>
    </row>
    <row r="11828">
      <c r="A11828" s="3" t="s">
        <v>27410</v>
      </c>
      <c r="B11828" s="3" t="s">
        <v>10259</v>
      </c>
      <c r="C11828" s="5" t="s">
        <v>614</v>
      </c>
      <c r="D11828" s="3" t="s">
        <v>206</v>
      </c>
      <c r="E11828" s="3" t="s">
        <v>100</v>
      </c>
      <c r="F11828" s="7">
        <v>45976.25880275256</v>
      </c>
      <c r="G11828" s="3" t="s">
        <v>27411</v>
      </c>
    </row>
    <row r="11829">
      <c r="A11829" s="3" t="s">
        <v>27412</v>
      </c>
      <c r="B11829" s="3" t="s">
        <v>10259</v>
      </c>
      <c r="C11829" s="5" t="s">
        <v>206</v>
      </c>
      <c r="D11829" s="3" t="s">
        <v>68</v>
      </c>
      <c r="E11829" s="3" t="s">
        <v>100</v>
      </c>
      <c r="F11829" s="7">
        <v>45976.26227497478</v>
      </c>
      <c r="G11829" s="3" t="s">
        <v>27413</v>
      </c>
    </row>
    <row r="11830">
      <c r="A11830" s="3" t="s">
        <v>27414</v>
      </c>
      <c r="B11830" s="3" t="s">
        <v>10261</v>
      </c>
      <c r="C11830" s="5" t="s">
        <v>45</v>
      </c>
      <c r="D11830" s="3" t="s">
        <v>221</v>
      </c>
      <c r="E11830" s="3" t="s">
        <v>652</v>
      </c>
      <c r="F11830" s="7">
        <v>45976.32303315352</v>
      </c>
      <c r="G11830" s="3" t="s">
        <v>13864</v>
      </c>
    </row>
    <row r="11831">
      <c r="A11831" s="3" t="s">
        <v>27415</v>
      </c>
      <c r="B11831" s="3" t="s">
        <v>10261</v>
      </c>
      <c r="C11831" s="5" t="s">
        <v>221</v>
      </c>
      <c r="D11831" s="3" t="s">
        <v>614</v>
      </c>
      <c r="E11831" s="3" t="s">
        <v>118</v>
      </c>
      <c r="F11831" s="7">
        <v>45976.32650537574</v>
      </c>
      <c r="G11831" s="3" t="s">
        <v>23985</v>
      </c>
    </row>
    <row r="11832">
      <c r="A11832" s="3" t="s">
        <v>27416</v>
      </c>
      <c r="B11832" s="3" t="s">
        <v>10261</v>
      </c>
      <c r="C11832" s="5" t="s">
        <v>614</v>
      </c>
      <c r="D11832" s="3" t="s">
        <v>206</v>
      </c>
      <c r="E11832" s="3" t="s">
        <v>100</v>
      </c>
      <c r="F11832" s="7">
        <v>45976.32997759797</v>
      </c>
      <c r="G11832" s="3" t="s">
        <v>23987</v>
      </c>
    </row>
    <row r="11833">
      <c r="A11833" s="3" t="s">
        <v>27417</v>
      </c>
      <c r="B11833" s="3" t="s">
        <v>10261</v>
      </c>
      <c r="C11833" s="5" t="s">
        <v>206</v>
      </c>
      <c r="D11833" s="3" t="s">
        <v>68</v>
      </c>
      <c r="E11833" s="3" t="s">
        <v>100</v>
      </c>
      <c r="F11833" s="7">
        <v>45976.33344982019</v>
      </c>
      <c r="G11833" s="3" t="s">
        <v>23989</v>
      </c>
    </row>
    <row r="11834">
      <c r="A11834" s="3" t="s">
        <v>27418</v>
      </c>
      <c r="B11834" s="3" t="s">
        <v>10263</v>
      </c>
      <c r="C11834" s="5" t="s">
        <v>45</v>
      </c>
      <c r="D11834" s="3" t="s">
        <v>221</v>
      </c>
      <c r="E11834" s="3" t="s">
        <v>957</v>
      </c>
      <c r="F11834" s="7">
        <v>45976.39420799894</v>
      </c>
      <c r="G11834" s="3" t="s">
        <v>27287</v>
      </c>
    </row>
    <row r="11835">
      <c r="A11835" s="3" t="s">
        <v>27419</v>
      </c>
      <c r="B11835" s="3" t="s">
        <v>10263</v>
      </c>
      <c r="C11835" s="5" t="s">
        <v>221</v>
      </c>
      <c r="D11835" s="3" t="s">
        <v>614</v>
      </c>
      <c r="E11835" s="3" t="s">
        <v>118</v>
      </c>
      <c r="F11835" s="7">
        <v>45976.39768022116</v>
      </c>
      <c r="G11835" s="3" t="s">
        <v>27289</v>
      </c>
    </row>
    <row r="11836">
      <c r="A11836" s="3" t="s">
        <v>27420</v>
      </c>
      <c r="B11836" s="3" t="s">
        <v>10263</v>
      </c>
      <c r="C11836" s="5" t="s">
        <v>614</v>
      </c>
      <c r="D11836" s="3" t="s">
        <v>206</v>
      </c>
      <c r="E11836" s="3" t="s">
        <v>100</v>
      </c>
      <c r="F11836" s="7">
        <v>45976.40115244339</v>
      </c>
      <c r="G11836" s="3" t="s">
        <v>27291</v>
      </c>
    </row>
    <row r="11837">
      <c r="A11837" s="3" t="s">
        <v>27421</v>
      </c>
      <c r="B11837" s="3" t="s">
        <v>10263</v>
      </c>
      <c r="C11837" s="5" t="s">
        <v>206</v>
      </c>
      <c r="D11837" s="3" t="s">
        <v>68</v>
      </c>
      <c r="E11837" s="3" t="s">
        <v>100</v>
      </c>
      <c r="F11837" s="7">
        <v>45976.40462466561</v>
      </c>
      <c r="G11837" s="3" t="s">
        <v>27293</v>
      </c>
    </row>
    <row r="11838">
      <c r="A11838" s="3" t="s">
        <v>27422</v>
      </c>
      <c r="B11838" s="3" t="s">
        <v>10265</v>
      </c>
      <c r="C11838" s="5" t="s">
        <v>45</v>
      </c>
      <c r="D11838" s="3" t="s">
        <v>221</v>
      </c>
      <c r="E11838" s="3" t="s">
        <v>527</v>
      </c>
      <c r="F11838" s="7">
        <v>45976.46538284436</v>
      </c>
      <c r="G11838" s="3" t="s">
        <v>9244</v>
      </c>
    </row>
    <row r="11839">
      <c r="A11839" s="3" t="s">
        <v>27423</v>
      </c>
      <c r="B11839" s="3" t="s">
        <v>10265</v>
      </c>
      <c r="C11839" s="5" t="s">
        <v>221</v>
      </c>
      <c r="D11839" s="3" t="s">
        <v>614</v>
      </c>
      <c r="E11839" s="3" t="s">
        <v>118</v>
      </c>
      <c r="F11839" s="7">
        <v>45976.46885506658</v>
      </c>
      <c r="G11839" s="3" t="s">
        <v>9247</v>
      </c>
    </row>
    <row r="11840">
      <c r="A11840" s="3" t="s">
        <v>27424</v>
      </c>
      <c r="B11840" s="3" t="s">
        <v>10265</v>
      </c>
      <c r="C11840" s="5" t="s">
        <v>614</v>
      </c>
      <c r="D11840" s="3" t="s">
        <v>206</v>
      </c>
      <c r="E11840" s="3" t="s">
        <v>100</v>
      </c>
      <c r="F11840" s="7">
        <v>45976.47232728881</v>
      </c>
      <c r="G11840" s="3" t="s">
        <v>9250</v>
      </c>
    </row>
    <row r="11841">
      <c r="A11841" s="3" t="s">
        <v>27425</v>
      </c>
      <c r="B11841" s="3" t="s">
        <v>10265</v>
      </c>
      <c r="C11841" s="5" t="s">
        <v>206</v>
      </c>
      <c r="D11841" s="3" t="s">
        <v>68</v>
      </c>
      <c r="E11841" s="3" t="s">
        <v>100</v>
      </c>
      <c r="F11841" s="7">
        <v>45976.47579951103</v>
      </c>
      <c r="G11841" s="3" t="s">
        <v>9253</v>
      </c>
    </row>
    <row r="11842">
      <c r="A11842" s="3" t="s">
        <v>27426</v>
      </c>
      <c r="B11842" s="3" t="s">
        <v>10266</v>
      </c>
      <c r="C11842" s="5" t="s">
        <v>45</v>
      </c>
      <c r="D11842" s="3" t="s">
        <v>221</v>
      </c>
      <c r="E11842" s="3" t="s">
        <v>678</v>
      </c>
      <c r="F11842" s="7">
        <v>45976.536557689775</v>
      </c>
      <c r="G11842" s="3" t="s">
        <v>13669</v>
      </c>
    </row>
    <row r="11843">
      <c r="A11843" s="3" t="s">
        <v>27427</v>
      </c>
      <c r="B11843" s="3" t="s">
        <v>10266</v>
      </c>
      <c r="C11843" s="5" t="s">
        <v>221</v>
      </c>
      <c r="D11843" s="3" t="s">
        <v>614</v>
      </c>
      <c r="E11843" s="3" t="s">
        <v>118</v>
      </c>
      <c r="F11843" s="7">
        <v>45976.540029911994</v>
      </c>
      <c r="G11843" s="3" t="s">
        <v>13672</v>
      </c>
    </row>
    <row r="11844">
      <c r="A11844" s="3" t="s">
        <v>27428</v>
      </c>
      <c r="B11844" s="3" t="s">
        <v>10266</v>
      </c>
      <c r="C11844" s="5" t="s">
        <v>614</v>
      </c>
      <c r="D11844" s="3" t="s">
        <v>206</v>
      </c>
      <c r="E11844" s="3" t="s">
        <v>100</v>
      </c>
      <c r="F11844" s="7">
        <v>45976.54350213422</v>
      </c>
      <c r="G11844" s="3" t="s">
        <v>13675</v>
      </c>
    </row>
    <row r="11845">
      <c r="A11845" s="3" t="s">
        <v>27429</v>
      </c>
      <c r="B11845" s="3" t="s">
        <v>10266</v>
      </c>
      <c r="C11845" s="5" t="s">
        <v>206</v>
      </c>
      <c r="D11845" s="3" t="s">
        <v>68</v>
      </c>
      <c r="E11845" s="3" t="s">
        <v>100</v>
      </c>
      <c r="F11845" s="7">
        <v>45976.54697435644</v>
      </c>
      <c r="G11845" s="3" t="s">
        <v>13678</v>
      </c>
    </row>
    <row r="11846">
      <c r="A11846" s="3" t="s">
        <v>27430</v>
      </c>
      <c r="B11846" s="3" t="s">
        <v>10268</v>
      </c>
      <c r="C11846" s="5" t="s">
        <v>45</v>
      </c>
      <c r="D11846" s="3" t="s">
        <v>221</v>
      </c>
      <c r="E11846" s="3" t="s">
        <v>619</v>
      </c>
      <c r="F11846" s="7">
        <v>45976.60773253519</v>
      </c>
      <c r="G11846" s="3" t="s">
        <v>25813</v>
      </c>
    </row>
    <row r="11847">
      <c r="A11847" s="3" t="s">
        <v>27431</v>
      </c>
      <c r="B11847" s="3" t="s">
        <v>10268</v>
      </c>
      <c r="C11847" s="5" t="s">
        <v>221</v>
      </c>
      <c r="D11847" s="3" t="s">
        <v>614</v>
      </c>
      <c r="E11847" s="3" t="s">
        <v>118</v>
      </c>
      <c r="F11847" s="7">
        <v>45976.611204757406</v>
      </c>
      <c r="G11847" s="3" t="s">
        <v>27432</v>
      </c>
    </row>
    <row r="11848">
      <c r="A11848" s="3" t="s">
        <v>27433</v>
      </c>
      <c r="B11848" s="3" t="s">
        <v>10268</v>
      </c>
      <c r="C11848" s="5" t="s">
        <v>614</v>
      </c>
      <c r="D11848" s="3" t="s">
        <v>206</v>
      </c>
      <c r="E11848" s="3" t="s">
        <v>100</v>
      </c>
      <c r="F11848" s="7">
        <v>45976.61467697963</v>
      </c>
      <c r="G11848" s="3" t="s">
        <v>27434</v>
      </c>
    </row>
    <row r="11849">
      <c r="A11849" s="3" t="s">
        <v>27435</v>
      </c>
      <c r="B11849" s="3" t="s">
        <v>10268</v>
      </c>
      <c r="C11849" s="5" t="s">
        <v>206</v>
      </c>
      <c r="D11849" s="3" t="s">
        <v>68</v>
      </c>
      <c r="E11849" s="3" t="s">
        <v>100</v>
      </c>
      <c r="F11849" s="7">
        <v>45976.61814920185</v>
      </c>
      <c r="G11849" s="3" t="s">
        <v>27436</v>
      </c>
    </row>
    <row r="11850">
      <c r="A11850" s="3" t="s">
        <v>27437</v>
      </c>
      <c r="B11850" s="3" t="s">
        <v>10270</v>
      </c>
      <c r="C11850" s="5" t="s">
        <v>45</v>
      </c>
      <c r="D11850" s="3" t="s">
        <v>221</v>
      </c>
      <c r="E11850" s="3" t="s">
        <v>596</v>
      </c>
      <c r="F11850" s="7">
        <v>45976.67890738061</v>
      </c>
      <c r="G11850" s="3" t="s">
        <v>13700</v>
      </c>
    </row>
    <row r="11851">
      <c r="A11851" s="3" t="s">
        <v>27438</v>
      </c>
      <c r="B11851" s="3" t="s">
        <v>10270</v>
      </c>
      <c r="C11851" s="5" t="s">
        <v>221</v>
      </c>
      <c r="D11851" s="3" t="s">
        <v>614</v>
      </c>
      <c r="E11851" s="3" t="s">
        <v>118</v>
      </c>
      <c r="F11851" s="7">
        <v>45976.682379602826</v>
      </c>
      <c r="G11851" s="3" t="s">
        <v>13703</v>
      </c>
    </row>
    <row r="11852">
      <c r="A11852" s="3" t="s">
        <v>27439</v>
      </c>
      <c r="B11852" s="3" t="s">
        <v>10270</v>
      </c>
      <c r="C11852" s="5" t="s">
        <v>614</v>
      </c>
      <c r="D11852" s="3" t="s">
        <v>206</v>
      </c>
      <c r="E11852" s="3" t="s">
        <v>100</v>
      </c>
      <c r="F11852" s="7">
        <v>45976.68585182505</v>
      </c>
      <c r="G11852" s="3" t="s">
        <v>13706</v>
      </c>
    </row>
    <row r="11853">
      <c r="A11853" s="3" t="s">
        <v>27440</v>
      </c>
      <c r="B11853" s="3" t="s">
        <v>10270</v>
      </c>
      <c r="C11853" s="5" t="s">
        <v>206</v>
      </c>
      <c r="D11853" s="3" t="s">
        <v>68</v>
      </c>
      <c r="E11853" s="3" t="s">
        <v>100</v>
      </c>
      <c r="F11853" s="7">
        <v>45976.68932404727</v>
      </c>
      <c r="G11853" s="3" t="s">
        <v>13709</v>
      </c>
    </row>
    <row r="11854">
      <c r="A11854" s="3" t="s">
        <v>27441</v>
      </c>
      <c r="B11854" s="3" t="s">
        <v>10271</v>
      </c>
      <c r="C11854" s="5" t="s">
        <v>45</v>
      </c>
      <c r="D11854" s="3" t="s">
        <v>221</v>
      </c>
      <c r="E11854" s="3" t="s">
        <v>356</v>
      </c>
      <c r="F11854" s="7">
        <v>45976.75008222602</v>
      </c>
      <c r="G11854" s="3" t="s">
        <v>24562</v>
      </c>
    </row>
    <row r="11855">
      <c r="A11855" s="3" t="s">
        <v>27442</v>
      </c>
      <c r="B11855" s="3" t="s">
        <v>10271</v>
      </c>
      <c r="C11855" s="5" t="s">
        <v>221</v>
      </c>
      <c r="D11855" s="3" t="s">
        <v>614</v>
      </c>
      <c r="E11855" s="3" t="s">
        <v>118</v>
      </c>
      <c r="F11855" s="7">
        <v>45976.75355444824</v>
      </c>
      <c r="G11855" s="3" t="s">
        <v>24564</v>
      </c>
    </row>
    <row r="11856">
      <c r="A11856" s="3" t="s">
        <v>27443</v>
      </c>
      <c r="B11856" s="3" t="s">
        <v>10271</v>
      </c>
      <c r="C11856" s="5" t="s">
        <v>614</v>
      </c>
      <c r="D11856" s="3" t="s">
        <v>206</v>
      </c>
      <c r="E11856" s="3" t="s">
        <v>100</v>
      </c>
      <c r="F11856" s="7">
        <v>45976.757026670464</v>
      </c>
      <c r="G11856" s="3" t="s">
        <v>24566</v>
      </c>
    </row>
    <row r="11857">
      <c r="A11857" s="3" t="s">
        <v>27444</v>
      </c>
      <c r="B11857" s="3" t="s">
        <v>10271</v>
      </c>
      <c r="C11857" s="5" t="s">
        <v>206</v>
      </c>
      <c r="D11857" s="3" t="s">
        <v>68</v>
      </c>
      <c r="E11857" s="3" t="s">
        <v>100</v>
      </c>
      <c r="F11857" s="7">
        <v>45976.76049889268</v>
      </c>
      <c r="G11857" s="3" t="s">
        <v>24568</v>
      </c>
    </row>
    <row r="11858">
      <c r="A11858" s="3" t="s">
        <v>27445</v>
      </c>
      <c r="B11858" s="3" t="s">
        <v>10274</v>
      </c>
      <c r="C11858" s="5" t="s">
        <v>45</v>
      </c>
      <c r="D11858" s="3" t="s">
        <v>221</v>
      </c>
      <c r="E11858" s="3" t="s">
        <v>778</v>
      </c>
      <c r="F11858" s="7">
        <v>45976.82125707143</v>
      </c>
      <c r="G11858" s="3" t="s">
        <v>14568</v>
      </c>
    </row>
    <row r="11859">
      <c r="A11859" s="3" t="s">
        <v>27446</v>
      </c>
      <c r="B11859" s="3" t="s">
        <v>10274</v>
      </c>
      <c r="C11859" s="5" t="s">
        <v>221</v>
      </c>
      <c r="D11859" s="3" t="s">
        <v>614</v>
      </c>
      <c r="E11859" s="3" t="s">
        <v>118</v>
      </c>
      <c r="F11859" s="7">
        <v>45976.82472929365</v>
      </c>
      <c r="G11859" s="3" t="s">
        <v>14571</v>
      </c>
    </row>
    <row r="11860">
      <c r="A11860" s="3" t="s">
        <v>27447</v>
      </c>
      <c r="B11860" s="3" t="s">
        <v>10274</v>
      </c>
      <c r="C11860" s="5" t="s">
        <v>614</v>
      </c>
      <c r="D11860" s="3" t="s">
        <v>206</v>
      </c>
      <c r="E11860" s="3" t="s">
        <v>100</v>
      </c>
      <c r="F11860" s="7">
        <v>45976.82820151588</v>
      </c>
      <c r="G11860" s="3" t="s">
        <v>14574</v>
      </c>
    </row>
    <row r="11861">
      <c r="A11861" s="3" t="s">
        <v>27448</v>
      </c>
      <c r="B11861" s="3" t="s">
        <v>10274</v>
      </c>
      <c r="C11861" s="5" t="s">
        <v>206</v>
      </c>
      <c r="D11861" s="3" t="s">
        <v>68</v>
      </c>
      <c r="E11861" s="3" t="s">
        <v>100</v>
      </c>
      <c r="F11861" s="7">
        <v>45976.831673738096</v>
      </c>
      <c r="G11861" s="3" t="s">
        <v>14577</v>
      </c>
    </row>
    <row r="11862">
      <c r="A11862" s="3" t="s">
        <v>27449</v>
      </c>
      <c r="B11862" s="3" t="s">
        <v>10278</v>
      </c>
      <c r="C11862" s="5" t="s">
        <v>45</v>
      </c>
      <c r="D11862" s="3" t="s">
        <v>221</v>
      </c>
      <c r="E11862" s="3" t="s">
        <v>632</v>
      </c>
      <c r="F11862" s="7">
        <v>45976.89243191685</v>
      </c>
      <c r="G11862" s="3" t="s">
        <v>11626</v>
      </c>
    </row>
    <row r="11863">
      <c r="A11863" s="3" t="s">
        <v>27450</v>
      </c>
      <c r="B11863" s="3" t="s">
        <v>10278</v>
      </c>
      <c r="C11863" s="5" t="s">
        <v>221</v>
      </c>
      <c r="D11863" s="3" t="s">
        <v>614</v>
      </c>
      <c r="E11863" s="3" t="s">
        <v>118</v>
      </c>
      <c r="F11863" s="7">
        <v>45976.89590413907</v>
      </c>
      <c r="G11863" s="3" t="s">
        <v>11629</v>
      </c>
    </row>
    <row r="11864">
      <c r="A11864" s="3" t="s">
        <v>27451</v>
      </c>
      <c r="B11864" s="3" t="s">
        <v>10278</v>
      </c>
      <c r="C11864" s="5" t="s">
        <v>614</v>
      </c>
      <c r="D11864" s="3" t="s">
        <v>206</v>
      </c>
      <c r="E11864" s="3" t="s">
        <v>100</v>
      </c>
      <c r="F11864" s="7">
        <v>45976.899376361296</v>
      </c>
      <c r="G11864" s="3" t="s">
        <v>11633</v>
      </c>
    </row>
    <row r="11865">
      <c r="A11865" s="3" t="s">
        <v>27452</v>
      </c>
      <c r="B11865" s="3" t="s">
        <v>10278</v>
      </c>
      <c r="C11865" s="5" t="s">
        <v>206</v>
      </c>
      <c r="D11865" s="3" t="s">
        <v>68</v>
      </c>
      <c r="E11865" s="3" t="s">
        <v>100</v>
      </c>
      <c r="F11865" s="7">
        <v>45976.902848583515</v>
      </c>
      <c r="G11865" s="3" t="s">
        <v>11636</v>
      </c>
    </row>
    <row r="11866">
      <c r="A11866" s="3" t="s">
        <v>27453</v>
      </c>
      <c r="B11866" s="3" t="s">
        <v>10281</v>
      </c>
      <c r="C11866" s="5" t="s">
        <v>45</v>
      </c>
      <c r="D11866" s="3" t="s">
        <v>221</v>
      </c>
      <c r="E11866" s="3" t="s">
        <v>669</v>
      </c>
      <c r="F11866" s="7">
        <v>45976.96360676227</v>
      </c>
      <c r="G11866" s="3" t="s">
        <v>25154</v>
      </c>
    </row>
    <row r="11867">
      <c r="A11867" s="3" t="s">
        <v>27454</v>
      </c>
      <c r="B11867" s="3" t="s">
        <v>10281</v>
      </c>
      <c r="C11867" s="5" t="s">
        <v>221</v>
      </c>
      <c r="D11867" s="3" t="s">
        <v>614</v>
      </c>
      <c r="E11867" s="3" t="s">
        <v>118</v>
      </c>
      <c r="F11867" s="7">
        <v>45976.96707898449</v>
      </c>
      <c r="G11867" s="3" t="s">
        <v>25156</v>
      </c>
    </row>
    <row r="11868">
      <c r="A11868" s="3" t="s">
        <v>27455</v>
      </c>
      <c r="B11868" s="3" t="s">
        <v>10281</v>
      </c>
      <c r="C11868" s="5" t="s">
        <v>614</v>
      </c>
      <c r="D11868" s="3" t="s">
        <v>206</v>
      </c>
      <c r="E11868" s="3" t="s">
        <v>100</v>
      </c>
      <c r="F11868" s="7">
        <v>45976.970551206716</v>
      </c>
      <c r="G11868" s="3" t="s">
        <v>25158</v>
      </c>
    </row>
    <row r="11869">
      <c r="A11869" s="3" t="s">
        <v>27456</v>
      </c>
      <c r="B11869" s="3" t="s">
        <v>10281</v>
      </c>
      <c r="C11869" s="5" t="s">
        <v>206</v>
      </c>
      <c r="D11869" s="3" t="s">
        <v>68</v>
      </c>
      <c r="E11869" s="3" t="s">
        <v>100</v>
      </c>
      <c r="F11869" s="7">
        <v>45976.974023428935</v>
      </c>
      <c r="G11869" s="3" t="s">
        <v>25160</v>
      </c>
    </row>
    <row r="11870">
      <c r="A11870" s="3" t="s">
        <v>27457</v>
      </c>
      <c r="B11870" s="3" t="s">
        <v>10284</v>
      </c>
      <c r="C11870" s="5" t="s">
        <v>45</v>
      </c>
      <c r="D11870" s="3" t="s">
        <v>221</v>
      </c>
      <c r="E11870" s="3" t="s">
        <v>299</v>
      </c>
      <c r="F11870" s="7">
        <v>45977.034781607676</v>
      </c>
      <c r="G11870" s="3" t="s">
        <v>24654</v>
      </c>
    </row>
    <row r="11871">
      <c r="A11871" s="3" t="s">
        <v>27458</v>
      </c>
      <c r="B11871" s="3" t="s">
        <v>10284</v>
      </c>
      <c r="C11871" s="5" t="s">
        <v>221</v>
      </c>
      <c r="D11871" s="3" t="s">
        <v>614</v>
      </c>
      <c r="E11871" s="3" t="s">
        <v>118</v>
      </c>
      <c r="F11871" s="7">
        <v>45977.038253829895</v>
      </c>
      <c r="G11871" s="3" t="s">
        <v>27459</v>
      </c>
    </row>
    <row r="11872">
      <c r="A11872" s="3" t="s">
        <v>27460</v>
      </c>
      <c r="B11872" s="3" t="s">
        <v>10284</v>
      </c>
      <c r="C11872" s="5" t="s">
        <v>614</v>
      </c>
      <c r="D11872" s="3" t="s">
        <v>206</v>
      </c>
      <c r="E11872" s="3" t="s">
        <v>100</v>
      </c>
      <c r="F11872" s="7">
        <v>45977.04172605212</v>
      </c>
      <c r="G11872" s="3" t="s">
        <v>27461</v>
      </c>
    </row>
    <row r="11873">
      <c r="A11873" s="3" t="s">
        <v>27462</v>
      </c>
      <c r="B11873" s="3" t="s">
        <v>10284</v>
      </c>
      <c r="C11873" s="5" t="s">
        <v>206</v>
      </c>
      <c r="D11873" s="3" t="s">
        <v>68</v>
      </c>
      <c r="E11873" s="3" t="s">
        <v>100</v>
      </c>
      <c r="F11873" s="7">
        <v>45977.04519827434</v>
      </c>
      <c r="G11873" s="3" t="s">
        <v>27463</v>
      </c>
    </row>
    <row r="11874">
      <c r="A11874" s="3" t="s">
        <v>27464</v>
      </c>
      <c r="B11874" s="3" t="s">
        <v>10287</v>
      </c>
      <c r="C11874" s="5" t="s">
        <v>45</v>
      </c>
      <c r="D11874" s="3" t="s">
        <v>221</v>
      </c>
      <c r="E11874" s="3" t="s">
        <v>678</v>
      </c>
      <c r="F11874" s="7">
        <v>45977.105956453095</v>
      </c>
      <c r="G11874" s="3" t="s">
        <v>19505</v>
      </c>
    </row>
    <row r="11875">
      <c r="A11875" s="3" t="s">
        <v>27465</v>
      </c>
      <c r="B11875" s="3" t="s">
        <v>10287</v>
      </c>
      <c r="C11875" s="5" t="s">
        <v>221</v>
      </c>
      <c r="D11875" s="3" t="s">
        <v>614</v>
      </c>
      <c r="E11875" s="3" t="s">
        <v>118</v>
      </c>
      <c r="F11875" s="7">
        <v>45977.109428675314</v>
      </c>
      <c r="G11875" s="3" t="s">
        <v>19507</v>
      </c>
    </row>
    <row r="11876">
      <c r="A11876" s="3" t="s">
        <v>27466</v>
      </c>
      <c r="B11876" s="3" t="s">
        <v>10287</v>
      </c>
      <c r="C11876" s="5" t="s">
        <v>614</v>
      </c>
      <c r="D11876" s="3" t="s">
        <v>206</v>
      </c>
      <c r="E11876" s="3" t="s">
        <v>100</v>
      </c>
      <c r="F11876" s="7">
        <v>45977.11290089754</v>
      </c>
      <c r="G11876" s="3" t="s">
        <v>19510</v>
      </c>
    </row>
    <row r="11877">
      <c r="A11877" s="3" t="s">
        <v>27467</v>
      </c>
      <c r="B11877" s="3" t="s">
        <v>10287</v>
      </c>
      <c r="C11877" s="5" t="s">
        <v>206</v>
      </c>
      <c r="D11877" s="3" t="s">
        <v>68</v>
      </c>
      <c r="E11877" s="3" t="s">
        <v>100</v>
      </c>
      <c r="F11877" s="7">
        <v>45977.11637311976</v>
      </c>
      <c r="G11877" s="3" t="s">
        <v>19513</v>
      </c>
    </row>
    <row r="11878">
      <c r="A11878" s="3" t="s">
        <v>27468</v>
      </c>
      <c r="B11878" s="3" t="s">
        <v>10290</v>
      </c>
      <c r="C11878" s="5" t="s">
        <v>45</v>
      </c>
      <c r="D11878" s="3" t="s">
        <v>221</v>
      </c>
      <c r="E11878" s="3" t="s">
        <v>770</v>
      </c>
      <c r="F11878" s="7">
        <v>45977.177131298515</v>
      </c>
      <c r="G11878" s="3" t="s">
        <v>11950</v>
      </c>
    </row>
    <row r="11879">
      <c r="A11879" s="3" t="s">
        <v>27469</v>
      </c>
      <c r="B11879" s="3" t="s">
        <v>10290</v>
      </c>
      <c r="C11879" s="5" t="s">
        <v>221</v>
      </c>
      <c r="D11879" s="3" t="s">
        <v>614</v>
      </c>
      <c r="E11879" s="3" t="s">
        <v>118</v>
      </c>
      <c r="F11879" s="7">
        <v>45977.180603520734</v>
      </c>
      <c r="G11879" s="3" t="s">
        <v>11953</v>
      </c>
    </row>
    <row r="11880">
      <c r="A11880" s="3" t="s">
        <v>27470</v>
      </c>
      <c r="B11880" s="3" t="s">
        <v>10290</v>
      </c>
      <c r="C11880" s="5" t="s">
        <v>614</v>
      </c>
      <c r="D11880" s="3" t="s">
        <v>206</v>
      </c>
      <c r="E11880" s="3" t="s">
        <v>100</v>
      </c>
      <c r="F11880" s="7">
        <v>45977.18407574296</v>
      </c>
      <c r="G11880" s="3" t="s">
        <v>11956</v>
      </c>
    </row>
    <row r="11881">
      <c r="A11881" s="3" t="s">
        <v>27471</v>
      </c>
      <c r="B11881" s="3" t="s">
        <v>10290</v>
      </c>
      <c r="C11881" s="5" t="s">
        <v>206</v>
      </c>
      <c r="D11881" s="3" t="s">
        <v>68</v>
      </c>
      <c r="E11881" s="3" t="s">
        <v>100</v>
      </c>
      <c r="F11881" s="7">
        <v>45977.18754796518</v>
      </c>
      <c r="G11881" s="3" t="s">
        <v>11959</v>
      </c>
    </row>
    <row r="11882">
      <c r="A11882" s="3" t="s">
        <v>27472</v>
      </c>
      <c r="B11882" s="3" t="s">
        <v>10293</v>
      </c>
      <c r="C11882" s="5" t="s">
        <v>45</v>
      </c>
      <c r="D11882" s="3" t="s">
        <v>221</v>
      </c>
      <c r="E11882" s="3" t="s">
        <v>137</v>
      </c>
      <c r="F11882" s="7">
        <v>45977.24830614393</v>
      </c>
      <c r="G11882" s="3" t="s">
        <v>14747</v>
      </c>
    </row>
    <row r="11883">
      <c r="A11883" s="3" t="s">
        <v>27473</v>
      </c>
      <c r="B11883" s="3" t="s">
        <v>10293</v>
      </c>
      <c r="C11883" s="5" t="s">
        <v>221</v>
      </c>
      <c r="D11883" s="3" t="s">
        <v>614</v>
      </c>
      <c r="E11883" s="3" t="s">
        <v>118</v>
      </c>
      <c r="F11883" s="7">
        <v>45977.251778366146</v>
      </c>
      <c r="G11883" s="3" t="s">
        <v>14749</v>
      </c>
    </row>
    <row r="11884">
      <c r="A11884" s="3" t="s">
        <v>27474</v>
      </c>
      <c r="B11884" s="3" t="s">
        <v>10293</v>
      </c>
      <c r="C11884" s="5" t="s">
        <v>614</v>
      </c>
      <c r="D11884" s="3" t="s">
        <v>206</v>
      </c>
      <c r="E11884" s="3" t="s">
        <v>100</v>
      </c>
      <c r="F11884" s="7">
        <v>45977.25525058837</v>
      </c>
      <c r="G11884" s="3" t="s">
        <v>14752</v>
      </c>
    </row>
    <row r="11885">
      <c r="A11885" s="3" t="s">
        <v>27475</v>
      </c>
      <c r="B11885" s="3" t="s">
        <v>10293</v>
      </c>
      <c r="C11885" s="5" t="s">
        <v>206</v>
      </c>
      <c r="D11885" s="3" t="s">
        <v>68</v>
      </c>
      <c r="E11885" s="3" t="s">
        <v>100</v>
      </c>
      <c r="F11885" s="7">
        <v>45977.25872281059</v>
      </c>
      <c r="G11885" s="3" t="s">
        <v>14755</v>
      </c>
    </row>
    <row r="11886">
      <c r="A11886" s="3" t="s">
        <v>27476</v>
      </c>
      <c r="B11886" s="3" t="s">
        <v>10298</v>
      </c>
      <c r="C11886" s="5" t="s">
        <v>45</v>
      </c>
      <c r="D11886" s="3" t="s">
        <v>221</v>
      </c>
      <c r="E11886" s="3" t="s">
        <v>302</v>
      </c>
      <c r="F11886" s="7">
        <v>45977.31948098934</v>
      </c>
      <c r="G11886" s="3" t="s">
        <v>18347</v>
      </c>
    </row>
    <row r="11887">
      <c r="A11887" s="3" t="s">
        <v>27477</v>
      </c>
      <c r="B11887" s="3" t="s">
        <v>10298</v>
      </c>
      <c r="C11887" s="5" t="s">
        <v>221</v>
      </c>
      <c r="D11887" s="3" t="s">
        <v>614</v>
      </c>
      <c r="E11887" s="3" t="s">
        <v>118</v>
      </c>
      <c r="F11887" s="7">
        <v>45977.32295321156</v>
      </c>
      <c r="G11887" s="3" t="s">
        <v>18350</v>
      </c>
    </row>
    <row r="11888">
      <c r="A11888" s="3" t="s">
        <v>27478</v>
      </c>
      <c r="B11888" s="3" t="s">
        <v>10298</v>
      </c>
      <c r="C11888" s="5" t="s">
        <v>614</v>
      </c>
      <c r="D11888" s="3" t="s">
        <v>206</v>
      </c>
      <c r="E11888" s="3" t="s">
        <v>100</v>
      </c>
      <c r="F11888" s="7">
        <v>45977.326425433785</v>
      </c>
      <c r="G11888" s="3" t="s">
        <v>18353</v>
      </c>
    </row>
    <row r="11889">
      <c r="A11889" s="3" t="s">
        <v>27479</v>
      </c>
      <c r="B11889" s="3" t="s">
        <v>10298</v>
      </c>
      <c r="C11889" s="5" t="s">
        <v>206</v>
      </c>
      <c r="D11889" s="3" t="s">
        <v>68</v>
      </c>
      <c r="E11889" s="3" t="s">
        <v>100</v>
      </c>
      <c r="F11889" s="7">
        <v>45977.329897656</v>
      </c>
      <c r="G11889" s="3" t="s">
        <v>18355</v>
      </c>
    </row>
    <row r="11890">
      <c r="A11890" s="3" t="s">
        <v>27480</v>
      </c>
      <c r="B11890" s="3" t="s">
        <v>10301</v>
      </c>
      <c r="C11890" s="5" t="s">
        <v>45</v>
      </c>
      <c r="D11890" s="3" t="s">
        <v>221</v>
      </c>
      <c r="E11890" s="3" t="s">
        <v>629</v>
      </c>
      <c r="F11890" s="7">
        <v>45977.39065583476</v>
      </c>
      <c r="G11890" s="3" t="s">
        <v>12582</v>
      </c>
    </row>
    <row r="11891">
      <c r="A11891" s="3" t="s">
        <v>27481</v>
      </c>
      <c r="B11891" s="3" t="s">
        <v>10301</v>
      </c>
      <c r="C11891" s="5" t="s">
        <v>221</v>
      </c>
      <c r="D11891" s="3" t="s">
        <v>181</v>
      </c>
      <c r="E11891" s="3" t="s">
        <v>118</v>
      </c>
      <c r="F11891" s="7">
        <v>45977.39412805698</v>
      </c>
      <c r="G11891" s="3" t="s">
        <v>27482</v>
      </c>
    </row>
    <row r="11892">
      <c r="A11892" s="3" t="s">
        <v>27483</v>
      </c>
      <c r="B11892" s="3" t="s">
        <v>10303</v>
      </c>
      <c r="C11892" s="5" t="s">
        <v>45</v>
      </c>
      <c r="D11892" s="3" t="s">
        <v>221</v>
      </c>
      <c r="E11892" s="3" t="s">
        <v>341</v>
      </c>
      <c r="F11892" s="7">
        <v>45977.46183068017</v>
      </c>
      <c r="G11892" s="3" t="s">
        <v>27484</v>
      </c>
    </row>
    <row r="11893">
      <c r="A11893" s="3" t="s">
        <v>27485</v>
      </c>
      <c r="B11893" s="3" t="s">
        <v>10303</v>
      </c>
      <c r="C11893" s="5" t="s">
        <v>221</v>
      </c>
      <c r="D11893" s="3" t="s">
        <v>614</v>
      </c>
      <c r="E11893" s="3" t="s">
        <v>118</v>
      </c>
      <c r="F11893" s="7">
        <v>45977.46530290239</v>
      </c>
      <c r="G11893" s="3" t="s">
        <v>27486</v>
      </c>
    </row>
    <row r="11894">
      <c r="A11894" s="3" t="s">
        <v>27487</v>
      </c>
      <c r="B11894" s="3" t="s">
        <v>10303</v>
      </c>
      <c r="C11894" s="5" t="s">
        <v>614</v>
      </c>
      <c r="D11894" s="3" t="s">
        <v>206</v>
      </c>
      <c r="E11894" s="3" t="s">
        <v>100</v>
      </c>
      <c r="F11894" s="7">
        <v>45977.46877512462</v>
      </c>
      <c r="G11894" s="3" t="s">
        <v>27488</v>
      </c>
    </row>
    <row r="11895">
      <c r="A11895" s="3" t="s">
        <v>27489</v>
      </c>
      <c r="B11895" s="3" t="s">
        <v>10303</v>
      </c>
      <c r="C11895" s="5" t="s">
        <v>206</v>
      </c>
      <c r="D11895" s="3" t="s">
        <v>68</v>
      </c>
      <c r="E11895" s="3" t="s">
        <v>100</v>
      </c>
      <c r="F11895" s="7">
        <v>45977.472247346836</v>
      </c>
      <c r="G11895" s="3" t="s">
        <v>27490</v>
      </c>
    </row>
    <row r="11896">
      <c r="A11896" s="3" t="s">
        <v>27491</v>
      </c>
      <c r="B11896" s="3" t="s">
        <v>10305</v>
      </c>
      <c r="C11896" s="5" t="s">
        <v>45</v>
      </c>
      <c r="D11896" s="3" t="s">
        <v>221</v>
      </c>
      <c r="E11896" s="3" t="s">
        <v>148</v>
      </c>
      <c r="F11896" s="7">
        <v>45977.53300552558</v>
      </c>
      <c r="G11896" s="3" t="s">
        <v>27492</v>
      </c>
    </row>
    <row r="11897">
      <c r="A11897" s="3" t="s">
        <v>27493</v>
      </c>
      <c r="B11897" s="3" t="s">
        <v>10305</v>
      </c>
      <c r="C11897" s="5" t="s">
        <v>221</v>
      </c>
      <c r="D11897" s="3" t="s">
        <v>614</v>
      </c>
      <c r="E11897" s="3" t="s">
        <v>118</v>
      </c>
      <c r="F11897" s="7">
        <v>45977.5364777478</v>
      </c>
      <c r="G11897" s="3" t="s">
        <v>27494</v>
      </c>
    </row>
    <row r="11898">
      <c r="A11898" s="3" t="s">
        <v>27495</v>
      </c>
      <c r="B11898" s="3" t="s">
        <v>10305</v>
      </c>
      <c r="C11898" s="5" t="s">
        <v>614</v>
      </c>
      <c r="D11898" s="3" t="s">
        <v>206</v>
      </c>
      <c r="E11898" s="3" t="s">
        <v>100</v>
      </c>
      <c r="F11898" s="7">
        <v>45977.53994997003</v>
      </c>
      <c r="G11898" s="3" t="s">
        <v>27496</v>
      </c>
    </row>
    <row r="11899">
      <c r="A11899" s="3" t="s">
        <v>27497</v>
      </c>
      <c r="B11899" s="3" t="s">
        <v>10305</v>
      </c>
      <c r="C11899" s="5" t="s">
        <v>206</v>
      </c>
      <c r="D11899" s="3" t="s">
        <v>68</v>
      </c>
      <c r="E11899" s="3" t="s">
        <v>100</v>
      </c>
      <c r="F11899" s="7">
        <v>45977.54342219225</v>
      </c>
      <c r="G11899" s="3" t="s">
        <v>27498</v>
      </c>
    </row>
    <row r="11900">
      <c r="A11900" s="3" t="s">
        <v>27499</v>
      </c>
      <c r="B11900" s="3" t="s">
        <v>10307</v>
      </c>
      <c r="C11900" s="5" t="s">
        <v>45</v>
      </c>
      <c r="D11900" s="3" t="s">
        <v>221</v>
      </c>
      <c r="E11900" s="3" t="s">
        <v>645</v>
      </c>
      <c r="F11900" s="7">
        <v>45977.604180371</v>
      </c>
      <c r="G11900" s="3" t="s">
        <v>13723</v>
      </c>
    </row>
    <row r="11901">
      <c r="A11901" s="3" t="s">
        <v>27500</v>
      </c>
      <c r="B11901" s="3" t="s">
        <v>10307</v>
      </c>
      <c r="C11901" s="5" t="s">
        <v>221</v>
      </c>
      <c r="D11901" s="3" t="s">
        <v>614</v>
      </c>
      <c r="E11901" s="3" t="s">
        <v>118</v>
      </c>
      <c r="F11901" s="7">
        <v>45977.60765259322</v>
      </c>
      <c r="G11901" s="3" t="s">
        <v>13726</v>
      </c>
    </row>
    <row r="11902">
      <c r="A11902" s="3" t="s">
        <v>27501</v>
      </c>
      <c r="B11902" s="3" t="s">
        <v>10307</v>
      </c>
      <c r="C11902" s="5" t="s">
        <v>614</v>
      </c>
      <c r="D11902" s="3" t="s">
        <v>206</v>
      </c>
      <c r="E11902" s="3" t="s">
        <v>100</v>
      </c>
      <c r="F11902" s="7">
        <v>45977.61112481545</v>
      </c>
      <c r="G11902" s="3" t="s">
        <v>13728</v>
      </c>
    </row>
    <row r="11903">
      <c r="A11903" s="3" t="s">
        <v>27502</v>
      </c>
      <c r="B11903" s="3" t="s">
        <v>10307</v>
      </c>
      <c r="C11903" s="5" t="s">
        <v>206</v>
      </c>
      <c r="D11903" s="3" t="s">
        <v>68</v>
      </c>
      <c r="E11903" s="3" t="s">
        <v>100</v>
      </c>
      <c r="F11903" s="7">
        <v>45977.61459703767</v>
      </c>
      <c r="G11903" s="3" t="s">
        <v>13731</v>
      </c>
    </row>
    <row r="11904">
      <c r="A11904" s="3" t="s">
        <v>27503</v>
      </c>
      <c r="B11904" s="3" t="s">
        <v>10311</v>
      </c>
      <c r="C11904" s="5" t="s">
        <v>45</v>
      </c>
      <c r="D11904" s="3" t="s">
        <v>221</v>
      </c>
      <c r="E11904" s="3" t="s">
        <v>165</v>
      </c>
      <c r="F11904" s="7">
        <v>45977.675355216415</v>
      </c>
      <c r="G11904" s="3" t="s">
        <v>24623</v>
      </c>
    </row>
    <row r="11905">
      <c r="A11905" s="3" t="s">
        <v>27504</v>
      </c>
      <c r="B11905" s="3" t="s">
        <v>10311</v>
      </c>
      <c r="C11905" s="5" t="s">
        <v>221</v>
      </c>
      <c r="D11905" s="3" t="s">
        <v>614</v>
      </c>
      <c r="E11905" s="3" t="s">
        <v>118</v>
      </c>
      <c r="F11905" s="7">
        <v>45977.678827438634</v>
      </c>
      <c r="G11905" s="3" t="s">
        <v>24625</v>
      </c>
    </row>
    <row r="11906">
      <c r="A11906" s="3" t="s">
        <v>27505</v>
      </c>
      <c r="B11906" s="3" t="s">
        <v>10311</v>
      </c>
      <c r="C11906" s="5" t="s">
        <v>614</v>
      </c>
      <c r="D11906" s="3" t="s">
        <v>206</v>
      </c>
      <c r="E11906" s="3" t="s">
        <v>100</v>
      </c>
      <c r="F11906" s="7">
        <v>45977.68229966086</v>
      </c>
      <c r="G11906" s="3" t="s">
        <v>24627</v>
      </c>
    </row>
    <row r="11907">
      <c r="A11907" s="3" t="s">
        <v>27506</v>
      </c>
      <c r="B11907" s="3" t="s">
        <v>10311</v>
      </c>
      <c r="C11907" s="5" t="s">
        <v>206</v>
      </c>
      <c r="D11907" s="3" t="s">
        <v>68</v>
      </c>
      <c r="E11907" s="3" t="s">
        <v>100</v>
      </c>
      <c r="F11907" s="7">
        <v>45977.68577188308</v>
      </c>
      <c r="G11907" s="3" t="s">
        <v>24629</v>
      </c>
    </row>
    <row r="11908">
      <c r="A11908" s="3" t="s">
        <v>27507</v>
      </c>
      <c r="B11908" s="3" t="s">
        <v>10314</v>
      </c>
      <c r="C11908" s="5" t="s">
        <v>45</v>
      </c>
      <c r="D11908" s="3" t="s">
        <v>221</v>
      </c>
      <c r="E11908" s="3" t="s">
        <v>539</v>
      </c>
      <c r="F11908" s="7">
        <v>45977.74653006183</v>
      </c>
      <c r="G11908" s="3" t="s">
        <v>11481</v>
      </c>
    </row>
    <row r="11909">
      <c r="A11909" s="3" t="s">
        <v>27508</v>
      </c>
      <c r="B11909" s="3" t="s">
        <v>10314</v>
      </c>
      <c r="C11909" s="5" t="s">
        <v>221</v>
      </c>
      <c r="D11909" s="3" t="s">
        <v>614</v>
      </c>
      <c r="E11909" s="3" t="s">
        <v>118</v>
      </c>
      <c r="F11909" s="7">
        <v>45977.75000228405</v>
      </c>
      <c r="G11909" s="3" t="s">
        <v>11485</v>
      </c>
    </row>
    <row r="11910">
      <c r="A11910" s="3" t="s">
        <v>27509</v>
      </c>
      <c r="B11910" s="3" t="s">
        <v>10314</v>
      </c>
      <c r="C11910" s="5" t="s">
        <v>614</v>
      </c>
      <c r="D11910" s="3" t="s">
        <v>206</v>
      </c>
      <c r="E11910" s="3" t="s">
        <v>100</v>
      </c>
      <c r="F11910" s="7">
        <v>45977.75347450627</v>
      </c>
      <c r="G11910" s="3" t="s">
        <v>11487</v>
      </c>
    </row>
    <row r="11911">
      <c r="A11911" s="3" t="s">
        <v>27510</v>
      </c>
      <c r="B11911" s="3" t="s">
        <v>10314</v>
      </c>
      <c r="C11911" s="5" t="s">
        <v>206</v>
      </c>
      <c r="D11911" s="3" t="s">
        <v>68</v>
      </c>
      <c r="E11911" s="3" t="s">
        <v>100</v>
      </c>
      <c r="F11911" s="7">
        <v>45977.75694672849</v>
      </c>
      <c r="G11911" s="3" t="s">
        <v>11490</v>
      </c>
    </row>
    <row r="11912">
      <c r="A11912" s="3" t="s">
        <v>27511</v>
      </c>
      <c r="B11912" s="3" t="s">
        <v>10317</v>
      </c>
      <c r="C11912" s="5" t="s">
        <v>45</v>
      </c>
      <c r="D11912" s="3" t="s">
        <v>221</v>
      </c>
      <c r="E11912" s="3" t="s">
        <v>785</v>
      </c>
      <c r="F11912" s="7">
        <v>45977.81770490725</v>
      </c>
      <c r="G11912" s="3" t="s">
        <v>13775</v>
      </c>
    </row>
    <row r="11913">
      <c r="A11913" s="3" t="s">
        <v>27512</v>
      </c>
      <c r="B11913" s="3" t="s">
        <v>10317</v>
      </c>
      <c r="C11913" s="5" t="s">
        <v>221</v>
      </c>
      <c r="D11913" s="3" t="s">
        <v>614</v>
      </c>
      <c r="E11913" s="3" t="s">
        <v>118</v>
      </c>
      <c r="F11913" s="7">
        <v>45977.82117712947</v>
      </c>
      <c r="G11913" s="3" t="s">
        <v>13778</v>
      </c>
    </row>
    <row r="11914">
      <c r="A11914" s="3" t="s">
        <v>27513</v>
      </c>
      <c r="B11914" s="3" t="s">
        <v>10317</v>
      </c>
      <c r="C11914" s="5" t="s">
        <v>614</v>
      </c>
      <c r="D11914" s="3" t="s">
        <v>206</v>
      </c>
      <c r="E11914" s="3" t="s">
        <v>100</v>
      </c>
      <c r="F11914" s="7">
        <v>45977.82464935169</v>
      </c>
      <c r="G11914" s="3" t="s">
        <v>13781</v>
      </c>
    </row>
    <row r="11915">
      <c r="A11915" s="3" t="s">
        <v>27514</v>
      </c>
      <c r="B11915" s="3" t="s">
        <v>10317</v>
      </c>
      <c r="C11915" s="5" t="s">
        <v>206</v>
      </c>
      <c r="D11915" s="3" t="s">
        <v>68</v>
      </c>
      <c r="E11915" s="3" t="s">
        <v>100</v>
      </c>
      <c r="F11915" s="7">
        <v>45977.82812157391</v>
      </c>
      <c r="G11915" s="3" t="s">
        <v>13783</v>
      </c>
    </row>
    <row r="11916">
      <c r="A11916" s="3" t="s">
        <v>27515</v>
      </c>
      <c r="B11916" s="3" t="s">
        <v>10320</v>
      </c>
      <c r="C11916" s="5" t="s">
        <v>45</v>
      </c>
      <c r="D11916" s="3" t="s">
        <v>221</v>
      </c>
      <c r="E11916" s="3" t="s">
        <v>616</v>
      </c>
      <c r="F11916" s="7">
        <v>45977.88887975266</v>
      </c>
      <c r="G11916" s="3" t="s">
        <v>26072</v>
      </c>
    </row>
    <row r="11917">
      <c r="A11917" s="3" t="s">
        <v>27516</v>
      </c>
      <c r="B11917" s="3" t="s">
        <v>10320</v>
      </c>
      <c r="C11917" s="5" t="s">
        <v>221</v>
      </c>
      <c r="D11917" s="3" t="s">
        <v>614</v>
      </c>
      <c r="E11917" s="3" t="s">
        <v>118</v>
      </c>
      <c r="F11917" s="7">
        <v>45977.89235197488</v>
      </c>
      <c r="G11917" s="3" t="s">
        <v>26074</v>
      </c>
    </row>
    <row r="11918">
      <c r="A11918" s="3" t="s">
        <v>27517</v>
      </c>
      <c r="B11918" s="3" t="s">
        <v>10320</v>
      </c>
      <c r="C11918" s="5" t="s">
        <v>614</v>
      </c>
      <c r="D11918" s="3" t="s">
        <v>206</v>
      </c>
      <c r="E11918" s="3" t="s">
        <v>100</v>
      </c>
      <c r="F11918" s="7">
        <v>45977.895824197105</v>
      </c>
      <c r="G11918" s="3" t="s">
        <v>26076</v>
      </c>
    </row>
    <row r="11919">
      <c r="A11919" s="3" t="s">
        <v>27518</v>
      </c>
      <c r="B11919" s="3" t="s">
        <v>10320</v>
      </c>
      <c r="C11919" s="5" t="s">
        <v>206</v>
      </c>
      <c r="D11919" s="3" t="s">
        <v>68</v>
      </c>
      <c r="E11919" s="3" t="s">
        <v>100</v>
      </c>
      <c r="F11919" s="7">
        <v>45977.899296419324</v>
      </c>
      <c r="G11919" s="3" t="s">
        <v>26078</v>
      </c>
    </row>
    <row r="11920">
      <c r="A11920" s="3" t="s">
        <v>27519</v>
      </c>
      <c r="B11920" s="3" t="s">
        <v>10323</v>
      </c>
      <c r="C11920" s="5" t="s">
        <v>45</v>
      </c>
      <c r="D11920" s="3" t="s">
        <v>221</v>
      </c>
      <c r="E11920" s="3" t="s">
        <v>527</v>
      </c>
      <c r="F11920" s="7">
        <v>45977.96005459807</v>
      </c>
      <c r="G11920" s="3" t="s">
        <v>13786</v>
      </c>
    </row>
    <row r="11921">
      <c r="A11921" s="3" t="s">
        <v>27520</v>
      </c>
      <c r="B11921" s="3" t="s">
        <v>10323</v>
      </c>
      <c r="C11921" s="5" t="s">
        <v>221</v>
      </c>
      <c r="D11921" s="3" t="s">
        <v>614</v>
      </c>
      <c r="E11921" s="3" t="s">
        <v>118</v>
      </c>
      <c r="F11921" s="7">
        <v>45977.96352682029</v>
      </c>
      <c r="G11921" s="3" t="s">
        <v>13789</v>
      </c>
    </row>
    <row r="11922">
      <c r="A11922" s="3" t="s">
        <v>27521</v>
      </c>
      <c r="B11922" s="3" t="s">
        <v>10323</v>
      </c>
      <c r="C11922" s="5" t="s">
        <v>614</v>
      </c>
      <c r="D11922" s="3" t="s">
        <v>206</v>
      </c>
      <c r="E11922" s="3" t="s">
        <v>100</v>
      </c>
      <c r="F11922" s="7">
        <v>45977.96699904252</v>
      </c>
      <c r="G11922" s="3" t="s">
        <v>13792</v>
      </c>
    </row>
    <row r="11923">
      <c r="A11923" s="3" t="s">
        <v>27522</v>
      </c>
      <c r="B11923" s="3" t="s">
        <v>10323</v>
      </c>
      <c r="C11923" s="5" t="s">
        <v>206</v>
      </c>
      <c r="D11923" s="3" t="s">
        <v>68</v>
      </c>
      <c r="E11923" s="3" t="s">
        <v>100</v>
      </c>
      <c r="F11923" s="7">
        <v>45977.970471264736</v>
      </c>
      <c r="G11923" s="3" t="s">
        <v>13794</v>
      </c>
    </row>
    <row r="11924">
      <c r="A11924" s="3" t="s">
        <v>27523</v>
      </c>
      <c r="B11924" s="3" t="s">
        <v>10326</v>
      </c>
      <c r="C11924" s="5" t="s">
        <v>45</v>
      </c>
      <c r="D11924" s="3" t="s">
        <v>221</v>
      </c>
      <c r="E11924" s="3" t="s">
        <v>148</v>
      </c>
      <c r="F11924" s="7">
        <v>45978.03122944349</v>
      </c>
      <c r="G11924" s="3" t="s">
        <v>4612</v>
      </c>
    </row>
    <row r="11925">
      <c r="A11925" s="3" t="s">
        <v>27524</v>
      </c>
      <c r="B11925" s="3" t="s">
        <v>10326</v>
      </c>
      <c r="C11925" s="5" t="s">
        <v>221</v>
      </c>
      <c r="D11925" s="3" t="s">
        <v>195</v>
      </c>
      <c r="E11925" s="3" t="s">
        <v>148</v>
      </c>
      <c r="F11925" s="7">
        <v>45978.03470166571</v>
      </c>
      <c r="G11925" s="3" t="s">
        <v>27525</v>
      </c>
    </row>
    <row r="11926">
      <c r="A11926" s="3" t="s">
        <v>27526</v>
      </c>
      <c r="B11926" s="3" t="s">
        <v>10329</v>
      </c>
      <c r="C11926" s="5" t="s">
        <v>45</v>
      </c>
      <c r="D11926" s="3" t="s">
        <v>221</v>
      </c>
      <c r="E11926" s="3" t="s">
        <v>796</v>
      </c>
      <c r="F11926" s="7">
        <v>45978.10240428891</v>
      </c>
      <c r="G11926" s="3" t="s">
        <v>27019</v>
      </c>
    </row>
    <row r="11927">
      <c r="A11927" s="3" t="s">
        <v>27527</v>
      </c>
      <c r="B11927" s="3" t="s">
        <v>10329</v>
      </c>
      <c r="C11927" s="5" t="s">
        <v>221</v>
      </c>
      <c r="D11927" s="3" t="s">
        <v>181</v>
      </c>
      <c r="E11927" s="3" t="s">
        <v>118</v>
      </c>
      <c r="F11927" s="7">
        <v>45978.10587651113</v>
      </c>
      <c r="G11927" s="3" t="s">
        <v>27021</v>
      </c>
    </row>
    <row r="11928">
      <c r="A11928" s="3" t="s">
        <v>27528</v>
      </c>
      <c r="B11928" s="3" t="s">
        <v>10332</v>
      </c>
      <c r="C11928" s="5" t="s">
        <v>45</v>
      </c>
      <c r="D11928" s="3" t="s">
        <v>221</v>
      </c>
      <c r="E11928" s="3" t="s">
        <v>886</v>
      </c>
      <c r="F11928" s="7">
        <v>45978.173579134316</v>
      </c>
      <c r="G11928" s="3" t="s">
        <v>11776</v>
      </c>
    </row>
    <row r="11929">
      <c r="A11929" s="3" t="s">
        <v>27529</v>
      </c>
      <c r="B11929" s="3" t="s">
        <v>10332</v>
      </c>
      <c r="C11929" s="5" t="s">
        <v>221</v>
      </c>
      <c r="D11929" s="3" t="s">
        <v>614</v>
      </c>
      <c r="E11929" s="3" t="s">
        <v>118</v>
      </c>
      <c r="F11929" s="7">
        <v>45978.177051356535</v>
      </c>
      <c r="G11929" s="3" t="s">
        <v>11779</v>
      </c>
    </row>
    <row r="11930">
      <c r="A11930" s="3" t="s">
        <v>27530</v>
      </c>
      <c r="B11930" s="3" t="s">
        <v>10332</v>
      </c>
      <c r="C11930" s="5" t="s">
        <v>614</v>
      </c>
      <c r="D11930" s="3" t="s">
        <v>206</v>
      </c>
      <c r="E11930" s="3" t="s">
        <v>100</v>
      </c>
      <c r="F11930" s="7">
        <v>45978.18052357876</v>
      </c>
      <c r="G11930" s="3" t="s">
        <v>11782</v>
      </c>
    </row>
    <row r="11931">
      <c r="A11931" s="3" t="s">
        <v>27531</v>
      </c>
      <c r="B11931" s="3" t="s">
        <v>10332</v>
      </c>
      <c r="C11931" s="5" t="s">
        <v>206</v>
      </c>
      <c r="D11931" s="3" t="s">
        <v>68</v>
      </c>
      <c r="E11931" s="3" t="s">
        <v>100</v>
      </c>
      <c r="F11931" s="7">
        <v>45978.18399580098</v>
      </c>
      <c r="G11931" s="3" t="s">
        <v>11785</v>
      </c>
    </row>
    <row r="11932">
      <c r="A11932" s="3" t="s">
        <v>27532</v>
      </c>
      <c r="B11932" s="3" t="s">
        <v>10336</v>
      </c>
      <c r="C11932" s="5" t="s">
        <v>45</v>
      </c>
      <c r="D11932" s="3" t="s">
        <v>221</v>
      </c>
      <c r="E11932" s="3" t="s">
        <v>168</v>
      </c>
      <c r="F11932" s="7">
        <v>45978.244753979736</v>
      </c>
      <c r="G11932" s="3" t="s">
        <v>12142</v>
      </c>
    </row>
    <row r="11933">
      <c r="A11933" s="3" t="s">
        <v>27533</v>
      </c>
      <c r="B11933" s="3" t="s">
        <v>10336</v>
      </c>
      <c r="C11933" s="5" t="s">
        <v>221</v>
      </c>
      <c r="D11933" s="3" t="s">
        <v>614</v>
      </c>
      <c r="E11933" s="3" t="s">
        <v>118</v>
      </c>
      <c r="F11933" s="7">
        <v>45978.248226201955</v>
      </c>
      <c r="G11933" s="3" t="s">
        <v>12145</v>
      </c>
    </row>
    <row r="11934">
      <c r="A11934" s="3" t="s">
        <v>27534</v>
      </c>
      <c r="B11934" s="3" t="s">
        <v>10336</v>
      </c>
      <c r="C11934" s="5" t="s">
        <v>614</v>
      </c>
      <c r="D11934" s="3" t="s">
        <v>206</v>
      </c>
      <c r="E11934" s="3" t="s">
        <v>100</v>
      </c>
      <c r="F11934" s="7">
        <v>45978.25169842418</v>
      </c>
      <c r="G11934" s="3" t="s">
        <v>12148</v>
      </c>
    </row>
    <row r="11935">
      <c r="A11935" s="3" t="s">
        <v>27535</v>
      </c>
      <c r="B11935" s="3" t="s">
        <v>10336</v>
      </c>
      <c r="C11935" s="5" t="s">
        <v>206</v>
      </c>
      <c r="D11935" s="3" t="s">
        <v>68</v>
      </c>
      <c r="E11935" s="3" t="s">
        <v>100</v>
      </c>
      <c r="F11935" s="7">
        <v>45978.2551706464</v>
      </c>
      <c r="G11935" s="3" t="s">
        <v>12151</v>
      </c>
    </row>
    <row r="11936">
      <c r="A11936" s="3" t="s">
        <v>27536</v>
      </c>
      <c r="B11936" s="3" t="s">
        <v>10340</v>
      </c>
      <c r="C11936" s="5" t="s">
        <v>45</v>
      </c>
      <c r="D11936" s="3" t="s">
        <v>221</v>
      </c>
      <c r="E11936" s="3" t="s">
        <v>521</v>
      </c>
      <c r="F11936" s="7">
        <v>45978.315928825155</v>
      </c>
      <c r="G11936" s="3" t="s">
        <v>13881</v>
      </c>
    </row>
    <row r="11937">
      <c r="A11937" s="3" t="s">
        <v>27537</v>
      </c>
      <c r="B11937" s="3" t="s">
        <v>10340</v>
      </c>
      <c r="C11937" s="5" t="s">
        <v>221</v>
      </c>
      <c r="D11937" s="3" t="s">
        <v>614</v>
      </c>
      <c r="E11937" s="3" t="s">
        <v>118</v>
      </c>
      <c r="F11937" s="7">
        <v>45978.319401047374</v>
      </c>
      <c r="G11937" s="3" t="s">
        <v>13883</v>
      </c>
    </row>
    <row r="11938">
      <c r="A11938" s="3" t="s">
        <v>27538</v>
      </c>
      <c r="B11938" s="3" t="s">
        <v>10340</v>
      </c>
      <c r="C11938" s="5" t="s">
        <v>614</v>
      </c>
      <c r="D11938" s="3" t="s">
        <v>206</v>
      </c>
      <c r="E11938" s="3" t="s">
        <v>100</v>
      </c>
      <c r="F11938" s="7">
        <v>45978.3228732696</v>
      </c>
      <c r="G11938" s="3" t="s">
        <v>13886</v>
      </c>
    </row>
    <row r="11939">
      <c r="A11939" s="3" t="s">
        <v>27539</v>
      </c>
      <c r="B11939" s="3" t="s">
        <v>10340</v>
      </c>
      <c r="C11939" s="5" t="s">
        <v>206</v>
      </c>
      <c r="D11939" s="3" t="s">
        <v>68</v>
      </c>
      <c r="E11939" s="3" t="s">
        <v>100</v>
      </c>
      <c r="F11939" s="7">
        <v>45978.32634549182</v>
      </c>
      <c r="G11939" s="3" t="s">
        <v>13888</v>
      </c>
    </row>
    <row r="11940">
      <c r="A11940" s="3" t="s">
        <v>27540</v>
      </c>
      <c r="B11940" s="3" t="s">
        <v>10343</v>
      </c>
      <c r="C11940" s="5" t="s">
        <v>45</v>
      </c>
      <c r="D11940" s="3" t="s">
        <v>221</v>
      </c>
      <c r="E11940" s="3" t="s">
        <v>215</v>
      </c>
      <c r="F11940" s="7">
        <v>45978.38710367057</v>
      </c>
      <c r="G11940" s="3" t="s">
        <v>13914</v>
      </c>
    </row>
    <row r="11941">
      <c r="A11941" s="3" t="s">
        <v>27541</v>
      </c>
      <c r="B11941" s="3" t="s">
        <v>10343</v>
      </c>
      <c r="C11941" s="5" t="s">
        <v>221</v>
      </c>
      <c r="D11941" s="3" t="s">
        <v>614</v>
      </c>
      <c r="E11941" s="3" t="s">
        <v>118</v>
      </c>
      <c r="F11941" s="7">
        <v>45978.39057589279</v>
      </c>
      <c r="G11941" s="3" t="s">
        <v>13916</v>
      </c>
    </row>
    <row r="11942">
      <c r="A11942" s="3" t="s">
        <v>27542</v>
      </c>
      <c r="B11942" s="3" t="s">
        <v>10343</v>
      </c>
      <c r="C11942" s="5" t="s">
        <v>614</v>
      </c>
      <c r="D11942" s="3" t="s">
        <v>206</v>
      </c>
      <c r="E11942" s="3" t="s">
        <v>100</v>
      </c>
      <c r="F11942" s="7">
        <v>45978.39404811501</v>
      </c>
      <c r="G11942" s="3" t="s">
        <v>13919</v>
      </c>
    </row>
    <row r="11943">
      <c r="A11943" s="3" t="s">
        <v>27543</v>
      </c>
      <c r="B11943" s="3" t="s">
        <v>10343</v>
      </c>
      <c r="C11943" s="5" t="s">
        <v>206</v>
      </c>
      <c r="D11943" s="3" t="s">
        <v>68</v>
      </c>
      <c r="E11943" s="3" t="s">
        <v>100</v>
      </c>
      <c r="F11943" s="7">
        <v>45978.39752033723</v>
      </c>
      <c r="G11943" s="3" t="s">
        <v>13922</v>
      </c>
    </row>
    <row r="11944">
      <c r="A11944" s="3" t="s">
        <v>27544</v>
      </c>
      <c r="B11944" s="3" t="s">
        <v>10348</v>
      </c>
      <c r="C11944" s="5" t="s">
        <v>45</v>
      </c>
      <c r="D11944" s="3" t="s">
        <v>221</v>
      </c>
      <c r="E11944" s="3" t="s">
        <v>1011</v>
      </c>
      <c r="F11944" s="7">
        <v>45978.45827851598</v>
      </c>
      <c r="G11944" s="3" t="s">
        <v>15818</v>
      </c>
    </row>
    <row r="11945">
      <c r="A11945" s="3" t="s">
        <v>27545</v>
      </c>
      <c r="B11945" s="3" t="s">
        <v>10348</v>
      </c>
      <c r="C11945" s="5" t="s">
        <v>221</v>
      </c>
      <c r="D11945" s="3" t="s">
        <v>181</v>
      </c>
      <c r="E11945" s="3" t="s">
        <v>118</v>
      </c>
      <c r="F11945" s="7">
        <v>45978.4617507382</v>
      </c>
      <c r="G11945" s="3" t="s">
        <v>27546</v>
      </c>
    </row>
    <row r="11946">
      <c r="A11946" s="3" t="s">
        <v>27547</v>
      </c>
      <c r="B11946" s="3" t="s">
        <v>10350</v>
      </c>
      <c r="C11946" s="5" t="s">
        <v>45</v>
      </c>
      <c r="D11946" s="3" t="s">
        <v>221</v>
      </c>
      <c r="E11946" s="3" t="s">
        <v>569</v>
      </c>
      <c r="F11946" s="7">
        <v>45978.5294533614</v>
      </c>
      <c r="G11946" s="3" t="s">
        <v>12214</v>
      </c>
    </row>
    <row r="11947">
      <c r="A11947" s="3" t="s">
        <v>27548</v>
      </c>
      <c r="B11947" s="3" t="s">
        <v>10350</v>
      </c>
      <c r="C11947" s="5" t="s">
        <v>221</v>
      </c>
      <c r="D11947" s="3" t="s">
        <v>195</v>
      </c>
      <c r="E11947" s="3" t="s">
        <v>569</v>
      </c>
      <c r="F11947" s="7">
        <v>45978.53292558362</v>
      </c>
      <c r="G11947" s="3" t="s">
        <v>27549</v>
      </c>
    </row>
    <row r="11948">
      <c r="A11948" s="3" t="s">
        <v>27550</v>
      </c>
      <c r="B11948" s="3" t="s">
        <v>10354</v>
      </c>
      <c r="C11948" s="5" t="s">
        <v>45</v>
      </c>
      <c r="D11948" s="3" t="s">
        <v>221</v>
      </c>
      <c r="E11948" s="3" t="s">
        <v>183</v>
      </c>
      <c r="F11948" s="7">
        <v>45978.60062820681</v>
      </c>
      <c r="G11948" s="3" t="s">
        <v>14007</v>
      </c>
    </row>
    <row r="11949">
      <c r="A11949" s="3" t="s">
        <v>27551</v>
      </c>
      <c r="B11949" s="3" t="s">
        <v>10354</v>
      </c>
      <c r="C11949" s="5" t="s">
        <v>221</v>
      </c>
      <c r="D11949" s="3" t="s">
        <v>614</v>
      </c>
      <c r="E11949" s="3" t="s">
        <v>118</v>
      </c>
      <c r="F11949" s="7">
        <v>45978.60410042903</v>
      </c>
      <c r="G11949" s="3" t="s">
        <v>14010</v>
      </c>
    </row>
    <row r="11950">
      <c r="A11950" s="3" t="s">
        <v>27552</v>
      </c>
      <c r="B11950" s="3" t="s">
        <v>10354</v>
      </c>
      <c r="C11950" s="5" t="s">
        <v>614</v>
      </c>
      <c r="D11950" s="3" t="s">
        <v>206</v>
      </c>
      <c r="E11950" s="3" t="s">
        <v>100</v>
      </c>
      <c r="F11950" s="7">
        <v>45978.60757265126</v>
      </c>
      <c r="G11950" s="3" t="s">
        <v>14013</v>
      </c>
    </row>
    <row r="11951">
      <c r="A11951" s="3" t="s">
        <v>27553</v>
      </c>
      <c r="B11951" s="3" t="s">
        <v>10354</v>
      </c>
      <c r="C11951" s="5" t="s">
        <v>206</v>
      </c>
      <c r="D11951" s="3" t="s">
        <v>68</v>
      </c>
      <c r="E11951" s="3" t="s">
        <v>100</v>
      </c>
      <c r="F11951" s="7">
        <v>45978.611044873476</v>
      </c>
      <c r="G11951" s="3" t="s">
        <v>14015</v>
      </c>
    </row>
    <row r="11952">
      <c r="A11952" s="3" t="s">
        <v>27554</v>
      </c>
      <c r="B11952" s="3" t="s">
        <v>10357</v>
      </c>
      <c r="C11952" s="5" t="s">
        <v>45</v>
      </c>
      <c r="D11952" s="3" t="s">
        <v>221</v>
      </c>
      <c r="E11952" s="3" t="s">
        <v>366</v>
      </c>
      <c r="F11952" s="7">
        <v>45978.671803052224</v>
      </c>
      <c r="G11952" s="3" t="s">
        <v>26742</v>
      </c>
    </row>
    <row r="11953">
      <c r="A11953" s="3" t="s">
        <v>27555</v>
      </c>
      <c r="B11953" s="3" t="s">
        <v>10357</v>
      </c>
      <c r="C11953" s="5" t="s">
        <v>221</v>
      </c>
      <c r="D11953" s="3" t="s">
        <v>614</v>
      </c>
      <c r="E11953" s="3" t="s">
        <v>118</v>
      </c>
      <c r="F11953" s="7">
        <v>45978.67527527444</v>
      </c>
      <c r="G11953" s="3" t="s">
        <v>26744</v>
      </c>
    </row>
    <row r="11954">
      <c r="A11954" s="3" t="s">
        <v>27556</v>
      </c>
      <c r="B11954" s="3" t="s">
        <v>10357</v>
      </c>
      <c r="C11954" s="5" t="s">
        <v>614</v>
      </c>
      <c r="D11954" s="3" t="s">
        <v>206</v>
      </c>
      <c r="E11954" s="3" t="s">
        <v>100</v>
      </c>
      <c r="F11954" s="7">
        <v>45978.67874749667</v>
      </c>
      <c r="G11954" s="3" t="s">
        <v>26746</v>
      </c>
    </row>
    <row r="11955">
      <c r="A11955" s="3" t="s">
        <v>27557</v>
      </c>
      <c r="B11955" s="3" t="s">
        <v>10357</v>
      </c>
      <c r="C11955" s="5" t="s">
        <v>206</v>
      </c>
      <c r="D11955" s="3" t="s">
        <v>68</v>
      </c>
      <c r="E11955" s="3" t="s">
        <v>100</v>
      </c>
      <c r="F11955" s="7">
        <v>45978.68221971889</v>
      </c>
      <c r="G11955" s="3" t="s">
        <v>26748</v>
      </c>
    </row>
    <row r="11956">
      <c r="A11956" s="3" t="s">
        <v>27558</v>
      </c>
      <c r="B11956" s="3" t="s">
        <v>10360</v>
      </c>
      <c r="C11956" s="5" t="s">
        <v>45</v>
      </c>
      <c r="D11956" s="3" t="s">
        <v>221</v>
      </c>
      <c r="E11956" s="3" t="s">
        <v>1049</v>
      </c>
      <c r="F11956" s="7">
        <v>45978.742977897644</v>
      </c>
      <c r="G11956" s="3" t="s">
        <v>4101</v>
      </c>
    </row>
    <row r="11957">
      <c r="A11957" s="3" t="s">
        <v>27559</v>
      </c>
      <c r="B11957" s="3" t="s">
        <v>10360</v>
      </c>
      <c r="C11957" s="5" t="s">
        <v>221</v>
      </c>
      <c r="D11957" s="3" t="s">
        <v>614</v>
      </c>
      <c r="E11957" s="3" t="s">
        <v>118</v>
      </c>
      <c r="F11957" s="7">
        <v>45978.74645011986</v>
      </c>
      <c r="G11957" s="3" t="s">
        <v>4104</v>
      </c>
    </row>
    <row r="11958">
      <c r="A11958" s="3" t="s">
        <v>27560</v>
      </c>
      <c r="B11958" s="3" t="s">
        <v>10360</v>
      </c>
      <c r="C11958" s="5" t="s">
        <v>614</v>
      </c>
      <c r="D11958" s="3" t="s">
        <v>206</v>
      </c>
      <c r="E11958" s="3" t="s">
        <v>100</v>
      </c>
      <c r="F11958" s="7">
        <v>45978.74992234209</v>
      </c>
      <c r="G11958" s="3" t="s">
        <v>4107</v>
      </c>
    </row>
    <row r="11959">
      <c r="A11959" s="3" t="s">
        <v>27561</v>
      </c>
      <c r="B11959" s="3" t="s">
        <v>10360</v>
      </c>
      <c r="C11959" s="5" t="s">
        <v>206</v>
      </c>
      <c r="D11959" s="3" t="s">
        <v>68</v>
      </c>
      <c r="E11959" s="3" t="s">
        <v>100</v>
      </c>
      <c r="F11959" s="7">
        <v>45978.75339456431</v>
      </c>
      <c r="G11959" s="3" t="s">
        <v>4110</v>
      </c>
    </row>
    <row r="11960">
      <c r="A11960" s="3" t="s">
        <v>27562</v>
      </c>
      <c r="B11960" s="3" t="s">
        <v>10363</v>
      </c>
      <c r="C11960" s="5" t="s">
        <v>45</v>
      </c>
      <c r="D11960" s="3" t="s">
        <v>221</v>
      </c>
      <c r="E11960" s="3" t="s">
        <v>455</v>
      </c>
      <c r="F11960" s="7">
        <v>45978.81415274306</v>
      </c>
      <c r="G11960" s="3" t="s">
        <v>2770</v>
      </c>
    </row>
    <row r="11961">
      <c r="A11961" s="3" t="s">
        <v>27563</v>
      </c>
      <c r="B11961" s="3" t="s">
        <v>10363</v>
      </c>
      <c r="C11961" s="5" t="s">
        <v>221</v>
      </c>
      <c r="D11961" s="3" t="s">
        <v>181</v>
      </c>
      <c r="E11961" s="3" t="s">
        <v>118</v>
      </c>
      <c r="F11961" s="7">
        <v>45978.81762496528</v>
      </c>
      <c r="G11961" s="3" t="s">
        <v>2774</v>
      </c>
    </row>
    <row r="11962">
      <c r="A11962" s="3" t="s">
        <v>27564</v>
      </c>
      <c r="B11962" s="3" t="s">
        <v>10367</v>
      </c>
      <c r="C11962" s="5" t="s">
        <v>45</v>
      </c>
      <c r="D11962" s="3" t="s">
        <v>221</v>
      </c>
      <c r="E11962" s="3" t="s">
        <v>581</v>
      </c>
      <c r="F11962" s="7">
        <v>45978.88532758847</v>
      </c>
      <c r="G11962" s="3" t="s">
        <v>27565</v>
      </c>
    </row>
    <row r="11963">
      <c r="A11963" s="3" t="s">
        <v>27566</v>
      </c>
      <c r="B11963" s="3" t="s">
        <v>10367</v>
      </c>
      <c r="C11963" s="5" t="s">
        <v>221</v>
      </c>
      <c r="D11963" s="3" t="s">
        <v>614</v>
      </c>
      <c r="E11963" s="3" t="s">
        <v>118</v>
      </c>
      <c r="F11963" s="7">
        <v>45978.88879981069</v>
      </c>
      <c r="G11963" s="3" t="s">
        <v>27567</v>
      </c>
    </row>
    <row r="11964">
      <c r="A11964" s="3" t="s">
        <v>27568</v>
      </c>
      <c r="B11964" s="3" t="s">
        <v>10367</v>
      </c>
      <c r="C11964" s="5" t="s">
        <v>614</v>
      </c>
      <c r="D11964" s="3" t="s">
        <v>206</v>
      </c>
      <c r="E11964" s="3" t="s">
        <v>100</v>
      </c>
      <c r="F11964" s="7">
        <v>45978.892272032914</v>
      </c>
      <c r="G11964" s="3" t="s">
        <v>27569</v>
      </c>
    </row>
    <row r="11965">
      <c r="A11965" s="3" t="s">
        <v>27570</v>
      </c>
      <c r="B11965" s="3" t="s">
        <v>10367</v>
      </c>
      <c r="C11965" s="5" t="s">
        <v>206</v>
      </c>
      <c r="D11965" s="3" t="s">
        <v>68</v>
      </c>
      <c r="E11965" s="3" t="s">
        <v>100</v>
      </c>
      <c r="F11965" s="7">
        <v>45978.89574425513</v>
      </c>
      <c r="G11965" s="3" t="s">
        <v>27571</v>
      </c>
    </row>
    <row r="11966">
      <c r="A11966" s="3" t="s">
        <v>27572</v>
      </c>
      <c r="B11966" s="3" t="s">
        <v>10371</v>
      </c>
      <c r="C11966" s="5" t="s">
        <v>45</v>
      </c>
      <c r="D11966" s="3" t="s">
        <v>221</v>
      </c>
      <c r="E11966" s="3" t="s">
        <v>717</v>
      </c>
      <c r="F11966" s="7">
        <v>45978.95650243389</v>
      </c>
      <c r="G11966" s="3" t="s">
        <v>27573</v>
      </c>
    </row>
    <row r="11967">
      <c r="A11967" s="3" t="s">
        <v>27574</v>
      </c>
      <c r="B11967" s="3" t="s">
        <v>10371</v>
      </c>
      <c r="C11967" s="5" t="s">
        <v>221</v>
      </c>
      <c r="D11967" s="3" t="s">
        <v>614</v>
      </c>
      <c r="E11967" s="3" t="s">
        <v>118</v>
      </c>
      <c r="F11967" s="7">
        <v>45978.95997465611</v>
      </c>
      <c r="G11967" s="3" t="s">
        <v>27575</v>
      </c>
    </row>
    <row r="11968">
      <c r="A11968" s="3" t="s">
        <v>27576</v>
      </c>
      <c r="B11968" s="3" t="s">
        <v>10371</v>
      </c>
      <c r="C11968" s="5" t="s">
        <v>614</v>
      </c>
      <c r="D11968" s="3" t="s">
        <v>206</v>
      </c>
      <c r="E11968" s="3" t="s">
        <v>100</v>
      </c>
      <c r="F11968" s="7">
        <v>45978.96344687833</v>
      </c>
      <c r="G11968" s="3" t="s">
        <v>27577</v>
      </c>
    </row>
    <row r="11969">
      <c r="A11969" s="3" t="s">
        <v>27578</v>
      </c>
      <c r="B11969" s="3" t="s">
        <v>10371</v>
      </c>
      <c r="C11969" s="5" t="s">
        <v>206</v>
      </c>
      <c r="D11969" s="3" t="s">
        <v>68</v>
      </c>
      <c r="E11969" s="3" t="s">
        <v>100</v>
      </c>
      <c r="F11969" s="7">
        <v>45978.96691910055</v>
      </c>
      <c r="G11969" s="3" t="s">
        <v>27579</v>
      </c>
    </row>
    <row r="11970">
      <c r="A11970" s="3" t="s">
        <v>27580</v>
      </c>
      <c r="B11970" s="3" t="s">
        <v>10374</v>
      </c>
      <c r="C11970" s="5" t="s">
        <v>45</v>
      </c>
      <c r="D11970" s="3" t="s">
        <v>221</v>
      </c>
      <c r="E11970" s="3" t="s">
        <v>895</v>
      </c>
      <c r="F11970" s="7">
        <v>45979.0276772793</v>
      </c>
      <c r="G11970" s="3" t="s">
        <v>27581</v>
      </c>
    </row>
    <row r="11971">
      <c r="A11971" s="3" t="s">
        <v>27582</v>
      </c>
      <c r="B11971" s="3" t="s">
        <v>10374</v>
      </c>
      <c r="C11971" s="5" t="s">
        <v>221</v>
      </c>
      <c r="D11971" s="3" t="s">
        <v>614</v>
      </c>
      <c r="E11971" s="3" t="s">
        <v>118</v>
      </c>
      <c r="F11971" s="7">
        <v>45979.03114950152</v>
      </c>
      <c r="G11971" s="3" t="s">
        <v>27583</v>
      </c>
    </row>
    <row r="11972">
      <c r="A11972" s="3" t="s">
        <v>27584</v>
      </c>
      <c r="B11972" s="3" t="s">
        <v>10374</v>
      </c>
      <c r="C11972" s="5" t="s">
        <v>614</v>
      </c>
      <c r="D11972" s="3" t="s">
        <v>206</v>
      </c>
      <c r="E11972" s="3" t="s">
        <v>100</v>
      </c>
      <c r="F11972" s="7">
        <v>45979.034621723746</v>
      </c>
      <c r="G11972" s="3" t="s">
        <v>27585</v>
      </c>
    </row>
    <row r="11973">
      <c r="A11973" s="3" t="s">
        <v>27586</v>
      </c>
      <c r="B11973" s="3" t="s">
        <v>10374</v>
      </c>
      <c r="C11973" s="5" t="s">
        <v>206</v>
      </c>
      <c r="D11973" s="3" t="s">
        <v>68</v>
      </c>
      <c r="E11973" s="3" t="s">
        <v>100</v>
      </c>
      <c r="F11973" s="7">
        <v>45979.038093945965</v>
      </c>
      <c r="G11973" s="3" t="s">
        <v>27587</v>
      </c>
    </row>
    <row r="11974">
      <c r="A11974" s="3" t="s">
        <v>27588</v>
      </c>
      <c r="B11974" s="3" t="s">
        <v>10376</v>
      </c>
      <c r="C11974" s="5" t="s">
        <v>45</v>
      </c>
      <c r="D11974" s="3" t="s">
        <v>221</v>
      </c>
      <c r="E11974" s="3" t="s">
        <v>574</v>
      </c>
      <c r="F11974" s="7">
        <v>45979.09885212472</v>
      </c>
      <c r="G11974" s="3" t="s">
        <v>15196</v>
      </c>
    </row>
    <row r="11975">
      <c r="A11975" s="3" t="s">
        <v>27589</v>
      </c>
      <c r="B11975" s="3" t="s">
        <v>10376</v>
      </c>
      <c r="C11975" s="5" t="s">
        <v>221</v>
      </c>
      <c r="D11975" s="3" t="s">
        <v>614</v>
      </c>
      <c r="E11975" s="3" t="s">
        <v>118</v>
      </c>
      <c r="F11975" s="7">
        <v>45979.10232434694</v>
      </c>
      <c r="G11975" s="3" t="s">
        <v>15199</v>
      </c>
    </row>
    <row r="11976">
      <c r="A11976" s="3" t="s">
        <v>27590</v>
      </c>
      <c r="B11976" s="3" t="s">
        <v>10376</v>
      </c>
      <c r="C11976" s="5" t="s">
        <v>614</v>
      </c>
      <c r="D11976" s="3" t="s">
        <v>206</v>
      </c>
      <c r="E11976" s="3" t="s">
        <v>100</v>
      </c>
      <c r="F11976" s="7">
        <v>45979.105796569165</v>
      </c>
      <c r="G11976" s="3" t="s">
        <v>15203</v>
      </c>
    </row>
    <row r="11977">
      <c r="A11977" s="3" t="s">
        <v>27591</v>
      </c>
      <c r="B11977" s="3" t="s">
        <v>10376</v>
      </c>
      <c r="C11977" s="5" t="s">
        <v>206</v>
      </c>
      <c r="D11977" s="3" t="s">
        <v>68</v>
      </c>
      <c r="E11977" s="3" t="s">
        <v>100</v>
      </c>
      <c r="F11977" s="7">
        <v>45979.109268791384</v>
      </c>
      <c r="G11977" s="3" t="s">
        <v>15206</v>
      </c>
    </row>
    <row r="11978">
      <c r="A11978" s="3" t="s">
        <v>27592</v>
      </c>
      <c r="B11978" s="3" t="s">
        <v>10378</v>
      </c>
      <c r="C11978" s="5" t="s">
        <v>45</v>
      </c>
      <c r="D11978" s="3" t="s">
        <v>221</v>
      </c>
      <c r="E11978" s="3" t="s">
        <v>287</v>
      </c>
      <c r="F11978" s="7">
        <v>45979.17002697013</v>
      </c>
      <c r="G11978" s="3" t="s">
        <v>26583</v>
      </c>
    </row>
    <row r="11979">
      <c r="A11979" s="3" t="s">
        <v>27593</v>
      </c>
      <c r="B11979" s="3" t="s">
        <v>10378</v>
      </c>
      <c r="C11979" s="5" t="s">
        <v>221</v>
      </c>
      <c r="D11979" s="3" t="s">
        <v>614</v>
      </c>
      <c r="E11979" s="3" t="s">
        <v>118</v>
      </c>
      <c r="F11979" s="7">
        <v>45979.17349919235</v>
      </c>
      <c r="G11979" s="3" t="s">
        <v>26585</v>
      </c>
    </row>
    <row r="11980">
      <c r="A11980" s="3" t="s">
        <v>27594</v>
      </c>
      <c r="B11980" s="3" t="s">
        <v>10378</v>
      </c>
      <c r="C11980" s="5" t="s">
        <v>614</v>
      </c>
      <c r="D11980" s="3" t="s">
        <v>206</v>
      </c>
      <c r="E11980" s="3" t="s">
        <v>100</v>
      </c>
      <c r="F11980" s="7">
        <v>45979.17697141458</v>
      </c>
      <c r="G11980" s="3" t="s">
        <v>26587</v>
      </c>
    </row>
    <row r="11981">
      <c r="A11981" s="3" t="s">
        <v>27595</v>
      </c>
      <c r="B11981" s="3" t="s">
        <v>10378</v>
      </c>
      <c r="C11981" s="5" t="s">
        <v>206</v>
      </c>
      <c r="D11981" s="3" t="s">
        <v>68</v>
      </c>
      <c r="E11981" s="3" t="s">
        <v>100</v>
      </c>
      <c r="F11981" s="7">
        <v>45979.1804436368</v>
      </c>
      <c r="G11981" s="3" t="s">
        <v>26589</v>
      </c>
    </row>
    <row r="11982">
      <c r="A11982" s="3" t="s">
        <v>27596</v>
      </c>
      <c r="B11982" s="3" t="s">
        <v>10380</v>
      </c>
      <c r="C11982" s="5" t="s">
        <v>45</v>
      </c>
      <c r="D11982" s="3" t="s">
        <v>221</v>
      </c>
      <c r="E11982" s="3" t="s">
        <v>579</v>
      </c>
      <c r="F11982" s="7">
        <v>45979.24120181555</v>
      </c>
      <c r="G11982" s="3" t="s">
        <v>11339</v>
      </c>
    </row>
    <row r="11983">
      <c r="A11983" s="3" t="s">
        <v>27597</v>
      </c>
      <c r="B11983" s="3" t="s">
        <v>10380</v>
      </c>
      <c r="C11983" s="5" t="s">
        <v>221</v>
      </c>
      <c r="D11983" s="3" t="s">
        <v>614</v>
      </c>
      <c r="E11983" s="3" t="s">
        <v>118</v>
      </c>
      <c r="F11983" s="7">
        <v>45979.24467403777</v>
      </c>
      <c r="G11983" s="3" t="s">
        <v>11342</v>
      </c>
    </row>
    <row r="11984">
      <c r="A11984" s="3" t="s">
        <v>27598</v>
      </c>
      <c r="B11984" s="3" t="s">
        <v>10380</v>
      </c>
      <c r="C11984" s="5" t="s">
        <v>614</v>
      </c>
      <c r="D11984" s="3" t="s">
        <v>206</v>
      </c>
      <c r="E11984" s="3" t="s">
        <v>100</v>
      </c>
      <c r="F11984" s="7">
        <v>45979.24814626</v>
      </c>
      <c r="G11984" s="3" t="s">
        <v>11345</v>
      </c>
    </row>
    <row r="11985">
      <c r="A11985" s="3" t="s">
        <v>27599</v>
      </c>
      <c r="B11985" s="3" t="s">
        <v>10380</v>
      </c>
      <c r="C11985" s="5" t="s">
        <v>206</v>
      </c>
      <c r="D11985" s="3" t="s">
        <v>68</v>
      </c>
      <c r="E11985" s="3" t="s">
        <v>100</v>
      </c>
      <c r="F11985" s="7">
        <v>45979.251618482216</v>
      </c>
      <c r="G11985" s="3" t="s">
        <v>11348</v>
      </c>
    </row>
    <row r="11986">
      <c r="A11986" s="3" t="s">
        <v>27600</v>
      </c>
      <c r="B11986" s="3" t="s">
        <v>10382</v>
      </c>
      <c r="C11986" s="5" t="s">
        <v>45</v>
      </c>
      <c r="D11986" s="3" t="s">
        <v>221</v>
      </c>
      <c r="E11986" s="3" t="s">
        <v>722</v>
      </c>
      <c r="F11986" s="7">
        <v>45979.31237666096</v>
      </c>
      <c r="G11986" s="3" t="s">
        <v>14712</v>
      </c>
    </row>
    <row r="11987">
      <c r="A11987" s="3" t="s">
        <v>27601</v>
      </c>
      <c r="B11987" s="3" t="s">
        <v>10382</v>
      </c>
      <c r="C11987" s="5" t="s">
        <v>221</v>
      </c>
      <c r="D11987" s="3" t="s">
        <v>614</v>
      </c>
      <c r="E11987" s="3" t="s">
        <v>118</v>
      </c>
      <c r="F11987" s="7">
        <v>45979.315848883176</v>
      </c>
      <c r="G11987" s="3" t="s">
        <v>14715</v>
      </c>
    </row>
    <row r="11988">
      <c r="A11988" s="3" t="s">
        <v>27602</v>
      </c>
      <c r="B11988" s="3" t="s">
        <v>10382</v>
      </c>
      <c r="C11988" s="5" t="s">
        <v>614</v>
      </c>
      <c r="D11988" s="3" t="s">
        <v>206</v>
      </c>
      <c r="E11988" s="3" t="s">
        <v>100</v>
      </c>
      <c r="F11988" s="7">
        <v>45979.3193211054</v>
      </c>
      <c r="G11988" s="3" t="s">
        <v>14718</v>
      </c>
    </row>
    <row r="11989">
      <c r="A11989" s="3" t="s">
        <v>27603</v>
      </c>
      <c r="B11989" s="3" t="s">
        <v>10382</v>
      </c>
      <c r="C11989" s="5" t="s">
        <v>206</v>
      </c>
      <c r="D11989" s="3" t="s">
        <v>68</v>
      </c>
      <c r="E11989" s="3" t="s">
        <v>100</v>
      </c>
      <c r="F11989" s="7">
        <v>45979.32279332762</v>
      </c>
      <c r="G11989" s="3" t="s">
        <v>14721</v>
      </c>
    </row>
    <row r="11990">
      <c r="A11990" s="3" t="s">
        <v>27604</v>
      </c>
      <c r="B11990" s="3" t="s">
        <v>10385</v>
      </c>
      <c r="C11990" s="5" t="s">
        <v>45</v>
      </c>
      <c r="D11990" s="3" t="s">
        <v>221</v>
      </c>
      <c r="E11990" s="3" t="s">
        <v>650</v>
      </c>
      <c r="F11990" s="7">
        <v>45979.38355150638</v>
      </c>
      <c r="G11990" s="3" t="s">
        <v>14029</v>
      </c>
    </row>
    <row r="11991">
      <c r="A11991" s="3" t="s">
        <v>27605</v>
      </c>
      <c r="B11991" s="3" t="s">
        <v>10385</v>
      </c>
      <c r="C11991" s="5" t="s">
        <v>221</v>
      </c>
      <c r="D11991" s="3" t="s">
        <v>614</v>
      </c>
      <c r="E11991" s="3" t="s">
        <v>118</v>
      </c>
      <c r="F11991" s="7">
        <v>45979.387023728596</v>
      </c>
      <c r="G11991" s="3" t="s">
        <v>14032</v>
      </c>
    </row>
    <row r="11992">
      <c r="A11992" s="3" t="s">
        <v>27606</v>
      </c>
      <c r="B11992" s="3" t="s">
        <v>10385</v>
      </c>
      <c r="C11992" s="5" t="s">
        <v>614</v>
      </c>
      <c r="D11992" s="3" t="s">
        <v>206</v>
      </c>
      <c r="E11992" s="3" t="s">
        <v>100</v>
      </c>
      <c r="F11992" s="7">
        <v>45979.39049595082</v>
      </c>
      <c r="G11992" s="3" t="s">
        <v>14035</v>
      </c>
    </row>
    <row r="11993">
      <c r="A11993" s="3" t="s">
        <v>27607</v>
      </c>
      <c r="B11993" s="3" t="s">
        <v>10385</v>
      </c>
      <c r="C11993" s="5" t="s">
        <v>206</v>
      </c>
      <c r="D11993" s="3" t="s">
        <v>68</v>
      </c>
      <c r="E11993" s="3" t="s">
        <v>100</v>
      </c>
      <c r="F11993" s="7">
        <v>45979.39396817304</v>
      </c>
      <c r="G11993" s="3" t="s">
        <v>14038</v>
      </c>
    </row>
    <row r="11994">
      <c r="A11994" s="3" t="s">
        <v>27608</v>
      </c>
      <c r="B11994" s="3" t="s">
        <v>10387</v>
      </c>
      <c r="C11994" s="5" t="s">
        <v>45</v>
      </c>
      <c r="D11994" s="3" t="s">
        <v>221</v>
      </c>
      <c r="E11994" s="3" t="s">
        <v>722</v>
      </c>
      <c r="F11994" s="7">
        <v>45979.454726351796</v>
      </c>
      <c r="G11994" s="3" t="s">
        <v>14712</v>
      </c>
    </row>
    <row r="11995">
      <c r="A11995" s="3" t="s">
        <v>27609</v>
      </c>
      <c r="B11995" s="3" t="s">
        <v>10387</v>
      </c>
      <c r="C11995" s="5" t="s">
        <v>221</v>
      </c>
      <c r="D11995" s="3" t="s">
        <v>614</v>
      </c>
      <c r="E11995" s="3" t="s">
        <v>118</v>
      </c>
      <c r="F11995" s="7">
        <v>45979.458198574015</v>
      </c>
      <c r="G11995" s="3" t="s">
        <v>14715</v>
      </c>
    </row>
    <row r="11996">
      <c r="A11996" s="3" t="s">
        <v>27610</v>
      </c>
      <c r="B11996" s="3" t="s">
        <v>10387</v>
      </c>
      <c r="C11996" s="5" t="s">
        <v>614</v>
      </c>
      <c r="D11996" s="3" t="s">
        <v>206</v>
      </c>
      <c r="E11996" s="3" t="s">
        <v>100</v>
      </c>
      <c r="F11996" s="7">
        <v>45979.46167079624</v>
      </c>
      <c r="G11996" s="3" t="s">
        <v>14718</v>
      </c>
    </row>
    <row r="11997">
      <c r="A11997" s="3" t="s">
        <v>27611</v>
      </c>
      <c r="B11997" s="3" t="s">
        <v>10387</v>
      </c>
      <c r="C11997" s="5" t="s">
        <v>206</v>
      </c>
      <c r="D11997" s="3" t="s">
        <v>68</v>
      </c>
      <c r="E11997" s="3" t="s">
        <v>100</v>
      </c>
      <c r="F11997" s="7">
        <v>45979.46514301846</v>
      </c>
      <c r="G11997" s="3" t="s">
        <v>14721</v>
      </c>
    </row>
    <row r="11998">
      <c r="A11998" s="3" t="s">
        <v>27612</v>
      </c>
      <c r="B11998" s="3" t="s">
        <v>10389</v>
      </c>
      <c r="C11998" s="5" t="s">
        <v>45</v>
      </c>
      <c r="D11998" s="3" t="s">
        <v>221</v>
      </c>
      <c r="E11998" s="3" t="s">
        <v>1008</v>
      </c>
      <c r="F11998" s="7">
        <v>45979.52590119721</v>
      </c>
      <c r="G11998" s="3" t="s">
        <v>18591</v>
      </c>
    </row>
    <row r="11999">
      <c r="A11999" s="3" t="s">
        <v>27613</v>
      </c>
      <c r="B11999" s="3" t="s">
        <v>10389</v>
      </c>
      <c r="C11999" s="5" t="s">
        <v>221</v>
      </c>
      <c r="D11999" s="3" t="s">
        <v>614</v>
      </c>
      <c r="E11999" s="3" t="s">
        <v>118</v>
      </c>
      <c r="F11999" s="7">
        <v>45979.52937341943</v>
      </c>
      <c r="G11999" s="3" t="s">
        <v>18594</v>
      </c>
    </row>
    <row r="12000">
      <c r="A12000" s="3" t="s">
        <v>27614</v>
      </c>
      <c r="B12000" s="3" t="s">
        <v>10389</v>
      </c>
      <c r="C12000" s="5" t="s">
        <v>614</v>
      </c>
      <c r="D12000" s="3" t="s">
        <v>206</v>
      </c>
      <c r="E12000" s="3" t="s">
        <v>100</v>
      </c>
      <c r="F12000" s="7">
        <v>45979.532845641654</v>
      </c>
      <c r="G12000" s="3" t="s">
        <v>18597</v>
      </c>
    </row>
    <row r="12001">
      <c r="A12001" s="3" t="s">
        <v>27615</v>
      </c>
      <c r="B12001" s="3" t="s">
        <v>10389</v>
      </c>
      <c r="C12001" s="5" t="s">
        <v>206</v>
      </c>
      <c r="D12001" s="3" t="s">
        <v>68</v>
      </c>
      <c r="E12001" s="3" t="s">
        <v>100</v>
      </c>
      <c r="F12001" s="7">
        <v>45979.53631786387</v>
      </c>
      <c r="G12001" s="3" t="s">
        <v>18599</v>
      </c>
    </row>
    <row r="12002">
      <c r="A12002" s="3" t="s">
        <v>27616</v>
      </c>
      <c r="B12002" s="3" t="s">
        <v>10392</v>
      </c>
      <c r="C12002" s="5" t="s">
        <v>45</v>
      </c>
      <c r="D12002" s="3" t="s">
        <v>221</v>
      </c>
      <c r="E12002" s="3" t="s">
        <v>655</v>
      </c>
      <c r="F12002" s="7">
        <v>45979.59707604262</v>
      </c>
      <c r="G12002" s="3" t="s">
        <v>16509</v>
      </c>
    </row>
    <row r="12003">
      <c r="A12003" s="3" t="s">
        <v>27617</v>
      </c>
      <c r="B12003" s="3" t="s">
        <v>10392</v>
      </c>
      <c r="C12003" s="5" t="s">
        <v>221</v>
      </c>
      <c r="D12003" s="3" t="s">
        <v>614</v>
      </c>
      <c r="E12003" s="3" t="s">
        <v>118</v>
      </c>
      <c r="F12003" s="7">
        <v>45979.60054826484</v>
      </c>
      <c r="G12003" s="3" t="s">
        <v>16512</v>
      </c>
    </row>
    <row r="12004">
      <c r="A12004" s="3" t="s">
        <v>27618</v>
      </c>
      <c r="B12004" s="3" t="s">
        <v>10392</v>
      </c>
      <c r="C12004" s="5" t="s">
        <v>614</v>
      </c>
      <c r="D12004" s="3" t="s">
        <v>206</v>
      </c>
      <c r="E12004" s="3" t="s">
        <v>100</v>
      </c>
      <c r="F12004" s="7">
        <v>45979.604020487066</v>
      </c>
      <c r="G12004" s="3" t="s">
        <v>16515</v>
      </c>
    </row>
    <row r="12005">
      <c r="A12005" s="3" t="s">
        <v>27619</v>
      </c>
      <c r="B12005" s="3" t="s">
        <v>10392</v>
      </c>
      <c r="C12005" s="5" t="s">
        <v>206</v>
      </c>
      <c r="D12005" s="3" t="s">
        <v>68</v>
      </c>
      <c r="E12005" s="3" t="s">
        <v>100</v>
      </c>
      <c r="F12005" s="7">
        <v>45979.607492709285</v>
      </c>
      <c r="G12005" s="3" t="s">
        <v>16518</v>
      </c>
    </row>
    <row r="12006">
      <c r="A12006" s="3" t="s">
        <v>27620</v>
      </c>
      <c r="B12006" s="3" t="s">
        <v>10393</v>
      </c>
      <c r="C12006" s="5" t="s">
        <v>45</v>
      </c>
      <c r="D12006" s="3" t="s">
        <v>221</v>
      </c>
      <c r="E12006" s="3" t="s">
        <v>752</v>
      </c>
      <c r="F12006" s="7">
        <v>45979.66825088804</v>
      </c>
      <c r="G12006" s="3" t="s">
        <v>14107</v>
      </c>
    </row>
    <row r="12007">
      <c r="A12007" s="3" t="s">
        <v>27621</v>
      </c>
      <c r="B12007" s="3" t="s">
        <v>10393</v>
      </c>
      <c r="C12007" s="5" t="s">
        <v>221</v>
      </c>
      <c r="D12007" s="3" t="s">
        <v>614</v>
      </c>
      <c r="E12007" s="3" t="s">
        <v>118</v>
      </c>
      <c r="F12007" s="7">
        <v>45979.67172311026</v>
      </c>
      <c r="G12007" s="3" t="s">
        <v>14110</v>
      </c>
    </row>
    <row r="12008">
      <c r="A12008" s="3" t="s">
        <v>27622</v>
      </c>
      <c r="B12008" s="3" t="s">
        <v>10393</v>
      </c>
      <c r="C12008" s="5" t="s">
        <v>614</v>
      </c>
      <c r="D12008" s="3" t="s">
        <v>206</v>
      </c>
      <c r="E12008" s="3" t="s">
        <v>100</v>
      </c>
      <c r="F12008" s="7">
        <v>45979.675195332486</v>
      </c>
      <c r="G12008" s="3" t="s">
        <v>14112</v>
      </c>
    </row>
    <row r="12009">
      <c r="A12009" s="3" t="s">
        <v>27623</v>
      </c>
      <c r="B12009" s="3" t="s">
        <v>10393</v>
      </c>
      <c r="C12009" s="5" t="s">
        <v>206</v>
      </c>
      <c r="D12009" s="3" t="s">
        <v>68</v>
      </c>
      <c r="E12009" s="3" t="s">
        <v>100</v>
      </c>
      <c r="F12009" s="7">
        <v>45979.678667554705</v>
      </c>
      <c r="G12009" s="3" t="s">
        <v>14115</v>
      </c>
    </row>
    <row r="12010">
      <c r="A12010" s="3" t="s">
        <v>27624</v>
      </c>
      <c r="B12010" s="3" t="s">
        <v>10395</v>
      </c>
      <c r="C12010" s="5" t="s">
        <v>45</v>
      </c>
      <c r="D12010" s="3" t="s">
        <v>221</v>
      </c>
      <c r="E12010" s="3" t="s">
        <v>383</v>
      </c>
      <c r="F12010" s="7">
        <v>45979.73942573345</v>
      </c>
      <c r="G12010" s="3" t="s">
        <v>14328</v>
      </c>
    </row>
    <row r="12011">
      <c r="A12011" s="3" t="s">
        <v>27625</v>
      </c>
      <c r="B12011" s="3" t="s">
        <v>10395</v>
      </c>
      <c r="C12011" s="5" t="s">
        <v>221</v>
      </c>
      <c r="D12011" s="3" t="s">
        <v>614</v>
      </c>
      <c r="E12011" s="3" t="s">
        <v>118</v>
      </c>
      <c r="F12011" s="7">
        <v>45979.74289795567</v>
      </c>
      <c r="G12011" s="3" t="s">
        <v>14331</v>
      </c>
    </row>
    <row r="12012">
      <c r="A12012" s="3" t="s">
        <v>27626</v>
      </c>
      <c r="B12012" s="3" t="s">
        <v>10395</v>
      </c>
      <c r="C12012" s="5" t="s">
        <v>614</v>
      </c>
      <c r="D12012" s="3" t="s">
        <v>206</v>
      </c>
      <c r="E12012" s="3" t="s">
        <v>100</v>
      </c>
      <c r="F12012" s="7">
        <v>45979.7463701779</v>
      </c>
      <c r="G12012" s="3" t="s">
        <v>14335</v>
      </c>
    </row>
    <row r="12013">
      <c r="A12013" s="3" t="s">
        <v>27627</v>
      </c>
      <c r="B12013" s="3" t="s">
        <v>10395</v>
      </c>
      <c r="C12013" s="5" t="s">
        <v>206</v>
      </c>
      <c r="D12013" s="3" t="s">
        <v>68</v>
      </c>
      <c r="E12013" s="3" t="s">
        <v>100</v>
      </c>
      <c r="F12013" s="7">
        <v>45979.74984240012</v>
      </c>
      <c r="G12013" s="3" t="s">
        <v>14337</v>
      </c>
    </row>
    <row r="12014">
      <c r="A12014" s="3" t="s">
        <v>27628</v>
      </c>
      <c r="B12014" s="3" t="s">
        <v>10397</v>
      </c>
      <c r="C12014" s="5" t="s">
        <v>45</v>
      </c>
      <c r="D12014" s="3" t="s">
        <v>221</v>
      </c>
      <c r="E12014" s="3" t="s">
        <v>596</v>
      </c>
      <c r="F12014" s="7">
        <v>45979.810600578865</v>
      </c>
      <c r="G12014" s="3" t="s">
        <v>27629</v>
      </c>
    </row>
    <row r="12015">
      <c r="A12015" s="3" t="s">
        <v>27630</v>
      </c>
      <c r="B12015" s="3" t="s">
        <v>10397</v>
      </c>
      <c r="C12015" s="5" t="s">
        <v>221</v>
      </c>
      <c r="D12015" s="3" t="s">
        <v>614</v>
      </c>
      <c r="E12015" s="3" t="s">
        <v>118</v>
      </c>
      <c r="F12015" s="7">
        <v>45979.814072801084</v>
      </c>
      <c r="G12015" s="3" t="s">
        <v>27631</v>
      </c>
    </row>
    <row r="12016">
      <c r="A12016" s="3" t="s">
        <v>27632</v>
      </c>
      <c r="B12016" s="3" t="s">
        <v>10397</v>
      </c>
      <c r="C12016" s="5" t="s">
        <v>614</v>
      </c>
      <c r="D12016" s="3" t="s">
        <v>206</v>
      </c>
      <c r="E12016" s="3" t="s">
        <v>100</v>
      </c>
      <c r="F12016" s="7">
        <v>45979.81754502331</v>
      </c>
      <c r="G12016" s="3" t="s">
        <v>27633</v>
      </c>
    </row>
    <row r="12017">
      <c r="A12017" s="3" t="s">
        <v>27634</v>
      </c>
      <c r="B12017" s="3" t="s">
        <v>10397</v>
      </c>
      <c r="C12017" s="5" t="s">
        <v>206</v>
      </c>
      <c r="D12017" s="3" t="s">
        <v>68</v>
      </c>
      <c r="E12017" s="3" t="s">
        <v>100</v>
      </c>
      <c r="F12017" s="7">
        <v>45979.82101724553</v>
      </c>
      <c r="G12017" s="3" t="s">
        <v>27635</v>
      </c>
    </row>
    <row r="12018">
      <c r="A12018" s="3" t="s">
        <v>27636</v>
      </c>
      <c r="B12018" s="3" t="s">
        <v>10399</v>
      </c>
      <c r="C12018" s="5" t="s">
        <v>45</v>
      </c>
      <c r="D12018" s="3" t="s">
        <v>221</v>
      </c>
      <c r="E12018" s="3" t="s">
        <v>436</v>
      </c>
      <c r="F12018" s="7">
        <v>45979.881775424285</v>
      </c>
      <c r="G12018" s="3" t="s">
        <v>7732</v>
      </c>
    </row>
    <row r="12019">
      <c r="A12019" s="3" t="s">
        <v>27637</v>
      </c>
      <c r="B12019" s="3" t="s">
        <v>10399</v>
      </c>
      <c r="C12019" s="5" t="s">
        <v>221</v>
      </c>
      <c r="D12019" s="3" t="s">
        <v>181</v>
      </c>
      <c r="E12019" s="3" t="s">
        <v>118</v>
      </c>
      <c r="F12019" s="7">
        <v>45979.8852476465</v>
      </c>
      <c r="G12019" s="3" t="s">
        <v>27638</v>
      </c>
    </row>
    <row r="12020">
      <c r="A12020" s="3" t="s">
        <v>27639</v>
      </c>
      <c r="B12020" s="3" t="s">
        <v>10400</v>
      </c>
      <c r="C12020" s="5" t="s">
        <v>45</v>
      </c>
      <c r="D12020" s="3" t="s">
        <v>221</v>
      </c>
      <c r="E12020" s="3" t="s">
        <v>976</v>
      </c>
      <c r="F12020" s="7">
        <v>45979.952950269704</v>
      </c>
      <c r="G12020" s="3" t="s">
        <v>18917</v>
      </c>
    </row>
    <row r="12021">
      <c r="A12021" s="3" t="s">
        <v>27640</v>
      </c>
      <c r="B12021" s="3" t="s">
        <v>10400</v>
      </c>
      <c r="C12021" s="5" t="s">
        <v>221</v>
      </c>
      <c r="D12021" s="3" t="s">
        <v>614</v>
      </c>
      <c r="E12021" s="3" t="s">
        <v>118</v>
      </c>
      <c r="F12021" s="7">
        <v>45979.95642249192</v>
      </c>
      <c r="G12021" s="3" t="s">
        <v>18920</v>
      </c>
    </row>
    <row r="12022">
      <c r="A12022" s="3" t="s">
        <v>27641</v>
      </c>
      <c r="B12022" s="3" t="s">
        <v>10400</v>
      </c>
      <c r="C12022" s="5" t="s">
        <v>614</v>
      </c>
      <c r="D12022" s="3" t="s">
        <v>206</v>
      </c>
      <c r="E12022" s="3" t="s">
        <v>100</v>
      </c>
      <c r="F12022" s="7">
        <v>45979.95989471415</v>
      </c>
      <c r="G12022" s="3" t="s">
        <v>18923</v>
      </c>
    </row>
    <row r="12023">
      <c r="A12023" s="3" t="s">
        <v>27642</v>
      </c>
      <c r="B12023" s="3" t="s">
        <v>10400</v>
      </c>
      <c r="C12023" s="5" t="s">
        <v>206</v>
      </c>
      <c r="D12023" s="3" t="s">
        <v>68</v>
      </c>
      <c r="E12023" s="3" t="s">
        <v>100</v>
      </c>
      <c r="F12023" s="7">
        <v>45979.96336693637</v>
      </c>
      <c r="G12023" s="3" t="s">
        <v>18926</v>
      </c>
    </row>
    <row r="12024">
      <c r="A12024" s="3" t="s">
        <v>27643</v>
      </c>
      <c r="B12024" s="3" t="s">
        <v>10402</v>
      </c>
      <c r="C12024" s="5" t="s">
        <v>45</v>
      </c>
      <c r="D12024" s="3" t="s">
        <v>221</v>
      </c>
      <c r="E12024" s="3" t="s">
        <v>957</v>
      </c>
      <c r="F12024" s="7">
        <v>45980.02412511511</v>
      </c>
      <c r="G12024" s="3" t="s">
        <v>14280</v>
      </c>
    </row>
    <row r="12025">
      <c r="A12025" s="3" t="s">
        <v>27644</v>
      </c>
      <c r="B12025" s="3" t="s">
        <v>10402</v>
      </c>
      <c r="C12025" s="5" t="s">
        <v>221</v>
      </c>
      <c r="D12025" s="3" t="s">
        <v>614</v>
      </c>
      <c r="E12025" s="3" t="s">
        <v>118</v>
      </c>
      <c r="F12025" s="7">
        <v>45980.02759733733</v>
      </c>
      <c r="G12025" s="3" t="s">
        <v>14283</v>
      </c>
    </row>
    <row r="12026">
      <c r="A12026" s="3" t="s">
        <v>27645</v>
      </c>
      <c r="B12026" s="3" t="s">
        <v>10402</v>
      </c>
      <c r="C12026" s="5" t="s">
        <v>614</v>
      </c>
      <c r="D12026" s="3" t="s">
        <v>206</v>
      </c>
      <c r="E12026" s="3" t="s">
        <v>100</v>
      </c>
      <c r="F12026" s="7">
        <v>45980.031069559554</v>
      </c>
      <c r="G12026" s="3" t="s">
        <v>14286</v>
      </c>
    </row>
    <row r="12027">
      <c r="A12027" s="3" t="s">
        <v>27646</v>
      </c>
      <c r="B12027" s="3" t="s">
        <v>10402</v>
      </c>
      <c r="C12027" s="5" t="s">
        <v>206</v>
      </c>
      <c r="D12027" s="3" t="s">
        <v>68</v>
      </c>
      <c r="E12027" s="3" t="s">
        <v>100</v>
      </c>
      <c r="F12027" s="7">
        <v>45980.03454178177</v>
      </c>
      <c r="G12027" s="3" t="s">
        <v>14289</v>
      </c>
    </row>
    <row r="12028">
      <c r="A12028" s="3" t="s">
        <v>27647</v>
      </c>
      <c r="B12028" s="3" t="s">
        <v>10405</v>
      </c>
      <c r="C12028" s="5" t="s">
        <v>45</v>
      </c>
      <c r="D12028" s="3" t="s">
        <v>221</v>
      </c>
      <c r="E12028" s="3" t="s">
        <v>302</v>
      </c>
      <c r="F12028" s="7">
        <v>45980.09529996053</v>
      </c>
      <c r="G12028" s="3" t="s">
        <v>18347</v>
      </c>
    </row>
    <row r="12029">
      <c r="A12029" s="3" t="s">
        <v>27648</v>
      </c>
      <c r="B12029" s="3" t="s">
        <v>10405</v>
      </c>
      <c r="C12029" s="5" t="s">
        <v>221</v>
      </c>
      <c r="D12029" s="3" t="s">
        <v>614</v>
      </c>
      <c r="E12029" s="3" t="s">
        <v>118</v>
      </c>
      <c r="F12029" s="7">
        <v>45980.09877218275</v>
      </c>
      <c r="G12029" s="3" t="s">
        <v>18350</v>
      </c>
    </row>
    <row r="12030">
      <c r="A12030" s="3" t="s">
        <v>27649</v>
      </c>
      <c r="B12030" s="3" t="s">
        <v>10405</v>
      </c>
      <c r="C12030" s="5" t="s">
        <v>614</v>
      </c>
      <c r="D12030" s="3" t="s">
        <v>206</v>
      </c>
      <c r="E12030" s="3" t="s">
        <v>100</v>
      </c>
      <c r="F12030" s="7">
        <v>45980.102244404974</v>
      </c>
      <c r="G12030" s="3" t="s">
        <v>18353</v>
      </c>
    </row>
    <row r="12031">
      <c r="A12031" s="3" t="s">
        <v>27650</v>
      </c>
      <c r="B12031" s="3" t="s">
        <v>10405</v>
      </c>
      <c r="C12031" s="5" t="s">
        <v>206</v>
      </c>
      <c r="D12031" s="3" t="s">
        <v>68</v>
      </c>
      <c r="E12031" s="3" t="s">
        <v>100</v>
      </c>
      <c r="F12031" s="7">
        <v>45980.10571662719</v>
      </c>
      <c r="G12031" s="3" t="s">
        <v>18355</v>
      </c>
    </row>
    <row r="12032">
      <c r="A12032" s="3" t="s">
        <v>27651</v>
      </c>
      <c r="B12032" s="3" t="s">
        <v>10408</v>
      </c>
      <c r="C12032" s="5" t="s">
        <v>45</v>
      </c>
      <c r="D12032" s="3" t="s">
        <v>221</v>
      </c>
      <c r="E12032" s="3" t="s">
        <v>145</v>
      </c>
      <c r="F12032" s="7">
        <v>45980.16647480595</v>
      </c>
      <c r="G12032" s="3" t="s">
        <v>14051</v>
      </c>
    </row>
    <row r="12033">
      <c r="A12033" s="3" t="s">
        <v>27652</v>
      </c>
      <c r="B12033" s="3" t="s">
        <v>10408</v>
      </c>
      <c r="C12033" s="5" t="s">
        <v>221</v>
      </c>
      <c r="D12033" s="3" t="s">
        <v>614</v>
      </c>
      <c r="E12033" s="3" t="s">
        <v>118</v>
      </c>
      <c r="F12033" s="7">
        <v>45980.16994702817</v>
      </c>
      <c r="G12033" s="3" t="s">
        <v>14054</v>
      </c>
    </row>
    <row r="12034">
      <c r="A12034" s="3" t="s">
        <v>27653</v>
      </c>
      <c r="B12034" s="3" t="s">
        <v>10408</v>
      </c>
      <c r="C12034" s="5" t="s">
        <v>614</v>
      </c>
      <c r="D12034" s="3" t="s">
        <v>206</v>
      </c>
      <c r="E12034" s="3" t="s">
        <v>100</v>
      </c>
      <c r="F12034" s="7">
        <v>45980.17341925039</v>
      </c>
      <c r="G12034" s="3" t="s">
        <v>14056</v>
      </c>
    </row>
    <row r="12035">
      <c r="A12035" s="3" t="s">
        <v>27654</v>
      </c>
      <c r="B12035" s="3" t="s">
        <v>10408</v>
      </c>
      <c r="C12035" s="5" t="s">
        <v>206</v>
      </c>
      <c r="D12035" s="3" t="s">
        <v>68</v>
      </c>
      <c r="E12035" s="3" t="s">
        <v>100</v>
      </c>
      <c r="F12035" s="7">
        <v>45980.17689147261</v>
      </c>
      <c r="G12035" s="3" t="s">
        <v>14059</v>
      </c>
    </row>
    <row r="12036">
      <c r="A12036" s="3" t="s">
        <v>27655</v>
      </c>
      <c r="B12036" s="3" t="s">
        <v>10411</v>
      </c>
      <c r="C12036" s="5" t="s">
        <v>45</v>
      </c>
      <c r="D12036" s="3" t="s">
        <v>221</v>
      </c>
      <c r="E12036" s="3" t="s">
        <v>845</v>
      </c>
      <c r="F12036" s="7">
        <v>45980.23764965136</v>
      </c>
      <c r="G12036" s="3" t="s">
        <v>6985</v>
      </c>
    </row>
    <row r="12037">
      <c r="A12037" s="3" t="s">
        <v>27656</v>
      </c>
      <c r="B12037" s="3" t="s">
        <v>10411</v>
      </c>
      <c r="C12037" s="5" t="s">
        <v>221</v>
      </c>
      <c r="D12037" s="3" t="s">
        <v>614</v>
      </c>
      <c r="E12037" s="3" t="s">
        <v>118</v>
      </c>
      <c r="F12037" s="7">
        <v>45980.24112187358</v>
      </c>
      <c r="G12037" s="3" t="s">
        <v>6987</v>
      </c>
    </row>
    <row r="12038">
      <c r="A12038" s="3" t="s">
        <v>27657</v>
      </c>
      <c r="B12038" s="3" t="s">
        <v>10411</v>
      </c>
      <c r="C12038" s="5" t="s">
        <v>614</v>
      </c>
      <c r="D12038" s="3" t="s">
        <v>206</v>
      </c>
      <c r="E12038" s="3" t="s">
        <v>100</v>
      </c>
      <c r="F12038" s="7">
        <v>45980.244594095806</v>
      </c>
      <c r="G12038" s="3" t="s">
        <v>6990</v>
      </c>
    </row>
    <row r="12039">
      <c r="A12039" s="3" t="s">
        <v>27658</v>
      </c>
      <c r="B12039" s="3" t="s">
        <v>10411</v>
      </c>
      <c r="C12039" s="5" t="s">
        <v>206</v>
      </c>
      <c r="D12039" s="3" t="s">
        <v>68</v>
      </c>
      <c r="E12039" s="3" t="s">
        <v>100</v>
      </c>
      <c r="F12039" s="7">
        <v>45980.248066318025</v>
      </c>
      <c r="G12039" s="3" t="s">
        <v>6993</v>
      </c>
    </row>
    <row r="12040">
      <c r="A12040" s="3" t="s">
        <v>27659</v>
      </c>
      <c r="B12040" s="3" t="s">
        <v>10414</v>
      </c>
      <c r="C12040" s="5" t="s">
        <v>45</v>
      </c>
      <c r="D12040" s="3" t="s">
        <v>221</v>
      </c>
      <c r="E12040" s="3" t="s">
        <v>519</v>
      </c>
      <c r="F12040" s="7">
        <v>45980.30882449677</v>
      </c>
      <c r="G12040" s="3" t="s">
        <v>14073</v>
      </c>
    </row>
    <row r="12041">
      <c r="A12041" s="3" t="s">
        <v>27660</v>
      </c>
      <c r="B12041" s="3" t="s">
        <v>10414</v>
      </c>
      <c r="C12041" s="5" t="s">
        <v>221</v>
      </c>
      <c r="D12041" s="3" t="s">
        <v>614</v>
      </c>
      <c r="E12041" s="3" t="s">
        <v>118</v>
      </c>
      <c r="F12041" s="7">
        <v>45980.31229671899</v>
      </c>
      <c r="G12041" s="3" t="s">
        <v>14076</v>
      </c>
    </row>
    <row r="12042">
      <c r="A12042" s="3" t="s">
        <v>27661</v>
      </c>
      <c r="B12042" s="3" t="s">
        <v>10414</v>
      </c>
      <c r="C12042" s="5" t="s">
        <v>614</v>
      </c>
      <c r="D12042" s="3" t="s">
        <v>206</v>
      </c>
      <c r="E12042" s="3" t="s">
        <v>100</v>
      </c>
      <c r="F12042" s="7">
        <v>45980.31576894122</v>
      </c>
      <c r="G12042" s="3" t="s">
        <v>14079</v>
      </c>
    </row>
    <row r="12043">
      <c r="A12043" s="3" t="s">
        <v>27662</v>
      </c>
      <c r="B12043" s="3" t="s">
        <v>10414</v>
      </c>
      <c r="C12043" s="5" t="s">
        <v>206</v>
      </c>
      <c r="D12043" s="3" t="s">
        <v>68</v>
      </c>
      <c r="E12043" s="3" t="s">
        <v>100</v>
      </c>
      <c r="F12043" s="7">
        <v>45980.31924116344</v>
      </c>
      <c r="G12043" s="3" t="s">
        <v>14082</v>
      </c>
    </row>
    <row r="12044">
      <c r="A12044" s="3" t="s">
        <v>27663</v>
      </c>
      <c r="B12044" s="3" t="s">
        <v>10418</v>
      </c>
      <c r="C12044" s="5" t="s">
        <v>45</v>
      </c>
      <c r="D12044" s="3" t="s">
        <v>221</v>
      </c>
      <c r="E12044" s="3" t="s">
        <v>243</v>
      </c>
      <c r="F12044" s="7">
        <v>45980.37999934219</v>
      </c>
      <c r="G12044" s="3" t="s">
        <v>14085</v>
      </c>
    </row>
    <row r="12045">
      <c r="A12045" s="3" t="s">
        <v>27664</v>
      </c>
      <c r="B12045" s="3" t="s">
        <v>10418</v>
      </c>
      <c r="C12045" s="5" t="s">
        <v>221</v>
      </c>
      <c r="D12045" s="3" t="s">
        <v>614</v>
      </c>
      <c r="E12045" s="3" t="s">
        <v>118</v>
      </c>
      <c r="F12045" s="7">
        <v>45980.38347156441</v>
      </c>
      <c r="G12045" s="3" t="s">
        <v>14087</v>
      </c>
    </row>
    <row r="12046">
      <c r="A12046" s="3" t="s">
        <v>27665</v>
      </c>
      <c r="B12046" s="3" t="s">
        <v>10418</v>
      </c>
      <c r="C12046" s="5" t="s">
        <v>614</v>
      </c>
      <c r="D12046" s="3" t="s">
        <v>206</v>
      </c>
      <c r="E12046" s="3" t="s">
        <v>100</v>
      </c>
      <c r="F12046" s="7">
        <v>45980.38694378664</v>
      </c>
      <c r="G12046" s="3" t="s">
        <v>14090</v>
      </c>
    </row>
    <row r="12047">
      <c r="A12047" s="3" t="s">
        <v>27666</v>
      </c>
      <c r="B12047" s="3" t="s">
        <v>10418</v>
      </c>
      <c r="C12047" s="5" t="s">
        <v>206</v>
      </c>
      <c r="D12047" s="3" t="s">
        <v>68</v>
      </c>
      <c r="E12047" s="3" t="s">
        <v>100</v>
      </c>
      <c r="F12047" s="7">
        <v>45980.39041600886</v>
      </c>
      <c r="G12047" s="3" t="s">
        <v>14093</v>
      </c>
    </row>
    <row r="12048">
      <c r="A12048" s="3" t="s">
        <v>27667</v>
      </c>
      <c r="B12048" s="3" t="s">
        <v>10421</v>
      </c>
      <c r="C12048" s="5" t="s">
        <v>45</v>
      </c>
      <c r="D12048" s="3" t="s">
        <v>221</v>
      </c>
      <c r="E12048" s="3" t="s">
        <v>536</v>
      </c>
      <c r="F12048" s="7">
        <v>45980.451174187605</v>
      </c>
      <c r="G12048" s="3" t="s">
        <v>13712</v>
      </c>
    </row>
    <row r="12049">
      <c r="A12049" s="3" t="s">
        <v>27668</v>
      </c>
      <c r="B12049" s="3" t="s">
        <v>10421</v>
      </c>
      <c r="C12049" s="5" t="s">
        <v>221</v>
      </c>
      <c r="D12049" s="3" t="s">
        <v>614</v>
      </c>
      <c r="E12049" s="3" t="s">
        <v>118</v>
      </c>
      <c r="F12049" s="7">
        <v>45980.454646409824</v>
      </c>
      <c r="G12049" s="3" t="s">
        <v>13715</v>
      </c>
    </row>
    <row r="12050">
      <c r="A12050" s="3" t="s">
        <v>27669</v>
      </c>
      <c r="B12050" s="3" t="s">
        <v>10421</v>
      </c>
      <c r="C12050" s="5" t="s">
        <v>614</v>
      </c>
      <c r="D12050" s="3" t="s">
        <v>206</v>
      </c>
      <c r="E12050" s="3" t="s">
        <v>100</v>
      </c>
      <c r="F12050" s="7">
        <v>45980.45811863205</v>
      </c>
      <c r="G12050" s="3" t="s">
        <v>13717</v>
      </c>
    </row>
    <row r="12051">
      <c r="A12051" s="3" t="s">
        <v>27670</v>
      </c>
      <c r="B12051" s="3" t="s">
        <v>10421</v>
      </c>
      <c r="C12051" s="5" t="s">
        <v>206</v>
      </c>
      <c r="D12051" s="3" t="s">
        <v>68</v>
      </c>
      <c r="E12051" s="3" t="s">
        <v>100</v>
      </c>
      <c r="F12051" s="7">
        <v>45980.46159085427</v>
      </c>
      <c r="G12051" s="3" t="s">
        <v>13720</v>
      </c>
    </row>
    <row r="12052">
      <c r="A12052" s="3" t="s">
        <v>27671</v>
      </c>
      <c r="B12052" s="3" t="s">
        <v>10424</v>
      </c>
      <c r="C12052" s="5" t="s">
        <v>45</v>
      </c>
      <c r="D12052" s="3" t="s">
        <v>221</v>
      </c>
      <c r="E12052" s="3" t="s">
        <v>148</v>
      </c>
      <c r="F12052" s="7">
        <v>45980.52234903302</v>
      </c>
      <c r="G12052" s="3" t="s">
        <v>27492</v>
      </c>
    </row>
    <row r="12053">
      <c r="A12053" s="3" t="s">
        <v>27672</v>
      </c>
      <c r="B12053" s="3" t="s">
        <v>10424</v>
      </c>
      <c r="C12053" s="5" t="s">
        <v>221</v>
      </c>
      <c r="D12053" s="3" t="s">
        <v>614</v>
      </c>
      <c r="E12053" s="3" t="s">
        <v>118</v>
      </c>
      <c r="F12053" s="7">
        <v>45980.525821255236</v>
      </c>
      <c r="G12053" s="3" t="s">
        <v>27494</v>
      </c>
    </row>
    <row r="12054">
      <c r="A12054" s="3" t="s">
        <v>27673</v>
      </c>
      <c r="B12054" s="3" t="s">
        <v>10424</v>
      </c>
      <c r="C12054" s="5" t="s">
        <v>614</v>
      </c>
      <c r="D12054" s="3" t="s">
        <v>206</v>
      </c>
      <c r="E12054" s="3" t="s">
        <v>100</v>
      </c>
      <c r="F12054" s="7">
        <v>45980.52929347746</v>
      </c>
      <c r="G12054" s="3" t="s">
        <v>27496</v>
      </c>
    </row>
    <row r="12055">
      <c r="A12055" s="3" t="s">
        <v>27674</v>
      </c>
      <c r="B12055" s="3" t="s">
        <v>10424</v>
      </c>
      <c r="C12055" s="5" t="s">
        <v>206</v>
      </c>
      <c r="D12055" s="3" t="s">
        <v>68</v>
      </c>
      <c r="E12055" s="3" t="s">
        <v>100</v>
      </c>
      <c r="F12055" s="7">
        <v>45980.53276569968</v>
      </c>
      <c r="G12055" s="3" t="s">
        <v>27498</v>
      </c>
    </row>
    <row r="12056">
      <c r="A12056" s="3" t="s">
        <v>27675</v>
      </c>
      <c r="B12056" s="3" t="s">
        <v>10426</v>
      </c>
      <c r="C12056" s="5" t="s">
        <v>45</v>
      </c>
      <c r="D12056" s="3" t="s">
        <v>221</v>
      </c>
      <c r="E12056" s="3" t="s">
        <v>596</v>
      </c>
      <c r="F12056" s="7">
        <v>45980.59352387844</v>
      </c>
      <c r="G12056" s="3" t="s">
        <v>27629</v>
      </c>
    </row>
    <row r="12057">
      <c r="A12057" s="3" t="s">
        <v>27676</v>
      </c>
      <c r="B12057" s="3" t="s">
        <v>10426</v>
      </c>
      <c r="C12057" s="5" t="s">
        <v>221</v>
      </c>
      <c r="D12057" s="3" t="s">
        <v>614</v>
      </c>
      <c r="E12057" s="3" t="s">
        <v>118</v>
      </c>
      <c r="F12057" s="7">
        <v>45980.596996100656</v>
      </c>
      <c r="G12057" s="3" t="s">
        <v>27631</v>
      </c>
    </row>
    <row r="12058">
      <c r="A12058" s="3" t="s">
        <v>27677</v>
      </c>
      <c r="B12058" s="3" t="s">
        <v>10426</v>
      </c>
      <c r="C12058" s="5" t="s">
        <v>614</v>
      </c>
      <c r="D12058" s="3" t="s">
        <v>206</v>
      </c>
      <c r="E12058" s="3" t="s">
        <v>100</v>
      </c>
      <c r="F12058" s="7">
        <v>45980.60046832288</v>
      </c>
      <c r="G12058" s="3" t="s">
        <v>27633</v>
      </c>
    </row>
    <row r="12059">
      <c r="A12059" s="3" t="s">
        <v>27678</v>
      </c>
      <c r="B12059" s="3" t="s">
        <v>10426</v>
      </c>
      <c r="C12059" s="5" t="s">
        <v>206</v>
      </c>
      <c r="D12059" s="3" t="s">
        <v>68</v>
      </c>
      <c r="E12059" s="3" t="s">
        <v>100</v>
      </c>
      <c r="F12059" s="7">
        <v>45980.6039405451</v>
      </c>
      <c r="G12059" s="3" t="s">
        <v>27635</v>
      </c>
    </row>
    <row r="12060">
      <c r="A12060" s="3" t="s">
        <v>27679</v>
      </c>
      <c r="B12060" s="3" t="s">
        <v>10429</v>
      </c>
      <c r="C12060" s="5" t="s">
        <v>45</v>
      </c>
      <c r="D12060" s="3" t="s">
        <v>221</v>
      </c>
      <c r="E12060" s="3" t="s">
        <v>934</v>
      </c>
      <c r="F12060" s="7">
        <v>45980.66469872385</v>
      </c>
      <c r="G12060" s="3" t="s">
        <v>27680</v>
      </c>
    </row>
    <row r="12061">
      <c r="A12061" s="3" t="s">
        <v>27681</v>
      </c>
      <c r="B12061" s="3" t="s">
        <v>10429</v>
      </c>
      <c r="C12061" s="5" t="s">
        <v>221</v>
      </c>
      <c r="D12061" s="3" t="s">
        <v>614</v>
      </c>
      <c r="E12061" s="3" t="s">
        <v>118</v>
      </c>
      <c r="F12061" s="7">
        <v>45980.66817094607</v>
      </c>
      <c r="G12061" s="3" t="s">
        <v>27682</v>
      </c>
    </row>
    <row r="12062">
      <c r="A12062" s="3" t="s">
        <v>27683</v>
      </c>
      <c r="B12062" s="3" t="s">
        <v>10429</v>
      </c>
      <c r="C12062" s="5" t="s">
        <v>614</v>
      </c>
      <c r="D12062" s="3" t="s">
        <v>206</v>
      </c>
      <c r="E12062" s="3" t="s">
        <v>100</v>
      </c>
      <c r="F12062" s="7">
        <v>45980.671643168294</v>
      </c>
      <c r="G12062" s="3" t="s">
        <v>27684</v>
      </c>
    </row>
    <row r="12063">
      <c r="A12063" s="3" t="s">
        <v>27685</v>
      </c>
      <c r="B12063" s="3" t="s">
        <v>10429</v>
      </c>
      <c r="C12063" s="5" t="s">
        <v>206</v>
      </c>
      <c r="D12063" s="3" t="s">
        <v>68</v>
      </c>
      <c r="E12063" s="3" t="s">
        <v>100</v>
      </c>
      <c r="F12063" s="7">
        <v>45980.67511539051</v>
      </c>
      <c r="G12063" s="3" t="s">
        <v>27686</v>
      </c>
    </row>
    <row r="12064">
      <c r="A12064" s="3" t="s">
        <v>27687</v>
      </c>
      <c r="B12064" s="3" t="s">
        <v>10432</v>
      </c>
      <c r="C12064" s="5" t="s">
        <v>45</v>
      </c>
      <c r="D12064" s="3" t="s">
        <v>221</v>
      </c>
      <c r="E12064" s="3" t="s">
        <v>662</v>
      </c>
      <c r="F12064" s="7">
        <v>45980.73587356926</v>
      </c>
      <c r="G12064" s="3" t="s">
        <v>6706</v>
      </c>
    </row>
    <row r="12065">
      <c r="A12065" s="3" t="s">
        <v>27688</v>
      </c>
      <c r="B12065" s="3" t="s">
        <v>10432</v>
      </c>
      <c r="C12065" s="5" t="s">
        <v>221</v>
      </c>
      <c r="D12065" s="3" t="s">
        <v>181</v>
      </c>
      <c r="E12065" s="3" t="s">
        <v>118</v>
      </c>
      <c r="F12065" s="7">
        <v>45980.73934579148</v>
      </c>
      <c r="G12065" s="3" t="s">
        <v>27689</v>
      </c>
    </row>
    <row r="12066">
      <c r="A12066" s="3" t="s">
        <v>27690</v>
      </c>
      <c r="B12066" s="3" t="s">
        <v>10435</v>
      </c>
      <c r="C12066" s="5" t="s">
        <v>45</v>
      </c>
      <c r="D12066" s="3" t="s">
        <v>221</v>
      </c>
      <c r="E12066" s="3" t="s">
        <v>313</v>
      </c>
      <c r="F12066" s="7">
        <v>45980.80704841468</v>
      </c>
      <c r="G12066" s="3" t="s">
        <v>9157</v>
      </c>
    </row>
    <row r="12067">
      <c r="A12067" s="3" t="s">
        <v>27691</v>
      </c>
      <c r="B12067" s="3" t="s">
        <v>10435</v>
      </c>
      <c r="C12067" s="5" t="s">
        <v>221</v>
      </c>
      <c r="D12067" s="3" t="s">
        <v>614</v>
      </c>
      <c r="E12067" s="3" t="s">
        <v>118</v>
      </c>
      <c r="F12067" s="7">
        <v>45980.8105206369</v>
      </c>
      <c r="G12067" s="3" t="s">
        <v>9160</v>
      </c>
    </row>
    <row r="12068">
      <c r="A12068" s="3" t="s">
        <v>27692</v>
      </c>
      <c r="B12068" s="3" t="s">
        <v>10435</v>
      </c>
      <c r="C12068" s="5" t="s">
        <v>614</v>
      </c>
      <c r="D12068" s="3" t="s">
        <v>206</v>
      </c>
      <c r="E12068" s="3" t="s">
        <v>100</v>
      </c>
      <c r="F12068" s="7">
        <v>45980.813992859126</v>
      </c>
      <c r="G12068" s="3" t="s">
        <v>9163</v>
      </c>
    </row>
    <row r="12069">
      <c r="A12069" s="3" t="s">
        <v>27693</v>
      </c>
      <c r="B12069" s="3" t="s">
        <v>10435</v>
      </c>
      <c r="C12069" s="5" t="s">
        <v>206</v>
      </c>
      <c r="D12069" s="3" t="s">
        <v>68</v>
      </c>
      <c r="E12069" s="3" t="s">
        <v>100</v>
      </c>
      <c r="F12069" s="7">
        <v>45980.817465081345</v>
      </c>
      <c r="G12069" s="3" t="s">
        <v>9166</v>
      </c>
    </row>
    <row r="12070">
      <c r="A12070" s="3" t="s">
        <v>27694</v>
      </c>
      <c r="B12070" s="3" t="s">
        <v>10438</v>
      </c>
      <c r="C12070" s="5" t="s">
        <v>45</v>
      </c>
      <c r="D12070" s="3" t="s">
        <v>221</v>
      </c>
      <c r="E12070" s="3" t="s">
        <v>481</v>
      </c>
      <c r="F12070" s="7">
        <v>45980.87822326009</v>
      </c>
      <c r="G12070" s="3" t="s">
        <v>27074</v>
      </c>
    </row>
    <row r="12071">
      <c r="A12071" s="3" t="s">
        <v>27695</v>
      </c>
      <c r="B12071" s="3" t="s">
        <v>10438</v>
      </c>
      <c r="C12071" s="5" t="s">
        <v>221</v>
      </c>
      <c r="D12071" s="3" t="s">
        <v>614</v>
      </c>
      <c r="E12071" s="3" t="s">
        <v>118</v>
      </c>
      <c r="F12071" s="7">
        <v>45980.88169548231</v>
      </c>
      <c r="G12071" s="3" t="s">
        <v>27076</v>
      </c>
    </row>
    <row r="12072">
      <c r="A12072" s="3" t="s">
        <v>27696</v>
      </c>
      <c r="B12072" s="3" t="s">
        <v>10438</v>
      </c>
      <c r="C12072" s="5" t="s">
        <v>614</v>
      </c>
      <c r="D12072" s="3" t="s">
        <v>206</v>
      </c>
      <c r="E12072" s="3" t="s">
        <v>100</v>
      </c>
      <c r="F12072" s="7">
        <v>45980.88516770454</v>
      </c>
      <c r="G12072" s="3" t="s">
        <v>27078</v>
      </c>
    </row>
    <row r="12073">
      <c r="A12073" s="3" t="s">
        <v>27697</v>
      </c>
      <c r="B12073" s="3" t="s">
        <v>10438</v>
      </c>
      <c r="C12073" s="5" t="s">
        <v>206</v>
      </c>
      <c r="D12073" s="3" t="s">
        <v>68</v>
      </c>
      <c r="E12073" s="3" t="s">
        <v>100</v>
      </c>
      <c r="F12073" s="7">
        <v>45980.88863992676</v>
      </c>
      <c r="G12073" s="3" t="s">
        <v>27080</v>
      </c>
    </row>
    <row r="12074">
      <c r="A12074" s="3" t="s">
        <v>27698</v>
      </c>
      <c r="B12074" s="3" t="s">
        <v>10441</v>
      </c>
      <c r="C12074" s="5" t="s">
        <v>45</v>
      </c>
      <c r="D12074" s="3" t="s">
        <v>221</v>
      </c>
      <c r="E12074" s="3" t="s">
        <v>575</v>
      </c>
      <c r="F12074" s="7">
        <v>45980.949398105506</v>
      </c>
      <c r="G12074" s="3" t="s">
        <v>14125</v>
      </c>
    </row>
    <row r="12075">
      <c r="A12075" s="3" t="s">
        <v>27699</v>
      </c>
      <c r="B12075" s="3" t="s">
        <v>10441</v>
      </c>
      <c r="C12075" s="5" t="s">
        <v>221</v>
      </c>
      <c r="D12075" s="3" t="s">
        <v>614</v>
      </c>
      <c r="E12075" s="3" t="s">
        <v>118</v>
      </c>
      <c r="F12075" s="7">
        <v>45980.952870327725</v>
      </c>
      <c r="G12075" s="3" t="s">
        <v>14128</v>
      </c>
    </row>
    <row r="12076">
      <c r="A12076" s="3" t="s">
        <v>27700</v>
      </c>
      <c r="B12076" s="3" t="s">
        <v>10441</v>
      </c>
      <c r="C12076" s="5" t="s">
        <v>614</v>
      </c>
      <c r="D12076" s="3" t="s">
        <v>206</v>
      </c>
      <c r="E12076" s="3" t="s">
        <v>100</v>
      </c>
      <c r="F12076" s="7">
        <v>45980.95634254995</v>
      </c>
      <c r="G12076" s="3" t="s">
        <v>14131</v>
      </c>
    </row>
    <row r="12077">
      <c r="A12077" s="3" t="s">
        <v>27701</v>
      </c>
      <c r="B12077" s="3" t="s">
        <v>10441</v>
      </c>
      <c r="C12077" s="5" t="s">
        <v>206</v>
      </c>
      <c r="D12077" s="3" t="s">
        <v>68</v>
      </c>
      <c r="E12077" s="3" t="s">
        <v>100</v>
      </c>
      <c r="F12077" s="7">
        <v>45980.95981477217</v>
      </c>
      <c r="G12077" s="3" t="s">
        <v>14134</v>
      </c>
    </row>
    <row r="12078">
      <c r="A12078" s="3" t="s">
        <v>27702</v>
      </c>
      <c r="B12078" s="3" t="s">
        <v>10445</v>
      </c>
      <c r="C12078" s="5" t="s">
        <v>45</v>
      </c>
      <c r="D12078" s="3" t="s">
        <v>221</v>
      </c>
      <c r="E12078" s="3" t="s">
        <v>734</v>
      </c>
      <c r="F12078" s="7">
        <v>45981.020572950925</v>
      </c>
      <c r="G12078" s="3" t="s">
        <v>7840</v>
      </c>
    </row>
    <row r="12079">
      <c r="A12079" s="3" t="s">
        <v>27703</v>
      </c>
      <c r="B12079" s="3" t="s">
        <v>10445</v>
      </c>
      <c r="C12079" s="5" t="s">
        <v>221</v>
      </c>
      <c r="D12079" s="3" t="s">
        <v>614</v>
      </c>
      <c r="E12079" s="3" t="s">
        <v>118</v>
      </c>
      <c r="F12079" s="7">
        <v>45981.024045173144</v>
      </c>
      <c r="G12079" s="3" t="s">
        <v>7843</v>
      </c>
    </row>
    <row r="12080">
      <c r="A12080" s="3" t="s">
        <v>27704</v>
      </c>
      <c r="B12080" s="3" t="s">
        <v>10445</v>
      </c>
      <c r="C12080" s="5" t="s">
        <v>614</v>
      </c>
      <c r="D12080" s="3" t="s">
        <v>206</v>
      </c>
      <c r="E12080" s="3" t="s">
        <v>100</v>
      </c>
      <c r="F12080" s="7">
        <v>45981.02751739537</v>
      </c>
      <c r="G12080" s="3" t="s">
        <v>7846</v>
      </c>
    </row>
    <row r="12081">
      <c r="A12081" s="3" t="s">
        <v>27705</v>
      </c>
      <c r="B12081" s="3" t="s">
        <v>10445</v>
      </c>
      <c r="C12081" s="5" t="s">
        <v>206</v>
      </c>
      <c r="D12081" s="3" t="s">
        <v>68</v>
      </c>
      <c r="E12081" s="3" t="s">
        <v>100</v>
      </c>
      <c r="F12081" s="7">
        <v>45981.03098961759</v>
      </c>
      <c r="G12081" s="3" t="s">
        <v>7849</v>
      </c>
    </row>
    <row r="12082">
      <c r="A12082" s="3" t="s">
        <v>27706</v>
      </c>
      <c r="B12082" s="3" t="s">
        <v>10449</v>
      </c>
      <c r="C12082" s="5" t="s">
        <v>45</v>
      </c>
      <c r="D12082" s="3" t="s">
        <v>221</v>
      </c>
      <c r="E12082" s="3" t="s">
        <v>141</v>
      </c>
      <c r="F12082" s="7">
        <v>45981.091747796345</v>
      </c>
      <c r="G12082" s="3" t="s">
        <v>27707</v>
      </c>
    </row>
    <row r="12083">
      <c r="A12083" s="3" t="s">
        <v>27708</v>
      </c>
      <c r="B12083" s="3" t="s">
        <v>10449</v>
      </c>
      <c r="C12083" s="5" t="s">
        <v>221</v>
      </c>
      <c r="D12083" s="3" t="s">
        <v>614</v>
      </c>
      <c r="E12083" s="3" t="s">
        <v>118</v>
      </c>
      <c r="F12083" s="7">
        <v>45981.095220018564</v>
      </c>
      <c r="G12083" s="3" t="s">
        <v>27709</v>
      </c>
    </row>
    <row r="12084">
      <c r="A12084" s="3" t="s">
        <v>27710</v>
      </c>
      <c r="B12084" s="3" t="s">
        <v>10449</v>
      </c>
      <c r="C12084" s="5" t="s">
        <v>614</v>
      </c>
      <c r="D12084" s="3" t="s">
        <v>206</v>
      </c>
      <c r="E12084" s="3" t="s">
        <v>100</v>
      </c>
      <c r="F12084" s="7">
        <v>45981.09869224079</v>
      </c>
      <c r="G12084" s="3" t="s">
        <v>27711</v>
      </c>
    </row>
    <row r="12085">
      <c r="A12085" s="3" t="s">
        <v>27712</v>
      </c>
      <c r="B12085" s="3" t="s">
        <v>10449</v>
      </c>
      <c r="C12085" s="5" t="s">
        <v>206</v>
      </c>
      <c r="D12085" s="3" t="s">
        <v>68</v>
      </c>
      <c r="E12085" s="3" t="s">
        <v>100</v>
      </c>
      <c r="F12085" s="7">
        <v>45981.10216446301</v>
      </c>
      <c r="G12085" s="3" t="s">
        <v>27713</v>
      </c>
    </row>
    <row r="12086">
      <c r="A12086" s="3" t="s">
        <v>27714</v>
      </c>
      <c r="B12086" s="3" t="s">
        <v>10452</v>
      </c>
      <c r="C12086" s="5" t="s">
        <v>45</v>
      </c>
      <c r="D12086" s="3" t="s">
        <v>221</v>
      </c>
      <c r="E12086" s="3" t="s">
        <v>676</v>
      </c>
      <c r="F12086" s="7">
        <v>45981.16292264175</v>
      </c>
      <c r="G12086" s="3" t="s">
        <v>27715</v>
      </c>
    </row>
    <row r="12087">
      <c r="A12087" s="3" t="s">
        <v>27716</v>
      </c>
      <c r="B12087" s="3" t="s">
        <v>10452</v>
      </c>
      <c r="C12087" s="5" t="s">
        <v>221</v>
      </c>
      <c r="D12087" s="3" t="s">
        <v>614</v>
      </c>
      <c r="E12087" s="3" t="s">
        <v>118</v>
      </c>
      <c r="F12087" s="7">
        <v>45981.16639486397</v>
      </c>
      <c r="G12087" s="3" t="s">
        <v>27717</v>
      </c>
    </row>
    <row r="12088">
      <c r="A12088" s="3" t="s">
        <v>27718</v>
      </c>
      <c r="B12088" s="3" t="s">
        <v>10452</v>
      </c>
      <c r="C12088" s="5" t="s">
        <v>614</v>
      </c>
      <c r="D12088" s="3" t="s">
        <v>206</v>
      </c>
      <c r="E12088" s="3" t="s">
        <v>100</v>
      </c>
      <c r="F12088" s="7">
        <v>45981.169867086195</v>
      </c>
      <c r="G12088" s="3" t="s">
        <v>27719</v>
      </c>
    </row>
    <row r="12089">
      <c r="A12089" s="3" t="s">
        <v>27720</v>
      </c>
      <c r="B12089" s="3" t="s">
        <v>10452</v>
      </c>
      <c r="C12089" s="5" t="s">
        <v>206</v>
      </c>
      <c r="D12089" s="3" t="s">
        <v>68</v>
      </c>
      <c r="E12089" s="3" t="s">
        <v>100</v>
      </c>
      <c r="F12089" s="7">
        <v>45981.173339308414</v>
      </c>
      <c r="G12089" s="3" t="s">
        <v>27721</v>
      </c>
    </row>
    <row r="12090">
      <c r="A12090" s="3" t="s">
        <v>27722</v>
      </c>
      <c r="B12090" s="3" t="s">
        <v>10454</v>
      </c>
      <c r="C12090" s="5" t="s">
        <v>45</v>
      </c>
      <c r="D12090" s="3" t="s">
        <v>221</v>
      </c>
      <c r="E12090" s="3" t="s">
        <v>886</v>
      </c>
      <c r="F12090" s="7">
        <v>45981.23409748717</v>
      </c>
      <c r="G12090" s="3" t="s">
        <v>14192</v>
      </c>
    </row>
    <row r="12091">
      <c r="A12091" s="3" t="s">
        <v>27723</v>
      </c>
      <c r="B12091" s="3" t="s">
        <v>10454</v>
      </c>
      <c r="C12091" s="5" t="s">
        <v>221</v>
      </c>
      <c r="D12091" s="3" t="s">
        <v>614</v>
      </c>
      <c r="E12091" s="3" t="s">
        <v>118</v>
      </c>
      <c r="F12091" s="7">
        <v>45981.23756970939</v>
      </c>
      <c r="G12091" s="3" t="s">
        <v>14194</v>
      </c>
    </row>
    <row r="12092">
      <c r="A12092" s="3" t="s">
        <v>27724</v>
      </c>
      <c r="B12092" s="3" t="s">
        <v>10454</v>
      </c>
      <c r="C12092" s="5" t="s">
        <v>614</v>
      </c>
      <c r="D12092" s="3" t="s">
        <v>206</v>
      </c>
      <c r="E12092" s="3" t="s">
        <v>100</v>
      </c>
      <c r="F12092" s="7">
        <v>45981.241041931615</v>
      </c>
      <c r="G12092" s="3" t="s">
        <v>14197</v>
      </c>
    </row>
    <row r="12093">
      <c r="A12093" s="3" t="s">
        <v>27725</v>
      </c>
      <c r="B12093" s="3" t="s">
        <v>10454</v>
      </c>
      <c r="C12093" s="5" t="s">
        <v>206</v>
      </c>
      <c r="D12093" s="3" t="s">
        <v>68</v>
      </c>
      <c r="E12093" s="3" t="s">
        <v>100</v>
      </c>
      <c r="F12093" s="7">
        <v>45981.244514153834</v>
      </c>
      <c r="G12093" s="3" t="s">
        <v>14200</v>
      </c>
    </row>
    <row r="12094">
      <c r="A12094" s="3" t="s">
        <v>27726</v>
      </c>
      <c r="B12094" s="3" t="s">
        <v>10459</v>
      </c>
      <c r="C12094" s="5" t="s">
        <v>45</v>
      </c>
      <c r="D12094" s="3" t="s">
        <v>221</v>
      </c>
      <c r="E12094" s="3" t="s">
        <v>510</v>
      </c>
      <c r="F12094" s="7">
        <v>45981.30527233259</v>
      </c>
      <c r="G12094" s="3" t="s">
        <v>16144</v>
      </c>
    </row>
    <row r="12095">
      <c r="A12095" s="3" t="s">
        <v>27727</v>
      </c>
      <c r="B12095" s="3" t="s">
        <v>10459</v>
      </c>
      <c r="C12095" s="5" t="s">
        <v>221</v>
      </c>
      <c r="D12095" s="3" t="s">
        <v>614</v>
      </c>
      <c r="E12095" s="3" t="s">
        <v>118</v>
      </c>
      <c r="F12095" s="7">
        <v>45981.30874455481</v>
      </c>
      <c r="G12095" s="3" t="s">
        <v>16147</v>
      </c>
    </row>
    <row r="12096">
      <c r="A12096" s="3" t="s">
        <v>27728</v>
      </c>
      <c r="B12096" s="3" t="s">
        <v>10459</v>
      </c>
      <c r="C12096" s="5" t="s">
        <v>614</v>
      </c>
      <c r="D12096" s="3" t="s">
        <v>206</v>
      </c>
      <c r="E12096" s="3" t="s">
        <v>100</v>
      </c>
      <c r="F12096" s="7">
        <v>45981.312216777034</v>
      </c>
      <c r="G12096" s="3" t="s">
        <v>16150</v>
      </c>
    </row>
    <row r="12097">
      <c r="A12097" s="3" t="s">
        <v>27729</v>
      </c>
      <c r="B12097" s="3" t="s">
        <v>10459</v>
      </c>
      <c r="C12097" s="5" t="s">
        <v>206</v>
      </c>
      <c r="D12097" s="3" t="s">
        <v>68</v>
      </c>
      <c r="E12097" s="3" t="s">
        <v>100</v>
      </c>
      <c r="F12097" s="7">
        <v>45981.31568899925</v>
      </c>
      <c r="G12097" s="3" t="s">
        <v>16153</v>
      </c>
    </row>
    <row r="12098">
      <c r="A12098" s="3" t="s">
        <v>27730</v>
      </c>
      <c r="B12098" s="3" t="s">
        <v>10462</v>
      </c>
      <c r="C12098" s="5" t="s">
        <v>45</v>
      </c>
      <c r="D12098" s="3" t="s">
        <v>221</v>
      </c>
      <c r="E12098" s="3" t="s">
        <v>498</v>
      </c>
      <c r="F12098" s="7">
        <v>45981.376447178</v>
      </c>
      <c r="G12098" s="3" t="s">
        <v>9140</v>
      </c>
    </row>
    <row r="12099">
      <c r="A12099" s="3" t="s">
        <v>27731</v>
      </c>
      <c r="B12099" s="3" t="s">
        <v>10462</v>
      </c>
      <c r="C12099" s="5" t="s">
        <v>221</v>
      </c>
      <c r="D12099" s="3" t="s">
        <v>195</v>
      </c>
      <c r="E12099" s="3" t="s">
        <v>498</v>
      </c>
      <c r="F12099" s="7">
        <v>45981.37991940022</v>
      </c>
      <c r="G12099" s="3" t="s">
        <v>27732</v>
      </c>
    </row>
    <row r="12100">
      <c r="A12100" s="3" t="s">
        <v>27733</v>
      </c>
      <c r="B12100" s="3" t="s">
        <v>10464</v>
      </c>
      <c r="C12100" s="5" t="s">
        <v>45</v>
      </c>
      <c r="D12100" s="3" t="s">
        <v>221</v>
      </c>
      <c r="E12100" s="3" t="s">
        <v>453</v>
      </c>
      <c r="F12100" s="7">
        <v>45981.447622023414</v>
      </c>
      <c r="G12100" s="3" t="s">
        <v>8676</v>
      </c>
    </row>
    <row r="12101">
      <c r="A12101" s="3" t="s">
        <v>27734</v>
      </c>
      <c r="B12101" s="3" t="s">
        <v>10464</v>
      </c>
      <c r="C12101" s="5" t="s">
        <v>221</v>
      </c>
      <c r="D12101" s="3" t="s">
        <v>614</v>
      </c>
      <c r="E12101" s="3" t="s">
        <v>118</v>
      </c>
      <c r="F12101" s="7">
        <v>45981.45109424563</v>
      </c>
      <c r="G12101" s="3" t="s">
        <v>8679</v>
      </c>
    </row>
    <row r="12102">
      <c r="A12102" s="3" t="s">
        <v>27735</v>
      </c>
      <c r="B12102" s="3" t="s">
        <v>10464</v>
      </c>
      <c r="C12102" s="5" t="s">
        <v>614</v>
      </c>
      <c r="D12102" s="3" t="s">
        <v>206</v>
      </c>
      <c r="E12102" s="3" t="s">
        <v>100</v>
      </c>
      <c r="F12102" s="7">
        <v>45981.45456646786</v>
      </c>
      <c r="G12102" s="3" t="s">
        <v>8682</v>
      </c>
    </row>
    <row r="12103">
      <c r="A12103" s="3" t="s">
        <v>27736</v>
      </c>
      <c r="B12103" s="3" t="s">
        <v>10464</v>
      </c>
      <c r="C12103" s="5" t="s">
        <v>206</v>
      </c>
      <c r="D12103" s="3" t="s">
        <v>68</v>
      </c>
      <c r="E12103" s="3" t="s">
        <v>100</v>
      </c>
      <c r="F12103" s="7">
        <v>45981.45803869008</v>
      </c>
      <c r="G12103" s="3" t="s">
        <v>8685</v>
      </c>
    </row>
    <row r="12104">
      <c r="A12104" s="3" t="s">
        <v>27737</v>
      </c>
      <c r="B12104" s="3" t="s">
        <v>10466</v>
      </c>
      <c r="C12104" s="5" t="s">
        <v>45</v>
      </c>
      <c r="D12104" s="3" t="s">
        <v>221</v>
      </c>
      <c r="E12104" s="3" t="s">
        <v>519</v>
      </c>
      <c r="F12104" s="7">
        <v>45981.51879686883</v>
      </c>
      <c r="G12104" s="3" t="s">
        <v>16955</v>
      </c>
    </row>
    <row r="12105">
      <c r="A12105" s="3" t="s">
        <v>27738</v>
      </c>
      <c r="B12105" s="3" t="s">
        <v>10466</v>
      </c>
      <c r="C12105" s="5" t="s">
        <v>221</v>
      </c>
      <c r="D12105" s="3" t="s">
        <v>614</v>
      </c>
      <c r="E12105" s="3" t="s">
        <v>118</v>
      </c>
      <c r="F12105" s="7">
        <v>45981.52226909105</v>
      </c>
      <c r="G12105" s="3" t="s">
        <v>27739</v>
      </c>
    </row>
    <row r="12106">
      <c r="A12106" s="3" t="s">
        <v>27740</v>
      </c>
      <c r="B12106" s="3" t="s">
        <v>10466</v>
      </c>
      <c r="C12106" s="5" t="s">
        <v>614</v>
      </c>
      <c r="D12106" s="3" t="s">
        <v>206</v>
      </c>
      <c r="E12106" s="3" t="s">
        <v>100</v>
      </c>
      <c r="F12106" s="7">
        <v>45981.52574131328</v>
      </c>
      <c r="G12106" s="3" t="s">
        <v>27741</v>
      </c>
    </row>
    <row r="12107">
      <c r="A12107" s="3" t="s">
        <v>27742</v>
      </c>
      <c r="B12107" s="3" t="s">
        <v>10466</v>
      </c>
      <c r="C12107" s="5" t="s">
        <v>206</v>
      </c>
      <c r="D12107" s="3" t="s">
        <v>68</v>
      </c>
      <c r="E12107" s="3" t="s">
        <v>100</v>
      </c>
      <c r="F12107" s="7">
        <v>45981.5292135355</v>
      </c>
      <c r="G12107" s="3" t="s">
        <v>27743</v>
      </c>
    </row>
    <row r="12108">
      <c r="A12108" s="3" t="s">
        <v>27744</v>
      </c>
      <c r="B12108" s="3" t="s">
        <v>10469</v>
      </c>
      <c r="C12108" s="5" t="s">
        <v>45</v>
      </c>
      <c r="D12108" s="3" t="s">
        <v>221</v>
      </c>
      <c r="E12108" s="3" t="s">
        <v>725</v>
      </c>
      <c r="F12108" s="7">
        <v>45981.589971714246</v>
      </c>
      <c r="G12108" s="3" t="s">
        <v>15017</v>
      </c>
    </row>
    <row r="12109">
      <c r="A12109" s="3" t="s">
        <v>27745</v>
      </c>
      <c r="B12109" s="3" t="s">
        <v>10469</v>
      </c>
      <c r="C12109" s="5" t="s">
        <v>221</v>
      </c>
      <c r="D12109" s="3" t="s">
        <v>614</v>
      </c>
      <c r="E12109" s="3" t="s">
        <v>118</v>
      </c>
      <c r="F12109" s="7">
        <v>45981.593443936465</v>
      </c>
      <c r="G12109" s="3" t="s">
        <v>15020</v>
      </c>
    </row>
    <row r="12110">
      <c r="A12110" s="3" t="s">
        <v>27746</v>
      </c>
      <c r="B12110" s="3" t="s">
        <v>10469</v>
      </c>
      <c r="C12110" s="5" t="s">
        <v>614</v>
      </c>
      <c r="D12110" s="3" t="s">
        <v>206</v>
      </c>
      <c r="E12110" s="3" t="s">
        <v>100</v>
      </c>
      <c r="F12110" s="7">
        <v>45981.59691615869</v>
      </c>
      <c r="G12110" s="3" t="s">
        <v>15023</v>
      </c>
    </row>
    <row r="12111">
      <c r="A12111" s="3" t="s">
        <v>27747</v>
      </c>
      <c r="B12111" s="3" t="s">
        <v>10469</v>
      </c>
      <c r="C12111" s="5" t="s">
        <v>206</v>
      </c>
      <c r="D12111" s="3" t="s">
        <v>68</v>
      </c>
      <c r="E12111" s="3" t="s">
        <v>100</v>
      </c>
      <c r="F12111" s="7">
        <v>45981.60038838091</v>
      </c>
      <c r="G12111" s="3" t="s">
        <v>15026</v>
      </c>
    </row>
    <row r="12112">
      <c r="A12112" s="3" t="s">
        <v>27748</v>
      </c>
      <c r="B12112" s="3" t="s">
        <v>10472</v>
      </c>
      <c r="C12112" s="5" t="s">
        <v>45</v>
      </c>
      <c r="D12112" s="3" t="s">
        <v>221</v>
      </c>
      <c r="E12112" s="3" t="s">
        <v>148</v>
      </c>
      <c r="F12112" s="7">
        <v>45981.66114655966</v>
      </c>
      <c r="G12112" s="3" t="s">
        <v>27492</v>
      </c>
    </row>
    <row r="12113">
      <c r="A12113" s="3" t="s">
        <v>27749</v>
      </c>
      <c r="B12113" s="3" t="s">
        <v>10472</v>
      </c>
      <c r="C12113" s="5" t="s">
        <v>221</v>
      </c>
      <c r="D12113" s="3" t="s">
        <v>614</v>
      </c>
      <c r="E12113" s="3" t="s">
        <v>118</v>
      </c>
      <c r="F12113" s="7">
        <v>45981.66461878188</v>
      </c>
      <c r="G12113" s="3" t="s">
        <v>27494</v>
      </c>
    </row>
    <row r="12114">
      <c r="A12114" s="3" t="s">
        <v>27750</v>
      </c>
      <c r="B12114" s="3" t="s">
        <v>10472</v>
      </c>
      <c r="C12114" s="5" t="s">
        <v>614</v>
      </c>
      <c r="D12114" s="3" t="s">
        <v>206</v>
      </c>
      <c r="E12114" s="3" t="s">
        <v>100</v>
      </c>
      <c r="F12114" s="7">
        <v>45981.6680910041</v>
      </c>
      <c r="G12114" s="3" t="s">
        <v>27496</v>
      </c>
    </row>
    <row r="12115">
      <c r="A12115" s="3" t="s">
        <v>27751</v>
      </c>
      <c r="B12115" s="3" t="s">
        <v>10472</v>
      </c>
      <c r="C12115" s="5" t="s">
        <v>206</v>
      </c>
      <c r="D12115" s="3" t="s">
        <v>68</v>
      </c>
      <c r="E12115" s="3" t="s">
        <v>100</v>
      </c>
      <c r="F12115" s="7">
        <v>45981.67156322632</v>
      </c>
      <c r="G12115" s="3" t="s">
        <v>27498</v>
      </c>
    </row>
    <row r="12116">
      <c r="A12116" s="3" t="s">
        <v>27752</v>
      </c>
      <c r="B12116" s="3" t="s">
        <v>10476</v>
      </c>
      <c r="C12116" s="5" t="s">
        <v>45</v>
      </c>
      <c r="D12116" s="3" t="s">
        <v>221</v>
      </c>
      <c r="E12116" s="3" t="s">
        <v>672</v>
      </c>
      <c r="F12116" s="7">
        <v>45981.73232140508</v>
      </c>
      <c r="G12116" s="3" t="s">
        <v>14875</v>
      </c>
    </row>
    <row r="12117">
      <c r="A12117" s="3" t="s">
        <v>27753</v>
      </c>
      <c r="B12117" s="3" t="s">
        <v>10476</v>
      </c>
      <c r="C12117" s="5" t="s">
        <v>221</v>
      </c>
      <c r="D12117" s="3" t="s">
        <v>614</v>
      </c>
      <c r="E12117" s="3" t="s">
        <v>118</v>
      </c>
      <c r="F12117" s="7">
        <v>45981.7357936273</v>
      </c>
      <c r="G12117" s="3" t="s">
        <v>14878</v>
      </c>
    </row>
    <row r="12118">
      <c r="A12118" s="3" t="s">
        <v>27754</v>
      </c>
      <c r="B12118" s="3" t="s">
        <v>10476</v>
      </c>
      <c r="C12118" s="5" t="s">
        <v>614</v>
      </c>
      <c r="D12118" s="3" t="s">
        <v>206</v>
      </c>
      <c r="E12118" s="3" t="s">
        <v>100</v>
      </c>
      <c r="F12118" s="7">
        <v>45981.73926584952</v>
      </c>
      <c r="G12118" s="3" t="s">
        <v>14881</v>
      </c>
    </row>
    <row r="12119">
      <c r="A12119" s="3" t="s">
        <v>27755</v>
      </c>
      <c r="B12119" s="3" t="s">
        <v>10476</v>
      </c>
      <c r="C12119" s="5" t="s">
        <v>206</v>
      </c>
      <c r="D12119" s="3" t="s">
        <v>68</v>
      </c>
      <c r="E12119" s="3" t="s">
        <v>100</v>
      </c>
      <c r="F12119" s="7">
        <v>45981.74273807174</v>
      </c>
      <c r="G12119" s="3" t="s">
        <v>14884</v>
      </c>
    </row>
    <row r="12120">
      <c r="A12120" s="3" t="s">
        <v>27756</v>
      </c>
      <c r="B12120" s="3" t="s">
        <v>10478</v>
      </c>
      <c r="C12120" s="5" t="s">
        <v>45</v>
      </c>
      <c r="D12120" s="3" t="s">
        <v>221</v>
      </c>
      <c r="E12120" s="3" t="s">
        <v>539</v>
      </c>
      <c r="F12120" s="7">
        <v>45981.8034962505</v>
      </c>
      <c r="G12120" s="3" t="s">
        <v>14214</v>
      </c>
    </row>
    <row r="12121">
      <c r="A12121" s="3" t="s">
        <v>27757</v>
      </c>
      <c r="B12121" s="3" t="s">
        <v>10478</v>
      </c>
      <c r="C12121" s="5" t="s">
        <v>221</v>
      </c>
      <c r="D12121" s="3" t="s">
        <v>614</v>
      </c>
      <c r="E12121" s="3" t="s">
        <v>118</v>
      </c>
      <c r="F12121" s="7">
        <v>45981.806968472716</v>
      </c>
      <c r="G12121" s="3" t="s">
        <v>14217</v>
      </c>
    </row>
    <row r="12122">
      <c r="A12122" s="3" t="s">
        <v>27758</v>
      </c>
      <c r="B12122" s="3" t="s">
        <v>10478</v>
      </c>
      <c r="C12122" s="5" t="s">
        <v>614</v>
      </c>
      <c r="D12122" s="3" t="s">
        <v>206</v>
      </c>
      <c r="E12122" s="3" t="s">
        <v>100</v>
      </c>
      <c r="F12122" s="7">
        <v>45981.81044069494</v>
      </c>
      <c r="G12122" s="3" t="s">
        <v>14220</v>
      </c>
    </row>
    <row r="12123">
      <c r="A12123" s="3" t="s">
        <v>27759</v>
      </c>
      <c r="B12123" s="3" t="s">
        <v>10478</v>
      </c>
      <c r="C12123" s="5" t="s">
        <v>206</v>
      </c>
      <c r="D12123" s="3" t="s">
        <v>68</v>
      </c>
      <c r="E12123" s="3" t="s">
        <v>100</v>
      </c>
      <c r="F12123" s="7">
        <v>45981.81391291716</v>
      </c>
      <c r="G12123" s="3" t="s">
        <v>14222</v>
      </c>
    </row>
    <row r="12124">
      <c r="A12124" s="3" t="s">
        <v>27760</v>
      </c>
      <c r="B12124" s="3" t="s">
        <v>10481</v>
      </c>
      <c r="C12124" s="5" t="s">
        <v>45</v>
      </c>
      <c r="D12124" s="3" t="s">
        <v>221</v>
      </c>
      <c r="E12124" s="3" t="s">
        <v>530</v>
      </c>
      <c r="F12124" s="7">
        <v>45981.8746710959</v>
      </c>
      <c r="G12124" s="3" t="s">
        <v>11787</v>
      </c>
    </row>
    <row r="12125">
      <c r="A12125" s="3" t="s">
        <v>27761</v>
      </c>
      <c r="B12125" s="3" t="s">
        <v>10481</v>
      </c>
      <c r="C12125" s="5" t="s">
        <v>221</v>
      </c>
      <c r="D12125" s="3" t="s">
        <v>614</v>
      </c>
      <c r="E12125" s="3" t="s">
        <v>118</v>
      </c>
      <c r="F12125" s="7">
        <v>45981.87814331812</v>
      </c>
      <c r="G12125" s="3" t="s">
        <v>11790</v>
      </c>
    </row>
    <row r="12126">
      <c r="A12126" s="3" t="s">
        <v>27762</v>
      </c>
      <c r="B12126" s="3" t="s">
        <v>10481</v>
      </c>
      <c r="C12126" s="5" t="s">
        <v>614</v>
      </c>
      <c r="D12126" s="3" t="s">
        <v>206</v>
      </c>
      <c r="E12126" s="3" t="s">
        <v>100</v>
      </c>
      <c r="F12126" s="7">
        <v>45981.88161554035</v>
      </c>
      <c r="G12126" s="3" t="s">
        <v>11795</v>
      </c>
    </row>
    <row r="12127">
      <c r="A12127" s="3" t="s">
        <v>27763</v>
      </c>
      <c r="B12127" s="3" t="s">
        <v>10481</v>
      </c>
      <c r="C12127" s="5" t="s">
        <v>206</v>
      </c>
      <c r="D12127" s="3" t="s">
        <v>68</v>
      </c>
      <c r="E12127" s="3" t="s">
        <v>100</v>
      </c>
      <c r="F12127" s="7">
        <v>45981.88508776257</v>
      </c>
      <c r="G12127" s="3" t="s">
        <v>11798</v>
      </c>
    </row>
    <row r="12128">
      <c r="A12128" s="3" t="s">
        <v>27764</v>
      </c>
      <c r="B12128" s="3" t="s">
        <v>10483</v>
      </c>
      <c r="C12128" s="5" t="s">
        <v>45</v>
      </c>
      <c r="D12128" s="3" t="s">
        <v>221</v>
      </c>
      <c r="E12128" s="3" t="s">
        <v>976</v>
      </c>
      <c r="F12128" s="7">
        <v>45981.94584594132</v>
      </c>
      <c r="G12128" s="3" t="s">
        <v>2770</v>
      </c>
    </row>
    <row r="12129">
      <c r="A12129" s="3" t="s">
        <v>27765</v>
      </c>
      <c r="B12129" s="3" t="s">
        <v>10483</v>
      </c>
      <c r="C12129" s="5" t="s">
        <v>221</v>
      </c>
      <c r="D12129" s="3" t="s">
        <v>195</v>
      </c>
      <c r="E12129" s="3" t="s">
        <v>976</v>
      </c>
      <c r="F12129" s="7">
        <v>45981.94931816354</v>
      </c>
      <c r="G12129" s="3" t="s">
        <v>3055</v>
      </c>
    </row>
    <row r="12130">
      <c r="A12130" s="3" t="s">
        <v>27766</v>
      </c>
      <c r="B12130" s="3" t="s">
        <v>10484</v>
      </c>
      <c r="C12130" s="5" t="s">
        <v>45</v>
      </c>
      <c r="D12130" s="3" t="s">
        <v>221</v>
      </c>
      <c r="E12130" s="3" t="s">
        <v>586</v>
      </c>
      <c r="F12130" s="7">
        <v>45982.017020786734</v>
      </c>
      <c r="G12130" s="3" t="s">
        <v>19542</v>
      </c>
    </row>
    <row r="12131">
      <c r="A12131" s="3" t="s">
        <v>27767</v>
      </c>
      <c r="B12131" s="3" t="s">
        <v>10484</v>
      </c>
      <c r="C12131" s="5" t="s">
        <v>221</v>
      </c>
      <c r="D12131" s="3" t="s">
        <v>614</v>
      </c>
      <c r="E12131" s="3" t="s">
        <v>118</v>
      </c>
      <c r="F12131" s="7">
        <v>45982.02049300895</v>
      </c>
      <c r="G12131" s="3" t="s">
        <v>19544</v>
      </c>
    </row>
    <row r="12132">
      <c r="A12132" s="3" t="s">
        <v>27768</v>
      </c>
      <c r="B12132" s="3" t="s">
        <v>10484</v>
      </c>
      <c r="C12132" s="5" t="s">
        <v>614</v>
      </c>
      <c r="D12132" s="3" t="s">
        <v>206</v>
      </c>
      <c r="E12132" s="3" t="s">
        <v>100</v>
      </c>
      <c r="F12132" s="7">
        <v>45982.02396523118</v>
      </c>
      <c r="G12132" s="3" t="s">
        <v>19547</v>
      </c>
    </row>
    <row r="12133">
      <c r="A12133" s="3" t="s">
        <v>27769</v>
      </c>
      <c r="B12133" s="3" t="s">
        <v>10484</v>
      </c>
      <c r="C12133" s="5" t="s">
        <v>206</v>
      </c>
      <c r="D12133" s="3" t="s">
        <v>68</v>
      </c>
      <c r="E12133" s="3" t="s">
        <v>100</v>
      </c>
      <c r="F12133" s="7">
        <v>45982.0274374534</v>
      </c>
      <c r="G12133" s="3" t="s">
        <v>19550</v>
      </c>
    </row>
    <row r="12134">
      <c r="A12134" s="3" t="s">
        <v>27770</v>
      </c>
      <c r="B12134" s="3" t="s">
        <v>10486</v>
      </c>
      <c r="C12134" s="5" t="s">
        <v>45</v>
      </c>
      <c r="D12134" s="3" t="s">
        <v>221</v>
      </c>
      <c r="E12134" s="3" t="s">
        <v>969</v>
      </c>
      <c r="F12134" s="7">
        <v>45982.088195632154</v>
      </c>
      <c r="G12134" s="3" t="s">
        <v>14312</v>
      </c>
    </row>
    <row r="12135">
      <c r="A12135" s="3" t="s">
        <v>27771</v>
      </c>
      <c r="B12135" s="3" t="s">
        <v>10486</v>
      </c>
      <c r="C12135" s="5" t="s">
        <v>221</v>
      </c>
      <c r="D12135" s="3" t="s">
        <v>614</v>
      </c>
      <c r="E12135" s="3" t="s">
        <v>118</v>
      </c>
      <c r="F12135" s="7">
        <v>45982.09166785437</v>
      </c>
      <c r="G12135" s="3" t="s">
        <v>14315</v>
      </c>
    </row>
    <row r="12136">
      <c r="A12136" s="3" t="s">
        <v>27772</v>
      </c>
      <c r="B12136" s="3" t="s">
        <v>10486</v>
      </c>
      <c r="C12136" s="5" t="s">
        <v>614</v>
      </c>
      <c r="D12136" s="3" t="s">
        <v>206</v>
      </c>
      <c r="E12136" s="3" t="s">
        <v>100</v>
      </c>
      <c r="F12136" s="7">
        <v>45982.0951400766</v>
      </c>
      <c r="G12136" s="3" t="s">
        <v>14317</v>
      </c>
    </row>
    <row r="12137">
      <c r="A12137" s="3" t="s">
        <v>27773</v>
      </c>
      <c r="B12137" s="3" t="s">
        <v>10486</v>
      </c>
      <c r="C12137" s="5" t="s">
        <v>206</v>
      </c>
      <c r="D12137" s="3" t="s">
        <v>68</v>
      </c>
      <c r="E12137" s="3" t="s">
        <v>100</v>
      </c>
      <c r="F12137" s="7">
        <v>45982.09861229882</v>
      </c>
      <c r="G12137" s="3" t="s">
        <v>14321</v>
      </c>
    </row>
    <row r="12138">
      <c r="A12138" s="3" t="s">
        <v>27774</v>
      </c>
      <c r="B12138" s="3" t="s">
        <v>10488</v>
      </c>
      <c r="C12138" s="5" t="s">
        <v>45</v>
      </c>
      <c r="D12138" s="3" t="s">
        <v>221</v>
      </c>
      <c r="E12138" s="3" t="s">
        <v>352</v>
      </c>
      <c r="F12138" s="7">
        <v>45982.159370477566</v>
      </c>
      <c r="G12138" s="3" t="s">
        <v>11723</v>
      </c>
    </row>
    <row r="12139">
      <c r="A12139" s="3" t="s">
        <v>27775</v>
      </c>
      <c r="B12139" s="3" t="s">
        <v>10488</v>
      </c>
      <c r="C12139" s="5" t="s">
        <v>221</v>
      </c>
      <c r="D12139" s="3" t="s">
        <v>614</v>
      </c>
      <c r="E12139" s="3" t="s">
        <v>118</v>
      </c>
      <c r="F12139" s="7">
        <v>45982.162842699785</v>
      </c>
      <c r="G12139" s="3" t="s">
        <v>11725</v>
      </c>
    </row>
    <row r="12140">
      <c r="A12140" s="3" t="s">
        <v>27776</v>
      </c>
      <c r="B12140" s="3" t="s">
        <v>10488</v>
      </c>
      <c r="C12140" s="5" t="s">
        <v>614</v>
      </c>
      <c r="D12140" s="3" t="s">
        <v>206</v>
      </c>
      <c r="E12140" s="3" t="s">
        <v>100</v>
      </c>
      <c r="F12140" s="7">
        <v>45982.16631492201</v>
      </c>
      <c r="G12140" s="3" t="s">
        <v>11728</v>
      </c>
    </row>
    <row r="12141">
      <c r="A12141" s="3" t="s">
        <v>27777</v>
      </c>
      <c r="B12141" s="3" t="s">
        <v>10488</v>
      </c>
      <c r="C12141" s="5" t="s">
        <v>206</v>
      </c>
      <c r="D12141" s="3" t="s">
        <v>68</v>
      </c>
      <c r="E12141" s="3" t="s">
        <v>100</v>
      </c>
      <c r="F12141" s="7">
        <v>45982.16978714423</v>
      </c>
      <c r="G12141" s="3" t="s">
        <v>11731</v>
      </c>
    </row>
    <row r="12142">
      <c r="A12142" s="3" t="s">
        <v>27778</v>
      </c>
      <c r="B12142" s="3" t="s">
        <v>10489</v>
      </c>
      <c r="C12142" s="5" t="s">
        <v>45</v>
      </c>
      <c r="D12142" s="3" t="s">
        <v>221</v>
      </c>
      <c r="E12142" s="3" t="s">
        <v>752</v>
      </c>
      <c r="F12142" s="7">
        <v>45982.230545322986</v>
      </c>
      <c r="G12142" s="3" t="s">
        <v>15934</v>
      </c>
    </row>
    <row r="12143">
      <c r="A12143" s="3" t="s">
        <v>27779</v>
      </c>
      <c r="B12143" s="3" t="s">
        <v>10489</v>
      </c>
      <c r="C12143" s="5" t="s">
        <v>221</v>
      </c>
      <c r="D12143" s="3" t="s">
        <v>614</v>
      </c>
      <c r="E12143" s="3" t="s">
        <v>118</v>
      </c>
      <c r="F12143" s="7">
        <v>45982.234017545205</v>
      </c>
      <c r="G12143" s="3" t="s">
        <v>15936</v>
      </c>
    </row>
    <row r="12144">
      <c r="A12144" s="3" t="s">
        <v>27780</v>
      </c>
      <c r="B12144" s="3" t="s">
        <v>10489</v>
      </c>
      <c r="C12144" s="5" t="s">
        <v>614</v>
      </c>
      <c r="D12144" s="3" t="s">
        <v>206</v>
      </c>
      <c r="E12144" s="3" t="s">
        <v>100</v>
      </c>
      <c r="F12144" s="7">
        <v>45982.23748976743</v>
      </c>
      <c r="G12144" s="3" t="s">
        <v>15939</v>
      </c>
    </row>
    <row r="12145">
      <c r="A12145" s="3" t="s">
        <v>27781</v>
      </c>
      <c r="B12145" s="3" t="s">
        <v>10489</v>
      </c>
      <c r="C12145" s="5" t="s">
        <v>206</v>
      </c>
      <c r="D12145" s="3" t="s">
        <v>68</v>
      </c>
      <c r="E12145" s="3" t="s">
        <v>100</v>
      </c>
      <c r="F12145" s="7">
        <v>45982.24096198965</v>
      </c>
      <c r="G12145" s="3" t="s">
        <v>15942</v>
      </c>
    </row>
    <row r="12146">
      <c r="A12146" s="3" t="s">
        <v>27782</v>
      </c>
      <c r="B12146" s="3" t="s">
        <v>10491</v>
      </c>
      <c r="C12146" s="5" t="s">
        <v>45</v>
      </c>
      <c r="D12146" s="3" t="s">
        <v>221</v>
      </c>
      <c r="E12146" s="3" t="s">
        <v>366</v>
      </c>
      <c r="F12146" s="7">
        <v>45982.30172016839</v>
      </c>
      <c r="G12146" s="3" t="s">
        <v>12054</v>
      </c>
    </row>
    <row r="12147">
      <c r="A12147" s="3" t="s">
        <v>27783</v>
      </c>
      <c r="B12147" s="3" t="s">
        <v>10491</v>
      </c>
      <c r="C12147" s="5" t="s">
        <v>221</v>
      </c>
      <c r="D12147" s="3" t="s">
        <v>195</v>
      </c>
      <c r="E12147" s="3" t="s">
        <v>366</v>
      </c>
      <c r="F12147" s="7">
        <v>45982.30519239061</v>
      </c>
      <c r="G12147" s="3" t="s">
        <v>27784</v>
      </c>
    </row>
    <row r="12148">
      <c r="A12148" s="3" t="s">
        <v>27785</v>
      </c>
      <c r="B12148" s="3" t="s">
        <v>10493</v>
      </c>
      <c r="C12148" s="5" t="s">
        <v>45</v>
      </c>
      <c r="D12148" s="3" t="s">
        <v>221</v>
      </c>
      <c r="E12148" s="3" t="s">
        <v>219</v>
      </c>
      <c r="F12148" s="7">
        <v>45982.37289501381</v>
      </c>
      <c r="G12148" s="3" t="s">
        <v>14490</v>
      </c>
    </row>
    <row r="12149">
      <c r="A12149" s="3" t="s">
        <v>27786</v>
      </c>
      <c r="B12149" s="3" t="s">
        <v>10493</v>
      </c>
      <c r="C12149" s="5" t="s">
        <v>221</v>
      </c>
      <c r="D12149" s="3" t="s">
        <v>614</v>
      </c>
      <c r="E12149" s="3" t="s">
        <v>118</v>
      </c>
      <c r="F12149" s="7">
        <v>45982.37636723603</v>
      </c>
      <c r="G12149" s="3" t="s">
        <v>14492</v>
      </c>
    </row>
    <row r="12150">
      <c r="A12150" s="3" t="s">
        <v>27787</v>
      </c>
      <c r="B12150" s="3" t="s">
        <v>10493</v>
      </c>
      <c r="C12150" s="5" t="s">
        <v>614</v>
      </c>
      <c r="D12150" s="3" t="s">
        <v>206</v>
      </c>
      <c r="E12150" s="3" t="s">
        <v>100</v>
      </c>
      <c r="F12150" s="7">
        <v>45982.379839458255</v>
      </c>
      <c r="G12150" s="3" t="s">
        <v>14495</v>
      </c>
    </row>
    <row r="12151">
      <c r="A12151" s="3" t="s">
        <v>27788</v>
      </c>
      <c r="B12151" s="3" t="s">
        <v>10493</v>
      </c>
      <c r="C12151" s="5" t="s">
        <v>206</v>
      </c>
      <c r="D12151" s="3" t="s">
        <v>68</v>
      </c>
      <c r="E12151" s="3" t="s">
        <v>100</v>
      </c>
      <c r="F12151" s="7">
        <v>45982.383311680474</v>
      </c>
      <c r="G12151" s="3" t="s">
        <v>14498</v>
      </c>
    </row>
    <row r="12152">
      <c r="A12152" s="3" t="s">
        <v>27789</v>
      </c>
      <c r="B12152" s="3" t="s">
        <v>10497</v>
      </c>
      <c r="C12152" s="5" t="s">
        <v>45</v>
      </c>
      <c r="D12152" s="3" t="s">
        <v>221</v>
      </c>
      <c r="E12152" s="3" t="s">
        <v>593</v>
      </c>
      <c r="F12152" s="7">
        <v>45982.44406985923</v>
      </c>
      <c r="G12152" s="3" t="s">
        <v>14158</v>
      </c>
    </row>
    <row r="12153">
      <c r="A12153" s="3" t="s">
        <v>27790</v>
      </c>
      <c r="B12153" s="3" t="s">
        <v>10497</v>
      </c>
      <c r="C12153" s="5" t="s">
        <v>221</v>
      </c>
      <c r="D12153" s="3" t="s">
        <v>614</v>
      </c>
      <c r="E12153" s="3" t="s">
        <v>118</v>
      </c>
      <c r="F12153" s="7">
        <v>45982.44754208145</v>
      </c>
      <c r="G12153" s="3" t="s">
        <v>14161</v>
      </c>
    </row>
    <row r="12154">
      <c r="A12154" s="3" t="s">
        <v>27791</v>
      </c>
      <c r="B12154" s="3" t="s">
        <v>10497</v>
      </c>
      <c r="C12154" s="5" t="s">
        <v>614</v>
      </c>
      <c r="D12154" s="3" t="s">
        <v>206</v>
      </c>
      <c r="E12154" s="3" t="s">
        <v>100</v>
      </c>
      <c r="F12154" s="7">
        <v>45982.451014303675</v>
      </c>
      <c r="G12154" s="3" t="s">
        <v>14164</v>
      </c>
    </row>
    <row r="12155">
      <c r="A12155" s="3" t="s">
        <v>27792</v>
      </c>
      <c r="B12155" s="3" t="s">
        <v>10497</v>
      </c>
      <c r="C12155" s="5" t="s">
        <v>206</v>
      </c>
      <c r="D12155" s="3" t="s">
        <v>68</v>
      </c>
      <c r="E12155" s="3" t="s">
        <v>100</v>
      </c>
      <c r="F12155" s="7">
        <v>45982.454486525894</v>
      </c>
      <c r="G12155" s="3" t="s">
        <v>14167</v>
      </c>
    </row>
    <row r="12156">
      <c r="A12156" s="3" t="s">
        <v>27793</v>
      </c>
      <c r="B12156" s="3" t="s">
        <v>10501</v>
      </c>
      <c r="C12156" s="5" t="s">
        <v>45</v>
      </c>
      <c r="D12156" s="3" t="s">
        <v>221</v>
      </c>
      <c r="E12156" s="3" t="s">
        <v>916</v>
      </c>
      <c r="F12156" s="7">
        <v>45982.51524470464</v>
      </c>
      <c r="G12156" s="3" t="s">
        <v>19950</v>
      </c>
    </row>
    <row r="12157">
      <c r="A12157" s="3" t="s">
        <v>27794</v>
      </c>
      <c r="B12157" s="3" t="s">
        <v>10501</v>
      </c>
      <c r="C12157" s="5" t="s">
        <v>221</v>
      </c>
      <c r="D12157" s="3" t="s">
        <v>614</v>
      </c>
      <c r="E12157" s="3" t="s">
        <v>118</v>
      </c>
      <c r="F12157" s="7">
        <v>45982.51871692686</v>
      </c>
      <c r="G12157" s="3" t="s">
        <v>19952</v>
      </c>
    </row>
    <row r="12158">
      <c r="A12158" s="3" t="s">
        <v>27795</v>
      </c>
      <c r="B12158" s="3" t="s">
        <v>10501</v>
      </c>
      <c r="C12158" s="5" t="s">
        <v>614</v>
      </c>
      <c r="D12158" s="3" t="s">
        <v>206</v>
      </c>
      <c r="E12158" s="3" t="s">
        <v>100</v>
      </c>
      <c r="F12158" s="7">
        <v>45982.52218914909</v>
      </c>
      <c r="G12158" s="3" t="s">
        <v>19955</v>
      </c>
    </row>
    <row r="12159">
      <c r="A12159" s="3" t="s">
        <v>27796</v>
      </c>
      <c r="B12159" s="3" t="s">
        <v>10501</v>
      </c>
      <c r="C12159" s="5" t="s">
        <v>206</v>
      </c>
      <c r="D12159" s="3" t="s">
        <v>68</v>
      </c>
      <c r="E12159" s="3" t="s">
        <v>100</v>
      </c>
      <c r="F12159" s="7">
        <v>45982.525661371306</v>
      </c>
      <c r="G12159" s="3" t="s">
        <v>19958</v>
      </c>
    </row>
    <row r="12160">
      <c r="A12160" s="3" t="s">
        <v>27797</v>
      </c>
      <c r="B12160" s="3" t="s">
        <v>10505</v>
      </c>
      <c r="C12160" s="5" t="s">
        <v>45</v>
      </c>
      <c r="D12160" s="3" t="s">
        <v>221</v>
      </c>
      <c r="E12160" s="3" t="s">
        <v>491</v>
      </c>
      <c r="F12160" s="7">
        <v>45982.586419550054</v>
      </c>
      <c r="G12160" s="3" t="s">
        <v>9670</v>
      </c>
    </row>
    <row r="12161">
      <c r="A12161" s="3" t="s">
        <v>27798</v>
      </c>
      <c r="B12161" s="3" t="s">
        <v>10505</v>
      </c>
      <c r="C12161" s="5" t="s">
        <v>221</v>
      </c>
      <c r="D12161" s="3" t="s">
        <v>614</v>
      </c>
      <c r="E12161" s="3" t="s">
        <v>118</v>
      </c>
      <c r="F12161" s="7">
        <v>45982.58989177227</v>
      </c>
      <c r="G12161" s="3" t="s">
        <v>9674</v>
      </c>
    </row>
    <row r="12162">
      <c r="A12162" s="3" t="s">
        <v>27799</v>
      </c>
      <c r="B12162" s="3" t="s">
        <v>10505</v>
      </c>
      <c r="C12162" s="5" t="s">
        <v>614</v>
      </c>
      <c r="D12162" s="3" t="s">
        <v>206</v>
      </c>
      <c r="E12162" s="3" t="s">
        <v>100</v>
      </c>
      <c r="F12162" s="7">
        <v>45982.5933639945</v>
      </c>
      <c r="G12162" s="3" t="s">
        <v>9677</v>
      </c>
    </row>
    <row r="12163">
      <c r="A12163" s="3" t="s">
        <v>27800</v>
      </c>
      <c r="B12163" s="3" t="s">
        <v>10505</v>
      </c>
      <c r="C12163" s="5" t="s">
        <v>206</v>
      </c>
      <c r="D12163" s="3" t="s">
        <v>68</v>
      </c>
      <c r="E12163" s="3" t="s">
        <v>100</v>
      </c>
      <c r="F12163" s="7">
        <v>45982.59683621672</v>
      </c>
      <c r="G12163" s="3" t="s">
        <v>9680</v>
      </c>
    </row>
    <row r="12164">
      <c r="A12164" s="3" t="s">
        <v>27801</v>
      </c>
      <c r="B12164" s="3" t="s">
        <v>10507</v>
      </c>
      <c r="C12164" s="5" t="s">
        <v>45</v>
      </c>
      <c r="D12164" s="3" t="s">
        <v>221</v>
      </c>
      <c r="E12164" s="3" t="s">
        <v>947</v>
      </c>
      <c r="F12164" s="7">
        <v>45982.657594395474</v>
      </c>
      <c r="G12164" s="3" t="s">
        <v>27802</v>
      </c>
    </row>
    <row r="12165">
      <c r="A12165" s="3" t="s">
        <v>27803</v>
      </c>
      <c r="B12165" s="3" t="s">
        <v>10507</v>
      </c>
      <c r="C12165" s="5" t="s">
        <v>221</v>
      </c>
      <c r="D12165" s="3" t="s">
        <v>614</v>
      </c>
      <c r="E12165" s="3" t="s">
        <v>118</v>
      </c>
      <c r="F12165" s="7">
        <v>45982.66106661769</v>
      </c>
      <c r="G12165" s="3" t="s">
        <v>27804</v>
      </c>
    </row>
    <row r="12166">
      <c r="A12166" s="3" t="s">
        <v>27805</v>
      </c>
      <c r="B12166" s="3" t="s">
        <v>10507</v>
      </c>
      <c r="C12166" s="5" t="s">
        <v>614</v>
      </c>
      <c r="D12166" s="3" t="s">
        <v>206</v>
      </c>
      <c r="E12166" s="3" t="s">
        <v>100</v>
      </c>
      <c r="F12166" s="7">
        <v>45982.66453883992</v>
      </c>
      <c r="G12166" s="3" t="s">
        <v>27806</v>
      </c>
    </row>
    <row r="12167">
      <c r="A12167" s="3" t="s">
        <v>27807</v>
      </c>
      <c r="B12167" s="3" t="s">
        <v>10507</v>
      </c>
      <c r="C12167" s="5" t="s">
        <v>206</v>
      </c>
      <c r="D12167" s="3" t="s">
        <v>68</v>
      </c>
      <c r="E12167" s="3" t="s">
        <v>100</v>
      </c>
      <c r="F12167" s="7">
        <v>45982.66801106214</v>
      </c>
      <c r="G12167" s="3" t="s">
        <v>27808</v>
      </c>
    </row>
    <row r="12168">
      <c r="A12168" s="3" t="s">
        <v>27809</v>
      </c>
      <c r="B12168" s="3" t="s">
        <v>10509</v>
      </c>
      <c r="C12168" s="5" t="s">
        <v>45</v>
      </c>
      <c r="D12168" s="3" t="s">
        <v>221</v>
      </c>
      <c r="E12168" s="3" t="s">
        <v>993</v>
      </c>
      <c r="F12168" s="7">
        <v>45982.728769240886</v>
      </c>
      <c r="G12168" s="3" t="s">
        <v>16212</v>
      </c>
    </row>
    <row r="12169">
      <c r="A12169" s="3" t="s">
        <v>27810</v>
      </c>
      <c r="B12169" s="3" t="s">
        <v>10509</v>
      </c>
      <c r="C12169" s="5" t="s">
        <v>221</v>
      </c>
      <c r="D12169" s="3" t="s">
        <v>614</v>
      </c>
      <c r="E12169" s="3" t="s">
        <v>118</v>
      </c>
      <c r="F12169" s="7">
        <v>45982.732241463105</v>
      </c>
      <c r="G12169" s="3" t="s">
        <v>16215</v>
      </c>
    </row>
    <row r="12170">
      <c r="A12170" s="3" t="s">
        <v>27811</v>
      </c>
      <c r="B12170" s="3" t="s">
        <v>10509</v>
      </c>
      <c r="C12170" s="5" t="s">
        <v>614</v>
      </c>
      <c r="D12170" s="3" t="s">
        <v>206</v>
      </c>
      <c r="E12170" s="3" t="s">
        <v>100</v>
      </c>
      <c r="F12170" s="7">
        <v>45982.73571368533</v>
      </c>
      <c r="G12170" s="3" t="s">
        <v>16218</v>
      </c>
    </row>
    <row r="12171">
      <c r="A12171" s="3" t="s">
        <v>27812</v>
      </c>
      <c r="B12171" s="3" t="s">
        <v>10509</v>
      </c>
      <c r="C12171" s="5" t="s">
        <v>206</v>
      </c>
      <c r="D12171" s="3" t="s">
        <v>68</v>
      </c>
      <c r="E12171" s="3" t="s">
        <v>100</v>
      </c>
      <c r="F12171" s="7">
        <v>45982.73918590755</v>
      </c>
      <c r="G12171" s="3" t="s">
        <v>16220</v>
      </c>
    </row>
    <row r="12172">
      <c r="A12172" s="3" t="s">
        <v>27813</v>
      </c>
      <c r="B12172" s="3" t="s">
        <v>10511</v>
      </c>
      <c r="C12172" s="5" t="s">
        <v>45</v>
      </c>
      <c r="D12172" s="3" t="s">
        <v>221</v>
      </c>
      <c r="E12172" s="3" t="s">
        <v>333</v>
      </c>
      <c r="F12172" s="7">
        <v>45982.7999440863</v>
      </c>
      <c r="G12172" s="3" t="s">
        <v>14363</v>
      </c>
    </row>
    <row r="12173">
      <c r="A12173" s="3" t="s">
        <v>27814</v>
      </c>
      <c r="B12173" s="3" t="s">
        <v>10511</v>
      </c>
      <c r="C12173" s="5" t="s">
        <v>221</v>
      </c>
      <c r="D12173" s="3" t="s">
        <v>614</v>
      </c>
      <c r="E12173" s="3" t="s">
        <v>118</v>
      </c>
      <c r="F12173" s="7">
        <v>45982.80341630852</v>
      </c>
      <c r="G12173" s="3" t="s">
        <v>14365</v>
      </c>
    </row>
    <row r="12174">
      <c r="A12174" s="3" t="s">
        <v>27815</v>
      </c>
      <c r="B12174" s="3" t="s">
        <v>10511</v>
      </c>
      <c r="C12174" s="5" t="s">
        <v>614</v>
      </c>
      <c r="D12174" s="3" t="s">
        <v>206</v>
      </c>
      <c r="E12174" s="3" t="s">
        <v>100</v>
      </c>
      <c r="F12174" s="7">
        <v>45982.806888530744</v>
      </c>
      <c r="G12174" s="3" t="s">
        <v>14368</v>
      </c>
    </row>
    <row r="12175">
      <c r="A12175" s="3" t="s">
        <v>27816</v>
      </c>
      <c r="B12175" s="3" t="s">
        <v>10511</v>
      </c>
      <c r="C12175" s="5" t="s">
        <v>206</v>
      </c>
      <c r="D12175" s="3" t="s">
        <v>68</v>
      </c>
      <c r="E12175" s="3" t="s">
        <v>100</v>
      </c>
      <c r="F12175" s="7">
        <v>45982.81036075296</v>
      </c>
      <c r="G12175" s="3" t="s">
        <v>14371</v>
      </c>
    </row>
    <row r="12176">
      <c r="A12176" s="3" t="s">
        <v>27817</v>
      </c>
      <c r="B12176" s="3" t="s">
        <v>10515</v>
      </c>
      <c r="C12176" s="5" t="s">
        <v>45</v>
      </c>
      <c r="D12176" s="3" t="s">
        <v>221</v>
      </c>
      <c r="E12176" s="3" t="s">
        <v>156</v>
      </c>
      <c r="F12176" s="7">
        <v>45982.87111893172</v>
      </c>
      <c r="G12176" s="3" t="s">
        <v>19857</v>
      </c>
    </row>
    <row r="12177">
      <c r="A12177" s="3" t="s">
        <v>27818</v>
      </c>
      <c r="B12177" s="3" t="s">
        <v>10515</v>
      </c>
      <c r="C12177" s="5" t="s">
        <v>221</v>
      </c>
      <c r="D12177" s="3" t="s">
        <v>614</v>
      </c>
      <c r="E12177" s="3" t="s">
        <v>118</v>
      </c>
      <c r="F12177" s="7">
        <v>45982.87459115394</v>
      </c>
      <c r="G12177" s="3" t="s">
        <v>19860</v>
      </c>
    </row>
    <row r="12178">
      <c r="A12178" s="3" t="s">
        <v>27819</v>
      </c>
      <c r="B12178" s="3" t="s">
        <v>10515</v>
      </c>
      <c r="C12178" s="5" t="s">
        <v>614</v>
      </c>
      <c r="D12178" s="3" t="s">
        <v>206</v>
      </c>
      <c r="E12178" s="3" t="s">
        <v>100</v>
      </c>
      <c r="F12178" s="7">
        <v>45982.87806337616</v>
      </c>
      <c r="G12178" s="3" t="s">
        <v>19863</v>
      </c>
    </row>
    <row r="12179">
      <c r="A12179" s="3" t="s">
        <v>27820</v>
      </c>
      <c r="B12179" s="3" t="s">
        <v>10515</v>
      </c>
      <c r="C12179" s="5" t="s">
        <v>206</v>
      </c>
      <c r="D12179" s="3" t="s">
        <v>68</v>
      </c>
      <c r="E12179" s="3" t="s">
        <v>100</v>
      </c>
      <c r="F12179" s="7">
        <v>45982.88153559838</v>
      </c>
      <c r="G12179" s="3" t="s">
        <v>19866</v>
      </c>
    </row>
    <row r="12180">
      <c r="A12180" s="3" t="s">
        <v>27821</v>
      </c>
      <c r="B12180" s="3" t="s">
        <v>10518</v>
      </c>
      <c r="C12180" s="5" t="s">
        <v>45</v>
      </c>
      <c r="D12180" s="3" t="s">
        <v>221</v>
      </c>
      <c r="E12180" s="3" t="s">
        <v>162</v>
      </c>
      <c r="F12180" s="7">
        <v>45982.94229377714</v>
      </c>
      <c r="G12180" s="3" t="s">
        <v>14401</v>
      </c>
    </row>
    <row r="12181">
      <c r="A12181" s="3" t="s">
        <v>27822</v>
      </c>
      <c r="B12181" s="3" t="s">
        <v>10518</v>
      </c>
      <c r="C12181" s="5" t="s">
        <v>221</v>
      </c>
      <c r="D12181" s="3" t="s">
        <v>614</v>
      </c>
      <c r="E12181" s="3" t="s">
        <v>118</v>
      </c>
      <c r="F12181" s="7">
        <v>45982.94576599936</v>
      </c>
      <c r="G12181" s="3" t="s">
        <v>14403</v>
      </c>
    </row>
    <row r="12182">
      <c r="A12182" s="3" t="s">
        <v>27823</v>
      </c>
      <c r="B12182" s="3" t="s">
        <v>10518</v>
      </c>
      <c r="C12182" s="5" t="s">
        <v>614</v>
      </c>
      <c r="D12182" s="3" t="s">
        <v>206</v>
      </c>
      <c r="E12182" s="3" t="s">
        <v>100</v>
      </c>
      <c r="F12182" s="7">
        <v>45982.94923822158</v>
      </c>
      <c r="G12182" s="3" t="s">
        <v>14406</v>
      </c>
    </row>
    <row r="12183">
      <c r="A12183" s="3" t="s">
        <v>27824</v>
      </c>
      <c r="B12183" s="3" t="s">
        <v>10518</v>
      </c>
      <c r="C12183" s="5" t="s">
        <v>206</v>
      </c>
      <c r="D12183" s="3" t="s">
        <v>68</v>
      </c>
      <c r="E12183" s="3" t="s">
        <v>100</v>
      </c>
      <c r="F12183" s="7">
        <v>45982.9527104438</v>
      </c>
      <c r="G12183" s="3" t="s">
        <v>14409</v>
      </c>
    </row>
    <row r="12184">
      <c r="A12184" s="3" t="s">
        <v>27825</v>
      </c>
      <c r="B12184" s="3" t="s">
        <v>10521</v>
      </c>
      <c r="C12184" s="5" t="s">
        <v>45</v>
      </c>
      <c r="D12184" s="3" t="s">
        <v>221</v>
      </c>
      <c r="E12184" s="3" t="s">
        <v>758</v>
      </c>
      <c r="F12184" s="7">
        <v>45983.01346862254</v>
      </c>
      <c r="G12184" s="3" t="s">
        <v>14456</v>
      </c>
    </row>
    <row r="12185">
      <c r="A12185" s="3" t="s">
        <v>27826</v>
      </c>
      <c r="B12185" s="3" t="s">
        <v>10521</v>
      </c>
      <c r="C12185" s="5" t="s">
        <v>221</v>
      </c>
      <c r="D12185" s="3" t="s">
        <v>614</v>
      </c>
      <c r="E12185" s="3" t="s">
        <v>118</v>
      </c>
      <c r="F12185" s="7">
        <v>45983.01694084476</v>
      </c>
      <c r="G12185" s="3" t="s">
        <v>14458</v>
      </c>
    </row>
    <row r="12186">
      <c r="A12186" s="3" t="s">
        <v>27827</v>
      </c>
      <c r="B12186" s="3" t="s">
        <v>10521</v>
      </c>
      <c r="C12186" s="5" t="s">
        <v>614</v>
      </c>
      <c r="D12186" s="3" t="s">
        <v>206</v>
      </c>
      <c r="E12186" s="3" t="s">
        <v>100</v>
      </c>
      <c r="F12186" s="7">
        <v>45983.02041306699</v>
      </c>
      <c r="G12186" s="3" t="s">
        <v>14461</v>
      </c>
    </row>
    <row r="12187">
      <c r="A12187" s="3" t="s">
        <v>27828</v>
      </c>
      <c r="B12187" s="3" t="s">
        <v>10521</v>
      </c>
      <c r="C12187" s="5" t="s">
        <v>206</v>
      </c>
      <c r="D12187" s="3" t="s">
        <v>68</v>
      </c>
      <c r="E12187" s="3" t="s">
        <v>100</v>
      </c>
      <c r="F12187" s="7">
        <v>45983.02388528921</v>
      </c>
      <c r="G12187" s="3" t="s">
        <v>14464</v>
      </c>
    </row>
    <row r="12188">
      <c r="A12188" s="3" t="s">
        <v>27829</v>
      </c>
      <c r="B12188" s="3" t="s">
        <v>10524</v>
      </c>
      <c r="C12188" s="5" t="s">
        <v>45</v>
      </c>
      <c r="D12188" s="3" t="s">
        <v>221</v>
      </c>
      <c r="E12188" s="3" t="s">
        <v>236</v>
      </c>
      <c r="F12188" s="7">
        <v>45983.08464346796</v>
      </c>
      <c r="G12188" s="3" t="s">
        <v>23596</v>
      </c>
    </row>
    <row r="12189">
      <c r="A12189" s="3" t="s">
        <v>27830</v>
      </c>
      <c r="B12189" s="3" t="s">
        <v>10524</v>
      </c>
      <c r="C12189" s="5" t="s">
        <v>221</v>
      </c>
      <c r="D12189" s="3" t="s">
        <v>614</v>
      </c>
      <c r="E12189" s="3" t="s">
        <v>118</v>
      </c>
      <c r="F12189" s="7">
        <v>45983.08811569018</v>
      </c>
      <c r="G12189" s="3" t="s">
        <v>23599</v>
      </c>
    </row>
    <row r="12190">
      <c r="A12190" s="3" t="s">
        <v>27831</v>
      </c>
      <c r="B12190" s="3" t="s">
        <v>10524</v>
      </c>
      <c r="C12190" s="5" t="s">
        <v>614</v>
      </c>
      <c r="D12190" s="3" t="s">
        <v>206</v>
      </c>
      <c r="E12190" s="3" t="s">
        <v>100</v>
      </c>
      <c r="F12190" s="7">
        <v>45983.09158791241</v>
      </c>
      <c r="G12190" s="3" t="s">
        <v>23603</v>
      </c>
    </row>
    <row r="12191">
      <c r="A12191" s="3" t="s">
        <v>27832</v>
      </c>
      <c r="B12191" s="3" t="s">
        <v>10524</v>
      </c>
      <c r="C12191" s="5" t="s">
        <v>206</v>
      </c>
      <c r="D12191" s="3" t="s">
        <v>68</v>
      </c>
      <c r="E12191" s="3" t="s">
        <v>100</v>
      </c>
      <c r="F12191" s="7">
        <v>45983.09506013463</v>
      </c>
      <c r="G12191" s="3" t="s">
        <v>23606</v>
      </c>
    </row>
    <row r="12192">
      <c r="A12192" s="3" t="s">
        <v>27833</v>
      </c>
      <c r="B12192" s="3" t="s">
        <v>10528</v>
      </c>
      <c r="C12192" s="5" t="s">
        <v>45</v>
      </c>
      <c r="D12192" s="3" t="s">
        <v>221</v>
      </c>
      <c r="E12192" s="3" t="s">
        <v>895</v>
      </c>
      <c r="F12192" s="7">
        <v>45983.15581831338</v>
      </c>
      <c r="G12192" s="3" t="s">
        <v>27581</v>
      </c>
    </row>
    <row r="12193">
      <c r="A12193" s="3" t="s">
        <v>27834</v>
      </c>
      <c r="B12193" s="3" t="s">
        <v>10528</v>
      </c>
      <c r="C12193" s="5" t="s">
        <v>221</v>
      </c>
      <c r="D12193" s="3" t="s">
        <v>614</v>
      </c>
      <c r="E12193" s="3" t="s">
        <v>118</v>
      </c>
      <c r="F12193" s="7">
        <v>45983.1592905356</v>
      </c>
      <c r="G12193" s="3" t="s">
        <v>27583</v>
      </c>
    </row>
    <row r="12194">
      <c r="A12194" s="3" t="s">
        <v>27835</v>
      </c>
      <c r="B12194" s="3" t="s">
        <v>10528</v>
      </c>
      <c r="C12194" s="5" t="s">
        <v>614</v>
      </c>
      <c r="D12194" s="3" t="s">
        <v>206</v>
      </c>
      <c r="E12194" s="3" t="s">
        <v>100</v>
      </c>
      <c r="F12194" s="7">
        <v>45983.16276275783</v>
      </c>
      <c r="G12194" s="3" t="s">
        <v>27585</v>
      </c>
    </row>
    <row r="12195">
      <c r="A12195" s="3" t="s">
        <v>27836</v>
      </c>
      <c r="B12195" s="3" t="s">
        <v>10528</v>
      </c>
      <c r="C12195" s="5" t="s">
        <v>206</v>
      </c>
      <c r="D12195" s="3" t="s">
        <v>68</v>
      </c>
      <c r="E12195" s="3" t="s">
        <v>100</v>
      </c>
      <c r="F12195" s="7">
        <v>45983.166234980046</v>
      </c>
      <c r="G12195" s="3" t="s">
        <v>27587</v>
      </c>
    </row>
    <row r="12196">
      <c r="A12196" s="3" t="s">
        <v>27837</v>
      </c>
      <c r="B12196" s="3" t="s">
        <v>10532</v>
      </c>
      <c r="C12196" s="5" t="s">
        <v>45</v>
      </c>
      <c r="D12196" s="3" t="s">
        <v>221</v>
      </c>
      <c r="E12196" s="3" t="s">
        <v>627</v>
      </c>
      <c r="F12196" s="7">
        <v>45983.226993158794</v>
      </c>
      <c r="G12196" s="3" t="s">
        <v>14467</v>
      </c>
    </row>
    <row r="12197">
      <c r="A12197" s="3" t="s">
        <v>27838</v>
      </c>
      <c r="B12197" s="3" t="s">
        <v>10532</v>
      </c>
      <c r="C12197" s="5" t="s">
        <v>221</v>
      </c>
      <c r="D12197" s="3" t="s">
        <v>614</v>
      </c>
      <c r="E12197" s="3" t="s">
        <v>118</v>
      </c>
      <c r="F12197" s="7">
        <v>45983.23046538101</v>
      </c>
      <c r="G12197" s="3" t="s">
        <v>14470</v>
      </c>
    </row>
    <row r="12198">
      <c r="A12198" s="3" t="s">
        <v>27839</v>
      </c>
      <c r="B12198" s="3" t="s">
        <v>10532</v>
      </c>
      <c r="C12198" s="5" t="s">
        <v>614</v>
      </c>
      <c r="D12198" s="3" t="s">
        <v>206</v>
      </c>
      <c r="E12198" s="3" t="s">
        <v>100</v>
      </c>
      <c r="F12198" s="7">
        <v>45983.23393760324</v>
      </c>
      <c r="G12198" s="3" t="s">
        <v>14473</v>
      </c>
    </row>
    <row r="12199">
      <c r="A12199" s="3" t="s">
        <v>27840</v>
      </c>
      <c r="B12199" s="3" t="s">
        <v>10532</v>
      </c>
      <c r="C12199" s="5" t="s">
        <v>206</v>
      </c>
      <c r="D12199" s="3" t="s">
        <v>68</v>
      </c>
      <c r="E12199" s="3" t="s">
        <v>100</v>
      </c>
      <c r="F12199" s="7">
        <v>45983.23740982546</v>
      </c>
      <c r="G12199" s="3" t="s">
        <v>14475</v>
      </c>
    </row>
    <row r="12200">
      <c r="A12200" s="3" t="s">
        <v>27841</v>
      </c>
      <c r="B12200" s="3" t="s">
        <v>10535</v>
      </c>
      <c r="C12200" s="5" t="s">
        <v>45</v>
      </c>
      <c r="D12200" s="3" t="s">
        <v>221</v>
      </c>
      <c r="E12200" s="3" t="s">
        <v>622</v>
      </c>
      <c r="F12200" s="7">
        <v>45983.29816800421</v>
      </c>
      <c r="G12200" s="3" t="s">
        <v>9456</v>
      </c>
    </row>
    <row r="12201">
      <c r="A12201" s="3" t="s">
        <v>27842</v>
      </c>
      <c r="B12201" s="3" t="s">
        <v>10535</v>
      </c>
      <c r="C12201" s="5" t="s">
        <v>221</v>
      </c>
      <c r="D12201" s="3" t="s">
        <v>614</v>
      </c>
      <c r="E12201" s="3" t="s">
        <v>118</v>
      </c>
      <c r="F12201" s="7">
        <v>45983.301640226426</v>
      </c>
      <c r="G12201" s="3" t="s">
        <v>9460</v>
      </c>
    </row>
    <row r="12202">
      <c r="A12202" s="3" t="s">
        <v>27843</v>
      </c>
      <c r="B12202" s="3" t="s">
        <v>10535</v>
      </c>
      <c r="C12202" s="5" t="s">
        <v>614</v>
      </c>
      <c r="D12202" s="3" t="s">
        <v>206</v>
      </c>
      <c r="E12202" s="3" t="s">
        <v>100</v>
      </c>
      <c r="F12202" s="7">
        <v>45983.30511244865</v>
      </c>
      <c r="G12202" s="3" t="s">
        <v>9462</v>
      </c>
    </row>
    <row r="12203">
      <c r="A12203" s="3" t="s">
        <v>27844</v>
      </c>
      <c r="B12203" s="3" t="s">
        <v>10535</v>
      </c>
      <c r="C12203" s="5" t="s">
        <v>206</v>
      </c>
      <c r="D12203" s="3" t="s">
        <v>68</v>
      </c>
      <c r="E12203" s="3" t="s">
        <v>100</v>
      </c>
      <c r="F12203" s="7">
        <v>45983.30858467087</v>
      </c>
      <c r="G12203" s="3" t="s">
        <v>9465</v>
      </c>
    </row>
    <row r="12204">
      <c r="A12204" s="3" t="s">
        <v>27845</v>
      </c>
      <c r="B12204" s="3" t="s">
        <v>10538</v>
      </c>
      <c r="C12204" s="5" t="s">
        <v>45</v>
      </c>
      <c r="D12204" s="3" t="s">
        <v>221</v>
      </c>
      <c r="E12204" s="3" t="s">
        <v>816</v>
      </c>
      <c r="F12204" s="7">
        <v>45983.369342849626</v>
      </c>
      <c r="G12204" s="3" t="s">
        <v>5377</v>
      </c>
    </row>
    <row r="12205">
      <c r="A12205" s="3" t="s">
        <v>27846</v>
      </c>
      <c r="B12205" s="3" t="s">
        <v>10538</v>
      </c>
      <c r="C12205" s="5" t="s">
        <v>221</v>
      </c>
      <c r="D12205" s="3" t="s">
        <v>614</v>
      </c>
      <c r="E12205" s="3" t="s">
        <v>118</v>
      </c>
      <c r="F12205" s="7">
        <v>45983.372815071845</v>
      </c>
      <c r="G12205" s="3" t="s">
        <v>5380</v>
      </c>
    </row>
    <row r="12206">
      <c r="A12206" s="3" t="s">
        <v>27847</v>
      </c>
      <c r="B12206" s="3" t="s">
        <v>10538</v>
      </c>
      <c r="C12206" s="5" t="s">
        <v>614</v>
      </c>
      <c r="D12206" s="3" t="s">
        <v>206</v>
      </c>
      <c r="E12206" s="3" t="s">
        <v>100</v>
      </c>
      <c r="F12206" s="7">
        <v>45983.37628729407</v>
      </c>
      <c r="G12206" s="3" t="s">
        <v>5383</v>
      </c>
    </row>
    <row r="12207">
      <c r="A12207" s="3" t="s">
        <v>27848</v>
      </c>
      <c r="B12207" s="3" t="s">
        <v>10538</v>
      </c>
      <c r="C12207" s="5" t="s">
        <v>206</v>
      </c>
      <c r="D12207" s="3" t="s">
        <v>68</v>
      </c>
      <c r="E12207" s="3" t="s">
        <v>100</v>
      </c>
      <c r="F12207" s="7">
        <v>45983.37975951629</v>
      </c>
      <c r="G12207" s="3" t="s">
        <v>5386</v>
      </c>
    </row>
    <row r="12208">
      <c r="A12208" s="3" t="s">
        <v>27849</v>
      </c>
      <c r="B12208" s="3" t="s">
        <v>10542</v>
      </c>
      <c r="C12208" s="5" t="s">
        <v>45</v>
      </c>
      <c r="D12208" s="3" t="s">
        <v>221</v>
      </c>
      <c r="E12208" s="3" t="s">
        <v>521</v>
      </c>
      <c r="F12208" s="7">
        <v>45983.44051769504</v>
      </c>
      <c r="G12208" s="3" t="s">
        <v>18940</v>
      </c>
    </row>
    <row r="12209">
      <c r="A12209" s="3" t="s">
        <v>27850</v>
      </c>
      <c r="B12209" s="3" t="s">
        <v>10542</v>
      </c>
      <c r="C12209" s="5" t="s">
        <v>221</v>
      </c>
      <c r="D12209" s="3" t="s">
        <v>614</v>
      </c>
      <c r="E12209" s="3" t="s">
        <v>118</v>
      </c>
      <c r="F12209" s="7">
        <v>45983.44398991726</v>
      </c>
      <c r="G12209" s="3" t="s">
        <v>18942</v>
      </c>
    </row>
    <row r="12210">
      <c r="A12210" s="3" t="s">
        <v>27851</v>
      </c>
      <c r="B12210" s="3" t="s">
        <v>10542</v>
      </c>
      <c r="C12210" s="5" t="s">
        <v>614</v>
      </c>
      <c r="D12210" s="3" t="s">
        <v>206</v>
      </c>
      <c r="E12210" s="3" t="s">
        <v>100</v>
      </c>
      <c r="F12210" s="7">
        <v>45983.447462139484</v>
      </c>
      <c r="G12210" s="3" t="s">
        <v>18945</v>
      </c>
    </row>
    <row r="12211">
      <c r="A12211" s="3" t="s">
        <v>27852</v>
      </c>
      <c r="B12211" s="3" t="s">
        <v>10542</v>
      </c>
      <c r="C12211" s="5" t="s">
        <v>206</v>
      </c>
      <c r="D12211" s="3" t="s">
        <v>68</v>
      </c>
      <c r="E12211" s="3" t="s">
        <v>100</v>
      </c>
      <c r="F12211" s="7">
        <v>45983.4509343617</v>
      </c>
      <c r="G12211" s="3" t="s">
        <v>18948</v>
      </c>
    </row>
    <row r="12212">
      <c r="A12212" s="3" t="s">
        <v>27853</v>
      </c>
      <c r="B12212" s="3" t="s">
        <v>10546</v>
      </c>
      <c r="C12212" s="5" t="s">
        <v>45</v>
      </c>
      <c r="D12212" s="3" t="s">
        <v>221</v>
      </c>
      <c r="E12212" s="3" t="s">
        <v>758</v>
      </c>
      <c r="F12212" s="7">
        <v>45983.51169254045</v>
      </c>
      <c r="G12212" s="3" t="s">
        <v>16755</v>
      </c>
    </row>
    <row r="12213">
      <c r="A12213" s="3" t="s">
        <v>27854</v>
      </c>
      <c r="B12213" s="3" t="s">
        <v>10546</v>
      </c>
      <c r="C12213" s="5" t="s">
        <v>221</v>
      </c>
      <c r="D12213" s="3" t="s">
        <v>614</v>
      </c>
      <c r="E12213" s="3" t="s">
        <v>118</v>
      </c>
      <c r="F12213" s="7">
        <v>45983.51516476267</v>
      </c>
      <c r="G12213" s="3" t="s">
        <v>16758</v>
      </c>
    </row>
    <row r="12214">
      <c r="A12214" s="3" t="s">
        <v>27855</v>
      </c>
      <c r="B12214" s="3" t="s">
        <v>10546</v>
      </c>
      <c r="C12214" s="5" t="s">
        <v>614</v>
      </c>
      <c r="D12214" s="3" t="s">
        <v>206</v>
      </c>
      <c r="E12214" s="3" t="s">
        <v>100</v>
      </c>
      <c r="F12214" s="7">
        <v>45983.518636984896</v>
      </c>
      <c r="G12214" s="3" t="s">
        <v>16761</v>
      </c>
    </row>
    <row r="12215">
      <c r="A12215" s="3" t="s">
        <v>27856</v>
      </c>
      <c r="B12215" s="3" t="s">
        <v>10546</v>
      </c>
      <c r="C12215" s="5" t="s">
        <v>206</v>
      </c>
      <c r="D12215" s="3" t="s">
        <v>68</v>
      </c>
      <c r="E12215" s="3" t="s">
        <v>100</v>
      </c>
      <c r="F12215" s="7">
        <v>45983.522109207115</v>
      </c>
      <c r="G12215" s="3" t="s">
        <v>16763</v>
      </c>
    </row>
    <row r="12216">
      <c r="A12216" s="3" t="s">
        <v>27857</v>
      </c>
      <c r="B12216" s="3" t="s">
        <v>10549</v>
      </c>
      <c r="C12216" s="5" t="s">
        <v>45</v>
      </c>
      <c r="D12216" s="3" t="s">
        <v>221</v>
      </c>
      <c r="E12216" s="3" t="s">
        <v>496</v>
      </c>
      <c r="F12216" s="7">
        <v>45983.58286738587</v>
      </c>
      <c r="G12216" s="3" t="s">
        <v>13404</v>
      </c>
    </row>
    <row r="12217">
      <c r="A12217" s="3" t="s">
        <v>27858</v>
      </c>
      <c r="B12217" s="3" t="s">
        <v>10549</v>
      </c>
      <c r="C12217" s="5" t="s">
        <v>221</v>
      </c>
      <c r="D12217" s="3" t="s">
        <v>614</v>
      </c>
      <c r="E12217" s="3" t="s">
        <v>118</v>
      </c>
      <c r="F12217" s="7">
        <v>45983.58633960809</v>
      </c>
      <c r="G12217" s="3" t="s">
        <v>13407</v>
      </c>
    </row>
    <row r="12218">
      <c r="A12218" s="3" t="s">
        <v>27859</v>
      </c>
      <c r="B12218" s="3" t="s">
        <v>10549</v>
      </c>
      <c r="C12218" s="5" t="s">
        <v>614</v>
      </c>
      <c r="D12218" s="3" t="s">
        <v>206</v>
      </c>
      <c r="E12218" s="3" t="s">
        <v>100</v>
      </c>
      <c r="F12218" s="7">
        <v>45983.589811830316</v>
      </c>
      <c r="G12218" s="3" t="s">
        <v>13409</v>
      </c>
    </row>
    <row r="12219">
      <c r="A12219" s="3" t="s">
        <v>27860</v>
      </c>
      <c r="B12219" s="3" t="s">
        <v>10549</v>
      </c>
      <c r="C12219" s="5" t="s">
        <v>206</v>
      </c>
      <c r="D12219" s="3" t="s">
        <v>68</v>
      </c>
      <c r="E12219" s="3" t="s">
        <v>100</v>
      </c>
      <c r="F12219" s="7">
        <v>45983.593284052535</v>
      </c>
      <c r="G12219" s="3" t="s">
        <v>13412</v>
      </c>
    </row>
    <row r="12220">
      <c r="A12220" s="3" t="s">
        <v>27861</v>
      </c>
      <c r="B12220" s="3" t="s">
        <v>10552</v>
      </c>
      <c r="C12220" s="5" t="s">
        <v>45</v>
      </c>
      <c r="D12220" s="3" t="s">
        <v>221</v>
      </c>
      <c r="E12220" s="3" t="s">
        <v>547</v>
      </c>
      <c r="F12220" s="7">
        <v>45983.65404223128</v>
      </c>
      <c r="G12220" s="3" t="s">
        <v>9004</v>
      </c>
    </row>
    <row r="12221">
      <c r="A12221" s="3" t="s">
        <v>27862</v>
      </c>
      <c r="B12221" s="3" t="s">
        <v>10552</v>
      </c>
      <c r="C12221" s="5" t="s">
        <v>221</v>
      </c>
      <c r="D12221" s="3" t="s">
        <v>181</v>
      </c>
      <c r="E12221" s="3" t="s">
        <v>118</v>
      </c>
      <c r="F12221" s="7">
        <v>45983.6575144535</v>
      </c>
      <c r="G12221" s="3" t="s">
        <v>26832</v>
      </c>
    </row>
    <row r="12222">
      <c r="A12222" s="3" t="s">
        <v>27863</v>
      </c>
      <c r="B12222" s="3" t="s">
        <v>10556</v>
      </c>
      <c r="C12222" s="5" t="s">
        <v>45</v>
      </c>
      <c r="D12222" s="3" t="s">
        <v>221</v>
      </c>
      <c r="E12222" s="3" t="s">
        <v>290</v>
      </c>
      <c r="F12222" s="7">
        <v>45983.725217076695</v>
      </c>
      <c r="G12222" s="3" t="s">
        <v>15520</v>
      </c>
    </row>
    <row r="12223">
      <c r="A12223" s="3" t="s">
        <v>27864</v>
      </c>
      <c r="B12223" s="3" t="s">
        <v>10556</v>
      </c>
      <c r="C12223" s="5" t="s">
        <v>221</v>
      </c>
      <c r="D12223" s="3" t="s">
        <v>614</v>
      </c>
      <c r="E12223" s="3" t="s">
        <v>118</v>
      </c>
      <c r="F12223" s="7">
        <v>45983.728689298914</v>
      </c>
      <c r="G12223" s="3" t="s">
        <v>15523</v>
      </c>
    </row>
    <row r="12224">
      <c r="A12224" s="3" t="s">
        <v>27865</v>
      </c>
      <c r="B12224" s="3" t="s">
        <v>10556</v>
      </c>
      <c r="C12224" s="5" t="s">
        <v>614</v>
      </c>
      <c r="D12224" s="3" t="s">
        <v>206</v>
      </c>
      <c r="E12224" s="3" t="s">
        <v>100</v>
      </c>
      <c r="F12224" s="7">
        <v>45983.73216152114</v>
      </c>
      <c r="G12224" s="3" t="s">
        <v>15526</v>
      </c>
    </row>
    <row r="12225">
      <c r="A12225" s="3" t="s">
        <v>27866</v>
      </c>
      <c r="B12225" s="3" t="s">
        <v>10556</v>
      </c>
      <c r="C12225" s="5" t="s">
        <v>206</v>
      </c>
      <c r="D12225" s="3" t="s">
        <v>68</v>
      </c>
      <c r="E12225" s="3" t="s">
        <v>100</v>
      </c>
      <c r="F12225" s="7">
        <v>45983.73563374336</v>
      </c>
      <c r="G12225" s="3" t="s">
        <v>15528</v>
      </c>
    </row>
    <row r="12226">
      <c r="A12226" s="3" t="s">
        <v>27867</v>
      </c>
      <c r="B12226" s="3" t="s">
        <v>10560</v>
      </c>
      <c r="C12226" s="5" t="s">
        <v>45</v>
      </c>
      <c r="D12226" s="3" t="s">
        <v>221</v>
      </c>
      <c r="E12226" s="3" t="s">
        <v>472</v>
      </c>
      <c r="F12226" s="7">
        <v>45983.796391922115</v>
      </c>
      <c r="G12226" s="3" t="s">
        <v>16944</v>
      </c>
    </row>
    <row r="12227">
      <c r="A12227" s="3" t="s">
        <v>27868</v>
      </c>
      <c r="B12227" s="3" t="s">
        <v>10560</v>
      </c>
      <c r="C12227" s="5" t="s">
        <v>221</v>
      </c>
      <c r="D12227" s="3" t="s">
        <v>614</v>
      </c>
      <c r="E12227" s="3" t="s">
        <v>118</v>
      </c>
      <c r="F12227" s="7">
        <v>45983.799864144334</v>
      </c>
      <c r="G12227" s="3" t="s">
        <v>16947</v>
      </c>
    </row>
    <row r="12228">
      <c r="A12228" s="3" t="s">
        <v>27869</v>
      </c>
      <c r="B12228" s="3" t="s">
        <v>10560</v>
      </c>
      <c r="C12228" s="5" t="s">
        <v>614</v>
      </c>
      <c r="D12228" s="3" t="s">
        <v>206</v>
      </c>
      <c r="E12228" s="3" t="s">
        <v>100</v>
      </c>
      <c r="F12228" s="7">
        <v>45983.80333636656</v>
      </c>
      <c r="G12228" s="3" t="s">
        <v>16949</v>
      </c>
    </row>
    <row r="12229">
      <c r="A12229" s="3" t="s">
        <v>27870</v>
      </c>
      <c r="B12229" s="3" t="s">
        <v>10560</v>
      </c>
      <c r="C12229" s="5" t="s">
        <v>206</v>
      </c>
      <c r="D12229" s="3" t="s">
        <v>68</v>
      </c>
      <c r="E12229" s="3" t="s">
        <v>100</v>
      </c>
      <c r="F12229" s="7">
        <v>45983.80680858878</v>
      </c>
      <c r="G12229" s="3" t="s">
        <v>16952</v>
      </c>
    </row>
    <row r="12230">
      <c r="A12230" s="3" t="s">
        <v>27871</v>
      </c>
      <c r="B12230" s="3" t="s">
        <v>10563</v>
      </c>
      <c r="C12230" s="5" t="s">
        <v>45</v>
      </c>
      <c r="D12230" s="3" t="s">
        <v>221</v>
      </c>
      <c r="E12230" s="3" t="s">
        <v>822</v>
      </c>
      <c r="F12230" s="7">
        <v>45983.86756676753</v>
      </c>
      <c r="G12230" s="3" t="s">
        <v>14538</v>
      </c>
    </row>
    <row r="12231">
      <c r="A12231" s="3" t="s">
        <v>27872</v>
      </c>
      <c r="B12231" s="3" t="s">
        <v>10563</v>
      </c>
      <c r="C12231" s="5" t="s">
        <v>221</v>
      </c>
      <c r="D12231" s="3" t="s">
        <v>614</v>
      </c>
      <c r="E12231" s="3" t="s">
        <v>118</v>
      </c>
      <c r="F12231" s="7">
        <v>45983.871038989746</v>
      </c>
      <c r="G12231" s="3" t="s">
        <v>14541</v>
      </c>
    </row>
    <row r="12232">
      <c r="A12232" s="3" t="s">
        <v>27873</v>
      </c>
      <c r="B12232" s="3" t="s">
        <v>10563</v>
      </c>
      <c r="C12232" s="5" t="s">
        <v>614</v>
      </c>
      <c r="D12232" s="3" t="s">
        <v>206</v>
      </c>
      <c r="E12232" s="3" t="s">
        <v>100</v>
      </c>
      <c r="F12232" s="7">
        <v>45983.87451121197</v>
      </c>
      <c r="G12232" s="3" t="s">
        <v>14544</v>
      </c>
    </row>
    <row r="12233">
      <c r="A12233" s="3" t="s">
        <v>27874</v>
      </c>
      <c r="B12233" s="3" t="s">
        <v>10563</v>
      </c>
      <c r="C12233" s="5" t="s">
        <v>206</v>
      </c>
      <c r="D12233" s="3" t="s">
        <v>68</v>
      </c>
      <c r="E12233" s="3" t="s">
        <v>100</v>
      </c>
      <c r="F12233" s="7">
        <v>45983.87798343419</v>
      </c>
      <c r="G12233" s="3" t="s">
        <v>14546</v>
      </c>
    </row>
    <row r="12234">
      <c r="A12234" s="3" t="s">
        <v>27875</v>
      </c>
      <c r="B12234" s="3" t="s">
        <v>10566</v>
      </c>
      <c r="C12234" s="5" t="s">
        <v>45</v>
      </c>
      <c r="D12234" s="3" t="s">
        <v>221</v>
      </c>
      <c r="E12234" s="3" t="s">
        <v>998</v>
      </c>
      <c r="F12234" s="7">
        <v>45983.93874161294</v>
      </c>
      <c r="G12234" s="3" t="s">
        <v>13973</v>
      </c>
    </row>
    <row r="12235">
      <c r="A12235" s="3" t="s">
        <v>27876</v>
      </c>
      <c r="B12235" s="3" t="s">
        <v>10566</v>
      </c>
      <c r="C12235" s="5" t="s">
        <v>221</v>
      </c>
      <c r="D12235" s="3" t="s">
        <v>614</v>
      </c>
      <c r="E12235" s="3" t="s">
        <v>118</v>
      </c>
      <c r="F12235" s="7">
        <v>45983.94221383516</v>
      </c>
      <c r="G12235" s="3" t="s">
        <v>13976</v>
      </c>
    </row>
    <row r="12236">
      <c r="A12236" s="3" t="s">
        <v>27877</v>
      </c>
      <c r="B12236" s="3" t="s">
        <v>10566</v>
      </c>
      <c r="C12236" s="5" t="s">
        <v>614</v>
      </c>
      <c r="D12236" s="3" t="s">
        <v>206</v>
      </c>
      <c r="E12236" s="3" t="s">
        <v>100</v>
      </c>
      <c r="F12236" s="7">
        <v>45983.945686057385</v>
      </c>
      <c r="G12236" s="3" t="s">
        <v>13979</v>
      </c>
    </row>
    <row r="12237">
      <c r="A12237" s="3" t="s">
        <v>27878</v>
      </c>
      <c r="B12237" s="3" t="s">
        <v>10566</v>
      </c>
      <c r="C12237" s="5" t="s">
        <v>206</v>
      </c>
      <c r="D12237" s="3" t="s">
        <v>68</v>
      </c>
      <c r="E12237" s="3" t="s">
        <v>100</v>
      </c>
      <c r="F12237" s="7">
        <v>45983.9491582796</v>
      </c>
      <c r="G12237" s="3" t="s">
        <v>13982</v>
      </c>
    </row>
    <row r="12238">
      <c r="A12238" s="3" t="s">
        <v>27879</v>
      </c>
      <c r="B12238" s="3" t="s">
        <v>10569</v>
      </c>
      <c r="C12238" s="5" t="s">
        <v>45</v>
      </c>
      <c r="D12238" s="3" t="s">
        <v>221</v>
      </c>
      <c r="E12238" s="3" t="s">
        <v>505</v>
      </c>
      <c r="F12238" s="7">
        <v>45984.00991645836</v>
      </c>
      <c r="G12238" s="3" t="s">
        <v>14587</v>
      </c>
    </row>
    <row r="12239">
      <c r="A12239" s="3" t="s">
        <v>27880</v>
      </c>
      <c r="B12239" s="3" t="s">
        <v>10569</v>
      </c>
      <c r="C12239" s="5" t="s">
        <v>221</v>
      </c>
      <c r="D12239" s="3" t="s">
        <v>614</v>
      </c>
      <c r="E12239" s="3" t="s">
        <v>118</v>
      </c>
      <c r="F12239" s="7">
        <v>45984.01338868058</v>
      </c>
      <c r="G12239" s="3" t="s">
        <v>14590</v>
      </c>
    </row>
    <row r="12240">
      <c r="A12240" s="3" t="s">
        <v>27881</v>
      </c>
      <c r="B12240" s="3" t="s">
        <v>10569</v>
      </c>
      <c r="C12240" s="5" t="s">
        <v>614</v>
      </c>
      <c r="D12240" s="3" t="s">
        <v>206</v>
      </c>
      <c r="E12240" s="3" t="s">
        <v>100</v>
      </c>
      <c r="F12240" s="7">
        <v>45984.016860902804</v>
      </c>
      <c r="G12240" s="3" t="s">
        <v>14593</v>
      </c>
    </row>
    <row r="12241">
      <c r="A12241" s="3" t="s">
        <v>27882</v>
      </c>
      <c r="B12241" s="3" t="s">
        <v>10569</v>
      </c>
      <c r="C12241" s="5" t="s">
        <v>206</v>
      </c>
      <c r="D12241" s="3" t="s">
        <v>68</v>
      </c>
      <c r="E12241" s="3" t="s">
        <v>100</v>
      </c>
      <c r="F12241" s="7">
        <v>45984.02033312502</v>
      </c>
      <c r="G12241" s="3" t="s">
        <v>14595</v>
      </c>
    </row>
    <row r="12242">
      <c r="A12242" s="3" t="s">
        <v>27883</v>
      </c>
      <c r="B12242" s="3" t="s">
        <v>10574</v>
      </c>
      <c r="C12242" s="5" t="s">
        <v>45</v>
      </c>
      <c r="D12242" s="3" t="s">
        <v>221</v>
      </c>
      <c r="E12242" s="3" t="s">
        <v>356</v>
      </c>
      <c r="F12242" s="7">
        <v>45984.08109130378</v>
      </c>
      <c r="G12242" s="3" t="s">
        <v>2770</v>
      </c>
    </row>
    <row r="12243">
      <c r="A12243" s="3" t="s">
        <v>27884</v>
      </c>
      <c r="B12243" s="3" t="s">
        <v>10574</v>
      </c>
      <c r="C12243" s="5" t="s">
        <v>221</v>
      </c>
      <c r="D12243" s="3" t="s">
        <v>195</v>
      </c>
      <c r="E12243" s="3" t="s">
        <v>356</v>
      </c>
      <c r="F12243" s="7">
        <v>45984.084563526</v>
      </c>
      <c r="G12243" s="3" t="s">
        <v>3055</v>
      </c>
    </row>
    <row r="12244">
      <c r="A12244" s="3" t="s">
        <v>27885</v>
      </c>
      <c r="B12244" s="3" t="s">
        <v>10577</v>
      </c>
      <c r="C12244" s="5" t="s">
        <v>45</v>
      </c>
      <c r="D12244" s="3" t="s">
        <v>221</v>
      </c>
      <c r="E12244" s="3" t="s">
        <v>208</v>
      </c>
      <c r="F12244" s="7">
        <v>45984.15226614918</v>
      </c>
      <c r="G12244" s="3" t="s">
        <v>14609</v>
      </c>
    </row>
    <row r="12245">
      <c r="A12245" s="3" t="s">
        <v>27886</v>
      </c>
      <c r="B12245" s="3" t="s">
        <v>10577</v>
      </c>
      <c r="C12245" s="5" t="s">
        <v>221</v>
      </c>
      <c r="D12245" s="3" t="s">
        <v>614</v>
      </c>
      <c r="E12245" s="3" t="s">
        <v>118</v>
      </c>
      <c r="F12245" s="7">
        <v>45984.1557383714</v>
      </c>
      <c r="G12245" s="3" t="s">
        <v>14612</v>
      </c>
    </row>
    <row r="12246">
      <c r="A12246" s="3" t="s">
        <v>27887</v>
      </c>
      <c r="B12246" s="3" t="s">
        <v>10577</v>
      </c>
      <c r="C12246" s="5" t="s">
        <v>614</v>
      </c>
      <c r="D12246" s="3" t="s">
        <v>206</v>
      </c>
      <c r="E12246" s="3" t="s">
        <v>100</v>
      </c>
      <c r="F12246" s="7">
        <v>45984.15921059363</v>
      </c>
      <c r="G12246" s="3" t="s">
        <v>14615</v>
      </c>
    </row>
    <row r="12247">
      <c r="A12247" s="3" t="s">
        <v>27888</v>
      </c>
      <c r="B12247" s="3" t="s">
        <v>10577</v>
      </c>
      <c r="C12247" s="5" t="s">
        <v>206</v>
      </c>
      <c r="D12247" s="3" t="s">
        <v>68</v>
      </c>
      <c r="E12247" s="3" t="s">
        <v>100</v>
      </c>
      <c r="F12247" s="7">
        <v>45984.16268281585</v>
      </c>
      <c r="G12247" s="3" t="s">
        <v>14618</v>
      </c>
    </row>
    <row r="12248">
      <c r="A12248" s="3" t="s">
        <v>27889</v>
      </c>
      <c r="B12248" s="3" t="s">
        <v>10580</v>
      </c>
      <c r="C12248" s="5" t="s">
        <v>45</v>
      </c>
      <c r="D12248" s="3" t="s">
        <v>221</v>
      </c>
      <c r="E12248" s="3" t="s">
        <v>530</v>
      </c>
      <c r="F12248" s="7">
        <v>45984.2234409946</v>
      </c>
      <c r="G12248" s="3" t="s">
        <v>11787</v>
      </c>
    </row>
    <row r="12249">
      <c r="A12249" s="3" t="s">
        <v>27890</v>
      </c>
      <c r="B12249" s="3" t="s">
        <v>10580</v>
      </c>
      <c r="C12249" s="5" t="s">
        <v>221</v>
      </c>
      <c r="D12249" s="3" t="s">
        <v>614</v>
      </c>
      <c r="E12249" s="3" t="s">
        <v>118</v>
      </c>
      <c r="F12249" s="7">
        <v>45984.22691321682</v>
      </c>
      <c r="G12249" s="3" t="s">
        <v>11790</v>
      </c>
    </row>
    <row r="12250">
      <c r="A12250" s="3" t="s">
        <v>27891</v>
      </c>
      <c r="B12250" s="3" t="s">
        <v>10580</v>
      </c>
      <c r="C12250" s="5" t="s">
        <v>614</v>
      </c>
      <c r="D12250" s="3" t="s">
        <v>206</v>
      </c>
      <c r="E12250" s="3" t="s">
        <v>100</v>
      </c>
      <c r="F12250" s="7">
        <v>45984.23038543905</v>
      </c>
      <c r="G12250" s="3" t="s">
        <v>11795</v>
      </c>
    </row>
    <row r="12251">
      <c r="A12251" s="3" t="s">
        <v>27892</v>
      </c>
      <c r="B12251" s="3" t="s">
        <v>10580</v>
      </c>
      <c r="C12251" s="5" t="s">
        <v>206</v>
      </c>
      <c r="D12251" s="3" t="s">
        <v>68</v>
      </c>
      <c r="E12251" s="3" t="s">
        <v>100</v>
      </c>
      <c r="F12251" s="7">
        <v>45984.23385766127</v>
      </c>
      <c r="G12251" s="3" t="s">
        <v>11798</v>
      </c>
    </row>
    <row r="12252">
      <c r="A12252" s="3" t="s">
        <v>27893</v>
      </c>
      <c r="B12252" s="3" t="s">
        <v>10583</v>
      </c>
      <c r="C12252" s="5" t="s">
        <v>45</v>
      </c>
      <c r="D12252" s="3" t="s">
        <v>221</v>
      </c>
      <c r="E12252" s="3" t="s">
        <v>496</v>
      </c>
      <c r="F12252" s="7">
        <v>45984.29461584002</v>
      </c>
      <c r="G12252" s="3" t="s">
        <v>13404</v>
      </c>
    </row>
    <row r="12253">
      <c r="A12253" s="3" t="s">
        <v>27894</v>
      </c>
      <c r="B12253" s="3" t="s">
        <v>10583</v>
      </c>
      <c r="C12253" s="5" t="s">
        <v>221</v>
      </c>
      <c r="D12253" s="3" t="s">
        <v>181</v>
      </c>
      <c r="E12253" s="3" t="s">
        <v>118</v>
      </c>
      <c r="F12253" s="7">
        <v>45984.29808806224</v>
      </c>
      <c r="G12253" s="3" t="s">
        <v>27895</v>
      </c>
    </row>
    <row r="12254">
      <c r="A12254" s="3" t="s">
        <v>27896</v>
      </c>
      <c r="B12254" s="3" t="s">
        <v>10586</v>
      </c>
      <c r="C12254" s="5" t="s">
        <v>45</v>
      </c>
      <c r="D12254" s="3" t="s">
        <v>221</v>
      </c>
      <c r="E12254" s="3" t="s">
        <v>363</v>
      </c>
      <c r="F12254" s="7">
        <v>45984.365790685435</v>
      </c>
      <c r="G12254" s="3" t="s">
        <v>14629</v>
      </c>
    </row>
    <row r="12255">
      <c r="A12255" s="3" t="s">
        <v>27897</v>
      </c>
      <c r="B12255" s="3" t="s">
        <v>10586</v>
      </c>
      <c r="C12255" s="5" t="s">
        <v>221</v>
      </c>
      <c r="D12255" s="3" t="s">
        <v>614</v>
      </c>
      <c r="E12255" s="3" t="s">
        <v>118</v>
      </c>
      <c r="F12255" s="7">
        <v>45984.369262907654</v>
      </c>
      <c r="G12255" s="3" t="s">
        <v>14632</v>
      </c>
    </row>
    <row r="12256">
      <c r="A12256" s="3" t="s">
        <v>27898</v>
      </c>
      <c r="B12256" s="3" t="s">
        <v>10586</v>
      </c>
      <c r="C12256" s="5" t="s">
        <v>614</v>
      </c>
      <c r="D12256" s="3" t="s">
        <v>206</v>
      </c>
      <c r="E12256" s="3" t="s">
        <v>100</v>
      </c>
      <c r="F12256" s="7">
        <v>45984.37273512988</v>
      </c>
      <c r="G12256" s="3" t="s">
        <v>14634</v>
      </c>
    </row>
    <row r="12257">
      <c r="A12257" s="3" t="s">
        <v>27899</v>
      </c>
      <c r="B12257" s="3" t="s">
        <v>10586</v>
      </c>
      <c r="C12257" s="5" t="s">
        <v>206</v>
      </c>
      <c r="D12257" s="3" t="s">
        <v>68</v>
      </c>
      <c r="E12257" s="3" t="s">
        <v>100</v>
      </c>
      <c r="F12257" s="7">
        <v>45984.3762073521</v>
      </c>
      <c r="G12257" s="3" t="s">
        <v>14637</v>
      </c>
    </row>
    <row r="12258">
      <c r="A12258" s="3" t="s">
        <v>27900</v>
      </c>
      <c r="B12258" s="3" t="s">
        <v>10589</v>
      </c>
      <c r="C12258" s="5" t="s">
        <v>45</v>
      </c>
      <c r="D12258" s="3" t="s">
        <v>221</v>
      </c>
      <c r="E12258" s="3" t="s">
        <v>239</v>
      </c>
      <c r="F12258" s="7">
        <v>45984.43696553085</v>
      </c>
      <c r="G12258" s="3" t="s">
        <v>25680</v>
      </c>
    </row>
    <row r="12259">
      <c r="A12259" s="3" t="s">
        <v>27901</v>
      </c>
      <c r="B12259" s="3" t="s">
        <v>10589</v>
      </c>
      <c r="C12259" s="5" t="s">
        <v>221</v>
      </c>
      <c r="D12259" s="3" t="s">
        <v>614</v>
      </c>
      <c r="E12259" s="3" t="s">
        <v>118</v>
      </c>
      <c r="F12259" s="7">
        <v>45984.44043775307</v>
      </c>
      <c r="G12259" s="3" t="s">
        <v>25682</v>
      </c>
    </row>
    <row r="12260">
      <c r="A12260" s="3" t="s">
        <v>27902</v>
      </c>
      <c r="B12260" s="3" t="s">
        <v>10589</v>
      </c>
      <c r="C12260" s="5" t="s">
        <v>614</v>
      </c>
      <c r="D12260" s="3" t="s">
        <v>206</v>
      </c>
      <c r="E12260" s="3" t="s">
        <v>100</v>
      </c>
      <c r="F12260" s="7">
        <v>45984.44390997529</v>
      </c>
      <c r="G12260" s="3" t="s">
        <v>25684</v>
      </c>
    </row>
    <row r="12261">
      <c r="A12261" s="3" t="s">
        <v>27903</v>
      </c>
      <c r="B12261" s="3" t="s">
        <v>10589</v>
      </c>
      <c r="C12261" s="5" t="s">
        <v>206</v>
      </c>
      <c r="D12261" s="3" t="s">
        <v>68</v>
      </c>
      <c r="E12261" s="3" t="s">
        <v>100</v>
      </c>
      <c r="F12261" s="7">
        <v>45984.44738219751</v>
      </c>
      <c r="G12261" s="3" t="s">
        <v>25686</v>
      </c>
    </row>
    <row r="12262">
      <c r="A12262" s="3" t="s">
        <v>27904</v>
      </c>
      <c r="B12262" s="3" t="s">
        <v>10591</v>
      </c>
      <c r="C12262" s="5" t="s">
        <v>45</v>
      </c>
      <c r="D12262" s="3" t="s">
        <v>221</v>
      </c>
      <c r="E12262" s="3" t="s">
        <v>388</v>
      </c>
      <c r="F12262" s="7">
        <v>45984.50814037627</v>
      </c>
      <c r="G12262" s="3" t="s">
        <v>6177</v>
      </c>
    </row>
    <row r="12263">
      <c r="A12263" s="3" t="s">
        <v>27905</v>
      </c>
      <c r="B12263" s="3" t="s">
        <v>10591</v>
      </c>
      <c r="C12263" s="5" t="s">
        <v>221</v>
      </c>
      <c r="D12263" s="3" t="s">
        <v>614</v>
      </c>
      <c r="E12263" s="3" t="s">
        <v>118</v>
      </c>
      <c r="F12263" s="7">
        <v>45984.511612598486</v>
      </c>
      <c r="G12263" s="3" t="s">
        <v>6180</v>
      </c>
    </row>
    <row r="12264">
      <c r="A12264" s="3" t="s">
        <v>27906</v>
      </c>
      <c r="B12264" s="3" t="s">
        <v>10591</v>
      </c>
      <c r="C12264" s="5" t="s">
        <v>614</v>
      </c>
      <c r="D12264" s="3" t="s">
        <v>206</v>
      </c>
      <c r="E12264" s="3" t="s">
        <v>100</v>
      </c>
      <c r="F12264" s="7">
        <v>45984.51508482071</v>
      </c>
      <c r="G12264" s="3" t="s">
        <v>6183</v>
      </c>
    </row>
    <row r="12265">
      <c r="A12265" s="3" t="s">
        <v>27907</v>
      </c>
      <c r="B12265" s="3" t="s">
        <v>10591</v>
      </c>
      <c r="C12265" s="5" t="s">
        <v>206</v>
      </c>
      <c r="D12265" s="3" t="s">
        <v>68</v>
      </c>
      <c r="E12265" s="3" t="s">
        <v>100</v>
      </c>
      <c r="F12265" s="7">
        <v>45984.51855704293</v>
      </c>
      <c r="G12265" s="3" t="s">
        <v>6186</v>
      </c>
    </row>
    <row r="12266">
      <c r="A12266" s="3" t="s">
        <v>27908</v>
      </c>
      <c r="B12266" s="3" t="s">
        <v>10594</v>
      </c>
      <c r="C12266" s="5" t="s">
        <v>45</v>
      </c>
      <c r="D12266" s="3" t="s">
        <v>221</v>
      </c>
      <c r="E12266" s="3" t="s">
        <v>1001</v>
      </c>
      <c r="F12266" s="7">
        <v>45984.57931522168</v>
      </c>
      <c r="G12266" s="3" t="s">
        <v>17935</v>
      </c>
    </row>
    <row r="12267">
      <c r="A12267" s="3" t="s">
        <v>27909</v>
      </c>
      <c r="B12267" s="3" t="s">
        <v>10594</v>
      </c>
      <c r="C12267" s="5" t="s">
        <v>221</v>
      </c>
      <c r="D12267" s="3" t="s">
        <v>195</v>
      </c>
      <c r="E12267" s="3" t="s">
        <v>1001</v>
      </c>
      <c r="F12267" s="7">
        <v>45984.5827874439</v>
      </c>
      <c r="G12267" s="3" t="s">
        <v>27910</v>
      </c>
    </row>
    <row r="12268">
      <c r="A12268" s="3" t="s">
        <v>27911</v>
      </c>
      <c r="B12268" s="3" t="s">
        <v>10599</v>
      </c>
      <c r="C12268" s="5" t="s">
        <v>45</v>
      </c>
      <c r="D12268" s="3" t="s">
        <v>221</v>
      </c>
      <c r="E12268" s="3" t="s">
        <v>965</v>
      </c>
      <c r="F12268" s="7">
        <v>45984.65049006709</v>
      </c>
      <c r="G12268" s="3" t="s">
        <v>6317</v>
      </c>
    </row>
    <row r="12269">
      <c r="A12269" s="3" t="s">
        <v>27912</v>
      </c>
      <c r="B12269" s="3" t="s">
        <v>10599</v>
      </c>
      <c r="C12269" s="5" t="s">
        <v>221</v>
      </c>
      <c r="D12269" s="3" t="s">
        <v>614</v>
      </c>
      <c r="E12269" s="3" t="s">
        <v>118</v>
      </c>
      <c r="F12269" s="7">
        <v>45984.65396228931</v>
      </c>
      <c r="G12269" s="3" t="s">
        <v>6320</v>
      </c>
    </row>
    <row r="12270">
      <c r="A12270" s="3" t="s">
        <v>27913</v>
      </c>
      <c r="B12270" s="3" t="s">
        <v>10599</v>
      </c>
      <c r="C12270" s="5" t="s">
        <v>614</v>
      </c>
      <c r="D12270" s="3" t="s">
        <v>206</v>
      </c>
      <c r="E12270" s="3" t="s">
        <v>100</v>
      </c>
      <c r="F12270" s="7">
        <v>45984.65743451154</v>
      </c>
      <c r="G12270" s="3" t="s">
        <v>6322</v>
      </c>
    </row>
    <row r="12271">
      <c r="A12271" s="3" t="s">
        <v>27914</v>
      </c>
      <c r="B12271" s="3" t="s">
        <v>10599</v>
      </c>
      <c r="C12271" s="5" t="s">
        <v>206</v>
      </c>
      <c r="D12271" s="3" t="s">
        <v>68</v>
      </c>
      <c r="E12271" s="3" t="s">
        <v>100</v>
      </c>
      <c r="F12271" s="7">
        <v>45984.660906733756</v>
      </c>
      <c r="G12271" s="3" t="s">
        <v>6325</v>
      </c>
    </row>
    <row r="12272">
      <c r="A12272" s="3" t="s">
        <v>27915</v>
      </c>
      <c r="B12272" s="3" t="s">
        <v>10602</v>
      </c>
      <c r="C12272" s="5" t="s">
        <v>45</v>
      </c>
      <c r="D12272" s="3" t="s">
        <v>221</v>
      </c>
      <c r="E12272" s="3" t="s">
        <v>391</v>
      </c>
      <c r="F12272" s="7">
        <v>45984.72166491251</v>
      </c>
      <c r="G12272" s="3" t="s">
        <v>10661</v>
      </c>
    </row>
    <row r="12273">
      <c r="A12273" s="3" t="s">
        <v>27916</v>
      </c>
      <c r="B12273" s="3" t="s">
        <v>10602</v>
      </c>
      <c r="C12273" s="5" t="s">
        <v>221</v>
      </c>
      <c r="D12273" s="3" t="s">
        <v>614</v>
      </c>
      <c r="E12273" s="3" t="s">
        <v>118</v>
      </c>
      <c r="F12273" s="7">
        <v>45984.72513713473</v>
      </c>
      <c r="G12273" s="3" t="s">
        <v>10664</v>
      </c>
    </row>
    <row r="12274">
      <c r="A12274" s="3" t="s">
        <v>27917</v>
      </c>
      <c r="B12274" s="3" t="s">
        <v>10602</v>
      </c>
      <c r="C12274" s="5" t="s">
        <v>614</v>
      </c>
      <c r="D12274" s="3" t="s">
        <v>206</v>
      </c>
      <c r="E12274" s="3" t="s">
        <v>100</v>
      </c>
      <c r="F12274" s="7">
        <v>45984.72860935696</v>
      </c>
      <c r="G12274" s="3" t="s">
        <v>10667</v>
      </c>
    </row>
    <row r="12275">
      <c r="A12275" s="3" t="s">
        <v>27918</v>
      </c>
      <c r="B12275" s="3" t="s">
        <v>10602</v>
      </c>
      <c r="C12275" s="5" t="s">
        <v>206</v>
      </c>
      <c r="D12275" s="3" t="s">
        <v>68</v>
      </c>
      <c r="E12275" s="3" t="s">
        <v>100</v>
      </c>
      <c r="F12275" s="7">
        <v>45984.732081579175</v>
      </c>
      <c r="G12275" s="3" t="s">
        <v>10670</v>
      </c>
    </row>
    <row r="12276">
      <c r="A12276" s="3" t="s">
        <v>27919</v>
      </c>
      <c r="B12276" s="3" t="s">
        <v>10605</v>
      </c>
      <c r="C12276" s="5" t="s">
        <v>45</v>
      </c>
      <c r="D12276" s="3" t="s">
        <v>221</v>
      </c>
      <c r="E12276" s="3" t="s">
        <v>455</v>
      </c>
      <c r="F12276" s="7">
        <v>45984.79283975793</v>
      </c>
      <c r="G12276" s="3" t="s">
        <v>14641</v>
      </c>
    </row>
    <row r="12277">
      <c r="A12277" s="3" t="s">
        <v>27920</v>
      </c>
      <c r="B12277" s="3" t="s">
        <v>10605</v>
      </c>
      <c r="C12277" s="5" t="s">
        <v>221</v>
      </c>
      <c r="D12277" s="3" t="s">
        <v>614</v>
      </c>
      <c r="E12277" s="3" t="s">
        <v>118</v>
      </c>
      <c r="F12277" s="7">
        <v>45984.79631198015</v>
      </c>
      <c r="G12277" s="3" t="s">
        <v>14644</v>
      </c>
    </row>
    <row r="12278">
      <c r="A12278" s="3" t="s">
        <v>27921</v>
      </c>
      <c r="B12278" s="3" t="s">
        <v>10605</v>
      </c>
      <c r="C12278" s="5" t="s">
        <v>614</v>
      </c>
      <c r="D12278" s="3" t="s">
        <v>206</v>
      </c>
      <c r="E12278" s="3" t="s">
        <v>100</v>
      </c>
      <c r="F12278" s="7">
        <v>45984.799784202376</v>
      </c>
      <c r="G12278" s="3" t="s">
        <v>14646</v>
      </c>
    </row>
    <row r="12279">
      <c r="A12279" s="3" t="s">
        <v>27922</v>
      </c>
      <c r="B12279" s="3" t="s">
        <v>10605</v>
      </c>
      <c r="C12279" s="5" t="s">
        <v>206</v>
      </c>
      <c r="D12279" s="3" t="s">
        <v>68</v>
      </c>
      <c r="E12279" s="3" t="s">
        <v>100</v>
      </c>
      <c r="F12279" s="7">
        <v>45984.803256424595</v>
      </c>
      <c r="G12279" s="3" t="s">
        <v>14649</v>
      </c>
    </row>
    <row r="12280">
      <c r="A12280" s="3" t="s">
        <v>27923</v>
      </c>
      <c r="B12280" s="3" t="s">
        <v>10609</v>
      </c>
      <c r="C12280" s="5" t="s">
        <v>45</v>
      </c>
      <c r="D12280" s="3" t="s">
        <v>221</v>
      </c>
      <c r="E12280" s="3" t="s">
        <v>406</v>
      </c>
      <c r="F12280" s="7">
        <v>45984.864014603336</v>
      </c>
      <c r="G12280" s="3" t="s">
        <v>10844</v>
      </c>
    </row>
    <row r="12281">
      <c r="A12281" s="3" t="s">
        <v>27924</v>
      </c>
      <c r="B12281" s="3" t="s">
        <v>10609</v>
      </c>
      <c r="C12281" s="5" t="s">
        <v>221</v>
      </c>
      <c r="D12281" s="3" t="s">
        <v>614</v>
      </c>
      <c r="E12281" s="3" t="s">
        <v>118</v>
      </c>
      <c r="F12281" s="7">
        <v>45984.867486825555</v>
      </c>
      <c r="G12281" s="3" t="s">
        <v>10847</v>
      </c>
    </row>
    <row r="12282">
      <c r="A12282" s="3" t="s">
        <v>27925</v>
      </c>
      <c r="B12282" s="3" t="s">
        <v>10609</v>
      </c>
      <c r="C12282" s="5" t="s">
        <v>614</v>
      </c>
      <c r="D12282" s="3" t="s">
        <v>206</v>
      </c>
      <c r="E12282" s="3" t="s">
        <v>100</v>
      </c>
      <c r="F12282" s="7">
        <v>45984.87095904778</v>
      </c>
      <c r="G12282" s="3" t="s">
        <v>10850</v>
      </c>
    </row>
    <row r="12283">
      <c r="A12283" s="3" t="s">
        <v>27926</v>
      </c>
      <c r="B12283" s="3" t="s">
        <v>10609</v>
      </c>
      <c r="C12283" s="5" t="s">
        <v>206</v>
      </c>
      <c r="D12283" s="3" t="s">
        <v>68</v>
      </c>
      <c r="E12283" s="3" t="s">
        <v>100</v>
      </c>
      <c r="F12283" s="7">
        <v>45984.87443127</v>
      </c>
      <c r="G12283" s="3" t="s">
        <v>10853</v>
      </c>
    </row>
    <row r="12284">
      <c r="A12284" s="3" t="s">
        <v>27927</v>
      </c>
      <c r="B12284" s="3" t="s">
        <v>10613</v>
      </c>
      <c r="C12284" s="5" t="s">
        <v>45</v>
      </c>
      <c r="D12284" s="3" t="s">
        <v>221</v>
      </c>
      <c r="E12284" s="3" t="s">
        <v>151</v>
      </c>
      <c r="F12284" s="7">
        <v>45984.935189448755</v>
      </c>
      <c r="G12284" s="3" t="s">
        <v>19136</v>
      </c>
    </row>
    <row r="12285">
      <c r="A12285" s="3" t="s">
        <v>27928</v>
      </c>
      <c r="B12285" s="3" t="s">
        <v>10613</v>
      </c>
      <c r="C12285" s="5" t="s">
        <v>221</v>
      </c>
      <c r="D12285" s="3" t="s">
        <v>614</v>
      </c>
      <c r="E12285" s="3" t="s">
        <v>118</v>
      </c>
      <c r="F12285" s="7">
        <v>45984.938661670974</v>
      </c>
      <c r="G12285" s="3" t="s">
        <v>19139</v>
      </c>
    </row>
    <row r="12286">
      <c r="A12286" s="3" t="s">
        <v>27929</v>
      </c>
      <c r="B12286" s="3" t="s">
        <v>10613</v>
      </c>
      <c r="C12286" s="5" t="s">
        <v>614</v>
      </c>
      <c r="D12286" s="3" t="s">
        <v>206</v>
      </c>
      <c r="E12286" s="3" t="s">
        <v>100</v>
      </c>
      <c r="F12286" s="7">
        <v>45984.9421338932</v>
      </c>
      <c r="G12286" s="3" t="s">
        <v>19142</v>
      </c>
    </row>
    <row r="12287">
      <c r="A12287" s="3" t="s">
        <v>27930</v>
      </c>
      <c r="B12287" s="3" t="s">
        <v>10613</v>
      </c>
      <c r="C12287" s="5" t="s">
        <v>206</v>
      </c>
      <c r="D12287" s="3" t="s">
        <v>68</v>
      </c>
      <c r="E12287" s="3" t="s">
        <v>100</v>
      </c>
      <c r="F12287" s="7">
        <v>45984.94560611542</v>
      </c>
      <c r="G12287" s="3" t="s">
        <v>19145</v>
      </c>
    </row>
    <row r="12288">
      <c r="A12288" s="3" t="s">
        <v>27931</v>
      </c>
      <c r="B12288" s="3" t="s">
        <v>10616</v>
      </c>
      <c r="C12288" s="5" t="s">
        <v>45</v>
      </c>
      <c r="D12288" s="3" t="s">
        <v>221</v>
      </c>
      <c r="E12288" s="3" t="s">
        <v>299</v>
      </c>
      <c r="F12288" s="7">
        <v>45985.00636429417</v>
      </c>
      <c r="G12288" s="3" t="s">
        <v>24654</v>
      </c>
    </row>
    <row r="12289">
      <c r="A12289" s="3" t="s">
        <v>27932</v>
      </c>
      <c r="B12289" s="3" t="s">
        <v>10616</v>
      </c>
      <c r="C12289" s="5" t="s">
        <v>221</v>
      </c>
      <c r="D12289" s="3" t="s">
        <v>614</v>
      </c>
      <c r="E12289" s="3" t="s">
        <v>118</v>
      </c>
      <c r="F12289" s="7">
        <v>45985.00983651639</v>
      </c>
      <c r="G12289" s="3" t="s">
        <v>27459</v>
      </c>
    </row>
    <row r="12290">
      <c r="A12290" s="3" t="s">
        <v>27933</v>
      </c>
      <c r="B12290" s="3" t="s">
        <v>10616</v>
      </c>
      <c r="C12290" s="5" t="s">
        <v>614</v>
      </c>
      <c r="D12290" s="3" t="s">
        <v>206</v>
      </c>
      <c r="E12290" s="3" t="s">
        <v>100</v>
      </c>
      <c r="F12290" s="7">
        <v>45985.01330873861</v>
      </c>
      <c r="G12290" s="3" t="s">
        <v>27461</v>
      </c>
    </row>
    <row r="12291">
      <c r="A12291" s="3" t="s">
        <v>27934</v>
      </c>
      <c r="B12291" s="3" t="s">
        <v>10616</v>
      </c>
      <c r="C12291" s="5" t="s">
        <v>206</v>
      </c>
      <c r="D12291" s="3" t="s">
        <v>68</v>
      </c>
      <c r="E12291" s="3" t="s">
        <v>100</v>
      </c>
      <c r="F12291" s="7">
        <v>45985.01678096083</v>
      </c>
      <c r="G12291" s="3" t="s">
        <v>27463</v>
      </c>
    </row>
    <row r="12292">
      <c r="A12292" s="3" t="s">
        <v>27935</v>
      </c>
      <c r="B12292" s="3" t="s">
        <v>10619</v>
      </c>
      <c r="C12292" s="5" t="s">
        <v>45</v>
      </c>
      <c r="D12292" s="3" t="s">
        <v>221</v>
      </c>
      <c r="E12292" s="3" t="s">
        <v>282</v>
      </c>
      <c r="F12292" s="7">
        <v>45985.07753913959</v>
      </c>
      <c r="G12292" s="3" t="s">
        <v>14656</v>
      </c>
    </row>
    <row r="12293">
      <c r="A12293" s="3" t="s">
        <v>27936</v>
      </c>
      <c r="B12293" s="3" t="s">
        <v>10619</v>
      </c>
      <c r="C12293" s="5" t="s">
        <v>221</v>
      </c>
      <c r="D12293" s="3" t="s">
        <v>614</v>
      </c>
      <c r="E12293" s="3" t="s">
        <v>118</v>
      </c>
      <c r="F12293" s="7">
        <v>45985.081011361806</v>
      </c>
      <c r="G12293" s="3" t="s">
        <v>14659</v>
      </c>
    </row>
    <row r="12294">
      <c r="A12294" s="3" t="s">
        <v>27937</v>
      </c>
      <c r="B12294" s="3" t="s">
        <v>10619</v>
      </c>
      <c r="C12294" s="5" t="s">
        <v>614</v>
      </c>
      <c r="D12294" s="3" t="s">
        <v>206</v>
      </c>
      <c r="E12294" s="3" t="s">
        <v>100</v>
      </c>
      <c r="F12294" s="7">
        <v>45985.08448358403</v>
      </c>
      <c r="G12294" s="3" t="s">
        <v>14662</v>
      </c>
    </row>
    <row r="12295">
      <c r="A12295" s="3" t="s">
        <v>27938</v>
      </c>
      <c r="B12295" s="3" t="s">
        <v>10619</v>
      </c>
      <c r="C12295" s="5" t="s">
        <v>206</v>
      </c>
      <c r="D12295" s="3" t="s">
        <v>68</v>
      </c>
      <c r="E12295" s="3" t="s">
        <v>100</v>
      </c>
      <c r="F12295" s="7">
        <v>45985.08795580625</v>
      </c>
      <c r="G12295" s="3" t="s">
        <v>14665</v>
      </c>
    </row>
    <row r="12296">
      <c r="A12296" s="3" t="s">
        <v>27939</v>
      </c>
      <c r="B12296" s="3" t="s">
        <v>10622</v>
      </c>
      <c r="C12296" s="5" t="s">
        <v>45</v>
      </c>
      <c r="D12296" s="3" t="s">
        <v>221</v>
      </c>
      <c r="E12296" s="3" t="s">
        <v>906</v>
      </c>
      <c r="F12296" s="7">
        <v>45985.148713985</v>
      </c>
      <c r="G12296" s="3" t="s">
        <v>14790</v>
      </c>
    </row>
    <row r="12297">
      <c r="A12297" s="3" t="s">
        <v>27940</v>
      </c>
      <c r="B12297" s="3" t="s">
        <v>10622</v>
      </c>
      <c r="C12297" s="5" t="s">
        <v>221</v>
      </c>
      <c r="D12297" s="3" t="s">
        <v>614</v>
      </c>
      <c r="E12297" s="3" t="s">
        <v>118</v>
      </c>
      <c r="F12297" s="7">
        <v>45985.15218620722</v>
      </c>
      <c r="G12297" s="3" t="s">
        <v>14793</v>
      </c>
    </row>
    <row r="12298">
      <c r="A12298" s="3" t="s">
        <v>27941</v>
      </c>
      <c r="B12298" s="3" t="s">
        <v>10622</v>
      </c>
      <c r="C12298" s="5" t="s">
        <v>614</v>
      </c>
      <c r="D12298" s="3" t="s">
        <v>206</v>
      </c>
      <c r="E12298" s="3" t="s">
        <v>100</v>
      </c>
      <c r="F12298" s="7">
        <v>45985.155658429445</v>
      </c>
      <c r="G12298" s="3" t="s">
        <v>14796</v>
      </c>
    </row>
    <row r="12299">
      <c r="A12299" s="3" t="s">
        <v>27942</v>
      </c>
      <c r="B12299" s="3" t="s">
        <v>10622</v>
      </c>
      <c r="C12299" s="5" t="s">
        <v>206</v>
      </c>
      <c r="D12299" s="3" t="s">
        <v>68</v>
      </c>
      <c r="E12299" s="3" t="s">
        <v>100</v>
      </c>
      <c r="F12299" s="7">
        <v>45985.159130651664</v>
      </c>
      <c r="G12299" s="3" t="s">
        <v>14799</v>
      </c>
    </row>
    <row r="12300">
      <c r="A12300" s="3" t="s">
        <v>27943</v>
      </c>
      <c r="B12300" s="3" t="s">
        <v>10626</v>
      </c>
      <c r="C12300" s="5" t="s">
        <v>45</v>
      </c>
      <c r="D12300" s="3" t="s">
        <v>221</v>
      </c>
      <c r="E12300" s="3" t="s">
        <v>179</v>
      </c>
      <c r="F12300" s="7">
        <v>45985.21988883042</v>
      </c>
      <c r="G12300" s="3" t="s">
        <v>14445</v>
      </c>
    </row>
    <row r="12301">
      <c r="A12301" s="3" t="s">
        <v>27944</v>
      </c>
      <c r="B12301" s="3" t="s">
        <v>10626</v>
      </c>
      <c r="C12301" s="5" t="s">
        <v>221</v>
      </c>
      <c r="D12301" s="3" t="s">
        <v>614</v>
      </c>
      <c r="E12301" s="3" t="s">
        <v>118</v>
      </c>
      <c r="F12301" s="7">
        <v>45985.22336105264</v>
      </c>
      <c r="G12301" s="3" t="s">
        <v>14447</v>
      </c>
    </row>
    <row r="12302">
      <c r="A12302" s="3" t="s">
        <v>27945</v>
      </c>
      <c r="B12302" s="3" t="s">
        <v>10626</v>
      </c>
      <c r="C12302" s="5" t="s">
        <v>614</v>
      </c>
      <c r="D12302" s="3" t="s">
        <v>206</v>
      </c>
      <c r="E12302" s="3" t="s">
        <v>100</v>
      </c>
      <c r="F12302" s="7">
        <v>45985.226833274864</v>
      </c>
      <c r="G12302" s="3" t="s">
        <v>14450</v>
      </c>
    </row>
    <row r="12303">
      <c r="A12303" s="3" t="s">
        <v>27946</v>
      </c>
      <c r="B12303" s="3" t="s">
        <v>10626</v>
      </c>
      <c r="C12303" s="5" t="s">
        <v>206</v>
      </c>
      <c r="D12303" s="3" t="s">
        <v>68</v>
      </c>
      <c r="E12303" s="3" t="s">
        <v>100</v>
      </c>
      <c r="F12303" s="7">
        <v>45985.23030549708</v>
      </c>
      <c r="G12303" s="3" t="s">
        <v>14453</v>
      </c>
    </row>
    <row r="12304">
      <c r="A12304" s="3" t="s">
        <v>27947</v>
      </c>
      <c r="B12304" s="3" t="s">
        <v>10630</v>
      </c>
      <c r="C12304" s="5" t="s">
        <v>45</v>
      </c>
      <c r="D12304" s="3" t="s">
        <v>221</v>
      </c>
      <c r="E12304" s="3" t="s">
        <v>455</v>
      </c>
      <c r="F12304" s="7">
        <v>45985.291063675824</v>
      </c>
      <c r="G12304" s="3" t="s">
        <v>15349</v>
      </c>
    </row>
    <row r="12305">
      <c r="A12305" s="3" t="s">
        <v>27948</v>
      </c>
      <c r="B12305" s="3" t="s">
        <v>10630</v>
      </c>
      <c r="C12305" s="5" t="s">
        <v>221</v>
      </c>
      <c r="D12305" s="3" t="s">
        <v>614</v>
      </c>
      <c r="E12305" s="3" t="s">
        <v>118</v>
      </c>
      <c r="F12305" s="7">
        <v>45985.29453589804</v>
      </c>
      <c r="G12305" s="3" t="s">
        <v>15352</v>
      </c>
    </row>
    <row r="12306">
      <c r="A12306" s="3" t="s">
        <v>27949</v>
      </c>
      <c r="B12306" s="3" t="s">
        <v>10630</v>
      </c>
      <c r="C12306" s="5" t="s">
        <v>614</v>
      </c>
      <c r="D12306" s="3" t="s">
        <v>206</v>
      </c>
      <c r="E12306" s="3" t="s">
        <v>100</v>
      </c>
      <c r="F12306" s="7">
        <v>45985.29800812027</v>
      </c>
      <c r="G12306" s="3" t="s">
        <v>15355</v>
      </c>
    </row>
    <row r="12307">
      <c r="A12307" s="3" t="s">
        <v>27950</v>
      </c>
      <c r="B12307" s="3" t="s">
        <v>10630</v>
      </c>
      <c r="C12307" s="5" t="s">
        <v>206</v>
      </c>
      <c r="D12307" s="3" t="s">
        <v>68</v>
      </c>
      <c r="E12307" s="3" t="s">
        <v>100</v>
      </c>
      <c r="F12307" s="7">
        <v>45985.30148034249</v>
      </c>
      <c r="G12307" s="3" t="s">
        <v>15358</v>
      </c>
    </row>
    <row r="12308">
      <c r="A12308" s="3" t="s">
        <v>27951</v>
      </c>
      <c r="B12308" s="3" t="s">
        <v>10633</v>
      </c>
      <c r="C12308" s="5" t="s">
        <v>45</v>
      </c>
      <c r="D12308" s="3" t="s">
        <v>221</v>
      </c>
      <c r="E12308" s="3" t="s">
        <v>363</v>
      </c>
      <c r="F12308" s="7">
        <v>45985.362238521244</v>
      </c>
      <c r="G12308" s="3" t="s">
        <v>16579</v>
      </c>
    </row>
    <row r="12309">
      <c r="A12309" s="3" t="s">
        <v>27952</v>
      </c>
      <c r="B12309" s="3" t="s">
        <v>10633</v>
      </c>
      <c r="C12309" s="5" t="s">
        <v>221</v>
      </c>
      <c r="D12309" s="3" t="s">
        <v>614</v>
      </c>
      <c r="E12309" s="3" t="s">
        <v>118</v>
      </c>
      <c r="F12309" s="7">
        <v>45985.36571074346</v>
      </c>
      <c r="G12309" s="3" t="s">
        <v>16582</v>
      </c>
    </row>
    <row r="12310">
      <c r="A12310" s="3" t="s">
        <v>27953</v>
      </c>
      <c r="B12310" s="3" t="s">
        <v>10633</v>
      </c>
      <c r="C12310" s="5" t="s">
        <v>614</v>
      </c>
      <c r="D12310" s="3" t="s">
        <v>206</v>
      </c>
      <c r="E12310" s="3" t="s">
        <v>100</v>
      </c>
      <c r="F12310" s="7">
        <v>45985.36918296569</v>
      </c>
      <c r="G12310" s="3" t="s">
        <v>16584</v>
      </c>
    </row>
    <row r="12311">
      <c r="A12311" s="3" t="s">
        <v>27954</v>
      </c>
      <c r="B12311" s="3" t="s">
        <v>10633</v>
      </c>
      <c r="C12311" s="5" t="s">
        <v>206</v>
      </c>
      <c r="D12311" s="3" t="s">
        <v>68</v>
      </c>
      <c r="E12311" s="3" t="s">
        <v>100</v>
      </c>
      <c r="F12311" s="7">
        <v>45985.37265518791</v>
      </c>
      <c r="G12311" s="3" t="s">
        <v>16587</v>
      </c>
    </row>
    <row r="12312">
      <c r="A12312" s="3" t="s">
        <v>27955</v>
      </c>
      <c r="B12312" s="3" t="s">
        <v>10636</v>
      </c>
      <c r="C12312" s="5" t="s">
        <v>45</v>
      </c>
      <c r="D12312" s="3" t="s">
        <v>221</v>
      </c>
      <c r="E12312" s="3" t="s">
        <v>406</v>
      </c>
      <c r="F12312" s="7">
        <v>45985.43341336666</v>
      </c>
      <c r="G12312" s="3" t="s">
        <v>10844</v>
      </c>
    </row>
    <row r="12313">
      <c r="A12313" s="3" t="s">
        <v>27956</v>
      </c>
      <c r="B12313" s="3" t="s">
        <v>10636</v>
      </c>
      <c r="C12313" s="5" t="s">
        <v>221</v>
      </c>
      <c r="D12313" s="3" t="s">
        <v>614</v>
      </c>
      <c r="E12313" s="3" t="s">
        <v>118</v>
      </c>
      <c r="F12313" s="7">
        <v>45985.43688558888</v>
      </c>
      <c r="G12313" s="3" t="s">
        <v>10847</v>
      </c>
    </row>
    <row r="12314">
      <c r="A12314" s="3" t="s">
        <v>27957</v>
      </c>
      <c r="B12314" s="3" t="s">
        <v>10636</v>
      </c>
      <c r="C12314" s="5" t="s">
        <v>614</v>
      </c>
      <c r="D12314" s="3" t="s">
        <v>206</v>
      </c>
      <c r="E12314" s="3" t="s">
        <v>100</v>
      </c>
      <c r="F12314" s="7">
        <v>45985.44035781111</v>
      </c>
      <c r="G12314" s="3" t="s">
        <v>10850</v>
      </c>
    </row>
    <row r="12315">
      <c r="A12315" s="3" t="s">
        <v>27958</v>
      </c>
      <c r="B12315" s="3" t="s">
        <v>10636</v>
      </c>
      <c r="C12315" s="5" t="s">
        <v>206</v>
      </c>
      <c r="D12315" s="3" t="s">
        <v>68</v>
      </c>
      <c r="E12315" s="3" t="s">
        <v>100</v>
      </c>
      <c r="F12315" s="7">
        <v>45985.44383003333</v>
      </c>
      <c r="G12315" s="3" t="s">
        <v>10853</v>
      </c>
    </row>
    <row r="12316">
      <c r="A12316" s="3" t="s">
        <v>27959</v>
      </c>
      <c r="B12316" s="3" t="s">
        <v>10640</v>
      </c>
      <c r="C12316" s="5" t="s">
        <v>45</v>
      </c>
      <c r="D12316" s="3" t="s">
        <v>221</v>
      </c>
      <c r="E12316" s="3" t="s">
        <v>598</v>
      </c>
      <c r="F12316" s="7">
        <v>45985.504588212076</v>
      </c>
      <c r="G12316" s="3" t="s">
        <v>8805</v>
      </c>
    </row>
    <row r="12317">
      <c r="A12317" s="3" t="s">
        <v>27960</v>
      </c>
      <c r="B12317" s="3" t="s">
        <v>10640</v>
      </c>
      <c r="C12317" s="5" t="s">
        <v>221</v>
      </c>
      <c r="D12317" s="3" t="s">
        <v>181</v>
      </c>
      <c r="E12317" s="3" t="s">
        <v>118</v>
      </c>
      <c r="F12317" s="7">
        <v>45985.508060434295</v>
      </c>
      <c r="G12317" s="3" t="s">
        <v>27961</v>
      </c>
    </row>
    <row r="12318">
      <c r="A12318" s="3" t="s">
        <v>27962</v>
      </c>
      <c r="B12318" s="3" t="s">
        <v>10644</v>
      </c>
      <c r="C12318" s="5" t="s">
        <v>45</v>
      </c>
      <c r="D12318" s="3" t="s">
        <v>221</v>
      </c>
      <c r="E12318" s="3" t="s">
        <v>652</v>
      </c>
      <c r="F12318" s="7">
        <v>45985.57576305749</v>
      </c>
      <c r="G12318" s="3" t="s">
        <v>13864</v>
      </c>
    </row>
    <row r="12319">
      <c r="A12319" s="3" t="s">
        <v>27963</v>
      </c>
      <c r="B12319" s="3" t="s">
        <v>10644</v>
      </c>
      <c r="C12319" s="5" t="s">
        <v>221</v>
      </c>
      <c r="D12319" s="3" t="s">
        <v>614</v>
      </c>
      <c r="E12319" s="3" t="s">
        <v>118</v>
      </c>
      <c r="F12319" s="7">
        <v>45985.57923527971</v>
      </c>
      <c r="G12319" s="3" t="s">
        <v>23985</v>
      </c>
    </row>
    <row r="12320">
      <c r="A12320" s="3" t="s">
        <v>27964</v>
      </c>
      <c r="B12320" s="3" t="s">
        <v>10644</v>
      </c>
      <c r="C12320" s="5" t="s">
        <v>614</v>
      </c>
      <c r="D12320" s="3" t="s">
        <v>206</v>
      </c>
      <c r="E12320" s="3" t="s">
        <v>100</v>
      </c>
      <c r="F12320" s="7">
        <v>45985.58270750193</v>
      </c>
      <c r="G12320" s="3" t="s">
        <v>23987</v>
      </c>
    </row>
    <row r="12321">
      <c r="A12321" s="3" t="s">
        <v>27965</v>
      </c>
      <c r="B12321" s="3" t="s">
        <v>10644</v>
      </c>
      <c r="C12321" s="5" t="s">
        <v>206</v>
      </c>
      <c r="D12321" s="3" t="s">
        <v>68</v>
      </c>
      <c r="E12321" s="3" t="s">
        <v>100</v>
      </c>
      <c r="F12321" s="7">
        <v>45985.58617972415</v>
      </c>
      <c r="G12321" s="3" t="s">
        <v>23989</v>
      </c>
    </row>
    <row r="12322">
      <c r="A12322" s="3" t="s">
        <v>27966</v>
      </c>
      <c r="B12322" s="3" t="s">
        <v>10647</v>
      </c>
      <c r="C12322" s="5" t="s">
        <v>45</v>
      </c>
      <c r="D12322" s="3" t="s">
        <v>221</v>
      </c>
      <c r="E12322" s="3" t="s">
        <v>424</v>
      </c>
      <c r="F12322" s="7">
        <v>45985.64693790291</v>
      </c>
      <c r="G12322" s="3" t="s">
        <v>10291</v>
      </c>
    </row>
    <row r="12323">
      <c r="A12323" s="3" t="s">
        <v>27967</v>
      </c>
      <c r="B12323" s="3" t="s">
        <v>10647</v>
      </c>
      <c r="C12323" s="5" t="s">
        <v>221</v>
      </c>
      <c r="D12323" s="3" t="s">
        <v>614</v>
      </c>
      <c r="E12323" s="3" t="s">
        <v>118</v>
      </c>
      <c r="F12323" s="7">
        <v>45985.65041012513</v>
      </c>
      <c r="G12323" s="3" t="s">
        <v>10294</v>
      </c>
    </row>
    <row r="12324">
      <c r="A12324" s="3" t="s">
        <v>27968</v>
      </c>
      <c r="B12324" s="3" t="s">
        <v>10647</v>
      </c>
      <c r="C12324" s="5" t="s">
        <v>614</v>
      </c>
      <c r="D12324" s="3" t="s">
        <v>206</v>
      </c>
      <c r="E12324" s="3" t="s">
        <v>100</v>
      </c>
      <c r="F12324" s="7">
        <v>45985.65388234735</v>
      </c>
      <c r="G12324" s="3" t="s">
        <v>10296</v>
      </c>
    </row>
    <row r="12325">
      <c r="A12325" s="3" t="s">
        <v>27969</v>
      </c>
      <c r="B12325" s="3" t="s">
        <v>10647</v>
      </c>
      <c r="C12325" s="5" t="s">
        <v>206</v>
      </c>
      <c r="D12325" s="3" t="s">
        <v>68</v>
      </c>
      <c r="E12325" s="3" t="s">
        <v>100</v>
      </c>
      <c r="F12325" s="7">
        <v>45985.65735456957</v>
      </c>
      <c r="G12325" s="3" t="s">
        <v>10299</v>
      </c>
    </row>
    <row r="12326">
      <c r="A12326" s="3" t="s">
        <v>27970</v>
      </c>
      <c r="B12326" s="3" t="s">
        <v>10650</v>
      </c>
      <c r="C12326" s="5" t="s">
        <v>45</v>
      </c>
      <c r="D12326" s="3" t="s">
        <v>221</v>
      </c>
      <c r="E12326" s="3" t="s">
        <v>359</v>
      </c>
      <c r="F12326" s="7">
        <v>45985.71811274832</v>
      </c>
      <c r="G12326" s="3" t="s">
        <v>21154</v>
      </c>
    </row>
    <row r="12327">
      <c r="A12327" s="3" t="s">
        <v>27971</v>
      </c>
      <c r="B12327" s="3" t="s">
        <v>10650</v>
      </c>
      <c r="C12327" s="5" t="s">
        <v>221</v>
      </c>
      <c r="D12327" s="3" t="s">
        <v>614</v>
      </c>
      <c r="E12327" s="3" t="s">
        <v>118</v>
      </c>
      <c r="F12327" s="7">
        <v>45985.72158497054</v>
      </c>
      <c r="G12327" s="3" t="s">
        <v>21157</v>
      </c>
    </row>
    <row r="12328">
      <c r="A12328" s="3" t="s">
        <v>27972</v>
      </c>
      <c r="B12328" s="3" t="s">
        <v>10650</v>
      </c>
      <c r="C12328" s="5" t="s">
        <v>614</v>
      </c>
      <c r="D12328" s="3" t="s">
        <v>206</v>
      </c>
      <c r="E12328" s="3" t="s">
        <v>100</v>
      </c>
      <c r="F12328" s="7">
        <v>45985.725057192765</v>
      </c>
      <c r="G12328" s="3" t="s">
        <v>21160</v>
      </c>
    </row>
    <row r="12329">
      <c r="A12329" s="3" t="s">
        <v>27973</v>
      </c>
      <c r="B12329" s="3" t="s">
        <v>10650</v>
      </c>
      <c r="C12329" s="5" t="s">
        <v>206</v>
      </c>
      <c r="D12329" s="3" t="s">
        <v>68</v>
      </c>
      <c r="E12329" s="3" t="s">
        <v>100</v>
      </c>
      <c r="F12329" s="7">
        <v>45985.728529414984</v>
      </c>
      <c r="G12329" s="3" t="s">
        <v>21163</v>
      </c>
    </row>
    <row r="12330">
      <c r="A12330" s="3" t="s">
        <v>27974</v>
      </c>
      <c r="B12330" s="3" t="s">
        <v>10655</v>
      </c>
      <c r="C12330" s="5" t="s">
        <v>45</v>
      </c>
      <c r="D12330" s="3" t="s">
        <v>221</v>
      </c>
      <c r="E12330" s="3" t="s">
        <v>877</v>
      </c>
      <c r="F12330" s="7">
        <v>45985.78928759373</v>
      </c>
      <c r="G12330" s="3" t="s">
        <v>14802</v>
      </c>
    </row>
    <row r="12331">
      <c r="A12331" s="3" t="s">
        <v>27975</v>
      </c>
      <c r="B12331" s="3" t="s">
        <v>10655</v>
      </c>
      <c r="C12331" s="5" t="s">
        <v>221</v>
      </c>
      <c r="D12331" s="3" t="s">
        <v>614</v>
      </c>
      <c r="E12331" s="3" t="s">
        <v>118</v>
      </c>
      <c r="F12331" s="7">
        <v>45985.79275981595</v>
      </c>
      <c r="G12331" s="3" t="s">
        <v>14804</v>
      </c>
    </row>
    <row r="12332">
      <c r="A12332" s="3" t="s">
        <v>27976</v>
      </c>
      <c r="B12332" s="3" t="s">
        <v>10655</v>
      </c>
      <c r="C12332" s="5" t="s">
        <v>614</v>
      </c>
      <c r="D12332" s="3" t="s">
        <v>206</v>
      </c>
      <c r="E12332" s="3" t="s">
        <v>100</v>
      </c>
      <c r="F12332" s="7">
        <v>45985.79623203818</v>
      </c>
      <c r="G12332" s="3" t="s">
        <v>14807</v>
      </c>
    </row>
    <row r="12333">
      <c r="A12333" s="3" t="s">
        <v>27977</v>
      </c>
      <c r="B12333" s="3" t="s">
        <v>10655</v>
      </c>
      <c r="C12333" s="5" t="s">
        <v>206</v>
      </c>
      <c r="D12333" s="3" t="s">
        <v>68</v>
      </c>
      <c r="E12333" s="3" t="s">
        <v>100</v>
      </c>
      <c r="F12333" s="7">
        <v>45985.7997042604</v>
      </c>
      <c r="G12333" s="3" t="s">
        <v>14810</v>
      </c>
    </row>
    <row r="12334">
      <c r="A12334" s="3" t="s">
        <v>27978</v>
      </c>
      <c r="B12334" s="3" t="s">
        <v>10657</v>
      </c>
      <c r="C12334" s="5" t="s">
        <v>45</v>
      </c>
      <c r="D12334" s="3" t="s">
        <v>221</v>
      </c>
      <c r="E12334" s="3" t="s">
        <v>316</v>
      </c>
      <c r="F12334" s="7">
        <v>45985.86046243915</v>
      </c>
      <c r="G12334" s="3" t="s">
        <v>2770</v>
      </c>
    </row>
    <row r="12335">
      <c r="A12335" s="3" t="s">
        <v>27979</v>
      </c>
      <c r="B12335" s="3" t="s">
        <v>10657</v>
      </c>
      <c r="C12335" s="5" t="s">
        <v>221</v>
      </c>
      <c r="D12335" s="3" t="s">
        <v>181</v>
      </c>
      <c r="E12335" s="3" t="s">
        <v>118</v>
      </c>
      <c r="F12335" s="7">
        <v>45985.86393466137</v>
      </c>
      <c r="G12335" s="3" t="s">
        <v>2774</v>
      </c>
    </row>
    <row r="12336">
      <c r="A12336" s="3" t="s">
        <v>27980</v>
      </c>
      <c r="B12336" s="3" t="s">
        <v>10660</v>
      </c>
      <c r="C12336" s="5" t="s">
        <v>45</v>
      </c>
      <c r="D12336" s="3" t="s">
        <v>221</v>
      </c>
      <c r="E12336" s="3" t="s">
        <v>126</v>
      </c>
      <c r="F12336" s="7">
        <v>45985.93163728457</v>
      </c>
      <c r="G12336" s="3" t="s">
        <v>2770</v>
      </c>
    </row>
    <row r="12337">
      <c r="A12337" s="3" t="s">
        <v>27981</v>
      </c>
      <c r="B12337" s="3" t="s">
        <v>10660</v>
      </c>
      <c r="C12337" s="5" t="s">
        <v>221</v>
      </c>
      <c r="D12337" s="3" t="s">
        <v>195</v>
      </c>
      <c r="E12337" s="3" t="s">
        <v>126</v>
      </c>
      <c r="F12337" s="7">
        <v>45985.93510950679</v>
      </c>
      <c r="G12337" s="3" t="s">
        <v>3055</v>
      </c>
    </row>
    <row r="12338">
      <c r="A12338" s="3" t="s">
        <v>27982</v>
      </c>
      <c r="B12338" s="3" t="s">
        <v>10663</v>
      </c>
      <c r="C12338" s="5" t="s">
        <v>45</v>
      </c>
      <c r="D12338" s="3" t="s">
        <v>221</v>
      </c>
      <c r="E12338" s="3" t="s">
        <v>475</v>
      </c>
      <c r="F12338" s="7">
        <v>45986.00281212998</v>
      </c>
      <c r="G12338" s="3" t="s">
        <v>14898</v>
      </c>
    </row>
    <row r="12339">
      <c r="A12339" s="3" t="s">
        <v>27983</v>
      </c>
      <c r="B12339" s="3" t="s">
        <v>10663</v>
      </c>
      <c r="C12339" s="5" t="s">
        <v>221</v>
      </c>
      <c r="D12339" s="3" t="s">
        <v>614</v>
      </c>
      <c r="E12339" s="3" t="s">
        <v>118</v>
      </c>
      <c r="F12339" s="7">
        <v>45986.006284352196</v>
      </c>
      <c r="G12339" s="3" t="s">
        <v>14900</v>
      </c>
    </row>
    <row r="12340">
      <c r="A12340" s="3" t="s">
        <v>27984</v>
      </c>
      <c r="B12340" s="3" t="s">
        <v>10663</v>
      </c>
      <c r="C12340" s="5" t="s">
        <v>614</v>
      </c>
      <c r="D12340" s="3" t="s">
        <v>206</v>
      </c>
      <c r="E12340" s="3" t="s">
        <v>100</v>
      </c>
      <c r="F12340" s="7">
        <v>45986.00975657442</v>
      </c>
      <c r="G12340" s="3" t="s">
        <v>14903</v>
      </c>
    </row>
    <row r="12341">
      <c r="A12341" s="3" t="s">
        <v>27985</v>
      </c>
      <c r="B12341" s="3" t="s">
        <v>10663</v>
      </c>
      <c r="C12341" s="5" t="s">
        <v>206</v>
      </c>
      <c r="D12341" s="3" t="s">
        <v>68</v>
      </c>
      <c r="E12341" s="3" t="s">
        <v>100</v>
      </c>
      <c r="F12341" s="7">
        <v>45986.01322879664</v>
      </c>
      <c r="G12341" s="3" t="s">
        <v>14906</v>
      </c>
    </row>
    <row r="12342">
      <c r="A12342" s="3" t="s">
        <v>27986</v>
      </c>
      <c r="B12342" s="3" t="s">
        <v>10666</v>
      </c>
      <c r="C12342" s="5" t="s">
        <v>45</v>
      </c>
      <c r="D12342" s="3" t="s">
        <v>221</v>
      </c>
      <c r="E12342" s="3" t="s">
        <v>581</v>
      </c>
      <c r="F12342" s="7">
        <v>45986.073986975396</v>
      </c>
      <c r="G12342" s="3" t="s">
        <v>27565</v>
      </c>
    </row>
    <row r="12343">
      <c r="A12343" s="3" t="s">
        <v>27987</v>
      </c>
      <c r="B12343" s="3" t="s">
        <v>10666</v>
      </c>
      <c r="C12343" s="5" t="s">
        <v>221</v>
      </c>
      <c r="D12343" s="3" t="s">
        <v>614</v>
      </c>
      <c r="E12343" s="3" t="s">
        <v>118</v>
      </c>
      <c r="F12343" s="7">
        <v>45986.077459197615</v>
      </c>
      <c r="G12343" s="3" t="s">
        <v>27567</v>
      </c>
    </row>
    <row r="12344">
      <c r="A12344" s="3" t="s">
        <v>27988</v>
      </c>
      <c r="B12344" s="3" t="s">
        <v>10666</v>
      </c>
      <c r="C12344" s="5" t="s">
        <v>614</v>
      </c>
      <c r="D12344" s="3" t="s">
        <v>206</v>
      </c>
      <c r="E12344" s="3" t="s">
        <v>100</v>
      </c>
      <c r="F12344" s="7">
        <v>45986.08093141984</v>
      </c>
      <c r="G12344" s="3" t="s">
        <v>27569</v>
      </c>
    </row>
    <row r="12345">
      <c r="A12345" s="3" t="s">
        <v>27989</v>
      </c>
      <c r="B12345" s="3" t="s">
        <v>10666</v>
      </c>
      <c r="C12345" s="5" t="s">
        <v>206</v>
      </c>
      <c r="D12345" s="3" t="s">
        <v>68</v>
      </c>
      <c r="E12345" s="3" t="s">
        <v>100</v>
      </c>
      <c r="F12345" s="7">
        <v>45986.08440364206</v>
      </c>
      <c r="G12345" s="3" t="s">
        <v>27571</v>
      </c>
    </row>
    <row r="12346">
      <c r="A12346" s="3" t="s">
        <v>27990</v>
      </c>
      <c r="B12346" s="3" t="s">
        <v>10669</v>
      </c>
      <c r="C12346" s="5" t="s">
        <v>45</v>
      </c>
      <c r="D12346" s="3" t="s">
        <v>221</v>
      </c>
      <c r="E12346" s="3" t="s">
        <v>383</v>
      </c>
      <c r="F12346" s="7">
        <v>45986.145161820816</v>
      </c>
      <c r="G12346" s="3" t="s">
        <v>14920</v>
      </c>
    </row>
    <row r="12347">
      <c r="A12347" s="3" t="s">
        <v>27991</v>
      </c>
      <c r="B12347" s="3" t="s">
        <v>10669</v>
      </c>
      <c r="C12347" s="5" t="s">
        <v>221</v>
      </c>
      <c r="D12347" s="3" t="s">
        <v>614</v>
      </c>
      <c r="E12347" s="3" t="s">
        <v>118</v>
      </c>
      <c r="F12347" s="7">
        <v>45986.148634043035</v>
      </c>
      <c r="G12347" s="3" t="s">
        <v>14923</v>
      </c>
    </row>
    <row r="12348">
      <c r="A12348" s="3" t="s">
        <v>27992</v>
      </c>
      <c r="B12348" s="3" t="s">
        <v>10669</v>
      </c>
      <c r="C12348" s="5" t="s">
        <v>614</v>
      </c>
      <c r="D12348" s="3" t="s">
        <v>206</v>
      </c>
      <c r="E12348" s="3" t="s">
        <v>100</v>
      </c>
      <c r="F12348" s="7">
        <v>45986.15210626526</v>
      </c>
      <c r="G12348" s="3" t="s">
        <v>14926</v>
      </c>
    </row>
    <row r="12349">
      <c r="A12349" s="3" t="s">
        <v>27993</v>
      </c>
      <c r="B12349" s="3" t="s">
        <v>10669</v>
      </c>
      <c r="C12349" s="5" t="s">
        <v>206</v>
      </c>
      <c r="D12349" s="3" t="s">
        <v>68</v>
      </c>
      <c r="E12349" s="3" t="s">
        <v>100</v>
      </c>
      <c r="F12349" s="7">
        <v>45986.15557848748</v>
      </c>
      <c r="G12349" s="3" t="s">
        <v>14928</v>
      </c>
    </row>
    <row r="12350">
      <c r="A12350" s="3" t="s">
        <v>27994</v>
      </c>
      <c r="B12350" s="3" t="s">
        <v>10672</v>
      </c>
      <c r="C12350" s="5" t="s">
        <v>45</v>
      </c>
      <c r="D12350" s="3" t="s">
        <v>221</v>
      </c>
      <c r="E12350" s="3" t="s">
        <v>631</v>
      </c>
      <c r="F12350" s="7">
        <v>45986.21633666623</v>
      </c>
      <c r="G12350" s="3" t="s">
        <v>4574</v>
      </c>
    </row>
    <row r="12351">
      <c r="A12351" s="3" t="s">
        <v>27995</v>
      </c>
      <c r="B12351" s="3" t="s">
        <v>10672</v>
      </c>
      <c r="C12351" s="5" t="s">
        <v>221</v>
      </c>
      <c r="D12351" s="3" t="s">
        <v>614</v>
      </c>
      <c r="E12351" s="3" t="s">
        <v>118</v>
      </c>
      <c r="F12351" s="7">
        <v>45986.21980888845</v>
      </c>
      <c r="G12351" s="3" t="s">
        <v>4576</v>
      </c>
    </row>
    <row r="12352">
      <c r="A12352" s="3" t="s">
        <v>27996</v>
      </c>
      <c r="B12352" s="3" t="s">
        <v>10672</v>
      </c>
      <c r="C12352" s="5" t="s">
        <v>614</v>
      </c>
      <c r="D12352" s="3" t="s">
        <v>206</v>
      </c>
      <c r="E12352" s="3" t="s">
        <v>100</v>
      </c>
      <c r="F12352" s="7">
        <v>45986.22328111067</v>
      </c>
      <c r="G12352" s="3" t="s">
        <v>4579</v>
      </c>
    </row>
    <row r="12353">
      <c r="A12353" s="3" t="s">
        <v>27997</v>
      </c>
      <c r="B12353" s="3" t="s">
        <v>10672</v>
      </c>
      <c r="C12353" s="5" t="s">
        <v>206</v>
      </c>
      <c r="D12353" s="3" t="s">
        <v>68</v>
      </c>
      <c r="E12353" s="3" t="s">
        <v>100</v>
      </c>
      <c r="F12353" s="7">
        <v>45986.22675333289</v>
      </c>
      <c r="G12353" s="3" t="s">
        <v>4582</v>
      </c>
    </row>
    <row r="12354">
      <c r="A12354" s="3" t="s">
        <v>27998</v>
      </c>
      <c r="B12354" s="3" t="s">
        <v>10675</v>
      </c>
      <c r="C12354" s="5" t="s">
        <v>45</v>
      </c>
      <c r="D12354" s="3" t="s">
        <v>221</v>
      </c>
      <c r="E12354" s="3" t="s">
        <v>704</v>
      </c>
      <c r="F12354" s="7">
        <v>45986.28751151164</v>
      </c>
      <c r="G12354" s="3" t="s">
        <v>27999</v>
      </c>
    </row>
    <row r="12355">
      <c r="A12355" s="3" t="s">
        <v>28000</v>
      </c>
      <c r="B12355" s="3" t="s">
        <v>10675</v>
      </c>
      <c r="C12355" s="5" t="s">
        <v>221</v>
      </c>
      <c r="D12355" s="3" t="s">
        <v>614</v>
      </c>
      <c r="E12355" s="3" t="s">
        <v>118</v>
      </c>
      <c r="F12355" s="7">
        <v>45986.29098373386</v>
      </c>
      <c r="G12355" s="3" t="s">
        <v>28001</v>
      </c>
    </row>
    <row r="12356">
      <c r="A12356" s="3" t="s">
        <v>28002</v>
      </c>
      <c r="B12356" s="3" t="s">
        <v>10675</v>
      </c>
      <c r="C12356" s="5" t="s">
        <v>614</v>
      </c>
      <c r="D12356" s="3" t="s">
        <v>206</v>
      </c>
      <c r="E12356" s="3" t="s">
        <v>100</v>
      </c>
      <c r="F12356" s="7">
        <v>45986.294455956086</v>
      </c>
      <c r="G12356" s="3" t="s">
        <v>28003</v>
      </c>
    </row>
    <row r="12357">
      <c r="A12357" s="3" t="s">
        <v>28004</v>
      </c>
      <c r="B12357" s="3" t="s">
        <v>10675</v>
      </c>
      <c r="C12357" s="5" t="s">
        <v>206</v>
      </c>
      <c r="D12357" s="3" t="s">
        <v>68</v>
      </c>
      <c r="E12357" s="3" t="s">
        <v>100</v>
      </c>
      <c r="F12357" s="7">
        <v>45986.297928178305</v>
      </c>
      <c r="G12357" s="3" t="s">
        <v>28005</v>
      </c>
    </row>
    <row r="12358">
      <c r="A12358" s="3" t="s">
        <v>28006</v>
      </c>
      <c r="B12358" s="3" t="s">
        <v>10678</v>
      </c>
      <c r="C12358" s="5" t="s">
        <v>45</v>
      </c>
      <c r="D12358" s="3" t="s">
        <v>221</v>
      </c>
      <c r="E12358" s="3" t="s">
        <v>746</v>
      </c>
      <c r="F12358" s="7">
        <v>45986.35868635706</v>
      </c>
      <c r="G12358" s="3" t="s">
        <v>14955</v>
      </c>
    </row>
    <row r="12359">
      <c r="A12359" s="3" t="s">
        <v>28007</v>
      </c>
      <c r="B12359" s="3" t="s">
        <v>10678</v>
      </c>
      <c r="C12359" s="5" t="s">
        <v>221</v>
      </c>
      <c r="D12359" s="3" t="s">
        <v>614</v>
      </c>
      <c r="E12359" s="3" t="s">
        <v>118</v>
      </c>
      <c r="F12359" s="7">
        <v>45986.36215857928</v>
      </c>
      <c r="G12359" s="3" t="s">
        <v>14958</v>
      </c>
    </row>
    <row r="12360">
      <c r="A12360" s="3" t="s">
        <v>28008</v>
      </c>
      <c r="B12360" s="3" t="s">
        <v>10678</v>
      </c>
      <c r="C12360" s="5" t="s">
        <v>614</v>
      </c>
      <c r="D12360" s="3" t="s">
        <v>206</v>
      </c>
      <c r="E12360" s="3" t="s">
        <v>100</v>
      </c>
      <c r="F12360" s="7">
        <v>45986.365630801505</v>
      </c>
      <c r="G12360" s="3" t="s">
        <v>14961</v>
      </c>
    </row>
    <row r="12361">
      <c r="A12361" s="3" t="s">
        <v>28009</v>
      </c>
      <c r="B12361" s="3" t="s">
        <v>10678</v>
      </c>
      <c r="C12361" s="5" t="s">
        <v>206</v>
      </c>
      <c r="D12361" s="3" t="s">
        <v>68</v>
      </c>
      <c r="E12361" s="3" t="s">
        <v>100</v>
      </c>
      <c r="F12361" s="7">
        <v>45986.369103023724</v>
      </c>
      <c r="G12361" s="3" t="s">
        <v>14964</v>
      </c>
    </row>
    <row r="12362">
      <c r="A12362" s="3" t="s">
        <v>28010</v>
      </c>
      <c r="B12362" s="3" t="s">
        <v>10681</v>
      </c>
      <c r="C12362" s="5" t="s">
        <v>45</v>
      </c>
      <c r="D12362" s="3" t="s">
        <v>221</v>
      </c>
      <c r="E12362" s="3" t="s">
        <v>333</v>
      </c>
      <c r="F12362" s="7">
        <v>45986.42986120247</v>
      </c>
      <c r="G12362" s="3" t="s">
        <v>20033</v>
      </c>
    </row>
    <row r="12363">
      <c r="A12363" s="3" t="s">
        <v>28011</v>
      </c>
      <c r="B12363" s="3" t="s">
        <v>10681</v>
      </c>
      <c r="C12363" s="5" t="s">
        <v>221</v>
      </c>
      <c r="D12363" s="3" t="s">
        <v>614</v>
      </c>
      <c r="E12363" s="3" t="s">
        <v>118</v>
      </c>
      <c r="F12363" s="7">
        <v>45986.43333342469</v>
      </c>
      <c r="G12363" s="3" t="s">
        <v>22496</v>
      </c>
    </row>
    <row r="12364">
      <c r="A12364" s="3" t="s">
        <v>28012</v>
      </c>
      <c r="B12364" s="3" t="s">
        <v>10681</v>
      </c>
      <c r="C12364" s="5" t="s">
        <v>614</v>
      </c>
      <c r="D12364" s="3" t="s">
        <v>206</v>
      </c>
      <c r="E12364" s="3" t="s">
        <v>100</v>
      </c>
      <c r="F12364" s="7">
        <v>45986.43680564692</v>
      </c>
      <c r="G12364" s="3" t="s">
        <v>22499</v>
      </c>
    </row>
    <row r="12365">
      <c r="A12365" s="3" t="s">
        <v>28013</v>
      </c>
      <c r="B12365" s="3" t="s">
        <v>10681</v>
      </c>
      <c r="C12365" s="5" t="s">
        <v>206</v>
      </c>
      <c r="D12365" s="3" t="s">
        <v>68</v>
      </c>
      <c r="E12365" s="3" t="s">
        <v>100</v>
      </c>
      <c r="F12365" s="7">
        <v>45986.44027786914</v>
      </c>
      <c r="G12365" s="3" t="s">
        <v>22502</v>
      </c>
    </row>
    <row r="12366">
      <c r="A12366" s="3" t="s">
        <v>28014</v>
      </c>
      <c r="B12366" s="3" t="s">
        <v>10684</v>
      </c>
      <c r="C12366" s="5" t="s">
        <v>45</v>
      </c>
      <c r="D12366" s="3" t="s">
        <v>221</v>
      </c>
      <c r="E12366" s="3" t="s">
        <v>243</v>
      </c>
      <c r="F12366" s="7">
        <v>45986.501036047885</v>
      </c>
      <c r="G12366" s="3" t="s">
        <v>19906</v>
      </c>
    </row>
    <row r="12367">
      <c r="A12367" s="3" t="s">
        <v>28015</v>
      </c>
      <c r="B12367" s="3" t="s">
        <v>10684</v>
      </c>
      <c r="C12367" s="5" t="s">
        <v>221</v>
      </c>
      <c r="D12367" s="3" t="s">
        <v>614</v>
      </c>
      <c r="E12367" s="3" t="s">
        <v>118</v>
      </c>
      <c r="F12367" s="7">
        <v>45986.5045082701</v>
      </c>
      <c r="G12367" s="3" t="s">
        <v>19908</v>
      </c>
    </row>
    <row r="12368">
      <c r="A12368" s="3" t="s">
        <v>28016</v>
      </c>
      <c r="B12368" s="3" t="s">
        <v>10684</v>
      </c>
      <c r="C12368" s="5" t="s">
        <v>614</v>
      </c>
      <c r="D12368" s="3" t="s">
        <v>206</v>
      </c>
      <c r="E12368" s="3" t="s">
        <v>100</v>
      </c>
      <c r="F12368" s="7">
        <v>45986.50798049233</v>
      </c>
      <c r="G12368" s="3" t="s">
        <v>19911</v>
      </c>
    </row>
    <row r="12369">
      <c r="A12369" s="3" t="s">
        <v>28017</v>
      </c>
      <c r="B12369" s="3" t="s">
        <v>10684</v>
      </c>
      <c r="C12369" s="5" t="s">
        <v>206</v>
      </c>
      <c r="D12369" s="3" t="s">
        <v>68</v>
      </c>
      <c r="E12369" s="3" t="s">
        <v>100</v>
      </c>
      <c r="F12369" s="7">
        <v>45986.51145271455</v>
      </c>
      <c r="G12369" s="3" t="s">
        <v>19914</v>
      </c>
    </row>
    <row r="12370">
      <c r="A12370" s="3" t="s">
        <v>28018</v>
      </c>
      <c r="B12370" s="3" t="s">
        <v>10686</v>
      </c>
      <c r="C12370" s="5" t="s">
        <v>45</v>
      </c>
      <c r="D12370" s="3" t="s">
        <v>221</v>
      </c>
      <c r="E12370" s="3" t="s">
        <v>302</v>
      </c>
      <c r="F12370" s="7">
        <v>45986.572210893304</v>
      </c>
      <c r="G12370" s="3" t="s">
        <v>18347</v>
      </c>
    </row>
    <row r="12371">
      <c r="A12371" s="3" t="s">
        <v>28019</v>
      </c>
      <c r="B12371" s="3" t="s">
        <v>10686</v>
      </c>
      <c r="C12371" s="5" t="s">
        <v>221</v>
      </c>
      <c r="D12371" s="3" t="s">
        <v>614</v>
      </c>
      <c r="E12371" s="3" t="s">
        <v>118</v>
      </c>
      <c r="F12371" s="7">
        <v>45986.57568311552</v>
      </c>
      <c r="G12371" s="3" t="s">
        <v>18350</v>
      </c>
    </row>
    <row r="12372">
      <c r="A12372" s="3" t="s">
        <v>28020</v>
      </c>
      <c r="B12372" s="3" t="s">
        <v>10686</v>
      </c>
      <c r="C12372" s="5" t="s">
        <v>614</v>
      </c>
      <c r="D12372" s="3" t="s">
        <v>206</v>
      </c>
      <c r="E12372" s="3" t="s">
        <v>100</v>
      </c>
      <c r="F12372" s="7">
        <v>45986.57915533775</v>
      </c>
      <c r="G12372" s="3" t="s">
        <v>18353</v>
      </c>
    </row>
    <row r="12373">
      <c r="A12373" s="3" t="s">
        <v>28021</v>
      </c>
      <c r="B12373" s="3" t="s">
        <v>10686</v>
      </c>
      <c r="C12373" s="5" t="s">
        <v>206</v>
      </c>
      <c r="D12373" s="3" t="s">
        <v>68</v>
      </c>
      <c r="E12373" s="3" t="s">
        <v>100</v>
      </c>
      <c r="F12373" s="7">
        <v>45986.58262755997</v>
      </c>
      <c r="G12373" s="3" t="s">
        <v>18355</v>
      </c>
    </row>
    <row r="12374">
      <c r="A12374" s="3" t="s">
        <v>28022</v>
      </c>
      <c r="B12374" s="3" t="s">
        <v>10688</v>
      </c>
      <c r="C12374" s="5" t="s">
        <v>45</v>
      </c>
      <c r="D12374" s="3" t="s">
        <v>221</v>
      </c>
      <c r="E12374" s="3" t="s">
        <v>643</v>
      </c>
      <c r="F12374" s="7">
        <v>45986.64338573872</v>
      </c>
      <c r="G12374" s="3" t="s">
        <v>19687</v>
      </c>
    </row>
    <row r="12375">
      <c r="A12375" s="3" t="s">
        <v>28023</v>
      </c>
      <c r="B12375" s="3" t="s">
        <v>10688</v>
      </c>
      <c r="C12375" s="5" t="s">
        <v>221</v>
      </c>
      <c r="D12375" s="3" t="s">
        <v>195</v>
      </c>
      <c r="E12375" s="3" t="s">
        <v>643</v>
      </c>
      <c r="F12375" s="7">
        <v>45986.646857960935</v>
      </c>
      <c r="G12375" s="3" t="s">
        <v>28024</v>
      </c>
    </row>
    <row r="12376">
      <c r="A12376" s="3" t="s">
        <v>28025</v>
      </c>
      <c r="B12376" s="3" t="s">
        <v>10691</v>
      </c>
      <c r="C12376" s="5" t="s">
        <v>45</v>
      </c>
      <c r="D12376" s="3" t="s">
        <v>221</v>
      </c>
      <c r="E12376" s="3" t="s">
        <v>307</v>
      </c>
      <c r="F12376" s="7">
        <v>45986.71456058413</v>
      </c>
      <c r="G12376" s="3" t="s">
        <v>10352</v>
      </c>
    </row>
    <row r="12377">
      <c r="A12377" s="3" t="s">
        <v>28026</v>
      </c>
      <c r="B12377" s="3" t="s">
        <v>10691</v>
      </c>
      <c r="C12377" s="5" t="s">
        <v>221</v>
      </c>
      <c r="D12377" s="3" t="s">
        <v>614</v>
      </c>
      <c r="E12377" s="3" t="s">
        <v>118</v>
      </c>
      <c r="F12377" s="7">
        <v>45986.71803280635</v>
      </c>
      <c r="G12377" s="3" t="s">
        <v>10355</v>
      </c>
    </row>
    <row r="12378">
      <c r="A12378" s="3" t="s">
        <v>28027</v>
      </c>
      <c r="B12378" s="3" t="s">
        <v>10691</v>
      </c>
      <c r="C12378" s="5" t="s">
        <v>614</v>
      </c>
      <c r="D12378" s="3" t="s">
        <v>206</v>
      </c>
      <c r="E12378" s="3" t="s">
        <v>100</v>
      </c>
      <c r="F12378" s="7">
        <v>45986.721505028574</v>
      </c>
      <c r="G12378" s="3" t="s">
        <v>10358</v>
      </c>
    </row>
    <row r="12379">
      <c r="A12379" s="3" t="s">
        <v>28028</v>
      </c>
      <c r="B12379" s="3" t="s">
        <v>10691</v>
      </c>
      <c r="C12379" s="5" t="s">
        <v>206</v>
      </c>
      <c r="D12379" s="3" t="s">
        <v>68</v>
      </c>
      <c r="E12379" s="3" t="s">
        <v>100</v>
      </c>
      <c r="F12379" s="7">
        <v>45986.72497725079</v>
      </c>
      <c r="G12379" s="3" t="s">
        <v>10361</v>
      </c>
    </row>
    <row r="12380">
      <c r="A12380" s="3" t="s">
        <v>28029</v>
      </c>
      <c r="B12380" s="3" t="s">
        <v>10694</v>
      </c>
      <c r="C12380" s="5" t="s">
        <v>45</v>
      </c>
      <c r="D12380" s="3" t="s">
        <v>221</v>
      </c>
      <c r="E12380" s="3" t="s">
        <v>987</v>
      </c>
      <c r="F12380" s="7">
        <v>45986.78573542955</v>
      </c>
      <c r="G12380" s="3" t="s">
        <v>25231</v>
      </c>
    </row>
    <row r="12381">
      <c r="A12381" s="3" t="s">
        <v>28030</v>
      </c>
      <c r="B12381" s="3" t="s">
        <v>10694</v>
      </c>
      <c r="C12381" s="5" t="s">
        <v>221</v>
      </c>
      <c r="D12381" s="3" t="s">
        <v>614</v>
      </c>
      <c r="E12381" s="3" t="s">
        <v>118</v>
      </c>
      <c r="F12381" s="7">
        <v>45986.78920765177</v>
      </c>
      <c r="G12381" s="3" t="s">
        <v>25233</v>
      </c>
    </row>
    <row r="12382">
      <c r="A12382" s="3" t="s">
        <v>28031</v>
      </c>
      <c r="B12382" s="3" t="s">
        <v>10694</v>
      </c>
      <c r="C12382" s="5" t="s">
        <v>614</v>
      </c>
      <c r="D12382" s="3" t="s">
        <v>206</v>
      </c>
      <c r="E12382" s="3" t="s">
        <v>100</v>
      </c>
      <c r="F12382" s="7">
        <v>45986.79267987399</v>
      </c>
      <c r="G12382" s="3" t="s">
        <v>25235</v>
      </c>
    </row>
    <row r="12383">
      <c r="A12383" s="3" t="s">
        <v>28032</v>
      </c>
      <c r="B12383" s="3" t="s">
        <v>10694</v>
      </c>
      <c r="C12383" s="5" t="s">
        <v>206</v>
      </c>
      <c r="D12383" s="3" t="s">
        <v>68</v>
      </c>
      <c r="E12383" s="3" t="s">
        <v>100</v>
      </c>
      <c r="F12383" s="7">
        <v>45986.79615209621</v>
      </c>
      <c r="G12383" s="3" t="s">
        <v>25237</v>
      </c>
    </row>
    <row r="12384">
      <c r="A12384" s="3" t="s">
        <v>28033</v>
      </c>
      <c r="B12384" s="3" t="s">
        <v>10697</v>
      </c>
      <c r="C12384" s="5" t="s">
        <v>45</v>
      </c>
      <c r="D12384" s="3" t="s">
        <v>221</v>
      </c>
      <c r="E12384" s="3" t="s">
        <v>123</v>
      </c>
      <c r="F12384" s="7">
        <v>45986.85691027496</v>
      </c>
      <c r="G12384" s="3" t="s">
        <v>8229</v>
      </c>
    </row>
    <row r="12385">
      <c r="A12385" s="3" t="s">
        <v>28034</v>
      </c>
      <c r="B12385" s="3" t="s">
        <v>10697</v>
      </c>
      <c r="C12385" s="5" t="s">
        <v>221</v>
      </c>
      <c r="D12385" s="3" t="s">
        <v>614</v>
      </c>
      <c r="E12385" s="3" t="s">
        <v>118</v>
      </c>
      <c r="F12385" s="7">
        <v>45986.86038249718</v>
      </c>
      <c r="G12385" s="3" t="s">
        <v>8231</v>
      </c>
    </row>
    <row r="12386">
      <c r="A12386" s="3" t="s">
        <v>28035</v>
      </c>
      <c r="B12386" s="3" t="s">
        <v>10697</v>
      </c>
      <c r="C12386" s="5" t="s">
        <v>614</v>
      </c>
      <c r="D12386" s="3" t="s">
        <v>206</v>
      </c>
      <c r="E12386" s="3" t="s">
        <v>100</v>
      </c>
      <c r="F12386" s="7">
        <v>45986.863854719406</v>
      </c>
      <c r="G12386" s="3" t="s">
        <v>8234</v>
      </c>
    </row>
    <row r="12387">
      <c r="A12387" s="3" t="s">
        <v>28036</v>
      </c>
      <c r="B12387" s="3" t="s">
        <v>10697</v>
      </c>
      <c r="C12387" s="5" t="s">
        <v>206</v>
      </c>
      <c r="D12387" s="3" t="s">
        <v>68</v>
      </c>
      <c r="E12387" s="3" t="s">
        <v>100</v>
      </c>
      <c r="F12387" s="7">
        <v>45986.867326941625</v>
      </c>
      <c r="G12387" s="3" t="s">
        <v>8237</v>
      </c>
    </row>
    <row r="12388">
      <c r="A12388" s="3" t="s">
        <v>28037</v>
      </c>
      <c r="B12388" s="3" t="s">
        <v>10700</v>
      </c>
      <c r="C12388" s="5" t="s">
        <v>45</v>
      </c>
      <c r="D12388" s="3" t="s">
        <v>221</v>
      </c>
      <c r="E12388" s="3" t="s">
        <v>260</v>
      </c>
      <c r="F12388" s="7">
        <v>45986.92808512037</v>
      </c>
      <c r="G12388" s="3" t="s">
        <v>14975</v>
      </c>
    </row>
    <row r="12389">
      <c r="A12389" s="3" t="s">
        <v>28038</v>
      </c>
      <c r="B12389" s="3" t="s">
        <v>10700</v>
      </c>
      <c r="C12389" s="5" t="s">
        <v>221</v>
      </c>
      <c r="D12389" s="3" t="s">
        <v>614</v>
      </c>
      <c r="E12389" s="3" t="s">
        <v>118</v>
      </c>
      <c r="F12389" s="7">
        <v>45986.93155734259</v>
      </c>
      <c r="G12389" s="3" t="s">
        <v>14978</v>
      </c>
    </row>
    <row r="12390">
      <c r="A12390" s="3" t="s">
        <v>28039</v>
      </c>
      <c r="B12390" s="3" t="s">
        <v>10700</v>
      </c>
      <c r="C12390" s="5" t="s">
        <v>614</v>
      </c>
      <c r="D12390" s="3" t="s">
        <v>206</v>
      </c>
      <c r="E12390" s="3" t="s">
        <v>100</v>
      </c>
      <c r="F12390" s="7">
        <v>45986.93502956482</v>
      </c>
      <c r="G12390" s="3" t="s">
        <v>14981</v>
      </c>
    </row>
    <row r="12391">
      <c r="A12391" s="3" t="s">
        <v>28040</v>
      </c>
      <c r="B12391" s="3" t="s">
        <v>10700</v>
      </c>
      <c r="C12391" s="5" t="s">
        <v>206</v>
      </c>
      <c r="D12391" s="3" t="s">
        <v>68</v>
      </c>
      <c r="E12391" s="3" t="s">
        <v>100</v>
      </c>
      <c r="F12391" s="7">
        <v>45986.93850178704</v>
      </c>
      <c r="G12391" s="3" t="s">
        <v>14983</v>
      </c>
    </row>
    <row r="12392">
      <c r="A12392" s="3" t="s">
        <v>28041</v>
      </c>
      <c r="B12392" s="3" t="s">
        <v>10705</v>
      </c>
      <c r="C12392" s="5" t="s">
        <v>45</v>
      </c>
      <c r="D12392" s="3" t="s">
        <v>221</v>
      </c>
      <c r="E12392" s="3" t="s">
        <v>419</v>
      </c>
      <c r="F12392" s="7">
        <v>45986.99925996579</v>
      </c>
      <c r="G12392" s="3" t="s">
        <v>11821</v>
      </c>
    </row>
    <row r="12393">
      <c r="A12393" s="3" t="s">
        <v>28042</v>
      </c>
      <c r="B12393" s="3" t="s">
        <v>10705</v>
      </c>
      <c r="C12393" s="5" t="s">
        <v>221</v>
      </c>
      <c r="D12393" s="3" t="s">
        <v>614</v>
      </c>
      <c r="E12393" s="3" t="s">
        <v>118</v>
      </c>
      <c r="F12393" s="7">
        <v>45987.00273218801</v>
      </c>
      <c r="G12393" s="3" t="s">
        <v>11825</v>
      </c>
    </row>
    <row r="12394">
      <c r="A12394" s="3" t="s">
        <v>28043</v>
      </c>
      <c r="B12394" s="3" t="s">
        <v>10705</v>
      </c>
      <c r="C12394" s="5" t="s">
        <v>614</v>
      </c>
      <c r="D12394" s="3" t="s">
        <v>206</v>
      </c>
      <c r="E12394" s="3" t="s">
        <v>100</v>
      </c>
      <c r="F12394" s="7">
        <v>45987.00620441024</v>
      </c>
      <c r="G12394" s="3" t="s">
        <v>11828</v>
      </c>
    </row>
    <row r="12395">
      <c r="A12395" s="3" t="s">
        <v>28044</v>
      </c>
      <c r="B12395" s="3" t="s">
        <v>10705</v>
      </c>
      <c r="C12395" s="5" t="s">
        <v>206</v>
      </c>
      <c r="D12395" s="3" t="s">
        <v>68</v>
      </c>
      <c r="E12395" s="3" t="s">
        <v>100</v>
      </c>
      <c r="F12395" s="7">
        <v>45987.00967663246</v>
      </c>
      <c r="G12395" s="3" t="s">
        <v>11831</v>
      </c>
    </row>
    <row r="12396">
      <c r="A12396" s="3" t="s">
        <v>28045</v>
      </c>
      <c r="B12396" s="3" t="s">
        <v>10708</v>
      </c>
      <c r="C12396" s="5" t="s">
        <v>45</v>
      </c>
      <c r="D12396" s="3" t="s">
        <v>221</v>
      </c>
      <c r="E12396" s="3" t="s">
        <v>672</v>
      </c>
      <c r="F12396" s="7">
        <v>45987.07043481121</v>
      </c>
      <c r="G12396" s="3" t="s">
        <v>14875</v>
      </c>
    </row>
    <row r="12397">
      <c r="A12397" s="3" t="s">
        <v>28046</v>
      </c>
      <c r="B12397" s="3" t="s">
        <v>10708</v>
      </c>
      <c r="C12397" s="5" t="s">
        <v>221</v>
      </c>
      <c r="D12397" s="3" t="s">
        <v>614</v>
      </c>
      <c r="E12397" s="3" t="s">
        <v>118</v>
      </c>
      <c r="F12397" s="7">
        <v>45987.07390703343</v>
      </c>
      <c r="G12397" s="3" t="s">
        <v>14878</v>
      </c>
    </row>
    <row r="12398">
      <c r="A12398" s="3" t="s">
        <v>28047</v>
      </c>
      <c r="B12398" s="3" t="s">
        <v>10708</v>
      </c>
      <c r="C12398" s="5" t="s">
        <v>614</v>
      </c>
      <c r="D12398" s="3" t="s">
        <v>206</v>
      </c>
      <c r="E12398" s="3" t="s">
        <v>100</v>
      </c>
      <c r="F12398" s="7">
        <v>45987.07737925566</v>
      </c>
      <c r="G12398" s="3" t="s">
        <v>14881</v>
      </c>
    </row>
    <row r="12399">
      <c r="A12399" s="3" t="s">
        <v>28048</v>
      </c>
      <c r="B12399" s="3" t="s">
        <v>10708</v>
      </c>
      <c r="C12399" s="5" t="s">
        <v>206</v>
      </c>
      <c r="D12399" s="3" t="s">
        <v>68</v>
      </c>
      <c r="E12399" s="3" t="s">
        <v>100</v>
      </c>
      <c r="F12399" s="7">
        <v>45987.08085147788</v>
      </c>
      <c r="G12399" s="3" t="s">
        <v>14884</v>
      </c>
    </row>
    <row r="12400">
      <c r="A12400" s="3" t="s">
        <v>28049</v>
      </c>
      <c r="B12400" s="3" t="s">
        <v>10711</v>
      </c>
      <c r="C12400" s="5" t="s">
        <v>45</v>
      </c>
      <c r="D12400" s="3" t="s">
        <v>221</v>
      </c>
      <c r="E12400" s="3" t="s">
        <v>990</v>
      </c>
      <c r="F12400" s="7">
        <v>45987.14160965662</v>
      </c>
      <c r="G12400" s="3" t="s">
        <v>15029</v>
      </c>
    </row>
    <row r="12401">
      <c r="A12401" s="3" t="s">
        <v>28050</v>
      </c>
      <c r="B12401" s="3" t="s">
        <v>10711</v>
      </c>
      <c r="C12401" s="5" t="s">
        <v>221</v>
      </c>
      <c r="D12401" s="3" t="s">
        <v>614</v>
      </c>
      <c r="E12401" s="3" t="s">
        <v>118</v>
      </c>
      <c r="F12401" s="7">
        <v>45987.145081878836</v>
      </c>
      <c r="G12401" s="3" t="s">
        <v>15031</v>
      </c>
    </row>
    <row r="12402">
      <c r="A12402" s="3" t="s">
        <v>28051</v>
      </c>
      <c r="B12402" s="3" t="s">
        <v>10711</v>
      </c>
      <c r="C12402" s="5" t="s">
        <v>614</v>
      </c>
      <c r="D12402" s="3" t="s">
        <v>206</v>
      </c>
      <c r="E12402" s="3" t="s">
        <v>100</v>
      </c>
      <c r="F12402" s="7">
        <v>45987.14855410106</v>
      </c>
      <c r="G12402" s="3" t="s">
        <v>15034</v>
      </c>
    </row>
    <row r="12403">
      <c r="A12403" s="3" t="s">
        <v>28052</v>
      </c>
      <c r="B12403" s="3" t="s">
        <v>10711</v>
      </c>
      <c r="C12403" s="5" t="s">
        <v>206</v>
      </c>
      <c r="D12403" s="3" t="s">
        <v>68</v>
      </c>
      <c r="E12403" s="3" t="s">
        <v>100</v>
      </c>
      <c r="F12403" s="7">
        <v>45987.15202632328</v>
      </c>
      <c r="G12403" s="3" t="s">
        <v>15037</v>
      </c>
    </row>
    <row r="12404">
      <c r="A12404" s="3" t="s">
        <v>28053</v>
      </c>
      <c r="B12404" s="3" t="s">
        <v>10715</v>
      </c>
      <c r="C12404" s="5" t="s">
        <v>45</v>
      </c>
      <c r="D12404" s="3" t="s">
        <v>221</v>
      </c>
      <c r="E12404" s="3" t="s">
        <v>785</v>
      </c>
      <c r="F12404" s="7">
        <v>45987.21278450204</v>
      </c>
      <c r="G12404" s="3" t="s">
        <v>13803</v>
      </c>
    </row>
    <row r="12405">
      <c r="A12405" s="3" t="s">
        <v>28054</v>
      </c>
      <c r="B12405" s="3" t="s">
        <v>10715</v>
      </c>
      <c r="C12405" s="5" t="s">
        <v>221</v>
      </c>
      <c r="D12405" s="3" t="s">
        <v>614</v>
      </c>
      <c r="E12405" s="3" t="s">
        <v>118</v>
      </c>
      <c r="F12405" s="7">
        <v>45987.216256724256</v>
      </c>
      <c r="G12405" s="3" t="s">
        <v>13805</v>
      </c>
    </row>
    <row r="12406">
      <c r="A12406" s="3" t="s">
        <v>28055</v>
      </c>
      <c r="B12406" s="3" t="s">
        <v>10715</v>
      </c>
      <c r="C12406" s="5" t="s">
        <v>614</v>
      </c>
      <c r="D12406" s="3" t="s">
        <v>206</v>
      </c>
      <c r="E12406" s="3" t="s">
        <v>100</v>
      </c>
      <c r="F12406" s="7">
        <v>45987.21972894648</v>
      </c>
      <c r="G12406" s="3" t="s">
        <v>13808</v>
      </c>
    </row>
    <row r="12407">
      <c r="A12407" s="3" t="s">
        <v>28056</v>
      </c>
      <c r="B12407" s="3" t="s">
        <v>10715</v>
      </c>
      <c r="C12407" s="5" t="s">
        <v>206</v>
      </c>
      <c r="D12407" s="3" t="s">
        <v>68</v>
      </c>
      <c r="E12407" s="3" t="s">
        <v>100</v>
      </c>
      <c r="F12407" s="7">
        <v>45987.2232011687</v>
      </c>
      <c r="G12407" s="3" t="s">
        <v>13811</v>
      </c>
    </row>
    <row r="12408">
      <c r="A12408" s="3" t="s">
        <v>28057</v>
      </c>
      <c r="B12408" s="3" t="s">
        <v>10719</v>
      </c>
      <c r="C12408" s="5" t="s">
        <v>45</v>
      </c>
      <c r="D12408" s="3" t="s">
        <v>221</v>
      </c>
      <c r="E12408" s="3" t="s">
        <v>377</v>
      </c>
      <c r="F12408" s="7">
        <v>45987.28395934746</v>
      </c>
      <c r="G12408" s="3" t="s">
        <v>2770</v>
      </c>
    </row>
    <row r="12409">
      <c r="A12409" s="3" t="s">
        <v>28058</v>
      </c>
      <c r="B12409" s="3" t="s">
        <v>10719</v>
      </c>
      <c r="C12409" s="5" t="s">
        <v>221</v>
      </c>
      <c r="D12409" s="3" t="s">
        <v>181</v>
      </c>
      <c r="E12409" s="3" t="s">
        <v>118</v>
      </c>
      <c r="F12409" s="7">
        <v>45987.287431569675</v>
      </c>
      <c r="G12409" s="3" t="s">
        <v>2774</v>
      </c>
    </row>
    <row r="12410">
      <c r="A12410" s="3" t="s">
        <v>28059</v>
      </c>
      <c r="B12410" s="3" t="s">
        <v>10720</v>
      </c>
      <c r="C12410" s="5" t="s">
        <v>45</v>
      </c>
      <c r="D12410" s="3" t="s">
        <v>221</v>
      </c>
      <c r="E12410" s="3" t="s">
        <v>574</v>
      </c>
      <c r="F12410" s="7">
        <v>45987.35513419287</v>
      </c>
      <c r="G12410" s="3" t="s">
        <v>15196</v>
      </c>
    </row>
    <row r="12411">
      <c r="A12411" s="3" t="s">
        <v>28060</v>
      </c>
      <c r="B12411" s="3" t="s">
        <v>10720</v>
      </c>
      <c r="C12411" s="5" t="s">
        <v>221</v>
      </c>
      <c r="D12411" s="3" t="s">
        <v>195</v>
      </c>
      <c r="E12411" s="3" t="s">
        <v>574</v>
      </c>
      <c r="F12411" s="7">
        <v>45987.35860641509</v>
      </c>
      <c r="G12411" s="3" t="s">
        <v>28061</v>
      </c>
    </row>
    <row r="12412">
      <c r="A12412" s="3" t="s">
        <v>28062</v>
      </c>
      <c r="B12412" s="3" t="s">
        <v>10723</v>
      </c>
      <c r="C12412" s="5" t="s">
        <v>45</v>
      </c>
      <c r="D12412" s="3" t="s">
        <v>221</v>
      </c>
      <c r="E12412" s="3" t="s">
        <v>976</v>
      </c>
      <c r="F12412" s="7">
        <v>45987.42630903828</v>
      </c>
      <c r="G12412" s="3" t="s">
        <v>2770</v>
      </c>
    </row>
    <row r="12413">
      <c r="A12413" s="3" t="s">
        <v>28063</v>
      </c>
      <c r="B12413" s="3" t="s">
        <v>10723</v>
      </c>
      <c r="C12413" s="5" t="s">
        <v>221</v>
      </c>
      <c r="D12413" s="3" t="s">
        <v>195</v>
      </c>
      <c r="E12413" s="3" t="s">
        <v>976</v>
      </c>
      <c r="F12413" s="7">
        <v>45987.4297812605</v>
      </c>
      <c r="G12413" s="3" t="s">
        <v>3055</v>
      </c>
    </row>
    <row r="12414">
      <c r="A12414" s="3" t="s">
        <v>28064</v>
      </c>
      <c r="B12414" s="3" t="s">
        <v>10724</v>
      </c>
      <c r="C12414" s="5" t="s">
        <v>45</v>
      </c>
      <c r="D12414" s="3" t="s">
        <v>221</v>
      </c>
      <c r="E12414" s="3" t="s">
        <v>442</v>
      </c>
      <c r="F12414" s="7">
        <v>45987.4974838837</v>
      </c>
      <c r="G12414" s="3" t="s">
        <v>15077</v>
      </c>
    </row>
    <row r="12415">
      <c r="A12415" s="3" t="s">
        <v>28065</v>
      </c>
      <c r="B12415" s="3" t="s">
        <v>10724</v>
      </c>
      <c r="C12415" s="5" t="s">
        <v>221</v>
      </c>
      <c r="D12415" s="3" t="s">
        <v>614</v>
      </c>
      <c r="E12415" s="3" t="s">
        <v>118</v>
      </c>
      <c r="F12415" s="7">
        <v>45987.50095610592</v>
      </c>
      <c r="G12415" s="3" t="s">
        <v>15079</v>
      </c>
    </row>
    <row r="12416">
      <c r="A12416" s="3" t="s">
        <v>28066</v>
      </c>
      <c r="B12416" s="3" t="s">
        <v>10724</v>
      </c>
      <c r="C12416" s="5" t="s">
        <v>614</v>
      </c>
      <c r="D12416" s="3" t="s">
        <v>206</v>
      </c>
      <c r="E12416" s="3" t="s">
        <v>100</v>
      </c>
      <c r="F12416" s="7">
        <v>45987.504428328146</v>
      </c>
      <c r="G12416" s="3" t="s">
        <v>15082</v>
      </c>
    </row>
    <row r="12417">
      <c r="A12417" s="3" t="s">
        <v>28067</v>
      </c>
      <c r="B12417" s="3" t="s">
        <v>10724</v>
      </c>
      <c r="C12417" s="5" t="s">
        <v>206</v>
      </c>
      <c r="D12417" s="3" t="s">
        <v>68</v>
      </c>
      <c r="E12417" s="3" t="s">
        <v>100</v>
      </c>
      <c r="F12417" s="7">
        <v>45987.507900550365</v>
      </c>
      <c r="G12417" s="3" t="s">
        <v>15085</v>
      </c>
    </row>
    <row r="12418">
      <c r="A12418" s="3" t="s">
        <v>28068</v>
      </c>
      <c r="B12418" s="3" t="s">
        <v>10727</v>
      </c>
      <c r="C12418" s="5" t="s">
        <v>45</v>
      </c>
      <c r="D12418" s="3" t="s">
        <v>221</v>
      </c>
      <c r="E12418" s="3" t="s">
        <v>266</v>
      </c>
      <c r="F12418" s="7">
        <v>45987.56865872911</v>
      </c>
      <c r="G12418" s="3" t="s">
        <v>18336</v>
      </c>
    </row>
    <row r="12419">
      <c r="A12419" s="3" t="s">
        <v>28069</v>
      </c>
      <c r="B12419" s="3" t="s">
        <v>10727</v>
      </c>
      <c r="C12419" s="5" t="s">
        <v>221</v>
      </c>
      <c r="D12419" s="3" t="s">
        <v>614</v>
      </c>
      <c r="E12419" s="3" t="s">
        <v>118</v>
      </c>
      <c r="F12419" s="7">
        <v>45987.57213095133</v>
      </c>
      <c r="G12419" s="3" t="s">
        <v>18339</v>
      </c>
    </row>
    <row r="12420">
      <c r="A12420" s="3" t="s">
        <v>28070</v>
      </c>
      <c r="B12420" s="3" t="s">
        <v>10727</v>
      </c>
      <c r="C12420" s="5" t="s">
        <v>614</v>
      </c>
      <c r="D12420" s="3" t="s">
        <v>206</v>
      </c>
      <c r="E12420" s="3" t="s">
        <v>100</v>
      </c>
      <c r="F12420" s="7">
        <v>45987.57560317356</v>
      </c>
      <c r="G12420" s="3" t="s">
        <v>18341</v>
      </c>
    </row>
    <row r="12421">
      <c r="A12421" s="3" t="s">
        <v>28071</v>
      </c>
      <c r="B12421" s="3" t="s">
        <v>10727</v>
      </c>
      <c r="C12421" s="5" t="s">
        <v>206</v>
      </c>
      <c r="D12421" s="3" t="s">
        <v>68</v>
      </c>
      <c r="E12421" s="3" t="s">
        <v>100</v>
      </c>
      <c r="F12421" s="7">
        <v>45987.57907539578</v>
      </c>
      <c r="G12421" s="3" t="s">
        <v>18344</v>
      </c>
    </row>
    <row r="12422">
      <c r="A12422" s="3" t="s">
        <v>28072</v>
      </c>
      <c r="B12422" s="3" t="s">
        <v>10729</v>
      </c>
      <c r="C12422" s="5" t="s">
        <v>45</v>
      </c>
      <c r="D12422" s="3" t="s">
        <v>221</v>
      </c>
      <c r="E12422" s="3" t="s">
        <v>1030</v>
      </c>
      <c r="F12422" s="7">
        <v>45987.639833574525</v>
      </c>
      <c r="G12422" s="3" t="s">
        <v>12929</v>
      </c>
    </row>
    <row r="12423">
      <c r="A12423" s="3" t="s">
        <v>28073</v>
      </c>
      <c r="B12423" s="3" t="s">
        <v>10729</v>
      </c>
      <c r="C12423" s="5" t="s">
        <v>221</v>
      </c>
      <c r="D12423" s="3" t="s">
        <v>181</v>
      </c>
      <c r="E12423" s="3" t="s">
        <v>118</v>
      </c>
      <c r="F12423" s="7">
        <v>45987.643305796744</v>
      </c>
      <c r="G12423" s="3" t="s">
        <v>28074</v>
      </c>
    </row>
    <row r="12424">
      <c r="A12424" s="3" t="s">
        <v>28075</v>
      </c>
      <c r="B12424" s="3" t="s">
        <v>10731</v>
      </c>
      <c r="C12424" s="5" t="s">
        <v>45</v>
      </c>
      <c r="D12424" s="3" t="s">
        <v>221</v>
      </c>
      <c r="E12424" s="3" t="s">
        <v>694</v>
      </c>
      <c r="F12424" s="7">
        <v>45987.711008419945</v>
      </c>
      <c r="G12424" s="3" t="s">
        <v>16178</v>
      </c>
    </row>
    <row r="12425">
      <c r="A12425" s="3" t="s">
        <v>28076</v>
      </c>
      <c r="B12425" s="3" t="s">
        <v>10731</v>
      </c>
      <c r="C12425" s="5" t="s">
        <v>221</v>
      </c>
      <c r="D12425" s="3" t="s">
        <v>614</v>
      </c>
      <c r="E12425" s="3" t="s">
        <v>118</v>
      </c>
      <c r="F12425" s="7">
        <v>45987.714480642164</v>
      </c>
      <c r="G12425" s="3" t="s">
        <v>16181</v>
      </c>
    </row>
    <row r="12426">
      <c r="A12426" s="3" t="s">
        <v>28077</v>
      </c>
      <c r="B12426" s="3" t="s">
        <v>10731</v>
      </c>
      <c r="C12426" s="5" t="s">
        <v>614</v>
      </c>
      <c r="D12426" s="3" t="s">
        <v>206</v>
      </c>
      <c r="E12426" s="3" t="s">
        <v>100</v>
      </c>
      <c r="F12426" s="7">
        <v>45987.71795286439</v>
      </c>
      <c r="G12426" s="3" t="s">
        <v>16184</v>
      </c>
    </row>
    <row r="12427">
      <c r="A12427" s="3" t="s">
        <v>28078</v>
      </c>
      <c r="B12427" s="3" t="s">
        <v>10731</v>
      </c>
      <c r="C12427" s="5" t="s">
        <v>206</v>
      </c>
      <c r="D12427" s="3" t="s">
        <v>68</v>
      </c>
      <c r="E12427" s="3" t="s">
        <v>100</v>
      </c>
      <c r="F12427" s="7">
        <v>45987.72142508661</v>
      </c>
      <c r="G12427" s="3" t="s">
        <v>16186</v>
      </c>
    </row>
    <row r="12428">
      <c r="A12428" s="3" t="s">
        <v>28079</v>
      </c>
      <c r="B12428" s="3" t="s">
        <v>10734</v>
      </c>
      <c r="C12428" s="5" t="s">
        <v>45</v>
      </c>
      <c r="D12428" s="3" t="s">
        <v>221</v>
      </c>
      <c r="E12428" s="3" t="s">
        <v>746</v>
      </c>
      <c r="F12428" s="7">
        <v>45987.78218326536</v>
      </c>
      <c r="G12428" s="3" t="s">
        <v>17514</v>
      </c>
    </row>
    <row r="12429">
      <c r="A12429" s="3" t="s">
        <v>28080</v>
      </c>
      <c r="B12429" s="3" t="s">
        <v>10734</v>
      </c>
      <c r="C12429" s="5" t="s">
        <v>221</v>
      </c>
      <c r="D12429" s="3" t="s">
        <v>614</v>
      </c>
      <c r="E12429" s="3" t="s">
        <v>118</v>
      </c>
      <c r="F12429" s="7">
        <v>45987.785655487576</v>
      </c>
      <c r="G12429" s="3" t="s">
        <v>17517</v>
      </c>
    </row>
    <row r="12430">
      <c r="A12430" s="3" t="s">
        <v>28081</v>
      </c>
      <c r="B12430" s="3" t="s">
        <v>10734</v>
      </c>
      <c r="C12430" s="5" t="s">
        <v>614</v>
      </c>
      <c r="D12430" s="3" t="s">
        <v>206</v>
      </c>
      <c r="E12430" s="3" t="s">
        <v>100</v>
      </c>
      <c r="F12430" s="7">
        <v>45987.7891277098</v>
      </c>
      <c r="G12430" s="3" t="s">
        <v>17520</v>
      </c>
    </row>
    <row r="12431">
      <c r="A12431" s="3" t="s">
        <v>28082</v>
      </c>
      <c r="B12431" s="3" t="s">
        <v>10734</v>
      </c>
      <c r="C12431" s="5" t="s">
        <v>206</v>
      </c>
      <c r="D12431" s="3" t="s">
        <v>68</v>
      </c>
      <c r="E12431" s="3" t="s">
        <v>100</v>
      </c>
      <c r="F12431" s="7">
        <v>45987.79259993202</v>
      </c>
      <c r="G12431" s="3" t="s">
        <v>17523</v>
      </c>
    </row>
    <row r="12432">
      <c r="A12432" s="3" t="s">
        <v>28083</v>
      </c>
      <c r="B12432" s="3" t="s">
        <v>10737</v>
      </c>
      <c r="C12432" s="5" t="s">
        <v>45</v>
      </c>
      <c r="D12432" s="3" t="s">
        <v>221</v>
      </c>
      <c r="E12432" s="3" t="s">
        <v>475</v>
      </c>
      <c r="F12432" s="7">
        <v>45987.85335811077</v>
      </c>
      <c r="G12432" s="3" t="s">
        <v>15618</v>
      </c>
    </row>
    <row r="12433">
      <c r="A12433" s="3" t="s">
        <v>28084</v>
      </c>
      <c r="B12433" s="3" t="s">
        <v>10737</v>
      </c>
      <c r="C12433" s="5" t="s">
        <v>221</v>
      </c>
      <c r="D12433" s="3" t="s">
        <v>614</v>
      </c>
      <c r="E12433" s="3" t="s">
        <v>118</v>
      </c>
      <c r="F12433" s="7">
        <v>45987.85683033299</v>
      </c>
      <c r="G12433" s="3" t="s">
        <v>15620</v>
      </c>
    </row>
    <row r="12434">
      <c r="A12434" s="3" t="s">
        <v>28085</v>
      </c>
      <c r="B12434" s="3" t="s">
        <v>10737</v>
      </c>
      <c r="C12434" s="5" t="s">
        <v>614</v>
      </c>
      <c r="D12434" s="3" t="s">
        <v>206</v>
      </c>
      <c r="E12434" s="3" t="s">
        <v>100</v>
      </c>
      <c r="F12434" s="7">
        <v>45987.860302555215</v>
      </c>
      <c r="G12434" s="3" t="s">
        <v>15623</v>
      </c>
    </row>
    <row r="12435">
      <c r="A12435" s="3" t="s">
        <v>28086</v>
      </c>
      <c r="B12435" s="3" t="s">
        <v>10737</v>
      </c>
      <c r="C12435" s="5" t="s">
        <v>206</v>
      </c>
      <c r="D12435" s="3" t="s">
        <v>68</v>
      </c>
      <c r="E12435" s="3" t="s">
        <v>100</v>
      </c>
      <c r="F12435" s="7">
        <v>45987.863774777434</v>
      </c>
      <c r="G12435" s="3" t="s">
        <v>15626</v>
      </c>
    </row>
    <row r="12436">
      <c r="A12436" s="3" t="s">
        <v>28087</v>
      </c>
      <c r="B12436" s="3" t="s">
        <v>10741</v>
      </c>
      <c r="C12436" s="5" t="s">
        <v>45</v>
      </c>
      <c r="D12436" s="3" t="s">
        <v>221</v>
      </c>
      <c r="E12436" s="3" t="s">
        <v>778</v>
      </c>
      <c r="F12436" s="7">
        <v>45987.92453295619</v>
      </c>
      <c r="G12436" s="3" t="s">
        <v>14870</v>
      </c>
    </row>
    <row r="12437">
      <c r="A12437" s="3" t="s">
        <v>28088</v>
      </c>
      <c r="B12437" s="3" t="s">
        <v>10741</v>
      </c>
      <c r="C12437" s="5" t="s">
        <v>221</v>
      </c>
      <c r="D12437" s="3" t="s">
        <v>181</v>
      </c>
      <c r="E12437" s="3" t="s">
        <v>118</v>
      </c>
      <c r="F12437" s="7">
        <v>45987.92800517841</v>
      </c>
      <c r="G12437" s="3" t="s">
        <v>14872</v>
      </c>
    </row>
    <row r="12438">
      <c r="A12438" s="3" t="s">
        <v>28089</v>
      </c>
      <c r="B12438" s="3" t="s">
        <v>10745</v>
      </c>
      <c r="C12438" s="5" t="s">
        <v>45</v>
      </c>
      <c r="D12438" s="3" t="s">
        <v>221</v>
      </c>
      <c r="E12438" s="3" t="s">
        <v>391</v>
      </c>
      <c r="F12438" s="7">
        <v>45987.9957078016</v>
      </c>
      <c r="G12438" s="3" t="s">
        <v>15093</v>
      </c>
    </row>
    <row r="12439">
      <c r="A12439" s="3" t="s">
        <v>28090</v>
      </c>
      <c r="B12439" s="3" t="s">
        <v>10745</v>
      </c>
      <c r="C12439" s="5" t="s">
        <v>221</v>
      </c>
      <c r="D12439" s="3" t="s">
        <v>614</v>
      </c>
      <c r="E12439" s="3" t="s">
        <v>118</v>
      </c>
      <c r="F12439" s="7">
        <v>45987.99918002382</v>
      </c>
      <c r="G12439" s="3" t="s">
        <v>15095</v>
      </c>
    </row>
    <row r="12440">
      <c r="A12440" s="3" t="s">
        <v>28091</v>
      </c>
      <c r="B12440" s="3" t="s">
        <v>10745</v>
      </c>
      <c r="C12440" s="5" t="s">
        <v>614</v>
      </c>
      <c r="D12440" s="3" t="s">
        <v>206</v>
      </c>
      <c r="E12440" s="3" t="s">
        <v>100</v>
      </c>
      <c r="F12440" s="7">
        <v>45988.00265224605</v>
      </c>
      <c r="G12440" s="3" t="s">
        <v>15098</v>
      </c>
    </row>
    <row r="12441">
      <c r="A12441" s="3" t="s">
        <v>28092</v>
      </c>
      <c r="B12441" s="3" t="s">
        <v>10745</v>
      </c>
      <c r="C12441" s="5" t="s">
        <v>206</v>
      </c>
      <c r="D12441" s="3" t="s">
        <v>68</v>
      </c>
      <c r="E12441" s="3" t="s">
        <v>100</v>
      </c>
      <c r="F12441" s="7">
        <v>45988.006124468266</v>
      </c>
      <c r="G12441" s="3" t="s">
        <v>15101</v>
      </c>
    </row>
    <row r="12442">
      <c r="A12442" s="3" t="s">
        <v>28093</v>
      </c>
      <c r="B12442" s="3" t="s">
        <v>10748</v>
      </c>
      <c r="C12442" s="5" t="s">
        <v>45</v>
      </c>
      <c r="D12442" s="3" t="s">
        <v>221</v>
      </c>
      <c r="E12442" s="3" t="s">
        <v>800</v>
      </c>
      <c r="F12442" s="7">
        <v>45988.066882647014</v>
      </c>
      <c r="G12442" s="3" t="s">
        <v>15107</v>
      </c>
    </row>
    <row r="12443">
      <c r="A12443" s="3" t="s">
        <v>28094</v>
      </c>
      <c r="B12443" s="3" t="s">
        <v>10748</v>
      </c>
      <c r="C12443" s="5" t="s">
        <v>221</v>
      </c>
      <c r="D12443" s="3" t="s">
        <v>614</v>
      </c>
      <c r="E12443" s="3" t="s">
        <v>118</v>
      </c>
      <c r="F12443" s="7">
        <v>45988.07035486923</v>
      </c>
      <c r="G12443" s="3" t="s">
        <v>15110</v>
      </c>
    </row>
    <row r="12444">
      <c r="A12444" s="3" t="s">
        <v>28095</v>
      </c>
      <c r="B12444" s="3" t="s">
        <v>10748</v>
      </c>
      <c r="C12444" s="5" t="s">
        <v>614</v>
      </c>
      <c r="D12444" s="3" t="s">
        <v>206</v>
      </c>
      <c r="E12444" s="3" t="s">
        <v>100</v>
      </c>
      <c r="F12444" s="7">
        <v>45988.07382709146</v>
      </c>
      <c r="G12444" s="3" t="s">
        <v>15113</v>
      </c>
    </row>
    <row r="12445">
      <c r="A12445" s="3" t="s">
        <v>28096</v>
      </c>
      <c r="B12445" s="3" t="s">
        <v>10748</v>
      </c>
      <c r="C12445" s="5" t="s">
        <v>206</v>
      </c>
      <c r="D12445" s="3" t="s">
        <v>68</v>
      </c>
      <c r="E12445" s="3" t="s">
        <v>100</v>
      </c>
      <c r="F12445" s="7">
        <v>45988.07729931368</v>
      </c>
      <c r="G12445" s="3" t="s">
        <v>15116</v>
      </c>
    </row>
    <row r="12446">
      <c r="A12446" s="3" t="s">
        <v>28097</v>
      </c>
      <c r="B12446" s="3" t="s">
        <v>10754</v>
      </c>
      <c r="C12446" s="5" t="s">
        <v>45</v>
      </c>
      <c r="D12446" s="3" t="s">
        <v>221</v>
      </c>
      <c r="E12446" s="3" t="s">
        <v>819</v>
      </c>
      <c r="F12446" s="7">
        <v>45988.13805749243</v>
      </c>
      <c r="G12446" s="3" t="s">
        <v>15221</v>
      </c>
    </row>
    <row r="12447">
      <c r="A12447" s="3" t="s">
        <v>28098</v>
      </c>
      <c r="B12447" s="3" t="s">
        <v>10754</v>
      </c>
      <c r="C12447" s="5" t="s">
        <v>221</v>
      </c>
      <c r="D12447" s="3" t="s">
        <v>614</v>
      </c>
      <c r="E12447" s="3" t="s">
        <v>118</v>
      </c>
      <c r="F12447" s="7">
        <v>45988.14152971465</v>
      </c>
      <c r="G12447" s="3" t="s">
        <v>15224</v>
      </c>
    </row>
    <row r="12448">
      <c r="A12448" s="3" t="s">
        <v>28099</v>
      </c>
      <c r="B12448" s="3" t="s">
        <v>10754</v>
      </c>
      <c r="C12448" s="5" t="s">
        <v>614</v>
      </c>
      <c r="D12448" s="3" t="s">
        <v>206</v>
      </c>
      <c r="E12448" s="3" t="s">
        <v>100</v>
      </c>
      <c r="F12448" s="7">
        <v>45988.14500193688</v>
      </c>
      <c r="G12448" s="3" t="s">
        <v>15228</v>
      </c>
    </row>
    <row r="12449">
      <c r="A12449" s="3" t="s">
        <v>28100</v>
      </c>
      <c r="B12449" s="3" t="s">
        <v>10754</v>
      </c>
      <c r="C12449" s="5" t="s">
        <v>206</v>
      </c>
      <c r="D12449" s="3" t="s">
        <v>68</v>
      </c>
      <c r="E12449" s="3" t="s">
        <v>100</v>
      </c>
      <c r="F12449" s="7">
        <v>45988.1484741591</v>
      </c>
      <c r="G12449" s="3" t="s">
        <v>15231</v>
      </c>
    </row>
    <row r="12450">
      <c r="A12450" s="3" t="s">
        <v>28101</v>
      </c>
      <c r="B12450" s="3" t="s">
        <v>10757</v>
      </c>
      <c r="C12450" s="5" t="s">
        <v>45</v>
      </c>
      <c r="D12450" s="3" t="s">
        <v>221</v>
      </c>
      <c r="E12450" s="3" t="s">
        <v>587</v>
      </c>
      <c r="F12450" s="7">
        <v>45988.20923233785</v>
      </c>
      <c r="G12450" s="3" t="s">
        <v>4376</v>
      </c>
    </row>
    <row r="12451">
      <c r="A12451" s="3" t="s">
        <v>28102</v>
      </c>
      <c r="B12451" s="3" t="s">
        <v>10757</v>
      </c>
      <c r="C12451" s="5" t="s">
        <v>221</v>
      </c>
      <c r="D12451" s="3" t="s">
        <v>181</v>
      </c>
      <c r="E12451" s="3" t="s">
        <v>118</v>
      </c>
      <c r="F12451" s="7">
        <v>45988.21270456007</v>
      </c>
      <c r="G12451" s="3" t="s">
        <v>28103</v>
      </c>
    </row>
    <row r="12452">
      <c r="A12452" s="3" t="s">
        <v>28104</v>
      </c>
      <c r="B12452" s="3" t="s">
        <v>10760</v>
      </c>
      <c r="C12452" s="5" t="s">
        <v>45</v>
      </c>
      <c r="D12452" s="3" t="s">
        <v>221</v>
      </c>
      <c r="E12452" s="3" t="s">
        <v>747</v>
      </c>
      <c r="F12452" s="7">
        <v>45988.28040718326</v>
      </c>
      <c r="G12452" s="3" t="s">
        <v>12768</v>
      </c>
    </row>
    <row r="12453">
      <c r="A12453" s="3" t="s">
        <v>28105</v>
      </c>
      <c r="B12453" s="3" t="s">
        <v>10760</v>
      </c>
      <c r="C12453" s="5" t="s">
        <v>221</v>
      </c>
      <c r="D12453" s="3" t="s">
        <v>614</v>
      </c>
      <c r="E12453" s="3" t="s">
        <v>118</v>
      </c>
      <c r="F12453" s="7">
        <v>45988.28387940548</v>
      </c>
      <c r="G12453" s="3" t="s">
        <v>12771</v>
      </c>
    </row>
    <row r="12454">
      <c r="A12454" s="3" t="s">
        <v>28106</v>
      </c>
      <c r="B12454" s="3" t="s">
        <v>10760</v>
      </c>
      <c r="C12454" s="5" t="s">
        <v>614</v>
      </c>
      <c r="D12454" s="3" t="s">
        <v>206</v>
      </c>
      <c r="E12454" s="3" t="s">
        <v>100</v>
      </c>
      <c r="F12454" s="7">
        <v>45988.2873516277</v>
      </c>
      <c r="G12454" s="3" t="s">
        <v>12774</v>
      </c>
    </row>
    <row r="12455">
      <c r="A12455" s="3" t="s">
        <v>28107</v>
      </c>
      <c r="B12455" s="3" t="s">
        <v>10760</v>
      </c>
      <c r="C12455" s="5" t="s">
        <v>206</v>
      </c>
      <c r="D12455" s="3" t="s">
        <v>68</v>
      </c>
      <c r="E12455" s="3" t="s">
        <v>100</v>
      </c>
      <c r="F12455" s="7">
        <v>45988.29082384992</v>
      </c>
      <c r="G12455" s="3" t="s">
        <v>12778</v>
      </c>
    </row>
    <row r="12456">
      <c r="A12456" s="3" t="s">
        <v>28108</v>
      </c>
      <c r="B12456" s="3" t="s">
        <v>10764</v>
      </c>
      <c r="C12456" s="5" t="s">
        <v>45</v>
      </c>
      <c r="D12456" s="3" t="s">
        <v>221</v>
      </c>
      <c r="E12456" s="3" t="s">
        <v>276</v>
      </c>
      <c r="F12456" s="7">
        <v>45988.35158202868</v>
      </c>
      <c r="G12456" s="3" t="s">
        <v>4895</v>
      </c>
    </row>
    <row r="12457">
      <c r="A12457" s="3" t="s">
        <v>28109</v>
      </c>
      <c r="B12457" s="3" t="s">
        <v>10764</v>
      </c>
      <c r="C12457" s="5" t="s">
        <v>221</v>
      </c>
      <c r="D12457" s="3" t="s">
        <v>614</v>
      </c>
      <c r="E12457" s="3" t="s">
        <v>118</v>
      </c>
      <c r="F12457" s="7">
        <v>45988.3550542509</v>
      </c>
      <c r="G12457" s="3" t="s">
        <v>4898</v>
      </c>
    </row>
    <row r="12458">
      <c r="A12458" s="3" t="s">
        <v>28110</v>
      </c>
      <c r="B12458" s="3" t="s">
        <v>10764</v>
      </c>
      <c r="C12458" s="5" t="s">
        <v>614</v>
      </c>
      <c r="D12458" s="3" t="s">
        <v>206</v>
      </c>
      <c r="E12458" s="3" t="s">
        <v>100</v>
      </c>
      <c r="F12458" s="7">
        <v>45988.35852647312</v>
      </c>
      <c r="G12458" s="3" t="s">
        <v>4900</v>
      </c>
    </row>
    <row r="12459">
      <c r="A12459" s="3" t="s">
        <v>28111</v>
      </c>
      <c r="B12459" s="3" t="s">
        <v>10764</v>
      </c>
      <c r="C12459" s="5" t="s">
        <v>206</v>
      </c>
      <c r="D12459" s="3" t="s">
        <v>68</v>
      </c>
      <c r="E12459" s="3" t="s">
        <v>100</v>
      </c>
      <c r="F12459" s="7">
        <v>45988.36199869534</v>
      </c>
      <c r="G12459" s="3" t="s">
        <v>4903</v>
      </c>
    </row>
    <row r="12460">
      <c r="A12460" s="3" t="s">
        <v>28112</v>
      </c>
      <c r="B12460" s="3" t="s">
        <v>10768</v>
      </c>
      <c r="C12460" s="5" t="s">
        <v>45</v>
      </c>
      <c r="D12460" s="3" t="s">
        <v>221</v>
      </c>
      <c r="E12460" s="3" t="s">
        <v>826</v>
      </c>
      <c r="F12460" s="7">
        <v>45988.4227568741</v>
      </c>
      <c r="G12460" s="3" t="s">
        <v>11577</v>
      </c>
    </row>
    <row r="12461">
      <c r="A12461" s="3" t="s">
        <v>28113</v>
      </c>
      <c r="B12461" s="3" t="s">
        <v>10768</v>
      </c>
      <c r="C12461" s="5" t="s">
        <v>221</v>
      </c>
      <c r="D12461" s="3" t="s">
        <v>195</v>
      </c>
      <c r="E12461" s="3" t="s">
        <v>826</v>
      </c>
      <c r="F12461" s="7">
        <v>45988.426229096316</v>
      </c>
      <c r="G12461" s="3" t="s">
        <v>25133</v>
      </c>
    </row>
    <row r="12462">
      <c r="A12462" s="3" t="s">
        <v>28114</v>
      </c>
      <c r="B12462" s="3" t="s">
        <v>10771</v>
      </c>
      <c r="C12462" s="5" t="s">
        <v>45</v>
      </c>
      <c r="D12462" s="3" t="s">
        <v>221</v>
      </c>
      <c r="E12462" s="3" t="s">
        <v>515</v>
      </c>
      <c r="F12462" s="7">
        <v>45988.49393171951</v>
      </c>
      <c r="G12462" s="3" t="s">
        <v>12983</v>
      </c>
    </row>
    <row r="12463">
      <c r="A12463" s="3" t="s">
        <v>28115</v>
      </c>
      <c r="B12463" s="3" t="s">
        <v>10771</v>
      </c>
      <c r="C12463" s="5" t="s">
        <v>221</v>
      </c>
      <c r="D12463" s="3" t="s">
        <v>614</v>
      </c>
      <c r="E12463" s="3" t="s">
        <v>118</v>
      </c>
      <c r="F12463" s="7">
        <v>45988.49740394173</v>
      </c>
      <c r="G12463" s="3" t="s">
        <v>14998</v>
      </c>
    </row>
    <row r="12464">
      <c r="A12464" s="3" t="s">
        <v>28116</v>
      </c>
      <c r="B12464" s="3" t="s">
        <v>10771</v>
      </c>
      <c r="C12464" s="5" t="s">
        <v>614</v>
      </c>
      <c r="D12464" s="3" t="s">
        <v>206</v>
      </c>
      <c r="E12464" s="3" t="s">
        <v>100</v>
      </c>
      <c r="F12464" s="7">
        <v>45988.500876163955</v>
      </c>
      <c r="G12464" s="3" t="s">
        <v>15001</v>
      </c>
    </row>
    <row r="12465">
      <c r="A12465" s="3" t="s">
        <v>28117</v>
      </c>
      <c r="B12465" s="3" t="s">
        <v>10771</v>
      </c>
      <c r="C12465" s="5" t="s">
        <v>206</v>
      </c>
      <c r="D12465" s="3" t="s">
        <v>68</v>
      </c>
      <c r="E12465" s="3" t="s">
        <v>100</v>
      </c>
      <c r="F12465" s="7">
        <v>45988.504348386174</v>
      </c>
      <c r="G12465" s="3" t="s">
        <v>15004</v>
      </c>
    </row>
    <row r="12466">
      <c r="A12466" s="3" t="s">
        <v>28118</v>
      </c>
      <c r="B12466" s="3" t="s">
        <v>10774</v>
      </c>
      <c r="C12466" s="5" t="s">
        <v>45</v>
      </c>
      <c r="D12466" s="3" t="s">
        <v>221</v>
      </c>
      <c r="E12466" s="3" t="s">
        <v>400</v>
      </c>
      <c r="F12466" s="7">
        <v>45988.56510656492</v>
      </c>
      <c r="G12466" s="3" t="s">
        <v>12422</v>
      </c>
    </row>
    <row r="12467">
      <c r="A12467" s="3" t="s">
        <v>28119</v>
      </c>
      <c r="B12467" s="3" t="s">
        <v>10774</v>
      </c>
      <c r="C12467" s="5" t="s">
        <v>221</v>
      </c>
      <c r="D12467" s="3" t="s">
        <v>181</v>
      </c>
      <c r="E12467" s="3" t="s">
        <v>118</v>
      </c>
      <c r="F12467" s="7">
        <v>45988.56857878714</v>
      </c>
      <c r="G12467" s="3" t="s">
        <v>28120</v>
      </c>
    </row>
    <row r="12468">
      <c r="A12468" s="3" t="s">
        <v>28121</v>
      </c>
      <c r="B12468" s="3" t="s">
        <v>10777</v>
      </c>
      <c r="C12468" s="5" t="s">
        <v>45</v>
      </c>
      <c r="D12468" s="3" t="s">
        <v>221</v>
      </c>
      <c r="E12468" s="3" t="s">
        <v>280</v>
      </c>
      <c r="F12468" s="7">
        <v>45988.63628141034</v>
      </c>
      <c r="G12468" s="3" t="s">
        <v>15252</v>
      </c>
    </row>
    <row r="12469">
      <c r="A12469" s="3" t="s">
        <v>28122</v>
      </c>
      <c r="B12469" s="3" t="s">
        <v>10777</v>
      </c>
      <c r="C12469" s="5" t="s">
        <v>221</v>
      </c>
      <c r="D12469" s="3" t="s">
        <v>614</v>
      </c>
      <c r="E12469" s="3" t="s">
        <v>118</v>
      </c>
      <c r="F12469" s="7">
        <v>45988.63975363256</v>
      </c>
      <c r="G12469" s="3" t="s">
        <v>15256</v>
      </c>
    </row>
    <row r="12470">
      <c r="A12470" s="3" t="s">
        <v>28123</v>
      </c>
      <c r="B12470" s="3" t="s">
        <v>10777</v>
      </c>
      <c r="C12470" s="5" t="s">
        <v>614</v>
      </c>
      <c r="D12470" s="3" t="s">
        <v>206</v>
      </c>
      <c r="E12470" s="3" t="s">
        <v>100</v>
      </c>
      <c r="F12470" s="7">
        <v>45988.64322585479</v>
      </c>
      <c r="G12470" s="3" t="s">
        <v>15259</v>
      </c>
    </row>
    <row r="12471">
      <c r="A12471" s="3" t="s">
        <v>28124</v>
      </c>
      <c r="B12471" s="3" t="s">
        <v>10777</v>
      </c>
      <c r="C12471" s="5" t="s">
        <v>206</v>
      </c>
      <c r="D12471" s="3" t="s">
        <v>68</v>
      </c>
      <c r="E12471" s="3" t="s">
        <v>100</v>
      </c>
      <c r="F12471" s="7">
        <v>45988.646698077006</v>
      </c>
      <c r="G12471" s="3" t="s">
        <v>15262</v>
      </c>
    </row>
    <row r="12472">
      <c r="A12472" s="3" t="s">
        <v>28125</v>
      </c>
      <c r="B12472" s="3" t="s">
        <v>10780</v>
      </c>
      <c r="C12472" s="5" t="s">
        <v>45</v>
      </c>
      <c r="D12472" s="3" t="s">
        <v>221</v>
      </c>
      <c r="E12472" s="3" t="s">
        <v>655</v>
      </c>
      <c r="F12472" s="7">
        <v>45988.707456255754</v>
      </c>
      <c r="G12472" s="3" t="s">
        <v>15290</v>
      </c>
    </row>
    <row r="12473">
      <c r="A12473" s="3" t="s">
        <v>28126</v>
      </c>
      <c r="B12473" s="3" t="s">
        <v>10780</v>
      </c>
      <c r="C12473" s="5" t="s">
        <v>221</v>
      </c>
      <c r="D12473" s="3" t="s">
        <v>614</v>
      </c>
      <c r="E12473" s="3" t="s">
        <v>118</v>
      </c>
      <c r="F12473" s="7">
        <v>45988.71092847797</v>
      </c>
      <c r="G12473" s="3" t="s">
        <v>15293</v>
      </c>
    </row>
    <row r="12474">
      <c r="A12474" s="3" t="s">
        <v>28127</v>
      </c>
      <c r="B12474" s="3" t="s">
        <v>10780</v>
      </c>
      <c r="C12474" s="5" t="s">
        <v>614</v>
      </c>
      <c r="D12474" s="3" t="s">
        <v>206</v>
      </c>
      <c r="E12474" s="3" t="s">
        <v>100</v>
      </c>
      <c r="F12474" s="7">
        <v>45988.7144007002</v>
      </c>
      <c r="G12474" s="3" t="s">
        <v>15295</v>
      </c>
    </row>
    <row r="12475">
      <c r="A12475" s="3" t="s">
        <v>28128</v>
      </c>
      <c r="B12475" s="3" t="s">
        <v>10780</v>
      </c>
      <c r="C12475" s="5" t="s">
        <v>206</v>
      </c>
      <c r="D12475" s="3" t="s">
        <v>68</v>
      </c>
      <c r="E12475" s="3" t="s">
        <v>100</v>
      </c>
      <c r="F12475" s="7">
        <v>45988.71787292242</v>
      </c>
      <c r="G12475" s="3" t="s">
        <v>15298</v>
      </c>
    </row>
    <row r="12476">
      <c r="A12476" s="3" t="s">
        <v>28129</v>
      </c>
      <c r="B12476" s="3" t="s">
        <v>10783</v>
      </c>
      <c r="C12476" s="5" t="s">
        <v>45</v>
      </c>
      <c r="D12476" s="3" t="s">
        <v>221</v>
      </c>
      <c r="E12476" s="3" t="s">
        <v>731</v>
      </c>
      <c r="F12476" s="7">
        <v>45988.778631101166</v>
      </c>
      <c r="G12476" s="3" t="s">
        <v>14225</v>
      </c>
    </row>
    <row r="12477">
      <c r="A12477" s="3" t="s">
        <v>28130</v>
      </c>
      <c r="B12477" s="3" t="s">
        <v>10783</v>
      </c>
      <c r="C12477" s="5" t="s">
        <v>221</v>
      </c>
      <c r="D12477" s="3" t="s">
        <v>614</v>
      </c>
      <c r="E12477" s="3" t="s">
        <v>118</v>
      </c>
      <c r="F12477" s="7">
        <v>45988.782103323385</v>
      </c>
      <c r="G12477" s="3" t="s">
        <v>14228</v>
      </c>
    </row>
    <row r="12478">
      <c r="A12478" s="3" t="s">
        <v>28131</v>
      </c>
      <c r="B12478" s="3" t="s">
        <v>10783</v>
      </c>
      <c r="C12478" s="5" t="s">
        <v>614</v>
      </c>
      <c r="D12478" s="3" t="s">
        <v>206</v>
      </c>
      <c r="E12478" s="3" t="s">
        <v>100</v>
      </c>
      <c r="F12478" s="7">
        <v>45988.78557554561</v>
      </c>
      <c r="G12478" s="3" t="s">
        <v>14231</v>
      </c>
    </row>
    <row r="12479">
      <c r="A12479" s="3" t="s">
        <v>28132</v>
      </c>
      <c r="B12479" s="3" t="s">
        <v>10783</v>
      </c>
      <c r="C12479" s="5" t="s">
        <v>206</v>
      </c>
      <c r="D12479" s="3" t="s">
        <v>68</v>
      </c>
      <c r="E12479" s="3" t="s">
        <v>100</v>
      </c>
      <c r="F12479" s="7">
        <v>45988.78904776783</v>
      </c>
      <c r="G12479" s="3" t="s">
        <v>14234</v>
      </c>
    </row>
    <row r="12480">
      <c r="A12480" s="3" t="s">
        <v>28133</v>
      </c>
      <c r="B12480" s="3" t="s">
        <v>10787</v>
      </c>
      <c r="C12480" s="5" t="s">
        <v>45</v>
      </c>
      <c r="D12480" s="3" t="s">
        <v>221</v>
      </c>
      <c r="E12480" s="3" t="s">
        <v>302</v>
      </c>
      <c r="F12480" s="7">
        <v>45988.849805946586</v>
      </c>
      <c r="G12480" s="3" t="s">
        <v>18347</v>
      </c>
    </row>
    <row r="12481">
      <c r="A12481" s="3" t="s">
        <v>28134</v>
      </c>
      <c r="B12481" s="3" t="s">
        <v>10787</v>
      </c>
      <c r="C12481" s="5" t="s">
        <v>221</v>
      </c>
      <c r="D12481" s="3" t="s">
        <v>614</v>
      </c>
      <c r="E12481" s="3" t="s">
        <v>118</v>
      </c>
      <c r="F12481" s="7">
        <v>45988.853278168805</v>
      </c>
      <c r="G12481" s="3" t="s">
        <v>18350</v>
      </c>
    </row>
    <row r="12482">
      <c r="A12482" s="3" t="s">
        <v>28135</v>
      </c>
      <c r="B12482" s="3" t="s">
        <v>10787</v>
      </c>
      <c r="C12482" s="5" t="s">
        <v>614</v>
      </c>
      <c r="D12482" s="3" t="s">
        <v>206</v>
      </c>
      <c r="E12482" s="3" t="s">
        <v>100</v>
      </c>
      <c r="F12482" s="7">
        <v>45988.85675039103</v>
      </c>
      <c r="G12482" s="3" t="s">
        <v>18353</v>
      </c>
    </row>
    <row r="12483">
      <c r="A12483" s="3" t="s">
        <v>28136</v>
      </c>
      <c r="B12483" s="3" t="s">
        <v>10787</v>
      </c>
      <c r="C12483" s="5" t="s">
        <v>206</v>
      </c>
      <c r="D12483" s="3" t="s">
        <v>68</v>
      </c>
      <c r="E12483" s="3" t="s">
        <v>100</v>
      </c>
      <c r="F12483" s="7">
        <v>45988.86022261325</v>
      </c>
      <c r="G12483" s="3" t="s">
        <v>18355</v>
      </c>
    </row>
    <row r="12484">
      <c r="A12484" s="3" t="s">
        <v>28137</v>
      </c>
      <c r="B12484" s="3" t="s">
        <v>10790</v>
      </c>
      <c r="C12484" s="5" t="s">
        <v>45</v>
      </c>
      <c r="D12484" s="3" t="s">
        <v>221</v>
      </c>
      <c r="E12484" s="3" t="s">
        <v>1011</v>
      </c>
      <c r="F12484" s="7">
        <v>45988.920980792</v>
      </c>
      <c r="G12484" s="3" t="s">
        <v>15818</v>
      </c>
    </row>
    <row r="12485">
      <c r="A12485" s="3" t="s">
        <v>28138</v>
      </c>
      <c r="B12485" s="3" t="s">
        <v>10790</v>
      </c>
      <c r="C12485" s="5" t="s">
        <v>221</v>
      </c>
      <c r="D12485" s="3" t="s">
        <v>614</v>
      </c>
      <c r="E12485" s="3" t="s">
        <v>118</v>
      </c>
      <c r="F12485" s="7">
        <v>45988.92445301422</v>
      </c>
      <c r="G12485" s="3" t="s">
        <v>15820</v>
      </c>
    </row>
    <row r="12486">
      <c r="A12486" s="3" t="s">
        <v>28139</v>
      </c>
      <c r="B12486" s="3" t="s">
        <v>10790</v>
      </c>
      <c r="C12486" s="5" t="s">
        <v>614</v>
      </c>
      <c r="D12486" s="3" t="s">
        <v>206</v>
      </c>
      <c r="E12486" s="3" t="s">
        <v>100</v>
      </c>
      <c r="F12486" s="7">
        <v>45988.92792523644</v>
      </c>
      <c r="G12486" s="3" t="s">
        <v>15823</v>
      </c>
    </row>
    <row r="12487">
      <c r="A12487" s="3" t="s">
        <v>28140</v>
      </c>
      <c r="B12487" s="3" t="s">
        <v>10790</v>
      </c>
      <c r="C12487" s="5" t="s">
        <v>206</v>
      </c>
      <c r="D12487" s="3" t="s">
        <v>68</v>
      </c>
      <c r="E12487" s="3" t="s">
        <v>100</v>
      </c>
      <c r="F12487" s="7">
        <v>45988.93139745866</v>
      </c>
      <c r="G12487" s="3" t="s">
        <v>15826</v>
      </c>
    </row>
    <row r="12488">
      <c r="A12488" s="3" t="s">
        <v>28141</v>
      </c>
      <c r="B12488" s="3" t="s">
        <v>10792</v>
      </c>
      <c r="C12488" s="5" t="s">
        <v>45</v>
      </c>
      <c r="D12488" s="3" t="s">
        <v>221</v>
      </c>
      <c r="E12488" s="3" t="s">
        <v>561</v>
      </c>
      <c r="F12488" s="7">
        <v>45988.99215563741</v>
      </c>
      <c r="G12488" s="3" t="s">
        <v>13688</v>
      </c>
    </row>
    <row r="12489">
      <c r="A12489" s="3" t="s">
        <v>28142</v>
      </c>
      <c r="B12489" s="3" t="s">
        <v>10792</v>
      </c>
      <c r="C12489" s="5" t="s">
        <v>221</v>
      </c>
      <c r="D12489" s="3" t="s">
        <v>614</v>
      </c>
      <c r="E12489" s="3" t="s">
        <v>118</v>
      </c>
      <c r="F12489" s="7">
        <v>45988.99562785963</v>
      </c>
      <c r="G12489" s="3" t="s">
        <v>13691</v>
      </c>
    </row>
    <row r="12490">
      <c r="A12490" s="3" t="s">
        <v>28143</v>
      </c>
      <c r="B12490" s="3" t="s">
        <v>10792</v>
      </c>
      <c r="C12490" s="5" t="s">
        <v>614</v>
      </c>
      <c r="D12490" s="3" t="s">
        <v>206</v>
      </c>
      <c r="E12490" s="3" t="s">
        <v>100</v>
      </c>
      <c r="F12490" s="7">
        <v>45988.999100081855</v>
      </c>
      <c r="G12490" s="3" t="s">
        <v>13694</v>
      </c>
    </row>
    <row r="12491">
      <c r="A12491" s="3" t="s">
        <v>28144</v>
      </c>
      <c r="B12491" s="3" t="s">
        <v>10792</v>
      </c>
      <c r="C12491" s="5" t="s">
        <v>206</v>
      </c>
      <c r="D12491" s="3" t="s">
        <v>68</v>
      </c>
      <c r="E12491" s="3" t="s">
        <v>100</v>
      </c>
      <c r="F12491" s="7">
        <v>45989.002572304074</v>
      </c>
      <c r="G12491" s="3" t="s">
        <v>13697</v>
      </c>
    </row>
    <row r="12492">
      <c r="A12492" s="3" t="s">
        <v>28145</v>
      </c>
      <c r="B12492" s="3" t="s">
        <v>10795</v>
      </c>
      <c r="C12492" s="5" t="s">
        <v>45</v>
      </c>
      <c r="D12492" s="3" t="s">
        <v>221</v>
      </c>
      <c r="E12492" s="3" t="s">
        <v>280</v>
      </c>
      <c r="F12492" s="7">
        <v>45989.06333048283</v>
      </c>
      <c r="G12492" s="3" t="s">
        <v>17923</v>
      </c>
    </row>
    <row r="12493">
      <c r="A12493" s="3" t="s">
        <v>28146</v>
      </c>
      <c r="B12493" s="3" t="s">
        <v>10795</v>
      </c>
      <c r="C12493" s="5" t="s">
        <v>221</v>
      </c>
      <c r="D12493" s="3" t="s">
        <v>614</v>
      </c>
      <c r="E12493" s="3" t="s">
        <v>118</v>
      </c>
      <c r="F12493" s="7">
        <v>45989.06680270505</v>
      </c>
      <c r="G12493" s="3" t="s">
        <v>17926</v>
      </c>
    </row>
    <row r="12494">
      <c r="A12494" s="3" t="s">
        <v>28147</v>
      </c>
      <c r="B12494" s="3" t="s">
        <v>10795</v>
      </c>
      <c r="C12494" s="5" t="s">
        <v>614</v>
      </c>
      <c r="D12494" s="3" t="s">
        <v>206</v>
      </c>
      <c r="E12494" s="3" t="s">
        <v>100</v>
      </c>
      <c r="F12494" s="7">
        <v>45989.070274927275</v>
      </c>
      <c r="G12494" s="3" t="s">
        <v>17929</v>
      </c>
    </row>
    <row r="12495">
      <c r="A12495" s="3" t="s">
        <v>28148</v>
      </c>
      <c r="B12495" s="3" t="s">
        <v>10795</v>
      </c>
      <c r="C12495" s="5" t="s">
        <v>206</v>
      </c>
      <c r="D12495" s="3" t="s">
        <v>68</v>
      </c>
      <c r="E12495" s="3" t="s">
        <v>100</v>
      </c>
      <c r="F12495" s="7">
        <v>45989.073747149494</v>
      </c>
      <c r="G12495" s="3" t="s">
        <v>17932</v>
      </c>
    </row>
    <row r="12496">
      <c r="A12496" s="3" t="s">
        <v>28149</v>
      </c>
      <c r="B12496" s="3" t="s">
        <v>10798</v>
      </c>
      <c r="C12496" s="5" t="s">
        <v>45</v>
      </c>
      <c r="D12496" s="3" t="s">
        <v>221</v>
      </c>
      <c r="E12496" s="3" t="s">
        <v>175</v>
      </c>
      <c r="F12496" s="7">
        <v>45989.13450532825</v>
      </c>
      <c r="G12496" s="3" t="s">
        <v>10306</v>
      </c>
    </row>
    <row r="12497">
      <c r="A12497" s="3" t="s">
        <v>28150</v>
      </c>
      <c r="B12497" s="3" t="s">
        <v>10798</v>
      </c>
      <c r="C12497" s="5" t="s">
        <v>221</v>
      </c>
      <c r="D12497" s="3" t="s">
        <v>614</v>
      </c>
      <c r="E12497" s="3" t="s">
        <v>118</v>
      </c>
      <c r="F12497" s="7">
        <v>45989.13797755047</v>
      </c>
      <c r="G12497" s="3" t="s">
        <v>10309</v>
      </c>
    </row>
    <row r="12498">
      <c r="A12498" s="3" t="s">
        <v>28151</v>
      </c>
      <c r="B12498" s="3" t="s">
        <v>10798</v>
      </c>
      <c r="C12498" s="5" t="s">
        <v>614</v>
      </c>
      <c r="D12498" s="3" t="s">
        <v>206</v>
      </c>
      <c r="E12498" s="3" t="s">
        <v>100</v>
      </c>
      <c r="F12498" s="7">
        <v>45989.141449772695</v>
      </c>
      <c r="G12498" s="3" t="s">
        <v>10312</v>
      </c>
    </row>
    <row r="12499">
      <c r="A12499" s="3" t="s">
        <v>28152</v>
      </c>
      <c r="B12499" s="3" t="s">
        <v>10798</v>
      </c>
      <c r="C12499" s="5" t="s">
        <v>206</v>
      </c>
      <c r="D12499" s="3" t="s">
        <v>68</v>
      </c>
      <c r="E12499" s="3" t="s">
        <v>100</v>
      </c>
      <c r="F12499" s="7">
        <v>45989.14492199491</v>
      </c>
      <c r="G12499" s="3" t="s">
        <v>10315</v>
      </c>
    </row>
    <row r="12500">
      <c r="A12500" s="3" t="s">
        <v>28153</v>
      </c>
      <c r="B12500" s="3" t="s">
        <v>10801</v>
      </c>
      <c r="C12500" s="5" t="s">
        <v>45</v>
      </c>
      <c r="D12500" s="3" t="s">
        <v>221</v>
      </c>
      <c r="E12500" s="3" t="s">
        <v>689</v>
      </c>
      <c r="F12500" s="7">
        <v>45989.205680173654</v>
      </c>
      <c r="G12500" s="3" t="s">
        <v>23808</v>
      </c>
    </row>
    <row r="12501">
      <c r="A12501" s="3" t="s">
        <v>28154</v>
      </c>
      <c r="B12501" s="3" t="s">
        <v>10801</v>
      </c>
      <c r="C12501" s="5" t="s">
        <v>221</v>
      </c>
      <c r="D12501" s="3" t="s">
        <v>614</v>
      </c>
      <c r="E12501" s="3" t="s">
        <v>118</v>
      </c>
      <c r="F12501" s="7">
        <v>45989.20915239587</v>
      </c>
      <c r="G12501" s="3" t="s">
        <v>28155</v>
      </c>
    </row>
    <row r="12502">
      <c r="A12502" s="3" t="s">
        <v>28156</v>
      </c>
      <c r="B12502" s="3" t="s">
        <v>10801</v>
      </c>
      <c r="C12502" s="5" t="s">
        <v>614</v>
      </c>
      <c r="D12502" s="3" t="s">
        <v>206</v>
      </c>
      <c r="E12502" s="3" t="s">
        <v>100</v>
      </c>
      <c r="F12502" s="7">
        <v>45989.2126246181</v>
      </c>
      <c r="G12502" s="3" t="s">
        <v>28157</v>
      </c>
    </row>
    <row r="12503">
      <c r="A12503" s="3" t="s">
        <v>28158</v>
      </c>
      <c r="B12503" s="3" t="s">
        <v>10801</v>
      </c>
      <c r="C12503" s="5" t="s">
        <v>206</v>
      </c>
      <c r="D12503" s="3" t="s">
        <v>68</v>
      </c>
      <c r="E12503" s="3" t="s">
        <v>100</v>
      </c>
      <c r="F12503" s="7">
        <v>45989.21609684032</v>
      </c>
      <c r="G12503" s="3" t="s">
        <v>28159</v>
      </c>
    </row>
    <row r="12504">
      <c r="A12504" s="3" t="s">
        <v>28160</v>
      </c>
      <c r="B12504" s="3" t="s">
        <v>10804</v>
      </c>
      <c r="C12504" s="5" t="s">
        <v>45</v>
      </c>
      <c r="D12504" s="3" t="s">
        <v>221</v>
      </c>
      <c r="E12504" s="3" t="s">
        <v>535</v>
      </c>
      <c r="F12504" s="7">
        <v>45989.276855019074</v>
      </c>
      <c r="G12504" s="3" t="s">
        <v>20084</v>
      </c>
    </row>
    <row r="12505">
      <c r="A12505" s="3" t="s">
        <v>28161</v>
      </c>
      <c r="B12505" s="3" t="s">
        <v>10804</v>
      </c>
      <c r="C12505" s="5" t="s">
        <v>221</v>
      </c>
      <c r="D12505" s="3" t="s">
        <v>614</v>
      </c>
      <c r="E12505" s="3" t="s">
        <v>118</v>
      </c>
      <c r="F12505" s="7">
        <v>45989.28032724129</v>
      </c>
      <c r="G12505" s="3" t="s">
        <v>28162</v>
      </c>
    </row>
    <row r="12506">
      <c r="A12506" s="3" t="s">
        <v>28163</v>
      </c>
      <c r="B12506" s="3" t="s">
        <v>10804</v>
      </c>
      <c r="C12506" s="5" t="s">
        <v>614</v>
      </c>
      <c r="D12506" s="3" t="s">
        <v>206</v>
      </c>
      <c r="E12506" s="3" t="s">
        <v>100</v>
      </c>
      <c r="F12506" s="7">
        <v>45989.28379946352</v>
      </c>
      <c r="G12506" s="3" t="s">
        <v>28164</v>
      </c>
    </row>
    <row r="12507">
      <c r="A12507" s="3" t="s">
        <v>28165</v>
      </c>
      <c r="B12507" s="3" t="s">
        <v>10804</v>
      </c>
      <c r="C12507" s="5" t="s">
        <v>206</v>
      </c>
      <c r="D12507" s="3" t="s">
        <v>68</v>
      </c>
      <c r="E12507" s="3" t="s">
        <v>100</v>
      </c>
      <c r="F12507" s="7">
        <v>45989.28727168574</v>
      </c>
      <c r="G12507" s="3" t="s">
        <v>28166</v>
      </c>
    </row>
    <row r="12508">
      <c r="A12508" s="3" t="s">
        <v>28167</v>
      </c>
      <c r="B12508" s="3" t="s">
        <v>10808</v>
      </c>
      <c r="C12508" s="5" t="s">
        <v>45</v>
      </c>
      <c r="D12508" s="3" t="s">
        <v>221</v>
      </c>
      <c r="E12508" s="3" t="s">
        <v>746</v>
      </c>
      <c r="F12508" s="7">
        <v>45989.34802986449</v>
      </c>
      <c r="G12508" s="3" t="s">
        <v>19148</v>
      </c>
    </row>
    <row r="12509">
      <c r="A12509" s="3" t="s">
        <v>28168</v>
      </c>
      <c r="B12509" s="3" t="s">
        <v>10808</v>
      </c>
      <c r="C12509" s="5" t="s">
        <v>221</v>
      </c>
      <c r="D12509" s="3" t="s">
        <v>614</v>
      </c>
      <c r="E12509" s="3" t="s">
        <v>118</v>
      </c>
      <c r="F12509" s="7">
        <v>45989.35150208671</v>
      </c>
      <c r="G12509" s="3" t="s">
        <v>19151</v>
      </c>
    </row>
    <row r="12510">
      <c r="A12510" s="3" t="s">
        <v>28169</v>
      </c>
      <c r="B12510" s="3" t="s">
        <v>10808</v>
      </c>
      <c r="C12510" s="5" t="s">
        <v>614</v>
      </c>
      <c r="D12510" s="3" t="s">
        <v>206</v>
      </c>
      <c r="E12510" s="3" t="s">
        <v>100</v>
      </c>
      <c r="F12510" s="7">
        <v>45989.35497430894</v>
      </c>
      <c r="G12510" s="3" t="s">
        <v>19153</v>
      </c>
    </row>
    <row r="12511">
      <c r="A12511" s="3" t="s">
        <v>28170</v>
      </c>
      <c r="B12511" s="3" t="s">
        <v>10808</v>
      </c>
      <c r="C12511" s="5" t="s">
        <v>206</v>
      </c>
      <c r="D12511" s="3" t="s">
        <v>68</v>
      </c>
      <c r="E12511" s="3" t="s">
        <v>100</v>
      </c>
      <c r="F12511" s="7">
        <v>45989.35844653116</v>
      </c>
      <c r="G12511" s="3" t="s">
        <v>19156</v>
      </c>
    </row>
    <row r="12512">
      <c r="A12512" s="3" t="s">
        <v>28171</v>
      </c>
      <c r="B12512" s="3" t="s">
        <v>10811</v>
      </c>
      <c r="C12512" s="5" t="s">
        <v>45</v>
      </c>
      <c r="D12512" s="3" t="s">
        <v>221</v>
      </c>
      <c r="E12512" s="3" t="s">
        <v>263</v>
      </c>
      <c r="F12512" s="7">
        <v>45989.419204709906</v>
      </c>
      <c r="G12512" s="3" t="s">
        <v>9096</v>
      </c>
    </row>
    <row r="12513">
      <c r="A12513" s="3" t="s">
        <v>28172</v>
      </c>
      <c r="B12513" s="3" t="s">
        <v>10811</v>
      </c>
      <c r="C12513" s="5" t="s">
        <v>221</v>
      </c>
      <c r="D12513" s="3" t="s">
        <v>181</v>
      </c>
      <c r="E12513" s="3" t="s">
        <v>118</v>
      </c>
      <c r="F12513" s="7">
        <v>45989.422676932125</v>
      </c>
      <c r="G12513" s="3" t="s">
        <v>28173</v>
      </c>
    </row>
    <row r="12514">
      <c r="A12514" s="3" t="s">
        <v>28174</v>
      </c>
      <c r="B12514" s="3" t="s">
        <v>10815</v>
      </c>
      <c r="C12514" s="5" t="s">
        <v>45</v>
      </c>
      <c r="D12514" s="3" t="s">
        <v>221</v>
      </c>
      <c r="E12514" s="3" t="s">
        <v>704</v>
      </c>
      <c r="F12514" s="7">
        <v>45989.49037955532</v>
      </c>
      <c r="G12514" s="3" t="s">
        <v>15308</v>
      </c>
    </row>
    <row r="12515">
      <c r="A12515" s="3" t="s">
        <v>28175</v>
      </c>
      <c r="B12515" s="3" t="s">
        <v>10815</v>
      </c>
      <c r="C12515" s="5" t="s">
        <v>221</v>
      </c>
      <c r="D12515" s="3" t="s">
        <v>614</v>
      </c>
      <c r="E12515" s="3" t="s">
        <v>118</v>
      </c>
      <c r="F12515" s="7">
        <v>45989.49385177754</v>
      </c>
      <c r="G12515" s="3" t="s">
        <v>15311</v>
      </c>
    </row>
    <row r="12516">
      <c r="A12516" s="3" t="s">
        <v>28176</v>
      </c>
      <c r="B12516" s="3" t="s">
        <v>10815</v>
      </c>
      <c r="C12516" s="5" t="s">
        <v>614</v>
      </c>
      <c r="D12516" s="3" t="s">
        <v>206</v>
      </c>
      <c r="E12516" s="3" t="s">
        <v>100</v>
      </c>
      <c r="F12516" s="7">
        <v>45989.49732399976</v>
      </c>
      <c r="G12516" s="3" t="s">
        <v>15314</v>
      </c>
    </row>
    <row r="12517">
      <c r="A12517" s="3" t="s">
        <v>28177</v>
      </c>
      <c r="B12517" s="3" t="s">
        <v>10815</v>
      </c>
      <c r="C12517" s="5" t="s">
        <v>206</v>
      </c>
      <c r="D12517" s="3" t="s">
        <v>68</v>
      </c>
      <c r="E12517" s="3" t="s">
        <v>100</v>
      </c>
      <c r="F12517" s="7">
        <v>45989.50079622198</v>
      </c>
      <c r="G12517" s="3" t="s">
        <v>15317</v>
      </c>
    </row>
    <row r="12518">
      <c r="A12518" s="3" t="s">
        <v>28178</v>
      </c>
      <c r="B12518" s="3" t="s">
        <v>10818</v>
      </c>
      <c r="C12518" s="5" t="s">
        <v>45</v>
      </c>
      <c r="D12518" s="3" t="s">
        <v>221</v>
      </c>
      <c r="E12518" s="3" t="s">
        <v>860</v>
      </c>
      <c r="F12518" s="7">
        <v>45989.56155440074</v>
      </c>
      <c r="G12518" s="3" t="s">
        <v>9366</v>
      </c>
    </row>
    <row r="12519">
      <c r="A12519" s="3" t="s">
        <v>28179</v>
      </c>
      <c r="B12519" s="3" t="s">
        <v>10818</v>
      </c>
      <c r="C12519" s="5" t="s">
        <v>221</v>
      </c>
      <c r="D12519" s="3" t="s">
        <v>614</v>
      </c>
      <c r="E12519" s="3" t="s">
        <v>118</v>
      </c>
      <c r="F12519" s="7">
        <v>45989.56502662296</v>
      </c>
      <c r="G12519" s="3" t="s">
        <v>9369</v>
      </c>
    </row>
    <row r="12520">
      <c r="A12520" s="3" t="s">
        <v>28180</v>
      </c>
      <c r="B12520" s="3" t="s">
        <v>10818</v>
      </c>
      <c r="C12520" s="5" t="s">
        <v>614</v>
      </c>
      <c r="D12520" s="3" t="s">
        <v>206</v>
      </c>
      <c r="E12520" s="3" t="s">
        <v>100</v>
      </c>
      <c r="F12520" s="7">
        <v>45989.56849884518</v>
      </c>
      <c r="G12520" s="3" t="s">
        <v>9372</v>
      </c>
    </row>
    <row r="12521">
      <c r="A12521" s="3" t="s">
        <v>28181</v>
      </c>
      <c r="B12521" s="3" t="s">
        <v>10818</v>
      </c>
      <c r="C12521" s="5" t="s">
        <v>206</v>
      </c>
      <c r="D12521" s="3" t="s">
        <v>68</v>
      </c>
      <c r="E12521" s="3" t="s">
        <v>100</v>
      </c>
      <c r="F12521" s="7">
        <v>45989.5719710674</v>
      </c>
      <c r="G12521" s="3" t="s">
        <v>9375</v>
      </c>
    </row>
    <row r="12522">
      <c r="A12522" s="3" t="s">
        <v>28182</v>
      </c>
      <c r="B12522" s="3" t="s">
        <v>10821</v>
      </c>
      <c r="C12522" s="5" t="s">
        <v>45</v>
      </c>
      <c r="D12522" s="3" t="s">
        <v>221</v>
      </c>
      <c r="E12522" s="3" t="s">
        <v>816</v>
      </c>
      <c r="F12522" s="7">
        <v>45989.63272924615</v>
      </c>
      <c r="G12522" s="3" t="s">
        <v>15327</v>
      </c>
    </row>
    <row r="12523">
      <c r="A12523" s="3" t="s">
        <v>28183</v>
      </c>
      <c r="B12523" s="3" t="s">
        <v>10821</v>
      </c>
      <c r="C12523" s="5" t="s">
        <v>221</v>
      </c>
      <c r="D12523" s="3" t="s">
        <v>614</v>
      </c>
      <c r="E12523" s="3" t="s">
        <v>118</v>
      </c>
      <c r="F12523" s="7">
        <v>45989.63620146837</v>
      </c>
      <c r="G12523" s="3" t="s">
        <v>15330</v>
      </c>
    </row>
    <row r="12524">
      <c r="A12524" s="3" t="s">
        <v>28184</v>
      </c>
      <c r="B12524" s="3" t="s">
        <v>10821</v>
      </c>
      <c r="C12524" s="5" t="s">
        <v>614</v>
      </c>
      <c r="D12524" s="3" t="s">
        <v>206</v>
      </c>
      <c r="E12524" s="3" t="s">
        <v>100</v>
      </c>
      <c r="F12524" s="7">
        <v>45989.639673690595</v>
      </c>
      <c r="G12524" s="3" t="s">
        <v>15333</v>
      </c>
    </row>
    <row r="12525">
      <c r="A12525" s="3" t="s">
        <v>28185</v>
      </c>
      <c r="B12525" s="3" t="s">
        <v>10821</v>
      </c>
      <c r="C12525" s="5" t="s">
        <v>206</v>
      </c>
      <c r="D12525" s="3" t="s">
        <v>68</v>
      </c>
      <c r="E12525" s="3" t="s">
        <v>100</v>
      </c>
      <c r="F12525" s="7">
        <v>45989.643145912814</v>
      </c>
      <c r="G12525" s="3" t="s">
        <v>15336</v>
      </c>
    </row>
    <row r="12526">
      <c r="A12526" s="3" t="s">
        <v>28186</v>
      </c>
      <c r="B12526" s="3" t="s">
        <v>10826</v>
      </c>
      <c r="C12526" s="5" t="s">
        <v>45</v>
      </c>
      <c r="D12526" s="3" t="s">
        <v>221</v>
      </c>
      <c r="E12526" s="3" t="s">
        <v>591</v>
      </c>
      <c r="F12526" s="7">
        <v>45989.70390409156</v>
      </c>
      <c r="G12526" s="3" t="s">
        <v>15958</v>
      </c>
    </row>
    <row r="12527">
      <c r="A12527" s="3" t="s">
        <v>28187</v>
      </c>
      <c r="B12527" s="3" t="s">
        <v>10826</v>
      </c>
      <c r="C12527" s="5" t="s">
        <v>221</v>
      </c>
      <c r="D12527" s="3" t="s">
        <v>614</v>
      </c>
      <c r="E12527" s="3" t="s">
        <v>118</v>
      </c>
      <c r="F12527" s="7">
        <v>45989.70737631378</v>
      </c>
      <c r="G12527" s="3" t="s">
        <v>15961</v>
      </c>
    </row>
    <row r="12528">
      <c r="A12528" s="3" t="s">
        <v>28188</v>
      </c>
      <c r="B12528" s="3" t="s">
        <v>10826</v>
      </c>
      <c r="C12528" s="5" t="s">
        <v>614</v>
      </c>
      <c r="D12528" s="3" t="s">
        <v>206</v>
      </c>
      <c r="E12528" s="3" t="s">
        <v>100</v>
      </c>
      <c r="F12528" s="7">
        <v>45989.71084853601</v>
      </c>
      <c r="G12528" s="3" t="s">
        <v>15964</v>
      </c>
    </row>
    <row r="12529">
      <c r="A12529" s="3" t="s">
        <v>28189</v>
      </c>
      <c r="B12529" s="3" t="s">
        <v>10826</v>
      </c>
      <c r="C12529" s="5" t="s">
        <v>206</v>
      </c>
      <c r="D12529" s="3" t="s">
        <v>68</v>
      </c>
      <c r="E12529" s="3" t="s">
        <v>100</v>
      </c>
      <c r="F12529" s="7">
        <v>45989.71432075823</v>
      </c>
      <c r="G12529" s="3" t="s">
        <v>15967</v>
      </c>
    </row>
    <row r="12530">
      <c r="A12530" s="3" t="s">
        <v>28190</v>
      </c>
      <c r="B12530" s="3" t="s">
        <v>10829</v>
      </c>
      <c r="C12530" s="5" t="s">
        <v>45</v>
      </c>
      <c r="D12530" s="3" t="s">
        <v>221</v>
      </c>
      <c r="E12530" s="3" t="s">
        <v>586</v>
      </c>
      <c r="F12530" s="7">
        <v>45989.77507893698</v>
      </c>
      <c r="G12530" s="3" t="s">
        <v>19542</v>
      </c>
    </row>
    <row r="12531">
      <c r="A12531" s="3" t="s">
        <v>28191</v>
      </c>
      <c r="B12531" s="3" t="s">
        <v>10829</v>
      </c>
      <c r="C12531" s="5" t="s">
        <v>221</v>
      </c>
      <c r="D12531" s="3" t="s">
        <v>181</v>
      </c>
      <c r="E12531" s="3" t="s">
        <v>118</v>
      </c>
      <c r="F12531" s="7">
        <v>45989.7785511592</v>
      </c>
      <c r="G12531" s="3" t="s">
        <v>28192</v>
      </c>
    </row>
    <row r="12532">
      <c r="A12532" s="3" t="s">
        <v>28193</v>
      </c>
      <c r="B12532" s="3" t="s">
        <v>10832</v>
      </c>
      <c r="C12532" s="5" t="s">
        <v>45</v>
      </c>
      <c r="D12532" s="3" t="s">
        <v>221</v>
      </c>
      <c r="E12532" s="3" t="s">
        <v>598</v>
      </c>
      <c r="F12532" s="7">
        <v>45989.846253782394</v>
      </c>
      <c r="G12532" s="3" t="s">
        <v>8805</v>
      </c>
    </row>
    <row r="12533">
      <c r="A12533" s="3" t="s">
        <v>28194</v>
      </c>
      <c r="B12533" s="3" t="s">
        <v>10832</v>
      </c>
      <c r="C12533" s="5" t="s">
        <v>221</v>
      </c>
      <c r="D12533" s="3" t="s">
        <v>614</v>
      </c>
      <c r="E12533" s="3" t="s">
        <v>118</v>
      </c>
      <c r="F12533" s="7">
        <v>45989.84972600461</v>
      </c>
      <c r="G12533" s="3" t="s">
        <v>8808</v>
      </c>
    </row>
    <row r="12534">
      <c r="A12534" s="3" t="s">
        <v>28195</v>
      </c>
      <c r="B12534" s="3" t="s">
        <v>10832</v>
      </c>
      <c r="C12534" s="5" t="s">
        <v>614</v>
      </c>
      <c r="D12534" s="3" t="s">
        <v>206</v>
      </c>
      <c r="E12534" s="3" t="s">
        <v>100</v>
      </c>
      <c r="F12534" s="7">
        <v>45989.85319822684</v>
      </c>
      <c r="G12534" s="3" t="s">
        <v>8811</v>
      </c>
    </row>
    <row r="12535">
      <c r="A12535" s="3" t="s">
        <v>28196</v>
      </c>
      <c r="B12535" s="3" t="s">
        <v>10832</v>
      </c>
      <c r="C12535" s="5" t="s">
        <v>206</v>
      </c>
      <c r="D12535" s="3" t="s">
        <v>68</v>
      </c>
      <c r="E12535" s="3" t="s">
        <v>100</v>
      </c>
      <c r="F12535" s="7">
        <v>45989.85667044906</v>
      </c>
      <c r="G12535" s="3" t="s">
        <v>8813</v>
      </c>
    </row>
    <row r="12536">
      <c r="A12536" s="3" t="s">
        <v>28197</v>
      </c>
      <c r="B12536" s="3" t="s">
        <v>10835</v>
      </c>
      <c r="C12536" s="5" t="s">
        <v>45</v>
      </c>
      <c r="D12536" s="3" t="s">
        <v>221</v>
      </c>
      <c r="E12536" s="3" t="s">
        <v>725</v>
      </c>
      <c r="F12536" s="7">
        <v>45989.91742862781</v>
      </c>
      <c r="G12536" s="3" t="s">
        <v>15017</v>
      </c>
    </row>
    <row r="12537">
      <c r="A12537" s="3" t="s">
        <v>28198</v>
      </c>
      <c r="B12537" s="3" t="s">
        <v>10835</v>
      </c>
      <c r="C12537" s="5" t="s">
        <v>221</v>
      </c>
      <c r="D12537" s="3" t="s">
        <v>614</v>
      </c>
      <c r="E12537" s="3" t="s">
        <v>118</v>
      </c>
      <c r="F12537" s="7">
        <v>45989.920900850026</v>
      </c>
      <c r="G12537" s="3" t="s">
        <v>15020</v>
      </c>
    </row>
    <row r="12538">
      <c r="A12538" s="3" t="s">
        <v>28199</v>
      </c>
      <c r="B12538" s="3" t="s">
        <v>10835</v>
      </c>
      <c r="C12538" s="5" t="s">
        <v>614</v>
      </c>
      <c r="D12538" s="3" t="s">
        <v>206</v>
      </c>
      <c r="E12538" s="3" t="s">
        <v>100</v>
      </c>
      <c r="F12538" s="7">
        <v>45989.92437307225</v>
      </c>
      <c r="G12538" s="3" t="s">
        <v>15023</v>
      </c>
    </row>
    <row r="12539">
      <c r="A12539" s="3" t="s">
        <v>28200</v>
      </c>
      <c r="B12539" s="3" t="s">
        <v>10835</v>
      </c>
      <c r="C12539" s="5" t="s">
        <v>206</v>
      </c>
      <c r="D12539" s="3" t="s">
        <v>68</v>
      </c>
      <c r="E12539" s="3" t="s">
        <v>100</v>
      </c>
      <c r="F12539" s="7">
        <v>45989.92784529447</v>
      </c>
      <c r="G12539" s="3" t="s">
        <v>15026</v>
      </c>
    </row>
    <row r="12540">
      <c r="A12540" s="3" t="s">
        <v>28201</v>
      </c>
      <c r="B12540" s="3" t="s">
        <v>10839</v>
      </c>
      <c r="C12540" s="5" t="s">
        <v>45</v>
      </c>
      <c r="D12540" s="3" t="s">
        <v>221</v>
      </c>
      <c r="E12540" s="3" t="s">
        <v>299</v>
      </c>
      <c r="F12540" s="7">
        <v>45989.988603473226</v>
      </c>
      <c r="G12540" s="3" t="s">
        <v>6834</v>
      </c>
    </row>
    <row r="12541">
      <c r="A12541" s="3" t="s">
        <v>28202</v>
      </c>
      <c r="B12541" s="3" t="s">
        <v>10839</v>
      </c>
      <c r="C12541" s="5" t="s">
        <v>221</v>
      </c>
      <c r="D12541" s="3" t="s">
        <v>614</v>
      </c>
      <c r="E12541" s="3" t="s">
        <v>118</v>
      </c>
      <c r="F12541" s="7">
        <v>45989.992075695445</v>
      </c>
      <c r="G12541" s="3" t="s">
        <v>6836</v>
      </c>
    </row>
    <row r="12542">
      <c r="A12542" s="3" t="s">
        <v>28203</v>
      </c>
      <c r="B12542" s="3" t="s">
        <v>10839</v>
      </c>
      <c r="C12542" s="5" t="s">
        <v>614</v>
      </c>
      <c r="D12542" s="3" t="s">
        <v>206</v>
      </c>
      <c r="E12542" s="3" t="s">
        <v>100</v>
      </c>
      <c r="F12542" s="7">
        <v>45989.99554791767</v>
      </c>
      <c r="G12542" s="3" t="s">
        <v>6839</v>
      </c>
    </row>
    <row r="12543">
      <c r="A12543" s="3" t="s">
        <v>28204</v>
      </c>
      <c r="B12543" s="3" t="s">
        <v>10839</v>
      </c>
      <c r="C12543" s="5" t="s">
        <v>206</v>
      </c>
      <c r="D12543" s="3" t="s">
        <v>68</v>
      </c>
      <c r="E12543" s="3" t="s">
        <v>100</v>
      </c>
      <c r="F12543" s="7">
        <v>45989.99902013989</v>
      </c>
      <c r="G12543" s="3" t="s">
        <v>6842</v>
      </c>
    </row>
    <row r="12544">
      <c r="A12544" s="3" t="s">
        <v>28205</v>
      </c>
      <c r="B12544" s="3" t="s">
        <v>10843</v>
      </c>
      <c r="C12544" s="5" t="s">
        <v>45</v>
      </c>
      <c r="D12544" s="3" t="s">
        <v>221</v>
      </c>
      <c r="E12544" s="3" t="s">
        <v>593</v>
      </c>
      <c r="F12544" s="7">
        <v>45990.05977831864</v>
      </c>
      <c r="G12544" s="3" t="s">
        <v>19876</v>
      </c>
    </row>
    <row r="12545">
      <c r="A12545" s="3" t="s">
        <v>28206</v>
      </c>
      <c r="B12545" s="3" t="s">
        <v>10843</v>
      </c>
      <c r="C12545" s="5" t="s">
        <v>221</v>
      </c>
      <c r="D12545" s="3" t="s">
        <v>614</v>
      </c>
      <c r="E12545" s="3" t="s">
        <v>118</v>
      </c>
      <c r="F12545" s="7">
        <v>45990.06325054086</v>
      </c>
      <c r="G12545" s="3" t="s">
        <v>19879</v>
      </c>
    </row>
    <row r="12546">
      <c r="A12546" s="3" t="s">
        <v>28207</v>
      </c>
      <c r="B12546" s="3" t="s">
        <v>10843</v>
      </c>
      <c r="C12546" s="5" t="s">
        <v>614</v>
      </c>
      <c r="D12546" s="3" t="s">
        <v>206</v>
      </c>
      <c r="E12546" s="3" t="s">
        <v>100</v>
      </c>
      <c r="F12546" s="7">
        <v>45990.066722763084</v>
      </c>
      <c r="G12546" s="3" t="s">
        <v>19881</v>
      </c>
    </row>
    <row r="12547">
      <c r="A12547" s="3" t="s">
        <v>28208</v>
      </c>
      <c r="B12547" s="3" t="s">
        <v>10843</v>
      </c>
      <c r="C12547" s="5" t="s">
        <v>206</v>
      </c>
      <c r="D12547" s="3" t="s">
        <v>68</v>
      </c>
      <c r="E12547" s="3" t="s">
        <v>100</v>
      </c>
      <c r="F12547" s="7">
        <v>45990.0701949853</v>
      </c>
      <c r="G12547" s="3" t="s">
        <v>19884</v>
      </c>
    </row>
    <row r="12548">
      <c r="A12548" s="3" t="s">
        <v>28209</v>
      </c>
      <c r="B12548" s="3" t="s">
        <v>10846</v>
      </c>
      <c r="C12548" s="5" t="s">
        <v>45</v>
      </c>
      <c r="D12548" s="3" t="s">
        <v>221</v>
      </c>
      <c r="E12548" s="3" t="s">
        <v>137</v>
      </c>
      <c r="F12548" s="7">
        <v>45990.13095316405</v>
      </c>
      <c r="G12548" s="3" t="s">
        <v>14747</v>
      </c>
    </row>
    <row r="12549">
      <c r="A12549" s="3" t="s">
        <v>28210</v>
      </c>
      <c r="B12549" s="3" t="s">
        <v>10846</v>
      </c>
      <c r="C12549" s="5" t="s">
        <v>221</v>
      </c>
      <c r="D12549" s="3" t="s">
        <v>614</v>
      </c>
      <c r="E12549" s="3" t="s">
        <v>118</v>
      </c>
      <c r="F12549" s="7">
        <v>45990.13442538627</v>
      </c>
      <c r="G12549" s="3" t="s">
        <v>14749</v>
      </c>
    </row>
    <row r="12550">
      <c r="A12550" s="3" t="s">
        <v>28211</v>
      </c>
      <c r="B12550" s="3" t="s">
        <v>10846</v>
      </c>
      <c r="C12550" s="5" t="s">
        <v>614</v>
      </c>
      <c r="D12550" s="3" t="s">
        <v>206</v>
      </c>
      <c r="E12550" s="3" t="s">
        <v>100</v>
      </c>
      <c r="F12550" s="7">
        <v>45990.137897608496</v>
      </c>
      <c r="G12550" s="3" t="s">
        <v>14752</v>
      </c>
    </row>
    <row r="12551">
      <c r="A12551" s="3" t="s">
        <v>28212</v>
      </c>
      <c r="B12551" s="3" t="s">
        <v>10846</v>
      </c>
      <c r="C12551" s="5" t="s">
        <v>206</v>
      </c>
      <c r="D12551" s="3" t="s">
        <v>68</v>
      </c>
      <c r="E12551" s="3" t="s">
        <v>100</v>
      </c>
      <c r="F12551" s="7">
        <v>45990.141369830715</v>
      </c>
      <c r="G12551" s="3" t="s">
        <v>14755</v>
      </c>
    </row>
    <row r="12552">
      <c r="A12552" s="3" t="s">
        <v>28213</v>
      </c>
      <c r="B12552" s="3" t="s">
        <v>10849</v>
      </c>
      <c r="C12552" s="5" t="s">
        <v>45</v>
      </c>
      <c r="D12552" s="3" t="s">
        <v>221</v>
      </c>
      <c r="E12552" s="3" t="s">
        <v>369</v>
      </c>
      <c r="F12552" s="7">
        <v>45990.20212800947</v>
      </c>
      <c r="G12552" s="3" t="s">
        <v>26476</v>
      </c>
    </row>
    <row r="12553">
      <c r="A12553" s="3" t="s">
        <v>28214</v>
      </c>
      <c r="B12553" s="3" t="s">
        <v>10849</v>
      </c>
      <c r="C12553" s="5" t="s">
        <v>221</v>
      </c>
      <c r="D12553" s="3" t="s">
        <v>614</v>
      </c>
      <c r="E12553" s="3" t="s">
        <v>118</v>
      </c>
      <c r="F12553" s="7">
        <v>45990.20560023169</v>
      </c>
      <c r="G12553" s="3" t="s">
        <v>26478</v>
      </c>
    </row>
    <row r="12554">
      <c r="A12554" s="3" t="s">
        <v>28215</v>
      </c>
      <c r="B12554" s="3" t="s">
        <v>10849</v>
      </c>
      <c r="C12554" s="5" t="s">
        <v>614</v>
      </c>
      <c r="D12554" s="3" t="s">
        <v>206</v>
      </c>
      <c r="E12554" s="3" t="s">
        <v>100</v>
      </c>
      <c r="F12554" s="7">
        <v>45990.209072453916</v>
      </c>
      <c r="G12554" s="3" t="s">
        <v>26480</v>
      </c>
    </row>
    <row r="12555">
      <c r="A12555" s="3" t="s">
        <v>28216</v>
      </c>
      <c r="B12555" s="3" t="s">
        <v>10849</v>
      </c>
      <c r="C12555" s="5" t="s">
        <v>206</v>
      </c>
      <c r="D12555" s="3" t="s">
        <v>68</v>
      </c>
      <c r="E12555" s="3" t="s">
        <v>100</v>
      </c>
      <c r="F12555" s="7">
        <v>45990.212544676135</v>
      </c>
      <c r="G12555" s="3" t="s">
        <v>26482</v>
      </c>
    </row>
    <row r="12556">
      <c r="A12556" s="3" t="s">
        <v>28217</v>
      </c>
      <c r="B12556" s="3" t="s">
        <v>10852</v>
      </c>
      <c r="C12556" s="5" t="s">
        <v>45</v>
      </c>
      <c r="D12556" s="3" t="s">
        <v>221</v>
      </c>
      <c r="E12556" s="3" t="s">
        <v>211</v>
      </c>
      <c r="F12556" s="7">
        <v>45990.27330285489</v>
      </c>
      <c r="G12556" s="3" t="s">
        <v>21843</v>
      </c>
    </row>
    <row r="12557">
      <c r="A12557" s="3" t="s">
        <v>28218</v>
      </c>
      <c r="B12557" s="3" t="s">
        <v>10852</v>
      </c>
      <c r="C12557" s="5" t="s">
        <v>221</v>
      </c>
      <c r="D12557" s="3" t="s">
        <v>614</v>
      </c>
      <c r="E12557" s="3" t="s">
        <v>118</v>
      </c>
      <c r="F12557" s="7">
        <v>45990.27677507711</v>
      </c>
      <c r="G12557" s="3" t="s">
        <v>21846</v>
      </c>
    </row>
    <row r="12558">
      <c r="A12558" s="3" t="s">
        <v>28219</v>
      </c>
      <c r="B12558" s="3" t="s">
        <v>10852</v>
      </c>
      <c r="C12558" s="5" t="s">
        <v>614</v>
      </c>
      <c r="D12558" s="3" t="s">
        <v>206</v>
      </c>
      <c r="E12558" s="3" t="s">
        <v>100</v>
      </c>
      <c r="F12558" s="7">
        <v>45990.280247299335</v>
      </c>
      <c r="G12558" s="3" t="s">
        <v>21849</v>
      </c>
    </row>
    <row r="12559">
      <c r="A12559" s="3" t="s">
        <v>28220</v>
      </c>
      <c r="B12559" s="3" t="s">
        <v>10852</v>
      </c>
      <c r="C12559" s="5" t="s">
        <v>206</v>
      </c>
      <c r="D12559" s="3" t="s">
        <v>68</v>
      </c>
      <c r="E12559" s="3" t="s">
        <v>100</v>
      </c>
      <c r="F12559" s="7">
        <v>45990.283719521554</v>
      </c>
      <c r="G12559" s="3" t="s">
        <v>21852</v>
      </c>
    </row>
    <row r="12560">
      <c r="A12560" s="3" t="s">
        <v>28221</v>
      </c>
      <c r="B12560" s="3" t="s">
        <v>10857</v>
      </c>
      <c r="C12560" s="5" t="s">
        <v>45</v>
      </c>
      <c r="D12560" s="3" t="s">
        <v>221</v>
      </c>
      <c r="E12560" s="3" t="s">
        <v>137</v>
      </c>
      <c r="F12560" s="7">
        <v>45990.344477700295</v>
      </c>
      <c r="G12560" s="3" t="s">
        <v>28222</v>
      </c>
    </row>
    <row r="12561">
      <c r="A12561" s="3" t="s">
        <v>28223</v>
      </c>
      <c r="B12561" s="3" t="s">
        <v>10857</v>
      </c>
      <c r="C12561" s="5" t="s">
        <v>221</v>
      </c>
      <c r="D12561" s="3" t="s">
        <v>614</v>
      </c>
      <c r="E12561" s="3" t="s">
        <v>118</v>
      </c>
      <c r="F12561" s="7">
        <v>45990.347949922514</v>
      </c>
      <c r="G12561" s="3" t="s">
        <v>28224</v>
      </c>
    </row>
    <row r="12562">
      <c r="A12562" s="3" t="s">
        <v>28225</v>
      </c>
      <c r="B12562" s="3" t="s">
        <v>10857</v>
      </c>
      <c r="C12562" s="5" t="s">
        <v>614</v>
      </c>
      <c r="D12562" s="3" t="s">
        <v>206</v>
      </c>
      <c r="E12562" s="3" t="s">
        <v>100</v>
      </c>
      <c r="F12562" s="7">
        <v>45990.35142214474</v>
      </c>
      <c r="G12562" s="3" t="s">
        <v>28226</v>
      </c>
    </row>
    <row r="12563">
      <c r="A12563" s="3" t="s">
        <v>28227</v>
      </c>
      <c r="B12563" s="3" t="s">
        <v>10857</v>
      </c>
      <c r="C12563" s="5" t="s">
        <v>206</v>
      </c>
      <c r="D12563" s="3" t="s">
        <v>68</v>
      </c>
      <c r="E12563" s="3" t="s">
        <v>100</v>
      </c>
      <c r="F12563" s="7">
        <v>45990.35489436696</v>
      </c>
      <c r="G12563" s="3" t="s">
        <v>28228</v>
      </c>
    </row>
    <row r="12564">
      <c r="A12564" s="3" t="s">
        <v>28229</v>
      </c>
      <c r="B12564" s="3" t="s">
        <v>10860</v>
      </c>
      <c r="C12564" s="5" t="s">
        <v>45</v>
      </c>
      <c r="D12564" s="3" t="s">
        <v>221</v>
      </c>
      <c r="E12564" s="3" t="s">
        <v>763</v>
      </c>
      <c r="F12564" s="7">
        <v>45990.415652545715</v>
      </c>
      <c r="G12564" s="3" t="s">
        <v>13084</v>
      </c>
    </row>
    <row r="12565">
      <c r="A12565" s="3" t="s">
        <v>28230</v>
      </c>
      <c r="B12565" s="3" t="s">
        <v>10860</v>
      </c>
      <c r="C12565" s="5" t="s">
        <v>221</v>
      </c>
      <c r="D12565" s="3" t="s">
        <v>614</v>
      </c>
      <c r="E12565" s="3" t="s">
        <v>118</v>
      </c>
      <c r="F12565" s="7">
        <v>45990.419124767934</v>
      </c>
      <c r="G12565" s="3" t="s">
        <v>13088</v>
      </c>
    </row>
    <row r="12566">
      <c r="A12566" s="3" t="s">
        <v>28231</v>
      </c>
      <c r="B12566" s="3" t="s">
        <v>10860</v>
      </c>
      <c r="C12566" s="5" t="s">
        <v>614</v>
      </c>
      <c r="D12566" s="3" t="s">
        <v>206</v>
      </c>
      <c r="E12566" s="3" t="s">
        <v>100</v>
      </c>
      <c r="F12566" s="7">
        <v>45990.42259699016</v>
      </c>
      <c r="G12566" s="3" t="s">
        <v>13091</v>
      </c>
    </row>
    <row r="12567">
      <c r="A12567" s="3" t="s">
        <v>28232</v>
      </c>
      <c r="B12567" s="3" t="s">
        <v>10860</v>
      </c>
      <c r="C12567" s="5" t="s">
        <v>206</v>
      </c>
      <c r="D12567" s="3" t="s">
        <v>68</v>
      </c>
      <c r="E12567" s="3" t="s">
        <v>100</v>
      </c>
      <c r="F12567" s="7">
        <v>45990.42606921238</v>
      </c>
      <c r="G12567" s="3" t="s">
        <v>13094</v>
      </c>
    </row>
    <row r="12568">
      <c r="A12568" s="3" t="s">
        <v>28233</v>
      </c>
      <c r="B12568" s="3" t="s">
        <v>10863</v>
      </c>
      <c r="C12568" s="5" t="s">
        <v>45</v>
      </c>
      <c r="D12568" s="3" t="s">
        <v>221</v>
      </c>
      <c r="E12568" s="3" t="s">
        <v>197</v>
      </c>
      <c r="F12568" s="7">
        <v>45990.486827391134</v>
      </c>
      <c r="G12568" s="3" t="s">
        <v>8665</v>
      </c>
    </row>
    <row r="12569">
      <c r="A12569" s="3" t="s">
        <v>28234</v>
      </c>
      <c r="B12569" s="3" t="s">
        <v>10863</v>
      </c>
      <c r="C12569" s="5" t="s">
        <v>221</v>
      </c>
      <c r="D12569" s="3" t="s">
        <v>614</v>
      </c>
      <c r="E12569" s="3" t="s">
        <v>118</v>
      </c>
      <c r="F12569" s="7">
        <v>45990.49029961335</v>
      </c>
      <c r="G12569" s="3" t="s">
        <v>8668</v>
      </c>
    </row>
    <row r="12570">
      <c r="A12570" s="3" t="s">
        <v>28235</v>
      </c>
      <c r="B12570" s="3" t="s">
        <v>10863</v>
      </c>
      <c r="C12570" s="5" t="s">
        <v>614</v>
      </c>
      <c r="D12570" s="3" t="s">
        <v>206</v>
      </c>
      <c r="E12570" s="3" t="s">
        <v>100</v>
      </c>
      <c r="F12570" s="7">
        <v>45990.49377183558</v>
      </c>
      <c r="G12570" s="3" t="s">
        <v>8670</v>
      </c>
    </row>
    <row r="12571">
      <c r="A12571" s="3" t="s">
        <v>28236</v>
      </c>
      <c r="B12571" s="3" t="s">
        <v>10863</v>
      </c>
      <c r="C12571" s="5" t="s">
        <v>206</v>
      </c>
      <c r="D12571" s="3" t="s">
        <v>68</v>
      </c>
      <c r="E12571" s="3" t="s">
        <v>100</v>
      </c>
      <c r="F12571" s="7">
        <v>45990.4972440578</v>
      </c>
      <c r="G12571" s="3" t="s">
        <v>8673</v>
      </c>
    </row>
    <row r="12572">
      <c r="A12572" s="3" t="s">
        <v>28237</v>
      </c>
      <c r="B12572" s="3" t="s">
        <v>10866</v>
      </c>
      <c r="C12572" s="5" t="s">
        <v>45</v>
      </c>
      <c r="D12572" s="3" t="s">
        <v>221</v>
      </c>
      <c r="E12572" s="3" t="s">
        <v>908</v>
      </c>
      <c r="F12572" s="7">
        <v>45990.55800223655</v>
      </c>
      <c r="G12572" s="3" t="s">
        <v>28238</v>
      </c>
    </row>
    <row r="12573">
      <c r="A12573" s="3" t="s">
        <v>28239</v>
      </c>
      <c r="B12573" s="3" t="s">
        <v>10866</v>
      </c>
      <c r="C12573" s="5" t="s">
        <v>221</v>
      </c>
      <c r="D12573" s="3" t="s">
        <v>614</v>
      </c>
      <c r="E12573" s="3" t="s">
        <v>118</v>
      </c>
      <c r="F12573" s="7">
        <v>45990.561474458766</v>
      </c>
      <c r="G12573" s="3" t="s">
        <v>28240</v>
      </c>
    </row>
    <row r="12574">
      <c r="A12574" s="3" t="s">
        <v>28241</v>
      </c>
      <c r="B12574" s="3" t="s">
        <v>10866</v>
      </c>
      <c r="C12574" s="5" t="s">
        <v>614</v>
      </c>
      <c r="D12574" s="3" t="s">
        <v>206</v>
      </c>
      <c r="E12574" s="3" t="s">
        <v>100</v>
      </c>
      <c r="F12574" s="7">
        <v>45990.56494668099</v>
      </c>
      <c r="G12574" s="3" t="s">
        <v>28242</v>
      </c>
    </row>
    <row r="12575">
      <c r="A12575" s="3" t="s">
        <v>28243</v>
      </c>
      <c r="B12575" s="3" t="s">
        <v>10866</v>
      </c>
      <c r="C12575" s="5" t="s">
        <v>206</v>
      </c>
      <c r="D12575" s="3" t="s">
        <v>68</v>
      </c>
      <c r="E12575" s="3" t="s">
        <v>100</v>
      </c>
      <c r="F12575" s="7">
        <v>45990.56841890321</v>
      </c>
      <c r="G12575" s="3" t="s">
        <v>28244</v>
      </c>
    </row>
    <row r="12576">
      <c r="A12576" s="3" t="s">
        <v>28245</v>
      </c>
      <c r="B12576" s="3" t="s">
        <v>10868</v>
      </c>
      <c r="C12576" s="5" t="s">
        <v>45</v>
      </c>
      <c r="D12576" s="3" t="s">
        <v>221</v>
      </c>
      <c r="E12576" s="3" t="s">
        <v>920</v>
      </c>
      <c r="F12576" s="7">
        <v>45990.62917708196</v>
      </c>
      <c r="G12576" s="3" t="s">
        <v>15361</v>
      </c>
    </row>
    <row r="12577">
      <c r="A12577" s="3" t="s">
        <v>28246</v>
      </c>
      <c r="B12577" s="3" t="s">
        <v>10868</v>
      </c>
      <c r="C12577" s="5" t="s">
        <v>221</v>
      </c>
      <c r="D12577" s="3" t="s">
        <v>614</v>
      </c>
      <c r="E12577" s="3" t="s">
        <v>118</v>
      </c>
      <c r="F12577" s="7">
        <v>45990.63264930418</v>
      </c>
      <c r="G12577" s="3" t="s">
        <v>15363</v>
      </c>
    </row>
    <row r="12578">
      <c r="A12578" s="3" t="s">
        <v>28247</v>
      </c>
      <c r="B12578" s="3" t="s">
        <v>10868</v>
      </c>
      <c r="C12578" s="5" t="s">
        <v>614</v>
      </c>
      <c r="D12578" s="3" t="s">
        <v>206</v>
      </c>
      <c r="E12578" s="3" t="s">
        <v>100</v>
      </c>
      <c r="F12578" s="7">
        <v>45990.636121526404</v>
      </c>
      <c r="G12578" s="3" t="s">
        <v>15366</v>
      </c>
    </row>
    <row r="12579">
      <c r="A12579" s="3" t="s">
        <v>28248</v>
      </c>
      <c r="B12579" s="3" t="s">
        <v>10868</v>
      </c>
      <c r="C12579" s="5" t="s">
        <v>206</v>
      </c>
      <c r="D12579" s="3" t="s">
        <v>68</v>
      </c>
      <c r="E12579" s="3" t="s">
        <v>100</v>
      </c>
      <c r="F12579" s="7">
        <v>45990.63959374862</v>
      </c>
      <c r="G12579" s="3" t="s">
        <v>15369</v>
      </c>
    </row>
    <row r="12580">
      <c r="A12580" s="3" t="s">
        <v>28249</v>
      </c>
      <c r="B12580" s="3" t="s">
        <v>10871</v>
      </c>
      <c r="C12580" s="5" t="s">
        <v>45</v>
      </c>
      <c r="D12580" s="3" t="s">
        <v>221</v>
      </c>
      <c r="E12580" s="3" t="s">
        <v>145</v>
      </c>
      <c r="F12580" s="7">
        <v>45990.70035192738</v>
      </c>
      <c r="G12580" s="3" t="s">
        <v>28250</v>
      </c>
    </row>
    <row r="12581">
      <c r="A12581" s="3" t="s">
        <v>28251</v>
      </c>
      <c r="B12581" s="3" t="s">
        <v>10871</v>
      </c>
      <c r="C12581" s="5" t="s">
        <v>221</v>
      </c>
      <c r="D12581" s="3" t="s">
        <v>181</v>
      </c>
      <c r="E12581" s="3" t="s">
        <v>118</v>
      </c>
      <c r="F12581" s="7">
        <v>45990.7038241496</v>
      </c>
      <c r="G12581" s="3" t="s">
        <v>28252</v>
      </c>
    </row>
    <row r="12582">
      <c r="A12582" s="3" t="s">
        <v>28253</v>
      </c>
      <c r="B12582" s="3" t="s">
        <v>10873</v>
      </c>
      <c r="C12582" s="5" t="s">
        <v>45</v>
      </c>
      <c r="D12582" s="3" t="s">
        <v>221</v>
      </c>
      <c r="E12582" s="3" t="s">
        <v>462</v>
      </c>
      <c r="F12582" s="7">
        <v>45990.77152677279</v>
      </c>
      <c r="G12582" s="3" t="s">
        <v>15416</v>
      </c>
    </row>
    <row r="12583">
      <c r="A12583" s="3" t="s">
        <v>28254</v>
      </c>
      <c r="B12583" s="3" t="s">
        <v>10873</v>
      </c>
      <c r="C12583" s="5" t="s">
        <v>221</v>
      </c>
      <c r="D12583" s="3" t="s">
        <v>614</v>
      </c>
      <c r="E12583" s="3" t="s">
        <v>118</v>
      </c>
      <c r="F12583" s="7">
        <v>45990.77499899501</v>
      </c>
      <c r="G12583" s="3" t="s">
        <v>15419</v>
      </c>
    </row>
    <row r="12584">
      <c r="A12584" s="3" t="s">
        <v>28255</v>
      </c>
      <c r="B12584" s="3" t="s">
        <v>10873</v>
      </c>
      <c r="C12584" s="5" t="s">
        <v>614</v>
      </c>
      <c r="D12584" s="3" t="s">
        <v>206</v>
      </c>
      <c r="E12584" s="3" t="s">
        <v>100</v>
      </c>
      <c r="F12584" s="7">
        <v>45990.778471217236</v>
      </c>
      <c r="G12584" s="3" t="s">
        <v>15422</v>
      </c>
    </row>
    <row r="12585">
      <c r="A12585" s="3" t="s">
        <v>28256</v>
      </c>
      <c r="B12585" s="3" t="s">
        <v>10873</v>
      </c>
      <c r="C12585" s="5" t="s">
        <v>206</v>
      </c>
      <c r="D12585" s="3" t="s">
        <v>68</v>
      </c>
      <c r="E12585" s="3" t="s">
        <v>100</v>
      </c>
      <c r="F12585" s="7">
        <v>45990.781943439455</v>
      </c>
      <c r="G12585" s="3" t="s">
        <v>15425</v>
      </c>
    </row>
    <row r="12586">
      <c r="A12586" s="3" t="s">
        <v>28257</v>
      </c>
      <c r="B12586" s="3" t="s">
        <v>10876</v>
      </c>
      <c r="C12586" s="5" t="s">
        <v>45</v>
      </c>
      <c r="D12586" s="3" t="s">
        <v>221</v>
      </c>
      <c r="E12586" s="3" t="s">
        <v>208</v>
      </c>
      <c r="F12586" s="7">
        <v>45990.8427016182</v>
      </c>
      <c r="G12586" s="3" t="s">
        <v>15427</v>
      </c>
    </row>
    <row r="12587">
      <c r="A12587" s="3" t="s">
        <v>28258</v>
      </c>
      <c r="B12587" s="3" t="s">
        <v>10876</v>
      </c>
      <c r="C12587" s="5" t="s">
        <v>221</v>
      </c>
      <c r="D12587" s="3" t="s">
        <v>614</v>
      </c>
      <c r="E12587" s="3" t="s">
        <v>118</v>
      </c>
      <c r="F12587" s="7">
        <v>45990.84617384042</v>
      </c>
      <c r="G12587" s="3" t="s">
        <v>15430</v>
      </c>
    </row>
    <row r="12588">
      <c r="A12588" s="3" t="s">
        <v>28259</v>
      </c>
      <c r="B12588" s="3" t="s">
        <v>10876</v>
      </c>
      <c r="C12588" s="5" t="s">
        <v>614</v>
      </c>
      <c r="D12588" s="3" t="s">
        <v>206</v>
      </c>
      <c r="E12588" s="3" t="s">
        <v>100</v>
      </c>
      <c r="F12588" s="7">
        <v>45990.84964606265</v>
      </c>
      <c r="G12588" s="3" t="s">
        <v>15433</v>
      </c>
    </row>
    <row r="12589">
      <c r="A12589" s="3" t="s">
        <v>28260</v>
      </c>
      <c r="B12589" s="3" t="s">
        <v>10876</v>
      </c>
      <c r="C12589" s="5" t="s">
        <v>206</v>
      </c>
      <c r="D12589" s="3" t="s">
        <v>68</v>
      </c>
      <c r="E12589" s="3" t="s">
        <v>100</v>
      </c>
      <c r="F12589" s="7">
        <v>45990.85311828487</v>
      </c>
      <c r="G12589" s="3" t="s">
        <v>15436</v>
      </c>
    </row>
    <row r="12590">
      <c r="A12590" s="3" t="s">
        <v>28261</v>
      </c>
      <c r="B12590" s="3" t="s">
        <v>10878</v>
      </c>
      <c r="C12590" s="5" t="s">
        <v>45</v>
      </c>
      <c r="D12590" s="3" t="s">
        <v>221</v>
      </c>
      <c r="E12590" s="3" t="s">
        <v>330</v>
      </c>
      <c r="F12590" s="7">
        <v>45990.91387646362</v>
      </c>
      <c r="G12590" s="3" t="s">
        <v>2770</v>
      </c>
    </row>
    <row r="12591">
      <c r="A12591" s="3" t="s">
        <v>28262</v>
      </c>
      <c r="B12591" s="3" t="s">
        <v>10878</v>
      </c>
      <c r="C12591" s="5" t="s">
        <v>221</v>
      </c>
      <c r="D12591" s="3" t="s">
        <v>181</v>
      </c>
      <c r="E12591" s="3" t="s">
        <v>118</v>
      </c>
      <c r="F12591" s="7">
        <v>45990.91734868584</v>
      </c>
      <c r="G12591" s="3" t="s">
        <v>2774</v>
      </c>
    </row>
    <row r="12592">
      <c r="A12592" s="3" t="s">
        <v>28263</v>
      </c>
      <c r="B12592" s="3" t="s">
        <v>10880</v>
      </c>
      <c r="C12592" s="5" t="s">
        <v>45</v>
      </c>
      <c r="D12592" s="3" t="s">
        <v>221</v>
      </c>
      <c r="E12592" s="3" t="s">
        <v>419</v>
      </c>
      <c r="F12592" s="7">
        <v>45990.985051309035</v>
      </c>
      <c r="G12592" s="3" t="s">
        <v>15383</v>
      </c>
    </row>
    <row r="12593">
      <c r="A12593" s="3" t="s">
        <v>28264</v>
      </c>
      <c r="B12593" s="3" t="s">
        <v>10880</v>
      </c>
      <c r="C12593" s="5" t="s">
        <v>221</v>
      </c>
      <c r="D12593" s="3" t="s">
        <v>614</v>
      </c>
      <c r="E12593" s="3" t="s">
        <v>118</v>
      </c>
      <c r="F12593" s="7">
        <v>45990.988523531254</v>
      </c>
      <c r="G12593" s="3" t="s">
        <v>15385</v>
      </c>
    </row>
    <row r="12594">
      <c r="A12594" s="3" t="s">
        <v>28265</v>
      </c>
      <c r="B12594" s="3" t="s">
        <v>10880</v>
      </c>
      <c r="C12594" s="5" t="s">
        <v>614</v>
      </c>
      <c r="D12594" s="3" t="s">
        <v>206</v>
      </c>
      <c r="E12594" s="3" t="s">
        <v>100</v>
      </c>
      <c r="F12594" s="7">
        <v>45990.99199575348</v>
      </c>
      <c r="G12594" s="3" t="s">
        <v>15388</v>
      </c>
    </row>
    <row r="12595">
      <c r="A12595" s="3" t="s">
        <v>28266</v>
      </c>
      <c r="B12595" s="3" t="s">
        <v>10880</v>
      </c>
      <c r="C12595" s="5" t="s">
        <v>206</v>
      </c>
      <c r="D12595" s="3" t="s">
        <v>68</v>
      </c>
      <c r="E12595" s="3" t="s">
        <v>100</v>
      </c>
      <c r="F12595" s="7">
        <v>45990.9954679757</v>
      </c>
      <c r="G12595" s="3" t="s">
        <v>15391</v>
      </c>
    </row>
    <row r="12596">
      <c r="A12596" s="3" t="s">
        <v>28267</v>
      </c>
      <c r="B12596" s="3" t="s">
        <v>10883</v>
      </c>
      <c r="C12596" s="5" t="s">
        <v>45</v>
      </c>
      <c r="D12596" s="3" t="s">
        <v>221</v>
      </c>
      <c r="E12596" s="3" t="s">
        <v>424</v>
      </c>
      <c r="F12596" s="7">
        <v>45991.05622615445</v>
      </c>
      <c r="G12596" s="3" t="s">
        <v>12738</v>
      </c>
    </row>
    <row r="12597">
      <c r="A12597" s="3" t="s">
        <v>28268</v>
      </c>
      <c r="B12597" s="3" t="s">
        <v>10883</v>
      </c>
      <c r="C12597" s="5" t="s">
        <v>221</v>
      </c>
      <c r="D12597" s="3" t="s">
        <v>181</v>
      </c>
      <c r="E12597" s="3" t="s">
        <v>118</v>
      </c>
      <c r="F12597" s="7">
        <v>45991.059698376666</v>
      </c>
      <c r="G12597" s="3" t="s">
        <v>28269</v>
      </c>
    </row>
    <row r="12598">
      <c r="A12598" s="3" t="s">
        <v>28270</v>
      </c>
      <c r="B12598" s="3" t="s">
        <v>10886</v>
      </c>
      <c r="C12598" s="5" t="s">
        <v>45</v>
      </c>
      <c r="D12598" s="3" t="s">
        <v>221</v>
      </c>
      <c r="E12598" s="3" t="s">
        <v>574</v>
      </c>
      <c r="F12598" s="7">
        <v>45991.12740099987</v>
      </c>
      <c r="G12598" s="3" t="s">
        <v>15196</v>
      </c>
    </row>
    <row r="12599">
      <c r="A12599" s="3" t="s">
        <v>28271</v>
      </c>
      <c r="B12599" s="3" t="s">
        <v>10886</v>
      </c>
      <c r="C12599" s="5" t="s">
        <v>221</v>
      </c>
      <c r="D12599" s="3" t="s">
        <v>614</v>
      </c>
      <c r="E12599" s="3" t="s">
        <v>118</v>
      </c>
      <c r="F12599" s="7">
        <v>45991.130873222086</v>
      </c>
      <c r="G12599" s="3" t="s">
        <v>15199</v>
      </c>
    </row>
    <row r="12600">
      <c r="A12600" s="3" t="s">
        <v>28272</v>
      </c>
      <c r="B12600" s="3" t="s">
        <v>10886</v>
      </c>
      <c r="C12600" s="5" t="s">
        <v>614</v>
      </c>
      <c r="D12600" s="3" t="s">
        <v>206</v>
      </c>
      <c r="E12600" s="3" t="s">
        <v>100</v>
      </c>
      <c r="F12600" s="7">
        <v>45991.13434544431</v>
      </c>
      <c r="G12600" s="3" t="s">
        <v>15203</v>
      </c>
    </row>
    <row r="12601">
      <c r="A12601" s="3" t="s">
        <v>28273</v>
      </c>
      <c r="B12601" s="3" t="s">
        <v>10886</v>
      </c>
      <c r="C12601" s="5" t="s">
        <v>206</v>
      </c>
      <c r="D12601" s="3" t="s">
        <v>68</v>
      </c>
      <c r="E12601" s="3" t="s">
        <v>100</v>
      </c>
      <c r="F12601" s="7">
        <v>45991.13781766653</v>
      </c>
      <c r="G12601" s="3" t="s">
        <v>15206</v>
      </c>
    </row>
    <row r="12602">
      <c r="A12602" s="3" t="s">
        <v>28274</v>
      </c>
      <c r="B12602" s="3" t="s">
        <v>10889</v>
      </c>
      <c r="C12602" s="5" t="s">
        <v>45</v>
      </c>
      <c r="D12602" s="3" t="s">
        <v>221</v>
      </c>
      <c r="E12602" s="3" t="s">
        <v>498</v>
      </c>
      <c r="F12602" s="7">
        <v>45991.19857584528</v>
      </c>
      <c r="G12602" s="3" t="s">
        <v>15047</v>
      </c>
    </row>
    <row r="12603">
      <c r="A12603" s="3" t="s">
        <v>28275</v>
      </c>
      <c r="B12603" s="3" t="s">
        <v>10889</v>
      </c>
      <c r="C12603" s="5" t="s">
        <v>221</v>
      </c>
      <c r="D12603" s="3" t="s">
        <v>614</v>
      </c>
      <c r="E12603" s="3" t="s">
        <v>118</v>
      </c>
      <c r="F12603" s="7">
        <v>45991.2020480675</v>
      </c>
      <c r="G12603" s="3" t="s">
        <v>15050</v>
      </c>
    </row>
    <row r="12604">
      <c r="A12604" s="3" t="s">
        <v>28276</v>
      </c>
      <c r="B12604" s="3" t="s">
        <v>10889</v>
      </c>
      <c r="C12604" s="5" t="s">
        <v>614</v>
      </c>
      <c r="D12604" s="3" t="s">
        <v>206</v>
      </c>
      <c r="E12604" s="3" t="s">
        <v>100</v>
      </c>
      <c r="F12604" s="7">
        <v>45991.205520289725</v>
      </c>
      <c r="G12604" s="3" t="s">
        <v>15053</v>
      </c>
    </row>
    <row r="12605">
      <c r="A12605" s="3" t="s">
        <v>28277</v>
      </c>
      <c r="B12605" s="3" t="s">
        <v>10889</v>
      </c>
      <c r="C12605" s="5" t="s">
        <v>206</v>
      </c>
      <c r="D12605" s="3" t="s">
        <v>68</v>
      </c>
      <c r="E12605" s="3" t="s">
        <v>100</v>
      </c>
      <c r="F12605" s="7">
        <v>45991.20899251194</v>
      </c>
      <c r="G12605" s="3" t="s">
        <v>15055</v>
      </c>
    </row>
    <row r="12606">
      <c r="A12606" s="3" t="s">
        <v>28278</v>
      </c>
      <c r="B12606" s="3" t="s">
        <v>10893</v>
      </c>
      <c r="C12606" s="5" t="s">
        <v>45</v>
      </c>
      <c r="D12606" s="3" t="s">
        <v>221</v>
      </c>
      <c r="E12606" s="3" t="s">
        <v>442</v>
      </c>
      <c r="F12606" s="7">
        <v>45991.26975069069</v>
      </c>
      <c r="G12606" s="3" t="s">
        <v>16431</v>
      </c>
    </row>
    <row r="12607">
      <c r="A12607" s="3" t="s">
        <v>28279</v>
      </c>
      <c r="B12607" s="3" t="s">
        <v>10893</v>
      </c>
      <c r="C12607" s="5" t="s">
        <v>221</v>
      </c>
      <c r="D12607" s="3" t="s">
        <v>614</v>
      </c>
      <c r="E12607" s="3" t="s">
        <v>118</v>
      </c>
      <c r="F12607" s="7">
        <v>45991.27322291291</v>
      </c>
      <c r="G12607" s="3" t="s">
        <v>16434</v>
      </c>
    </row>
    <row r="12608">
      <c r="A12608" s="3" t="s">
        <v>28280</v>
      </c>
      <c r="B12608" s="3" t="s">
        <v>10893</v>
      </c>
      <c r="C12608" s="5" t="s">
        <v>614</v>
      </c>
      <c r="D12608" s="3" t="s">
        <v>206</v>
      </c>
      <c r="E12608" s="3" t="s">
        <v>100</v>
      </c>
      <c r="F12608" s="7">
        <v>45991.27669513514</v>
      </c>
      <c r="G12608" s="3" t="s">
        <v>16437</v>
      </c>
    </row>
    <row r="12609">
      <c r="A12609" s="3" t="s">
        <v>28281</v>
      </c>
      <c r="B12609" s="3" t="s">
        <v>10893</v>
      </c>
      <c r="C12609" s="5" t="s">
        <v>206</v>
      </c>
      <c r="D12609" s="3" t="s">
        <v>68</v>
      </c>
      <c r="E12609" s="3" t="s">
        <v>100</v>
      </c>
      <c r="F12609" s="7">
        <v>45991.280167357356</v>
      </c>
      <c r="G12609" s="3" t="s">
        <v>16440</v>
      </c>
    </row>
    <row r="12610">
      <c r="A12610" s="3" t="s">
        <v>28282</v>
      </c>
      <c r="B12610" s="3" t="s">
        <v>10896</v>
      </c>
      <c r="C12610" s="5" t="s">
        <v>45</v>
      </c>
      <c r="D12610" s="3" t="s">
        <v>221</v>
      </c>
      <c r="E12610" s="3" t="s">
        <v>903</v>
      </c>
      <c r="F12610" s="7">
        <v>45991.34092553611</v>
      </c>
      <c r="G12610" s="3" t="s">
        <v>12191</v>
      </c>
    </row>
    <row r="12611">
      <c r="A12611" s="3" t="s">
        <v>28283</v>
      </c>
      <c r="B12611" s="3" t="s">
        <v>10896</v>
      </c>
      <c r="C12611" s="5" t="s">
        <v>221</v>
      </c>
      <c r="D12611" s="3" t="s">
        <v>614</v>
      </c>
      <c r="E12611" s="3" t="s">
        <v>118</v>
      </c>
      <c r="F12611" s="7">
        <v>45991.34439775833</v>
      </c>
      <c r="G12611" s="3" t="s">
        <v>12194</v>
      </c>
    </row>
    <row r="12612">
      <c r="A12612" s="3" t="s">
        <v>28284</v>
      </c>
      <c r="B12612" s="3" t="s">
        <v>10896</v>
      </c>
      <c r="C12612" s="5" t="s">
        <v>614</v>
      </c>
      <c r="D12612" s="3" t="s">
        <v>206</v>
      </c>
      <c r="E12612" s="3" t="s">
        <v>100</v>
      </c>
      <c r="F12612" s="7">
        <v>45991.34786998056</v>
      </c>
      <c r="G12612" s="3" t="s">
        <v>12197</v>
      </c>
    </row>
    <row r="12613">
      <c r="A12613" s="3" t="s">
        <v>28285</v>
      </c>
      <c r="B12613" s="3" t="s">
        <v>10896</v>
      </c>
      <c r="C12613" s="5" t="s">
        <v>206</v>
      </c>
      <c r="D12613" s="3" t="s">
        <v>68</v>
      </c>
      <c r="E12613" s="3" t="s">
        <v>100</v>
      </c>
      <c r="F12613" s="7">
        <v>45991.351342202775</v>
      </c>
      <c r="G12613" s="3" t="s">
        <v>12200</v>
      </c>
    </row>
    <row r="12614">
      <c r="A12614" s="3" t="s">
        <v>28286</v>
      </c>
      <c r="B12614" s="3" t="s">
        <v>10899</v>
      </c>
      <c r="C12614" s="5" t="s">
        <v>45</v>
      </c>
      <c r="D12614" s="3" t="s">
        <v>221</v>
      </c>
      <c r="E12614" s="3" t="s">
        <v>980</v>
      </c>
      <c r="F12614" s="7">
        <v>45991.41210038153</v>
      </c>
      <c r="G12614" s="3" t="s">
        <v>13159</v>
      </c>
    </row>
    <row r="12615">
      <c r="A12615" s="3" t="s">
        <v>28287</v>
      </c>
      <c r="B12615" s="3" t="s">
        <v>10899</v>
      </c>
      <c r="C12615" s="5" t="s">
        <v>221</v>
      </c>
      <c r="D12615" s="3" t="s">
        <v>614</v>
      </c>
      <c r="E12615" s="3" t="s">
        <v>118</v>
      </c>
      <c r="F12615" s="7">
        <v>45991.41557260375</v>
      </c>
      <c r="G12615" s="3" t="s">
        <v>13163</v>
      </c>
    </row>
    <row r="12616">
      <c r="A12616" s="3" t="s">
        <v>28288</v>
      </c>
      <c r="B12616" s="3" t="s">
        <v>10899</v>
      </c>
      <c r="C12616" s="5" t="s">
        <v>614</v>
      </c>
      <c r="D12616" s="3" t="s">
        <v>206</v>
      </c>
      <c r="E12616" s="3" t="s">
        <v>100</v>
      </c>
      <c r="F12616" s="7">
        <v>45991.419044825976</v>
      </c>
      <c r="G12616" s="3" t="s">
        <v>13166</v>
      </c>
    </row>
    <row r="12617">
      <c r="A12617" s="3" t="s">
        <v>28289</v>
      </c>
      <c r="B12617" s="3" t="s">
        <v>10899</v>
      </c>
      <c r="C12617" s="5" t="s">
        <v>206</v>
      </c>
      <c r="D12617" s="3" t="s">
        <v>68</v>
      </c>
      <c r="E12617" s="3" t="s">
        <v>100</v>
      </c>
      <c r="F12617" s="7">
        <v>45991.422517048195</v>
      </c>
      <c r="G12617" s="3" t="s">
        <v>13170</v>
      </c>
    </row>
    <row r="12618">
      <c r="A12618" s="3" t="s">
        <v>28290</v>
      </c>
      <c r="B12618" s="3" t="s">
        <v>10901</v>
      </c>
      <c r="C12618" s="5" t="s">
        <v>45</v>
      </c>
      <c r="D12618" s="3" t="s">
        <v>221</v>
      </c>
      <c r="E12618" s="3" t="s">
        <v>778</v>
      </c>
      <c r="F12618" s="7">
        <v>45991.483275226936</v>
      </c>
      <c r="G12618" s="3" t="s">
        <v>14568</v>
      </c>
    </row>
    <row r="12619">
      <c r="A12619" s="3" t="s">
        <v>28291</v>
      </c>
      <c r="B12619" s="3" t="s">
        <v>10901</v>
      </c>
      <c r="C12619" s="5" t="s">
        <v>221</v>
      </c>
      <c r="D12619" s="3" t="s">
        <v>614</v>
      </c>
      <c r="E12619" s="3" t="s">
        <v>118</v>
      </c>
      <c r="F12619" s="7">
        <v>45991.486747449155</v>
      </c>
      <c r="G12619" s="3" t="s">
        <v>14571</v>
      </c>
    </row>
    <row r="12620">
      <c r="A12620" s="3" t="s">
        <v>28292</v>
      </c>
      <c r="B12620" s="3" t="s">
        <v>10901</v>
      </c>
      <c r="C12620" s="5" t="s">
        <v>614</v>
      </c>
      <c r="D12620" s="3" t="s">
        <v>206</v>
      </c>
      <c r="E12620" s="3" t="s">
        <v>100</v>
      </c>
      <c r="F12620" s="7">
        <v>45991.49021967138</v>
      </c>
      <c r="G12620" s="3" t="s">
        <v>14574</v>
      </c>
    </row>
    <row r="12621">
      <c r="A12621" s="3" t="s">
        <v>28293</v>
      </c>
      <c r="B12621" s="3" t="s">
        <v>10901</v>
      </c>
      <c r="C12621" s="5" t="s">
        <v>206</v>
      </c>
      <c r="D12621" s="3" t="s">
        <v>68</v>
      </c>
      <c r="E12621" s="3" t="s">
        <v>100</v>
      </c>
      <c r="F12621" s="7">
        <v>45991.4936918936</v>
      </c>
      <c r="G12621" s="3" t="s">
        <v>14577</v>
      </c>
    </row>
    <row r="12622">
      <c r="A12622" s="3" t="s">
        <v>28294</v>
      </c>
      <c r="B12622" s="3" t="s">
        <v>10905</v>
      </c>
      <c r="C12622" s="5" t="s">
        <v>45</v>
      </c>
      <c r="D12622" s="3" t="s">
        <v>221</v>
      </c>
      <c r="E12622" s="3" t="s">
        <v>886</v>
      </c>
      <c r="F12622" s="7">
        <v>45991.554450072355</v>
      </c>
      <c r="G12622" s="3" t="s">
        <v>18140</v>
      </c>
    </row>
    <row r="12623">
      <c r="A12623" s="3" t="s">
        <v>28295</v>
      </c>
      <c r="B12623" s="3" t="s">
        <v>10905</v>
      </c>
      <c r="C12623" s="5" t="s">
        <v>221</v>
      </c>
      <c r="D12623" s="3" t="s">
        <v>181</v>
      </c>
      <c r="E12623" s="3" t="s">
        <v>118</v>
      </c>
      <c r="F12623" s="7">
        <v>45991.557922294574</v>
      </c>
      <c r="G12623" s="3" t="s">
        <v>28296</v>
      </c>
    </row>
    <row r="12624">
      <c r="A12624" s="3" t="s">
        <v>28297</v>
      </c>
      <c r="B12624" s="3" t="s">
        <v>10909</v>
      </c>
      <c r="C12624" s="5" t="s">
        <v>45</v>
      </c>
      <c r="D12624" s="3" t="s">
        <v>221</v>
      </c>
      <c r="E12624" s="3" t="s">
        <v>838</v>
      </c>
      <c r="F12624" s="7">
        <v>45991.625624917775</v>
      </c>
      <c r="G12624" s="3" t="s">
        <v>28298</v>
      </c>
    </row>
    <row r="12625">
      <c r="A12625" s="3" t="s">
        <v>28299</v>
      </c>
      <c r="B12625" s="3" t="s">
        <v>10909</v>
      </c>
      <c r="C12625" s="5" t="s">
        <v>221</v>
      </c>
      <c r="D12625" s="3" t="s">
        <v>614</v>
      </c>
      <c r="E12625" s="3" t="s">
        <v>118</v>
      </c>
      <c r="F12625" s="7">
        <v>45991.629097139994</v>
      </c>
      <c r="G12625" s="3" t="s">
        <v>28300</v>
      </c>
    </row>
    <row r="12626">
      <c r="A12626" s="3" t="s">
        <v>28301</v>
      </c>
      <c r="B12626" s="3" t="s">
        <v>10909</v>
      </c>
      <c r="C12626" s="5" t="s">
        <v>614</v>
      </c>
      <c r="D12626" s="3" t="s">
        <v>206</v>
      </c>
      <c r="E12626" s="3" t="s">
        <v>100</v>
      </c>
      <c r="F12626" s="7">
        <v>45991.63256936222</v>
      </c>
      <c r="G12626" s="3" t="s">
        <v>28302</v>
      </c>
    </row>
    <row r="12627">
      <c r="A12627" s="3" t="s">
        <v>28303</v>
      </c>
      <c r="B12627" s="3" t="s">
        <v>10909</v>
      </c>
      <c r="C12627" s="5" t="s">
        <v>206</v>
      </c>
      <c r="D12627" s="3" t="s">
        <v>68</v>
      </c>
      <c r="E12627" s="3" t="s">
        <v>100</v>
      </c>
      <c r="F12627" s="7">
        <v>45991.63604158444</v>
      </c>
      <c r="G12627" s="3" t="s">
        <v>28304</v>
      </c>
    </row>
    <row r="12628">
      <c r="A12628" s="3" t="s">
        <v>28305</v>
      </c>
      <c r="B12628" s="3" t="s">
        <v>10912</v>
      </c>
      <c r="C12628" s="5" t="s">
        <v>45</v>
      </c>
      <c r="D12628" s="3" t="s">
        <v>221</v>
      </c>
      <c r="E12628" s="3" t="s">
        <v>391</v>
      </c>
      <c r="F12628" s="7">
        <v>45991.69679976319</v>
      </c>
      <c r="G12628" s="3" t="s">
        <v>17598</v>
      </c>
    </row>
    <row r="12629">
      <c r="A12629" s="3" t="s">
        <v>28306</v>
      </c>
      <c r="B12629" s="3" t="s">
        <v>10912</v>
      </c>
      <c r="C12629" s="5" t="s">
        <v>221</v>
      </c>
      <c r="D12629" s="3" t="s">
        <v>614</v>
      </c>
      <c r="E12629" s="3" t="s">
        <v>118</v>
      </c>
      <c r="F12629" s="7">
        <v>45991.700271985406</v>
      </c>
      <c r="G12629" s="3" t="s">
        <v>17601</v>
      </c>
    </row>
    <row r="12630">
      <c r="A12630" s="3" t="s">
        <v>28307</v>
      </c>
      <c r="B12630" s="3" t="s">
        <v>10912</v>
      </c>
      <c r="C12630" s="5" t="s">
        <v>614</v>
      </c>
      <c r="D12630" s="3" t="s">
        <v>206</v>
      </c>
      <c r="E12630" s="3" t="s">
        <v>100</v>
      </c>
      <c r="F12630" s="7">
        <v>45991.70374420763</v>
      </c>
      <c r="G12630" s="3" t="s">
        <v>17604</v>
      </c>
    </row>
    <row r="12631">
      <c r="A12631" s="3" t="s">
        <v>28308</v>
      </c>
      <c r="B12631" s="3" t="s">
        <v>10912</v>
      </c>
      <c r="C12631" s="5" t="s">
        <v>206</v>
      </c>
      <c r="D12631" s="3" t="s">
        <v>68</v>
      </c>
      <c r="E12631" s="3" t="s">
        <v>100</v>
      </c>
      <c r="F12631" s="7">
        <v>45991.70721642985</v>
      </c>
      <c r="G12631" s="3" t="s">
        <v>17607</v>
      </c>
    </row>
    <row r="12632">
      <c r="A12632" s="3" t="s">
        <v>28309</v>
      </c>
      <c r="B12632" s="3" t="s">
        <v>10914</v>
      </c>
      <c r="C12632" s="5" t="s">
        <v>45</v>
      </c>
      <c r="D12632" s="3" t="s">
        <v>221</v>
      </c>
      <c r="E12632" s="3" t="s">
        <v>505</v>
      </c>
      <c r="F12632" s="7">
        <v>45991.7679746086</v>
      </c>
      <c r="G12632" s="3" t="s">
        <v>28310</v>
      </c>
    </row>
    <row r="12633">
      <c r="A12633" s="3" t="s">
        <v>28311</v>
      </c>
      <c r="B12633" s="3" t="s">
        <v>10914</v>
      </c>
      <c r="C12633" s="5" t="s">
        <v>221</v>
      </c>
      <c r="D12633" s="3" t="s">
        <v>181</v>
      </c>
      <c r="E12633" s="3" t="s">
        <v>118</v>
      </c>
      <c r="F12633" s="7">
        <v>45991.77144683082</v>
      </c>
      <c r="G12633" s="3" t="s">
        <v>28312</v>
      </c>
    </row>
    <row r="12634">
      <c r="A12634" s="3" t="s">
        <v>28313</v>
      </c>
      <c r="B12634" s="3" t="s">
        <v>10916</v>
      </c>
      <c r="C12634" s="5" t="s">
        <v>45</v>
      </c>
      <c r="D12634" s="3" t="s">
        <v>221</v>
      </c>
      <c r="E12634" s="3" t="s">
        <v>781</v>
      </c>
      <c r="F12634" s="7">
        <v>45991.83914945402</v>
      </c>
      <c r="G12634" s="3" t="s">
        <v>22614</v>
      </c>
    </row>
    <row r="12635">
      <c r="A12635" s="3" t="s">
        <v>28314</v>
      </c>
      <c r="B12635" s="3" t="s">
        <v>10916</v>
      </c>
      <c r="C12635" s="5" t="s">
        <v>221</v>
      </c>
      <c r="D12635" s="3" t="s">
        <v>614</v>
      </c>
      <c r="E12635" s="3" t="s">
        <v>118</v>
      </c>
      <c r="F12635" s="7">
        <v>45991.84262167624</v>
      </c>
      <c r="G12635" s="3" t="s">
        <v>22617</v>
      </c>
    </row>
    <row r="12636">
      <c r="A12636" s="3" t="s">
        <v>28315</v>
      </c>
      <c r="B12636" s="3" t="s">
        <v>10916</v>
      </c>
      <c r="C12636" s="5" t="s">
        <v>614</v>
      </c>
      <c r="D12636" s="3" t="s">
        <v>206</v>
      </c>
      <c r="E12636" s="3" t="s">
        <v>100</v>
      </c>
      <c r="F12636" s="7">
        <v>45991.846093898464</v>
      </c>
      <c r="G12636" s="3" t="s">
        <v>22620</v>
      </c>
    </row>
    <row r="12637">
      <c r="A12637" s="3" t="s">
        <v>28316</v>
      </c>
      <c r="B12637" s="3" t="s">
        <v>10916</v>
      </c>
      <c r="C12637" s="5" t="s">
        <v>206</v>
      </c>
      <c r="D12637" s="3" t="s">
        <v>68</v>
      </c>
      <c r="E12637" s="3" t="s">
        <v>100</v>
      </c>
      <c r="F12637" s="7">
        <v>45991.84956612068</v>
      </c>
      <c r="G12637" s="3" t="s">
        <v>22623</v>
      </c>
    </row>
    <row r="12638">
      <c r="A12638" s="3" t="s">
        <v>28317</v>
      </c>
      <c r="B12638" s="3" t="s">
        <v>10919</v>
      </c>
      <c r="C12638" s="5" t="s">
        <v>45</v>
      </c>
      <c r="D12638" s="3" t="s">
        <v>221</v>
      </c>
      <c r="E12638" s="3" t="s">
        <v>713</v>
      </c>
      <c r="F12638" s="7">
        <v>45991.91032429943</v>
      </c>
      <c r="G12638" s="3" t="s">
        <v>15394</v>
      </c>
    </row>
    <row r="12639">
      <c r="A12639" s="3" t="s">
        <v>28318</v>
      </c>
      <c r="B12639" s="3" t="s">
        <v>10919</v>
      </c>
      <c r="C12639" s="5" t="s">
        <v>221</v>
      </c>
      <c r="D12639" s="3" t="s">
        <v>614</v>
      </c>
      <c r="E12639" s="3" t="s">
        <v>118</v>
      </c>
      <c r="F12639" s="7">
        <v>45991.91379652165</v>
      </c>
      <c r="G12639" s="3" t="s">
        <v>15397</v>
      </c>
    </row>
    <row r="12640">
      <c r="A12640" s="3" t="s">
        <v>28319</v>
      </c>
      <c r="B12640" s="3" t="s">
        <v>10919</v>
      </c>
      <c r="C12640" s="5" t="s">
        <v>614</v>
      </c>
      <c r="D12640" s="3" t="s">
        <v>206</v>
      </c>
      <c r="E12640" s="3" t="s">
        <v>100</v>
      </c>
      <c r="F12640" s="7">
        <v>45991.91726874388</v>
      </c>
      <c r="G12640" s="3" t="s">
        <v>15399</v>
      </c>
    </row>
    <row r="12641">
      <c r="A12641" s="3" t="s">
        <v>28320</v>
      </c>
      <c r="B12641" s="3" t="s">
        <v>10919</v>
      </c>
      <c r="C12641" s="5" t="s">
        <v>206</v>
      </c>
      <c r="D12641" s="3" t="s">
        <v>68</v>
      </c>
      <c r="E12641" s="3" t="s">
        <v>100</v>
      </c>
      <c r="F12641" s="7">
        <v>45991.920740966096</v>
      </c>
      <c r="G12641" s="3" t="s">
        <v>15402</v>
      </c>
    </row>
    <row r="12642">
      <c r="A12642" s="3" t="s">
        <v>28321</v>
      </c>
      <c r="B12642" s="3" t="s">
        <v>10922</v>
      </c>
      <c r="C12642" s="5" t="s">
        <v>45</v>
      </c>
      <c r="D12642" s="3" t="s">
        <v>221</v>
      </c>
      <c r="E12642" s="3" t="s">
        <v>202</v>
      </c>
      <c r="F12642" s="7">
        <v>45991.981499144844</v>
      </c>
      <c r="G12642" s="3" t="s">
        <v>15405</v>
      </c>
    </row>
    <row r="12643">
      <c r="A12643" s="3" t="s">
        <v>28322</v>
      </c>
      <c r="B12643" s="3" t="s">
        <v>10922</v>
      </c>
      <c r="C12643" s="5" t="s">
        <v>221</v>
      </c>
      <c r="D12643" s="3" t="s">
        <v>614</v>
      </c>
      <c r="E12643" s="3" t="s">
        <v>118</v>
      </c>
      <c r="F12643" s="7">
        <v>45991.98497136706</v>
      </c>
      <c r="G12643" s="3" t="s">
        <v>15408</v>
      </c>
    </row>
    <row r="12644">
      <c r="A12644" s="3" t="s">
        <v>28323</v>
      </c>
      <c r="B12644" s="3" t="s">
        <v>10922</v>
      </c>
      <c r="C12644" s="5" t="s">
        <v>614</v>
      </c>
      <c r="D12644" s="3" t="s">
        <v>206</v>
      </c>
      <c r="E12644" s="3" t="s">
        <v>100</v>
      </c>
      <c r="F12644" s="7">
        <v>45991.98844358929</v>
      </c>
      <c r="G12644" s="3" t="s">
        <v>15411</v>
      </c>
    </row>
    <row r="12645">
      <c r="A12645" s="3" t="s">
        <v>28324</v>
      </c>
      <c r="B12645" s="3" t="s">
        <v>10922</v>
      </c>
      <c r="C12645" s="5" t="s">
        <v>206</v>
      </c>
      <c r="D12645" s="3" t="s">
        <v>68</v>
      </c>
      <c r="E12645" s="3" t="s">
        <v>100</v>
      </c>
      <c r="F12645" s="7">
        <v>45991.99191581151</v>
      </c>
      <c r="G12645" s="3" t="s">
        <v>15413</v>
      </c>
    </row>
    <row r="12646">
      <c r="A12646" s="3" t="s">
        <v>28325</v>
      </c>
      <c r="B12646" s="3" t="s">
        <v>10925</v>
      </c>
      <c r="C12646" s="5" t="s">
        <v>45</v>
      </c>
      <c r="D12646" s="3" t="s">
        <v>221</v>
      </c>
      <c r="E12646" s="3" t="s">
        <v>293</v>
      </c>
      <c r="F12646" s="7">
        <v>45992.05267399026</v>
      </c>
      <c r="G12646" s="3" t="s">
        <v>15439</v>
      </c>
    </row>
    <row r="12647">
      <c r="A12647" s="3" t="s">
        <v>28326</v>
      </c>
      <c r="B12647" s="3" t="s">
        <v>10925</v>
      </c>
      <c r="C12647" s="5" t="s">
        <v>221</v>
      </c>
      <c r="D12647" s="3" t="s">
        <v>614</v>
      </c>
      <c r="E12647" s="3" t="s">
        <v>118</v>
      </c>
      <c r="F12647" s="7">
        <v>45992.05614621248</v>
      </c>
      <c r="G12647" s="3" t="s">
        <v>15441</v>
      </c>
    </row>
    <row r="12648">
      <c r="A12648" s="3" t="s">
        <v>28327</v>
      </c>
      <c r="B12648" s="3" t="s">
        <v>10925</v>
      </c>
      <c r="C12648" s="5" t="s">
        <v>614</v>
      </c>
      <c r="D12648" s="3" t="s">
        <v>206</v>
      </c>
      <c r="E12648" s="3" t="s">
        <v>100</v>
      </c>
      <c r="F12648" s="7">
        <v>45992.05961843471</v>
      </c>
      <c r="G12648" s="3" t="s">
        <v>15444</v>
      </c>
    </row>
    <row r="12649">
      <c r="A12649" s="3" t="s">
        <v>28328</v>
      </c>
      <c r="B12649" s="3" t="s">
        <v>10925</v>
      </c>
      <c r="C12649" s="5" t="s">
        <v>206</v>
      </c>
      <c r="D12649" s="3" t="s">
        <v>68</v>
      </c>
      <c r="E12649" s="3" t="s">
        <v>100</v>
      </c>
      <c r="F12649" s="7">
        <v>45992.06309065693</v>
      </c>
      <c r="G12649" s="3" t="s">
        <v>15447</v>
      </c>
    </row>
    <row r="12650">
      <c r="A12650" s="3" t="s">
        <v>28329</v>
      </c>
      <c r="B12650" s="3" t="s">
        <v>10928</v>
      </c>
      <c r="C12650" s="5" t="s">
        <v>45</v>
      </c>
      <c r="D12650" s="3" t="s">
        <v>221</v>
      </c>
      <c r="E12650" s="3" t="s">
        <v>348</v>
      </c>
      <c r="F12650" s="7">
        <v>45992.12384883568</v>
      </c>
      <c r="G12650" s="3" t="s">
        <v>15457</v>
      </c>
    </row>
    <row r="12651">
      <c r="A12651" s="3" t="s">
        <v>28330</v>
      </c>
      <c r="B12651" s="3" t="s">
        <v>10928</v>
      </c>
      <c r="C12651" s="5" t="s">
        <v>221</v>
      </c>
      <c r="D12651" s="3" t="s">
        <v>614</v>
      </c>
      <c r="E12651" s="3" t="s">
        <v>118</v>
      </c>
      <c r="F12651" s="7">
        <v>45992.1273210579</v>
      </c>
      <c r="G12651" s="3" t="s">
        <v>15460</v>
      </c>
    </row>
    <row r="12652">
      <c r="A12652" s="3" t="s">
        <v>28331</v>
      </c>
      <c r="B12652" s="3" t="s">
        <v>10928</v>
      </c>
      <c r="C12652" s="5" t="s">
        <v>614</v>
      </c>
      <c r="D12652" s="3" t="s">
        <v>206</v>
      </c>
      <c r="E12652" s="3" t="s">
        <v>100</v>
      </c>
      <c r="F12652" s="7">
        <v>45992.13079328013</v>
      </c>
      <c r="G12652" s="3" t="s">
        <v>15463</v>
      </c>
    </row>
    <row r="12653">
      <c r="A12653" s="3" t="s">
        <v>28332</v>
      </c>
      <c r="B12653" s="3" t="s">
        <v>10928</v>
      </c>
      <c r="C12653" s="5" t="s">
        <v>206</v>
      </c>
      <c r="D12653" s="3" t="s">
        <v>68</v>
      </c>
      <c r="E12653" s="3" t="s">
        <v>100</v>
      </c>
      <c r="F12653" s="7">
        <v>45992.13426550235</v>
      </c>
      <c r="G12653" s="3" t="s">
        <v>15466</v>
      </c>
    </row>
    <row r="12654">
      <c r="A12654" s="3" t="s">
        <v>28333</v>
      </c>
      <c r="B12654" s="3" t="s">
        <v>10932</v>
      </c>
      <c r="C12654" s="5" t="s">
        <v>45</v>
      </c>
      <c r="D12654" s="3" t="s">
        <v>221</v>
      </c>
      <c r="E12654" s="3" t="s">
        <v>796</v>
      </c>
      <c r="F12654" s="7">
        <v>45992.19502368109</v>
      </c>
      <c r="G12654" s="3" t="s">
        <v>8315</v>
      </c>
    </row>
    <row r="12655">
      <c r="A12655" s="3" t="s">
        <v>28334</v>
      </c>
      <c r="B12655" s="3" t="s">
        <v>10932</v>
      </c>
      <c r="C12655" s="5" t="s">
        <v>221</v>
      </c>
      <c r="D12655" s="3" t="s">
        <v>614</v>
      </c>
      <c r="E12655" s="3" t="s">
        <v>118</v>
      </c>
      <c r="F12655" s="7">
        <v>45992.19849590331</v>
      </c>
      <c r="G12655" s="3" t="s">
        <v>8318</v>
      </c>
    </row>
    <row r="12656">
      <c r="A12656" s="3" t="s">
        <v>28335</v>
      </c>
      <c r="B12656" s="3" t="s">
        <v>10932</v>
      </c>
      <c r="C12656" s="5" t="s">
        <v>614</v>
      </c>
      <c r="D12656" s="3" t="s">
        <v>206</v>
      </c>
      <c r="E12656" s="3" t="s">
        <v>100</v>
      </c>
      <c r="F12656" s="7">
        <v>45992.20196812553</v>
      </c>
      <c r="G12656" s="3" t="s">
        <v>8321</v>
      </c>
    </row>
    <row r="12657">
      <c r="A12657" s="3" t="s">
        <v>28336</v>
      </c>
      <c r="B12657" s="3" t="s">
        <v>10932</v>
      </c>
      <c r="C12657" s="5" t="s">
        <v>206</v>
      </c>
      <c r="D12657" s="3" t="s">
        <v>68</v>
      </c>
      <c r="E12657" s="3" t="s">
        <v>100</v>
      </c>
      <c r="F12657" s="7">
        <v>45992.20544034775</v>
      </c>
      <c r="G12657" s="3" t="s">
        <v>8324</v>
      </c>
    </row>
    <row r="12658">
      <c r="A12658" s="3" t="s">
        <v>28337</v>
      </c>
      <c r="B12658" s="3" t="s">
        <v>10935</v>
      </c>
      <c r="C12658" s="5" t="s">
        <v>45</v>
      </c>
      <c r="D12658" s="3" t="s">
        <v>221</v>
      </c>
      <c r="E12658" s="3" t="s">
        <v>479</v>
      </c>
      <c r="F12658" s="7">
        <v>45992.26619852651</v>
      </c>
      <c r="G12658" s="3" t="s">
        <v>19486</v>
      </c>
    </row>
    <row r="12659">
      <c r="A12659" s="3" t="s">
        <v>28338</v>
      </c>
      <c r="B12659" s="3" t="s">
        <v>10935</v>
      </c>
      <c r="C12659" s="5" t="s">
        <v>221</v>
      </c>
      <c r="D12659" s="3" t="s">
        <v>614</v>
      </c>
      <c r="E12659" s="3" t="s">
        <v>118</v>
      </c>
      <c r="F12659" s="7">
        <v>45992.26967074873</v>
      </c>
      <c r="G12659" s="3" t="s">
        <v>19489</v>
      </c>
    </row>
    <row r="12660">
      <c r="A12660" s="3" t="s">
        <v>28339</v>
      </c>
      <c r="B12660" s="3" t="s">
        <v>10935</v>
      </c>
      <c r="C12660" s="5" t="s">
        <v>614</v>
      </c>
      <c r="D12660" s="3" t="s">
        <v>206</v>
      </c>
      <c r="E12660" s="3" t="s">
        <v>100</v>
      </c>
      <c r="F12660" s="7">
        <v>45992.27314297095</v>
      </c>
      <c r="G12660" s="3" t="s">
        <v>19492</v>
      </c>
    </row>
    <row r="12661">
      <c r="A12661" s="3" t="s">
        <v>28340</v>
      </c>
      <c r="B12661" s="3" t="s">
        <v>10935</v>
      </c>
      <c r="C12661" s="5" t="s">
        <v>206</v>
      </c>
      <c r="D12661" s="3" t="s">
        <v>68</v>
      </c>
      <c r="E12661" s="3" t="s">
        <v>100</v>
      </c>
      <c r="F12661" s="7">
        <v>45992.27661519317</v>
      </c>
      <c r="G12661" s="3" t="s">
        <v>19494</v>
      </c>
    </row>
    <row r="12662">
      <c r="A12662" s="3" t="s">
        <v>28341</v>
      </c>
      <c r="B12662" s="3" t="s">
        <v>10939</v>
      </c>
      <c r="C12662" s="5" t="s">
        <v>45</v>
      </c>
      <c r="D12662" s="3" t="s">
        <v>221</v>
      </c>
      <c r="E12662" s="3" t="s">
        <v>669</v>
      </c>
      <c r="F12662" s="7">
        <v>45992.33737337192</v>
      </c>
      <c r="G12662" s="3" t="s">
        <v>25154</v>
      </c>
    </row>
    <row r="12663">
      <c r="A12663" s="3" t="s">
        <v>28342</v>
      </c>
      <c r="B12663" s="3" t="s">
        <v>10939</v>
      </c>
      <c r="C12663" s="5" t="s">
        <v>221</v>
      </c>
      <c r="D12663" s="3" t="s">
        <v>614</v>
      </c>
      <c r="E12663" s="3" t="s">
        <v>118</v>
      </c>
      <c r="F12663" s="7">
        <v>45992.34084559414</v>
      </c>
      <c r="G12663" s="3" t="s">
        <v>25156</v>
      </c>
    </row>
    <row r="12664">
      <c r="A12664" s="3" t="s">
        <v>28343</v>
      </c>
      <c r="B12664" s="3" t="s">
        <v>10939</v>
      </c>
      <c r="C12664" s="5" t="s">
        <v>614</v>
      </c>
      <c r="D12664" s="3" t="s">
        <v>206</v>
      </c>
      <c r="E12664" s="3" t="s">
        <v>100</v>
      </c>
      <c r="F12664" s="7">
        <v>45992.344317816365</v>
      </c>
      <c r="G12664" s="3" t="s">
        <v>25158</v>
      </c>
    </row>
    <row r="12665">
      <c r="A12665" s="3" t="s">
        <v>28344</v>
      </c>
      <c r="B12665" s="3" t="s">
        <v>10939</v>
      </c>
      <c r="C12665" s="5" t="s">
        <v>206</v>
      </c>
      <c r="D12665" s="3" t="s">
        <v>68</v>
      </c>
      <c r="E12665" s="3" t="s">
        <v>100</v>
      </c>
      <c r="F12665" s="7">
        <v>45992.347790038584</v>
      </c>
      <c r="G12665" s="3" t="s">
        <v>25160</v>
      </c>
    </row>
    <row r="12666">
      <c r="A12666" s="3" t="s">
        <v>28345</v>
      </c>
      <c r="B12666" s="3" t="s">
        <v>10942</v>
      </c>
      <c r="C12666" s="5" t="s">
        <v>45</v>
      </c>
      <c r="D12666" s="3" t="s">
        <v>221</v>
      </c>
      <c r="E12666" s="3" t="s">
        <v>717</v>
      </c>
      <c r="F12666" s="7">
        <v>45992.40854821734</v>
      </c>
      <c r="G12666" s="3" t="s">
        <v>2770</v>
      </c>
    </row>
    <row r="12667">
      <c r="A12667" s="3" t="s">
        <v>28346</v>
      </c>
      <c r="B12667" s="3" t="s">
        <v>10942</v>
      </c>
      <c r="C12667" s="5" t="s">
        <v>221</v>
      </c>
      <c r="D12667" s="3" t="s">
        <v>181</v>
      </c>
      <c r="E12667" s="3" t="s">
        <v>118</v>
      </c>
      <c r="F12667" s="7">
        <v>45992.41202043956</v>
      </c>
      <c r="G12667" s="3" t="s">
        <v>2774</v>
      </c>
    </row>
    <row r="12668">
      <c r="A12668" s="3" t="s">
        <v>28347</v>
      </c>
      <c r="B12668" s="3" t="s">
        <v>10945</v>
      </c>
      <c r="C12668" s="5" t="s">
        <v>45</v>
      </c>
      <c r="D12668" s="3" t="s">
        <v>221</v>
      </c>
      <c r="E12668" s="3" t="s">
        <v>145</v>
      </c>
      <c r="F12668" s="7">
        <v>45992.47972306275</v>
      </c>
      <c r="G12668" s="3" t="s">
        <v>16504</v>
      </c>
    </row>
    <row r="12669">
      <c r="A12669" s="3" t="s">
        <v>28348</v>
      </c>
      <c r="B12669" s="3" t="s">
        <v>10945</v>
      </c>
      <c r="C12669" s="5" t="s">
        <v>221</v>
      </c>
      <c r="D12669" s="3" t="s">
        <v>614</v>
      </c>
      <c r="E12669" s="3" t="s">
        <v>118</v>
      </c>
      <c r="F12669" s="7">
        <v>45992.48319528497</v>
      </c>
      <c r="G12669" s="3" t="s">
        <v>16644</v>
      </c>
    </row>
    <row r="12670">
      <c r="A12670" s="3" t="s">
        <v>28349</v>
      </c>
      <c r="B12670" s="3" t="s">
        <v>10945</v>
      </c>
      <c r="C12670" s="5" t="s">
        <v>614</v>
      </c>
      <c r="D12670" s="3" t="s">
        <v>206</v>
      </c>
      <c r="E12670" s="3" t="s">
        <v>100</v>
      </c>
      <c r="F12670" s="7">
        <v>45992.4866675072</v>
      </c>
      <c r="G12670" s="3" t="s">
        <v>16647</v>
      </c>
    </row>
    <row r="12671">
      <c r="A12671" s="3" t="s">
        <v>28350</v>
      </c>
      <c r="B12671" s="3" t="s">
        <v>10945</v>
      </c>
      <c r="C12671" s="5" t="s">
        <v>206</v>
      </c>
      <c r="D12671" s="3" t="s">
        <v>68</v>
      </c>
      <c r="E12671" s="3" t="s">
        <v>100</v>
      </c>
      <c r="F12671" s="7">
        <v>45992.490139729416</v>
      </c>
      <c r="G12671" s="3" t="s">
        <v>16649</v>
      </c>
    </row>
    <row r="12672">
      <c r="A12672" s="3" t="s">
        <v>28351</v>
      </c>
      <c r="B12672" s="3" t="s">
        <v>10948</v>
      </c>
      <c r="C12672" s="5" t="s">
        <v>45</v>
      </c>
      <c r="D12672" s="3" t="s">
        <v>221</v>
      </c>
      <c r="E12672" s="3" t="s">
        <v>243</v>
      </c>
      <c r="F12672" s="7">
        <v>45992.55089790817</v>
      </c>
      <c r="G12672" s="3" t="s">
        <v>19906</v>
      </c>
    </row>
    <row r="12673">
      <c r="A12673" s="3" t="s">
        <v>28352</v>
      </c>
      <c r="B12673" s="3" t="s">
        <v>10948</v>
      </c>
      <c r="C12673" s="5" t="s">
        <v>221</v>
      </c>
      <c r="D12673" s="3" t="s">
        <v>614</v>
      </c>
      <c r="E12673" s="3" t="s">
        <v>118</v>
      </c>
      <c r="F12673" s="7">
        <v>45992.55437013039</v>
      </c>
      <c r="G12673" s="3" t="s">
        <v>19908</v>
      </c>
    </row>
    <row r="12674">
      <c r="A12674" s="3" t="s">
        <v>28353</v>
      </c>
      <c r="B12674" s="3" t="s">
        <v>10948</v>
      </c>
      <c r="C12674" s="5" t="s">
        <v>614</v>
      </c>
      <c r="D12674" s="3" t="s">
        <v>206</v>
      </c>
      <c r="E12674" s="3" t="s">
        <v>100</v>
      </c>
      <c r="F12674" s="7">
        <v>45992.55784235262</v>
      </c>
      <c r="G12674" s="3" t="s">
        <v>19911</v>
      </c>
    </row>
    <row r="12675">
      <c r="A12675" s="3" t="s">
        <v>28354</v>
      </c>
      <c r="B12675" s="3" t="s">
        <v>10948</v>
      </c>
      <c r="C12675" s="5" t="s">
        <v>206</v>
      </c>
      <c r="D12675" s="3" t="s">
        <v>68</v>
      </c>
      <c r="E12675" s="3" t="s">
        <v>100</v>
      </c>
      <c r="F12675" s="7">
        <v>45992.561314574836</v>
      </c>
      <c r="G12675" s="3" t="s">
        <v>19914</v>
      </c>
    </row>
    <row r="12676">
      <c r="A12676" s="3" t="s">
        <v>28355</v>
      </c>
      <c r="B12676" s="3" t="s">
        <v>10950</v>
      </c>
      <c r="C12676" s="5" t="s">
        <v>45</v>
      </c>
      <c r="D12676" s="3" t="s">
        <v>221</v>
      </c>
      <c r="E12676" s="3" t="s">
        <v>363</v>
      </c>
      <c r="F12676" s="7">
        <v>45992.62207275358</v>
      </c>
      <c r="G12676" s="3" t="s">
        <v>22543</v>
      </c>
    </row>
    <row r="12677">
      <c r="A12677" s="3" t="s">
        <v>28356</v>
      </c>
      <c r="B12677" s="3" t="s">
        <v>10950</v>
      </c>
      <c r="C12677" s="5" t="s">
        <v>221</v>
      </c>
      <c r="D12677" s="3" t="s">
        <v>614</v>
      </c>
      <c r="E12677" s="3" t="s">
        <v>118</v>
      </c>
      <c r="F12677" s="7">
        <v>45992.625544975795</v>
      </c>
      <c r="G12677" s="3" t="s">
        <v>22546</v>
      </c>
    </row>
    <row r="12678">
      <c r="A12678" s="3" t="s">
        <v>28357</v>
      </c>
      <c r="B12678" s="3" t="s">
        <v>10950</v>
      </c>
      <c r="C12678" s="5" t="s">
        <v>614</v>
      </c>
      <c r="D12678" s="3" t="s">
        <v>206</v>
      </c>
      <c r="E12678" s="3" t="s">
        <v>100</v>
      </c>
      <c r="F12678" s="7">
        <v>45992.62901719802</v>
      </c>
      <c r="G12678" s="3" t="s">
        <v>22549</v>
      </c>
    </row>
    <row r="12679">
      <c r="A12679" s="3" t="s">
        <v>28358</v>
      </c>
      <c r="B12679" s="3" t="s">
        <v>10950</v>
      </c>
      <c r="C12679" s="5" t="s">
        <v>206</v>
      </c>
      <c r="D12679" s="3" t="s">
        <v>68</v>
      </c>
      <c r="E12679" s="3" t="s">
        <v>100</v>
      </c>
      <c r="F12679" s="7">
        <v>45992.63248942024</v>
      </c>
      <c r="G12679" s="3" t="s">
        <v>22552</v>
      </c>
    </row>
    <row r="12680">
      <c r="A12680" s="3" t="s">
        <v>28359</v>
      </c>
      <c r="B12680" s="3" t="s">
        <v>10952</v>
      </c>
      <c r="C12680" s="5" t="s">
        <v>45</v>
      </c>
      <c r="D12680" s="3" t="s">
        <v>221</v>
      </c>
      <c r="E12680" s="3" t="s">
        <v>276</v>
      </c>
      <c r="F12680" s="7">
        <v>45992.693247598996</v>
      </c>
      <c r="G12680" s="3" t="s">
        <v>15509</v>
      </c>
    </row>
    <row r="12681">
      <c r="A12681" s="3" t="s">
        <v>28360</v>
      </c>
      <c r="B12681" s="3" t="s">
        <v>10952</v>
      </c>
      <c r="C12681" s="5" t="s">
        <v>221</v>
      </c>
      <c r="D12681" s="3" t="s">
        <v>614</v>
      </c>
      <c r="E12681" s="3" t="s">
        <v>118</v>
      </c>
      <c r="F12681" s="7">
        <v>45992.696719821215</v>
      </c>
      <c r="G12681" s="3" t="s">
        <v>15512</v>
      </c>
    </row>
    <row r="12682">
      <c r="A12682" s="3" t="s">
        <v>28361</v>
      </c>
      <c r="B12682" s="3" t="s">
        <v>10952</v>
      </c>
      <c r="C12682" s="5" t="s">
        <v>614</v>
      </c>
      <c r="D12682" s="3" t="s">
        <v>206</v>
      </c>
      <c r="E12682" s="3" t="s">
        <v>100</v>
      </c>
      <c r="F12682" s="7">
        <v>45992.70019204344</v>
      </c>
      <c r="G12682" s="3" t="s">
        <v>15515</v>
      </c>
    </row>
    <row r="12683">
      <c r="A12683" s="3" t="s">
        <v>28362</v>
      </c>
      <c r="B12683" s="3" t="s">
        <v>10952</v>
      </c>
      <c r="C12683" s="5" t="s">
        <v>206</v>
      </c>
      <c r="D12683" s="3" t="s">
        <v>68</v>
      </c>
      <c r="E12683" s="3" t="s">
        <v>100</v>
      </c>
      <c r="F12683" s="7">
        <v>45992.70366426566</v>
      </c>
      <c r="G12683" s="3" t="s">
        <v>15517</v>
      </c>
    </row>
    <row r="12684">
      <c r="A12684" s="3" t="s">
        <v>28363</v>
      </c>
      <c r="B12684" s="3" t="s">
        <v>10955</v>
      </c>
      <c r="C12684" s="5" t="s">
        <v>45</v>
      </c>
      <c r="D12684" s="3" t="s">
        <v>221</v>
      </c>
      <c r="E12684" s="3" t="s">
        <v>530</v>
      </c>
      <c r="F12684" s="7">
        <v>45992.764422444416</v>
      </c>
      <c r="G12684" s="3" t="s">
        <v>16686</v>
      </c>
    </row>
    <row r="12685">
      <c r="A12685" s="3" t="s">
        <v>28364</v>
      </c>
      <c r="B12685" s="3" t="s">
        <v>10955</v>
      </c>
      <c r="C12685" s="5" t="s">
        <v>221</v>
      </c>
      <c r="D12685" s="3" t="s">
        <v>614</v>
      </c>
      <c r="E12685" s="3" t="s">
        <v>118</v>
      </c>
      <c r="F12685" s="7">
        <v>45992.767894666635</v>
      </c>
      <c r="G12685" s="3" t="s">
        <v>28365</v>
      </c>
    </row>
    <row r="12686">
      <c r="A12686" s="3" t="s">
        <v>28366</v>
      </c>
      <c r="B12686" s="3" t="s">
        <v>10955</v>
      </c>
      <c r="C12686" s="5" t="s">
        <v>614</v>
      </c>
      <c r="D12686" s="3" t="s">
        <v>206</v>
      </c>
      <c r="E12686" s="3" t="s">
        <v>100</v>
      </c>
      <c r="F12686" s="7">
        <v>45992.77136688886</v>
      </c>
      <c r="G12686" s="3" t="s">
        <v>28367</v>
      </c>
    </row>
    <row r="12687">
      <c r="A12687" s="3" t="s">
        <v>28368</v>
      </c>
      <c r="B12687" s="3" t="s">
        <v>10955</v>
      </c>
      <c r="C12687" s="5" t="s">
        <v>206</v>
      </c>
      <c r="D12687" s="3" t="s">
        <v>68</v>
      </c>
      <c r="E12687" s="3" t="s">
        <v>100</v>
      </c>
      <c r="F12687" s="7">
        <v>45992.77483911108</v>
      </c>
      <c r="G12687" s="3" t="s">
        <v>28369</v>
      </c>
    </row>
    <row r="12688">
      <c r="A12688" s="3" t="s">
        <v>28370</v>
      </c>
      <c r="B12688" s="3" t="s">
        <v>10959</v>
      </c>
      <c r="C12688" s="5" t="s">
        <v>45</v>
      </c>
      <c r="D12688" s="3" t="s">
        <v>221</v>
      </c>
      <c r="E12688" s="3" t="s">
        <v>123</v>
      </c>
      <c r="F12688" s="7">
        <v>45992.83559728983</v>
      </c>
      <c r="G12688" s="3" t="s">
        <v>8229</v>
      </c>
    </row>
    <row r="12689">
      <c r="A12689" s="3" t="s">
        <v>28371</v>
      </c>
      <c r="B12689" s="3" t="s">
        <v>10959</v>
      </c>
      <c r="C12689" s="5" t="s">
        <v>221</v>
      </c>
      <c r="D12689" s="3" t="s">
        <v>614</v>
      </c>
      <c r="E12689" s="3" t="s">
        <v>118</v>
      </c>
      <c r="F12689" s="7">
        <v>45992.83906951205</v>
      </c>
      <c r="G12689" s="3" t="s">
        <v>8231</v>
      </c>
    </row>
    <row r="12690">
      <c r="A12690" s="3" t="s">
        <v>28372</v>
      </c>
      <c r="B12690" s="3" t="s">
        <v>10959</v>
      </c>
      <c r="C12690" s="5" t="s">
        <v>614</v>
      </c>
      <c r="D12690" s="3" t="s">
        <v>206</v>
      </c>
      <c r="E12690" s="3" t="s">
        <v>100</v>
      </c>
      <c r="F12690" s="7">
        <v>45992.84254173427</v>
      </c>
      <c r="G12690" s="3" t="s">
        <v>8234</v>
      </c>
    </row>
    <row r="12691">
      <c r="A12691" s="3" t="s">
        <v>28373</v>
      </c>
      <c r="B12691" s="3" t="s">
        <v>10959</v>
      </c>
      <c r="C12691" s="5" t="s">
        <v>206</v>
      </c>
      <c r="D12691" s="3" t="s">
        <v>68</v>
      </c>
      <c r="E12691" s="3" t="s">
        <v>100</v>
      </c>
      <c r="F12691" s="7">
        <v>45992.84601395649</v>
      </c>
      <c r="G12691" s="3" t="s">
        <v>8237</v>
      </c>
    </row>
    <row r="12692">
      <c r="A12692" s="3" t="s">
        <v>28374</v>
      </c>
      <c r="B12692" s="3" t="s">
        <v>10963</v>
      </c>
      <c r="C12692" s="5" t="s">
        <v>45</v>
      </c>
      <c r="D12692" s="3" t="s">
        <v>221</v>
      </c>
      <c r="E12692" s="3" t="s">
        <v>411</v>
      </c>
      <c r="F12692" s="7">
        <v>45992.90677213524</v>
      </c>
      <c r="G12692" s="3" t="s">
        <v>9419</v>
      </c>
    </row>
    <row r="12693">
      <c r="A12693" s="3" t="s">
        <v>28375</v>
      </c>
      <c r="B12693" s="3" t="s">
        <v>10963</v>
      </c>
      <c r="C12693" s="5" t="s">
        <v>221</v>
      </c>
      <c r="D12693" s="3" t="s">
        <v>614</v>
      </c>
      <c r="E12693" s="3" t="s">
        <v>118</v>
      </c>
      <c r="F12693" s="7">
        <v>45992.91024435746</v>
      </c>
      <c r="G12693" s="3" t="s">
        <v>13127</v>
      </c>
    </row>
    <row r="12694">
      <c r="A12694" s="3" t="s">
        <v>28376</v>
      </c>
      <c r="B12694" s="3" t="s">
        <v>10963</v>
      </c>
      <c r="C12694" s="5" t="s">
        <v>614</v>
      </c>
      <c r="D12694" s="3" t="s">
        <v>206</v>
      </c>
      <c r="E12694" s="3" t="s">
        <v>100</v>
      </c>
      <c r="F12694" s="7">
        <v>45992.913716579686</v>
      </c>
      <c r="G12694" s="3" t="s">
        <v>13130</v>
      </c>
    </row>
    <row r="12695">
      <c r="A12695" s="3" t="s">
        <v>28377</v>
      </c>
      <c r="B12695" s="3" t="s">
        <v>10963</v>
      </c>
      <c r="C12695" s="5" t="s">
        <v>206</v>
      </c>
      <c r="D12695" s="3" t="s">
        <v>68</v>
      </c>
      <c r="E12695" s="3" t="s">
        <v>100</v>
      </c>
      <c r="F12695" s="7">
        <v>45992.917188801905</v>
      </c>
      <c r="G12695" s="3" t="s">
        <v>13133</v>
      </c>
    </row>
    <row r="12696">
      <c r="A12696" s="3" t="s">
        <v>28378</v>
      </c>
      <c r="B12696" s="3" t="s">
        <v>10966</v>
      </c>
      <c r="C12696" s="5" t="s">
        <v>45</v>
      </c>
      <c r="D12696" s="3" t="s">
        <v>221</v>
      </c>
      <c r="E12696" s="3" t="s">
        <v>481</v>
      </c>
      <c r="F12696" s="7">
        <v>45992.97794698066</v>
      </c>
      <c r="G12696" s="3" t="s">
        <v>27074</v>
      </c>
    </row>
    <row r="12697">
      <c r="A12697" s="3" t="s">
        <v>28379</v>
      </c>
      <c r="B12697" s="3" t="s">
        <v>10966</v>
      </c>
      <c r="C12697" s="5" t="s">
        <v>221</v>
      </c>
      <c r="D12697" s="3" t="s">
        <v>614</v>
      </c>
      <c r="E12697" s="3" t="s">
        <v>118</v>
      </c>
      <c r="F12697" s="7">
        <v>45992.98141920288</v>
      </c>
      <c r="G12697" s="3" t="s">
        <v>27076</v>
      </c>
    </row>
    <row r="12698">
      <c r="A12698" s="3" t="s">
        <v>28380</v>
      </c>
      <c r="B12698" s="3" t="s">
        <v>10966</v>
      </c>
      <c r="C12698" s="5" t="s">
        <v>614</v>
      </c>
      <c r="D12698" s="3" t="s">
        <v>206</v>
      </c>
      <c r="E12698" s="3" t="s">
        <v>100</v>
      </c>
      <c r="F12698" s="7">
        <v>45992.984891425105</v>
      </c>
      <c r="G12698" s="3" t="s">
        <v>27078</v>
      </c>
    </row>
    <row r="12699">
      <c r="A12699" s="3" t="s">
        <v>28381</v>
      </c>
      <c r="B12699" s="3" t="s">
        <v>10966</v>
      </c>
      <c r="C12699" s="5" t="s">
        <v>206</v>
      </c>
      <c r="D12699" s="3" t="s">
        <v>68</v>
      </c>
      <c r="E12699" s="3" t="s">
        <v>100</v>
      </c>
      <c r="F12699" s="7">
        <v>45992.988363647324</v>
      </c>
      <c r="G12699" s="3" t="s">
        <v>27080</v>
      </c>
    </row>
    <row r="12700">
      <c r="A12700" s="3" t="s">
        <v>28382</v>
      </c>
      <c r="B12700" s="3" t="s">
        <v>10969</v>
      </c>
      <c r="C12700" s="5" t="s">
        <v>45</v>
      </c>
      <c r="D12700" s="3" t="s">
        <v>221</v>
      </c>
      <c r="E12700" s="3" t="s">
        <v>455</v>
      </c>
      <c r="F12700" s="7">
        <v>45993.04912182607</v>
      </c>
      <c r="G12700" s="3" t="s">
        <v>2770</v>
      </c>
    </row>
    <row r="12701">
      <c r="A12701" s="3" t="s">
        <v>28383</v>
      </c>
      <c r="B12701" s="3" t="s">
        <v>10969</v>
      </c>
      <c r="C12701" s="5" t="s">
        <v>221</v>
      </c>
      <c r="D12701" s="3" t="s">
        <v>181</v>
      </c>
      <c r="E12701" s="3" t="s">
        <v>118</v>
      </c>
      <c r="F12701" s="7">
        <v>45993.05259404829</v>
      </c>
      <c r="G12701" s="3" t="s">
        <v>2774</v>
      </c>
    </row>
    <row r="12702">
      <c r="A12702" s="3" t="s">
        <v>28384</v>
      </c>
      <c r="B12702" s="3" t="s">
        <v>10972</v>
      </c>
      <c r="C12702" s="5" t="s">
        <v>45</v>
      </c>
      <c r="D12702" s="3" t="s">
        <v>221</v>
      </c>
      <c r="E12702" s="3" t="s">
        <v>287</v>
      </c>
      <c r="F12702" s="7">
        <v>45993.120296671485</v>
      </c>
      <c r="G12702" s="3" t="s">
        <v>20453</v>
      </c>
    </row>
    <row r="12703">
      <c r="A12703" s="3" t="s">
        <v>28385</v>
      </c>
      <c r="B12703" s="3" t="s">
        <v>10972</v>
      </c>
      <c r="C12703" s="5" t="s">
        <v>221</v>
      </c>
      <c r="D12703" s="3" t="s">
        <v>614</v>
      </c>
      <c r="E12703" s="3" t="s">
        <v>118</v>
      </c>
      <c r="F12703" s="7">
        <v>45993.1237688937</v>
      </c>
      <c r="G12703" s="3" t="s">
        <v>20456</v>
      </c>
    </row>
    <row r="12704">
      <c r="A12704" s="3" t="s">
        <v>28386</v>
      </c>
      <c r="B12704" s="3" t="s">
        <v>10972</v>
      </c>
      <c r="C12704" s="5" t="s">
        <v>614</v>
      </c>
      <c r="D12704" s="3" t="s">
        <v>206</v>
      </c>
      <c r="E12704" s="3" t="s">
        <v>100</v>
      </c>
      <c r="F12704" s="7">
        <v>45993.12724111593</v>
      </c>
      <c r="G12704" s="3" t="s">
        <v>20458</v>
      </c>
    </row>
    <row r="12705">
      <c r="A12705" s="3" t="s">
        <v>28387</v>
      </c>
      <c r="B12705" s="3" t="s">
        <v>10972</v>
      </c>
      <c r="C12705" s="5" t="s">
        <v>206</v>
      </c>
      <c r="D12705" s="3" t="s">
        <v>68</v>
      </c>
      <c r="E12705" s="3" t="s">
        <v>100</v>
      </c>
      <c r="F12705" s="7">
        <v>45993.13071333815</v>
      </c>
      <c r="G12705" s="3" t="s">
        <v>20461</v>
      </c>
    </row>
    <row r="12706">
      <c r="A12706" s="3" t="s">
        <v>28388</v>
      </c>
      <c r="B12706" s="3" t="s">
        <v>10976</v>
      </c>
      <c r="C12706" s="5" t="s">
        <v>45</v>
      </c>
      <c r="D12706" s="3" t="s">
        <v>221</v>
      </c>
      <c r="E12706" s="3" t="s">
        <v>280</v>
      </c>
      <c r="F12706" s="7">
        <v>45993.191471516904</v>
      </c>
      <c r="G12706" s="3" t="s">
        <v>15531</v>
      </c>
    </row>
    <row r="12707">
      <c r="A12707" s="3" t="s">
        <v>28389</v>
      </c>
      <c r="B12707" s="3" t="s">
        <v>10976</v>
      </c>
      <c r="C12707" s="5" t="s">
        <v>221</v>
      </c>
      <c r="D12707" s="3" t="s">
        <v>614</v>
      </c>
      <c r="E12707" s="3" t="s">
        <v>118</v>
      </c>
      <c r="F12707" s="7">
        <v>45993.19494373912</v>
      </c>
      <c r="G12707" s="3" t="s">
        <v>15534</v>
      </c>
    </row>
    <row r="12708">
      <c r="A12708" s="3" t="s">
        <v>28390</v>
      </c>
      <c r="B12708" s="3" t="s">
        <v>10976</v>
      </c>
      <c r="C12708" s="5" t="s">
        <v>614</v>
      </c>
      <c r="D12708" s="3" t="s">
        <v>206</v>
      </c>
      <c r="E12708" s="3" t="s">
        <v>100</v>
      </c>
      <c r="F12708" s="7">
        <v>45993.19841596135</v>
      </c>
      <c r="G12708" s="3" t="s">
        <v>15537</v>
      </c>
    </row>
    <row r="12709">
      <c r="A12709" s="3" t="s">
        <v>28391</v>
      </c>
      <c r="B12709" s="3" t="s">
        <v>10976</v>
      </c>
      <c r="C12709" s="5" t="s">
        <v>206</v>
      </c>
      <c r="D12709" s="3" t="s">
        <v>68</v>
      </c>
      <c r="E12709" s="3" t="s">
        <v>100</v>
      </c>
      <c r="F12709" s="7">
        <v>45993.20188818357</v>
      </c>
      <c r="G12709" s="3" t="s">
        <v>15540</v>
      </c>
    </row>
    <row r="12710">
      <c r="A12710" s="3" t="s">
        <v>28392</v>
      </c>
      <c r="B12710" s="3" t="s">
        <v>10980</v>
      </c>
      <c r="C12710" s="5" t="s">
        <v>45</v>
      </c>
      <c r="D12710" s="3" t="s">
        <v>221</v>
      </c>
      <c r="E12710" s="3" t="s">
        <v>356</v>
      </c>
      <c r="F12710" s="7">
        <v>45993.262646362324</v>
      </c>
      <c r="G12710" s="3" t="s">
        <v>15583</v>
      </c>
    </row>
    <row r="12711">
      <c r="A12711" s="3" t="s">
        <v>28393</v>
      </c>
      <c r="B12711" s="3" t="s">
        <v>10980</v>
      </c>
      <c r="C12711" s="5" t="s">
        <v>221</v>
      </c>
      <c r="D12711" s="3" t="s">
        <v>614</v>
      </c>
      <c r="E12711" s="3" t="s">
        <v>118</v>
      </c>
      <c r="F12711" s="7">
        <v>45993.26611858454</v>
      </c>
      <c r="G12711" s="3" t="s">
        <v>15586</v>
      </c>
    </row>
    <row r="12712">
      <c r="A12712" s="3" t="s">
        <v>28394</v>
      </c>
      <c r="B12712" s="3" t="s">
        <v>10980</v>
      </c>
      <c r="C12712" s="5" t="s">
        <v>614</v>
      </c>
      <c r="D12712" s="3" t="s">
        <v>206</v>
      </c>
      <c r="E12712" s="3" t="s">
        <v>100</v>
      </c>
      <c r="F12712" s="7">
        <v>45993.26959080677</v>
      </c>
      <c r="G12712" s="3" t="s">
        <v>15589</v>
      </c>
    </row>
    <row r="12713">
      <c r="A12713" s="3" t="s">
        <v>28395</v>
      </c>
      <c r="B12713" s="3" t="s">
        <v>10980</v>
      </c>
      <c r="C12713" s="5" t="s">
        <v>206</v>
      </c>
      <c r="D12713" s="3" t="s">
        <v>68</v>
      </c>
      <c r="E12713" s="3" t="s">
        <v>100</v>
      </c>
      <c r="F12713" s="7">
        <v>45993.27306302899</v>
      </c>
      <c r="G12713" s="3" t="s">
        <v>15592</v>
      </c>
    </row>
    <row r="12714">
      <c r="A12714" s="3" t="s">
        <v>28396</v>
      </c>
      <c r="B12714" s="3" t="s">
        <v>10983</v>
      </c>
      <c r="C12714" s="5" t="s">
        <v>45</v>
      </c>
      <c r="D12714" s="3" t="s">
        <v>221</v>
      </c>
      <c r="E12714" s="3" t="s">
        <v>805</v>
      </c>
      <c r="F12714" s="7">
        <v>45993.33382120773</v>
      </c>
      <c r="G12714" s="3" t="s">
        <v>15606</v>
      </c>
    </row>
    <row r="12715">
      <c r="A12715" s="3" t="s">
        <v>28397</v>
      </c>
      <c r="B12715" s="3" t="s">
        <v>10983</v>
      </c>
      <c r="C12715" s="5" t="s">
        <v>221</v>
      </c>
      <c r="D12715" s="3" t="s">
        <v>614</v>
      </c>
      <c r="E12715" s="3" t="s">
        <v>118</v>
      </c>
      <c r="F12715" s="7">
        <v>45993.33729342995</v>
      </c>
      <c r="G12715" s="3" t="s">
        <v>15609</v>
      </c>
    </row>
    <row r="12716">
      <c r="A12716" s="3" t="s">
        <v>28398</v>
      </c>
      <c r="B12716" s="3" t="s">
        <v>10983</v>
      </c>
      <c r="C12716" s="5" t="s">
        <v>614</v>
      </c>
      <c r="D12716" s="3" t="s">
        <v>206</v>
      </c>
      <c r="E12716" s="3" t="s">
        <v>100</v>
      </c>
      <c r="F12716" s="7">
        <v>45993.340765652174</v>
      </c>
      <c r="G12716" s="3" t="s">
        <v>15612</v>
      </c>
    </row>
    <row r="12717">
      <c r="A12717" s="3" t="s">
        <v>28399</v>
      </c>
      <c r="B12717" s="3" t="s">
        <v>10983</v>
      </c>
      <c r="C12717" s="5" t="s">
        <v>206</v>
      </c>
      <c r="D12717" s="3" t="s">
        <v>68</v>
      </c>
      <c r="E12717" s="3" t="s">
        <v>100</v>
      </c>
      <c r="F12717" s="7">
        <v>45993.34423787439</v>
      </c>
      <c r="G12717" s="3" t="s">
        <v>15615</v>
      </c>
    </row>
    <row r="12718">
      <c r="A12718" s="3" t="s">
        <v>28400</v>
      </c>
      <c r="B12718" s="3" t="s">
        <v>10986</v>
      </c>
      <c r="C12718" s="5" t="s">
        <v>45</v>
      </c>
      <c r="D12718" s="3" t="s">
        <v>221</v>
      </c>
      <c r="E12718" s="3" t="s">
        <v>640</v>
      </c>
      <c r="F12718" s="7">
        <v>45993.40499605315</v>
      </c>
      <c r="G12718" s="3" t="s">
        <v>26280</v>
      </c>
    </row>
    <row r="12719">
      <c r="A12719" s="3" t="s">
        <v>28401</v>
      </c>
      <c r="B12719" s="3" t="s">
        <v>10986</v>
      </c>
      <c r="C12719" s="5" t="s">
        <v>221</v>
      </c>
      <c r="D12719" s="3" t="s">
        <v>195</v>
      </c>
      <c r="E12719" s="3" t="s">
        <v>640</v>
      </c>
      <c r="F12719" s="7">
        <v>45993.40846827537</v>
      </c>
      <c r="G12719" s="3" t="s">
        <v>28402</v>
      </c>
    </row>
    <row r="12720">
      <c r="A12720" s="3" t="s">
        <v>28403</v>
      </c>
      <c r="B12720" s="3" t="s">
        <v>10990</v>
      </c>
      <c r="C12720" s="5" t="s">
        <v>45</v>
      </c>
      <c r="D12720" s="3" t="s">
        <v>221</v>
      </c>
      <c r="E12720" s="3" t="s">
        <v>911</v>
      </c>
      <c r="F12720" s="7">
        <v>45993.47617089856</v>
      </c>
      <c r="G12720" s="3" t="s">
        <v>15683</v>
      </c>
    </row>
    <row r="12721">
      <c r="A12721" s="3" t="s">
        <v>28404</v>
      </c>
      <c r="B12721" s="3" t="s">
        <v>10990</v>
      </c>
      <c r="C12721" s="5" t="s">
        <v>221</v>
      </c>
      <c r="D12721" s="3" t="s">
        <v>614</v>
      </c>
      <c r="E12721" s="3" t="s">
        <v>118</v>
      </c>
      <c r="F12721" s="7">
        <v>45993.47964312078</v>
      </c>
      <c r="G12721" s="3" t="s">
        <v>15686</v>
      </c>
    </row>
    <row r="12722">
      <c r="A12722" s="3" t="s">
        <v>28405</v>
      </c>
      <c r="B12722" s="3" t="s">
        <v>10990</v>
      </c>
      <c r="C12722" s="5" t="s">
        <v>614</v>
      </c>
      <c r="D12722" s="3" t="s">
        <v>206</v>
      </c>
      <c r="E12722" s="3" t="s">
        <v>100</v>
      </c>
      <c r="F12722" s="7">
        <v>45993.483115343006</v>
      </c>
      <c r="G12722" s="3" t="s">
        <v>15689</v>
      </c>
    </row>
    <row r="12723">
      <c r="A12723" s="3" t="s">
        <v>28406</v>
      </c>
      <c r="B12723" s="3" t="s">
        <v>10990</v>
      </c>
      <c r="C12723" s="5" t="s">
        <v>206</v>
      </c>
      <c r="D12723" s="3" t="s">
        <v>68</v>
      </c>
      <c r="E12723" s="3" t="s">
        <v>100</v>
      </c>
      <c r="F12723" s="7">
        <v>45993.486587565225</v>
      </c>
      <c r="G12723" s="3" t="s">
        <v>15691</v>
      </c>
    </row>
    <row r="12724">
      <c r="A12724" s="3" t="s">
        <v>28407</v>
      </c>
      <c r="B12724" s="3" t="s">
        <v>10994</v>
      </c>
      <c r="C12724" s="5" t="s">
        <v>45</v>
      </c>
      <c r="D12724" s="3" t="s">
        <v>221</v>
      </c>
      <c r="E12724" s="3" t="s">
        <v>488</v>
      </c>
      <c r="F12724" s="7">
        <v>45993.54734574398</v>
      </c>
      <c r="G12724" s="3" t="s">
        <v>27299</v>
      </c>
    </row>
    <row r="12725">
      <c r="A12725" s="3" t="s">
        <v>28408</v>
      </c>
      <c r="B12725" s="3" t="s">
        <v>10994</v>
      </c>
      <c r="C12725" s="5" t="s">
        <v>221</v>
      </c>
      <c r="D12725" s="3" t="s">
        <v>614</v>
      </c>
      <c r="E12725" s="3" t="s">
        <v>118</v>
      </c>
      <c r="F12725" s="7">
        <v>45993.5508179662</v>
      </c>
      <c r="G12725" s="3" t="s">
        <v>27301</v>
      </c>
    </row>
    <row r="12726">
      <c r="A12726" s="3" t="s">
        <v>28409</v>
      </c>
      <c r="B12726" s="3" t="s">
        <v>10994</v>
      </c>
      <c r="C12726" s="5" t="s">
        <v>614</v>
      </c>
      <c r="D12726" s="3" t="s">
        <v>206</v>
      </c>
      <c r="E12726" s="3" t="s">
        <v>100</v>
      </c>
      <c r="F12726" s="7">
        <v>45993.554290188426</v>
      </c>
      <c r="G12726" s="3" t="s">
        <v>27303</v>
      </c>
    </row>
    <row r="12727">
      <c r="A12727" s="3" t="s">
        <v>28410</v>
      </c>
      <c r="B12727" s="3" t="s">
        <v>10994</v>
      </c>
      <c r="C12727" s="5" t="s">
        <v>206</v>
      </c>
      <c r="D12727" s="3" t="s">
        <v>68</v>
      </c>
      <c r="E12727" s="3" t="s">
        <v>100</v>
      </c>
      <c r="F12727" s="7">
        <v>45993.557762410645</v>
      </c>
      <c r="G12727" s="3" t="s">
        <v>27305</v>
      </c>
    </row>
    <row r="12728">
      <c r="A12728" s="3" t="s">
        <v>28411</v>
      </c>
      <c r="B12728" s="3" t="s">
        <v>10998</v>
      </c>
      <c r="C12728" s="5" t="s">
        <v>45</v>
      </c>
      <c r="D12728" s="3" t="s">
        <v>221</v>
      </c>
      <c r="E12728" s="3" t="s">
        <v>605</v>
      </c>
      <c r="F12728" s="7">
        <v>45993.61852058939</v>
      </c>
      <c r="G12728" s="3" t="s">
        <v>26936</v>
      </c>
    </row>
    <row r="12729">
      <c r="A12729" s="3" t="s">
        <v>28412</v>
      </c>
      <c r="B12729" s="3" t="s">
        <v>10998</v>
      </c>
      <c r="C12729" s="5" t="s">
        <v>221</v>
      </c>
      <c r="D12729" s="3" t="s">
        <v>614</v>
      </c>
      <c r="E12729" s="3" t="s">
        <v>118</v>
      </c>
      <c r="F12729" s="7">
        <v>45993.62199281161</v>
      </c>
      <c r="G12729" s="3" t="s">
        <v>26938</v>
      </c>
    </row>
    <row r="12730">
      <c r="A12730" s="3" t="s">
        <v>28413</v>
      </c>
      <c r="B12730" s="3" t="s">
        <v>10998</v>
      </c>
      <c r="C12730" s="5" t="s">
        <v>614</v>
      </c>
      <c r="D12730" s="3" t="s">
        <v>206</v>
      </c>
      <c r="E12730" s="3" t="s">
        <v>100</v>
      </c>
      <c r="F12730" s="7">
        <v>45993.62546503384</v>
      </c>
      <c r="G12730" s="3" t="s">
        <v>26940</v>
      </c>
    </row>
    <row r="12731">
      <c r="A12731" s="3" t="s">
        <v>28414</v>
      </c>
      <c r="B12731" s="3" t="s">
        <v>10998</v>
      </c>
      <c r="C12731" s="5" t="s">
        <v>206</v>
      </c>
      <c r="D12731" s="3" t="s">
        <v>68</v>
      </c>
      <c r="E12731" s="3" t="s">
        <v>100</v>
      </c>
      <c r="F12731" s="7">
        <v>45993.62893725606</v>
      </c>
      <c r="G12731" s="3" t="s">
        <v>26942</v>
      </c>
    </row>
    <row r="12732">
      <c r="A12732" s="3" t="s">
        <v>28415</v>
      </c>
      <c r="B12732" s="3" t="s">
        <v>11002</v>
      </c>
      <c r="C12732" s="5" t="s">
        <v>45</v>
      </c>
      <c r="D12732" s="3" t="s">
        <v>221</v>
      </c>
      <c r="E12732" s="3" t="s">
        <v>515</v>
      </c>
      <c r="F12732" s="7">
        <v>45993.68969543481</v>
      </c>
      <c r="G12732" s="3" t="s">
        <v>15723</v>
      </c>
    </row>
    <row r="12733">
      <c r="A12733" s="3" t="s">
        <v>28416</v>
      </c>
      <c r="B12733" s="3" t="s">
        <v>11002</v>
      </c>
      <c r="C12733" s="5" t="s">
        <v>221</v>
      </c>
      <c r="D12733" s="3" t="s">
        <v>614</v>
      </c>
      <c r="E12733" s="3" t="s">
        <v>118</v>
      </c>
      <c r="F12733" s="7">
        <v>45993.69316765703</v>
      </c>
      <c r="G12733" s="3" t="s">
        <v>15726</v>
      </c>
    </row>
    <row r="12734">
      <c r="A12734" s="3" t="s">
        <v>28417</v>
      </c>
      <c r="B12734" s="3" t="s">
        <v>11002</v>
      </c>
      <c r="C12734" s="5" t="s">
        <v>614</v>
      </c>
      <c r="D12734" s="3" t="s">
        <v>206</v>
      </c>
      <c r="E12734" s="3" t="s">
        <v>100</v>
      </c>
      <c r="F12734" s="7">
        <v>45993.69663987926</v>
      </c>
      <c r="G12734" s="3" t="s">
        <v>15728</v>
      </c>
    </row>
    <row r="12735">
      <c r="A12735" s="3" t="s">
        <v>28418</v>
      </c>
      <c r="B12735" s="3" t="s">
        <v>11002</v>
      </c>
      <c r="C12735" s="5" t="s">
        <v>206</v>
      </c>
      <c r="D12735" s="3" t="s">
        <v>68</v>
      </c>
      <c r="E12735" s="3" t="s">
        <v>100</v>
      </c>
      <c r="F12735" s="7">
        <v>45993.70011210148</v>
      </c>
      <c r="G12735" s="3" t="s">
        <v>15731</v>
      </c>
    </row>
    <row r="12736">
      <c r="A12736" s="3" t="s">
        <v>28419</v>
      </c>
      <c r="B12736" s="3" t="s">
        <v>11005</v>
      </c>
      <c r="C12736" s="5" t="s">
        <v>45</v>
      </c>
      <c r="D12736" s="3" t="s">
        <v>221</v>
      </c>
      <c r="E12736" s="3" t="s">
        <v>559</v>
      </c>
      <c r="F12736" s="7">
        <v>45993.760870280224</v>
      </c>
      <c r="G12736" s="3" t="s">
        <v>16238</v>
      </c>
    </row>
    <row r="12737">
      <c r="A12737" s="3" t="s">
        <v>28420</v>
      </c>
      <c r="B12737" s="3" t="s">
        <v>11005</v>
      </c>
      <c r="C12737" s="5" t="s">
        <v>221</v>
      </c>
      <c r="D12737" s="3" t="s">
        <v>614</v>
      </c>
      <c r="E12737" s="3" t="s">
        <v>118</v>
      </c>
      <c r="F12737" s="7">
        <v>45993.76434250244</v>
      </c>
      <c r="G12737" s="3" t="s">
        <v>26430</v>
      </c>
    </row>
    <row r="12738">
      <c r="A12738" s="3" t="s">
        <v>28421</v>
      </c>
      <c r="B12738" s="3" t="s">
        <v>11005</v>
      </c>
      <c r="C12738" s="5" t="s">
        <v>614</v>
      </c>
      <c r="D12738" s="3" t="s">
        <v>206</v>
      </c>
      <c r="E12738" s="3" t="s">
        <v>100</v>
      </c>
      <c r="F12738" s="7">
        <v>45993.76781472467</v>
      </c>
      <c r="G12738" s="3" t="s">
        <v>26432</v>
      </c>
    </row>
    <row r="12739">
      <c r="A12739" s="3" t="s">
        <v>28422</v>
      </c>
      <c r="B12739" s="3" t="s">
        <v>11005</v>
      </c>
      <c r="C12739" s="5" t="s">
        <v>206</v>
      </c>
      <c r="D12739" s="3" t="s">
        <v>68</v>
      </c>
      <c r="E12739" s="3" t="s">
        <v>100</v>
      </c>
      <c r="F12739" s="7">
        <v>45993.77128694689</v>
      </c>
      <c r="G12739" s="3" t="s">
        <v>26434</v>
      </c>
    </row>
    <row r="12740">
      <c r="A12740" s="3" t="s">
        <v>28423</v>
      </c>
      <c r="B12740" s="3" t="s">
        <v>11008</v>
      </c>
      <c r="C12740" s="5" t="s">
        <v>45</v>
      </c>
      <c r="D12740" s="3" t="s">
        <v>221</v>
      </c>
      <c r="E12740" s="3" t="s">
        <v>515</v>
      </c>
      <c r="F12740" s="7">
        <v>45993.83204512564</v>
      </c>
      <c r="G12740" s="3" t="s">
        <v>17413</v>
      </c>
    </row>
    <row r="12741">
      <c r="A12741" s="3" t="s">
        <v>28424</v>
      </c>
      <c r="B12741" s="3" t="s">
        <v>11008</v>
      </c>
      <c r="C12741" s="5" t="s">
        <v>221</v>
      </c>
      <c r="D12741" s="3" t="s">
        <v>614</v>
      </c>
      <c r="E12741" s="3" t="s">
        <v>118</v>
      </c>
      <c r="F12741" s="7">
        <v>45993.835517347856</v>
      </c>
      <c r="G12741" s="3" t="s">
        <v>17415</v>
      </c>
    </row>
    <row r="12742">
      <c r="A12742" s="3" t="s">
        <v>28425</v>
      </c>
      <c r="B12742" s="3" t="s">
        <v>11008</v>
      </c>
      <c r="C12742" s="5" t="s">
        <v>614</v>
      </c>
      <c r="D12742" s="3" t="s">
        <v>206</v>
      </c>
      <c r="E12742" s="3" t="s">
        <v>100</v>
      </c>
      <c r="F12742" s="7">
        <v>45993.83898957008</v>
      </c>
      <c r="G12742" s="3" t="s">
        <v>17418</v>
      </c>
    </row>
    <row r="12743">
      <c r="A12743" s="3" t="s">
        <v>28426</v>
      </c>
      <c r="B12743" s="3" t="s">
        <v>11008</v>
      </c>
      <c r="C12743" s="5" t="s">
        <v>206</v>
      </c>
      <c r="D12743" s="3" t="s">
        <v>68</v>
      </c>
      <c r="E12743" s="3" t="s">
        <v>100</v>
      </c>
      <c r="F12743" s="7">
        <v>45993.8424617923</v>
      </c>
      <c r="G12743" s="3" t="s">
        <v>17421</v>
      </c>
    </row>
    <row r="12744">
      <c r="A12744" s="3" t="s">
        <v>28427</v>
      </c>
      <c r="B12744" s="3" t="s">
        <v>11011</v>
      </c>
      <c r="C12744" s="5" t="s">
        <v>45</v>
      </c>
      <c r="D12744" s="3" t="s">
        <v>221</v>
      </c>
      <c r="E12744" s="3" t="s">
        <v>366</v>
      </c>
      <c r="F12744" s="7">
        <v>45993.90321997106</v>
      </c>
      <c r="G12744" s="3" t="s">
        <v>12054</v>
      </c>
    </row>
    <row r="12745">
      <c r="A12745" s="3" t="s">
        <v>28428</v>
      </c>
      <c r="B12745" s="3" t="s">
        <v>11011</v>
      </c>
      <c r="C12745" s="5" t="s">
        <v>221</v>
      </c>
      <c r="D12745" s="3" t="s">
        <v>614</v>
      </c>
      <c r="E12745" s="3" t="s">
        <v>118</v>
      </c>
      <c r="F12745" s="7">
        <v>45993.906692193275</v>
      </c>
      <c r="G12745" s="3" t="s">
        <v>12057</v>
      </c>
    </row>
    <row r="12746">
      <c r="A12746" s="3" t="s">
        <v>28429</v>
      </c>
      <c r="B12746" s="3" t="s">
        <v>11011</v>
      </c>
      <c r="C12746" s="5" t="s">
        <v>614</v>
      </c>
      <c r="D12746" s="3" t="s">
        <v>206</v>
      </c>
      <c r="E12746" s="3" t="s">
        <v>100</v>
      </c>
      <c r="F12746" s="7">
        <v>45993.9101644155</v>
      </c>
      <c r="G12746" s="3" t="s">
        <v>12059</v>
      </c>
    </row>
    <row r="12747">
      <c r="A12747" s="3" t="s">
        <v>28430</v>
      </c>
      <c r="B12747" s="3" t="s">
        <v>11011</v>
      </c>
      <c r="C12747" s="5" t="s">
        <v>206</v>
      </c>
      <c r="D12747" s="3" t="s">
        <v>68</v>
      </c>
      <c r="E12747" s="3" t="s">
        <v>100</v>
      </c>
      <c r="F12747" s="7">
        <v>45993.91363663772</v>
      </c>
      <c r="G12747" s="3" t="s">
        <v>12062</v>
      </c>
    </row>
    <row r="12748">
      <c r="A12748" s="3" t="s">
        <v>28431</v>
      </c>
      <c r="B12748" s="3" t="s">
        <v>11016</v>
      </c>
      <c r="C12748" s="5" t="s">
        <v>45</v>
      </c>
      <c r="D12748" s="3" t="s">
        <v>221</v>
      </c>
      <c r="E12748" s="3" t="s">
        <v>650</v>
      </c>
      <c r="F12748" s="7">
        <v>45993.97439481647</v>
      </c>
      <c r="G12748" s="3" t="s">
        <v>19895</v>
      </c>
    </row>
    <row r="12749">
      <c r="A12749" s="3" t="s">
        <v>28432</v>
      </c>
      <c r="B12749" s="3" t="s">
        <v>11016</v>
      </c>
      <c r="C12749" s="5" t="s">
        <v>221</v>
      </c>
      <c r="D12749" s="3" t="s">
        <v>614</v>
      </c>
      <c r="E12749" s="3" t="s">
        <v>118</v>
      </c>
      <c r="F12749" s="7">
        <v>45993.97786703869</v>
      </c>
      <c r="G12749" s="3" t="s">
        <v>19897</v>
      </c>
    </row>
    <row r="12750">
      <c r="A12750" s="3" t="s">
        <v>28433</v>
      </c>
      <c r="B12750" s="3" t="s">
        <v>11016</v>
      </c>
      <c r="C12750" s="5" t="s">
        <v>614</v>
      </c>
      <c r="D12750" s="3" t="s">
        <v>206</v>
      </c>
      <c r="E12750" s="3" t="s">
        <v>100</v>
      </c>
      <c r="F12750" s="7">
        <v>45993.981339260914</v>
      </c>
      <c r="G12750" s="3" t="s">
        <v>19900</v>
      </c>
    </row>
    <row r="12751">
      <c r="A12751" s="3" t="s">
        <v>28434</v>
      </c>
      <c r="B12751" s="3" t="s">
        <v>11016</v>
      </c>
      <c r="C12751" s="5" t="s">
        <v>206</v>
      </c>
      <c r="D12751" s="3" t="s">
        <v>68</v>
      </c>
      <c r="E12751" s="3" t="s">
        <v>100</v>
      </c>
      <c r="F12751" s="7">
        <v>45993.98481148313</v>
      </c>
      <c r="G12751" s="3" t="s">
        <v>19903</v>
      </c>
    </row>
    <row r="12752">
      <c r="A12752" s="3" t="s">
        <v>28435</v>
      </c>
      <c r="B12752" s="3" t="s">
        <v>11019</v>
      </c>
      <c r="C12752" s="5" t="s">
        <v>45</v>
      </c>
      <c r="D12752" s="3" t="s">
        <v>221</v>
      </c>
      <c r="E12752" s="3" t="s">
        <v>747</v>
      </c>
      <c r="F12752" s="7">
        <v>45994.04556966188</v>
      </c>
      <c r="G12752" s="3" t="s">
        <v>15806</v>
      </c>
    </row>
    <row r="12753">
      <c r="A12753" s="3" t="s">
        <v>28436</v>
      </c>
      <c r="B12753" s="3" t="s">
        <v>11019</v>
      </c>
      <c r="C12753" s="5" t="s">
        <v>221</v>
      </c>
      <c r="D12753" s="3" t="s">
        <v>614</v>
      </c>
      <c r="E12753" s="3" t="s">
        <v>118</v>
      </c>
      <c r="F12753" s="7">
        <v>45994.0490418841</v>
      </c>
      <c r="G12753" s="3" t="s">
        <v>15809</v>
      </c>
    </row>
    <row r="12754">
      <c r="A12754" s="3" t="s">
        <v>28437</v>
      </c>
      <c r="B12754" s="3" t="s">
        <v>11019</v>
      </c>
      <c r="C12754" s="5" t="s">
        <v>614</v>
      </c>
      <c r="D12754" s="3" t="s">
        <v>206</v>
      </c>
      <c r="E12754" s="3" t="s">
        <v>100</v>
      </c>
      <c r="F12754" s="7">
        <v>45994.052514106326</v>
      </c>
      <c r="G12754" s="3" t="s">
        <v>15812</v>
      </c>
    </row>
    <row r="12755">
      <c r="A12755" s="3" t="s">
        <v>28438</v>
      </c>
      <c r="B12755" s="3" t="s">
        <v>11019</v>
      </c>
      <c r="C12755" s="5" t="s">
        <v>206</v>
      </c>
      <c r="D12755" s="3" t="s">
        <v>68</v>
      </c>
      <c r="E12755" s="3" t="s">
        <v>100</v>
      </c>
      <c r="F12755" s="7">
        <v>45994.055986328545</v>
      </c>
      <c r="G12755" s="3" t="s">
        <v>15815</v>
      </c>
    </row>
    <row r="12756">
      <c r="A12756" s="3" t="s">
        <v>28439</v>
      </c>
      <c r="B12756" s="3" t="s">
        <v>11024</v>
      </c>
      <c r="C12756" s="5" t="s">
        <v>45</v>
      </c>
      <c r="D12756" s="3" t="s">
        <v>221</v>
      </c>
      <c r="E12756" s="3" t="s">
        <v>953</v>
      </c>
      <c r="F12756" s="7">
        <v>45994.1167445073</v>
      </c>
      <c r="G12756" s="3" t="s">
        <v>15866</v>
      </c>
    </row>
    <row r="12757">
      <c r="A12757" s="3" t="s">
        <v>28440</v>
      </c>
      <c r="B12757" s="3" t="s">
        <v>11024</v>
      </c>
      <c r="C12757" s="5" t="s">
        <v>221</v>
      </c>
      <c r="D12757" s="3" t="s">
        <v>614</v>
      </c>
      <c r="E12757" s="3" t="s">
        <v>118</v>
      </c>
      <c r="F12757" s="7">
        <v>45994.12021672952</v>
      </c>
      <c r="G12757" s="3" t="s">
        <v>15869</v>
      </c>
    </row>
    <row r="12758">
      <c r="A12758" s="3" t="s">
        <v>28441</v>
      </c>
      <c r="B12758" s="3" t="s">
        <v>11024</v>
      </c>
      <c r="C12758" s="5" t="s">
        <v>614</v>
      </c>
      <c r="D12758" s="3" t="s">
        <v>206</v>
      </c>
      <c r="E12758" s="3" t="s">
        <v>100</v>
      </c>
      <c r="F12758" s="7">
        <v>45994.123688951746</v>
      </c>
      <c r="G12758" s="3" t="s">
        <v>15872</v>
      </c>
    </row>
    <row r="12759">
      <c r="A12759" s="3" t="s">
        <v>28442</v>
      </c>
      <c r="B12759" s="3" t="s">
        <v>11024</v>
      </c>
      <c r="C12759" s="5" t="s">
        <v>206</v>
      </c>
      <c r="D12759" s="3" t="s">
        <v>68</v>
      </c>
      <c r="E12759" s="3" t="s">
        <v>100</v>
      </c>
      <c r="F12759" s="7">
        <v>45994.127161173965</v>
      </c>
      <c r="G12759" s="3" t="s">
        <v>15874</v>
      </c>
    </row>
    <row r="12760">
      <c r="A12760" s="3" t="s">
        <v>28443</v>
      </c>
      <c r="B12760" s="3" t="s">
        <v>11026</v>
      </c>
      <c r="C12760" s="5" t="s">
        <v>45</v>
      </c>
      <c r="D12760" s="3" t="s">
        <v>221</v>
      </c>
      <c r="E12760" s="3" t="s">
        <v>440</v>
      </c>
      <c r="F12760" s="7">
        <v>45994.18791935271</v>
      </c>
      <c r="G12760" s="3" t="s">
        <v>8763</v>
      </c>
    </row>
    <row r="12761">
      <c r="A12761" s="3" t="s">
        <v>28444</v>
      </c>
      <c r="B12761" s="3" t="s">
        <v>11026</v>
      </c>
      <c r="C12761" s="5" t="s">
        <v>221</v>
      </c>
      <c r="D12761" s="3" t="s">
        <v>614</v>
      </c>
      <c r="E12761" s="3" t="s">
        <v>118</v>
      </c>
      <c r="F12761" s="7">
        <v>45994.19139157493</v>
      </c>
      <c r="G12761" s="3" t="s">
        <v>13100</v>
      </c>
    </row>
    <row r="12762">
      <c r="A12762" s="3" t="s">
        <v>28445</v>
      </c>
      <c r="B12762" s="3" t="s">
        <v>11026</v>
      </c>
      <c r="C12762" s="5" t="s">
        <v>614</v>
      </c>
      <c r="D12762" s="3" t="s">
        <v>206</v>
      </c>
      <c r="E12762" s="3" t="s">
        <v>100</v>
      </c>
      <c r="F12762" s="7">
        <v>45994.19486379716</v>
      </c>
      <c r="G12762" s="3" t="s">
        <v>13103</v>
      </c>
    </row>
    <row r="12763">
      <c r="A12763" s="3" t="s">
        <v>28446</v>
      </c>
      <c r="B12763" s="3" t="s">
        <v>11026</v>
      </c>
      <c r="C12763" s="5" t="s">
        <v>206</v>
      </c>
      <c r="D12763" s="3" t="s">
        <v>68</v>
      </c>
      <c r="E12763" s="3" t="s">
        <v>100</v>
      </c>
      <c r="F12763" s="7">
        <v>45994.19833601938</v>
      </c>
      <c r="G12763" s="3" t="s">
        <v>13107</v>
      </c>
    </row>
    <row r="12764">
      <c r="A12764" s="3" t="s">
        <v>28447</v>
      </c>
      <c r="B12764" s="3" t="s">
        <v>11028</v>
      </c>
      <c r="C12764" s="5" t="s">
        <v>45</v>
      </c>
      <c r="D12764" s="3" t="s">
        <v>221</v>
      </c>
      <c r="E12764" s="3" t="s">
        <v>162</v>
      </c>
      <c r="F12764" s="7">
        <v>45994.259094198125</v>
      </c>
      <c r="G12764" s="3" t="s">
        <v>28448</v>
      </c>
    </row>
    <row r="12765">
      <c r="A12765" s="3" t="s">
        <v>28449</v>
      </c>
      <c r="B12765" s="3" t="s">
        <v>11028</v>
      </c>
      <c r="C12765" s="5" t="s">
        <v>221</v>
      </c>
      <c r="D12765" s="3" t="s">
        <v>614</v>
      </c>
      <c r="E12765" s="3" t="s">
        <v>118</v>
      </c>
      <c r="F12765" s="7">
        <v>45994.262566420344</v>
      </c>
      <c r="G12765" s="3" t="s">
        <v>28450</v>
      </c>
    </row>
    <row r="12766">
      <c r="A12766" s="3" t="s">
        <v>28451</v>
      </c>
      <c r="B12766" s="3" t="s">
        <v>11028</v>
      </c>
      <c r="C12766" s="5" t="s">
        <v>614</v>
      </c>
      <c r="D12766" s="3" t="s">
        <v>206</v>
      </c>
      <c r="E12766" s="3" t="s">
        <v>100</v>
      </c>
      <c r="F12766" s="7">
        <v>45994.26603864257</v>
      </c>
      <c r="G12766" s="3" t="s">
        <v>28452</v>
      </c>
    </row>
    <row r="12767">
      <c r="A12767" s="3" t="s">
        <v>28453</v>
      </c>
      <c r="B12767" s="3" t="s">
        <v>11028</v>
      </c>
      <c r="C12767" s="5" t="s">
        <v>206</v>
      </c>
      <c r="D12767" s="3" t="s">
        <v>68</v>
      </c>
      <c r="E12767" s="3" t="s">
        <v>100</v>
      </c>
      <c r="F12767" s="7">
        <v>45994.26951086479</v>
      </c>
      <c r="G12767" s="3" t="s">
        <v>28454</v>
      </c>
    </row>
    <row r="12768">
      <c r="A12768" s="3" t="s">
        <v>28455</v>
      </c>
      <c r="B12768" s="3" t="s">
        <v>11031</v>
      </c>
      <c r="C12768" s="5" t="s">
        <v>45</v>
      </c>
      <c r="D12768" s="3" t="s">
        <v>221</v>
      </c>
      <c r="E12768" s="3" t="s">
        <v>616</v>
      </c>
      <c r="F12768" s="7">
        <v>45994.330269043545</v>
      </c>
      <c r="G12768" s="3" t="s">
        <v>26072</v>
      </c>
    </row>
    <row r="12769">
      <c r="A12769" s="3" t="s">
        <v>28456</v>
      </c>
      <c r="B12769" s="3" t="s">
        <v>11031</v>
      </c>
      <c r="C12769" s="5" t="s">
        <v>221</v>
      </c>
      <c r="D12769" s="3" t="s">
        <v>614</v>
      </c>
      <c r="E12769" s="3" t="s">
        <v>118</v>
      </c>
      <c r="F12769" s="7">
        <v>45994.333741265764</v>
      </c>
      <c r="G12769" s="3" t="s">
        <v>26074</v>
      </c>
    </row>
    <row r="12770">
      <c r="A12770" s="3" t="s">
        <v>28457</v>
      </c>
      <c r="B12770" s="3" t="s">
        <v>11031</v>
      </c>
      <c r="C12770" s="5" t="s">
        <v>614</v>
      </c>
      <c r="D12770" s="3" t="s">
        <v>206</v>
      </c>
      <c r="E12770" s="3" t="s">
        <v>100</v>
      </c>
      <c r="F12770" s="7">
        <v>45994.33721348799</v>
      </c>
      <c r="G12770" s="3" t="s">
        <v>26076</v>
      </c>
    </row>
    <row r="12771">
      <c r="A12771" s="3" t="s">
        <v>28458</v>
      </c>
      <c r="B12771" s="3" t="s">
        <v>11031</v>
      </c>
      <c r="C12771" s="5" t="s">
        <v>206</v>
      </c>
      <c r="D12771" s="3" t="s">
        <v>68</v>
      </c>
      <c r="E12771" s="3" t="s">
        <v>100</v>
      </c>
      <c r="F12771" s="7">
        <v>45994.34068571021</v>
      </c>
      <c r="G12771" s="3" t="s">
        <v>26078</v>
      </c>
    </row>
    <row r="12772">
      <c r="A12772" s="3" t="s">
        <v>28459</v>
      </c>
      <c r="B12772" s="3" t="s">
        <v>11034</v>
      </c>
      <c r="C12772" s="5" t="s">
        <v>45</v>
      </c>
      <c r="D12772" s="3" t="s">
        <v>221</v>
      </c>
      <c r="E12772" s="3" t="s">
        <v>498</v>
      </c>
      <c r="F12772" s="7">
        <v>45994.401443888964</v>
      </c>
      <c r="G12772" s="3" t="s">
        <v>15888</v>
      </c>
    </row>
    <row r="12773">
      <c r="A12773" s="3" t="s">
        <v>28460</v>
      </c>
      <c r="B12773" s="3" t="s">
        <v>11034</v>
      </c>
      <c r="C12773" s="5" t="s">
        <v>221</v>
      </c>
      <c r="D12773" s="3" t="s">
        <v>614</v>
      </c>
      <c r="E12773" s="3" t="s">
        <v>118</v>
      </c>
      <c r="F12773" s="7">
        <v>45994.40491611118</v>
      </c>
      <c r="G12773" s="3" t="s">
        <v>15891</v>
      </c>
    </row>
    <row r="12774">
      <c r="A12774" s="3" t="s">
        <v>28461</v>
      </c>
      <c r="B12774" s="3" t="s">
        <v>11034</v>
      </c>
      <c r="C12774" s="5" t="s">
        <v>614</v>
      </c>
      <c r="D12774" s="3" t="s">
        <v>206</v>
      </c>
      <c r="E12774" s="3" t="s">
        <v>100</v>
      </c>
      <c r="F12774" s="7">
        <v>45994.40838833341</v>
      </c>
      <c r="G12774" s="3" t="s">
        <v>15894</v>
      </c>
    </row>
    <row r="12775">
      <c r="A12775" s="3" t="s">
        <v>28462</v>
      </c>
      <c r="B12775" s="3" t="s">
        <v>11034</v>
      </c>
      <c r="C12775" s="5" t="s">
        <v>206</v>
      </c>
      <c r="D12775" s="3" t="s">
        <v>68</v>
      </c>
      <c r="E12775" s="3" t="s">
        <v>100</v>
      </c>
      <c r="F12775" s="7">
        <v>45994.41186055563</v>
      </c>
      <c r="G12775" s="3" t="s">
        <v>15897</v>
      </c>
    </row>
    <row r="12776">
      <c r="A12776" s="3" t="s">
        <v>28463</v>
      </c>
      <c r="B12776" s="3" t="s">
        <v>11037</v>
      </c>
      <c r="C12776" s="5" t="s">
        <v>45</v>
      </c>
      <c r="D12776" s="3" t="s">
        <v>221</v>
      </c>
      <c r="E12776" s="3" t="s">
        <v>1026</v>
      </c>
      <c r="F12776" s="7">
        <v>45994.47261873437</v>
      </c>
      <c r="G12776" s="3" t="s">
        <v>12301</v>
      </c>
    </row>
    <row r="12777">
      <c r="A12777" s="3" t="s">
        <v>28464</v>
      </c>
      <c r="B12777" s="3" t="s">
        <v>11037</v>
      </c>
      <c r="C12777" s="5" t="s">
        <v>221</v>
      </c>
      <c r="D12777" s="3" t="s">
        <v>614</v>
      </c>
      <c r="E12777" s="3" t="s">
        <v>118</v>
      </c>
      <c r="F12777" s="7">
        <v>45994.47609095659</v>
      </c>
      <c r="G12777" s="3" t="s">
        <v>12304</v>
      </c>
    </row>
    <row r="12778">
      <c r="A12778" s="3" t="s">
        <v>28465</v>
      </c>
      <c r="B12778" s="3" t="s">
        <v>11037</v>
      </c>
      <c r="C12778" s="5" t="s">
        <v>614</v>
      </c>
      <c r="D12778" s="3" t="s">
        <v>206</v>
      </c>
      <c r="E12778" s="3" t="s">
        <v>100</v>
      </c>
      <c r="F12778" s="7">
        <v>45994.479563178815</v>
      </c>
      <c r="G12778" s="3" t="s">
        <v>12307</v>
      </c>
    </row>
    <row r="12779">
      <c r="A12779" s="3" t="s">
        <v>28466</v>
      </c>
      <c r="B12779" s="3" t="s">
        <v>11037</v>
      </c>
      <c r="C12779" s="5" t="s">
        <v>206</v>
      </c>
      <c r="D12779" s="3" t="s">
        <v>68</v>
      </c>
      <c r="E12779" s="3" t="s">
        <v>100</v>
      </c>
      <c r="F12779" s="7">
        <v>45994.483035401034</v>
      </c>
      <c r="G12779" s="3" t="s">
        <v>12310</v>
      </c>
    </row>
    <row r="12780">
      <c r="A12780" s="3" t="s">
        <v>28467</v>
      </c>
      <c r="B12780" s="3" t="s">
        <v>11042</v>
      </c>
      <c r="C12780" s="5" t="s">
        <v>45</v>
      </c>
      <c r="D12780" s="3" t="s">
        <v>221</v>
      </c>
      <c r="E12780" s="3" t="s">
        <v>731</v>
      </c>
      <c r="F12780" s="7">
        <v>45994.54379357979</v>
      </c>
      <c r="G12780" s="3" t="s">
        <v>16009</v>
      </c>
    </row>
    <row r="12781">
      <c r="A12781" s="3" t="s">
        <v>28468</v>
      </c>
      <c r="B12781" s="3" t="s">
        <v>11042</v>
      </c>
      <c r="C12781" s="5" t="s">
        <v>221</v>
      </c>
      <c r="D12781" s="3" t="s">
        <v>614</v>
      </c>
      <c r="E12781" s="3" t="s">
        <v>118</v>
      </c>
      <c r="F12781" s="7">
        <v>45994.54726580201</v>
      </c>
      <c r="G12781" s="3" t="s">
        <v>16012</v>
      </c>
    </row>
    <row r="12782">
      <c r="A12782" s="3" t="s">
        <v>28469</v>
      </c>
      <c r="B12782" s="3" t="s">
        <v>11042</v>
      </c>
      <c r="C12782" s="5" t="s">
        <v>614</v>
      </c>
      <c r="D12782" s="3" t="s">
        <v>206</v>
      </c>
      <c r="E12782" s="3" t="s">
        <v>100</v>
      </c>
      <c r="F12782" s="7">
        <v>45994.550738024234</v>
      </c>
      <c r="G12782" s="3" t="s">
        <v>16015</v>
      </c>
    </row>
    <row r="12783">
      <c r="A12783" s="3" t="s">
        <v>28470</v>
      </c>
      <c r="B12783" s="3" t="s">
        <v>11042</v>
      </c>
      <c r="C12783" s="5" t="s">
        <v>206</v>
      </c>
      <c r="D12783" s="3" t="s">
        <v>68</v>
      </c>
      <c r="E12783" s="3" t="s">
        <v>100</v>
      </c>
      <c r="F12783" s="7">
        <v>45994.55421024645</v>
      </c>
      <c r="G12783" s="3" t="s">
        <v>16017</v>
      </c>
    </row>
    <row r="12784">
      <c r="A12784" s="3" t="s">
        <v>28471</v>
      </c>
      <c r="B12784" s="3" t="s">
        <v>11044</v>
      </c>
      <c r="C12784" s="5" t="s">
        <v>45</v>
      </c>
      <c r="D12784" s="3" t="s">
        <v>221</v>
      </c>
      <c r="E12784" s="3" t="s">
        <v>179</v>
      </c>
      <c r="F12784" s="7">
        <v>45994.61496842521</v>
      </c>
      <c r="G12784" s="3" t="s">
        <v>18828</v>
      </c>
    </row>
    <row r="12785">
      <c r="A12785" s="3" t="s">
        <v>28472</v>
      </c>
      <c r="B12785" s="3" t="s">
        <v>11044</v>
      </c>
      <c r="C12785" s="5" t="s">
        <v>221</v>
      </c>
      <c r="D12785" s="3" t="s">
        <v>181</v>
      </c>
      <c r="E12785" s="3" t="s">
        <v>118</v>
      </c>
      <c r="F12785" s="7">
        <v>45994.61844064743</v>
      </c>
      <c r="G12785" s="3" t="s">
        <v>28473</v>
      </c>
    </row>
    <row r="12786">
      <c r="A12786" s="3" t="s">
        <v>28474</v>
      </c>
      <c r="B12786" s="3" t="s">
        <v>11046</v>
      </c>
      <c r="C12786" s="5" t="s">
        <v>45</v>
      </c>
      <c r="D12786" s="3" t="s">
        <v>221</v>
      </c>
      <c r="E12786" s="3" t="s">
        <v>655</v>
      </c>
      <c r="F12786" s="7">
        <v>45994.68614327062</v>
      </c>
      <c r="G12786" s="3" t="s">
        <v>19553</v>
      </c>
    </row>
    <row r="12787">
      <c r="A12787" s="3" t="s">
        <v>28475</v>
      </c>
      <c r="B12787" s="3" t="s">
        <v>11046</v>
      </c>
      <c r="C12787" s="5" t="s">
        <v>221</v>
      </c>
      <c r="D12787" s="3" t="s">
        <v>614</v>
      </c>
      <c r="E12787" s="3" t="s">
        <v>118</v>
      </c>
      <c r="F12787" s="7">
        <v>45994.68961549284</v>
      </c>
      <c r="G12787" s="3" t="s">
        <v>19556</v>
      </c>
    </row>
    <row r="12788">
      <c r="A12788" s="3" t="s">
        <v>28476</v>
      </c>
      <c r="B12788" s="3" t="s">
        <v>11046</v>
      </c>
      <c r="C12788" s="5" t="s">
        <v>614</v>
      </c>
      <c r="D12788" s="3" t="s">
        <v>206</v>
      </c>
      <c r="E12788" s="3" t="s">
        <v>100</v>
      </c>
      <c r="F12788" s="7">
        <v>45994.693087715066</v>
      </c>
      <c r="G12788" s="3" t="s">
        <v>19559</v>
      </c>
    </row>
    <row r="12789">
      <c r="A12789" s="3" t="s">
        <v>28477</v>
      </c>
      <c r="B12789" s="3" t="s">
        <v>11046</v>
      </c>
      <c r="C12789" s="5" t="s">
        <v>206</v>
      </c>
      <c r="D12789" s="3" t="s">
        <v>68</v>
      </c>
      <c r="E12789" s="3" t="s">
        <v>100</v>
      </c>
      <c r="F12789" s="7">
        <v>45994.696559937285</v>
      </c>
      <c r="G12789" s="3" t="s">
        <v>19561</v>
      </c>
    </row>
    <row r="12790">
      <c r="A12790" s="3" t="s">
        <v>28478</v>
      </c>
      <c r="B12790" s="3" t="s">
        <v>11047</v>
      </c>
      <c r="C12790" s="5" t="s">
        <v>45</v>
      </c>
      <c r="D12790" s="3" t="s">
        <v>221</v>
      </c>
      <c r="E12790" s="3" t="s">
        <v>704</v>
      </c>
      <c r="F12790" s="7">
        <v>45994.75731811603</v>
      </c>
      <c r="G12790" s="3" t="s">
        <v>16568</v>
      </c>
    </row>
    <row r="12791">
      <c r="A12791" s="3" t="s">
        <v>28479</v>
      </c>
      <c r="B12791" s="3" t="s">
        <v>11047</v>
      </c>
      <c r="C12791" s="5" t="s">
        <v>221</v>
      </c>
      <c r="D12791" s="3" t="s">
        <v>614</v>
      </c>
      <c r="E12791" s="3" t="s">
        <v>118</v>
      </c>
      <c r="F12791" s="7">
        <v>45994.76079033825</v>
      </c>
      <c r="G12791" s="3" t="s">
        <v>16570</v>
      </c>
    </row>
    <row r="12792">
      <c r="A12792" s="3" t="s">
        <v>28480</v>
      </c>
      <c r="B12792" s="3" t="s">
        <v>11047</v>
      </c>
      <c r="C12792" s="5" t="s">
        <v>614</v>
      </c>
      <c r="D12792" s="3" t="s">
        <v>206</v>
      </c>
      <c r="E12792" s="3" t="s">
        <v>100</v>
      </c>
      <c r="F12792" s="7">
        <v>45994.76426256048</v>
      </c>
      <c r="G12792" s="3" t="s">
        <v>16573</v>
      </c>
    </row>
    <row r="12793">
      <c r="A12793" s="3" t="s">
        <v>28481</v>
      </c>
      <c r="B12793" s="3" t="s">
        <v>11047</v>
      </c>
      <c r="C12793" s="5" t="s">
        <v>206</v>
      </c>
      <c r="D12793" s="3" t="s">
        <v>68</v>
      </c>
      <c r="E12793" s="3" t="s">
        <v>100</v>
      </c>
      <c r="F12793" s="7">
        <v>45994.7677347827</v>
      </c>
      <c r="G12793" s="3" t="s">
        <v>16576</v>
      </c>
    </row>
    <row r="12794">
      <c r="A12794" s="3" t="s">
        <v>28482</v>
      </c>
      <c r="B12794" s="3" t="s">
        <v>11048</v>
      </c>
      <c r="C12794" s="5" t="s">
        <v>45</v>
      </c>
      <c r="D12794" s="3" t="s">
        <v>221</v>
      </c>
      <c r="E12794" s="3" t="s">
        <v>446</v>
      </c>
      <c r="F12794" s="7">
        <v>45994.82849296145</v>
      </c>
      <c r="G12794" s="3" t="s">
        <v>28483</v>
      </c>
    </row>
    <row r="12795">
      <c r="A12795" s="3" t="s">
        <v>28484</v>
      </c>
      <c r="B12795" s="3" t="s">
        <v>11048</v>
      </c>
      <c r="C12795" s="5" t="s">
        <v>221</v>
      </c>
      <c r="D12795" s="3" t="s">
        <v>614</v>
      </c>
      <c r="E12795" s="3" t="s">
        <v>118</v>
      </c>
      <c r="F12795" s="7">
        <v>45994.83196518367</v>
      </c>
      <c r="G12795" s="3" t="s">
        <v>28485</v>
      </c>
    </row>
    <row r="12796">
      <c r="A12796" s="3" t="s">
        <v>28486</v>
      </c>
      <c r="B12796" s="3" t="s">
        <v>11048</v>
      </c>
      <c r="C12796" s="5" t="s">
        <v>614</v>
      </c>
      <c r="D12796" s="3" t="s">
        <v>206</v>
      </c>
      <c r="E12796" s="3" t="s">
        <v>100</v>
      </c>
      <c r="F12796" s="7">
        <v>45994.8354374059</v>
      </c>
      <c r="G12796" s="3" t="s">
        <v>28487</v>
      </c>
    </row>
    <row r="12797">
      <c r="A12797" s="3" t="s">
        <v>28488</v>
      </c>
      <c r="B12797" s="3" t="s">
        <v>11048</v>
      </c>
      <c r="C12797" s="5" t="s">
        <v>206</v>
      </c>
      <c r="D12797" s="3" t="s">
        <v>68</v>
      </c>
      <c r="E12797" s="3" t="s">
        <v>100</v>
      </c>
      <c r="F12797" s="7">
        <v>45994.83890962812</v>
      </c>
      <c r="G12797" s="3" t="s">
        <v>28489</v>
      </c>
    </row>
    <row r="12798">
      <c r="A12798" s="3" t="s">
        <v>28490</v>
      </c>
      <c r="B12798" s="3" t="s">
        <v>11053</v>
      </c>
      <c r="C12798" s="5" t="s">
        <v>45</v>
      </c>
      <c r="D12798" s="3" t="s">
        <v>221</v>
      </c>
      <c r="E12798" s="3" t="s">
        <v>236</v>
      </c>
      <c r="F12798" s="7">
        <v>45994.899667806865</v>
      </c>
      <c r="G12798" s="3" t="s">
        <v>28491</v>
      </c>
    </row>
    <row r="12799">
      <c r="A12799" s="3" t="s">
        <v>28492</v>
      </c>
      <c r="B12799" s="3" t="s">
        <v>11053</v>
      </c>
      <c r="C12799" s="5" t="s">
        <v>221</v>
      </c>
      <c r="D12799" s="3" t="s">
        <v>614</v>
      </c>
      <c r="E12799" s="3" t="s">
        <v>118</v>
      </c>
      <c r="F12799" s="7">
        <v>45994.903140029084</v>
      </c>
      <c r="G12799" s="3" t="s">
        <v>28493</v>
      </c>
    </row>
    <row r="12800">
      <c r="A12800" s="3" t="s">
        <v>28494</v>
      </c>
      <c r="B12800" s="3" t="s">
        <v>11053</v>
      </c>
      <c r="C12800" s="5" t="s">
        <v>614</v>
      </c>
      <c r="D12800" s="3" t="s">
        <v>206</v>
      </c>
      <c r="E12800" s="3" t="s">
        <v>100</v>
      </c>
      <c r="F12800" s="7">
        <v>45994.90661225131</v>
      </c>
      <c r="G12800" s="3" t="s">
        <v>28495</v>
      </c>
    </row>
    <row r="12801">
      <c r="A12801" s="3" t="s">
        <v>28496</v>
      </c>
      <c r="B12801" s="3" t="s">
        <v>11053</v>
      </c>
      <c r="C12801" s="5" t="s">
        <v>206</v>
      </c>
      <c r="D12801" s="3" t="s">
        <v>68</v>
      </c>
      <c r="E12801" s="3" t="s">
        <v>100</v>
      </c>
      <c r="F12801" s="7">
        <v>45994.91008447353</v>
      </c>
      <c r="G12801" s="3" t="s">
        <v>28497</v>
      </c>
    </row>
    <row r="12802">
      <c r="A12802" s="3" t="s">
        <v>28498</v>
      </c>
      <c r="B12802" s="3" t="s">
        <v>11056</v>
      </c>
      <c r="C12802" s="5" t="s">
        <v>45</v>
      </c>
      <c r="D12802" s="3" t="s">
        <v>221</v>
      </c>
      <c r="E12802" s="3" t="s">
        <v>488</v>
      </c>
      <c r="F12802" s="7">
        <v>45994.97084265228</v>
      </c>
      <c r="G12802" s="3" t="s">
        <v>27299</v>
      </c>
    </row>
    <row r="12803">
      <c r="A12803" s="3" t="s">
        <v>28499</v>
      </c>
      <c r="B12803" s="3" t="s">
        <v>11056</v>
      </c>
      <c r="C12803" s="5" t="s">
        <v>221</v>
      </c>
      <c r="D12803" s="3" t="s">
        <v>614</v>
      </c>
      <c r="E12803" s="3" t="s">
        <v>118</v>
      </c>
      <c r="F12803" s="7">
        <v>45994.9743148745</v>
      </c>
      <c r="G12803" s="3" t="s">
        <v>27301</v>
      </c>
    </row>
    <row r="12804">
      <c r="A12804" s="3" t="s">
        <v>28500</v>
      </c>
      <c r="B12804" s="3" t="s">
        <v>11056</v>
      </c>
      <c r="C12804" s="5" t="s">
        <v>614</v>
      </c>
      <c r="D12804" s="3" t="s">
        <v>206</v>
      </c>
      <c r="E12804" s="3" t="s">
        <v>100</v>
      </c>
      <c r="F12804" s="7">
        <v>45994.97778709672</v>
      </c>
      <c r="G12804" s="3" t="s">
        <v>27303</v>
      </c>
    </row>
    <row r="12805">
      <c r="A12805" s="3" t="s">
        <v>28501</v>
      </c>
      <c r="B12805" s="3" t="s">
        <v>11056</v>
      </c>
      <c r="C12805" s="5" t="s">
        <v>206</v>
      </c>
      <c r="D12805" s="3" t="s">
        <v>68</v>
      </c>
      <c r="E12805" s="3" t="s">
        <v>100</v>
      </c>
      <c r="F12805" s="7">
        <v>45994.98125931894</v>
      </c>
      <c r="G12805" s="3" t="s">
        <v>27305</v>
      </c>
    </row>
    <row r="12806">
      <c r="A12806" s="3" t="s">
        <v>28502</v>
      </c>
      <c r="B12806" s="3" t="s">
        <v>11059</v>
      </c>
      <c r="C12806" s="5" t="s">
        <v>45</v>
      </c>
      <c r="D12806" s="3" t="s">
        <v>221</v>
      </c>
      <c r="E12806" s="3" t="s">
        <v>442</v>
      </c>
      <c r="F12806" s="7">
        <v>45995.0420174977</v>
      </c>
      <c r="G12806" s="3" t="s">
        <v>16020</v>
      </c>
    </row>
    <row r="12807">
      <c r="A12807" s="3" t="s">
        <v>28503</v>
      </c>
      <c r="B12807" s="3" t="s">
        <v>11059</v>
      </c>
      <c r="C12807" s="5" t="s">
        <v>221</v>
      </c>
      <c r="D12807" s="3" t="s">
        <v>614</v>
      </c>
      <c r="E12807" s="3" t="s">
        <v>118</v>
      </c>
      <c r="F12807" s="7">
        <v>45995.045489719916</v>
      </c>
      <c r="G12807" s="3" t="s">
        <v>16023</v>
      </c>
    </row>
    <row r="12808">
      <c r="A12808" s="3" t="s">
        <v>28504</v>
      </c>
      <c r="B12808" s="3" t="s">
        <v>11059</v>
      </c>
      <c r="C12808" s="5" t="s">
        <v>614</v>
      </c>
      <c r="D12808" s="3" t="s">
        <v>206</v>
      </c>
      <c r="E12808" s="3" t="s">
        <v>100</v>
      </c>
      <c r="F12808" s="7">
        <v>45995.04896194214</v>
      </c>
      <c r="G12808" s="3" t="s">
        <v>16026</v>
      </c>
    </row>
    <row r="12809">
      <c r="A12809" s="3" t="s">
        <v>28505</v>
      </c>
      <c r="B12809" s="3" t="s">
        <v>11059</v>
      </c>
      <c r="C12809" s="5" t="s">
        <v>206</v>
      </c>
      <c r="D12809" s="3" t="s">
        <v>68</v>
      </c>
      <c r="E12809" s="3" t="s">
        <v>100</v>
      </c>
      <c r="F12809" s="7">
        <v>45995.05243416436</v>
      </c>
      <c r="G12809" s="3" t="s">
        <v>16029</v>
      </c>
    </row>
    <row r="12810">
      <c r="A12810" s="3" t="s">
        <v>28506</v>
      </c>
      <c r="B12810" s="3" t="s">
        <v>11061</v>
      </c>
      <c r="C12810" s="5" t="s">
        <v>45</v>
      </c>
      <c r="D12810" s="3" t="s">
        <v>221</v>
      </c>
      <c r="E12810" s="3" t="s">
        <v>226</v>
      </c>
      <c r="F12810" s="7">
        <v>45995.11319234311</v>
      </c>
      <c r="G12810" s="3" t="s">
        <v>16055</v>
      </c>
    </row>
    <row r="12811">
      <c r="A12811" s="3" t="s">
        <v>28507</v>
      </c>
      <c r="B12811" s="3" t="s">
        <v>11061</v>
      </c>
      <c r="C12811" s="5" t="s">
        <v>221</v>
      </c>
      <c r="D12811" s="3" t="s">
        <v>614</v>
      </c>
      <c r="E12811" s="3" t="s">
        <v>118</v>
      </c>
      <c r="F12811" s="7">
        <v>45995.11666456533</v>
      </c>
      <c r="G12811" s="3" t="s">
        <v>16057</v>
      </c>
    </row>
    <row r="12812">
      <c r="A12812" s="3" t="s">
        <v>28508</v>
      </c>
      <c r="B12812" s="3" t="s">
        <v>11061</v>
      </c>
      <c r="C12812" s="5" t="s">
        <v>614</v>
      </c>
      <c r="D12812" s="3" t="s">
        <v>206</v>
      </c>
      <c r="E12812" s="3" t="s">
        <v>100</v>
      </c>
      <c r="F12812" s="7">
        <v>45995.120136787555</v>
      </c>
      <c r="G12812" s="3" t="s">
        <v>16060</v>
      </c>
    </row>
    <row r="12813">
      <c r="A12813" s="3" t="s">
        <v>28509</v>
      </c>
      <c r="B12813" s="3" t="s">
        <v>11061</v>
      </c>
      <c r="C12813" s="5" t="s">
        <v>206</v>
      </c>
      <c r="D12813" s="3" t="s">
        <v>68</v>
      </c>
      <c r="E12813" s="3" t="s">
        <v>100</v>
      </c>
      <c r="F12813" s="7">
        <v>45995.123609009774</v>
      </c>
      <c r="G12813" s="3" t="s">
        <v>16063</v>
      </c>
    </row>
    <row r="12814">
      <c r="A12814" s="3" t="s">
        <v>28510</v>
      </c>
      <c r="B12814" s="3" t="s">
        <v>11066</v>
      </c>
      <c r="C12814" s="5" t="s">
        <v>45</v>
      </c>
      <c r="D12814" s="3" t="s">
        <v>221</v>
      </c>
      <c r="E12814" s="3" t="s">
        <v>557</v>
      </c>
      <c r="F12814" s="7">
        <v>45995.18436718852</v>
      </c>
      <c r="G12814" s="3" t="s">
        <v>13585</v>
      </c>
    </row>
    <row r="12815">
      <c r="A12815" s="3" t="s">
        <v>28511</v>
      </c>
      <c r="B12815" s="3" t="s">
        <v>11066</v>
      </c>
      <c r="C12815" s="5" t="s">
        <v>221</v>
      </c>
      <c r="D12815" s="3" t="s">
        <v>614</v>
      </c>
      <c r="E12815" s="3" t="s">
        <v>118</v>
      </c>
      <c r="F12815" s="7">
        <v>45995.18783941074</v>
      </c>
      <c r="G12815" s="3" t="s">
        <v>13587</v>
      </c>
    </row>
    <row r="12816">
      <c r="A12816" s="3" t="s">
        <v>28512</v>
      </c>
      <c r="B12816" s="3" t="s">
        <v>11066</v>
      </c>
      <c r="C12816" s="5" t="s">
        <v>614</v>
      </c>
      <c r="D12816" s="3" t="s">
        <v>206</v>
      </c>
      <c r="E12816" s="3" t="s">
        <v>100</v>
      </c>
      <c r="F12816" s="7">
        <v>45995.19131163297</v>
      </c>
      <c r="G12816" s="3" t="s">
        <v>13590</v>
      </c>
    </row>
    <row r="12817">
      <c r="A12817" s="3" t="s">
        <v>28513</v>
      </c>
      <c r="B12817" s="3" t="s">
        <v>11066</v>
      </c>
      <c r="C12817" s="5" t="s">
        <v>206</v>
      </c>
      <c r="D12817" s="3" t="s">
        <v>68</v>
      </c>
      <c r="E12817" s="3" t="s">
        <v>100</v>
      </c>
      <c r="F12817" s="7">
        <v>45995.194783855186</v>
      </c>
      <c r="G12817" s="3" t="s">
        <v>13593</v>
      </c>
    </row>
    <row r="12818">
      <c r="A12818" s="3" t="s">
        <v>28514</v>
      </c>
      <c r="B12818" s="3" t="s">
        <v>11069</v>
      </c>
      <c r="C12818" s="5" t="s">
        <v>45</v>
      </c>
      <c r="D12818" s="3" t="s">
        <v>221</v>
      </c>
      <c r="E12818" s="3" t="s">
        <v>819</v>
      </c>
      <c r="F12818" s="7">
        <v>45995.25554203394</v>
      </c>
      <c r="G12818" s="3" t="s">
        <v>19835</v>
      </c>
    </row>
    <row r="12819">
      <c r="A12819" s="3" t="s">
        <v>28515</v>
      </c>
      <c r="B12819" s="3" t="s">
        <v>11069</v>
      </c>
      <c r="C12819" s="5" t="s">
        <v>221</v>
      </c>
      <c r="D12819" s="3" t="s">
        <v>614</v>
      </c>
      <c r="E12819" s="3" t="s">
        <v>118</v>
      </c>
      <c r="F12819" s="7">
        <v>45995.25901425616</v>
      </c>
      <c r="G12819" s="3" t="s">
        <v>19837</v>
      </c>
    </row>
    <row r="12820">
      <c r="A12820" s="3" t="s">
        <v>28516</v>
      </c>
      <c r="B12820" s="3" t="s">
        <v>11069</v>
      </c>
      <c r="C12820" s="5" t="s">
        <v>614</v>
      </c>
      <c r="D12820" s="3" t="s">
        <v>206</v>
      </c>
      <c r="E12820" s="3" t="s">
        <v>100</v>
      </c>
      <c r="F12820" s="7">
        <v>45995.26248647839</v>
      </c>
      <c r="G12820" s="3" t="s">
        <v>19840</v>
      </c>
    </row>
    <row r="12821">
      <c r="A12821" s="3" t="s">
        <v>28517</v>
      </c>
      <c r="B12821" s="3" t="s">
        <v>11069</v>
      </c>
      <c r="C12821" s="5" t="s">
        <v>206</v>
      </c>
      <c r="D12821" s="3" t="s">
        <v>68</v>
      </c>
      <c r="E12821" s="3" t="s">
        <v>100</v>
      </c>
      <c r="F12821" s="7">
        <v>45995.265958700606</v>
      </c>
      <c r="G12821" s="3" t="s">
        <v>19843</v>
      </c>
    </row>
    <row r="12822">
      <c r="A12822" s="3" t="s">
        <v>28518</v>
      </c>
      <c r="B12822" s="3" t="s">
        <v>11071</v>
      </c>
      <c r="C12822" s="5" t="s">
        <v>45</v>
      </c>
      <c r="D12822" s="3" t="s">
        <v>221</v>
      </c>
      <c r="E12822" s="3" t="s">
        <v>972</v>
      </c>
      <c r="F12822" s="7">
        <v>45995.32671687935</v>
      </c>
      <c r="G12822" s="3" t="s">
        <v>25512</v>
      </c>
    </row>
    <row r="12823">
      <c r="A12823" s="3" t="s">
        <v>28519</v>
      </c>
      <c r="B12823" s="3" t="s">
        <v>11071</v>
      </c>
      <c r="C12823" s="5" t="s">
        <v>221</v>
      </c>
      <c r="D12823" s="3" t="s">
        <v>614</v>
      </c>
      <c r="E12823" s="3" t="s">
        <v>118</v>
      </c>
      <c r="F12823" s="7">
        <v>45995.33018910157</v>
      </c>
      <c r="G12823" s="3" t="s">
        <v>25514</v>
      </c>
    </row>
    <row r="12824">
      <c r="A12824" s="3" t="s">
        <v>28520</v>
      </c>
      <c r="B12824" s="3" t="s">
        <v>11071</v>
      </c>
      <c r="C12824" s="5" t="s">
        <v>614</v>
      </c>
      <c r="D12824" s="3" t="s">
        <v>206</v>
      </c>
      <c r="E12824" s="3" t="s">
        <v>100</v>
      </c>
      <c r="F12824" s="7">
        <v>45995.3336613238</v>
      </c>
      <c r="G12824" s="3" t="s">
        <v>25516</v>
      </c>
    </row>
    <row r="12825">
      <c r="A12825" s="3" t="s">
        <v>28521</v>
      </c>
      <c r="B12825" s="3" t="s">
        <v>11071</v>
      </c>
      <c r="C12825" s="5" t="s">
        <v>206</v>
      </c>
      <c r="D12825" s="3" t="s">
        <v>68</v>
      </c>
      <c r="E12825" s="3" t="s">
        <v>100</v>
      </c>
      <c r="F12825" s="7">
        <v>45995.33713354602</v>
      </c>
      <c r="G12825" s="3" t="s">
        <v>25518</v>
      </c>
    </row>
    <row r="12826">
      <c r="A12826" s="3" t="s">
        <v>28522</v>
      </c>
      <c r="B12826" s="3" t="s">
        <v>11073</v>
      </c>
      <c r="C12826" s="5" t="s">
        <v>45</v>
      </c>
      <c r="D12826" s="3" t="s">
        <v>221</v>
      </c>
      <c r="E12826" s="3" t="s">
        <v>135</v>
      </c>
      <c r="F12826" s="7">
        <v>45995.39789172477</v>
      </c>
      <c r="G12826" s="3" t="s">
        <v>7307</v>
      </c>
    </row>
    <row r="12827">
      <c r="A12827" s="3" t="s">
        <v>28523</v>
      </c>
      <c r="B12827" s="3" t="s">
        <v>11073</v>
      </c>
      <c r="C12827" s="5" t="s">
        <v>221</v>
      </c>
      <c r="D12827" s="3" t="s">
        <v>614</v>
      </c>
      <c r="E12827" s="3" t="s">
        <v>118</v>
      </c>
      <c r="F12827" s="7">
        <v>45995.40136394699</v>
      </c>
      <c r="G12827" s="3" t="s">
        <v>7310</v>
      </c>
    </row>
    <row r="12828">
      <c r="A12828" s="3" t="s">
        <v>28524</v>
      </c>
      <c r="B12828" s="3" t="s">
        <v>11073</v>
      </c>
      <c r="C12828" s="5" t="s">
        <v>614</v>
      </c>
      <c r="D12828" s="3" t="s">
        <v>206</v>
      </c>
      <c r="E12828" s="3" t="s">
        <v>100</v>
      </c>
      <c r="F12828" s="7">
        <v>45995.40483616922</v>
      </c>
      <c r="G12828" s="3" t="s">
        <v>7313</v>
      </c>
    </row>
    <row r="12829">
      <c r="A12829" s="3" t="s">
        <v>28525</v>
      </c>
      <c r="B12829" s="3" t="s">
        <v>11073</v>
      </c>
      <c r="C12829" s="5" t="s">
        <v>206</v>
      </c>
      <c r="D12829" s="3" t="s">
        <v>68</v>
      </c>
      <c r="E12829" s="3" t="s">
        <v>100</v>
      </c>
      <c r="F12829" s="7">
        <v>45995.40830839144</v>
      </c>
      <c r="G12829" s="3" t="s">
        <v>7316</v>
      </c>
    </row>
    <row r="12830">
      <c r="A12830" s="3" t="s">
        <v>28526</v>
      </c>
      <c r="B12830" s="3" t="s">
        <v>11076</v>
      </c>
      <c r="C12830" s="5" t="s">
        <v>45</v>
      </c>
      <c r="D12830" s="3" t="s">
        <v>221</v>
      </c>
      <c r="E12830" s="3" t="s">
        <v>253</v>
      </c>
      <c r="F12830" s="7">
        <v>45995.469066570186</v>
      </c>
      <c r="G12830" s="3" t="s">
        <v>28527</v>
      </c>
    </row>
    <row r="12831">
      <c r="A12831" s="3" t="s">
        <v>28528</v>
      </c>
      <c r="B12831" s="3" t="s">
        <v>11076</v>
      </c>
      <c r="C12831" s="5" t="s">
        <v>221</v>
      </c>
      <c r="D12831" s="3" t="s">
        <v>614</v>
      </c>
      <c r="E12831" s="3" t="s">
        <v>118</v>
      </c>
      <c r="F12831" s="7">
        <v>45995.472538792405</v>
      </c>
      <c r="G12831" s="3" t="s">
        <v>28529</v>
      </c>
    </row>
    <row r="12832">
      <c r="A12832" s="3" t="s">
        <v>28530</v>
      </c>
      <c r="B12832" s="3" t="s">
        <v>11076</v>
      </c>
      <c r="C12832" s="5" t="s">
        <v>614</v>
      </c>
      <c r="D12832" s="3" t="s">
        <v>206</v>
      </c>
      <c r="E12832" s="3" t="s">
        <v>100</v>
      </c>
      <c r="F12832" s="7">
        <v>45995.47601101463</v>
      </c>
      <c r="G12832" s="3" t="s">
        <v>28531</v>
      </c>
    </row>
    <row r="12833">
      <c r="A12833" s="3" t="s">
        <v>28532</v>
      </c>
      <c r="B12833" s="3" t="s">
        <v>11076</v>
      </c>
      <c r="C12833" s="5" t="s">
        <v>206</v>
      </c>
      <c r="D12833" s="3" t="s">
        <v>68</v>
      </c>
      <c r="E12833" s="3" t="s">
        <v>100</v>
      </c>
      <c r="F12833" s="7">
        <v>45995.47948323685</v>
      </c>
      <c r="G12833" s="3" t="s">
        <v>28533</v>
      </c>
    </row>
    <row r="12834">
      <c r="A12834" s="3" t="s">
        <v>28534</v>
      </c>
      <c r="B12834" s="3" t="s">
        <v>11078</v>
      </c>
      <c r="C12834" s="5" t="s">
        <v>45</v>
      </c>
      <c r="D12834" s="3" t="s">
        <v>221</v>
      </c>
      <c r="E12834" s="3" t="s">
        <v>911</v>
      </c>
      <c r="F12834" s="7">
        <v>45995.540241415605</v>
      </c>
      <c r="G12834" s="3" t="s">
        <v>28535</v>
      </c>
    </row>
    <row r="12835">
      <c r="A12835" s="3" t="s">
        <v>28536</v>
      </c>
      <c r="B12835" s="3" t="s">
        <v>11078</v>
      </c>
      <c r="C12835" s="5" t="s">
        <v>221</v>
      </c>
      <c r="D12835" s="3" t="s">
        <v>614</v>
      </c>
      <c r="E12835" s="3" t="s">
        <v>118</v>
      </c>
      <c r="F12835" s="7">
        <v>45995.543713637824</v>
      </c>
      <c r="G12835" s="3" t="s">
        <v>28537</v>
      </c>
    </row>
    <row r="12836">
      <c r="A12836" s="3" t="s">
        <v>28538</v>
      </c>
      <c r="B12836" s="3" t="s">
        <v>11078</v>
      </c>
      <c r="C12836" s="5" t="s">
        <v>614</v>
      </c>
      <c r="D12836" s="3" t="s">
        <v>206</v>
      </c>
      <c r="E12836" s="3" t="s">
        <v>100</v>
      </c>
      <c r="F12836" s="7">
        <v>45995.54718586005</v>
      </c>
      <c r="G12836" s="3" t="s">
        <v>28539</v>
      </c>
    </row>
    <row r="12837">
      <c r="A12837" s="3" t="s">
        <v>28540</v>
      </c>
      <c r="B12837" s="3" t="s">
        <v>11078</v>
      </c>
      <c r="C12837" s="5" t="s">
        <v>206</v>
      </c>
      <c r="D12837" s="3" t="s">
        <v>68</v>
      </c>
      <c r="E12837" s="3" t="s">
        <v>100</v>
      </c>
      <c r="F12837" s="7">
        <v>45995.55065808227</v>
      </c>
      <c r="G12837" s="3" t="s">
        <v>28541</v>
      </c>
    </row>
    <row r="12838">
      <c r="A12838" s="3" t="s">
        <v>28542</v>
      </c>
      <c r="B12838" s="3" t="s">
        <v>11080</v>
      </c>
      <c r="C12838" s="5" t="s">
        <v>45</v>
      </c>
      <c r="D12838" s="3" t="s">
        <v>221</v>
      </c>
      <c r="E12838" s="3" t="s">
        <v>770</v>
      </c>
      <c r="F12838" s="7">
        <v>45995.61141626101</v>
      </c>
      <c r="G12838" s="3" t="s">
        <v>11950</v>
      </c>
    </row>
    <row r="12839">
      <c r="A12839" s="3" t="s">
        <v>28543</v>
      </c>
      <c r="B12839" s="3" t="s">
        <v>11080</v>
      </c>
      <c r="C12839" s="5" t="s">
        <v>221</v>
      </c>
      <c r="D12839" s="3" t="s">
        <v>614</v>
      </c>
      <c r="E12839" s="3" t="s">
        <v>118</v>
      </c>
      <c r="F12839" s="7">
        <v>45995.61488848323</v>
      </c>
      <c r="G12839" s="3" t="s">
        <v>11953</v>
      </c>
    </row>
    <row r="12840">
      <c r="A12840" s="3" t="s">
        <v>28544</v>
      </c>
      <c r="B12840" s="3" t="s">
        <v>11080</v>
      </c>
      <c r="C12840" s="5" t="s">
        <v>614</v>
      </c>
      <c r="D12840" s="3" t="s">
        <v>206</v>
      </c>
      <c r="E12840" s="3" t="s">
        <v>100</v>
      </c>
      <c r="F12840" s="7">
        <v>45995.618360705455</v>
      </c>
      <c r="G12840" s="3" t="s">
        <v>11956</v>
      </c>
    </row>
    <row r="12841">
      <c r="A12841" s="3" t="s">
        <v>28545</v>
      </c>
      <c r="B12841" s="3" t="s">
        <v>11080</v>
      </c>
      <c r="C12841" s="5" t="s">
        <v>206</v>
      </c>
      <c r="D12841" s="3" t="s">
        <v>68</v>
      </c>
      <c r="E12841" s="3" t="s">
        <v>100</v>
      </c>
      <c r="F12841" s="7">
        <v>45995.621832927674</v>
      </c>
      <c r="G12841" s="3" t="s">
        <v>11959</v>
      </c>
    </row>
    <row r="12842">
      <c r="A12842" s="3" t="s">
        <v>28546</v>
      </c>
      <c r="B12842" s="3" t="s">
        <v>11082</v>
      </c>
      <c r="C12842" s="5" t="s">
        <v>45</v>
      </c>
      <c r="D12842" s="3" t="s">
        <v>221</v>
      </c>
      <c r="E12842" s="3" t="s">
        <v>287</v>
      </c>
      <c r="F12842" s="7">
        <v>45995.68259110643</v>
      </c>
      <c r="G12842" s="3" t="s">
        <v>2770</v>
      </c>
    </row>
    <row r="12843">
      <c r="A12843" s="3" t="s">
        <v>28547</v>
      </c>
      <c r="B12843" s="3" t="s">
        <v>11082</v>
      </c>
      <c r="C12843" s="5" t="s">
        <v>221</v>
      </c>
      <c r="D12843" s="3" t="s">
        <v>195</v>
      </c>
      <c r="E12843" s="3" t="s">
        <v>287</v>
      </c>
      <c r="F12843" s="7">
        <v>45995.68606332865</v>
      </c>
      <c r="G12843" s="3" t="s">
        <v>3055</v>
      </c>
    </row>
    <row r="12844">
      <c r="A12844" s="3" t="s">
        <v>28548</v>
      </c>
      <c r="B12844" s="3" t="s">
        <v>11085</v>
      </c>
      <c r="C12844" s="5" t="s">
        <v>45</v>
      </c>
      <c r="D12844" s="3" t="s">
        <v>221</v>
      </c>
      <c r="E12844" s="3" t="s">
        <v>430</v>
      </c>
      <c r="F12844" s="7">
        <v>45995.75376595185</v>
      </c>
      <c r="G12844" s="3" t="s">
        <v>22176</v>
      </c>
    </row>
    <row r="12845">
      <c r="A12845" s="3" t="s">
        <v>28549</v>
      </c>
      <c r="B12845" s="3" t="s">
        <v>11085</v>
      </c>
      <c r="C12845" s="5" t="s">
        <v>221</v>
      </c>
      <c r="D12845" s="3" t="s">
        <v>614</v>
      </c>
      <c r="E12845" s="3" t="s">
        <v>118</v>
      </c>
      <c r="F12845" s="7">
        <v>45995.75723817407</v>
      </c>
      <c r="G12845" s="3" t="s">
        <v>26201</v>
      </c>
    </row>
    <row r="12846">
      <c r="A12846" s="3" t="s">
        <v>28550</v>
      </c>
      <c r="B12846" s="3" t="s">
        <v>11085</v>
      </c>
      <c r="C12846" s="5" t="s">
        <v>614</v>
      </c>
      <c r="D12846" s="3" t="s">
        <v>206</v>
      </c>
      <c r="E12846" s="3" t="s">
        <v>100</v>
      </c>
      <c r="F12846" s="7">
        <v>45995.760710396295</v>
      </c>
      <c r="G12846" s="3" t="s">
        <v>26203</v>
      </c>
    </row>
    <row r="12847">
      <c r="A12847" s="3" t="s">
        <v>28551</v>
      </c>
      <c r="B12847" s="3" t="s">
        <v>11085</v>
      </c>
      <c r="C12847" s="5" t="s">
        <v>206</v>
      </c>
      <c r="D12847" s="3" t="s">
        <v>68</v>
      </c>
      <c r="E12847" s="3" t="s">
        <v>100</v>
      </c>
      <c r="F12847" s="7">
        <v>45995.76418261851</v>
      </c>
      <c r="G12847" s="3" t="s">
        <v>26205</v>
      </c>
    </row>
    <row r="12848">
      <c r="A12848" s="3" t="s">
        <v>28552</v>
      </c>
      <c r="B12848" s="3" t="s">
        <v>11089</v>
      </c>
      <c r="C12848" s="5" t="s">
        <v>45</v>
      </c>
      <c r="D12848" s="3" t="s">
        <v>221</v>
      </c>
      <c r="E12848" s="3" t="s">
        <v>841</v>
      </c>
      <c r="F12848" s="7">
        <v>45995.82494079726</v>
      </c>
      <c r="G12848" s="3" t="s">
        <v>28553</v>
      </c>
    </row>
    <row r="12849">
      <c r="A12849" s="3" t="s">
        <v>28554</v>
      </c>
      <c r="B12849" s="3" t="s">
        <v>11089</v>
      </c>
      <c r="C12849" s="5" t="s">
        <v>221</v>
      </c>
      <c r="D12849" s="3" t="s">
        <v>614</v>
      </c>
      <c r="E12849" s="3" t="s">
        <v>118</v>
      </c>
      <c r="F12849" s="7">
        <v>45995.82841301948</v>
      </c>
      <c r="G12849" s="3" t="s">
        <v>28555</v>
      </c>
    </row>
    <row r="12850">
      <c r="A12850" s="3" t="s">
        <v>28556</v>
      </c>
      <c r="B12850" s="3" t="s">
        <v>11089</v>
      </c>
      <c r="C12850" s="5" t="s">
        <v>614</v>
      </c>
      <c r="D12850" s="3" t="s">
        <v>206</v>
      </c>
      <c r="E12850" s="3" t="s">
        <v>100</v>
      </c>
      <c r="F12850" s="7">
        <v>45995.83188524171</v>
      </c>
      <c r="G12850" s="3" t="s">
        <v>28557</v>
      </c>
    </row>
    <row r="12851">
      <c r="A12851" s="3" t="s">
        <v>28558</v>
      </c>
      <c r="B12851" s="3" t="s">
        <v>11089</v>
      </c>
      <c r="C12851" s="5" t="s">
        <v>206</v>
      </c>
      <c r="D12851" s="3" t="s">
        <v>68</v>
      </c>
      <c r="E12851" s="3" t="s">
        <v>100</v>
      </c>
      <c r="F12851" s="7">
        <v>45995.835357463926</v>
      </c>
      <c r="G12851" s="3" t="s">
        <v>28559</v>
      </c>
    </row>
    <row r="12852">
      <c r="A12852" s="3" t="s">
        <v>28560</v>
      </c>
      <c r="B12852" s="3" t="s">
        <v>11092</v>
      </c>
      <c r="C12852" s="5" t="s">
        <v>45</v>
      </c>
      <c r="D12852" s="3" t="s">
        <v>221</v>
      </c>
      <c r="E12852" s="3" t="s">
        <v>135</v>
      </c>
      <c r="F12852" s="7">
        <v>45995.896115642674</v>
      </c>
      <c r="G12852" s="3" t="s">
        <v>9168</v>
      </c>
    </row>
    <row r="12853">
      <c r="A12853" s="3" t="s">
        <v>28561</v>
      </c>
      <c r="B12853" s="3" t="s">
        <v>11092</v>
      </c>
      <c r="C12853" s="5" t="s">
        <v>221</v>
      </c>
      <c r="D12853" s="3" t="s">
        <v>614</v>
      </c>
      <c r="E12853" s="3" t="s">
        <v>118</v>
      </c>
      <c r="F12853" s="7">
        <v>45995.89958786489</v>
      </c>
      <c r="G12853" s="3" t="s">
        <v>9171</v>
      </c>
    </row>
    <row r="12854">
      <c r="A12854" s="3" t="s">
        <v>28562</v>
      </c>
      <c r="B12854" s="3" t="s">
        <v>11092</v>
      </c>
      <c r="C12854" s="5" t="s">
        <v>614</v>
      </c>
      <c r="D12854" s="3" t="s">
        <v>206</v>
      </c>
      <c r="E12854" s="3" t="s">
        <v>100</v>
      </c>
      <c r="F12854" s="7">
        <v>45995.90306008712</v>
      </c>
      <c r="G12854" s="3" t="s">
        <v>9174</v>
      </c>
    </row>
    <row r="12855">
      <c r="A12855" s="3" t="s">
        <v>28563</v>
      </c>
      <c r="B12855" s="3" t="s">
        <v>11092</v>
      </c>
      <c r="C12855" s="5" t="s">
        <v>206</v>
      </c>
      <c r="D12855" s="3" t="s">
        <v>68</v>
      </c>
      <c r="E12855" s="3" t="s">
        <v>100</v>
      </c>
      <c r="F12855" s="7">
        <v>45995.90653230934</v>
      </c>
      <c r="G12855" s="3" t="s">
        <v>9177</v>
      </c>
    </row>
    <row r="12856">
      <c r="A12856" s="3" t="s">
        <v>28564</v>
      </c>
      <c r="B12856" s="3" t="s">
        <v>11095</v>
      </c>
      <c r="C12856" s="5" t="s">
        <v>45</v>
      </c>
      <c r="D12856" s="3" t="s">
        <v>221</v>
      </c>
      <c r="E12856" s="3" t="s">
        <v>253</v>
      </c>
      <c r="F12856" s="7">
        <v>45995.96729048809</v>
      </c>
      <c r="G12856" s="3" t="s">
        <v>2770</v>
      </c>
    </row>
    <row r="12857">
      <c r="A12857" s="3" t="s">
        <v>28565</v>
      </c>
      <c r="B12857" s="3" t="s">
        <v>11095</v>
      </c>
      <c r="C12857" s="5" t="s">
        <v>221</v>
      </c>
      <c r="D12857" s="3" t="s">
        <v>195</v>
      </c>
      <c r="E12857" s="3" t="s">
        <v>253</v>
      </c>
      <c r="F12857" s="7">
        <v>45995.97076271031</v>
      </c>
      <c r="G12857" s="3" t="s">
        <v>3055</v>
      </c>
    </row>
    <row r="12858">
      <c r="A12858" s="3" t="s">
        <v>28566</v>
      </c>
      <c r="B12858" s="3" t="s">
        <v>11098</v>
      </c>
      <c r="C12858" s="5" t="s">
        <v>45</v>
      </c>
      <c r="D12858" s="3" t="s">
        <v>221</v>
      </c>
      <c r="E12858" s="3" t="s">
        <v>377</v>
      </c>
      <c r="F12858" s="7">
        <v>45996.038465333506</v>
      </c>
      <c r="G12858" s="3" t="s">
        <v>16121</v>
      </c>
    </row>
    <row r="12859">
      <c r="A12859" s="3" t="s">
        <v>28567</v>
      </c>
      <c r="B12859" s="3" t="s">
        <v>11098</v>
      </c>
      <c r="C12859" s="5" t="s">
        <v>221</v>
      </c>
      <c r="D12859" s="3" t="s">
        <v>614</v>
      </c>
      <c r="E12859" s="3" t="s">
        <v>118</v>
      </c>
      <c r="F12859" s="7">
        <v>45996.041937555725</v>
      </c>
      <c r="G12859" s="3" t="s">
        <v>16124</v>
      </c>
    </row>
    <row r="12860">
      <c r="A12860" s="3" t="s">
        <v>28568</v>
      </c>
      <c r="B12860" s="3" t="s">
        <v>11098</v>
      </c>
      <c r="C12860" s="5" t="s">
        <v>614</v>
      </c>
      <c r="D12860" s="3" t="s">
        <v>206</v>
      </c>
      <c r="E12860" s="3" t="s">
        <v>100</v>
      </c>
      <c r="F12860" s="7">
        <v>45996.04540977795</v>
      </c>
      <c r="G12860" s="3" t="s">
        <v>16127</v>
      </c>
    </row>
    <row r="12861">
      <c r="A12861" s="3" t="s">
        <v>28569</v>
      </c>
      <c r="B12861" s="3" t="s">
        <v>11098</v>
      </c>
      <c r="C12861" s="5" t="s">
        <v>206</v>
      </c>
      <c r="D12861" s="3" t="s">
        <v>68</v>
      </c>
      <c r="E12861" s="3" t="s">
        <v>100</v>
      </c>
      <c r="F12861" s="7">
        <v>45996.04888200017</v>
      </c>
      <c r="G12861" s="3" t="s">
        <v>16130</v>
      </c>
    </row>
    <row r="12862">
      <c r="A12862" s="3" t="s">
        <v>28570</v>
      </c>
      <c r="B12862" s="3" t="s">
        <v>11103</v>
      </c>
      <c r="C12862" s="5" t="s">
        <v>45</v>
      </c>
      <c r="D12862" s="3" t="s">
        <v>221</v>
      </c>
      <c r="E12862" s="3" t="s">
        <v>616</v>
      </c>
      <c r="F12862" s="7">
        <v>45996.10964017892</v>
      </c>
      <c r="G12862" s="3" t="s">
        <v>8198</v>
      </c>
    </row>
    <row r="12863">
      <c r="A12863" s="3" t="s">
        <v>28571</v>
      </c>
      <c r="B12863" s="3" t="s">
        <v>11103</v>
      </c>
      <c r="C12863" s="5" t="s">
        <v>221</v>
      </c>
      <c r="D12863" s="3" t="s">
        <v>614</v>
      </c>
      <c r="E12863" s="3" t="s">
        <v>118</v>
      </c>
      <c r="F12863" s="7">
        <v>45996.11311240114</v>
      </c>
      <c r="G12863" s="3" t="s">
        <v>8201</v>
      </c>
    </row>
    <row r="12864">
      <c r="A12864" s="3" t="s">
        <v>28572</v>
      </c>
      <c r="B12864" s="3" t="s">
        <v>11103</v>
      </c>
      <c r="C12864" s="5" t="s">
        <v>614</v>
      </c>
      <c r="D12864" s="3" t="s">
        <v>206</v>
      </c>
      <c r="E12864" s="3" t="s">
        <v>100</v>
      </c>
      <c r="F12864" s="7">
        <v>45996.11658462336</v>
      </c>
      <c r="G12864" s="3" t="s">
        <v>8204</v>
      </c>
    </row>
    <row r="12865">
      <c r="A12865" s="3" t="s">
        <v>28573</v>
      </c>
      <c r="B12865" s="3" t="s">
        <v>11103</v>
      </c>
      <c r="C12865" s="5" t="s">
        <v>206</v>
      </c>
      <c r="D12865" s="3" t="s">
        <v>68</v>
      </c>
      <c r="E12865" s="3" t="s">
        <v>100</v>
      </c>
      <c r="F12865" s="7">
        <v>45996.12005684558</v>
      </c>
      <c r="G12865" s="3" t="s">
        <v>8207</v>
      </c>
    </row>
    <row r="12866">
      <c r="A12866" s="3" t="s">
        <v>28574</v>
      </c>
      <c r="B12866" s="3" t="s">
        <v>11104</v>
      </c>
      <c r="C12866" s="5" t="s">
        <v>45</v>
      </c>
      <c r="D12866" s="3" t="s">
        <v>221</v>
      </c>
      <c r="E12866" s="3" t="s">
        <v>404</v>
      </c>
      <c r="F12866" s="7">
        <v>45996.18081502434</v>
      </c>
      <c r="G12866" s="3" t="s">
        <v>16133</v>
      </c>
    </row>
    <row r="12867">
      <c r="A12867" s="3" t="s">
        <v>28575</v>
      </c>
      <c r="B12867" s="3" t="s">
        <v>11104</v>
      </c>
      <c r="C12867" s="5" t="s">
        <v>221</v>
      </c>
      <c r="D12867" s="3" t="s">
        <v>614</v>
      </c>
      <c r="E12867" s="3" t="s">
        <v>118</v>
      </c>
      <c r="F12867" s="7">
        <v>45996.18428724656</v>
      </c>
      <c r="G12867" s="3" t="s">
        <v>16136</v>
      </c>
    </row>
    <row r="12868">
      <c r="A12868" s="3" t="s">
        <v>28576</v>
      </c>
      <c r="B12868" s="3" t="s">
        <v>11104</v>
      </c>
      <c r="C12868" s="5" t="s">
        <v>614</v>
      </c>
      <c r="D12868" s="3" t="s">
        <v>206</v>
      </c>
      <c r="E12868" s="3" t="s">
        <v>100</v>
      </c>
      <c r="F12868" s="7">
        <v>45996.18775946878</v>
      </c>
      <c r="G12868" s="3" t="s">
        <v>16138</v>
      </c>
    </row>
    <row r="12869">
      <c r="A12869" s="3" t="s">
        <v>28577</v>
      </c>
      <c r="B12869" s="3" t="s">
        <v>11104</v>
      </c>
      <c r="C12869" s="5" t="s">
        <v>206</v>
      </c>
      <c r="D12869" s="3" t="s">
        <v>68</v>
      </c>
      <c r="E12869" s="3" t="s">
        <v>100</v>
      </c>
      <c r="F12869" s="7">
        <v>45996.191231691</v>
      </c>
      <c r="G12869" s="3" t="s">
        <v>16141</v>
      </c>
    </row>
    <row r="12870">
      <c r="A12870" s="3" t="s">
        <v>28578</v>
      </c>
      <c r="B12870" s="3" t="s">
        <v>11107</v>
      </c>
      <c r="C12870" s="5" t="s">
        <v>45</v>
      </c>
      <c r="D12870" s="3" t="s">
        <v>221</v>
      </c>
      <c r="E12870" s="3" t="s">
        <v>990</v>
      </c>
      <c r="F12870" s="7">
        <v>45996.25198986976</v>
      </c>
      <c r="G12870" s="3" t="s">
        <v>15829</v>
      </c>
    </row>
    <row r="12871">
      <c r="A12871" s="3" t="s">
        <v>28579</v>
      </c>
      <c r="B12871" s="3" t="s">
        <v>11107</v>
      </c>
      <c r="C12871" s="5" t="s">
        <v>221</v>
      </c>
      <c r="D12871" s="3" t="s">
        <v>614</v>
      </c>
      <c r="E12871" s="3" t="s">
        <v>118</v>
      </c>
      <c r="F12871" s="7">
        <v>45996.25546209198</v>
      </c>
      <c r="G12871" s="3" t="s">
        <v>17368</v>
      </c>
    </row>
    <row r="12872">
      <c r="A12872" s="3" t="s">
        <v>28580</v>
      </c>
      <c r="B12872" s="3" t="s">
        <v>11107</v>
      </c>
      <c r="C12872" s="5" t="s">
        <v>614</v>
      </c>
      <c r="D12872" s="3" t="s">
        <v>206</v>
      </c>
      <c r="E12872" s="3" t="s">
        <v>100</v>
      </c>
      <c r="F12872" s="7">
        <v>45996.2589343142</v>
      </c>
      <c r="G12872" s="3" t="s">
        <v>17371</v>
      </c>
    </row>
    <row r="12873">
      <c r="A12873" s="3" t="s">
        <v>28581</v>
      </c>
      <c r="B12873" s="3" t="s">
        <v>11107</v>
      </c>
      <c r="C12873" s="5" t="s">
        <v>206</v>
      </c>
      <c r="D12873" s="3" t="s">
        <v>68</v>
      </c>
      <c r="E12873" s="3" t="s">
        <v>100</v>
      </c>
      <c r="F12873" s="7">
        <v>45996.26240653642</v>
      </c>
      <c r="G12873" s="3" t="s">
        <v>17373</v>
      </c>
    </row>
    <row r="12874">
      <c r="A12874" s="3" t="s">
        <v>28582</v>
      </c>
      <c r="B12874" s="3" t="s">
        <v>11110</v>
      </c>
      <c r="C12874" s="5" t="s">
        <v>45</v>
      </c>
      <c r="D12874" s="3" t="s">
        <v>221</v>
      </c>
      <c r="E12874" s="3" t="s">
        <v>475</v>
      </c>
      <c r="F12874" s="7">
        <v>45996.32316471516</v>
      </c>
      <c r="G12874" s="3" t="s">
        <v>16156</v>
      </c>
    </row>
    <row r="12875">
      <c r="A12875" s="3" t="s">
        <v>28583</v>
      </c>
      <c r="B12875" s="3" t="s">
        <v>11110</v>
      </c>
      <c r="C12875" s="5" t="s">
        <v>221</v>
      </c>
      <c r="D12875" s="3" t="s">
        <v>614</v>
      </c>
      <c r="E12875" s="3" t="s">
        <v>118</v>
      </c>
      <c r="F12875" s="7">
        <v>45996.32663693738</v>
      </c>
      <c r="G12875" s="3" t="s">
        <v>16158</v>
      </c>
    </row>
    <row r="12876">
      <c r="A12876" s="3" t="s">
        <v>28584</v>
      </c>
      <c r="B12876" s="3" t="s">
        <v>11110</v>
      </c>
      <c r="C12876" s="5" t="s">
        <v>614</v>
      </c>
      <c r="D12876" s="3" t="s">
        <v>206</v>
      </c>
      <c r="E12876" s="3" t="s">
        <v>100</v>
      </c>
      <c r="F12876" s="7">
        <v>45996.33010915961</v>
      </c>
      <c r="G12876" s="3" t="s">
        <v>16161</v>
      </c>
    </row>
    <row r="12877">
      <c r="A12877" s="3" t="s">
        <v>28585</v>
      </c>
      <c r="B12877" s="3" t="s">
        <v>11110</v>
      </c>
      <c r="C12877" s="5" t="s">
        <v>206</v>
      </c>
      <c r="D12877" s="3" t="s">
        <v>68</v>
      </c>
      <c r="E12877" s="3" t="s">
        <v>100</v>
      </c>
      <c r="F12877" s="7">
        <v>45996.33358138183</v>
      </c>
      <c r="G12877" s="3" t="s">
        <v>16164</v>
      </c>
    </row>
    <row r="12878">
      <c r="A12878" s="3" t="s">
        <v>28586</v>
      </c>
      <c r="B12878" s="3" t="s">
        <v>11113</v>
      </c>
      <c r="C12878" s="5" t="s">
        <v>45</v>
      </c>
      <c r="D12878" s="3" t="s">
        <v>221</v>
      </c>
      <c r="E12878" s="3" t="s">
        <v>299</v>
      </c>
      <c r="F12878" s="7">
        <v>45996.39433956058</v>
      </c>
      <c r="G12878" s="3" t="s">
        <v>16167</v>
      </c>
    </row>
    <row r="12879">
      <c r="A12879" s="3" t="s">
        <v>28587</v>
      </c>
      <c r="B12879" s="3" t="s">
        <v>11113</v>
      </c>
      <c r="C12879" s="5" t="s">
        <v>221</v>
      </c>
      <c r="D12879" s="3" t="s">
        <v>614</v>
      </c>
      <c r="E12879" s="3" t="s">
        <v>118</v>
      </c>
      <c r="F12879" s="7">
        <v>45996.3978117828</v>
      </c>
      <c r="G12879" s="3" t="s">
        <v>16170</v>
      </c>
    </row>
    <row r="12880">
      <c r="A12880" s="3" t="s">
        <v>28588</v>
      </c>
      <c r="B12880" s="3" t="s">
        <v>11113</v>
      </c>
      <c r="C12880" s="5" t="s">
        <v>614</v>
      </c>
      <c r="D12880" s="3" t="s">
        <v>206</v>
      </c>
      <c r="E12880" s="3" t="s">
        <v>100</v>
      </c>
      <c r="F12880" s="7">
        <v>45996.40128400503</v>
      </c>
      <c r="G12880" s="3" t="s">
        <v>16172</v>
      </c>
    </row>
    <row r="12881">
      <c r="A12881" s="3" t="s">
        <v>28589</v>
      </c>
      <c r="B12881" s="3" t="s">
        <v>11113</v>
      </c>
      <c r="C12881" s="5" t="s">
        <v>206</v>
      </c>
      <c r="D12881" s="3" t="s">
        <v>68</v>
      </c>
      <c r="E12881" s="3" t="s">
        <v>100</v>
      </c>
      <c r="F12881" s="7">
        <v>45996.404756227246</v>
      </c>
      <c r="G12881" s="3" t="s">
        <v>16175</v>
      </c>
    </row>
    <row r="12882">
      <c r="A12882" s="3" t="s">
        <v>28590</v>
      </c>
      <c r="B12882" s="3" t="s">
        <v>11116</v>
      </c>
      <c r="C12882" s="5" t="s">
        <v>45</v>
      </c>
      <c r="D12882" s="3" t="s">
        <v>221</v>
      </c>
      <c r="E12882" s="3" t="s">
        <v>263</v>
      </c>
      <c r="F12882" s="7">
        <v>45996.465514405994</v>
      </c>
      <c r="G12882" s="3" t="s">
        <v>23285</v>
      </c>
    </row>
    <row r="12883">
      <c r="A12883" s="3" t="s">
        <v>28591</v>
      </c>
      <c r="B12883" s="3" t="s">
        <v>11116</v>
      </c>
      <c r="C12883" s="5" t="s">
        <v>221</v>
      </c>
      <c r="D12883" s="3" t="s">
        <v>181</v>
      </c>
      <c r="E12883" s="3" t="s">
        <v>118</v>
      </c>
      <c r="F12883" s="7">
        <v>45996.46898662821</v>
      </c>
      <c r="G12883" s="3" t="s">
        <v>28592</v>
      </c>
    </row>
    <row r="12884">
      <c r="A12884" s="3" t="s">
        <v>28593</v>
      </c>
      <c r="B12884" s="3" t="s">
        <v>11119</v>
      </c>
      <c r="C12884" s="5" t="s">
        <v>45</v>
      </c>
      <c r="D12884" s="3" t="s">
        <v>221</v>
      </c>
      <c r="E12884" s="3" t="s">
        <v>377</v>
      </c>
      <c r="F12884" s="7">
        <v>45996.536689251414</v>
      </c>
      <c r="G12884" s="3" t="s">
        <v>20479</v>
      </c>
    </row>
    <row r="12885">
      <c r="A12885" s="3" t="s">
        <v>28594</v>
      </c>
      <c r="B12885" s="3" t="s">
        <v>11119</v>
      </c>
      <c r="C12885" s="5" t="s">
        <v>221</v>
      </c>
      <c r="D12885" s="3" t="s">
        <v>614</v>
      </c>
      <c r="E12885" s="3" t="s">
        <v>118</v>
      </c>
      <c r="F12885" s="7">
        <v>45996.54016147363</v>
      </c>
      <c r="G12885" s="3" t="s">
        <v>20482</v>
      </c>
    </row>
    <row r="12886">
      <c r="A12886" s="3" t="s">
        <v>28595</v>
      </c>
      <c r="B12886" s="3" t="s">
        <v>11119</v>
      </c>
      <c r="C12886" s="5" t="s">
        <v>614</v>
      </c>
      <c r="D12886" s="3" t="s">
        <v>206</v>
      </c>
      <c r="E12886" s="3" t="s">
        <v>100</v>
      </c>
      <c r="F12886" s="7">
        <v>45996.54363369586</v>
      </c>
      <c r="G12886" s="3" t="s">
        <v>20485</v>
      </c>
    </row>
    <row r="12887">
      <c r="A12887" s="3" t="s">
        <v>28596</v>
      </c>
      <c r="B12887" s="3" t="s">
        <v>11119</v>
      </c>
      <c r="C12887" s="5" t="s">
        <v>206</v>
      </c>
      <c r="D12887" s="3" t="s">
        <v>68</v>
      </c>
      <c r="E12887" s="3" t="s">
        <v>100</v>
      </c>
      <c r="F12887" s="7">
        <v>45996.54710591808</v>
      </c>
      <c r="G12887" s="3" t="s">
        <v>20488</v>
      </c>
    </row>
    <row r="12888">
      <c r="A12888" s="3" t="s">
        <v>28597</v>
      </c>
      <c r="B12888" s="3" t="s">
        <v>11123</v>
      </c>
      <c r="C12888" s="5" t="s">
        <v>45</v>
      </c>
      <c r="D12888" s="3" t="s">
        <v>221</v>
      </c>
      <c r="E12888" s="3" t="s">
        <v>523</v>
      </c>
      <c r="F12888" s="7">
        <v>45996.607864096826</v>
      </c>
      <c r="G12888" s="3" t="s">
        <v>9117</v>
      </c>
    </row>
    <row r="12889">
      <c r="A12889" s="3" t="s">
        <v>28598</v>
      </c>
      <c r="B12889" s="3" t="s">
        <v>11123</v>
      </c>
      <c r="C12889" s="5" t="s">
        <v>221</v>
      </c>
      <c r="D12889" s="3" t="s">
        <v>614</v>
      </c>
      <c r="E12889" s="3" t="s">
        <v>118</v>
      </c>
      <c r="F12889" s="7">
        <v>45996.611336319045</v>
      </c>
      <c r="G12889" s="3" t="s">
        <v>9120</v>
      </c>
    </row>
    <row r="12890">
      <c r="A12890" s="3" t="s">
        <v>28599</v>
      </c>
      <c r="B12890" s="3" t="s">
        <v>11123</v>
      </c>
      <c r="C12890" s="5" t="s">
        <v>614</v>
      </c>
      <c r="D12890" s="3" t="s">
        <v>206</v>
      </c>
      <c r="E12890" s="3" t="s">
        <v>100</v>
      </c>
      <c r="F12890" s="7">
        <v>45996.61480854127</v>
      </c>
      <c r="G12890" s="3" t="s">
        <v>9122</v>
      </c>
    </row>
    <row r="12891">
      <c r="A12891" s="3" t="s">
        <v>28600</v>
      </c>
      <c r="B12891" s="3" t="s">
        <v>11123</v>
      </c>
      <c r="C12891" s="5" t="s">
        <v>206</v>
      </c>
      <c r="D12891" s="3" t="s">
        <v>68</v>
      </c>
      <c r="E12891" s="3" t="s">
        <v>100</v>
      </c>
      <c r="F12891" s="7">
        <v>45996.61828076349</v>
      </c>
      <c r="G12891" s="3" t="s">
        <v>9125</v>
      </c>
    </row>
    <row r="12892">
      <c r="A12892" s="3" t="s">
        <v>28601</v>
      </c>
      <c r="B12892" s="3" t="s">
        <v>11127</v>
      </c>
      <c r="C12892" s="5" t="s">
        <v>45</v>
      </c>
      <c r="D12892" s="3" t="s">
        <v>221</v>
      </c>
      <c r="E12892" s="3" t="s">
        <v>516</v>
      </c>
      <c r="F12892" s="7">
        <v>45996.679038942246</v>
      </c>
      <c r="G12892" s="3" t="s">
        <v>28602</v>
      </c>
    </row>
    <row r="12893">
      <c r="A12893" s="3" t="s">
        <v>28603</v>
      </c>
      <c r="B12893" s="3" t="s">
        <v>11127</v>
      </c>
      <c r="C12893" s="5" t="s">
        <v>221</v>
      </c>
      <c r="D12893" s="3" t="s">
        <v>614</v>
      </c>
      <c r="E12893" s="3" t="s">
        <v>118</v>
      </c>
      <c r="F12893" s="7">
        <v>45996.682511164465</v>
      </c>
      <c r="G12893" s="3" t="s">
        <v>28604</v>
      </c>
    </row>
    <row r="12894">
      <c r="A12894" s="3" t="s">
        <v>28605</v>
      </c>
      <c r="B12894" s="3" t="s">
        <v>11127</v>
      </c>
      <c r="C12894" s="5" t="s">
        <v>614</v>
      </c>
      <c r="D12894" s="3" t="s">
        <v>206</v>
      </c>
      <c r="E12894" s="3" t="s">
        <v>100</v>
      </c>
      <c r="F12894" s="7">
        <v>45996.68598338669</v>
      </c>
      <c r="G12894" s="3" t="s">
        <v>28606</v>
      </c>
    </row>
    <row r="12895">
      <c r="A12895" s="3" t="s">
        <v>28607</v>
      </c>
      <c r="B12895" s="3" t="s">
        <v>11127</v>
      </c>
      <c r="C12895" s="5" t="s">
        <v>206</v>
      </c>
      <c r="D12895" s="3" t="s">
        <v>68</v>
      </c>
      <c r="E12895" s="3" t="s">
        <v>100</v>
      </c>
      <c r="F12895" s="7">
        <v>45996.68945560891</v>
      </c>
      <c r="G12895" s="3" t="s">
        <v>28608</v>
      </c>
    </row>
    <row r="12896">
      <c r="A12896" s="3" t="s">
        <v>28609</v>
      </c>
      <c r="B12896" s="3" t="s">
        <v>11130</v>
      </c>
      <c r="C12896" s="5" t="s">
        <v>45</v>
      </c>
      <c r="D12896" s="3" t="s">
        <v>221</v>
      </c>
      <c r="E12896" s="3" t="s">
        <v>356</v>
      </c>
      <c r="F12896" s="7">
        <v>45996.75021378766</v>
      </c>
      <c r="G12896" s="3" t="s">
        <v>20442</v>
      </c>
    </row>
    <row r="12897">
      <c r="A12897" s="3" t="s">
        <v>28610</v>
      </c>
      <c r="B12897" s="3" t="s">
        <v>11130</v>
      </c>
      <c r="C12897" s="5" t="s">
        <v>221</v>
      </c>
      <c r="D12897" s="3" t="s">
        <v>614</v>
      </c>
      <c r="E12897" s="3" t="s">
        <v>118</v>
      </c>
      <c r="F12897" s="7">
        <v>45996.75368600988</v>
      </c>
      <c r="G12897" s="3" t="s">
        <v>20445</v>
      </c>
    </row>
    <row r="12898">
      <c r="A12898" s="3" t="s">
        <v>28611</v>
      </c>
      <c r="B12898" s="3" t="s">
        <v>11130</v>
      </c>
      <c r="C12898" s="5" t="s">
        <v>614</v>
      </c>
      <c r="D12898" s="3" t="s">
        <v>206</v>
      </c>
      <c r="E12898" s="3" t="s">
        <v>100</v>
      </c>
      <c r="F12898" s="7">
        <v>45996.7571582321</v>
      </c>
      <c r="G12898" s="3" t="s">
        <v>20448</v>
      </c>
    </row>
    <row r="12899">
      <c r="A12899" s="3" t="s">
        <v>28612</v>
      </c>
      <c r="B12899" s="3" t="s">
        <v>11130</v>
      </c>
      <c r="C12899" s="5" t="s">
        <v>206</v>
      </c>
      <c r="D12899" s="3" t="s">
        <v>68</v>
      </c>
      <c r="E12899" s="3" t="s">
        <v>100</v>
      </c>
      <c r="F12899" s="7">
        <v>45996.76063045432</v>
      </c>
      <c r="G12899" s="3" t="s">
        <v>20450</v>
      </c>
    </row>
    <row r="12900">
      <c r="A12900" s="3" t="s">
        <v>28613</v>
      </c>
      <c r="B12900" s="3" t="s">
        <v>11133</v>
      </c>
      <c r="C12900" s="5" t="s">
        <v>45</v>
      </c>
      <c r="D12900" s="3" t="s">
        <v>221</v>
      </c>
      <c r="E12900" s="3" t="s">
        <v>530</v>
      </c>
      <c r="F12900" s="7">
        <v>45996.82138863307</v>
      </c>
      <c r="G12900" s="3" t="s">
        <v>16244</v>
      </c>
    </row>
    <row r="12901">
      <c r="A12901" s="3" t="s">
        <v>28614</v>
      </c>
      <c r="B12901" s="3" t="s">
        <v>11133</v>
      </c>
      <c r="C12901" s="5" t="s">
        <v>221</v>
      </c>
      <c r="D12901" s="3" t="s">
        <v>614</v>
      </c>
      <c r="E12901" s="3" t="s">
        <v>118</v>
      </c>
      <c r="F12901" s="7">
        <v>45996.82486085529</v>
      </c>
      <c r="G12901" s="3" t="s">
        <v>16247</v>
      </c>
    </row>
    <row r="12902">
      <c r="A12902" s="3" t="s">
        <v>28615</v>
      </c>
      <c r="B12902" s="3" t="s">
        <v>11133</v>
      </c>
      <c r="C12902" s="5" t="s">
        <v>614</v>
      </c>
      <c r="D12902" s="3" t="s">
        <v>206</v>
      </c>
      <c r="E12902" s="3" t="s">
        <v>100</v>
      </c>
      <c r="F12902" s="7">
        <v>45996.828333077516</v>
      </c>
      <c r="G12902" s="3" t="s">
        <v>16249</v>
      </c>
    </row>
    <row r="12903">
      <c r="A12903" s="3" t="s">
        <v>28616</v>
      </c>
      <c r="B12903" s="3" t="s">
        <v>11133</v>
      </c>
      <c r="C12903" s="5" t="s">
        <v>206</v>
      </c>
      <c r="D12903" s="3" t="s">
        <v>68</v>
      </c>
      <c r="E12903" s="3" t="s">
        <v>100</v>
      </c>
      <c r="F12903" s="7">
        <v>45996.831805299735</v>
      </c>
      <c r="G12903" s="3" t="s">
        <v>16252</v>
      </c>
    </row>
    <row r="12904">
      <c r="A12904" s="3" t="s">
        <v>28617</v>
      </c>
      <c r="B12904" s="3" t="s">
        <v>11136</v>
      </c>
      <c r="C12904" s="5" t="s">
        <v>45</v>
      </c>
      <c r="D12904" s="3" t="s">
        <v>221</v>
      </c>
      <c r="E12904" s="3" t="s">
        <v>455</v>
      </c>
      <c r="F12904" s="7">
        <v>45996.89256347849</v>
      </c>
      <c r="G12904" s="3" t="s">
        <v>2770</v>
      </c>
    </row>
    <row r="12905">
      <c r="A12905" s="3" t="s">
        <v>28618</v>
      </c>
      <c r="B12905" s="3" t="s">
        <v>11136</v>
      </c>
      <c r="C12905" s="5" t="s">
        <v>221</v>
      </c>
      <c r="D12905" s="3" t="s">
        <v>195</v>
      </c>
      <c r="E12905" s="3" t="s">
        <v>455</v>
      </c>
      <c r="F12905" s="7">
        <v>45996.89603570071</v>
      </c>
      <c r="G12905" s="3" t="s">
        <v>3055</v>
      </c>
    </row>
    <row r="12906">
      <c r="A12906" s="3" t="s">
        <v>28619</v>
      </c>
      <c r="B12906" s="3" t="s">
        <v>11139</v>
      </c>
      <c r="C12906" s="5" t="s">
        <v>45</v>
      </c>
      <c r="D12906" s="3" t="s">
        <v>221</v>
      </c>
      <c r="E12906" s="3" t="s">
        <v>247</v>
      </c>
      <c r="F12906" s="7">
        <v>45996.9637383239</v>
      </c>
      <c r="G12906" s="3" t="s">
        <v>2770</v>
      </c>
    </row>
    <row r="12907">
      <c r="A12907" s="3" t="s">
        <v>28620</v>
      </c>
      <c r="B12907" s="3" t="s">
        <v>11139</v>
      </c>
      <c r="C12907" s="5" t="s">
        <v>221</v>
      </c>
      <c r="D12907" s="3" t="s">
        <v>195</v>
      </c>
      <c r="E12907" s="3" t="s">
        <v>247</v>
      </c>
      <c r="F12907" s="7">
        <v>45996.96721054612</v>
      </c>
      <c r="G12907" s="3" t="s">
        <v>3055</v>
      </c>
    </row>
    <row r="12908">
      <c r="A12908" s="3" t="s">
        <v>28621</v>
      </c>
      <c r="B12908" s="3" t="s">
        <v>11142</v>
      </c>
      <c r="C12908" s="5" t="s">
        <v>45</v>
      </c>
      <c r="D12908" s="3" t="s">
        <v>221</v>
      </c>
      <c r="E12908" s="3" t="s">
        <v>359</v>
      </c>
      <c r="F12908" s="7">
        <v>45997.034913169315</v>
      </c>
      <c r="G12908" s="3" t="s">
        <v>3719</v>
      </c>
    </row>
    <row r="12909">
      <c r="A12909" s="3" t="s">
        <v>28622</v>
      </c>
      <c r="B12909" s="3" t="s">
        <v>11142</v>
      </c>
      <c r="C12909" s="5" t="s">
        <v>221</v>
      </c>
      <c r="D12909" s="3" t="s">
        <v>614</v>
      </c>
      <c r="E12909" s="3" t="s">
        <v>118</v>
      </c>
      <c r="F12909" s="7">
        <v>45997.038385391534</v>
      </c>
      <c r="G12909" s="3" t="s">
        <v>3722</v>
      </c>
    </row>
    <row r="12910">
      <c r="A12910" s="3" t="s">
        <v>28623</v>
      </c>
      <c r="B12910" s="3" t="s">
        <v>11142</v>
      </c>
      <c r="C12910" s="5" t="s">
        <v>614</v>
      </c>
      <c r="D12910" s="3" t="s">
        <v>206</v>
      </c>
      <c r="E12910" s="3" t="s">
        <v>100</v>
      </c>
      <c r="F12910" s="7">
        <v>45997.04185761376</v>
      </c>
      <c r="G12910" s="3" t="s">
        <v>3725</v>
      </c>
    </row>
    <row r="12911">
      <c r="A12911" s="3" t="s">
        <v>28624</v>
      </c>
      <c r="B12911" s="3" t="s">
        <v>11142</v>
      </c>
      <c r="C12911" s="5" t="s">
        <v>206</v>
      </c>
      <c r="D12911" s="3" t="s">
        <v>68</v>
      </c>
      <c r="E12911" s="3" t="s">
        <v>100</v>
      </c>
      <c r="F12911" s="7">
        <v>45997.04532983598</v>
      </c>
      <c r="G12911" s="3" t="s">
        <v>3728</v>
      </c>
    </row>
    <row r="12912">
      <c r="A12912" s="3" t="s">
        <v>28625</v>
      </c>
      <c r="B12912" s="3" t="s">
        <v>11147</v>
      </c>
      <c r="C12912" s="5" t="s">
        <v>45</v>
      </c>
      <c r="D12912" s="3" t="s">
        <v>221</v>
      </c>
      <c r="E12912" s="3" t="s">
        <v>645</v>
      </c>
      <c r="F12912" s="7">
        <v>45997.106088014734</v>
      </c>
      <c r="G12912" s="3" t="s">
        <v>19613</v>
      </c>
    </row>
    <row r="12913">
      <c r="A12913" s="3" t="s">
        <v>28626</v>
      </c>
      <c r="B12913" s="3" t="s">
        <v>11147</v>
      </c>
      <c r="C12913" s="5" t="s">
        <v>221</v>
      </c>
      <c r="D12913" s="3" t="s">
        <v>614</v>
      </c>
      <c r="E12913" s="3" t="s">
        <v>118</v>
      </c>
      <c r="F12913" s="7">
        <v>45997.10956023695</v>
      </c>
      <c r="G12913" s="3" t="s">
        <v>19616</v>
      </c>
    </row>
    <row r="12914">
      <c r="A12914" s="3" t="s">
        <v>28627</v>
      </c>
      <c r="B12914" s="3" t="s">
        <v>11147</v>
      </c>
      <c r="C12914" s="5" t="s">
        <v>614</v>
      </c>
      <c r="D12914" s="3" t="s">
        <v>206</v>
      </c>
      <c r="E12914" s="3" t="s">
        <v>100</v>
      </c>
      <c r="F12914" s="7">
        <v>45997.11303245918</v>
      </c>
      <c r="G12914" s="3" t="s">
        <v>19619</v>
      </c>
    </row>
    <row r="12915">
      <c r="A12915" s="3" t="s">
        <v>28628</v>
      </c>
      <c r="B12915" s="3" t="s">
        <v>11147</v>
      </c>
      <c r="C12915" s="5" t="s">
        <v>206</v>
      </c>
      <c r="D12915" s="3" t="s">
        <v>68</v>
      </c>
      <c r="E12915" s="3" t="s">
        <v>100</v>
      </c>
      <c r="F12915" s="7">
        <v>45997.1165046814</v>
      </c>
      <c r="G12915" s="3" t="s">
        <v>19622</v>
      </c>
    </row>
    <row r="12916">
      <c r="A12916" s="3" t="s">
        <v>28629</v>
      </c>
      <c r="B12916" s="3" t="s">
        <v>11150</v>
      </c>
      <c r="C12916" s="5" t="s">
        <v>45</v>
      </c>
      <c r="D12916" s="3" t="s">
        <v>221</v>
      </c>
      <c r="E12916" s="3" t="s">
        <v>302</v>
      </c>
      <c r="F12916" s="7">
        <v>45997.17726286015</v>
      </c>
      <c r="G12916" s="3" t="s">
        <v>18347</v>
      </c>
    </row>
    <row r="12917">
      <c r="A12917" s="3" t="s">
        <v>28630</v>
      </c>
      <c r="B12917" s="3" t="s">
        <v>11150</v>
      </c>
      <c r="C12917" s="5" t="s">
        <v>221</v>
      </c>
      <c r="D12917" s="3" t="s">
        <v>614</v>
      </c>
      <c r="E12917" s="3" t="s">
        <v>118</v>
      </c>
      <c r="F12917" s="7">
        <v>45997.180735082366</v>
      </c>
      <c r="G12917" s="3" t="s">
        <v>18350</v>
      </c>
    </row>
    <row r="12918">
      <c r="A12918" s="3" t="s">
        <v>28631</v>
      </c>
      <c r="B12918" s="3" t="s">
        <v>11150</v>
      </c>
      <c r="C12918" s="5" t="s">
        <v>614</v>
      </c>
      <c r="D12918" s="3" t="s">
        <v>206</v>
      </c>
      <c r="E12918" s="3" t="s">
        <v>100</v>
      </c>
      <c r="F12918" s="7">
        <v>45997.18420730459</v>
      </c>
      <c r="G12918" s="3" t="s">
        <v>18353</v>
      </c>
    </row>
    <row r="12919">
      <c r="A12919" s="3" t="s">
        <v>28632</v>
      </c>
      <c r="B12919" s="3" t="s">
        <v>11150</v>
      </c>
      <c r="C12919" s="5" t="s">
        <v>206</v>
      </c>
      <c r="D12919" s="3" t="s">
        <v>68</v>
      </c>
      <c r="E12919" s="3" t="s">
        <v>100</v>
      </c>
      <c r="F12919" s="7">
        <v>45997.18767952681</v>
      </c>
      <c r="G12919" s="3" t="s">
        <v>18355</v>
      </c>
    </row>
    <row r="12920">
      <c r="A12920" s="3" t="s">
        <v>28633</v>
      </c>
      <c r="B12920" s="3" t="s">
        <v>11153</v>
      </c>
      <c r="C12920" s="5" t="s">
        <v>45</v>
      </c>
      <c r="D12920" s="3" t="s">
        <v>221</v>
      </c>
      <c r="E12920" s="3" t="s">
        <v>219</v>
      </c>
      <c r="F12920" s="7">
        <v>45997.24843770556</v>
      </c>
      <c r="G12920" s="3" t="s">
        <v>16280</v>
      </c>
    </row>
    <row r="12921">
      <c r="A12921" s="3" t="s">
        <v>28634</v>
      </c>
      <c r="B12921" s="3" t="s">
        <v>11153</v>
      </c>
      <c r="C12921" s="5" t="s">
        <v>221</v>
      </c>
      <c r="D12921" s="3" t="s">
        <v>614</v>
      </c>
      <c r="E12921" s="3" t="s">
        <v>118</v>
      </c>
      <c r="F12921" s="7">
        <v>45997.25190992778</v>
      </c>
      <c r="G12921" s="3" t="s">
        <v>16283</v>
      </c>
    </row>
    <row r="12922">
      <c r="A12922" s="3" t="s">
        <v>28635</v>
      </c>
      <c r="B12922" s="3" t="s">
        <v>11153</v>
      </c>
      <c r="C12922" s="5" t="s">
        <v>614</v>
      </c>
      <c r="D12922" s="3" t="s">
        <v>206</v>
      </c>
      <c r="E12922" s="3" t="s">
        <v>100</v>
      </c>
      <c r="F12922" s="7">
        <v>45997.255382150004</v>
      </c>
      <c r="G12922" s="3" t="s">
        <v>16286</v>
      </c>
    </row>
    <row r="12923">
      <c r="A12923" s="3" t="s">
        <v>28636</v>
      </c>
      <c r="B12923" s="3" t="s">
        <v>11153</v>
      </c>
      <c r="C12923" s="5" t="s">
        <v>206</v>
      </c>
      <c r="D12923" s="3" t="s">
        <v>68</v>
      </c>
      <c r="E12923" s="3" t="s">
        <v>100</v>
      </c>
      <c r="F12923" s="7">
        <v>45997.25885437222</v>
      </c>
      <c r="G12923" s="3" t="s">
        <v>16289</v>
      </c>
    </row>
    <row r="12924">
      <c r="A12924" s="3" t="s">
        <v>28637</v>
      </c>
      <c r="B12924" s="3" t="s">
        <v>11156</v>
      </c>
      <c r="C12924" s="5" t="s">
        <v>45</v>
      </c>
      <c r="D12924" s="3" t="s">
        <v>221</v>
      </c>
      <c r="E12924" s="3" t="s">
        <v>725</v>
      </c>
      <c r="F12924" s="7">
        <v>45997.31961255098</v>
      </c>
      <c r="G12924" s="3" t="s">
        <v>15017</v>
      </c>
    </row>
    <row r="12925">
      <c r="A12925" s="3" t="s">
        <v>28638</v>
      </c>
      <c r="B12925" s="3" t="s">
        <v>11156</v>
      </c>
      <c r="C12925" s="5" t="s">
        <v>221</v>
      </c>
      <c r="D12925" s="3" t="s">
        <v>614</v>
      </c>
      <c r="E12925" s="3" t="s">
        <v>118</v>
      </c>
      <c r="F12925" s="7">
        <v>45997.3230847732</v>
      </c>
      <c r="G12925" s="3" t="s">
        <v>15020</v>
      </c>
    </row>
    <row r="12926">
      <c r="A12926" s="3" t="s">
        <v>28639</v>
      </c>
      <c r="B12926" s="3" t="s">
        <v>11156</v>
      </c>
      <c r="C12926" s="5" t="s">
        <v>614</v>
      </c>
      <c r="D12926" s="3" t="s">
        <v>206</v>
      </c>
      <c r="E12926" s="3" t="s">
        <v>100</v>
      </c>
      <c r="F12926" s="7">
        <v>45997.326556995424</v>
      </c>
      <c r="G12926" s="3" t="s">
        <v>15023</v>
      </c>
    </row>
    <row r="12927">
      <c r="A12927" s="3" t="s">
        <v>28640</v>
      </c>
      <c r="B12927" s="3" t="s">
        <v>11156</v>
      </c>
      <c r="C12927" s="5" t="s">
        <v>206</v>
      </c>
      <c r="D12927" s="3" t="s">
        <v>68</v>
      </c>
      <c r="E12927" s="3" t="s">
        <v>100</v>
      </c>
      <c r="F12927" s="7">
        <v>45997.33002921764</v>
      </c>
      <c r="G12927" s="3" t="s">
        <v>15026</v>
      </c>
    </row>
    <row r="12928">
      <c r="A12928" s="3" t="s">
        <v>28641</v>
      </c>
      <c r="B12928" s="3" t="s">
        <v>11159</v>
      </c>
      <c r="C12928" s="5" t="s">
        <v>45</v>
      </c>
      <c r="D12928" s="3" t="s">
        <v>221</v>
      </c>
      <c r="E12928" s="3" t="s">
        <v>145</v>
      </c>
      <c r="F12928" s="7">
        <v>45997.3907873964</v>
      </c>
      <c r="G12928" s="3" t="s">
        <v>2770</v>
      </c>
    </row>
    <row r="12929">
      <c r="A12929" s="3" t="s">
        <v>28642</v>
      </c>
      <c r="B12929" s="3" t="s">
        <v>11159</v>
      </c>
      <c r="C12929" s="5" t="s">
        <v>221</v>
      </c>
      <c r="D12929" s="3" t="s">
        <v>195</v>
      </c>
      <c r="E12929" s="3" t="s">
        <v>145</v>
      </c>
      <c r="F12929" s="7">
        <v>45997.39425961862</v>
      </c>
      <c r="G12929" s="3" t="s">
        <v>3055</v>
      </c>
    </row>
    <row r="12930">
      <c r="A12930" s="3" t="s">
        <v>28643</v>
      </c>
      <c r="B12930" s="3" t="s">
        <v>11163</v>
      </c>
      <c r="C12930" s="5" t="s">
        <v>45</v>
      </c>
      <c r="D12930" s="3" t="s">
        <v>221</v>
      </c>
      <c r="E12930" s="3" t="s">
        <v>838</v>
      </c>
      <c r="F12930" s="7">
        <v>45997.4619622418</v>
      </c>
      <c r="G12930" s="3" t="s">
        <v>16324</v>
      </c>
    </row>
    <row r="12931">
      <c r="A12931" s="3" t="s">
        <v>28644</v>
      </c>
      <c r="B12931" s="3" t="s">
        <v>11163</v>
      </c>
      <c r="C12931" s="5" t="s">
        <v>221</v>
      </c>
      <c r="D12931" s="3" t="s">
        <v>614</v>
      </c>
      <c r="E12931" s="3" t="s">
        <v>118</v>
      </c>
      <c r="F12931" s="7">
        <v>45997.46543446402</v>
      </c>
      <c r="G12931" s="3" t="s">
        <v>16326</v>
      </c>
    </row>
    <row r="12932">
      <c r="A12932" s="3" t="s">
        <v>28645</v>
      </c>
      <c r="B12932" s="3" t="s">
        <v>11163</v>
      </c>
      <c r="C12932" s="5" t="s">
        <v>614</v>
      </c>
      <c r="D12932" s="3" t="s">
        <v>206</v>
      </c>
      <c r="E12932" s="3" t="s">
        <v>100</v>
      </c>
      <c r="F12932" s="7">
        <v>45997.46890668625</v>
      </c>
      <c r="G12932" s="3" t="s">
        <v>16329</v>
      </c>
    </row>
    <row r="12933">
      <c r="A12933" s="3" t="s">
        <v>28646</v>
      </c>
      <c r="B12933" s="3" t="s">
        <v>11163</v>
      </c>
      <c r="C12933" s="5" t="s">
        <v>206</v>
      </c>
      <c r="D12933" s="3" t="s">
        <v>68</v>
      </c>
      <c r="E12933" s="3" t="s">
        <v>100</v>
      </c>
      <c r="F12933" s="7">
        <v>45997.47237890847</v>
      </c>
      <c r="G12933" s="3" t="s">
        <v>16332</v>
      </c>
    </row>
    <row r="12934">
      <c r="A12934" s="3" t="s">
        <v>28647</v>
      </c>
      <c r="B12934" s="3" t="s">
        <v>11165</v>
      </c>
      <c r="C12934" s="5" t="s">
        <v>45</v>
      </c>
      <c r="D12934" s="3" t="s">
        <v>221</v>
      </c>
      <c r="E12934" s="3" t="s">
        <v>908</v>
      </c>
      <c r="F12934" s="7">
        <v>45997.53313708722</v>
      </c>
      <c r="G12934" s="3" t="s">
        <v>2770</v>
      </c>
    </row>
    <row r="12935">
      <c r="A12935" s="3" t="s">
        <v>28648</v>
      </c>
      <c r="B12935" s="3" t="s">
        <v>11165</v>
      </c>
      <c r="C12935" s="5" t="s">
        <v>221</v>
      </c>
      <c r="D12935" s="3" t="s">
        <v>181</v>
      </c>
      <c r="E12935" s="3" t="s">
        <v>118</v>
      </c>
      <c r="F12935" s="7">
        <v>45997.53660930944</v>
      </c>
      <c r="G12935" s="3" t="s">
        <v>2774</v>
      </c>
    </row>
    <row r="12936">
      <c r="A12936" s="3" t="s">
        <v>28649</v>
      </c>
      <c r="B12936" s="3" t="s">
        <v>11167</v>
      </c>
      <c r="C12936" s="5" t="s">
        <v>45</v>
      </c>
      <c r="D12936" s="3" t="s">
        <v>221</v>
      </c>
      <c r="E12936" s="3" t="s">
        <v>619</v>
      </c>
      <c r="F12936" s="7">
        <v>45997.60431193264</v>
      </c>
      <c r="G12936" s="3" t="s">
        <v>8938</v>
      </c>
    </row>
    <row r="12937">
      <c r="A12937" s="3" t="s">
        <v>28650</v>
      </c>
      <c r="B12937" s="3" t="s">
        <v>11167</v>
      </c>
      <c r="C12937" s="5" t="s">
        <v>221</v>
      </c>
      <c r="D12937" s="3" t="s">
        <v>181</v>
      </c>
      <c r="E12937" s="3" t="s">
        <v>118</v>
      </c>
      <c r="F12937" s="7">
        <v>45997.60778415486</v>
      </c>
      <c r="G12937" s="3" t="s">
        <v>28651</v>
      </c>
    </row>
    <row r="12938">
      <c r="A12938" s="3" t="s">
        <v>28652</v>
      </c>
      <c r="B12938" s="3" t="s">
        <v>11169</v>
      </c>
      <c r="C12938" s="5" t="s">
        <v>45</v>
      </c>
      <c r="D12938" s="3" t="s">
        <v>221</v>
      </c>
      <c r="E12938" s="3" t="s">
        <v>746</v>
      </c>
      <c r="F12938" s="7">
        <v>45997.675486778055</v>
      </c>
      <c r="G12938" s="3" t="s">
        <v>16338</v>
      </c>
    </row>
    <row r="12939">
      <c r="A12939" s="3" t="s">
        <v>28653</v>
      </c>
      <c r="B12939" s="3" t="s">
        <v>11169</v>
      </c>
      <c r="C12939" s="5" t="s">
        <v>221</v>
      </c>
      <c r="D12939" s="3" t="s">
        <v>614</v>
      </c>
      <c r="E12939" s="3" t="s">
        <v>118</v>
      </c>
      <c r="F12939" s="7">
        <v>45997.67895900027</v>
      </c>
      <c r="G12939" s="3" t="s">
        <v>16341</v>
      </c>
    </row>
    <row r="12940">
      <c r="A12940" s="3" t="s">
        <v>28654</v>
      </c>
      <c r="B12940" s="3" t="s">
        <v>11169</v>
      </c>
      <c r="C12940" s="5" t="s">
        <v>614</v>
      </c>
      <c r="D12940" s="3" t="s">
        <v>206</v>
      </c>
      <c r="E12940" s="3" t="s">
        <v>100</v>
      </c>
      <c r="F12940" s="7">
        <v>45997.6824312225</v>
      </c>
      <c r="G12940" s="3" t="s">
        <v>16344</v>
      </c>
    </row>
    <row r="12941">
      <c r="A12941" s="3" t="s">
        <v>28655</v>
      </c>
      <c r="B12941" s="3" t="s">
        <v>11169</v>
      </c>
      <c r="C12941" s="5" t="s">
        <v>206</v>
      </c>
      <c r="D12941" s="3" t="s">
        <v>68</v>
      </c>
      <c r="E12941" s="3" t="s">
        <v>100</v>
      </c>
      <c r="F12941" s="7">
        <v>45997.68590344472</v>
      </c>
      <c r="G12941" s="3" t="s">
        <v>16347</v>
      </c>
    </row>
    <row r="12942">
      <c r="A12942" s="3" t="s">
        <v>28656</v>
      </c>
      <c r="B12942" s="3" t="s">
        <v>11171</v>
      </c>
      <c r="C12942" s="5" t="s">
        <v>45</v>
      </c>
      <c r="D12942" s="3" t="s">
        <v>221</v>
      </c>
      <c r="E12942" s="3" t="s">
        <v>519</v>
      </c>
      <c r="F12942" s="7">
        <v>45997.74666162347</v>
      </c>
      <c r="G12942" s="3" t="s">
        <v>16955</v>
      </c>
    </row>
    <row r="12943">
      <c r="A12943" s="3" t="s">
        <v>28657</v>
      </c>
      <c r="B12943" s="3" t="s">
        <v>11171</v>
      </c>
      <c r="C12943" s="5" t="s">
        <v>221</v>
      </c>
      <c r="D12943" s="3" t="s">
        <v>614</v>
      </c>
      <c r="E12943" s="3" t="s">
        <v>118</v>
      </c>
      <c r="F12943" s="7">
        <v>45997.750133845686</v>
      </c>
      <c r="G12943" s="3" t="s">
        <v>27739</v>
      </c>
    </row>
    <row r="12944">
      <c r="A12944" s="3" t="s">
        <v>28658</v>
      </c>
      <c r="B12944" s="3" t="s">
        <v>11171</v>
      </c>
      <c r="C12944" s="5" t="s">
        <v>614</v>
      </c>
      <c r="D12944" s="3" t="s">
        <v>206</v>
      </c>
      <c r="E12944" s="3" t="s">
        <v>100</v>
      </c>
      <c r="F12944" s="7">
        <v>45997.75360606791</v>
      </c>
      <c r="G12944" s="3" t="s">
        <v>27741</v>
      </c>
    </row>
    <row r="12945">
      <c r="A12945" s="3" t="s">
        <v>28659</v>
      </c>
      <c r="B12945" s="3" t="s">
        <v>11171</v>
      </c>
      <c r="C12945" s="5" t="s">
        <v>206</v>
      </c>
      <c r="D12945" s="3" t="s">
        <v>68</v>
      </c>
      <c r="E12945" s="3" t="s">
        <v>100</v>
      </c>
      <c r="F12945" s="7">
        <v>45997.75707829013</v>
      </c>
      <c r="G12945" s="3" t="s">
        <v>27743</v>
      </c>
    </row>
    <row r="12946">
      <c r="A12946" s="3" t="s">
        <v>28660</v>
      </c>
      <c r="B12946" s="3" t="s">
        <v>11173</v>
      </c>
      <c r="C12946" s="5" t="s">
        <v>45</v>
      </c>
      <c r="D12946" s="3" t="s">
        <v>221</v>
      </c>
      <c r="E12946" s="3" t="s">
        <v>1008</v>
      </c>
      <c r="F12946" s="7">
        <v>45997.81783646889</v>
      </c>
      <c r="G12946" s="3" t="s">
        <v>18591</v>
      </c>
    </row>
    <row r="12947">
      <c r="A12947" s="3" t="s">
        <v>28661</v>
      </c>
      <c r="B12947" s="3" t="s">
        <v>11173</v>
      </c>
      <c r="C12947" s="5" t="s">
        <v>221</v>
      </c>
      <c r="D12947" s="3" t="s">
        <v>614</v>
      </c>
      <c r="E12947" s="3" t="s">
        <v>118</v>
      </c>
      <c r="F12947" s="7">
        <v>45997.821308691106</v>
      </c>
      <c r="G12947" s="3" t="s">
        <v>18594</v>
      </c>
    </row>
    <row r="12948">
      <c r="A12948" s="3" t="s">
        <v>28662</v>
      </c>
      <c r="B12948" s="3" t="s">
        <v>11173</v>
      </c>
      <c r="C12948" s="5" t="s">
        <v>614</v>
      </c>
      <c r="D12948" s="3" t="s">
        <v>206</v>
      </c>
      <c r="E12948" s="3" t="s">
        <v>100</v>
      </c>
      <c r="F12948" s="7">
        <v>45997.82478091333</v>
      </c>
      <c r="G12948" s="3" t="s">
        <v>18597</v>
      </c>
    </row>
    <row r="12949">
      <c r="A12949" s="3" t="s">
        <v>28663</v>
      </c>
      <c r="B12949" s="3" t="s">
        <v>11173</v>
      </c>
      <c r="C12949" s="5" t="s">
        <v>206</v>
      </c>
      <c r="D12949" s="3" t="s">
        <v>68</v>
      </c>
      <c r="E12949" s="3" t="s">
        <v>100</v>
      </c>
      <c r="F12949" s="7">
        <v>45997.82825313555</v>
      </c>
      <c r="G12949" s="3" t="s">
        <v>18599</v>
      </c>
    </row>
    <row r="12950">
      <c r="A12950" s="3" t="s">
        <v>28664</v>
      </c>
      <c r="B12950" s="3" t="s">
        <v>11175</v>
      </c>
      <c r="C12950" s="5" t="s">
        <v>45</v>
      </c>
      <c r="D12950" s="3" t="s">
        <v>221</v>
      </c>
      <c r="E12950" s="3" t="s">
        <v>586</v>
      </c>
      <c r="F12950" s="7">
        <v>45997.8890113143</v>
      </c>
      <c r="G12950" s="3" t="s">
        <v>19542</v>
      </c>
    </row>
    <row r="12951">
      <c r="A12951" s="3" t="s">
        <v>28665</v>
      </c>
      <c r="B12951" s="3" t="s">
        <v>11175</v>
      </c>
      <c r="C12951" s="5" t="s">
        <v>221</v>
      </c>
      <c r="D12951" s="3" t="s">
        <v>614</v>
      </c>
      <c r="E12951" s="3" t="s">
        <v>118</v>
      </c>
      <c r="F12951" s="7">
        <v>45997.89248353652</v>
      </c>
      <c r="G12951" s="3" t="s">
        <v>19544</v>
      </c>
    </row>
    <row r="12952">
      <c r="A12952" s="3" t="s">
        <v>28666</v>
      </c>
      <c r="B12952" s="3" t="s">
        <v>11175</v>
      </c>
      <c r="C12952" s="5" t="s">
        <v>614</v>
      </c>
      <c r="D12952" s="3" t="s">
        <v>206</v>
      </c>
      <c r="E12952" s="3" t="s">
        <v>100</v>
      </c>
      <c r="F12952" s="7">
        <v>45997.895955758744</v>
      </c>
      <c r="G12952" s="3" t="s">
        <v>19547</v>
      </c>
    </row>
    <row r="12953">
      <c r="A12953" s="3" t="s">
        <v>28667</v>
      </c>
      <c r="B12953" s="3" t="s">
        <v>11175</v>
      </c>
      <c r="C12953" s="5" t="s">
        <v>206</v>
      </c>
      <c r="D12953" s="3" t="s">
        <v>68</v>
      </c>
      <c r="E12953" s="3" t="s">
        <v>100</v>
      </c>
      <c r="F12953" s="7">
        <v>45997.89942798096</v>
      </c>
      <c r="G12953" s="3" t="s">
        <v>19550</v>
      </c>
    </row>
    <row r="12954">
      <c r="A12954" s="3" t="s">
        <v>28668</v>
      </c>
      <c r="B12954" s="3" t="s">
        <v>11177</v>
      </c>
      <c r="C12954" s="5" t="s">
        <v>45</v>
      </c>
      <c r="D12954" s="3" t="s">
        <v>221</v>
      </c>
      <c r="E12954" s="3" t="s">
        <v>883</v>
      </c>
      <c r="F12954" s="7">
        <v>45997.96018615971</v>
      </c>
      <c r="G12954" s="3" t="s">
        <v>16350</v>
      </c>
    </row>
    <row r="12955">
      <c r="A12955" s="3" t="s">
        <v>28669</v>
      </c>
      <c r="B12955" s="3" t="s">
        <v>11177</v>
      </c>
      <c r="C12955" s="5" t="s">
        <v>221</v>
      </c>
      <c r="D12955" s="3" t="s">
        <v>614</v>
      </c>
      <c r="E12955" s="3" t="s">
        <v>118</v>
      </c>
      <c r="F12955" s="7">
        <v>45997.96365838193</v>
      </c>
      <c r="G12955" s="3" t="s">
        <v>16352</v>
      </c>
    </row>
    <row r="12956">
      <c r="A12956" s="3" t="s">
        <v>28670</v>
      </c>
      <c r="B12956" s="3" t="s">
        <v>11177</v>
      </c>
      <c r="C12956" s="5" t="s">
        <v>614</v>
      </c>
      <c r="D12956" s="3" t="s">
        <v>206</v>
      </c>
      <c r="E12956" s="3" t="s">
        <v>100</v>
      </c>
      <c r="F12956" s="7">
        <v>45997.96713060416</v>
      </c>
      <c r="G12956" s="3" t="s">
        <v>16355</v>
      </c>
    </row>
    <row r="12957">
      <c r="A12957" s="3" t="s">
        <v>28671</v>
      </c>
      <c r="B12957" s="3" t="s">
        <v>11177</v>
      </c>
      <c r="C12957" s="5" t="s">
        <v>206</v>
      </c>
      <c r="D12957" s="3" t="s">
        <v>68</v>
      </c>
      <c r="E12957" s="3" t="s">
        <v>100</v>
      </c>
      <c r="F12957" s="7">
        <v>45997.970602826375</v>
      </c>
      <c r="G12957" s="3" t="s">
        <v>16358</v>
      </c>
    </row>
    <row r="12958">
      <c r="A12958" s="3" t="s">
        <v>28672</v>
      </c>
      <c r="B12958" s="3" t="s">
        <v>11179</v>
      </c>
      <c r="C12958" s="5" t="s">
        <v>45</v>
      </c>
      <c r="D12958" s="3" t="s">
        <v>221</v>
      </c>
      <c r="E12958" s="3" t="s">
        <v>822</v>
      </c>
      <c r="F12958" s="7">
        <v>45998.03136100513</v>
      </c>
      <c r="G12958" s="3" t="s">
        <v>18542</v>
      </c>
    </row>
    <row r="12959">
      <c r="A12959" s="3" t="s">
        <v>28673</v>
      </c>
      <c r="B12959" s="3" t="s">
        <v>11179</v>
      </c>
      <c r="C12959" s="5" t="s">
        <v>221</v>
      </c>
      <c r="D12959" s="3" t="s">
        <v>614</v>
      </c>
      <c r="E12959" s="3" t="s">
        <v>118</v>
      </c>
      <c r="F12959" s="7">
        <v>45998.03483322735</v>
      </c>
      <c r="G12959" s="3" t="s">
        <v>18545</v>
      </c>
    </row>
    <row r="12960">
      <c r="A12960" s="3" t="s">
        <v>28674</v>
      </c>
      <c r="B12960" s="3" t="s">
        <v>11179</v>
      </c>
      <c r="C12960" s="5" t="s">
        <v>614</v>
      </c>
      <c r="D12960" s="3" t="s">
        <v>206</v>
      </c>
      <c r="E12960" s="3" t="s">
        <v>100</v>
      </c>
      <c r="F12960" s="7">
        <v>45998.038305449576</v>
      </c>
      <c r="G12960" s="3" t="s">
        <v>18548</v>
      </c>
    </row>
    <row r="12961">
      <c r="A12961" s="3" t="s">
        <v>28675</v>
      </c>
      <c r="B12961" s="3" t="s">
        <v>11179</v>
      </c>
      <c r="C12961" s="5" t="s">
        <v>206</v>
      </c>
      <c r="D12961" s="3" t="s">
        <v>68</v>
      </c>
      <c r="E12961" s="3" t="s">
        <v>100</v>
      </c>
      <c r="F12961" s="7">
        <v>45998.041777671795</v>
      </c>
      <c r="G12961" s="3" t="s">
        <v>18550</v>
      </c>
    </row>
    <row r="12962">
      <c r="A12962" s="3" t="s">
        <v>28676</v>
      </c>
      <c r="B12962" s="3" t="s">
        <v>11181</v>
      </c>
      <c r="C12962" s="5" t="s">
        <v>45</v>
      </c>
      <c r="D12962" s="3" t="s">
        <v>221</v>
      </c>
      <c r="E12962" s="3" t="s">
        <v>293</v>
      </c>
      <c r="F12962" s="7">
        <v>45998.10253585054</v>
      </c>
      <c r="G12962" s="3" t="s">
        <v>28298</v>
      </c>
    </row>
    <row r="12963">
      <c r="A12963" s="3" t="s">
        <v>28677</v>
      </c>
      <c r="B12963" s="3" t="s">
        <v>11181</v>
      </c>
      <c r="C12963" s="5" t="s">
        <v>221</v>
      </c>
      <c r="D12963" s="3" t="s">
        <v>181</v>
      </c>
      <c r="E12963" s="3" t="s">
        <v>118</v>
      </c>
      <c r="F12963" s="7">
        <v>45998.10600807276</v>
      </c>
      <c r="G12963" s="3" t="s">
        <v>28678</v>
      </c>
    </row>
    <row r="12964">
      <c r="A12964" s="3" t="s">
        <v>28679</v>
      </c>
      <c r="B12964" s="3" t="s">
        <v>11185</v>
      </c>
      <c r="C12964" s="5" t="s">
        <v>45</v>
      </c>
      <c r="D12964" s="3" t="s">
        <v>221</v>
      </c>
      <c r="E12964" s="3" t="s">
        <v>544</v>
      </c>
      <c r="F12964" s="7">
        <v>45998.173710695955</v>
      </c>
      <c r="G12964" s="3" t="s">
        <v>16462</v>
      </c>
    </row>
    <row r="12965">
      <c r="A12965" s="3" t="s">
        <v>28680</v>
      </c>
      <c r="B12965" s="3" t="s">
        <v>11185</v>
      </c>
      <c r="C12965" s="5" t="s">
        <v>221</v>
      </c>
      <c r="D12965" s="3" t="s">
        <v>614</v>
      </c>
      <c r="E12965" s="3" t="s">
        <v>118</v>
      </c>
      <c r="F12965" s="7">
        <v>45998.177182918174</v>
      </c>
      <c r="G12965" s="3" t="s">
        <v>16464</v>
      </c>
    </row>
    <row r="12966">
      <c r="A12966" s="3" t="s">
        <v>28681</v>
      </c>
      <c r="B12966" s="3" t="s">
        <v>11185</v>
      </c>
      <c r="C12966" s="5" t="s">
        <v>614</v>
      </c>
      <c r="D12966" s="3" t="s">
        <v>206</v>
      </c>
      <c r="E12966" s="3" t="s">
        <v>100</v>
      </c>
      <c r="F12966" s="7">
        <v>45998.1806551404</v>
      </c>
      <c r="G12966" s="3" t="s">
        <v>16467</v>
      </c>
    </row>
    <row r="12967">
      <c r="A12967" s="3" t="s">
        <v>28682</v>
      </c>
      <c r="B12967" s="3" t="s">
        <v>11185</v>
      </c>
      <c r="C12967" s="5" t="s">
        <v>206</v>
      </c>
      <c r="D12967" s="3" t="s">
        <v>68</v>
      </c>
      <c r="E12967" s="3" t="s">
        <v>100</v>
      </c>
      <c r="F12967" s="7">
        <v>45998.18412736262</v>
      </c>
      <c r="G12967" s="3" t="s">
        <v>16470</v>
      </c>
    </row>
    <row r="12968">
      <c r="A12968" s="3" t="s">
        <v>28683</v>
      </c>
      <c r="B12968" s="3" t="s">
        <v>11188</v>
      </c>
      <c r="C12968" s="5" t="s">
        <v>45</v>
      </c>
      <c r="D12968" s="3" t="s">
        <v>221</v>
      </c>
      <c r="E12968" s="3" t="s">
        <v>546</v>
      </c>
      <c r="F12968" s="7">
        <v>45998.244885541375</v>
      </c>
      <c r="G12968" s="3" t="s">
        <v>16480</v>
      </c>
    </row>
    <row r="12969">
      <c r="A12969" s="3" t="s">
        <v>28684</v>
      </c>
      <c r="B12969" s="3" t="s">
        <v>11188</v>
      </c>
      <c r="C12969" s="5" t="s">
        <v>221</v>
      </c>
      <c r="D12969" s="3" t="s">
        <v>614</v>
      </c>
      <c r="E12969" s="3" t="s">
        <v>118</v>
      </c>
      <c r="F12969" s="7">
        <v>45998.248357763594</v>
      </c>
      <c r="G12969" s="3" t="s">
        <v>16483</v>
      </c>
    </row>
    <row r="12970">
      <c r="A12970" s="3" t="s">
        <v>28685</v>
      </c>
      <c r="B12970" s="3" t="s">
        <v>11188</v>
      </c>
      <c r="C12970" s="5" t="s">
        <v>614</v>
      </c>
      <c r="D12970" s="3" t="s">
        <v>206</v>
      </c>
      <c r="E12970" s="3" t="s">
        <v>100</v>
      </c>
      <c r="F12970" s="7">
        <v>45998.25182998582</v>
      </c>
      <c r="G12970" s="3" t="s">
        <v>16486</v>
      </c>
    </row>
    <row r="12971">
      <c r="A12971" s="3" t="s">
        <v>28686</v>
      </c>
      <c r="B12971" s="3" t="s">
        <v>11188</v>
      </c>
      <c r="C12971" s="5" t="s">
        <v>206</v>
      </c>
      <c r="D12971" s="3" t="s">
        <v>68</v>
      </c>
      <c r="E12971" s="3" t="s">
        <v>100</v>
      </c>
      <c r="F12971" s="7">
        <v>45998.25530220804</v>
      </c>
      <c r="G12971" s="3" t="s">
        <v>16489</v>
      </c>
    </row>
    <row r="12972">
      <c r="A12972" s="3" t="s">
        <v>28687</v>
      </c>
      <c r="B12972" s="3" t="s">
        <v>11191</v>
      </c>
      <c r="C12972" s="5" t="s">
        <v>45</v>
      </c>
      <c r="D12972" s="3" t="s">
        <v>221</v>
      </c>
      <c r="E12972" s="3" t="s">
        <v>419</v>
      </c>
      <c r="F12972" s="7">
        <v>45998.31606038679</v>
      </c>
      <c r="G12972" s="3" t="s">
        <v>18720</v>
      </c>
    </row>
    <row r="12973">
      <c r="A12973" s="3" t="s">
        <v>28688</v>
      </c>
      <c r="B12973" s="3" t="s">
        <v>11191</v>
      </c>
      <c r="C12973" s="5" t="s">
        <v>221</v>
      </c>
      <c r="D12973" s="3" t="s">
        <v>614</v>
      </c>
      <c r="E12973" s="3" t="s">
        <v>118</v>
      </c>
      <c r="F12973" s="7">
        <v>45998.319532609006</v>
      </c>
      <c r="G12973" s="3" t="s">
        <v>18722</v>
      </c>
    </row>
    <row r="12974">
      <c r="A12974" s="3" t="s">
        <v>28689</v>
      </c>
      <c r="B12974" s="3" t="s">
        <v>11191</v>
      </c>
      <c r="C12974" s="5" t="s">
        <v>614</v>
      </c>
      <c r="D12974" s="3" t="s">
        <v>206</v>
      </c>
      <c r="E12974" s="3" t="s">
        <v>100</v>
      </c>
      <c r="F12974" s="7">
        <v>45998.32300483123</v>
      </c>
      <c r="G12974" s="3" t="s">
        <v>18725</v>
      </c>
    </row>
    <row r="12975">
      <c r="A12975" s="3" t="s">
        <v>28690</v>
      </c>
      <c r="B12975" s="3" t="s">
        <v>11191</v>
      </c>
      <c r="C12975" s="5" t="s">
        <v>206</v>
      </c>
      <c r="D12975" s="3" t="s">
        <v>68</v>
      </c>
      <c r="E12975" s="3" t="s">
        <v>100</v>
      </c>
      <c r="F12975" s="7">
        <v>45998.32647705345</v>
      </c>
      <c r="G12975" s="3" t="s">
        <v>18728</v>
      </c>
    </row>
    <row r="12976">
      <c r="A12976" s="3" t="s">
        <v>28691</v>
      </c>
      <c r="B12976" s="3" t="s">
        <v>11195</v>
      </c>
      <c r="C12976" s="5" t="s">
        <v>45</v>
      </c>
      <c r="D12976" s="3" t="s">
        <v>221</v>
      </c>
      <c r="E12976" s="3" t="s">
        <v>691</v>
      </c>
      <c r="F12976" s="7">
        <v>45998.3872352322</v>
      </c>
      <c r="G12976" s="3" t="s">
        <v>19658</v>
      </c>
    </row>
    <row r="12977">
      <c r="A12977" s="3" t="s">
        <v>28692</v>
      </c>
      <c r="B12977" s="3" t="s">
        <v>11195</v>
      </c>
      <c r="C12977" s="5" t="s">
        <v>221</v>
      </c>
      <c r="D12977" s="3" t="s">
        <v>614</v>
      </c>
      <c r="E12977" s="3" t="s">
        <v>118</v>
      </c>
      <c r="F12977" s="7">
        <v>45998.39070745442</v>
      </c>
      <c r="G12977" s="3" t="s">
        <v>19661</v>
      </c>
    </row>
    <row r="12978">
      <c r="A12978" s="3" t="s">
        <v>28693</v>
      </c>
      <c r="B12978" s="3" t="s">
        <v>11195</v>
      </c>
      <c r="C12978" s="5" t="s">
        <v>614</v>
      </c>
      <c r="D12978" s="3" t="s">
        <v>206</v>
      </c>
      <c r="E12978" s="3" t="s">
        <v>100</v>
      </c>
      <c r="F12978" s="7">
        <v>45998.394179676645</v>
      </c>
      <c r="G12978" s="3" t="s">
        <v>19664</v>
      </c>
    </row>
    <row r="12979">
      <c r="A12979" s="3" t="s">
        <v>28694</v>
      </c>
      <c r="B12979" s="3" t="s">
        <v>11195</v>
      </c>
      <c r="C12979" s="5" t="s">
        <v>206</v>
      </c>
      <c r="D12979" s="3" t="s">
        <v>68</v>
      </c>
      <c r="E12979" s="3" t="s">
        <v>100</v>
      </c>
      <c r="F12979" s="7">
        <v>45998.397651898864</v>
      </c>
      <c r="G12979" s="3" t="s">
        <v>19667</v>
      </c>
    </row>
    <row r="12980">
      <c r="A12980" s="3" t="s">
        <v>28695</v>
      </c>
      <c r="B12980" s="3" t="s">
        <v>11199</v>
      </c>
      <c r="C12980" s="5" t="s">
        <v>45</v>
      </c>
      <c r="D12980" s="3" t="s">
        <v>221</v>
      </c>
      <c r="E12980" s="3" t="s">
        <v>344</v>
      </c>
      <c r="F12980" s="7">
        <v>45998.45841007762</v>
      </c>
      <c r="G12980" s="3" t="s">
        <v>11316</v>
      </c>
    </row>
    <row r="12981">
      <c r="A12981" s="3" t="s">
        <v>28696</v>
      </c>
      <c r="B12981" s="3" t="s">
        <v>11199</v>
      </c>
      <c r="C12981" s="5" t="s">
        <v>221</v>
      </c>
      <c r="D12981" s="3" t="s">
        <v>614</v>
      </c>
      <c r="E12981" s="3" t="s">
        <v>118</v>
      </c>
      <c r="F12981" s="7">
        <v>45998.46188229984</v>
      </c>
      <c r="G12981" s="3" t="s">
        <v>11319</v>
      </c>
    </row>
    <row r="12982">
      <c r="A12982" s="3" t="s">
        <v>28697</v>
      </c>
      <c r="B12982" s="3" t="s">
        <v>11199</v>
      </c>
      <c r="C12982" s="5" t="s">
        <v>614</v>
      </c>
      <c r="D12982" s="3" t="s">
        <v>206</v>
      </c>
      <c r="E12982" s="3" t="s">
        <v>100</v>
      </c>
      <c r="F12982" s="7">
        <v>45998.465354522064</v>
      </c>
      <c r="G12982" s="3" t="s">
        <v>11321</v>
      </c>
    </row>
    <row r="12983">
      <c r="A12983" s="3" t="s">
        <v>28698</v>
      </c>
      <c r="B12983" s="3" t="s">
        <v>11199</v>
      </c>
      <c r="C12983" s="5" t="s">
        <v>206</v>
      </c>
      <c r="D12983" s="3" t="s">
        <v>68</v>
      </c>
      <c r="E12983" s="3" t="s">
        <v>100</v>
      </c>
      <c r="F12983" s="7">
        <v>45998.46882674428</v>
      </c>
      <c r="G12983" s="3" t="s">
        <v>11324</v>
      </c>
    </row>
    <row r="12984">
      <c r="A12984" s="3" t="s">
        <v>28699</v>
      </c>
      <c r="B12984" s="3" t="s">
        <v>11202</v>
      </c>
      <c r="C12984" s="5" t="s">
        <v>45</v>
      </c>
      <c r="D12984" s="3" t="s">
        <v>221</v>
      </c>
      <c r="E12984" s="3" t="s">
        <v>640</v>
      </c>
      <c r="F12984" s="7">
        <v>45998.52958492304</v>
      </c>
      <c r="G12984" s="3" t="s">
        <v>26280</v>
      </c>
    </row>
    <row r="12985">
      <c r="A12985" s="3" t="s">
        <v>28700</v>
      </c>
      <c r="B12985" s="3" t="s">
        <v>11202</v>
      </c>
      <c r="C12985" s="5" t="s">
        <v>221</v>
      </c>
      <c r="D12985" s="3" t="s">
        <v>614</v>
      </c>
      <c r="E12985" s="3" t="s">
        <v>118</v>
      </c>
      <c r="F12985" s="7">
        <v>45998.53305714526</v>
      </c>
      <c r="G12985" s="3" t="s">
        <v>26282</v>
      </c>
    </row>
    <row r="12986">
      <c r="A12986" s="3" t="s">
        <v>28701</v>
      </c>
      <c r="B12986" s="3" t="s">
        <v>11202</v>
      </c>
      <c r="C12986" s="5" t="s">
        <v>614</v>
      </c>
      <c r="D12986" s="3" t="s">
        <v>206</v>
      </c>
      <c r="E12986" s="3" t="s">
        <v>100</v>
      </c>
      <c r="F12986" s="7">
        <v>45998.536529367484</v>
      </c>
      <c r="G12986" s="3" t="s">
        <v>26284</v>
      </c>
    </row>
    <row r="12987">
      <c r="A12987" s="3" t="s">
        <v>28702</v>
      </c>
      <c r="B12987" s="3" t="s">
        <v>11202</v>
      </c>
      <c r="C12987" s="5" t="s">
        <v>206</v>
      </c>
      <c r="D12987" s="3" t="s">
        <v>68</v>
      </c>
      <c r="E12987" s="3" t="s">
        <v>100</v>
      </c>
      <c r="F12987" s="7">
        <v>45998.5400015897</v>
      </c>
      <c r="G12987" s="3" t="s">
        <v>26286</v>
      </c>
    </row>
    <row r="12988">
      <c r="A12988" s="3" t="s">
        <v>28703</v>
      </c>
      <c r="B12988" s="3" t="s">
        <v>11204</v>
      </c>
      <c r="C12988" s="5" t="s">
        <v>45</v>
      </c>
      <c r="D12988" s="3" t="s">
        <v>221</v>
      </c>
      <c r="E12988" s="3" t="s">
        <v>860</v>
      </c>
      <c r="F12988" s="7">
        <v>45998.600759768444</v>
      </c>
      <c r="G12988" s="3" t="s">
        <v>18755</v>
      </c>
    </row>
    <row r="12989">
      <c r="A12989" s="3" t="s">
        <v>28704</v>
      </c>
      <c r="B12989" s="3" t="s">
        <v>11204</v>
      </c>
      <c r="C12989" s="5" t="s">
        <v>221</v>
      </c>
      <c r="D12989" s="3" t="s">
        <v>614</v>
      </c>
      <c r="E12989" s="3" t="s">
        <v>118</v>
      </c>
      <c r="F12989" s="7">
        <v>45998.60423199066</v>
      </c>
      <c r="G12989" s="3" t="s">
        <v>18758</v>
      </c>
    </row>
    <row r="12990">
      <c r="A12990" s="3" t="s">
        <v>28705</v>
      </c>
      <c r="B12990" s="3" t="s">
        <v>11204</v>
      </c>
      <c r="C12990" s="5" t="s">
        <v>614</v>
      </c>
      <c r="D12990" s="3" t="s">
        <v>206</v>
      </c>
      <c r="E12990" s="3" t="s">
        <v>100</v>
      </c>
      <c r="F12990" s="7">
        <v>45998.60770421289</v>
      </c>
      <c r="G12990" s="3" t="s">
        <v>18761</v>
      </c>
    </row>
    <row r="12991">
      <c r="A12991" s="3" t="s">
        <v>28706</v>
      </c>
      <c r="B12991" s="3" t="s">
        <v>11204</v>
      </c>
      <c r="C12991" s="5" t="s">
        <v>206</v>
      </c>
      <c r="D12991" s="3" t="s">
        <v>68</v>
      </c>
      <c r="E12991" s="3" t="s">
        <v>100</v>
      </c>
      <c r="F12991" s="7">
        <v>45998.61117643511</v>
      </c>
      <c r="G12991" s="3" t="s">
        <v>18764</v>
      </c>
    </row>
    <row r="12992">
      <c r="A12992" s="3" t="s">
        <v>28707</v>
      </c>
      <c r="B12992" s="3" t="s">
        <v>11207</v>
      </c>
      <c r="C12992" s="5" t="s">
        <v>45</v>
      </c>
      <c r="D12992" s="3" t="s">
        <v>221</v>
      </c>
      <c r="E12992" s="3" t="s">
        <v>488</v>
      </c>
      <c r="F12992" s="7">
        <v>45998.67193461386</v>
      </c>
      <c r="G12992" s="3" t="s">
        <v>10732</v>
      </c>
    </row>
    <row r="12993">
      <c r="A12993" s="3" t="s">
        <v>28708</v>
      </c>
      <c r="B12993" s="3" t="s">
        <v>11207</v>
      </c>
      <c r="C12993" s="5" t="s">
        <v>221</v>
      </c>
      <c r="D12993" s="3" t="s">
        <v>614</v>
      </c>
      <c r="E12993" s="3" t="s">
        <v>118</v>
      </c>
      <c r="F12993" s="7">
        <v>45998.67540683608</v>
      </c>
      <c r="G12993" s="3" t="s">
        <v>15471</v>
      </c>
    </row>
    <row r="12994">
      <c r="A12994" s="3" t="s">
        <v>28709</v>
      </c>
      <c r="B12994" s="3" t="s">
        <v>11207</v>
      </c>
      <c r="C12994" s="5" t="s">
        <v>614</v>
      </c>
      <c r="D12994" s="3" t="s">
        <v>206</v>
      </c>
      <c r="E12994" s="3" t="s">
        <v>100</v>
      </c>
      <c r="F12994" s="7">
        <v>45998.67887905831</v>
      </c>
      <c r="G12994" s="3" t="s">
        <v>15473</v>
      </c>
    </row>
    <row r="12995">
      <c r="A12995" s="3" t="s">
        <v>28710</v>
      </c>
      <c r="B12995" s="3" t="s">
        <v>11207</v>
      </c>
      <c r="C12995" s="5" t="s">
        <v>206</v>
      </c>
      <c r="D12995" s="3" t="s">
        <v>68</v>
      </c>
      <c r="E12995" s="3" t="s">
        <v>100</v>
      </c>
      <c r="F12995" s="7">
        <v>45998.68235128053</v>
      </c>
      <c r="G12995" s="3" t="s">
        <v>15476</v>
      </c>
    </row>
    <row r="12996">
      <c r="A12996" s="3" t="s">
        <v>28711</v>
      </c>
      <c r="B12996" s="3" t="s">
        <v>11210</v>
      </c>
      <c r="C12996" s="5" t="s">
        <v>45</v>
      </c>
      <c r="D12996" s="3" t="s">
        <v>221</v>
      </c>
      <c r="E12996" s="3" t="s">
        <v>496</v>
      </c>
      <c r="F12996" s="7">
        <v>45998.74310945928</v>
      </c>
      <c r="G12996" s="3" t="s">
        <v>13404</v>
      </c>
    </row>
    <row r="12997">
      <c r="A12997" s="3" t="s">
        <v>28712</v>
      </c>
      <c r="B12997" s="3" t="s">
        <v>11210</v>
      </c>
      <c r="C12997" s="5" t="s">
        <v>221</v>
      </c>
      <c r="D12997" s="3" t="s">
        <v>614</v>
      </c>
      <c r="E12997" s="3" t="s">
        <v>118</v>
      </c>
      <c r="F12997" s="7">
        <v>45998.7465816815</v>
      </c>
      <c r="G12997" s="3" t="s">
        <v>13407</v>
      </c>
    </row>
    <row r="12998">
      <c r="A12998" s="3" t="s">
        <v>28713</v>
      </c>
      <c r="B12998" s="3" t="s">
        <v>11210</v>
      </c>
      <c r="C12998" s="5" t="s">
        <v>614</v>
      </c>
      <c r="D12998" s="3" t="s">
        <v>206</v>
      </c>
      <c r="E12998" s="3" t="s">
        <v>100</v>
      </c>
      <c r="F12998" s="7">
        <v>45998.75005390373</v>
      </c>
      <c r="G12998" s="3" t="s">
        <v>13409</v>
      </c>
    </row>
    <row r="12999">
      <c r="A12999" s="3" t="s">
        <v>28714</v>
      </c>
      <c r="B12999" s="3" t="s">
        <v>11210</v>
      </c>
      <c r="C12999" s="5" t="s">
        <v>206</v>
      </c>
      <c r="D12999" s="3" t="s">
        <v>68</v>
      </c>
      <c r="E12999" s="3" t="s">
        <v>100</v>
      </c>
      <c r="F12999" s="7">
        <v>45998.75352612595</v>
      </c>
      <c r="G12999" s="3" t="s">
        <v>13412</v>
      </c>
    </row>
    <row r="13000">
      <c r="A13000" s="3" t="s">
        <v>28715</v>
      </c>
      <c r="B13000" s="3" t="s">
        <v>11213</v>
      </c>
      <c r="C13000" s="5" t="s">
        <v>45</v>
      </c>
      <c r="D13000" s="3" t="s">
        <v>221</v>
      </c>
      <c r="E13000" s="3" t="s">
        <v>822</v>
      </c>
      <c r="F13000" s="7">
        <v>45998.814284304695</v>
      </c>
      <c r="G13000" s="3" t="s">
        <v>16539</v>
      </c>
    </row>
    <row r="13001">
      <c r="A13001" s="3" t="s">
        <v>28716</v>
      </c>
      <c r="B13001" s="3" t="s">
        <v>11213</v>
      </c>
      <c r="C13001" s="5" t="s">
        <v>221</v>
      </c>
      <c r="D13001" s="3" t="s">
        <v>614</v>
      </c>
      <c r="E13001" s="3" t="s">
        <v>118</v>
      </c>
      <c r="F13001" s="7">
        <v>45998.817756526914</v>
      </c>
      <c r="G13001" s="3" t="s">
        <v>16542</v>
      </c>
    </row>
    <row r="13002">
      <c r="A13002" s="3" t="s">
        <v>28717</v>
      </c>
      <c r="B13002" s="3" t="s">
        <v>11213</v>
      </c>
      <c r="C13002" s="5" t="s">
        <v>614</v>
      </c>
      <c r="D13002" s="3" t="s">
        <v>206</v>
      </c>
      <c r="E13002" s="3" t="s">
        <v>100</v>
      </c>
      <c r="F13002" s="7">
        <v>45998.82122874914</v>
      </c>
      <c r="G13002" s="3" t="s">
        <v>16544</v>
      </c>
    </row>
    <row r="13003">
      <c r="A13003" s="3" t="s">
        <v>28718</v>
      </c>
      <c r="B13003" s="3" t="s">
        <v>11213</v>
      </c>
      <c r="C13003" s="5" t="s">
        <v>206</v>
      </c>
      <c r="D13003" s="3" t="s">
        <v>68</v>
      </c>
      <c r="E13003" s="3" t="s">
        <v>100</v>
      </c>
      <c r="F13003" s="7">
        <v>45998.82470097136</v>
      </c>
      <c r="G13003" s="3" t="s">
        <v>16547</v>
      </c>
    </row>
    <row r="13004">
      <c r="A13004" s="3" t="s">
        <v>28719</v>
      </c>
      <c r="B13004" s="3" t="s">
        <v>11220</v>
      </c>
      <c r="C13004" s="5" t="s">
        <v>45</v>
      </c>
      <c r="D13004" s="3" t="s">
        <v>221</v>
      </c>
      <c r="E13004" s="3" t="s">
        <v>619</v>
      </c>
      <c r="F13004" s="7">
        <v>45998.88545915011</v>
      </c>
      <c r="G13004" s="3" t="s">
        <v>25813</v>
      </c>
    </row>
    <row r="13005">
      <c r="A13005" s="3" t="s">
        <v>28720</v>
      </c>
      <c r="B13005" s="3" t="s">
        <v>11220</v>
      </c>
      <c r="C13005" s="5" t="s">
        <v>221</v>
      </c>
      <c r="D13005" s="3" t="s">
        <v>614</v>
      </c>
      <c r="E13005" s="3" t="s">
        <v>118</v>
      </c>
      <c r="F13005" s="7">
        <v>45998.88893137233</v>
      </c>
      <c r="G13005" s="3" t="s">
        <v>27432</v>
      </c>
    </row>
    <row r="13006">
      <c r="A13006" s="3" t="s">
        <v>28721</v>
      </c>
      <c r="B13006" s="3" t="s">
        <v>11220</v>
      </c>
      <c r="C13006" s="5" t="s">
        <v>614</v>
      </c>
      <c r="D13006" s="3" t="s">
        <v>206</v>
      </c>
      <c r="E13006" s="3" t="s">
        <v>100</v>
      </c>
      <c r="F13006" s="7">
        <v>45998.89240359455</v>
      </c>
      <c r="G13006" s="3" t="s">
        <v>27434</v>
      </c>
    </row>
    <row r="13007">
      <c r="A13007" s="3" t="s">
        <v>28722</v>
      </c>
      <c r="B13007" s="3" t="s">
        <v>11220</v>
      </c>
      <c r="C13007" s="5" t="s">
        <v>206</v>
      </c>
      <c r="D13007" s="3" t="s">
        <v>68</v>
      </c>
      <c r="E13007" s="3" t="s">
        <v>100</v>
      </c>
      <c r="F13007" s="7">
        <v>45998.89587581677</v>
      </c>
      <c r="G13007" s="3" t="s">
        <v>27436</v>
      </c>
    </row>
    <row r="13008">
      <c r="A13008" s="3" t="s">
        <v>28723</v>
      </c>
      <c r="B13008" s="3" t="s">
        <v>11223</v>
      </c>
      <c r="C13008" s="5" t="s">
        <v>45</v>
      </c>
      <c r="D13008" s="3" t="s">
        <v>221</v>
      </c>
      <c r="E13008" s="3" t="s">
        <v>789</v>
      </c>
      <c r="F13008" s="7">
        <v>45998.95663399553</v>
      </c>
      <c r="G13008" s="3" t="s">
        <v>16653</v>
      </c>
    </row>
    <row r="13009">
      <c r="A13009" s="3" t="s">
        <v>28724</v>
      </c>
      <c r="B13009" s="3" t="s">
        <v>11223</v>
      </c>
      <c r="C13009" s="5" t="s">
        <v>221</v>
      </c>
      <c r="D13009" s="3" t="s">
        <v>614</v>
      </c>
      <c r="E13009" s="3" t="s">
        <v>118</v>
      </c>
      <c r="F13009" s="7">
        <v>45998.960106217746</v>
      </c>
      <c r="G13009" s="3" t="s">
        <v>16655</v>
      </c>
    </row>
    <row r="13010">
      <c r="A13010" s="3" t="s">
        <v>28725</v>
      </c>
      <c r="B13010" s="3" t="s">
        <v>11223</v>
      </c>
      <c r="C13010" s="5" t="s">
        <v>614</v>
      </c>
      <c r="D13010" s="3" t="s">
        <v>206</v>
      </c>
      <c r="E13010" s="3" t="s">
        <v>100</v>
      </c>
      <c r="F13010" s="7">
        <v>45998.96357843997</v>
      </c>
      <c r="G13010" s="3" t="s">
        <v>16658</v>
      </c>
    </row>
    <row r="13011">
      <c r="A13011" s="3" t="s">
        <v>28726</v>
      </c>
      <c r="B13011" s="3" t="s">
        <v>11223</v>
      </c>
      <c r="C13011" s="5" t="s">
        <v>206</v>
      </c>
      <c r="D13011" s="3" t="s">
        <v>68</v>
      </c>
      <c r="E13011" s="3" t="s">
        <v>100</v>
      </c>
      <c r="F13011" s="7">
        <v>45998.96705066219</v>
      </c>
      <c r="G13011" s="3" t="s">
        <v>16661</v>
      </c>
    </row>
    <row r="13012">
      <c r="A13012" s="3" t="s">
        <v>28727</v>
      </c>
      <c r="B13012" s="3" t="s">
        <v>11227</v>
      </c>
      <c r="C13012" s="5" t="s">
        <v>45</v>
      </c>
      <c r="D13012" s="3" t="s">
        <v>221</v>
      </c>
      <c r="E13012" s="3" t="s">
        <v>990</v>
      </c>
      <c r="F13012" s="7">
        <v>45999.02780884094</v>
      </c>
      <c r="G13012" s="3" t="s">
        <v>2770</v>
      </c>
    </row>
    <row r="13013">
      <c r="A13013" s="3" t="s">
        <v>28728</v>
      </c>
      <c r="B13013" s="3" t="s">
        <v>11227</v>
      </c>
      <c r="C13013" s="5" t="s">
        <v>221</v>
      </c>
      <c r="D13013" s="3" t="s">
        <v>195</v>
      </c>
      <c r="E13013" s="3" t="s">
        <v>990</v>
      </c>
      <c r="F13013" s="7">
        <v>45999.03128106316</v>
      </c>
      <c r="G13013" s="3" t="s">
        <v>3055</v>
      </c>
    </row>
    <row r="13014">
      <c r="A13014" s="3" t="s">
        <v>28729</v>
      </c>
      <c r="B13014" s="3" t="s">
        <v>11230</v>
      </c>
      <c r="C13014" s="5" t="s">
        <v>45</v>
      </c>
      <c r="D13014" s="3" t="s">
        <v>221</v>
      </c>
      <c r="E13014" s="3" t="s">
        <v>341</v>
      </c>
      <c r="F13014" s="7">
        <v>45999.09898368635</v>
      </c>
      <c r="G13014" s="3" t="s">
        <v>27484</v>
      </c>
    </row>
    <row r="13015">
      <c r="A13015" s="3" t="s">
        <v>28730</v>
      </c>
      <c r="B13015" s="3" t="s">
        <v>11230</v>
      </c>
      <c r="C13015" s="5" t="s">
        <v>221</v>
      </c>
      <c r="D13015" s="3" t="s">
        <v>614</v>
      </c>
      <c r="E13015" s="3" t="s">
        <v>118</v>
      </c>
      <c r="F13015" s="7">
        <v>45999.10245590857</v>
      </c>
      <c r="G13015" s="3" t="s">
        <v>27486</v>
      </c>
    </row>
    <row r="13016">
      <c r="A13016" s="3" t="s">
        <v>28731</v>
      </c>
      <c r="B13016" s="3" t="s">
        <v>11230</v>
      </c>
      <c r="C13016" s="5" t="s">
        <v>614</v>
      </c>
      <c r="D13016" s="3" t="s">
        <v>206</v>
      </c>
      <c r="E13016" s="3" t="s">
        <v>100</v>
      </c>
      <c r="F13016" s="7">
        <v>45999.1059281308</v>
      </c>
      <c r="G13016" s="3" t="s">
        <v>27488</v>
      </c>
    </row>
    <row r="13017">
      <c r="A13017" s="3" t="s">
        <v>28732</v>
      </c>
      <c r="B13017" s="3" t="s">
        <v>11230</v>
      </c>
      <c r="C13017" s="5" t="s">
        <v>206</v>
      </c>
      <c r="D13017" s="3" t="s">
        <v>68</v>
      </c>
      <c r="E13017" s="3" t="s">
        <v>100</v>
      </c>
      <c r="F13017" s="7">
        <v>45999.109400353016</v>
      </c>
      <c r="G13017" s="3" t="s">
        <v>27490</v>
      </c>
    </row>
    <row r="13018">
      <c r="A13018" s="3" t="s">
        <v>28733</v>
      </c>
      <c r="B13018" s="3" t="s">
        <v>11234</v>
      </c>
      <c r="C13018" s="5" t="s">
        <v>45</v>
      </c>
      <c r="D13018" s="3" t="s">
        <v>221</v>
      </c>
      <c r="E13018" s="3" t="s">
        <v>934</v>
      </c>
      <c r="F13018" s="7">
        <v>45999.17015853177</v>
      </c>
      <c r="G13018" s="3" t="s">
        <v>14148</v>
      </c>
    </row>
    <row r="13019">
      <c r="A13019" s="3" t="s">
        <v>28734</v>
      </c>
      <c r="B13019" s="3" t="s">
        <v>11234</v>
      </c>
      <c r="C13019" s="5" t="s">
        <v>221</v>
      </c>
      <c r="D13019" s="3" t="s">
        <v>614</v>
      </c>
      <c r="E13019" s="3" t="s">
        <v>118</v>
      </c>
      <c r="F13019" s="7">
        <v>45999.17363075399</v>
      </c>
      <c r="G13019" s="3" t="s">
        <v>14150</v>
      </c>
    </row>
    <row r="13020">
      <c r="A13020" s="3" t="s">
        <v>28735</v>
      </c>
      <c r="B13020" s="3" t="s">
        <v>11234</v>
      </c>
      <c r="C13020" s="5" t="s">
        <v>614</v>
      </c>
      <c r="D13020" s="3" t="s">
        <v>206</v>
      </c>
      <c r="E13020" s="3" t="s">
        <v>100</v>
      </c>
      <c r="F13020" s="7">
        <v>45999.17710297622</v>
      </c>
      <c r="G13020" s="3" t="s">
        <v>14153</v>
      </c>
    </row>
    <row r="13021">
      <c r="A13021" s="3" t="s">
        <v>28736</v>
      </c>
      <c r="B13021" s="3" t="s">
        <v>11234</v>
      </c>
      <c r="C13021" s="5" t="s">
        <v>206</v>
      </c>
      <c r="D13021" s="3" t="s">
        <v>68</v>
      </c>
      <c r="E13021" s="3" t="s">
        <v>100</v>
      </c>
      <c r="F13021" s="7">
        <v>45999.180575198436</v>
      </c>
      <c r="G13021" s="3" t="s">
        <v>14156</v>
      </c>
    </row>
    <row r="13022">
      <c r="A13022" s="3" t="s">
        <v>28737</v>
      </c>
      <c r="B13022" s="3" t="s">
        <v>11237</v>
      </c>
      <c r="C13022" s="5" t="s">
        <v>45</v>
      </c>
      <c r="D13022" s="3" t="s">
        <v>221</v>
      </c>
      <c r="E13022" s="3" t="s">
        <v>770</v>
      </c>
      <c r="F13022" s="7">
        <v>45999.24133337719</v>
      </c>
      <c r="G13022" s="3" t="s">
        <v>20778</v>
      </c>
    </row>
    <row r="13023">
      <c r="A13023" s="3" t="s">
        <v>28738</v>
      </c>
      <c r="B13023" s="3" t="s">
        <v>11237</v>
      </c>
      <c r="C13023" s="5" t="s">
        <v>221</v>
      </c>
      <c r="D13023" s="3" t="s">
        <v>614</v>
      </c>
      <c r="E13023" s="3" t="s">
        <v>118</v>
      </c>
      <c r="F13023" s="7">
        <v>45999.24480559941</v>
      </c>
      <c r="G13023" s="3" t="s">
        <v>20780</v>
      </c>
    </row>
    <row r="13024">
      <c r="A13024" s="3" t="s">
        <v>28739</v>
      </c>
      <c r="B13024" s="3" t="s">
        <v>11237</v>
      </c>
      <c r="C13024" s="5" t="s">
        <v>614</v>
      </c>
      <c r="D13024" s="3" t="s">
        <v>206</v>
      </c>
      <c r="E13024" s="3" t="s">
        <v>100</v>
      </c>
      <c r="F13024" s="7">
        <v>45999.248277821636</v>
      </c>
      <c r="G13024" s="3" t="s">
        <v>20784</v>
      </c>
    </row>
    <row r="13025">
      <c r="A13025" s="3" t="s">
        <v>28740</v>
      </c>
      <c r="B13025" s="3" t="s">
        <v>11237</v>
      </c>
      <c r="C13025" s="5" t="s">
        <v>206</v>
      </c>
      <c r="D13025" s="3" t="s">
        <v>68</v>
      </c>
      <c r="E13025" s="3" t="s">
        <v>100</v>
      </c>
      <c r="F13025" s="7">
        <v>45999.251750043855</v>
      </c>
      <c r="G13025" s="3" t="s">
        <v>20786</v>
      </c>
    </row>
    <row r="13026">
      <c r="A13026" s="3" t="s">
        <v>28741</v>
      </c>
      <c r="B13026" s="3" t="s">
        <v>11240</v>
      </c>
      <c r="C13026" s="5" t="s">
        <v>45</v>
      </c>
      <c r="D13026" s="3" t="s">
        <v>221</v>
      </c>
      <c r="E13026" s="3" t="s">
        <v>598</v>
      </c>
      <c r="F13026" s="7">
        <v>45999.312508222596</v>
      </c>
      <c r="G13026" s="3" t="s">
        <v>16664</v>
      </c>
    </row>
    <row r="13027">
      <c r="A13027" s="3" t="s">
        <v>28742</v>
      </c>
      <c r="B13027" s="3" t="s">
        <v>11240</v>
      </c>
      <c r="C13027" s="5" t="s">
        <v>221</v>
      </c>
      <c r="D13027" s="3" t="s">
        <v>614</v>
      </c>
      <c r="E13027" s="3" t="s">
        <v>118</v>
      </c>
      <c r="F13027" s="7">
        <v>45999.315980444815</v>
      </c>
      <c r="G13027" s="3" t="s">
        <v>16667</v>
      </c>
    </row>
    <row r="13028">
      <c r="A13028" s="3" t="s">
        <v>28743</v>
      </c>
      <c r="B13028" s="3" t="s">
        <v>11240</v>
      </c>
      <c r="C13028" s="5" t="s">
        <v>614</v>
      </c>
      <c r="D13028" s="3" t="s">
        <v>206</v>
      </c>
      <c r="E13028" s="3" t="s">
        <v>100</v>
      </c>
      <c r="F13028" s="7">
        <v>45999.31945266704</v>
      </c>
      <c r="G13028" s="3" t="s">
        <v>16669</v>
      </c>
    </row>
    <row r="13029">
      <c r="A13029" s="3" t="s">
        <v>28744</v>
      </c>
      <c r="B13029" s="3" t="s">
        <v>11240</v>
      </c>
      <c r="C13029" s="5" t="s">
        <v>206</v>
      </c>
      <c r="D13029" s="3" t="s">
        <v>68</v>
      </c>
      <c r="E13029" s="3" t="s">
        <v>100</v>
      </c>
      <c r="F13029" s="7">
        <v>45999.32292488926</v>
      </c>
      <c r="G13029" s="3" t="s">
        <v>16672</v>
      </c>
    </row>
    <row r="13030">
      <c r="A13030" s="3" t="s">
        <v>28745</v>
      </c>
      <c r="B13030" s="3" t="s">
        <v>11243</v>
      </c>
      <c r="C13030" s="5" t="s">
        <v>45</v>
      </c>
      <c r="D13030" s="3" t="s">
        <v>221</v>
      </c>
      <c r="E13030" s="3" t="s">
        <v>685</v>
      </c>
      <c r="F13030" s="7">
        <v>45999.383683068016</v>
      </c>
      <c r="G13030" s="3" t="s">
        <v>16700</v>
      </c>
    </row>
    <row r="13031">
      <c r="A13031" s="3" t="s">
        <v>28746</v>
      </c>
      <c r="B13031" s="3" t="s">
        <v>11243</v>
      </c>
      <c r="C13031" s="5" t="s">
        <v>221</v>
      </c>
      <c r="D13031" s="3" t="s">
        <v>614</v>
      </c>
      <c r="E13031" s="3" t="s">
        <v>118</v>
      </c>
      <c r="F13031" s="7">
        <v>45999.387155290235</v>
      </c>
      <c r="G13031" s="3" t="s">
        <v>16702</v>
      </c>
    </row>
    <row r="13032">
      <c r="A13032" s="3" t="s">
        <v>28747</v>
      </c>
      <c r="B13032" s="3" t="s">
        <v>11243</v>
      </c>
      <c r="C13032" s="5" t="s">
        <v>614</v>
      </c>
      <c r="D13032" s="3" t="s">
        <v>206</v>
      </c>
      <c r="E13032" s="3" t="s">
        <v>100</v>
      </c>
      <c r="F13032" s="7">
        <v>45999.39062751246</v>
      </c>
      <c r="G13032" s="3" t="s">
        <v>16705</v>
      </c>
    </row>
    <row r="13033">
      <c r="A13033" s="3" t="s">
        <v>28748</v>
      </c>
      <c r="B13033" s="3" t="s">
        <v>11243</v>
      </c>
      <c r="C13033" s="5" t="s">
        <v>206</v>
      </c>
      <c r="D13033" s="3" t="s">
        <v>68</v>
      </c>
      <c r="E13033" s="3" t="s">
        <v>100</v>
      </c>
      <c r="F13033" s="7">
        <v>45999.39409973468</v>
      </c>
      <c r="G13033" s="3" t="s">
        <v>16708</v>
      </c>
    </row>
    <row r="13034">
      <c r="A13034" s="3" t="s">
        <v>28749</v>
      </c>
      <c r="B13034" s="3" t="s">
        <v>11247</v>
      </c>
      <c r="C13034" s="5" t="s">
        <v>45</v>
      </c>
      <c r="D13034" s="3" t="s">
        <v>221</v>
      </c>
      <c r="E13034" s="3" t="s">
        <v>414</v>
      </c>
      <c r="F13034" s="7">
        <v>45999.45485791343</v>
      </c>
      <c r="G13034" s="3" t="s">
        <v>28750</v>
      </c>
    </row>
    <row r="13035">
      <c r="A13035" s="3" t="s">
        <v>28751</v>
      </c>
      <c r="B13035" s="3" t="s">
        <v>11247</v>
      </c>
      <c r="C13035" s="5" t="s">
        <v>221</v>
      </c>
      <c r="D13035" s="3" t="s">
        <v>614</v>
      </c>
      <c r="E13035" s="3" t="s">
        <v>118</v>
      </c>
      <c r="F13035" s="7">
        <v>45999.45833013565</v>
      </c>
      <c r="G13035" s="3" t="s">
        <v>28752</v>
      </c>
    </row>
    <row r="13036">
      <c r="A13036" s="3" t="s">
        <v>28753</v>
      </c>
      <c r="B13036" s="3" t="s">
        <v>11247</v>
      </c>
      <c r="C13036" s="5" t="s">
        <v>614</v>
      </c>
      <c r="D13036" s="3" t="s">
        <v>206</v>
      </c>
      <c r="E13036" s="3" t="s">
        <v>100</v>
      </c>
      <c r="F13036" s="7">
        <v>45999.46180235787</v>
      </c>
      <c r="G13036" s="3" t="s">
        <v>28754</v>
      </c>
    </row>
    <row r="13037">
      <c r="A13037" s="3" t="s">
        <v>28755</v>
      </c>
      <c r="B13037" s="3" t="s">
        <v>11247</v>
      </c>
      <c r="C13037" s="5" t="s">
        <v>206</v>
      </c>
      <c r="D13037" s="3" t="s">
        <v>68</v>
      </c>
      <c r="E13037" s="3" t="s">
        <v>100</v>
      </c>
      <c r="F13037" s="7">
        <v>45999.46527458009</v>
      </c>
      <c r="G13037" s="3" t="s">
        <v>28756</v>
      </c>
    </row>
    <row r="13038">
      <c r="A13038" s="3" t="s">
        <v>28757</v>
      </c>
      <c r="B13038" s="3" t="s">
        <v>11251</v>
      </c>
      <c r="C13038" s="5" t="s">
        <v>45</v>
      </c>
      <c r="D13038" s="3" t="s">
        <v>221</v>
      </c>
      <c r="E13038" s="3" t="s">
        <v>322</v>
      </c>
      <c r="F13038" s="7">
        <v>45999.52603275885</v>
      </c>
      <c r="G13038" s="3" t="s">
        <v>16852</v>
      </c>
    </row>
    <row r="13039">
      <c r="A13039" s="3" t="s">
        <v>28758</v>
      </c>
      <c r="B13039" s="3" t="s">
        <v>11251</v>
      </c>
      <c r="C13039" s="5" t="s">
        <v>221</v>
      </c>
      <c r="D13039" s="3" t="s">
        <v>614</v>
      </c>
      <c r="E13039" s="3" t="s">
        <v>118</v>
      </c>
      <c r="F13039" s="7">
        <v>45999.52950498107</v>
      </c>
      <c r="G13039" s="3" t="s">
        <v>16855</v>
      </c>
    </row>
    <row r="13040">
      <c r="A13040" s="3" t="s">
        <v>28759</v>
      </c>
      <c r="B13040" s="3" t="s">
        <v>11251</v>
      </c>
      <c r="C13040" s="5" t="s">
        <v>614</v>
      </c>
      <c r="D13040" s="3" t="s">
        <v>206</v>
      </c>
      <c r="E13040" s="3" t="s">
        <v>100</v>
      </c>
      <c r="F13040" s="7">
        <v>45999.53297720329</v>
      </c>
      <c r="G13040" s="3" t="s">
        <v>16857</v>
      </c>
    </row>
    <row r="13041">
      <c r="A13041" s="3" t="s">
        <v>28760</v>
      </c>
      <c r="B13041" s="3" t="s">
        <v>11251</v>
      </c>
      <c r="C13041" s="5" t="s">
        <v>206</v>
      </c>
      <c r="D13041" s="3" t="s">
        <v>68</v>
      </c>
      <c r="E13041" s="3" t="s">
        <v>100</v>
      </c>
      <c r="F13041" s="7">
        <v>45999.53644942551</v>
      </c>
      <c r="G13041" s="3" t="s">
        <v>16860</v>
      </c>
    </row>
    <row r="13042">
      <c r="A13042" s="3" t="s">
        <v>28761</v>
      </c>
      <c r="B13042" s="3" t="s">
        <v>11254</v>
      </c>
      <c r="C13042" s="5" t="s">
        <v>45</v>
      </c>
      <c r="D13042" s="3" t="s">
        <v>221</v>
      </c>
      <c r="E13042" s="3" t="s">
        <v>574</v>
      </c>
      <c r="F13042" s="7">
        <v>45999.59720760426</v>
      </c>
      <c r="G13042" s="3" t="s">
        <v>15196</v>
      </c>
    </row>
    <row r="13043">
      <c r="A13043" s="3" t="s">
        <v>28762</v>
      </c>
      <c r="B13043" s="3" t="s">
        <v>11254</v>
      </c>
      <c r="C13043" s="5" t="s">
        <v>221</v>
      </c>
      <c r="D13043" s="3" t="s">
        <v>614</v>
      </c>
      <c r="E13043" s="3" t="s">
        <v>118</v>
      </c>
      <c r="F13043" s="7">
        <v>45999.60067982648</v>
      </c>
      <c r="G13043" s="3" t="s">
        <v>15199</v>
      </c>
    </row>
    <row r="13044">
      <c r="A13044" s="3" t="s">
        <v>28763</v>
      </c>
      <c r="B13044" s="3" t="s">
        <v>11254</v>
      </c>
      <c r="C13044" s="5" t="s">
        <v>614</v>
      </c>
      <c r="D13044" s="3" t="s">
        <v>206</v>
      </c>
      <c r="E13044" s="3" t="s">
        <v>100</v>
      </c>
      <c r="F13044" s="7">
        <v>45999.604152048705</v>
      </c>
      <c r="G13044" s="3" t="s">
        <v>15203</v>
      </c>
    </row>
    <row r="13045">
      <c r="A13045" s="3" t="s">
        <v>28764</v>
      </c>
      <c r="B13045" s="3" t="s">
        <v>11254</v>
      </c>
      <c r="C13045" s="5" t="s">
        <v>206</v>
      </c>
      <c r="D13045" s="3" t="s">
        <v>68</v>
      </c>
      <c r="E13045" s="3" t="s">
        <v>100</v>
      </c>
      <c r="F13045" s="7">
        <v>45999.607624270924</v>
      </c>
      <c r="G13045" s="3" t="s">
        <v>15206</v>
      </c>
    </row>
    <row r="13046">
      <c r="A13046" s="3" t="s">
        <v>28765</v>
      </c>
      <c r="B13046" s="3" t="s">
        <v>11256</v>
      </c>
      <c r="C13046" s="5" t="s">
        <v>45</v>
      </c>
      <c r="D13046" s="3" t="s">
        <v>221</v>
      </c>
      <c r="E13046" s="3" t="s">
        <v>419</v>
      </c>
      <c r="F13046" s="7">
        <v>45999.66838244968</v>
      </c>
      <c r="G13046" s="3" t="s">
        <v>21143</v>
      </c>
    </row>
    <row r="13047">
      <c r="A13047" s="3" t="s">
        <v>28766</v>
      </c>
      <c r="B13047" s="3" t="s">
        <v>11256</v>
      </c>
      <c r="C13047" s="5" t="s">
        <v>221</v>
      </c>
      <c r="D13047" s="3" t="s">
        <v>614</v>
      </c>
      <c r="E13047" s="3" t="s">
        <v>118</v>
      </c>
      <c r="F13047" s="7">
        <v>45999.6718546719</v>
      </c>
      <c r="G13047" s="3" t="s">
        <v>21146</v>
      </c>
    </row>
    <row r="13048">
      <c r="A13048" s="3" t="s">
        <v>28767</v>
      </c>
      <c r="B13048" s="3" t="s">
        <v>11256</v>
      </c>
      <c r="C13048" s="5" t="s">
        <v>614</v>
      </c>
      <c r="D13048" s="3" t="s">
        <v>206</v>
      </c>
      <c r="E13048" s="3" t="s">
        <v>100</v>
      </c>
      <c r="F13048" s="7">
        <v>45999.675326894125</v>
      </c>
      <c r="G13048" s="3" t="s">
        <v>21149</v>
      </c>
    </row>
    <row r="13049">
      <c r="A13049" s="3" t="s">
        <v>28768</v>
      </c>
      <c r="B13049" s="3" t="s">
        <v>11256</v>
      </c>
      <c r="C13049" s="5" t="s">
        <v>206</v>
      </c>
      <c r="D13049" s="3" t="s">
        <v>68</v>
      </c>
      <c r="E13049" s="3" t="s">
        <v>100</v>
      </c>
      <c r="F13049" s="7">
        <v>45999.678799116344</v>
      </c>
      <c r="G13049" s="3" t="s">
        <v>21151</v>
      </c>
    </row>
    <row r="13050">
      <c r="A13050" s="3" t="s">
        <v>28769</v>
      </c>
      <c r="B13050" s="3" t="s">
        <v>11258</v>
      </c>
      <c r="C13050" s="5" t="s">
        <v>45</v>
      </c>
      <c r="D13050" s="3" t="s">
        <v>221</v>
      </c>
      <c r="E13050" s="3" t="s">
        <v>575</v>
      </c>
      <c r="F13050" s="7">
        <v>45999.739557295085</v>
      </c>
      <c r="G13050" s="3" t="s">
        <v>19991</v>
      </c>
    </row>
    <row r="13051">
      <c r="A13051" s="3" t="s">
        <v>28770</v>
      </c>
      <c r="B13051" s="3" t="s">
        <v>11258</v>
      </c>
      <c r="C13051" s="5" t="s">
        <v>221</v>
      </c>
      <c r="D13051" s="3" t="s">
        <v>614</v>
      </c>
      <c r="E13051" s="3" t="s">
        <v>118</v>
      </c>
      <c r="F13051" s="7">
        <v>45999.7430295173</v>
      </c>
      <c r="G13051" s="3" t="s">
        <v>19994</v>
      </c>
    </row>
    <row r="13052">
      <c r="A13052" s="3" t="s">
        <v>28771</v>
      </c>
      <c r="B13052" s="3" t="s">
        <v>11258</v>
      </c>
      <c r="C13052" s="5" t="s">
        <v>614</v>
      </c>
      <c r="D13052" s="3" t="s">
        <v>206</v>
      </c>
      <c r="E13052" s="3" t="s">
        <v>100</v>
      </c>
      <c r="F13052" s="7">
        <v>45999.74650173953</v>
      </c>
      <c r="G13052" s="3" t="s">
        <v>19997</v>
      </c>
    </row>
    <row r="13053">
      <c r="A13053" s="3" t="s">
        <v>28772</v>
      </c>
      <c r="B13053" s="3" t="s">
        <v>11258</v>
      </c>
      <c r="C13053" s="5" t="s">
        <v>206</v>
      </c>
      <c r="D13053" s="3" t="s">
        <v>68</v>
      </c>
      <c r="E13053" s="3" t="s">
        <v>100</v>
      </c>
      <c r="F13053" s="7">
        <v>45999.74997396175</v>
      </c>
      <c r="G13053" s="3" t="s">
        <v>20000</v>
      </c>
    </row>
    <row r="13054">
      <c r="A13054" s="3" t="s">
        <v>28773</v>
      </c>
      <c r="B13054" s="3" t="s">
        <v>11261</v>
      </c>
      <c r="C13054" s="5" t="s">
        <v>45</v>
      </c>
      <c r="D13054" s="3" t="s">
        <v>221</v>
      </c>
      <c r="E13054" s="3" t="s">
        <v>151</v>
      </c>
      <c r="F13054" s="7">
        <v>45999.810732140504</v>
      </c>
      <c r="G13054" s="3" t="s">
        <v>11131</v>
      </c>
    </row>
    <row r="13055">
      <c r="A13055" s="3" t="s">
        <v>28774</v>
      </c>
      <c r="B13055" s="3" t="s">
        <v>11261</v>
      </c>
      <c r="C13055" s="5" t="s">
        <v>221</v>
      </c>
      <c r="D13055" s="3" t="s">
        <v>614</v>
      </c>
      <c r="E13055" s="3" t="s">
        <v>118</v>
      </c>
      <c r="F13055" s="7">
        <v>45999.81420436272</v>
      </c>
      <c r="G13055" s="3" t="s">
        <v>20971</v>
      </c>
    </row>
    <row r="13056">
      <c r="A13056" s="3" t="s">
        <v>28775</v>
      </c>
      <c r="B13056" s="3" t="s">
        <v>11261</v>
      </c>
      <c r="C13056" s="5" t="s">
        <v>614</v>
      </c>
      <c r="D13056" s="3" t="s">
        <v>206</v>
      </c>
      <c r="E13056" s="3" t="s">
        <v>100</v>
      </c>
      <c r="F13056" s="7">
        <v>45999.81767658495</v>
      </c>
      <c r="G13056" s="3" t="s">
        <v>20974</v>
      </c>
    </row>
    <row r="13057">
      <c r="A13057" s="3" t="s">
        <v>28776</v>
      </c>
      <c r="B13057" s="3" t="s">
        <v>11261</v>
      </c>
      <c r="C13057" s="5" t="s">
        <v>206</v>
      </c>
      <c r="D13057" s="3" t="s">
        <v>68</v>
      </c>
      <c r="E13057" s="3" t="s">
        <v>100</v>
      </c>
      <c r="F13057" s="7">
        <v>45999.82114880717</v>
      </c>
      <c r="G13057" s="3" t="s">
        <v>20976</v>
      </c>
    </row>
    <row r="13058">
      <c r="A13058" s="3" t="s">
        <v>28777</v>
      </c>
      <c r="B13058" s="3" t="s">
        <v>11264</v>
      </c>
      <c r="C13058" s="5" t="s">
        <v>45</v>
      </c>
      <c r="D13058" s="3" t="s">
        <v>221</v>
      </c>
      <c r="E13058" s="3" t="s">
        <v>1021</v>
      </c>
      <c r="F13058" s="7">
        <v>45999.881906985924</v>
      </c>
      <c r="G13058" s="3" t="s">
        <v>11571</v>
      </c>
    </row>
    <row r="13059">
      <c r="A13059" s="3" t="s">
        <v>28778</v>
      </c>
      <c r="B13059" s="3" t="s">
        <v>11264</v>
      </c>
      <c r="C13059" s="5" t="s">
        <v>221</v>
      </c>
      <c r="D13059" s="3" t="s">
        <v>614</v>
      </c>
      <c r="E13059" s="3" t="s">
        <v>118</v>
      </c>
      <c r="F13059" s="7">
        <v>45999.88537920814</v>
      </c>
      <c r="G13059" s="3" t="s">
        <v>27354</v>
      </c>
    </row>
    <row r="13060">
      <c r="A13060" s="3" t="s">
        <v>28779</v>
      </c>
      <c r="B13060" s="3" t="s">
        <v>11264</v>
      </c>
      <c r="C13060" s="5" t="s">
        <v>614</v>
      </c>
      <c r="D13060" s="3" t="s">
        <v>206</v>
      </c>
      <c r="E13060" s="3" t="s">
        <v>100</v>
      </c>
      <c r="F13060" s="7">
        <v>45999.88885143037</v>
      </c>
      <c r="G13060" s="3" t="s">
        <v>27356</v>
      </c>
    </row>
    <row r="13061">
      <c r="A13061" s="3" t="s">
        <v>28780</v>
      </c>
      <c r="B13061" s="3" t="s">
        <v>11264</v>
      </c>
      <c r="C13061" s="5" t="s">
        <v>206</v>
      </c>
      <c r="D13061" s="3" t="s">
        <v>68</v>
      </c>
      <c r="E13061" s="3" t="s">
        <v>100</v>
      </c>
      <c r="F13061" s="7">
        <v>45999.89232365259</v>
      </c>
      <c r="G13061" s="3" t="s">
        <v>27358</v>
      </c>
    </row>
    <row r="13062">
      <c r="A13062" s="3" t="s">
        <v>28781</v>
      </c>
      <c r="B13062" s="3" t="s">
        <v>11267</v>
      </c>
      <c r="C13062" s="5" t="s">
        <v>45</v>
      </c>
      <c r="D13062" s="3" t="s">
        <v>221</v>
      </c>
      <c r="E13062" s="3" t="s">
        <v>789</v>
      </c>
      <c r="F13062" s="7">
        <v>45999.953081831336</v>
      </c>
      <c r="G13062" s="3" t="s">
        <v>28782</v>
      </c>
    </row>
    <row r="13063">
      <c r="A13063" s="3" t="s">
        <v>28783</v>
      </c>
      <c r="B13063" s="3" t="s">
        <v>11267</v>
      </c>
      <c r="C13063" s="5" t="s">
        <v>221</v>
      </c>
      <c r="D13063" s="3" t="s">
        <v>614</v>
      </c>
      <c r="E13063" s="3" t="s">
        <v>118</v>
      </c>
      <c r="F13063" s="7">
        <v>45999.956554053555</v>
      </c>
      <c r="G13063" s="3" t="s">
        <v>28784</v>
      </c>
    </row>
    <row r="13064">
      <c r="A13064" s="3" t="s">
        <v>28785</v>
      </c>
      <c r="B13064" s="3" t="s">
        <v>11267</v>
      </c>
      <c r="C13064" s="5" t="s">
        <v>614</v>
      </c>
      <c r="D13064" s="3" t="s">
        <v>206</v>
      </c>
      <c r="E13064" s="3" t="s">
        <v>100</v>
      </c>
      <c r="F13064" s="7">
        <v>45999.96002627578</v>
      </c>
      <c r="G13064" s="3" t="s">
        <v>28786</v>
      </c>
    </row>
    <row r="13065">
      <c r="A13065" s="3" t="s">
        <v>28787</v>
      </c>
      <c r="B13065" s="3" t="s">
        <v>11267</v>
      </c>
      <c r="C13065" s="5" t="s">
        <v>206</v>
      </c>
      <c r="D13065" s="3" t="s">
        <v>68</v>
      </c>
      <c r="E13065" s="3" t="s">
        <v>100</v>
      </c>
      <c r="F13065" s="7">
        <v>45999.963498498</v>
      </c>
      <c r="G13065" s="3" t="s">
        <v>28788</v>
      </c>
    </row>
    <row r="13066">
      <c r="A13066" s="3" t="s">
        <v>28789</v>
      </c>
      <c r="B13066" s="3" t="s">
        <v>11270</v>
      </c>
      <c r="C13066" s="5" t="s">
        <v>45</v>
      </c>
      <c r="D13066" s="3" t="s">
        <v>221</v>
      </c>
      <c r="E13066" s="3" t="s">
        <v>742</v>
      </c>
      <c r="F13066" s="7">
        <v>46000.02425667675</v>
      </c>
      <c r="G13066" s="3" t="s">
        <v>9956</v>
      </c>
    </row>
    <row r="13067">
      <c r="A13067" s="3" t="s">
        <v>28790</v>
      </c>
      <c r="B13067" s="3" t="s">
        <v>11270</v>
      </c>
      <c r="C13067" s="5" t="s">
        <v>221</v>
      </c>
      <c r="D13067" s="3" t="s">
        <v>614</v>
      </c>
      <c r="E13067" s="3" t="s">
        <v>118</v>
      </c>
      <c r="F13067" s="7">
        <v>46000.02772889897</v>
      </c>
      <c r="G13067" s="3" t="s">
        <v>9960</v>
      </c>
    </row>
    <row r="13068">
      <c r="A13068" s="3" t="s">
        <v>28791</v>
      </c>
      <c r="B13068" s="3" t="s">
        <v>11270</v>
      </c>
      <c r="C13068" s="5" t="s">
        <v>614</v>
      </c>
      <c r="D13068" s="3" t="s">
        <v>206</v>
      </c>
      <c r="E13068" s="3" t="s">
        <v>100</v>
      </c>
      <c r="F13068" s="7">
        <v>46000.03120112119</v>
      </c>
      <c r="G13068" s="3" t="s">
        <v>9963</v>
      </c>
    </row>
    <row r="13069">
      <c r="A13069" s="3" t="s">
        <v>28792</v>
      </c>
      <c r="B13069" s="3" t="s">
        <v>11270</v>
      </c>
      <c r="C13069" s="5" t="s">
        <v>206</v>
      </c>
      <c r="D13069" s="3" t="s">
        <v>68</v>
      </c>
      <c r="E13069" s="3" t="s">
        <v>100</v>
      </c>
      <c r="F13069" s="7">
        <v>46000.03467334341</v>
      </c>
      <c r="G13069" s="3" t="s">
        <v>9966</v>
      </c>
    </row>
    <row r="13070">
      <c r="A13070" s="3" t="s">
        <v>28793</v>
      </c>
      <c r="B13070" s="3" t="s">
        <v>11274</v>
      </c>
      <c r="C13070" s="5" t="s">
        <v>45</v>
      </c>
      <c r="D13070" s="3" t="s">
        <v>221</v>
      </c>
      <c r="E13070" s="3" t="s">
        <v>926</v>
      </c>
      <c r="F13070" s="7">
        <v>46000.09543152217</v>
      </c>
      <c r="G13070" s="3" t="s">
        <v>28794</v>
      </c>
    </row>
    <row r="13071">
      <c r="A13071" s="3" t="s">
        <v>28795</v>
      </c>
      <c r="B13071" s="3" t="s">
        <v>11274</v>
      </c>
      <c r="C13071" s="5" t="s">
        <v>221</v>
      </c>
      <c r="D13071" s="3" t="s">
        <v>614</v>
      </c>
      <c r="E13071" s="3" t="s">
        <v>118</v>
      </c>
      <c r="F13071" s="7">
        <v>46000.09890374439</v>
      </c>
      <c r="G13071" s="3" t="s">
        <v>28796</v>
      </c>
    </row>
    <row r="13072">
      <c r="A13072" s="3" t="s">
        <v>28797</v>
      </c>
      <c r="B13072" s="3" t="s">
        <v>11274</v>
      </c>
      <c r="C13072" s="5" t="s">
        <v>614</v>
      </c>
      <c r="D13072" s="3" t="s">
        <v>206</v>
      </c>
      <c r="E13072" s="3" t="s">
        <v>100</v>
      </c>
      <c r="F13072" s="7">
        <v>46000.10237596661</v>
      </c>
      <c r="G13072" s="3" t="s">
        <v>28798</v>
      </c>
    </row>
    <row r="13073">
      <c r="A13073" s="3" t="s">
        <v>28799</v>
      </c>
      <c r="B13073" s="3" t="s">
        <v>11274</v>
      </c>
      <c r="C13073" s="5" t="s">
        <v>206</v>
      </c>
      <c r="D13073" s="3" t="s">
        <v>68</v>
      </c>
      <c r="E13073" s="3" t="s">
        <v>100</v>
      </c>
      <c r="F13073" s="7">
        <v>46000.10584818883</v>
      </c>
      <c r="G13073" s="3" t="s">
        <v>28800</v>
      </c>
    </row>
    <row r="13074">
      <c r="A13074" s="3" t="s">
        <v>28801</v>
      </c>
      <c r="B13074" s="3" t="s">
        <v>11278</v>
      </c>
      <c r="C13074" s="5" t="s">
        <v>45</v>
      </c>
      <c r="D13074" s="3" t="s">
        <v>221</v>
      </c>
      <c r="E13074" s="3" t="s">
        <v>972</v>
      </c>
      <c r="F13074" s="7">
        <v>46000.16660636758</v>
      </c>
      <c r="G13074" s="3" t="s">
        <v>25512</v>
      </c>
    </row>
    <row r="13075">
      <c r="A13075" s="3" t="s">
        <v>28802</v>
      </c>
      <c r="B13075" s="3" t="s">
        <v>11278</v>
      </c>
      <c r="C13075" s="5" t="s">
        <v>221</v>
      </c>
      <c r="D13075" s="3" t="s">
        <v>614</v>
      </c>
      <c r="E13075" s="3" t="s">
        <v>118</v>
      </c>
      <c r="F13075" s="7">
        <v>46000.1700785898</v>
      </c>
      <c r="G13075" s="3" t="s">
        <v>25514</v>
      </c>
    </row>
    <row r="13076">
      <c r="A13076" s="3" t="s">
        <v>28803</v>
      </c>
      <c r="B13076" s="3" t="s">
        <v>11278</v>
      </c>
      <c r="C13076" s="5" t="s">
        <v>614</v>
      </c>
      <c r="D13076" s="3" t="s">
        <v>206</v>
      </c>
      <c r="E13076" s="3" t="s">
        <v>100</v>
      </c>
      <c r="F13076" s="7">
        <v>46000.173550812025</v>
      </c>
      <c r="G13076" s="3" t="s">
        <v>25516</v>
      </c>
    </row>
    <row r="13077">
      <c r="A13077" s="3" t="s">
        <v>28804</v>
      </c>
      <c r="B13077" s="3" t="s">
        <v>11278</v>
      </c>
      <c r="C13077" s="5" t="s">
        <v>206</v>
      </c>
      <c r="D13077" s="3" t="s">
        <v>68</v>
      </c>
      <c r="E13077" s="3" t="s">
        <v>100</v>
      </c>
      <c r="F13077" s="7">
        <v>46000.177023034244</v>
      </c>
      <c r="G13077" s="3" t="s">
        <v>25518</v>
      </c>
    </row>
    <row r="13078">
      <c r="A13078" s="3" t="s">
        <v>28805</v>
      </c>
      <c r="B13078" s="3" t="s">
        <v>11281</v>
      </c>
      <c r="C13078" s="5" t="s">
        <v>45</v>
      </c>
      <c r="D13078" s="3" t="s">
        <v>221</v>
      </c>
      <c r="E13078" s="3" t="s">
        <v>253</v>
      </c>
      <c r="F13078" s="7">
        <v>46000.23778121299</v>
      </c>
      <c r="G13078" s="3" t="s">
        <v>16863</v>
      </c>
    </row>
    <row r="13079">
      <c r="A13079" s="3" t="s">
        <v>28806</v>
      </c>
      <c r="B13079" s="3" t="s">
        <v>11281</v>
      </c>
      <c r="C13079" s="5" t="s">
        <v>221</v>
      </c>
      <c r="D13079" s="3" t="s">
        <v>614</v>
      </c>
      <c r="E13079" s="3" t="s">
        <v>118</v>
      </c>
      <c r="F13079" s="7">
        <v>46000.24125343521</v>
      </c>
      <c r="G13079" s="3" t="s">
        <v>16866</v>
      </c>
    </row>
    <row r="13080">
      <c r="A13080" s="3" t="s">
        <v>28807</v>
      </c>
      <c r="B13080" s="3" t="s">
        <v>11281</v>
      </c>
      <c r="C13080" s="5" t="s">
        <v>614</v>
      </c>
      <c r="D13080" s="3" t="s">
        <v>206</v>
      </c>
      <c r="E13080" s="3" t="s">
        <v>100</v>
      </c>
      <c r="F13080" s="7">
        <v>46000.24472565744</v>
      </c>
      <c r="G13080" s="3" t="s">
        <v>16869</v>
      </c>
    </row>
    <row r="13081">
      <c r="A13081" s="3" t="s">
        <v>28808</v>
      </c>
      <c r="B13081" s="3" t="s">
        <v>11281</v>
      </c>
      <c r="C13081" s="5" t="s">
        <v>206</v>
      </c>
      <c r="D13081" s="3" t="s">
        <v>68</v>
      </c>
      <c r="E13081" s="3" t="s">
        <v>100</v>
      </c>
      <c r="F13081" s="7">
        <v>46000.24819787966</v>
      </c>
      <c r="G13081" s="3" t="s">
        <v>16871</v>
      </c>
    </row>
    <row r="13082">
      <c r="A13082" s="3" t="s">
        <v>28809</v>
      </c>
      <c r="B13082" s="3" t="s">
        <v>11285</v>
      </c>
      <c r="C13082" s="5" t="s">
        <v>45</v>
      </c>
      <c r="D13082" s="3" t="s">
        <v>221</v>
      </c>
      <c r="E13082" s="3" t="s">
        <v>135</v>
      </c>
      <c r="F13082" s="7">
        <v>46000.30895605841</v>
      </c>
      <c r="G13082" s="3" t="s">
        <v>17021</v>
      </c>
    </row>
    <row r="13083">
      <c r="A13083" s="3" t="s">
        <v>28810</v>
      </c>
      <c r="B13083" s="3" t="s">
        <v>11285</v>
      </c>
      <c r="C13083" s="5" t="s">
        <v>221</v>
      </c>
      <c r="D13083" s="3" t="s">
        <v>614</v>
      </c>
      <c r="E13083" s="3" t="s">
        <v>118</v>
      </c>
      <c r="F13083" s="7">
        <v>46000.31242828063</v>
      </c>
      <c r="G13083" s="3" t="s">
        <v>17024</v>
      </c>
    </row>
    <row r="13084">
      <c r="A13084" s="3" t="s">
        <v>28811</v>
      </c>
      <c r="B13084" s="3" t="s">
        <v>11285</v>
      </c>
      <c r="C13084" s="5" t="s">
        <v>614</v>
      </c>
      <c r="D13084" s="3" t="s">
        <v>206</v>
      </c>
      <c r="E13084" s="3" t="s">
        <v>100</v>
      </c>
      <c r="F13084" s="7">
        <v>46000.31590050286</v>
      </c>
      <c r="G13084" s="3" t="s">
        <v>17026</v>
      </c>
    </row>
    <row r="13085">
      <c r="A13085" s="3" t="s">
        <v>28812</v>
      </c>
      <c r="B13085" s="3" t="s">
        <v>11285</v>
      </c>
      <c r="C13085" s="5" t="s">
        <v>206</v>
      </c>
      <c r="D13085" s="3" t="s">
        <v>68</v>
      </c>
      <c r="E13085" s="3" t="s">
        <v>100</v>
      </c>
      <c r="F13085" s="7">
        <v>46000.31937272508</v>
      </c>
      <c r="G13085" s="3" t="s">
        <v>17029</v>
      </c>
    </row>
    <row r="13086">
      <c r="A13086" s="3" t="s">
        <v>28813</v>
      </c>
      <c r="B13086" s="3" t="s">
        <v>11288</v>
      </c>
      <c r="C13086" s="5" t="s">
        <v>45</v>
      </c>
      <c r="D13086" s="3" t="s">
        <v>221</v>
      </c>
      <c r="E13086" s="3" t="s">
        <v>515</v>
      </c>
      <c r="F13086" s="7">
        <v>46000.38013090383</v>
      </c>
      <c r="G13086" s="3" t="s">
        <v>17413</v>
      </c>
    </row>
    <row r="13087">
      <c r="A13087" s="3" t="s">
        <v>28814</v>
      </c>
      <c r="B13087" s="3" t="s">
        <v>11288</v>
      </c>
      <c r="C13087" s="5" t="s">
        <v>221</v>
      </c>
      <c r="D13087" s="3" t="s">
        <v>614</v>
      </c>
      <c r="E13087" s="3" t="s">
        <v>118</v>
      </c>
      <c r="F13087" s="7">
        <v>46000.38360312605</v>
      </c>
      <c r="G13087" s="3" t="s">
        <v>17415</v>
      </c>
    </row>
    <row r="13088">
      <c r="A13088" s="3" t="s">
        <v>28815</v>
      </c>
      <c r="B13088" s="3" t="s">
        <v>11288</v>
      </c>
      <c r="C13088" s="5" t="s">
        <v>614</v>
      </c>
      <c r="D13088" s="3" t="s">
        <v>206</v>
      </c>
      <c r="E13088" s="3" t="s">
        <v>100</v>
      </c>
      <c r="F13088" s="7">
        <v>46000.38707534828</v>
      </c>
      <c r="G13088" s="3" t="s">
        <v>17418</v>
      </c>
    </row>
    <row r="13089">
      <c r="A13089" s="3" t="s">
        <v>28816</v>
      </c>
      <c r="B13089" s="3" t="s">
        <v>11288</v>
      </c>
      <c r="C13089" s="5" t="s">
        <v>206</v>
      </c>
      <c r="D13089" s="3" t="s">
        <v>68</v>
      </c>
      <c r="E13089" s="3" t="s">
        <v>100</v>
      </c>
      <c r="F13089" s="7">
        <v>46000.390547570496</v>
      </c>
      <c r="G13089" s="3" t="s">
        <v>17421</v>
      </c>
    </row>
    <row r="13090">
      <c r="A13090" s="3" t="s">
        <v>28817</v>
      </c>
      <c r="B13090" s="3" t="s">
        <v>11292</v>
      </c>
      <c r="C13090" s="5" t="s">
        <v>45</v>
      </c>
      <c r="D13090" s="3" t="s">
        <v>221</v>
      </c>
      <c r="E13090" s="3" t="s">
        <v>287</v>
      </c>
      <c r="F13090" s="7">
        <v>46000.45130574924</v>
      </c>
      <c r="G13090" s="3" t="s">
        <v>17085</v>
      </c>
    </row>
    <row r="13091">
      <c r="A13091" s="3" t="s">
        <v>28818</v>
      </c>
      <c r="B13091" s="3" t="s">
        <v>11292</v>
      </c>
      <c r="C13091" s="5" t="s">
        <v>221</v>
      </c>
      <c r="D13091" s="3" t="s">
        <v>614</v>
      </c>
      <c r="E13091" s="3" t="s">
        <v>118</v>
      </c>
      <c r="F13091" s="7">
        <v>46000.454777971456</v>
      </c>
      <c r="G13091" s="3" t="s">
        <v>17088</v>
      </c>
    </row>
    <row r="13092">
      <c r="A13092" s="3" t="s">
        <v>28819</v>
      </c>
      <c r="B13092" s="3" t="s">
        <v>11292</v>
      </c>
      <c r="C13092" s="5" t="s">
        <v>614</v>
      </c>
      <c r="D13092" s="3" t="s">
        <v>206</v>
      </c>
      <c r="E13092" s="3" t="s">
        <v>100</v>
      </c>
      <c r="F13092" s="7">
        <v>46000.45825019368</v>
      </c>
      <c r="G13092" s="3" t="s">
        <v>17091</v>
      </c>
    </row>
    <row r="13093">
      <c r="A13093" s="3" t="s">
        <v>28820</v>
      </c>
      <c r="B13093" s="3" t="s">
        <v>11292</v>
      </c>
      <c r="C13093" s="5" t="s">
        <v>206</v>
      </c>
      <c r="D13093" s="3" t="s">
        <v>68</v>
      </c>
      <c r="E13093" s="3" t="s">
        <v>100</v>
      </c>
      <c r="F13093" s="7">
        <v>46000.4617224159</v>
      </c>
      <c r="G13093" s="3" t="s">
        <v>17093</v>
      </c>
    </row>
    <row r="13094">
      <c r="A13094" s="3" t="s">
        <v>28821</v>
      </c>
      <c r="B13094" s="3" t="s">
        <v>11295</v>
      </c>
      <c r="C13094" s="5" t="s">
        <v>45</v>
      </c>
      <c r="D13094" s="3" t="s">
        <v>221</v>
      </c>
      <c r="E13094" s="3" t="s">
        <v>990</v>
      </c>
      <c r="F13094" s="7">
        <v>46000.52248059466</v>
      </c>
      <c r="G13094" s="3" t="s">
        <v>17114</v>
      </c>
    </row>
    <row r="13095">
      <c r="A13095" s="3" t="s">
        <v>28822</v>
      </c>
      <c r="B13095" s="3" t="s">
        <v>11295</v>
      </c>
      <c r="C13095" s="5" t="s">
        <v>221</v>
      </c>
      <c r="D13095" s="3" t="s">
        <v>614</v>
      </c>
      <c r="E13095" s="3" t="s">
        <v>118</v>
      </c>
      <c r="F13095" s="7">
        <v>46000.525952816875</v>
      </c>
      <c r="G13095" s="3" t="s">
        <v>17117</v>
      </c>
    </row>
    <row r="13096">
      <c r="A13096" s="3" t="s">
        <v>28823</v>
      </c>
      <c r="B13096" s="3" t="s">
        <v>11295</v>
      </c>
      <c r="C13096" s="5" t="s">
        <v>614</v>
      </c>
      <c r="D13096" s="3" t="s">
        <v>206</v>
      </c>
      <c r="E13096" s="3" t="s">
        <v>100</v>
      </c>
      <c r="F13096" s="7">
        <v>46000.5294250391</v>
      </c>
      <c r="G13096" s="3" t="s">
        <v>17120</v>
      </c>
    </row>
    <row r="13097">
      <c r="A13097" s="3" t="s">
        <v>28824</v>
      </c>
      <c r="B13097" s="3" t="s">
        <v>11295</v>
      </c>
      <c r="C13097" s="5" t="s">
        <v>206</v>
      </c>
      <c r="D13097" s="3" t="s">
        <v>68</v>
      </c>
      <c r="E13097" s="3" t="s">
        <v>100</v>
      </c>
      <c r="F13097" s="7">
        <v>46000.53289726132</v>
      </c>
      <c r="G13097" s="3" t="s">
        <v>17123</v>
      </c>
    </row>
    <row r="13098">
      <c r="A13098" s="3" t="s">
        <v>28825</v>
      </c>
      <c r="B13098" s="3" t="s">
        <v>11298</v>
      </c>
      <c r="C13098" s="5" t="s">
        <v>45</v>
      </c>
      <c r="D13098" s="3" t="s">
        <v>221</v>
      </c>
      <c r="E13098" s="3" t="s">
        <v>512</v>
      </c>
      <c r="F13098" s="7">
        <v>46000.593655440076</v>
      </c>
      <c r="G13098" s="3" t="s">
        <v>17125</v>
      </c>
    </row>
    <row r="13099">
      <c r="A13099" s="3" t="s">
        <v>28826</v>
      </c>
      <c r="B13099" s="3" t="s">
        <v>11298</v>
      </c>
      <c r="C13099" s="5" t="s">
        <v>221</v>
      </c>
      <c r="D13099" s="3" t="s">
        <v>614</v>
      </c>
      <c r="E13099" s="3" t="s">
        <v>118</v>
      </c>
      <c r="F13099" s="7">
        <v>46000.597127662295</v>
      </c>
      <c r="G13099" s="3" t="s">
        <v>17128</v>
      </c>
    </row>
    <row r="13100">
      <c r="A13100" s="3" t="s">
        <v>28827</v>
      </c>
      <c r="B13100" s="3" t="s">
        <v>11298</v>
      </c>
      <c r="C13100" s="5" t="s">
        <v>614</v>
      </c>
      <c r="D13100" s="3" t="s">
        <v>206</v>
      </c>
      <c r="E13100" s="3" t="s">
        <v>100</v>
      </c>
      <c r="F13100" s="7">
        <v>46000.60059988452</v>
      </c>
      <c r="G13100" s="3" t="s">
        <v>17131</v>
      </c>
    </row>
    <row r="13101">
      <c r="A13101" s="3" t="s">
        <v>28828</v>
      </c>
      <c r="B13101" s="3" t="s">
        <v>11298</v>
      </c>
      <c r="C13101" s="5" t="s">
        <v>206</v>
      </c>
      <c r="D13101" s="3" t="s">
        <v>68</v>
      </c>
      <c r="E13101" s="3" t="s">
        <v>100</v>
      </c>
      <c r="F13101" s="7">
        <v>46000.60407210674</v>
      </c>
      <c r="G13101" s="3" t="s">
        <v>17134</v>
      </c>
    </row>
    <row r="13102">
      <c r="A13102" s="3" t="s">
        <v>28829</v>
      </c>
      <c r="B13102" s="3" t="s">
        <v>11301</v>
      </c>
      <c r="C13102" s="5" t="s">
        <v>45</v>
      </c>
      <c r="D13102" s="3" t="s">
        <v>221</v>
      </c>
      <c r="E13102" s="3" t="s">
        <v>547</v>
      </c>
      <c r="F13102" s="7">
        <v>46000.66483028549</v>
      </c>
      <c r="G13102" s="3" t="s">
        <v>22967</v>
      </c>
    </row>
    <row r="13103">
      <c r="A13103" s="3" t="s">
        <v>28830</v>
      </c>
      <c r="B13103" s="3" t="s">
        <v>11301</v>
      </c>
      <c r="C13103" s="5" t="s">
        <v>221</v>
      </c>
      <c r="D13103" s="3" t="s">
        <v>614</v>
      </c>
      <c r="E13103" s="3" t="s">
        <v>118</v>
      </c>
      <c r="F13103" s="7">
        <v>46000.66830250771</v>
      </c>
      <c r="G13103" s="3" t="s">
        <v>22970</v>
      </c>
    </row>
    <row r="13104">
      <c r="A13104" s="3" t="s">
        <v>28831</v>
      </c>
      <c r="B13104" s="3" t="s">
        <v>11301</v>
      </c>
      <c r="C13104" s="5" t="s">
        <v>614</v>
      </c>
      <c r="D13104" s="3" t="s">
        <v>206</v>
      </c>
      <c r="E13104" s="3" t="s">
        <v>100</v>
      </c>
      <c r="F13104" s="7">
        <v>46000.67177472993</v>
      </c>
      <c r="G13104" s="3" t="s">
        <v>22973</v>
      </c>
    </row>
    <row r="13105">
      <c r="A13105" s="3" t="s">
        <v>28832</v>
      </c>
      <c r="B13105" s="3" t="s">
        <v>11301</v>
      </c>
      <c r="C13105" s="5" t="s">
        <v>206</v>
      </c>
      <c r="D13105" s="3" t="s">
        <v>68</v>
      </c>
      <c r="E13105" s="3" t="s">
        <v>100</v>
      </c>
      <c r="F13105" s="7">
        <v>46000.67524695215</v>
      </c>
      <c r="G13105" s="3" t="s">
        <v>22976</v>
      </c>
    </row>
    <row r="13106">
      <c r="A13106" s="3" t="s">
        <v>28833</v>
      </c>
      <c r="B13106" s="3" t="s">
        <v>11305</v>
      </c>
      <c r="C13106" s="5" t="s">
        <v>45</v>
      </c>
      <c r="D13106" s="3" t="s">
        <v>221</v>
      </c>
      <c r="E13106" s="3" t="s">
        <v>619</v>
      </c>
      <c r="F13106" s="7">
        <v>46000.7360051309</v>
      </c>
      <c r="G13106" s="3" t="s">
        <v>8938</v>
      </c>
    </row>
    <row r="13107">
      <c r="A13107" s="3" t="s">
        <v>28834</v>
      </c>
      <c r="B13107" s="3" t="s">
        <v>11305</v>
      </c>
      <c r="C13107" s="5" t="s">
        <v>221</v>
      </c>
      <c r="D13107" s="3" t="s">
        <v>614</v>
      </c>
      <c r="E13107" s="3" t="s">
        <v>118</v>
      </c>
      <c r="F13107" s="7">
        <v>46000.73947735312</v>
      </c>
      <c r="G13107" s="3" t="s">
        <v>8940</v>
      </c>
    </row>
    <row r="13108">
      <c r="A13108" s="3" t="s">
        <v>28835</v>
      </c>
      <c r="B13108" s="3" t="s">
        <v>11305</v>
      </c>
      <c r="C13108" s="5" t="s">
        <v>614</v>
      </c>
      <c r="D13108" s="3" t="s">
        <v>206</v>
      </c>
      <c r="E13108" s="3" t="s">
        <v>100</v>
      </c>
      <c r="F13108" s="7">
        <v>46000.742949575346</v>
      </c>
      <c r="G13108" s="3" t="s">
        <v>8943</v>
      </c>
    </row>
    <row r="13109">
      <c r="A13109" s="3" t="s">
        <v>28836</v>
      </c>
      <c r="B13109" s="3" t="s">
        <v>11305</v>
      </c>
      <c r="C13109" s="5" t="s">
        <v>206</v>
      </c>
      <c r="D13109" s="3" t="s">
        <v>68</v>
      </c>
      <c r="E13109" s="3" t="s">
        <v>100</v>
      </c>
      <c r="F13109" s="7">
        <v>46000.746421797565</v>
      </c>
      <c r="G13109" s="3" t="s">
        <v>8946</v>
      </c>
    </row>
    <row r="13110">
      <c r="A13110" s="3" t="s">
        <v>28837</v>
      </c>
      <c r="B13110" s="3" t="s">
        <v>11309</v>
      </c>
      <c r="C13110" s="5" t="s">
        <v>45</v>
      </c>
      <c r="D13110" s="3" t="s">
        <v>221</v>
      </c>
      <c r="E13110" s="3" t="s">
        <v>640</v>
      </c>
      <c r="F13110" s="7">
        <v>46000.80717997632</v>
      </c>
      <c r="G13110" s="3" t="s">
        <v>8459</v>
      </c>
    </row>
    <row r="13111">
      <c r="A13111" s="3" t="s">
        <v>28838</v>
      </c>
      <c r="B13111" s="3" t="s">
        <v>11309</v>
      </c>
      <c r="C13111" s="5" t="s">
        <v>221</v>
      </c>
      <c r="D13111" s="3" t="s">
        <v>614</v>
      </c>
      <c r="E13111" s="3" t="s">
        <v>118</v>
      </c>
      <c r="F13111" s="7">
        <v>46000.81065219854</v>
      </c>
      <c r="G13111" s="3" t="s">
        <v>8462</v>
      </c>
    </row>
    <row r="13112">
      <c r="A13112" s="3" t="s">
        <v>28839</v>
      </c>
      <c r="B13112" s="3" t="s">
        <v>11309</v>
      </c>
      <c r="C13112" s="5" t="s">
        <v>614</v>
      </c>
      <c r="D13112" s="3" t="s">
        <v>206</v>
      </c>
      <c r="E13112" s="3" t="s">
        <v>100</v>
      </c>
      <c r="F13112" s="7">
        <v>46000.814124420765</v>
      </c>
      <c r="G13112" s="3" t="s">
        <v>8465</v>
      </c>
    </row>
    <row r="13113">
      <c r="A13113" s="3" t="s">
        <v>28840</v>
      </c>
      <c r="B13113" s="3" t="s">
        <v>11309</v>
      </c>
      <c r="C13113" s="5" t="s">
        <v>206</v>
      </c>
      <c r="D13113" s="3" t="s">
        <v>68</v>
      </c>
      <c r="E13113" s="3" t="s">
        <v>100</v>
      </c>
      <c r="F13113" s="7">
        <v>46000.817596642984</v>
      </c>
      <c r="G13113" s="3" t="s">
        <v>8468</v>
      </c>
    </row>
    <row r="13114">
      <c r="A13114" s="3" t="s">
        <v>28841</v>
      </c>
      <c r="B13114" s="3" t="s">
        <v>11312</v>
      </c>
      <c r="C13114" s="5" t="s">
        <v>45</v>
      </c>
      <c r="D13114" s="3" t="s">
        <v>221</v>
      </c>
      <c r="E13114" s="3" t="s">
        <v>272</v>
      </c>
      <c r="F13114" s="7">
        <v>46000.87835482173</v>
      </c>
      <c r="G13114" s="3" t="s">
        <v>28842</v>
      </c>
    </row>
    <row r="13115">
      <c r="A13115" s="3" t="s">
        <v>28843</v>
      </c>
      <c r="B13115" s="3" t="s">
        <v>11312</v>
      </c>
      <c r="C13115" s="5" t="s">
        <v>221</v>
      </c>
      <c r="D13115" s="3" t="s">
        <v>614</v>
      </c>
      <c r="E13115" s="3" t="s">
        <v>118</v>
      </c>
      <c r="F13115" s="7">
        <v>46000.88182704395</v>
      </c>
      <c r="G13115" s="3" t="s">
        <v>28844</v>
      </c>
    </row>
    <row r="13116">
      <c r="A13116" s="3" t="s">
        <v>28845</v>
      </c>
      <c r="B13116" s="3" t="s">
        <v>11312</v>
      </c>
      <c r="C13116" s="5" t="s">
        <v>614</v>
      </c>
      <c r="D13116" s="3" t="s">
        <v>206</v>
      </c>
      <c r="E13116" s="3" t="s">
        <v>100</v>
      </c>
      <c r="F13116" s="7">
        <v>46000.88529926618</v>
      </c>
      <c r="G13116" s="3" t="s">
        <v>28846</v>
      </c>
    </row>
    <row r="13117">
      <c r="A13117" s="3" t="s">
        <v>28847</v>
      </c>
      <c r="B13117" s="3" t="s">
        <v>11312</v>
      </c>
      <c r="C13117" s="5" t="s">
        <v>206</v>
      </c>
      <c r="D13117" s="3" t="s">
        <v>68</v>
      </c>
      <c r="E13117" s="3" t="s">
        <v>100</v>
      </c>
      <c r="F13117" s="7">
        <v>46000.8887714884</v>
      </c>
      <c r="G13117" s="3" t="s">
        <v>28848</v>
      </c>
    </row>
    <row r="13118">
      <c r="A13118" s="3" t="s">
        <v>28849</v>
      </c>
      <c r="B13118" s="3" t="s">
        <v>11315</v>
      </c>
      <c r="C13118" s="5" t="s">
        <v>45</v>
      </c>
      <c r="D13118" s="3" t="s">
        <v>221</v>
      </c>
      <c r="E13118" s="3" t="s">
        <v>943</v>
      </c>
      <c r="F13118" s="7">
        <v>46000.949529667145</v>
      </c>
      <c r="G13118" s="3" t="s">
        <v>28850</v>
      </c>
    </row>
    <row r="13119">
      <c r="A13119" s="3" t="s">
        <v>28851</v>
      </c>
      <c r="B13119" s="3" t="s">
        <v>11315</v>
      </c>
      <c r="C13119" s="5" t="s">
        <v>221</v>
      </c>
      <c r="D13119" s="3" t="s">
        <v>614</v>
      </c>
      <c r="E13119" s="3" t="s">
        <v>118</v>
      </c>
      <c r="F13119" s="7">
        <v>46000.953001889364</v>
      </c>
      <c r="G13119" s="3" t="s">
        <v>28852</v>
      </c>
    </row>
    <row r="13120">
      <c r="A13120" s="3" t="s">
        <v>28853</v>
      </c>
      <c r="B13120" s="3" t="s">
        <v>11315</v>
      </c>
      <c r="C13120" s="5" t="s">
        <v>614</v>
      </c>
      <c r="D13120" s="3" t="s">
        <v>206</v>
      </c>
      <c r="E13120" s="3" t="s">
        <v>100</v>
      </c>
      <c r="F13120" s="7">
        <v>46000.95647411159</v>
      </c>
      <c r="G13120" s="3" t="s">
        <v>28854</v>
      </c>
    </row>
    <row r="13121">
      <c r="A13121" s="3" t="s">
        <v>28855</v>
      </c>
      <c r="B13121" s="3" t="s">
        <v>11315</v>
      </c>
      <c r="C13121" s="5" t="s">
        <v>206</v>
      </c>
      <c r="D13121" s="3" t="s">
        <v>68</v>
      </c>
      <c r="E13121" s="3" t="s">
        <v>100</v>
      </c>
      <c r="F13121" s="7">
        <v>46000.95994633381</v>
      </c>
      <c r="G13121" s="3" t="s">
        <v>28856</v>
      </c>
    </row>
    <row r="13122">
      <c r="A13122" s="3" t="s">
        <v>28857</v>
      </c>
      <c r="B13122" s="3" t="s">
        <v>11318</v>
      </c>
      <c r="C13122" s="5" t="s">
        <v>45</v>
      </c>
      <c r="D13122" s="3" t="s">
        <v>221</v>
      </c>
      <c r="E13122" s="3" t="s">
        <v>886</v>
      </c>
      <c r="F13122" s="7">
        <v>46001.020704512564</v>
      </c>
      <c r="G13122" s="3" t="s">
        <v>17843</v>
      </c>
    </row>
    <row r="13123">
      <c r="A13123" s="3" t="s">
        <v>28858</v>
      </c>
      <c r="B13123" s="3" t="s">
        <v>11318</v>
      </c>
      <c r="C13123" s="5" t="s">
        <v>221</v>
      </c>
      <c r="D13123" s="3" t="s">
        <v>614</v>
      </c>
      <c r="E13123" s="3" t="s">
        <v>118</v>
      </c>
      <c r="F13123" s="7">
        <v>46001.02417673478</v>
      </c>
      <c r="G13123" s="3" t="s">
        <v>17846</v>
      </c>
    </row>
    <row r="13124">
      <c r="A13124" s="3" t="s">
        <v>28859</v>
      </c>
      <c r="B13124" s="3" t="s">
        <v>11318</v>
      </c>
      <c r="C13124" s="5" t="s">
        <v>614</v>
      </c>
      <c r="D13124" s="3" t="s">
        <v>206</v>
      </c>
      <c r="E13124" s="3" t="s">
        <v>100</v>
      </c>
      <c r="F13124" s="7">
        <v>46001.02764895701</v>
      </c>
      <c r="G13124" s="3" t="s">
        <v>17849</v>
      </c>
    </row>
    <row r="13125">
      <c r="A13125" s="3" t="s">
        <v>28860</v>
      </c>
      <c r="B13125" s="3" t="s">
        <v>11318</v>
      </c>
      <c r="C13125" s="5" t="s">
        <v>206</v>
      </c>
      <c r="D13125" s="3" t="s">
        <v>68</v>
      </c>
      <c r="E13125" s="3" t="s">
        <v>100</v>
      </c>
      <c r="F13125" s="7">
        <v>46001.03112117923</v>
      </c>
      <c r="G13125" s="3" t="s">
        <v>17851</v>
      </c>
    </row>
    <row r="13126">
      <c r="A13126" s="3" t="s">
        <v>28861</v>
      </c>
      <c r="B13126" s="3" t="s">
        <v>11322</v>
      </c>
      <c r="C13126" s="5" t="s">
        <v>45</v>
      </c>
      <c r="D13126" s="3" t="s">
        <v>221</v>
      </c>
      <c r="E13126" s="3" t="s">
        <v>691</v>
      </c>
      <c r="F13126" s="7">
        <v>46001.09187935798</v>
      </c>
      <c r="G13126" s="3" t="s">
        <v>28862</v>
      </c>
    </row>
    <row r="13127">
      <c r="A13127" s="3" t="s">
        <v>28863</v>
      </c>
      <c r="B13127" s="3" t="s">
        <v>11322</v>
      </c>
      <c r="C13127" s="5" t="s">
        <v>221</v>
      </c>
      <c r="D13127" s="3" t="s">
        <v>614</v>
      </c>
      <c r="E13127" s="3" t="s">
        <v>118</v>
      </c>
      <c r="F13127" s="7">
        <v>46001.095351580196</v>
      </c>
      <c r="G13127" s="3" t="s">
        <v>28864</v>
      </c>
    </row>
    <row r="13128">
      <c r="A13128" s="3" t="s">
        <v>28865</v>
      </c>
      <c r="B13128" s="3" t="s">
        <v>11322</v>
      </c>
      <c r="C13128" s="5" t="s">
        <v>614</v>
      </c>
      <c r="D13128" s="3" t="s">
        <v>206</v>
      </c>
      <c r="E13128" s="3" t="s">
        <v>100</v>
      </c>
      <c r="F13128" s="7">
        <v>46001.09882380242</v>
      </c>
      <c r="G13128" s="3" t="s">
        <v>28866</v>
      </c>
    </row>
    <row r="13129">
      <c r="A13129" s="3" t="s">
        <v>28867</v>
      </c>
      <c r="B13129" s="3" t="s">
        <v>11322</v>
      </c>
      <c r="C13129" s="5" t="s">
        <v>206</v>
      </c>
      <c r="D13129" s="3" t="s">
        <v>68</v>
      </c>
      <c r="E13129" s="3" t="s">
        <v>100</v>
      </c>
      <c r="F13129" s="7">
        <v>46001.10229602464</v>
      </c>
      <c r="G13129" s="3" t="s">
        <v>28868</v>
      </c>
    </row>
    <row r="13130">
      <c r="A13130" s="3" t="s">
        <v>28869</v>
      </c>
      <c r="B13130" s="3" t="s">
        <v>11326</v>
      </c>
      <c r="C13130" s="5" t="s">
        <v>45</v>
      </c>
      <c r="D13130" s="3" t="s">
        <v>221</v>
      </c>
      <c r="E13130" s="3" t="s">
        <v>219</v>
      </c>
      <c r="F13130" s="7">
        <v>46001.16305420339</v>
      </c>
      <c r="G13130" s="3" t="s">
        <v>17443</v>
      </c>
    </row>
    <row r="13131">
      <c r="A13131" s="3" t="s">
        <v>28870</v>
      </c>
      <c r="B13131" s="3" t="s">
        <v>11326</v>
      </c>
      <c r="C13131" s="5" t="s">
        <v>221</v>
      </c>
      <c r="D13131" s="3" t="s">
        <v>614</v>
      </c>
      <c r="E13131" s="3" t="s">
        <v>118</v>
      </c>
      <c r="F13131" s="7">
        <v>46001.16652642561</v>
      </c>
      <c r="G13131" s="3" t="s">
        <v>17446</v>
      </c>
    </row>
    <row r="13132">
      <c r="A13132" s="3" t="s">
        <v>28871</v>
      </c>
      <c r="B13132" s="3" t="s">
        <v>11326</v>
      </c>
      <c r="C13132" s="5" t="s">
        <v>614</v>
      </c>
      <c r="D13132" s="3" t="s">
        <v>206</v>
      </c>
      <c r="E13132" s="3" t="s">
        <v>100</v>
      </c>
      <c r="F13132" s="7">
        <v>46001.169998647834</v>
      </c>
      <c r="G13132" s="3" t="s">
        <v>17449</v>
      </c>
    </row>
    <row r="13133">
      <c r="A13133" s="3" t="s">
        <v>28872</v>
      </c>
      <c r="B13133" s="3" t="s">
        <v>11326</v>
      </c>
      <c r="C13133" s="5" t="s">
        <v>206</v>
      </c>
      <c r="D13133" s="3" t="s">
        <v>68</v>
      </c>
      <c r="E13133" s="3" t="s">
        <v>100</v>
      </c>
      <c r="F13133" s="7">
        <v>46001.17347087005</v>
      </c>
      <c r="G13133" s="3" t="s">
        <v>17452</v>
      </c>
    </row>
    <row r="13134">
      <c r="A13134" s="3" t="s">
        <v>28873</v>
      </c>
      <c r="B13134" s="3" t="s">
        <v>11329</v>
      </c>
      <c r="C13134" s="5" t="s">
        <v>45</v>
      </c>
      <c r="D13134" s="3" t="s">
        <v>221</v>
      </c>
      <c r="E13134" s="3" t="s">
        <v>870</v>
      </c>
      <c r="F13134" s="7">
        <v>46001.23422904881</v>
      </c>
      <c r="G13134" s="3" t="s">
        <v>10600</v>
      </c>
    </row>
    <row r="13135">
      <c r="A13135" s="3" t="s">
        <v>28874</v>
      </c>
      <c r="B13135" s="3" t="s">
        <v>11329</v>
      </c>
      <c r="C13135" s="5" t="s">
        <v>221</v>
      </c>
      <c r="D13135" s="3" t="s">
        <v>614</v>
      </c>
      <c r="E13135" s="3" t="s">
        <v>118</v>
      </c>
      <c r="F13135" s="7">
        <v>46001.23770127103</v>
      </c>
      <c r="G13135" s="3" t="s">
        <v>10603</v>
      </c>
    </row>
    <row r="13136">
      <c r="A13136" s="3" t="s">
        <v>28875</v>
      </c>
      <c r="B13136" s="3" t="s">
        <v>11329</v>
      </c>
      <c r="C13136" s="5" t="s">
        <v>614</v>
      </c>
      <c r="D13136" s="3" t="s">
        <v>206</v>
      </c>
      <c r="E13136" s="3" t="s">
        <v>100</v>
      </c>
      <c r="F13136" s="7">
        <v>46001.241173493254</v>
      </c>
      <c r="G13136" s="3" t="s">
        <v>10606</v>
      </c>
    </row>
    <row r="13137">
      <c r="A13137" s="3" t="s">
        <v>28876</v>
      </c>
      <c r="B13137" s="3" t="s">
        <v>11329</v>
      </c>
      <c r="C13137" s="5" t="s">
        <v>206</v>
      </c>
      <c r="D13137" s="3" t="s">
        <v>68</v>
      </c>
      <c r="E13137" s="3" t="s">
        <v>100</v>
      </c>
      <c r="F13137" s="7">
        <v>46001.24464571547</v>
      </c>
      <c r="G13137" s="3" t="s">
        <v>10608</v>
      </c>
    </row>
    <row r="13138">
      <c r="A13138" s="3" t="s">
        <v>28877</v>
      </c>
      <c r="B13138" s="3" t="s">
        <v>11332</v>
      </c>
      <c r="C13138" s="5" t="s">
        <v>45</v>
      </c>
      <c r="D13138" s="3" t="s">
        <v>221</v>
      </c>
      <c r="E13138" s="3" t="s">
        <v>965</v>
      </c>
      <c r="F13138" s="7">
        <v>46001.30540389422</v>
      </c>
      <c r="G13138" s="3" t="s">
        <v>17137</v>
      </c>
    </row>
    <row r="13139">
      <c r="A13139" s="3" t="s">
        <v>28878</v>
      </c>
      <c r="B13139" s="3" t="s">
        <v>11332</v>
      </c>
      <c r="C13139" s="5" t="s">
        <v>221</v>
      </c>
      <c r="D13139" s="3" t="s">
        <v>614</v>
      </c>
      <c r="E13139" s="3" t="s">
        <v>118</v>
      </c>
      <c r="F13139" s="7">
        <v>46001.30887611644</v>
      </c>
      <c r="G13139" s="3" t="s">
        <v>17139</v>
      </c>
    </row>
    <row r="13140">
      <c r="A13140" s="3" t="s">
        <v>28879</v>
      </c>
      <c r="B13140" s="3" t="s">
        <v>11332</v>
      </c>
      <c r="C13140" s="5" t="s">
        <v>614</v>
      </c>
      <c r="D13140" s="3" t="s">
        <v>206</v>
      </c>
      <c r="E13140" s="3" t="s">
        <v>100</v>
      </c>
      <c r="F13140" s="7">
        <v>46001.312348338666</v>
      </c>
      <c r="G13140" s="3" t="s">
        <v>17142</v>
      </c>
    </row>
    <row r="13141">
      <c r="A13141" s="3" t="s">
        <v>28880</v>
      </c>
      <c r="B13141" s="3" t="s">
        <v>11332</v>
      </c>
      <c r="C13141" s="5" t="s">
        <v>206</v>
      </c>
      <c r="D13141" s="3" t="s">
        <v>68</v>
      </c>
      <c r="E13141" s="3" t="s">
        <v>100</v>
      </c>
      <c r="F13141" s="7">
        <v>46001.315820560885</v>
      </c>
      <c r="G13141" s="3" t="s">
        <v>17145</v>
      </c>
    </row>
    <row r="13142">
      <c r="A13142" s="3" t="s">
        <v>28881</v>
      </c>
      <c r="B13142" s="3" t="s">
        <v>11335</v>
      </c>
      <c r="C13142" s="5" t="s">
        <v>45</v>
      </c>
      <c r="D13142" s="3" t="s">
        <v>221</v>
      </c>
      <c r="E13142" s="3" t="s">
        <v>734</v>
      </c>
      <c r="F13142" s="7">
        <v>46001.37657873963</v>
      </c>
      <c r="G13142" s="3" t="s">
        <v>17174</v>
      </c>
    </row>
    <row r="13143">
      <c r="A13143" s="3" t="s">
        <v>28882</v>
      </c>
      <c r="B13143" s="3" t="s">
        <v>11335</v>
      </c>
      <c r="C13143" s="5" t="s">
        <v>221</v>
      </c>
      <c r="D13143" s="3" t="s">
        <v>614</v>
      </c>
      <c r="E13143" s="3" t="s">
        <v>118</v>
      </c>
      <c r="F13143" s="7">
        <v>46001.38005096185</v>
      </c>
      <c r="G13143" s="3" t="s">
        <v>17177</v>
      </c>
    </row>
    <row r="13144">
      <c r="A13144" s="3" t="s">
        <v>28883</v>
      </c>
      <c r="B13144" s="3" t="s">
        <v>11335</v>
      </c>
      <c r="C13144" s="5" t="s">
        <v>614</v>
      </c>
      <c r="D13144" s="3" t="s">
        <v>206</v>
      </c>
      <c r="E13144" s="3" t="s">
        <v>100</v>
      </c>
      <c r="F13144" s="7">
        <v>46001.38352318408</v>
      </c>
      <c r="G13144" s="3" t="s">
        <v>17180</v>
      </c>
    </row>
    <row r="13145">
      <c r="A13145" s="3" t="s">
        <v>28884</v>
      </c>
      <c r="B13145" s="3" t="s">
        <v>11335</v>
      </c>
      <c r="C13145" s="5" t="s">
        <v>206</v>
      </c>
      <c r="D13145" s="3" t="s">
        <v>68</v>
      </c>
      <c r="E13145" s="3" t="s">
        <v>100</v>
      </c>
      <c r="F13145" s="7">
        <v>46001.3869954063</v>
      </c>
      <c r="G13145" s="3" t="s">
        <v>17182</v>
      </c>
    </row>
    <row r="13146">
      <c r="A13146" s="3" t="s">
        <v>28885</v>
      </c>
      <c r="B13146" s="3" t="s">
        <v>11338</v>
      </c>
      <c r="C13146" s="5" t="s">
        <v>45</v>
      </c>
      <c r="D13146" s="3" t="s">
        <v>221</v>
      </c>
      <c r="E13146" s="3" t="s">
        <v>767</v>
      </c>
      <c r="F13146" s="7">
        <v>46001.44775358505</v>
      </c>
      <c r="G13146" s="3" t="s">
        <v>16811</v>
      </c>
    </row>
    <row r="13147">
      <c r="A13147" s="3" t="s">
        <v>28886</v>
      </c>
      <c r="B13147" s="3" t="s">
        <v>11338</v>
      </c>
      <c r="C13147" s="5" t="s">
        <v>221</v>
      </c>
      <c r="D13147" s="3" t="s">
        <v>614</v>
      </c>
      <c r="E13147" s="3" t="s">
        <v>118</v>
      </c>
      <c r="F13147" s="7">
        <v>46001.45122580727</v>
      </c>
      <c r="G13147" s="3" t="s">
        <v>16814</v>
      </c>
    </row>
    <row r="13148">
      <c r="A13148" s="3" t="s">
        <v>28887</v>
      </c>
      <c r="B13148" s="3" t="s">
        <v>11338</v>
      </c>
      <c r="C13148" s="5" t="s">
        <v>614</v>
      </c>
      <c r="D13148" s="3" t="s">
        <v>206</v>
      </c>
      <c r="E13148" s="3" t="s">
        <v>100</v>
      </c>
      <c r="F13148" s="7">
        <v>46001.4546980295</v>
      </c>
      <c r="G13148" s="3" t="s">
        <v>16817</v>
      </c>
    </row>
    <row r="13149">
      <c r="A13149" s="3" t="s">
        <v>28888</v>
      </c>
      <c r="B13149" s="3" t="s">
        <v>11338</v>
      </c>
      <c r="C13149" s="5" t="s">
        <v>206</v>
      </c>
      <c r="D13149" s="3" t="s">
        <v>68</v>
      </c>
      <c r="E13149" s="3" t="s">
        <v>100</v>
      </c>
      <c r="F13149" s="7">
        <v>46001.45817025172</v>
      </c>
      <c r="G13149" s="3" t="s">
        <v>16820</v>
      </c>
    </row>
    <row r="13150">
      <c r="A13150" s="3" t="s">
        <v>28889</v>
      </c>
      <c r="B13150" s="3" t="s">
        <v>11341</v>
      </c>
      <c r="C13150" s="5" t="s">
        <v>45</v>
      </c>
      <c r="D13150" s="3" t="s">
        <v>221</v>
      </c>
      <c r="E13150" s="3" t="s">
        <v>593</v>
      </c>
      <c r="F13150" s="7">
        <v>46001.51892843047</v>
      </c>
      <c r="G13150" s="3" t="s">
        <v>17185</v>
      </c>
    </row>
    <row r="13151">
      <c r="A13151" s="3" t="s">
        <v>28890</v>
      </c>
      <c r="B13151" s="3" t="s">
        <v>11341</v>
      </c>
      <c r="C13151" s="5" t="s">
        <v>221</v>
      </c>
      <c r="D13151" s="3" t="s">
        <v>614</v>
      </c>
      <c r="E13151" s="3" t="s">
        <v>118</v>
      </c>
      <c r="F13151" s="7">
        <v>46001.52240065269</v>
      </c>
      <c r="G13151" s="3" t="s">
        <v>17188</v>
      </c>
    </row>
    <row r="13152">
      <c r="A13152" s="3" t="s">
        <v>28891</v>
      </c>
      <c r="B13152" s="3" t="s">
        <v>11341</v>
      </c>
      <c r="C13152" s="5" t="s">
        <v>614</v>
      </c>
      <c r="D13152" s="3" t="s">
        <v>206</v>
      </c>
      <c r="E13152" s="3" t="s">
        <v>100</v>
      </c>
      <c r="F13152" s="7">
        <v>46001.52587287492</v>
      </c>
      <c r="G13152" s="3" t="s">
        <v>17191</v>
      </c>
    </row>
    <row r="13153">
      <c r="A13153" s="3" t="s">
        <v>28892</v>
      </c>
      <c r="B13153" s="3" t="s">
        <v>11341</v>
      </c>
      <c r="C13153" s="5" t="s">
        <v>206</v>
      </c>
      <c r="D13153" s="3" t="s">
        <v>68</v>
      </c>
      <c r="E13153" s="3" t="s">
        <v>100</v>
      </c>
      <c r="F13153" s="7">
        <v>46001.52934509714</v>
      </c>
      <c r="G13153" s="3" t="s">
        <v>17194</v>
      </c>
    </row>
    <row r="13154">
      <c r="A13154" s="3" t="s">
        <v>28893</v>
      </c>
      <c r="B13154" s="3" t="s">
        <v>11343</v>
      </c>
      <c r="C13154" s="5" t="s">
        <v>45</v>
      </c>
      <c r="D13154" s="3" t="s">
        <v>221</v>
      </c>
      <c r="E13154" s="3" t="s">
        <v>908</v>
      </c>
      <c r="F13154" s="7">
        <v>46001.59010327588</v>
      </c>
      <c r="G13154" s="3" t="s">
        <v>17241</v>
      </c>
    </row>
    <row r="13155">
      <c r="A13155" s="3" t="s">
        <v>28894</v>
      </c>
      <c r="B13155" s="3" t="s">
        <v>11343</v>
      </c>
      <c r="C13155" s="5" t="s">
        <v>221</v>
      </c>
      <c r="D13155" s="3" t="s">
        <v>614</v>
      </c>
      <c r="E13155" s="3" t="s">
        <v>118</v>
      </c>
      <c r="F13155" s="7">
        <v>46001.5935754981</v>
      </c>
      <c r="G13155" s="3" t="s">
        <v>17244</v>
      </c>
    </row>
    <row r="13156">
      <c r="A13156" s="3" t="s">
        <v>28895</v>
      </c>
      <c r="B13156" s="3" t="s">
        <v>11343</v>
      </c>
      <c r="C13156" s="5" t="s">
        <v>614</v>
      </c>
      <c r="D13156" s="3" t="s">
        <v>206</v>
      </c>
      <c r="E13156" s="3" t="s">
        <v>100</v>
      </c>
      <c r="F13156" s="7">
        <v>46001.59704772032</v>
      </c>
      <c r="G13156" s="3" t="s">
        <v>17247</v>
      </c>
    </row>
    <row r="13157">
      <c r="A13157" s="3" t="s">
        <v>28896</v>
      </c>
      <c r="B13157" s="3" t="s">
        <v>11343</v>
      </c>
      <c r="C13157" s="5" t="s">
        <v>206</v>
      </c>
      <c r="D13157" s="3" t="s">
        <v>68</v>
      </c>
      <c r="E13157" s="3" t="s">
        <v>100</v>
      </c>
      <c r="F13157" s="7">
        <v>46001.60051994254</v>
      </c>
      <c r="G13157" s="3" t="s">
        <v>17250</v>
      </c>
    </row>
    <row r="13158">
      <c r="A13158" s="3" t="s">
        <v>28897</v>
      </c>
      <c r="B13158" s="3" t="s">
        <v>11347</v>
      </c>
      <c r="C13158" s="5" t="s">
        <v>45</v>
      </c>
      <c r="D13158" s="3" t="s">
        <v>221</v>
      </c>
      <c r="E13158" s="3" t="s">
        <v>698</v>
      </c>
      <c r="F13158" s="7">
        <v>46001.6612781213</v>
      </c>
      <c r="G13158" s="3" t="s">
        <v>17321</v>
      </c>
    </row>
    <row r="13159">
      <c r="A13159" s="3" t="s">
        <v>28898</v>
      </c>
      <c r="B13159" s="3" t="s">
        <v>11347</v>
      </c>
      <c r="C13159" s="5" t="s">
        <v>221</v>
      </c>
      <c r="D13159" s="3" t="s">
        <v>614</v>
      </c>
      <c r="E13159" s="3" t="s">
        <v>118</v>
      </c>
      <c r="F13159" s="7">
        <v>46001.664750343516</v>
      </c>
      <c r="G13159" s="3" t="s">
        <v>17324</v>
      </c>
    </row>
    <row r="13160">
      <c r="A13160" s="3" t="s">
        <v>28899</v>
      </c>
      <c r="B13160" s="3" t="s">
        <v>11347</v>
      </c>
      <c r="C13160" s="5" t="s">
        <v>614</v>
      </c>
      <c r="D13160" s="3" t="s">
        <v>206</v>
      </c>
      <c r="E13160" s="3" t="s">
        <v>100</v>
      </c>
      <c r="F13160" s="7">
        <v>46001.66822256574</v>
      </c>
      <c r="G13160" s="3" t="s">
        <v>17327</v>
      </c>
    </row>
    <row r="13161">
      <c r="A13161" s="3" t="s">
        <v>28900</v>
      </c>
      <c r="B13161" s="3" t="s">
        <v>11347</v>
      </c>
      <c r="C13161" s="5" t="s">
        <v>206</v>
      </c>
      <c r="D13161" s="3" t="s">
        <v>68</v>
      </c>
      <c r="E13161" s="3" t="s">
        <v>100</v>
      </c>
      <c r="F13161" s="7">
        <v>46001.67169478796</v>
      </c>
      <c r="G13161" s="3" t="s">
        <v>17329</v>
      </c>
    </row>
    <row r="13162">
      <c r="A13162" s="3" t="s">
        <v>28901</v>
      </c>
      <c r="B13162" s="3" t="s">
        <v>11350</v>
      </c>
      <c r="C13162" s="5" t="s">
        <v>45</v>
      </c>
      <c r="D13162" s="3" t="s">
        <v>221</v>
      </c>
      <c r="E13162" s="3" t="s">
        <v>183</v>
      </c>
      <c r="F13162" s="7">
        <v>46001.73245296672</v>
      </c>
      <c r="G13162" s="3" t="s">
        <v>21937</v>
      </c>
    </row>
    <row r="13163">
      <c r="A13163" s="3" t="s">
        <v>28902</v>
      </c>
      <c r="B13163" s="3" t="s">
        <v>11350</v>
      </c>
      <c r="C13163" s="5" t="s">
        <v>221</v>
      </c>
      <c r="D13163" s="3" t="s">
        <v>614</v>
      </c>
      <c r="E13163" s="3" t="s">
        <v>118</v>
      </c>
      <c r="F13163" s="7">
        <v>46001.735925188936</v>
      </c>
      <c r="G13163" s="3" t="s">
        <v>21940</v>
      </c>
    </row>
    <row r="13164">
      <c r="A13164" s="3" t="s">
        <v>28903</v>
      </c>
      <c r="B13164" s="3" t="s">
        <v>11350</v>
      </c>
      <c r="C13164" s="5" t="s">
        <v>614</v>
      </c>
      <c r="D13164" s="3" t="s">
        <v>206</v>
      </c>
      <c r="E13164" s="3" t="s">
        <v>100</v>
      </c>
      <c r="F13164" s="7">
        <v>46001.73939741116</v>
      </c>
      <c r="G13164" s="3" t="s">
        <v>21942</v>
      </c>
    </row>
    <row r="13165">
      <c r="A13165" s="3" t="s">
        <v>28904</v>
      </c>
      <c r="B13165" s="3" t="s">
        <v>11350</v>
      </c>
      <c r="C13165" s="5" t="s">
        <v>206</v>
      </c>
      <c r="D13165" s="3" t="s">
        <v>68</v>
      </c>
      <c r="E13165" s="3" t="s">
        <v>100</v>
      </c>
      <c r="F13165" s="7">
        <v>46001.74286963338</v>
      </c>
      <c r="G13165" s="3" t="s">
        <v>21945</v>
      </c>
    </row>
    <row r="13166">
      <c r="A13166" s="3" t="s">
        <v>28905</v>
      </c>
      <c r="B13166" s="3" t="s">
        <v>11352</v>
      </c>
      <c r="C13166" s="5" t="s">
        <v>45</v>
      </c>
      <c r="D13166" s="3" t="s">
        <v>221</v>
      </c>
      <c r="E13166" s="3" t="s">
        <v>708</v>
      </c>
      <c r="F13166" s="7">
        <v>46001.80362781213</v>
      </c>
      <c r="G13166" s="3" t="s">
        <v>17332</v>
      </c>
    </row>
    <row r="13167">
      <c r="A13167" s="3" t="s">
        <v>28906</v>
      </c>
      <c r="B13167" s="3" t="s">
        <v>11352</v>
      </c>
      <c r="C13167" s="5" t="s">
        <v>221</v>
      </c>
      <c r="D13167" s="3" t="s">
        <v>614</v>
      </c>
      <c r="E13167" s="3" t="s">
        <v>118</v>
      </c>
      <c r="F13167" s="7">
        <v>46001.80710003435</v>
      </c>
      <c r="G13167" s="3" t="s">
        <v>17335</v>
      </c>
    </row>
    <row r="13168">
      <c r="A13168" s="3" t="s">
        <v>28907</v>
      </c>
      <c r="B13168" s="3" t="s">
        <v>11352</v>
      </c>
      <c r="C13168" s="5" t="s">
        <v>614</v>
      </c>
      <c r="D13168" s="3" t="s">
        <v>206</v>
      </c>
      <c r="E13168" s="3" t="s">
        <v>100</v>
      </c>
      <c r="F13168" s="7">
        <v>46001.810572256574</v>
      </c>
      <c r="G13168" s="3" t="s">
        <v>17338</v>
      </c>
    </row>
    <row r="13169">
      <c r="A13169" s="3" t="s">
        <v>28908</v>
      </c>
      <c r="B13169" s="3" t="s">
        <v>11352</v>
      </c>
      <c r="C13169" s="5" t="s">
        <v>206</v>
      </c>
      <c r="D13169" s="3" t="s">
        <v>68</v>
      </c>
      <c r="E13169" s="3" t="s">
        <v>100</v>
      </c>
      <c r="F13169" s="7">
        <v>46001.81404447879</v>
      </c>
      <c r="G13169" s="3" t="s">
        <v>17341</v>
      </c>
    </row>
    <row r="13170">
      <c r="A13170" s="3" t="s">
        <v>28909</v>
      </c>
      <c r="B13170" s="3" t="s">
        <v>11356</v>
      </c>
      <c r="C13170" s="5" t="s">
        <v>45</v>
      </c>
      <c r="D13170" s="3" t="s">
        <v>221</v>
      </c>
      <c r="E13170" s="3" t="s">
        <v>922</v>
      </c>
      <c r="F13170" s="7">
        <v>46001.87480265754</v>
      </c>
      <c r="G13170" s="3" t="s">
        <v>17355</v>
      </c>
    </row>
    <row r="13171">
      <c r="A13171" s="3" t="s">
        <v>28910</v>
      </c>
      <c r="B13171" s="3" t="s">
        <v>11356</v>
      </c>
      <c r="C13171" s="5" t="s">
        <v>221</v>
      </c>
      <c r="D13171" s="3" t="s">
        <v>614</v>
      </c>
      <c r="E13171" s="3" t="s">
        <v>118</v>
      </c>
      <c r="F13171" s="7">
        <v>46001.87827487976</v>
      </c>
      <c r="G13171" s="3" t="s">
        <v>17357</v>
      </c>
    </row>
    <row r="13172">
      <c r="A13172" s="3" t="s">
        <v>28911</v>
      </c>
      <c r="B13172" s="3" t="s">
        <v>11356</v>
      </c>
      <c r="C13172" s="5" t="s">
        <v>614</v>
      </c>
      <c r="D13172" s="3" t="s">
        <v>206</v>
      </c>
      <c r="E13172" s="3" t="s">
        <v>100</v>
      </c>
      <c r="F13172" s="7">
        <v>46001.88174710199</v>
      </c>
      <c r="G13172" s="3" t="s">
        <v>17360</v>
      </c>
    </row>
    <row r="13173">
      <c r="A13173" s="3" t="s">
        <v>28912</v>
      </c>
      <c r="B13173" s="3" t="s">
        <v>11356</v>
      </c>
      <c r="C13173" s="5" t="s">
        <v>206</v>
      </c>
      <c r="D13173" s="3" t="s">
        <v>68</v>
      </c>
      <c r="E13173" s="3" t="s">
        <v>100</v>
      </c>
      <c r="F13173" s="7">
        <v>46001.885219324206</v>
      </c>
      <c r="G13173" s="3" t="s">
        <v>17363</v>
      </c>
    </row>
    <row r="13174">
      <c r="A13174" s="3" t="s">
        <v>28913</v>
      </c>
      <c r="B13174" s="3" t="s">
        <v>11360</v>
      </c>
      <c r="C13174" s="5" t="s">
        <v>45</v>
      </c>
      <c r="D13174" s="3" t="s">
        <v>221</v>
      </c>
      <c r="E13174" s="3" t="s">
        <v>253</v>
      </c>
      <c r="F13174" s="7">
        <v>46001.94597750296</v>
      </c>
      <c r="G13174" s="3" t="s">
        <v>28914</v>
      </c>
    </row>
    <row r="13175">
      <c r="A13175" s="3" t="s">
        <v>28915</v>
      </c>
      <c r="B13175" s="3" t="s">
        <v>11360</v>
      </c>
      <c r="C13175" s="5" t="s">
        <v>221</v>
      </c>
      <c r="D13175" s="3" t="s">
        <v>614</v>
      </c>
      <c r="E13175" s="3" t="s">
        <v>118</v>
      </c>
      <c r="F13175" s="7">
        <v>46001.94944972518</v>
      </c>
      <c r="G13175" s="3" t="s">
        <v>28916</v>
      </c>
    </row>
    <row r="13176">
      <c r="A13176" s="3" t="s">
        <v>28917</v>
      </c>
      <c r="B13176" s="3" t="s">
        <v>11360</v>
      </c>
      <c r="C13176" s="5" t="s">
        <v>614</v>
      </c>
      <c r="D13176" s="3" t="s">
        <v>206</v>
      </c>
      <c r="E13176" s="3" t="s">
        <v>100</v>
      </c>
      <c r="F13176" s="7">
        <v>46001.952921947406</v>
      </c>
      <c r="G13176" s="3" t="s">
        <v>28918</v>
      </c>
    </row>
    <row r="13177">
      <c r="A13177" s="3" t="s">
        <v>28919</v>
      </c>
      <c r="B13177" s="3" t="s">
        <v>11360</v>
      </c>
      <c r="C13177" s="5" t="s">
        <v>206</v>
      </c>
      <c r="D13177" s="3" t="s">
        <v>68</v>
      </c>
      <c r="E13177" s="3" t="s">
        <v>100</v>
      </c>
      <c r="F13177" s="7">
        <v>46001.956394169625</v>
      </c>
      <c r="G13177" s="3" t="s">
        <v>28920</v>
      </c>
    </row>
    <row r="13178">
      <c r="A13178" s="3" t="s">
        <v>28921</v>
      </c>
      <c r="B13178" s="3" t="s">
        <v>11363</v>
      </c>
      <c r="C13178" s="5" t="s">
        <v>45</v>
      </c>
      <c r="D13178" s="3" t="s">
        <v>221</v>
      </c>
      <c r="E13178" s="3" t="s">
        <v>193</v>
      </c>
      <c r="F13178" s="7">
        <v>46002.01715234837</v>
      </c>
      <c r="G13178" s="3" t="s">
        <v>8729</v>
      </c>
    </row>
    <row r="13179">
      <c r="A13179" s="3" t="s">
        <v>28922</v>
      </c>
      <c r="B13179" s="3" t="s">
        <v>11363</v>
      </c>
      <c r="C13179" s="5" t="s">
        <v>221</v>
      </c>
      <c r="D13179" s="3" t="s">
        <v>195</v>
      </c>
      <c r="E13179" s="3" t="s">
        <v>193</v>
      </c>
      <c r="F13179" s="7">
        <v>46002.02062457059</v>
      </c>
      <c r="G13179" s="3" t="s">
        <v>8731</v>
      </c>
    </row>
    <row r="13180">
      <c r="A13180" s="3" t="s">
        <v>28923</v>
      </c>
      <c r="B13180" s="3" t="s">
        <v>11366</v>
      </c>
      <c r="C13180" s="5" t="s">
        <v>45</v>
      </c>
      <c r="D13180" s="3" t="s">
        <v>221</v>
      </c>
      <c r="E13180" s="3" t="s">
        <v>449</v>
      </c>
      <c r="F13180" s="7">
        <v>46002.088327193786</v>
      </c>
      <c r="G13180" s="3" t="s">
        <v>14062</v>
      </c>
    </row>
    <row r="13181">
      <c r="A13181" s="3" t="s">
        <v>28924</v>
      </c>
      <c r="B13181" s="3" t="s">
        <v>11366</v>
      </c>
      <c r="C13181" s="5" t="s">
        <v>221</v>
      </c>
      <c r="D13181" s="3" t="s">
        <v>614</v>
      </c>
      <c r="E13181" s="3" t="s">
        <v>118</v>
      </c>
      <c r="F13181" s="7">
        <v>46002.091799416005</v>
      </c>
      <c r="G13181" s="3" t="s">
        <v>14065</v>
      </c>
    </row>
    <row r="13182">
      <c r="A13182" s="3" t="s">
        <v>28925</v>
      </c>
      <c r="B13182" s="3" t="s">
        <v>11366</v>
      </c>
      <c r="C13182" s="5" t="s">
        <v>614</v>
      </c>
      <c r="D13182" s="3" t="s">
        <v>206</v>
      </c>
      <c r="E13182" s="3" t="s">
        <v>100</v>
      </c>
      <c r="F13182" s="7">
        <v>46002.09527163823</v>
      </c>
      <c r="G13182" s="3" t="s">
        <v>14068</v>
      </c>
    </row>
    <row r="13183">
      <c r="A13183" s="3" t="s">
        <v>28926</v>
      </c>
      <c r="B13183" s="3" t="s">
        <v>11366</v>
      </c>
      <c r="C13183" s="5" t="s">
        <v>206</v>
      </c>
      <c r="D13183" s="3" t="s">
        <v>68</v>
      </c>
      <c r="E13183" s="3" t="s">
        <v>100</v>
      </c>
      <c r="F13183" s="7">
        <v>46002.09874386045</v>
      </c>
      <c r="G13183" s="3" t="s">
        <v>14070</v>
      </c>
    </row>
    <row r="13184">
      <c r="A13184" s="3" t="s">
        <v>28927</v>
      </c>
      <c r="B13184" s="3" t="s">
        <v>11369</v>
      </c>
      <c r="C13184" s="5" t="s">
        <v>45</v>
      </c>
      <c r="D13184" s="3" t="s">
        <v>221</v>
      </c>
      <c r="E13184" s="3" t="s">
        <v>557</v>
      </c>
      <c r="F13184" s="7">
        <v>46002.159502039205</v>
      </c>
      <c r="G13184" s="3" t="s">
        <v>15126</v>
      </c>
    </row>
    <row r="13185">
      <c r="A13185" s="3" t="s">
        <v>28928</v>
      </c>
      <c r="B13185" s="3" t="s">
        <v>11369</v>
      </c>
      <c r="C13185" s="5" t="s">
        <v>221</v>
      </c>
      <c r="D13185" s="3" t="s">
        <v>181</v>
      </c>
      <c r="E13185" s="3" t="s">
        <v>118</v>
      </c>
      <c r="F13185" s="7">
        <v>46002.162974261424</v>
      </c>
      <c r="G13185" s="3" t="s">
        <v>28929</v>
      </c>
    </row>
    <row r="13186">
      <c r="A13186" s="3" t="s">
        <v>28930</v>
      </c>
      <c r="B13186" s="3" t="s">
        <v>11372</v>
      </c>
      <c r="C13186" s="5" t="s">
        <v>45</v>
      </c>
      <c r="D13186" s="3" t="s">
        <v>221</v>
      </c>
      <c r="E13186" s="3" t="s">
        <v>990</v>
      </c>
      <c r="F13186" s="7">
        <v>46002.23067688462</v>
      </c>
      <c r="G13186" s="3" t="s">
        <v>17252</v>
      </c>
    </row>
    <row r="13187">
      <c r="A13187" s="3" t="s">
        <v>28931</v>
      </c>
      <c r="B13187" s="3" t="s">
        <v>11372</v>
      </c>
      <c r="C13187" s="5" t="s">
        <v>221</v>
      </c>
      <c r="D13187" s="3" t="s">
        <v>195</v>
      </c>
      <c r="E13187" s="3" t="s">
        <v>990</v>
      </c>
      <c r="F13187" s="7">
        <v>46002.23414910684</v>
      </c>
      <c r="G13187" s="3" t="s">
        <v>28932</v>
      </c>
    </row>
    <row r="13188">
      <c r="A13188" s="3" t="s">
        <v>28933</v>
      </c>
      <c r="B13188" s="3" t="s">
        <v>11375</v>
      </c>
      <c r="C13188" s="5" t="s">
        <v>45</v>
      </c>
      <c r="D13188" s="3" t="s">
        <v>221</v>
      </c>
      <c r="E13188" s="3" t="s">
        <v>805</v>
      </c>
      <c r="F13188" s="7">
        <v>46002.30185173003</v>
      </c>
      <c r="G13188" s="3" t="s">
        <v>17536</v>
      </c>
    </row>
    <row r="13189">
      <c r="A13189" s="3" t="s">
        <v>28934</v>
      </c>
      <c r="B13189" s="3" t="s">
        <v>11375</v>
      </c>
      <c r="C13189" s="5" t="s">
        <v>221</v>
      </c>
      <c r="D13189" s="3" t="s">
        <v>195</v>
      </c>
      <c r="E13189" s="3" t="s">
        <v>805</v>
      </c>
      <c r="F13189" s="7">
        <v>46002.30532395225</v>
      </c>
      <c r="G13189" s="3" t="s">
        <v>28935</v>
      </c>
    </row>
    <row r="13190">
      <c r="A13190" s="3" t="s">
        <v>28936</v>
      </c>
      <c r="B13190" s="3" t="s">
        <v>11379</v>
      </c>
      <c r="C13190" s="5" t="s">
        <v>45</v>
      </c>
      <c r="D13190" s="3" t="s">
        <v>221</v>
      </c>
      <c r="E13190" s="3" t="s">
        <v>816</v>
      </c>
      <c r="F13190" s="7">
        <v>46002.37302657545</v>
      </c>
      <c r="G13190" s="3" t="s">
        <v>18572</v>
      </c>
    </row>
    <row r="13191">
      <c r="A13191" s="3" t="s">
        <v>28937</v>
      </c>
      <c r="B13191" s="3" t="s">
        <v>11379</v>
      </c>
      <c r="C13191" s="5" t="s">
        <v>221</v>
      </c>
      <c r="D13191" s="3" t="s">
        <v>614</v>
      </c>
      <c r="E13191" s="3" t="s">
        <v>118</v>
      </c>
      <c r="F13191" s="7">
        <v>46002.37649879767</v>
      </c>
      <c r="G13191" s="3" t="s">
        <v>18575</v>
      </c>
    </row>
    <row r="13192">
      <c r="A13192" s="3" t="s">
        <v>28938</v>
      </c>
      <c r="B13192" s="3" t="s">
        <v>11379</v>
      </c>
      <c r="C13192" s="5" t="s">
        <v>614</v>
      </c>
      <c r="D13192" s="3" t="s">
        <v>206</v>
      </c>
      <c r="E13192" s="3" t="s">
        <v>100</v>
      </c>
      <c r="F13192" s="7">
        <v>46002.379971019895</v>
      </c>
      <c r="G13192" s="3" t="s">
        <v>18578</v>
      </c>
    </row>
    <row r="13193">
      <c r="A13193" s="3" t="s">
        <v>28939</v>
      </c>
      <c r="B13193" s="3" t="s">
        <v>11379</v>
      </c>
      <c r="C13193" s="5" t="s">
        <v>206</v>
      </c>
      <c r="D13193" s="3" t="s">
        <v>68</v>
      </c>
      <c r="E13193" s="3" t="s">
        <v>100</v>
      </c>
      <c r="F13193" s="7">
        <v>46002.38344324211</v>
      </c>
      <c r="G13193" s="3" t="s">
        <v>18581</v>
      </c>
    </row>
    <row r="13194">
      <c r="A13194" s="3" t="s">
        <v>28940</v>
      </c>
      <c r="B13194" s="3" t="s">
        <v>11383</v>
      </c>
      <c r="C13194" s="5" t="s">
        <v>45</v>
      </c>
      <c r="D13194" s="3" t="s">
        <v>221</v>
      </c>
      <c r="E13194" s="3" t="s">
        <v>591</v>
      </c>
      <c r="F13194" s="7">
        <v>46002.44420142086</v>
      </c>
      <c r="G13194" s="3" t="s">
        <v>15958</v>
      </c>
    </row>
    <row r="13195">
      <c r="A13195" s="3" t="s">
        <v>28941</v>
      </c>
      <c r="B13195" s="3" t="s">
        <v>11383</v>
      </c>
      <c r="C13195" s="5" t="s">
        <v>221</v>
      </c>
      <c r="D13195" s="3" t="s">
        <v>614</v>
      </c>
      <c r="E13195" s="3" t="s">
        <v>118</v>
      </c>
      <c r="F13195" s="7">
        <v>46002.44767364308</v>
      </c>
      <c r="G13195" s="3" t="s">
        <v>15961</v>
      </c>
    </row>
    <row r="13196">
      <c r="A13196" s="3" t="s">
        <v>28942</v>
      </c>
      <c r="B13196" s="3" t="s">
        <v>11383</v>
      </c>
      <c r="C13196" s="5" t="s">
        <v>614</v>
      </c>
      <c r="D13196" s="3" t="s">
        <v>206</v>
      </c>
      <c r="E13196" s="3" t="s">
        <v>100</v>
      </c>
      <c r="F13196" s="7">
        <v>46002.45114586531</v>
      </c>
      <c r="G13196" s="3" t="s">
        <v>15964</v>
      </c>
    </row>
    <row r="13197">
      <c r="A13197" s="3" t="s">
        <v>28943</v>
      </c>
      <c r="B13197" s="3" t="s">
        <v>11383</v>
      </c>
      <c r="C13197" s="5" t="s">
        <v>206</v>
      </c>
      <c r="D13197" s="3" t="s">
        <v>68</v>
      </c>
      <c r="E13197" s="3" t="s">
        <v>100</v>
      </c>
      <c r="F13197" s="7">
        <v>46002.454618087526</v>
      </c>
      <c r="G13197" s="3" t="s">
        <v>15967</v>
      </c>
    </row>
    <row r="13198">
      <c r="A13198" s="3" t="s">
        <v>28944</v>
      </c>
      <c r="B13198" s="3" t="s">
        <v>11385</v>
      </c>
      <c r="C13198" s="5" t="s">
        <v>45</v>
      </c>
      <c r="D13198" s="3" t="s">
        <v>221</v>
      </c>
      <c r="E13198" s="3" t="s">
        <v>424</v>
      </c>
      <c r="F13198" s="7">
        <v>46002.515376266274</v>
      </c>
      <c r="G13198" s="3" t="s">
        <v>10291</v>
      </c>
    </row>
    <row r="13199">
      <c r="A13199" s="3" t="s">
        <v>28945</v>
      </c>
      <c r="B13199" s="3" t="s">
        <v>11385</v>
      </c>
      <c r="C13199" s="5" t="s">
        <v>221</v>
      </c>
      <c r="D13199" s="3" t="s">
        <v>614</v>
      </c>
      <c r="E13199" s="3" t="s">
        <v>118</v>
      </c>
      <c r="F13199" s="7">
        <v>46002.51884848849</v>
      </c>
      <c r="G13199" s="3" t="s">
        <v>10294</v>
      </c>
    </row>
    <row r="13200">
      <c r="A13200" s="3" t="s">
        <v>28946</v>
      </c>
      <c r="B13200" s="3" t="s">
        <v>11385</v>
      </c>
      <c r="C13200" s="5" t="s">
        <v>614</v>
      </c>
      <c r="D13200" s="3" t="s">
        <v>206</v>
      </c>
      <c r="E13200" s="3" t="s">
        <v>100</v>
      </c>
      <c r="F13200" s="7">
        <v>46002.52232071072</v>
      </c>
      <c r="G13200" s="3" t="s">
        <v>10296</v>
      </c>
    </row>
    <row r="13201">
      <c r="A13201" s="3" t="s">
        <v>28947</v>
      </c>
      <c r="B13201" s="3" t="s">
        <v>11385</v>
      </c>
      <c r="C13201" s="5" t="s">
        <v>206</v>
      </c>
      <c r="D13201" s="3" t="s">
        <v>68</v>
      </c>
      <c r="E13201" s="3" t="s">
        <v>100</v>
      </c>
      <c r="F13201" s="7">
        <v>46002.52579293294</v>
      </c>
      <c r="G13201" s="3" t="s">
        <v>10299</v>
      </c>
    </row>
    <row r="13202">
      <c r="A13202" s="3" t="s">
        <v>28948</v>
      </c>
      <c r="B13202" s="3" t="s">
        <v>11387</v>
      </c>
      <c r="C13202" s="5" t="s">
        <v>45</v>
      </c>
      <c r="D13202" s="3" t="s">
        <v>221</v>
      </c>
      <c r="E13202" s="3" t="s">
        <v>186</v>
      </c>
      <c r="F13202" s="7">
        <v>46002.58655111169</v>
      </c>
      <c r="G13202" s="3" t="s">
        <v>25401</v>
      </c>
    </row>
    <row r="13203">
      <c r="A13203" s="3" t="s">
        <v>28949</v>
      </c>
      <c r="B13203" s="3" t="s">
        <v>11387</v>
      </c>
      <c r="C13203" s="5" t="s">
        <v>221</v>
      </c>
      <c r="D13203" s="3" t="s">
        <v>614</v>
      </c>
      <c r="E13203" s="3" t="s">
        <v>118</v>
      </c>
      <c r="F13203" s="7">
        <v>46002.59002333391</v>
      </c>
      <c r="G13203" s="3" t="s">
        <v>25403</v>
      </c>
    </row>
    <row r="13204">
      <c r="A13204" s="3" t="s">
        <v>28950</v>
      </c>
      <c r="B13204" s="3" t="s">
        <v>11387</v>
      </c>
      <c r="C13204" s="5" t="s">
        <v>614</v>
      </c>
      <c r="D13204" s="3" t="s">
        <v>206</v>
      </c>
      <c r="E13204" s="3" t="s">
        <v>100</v>
      </c>
      <c r="F13204" s="7">
        <v>46002.59349555614</v>
      </c>
      <c r="G13204" s="3" t="s">
        <v>25405</v>
      </c>
    </row>
    <row r="13205">
      <c r="A13205" s="3" t="s">
        <v>28951</v>
      </c>
      <c r="B13205" s="3" t="s">
        <v>11387</v>
      </c>
      <c r="C13205" s="5" t="s">
        <v>206</v>
      </c>
      <c r="D13205" s="3" t="s">
        <v>68</v>
      </c>
      <c r="E13205" s="3" t="s">
        <v>100</v>
      </c>
      <c r="F13205" s="7">
        <v>46002.59696777836</v>
      </c>
      <c r="G13205" s="3" t="s">
        <v>25407</v>
      </c>
    </row>
    <row r="13206">
      <c r="A13206" s="3" t="s">
        <v>28952</v>
      </c>
      <c r="B13206" s="3" t="s">
        <v>11389</v>
      </c>
      <c r="C13206" s="5" t="s">
        <v>45</v>
      </c>
      <c r="D13206" s="3" t="s">
        <v>221</v>
      </c>
      <c r="E13206" s="3" t="s">
        <v>510</v>
      </c>
      <c r="F13206" s="7">
        <v>46002.65772595711</v>
      </c>
      <c r="G13206" s="3" t="s">
        <v>16144</v>
      </c>
    </row>
    <row r="13207">
      <c r="A13207" s="3" t="s">
        <v>28953</v>
      </c>
      <c r="B13207" s="3" t="s">
        <v>11389</v>
      </c>
      <c r="C13207" s="5" t="s">
        <v>221</v>
      </c>
      <c r="D13207" s="3" t="s">
        <v>614</v>
      </c>
      <c r="E13207" s="3" t="s">
        <v>118</v>
      </c>
      <c r="F13207" s="7">
        <v>46002.66119817933</v>
      </c>
      <c r="G13207" s="3" t="s">
        <v>16147</v>
      </c>
    </row>
    <row r="13208">
      <c r="A13208" s="3" t="s">
        <v>28954</v>
      </c>
      <c r="B13208" s="3" t="s">
        <v>11389</v>
      </c>
      <c r="C13208" s="5" t="s">
        <v>614</v>
      </c>
      <c r="D13208" s="3" t="s">
        <v>206</v>
      </c>
      <c r="E13208" s="3" t="s">
        <v>100</v>
      </c>
      <c r="F13208" s="7">
        <v>46002.66467040156</v>
      </c>
      <c r="G13208" s="3" t="s">
        <v>16150</v>
      </c>
    </row>
    <row r="13209">
      <c r="A13209" s="3" t="s">
        <v>28955</v>
      </c>
      <c r="B13209" s="3" t="s">
        <v>11389</v>
      </c>
      <c r="C13209" s="5" t="s">
        <v>206</v>
      </c>
      <c r="D13209" s="3" t="s">
        <v>68</v>
      </c>
      <c r="E13209" s="3" t="s">
        <v>100</v>
      </c>
      <c r="F13209" s="7">
        <v>46002.66814262378</v>
      </c>
      <c r="G13209" s="3" t="s">
        <v>16153</v>
      </c>
    </row>
    <row r="13210">
      <c r="A13210" s="3" t="s">
        <v>28956</v>
      </c>
      <c r="B13210" s="3" t="s">
        <v>11391</v>
      </c>
      <c r="C13210" s="5" t="s">
        <v>45</v>
      </c>
      <c r="D13210" s="3" t="s">
        <v>221</v>
      </c>
      <c r="E13210" s="3" t="s">
        <v>579</v>
      </c>
      <c r="F13210" s="7">
        <v>46002.72890080252</v>
      </c>
      <c r="G13210" s="3" t="s">
        <v>17376</v>
      </c>
    </row>
    <row r="13211">
      <c r="A13211" s="3" t="s">
        <v>28957</v>
      </c>
      <c r="B13211" s="3" t="s">
        <v>11391</v>
      </c>
      <c r="C13211" s="5" t="s">
        <v>221</v>
      </c>
      <c r="D13211" s="3" t="s">
        <v>614</v>
      </c>
      <c r="E13211" s="3" t="s">
        <v>118</v>
      </c>
      <c r="F13211" s="7">
        <v>46002.73237302474</v>
      </c>
      <c r="G13211" s="3" t="s">
        <v>17379</v>
      </c>
    </row>
    <row r="13212">
      <c r="A13212" s="3" t="s">
        <v>28958</v>
      </c>
      <c r="B13212" s="3" t="s">
        <v>11391</v>
      </c>
      <c r="C13212" s="5" t="s">
        <v>614</v>
      </c>
      <c r="D13212" s="3" t="s">
        <v>206</v>
      </c>
      <c r="E13212" s="3" t="s">
        <v>100</v>
      </c>
      <c r="F13212" s="7">
        <v>46002.73584524696</v>
      </c>
      <c r="G13212" s="3" t="s">
        <v>17382</v>
      </c>
    </row>
    <row r="13213">
      <c r="A13213" s="3" t="s">
        <v>28959</v>
      </c>
      <c r="B13213" s="3" t="s">
        <v>11391</v>
      </c>
      <c r="C13213" s="5" t="s">
        <v>206</v>
      </c>
      <c r="D13213" s="3" t="s">
        <v>68</v>
      </c>
      <c r="E13213" s="3" t="s">
        <v>100</v>
      </c>
      <c r="F13213" s="7">
        <v>46002.73931746918</v>
      </c>
      <c r="G13213" s="3" t="s">
        <v>17385</v>
      </c>
    </row>
    <row r="13214">
      <c r="A13214" s="3" t="s">
        <v>28960</v>
      </c>
      <c r="B13214" s="3" t="s">
        <v>11395</v>
      </c>
      <c r="C13214" s="5" t="s">
        <v>45</v>
      </c>
      <c r="D13214" s="3" t="s">
        <v>221</v>
      </c>
      <c r="E13214" s="3" t="s">
        <v>778</v>
      </c>
      <c r="F13214" s="7">
        <v>46002.80007564794</v>
      </c>
      <c r="G13214" s="3" t="s">
        <v>14568</v>
      </c>
    </row>
    <row r="13215">
      <c r="A13215" s="3" t="s">
        <v>28961</v>
      </c>
      <c r="B13215" s="3" t="s">
        <v>11395</v>
      </c>
      <c r="C13215" s="5" t="s">
        <v>221</v>
      </c>
      <c r="D13215" s="3" t="s">
        <v>614</v>
      </c>
      <c r="E13215" s="3" t="s">
        <v>118</v>
      </c>
      <c r="F13215" s="7">
        <v>46002.80354787016</v>
      </c>
      <c r="G13215" s="3" t="s">
        <v>14571</v>
      </c>
    </row>
    <row r="13216">
      <c r="A13216" s="3" t="s">
        <v>28962</v>
      </c>
      <c r="B13216" s="3" t="s">
        <v>11395</v>
      </c>
      <c r="C13216" s="5" t="s">
        <v>614</v>
      </c>
      <c r="D13216" s="3" t="s">
        <v>206</v>
      </c>
      <c r="E13216" s="3" t="s">
        <v>100</v>
      </c>
      <c r="F13216" s="7">
        <v>46002.80702009238</v>
      </c>
      <c r="G13216" s="3" t="s">
        <v>14574</v>
      </c>
    </row>
    <row r="13217">
      <c r="A13217" s="3" t="s">
        <v>28963</v>
      </c>
      <c r="B13217" s="3" t="s">
        <v>11395</v>
      </c>
      <c r="C13217" s="5" t="s">
        <v>206</v>
      </c>
      <c r="D13217" s="3" t="s">
        <v>68</v>
      </c>
      <c r="E13217" s="3" t="s">
        <v>100</v>
      </c>
      <c r="F13217" s="7">
        <v>46002.8104923146</v>
      </c>
      <c r="G13217" s="3" t="s">
        <v>14577</v>
      </c>
    </row>
    <row r="13218">
      <c r="A13218" s="3" t="s">
        <v>28964</v>
      </c>
      <c r="B13218" s="3" t="s">
        <v>11399</v>
      </c>
      <c r="C13218" s="5" t="s">
        <v>45</v>
      </c>
      <c r="D13218" s="3" t="s">
        <v>221</v>
      </c>
      <c r="E13218" s="3" t="s">
        <v>333</v>
      </c>
      <c r="F13218" s="7">
        <v>46002.87125049336</v>
      </c>
      <c r="G13218" s="3" t="s">
        <v>17388</v>
      </c>
    </row>
    <row r="13219">
      <c r="A13219" s="3" t="s">
        <v>28965</v>
      </c>
      <c r="B13219" s="3" t="s">
        <v>11399</v>
      </c>
      <c r="C13219" s="5" t="s">
        <v>221</v>
      </c>
      <c r="D13219" s="3" t="s">
        <v>614</v>
      </c>
      <c r="E13219" s="3" t="s">
        <v>118</v>
      </c>
      <c r="F13219" s="7">
        <v>46002.874722715576</v>
      </c>
      <c r="G13219" s="3" t="s">
        <v>17391</v>
      </c>
    </row>
    <row r="13220">
      <c r="A13220" s="3" t="s">
        <v>28966</v>
      </c>
      <c r="B13220" s="3" t="s">
        <v>11399</v>
      </c>
      <c r="C13220" s="5" t="s">
        <v>614</v>
      </c>
      <c r="D13220" s="3" t="s">
        <v>206</v>
      </c>
      <c r="E13220" s="3" t="s">
        <v>100</v>
      </c>
      <c r="F13220" s="7">
        <v>46002.8781949378</v>
      </c>
      <c r="G13220" s="3" t="s">
        <v>17393</v>
      </c>
    </row>
    <row r="13221">
      <c r="A13221" s="3" t="s">
        <v>28967</v>
      </c>
      <c r="B13221" s="3" t="s">
        <v>11399</v>
      </c>
      <c r="C13221" s="5" t="s">
        <v>206</v>
      </c>
      <c r="D13221" s="3" t="s">
        <v>68</v>
      </c>
      <c r="E13221" s="3" t="s">
        <v>100</v>
      </c>
      <c r="F13221" s="7">
        <v>46002.88166716002</v>
      </c>
      <c r="G13221" s="3" t="s">
        <v>17396</v>
      </c>
    </row>
    <row r="13222">
      <c r="A13222" s="3" t="s">
        <v>28968</v>
      </c>
      <c r="B13222" s="3" t="s">
        <v>11401</v>
      </c>
      <c r="C13222" s="5" t="s">
        <v>45</v>
      </c>
      <c r="D13222" s="3" t="s">
        <v>221</v>
      </c>
      <c r="E13222" s="3" t="s">
        <v>233</v>
      </c>
      <c r="F13222" s="7">
        <v>46002.94242533877</v>
      </c>
      <c r="G13222" s="3" t="s">
        <v>13734</v>
      </c>
    </row>
    <row r="13223">
      <c r="A13223" s="3" t="s">
        <v>28969</v>
      </c>
      <c r="B13223" s="3" t="s">
        <v>11401</v>
      </c>
      <c r="C13223" s="5" t="s">
        <v>221</v>
      </c>
      <c r="D13223" s="3" t="s">
        <v>614</v>
      </c>
      <c r="E13223" s="3" t="s">
        <v>118</v>
      </c>
      <c r="F13223" s="7">
        <v>46002.94589756099</v>
      </c>
      <c r="G13223" s="3" t="s">
        <v>13737</v>
      </c>
    </row>
    <row r="13224">
      <c r="A13224" s="3" t="s">
        <v>28970</v>
      </c>
      <c r="B13224" s="3" t="s">
        <v>11401</v>
      </c>
      <c r="C13224" s="5" t="s">
        <v>614</v>
      </c>
      <c r="D13224" s="3" t="s">
        <v>206</v>
      </c>
      <c r="E13224" s="3" t="s">
        <v>100</v>
      </c>
      <c r="F13224" s="7">
        <v>46002.949369783215</v>
      </c>
      <c r="G13224" s="3" t="s">
        <v>13740</v>
      </c>
    </row>
    <row r="13225">
      <c r="A13225" s="3" t="s">
        <v>28971</v>
      </c>
      <c r="B13225" s="3" t="s">
        <v>11401</v>
      </c>
      <c r="C13225" s="5" t="s">
        <v>206</v>
      </c>
      <c r="D13225" s="3" t="s">
        <v>68</v>
      </c>
      <c r="E13225" s="3" t="s">
        <v>100</v>
      </c>
      <c r="F13225" s="7">
        <v>46002.952842005434</v>
      </c>
      <c r="G13225" s="3" t="s">
        <v>13743</v>
      </c>
    </row>
    <row r="13226">
      <c r="A13226" s="3" t="s">
        <v>28972</v>
      </c>
      <c r="B13226" s="3" t="s">
        <v>11403</v>
      </c>
      <c r="C13226" s="5" t="s">
        <v>45</v>
      </c>
      <c r="D13226" s="3" t="s">
        <v>221</v>
      </c>
      <c r="E13226" s="3" t="s">
        <v>498</v>
      </c>
      <c r="F13226" s="7">
        <v>46003.01360018418</v>
      </c>
      <c r="G13226" s="3" t="s">
        <v>19050</v>
      </c>
    </row>
    <row r="13227">
      <c r="A13227" s="3" t="s">
        <v>28973</v>
      </c>
      <c r="B13227" s="3" t="s">
        <v>11403</v>
      </c>
      <c r="C13227" s="5" t="s">
        <v>221</v>
      </c>
      <c r="D13227" s="3" t="s">
        <v>614</v>
      </c>
      <c r="E13227" s="3" t="s">
        <v>118</v>
      </c>
      <c r="F13227" s="7">
        <v>46003.0170724064</v>
      </c>
      <c r="G13227" s="3" t="s">
        <v>19053</v>
      </c>
    </row>
    <row r="13228">
      <c r="A13228" s="3" t="s">
        <v>28974</v>
      </c>
      <c r="B13228" s="3" t="s">
        <v>11403</v>
      </c>
      <c r="C13228" s="5" t="s">
        <v>614</v>
      </c>
      <c r="D13228" s="3" t="s">
        <v>206</v>
      </c>
      <c r="E13228" s="3" t="s">
        <v>100</v>
      </c>
      <c r="F13228" s="7">
        <v>46003.02054462863</v>
      </c>
      <c r="G13228" s="3" t="s">
        <v>19056</v>
      </c>
    </row>
    <row r="13229">
      <c r="A13229" s="3" t="s">
        <v>28975</v>
      </c>
      <c r="B13229" s="3" t="s">
        <v>11403</v>
      </c>
      <c r="C13229" s="5" t="s">
        <v>206</v>
      </c>
      <c r="D13229" s="3" t="s">
        <v>68</v>
      </c>
      <c r="E13229" s="3" t="s">
        <v>100</v>
      </c>
      <c r="F13229" s="7">
        <v>46003.024016850846</v>
      </c>
      <c r="G13229" s="3" t="s">
        <v>19059</v>
      </c>
    </row>
    <row r="13230">
      <c r="A13230" s="3" t="s">
        <v>28976</v>
      </c>
      <c r="B13230" s="3" t="s">
        <v>11406</v>
      </c>
      <c r="C13230" s="5" t="s">
        <v>45</v>
      </c>
      <c r="D13230" s="3" t="s">
        <v>221</v>
      </c>
      <c r="E13230" s="3" t="s">
        <v>519</v>
      </c>
      <c r="F13230" s="7">
        <v>46003.0847750296</v>
      </c>
      <c r="G13230" s="3" t="s">
        <v>22316</v>
      </c>
    </row>
    <row r="13231">
      <c r="A13231" s="3" t="s">
        <v>28977</v>
      </c>
      <c r="B13231" s="3" t="s">
        <v>11406</v>
      </c>
      <c r="C13231" s="5" t="s">
        <v>221</v>
      </c>
      <c r="D13231" s="3" t="s">
        <v>614</v>
      </c>
      <c r="E13231" s="3" t="s">
        <v>118</v>
      </c>
      <c r="F13231" s="7">
        <v>46003.08824725182</v>
      </c>
      <c r="G13231" s="3" t="s">
        <v>22319</v>
      </c>
    </row>
    <row r="13232">
      <c r="A13232" s="3" t="s">
        <v>28978</v>
      </c>
      <c r="B13232" s="3" t="s">
        <v>11406</v>
      </c>
      <c r="C13232" s="5" t="s">
        <v>614</v>
      </c>
      <c r="D13232" s="3" t="s">
        <v>206</v>
      </c>
      <c r="E13232" s="3" t="s">
        <v>100</v>
      </c>
      <c r="F13232" s="7">
        <v>46003.09171947405</v>
      </c>
      <c r="G13232" s="3" t="s">
        <v>22322</v>
      </c>
    </row>
    <row r="13233">
      <c r="A13233" s="3" t="s">
        <v>28979</v>
      </c>
      <c r="B13233" s="3" t="s">
        <v>11406</v>
      </c>
      <c r="C13233" s="5" t="s">
        <v>206</v>
      </c>
      <c r="D13233" s="3" t="s">
        <v>68</v>
      </c>
      <c r="E13233" s="3" t="s">
        <v>100</v>
      </c>
      <c r="F13233" s="7">
        <v>46003.095191696266</v>
      </c>
      <c r="G13233" s="3" t="s">
        <v>22325</v>
      </c>
    </row>
    <row r="13234">
      <c r="A13234" s="3" t="s">
        <v>28980</v>
      </c>
      <c r="B13234" s="3" t="s">
        <v>11409</v>
      </c>
      <c r="C13234" s="5" t="s">
        <v>45</v>
      </c>
      <c r="D13234" s="3" t="s">
        <v>221</v>
      </c>
      <c r="E13234" s="3" t="s">
        <v>398</v>
      </c>
      <c r="F13234" s="7">
        <v>46003.155949875014</v>
      </c>
      <c r="G13234" s="3" t="s">
        <v>9523</v>
      </c>
    </row>
    <row r="13235">
      <c r="A13235" s="3" t="s">
        <v>28981</v>
      </c>
      <c r="B13235" s="3" t="s">
        <v>11409</v>
      </c>
      <c r="C13235" s="5" t="s">
        <v>221</v>
      </c>
      <c r="D13235" s="3" t="s">
        <v>614</v>
      </c>
      <c r="E13235" s="3" t="s">
        <v>118</v>
      </c>
      <c r="F13235" s="7">
        <v>46003.15942209723</v>
      </c>
      <c r="G13235" s="3" t="s">
        <v>9526</v>
      </c>
    </row>
    <row r="13236">
      <c r="A13236" s="3" t="s">
        <v>28982</v>
      </c>
      <c r="B13236" s="3" t="s">
        <v>11409</v>
      </c>
      <c r="C13236" s="5" t="s">
        <v>614</v>
      </c>
      <c r="D13236" s="3" t="s">
        <v>206</v>
      </c>
      <c r="E13236" s="3" t="s">
        <v>100</v>
      </c>
      <c r="F13236" s="7">
        <v>46003.16289431946</v>
      </c>
      <c r="G13236" s="3" t="s">
        <v>9529</v>
      </c>
    </row>
    <row r="13237">
      <c r="A13237" s="3" t="s">
        <v>28983</v>
      </c>
      <c r="B13237" s="3" t="s">
        <v>11409</v>
      </c>
      <c r="C13237" s="5" t="s">
        <v>206</v>
      </c>
      <c r="D13237" s="3" t="s">
        <v>68</v>
      </c>
      <c r="E13237" s="3" t="s">
        <v>100</v>
      </c>
      <c r="F13237" s="7">
        <v>46003.16636654168</v>
      </c>
      <c r="G13237" s="3" t="s">
        <v>9532</v>
      </c>
    </row>
    <row r="13238">
      <c r="A13238" s="3" t="s">
        <v>28984</v>
      </c>
      <c r="B13238" s="3" t="s">
        <v>11412</v>
      </c>
      <c r="C13238" s="5" t="s">
        <v>45</v>
      </c>
      <c r="D13238" s="3" t="s">
        <v>221</v>
      </c>
      <c r="E13238" s="3" t="s">
        <v>348</v>
      </c>
      <c r="F13238" s="7">
        <v>46003.227124720426</v>
      </c>
      <c r="G13238" s="3" t="s">
        <v>17315</v>
      </c>
    </row>
    <row r="13239">
      <c r="A13239" s="3" t="s">
        <v>28985</v>
      </c>
      <c r="B13239" s="3" t="s">
        <v>11412</v>
      </c>
      <c r="C13239" s="5" t="s">
        <v>221</v>
      </c>
      <c r="D13239" s="3" t="s">
        <v>181</v>
      </c>
      <c r="E13239" s="3" t="s">
        <v>118</v>
      </c>
      <c r="F13239" s="7">
        <v>46003.230596942645</v>
      </c>
      <c r="G13239" s="3" t="s">
        <v>28986</v>
      </c>
    </row>
    <row r="13240">
      <c r="A13240" s="3" t="s">
        <v>28987</v>
      </c>
      <c r="B13240" s="3" t="s">
        <v>11415</v>
      </c>
      <c r="C13240" s="5" t="s">
        <v>45</v>
      </c>
      <c r="D13240" s="3" t="s">
        <v>221</v>
      </c>
      <c r="E13240" s="3" t="s">
        <v>230</v>
      </c>
      <c r="F13240" s="7">
        <v>46003.298299565846</v>
      </c>
      <c r="G13240" s="3" t="s">
        <v>12915</v>
      </c>
    </row>
    <row r="13241">
      <c r="A13241" s="3" t="s">
        <v>28988</v>
      </c>
      <c r="B13241" s="3" t="s">
        <v>11415</v>
      </c>
      <c r="C13241" s="5" t="s">
        <v>221</v>
      </c>
      <c r="D13241" s="3" t="s">
        <v>614</v>
      </c>
      <c r="E13241" s="3" t="s">
        <v>118</v>
      </c>
      <c r="F13241" s="7">
        <v>46003.301771788065</v>
      </c>
      <c r="G13241" s="3" t="s">
        <v>12918</v>
      </c>
    </row>
    <row r="13242">
      <c r="A13242" s="3" t="s">
        <v>28989</v>
      </c>
      <c r="B13242" s="3" t="s">
        <v>11415</v>
      </c>
      <c r="C13242" s="5" t="s">
        <v>614</v>
      </c>
      <c r="D13242" s="3" t="s">
        <v>206</v>
      </c>
      <c r="E13242" s="3" t="s">
        <v>100</v>
      </c>
      <c r="F13242" s="7">
        <v>46003.30524401029</v>
      </c>
      <c r="G13242" s="3" t="s">
        <v>12922</v>
      </c>
    </row>
    <row r="13243">
      <c r="A13243" s="3" t="s">
        <v>28990</v>
      </c>
      <c r="B13243" s="3" t="s">
        <v>11415</v>
      </c>
      <c r="C13243" s="5" t="s">
        <v>206</v>
      </c>
      <c r="D13243" s="3" t="s">
        <v>68</v>
      </c>
      <c r="E13243" s="3" t="s">
        <v>100</v>
      </c>
      <c r="F13243" s="7">
        <v>46003.30871623251</v>
      </c>
      <c r="G13243" s="3" t="s">
        <v>12925</v>
      </c>
    </row>
    <row r="13244">
      <c r="A13244" s="3" t="s">
        <v>28991</v>
      </c>
      <c r="B13244" s="3" t="s">
        <v>11417</v>
      </c>
      <c r="C13244" s="5" t="s">
        <v>45</v>
      </c>
      <c r="D13244" s="3" t="s">
        <v>221</v>
      </c>
      <c r="E13244" s="3" t="s">
        <v>756</v>
      </c>
      <c r="F13244" s="7">
        <v>46003.36947441126</v>
      </c>
      <c r="G13244" s="3" t="s">
        <v>28992</v>
      </c>
    </row>
    <row r="13245">
      <c r="A13245" s="3" t="s">
        <v>28993</v>
      </c>
      <c r="B13245" s="3" t="s">
        <v>11417</v>
      </c>
      <c r="C13245" s="5" t="s">
        <v>221</v>
      </c>
      <c r="D13245" s="3" t="s">
        <v>614</v>
      </c>
      <c r="E13245" s="3" t="s">
        <v>118</v>
      </c>
      <c r="F13245" s="7">
        <v>46003.37294663348</v>
      </c>
      <c r="G13245" s="3" t="s">
        <v>28994</v>
      </c>
    </row>
    <row r="13246">
      <c r="A13246" s="3" t="s">
        <v>28995</v>
      </c>
      <c r="B13246" s="3" t="s">
        <v>11417</v>
      </c>
      <c r="C13246" s="5" t="s">
        <v>614</v>
      </c>
      <c r="D13246" s="3" t="s">
        <v>206</v>
      </c>
      <c r="E13246" s="3" t="s">
        <v>100</v>
      </c>
      <c r="F13246" s="7">
        <v>46003.3764188557</v>
      </c>
      <c r="G13246" s="3" t="s">
        <v>28996</v>
      </c>
    </row>
    <row r="13247">
      <c r="A13247" s="3" t="s">
        <v>28997</v>
      </c>
      <c r="B13247" s="3" t="s">
        <v>11417</v>
      </c>
      <c r="C13247" s="5" t="s">
        <v>206</v>
      </c>
      <c r="D13247" s="3" t="s">
        <v>68</v>
      </c>
      <c r="E13247" s="3" t="s">
        <v>100</v>
      </c>
      <c r="F13247" s="7">
        <v>46003.37989107792</v>
      </c>
      <c r="G13247" s="3" t="s">
        <v>28998</v>
      </c>
    </row>
    <row r="13248">
      <c r="A13248" s="3" t="s">
        <v>28999</v>
      </c>
      <c r="B13248" s="3" t="s">
        <v>11420</v>
      </c>
      <c r="C13248" s="5" t="s">
        <v>45</v>
      </c>
      <c r="D13248" s="3" t="s">
        <v>221</v>
      </c>
      <c r="E13248" s="3" t="s">
        <v>830</v>
      </c>
      <c r="F13248" s="7">
        <v>46003.44064925667</v>
      </c>
      <c r="G13248" s="3" t="s">
        <v>26908</v>
      </c>
    </row>
    <row r="13249">
      <c r="A13249" s="3" t="s">
        <v>29000</v>
      </c>
      <c r="B13249" s="3" t="s">
        <v>11420</v>
      </c>
      <c r="C13249" s="5" t="s">
        <v>221</v>
      </c>
      <c r="D13249" s="3" t="s">
        <v>614</v>
      </c>
      <c r="E13249" s="3" t="s">
        <v>118</v>
      </c>
      <c r="F13249" s="7">
        <v>46003.44412147889</v>
      </c>
      <c r="G13249" s="3" t="s">
        <v>26910</v>
      </c>
    </row>
    <row r="13250">
      <c r="A13250" s="3" t="s">
        <v>29001</v>
      </c>
      <c r="B13250" s="3" t="s">
        <v>11420</v>
      </c>
      <c r="C13250" s="5" t="s">
        <v>614</v>
      </c>
      <c r="D13250" s="3" t="s">
        <v>206</v>
      </c>
      <c r="E13250" s="3" t="s">
        <v>100</v>
      </c>
      <c r="F13250" s="7">
        <v>46003.447593701116</v>
      </c>
      <c r="G13250" s="3" t="s">
        <v>26912</v>
      </c>
    </row>
    <row r="13251">
      <c r="A13251" s="3" t="s">
        <v>29002</v>
      </c>
      <c r="B13251" s="3" t="s">
        <v>11420</v>
      </c>
      <c r="C13251" s="5" t="s">
        <v>206</v>
      </c>
      <c r="D13251" s="3" t="s">
        <v>68</v>
      </c>
      <c r="E13251" s="3" t="s">
        <v>100</v>
      </c>
      <c r="F13251" s="7">
        <v>46003.451065923335</v>
      </c>
      <c r="G13251" s="3" t="s">
        <v>26914</v>
      </c>
    </row>
    <row r="13252">
      <c r="A13252" s="3" t="s">
        <v>29003</v>
      </c>
      <c r="B13252" s="3" t="s">
        <v>11422</v>
      </c>
      <c r="C13252" s="5" t="s">
        <v>45</v>
      </c>
      <c r="D13252" s="3" t="s">
        <v>221</v>
      </c>
      <c r="E13252" s="3" t="s">
        <v>559</v>
      </c>
      <c r="F13252" s="7">
        <v>46003.51182410209</v>
      </c>
      <c r="G13252" s="3" t="s">
        <v>16238</v>
      </c>
    </row>
    <row r="13253">
      <c r="A13253" s="3" t="s">
        <v>29004</v>
      </c>
      <c r="B13253" s="3" t="s">
        <v>11422</v>
      </c>
      <c r="C13253" s="5" t="s">
        <v>221</v>
      </c>
      <c r="D13253" s="3" t="s">
        <v>181</v>
      </c>
      <c r="E13253" s="3" t="s">
        <v>118</v>
      </c>
      <c r="F13253" s="7">
        <v>46003.51529632431</v>
      </c>
      <c r="G13253" s="3" t="s">
        <v>26755</v>
      </c>
    </row>
    <row r="13254">
      <c r="A13254" s="3" t="s">
        <v>29005</v>
      </c>
      <c r="B13254" s="3" t="s">
        <v>11425</v>
      </c>
      <c r="C13254" s="5" t="s">
        <v>45</v>
      </c>
      <c r="D13254" s="3" t="s">
        <v>221</v>
      </c>
      <c r="E13254" s="3" t="s">
        <v>672</v>
      </c>
      <c r="F13254" s="7">
        <v>46003.58299894751</v>
      </c>
      <c r="G13254" s="3" t="s">
        <v>24737</v>
      </c>
    </row>
    <row r="13255">
      <c r="A13255" s="3" t="s">
        <v>29006</v>
      </c>
      <c r="B13255" s="3" t="s">
        <v>11425</v>
      </c>
      <c r="C13255" s="5" t="s">
        <v>221</v>
      </c>
      <c r="D13255" s="3" t="s">
        <v>614</v>
      </c>
      <c r="E13255" s="3" t="s">
        <v>118</v>
      </c>
      <c r="F13255" s="7">
        <v>46003.58647116973</v>
      </c>
      <c r="G13255" s="3" t="s">
        <v>24739</v>
      </c>
    </row>
    <row r="13256">
      <c r="A13256" s="3" t="s">
        <v>29007</v>
      </c>
      <c r="B13256" s="3" t="s">
        <v>11425</v>
      </c>
      <c r="C13256" s="5" t="s">
        <v>614</v>
      </c>
      <c r="D13256" s="3" t="s">
        <v>206</v>
      </c>
      <c r="E13256" s="3" t="s">
        <v>100</v>
      </c>
      <c r="F13256" s="7">
        <v>46003.589943391955</v>
      </c>
      <c r="G13256" s="3" t="s">
        <v>24741</v>
      </c>
    </row>
    <row r="13257">
      <c r="A13257" s="3" t="s">
        <v>29008</v>
      </c>
      <c r="B13257" s="3" t="s">
        <v>11425</v>
      </c>
      <c r="C13257" s="5" t="s">
        <v>206</v>
      </c>
      <c r="D13257" s="3" t="s">
        <v>68</v>
      </c>
      <c r="E13257" s="3" t="s">
        <v>100</v>
      </c>
      <c r="F13257" s="7">
        <v>46003.593415614174</v>
      </c>
      <c r="G13257" s="3" t="s">
        <v>24743</v>
      </c>
    </row>
    <row r="13258">
      <c r="A13258" s="3" t="s">
        <v>29009</v>
      </c>
      <c r="B13258" s="3" t="s">
        <v>11428</v>
      </c>
      <c r="C13258" s="5" t="s">
        <v>45</v>
      </c>
      <c r="D13258" s="3" t="s">
        <v>221</v>
      </c>
      <c r="E13258" s="3" t="s">
        <v>296</v>
      </c>
      <c r="F13258" s="7">
        <v>46003.654173792915</v>
      </c>
      <c r="G13258" s="3" t="s">
        <v>17431</v>
      </c>
    </row>
    <row r="13259">
      <c r="A13259" s="3" t="s">
        <v>29010</v>
      </c>
      <c r="B13259" s="3" t="s">
        <v>11428</v>
      </c>
      <c r="C13259" s="5" t="s">
        <v>221</v>
      </c>
      <c r="D13259" s="3" t="s">
        <v>614</v>
      </c>
      <c r="E13259" s="3" t="s">
        <v>118</v>
      </c>
      <c r="F13259" s="7">
        <v>46003.657646015134</v>
      </c>
      <c r="G13259" s="3" t="s">
        <v>17435</v>
      </c>
    </row>
    <row r="13260">
      <c r="A13260" s="3" t="s">
        <v>29011</v>
      </c>
      <c r="B13260" s="3" t="s">
        <v>11428</v>
      </c>
      <c r="C13260" s="5" t="s">
        <v>614</v>
      </c>
      <c r="D13260" s="3" t="s">
        <v>206</v>
      </c>
      <c r="E13260" s="3" t="s">
        <v>100</v>
      </c>
      <c r="F13260" s="7">
        <v>46003.66111823736</v>
      </c>
      <c r="G13260" s="3" t="s">
        <v>17438</v>
      </c>
    </row>
    <row r="13261">
      <c r="A13261" s="3" t="s">
        <v>29012</v>
      </c>
      <c r="B13261" s="3" t="s">
        <v>11428</v>
      </c>
      <c r="C13261" s="5" t="s">
        <v>206</v>
      </c>
      <c r="D13261" s="3" t="s">
        <v>68</v>
      </c>
      <c r="E13261" s="3" t="s">
        <v>100</v>
      </c>
      <c r="F13261" s="7">
        <v>46003.66459045958</v>
      </c>
      <c r="G13261" s="3" t="s">
        <v>17440</v>
      </c>
    </row>
    <row r="13262">
      <c r="A13262" s="3" t="s">
        <v>29013</v>
      </c>
      <c r="B13262" s="3" t="s">
        <v>11431</v>
      </c>
      <c r="C13262" s="5" t="s">
        <v>45</v>
      </c>
      <c r="D13262" s="3" t="s">
        <v>221</v>
      </c>
      <c r="E13262" s="3" t="s">
        <v>293</v>
      </c>
      <c r="F13262" s="7">
        <v>46003.725348638334</v>
      </c>
      <c r="G13262" s="3" t="s">
        <v>22859</v>
      </c>
    </row>
    <row r="13263">
      <c r="A13263" s="3" t="s">
        <v>29014</v>
      </c>
      <c r="B13263" s="3" t="s">
        <v>11431</v>
      </c>
      <c r="C13263" s="5" t="s">
        <v>221</v>
      </c>
      <c r="D13263" s="3" t="s">
        <v>614</v>
      </c>
      <c r="E13263" s="3" t="s">
        <v>118</v>
      </c>
      <c r="F13263" s="7">
        <v>46003.72882086055</v>
      </c>
      <c r="G13263" s="3" t="s">
        <v>25383</v>
      </c>
    </row>
    <row r="13264">
      <c r="A13264" s="3" t="s">
        <v>29015</v>
      </c>
      <c r="B13264" s="3" t="s">
        <v>11431</v>
      </c>
      <c r="C13264" s="5" t="s">
        <v>614</v>
      </c>
      <c r="D13264" s="3" t="s">
        <v>206</v>
      </c>
      <c r="E13264" s="3" t="s">
        <v>100</v>
      </c>
      <c r="F13264" s="7">
        <v>46003.73229308278</v>
      </c>
      <c r="G13264" s="3" t="s">
        <v>25385</v>
      </c>
    </row>
    <row r="13265">
      <c r="A13265" s="3" t="s">
        <v>29016</v>
      </c>
      <c r="B13265" s="3" t="s">
        <v>11431</v>
      </c>
      <c r="C13265" s="5" t="s">
        <v>206</v>
      </c>
      <c r="D13265" s="3" t="s">
        <v>68</v>
      </c>
      <c r="E13265" s="3" t="s">
        <v>100</v>
      </c>
      <c r="F13265" s="7">
        <v>46003.735765305</v>
      </c>
      <c r="G13265" s="3" t="s">
        <v>25387</v>
      </c>
    </row>
    <row r="13266">
      <c r="A13266" s="3" t="s">
        <v>29017</v>
      </c>
      <c r="B13266" s="3" t="s">
        <v>11434</v>
      </c>
      <c r="C13266" s="5" t="s">
        <v>45</v>
      </c>
      <c r="D13266" s="3" t="s">
        <v>221</v>
      </c>
      <c r="E13266" s="3" t="s">
        <v>605</v>
      </c>
      <c r="F13266" s="7">
        <v>46003.796523483754</v>
      </c>
      <c r="G13266" s="3" t="s">
        <v>12042</v>
      </c>
    </row>
    <row r="13267">
      <c r="A13267" s="3" t="s">
        <v>29018</v>
      </c>
      <c r="B13267" s="3" t="s">
        <v>11434</v>
      </c>
      <c r="C13267" s="5" t="s">
        <v>221</v>
      </c>
      <c r="D13267" s="3" t="s">
        <v>614</v>
      </c>
      <c r="E13267" s="3" t="s">
        <v>118</v>
      </c>
      <c r="F13267" s="7">
        <v>46003.79999570597</v>
      </c>
      <c r="G13267" s="3" t="s">
        <v>12045</v>
      </c>
    </row>
    <row r="13268">
      <c r="A13268" s="3" t="s">
        <v>29019</v>
      </c>
      <c r="B13268" s="3" t="s">
        <v>11434</v>
      </c>
      <c r="C13268" s="5" t="s">
        <v>614</v>
      </c>
      <c r="D13268" s="3" t="s">
        <v>206</v>
      </c>
      <c r="E13268" s="3" t="s">
        <v>100</v>
      </c>
      <c r="F13268" s="7">
        <v>46003.8034679282</v>
      </c>
      <c r="G13268" s="3" t="s">
        <v>12048</v>
      </c>
    </row>
    <row r="13269">
      <c r="A13269" s="3" t="s">
        <v>29020</v>
      </c>
      <c r="B13269" s="3" t="s">
        <v>11434</v>
      </c>
      <c r="C13269" s="5" t="s">
        <v>206</v>
      </c>
      <c r="D13269" s="3" t="s">
        <v>68</v>
      </c>
      <c r="E13269" s="3" t="s">
        <v>100</v>
      </c>
      <c r="F13269" s="7">
        <v>46003.80694015042</v>
      </c>
      <c r="G13269" s="3" t="s">
        <v>12051</v>
      </c>
    </row>
    <row r="13270">
      <c r="A13270" s="3" t="s">
        <v>29021</v>
      </c>
      <c r="B13270" s="3" t="s">
        <v>11438</v>
      </c>
      <c r="C13270" s="5" t="s">
        <v>45</v>
      </c>
      <c r="D13270" s="3" t="s">
        <v>221</v>
      </c>
      <c r="E13270" s="3" t="s">
        <v>658</v>
      </c>
      <c r="F13270" s="7">
        <v>46003.867698329166</v>
      </c>
      <c r="G13270" s="3" t="s">
        <v>17462</v>
      </c>
    </row>
    <row r="13271">
      <c r="A13271" s="3" t="s">
        <v>29022</v>
      </c>
      <c r="B13271" s="3" t="s">
        <v>11438</v>
      </c>
      <c r="C13271" s="5" t="s">
        <v>221</v>
      </c>
      <c r="D13271" s="3" t="s">
        <v>614</v>
      </c>
      <c r="E13271" s="3" t="s">
        <v>118</v>
      </c>
      <c r="F13271" s="7">
        <v>46003.871170551385</v>
      </c>
      <c r="G13271" s="3" t="s">
        <v>17465</v>
      </c>
    </row>
    <row r="13272">
      <c r="A13272" s="3" t="s">
        <v>29023</v>
      </c>
      <c r="B13272" s="3" t="s">
        <v>11438</v>
      </c>
      <c r="C13272" s="5" t="s">
        <v>614</v>
      </c>
      <c r="D13272" s="3" t="s">
        <v>206</v>
      </c>
      <c r="E13272" s="3" t="s">
        <v>100</v>
      </c>
      <c r="F13272" s="7">
        <v>46003.87464277361</v>
      </c>
      <c r="G13272" s="3" t="s">
        <v>17468</v>
      </c>
    </row>
    <row r="13273">
      <c r="A13273" s="3" t="s">
        <v>29024</v>
      </c>
      <c r="B13273" s="3" t="s">
        <v>11438</v>
      </c>
      <c r="C13273" s="5" t="s">
        <v>206</v>
      </c>
      <c r="D13273" s="3" t="s">
        <v>68</v>
      </c>
      <c r="E13273" s="3" t="s">
        <v>100</v>
      </c>
      <c r="F13273" s="7">
        <v>46003.87811499583</v>
      </c>
      <c r="G13273" s="3" t="s">
        <v>17470</v>
      </c>
    </row>
    <row r="13274">
      <c r="A13274" s="3" t="s">
        <v>29025</v>
      </c>
      <c r="B13274" s="3" t="s">
        <v>11442</v>
      </c>
      <c r="C13274" s="5" t="s">
        <v>45</v>
      </c>
      <c r="D13274" s="3" t="s">
        <v>221</v>
      </c>
      <c r="E13274" s="3" t="s">
        <v>204</v>
      </c>
      <c r="F13274" s="7">
        <v>46003.93887317458</v>
      </c>
      <c r="G13274" s="3" t="s">
        <v>17473</v>
      </c>
    </row>
    <row r="13275">
      <c r="A13275" s="3" t="s">
        <v>29026</v>
      </c>
      <c r="B13275" s="3" t="s">
        <v>11442</v>
      </c>
      <c r="C13275" s="5" t="s">
        <v>221</v>
      </c>
      <c r="D13275" s="3" t="s">
        <v>614</v>
      </c>
      <c r="E13275" s="3" t="s">
        <v>118</v>
      </c>
      <c r="F13275" s="7">
        <v>46003.9423453968</v>
      </c>
      <c r="G13275" s="3" t="s">
        <v>17476</v>
      </c>
    </row>
    <row r="13276">
      <c r="A13276" s="3" t="s">
        <v>29027</v>
      </c>
      <c r="B13276" s="3" t="s">
        <v>11442</v>
      </c>
      <c r="C13276" s="5" t="s">
        <v>614</v>
      </c>
      <c r="D13276" s="3" t="s">
        <v>206</v>
      </c>
      <c r="E13276" s="3" t="s">
        <v>100</v>
      </c>
      <c r="F13276" s="7">
        <v>46003.945817619024</v>
      </c>
      <c r="G13276" s="3" t="s">
        <v>17479</v>
      </c>
    </row>
    <row r="13277">
      <c r="A13277" s="3" t="s">
        <v>29028</v>
      </c>
      <c r="B13277" s="3" t="s">
        <v>11442</v>
      </c>
      <c r="C13277" s="5" t="s">
        <v>206</v>
      </c>
      <c r="D13277" s="3" t="s">
        <v>68</v>
      </c>
      <c r="E13277" s="3" t="s">
        <v>100</v>
      </c>
      <c r="F13277" s="7">
        <v>46003.94928984124</v>
      </c>
      <c r="G13277" s="3" t="s">
        <v>17482</v>
      </c>
    </row>
    <row r="13278">
      <c r="A13278" s="3" t="s">
        <v>29029</v>
      </c>
      <c r="B13278" s="3" t="s">
        <v>11445</v>
      </c>
      <c r="C13278" s="5" t="s">
        <v>45</v>
      </c>
      <c r="D13278" s="3" t="s">
        <v>221</v>
      </c>
      <c r="E13278" s="3" t="s">
        <v>870</v>
      </c>
      <c r="F13278" s="7">
        <v>46004.01004802</v>
      </c>
      <c r="G13278" s="3" t="s">
        <v>10600</v>
      </c>
    </row>
    <row r="13279">
      <c r="A13279" s="3" t="s">
        <v>29030</v>
      </c>
      <c r="B13279" s="3" t="s">
        <v>11445</v>
      </c>
      <c r="C13279" s="5" t="s">
        <v>221</v>
      </c>
      <c r="D13279" s="3" t="s">
        <v>195</v>
      </c>
      <c r="E13279" s="3" t="s">
        <v>870</v>
      </c>
      <c r="F13279" s="7">
        <v>46004.01352024222</v>
      </c>
      <c r="G13279" s="3" t="s">
        <v>29031</v>
      </c>
    </row>
    <row r="13280">
      <c r="A13280" s="3" t="s">
        <v>29032</v>
      </c>
      <c r="B13280" s="3" t="s">
        <v>11447</v>
      </c>
      <c r="C13280" s="5" t="s">
        <v>45</v>
      </c>
      <c r="D13280" s="3" t="s">
        <v>221</v>
      </c>
      <c r="E13280" s="3" t="s">
        <v>669</v>
      </c>
      <c r="F13280" s="7">
        <v>46004.08122286541</v>
      </c>
      <c r="G13280" s="3" t="s">
        <v>7476</v>
      </c>
    </row>
    <row r="13281">
      <c r="A13281" s="3" t="s">
        <v>29033</v>
      </c>
      <c r="B13281" s="3" t="s">
        <v>11447</v>
      </c>
      <c r="C13281" s="5" t="s">
        <v>221</v>
      </c>
      <c r="D13281" s="3" t="s">
        <v>614</v>
      </c>
      <c r="E13281" s="3" t="s">
        <v>118</v>
      </c>
      <c r="F13281" s="7">
        <v>46004.08469508763</v>
      </c>
      <c r="G13281" s="3" t="s">
        <v>7479</v>
      </c>
    </row>
    <row r="13282">
      <c r="A13282" s="3" t="s">
        <v>29034</v>
      </c>
      <c r="B13282" s="3" t="s">
        <v>11447</v>
      </c>
      <c r="C13282" s="5" t="s">
        <v>614</v>
      </c>
      <c r="D13282" s="3" t="s">
        <v>206</v>
      </c>
      <c r="E13282" s="3" t="s">
        <v>100</v>
      </c>
      <c r="F13282" s="7">
        <v>46004.088167309856</v>
      </c>
      <c r="G13282" s="3" t="s">
        <v>7482</v>
      </c>
    </row>
    <row r="13283">
      <c r="A13283" s="3" t="s">
        <v>29035</v>
      </c>
      <c r="B13283" s="3" t="s">
        <v>11447</v>
      </c>
      <c r="C13283" s="5" t="s">
        <v>206</v>
      </c>
      <c r="D13283" s="3" t="s">
        <v>68</v>
      </c>
      <c r="E13283" s="3" t="s">
        <v>100</v>
      </c>
      <c r="F13283" s="7">
        <v>46004.091639532075</v>
      </c>
      <c r="G13283" s="3" t="s">
        <v>7485</v>
      </c>
    </row>
    <row r="13284">
      <c r="A13284" s="3" t="s">
        <v>29036</v>
      </c>
      <c r="B13284" s="3" t="s">
        <v>11450</v>
      </c>
      <c r="C13284" s="5" t="s">
        <v>45</v>
      </c>
      <c r="D13284" s="3" t="s">
        <v>221</v>
      </c>
      <c r="E13284" s="3" t="s">
        <v>436</v>
      </c>
      <c r="F13284" s="7">
        <v>46004.15239771082</v>
      </c>
      <c r="G13284" s="3" t="s">
        <v>7732</v>
      </c>
    </row>
    <row r="13285">
      <c r="A13285" s="3" t="s">
        <v>29037</v>
      </c>
      <c r="B13285" s="3" t="s">
        <v>11450</v>
      </c>
      <c r="C13285" s="5" t="s">
        <v>221</v>
      </c>
      <c r="D13285" s="3" t="s">
        <v>614</v>
      </c>
      <c r="E13285" s="3" t="s">
        <v>118</v>
      </c>
      <c r="F13285" s="7">
        <v>46004.15586993304</v>
      </c>
      <c r="G13285" s="3" t="s">
        <v>7735</v>
      </c>
    </row>
    <row r="13286">
      <c r="A13286" s="3" t="s">
        <v>29038</v>
      </c>
      <c r="B13286" s="3" t="s">
        <v>11450</v>
      </c>
      <c r="C13286" s="5" t="s">
        <v>614</v>
      </c>
      <c r="D13286" s="3" t="s">
        <v>206</v>
      </c>
      <c r="E13286" s="3" t="s">
        <v>100</v>
      </c>
      <c r="F13286" s="7">
        <v>46004.15934215527</v>
      </c>
      <c r="G13286" s="3" t="s">
        <v>7738</v>
      </c>
    </row>
    <row r="13287">
      <c r="A13287" s="3" t="s">
        <v>29039</v>
      </c>
      <c r="B13287" s="3" t="s">
        <v>11450</v>
      </c>
      <c r="C13287" s="5" t="s">
        <v>206</v>
      </c>
      <c r="D13287" s="3" t="s">
        <v>68</v>
      </c>
      <c r="E13287" s="3" t="s">
        <v>100</v>
      </c>
      <c r="F13287" s="7">
        <v>46004.16281437749</v>
      </c>
      <c r="G13287" s="3" t="s">
        <v>7741</v>
      </c>
    </row>
    <row r="13288">
      <c r="A13288" s="3" t="s">
        <v>29040</v>
      </c>
      <c r="B13288" s="3" t="s">
        <v>11452</v>
      </c>
      <c r="C13288" s="5" t="s">
        <v>45</v>
      </c>
      <c r="D13288" s="3" t="s">
        <v>221</v>
      </c>
      <c r="E13288" s="3" t="s">
        <v>658</v>
      </c>
      <c r="F13288" s="7">
        <v>46004.22357255624</v>
      </c>
      <c r="G13288" s="3" t="s">
        <v>29041</v>
      </c>
    </row>
    <row r="13289">
      <c r="A13289" s="3" t="s">
        <v>29042</v>
      </c>
      <c r="B13289" s="3" t="s">
        <v>11452</v>
      </c>
      <c r="C13289" s="5" t="s">
        <v>221</v>
      </c>
      <c r="D13289" s="3" t="s">
        <v>195</v>
      </c>
      <c r="E13289" s="3" t="s">
        <v>658</v>
      </c>
      <c r="F13289" s="7">
        <v>46004.22704477846</v>
      </c>
      <c r="G13289" s="3" t="s">
        <v>29043</v>
      </c>
    </row>
    <row r="13290">
      <c r="A13290" s="3" t="s">
        <v>29044</v>
      </c>
      <c r="B13290" s="3" t="s">
        <v>11455</v>
      </c>
      <c r="C13290" s="5" t="s">
        <v>45</v>
      </c>
      <c r="D13290" s="3" t="s">
        <v>221</v>
      </c>
      <c r="E13290" s="3" t="s">
        <v>947</v>
      </c>
      <c r="F13290" s="7">
        <v>46004.294747401655</v>
      </c>
      <c r="G13290" s="3" t="s">
        <v>17547</v>
      </c>
    </row>
    <row r="13291">
      <c r="A13291" s="3" t="s">
        <v>29045</v>
      </c>
      <c r="B13291" s="3" t="s">
        <v>11455</v>
      </c>
      <c r="C13291" s="5" t="s">
        <v>221</v>
      </c>
      <c r="D13291" s="3" t="s">
        <v>614</v>
      </c>
      <c r="E13291" s="3" t="s">
        <v>118</v>
      </c>
      <c r="F13291" s="7">
        <v>46004.29821962387</v>
      </c>
      <c r="G13291" s="3" t="s">
        <v>17550</v>
      </c>
    </row>
    <row r="13292">
      <c r="A13292" s="3" t="s">
        <v>29046</v>
      </c>
      <c r="B13292" s="3" t="s">
        <v>11455</v>
      </c>
      <c r="C13292" s="5" t="s">
        <v>614</v>
      </c>
      <c r="D13292" s="3" t="s">
        <v>206</v>
      </c>
      <c r="E13292" s="3" t="s">
        <v>100</v>
      </c>
      <c r="F13292" s="7">
        <v>46004.3016918461</v>
      </c>
      <c r="G13292" s="3" t="s">
        <v>17553</v>
      </c>
    </row>
    <row r="13293">
      <c r="A13293" s="3" t="s">
        <v>29047</v>
      </c>
      <c r="B13293" s="3" t="s">
        <v>11455</v>
      </c>
      <c r="C13293" s="5" t="s">
        <v>206</v>
      </c>
      <c r="D13293" s="3" t="s">
        <v>68</v>
      </c>
      <c r="E13293" s="3" t="s">
        <v>100</v>
      </c>
      <c r="F13293" s="7">
        <v>46004.30516406832</v>
      </c>
      <c r="G13293" s="3" t="s">
        <v>17556</v>
      </c>
    </row>
    <row r="13294">
      <c r="A13294" s="3" t="s">
        <v>29048</v>
      </c>
      <c r="B13294" s="3" t="s">
        <v>11458</v>
      </c>
      <c r="C13294" s="5" t="s">
        <v>45</v>
      </c>
      <c r="D13294" s="3" t="s">
        <v>221</v>
      </c>
      <c r="E13294" s="3" t="s">
        <v>527</v>
      </c>
      <c r="F13294" s="7">
        <v>46004.36592224707</v>
      </c>
      <c r="G13294" s="3" t="s">
        <v>29049</v>
      </c>
    </row>
    <row r="13295">
      <c r="A13295" s="3" t="s">
        <v>29050</v>
      </c>
      <c r="B13295" s="3" t="s">
        <v>11458</v>
      </c>
      <c r="C13295" s="5" t="s">
        <v>221</v>
      </c>
      <c r="D13295" s="3" t="s">
        <v>614</v>
      </c>
      <c r="E13295" s="3" t="s">
        <v>118</v>
      </c>
      <c r="F13295" s="7">
        <v>46004.369394469286</v>
      </c>
      <c r="G13295" s="3" t="s">
        <v>29051</v>
      </c>
    </row>
    <row r="13296">
      <c r="A13296" s="3" t="s">
        <v>29052</v>
      </c>
      <c r="B13296" s="3" t="s">
        <v>11458</v>
      </c>
      <c r="C13296" s="5" t="s">
        <v>614</v>
      </c>
      <c r="D13296" s="3" t="s">
        <v>206</v>
      </c>
      <c r="E13296" s="3" t="s">
        <v>100</v>
      </c>
      <c r="F13296" s="7">
        <v>46004.37286669151</v>
      </c>
      <c r="G13296" s="3" t="s">
        <v>29053</v>
      </c>
    </row>
    <row r="13297">
      <c r="A13297" s="3" t="s">
        <v>29054</v>
      </c>
      <c r="B13297" s="3" t="s">
        <v>11458</v>
      </c>
      <c r="C13297" s="5" t="s">
        <v>206</v>
      </c>
      <c r="D13297" s="3" t="s">
        <v>68</v>
      </c>
      <c r="E13297" s="3" t="s">
        <v>100</v>
      </c>
      <c r="F13297" s="7">
        <v>46004.37633891373</v>
      </c>
      <c r="G13297" s="3" t="s">
        <v>29055</v>
      </c>
    </row>
    <row r="13298">
      <c r="A13298" s="3" t="s">
        <v>29056</v>
      </c>
      <c r="B13298" s="3" t="s">
        <v>11462</v>
      </c>
      <c r="C13298" s="5" t="s">
        <v>45</v>
      </c>
      <c r="D13298" s="3" t="s">
        <v>221</v>
      </c>
      <c r="E13298" s="3" t="s">
        <v>165</v>
      </c>
      <c r="F13298" s="7">
        <v>46004.43709709249</v>
      </c>
      <c r="G13298" s="3" t="s">
        <v>24623</v>
      </c>
    </row>
    <row r="13299">
      <c r="A13299" s="3" t="s">
        <v>29057</v>
      </c>
      <c r="B13299" s="3" t="s">
        <v>11462</v>
      </c>
      <c r="C13299" s="5" t="s">
        <v>221</v>
      </c>
      <c r="D13299" s="3" t="s">
        <v>614</v>
      </c>
      <c r="E13299" s="3" t="s">
        <v>118</v>
      </c>
      <c r="F13299" s="7">
        <v>46004.440569314705</v>
      </c>
      <c r="G13299" s="3" t="s">
        <v>24625</v>
      </c>
    </row>
    <row r="13300">
      <c r="A13300" s="3" t="s">
        <v>29058</v>
      </c>
      <c r="B13300" s="3" t="s">
        <v>11462</v>
      </c>
      <c r="C13300" s="5" t="s">
        <v>614</v>
      </c>
      <c r="D13300" s="3" t="s">
        <v>206</v>
      </c>
      <c r="E13300" s="3" t="s">
        <v>100</v>
      </c>
      <c r="F13300" s="7">
        <v>46004.44404153693</v>
      </c>
      <c r="G13300" s="3" t="s">
        <v>24627</v>
      </c>
    </row>
    <row r="13301">
      <c r="A13301" s="3" t="s">
        <v>29059</v>
      </c>
      <c r="B13301" s="3" t="s">
        <v>11462</v>
      </c>
      <c r="C13301" s="5" t="s">
        <v>206</v>
      </c>
      <c r="D13301" s="3" t="s">
        <v>68</v>
      </c>
      <c r="E13301" s="3" t="s">
        <v>100</v>
      </c>
      <c r="F13301" s="7">
        <v>46004.44751375915</v>
      </c>
      <c r="G13301" s="3" t="s">
        <v>24629</v>
      </c>
    </row>
    <row r="13302">
      <c r="A13302" s="3" t="s">
        <v>29060</v>
      </c>
      <c r="B13302" s="3" t="s">
        <v>11465</v>
      </c>
      <c r="C13302" s="5" t="s">
        <v>45</v>
      </c>
      <c r="D13302" s="3" t="s">
        <v>221</v>
      </c>
      <c r="E13302" s="3" t="s">
        <v>197</v>
      </c>
      <c r="F13302" s="7">
        <v>46004.5082719379</v>
      </c>
      <c r="G13302" s="3" t="s">
        <v>17609</v>
      </c>
    </row>
    <row r="13303">
      <c r="A13303" s="3" t="s">
        <v>29061</v>
      </c>
      <c r="B13303" s="3" t="s">
        <v>11465</v>
      </c>
      <c r="C13303" s="5" t="s">
        <v>221</v>
      </c>
      <c r="D13303" s="3" t="s">
        <v>614</v>
      </c>
      <c r="E13303" s="3" t="s">
        <v>118</v>
      </c>
      <c r="F13303" s="7">
        <v>46004.51174416012</v>
      </c>
      <c r="G13303" s="3" t="s">
        <v>17612</v>
      </c>
    </row>
    <row r="13304">
      <c r="A13304" s="3" t="s">
        <v>29062</v>
      </c>
      <c r="B13304" s="3" t="s">
        <v>11465</v>
      </c>
      <c r="C13304" s="5" t="s">
        <v>614</v>
      </c>
      <c r="D13304" s="3" t="s">
        <v>206</v>
      </c>
      <c r="E13304" s="3" t="s">
        <v>100</v>
      </c>
      <c r="F13304" s="7">
        <v>46004.515216382344</v>
      </c>
      <c r="G13304" s="3" t="s">
        <v>17615</v>
      </c>
    </row>
    <row r="13305">
      <c r="A13305" s="3" t="s">
        <v>29063</v>
      </c>
      <c r="B13305" s="3" t="s">
        <v>11465</v>
      </c>
      <c r="C13305" s="5" t="s">
        <v>206</v>
      </c>
      <c r="D13305" s="3" t="s">
        <v>68</v>
      </c>
      <c r="E13305" s="3" t="s">
        <v>100</v>
      </c>
      <c r="F13305" s="7">
        <v>46004.51868860456</v>
      </c>
      <c r="G13305" s="3" t="s">
        <v>17618</v>
      </c>
    </row>
    <row r="13306">
      <c r="A13306" s="3" t="s">
        <v>29064</v>
      </c>
      <c r="B13306" s="3" t="s">
        <v>11469</v>
      </c>
      <c r="C13306" s="5" t="s">
        <v>45</v>
      </c>
      <c r="D13306" s="3" t="s">
        <v>221</v>
      </c>
      <c r="E13306" s="3" t="s">
        <v>652</v>
      </c>
      <c r="F13306" s="7">
        <v>46004.57944678331</v>
      </c>
      <c r="G13306" s="3" t="s">
        <v>16089</v>
      </c>
    </row>
    <row r="13307">
      <c r="A13307" s="3" t="s">
        <v>29065</v>
      </c>
      <c r="B13307" s="3" t="s">
        <v>11469</v>
      </c>
      <c r="C13307" s="5" t="s">
        <v>221</v>
      </c>
      <c r="D13307" s="3" t="s">
        <v>614</v>
      </c>
      <c r="E13307" s="3" t="s">
        <v>118</v>
      </c>
      <c r="F13307" s="7">
        <v>46004.58291900553</v>
      </c>
      <c r="G13307" s="3" t="s">
        <v>16091</v>
      </c>
    </row>
    <row r="13308">
      <c r="A13308" s="3" t="s">
        <v>29066</v>
      </c>
      <c r="B13308" s="3" t="s">
        <v>11469</v>
      </c>
      <c r="C13308" s="5" t="s">
        <v>614</v>
      </c>
      <c r="D13308" s="3" t="s">
        <v>206</v>
      </c>
      <c r="E13308" s="3" t="s">
        <v>100</v>
      </c>
      <c r="F13308" s="7">
        <v>46004.58639122776</v>
      </c>
      <c r="G13308" s="3" t="s">
        <v>16094</v>
      </c>
    </row>
    <row r="13309">
      <c r="A13309" s="3" t="s">
        <v>29067</v>
      </c>
      <c r="B13309" s="3" t="s">
        <v>11469</v>
      </c>
      <c r="C13309" s="5" t="s">
        <v>206</v>
      </c>
      <c r="D13309" s="3" t="s">
        <v>68</v>
      </c>
      <c r="E13309" s="3" t="s">
        <v>100</v>
      </c>
      <c r="F13309" s="7">
        <v>46004.589863449975</v>
      </c>
      <c r="G13309" s="3" t="s">
        <v>16097</v>
      </c>
    </row>
    <row r="13310">
      <c r="A13310" s="3" t="s">
        <v>29068</v>
      </c>
      <c r="B13310" s="3" t="s">
        <v>11472</v>
      </c>
      <c r="C13310" s="5" t="s">
        <v>45</v>
      </c>
      <c r="D13310" s="3" t="s">
        <v>221</v>
      </c>
      <c r="E13310" s="3" t="s">
        <v>629</v>
      </c>
      <c r="F13310" s="7">
        <v>46004.65062162873</v>
      </c>
      <c r="G13310" s="3" t="s">
        <v>12582</v>
      </c>
    </row>
    <row r="13311">
      <c r="A13311" s="3" t="s">
        <v>29069</v>
      </c>
      <c r="B13311" s="3" t="s">
        <v>11472</v>
      </c>
      <c r="C13311" s="5" t="s">
        <v>221</v>
      </c>
      <c r="D13311" s="3" t="s">
        <v>195</v>
      </c>
      <c r="E13311" s="3" t="s">
        <v>629</v>
      </c>
      <c r="F13311" s="7">
        <v>46004.65409385095</v>
      </c>
      <c r="G13311" s="3" t="s">
        <v>29070</v>
      </c>
    </row>
    <row r="13312">
      <c r="A13312" s="3" t="s">
        <v>29071</v>
      </c>
      <c r="B13312" s="3" t="s">
        <v>11475</v>
      </c>
      <c r="C13312" s="5" t="s">
        <v>45</v>
      </c>
      <c r="D13312" s="3" t="s">
        <v>221</v>
      </c>
      <c r="E13312" s="3" t="s">
        <v>536</v>
      </c>
      <c r="F13312" s="7">
        <v>46004.72179647415</v>
      </c>
      <c r="G13312" s="3" t="s">
        <v>17644</v>
      </c>
    </row>
    <row r="13313">
      <c r="A13313" s="3" t="s">
        <v>29072</v>
      </c>
      <c r="B13313" s="3" t="s">
        <v>11475</v>
      </c>
      <c r="C13313" s="5" t="s">
        <v>221</v>
      </c>
      <c r="D13313" s="3" t="s">
        <v>614</v>
      </c>
      <c r="E13313" s="3" t="s">
        <v>118</v>
      </c>
      <c r="F13313" s="7">
        <v>46004.72526869637</v>
      </c>
      <c r="G13313" s="3" t="s">
        <v>17646</v>
      </c>
    </row>
    <row r="13314">
      <c r="A13314" s="3" t="s">
        <v>29073</v>
      </c>
      <c r="B13314" s="3" t="s">
        <v>11475</v>
      </c>
      <c r="C13314" s="5" t="s">
        <v>614</v>
      </c>
      <c r="D13314" s="3" t="s">
        <v>206</v>
      </c>
      <c r="E13314" s="3" t="s">
        <v>100</v>
      </c>
      <c r="F13314" s="7">
        <v>46004.728740918596</v>
      </c>
      <c r="G13314" s="3" t="s">
        <v>17648</v>
      </c>
    </row>
    <row r="13315">
      <c r="A13315" s="3" t="s">
        <v>29074</v>
      </c>
      <c r="B13315" s="3" t="s">
        <v>11475</v>
      </c>
      <c r="C13315" s="5" t="s">
        <v>206</v>
      </c>
      <c r="D13315" s="3" t="s">
        <v>68</v>
      </c>
      <c r="E13315" s="3" t="s">
        <v>100</v>
      </c>
      <c r="F13315" s="7">
        <v>46004.732213140815</v>
      </c>
      <c r="G13315" s="3" t="s">
        <v>17651</v>
      </c>
    </row>
    <row r="13316">
      <c r="A13316" s="3" t="s">
        <v>29075</v>
      </c>
      <c r="B13316" s="3" t="s">
        <v>11476</v>
      </c>
      <c r="C13316" s="5" t="s">
        <v>45</v>
      </c>
      <c r="D13316" s="3" t="s">
        <v>221</v>
      </c>
      <c r="E13316" s="3" t="s">
        <v>440</v>
      </c>
      <c r="F13316" s="7">
        <v>46004.792971319555</v>
      </c>
      <c r="G13316" s="3" t="s">
        <v>17654</v>
      </c>
    </row>
    <row r="13317">
      <c r="A13317" s="3" t="s">
        <v>29076</v>
      </c>
      <c r="B13317" s="3" t="s">
        <v>11476</v>
      </c>
      <c r="C13317" s="5" t="s">
        <v>221</v>
      </c>
      <c r="D13317" s="3" t="s">
        <v>614</v>
      </c>
      <c r="E13317" s="3" t="s">
        <v>118</v>
      </c>
      <c r="F13317" s="7">
        <v>46004.796443541774</v>
      </c>
      <c r="G13317" s="3" t="s">
        <v>17657</v>
      </c>
    </row>
    <row r="13318">
      <c r="A13318" s="3" t="s">
        <v>29077</v>
      </c>
      <c r="B13318" s="3" t="s">
        <v>11476</v>
      </c>
      <c r="C13318" s="5" t="s">
        <v>614</v>
      </c>
      <c r="D13318" s="3" t="s">
        <v>206</v>
      </c>
      <c r="E13318" s="3" t="s">
        <v>100</v>
      </c>
      <c r="F13318" s="7">
        <v>46004.799915764</v>
      </c>
      <c r="G13318" s="3" t="s">
        <v>17660</v>
      </c>
    </row>
    <row r="13319">
      <c r="A13319" s="3" t="s">
        <v>29078</v>
      </c>
      <c r="B13319" s="3" t="s">
        <v>11476</v>
      </c>
      <c r="C13319" s="5" t="s">
        <v>206</v>
      </c>
      <c r="D13319" s="3" t="s">
        <v>68</v>
      </c>
      <c r="E13319" s="3" t="s">
        <v>100</v>
      </c>
      <c r="F13319" s="7">
        <v>46004.80338798622</v>
      </c>
      <c r="G13319" s="3" t="s">
        <v>17663</v>
      </c>
    </row>
    <row r="13320">
      <c r="A13320" s="3" t="s">
        <v>29079</v>
      </c>
      <c r="B13320" s="3" t="s">
        <v>11478</v>
      </c>
      <c r="C13320" s="5" t="s">
        <v>45</v>
      </c>
      <c r="D13320" s="3" t="s">
        <v>221</v>
      </c>
      <c r="E13320" s="3" t="s">
        <v>135</v>
      </c>
      <c r="F13320" s="7">
        <v>46004.864146164975</v>
      </c>
      <c r="G13320" s="3" t="s">
        <v>20276</v>
      </c>
    </row>
    <row r="13321">
      <c r="A13321" s="3" t="s">
        <v>29080</v>
      </c>
      <c r="B13321" s="3" t="s">
        <v>11478</v>
      </c>
      <c r="C13321" s="5" t="s">
        <v>221</v>
      </c>
      <c r="D13321" s="3" t="s">
        <v>181</v>
      </c>
      <c r="E13321" s="3" t="s">
        <v>118</v>
      </c>
      <c r="F13321" s="7">
        <v>46004.867618387194</v>
      </c>
      <c r="G13321" s="3" t="s">
        <v>29081</v>
      </c>
    </row>
    <row r="13322">
      <c r="A13322" s="3" t="s">
        <v>29082</v>
      </c>
      <c r="B13322" s="3" t="s">
        <v>11482</v>
      </c>
      <c r="C13322" s="5" t="s">
        <v>45</v>
      </c>
      <c r="D13322" s="3" t="s">
        <v>221</v>
      </c>
      <c r="E13322" s="3" t="s">
        <v>554</v>
      </c>
      <c r="F13322" s="7">
        <v>46004.935321010395</v>
      </c>
      <c r="G13322" s="3" t="s">
        <v>24877</v>
      </c>
    </row>
    <row r="13323">
      <c r="A13323" s="3" t="s">
        <v>29083</v>
      </c>
      <c r="B13323" s="3" t="s">
        <v>11482</v>
      </c>
      <c r="C13323" s="5" t="s">
        <v>221</v>
      </c>
      <c r="D13323" s="3" t="s">
        <v>614</v>
      </c>
      <c r="E13323" s="3" t="s">
        <v>118</v>
      </c>
      <c r="F13323" s="7">
        <v>46004.93879323261</v>
      </c>
      <c r="G13323" s="3" t="s">
        <v>24879</v>
      </c>
    </row>
    <row r="13324">
      <c r="A13324" s="3" t="s">
        <v>29084</v>
      </c>
      <c r="B13324" s="3" t="s">
        <v>11482</v>
      </c>
      <c r="C13324" s="5" t="s">
        <v>614</v>
      </c>
      <c r="D13324" s="3" t="s">
        <v>206</v>
      </c>
      <c r="E13324" s="3" t="s">
        <v>100</v>
      </c>
      <c r="F13324" s="7">
        <v>46004.94226545484</v>
      </c>
      <c r="G13324" s="3" t="s">
        <v>24881</v>
      </c>
    </row>
    <row r="13325">
      <c r="A13325" s="3" t="s">
        <v>29085</v>
      </c>
      <c r="B13325" s="3" t="s">
        <v>11482</v>
      </c>
      <c r="C13325" s="5" t="s">
        <v>206</v>
      </c>
      <c r="D13325" s="3" t="s">
        <v>68</v>
      </c>
      <c r="E13325" s="3" t="s">
        <v>100</v>
      </c>
      <c r="F13325" s="7">
        <v>46004.94573767706</v>
      </c>
      <c r="G13325" s="3" t="s">
        <v>24883</v>
      </c>
    </row>
    <row r="13326">
      <c r="A13326" s="3" t="s">
        <v>29086</v>
      </c>
      <c r="B13326" s="3" t="s">
        <v>11484</v>
      </c>
      <c r="C13326" s="5" t="s">
        <v>45</v>
      </c>
      <c r="D13326" s="3" t="s">
        <v>221</v>
      </c>
      <c r="E13326" s="3" t="s">
        <v>488</v>
      </c>
      <c r="F13326" s="7">
        <v>46005.00649585581</v>
      </c>
      <c r="G13326" s="3" t="s">
        <v>17687</v>
      </c>
    </row>
    <row r="13327">
      <c r="A13327" s="3" t="s">
        <v>29087</v>
      </c>
      <c r="B13327" s="3" t="s">
        <v>11484</v>
      </c>
      <c r="C13327" s="5" t="s">
        <v>221</v>
      </c>
      <c r="D13327" s="3" t="s">
        <v>614</v>
      </c>
      <c r="E13327" s="3" t="s">
        <v>118</v>
      </c>
      <c r="F13327" s="7">
        <v>46005.009968078026</v>
      </c>
      <c r="G13327" s="3" t="s">
        <v>17690</v>
      </c>
    </row>
    <row r="13328">
      <c r="A13328" s="3" t="s">
        <v>29088</v>
      </c>
      <c r="B13328" s="3" t="s">
        <v>11484</v>
      </c>
      <c r="C13328" s="5" t="s">
        <v>614</v>
      </c>
      <c r="D13328" s="3" t="s">
        <v>206</v>
      </c>
      <c r="E13328" s="3" t="s">
        <v>100</v>
      </c>
      <c r="F13328" s="7">
        <v>46005.01344030025</v>
      </c>
      <c r="G13328" s="3" t="s">
        <v>17693</v>
      </c>
    </row>
    <row r="13329">
      <c r="A13329" s="3" t="s">
        <v>29089</v>
      </c>
      <c r="B13329" s="3" t="s">
        <v>11484</v>
      </c>
      <c r="C13329" s="5" t="s">
        <v>206</v>
      </c>
      <c r="D13329" s="3" t="s">
        <v>68</v>
      </c>
      <c r="E13329" s="3" t="s">
        <v>100</v>
      </c>
      <c r="F13329" s="7">
        <v>46005.01691252247</v>
      </c>
      <c r="G13329" s="3" t="s">
        <v>17696</v>
      </c>
    </row>
    <row r="13330">
      <c r="A13330" s="3" t="s">
        <v>29090</v>
      </c>
      <c r="B13330" s="3" t="s">
        <v>11488</v>
      </c>
      <c r="C13330" s="5" t="s">
        <v>45</v>
      </c>
      <c r="D13330" s="3" t="s">
        <v>221</v>
      </c>
      <c r="E13330" s="3" t="s">
        <v>800</v>
      </c>
      <c r="F13330" s="7">
        <v>46005.07767070122</v>
      </c>
      <c r="G13330" s="3" t="s">
        <v>26268</v>
      </c>
    </row>
    <row r="13331">
      <c r="A13331" s="3" t="s">
        <v>29091</v>
      </c>
      <c r="B13331" s="3" t="s">
        <v>11488</v>
      </c>
      <c r="C13331" s="5" t="s">
        <v>221</v>
      </c>
      <c r="D13331" s="3" t="s">
        <v>614</v>
      </c>
      <c r="E13331" s="3" t="s">
        <v>118</v>
      </c>
      <c r="F13331" s="7">
        <v>46005.08114292344</v>
      </c>
      <c r="G13331" s="3" t="s">
        <v>26270</v>
      </c>
    </row>
    <row r="13332">
      <c r="A13332" s="3" t="s">
        <v>29092</v>
      </c>
      <c r="B13332" s="3" t="s">
        <v>11488</v>
      </c>
      <c r="C13332" s="5" t="s">
        <v>614</v>
      </c>
      <c r="D13332" s="3" t="s">
        <v>206</v>
      </c>
      <c r="E13332" s="3" t="s">
        <v>100</v>
      </c>
      <c r="F13332" s="7">
        <v>46005.084615145664</v>
      </c>
      <c r="G13332" s="3" t="s">
        <v>26272</v>
      </c>
    </row>
    <row r="13333">
      <c r="A13333" s="3" t="s">
        <v>29093</v>
      </c>
      <c r="B13333" s="3" t="s">
        <v>11488</v>
      </c>
      <c r="C13333" s="5" t="s">
        <v>206</v>
      </c>
      <c r="D13333" s="3" t="s">
        <v>68</v>
      </c>
      <c r="E13333" s="3" t="s">
        <v>100</v>
      </c>
      <c r="F13333" s="7">
        <v>46005.08808736788</v>
      </c>
      <c r="G13333" s="3" t="s">
        <v>26274</v>
      </c>
    </row>
    <row r="13334">
      <c r="A13334" s="3" t="s">
        <v>29094</v>
      </c>
      <c r="B13334" s="3" t="s">
        <v>11492</v>
      </c>
      <c r="C13334" s="5" t="s">
        <v>45</v>
      </c>
      <c r="D13334" s="3" t="s">
        <v>221</v>
      </c>
      <c r="E13334" s="3" t="s">
        <v>622</v>
      </c>
      <c r="F13334" s="7">
        <v>46005.14884554664</v>
      </c>
      <c r="G13334" s="3" t="s">
        <v>17706</v>
      </c>
    </row>
    <row r="13335">
      <c r="A13335" s="3" t="s">
        <v>29095</v>
      </c>
      <c r="B13335" s="3" t="s">
        <v>11492</v>
      </c>
      <c r="C13335" s="5" t="s">
        <v>221</v>
      </c>
      <c r="D13335" s="3" t="s">
        <v>614</v>
      </c>
      <c r="E13335" s="3" t="s">
        <v>118</v>
      </c>
      <c r="F13335" s="7">
        <v>46005.15231776886</v>
      </c>
      <c r="G13335" s="3" t="s">
        <v>17709</v>
      </c>
    </row>
    <row r="13336">
      <c r="A13336" s="3" t="s">
        <v>29096</v>
      </c>
      <c r="B13336" s="3" t="s">
        <v>11492</v>
      </c>
      <c r="C13336" s="5" t="s">
        <v>614</v>
      </c>
      <c r="D13336" s="3" t="s">
        <v>206</v>
      </c>
      <c r="E13336" s="3" t="s">
        <v>100</v>
      </c>
      <c r="F13336" s="7">
        <v>46005.155789991084</v>
      </c>
      <c r="G13336" s="3" t="s">
        <v>17712</v>
      </c>
    </row>
    <row r="13337">
      <c r="A13337" s="3" t="s">
        <v>29097</v>
      </c>
      <c r="B13337" s="3" t="s">
        <v>11492</v>
      </c>
      <c r="C13337" s="5" t="s">
        <v>206</v>
      </c>
      <c r="D13337" s="3" t="s">
        <v>68</v>
      </c>
      <c r="E13337" s="3" t="s">
        <v>100</v>
      </c>
      <c r="F13337" s="7">
        <v>46005.1592622133</v>
      </c>
      <c r="G13337" s="3" t="s">
        <v>17715</v>
      </c>
    </row>
    <row r="13338">
      <c r="A13338" s="3" t="s">
        <v>29098</v>
      </c>
      <c r="B13338" s="3" t="s">
        <v>11495</v>
      </c>
      <c r="C13338" s="5" t="s">
        <v>45</v>
      </c>
      <c r="D13338" s="3" t="s">
        <v>221</v>
      </c>
      <c r="E13338" s="3" t="s">
        <v>524</v>
      </c>
      <c r="F13338" s="7">
        <v>46005.22002039205</v>
      </c>
      <c r="G13338" s="3" t="s">
        <v>17724</v>
      </c>
    </row>
    <row r="13339">
      <c r="A13339" s="3" t="s">
        <v>29099</v>
      </c>
      <c r="B13339" s="3" t="s">
        <v>11495</v>
      </c>
      <c r="C13339" s="5" t="s">
        <v>221</v>
      </c>
      <c r="D13339" s="3" t="s">
        <v>614</v>
      </c>
      <c r="E13339" s="3" t="s">
        <v>118</v>
      </c>
      <c r="F13339" s="7">
        <v>46005.22349261427</v>
      </c>
      <c r="G13339" s="3" t="s">
        <v>17727</v>
      </c>
    </row>
    <row r="13340">
      <c r="A13340" s="3" t="s">
        <v>29100</v>
      </c>
      <c r="B13340" s="3" t="s">
        <v>11495</v>
      </c>
      <c r="C13340" s="5" t="s">
        <v>614</v>
      </c>
      <c r="D13340" s="3" t="s">
        <v>206</v>
      </c>
      <c r="E13340" s="3" t="s">
        <v>100</v>
      </c>
      <c r="F13340" s="7">
        <v>46005.226964836496</v>
      </c>
      <c r="G13340" s="3" t="s">
        <v>17730</v>
      </c>
    </row>
    <row r="13341">
      <c r="A13341" s="3" t="s">
        <v>29101</v>
      </c>
      <c r="B13341" s="3" t="s">
        <v>11495</v>
      </c>
      <c r="C13341" s="5" t="s">
        <v>206</v>
      </c>
      <c r="D13341" s="3" t="s">
        <v>68</v>
      </c>
      <c r="E13341" s="3" t="s">
        <v>100</v>
      </c>
      <c r="F13341" s="7">
        <v>46005.230437058715</v>
      </c>
      <c r="G13341" s="3" t="s">
        <v>17733</v>
      </c>
    </row>
    <row r="13342">
      <c r="A13342" s="3" t="s">
        <v>29102</v>
      </c>
      <c r="B13342" s="3" t="s">
        <v>11498</v>
      </c>
      <c r="C13342" s="5" t="s">
        <v>45</v>
      </c>
      <c r="D13342" s="3" t="s">
        <v>221</v>
      </c>
      <c r="E13342" s="3" t="s">
        <v>319</v>
      </c>
      <c r="F13342" s="7">
        <v>46005.29119523746</v>
      </c>
      <c r="G13342" s="3" t="s">
        <v>29103</v>
      </c>
    </row>
    <row r="13343">
      <c r="A13343" s="3" t="s">
        <v>29104</v>
      </c>
      <c r="B13343" s="3" t="s">
        <v>11498</v>
      </c>
      <c r="C13343" s="5" t="s">
        <v>221</v>
      </c>
      <c r="D13343" s="3" t="s">
        <v>181</v>
      </c>
      <c r="E13343" s="3" t="s">
        <v>118</v>
      </c>
      <c r="F13343" s="7">
        <v>46005.29466745968</v>
      </c>
      <c r="G13343" s="3" t="s">
        <v>29105</v>
      </c>
    </row>
    <row r="13344">
      <c r="A13344" s="3" t="s">
        <v>29106</v>
      </c>
      <c r="B13344" s="3" t="s">
        <v>11502</v>
      </c>
      <c r="C13344" s="5" t="s">
        <v>45</v>
      </c>
      <c r="D13344" s="3" t="s">
        <v>221</v>
      </c>
      <c r="E13344" s="3" t="s">
        <v>1011</v>
      </c>
      <c r="F13344" s="7">
        <v>46005.36237008288</v>
      </c>
      <c r="G13344" s="3" t="s">
        <v>2770</v>
      </c>
    </row>
    <row r="13345">
      <c r="A13345" s="3" t="s">
        <v>29107</v>
      </c>
      <c r="B13345" s="3" t="s">
        <v>11502</v>
      </c>
      <c r="C13345" s="5" t="s">
        <v>221</v>
      </c>
      <c r="D13345" s="3" t="s">
        <v>195</v>
      </c>
      <c r="E13345" s="3" t="s">
        <v>1011</v>
      </c>
      <c r="F13345" s="7">
        <v>46005.3658423051</v>
      </c>
      <c r="G13345" s="3" t="s">
        <v>3055</v>
      </c>
    </row>
    <row r="13346">
      <c r="A13346" s="3" t="s">
        <v>29108</v>
      </c>
      <c r="B13346" s="3" t="s">
        <v>11504</v>
      </c>
      <c r="C13346" s="5" t="s">
        <v>45</v>
      </c>
      <c r="D13346" s="3" t="s">
        <v>221</v>
      </c>
      <c r="E13346" s="3" t="s">
        <v>400</v>
      </c>
      <c r="F13346" s="7">
        <v>46005.433544928295</v>
      </c>
      <c r="G13346" s="3" t="s">
        <v>19792</v>
      </c>
    </row>
    <row r="13347">
      <c r="A13347" s="3" t="s">
        <v>29109</v>
      </c>
      <c r="B13347" s="3" t="s">
        <v>11504</v>
      </c>
      <c r="C13347" s="5" t="s">
        <v>221</v>
      </c>
      <c r="D13347" s="3" t="s">
        <v>614</v>
      </c>
      <c r="E13347" s="3" t="s">
        <v>118</v>
      </c>
      <c r="F13347" s="7">
        <v>46005.437017150514</v>
      </c>
      <c r="G13347" s="3" t="s">
        <v>19794</v>
      </c>
    </row>
    <row r="13348">
      <c r="A13348" s="3" t="s">
        <v>29110</v>
      </c>
      <c r="B13348" s="3" t="s">
        <v>11504</v>
      </c>
      <c r="C13348" s="5" t="s">
        <v>614</v>
      </c>
      <c r="D13348" s="3" t="s">
        <v>206</v>
      </c>
      <c r="E13348" s="3" t="s">
        <v>100</v>
      </c>
      <c r="F13348" s="7">
        <v>46005.44048937274</v>
      </c>
      <c r="G13348" s="3" t="s">
        <v>19797</v>
      </c>
    </row>
    <row r="13349">
      <c r="A13349" s="3" t="s">
        <v>29111</v>
      </c>
      <c r="B13349" s="3" t="s">
        <v>11504</v>
      </c>
      <c r="C13349" s="5" t="s">
        <v>206</v>
      </c>
      <c r="D13349" s="3" t="s">
        <v>68</v>
      </c>
      <c r="E13349" s="3" t="s">
        <v>100</v>
      </c>
      <c r="F13349" s="7">
        <v>46005.44396159496</v>
      </c>
      <c r="G13349" s="3" t="s">
        <v>19800</v>
      </c>
    </row>
    <row r="13350">
      <c r="A13350" s="3" t="s">
        <v>29112</v>
      </c>
      <c r="B13350" s="3" t="s">
        <v>11507</v>
      </c>
      <c r="C13350" s="5" t="s">
        <v>45</v>
      </c>
      <c r="D13350" s="3" t="s">
        <v>221</v>
      </c>
      <c r="E13350" s="3" t="s">
        <v>770</v>
      </c>
      <c r="F13350" s="7">
        <v>46005.50471977371</v>
      </c>
      <c r="G13350" s="3" t="s">
        <v>17735</v>
      </c>
    </row>
    <row r="13351">
      <c r="A13351" s="3" t="s">
        <v>29113</v>
      </c>
      <c r="B13351" s="3" t="s">
        <v>11507</v>
      </c>
      <c r="C13351" s="5" t="s">
        <v>221</v>
      </c>
      <c r="D13351" s="3" t="s">
        <v>614</v>
      </c>
      <c r="E13351" s="3" t="s">
        <v>118</v>
      </c>
      <c r="F13351" s="7">
        <v>46005.50819199593</v>
      </c>
      <c r="G13351" s="3" t="s">
        <v>17738</v>
      </c>
    </row>
    <row r="13352">
      <c r="A13352" s="3" t="s">
        <v>29114</v>
      </c>
      <c r="B13352" s="3" t="s">
        <v>11507</v>
      </c>
      <c r="C13352" s="5" t="s">
        <v>614</v>
      </c>
      <c r="D13352" s="3" t="s">
        <v>206</v>
      </c>
      <c r="E13352" s="3" t="s">
        <v>100</v>
      </c>
      <c r="F13352" s="7">
        <v>46005.51166421815</v>
      </c>
      <c r="G13352" s="3" t="s">
        <v>17741</v>
      </c>
    </row>
    <row r="13353">
      <c r="A13353" s="3" t="s">
        <v>29115</v>
      </c>
      <c r="B13353" s="3" t="s">
        <v>11507</v>
      </c>
      <c r="C13353" s="5" t="s">
        <v>206</v>
      </c>
      <c r="D13353" s="3" t="s">
        <v>68</v>
      </c>
      <c r="E13353" s="3" t="s">
        <v>100</v>
      </c>
      <c r="F13353" s="7">
        <v>46005.51513644037</v>
      </c>
      <c r="G13353" s="3" t="s">
        <v>17744</v>
      </c>
    </row>
    <row r="13354">
      <c r="A13354" s="3" t="s">
        <v>29116</v>
      </c>
      <c r="B13354" s="3" t="s">
        <v>11510</v>
      </c>
      <c r="C13354" s="5" t="s">
        <v>45</v>
      </c>
      <c r="D13354" s="3" t="s">
        <v>221</v>
      </c>
      <c r="E13354" s="3" t="s">
        <v>266</v>
      </c>
      <c r="F13354" s="7">
        <v>46005.57589461913</v>
      </c>
      <c r="G13354" s="3" t="s">
        <v>18336</v>
      </c>
    </row>
    <row r="13355">
      <c r="A13355" s="3" t="s">
        <v>29117</v>
      </c>
      <c r="B13355" s="3" t="s">
        <v>11510</v>
      </c>
      <c r="C13355" s="5" t="s">
        <v>221</v>
      </c>
      <c r="D13355" s="3" t="s">
        <v>614</v>
      </c>
      <c r="E13355" s="3" t="s">
        <v>118</v>
      </c>
      <c r="F13355" s="7">
        <v>46005.579366841346</v>
      </c>
      <c r="G13355" s="3" t="s">
        <v>18339</v>
      </c>
    </row>
    <row r="13356">
      <c r="A13356" s="3" t="s">
        <v>29118</v>
      </c>
      <c r="B13356" s="3" t="s">
        <v>11510</v>
      </c>
      <c r="C13356" s="5" t="s">
        <v>614</v>
      </c>
      <c r="D13356" s="3" t="s">
        <v>206</v>
      </c>
      <c r="E13356" s="3" t="s">
        <v>100</v>
      </c>
      <c r="F13356" s="7">
        <v>46005.58283906357</v>
      </c>
      <c r="G13356" s="3" t="s">
        <v>18341</v>
      </c>
    </row>
    <row r="13357">
      <c r="A13357" s="3" t="s">
        <v>29119</v>
      </c>
      <c r="B13357" s="3" t="s">
        <v>11510</v>
      </c>
      <c r="C13357" s="5" t="s">
        <v>206</v>
      </c>
      <c r="D13357" s="3" t="s">
        <v>68</v>
      </c>
      <c r="E13357" s="3" t="s">
        <v>100</v>
      </c>
      <c r="F13357" s="7">
        <v>46005.58631128579</v>
      </c>
      <c r="G13357" s="3" t="s">
        <v>18344</v>
      </c>
    </row>
    <row r="13358">
      <c r="A13358" s="3" t="s">
        <v>29120</v>
      </c>
      <c r="B13358" s="3" t="s">
        <v>11515</v>
      </c>
      <c r="C13358" s="5" t="s">
        <v>45</v>
      </c>
      <c r="D13358" s="3" t="s">
        <v>221</v>
      </c>
      <c r="E13358" s="3" t="s">
        <v>550</v>
      </c>
      <c r="F13358" s="7">
        <v>46005.64706946454</v>
      </c>
      <c r="G13358" s="3" t="s">
        <v>29121</v>
      </c>
    </row>
    <row r="13359">
      <c r="A13359" s="3" t="s">
        <v>29122</v>
      </c>
      <c r="B13359" s="3" t="s">
        <v>11515</v>
      </c>
      <c r="C13359" s="5" t="s">
        <v>221</v>
      </c>
      <c r="D13359" s="3" t="s">
        <v>614</v>
      </c>
      <c r="E13359" s="3" t="s">
        <v>118</v>
      </c>
      <c r="F13359" s="7">
        <v>46005.65054168676</v>
      </c>
      <c r="G13359" s="3" t="s">
        <v>29123</v>
      </c>
    </row>
    <row r="13360">
      <c r="A13360" s="3" t="s">
        <v>29124</v>
      </c>
      <c r="B13360" s="3" t="s">
        <v>11515</v>
      </c>
      <c r="C13360" s="5" t="s">
        <v>614</v>
      </c>
      <c r="D13360" s="3" t="s">
        <v>206</v>
      </c>
      <c r="E13360" s="3" t="s">
        <v>100</v>
      </c>
      <c r="F13360" s="7">
        <v>46005.654013908985</v>
      </c>
      <c r="G13360" s="3" t="s">
        <v>29125</v>
      </c>
    </row>
    <row r="13361">
      <c r="A13361" s="3" t="s">
        <v>29126</v>
      </c>
      <c r="B13361" s="3" t="s">
        <v>11515</v>
      </c>
      <c r="C13361" s="5" t="s">
        <v>206</v>
      </c>
      <c r="D13361" s="3" t="s">
        <v>68</v>
      </c>
      <c r="E13361" s="3" t="s">
        <v>100</v>
      </c>
      <c r="F13361" s="7">
        <v>46005.657486131204</v>
      </c>
      <c r="G13361" s="3" t="s">
        <v>29127</v>
      </c>
    </row>
    <row r="13362">
      <c r="A13362" s="3" t="s">
        <v>29128</v>
      </c>
      <c r="B13362" s="3" t="s">
        <v>11518</v>
      </c>
      <c r="C13362" s="5" t="s">
        <v>45</v>
      </c>
      <c r="D13362" s="3" t="s">
        <v>221</v>
      </c>
      <c r="E13362" s="3" t="s">
        <v>481</v>
      </c>
      <c r="F13362" s="7">
        <v>46005.71824430995</v>
      </c>
      <c r="G13362" s="3" t="s">
        <v>27074</v>
      </c>
    </row>
    <row r="13363">
      <c r="A13363" s="3" t="s">
        <v>29129</v>
      </c>
      <c r="B13363" s="3" t="s">
        <v>11518</v>
      </c>
      <c r="C13363" s="5" t="s">
        <v>221</v>
      </c>
      <c r="D13363" s="3" t="s">
        <v>614</v>
      </c>
      <c r="E13363" s="3" t="s">
        <v>118</v>
      </c>
      <c r="F13363" s="7">
        <v>46005.72171653217</v>
      </c>
      <c r="G13363" s="3" t="s">
        <v>27076</v>
      </c>
    </row>
    <row r="13364">
      <c r="A13364" s="3" t="s">
        <v>29130</v>
      </c>
      <c r="B13364" s="3" t="s">
        <v>11518</v>
      </c>
      <c r="C13364" s="5" t="s">
        <v>614</v>
      </c>
      <c r="D13364" s="3" t="s">
        <v>206</v>
      </c>
      <c r="E13364" s="3" t="s">
        <v>100</v>
      </c>
      <c r="F13364" s="7">
        <v>46005.7251887544</v>
      </c>
      <c r="G13364" s="3" t="s">
        <v>27078</v>
      </c>
    </row>
    <row r="13365">
      <c r="A13365" s="3" t="s">
        <v>29131</v>
      </c>
      <c r="B13365" s="3" t="s">
        <v>11518</v>
      </c>
      <c r="C13365" s="5" t="s">
        <v>206</v>
      </c>
      <c r="D13365" s="3" t="s">
        <v>68</v>
      </c>
      <c r="E13365" s="3" t="s">
        <v>100</v>
      </c>
      <c r="F13365" s="7">
        <v>46005.728660976616</v>
      </c>
      <c r="G13365" s="3" t="s">
        <v>27080</v>
      </c>
    </row>
    <row r="13366">
      <c r="A13366" s="3" t="s">
        <v>29132</v>
      </c>
      <c r="B13366" s="3" t="s">
        <v>11522</v>
      </c>
      <c r="C13366" s="5" t="s">
        <v>45</v>
      </c>
      <c r="D13366" s="3" t="s">
        <v>221</v>
      </c>
      <c r="E13366" s="3" t="s">
        <v>650</v>
      </c>
      <c r="F13366" s="7">
        <v>46005.78941915537</v>
      </c>
      <c r="G13366" s="3" t="s">
        <v>19895</v>
      </c>
    </row>
    <row r="13367">
      <c r="A13367" s="3" t="s">
        <v>29133</v>
      </c>
      <c r="B13367" s="3" t="s">
        <v>11522</v>
      </c>
      <c r="C13367" s="5" t="s">
        <v>221</v>
      </c>
      <c r="D13367" s="3" t="s">
        <v>614</v>
      </c>
      <c r="E13367" s="3" t="s">
        <v>118</v>
      </c>
      <c r="F13367" s="7">
        <v>46005.79289137759</v>
      </c>
      <c r="G13367" s="3" t="s">
        <v>19897</v>
      </c>
    </row>
    <row r="13368">
      <c r="A13368" s="3" t="s">
        <v>29134</v>
      </c>
      <c r="B13368" s="3" t="s">
        <v>11522</v>
      </c>
      <c r="C13368" s="5" t="s">
        <v>614</v>
      </c>
      <c r="D13368" s="3" t="s">
        <v>206</v>
      </c>
      <c r="E13368" s="3" t="s">
        <v>100</v>
      </c>
      <c r="F13368" s="7">
        <v>46005.79636359982</v>
      </c>
      <c r="G13368" s="3" t="s">
        <v>19900</v>
      </c>
    </row>
    <row r="13369">
      <c r="A13369" s="3" t="s">
        <v>29135</v>
      </c>
      <c r="B13369" s="3" t="s">
        <v>11522</v>
      </c>
      <c r="C13369" s="5" t="s">
        <v>206</v>
      </c>
      <c r="D13369" s="3" t="s">
        <v>68</v>
      </c>
      <c r="E13369" s="3" t="s">
        <v>100</v>
      </c>
      <c r="F13369" s="7">
        <v>46005.799835822036</v>
      </c>
      <c r="G13369" s="3" t="s">
        <v>19903</v>
      </c>
    </row>
    <row r="13370">
      <c r="A13370" s="3" t="s">
        <v>29136</v>
      </c>
      <c r="B13370" s="3" t="s">
        <v>11525</v>
      </c>
      <c r="C13370" s="5" t="s">
        <v>45</v>
      </c>
      <c r="D13370" s="3" t="s">
        <v>221</v>
      </c>
      <c r="E13370" s="3" t="s">
        <v>652</v>
      </c>
      <c r="F13370" s="7">
        <v>46005.86059400079</v>
      </c>
      <c r="G13370" s="3" t="s">
        <v>17758</v>
      </c>
    </row>
    <row r="13371">
      <c r="A13371" s="3" t="s">
        <v>29137</v>
      </c>
      <c r="B13371" s="3" t="s">
        <v>11525</v>
      </c>
      <c r="C13371" s="5" t="s">
        <v>221</v>
      </c>
      <c r="D13371" s="3" t="s">
        <v>614</v>
      </c>
      <c r="E13371" s="3" t="s">
        <v>118</v>
      </c>
      <c r="F13371" s="7">
        <v>46005.86406622301</v>
      </c>
      <c r="G13371" s="3" t="s">
        <v>17761</v>
      </c>
    </row>
    <row r="13372">
      <c r="A13372" s="3" t="s">
        <v>29138</v>
      </c>
      <c r="B13372" s="3" t="s">
        <v>11525</v>
      </c>
      <c r="C13372" s="5" t="s">
        <v>614</v>
      </c>
      <c r="D13372" s="3" t="s">
        <v>206</v>
      </c>
      <c r="E13372" s="3" t="s">
        <v>100</v>
      </c>
      <c r="F13372" s="7">
        <v>46005.867538445236</v>
      </c>
      <c r="G13372" s="3" t="s">
        <v>17764</v>
      </c>
    </row>
    <row r="13373">
      <c r="A13373" s="3" t="s">
        <v>29139</v>
      </c>
      <c r="B13373" s="3" t="s">
        <v>11525</v>
      </c>
      <c r="C13373" s="5" t="s">
        <v>206</v>
      </c>
      <c r="D13373" s="3" t="s">
        <v>68</v>
      </c>
      <c r="E13373" s="3" t="s">
        <v>100</v>
      </c>
      <c r="F13373" s="7">
        <v>46005.871010667455</v>
      </c>
      <c r="G13373" s="3" t="s">
        <v>17767</v>
      </c>
    </row>
    <row r="13374">
      <c r="A13374" s="3" t="s">
        <v>29140</v>
      </c>
      <c r="B13374" s="3" t="s">
        <v>11529</v>
      </c>
      <c r="C13374" s="5" t="s">
        <v>45</v>
      </c>
      <c r="D13374" s="3" t="s">
        <v>221</v>
      </c>
      <c r="E13374" s="3" t="s">
        <v>391</v>
      </c>
      <c r="F13374" s="7">
        <v>46005.931768846196</v>
      </c>
      <c r="G13374" s="3" t="s">
        <v>17598</v>
      </c>
    </row>
    <row r="13375">
      <c r="A13375" s="3" t="s">
        <v>29141</v>
      </c>
      <c r="B13375" s="3" t="s">
        <v>11529</v>
      </c>
      <c r="C13375" s="5" t="s">
        <v>221</v>
      </c>
      <c r="D13375" s="3" t="s">
        <v>614</v>
      </c>
      <c r="E13375" s="3" t="s">
        <v>118</v>
      </c>
      <c r="F13375" s="7">
        <v>46005.935241068415</v>
      </c>
      <c r="G13375" s="3" t="s">
        <v>17601</v>
      </c>
    </row>
    <row r="13376">
      <c r="A13376" s="3" t="s">
        <v>29142</v>
      </c>
      <c r="B13376" s="3" t="s">
        <v>11529</v>
      </c>
      <c r="C13376" s="5" t="s">
        <v>614</v>
      </c>
      <c r="D13376" s="3" t="s">
        <v>206</v>
      </c>
      <c r="E13376" s="3" t="s">
        <v>100</v>
      </c>
      <c r="F13376" s="7">
        <v>46005.93871329064</v>
      </c>
      <c r="G13376" s="3" t="s">
        <v>17604</v>
      </c>
    </row>
    <row r="13377">
      <c r="A13377" s="3" t="s">
        <v>29143</v>
      </c>
      <c r="B13377" s="3" t="s">
        <v>11529</v>
      </c>
      <c r="C13377" s="5" t="s">
        <v>206</v>
      </c>
      <c r="D13377" s="3" t="s">
        <v>68</v>
      </c>
      <c r="E13377" s="3" t="s">
        <v>100</v>
      </c>
      <c r="F13377" s="7">
        <v>46005.94218551286</v>
      </c>
      <c r="G13377" s="3" t="s">
        <v>17607</v>
      </c>
    </row>
    <row r="13378">
      <c r="A13378" s="3" t="s">
        <v>29144</v>
      </c>
      <c r="B13378" s="3" t="s">
        <v>11532</v>
      </c>
      <c r="C13378" s="5" t="s">
        <v>45</v>
      </c>
      <c r="D13378" s="3" t="s">
        <v>221</v>
      </c>
      <c r="E13378" s="3" t="s">
        <v>622</v>
      </c>
      <c r="F13378" s="7">
        <v>46006.002943691616</v>
      </c>
      <c r="G13378" s="3" t="s">
        <v>19453</v>
      </c>
    </row>
    <row r="13379">
      <c r="A13379" s="3" t="s">
        <v>29145</v>
      </c>
      <c r="B13379" s="3" t="s">
        <v>11532</v>
      </c>
      <c r="C13379" s="5" t="s">
        <v>221</v>
      </c>
      <c r="D13379" s="3" t="s">
        <v>614</v>
      </c>
      <c r="E13379" s="3" t="s">
        <v>118</v>
      </c>
      <c r="F13379" s="7">
        <v>46006.006415913835</v>
      </c>
      <c r="G13379" s="3" t="s">
        <v>19456</v>
      </c>
    </row>
    <row r="13380">
      <c r="A13380" s="3" t="s">
        <v>29146</v>
      </c>
      <c r="B13380" s="3" t="s">
        <v>11532</v>
      </c>
      <c r="C13380" s="5" t="s">
        <v>614</v>
      </c>
      <c r="D13380" s="3" t="s">
        <v>206</v>
      </c>
      <c r="E13380" s="3" t="s">
        <v>100</v>
      </c>
      <c r="F13380" s="7">
        <v>46006.00988813606</v>
      </c>
      <c r="G13380" s="3" t="s">
        <v>19459</v>
      </c>
    </row>
    <row r="13381">
      <c r="A13381" s="3" t="s">
        <v>29147</v>
      </c>
      <c r="B13381" s="3" t="s">
        <v>11532</v>
      </c>
      <c r="C13381" s="5" t="s">
        <v>206</v>
      </c>
      <c r="D13381" s="3" t="s">
        <v>68</v>
      </c>
      <c r="E13381" s="3" t="s">
        <v>100</v>
      </c>
      <c r="F13381" s="7">
        <v>46006.01336035828</v>
      </c>
      <c r="G13381" s="3" t="s">
        <v>19462</v>
      </c>
    </row>
    <row r="13382">
      <c r="A13382" s="3" t="s">
        <v>29148</v>
      </c>
      <c r="B13382" s="3" t="s">
        <v>11535</v>
      </c>
      <c r="C13382" s="5" t="s">
        <v>45</v>
      </c>
      <c r="D13382" s="3" t="s">
        <v>221</v>
      </c>
      <c r="E13382" s="3" t="s">
        <v>455</v>
      </c>
      <c r="F13382" s="7">
        <v>46006.074118537035</v>
      </c>
      <c r="G13382" s="3" t="s">
        <v>17785</v>
      </c>
    </row>
    <row r="13383">
      <c r="A13383" s="3" t="s">
        <v>29149</v>
      </c>
      <c r="B13383" s="3" t="s">
        <v>11535</v>
      </c>
      <c r="C13383" s="5" t="s">
        <v>221</v>
      </c>
      <c r="D13383" s="3" t="s">
        <v>614</v>
      </c>
      <c r="E13383" s="3" t="s">
        <v>118</v>
      </c>
      <c r="F13383" s="7">
        <v>46006.077590759254</v>
      </c>
      <c r="G13383" s="3" t="s">
        <v>17788</v>
      </c>
    </row>
    <row r="13384">
      <c r="A13384" s="3" t="s">
        <v>29150</v>
      </c>
      <c r="B13384" s="3" t="s">
        <v>11535</v>
      </c>
      <c r="C13384" s="5" t="s">
        <v>614</v>
      </c>
      <c r="D13384" s="3" t="s">
        <v>206</v>
      </c>
      <c r="E13384" s="3" t="s">
        <v>100</v>
      </c>
      <c r="F13384" s="7">
        <v>46006.08106298148</v>
      </c>
      <c r="G13384" s="3" t="s">
        <v>17791</v>
      </c>
    </row>
    <row r="13385">
      <c r="A13385" s="3" t="s">
        <v>29151</v>
      </c>
      <c r="B13385" s="3" t="s">
        <v>11535</v>
      </c>
      <c r="C13385" s="5" t="s">
        <v>206</v>
      </c>
      <c r="D13385" s="3" t="s">
        <v>68</v>
      </c>
      <c r="E13385" s="3" t="s">
        <v>100</v>
      </c>
      <c r="F13385" s="7">
        <v>46006.0845352037</v>
      </c>
      <c r="G13385" s="3" t="s">
        <v>17793</v>
      </c>
    </row>
    <row r="13386">
      <c r="A13386" s="3" t="s">
        <v>29152</v>
      </c>
      <c r="B13386" s="3" t="s">
        <v>11538</v>
      </c>
      <c r="C13386" s="5" t="s">
        <v>45</v>
      </c>
      <c r="D13386" s="3" t="s">
        <v>221</v>
      </c>
      <c r="E13386" s="3" t="s">
        <v>574</v>
      </c>
      <c r="F13386" s="7">
        <v>46006.14529338245</v>
      </c>
      <c r="G13386" s="3" t="s">
        <v>15196</v>
      </c>
    </row>
    <row r="13387">
      <c r="A13387" s="3" t="s">
        <v>29153</v>
      </c>
      <c r="B13387" s="3" t="s">
        <v>11538</v>
      </c>
      <c r="C13387" s="5" t="s">
        <v>221</v>
      </c>
      <c r="D13387" s="3" t="s">
        <v>614</v>
      </c>
      <c r="E13387" s="3" t="s">
        <v>118</v>
      </c>
      <c r="F13387" s="7">
        <v>46006.14876560467</v>
      </c>
      <c r="G13387" s="3" t="s">
        <v>15199</v>
      </c>
    </row>
    <row r="13388">
      <c r="A13388" s="3" t="s">
        <v>29154</v>
      </c>
      <c r="B13388" s="3" t="s">
        <v>11538</v>
      </c>
      <c r="C13388" s="5" t="s">
        <v>614</v>
      </c>
      <c r="D13388" s="3" t="s">
        <v>206</v>
      </c>
      <c r="E13388" s="3" t="s">
        <v>100</v>
      </c>
      <c r="F13388" s="7">
        <v>46006.15223782689</v>
      </c>
      <c r="G13388" s="3" t="s">
        <v>15203</v>
      </c>
    </row>
    <row r="13389">
      <c r="A13389" s="3" t="s">
        <v>29155</v>
      </c>
      <c r="B13389" s="3" t="s">
        <v>11538</v>
      </c>
      <c r="C13389" s="5" t="s">
        <v>206</v>
      </c>
      <c r="D13389" s="3" t="s">
        <v>68</v>
      </c>
      <c r="E13389" s="3" t="s">
        <v>100</v>
      </c>
      <c r="F13389" s="7">
        <v>46006.15571004911</v>
      </c>
      <c r="G13389" s="3" t="s">
        <v>15206</v>
      </c>
    </row>
    <row r="13390">
      <c r="A13390" s="3" t="s">
        <v>29156</v>
      </c>
      <c r="B13390" s="3" t="s">
        <v>11541</v>
      </c>
      <c r="C13390" s="5" t="s">
        <v>45</v>
      </c>
      <c r="D13390" s="3" t="s">
        <v>221</v>
      </c>
      <c r="E13390" s="3" t="s">
        <v>442</v>
      </c>
      <c r="F13390" s="7">
        <v>46006.21646822786</v>
      </c>
      <c r="G13390" s="3" t="s">
        <v>18679</v>
      </c>
    </row>
    <row r="13391">
      <c r="A13391" s="3" t="s">
        <v>29157</v>
      </c>
      <c r="B13391" s="3" t="s">
        <v>11541</v>
      </c>
      <c r="C13391" s="5" t="s">
        <v>221</v>
      </c>
      <c r="D13391" s="3" t="s">
        <v>614</v>
      </c>
      <c r="E13391" s="3" t="s">
        <v>118</v>
      </c>
      <c r="F13391" s="7">
        <v>46006.21994045008</v>
      </c>
      <c r="G13391" s="3" t="s">
        <v>18682</v>
      </c>
    </row>
    <row r="13392">
      <c r="A13392" s="3" t="s">
        <v>29158</v>
      </c>
      <c r="B13392" s="3" t="s">
        <v>11541</v>
      </c>
      <c r="C13392" s="5" t="s">
        <v>614</v>
      </c>
      <c r="D13392" s="3" t="s">
        <v>206</v>
      </c>
      <c r="E13392" s="3" t="s">
        <v>100</v>
      </c>
      <c r="F13392" s="7">
        <v>46006.223412672305</v>
      </c>
      <c r="G13392" s="3" t="s">
        <v>18684</v>
      </c>
    </row>
    <row r="13393">
      <c r="A13393" s="3" t="s">
        <v>29159</v>
      </c>
      <c r="B13393" s="3" t="s">
        <v>11541</v>
      </c>
      <c r="C13393" s="5" t="s">
        <v>206</v>
      </c>
      <c r="D13393" s="3" t="s">
        <v>68</v>
      </c>
      <c r="E13393" s="3" t="s">
        <v>100</v>
      </c>
      <c r="F13393" s="7">
        <v>46006.226884894524</v>
      </c>
      <c r="G13393" s="3" t="s">
        <v>18687</v>
      </c>
    </row>
    <row r="13394">
      <c r="A13394" s="3" t="s">
        <v>29160</v>
      </c>
      <c r="B13394" s="3" t="s">
        <v>11546</v>
      </c>
      <c r="C13394" s="5" t="s">
        <v>45</v>
      </c>
      <c r="D13394" s="3" t="s">
        <v>221</v>
      </c>
      <c r="E13394" s="3" t="s">
        <v>587</v>
      </c>
      <c r="F13394" s="7">
        <v>46006.28764307328</v>
      </c>
      <c r="G13394" s="3" t="s">
        <v>25261</v>
      </c>
    </row>
    <row r="13395">
      <c r="A13395" s="3" t="s">
        <v>29161</v>
      </c>
      <c r="B13395" s="3" t="s">
        <v>11546</v>
      </c>
      <c r="C13395" s="5" t="s">
        <v>221</v>
      </c>
      <c r="D13395" s="3" t="s">
        <v>614</v>
      </c>
      <c r="E13395" s="3" t="s">
        <v>118</v>
      </c>
      <c r="F13395" s="7">
        <v>46006.2911152955</v>
      </c>
      <c r="G13395" s="3" t="s">
        <v>25263</v>
      </c>
    </row>
    <row r="13396">
      <c r="A13396" s="3" t="s">
        <v>29162</v>
      </c>
      <c r="B13396" s="3" t="s">
        <v>11546</v>
      </c>
      <c r="C13396" s="5" t="s">
        <v>614</v>
      </c>
      <c r="D13396" s="3" t="s">
        <v>206</v>
      </c>
      <c r="E13396" s="3" t="s">
        <v>100</v>
      </c>
      <c r="F13396" s="7">
        <v>46006.294587517725</v>
      </c>
      <c r="G13396" s="3" t="s">
        <v>25265</v>
      </c>
    </row>
    <row r="13397">
      <c r="A13397" s="3" t="s">
        <v>29163</v>
      </c>
      <c r="B13397" s="3" t="s">
        <v>11546</v>
      </c>
      <c r="C13397" s="5" t="s">
        <v>206</v>
      </c>
      <c r="D13397" s="3" t="s">
        <v>68</v>
      </c>
      <c r="E13397" s="3" t="s">
        <v>100</v>
      </c>
      <c r="F13397" s="7">
        <v>46006.298059739944</v>
      </c>
      <c r="G13397" s="3" t="s">
        <v>25267</v>
      </c>
    </row>
    <row r="13398">
      <c r="A13398" s="3" t="s">
        <v>29164</v>
      </c>
      <c r="B13398" s="3" t="s">
        <v>11549</v>
      </c>
      <c r="C13398" s="5" t="s">
        <v>45</v>
      </c>
      <c r="D13398" s="3" t="s">
        <v>221</v>
      </c>
      <c r="E13398" s="3" t="s">
        <v>987</v>
      </c>
      <c r="F13398" s="7">
        <v>46006.35881791869</v>
      </c>
      <c r="G13398" s="3" t="s">
        <v>2770</v>
      </c>
    </row>
    <row r="13399">
      <c r="A13399" s="3" t="s">
        <v>29165</v>
      </c>
      <c r="B13399" s="3" t="s">
        <v>11549</v>
      </c>
      <c r="C13399" s="5" t="s">
        <v>221</v>
      </c>
      <c r="D13399" s="3" t="s">
        <v>181</v>
      </c>
      <c r="E13399" s="3" t="s">
        <v>118</v>
      </c>
      <c r="F13399" s="7">
        <v>46006.36229014091</v>
      </c>
      <c r="G13399" s="3" t="s">
        <v>2774</v>
      </c>
    </row>
    <row r="13400">
      <c r="A13400" s="3" t="s">
        <v>29166</v>
      </c>
      <c r="B13400" s="3" t="s">
        <v>11552</v>
      </c>
      <c r="C13400" s="5" t="s">
        <v>45</v>
      </c>
      <c r="D13400" s="3" t="s">
        <v>221</v>
      </c>
      <c r="E13400" s="3" t="s">
        <v>922</v>
      </c>
      <c r="F13400" s="7">
        <v>46006.429992764104</v>
      </c>
      <c r="G13400" s="3" t="s">
        <v>18901</v>
      </c>
    </row>
    <row r="13401">
      <c r="A13401" s="3" t="s">
        <v>29167</v>
      </c>
      <c r="B13401" s="3" t="s">
        <v>11552</v>
      </c>
      <c r="C13401" s="5" t="s">
        <v>221</v>
      </c>
      <c r="D13401" s="3" t="s">
        <v>614</v>
      </c>
      <c r="E13401" s="3" t="s">
        <v>118</v>
      </c>
      <c r="F13401" s="7">
        <v>46006.43346498632</v>
      </c>
      <c r="G13401" s="3" t="s">
        <v>19258</v>
      </c>
    </row>
    <row r="13402">
      <c r="A13402" s="3" t="s">
        <v>29168</v>
      </c>
      <c r="B13402" s="3" t="s">
        <v>11552</v>
      </c>
      <c r="C13402" s="5" t="s">
        <v>614</v>
      </c>
      <c r="D13402" s="3" t="s">
        <v>206</v>
      </c>
      <c r="E13402" s="3" t="s">
        <v>100</v>
      </c>
      <c r="F13402" s="7">
        <v>46006.43693720855</v>
      </c>
      <c r="G13402" s="3" t="s">
        <v>19261</v>
      </c>
    </row>
    <row r="13403">
      <c r="A13403" s="3" t="s">
        <v>29169</v>
      </c>
      <c r="B13403" s="3" t="s">
        <v>11552</v>
      </c>
      <c r="C13403" s="5" t="s">
        <v>206</v>
      </c>
      <c r="D13403" s="3" t="s">
        <v>68</v>
      </c>
      <c r="E13403" s="3" t="s">
        <v>100</v>
      </c>
      <c r="F13403" s="7">
        <v>46006.44040943077</v>
      </c>
      <c r="G13403" s="3" t="s">
        <v>19264</v>
      </c>
    </row>
    <row r="13404">
      <c r="A13404" s="3" t="s">
        <v>29170</v>
      </c>
      <c r="B13404" s="3" t="s">
        <v>11554</v>
      </c>
      <c r="C13404" s="5" t="s">
        <v>45</v>
      </c>
      <c r="D13404" s="3" t="s">
        <v>221</v>
      </c>
      <c r="E13404" s="3" t="s">
        <v>645</v>
      </c>
      <c r="F13404" s="7">
        <v>46006.501167609524</v>
      </c>
      <c r="G13404" s="3" t="s">
        <v>2770</v>
      </c>
    </row>
    <row r="13405">
      <c r="A13405" s="3" t="s">
        <v>29171</v>
      </c>
      <c r="B13405" s="3" t="s">
        <v>11554</v>
      </c>
      <c r="C13405" s="5" t="s">
        <v>221</v>
      </c>
      <c r="D13405" s="3" t="s">
        <v>181</v>
      </c>
      <c r="E13405" s="3" t="s">
        <v>118</v>
      </c>
      <c r="F13405" s="7">
        <v>46006.50463983174</v>
      </c>
      <c r="G13405" s="3" t="s">
        <v>2774</v>
      </c>
    </row>
    <row r="13406">
      <c r="A13406" s="3" t="s">
        <v>29172</v>
      </c>
      <c r="B13406" s="3" t="s">
        <v>11556</v>
      </c>
      <c r="C13406" s="5" t="s">
        <v>45</v>
      </c>
      <c r="D13406" s="3" t="s">
        <v>221</v>
      </c>
      <c r="E13406" s="3" t="s">
        <v>366</v>
      </c>
      <c r="F13406" s="7">
        <v>46006.57234245494</v>
      </c>
      <c r="G13406" s="3" t="s">
        <v>17911</v>
      </c>
    </row>
    <row r="13407">
      <c r="A13407" s="3" t="s">
        <v>29173</v>
      </c>
      <c r="B13407" s="3" t="s">
        <v>11556</v>
      </c>
      <c r="C13407" s="5" t="s">
        <v>221</v>
      </c>
      <c r="D13407" s="3" t="s">
        <v>614</v>
      </c>
      <c r="E13407" s="3" t="s">
        <v>118</v>
      </c>
      <c r="F13407" s="7">
        <v>46006.57581467716</v>
      </c>
      <c r="G13407" s="3" t="s">
        <v>17914</v>
      </c>
    </row>
    <row r="13408">
      <c r="A13408" s="3" t="s">
        <v>29174</v>
      </c>
      <c r="B13408" s="3" t="s">
        <v>11556</v>
      </c>
      <c r="C13408" s="5" t="s">
        <v>614</v>
      </c>
      <c r="D13408" s="3" t="s">
        <v>206</v>
      </c>
      <c r="E13408" s="3" t="s">
        <v>100</v>
      </c>
      <c r="F13408" s="7">
        <v>46006.57928689939</v>
      </c>
      <c r="G13408" s="3" t="s">
        <v>17917</v>
      </c>
    </row>
    <row r="13409">
      <c r="A13409" s="3" t="s">
        <v>29175</v>
      </c>
      <c r="B13409" s="3" t="s">
        <v>11556</v>
      </c>
      <c r="C13409" s="5" t="s">
        <v>206</v>
      </c>
      <c r="D13409" s="3" t="s">
        <v>68</v>
      </c>
      <c r="E13409" s="3" t="s">
        <v>100</v>
      </c>
      <c r="F13409" s="7">
        <v>46006.58275912161</v>
      </c>
      <c r="G13409" s="3" t="s">
        <v>17920</v>
      </c>
    </row>
    <row r="13410">
      <c r="A13410" s="3" t="s">
        <v>29176</v>
      </c>
      <c r="B13410" s="3" t="s">
        <v>11559</v>
      </c>
      <c r="C13410" s="5" t="s">
        <v>45</v>
      </c>
      <c r="D13410" s="3" t="s">
        <v>221</v>
      </c>
      <c r="E13410" s="3" t="s">
        <v>1049</v>
      </c>
      <c r="F13410" s="7">
        <v>46006.64351730035</v>
      </c>
      <c r="G13410" s="3" t="s">
        <v>17975</v>
      </c>
    </row>
    <row r="13411">
      <c r="A13411" s="3" t="s">
        <v>29177</v>
      </c>
      <c r="B13411" s="3" t="s">
        <v>11559</v>
      </c>
      <c r="C13411" s="5" t="s">
        <v>221</v>
      </c>
      <c r="D13411" s="3" t="s">
        <v>614</v>
      </c>
      <c r="E13411" s="3" t="s">
        <v>118</v>
      </c>
      <c r="F13411" s="7">
        <v>46006.64698952257</v>
      </c>
      <c r="G13411" s="3" t="s">
        <v>17978</v>
      </c>
    </row>
    <row r="13412">
      <c r="A13412" s="3" t="s">
        <v>29178</v>
      </c>
      <c r="B13412" s="3" t="s">
        <v>11559</v>
      </c>
      <c r="C13412" s="5" t="s">
        <v>614</v>
      </c>
      <c r="D13412" s="3" t="s">
        <v>206</v>
      </c>
      <c r="E13412" s="3" t="s">
        <v>100</v>
      </c>
      <c r="F13412" s="7">
        <v>46006.65046174479</v>
      </c>
      <c r="G13412" s="3" t="s">
        <v>17981</v>
      </c>
    </row>
    <row r="13413">
      <c r="A13413" s="3" t="s">
        <v>29179</v>
      </c>
      <c r="B13413" s="3" t="s">
        <v>11559</v>
      </c>
      <c r="C13413" s="5" t="s">
        <v>206</v>
      </c>
      <c r="D13413" s="3" t="s">
        <v>68</v>
      </c>
      <c r="E13413" s="3" t="s">
        <v>100</v>
      </c>
      <c r="F13413" s="7">
        <v>46006.65393396701</v>
      </c>
      <c r="G13413" s="3" t="s">
        <v>17983</v>
      </c>
    </row>
    <row r="13414">
      <c r="A13414" s="3" t="s">
        <v>29180</v>
      </c>
      <c r="B13414" s="3" t="s">
        <v>11562</v>
      </c>
      <c r="C13414" s="5" t="s">
        <v>45</v>
      </c>
      <c r="D13414" s="3" t="s">
        <v>221</v>
      </c>
      <c r="E13414" s="3" t="s">
        <v>307</v>
      </c>
      <c r="F13414" s="7">
        <v>46006.71469214577</v>
      </c>
      <c r="G13414" s="3" t="s">
        <v>14018</v>
      </c>
    </row>
    <row r="13415">
      <c r="A13415" s="3" t="s">
        <v>29181</v>
      </c>
      <c r="B13415" s="3" t="s">
        <v>11562</v>
      </c>
      <c r="C13415" s="5" t="s">
        <v>221</v>
      </c>
      <c r="D13415" s="3" t="s">
        <v>614</v>
      </c>
      <c r="E13415" s="3" t="s">
        <v>118</v>
      </c>
      <c r="F13415" s="7">
        <v>46006.71816436799</v>
      </c>
      <c r="G13415" s="3" t="s">
        <v>14021</v>
      </c>
    </row>
    <row r="13416">
      <c r="A13416" s="3" t="s">
        <v>29182</v>
      </c>
      <c r="B13416" s="3" t="s">
        <v>11562</v>
      </c>
      <c r="C13416" s="5" t="s">
        <v>614</v>
      </c>
      <c r="D13416" s="3" t="s">
        <v>206</v>
      </c>
      <c r="E13416" s="3" t="s">
        <v>100</v>
      </c>
      <c r="F13416" s="7">
        <v>46006.72163659021</v>
      </c>
      <c r="G13416" s="3" t="s">
        <v>14024</v>
      </c>
    </row>
    <row r="13417">
      <c r="A13417" s="3" t="s">
        <v>29183</v>
      </c>
      <c r="B13417" s="3" t="s">
        <v>11562</v>
      </c>
      <c r="C13417" s="5" t="s">
        <v>206</v>
      </c>
      <c r="D13417" s="3" t="s">
        <v>68</v>
      </c>
      <c r="E13417" s="3" t="s">
        <v>100</v>
      </c>
      <c r="F13417" s="7">
        <v>46006.72510881243</v>
      </c>
      <c r="G13417" s="3" t="s">
        <v>14026</v>
      </c>
    </row>
    <row r="13418">
      <c r="A13418" s="3" t="s">
        <v>29184</v>
      </c>
      <c r="B13418" s="3" t="s">
        <v>11565</v>
      </c>
      <c r="C13418" s="5" t="s">
        <v>45</v>
      </c>
      <c r="D13418" s="3" t="s">
        <v>221</v>
      </c>
      <c r="E13418" s="3" t="s">
        <v>348</v>
      </c>
      <c r="F13418" s="7">
        <v>46006.78586699118</v>
      </c>
      <c r="G13418" s="3" t="s">
        <v>18246</v>
      </c>
    </row>
    <row r="13419">
      <c r="A13419" s="3" t="s">
        <v>29185</v>
      </c>
      <c r="B13419" s="3" t="s">
        <v>11565</v>
      </c>
      <c r="C13419" s="5" t="s">
        <v>221</v>
      </c>
      <c r="D13419" s="3" t="s">
        <v>181</v>
      </c>
      <c r="E13419" s="3" t="s">
        <v>118</v>
      </c>
      <c r="F13419" s="7">
        <v>46006.7893392134</v>
      </c>
      <c r="G13419" s="3" t="s">
        <v>29186</v>
      </c>
    </row>
    <row r="13420">
      <c r="A13420" s="3" t="s">
        <v>29187</v>
      </c>
      <c r="B13420" s="3" t="s">
        <v>11568</v>
      </c>
      <c r="C13420" s="5" t="s">
        <v>45</v>
      </c>
      <c r="D13420" s="3" t="s">
        <v>221</v>
      </c>
      <c r="E13420" s="3" t="s">
        <v>629</v>
      </c>
      <c r="F13420" s="7">
        <v>46006.8570418366</v>
      </c>
      <c r="G13420" s="3" t="s">
        <v>12582</v>
      </c>
    </row>
    <row r="13421">
      <c r="A13421" s="3" t="s">
        <v>29188</v>
      </c>
      <c r="B13421" s="3" t="s">
        <v>11568</v>
      </c>
      <c r="C13421" s="5" t="s">
        <v>221</v>
      </c>
      <c r="D13421" s="3" t="s">
        <v>614</v>
      </c>
      <c r="E13421" s="3" t="s">
        <v>118</v>
      </c>
      <c r="F13421" s="7">
        <v>46006.86051405882</v>
      </c>
      <c r="G13421" s="3" t="s">
        <v>12585</v>
      </c>
    </row>
    <row r="13422">
      <c r="A13422" s="3" t="s">
        <v>29189</v>
      </c>
      <c r="B13422" s="3" t="s">
        <v>11568</v>
      </c>
      <c r="C13422" s="5" t="s">
        <v>614</v>
      </c>
      <c r="D13422" s="3" t="s">
        <v>206</v>
      </c>
      <c r="E13422" s="3" t="s">
        <v>100</v>
      </c>
      <c r="F13422" s="7">
        <v>46006.863986281045</v>
      </c>
      <c r="G13422" s="3" t="s">
        <v>12588</v>
      </c>
    </row>
    <row r="13423">
      <c r="A13423" s="3" t="s">
        <v>29190</v>
      </c>
      <c r="B13423" s="3" t="s">
        <v>11568</v>
      </c>
      <c r="C13423" s="5" t="s">
        <v>206</v>
      </c>
      <c r="D13423" s="3" t="s">
        <v>68</v>
      </c>
      <c r="E13423" s="3" t="s">
        <v>100</v>
      </c>
      <c r="F13423" s="7">
        <v>46006.867458503264</v>
      </c>
      <c r="G13423" s="3" t="s">
        <v>12591</v>
      </c>
    </row>
    <row r="13424">
      <c r="A13424" s="3" t="s">
        <v>29191</v>
      </c>
      <c r="B13424" s="3" t="s">
        <v>11572</v>
      </c>
      <c r="C13424" s="5" t="s">
        <v>45</v>
      </c>
      <c r="D13424" s="3" t="s">
        <v>221</v>
      </c>
      <c r="E13424" s="3" t="s">
        <v>1049</v>
      </c>
      <c r="F13424" s="7">
        <v>46006.92821668201</v>
      </c>
      <c r="G13424" s="3" t="s">
        <v>18325</v>
      </c>
    </row>
    <row r="13425">
      <c r="A13425" s="3" t="s">
        <v>29192</v>
      </c>
      <c r="B13425" s="3" t="s">
        <v>11572</v>
      </c>
      <c r="C13425" s="5" t="s">
        <v>221</v>
      </c>
      <c r="D13425" s="3" t="s">
        <v>614</v>
      </c>
      <c r="E13425" s="3" t="s">
        <v>118</v>
      </c>
      <c r="F13425" s="7">
        <v>46006.93168890423</v>
      </c>
      <c r="G13425" s="3" t="s">
        <v>18328</v>
      </c>
    </row>
    <row r="13426">
      <c r="A13426" s="3" t="s">
        <v>29193</v>
      </c>
      <c r="B13426" s="3" t="s">
        <v>11572</v>
      </c>
      <c r="C13426" s="5" t="s">
        <v>614</v>
      </c>
      <c r="D13426" s="3" t="s">
        <v>206</v>
      </c>
      <c r="E13426" s="3" t="s">
        <v>100</v>
      </c>
      <c r="F13426" s="7">
        <v>46006.93516112646</v>
      </c>
      <c r="G13426" s="3" t="s">
        <v>18330</v>
      </c>
    </row>
    <row r="13427">
      <c r="A13427" s="3" t="s">
        <v>29194</v>
      </c>
      <c r="B13427" s="3" t="s">
        <v>11572</v>
      </c>
      <c r="C13427" s="5" t="s">
        <v>206</v>
      </c>
      <c r="D13427" s="3" t="s">
        <v>68</v>
      </c>
      <c r="E13427" s="3" t="s">
        <v>100</v>
      </c>
      <c r="F13427" s="7">
        <v>46006.93863334868</v>
      </c>
      <c r="G13427" s="3" t="s">
        <v>18333</v>
      </c>
    </row>
    <row r="13428">
      <c r="A13428" s="3" t="s">
        <v>29195</v>
      </c>
      <c r="B13428" s="3" t="s">
        <v>11576</v>
      </c>
      <c r="C13428" s="5" t="s">
        <v>45</v>
      </c>
      <c r="D13428" s="3" t="s">
        <v>221</v>
      </c>
      <c r="E13428" s="3" t="s">
        <v>282</v>
      </c>
      <c r="F13428" s="7">
        <v>46006.99939152743</v>
      </c>
      <c r="G13428" s="3" t="s">
        <v>19035</v>
      </c>
    </row>
    <row r="13429">
      <c r="A13429" s="3" t="s">
        <v>29196</v>
      </c>
      <c r="B13429" s="3" t="s">
        <v>11576</v>
      </c>
      <c r="C13429" s="5" t="s">
        <v>221</v>
      </c>
      <c r="D13429" s="3" t="s">
        <v>614</v>
      </c>
      <c r="E13429" s="3" t="s">
        <v>118</v>
      </c>
      <c r="F13429" s="7">
        <v>46007.00286374965</v>
      </c>
      <c r="G13429" s="3" t="s">
        <v>19038</v>
      </c>
    </row>
    <row r="13430">
      <c r="A13430" s="3" t="s">
        <v>29197</v>
      </c>
      <c r="B13430" s="3" t="s">
        <v>11576</v>
      </c>
      <c r="C13430" s="5" t="s">
        <v>614</v>
      </c>
      <c r="D13430" s="3" t="s">
        <v>206</v>
      </c>
      <c r="E13430" s="3" t="s">
        <v>100</v>
      </c>
      <c r="F13430" s="7">
        <v>46007.00633597188</v>
      </c>
      <c r="G13430" s="3" t="s">
        <v>19041</v>
      </c>
    </row>
    <row r="13431">
      <c r="A13431" s="3" t="s">
        <v>29198</v>
      </c>
      <c r="B13431" s="3" t="s">
        <v>11576</v>
      </c>
      <c r="C13431" s="5" t="s">
        <v>206</v>
      </c>
      <c r="D13431" s="3" t="s">
        <v>68</v>
      </c>
      <c r="E13431" s="3" t="s">
        <v>100</v>
      </c>
      <c r="F13431" s="7">
        <v>46007.009808194096</v>
      </c>
      <c r="G13431" s="3" t="s">
        <v>19044</v>
      </c>
    </row>
    <row r="13432">
      <c r="A13432" s="3" t="s">
        <v>29199</v>
      </c>
      <c r="B13432" s="3" t="s">
        <v>11579</v>
      </c>
      <c r="C13432" s="5" t="s">
        <v>45</v>
      </c>
      <c r="D13432" s="3" t="s">
        <v>221</v>
      </c>
      <c r="E13432" s="3" t="s">
        <v>785</v>
      </c>
      <c r="F13432" s="7">
        <v>46007.07056637284</v>
      </c>
      <c r="G13432" s="3" t="s">
        <v>24055</v>
      </c>
    </row>
    <row r="13433">
      <c r="A13433" s="3" t="s">
        <v>29200</v>
      </c>
      <c r="B13433" s="3" t="s">
        <v>11579</v>
      </c>
      <c r="C13433" s="5" t="s">
        <v>221</v>
      </c>
      <c r="D13433" s="3" t="s">
        <v>614</v>
      </c>
      <c r="E13433" s="3" t="s">
        <v>118</v>
      </c>
      <c r="F13433" s="7">
        <v>46007.074038595056</v>
      </c>
      <c r="G13433" s="3" t="s">
        <v>24057</v>
      </c>
    </row>
    <row r="13434">
      <c r="A13434" s="3" t="s">
        <v>29201</v>
      </c>
      <c r="B13434" s="3" t="s">
        <v>11579</v>
      </c>
      <c r="C13434" s="5" t="s">
        <v>614</v>
      </c>
      <c r="D13434" s="3" t="s">
        <v>206</v>
      </c>
      <c r="E13434" s="3" t="s">
        <v>100</v>
      </c>
      <c r="F13434" s="7">
        <v>46007.07751081728</v>
      </c>
      <c r="G13434" s="3" t="s">
        <v>24059</v>
      </c>
    </row>
    <row r="13435">
      <c r="A13435" s="3" t="s">
        <v>29202</v>
      </c>
      <c r="B13435" s="3" t="s">
        <v>11579</v>
      </c>
      <c r="C13435" s="5" t="s">
        <v>206</v>
      </c>
      <c r="D13435" s="3" t="s">
        <v>68</v>
      </c>
      <c r="E13435" s="3" t="s">
        <v>100</v>
      </c>
      <c r="F13435" s="7">
        <v>46007.0809830395</v>
      </c>
      <c r="G13435" s="3" t="s">
        <v>24061</v>
      </c>
    </row>
    <row r="13436">
      <c r="A13436" s="3" t="s">
        <v>29203</v>
      </c>
      <c r="B13436" s="3" t="s">
        <v>11582</v>
      </c>
      <c r="C13436" s="5" t="s">
        <v>45</v>
      </c>
      <c r="D13436" s="3" t="s">
        <v>221</v>
      </c>
      <c r="E13436" s="3" t="s">
        <v>637</v>
      </c>
      <c r="F13436" s="7">
        <v>46007.141741218256</v>
      </c>
      <c r="G13436" s="3" t="s">
        <v>15491</v>
      </c>
    </row>
    <row r="13437">
      <c r="A13437" s="3" t="s">
        <v>29204</v>
      </c>
      <c r="B13437" s="3" t="s">
        <v>11582</v>
      </c>
      <c r="C13437" s="5" t="s">
        <v>221</v>
      </c>
      <c r="D13437" s="3" t="s">
        <v>181</v>
      </c>
      <c r="E13437" s="3" t="s">
        <v>118</v>
      </c>
      <c r="F13437" s="7">
        <v>46007.145213440475</v>
      </c>
      <c r="G13437" s="3" t="s">
        <v>29205</v>
      </c>
    </row>
    <row r="13438">
      <c r="A13438" s="3" t="s">
        <v>29206</v>
      </c>
      <c r="B13438" s="3" t="s">
        <v>11586</v>
      </c>
      <c r="C13438" s="5" t="s">
        <v>45</v>
      </c>
      <c r="D13438" s="3" t="s">
        <v>221</v>
      </c>
      <c r="E13438" s="3" t="s">
        <v>546</v>
      </c>
      <c r="F13438" s="7">
        <v>46007.212916063676</v>
      </c>
      <c r="G13438" s="3" t="s">
        <v>26300</v>
      </c>
    </row>
    <row r="13439">
      <c r="A13439" s="3" t="s">
        <v>29207</v>
      </c>
      <c r="B13439" s="3" t="s">
        <v>11586</v>
      </c>
      <c r="C13439" s="5" t="s">
        <v>221</v>
      </c>
      <c r="D13439" s="3" t="s">
        <v>614</v>
      </c>
      <c r="E13439" s="3" t="s">
        <v>118</v>
      </c>
      <c r="F13439" s="7">
        <v>46007.216388285895</v>
      </c>
      <c r="G13439" s="3" t="s">
        <v>26302</v>
      </c>
    </row>
    <row r="13440">
      <c r="A13440" s="3" t="s">
        <v>29208</v>
      </c>
      <c r="B13440" s="3" t="s">
        <v>11586</v>
      </c>
      <c r="C13440" s="5" t="s">
        <v>614</v>
      </c>
      <c r="D13440" s="3" t="s">
        <v>206</v>
      </c>
      <c r="E13440" s="3" t="s">
        <v>100</v>
      </c>
      <c r="F13440" s="7">
        <v>46007.21986050812</v>
      </c>
      <c r="G13440" s="3" t="s">
        <v>26304</v>
      </c>
    </row>
    <row r="13441">
      <c r="A13441" s="3" t="s">
        <v>29209</v>
      </c>
      <c r="B13441" s="3" t="s">
        <v>11586</v>
      </c>
      <c r="C13441" s="5" t="s">
        <v>206</v>
      </c>
      <c r="D13441" s="3" t="s">
        <v>68</v>
      </c>
      <c r="E13441" s="3" t="s">
        <v>100</v>
      </c>
      <c r="F13441" s="7">
        <v>46007.22333273034</v>
      </c>
      <c r="G13441" s="3" t="s">
        <v>26306</v>
      </c>
    </row>
    <row r="13442">
      <c r="A13442" s="3" t="s">
        <v>29210</v>
      </c>
      <c r="B13442" s="3" t="s">
        <v>11589</v>
      </c>
      <c r="C13442" s="5" t="s">
        <v>45</v>
      </c>
      <c r="D13442" s="3" t="s">
        <v>221</v>
      </c>
      <c r="E13442" s="3" t="s">
        <v>333</v>
      </c>
      <c r="F13442" s="7">
        <v>46007.28409090909</v>
      </c>
      <c r="G13442" s="3" t="s">
        <v>29211</v>
      </c>
    </row>
    <row r="13443">
      <c r="A13443" s="3" t="s">
        <v>29212</v>
      </c>
      <c r="B13443" s="3" t="s">
        <v>11589</v>
      </c>
      <c r="C13443" s="5" t="s">
        <v>221</v>
      </c>
      <c r="D13443" s="3" t="s">
        <v>614</v>
      </c>
      <c r="E13443" s="3" t="s">
        <v>118</v>
      </c>
      <c r="F13443" s="7">
        <v>46007.28756313131</v>
      </c>
      <c r="G13443" s="3" t="s">
        <v>29213</v>
      </c>
    </row>
    <row r="13444">
      <c r="A13444" s="3" t="s">
        <v>29214</v>
      </c>
      <c r="B13444" s="3" t="s">
        <v>11589</v>
      </c>
      <c r="C13444" s="5" t="s">
        <v>614</v>
      </c>
      <c r="D13444" s="3" t="s">
        <v>206</v>
      </c>
      <c r="E13444" s="3" t="s">
        <v>100</v>
      </c>
      <c r="F13444" s="7">
        <v>46007.29103535353</v>
      </c>
      <c r="G13444" s="3" t="s">
        <v>29215</v>
      </c>
    </row>
    <row r="13445">
      <c r="A13445" s="3" t="s">
        <v>29216</v>
      </c>
      <c r="B13445" s="3" t="s">
        <v>11589</v>
      </c>
      <c r="C13445" s="5" t="s">
        <v>206</v>
      </c>
      <c r="D13445" s="3" t="s">
        <v>68</v>
      </c>
      <c r="E13445" s="3" t="s">
        <v>100</v>
      </c>
      <c r="F13445" s="7">
        <v>46007.29450757575</v>
      </c>
      <c r="G13445" s="3" t="s">
        <v>29217</v>
      </c>
    </row>
    <row r="13446">
      <c r="A13446" s="3" t="s">
        <v>29218</v>
      </c>
      <c r="B13446" s="3" t="s">
        <v>11593</v>
      </c>
      <c r="C13446" s="5" t="s">
        <v>45</v>
      </c>
      <c r="D13446" s="3" t="s">
        <v>221</v>
      </c>
      <c r="E13446" s="3" t="s">
        <v>253</v>
      </c>
      <c r="F13446" s="7">
        <v>46007.3552657545</v>
      </c>
      <c r="G13446" s="3" t="s">
        <v>21874</v>
      </c>
    </row>
    <row r="13447">
      <c r="A13447" s="3" t="s">
        <v>29219</v>
      </c>
      <c r="B13447" s="3" t="s">
        <v>11593</v>
      </c>
      <c r="C13447" s="5" t="s">
        <v>221</v>
      </c>
      <c r="D13447" s="3" t="s">
        <v>614</v>
      </c>
      <c r="E13447" s="3" t="s">
        <v>118</v>
      </c>
      <c r="F13447" s="7">
        <v>46007.35873797672</v>
      </c>
      <c r="G13447" s="3" t="s">
        <v>21876</v>
      </c>
    </row>
    <row r="13448">
      <c r="A13448" s="3" t="s">
        <v>29220</v>
      </c>
      <c r="B13448" s="3" t="s">
        <v>11593</v>
      </c>
      <c r="C13448" s="5" t="s">
        <v>614</v>
      </c>
      <c r="D13448" s="3" t="s">
        <v>206</v>
      </c>
      <c r="E13448" s="3" t="s">
        <v>100</v>
      </c>
      <c r="F13448" s="7">
        <v>46007.362210198946</v>
      </c>
      <c r="G13448" s="3" t="s">
        <v>21879</v>
      </c>
    </row>
    <row r="13449">
      <c r="A13449" s="3" t="s">
        <v>29221</v>
      </c>
      <c r="B13449" s="3" t="s">
        <v>11593</v>
      </c>
      <c r="C13449" s="5" t="s">
        <v>206</v>
      </c>
      <c r="D13449" s="3" t="s">
        <v>68</v>
      </c>
      <c r="E13449" s="3" t="s">
        <v>100</v>
      </c>
      <c r="F13449" s="7">
        <v>46007.365682421165</v>
      </c>
      <c r="G13449" s="3" t="s">
        <v>21882</v>
      </c>
    </row>
    <row r="13450">
      <c r="A13450" s="3" t="s">
        <v>29222</v>
      </c>
      <c r="B13450" s="3" t="s">
        <v>11596</v>
      </c>
      <c r="C13450" s="5" t="s">
        <v>45</v>
      </c>
      <c r="D13450" s="3" t="s">
        <v>221</v>
      </c>
      <c r="E13450" s="3" t="s">
        <v>830</v>
      </c>
      <c r="F13450" s="7">
        <v>46007.42644059992</v>
      </c>
      <c r="G13450" s="3" t="s">
        <v>12438</v>
      </c>
    </row>
    <row r="13451">
      <c r="A13451" s="3" t="s">
        <v>29223</v>
      </c>
      <c r="B13451" s="3" t="s">
        <v>11596</v>
      </c>
      <c r="C13451" s="5" t="s">
        <v>221</v>
      </c>
      <c r="D13451" s="3" t="s">
        <v>614</v>
      </c>
      <c r="E13451" s="3" t="s">
        <v>118</v>
      </c>
      <c r="F13451" s="7">
        <v>46007.42991282214</v>
      </c>
      <c r="G13451" s="3" t="s">
        <v>12440</v>
      </c>
    </row>
    <row r="13452">
      <c r="A13452" s="3" t="s">
        <v>29224</v>
      </c>
      <c r="B13452" s="3" t="s">
        <v>11596</v>
      </c>
      <c r="C13452" s="5" t="s">
        <v>614</v>
      </c>
      <c r="D13452" s="3" t="s">
        <v>206</v>
      </c>
      <c r="E13452" s="3" t="s">
        <v>100</v>
      </c>
      <c r="F13452" s="7">
        <v>46007.433385044365</v>
      </c>
      <c r="G13452" s="3" t="s">
        <v>12443</v>
      </c>
    </row>
    <row r="13453">
      <c r="A13453" s="3" t="s">
        <v>29225</v>
      </c>
      <c r="B13453" s="3" t="s">
        <v>11596</v>
      </c>
      <c r="C13453" s="5" t="s">
        <v>206</v>
      </c>
      <c r="D13453" s="3" t="s">
        <v>68</v>
      </c>
      <c r="E13453" s="3" t="s">
        <v>100</v>
      </c>
      <c r="F13453" s="7">
        <v>46007.436857266584</v>
      </c>
      <c r="G13453" s="3" t="s">
        <v>12446</v>
      </c>
    </row>
    <row r="13454">
      <c r="A13454" s="3" t="s">
        <v>29226</v>
      </c>
      <c r="B13454" s="3" t="s">
        <v>11599</v>
      </c>
      <c r="C13454" s="5" t="s">
        <v>45</v>
      </c>
      <c r="D13454" s="3" t="s">
        <v>221</v>
      </c>
      <c r="E13454" s="3" t="s">
        <v>130</v>
      </c>
      <c r="F13454" s="7">
        <v>46007.49761544533</v>
      </c>
      <c r="G13454" s="3" t="s">
        <v>17998</v>
      </c>
    </row>
    <row r="13455">
      <c r="A13455" s="3" t="s">
        <v>29227</v>
      </c>
      <c r="B13455" s="3" t="s">
        <v>11599</v>
      </c>
      <c r="C13455" s="5" t="s">
        <v>221</v>
      </c>
      <c r="D13455" s="3" t="s">
        <v>614</v>
      </c>
      <c r="E13455" s="3" t="s">
        <v>118</v>
      </c>
      <c r="F13455" s="7">
        <v>46007.50108766755</v>
      </c>
      <c r="G13455" s="3" t="s">
        <v>18001</v>
      </c>
    </row>
    <row r="13456">
      <c r="A13456" s="3" t="s">
        <v>29228</v>
      </c>
      <c r="B13456" s="3" t="s">
        <v>11599</v>
      </c>
      <c r="C13456" s="5" t="s">
        <v>614</v>
      </c>
      <c r="D13456" s="3" t="s">
        <v>206</v>
      </c>
      <c r="E13456" s="3" t="s">
        <v>100</v>
      </c>
      <c r="F13456" s="7">
        <v>46007.50455988978</v>
      </c>
      <c r="G13456" s="3" t="s">
        <v>18003</v>
      </c>
    </row>
    <row r="13457">
      <c r="A13457" s="3" t="s">
        <v>29229</v>
      </c>
      <c r="B13457" s="3" t="s">
        <v>11599</v>
      </c>
      <c r="C13457" s="5" t="s">
        <v>206</v>
      </c>
      <c r="D13457" s="3" t="s">
        <v>68</v>
      </c>
      <c r="E13457" s="3" t="s">
        <v>100</v>
      </c>
      <c r="F13457" s="7">
        <v>46007.508032112</v>
      </c>
      <c r="G13457" s="3" t="s">
        <v>18006</v>
      </c>
    </row>
    <row r="13458">
      <c r="A13458" s="3" t="s">
        <v>29230</v>
      </c>
      <c r="B13458" s="3" t="s">
        <v>11601</v>
      </c>
      <c r="C13458" s="5" t="s">
        <v>45</v>
      </c>
      <c r="D13458" s="3" t="s">
        <v>221</v>
      </c>
      <c r="E13458" s="3" t="s">
        <v>900</v>
      </c>
      <c r="F13458" s="7">
        <v>46007.568790290745</v>
      </c>
      <c r="G13458" s="3" t="s">
        <v>25355</v>
      </c>
    </row>
    <row r="13459">
      <c r="A13459" s="3" t="s">
        <v>29231</v>
      </c>
      <c r="B13459" s="3" t="s">
        <v>11601</v>
      </c>
      <c r="C13459" s="5" t="s">
        <v>221</v>
      </c>
      <c r="D13459" s="3" t="s">
        <v>614</v>
      </c>
      <c r="E13459" s="3" t="s">
        <v>118</v>
      </c>
      <c r="F13459" s="7">
        <v>46007.572262512964</v>
      </c>
      <c r="G13459" s="3" t="s">
        <v>25357</v>
      </c>
    </row>
    <row r="13460">
      <c r="A13460" s="3" t="s">
        <v>29232</v>
      </c>
      <c r="B13460" s="3" t="s">
        <v>11601</v>
      </c>
      <c r="C13460" s="5" t="s">
        <v>614</v>
      </c>
      <c r="D13460" s="3" t="s">
        <v>206</v>
      </c>
      <c r="E13460" s="3" t="s">
        <v>100</v>
      </c>
      <c r="F13460" s="7">
        <v>46007.57573473519</v>
      </c>
      <c r="G13460" s="3" t="s">
        <v>25359</v>
      </c>
    </row>
    <row r="13461">
      <c r="A13461" s="3" t="s">
        <v>29233</v>
      </c>
      <c r="B13461" s="3" t="s">
        <v>11601</v>
      </c>
      <c r="C13461" s="5" t="s">
        <v>206</v>
      </c>
      <c r="D13461" s="3" t="s">
        <v>68</v>
      </c>
      <c r="E13461" s="3" t="s">
        <v>100</v>
      </c>
      <c r="F13461" s="7">
        <v>46007.57920695741</v>
      </c>
      <c r="G13461" s="3" t="s">
        <v>25361</v>
      </c>
    </row>
    <row r="13462">
      <c r="A13462" s="3" t="s">
        <v>29234</v>
      </c>
      <c r="B13462" s="3" t="s">
        <v>11604</v>
      </c>
      <c r="C13462" s="5" t="s">
        <v>45</v>
      </c>
      <c r="D13462" s="3" t="s">
        <v>221</v>
      </c>
      <c r="E13462" s="3" t="s">
        <v>269</v>
      </c>
      <c r="F13462" s="7">
        <v>46007.639965136164</v>
      </c>
      <c r="G13462" s="3" t="s">
        <v>18040</v>
      </c>
    </row>
    <row r="13463">
      <c r="A13463" s="3" t="s">
        <v>29235</v>
      </c>
      <c r="B13463" s="3" t="s">
        <v>11604</v>
      </c>
      <c r="C13463" s="5" t="s">
        <v>221</v>
      </c>
      <c r="D13463" s="3" t="s">
        <v>614</v>
      </c>
      <c r="E13463" s="3" t="s">
        <v>118</v>
      </c>
      <c r="F13463" s="7">
        <v>46007.64343735838</v>
      </c>
      <c r="G13463" s="3" t="s">
        <v>18042</v>
      </c>
    </row>
    <row r="13464">
      <c r="A13464" s="3" t="s">
        <v>29236</v>
      </c>
      <c r="B13464" s="3" t="s">
        <v>11604</v>
      </c>
      <c r="C13464" s="5" t="s">
        <v>614</v>
      </c>
      <c r="D13464" s="3" t="s">
        <v>206</v>
      </c>
      <c r="E13464" s="3" t="s">
        <v>100</v>
      </c>
      <c r="F13464" s="7">
        <v>46007.64690958061</v>
      </c>
      <c r="G13464" s="3" t="s">
        <v>18045</v>
      </c>
    </row>
    <row r="13465">
      <c r="A13465" s="3" t="s">
        <v>29237</v>
      </c>
      <c r="B13465" s="3" t="s">
        <v>11604</v>
      </c>
      <c r="C13465" s="5" t="s">
        <v>206</v>
      </c>
      <c r="D13465" s="3" t="s">
        <v>68</v>
      </c>
      <c r="E13465" s="3" t="s">
        <v>100</v>
      </c>
      <c r="F13465" s="7">
        <v>46007.65038180283</v>
      </c>
      <c r="G13465" s="3" t="s">
        <v>18048</v>
      </c>
    </row>
    <row r="13466">
      <c r="A13466" s="3" t="s">
        <v>29238</v>
      </c>
      <c r="B13466" s="3" t="s">
        <v>11606</v>
      </c>
      <c r="C13466" s="5" t="s">
        <v>45</v>
      </c>
      <c r="D13466" s="3" t="s">
        <v>221</v>
      </c>
      <c r="E13466" s="3" t="s">
        <v>838</v>
      </c>
      <c r="F13466" s="7">
        <v>46007.711139981584</v>
      </c>
      <c r="G13466" s="3" t="s">
        <v>24463</v>
      </c>
    </row>
    <row r="13467">
      <c r="A13467" s="3" t="s">
        <v>29239</v>
      </c>
      <c r="B13467" s="3" t="s">
        <v>11606</v>
      </c>
      <c r="C13467" s="5" t="s">
        <v>221</v>
      </c>
      <c r="D13467" s="3" t="s">
        <v>614</v>
      </c>
      <c r="E13467" s="3" t="s">
        <v>118</v>
      </c>
      <c r="F13467" s="7">
        <v>46007.7146122038</v>
      </c>
      <c r="G13467" s="3" t="s">
        <v>24465</v>
      </c>
    </row>
    <row r="13468">
      <c r="A13468" s="3" t="s">
        <v>29240</v>
      </c>
      <c r="B13468" s="3" t="s">
        <v>11606</v>
      </c>
      <c r="C13468" s="5" t="s">
        <v>614</v>
      </c>
      <c r="D13468" s="3" t="s">
        <v>206</v>
      </c>
      <c r="E13468" s="3" t="s">
        <v>100</v>
      </c>
      <c r="F13468" s="7">
        <v>46007.71808442603</v>
      </c>
      <c r="G13468" s="3" t="s">
        <v>24467</v>
      </c>
    </row>
    <row r="13469">
      <c r="A13469" s="3" t="s">
        <v>29241</v>
      </c>
      <c r="B13469" s="3" t="s">
        <v>11606</v>
      </c>
      <c r="C13469" s="5" t="s">
        <v>206</v>
      </c>
      <c r="D13469" s="3" t="s">
        <v>68</v>
      </c>
      <c r="E13469" s="3" t="s">
        <v>100</v>
      </c>
      <c r="F13469" s="7">
        <v>46007.72155664825</v>
      </c>
      <c r="G13469" s="3" t="s">
        <v>24469</v>
      </c>
    </row>
    <row r="13470">
      <c r="A13470" s="3" t="s">
        <v>29242</v>
      </c>
      <c r="B13470" s="3" t="s">
        <v>11609</v>
      </c>
      <c r="C13470" s="5" t="s">
        <v>45</v>
      </c>
      <c r="D13470" s="3" t="s">
        <v>221</v>
      </c>
      <c r="E13470" s="3" t="s">
        <v>557</v>
      </c>
      <c r="F13470" s="7">
        <v>46007.78231482699</v>
      </c>
      <c r="G13470" s="3" t="s">
        <v>13585</v>
      </c>
    </row>
    <row r="13471">
      <c r="A13471" s="3" t="s">
        <v>29243</v>
      </c>
      <c r="B13471" s="3" t="s">
        <v>11609</v>
      </c>
      <c r="C13471" s="5" t="s">
        <v>221</v>
      </c>
      <c r="D13471" s="3" t="s">
        <v>614</v>
      </c>
      <c r="E13471" s="3" t="s">
        <v>118</v>
      </c>
      <c r="F13471" s="7">
        <v>46007.78578704921</v>
      </c>
      <c r="G13471" s="3" t="s">
        <v>13587</v>
      </c>
    </row>
    <row r="13472">
      <c r="A13472" s="3" t="s">
        <v>29244</v>
      </c>
      <c r="B13472" s="3" t="s">
        <v>11609</v>
      </c>
      <c r="C13472" s="5" t="s">
        <v>614</v>
      </c>
      <c r="D13472" s="3" t="s">
        <v>206</v>
      </c>
      <c r="E13472" s="3" t="s">
        <v>100</v>
      </c>
      <c r="F13472" s="7">
        <v>46007.789259271434</v>
      </c>
      <c r="G13472" s="3" t="s">
        <v>13590</v>
      </c>
    </row>
    <row r="13473">
      <c r="A13473" s="3" t="s">
        <v>29245</v>
      </c>
      <c r="B13473" s="3" t="s">
        <v>11609</v>
      </c>
      <c r="C13473" s="5" t="s">
        <v>206</v>
      </c>
      <c r="D13473" s="3" t="s">
        <v>68</v>
      </c>
      <c r="E13473" s="3" t="s">
        <v>100</v>
      </c>
      <c r="F13473" s="7">
        <v>46007.79273149365</v>
      </c>
      <c r="G13473" s="3" t="s">
        <v>13593</v>
      </c>
    </row>
    <row r="13474">
      <c r="A13474" s="3" t="s">
        <v>29246</v>
      </c>
      <c r="B13474" s="3" t="s">
        <v>11612</v>
      </c>
      <c r="C13474" s="5" t="s">
        <v>45</v>
      </c>
      <c r="D13474" s="3" t="s">
        <v>221</v>
      </c>
      <c r="E13474" s="3" t="s">
        <v>460</v>
      </c>
      <c r="F13474" s="7">
        <v>46007.85348967241</v>
      </c>
      <c r="G13474" s="3" t="s">
        <v>29247</v>
      </c>
    </row>
    <row r="13475">
      <c r="A13475" s="3" t="s">
        <v>29248</v>
      </c>
      <c r="B13475" s="3" t="s">
        <v>11612</v>
      </c>
      <c r="C13475" s="5" t="s">
        <v>221</v>
      </c>
      <c r="D13475" s="3" t="s">
        <v>614</v>
      </c>
      <c r="E13475" s="3" t="s">
        <v>118</v>
      </c>
      <c r="F13475" s="7">
        <v>46007.85696189463</v>
      </c>
      <c r="G13475" s="3" t="s">
        <v>29249</v>
      </c>
    </row>
    <row r="13476">
      <c r="A13476" s="3" t="s">
        <v>29250</v>
      </c>
      <c r="B13476" s="3" t="s">
        <v>11612</v>
      </c>
      <c r="C13476" s="5" t="s">
        <v>614</v>
      </c>
      <c r="D13476" s="3" t="s">
        <v>206</v>
      </c>
      <c r="E13476" s="3" t="s">
        <v>100</v>
      </c>
      <c r="F13476" s="7">
        <v>46007.860434116854</v>
      </c>
      <c r="G13476" s="3" t="s">
        <v>29251</v>
      </c>
    </row>
    <row r="13477">
      <c r="A13477" s="3" t="s">
        <v>29252</v>
      </c>
      <c r="B13477" s="3" t="s">
        <v>11612</v>
      </c>
      <c r="C13477" s="5" t="s">
        <v>206</v>
      </c>
      <c r="D13477" s="3" t="s">
        <v>68</v>
      </c>
      <c r="E13477" s="3" t="s">
        <v>100</v>
      </c>
      <c r="F13477" s="7">
        <v>46007.86390633907</v>
      </c>
      <c r="G13477" s="3" t="s">
        <v>29253</v>
      </c>
    </row>
    <row r="13478">
      <c r="A13478" s="3" t="s">
        <v>29254</v>
      </c>
      <c r="B13478" s="3" t="s">
        <v>11617</v>
      </c>
      <c r="C13478" s="5" t="s">
        <v>45</v>
      </c>
      <c r="D13478" s="3" t="s">
        <v>221</v>
      </c>
      <c r="E13478" s="3" t="s">
        <v>1021</v>
      </c>
      <c r="F13478" s="7">
        <v>46007.92466451783</v>
      </c>
      <c r="G13478" s="3" t="s">
        <v>11571</v>
      </c>
    </row>
    <row r="13479">
      <c r="A13479" s="3" t="s">
        <v>29255</v>
      </c>
      <c r="B13479" s="3" t="s">
        <v>11617</v>
      </c>
      <c r="C13479" s="5" t="s">
        <v>221</v>
      </c>
      <c r="D13479" s="3" t="s">
        <v>614</v>
      </c>
      <c r="E13479" s="3" t="s">
        <v>118</v>
      </c>
      <c r="F13479" s="7">
        <v>46007.92813674005</v>
      </c>
      <c r="G13479" s="3" t="s">
        <v>27354</v>
      </c>
    </row>
    <row r="13480">
      <c r="A13480" s="3" t="s">
        <v>29256</v>
      </c>
      <c r="B13480" s="3" t="s">
        <v>11617</v>
      </c>
      <c r="C13480" s="5" t="s">
        <v>614</v>
      </c>
      <c r="D13480" s="3" t="s">
        <v>206</v>
      </c>
      <c r="E13480" s="3" t="s">
        <v>100</v>
      </c>
      <c r="F13480" s="7">
        <v>46007.93160896227</v>
      </c>
      <c r="G13480" s="3" t="s">
        <v>27356</v>
      </c>
    </row>
    <row r="13481">
      <c r="A13481" s="3" t="s">
        <v>29257</v>
      </c>
      <c r="B13481" s="3" t="s">
        <v>11617</v>
      </c>
      <c r="C13481" s="5" t="s">
        <v>206</v>
      </c>
      <c r="D13481" s="3" t="s">
        <v>68</v>
      </c>
      <c r="E13481" s="3" t="s">
        <v>100</v>
      </c>
      <c r="F13481" s="7">
        <v>46007.93508118449</v>
      </c>
      <c r="G13481" s="3" t="s">
        <v>27358</v>
      </c>
    </row>
    <row r="13482">
      <c r="A13482" s="3" t="s">
        <v>29258</v>
      </c>
      <c r="B13482" s="3" t="s">
        <v>11619</v>
      </c>
      <c r="C13482" s="5" t="s">
        <v>45</v>
      </c>
      <c r="D13482" s="3" t="s">
        <v>221</v>
      </c>
      <c r="E13482" s="3" t="s">
        <v>822</v>
      </c>
      <c r="F13482" s="7">
        <v>46007.99583936324</v>
      </c>
      <c r="G13482" s="3" t="s">
        <v>23596</v>
      </c>
    </row>
    <row r="13483">
      <c r="A13483" s="3" t="s">
        <v>29259</v>
      </c>
      <c r="B13483" s="3" t="s">
        <v>11619</v>
      </c>
      <c r="C13483" s="5" t="s">
        <v>221</v>
      </c>
      <c r="D13483" s="3" t="s">
        <v>614</v>
      </c>
      <c r="E13483" s="3" t="s">
        <v>118</v>
      </c>
      <c r="F13483" s="7">
        <v>46007.99931158546</v>
      </c>
      <c r="G13483" s="3" t="s">
        <v>23599</v>
      </c>
    </row>
    <row r="13484">
      <c r="A13484" s="3" t="s">
        <v>29260</v>
      </c>
      <c r="B13484" s="3" t="s">
        <v>11619</v>
      </c>
      <c r="C13484" s="5" t="s">
        <v>614</v>
      </c>
      <c r="D13484" s="3" t="s">
        <v>206</v>
      </c>
      <c r="E13484" s="3" t="s">
        <v>100</v>
      </c>
      <c r="F13484" s="7">
        <v>46008.002783807686</v>
      </c>
      <c r="G13484" s="3" t="s">
        <v>23603</v>
      </c>
    </row>
    <row r="13485">
      <c r="A13485" s="3" t="s">
        <v>29261</v>
      </c>
      <c r="B13485" s="3" t="s">
        <v>11619</v>
      </c>
      <c r="C13485" s="5" t="s">
        <v>206</v>
      </c>
      <c r="D13485" s="3" t="s">
        <v>68</v>
      </c>
      <c r="E13485" s="3" t="s">
        <v>100</v>
      </c>
      <c r="F13485" s="7">
        <v>46008.006256029905</v>
      </c>
      <c r="G13485" s="3" t="s">
        <v>23606</v>
      </c>
    </row>
    <row r="13486">
      <c r="A13486" s="3" t="s">
        <v>29262</v>
      </c>
      <c r="B13486" s="3" t="s">
        <v>11621</v>
      </c>
      <c r="C13486" s="5" t="s">
        <v>45</v>
      </c>
      <c r="D13486" s="3" t="s">
        <v>221</v>
      </c>
      <c r="E13486" s="3" t="s">
        <v>183</v>
      </c>
      <c r="F13486" s="7">
        <v>46008.06701420865</v>
      </c>
      <c r="G13486" s="3" t="s">
        <v>21937</v>
      </c>
    </row>
    <row r="13487">
      <c r="A13487" s="3" t="s">
        <v>29263</v>
      </c>
      <c r="B13487" s="3" t="s">
        <v>11621</v>
      </c>
      <c r="C13487" s="5" t="s">
        <v>221</v>
      </c>
      <c r="D13487" s="3" t="s">
        <v>614</v>
      </c>
      <c r="E13487" s="3" t="s">
        <v>118</v>
      </c>
      <c r="F13487" s="7">
        <v>46008.07048643087</v>
      </c>
      <c r="G13487" s="3" t="s">
        <v>21940</v>
      </c>
    </row>
    <row r="13488">
      <c r="A13488" s="3" t="s">
        <v>29264</v>
      </c>
      <c r="B13488" s="3" t="s">
        <v>11621</v>
      </c>
      <c r="C13488" s="5" t="s">
        <v>614</v>
      </c>
      <c r="D13488" s="3" t="s">
        <v>206</v>
      </c>
      <c r="E13488" s="3" t="s">
        <v>100</v>
      </c>
      <c r="F13488" s="7">
        <v>46008.0739586531</v>
      </c>
      <c r="G13488" s="3" t="s">
        <v>21942</v>
      </c>
    </row>
    <row r="13489">
      <c r="A13489" s="3" t="s">
        <v>29265</v>
      </c>
      <c r="B13489" s="3" t="s">
        <v>11621</v>
      </c>
      <c r="C13489" s="5" t="s">
        <v>206</v>
      </c>
      <c r="D13489" s="3" t="s">
        <v>68</v>
      </c>
      <c r="E13489" s="3" t="s">
        <v>100</v>
      </c>
      <c r="F13489" s="7">
        <v>46008.07743087532</v>
      </c>
      <c r="G13489" s="3" t="s">
        <v>21945</v>
      </c>
    </row>
    <row r="13490">
      <c r="A13490" s="3" t="s">
        <v>29266</v>
      </c>
      <c r="B13490" s="3" t="s">
        <v>11623</v>
      </c>
      <c r="C13490" s="5" t="s">
        <v>45</v>
      </c>
      <c r="D13490" s="3" t="s">
        <v>221</v>
      </c>
      <c r="E13490" s="3" t="s">
        <v>702</v>
      </c>
      <c r="F13490" s="7">
        <v>46008.13818905407</v>
      </c>
      <c r="G13490" s="3" t="s">
        <v>5617</v>
      </c>
    </row>
    <row r="13491">
      <c r="A13491" s="3" t="s">
        <v>29267</v>
      </c>
      <c r="B13491" s="3" t="s">
        <v>11623</v>
      </c>
      <c r="C13491" s="5" t="s">
        <v>221</v>
      </c>
      <c r="D13491" s="3" t="s">
        <v>614</v>
      </c>
      <c r="E13491" s="3" t="s">
        <v>118</v>
      </c>
      <c r="F13491" s="7">
        <v>46008.14166127629</v>
      </c>
      <c r="G13491" s="3" t="s">
        <v>12838</v>
      </c>
    </row>
    <row r="13492">
      <c r="A13492" s="3" t="s">
        <v>29268</v>
      </c>
      <c r="B13492" s="3" t="s">
        <v>11623</v>
      </c>
      <c r="C13492" s="5" t="s">
        <v>614</v>
      </c>
      <c r="D13492" s="3" t="s">
        <v>206</v>
      </c>
      <c r="E13492" s="3" t="s">
        <v>100</v>
      </c>
      <c r="F13492" s="7">
        <v>46008.14513349852</v>
      </c>
      <c r="G13492" s="3" t="s">
        <v>12841</v>
      </c>
    </row>
    <row r="13493">
      <c r="A13493" s="3" t="s">
        <v>29269</v>
      </c>
      <c r="B13493" s="3" t="s">
        <v>11623</v>
      </c>
      <c r="C13493" s="5" t="s">
        <v>206</v>
      </c>
      <c r="D13493" s="3" t="s">
        <v>68</v>
      </c>
      <c r="E13493" s="3" t="s">
        <v>100</v>
      </c>
      <c r="F13493" s="7">
        <v>46008.14860572074</v>
      </c>
      <c r="G13493" s="3" t="s">
        <v>12844</v>
      </c>
    </row>
    <row r="13494">
      <c r="A13494" s="3" t="s">
        <v>29270</v>
      </c>
      <c r="B13494" s="3" t="s">
        <v>11625</v>
      </c>
      <c r="C13494" s="5" t="s">
        <v>45</v>
      </c>
      <c r="D13494" s="3" t="s">
        <v>221</v>
      </c>
      <c r="E13494" s="3" t="s">
        <v>266</v>
      </c>
      <c r="F13494" s="7">
        <v>46008.209363899485</v>
      </c>
      <c r="G13494" s="3" t="s">
        <v>18336</v>
      </c>
    </row>
    <row r="13495">
      <c r="A13495" s="3" t="s">
        <v>29271</v>
      </c>
      <c r="B13495" s="3" t="s">
        <v>11625</v>
      </c>
      <c r="C13495" s="5" t="s">
        <v>221</v>
      </c>
      <c r="D13495" s="3" t="s">
        <v>614</v>
      </c>
      <c r="E13495" s="3" t="s">
        <v>118</v>
      </c>
      <c r="F13495" s="7">
        <v>46008.212836121704</v>
      </c>
      <c r="G13495" s="3" t="s">
        <v>18339</v>
      </c>
    </row>
    <row r="13496">
      <c r="A13496" s="3" t="s">
        <v>29272</v>
      </c>
      <c r="B13496" s="3" t="s">
        <v>11625</v>
      </c>
      <c r="C13496" s="5" t="s">
        <v>614</v>
      </c>
      <c r="D13496" s="3" t="s">
        <v>206</v>
      </c>
      <c r="E13496" s="3" t="s">
        <v>100</v>
      </c>
      <c r="F13496" s="7">
        <v>46008.21630834393</v>
      </c>
      <c r="G13496" s="3" t="s">
        <v>18341</v>
      </c>
    </row>
    <row r="13497">
      <c r="A13497" s="3" t="s">
        <v>29273</v>
      </c>
      <c r="B13497" s="3" t="s">
        <v>11625</v>
      </c>
      <c r="C13497" s="5" t="s">
        <v>206</v>
      </c>
      <c r="D13497" s="3" t="s">
        <v>68</v>
      </c>
      <c r="E13497" s="3" t="s">
        <v>100</v>
      </c>
      <c r="F13497" s="7">
        <v>46008.21978056615</v>
      </c>
      <c r="G13497" s="3" t="s">
        <v>18344</v>
      </c>
    </row>
    <row r="13498">
      <c r="A13498" s="3" t="s">
        <v>29274</v>
      </c>
      <c r="B13498" s="3" t="s">
        <v>11628</v>
      </c>
      <c r="C13498" s="5" t="s">
        <v>45</v>
      </c>
      <c r="D13498" s="3" t="s">
        <v>221</v>
      </c>
      <c r="E13498" s="3" t="s">
        <v>559</v>
      </c>
      <c r="F13498" s="7">
        <v>46008.2805387449</v>
      </c>
      <c r="G13498" s="3" t="s">
        <v>16238</v>
      </c>
    </row>
    <row r="13499">
      <c r="A13499" s="3" t="s">
        <v>29275</v>
      </c>
      <c r="B13499" s="3" t="s">
        <v>11628</v>
      </c>
      <c r="C13499" s="5" t="s">
        <v>221</v>
      </c>
      <c r="D13499" s="3" t="s">
        <v>614</v>
      </c>
      <c r="E13499" s="3" t="s">
        <v>118</v>
      </c>
      <c r="F13499" s="7">
        <v>46008.284010967116</v>
      </c>
      <c r="G13499" s="3" t="s">
        <v>26430</v>
      </c>
    </row>
    <row r="13500">
      <c r="A13500" s="3" t="s">
        <v>29276</v>
      </c>
      <c r="B13500" s="3" t="s">
        <v>11628</v>
      </c>
      <c r="C13500" s="5" t="s">
        <v>614</v>
      </c>
      <c r="D13500" s="3" t="s">
        <v>206</v>
      </c>
      <c r="E13500" s="3" t="s">
        <v>100</v>
      </c>
      <c r="F13500" s="7">
        <v>46008.28748318934</v>
      </c>
      <c r="G13500" s="3" t="s">
        <v>26432</v>
      </c>
    </row>
    <row r="13501">
      <c r="A13501" s="3" t="s">
        <v>29277</v>
      </c>
      <c r="B13501" s="3" t="s">
        <v>11628</v>
      </c>
      <c r="C13501" s="5" t="s">
        <v>206</v>
      </c>
      <c r="D13501" s="3" t="s">
        <v>68</v>
      </c>
      <c r="E13501" s="3" t="s">
        <v>100</v>
      </c>
      <c r="F13501" s="7">
        <v>46008.29095541156</v>
      </c>
      <c r="G13501" s="3" t="s">
        <v>26434</v>
      </c>
    </row>
    <row r="13502">
      <c r="A13502" s="3" t="s">
        <v>29278</v>
      </c>
      <c r="B13502" s="3" t="s">
        <v>11631</v>
      </c>
      <c r="C13502" s="5" t="s">
        <v>45</v>
      </c>
      <c r="D13502" s="3" t="s">
        <v>221</v>
      </c>
      <c r="E13502" s="3" t="s">
        <v>550</v>
      </c>
      <c r="F13502" s="7">
        <v>46008.35171359032</v>
      </c>
      <c r="G13502" s="3" t="s">
        <v>18051</v>
      </c>
    </row>
    <row r="13503">
      <c r="A13503" s="3" t="s">
        <v>29279</v>
      </c>
      <c r="B13503" s="3" t="s">
        <v>11631</v>
      </c>
      <c r="C13503" s="5" t="s">
        <v>221</v>
      </c>
      <c r="D13503" s="3" t="s">
        <v>614</v>
      </c>
      <c r="E13503" s="3" t="s">
        <v>118</v>
      </c>
      <c r="F13503" s="7">
        <v>46008.355185812536</v>
      </c>
      <c r="G13503" s="3" t="s">
        <v>18053</v>
      </c>
    </row>
    <row r="13504">
      <c r="A13504" s="3" t="s">
        <v>29280</v>
      </c>
      <c r="B13504" s="3" t="s">
        <v>11631</v>
      </c>
      <c r="C13504" s="5" t="s">
        <v>614</v>
      </c>
      <c r="D13504" s="3" t="s">
        <v>206</v>
      </c>
      <c r="E13504" s="3" t="s">
        <v>100</v>
      </c>
      <c r="F13504" s="7">
        <v>46008.35865803476</v>
      </c>
      <c r="G13504" s="3" t="s">
        <v>18056</v>
      </c>
    </row>
    <row r="13505">
      <c r="A13505" s="3" t="s">
        <v>29281</v>
      </c>
      <c r="B13505" s="3" t="s">
        <v>11631</v>
      </c>
      <c r="C13505" s="5" t="s">
        <v>206</v>
      </c>
      <c r="D13505" s="3" t="s">
        <v>68</v>
      </c>
      <c r="E13505" s="3" t="s">
        <v>100</v>
      </c>
      <c r="F13505" s="7">
        <v>46008.36213025698</v>
      </c>
      <c r="G13505" s="3" t="s">
        <v>18059</v>
      </c>
    </row>
    <row r="13506">
      <c r="A13506" s="3" t="s">
        <v>29282</v>
      </c>
      <c r="B13506" s="3" t="s">
        <v>11632</v>
      </c>
      <c r="C13506" s="5" t="s">
        <v>45</v>
      </c>
      <c r="D13506" s="3" t="s">
        <v>221</v>
      </c>
      <c r="E13506" s="3" t="s">
        <v>344</v>
      </c>
      <c r="F13506" s="7">
        <v>46008.42288843573</v>
      </c>
      <c r="G13506" s="3" t="s">
        <v>11316</v>
      </c>
    </row>
    <row r="13507">
      <c r="A13507" s="3" t="s">
        <v>29283</v>
      </c>
      <c r="B13507" s="3" t="s">
        <v>11632</v>
      </c>
      <c r="C13507" s="5" t="s">
        <v>221</v>
      </c>
      <c r="D13507" s="3" t="s">
        <v>614</v>
      </c>
      <c r="E13507" s="3" t="s">
        <v>118</v>
      </c>
      <c r="F13507" s="7">
        <v>46008.42636065795</v>
      </c>
      <c r="G13507" s="3" t="s">
        <v>11319</v>
      </c>
    </row>
    <row r="13508">
      <c r="A13508" s="3" t="s">
        <v>29284</v>
      </c>
      <c r="B13508" s="3" t="s">
        <v>11632</v>
      </c>
      <c r="C13508" s="5" t="s">
        <v>614</v>
      </c>
      <c r="D13508" s="3" t="s">
        <v>206</v>
      </c>
      <c r="E13508" s="3" t="s">
        <v>100</v>
      </c>
      <c r="F13508" s="7">
        <v>46008.429832880174</v>
      </c>
      <c r="G13508" s="3" t="s">
        <v>11321</v>
      </c>
    </row>
    <row r="13509">
      <c r="A13509" s="3" t="s">
        <v>29285</v>
      </c>
      <c r="B13509" s="3" t="s">
        <v>11632</v>
      </c>
      <c r="C13509" s="5" t="s">
        <v>206</v>
      </c>
      <c r="D13509" s="3" t="s">
        <v>68</v>
      </c>
      <c r="E13509" s="3" t="s">
        <v>100</v>
      </c>
      <c r="F13509" s="7">
        <v>46008.43330510239</v>
      </c>
      <c r="G13509" s="3" t="s">
        <v>11324</v>
      </c>
    </row>
    <row r="13510">
      <c r="A13510" s="3" t="s">
        <v>29286</v>
      </c>
      <c r="B13510" s="3" t="s">
        <v>11635</v>
      </c>
      <c r="C13510" s="5" t="s">
        <v>45</v>
      </c>
      <c r="D13510" s="3" t="s">
        <v>221</v>
      </c>
      <c r="E13510" s="3" t="s">
        <v>369</v>
      </c>
      <c r="F13510" s="7">
        <v>46008.49406328114</v>
      </c>
      <c r="G13510" s="3" t="s">
        <v>11519</v>
      </c>
    </row>
    <row r="13511">
      <c r="A13511" s="3" t="s">
        <v>29287</v>
      </c>
      <c r="B13511" s="3" t="s">
        <v>11635</v>
      </c>
      <c r="C13511" s="5" t="s">
        <v>221</v>
      </c>
      <c r="D13511" s="3" t="s">
        <v>614</v>
      </c>
      <c r="E13511" s="3" t="s">
        <v>118</v>
      </c>
      <c r="F13511" s="7">
        <v>46008.49753550336</v>
      </c>
      <c r="G13511" s="3" t="s">
        <v>12479</v>
      </c>
    </row>
    <row r="13512">
      <c r="A13512" s="3" t="s">
        <v>29288</v>
      </c>
      <c r="B13512" s="3" t="s">
        <v>11635</v>
      </c>
      <c r="C13512" s="5" t="s">
        <v>614</v>
      </c>
      <c r="D13512" s="3" t="s">
        <v>206</v>
      </c>
      <c r="E13512" s="3" t="s">
        <v>100</v>
      </c>
      <c r="F13512" s="7">
        <v>46008.50100772559</v>
      </c>
      <c r="G13512" s="3" t="s">
        <v>12481</v>
      </c>
    </row>
    <row r="13513">
      <c r="A13513" s="3" t="s">
        <v>29289</v>
      </c>
      <c r="B13513" s="3" t="s">
        <v>11635</v>
      </c>
      <c r="C13513" s="5" t="s">
        <v>206</v>
      </c>
      <c r="D13513" s="3" t="s">
        <v>68</v>
      </c>
      <c r="E13513" s="3" t="s">
        <v>100</v>
      </c>
      <c r="F13513" s="7">
        <v>46008.504479947806</v>
      </c>
      <c r="G13513" s="3" t="s">
        <v>12485</v>
      </c>
    </row>
    <row r="13514">
      <c r="A13514" s="3" t="s">
        <v>29290</v>
      </c>
      <c r="B13514" s="3" t="s">
        <v>11638</v>
      </c>
      <c r="C13514" s="5" t="s">
        <v>45</v>
      </c>
      <c r="D13514" s="3" t="s">
        <v>221</v>
      </c>
      <c r="E13514" s="3" t="s">
        <v>830</v>
      </c>
      <c r="F13514" s="7">
        <v>46008.56523812656</v>
      </c>
      <c r="G13514" s="3" t="s">
        <v>18069</v>
      </c>
    </row>
    <row r="13515">
      <c r="A13515" s="3" t="s">
        <v>29291</v>
      </c>
      <c r="B13515" s="3" t="s">
        <v>11638</v>
      </c>
      <c r="C13515" s="5" t="s">
        <v>221</v>
      </c>
      <c r="D13515" s="3" t="s">
        <v>614</v>
      </c>
      <c r="E13515" s="3" t="s">
        <v>118</v>
      </c>
      <c r="F13515" s="7">
        <v>46008.56871034878</v>
      </c>
      <c r="G13515" s="3" t="s">
        <v>18072</v>
      </c>
    </row>
    <row r="13516">
      <c r="A13516" s="3" t="s">
        <v>29292</v>
      </c>
      <c r="B13516" s="3" t="s">
        <v>11638</v>
      </c>
      <c r="C13516" s="5" t="s">
        <v>614</v>
      </c>
      <c r="D13516" s="3" t="s">
        <v>206</v>
      </c>
      <c r="E13516" s="3" t="s">
        <v>100</v>
      </c>
      <c r="F13516" s="7">
        <v>46008.572182571006</v>
      </c>
      <c r="G13516" s="3" t="s">
        <v>18075</v>
      </c>
    </row>
    <row r="13517">
      <c r="A13517" s="3" t="s">
        <v>29293</v>
      </c>
      <c r="B13517" s="3" t="s">
        <v>11638</v>
      </c>
      <c r="C13517" s="5" t="s">
        <v>206</v>
      </c>
      <c r="D13517" s="3" t="s">
        <v>68</v>
      </c>
      <c r="E13517" s="3" t="s">
        <v>100</v>
      </c>
      <c r="F13517" s="7">
        <v>46008.575654793225</v>
      </c>
      <c r="G13517" s="3" t="s">
        <v>18077</v>
      </c>
    </row>
    <row r="13518">
      <c r="A13518" s="3" t="s">
        <v>29294</v>
      </c>
      <c r="B13518" s="3" t="s">
        <v>11639</v>
      </c>
      <c r="C13518" s="5" t="s">
        <v>45</v>
      </c>
      <c r="D13518" s="3" t="s">
        <v>221</v>
      </c>
      <c r="E13518" s="3" t="s">
        <v>502</v>
      </c>
      <c r="F13518" s="7">
        <v>46008.63641297197</v>
      </c>
      <c r="G13518" s="3" t="s">
        <v>29295</v>
      </c>
    </row>
    <row r="13519">
      <c r="A13519" s="3" t="s">
        <v>29296</v>
      </c>
      <c r="B13519" s="3" t="s">
        <v>11639</v>
      </c>
      <c r="C13519" s="5" t="s">
        <v>221</v>
      </c>
      <c r="D13519" s="3" t="s">
        <v>614</v>
      </c>
      <c r="E13519" s="3" t="s">
        <v>118</v>
      </c>
      <c r="F13519" s="7">
        <v>46008.63988519419</v>
      </c>
      <c r="G13519" s="3" t="s">
        <v>29297</v>
      </c>
    </row>
    <row r="13520">
      <c r="A13520" s="3" t="s">
        <v>29298</v>
      </c>
      <c r="B13520" s="3" t="s">
        <v>11639</v>
      </c>
      <c r="C13520" s="5" t="s">
        <v>614</v>
      </c>
      <c r="D13520" s="3" t="s">
        <v>206</v>
      </c>
      <c r="E13520" s="3" t="s">
        <v>100</v>
      </c>
      <c r="F13520" s="7">
        <v>46008.64335741642</v>
      </c>
      <c r="G13520" s="3" t="s">
        <v>29299</v>
      </c>
    </row>
    <row r="13521">
      <c r="A13521" s="3" t="s">
        <v>29300</v>
      </c>
      <c r="B13521" s="3" t="s">
        <v>11639</v>
      </c>
      <c r="C13521" s="5" t="s">
        <v>206</v>
      </c>
      <c r="D13521" s="3" t="s">
        <v>68</v>
      </c>
      <c r="E13521" s="3" t="s">
        <v>100</v>
      </c>
      <c r="F13521" s="7">
        <v>46008.64682963864</v>
      </c>
      <c r="G13521" s="3" t="s">
        <v>29301</v>
      </c>
    </row>
    <row r="13522">
      <c r="A13522" s="3" t="s">
        <v>29302</v>
      </c>
      <c r="B13522" s="3" t="s">
        <v>11642</v>
      </c>
      <c r="C13522" s="5" t="s">
        <v>45</v>
      </c>
      <c r="D13522" s="3" t="s">
        <v>221</v>
      </c>
      <c r="E13522" s="3" t="s">
        <v>900</v>
      </c>
      <c r="F13522" s="7">
        <v>46008.707587817386</v>
      </c>
      <c r="G13522" s="3" t="s">
        <v>18151</v>
      </c>
    </row>
    <row r="13523">
      <c r="A13523" s="3" t="s">
        <v>29303</v>
      </c>
      <c r="B13523" s="3" t="s">
        <v>11642</v>
      </c>
      <c r="C13523" s="5" t="s">
        <v>221</v>
      </c>
      <c r="D13523" s="3" t="s">
        <v>614</v>
      </c>
      <c r="E13523" s="3" t="s">
        <v>118</v>
      </c>
      <c r="F13523" s="7">
        <v>46008.711060039604</v>
      </c>
      <c r="G13523" s="3" t="s">
        <v>18154</v>
      </c>
    </row>
    <row r="13524">
      <c r="A13524" s="3" t="s">
        <v>29304</v>
      </c>
      <c r="B13524" s="3" t="s">
        <v>11642</v>
      </c>
      <c r="C13524" s="5" t="s">
        <v>614</v>
      </c>
      <c r="D13524" s="3" t="s">
        <v>206</v>
      </c>
      <c r="E13524" s="3" t="s">
        <v>100</v>
      </c>
      <c r="F13524" s="7">
        <v>46008.71453226183</v>
      </c>
      <c r="G13524" s="3" t="s">
        <v>18157</v>
      </c>
    </row>
    <row r="13525">
      <c r="A13525" s="3" t="s">
        <v>29305</v>
      </c>
      <c r="B13525" s="3" t="s">
        <v>11642</v>
      </c>
      <c r="C13525" s="5" t="s">
        <v>206</v>
      </c>
      <c r="D13525" s="3" t="s">
        <v>68</v>
      </c>
      <c r="E13525" s="3" t="s">
        <v>100</v>
      </c>
      <c r="F13525" s="7">
        <v>46008.71800448405</v>
      </c>
      <c r="G13525" s="3" t="s">
        <v>18160</v>
      </c>
    </row>
    <row r="13526">
      <c r="A13526" s="3" t="s">
        <v>29306</v>
      </c>
      <c r="B13526" s="3" t="s">
        <v>11645</v>
      </c>
      <c r="C13526" s="5" t="s">
        <v>45</v>
      </c>
      <c r="D13526" s="3" t="s">
        <v>221</v>
      </c>
      <c r="E13526" s="3" t="s">
        <v>202</v>
      </c>
      <c r="F13526" s="7">
        <v>46008.778762662805</v>
      </c>
      <c r="G13526" s="3" t="s">
        <v>15861</v>
      </c>
    </row>
    <row r="13527">
      <c r="A13527" s="3" t="s">
        <v>29307</v>
      </c>
      <c r="B13527" s="3" t="s">
        <v>11645</v>
      </c>
      <c r="C13527" s="5" t="s">
        <v>221</v>
      </c>
      <c r="D13527" s="3" t="s">
        <v>614</v>
      </c>
      <c r="E13527" s="3" t="s">
        <v>118</v>
      </c>
      <c r="F13527" s="7">
        <v>46008.782234885024</v>
      </c>
      <c r="G13527" s="3" t="s">
        <v>26218</v>
      </c>
    </row>
    <row r="13528">
      <c r="A13528" s="3" t="s">
        <v>29308</v>
      </c>
      <c r="B13528" s="3" t="s">
        <v>11645</v>
      </c>
      <c r="C13528" s="5" t="s">
        <v>614</v>
      </c>
      <c r="D13528" s="3" t="s">
        <v>206</v>
      </c>
      <c r="E13528" s="3" t="s">
        <v>100</v>
      </c>
      <c r="F13528" s="7">
        <v>46008.78570710725</v>
      </c>
      <c r="G13528" s="3" t="s">
        <v>26220</v>
      </c>
    </row>
    <row r="13529">
      <c r="A13529" s="3" t="s">
        <v>29309</v>
      </c>
      <c r="B13529" s="3" t="s">
        <v>11645</v>
      </c>
      <c r="C13529" s="5" t="s">
        <v>206</v>
      </c>
      <c r="D13529" s="3" t="s">
        <v>68</v>
      </c>
      <c r="E13529" s="3" t="s">
        <v>100</v>
      </c>
      <c r="F13529" s="7">
        <v>46008.78917932947</v>
      </c>
      <c r="G13529" s="3" t="s">
        <v>26222</v>
      </c>
    </row>
    <row r="13530">
      <c r="A13530" s="3" t="s">
        <v>29310</v>
      </c>
      <c r="B13530" s="3" t="s">
        <v>11646</v>
      </c>
      <c r="C13530" s="5" t="s">
        <v>45</v>
      </c>
      <c r="D13530" s="3" t="s">
        <v>221</v>
      </c>
      <c r="E13530" s="3" t="s">
        <v>250</v>
      </c>
      <c r="F13530" s="7">
        <v>46008.849937508225</v>
      </c>
      <c r="G13530" s="3" t="s">
        <v>17197</v>
      </c>
    </row>
    <row r="13531">
      <c r="A13531" s="3" t="s">
        <v>29311</v>
      </c>
      <c r="B13531" s="3" t="s">
        <v>11646</v>
      </c>
      <c r="C13531" s="5" t="s">
        <v>221</v>
      </c>
      <c r="D13531" s="3" t="s">
        <v>614</v>
      </c>
      <c r="E13531" s="3" t="s">
        <v>118</v>
      </c>
      <c r="F13531" s="7">
        <v>46008.853409730444</v>
      </c>
      <c r="G13531" s="3" t="s">
        <v>17199</v>
      </c>
    </row>
    <row r="13532">
      <c r="A13532" s="3" t="s">
        <v>29312</v>
      </c>
      <c r="B13532" s="3" t="s">
        <v>11646</v>
      </c>
      <c r="C13532" s="5" t="s">
        <v>614</v>
      </c>
      <c r="D13532" s="3" t="s">
        <v>206</v>
      </c>
      <c r="E13532" s="3" t="s">
        <v>100</v>
      </c>
      <c r="F13532" s="7">
        <v>46008.85688195267</v>
      </c>
      <c r="G13532" s="3" t="s">
        <v>17202</v>
      </c>
    </row>
    <row r="13533">
      <c r="A13533" s="3" t="s">
        <v>29313</v>
      </c>
      <c r="B13533" s="3" t="s">
        <v>11646</v>
      </c>
      <c r="C13533" s="5" t="s">
        <v>206</v>
      </c>
      <c r="D13533" s="3" t="s">
        <v>68</v>
      </c>
      <c r="E13533" s="3" t="s">
        <v>100</v>
      </c>
      <c r="F13533" s="7">
        <v>46008.86035417489</v>
      </c>
      <c r="G13533" s="3" t="s">
        <v>17205</v>
      </c>
    </row>
    <row r="13534">
      <c r="A13534" s="3" t="s">
        <v>29314</v>
      </c>
      <c r="B13534" s="3" t="s">
        <v>11648</v>
      </c>
      <c r="C13534" s="5" t="s">
        <v>45</v>
      </c>
      <c r="D13534" s="3" t="s">
        <v>221</v>
      </c>
      <c r="E13534" s="3" t="s">
        <v>165</v>
      </c>
      <c r="F13534" s="7">
        <v>46008.92111235363</v>
      </c>
      <c r="G13534" s="3" t="s">
        <v>24623</v>
      </c>
    </row>
    <row r="13535">
      <c r="A13535" s="3" t="s">
        <v>29315</v>
      </c>
      <c r="B13535" s="3" t="s">
        <v>11648</v>
      </c>
      <c r="C13535" s="5" t="s">
        <v>221</v>
      </c>
      <c r="D13535" s="3" t="s">
        <v>614</v>
      </c>
      <c r="E13535" s="3" t="s">
        <v>118</v>
      </c>
      <c r="F13535" s="7">
        <v>46008.92458457585</v>
      </c>
      <c r="G13535" s="3" t="s">
        <v>24625</v>
      </c>
    </row>
    <row r="13536">
      <c r="A13536" s="3" t="s">
        <v>29316</v>
      </c>
      <c r="B13536" s="3" t="s">
        <v>11648</v>
      </c>
      <c r="C13536" s="5" t="s">
        <v>614</v>
      </c>
      <c r="D13536" s="3" t="s">
        <v>206</v>
      </c>
      <c r="E13536" s="3" t="s">
        <v>100</v>
      </c>
      <c r="F13536" s="7">
        <v>46008.928056798075</v>
      </c>
      <c r="G13536" s="3" t="s">
        <v>24627</v>
      </c>
    </row>
    <row r="13537">
      <c r="A13537" s="3" t="s">
        <v>29317</v>
      </c>
      <c r="B13537" s="3" t="s">
        <v>11648</v>
      </c>
      <c r="C13537" s="5" t="s">
        <v>206</v>
      </c>
      <c r="D13537" s="3" t="s">
        <v>68</v>
      </c>
      <c r="E13537" s="3" t="s">
        <v>100</v>
      </c>
      <c r="F13537" s="7">
        <v>46008.931529020294</v>
      </c>
      <c r="G13537" s="3" t="s">
        <v>24629</v>
      </c>
    </row>
    <row r="13538">
      <c r="A13538" s="3" t="s">
        <v>29318</v>
      </c>
      <c r="B13538" s="3" t="s">
        <v>11652</v>
      </c>
      <c r="C13538" s="5" t="s">
        <v>45</v>
      </c>
      <c r="D13538" s="3" t="s">
        <v>221</v>
      </c>
      <c r="E13538" s="3" t="s">
        <v>507</v>
      </c>
      <c r="F13538" s="7">
        <v>46008.99228719905</v>
      </c>
      <c r="G13538" s="3" t="s">
        <v>27164</v>
      </c>
    </row>
    <row r="13539">
      <c r="A13539" s="3" t="s">
        <v>29319</v>
      </c>
      <c r="B13539" s="3" t="s">
        <v>11652</v>
      </c>
      <c r="C13539" s="5" t="s">
        <v>221</v>
      </c>
      <c r="D13539" s="3" t="s">
        <v>195</v>
      </c>
      <c r="E13539" s="3" t="s">
        <v>507</v>
      </c>
      <c r="F13539" s="7">
        <v>46008.99575942127</v>
      </c>
      <c r="G13539" s="3" t="s">
        <v>29320</v>
      </c>
    </row>
    <row r="13540">
      <c r="A13540" s="3" t="s">
        <v>29321</v>
      </c>
      <c r="B13540" s="3" t="s">
        <v>11655</v>
      </c>
      <c r="C13540" s="5" t="s">
        <v>45</v>
      </c>
      <c r="D13540" s="3" t="s">
        <v>221</v>
      </c>
      <c r="E13540" s="3" t="s">
        <v>1034</v>
      </c>
      <c r="F13540" s="7">
        <v>46009.06346204447</v>
      </c>
      <c r="G13540" s="3" t="s">
        <v>29322</v>
      </c>
    </row>
    <row r="13541">
      <c r="A13541" s="3" t="s">
        <v>29323</v>
      </c>
      <c r="B13541" s="3" t="s">
        <v>11655</v>
      </c>
      <c r="C13541" s="5" t="s">
        <v>221</v>
      </c>
      <c r="D13541" s="3" t="s">
        <v>614</v>
      </c>
      <c r="E13541" s="3" t="s">
        <v>118</v>
      </c>
      <c r="F13541" s="7">
        <v>46009.06693426669</v>
      </c>
      <c r="G13541" s="3" t="s">
        <v>29324</v>
      </c>
    </row>
    <row r="13542">
      <c r="A13542" s="3" t="s">
        <v>29325</v>
      </c>
      <c r="B13542" s="3" t="s">
        <v>11655</v>
      </c>
      <c r="C13542" s="5" t="s">
        <v>614</v>
      </c>
      <c r="D13542" s="3" t="s">
        <v>206</v>
      </c>
      <c r="E13542" s="3" t="s">
        <v>100</v>
      </c>
      <c r="F13542" s="7">
        <v>46009.070406488914</v>
      </c>
      <c r="G13542" s="3" t="s">
        <v>29326</v>
      </c>
    </row>
    <row r="13543">
      <c r="A13543" s="3" t="s">
        <v>29327</v>
      </c>
      <c r="B13543" s="3" t="s">
        <v>11655</v>
      </c>
      <c r="C13543" s="5" t="s">
        <v>206</v>
      </c>
      <c r="D13543" s="3" t="s">
        <v>68</v>
      </c>
      <c r="E13543" s="3" t="s">
        <v>100</v>
      </c>
      <c r="F13543" s="7">
        <v>46009.07387871113</v>
      </c>
      <c r="G13543" s="3" t="s">
        <v>29328</v>
      </c>
    </row>
    <row r="13544">
      <c r="A13544" s="3" t="s">
        <v>29329</v>
      </c>
      <c r="B13544" s="3" t="s">
        <v>11658</v>
      </c>
      <c r="C13544" s="5" t="s">
        <v>45</v>
      </c>
      <c r="D13544" s="3" t="s">
        <v>221</v>
      </c>
      <c r="E13544" s="3" t="s">
        <v>600</v>
      </c>
      <c r="F13544" s="7">
        <v>46009.13463688988</v>
      </c>
      <c r="G13544" s="3" t="s">
        <v>29330</v>
      </c>
    </row>
    <row r="13545">
      <c r="A13545" s="3" t="s">
        <v>29331</v>
      </c>
      <c r="B13545" s="3" t="s">
        <v>11658</v>
      </c>
      <c r="C13545" s="5" t="s">
        <v>221</v>
      </c>
      <c r="D13545" s="3" t="s">
        <v>614</v>
      </c>
      <c r="E13545" s="3" t="s">
        <v>118</v>
      </c>
      <c r="F13545" s="7">
        <v>46009.1381091121</v>
      </c>
      <c r="G13545" s="3" t="s">
        <v>29332</v>
      </c>
    </row>
    <row r="13546">
      <c r="A13546" s="3" t="s">
        <v>29333</v>
      </c>
      <c r="B13546" s="3" t="s">
        <v>11658</v>
      </c>
      <c r="C13546" s="5" t="s">
        <v>614</v>
      </c>
      <c r="D13546" s="3" t="s">
        <v>206</v>
      </c>
      <c r="E13546" s="3" t="s">
        <v>100</v>
      </c>
      <c r="F13546" s="7">
        <v>46009.14158133433</v>
      </c>
      <c r="G13546" s="3" t="s">
        <v>29334</v>
      </c>
    </row>
    <row r="13547">
      <c r="A13547" s="3" t="s">
        <v>29335</v>
      </c>
      <c r="B13547" s="3" t="s">
        <v>11658</v>
      </c>
      <c r="C13547" s="5" t="s">
        <v>206</v>
      </c>
      <c r="D13547" s="3" t="s">
        <v>68</v>
      </c>
      <c r="E13547" s="3" t="s">
        <v>100</v>
      </c>
      <c r="F13547" s="7">
        <v>46009.145053556545</v>
      </c>
      <c r="G13547" s="3" t="s">
        <v>29336</v>
      </c>
    </row>
    <row r="13548">
      <c r="A13548" s="3" t="s">
        <v>29337</v>
      </c>
      <c r="B13548" s="3" t="s">
        <v>11663</v>
      </c>
      <c r="C13548" s="5" t="s">
        <v>45</v>
      </c>
      <c r="D13548" s="3" t="s">
        <v>221</v>
      </c>
      <c r="E13548" s="3" t="s">
        <v>395</v>
      </c>
      <c r="F13548" s="7">
        <v>46009.20581173529</v>
      </c>
      <c r="G13548" s="3" t="s">
        <v>10611</v>
      </c>
    </row>
    <row r="13549">
      <c r="A13549" s="3" t="s">
        <v>29338</v>
      </c>
      <c r="B13549" s="3" t="s">
        <v>11663</v>
      </c>
      <c r="C13549" s="5" t="s">
        <v>221</v>
      </c>
      <c r="D13549" s="3" t="s">
        <v>614</v>
      </c>
      <c r="E13549" s="3" t="s">
        <v>118</v>
      </c>
      <c r="F13549" s="7">
        <v>46009.20928395751</v>
      </c>
      <c r="G13549" s="3" t="s">
        <v>10614</v>
      </c>
    </row>
    <row r="13550">
      <c r="A13550" s="3" t="s">
        <v>29339</v>
      </c>
      <c r="B13550" s="3" t="s">
        <v>11663</v>
      </c>
      <c r="C13550" s="5" t="s">
        <v>614</v>
      </c>
      <c r="D13550" s="3" t="s">
        <v>206</v>
      </c>
      <c r="E13550" s="3" t="s">
        <v>100</v>
      </c>
      <c r="F13550" s="7">
        <v>46009.21275617974</v>
      </c>
      <c r="G13550" s="3" t="s">
        <v>10617</v>
      </c>
    </row>
    <row r="13551">
      <c r="A13551" s="3" t="s">
        <v>29340</v>
      </c>
      <c r="B13551" s="3" t="s">
        <v>11663</v>
      </c>
      <c r="C13551" s="5" t="s">
        <v>206</v>
      </c>
      <c r="D13551" s="3" t="s">
        <v>68</v>
      </c>
      <c r="E13551" s="3" t="s">
        <v>100</v>
      </c>
      <c r="F13551" s="7">
        <v>46009.21622840196</v>
      </c>
      <c r="G13551" s="3" t="s">
        <v>10620</v>
      </c>
    </row>
    <row r="13552">
      <c r="A13552" s="3" t="s">
        <v>29341</v>
      </c>
      <c r="B13552" s="3" t="s">
        <v>11666</v>
      </c>
      <c r="C13552" s="5" t="s">
        <v>45</v>
      </c>
      <c r="D13552" s="3" t="s">
        <v>221</v>
      </c>
      <c r="E13552" s="3" t="s">
        <v>559</v>
      </c>
      <c r="F13552" s="7">
        <v>46009.27698658071</v>
      </c>
      <c r="G13552" s="3" t="s">
        <v>16918</v>
      </c>
    </row>
    <row r="13553">
      <c r="A13553" s="3" t="s">
        <v>29342</v>
      </c>
      <c r="B13553" s="3" t="s">
        <v>11666</v>
      </c>
      <c r="C13553" s="5" t="s">
        <v>221</v>
      </c>
      <c r="D13553" s="3" t="s">
        <v>614</v>
      </c>
      <c r="E13553" s="3" t="s">
        <v>118</v>
      </c>
      <c r="F13553" s="7">
        <v>46009.28045880293</v>
      </c>
      <c r="G13553" s="3" t="s">
        <v>16920</v>
      </c>
    </row>
    <row r="13554">
      <c r="A13554" s="3" t="s">
        <v>29343</v>
      </c>
      <c r="B13554" s="3" t="s">
        <v>11666</v>
      </c>
      <c r="C13554" s="5" t="s">
        <v>614</v>
      </c>
      <c r="D13554" s="3" t="s">
        <v>206</v>
      </c>
      <c r="E13554" s="3" t="s">
        <v>100</v>
      </c>
      <c r="F13554" s="7">
        <v>46009.28393102516</v>
      </c>
      <c r="G13554" s="3" t="s">
        <v>16923</v>
      </c>
    </row>
    <row r="13555">
      <c r="A13555" s="3" t="s">
        <v>29344</v>
      </c>
      <c r="B13555" s="3" t="s">
        <v>11666</v>
      </c>
      <c r="C13555" s="5" t="s">
        <v>206</v>
      </c>
      <c r="D13555" s="3" t="s">
        <v>68</v>
      </c>
      <c r="E13555" s="3" t="s">
        <v>100</v>
      </c>
      <c r="F13555" s="7">
        <v>46009.28740324738</v>
      </c>
      <c r="G13555" s="3" t="s">
        <v>16926</v>
      </c>
    </row>
    <row r="13556">
      <c r="A13556" s="3" t="s">
        <v>29345</v>
      </c>
      <c r="B13556" s="3" t="s">
        <v>11669</v>
      </c>
      <c r="C13556" s="5" t="s">
        <v>45</v>
      </c>
      <c r="D13556" s="3" t="s">
        <v>221</v>
      </c>
      <c r="E13556" s="3" t="s">
        <v>293</v>
      </c>
      <c r="F13556" s="7">
        <v>46009.348161426125</v>
      </c>
      <c r="G13556" s="3" t="s">
        <v>22859</v>
      </c>
    </row>
    <row r="13557">
      <c r="A13557" s="3" t="s">
        <v>29346</v>
      </c>
      <c r="B13557" s="3" t="s">
        <v>11669</v>
      </c>
      <c r="C13557" s="5" t="s">
        <v>221</v>
      </c>
      <c r="D13557" s="3" t="s">
        <v>614</v>
      </c>
      <c r="E13557" s="3" t="s">
        <v>118</v>
      </c>
      <c r="F13557" s="7">
        <v>46009.351633648344</v>
      </c>
      <c r="G13557" s="3" t="s">
        <v>25383</v>
      </c>
    </row>
    <row r="13558">
      <c r="A13558" s="3" t="s">
        <v>29347</v>
      </c>
      <c r="B13558" s="3" t="s">
        <v>11669</v>
      </c>
      <c r="C13558" s="5" t="s">
        <v>614</v>
      </c>
      <c r="D13558" s="3" t="s">
        <v>206</v>
      </c>
      <c r="E13558" s="3" t="s">
        <v>100</v>
      </c>
      <c r="F13558" s="7">
        <v>46009.35510587057</v>
      </c>
      <c r="G13558" s="3" t="s">
        <v>25385</v>
      </c>
    </row>
    <row r="13559">
      <c r="A13559" s="3" t="s">
        <v>29348</v>
      </c>
      <c r="B13559" s="3" t="s">
        <v>11669</v>
      </c>
      <c r="C13559" s="5" t="s">
        <v>206</v>
      </c>
      <c r="D13559" s="3" t="s">
        <v>68</v>
      </c>
      <c r="E13559" s="3" t="s">
        <v>100</v>
      </c>
      <c r="F13559" s="7">
        <v>46009.35857809279</v>
      </c>
      <c r="G13559" s="3" t="s">
        <v>25387</v>
      </c>
    </row>
    <row r="13560">
      <c r="A13560" s="3" t="s">
        <v>29349</v>
      </c>
      <c r="B13560" s="3" t="s">
        <v>11672</v>
      </c>
      <c r="C13560" s="5" t="s">
        <v>45</v>
      </c>
      <c r="D13560" s="3" t="s">
        <v>221</v>
      </c>
      <c r="E13560" s="3" t="s">
        <v>310</v>
      </c>
      <c r="F13560" s="7">
        <v>46009.41933627154</v>
      </c>
      <c r="G13560" s="3" t="s">
        <v>29350</v>
      </c>
    </row>
    <row r="13561">
      <c r="A13561" s="3" t="s">
        <v>29351</v>
      </c>
      <c r="B13561" s="3" t="s">
        <v>11672</v>
      </c>
      <c r="C13561" s="5" t="s">
        <v>221</v>
      </c>
      <c r="D13561" s="3" t="s">
        <v>614</v>
      </c>
      <c r="E13561" s="3" t="s">
        <v>118</v>
      </c>
      <c r="F13561" s="7">
        <v>46009.42280849376</v>
      </c>
      <c r="G13561" s="3" t="s">
        <v>29352</v>
      </c>
    </row>
    <row r="13562">
      <c r="A13562" s="3" t="s">
        <v>29353</v>
      </c>
      <c r="B13562" s="3" t="s">
        <v>11672</v>
      </c>
      <c r="C13562" s="5" t="s">
        <v>614</v>
      </c>
      <c r="D13562" s="3" t="s">
        <v>206</v>
      </c>
      <c r="E13562" s="3" t="s">
        <v>100</v>
      </c>
      <c r="F13562" s="7">
        <v>46009.42628071598</v>
      </c>
      <c r="G13562" s="3" t="s">
        <v>29354</v>
      </c>
    </row>
    <row r="13563">
      <c r="A13563" s="3" t="s">
        <v>29355</v>
      </c>
      <c r="B13563" s="3" t="s">
        <v>11672</v>
      </c>
      <c r="C13563" s="5" t="s">
        <v>206</v>
      </c>
      <c r="D13563" s="3" t="s">
        <v>68</v>
      </c>
      <c r="E13563" s="3" t="s">
        <v>100</v>
      </c>
      <c r="F13563" s="7">
        <v>46009.4297529382</v>
      </c>
      <c r="G13563" s="3" t="s">
        <v>29356</v>
      </c>
    </row>
    <row r="13564">
      <c r="A13564" s="3" t="s">
        <v>29357</v>
      </c>
      <c r="B13564" s="3" t="s">
        <v>11675</v>
      </c>
      <c r="C13564" s="5" t="s">
        <v>45</v>
      </c>
      <c r="D13564" s="3" t="s">
        <v>221</v>
      </c>
      <c r="E13564" s="3" t="s">
        <v>162</v>
      </c>
      <c r="F13564" s="7">
        <v>46009.49051111696</v>
      </c>
      <c r="G13564" s="3" t="s">
        <v>28448</v>
      </c>
    </row>
    <row r="13565">
      <c r="A13565" s="3" t="s">
        <v>29358</v>
      </c>
      <c r="B13565" s="3" t="s">
        <v>11675</v>
      </c>
      <c r="C13565" s="5" t="s">
        <v>221</v>
      </c>
      <c r="D13565" s="3" t="s">
        <v>195</v>
      </c>
      <c r="E13565" s="3" t="s">
        <v>162</v>
      </c>
      <c r="F13565" s="7">
        <v>46009.493983339176</v>
      </c>
      <c r="G13565" s="3" t="s">
        <v>29359</v>
      </c>
    </row>
    <row r="13566">
      <c r="A13566" s="3" t="s">
        <v>29360</v>
      </c>
      <c r="B13566" s="3" t="s">
        <v>11679</v>
      </c>
      <c r="C13566" s="5" t="s">
        <v>45</v>
      </c>
      <c r="D13566" s="3" t="s">
        <v>221</v>
      </c>
      <c r="E13566" s="3" t="s">
        <v>307</v>
      </c>
      <c r="F13566" s="7">
        <v>46009.56168596238</v>
      </c>
      <c r="G13566" s="3" t="s">
        <v>18268</v>
      </c>
    </row>
    <row r="13567">
      <c r="A13567" s="3" t="s">
        <v>29361</v>
      </c>
      <c r="B13567" s="3" t="s">
        <v>11679</v>
      </c>
      <c r="C13567" s="5" t="s">
        <v>221</v>
      </c>
      <c r="D13567" s="3" t="s">
        <v>614</v>
      </c>
      <c r="E13567" s="3" t="s">
        <v>118</v>
      </c>
      <c r="F13567" s="7">
        <v>46009.565158184596</v>
      </c>
      <c r="G13567" s="3" t="s">
        <v>18271</v>
      </c>
    </row>
    <row r="13568">
      <c r="A13568" s="3" t="s">
        <v>29362</v>
      </c>
      <c r="B13568" s="3" t="s">
        <v>11679</v>
      </c>
      <c r="C13568" s="5" t="s">
        <v>614</v>
      </c>
      <c r="D13568" s="3" t="s">
        <v>206</v>
      </c>
      <c r="E13568" s="3" t="s">
        <v>100</v>
      </c>
      <c r="F13568" s="7">
        <v>46009.56863040682</v>
      </c>
      <c r="G13568" s="3" t="s">
        <v>18274</v>
      </c>
    </row>
    <row r="13569">
      <c r="A13569" s="3" t="s">
        <v>29363</v>
      </c>
      <c r="B13569" s="3" t="s">
        <v>11679</v>
      </c>
      <c r="C13569" s="5" t="s">
        <v>206</v>
      </c>
      <c r="D13569" s="3" t="s">
        <v>68</v>
      </c>
      <c r="E13569" s="3" t="s">
        <v>100</v>
      </c>
      <c r="F13569" s="7">
        <v>46009.57210262904</v>
      </c>
      <c r="G13569" s="3" t="s">
        <v>18276</v>
      </c>
    </row>
    <row r="13570">
      <c r="A13570" s="3" t="s">
        <v>29364</v>
      </c>
      <c r="B13570" s="3" t="s">
        <v>11683</v>
      </c>
      <c r="C13570" s="5" t="s">
        <v>45</v>
      </c>
      <c r="D13570" s="3" t="s">
        <v>221</v>
      </c>
      <c r="E13570" s="3" t="s">
        <v>250</v>
      </c>
      <c r="F13570" s="7">
        <v>46009.63286080778</v>
      </c>
      <c r="G13570" s="3" t="s">
        <v>18316</v>
      </c>
    </row>
    <row r="13571">
      <c r="A13571" s="3" t="s">
        <v>29365</v>
      </c>
      <c r="B13571" s="3" t="s">
        <v>11683</v>
      </c>
      <c r="C13571" s="5" t="s">
        <v>221</v>
      </c>
      <c r="D13571" s="3" t="s">
        <v>614</v>
      </c>
      <c r="E13571" s="3" t="s">
        <v>118</v>
      </c>
      <c r="F13571" s="7">
        <v>46009.63633303</v>
      </c>
      <c r="G13571" s="3" t="s">
        <v>18318</v>
      </c>
    </row>
    <row r="13572">
      <c r="A13572" s="3" t="s">
        <v>29366</v>
      </c>
      <c r="B13572" s="3" t="s">
        <v>11683</v>
      </c>
      <c r="C13572" s="5" t="s">
        <v>614</v>
      </c>
      <c r="D13572" s="3" t="s">
        <v>206</v>
      </c>
      <c r="E13572" s="3" t="s">
        <v>100</v>
      </c>
      <c r="F13572" s="7">
        <v>46009.63980525223</v>
      </c>
      <c r="G13572" s="3" t="s">
        <v>18320</v>
      </c>
    </row>
    <row r="13573">
      <c r="A13573" s="3" t="s">
        <v>29367</v>
      </c>
      <c r="B13573" s="3" t="s">
        <v>11683</v>
      </c>
      <c r="C13573" s="5" t="s">
        <v>206</v>
      </c>
      <c r="D13573" s="3" t="s">
        <v>68</v>
      </c>
      <c r="E13573" s="3" t="s">
        <v>100</v>
      </c>
      <c r="F13573" s="7">
        <v>46009.643277474446</v>
      </c>
      <c r="G13573" s="3" t="s">
        <v>18322</v>
      </c>
    </row>
    <row r="13574">
      <c r="A13574" s="3" t="s">
        <v>29368</v>
      </c>
      <c r="B13574" s="3" t="s">
        <v>11686</v>
      </c>
      <c r="C13574" s="5" t="s">
        <v>45</v>
      </c>
      <c r="D13574" s="3" t="s">
        <v>221</v>
      </c>
      <c r="E13574" s="3" t="s">
        <v>404</v>
      </c>
      <c r="F13574" s="7">
        <v>46009.7040356532</v>
      </c>
      <c r="G13574" s="3" t="s">
        <v>29369</v>
      </c>
    </row>
    <row r="13575">
      <c r="A13575" s="3" t="s">
        <v>29370</v>
      </c>
      <c r="B13575" s="3" t="s">
        <v>11686</v>
      </c>
      <c r="C13575" s="5" t="s">
        <v>221</v>
      </c>
      <c r="D13575" s="3" t="s">
        <v>614</v>
      </c>
      <c r="E13575" s="3" t="s">
        <v>118</v>
      </c>
      <c r="F13575" s="7">
        <v>46009.70750787542</v>
      </c>
      <c r="G13575" s="3" t="s">
        <v>29371</v>
      </c>
    </row>
    <row r="13576">
      <c r="A13576" s="3" t="s">
        <v>29372</v>
      </c>
      <c r="B13576" s="3" t="s">
        <v>11686</v>
      </c>
      <c r="C13576" s="5" t="s">
        <v>614</v>
      </c>
      <c r="D13576" s="3" t="s">
        <v>206</v>
      </c>
      <c r="E13576" s="3" t="s">
        <v>100</v>
      </c>
      <c r="F13576" s="7">
        <v>46009.71098009765</v>
      </c>
      <c r="G13576" s="3" t="s">
        <v>29373</v>
      </c>
    </row>
    <row r="13577">
      <c r="A13577" s="3" t="s">
        <v>29374</v>
      </c>
      <c r="B13577" s="3" t="s">
        <v>11686</v>
      </c>
      <c r="C13577" s="5" t="s">
        <v>206</v>
      </c>
      <c r="D13577" s="3" t="s">
        <v>68</v>
      </c>
      <c r="E13577" s="3" t="s">
        <v>100</v>
      </c>
      <c r="F13577" s="7">
        <v>46009.714452319866</v>
      </c>
      <c r="G13577" s="3" t="s">
        <v>29375</v>
      </c>
    </row>
    <row r="13578">
      <c r="A13578" s="3" t="s">
        <v>29376</v>
      </c>
      <c r="B13578" s="3" t="s">
        <v>11688</v>
      </c>
      <c r="C13578" s="5" t="s">
        <v>45</v>
      </c>
      <c r="D13578" s="3" t="s">
        <v>221</v>
      </c>
      <c r="E13578" s="3" t="s">
        <v>672</v>
      </c>
      <c r="F13578" s="7">
        <v>46009.775210498614</v>
      </c>
      <c r="G13578" s="3" t="s">
        <v>18358</v>
      </c>
    </row>
    <row r="13579">
      <c r="A13579" s="3" t="s">
        <v>29377</v>
      </c>
      <c r="B13579" s="3" t="s">
        <v>11688</v>
      </c>
      <c r="C13579" s="5" t="s">
        <v>221</v>
      </c>
      <c r="D13579" s="3" t="s">
        <v>614</v>
      </c>
      <c r="E13579" s="3" t="s">
        <v>118</v>
      </c>
      <c r="F13579" s="7">
        <v>46009.77868272083</v>
      </c>
      <c r="G13579" s="3" t="s">
        <v>18361</v>
      </c>
    </row>
    <row r="13580">
      <c r="A13580" s="3" t="s">
        <v>29378</v>
      </c>
      <c r="B13580" s="3" t="s">
        <v>11688</v>
      </c>
      <c r="C13580" s="5" t="s">
        <v>614</v>
      </c>
      <c r="D13580" s="3" t="s">
        <v>206</v>
      </c>
      <c r="E13580" s="3" t="s">
        <v>100</v>
      </c>
      <c r="F13580" s="7">
        <v>46009.78215494306</v>
      </c>
      <c r="G13580" s="3" t="s">
        <v>18364</v>
      </c>
    </row>
    <row r="13581">
      <c r="A13581" s="3" t="s">
        <v>29379</v>
      </c>
      <c r="B13581" s="3" t="s">
        <v>11688</v>
      </c>
      <c r="C13581" s="5" t="s">
        <v>206</v>
      </c>
      <c r="D13581" s="3" t="s">
        <v>68</v>
      </c>
      <c r="E13581" s="3" t="s">
        <v>100</v>
      </c>
      <c r="F13581" s="7">
        <v>46009.78562716528</v>
      </c>
      <c r="G13581" s="3" t="s">
        <v>18366</v>
      </c>
    </row>
    <row r="13582">
      <c r="A13582" s="3" t="s">
        <v>29380</v>
      </c>
      <c r="B13582" s="3" t="s">
        <v>11690</v>
      </c>
      <c r="C13582" s="5" t="s">
        <v>45</v>
      </c>
      <c r="D13582" s="3" t="s">
        <v>221</v>
      </c>
      <c r="E13582" s="3" t="s">
        <v>168</v>
      </c>
      <c r="F13582" s="7">
        <v>46009.84638534403</v>
      </c>
      <c r="G13582" s="3" t="s">
        <v>16100</v>
      </c>
    </row>
    <row r="13583">
      <c r="A13583" s="3" t="s">
        <v>29381</v>
      </c>
      <c r="B13583" s="3" t="s">
        <v>11690</v>
      </c>
      <c r="C13583" s="5" t="s">
        <v>221</v>
      </c>
      <c r="D13583" s="3" t="s">
        <v>195</v>
      </c>
      <c r="E13583" s="3" t="s">
        <v>168</v>
      </c>
      <c r="F13583" s="7">
        <v>46009.84985756625</v>
      </c>
      <c r="G13583" s="3" t="s">
        <v>29382</v>
      </c>
    </row>
    <row r="13584">
      <c r="A13584" s="3" t="s">
        <v>29383</v>
      </c>
      <c r="B13584" s="3" t="s">
        <v>11692</v>
      </c>
      <c r="C13584" s="5" t="s">
        <v>45</v>
      </c>
      <c r="D13584" s="3" t="s">
        <v>221</v>
      </c>
      <c r="E13584" s="3" t="s">
        <v>841</v>
      </c>
      <c r="F13584" s="7">
        <v>46009.917560189446</v>
      </c>
      <c r="G13584" s="3" t="s">
        <v>28553</v>
      </c>
    </row>
    <row r="13585">
      <c r="A13585" s="3" t="s">
        <v>29384</v>
      </c>
      <c r="B13585" s="3" t="s">
        <v>11692</v>
      </c>
      <c r="C13585" s="5" t="s">
        <v>221</v>
      </c>
      <c r="D13585" s="3" t="s">
        <v>614</v>
      </c>
      <c r="E13585" s="3" t="s">
        <v>118</v>
      </c>
      <c r="F13585" s="7">
        <v>46009.921032411665</v>
      </c>
      <c r="G13585" s="3" t="s">
        <v>28555</v>
      </c>
    </row>
    <row r="13586">
      <c r="A13586" s="3" t="s">
        <v>29385</v>
      </c>
      <c r="B13586" s="3" t="s">
        <v>11692</v>
      </c>
      <c r="C13586" s="5" t="s">
        <v>614</v>
      </c>
      <c r="D13586" s="3" t="s">
        <v>206</v>
      </c>
      <c r="E13586" s="3" t="s">
        <v>100</v>
      </c>
      <c r="F13586" s="7">
        <v>46009.92450463389</v>
      </c>
      <c r="G13586" s="3" t="s">
        <v>28557</v>
      </c>
    </row>
    <row r="13587">
      <c r="A13587" s="3" t="s">
        <v>29386</v>
      </c>
      <c r="B13587" s="3" t="s">
        <v>11692</v>
      </c>
      <c r="C13587" s="5" t="s">
        <v>206</v>
      </c>
      <c r="D13587" s="3" t="s">
        <v>68</v>
      </c>
      <c r="E13587" s="3" t="s">
        <v>100</v>
      </c>
      <c r="F13587" s="7">
        <v>46009.92797685611</v>
      </c>
      <c r="G13587" s="3" t="s">
        <v>28559</v>
      </c>
    </row>
    <row r="13588">
      <c r="A13588" s="3" t="s">
        <v>29387</v>
      </c>
      <c r="B13588" s="3" t="s">
        <v>11694</v>
      </c>
      <c r="C13588" s="5" t="s">
        <v>45</v>
      </c>
      <c r="D13588" s="3" t="s">
        <v>221</v>
      </c>
      <c r="E13588" s="3" t="s">
        <v>230</v>
      </c>
      <c r="F13588" s="7">
        <v>46009.988735034865</v>
      </c>
      <c r="G13588" s="3" t="s">
        <v>18369</v>
      </c>
    </row>
    <row r="13589">
      <c r="A13589" s="3" t="s">
        <v>29388</v>
      </c>
      <c r="B13589" s="3" t="s">
        <v>11694</v>
      </c>
      <c r="C13589" s="5" t="s">
        <v>221</v>
      </c>
      <c r="D13589" s="3" t="s">
        <v>614</v>
      </c>
      <c r="E13589" s="3" t="s">
        <v>118</v>
      </c>
      <c r="F13589" s="7">
        <v>46009.992207257084</v>
      </c>
      <c r="G13589" s="3" t="s">
        <v>18372</v>
      </c>
    </row>
    <row r="13590">
      <c r="A13590" s="3" t="s">
        <v>29389</v>
      </c>
      <c r="B13590" s="3" t="s">
        <v>11694</v>
      </c>
      <c r="C13590" s="5" t="s">
        <v>614</v>
      </c>
      <c r="D13590" s="3" t="s">
        <v>206</v>
      </c>
      <c r="E13590" s="3" t="s">
        <v>100</v>
      </c>
      <c r="F13590" s="7">
        <v>46009.99567947931</v>
      </c>
      <c r="G13590" s="3" t="s">
        <v>18375</v>
      </c>
    </row>
    <row r="13591">
      <c r="A13591" s="3" t="s">
        <v>29390</v>
      </c>
      <c r="B13591" s="3" t="s">
        <v>11694</v>
      </c>
      <c r="C13591" s="5" t="s">
        <v>206</v>
      </c>
      <c r="D13591" s="3" t="s">
        <v>68</v>
      </c>
      <c r="E13591" s="3" t="s">
        <v>100</v>
      </c>
      <c r="F13591" s="7">
        <v>46009.99915170153</v>
      </c>
      <c r="G13591" s="3" t="s">
        <v>18378</v>
      </c>
    </row>
    <row r="13592">
      <c r="A13592" s="3" t="s">
        <v>29391</v>
      </c>
      <c r="B13592" s="3" t="s">
        <v>11696</v>
      </c>
      <c r="C13592" s="5" t="s">
        <v>45</v>
      </c>
      <c r="D13592" s="3" t="s">
        <v>221</v>
      </c>
      <c r="E13592" s="3" t="s">
        <v>916</v>
      </c>
      <c r="F13592" s="7">
        <v>46010.05990988027</v>
      </c>
      <c r="G13592" s="3" t="s">
        <v>18451</v>
      </c>
    </row>
    <row r="13593">
      <c r="A13593" s="3" t="s">
        <v>29392</v>
      </c>
      <c r="B13593" s="3" t="s">
        <v>11696</v>
      </c>
      <c r="C13593" s="5" t="s">
        <v>221</v>
      </c>
      <c r="D13593" s="3" t="s">
        <v>614</v>
      </c>
      <c r="E13593" s="3" t="s">
        <v>118</v>
      </c>
      <c r="F13593" s="7">
        <v>46010.06338210249</v>
      </c>
      <c r="G13593" s="3" t="s">
        <v>18454</v>
      </c>
    </row>
    <row r="13594">
      <c r="A13594" s="3" t="s">
        <v>29393</v>
      </c>
      <c r="B13594" s="3" t="s">
        <v>11696</v>
      </c>
      <c r="C13594" s="5" t="s">
        <v>614</v>
      </c>
      <c r="D13594" s="3" t="s">
        <v>206</v>
      </c>
      <c r="E13594" s="3" t="s">
        <v>100</v>
      </c>
      <c r="F13594" s="7">
        <v>46010.066854324716</v>
      </c>
      <c r="G13594" s="3" t="s">
        <v>18456</v>
      </c>
    </row>
    <row r="13595">
      <c r="A13595" s="3" t="s">
        <v>29394</v>
      </c>
      <c r="B13595" s="3" t="s">
        <v>11696</v>
      </c>
      <c r="C13595" s="5" t="s">
        <v>206</v>
      </c>
      <c r="D13595" s="3" t="s">
        <v>68</v>
      </c>
      <c r="E13595" s="3" t="s">
        <v>100</v>
      </c>
      <c r="F13595" s="7">
        <v>46010.070326546935</v>
      </c>
      <c r="G13595" s="3" t="s">
        <v>18459</v>
      </c>
    </row>
    <row r="13596">
      <c r="A13596" s="3" t="s">
        <v>29395</v>
      </c>
      <c r="B13596" s="3" t="s">
        <v>11697</v>
      </c>
      <c r="C13596" s="5" t="s">
        <v>45</v>
      </c>
      <c r="D13596" s="3" t="s">
        <v>221</v>
      </c>
      <c r="E13596" s="3" t="s">
        <v>860</v>
      </c>
      <c r="F13596" s="7">
        <v>46010.13108472569</v>
      </c>
      <c r="G13596" s="3" t="s">
        <v>18462</v>
      </c>
    </row>
    <row r="13597">
      <c r="A13597" s="3" t="s">
        <v>29396</v>
      </c>
      <c r="B13597" s="3" t="s">
        <v>11697</v>
      </c>
      <c r="C13597" s="5" t="s">
        <v>221</v>
      </c>
      <c r="D13597" s="3" t="s">
        <v>614</v>
      </c>
      <c r="E13597" s="3" t="s">
        <v>118</v>
      </c>
      <c r="F13597" s="7">
        <v>46010.13455694791</v>
      </c>
      <c r="G13597" s="3" t="s">
        <v>18465</v>
      </c>
    </row>
    <row r="13598">
      <c r="A13598" s="3" t="s">
        <v>29397</v>
      </c>
      <c r="B13598" s="3" t="s">
        <v>11697</v>
      </c>
      <c r="C13598" s="5" t="s">
        <v>614</v>
      </c>
      <c r="D13598" s="3" t="s">
        <v>206</v>
      </c>
      <c r="E13598" s="3" t="s">
        <v>100</v>
      </c>
      <c r="F13598" s="7">
        <v>46010.138029170135</v>
      </c>
      <c r="G13598" s="3" t="s">
        <v>18468</v>
      </c>
    </row>
    <row r="13599">
      <c r="A13599" s="3" t="s">
        <v>29398</v>
      </c>
      <c r="B13599" s="3" t="s">
        <v>11697</v>
      </c>
      <c r="C13599" s="5" t="s">
        <v>206</v>
      </c>
      <c r="D13599" s="3" t="s">
        <v>68</v>
      </c>
      <c r="E13599" s="3" t="s">
        <v>100</v>
      </c>
      <c r="F13599" s="7">
        <v>46010.141501392354</v>
      </c>
      <c r="G13599" s="3" t="s">
        <v>18471</v>
      </c>
    </row>
    <row r="13600">
      <c r="A13600" s="3" t="s">
        <v>29399</v>
      </c>
      <c r="B13600" s="3" t="s">
        <v>11699</v>
      </c>
      <c r="C13600" s="5" t="s">
        <v>45</v>
      </c>
      <c r="D13600" s="3" t="s">
        <v>221</v>
      </c>
      <c r="E13600" s="3" t="s">
        <v>903</v>
      </c>
      <c r="F13600" s="7">
        <v>46010.20225957111</v>
      </c>
      <c r="G13600" s="3" t="s">
        <v>12191</v>
      </c>
    </row>
    <row r="13601">
      <c r="A13601" s="3" t="s">
        <v>29400</v>
      </c>
      <c r="B13601" s="3" t="s">
        <v>11699</v>
      </c>
      <c r="C13601" s="5" t="s">
        <v>221</v>
      </c>
      <c r="D13601" s="3" t="s">
        <v>614</v>
      </c>
      <c r="E13601" s="3" t="s">
        <v>118</v>
      </c>
      <c r="F13601" s="7">
        <v>46010.20573179333</v>
      </c>
      <c r="G13601" s="3" t="s">
        <v>12194</v>
      </c>
    </row>
    <row r="13602">
      <c r="A13602" s="3" t="s">
        <v>29401</v>
      </c>
      <c r="B13602" s="3" t="s">
        <v>11699</v>
      </c>
      <c r="C13602" s="5" t="s">
        <v>614</v>
      </c>
      <c r="D13602" s="3" t="s">
        <v>206</v>
      </c>
      <c r="E13602" s="3" t="s">
        <v>100</v>
      </c>
      <c r="F13602" s="7">
        <v>46010.209204015555</v>
      </c>
      <c r="G13602" s="3" t="s">
        <v>12197</v>
      </c>
    </row>
    <row r="13603">
      <c r="A13603" s="3" t="s">
        <v>29402</v>
      </c>
      <c r="B13603" s="3" t="s">
        <v>11699</v>
      </c>
      <c r="C13603" s="5" t="s">
        <v>206</v>
      </c>
      <c r="D13603" s="3" t="s">
        <v>68</v>
      </c>
      <c r="E13603" s="3" t="s">
        <v>100</v>
      </c>
      <c r="F13603" s="7">
        <v>46010.212676237774</v>
      </c>
      <c r="G13603" s="3" t="s">
        <v>12200</v>
      </c>
    </row>
    <row r="13604">
      <c r="A13604" s="3" t="s">
        <v>29403</v>
      </c>
      <c r="B13604" s="3" t="s">
        <v>11702</v>
      </c>
      <c r="C13604" s="5" t="s">
        <v>45</v>
      </c>
      <c r="D13604" s="3" t="s">
        <v>221</v>
      </c>
      <c r="E13604" s="3" t="s">
        <v>947</v>
      </c>
      <c r="F13604" s="7">
        <v>46010.27343441652</v>
      </c>
      <c r="G13604" s="3" t="s">
        <v>19647</v>
      </c>
    </row>
    <row r="13605">
      <c r="A13605" s="3" t="s">
        <v>29404</v>
      </c>
      <c r="B13605" s="3" t="s">
        <v>11702</v>
      </c>
      <c r="C13605" s="5" t="s">
        <v>221</v>
      </c>
      <c r="D13605" s="3" t="s">
        <v>614</v>
      </c>
      <c r="E13605" s="3" t="s">
        <v>118</v>
      </c>
      <c r="F13605" s="7">
        <v>46010.27690663874</v>
      </c>
      <c r="G13605" s="3" t="s">
        <v>19650</v>
      </c>
    </row>
    <row r="13606">
      <c r="A13606" s="3" t="s">
        <v>29405</v>
      </c>
      <c r="B13606" s="3" t="s">
        <v>11702</v>
      </c>
      <c r="C13606" s="5" t="s">
        <v>614</v>
      </c>
      <c r="D13606" s="3" t="s">
        <v>206</v>
      </c>
      <c r="E13606" s="3" t="s">
        <v>100</v>
      </c>
      <c r="F13606" s="7">
        <v>46010.28037886097</v>
      </c>
      <c r="G13606" s="3" t="s">
        <v>19653</v>
      </c>
    </row>
    <row r="13607">
      <c r="A13607" s="3" t="s">
        <v>29406</v>
      </c>
      <c r="B13607" s="3" t="s">
        <v>11702</v>
      </c>
      <c r="C13607" s="5" t="s">
        <v>206</v>
      </c>
      <c r="D13607" s="3" t="s">
        <v>68</v>
      </c>
      <c r="E13607" s="3" t="s">
        <v>100</v>
      </c>
      <c r="F13607" s="7">
        <v>46010.283851083186</v>
      </c>
      <c r="G13607" s="3" t="s">
        <v>19656</v>
      </c>
    </row>
    <row r="13608">
      <c r="A13608" s="3" t="s">
        <v>29407</v>
      </c>
      <c r="B13608" s="3" t="s">
        <v>11705</v>
      </c>
      <c r="C13608" s="5" t="s">
        <v>45</v>
      </c>
      <c r="D13608" s="3" t="s">
        <v>221</v>
      </c>
      <c r="E13608" s="3" t="s">
        <v>816</v>
      </c>
      <c r="F13608" s="7">
        <v>46010.344609261934</v>
      </c>
      <c r="G13608" s="3" t="s">
        <v>23450</v>
      </c>
    </row>
    <row r="13609">
      <c r="A13609" s="3" t="s">
        <v>29408</v>
      </c>
      <c r="B13609" s="3" t="s">
        <v>11705</v>
      </c>
      <c r="C13609" s="5" t="s">
        <v>221</v>
      </c>
      <c r="D13609" s="3" t="s">
        <v>614</v>
      </c>
      <c r="E13609" s="3" t="s">
        <v>118</v>
      </c>
      <c r="F13609" s="7">
        <v>46010.34808148415</v>
      </c>
      <c r="G13609" s="3" t="s">
        <v>23453</v>
      </c>
    </row>
    <row r="13610">
      <c r="A13610" s="3" t="s">
        <v>29409</v>
      </c>
      <c r="B13610" s="3" t="s">
        <v>11705</v>
      </c>
      <c r="C13610" s="5" t="s">
        <v>614</v>
      </c>
      <c r="D13610" s="3" t="s">
        <v>206</v>
      </c>
      <c r="E13610" s="3" t="s">
        <v>100</v>
      </c>
      <c r="F13610" s="7">
        <v>46010.35155370638</v>
      </c>
      <c r="G13610" s="3" t="s">
        <v>23456</v>
      </c>
    </row>
    <row r="13611">
      <c r="A13611" s="3" t="s">
        <v>29410</v>
      </c>
      <c r="B13611" s="3" t="s">
        <v>11705</v>
      </c>
      <c r="C13611" s="5" t="s">
        <v>206</v>
      </c>
      <c r="D13611" s="3" t="s">
        <v>68</v>
      </c>
      <c r="E13611" s="3" t="s">
        <v>100</v>
      </c>
      <c r="F13611" s="7">
        <v>46010.3550259286</v>
      </c>
      <c r="G13611" s="3" t="s">
        <v>23459</v>
      </c>
    </row>
    <row r="13612">
      <c r="A13612" s="3" t="s">
        <v>29411</v>
      </c>
      <c r="B13612" s="3" t="s">
        <v>11707</v>
      </c>
      <c r="C13612" s="5" t="s">
        <v>45</v>
      </c>
      <c r="D13612" s="3" t="s">
        <v>221</v>
      </c>
      <c r="E13612" s="3" t="s">
        <v>965</v>
      </c>
      <c r="F13612" s="7">
        <v>46010.415784107354</v>
      </c>
      <c r="G13612" s="3" t="s">
        <v>27132</v>
      </c>
    </row>
    <row r="13613">
      <c r="A13613" s="3" t="s">
        <v>29412</v>
      </c>
      <c r="B13613" s="3" t="s">
        <v>11707</v>
      </c>
      <c r="C13613" s="5" t="s">
        <v>221</v>
      </c>
      <c r="D13613" s="3" t="s">
        <v>614</v>
      </c>
      <c r="E13613" s="3" t="s">
        <v>118</v>
      </c>
      <c r="F13613" s="7">
        <v>46010.41925632957</v>
      </c>
      <c r="G13613" s="3" t="s">
        <v>27134</v>
      </c>
    </row>
    <row r="13614">
      <c r="A13614" s="3" t="s">
        <v>29413</v>
      </c>
      <c r="B13614" s="3" t="s">
        <v>11707</v>
      </c>
      <c r="C13614" s="5" t="s">
        <v>614</v>
      </c>
      <c r="D13614" s="3" t="s">
        <v>206</v>
      </c>
      <c r="E13614" s="3" t="s">
        <v>100</v>
      </c>
      <c r="F13614" s="7">
        <v>46010.4227285518</v>
      </c>
      <c r="G13614" s="3" t="s">
        <v>27136</v>
      </c>
    </row>
    <row r="13615">
      <c r="A13615" s="3" t="s">
        <v>29414</v>
      </c>
      <c r="B13615" s="3" t="s">
        <v>11707</v>
      </c>
      <c r="C13615" s="5" t="s">
        <v>206</v>
      </c>
      <c r="D13615" s="3" t="s">
        <v>68</v>
      </c>
      <c r="E13615" s="3" t="s">
        <v>100</v>
      </c>
      <c r="F13615" s="7">
        <v>46010.42620077402</v>
      </c>
      <c r="G13615" s="3" t="s">
        <v>27138</v>
      </c>
    </row>
    <row r="13616">
      <c r="A13616" s="3" t="s">
        <v>29415</v>
      </c>
      <c r="B13616" s="3" t="s">
        <v>11711</v>
      </c>
      <c r="C13616" s="5" t="s">
        <v>45</v>
      </c>
      <c r="D13616" s="3" t="s">
        <v>221</v>
      </c>
      <c r="E13616" s="3" t="s">
        <v>336</v>
      </c>
      <c r="F13616" s="7">
        <v>46010.486958952766</v>
      </c>
      <c r="G13616" s="3" t="s">
        <v>13764</v>
      </c>
    </row>
    <row r="13617">
      <c r="A13617" s="3" t="s">
        <v>29416</v>
      </c>
      <c r="B13617" s="3" t="s">
        <v>11711</v>
      </c>
      <c r="C13617" s="5" t="s">
        <v>221</v>
      </c>
      <c r="D13617" s="3" t="s">
        <v>614</v>
      </c>
      <c r="E13617" s="3" t="s">
        <v>118</v>
      </c>
      <c r="F13617" s="7">
        <v>46010.490431174985</v>
      </c>
      <c r="G13617" s="3" t="s">
        <v>13767</v>
      </c>
    </row>
    <row r="13618">
      <c r="A13618" s="3" t="s">
        <v>29417</v>
      </c>
      <c r="B13618" s="3" t="s">
        <v>11711</v>
      </c>
      <c r="C13618" s="5" t="s">
        <v>614</v>
      </c>
      <c r="D13618" s="3" t="s">
        <v>206</v>
      </c>
      <c r="E13618" s="3" t="s">
        <v>100</v>
      </c>
      <c r="F13618" s="7">
        <v>46010.49390339721</v>
      </c>
      <c r="G13618" s="3" t="s">
        <v>13769</v>
      </c>
    </row>
    <row r="13619">
      <c r="A13619" s="3" t="s">
        <v>29418</v>
      </c>
      <c r="B13619" s="3" t="s">
        <v>11711</v>
      </c>
      <c r="C13619" s="5" t="s">
        <v>206</v>
      </c>
      <c r="D13619" s="3" t="s">
        <v>68</v>
      </c>
      <c r="E13619" s="3" t="s">
        <v>100</v>
      </c>
      <c r="F13619" s="7">
        <v>46010.49737561943</v>
      </c>
      <c r="G13619" s="3" t="s">
        <v>13772</v>
      </c>
    </row>
    <row r="13620">
      <c r="A13620" s="3" t="s">
        <v>29419</v>
      </c>
      <c r="B13620" s="3" t="s">
        <v>11713</v>
      </c>
      <c r="C13620" s="5" t="s">
        <v>45</v>
      </c>
      <c r="D13620" s="3" t="s">
        <v>221</v>
      </c>
      <c r="E13620" s="3" t="s">
        <v>569</v>
      </c>
      <c r="F13620" s="7">
        <v>46010.55813379818</v>
      </c>
      <c r="G13620" s="3" t="s">
        <v>12214</v>
      </c>
    </row>
    <row r="13621">
      <c r="A13621" s="3" t="s">
        <v>29420</v>
      </c>
      <c r="B13621" s="3" t="s">
        <v>11713</v>
      </c>
      <c r="C13621" s="5" t="s">
        <v>221</v>
      </c>
      <c r="D13621" s="3" t="s">
        <v>614</v>
      </c>
      <c r="E13621" s="3" t="s">
        <v>118</v>
      </c>
      <c r="F13621" s="7">
        <v>46010.5616060204</v>
      </c>
      <c r="G13621" s="3" t="s">
        <v>12217</v>
      </c>
    </row>
    <row r="13622">
      <c r="A13622" s="3" t="s">
        <v>29421</v>
      </c>
      <c r="B13622" s="3" t="s">
        <v>11713</v>
      </c>
      <c r="C13622" s="5" t="s">
        <v>614</v>
      </c>
      <c r="D13622" s="3" t="s">
        <v>206</v>
      </c>
      <c r="E13622" s="3" t="s">
        <v>100</v>
      </c>
      <c r="F13622" s="7">
        <v>46010.565078242624</v>
      </c>
      <c r="G13622" s="3" t="s">
        <v>12220</v>
      </c>
    </row>
    <row r="13623">
      <c r="A13623" s="3" t="s">
        <v>29422</v>
      </c>
      <c r="B13623" s="3" t="s">
        <v>11713</v>
      </c>
      <c r="C13623" s="5" t="s">
        <v>206</v>
      </c>
      <c r="D13623" s="3" t="s">
        <v>68</v>
      </c>
      <c r="E13623" s="3" t="s">
        <v>100</v>
      </c>
      <c r="F13623" s="7">
        <v>46010.56855046484</v>
      </c>
      <c r="G13623" s="3" t="s">
        <v>12223</v>
      </c>
    </row>
    <row r="13624">
      <c r="A13624" s="3" t="s">
        <v>29423</v>
      </c>
      <c r="B13624" s="3" t="s">
        <v>11716</v>
      </c>
      <c r="C13624" s="5" t="s">
        <v>45</v>
      </c>
      <c r="D13624" s="3" t="s">
        <v>221</v>
      </c>
      <c r="E13624" s="3" t="s">
        <v>541</v>
      </c>
      <c r="F13624" s="7">
        <v>46010.6293086436</v>
      </c>
      <c r="G13624" s="3" t="s">
        <v>29424</v>
      </c>
    </row>
    <row r="13625">
      <c r="A13625" s="3" t="s">
        <v>29425</v>
      </c>
      <c r="B13625" s="3" t="s">
        <v>11716</v>
      </c>
      <c r="C13625" s="5" t="s">
        <v>221</v>
      </c>
      <c r="D13625" s="3" t="s">
        <v>614</v>
      </c>
      <c r="E13625" s="3" t="s">
        <v>118</v>
      </c>
      <c r="F13625" s="7">
        <v>46010.63278086582</v>
      </c>
      <c r="G13625" s="3" t="s">
        <v>29426</v>
      </c>
    </row>
    <row r="13626">
      <c r="A13626" s="3" t="s">
        <v>29427</v>
      </c>
      <c r="B13626" s="3" t="s">
        <v>11716</v>
      </c>
      <c r="C13626" s="5" t="s">
        <v>614</v>
      </c>
      <c r="D13626" s="3" t="s">
        <v>206</v>
      </c>
      <c r="E13626" s="3" t="s">
        <v>100</v>
      </c>
      <c r="F13626" s="7">
        <v>46010.63625308804</v>
      </c>
      <c r="G13626" s="3" t="s">
        <v>29428</v>
      </c>
    </row>
    <row r="13627">
      <c r="A13627" s="3" t="s">
        <v>29429</v>
      </c>
      <c r="B13627" s="3" t="s">
        <v>11716</v>
      </c>
      <c r="C13627" s="5" t="s">
        <v>206</v>
      </c>
      <c r="D13627" s="3" t="s">
        <v>68</v>
      </c>
      <c r="E13627" s="3" t="s">
        <v>100</v>
      </c>
      <c r="F13627" s="7">
        <v>46010.63972531026</v>
      </c>
      <c r="G13627" s="3" t="s">
        <v>29430</v>
      </c>
    </row>
    <row r="13628">
      <c r="A13628" s="3" t="s">
        <v>29431</v>
      </c>
      <c r="B13628" s="3" t="s">
        <v>11719</v>
      </c>
      <c r="C13628" s="5" t="s">
        <v>45</v>
      </c>
      <c r="D13628" s="3" t="s">
        <v>221</v>
      </c>
      <c r="E13628" s="3" t="s">
        <v>282</v>
      </c>
      <c r="F13628" s="7">
        <v>46010.70048348902</v>
      </c>
      <c r="G13628" s="3" t="s">
        <v>18507</v>
      </c>
    </row>
    <row r="13629">
      <c r="A13629" s="3" t="s">
        <v>29432</v>
      </c>
      <c r="B13629" s="3" t="s">
        <v>11719</v>
      </c>
      <c r="C13629" s="5" t="s">
        <v>221</v>
      </c>
      <c r="D13629" s="3" t="s">
        <v>614</v>
      </c>
      <c r="E13629" s="3" t="s">
        <v>118</v>
      </c>
      <c r="F13629" s="7">
        <v>46010.70395571124</v>
      </c>
      <c r="G13629" s="3" t="s">
        <v>18510</v>
      </c>
    </row>
    <row r="13630">
      <c r="A13630" s="3" t="s">
        <v>29433</v>
      </c>
      <c r="B13630" s="3" t="s">
        <v>11719</v>
      </c>
      <c r="C13630" s="5" t="s">
        <v>614</v>
      </c>
      <c r="D13630" s="3" t="s">
        <v>206</v>
      </c>
      <c r="E13630" s="3" t="s">
        <v>100</v>
      </c>
      <c r="F13630" s="7">
        <v>46010.70742793346</v>
      </c>
      <c r="G13630" s="3" t="s">
        <v>18513</v>
      </c>
    </row>
    <row r="13631">
      <c r="A13631" s="3" t="s">
        <v>29434</v>
      </c>
      <c r="B13631" s="3" t="s">
        <v>11719</v>
      </c>
      <c r="C13631" s="5" t="s">
        <v>206</v>
      </c>
      <c r="D13631" s="3" t="s">
        <v>68</v>
      </c>
      <c r="E13631" s="3" t="s">
        <v>100</v>
      </c>
      <c r="F13631" s="7">
        <v>46010.71090015568</v>
      </c>
      <c r="G13631" s="3" t="s">
        <v>18516</v>
      </c>
    </row>
    <row r="13632">
      <c r="A13632" s="3" t="s">
        <v>29435</v>
      </c>
      <c r="B13632" s="3" t="s">
        <v>11722</v>
      </c>
      <c r="C13632" s="5" t="s">
        <v>45</v>
      </c>
      <c r="D13632" s="3" t="s">
        <v>221</v>
      </c>
      <c r="E13632" s="3" t="s">
        <v>377</v>
      </c>
      <c r="F13632" s="7">
        <v>46010.77165833442</v>
      </c>
      <c r="G13632" s="3" t="s">
        <v>2735</v>
      </c>
    </row>
    <row r="13633">
      <c r="A13633" s="3" t="s">
        <v>29436</v>
      </c>
      <c r="B13633" s="3" t="s">
        <v>11722</v>
      </c>
      <c r="C13633" s="5" t="s">
        <v>221</v>
      </c>
      <c r="D13633" s="3" t="s">
        <v>614</v>
      </c>
      <c r="E13633" s="3" t="s">
        <v>118</v>
      </c>
      <c r="F13633" s="7">
        <v>46010.77513055664</v>
      </c>
      <c r="G13633" s="3" t="s">
        <v>2737</v>
      </c>
    </row>
    <row r="13634">
      <c r="A13634" s="3" t="s">
        <v>29437</v>
      </c>
      <c r="B13634" s="3" t="s">
        <v>11722</v>
      </c>
      <c r="C13634" s="5" t="s">
        <v>614</v>
      </c>
      <c r="D13634" s="3" t="s">
        <v>206</v>
      </c>
      <c r="E13634" s="3" t="s">
        <v>100</v>
      </c>
      <c r="F13634" s="7">
        <v>46010.77860277887</v>
      </c>
      <c r="G13634" s="3" t="s">
        <v>2740</v>
      </c>
    </row>
    <row r="13635">
      <c r="A13635" s="3" t="s">
        <v>29438</v>
      </c>
      <c r="B13635" s="3" t="s">
        <v>11722</v>
      </c>
      <c r="C13635" s="5" t="s">
        <v>206</v>
      </c>
      <c r="D13635" s="3" t="s">
        <v>68</v>
      </c>
      <c r="E13635" s="3" t="s">
        <v>100</v>
      </c>
      <c r="F13635" s="7">
        <v>46010.78207500109</v>
      </c>
      <c r="G13635" s="3" t="s">
        <v>2743</v>
      </c>
    </row>
    <row r="13636">
      <c r="A13636" s="3" t="s">
        <v>29439</v>
      </c>
      <c r="B13636" s="3" t="s">
        <v>11727</v>
      </c>
      <c r="C13636" s="5" t="s">
        <v>45</v>
      </c>
      <c r="D13636" s="3" t="s">
        <v>221</v>
      </c>
      <c r="E13636" s="3" t="s">
        <v>691</v>
      </c>
      <c r="F13636" s="7">
        <v>46010.84283317984</v>
      </c>
      <c r="G13636" s="3" t="s">
        <v>2746</v>
      </c>
    </row>
    <row r="13637">
      <c r="A13637" s="3" t="s">
        <v>29440</v>
      </c>
      <c r="B13637" s="3" t="s">
        <v>11727</v>
      </c>
      <c r="C13637" s="5" t="s">
        <v>221</v>
      </c>
      <c r="D13637" s="3" t="s">
        <v>614</v>
      </c>
      <c r="E13637" s="3" t="s">
        <v>118</v>
      </c>
      <c r="F13637" s="7">
        <v>46010.84630540206</v>
      </c>
      <c r="G13637" s="3" t="s">
        <v>2749</v>
      </c>
    </row>
    <row r="13638">
      <c r="A13638" s="3" t="s">
        <v>29441</v>
      </c>
      <c r="B13638" s="3" t="s">
        <v>11727</v>
      </c>
      <c r="C13638" s="5" t="s">
        <v>614</v>
      </c>
      <c r="D13638" s="3" t="s">
        <v>206</v>
      </c>
      <c r="E13638" s="3" t="s">
        <v>100</v>
      </c>
      <c r="F13638" s="7">
        <v>46010.84977762429</v>
      </c>
      <c r="G13638" s="3" t="s">
        <v>2752</v>
      </c>
    </row>
    <row r="13639">
      <c r="A13639" s="3" t="s">
        <v>29442</v>
      </c>
      <c r="B13639" s="3" t="s">
        <v>11727</v>
      </c>
      <c r="C13639" s="5" t="s">
        <v>206</v>
      </c>
      <c r="D13639" s="3" t="s">
        <v>68</v>
      </c>
      <c r="E13639" s="3" t="s">
        <v>100</v>
      </c>
      <c r="F13639" s="7">
        <v>46010.85324984651</v>
      </c>
      <c r="G13639" s="3" t="s">
        <v>2755</v>
      </c>
    </row>
    <row r="13640">
      <c r="A13640" s="3" t="s">
        <v>29443</v>
      </c>
      <c r="B13640" s="3" t="s">
        <v>11730</v>
      </c>
      <c r="C13640" s="5" t="s">
        <v>45</v>
      </c>
      <c r="D13640" s="3" t="s">
        <v>221</v>
      </c>
      <c r="E13640" s="3" t="s">
        <v>765</v>
      </c>
      <c r="F13640" s="7">
        <v>46010.91400802526</v>
      </c>
      <c r="G13640" s="3" t="s">
        <v>29444</v>
      </c>
    </row>
    <row r="13641">
      <c r="A13641" s="3" t="s">
        <v>29445</v>
      </c>
      <c r="B13641" s="3" t="s">
        <v>11730</v>
      </c>
      <c r="C13641" s="5" t="s">
        <v>221</v>
      </c>
      <c r="D13641" s="3" t="s">
        <v>181</v>
      </c>
      <c r="E13641" s="3" t="s">
        <v>118</v>
      </c>
      <c r="F13641" s="7">
        <v>46010.91748024748</v>
      </c>
      <c r="G13641" s="3" t="s">
        <v>29446</v>
      </c>
    </row>
    <row r="13642">
      <c r="A13642" s="3" t="s">
        <v>29447</v>
      </c>
      <c r="B13642" s="3" t="s">
        <v>11733</v>
      </c>
      <c r="C13642" s="5" t="s">
        <v>45</v>
      </c>
      <c r="D13642" s="3" t="s">
        <v>221</v>
      </c>
      <c r="E13642" s="3" t="s">
        <v>366</v>
      </c>
      <c r="F13642" s="7">
        <v>46010.985182870674</v>
      </c>
      <c r="G13642" s="3" t="s">
        <v>20038</v>
      </c>
    </row>
    <row r="13643">
      <c r="A13643" s="3" t="s">
        <v>29448</v>
      </c>
      <c r="B13643" s="3" t="s">
        <v>11733</v>
      </c>
      <c r="C13643" s="5" t="s">
        <v>221</v>
      </c>
      <c r="D13643" s="3" t="s">
        <v>181</v>
      </c>
      <c r="E13643" s="3" t="s">
        <v>118</v>
      </c>
      <c r="F13643" s="7">
        <v>46010.98865509289</v>
      </c>
      <c r="G13643" s="3" t="s">
        <v>29449</v>
      </c>
    </row>
    <row r="13644">
      <c r="A13644" s="3" t="s">
        <v>29450</v>
      </c>
      <c r="B13644" s="3" t="s">
        <v>11736</v>
      </c>
      <c r="C13644" s="5" t="s">
        <v>45</v>
      </c>
      <c r="D13644" s="3" t="s">
        <v>221</v>
      </c>
      <c r="E13644" s="3" t="s">
        <v>424</v>
      </c>
      <c r="F13644" s="7">
        <v>46011.05635771609</v>
      </c>
      <c r="G13644" s="3" t="s">
        <v>10291</v>
      </c>
    </row>
    <row r="13645">
      <c r="A13645" s="3" t="s">
        <v>29451</v>
      </c>
      <c r="B13645" s="3" t="s">
        <v>11736</v>
      </c>
      <c r="C13645" s="5" t="s">
        <v>221</v>
      </c>
      <c r="D13645" s="3" t="s">
        <v>181</v>
      </c>
      <c r="E13645" s="3" t="s">
        <v>118</v>
      </c>
      <c r="F13645" s="7">
        <v>46011.059829938305</v>
      </c>
      <c r="G13645" s="3" t="s">
        <v>29452</v>
      </c>
    </row>
    <row r="13646">
      <c r="A13646" s="3" t="s">
        <v>29453</v>
      </c>
      <c r="B13646" s="3" t="s">
        <v>11739</v>
      </c>
      <c r="C13646" s="5" t="s">
        <v>45</v>
      </c>
      <c r="D13646" s="3" t="s">
        <v>221</v>
      </c>
      <c r="E13646" s="3" t="s">
        <v>524</v>
      </c>
      <c r="F13646" s="7">
        <v>46011.127532561506</v>
      </c>
      <c r="G13646" s="3" t="s">
        <v>21020</v>
      </c>
    </row>
    <row r="13647">
      <c r="A13647" s="3" t="s">
        <v>29454</v>
      </c>
      <c r="B13647" s="3" t="s">
        <v>11739</v>
      </c>
      <c r="C13647" s="5" t="s">
        <v>221</v>
      </c>
      <c r="D13647" s="3" t="s">
        <v>181</v>
      </c>
      <c r="E13647" s="3" t="s">
        <v>118</v>
      </c>
      <c r="F13647" s="7">
        <v>46011.131004783725</v>
      </c>
      <c r="G13647" s="3" t="s">
        <v>26149</v>
      </c>
    </row>
    <row r="13648">
      <c r="A13648" s="3" t="s">
        <v>29455</v>
      </c>
      <c r="B13648" s="3" t="s">
        <v>11743</v>
      </c>
      <c r="C13648" s="5" t="s">
        <v>45</v>
      </c>
      <c r="D13648" s="3" t="s">
        <v>221</v>
      </c>
      <c r="E13648" s="3" t="s">
        <v>341</v>
      </c>
      <c r="F13648" s="7">
        <v>46011.19870740692</v>
      </c>
      <c r="G13648" s="3" t="s">
        <v>17047</v>
      </c>
    </row>
    <row r="13649">
      <c r="A13649" s="3" t="s">
        <v>29456</v>
      </c>
      <c r="B13649" s="3" t="s">
        <v>11743</v>
      </c>
      <c r="C13649" s="5" t="s">
        <v>221</v>
      </c>
      <c r="D13649" s="3" t="s">
        <v>614</v>
      </c>
      <c r="E13649" s="3" t="s">
        <v>118</v>
      </c>
      <c r="F13649" s="7">
        <v>46011.20217962914</v>
      </c>
      <c r="G13649" s="3" t="s">
        <v>17050</v>
      </c>
    </row>
    <row r="13650">
      <c r="A13650" s="3" t="s">
        <v>29457</v>
      </c>
      <c r="B13650" s="3" t="s">
        <v>11743</v>
      </c>
      <c r="C13650" s="5" t="s">
        <v>614</v>
      </c>
      <c r="D13650" s="3" t="s">
        <v>206</v>
      </c>
      <c r="E13650" s="3" t="s">
        <v>100</v>
      </c>
      <c r="F13650" s="7">
        <v>46011.205651851364</v>
      </c>
      <c r="G13650" s="3" t="s">
        <v>17053</v>
      </c>
    </row>
    <row r="13651">
      <c r="A13651" s="3" t="s">
        <v>29458</v>
      </c>
      <c r="B13651" s="3" t="s">
        <v>11743</v>
      </c>
      <c r="C13651" s="5" t="s">
        <v>206</v>
      </c>
      <c r="D13651" s="3" t="s">
        <v>68</v>
      </c>
      <c r="E13651" s="3" t="s">
        <v>100</v>
      </c>
      <c r="F13651" s="7">
        <v>46011.20912407358</v>
      </c>
      <c r="G13651" s="3" t="s">
        <v>17055</v>
      </c>
    </row>
    <row r="13652">
      <c r="A13652" s="3" t="s">
        <v>29459</v>
      </c>
      <c r="B13652" s="3" t="s">
        <v>11747</v>
      </c>
      <c r="C13652" s="5" t="s">
        <v>45</v>
      </c>
      <c r="D13652" s="3" t="s">
        <v>221</v>
      </c>
      <c r="E13652" s="3" t="s">
        <v>488</v>
      </c>
      <c r="F13652" s="7">
        <v>46011.26988225233</v>
      </c>
      <c r="G13652" s="3" t="s">
        <v>18129</v>
      </c>
    </row>
    <row r="13653">
      <c r="A13653" s="3" t="s">
        <v>29460</v>
      </c>
      <c r="B13653" s="3" t="s">
        <v>11747</v>
      </c>
      <c r="C13653" s="5" t="s">
        <v>221</v>
      </c>
      <c r="D13653" s="3" t="s">
        <v>614</v>
      </c>
      <c r="E13653" s="3" t="s">
        <v>118</v>
      </c>
      <c r="F13653" s="7">
        <v>46011.27335447455</v>
      </c>
      <c r="G13653" s="3" t="s">
        <v>18132</v>
      </c>
    </row>
    <row r="13654">
      <c r="A13654" s="3" t="s">
        <v>29461</v>
      </c>
      <c r="B13654" s="3" t="s">
        <v>11747</v>
      </c>
      <c r="C13654" s="5" t="s">
        <v>614</v>
      </c>
      <c r="D13654" s="3" t="s">
        <v>206</v>
      </c>
      <c r="E13654" s="3" t="s">
        <v>100</v>
      </c>
      <c r="F13654" s="7">
        <v>46011.276826696776</v>
      </c>
      <c r="G13654" s="3" t="s">
        <v>18135</v>
      </c>
    </row>
    <row r="13655">
      <c r="A13655" s="3" t="s">
        <v>29462</v>
      </c>
      <c r="B13655" s="3" t="s">
        <v>11747</v>
      </c>
      <c r="C13655" s="5" t="s">
        <v>206</v>
      </c>
      <c r="D13655" s="3" t="s">
        <v>68</v>
      </c>
      <c r="E13655" s="3" t="s">
        <v>100</v>
      </c>
      <c r="F13655" s="7">
        <v>46011.280298918995</v>
      </c>
      <c r="G13655" s="3" t="s">
        <v>18137</v>
      </c>
    </row>
    <row r="13656">
      <c r="A13656" s="3" t="s">
        <v>29463</v>
      </c>
      <c r="B13656" s="3" t="s">
        <v>11750</v>
      </c>
      <c r="C13656" s="5" t="s">
        <v>45</v>
      </c>
      <c r="D13656" s="3" t="s">
        <v>221</v>
      </c>
      <c r="E13656" s="3" t="s">
        <v>296</v>
      </c>
      <c r="F13656" s="7">
        <v>46011.34105709775</v>
      </c>
      <c r="G13656" s="3" t="s">
        <v>18976</v>
      </c>
    </row>
    <row r="13657">
      <c r="A13657" s="3" t="s">
        <v>29464</v>
      </c>
      <c r="B13657" s="3" t="s">
        <v>11750</v>
      </c>
      <c r="C13657" s="5" t="s">
        <v>221</v>
      </c>
      <c r="D13657" s="3" t="s">
        <v>614</v>
      </c>
      <c r="E13657" s="3" t="s">
        <v>118</v>
      </c>
      <c r="F13657" s="7">
        <v>46011.34452931997</v>
      </c>
      <c r="G13657" s="3" t="s">
        <v>18980</v>
      </c>
    </row>
    <row r="13658">
      <c r="A13658" s="3" t="s">
        <v>29465</v>
      </c>
      <c r="B13658" s="3" t="s">
        <v>11750</v>
      </c>
      <c r="C13658" s="5" t="s">
        <v>614</v>
      </c>
      <c r="D13658" s="3" t="s">
        <v>206</v>
      </c>
      <c r="E13658" s="3" t="s">
        <v>100</v>
      </c>
      <c r="F13658" s="7">
        <v>46011.348001542196</v>
      </c>
      <c r="G13658" s="3" t="s">
        <v>18983</v>
      </c>
    </row>
    <row r="13659">
      <c r="A13659" s="3" t="s">
        <v>29466</v>
      </c>
      <c r="B13659" s="3" t="s">
        <v>11750</v>
      </c>
      <c r="C13659" s="5" t="s">
        <v>206</v>
      </c>
      <c r="D13659" s="3" t="s">
        <v>68</v>
      </c>
      <c r="E13659" s="3" t="s">
        <v>100</v>
      </c>
      <c r="F13659" s="7">
        <v>46011.351473764415</v>
      </c>
      <c r="G13659" s="3" t="s">
        <v>18986</v>
      </c>
    </row>
    <row r="13660">
      <c r="A13660" s="3" t="s">
        <v>29467</v>
      </c>
      <c r="B13660" s="3" t="s">
        <v>11753</v>
      </c>
      <c r="C13660" s="5" t="s">
        <v>45</v>
      </c>
      <c r="D13660" s="3" t="s">
        <v>221</v>
      </c>
      <c r="E13660" s="3" t="s">
        <v>763</v>
      </c>
      <c r="F13660" s="7">
        <v>46011.41223194316</v>
      </c>
      <c r="G13660" s="3" t="s">
        <v>2758</v>
      </c>
    </row>
    <row r="13661">
      <c r="A13661" s="3" t="s">
        <v>29468</v>
      </c>
      <c r="B13661" s="3" t="s">
        <v>11753</v>
      </c>
      <c r="C13661" s="5" t="s">
        <v>221</v>
      </c>
      <c r="D13661" s="3" t="s">
        <v>614</v>
      </c>
      <c r="E13661" s="3" t="s">
        <v>118</v>
      </c>
      <c r="F13661" s="7">
        <v>46011.41570416538</v>
      </c>
      <c r="G13661" s="3" t="s">
        <v>2762</v>
      </c>
    </row>
    <row r="13662">
      <c r="A13662" s="3" t="s">
        <v>29469</v>
      </c>
      <c r="B13662" s="3" t="s">
        <v>11753</v>
      </c>
      <c r="C13662" s="5" t="s">
        <v>614</v>
      </c>
      <c r="D13662" s="3" t="s">
        <v>206</v>
      </c>
      <c r="E13662" s="3" t="s">
        <v>100</v>
      </c>
      <c r="F13662" s="7">
        <v>46011.41917638761</v>
      </c>
      <c r="G13662" s="3" t="s">
        <v>2765</v>
      </c>
    </row>
    <row r="13663">
      <c r="A13663" s="3" t="s">
        <v>29470</v>
      </c>
      <c r="B13663" s="3" t="s">
        <v>11753</v>
      </c>
      <c r="C13663" s="5" t="s">
        <v>206</v>
      </c>
      <c r="D13663" s="3" t="s">
        <v>68</v>
      </c>
      <c r="E13663" s="3" t="s">
        <v>100</v>
      </c>
      <c r="F13663" s="7">
        <v>46011.42264860983</v>
      </c>
      <c r="G13663" s="3" t="s">
        <v>2767</v>
      </c>
    </row>
    <row r="13664">
      <c r="A13664" s="3" t="s">
        <v>29471</v>
      </c>
      <c r="B13664" s="3" t="s">
        <v>11757</v>
      </c>
      <c r="C13664" s="5" t="s">
        <v>45</v>
      </c>
      <c r="D13664" s="3" t="s">
        <v>221</v>
      </c>
      <c r="E13664" s="3" t="s">
        <v>883</v>
      </c>
      <c r="F13664" s="7">
        <v>46011.483406788575</v>
      </c>
      <c r="G13664" s="3" t="s">
        <v>19303</v>
      </c>
    </row>
    <row r="13665">
      <c r="A13665" s="3" t="s">
        <v>29472</v>
      </c>
      <c r="B13665" s="3" t="s">
        <v>11757</v>
      </c>
      <c r="C13665" s="5" t="s">
        <v>221</v>
      </c>
      <c r="D13665" s="3" t="s">
        <v>614</v>
      </c>
      <c r="E13665" s="3" t="s">
        <v>118</v>
      </c>
      <c r="F13665" s="7">
        <v>46011.486879010794</v>
      </c>
      <c r="G13665" s="3" t="s">
        <v>19306</v>
      </c>
    </row>
    <row r="13666">
      <c r="A13666" s="3" t="s">
        <v>29473</v>
      </c>
      <c r="B13666" s="3" t="s">
        <v>11757</v>
      </c>
      <c r="C13666" s="5" t="s">
        <v>614</v>
      </c>
      <c r="D13666" s="3" t="s">
        <v>206</v>
      </c>
      <c r="E13666" s="3" t="s">
        <v>100</v>
      </c>
      <c r="F13666" s="7">
        <v>46011.49035123302</v>
      </c>
      <c r="G13666" s="3" t="s">
        <v>19309</v>
      </c>
    </row>
    <row r="13667">
      <c r="A13667" s="3" t="s">
        <v>29474</v>
      </c>
      <c r="B13667" s="3" t="s">
        <v>11757</v>
      </c>
      <c r="C13667" s="5" t="s">
        <v>206</v>
      </c>
      <c r="D13667" s="3" t="s">
        <v>68</v>
      </c>
      <c r="E13667" s="3" t="s">
        <v>100</v>
      </c>
      <c r="F13667" s="7">
        <v>46011.49382345524</v>
      </c>
      <c r="G13667" s="3" t="s">
        <v>19312</v>
      </c>
    </row>
    <row r="13668">
      <c r="A13668" s="3" t="s">
        <v>29475</v>
      </c>
      <c r="B13668" s="3" t="s">
        <v>11760</v>
      </c>
      <c r="C13668" s="5" t="s">
        <v>45</v>
      </c>
      <c r="D13668" s="3" t="s">
        <v>221</v>
      </c>
      <c r="E13668" s="3" t="s">
        <v>344</v>
      </c>
      <c r="F13668" s="7">
        <v>46011.554581633995</v>
      </c>
      <c r="G13668" s="3" t="s">
        <v>17638</v>
      </c>
    </row>
    <row r="13669">
      <c r="A13669" s="3" t="s">
        <v>29476</v>
      </c>
      <c r="B13669" s="3" t="s">
        <v>11760</v>
      </c>
      <c r="C13669" s="5" t="s">
        <v>221</v>
      </c>
      <c r="D13669" s="3" t="s">
        <v>181</v>
      </c>
      <c r="E13669" s="3" t="s">
        <v>118</v>
      </c>
      <c r="F13669" s="7">
        <v>46011.55805385621</v>
      </c>
      <c r="G13669" s="3" t="s">
        <v>17641</v>
      </c>
    </row>
    <row r="13670">
      <c r="A13670" s="3" t="s">
        <v>29477</v>
      </c>
      <c r="B13670" s="3" t="s">
        <v>11764</v>
      </c>
      <c r="C13670" s="5" t="s">
        <v>45</v>
      </c>
      <c r="D13670" s="3" t="s">
        <v>221</v>
      </c>
      <c r="E13670" s="3" t="s">
        <v>993</v>
      </c>
      <c r="F13670" s="7">
        <v>46011.62575647941</v>
      </c>
      <c r="G13670" s="3" t="s">
        <v>2781</v>
      </c>
    </row>
    <row r="13671">
      <c r="A13671" s="3" t="s">
        <v>29478</v>
      </c>
      <c r="B13671" s="3" t="s">
        <v>11764</v>
      </c>
      <c r="C13671" s="5" t="s">
        <v>221</v>
      </c>
      <c r="D13671" s="3" t="s">
        <v>614</v>
      </c>
      <c r="E13671" s="3" t="s">
        <v>118</v>
      </c>
      <c r="F13671" s="7">
        <v>46011.629228701626</v>
      </c>
      <c r="G13671" s="3" t="s">
        <v>2784</v>
      </c>
    </row>
    <row r="13672">
      <c r="A13672" s="3" t="s">
        <v>29479</v>
      </c>
      <c r="B13672" s="3" t="s">
        <v>11764</v>
      </c>
      <c r="C13672" s="5" t="s">
        <v>614</v>
      </c>
      <c r="D13672" s="3" t="s">
        <v>206</v>
      </c>
      <c r="E13672" s="3" t="s">
        <v>100</v>
      </c>
      <c r="F13672" s="7">
        <v>46011.63270092385</v>
      </c>
      <c r="G13672" s="3" t="s">
        <v>2787</v>
      </c>
    </row>
    <row r="13673">
      <c r="A13673" s="3" t="s">
        <v>29480</v>
      </c>
      <c r="B13673" s="3" t="s">
        <v>11764</v>
      </c>
      <c r="C13673" s="5" t="s">
        <v>206</v>
      </c>
      <c r="D13673" s="3" t="s">
        <v>68</v>
      </c>
      <c r="E13673" s="3" t="s">
        <v>100</v>
      </c>
      <c r="F13673" s="7">
        <v>46011.63617314607</v>
      </c>
      <c r="G13673" s="3" t="s">
        <v>2790</v>
      </c>
    </row>
    <row r="13674">
      <c r="A13674" s="3" t="s">
        <v>29481</v>
      </c>
      <c r="B13674" s="3" t="s">
        <v>11767</v>
      </c>
      <c r="C13674" s="5" t="s">
        <v>45</v>
      </c>
      <c r="D13674" s="3" t="s">
        <v>221</v>
      </c>
      <c r="E13674" s="3" t="s">
        <v>395</v>
      </c>
      <c r="F13674" s="7">
        <v>46011.69693132482</v>
      </c>
      <c r="G13674" s="3" t="s">
        <v>10611</v>
      </c>
    </row>
    <row r="13675">
      <c r="A13675" s="3" t="s">
        <v>29482</v>
      </c>
      <c r="B13675" s="3" t="s">
        <v>11767</v>
      </c>
      <c r="C13675" s="5" t="s">
        <v>221</v>
      </c>
      <c r="D13675" s="3" t="s">
        <v>614</v>
      </c>
      <c r="E13675" s="3" t="s">
        <v>118</v>
      </c>
      <c r="F13675" s="7">
        <v>46011.70040354704</v>
      </c>
      <c r="G13675" s="3" t="s">
        <v>10614</v>
      </c>
    </row>
    <row r="13676">
      <c r="A13676" s="3" t="s">
        <v>29483</v>
      </c>
      <c r="B13676" s="3" t="s">
        <v>11767</v>
      </c>
      <c r="C13676" s="5" t="s">
        <v>614</v>
      </c>
      <c r="D13676" s="3" t="s">
        <v>206</v>
      </c>
      <c r="E13676" s="3" t="s">
        <v>100</v>
      </c>
      <c r="F13676" s="7">
        <v>46011.703875769264</v>
      </c>
      <c r="G13676" s="3" t="s">
        <v>10617</v>
      </c>
    </row>
    <row r="13677">
      <c r="A13677" s="3" t="s">
        <v>29484</v>
      </c>
      <c r="B13677" s="3" t="s">
        <v>11767</v>
      </c>
      <c r="C13677" s="5" t="s">
        <v>206</v>
      </c>
      <c r="D13677" s="3" t="s">
        <v>68</v>
      </c>
      <c r="E13677" s="3" t="s">
        <v>100</v>
      </c>
      <c r="F13677" s="7">
        <v>46011.70734799148</v>
      </c>
      <c r="G13677" s="3" t="s">
        <v>10620</v>
      </c>
    </row>
    <row r="13678">
      <c r="A13678" s="3" t="s">
        <v>29485</v>
      </c>
      <c r="B13678" s="3" t="s">
        <v>11768</v>
      </c>
      <c r="C13678" s="5" t="s">
        <v>45</v>
      </c>
      <c r="D13678" s="3" t="s">
        <v>221</v>
      </c>
      <c r="E13678" s="3" t="s">
        <v>224</v>
      </c>
      <c r="F13678" s="7">
        <v>46011.76810617024</v>
      </c>
      <c r="G13678" s="3" t="s">
        <v>2793</v>
      </c>
    </row>
    <row r="13679">
      <c r="A13679" s="3" t="s">
        <v>29486</v>
      </c>
      <c r="B13679" s="3" t="s">
        <v>11768</v>
      </c>
      <c r="C13679" s="5" t="s">
        <v>221</v>
      </c>
      <c r="D13679" s="3" t="s">
        <v>614</v>
      </c>
      <c r="E13679" s="3" t="s">
        <v>118</v>
      </c>
      <c r="F13679" s="7">
        <v>46011.77157839246</v>
      </c>
      <c r="G13679" s="3" t="s">
        <v>2796</v>
      </c>
    </row>
    <row r="13680">
      <c r="A13680" s="3" t="s">
        <v>29487</v>
      </c>
      <c r="B13680" s="3" t="s">
        <v>11768</v>
      </c>
      <c r="C13680" s="5" t="s">
        <v>614</v>
      </c>
      <c r="D13680" s="3" t="s">
        <v>206</v>
      </c>
      <c r="E13680" s="3" t="s">
        <v>100</v>
      </c>
      <c r="F13680" s="7">
        <v>46011.775050614684</v>
      </c>
      <c r="G13680" s="3" t="s">
        <v>2799</v>
      </c>
    </row>
    <row r="13681">
      <c r="A13681" s="3" t="s">
        <v>29488</v>
      </c>
      <c r="B13681" s="3" t="s">
        <v>11768</v>
      </c>
      <c r="C13681" s="5" t="s">
        <v>206</v>
      </c>
      <c r="D13681" s="3" t="s">
        <v>68</v>
      </c>
      <c r="E13681" s="3" t="s">
        <v>100</v>
      </c>
      <c r="F13681" s="7">
        <v>46011.7785228369</v>
      </c>
      <c r="G13681" s="3" t="s">
        <v>2801</v>
      </c>
    </row>
    <row r="13682">
      <c r="A13682" s="3" t="s">
        <v>29489</v>
      </c>
      <c r="B13682" s="3" t="s">
        <v>11770</v>
      </c>
      <c r="C13682" s="5" t="s">
        <v>45</v>
      </c>
      <c r="D13682" s="3" t="s">
        <v>221</v>
      </c>
      <c r="E13682" s="3" t="s">
        <v>414</v>
      </c>
      <c r="F13682" s="7">
        <v>46011.83928101566</v>
      </c>
      <c r="G13682" s="3" t="s">
        <v>2808</v>
      </c>
    </row>
    <row r="13683">
      <c r="A13683" s="3" t="s">
        <v>29490</v>
      </c>
      <c r="B13683" s="3" t="s">
        <v>11770</v>
      </c>
      <c r="C13683" s="5" t="s">
        <v>221</v>
      </c>
      <c r="D13683" s="3" t="s">
        <v>614</v>
      </c>
      <c r="E13683" s="3" t="s">
        <v>118</v>
      </c>
      <c r="F13683" s="7">
        <v>46011.84275323788</v>
      </c>
      <c r="G13683" s="3" t="s">
        <v>2811</v>
      </c>
    </row>
    <row r="13684">
      <c r="A13684" s="3" t="s">
        <v>29491</v>
      </c>
      <c r="B13684" s="3" t="s">
        <v>11770</v>
      </c>
      <c r="C13684" s="5" t="s">
        <v>614</v>
      </c>
      <c r="D13684" s="3" t="s">
        <v>206</v>
      </c>
      <c r="E13684" s="3" t="s">
        <v>100</v>
      </c>
      <c r="F13684" s="7">
        <v>46011.8462254601</v>
      </c>
      <c r="G13684" s="3" t="s">
        <v>2814</v>
      </c>
    </row>
    <row r="13685">
      <c r="A13685" s="3" t="s">
        <v>29492</v>
      </c>
      <c r="B13685" s="3" t="s">
        <v>11770</v>
      </c>
      <c r="C13685" s="5" t="s">
        <v>206</v>
      </c>
      <c r="D13685" s="3" t="s">
        <v>68</v>
      </c>
      <c r="E13685" s="3" t="s">
        <v>100</v>
      </c>
      <c r="F13685" s="7">
        <v>46011.84969768232</v>
      </c>
      <c r="G13685" s="3" t="s">
        <v>2817</v>
      </c>
    </row>
    <row r="13686">
      <c r="A13686" s="3" t="s">
        <v>29493</v>
      </c>
      <c r="B13686" s="3" t="s">
        <v>11772</v>
      </c>
      <c r="C13686" s="5" t="s">
        <v>45</v>
      </c>
      <c r="D13686" s="3" t="s">
        <v>221</v>
      </c>
      <c r="E13686" s="3" t="s">
        <v>751</v>
      </c>
      <c r="F13686" s="7">
        <v>46011.91045586106</v>
      </c>
      <c r="G13686" s="3" t="s">
        <v>2820</v>
      </c>
    </row>
    <row r="13687">
      <c r="A13687" s="3" t="s">
        <v>29494</v>
      </c>
      <c r="B13687" s="3" t="s">
        <v>11772</v>
      </c>
      <c r="C13687" s="5" t="s">
        <v>221</v>
      </c>
      <c r="D13687" s="3" t="s">
        <v>614</v>
      </c>
      <c r="E13687" s="3" t="s">
        <v>118</v>
      </c>
      <c r="F13687" s="7">
        <v>46011.91392808328</v>
      </c>
      <c r="G13687" s="3" t="s">
        <v>2823</v>
      </c>
    </row>
    <row r="13688">
      <c r="A13688" s="3" t="s">
        <v>29495</v>
      </c>
      <c r="B13688" s="3" t="s">
        <v>11772</v>
      </c>
      <c r="C13688" s="5" t="s">
        <v>614</v>
      </c>
      <c r="D13688" s="3" t="s">
        <v>206</v>
      </c>
      <c r="E13688" s="3" t="s">
        <v>100</v>
      </c>
      <c r="F13688" s="7">
        <v>46011.91740030551</v>
      </c>
      <c r="G13688" s="3" t="s">
        <v>2826</v>
      </c>
    </row>
    <row r="13689">
      <c r="A13689" s="3" t="s">
        <v>29496</v>
      </c>
      <c r="B13689" s="3" t="s">
        <v>11772</v>
      </c>
      <c r="C13689" s="5" t="s">
        <v>206</v>
      </c>
      <c r="D13689" s="3" t="s">
        <v>68</v>
      </c>
      <c r="E13689" s="3" t="s">
        <v>100</v>
      </c>
      <c r="F13689" s="7">
        <v>46011.92087252773</v>
      </c>
      <c r="G13689" s="3" t="s">
        <v>2829</v>
      </c>
    </row>
    <row r="13690">
      <c r="A13690" s="3" t="s">
        <v>29497</v>
      </c>
      <c r="B13690" s="3" t="s">
        <v>11774</v>
      </c>
      <c r="C13690" s="5" t="s">
        <v>45</v>
      </c>
      <c r="D13690" s="3" t="s">
        <v>221</v>
      </c>
      <c r="E13690" s="3" t="s">
        <v>609</v>
      </c>
      <c r="F13690" s="7">
        <v>46011.98163070648</v>
      </c>
      <c r="G13690" s="3" t="s">
        <v>4164</v>
      </c>
    </row>
    <row r="13691">
      <c r="A13691" s="3" t="s">
        <v>29498</v>
      </c>
      <c r="B13691" s="3" t="s">
        <v>11774</v>
      </c>
      <c r="C13691" s="5" t="s">
        <v>221</v>
      </c>
      <c r="D13691" s="3" t="s">
        <v>614</v>
      </c>
      <c r="E13691" s="3" t="s">
        <v>118</v>
      </c>
      <c r="F13691" s="7">
        <v>46011.9851029287</v>
      </c>
      <c r="G13691" s="3" t="s">
        <v>4167</v>
      </c>
    </row>
    <row r="13692">
      <c r="A13692" s="3" t="s">
        <v>29499</v>
      </c>
      <c r="B13692" s="3" t="s">
        <v>11774</v>
      </c>
      <c r="C13692" s="5" t="s">
        <v>614</v>
      </c>
      <c r="D13692" s="3" t="s">
        <v>206</v>
      </c>
      <c r="E13692" s="3" t="s">
        <v>100</v>
      </c>
      <c r="F13692" s="7">
        <v>46011.98857515093</v>
      </c>
      <c r="G13692" s="3" t="s">
        <v>4169</v>
      </c>
    </row>
    <row r="13693">
      <c r="A13693" s="3" t="s">
        <v>29500</v>
      </c>
      <c r="B13693" s="3" t="s">
        <v>11774</v>
      </c>
      <c r="C13693" s="5" t="s">
        <v>206</v>
      </c>
      <c r="D13693" s="3" t="s">
        <v>68</v>
      </c>
      <c r="E13693" s="3" t="s">
        <v>100</v>
      </c>
      <c r="F13693" s="7">
        <v>46011.99204737315</v>
      </c>
      <c r="G13693" s="3" t="s">
        <v>4172</v>
      </c>
    </row>
    <row r="13694">
      <c r="A13694" s="3" t="s">
        <v>29501</v>
      </c>
      <c r="B13694" s="3" t="s">
        <v>11778</v>
      </c>
      <c r="C13694" s="5" t="s">
        <v>45</v>
      </c>
      <c r="D13694" s="3" t="s">
        <v>221</v>
      </c>
      <c r="E13694" s="3" t="s">
        <v>440</v>
      </c>
      <c r="F13694" s="7">
        <v>46012.0528055519</v>
      </c>
      <c r="G13694" s="3" t="s">
        <v>25520</v>
      </c>
    </row>
    <row r="13695">
      <c r="A13695" s="3" t="s">
        <v>29502</v>
      </c>
      <c r="B13695" s="3" t="s">
        <v>11778</v>
      </c>
      <c r="C13695" s="5" t="s">
        <v>221</v>
      </c>
      <c r="D13695" s="3" t="s">
        <v>614</v>
      </c>
      <c r="E13695" s="3" t="s">
        <v>118</v>
      </c>
      <c r="F13695" s="7">
        <v>46012.05627777412</v>
      </c>
      <c r="G13695" s="3" t="s">
        <v>25522</v>
      </c>
    </row>
    <row r="13696">
      <c r="A13696" s="3" t="s">
        <v>29503</v>
      </c>
      <c r="B13696" s="3" t="s">
        <v>11778</v>
      </c>
      <c r="C13696" s="5" t="s">
        <v>614</v>
      </c>
      <c r="D13696" s="3" t="s">
        <v>206</v>
      </c>
      <c r="E13696" s="3" t="s">
        <v>100</v>
      </c>
      <c r="F13696" s="7">
        <v>46012.05974999635</v>
      </c>
      <c r="G13696" s="3" t="s">
        <v>25524</v>
      </c>
    </row>
    <row r="13697">
      <c r="A13697" s="3" t="s">
        <v>29504</v>
      </c>
      <c r="B13697" s="3" t="s">
        <v>11778</v>
      </c>
      <c r="C13697" s="5" t="s">
        <v>206</v>
      </c>
      <c r="D13697" s="3" t="s">
        <v>68</v>
      </c>
      <c r="E13697" s="3" t="s">
        <v>100</v>
      </c>
      <c r="F13697" s="7">
        <v>46012.06322221857</v>
      </c>
      <c r="G13697" s="3" t="s">
        <v>25526</v>
      </c>
    </row>
    <row r="13698">
      <c r="A13698" s="3" t="s">
        <v>29505</v>
      </c>
      <c r="B13698" s="3" t="s">
        <v>11781</v>
      </c>
      <c r="C13698" s="5" t="s">
        <v>45</v>
      </c>
      <c r="D13698" s="3" t="s">
        <v>221</v>
      </c>
      <c r="E13698" s="3" t="s">
        <v>581</v>
      </c>
      <c r="F13698" s="7">
        <v>46012.123980397315</v>
      </c>
      <c r="G13698" s="3" t="s">
        <v>11801</v>
      </c>
    </row>
    <row r="13699">
      <c r="A13699" s="3" t="s">
        <v>29506</v>
      </c>
      <c r="B13699" s="3" t="s">
        <v>11781</v>
      </c>
      <c r="C13699" s="5" t="s">
        <v>221</v>
      </c>
      <c r="D13699" s="3" t="s">
        <v>614</v>
      </c>
      <c r="E13699" s="3" t="s">
        <v>118</v>
      </c>
      <c r="F13699" s="7">
        <v>46012.127452619534</v>
      </c>
      <c r="G13699" s="3" t="s">
        <v>11804</v>
      </c>
    </row>
    <row r="13700">
      <c r="A13700" s="3" t="s">
        <v>29507</v>
      </c>
      <c r="B13700" s="3" t="s">
        <v>11781</v>
      </c>
      <c r="C13700" s="5" t="s">
        <v>614</v>
      </c>
      <c r="D13700" s="3" t="s">
        <v>206</v>
      </c>
      <c r="E13700" s="3" t="s">
        <v>100</v>
      </c>
      <c r="F13700" s="7">
        <v>46012.13092484176</v>
      </c>
      <c r="G13700" s="3" t="s">
        <v>11807</v>
      </c>
    </row>
    <row r="13701">
      <c r="A13701" s="3" t="s">
        <v>29508</v>
      </c>
      <c r="B13701" s="3" t="s">
        <v>11781</v>
      </c>
      <c r="C13701" s="5" t="s">
        <v>206</v>
      </c>
      <c r="D13701" s="3" t="s">
        <v>68</v>
      </c>
      <c r="E13701" s="3" t="s">
        <v>100</v>
      </c>
      <c r="F13701" s="7">
        <v>46012.13439706398</v>
      </c>
      <c r="G13701" s="3" t="s">
        <v>11810</v>
      </c>
    </row>
    <row r="13702">
      <c r="A13702" s="3" t="s">
        <v>29509</v>
      </c>
      <c r="B13702" s="3" t="s">
        <v>11784</v>
      </c>
      <c r="C13702" s="5" t="s">
        <v>45</v>
      </c>
      <c r="D13702" s="3" t="s">
        <v>221</v>
      </c>
      <c r="E13702" s="3" t="s">
        <v>906</v>
      </c>
      <c r="F13702" s="7">
        <v>46012.19515524273</v>
      </c>
      <c r="G13702" s="3" t="s">
        <v>29510</v>
      </c>
    </row>
    <row r="13703">
      <c r="A13703" s="3" t="s">
        <v>29511</v>
      </c>
      <c r="B13703" s="3" t="s">
        <v>11784</v>
      </c>
      <c r="C13703" s="5" t="s">
        <v>221</v>
      </c>
      <c r="D13703" s="3" t="s">
        <v>195</v>
      </c>
      <c r="E13703" s="3" t="s">
        <v>906</v>
      </c>
      <c r="F13703" s="7">
        <v>46012.198627464946</v>
      </c>
      <c r="G13703" s="3" t="s">
        <v>29512</v>
      </c>
    </row>
    <row r="13704">
      <c r="A13704" s="3" t="s">
        <v>29513</v>
      </c>
      <c r="B13704" s="3" t="s">
        <v>11788</v>
      </c>
      <c r="C13704" s="5" t="s">
        <v>45</v>
      </c>
      <c r="D13704" s="3" t="s">
        <v>221</v>
      </c>
      <c r="E13704" s="3" t="s">
        <v>845</v>
      </c>
      <c r="F13704" s="7">
        <v>46012.26633008815</v>
      </c>
      <c r="G13704" s="3" t="s">
        <v>6985</v>
      </c>
    </row>
    <row r="13705">
      <c r="A13705" s="3" t="s">
        <v>29514</v>
      </c>
      <c r="B13705" s="3" t="s">
        <v>11788</v>
      </c>
      <c r="C13705" s="5" t="s">
        <v>221</v>
      </c>
      <c r="D13705" s="3" t="s">
        <v>614</v>
      </c>
      <c r="E13705" s="3" t="s">
        <v>118</v>
      </c>
      <c r="F13705" s="7">
        <v>46012.269802310366</v>
      </c>
      <c r="G13705" s="3" t="s">
        <v>6987</v>
      </c>
    </row>
    <row r="13706">
      <c r="A13706" s="3" t="s">
        <v>29515</v>
      </c>
      <c r="B13706" s="3" t="s">
        <v>11788</v>
      </c>
      <c r="C13706" s="5" t="s">
        <v>614</v>
      </c>
      <c r="D13706" s="3" t="s">
        <v>206</v>
      </c>
      <c r="E13706" s="3" t="s">
        <v>100</v>
      </c>
      <c r="F13706" s="7">
        <v>46012.27327453259</v>
      </c>
      <c r="G13706" s="3" t="s">
        <v>6990</v>
      </c>
    </row>
    <row r="13707">
      <c r="A13707" s="3" t="s">
        <v>29516</v>
      </c>
      <c r="B13707" s="3" t="s">
        <v>11788</v>
      </c>
      <c r="C13707" s="5" t="s">
        <v>206</v>
      </c>
      <c r="D13707" s="3" t="s">
        <v>68</v>
      </c>
      <c r="E13707" s="3" t="s">
        <v>100</v>
      </c>
      <c r="F13707" s="7">
        <v>46012.27674675481</v>
      </c>
      <c r="G13707" s="3" t="s">
        <v>6993</v>
      </c>
    </row>
    <row r="13708">
      <c r="A13708" s="3" t="s">
        <v>29517</v>
      </c>
      <c r="B13708" s="3" t="s">
        <v>11791</v>
      </c>
      <c r="C13708" s="5" t="s">
        <v>45</v>
      </c>
      <c r="D13708" s="3" t="s">
        <v>221</v>
      </c>
      <c r="E13708" s="3" t="s">
        <v>747</v>
      </c>
      <c r="F13708" s="7">
        <v>46012.33750493356</v>
      </c>
      <c r="G13708" s="3" t="s">
        <v>16980</v>
      </c>
    </row>
    <row r="13709">
      <c r="A13709" s="3" t="s">
        <v>29518</v>
      </c>
      <c r="B13709" s="3" t="s">
        <v>11791</v>
      </c>
      <c r="C13709" s="5" t="s">
        <v>221</v>
      </c>
      <c r="D13709" s="3" t="s">
        <v>195</v>
      </c>
      <c r="E13709" s="3" t="s">
        <v>747</v>
      </c>
      <c r="F13709" s="7">
        <v>46012.34097715578</v>
      </c>
      <c r="G13709" s="3" t="s">
        <v>16983</v>
      </c>
    </row>
    <row r="13710">
      <c r="A13710" s="3" t="s">
        <v>29519</v>
      </c>
      <c r="B13710" s="3" t="s">
        <v>11793</v>
      </c>
      <c r="C13710" s="5" t="s">
        <v>45</v>
      </c>
      <c r="D13710" s="3" t="s">
        <v>221</v>
      </c>
      <c r="E13710" s="3" t="s">
        <v>1030</v>
      </c>
      <c r="F13710" s="7">
        <v>46012.40867977897</v>
      </c>
      <c r="G13710" s="3" t="s">
        <v>12929</v>
      </c>
    </row>
    <row r="13711">
      <c r="A13711" s="3" t="s">
        <v>29520</v>
      </c>
      <c r="B13711" s="3" t="s">
        <v>11793</v>
      </c>
      <c r="C13711" s="5" t="s">
        <v>221</v>
      </c>
      <c r="D13711" s="3" t="s">
        <v>614</v>
      </c>
      <c r="E13711" s="3" t="s">
        <v>118</v>
      </c>
      <c r="F13711" s="7">
        <v>46012.41215200119</v>
      </c>
      <c r="G13711" s="3" t="s">
        <v>12932</v>
      </c>
    </row>
    <row r="13712">
      <c r="A13712" s="3" t="s">
        <v>29521</v>
      </c>
      <c r="B13712" s="3" t="s">
        <v>11793</v>
      </c>
      <c r="C13712" s="5" t="s">
        <v>614</v>
      </c>
      <c r="D13712" s="3" t="s">
        <v>206</v>
      </c>
      <c r="E13712" s="3" t="s">
        <v>100</v>
      </c>
      <c r="F13712" s="7">
        <v>46012.41562422342</v>
      </c>
      <c r="G13712" s="3" t="s">
        <v>12936</v>
      </c>
    </row>
    <row r="13713">
      <c r="A13713" s="3" t="s">
        <v>29522</v>
      </c>
      <c r="B13713" s="3" t="s">
        <v>11793</v>
      </c>
      <c r="C13713" s="5" t="s">
        <v>206</v>
      </c>
      <c r="D13713" s="3" t="s">
        <v>68</v>
      </c>
      <c r="E13713" s="3" t="s">
        <v>100</v>
      </c>
      <c r="F13713" s="7">
        <v>46012.419096445636</v>
      </c>
      <c r="G13713" s="3" t="s">
        <v>12939</v>
      </c>
    </row>
    <row r="13714">
      <c r="A13714" s="3" t="s">
        <v>29523</v>
      </c>
      <c r="B13714" s="3" t="s">
        <v>11794</v>
      </c>
      <c r="C13714" s="5" t="s">
        <v>45</v>
      </c>
      <c r="D13714" s="3" t="s">
        <v>221</v>
      </c>
      <c r="E13714" s="3" t="s">
        <v>373</v>
      </c>
      <c r="F13714" s="7">
        <v>46012.47985462439</v>
      </c>
      <c r="G13714" s="3" t="s">
        <v>12383</v>
      </c>
    </row>
    <row r="13715">
      <c r="A13715" s="3" t="s">
        <v>29524</v>
      </c>
      <c r="B13715" s="3" t="s">
        <v>11794</v>
      </c>
      <c r="C13715" s="5" t="s">
        <v>221</v>
      </c>
      <c r="D13715" s="3" t="s">
        <v>614</v>
      </c>
      <c r="E13715" s="3" t="s">
        <v>118</v>
      </c>
      <c r="F13715" s="7">
        <v>46012.48332684661</v>
      </c>
      <c r="G13715" s="3" t="s">
        <v>12385</v>
      </c>
    </row>
    <row r="13716">
      <c r="A13716" s="3" t="s">
        <v>29525</v>
      </c>
      <c r="B13716" s="3" t="s">
        <v>11794</v>
      </c>
      <c r="C13716" s="5" t="s">
        <v>614</v>
      </c>
      <c r="D13716" s="3" t="s">
        <v>206</v>
      </c>
      <c r="E13716" s="3" t="s">
        <v>100</v>
      </c>
      <c r="F13716" s="7">
        <v>46012.486799068836</v>
      </c>
      <c r="G13716" s="3" t="s">
        <v>12388</v>
      </c>
    </row>
    <row r="13717">
      <c r="A13717" s="3" t="s">
        <v>29526</v>
      </c>
      <c r="B13717" s="3" t="s">
        <v>11794</v>
      </c>
      <c r="C13717" s="5" t="s">
        <v>206</v>
      </c>
      <c r="D13717" s="3" t="s">
        <v>68</v>
      </c>
      <c r="E13717" s="3" t="s">
        <v>100</v>
      </c>
      <c r="F13717" s="7">
        <v>46012.490271291055</v>
      </c>
      <c r="G13717" s="3" t="s">
        <v>12391</v>
      </c>
    </row>
    <row r="13718">
      <c r="A13718" s="3" t="s">
        <v>29527</v>
      </c>
      <c r="B13718" s="3" t="s">
        <v>11796</v>
      </c>
      <c r="C13718" s="5" t="s">
        <v>45</v>
      </c>
      <c r="D13718" s="3" t="s">
        <v>221</v>
      </c>
      <c r="E13718" s="3" t="s">
        <v>475</v>
      </c>
      <c r="F13718" s="7">
        <v>46012.55102946981</v>
      </c>
      <c r="G13718" s="3" t="s">
        <v>17074</v>
      </c>
    </row>
    <row r="13719">
      <c r="A13719" s="3" t="s">
        <v>29528</v>
      </c>
      <c r="B13719" s="3" t="s">
        <v>11796</v>
      </c>
      <c r="C13719" s="5" t="s">
        <v>221</v>
      </c>
      <c r="D13719" s="3" t="s">
        <v>614</v>
      </c>
      <c r="E13719" s="3" t="s">
        <v>118</v>
      </c>
      <c r="F13719" s="7">
        <v>46012.55450169203</v>
      </c>
      <c r="G13719" s="3" t="s">
        <v>17077</v>
      </c>
    </row>
    <row r="13720">
      <c r="A13720" s="3" t="s">
        <v>29529</v>
      </c>
      <c r="B13720" s="3" t="s">
        <v>11796</v>
      </c>
      <c r="C13720" s="5" t="s">
        <v>614</v>
      </c>
      <c r="D13720" s="3" t="s">
        <v>206</v>
      </c>
      <c r="E13720" s="3" t="s">
        <v>100</v>
      </c>
      <c r="F13720" s="7">
        <v>46012.557973914256</v>
      </c>
      <c r="G13720" s="3" t="s">
        <v>17080</v>
      </c>
    </row>
    <row r="13721">
      <c r="A13721" s="3" t="s">
        <v>29530</v>
      </c>
      <c r="B13721" s="3" t="s">
        <v>11796</v>
      </c>
      <c r="C13721" s="5" t="s">
        <v>206</v>
      </c>
      <c r="D13721" s="3" t="s">
        <v>68</v>
      </c>
      <c r="E13721" s="3" t="s">
        <v>100</v>
      </c>
      <c r="F13721" s="7">
        <v>46012.561446136475</v>
      </c>
      <c r="G13721" s="3" t="s">
        <v>17082</v>
      </c>
    </row>
    <row r="13722">
      <c r="A13722" s="3" t="s">
        <v>29531</v>
      </c>
      <c r="B13722" s="3" t="s">
        <v>11800</v>
      </c>
      <c r="C13722" s="5" t="s">
        <v>45</v>
      </c>
      <c r="D13722" s="3" t="s">
        <v>221</v>
      </c>
      <c r="E13722" s="3" t="s">
        <v>344</v>
      </c>
      <c r="F13722" s="7">
        <v>46012.622204315216</v>
      </c>
      <c r="G13722" s="3" t="s">
        <v>11316</v>
      </c>
    </row>
    <row r="13723">
      <c r="A13723" s="3" t="s">
        <v>29532</v>
      </c>
      <c r="B13723" s="3" t="s">
        <v>11800</v>
      </c>
      <c r="C13723" s="5" t="s">
        <v>221</v>
      </c>
      <c r="D13723" s="3" t="s">
        <v>614</v>
      </c>
      <c r="E13723" s="3" t="s">
        <v>118</v>
      </c>
      <c r="F13723" s="7">
        <v>46012.625676537435</v>
      </c>
      <c r="G13723" s="3" t="s">
        <v>11319</v>
      </c>
    </row>
    <row r="13724">
      <c r="A13724" s="3" t="s">
        <v>29533</v>
      </c>
      <c r="B13724" s="3" t="s">
        <v>11800</v>
      </c>
      <c r="C13724" s="5" t="s">
        <v>614</v>
      </c>
      <c r="D13724" s="3" t="s">
        <v>206</v>
      </c>
      <c r="E13724" s="3" t="s">
        <v>100</v>
      </c>
      <c r="F13724" s="7">
        <v>46012.62914875966</v>
      </c>
      <c r="G13724" s="3" t="s">
        <v>11321</v>
      </c>
    </row>
    <row r="13725">
      <c r="A13725" s="3" t="s">
        <v>29534</v>
      </c>
      <c r="B13725" s="3" t="s">
        <v>11800</v>
      </c>
      <c r="C13725" s="5" t="s">
        <v>206</v>
      </c>
      <c r="D13725" s="3" t="s">
        <v>68</v>
      </c>
      <c r="E13725" s="3" t="s">
        <v>100</v>
      </c>
      <c r="F13725" s="7">
        <v>46012.63262098188</v>
      </c>
      <c r="G13725" s="3" t="s">
        <v>11324</v>
      </c>
    </row>
    <row r="13726">
      <c r="A13726" s="3" t="s">
        <v>29535</v>
      </c>
      <c r="B13726" s="3" t="s">
        <v>11803</v>
      </c>
      <c r="C13726" s="5" t="s">
        <v>45</v>
      </c>
      <c r="D13726" s="3" t="s">
        <v>221</v>
      </c>
      <c r="E13726" s="3" t="s">
        <v>186</v>
      </c>
      <c r="F13726" s="7">
        <v>46012.693379160635</v>
      </c>
      <c r="G13726" s="3" t="s">
        <v>25401</v>
      </c>
    </row>
    <row r="13727">
      <c r="A13727" s="3" t="s">
        <v>29536</v>
      </c>
      <c r="B13727" s="3" t="s">
        <v>11803</v>
      </c>
      <c r="C13727" s="5" t="s">
        <v>221</v>
      </c>
      <c r="D13727" s="3" t="s">
        <v>614</v>
      </c>
      <c r="E13727" s="3" t="s">
        <v>118</v>
      </c>
      <c r="F13727" s="7">
        <v>46012.696851382854</v>
      </c>
      <c r="G13727" s="3" t="s">
        <v>25403</v>
      </c>
    </row>
    <row r="13728">
      <c r="A13728" s="3" t="s">
        <v>29537</v>
      </c>
      <c r="B13728" s="3" t="s">
        <v>11803</v>
      </c>
      <c r="C13728" s="5" t="s">
        <v>614</v>
      </c>
      <c r="D13728" s="3" t="s">
        <v>206</v>
      </c>
      <c r="E13728" s="3" t="s">
        <v>100</v>
      </c>
      <c r="F13728" s="7">
        <v>46012.70032360508</v>
      </c>
      <c r="G13728" s="3" t="s">
        <v>25405</v>
      </c>
    </row>
    <row r="13729">
      <c r="A13729" s="3" t="s">
        <v>29538</v>
      </c>
      <c r="B13729" s="3" t="s">
        <v>11803</v>
      </c>
      <c r="C13729" s="5" t="s">
        <v>206</v>
      </c>
      <c r="D13729" s="3" t="s">
        <v>68</v>
      </c>
      <c r="E13729" s="3" t="s">
        <v>100</v>
      </c>
      <c r="F13729" s="7">
        <v>46012.7037958273</v>
      </c>
      <c r="G13729" s="3" t="s">
        <v>25407</v>
      </c>
    </row>
    <row r="13730">
      <c r="A13730" s="3" t="s">
        <v>29539</v>
      </c>
      <c r="B13730" s="3" t="s">
        <v>11806</v>
      </c>
      <c r="C13730" s="5" t="s">
        <v>45</v>
      </c>
      <c r="D13730" s="3" t="s">
        <v>221</v>
      </c>
      <c r="E13730" s="3" t="s">
        <v>202</v>
      </c>
      <c r="F13730" s="7">
        <v>46012.76455400605</v>
      </c>
      <c r="G13730" s="3" t="s">
        <v>2831</v>
      </c>
    </row>
    <row r="13731">
      <c r="A13731" s="3" t="s">
        <v>29540</v>
      </c>
      <c r="B13731" s="3" t="s">
        <v>11806</v>
      </c>
      <c r="C13731" s="5" t="s">
        <v>221</v>
      </c>
      <c r="D13731" s="3" t="s">
        <v>614</v>
      </c>
      <c r="E13731" s="3" t="s">
        <v>118</v>
      </c>
      <c r="F13731" s="7">
        <v>46012.76802622827</v>
      </c>
      <c r="G13731" s="3" t="s">
        <v>2834</v>
      </c>
    </row>
    <row r="13732">
      <c r="A13732" s="3" t="s">
        <v>29541</v>
      </c>
      <c r="B13732" s="3" t="s">
        <v>11806</v>
      </c>
      <c r="C13732" s="5" t="s">
        <v>614</v>
      </c>
      <c r="D13732" s="3" t="s">
        <v>206</v>
      </c>
      <c r="E13732" s="3" t="s">
        <v>100</v>
      </c>
      <c r="F13732" s="7">
        <v>46012.77149845049</v>
      </c>
      <c r="G13732" s="3" t="s">
        <v>2837</v>
      </c>
    </row>
    <row r="13733">
      <c r="A13733" s="3" t="s">
        <v>29542</v>
      </c>
      <c r="B13733" s="3" t="s">
        <v>11806</v>
      </c>
      <c r="C13733" s="5" t="s">
        <v>206</v>
      </c>
      <c r="D13733" s="3" t="s">
        <v>68</v>
      </c>
      <c r="E13733" s="3" t="s">
        <v>100</v>
      </c>
      <c r="F13733" s="7">
        <v>46012.77497067271</v>
      </c>
      <c r="G13733" s="3" t="s">
        <v>2840</v>
      </c>
    </row>
    <row r="13734">
      <c r="A13734" s="3" t="s">
        <v>29543</v>
      </c>
      <c r="B13734" s="3" t="s">
        <v>11809</v>
      </c>
      <c r="C13734" s="5" t="s">
        <v>45</v>
      </c>
      <c r="D13734" s="3" t="s">
        <v>221</v>
      </c>
      <c r="E13734" s="3" t="s">
        <v>822</v>
      </c>
      <c r="F13734" s="7">
        <v>46012.83572885147</v>
      </c>
      <c r="G13734" s="3" t="s">
        <v>23596</v>
      </c>
    </row>
    <row r="13735">
      <c r="A13735" s="3" t="s">
        <v>29544</v>
      </c>
      <c r="B13735" s="3" t="s">
        <v>11809</v>
      </c>
      <c r="C13735" s="5" t="s">
        <v>221</v>
      </c>
      <c r="D13735" s="3" t="s">
        <v>614</v>
      </c>
      <c r="E13735" s="3" t="s">
        <v>118</v>
      </c>
      <c r="F13735" s="7">
        <v>46012.839201073686</v>
      </c>
      <c r="G13735" s="3" t="s">
        <v>23599</v>
      </c>
    </row>
    <row r="13736">
      <c r="A13736" s="3" t="s">
        <v>29545</v>
      </c>
      <c r="B13736" s="3" t="s">
        <v>11809</v>
      </c>
      <c r="C13736" s="5" t="s">
        <v>614</v>
      </c>
      <c r="D13736" s="3" t="s">
        <v>206</v>
      </c>
      <c r="E13736" s="3" t="s">
        <v>100</v>
      </c>
      <c r="F13736" s="7">
        <v>46012.84267329591</v>
      </c>
      <c r="G13736" s="3" t="s">
        <v>23603</v>
      </c>
    </row>
    <row r="13737">
      <c r="A13737" s="3" t="s">
        <v>29546</v>
      </c>
      <c r="B13737" s="3" t="s">
        <v>11809</v>
      </c>
      <c r="C13737" s="5" t="s">
        <v>206</v>
      </c>
      <c r="D13737" s="3" t="s">
        <v>68</v>
      </c>
      <c r="E13737" s="3" t="s">
        <v>100</v>
      </c>
      <c r="F13737" s="7">
        <v>46012.84614551813</v>
      </c>
      <c r="G13737" s="3" t="s">
        <v>23606</v>
      </c>
    </row>
    <row r="13738">
      <c r="A13738" s="3" t="s">
        <v>29547</v>
      </c>
      <c r="B13738" s="3" t="s">
        <v>11812</v>
      </c>
      <c r="C13738" s="5" t="s">
        <v>45</v>
      </c>
      <c r="D13738" s="3" t="s">
        <v>221</v>
      </c>
      <c r="E13738" s="3" t="s">
        <v>547</v>
      </c>
      <c r="F13738" s="7">
        <v>46012.90690369688</v>
      </c>
      <c r="G13738" s="3" t="s">
        <v>9004</v>
      </c>
    </row>
    <row r="13739">
      <c r="A13739" s="3" t="s">
        <v>29548</v>
      </c>
      <c r="B13739" s="3" t="s">
        <v>11812</v>
      </c>
      <c r="C13739" s="5" t="s">
        <v>221</v>
      </c>
      <c r="D13739" s="3" t="s">
        <v>195</v>
      </c>
      <c r="E13739" s="3" t="s">
        <v>547</v>
      </c>
      <c r="F13739" s="7">
        <v>46012.9103759191</v>
      </c>
      <c r="G13739" s="3" t="s">
        <v>29549</v>
      </c>
    </row>
    <row r="13740">
      <c r="A13740" s="3" t="s">
        <v>29550</v>
      </c>
      <c r="B13740" s="3" t="s">
        <v>11814</v>
      </c>
      <c r="C13740" s="5" t="s">
        <v>45</v>
      </c>
      <c r="D13740" s="3" t="s">
        <v>221</v>
      </c>
      <c r="E13740" s="3" t="s">
        <v>645</v>
      </c>
      <c r="F13740" s="7">
        <v>46012.9780785423</v>
      </c>
      <c r="G13740" s="3" t="s">
        <v>2843</v>
      </c>
    </row>
    <row r="13741">
      <c r="A13741" s="3" t="s">
        <v>29551</v>
      </c>
      <c r="B13741" s="3" t="s">
        <v>11814</v>
      </c>
      <c r="C13741" s="5" t="s">
        <v>221</v>
      </c>
      <c r="D13741" s="3" t="s">
        <v>614</v>
      </c>
      <c r="E13741" s="3" t="s">
        <v>118</v>
      </c>
      <c r="F13741" s="7">
        <v>46012.98155076452</v>
      </c>
      <c r="G13741" s="3" t="s">
        <v>2846</v>
      </c>
    </row>
    <row r="13742">
      <c r="A13742" s="3" t="s">
        <v>29552</v>
      </c>
      <c r="B13742" s="3" t="s">
        <v>11814</v>
      </c>
      <c r="C13742" s="5" t="s">
        <v>614</v>
      </c>
      <c r="D13742" s="3" t="s">
        <v>206</v>
      </c>
      <c r="E13742" s="3" t="s">
        <v>100</v>
      </c>
      <c r="F13742" s="7">
        <v>46012.985022986744</v>
      </c>
      <c r="G13742" s="3" t="s">
        <v>2849</v>
      </c>
    </row>
    <row r="13743">
      <c r="A13743" s="3" t="s">
        <v>29553</v>
      </c>
      <c r="B13743" s="3" t="s">
        <v>11814</v>
      </c>
      <c r="C13743" s="5" t="s">
        <v>206</v>
      </c>
      <c r="D13743" s="3" t="s">
        <v>68</v>
      </c>
      <c r="E13743" s="3" t="s">
        <v>100</v>
      </c>
      <c r="F13743" s="7">
        <v>46012.98849520896</v>
      </c>
      <c r="G13743" s="3" t="s">
        <v>2852</v>
      </c>
    </row>
    <row r="13744">
      <c r="A13744" s="3" t="s">
        <v>29554</v>
      </c>
      <c r="B13744" s="3" t="s">
        <v>11816</v>
      </c>
      <c r="C13744" s="5" t="s">
        <v>45</v>
      </c>
      <c r="D13744" s="3" t="s">
        <v>221</v>
      </c>
      <c r="E13744" s="3" t="s">
        <v>1028</v>
      </c>
      <c r="F13744" s="7">
        <v>46013.049253387704</v>
      </c>
      <c r="G13744" s="3" t="s">
        <v>29555</v>
      </c>
    </row>
    <row r="13745">
      <c r="A13745" s="3" t="s">
        <v>29556</v>
      </c>
      <c r="B13745" s="3" t="s">
        <v>11816</v>
      </c>
      <c r="C13745" s="5" t="s">
        <v>221</v>
      </c>
      <c r="D13745" s="3" t="s">
        <v>614</v>
      </c>
      <c r="E13745" s="3" t="s">
        <v>118</v>
      </c>
      <c r="F13745" s="7">
        <v>46013.05272560992</v>
      </c>
      <c r="G13745" s="3" t="s">
        <v>29557</v>
      </c>
    </row>
    <row r="13746">
      <c r="A13746" s="3" t="s">
        <v>29558</v>
      </c>
      <c r="B13746" s="3" t="s">
        <v>11816</v>
      </c>
      <c r="C13746" s="5" t="s">
        <v>614</v>
      </c>
      <c r="D13746" s="3" t="s">
        <v>206</v>
      </c>
      <c r="E13746" s="3" t="s">
        <v>100</v>
      </c>
      <c r="F13746" s="7">
        <v>46013.05619783215</v>
      </c>
      <c r="G13746" s="3" t="s">
        <v>29559</v>
      </c>
    </row>
    <row r="13747">
      <c r="A13747" s="3" t="s">
        <v>29560</v>
      </c>
      <c r="B13747" s="3" t="s">
        <v>11816</v>
      </c>
      <c r="C13747" s="5" t="s">
        <v>206</v>
      </c>
      <c r="D13747" s="3" t="s">
        <v>68</v>
      </c>
      <c r="E13747" s="3" t="s">
        <v>100</v>
      </c>
      <c r="F13747" s="7">
        <v>46013.05967005437</v>
      </c>
      <c r="G13747" s="3" t="s">
        <v>29561</v>
      </c>
    </row>
    <row r="13748">
      <c r="A13748" s="3" t="s">
        <v>29562</v>
      </c>
      <c r="B13748" s="3" t="s">
        <v>11818</v>
      </c>
      <c r="C13748" s="5" t="s">
        <v>45</v>
      </c>
      <c r="D13748" s="3" t="s">
        <v>221</v>
      </c>
      <c r="E13748" s="3" t="s">
        <v>1043</v>
      </c>
      <c r="F13748" s="7">
        <v>46013.120428233124</v>
      </c>
      <c r="G13748" s="3" t="s">
        <v>2854</v>
      </c>
    </row>
    <row r="13749">
      <c r="A13749" s="3" t="s">
        <v>29563</v>
      </c>
      <c r="B13749" s="3" t="s">
        <v>11818</v>
      </c>
      <c r="C13749" s="5" t="s">
        <v>221</v>
      </c>
      <c r="D13749" s="3" t="s">
        <v>614</v>
      </c>
      <c r="E13749" s="3" t="s">
        <v>118</v>
      </c>
      <c r="F13749" s="7">
        <v>46013.12390045534</v>
      </c>
      <c r="G13749" s="3" t="s">
        <v>2857</v>
      </c>
    </row>
    <row r="13750">
      <c r="A13750" s="3" t="s">
        <v>29564</v>
      </c>
      <c r="B13750" s="3" t="s">
        <v>11818</v>
      </c>
      <c r="C13750" s="5" t="s">
        <v>614</v>
      </c>
      <c r="D13750" s="3" t="s">
        <v>206</v>
      </c>
      <c r="E13750" s="3" t="s">
        <v>100</v>
      </c>
      <c r="F13750" s="7">
        <v>46013.12737267757</v>
      </c>
      <c r="G13750" s="3" t="s">
        <v>2860</v>
      </c>
    </row>
    <row r="13751">
      <c r="A13751" s="3" t="s">
        <v>29565</v>
      </c>
      <c r="B13751" s="3" t="s">
        <v>11818</v>
      </c>
      <c r="C13751" s="5" t="s">
        <v>206</v>
      </c>
      <c r="D13751" s="3" t="s">
        <v>68</v>
      </c>
      <c r="E13751" s="3" t="s">
        <v>100</v>
      </c>
      <c r="F13751" s="7">
        <v>46013.13084489979</v>
      </c>
      <c r="G13751" s="3" t="s">
        <v>2863</v>
      </c>
    </row>
    <row r="13752">
      <c r="A13752" s="3" t="s">
        <v>29566</v>
      </c>
      <c r="B13752" s="3" t="s">
        <v>11820</v>
      </c>
      <c r="C13752" s="5" t="s">
        <v>45</v>
      </c>
      <c r="D13752" s="3" t="s">
        <v>221</v>
      </c>
      <c r="E13752" s="3" t="s">
        <v>778</v>
      </c>
      <c r="F13752" s="7">
        <v>46013.19160307854</v>
      </c>
      <c r="G13752" s="3" t="s">
        <v>14568</v>
      </c>
    </row>
    <row r="13753">
      <c r="A13753" s="3" t="s">
        <v>29567</v>
      </c>
      <c r="B13753" s="3" t="s">
        <v>11820</v>
      </c>
      <c r="C13753" s="5" t="s">
        <v>221</v>
      </c>
      <c r="D13753" s="3" t="s">
        <v>614</v>
      </c>
      <c r="E13753" s="3" t="s">
        <v>118</v>
      </c>
      <c r="F13753" s="7">
        <v>46013.19507530076</v>
      </c>
      <c r="G13753" s="3" t="s">
        <v>14571</v>
      </c>
    </row>
    <row r="13754">
      <c r="A13754" s="3" t="s">
        <v>29568</v>
      </c>
      <c r="B13754" s="3" t="s">
        <v>11820</v>
      </c>
      <c r="C13754" s="5" t="s">
        <v>614</v>
      </c>
      <c r="D13754" s="3" t="s">
        <v>206</v>
      </c>
      <c r="E13754" s="3" t="s">
        <v>100</v>
      </c>
      <c r="F13754" s="7">
        <v>46013.19854752299</v>
      </c>
      <c r="G13754" s="3" t="s">
        <v>14574</v>
      </c>
    </row>
    <row r="13755">
      <c r="A13755" s="3" t="s">
        <v>29569</v>
      </c>
      <c r="B13755" s="3" t="s">
        <v>11820</v>
      </c>
      <c r="C13755" s="5" t="s">
        <v>206</v>
      </c>
      <c r="D13755" s="3" t="s">
        <v>68</v>
      </c>
      <c r="E13755" s="3" t="s">
        <v>100</v>
      </c>
      <c r="F13755" s="7">
        <v>46013.20201974521</v>
      </c>
      <c r="G13755" s="3" t="s">
        <v>14577</v>
      </c>
    </row>
    <row r="13756">
      <c r="A13756" s="3" t="s">
        <v>29570</v>
      </c>
      <c r="B13756" s="3" t="s">
        <v>11823</v>
      </c>
      <c r="C13756" s="5" t="s">
        <v>45</v>
      </c>
      <c r="D13756" s="3" t="s">
        <v>221</v>
      </c>
      <c r="E13756" s="3" t="s">
        <v>373</v>
      </c>
      <c r="F13756" s="7">
        <v>46013.262777923956</v>
      </c>
      <c r="G13756" s="3" t="s">
        <v>12383</v>
      </c>
    </row>
    <row r="13757">
      <c r="A13757" s="3" t="s">
        <v>29571</v>
      </c>
      <c r="B13757" s="3" t="s">
        <v>11823</v>
      </c>
      <c r="C13757" s="5" t="s">
        <v>221</v>
      </c>
      <c r="D13757" s="3" t="s">
        <v>614</v>
      </c>
      <c r="E13757" s="3" t="s">
        <v>118</v>
      </c>
      <c r="F13757" s="7">
        <v>46013.266250146175</v>
      </c>
      <c r="G13757" s="3" t="s">
        <v>12385</v>
      </c>
    </row>
    <row r="13758">
      <c r="A13758" s="3" t="s">
        <v>29572</v>
      </c>
      <c r="B13758" s="3" t="s">
        <v>11823</v>
      </c>
      <c r="C13758" s="5" t="s">
        <v>614</v>
      </c>
      <c r="D13758" s="3" t="s">
        <v>206</v>
      </c>
      <c r="E13758" s="3" t="s">
        <v>100</v>
      </c>
      <c r="F13758" s="7">
        <v>46013.2697223684</v>
      </c>
      <c r="G13758" s="3" t="s">
        <v>12388</v>
      </c>
    </row>
    <row r="13759">
      <c r="A13759" s="3" t="s">
        <v>29573</v>
      </c>
      <c r="B13759" s="3" t="s">
        <v>11823</v>
      </c>
      <c r="C13759" s="5" t="s">
        <v>206</v>
      </c>
      <c r="D13759" s="3" t="s">
        <v>68</v>
      </c>
      <c r="E13759" s="3" t="s">
        <v>100</v>
      </c>
      <c r="F13759" s="7">
        <v>46013.27319459062</v>
      </c>
      <c r="G13759" s="3" t="s">
        <v>12391</v>
      </c>
    </row>
    <row r="13760">
      <c r="A13760" s="3" t="s">
        <v>29574</v>
      </c>
      <c r="B13760" s="3" t="s">
        <v>11824</v>
      </c>
      <c r="C13760" s="5" t="s">
        <v>45</v>
      </c>
      <c r="D13760" s="3" t="s">
        <v>221</v>
      </c>
      <c r="E13760" s="3" t="s">
        <v>972</v>
      </c>
      <c r="F13760" s="7">
        <v>46013.33395276937</v>
      </c>
      <c r="G13760" s="3" t="s">
        <v>9570</v>
      </c>
    </row>
    <row r="13761">
      <c r="A13761" s="3" t="s">
        <v>29575</v>
      </c>
      <c r="B13761" s="3" t="s">
        <v>11824</v>
      </c>
      <c r="C13761" s="5" t="s">
        <v>221</v>
      </c>
      <c r="D13761" s="3" t="s">
        <v>614</v>
      </c>
      <c r="E13761" s="3" t="s">
        <v>118</v>
      </c>
      <c r="F13761" s="7">
        <v>46013.33742499159</v>
      </c>
      <c r="G13761" s="3" t="s">
        <v>9572</v>
      </c>
    </row>
    <row r="13762">
      <c r="A13762" s="3" t="s">
        <v>29576</v>
      </c>
      <c r="B13762" s="3" t="s">
        <v>11824</v>
      </c>
      <c r="C13762" s="5" t="s">
        <v>614</v>
      </c>
      <c r="D13762" s="3" t="s">
        <v>206</v>
      </c>
      <c r="E13762" s="3" t="s">
        <v>100</v>
      </c>
      <c r="F13762" s="7">
        <v>46013.34089721381</v>
      </c>
      <c r="G13762" s="3" t="s">
        <v>9575</v>
      </c>
    </row>
    <row r="13763">
      <c r="A13763" s="3" t="s">
        <v>29577</v>
      </c>
      <c r="B13763" s="3" t="s">
        <v>11824</v>
      </c>
      <c r="C13763" s="5" t="s">
        <v>206</v>
      </c>
      <c r="D13763" s="3" t="s">
        <v>68</v>
      </c>
      <c r="E13763" s="3" t="s">
        <v>100</v>
      </c>
      <c r="F13763" s="7">
        <v>46013.34436943603</v>
      </c>
      <c r="G13763" s="3" t="s">
        <v>9578</v>
      </c>
    </row>
    <row r="13764">
      <c r="A13764" s="3" t="s">
        <v>29578</v>
      </c>
      <c r="B13764" s="3" t="s">
        <v>11827</v>
      </c>
      <c r="C13764" s="5" t="s">
        <v>45</v>
      </c>
      <c r="D13764" s="3" t="s">
        <v>221</v>
      </c>
      <c r="E13764" s="3" t="s">
        <v>485</v>
      </c>
      <c r="F13764" s="7">
        <v>46013.40512761479</v>
      </c>
      <c r="G13764" s="3" t="s">
        <v>15182</v>
      </c>
    </row>
    <row r="13765">
      <c r="A13765" s="3" t="s">
        <v>29579</v>
      </c>
      <c r="B13765" s="3" t="s">
        <v>11827</v>
      </c>
      <c r="C13765" s="5" t="s">
        <v>221</v>
      </c>
      <c r="D13765" s="3" t="s">
        <v>614</v>
      </c>
      <c r="E13765" s="3" t="s">
        <v>118</v>
      </c>
      <c r="F13765" s="7">
        <v>46013.40859983701</v>
      </c>
      <c r="G13765" s="3" t="s">
        <v>15185</v>
      </c>
    </row>
    <row r="13766">
      <c r="A13766" s="3" t="s">
        <v>29580</v>
      </c>
      <c r="B13766" s="3" t="s">
        <v>11827</v>
      </c>
      <c r="C13766" s="5" t="s">
        <v>614</v>
      </c>
      <c r="D13766" s="3" t="s">
        <v>206</v>
      </c>
      <c r="E13766" s="3" t="s">
        <v>100</v>
      </c>
      <c r="F13766" s="7">
        <v>46013.41207205923</v>
      </c>
      <c r="G13766" s="3" t="s">
        <v>15189</v>
      </c>
    </row>
    <row r="13767">
      <c r="A13767" s="3" t="s">
        <v>29581</v>
      </c>
      <c r="B13767" s="3" t="s">
        <v>11827</v>
      </c>
      <c r="C13767" s="5" t="s">
        <v>206</v>
      </c>
      <c r="D13767" s="3" t="s">
        <v>68</v>
      </c>
      <c r="E13767" s="3" t="s">
        <v>100</v>
      </c>
      <c r="F13767" s="7">
        <v>46013.41554428145</v>
      </c>
      <c r="G13767" s="3" t="s">
        <v>15192</v>
      </c>
    </row>
    <row r="13768">
      <c r="A13768" s="3" t="s">
        <v>29582</v>
      </c>
      <c r="B13768" s="3" t="s">
        <v>11830</v>
      </c>
      <c r="C13768" s="5" t="s">
        <v>45</v>
      </c>
      <c r="D13768" s="3" t="s">
        <v>221</v>
      </c>
      <c r="E13768" s="3" t="s">
        <v>883</v>
      </c>
      <c r="F13768" s="7">
        <v>46013.4763024602</v>
      </c>
      <c r="G13768" s="3" t="s">
        <v>2866</v>
      </c>
    </row>
    <row r="13769">
      <c r="A13769" s="3" t="s">
        <v>29583</v>
      </c>
      <c r="B13769" s="3" t="s">
        <v>11830</v>
      </c>
      <c r="C13769" s="5" t="s">
        <v>221</v>
      </c>
      <c r="D13769" s="3" t="s">
        <v>614</v>
      </c>
      <c r="E13769" s="3" t="s">
        <v>118</v>
      </c>
      <c r="F13769" s="7">
        <v>46013.47977468242</v>
      </c>
      <c r="G13769" s="3" t="s">
        <v>2869</v>
      </c>
    </row>
    <row r="13770">
      <c r="A13770" s="3" t="s">
        <v>29584</v>
      </c>
      <c r="B13770" s="3" t="s">
        <v>11830</v>
      </c>
      <c r="C13770" s="5" t="s">
        <v>614</v>
      </c>
      <c r="D13770" s="3" t="s">
        <v>206</v>
      </c>
      <c r="E13770" s="3" t="s">
        <v>100</v>
      </c>
      <c r="F13770" s="7">
        <v>46013.483246904645</v>
      </c>
      <c r="G13770" s="3" t="s">
        <v>2872</v>
      </c>
    </row>
    <row r="13771">
      <c r="A13771" s="3" t="s">
        <v>29585</v>
      </c>
      <c r="B13771" s="3" t="s">
        <v>11830</v>
      </c>
      <c r="C13771" s="5" t="s">
        <v>206</v>
      </c>
      <c r="D13771" s="3" t="s">
        <v>68</v>
      </c>
      <c r="E13771" s="3" t="s">
        <v>100</v>
      </c>
      <c r="F13771" s="7">
        <v>46013.486719126864</v>
      </c>
      <c r="G13771" s="3" t="s">
        <v>2875</v>
      </c>
    </row>
    <row r="13772">
      <c r="A13772" s="3" t="s">
        <v>29586</v>
      </c>
      <c r="B13772" s="3" t="s">
        <v>11832</v>
      </c>
      <c r="C13772" s="5" t="s">
        <v>45</v>
      </c>
      <c r="D13772" s="3" t="s">
        <v>221</v>
      </c>
      <c r="E13772" s="3" t="s">
        <v>676</v>
      </c>
      <c r="F13772" s="7">
        <v>46013.54747730561</v>
      </c>
      <c r="G13772" s="3" t="s">
        <v>27715</v>
      </c>
    </row>
    <row r="13773">
      <c r="A13773" s="3" t="s">
        <v>29587</v>
      </c>
      <c r="B13773" s="3" t="s">
        <v>11832</v>
      </c>
      <c r="C13773" s="5" t="s">
        <v>221</v>
      </c>
      <c r="D13773" s="3" t="s">
        <v>614</v>
      </c>
      <c r="E13773" s="3" t="s">
        <v>118</v>
      </c>
      <c r="F13773" s="7">
        <v>46013.55094952783</v>
      </c>
      <c r="G13773" s="3" t="s">
        <v>27717</v>
      </c>
    </row>
    <row r="13774">
      <c r="A13774" s="3" t="s">
        <v>29588</v>
      </c>
      <c r="B13774" s="3" t="s">
        <v>11832</v>
      </c>
      <c r="C13774" s="5" t="s">
        <v>614</v>
      </c>
      <c r="D13774" s="3" t="s">
        <v>206</v>
      </c>
      <c r="E13774" s="3" t="s">
        <v>100</v>
      </c>
      <c r="F13774" s="7">
        <v>46013.55442175006</v>
      </c>
      <c r="G13774" s="3" t="s">
        <v>27719</v>
      </c>
    </row>
    <row r="13775">
      <c r="A13775" s="3" t="s">
        <v>29589</v>
      </c>
      <c r="B13775" s="3" t="s">
        <v>11832</v>
      </c>
      <c r="C13775" s="5" t="s">
        <v>206</v>
      </c>
      <c r="D13775" s="3" t="s">
        <v>68</v>
      </c>
      <c r="E13775" s="3" t="s">
        <v>100</v>
      </c>
      <c r="F13775" s="7">
        <v>46013.557893972276</v>
      </c>
      <c r="G13775" s="3" t="s">
        <v>27721</v>
      </c>
    </row>
    <row r="13776">
      <c r="A13776" s="3" t="s">
        <v>29590</v>
      </c>
      <c r="B13776" s="3" t="s">
        <v>11834</v>
      </c>
      <c r="C13776" s="5" t="s">
        <v>45</v>
      </c>
      <c r="D13776" s="3" t="s">
        <v>221</v>
      </c>
      <c r="E13776" s="3" t="s">
        <v>587</v>
      </c>
      <c r="F13776" s="7">
        <v>46013.61865215103</v>
      </c>
      <c r="G13776" s="3" t="s">
        <v>4376</v>
      </c>
    </row>
    <row r="13777">
      <c r="A13777" s="3" t="s">
        <v>29591</v>
      </c>
      <c r="B13777" s="3" t="s">
        <v>11834</v>
      </c>
      <c r="C13777" s="5" t="s">
        <v>221</v>
      </c>
      <c r="D13777" s="3" t="s">
        <v>614</v>
      </c>
      <c r="E13777" s="3" t="s">
        <v>118</v>
      </c>
      <c r="F13777" s="7">
        <v>46013.62212437325</v>
      </c>
      <c r="G13777" s="3" t="s">
        <v>4379</v>
      </c>
    </row>
    <row r="13778">
      <c r="A13778" s="3" t="s">
        <v>29592</v>
      </c>
      <c r="B13778" s="3" t="s">
        <v>11834</v>
      </c>
      <c r="C13778" s="5" t="s">
        <v>614</v>
      </c>
      <c r="D13778" s="3" t="s">
        <v>206</v>
      </c>
      <c r="E13778" s="3" t="s">
        <v>100</v>
      </c>
      <c r="F13778" s="7">
        <v>46013.62559659548</v>
      </c>
      <c r="G13778" s="3" t="s">
        <v>4382</v>
      </c>
    </row>
    <row r="13779">
      <c r="A13779" s="3" t="s">
        <v>29593</v>
      </c>
      <c r="B13779" s="3" t="s">
        <v>11834</v>
      </c>
      <c r="C13779" s="5" t="s">
        <v>206</v>
      </c>
      <c r="D13779" s="3" t="s">
        <v>68</v>
      </c>
      <c r="E13779" s="3" t="s">
        <v>100</v>
      </c>
      <c r="F13779" s="7">
        <v>46013.629068817696</v>
      </c>
      <c r="G13779" s="3" t="s">
        <v>4385</v>
      </c>
    </row>
    <row r="13780">
      <c r="A13780" s="3" t="s">
        <v>29594</v>
      </c>
      <c r="B13780" s="3" t="s">
        <v>11836</v>
      </c>
      <c r="C13780" s="5" t="s">
        <v>45</v>
      </c>
      <c r="D13780" s="3" t="s">
        <v>221</v>
      </c>
      <c r="E13780" s="3" t="s">
        <v>1040</v>
      </c>
      <c r="F13780" s="7">
        <v>46013.68982699645</v>
      </c>
      <c r="G13780" s="3" t="s">
        <v>12076</v>
      </c>
    </row>
    <row r="13781">
      <c r="A13781" s="3" t="s">
        <v>29595</v>
      </c>
      <c r="B13781" s="3" t="s">
        <v>11836</v>
      </c>
      <c r="C13781" s="5" t="s">
        <v>221</v>
      </c>
      <c r="D13781" s="3" t="s">
        <v>614</v>
      </c>
      <c r="E13781" s="3" t="s">
        <v>118</v>
      </c>
      <c r="F13781" s="7">
        <v>46013.69329921867</v>
      </c>
      <c r="G13781" s="3" t="s">
        <v>12079</v>
      </c>
    </row>
    <row r="13782">
      <c r="A13782" s="3" t="s">
        <v>29596</v>
      </c>
      <c r="B13782" s="3" t="s">
        <v>11836</v>
      </c>
      <c r="C13782" s="5" t="s">
        <v>614</v>
      </c>
      <c r="D13782" s="3" t="s">
        <v>206</v>
      </c>
      <c r="E13782" s="3" t="s">
        <v>100</v>
      </c>
      <c r="F13782" s="7">
        <v>46013.6967714409</v>
      </c>
      <c r="G13782" s="3" t="s">
        <v>12082</v>
      </c>
    </row>
    <row r="13783">
      <c r="A13783" s="3" t="s">
        <v>29597</v>
      </c>
      <c r="B13783" s="3" t="s">
        <v>11836</v>
      </c>
      <c r="C13783" s="5" t="s">
        <v>206</v>
      </c>
      <c r="D13783" s="3" t="s">
        <v>68</v>
      </c>
      <c r="E13783" s="3" t="s">
        <v>100</v>
      </c>
      <c r="F13783" s="7">
        <v>46013.700243663116</v>
      </c>
      <c r="G13783" s="3" t="s">
        <v>12085</v>
      </c>
    </row>
    <row r="13784">
      <c r="A13784" s="3" t="s">
        <v>29598</v>
      </c>
      <c r="B13784" s="3" t="s">
        <v>11840</v>
      </c>
      <c r="C13784" s="5" t="s">
        <v>45</v>
      </c>
      <c r="D13784" s="3" t="s">
        <v>221</v>
      </c>
      <c r="E13784" s="3" t="s">
        <v>735</v>
      </c>
      <c r="F13784" s="7">
        <v>46013.761001841856</v>
      </c>
      <c r="G13784" s="3" t="s">
        <v>29599</v>
      </c>
    </row>
    <row r="13785">
      <c r="A13785" s="3" t="s">
        <v>29600</v>
      </c>
      <c r="B13785" s="3" t="s">
        <v>11840</v>
      </c>
      <c r="C13785" s="5" t="s">
        <v>221</v>
      </c>
      <c r="D13785" s="3" t="s">
        <v>614</v>
      </c>
      <c r="E13785" s="3" t="s">
        <v>118</v>
      </c>
      <c r="F13785" s="7">
        <v>46013.764474064075</v>
      </c>
      <c r="G13785" s="3" t="s">
        <v>29601</v>
      </c>
    </row>
    <row r="13786">
      <c r="A13786" s="3" t="s">
        <v>29602</v>
      </c>
      <c r="B13786" s="3" t="s">
        <v>11840</v>
      </c>
      <c r="C13786" s="5" t="s">
        <v>614</v>
      </c>
      <c r="D13786" s="3" t="s">
        <v>206</v>
      </c>
      <c r="E13786" s="3" t="s">
        <v>100</v>
      </c>
      <c r="F13786" s="7">
        <v>46013.7679462863</v>
      </c>
      <c r="G13786" s="3" t="s">
        <v>29603</v>
      </c>
    </row>
    <row r="13787">
      <c r="A13787" s="3" t="s">
        <v>29604</v>
      </c>
      <c r="B13787" s="3" t="s">
        <v>11840</v>
      </c>
      <c r="C13787" s="5" t="s">
        <v>206</v>
      </c>
      <c r="D13787" s="3" t="s">
        <v>68</v>
      </c>
      <c r="E13787" s="3" t="s">
        <v>100</v>
      </c>
      <c r="F13787" s="7">
        <v>46013.77141850852</v>
      </c>
      <c r="G13787" s="3" t="s">
        <v>29605</v>
      </c>
    </row>
    <row r="13788">
      <c r="A13788" s="3" t="s">
        <v>29606</v>
      </c>
      <c r="B13788" s="3" t="s">
        <v>11842</v>
      </c>
      <c r="C13788" s="5" t="s">
        <v>45</v>
      </c>
      <c r="D13788" s="3" t="s">
        <v>221</v>
      </c>
      <c r="E13788" s="3" t="s">
        <v>224</v>
      </c>
      <c r="F13788" s="7">
        <v>46013.832176687276</v>
      </c>
      <c r="G13788" s="3" t="s">
        <v>21743</v>
      </c>
    </row>
    <row r="13789">
      <c r="A13789" s="3" t="s">
        <v>29607</v>
      </c>
      <c r="B13789" s="3" t="s">
        <v>11842</v>
      </c>
      <c r="C13789" s="5" t="s">
        <v>221</v>
      </c>
      <c r="D13789" s="3" t="s">
        <v>614</v>
      </c>
      <c r="E13789" s="3" t="s">
        <v>118</v>
      </c>
      <c r="F13789" s="7">
        <v>46013.835648909495</v>
      </c>
      <c r="G13789" s="3" t="s">
        <v>21746</v>
      </c>
    </row>
    <row r="13790">
      <c r="A13790" s="3" t="s">
        <v>29608</v>
      </c>
      <c r="B13790" s="3" t="s">
        <v>11842</v>
      </c>
      <c r="C13790" s="5" t="s">
        <v>614</v>
      </c>
      <c r="D13790" s="3" t="s">
        <v>206</v>
      </c>
      <c r="E13790" s="3" t="s">
        <v>100</v>
      </c>
      <c r="F13790" s="7">
        <v>46013.83912113172</v>
      </c>
      <c r="G13790" s="3" t="s">
        <v>21749</v>
      </c>
    </row>
    <row r="13791">
      <c r="A13791" s="3" t="s">
        <v>29609</v>
      </c>
      <c r="B13791" s="3" t="s">
        <v>11842</v>
      </c>
      <c r="C13791" s="5" t="s">
        <v>206</v>
      </c>
      <c r="D13791" s="3" t="s">
        <v>68</v>
      </c>
      <c r="E13791" s="3" t="s">
        <v>100</v>
      </c>
      <c r="F13791" s="7">
        <v>46013.84259335394</v>
      </c>
      <c r="G13791" s="3" t="s">
        <v>21752</v>
      </c>
    </row>
    <row r="13792">
      <c r="A13792" s="3" t="s">
        <v>29610</v>
      </c>
      <c r="B13792" s="3" t="s">
        <v>11843</v>
      </c>
      <c r="C13792" s="5" t="s">
        <v>45</v>
      </c>
      <c r="D13792" s="3" t="s">
        <v>221</v>
      </c>
      <c r="E13792" s="3" t="s">
        <v>751</v>
      </c>
      <c r="F13792" s="7">
        <v>46013.903351532696</v>
      </c>
      <c r="G13792" s="3" t="s">
        <v>21207</v>
      </c>
    </row>
    <row r="13793">
      <c r="A13793" s="3" t="s">
        <v>29611</v>
      </c>
      <c r="B13793" s="3" t="s">
        <v>11843</v>
      </c>
      <c r="C13793" s="5" t="s">
        <v>221</v>
      </c>
      <c r="D13793" s="3" t="s">
        <v>614</v>
      </c>
      <c r="E13793" s="3" t="s">
        <v>118</v>
      </c>
      <c r="F13793" s="7">
        <v>46013.906823754915</v>
      </c>
      <c r="G13793" s="3" t="s">
        <v>21210</v>
      </c>
    </row>
    <row r="13794">
      <c r="A13794" s="3" t="s">
        <v>29612</v>
      </c>
      <c r="B13794" s="3" t="s">
        <v>11843</v>
      </c>
      <c r="C13794" s="5" t="s">
        <v>614</v>
      </c>
      <c r="D13794" s="3" t="s">
        <v>206</v>
      </c>
      <c r="E13794" s="3" t="s">
        <v>100</v>
      </c>
      <c r="F13794" s="7">
        <v>46013.91029597714</v>
      </c>
      <c r="G13794" s="3" t="s">
        <v>21213</v>
      </c>
    </row>
    <row r="13795">
      <c r="A13795" s="3" t="s">
        <v>29613</v>
      </c>
      <c r="B13795" s="3" t="s">
        <v>11843</v>
      </c>
      <c r="C13795" s="5" t="s">
        <v>206</v>
      </c>
      <c r="D13795" s="3" t="s">
        <v>68</v>
      </c>
      <c r="E13795" s="3" t="s">
        <v>100</v>
      </c>
      <c r="F13795" s="7">
        <v>46013.91376819936</v>
      </c>
      <c r="G13795" s="3" t="s">
        <v>21215</v>
      </c>
    </row>
    <row r="13796">
      <c r="A13796" s="3" t="s">
        <v>29614</v>
      </c>
      <c r="B13796" s="3" t="s">
        <v>11845</v>
      </c>
      <c r="C13796" s="5" t="s">
        <v>45</v>
      </c>
      <c r="D13796" s="3" t="s">
        <v>221</v>
      </c>
      <c r="E13796" s="3" t="s">
        <v>322</v>
      </c>
      <c r="F13796" s="7">
        <v>46013.97452637811</v>
      </c>
      <c r="G13796" s="3" t="s">
        <v>21622</v>
      </c>
    </row>
    <row r="13797">
      <c r="A13797" s="3" t="s">
        <v>29615</v>
      </c>
      <c r="B13797" s="3" t="s">
        <v>11845</v>
      </c>
      <c r="C13797" s="5" t="s">
        <v>221</v>
      </c>
      <c r="D13797" s="3" t="s">
        <v>614</v>
      </c>
      <c r="E13797" s="3" t="s">
        <v>118</v>
      </c>
      <c r="F13797" s="7">
        <v>46013.97799860033</v>
      </c>
      <c r="G13797" s="3" t="s">
        <v>21624</v>
      </c>
    </row>
    <row r="13798">
      <c r="A13798" s="3" t="s">
        <v>29616</v>
      </c>
      <c r="B13798" s="3" t="s">
        <v>11845</v>
      </c>
      <c r="C13798" s="5" t="s">
        <v>614</v>
      </c>
      <c r="D13798" s="3" t="s">
        <v>206</v>
      </c>
      <c r="E13798" s="3" t="s">
        <v>100</v>
      </c>
      <c r="F13798" s="7">
        <v>46013.98147082255</v>
      </c>
      <c r="G13798" s="3" t="s">
        <v>21627</v>
      </c>
    </row>
    <row r="13799">
      <c r="A13799" s="3" t="s">
        <v>29617</v>
      </c>
      <c r="B13799" s="3" t="s">
        <v>11845</v>
      </c>
      <c r="C13799" s="5" t="s">
        <v>206</v>
      </c>
      <c r="D13799" s="3" t="s">
        <v>68</v>
      </c>
      <c r="E13799" s="3" t="s">
        <v>100</v>
      </c>
      <c r="F13799" s="7">
        <v>46013.98494304477</v>
      </c>
      <c r="G13799" s="3" t="s">
        <v>21630</v>
      </c>
    </row>
    <row r="13800">
      <c r="A13800" s="3" t="s">
        <v>29618</v>
      </c>
      <c r="B13800" s="3" t="s">
        <v>11847</v>
      </c>
      <c r="C13800" s="5" t="s">
        <v>45</v>
      </c>
      <c r="D13800" s="3" t="s">
        <v>221</v>
      </c>
      <c r="E13800" s="3" t="s">
        <v>793</v>
      </c>
      <c r="F13800" s="7">
        <v>46014.04570122352</v>
      </c>
      <c r="G13800" s="3" t="s">
        <v>2770</v>
      </c>
    </row>
    <row r="13801">
      <c r="A13801" s="3" t="s">
        <v>29619</v>
      </c>
      <c r="B13801" s="3" t="s">
        <v>11847</v>
      </c>
      <c r="C13801" s="5" t="s">
        <v>221</v>
      </c>
      <c r="D13801" s="3" t="s">
        <v>195</v>
      </c>
      <c r="E13801" s="3" t="s">
        <v>793</v>
      </c>
      <c r="F13801" s="7">
        <v>46014.04917344574</v>
      </c>
      <c r="G13801" s="3" t="s">
        <v>3055</v>
      </c>
    </row>
    <row r="13802">
      <c r="A13802" s="3" t="s">
        <v>29620</v>
      </c>
      <c r="B13802" s="3" t="s">
        <v>11850</v>
      </c>
      <c r="C13802" s="5" t="s">
        <v>45</v>
      </c>
      <c r="D13802" s="3" t="s">
        <v>221</v>
      </c>
      <c r="E13802" s="3" t="s">
        <v>204</v>
      </c>
      <c r="F13802" s="7">
        <v>46014.11687606894</v>
      </c>
      <c r="G13802" s="3" t="s">
        <v>29621</v>
      </c>
    </row>
    <row r="13803">
      <c r="A13803" s="3" t="s">
        <v>29622</v>
      </c>
      <c r="B13803" s="3" t="s">
        <v>11850</v>
      </c>
      <c r="C13803" s="5" t="s">
        <v>221</v>
      </c>
      <c r="D13803" s="3" t="s">
        <v>614</v>
      </c>
      <c r="E13803" s="3" t="s">
        <v>118</v>
      </c>
      <c r="F13803" s="7">
        <v>46014.12034829116</v>
      </c>
      <c r="G13803" s="3" t="s">
        <v>29623</v>
      </c>
    </row>
    <row r="13804">
      <c r="A13804" s="3" t="s">
        <v>29624</v>
      </c>
      <c r="B13804" s="3" t="s">
        <v>11850</v>
      </c>
      <c r="C13804" s="5" t="s">
        <v>614</v>
      </c>
      <c r="D13804" s="3" t="s">
        <v>206</v>
      </c>
      <c r="E13804" s="3" t="s">
        <v>100</v>
      </c>
      <c r="F13804" s="7">
        <v>46014.123820513385</v>
      </c>
      <c r="G13804" s="3" t="s">
        <v>29625</v>
      </c>
    </row>
    <row r="13805">
      <c r="A13805" s="3" t="s">
        <v>29626</v>
      </c>
      <c r="B13805" s="3" t="s">
        <v>11850</v>
      </c>
      <c r="C13805" s="5" t="s">
        <v>206</v>
      </c>
      <c r="D13805" s="3" t="s">
        <v>68</v>
      </c>
      <c r="E13805" s="3" t="s">
        <v>100</v>
      </c>
      <c r="F13805" s="7">
        <v>46014.127292735604</v>
      </c>
      <c r="G13805" s="3" t="s">
        <v>29627</v>
      </c>
    </row>
    <row r="13806">
      <c r="A13806" s="3" t="s">
        <v>29628</v>
      </c>
      <c r="B13806" s="3" t="s">
        <v>11852</v>
      </c>
      <c r="C13806" s="5" t="s">
        <v>45</v>
      </c>
      <c r="D13806" s="3" t="s">
        <v>221</v>
      </c>
      <c r="E13806" s="3" t="s">
        <v>574</v>
      </c>
      <c r="F13806" s="7">
        <v>46014.18805091435</v>
      </c>
      <c r="G13806" s="3" t="s">
        <v>15196</v>
      </c>
    </row>
    <row r="13807">
      <c r="A13807" s="3" t="s">
        <v>29629</v>
      </c>
      <c r="B13807" s="3" t="s">
        <v>11852</v>
      </c>
      <c r="C13807" s="5" t="s">
        <v>221</v>
      </c>
      <c r="D13807" s="3" t="s">
        <v>614</v>
      </c>
      <c r="E13807" s="3" t="s">
        <v>118</v>
      </c>
      <c r="F13807" s="7">
        <v>46014.19152313657</v>
      </c>
      <c r="G13807" s="3" t="s">
        <v>15199</v>
      </c>
    </row>
    <row r="13808">
      <c r="A13808" s="3" t="s">
        <v>29630</v>
      </c>
      <c r="B13808" s="3" t="s">
        <v>11852</v>
      </c>
      <c r="C13808" s="5" t="s">
        <v>614</v>
      </c>
      <c r="D13808" s="3" t="s">
        <v>206</v>
      </c>
      <c r="E13808" s="3" t="s">
        <v>100</v>
      </c>
      <c r="F13808" s="7">
        <v>46014.1949953588</v>
      </c>
      <c r="G13808" s="3" t="s">
        <v>15203</v>
      </c>
    </row>
    <row r="13809">
      <c r="A13809" s="3" t="s">
        <v>29631</v>
      </c>
      <c r="B13809" s="3" t="s">
        <v>11852</v>
      </c>
      <c r="C13809" s="5" t="s">
        <v>206</v>
      </c>
      <c r="D13809" s="3" t="s">
        <v>68</v>
      </c>
      <c r="E13809" s="3" t="s">
        <v>100</v>
      </c>
      <c r="F13809" s="7">
        <v>46014.198467581016</v>
      </c>
      <c r="G13809" s="3" t="s">
        <v>15206</v>
      </c>
    </row>
    <row r="13810">
      <c r="A13810" s="3" t="s">
        <v>29632</v>
      </c>
      <c r="B13810" s="3" t="s">
        <v>11854</v>
      </c>
      <c r="C13810" s="5" t="s">
        <v>45</v>
      </c>
      <c r="D13810" s="3" t="s">
        <v>221</v>
      </c>
      <c r="E13810" s="3" t="s">
        <v>472</v>
      </c>
      <c r="F13810" s="7">
        <v>46014.259225759764</v>
      </c>
      <c r="G13810" s="3" t="s">
        <v>2878</v>
      </c>
    </row>
    <row r="13811">
      <c r="A13811" s="3" t="s">
        <v>29633</v>
      </c>
      <c r="B13811" s="3" t="s">
        <v>11854</v>
      </c>
      <c r="C13811" s="5" t="s">
        <v>221</v>
      </c>
      <c r="D13811" s="3" t="s">
        <v>614</v>
      </c>
      <c r="E13811" s="3" t="s">
        <v>118</v>
      </c>
      <c r="F13811" s="7">
        <v>46014.26269798198</v>
      </c>
      <c r="G13811" s="3" t="s">
        <v>2881</v>
      </c>
    </row>
    <row r="13812">
      <c r="A13812" s="3" t="s">
        <v>29634</v>
      </c>
      <c r="B13812" s="3" t="s">
        <v>11854</v>
      </c>
      <c r="C13812" s="5" t="s">
        <v>614</v>
      </c>
      <c r="D13812" s="3" t="s">
        <v>206</v>
      </c>
      <c r="E13812" s="3" t="s">
        <v>100</v>
      </c>
      <c r="F13812" s="7">
        <v>46014.26617020421</v>
      </c>
      <c r="G13812" s="3" t="s">
        <v>2884</v>
      </c>
    </row>
    <row r="13813">
      <c r="A13813" s="3" t="s">
        <v>29635</v>
      </c>
      <c r="B13813" s="3" t="s">
        <v>11854</v>
      </c>
      <c r="C13813" s="5" t="s">
        <v>206</v>
      </c>
      <c r="D13813" s="3" t="s">
        <v>68</v>
      </c>
      <c r="E13813" s="3" t="s">
        <v>100</v>
      </c>
      <c r="F13813" s="7">
        <v>46014.26964242643</v>
      </c>
      <c r="G13813" s="3" t="s">
        <v>2887</v>
      </c>
    </row>
    <row r="13814">
      <c r="A13814" s="3" t="s">
        <v>29636</v>
      </c>
      <c r="B13814" s="3" t="s">
        <v>11857</v>
      </c>
      <c r="C13814" s="5" t="s">
        <v>45</v>
      </c>
      <c r="D13814" s="3" t="s">
        <v>221</v>
      </c>
      <c r="E13814" s="3" t="s">
        <v>727</v>
      </c>
      <c r="F13814" s="7">
        <v>46014.330400605184</v>
      </c>
      <c r="G13814" s="3" t="s">
        <v>2893</v>
      </c>
    </row>
    <row r="13815">
      <c r="A13815" s="3" t="s">
        <v>29637</v>
      </c>
      <c r="B13815" s="3" t="s">
        <v>11857</v>
      </c>
      <c r="C13815" s="5" t="s">
        <v>221</v>
      </c>
      <c r="D13815" s="3" t="s">
        <v>614</v>
      </c>
      <c r="E13815" s="3" t="s">
        <v>118</v>
      </c>
      <c r="F13815" s="7">
        <v>46014.3338728274</v>
      </c>
      <c r="G13815" s="3" t="s">
        <v>2896</v>
      </c>
    </row>
    <row r="13816">
      <c r="A13816" s="3" t="s">
        <v>29638</v>
      </c>
      <c r="B13816" s="3" t="s">
        <v>11857</v>
      </c>
      <c r="C13816" s="5" t="s">
        <v>614</v>
      </c>
      <c r="D13816" s="3" t="s">
        <v>206</v>
      </c>
      <c r="E13816" s="3" t="s">
        <v>100</v>
      </c>
      <c r="F13816" s="7">
        <v>46014.33734504963</v>
      </c>
      <c r="G13816" s="3" t="s">
        <v>2899</v>
      </c>
    </row>
    <row r="13817">
      <c r="A13817" s="3" t="s">
        <v>29639</v>
      </c>
      <c r="B13817" s="3" t="s">
        <v>11857</v>
      </c>
      <c r="C13817" s="5" t="s">
        <v>206</v>
      </c>
      <c r="D13817" s="3" t="s">
        <v>68</v>
      </c>
      <c r="E13817" s="3" t="s">
        <v>100</v>
      </c>
      <c r="F13817" s="7">
        <v>46014.34081727185</v>
      </c>
      <c r="G13817" s="3" t="s">
        <v>2902</v>
      </c>
    </row>
    <row r="13818">
      <c r="A13818" s="3" t="s">
        <v>29640</v>
      </c>
      <c r="B13818" s="3" t="s">
        <v>11860</v>
      </c>
      <c r="C13818" s="5" t="s">
        <v>45</v>
      </c>
      <c r="D13818" s="3" t="s">
        <v>221</v>
      </c>
      <c r="E13818" s="3" t="s">
        <v>584</v>
      </c>
      <c r="F13818" s="7">
        <v>46014.401575450596</v>
      </c>
      <c r="G13818" s="3" t="s">
        <v>23658</v>
      </c>
    </row>
    <row r="13819">
      <c r="A13819" s="3" t="s">
        <v>29641</v>
      </c>
      <c r="B13819" s="3" t="s">
        <v>11860</v>
      </c>
      <c r="C13819" s="5" t="s">
        <v>221</v>
      </c>
      <c r="D13819" s="3" t="s">
        <v>181</v>
      </c>
      <c r="E13819" s="3" t="s">
        <v>118</v>
      </c>
      <c r="F13819" s="7">
        <v>46014.405047672815</v>
      </c>
      <c r="G13819" s="3" t="s">
        <v>29642</v>
      </c>
    </row>
    <row r="13820">
      <c r="A13820" s="3" t="s">
        <v>29643</v>
      </c>
      <c r="B13820" s="3" t="s">
        <v>11863</v>
      </c>
      <c r="C13820" s="5" t="s">
        <v>45</v>
      </c>
      <c r="D13820" s="3" t="s">
        <v>221</v>
      </c>
      <c r="E13820" s="3" t="s">
        <v>565</v>
      </c>
      <c r="F13820" s="7">
        <v>46014.47275029601</v>
      </c>
      <c r="G13820" s="3" t="s">
        <v>18951</v>
      </c>
    </row>
    <row r="13821">
      <c r="A13821" s="3" t="s">
        <v>29644</v>
      </c>
      <c r="B13821" s="3" t="s">
        <v>11863</v>
      </c>
      <c r="C13821" s="5" t="s">
        <v>221</v>
      </c>
      <c r="D13821" s="3" t="s">
        <v>614</v>
      </c>
      <c r="E13821" s="3" t="s">
        <v>118</v>
      </c>
      <c r="F13821" s="7">
        <v>46014.47622251823</v>
      </c>
      <c r="G13821" s="3" t="s">
        <v>18954</v>
      </c>
    </row>
    <row r="13822">
      <c r="A13822" s="3" t="s">
        <v>29645</v>
      </c>
      <c r="B13822" s="3" t="s">
        <v>11863</v>
      </c>
      <c r="C13822" s="5" t="s">
        <v>614</v>
      </c>
      <c r="D13822" s="3" t="s">
        <v>206</v>
      </c>
      <c r="E13822" s="3" t="s">
        <v>100</v>
      </c>
      <c r="F13822" s="7">
        <v>46014.479694740454</v>
      </c>
      <c r="G13822" s="3" t="s">
        <v>18956</v>
      </c>
    </row>
    <row r="13823">
      <c r="A13823" s="3" t="s">
        <v>29646</v>
      </c>
      <c r="B13823" s="3" t="s">
        <v>11863</v>
      </c>
      <c r="C13823" s="5" t="s">
        <v>206</v>
      </c>
      <c r="D13823" s="3" t="s">
        <v>68</v>
      </c>
      <c r="E13823" s="3" t="s">
        <v>100</v>
      </c>
      <c r="F13823" s="7">
        <v>46014.48316696267</v>
      </c>
      <c r="G13823" s="3" t="s">
        <v>18959</v>
      </c>
    </row>
    <row r="13824">
      <c r="A13824" s="3" t="s">
        <v>29647</v>
      </c>
      <c r="B13824" s="3" t="s">
        <v>11864</v>
      </c>
      <c r="C13824" s="5" t="s">
        <v>45</v>
      </c>
      <c r="D13824" s="3" t="s">
        <v>221</v>
      </c>
      <c r="E13824" s="3" t="s">
        <v>449</v>
      </c>
      <c r="F13824" s="7">
        <v>46014.54392514143</v>
      </c>
      <c r="G13824" s="3" t="s">
        <v>2905</v>
      </c>
    </row>
    <row r="13825">
      <c r="A13825" s="3" t="s">
        <v>29648</v>
      </c>
      <c r="B13825" s="3" t="s">
        <v>11864</v>
      </c>
      <c r="C13825" s="5" t="s">
        <v>221</v>
      </c>
      <c r="D13825" s="3" t="s">
        <v>614</v>
      </c>
      <c r="E13825" s="3" t="s">
        <v>118</v>
      </c>
      <c r="F13825" s="7">
        <v>46014.54739736365</v>
      </c>
      <c r="G13825" s="3" t="s">
        <v>2908</v>
      </c>
    </row>
    <row r="13826">
      <c r="A13826" s="3" t="s">
        <v>29649</v>
      </c>
      <c r="B13826" s="3" t="s">
        <v>11864</v>
      </c>
      <c r="C13826" s="5" t="s">
        <v>614</v>
      </c>
      <c r="D13826" s="3" t="s">
        <v>206</v>
      </c>
      <c r="E13826" s="3" t="s">
        <v>100</v>
      </c>
      <c r="F13826" s="7">
        <v>46014.55086958587</v>
      </c>
      <c r="G13826" s="3" t="s">
        <v>2911</v>
      </c>
    </row>
    <row r="13827">
      <c r="A13827" s="3" t="s">
        <v>29650</v>
      </c>
      <c r="B13827" s="3" t="s">
        <v>11864</v>
      </c>
      <c r="C13827" s="5" t="s">
        <v>206</v>
      </c>
      <c r="D13827" s="3" t="s">
        <v>68</v>
      </c>
      <c r="E13827" s="3" t="s">
        <v>100</v>
      </c>
      <c r="F13827" s="7">
        <v>46014.55434180809</v>
      </c>
      <c r="G13827" s="3" t="s">
        <v>2914</v>
      </c>
    </row>
    <row r="13828">
      <c r="A13828" s="3" t="s">
        <v>29651</v>
      </c>
      <c r="B13828" s="3" t="s">
        <v>11867</v>
      </c>
      <c r="C13828" s="5" t="s">
        <v>45</v>
      </c>
      <c r="D13828" s="3" t="s">
        <v>221</v>
      </c>
      <c r="E13828" s="3" t="s">
        <v>913</v>
      </c>
      <c r="F13828" s="7">
        <v>46014.61509998684</v>
      </c>
      <c r="G13828" s="3" t="s">
        <v>2916</v>
      </c>
    </row>
    <row r="13829">
      <c r="A13829" s="3" t="s">
        <v>29652</v>
      </c>
      <c r="B13829" s="3" t="s">
        <v>11867</v>
      </c>
      <c r="C13829" s="5" t="s">
        <v>221</v>
      </c>
      <c r="D13829" s="3" t="s">
        <v>614</v>
      </c>
      <c r="E13829" s="3" t="s">
        <v>118</v>
      </c>
      <c r="F13829" s="7">
        <v>46014.61857220906</v>
      </c>
      <c r="G13829" s="3" t="s">
        <v>2919</v>
      </c>
    </row>
    <row r="13830">
      <c r="A13830" s="3" t="s">
        <v>29653</v>
      </c>
      <c r="B13830" s="3" t="s">
        <v>11867</v>
      </c>
      <c r="C13830" s="5" t="s">
        <v>614</v>
      </c>
      <c r="D13830" s="3" t="s">
        <v>206</v>
      </c>
      <c r="E13830" s="3" t="s">
        <v>100</v>
      </c>
      <c r="F13830" s="7">
        <v>46014.622044431286</v>
      </c>
      <c r="G13830" s="3" t="s">
        <v>2923</v>
      </c>
    </row>
    <row r="13831">
      <c r="A13831" s="3" t="s">
        <v>29654</v>
      </c>
      <c r="B13831" s="3" t="s">
        <v>11867</v>
      </c>
      <c r="C13831" s="5" t="s">
        <v>206</v>
      </c>
      <c r="D13831" s="3" t="s">
        <v>68</v>
      </c>
      <c r="E13831" s="3" t="s">
        <v>100</v>
      </c>
      <c r="F13831" s="7">
        <v>46014.625516653505</v>
      </c>
      <c r="G13831" s="3" t="s">
        <v>2926</v>
      </c>
    </row>
    <row r="13832">
      <c r="A13832" s="3" t="s">
        <v>29655</v>
      </c>
      <c r="B13832" s="3" t="s">
        <v>11869</v>
      </c>
      <c r="C13832" s="5" t="s">
        <v>45</v>
      </c>
      <c r="D13832" s="3" t="s">
        <v>221</v>
      </c>
      <c r="E13832" s="3" t="s">
        <v>574</v>
      </c>
      <c r="F13832" s="7">
        <v>46014.68627483225</v>
      </c>
      <c r="G13832" s="3" t="s">
        <v>15196</v>
      </c>
    </row>
    <row r="13833">
      <c r="A13833" s="3" t="s">
        <v>29656</v>
      </c>
      <c r="B13833" s="3" t="s">
        <v>11869</v>
      </c>
      <c r="C13833" s="5" t="s">
        <v>221</v>
      </c>
      <c r="D13833" s="3" t="s">
        <v>614</v>
      </c>
      <c r="E13833" s="3" t="s">
        <v>118</v>
      </c>
      <c r="F13833" s="7">
        <v>46014.68974705447</v>
      </c>
      <c r="G13833" s="3" t="s">
        <v>15199</v>
      </c>
    </row>
    <row r="13834">
      <c r="A13834" s="3" t="s">
        <v>29657</v>
      </c>
      <c r="B13834" s="3" t="s">
        <v>11869</v>
      </c>
      <c r="C13834" s="5" t="s">
        <v>614</v>
      </c>
      <c r="D13834" s="3" t="s">
        <v>206</v>
      </c>
      <c r="E13834" s="3" t="s">
        <v>100</v>
      </c>
      <c r="F13834" s="7">
        <v>46014.6932192767</v>
      </c>
      <c r="G13834" s="3" t="s">
        <v>15203</v>
      </c>
    </row>
    <row r="13835">
      <c r="A13835" s="3" t="s">
        <v>29658</v>
      </c>
      <c r="B13835" s="3" t="s">
        <v>11869</v>
      </c>
      <c r="C13835" s="5" t="s">
        <v>206</v>
      </c>
      <c r="D13835" s="3" t="s">
        <v>68</v>
      </c>
      <c r="E13835" s="3" t="s">
        <v>100</v>
      </c>
      <c r="F13835" s="7">
        <v>46014.69669149892</v>
      </c>
      <c r="G13835" s="3" t="s">
        <v>15206</v>
      </c>
    </row>
    <row r="13836">
      <c r="A13836" s="3" t="s">
        <v>29659</v>
      </c>
      <c r="B13836" s="3" t="s">
        <v>11871</v>
      </c>
      <c r="C13836" s="5" t="s">
        <v>45</v>
      </c>
      <c r="D13836" s="3" t="s">
        <v>221</v>
      </c>
      <c r="E13836" s="3" t="s">
        <v>631</v>
      </c>
      <c r="F13836" s="7">
        <v>46014.75744967767</v>
      </c>
      <c r="G13836" s="3" t="s">
        <v>4574</v>
      </c>
    </row>
    <row r="13837">
      <c r="A13837" s="3" t="s">
        <v>29660</v>
      </c>
      <c r="B13837" s="3" t="s">
        <v>11871</v>
      </c>
      <c r="C13837" s="5" t="s">
        <v>221</v>
      </c>
      <c r="D13837" s="3" t="s">
        <v>614</v>
      </c>
      <c r="E13837" s="3" t="s">
        <v>118</v>
      </c>
      <c r="F13837" s="7">
        <v>46014.76092189989</v>
      </c>
      <c r="G13837" s="3" t="s">
        <v>4576</v>
      </c>
    </row>
    <row r="13838">
      <c r="A13838" s="3" t="s">
        <v>29661</v>
      </c>
      <c r="B13838" s="3" t="s">
        <v>11871</v>
      </c>
      <c r="C13838" s="5" t="s">
        <v>614</v>
      </c>
      <c r="D13838" s="3" t="s">
        <v>206</v>
      </c>
      <c r="E13838" s="3" t="s">
        <v>100</v>
      </c>
      <c r="F13838" s="7">
        <v>46014.76439412212</v>
      </c>
      <c r="G13838" s="3" t="s">
        <v>4579</v>
      </c>
    </row>
    <row r="13839">
      <c r="A13839" s="3" t="s">
        <v>29662</v>
      </c>
      <c r="B13839" s="3" t="s">
        <v>11871</v>
      </c>
      <c r="C13839" s="5" t="s">
        <v>206</v>
      </c>
      <c r="D13839" s="3" t="s">
        <v>68</v>
      </c>
      <c r="E13839" s="3" t="s">
        <v>100</v>
      </c>
      <c r="F13839" s="7">
        <v>46014.76786634434</v>
      </c>
      <c r="G13839" s="3" t="s">
        <v>4582</v>
      </c>
    </row>
    <row r="13840">
      <c r="A13840" s="3" t="s">
        <v>29663</v>
      </c>
      <c r="B13840" s="3" t="s">
        <v>11873</v>
      </c>
      <c r="C13840" s="5" t="s">
        <v>45</v>
      </c>
      <c r="D13840" s="3" t="s">
        <v>221</v>
      </c>
      <c r="E13840" s="3" t="s">
        <v>468</v>
      </c>
      <c r="F13840" s="7">
        <v>46014.82862452309</v>
      </c>
      <c r="G13840" s="3" t="s">
        <v>2929</v>
      </c>
    </row>
    <row r="13841">
      <c r="A13841" s="3" t="s">
        <v>29664</v>
      </c>
      <c r="B13841" s="3" t="s">
        <v>11873</v>
      </c>
      <c r="C13841" s="5" t="s">
        <v>221</v>
      </c>
      <c r="D13841" s="3" t="s">
        <v>614</v>
      </c>
      <c r="E13841" s="3" t="s">
        <v>118</v>
      </c>
      <c r="F13841" s="7">
        <v>46014.83209674531</v>
      </c>
      <c r="G13841" s="3" t="s">
        <v>2931</v>
      </c>
    </row>
    <row r="13842">
      <c r="A13842" s="3" t="s">
        <v>29665</v>
      </c>
      <c r="B13842" s="3" t="s">
        <v>11873</v>
      </c>
      <c r="C13842" s="5" t="s">
        <v>614</v>
      </c>
      <c r="D13842" s="3" t="s">
        <v>206</v>
      </c>
      <c r="E13842" s="3" t="s">
        <v>100</v>
      </c>
      <c r="F13842" s="7">
        <v>46014.83556896754</v>
      </c>
      <c r="G13842" s="3" t="s">
        <v>2934</v>
      </c>
    </row>
    <row r="13843">
      <c r="A13843" s="3" t="s">
        <v>29666</v>
      </c>
      <c r="B13843" s="3" t="s">
        <v>11873</v>
      </c>
      <c r="C13843" s="5" t="s">
        <v>206</v>
      </c>
      <c r="D13843" s="3" t="s">
        <v>68</v>
      </c>
      <c r="E13843" s="3" t="s">
        <v>100</v>
      </c>
      <c r="F13843" s="7">
        <v>46014.839041189756</v>
      </c>
      <c r="G13843" s="3" t="s">
        <v>2937</v>
      </c>
    </row>
    <row r="13844">
      <c r="A13844" s="3" t="s">
        <v>29667</v>
      </c>
      <c r="B13844" s="3" t="s">
        <v>11874</v>
      </c>
      <c r="C13844" s="5" t="s">
        <v>45</v>
      </c>
      <c r="D13844" s="3" t="s">
        <v>221</v>
      </c>
      <c r="E13844" s="3" t="s">
        <v>460</v>
      </c>
      <c r="F13844" s="7">
        <v>46014.8997993685</v>
      </c>
      <c r="G13844" s="3" t="s">
        <v>29247</v>
      </c>
    </row>
    <row r="13845">
      <c r="A13845" s="3" t="s">
        <v>29668</v>
      </c>
      <c r="B13845" s="3" t="s">
        <v>11874</v>
      </c>
      <c r="C13845" s="5" t="s">
        <v>221</v>
      </c>
      <c r="D13845" s="3" t="s">
        <v>614</v>
      </c>
      <c r="E13845" s="3" t="s">
        <v>118</v>
      </c>
      <c r="F13845" s="7">
        <v>46014.903271590716</v>
      </c>
      <c r="G13845" s="3" t="s">
        <v>29249</v>
      </c>
    </row>
    <row r="13846">
      <c r="A13846" s="3" t="s">
        <v>29669</v>
      </c>
      <c r="B13846" s="3" t="s">
        <v>11874</v>
      </c>
      <c r="C13846" s="5" t="s">
        <v>614</v>
      </c>
      <c r="D13846" s="3" t="s">
        <v>206</v>
      </c>
      <c r="E13846" s="3" t="s">
        <v>100</v>
      </c>
      <c r="F13846" s="7">
        <v>46014.90674381294</v>
      </c>
      <c r="G13846" s="3" t="s">
        <v>29251</v>
      </c>
    </row>
    <row r="13847">
      <c r="A13847" s="3" t="s">
        <v>29670</v>
      </c>
      <c r="B13847" s="3" t="s">
        <v>11874</v>
      </c>
      <c r="C13847" s="5" t="s">
        <v>206</v>
      </c>
      <c r="D13847" s="3" t="s">
        <v>68</v>
      </c>
      <c r="E13847" s="3" t="s">
        <v>100</v>
      </c>
      <c r="F13847" s="7">
        <v>46014.91021603516</v>
      </c>
      <c r="G13847" s="3" t="s">
        <v>29253</v>
      </c>
    </row>
    <row r="13848">
      <c r="A13848" s="3" t="s">
        <v>29671</v>
      </c>
      <c r="B13848" s="3" t="s">
        <v>11876</v>
      </c>
      <c r="C13848" s="5" t="s">
        <v>45</v>
      </c>
      <c r="D13848" s="3" t="s">
        <v>221</v>
      </c>
      <c r="E13848" s="3" t="s">
        <v>584</v>
      </c>
      <c r="F13848" s="7">
        <v>46014.97097421392</v>
      </c>
      <c r="G13848" s="3" t="s">
        <v>7919</v>
      </c>
    </row>
    <row r="13849">
      <c r="A13849" s="3" t="s">
        <v>29672</v>
      </c>
      <c r="B13849" s="3" t="s">
        <v>11876</v>
      </c>
      <c r="C13849" s="5" t="s">
        <v>221</v>
      </c>
      <c r="D13849" s="3" t="s">
        <v>614</v>
      </c>
      <c r="E13849" s="3" t="s">
        <v>118</v>
      </c>
      <c r="F13849" s="7">
        <v>46014.974446436136</v>
      </c>
      <c r="G13849" s="3" t="s">
        <v>7922</v>
      </c>
    </row>
    <row r="13850">
      <c r="A13850" s="3" t="s">
        <v>29673</v>
      </c>
      <c r="B13850" s="3" t="s">
        <v>11876</v>
      </c>
      <c r="C13850" s="5" t="s">
        <v>614</v>
      </c>
      <c r="D13850" s="3" t="s">
        <v>206</v>
      </c>
      <c r="E13850" s="3" t="s">
        <v>100</v>
      </c>
      <c r="F13850" s="7">
        <v>46014.97791865836</v>
      </c>
      <c r="G13850" s="3" t="s">
        <v>7925</v>
      </c>
    </row>
    <row r="13851">
      <c r="A13851" s="3" t="s">
        <v>29674</v>
      </c>
      <c r="B13851" s="3" t="s">
        <v>11876</v>
      </c>
      <c r="C13851" s="5" t="s">
        <v>206</v>
      </c>
      <c r="D13851" s="3" t="s">
        <v>68</v>
      </c>
      <c r="E13851" s="3" t="s">
        <v>100</v>
      </c>
      <c r="F13851" s="7">
        <v>46014.98139088058</v>
      </c>
      <c r="G13851" s="3" t="s">
        <v>7928</v>
      </c>
    </row>
    <row r="13852">
      <c r="A13852" s="3" t="s">
        <v>29675</v>
      </c>
      <c r="B13852" s="3" t="s">
        <v>11878</v>
      </c>
      <c r="C13852" s="5" t="s">
        <v>45</v>
      </c>
      <c r="D13852" s="3" t="s">
        <v>221</v>
      </c>
      <c r="E13852" s="3" t="s">
        <v>710</v>
      </c>
      <c r="F13852" s="7">
        <v>46015.042149059336</v>
      </c>
      <c r="G13852" s="3" t="s">
        <v>26846</v>
      </c>
    </row>
    <row r="13853">
      <c r="A13853" s="3" t="s">
        <v>29676</v>
      </c>
      <c r="B13853" s="3" t="s">
        <v>11878</v>
      </c>
      <c r="C13853" s="5" t="s">
        <v>221</v>
      </c>
      <c r="D13853" s="3" t="s">
        <v>614</v>
      </c>
      <c r="E13853" s="3" t="s">
        <v>118</v>
      </c>
      <c r="F13853" s="7">
        <v>46015.045621281555</v>
      </c>
      <c r="G13853" s="3" t="s">
        <v>29677</v>
      </c>
    </row>
    <row r="13854">
      <c r="A13854" s="3" t="s">
        <v>29678</v>
      </c>
      <c r="B13854" s="3" t="s">
        <v>11878</v>
      </c>
      <c r="C13854" s="5" t="s">
        <v>614</v>
      </c>
      <c r="D13854" s="3" t="s">
        <v>206</v>
      </c>
      <c r="E13854" s="3" t="s">
        <v>100</v>
      </c>
      <c r="F13854" s="7">
        <v>46015.04909350378</v>
      </c>
      <c r="G13854" s="3" t="s">
        <v>29679</v>
      </c>
    </row>
    <row r="13855">
      <c r="A13855" s="3" t="s">
        <v>29680</v>
      </c>
      <c r="B13855" s="3" t="s">
        <v>11878</v>
      </c>
      <c r="C13855" s="5" t="s">
        <v>206</v>
      </c>
      <c r="D13855" s="3" t="s">
        <v>68</v>
      </c>
      <c r="E13855" s="3" t="s">
        <v>100</v>
      </c>
      <c r="F13855" s="7">
        <v>46015.052565726</v>
      </c>
      <c r="G13855" s="3" t="s">
        <v>29681</v>
      </c>
    </row>
    <row r="13856">
      <c r="A13856" s="3" t="s">
        <v>29682</v>
      </c>
      <c r="B13856" s="3" t="s">
        <v>11880</v>
      </c>
      <c r="C13856" s="5" t="s">
        <v>45</v>
      </c>
      <c r="D13856" s="3" t="s">
        <v>221</v>
      </c>
      <c r="E13856" s="3" t="s">
        <v>906</v>
      </c>
      <c r="F13856" s="7">
        <v>46015.11332390475</v>
      </c>
      <c r="G13856" s="3" t="s">
        <v>29510</v>
      </c>
    </row>
    <row r="13857">
      <c r="A13857" s="3" t="s">
        <v>29683</v>
      </c>
      <c r="B13857" s="3" t="s">
        <v>11880</v>
      </c>
      <c r="C13857" s="5" t="s">
        <v>221</v>
      </c>
      <c r="D13857" s="3" t="s">
        <v>195</v>
      </c>
      <c r="E13857" s="3" t="s">
        <v>906</v>
      </c>
      <c r="F13857" s="7">
        <v>46015.11679612697</v>
      </c>
      <c r="G13857" s="3" t="s">
        <v>29512</v>
      </c>
    </row>
    <row r="13858">
      <c r="A13858" s="3" t="s">
        <v>29684</v>
      </c>
      <c r="B13858" s="3" t="s">
        <v>11882</v>
      </c>
      <c r="C13858" s="5" t="s">
        <v>45</v>
      </c>
      <c r="D13858" s="3" t="s">
        <v>221</v>
      </c>
      <c r="E13858" s="3" t="s">
        <v>363</v>
      </c>
      <c r="F13858" s="7">
        <v>46015.18449875016</v>
      </c>
      <c r="G13858" s="3" t="s">
        <v>2944</v>
      </c>
    </row>
    <row r="13859">
      <c r="A13859" s="3" t="s">
        <v>29685</v>
      </c>
      <c r="B13859" s="3" t="s">
        <v>11882</v>
      </c>
      <c r="C13859" s="5" t="s">
        <v>221</v>
      </c>
      <c r="D13859" s="3" t="s">
        <v>614</v>
      </c>
      <c r="E13859" s="3" t="s">
        <v>118</v>
      </c>
      <c r="F13859" s="7">
        <v>46015.18797097238</v>
      </c>
      <c r="G13859" s="3" t="s">
        <v>2948</v>
      </c>
    </row>
    <row r="13860">
      <c r="A13860" s="3" t="s">
        <v>29686</v>
      </c>
      <c r="B13860" s="3" t="s">
        <v>11882</v>
      </c>
      <c r="C13860" s="5" t="s">
        <v>614</v>
      </c>
      <c r="D13860" s="3" t="s">
        <v>206</v>
      </c>
      <c r="E13860" s="3" t="s">
        <v>100</v>
      </c>
      <c r="F13860" s="7">
        <v>46015.191443194606</v>
      </c>
      <c r="G13860" s="3" t="s">
        <v>2950</v>
      </c>
    </row>
    <row r="13861">
      <c r="A13861" s="3" t="s">
        <v>29687</v>
      </c>
      <c r="B13861" s="3" t="s">
        <v>11882</v>
      </c>
      <c r="C13861" s="5" t="s">
        <v>206</v>
      </c>
      <c r="D13861" s="3" t="s">
        <v>68</v>
      </c>
      <c r="E13861" s="3" t="s">
        <v>100</v>
      </c>
      <c r="F13861" s="7">
        <v>46015.194915416825</v>
      </c>
      <c r="G13861" s="3" t="s">
        <v>2953</v>
      </c>
    </row>
    <row r="13862">
      <c r="A13862" s="3" t="s">
        <v>29688</v>
      </c>
      <c r="B13862" s="3" t="s">
        <v>11884</v>
      </c>
      <c r="C13862" s="5" t="s">
        <v>45</v>
      </c>
      <c r="D13862" s="3" t="s">
        <v>221</v>
      </c>
      <c r="E13862" s="3" t="s">
        <v>536</v>
      </c>
      <c r="F13862" s="7">
        <v>46015.25567359558</v>
      </c>
      <c r="G13862" s="3" t="s">
        <v>18235</v>
      </c>
    </row>
    <row r="13863">
      <c r="A13863" s="3" t="s">
        <v>29689</v>
      </c>
      <c r="B13863" s="3" t="s">
        <v>11884</v>
      </c>
      <c r="C13863" s="5" t="s">
        <v>221</v>
      </c>
      <c r="D13863" s="3" t="s">
        <v>614</v>
      </c>
      <c r="E13863" s="3" t="s">
        <v>118</v>
      </c>
      <c r="F13863" s="7">
        <v>46015.2591458178</v>
      </c>
      <c r="G13863" s="3" t="s">
        <v>18238</v>
      </c>
    </row>
    <row r="13864">
      <c r="A13864" s="3" t="s">
        <v>29690</v>
      </c>
      <c r="B13864" s="3" t="s">
        <v>11884</v>
      </c>
      <c r="C13864" s="5" t="s">
        <v>614</v>
      </c>
      <c r="D13864" s="3" t="s">
        <v>206</v>
      </c>
      <c r="E13864" s="3" t="s">
        <v>100</v>
      </c>
      <c r="F13864" s="7">
        <v>46015.262618040026</v>
      </c>
      <c r="G13864" s="3" t="s">
        <v>18241</v>
      </c>
    </row>
    <row r="13865">
      <c r="A13865" s="3" t="s">
        <v>29691</v>
      </c>
      <c r="B13865" s="3" t="s">
        <v>11884</v>
      </c>
      <c r="C13865" s="5" t="s">
        <v>206</v>
      </c>
      <c r="D13865" s="3" t="s">
        <v>68</v>
      </c>
      <c r="E13865" s="3" t="s">
        <v>100</v>
      </c>
      <c r="F13865" s="7">
        <v>46015.266090262245</v>
      </c>
      <c r="G13865" s="3" t="s">
        <v>18243</v>
      </c>
    </row>
    <row r="13866">
      <c r="A13866" s="3" t="s">
        <v>29692</v>
      </c>
      <c r="B13866" s="3" t="s">
        <v>11886</v>
      </c>
      <c r="C13866" s="5" t="s">
        <v>45</v>
      </c>
      <c r="D13866" s="3" t="s">
        <v>221</v>
      </c>
      <c r="E13866" s="3" t="s">
        <v>605</v>
      </c>
      <c r="F13866" s="7">
        <v>46015.32684844099</v>
      </c>
      <c r="G13866" s="3" t="s">
        <v>2956</v>
      </c>
    </row>
    <row r="13867">
      <c r="A13867" s="3" t="s">
        <v>29693</v>
      </c>
      <c r="B13867" s="3" t="s">
        <v>11886</v>
      </c>
      <c r="C13867" s="5" t="s">
        <v>221</v>
      </c>
      <c r="D13867" s="3" t="s">
        <v>614</v>
      </c>
      <c r="E13867" s="3" t="s">
        <v>118</v>
      </c>
      <c r="F13867" s="7">
        <v>46015.33032066321</v>
      </c>
      <c r="G13867" s="3" t="s">
        <v>2959</v>
      </c>
    </row>
    <row r="13868">
      <c r="A13868" s="3" t="s">
        <v>29694</v>
      </c>
      <c r="B13868" s="3" t="s">
        <v>11886</v>
      </c>
      <c r="C13868" s="5" t="s">
        <v>614</v>
      </c>
      <c r="D13868" s="3" t="s">
        <v>206</v>
      </c>
      <c r="E13868" s="3" t="s">
        <v>100</v>
      </c>
      <c r="F13868" s="7">
        <v>46015.33379288544</v>
      </c>
      <c r="G13868" s="3" t="s">
        <v>2962</v>
      </c>
    </row>
    <row r="13869">
      <c r="A13869" s="3" t="s">
        <v>29695</v>
      </c>
      <c r="B13869" s="3" t="s">
        <v>11886</v>
      </c>
      <c r="C13869" s="5" t="s">
        <v>206</v>
      </c>
      <c r="D13869" s="3" t="s">
        <v>68</v>
      </c>
      <c r="E13869" s="3" t="s">
        <v>100</v>
      </c>
      <c r="F13869" s="7">
        <v>46015.33726510766</v>
      </c>
      <c r="G13869" s="3" t="s">
        <v>2965</v>
      </c>
    </row>
    <row r="13870">
      <c r="A13870" s="3" t="s">
        <v>29696</v>
      </c>
      <c r="B13870" s="3" t="s">
        <v>11888</v>
      </c>
      <c r="C13870" s="5" t="s">
        <v>45</v>
      </c>
      <c r="D13870" s="3" t="s">
        <v>221</v>
      </c>
      <c r="E13870" s="3" t="s">
        <v>316</v>
      </c>
      <c r="F13870" s="7">
        <v>46015.398023286405</v>
      </c>
      <c r="G13870" s="3" t="s">
        <v>2968</v>
      </c>
    </row>
    <row r="13871">
      <c r="A13871" s="3" t="s">
        <v>29697</v>
      </c>
      <c r="B13871" s="3" t="s">
        <v>11888</v>
      </c>
      <c r="C13871" s="5" t="s">
        <v>221</v>
      </c>
      <c r="D13871" s="3" t="s">
        <v>614</v>
      </c>
      <c r="E13871" s="3" t="s">
        <v>118</v>
      </c>
      <c r="F13871" s="7">
        <v>46015.401495508624</v>
      </c>
      <c r="G13871" s="3" t="s">
        <v>2971</v>
      </c>
    </row>
    <row r="13872">
      <c r="A13872" s="3" t="s">
        <v>29698</v>
      </c>
      <c r="B13872" s="3" t="s">
        <v>11888</v>
      </c>
      <c r="C13872" s="5" t="s">
        <v>614</v>
      </c>
      <c r="D13872" s="3" t="s">
        <v>206</v>
      </c>
      <c r="E13872" s="3" t="s">
        <v>100</v>
      </c>
      <c r="F13872" s="7">
        <v>46015.40496773085</v>
      </c>
      <c r="G13872" s="3" t="s">
        <v>2974</v>
      </c>
    </row>
    <row r="13873">
      <c r="A13873" s="3" t="s">
        <v>29699</v>
      </c>
      <c r="B13873" s="3" t="s">
        <v>11888</v>
      </c>
      <c r="C13873" s="5" t="s">
        <v>206</v>
      </c>
      <c r="D13873" s="3" t="s">
        <v>68</v>
      </c>
      <c r="E13873" s="3" t="s">
        <v>100</v>
      </c>
      <c r="F13873" s="7">
        <v>46015.40843995307</v>
      </c>
      <c r="G13873" s="3" t="s">
        <v>2976</v>
      </c>
    </row>
    <row r="13874">
      <c r="A13874" s="3" t="s">
        <v>29700</v>
      </c>
      <c r="B13874" s="3" t="s">
        <v>11891</v>
      </c>
      <c r="C13874" s="5" t="s">
        <v>45</v>
      </c>
      <c r="D13874" s="3" t="s">
        <v>221</v>
      </c>
      <c r="E13874" s="3" t="s">
        <v>669</v>
      </c>
      <c r="F13874" s="7">
        <v>46015.469198131825</v>
      </c>
      <c r="G13874" s="3" t="s">
        <v>2979</v>
      </c>
    </row>
    <row r="13875">
      <c r="A13875" s="3" t="s">
        <v>29701</v>
      </c>
      <c r="B13875" s="3" t="s">
        <v>11891</v>
      </c>
      <c r="C13875" s="5" t="s">
        <v>221</v>
      </c>
      <c r="D13875" s="3" t="s">
        <v>614</v>
      </c>
      <c r="E13875" s="3" t="s">
        <v>118</v>
      </c>
      <c r="F13875" s="7">
        <v>46015.472670354044</v>
      </c>
      <c r="G13875" s="3" t="s">
        <v>2982</v>
      </c>
    </row>
    <row r="13876">
      <c r="A13876" s="3" t="s">
        <v>29702</v>
      </c>
      <c r="B13876" s="3" t="s">
        <v>11891</v>
      </c>
      <c r="C13876" s="5" t="s">
        <v>614</v>
      </c>
      <c r="D13876" s="3" t="s">
        <v>206</v>
      </c>
      <c r="E13876" s="3" t="s">
        <v>100</v>
      </c>
      <c r="F13876" s="7">
        <v>46015.47614257627</v>
      </c>
      <c r="G13876" s="3" t="s">
        <v>2985</v>
      </c>
    </row>
    <row r="13877">
      <c r="A13877" s="3" t="s">
        <v>29703</v>
      </c>
      <c r="B13877" s="3" t="s">
        <v>11891</v>
      </c>
      <c r="C13877" s="5" t="s">
        <v>206</v>
      </c>
      <c r="D13877" s="3" t="s">
        <v>68</v>
      </c>
      <c r="E13877" s="3" t="s">
        <v>100</v>
      </c>
      <c r="F13877" s="7">
        <v>46015.47961479849</v>
      </c>
      <c r="G13877" s="3" t="s">
        <v>2988</v>
      </c>
    </row>
    <row r="13878">
      <c r="A13878" s="3" t="s">
        <v>29704</v>
      </c>
      <c r="B13878" s="3" t="s">
        <v>11894</v>
      </c>
      <c r="C13878" s="5" t="s">
        <v>45</v>
      </c>
      <c r="D13878" s="3" t="s">
        <v>221</v>
      </c>
      <c r="E13878" s="3" t="s">
        <v>307</v>
      </c>
      <c r="F13878" s="7">
        <v>46015.54037297724</v>
      </c>
      <c r="G13878" s="3" t="s">
        <v>18380</v>
      </c>
    </row>
    <row r="13879">
      <c r="A13879" s="3" t="s">
        <v>29705</v>
      </c>
      <c r="B13879" s="3" t="s">
        <v>11894</v>
      </c>
      <c r="C13879" s="5" t="s">
        <v>221</v>
      </c>
      <c r="D13879" s="3" t="s">
        <v>614</v>
      </c>
      <c r="E13879" s="3" t="s">
        <v>118</v>
      </c>
      <c r="F13879" s="7">
        <v>46015.543845199456</v>
      </c>
      <c r="G13879" s="3" t="s">
        <v>18383</v>
      </c>
    </row>
    <row r="13880">
      <c r="A13880" s="3" t="s">
        <v>29706</v>
      </c>
      <c r="B13880" s="3" t="s">
        <v>11894</v>
      </c>
      <c r="C13880" s="5" t="s">
        <v>614</v>
      </c>
      <c r="D13880" s="3" t="s">
        <v>206</v>
      </c>
      <c r="E13880" s="3" t="s">
        <v>100</v>
      </c>
      <c r="F13880" s="7">
        <v>46015.54731742168</v>
      </c>
      <c r="G13880" s="3" t="s">
        <v>18386</v>
      </c>
    </row>
    <row r="13881">
      <c r="A13881" s="3" t="s">
        <v>29707</v>
      </c>
      <c r="B13881" s="3" t="s">
        <v>11894</v>
      </c>
      <c r="C13881" s="5" t="s">
        <v>206</v>
      </c>
      <c r="D13881" s="3" t="s">
        <v>68</v>
      </c>
      <c r="E13881" s="3" t="s">
        <v>100</v>
      </c>
      <c r="F13881" s="7">
        <v>46015.5507896439</v>
      </c>
      <c r="G13881" s="3" t="s">
        <v>18389</v>
      </c>
    </row>
    <row r="13882">
      <c r="A13882" s="3" t="s">
        <v>29708</v>
      </c>
      <c r="B13882" s="3" t="s">
        <v>11897</v>
      </c>
      <c r="C13882" s="5" t="s">
        <v>45</v>
      </c>
      <c r="D13882" s="3" t="s">
        <v>221</v>
      </c>
      <c r="E13882" s="3" t="s">
        <v>735</v>
      </c>
      <c r="F13882" s="7">
        <v>46015.61154782265</v>
      </c>
      <c r="G13882" s="3" t="s">
        <v>15565</v>
      </c>
    </row>
    <row r="13883">
      <c r="A13883" s="3" t="s">
        <v>29709</v>
      </c>
      <c r="B13883" s="3" t="s">
        <v>11897</v>
      </c>
      <c r="C13883" s="5" t="s">
        <v>221</v>
      </c>
      <c r="D13883" s="3" t="s">
        <v>614</v>
      </c>
      <c r="E13883" s="3" t="s">
        <v>118</v>
      </c>
      <c r="F13883" s="7">
        <v>46015.61502004487</v>
      </c>
      <c r="G13883" s="3" t="s">
        <v>15568</v>
      </c>
    </row>
    <row r="13884">
      <c r="A13884" s="3" t="s">
        <v>29710</v>
      </c>
      <c r="B13884" s="3" t="s">
        <v>11897</v>
      </c>
      <c r="C13884" s="5" t="s">
        <v>614</v>
      </c>
      <c r="D13884" s="3" t="s">
        <v>206</v>
      </c>
      <c r="E13884" s="3" t="s">
        <v>100</v>
      </c>
      <c r="F13884" s="7">
        <v>46015.618492267095</v>
      </c>
      <c r="G13884" s="3" t="s">
        <v>15570</v>
      </c>
    </row>
    <row r="13885">
      <c r="A13885" s="3" t="s">
        <v>29711</v>
      </c>
      <c r="B13885" s="3" t="s">
        <v>11897</v>
      </c>
      <c r="C13885" s="5" t="s">
        <v>206</v>
      </c>
      <c r="D13885" s="3" t="s">
        <v>68</v>
      </c>
      <c r="E13885" s="3" t="s">
        <v>100</v>
      </c>
      <c r="F13885" s="7">
        <v>46015.62196448931</v>
      </c>
      <c r="G13885" s="3" t="s">
        <v>15573</v>
      </c>
    </row>
    <row r="13886">
      <c r="A13886" s="3" t="s">
        <v>29712</v>
      </c>
      <c r="B13886" s="3" t="s">
        <v>11900</v>
      </c>
      <c r="C13886" s="5" t="s">
        <v>45</v>
      </c>
      <c r="D13886" s="3" t="s">
        <v>221</v>
      </c>
      <c r="E13886" s="3" t="s">
        <v>253</v>
      </c>
      <c r="F13886" s="7">
        <v>46015.68272266807</v>
      </c>
      <c r="G13886" s="3" t="s">
        <v>2991</v>
      </c>
    </row>
    <row r="13887">
      <c r="A13887" s="3" t="s">
        <v>29713</v>
      </c>
      <c r="B13887" s="3" t="s">
        <v>11900</v>
      </c>
      <c r="C13887" s="5" t="s">
        <v>221</v>
      </c>
      <c r="D13887" s="3" t="s">
        <v>614</v>
      </c>
      <c r="E13887" s="3" t="s">
        <v>118</v>
      </c>
      <c r="F13887" s="7">
        <v>46015.68619489029</v>
      </c>
      <c r="G13887" s="3" t="s">
        <v>2994</v>
      </c>
    </row>
    <row r="13888">
      <c r="A13888" s="3" t="s">
        <v>29714</v>
      </c>
      <c r="B13888" s="3" t="s">
        <v>11900</v>
      </c>
      <c r="C13888" s="5" t="s">
        <v>614</v>
      </c>
      <c r="D13888" s="3" t="s">
        <v>206</v>
      </c>
      <c r="E13888" s="3" t="s">
        <v>100</v>
      </c>
      <c r="F13888" s="7">
        <v>46015.689667112514</v>
      </c>
      <c r="G13888" s="3" t="s">
        <v>2996</v>
      </c>
    </row>
    <row r="13889">
      <c r="A13889" s="3" t="s">
        <v>29715</v>
      </c>
      <c r="B13889" s="3" t="s">
        <v>11900</v>
      </c>
      <c r="C13889" s="5" t="s">
        <v>206</v>
      </c>
      <c r="D13889" s="3" t="s">
        <v>68</v>
      </c>
      <c r="E13889" s="3" t="s">
        <v>100</v>
      </c>
      <c r="F13889" s="7">
        <v>46015.69313933473</v>
      </c>
      <c r="G13889" s="3" t="s">
        <v>2999</v>
      </c>
    </row>
    <row r="13890">
      <c r="A13890" s="3" t="s">
        <v>29716</v>
      </c>
      <c r="B13890" s="3" t="s">
        <v>11904</v>
      </c>
      <c r="C13890" s="5" t="s">
        <v>45</v>
      </c>
      <c r="D13890" s="3" t="s">
        <v>221</v>
      </c>
      <c r="E13890" s="3" t="s">
        <v>980</v>
      </c>
      <c r="F13890" s="7">
        <v>46015.75389751348</v>
      </c>
      <c r="G13890" s="3" t="s">
        <v>3006</v>
      </c>
    </row>
    <row r="13891">
      <c r="A13891" s="3" t="s">
        <v>29717</v>
      </c>
      <c r="B13891" s="3" t="s">
        <v>11904</v>
      </c>
      <c r="C13891" s="5" t="s">
        <v>221</v>
      </c>
      <c r="D13891" s="3" t="s">
        <v>614</v>
      </c>
      <c r="E13891" s="3" t="s">
        <v>118</v>
      </c>
      <c r="F13891" s="7">
        <v>46015.7573697357</v>
      </c>
      <c r="G13891" s="3" t="s">
        <v>3009</v>
      </c>
    </row>
    <row r="13892">
      <c r="A13892" s="3" t="s">
        <v>29718</v>
      </c>
      <c r="B13892" s="3" t="s">
        <v>11904</v>
      </c>
      <c r="C13892" s="5" t="s">
        <v>614</v>
      </c>
      <c r="D13892" s="3" t="s">
        <v>206</v>
      </c>
      <c r="E13892" s="3" t="s">
        <v>100</v>
      </c>
      <c r="F13892" s="7">
        <v>46015.76084195793</v>
      </c>
      <c r="G13892" s="3" t="s">
        <v>3012</v>
      </c>
    </row>
    <row r="13893">
      <c r="A13893" s="3" t="s">
        <v>29719</v>
      </c>
      <c r="B13893" s="3" t="s">
        <v>11904</v>
      </c>
      <c r="C13893" s="5" t="s">
        <v>206</v>
      </c>
      <c r="D13893" s="3" t="s">
        <v>68</v>
      </c>
      <c r="E13893" s="3" t="s">
        <v>100</v>
      </c>
      <c r="F13893" s="7">
        <v>46015.764314180145</v>
      </c>
      <c r="G13893" s="3" t="s">
        <v>3015</v>
      </c>
    </row>
    <row r="13894">
      <c r="A13894" s="3" t="s">
        <v>29720</v>
      </c>
      <c r="B13894" s="3" t="s">
        <v>11908</v>
      </c>
      <c r="C13894" s="5" t="s">
        <v>45</v>
      </c>
      <c r="D13894" s="3" t="s">
        <v>221</v>
      </c>
      <c r="E13894" s="3" t="s">
        <v>539</v>
      </c>
      <c r="F13894" s="7">
        <v>46015.8250723589</v>
      </c>
      <c r="G13894" s="3" t="s">
        <v>17283</v>
      </c>
    </row>
    <row r="13895">
      <c r="A13895" s="3" t="s">
        <v>29721</v>
      </c>
      <c r="B13895" s="3" t="s">
        <v>11908</v>
      </c>
      <c r="C13895" s="5" t="s">
        <v>221</v>
      </c>
      <c r="D13895" s="3" t="s">
        <v>614</v>
      </c>
      <c r="E13895" s="3" t="s">
        <v>118</v>
      </c>
      <c r="F13895" s="7">
        <v>46015.82854458112</v>
      </c>
      <c r="G13895" s="3" t="s">
        <v>17285</v>
      </c>
    </row>
    <row r="13896">
      <c r="A13896" s="3" t="s">
        <v>29722</v>
      </c>
      <c r="B13896" s="3" t="s">
        <v>11908</v>
      </c>
      <c r="C13896" s="5" t="s">
        <v>614</v>
      </c>
      <c r="D13896" s="3" t="s">
        <v>206</v>
      </c>
      <c r="E13896" s="3" t="s">
        <v>100</v>
      </c>
      <c r="F13896" s="7">
        <v>46015.832016803346</v>
      </c>
      <c r="G13896" s="3" t="s">
        <v>17288</v>
      </c>
    </row>
    <row r="13897">
      <c r="A13897" s="3" t="s">
        <v>29723</v>
      </c>
      <c r="B13897" s="3" t="s">
        <v>11908</v>
      </c>
      <c r="C13897" s="5" t="s">
        <v>206</v>
      </c>
      <c r="D13897" s="3" t="s">
        <v>68</v>
      </c>
      <c r="E13897" s="3" t="s">
        <v>100</v>
      </c>
      <c r="F13897" s="7">
        <v>46015.835489025565</v>
      </c>
      <c r="G13897" s="3" t="s">
        <v>17291</v>
      </c>
    </row>
    <row r="13898">
      <c r="A13898" s="3" t="s">
        <v>29724</v>
      </c>
      <c r="B13898" s="3" t="s">
        <v>11911</v>
      </c>
      <c r="C13898" s="5" t="s">
        <v>45</v>
      </c>
      <c r="D13898" s="3" t="s">
        <v>221</v>
      </c>
      <c r="E13898" s="3" t="s">
        <v>455</v>
      </c>
      <c r="F13898" s="7">
        <v>46015.89624720431</v>
      </c>
      <c r="G13898" s="3" t="s">
        <v>19353</v>
      </c>
    </row>
    <row r="13899">
      <c r="A13899" s="3" t="s">
        <v>29725</v>
      </c>
      <c r="B13899" s="3" t="s">
        <v>11911</v>
      </c>
      <c r="C13899" s="5" t="s">
        <v>221</v>
      </c>
      <c r="D13899" s="3" t="s">
        <v>614</v>
      </c>
      <c r="E13899" s="3" t="s">
        <v>118</v>
      </c>
      <c r="F13899" s="7">
        <v>46015.89971942653</v>
      </c>
      <c r="G13899" s="3" t="s">
        <v>19356</v>
      </c>
    </row>
    <row r="13900">
      <c r="A13900" s="3" t="s">
        <v>29726</v>
      </c>
      <c r="B13900" s="3" t="s">
        <v>11911</v>
      </c>
      <c r="C13900" s="5" t="s">
        <v>614</v>
      </c>
      <c r="D13900" s="3" t="s">
        <v>206</v>
      </c>
      <c r="E13900" s="3" t="s">
        <v>100</v>
      </c>
      <c r="F13900" s="7">
        <v>46015.90319164876</v>
      </c>
      <c r="G13900" s="3" t="s">
        <v>19359</v>
      </c>
    </row>
    <row r="13901">
      <c r="A13901" s="3" t="s">
        <v>29727</v>
      </c>
      <c r="B13901" s="3" t="s">
        <v>11911</v>
      </c>
      <c r="C13901" s="5" t="s">
        <v>206</v>
      </c>
      <c r="D13901" s="3" t="s">
        <v>68</v>
      </c>
      <c r="E13901" s="3" t="s">
        <v>100</v>
      </c>
      <c r="F13901" s="7">
        <v>46015.90666387098</v>
      </c>
      <c r="G13901" s="3" t="s">
        <v>19361</v>
      </c>
    </row>
    <row r="13902">
      <c r="A13902" s="3" t="s">
        <v>29728</v>
      </c>
      <c r="B13902" s="3" t="s">
        <v>11914</v>
      </c>
      <c r="C13902" s="5" t="s">
        <v>45</v>
      </c>
      <c r="D13902" s="3" t="s">
        <v>221</v>
      </c>
      <c r="E13902" s="3" t="s">
        <v>479</v>
      </c>
      <c r="F13902" s="7">
        <v>46015.96742204973</v>
      </c>
      <c r="G13902" s="3" t="s">
        <v>19486</v>
      </c>
    </row>
    <row r="13903">
      <c r="A13903" s="3" t="s">
        <v>29729</v>
      </c>
      <c r="B13903" s="3" t="s">
        <v>11914</v>
      </c>
      <c r="C13903" s="5" t="s">
        <v>221</v>
      </c>
      <c r="D13903" s="3" t="s">
        <v>614</v>
      </c>
      <c r="E13903" s="3" t="s">
        <v>118</v>
      </c>
      <c r="F13903" s="7">
        <v>46015.97089427195</v>
      </c>
      <c r="G13903" s="3" t="s">
        <v>19489</v>
      </c>
    </row>
    <row r="13904">
      <c r="A13904" s="3" t="s">
        <v>29730</v>
      </c>
      <c r="B13904" s="3" t="s">
        <v>11914</v>
      </c>
      <c r="C13904" s="5" t="s">
        <v>614</v>
      </c>
      <c r="D13904" s="3" t="s">
        <v>206</v>
      </c>
      <c r="E13904" s="3" t="s">
        <v>100</v>
      </c>
      <c r="F13904" s="7">
        <v>46015.97436649418</v>
      </c>
      <c r="G13904" s="3" t="s">
        <v>19492</v>
      </c>
    </row>
    <row r="13905">
      <c r="A13905" s="3" t="s">
        <v>29731</v>
      </c>
      <c r="B13905" s="3" t="s">
        <v>11914</v>
      </c>
      <c r="C13905" s="5" t="s">
        <v>206</v>
      </c>
      <c r="D13905" s="3" t="s">
        <v>68</v>
      </c>
      <c r="E13905" s="3" t="s">
        <v>100</v>
      </c>
      <c r="F13905" s="7">
        <v>46015.9778387164</v>
      </c>
      <c r="G13905" s="3" t="s">
        <v>19494</v>
      </c>
    </row>
    <row r="13906">
      <c r="A13906" s="3" t="s">
        <v>29732</v>
      </c>
      <c r="B13906" s="3" t="s">
        <v>11917</v>
      </c>
      <c r="C13906" s="5" t="s">
        <v>45</v>
      </c>
      <c r="D13906" s="3" t="s">
        <v>221</v>
      </c>
      <c r="E13906" s="3" t="s">
        <v>348</v>
      </c>
      <c r="F13906" s="7">
        <v>46016.03859689514</v>
      </c>
      <c r="G13906" s="3" t="s">
        <v>17315</v>
      </c>
    </row>
    <row r="13907">
      <c r="A13907" s="3" t="s">
        <v>29733</v>
      </c>
      <c r="B13907" s="3" t="s">
        <v>11917</v>
      </c>
      <c r="C13907" s="5" t="s">
        <v>221</v>
      </c>
      <c r="D13907" s="3" t="s">
        <v>614</v>
      </c>
      <c r="E13907" s="3" t="s">
        <v>118</v>
      </c>
      <c r="F13907" s="7">
        <v>46016.04206911736</v>
      </c>
      <c r="G13907" s="3" t="s">
        <v>18909</v>
      </c>
    </row>
    <row r="13908">
      <c r="A13908" s="3" t="s">
        <v>29734</v>
      </c>
      <c r="B13908" s="3" t="s">
        <v>11917</v>
      </c>
      <c r="C13908" s="5" t="s">
        <v>614</v>
      </c>
      <c r="D13908" s="3" t="s">
        <v>206</v>
      </c>
      <c r="E13908" s="3" t="s">
        <v>100</v>
      </c>
      <c r="F13908" s="7">
        <v>46016.04554133958</v>
      </c>
      <c r="G13908" s="3" t="s">
        <v>18911</v>
      </c>
    </row>
    <row r="13909">
      <c r="A13909" s="3" t="s">
        <v>29735</v>
      </c>
      <c r="B13909" s="3" t="s">
        <v>11917</v>
      </c>
      <c r="C13909" s="5" t="s">
        <v>206</v>
      </c>
      <c r="D13909" s="3" t="s">
        <v>68</v>
      </c>
      <c r="E13909" s="3" t="s">
        <v>100</v>
      </c>
      <c r="F13909" s="7">
        <v>46016.0490135618</v>
      </c>
      <c r="G13909" s="3" t="s">
        <v>18914</v>
      </c>
    </row>
    <row r="13910">
      <c r="A13910" s="3" t="s">
        <v>29736</v>
      </c>
      <c r="B13910" s="3" t="s">
        <v>11920</v>
      </c>
      <c r="C13910" s="5" t="s">
        <v>45</v>
      </c>
      <c r="D13910" s="3" t="s">
        <v>221</v>
      </c>
      <c r="E13910" s="3" t="s">
        <v>811</v>
      </c>
      <c r="F13910" s="7">
        <v>46016.10977174056</v>
      </c>
      <c r="G13910" s="3" t="s">
        <v>26456</v>
      </c>
    </row>
    <row r="13911">
      <c r="A13911" s="3" t="s">
        <v>29737</v>
      </c>
      <c r="B13911" s="3" t="s">
        <v>11920</v>
      </c>
      <c r="C13911" s="5" t="s">
        <v>221</v>
      </c>
      <c r="D13911" s="3" t="s">
        <v>614</v>
      </c>
      <c r="E13911" s="3" t="s">
        <v>118</v>
      </c>
      <c r="F13911" s="7">
        <v>46016.113243962776</v>
      </c>
      <c r="G13911" s="3" t="s">
        <v>26458</v>
      </c>
    </row>
    <row r="13912">
      <c r="A13912" s="3" t="s">
        <v>29738</v>
      </c>
      <c r="B13912" s="3" t="s">
        <v>11920</v>
      </c>
      <c r="C13912" s="5" t="s">
        <v>614</v>
      </c>
      <c r="D13912" s="3" t="s">
        <v>206</v>
      </c>
      <c r="E13912" s="3" t="s">
        <v>100</v>
      </c>
      <c r="F13912" s="7">
        <v>46016.116716185</v>
      </c>
      <c r="G13912" s="3" t="s">
        <v>26460</v>
      </c>
    </row>
    <row r="13913">
      <c r="A13913" s="3" t="s">
        <v>29739</v>
      </c>
      <c r="B13913" s="3" t="s">
        <v>11920</v>
      </c>
      <c r="C13913" s="5" t="s">
        <v>206</v>
      </c>
      <c r="D13913" s="3" t="s">
        <v>68</v>
      </c>
      <c r="E13913" s="3" t="s">
        <v>100</v>
      </c>
      <c r="F13913" s="7">
        <v>46016.12018840722</v>
      </c>
      <c r="G13913" s="3" t="s">
        <v>26462</v>
      </c>
    </row>
    <row r="13914">
      <c r="A13914" s="3" t="s">
        <v>29740</v>
      </c>
      <c r="B13914" s="3" t="s">
        <v>11925</v>
      </c>
      <c r="C13914" s="5" t="s">
        <v>45</v>
      </c>
      <c r="D13914" s="3" t="s">
        <v>221</v>
      </c>
      <c r="E13914" s="3" t="s">
        <v>752</v>
      </c>
      <c r="F13914" s="7">
        <v>46016.18094658598</v>
      </c>
      <c r="G13914" s="3" t="s">
        <v>2770</v>
      </c>
    </row>
    <row r="13915">
      <c r="A13915" s="3" t="s">
        <v>29741</v>
      </c>
      <c r="B13915" s="3" t="s">
        <v>11925</v>
      </c>
      <c r="C13915" s="5" t="s">
        <v>221</v>
      </c>
      <c r="D13915" s="3" t="s">
        <v>181</v>
      </c>
      <c r="E13915" s="3" t="s">
        <v>118</v>
      </c>
      <c r="F13915" s="7">
        <v>46016.184418808196</v>
      </c>
      <c r="G13915" s="3" t="s">
        <v>2774</v>
      </c>
    </row>
    <row r="13916">
      <c r="A13916" s="3" t="s">
        <v>29742</v>
      </c>
      <c r="B13916" s="3" t="s">
        <v>11928</v>
      </c>
      <c r="C13916" s="5" t="s">
        <v>45</v>
      </c>
      <c r="D13916" s="3" t="s">
        <v>221</v>
      </c>
      <c r="E13916" s="3" t="s">
        <v>369</v>
      </c>
      <c r="F13916" s="7">
        <v>46016.25212143139</v>
      </c>
      <c r="G13916" s="3" t="s">
        <v>3018</v>
      </c>
    </row>
    <row r="13917">
      <c r="A13917" s="3" t="s">
        <v>29743</v>
      </c>
      <c r="B13917" s="3" t="s">
        <v>11928</v>
      </c>
      <c r="C13917" s="5" t="s">
        <v>221</v>
      </c>
      <c r="D13917" s="3" t="s">
        <v>614</v>
      </c>
      <c r="E13917" s="3" t="s">
        <v>118</v>
      </c>
      <c r="F13917" s="7">
        <v>46016.25559365361</v>
      </c>
      <c r="G13917" s="3" t="s">
        <v>3021</v>
      </c>
    </row>
    <row r="13918">
      <c r="A13918" s="3" t="s">
        <v>29744</v>
      </c>
      <c r="B13918" s="3" t="s">
        <v>11928</v>
      </c>
      <c r="C13918" s="5" t="s">
        <v>614</v>
      </c>
      <c r="D13918" s="3" t="s">
        <v>206</v>
      </c>
      <c r="E13918" s="3" t="s">
        <v>100</v>
      </c>
      <c r="F13918" s="7">
        <v>46016.259065875834</v>
      </c>
      <c r="G13918" s="3" t="s">
        <v>3024</v>
      </c>
    </row>
    <row r="13919">
      <c r="A13919" s="3" t="s">
        <v>29745</v>
      </c>
      <c r="B13919" s="3" t="s">
        <v>11928</v>
      </c>
      <c r="C13919" s="5" t="s">
        <v>206</v>
      </c>
      <c r="D13919" s="3" t="s">
        <v>68</v>
      </c>
      <c r="E13919" s="3" t="s">
        <v>100</v>
      </c>
      <c r="F13919" s="7">
        <v>46016.26253809805</v>
      </c>
      <c r="G13919" s="3" t="s">
        <v>3027</v>
      </c>
    </row>
    <row r="13920">
      <c r="A13920" s="3" t="s">
        <v>29746</v>
      </c>
      <c r="B13920" s="3" t="s">
        <v>11931</v>
      </c>
      <c r="C13920" s="5" t="s">
        <v>45</v>
      </c>
      <c r="D13920" s="3" t="s">
        <v>221</v>
      </c>
      <c r="E13920" s="3" t="s">
        <v>481</v>
      </c>
      <c r="F13920" s="7">
        <v>46016.3232962768</v>
      </c>
      <c r="G13920" s="3" t="s">
        <v>27074</v>
      </c>
    </row>
    <row r="13921">
      <c r="A13921" s="3" t="s">
        <v>29747</v>
      </c>
      <c r="B13921" s="3" t="s">
        <v>11931</v>
      </c>
      <c r="C13921" s="5" t="s">
        <v>221</v>
      </c>
      <c r="D13921" s="3" t="s">
        <v>614</v>
      </c>
      <c r="E13921" s="3" t="s">
        <v>118</v>
      </c>
      <c r="F13921" s="7">
        <v>46016.32676849902</v>
      </c>
      <c r="G13921" s="3" t="s">
        <v>27076</v>
      </c>
    </row>
    <row r="13922">
      <c r="A13922" s="3" t="s">
        <v>29748</v>
      </c>
      <c r="B13922" s="3" t="s">
        <v>11931</v>
      </c>
      <c r="C13922" s="5" t="s">
        <v>614</v>
      </c>
      <c r="D13922" s="3" t="s">
        <v>206</v>
      </c>
      <c r="E13922" s="3" t="s">
        <v>100</v>
      </c>
      <c r="F13922" s="7">
        <v>46016.33024072125</v>
      </c>
      <c r="G13922" s="3" t="s">
        <v>27078</v>
      </c>
    </row>
    <row r="13923">
      <c r="A13923" s="3" t="s">
        <v>29749</v>
      </c>
      <c r="B13923" s="3" t="s">
        <v>11931</v>
      </c>
      <c r="C13923" s="5" t="s">
        <v>206</v>
      </c>
      <c r="D13923" s="3" t="s">
        <v>68</v>
      </c>
      <c r="E13923" s="3" t="s">
        <v>100</v>
      </c>
      <c r="F13923" s="7">
        <v>46016.333712943466</v>
      </c>
      <c r="G13923" s="3" t="s">
        <v>27080</v>
      </c>
    </row>
    <row r="13924">
      <c r="A13924" s="3" t="s">
        <v>29750</v>
      </c>
      <c r="B13924" s="3" t="s">
        <v>11934</v>
      </c>
      <c r="C13924" s="5" t="s">
        <v>45</v>
      </c>
      <c r="D13924" s="3" t="s">
        <v>221</v>
      </c>
      <c r="E13924" s="3" t="s">
        <v>519</v>
      </c>
      <c r="F13924" s="7">
        <v>46016.39447112222</v>
      </c>
      <c r="G13924" s="3" t="s">
        <v>2770</v>
      </c>
    </row>
    <row r="13925">
      <c r="A13925" s="3" t="s">
        <v>29751</v>
      </c>
      <c r="B13925" s="3" t="s">
        <v>11934</v>
      </c>
      <c r="C13925" s="5" t="s">
        <v>221</v>
      </c>
      <c r="D13925" s="3" t="s">
        <v>181</v>
      </c>
      <c r="E13925" s="3" t="s">
        <v>118</v>
      </c>
      <c r="F13925" s="7">
        <v>46016.39794334444</v>
      </c>
      <c r="G13925" s="3" t="s">
        <v>2774</v>
      </c>
    </row>
    <row r="13926">
      <c r="A13926" s="3" t="s">
        <v>29752</v>
      </c>
      <c r="B13926" s="3" t="s">
        <v>11937</v>
      </c>
      <c r="C13926" s="5" t="s">
        <v>45</v>
      </c>
      <c r="D13926" s="3" t="s">
        <v>221</v>
      </c>
      <c r="E13926" s="3" t="s">
        <v>587</v>
      </c>
      <c r="F13926" s="7">
        <v>46016.46564596763</v>
      </c>
      <c r="G13926" s="3" t="s">
        <v>3030</v>
      </c>
    </row>
    <row r="13927">
      <c r="A13927" s="3" t="s">
        <v>29753</v>
      </c>
      <c r="B13927" s="3" t="s">
        <v>11937</v>
      </c>
      <c r="C13927" s="5" t="s">
        <v>221</v>
      </c>
      <c r="D13927" s="3" t="s">
        <v>614</v>
      </c>
      <c r="E13927" s="3" t="s">
        <v>118</v>
      </c>
      <c r="F13927" s="7">
        <v>46016.46911818985</v>
      </c>
      <c r="G13927" s="3" t="s">
        <v>3033</v>
      </c>
    </row>
    <row r="13928">
      <c r="A13928" s="3" t="s">
        <v>29754</v>
      </c>
      <c r="B13928" s="3" t="s">
        <v>11937</v>
      </c>
      <c r="C13928" s="5" t="s">
        <v>614</v>
      </c>
      <c r="D13928" s="3" t="s">
        <v>206</v>
      </c>
      <c r="E13928" s="3" t="s">
        <v>100</v>
      </c>
      <c r="F13928" s="7">
        <v>46016.47259041208</v>
      </c>
      <c r="G13928" s="3" t="s">
        <v>3036</v>
      </c>
    </row>
    <row r="13929">
      <c r="A13929" s="3" t="s">
        <v>29755</v>
      </c>
      <c r="B13929" s="3" t="s">
        <v>11937</v>
      </c>
      <c r="C13929" s="5" t="s">
        <v>206</v>
      </c>
      <c r="D13929" s="3" t="s">
        <v>68</v>
      </c>
      <c r="E13929" s="3" t="s">
        <v>100</v>
      </c>
      <c r="F13929" s="7">
        <v>46016.4760626343</v>
      </c>
      <c r="G13929" s="3" t="s">
        <v>3039</v>
      </c>
    </row>
    <row r="13930">
      <c r="A13930" s="3" t="s">
        <v>29756</v>
      </c>
      <c r="B13930" s="3" t="s">
        <v>11940</v>
      </c>
      <c r="C13930" s="5" t="s">
        <v>45</v>
      </c>
      <c r="D13930" s="3" t="s">
        <v>221</v>
      </c>
      <c r="E13930" s="3" t="s">
        <v>256</v>
      </c>
      <c r="F13930" s="7">
        <v>46016.536820813046</v>
      </c>
      <c r="G13930" s="3" t="s">
        <v>3042</v>
      </c>
    </row>
    <row r="13931">
      <c r="A13931" s="3" t="s">
        <v>29757</v>
      </c>
      <c r="B13931" s="3" t="s">
        <v>11940</v>
      </c>
      <c r="C13931" s="5" t="s">
        <v>221</v>
      </c>
      <c r="D13931" s="3" t="s">
        <v>614</v>
      </c>
      <c r="E13931" s="3" t="s">
        <v>118</v>
      </c>
      <c r="F13931" s="7">
        <v>46016.540293035265</v>
      </c>
      <c r="G13931" s="3" t="s">
        <v>3045</v>
      </c>
    </row>
    <row r="13932">
      <c r="A13932" s="3" t="s">
        <v>29758</v>
      </c>
      <c r="B13932" s="3" t="s">
        <v>11940</v>
      </c>
      <c r="C13932" s="5" t="s">
        <v>614</v>
      </c>
      <c r="D13932" s="3" t="s">
        <v>206</v>
      </c>
      <c r="E13932" s="3" t="s">
        <v>100</v>
      </c>
      <c r="F13932" s="7">
        <v>46016.54376525749</v>
      </c>
      <c r="G13932" s="3" t="s">
        <v>3048</v>
      </c>
    </row>
    <row r="13933">
      <c r="A13933" s="3" t="s">
        <v>29759</v>
      </c>
      <c r="B13933" s="3" t="s">
        <v>11940</v>
      </c>
      <c r="C13933" s="5" t="s">
        <v>206</v>
      </c>
      <c r="D13933" s="3" t="s">
        <v>68</v>
      </c>
      <c r="E13933" s="3" t="s">
        <v>100</v>
      </c>
      <c r="F13933" s="7">
        <v>46016.54723747971</v>
      </c>
      <c r="G13933" s="3" t="s">
        <v>3051</v>
      </c>
    </row>
    <row r="13934">
      <c r="A13934" s="3" t="s">
        <v>29760</v>
      </c>
      <c r="B13934" s="3" t="s">
        <v>11943</v>
      </c>
      <c r="C13934" s="5" t="s">
        <v>45</v>
      </c>
      <c r="D13934" s="3" t="s">
        <v>221</v>
      </c>
      <c r="E13934" s="3" t="s">
        <v>710</v>
      </c>
      <c r="F13934" s="7">
        <v>46016.607995658465</v>
      </c>
      <c r="G13934" s="3" t="s">
        <v>11180</v>
      </c>
    </row>
    <row r="13935">
      <c r="A13935" s="3" t="s">
        <v>29761</v>
      </c>
      <c r="B13935" s="3" t="s">
        <v>11943</v>
      </c>
      <c r="C13935" s="5" t="s">
        <v>221</v>
      </c>
      <c r="D13935" s="3" t="s">
        <v>614</v>
      </c>
      <c r="E13935" s="3" t="s">
        <v>118</v>
      </c>
      <c r="F13935" s="7">
        <v>46016.611467880684</v>
      </c>
      <c r="G13935" s="3" t="s">
        <v>11183</v>
      </c>
    </row>
    <row r="13936">
      <c r="A13936" s="3" t="s">
        <v>29762</v>
      </c>
      <c r="B13936" s="3" t="s">
        <v>11943</v>
      </c>
      <c r="C13936" s="5" t="s">
        <v>614</v>
      </c>
      <c r="D13936" s="3" t="s">
        <v>206</v>
      </c>
      <c r="E13936" s="3" t="s">
        <v>100</v>
      </c>
      <c r="F13936" s="7">
        <v>46016.61494010291</v>
      </c>
      <c r="G13936" s="3" t="s">
        <v>11186</v>
      </c>
    </row>
    <row r="13937">
      <c r="A13937" s="3" t="s">
        <v>29763</v>
      </c>
      <c r="B13937" s="3" t="s">
        <v>11943</v>
      </c>
      <c r="C13937" s="5" t="s">
        <v>206</v>
      </c>
      <c r="D13937" s="3" t="s">
        <v>68</v>
      </c>
      <c r="E13937" s="3" t="s">
        <v>100</v>
      </c>
      <c r="F13937" s="7">
        <v>46016.61841232513</v>
      </c>
      <c r="G13937" s="3" t="s">
        <v>11189</v>
      </c>
    </row>
    <row r="13938">
      <c r="A13938" s="3" t="s">
        <v>29764</v>
      </c>
      <c r="B13938" s="3" t="s">
        <v>11946</v>
      </c>
      <c r="C13938" s="5" t="s">
        <v>45</v>
      </c>
      <c r="D13938" s="3" t="s">
        <v>221</v>
      </c>
      <c r="E13938" s="3" t="s">
        <v>137</v>
      </c>
      <c r="F13938" s="7">
        <v>46016.679170503885</v>
      </c>
      <c r="G13938" s="3" t="s">
        <v>3058</v>
      </c>
    </row>
    <row r="13939">
      <c r="A13939" s="3" t="s">
        <v>29765</v>
      </c>
      <c r="B13939" s="3" t="s">
        <v>11946</v>
      </c>
      <c r="C13939" s="5" t="s">
        <v>221</v>
      </c>
      <c r="D13939" s="3" t="s">
        <v>614</v>
      </c>
      <c r="E13939" s="3" t="s">
        <v>118</v>
      </c>
      <c r="F13939" s="7">
        <v>46016.682642726104</v>
      </c>
      <c r="G13939" s="3" t="s">
        <v>3061</v>
      </c>
    </row>
    <row r="13940">
      <c r="A13940" s="3" t="s">
        <v>29766</v>
      </c>
      <c r="B13940" s="3" t="s">
        <v>11946</v>
      </c>
      <c r="C13940" s="5" t="s">
        <v>614</v>
      </c>
      <c r="D13940" s="3" t="s">
        <v>206</v>
      </c>
      <c r="E13940" s="3" t="s">
        <v>100</v>
      </c>
      <c r="F13940" s="7">
        <v>46016.68611494833</v>
      </c>
      <c r="G13940" s="3" t="s">
        <v>3064</v>
      </c>
    </row>
    <row r="13941">
      <c r="A13941" s="3" t="s">
        <v>29767</v>
      </c>
      <c r="B13941" s="3" t="s">
        <v>11946</v>
      </c>
      <c r="C13941" s="5" t="s">
        <v>206</v>
      </c>
      <c r="D13941" s="3" t="s">
        <v>68</v>
      </c>
      <c r="E13941" s="3" t="s">
        <v>100</v>
      </c>
      <c r="F13941" s="7">
        <v>46016.68958717055</v>
      </c>
      <c r="G13941" s="3" t="s">
        <v>3067</v>
      </c>
    </row>
    <row r="13942">
      <c r="A13942" s="3" t="s">
        <v>29768</v>
      </c>
      <c r="B13942" s="3" t="s">
        <v>11949</v>
      </c>
      <c r="C13942" s="5" t="s">
        <v>45</v>
      </c>
      <c r="D13942" s="3" t="s">
        <v>221</v>
      </c>
      <c r="E13942" s="3" t="s">
        <v>123</v>
      </c>
      <c r="F13942" s="7">
        <v>46016.75034534929</v>
      </c>
      <c r="G13942" s="3" t="s">
        <v>8229</v>
      </c>
    </row>
    <row r="13943">
      <c r="A13943" s="3" t="s">
        <v>29769</v>
      </c>
      <c r="B13943" s="3" t="s">
        <v>11949</v>
      </c>
      <c r="C13943" s="5" t="s">
        <v>221</v>
      </c>
      <c r="D13943" s="3" t="s">
        <v>614</v>
      </c>
      <c r="E13943" s="3" t="s">
        <v>118</v>
      </c>
      <c r="F13943" s="7">
        <v>46016.75381757151</v>
      </c>
      <c r="G13943" s="3" t="s">
        <v>8231</v>
      </c>
    </row>
    <row r="13944">
      <c r="A13944" s="3" t="s">
        <v>29770</v>
      </c>
      <c r="B13944" s="3" t="s">
        <v>11949</v>
      </c>
      <c r="C13944" s="5" t="s">
        <v>614</v>
      </c>
      <c r="D13944" s="3" t="s">
        <v>206</v>
      </c>
      <c r="E13944" s="3" t="s">
        <v>100</v>
      </c>
      <c r="F13944" s="7">
        <v>46016.757289793735</v>
      </c>
      <c r="G13944" s="3" t="s">
        <v>8234</v>
      </c>
    </row>
    <row r="13945">
      <c r="A13945" s="3" t="s">
        <v>29771</v>
      </c>
      <c r="B13945" s="3" t="s">
        <v>11949</v>
      </c>
      <c r="C13945" s="5" t="s">
        <v>206</v>
      </c>
      <c r="D13945" s="3" t="s">
        <v>68</v>
      </c>
      <c r="E13945" s="3" t="s">
        <v>100</v>
      </c>
      <c r="F13945" s="7">
        <v>46016.760762015954</v>
      </c>
      <c r="G13945" s="3" t="s">
        <v>8237</v>
      </c>
    </row>
    <row r="13946">
      <c r="A13946" s="3" t="s">
        <v>29772</v>
      </c>
      <c r="B13946" s="3" t="s">
        <v>11952</v>
      </c>
      <c r="C13946" s="5" t="s">
        <v>45</v>
      </c>
      <c r="D13946" s="3" t="s">
        <v>221</v>
      </c>
      <c r="E13946" s="3" t="s">
        <v>900</v>
      </c>
      <c r="F13946" s="7">
        <v>46016.82152019471</v>
      </c>
      <c r="G13946" s="3" t="s">
        <v>29773</v>
      </c>
    </row>
    <row r="13947">
      <c r="A13947" s="3" t="s">
        <v>29774</v>
      </c>
      <c r="B13947" s="3" t="s">
        <v>11952</v>
      </c>
      <c r="C13947" s="5" t="s">
        <v>221</v>
      </c>
      <c r="D13947" s="3" t="s">
        <v>614</v>
      </c>
      <c r="E13947" s="3" t="s">
        <v>118</v>
      </c>
      <c r="F13947" s="7">
        <v>46016.82499241693</v>
      </c>
      <c r="G13947" s="3" t="s">
        <v>29775</v>
      </c>
    </row>
    <row r="13948">
      <c r="A13948" s="3" t="s">
        <v>29776</v>
      </c>
      <c r="B13948" s="3" t="s">
        <v>11952</v>
      </c>
      <c r="C13948" s="5" t="s">
        <v>614</v>
      </c>
      <c r="D13948" s="3" t="s">
        <v>206</v>
      </c>
      <c r="E13948" s="3" t="s">
        <v>100</v>
      </c>
      <c r="F13948" s="7">
        <v>46016.828464639155</v>
      </c>
      <c r="G13948" s="3" t="s">
        <v>29777</v>
      </c>
    </row>
    <row r="13949">
      <c r="A13949" s="3" t="s">
        <v>29778</v>
      </c>
      <c r="B13949" s="3" t="s">
        <v>11952</v>
      </c>
      <c r="C13949" s="5" t="s">
        <v>206</v>
      </c>
      <c r="D13949" s="3" t="s">
        <v>68</v>
      </c>
      <c r="E13949" s="3" t="s">
        <v>100</v>
      </c>
      <c r="F13949" s="7">
        <v>46016.831936861374</v>
      </c>
      <c r="G13949" s="3" t="s">
        <v>29779</v>
      </c>
    </row>
    <row r="13950">
      <c r="A13950" s="3" t="s">
        <v>29780</v>
      </c>
      <c r="B13950" s="3" t="s">
        <v>11955</v>
      </c>
      <c r="C13950" s="5" t="s">
        <v>45</v>
      </c>
      <c r="D13950" s="3" t="s">
        <v>221</v>
      </c>
      <c r="E13950" s="3" t="s">
        <v>965</v>
      </c>
      <c r="F13950" s="7">
        <v>46016.89269504012</v>
      </c>
      <c r="G13950" s="3" t="s">
        <v>3084</v>
      </c>
    </row>
    <row r="13951">
      <c r="A13951" s="3" t="s">
        <v>29781</v>
      </c>
      <c r="B13951" s="3" t="s">
        <v>11955</v>
      </c>
      <c r="C13951" s="5" t="s">
        <v>221</v>
      </c>
      <c r="D13951" s="3" t="s">
        <v>614</v>
      </c>
      <c r="E13951" s="3" t="s">
        <v>118</v>
      </c>
      <c r="F13951" s="7">
        <v>46016.89616726234</v>
      </c>
      <c r="G13951" s="3" t="s">
        <v>3087</v>
      </c>
    </row>
    <row r="13952">
      <c r="A13952" s="3" t="s">
        <v>29782</v>
      </c>
      <c r="B13952" s="3" t="s">
        <v>11955</v>
      </c>
      <c r="C13952" s="5" t="s">
        <v>614</v>
      </c>
      <c r="D13952" s="3" t="s">
        <v>206</v>
      </c>
      <c r="E13952" s="3" t="s">
        <v>100</v>
      </c>
      <c r="F13952" s="7">
        <v>46016.89963948457</v>
      </c>
      <c r="G13952" s="3" t="s">
        <v>3090</v>
      </c>
    </row>
    <row r="13953">
      <c r="A13953" s="3" t="s">
        <v>29783</v>
      </c>
      <c r="B13953" s="3" t="s">
        <v>11955</v>
      </c>
      <c r="C13953" s="5" t="s">
        <v>206</v>
      </c>
      <c r="D13953" s="3" t="s">
        <v>68</v>
      </c>
      <c r="E13953" s="3" t="s">
        <v>100</v>
      </c>
      <c r="F13953" s="7">
        <v>46016.903111706786</v>
      </c>
      <c r="G13953" s="3" t="s">
        <v>3093</v>
      </c>
    </row>
    <row r="13954">
      <c r="A13954" s="3" t="s">
        <v>29784</v>
      </c>
      <c r="B13954" s="3" t="s">
        <v>11958</v>
      </c>
      <c r="C13954" s="5" t="s">
        <v>45</v>
      </c>
      <c r="D13954" s="3" t="s">
        <v>221</v>
      </c>
      <c r="E13954" s="3" t="s">
        <v>383</v>
      </c>
      <c r="F13954" s="7">
        <v>46016.96386988554</v>
      </c>
      <c r="G13954" s="3" t="s">
        <v>16711</v>
      </c>
    </row>
    <row r="13955">
      <c r="A13955" s="3" t="s">
        <v>29785</v>
      </c>
      <c r="B13955" s="3" t="s">
        <v>11958</v>
      </c>
      <c r="C13955" s="5" t="s">
        <v>221</v>
      </c>
      <c r="D13955" s="3" t="s">
        <v>614</v>
      </c>
      <c r="E13955" s="3" t="s">
        <v>118</v>
      </c>
      <c r="F13955" s="7">
        <v>46016.96734210776</v>
      </c>
      <c r="G13955" s="3" t="s">
        <v>16714</v>
      </c>
    </row>
    <row r="13956">
      <c r="A13956" s="3" t="s">
        <v>29786</v>
      </c>
      <c r="B13956" s="3" t="s">
        <v>11958</v>
      </c>
      <c r="C13956" s="5" t="s">
        <v>614</v>
      </c>
      <c r="D13956" s="3" t="s">
        <v>206</v>
      </c>
      <c r="E13956" s="3" t="s">
        <v>100</v>
      </c>
      <c r="F13956" s="7">
        <v>46016.97081432999</v>
      </c>
      <c r="G13956" s="3" t="s">
        <v>16717</v>
      </c>
    </row>
    <row r="13957">
      <c r="A13957" s="3" t="s">
        <v>29787</v>
      </c>
      <c r="B13957" s="3" t="s">
        <v>11958</v>
      </c>
      <c r="C13957" s="5" t="s">
        <v>206</v>
      </c>
      <c r="D13957" s="3" t="s">
        <v>68</v>
      </c>
      <c r="E13957" s="3" t="s">
        <v>100</v>
      </c>
      <c r="F13957" s="7">
        <v>46016.974286552206</v>
      </c>
      <c r="G13957" s="3" t="s">
        <v>16720</v>
      </c>
    </row>
    <row r="13958">
      <c r="A13958" s="3" t="s">
        <v>29788</v>
      </c>
      <c r="B13958" s="3" t="s">
        <v>11961</v>
      </c>
      <c r="C13958" s="5" t="s">
        <v>45</v>
      </c>
      <c r="D13958" s="3" t="s">
        <v>221</v>
      </c>
      <c r="E13958" s="3" t="s">
        <v>530</v>
      </c>
      <c r="F13958" s="7">
        <v>46017.035044730954</v>
      </c>
      <c r="G13958" s="3" t="s">
        <v>16420</v>
      </c>
    </row>
    <row r="13959">
      <c r="A13959" s="3" t="s">
        <v>29789</v>
      </c>
      <c r="B13959" s="3" t="s">
        <v>11961</v>
      </c>
      <c r="C13959" s="5" t="s">
        <v>221</v>
      </c>
      <c r="D13959" s="3" t="s">
        <v>614</v>
      </c>
      <c r="E13959" s="3" t="s">
        <v>118</v>
      </c>
      <c r="F13959" s="7">
        <v>46017.03851695317</v>
      </c>
      <c r="G13959" s="3" t="s">
        <v>16423</v>
      </c>
    </row>
    <row r="13960">
      <c r="A13960" s="3" t="s">
        <v>29790</v>
      </c>
      <c r="B13960" s="3" t="s">
        <v>11961</v>
      </c>
      <c r="C13960" s="5" t="s">
        <v>614</v>
      </c>
      <c r="D13960" s="3" t="s">
        <v>206</v>
      </c>
      <c r="E13960" s="3" t="s">
        <v>100</v>
      </c>
      <c r="F13960" s="7">
        <v>46017.0419891754</v>
      </c>
      <c r="G13960" s="3" t="s">
        <v>16426</v>
      </c>
    </row>
    <row r="13961">
      <c r="A13961" s="3" t="s">
        <v>29791</v>
      </c>
      <c r="B13961" s="3" t="s">
        <v>11961</v>
      </c>
      <c r="C13961" s="5" t="s">
        <v>206</v>
      </c>
      <c r="D13961" s="3" t="s">
        <v>68</v>
      </c>
      <c r="E13961" s="3" t="s">
        <v>100</v>
      </c>
      <c r="F13961" s="7">
        <v>46017.04546139762</v>
      </c>
      <c r="G13961" s="3" t="s">
        <v>16428</v>
      </c>
    </row>
    <row r="13962">
      <c r="A13962" s="3" t="s">
        <v>29792</v>
      </c>
      <c r="B13962" s="3" t="s">
        <v>11962</v>
      </c>
      <c r="C13962" s="5" t="s">
        <v>45</v>
      </c>
      <c r="D13962" s="3" t="s">
        <v>221</v>
      </c>
      <c r="E13962" s="3" t="s">
        <v>296</v>
      </c>
      <c r="F13962" s="7">
        <v>46017.10621957637</v>
      </c>
      <c r="G13962" s="3" t="s">
        <v>24607</v>
      </c>
    </row>
    <row r="13963">
      <c r="A13963" s="3" t="s">
        <v>29793</v>
      </c>
      <c r="B13963" s="3" t="s">
        <v>11962</v>
      </c>
      <c r="C13963" s="5" t="s">
        <v>221</v>
      </c>
      <c r="D13963" s="3" t="s">
        <v>614</v>
      </c>
      <c r="E13963" s="3" t="s">
        <v>118</v>
      </c>
      <c r="F13963" s="7">
        <v>46017.10969179859</v>
      </c>
      <c r="G13963" s="3" t="s">
        <v>24609</v>
      </c>
    </row>
    <row r="13964">
      <c r="A13964" s="3" t="s">
        <v>29794</v>
      </c>
      <c r="B13964" s="3" t="s">
        <v>11962</v>
      </c>
      <c r="C13964" s="5" t="s">
        <v>614</v>
      </c>
      <c r="D13964" s="3" t="s">
        <v>206</v>
      </c>
      <c r="E13964" s="3" t="s">
        <v>100</v>
      </c>
      <c r="F13964" s="7">
        <v>46017.11316402082</v>
      </c>
      <c r="G13964" s="3" t="s">
        <v>24611</v>
      </c>
    </row>
    <row r="13965">
      <c r="A13965" s="3" t="s">
        <v>29795</v>
      </c>
      <c r="B13965" s="3" t="s">
        <v>11962</v>
      </c>
      <c r="C13965" s="5" t="s">
        <v>206</v>
      </c>
      <c r="D13965" s="3" t="s">
        <v>68</v>
      </c>
      <c r="E13965" s="3" t="s">
        <v>100</v>
      </c>
      <c r="F13965" s="7">
        <v>46017.11663624304</v>
      </c>
      <c r="G13965" s="3" t="s">
        <v>24613</v>
      </c>
    </row>
    <row r="13966">
      <c r="A13966" s="3" t="s">
        <v>29796</v>
      </c>
      <c r="B13966" s="3" t="s">
        <v>11965</v>
      </c>
      <c r="C13966" s="5" t="s">
        <v>45</v>
      </c>
      <c r="D13966" s="3" t="s">
        <v>221</v>
      </c>
      <c r="E13966" s="3" t="s">
        <v>541</v>
      </c>
      <c r="F13966" s="7">
        <v>46017.177394421786</v>
      </c>
      <c r="G13966" s="3" t="s">
        <v>14181</v>
      </c>
    </row>
    <row r="13967">
      <c r="A13967" s="3" t="s">
        <v>29797</v>
      </c>
      <c r="B13967" s="3" t="s">
        <v>11965</v>
      </c>
      <c r="C13967" s="5" t="s">
        <v>221</v>
      </c>
      <c r="D13967" s="3" t="s">
        <v>614</v>
      </c>
      <c r="E13967" s="3" t="s">
        <v>118</v>
      </c>
      <c r="F13967" s="7">
        <v>46017.180866644005</v>
      </c>
      <c r="G13967" s="3" t="s">
        <v>14183</v>
      </c>
    </row>
    <row r="13968">
      <c r="A13968" s="3" t="s">
        <v>29798</v>
      </c>
      <c r="B13968" s="3" t="s">
        <v>11965</v>
      </c>
      <c r="C13968" s="5" t="s">
        <v>614</v>
      </c>
      <c r="D13968" s="3" t="s">
        <v>206</v>
      </c>
      <c r="E13968" s="3" t="s">
        <v>100</v>
      </c>
      <c r="F13968" s="7">
        <v>46017.18433886623</v>
      </c>
      <c r="G13968" s="3" t="s">
        <v>14186</v>
      </c>
    </row>
    <row r="13969">
      <c r="A13969" s="3" t="s">
        <v>29799</v>
      </c>
      <c r="B13969" s="3" t="s">
        <v>11965</v>
      </c>
      <c r="C13969" s="5" t="s">
        <v>206</v>
      </c>
      <c r="D13969" s="3" t="s">
        <v>68</v>
      </c>
      <c r="E13969" s="3" t="s">
        <v>100</v>
      </c>
      <c r="F13969" s="7">
        <v>46017.18781108845</v>
      </c>
      <c r="G13969" s="3" t="s">
        <v>14189</v>
      </c>
    </row>
    <row r="13970">
      <c r="A13970" s="3" t="s">
        <v>29800</v>
      </c>
      <c r="B13970" s="3" t="s">
        <v>11966</v>
      </c>
      <c r="C13970" s="5" t="s">
        <v>45</v>
      </c>
      <c r="D13970" s="3" t="s">
        <v>221</v>
      </c>
      <c r="E13970" s="3" t="s">
        <v>455</v>
      </c>
      <c r="F13970" s="7">
        <v>46017.2485692672</v>
      </c>
      <c r="G13970" s="3" t="s">
        <v>19353</v>
      </c>
    </row>
    <row r="13971">
      <c r="A13971" s="3" t="s">
        <v>29801</v>
      </c>
      <c r="B13971" s="3" t="s">
        <v>11966</v>
      </c>
      <c r="C13971" s="5" t="s">
        <v>221</v>
      </c>
      <c r="D13971" s="3" t="s">
        <v>181</v>
      </c>
      <c r="E13971" s="3" t="s">
        <v>118</v>
      </c>
      <c r="F13971" s="7">
        <v>46017.25204148942</v>
      </c>
      <c r="G13971" s="3" t="s">
        <v>20808</v>
      </c>
    </row>
    <row r="13972">
      <c r="A13972" s="3" t="s">
        <v>29802</v>
      </c>
      <c r="B13972" s="3" t="s">
        <v>11968</v>
      </c>
      <c r="C13972" s="5" t="s">
        <v>45</v>
      </c>
      <c r="D13972" s="3" t="s">
        <v>221</v>
      </c>
      <c r="E13972" s="3" t="s">
        <v>830</v>
      </c>
      <c r="F13972" s="7">
        <v>46017.31974411262</v>
      </c>
      <c r="G13972" s="3" t="s">
        <v>18485</v>
      </c>
    </row>
    <row r="13973">
      <c r="A13973" s="3" t="s">
        <v>29803</v>
      </c>
      <c r="B13973" s="3" t="s">
        <v>11968</v>
      </c>
      <c r="C13973" s="5" t="s">
        <v>221</v>
      </c>
      <c r="D13973" s="3" t="s">
        <v>181</v>
      </c>
      <c r="E13973" s="3" t="s">
        <v>118</v>
      </c>
      <c r="F13973" s="7">
        <v>46017.32321633484</v>
      </c>
      <c r="G13973" s="3" t="s">
        <v>29804</v>
      </c>
    </row>
    <row r="13974">
      <c r="A13974" s="3" t="s">
        <v>29805</v>
      </c>
      <c r="B13974" s="3" t="s">
        <v>11970</v>
      </c>
      <c r="C13974" s="5" t="s">
        <v>45</v>
      </c>
      <c r="D13974" s="3" t="s">
        <v>221</v>
      </c>
      <c r="E13974" s="3" t="s">
        <v>763</v>
      </c>
      <c r="F13974" s="7">
        <v>46017.39091895803</v>
      </c>
      <c r="G13974" s="3" t="s">
        <v>18738</v>
      </c>
    </row>
    <row r="13975">
      <c r="A13975" s="3" t="s">
        <v>29806</v>
      </c>
      <c r="B13975" s="3" t="s">
        <v>11970</v>
      </c>
      <c r="C13975" s="5" t="s">
        <v>221</v>
      </c>
      <c r="D13975" s="3" t="s">
        <v>614</v>
      </c>
      <c r="E13975" s="3" t="s">
        <v>118</v>
      </c>
      <c r="F13975" s="7">
        <v>46017.39439118025</v>
      </c>
      <c r="G13975" s="3" t="s">
        <v>20762</v>
      </c>
    </row>
    <row r="13976">
      <c r="A13976" s="3" t="s">
        <v>29807</v>
      </c>
      <c r="B13976" s="3" t="s">
        <v>11970</v>
      </c>
      <c r="C13976" s="5" t="s">
        <v>614</v>
      </c>
      <c r="D13976" s="3" t="s">
        <v>206</v>
      </c>
      <c r="E13976" s="3" t="s">
        <v>100</v>
      </c>
      <c r="F13976" s="7">
        <v>46017.397863402475</v>
      </c>
      <c r="G13976" s="3" t="s">
        <v>20764</v>
      </c>
    </row>
    <row r="13977">
      <c r="A13977" s="3" t="s">
        <v>29808</v>
      </c>
      <c r="B13977" s="3" t="s">
        <v>11970</v>
      </c>
      <c r="C13977" s="5" t="s">
        <v>206</v>
      </c>
      <c r="D13977" s="3" t="s">
        <v>68</v>
      </c>
      <c r="E13977" s="3" t="s">
        <v>100</v>
      </c>
      <c r="F13977" s="7">
        <v>46017.401335624694</v>
      </c>
      <c r="G13977" s="3" t="s">
        <v>20767</v>
      </c>
    </row>
    <row r="13978">
      <c r="A13978" s="3" t="s">
        <v>29809</v>
      </c>
      <c r="B13978" s="3" t="s">
        <v>11973</v>
      </c>
      <c r="C13978" s="5" t="s">
        <v>45</v>
      </c>
      <c r="D13978" s="3" t="s">
        <v>221</v>
      </c>
      <c r="E13978" s="3" t="s">
        <v>507</v>
      </c>
      <c r="F13978" s="7">
        <v>46017.46209380344</v>
      </c>
      <c r="G13978" s="3" t="s">
        <v>27164</v>
      </c>
    </row>
    <row r="13979">
      <c r="A13979" s="3" t="s">
        <v>29810</v>
      </c>
      <c r="B13979" s="3" t="s">
        <v>11973</v>
      </c>
      <c r="C13979" s="5" t="s">
        <v>221</v>
      </c>
      <c r="D13979" s="3" t="s">
        <v>181</v>
      </c>
      <c r="E13979" s="3" t="s">
        <v>118</v>
      </c>
      <c r="F13979" s="7">
        <v>46017.46556602566</v>
      </c>
      <c r="G13979" s="3" t="s">
        <v>29811</v>
      </c>
    </row>
    <row r="13980">
      <c r="A13980" s="3" t="s">
        <v>29812</v>
      </c>
      <c r="B13980" s="3" t="s">
        <v>11976</v>
      </c>
      <c r="C13980" s="5" t="s">
        <v>45</v>
      </c>
      <c r="D13980" s="3" t="s">
        <v>221</v>
      </c>
      <c r="E13980" s="3" t="s">
        <v>685</v>
      </c>
      <c r="F13980" s="7">
        <v>46017.53326864886</v>
      </c>
      <c r="G13980" s="3" t="s">
        <v>23150</v>
      </c>
    </row>
    <row r="13981">
      <c r="A13981" s="3" t="s">
        <v>29813</v>
      </c>
      <c r="B13981" s="3" t="s">
        <v>11976</v>
      </c>
      <c r="C13981" s="5" t="s">
        <v>221</v>
      </c>
      <c r="D13981" s="3" t="s">
        <v>614</v>
      </c>
      <c r="E13981" s="3" t="s">
        <v>118</v>
      </c>
      <c r="F13981" s="7">
        <v>46017.53674087108</v>
      </c>
      <c r="G13981" s="3" t="s">
        <v>23153</v>
      </c>
    </row>
    <row r="13982">
      <c r="A13982" s="3" t="s">
        <v>29814</v>
      </c>
      <c r="B13982" s="3" t="s">
        <v>11976</v>
      </c>
      <c r="C13982" s="5" t="s">
        <v>614</v>
      </c>
      <c r="D13982" s="3" t="s">
        <v>206</v>
      </c>
      <c r="E13982" s="3" t="s">
        <v>100</v>
      </c>
      <c r="F13982" s="7">
        <v>46017.54021309331</v>
      </c>
      <c r="G13982" s="3" t="s">
        <v>23155</v>
      </c>
    </row>
    <row r="13983">
      <c r="A13983" s="3" t="s">
        <v>29815</v>
      </c>
      <c r="B13983" s="3" t="s">
        <v>11976</v>
      </c>
      <c r="C13983" s="5" t="s">
        <v>206</v>
      </c>
      <c r="D13983" s="3" t="s">
        <v>68</v>
      </c>
      <c r="E13983" s="3" t="s">
        <v>100</v>
      </c>
      <c r="F13983" s="7">
        <v>46017.543685315526</v>
      </c>
      <c r="G13983" s="3" t="s">
        <v>23158</v>
      </c>
    </row>
    <row r="13984">
      <c r="A13984" s="3" t="s">
        <v>29816</v>
      </c>
      <c r="B13984" s="3" t="s">
        <v>11979</v>
      </c>
      <c r="C13984" s="5" t="s">
        <v>45</v>
      </c>
      <c r="D13984" s="3" t="s">
        <v>221</v>
      </c>
      <c r="E13984" s="3" t="s">
        <v>805</v>
      </c>
      <c r="F13984" s="7">
        <v>46017.604443494274</v>
      </c>
      <c r="G13984" s="3" t="s">
        <v>17536</v>
      </c>
    </row>
    <row r="13985">
      <c r="A13985" s="3" t="s">
        <v>29817</v>
      </c>
      <c r="B13985" s="3" t="s">
        <v>11979</v>
      </c>
      <c r="C13985" s="5" t="s">
        <v>221</v>
      </c>
      <c r="D13985" s="3" t="s">
        <v>614</v>
      </c>
      <c r="E13985" s="3" t="s">
        <v>118</v>
      </c>
      <c r="F13985" s="7">
        <v>46017.60791571649</v>
      </c>
      <c r="G13985" s="3" t="s">
        <v>17539</v>
      </c>
    </row>
    <row r="13986">
      <c r="A13986" s="3" t="s">
        <v>29818</v>
      </c>
      <c r="B13986" s="3" t="s">
        <v>11979</v>
      </c>
      <c r="C13986" s="5" t="s">
        <v>614</v>
      </c>
      <c r="D13986" s="3" t="s">
        <v>206</v>
      </c>
      <c r="E13986" s="3" t="s">
        <v>100</v>
      </c>
      <c r="F13986" s="7">
        <v>46017.61138793872</v>
      </c>
      <c r="G13986" s="3" t="s">
        <v>17542</v>
      </c>
    </row>
    <row r="13987">
      <c r="A13987" s="3" t="s">
        <v>29819</v>
      </c>
      <c r="B13987" s="3" t="s">
        <v>11979</v>
      </c>
      <c r="C13987" s="5" t="s">
        <v>206</v>
      </c>
      <c r="D13987" s="3" t="s">
        <v>68</v>
      </c>
      <c r="E13987" s="3" t="s">
        <v>100</v>
      </c>
      <c r="F13987" s="7">
        <v>46017.61486016094</v>
      </c>
      <c r="G13987" s="3" t="s">
        <v>17544</v>
      </c>
    </row>
    <row r="13988">
      <c r="A13988" s="3" t="s">
        <v>29820</v>
      </c>
      <c r="B13988" s="3" t="s">
        <v>11981</v>
      </c>
      <c r="C13988" s="5" t="s">
        <v>45</v>
      </c>
      <c r="D13988" s="3" t="s">
        <v>221</v>
      </c>
      <c r="E13988" s="3" t="s">
        <v>521</v>
      </c>
      <c r="F13988" s="7">
        <v>46017.67561833969</v>
      </c>
      <c r="G13988" s="3" t="s">
        <v>3099</v>
      </c>
    </row>
    <row r="13989">
      <c r="A13989" s="3" t="s">
        <v>29821</v>
      </c>
      <c r="B13989" s="3" t="s">
        <v>11981</v>
      </c>
      <c r="C13989" s="5" t="s">
        <v>221</v>
      </c>
      <c r="D13989" s="3" t="s">
        <v>614</v>
      </c>
      <c r="E13989" s="3" t="s">
        <v>118</v>
      </c>
      <c r="F13989" s="7">
        <v>46017.679090561905</v>
      </c>
      <c r="G13989" s="3" t="s">
        <v>3102</v>
      </c>
    </row>
    <row r="13990">
      <c r="A13990" s="3" t="s">
        <v>29822</v>
      </c>
      <c r="B13990" s="3" t="s">
        <v>11981</v>
      </c>
      <c r="C13990" s="5" t="s">
        <v>614</v>
      </c>
      <c r="D13990" s="3" t="s">
        <v>206</v>
      </c>
      <c r="E13990" s="3" t="s">
        <v>100</v>
      </c>
      <c r="F13990" s="7">
        <v>46017.68256278413</v>
      </c>
      <c r="G13990" s="3" t="s">
        <v>3105</v>
      </c>
    </row>
    <row r="13991">
      <c r="A13991" s="3" t="s">
        <v>29823</v>
      </c>
      <c r="B13991" s="3" t="s">
        <v>11981</v>
      </c>
      <c r="C13991" s="5" t="s">
        <v>206</v>
      </c>
      <c r="D13991" s="3" t="s">
        <v>68</v>
      </c>
      <c r="E13991" s="3" t="s">
        <v>100</v>
      </c>
      <c r="F13991" s="7">
        <v>46017.68603500635</v>
      </c>
      <c r="G13991" s="3" t="s">
        <v>3108</v>
      </c>
    </row>
    <row r="13992">
      <c r="A13992" s="3" t="s">
        <v>29824</v>
      </c>
      <c r="B13992" s="3" t="s">
        <v>11983</v>
      </c>
      <c r="C13992" s="5" t="s">
        <v>45</v>
      </c>
      <c r="D13992" s="3" t="s">
        <v>221</v>
      </c>
      <c r="E13992" s="3" t="s">
        <v>348</v>
      </c>
      <c r="F13992" s="7">
        <v>46017.746793185106</v>
      </c>
      <c r="G13992" s="3" t="s">
        <v>3111</v>
      </c>
    </row>
    <row r="13993">
      <c r="A13993" s="3" t="s">
        <v>29825</v>
      </c>
      <c r="B13993" s="3" t="s">
        <v>11983</v>
      </c>
      <c r="C13993" s="5" t="s">
        <v>221</v>
      </c>
      <c r="D13993" s="3" t="s">
        <v>614</v>
      </c>
      <c r="E13993" s="3" t="s">
        <v>118</v>
      </c>
      <c r="F13993" s="7">
        <v>46017.750265407325</v>
      </c>
      <c r="G13993" s="3" t="s">
        <v>3114</v>
      </c>
    </row>
    <row r="13994">
      <c r="A13994" s="3" t="s">
        <v>29826</v>
      </c>
      <c r="B13994" s="3" t="s">
        <v>11983</v>
      </c>
      <c r="C13994" s="5" t="s">
        <v>614</v>
      </c>
      <c r="D13994" s="3" t="s">
        <v>206</v>
      </c>
      <c r="E13994" s="3" t="s">
        <v>100</v>
      </c>
      <c r="F13994" s="7">
        <v>46017.75373762955</v>
      </c>
      <c r="G13994" s="3" t="s">
        <v>3117</v>
      </c>
    </row>
    <row r="13995">
      <c r="A13995" s="3" t="s">
        <v>29827</v>
      </c>
      <c r="B13995" s="3" t="s">
        <v>11983</v>
      </c>
      <c r="C13995" s="5" t="s">
        <v>206</v>
      </c>
      <c r="D13995" s="3" t="s">
        <v>68</v>
      </c>
      <c r="E13995" s="3" t="s">
        <v>100</v>
      </c>
      <c r="F13995" s="7">
        <v>46017.75720985177</v>
      </c>
      <c r="G13995" s="3" t="s">
        <v>3120</v>
      </c>
    </row>
    <row r="13996">
      <c r="A13996" s="3" t="s">
        <v>29828</v>
      </c>
      <c r="B13996" s="3" t="s">
        <v>11986</v>
      </c>
      <c r="C13996" s="5" t="s">
        <v>45</v>
      </c>
      <c r="D13996" s="3" t="s">
        <v>221</v>
      </c>
      <c r="E13996" s="3" t="s">
        <v>622</v>
      </c>
      <c r="F13996" s="7">
        <v>46017.817968030526</v>
      </c>
      <c r="G13996" s="3" t="s">
        <v>3152</v>
      </c>
    </row>
    <row r="13997">
      <c r="A13997" s="3" t="s">
        <v>29829</v>
      </c>
      <c r="B13997" s="3" t="s">
        <v>11986</v>
      </c>
      <c r="C13997" s="5" t="s">
        <v>221</v>
      </c>
      <c r="D13997" s="3" t="s">
        <v>614</v>
      </c>
      <c r="E13997" s="3" t="s">
        <v>118</v>
      </c>
      <c r="F13997" s="7">
        <v>46017.821440252745</v>
      </c>
      <c r="G13997" s="3" t="s">
        <v>3155</v>
      </c>
    </row>
    <row r="13998">
      <c r="A13998" s="3" t="s">
        <v>29830</v>
      </c>
      <c r="B13998" s="3" t="s">
        <v>11986</v>
      </c>
      <c r="C13998" s="5" t="s">
        <v>614</v>
      </c>
      <c r="D13998" s="3" t="s">
        <v>206</v>
      </c>
      <c r="E13998" s="3" t="s">
        <v>100</v>
      </c>
      <c r="F13998" s="7">
        <v>46017.82491247497</v>
      </c>
      <c r="G13998" s="3" t="s">
        <v>3158</v>
      </c>
    </row>
    <row r="13999">
      <c r="A13999" s="3" t="s">
        <v>29831</v>
      </c>
      <c r="B13999" s="3" t="s">
        <v>11986</v>
      </c>
      <c r="C13999" s="5" t="s">
        <v>206</v>
      </c>
      <c r="D13999" s="3" t="s">
        <v>68</v>
      </c>
      <c r="E13999" s="3" t="s">
        <v>100</v>
      </c>
      <c r="F13999" s="7">
        <v>46017.82838469719</v>
      </c>
      <c r="G13999" s="3" t="s">
        <v>3161</v>
      </c>
    </row>
    <row r="14000">
      <c r="A14000" s="3" t="s">
        <v>29832</v>
      </c>
      <c r="B14000" s="3" t="s">
        <v>11989</v>
      </c>
      <c r="C14000" s="5" t="s">
        <v>45</v>
      </c>
      <c r="D14000" s="3" t="s">
        <v>221</v>
      </c>
      <c r="E14000" s="3" t="s">
        <v>310</v>
      </c>
      <c r="F14000" s="7">
        <v>46017.88914287593</v>
      </c>
      <c r="G14000" s="3" t="s">
        <v>29350</v>
      </c>
    </row>
    <row r="14001">
      <c r="A14001" s="3" t="s">
        <v>29833</v>
      </c>
      <c r="B14001" s="3" t="s">
        <v>11989</v>
      </c>
      <c r="C14001" s="5" t="s">
        <v>221</v>
      </c>
      <c r="D14001" s="3" t="s">
        <v>614</v>
      </c>
      <c r="E14001" s="3" t="s">
        <v>118</v>
      </c>
      <c r="F14001" s="7">
        <v>46017.89261509815</v>
      </c>
      <c r="G14001" s="3" t="s">
        <v>29352</v>
      </c>
    </row>
    <row r="14002">
      <c r="A14002" s="3" t="s">
        <v>29834</v>
      </c>
      <c r="B14002" s="3" t="s">
        <v>11989</v>
      </c>
      <c r="C14002" s="5" t="s">
        <v>614</v>
      </c>
      <c r="D14002" s="3" t="s">
        <v>206</v>
      </c>
      <c r="E14002" s="3" t="s">
        <v>100</v>
      </c>
      <c r="F14002" s="7">
        <v>46017.896087320376</v>
      </c>
      <c r="G14002" s="3" t="s">
        <v>29354</v>
      </c>
    </row>
    <row r="14003">
      <c r="A14003" s="3" t="s">
        <v>29835</v>
      </c>
      <c r="B14003" s="3" t="s">
        <v>11989</v>
      </c>
      <c r="C14003" s="5" t="s">
        <v>206</v>
      </c>
      <c r="D14003" s="3" t="s">
        <v>68</v>
      </c>
      <c r="E14003" s="3" t="s">
        <v>100</v>
      </c>
      <c r="F14003" s="7">
        <v>46017.899559542595</v>
      </c>
      <c r="G14003" s="3" t="s">
        <v>29356</v>
      </c>
    </row>
    <row r="14004">
      <c r="A14004" s="3" t="s">
        <v>29836</v>
      </c>
      <c r="B14004" s="3" t="s">
        <v>11992</v>
      </c>
      <c r="C14004" s="5" t="s">
        <v>45</v>
      </c>
      <c r="D14004" s="3" t="s">
        <v>221</v>
      </c>
      <c r="E14004" s="3" t="s">
        <v>424</v>
      </c>
      <c r="F14004" s="7">
        <v>46017.96031772135</v>
      </c>
      <c r="G14004" s="3" t="s">
        <v>10291</v>
      </c>
    </row>
    <row r="14005">
      <c r="A14005" s="3" t="s">
        <v>29837</v>
      </c>
      <c r="B14005" s="3" t="s">
        <v>11992</v>
      </c>
      <c r="C14005" s="5" t="s">
        <v>221</v>
      </c>
      <c r="D14005" s="3" t="s">
        <v>614</v>
      </c>
      <c r="E14005" s="3" t="s">
        <v>118</v>
      </c>
      <c r="F14005" s="7">
        <v>46017.96378994357</v>
      </c>
      <c r="G14005" s="3" t="s">
        <v>10294</v>
      </c>
    </row>
    <row r="14006">
      <c r="A14006" s="3" t="s">
        <v>29838</v>
      </c>
      <c r="B14006" s="3" t="s">
        <v>11992</v>
      </c>
      <c r="C14006" s="5" t="s">
        <v>614</v>
      </c>
      <c r="D14006" s="3" t="s">
        <v>206</v>
      </c>
      <c r="E14006" s="3" t="s">
        <v>100</v>
      </c>
      <c r="F14006" s="7">
        <v>46017.967262165796</v>
      </c>
      <c r="G14006" s="3" t="s">
        <v>10296</v>
      </c>
    </row>
    <row r="14007">
      <c r="A14007" s="3" t="s">
        <v>29839</v>
      </c>
      <c r="B14007" s="3" t="s">
        <v>11992</v>
      </c>
      <c r="C14007" s="5" t="s">
        <v>206</v>
      </c>
      <c r="D14007" s="3" t="s">
        <v>68</v>
      </c>
      <c r="E14007" s="3" t="s">
        <v>100</v>
      </c>
      <c r="F14007" s="7">
        <v>46017.970734388015</v>
      </c>
      <c r="G14007" s="3" t="s">
        <v>10299</v>
      </c>
    </row>
    <row r="14008">
      <c r="A14008" s="3" t="s">
        <v>29840</v>
      </c>
      <c r="B14008" s="3" t="s">
        <v>11994</v>
      </c>
      <c r="C14008" s="5" t="s">
        <v>45</v>
      </c>
      <c r="D14008" s="3" t="s">
        <v>221</v>
      </c>
      <c r="E14008" s="3" t="s">
        <v>189</v>
      </c>
      <c r="F14008" s="7">
        <v>46018.03149256677</v>
      </c>
      <c r="G14008" s="3" t="s">
        <v>3164</v>
      </c>
    </row>
    <row r="14009">
      <c r="A14009" s="3" t="s">
        <v>29841</v>
      </c>
      <c r="B14009" s="3" t="s">
        <v>11994</v>
      </c>
      <c r="C14009" s="5" t="s">
        <v>221</v>
      </c>
      <c r="D14009" s="3" t="s">
        <v>614</v>
      </c>
      <c r="E14009" s="3" t="s">
        <v>118</v>
      </c>
      <c r="F14009" s="7">
        <v>46018.03496478899</v>
      </c>
      <c r="G14009" s="3" t="s">
        <v>3167</v>
      </c>
    </row>
    <row r="14010">
      <c r="A14010" s="3" t="s">
        <v>29842</v>
      </c>
      <c r="B14010" s="3" t="s">
        <v>11994</v>
      </c>
      <c r="C14010" s="5" t="s">
        <v>614</v>
      </c>
      <c r="D14010" s="3" t="s">
        <v>206</v>
      </c>
      <c r="E14010" s="3" t="s">
        <v>100</v>
      </c>
      <c r="F14010" s="7">
        <v>46018.038437011215</v>
      </c>
      <c r="G14010" s="3" t="s">
        <v>3170</v>
      </c>
    </row>
    <row r="14011">
      <c r="A14011" s="3" t="s">
        <v>29843</v>
      </c>
      <c r="B14011" s="3" t="s">
        <v>11994</v>
      </c>
      <c r="C14011" s="5" t="s">
        <v>206</v>
      </c>
      <c r="D14011" s="3" t="s">
        <v>68</v>
      </c>
      <c r="E14011" s="3" t="s">
        <v>100</v>
      </c>
      <c r="F14011" s="7">
        <v>46018.041909233434</v>
      </c>
      <c r="G14011" s="3" t="s">
        <v>3172</v>
      </c>
    </row>
    <row r="14012">
      <c r="A14012" s="3" t="s">
        <v>29844</v>
      </c>
      <c r="B14012" s="3" t="s">
        <v>11996</v>
      </c>
      <c r="C14012" s="5" t="s">
        <v>45</v>
      </c>
      <c r="D14012" s="3" t="s">
        <v>221</v>
      </c>
      <c r="E14012" s="3" t="s">
        <v>266</v>
      </c>
      <c r="F14012" s="7">
        <v>46018.10266741218</v>
      </c>
      <c r="G14012" s="3" t="s">
        <v>13859</v>
      </c>
    </row>
    <row r="14013">
      <c r="A14013" s="3" t="s">
        <v>29845</v>
      </c>
      <c r="B14013" s="3" t="s">
        <v>11996</v>
      </c>
      <c r="C14013" s="5" t="s">
        <v>221</v>
      </c>
      <c r="D14013" s="3" t="s">
        <v>614</v>
      </c>
      <c r="E14013" s="3" t="s">
        <v>118</v>
      </c>
      <c r="F14013" s="7">
        <v>46018.1061396344</v>
      </c>
      <c r="G14013" s="3" t="s">
        <v>22295</v>
      </c>
    </row>
    <row r="14014">
      <c r="A14014" s="3" t="s">
        <v>29846</v>
      </c>
      <c r="B14014" s="3" t="s">
        <v>11996</v>
      </c>
      <c r="C14014" s="5" t="s">
        <v>614</v>
      </c>
      <c r="D14014" s="3" t="s">
        <v>206</v>
      </c>
      <c r="E14014" s="3" t="s">
        <v>100</v>
      </c>
      <c r="F14014" s="7">
        <v>46018.10961185663</v>
      </c>
      <c r="G14014" s="3" t="s">
        <v>22298</v>
      </c>
    </row>
    <row r="14015">
      <c r="A14015" s="3" t="s">
        <v>29847</v>
      </c>
      <c r="B14015" s="3" t="s">
        <v>11996</v>
      </c>
      <c r="C14015" s="5" t="s">
        <v>206</v>
      </c>
      <c r="D14015" s="3" t="s">
        <v>68</v>
      </c>
      <c r="E14015" s="3" t="s">
        <v>100</v>
      </c>
      <c r="F14015" s="7">
        <v>46018.11308407885</v>
      </c>
      <c r="G14015" s="3" t="s">
        <v>22301</v>
      </c>
    </row>
    <row r="14016">
      <c r="A14016" s="3" t="s">
        <v>29848</v>
      </c>
      <c r="B14016" s="3" t="s">
        <v>11999</v>
      </c>
      <c r="C14016" s="5" t="s">
        <v>45</v>
      </c>
      <c r="D14016" s="3" t="s">
        <v>221</v>
      </c>
      <c r="E14016" s="3" t="s">
        <v>453</v>
      </c>
      <c r="F14016" s="7">
        <v>46018.173842257595</v>
      </c>
      <c r="G14016" s="3" t="s">
        <v>13423</v>
      </c>
    </row>
    <row r="14017">
      <c r="A14017" s="3" t="s">
        <v>29849</v>
      </c>
      <c r="B14017" s="3" t="s">
        <v>11999</v>
      </c>
      <c r="C14017" s="5" t="s">
        <v>221</v>
      </c>
      <c r="D14017" s="3" t="s">
        <v>614</v>
      </c>
      <c r="E14017" s="3" t="s">
        <v>118</v>
      </c>
      <c r="F14017" s="7">
        <v>46018.17731447981</v>
      </c>
      <c r="G14017" s="3" t="s">
        <v>13425</v>
      </c>
    </row>
    <row r="14018">
      <c r="A14018" s="3" t="s">
        <v>29850</v>
      </c>
      <c r="B14018" s="3" t="s">
        <v>11999</v>
      </c>
      <c r="C14018" s="5" t="s">
        <v>614</v>
      </c>
      <c r="D14018" s="3" t="s">
        <v>206</v>
      </c>
      <c r="E14018" s="3" t="s">
        <v>100</v>
      </c>
      <c r="F14018" s="7">
        <v>46018.18078670204</v>
      </c>
      <c r="G14018" s="3" t="s">
        <v>13428</v>
      </c>
    </row>
    <row r="14019">
      <c r="A14019" s="3" t="s">
        <v>29851</v>
      </c>
      <c r="B14019" s="3" t="s">
        <v>11999</v>
      </c>
      <c r="C14019" s="5" t="s">
        <v>206</v>
      </c>
      <c r="D14019" s="3" t="s">
        <v>68</v>
      </c>
      <c r="E14019" s="3" t="s">
        <v>100</v>
      </c>
      <c r="F14019" s="7">
        <v>46018.18425892426</v>
      </c>
      <c r="G14019" s="3" t="s">
        <v>13431</v>
      </c>
    </row>
    <row r="14020">
      <c r="A14020" s="3" t="s">
        <v>29852</v>
      </c>
      <c r="B14020" s="3" t="s">
        <v>12002</v>
      </c>
      <c r="C14020" s="5" t="s">
        <v>45</v>
      </c>
      <c r="D14020" s="3" t="s">
        <v>221</v>
      </c>
      <c r="E14020" s="3" t="s">
        <v>326</v>
      </c>
      <c r="F14020" s="7">
        <v>46018.245017103014</v>
      </c>
      <c r="G14020" s="3" t="s">
        <v>16383</v>
      </c>
    </row>
    <row r="14021">
      <c r="A14021" s="3" t="s">
        <v>29853</v>
      </c>
      <c r="B14021" s="3" t="s">
        <v>12002</v>
      </c>
      <c r="C14021" s="5" t="s">
        <v>221</v>
      </c>
      <c r="D14021" s="3" t="s">
        <v>614</v>
      </c>
      <c r="E14021" s="3" t="s">
        <v>118</v>
      </c>
      <c r="F14021" s="7">
        <v>46018.24848932523</v>
      </c>
      <c r="G14021" s="3" t="s">
        <v>16385</v>
      </c>
    </row>
    <row r="14022">
      <c r="A14022" s="3" t="s">
        <v>29854</v>
      </c>
      <c r="B14022" s="3" t="s">
        <v>12002</v>
      </c>
      <c r="C14022" s="5" t="s">
        <v>614</v>
      </c>
      <c r="D14022" s="3" t="s">
        <v>206</v>
      </c>
      <c r="E14022" s="3" t="s">
        <v>100</v>
      </c>
      <c r="F14022" s="7">
        <v>46018.25196154746</v>
      </c>
      <c r="G14022" s="3" t="s">
        <v>16388</v>
      </c>
    </row>
    <row r="14023">
      <c r="A14023" s="3" t="s">
        <v>29855</v>
      </c>
      <c r="B14023" s="3" t="s">
        <v>12002</v>
      </c>
      <c r="C14023" s="5" t="s">
        <v>206</v>
      </c>
      <c r="D14023" s="3" t="s">
        <v>68</v>
      </c>
      <c r="E14023" s="3" t="s">
        <v>100</v>
      </c>
      <c r="F14023" s="7">
        <v>46018.25543376968</v>
      </c>
      <c r="G14023" s="3" t="s">
        <v>16391</v>
      </c>
    </row>
    <row r="14024">
      <c r="A14024" s="3" t="s">
        <v>29856</v>
      </c>
      <c r="B14024" s="3" t="s">
        <v>12005</v>
      </c>
      <c r="C14024" s="5" t="s">
        <v>45</v>
      </c>
      <c r="D14024" s="3" t="s">
        <v>221</v>
      </c>
      <c r="E14024" s="3" t="s">
        <v>159</v>
      </c>
      <c r="F14024" s="7">
        <v>46018.31619194843</v>
      </c>
      <c r="G14024" s="3" t="s">
        <v>8901</v>
      </c>
    </row>
    <row r="14025">
      <c r="A14025" s="3" t="s">
        <v>29857</v>
      </c>
      <c r="B14025" s="3" t="s">
        <v>12005</v>
      </c>
      <c r="C14025" s="5" t="s">
        <v>221</v>
      </c>
      <c r="D14025" s="3" t="s">
        <v>614</v>
      </c>
      <c r="E14025" s="3" t="s">
        <v>118</v>
      </c>
      <c r="F14025" s="7">
        <v>46018.319664170645</v>
      </c>
      <c r="G14025" s="3" t="s">
        <v>8904</v>
      </c>
    </row>
    <row r="14026">
      <c r="A14026" s="3" t="s">
        <v>29858</v>
      </c>
      <c r="B14026" s="3" t="s">
        <v>12005</v>
      </c>
      <c r="C14026" s="5" t="s">
        <v>614</v>
      </c>
      <c r="D14026" s="3" t="s">
        <v>206</v>
      </c>
      <c r="E14026" s="3" t="s">
        <v>100</v>
      </c>
      <c r="F14026" s="7">
        <v>46018.32313639287</v>
      </c>
      <c r="G14026" s="3" t="s">
        <v>8907</v>
      </c>
    </row>
    <row r="14027">
      <c r="A14027" s="3" t="s">
        <v>29859</v>
      </c>
      <c r="B14027" s="3" t="s">
        <v>12005</v>
      </c>
      <c r="C14027" s="5" t="s">
        <v>206</v>
      </c>
      <c r="D14027" s="3" t="s">
        <v>68</v>
      </c>
      <c r="E14027" s="3" t="s">
        <v>100</v>
      </c>
      <c r="F14027" s="7">
        <v>46018.32660861509</v>
      </c>
      <c r="G14027" s="3" t="s">
        <v>8910</v>
      </c>
    </row>
    <row r="14028">
      <c r="A14028" s="3" t="s">
        <v>29860</v>
      </c>
      <c r="B14028" s="3" t="s">
        <v>12007</v>
      </c>
      <c r="C14028" s="5" t="s">
        <v>45</v>
      </c>
      <c r="D14028" s="3" t="s">
        <v>221</v>
      </c>
      <c r="E14028" s="3" t="s">
        <v>380</v>
      </c>
      <c r="F14028" s="7">
        <v>46018.38736679384</v>
      </c>
      <c r="G14028" s="3" t="s">
        <v>3187</v>
      </c>
    </row>
    <row r="14029">
      <c r="A14029" s="3" t="s">
        <v>29861</v>
      </c>
      <c r="B14029" s="3" t="s">
        <v>12007</v>
      </c>
      <c r="C14029" s="5" t="s">
        <v>221</v>
      </c>
      <c r="D14029" s="3" t="s">
        <v>614</v>
      </c>
      <c r="E14029" s="3" t="s">
        <v>118</v>
      </c>
      <c r="F14029" s="7">
        <v>46018.39083901606</v>
      </c>
      <c r="G14029" s="3" t="s">
        <v>3190</v>
      </c>
    </row>
    <row r="14030">
      <c r="A14030" s="3" t="s">
        <v>29862</v>
      </c>
      <c r="B14030" s="3" t="s">
        <v>12007</v>
      </c>
      <c r="C14030" s="5" t="s">
        <v>614</v>
      </c>
      <c r="D14030" s="3" t="s">
        <v>206</v>
      </c>
      <c r="E14030" s="3" t="s">
        <v>100</v>
      </c>
      <c r="F14030" s="7">
        <v>46018.394311238284</v>
      </c>
      <c r="G14030" s="3" t="s">
        <v>3193</v>
      </c>
    </row>
    <row r="14031">
      <c r="A14031" s="3" t="s">
        <v>29863</v>
      </c>
      <c r="B14031" s="3" t="s">
        <v>12007</v>
      </c>
      <c r="C14031" s="5" t="s">
        <v>206</v>
      </c>
      <c r="D14031" s="3" t="s">
        <v>68</v>
      </c>
      <c r="E14031" s="3" t="s">
        <v>100</v>
      </c>
      <c r="F14031" s="7">
        <v>46018.3977834605</v>
      </c>
      <c r="G14031" s="3" t="s">
        <v>3196</v>
      </c>
    </row>
    <row r="14032">
      <c r="A14032" s="3" t="s">
        <v>29864</v>
      </c>
      <c r="B14032" s="3" t="s">
        <v>12009</v>
      </c>
      <c r="C14032" s="5" t="s">
        <v>45</v>
      </c>
      <c r="D14032" s="3" t="s">
        <v>221</v>
      </c>
      <c r="E14032" s="3" t="s">
        <v>455</v>
      </c>
      <c r="F14032" s="7">
        <v>46018.45854163926</v>
      </c>
      <c r="G14032" s="3" t="s">
        <v>21646</v>
      </c>
    </row>
    <row r="14033">
      <c r="A14033" s="3" t="s">
        <v>29865</v>
      </c>
      <c r="B14033" s="3" t="s">
        <v>12009</v>
      </c>
      <c r="C14033" s="5" t="s">
        <v>221</v>
      </c>
      <c r="D14033" s="3" t="s">
        <v>614</v>
      </c>
      <c r="E14033" s="3" t="s">
        <v>118</v>
      </c>
      <c r="F14033" s="7">
        <v>46018.46201386148</v>
      </c>
      <c r="G14033" s="3" t="s">
        <v>21649</v>
      </c>
    </row>
    <row r="14034">
      <c r="A14034" s="3" t="s">
        <v>29866</v>
      </c>
      <c r="B14034" s="3" t="s">
        <v>12009</v>
      </c>
      <c r="C14034" s="5" t="s">
        <v>614</v>
      </c>
      <c r="D14034" s="3" t="s">
        <v>206</v>
      </c>
      <c r="E14034" s="3" t="s">
        <v>100</v>
      </c>
      <c r="F14034" s="7">
        <v>46018.4654860837</v>
      </c>
      <c r="G14034" s="3" t="s">
        <v>21652</v>
      </c>
    </row>
    <row r="14035">
      <c r="A14035" s="3" t="s">
        <v>29867</v>
      </c>
      <c r="B14035" s="3" t="s">
        <v>12009</v>
      </c>
      <c r="C14035" s="5" t="s">
        <v>206</v>
      </c>
      <c r="D14035" s="3" t="s">
        <v>68</v>
      </c>
      <c r="E14035" s="3" t="s">
        <v>100</v>
      </c>
      <c r="F14035" s="7">
        <v>46018.46895830592</v>
      </c>
      <c r="G14035" s="3" t="s">
        <v>21655</v>
      </c>
    </row>
    <row r="14036">
      <c r="A14036" s="3" t="s">
        <v>29868</v>
      </c>
      <c r="B14036" s="3" t="s">
        <v>12012</v>
      </c>
      <c r="C14036" s="5" t="s">
        <v>45</v>
      </c>
      <c r="D14036" s="3" t="s">
        <v>221</v>
      </c>
      <c r="E14036" s="3" t="s">
        <v>632</v>
      </c>
      <c r="F14036" s="7">
        <v>46018.52971648467</v>
      </c>
      <c r="G14036" s="3" t="s">
        <v>11626</v>
      </c>
    </row>
    <row r="14037">
      <c r="A14037" s="3" t="s">
        <v>29869</v>
      </c>
      <c r="B14037" s="3" t="s">
        <v>12012</v>
      </c>
      <c r="C14037" s="5" t="s">
        <v>221</v>
      </c>
      <c r="D14037" s="3" t="s">
        <v>614</v>
      </c>
      <c r="E14037" s="3" t="s">
        <v>118</v>
      </c>
      <c r="F14037" s="7">
        <v>46018.53318870689</v>
      </c>
      <c r="G14037" s="3" t="s">
        <v>11629</v>
      </c>
    </row>
    <row r="14038">
      <c r="A14038" s="3" t="s">
        <v>29870</v>
      </c>
      <c r="B14038" s="3" t="s">
        <v>12012</v>
      </c>
      <c r="C14038" s="5" t="s">
        <v>614</v>
      </c>
      <c r="D14038" s="3" t="s">
        <v>206</v>
      </c>
      <c r="E14038" s="3" t="s">
        <v>100</v>
      </c>
      <c r="F14038" s="7">
        <v>46018.536660929116</v>
      </c>
      <c r="G14038" s="3" t="s">
        <v>11633</v>
      </c>
    </row>
    <row r="14039">
      <c r="A14039" s="3" t="s">
        <v>29871</v>
      </c>
      <c r="B14039" s="3" t="s">
        <v>12012</v>
      </c>
      <c r="C14039" s="5" t="s">
        <v>206</v>
      </c>
      <c r="D14039" s="3" t="s">
        <v>68</v>
      </c>
      <c r="E14039" s="3" t="s">
        <v>100</v>
      </c>
      <c r="F14039" s="7">
        <v>46018.540133151335</v>
      </c>
      <c r="G14039" s="3" t="s">
        <v>11636</v>
      </c>
    </row>
    <row r="14040">
      <c r="A14040" s="3" t="s">
        <v>29872</v>
      </c>
      <c r="B14040" s="3" t="s">
        <v>12015</v>
      </c>
      <c r="C14040" s="5" t="s">
        <v>45</v>
      </c>
      <c r="D14040" s="3" t="s">
        <v>221</v>
      </c>
      <c r="E14040" s="3" t="s">
        <v>344</v>
      </c>
      <c r="F14040" s="7">
        <v>46018.60089133008</v>
      </c>
      <c r="G14040" s="3" t="s">
        <v>11316</v>
      </c>
    </row>
    <row r="14041">
      <c r="A14041" s="3" t="s">
        <v>29873</v>
      </c>
      <c r="B14041" s="3" t="s">
        <v>12015</v>
      </c>
      <c r="C14041" s="5" t="s">
        <v>221</v>
      </c>
      <c r="D14041" s="3" t="s">
        <v>614</v>
      </c>
      <c r="E14041" s="3" t="s">
        <v>118</v>
      </c>
      <c r="F14041" s="7">
        <v>46018.6043635523</v>
      </c>
      <c r="G14041" s="3" t="s">
        <v>11319</v>
      </c>
    </row>
    <row r="14042">
      <c r="A14042" s="3" t="s">
        <v>29874</v>
      </c>
      <c r="B14042" s="3" t="s">
        <v>12015</v>
      </c>
      <c r="C14042" s="5" t="s">
        <v>614</v>
      </c>
      <c r="D14042" s="3" t="s">
        <v>206</v>
      </c>
      <c r="E14042" s="3" t="s">
        <v>100</v>
      </c>
      <c r="F14042" s="7">
        <v>46018.60783577453</v>
      </c>
      <c r="G14042" s="3" t="s">
        <v>11321</v>
      </c>
    </row>
    <row r="14043">
      <c r="A14043" s="3" t="s">
        <v>29875</v>
      </c>
      <c r="B14043" s="3" t="s">
        <v>12015</v>
      </c>
      <c r="C14043" s="5" t="s">
        <v>206</v>
      </c>
      <c r="D14043" s="3" t="s">
        <v>68</v>
      </c>
      <c r="E14043" s="3" t="s">
        <v>100</v>
      </c>
      <c r="F14043" s="7">
        <v>46018.61130799675</v>
      </c>
      <c r="G14043" s="3" t="s">
        <v>11324</v>
      </c>
    </row>
    <row r="14044">
      <c r="A14044" s="3" t="s">
        <v>29876</v>
      </c>
      <c r="B14044" s="3" t="s">
        <v>12017</v>
      </c>
      <c r="C14044" s="5" t="s">
        <v>45</v>
      </c>
      <c r="D14044" s="3" t="s">
        <v>221</v>
      </c>
      <c r="E14044" s="3" t="s">
        <v>747</v>
      </c>
      <c r="F14044" s="7">
        <v>46018.6720661755</v>
      </c>
      <c r="G14044" s="3" t="s">
        <v>16980</v>
      </c>
    </row>
    <row r="14045">
      <c r="A14045" s="3" t="s">
        <v>29877</v>
      </c>
      <c r="B14045" s="3" t="s">
        <v>12017</v>
      </c>
      <c r="C14045" s="5" t="s">
        <v>221</v>
      </c>
      <c r="D14045" s="3" t="s">
        <v>614</v>
      </c>
      <c r="E14045" s="3" t="s">
        <v>118</v>
      </c>
      <c r="F14045" s="7">
        <v>46018.67553839772</v>
      </c>
      <c r="G14045" s="3" t="s">
        <v>20304</v>
      </c>
    </row>
    <row r="14046">
      <c r="A14046" s="3" t="s">
        <v>29878</v>
      </c>
      <c r="B14046" s="3" t="s">
        <v>12017</v>
      </c>
      <c r="C14046" s="5" t="s">
        <v>614</v>
      </c>
      <c r="D14046" s="3" t="s">
        <v>206</v>
      </c>
      <c r="E14046" s="3" t="s">
        <v>100</v>
      </c>
      <c r="F14046" s="7">
        <v>46018.67901061995</v>
      </c>
      <c r="G14046" s="3" t="s">
        <v>20307</v>
      </c>
    </row>
    <row r="14047">
      <c r="A14047" s="3" t="s">
        <v>29879</v>
      </c>
      <c r="B14047" s="3" t="s">
        <v>12017</v>
      </c>
      <c r="C14047" s="5" t="s">
        <v>206</v>
      </c>
      <c r="D14047" s="3" t="s">
        <v>68</v>
      </c>
      <c r="E14047" s="3" t="s">
        <v>100</v>
      </c>
      <c r="F14047" s="7">
        <v>46018.68248284217</v>
      </c>
      <c r="G14047" s="3" t="s">
        <v>20310</v>
      </c>
    </row>
    <row r="14048">
      <c r="A14048" s="3" t="s">
        <v>29880</v>
      </c>
      <c r="B14048" s="3" t="s">
        <v>12019</v>
      </c>
      <c r="C14048" s="5" t="s">
        <v>45</v>
      </c>
      <c r="D14048" s="3" t="s">
        <v>221</v>
      </c>
      <c r="E14048" s="3" t="s">
        <v>326</v>
      </c>
      <c r="F14048" s="7">
        <v>46018.743241020915</v>
      </c>
      <c r="G14048" s="3" t="s">
        <v>3199</v>
      </c>
    </row>
    <row r="14049">
      <c r="A14049" s="3" t="s">
        <v>29881</v>
      </c>
      <c r="B14049" s="3" t="s">
        <v>12019</v>
      </c>
      <c r="C14049" s="5" t="s">
        <v>221</v>
      </c>
      <c r="D14049" s="3" t="s">
        <v>614</v>
      </c>
      <c r="E14049" s="3" t="s">
        <v>118</v>
      </c>
      <c r="F14049" s="7">
        <v>46018.746713243134</v>
      </c>
      <c r="G14049" s="3" t="s">
        <v>3202</v>
      </c>
    </row>
    <row r="14050">
      <c r="A14050" s="3" t="s">
        <v>29882</v>
      </c>
      <c r="B14050" s="3" t="s">
        <v>12019</v>
      </c>
      <c r="C14050" s="5" t="s">
        <v>614</v>
      </c>
      <c r="D14050" s="3" t="s">
        <v>206</v>
      </c>
      <c r="E14050" s="3" t="s">
        <v>100</v>
      </c>
      <c r="F14050" s="7">
        <v>46018.75018546536</v>
      </c>
      <c r="G14050" s="3" t="s">
        <v>3204</v>
      </c>
    </row>
    <row r="14051">
      <c r="A14051" s="3" t="s">
        <v>29883</v>
      </c>
      <c r="B14051" s="3" t="s">
        <v>12019</v>
      </c>
      <c r="C14051" s="5" t="s">
        <v>206</v>
      </c>
      <c r="D14051" s="3" t="s">
        <v>68</v>
      </c>
      <c r="E14051" s="3" t="s">
        <v>100</v>
      </c>
      <c r="F14051" s="7">
        <v>46018.75365768758</v>
      </c>
      <c r="G14051" s="3" t="s">
        <v>3207</v>
      </c>
    </row>
    <row r="14052">
      <c r="A14052" s="3" t="s">
        <v>29884</v>
      </c>
      <c r="B14052" s="3" t="s">
        <v>12022</v>
      </c>
      <c r="C14052" s="5" t="s">
        <v>45</v>
      </c>
      <c r="D14052" s="3" t="s">
        <v>221</v>
      </c>
      <c r="E14052" s="3" t="s">
        <v>767</v>
      </c>
      <c r="F14052" s="7">
        <v>46018.81441586633</v>
      </c>
      <c r="G14052" s="3" t="s">
        <v>23958</v>
      </c>
    </row>
    <row r="14053">
      <c r="A14053" s="3" t="s">
        <v>29885</v>
      </c>
      <c r="B14053" s="3" t="s">
        <v>12022</v>
      </c>
      <c r="C14053" s="5" t="s">
        <v>221</v>
      </c>
      <c r="D14053" s="3" t="s">
        <v>614</v>
      </c>
      <c r="E14053" s="3" t="s">
        <v>118</v>
      </c>
      <c r="F14053" s="7">
        <v>46018.817888088546</v>
      </c>
      <c r="G14053" s="3" t="s">
        <v>23960</v>
      </c>
    </row>
    <row r="14054">
      <c r="A14054" s="3" t="s">
        <v>29886</v>
      </c>
      <c r="B14054" s="3" t="s">
        <v>12022</v>
      </c>
      <c r="C14054" s="5" t="s">
        <v>614</v>
      </c>
      <c r="D14054" s="3" t="s">
        <v>206</v>
      </c>
      <c r="E14054" s="3" t="s">
        <v>100</v>
      </c>
      <c r="F14054" s="7">
        <v>46018.82136031077</v>
      </c>
      <c r="G14054" s="3" t="s">
        <v>23962</v>
      </c>
    </row>
    <row r="14055">
      <c r="A14055" s="3" t="s">
        <v>29887</v>
      </c>
      <c r="B14055" s="3" t="s">
        <v>12022</v>
      </c>
      <c r="C14055" s="5" t="s">
        <v>206</v>
      </c>
      <c r="D14055" s="3" t="s">
        <v>68</v>
      </c>
      <c r="E14055" s="3" t="s">
        <v>100</v>
      </c>
      <c r="F14055" s="7">
        <v>46018.82483253299</v>
      </c>
      <c r="G14055" s="3" t="s">
        <v>23964</v>
      </c>
    </row>
    <row r="14056">
      <c r="A14056" s="3" t="s">
        <v>29888</v>
      </c>
      <c r="B14056" s="3" t="s">
        <v>12025</v>
      </c>
      <c r="C14056" s="5" t="s">
        <v>45</v>
      </c>
      <c r="D14056" s="3" t="s">
        <v>221</v>
      </c>
      <c r="E14056" s="3" t="s">
        <v>226</v>
      </c>
      <c r="F14056" s="7">
        <v>46018.88559071175</v>
      </c>
      <c r="G14056" s="3" t="s">
        <v>29889</v>
      </c>
    </row>
    <row r="14057">
      <c r="A14057" s="3" t="s">
        <v>29890</v>
      </c>
      <c r="B14057" s="3" t="s">
        <v>12025</v>
      </c>
      <c r="C14057" s="5" t="s">
        <v>221</v>
      </c>
      <c r="D14057" s="3" t="s">
        <v>614</v>
      </c>
      <c r="E14057" s="3" t="s">
        <v>118</v>
      </c>
      <c r="F14057" s="7">
        <v>46018.889062933966</v>
      </c>
      <c r="G14057" s="3" t="s">
        <v>29891</v>
      </c>
    </row>
    <row r="14058">
      <c r="A14058" s="3" t="s">
        <v>29892</v>
      </c>
      <c r="B14058" s="3" t="s">
        <v>12025</v>
      </c>
      <c r="C14058" s="5" t="s">
        <v>614</v>
      </c>
      <c r="D14058" s="3" t="s">
        <v>206</v>
      </c>
      <c r="E14058" s="3" t="s">
        <v>100</v>
      </c>
      <c r="F14058" s="7">
        <v>46018.89253515619</v>
      </c>
      <c r="G14058" s="3" t="s">
        <v>29893</v>
      </c>
    </row>
    <row r="14059">
      <c r="A14059" s="3" t="s">
        <v>29894</v>
      </c>
      <c r="B14059" s="3" t="s">
        <v>12025</v>
      </c>
      <c r="C14059" s="5" t="s">
        <v>206</v>
      </c>
      <c r="D14059" s="3" t="s">
        <v>68</v>
      </c>
      <c r="E14059" s="3" t="s">
        <v>100</v>
      </c>
      <c r="F14059" s="7">
        <v>46018.89600737841</v>
      </c>
      <c r="G14059" s="3" t="s">
        <v>29895</v>
      </c>
    </row>
    <row r="14060">
      <c r="A14060" s="3" t="s">
        <v>29896</v>
      </c>
      <c r="B14060" s="3" t="s">
        <v>12026</v>
      </c>
      <c r="C14060" s="5" t="s">
        <v>45</v>
      </c>
      <c r="D14060" s="3" t="s">
        <v>221</v>
      </c>
      <c r="E14060" s="3" t="s">
        <v>236</v>
      </c>
      <c r="F14060" s="7">
        <v>46018.95676555717</v>
      </c>
      <c r="G14060" s="3" t="s">
        <v>2770</v>
      </c>
    </row>
    <row r="14061">
      <c r="A14061" s="3" t="s">
        <v>29897</v>
      </c>
      <c r="B14061" s="3" t="s">
        <v>12026</v>
      </c>
      <c r="C14061" s="5" t="s">
        <v>221</v>
      </c>
      <c r="D14061" s="3" t="s">
        <v>181</v>
      </c>
      <c r="E14061" s="3" t="s">
        <v>118</v>
      </c>
      <c r="F14061" s="7">
        <v>46018.960237779385</v>
      </c>
      <c r="G14061" s="3" t="s">
        <v>2774</v>
      </c>
    </row>
    <row r="14062">
      <c r="A14062" s="3" t="s">
        <v>29898</v>
      </c>
      <c r="B14062" s="3" t="s">
        <v>12029</v>
      </c>
      <c r="C14062" s="5" t="s">
        <v>45</v>
      </c>
      <c r="D14062" s="3" t="s">
        <v>221</v>
      </c>
      <c r="E14062" s="3" t="s">
        <v>672</v>
      </c>
      <c r="F14062" s="7">
        <v>46019.02794040257</v>
      </c>
      <c r="G14062" s="3" t="s">
        <v>29899</v>
      </c>
    </row>
    <row r="14063">
      <c r="A14063" s="3" t="s">
        <v>29900</v>
      </c>
      <c r="B14063" s="3" t="s">
        <v>12029</v>
      </c>
      <c r="C14063" s="5" t="s">
        <v>221</v>
      </c>
      <c r="D14063" s="3" t="s">
        <v>614</v>
      </c>
      <c r="E14063" s="3" t="s">
        <v>118</v>
      </c>
      <c r="F14063" s="7">
        <v>46019.03141262479</v>
      </c>
      <c r="G14063" s="3" t="s">
        <v>29901</v>
      </c>
    </row>
    <row r="14064">
      <c r="A14064" s="3" t="s">
        <v>29902</v>
      </c>
      <c r="B14064" s="3" t="s">
        <v>12029</v>
      </c>
      <c r="C14064" s="5" t="s">
        <v>614</v>
      </c>
      <c r="D14064" s="3" t="s">
        <v>206</v>
      </c>
      <c r="E14064" s="3" t="s">
        <v>100</v>
      </c>
      <c r="F14064" s="7">
        <v>46019.03488484702</v>
      </c>
      <c r="G14064" s="3" t="s">
        <v>29903</v>
      </c>
    </row>
    <row r="14065">
      <c r="A14065" s="3" t="s">
        <v>29904</v>
      </c>
      <c r="B14065" s="3" t="s">
        <v>12029</v>
      </c>
      <c r="C14065" s="5" t="s">
        <v>206</v>
      </c>
      <c r="D14065" s="3" t="s">
        <v>68</v>
      </c>
      <c r="E14065" s="3" t="s">
        <v>100</v>
      </c>
      <c r="F14065" s="7">
        <v>46019.038357069236</v>
      </c>
      <c r="G14065" s="3" t="s">
        <v>29905</v>
      </c>
    </row>
    <row r="14066">
      <c r="A14066" s="3" t="s">
        <v>29906</v>
      </c>
      <c r="B14066" s="3" t="s">
        <v>12034</v>
      </c>
      <c r="C14066" s="5" t="s">
        <v>45</v>
      </c>
      <c r="D14066" s="3" t="s">
        <v>221</v>
      </c>
      <c r="E14066" s="3" t="s">
        <v>822</v>
      </c>
      <c r="F14066" s="7">
        <v>46019.09911524799</v>
      </c>
      <c r="G14066" s="3" t="s">
        <v>28491</v>
      </c>
    </row>
    <row r="14067">
      <c r="A14067" s="3" t="s">
        <v>29907</v>
      </c>
      <c r="B14067" s="3" t="s">
        <v>12034</v>
      </c>
      <c r="C14067" s="5" t="s">
        <v>221</v>
      </c>
      <c r="D14067" s="3" t="s">
        <v>181</v>
      </c>
      <c r="E14067" s="3" t="s">
        <v>118</v>
      </c>
      <c r="F14067" s="7">
        <v>46019.10258747021</v>
      </c>
      <c r="G14067" s="3" t="s">
        <v>29908</v>
      </c>
    </row>
    <row r="14068">
      <c r="A14068" s="3" t="s">
        <v>29909</v>
      </c>
      <c r="B14068" s="3" t="s">
        <v>12036</v>
      </c>
      <c r="C14068" s="5" t="s">
        <v>45</v>
      </c>
      <c r="D14068" s="3" t="s">
        <v>221</v>
      </c>
      <c r="E14068" s="3" t="s">
        <v>1021</v>
      </c>
      <c r="F14068" s="7">
        <v>46019.17029009341</v>
      </c>
      <c r="G14068" s="3" t="s">
        <v>11571</v>
      </c>
    </row>
    <row r="14069">
      <c r="A14069" s="3" t="s">
        <v>29910</v>
      </c>
      <c r="B14069" s="3" t="s">
        <v>12036</v>
      </c>
      <c r="C14069" s="5" t="s">
        <v>221</v>
      </c>
      <c r="D14069" s="3" t="s">
        <v>614</v>
      </c>
      <c r="E14069" s="3" t="s">
        <v>118</v>
      </c>
      <c r="F14069" s="7">
        <v>46019.17376231563</v>
      </c>
      <c r="G14069" s="3" t="s">
        <v>27354</v>
      </c>
    </row>
    <row r="14070">
      <c r="A14070" s="3" t="s">
        <v>29911</v>
      </c>
      <c r="B14070" s="3" t="s">
        <v>12036</v>
      </c>
      <c r="C14070" s="5" t="s">
        <v>614</v>
      </c>
      <c r="D14070" s="3" t="s">
        <v>206</v>
      </c>
      <c r="E14070" s="3" t="s">
        <v>100</v>
      </c>
      <c r="F14070" s="7">
        <v>46019.177234537856</v>
      </c>
      <c r="G14070" s="3" t="s">
        <v>27356</v>
      </c>
    </row>
    <row r="14071">
      <c r="A14071" s="3" t="s">
        <v>29912</v>
      </c>
      <c r="B14071" s="3" t="s">
        <v>12036</v>
      </c>
      <c r="C14071" s="5" t="s">
        <v>206</v>
      </c>
      <c r="D14071" s="3" t="s">
        <v>68</v>
      </c>
      <c r="E14071" s="3" t="s">
        <v>100</v>
      </c>
      <c r="F14071" s="7">
        <v>46019.180706760075</v>
      </c>
      <c r="G14071" s="3" t="s">
        <v>27358</v>
      </c>
    </row>
    <row r="14072">
      <c r="A14072" s="3" t="s">
        <v>29913</v>
      </c>
      <c r="B14072" s="3" t="s">
        <v>12038</v>
      </c>
      <c r="C14072" s="5" t="s">
        <v>45</v>
      </c>
      <c r="D14072" s="3" t="s">
        <v>221</v>
      </c>
      <c r="E14072" s="3" t="s">
        <v>527</v>
      </c>
      <c r="F14072" s="7">
        <v>46019.24146493882</v>
      </c>
      <c r="G14072" s="3" t="s">
        <v>29049</v>
      </c>
    </row>
    <row r="14073">
      <c r="A14073" s="3" t="s">
        <v>29914</v>
      </c>
      <c r="B14073" s="3" t="s">
        <v>12038</v>
      </c>
      <c r="C14073" s="5" t="s">
        <v>221</v>
      </c>
      <c r="D14073" s="3" t="s">
        <v>614</v>
      </c>
      <c r="E14073" s="3" t="s">
        <v>118</v>
      </c>
      <c r="F14073" s="7">
        <v>46019.24493716104</v>
      </c>
      <c r="G14073" s="3" t="s">
        <v>29051</v>
      </c>
    </row>
    <row r="14074">
      <c r="A14074" s="3" t="s">
        <v>29915</v>
      </c>
      <c r="B14074" s="3" t="s">
        <v>12038</v>
      </c>
      <c r="C14074" s="5" t="s">
        <v>614</v>
      </c>
      <c r="D14074" s="3" t="s">
        <v>206</v>
      </c>
      <c r="E14074" s="3" t="s">
        <v>100</v>
      </c>
      <c r="F14074" s="7">
        <v>46019.24840938327</v>
      </c>
      <c r="G14074" s="3" t="s">
        <v>29053</v>
      </c>
    </row>
    <row r="14075">
      <c r="A14075" s="3" t="s">
        <v>29916</v>
      </c>
      <c r="B14075" s="3" t="s">
        <v>12038</v>
      </c>
      <c r="C14075" s="5" t="s">
        <v>206</v>
      </c>
      <c r="D14075" s="3" t="s">
        <v>68</v>
      </c>
      <c r="E14075" s="3" t="s">
        <v>100</v>
      </c>
      <c r="F14075" s="7">
        <v>46019.25188160549</v>
      </c>
      <c r="G14075" s="3" t="s">
        <v>29055</v>
      </c>
    </row>
    <row r="14076">
      <c r="A14076" s="3" t="s">
        <v>29917</v>
      </c>
      <c r="B14076" s="3" t="s">
        <v>12040</v>
      </c>
      <c r="C14076" s="5" t="s">
        <v>45</v>
      </c>
      <c r="D14076" s="3" t="s">
        <v>221</v>
      </c>
      <c r="E14076" s="3" t="s">
        <v>785</v>
      </c>
      <c r="F14076" s="7">
        <v>46019.312639784235</v>
      </c>
      <c r="G14076" s="3" t="s">
        <v>3210</v>
      </c>
    </row>
    <row r="14077">
      <c r="A14077" s="3" t="s">
        <v>29918</v>
      </c>
      <c r="B14077" s="3" t="s">
        <v>12040</v>
      </c>
      <c r="C14077" s="5" t="s">
        <v>221</v>
      </c>
      <c r="D14077" s="3" t="s">
        <v>614</v>
      </c>
      <c r="E14077" s="3" t="s">
        <v>118</v>
      </c>
      <c r="F14077" s="7">
        <v>46019.316112006454</v>
      </c>
      <c r="G14077" s="3" t="s">
        <v>3213</v>
      </c>
    </row>
    <row r="14078">
      <c r="A14078" s="3" t="s">
        <v>29919</v>
      </c>
      <c r="B14078" s="3" t="s">
        <v>12040</v>
      </c>
      <c r="C14078" s="5" t="s">
        <v>614</v>
      </c>
      <c r="D14078" s="3" t="s">
        <v>206</v>
      </c>
      <c r="E14078" s="3" t="s">
        <v>100</v>
      </c>
      <c r="F14078" s="7">
        <v>46019.31958422868</v>
      </c>
      <c r="G14078" s="3" t="s">
        <v>3215</v>
      </c>
    </row>
    <row r="14079">
      <c r="A14079" s="3" t="s">
        <v>29920</v>
      </c>
      <c r="B14079" s="3" t="s">
        <v>12040</v>
      </c>
      <c r="C14079" s="5" t="s">
        <v>206</v>
      </c>
      <c r="D14079" s="3" t="s">
        <v>68</v>
      </c>
      <c r="E14079" s="3" t="s">
        <v>100</v>
      </c>
      <c r="F14079" s="7">
        <v>46019.3230564509</v>
      </c>
      <c r="G14079" s="3" t="s">
        <v>3218</v>
      </c>
    </row>
    <row r="14080">
      <c r="A14080" s="3" t="s">
        <v>29921</v>
      </c>
      <c r="B14080" s="3" t="s">
        <v>12043</v>
      </c>
      <c r="C14080" s="5" t="s">
        <v>45</v>
      </c>
      <c r="D14080" s="3" t="s">
        <v>221</v>
      </c>
      <c r="E14080" s="3" t="s">
        <v>1026</v>
      </c>
      <c r="F14080" s="7">
        <v>46019.383814629655</v>
      </c>
      <c r="G14080" s="3" t="s">
        <v>12301</v>
      </c>
    </row>
    <row r="14081">
      <c r="A14081" s="3" t="s">
        <v>29922</v>
      </c>
      <c r="B14081" s="3" t="s">
        <v>12043</v>
      </c>
      <c r="C14081" s="5" t="s">
        <v>221</v>
      </c>
      <c r="D14081" s="3" t="s">
        <v>614</v>
      </c>
      <c r="E14081" s="3" t="s">
        <v>118</v>
      </c>
      <c r="F14081" s="7">
        <v>46019.387286851874</v>
      </c>
      <c r="G14081" s="3" t="s">
        <v>12304</v>
      </c>
    </row>
    <row r="14082">
      <c r="A14082" s="3" t="s">
        <v>29923</v>
      </c>
      <c r="B14082" s="3" t="s">
        <v>12043</v>
      </c>
      <c r="C14082" s="5" t="s">
        <v>614</v>
      </c>
      <c r="D14082" s="3" t="s">
        <v>206</v>
      </c>
      <c r="E14082" s="3" t="s">
        <v>100</v>
      </c>
      <c r="F14082" s="7">
        <v>46019.3907590741</v>
      </c>
      <c r="G14082" s="3" t="s">
        <v>12307</v>
      </c>
    </row>
    <row r="14083">
      <c r="A14083" s="3" t="s">
        <v>29924</v>
      </c>
      <c r="B14083" s="3" t="s">
        <v>12043</v>
      </c>
      <c r="C14083" s="5" t="s">
        <v>206</v>
      </c>
      <c r="D14083" s="3" t="s">
        <v>68</v>
      </c>
      <c r="E14083" s="3" t="s">
        <v>100</v>
      </c>
      <c r="F14083" s="7">
        <v>46019.39423129632</v>
      </c>
      <c r="G14083" s="3" t="s">
        <v>12310</v>
      </c>
    </row>
    <row r="14084">
      <c r="A14084" s="3" t="s">
        <v>29925</v>
      </c>
      <c r="B14084" s="3" t="s">
        <v>12047</v>
      </c>
      <c r="C14084" s="5" t="s">
        <v>45</v>
      </c>
      <c r="D14084" s="3" t="s">
        <v>221</v>
      </c>
      <c r="E14084" s="3" t="s">
        <v>652</v>
      </c>
      <c r="F14084" s="7">
        <v>46019.45498947507</v>
      </c>
      <c r="G14084" s="3" t="s">
        <v>24498</v>
      </c>
    </row>
    <row r="14085">
      <c r="A14085" s="3" t="s">
        <v>29926</v>
      </c>
      <c r="B14085" s="3" t="s">
        <v>12047</v>
      </c>
      <c r="C14085" s="5" t="s">
        <v>221</v>
      </c>
      <c r="D14085" s="3" t="s">
        <v>614</v>
      </c>
      <c r="E14085" s="3" t="s">
        <v>118</v>
      </c>
      <c r="F14085" s="7">
        <v>46019.458461697286</v>
      </c>
      <c r="G14085" s="3" t="s">
        <v>24500</v>
      </c>
    </row>
    <row r="14086">
      <c r="A14086" s="3" t="s">
        <v>29927</v>
      </c>
      <c r="B14086" s="3" t="s">
        <v>12047</v>
      </c>
      <c r="C14086" s="5" t="s">
        <v>614</v>
      </c>
      <c r="D14086" s="3" t="s">
        <v>206</v>
      </c>
      <c r="E14086" s="3" t="s">
        <v>100</v>
      </c>
      <c r="F14086" s="7">
        <v>46019.46193391951</v>
      </c>
      <c r="G14086" s="3" t="s">
        <v>24502</v>
      </c>
    </row>
    <row r="14087">
      <c r="A14087" s="3" t="s">
        <v>29928</v>
      </c>
      <c r="B14087" s="3" t="s">
        <v>12047</v>
      </c>
      <c r="C14087" s="5" t="s">
        <v>206</v>
      </c>
      <c r="D14087" s="3" t="s">
        <v>68</v>
      </c>
      <c r="E14087" s="3" t="s">
        <v>100</v>
      </c>
      <c r="F14087" s="7">
        <v>46019.46540614173</v>
      </c>
      <c r="G14087" s="3" t="s">
        <v>24504</v>
      </c>
    </row>
    <row r="14088">
      <c r="A14088" s="3" t="s">
        <v>29929</v>
      </c>
      <c r="B14088" s="3" t="s">
        <v>12050</v>
      </c>
      <c r="C14088" s="5" t="s">
        <v>45</v>
      </c>
      <c r="D14088" s="3" t="s">
        <v>221</v>
      </c>
      <c r="E14088" s="3" t="s">
        <v>760</v>
      </c>
      <c r="F14088" s="7">
        <v>46019.52616432048</v>
      </c>
      <c r="G14088" s="3" t="s">
        <v>3221</v>
      </c>
    </row>
    <row r="14089">
      <c r="A14089" s="3" t="s">
        <v>29930</v>
      </c>
      <c r="B14089" s="3" t="s">
        <v>12050</v>
      </c>
      <c r="C14089" s="5" t="s">
        <v>221</v>
      </c>
      <c r="D14089" s="3" t="s">
        <v>614</v>
      </c>
      <c r="E14089" s="3" t="s">
        <v>118</v>
      </c>
      <c r="F14089" s="7">
        <v>46019.5296365427</v>
      </c>
      <c r="G14089" s="3" t="s">
        <v>3224</v>
      </c>
    </row>
    <row r="14090">
      <c r="A14090" s="3" t="s">
        <v>29931</v>
      </c>
      <c r="B14090" s="3" t="s">
        <v>12050</v>
      </c>
      <c r="C14090" s="5" t="s">
        <v>614</v>
      </c>
      <c r="D14090" s="3" t="s">
        <v>206</v>
      </c>
      <c r="E14090" s="3" t="s">
        <v>100</v>
      </c>
      <c r="F14090" s="7">
        <v>46019.533108764925</v>
      </c>
      <c r="G14090" s="3" t="s">
        <v>3227</v>
      </c>
    </row>
    <row r="14091">
      <c r="A14091" s="3" t="s">
        <v>29932</v>
      </c>
      <c r="B14091" s="3" t="s">
        <v>12050</v>
      </c>
      <c r="C14091" s="5" t="s">
        <v>206</v>
      </c>
      <c r="D14091" s="3" t="s">
        <v>68</v>
      </c>
      <c r="E14091" s="3" t="s">
        <v>100</v>
      </c>
      <c r="F14091" s="7">
        <v>46019.536580987144</v>
      </c>
      <c r="G14091" s="3" t="s">
        <v>3230</v>
      </c>
    </row>
    <row r="14092">
      <c r="A14092" s="3" t="s">
        <v>29933</v>
      </c>
      <c r="B14092" s="3" t="s">
        <v>12053</v>
      </c>
      <c r="C14092" s="5" t="s">
        <v>45</v>
      </c>
      <c r="D14092" s="3" t="s">
        <v>221</v>
      </c>
      <c r="E14092" s="3" t="s">
        <v>485</v>
      </c>
      <c r="F14092" s="7">
        <v>46019.5973391659</v>
      </c>
      <c r="G14092" s="3" t="s">
        <v>15182</v>
      </c>
    </row>
    <row r="14093">
      <c r="A14093" s="3" t="s">
        <v>29934</v>
      </c>
      <c r="B14093" s="3" t="s">
        <v>12053</v>
      </c>
      <c r="C14093" s="5" t="s">
        <v>221</v>
      </c>
      <c r="D14093" s="3" t="s">
        <v>614</v>
      </c>
      <c r="E14093" s="3" t="s">
        <v>118</v>
      </c>
      <c r="F14093" s="7">
        <v>46019.60081138812</v>
      </c>
      <c r="G14093" s="3" t="s">
        <v>15185</v>
      </c>
    </row>
    <row r="14094">
      <c r="A14094" s="3" t="s">
        <v>29935</v>
      </c>
      <c r="B14094" s="3" t="s">
        <v>12053</v>
      </c>
      <c r="C14094" s="5" t="s">
        <v>614</v>
      </c>
      <c r="D14094" s="3" t="s">
        <v>206</v>
      </c>
      <c r="E14094" s="3" t="s">
        <v>100</v>
      </c>
      <c r="F14094" s="7">
        <v>46019.604283610344</v>
      </c>
      <c r="G14094" s="3" t="s">
        <v>15189</v>
      </c>
    </row>
    <row r="14095">
      <c r="A14095" s="3" t="s">
        <v>29936</v>
      </c>
      <c r="B14095" s="3" t="s">
        <v>12053</v>
      </c>
      <c r="C14095" s="5" t="s">
        <v>206</v>
      </c>
      <c r="D14095" s="3" t="s">
        <v>68</v>
      </c>
      <c r="E14095" s="3" t="s">
        <v>100</v>
      </c>
      <c r="F14095" s="7">
        <v>46019.60775583256</v>
      </c>
      <c r="G14095" s="3" t="s">
        <v>15192</v>
      </c>
    </row>
    <row r="14096">
      <c r="A14096" s="3" t="s">
        <v>29937</v>
      </c>
      <c r="B14096" s="3" t="s">
        <v>12056</v>
      </c>
      <c r="C14096" s="5" t="s">
        <v>45</v>
      </c>
      <c r="D14096" s="3" t="s">
        <v>221</v>
      </c>
      <c r="E14096" s="3" t="s">
        <v>330</v>
      </c>
      <c r="F14096" s="7">
        <v>46019.66851401131</v>
      </c>
      <c r="G14096" s="3" t="s">
        <v>3236</v>
      </c>
    </row>
    <row r="14097">
      <c r="A14097" s="3" t="s">
        <v>29938</v>
      </c>
      <c r="B14097" s="3" t="s">
        <v>12056</v>
      </c>
      <c r="C14097" s="5" t="s">
        <v>221</v>
      </c>
      <c r="D14097" s="3" t="s">
        <v>614</v>
      </c>
      <c r="E14097" s="3" t="s">
        <v>118</v>
      </c>
      <c r="F14097" s="7">
        <v>46019.67198623353</v>
      </c>
      <c r="G14097" s="3" t="s">
        <v>3239</v>
      </c>
    </row>
    <row r="14098">
      <c r="A14098" s="3" t="s">
        <v>29939</v>
      </c>
      <c r="B14098" s="3" t="s">
        <v>12056</v>
      </c>
      <c r="C14098" s="5" t="s">
        <v>614</v>
      </c>
      <c r="D14098" s="3" t="s">
        <v>206</v>
      </c>
      <c r="E14098" s="3" t="s">
        <v>100</v>
      </c>
      <c r="F14098" s="7">
        <v>46019.67545845576</v>
      </c>
      <c r="G14098" s="3" t="s">
        <v>3242</v>
      </c>
    </row>
    <row r="14099">
      <c r="A14099" s="3" t="s">
        <v>29940</v>
      </c>
      <c r="B14099" s="3" t="s">
        <v>12056</v>
      </c>
      <c r="C14099" s="5" t="s">
        <v>206</v>
      </c>
      <c r="D14099" s="3" t="s">
        <v>68</v>
      </c>
      <c r="E14099" s="3" t="s">
        <v>100</v>
      </c>
      <c r="F14099" s="7">
        <v>46019.678930677976</v>
      </c>
      <c r="G14099" s="3" t="s">
        <v>3245</v>
      </c>
    </row>
    <row r="14100">
      <c r="A14100" s="3" t="s">
        <v>29941</v>
      </c>
      <c r="B14100" s="3" t="s">
        <v>12060</v>
      </c>
      <c r="C14100" s="5" t="s">
        <v>45</v>
      </c>
      <c r="D14100" s="3" t="s">
        <v>221</v>
      </c>
      <c r="E14100" s="3" t="s">
        <v>330</v>
      </c>
      <c r="F14100" s="7">
        <v>46019.739688856724</v>
      </c>
      <c r="G14100" s="3" t="s">
        <v>3582</v>
      </c>
    </row>
    <row r="14101">
      <c r="A14101" s="3" t="s">
        <v>29942</v>
      </c>
      <c r="B14101" s="3" t="s">
        <v>12060</v>
      </c>
      <c r="C14101" s="5" t="s">
        <v>221</v>
      </c>
      <c r="D14101" s="3" t="s">
        <v>181</v>
      </c>
      <c r="E14101" s="3" t="s">
        <v>118</v>
      </c>
      <c r="F14101" s="7">
        <v>46019.74316107894</v>
      </c>
      <c r="G14101" s="3" t="s">
        <v>29943</v>
      </c>
    </row>
    <row r="14102">
      <c r="A14102" s="3" t="s">
        <v>29944</v>
      </c>
      <c r="B14102" s="3" t="s">
        <v>12064</v>
      </c>
      <c r="C14102" s="5" t="s">
        <v>45</v>
      </c>
      <c r="D14102" s="3" t="s">
        <v>221</v>
      </c>
      <c r="E14102" s="3" t="s">
        <v>491</v>
      </c>
      <c r="F14102" s="7">
        <v>46019.81086370214</v>
      </c>
      <c r="G14102" s="3" t="s">
        <v>9670</v>
      </c>
    </row>
    <row r="14103">
      <c r="A14103" s="3" t="s">
        <v>29945</v>
      </c>
      <c r="B14103" s="3" t="s">
        <v>12064</v>
      </c>
      <c r="C14103" s="5" t="s">
        <v>221</v>
      </c>
      <c r="D14103" s="3" t="s">
        <v>614</v>
      </c>
      <c r="E14103" s="3" t="s">
        <v>118</v>
      </c>
      <c r="F14103" s="7">
        <v>46019.81433592436</v>
      </c>
      <c r="G14103" s="3" t="s">
        <v>9674</v>
      </c>
    </row>
    <row r="14104">
      <c r="A14104" s="3" t="s">
        <v>29946</v>
      </c>
      <c r="B14104" s="3" t="s">
        <v>12064</v>
      </c>
      <c r="C14104" s="5" t="s">
        <v>614</v>
      </c>
      <c r="D14104" s="3" t="s">
        <v>206</v>
      </c>
      <c r="E14104" s="3" t="s">
        <v>100</v>
      </c>
      <c r="F14104" s="7">
        <v>46019.81780814659</v>
      </c>
      <c r="G14104" s="3" t="s">
        <v>9677</v>
      </c>
    </row>
    <row r="14105">
      <c r="A14105" s="3" t="s">
        <v>29947</v>
      </c>
      <c r="B14105" s="3" t="s">
        <v>12064</v>
      </c>
      <c r="C14105" s="5" t="s">
        <v>206</v>
      </c>
      <c r="D14105" s="3" t="s">
        <v>68</v>
      </c>
      <c r="E14105" s="3" t="s">
        <v>100</v>
      </c>
      <c r="F14105" s="7">
        <v>46019.82128036881</v>
      </c>
      <c r="G14105" s="3" t="s">
        <v>9680</v>
      </c>
    </row>
    <row r="14106">
      <c r="A14106" s="3" t="s">
        <v>29948</v>
      </c>
      <c r="B14106" s="3" t="s">
        <v>12067</v>
      </c>
      <c r="C14106" s="5" t="s">
        <v>45</v>
      </c>
      <c r="D14106" s="3" t="s">
        <v>221</v>
      </c>
      <c r="E14106" s="3" t="s">
        <v>475</v>
      </c>
      <c r="F14106" s="7">
        <v>46019.882038547556</v>
      </c>
      <c r="G14106" s="3" t="s">
        <v>17074</v>
      </c>
    </row>
    <row r="14107">
      <c r="A14107" s="3" t="s">
        <v>29949</v>
      </c>
      <c r="B14107" s="3" t="s">
        <v>12067</v>
      </c>
      <c r="C14107" s="5" t="s">
        <v>221</v>
      </c>
      <c r="D14107" s="3" t="s">
        <v>614</v>
      </c>
      <c r="E14107" s="3" t="s">
        <v>118</v>
      </c>
      <c r="F14107" s="7">
        <v>46019.885510769775</v>
      </c>
      <c r="G14107" s="3" t="s">
        <v>17077</v>
      </c>
    </row>
    <row r="14108">
      <c r="A14108" s="3" t="s">
        <v>29950</v>
      </c>
      <c r="B14108" s="3" t="s">
        <v>12067</v>
      </c>
      <c r="C14108" s="5" t="s">
        <v>614</v>
      </c>
      <c r="D14108" s="3" t="s">
        <v>206</v>
      </c>
      <c r="E14108" s="3" t="s">
        <v>100</v>
      </c>
      <c r="F14108" s="7">
        <v>46019.888982992</v>
      </c>
      <c r="G14108" s="3" t="s">
        <v>17080</v>
      </c>
    </row>
    <row r="14109">
      <c r="A14109" s="3" t="s">
        <v>29951</v>
      </c>
      <c r="B14109" s="3" t="s">
        <v>12067</v>
      </c>
      <c r="C14109" s="5" t="s">
        <v>206</v>
      </c>
      <c r="D14109" s="3" t="s">
        <v>68</v>
      </c>
      <c r="E14109" s="3" t="s">
        <v>100</v>
      </c>
      <c r="F14109" s="7">
        <v>46019.89245521422</v>
      </c>
      <c r="G14109" s="3" t="s">
        <v>17082</v>
      </c>
    </row>
    <row r="14110">
      <c r="A14110" s="3" t="s">
        <v>29952</v>
      </c>
      <c r="B14110" s="3" t="s">
        <v>12070</v>
      </c>
      <c r="C14110" s="5" t="s">
        <v>45</v>
      </c>
      <c r="D14110" s="3" t="s">
        <v>221</v>
      </c>
      <c r="E14110" s="3" t="s">
        <v>151</v>
      </c>
      <c r="F14110" s="7">
        <v>46019.95321339297</v>
      </c>
      <c r="G14110" s="3" t="s">
        <v>3248</v>
      </c>
    </row>
    <row r="14111">
      <c r="A14111" s="3" t="s">
        <v>29953</v>
      </c>
      <c r="B14111" s="3" t="s">
        <v>12070</v>
      </c>
      <c r="C14111" s="5" t="s">
        <v>221</v>
      </c>
      <c r="D14111" s="3" t="s">
        <v>614</v>
      </c>
      <c r="E14111" s="3" t="s">
        <v>118</v>
      </c>
      <c r="F14111" s="7">
        <v>46019.95668561519</v>
      </c>
      <c r="G14111" s="3" t="s">
        <v>3251</v>
      </c>
    </row>
    <row r="14112">
      <c r="A14112" s="3" t="s">
        <v>29954</v>
      </c>
      <c r="B14112" s="3" t="s">
        <v>12070</v>
      </c>
      <c r="C14112" s="5" t="s">
        <v>614</v>
      </c>
      <c r="D14112" s="3" t="s">
        <v>206</v>
      </c>
      <c r="E14112" s="3" t="s">
        <v>100</v>
      </c>
      <c r="F14112" s="7">
        <v>46019.96015783741</v>
      </c>
      <c r="G14112" s="3" t="s">
        <v>3254</v>
      </c>
    </row>
    <row r="14113">
      <c r="A14113" s="3" t="s">
        <v>29955</v>
      </c>
      <c r="B14113" s="3" t="s">
        <v>12070</v>
      </c>
      <c r="C14113" s="5" t="s">
        <v>206</v>
      </c>
      <c r="D14113" s="3" t="s">
        <v>68</v>
      </c>
      <c r="E14113" s="3" t="s">
        <v>100</v>
      </c>
      <c r="F14113" s="7">
        <v>46019.96363005963</v>
      </c>
      <c r="G14113" s="3" t="s">
        <v>3257</v>
      </c>
    </row>
    <row r="14114">
      <c r="A14114" s="3" t="s">
        <v>29956</v>
      </c>
      <c r="B14114" s="3" t="s">
        <v>12073</v>
      </c>
      <c r="C14114" s="5" t="s">
        <v>45</v>
      </c>
      <c r="D14114" s="3" t="s">
        <v>221</v>
      </c>
      <c r="E14114" s="3" t="s">
        <v>414</v>
      </c>
      <c r="F14114" s="7">
        <v>46020.02438823839</v>
      </c>
      <c r="G14114" s="3" t="s">
        <v>29957</v>
      </c>
    </row>
    <row r="14115">
      <c r="A14115" s="3" t="s">
        <v>29958</v>
      </c>
      <c r="B14115" s="3" t="s">
        <v>12073</v>
      </c>
      <c r="C14115" s="5" t="s">
        <v>221</v>
      </c>
      <c r="D14115" s="3" t="s">
        <v>614</v>
      </c>
      <c r="E14115" s="3" t="s">
        <v>118</v>
      </c>
      <c r="F14115" s="7">
        <v>46020.02786046061</v>
      </c>
      <c r="G14115" s="3" t="s">
        <v>29959</v>
      </c>
    </row>
    <row r="14116">
      <c r="A14116" s="3" t="s">
        <v>29960</v>
      </c>
      <c r="B14116" s="3" t="s">
        <v>12073</v>
      </c>
      <c r="C14116" s="5" t="s">
        <v>614</v>
      </c>
      <c r="D14116" s="3" t="s">
        <v>206</v>
      </c>
      <c r="E14116" s="3" t="s">
        <v>100</v>
      </c>
      <c r="F14116" s="7">
        <v>46020.03133268283</v>
      </c>
      <c r="G14116" s="3" t="s">
        <v>29961</v>
      </c>
    </row>
    <row r="14117">
      <c r="A14117" s="3" t="s">
        <v>29962</v>
      </c>
      <c r="B14117" s="3" t="s">
        <v>12073</v>
      </c>
      <c r="C14117" s="5" t="s">
        <v>206</v>
      </c>
      <c r="D14117" s="3" t="s">
        <v>68</v>
      </c>
      <c r="E14117" s="3" t="s">
        <v>100</v>
      </c>
      <c r="F14117" s="7">
        <v>46020.03480490505</v>
      </c>
      <c r="G14117" s="3" t="s">
        <v>29963</v>
      </c>
    </row>
    <row r="14118">
      <c r="A14118" s="3" t="s">
        <v>29964</v>
      </c>
      <c r="B14118" s="3" t="s">
        <v>12077</v>
      </c>
      <c r="C14118" s="5" t="s">
        <v>45</v>
      </c>
      <c r="D14118" s="3" t="s">
        <v>221</v>
      </c>
      <c r="E14118" s="3" t="s">
        <v>453</v>
      </c>
      <c r="F14118" s="7">
        <v>46020.09556308381</v>
      </c>
      <c r="G14118" s="3" t="s">
        <v>3260</v>
      </c>
    </row>
    <row r="14119">
      <c r="A14119" s="3" t="s">
        <v>29965</v>
      </c>
      <c r="B14119" s="3" t="s">
        <v>12077</v>
      </c>
      <c r="C14119" s="5" t="s">
        <v>221</v>
      </c>
      <c r="D14119" s="3" t="s">
        <v>614</v>
      </c>
      <c r="E14119" s="3" t="s">
        <v>118</v>
      </c>
      <c r="F14119" s="7">
        <v>46020.099035306026</v>
      </c>
      <c r="G14119" s="3" t="s">
        <v>3263</v>
      </c>
    </row>
    <row r="14120">
      <c r="A14120" s="3" t="s">
        <v>29966</v>
      </c>
      <c r="B14120" s="3" t="s">
        <v>12077</v>
      </c>
      <c r="C14120" s="5" t="s">
        <v>614</v>
      </c>
      <c r="D14120" s="3" t="s">
        <v>206</v>
      </c>
      <c r="E14120" s="3" t="s">
        <v>100</v>
      </c>
      <c r="F14120" s="7">
        <v>46020.10250752825</v>
      </c>
      <c r="G14120" s="3" t="s">
        <v>3266</v>
      </c>
    </row>
    <row r="14121">
      <c r="A14121" s="3" t="s">
        <v>29967</v>
      </c>
      <c r="B14121" s="3" t="s">
        <v>12077</v>
      </c>
      <c r="C14121" s="5" t="s">
        <v>206</v>
      </c>
      <c r="D14121" s="3" t="s">
        <v>68</v>
      </c>
      <c r="E14121" s="3" t="s">
        <v>100</v>
      </c>
      <c r="F14121" s="7">
        <v>46020.10597975047</v>
      </c>
      <c r="G14121" s="3" t="s">
        <v>3268</v>
      </c>
    </row>
    <row r="14122">
      <c r="A14122" s="3" t="s">
        <v>29968</v>
      </c>
      <c r="B14122" s="3" t="s">
        <v>12081</v>
      </c>
      <c r="C14122" s="5" t="s">
        <v>45</v>
      </c>
      <c r="D14122" s="3" t="s">
        <v>221</v>
      </c>
      <c r="E14122" s="3" t="s">
        <v>485</v>
      </c>
      <c r="F14122" s="7">
        <v>46020.16673792921</v>
      </c>
      <c r="G14122" s="3" t="s">
        <v>15182</v>
      </c>
    </row>
    <row r="14123">
      <c r="A14123" s="3" t="s">
        <v>29969</v>
      </c>
      <c r="B14123" s="3" t="s">
        <v>12081</v>
      </c>
      <c r="C14123" s="5" t="s">
        <v>221</v>
      </c>
      <c r="D14123" s="3" t="s">
        <v>614</v>
      </c>
      <c r="E14123" s="3" t="s">
        <v>118</v>
      </c>
      <c r="F14123" s="7">
        <v>46020.17021015143</v>
      </c>
      <c r="G14123" s="3" t="s">
        <v>15185</v>
      </c>
    </row>
    <row r="14124">
      <c r="A14124" s="3" t="s">
        <v>29970</v>
      </c>
      <c r="B14124" s="3" t="s">
        <v>12081</v>
      </c>
      <c r="C14124" s="5" t="s">
        <v>614</v>
      </c>
      <c r="D14124" s="3" t="s">
        <v>206</v>
      </c>
      <c r="E14124" s="3" t="s">
        <v>100</v>
      </c>
      <c r="F14124" s="7">
        <v>46020.17368237366</v>
      </c>
      <c r="G14124" s="3" t="s">
        <v>15189</v>
      </c>
    </row>
    <row r="14125">
      <c r="A14125" s="3" t="s">
        <v>29971</v>
      </c>
      <c r="B14125" s="3" t="s">
        <v>12081</v>
      </c>
      <c r="C14125" s="5" t="s">
        <v>206</v>
      </c>
      <c r="D14125" s="3" t="s">
        <v>68</v>
      </c>
      <c r="E14125" s="3" t="s">
        <v>100</v>
      </c>
      <c r="F14125" s="7">
        <v>46020.177154595876</v>
      </c>
      <c r="G14125" s="3" t="s">
        <v>15192</v>
      </c>
    </row>
    <row r="14126">
      <c r="A14126" s="3" t="s">
        <v>29972</v>
      </c>
      <c r="B14126" s="3" t="s">
        <v>12084</v>
      </c>
      <c r="C14126" s="5" t="s">
        <v>45</v>
      </c>
      <c r="D14126" s="3" t="s">
        <v>221</v>
      </c>
      <c r="E14126" s="3" t="s">
        <v>363</v>
      </c>
      <c r="F14126" s="7">
        <v>46020.23791277463</v>
      </c>
      <c r="G14126" s="3" t="s">
        <v>5043</v>
      </c>
    </row>
    <row r="14127">
      <c r="A14127" s="3" t="s">
        <v>29973</v>
      </c>
      <c r="B14127" s="3" t="s">
        <v>12084</v>
      </c>
      <c r="C14127" s="5" t="s">
        <v>221</v>
      </c>
      <c r="D14127" s="3" t="s">
        <v>614</v>
      </c>
      <c r="E14127" s="3" t="s">
        <v>118</v>
      </c>
      <c r="F14127" s="7">
        <v>46020.24138499685</v>
      </c>
      <c r="G14127" s="3" t="s">
        <v>5046</v>
      </c>
    </row>
    <row r="14128">
      <c r="A14128" s="3" t="s">
        <v>29974</v>
      </c>
      <c r="B14128" s="3" t="s">
        <v>12084</v>
      </c>
      <c r="C14128" s="5" t="s">
        <v>614</v>
      </c>
      <c r="D14128" s="3" t="s">
        <v>206</v>
      </c>
      <c r="E14128" s="3" t="s">
        <v>100</v>
      </c>
      <c r="F14128" s="7">
        <v>46020.24485721908</v>
      </c>
      <c r="G14128" s="3" t="s">
        <v>5049</v>
      </c>
    </row>
    <row r="14129">
      <c r="A14129" s="3" t="s">
        <v>29975</v>
      </c>
      <c r="B14129" s="3" t="s">
        <v>12084</v>
      </c>
      <c r="C14129" s="5" t="s">
        <v>206</v>
      </c>
      <c r="D14129" s="3" t="s">
        <v>68</v>
      </c>
      <c r="E14129" s="3" t="s">
        <v>100</v>
      </c>
      <c r="F14129" s="7">
        <v>46020.248329441296</v>
      </c>
      <c r="G14129" s="3" t="s">
        <v>5052</v>
      </c>
    </row>
    <row r="14130">
      <c r="A14130" s="3" t="s">
        <v>29976</v>
      </c>
      <c r="B14130" s="3" t="s">
        <v>12087</v>
      </c>
      <c r="C14130" s="5" t="s">
        <v>45</v>
      </c>
      <c r="D14130" s="3" t="s">
        <v>221</v>
      </c>
      <c r="E14130" s="3" t="s">
        <v>256</v>
      </c>
      <c r="F14130" s="7">
        <v>46020.30908762005</v>
      </c>
      <c r="G14130" s="3" t="s">
        <v>5999</v>
      </c>
    </row>
    <row r="14131">
      <c r="A14131" s="3" t="s">
        <v>29977</v>
      </c>
      <c r="B14131" s="3" t="s">
        <v>12087</v>
      </c>
      <c r="C14131" s="5" t="s">
        <v>221</v>
      </c>
      <c r="D14131" s="3" t="s">
        <v>614</v>
      </c>
      <c r="E14131" s="3" t="s">
        <v>118</v>
      </c>
      <c r="F14131" s="7">
        <v>46020.31255984227</v>
      </c>
      <c r="G14131" s="3" t="s">
        <v>6001</v>
      </c>
    </row>
    <row r="14132">
      <c r="A14132" s="3" t="s">
        <v>29978</v>
      </c>
      <c r="B14132" s="3" t="s">
        <v>12087</v>
      </c>
      <c r="C14132" s="5" t="s">
        <v>614</v>
      </c>
      <c r="D14132" s="3" t="s">
        <v>206</v>
      </c>
      <c r="E14132" s="3" t="s">
        <v>100</v>
      </c>
      <c r="F14132" s="7">
        <v>46020.3160320645</v>
      </c>
      <c r="G14132" s="3" t="s">
        <v>6004</v>
      </c>
    </row>
    <row r="14133">
      <c r="A14133" s="3" t="s">
        <v>29979</v>
      </c>
      <c r="B14133" s="3" t="s">
        <v>12087</v>
      </c>
      <c r="C14133" s="5" t="s">
        <v>206</v>
      </c>
      <c r="D14133" s="3" t="s">
        <v>68</v>
      </c>
      <c r="E14133" s="3" t="s">
        <v>100</v>
      </c>
      <c r="F14133" s="7">
        <v>46020.319504286716</v>
      </c>
      <c r="G14133" s="3" t="s">
        <v>6007</v>
      </c>
    </row>
    <row r="14134">
      <c r="A14134" s="3" t="s">
        <v>29980</v>
      </c>
      <c r="B14134" s="3" t="s">
        <v>12090</v>
      </c>
      <c r="C14134" s="5" t="s">
        <v>45</v>
      </c>
      <c r="D14134" s="3" t="s">
        <v>221</v>
      </c>
      <c r="E14134" s="3" t="s">
        <v>406</v>
      </c>
      <c r="F14134" s="7">
        <v>46020.38026246546</v>
      </c>
      <c r="G14134" s="3" t="s">
        <v>10844</v>
      </c>
    </row>
    <row r="14135">
      <c r="A14135" s="3" t="s">
        <v>29981</v>
      </c>
      <c r="B14135" s="3" t="s">
        <v>12090</v>
      </c>
      <c r="C14135" s="5" t="s">
        <v>221</v>
      </c>
      <c r="D14135" s="3" t="s">
        <v>614</v>
      </c>
      <c r="E14135" s="3" t="s">
        <v>118</v>
      </c>
      <c r="F14135" s="7">
        <v>46020.38373468768</v>
      </c>
      <c r="G14135" s="3" t="s">
        <v>10847</v>
      </c>
    </row>
    <row r="14136">
      <c r="A14136" s="3" t="s">
        <v>29982</v>
      </c>
      <c r="B14136" s="3" t="s">
        <v>12090</v>
      </c>
      <c r="C14136" s="5" t="s">
        <v>614</v>
      </c>
      <c r="D14136" s="3" t="s">
        <v>206</v>
      </c>
      <c r="E14136" s="3" t="s">
        <v>100</v>
      </c>
      <c r="F14136" s="7">
        <v>46020.38720690991</v>
      </c>
      <c r="G14136" s="3" t="s">
        <v>10850</v>
      </c>
    </row>
    <row r="14137">
      <c r="A14137" s="3" t="s">
        <v>29983</v>
      </c>
      <c r="B14137" s="3" t="s">
        <v>12090</v>
      </c>
      <c r="C14137" s="5" t="s">
        <v>206</v>
      </c>
      <c r="D14137" s="3" t="s">
        <v>68</v>
      </c>
      <c r="E14137" s="3" t="s">
        <v>100</v>
      </c>
      <c r="F14137" s="7">
        <v>46020.39067913213</v>
      </c>
      <c r="G14137" s="3" t="s">
        <v>10853</v>
      </c>
    </row>
    <row r="14138">
      <c r="A14138" s="3" t="s">
        <v>29984</v>
      </c>
      <c r="B14138" s="3" t="s">
        <v>12093</v>
      </c>
      <c r="C14138" s="5" t="s">
        <v>45</v>
      </c>
      <c r="D14138" s="3" t="s">
        <v>221</v>
      </c>
      <c r="E14138" s="3" t="s">
        <v>1034</v>
      </c>
      <c r="F14138" s="7">
        <v>46020.451437310876</v>
      </c>
      <c r="G14138" s="3" t="s">
        <v>10092</v>
      </c>
    </row>
    <row r="14139">
      <c r="A14139" s="3" t="s">
        <v>29985</v>
      </c>
      <c r="B14139" s="3" t="s">
        <v>12093</v>
      </c>
      <c r="C14139" s="5" t="s">
        <v>221</v>
      </c>
      <c r="D14139" s="3" t="s">
        <v>614</v>
      </c>
      <c r="E14139" s="3" t="s">
        <v>118</v>
      </c>
      <c r="F14139" s="7">
        <v>46020.454909533095</v>
      </c>
      <c r="G14139" s="3" t="s">
        <v>10095</v>
      </c>
    </row>
    <row r="14140">
      <c r="A14140" s="3" t="s">
        <v>29986</v>
      </c>
      <c r="B14140" s="3" t="s">
        <v>12093</v>
      </c>
      <c r="C14140" s="5" t="s">
        <v>614</v>
      </c>
      <c r="D14140" s="3" t="s">
        <v>206</v>
      </c>
      <c r="E14140" s="3" t="s">
        <v>100</v>
      </c>
      <c r="F14140" s="7">
        <v>46020.45838175532</v>
      </c>
      <c r="G14140" s="3" t="s">
        <v>10099</v>
      </c>
    </row>
    <row r="14141">
      <c r="A14141" s="3" t="s">
        <v>29987</v>
      </c>
      <c r="B14141" s="3" t="s">
        <v>12093</v>
      </c>
      <c r="C14141" s="5" t="s">
        <v>206</v>
      </c>
      <c r="D14141" s="3" t="s">
        <v>68</v>
      </c>
      <c r="E14141" s="3" t="s">
        <v>100</v>
      </c>
      <c r="F14141" s="7">
        <v>46020.46185397754</v>
      </c>
      <c r="G14141" s="3" t="s">
        <v>10102</v>
      </c>
    </row>
    <row r="14142">
      <c r="A14142" s="3" t="s">
        <v>29988</v>
      </c>
      <c r="B14142" s="3" t="s">
        <v>12096</v>
      </c>
      <c r="C14142" s="5" t="s">
        <v>45</v>
      </c>
      <c r="D14142" s="3" t="s">
        <v>221</v>
      </c>
      <c r="E14142" s="3" t="s">
        <v>811</v>
      </c>
      <c r="F14142" s="7">
        <v>46020.522612156296</v>
      </c>
      <c r="G14142" s="3" t="s">
        <v>3271</v>
      </c>
    </row>
    <row r="14143">
      <c r="A14143" s="3" t="s">
        <v>29989</v>
      </c>
      <c r="B14143" s="3" t="s">
        <v>12096</v>
      </c>
      <c r="C14143" s="5" t="s">
        <v>221</v>
      </c>
      <c r="D14143" s="3" t="s">
        <v>614</v>
      </c>
      <c r="E14143" s="3" t="s">
        <v>118</v>
      </c>
      <c r="F14143" s="7">
        <v>46020.526084378514</v>
      </c>
      <c r="G14143" s="3" t="s">
        <v>3274</v>
      </c>
    </row>
    <row r="14144">
      <c r="A14144" s="3" t="s">
        <v>29990</v>
      </c>
      <c r="B14144" s="3" t="s">
        <v>12096</v>
      </c>
      <c r="C14144" s="5" t="s">
        <v>614</v>
      </c>
      <c r="D14144" s="3" t="s">
        <v>206</v>
      </c>
      <c r="E14144" s="3" t="s">
        <v>100</v>
      </c>
      <c r="F14144" s="7">
        <v>46020.52955660074</v>
      </c>
      <c r="G14144" s="3" t="s">
        <v>3277</v>
      </c>
    </row>
    <row r="14145">
      <c r="A14145" s="3" t="s">
        <v>29991</v>
      </c>
      <c r="B14145" s="3" t="s">
        <v>12096</v>
      </c>
      <c r="C14145" s="5" t="s">
        <v>206</v>
      </c>
      <c r="D14145" s="3" t="s">
        <v>68</v>
      </c>
      <c r="E14145" s="3" t="s">
        <v>100</v>
      </c>
      <c r="F14145" s="7">
        <v>46020.53302882296</v>
      </c>
      <c r="G14145" s="3" t="s">
        <v>3279</v>
      </c>
    </row>
    <row r="14146">
      <c r="A14146" s="3" t="s">
        <v>29992</v>
      </c>
      <c r="B14146" s="3" t="s">
        <v>12099</v>
      </c>
      <c r="C14146" s="5" t="s">
        <v>45</v>
      </c>
      <c r="D14146" s="3" t="s">
        <v>221</v>
      </c>
      <c r="E14146" s="3" t="s">
        <v>906</v>
      </c>
      <c r="F14146" s="7">
        <v>46020.59378700171</v>
      </c>
      <c r="G14146" s="3" t="s">
        <v>19222</v>
      </c>
    </row>
    <row r="14147">
      <c r="A14147" s="3" t="s">
        <v>29993</v>
      </c>
      <c r="B14147" s="3" t="s">
        <v>12099</v>
      </c>
      <c r="C14147" s="5" t="s">
        <v>221</v>
      </c>
      <c r="D14147" s="3" t="s">
        <v>195</v>
      </c>
      <c r="E14147" s="3" t="s">
        <v>906</v>
      </c>
      <c r="F14147" s="7">
        <v>46020.59725922393</v>
      </c>
      <c r="G14147" s="3" t="s">
        <v>29994</v>
      </c>
    </row>
    <row r="14148">
      <c r="A14148" s="3" t="s">
        <v>29995</v>
      </c>
      <c r="B14148" s="3" t="s">
        <v>12102</v>
      </c>
      <c r="C14148" s="5" t="s">
        <v>45</v>
      </c>
      <c r="D14148" s="3" t="s">
        <v>221</v>
      </c>
      <c r="E14148" s="3" t="s">
        <v>550</v>
      </c>
      <c r="F14148" s="7">
        <v>46020.66496184712</v>
      </c>
      <c r="G14148" s="3" t="s">
        <v>24324</v>
      </c>
    </row>
    <row r="14149">
      <c r="A14149" s="3" t="s">
        <v>29996</v>
      </c>
      <c r="B14149" s="3" t="s">
        <v>12102</v>
      </c>
      <c r="C14149" s="5" t="s">
        <v>221</v>
      </c>
      <c r="D14149" s="3" t="s">
        <v>614</v>
      </c>
      <c r="E14149" s="3" t="s">
        <v>118</v>
      </c>
      <c r="F14149" s="7">
        <v>46020.66843406934</v>
      </c>
      <c r="G14149" s="3" t="s">
        <v>24326</v>
      </c>
    </row>
    <row r="14150">
      <c r="A14150" s="3" t="s">
        <v>29997</v>
      </c>
      <c r="B14150" s="3" t="s">
        <v>12102</v>
      </c>
      <c r="C14150" s="5" t="s">
        <v>614</v>
      </c>
      <c r="D14150" s="3" t="s">
        <v>206</v>
      </c>
      <c r="E14150" s="3" t="s">
        <v>100</v>
      </c>
      <c r="F14150" s="7">
        <v>46020.671906291565</v>
      </c>
      <c r="G14150" s="3" t="s">
        <v>24328</v>
      </c>
    </row>
    <row r="14151">
      <c r="A14151" s="3" t="s">
        <v>29998</v>
      </c>
      <c r="B14151" s="3" t="s">
        <v>12102</v>
      </c>
      <c r="C14151" s="5" t="s">
        <v>206</v>
      </c>
      <c r="D14151" s="3" t="s">
        <v>68</v>
      </c>
      <c r="E14151" s="3" t="s">
        <v>100</v>
      </c>
      <c r="F14151" s="7">
        <v>46020.675378513784</v>
      </c>
      <c r="G14151" s="3" t="s">
        <v>24330</v>
      </c>
    </row>
    <row r="14152">
      <c r="A14152" s="3" t="s">
        <v>29999</v>
      </c>
      <c r="B14152" s="3" t="s">
        <v>12105</v>
      </c>
      <c r="C14152" s="5" t="s">
        <v>45</v>
      </c>
      <c r="D14152" s="3" t="s">
        <v>221</v>
      </c>
      <c r="E14152" s="3" t="s">
        <v>913</v>
      </c>
      <c r="F14152" s="7">
        <v>46020.73613669254</v>
      </c>
      <c r="G14152" s="3" t="s">
        <v>3073</v>
      </c>
    </row>
    <row r="14153">
      <c r="A14153" s="3" t="s">
        <v>30000</v>
      </c>
      <c r="B14153" s="3" t="s">
        <v>12105</v>
      </c>
      <c r="C14153" s="5" t="s">
        <v>221</v>
      </c>
      <c r="D14153" s="3" t="s">
        <v>181</v>
      </c>
      <c r="E14153" s="3" t="s">
        <v>118</v>
      </c>
      <c r="F14153" s="7">
        <v>46020.73960891476</v>
      </c>
      <c r="G14153" s="3" t="s">
        <v>30001</v>
      </c>
    </row>
    <row r="14154">
      <c r="A14154" s="3" t="s">
        <v>30002</v>
      </c>
      <c r="B14154" s="3" t="s">
        <v>12108</v>
      </c>
      <c r="C14154" s="5" t="s">
        <v>45</v>
      </c>
      <c r="D14154" s="3" t="s">
        <v>221</v>
      </c>
      <c r="E14154" s="3" t="s">
        <v>957</v>
      </c>
      <c r="F14154" s="7">
        <v>46020.80731153795</v>
      </c>
      <c r="G14154" s="3" t="s">
        <v>3282</v>
      </c>
    </row>
    <row r="14155">
      <c r="A14155" s="3" t="s">
        <v>30003</v>
      </c>
      <c r="B14155" s="3" t="s">
        <v>12108</v>
      </c>
      <c r="C14155" s="5" t="s">
        <v>221</v>
      </c>
      <c r="D14155" s="3" t="s">
        <v>614</v>
      </c>
      <c r="E14155" s="3" t="s">
        <v>118</v>
      </c>
      <c r="F14155" s="7">
        <v>46020.81078376017</v>
      </c>
      <c r="G14155" s="3" t="s">
        <v>3285</v>
      </c>
    </row>
    <row r="14156">
      <c r="A14156" s="3" t="s">
        <v>30004</v>
      </c>
      <c r="B14156" s="3" t="s">
        <v>12108</v>
      </c>
      <c r="C14156" s="5" t="s">
        <v>614</v>
      </c>
      <c r="D14156" s="3" t="s">
        <v>206</v>
      </c>
      <c r="E14156" s="3" t="s">
        <v>100</v>
      </c>
      <c r="F14156" s="7">
        <v>46020.8142559824</v>
      </c>
      <c r="G14156" s="3" t="s">
        <v>3288</v>
      </c>
    </row>
    <row r="14157">
      <c r="A14157" s="3" t="s">
        <v>30005</v>
      </c>
      <c r="B14157" s="3" t="s">
        <v>12108</v>
      </c>
      <c r="C14157" s="5" t="s">
        <v>206</v>
      </c>
      <c r="D14157" s="3" t="s">
        <v>68</v>
      </c>
      <c r="E14157" s="3" t="s">
        <v>100</v>
      </c>
      <c r="F14157" s="7">
        <v>46020.817728204616</v>
      </c>
      <c r="G14157" s="3" t="s">
        <v>3291</v>
      </c>
    </row>
    <row r="14158">
      <c r="A14158" s="3" t="s">
        <v>30006</v>
      </c>
      <c r="B14158" s="3" t="s">
        <v>12111</v>
      </c>
      <c r="C14158" s="5" t="s">
        <v>45</v>
      </c>
      <c r="D14158" s="3" t="s">
        <v>221</v>
      </c>
      <c r="E14158" s="3" t="s">
        <v>575</v>
      </c>
      <c r="F14158" s="7">
        <v>46020.878486383364</v>
      </c>
      <c r="G14158" s="3" t="s">
        <v>3294</v>
      </c>
    </row>
    <row r="14159">
      <c r="A14159" s="3" t="s">
        <v>30007</v>
      </c>
      <c r="B14159" s="3" t="s">
        <v>12111</v>
      </c>
      <c r="C14159" s="5" t="s">
        <v>221</v>
      </c>
      <c r="D14159" s="3" t="s">
        <v>614</v>
      </c>
      <c r="E14159" s="3" t="s">
        <v>118</v>
      </c>
      <c r="F14159" s="7">
        <v>46020.88195860558</v>
      </c>
      <c r="G14159" s="3" t="s">
        <v>3297</v>
      </c>
    </row>
    <row r="14160">
      <c r="A14160" s="3" t="s">
        <v>30008</v>
      </c>
      <c r="B14160" s="3" t="s">
        <v>12111</v>
      </c>
      <c r="C14160" s="5" t="s">
        <v>614</v>
      </c>
      <c r="D14160" s="3" t="s">
        <v>206</v>
      </c>
      <c r="E14160" s="3" t="s">
        <v>100</v>
      </c>
      <c r="F14160" s="7">
        <v>46020.88543082781</v>
      </c>
      <c r="G14160" s="3" t="s">
        <v>3300</v>
      </c>
    </row>
    <row r="14161">
      <c r="A14161" s="3" t="s">
        <v>30009</v>
      </c>
      <c r="B14161" s="3" t="s">
        <v>12111</v>
      </c>
      <c r="C14161" s="5" t="s">
        <v>206</v>
      </c>
      <c r="D14161" s="3" t="s">
        <v>68</v>
      </c>
      <c r="E14161" s="3" t="s">
        <v>100</v>
      </c>
      <c r="F14161" s="7">
        <v>46020.88890305003</v>
      </c>
      <c r="G14161" s="3" t="s">
        <v>3303</v>
      </c>
    </row>
    <row r="14162">
      <c r="A14162" s="3" t="s">
        <v>30010</v>
      </c>
      <c r="B14162" s="3" t="s">
        <v>12113</v>
      </c>
      <c r="C14162" s="5" t="s">
        <v>45</v>
      </c>
      <c r="D14162" s="3" t="s">
        <v>221</v>
      </c>
      <c r="E14162" s="3" t="s">
        <v>773</v>
      </c>
      <c r="F14162" s="7">
        <v>46020.949661228784</v>
      </c>
      <c r="G14162" s="3" t="s">
        <v>26693</v>
      </c>
    </row>
    <row r="14163">
      <c r="A14163" s="3" t="s">
        <v>30011</v>
      </c>
      <c r="B14163" s="3" t="s">
        <v>12113</v>
      </c>
      <c r="C14163" s="5" t="s">
        <v>221</v>
      </c>
      <c r="D14163" s="3" t="s">
        <v>614</v>
      </c>
      <c r="E14163" s="3" t="s">
        <v>118</v>
      </c>
      <c r="F14163" s="7">
        <v>46020.953133451</v>
      </c>
      <c r="G14163" s="3" t="s">
        <v>26695</v>
      </c>
    </row>
    <row r="14164">
      <c r="A14164" s="3" t="s">
        <v>30012</v>
      </c>
      <c r="B14164" s="3" t="s">
        <v>12113</v>
      </c>
      <c r="C14164" s="5" t="s">
        <v>614</v>
      </c>
      <c r="D14164" s="3" t="s">
        <v>206</v>
      </c>
      <c r="E14164" s="3" t="s">
        <v>100</v>
      </c>
      <c r="F14164" s="7">
        <v>46020.95660567323</v>
      </c>
      <c r="G14164" s="3" t="s">
        <v>26697</v>
      </c>
    </row>
    <row r="14165">
      <c r="A14165" s="3" t="s">
        <v>30013</v>
      </c>
      <c r="B14165" s="3" t="s">
        <v>12113</v>
      </c>
      <c r="C14165" s="5" t="s">
        <v>206</v>
      </c>
      <c r="D14165" s="3" t="s">
        <v>68</v>
      </c>
      <c r="E14165" s="3" t="s">
        <v>100</v>
      </c>
      <c r="F14165" s="7">
        <v>46020.96007789545</v>
      </c>
      <c r="G14165" s="3" t="s">
        <v>26699</v>
      </c>
    </row>
    <row r="14166">
      <c r="A14166" s="3" t="s">
        <v>30014</v>
      </c>
      <c r="B14166" s="3" t="s">
        <v>12116</v>
      </c>
      <c r="C14166" s="5" t="s">
        <v>45</v>
      </c>
      <c r="D14166" s="3" t="s">
        <v>221</v>
      </c>
      <c r="E14166" s="3" t="s">
        <v>496</v>
      </c>
      <c r="F14166" s="7">
        <v>46021.0208360742</v>
      </c>
      <c r="G14166" s="3" t="s">
        <v>13404</v>
      </c>
    </row>
    <row r="14167">
      <c r="A14167" s="3" t="s">
        <v>30015</v>
      </c>
      <c r="B14167" s="3" t="s">
        <v>12116</v>
      </c>
      <c r="C14167" s="5" t="s">
        <v>221</v>
      </c>
      <c r="D14167" s="3" t="s">
        <v>614</v>
      </c>
      <c r="E14167" s="3" t="s">
        <v>118</v>
      </c>
      <c r="F14167" s="7">
        <v>46021.02430829642</v>
      </c>
      <c r="G14167" s="3" t="s">
        <v>13407</v>
      </c>
    </row>
    <row r="14168">
      <c r="A14168" s="3" t="s">
        <v>30016</v>
      </c>
      <c r="B14168" s="3" t="s">
        <v>12116</v>
      </c>
      <c r="C14168" s="5" t="s">
        <v>614</v>
      </c>
      <c r="D14168" s="3" t="s">
        <v>206</v>
      </c>
      <c r="E14168" s="3" t="s">
        <v>100</v>
      </c>
      <c r="F14168" s="7">
        <v>46021.02778051865</v>
      </c>
      <c r="G14168" s="3" t="s">
        <v>13409</v>
      </c>
    </row>
    <row r="14169">
      <c r="A14169" s="3" t="s">
        <v>30017</v>
      </c>
      <c r="B14169" s="3" t="s">
        <v>12116</v>
      </c>
      <c r="C14169" s="5" t="s">
        <v>206</v>
      </c>
      <c r="D14169" s="3" t="s">
        <v>68</v>
      </c>
      <c r="E14169" s="3" t="s">
        <v>100</v>
      </c>
      <c r="F14169" s="7">
        <v>46021.03125274087</v>
      </c>
      <c r="G14169" s="3" t="s">
        <v>13412</v>
      </c>
    </row>
    <row r="14170">
      <c r="A14170" s="3" t="s">
        <v>30018</v>
      </c>
      <c r="B14170" s="3" t="s">
        <v>12118</v>
      </c>
      <c r="C14170" s="5" t="s">
        <v>45</v>
      </c>
      <c r="D14170" s="3" t="s">
        <v>221</v>
      </c>
      <c r="E14170" s="3" t="s">
        <v>472</v>
      </c>
      <c r="F14170" s="7">
        <v>46021.09201091961</v>
      </c>
      <c r="G14170" s="3" t="s">
        <v>14301</v>
      </c>
    </row>
    <row r="14171">
      <c r="A14171" s="3" t="s">
        <v>30019</v>
      </c>
      <c r="B14171" s="3" t="s">
        <v>12118</v>
      </c>
      <c r="C14171" s="5" t="s">
        <v>221</v>
      </c>
      <c r="D14171" s="3" t="s">
        <v>614</v>
      </c>
      <c r="E14171" s="3" t="s">
        <v>118</v>
      </c>
      <c r="F14171" s="7">
        <v>46021.09548314183</v>
      </c>
      <c r="G14171" s="3" t="s">
        <v>14304</v>
      </c>
    </row>
    <row r="14172">
      <c r="A14172" s="3" t="s">
        <v>30020</v>
      </c>
      <c r="B14172" s="3" t="s">
        <v>12118</v>
      </c>
      <c r="C14172" s="5" t="s">
        <v>614</v>
      </c>
      <c r="D14172" s="3" t="s">
        <v>206</v>
      </c>
      <c r="E14172" s="3" t="s">
        <v>100</v>
      </c>
      <c r="F14172" s="7">
        <v>46021.098955364054</v>
      </c>
      <c r="G14172" s="3" t="s">
        <v>14306</v>
      </c>
    </row>
    <row r="14173">
      <c r="A14173" s="3" t="s">
        <v>30021</v>
      </c>
      <c r="B14173" s="3" t="s">
        <v>12118</v>
      </c>
      <c r="C14173" s="5" t="s">
        <v>206</v>
      </c>
      <c r="D14173" s="3" t="s">
        <v>68</v>
      </c>
      <c r="E14173" s="3" t="s">
        <v>100</v>
      </c>
      <c r="F14173" s="7">
        <v>46021.10242758627</v>
      </c>
      <c r="G14173" s="3" t="s">
        <v>14309</v>
      </c>
    </row>
    <row r="14174">
      <c r="A14174" s="3" t="s">
        <v>30022</v>
      </c>
      <c r="B14174" s="3" t="s">
        <v>12120</v>
      </c>
      <c r="C14174" s="5" t="s">
        <v>45</v>
      </c>
      <c r="D14174" s="3" t="s">
        <v>221</v>
      </c>
      <c r="E14174" s="3" t="s">
        <v>269</v>
      </c>
      <c r="F14174" s="7">
        <v>46021.16318576503</v>
      </c>
      <c r="G14174" s="3" t="s">
        <v>30023</v>
      </c>
    </row>
    <row r="14175">
      <c r="A14175" s="3" t="s">
        <v>30024</v>
      </c>
      <c r="B14175" s="3" t="s">
        <v>12120</v>
      </c>
      <c r="C14175" s="5" t="s">
        <v>221</v>
      </c>
      <c r="D14175" s="3" t="s">
        <v>614</v>
      </c>
      <c r="E14175" s="3" t="s">
        <v>118</v>
      </c>
      <c r="F14175" s="7">
        <v>46021.16665798725</v>
      </c>
      <c r="G14175" s="3" t="s">
        <v>30025</v>
      </c>
    </row>
    <row r="14176">
      <c r="A14176" s="3" t="s">
        <v>30026</v>
      </c>
      <c r="B14176" s="3" t="s">
        <v>12120</v>
      </c>
      <c r="C14176" s="5" t="s">
        <v>614</v>
      </c>
      <c r="D14176" s="3" t="s">
        <v>206</v>
      </c>
      <c r="E14176" s="3" t="s">
        <v>100</v>
      </c>
      <c r="F14176" s="7">
        <v>46021.17013020947</v>
      </c>
      <c r="G14176" s="3" t="s">
        <v>30027</v>
      </c>
    </row>
    <row r="14177">
      <c r="A14177" s="3" t="s">
        <v>30028</v>
      </c>
      <c r="B14177" s="3" t="s">
        <v>12120</v>
      </c>
      <c r="C14177" s="5" t="s">
        <v>206</v>
      </c>
      <c r="D14177" s="3" t="s">
        <v>68</v>
      </c>
      <c r="E14177" s="3" t="s">
        <v>100</v>
      </c>
      <c r="F14177" s="7">
        <v>46021.17360243169</v>
      </c>
      <c r="G14177" s="3" t="s">
        <v>30029</v>
      </c>
    </row>
    <row r="14178">
      <c r="A14178" s="3" t="s">
        <v>30030</v>
      </c>
      <c r="B14178" s="3" t="s">
        <v>12123</v>
      </c>
      <c r="C14178" s="5" t="s">
        <v>45</v>
      </c>
      <c r="D14178" s="3" t="s">
        <v>221</v>
      </c>
      <c r="E14178" s="3" t="s">
        <v>247</v>
      </c>
      <c r="F14178" s="7">
        <v>46021.23436061045</v>
      </c>
      <c r="G14178" s="3" t="s">
        <v>2770</v>
      </c>
    </row>
    <row r="14179">
      <c r="A14179" s="3" t="s">
        <v>30031</v>
      </c>
      <c r="B14179" s="3" t="s">
        <v>12123</v>
      </c>
      <c r="C14179" s="5" t="s">
        <v>221</v>
      </c>
      <c r="D14179" s="3" t="s">
        <v>195</v>
      </c>
      <c r="E14179" s="3" t="s">
        <v>247</v>
      </c>
      <c r="F14179" s="7">
        <v>46021.23783283267</v>
      </c>
      <c r="G14179" s="3" t="s">
        <v>3055</v>
      </c>
    </row>
    <row r="14180">
      <c r="A14180" s="3" t="s">
        <v>30032</v>
      </c>
      <c r="B14180" s="3" t="s">
        <v>12125</v>
      </c>
      <c r="C14180" s="5" t="s">
        <v>45</v>
      </c>
      <c r="D14180" s="3" t="s">
        <v>221</v>
      </c>
      <c r="E14180" s="3" t="s">
        <v>770</v>
      </c>
      <c r="F14180" s="7">
        <v>46021.30553545586</v>
      </c>
      <c r="G14180" s="3" t="s">
        <v>19281</v>
      </c>
    </row>
    <row r="14181">
      <c r="A14181" s="3" t="s">
        <v>30033</v>
      </c>
      <c r="B14181" s="3" t="s">
        <v>12125</v>
      </c>
      <c r="C14181" s="5" t="s">
        <v>221</v>
      </c>
      <c r="D14181" s="3" t="s">
        <v>614</v>
      </c>
      <c r="E14181" s="3" t="s">
        <v>118</v>
      </c>
      <c r="F14181" s="7">
        <v>46021.30900767808</v>
      </c>
      <c r="G14181" s="3" t="s">
        <v>19284</v>
      </c>
    </row>
    <row r="14182">
      <c r="A14182" s="3" t="s">
        <v>30034</v>
      </c>
      <c r="B14182" s="3" t="s">
        <v>12125</v>
      </c>
      <c r="C14182" s="5" t="s">
        <v>614</v>
      </c>
      <c r="D14182" s="3" t="s">
        <v>206</v>
      </c>
      <c r="E14182" s="3" t="s">
        <v>100</v>
      </c>
      <c r="F14182" s="7">
        <v>46021.312479900305</v>
      </c>
      <c r="G14182" s="3" t="s">
        <v>19286</v>
      </c>
    </row>
    <row r="14183">
      <c r="A14183" s="3" t="s">
        <v>30035</v>
      </c>
      <c r="B14183" s="3" t="s">
        <v>12125</v>
      </c>
      <c r="C14183" s="5" t="s">
        <v>206</v>
      </c>
      <c r="D14183" s="3" t="s">
        <v>68</v>
      </c>
      <c r="E14183" s="3" t="s">
        <v>100</v>
      </c>
      <c r="F14183" s="7">
        <v>46021.315952122524</v>
      </c>
      <c r="G14183" s="3" t="s">
        <v>19289</v>
      </c>
    </row>
    <row r="14184">
      <c r="A14184" s="3" t="s">
        <v>30036</v>
      </c>
      <c r="B14184" s="3" t="s">
        <v>12127</v>
      </c>
      <c r="C14184" s="5" t="s">
        <v>45</v>
      </c>
      <c r="D14184" s="3" t="s">
        <v>221</v>
      </c>
      <c r="E14184" s="3" t="s">
        <v>535</v>
      </c>
      <c r="F14184" s="7">
        <v>46021.37671030127</v>
      </c>
      <c r="G14184" s="3" t="s">
        <v>3306</v>
      </c>
    </row>
    <row r="14185">
      <c r="A14185" s="3" t="s">
        <v>30037</v>
      </c>
      <c r="B14185" s="3" t="s">
        <v>12127</v>
      </c>
      <c r="C14185" s="5" t="s">
        <v>221</v>
      </c>
      <c r="D14185" s="3" t="s">
        <v>614</v>
      </c>
      <c r="E14185" s="3" t="s">
        <v>118</v>
      </c>
      <c r="F14185" s="7">
        <v>46021.38018252349</v>
      </c>
      <c r="G14185" s="3" t="s">
        <v>3309</v>
      </c>
    </row>
    <row r="14186">
      <c r="A14186" s="3" t="s">
        <v>30038</v>
      </c>
      <c r="B14186" s="3" t="s">
        <v>12127</v>
      </c>
      <c r="C14186" s="5" t="s">
        <v>614</v>
      </c>
      <c r="D14186" s="3" t="s">
        <v>206</v>
      </c>
      <c r="E14186" s="3" t="s">
        <v>100</v>
      </c>
      <c r="F14186" s="7">
        <v>46021.38365474572</v>
      </c>
      <c r="G14186" s="3" t="s">
        <v>3312</v>
      </c>
    </row>
    <row r="14187">
      <c r="A14187" s="3" t="s">
        <v>30039</v>
      </c>
      <c r="B14187" s="3" t="s">
        <v>12127</v>
      </c>
      <c r="C14187" s="5" t="s">
        <v>206</v>
      </c>
      <c r="D14187" s="3" t="s">
        <v>68</v>
      </c>
      <c r="E14187" s="3" t="s">
        <v>100</v>
      </c>
      <c r="F14187" s="7">
        <v>46021.38712696794</v>
      </c>
      <c r="G14187" s="3" t="s">
        <v>3315</v>
      </c>
    </row>
    <row r="14188">
      <c r="A14188" s="3" t="s">
        <v>30040</v>
      </c>
      <c r="B14188" s="3" t="s">
        <v>12130</v>
      </c>
      <c r="C14188" s="5" t="s">
        <v>45</v>
      </c>
      <c r="D14188" s="3" t="s">
        <v>221</v>
      </c>
      <c r="E14188" s="3" t="s">
        <v>1028</v>
      </c>
      <c r="F14188" s="7">
        <v>46021.44788514669</v>
      </c>
      <c r="G14188" s="3" t="s">
        <v>29555</v>
      </c>
    </row>
    <row r="14189">
      <c r="A14189" s="3" t="s">
        <v>30041</v>
      </c>
      <c r="B14189" s="3" t="s">
        <v>12130</v>
      </c>
      <c r="C14189" s="5" t="s">
        <v>221</v>
      </c>
      <c r="D14189" s="3" t="s">
        <v>181</v>
      </c>
      <c r="E14189" s="3" t="s">
        <v>118</v>
      </c>
      <c r="F14189" s="7">
        <v>46021.45135736891</v>
      </c>
      <c r="G14189" s="3" t="s">
        <v>30042</v>
      </c>
    </row>
    <row r="14190">
      <c r="A14190" s="3" t="s">
        <v>30043</v>
      </c>
      <c r="B14190" s="3" t="s">
        <v>12134</v>
      </c>
      <c r="C14190" s="5" t="s">
        <v>45</v>
      </c>
      <c r="D14190" s="3" t="s">
        <v>221</v>
      </c>
      <c r="E14190" s="3" t="s">
        <v>911</v>
      </c>
      <c r="F14190" s="7">
        <v>46021.519059992104</v>
      </c>
      <c r="G14190" s="3" t="s">
        <v>28535</v>
      </c>
    </row>
    <row r="14191">
      <c r="A14191" s="3" t="s">
        <v>30044</v>
      </c>
      <c r="B14191" s="3" t="s">
        <v>12134</v>
      </c>
      <c r="C14191" s="5" t="s">
        <v>221</v>
      </c>
      <c r="D14191" s="3" t="s">
        <v>614</v>
      </c>
      <c r="E14191" s="3" t="s">
        <v>118</v>
      </c>
      <c r="F14191" s="7">
        <v>46021.52253221432</v>
      </c>
      <c r="G14191" s="3" t="s">
        <v>28537</v>
      </c>
    </row>
    <row r="14192">
      <c r="A14192" s="3" t="s">
        <v>30045</v>
      </c>
      <c r="B14192" s="3" t="s">
        <v>12134</v>
      </c>
      <c r="C14192" s="5" t="s">
        <v>614</v>
      </c>
      <c r="D14192" s="3" t="s">
        <v>206</v>
      </c>
      <c r="E14192" s="3" t="s">
        <v>100</v>
      </c>
      <c r="F14192" s="7">
        <v>46021.52600443655</v>
      </c>
      <c r="G14192" s="3" t="s">
        <v>28539</v>
      </c>
    </row>
    <row r="14193">
      <c r="A14193" s="3" t="s">
        <v>30046</v>
      </c>
      <c r="B14193" s="3" t="s">
        <v>12134</v>
      </c>
      <c r="C14193" s="5" t="s">
        <v>206</v>
      </c>
      <c r="D14193" s="3" t="s">
        <v>68</v>
      </c>
      <c r="E14193" s="3" t="s">
        <v>100</v>
      </c>
      <c r="F14193" s="7">
        <v>46021.52947665877</v>
      </c>
      <c r="G14193" s="3" t="s">
        <v>28541</v>
      </c>
    </row>
    <row r="14194">
      <c r="A14194" s="3" t="s">
        <v>30047</v>
      </c>
      <c r="B14194" s="3" t="s">
        <v>12137</v>
      </c>
      <c r="C14194" s="5" t="s">
        <v>45</v>
      </c>
      <c r="D14194" s="3" t="s">
        <v>221</v>
      </c>
      <c r="E14194" s="3" t="s">
        <v>348</v>
      </c>
      <c r="F14194" s="7">
        <v>46021.59023483752</v>
      </c>
      <c r="G14194" s="3" t="s">
        <v>16409</v>
      </c>
    </row>
    <row r="14195">
      <c r="A14195" s="3" t="s">
        <v>30048</v>
      </c>
      <c r="B14195" s="3" t="s">
        <v>12137</v>
      </c>
      <c r="C14195" s="5" t="s">
        <v>221</v>
      </c>
      <c r="D14195" s="3" t="s">
        <v>614</v>
      </c>
      <c r="E14195" s="3" t="s">
        <v>118</v>
      </c>
      <c r="F14195" s="7">
        <v>46021.593707059736</v>
      </c>
      <c r="G14195" s="3" t="s">
        <v>16412</v>
      </c>
    </row>
    <row r="14196">
      <c r="A14196" s="3" t="s">
        <v>30049</v>
      </c>
      <c r="B14196" s="3" t="s">
        <v>12137</v>
      </c>
      <c r="C14196" s="5" t="s">
        <v>614</v>
      </c>
      <c r="D14196" s="3" t="s">
        <v>206</v>
      </c>
      <c r="E14196" s="3" t="s">
        <v>100</v>
      </c>
      <c r="F14196" s="7">
        <v>46021.59717928196</v>
      </c>
      <c r="G14196" s="3" t="s">
        <v>16414</v>
      </c>
    </row>
    <row r="14197">
      <c r="A14197" s="3" t="s">
        <v>30050</v>
      </c>
      <c r="B14197" s="3" t="s">
        <v>12137</v>
      </c>
      <c r="C14197" s="5" t="s">
        <v>206</v>
      </c>
      <c r="D14197" s="3" t="s">
        <v>68</v>
      </c>
      <c r="E14197" s="3" t="s">
        <v>100</v>
      </c>
      <c r="F14197" s="7">
        <v>46021.60065150418</v>
      </c>
      <c r="G14197" s="3" t="s">
        <v>16417</v>
      </c>
    </row>
    <row r="14198">
      <c r="A14198" s="3" t="s">
        <v>30051</v>
      </c>
      <c r="B14198" s="3" t="s">
        <v>12141</v>
      </c>
      <c r="C14198" s="5" t="s">
        <v>45</v>
      </c>
      <c r="D14198" s="3" t="s">
        <v>221</v>
      </c>
      <c r="E14198" s="3" t="s">
        <v>168</v>
      </c>
      <c r="F14198" s="7">
        <v>46021.661409682936</v>
      </c>
      <c r="G14198" s="3" t="s">
        <v>12142</v>
      </c>
    </row>
    <row r="14199">
      <c r="A14199" s="3" t="s">
        <v>30052</v>
      </c>
      <c r="B14199" s="3" t="s">
        <v>12141</v>
      </c>
      <c r="C14199" s="5" t="s">
        <v>221</v>
      </c>
      <c r="D14199" s="3" t="s">
        <v>614</v>
      </c>
      <c r="E14199" s="3" t="s">
        <v>118</v>
      </c>
      <c r="F14199" s="7">
        <v>46021.664881905155</v>
      </c>
      <c r="G14199" s="3" t="s">
        <v>12145</v>
      </c>
    </row>
    <row r="14200">
      <c r="A14200" s="3" t="s">
        <v>30053</v>
      </c>
      <c r="B14200" s="3" t="s">
        <v>12141</v>
      </c>
      <c r="C14200" s="5" t="s">
        <v>614</v>
      </c>
      <c r="D14200" s="3" t="s">
        <v>206</v>
      </c>
      <c r="E14200" s="3" t="s">
        <v>100</v>
      </c>
      <c r="F14200" s="7">
        <v>46021.66835412738</v>
      </c>
      <c r="G14200" s="3" t="s">
        <v>12148</v>
      </c>
    </row>
    <row r="14201">
      <c r="A14201" s="3" t="s">
        <v>30054</v>
      </c>
      <c r="B14201" s="3" t="s">
        <v>12141</v>
      </c>
      <c r="C14201" s="5" t="s">
        <v>206</v>
      </c>
      <c r="D14201" s="3" t="s">
        <v>68</v>
      </c>
      <c r="E14201" s="3" t="s">
        <v>100</v>
      </c>
      <c r="F14201" s="7">
        <v>46021.6718263496</v>
      </c>
      <c r="G14201" s="3" t="s">
        <v>12151</v>
      </c>
    </row>
    <row r="14202">
      <c r="A14202" s="3" t="s">
        <v>30055</v>
      </c>
      <c r="B14202" s="3" t="s">
        <v>12144</v>
      </c>
      <c r="C14202" s="5" t="s">
        <v>45</v>
      </c>
      <c r="D14202" s="3" t="s">
        <v>221</v>
      </c>
      <c r="E14202" s="3" t="s">
        <v>1043</v>
      </c>
      <c r="F14202" s="7">
        <v>46021.73258452835</v>
      </c>
      <c r="G14202" s="3" t="s">
        <v>10250</v>
      </c>
    </row>
    <row r="14203">
      <c r="A14203" s="3" t="s">
        <v>30056</v>
      </c>
      <c r="B14203" s="3" t="s">
        <v>12144</v>
      </c>
      <c r="C14203" s="5" t="s">
        <v>221</v>
      </c>
      <c r="D14203" s="3" t="s">
        <v>614</v>
      </c>
      <c r="E14203" s="3" t="s">
        <v>118</v>
      </c>
      <c r="F14203" s="7">
        <v>46021.73605675057</v>
      </c>
      <c r="G14203" s="3" t="s">
        <v>10254</v>
      </c>
    </row>
    <row r="14204">
      <c r="A14204" s="3" t="s">
        <v>30057</v>
      </c>
      <c r="B14204" s="3" t="s">
        <v>12144</v>
      </c>
      <c r="C14204" s="5" t="s">
        <v>614</v>
      </c>
      <c r="D14204" s="3" t="s">
        <v>206</v>
      </c>
      <c r="E14204" s="3" t="s">
        <v>100</v>
      </c>
      <c r="F14204" s="7">
        <v>46021.739528972794</v>
      </c>
      <c r="G14204" s="3" t="s">
        <v>10257</v>
      </c>
    </row>
    <row r="14205">
      <c r="A14205" s="3" t="s">
        <v>30058</v>
      </c>
      <c r="B14205" s="3" t="s">
        <v>12144</v>
      </c>
      <c r="C14205" s="5" t="s">
        <v>206</v>
      </c>
      <c r="D14205" s="3" t="s">
        <v>68</v>
      </c>
      <c r="E14205" s="3" t="s">
        <v>100</v>
      </c>
      <c r="F14205" s="7">
        <v>46021.74300119501</v>
      </c>
      <c r="G14205" s="3" t="s">
        <v>10260</v>
      </c>
    </row>
    <row r="14206">
      <c r="A14206" s="3" t="s">
        <v>30059</v>
      </c>
      <c r="B14206" s="3" t="s">
        <v>12147</v>
      </c>
      <c r="C14206" s="5" t="s">
        <v>45</v>
      </c>
      <c r="D14206" s="3" t="s">
        <v>221</v>
      </c>
      <c r="E14206" s="3" t="s">
        <v>665</v>
      </c>
      <c r="F14206" s="7">
        <v>46021.80375937376</v>
      </c>
      <c r="G14206" s="3" t="s">
        <v>10330</v>
      </c>
    </row>
    <row r="14207">
      <c r="A14207" s="3" t="s">
        <v>30060</v>
      </c>
      <c r="B14207" s="3" t="s">
        <v>12147</v>
      </c>
      <c r="C14207" s="5" t="s">
        <v>221</v>
      </c>
      <c r="D14207" s="3" t="s">
        <v>614</v>
      </c>
      <c r="E14207" s="3" t="s">
        <v>118</v>
      </c>
      <c r="F14207" s="7">
        <v>46021.80723159598</v>
      </c>
      <c r="G14207" s="3" t="s">
        <v>10333</v>
      </c>
    </row>
    <row r="14208">
      <c r="A14208" s="3" t="s">
        <v>30061</v>
      </c>
      <c r="B14208" s="3" t="s">
        <v>12147</v>
      </c>
      <c r="C14208" s="5" t="s">
        <v>614</v>
      </c>
      <c r="D14208" s="3" t="s">
        <v>206</v>
      </c>
      <c r="E14208" s="3" t="s">
        <v>100</v>
      </c>
      <c r="F14208" s="7">
        <v>46021.810703818206</v>
      </c>
      <c r="G14208" s="3" t="s">
        <v>10335</v>
      </c>
    </row>
    <row r="14209">
      <c r="A14209" s="3" t="s">
        <v>30062</v>
      </c>
      <c r="B14209" s="3" t="s">
        <v>12147</v>
      </c>
      <c r="C14209" s="5" t="s">
        <v>206</v>
      </c>
      <c r="D14209" s="3" t="s">
        <v>68</v>
      </c>
      <c r="E14209" s="3" t="s">
        <v>100</v>
      </c>
      <c r="F14209" s="7">
        <v>46021.814176040425</v>
      </c>
      <c r="G14209" s="3" t="s">
        <v>10338</v>
      </c>
    </row>
    <row r="14210">
      <c r="A14210" s="3" t="s">
        <v>30063</v>
      </c>
      <c r="B14210" s="3" t="s">
        <v>12150</v>
      </c>
      <c r="C14210" s="5" t="s">
        <v>45</v>
      </c>
      <c r="D14210" s="3" t="s">
        <v>221</v>
      </c>
      <c r="E14210" s="3" t="s">
        <v>903</v>
      </c>
      <c r="F14210" s="7">
        <v>46021.87493421918</v>
      </c>
      <c r="G14210" s="3" t="s">
        <v>12191</v>
      </c>
    </row>
    <row r="14211">
      <c r="A14211" s="3" t="s">
        <v>30064</v>
      </c>
      <c r="B14211" s="3" t="s">
        <v>12150</v>
      </c>
      <c r="C14211" s="5" t="s">
        <v>221</v>
      </c>
      <c r="D14211" s="3" t="s">
        <v>614</v>
      </c>
      <c r="E14211" s="3" t="s">
        <v>118</v>
      </c>
      <c r="F14211" s="7">
        <v>46021.8784064414</v>
      </c>
      <c r="G14211" s="3" t="s">
        <v>12194</v>
      </c>
    </row>
    <row r="14212">
      <c r="A14212" s="3" t="s">
        <v>30065</v>
      </c>
      <c r="B14212" s="3" t="s">
        <v>12150</v>
      </c>
      <c r="C14212" s="5" t="s">
        <v>614</v>
      </c>
      <c r="D14212" s="3" t="s">
        <v>206</v>
      </c>
      <c r="E14212" s="3" t="s">
        <v>100</v>
      </c>
      <c r="F14212" s="7">
        <v>46021.881878663626</v>
      </c>
      <c r="G14212" s="3" t="s">
        <v>12197</v>
      </c>
    </row>
    <row r="14213">
      <c r="A14213" s="3" t="s">
        <v>30066</v>
      </c>
      <c r="B14213" s="3" t="s">
        <v>12150</v>
      </c>
      <c r="C14213" s="5" t="s">
        <v>206</v>
      </c>
      <c r="D14213" s="3" t="s">
        <v>68</v>
      </c>
      <c r="E14213" s="3" t="s">
        <v>100</v>
      </c>
      <c r="F14213" s="7">
        <v>46021.885350885845</v>
      </c>
      <c r="G14213" s="3" t="s">
        <v>12200</v>
      </c>
    </row>
    <row r="14214">
      <c r="A14214" s="3" t="s">
        <v>30067</v>
      </c>
      <c r="B14214" s="3" t="s">
        <v>12153</v>
      </c>
      <c r="C14214" s="5" t="s">
        <v>45</v>
      </c>
      <c r="D14214" s="3" t="s">
        <v>221</v>
      </c>
      <c r="E14214" s="3" t="s">
        <v>179</v>
      </c>
      <c r="F14214" s="7">
        <v>46021.94610906459</v>
      </c>
      <c r="G14214" s="3" t="s">
        <v>14445</v>
      </c>
    </row>
    <row r="14215">
      <c r="A14215" s="3" t="s">
        <v>30068</v>
      </c>
      <c r="B14215" s="3" t="s">
        <v>12153</v>
      </c>
      <c r="C14215" s="5" t="s">
        <v>221</v>
      </c>
      <c r="D14215" s="3" t="s">
        <v>614</v>
      </c>
      <c r="E14215" s="3" t="s">
        <v>118</v>
      </c>
      <c r="F14215" s="7">
        <v>46021.94958128681</v>
      </c>
      <c r="G14215" s="3" t="s">
        <v>14447</v>
      </c>
    </row>
    <row r="14216">
      <c r="A14216" s="3" t="s">
        <v>30069</v>
      </c>
      <c r="B14216" s="3" t="s">
        <v>12153</v>
      </c>
      <c r="C14216" s="5" t="s">
        <v>614</v>
      </c>
      <c r="D14216" s="3" t="s">
        <v>206</v>
      </c>
      <c r="E14216" s="3" t="s">
        <v>100</v>
      </c>
      <c r="F14216" s="7">
        <v>46021.95305350904</v>
      </c>
      <c r="G14216" s="3" t="s">
        <v>14450</v>
      </c>
    </row>
    <row r="14217">
      <c r="A14217" s="3" t="s">
        <v>30070</v>
      </c>
      <c r="B14217" s="3" t="s">
        <v>12153</v>
      </c>
      <c r="C14217" s="5" t="s">
        <v>206</v>
      </c>
      <c r="D14217" s="3" t="s">
        <v>68</v>
      </c>
      <c r="E14217" s="3" t="s">
        <v>100</v>
      </c>
      <c r="F14217" s="7">
        <v>46021.95652573126</v>
      </c>
      <c r="G14217" s="3" t="s">
        <v>14453</v>
      </c>
    </row>
    <row r="14218">
      <c r="A14218" s="3" t="s">
        <v>30071</v>
      </c>
      <c r="B14218" s="3" t="s">
        <v>12156</v>
      </c>
      <c r="C14218" s="5" t="s">
        <v>45</v>
      </c>
      <c r="D14218" s="3" t="s">
        <v>221</v>
      </c>
      <c r="E14218" s="3" t="s">
        <v>491</v>
      </c>
      <c r="F14218" s="7">
        <v>46022.017283910005</v>
      </c>
      <c r="G14218" s="3" t="s">
        <v>12761</v>
      </c>
    </row>
    <row r="14219">
      <c r="A14219" s="3" t="s">
        <v>30072</v>
      </c>
      <c r="B14219" s="3" t="s">
        <v>12156</v>
      </c>
      <c r="C14219" s="5" t="s">
        <v>221</v>
      </c>
      <c r="D14219" s="3" t="s">
        <v>181</v>
      </c>
      <c r="E14219" s="3" t="s">
        <v>118</v>
      </c>
      <c r="F14219" s="7">
        <v>46022.020756132224</v>
      </c>
      <c r="G14219" s="3" t="s">
        <v>12765</v>
      </c>
    </row>
    <row r="14220">
      <c r="A14220" s="3" t="s">
        <v>30073</v>
      </c>
      <c r="B14220" s="3" t="s">
        <v>12159</v>
      </c>
      <c r="C14220" s="5" t="s">
        <v>45</v>
      </c>
      <c r="D14220" s="3" t="s">
        <v>221</v>
      </c>
      <c r="E14220" s="3" t="s">
        <v>789</v>
      </c>
      <c r="F14220" s="7">
        <v>46022.088458755425</v>
      </c>
      <c r="G14220" s="3" t="s">
        <v>28782</v>
      </c>
    </row>
    <row r="14221">
      <c r="A14221" s="3" t="s">
        <v>30074</v>
      </c>
      <c r="B14221" s="3" t="s">
        <v>12159</v>
      </c>
      <c r="C14221" s="5" t="s">
        <v>221</v>
      </c>
      <c r="D14221" s="3" t="s">
        <v>181</v>
      </c>
      <c r="E14221" s="3" t="s">
        <v>118</v>
      </c>
      <c r="F14221" s="7">
        <v>46022.091930977644</v>
      </c>
      <c r="G14221" s="3" t="s">
        <v>30075</v>
      </c>
    </row>
    <row r="14222">
      <c r="A14222" s="3" t="s">
        <v>30076</v>
      </c>
      <c r="B14222" s="3" t="s">
        <v>12161</v>
      </c>
      <c r="C14222" s="5" t="s">
        <v>45</v>
      </c>
      <c r="D14222" s="3" t="s">
        <v>221</v>
      </c>
      <c r="E14222" s="3" t="s">
        <v>488</v>
      </c>
      <c r="F14222" s="7">
        <v>46022.159633600844</v>
      </c>
      <c r="G14222" s="3" t="s">
        <v>18405</v>
      </c>
    </row>
    <row r="14223">
      <c r="A14223" s="3" t="s">
        <v>30077</v>
      </c>
      <c r="B14223" s="3" t="s">
        <v>12161</v>
      </c>
      <c r="C14223" s="5" t="s">
        <v>221</v>
      </c>
      <c r="D14223" s="3" t="s">
        <v>614</v>
      </c>
      <c r="E14223" s="3" t="s">
        <v>118</v>
      </c>
      <c r="F14223" s="7">
        <v>46022.16310582306</v>
      </c>
      <c r="G14223" s="3" t="s">
        <v>18407</v>
      </c>
    </row>
    <row r="14224">
      <c r="A14224" s="3" t="s">
        <v>30078</v>
      </c>
      <c r="B14224" s="3" t="s">
        <v>12161</v>
      </c>
      <c r="C14224" s="5" t="s">
        <v>614</v>
      </c>
      <c r="D14224" s="3" t="s">
        <v>206</v>
      </c>
      <c r="E14224" s="3" t="s">
        <v>100</v>
      </c>
      <c r="F14224" s="7">
        <v>46022.16657804529</v>
      </c>
      <c r="G14224" s="3" t="s">
        <v>18410</v>
      </c>
    </row>
    <row r="14225">
      <c r="A14225" s="3" t="s">
        <v>30079</v>
      </c>
      <c r="B14225" s="3" t="s">
        <v>12161</v>
      </c>
      <c r="C14225" s="5" t="s">
        <v>206</v>
      </c>
      <c r="D14225" s="3" t="s">
        <v>68</v>
      </c>
      <c r="E14225" s="3" t="s">
        <v>100</v>
      </c>
      <c r="F14225" s="7">
        <v>46022.17005026751</v>
      </c>
      <c r="G14225" s="3" t="s">
        <v>18412</v>
      </c>
    </row>
    <row r="14226">
      <c r="A14226" s="3" t="s">
        <v>30080</v>
      </c>
      <c r="B14226" s="3" t="s">
        <v>12163</v>
      </c>
      <c r="C14226" s="5" t="s">
        <v>45</v>
      </c>
      <c r="D14226" s="3" t="s">
        <v>221</v>
      </c>
      <c r="E14226" s="3" t="s">
        <v>488</v>
      </c>
      <c r="F14226" s="7">
        <v>46022.23080844625</v>
      </c>
      <c r="G14226" s="3" t="s">
        <v>3337</v>
      </c>
    </row>
    <row r="14227">
      <c r="A14227" s="3" t="s">
        <v>30081</v>
      </c>
      <c r="B14227" s="3" t="s">
        <v>12163</v>
      </c>
      <c r="C14227" s="5" t="s">
        <v>221</v>
      </c>
      <c r="D14227" s="3" t="s">
        <v>614</v>
      </c>
      <c r="E14227" s="3" t="s">
        <v>118</v>
      </c>
      <c r="F14227" s="7">
        <v>46022.23428066847</v>
      </c>
      <c r="G14227" s="3" t="s">
        <v>3340</v>
      </c>
    </row>
    <row r="14228">
      <c r="A14228" s="3" t="s">
        <v>30082</v>
      </c>
      <c r="B14228" s="3" t="s">
        <v>12163</v>
      </c>
      <c r="C14228" s="5" t="s">
        <v>614</v>
      </c>
      <c r="D14228" s="3" t="s">
        <v>206</v>
      </c>
      <c r="E14228" s="3" t="s">
        <v>100</v>
      </c>
      <c r="F14228" s="7">
        <v>46022.237752890695</v>
      </c>
      <c r="G14228" s="3" t="s">
        <v>3343</v>
      </c>
    </row>
    <row r="14229">
      <c r="A14229" s="3" t="s">
        <v>30083</v>
      </c>
      <c r="B14229" s="3" t="s">
        <v>12163</v>
      </c>
      <c r="C14229" s="5" t="s">
        <v>206</v>
      </c>
      <c r="D14229" s="3" t="s">
        <v>68</v>
      </c>
      <c r="E14229" s="3" t="s">
        <v>100</v>
      </c>
      <c r="F14229" s="7">
        <v>46022.24122511291</v>
      </c>
      <c r="G14229" s="3" t="s">
        <v>3345</v>
      </c>
    </row>
    <row r="14230">
      <c r="A14230" s="3" t="s">
        <v>30084</v>
      </c>
      <c r="B14230" s="3" t="s">
        <v>12166</v>
      </c>
      <c r="C14230" s="5" t="s">
        <v>45</v>
      </c>
      <c r="D14230" s="3" t="s">
        <v>221</v>
      </c>
      <c r="E14230" s="3" t="s">
        <v>579</v>
      </c>
      <c r="F14230" s="7">
        <v>46022.30198329167</v>
      </c>
      <c r="G14230" s="3" t="s">
        <v>18421</v>
      </c>
    </row>
    <row r="14231">
      <c r="A14231" s="3" t="s">
        <v>30085</v>
      </c>
      <c r="B14231" s="3" t="s">
        <v>12166</v>
      </c>
      <c r="C14231" s="5" t="s">
        <v>221</v>
      </c>
      <c r="D14231" s="3" t="s">
        <v>614</v>
      </c>
      <c r="E14231" s="3" t="s">
        <v>118</v>
      </c>
      <c r="F14231" s="7">
        <v>46022.30545551389</v>
      </c>
      <c r="G14231" s="3" t="s">
        <v>18424</v>
      </c>
    </row>
    <row r="14232">
      <c r="A14232" s="3" t="s">
        <v>30086</v>
      </c>
      <c r="B14232" s="3" t="s">
        <v>12166</v>
      </c>
      <c r="C14232" s="5" t="s">
        <v>614</v>
      </c>
      <c r="D14232" s="3" t="s">
        <v>206</v>
      </c>
      <c r="E14232" s="3" t="s">
        <v>100</v>
      </c>
      <c r="F14232" s="7">
        <v>46022.308927736114</v>
      </c>
      <c r="G14232" s="3" t="s">
        <v>18427</v>
      </c>
    </row>
    <row r="14233">
      <c r="A14233" s="3" t="s">
        <v>30087</v>
      </c>
      <c r="B14233" s="3" t="s">
        <v>12166</v>
      </c>
      <c r="C14233" s="5" t="s">
        <v>206</v>
      </c>
      <c r="D14233" s="3" t="s">
        <v>68</v>
      </c>
      <c r="E14233" s="3" t="s">
        <v>100</v>
      </c>
      <c r="F14233" s="7">
        <v>46022.31239995833</v>
      </c>
      <c r="G14233" s="3" t="s">
        <v>18430</v>
      </c>
    </row>
    <row r="14234">
      <c r="A14234" s="3" t="s">
        <v>30088</v>
      </c>
      <c r="B14234" s="3" t="s">
        <v>12169</v>
      </c>
      <c r="C14234" s="5" t="s">
        <v>45</v>
      </c>
      <c r="D14234" s="3" t="s">
        <v>221</v>
      </c>
      <c r="E14234" s="3" t="s">
        <v>900</v>
      </c>
      <c r="F14234" s="7">
        <v>46022.37315813709</v>
      </c>
      <c r="G14234" s="3" t="s">
        <v>29773</v>
      </c>
    </row>
    <row r="14235">
      <c r="A14235" s="3" t="s">
        <v>30089</v>
      </c>
      <c r="B14235" s="3" t="s">
        <v>12169</v>
      </c>
      <c r="C14235" s="5" t="s">
        <v>221</v>
      </c>
      <c r="D14235" s="3" t="s">
        <v>614</v>
      </c>
      <c r="E14235" s="3" t="s">
        <v>118</v>
      </c>
      <c r="F14235" s="7">
        <v>46022.37663035931</v>
      </c>
      <c r="G14235" s="3" t="s">
        <v>29775</v>
      </c>
    </row>
    <row r="14236">
      <c r="A14236" s="3" t="s">
        <v>30090</v>
      </c>
      <c r="B14236" s="3" t="s">
        <v>12169</v>
      </c>
      <c r="C14236" s="5" t="s">
        <v>614</v>
      </c>
      <c r="D14236" s="3" t="s">
        <v>206</v>
      </c>
      <c r="E14236" s="3" t="s">
        <v>100</v>
      </c>
      <c r="F14236" s="7">
        <v>46022.380102581534</v>
      </c>
      <c r="G14236" s="3" t="s">
        <v>29777</v>
      </c>
    </row>
    <row r="14237">
      <c r="A14237" s="3" t="s">
        <v>30091</v>
      </c>
      <c r="B14237" s="3" t="s">
        <v>12169</v>
      </c>
      <c r="C14237" s="5" t="s">
        <v>206</v>
      </c>
      <c r="D14237" s="3" t="s">
        <v>68</v>
      </c>
      <c r="E14237" s="3" t="s">
        <v>100</v>
      </c>
      <c r="F14237" s="7">
        <v>46022.38357480375</v>
      </c>
      <c r="G14237" s="3" t="s">
        <v>29779</v>
      </c>
    </row>
    <row r="14238">
      <c r="A14238" s="3" t="s">
        <v>30092</v>
      </c>
      <c r="B14238" s="3" t="s">
        <v>12171</v>
      </c>
      <c r="C14238" s="5" t="s">
        <v>45</v>
      </c>
      <c r="D14238" s="3" t="s">
        <v>221</v>
      </c>
      <c r="E14238" s="3" t="s">
        <v>512</v>
      </c>
      <c r="F14238" s="7">
        <v>46022.4443329825</v>
      </c>
      <c r="G14238" s="3" t="s">
        <v>17592</v>
      </c>
    </row>
    <row r="14239">
      <c r="A14239" s="3" t="s">
        <v>30093</v>
      </c>
      <c r="B14239" s="3" t="s">
        <v>12171</v>
      </c>
      <c r="C14239" s="5" t="s">
        <v>221</v>
      </c>
      <c r="D14239" s="3" t="s">
        <v>614</v>
      </c>
      <c r="E14239" s="3" t="s">
        <v>118</v>
      </c>
      <c r="F14239" s="7">
        <v>46022.44780520472</v>
      </c>
      <c r="G14239" s="3" t="s">
        <v>19466</v>
      </c>
    </row>
    <row r="14240">
      <c r="A14240" s="3" t="s">
        <v>30094</v>
      </c>
      <c r="B14240" s="3" t="s">
        <v>12171</v>
      </c>
      <c r="C14240" s="5" t="s">
        <v>614</v>
      </c>
      <c r="D14240" s="3" t="s">
        <v>206</v>
      </c>
      <c r="E14240" s="3" t="s">
        <v>100</v>
      </c>
      <c r="F14240" s="7">
        <v>46022.451277426946</v>
      </c>
      <c r="G14240" s="3" t="s">
        <v>19469</v>
      </c>
    </row>
    <row r="14241">
      <c r="A14241" s="3" t="s">
        <v>30095</v>
      </c>
      <c r="B14241" s="3" t="s">
        <v>12171</v>
      </c>
      <c r="C14241" s="5" t="s">
        <v>206</v>
      </c>
      <c r="D14241" s="3" t="s">
        <v>68</v>
      </c>
      <c r="E14241" s="3" t="s">
        <v>100</v>
      </c>
      <c r="F14241" s="7">
        <v>46022.454749649165</v>
      </c>
      <c r="G14241" s="3" t="s">
        <v>19472</v>
      </c>
    </row>
    <row r="14242">
      <c r="A14242" s="3" t="s">
        <v>30096</v>
      </c>
      <c r="B14242" s="3" t="s">
        <v>12175</v>
      </c>
      <c r="C14242" s="5" t="s">
        <v>45</v>
      </c>
      <c r="D14242" s="3" t="s">
        <v>221</v>
      </c>
      <c r="E14242" s="3" t="s">
        <v>250</v>
      </c>
      <c r="F14242" s="7">
        <v>46022.51550782791</v>
      </c>
      <c r="G14242" s="3" t="s">
        <v>18846</v>
      </c>
    </row>
    <row r="14243">
      <c r="A14243" s="3" t="s">
        <v>30097</v>
      </c>
      <c r="B14243" s="3" t="s">
        <v>12175</v>
      </c>
      <c r="C14243" s="5" t="s">
        <v>221</v>
      </c>
      <c r="D14243" s="3" t="s">
        <v>614</v>
      </c>
      <c r="E14243" s="3" t="s">
        <v>118</v>
      </c>
      <c r="F14243" s="7">
        <v>46022.51898005013</v>
      </c>
      <c r="G14243" s="3" t="s">
        <v>18849</v>
      </c>
    </row>
    <row r="14244">
      <c r="A14244" s="3" t="s">
        <v>30098</v>
      </c>
      <c r="B14244" s="3" t="s">
        <v>12175</v>
      </c>
      <c r="C14244" s="5" t="s">
        <v>614</v>
      </c>
      <c r="D14244" s="3" t="s">
        <v>206</v>
      </c>
      <c r="E14244" s="3" t="s">
        <v>100</v>
      </c>
      <c r="F14244" s="7">
        <v>46022.52245227236</v>
      </c>
      <c r="G14244" s="3" t="s">
        <v>18852</v>
      </c>
    </row>
    <row r="14245">
      <c r="A14245" s="3" t="s">
        <v>30099</v>
      </c>
      <c r="B14245" s="3" t="s">
        <v>12175</v>
      </c>
      <c r="C14245" s="5" t="s">
        <v>206</v>
      </c>
      <c r="D14245" s="3" t="s">
        <v>68</v>
      </c>
      <c r="E14245" s="3" t="s">
        <v>100</v>
      </c>
      <c r="F14245" s="7">
        <v>46022.52592449458</v>
      </c>
      <c r="G14245" s="3" t="s">
        <v>18855</v>
      </c>
    </row>
    <row r="14246">
      <c r="A14246" s="3" t="s">
        <v>30100</v>
      </c>
      <c r="B14246" s="3" t="s">
        <v>12178</v>
      </c>
      <c r="C14246" s="5" t="s">
        <v>45</v>
      </c>
      <c r="D14246" s="3" t="s">
        <v>221</v>
      </c>
      <c r="E14246" s="3" t="s">
        <v>1008</v>
      </c>
      <c r="F14246" s="7">
        <v>46022.58668267333</v>
      </c>
      <c r="G14246" s="3" t="s">
        <v>30101</v>
      </c>
    </row>
    <row r="14247">
      <c r="A14247" s="3" t="s">
        <v>30102</v>
      </c>
      <c r="B14247" s="3" t="s">
        <v>12178</v>
      </c>
      <c r="C14247" s="5" t="s">
        <v>221</v>
      </c>
      <c r="D14247" s="3" t="s">
        <v>181</v>
      </c>
      <c r="E14247" s="3" t="s">
        <v>118</v>
      </c>
      <c r="F14247" s="7">
        <v>46022.59015489555</v>
      </c>
      <c r="G14247" s="3" t="s">
        <v>30103</v>
      </c>
    </row>
    <row r="14248">
      <c r="A14248" s="3" t="s">
        <v>30104</v>
      </c>
      <c r="B14248" s="3" t="s">
        <v>12181</v>
      </c>
      <c r="C14248" s="5" t="s">
        <v>45</v>
      </c>
      <c r="D14248" s="3" t="s">
        <v>221</v>
      </c>
      <c r="E14248" s="3" t="s">
        <v>596</v>
      </c>
      <c r="F14248" s="7">
        <v>46022.657857518745</v>
      </c>
      <c r="G14248" s="3" t="s">
        <v>27629</v>
      </c>
    </row>
    <row r="14249">
      <c r="A14249" s="3" t="s">
        <v>30105</v>
      </c>
      <c r="B14249" s="3" t="s">
        <v>12181</v>
      </c>
      <c r="C14249" s="5" t="s">
        <v>221</v>
      </c>
      <c r="D14249" s="3" t="s">
        <v>614</v>
      </c>
      <c r="E14249" s="3" t="s">
        <v>118</v>
      </c>
      <c r="F14249" s="7">
        <v>46022.661329740964</v>
      </c>
      <c r="G14249" s="3" t="s">
        <v>27631</v>
      </c>
    </row>
    <row r="14250">
      <c r="A14250" s="3" t="s">
        <v>30106</v>
      </c>
      <c r="B14250" s="3" t="s">
        <v>12181</v>
      </c>
      <c r="C14250" s="5" t="s">
        <v>614</v>
      </c>
      <c r="D14250" s="3" t="s">
        <v>206</v>
      </c>
      <c r="E14250" s="3" t="s">
        <v>100</v>
      </c>
      <c r="F14250" s="7">
        <v>46022.66480196319</v>
      </c>
      <c r="G14250" s="3" t="s">
        <v>27633</v>
      </c>
    </row>
    <row r="14251">
      <c r="A14251" s="3" t="s">
        <v>30107</v>
      </c>
      <c r="B14251" s="3" t="s">
        <v>12181</v>
      </c>
      <c r="C14251" s="5" t="s">
        <v>206</v>
      </c>
      <c r="D14251" s="3" t="s">
        <v>68</v>
      </c>
      <c r="E14251" s="3" t="s">
        <v>100</v>
      </c>
      <c r="F14251" s="7">
        <v>46022.66827418541</v>
      </c>
      <c r="G14251" s="3" t="s">
        <v>27635</v>
      </c>
    </row>
    <row r="14252">
      <c r="A14252" s="3" t="s">
        <v>30108</v>
      </c>
      <c r="B14252" s="3" t="s">
        <v>12184</v>
      </c>
      <c r="C14252" s="5" t="s">
        <v>45</v>
      </c>
      <c r="D14252" s="3" t="s">
        <v>221</v>
      </c>
      <c r="E14252" s="3" t="s">
        <v>398</v>
      </c>
      <c r="F14252" s="7">
        <v>46022.72903236416</v>
      </c>
      <c r="G14252" s="3" t="s">
        <v>2770</v>
      </c>
    </row>
    <row r="14253">
      <c r="A14253" s="3" t="s">
        <v>30109</v>
      </c>
      <c r="B14253" s="3" t="s">
        <v>12184</v>
      </c>
      <c r="C14253" s="5" t="s">
        <v>221</v>
      </c>
      <c r="D14253" s="3" t="s">
        <v>181</v>
      </c>
      <c r="E14253" s="3" t="s">
        <v>118</v>
      </c>
      <c r="F14253" s="7">
        <v>46022.732504586376</v>
      </c>
      <c r="G14253" s="3" t="s">
        <v>2774</v>
      </c>
    </row>
    <row r="14254">
      <c r="A14254" s="3" t="s">
        <v>30110</v>
      </c>
      <c r="B14254" s="3" t="s">
        <v>12187</v>
      </c>
      <c r="C14254" s="5" t="s">
        <v>45</v>
      </c>
      <c r="D14254" s="3" t="s">
        <v>221</v>
      </c>
      <c r="E14254" s="3" t="s">
        <v>333</v>
      </c>
      <c r="F14254" s="7">
        <v>46022.80020720958</v>
      </c>
      <c r="G14254" s="3" t="s">
        <v>26711</v>
      </c>
    </row>
    <row r="14255">
      <c r="A14255" s="3" t="s">
        <v>30111</v>
      </c>
      <c r="B14255" s="3" t="s">
        <v>12187</v>
      </c>
      <c r="C14255" s="5" t="s">
        <v>221</v>
      </c>
      <c r="D14255" s="3" t="s">
        <v>614</v>
      </c>
      <c r="E14255" s="3" t="s">
        <v>118</v>
      </c>
      <c r="F14255" s="7">
        <v>46022.803679431796</v>
      </c>
      <c r="G14255" s="3" t="s">
        <v>26713</v>
      </c>
    </row>
    <row r="14256">
      <c r="A14256" s="3" t="s">
        <v>30112</v>
      </c>
      <c r="B14256" s="3" t="s">
        <v>12187</v>
      </c>
      <c r="C14256" s="5" t="s">
        <v>614</v>
      </c>
      <c r="D14256" s="3" t="s">
        <v>206</v>
      </c>
      <c r="E14256" s="3" t="s">
        <v>100</v>
      </c>
      <c r="F14256" s="7">
        <v>46022.80715165402</v>
      </c>
      <c r="G14256" s="3" t="s">
        <v>26715</v>
      </c>
    </row>
    <row r="14257">
      <c r="A14257" s="3" t="s">
        <v>30113</v>
      </c>
      <c r="B14257" s="3" t="s">
        <v>12187</v>
      </c>
      <c r="C14257" s="5" t="s">
        <v>206</v>
      </c>
      <c r="D14257" s="3" t="s">
        <v>68</v>
      </c>
      <c r="E14257" s="3" t="s">
        <v>100</v>
      </c>
      <c r="F14257" s="7">
        <v>46022.81062387624</v>
      </c>
      <c r="G14257" s="3" t="s">
        <v>26717</v>
      </c>
    </row>
    <row r="14258">
      <c r="A14258" s="3" t="s">
        <v>30114</v>
      </c>
      <c r="B14258" s="3" t="s">
        <v>12190</v>
      </c>
      <c r="C14258" s="5" t="s">
        <v>45</v>
      </c>
      <c r="D14258" s="3" t="s">
        <v>221</v>
      </c>
      <c r="E14258" s="3" t="s">
        <v>224</v>
      </c>
      <c r="F14258" s="7">
        <v>46022.87138205499</v>
      </c>
      <c r="G14258" s="3" t="s">
        <v>21743</v>
      </c>
    </row>
    <row r="14259">
      <c r="A14259" s="3" t="s">
        <v>30115</v>
      </c>
      <c r="B14259" s="3" t="s">
        <v>12190</v>
      </c>
      <c r="C14259" s="5" t="s">
        <v>221</v>
      </c>
      <c r="D14259" s="3" t="s">
        <v>614</v>
      </c>
      <c r="E14259" s="3" t="s">
        <v>118</v>
      </c>
      <c r="F14259" s="7">
        <v>46022.87485427721</v>
      </c>
      <c r="G14259" s="3" t="s">
        <v>21746</v>
      </c>
    </row>
    <row r="14260">
      <c r="A14260" s="3" t="s">
        <v>30116</v>
      </c>
      <c r="B14260" s="3" t="s">
        <v>12190</v>
      </c>
      <c r="C14260" s="5" t="s">
        <v>614</v>
      </c>
      <c r="D14260" s="3" t="s">
        <v>206</v>
      </c>
      <c r="E14260" s="3" t="s">
        <v>100</v>
      </c>
      <c r="F14260" s="7">
        <v>46022.878326499434</v>
      </c>
      <c r="G14260" s="3" t="s">
        <v>21749</v>
      </c>
    </row>
    <row r="14261">
      <c r="A14261" s="3" t="s">
        <v>30117</v>
      </c>
      <c r="B14261" s="3" t="s">
        <v>12190</v>
      </c>
      <c r="C14261" s="5" t="s">
        <v>206</v>
      </c>
      <c r="D14261" s="3" t="s">
        <v>68</v>
      </c>
      <c r="E14261" s="3" t="s">
        <v>100</v>
      </c>
      <c r="F14261" s="7">
        <v>46022.88179872165</v>
      </c>
      <c r="G14261" s="3" t="s">
        <v>21752</v>
      </c>
    </row>
    <row r="14262">
      <c r="A14262" s="3" t="s">
        <v>30118</v>
      </c>
      <c r="B14262" s="3" t="s">
        <v>12193</v>
      </c>
      <c r="C14262" s="5" t="s">
        <v>45</v>
      </c>
      <c r="D14262" s="3" t="s">
        <v>221</v>
      </c>
      <c r="E14262" s="3" t="s">
        <v>702</v>
      </c>
      <c r="F14262" s="7">
        <v>46022.9425569004</v>
      </c>
      <c r="G14262" s="3" t="s">
        <v>5617</v>
      </c>
    </row>
    <row r="14263">
      <c r="A14263" s="3" t="s">
        <v>30119</v>
      </c>
      <c r="B14263" s="3" t="s">
        <v>12193</v>
      </c>
      <c r="C14263" s="5" t="s">
        <v>221</v>
      </c>
      <c r="D14263" s="3" t="s">
        <v>614</v>
      </c>
      <c r="E14263" s="3" t="s">
        <v>118</v>
      </c>
      <c r="F14263" s="7">
        <v>46022.94602912262</v>
      </c>
      <c r="G14263" s="3" t="s">
        <v>12838</v>
      </c>
    </row>
    <row r="14264">
      <c r="A14264" s="3" t="s">
        <v>30120</v>
      </c>
      <c r="B14264" s="3" t="s">
        <v>12193</v>
      </c>
      <c r="C14264" s="5" t="s">
        <v>614</v>
      </c>
      <c r="D14264" s="3" t="s">
        <v>206</v>
      </c>
      <c r="E14264" s="3" t="s">
        <v>100</v>
      </c>
      <c r="F14264" s="7">
        <v>46022.94950134485</v>
      </c>
      <c r="G14264" s="3" t="s">
        <v>12841</v>
      </c>
    </row>
    <row r="14265">
      <c r="A14265" s="3" t="s">
        <v>30121</v>
      </c>
      <c r="B14265" s="3" t="s">
        <v>12193</v>
      </c>
      <c r="C14265" s="5" t="s">
        <v>206</v>
      </c>
      <c r="D14265" s="3" t="s">
        <v>68</v>
      </c>
      <c r="E14265" s="3" t="s">
        <v>100</v>
      </c>
      <c r="F14265" s="7">
        <v>46022.952973567066</v>
      </c>
      <c r="G14265" s="3" t="s">
        <v>12844</v>
      </c>
    </row>
    <row r="14266">
      <c r="A14266" s="3" t="s">
        <v>30122</v>
      </c>
      <c r="B14266" s="3" t="s">
        <v>12196</v>
      </c>
      <c r="C14266" s="5" t="s">
        <v>45</v>
      </c>
      <c r="D14266" s="3" t="s">
        <v>221</v>
      </c>
      <c r="E14266" s="3" t="s">
        <v>352</v>
      </c>
      <c r="F14266" s="7">
        <v>46023.01373174582</v>
      </c>
      <c r="G14266" s="3" t="s">
        <v>11723</v>
      </c>
    </row>
    <row r="14267">
      <c r="A14267" s="3" t="s">
        <v>30123</v>
      </c>
      <c r="B14267" s="3" t="s">
        <v>12196</v>
      </c>
      <c r="C14267" s="5" t="s">
        <v>221</v>
      </c>
      <c r="D14267" s="3" t="s">
        <v>614</v>
      </c>
      <c r="E14267" s="3" t="s">
        <v>118</v>
      </c>
      <c r="F14267" s="7">
        <v>46023.01720396804</v>
      </c>
      <c r="G14267" s="3" t="s">
        <v>11725</v>
      </c>
    </row>
    <row r="14268">
      <c r="A14268" s="3" t="s">
        <v>30124</v>
      </c>
      <c r="B14268" s="3" t="s">
        <v>12196</v>
      </c>
      <c r="C14268" s="5" t="s">
        <v>614</v>
      </c>
      <c r="D14268" s="3" t="s">
        <v>206</v>
      </c>
      <c r="E14268" s="3" t="s">
        <v>100</v>
      </c>
      <c r="F14268" s="7">
        <v>46023.02067619027</v>
      </c>
      <c r="G14268" s="3" t="s">
        <v>11728</v>
      </c>
    </row>
    <row r="14269">
      <c r="A14269" s="3" t="s">
        <v>30125</v>
      </c>
      <c r="B14269" s="3" t="s">
        <v>12196</v>
      </c>
      <c r="C14269" s="5" t="s">
        <v>206</v>
      </c>
      <c r="D14269" s="3" t="s">
        <v>68</v>
      </c>
      <c r="E14269" s="3" t="s">
        <v>100</v>
      </c>
      <c r="F14269" s="7">
        <v>46023.024148412485</v>
      </c>
      <c r="G14269" s="3" t="s">
        <v>11731</v>
      </c>
    </row>
    <row r="14270">
      <c r="A14270" s="3" t="s">
        <v>30126</v>
      </c>
      <c r="B14270" s="3" t="s">
        <v>12199</v>
      </c>
      <c r="C14270" s="5" t="s">
        <v>45</v>
      </c>
      <c r="D14270" s="3" t="s">
        <v>221</v>
      </c>
      <c r="E14270" s="3" t="s">
        <v>710</v>
      </c>
      <c r="F14270" s="7">
        <v>46023.08490659123</v>
      </c>
      <c r="G14270" s="3" t="s">
        <v>3348</v>
      </c>
    </row>
    <row r="14271">
      <c r="A14271" s="3" t="s">
        <v>30127</v>
      </c>
      <c r="B14271" s="3" t="s">
        <v>12199</v>
      </c>
      <c r="C14271" s="5" t="s">
        <v>221</v>
      </c>
      <c r="D14271" s="3" t="s">
        <v>614</v>
      </c>
      <c r="E14271" s="3" t="s">
        <v>118</v>
      </c>
      <c r="F14271" s="7">
        <v>46023.08837881345</v>
      </c>
      <c r="G14271" s="3" t="s">
        <v>3351</v>
      </c>
    </row>
    <row r="14272">
      <c r="A14272" s="3" t="s">
        <v>30128</v>
      </c>
      <c r="B14272" s="3" t="s">
        <v>12199</v>
      </c>
      <c r="C14272" s="5" t="s">
        <v>614</v>
      </c>
      <c r="D14272" s="3" t="s">
        <v>206</v>
      </c>
      <c r="E14272" s="3" t="s">
        <v>100</v>
      </c>
      <c r="F14272" s="7">
        <v>46023.09185103568</v>
      </c>
      <c r="G14272" s="3" t="s">
        <v>3353</v>
      </c>
    </row>
    <row r="14273">
      <c r="A14273" s="3" t="s">
        <v>30129</v>
      </c>
      <c r="B14273" s="3" t="s">
        <v>12199</v>
      </c>
      <c r="C14273" s="5" t="s">
        <v>206</v>
      </c>
      <c r="D14273" s="3" t="s">
        <v>68</v>
      </c>
      <c r="E14273" s="3" t="s">
        <v>100</v>
      </c>
      <c r="F14273" s="7">
        <v>46023.0953232579</v>
      </c>
      <c r="G14273" s="3" t="s">
        <v>3356</v>
      </c>
    </row>
    <row r="14274">
      <c r="A14274" s="3" t="s">
        <v>30130</v>
      </c>
      <c r="B14274" s="3" t="s">
        <v>12202</v>
      </c>
      <c r="C14274" s="5" t="s">
        <v>45</v>
      </c>
      <c r="D14274" s="3" t="s">
        <v>221</v>
      </c>
      <c r="E14274" s="3" t="s">
        <v>260</v>
      </c>
      <c r="F14274" s="7">
        <v>46023.156081436646</v>
      </c>
      <c r="G14274" s="3" t="s">
        <v>17230</v>
      </c>
    </row>
    <row r="14275">
      <c r="A14275" s="3" t="s">
        <v>30131</v>
      </c>
      <c r="B14275" s="3" t="s">
        <v>12202</v>
      </c>
      <c r="C14275" s="5" t="s">
        <v>221</v>
      </c>
      <c r="D14275" s="3" t="s">
        <v>614</v>
      </c>
      <c r="E14275" s="3" t="s">
        <v>118</v>
      </c>
      <c r="F14275" s="7">
        <v>46023.159553658865</v>
      </c>
      <c r="G14275" s="3" t="s">
        <v>17233</v>
      </c>
    </row>
    <row r="14276">
      <c r="A14276" s="3" t="s">
        <v>30132</v>
      </c>
      <c r="B14276" s="3" t="s">
        <v>12202</v>
      </c>
      <c r="C14276" s="5" t="s">
        <v>614</v>
      </c>
      <c r="D14276" s="3" t="s">
        <v>206</v>
      </c>
      <c r="E14276" s="3" t="s">
        <v>100</v>
      </c>
      <c r="F14276" s="7">
        <v>46023.16302588109</v>
      </c>
      <c r="G14276" s="3" t="s">
        <v>17236</v>
      </c>
    </row>
    <row r="14277">
      <c r="A14277" s="3" t="s">
        <v>30133</v>
      </c>
      <c r="B14277" s="3" t="s">
        <v>12202</v>
      </c>
      <c r="C14277" s="5" t="s">
        <v>206</v>
      </c>
      <c r="D14277" s="3" t="s">
        <v>68</v>
      </c>
      <c r="E14277" s="3" t="s">
        <v>100</v>
      </c>
      <c r="F14277" s="7">
        <v>46023.16649810331</v>
      </c>
      <c r="G14277" s="3" t="s">
        <v>17238</v>
      </c>
    </row>
    <row r="14278">
      <c r="A14278" s="3" t="s">
        <v>30134</v>
      </c>
      <c r="B14278" s="3" t="s">
        <v>12205</v>
      </c>
      <c r="C14278" s="5" t="s">
        <v>45</v>
      </c>
      <c r="D14278" s="3" t="s">
        <v>221</v>
      </c>
      <c r="E14278" s="3" t="s">
        <v>455</v>
      </c>
      <c r="F14278" s="7">
        <v>46023.227256282065</v>
      </c>
      <c r="G14278" s="3" t="s">
        <v>2770</v>
      </c>
    </row>
    <row r="14279">
      <c r="A14279" s="3" t="s">
        <v>30135</v>
      </c>
      <c r="B14279" s="3" t="s">
        <v>12205</v>
      </c>
      <c r="C14279" s="5" t="s">
        <v>221</v>
      </c>
      <c r="D14279" s="3" t="s">
        <v>195</v>
      </c>
      <c r="E14279" s="3" t="s">
        <v>455</v>
      </c>
      <c r="F14279" s="7">
        <v>46023.230728504284</v>
      </c>
      <c r="G14279" s="3" t="s">
        <v>3055</v>
      </c>
    </row>
    <row r="14280">
      <c r="A14280" s="3" t="s">
        <v>30136</v>
      </c>
      <c r="B14280" s="3" t="s">
        <v>12208</v>
      </c>
      <c r="C14280" s="5" t="s">
        <v>45</v>
      </c>
      <c r="D14280" s="3" t="s">
        <v>221</v>
      </c>
      <c r="E14280" s="3" t="s">
        <v>1037</v>
      </c>
      <c r="F14280" s="7">
        <v>46023.298431127485</v>
      </c>
      <c r="G14280" s="3" t="s">
        <v>30137</v>
      </c>
    </row>
    <row r="14281">
      <c r="A14281" s="3" t="s">
        <v>30138</v>
      </c>
      <c r="B14281" s="3" t="s">
        <v>12208</v>
      </c>
      <c r="C14281" s="5" t="s">
        <v>221</v>
      </c>
      <c r="D14281" s="3" t="s">
        <v>195</v>
      </c>
      <c r="E14281" s="3" t="s">
        <v>1037</v>
      </c>
      <c r="F14281" s="7">
        <v>46023.301903349704</v>
      </c>
      <c r="G14281" s="3" t="s">
        <v>30139</v>
      </c>
    </row>
    <row r="14282">
      <c r="A14282" s="3" t="s">
        <v>30140</v>
      </c>
      <c r="B14282" s="3" t="s">
        <v>12213</v>
      </c>
      <c r="C14282" s="5" t="s">
        <v>45</v>
      </c>
      <c r="D14282" s="3" t="s">
        <v>221</v>
      </c>
      <c r="E14282" s="3" t="s">
        <v>689</v>
      </c>
      <c r="F14282" s="7">
        <v>46023.36960597289</v>
      </c>
      <c r="G14282" s="3" t="s">
        <v>9744</v>
      </c>
    </row>
    <row r="14283">
      <c r="A14283" s="3" t="s">
        <v>30141</v>
      </c>
      <c r="B14283" s="3" t="s">
        <v>12213</v>
      </c>
      <c r="C14283" s="5" t="s">
        <v>221</v>
      </c>
      <c r="D14283" s="3" t="s">
        <v>614</v>
      </c>
      <c r="E14283" s="3" t="s">
        <v>118</v>
      </c>
      <c r="F14283" s="7">
        <v>46023.37307819511</v>
      </c>
      <c r="G14283" s="3" t="s">
        <v>9747</v>
      </c>
    </row>
    <row r="14284">
      <c r="A14284" s="3" t="s">
        <v>30142</v>
      </c>
      <c r="B14284" s="3" t="s">
        <v>12213</v>
      </c>
      <c r="C14284" s="5" t="s">
        <v>614</v>
      </c>
      <c r="D14284" s="3" t="s">
        <v>206</v>
      </c>
      <c r="E14284" s="3" t="s">
        <v>100</v>
      </c>
      <c r="F14284" s="7">
        <v>46023.376550417335</v>
      </c>
      <c r="G14284" s="3" t="s">
        <v>9750</v>
      </c>
    </row>
    <row r="14285">
      <c r="A14285" s="3" t="s">
        <v>30143</v>
      </c>
      <c r="B14285" s="3" t="s">
        <v>12213</v>
      </c>
      <c r="C14285" s="5" t="s">
        <v>206</v>
      </c>
      <c r="D14285" s="3" t="s">
        <v>68</v>
      </c>
      <c r="E14285" s="3" t="s">
        <v>100</v>
      </c>
      <c r="F14285" s="7">
        <v>46023.380022639554</v>
      </c>
      <c r="G14285" s="3" t="s">
        <v>9753</v>
      </c>
    </row>
    <row r="14286">
      <c r="A14286" s="3" t="s">
        <v>30144</v>
      </c>
      <c r="B14286" s="3" t="s">
        <v>12216</v>
      </c>
      <c r="C14286" s="5" t="s">
        <v>45</v>
      </c>
      <c r="D14286" s="3" t="s">
        <v>221</v>
      </c>
      <c r="E14286" s="3" t="s">
        <v>980</v>
      </c>
      <c r="F14286" s="7">
        <v>46023.44078081831</v>
      </c>
      <c r="G14286" s="3" t="s">
        <v>30145</v>
      </c>
    </row>
    <row r="14287">
      <c r="A14287" s="3" t="s">
        <v>30146</v>
      </c>
      <c r="B14287" s="3" t="s">
        <v>12216</v>
      </c>
      <c r="C14287" s="5" t="s">
        <v>221</v>
      </c>
      <c r="D14287" s="3" t="s">
        <v>614</v>
      </c>
      <c r="E14287" s="3" t="s">
        <v>118</v>
      </c>
      <c r="F14287" s="7">
        <v>46023.44425304053</v>
      </c>
      <c r="G14287" s="3" t="s">
        <v>30147</v>
      </c>
    </row>
    <row r="14288">
      <c r="A14288" s="3" t="s">
        <v>30148</v>
      </c>
      <c r="B14288" s="3" t="s">
        <v>12216</v>
      </c>
      <c r="C14288" s="5" t="s">
        <v>614</v>
      </c>
      <c r="D14288" s="3" t="s">
        <v>206</v>
      </c>
      <c r="E14288" s="3" t="s">
        <v>100</v>
      </c>
      <c r="F14288" s="7">
        <v>46023.447725262755</v>
      </c>
      <c r="G14288" s="3" t="s">
        <v>30149</v>
      </c>
    </row>
    <row r="14289">
      <c r="A14289" s="3" t="s">
        <v>30150</v>
      </c>
      <c r="B14289" s="3" t="s">
        <v>12216</v>
      </c>
      <c r="C14289" s="5" t="s">
        <v>206</v>
      </c>
      <c r="D14289" s="3" t="s">
        <v>68</v>
      </c>
      <c r="E14289" s="3" t="s">
        <v>100</v>
      </c>
      <c r="F14289" s="7">
        <v>46023.451197484974</v>
      </c>
      <c r="G14289" s="3" t="s">
        <v>30151</v>
      </c>
    </row>
    <row r="14290">
      <c r="A14290" s="3" t="s">
        <v>30152</v>
      </c>
      <c r="B14290" s="3" t="s">
        <v>12219</v>
      </c>
      <c r="C14290" s="5" t="s">
        <v>45</v>
      </c>
      <c r="D14290" s="3" t="s">
        <v>221</v>
      </c>
      <c r="E14290" s="3" t="s">
        <v>460</v>
      </c>
      <c r="F14290" s="7">
        <v>46023.51195566373</v>
      </c>
      <c r="G14290" s="3" t="s">
        <v>10758</v>
      </c>
    </row>
    <row r="14291">
      <c r="A14291" s="3" t="s">
        <v>30153</v>
      </c>
      <c r="B14291" s="3" t="s">
        <v>12219</v>
      </c>
      <c r="C14291" s="5" t="s">
        <v>221</v>
      </c>
      <c r="D14291" s="3" t="s">
        <v>614</v>
      </c>
      <c r="E14291" s="3" t="s">
        <v>118</v>
      </c>
      <c r="F14291" s="7">
        <v>46023.51542788595</v>
      </c>
      <c r="G14291" s="3" t="s">
        <v>10761</v>
      </c>
    </row>
    <row r="14292">
      <c r="A14292" s="3" t="s">
        <v>30154</v>
      </c>
      <c r="B14292" s="3" t="s">
        <v>12219</v>
      </c>
      <c r="C14292" s="5" t="s">
        <v>614</v>
      </c>
      <c r="D14292" s="3" t="s">
        <v>206</v>
      </c>
      <c r="E14292" s="3" t="s">
        <v>100</v>
      </c>
      <c r="F14292" s="7">
        <v>46023.518900108174</v>
      </c>
      <c r="G14292" s="3" t="s">
        <v>10763</v>
      </c>
    </row>
    <row r="14293">
      <c r="A14293" s="3" t="s">
        <v>30155</v>
      </c>
      <c r="B14293" s="3" t="s">
        <v>12219</v>
      </c>
      <c r="C14293" s="5" t="s">
        <v>206</v>
      </c>
      <c r="D14293" s="3" t="s">
        <v>68</v>
      </c>
      <c r="E14293" s="3" t="s">
        <v>100</v>
      </c>
      <c r="F14293" s="7">
        <v>46023.52237233039</v>
      </c>
      <c r="G14293" s="3" t="s">
        <v>10766</v>
      </c>
    </row>
    <row r="14294">
      <c r="A14294" s="3" t="s">
        <v>30156</v>
      </c>
      <c r="B14294" s="3" t="s">
        <v>12222</v>
      </c>
      <c r="C14294" s="5" t="s">
        <v>45</v>
      </c>
      <c r="D14294" s="3" t="s">
        <v>221</v>
      </c>
      <c r="E14294" s="3" t="s">
        <v>544</v>
      </c>
      <c r="F14294" s="7">
        <v>46023.58313050914</v>
      </c>
      <c r="G14294" s="3" t="s">
        <v>30157</v>
      </c>
    </row>
    <row r="14295">
      <c r="A14295" s="3" t="s">
        <v>30158</v>
      </c>
      <c r="B14295" s="3" t="s">
        <v>12222</v>
      </c>
      <c r="C14295" s="5" t="s">
        <v>221</v>
      </c>
      <c r="D14295" s="3" t="s">
        <v>614</v>
      </c>
      <c r="E14295" s="3" t="s">
        <v>118</v>
      </c>
      <c r="F14295" s="7">
        <v>46023.58660273136</v>
      </c>
      <c r="G14295" s="3" t="s">
        <v>30159</v>
      </c>
    </row>
    <row r="14296">
      <c r="A14296" s="3" t="s">
        <v>30160</v>
      </c>
      <c r="B14296" s="3" t="s">
        <v>12222</v>
      </c>
      <c r="C14296" s="5" t="s">
        <v>614</v>
      </c>
      <c r="D14296" s="3" t="s">
        <v>206</v>
      </c>
      <c r="E14296" s="3" t="s">
        <v>100</v>
      </c>
      <c r="F14296" s="7">
        <v>46023.59007495359</v>
      </c>
      <c r="G14296" s="3" t="s">
        <v>30161</v>
      </c>
    </row>
    <row r="14297">
      <c r="A14297" s="3" t="s">
        <v>30162</v>
      </c>
      <c r="B14297" s="3" t="s">
        <v>12222</v>
      </c>
      <c r="C14297" s="5" t="s">
        <v>206</v>
      </c>
      <c r="D14297" s="3" t="s">
        <v>68</v>
      </c>
      <c r="E14297" s="3" t="s">
        <v>100</v>
      </c>
      <c r="F14297" s="7">
        <v>46023.593547175806</v>
      </c>
      <c r="G14297" s="3" t="s">
        <v>30163</v>
      </c>
    </row>
    <row r="14298">
      <c r="A14298" s="3" t="s">
        <v>30164</v>
      </c>
      <c r="B14298" s="3" t="s">
        <v>12225</v>
      </c>
      <c r="C14298" s="5" t="s">
        <v>45</v>
      </c>
      <c r="D14298" s="3" t="s">
        <v>221</v>
      </c>
      <c r="E14298" s="3" t="s">
        <v>440</v>
      </c>
      <c r="F14298" s="7">
        <v>46023.654305354554</v>
      </c>
      <c r="G14298" s="3" t="s">
        <v>3359</v>
      </c>
    </row>
    <row r="14299">
      <c r="A14299" s="3" t="s">
        <v>30165</v>
      </c>
      <c r="B14299" s="3" t="s">
        <v>12225</v>
      </c>
      <c r="C14299" s="5" t="s">
        <v>221</v>
      </c>
      <c r="D14299" s="3" t="s">
        <v>614</v>
      </c>
      <c r="E14299" s="3" t="s">
        <v>118</v>
      </c>
      <c r="F14299" s="7">
        <v>46023.65777757677</v>
      </c>
      <c r="G14299" s="3" t="s">
        <v>3362</v>
      </c>
    </row>
    <row r="14300">
      <c r="A14300" s="3" t="s">
        <v>30166</v>
      </c>
      <c r="B14300" s="3" t="s">
        <v>12225</v>
      </c>
      <c r="C14300" s="5" t="s">
        <v>614</v>
      </c>
      <c r="D14300" s="3" t="s">
        <v>206</v>
      </c>
      <c r="E14300" s="3" t="s">
        <v>100</v>
      </c>
      <c r="F14300" s="7">
        <v>46023.661249799</v>
      </c>
      <c r="G14300" s="3" t="s">
        <v>3365</v>
      </c>
    </row>
    <row r="14301">
      <c r="A14301" s="3" t="s">
        <v>30167</v>
      </c>
      <c r="B14301" s="3" t="s">
        <v>12225</v>
      </c>
      <c r="C14301" s="5" t="s">
        <v>206</v>
      </c>
      <c r="D14301" s="3" t="s">
        <v>68</v>
      </c>
      <c r="E14301" s="3" t="s">
        <v>100</v>
      </c>
      <c r="F14301" s="7">
        <v>46023.66472202122</v>
      </c>
      <c r="G14301" s="3" t="s">
        <v>3368</v>
      </c>
    </row>
    <row r="14302">
      <c r="A14302" s="3" t="s">
        <v>30168</v>
      </c>
      <c r="B14302" s="3" t="s">
        <v>12228</v>
      </c>
      <c r="C14302" s="5" t="s">
        <v>45</v>
      </c>
      <c r="D14302" s="3" t="s">
        <v>221</v>
      </c>
      <c r="E14302" s="3" t="s">
        <v>1008</v>
      </c>
      <c r="F14302" s="7">
        <v>46023.72548019997</v>
      </c>
      <c r="G14302" s="3" t="s">
        <v>18591</v>
      </c>
    </row>
    <row r="14303">
      <c r="A14303" s="3" t="s">
        <v>30169</v>
      </c>
      <c r="B14303" s="3" t="s">
        <v>12228</v>
      </c>
      <c r="C14303" s="5" t="s">
        <v>221</v>
      </c>
      <c r="D14303" s="3" t="s">
        <v>181</v>
      </c>
      <c r="E14303" s="3" t="s">
        <v>118</v>
      </c>
      <c r="F14303" s="7">
        <v>46023.72895242219</v>
      </c>
      <c r="G14303" s="3" t="s">
        <v>20727</v>
      </c>
    </row>
    <row r="14304">
      <c r="A14304" s="3" t="s">
        <v>30170</v>
      </c>
      <c r="B14304" s="3" t="s">
        <v>12231</v>
      </c>
      <c r="C14304" s="5" t="s">
        <v>45</v>
      </c>
      <c r="D14304" s="3" t="s">
        <v>221</v>
      </c>
      <c r="E14304" s="3" t="s">
        <v>770</v>
      </c>
      <c r="F14304" s="7">
        <v>46023.796655045386</v>
      </c>
      <c r="G14304" s="3" t="s">
        <v>22571</v>
      </c>
    </row>
    <row r="14305">
      <c r="A14305" s="3" t="s">
        <v>30171</v>
      </c>
      <c r="B14305" s="3" t="s">
        <v>12231</v>
      </c>
      <c r="C14305" s="5" t="s">
        <v>221</v>
      </c>
      <c r="D14305" s="3" t="s">
        <v>181</v>
      </c>
      <c r="E14305" s="3" t="s">
        <v>118</v>
      </c>
      <c r="F14305" s="7">
        <v>46023.800127267605</v>
      </c>
      <c r="G14305" s="3" t="s">
        <v>30172</v>
      </c>
    </row>
    <row r="14306">
      <c r="A14306" s="3" t="s">
        <v>30173</v>
      </c>
      <c r="B14306" s="3" t="s">
        <v>12234</v>
      </c>
      <c r="C14306" s="5" t="s">
        <v>45</v>
      </c>
      <c r="D14306" s="3" t="s">
        <v>221</v>
      </c>
      <c r="E14306" s="3" t="s">
        <v>388</v>
      </c>
      <c r="F14306" s="7">
        <v>46023.8678298908</v>
      </c>
      <c r="G14306" s="3" t="s">
        <v>3383</v>
      </c>
    </row>
    <row r="14307">
      <c r="A14307" s="3" t="s">
        <v>30174</v>
      </c>
      <c r="B14307" s="3" t="s">
        <v>12234</v>
      </c>
      <c r="C14307" s="5" t="s">
        <v>221</v>
      </c>
      <c r="D14307" s="3" t="s">
        <v>614</v>
      </c>
      <c r="E14307" s="3" t="s">
        <v>118</v>
      </c>
      <c r="F14307" s="7">
        <v>46023.87130211302</v>
      </c>
      <c r="G14307" s="3" t="s">
        <v>3386</v>
      </c>
    </row>
    <row r="14308">
      <c r="A14308" s="3" t="s">
        <v>30175</v>
      </c>
      <c r="B14308" s="3" t="s">
        <v>12234</v>
      </c>
      <c r="C14308" s="5" t="s">
        <v>614</v>
      </c>
      <c r="D14308" s="3" t="s">
        <v>206</v>
      </c>
      <c r="E14308" s="3" t="s">
        <v>100</v>
      </c>
      <c r="F14308" s="7">
        <v>46023.87477433524</v>
      </c>
      <c r="G14308" s="3" t="s">
        <v>3389</v>
      </c>
    </row>
    <row r="14309">
      <c r="A14309" s="3" t="s">
        <v>30176</v>
      </c>
      <c r="B14309" s="3" t="s">
        <v>12234</v>
      </c>
      <c r="C14309" s="5" t="s">
        <v>206</v>
      </c>
      <c r="D14309" s="3" t="s">
        <v>68</v>
      </c>
      <c r="E14309" s="3" t="s">
        <v>100</v>
      </c>
      <c r="F14309" s="7">
        <v>46023.87824655746</v>
      </c>
      <c r="G14309" s="3" t="s">
        <v>3392</v>
      </c>
    </row>
    <row r="14310">
      <c r="A14310" s="3" t="s">
        <v>30177</v>
      </c>
      <c r="B14310" s="3" t="s">
        <v>12237</v>
      </c>
      <c r="C14310" s="5" t="s">
        <v>45</v>
      </c>
      <c r="D14310" s="3" t="s">
        <v>221</v>
      </c>
      <c r="E14310" s="3" t="s">
        <v>168</v>
      </c>
      <c r="F14310" s="7">
        <v>46023.93900473622</v>
      </c>
      <c r="G14310" s="3" t="s">
        <v>16100</v>
      </c>
    </row>
    <row r="14311">
      <c r="A14311" s="3" t="s">
        <v>30178</v>
      </c>
      <c r="B14311" s="3" t="s">
        <v>12237</v>
      </c>
      <c r="C14311" s="5" t="s">
        <v>221</v>
      </c>
      <c r="D14311" s="3" t="s">
        <v>614</v>
      </c>
      <c r="E14311" s="3" t="s">
        <v>118</v>
      </c>
      <c r="F14311" s="7">
        <v>46023.94247695844</v>
      </c>
      <c r="G14311" s="3" t="s">
        <v>16102</v>
      </c>
    </row>
    <row r="14312">
      <c r="A14312" s="3" t="s">
        <v>30179</v>
      </c>
      <c r="B14312" s="3" t="s">
        <v>12237</v>
      </c>
      <c r="C14312" s="5" t="s">
        <v>614</v>
      </c>
      <c r="D14312" s="3" t="s">
        <v>206</v>
      </c>
      <c r="E14312" s="3" t="s">
        <v>100</v>
      </c>
      <c r="F14312" s="7">
        <v>46023.94594918066</v>
      </c>
      <c r="G14312" s="3" t="s">
        <v>16105</v>
      </c>
    </row>
    <row r="14313">
      <c r="A14313" s="3" t="s">
        <v>30180</v>
      </c>
      <c r="B14313" s="3" t="s">
        <v>12237</v>
      </c>
      <c r="C14313" s="5" t="s">
        <v>206</v>
      </c>
      <c r="D14313" s="3" t="s">
        <v>68</v>
      </c>
      <c r="E14313" s="3" t="s">
        <v>100</v>
      </c>
      <c r="F14313" s="7">
        <v>46023.94942140288</v>
      </c>
      <c r="G14313" s="3" t="s">
        <v>16108</v>
      </c>
    </row>
    <row r="14314">
      <c r="A14314" s="3" t="s">
        <v>30181</v>
      </c>
      <c r="B14314" s="3" t="s">
        <v>12239</v>
      </c>
      <c r="C14314" s="5" t="s">
        <v>45</v>
      </c>
      <c r="D14314" s="3" t="s">
        <v>221</v>
      </c>
      <c r="E14314" s="3" t="s">
        <v>475</v>
      </c>
      <c r="F14314" s="7">
        <v>46024.01017958164</v>
      </c>
      <c r="G14314" s="3" t="s">
        <v>18399</v>
      </c>
    </row>
    <row r="14315">
      <c r="A14315" s="3" t="s">
        <v>30182</v>
      </c>
      <c r="B14315" s="3" t="s">
        <v>12239</v>
      </c>
      <c r="C14315" s="5" t="s">
        <v>221</v>
      </c>
      <c r="D14315" s="3" t="s">
        <v>614</v>
      </c>
      <c r="E14315" s="3" t="s">
        <v>118</v>
      </c>
      <c r="F14315" s="7">
        <v>46024.013651803856</v>
      </c>
      <c r="G14315" s="3" t="s">
        <v>21378</v>
      </c>
    </row>
    <row r="14316">
      <c r="A14316" s="3" t="s">
        <v>30183</v>
      </c>
      <c r="B14316" s="3" t="s">
        <v>12239</v>
      </c>
      <c r="C14316" s="5" t="s">
        <v>614</v>
      </c>
      <c r="D14316" s="3" t="s">
        <v>206</v>
      </c>
      <c r="E14316" s="3" t="s">
        <v>100</v>
      </c>
      <c r="F14316" s="7">
        <v>46024.01712402608</v>
      </c>
      <c r="G14316" s="3" t="s">
        <v>21381</v>
      </c>
    </row>
    <row r="14317">
      <c r="A14317" s="3" t="s">
        <v>30184</v>
      </c>
      <c r="B14317" s="3" t="s">
        <v>12239</v>
      </c>
      <c r="C14317" s="5" t="s">
        <v>206</v>
      </c>
      <c r="D14317" s="3" t="s">
        <v>68</v>
      </c>
      <c r="E14317" s="3" t="s">
        <v>100</v>
      </c>
      <c r="F14317" s="7">
        <v>46024.0205962483</v>
      </c>
      <c r="G14317" s="3" t="s">
        <v>21383</v>
      </c>
    </row>
    <row r="14318">
      <c r="A14318" s="3" t="s">
        <v>30185</v>
      </c>
      <c r="B14318" s="3" t="s">
        <v>12241</v>
      </c>
      <c r="C14318" s="5" t="s">
        <v>45</v>
      </c>
      <c r="D14318" s="3" t="s">
        <v>221</v>
      </c>
      <c r="E14318" s="3" t="s">
        <v>682</v>
      </c>
      <c r="F14318" s="7">
        <v>46024.08135442704</v>
      </c>
      <c r="G14318" s="3" t="s">
        <v>3407</v>
      </c>
    </row>
    <row r="14319">
      <c r="A14319" s="3" t="s">
        <v>30186</v>
      </c>
      <c r="B14319" s="3" t="s">
        <v>12241</v>
      </c>
      <c r="C14319" s="5" t="s">
        <v>221</v>
      </c>
      <c r="D14319" s="3" t="s">
        <v>614</v>
      </c>
      <c r="E14319" s="3" t="s">
        <v>118</v>
      </c>
      <c r="F14319" s="7">
        <v>46024.08482664926</v>
      </c>
      <c r="G14319" s="3" t="s">
        <v>3410</v>
      </c>
    </row>
    <row r="14320">
      <c r="A14320" s="3" t="s">
        <v>30187</v>
      </c>
      <c r="B14320" s="3" t="s">
        <v>12241</v>
      </c>
      <c r="C14320" s="5" t="s">
        <v>614</v>
      </c>
      <c r="D14320" s="3" t="s">
        <v>206</v>
      </c>
      <c r="E14320" s="3" t="s">
        <v>100</v>
      </c>
      <c r="F14320" s="7">
        <v>46024.08829887149</v>
      </c>
      <c r="G14320" s="3" t="s">
        <v>3413</v>
      </c>
    </row>
    <row r="14321">
      <c r="A14321" s="3" t="s">
        <v>30188</v>
      </c>
      <c r="B14321" s="3" t="s">
        <v>12241</v>
      </c>
      <c r="C14321" s="5" t="s">
        <v>206</v>
      </c>
      <c r="D14321" s="3" t="s">
        <v>68</v>
      </c>
      <c r="E14321" s="3" t="s">
        <v>100</v>
      </c>
      <c r="F14321" s="7">
        <v>46024.09177109371</v>
      </c>
      <c r="G14321" s="3" t="s">
        <v>3416</v>
      </c>
    </row>
    <row r="14322">
      <c r="A14322" s="3" t="s">
        <v>30189</v>
      </c>
      <c r="B14322" s="3" t="s">
        <v>12244</v>
      </c>
      <c r="C14322" s="5" t="s">
        <v>45</v>
      </c>
      <c r="D14322" s="3" t="s">
        <v>221</v>
      </c>
      <c r="E14322" s="3" t="s">
        <v>162</v>
      </c>
      <c r="F14322" s="7">
        <v>46024.15252927246</v>
      </c>
      <c r="G14322" s="3" t="s">
        <v>28448</v>
      </c>
    </row>
    <row r="14323">
      <c r="A14323" s="3" t="s">
        <v>30190</v>
      </c>
      <c r="B14323" s="3" t="s">
        <v>12244</v>
      </c>
      <c r="C14323" s="5" t="s">
        <v>221</v>
      </c>
      <c r="D14323" s="3" t="s">
        <v>181</v>
      </c>
      <c r="E14323" s="3" t="s">
        <v>118</v>
      </c>
      <c r="F14323" s="7">
        <v>46024.15600149468</v>
      </c>
      <c r="G14323" s="3" t="s">
        <v>30191</v>
      </c>
    </row>
    <row r="14324">
      <c r="A14324" s="3" t="s">
        <v>30192</v>
      </c>
      <c r="B14324" s="3" t="s">
        <v>12247</v>
      </c>
      <c r="C14324" s="5" t="s">
        <v>45</v>
      </c>
      <c r="D14324" s="3" t="s">
        <v>221</v>
      </c>
      <c r="E14324" s="3" t="s">
        <v>424</v>
      </c>
      <c r="F14324" s="7">
        <v>46024.223704117874</v>
      </c>
      <c r="G14324" s="3" t="s">
        <v>12738</v>
      </c>
    </row>
    <row r="14325">
      <c r="A14325" s="3" t="s">
        <v>30193</v>
      </c>
      <c r="B14325" s="3" t="s">
        <v>12247</v>
      </c>
      <c r="C14325" s="5" t="s">
        <v>221</v>
      </c>
      <c r="D14325" s="3" t="s">
        <v>614</v>
      </c>
      <c r="E14325" s="3" t="s">
        <v>118</v>
      </c>
      <c r="F14325" s="7">
        <v>46024.22717634009</v>
      </c>
      <c r="G14325" s="3" t="s">
        <v>12741</v>
      </c>
    </row>
    <row r="14326">
      <c r="A14326" s="3" t="s">
        <v>30194</v>
      </c>
      <c r="B14326" s="3" t="s">
        <v>12247</v>
      </c>
      <c r="C14326" s="5" t="s">
        <v>614</v>
      </c>
      <c r="D14326" s="3" t="s">
        <v>206</v>
      </c>
      <c r="E14326" s="3" t="s">
        <v>100</v>
      </c>
      <c r="F14326" s="7">
        <v>46024.23064856232</v>
      </c>
      <c r="G14326" s="3" t="s">
        <v>12744</v>
      </c>
    </row>
    <row r="14327">
      <c r="A14327" s="3" t="s">
        <v>30195</v>
      </c>
      <c r="B14327" s="3" t="s">
        <v>12247</v>
      </c>
      <c r="C14327" s="5" t="s">
        <v>206</v>
      </c>
      <c r="D14327" s="3" t="s">
        <v>68</v>
      </c>
      <c r="E14327" s="3" t="s">
        <v>100</v>
      </c>
      <c r="F14327" s="7">
        <v>46024.23412078454</v>
      </c>
      <c r="G14327" s="3" t="s">
        <v>12747</v>
      </c>
    </row>
    <row r="14328">
      <c r="A14328" s="3" t="s">
        <v>30196</v>
      </c>
      <c r="B14328" s="3" t="s">
        <v>12249</v>
      </c>
      <c r="C14328" s="5" t="s">
        <v>45</v>
      </c>
      <c r="D14328" s="3" t="s">
        <v>221</v>
      </c>
      <c r="E14328" s="3" t="s">
        <v>388</v>
      </c>
      <c r="F14328" s="7">
        <v>46024.294878963294</v>
      </c>
      <c r="G14328" s="3" t="s">
        <v>3690</v>
      </c>
    </row>
    <row r="14329">
      <c r="A14329" s="3" t="s">
        <v>30197</v>
      </c>
      <c r="B14329" s="3" t="s">
        <v>12249</v>
      </c>
      <c r="C14329" s="5" t="s">
        <v>221</v>
      </c>
      <c r="D14329" s="3" t="s">
        <v>614</v>
      </c>
      <c r="E14329" s="3" t="s">
        <v>118</v>
      </c>
      <c r="F14329" s="7">
        <v>46024.29835118551</v>
      </c>
      <c r="G14329" s="3" t="s">
        <v>9034</v>
      </c>
    </row>
    <row r="14330">
      <c r="A14330" s="3" t="s">
        <v>30198</v>
      </c>
      <c r="B14330" s="3" t="s">
        <v>12249</v>
      </c>
      <c r="C14330" s="5" t="s">
        <v>614</v>
      </c>
      <c r="D14330" s="3" t="s">
        <v>206</v>
      </c>
      <c r="E14330" s="3" t="s">
        <v>100</v>
      </c>
      <c r="F14330" s="7">
        <v>46024.30182340774</v>
      </c>
      <c r="G14330" s="3" t="s">
        <v>9037</v>
      </c>
    </row>
    <row r="14331">
      <c r="A14331" s="3" t="s">
        <v>30199</v>
      </c>
      <c r="B14331" s="3" t="s">
        <v>12249</v>
      </c>
      <c r="C14331" s="5" t="s">
        <v>206</v>
      </c>
      <c r="D14331" s="3" t="s">
        <v>68</v>
      </c>
      <c r="E14331" s="3" t="s">
        <v>100</v>
      </c>
      <c r="F14331" s="7">
        <v>46024.30529562996</v>
      </c>
      <c r="G14331" s="3" t="s">
        <v>9040</v>
      </c>
    </row>
    <row r="14332">
      <c r="A14332" s="3" t="s">
        <v>30200</v>
      </c>
      <c r="B14332" s="3" t="s">
        <v>12251</v>
      </c>
      <c r="C14332" s="5" t="s">
        <v>45</v>
      </c>
      <c r="D14332" s="3" t="s">
        <v>221</v>
      </c>
      <c r="E14332" s="3" t="s">
        <v>793</v>
      </c>
      <c r="F14332" s="7">
        <v>46024.366053808706</v>
      </c>
      <c r="G14332" s="3" t="s">
        <v>3418</v>
      </c>
    </row>
    <row r="14333">
      <c r="A14333" s="3" t="s">
        <v>30201</v>
      </c>
      <c r="B14333" s="3" t="s">
        <v>12251</v>
      </c>
      <c r="C14333" s="5" t="s">
        <v>221</v>
      </c>
      <c r="D14333" s="3" t="s">
        <v>614</v>
      </c>
      <c r="E14333" s="3" t="s">
        <v>118</v>
      </c>
      <c r="F14333" s="7">
        <v>46024.369526030925</v>
      </c>
      <c r="G14333" s="3" t="s">
        <v>3421</v>
      </c>
    </row>
    <row r="14334">
      <c r="A14334" s="3" t="s">
        <v>30202</v>
      </c>
      <c r="B14334" s="3" t="s">
        <v>12251</v>
      </c>
      <c r="C14334" s="5" t="s">
        <v>614</v>
      </c>
      <c r="D14334" s="3" t="s">
        <v>206</v>
      </c>
      <c r="E14334" s="3" t="s">
        <v>100</v>
      </c>
      <c r="F14334" s="7">
        <v>46024.37299825315</v>
      </c>
      <c r="G14334" s="3" t="s">
        <v>3424</v>
      </c>
    </row>
    <row r="14335">
      <c r="A14335" s="3" t="s">
        <v>30203</v>
      </c>
      <c r="B14335" s="3" t="s">
        <v>12251</v>
      </c>
      <c r="C14335" s="5" t="s">
        <v>206</v>
      </c>
      <c r="D14335" s="3" t="s">
        <v>68</v>
      </c>
      <c r="E14335" s="3" t="s">
        <v>100</v>
      </c>
      <c r="F14335" s="7">
        <v>46024.37647047537</v>
      </c>
      <c r="G14335" s="3" t="s">
        <v>3427</v>
      </c>
    </row>
    <row r="14336">
      <c r="A14336" s="3" t="s">
        <v>30204</v>
      </c>
      <c r="B14336" s="3" t="s">
        <v>12254</v>
      </c>
      <c r="C14336" s="5" t="s">
        <v>45</v>
      </c>
      <c r="D14336" s="3" t="s">
        <v>221</v>
      </c>
      <c r="E14336" s="3" t="s">
        <v>742</v>
      </c>
      <c r="F14336" s="7">
        <v>46024.437228654126</v>
      </c>
      <c r="G14336" s="3" t="s">
        <v>12875</v>
      </c>
    </row>
    <row r="14337">
      <c r="A14337" s="3" t="s">
        <v>30205</v>
      </c>
      <c r="B14337" s="3" t="s">
        <v>12254</v>
      </c>
      <c r="C14337" s="5" t="s">
        <v>221</v>
      </c>
      <c r="D14337" s="3" t="s">
        <v>614</v>
      </c>
      <c r="E14337" s="3" t="s">
        <v>118</v>
      </c>
      <c r="F14337" s="7">
        <v>46024.440700876345</v>
      </c>
      <c r="G14337" s="3" t="s">
        <v>12878</v>
      </c>
    </row>
    <row r="14338">
      <c r="A14338" s="3" t="s">
        <v>30206</v>
      </c>
      <c r="B14338" s="3" t="s">
        <v>12254</v>
      </c>
      <c r="C14338" s="5" t="s">
        <v>614</v>
      </c>
      <c r="D14338" s="3" t="s">
        <v>206</v>
      </c>
      <c r="E14338" s="3" t="s">
        <v>100</v>
      </c>
      <c r="F14338" s="7">
        <v>46024.44417309857</v>
      </c>
      <c r="G14338" s="3" t="s">
        <v>12881</v>
      </c>
    </row>
    <row r="14339">
      <c r="A14339" s="3" t="s">
        <v>30207</v>
      </c>
      <c r="B14339" s="3" t="s">
        <v>12254</v>
      </c>
      <c r="C14339" s="5" t="s">
        <v>206</v>
      </c>
      <c r="D14339" s="3" t="s">
        <v>68</v>
      </c>
      <c r="E14339" s="3" t="s">
        <v>100</v>
      </c>
      <c r="F14339" s="7">
        <v>46024.44764532079</v>
      </c>
      <c r="G14339" s="3" t="s">
        <v>12885</v>
      </c>
    </row>
    <row r="14340">
      <c r="A14340" s="3" t="s">
        <v>30208</v>
      </c>
      <c r="B14340" s="3" t="s">
        <v>12256</v>
      </c>
      <c r="C14340" s="5" t="s">
        <v>45</v>
      </c>
      <c r="D14340" s="3" t="s">
        <v>221</v>
      </c>
      <c r="E14340" s="3" t="s">
        <v>462</v>
      </c>
      <c r="F14340" s="7">
        <v>46024.50840349953</v>
      </c>
      <c r="G14340" s="3" t="s">
        <v>15416</v>
      </c>
    </row>
    <row r="14341">
      <c r="A14341" s="3" t="s">
        <v>30209</v>
      </c>
      <c r="B14341" s="3" t="s">
        <v>12256</v>
      </c>
      <c r="C14341" s="5" t="s">
        <v>221</v>
      </c>
      <c r="D14341" s="3" t="s">
        <v>614</v>
      </c>
      <c r="E14341" s="3" t="s">
        <v>118</v>
      </c>
      <c r="F14341" s="7">
        <v>46024.51187572175</v>
      </c>
      <c r="G14341" s="3" t="s">
        <v>15419</v>
      </c>
    </row>
    <row r="14342">
      <c r="A14342" s="3" t="s">
        <v>30210</v>
      </c>
      <c r="B14342" s="3" t="s">
        <v>12256</v>
      </c>
      <c r="C14342" s="5" t="s">
        <v>614</v>
      </c>
      <c r="D14342" s="3" t="s">
        <v>206</v>
      </c>
      <c r="E14342" s="3" t="s">
        <v>100</v>
      </c>
      <c r="F14342" s="7">
        <v>46024.515347943976</v>
      </c>
      <c r="G14342" s="3" t="s">
        <v>15422</v>
      </c>
    </row>
    <row r="14343">
      <c r="A14343" s="3" t="s">
        <v>30211</v>
      </c>
      <c r="B14343" s="3" t="s">
        <v>12256</v>
      </c>
      <c r="C14343" s="5" t="s">
        <v>206</v>
      </c>
      <c r="D14343" s="3" t="s">
        <v>68</v>
      </c>
      <c r="E14343" s="3" t="s">
        <v>100</v>
      </c>
      <c r="F14343" s="7">
        <v>46024.518820166195</v>
      </c>
      <c r="G14343" s="3" t="s">
        <v>15425</v>
      </c>
    </row>
    <row r="14344">
      <c r="A14344" s="3" t="s">
        <v>30212</v>
      </c>
      <c r="B14344" s="3" t="s">
        <v>12258</v>
      </c>
      <c r="C14344" s="5" t="s">
        <v>45</v>
      </c>
      <c r="D14344" s="3" t="s">
        <v>221</v>
      </c>
      <c r="E14344" s="3" t="s">
        <v>579</v>
      </c>
      <c r="F14344" s="7">
        <v>46024.57957834495</v>
      </c>
      <c r="G14344" s="3" t="s">
        <v>25287</v>
      </c>
    </row>
    <row r="14345">
      <c r="A14345" s="3" t="s">
        <v>30213</v>
      </c>
      <c r="B14345" s="3" t="s">
        <v>12258</v>
      </c>
      <c r="C14345" s="5" t="s">
        <v>221</v>
      </c>
      <c r="D14345" s="3" t="s">
        <v>614</v>
      </c>
      <c r="E14345" s="3" t="s">
        <v>118</v>
      </c>
      <c r="F14345" s="7">
        <v>46024.58305056717</v>
      </c>
      <c r="G14345" s="3" t="s">
        <v>25289</v>
      </c>
    </row>
    <row r="14346">
      <c r="A14346" s="3" t="s">
        <v>30214</v>
      </c>
      <c r="B14346" s="3" t="s">
        <v>12258</v>
      </c>
      <c r="C14346" s="5" t="s">
        <v>614</v>
      </c>
      <c r="D14346" s="3" t="s">
        <v>206</v>
      </c>
      <c r="E14346" s="3" t="s">
        <v>100</v>
      </c>
      <c r="F14346" s="7">
        <v>46024.586522789396</v>
      </c>
      <c r="G14346" s="3" t="s">
        <v>25291</v>
      </c>
    </row>
    <row r="14347">
      <c r="A14347" s="3" t="s">
        <v>30215</v>
      </c>
      <c r="B14347" s="3" t="s">
        <v>12258</v>
      </c>
      <c r="C14347" s="5" t="s">
        <v>206</v>
      </c>
      <c r="D14347" s="3" t="s">
        <v>68</v>
      </c>
      <c r="E14347" s="3" t="s">
        <v>100</v>
      </c>
      <c r="F14347" s="7">
        <v>46024.589995011615</v>
      </c>
      <c r="G14347" s="3" t="s">
        <v>25293</v>
      </c>
    </row>
    <row r="14348">
      <c r="A14348" s="3" t="s">
        <v>30216</v>
      </c>
      <c r="B14348" s="3" t="s">
        <v>12261</v>
      </c>
      <c r="C14348" s="5" t="s">
        <v>45</v>
      </c>
      <c r="D14348" s="3" t="s">
        <v>221</v>
      </c>
      <c r="E14348" s="3" t="s">
        <v>282</v>
      </c>
      <c r="F14348" s="7">
        <v>46024.65075319037</v>
      </c>
      <c r="G14348" s="3" t="s">
        <v>24209</v>
      </c>
    </row>
    <row r="14349">
      <c r="A14349" s="3" t="s">
        <v>30217</v>
      </c>
      <c r="B14349" s="3" t="s">
        <v>12261</v>
      </c>
      <c r="C14349" s="5" t="s">
        <v>221</v>
      </c>
      <c r="D14349" s="3" t="s">
        <v>614</v>
      </c>
      <c r="E14349" s="3" t="s">
        <v>118</v>
      </c>
      <c r="F14349" s="7">
        <v>46024.65422541259</v>
      </c>
      <c r="G14349" s="3" t="s">
        <v>24211</v>
      </c>
    </row>
    <row r="14350">
      <c r="A14350" s="3" t="s">
        <v>30218</v>
      </c>
      <c r="B14350" s="3" t="s">
        <v>12261</v>
      </c>
      <c r="C14350" s="5" t="s">
        <v>614</v>
      </c>
      <c r="D14350" s="3" t="s">
        <v>206</v>
      </c>
      <c r="E14350" s="3" t="s">
        <v>100</v>
      </c>
      <c r="F14350" s="7">
        <v>46024.657697634815</v>
      </c>
      <c r="G14350" s="3" t="s">
        <v>24213</v>
      </c>
    </row>
    <row r="14351">
      <c r="A14351" s="3" t="s">
        <v>30219</v>
      </c>
      <c r="B14351" s="3" t="s">
        <v>12261</v>
      </c>
      <c r="C14351" s="5" t="s">
        <v>206</v>
      </c>
      <c r="D14351" s="3" t="s">
        <v>68</v>
      </c>
      <c r="E14351" s="3" t="s">
        <v>100</v>
      </c>
      <c r="F14351" s="7">
        <v>46024.661169857034</v>
      </c>
      <c r="G14351" s="3" t="s">
        <v>24215</v>
      </c>
    </row>
    <row r="14352">
      <c r="A14352" s="3" t="s">
        <v>30220</v>
      </c>
      <c r="B14352" s="3" t="s">
        <v>12263</v>
      </c>
      <c r="C14352" s="5" t="s">
        <v>45</v>
      </c>
      <c r="D14352" s="3" t="s">
        <v>221</v>
      </c>
      <c r="E14352" s="3" t="s">
        <v>313</v>
      </c>
      <c r="F14352" s="7">
        <v>46024.72192803578</v>
      </c>
      <c r="G14352" s="3" t="s">
        <v>3430</v>
      </c>
    </row>
    <row r="14353">
      <c r="A14353" s="3" t="s">
        <v>30221</v>
      </c>
      <c r="B14353" s="3" t="s">
        <v>12263</v>
      </c>
      <c r="C14353" s="5" t="s">
        <v>221</v>
      </c>
      <c r="D14353" s="3" t="s">
        <v>614</v>
      </c>
      <c r="E14353" s="3" t="s">
        <v>118</v>
      </c>
      <c r="F14353" s="7">
        <v>46024.725400258</v>
      </c>
      <c r="G14353" s="3" t="s">
        <v>3433</v>
      </c>
    </row>
    <row r="14354">
      <c r="A14354" s="3" t="s">
        <v>30222</v>
      </c>
      <c r="B14354" s="3" t="s">
        <v>12263</v>
      </c>
      <c r="C14354" s="5" t="s">
        <v>614</v>
      </c>
      <c r="D14354" s="3" t="s">
        <v>206</v>
      </c>
      <c r="E14354" s="3" t="s">
        <v>100</v>
      </c>
      <c r="F14354" s="7">
        <v>46024.72887248023</v>
      </c>
      <c r="G14354" s="3" t="s">
        <v>3436</v>
      </c>
    </row>
    <row r="14355">
      <c r="A14355" s="3" t="s">
        <v>30223</v>
      </c>
      <c r="B14355" s="3" t="s">
        <v>12263</v>
      </c>
      <c r="C14355" s="5" t="s">
        <v>206</v>
      </c>
      <c r="D14355" s="3" t="s">
        <v>68</v>
      </c>
      <c r="E14355" s="3" t="s">
        <v>100</v>
      </c>
      <c r="F14355" s="7">
        <v>46024.73234470245</v>
      </c>
      <c r="G14355" s="3" t="s">
        <v>3439</v>
      </c>
    </row>
    <row r="14356">
      <c r="A14356" s="3" t="s">
        <v>30224</v>
      </c>
      <c r="B14356" s="3" t="s">
        <v>12265</v>
      </c>
      <c r="C14356" s="5" t="s">
        <v>45</v>
      </c>
      <c r="D14356" s="3" t="s">
        <v>221</v>
      </c>
      <c r="E14356" s="3" t="s">
        <v>141</v>
      </c>
      <c r="F14356" s="7">
        <v>46024.793102881194</v>
      </c>
      <c r="G14356" s="3" t="s">
        <v>27707</v>
      </c>
    </row>
    <row r="14357">
      <c r="A14357" s="3" t="s">
        <v>30225</v>
      </c>
      <c r="B14357" s="3" t="s">
        <v>12265</v>
      </c>
      <c r="C14357" s="5" t="s">
        <v>221</v>
      </c>
      <c r="D14357" s="3" t="s">
        <v>614</v>
      </c>
      <c r="E14357" s="3" t="s">
        <v>118</v>
      </c>
      <c r="F14357" s="7">
        <v>46024.79657510341</v>
      </c>
      <c r="G14357" s="3" t="s">
        <v>27709</v>
      </c>
    </row>
    <row r="14358">
      <c r="A14358" s="3" t="s">
        <v>30226</v>
      </c>
      <c r="B14358" s="3" t="s">
        <v>12265</v>
      </c>
      <c r="C14358" s="5" t="s">
        <v>614</v>
      </c>
      <c r="D14358" s="3" t="s">
        <v>206</v>
      </c>
      <c r="E14358" s="3" t="s">
        <v>100</v>
      </c>
      <c r="F14358" s="7">
        <v>46024.80004732564</v>
      </c>
      <c r="G14358" s="3" t="s">
        <v>27711</v>
      </c>
    </row>
    <row r="14359">
      <c r="A14359" s="3" t="s">
        <v>30227</v>
      </c>
      <c r="B14359" s="3" t="s">
        <v>12265</v>
      </c>
      <c r="C14359" s="5" t="s">
        <v>206</v>
      </c>
      <c r="D14359" s="3" t="s">
        <v>68</v>
      </c>
      <c r="E14359" s="3" t="s">
        <v>100</v>
      </c>
      <c r="F14359" s="7">
        <v>46024.80351954786</v>
      </c>
      <c r="G14359" s="3" t="s">
        <v>27713</v>
      </c>
    </row>
    <row r="14360">
      <c r="A14360" s="3" t="s">
        <v>30228</v>
      </c>
      <c r="B14360" s="3" t="s">
        <v>12268</v>
      </c>
      <c r="C14360" s="5" t="s">
        <v>45</v>
      </c>
      <c r="D14360" s="3" t="s">
        <v>221</v>
      </c>
      <c r="E14360" s="3" t="s">
        <v>682</v>
      </c>
      <c r="F14360" s="7">
        <v>46024.864277726614</v>
      </c>
      <c r="G14360" s="3" t="s">
        <v>3442</v>
      </c>
    </row>
    <row r="14361">
      <c r="A14361" s="3" t="s">
        <v>30229</v>
      </c>
      <c r="B14361" s="3" t="s">
        <v>12268</v>
      </c>
      <c r="C14361" s="5" t="s">
        <v>221</v>
      </c>
      <c r="D14361" s="3" t="s">
        <v>614</v>
      </c>
      <c r="E14361" s="3" t="s">
        <v>118</v>
      </c>
      <c r="F14361" s="7">
        <v>46024.86774994883</v>
      </c>
      <c r="G14361" s="3" t="s">
        <v>3445</v>
      </c>
    </row>
    <row r="14362">
      <c r="A14362" s="3" t="s">
        <v>30230</v>
      </c>
      <c r="B14362" s="3" t="s">
        <v>12268</v>
      </c>
      <c r="C14362" s="5" t="s">
        <v>614</v>
      </c>
      <c r="D14362" s="3" t="s">
        <v>206</v>
      </c>
      <c r="E14362" s="3" t="s">
        <v>100</v>
      </c>
      <c r="F14362" s="7">
        <v>46024.87122217106</v>
      </c>
      <c r="G14362" s="3" t="s">
        <v>3447</v>
      </c>
    </row>
    <row r="14363">
      <c r="A14363" s="3" t="s">
        <v>30231</v>
      </c>
      <c r="B14363" s="3" t="s">
        <v>12268</v>
      </c>
      <c r="C14363" s="5" t="s">
        <v>206</v>
      </c>
      <c r="D14363" s="3" t="s">
        <v>68</v>
      </c>
      <c r="E14363" s="3" t="s">
        <v>100</v>
      </c>
      <c r="F14363" s="7">
        <v>46024.87469439328</v>
      </c>
      <c r="G14363" s="3" t="s">
        <v>3450</v>
      </c>
    </row>
    <row r="14364">
      <c r="A14364" s="3" t="s">
        <v>30232</v>
      </c>
      <c r="B14364" s="3" t="s">
        <v>12271</v>
      </c>
      <c r="C14364" s="5" t="s">
        <v>45</v>
      </c>
      <c r="D14364" s="3" t="s">
        <v>221</v>
      </c>
      <c r="E14364" s="3" t="s">
        <v>1043</v>
      </c>
      <c r="F14364" s="7">
        <v>46024.93545257203</v>
      </c>
      <c r="G14364" s="3" t="s">
        <v>12942</v>
      </c>
    </row>
    <row r="14365">
      <c r="A14365" s="3" t="s">
        <v>30233</v>
      </c>
      <c r="B14365" s="3" t="s">
        <v>12271</v>
      </c>
      <c r="C14365" s="5" t="s">
        <v>221</v>
      </c>
      <c r="D14365" s="3" t="s">
        <v>614</v>
      </c>
      <c r="E14365" s="3" t="s">
        <v>118</v>
      </c>
      <c r="F14365" s="7">
        <v>46024.938924794245</v>
      </c>
      <c r="G14365" s="3" t="s">
        <v>12946</v>
      </c>
    </row>
    <row r="14366">
      <c r="A14366" s="3" t="s">
        <v>30234</v>
      </c>
      <c r="B14366" s="3" t="s">
        <v>12271</v>
      </c>
      <c r="C14366" s="5" t="s">
        <v>614</v>
      </c>
      <c r="D14366" s="3" t="s">
        <v>206</v>
      </c>
      <c r="E14366" s="3" t="s">
        <v>100</v>
      </c>
      <c r="F14366" s="7">
        <v>46024.94239701647</v>
      </c>
      <c r="G14366" s="3" t="s">
        <v>12949</v>
      </c>
    </row>
    <row r="14367">
      <c r="A14367" s="3" t="s">
        <v>30235</v>
      </c>
      <c r="B14367" s="3" t="s">
        <v>12271</v>
      </c>
      <c r="C14367" s="5" t="s">
        <v>206</v>
      </c>
      <c r="D14367" s="3" t="s">
        <v>68</v>
      </c>
      <c r="E14367" s="3" t="s">
        <v>100</v>
      </c>
      <c r="F14367" s="7">
        <v>46024.94586923869</v>
      </c>
      <c r="G14367" s="3" t="s">
        <v>12952</v>
      </c>
    </row>
    <row r="14368">
      <c r="A14368" s="3" t="s">
        <v>30236</v>
      </c>
      <c r="B14368" s="3" t="s">
        <v>12273</v>
      </c>
      <c r="C14368" s="5" t="s">
        <v>45</v>
      </c>
      <c r="D14368" s="3" t="s">
        <v>221</v>
      </c>
      <c r="E14368" s="3" t="s">
        <v>481</v>
      </c>
      <c r="F14368" s="7">
        <v>46025.00662741744</v>
      </c>
      <c r="G14368" s="3" t="s">
        <v>12555</v>
      </c>
    </row>
    <row r="14369">
      <c r="A14369" s="3" t="s">
        <v>30237</v>
      </c>
      <c r="B14369" s="3" t="s">
        <v>12273</v>
      </c>
      <c r="C14369" s="5" t="s">
        <v>221</v>
      </c>
      <c r="D14369" s="3" t="s">
        <v>614</v>
      </c>
      <c r="E14369" s="3" t="s">
        <v>118</v>
      </c>
      <c r="F14369" s="7">
        <v>46025.01009963966</v>
      </c>
      <c r="G14369" s="3" t="s">
        <v>12559</v>
      </c>
    </row>
    <row r="14370">
      <c r="A14370" s="3" t="s">
        <v>30238</v>
      </c>
      <c r="B14370" s="3" t="s">
        <v>12273</v>
      </c>
      <c r="C14370" s="5" t="s">
        <v>614</v>
      </c>
      <c r="D14370" s="3" t="s">
        <v>206</v>
      </c>
      <c r="E14370" s="3" t="s">
        <v>100</v>
      </c>
      <c r="F14370" s="7">
        <v>46025.013571861884</v>
      </c>
      <c r="G14370" s="3" t="s">
        <v>12562</v>
      </c>
    </row>
    <row r="14371">
      <c r="A14371" s="3" t="s">
        <v>30239</v>
      </c>
      <c r="B14371" s="3" t="s">
        <v>12273</v>
      </c>
      <c r="C14371" s="5" t="s">
        <v>206</v>
      </c>
      <c r="D14371" s="3" t="s">
        <v>68</v>
      </c>
      <c r="E14371" s="3" t="s">
        <v>100</v>
      </c>
      <c r="F14371" s="7">
        <v>46025.0170440841</v>
      </c>
      <c r="G14371" s="3" t="s">
        <v>12566</v>
      </c>
    </row>
    <row r="14372">
      <c r="A14372" s="3" t="s">
        <v>30240</v>
      </c>
      <c r="B14372" s="3" t="s">
        <v>12275</v>
      </c>
      <c r="C14372" s="5" t="s">
        <v>45</v>
      </c>
      <c r="D14372" s="3" t="s">
        <v>221</v>
      </c>
      <c r="E14372" s="3" t="s">
        <v>860</v>
      </c>
      <c r="F14372" s="7">
        <v>46025.07780226286</v>
      </c>
      <c r="G14372" s="3" t="s">
        <v>21425</v>
      </c>
    </row>
    <row r="14373">
      <c r="A14373" s="3" t="s">
        <v>30241</v>
      </c>
      <c r="B14373" s="3" t="s">
        <v>12275</v>
      </c>
      <c r="C14373" s="5" t="s">
        <v>221</v>
      </c>
      <c r="D14373" s="3" t="s">
        <v>614</v>
      </c>
      <c r="E14373" s="3" t="s">
        <v>118</v>
      </c>
      <c r="F14373" s="7">
        <v>46025.08127448508</v>
      </c>
      <c r="G14373" s="3" t="s">
        <v>21428</v>
      </c>
    </row>
    <row r="14374">
      <c r="A14374" s="3" t="s">
        <v>30242</v>
      </c>
      <c r="B14374" s="3" t="s">
        <v>12275</v>
      </c>
      <c r="C14374" s="5" t="s">
        <v>614</v>
      </c>
      <c r="D14374" s="3" t="s">
        <v>206</v>
      </c>
      <c r="E14374" s="3" t="s">
        <v>100</v>
      </c>
      <c r="F14374" s="7">
        <v>46025.0847467073</v>
      </c>
      <c r="G14374" s="3" t="s">
        <v>21431</v>
      </c>
    </row>
    <row r="14375">
      <c r="A14375" s="3" t="s">
        <v>30243</v>
      </c>
      <c r="B14375" s="3" t="s">
        <v>12275</v>
      </c>
      <c r="C14375" s="5" t="s">
        <v>206</v>
      </c>
      <c r="D14375" s="3" t="s">
        <v>68</v>
      </c>
      <c r="E14375" s="3" t="s">
        <v>100</v>
      </c>
      <c r="F14375" s="7">
        <v>46025.08821892952</v>
      </c>
      <c r="G14375" s="3" t="s">
        <v>21434</v>
      </c>
    </row>
    <row r="14376">
      <c r="A14376" s="3" t="s">
        <v>30244</v>
      </c>
      <c r="B14376" s="3" t="s">
        <v>12278</v>
      </c>
      <c r="C14376" s="5" t="s">
        <v>45</v>
      </c>
      <c r="D14376" s="3" t="s">
        <v>221</v>
      </c>
      <c r="E14376" s="3" t="s">
        <v>913</v>
      </c>
      <c r="F14376" s="7">
        <v>46025.14897710828</v>
      </c>
      <c r="G14376" s="3" t="s">
        <v>30245</v>
      </c>
    </row>
    <row r="14377">
      <c r="A14377" s="3" t="s">
        <v>30246</v>
      </c>
      <c r="B14377" s="3" t="s">
        <v>12278</v>
      </c>
      <c r="C14377" s="5" t="s">
        <v>221</v>
      </c>
      <c r="D14377" s="3" t="s">
        <v>614</v>
      </c>
      <c r="E14377" s="3" t="s">
        <v>118</v>
      </c>
      <c r="F14377" s="7">
        <v>46025.1524493305</v>
      </c>
      <c r="G14377" s="3" t="s">
        <v>30247</v>
      </c>
    </row>
    <row r="14378">
      <c r="A14378" s="3" t="s">
        <v>30248</v>
      </c>
      <c r="B14378" s="3" t="s">
        <v>12278</v>
      </c>
      <c r="C14378" s="5" t="s">
        <v>614</v>
      </c>
      <c r="D14378" s="3" t="s">
        <v>206</v>
      </c>
      <c r="E14378" s="3" t="s">
        <v>100</v>
      </c>
      <c r="F14378" s="7">
        <v>46025.15592155272</v>
      </c>
      <c r="G14378" s="3" t="s">
        <v>30249</v>
      </c>
    </row>
    <row r="14379">
      <c r="A14379" s="3" t="s">
        <v>30250</v>
      </c>
      <c r="B14379" s="3" t="s">
        <v>12278</v>
      </c>
      <c r="C14379" s="5" t="s">
        <v>206</v>
      </c>
      <c r="D14379" s="3" t="s">
        <v>68</v>
      </c>
      <c r="E14379" s="3" t="s">
        <v>100</v>
      </c>
      <c r="F14379" s="7">
        <v>46025.15939377494</v>
      </c>
      <c r="G14379" s="3" t="s">
        <v>30251</v>
      </c>
    </row>
    <row r="14380">
      <c r="A14380" s="3" t="s">
        <v>30252</v>
      </c>
      <c r="B14380" s="3" t="s">
        <v>12281</v>
      </c>
      <c r="C14380" s="5" t="s">
        <v>45</v>
      </c>
      <c r="D14380" s="3" t="s">
        <v>221</v>
      </c>
      <c r="E14380" s="3" t="s">
        <v>352</v>
      </c>
      <c r="F14380" s="7">
        <v>46025.22015195368</v>
      </c>
      <c r="G14380" s="3" t="s">
        <v>18257</v>
      </c>
    </row>
    <row r="14381">
      <c r="A14381" s="3" t="s">
        <v>30253</v>
      </c>
      <c r="B14381" s="3" t="s">
        <v>12281</v>
      </c>
      <c r="C14381" s="5" t="s">
        <v>221</v>
      </c>
      <c r="D14381" s="3" t="s">
        <v>614</v>
      </c>
      <c r="E14381" s="3" t="s">
        <v>118</v>
      </c>
      <c r="F14381" s="7">
        <v>46025.2236241759</v>
      </c>
      <c r="G14381" s="3" t="s">
        <v>18260</v>
      </c>
    </row>
    <row r="14382">
      <c r="A14382" s="3" t="s">
        <v>30254</v>
      </c>
      <c r="B14382" s="3" t="s">
        <v>12281</v>
      </c>
      <c r="C14382" s="5" t="s">
        <v>614</v>
      </c>
      <c r="D14382" s="3" t="s">
        <v>206</v>
      </c>
      <c r="E14382" s="3" t="s">
        <v>100</v>
      </c>
      <c r="F14382" s="7">
        <v>46025.22709639813</v>
      </c>
      <c r="G14382" s="3" t="s">
        <v>18263</v>
      </c>
    </row>
    <row r="14383">
      <c r="A14383" s="3" t="s">
        <v>30255</v>
      </c>
      <c r="B14383" s="3" t="s">
        <v>12281</v>
      </c>
      <c r="C14383" s="5" t="s">
        <v>206</v>
      </c>
      <c r="D14383" s="3" t="s">
        <v>68</v>
      </c>
      <c r="E14383" s="3" t="s">
        <v>100</v>
      </c>
      <c r="F14383" s="7">
        <v>46025.23056862035</v>
      </c>
      <c r="G14383" s="3" t="s">
        <v>18265</v>
      </c>
    </row>
    <row r="14384">
      <c r="A14384" s="3" t="s">
        <v>30256</v>
      </c>
      <c r="B14384" s="3" t="s">
        <v>12282</v>
      </c>
      <c r="C14384" s="5" t="s">
        <v>45</v>
      </c>
      <c r="D14384" s="3" t="s">
        <v>221</v>
      </c>
      <c r="E14384" s="3" t="s">
        <v>789</v>
      </c>
      <c r="F14384" s="7">
        <v>46025.2913267991</v>
      </c>
      <c r="G14384" s="3" t="s">
        <v>28782</v>
      </c>
    </row>
    <row r="14385">
      <c r="A14385" s="3" t="s">
        <v>30257</v>
      </c>
      <c r="B14385" s="3" t="s">
        <v>12282</v>
      </c>
      <c r="C14385" s="5" t="s">
        <v>221</v>
      </c>
      <c r="D14385" s="3" t="s">
        <v>614</v>
      </c>
      <c r="E14385" s="3" t="s">
        <v>118</v>
      </c>
      <c r="F14385" s="7">
        <v>46025.29479902132</v>
      </c>
      <c r="G14385" s="3" t="s">
        <v>28784</v>
      </c>
    </row>
    <row r="14386">
      <c r="A14386" s="3" t="s">
        <v>30258</v>
      </c>
      <c r="B14386" s="3" t="s">
        <v>12282</v>
      </c>
      <c r="C14386" s="5" t="s">
        <v>614</v>
      </c>
      <c r="D14386" s="3" t="s">
        <v>206</v>
      </c>
      <c r="E14386" s="3" t="s">
        <v>100</v>
      </c>
      <c r="F14386" s="7">
        <v>46025.29827124355</v>
      </c>
      <c r="G14386" s="3" t="s">
        <v>28786</v>
      </c>
    </row>
    <row r="14387">
      <c r="A14387" s="3" t="s">
        <v>30259</v>
      </c>
      <c r="B14387" s="3" t="s">
        <v>12282</v>
      </c>
      <c r="C14387" s="5" t="s">
        <v>206</v>
      </c>
      <c r="D14387" s="3" t="s">
        <v>68</v>
      </c>
      <c r="E14387" s="3" t="s">
        <v>100</v>
      </c>
      <c r="F14387" s="7">
        <v>46025.30174346577</v>
      </c>
      <c r="G14387" s="3" t="s">
        <v>28788</v>
      </c>
    </row>
    <row r="14388">
      <c r="A14388" s="3" t="s">
        <v>30260</v>
      </c>
      <c r="B14388" s="3" t="s">
        <v>12285</v>
      </c>
      <c r="C14388" s="5" t="s">
        <v>45</v>
      </c>
      <c r="D14388" s="3" t="s">
        <v>221</v>
      </c>
      <c r="E14388" s="3" t="s">
        <v>900</v>
      </c>
      <c r="F14388" s="7">
        <v>46025.36250164452</v>
      </c>
      <c r="G14388" s="3" t="s">
        <v>29773</v>
      </c>
    </row>
    <row r="14389">
      <c r="A14389" s="3" t="s">
        <v>30261</v>
      </c>
      <c r="B14389" s="3" t="s">
        <v>12285</v>
      </c>
      <c r="C14389" s="5" t="s">
        <v>221</v>
      </c>
      <c r="D14389" s="3" t="s">
        <v>614</v>
      </c>
      <c r="E14389" s="3" t="s">
        <v>118</v>
      </c>
      <c r="F14389" s="7">
        <v>46025.36597386674</v>
      </c>
      <c r="G14389" s="3" t="s">
        <v>29775</v>
      </c>
    </row>
    <row r="14390">
      <c r="A14390" s="3" t="s">
        <v>30262</v>
      </c>
      <c r="B14390" s="3" t="s">
        <v>12285</v>
      </c>
      <c r="C14390" s="5" t="s">
        <v>614</v>
      </c>
      <c r="D14390" s="3" t="s">
        <v>206</v>
      </c>
      <c r="E14390" s="3" t="s">
        <v>100</v>
      </c>
      <c r="F14390" s="7">
        <v>46025.36944608897</v>
      </c>
      <c r="G14390" s="3" t="s">
        <v>29777</v>
      </c>
    </row>
    <row r="14391">
      <c r="A14391" s="3" t="s">
        <v>30263</v>
      </c>
      <c r="B14391" s="3" t="s">
        <v>12285</v>
      </c>
      <c r="C14391" s="5" t="s">
        <v>206</v>
      </c>
      <c r="D14391" s="3" t="s">
        <v>68</v>
      </c>
      <c r="E14391" s="3" t="s">
        <v>100</v>
      </c>
      <c r="F14391" s="7">
        <v>46025.37291831119</v>
      </c>
      <c r="G14391" s="3" t="s">
        <v>29779</v>
      </c>
    </row>
    <row r="14392">
      <c r="A14392" s="3" t="s">
        <v>30264</v>
      </c>
      <c r="B14392" s="3" t="s">
        <v>12288</v>
      </c>
      <c r="C14392" s="5" t="s">
        <v>45</v>
      </c>
      <c r="D14392" s="3" t="s">
        <v>221</v>
      </c>
      <c r="E14392" s="3" t="s">
        <v>908</v>
      </c>
      <c r="F14392" s="7">
        <v>46025.433676489934</v>
      </c>
      <c r="G14392" s="3" t="s">
        <v>18621</v>
      </c>
    </row>
    <row r="14393">
      <c r="A14393" s="3" t="s">
        <v>30265</v>
      </c>
      <c r="B14393" s="3" t="s">
        <v>12288</v>
      </c>
      <c r="C14393" s="5" t="s">
        <v>221</v>
      </c>
      <c r="D14393" s="3" t="s">
        <v>614</v>
      </c>
      <c r="E14393" s="3" t="s">
        <v>118</v>
      </c>
      <c r="F14393" s="7">
        <v>46025.43714871215</v>
      </c>
      <c r="G14393" s="3" t="s">
        <v>18624</v>
      </c>
    </row>
    <row r="14394">
      <c r="A14394" s="3" t="s">
        <v>30266</v>
      </c>
      <c r="B14394" s="3" t="s">
        <v>12288</v>
      </c>
      <c r="C14394" s="5" t="s">
        <v>614</v>
      </c>
      <c r="D14394" s="3" t="s">
        <v>206</v>
      </c>
      <c r="E14394" s="3" t="s">
        <v>100</v>
      </c>
      <c r="F14394" s="7">
        <v>46025.44062093438</v>
      </c>
      <c r="G14394" s="3" t="s">
        <v>18626</v>
      </c>
    </row>
    <row r="14395">
      <c r="A14395" s="3" t="s">
        <v>30267</v>
      </c>
      <c r="B14395" s="3" t="s">
        <v>12288</v>
      </c>
      <c r="C14395" s="5" t="s">
        <v>206</v>
      </c>
      <c r="D14395" s="3" t="s">
        <v>68</v>
      </c>
      <c r="E14395" s="3" t="s">
        <v>100</v>
      </c>
      <c r="F14395" s="7">
        <v>46025.4440931566</v>
      </c>
      <c r="G14395" s="3" t="s">
        <v>18629</v>
      </c>
    </row>
    <row r="14396">
      <c r="A14396" s="3" t="s">
        <v>30268</v>
      </c>
      <c r="B14396" s="3" t="s">
        <v>12289</v>
      </c>
      <c r="C14396" s="5" t="s">
        <v>45</v>
      </c>
      <c r="D14396" s="3" t="s">
        <v>221</v>
      </c>
      <c r="E14396" s="3" t="s">
        <v>377</v>
      </c>
      <c r="F14396" s="7">
        <v>46025.50485133535</v>
      </c>
      <c r="G14396" s="3" t="s">
        <v>22255</v>
      </c>
    </row>
    <row r="14397">
      <c r="A14397" s="3" t="s">
        <v>30269</v>
      </c>
      <c r="B14397" s="3" t="s">
        <v>12289</v>
      </c>
      <c r="C14397" s="5" t="s">
        <v>221</v>
      </c>
      <c r="D14397" s="3" t="s">
        <v>614</v>
      </c>
      <c r="E14397" s="3" t="s">
        <v>118</v>
      </c>
      <c r="F14397" s="7">
        <v>46025.508323557566</v>
      </c>
      <c r="G14397" s="3" t="s">
        <v>22258</v>
      </c>
    </row>
    <row r="14398">
      <c r="A14398" s="3" t="s">
        <v>30270</v>
      </c>
      <c r="B14398" s="3" t="s">
        <v>12289</v>
      </c>
      <c r="C14398" s="5" t="s">
        <v>614</v>
      </c>
      <c r="D14398" s="3" t="s">
        <v>206</v>
      </c>
      <c r="E14398" s="3" t="s">
        <v>100</v>
      </c>
      <c r="F14398" s="7">
        <v>46025.51179577979</v>
      </c>
      <c r="G14398" s="3" t="s">
        <v>22260</v>
      </c>
    </row>
    <row r="14399">
      <c r="A14399" s="3" t="s">
        <v>30271</v>
      </c>
      <c r="B14399" s="3" t="s">
        <v>12289</v>
      </c>
      <c r="C14399" s="5" t="s">
        <v>206</v>
      </c>
      <c r="D14399" s="3" t="s">
        <v>68</v>
      </c>
      <c r="E14399" s="3" t="s">
        <v>100</v>
      </c>
      <c r="F14399" s="7">
        <v>46025.51526800201</v>
      </c>
      <c r="G14399" s="3" t="s">
        <v>22263</v>
      </c>
    </row>
    <row r="14400">
      <c r="A14400" s="3" t="s">
        <v>30272</v>
      </c>
      <c r="B14400" s="3" t="s">
        <v>12291</v>
      </c>
      <c r="C14400" s="5" t="s">
        <v>45</v>
      </c>
      <c r="D14400" s="3" t="s">
        <v>221</v>
      </c>
      <c r="E14400" s="3" t="s">
        <v>280</v>
      </c>
      <c r="F14400" s="7">
        <v>46025.576026180766</v>
      </c>
      <c r="G14400" s="3" t="s">
        <v>30273</v>
      </c>
    </row>
    <row r="14401">
      <c r="A14401" s="3" t="s">
        <v>30274</v>
      </c>
      <c r="B14401" s="3" t="s">
        <v>12291</v>
      </c>
      <c r="C14401" s="5" t="s">
        <v>221</v>
      </c>
      <c r="D14401" s="3" t="s">
        <v>614</v>
      </c>
      <c r="E14401" s="3" t="s">
        <v>118</v>
      </c>
      <c r="F14401" s="7">
        <v>46025.579498402985</v>
      </c>
      <c r="G14401" s="3" t="s">
        <v>30275</v>
      </c>
    </row>
    <row r="14402">
      <c r="A14402" s="3" t="s">
        <v>30276</v>
      </c>
      <c r="B14402" s="3" t="s">
        <v>12291</v>
      </c>
      <c r="C14402" s="5" t="s">
        <v>614</v>
      </c>
      <c r="D14402" s="3" t="s">
        <v>206</v>
      </c>
      <c r="E14402" s="3" t="s">
        <v>100</v>
      </c>
      <c r="F14402" s="7">
        <v>46025.58297062521</v>
      </c>
      <c r="G14402" s="3" t="s">
        <v>30277</v>
      </c>
    </row>
    <row r="14403">
      <c r="A14403" s="3" t="s">
        <v>30278</v>
      </c>
      <c r="B14403" s="3" t="s">
        <v>12291</v>
      </c>
      <c r="C14403" s="5" t="s">
        <v>206</v>
      </c>
      <c r="D14403" s="3" t="s">
        <v>68</v>
      </c>
      <c r="E14403" s="3" t="s">
        <v>100</v>
      </c>
      <c r="F14403" s="7">
        <v>46025.58644284743</v>
      </c>
      <c r="G14403" s="3" t="s">
        <v>30279</v>
      </c>
    </row>
    <row r="14404">
      <c r="A14404" s="3" t="s">
        <v>30280</v>
      </c>
      <c r="B14404" s="3" t="s">
        <v>12293</v>
      </c>
      <c r="C14404" s="5" t="s">
        <v>45</v>
      </c>
      <c r="D14404" s="3" t="s">
        <v>221</v>
      </c>
      <c r="E14404" s="3" t="s">
        <v>269</v>
      </c>
      <c r="F14404" s="7">
        <v>46025.64720102618</v>
      </c>
      <c r="G14404" s="3" t="s">
        <v>30023</v>
      </c>
    </row>
    <row r="14405">
      <c r="A14405" s="3" t="s">
        <v>30281</v>
      </c>
      <c r="B14405" s="3" t="s">
        <v>12293</v>
      </c>
      <c r="C14405" s="5" t="s">
        <v>221</v>
      </c>
      <c r="D14405" s="3" t="s">
        <v>181</v>
      </c>
      <c r="E14405" s="3" t="s">
        <v>118</v>
      </c>
      <c r="F14405" s="7">
        <v>46025.6506732484</v>
      </c>
      <c r="G14405" s="3" t="s">
        <v>30282</v>
      </c>
    </row>
    <row r="14406">
      <c r="A14406" s="3" t="s">
        <v>30283</v>
      </c>
      <c r="B14406" s="3" t="s">
        <v>12295</v>
      </c>
      <c r="C14406" s="5" t="s">
        <v>45</v>
      </c>
      <c r="D14406" s="3" t="s">
        <v>221</v>
      </c>
      <c r="E14406" s="3" t="s">
        <v>148</v>
      </c>
      <c r="F14406" s="7">
        <v>46025.71837587159</v>
      </c>
      <c r="G14406" s="3" t="s">
        <v>27492</v>
      </c>
    </row>
    <row r="14407">
      <c r="A14407" s="3" t="s">
        <v>30284</v>
      </c>
      <c r="B14407" s="3" t="s">
        <v>12295</v>
      </c>
      <c r="C14407" s="5" t="s">
        <v>221</v>
      </c>
      <c r="D14407" s="3" t="s">
        <v>614</v>
      </c>
      <c r="E14407" s="3" t="s">
        <v>118</v>
      </c>
      <c r="F14407" s="7">
        <v>46025.72184809381</v>
      </c>
      <c r="G14407" s="3" t="s">
        <v>27494</v>
      </c>
    </row>
    <row r="14408">
      <c r="A14408" s="3" t="s">
        <v>30285</v>
      </c>
      <c r="B14408" s="3" t="s">
        <v>12295</v>
      </c>
      <c r="C14408" s="5" t="s">
        <v>614</v>
      </c>
      <c r="D14408" s="3" t="s">
        <v>206</v>
      </c>
      <c r="E14408" s="3" t="s">
        <v>100</v>
      </c>
      <c r="F14408" s="7">
        <v>46025.725320316036</v>
      </c>
      <c r="G14408" s="3" t="s">
        <v>27496</v>
      </c>
    </row>
    <row r="14409">
      <c r="A14409" s="3" t="s">
        <v>30286</v>
      </c>
      <c r="B14409" s="3" t="s">
        <v>12295</v>
      </c>
      <c r="C14409" s="5" t="s">
        <v>206</v>
      </c>
      <c r="D14409" s="3" t="s">
        <v>68</v>
      </c>
      <c r="E14409" s="3" t="s">
        <v>100</v>
      </c>
      <c r="F14409" s="7">
        <v>46025.728792538255</v>
      </c>
      <c r="G14409" s="3" t="s">
        <v>27498</v>
      </c>
    </row>
    <row r="14410">
      <c r="A14410" s="3" t="s">
        <v>30287</v>
      </c>
      <c r="B14410" s="3" t="s">
        <v>12297</v>
      </c>
      <c r="C14410" s="5" t="s">
        <v>45</v>
      </c>
      <c r="D14410" s="3" t="s">
        <v>221</v>
      </c>
      <c r="E14410" s="3" t="s">
        <v>330</v>
      </c>
      <c r="F14410" s="7">
        <v>46025.78955071701</v>
      </c>
      <c r="G14410" s="3" t="s">
        <v>21463</v>
      </c>
    </row>
    <row r="14411">
      <c r="A14411" s="3" t="s">
        <v>30288</v>
      </c>
      <c r="B14411" s="3" t="s">
        <v>12297</v>
      </c>
      <c r="C14411" s="5" t="s">
        <v>221</v>
      </c>
      <c r="D14411" s="3" t="s">
        <v>614</v>
      </c>
      <c r="E14411" s="3" t="s">
        <v>118</v>
      </c>
      <c r="F14411" s="7">
        <v>46025.79302293923</v>
      </c>
      <c r="G14411" s="3" t="s">
        <v>21466</v>
      </c>
    </row>
    <row r="14412">
      <c r="A14412" s="3" t="s">
        <v>30289</v>
      </c>
      <c r="B14412" s="3" t="s">
        <v>12297</v>
      </c>
      <c r="C14412" s="5" t="s">
        <v>614</v>
      </c>
      <c r="D14412" s="3" t="s">
        <v>206</v>
      </c>
      <c r="E14412" s="3" t="s">
        <v>100</v>
      </c>
      <c r="F14412" s="7">
        <v>46025.796495161456</v>
      </c>
      <c r="G14412" s="3" t="s">
        <v>21468</v>
      </c>
    </row>
    <row r="14413">
      <c r="A14413" s="3" t="s">
        <v>30290</v>
      </c>
      <c r="B14413" s="3" t="s">
        <v>12297</v>
      </c>
      <c r="C14413" s="5" t="s">
        <v>206</v>
      </c>
      <c r="D14413" s="3" t="s">
        <v>68</v>
      </c>
      <c r="E14413" s="3" t="s">
        <v>100</v>
      </c>
      <c r="F14413" s="7">
        <v>46025.799967383675</v>
      </c>
      <c r="G14413" s="3" t="s">
        <v>21471</v>
      </c>
    </row>
    <row r="14414">
      <c r="A14414" s="3" t="s">
        <v>30291</v>
      </c>
      <c r="B14414" s="3" t="s">
        <v>12300</v>
      </c>
      <c r="C14414" s="5" t="s">
        <v>45</v>
      </c>
      <c r="D14414" s="3" t="s">
        <v>221</v>
      </c>
      <c r="E14414" s="3" t="s">
        <v>524</v>
      </c>
      <c r="F14414" s="7">
        <v>46025.86072556242</v>
      </c>
      <c r="G14414" s="3" t="s">
        <v>28750</v>
      </c>
    </row>
    <row r="14415">
      <c r="A14415" s="3" t="s">
        <v>30292</v>
      </c>
      <c r="B14415" s="3" t="s">
        <v>12300</v>
      </c>
      <c r="C14415" s="5" t="s">
        <v>221</v>
      </c>
      <c r="D14415" s="3" t="s">
        <v>614</v>
      </c>
      <c r="E14415" s="3" t="s">
        <v>118</v>
      </c>
      <c r="F14415" s="7">
        <v>46025.86419778464</v>
      </c>
      <c r="G14415" s="3" t="s">
        <v>28752</v>
      </c>
    </row>
    <row r="14416">
      <c r="A14416" s="3" t="s">
        <v>30293</v>
      </c>
      <c r="B14416" s="3" t="s">
        <v>12300</v>
      </c>
      <c r="C14416" s="5" t="s">
        <v>614</v>
      </c>
      <c r="D14416" s="3" t="s">
        <v>206</v>
      </c>
      <c r="E14416" s="3" t="s">
        <v>100</v>
      </c>
      <c r="F14416" s="7">
        <v>46025.86767000687</v>
      </c>
      <c r="G14416" s="3" t="s">
        <v>28754</v>
      </c>
    </row>
    <row r="14417">
      <c r="A14417" s="3" t="s">
        <v>30294</v>
      </c>
      <c r="B14417" s="3" t="s">
        <v>12300</v>
      </c>
      <c r="C14417" s="5" t="s">
        <v>206</v>
      </c>
      <c r="D14417" s="3" t="s">
        <v>68</v>
      </c>
      <c r="E14417" s="3" t="s">
        <v>100</v>
      </c>
      <c r="F14417" s="7">
        <v>46025.87114222909</v>
      </c>
      <c r="G14417" s="3" t="s">
        <v>28756</v>
      </c>
    </row>
    <row r="14418">
      <c r="A14418" s="3" t="s">
        <v>30295</v>
      </c>
      <c r="B14418" s="3" t="s">
        <v>12303</v>
      </c>
      <c r="C14418" s="5" t="s">
        <v>45</v>
      </c>
      <c r="D14418" s="3" t="s">
        <v>221</v>
      </c>
      <c r="E14418" s="3" t="s">
        <v>990</v>
      </c>
      <c r="F14418" s="7">
        <v>46025.931900407835</v>
      </c>
      <c r="G14418" s="3" t="s">
        <v>30296</v>
      </c>
    </row>
    <row r="14419">
      <c r="A14419" s="3" t="s">
        <v>30297</v>
      </c>
      <c r="B14419" s="3" t="s">
        <v>12303</v>
      </c>
      <c r="C14419" s="5" t="s">
        <v>221</v>
      </c>
      <c r="D14419" s="3" t="s">
        <v>195</v>
      </c>
      <c r="E14419" s="3" t="s">
        <v>990</v>
      </c>
      <c r="F14419" s="7">
        <v>46025.935372630054</v>
      </c>
      <c r="G14419" s="3" t="s">
        <v>30298</v>
      </c>
    </row>
    <row r="14420">
      <c r="A14420" s="3" t="s">
        <v>30299</v>
      </c>
      <c r="B14420" s="3" t="s">
        <v>12306</v>
      </c>
      <c r="C14420" s="5" t="s">
        <v>45</v>
      </c>
      <c r="D14420" s="3" t="s">
        <v>221</v>
      </c>
      <c r="E14420" s="3" t="s">
        <v>734</v>
      </c>
      <c r="F14420" s="7">
        <v>46026.003075253255</v>
      </c>
      <c r="G14420" s="3" t="s">
        <v>19931</v>
      </c>
    </row>
    <row r="14421">
      <c r="A14421" s="3" t="s">
        <v>30300</v>
      </c>
      <c r="B14421" s="3" t="s">
        <v>12306</v>
      </c>
      <c r="C14421" s="5" t="s">
        <v>221</v>
      </c>
      <c r="D14421" s="3" t="s">
        <v>614</v>
      </c>
      <c r="E14421" s="3" t="s">
        <v>118</v>
      </c>
      <c r="F14421" s="7">
        <v>46026.006547475474</v>
      </c>
      <c r="G14421" s="3" t="s">
        <v>19934</v>
      </c>
    </row>
    <row r="14422">
      <c r="A14422" s="3" t="s">
        <v>30301</v>
      </c>
      <c r="B14422" s="3" t="s">
        <v>12306</v>
      </c>
      <c r="C14422" s="5" t="s">
        <v>614</v>
      </c>
      <c r="D14422" s="3" t="s">
        <v>206</v>
      </c>
      <c r="E14422" s="3" t="s">
        <v>100</v>
      </c>
      <c r="F14422" s="7">
        <v>46026.0100196977</v>
      </c>
      <c r="G14422" s="3" t="s">
        <v>19937</v>
      </c>
    </row>
    <row r="14423">
      <c r="A14423" s="3" t="s">
        <v>30302</v>
      </c>
      <c r="B14423" s="3" t="s">
        <v>12306</v>
      </c>
      <c r="C14423" s="5" t="s">
        <v>206</v>
      </c>
      <c r="D14423" s="3" t="s">
        <v>68</v>
      </c>
      <c r="E14423" s="3" t="s">
        <v>100</v>
      </c>
      <c r="F14423" s="7">
        <v>46026.01349191992</v>
      </c>
      <c r="G14423" s="3" t="s">
        <v>19940</v>
      </c>
    </row>
    <row r="14424">
      <c r="A14424" s="3" t="s">
        <v>30303</v>
      </c>
      <c r="B14424" s="3" t="s">
        <v>12309</v>
      </c>
      <c r="C14424" s="5" t="s">
        <v>45</v>
      </c>
      <c r="D14424" s="3" t="s">
        <v>221</v>
      </c>
      <c r="E14424" s="3" t="s">
        <v>440</v>
      </c>
      <c r="F14424" s="7">
        <v>46026.07425009867</v>
      </c>
      <c r="G14424" s="3" t="s">
        <v>7627</v>
      </c>
    </row>
    <row r="14425">
      <c r="A14425" s="3" t="s">
        <v>30304</v>
      </c>
      <c r="B14425" s="3" t="s">
        <v>12309</v>
      </c>
      <c r="C14425" s="5" t="s">
        <v>221</v>
      </c>
      <c r="D14425" s="3" t="s">
        <v>614</v>
      </c>
      <c r="E14425" s="3" t="s">
        <v>118</v>
      </c>
      <c r="F14425" s="7">
        <v>46026.077722320886</v>
      </c>
      <c r="G14425" s="3" t="s">
        <v>8929</v>
      </c>
    </row>
    <row r="14426">
      <c r="A14426" s="3" t="s">
        <v>30305</v>
      </c>
      <c r="B14426" s="3" t="s">
        <v>12309</v>
      </c>
      <c r="C14426" s="5" t="s">
        <v>614</v>
      </c>
      <c r="D14426" s="3" t="s">
        <v>206</v>
      </c>
      <c r="E14426" s="3" t="s">
        <v>100</v>
      </c>
      <c r="F14426" s="7">
        <v>46026.08119454311</v>
      </c>
      <c r="G14426" s="3" t="s">
        <v>8932</v>
      </c>
    </row>
    <row r="14427">
      <c r="A14427" s="3" t="s">
        <v>30306</v>
      </c>
      <c r="B14427" s="3" t="s">
        <v>12309</v>
      </c>
      <c r="C14427" s="5" t="s">
        <v>206</v>
      </c>
      <c r="D14427" s="3" t="s">
        <v>68</v>
      </c>
      <c r="E14427" s="3" t="s">
        <v>100</v>
      </c>
      <c r="F14427" s="7">
        <v>46026.08466676533</v>
      </c>
      <c r="G14427" s="3" t="s">
        <v>8935</v>
      </c>
    </row>
    <row r="14428">
      <c r="A14428" s="3" t="s">
        <v>30307</v>
      </c>
      <c r="B14428" s="3" t="s">
        <v>12312</v>
      </c>
      <c r="C14428" s="5" t="s">
        <v>45</v>
      </c>
      <c r="D14428" s="3" t="s">
        <v>221</v>
      </c>
      <c r="E14428" s="3" t="s">
        <v>676</v>
      </c>
      <c r="F14428" s="7">
        <v>46026.14542494408</v>
      </c>
      <c r="G14428" s="3" t="s">
        <v>27715</v>
      </c>
    </row>
    <row r="14429">
      <c r="A14429" s="3" t="s">
        <v>30308</v>
      </c>
      <c r="B14429" s="3" t="s">
        <v>12312</v>
      </c>
      <c r="C14429" s="5" t="s">
        <v>221</v>
      </c>
      <c r="D14429" s="3" t="s">
        <v>181</v>
      </c>
      <c r="E14429" s="3" t="s">
        <v>118</v>
      </c>
      <c r="F14429" s="7">
        <v>46026.1488971663</v>
      </c>
      <c r="G14429" s="3" t="s">
        <v>30309</v>
      </c>
    </row>
    <row r="14430">
      <c r="A14430" s="3" t="s">
        <v>30310</v>
      </c>
      <c r="B14430" s="3" t="s">
        <v>12313</v>
      </c>
      <c r="C14430" s="5" t="s">
        <v>45</v>
      </c>
      <c r="D14430" s="3" t="s">
        <v>221</v>
      </c>
      <c r="E14430" s="3" t="s">
        <v>913</v>
      </c>
      <c r="F14430" s="7">
        <v>46026.2165997895</v>
      </c>
      <c r="G14430" s="3" t="s">
        <v>3073</v>
      </c>
    </row>
    <row r="14431">
      <c r="A14431" s="3" t="s">
        <v>30311</v>
      </c>
      <c r="B14431" s="3" t="s">
        <v>12313</v>
      </c>
      <c r="C14431" s="5" t="s">
        <v>221</v>
      </c>
      <c r="D14431" s="3" t="s">
        <v>614</v>
      </c>
      <c r="E14431" s="3" t="s">
        <v>118</v>
      </c>
      <c r="F14431" s="7">
        <v>46026.22007201172</v>
      </c>
      <c r="G14431" s="3" t="s">
        <v>3076</v>
      </c>
    </row>
    <row r="14432">
      <c r="A14432" s="3" t="s">
        <v>30312</v>
      </c>
      <c r="B14432" s="3" t="s">
        <v>12313</v>
      </c>
      <c r="C14432" s="5" t="s">
        <v>614</v>
      </c>
      <c r="D14432" s="3" t="s">
        <v>206</v>
      </c>
      <c r="E14432" s="3" t="s">
        <v>100</v>
      </c>
      <c r="F14432" s="7">
        <v>46026.223544233944</v>
      </c>
      <c r="G14432" s="3" t="s">
        <v>3078</v>
      </c>
    </row>
    <row r="14433">
      <c r="A14433" s="3" t="s">
        <v>30313</v>
      </c>
      <c r="B14433" s="3" t="s">
        <v>12313</v>
      </c>
      <c r="C14433" s="5" t="s">
        <v>206</v>
      </c>
      <c r="D14433" s="3" t="s">
        <v>68</v>
      </c>
      <c r="E14433" s="3" t="s">
        <v>100</v>
      </c>
      <c r="F14433" s="7">
        <v>46026.22701645616</v>
      </c>
      <c r="G14433" s="3" t="s">
        <v>3081</v>
      </c>
    </row>
    <row r="14434">
      <c r="A14434" s="3" t="s">
        <v>30314</v>
      </c>
      <c r="B14434" s="3" t="s">
        <v>12315</v>
      </c>
      <c r="C14434" s="5" t="s">
        <v>45</v>
      </c>
      <c r="D14434" s="3" t="s">
        <v>221</v>
      </c>
      <c r="E14434" s="3" t="s">
        <v>598</v>
      </c>
      <c r="F14434" s="7">
        <v>46026.28777463492</v>
      </c>
      <c r="G14434" s="3" t="s">
        <v>19394</v>
      </c>
    </row>
    <row r="14435">
      <c r="A14435" s="3" t="s">
        <v>30315</v>
      </c>
      <c r="B14435" s="3" t="s">
        <v>12315</v>
      </c>
      <c r="C14435" s="5" t="s">
        <v>221</v>
      </c>
      <c r="D14435" s="3" t="s">
        <v>614</v>
      </c>
      <c r="E14435" s="3" t="s">
        <v>118</v>
      </c>
      <c r="F14435" s="7">
        <v>46026.29124685714</v>
      </c>
      <c r="G14435" s="3" t="s">
        <v>19397</v>
      </c>
    </row>
    <row r="14436">
      <c r="A14436" s="3" t="s">
        <v>30316</v>
      </c>
      <c r="B14436" s="3" t="s">
        <v>12315</v>
      </c>
      <c r="C14436" s="5" t="s">
        <v>614</v>
      </c>
      <c r="D14436" s="3" t="s">
        <v>206</v>
      </c>
      <c r="E14436" s="3" t="s">
        <v>100</v>
      </c>
      <c r="F14436" s="7">
        <v>46026.294719079364</v>
      </c>
      <c r="G14436" s="3" t="s">
        <v>19400</v>
      </c>
    </row>
    <row r="14437">
      <c r="A14437" s="3" t="s">
        <v>30317</v>
      </c>
      <c r="B14437" s="3" t="s">
        <v>12315</v>
      </c>
      <c r="C14437" s="5" t="s">
        <v>206</v>
      </c>
      <c r="D14437" s="3" t="s">
        <v>68</v>
      </c>
      <c r="E14437" s="3" t="s">
        <v>100</v>
      </c>
      <c r="F14437" s="7">
        <v>46026.29819130158</v>
      </c>
      <c r="G14437" s="3" t="s">
        <v>19403</v>
      </c>
    </row>
    <row r="14438">
      <c r="A14438" s="3" t="s">
        <v>30318</v>
      </c>
      <c r="B14438" s="3" t="s">
        <v>12318</v>
      </c>
      <c r="C14438" s="5" t="s">
        <v>45</v>
      </c>
      <c r="D14438" s="3" t="s">
        <v>221</v>
      </c>
      <c r="E14438" s="3" t="s">
        <v>789</v>
      </c>
      <c r="F14438" s="7">
        <v>46026.358949480324</v>
      </c>
      <c r="G14438" s="3" t="s">
        <v>28782</v>
      </c>
    </row>
    <row r="14439">
      <c r="A14439" s="3" t="s">
        <v>30319</v>
      </c>
      <c r="B14439" s="3" t="s">
        <v>12318</v>
      </c>
      <c r="C14439" s="5" t="s">
        <v>221</v>
      </c>
      <c r="D14439" s="3" t="s">
        <v>614</v>
      </c>
      <c r="E14439" s="3" t="s">
        <v>118</v>
      </c>
      <c r="F14439" s="7">
        <v>46026.36242170254</v>
      </c>
      <c r="G14439" s="3" t="s">
        <v>28784</v>
      </c>
    </row>
    <row r="14440">
      <c r="A14440" s="3" t="s">
        <v>30320</v>
      </c>
      <c r="B14440" s="3" t="s">
        <v>12318</v>
      </c>
      <c r="C14440" s="5" t="s">
        <v>614</v>
      </c>
      <c r="D14440" s="3" t="s">
        <v>206</v>
      </c>
      <c r="E14440" s="3" t="s">
        <v>100</v>
      </c>
      <c r="F14440" s="7">
        <v>46026.36589392477</v>
      </c>
      <c r="G14440" s="3" t="s">
        <v>28786</v>
      </c>
    </row>
    <row r="14441">
      <c r="A14441" s="3" t="s">
        <v>30321</v>
      </c>
      <c r="B14441" s="3" t="s">
        <v>12318</v>
      </c>
      <c r="C14441" s="5" t="s">
        <v>206</v>
      </c>
      <c r="D14441" s="3" t="s">
        <v>68</v>
      </c>
      <c r="E14441" s="3" t="s">
        <v>100</v>
      </c>
      <c r="F14441" s="7">
        <v>46026.36936614699</v>
      </c>
      <c r="G14441" s="3" t="s">
        <v>28788</v>
      </c>
    </row>
    <row r="14442">
      <c r="A14442" s="3" t="s">
        <v>30322</v>
      </c>
      <c r="B14442" s="3" t="s">
        <v>12321</v>
      </c>
      <c r="C14442" s="5" t="s">
        <v>45</v>
      </c>
      <c r="D14442" s="3" t="s">
        <v>221</v>
      </c>
      <c r="E14442" s="3" t="s">
        <v>980</v>
      </c>
      <c r="F14442" s="7">
        <v>46026.43012432574</v>
      </c>
      <c r="G14442" s="3" t="s">
        <v>6155</v>
      </c>
    </row>
    <row r="14443">
      <c r="A14443" s="3" t="s">
        <v>30323</v>
      </c>
      <c r="B14443" s="3" t="s">
        <v>12321</v>
      </c>
      <c r="C14443" s="5" t="s">
        <v>221</v>
      </c>
      <c r="D14443" s="3" t="s">
        <v>181</v>
      </c>
      <c r="E14443" s="3" t="s">
        <v>118</v>
      </c>
      <c r="F14443" s="7">
        <v>46026.43359654796</v>
      </c>
      <c r="G14443" s="3" t="s">
        <v>30324</v>
      </c>
    </row>
    <row r="14444">
      <c r="A14444" s="3" t="s">
        <v>30325</v>
      </c>
      <c r="B14444" s="3" t="s">
        <v>12324</v>
      </c>
      <c r="C14444" s="5" t="s">
        <v>45</v>
      </c>
      <c r="D14444" s="3" t="s">
        <v>221</v>
      </c>
      <c r="E14444" s="3" t="s">
        <v>280</v>
      </c>
      <c r="F14444" s="7">
        <v>46026.50129917116</v>
      </c>
      <c r="G14444" s="3" t="s">
        <v>30273</v>
      </c>
    </row>
    <row r="14445">
      <c r="A14445" s="3" t="s">
        <v>30326</v>
      </c>
      <c r="B14445" s="3" t="s">
        <v>12324</v>
      </c>
      <c r="C14445" s="5" t="s">
        <v>221</v>
      </c>
      <c r="D14445" s="3" t="s">
        <v>181</v>
      </c>
      <c r="E14445" s="3" t="s">
        <v>118</v>
      </c>
      <c r="F14445" s="7">
        <v>46026.50477139338</v>
      </c>
      <c r="G14445" s="3" t="s">
        <v>30327</v>
      </c>
    </row>
    <row r="14446">
      <c r="A14446" s="3" t="s">
        <v>30328</v>
      </c>
      <c r="B14446" s="3" t="s">
        <v>12325</v>
      </c>
      <c r="C14446" s="5" t="s">
        <v>45</v>
      </c>
      <c r="D14446" s="3" t="s">
        <v>221</v>
      </c>
      <c r="E14446" s="3" t="s">
        <v>1001</v>
      </c>
      <c r="F14446" s="7">
        <v>46026.572474016575</v>
      </c>
      <c r="G14446" s="3" t="s">
        <v>14886</v>
      </c>
    </row>
    <row r="14447">
      <c r="A14447" s="3" t="s">
        <v>30329</v>
      </c>
      <c r="B14447" s="3" t="s">
        <v>12325</v>
      </c>
      <c r="C14447" s="5" t="s">
        <v>221</v>
      </c>
      <c r="D14447" s="3" t="s">
        <v>614</v>
      </c>
      <c r="E14447" s="3" t="s">
        <v>118</v>
      </c>
      <c r="F14447" s="7">
        <v>46026.575946238794</v>
      </c>
      <c r="G14447" s="3" t="s">
        <v>14889</v>
      </c>
    </row>
    <row r="14448">
      <c r="A14448" s="3" t="s">
        <v>30330</v>
      </c>
      <c r="B14448" s="3" t="s">
        <v>12325</v>
      </c>
      <c r="C14448" s="5" t="s">
        <v>614</v>
      </c>
      <c r="D14448" s="3" t="s">
        <v>206</v>
      </c>
      <c r="E14448" s="3" t="s">
        <v>100</v>
      </c>
      <c r="F14448" s="7">
        <v>46026.57941846102</v>
      </c>
      <c r="G14448" s="3" t="s">
        <v>14892</v>
      </c>
    </row>
    <row r="14449">
      <c r="A14449" s="3" t="s">
        <v>30331</v>
      </c>
      <c r="B14449" s="3" t="s">
        <v>12325</v>
      </c>
      <c r="C14449" s="5" t="s">
        <v>206</v>
      </c>
      <c r="D14449" s="3" t="s">
        <v>68</v>
      </c>
      <c r="E14449" s="3" t="s">
        <v>100</v>
      </c>
      <c r="F14449" s="7">
        <v>46026.58289068324</v>
      </c>
      <c r="G14449" s="3" t="s">
        <v>14895</v>
      </c>
    </row>
    <row r="14450">
      <c r="A14450" s="3" t="s">
        <v>30332</v>
      </c>
      <c r="B14450" s="3" t="s">
        <v>12327</v>
      </c>
      <c r="C14450" s="5" t="s">
        <v>45</v>
      </c>
      <c r="D14450" s="3" t="s">
        <v>221</v>
      </c>
      <c r="E14450" s="3" t="s">
        <v>1030</v>
      </c>
      <c r="F14450" s="7">
        <v>46026.64364886199</v>
      </c>
      <c r="G14450" s="3" t="s">
        <v>3453</v>
      </c>
    </row>
    <row r="14451">
      <c r="A14451" s="3" t="s">
        <v>30333</v>
      </c>
      <c r="B14451" s="3" t="s">
        <v>12327</v>
      </c>
      <c r="C14451" s="5" t="s">
        <v>221</v>
      </c>
      <c r="D14451" s="3" t="s">
        <v>614</v>
      </c>
      <c r="E14451" s="3" t="s">
        <v>118</v>
      </c>
      <c r="F14451" s="7">
        <v>46026.64712108421</v>
      </c>
      <c r="G14451" s="3" t="s">
        <v>3456</v>
      </c>
    </row>
    <row r="14452">
      <c r="A14452" s="3" t="s">
        <v>30334</v>
      </c>
      <c r="B14452" s="3" t="s">
        <v>12327</v>
      </c>
      <c r="C14452" s="5" t="s">
        <v>614</v>
      </c>
      <c r="D14452" s="3" t="s">
        <v>206</v>
      </c>
      <c r="E14452" s="3" t="s">
        <v>100</v>
      </c>
      <c r="F14452" s="7">
        <v>46026.65059330643</v>
      </c>
      <c r="G14452" s="3" t="s">
        <v>3459</v>
      </c>
    </row>
    <row r="14453">
      <c r="A14453" s="3" t="s">
        <v>30335</v>
      </c>
      <c r="B14453" s="3" t="s">
        <v>12327</v>
      </c>
      <c r="C14453" s="5" t="s">
        <v>206</v>
      </c>
      <c r="D14453" s="3" t="s">
        <v>68</v>
      </c>
      <c r="E14453" s="3" t="s">
        <v>100</v>
      </c>
      <c r="F14453" s="7">
        <v>46026.65406552865</v>
      </c>
      <c r="G14453" s="3" t="s">
        <v>3462</v>
      </c>
    </row>
    <row r="14454">
      <c r="A14454" s="3" t="s">
        <v>30336</v>
      </c>
      <c r="B14454" s="3" t="s">
        <v>12329</v>
      </c>
      <c r="C14454" s="5" t="s">
        <v>45</v>
      </c>
      <c r="D14454" s="3" t="s">
        <v>221</v>
      </c>
      <c r="E14454" s="3" t="s">
        <v>632</v>
      </c>
      <c r="F14454" s="7">
        <v>46026.71482370741</v>
      </c>
      <c r="G14454" s="3" t="s">
        <v>9238</v>
      </c>
    </row>
    <row r="14455">
      <c r="A14455" s="3" t="s">
        <v>30337</v>
      </c>
      <c r="B14455" s="3" t="s">
        <v>12329</v>
      </c>
      <c r="C14455" s="5" t="s">
        <v>221</v>
      </c>
      <c r="D14455" s="3" t="s">
        <v>614</v>
      </c>
      <c r="E14455" s="3" t="s">
        <v>118</v>
      </c>
      <c r="F14455" s="7">
        <v>46026.718295929626</v>
      </c>
      <c r="G14455" s="3" t="s">
        <v>16363</v>
      </c>
    </row>
    <row r="14456">
      <c r="A14456" s="3" t="s">
        <v>30338</v>
      </c>
      <c r="B14456" s="3" t="s">
        <v>12329</v>
      </c>
      <c r="C14456" s="5" t="s">
        <v>614</v>
      </c>
      <c r="D14456" s="3" t="s">
        <v>206</v>
      </c>
      <c r="E14456" s="3" t="s">
        <v>100</v>
      </c>
      <c r="F14456" s="7">
        <v>46026.72176815185</v>
      </c>
      <c r="G14456" s="3" t="s">
        <v>16366</v>
      </c>
    </row>
    <row r="14457">
      <c r="A14457" s="3" t="s">
        <v>30339</v>
      </c>
      <c r="B14457" s="3" t="s">
        <v>12329</v>
      </c>
      <c r="C14457" s="5" t="s">
        <v>206</v>
      </c>
      <c r="D14457" s="3" t="s">
        <v>68</v>
      </c>
      <c r="E14457" s="3" t="s">
        <v>100</v>
      </c>
      <c r="F14457" s="7">
        <v>46026.72524037407</v>
      </c>
      <c r="G14457" s="3" t="s">
        <v>16369</v>
      </c>
    </row>
    <row r="14458">
      <c r="A14458" s="3" t="s">
        <v>30340</v>
      </c>
      <c r="B14458" s="3" t="s">
        <v>12331</v>
      </c>
      <c r="C14458" s="5" t="s">
        <v>45</v>
      </c>
      <c r="D14458" s="3" t="s">
        <v>221</v>
      </c>
      <c r="E14458" s="3" t="s">
        <v>722</v>
      </c>
      <c r="F14458" s="7">
        <v>46026.78599855282</v>
      </c>
      <c r="G14458" s="3" t="s">
        <v>14712</v>
      </c>
    </row>
    <row r="14459">
      <c r="A14459" s="3" t="s">
        <v>30341</v>
      </c>
      <c r="B14459" s="3" t="s">
        <v>12331</v>
      </c>
      <c r="C14459" s="5" t="s">
        <v>221</v>
      </c>
      <c r="D14459" s="3" t="s">
        <v>614</v>
      </c>
      <c r="E14459" s="3" t="s">
        <v>118</v>
      </c>
      <c r="F14459" s="7">
        <v>46026.78947077504</v>
      </c>
      <c r="G14459" s="3" t="s">
        <v>14715</v>
      </c>
    </row>
    <row r="14460">
      <c r="A14460" s="3" t="s">
        <v>30342</v>
      </c>
      <c r="B14460" s="3" t="s">
        <v>12331</v>
      </c>
      <c r="C14460" s="5" t="s">
        <v>614</v>
      </c>
      <c r="D14460" s="3" t="s">
        <v>206</v>
      </c>
      <c r="E14460" s="3" t="s">
        <v>100</v>
      </c>
      <c r="F14460" s="7">
        <v>46026.792942997265</v>
      </c>
      <c r="G14460" s="3" t="s">
        <v>14718</v>
      </c>
    </row>
    <row r="14461">
      <c r="A14461" s="3" t="s">
        <v>30343</v>
      </c>
      <c r="B14461" s="3" t="s">
        <v>12331</v>
      </c>
      <c r="C14461" s="5" t="s">
        <v>206</v>
      </c>
      <c r="D14461" s="3" t="s">
        <v>68</v>
      </c>
      <c r="E14461" s="3" t="s">
        <v>100</v>
      </c>
      <c r="F14461" s="7">
        <v>46026.79641521948</v>
      </c>
      <c r="G14461" s="3" t="s">
        <v>14721</v>
      </c>
    </row>
    <row r="14462">
      <c r="A14462" s="3" t="s">
        <v>30344</v>
      </c>
      <c r="B14462" s="3" t="s">
        <v>12333</v>
      </c>
      <c r="C14462" s="5" t="s">
        <v>45</v>
      </c>
      <c r="D14462" s="3" t="s">
        <v>221</v>
      </c>
      <c r="E14462" s="3" t="s">
        <v>505</v>
      </c>
      <c r="F14462" s="7">
        <v>46026.85717339823</v>
      </c>
      <c r="G14462" s="3" t="s">
        <v>28310</v>
      </c>
    </row>
    <row r="14463">
      <c r="A14463" s="3" t="s">
        <v>30345</v>
      </c>
      <c r="B14463" s="3" t="s">
        <v>12333</v>
      </c>
      <c r="C14463" s="5" t="s">
        <v>221</v>
      </c>
      <c r="D14463" s="3" t="s">
        <v>614</v>
      </c>
      <c r="E14463" s="3" t="s">
        <v>118</v>
      </c>
      <c r="F14463" s="7">
        <v>46026.86064562045</v>
      </c>
      <c r="G14463" s="3" t="s">
        <v>30346</v>
      </c>
    </row>
    <row r="14464">
      <c r="A14464" s="3" t="s">
        <v>30347</v>
      </c>
      <c r="B14464" s="3" t="s">
        <v>12333</v>
      </c>
      <c r="C14464" s="5" t="s">
        <v>614</v>
      </c>
      <c r="D14464" s="3" t="s">
        <v>206</v>
      </c>
      <c r="E14464" s="3" t="s">
        <v>100</v>
      </c>
      <c r="F14464" s="7">
        <v>46026.86411784268</v>
      </c>
      <c r="G14464" s="3" t="s">
        <v>30348</v>
      </c>
    </row>
    <row r="14465">
      <c r="A14465" s="3" t="s">
        <v>30349</v>
      </c>
      <c r="B14465" s="3" t="s">
        <v>12333</v>
      </c>
      <c r="C14465" s="5" t="s">
        <v>206</v>
      </c>
      <c r="D14465" s="3" t="s">
        <v>68</v>
      </c>
      <c r="E14465" s="3" t="s">
        <v>100</v>
      </c>
      <c r="F14465" s="7">
        <v>46026.867590064896</v>
      </c>
      <c r="G14465" s="3" t="s">
        <v>30350</v>
      </c>
    </row>
    <row r="14466">
      <c r="A14466" s="3" t="s">
        <v>30351</v>
      </c>
      <c r="B14466" s="3" t="s">
        <v>12336</v>
      </c>
      <c r="C14466" s="5" t="s">
        <v>45</v>
      </c>
      <c r="D14466" s="3" t="s">
        <v>221</v>
      </c>
      <c r="E14466" s="3" t="s">
        <v>380</v>
      </c>
      <c r="F14466" s="7">
        <v>46026.92834824365</v>
      </c>
      <c r="G14466" s="3" t="s">
        <v>30352</v>
      </c>
    </row>
    <row r="14467">
      <c r="A14467" s="3" t="s">
        <v>30353</v>
      </c>
      <c r="B14467" s="3" t="s">
        <v>12336</v>
      </c>
      <c r="C14467" s="5" t="s">
        <v>221</v>
      </c>
      <c r="D14467" s="3" t="s">
        <v>614</v>
      </c>
      <c r="E14467" s="3" t="s">
        <v>118</v>
      </c>
      <c r="F14467" s="7">
        <v>46026.93182046587</v>
      </c>
      <c r="G14467" s="3" t="s">
        <v>30354</v>
      </c>
    </row>
    <row r="14468">
      <c r="A14468" s="3" t="s">
        <v>30355</v>
      </c>
      <c r="B14468" s="3" t="s">
        <v>12336</v>
      </c>
      <c r="C14468" s="5" t="s">
        <v>614</v>
      </c>
      <c r="D14468" s="3" t="s">
        <v>206</v>
      </c>
      <c r="E14468" s="3" t="s">
        <v>100</v>
      </c>
      <c r="F14468" s="7">
        <v>46026.9352926881</v>
      </c>
      <c r="G14468" s="3" t="s">
        <v>30356</v>
      </c>
    </row>
    <row r="14469">
      <c r="A14469" s="3" t="s">
        <v>30357</v>
      </c>
      <c r="B14469" s="3" t="s">
        <v>12336</v>
      </c>
      <c r="C14469" s="5" t="s">
        <v>206</v>
      </c>
      <c r="D14469" s="3" t="s">
        <v>68</v>
      </c>
      <c r="E14469" s="3" t="s">
        <v>100</v>
      </c>
      <c r="F14469" s="7">
        <v>46026.938764910316</v>
      </c>
      <c r="G14469" s="3" t="s">
        <v>30358</v>
      </c>
    </row>
    <row r="14470">
      <c r="A14470" s="3" t="s">
        <v>30359</v>
      </c>
      <c r="B14470" s="3" t="s">
        <v>12339</v>
      </c>
      <c r="C14470" s="5" t="s">
        <v>45</v>
      </c>
      <c r="D14470" s="3" t="s">
        <v>221</v>
      </c>
      <c r="E14470" s="3" t="s">
        <v>239</v>
      </c>
      <c r="F14470" s="7">
        <v>46026.99952308907</v>
      </c>
      <c r="G14470" s="3" t="s">
        <v>5661</v>
      </c>
    </row>
    <row r="14471">
      <c r="A14471" s="3" t="s">
        <v>30360</v>
      </c>
      <c r="B14471" s="3" t="s">
        <v>12339</v>
      </c>
      <c r="C14471" s="5" t="s">
        <v>221</v>
      </c>
      <c r="D14471" s="3" t="s">
        <v>195</v>
      </c>
      <c r="E14471" s="3" t="s">
        <v>239</v>
      </c>
      <c r="F14471" s="7">
        <v>46027.00299531129</v>
      </c>
      <c r="G14471" s="3" t="s">
        <v>30361</v>
      </c>
    </row>
    <row r="14472">
      <c r="A14472" s="3" t="s">
        <v>30362</v>
      </c>
      <c r="B14472" s="3" t="s">
        <v>12343</v>
      </c>
      <c r="C14472" s="5" t="s">
        <v>45</v>
      </c>
      <c r="D14472" s="3" t="s">
        <v>221</v>
      </c>
      <c r="E14472" s="3" t="s">
        <v>491</v>
      </c>
      <c r="F14472" s="7">
        <v>46027.070697934476</v>
      </c>
      <c r="G14472" s="3" t="s">
        <v>9670</v>
      </c>
    </row>
    <row r="14473">
      <c r="A14473" s="3" t="s">
        <v>30363</v>
      </c>
      <c r="B14473" s="3" t="s">
        <v>12343</v>
      </c>
      <c r="C14473" s="5" t="s">
        <v>221</v>
      </c>
      <c r="D14473" s="3" t="s">
        <v>614</v>
      </c>
      <c r="E14473" s="3" t="s">
        <v>118</v>
      </c>
      <c r="F14473" s="7">
        <v>46027.074170156695</v>
      </c>
      <c r="G14473" s="3" t="s">
        <v>9674</v>
      </c>
    </row>
    <row r="14474">
      <c r="A14474" s="3" t="s">
        <v>30364</v>
      </c>
      <c r="B14474" s="3" t="s">
        <v>12343</v>
      </c>
      <c r="C14474" s="5" t="s">
        <v>614</v>
      </c>
      <c r="D14474" s="3" t="s">
        <v>206</v>
      </c>
      <c r="E14474" s="3" t="s">
        <v>100</v>
      </c>
      <c r="F14474" s="7">
        <v>46027.07764237892</v>
      </c>
      <c r="G14474" s="3" t="s">
        <v>9677</v>
      </c>
    </row>
    <row r="14475">
      <c r="A14475" s="3" t="s">
        <v>30365</v>
      </c>
      <c r="B14475" s="3" t="s">
        <v>12343</v>
      </c>
      <c r="C14475" s="5" t="s">
        <v>206</v>
      </c>
      <c r="D14475" s="3" t="s">
        <v>68</v>
      </c>
      <c r="E14475" s="3" t="s">
        <v>100</v>
      </c>
      <c r="F14475" s="7">
        <v>46027.08111460114</v>
      </c>
      <c r="G14475" s="3" t="s">
        <v>9680</v>
      </c>
    </row>
    <row r="14476">
      <c r="A14476" s="3" t="s">
        <v>30366</v>
      </c>
      <c r="B14476" s="3" t="s">
        <v>12345</v>
      </c>
      <c r="C14476" s="5" t="s">
        <v>45</v>
      </c>
      <c r="D14476" s="3" t="s">
        <v>221</v>
      </c>
      <c r="E14476" s="3" t="s">
        <v>352</v>
      </c>
      <c r="F14476" s="7">
        <v>46027.141872779895</v>
      </c>
      <c r="G14476" s="3" t="s">
        <v>3464</v>
      </c>
    </row>
    <row r="14477">
      <c r="A14477" s="3" t="s">
        <v>30367</v>
      </c>
      <c r="B14477" s="3" t="s">
        <v>12345</v>
      </c>
      <c r="C14477" s="5" t="s">
        <v>221</v>
      </c>
      <c r="D14477" s="3" t="s">
        <v>614</v>
      </c>
      <c r="E14477" s="3" t="s">
        <v>118</v>
      </c>
      <c r="F14477" s="7">
        <v>46027.145345002114</v>
      </c>
      <c r="G14477" s="3" t="s">
        <v>3467</v>
      </c>
    </row>
    <row r="14478">
      <c r="A14478" s="3" t="s">
        <v>30368</v>
      </c>
      <c r="B14478" s="3" t="s">
        <v>12345</v>
      </c>
      <c r="C14478" s="5" t="s">
        <v>614</v>
      </c>
      <c r="D14478" s="3" t="s">
        <v>206</v>
      </c>
      <c r="E14478" s="3" t="s">
        <v>100</v>
      </c>
      <c r="F14478" s="7">
        <v>46027.14881722434</v>
      </c>
      <c r="G14478" s="3" t="s">
        <v>3470</v>
      </c>
    </row>
    <row r="14479">
      <c r="A14479" s="3" t="s">
        <v>30369</v>
      </c>
      <c r="B14479" s="3" t="s">
        <v>12345</v>
      </c>
      <c r="C14479" s="5" t="s">
        <v>206</v>
      </c>
      <c r="D14479" s="3" t="s">
        <v>68</v>
      </c>
      <c r="E14479" s="3" t="s">
        <v>100</v>
      </c>
      <c r="F14479" s="7">
        <v>46027.15228944656</v>
      </c>
      <c r="G14479" s="3" t="s">
        <v>3473</v>
      </c>
    </row>
    <row r="14480">
      <c r="A14480" s="3" t="s">
        <v>30370</v>
      </c>
      <c r="B14480" s="3" t="s">
        <v>12348</v>
      </c>
      <c r="C14480" s="5" t="s">
        <v>45</v>
      </c>
      <c r="D14480" s="3" t="s">
        <v>221</v>
      </c>
      <c r="E14480" s="3" t="s">
        <v>446</v>
      </c>
      <c r="F14480" s="7">
        <v>46027.21304762531</v>
      </c>
      <c r="G14480" s="3" t="s">
        <v>3476</v>
      </c>
    </row>
    <row r="14481">
      <c r="A14481" s="3" t="s">
        <v>30371</v>
      </c>
      <c r="B14481" s="3" t="s">
        <v>12348</v>
      </c>
      <c r="C14481" s="5" t="s">
        <v>221</v>
      </c>
      <c r="D14481" s="3" t="s">
        <v>614</v>
      </c>
      <c r="E14481" s="3" t="s">
        <v>118</v>
      </c>
      <c r="F14481" s="7">
        <v>46027.21651984753</v>
      </c>
      <c r="G14481" s="3" t="s">
        <v>3479</v>
      </c>
    </row>
    <row r="14482">
      <c r="A14482" s="3" t="s">
        <v>30372</v>
      </c>
      <c r="B14482" s="3" t="s">
        <v>12348</v>
      </c>
      <c r="C14482" s="5" t="s">
        <v>614</v>
      </c>
      <c r="D14482" s="3" t="s">
        <v>206</v>
      </c>
      <c r="E14482" s="3" t="s">
        <v>100</v>
      </c>
      <c r="F14482" s="7">
        <v>46027.21999206975</v>
      </c>
      <c r="G14482" s="3" t="s">
        <v>3482</v>
      </c>
    </row>
    <row r="14483">
      <c r="A14483" s="3" t="s">
        <v>30373</v>
      </c>
      <c r="B14483" s="3" t="s">
        <v>12348</v>
      </c>
      <c r="C14483" s="5" t="s">
        <v>206</v>
      </c>
      <c r="D14483" s="3" t="s">
        <v>68</v>
      </c>
      <c r="E14483" s="3" t="s">
        <v>100</v>
      </c>
      <c r="F14483" s="7">
        <v>46027.22346429197</v>
      </c>
      <c r="G14483" s="3" t="s">
        <v>3485</v>
      </c>
    </row>
    <row r="14484">
      <c r="A14484" s="3" t="s">
        <v>30374</v>
      </c>
      <c r="B14484" s="3" t="s">
        <v>12350</v>
      </c>
      <c r="C14484" s="5" t="s">
        <v>45</v>
      </c>
      <c r="D14484" s="3" t="s">
        <v>221</v>
      </c>
      <c r="E14484" s="3" t="s">
        <v>643</v>
      </c>
      <c r="F14484" s="7">
        <v>46027.28422247073</v>
      </c>
      <c r="G14484" s="3" t="s">
        <v>13039</v>
      </c>
    </row>
    <row r="14485">
      <c r="A14485" s="3" t="s">
        <v>30375</v>
      </c>
      <c r="B14485" s="3" t="s">
        <v>12350</v>
      </c>
      <c r="C14485" s="5" t="s">
        <v>221</v>
      </c>
      <c r="D14485" s="3" t="s">
        <v>195</v>
      </c>
      <c r="E14485" s="3" t="s">
        <v>643</v>
      </c>
      <c r="F14485" s="7">
        <v>46027.28769469295</v>
      </c>
      <c r="G14485" s="3" t="s">
        <v>30376</v>
      </c>
    </row>
    <row r="14486">
      <c r="A14486" s="3" t="s">
        <v>30377</v>
      </c>
      <c r="B14486" s="3" t="s">
        <v>12352</v>
      </c>
      <c r="C14486" s="5" t="s">
        <v>45</v>
      </c>
      <c r="D14486" s="3" t="s">
        <v>221</v>
      </c>
      <c r="E14486" s="3" t="s">
        <v>987</v>
      </c>
      <c r="F14486" s="7">
        <v>46027.35539731614</v>
      </c>
      <c r="G14486" s="3" t="s">
        <v>3488</v>
      </c>
    </row>
    <row r="14487">
      <c r="A14487" s="3" t="s">
        <v>30378</v>
      </c>
      <c r="B14487" s="3" t="s">
        <v>12352</v>
      </c>
      <c r="C14487" s="5" t="s">
        <v>221</v>
      </c>
      <c r="D14487" s="3" t="s">
        <v>614</v>
      </c>
      <c r="E14487" s="3" t="s">
        <v>118</v>
      </c>
      <c r="F14487" s="7">
        <v>46027.35886953836</v>
      </c>
      <c r="G14487" s="3" t="s">
        <v>3491</v>
      </c>
    </row>
    <row r="14488">
      <c r="A14488" s="3" t="s">
        <v>30379</v>
      </c>
      <c r="B14488" s="3" t="s">
        <v>12352</v>
      </c>
      <c r="C14488" s="5" t="s">
        <v>614</v>
      </c>
      <c r="D14488" s="3" t="s">
        <v>206</v>
      </c>
      <c r="E14488" s="3" t="s">
        <v>100</v>
      </c>
      <c r="F14488" s="7">
        <v>46027.362341760585</v>
      </c>
      <c r="G14488" s="3" t="s">
        <v>3494</v>
      </c>
    </row>
    <row r="14489">
      <c r="A14489" s="3" t="s">
        <v>30380</v>
      </c>
      <c r="B14489" s="3" t="s">
        <v>12352</v>
      </c>
      <c r="C14489" s="5" t="s">
        <v>206</v>
      </c>
      <c r="D14489" s="3" t="s">
        <v>68</v>
      </c>
      <c r="E14489" s="3" t="s">
        <v>100</v>
      </c>
      <c r="F14489" s="7">
        <v>46027.365813982804</v>
      </c>
      <c r="G14489" s="3" t="s">
        <v>3496</v>
      </c>
    </row>
    <row r="14490">
      <c r="A14490" s="3" t="s">
        <v>30381</v>
      </c>
      <c r="B14490" s="3" t="s">
        <v>12355</v>
      </c>
      <c r="C14490" s="5" t="s">
        <v>45</v>
      </c>
      <c r="D14490" s="3" t="s">
        <v>221</v>
      </c>
      <c r="E14490" s="3" t="s">
        <v>632</v>
      </c>
      <c r="F14490" s="7">
        <v>46027.42657216156</v>
      </c>
      <c r="G14490" s="3" t="s">
        <v>3499</v>
      </c>
    </row>
    <row r="14491">
      <c r="A14491" s="3" t="s">
        <v>30382</v>
      </c>
      <c r="B14491" s="3" t="s">
        <v>12355</v>
      </c>
      <c r="C14491" s="5" t="s">
        <v>221</v>
      </c>
      <c r="D14491" s="3" t="s">
        <v>614</v>
      </c>
      <c r="E14491" s="3" t="s">
        <v>118</v>
      </c>
      <c r="F14491" s="7">
        <v>46027.43004438378</v>
      </c>
      <c r="G14491" s="3" t="s">
        <v>3502</v>
      </c>
    </row>
    <row r="14492">
      <c r="A14492" s="3" t="s">
        <v>30383</v>
      </c>
      <c r="B14492" s="3" t="s">
        <v>12355</v>
      </c>
      <c r="C14492" s="5" t="s">
        <v>614</v>
      </c>
      <c r="D14492" s="3" t="s">
        <v>206</v>
      </c>
      <c r="E14492" s="3" t="s">
        <v>100</v>
      </c>
      <c r="F14492" s="7">
        <v>46027.433516606005</v>
      </c>
      <c r="G14492" s="3" t="s">
        <v>3505</v>
      </c>
    </row>
    <row r="14493">
      <c r="A14493" s="3" t="s">
        <v>30384</v>
      </c>
      <c r="B14493" s="3" t="s">
        <v>12355</v>
      </c>
      <c r="C14493" s="5" t="s">
        <v>206</v>
      </c>
      <c r="D14493" s="3" t="s">
        <v>68</v>
      </c>
      <c r="E14493" s="3" t="s">
        <v>100</v>
      </c>
      <c r="F14493" s="7">
        <v>46027.43698882822</v>
      </c>
      <c r="G14493" s="3" t="s">
        <v>3508</v>
      </c>
    </row>
    <row r="14494">
      <c r="A14494" s="3" t="s">
        <v>30385</v>
      </c>
      <c r="B14494" s="3" t="s">
        <v>12360</v>
      </c>
      <c r="C14494" s="5" t="s">
        <v>45</v>
      </c>
      <c r="D14494" s="3" t="s">
        <v>221</v>
      </c>
      <c r="E14494" s="3" t="s">
        <v>256</v>
      </c>
      <c r="F14494" s="7">
        <v>46027.497747006964</v>
      </c>
      <c r="G14494" s="3" t="s">
        <v>3511</v>
      </c>
    </row>
    <row r="14495">
      <c r="A14495" s="3" t="s">
        <v>30386</v>
      </c>
      <c r="B14495" s="3" t="s">
        <v>12360</v>
      </c>
      <c r="C14495" s="5" t="s">
        <v>221</v>
      </c>
      <c r="D14495" s="3" t="s">
        <v>614</v>
      </c>
      <c r="E14495" s="3" t="s">
        <v>118</v>
      </c>
      <c r="F14495" s="7">
        <v>46027.50121922918</v>
      </c>
      <c r="G14495" s="3" t="s">
        <v>3514</v>
      </c>
    </row>
    <row r="14496">
      <c r="A14496" s="3" t="s">
        <v>30387</v>
      </c>
      <c r="B14496" s="3" t="s">
        <v>12360</v>
      </c>
      <c r="C14496" s="5" t="s">
        <v>614</v>
      </c>
      <c r="D14496" s="3" t="s">
        <v>206</v>
      </c>
      <c r="E14496" s="3" t="s">
        <v>100</v>
      </c>
      <c r="F14496" s="7">
        <v>46027.50469145141</v>
      </c>
      <c r="G14496" s="3" t="s">
        <v>3517</v>
      </c>
    </row>
    <row r="14497">
      <c r="A14497" s="3" t="s">
        <v>30388</v>
      </c>
      <c r="B14497" s="3" t="s">
        <v>12360</v>
      </c>
      <c r="C14497" s="5" t="s">
        <v>206</v>
      </c>
      <c r="D14497" s="3" t="s">
        <v>68</v>
      </c>
      <c r="E14497" s="3" t="s">
        <v>100</v>
      </c>
      <c r="F14497" s="7">
        <v>46027.50816367363</v>
      </c>
      <c r="G14497" s="3" t="s">
        <v>3520</v>
      </c>
    </row>
    <row r="14498">
      <c r="A14498" s="3" t="s">
        <v>30389</v>
      </c>
      <c r="B14498" s="3" t="s">
        <v>12363</v>
      </c>
      <c r="C14498" s="5" t="s">
        <v>45</v>
      </c>
      <c r="D14498" s="3" t="s">
        <v>221</v>
      </c>
      <c r="E14498" s="3" t="s">
        <v>886</v>
      </c>
      <c r="F14498" s="7">
        <v>46027.568921852384</v>
      </c>
      <c r="G14498" s="3" t="s">
        <v>17843</v>
      </c>
    </row>
    <row r="14499">
      <c r="A14499" s="3" t="s">
        <v>30390</v>
      </c>
      <c r="B14499" s="3" t="s">
        <v>12363</v>
      </c>
      <c r="C14499" s="5" t="s">
        <v>221</v>
      </c>
      <c r="D14499" s="3" t="s">
        <v>614</v>
      </c>
      <c r="E14499" s="3" t="s">
        <v>118</v>
      </c>
      <c r="F14499" s="7">
        <v>46027.5723940746</v>
      </c>
      <c r="G14499" s="3" t="s">
        <v>17846</v>
      </c>
    </row>
    <row r="14500">
      <c r="A14500" s="3" t="s">
        <v>30391</v>
      </c>
      <c r="B14500" s="3" t="s">
        <v>12363</v>
      </c>
      <c r="C14500" s="5" t="s">
        <v>614</v>
      </c>
      <c r="D14500" s="3" t="s">
        <v>206</v>
      </c>
      <c r="E14500" s="3" t="s">
        <v>100</v>
      </c>
      <c r="F14500" s="7">
        <v>46027.57586629683</v>
      </c>
      <c r="G14500" s="3" t="s">
        <v>17849</v>
      </c>
    </row>
    <row r="14501">
      <c r="A14501" s="3" t="s">
        <v>30392</v>
      </c>
      <c r="B14501" s="3" t="s">
        <v>12363</v>
      </c>
      <c r="C14501" s="5" t="s">
        <v>206</v>
      </c>
      <c r="D14501" s="3" t="s">
        <v>68</v>
      </c>
      <c r="E14501" s="3" t="s">
        <v>100</v>
      </c>
      <c r="F14501" s="7">
        <v>46027.57933851905</v>
      </c>
      <c r="G14501" s="3" t="s">
        <v>17851</v>
      </c>
    </row>
    <row r="14502">
      <c r="A14502" s="3" t="s">
        <v>30393</v>
      </c>
      <c r="B14502" s="3" t="s">
        <v>12367</v>
      </c>
      <c r="C14502" s="5" t="s">
        <v>45</v>
      </c>
      <c r="D14502" s="3" t="s">
        <v>221</v>
      </c>
      <c r="E14502" s="3" t="s">
        <v>615</v>
      </c>
      <c r="F14502" s="7">
        <v>46027.6400966978</v>
      </c>
      <c r="G14502" s="3" t="s">
        <v>13925</v>
      </c>
    </row>
    <row r="14503">
      <c r="A14503" s="3" t="s">
        <v>30394</v>
      </c>
      <c r="B14503" s="3" t="s">
        <v>12367</v>
      </c>
      <c r="C14503" s="5" t="s">
        <v>221</v>
      </c>
      <c r="D14503" s="3" t="s">
        <v>614</v>
      </c>
      <c r="E14503" s="3" t="s">
        <v>118</v>
      </c>
      <c r="F14503" s="7">
        <v>46027.64356892002</v>
      </c>
      <c r="G14503" s="3" t="s">
        <v>13928</v>
      </c>
    </row>
    <row r="14504">
      <c r="A14504" s="3" t="s">
        <v>30395</v>
      </c>
      <c r="B14504" s="3" t="s">
        <v>12367</v>
      </c>
      <c r="C14504" s="5" t="s">
        <v>614</v>
      </c>
      <c r="D14504" s="3" t="s">
        <v>206</v>
      </c>
      <c r="E14504" s="3" t="s">
        <v>100</v>
      </c>
      <c r="F14504" s="7">
        <v>46027.64704114225</v>
      </c>
      <c r="G14504" s="3" t="s">
        <v>13930</v>
      </c>
    </row>
    <row r="14505">
      <c r="A14505" s="3" t="s">
        <v>30396</v>
      </c>
      <c r="B14505" s="3" t="s">
        <v>12367</v>
      </c>
      <c r="C14505" s="5" t="s">
        <v>206</v>
      </c>
      <c r="D14505" s="3" t="s">
        <v>68</v>
      </c>
      <c r="E14505" s="3" t="s">
        <v>100</v>
      </c>
      <c r="F14505" s="7">
        <v>46027.65051336447</v>
      </c>
      <c r="G14505" s="3" t="s">
        <v>13933</v>
      </c>
    </row>
    <row r="14506">
      <c r="A14506" s="3" t="s">
        <v>30397</v>
      </c>
      <c r="B14506" s="3" t="s">
        <v>12371</v>
      </c>
      <c r="C14506" s="5" t="s">
        <v>45</v>
      </c>
      <c r="D14506" s="3" t="s">
        <v>221</v>
      </c>
      <c r="E14506" s="3" t="s">
        <v>722</v>
      </c>
      <c r="F14506" s="7">
        <v>46027.711271543216</v>
      </c>
      <c r="G14506" s="3" t="s">
        <v>30398</v>
      </c>
    </row>
    <row r="14507">
      <c r="A14507" s="3" t="s">
        <v>30399</v>
      </c>
      <c r="B14507" s="3" t="s">
        <v>12371</v>
      </c>
      <c r="C14507" s="5" t="s">
        <v>221</v>
      </c>
      <c r="D14507" s="3" t="s">
        <v>614</v>
      </c>
      <c r="E14507" s="3" t="s">
        <v>118</v>
      </c>
      <c r="F14507" s="7">
        <v>46027.714743765435</v>
      </c>
      <c r="G14507" s="3" t="s">
        <v>30400</v>
      </c>
    </row>
    <row r="14508">
      <c r="A14508" s="3" t="s">
        <v>30401</v>
      </c>
      <c r="B14508" s="3" t="s">
        <v>12371</v>
      </c>
      <c r="C14508" s="5" t="s">
        <v>614</v>
      </c>
      <c r="D14508" s="3" t="s">
        <v>206</v>
      </c>
      <c r="E14508" s="3" t="s">
        <v>100</v>
      </c>
      <c r="F14508" s="7">
        <v>46027.71821598766</v>
      </c>
      <c r="G14508" s="3" t="s">
        <v>30402</v>
      </c>
    </row>
    <row r="14509">
      <c r="A14509" s="3" t="s">
        <v>30403</v>
      </c>
      <c r="B14509" s="3" t="s">
        <v>12371</v>
      </c>
      <c r="C14509" s="5" t="s">
        <v>206</v>
      </c>
      <c r="D14509" s="3" t="s">
        <v>68</v>
      </c>
      <c r="E14509" s="3" t="s">
        <v>100</v>
      </c>
      <c r="F14509" s="7">
        <v>46027.72168820988</v>
      </c>
      <c r="G14509" s="3" t="s">
        <v>30404</v>
      </c>
    </row>
    <row r="14510">
      <c r="A14510" s="3" t="s">
        <v>30405</v>
      </c>
      <c r="B14510" s="3" t="s">
        <v>12374</v>
      </c>
      <c r="C14510" s="5" t="s">
        <v>45</v>
      </c>
      <c r="D14510" s="3" t="s">
        <v>221</v>
      </c>
      <c r="E14510" s="3" t="s">
        <v>575</v>
      </c>
      <c r="F14510" s="7">
        <v>46027.78244638863</v>
      </c>
      <c r="G14510" s="3" t="s">
        <v>30406</v>
      </c>
    </row>
    <row r="14511">
      <c r="A14511" s="3" t="s">
        <v>30407</v>
      </c>
      <c r="B14511" s="3" t="s">
        <v>12374</v>
      </c>
      <c r="C14511" s="5" t="s">
        <v>221</v>
      </c>
      <c r="D14511" s="3" t="s">
        <v>614</v>
      </c>
      <c r="E14511" s="3" t="s">
        <v>118</v>
      </c>
      <c r="F14511" s="7">
        <v>46027.78591861085</v>
      </c>
      <c r="G14511" s="3" t="s">
        <v>30408</v>
      </c>
    </row>
    <row r="14512">
      <c r="A14512" s="3" t="s">
        <v>30409</v>
      </c>
      <c r="B14512" s="3" t="s">
        <v>12374</v>
      </c>
      <c r="C14512" s="5" t="s">
        <v>614</v>
      </c>
      <c r="D14512" s="3" t="s">
        <v>206</v>
      </c>
      <c r="E14512" s="3" t="s">
        <v>100</v>
      </c>
      <c r="F14512" s="7">
        <v>46027.78939083307</v>
      </c>
      <c r="G14512" s="3" t="s">
        <v>30410</v>
      </c>
    </row>
    <row r="14513">
      <c r="A14513" s="3" t="s">
        <v>30411</v>
      </c>
      <c r="B14513" s="3" t="s">
        <v>12374</v>
      </c>
      <c r="C14513" s="5" t="s">
        <v>206</v>
      </c>
      <c r="D14513" s="3" t="s">
        <v>68</v>
      </c>
      <c r="E14513" s="3" t="s">
        <v>100</v>
      </c>
      <c r="F14513" s="7">
        <v>46027.79286305529</v>
      </c>
      <c r="G14513" s="3" t="s">
        <v>30412</v>
      </c>
    </row>
    <row r="14514">
      <c r="A14514" s="3" t="s">
        <v>30413</v>
      </c>
      <c r="B14514" s="3" t="s">
        <v>12376</v>
      </c>
      <c r="C14514" s="5" t="s">
        <v>45</v>
      </c>
      <c r="D14514" s="3" t="s">
        <v>221</v>
      </c>
      <c r="E14514" s="3" t="s">
        <v>650</v>
      </c>
      <c r="F14514" s="7">
        <v>46027.85362123405</v>
      </c>
      <c r="G14514" s="3" t="s">
        <v>19895</v>
      </c>
    </row>
    <row r="14515">
      <c r="A14515" s="3" t="s">
        <v>30414</v>
      </c>
      <c r="B14515" s="3" t="s">
        <v>12376</v>
      </c>
      <c r="C14515" s="5" t="s">
        <v>221</v>
      </c>
      <c r="D14515" s="3" t="s">
        <v>195</v>
      </c>
      <c r="E14515" s="3" t="s">
        <v>650</v>
      </c>
      <c r="F14515" s="7">
        <v>46027.85709345627</v>
      </c>
      <c r="G14515" s="3" t="s">
        <v>30415</v>
      </c>
    </row>
    <row r="14516">
      <c r="A14516" s="3" t="s">
        <v>30416</v>
      </c>
      <c r="B14516" s="3" t="s">
        <v>12378</v>
      </c>
      <c r="C14516" s="5" t="s">
        <v>45</v>
      </c>
      <c r="D14516" s="3" t="s">
        <v>221</v>
      </c>
      <c r="E14516" s="3" t="s">
        <v>605</v>
      </c>
      <c r="F14516" s="7">
        <v>46027.92479607946</v>
      </c>
      <c r="G14516" s="3" t="s">
        <v>3731</v>
      </c>
    </row>
    <row r="14517">
      <c r="A14517" s="3" t="s">
        <v>30417</v>
      </c>
      <c r="B14517" s="3" t="s">
        <v>12378</v>
      </c>
      <c r="C14517" s="5" t="s">
        <v>221</v>
      </c>
      <c r="D14517" s="3" t="s">
        <v>614</v>
      </c>
      <c r="E14517" s="3" t="s">
        <v>118</v>
      </c>
      <c r="F14517" s="7">
        <v>46027.92826830168</v>
      </c>
      <c r="G14517" s="3" t="s">
        <v>24218</v>
      </c>
    </row>
    <row r="14518">
      <c r="A14518" s="3" t="s">
        <v>30418</v>
      </c>
      <c r="B14518" s="3" t="s">
        <v>12378</v>
      </c>
      <c r="C14518" s="5" t="s">
        <v>614</v>
      </c>
      <c r="D14518" s="3" t="s">
        <v>206</v>
      </c>
      <c r="E14518" s="3" t="s">
        <v>100</v>
      </c>
      <c r="F14518" s="7">
        <v>46027.931740523905</v>
      </c>
      <c r="G14518" s="3" t="s">
        <v>24220</v>
      </c>
    </row>
    <row r="14519">
      <c r="A14519" s="3" t="s">
        <v>30419</v>
      </c>
      <c r="B14519" s="3" t="s">
        <v>12378</v>
      </c>
      <c r="C14519" s="5" t="s">
        <v>206</v>
      </c>
      <c r="D14519" s="3" t="s">
        <v>68</v>
      </c>
      <c r="E14519" s="3" t="s">
        <v>100</v>
      </c>
      <c r="F14519" s="7">
        <v>46027.935212746124</v>
      </c>
      <c r="G14519" s="3" t="s">
        <v>24222</v>
      </c>
    </row>
    <row r="14520">
      <c r="A14520" s="3" t="s">
        <v>30420</v>
      </c>
      <c r="B14520" s="3" t="s">
        <v>12380</v>
      </c>
      <c r="C14520" s="5" t="s">
        <v>45</v>
      </c>
      <c r="D14520" s="3" t="s">
        <v>221</v>
      </c>
      <c r="E14520" s="3" t="s">
        <v>269</v>
      </c>
      <c r="F14520" s="7">
        <v>46027.99597092487</v>
      </c>
      <c r="G14520" s="3" t="s">
        <v>19636</v>
      </c>
    </row>
    <row r="14521">
      <c r="A14521" s="3" t="s">
        <v>30421</v>
      </c>
      <c r="B14521" s="3" t="s">
        <v>12380</v>
      </c>
      <c r="C14521" s="5" t="s">
        <v>221</v>
      </c>
      <c r="D14521" s="3" t="s">
        <v>614</v>
      </c>
      <c r="E14521" s="3" t="s">
        <v>118</v>
      </c>
      <c r="F14521" s="7">
        <v>46027.99944314709</v>
      </c>
      <c r="G14521" s="3" t="s">
        <v>19639</v>
      </c>
    </row>
    <row r="14522">
      <c r="A14522" s="3" t="s">
        <v>30422</v>
      </c>
      <c r="B14522" s="3" t="s">
        <v>12380</v>
      </c>
      <c r="C14522" s="5" t="s">
        <v>614</v>
      </c>
      <c r="D14522" s="3" t="s">
        <v>206</v>
      </c>
      <c r="E14522" s="3" t="s">
        <v>100</v>
      </c>
      <c r="F14522" s="7">
        <v>46028.00291536932</v>
      </c>
      <c r="G14522" s="3" t="s">
        <v>19641</v>
      </c>
    </row>
    <row r="14523">
      <c r="A14523" s="3" t="s">
        <v>30423</v>
      </c>
      <c r="B14523" s="3" t="s">
        <v>12380</v>
      </c>
      <c r="C14523" s="5" t="s">
        <v>206</v>
      </c>
      <c r="D14523" s="3" t="s">
        <v>68</v>
      </c>
      <c r="E14523" s="3" t="s">
        <v>100</v>
      </c>
      <c r="F14523" s="7">
        <v>46028.00638759154</v>
      </c>
      <c r="G14523" s="3" t="s">
        <v>19644</v>
      </c>
    </row>
    <row r="14524">
      <c r="A14524" s="3" t="s">
        <v>30424</v>
      </c>
      <c r="B14524" s="3" t="s">
        <v>12382</v>
      </c>
      <c r="C14524" s="5" t="s">
        <v>45</v>
      </c>
      <c r="D14524" s="3" t="s">
        <v>221</v>
      </c>
      <c r="E14524" s="3" t="s">
        <v>498</v>
      </c>
      <c r="F14524" s="7">
        <v>46028.06714577029</v>
      </c>
      <c r="G14524" s="3" t="s">
        <v>3523</v>
      </c>
    </row>
    <row r="14525">
      <c r="A14525" s="3" t="s">
        <v>30425</v>
      </c>
      <c r="B14525" s="3" t="s">
        <v>12382</v>
      </c>
      <c r="C14525" s="5" t="s">
        <v>221</v>
      </c>
      <c r="D14525" s="3" t="s">
        <v>614</v>
      </c>
      <c r="E14525" s="3" t="s">
        <v>118</v>
      </c>
      <c r="F14525" s="7">
        <v>46028.07061799251</v>
      </c>
      <c r="G14525" s="3" t="s">
        <v>3526</v>
      </c>
    </row>
    <row r="14526">
      <c r="A14526" s="3" t="s">
        <v>30426</v>
      </c>
      <c r="B14526" s="3" t="s">
        <v>12382</v>
      </c>
      <c r="C14526" s="5" t="s">
        <v>614</v>
      </c>
      <c r="D14526" s="3" t="s">
        <v>206</v>
      </c>
      <c r="E14526" s="3" t="s">
        <v>100</v>
      </c>
      <c r="F14526" s="7">
        <v>46028.07409021474</v>
      </c>
      <c r="G14526" s="3" t="s">
        <v>3528</v>
      </c>
    </row>
    <row r="14527">
      <c r="A14527" s="3" t="s">
        <v>30427</v>
      </c>
      <c r="B14527" s="3" t="s">
        <v>12382</v>
      </c>
      <c r="C14527" s="5" t="s">
        <v>206</v>
      </c>
      <c r="D14527" s="3" t="s">
        <v>68</v>
      </c>
      <c r="E14527" s="3" t="s">
        <v>100</v>
      </c>
      <c r="F14527" s="7">
        <v>46028.077562436956</v>
      </c>
      <c r="G14527" s="3" t="s">
        <v>3531</v>
      </c>
    </row>
    <row r="14528">
      <c r="A14528" s="3" t="s">
        <v>30428</v>
      </c>
      <c r="B14528" s="3" t="s">
        <v>12386</v>
      </c>
      <c r="C14528" s="5" t="s">
        <v>45</v>
      </c>
      <c r="D14528" s="3" t="s">
        <v>221</v>
      </c>
      <c r="E14528" s="3" t="s">
        <v>547</v>
      </c>
      <c r="F14528" s="7">
        <v>46028.13832061571</v>
      </c>
      <c r="G14528" s="3" t="s">
        <v>9004</v>
      </c>
    </row>
    <row r="14529">
      <c r="A14529" s="3" t="s">
        <v>30429</v>
      </c>
      <c r="B14529" s="3" t="s">
        <v>12386</v>
      </c>
      <c r="C14529" s="5" t="s">
        <v>221</v>
      </c>
      <c r="D14529" s="3" t="s">
        <v>181</v>
      </c>
      <c r="E14529" s="3" t="s">
        <v>118</v>
      </c>
      <c r="F14529" s="7">
        <v>46028.14179283793</v>
      </c>
      <c r="G14529" s="3" t="s">
        <v>26832</v>
      </c>
    </row>
    <row r="14530">
      <c r="A14530" s="3" t="s">
        <v>30430</v>
      </c>
      <c r="B14530" s="3" t="s">
        <v>12390</v>
      </c>
      <c r="C14530" s="5" t="s">
        <v>45</v>
      </c>
      <c r="D14530" s="3" t="s">
        <v>221</v>
      </c>
      <c r="E14530" s="3" t="s">
        <v>530</v>
      </c>
      <c r="F14530" s="7">
        <v>46028.20949546112</v>
      </c>
      <c r="G14530" s="3" t="s">
        <v>16420</v>
      </c>
    </row>
    <row r="14531">
      <c r="A14531" s="3" t="s">
        <v>30431</v>
      </c>
      <c r="B14531" s="3" t="s">
        <v>12390</v>
      </c>
      <c r="C14531" s="5" t="s">
        <v>221</v>
      </c>
      <c r="D14531" s="3" t="s">
        <v>614</v>
      </c>
      <c r="E14531" s="3" t="s">
        <v>118</v>
      </c>
      <c r="F14531" s="7">
        <v>46028.212967683336</v>
      </c>
      <c r="G14531" s="3" t="s">
        <v>16423</v>
      </c>
    </row>
    <row r="14532">
      <c r="A14532" s="3" t="s">
        <v>30432</v>
      </c>
      <c r="B14532" s="3" t="s">
        <v>12390</v>
      </c>
      <c r="C14532" s="5" t="s">
        <v>614</v>
      </c>
      <c r="D14532" s="3" t="s">
        <v>206</v>
      </c>
      <c r="E14532" s="3" t="s">
        <v>100</v>
      </c>
      <c r="F14532" s="7">
        <v>46028.21643990556</v>
      </c>
      <c r="G14532" s="3" t="s">
        <v>16426</v>
      </c>
    </row>
    <row r="14533">
      <c r="A14533" s="3" t="s">
        <v>30433</v>
      </c>
      <c r="B14533" s="3" t="s">
        <v>12390</v>
      </c>
      <c r="C14533" s="5" t="s">
        <v>206</v>
      </c>
      <c r="D14533" s="3" t="s">
        <v>68</v>
      </c>
      <c r="E14533" s="3" t="s">
        <v>100</v>
      </c>
      <c r="F14533" s="7">
        <v>46028.21991212778</v>
      </c>
      <c r="G14533" s="3" t="s">
        <v>16428</v>
      </c>
    </row>
    <row r="14534">
      <c r="A14534" s="3" t="s">
        <v>30434</v>
      </c>
      <c r="B14534" s="3" t="s">
        <v>12393</v>
      </c>
      <c r="C14534" s="5" t="s">
        <v>45</v>
      </c>
      <c r="D14534" s="3" t="s">
        <v>221</v>
      </c>
      <c r="E14534" s="3" t="s">
        <v>591</v>
      </c>
      <c r="F14534" s="7">
        <v>46028.280670306536</v>
      </c>
      <c r="G14534" s="3" t="s">
        <v>20882</v>
      </c>
    </row>
    <row r="14535">
      <c r="A14535" s="3" t="s">
        <v>30435</v>
      </c>
      <c r="B14535" s="3" t="s">
        <v>12393</v>
      </c>
      <c r="C14535" s="5" t="s">
        <v>221</v>
      </c>
      <c r="D14535" s="3" t="s">
        <v>614</v>
      </c>
      <c r="E14535" s="3" t="s">
        <v>118</v>
      </c>
      <c r="F14535" s="7">
        <v>46028.284142528755</v>
      </c>
      <c r="G14535" s="3" t="s">
        <v>20885</v>
      </c>
    </row>
    <row r="14536">
      <c r="A14536" s="3" t="s">
        <v>30436</v>
      </c>
      <c r="B14536" s="3" t="s">
        <v>12393</v>
      </c>
      <c r="C14536" s="5" t="s">
        <v>614</v>
      </c>
      <c r="D14536" s="3" t="s">
        <v>206</v>
      </c>
      <c r="E14536" s="3" t="s">
        <v>100</v>
      </c>
      <c r="F14536" s="7">
        <v>46028.28761475098</v>
      </c>
      <c r="G14536" s="3" t="s">
        <v>20888</v>
      </c>
    </row>
    <row r="14537">
      <c r="A14537" s="3" t="s">
        <v>30437</v>
      </c>
      <c r="B14537" s="3" t="s">
        <v>12393</v>
      </c>
      <c r="C14537" s="5" t="s">
        <v>206</v>
      </c>
      <c r="D14537" s="3" t="s">
        <v>68</v>
      </c>
      <c r="E14537" s="3" t="s">
        <v>100</v>
      </c>
      <c r="F14537" s="7">
        <v>46028.2910869732</v>
      </c>
      <c r="G14537" s="3" t="s">
        <v>20891</v>
      </c>
    </row>
    <row r="14538">
      <c r="A14538" s="3" t="s">
        <v>30438</v>
      </c>
      <c r="B14538" s="3" t="s">
        <v>12396</v>
      </c>
      <c r="C14538" s="5" t="s">
        <v>45</v>
      </c>
      <c r="D14538" s="3" t="s">
        <v>221</v>
      </c>
      <c r="E14538" s="3" t="s">
        <v>1040</v>
      </c>
      <c r="F14538" s="7">
        <v>46028.351845151956</v>
      </c>
      <c r="G14538" s="3" t="s">
        <v>2770</v>
      </c>
    </row>
    <row r="14539">
      <c r="A14539" s="3" t="s">
        <v>30439</v>
      </c>
      <c r="B14539" s="3" t="s">
        <v>12396</v>
      </c>
      <c r="C14539" s="5" t="s">
        <v>221</v>
      </c>
      <c r="D14539" s="3" t="s">
        <v>195</v>
      </c>
      <c r="E14539" s="3" t="s">
        <v>1040</v>
      </c>
      <c r="F14539" s="7">
        <v>46028.355317374175</v>
      </c>
      <c r="G14539" s="3" t="s">
        <v>3055</v>
      </c>
    </row>
    <row r="14540">
      <c r="A14540" s="3" t="s">
        <v>30440</v>
      </c>
      <c r="B14540" s="3" t="s">
        <v>12399</v>
      </c>
      <c r="C14540" s="5" t="s">
        <v>45</v>
      </c>
      <c r="D14540" s="3" t="s">
        <v>221</v>
      </c>
      <c r="E14540" s="3" t="s">
        <v>629</v>
      </c>
      <c r="F14540" s="7">
        <v>46028.42301999737</v>
      </c>
      <c r="G14540" s="3" t="s">
        <v>12582</v>
      </c>
    </row>
    <row r="14541">
      <c r="A14541" s="3" t="s">
        <v>30441</v>
      </c>
      <c r="B14541" s="3" t="s">
        <v>12399</v>
      </c>
      <c r="C14541" s="5" t="s">
        <v>221</v>
      </c>
      <c r="D14541" s="3" t="s">
        <v>614</v>
      </c>
      <c r="E14541" s="3" t="s">
        <v>118</v>
      </c>
      <c r="F14541" s="7">
        <v>46028.42649221959</v>
      </c>
      <c r="G14541" s="3" t="s">
        <v>12585</v>
      </c>
    </row>
    <row r="14542">
      <c r="A14542" s="3" t="s">
        <v>30442</v>
      </c>
      <c r="B14542" s="3" t="s">
        <v>12399</v>
      </c>
      <c r="C14542" s="5" t="s">
        <v>614</v>
      </c>
      <c r="D14542" s="3" t="s">
        <v>206</v>
      </c>
      <c r="E14542" s="3" t="s">
        <v>100</v>
      </c>
      <c r="F14542" s="7">
        <v>46028.42996444181</v>
      </c>
      <c r="G14542" s="3" t="s">
        <v>12588</v>
      </c>
    </row>
    <row r="14543">
      <c r="A14543" s="3" t="s">
        <v>30443</v>
      </c>
      <c r="B14543" s="3" t="s">
        <v>12399</v>
      </c>
      <c r="C14543" s="5" t="s">
        <v>206</v>
      </c>
      <c r="D14543" s="3" t="s">
        <v>68</v>
      </c>
      <c r="E14543" s="3" t="s">
        <v>100</v>
      </c>
      <c r="F14543" s="7">
        <v>46028.43343666403</v>
      </c>
      <c r="G14543" s="3" t="s">
        <v>12591</v>
      </c>
    </row>
    <row r="14544">
      <c r="A14544" s="3" t="s">
        <v>30444</v>
      </c>
      <c r="B14544" s="3" t="s">
        <v>12404</v>
      </c>
      <c r="C14544" s="5" t="s">
        <v>45</v>
      </c>
      <c r="D14544" s="3" t="s">
        <v>221</v>
      </c>
      <c r="E14544" s="3" t="s">
        <v>239</v>
      </c>
      <c r="F14544" s="7">
        <v>46028.49419484278</v>
      </c>
      <c r="G14544" s="3" t="s">
        <v>25680</v>
      </c>
    </row>
    <row r="14545">
      <c r="A14545" s="3" t="s">
        <v>30445</v>
      </c>
      <c r="B14545" s="3" t="s">
        <v>12404</v>
      </c>
      <c r="C14545" s="5" t="s">
        <v>221</v>
      </c>
      <c r="D14545" s="3" t="s">
        <v>614</v>
      </c>
      <c r="E14545" s="3" t="s">
        <v>118</v>
      </c>
      <c r="F14545" s="7">
        <v>46028.497667065</v>
      </c>
      <c r="G14545" s="3" t="s">
        <v>25682</v>
      </c>
    </row>
    <row r="14546">
      <c r="A14546" s="3" t="s">
        <v>30446</v>
      </c>
      <c r="B14546" s="3" t="s">
        <v>12404</v>
      </c>
      <c r="C14546" s="5" t="s">
        <v>614</v>
      </c>
      <c r="D14546" s="3" t="s">
        <v>206</v>
      </c>
      <c r="E14546" s="3" t="s">
        <v>100</v>
      </c>
      <c r="F14546" s="7">
        <v>46028.501139287226</v>
      </c>
      <c r="G14546" s="3" t="s">
        <v>25684</v>
      </c>
    </row>
    <row r="14547">
      <c r="A14547" s="3" t="s">
        <v>30447</v>
      </c>
      <c r="B14547" s="3" t="s">
        <v>12404</v>
      </c>
      <c r="C14547" s="5" t="s">
        <v>206</v>
      </c>
      <c r="D14547" s="3" t="s">
        <v>68</v>
      </c>
      <c r="E14547" s="3" t="s">
        <v>100</v>
      </c>
      <c r="F14547" s="7">
        <v>46028.504611509445</v>
      </c>
      <c r="G14547" s="3" t="s">
        <v>25686</v>
      </c>
    </row>
    <row r="14548">
      <c r="A14548" s="3" t="s">
        <v>30448</v>
      </c>
      <c r="B14548" s="3" t="s">
        <v>12407</v>
      </c>
      <c r="C14548" s="5" t="s">
        <v>45</v>
      </c>
      <c r="D14548" s="3" t="s">
        <v>221</v>
      </c>
      <c r="E14548" s="3" t="s">
        <v>947</v>
      </c>
      <c r="F14548" s="7">
        <v>46028.5653696882</v>
      </c>
      <c r="G14548" s="3" t="s">
        <v>19647</v>
      </c>
    </row>
    <row r="14549">
      <c r="A14549" s="3" t="s">
        <v>30449</v>
      </c>
      <c r="B14549" s="3" t="s">
        <v>12407</v>
      </c>
      <c r="C14549" s="5" t="s">
        <v>221</v>
      </c>
      <c r="D14549" s="3" t="s">
        <v>614</v>
      </c>
      <c r="E14549" s="3" t="s">
        <v>118</v>
      </c>
      <c r="F14549" s="7">
        <v>46028.56884191042</v>
      </c>
      <c r="G14549" s="3" t="s">
        <v>19650</v>
      </c>
    </row>
    <row r="14550">
      <c r="A14550" s="3" t="s">
        <v>30450</v>
      </c>
      <c r="B14550" s="3" t="s">
        <v>12407</v>
      </c>
      <c r="C14550" s="5" t="s">
        <v>614</v>
      </c>
      <c r="D14550" s="3" t="s">
        <v>206</v>
      </c>
      <c r="E14550" s="3" t="s">
        <v>100</v>
      </c>
      <c r="F14550" s="7">
        <v>46028.572314132645</v>
      </c>
      <c r="G14550" s="3" t="s">
        <v>19653</v>
      </c>
    </row>
    <row r="14551">
      <c r="A14551" s="3" t="s">
        <v>30451</v>
      </c>
      <c r="B14551" s="3" t="s">
        <v>12407</v>
      </c>
      <c r="C14551" s="5" t="s">
        <v>206</v>
      </c>
      <c r="D14551" s="3" t="s">
        <v>68</v>
      </c>
      <c r="E14551" s="3" t="s">
        <v>100</v>
      </c>
      <c r="F14551" s="7">
        <v>46028.575786354864</v>
      </c>
      <c r="G14551" s="3" t="s">
        <v>19656</v>
      </c>
    </row>
    <row r="14552">
      <c r="A14552" s="3" t="s">
        <v>30452</v>
      </c>
      <c r="B14552" s="3" t="s">
        <v>12410</v>
      </c>
      <c r="C14552" s="5" t="s">
        <v>45</v>
      </c>
      <c r="D14552" s="3" t="s">
        <v>221</v>
      </c>
      <c r="E14552" s="3" t="s">
        <v>481</v>
      </c>
      <c r="F14552" s="7">
        <v>46028.63654453361</v>
      </c>
      <c r="G14552" s="3" t="s">
        <v>3534</v>
      </c>
    </row>
    <row r="14553">
      <c r="A14553" s="3" t="s">
        <v>30453</v>
      </c>
      <c r="B14553" s="3" t="s">
        <v>12410</v>
      </c>
      <c r="C14553" s="5" t="s">
        <v>221</v>
      </c>
      <c r="D14553" s="3" t="s">
        <v>614</v>
      </c>
      <c r="E14553" s="3" t="s">
        <v>118</v>
      </c>
      <c r="F14553" s="7">
        <v>46028.64001675583</v>
      </c>
      <c r="G14553" s="3" t="s">
        <v>3537</v>
      </c>
    </row>
    <row r="14554">
      <c r="A14554" s="3" t="s">
        <v>30454</v>
      </c>
      <c r="B14554" s="3" t="s">
        <v>12410</v>
      </c>
      <c r="C14554" s="5" t="s">
        <v>614</v>
      </c>
      <c r="D14554" s="3" t="s">
        <v>206</v>
      </c>
      <c r="E14554" s="3" t="s">
        <v>100</v>
      </c>
      <c r="F14554" s="7">
        <v>46028.64348897806</v>
      </c>
      <c r="G14554" s="3" t="s">
        <v>3540</v>
      </c>
    </row>
    <row r="14555">
      <c r="A14555" s="3" t="s">
        <v>30455</v>
      </c>
      <c r="B14555" s="3" t="s">
        <v>12410</v>
      </c>
      <c r="C14555" s="5" t="s">
        <v>206</v>
      </c>
      <c r="D14555" s="3" t="s">
        <v>68</v>
      </c>
      <c r="E14555" s="3" t="s">
        <v>100</v>
      </c>
      <c r="F14555" s="7">
        <v>46028.64696120028</v>
      </c>
      <c r="G14555" s="3" t="s">
        <v>3543</v>
      </c>
    </row>
    <row r="14556">
      <c r="A14556" s="3" t="s">
        <v>30456</v>
      </c>
      <c r="B14556" s="3" t="s">
        <v>12413</v>
      </c>
      <c r="C14556" s="5" t="s">
        <v>45</v>
      </c>
      <c r="D14556" s="3" t="s">
        <v>221</v>
      </c>
      <c r="E14556" s="3" t="s">
        <v>1037</v>
      </c>
      <c r="F14556" s="7">
        <v>46028.707719379025</v>
      </c>
      <c r="G14556" s="3" t="s">
        <v>30137</v>
      </c>
    </row>
    <row r="14557">
      <c r="A14557" s="3" t="s">
        <v>30457</v>
      </c>
      <c r="B14557" s="3" t="s">
        <v>12413</v>
      </c>
      <c r="C14557" s="5" t="s">
        <v>221</v>
      </c>
      <c r="D14557" s="3" t="s">
        <v>614</v>
      </c>
      <c r="E14557" s="3" t="s">
        <v>118</v>
      </c>
      <c r="F14557" s="7">
        <v>46028.71119160124</v>
      </c>
      <c r="G14557" s="3" t="s">
        <v>30458</v>
      </c>
    </row>
    <row r="14558">
      <c r="A14558" s="3" t="s">
        <v>30459</v>
      </c>
      <c r="B14558" s="3" t="s">
        <v>12413</v>
      </c>
      <c r="C14558" s="5" t="s">
        <v>614</v>
      </c>
      <c r="D14558" s="3" t="s">
        <v>206</v>
      </c>
      <c r="E14558" s="3" t="s">
        <v>100</v>
      </c>
      <c r="F14558" s="7">
        <v>46028.71466382347</v>
      </c>
      <c r="G14558" s="3" t="s">
        <v>30460</v>
      </c>
    </row>
    <row r="14559">
      <c r="A14559" s="3" t="s">
        <v>30461</v>
      </c>
      <c r="B14559" s="3" t="s">
        <v>12413</v>
      </c>
      <c r="C14559" s="5" t="s">
        <v>206</v>
      </c>
      <c r="D14559" s="3" t="s">
        <v>68</v>
      </c>
      <c r="E14559" s="3" t="s">
        <v>100</v>
      </c>
      <c r="F14559" s="7">
        <v>46028.71813604569</v>
      </c>
      <c r="G14559" s="3" t="s">
        <v>30462</v>
      </c>
    </row>
    <row r="14560">
      <c r="A14560" s="3" t="s">
        <v>30463</v>
      </c>
      <c r="B14560" s="3" t="s">
        <v>12416</v>
      </c>
      <c r="C14560" s="5" t="s">
        <v>45</v>
      </c>
      <c r="D14560" s="3" t="s">
        <v>221</v>
      </c>
      <c r="E14560" s="3" t="s">
        <v>446</v>
      </c>
      <c r="F14560" s="7">
        <v>46028.778894224444</v>
      </c>
      <c r="G14560" s="3" t="s">
        <v>25154</v>
      </c>
    </row>
    <row r="14561">
      <c r="A14561" s="3" t="s">
        <v>30464</v>
      </c>
      <c r="B14561" s="3" t="s">
        <v>12416</v>
      </c>
      <c r="C14561" s="5" t="s">
        <v>221</v>
      </c>
      <c r="D14561" s="3" t="s">
        <v>181</v>
      </c>
      <c r="E14561" s="3" t="s">
        <v>118</v>
      </c>
      <c r="F14561" s="7">
        <v>46028.78236644666</v>
      </c>
      <c r="G14561" s="3" t="s">
        <v>30465</v>
      </c>
    </row>
    <row r="14562">
      <c r="A14562" s="3" t="s">
        <v>30466</v>
      </c>
      <c r="B14562" s="3" t="s">
        <v>12418</v>
      </c>
      <c r="C14562" s="5" t="s">
        <v>45</v>
      </c>
      <c r="D14562" s="3" t="s">
        <v>221</v>
      </c>
      <c r="E14562" s="3" t="s">
        <v>344</v>
      </c>
      <c r="F14562" s="7">
        <v>46028.85006906986</v>
      </c>
      <c r="G14562" s="3" t="s">
        <v>17638</v>
      </c>
    </row>
    <row r="14563">
      <c r="A14563" s="3" t="s">
        <v>30467</v>
      </c>
      <c r="B14563" s="3" t="s">
        <v>12418</v>
      </c>
      <c r="C14563" s="5" t="s">
        <v>221</v>
      </c>
      <c r="D14563" s="3" t="s">
        <v>614</v>
      </c>
      <c r="E14563" s="3" t="s">
        <v>118</v>
      </c>
      <c r="F14563" s="7">
        <v>46028.853541292076</v>
      </c>
      <c r="G14563" s="3" t="s">
        <v>20179</v>
      </c>
    </row>
    <row r="14564">
      <c r="A14564" s="3" t="s">
        <v>30468</v>
      </c>
      <c r="B14564" s="3" t="s">
        <v>12418</v>
      </c>
      <c r="C14564" s="5" t="s">
        <v>614</v>
      </c>
      <c r="D14564" s="3" t="s">
        <v>206</v>
      </c>
      <c r="E14564" s="3" t="s">
        <v>100</v>
      </c>
      <c r="F14564" s="7">
        <v>46028.8570135143</v>
      </c>
      <c r="G14564" s="3" t="s">
        <v>20182</v>
      </c>
    </row>
    <row r="14565">
      <c r="A14565" s="3" t="s">
        <v>30469</v>
      </c>
      <c r="B14565" s="3" t="s">
        <v>12418</v>
      </c>
      <c r="C14565" s="5" t="s">
        <v>206</v>
      </c>
      <c r="D14565" s="3" t="s">
        <v>68</v>
      </c>
      <c r="E14565" s="3" t="s">
        <v>100</v>
      </c>
      <c r="F14565" s="7">
        <v>46028.86048573652</v>
      </c>
      <c r="G14565" s="3" t="s">
        <v>20185</v>
      </c>
    </row>
    <row r="14566">
      <c r="A14566" s="3" t="s">
        <v>30470</v>
      </c>
      <c r="B14566" s="3" t="s">
        <v>12421</v>
      </c>
      <c r="C14566" s="5" t="s">
        <v>45</v>
      </c>
      <c r="D14566" s="3" t="s">
        <v>221</v>
      </c>
      <c r="E14566" s="3" t="s">
        <v>694</v>
      </c>
      <c r="F14566" s="7">
        <v>46028.92124391527</v>
      </c>
      <c r="G14566" s="3" t="s">
        <v>16178</v>
      </c>
    </row>
    <row r="14567">
      <c r="A14567" s="3" t="s">
        <v>30471</v>
      </c>
      <c r="B14567" s="3" t="s">
        <v>12421</v>
      </c>
      <c r="C14567" s="5" t="s">
        <v>221</v>
      </c>
      <c r="D14567" s="3" t="s">
        <v>614</v>
      </c>
      <c r="E14567" s="3" t="s">
        <v>118</v>
      </c>
      <c r="F14567" s="7">
        <v>46028.92471613749</v>
      </c>
      <c r="G14567" s="3" t="s">
        <v>16181</v>
      </c>
    </row>
    <row r="14568">
      <c r="A14568" s="3" t="s">
        <v>30472</v>
      </c>
      <c r="B14568" s="3" t="s">
        <v>12421</v>
      </c>
      <c r="C14568" s="5" t="s">
        <v>614</v>
      </c>
      <c r="D14568" s="3" t="s">
        <v>206</v>
      </c>
      <c r="E14568" s="3" t="s">
        <v>100</v>
      </c>
      <c r="F14568" s="7">
        <v>46028.928188359714</v>
      </c>
      <c r="G14568" s="3" t="s">
        <v>16184</v>
      </c>
    </row>
    <row r="14569">
      <c r="A14569" s="3" t="s">
        <v>30473</v>
      </c>
      <c r="B14569" s="3" t="s">
        <v>12421</v>
      </c>
      <c r="C14569" s="5" t="s">
        <v>206</v>
      </c>
      <c r="D14569" s="3" t="s">
        <v>68</v>
      </c>
      <c r="E14569" s="3" t="s">
        <v>100</v>
      </c>
      <c r="F14569" s="7">
        <v>46028.93166058193</v>
      </c>
      <c r="G14569" s="3" t="s">
        <v>16186</v>
      </c>
    </row>
    <row r="14570">
      <c r="A14570" s="3" t="s">
        <v>30474</v>
      </c>
      <c r="B14570" s="3" t="s">
        <v>12426</v>
      </c>
      <c r="C14570" s="5" t="s">
        <v>45</v>
      </c>
      <c r="D14570" s="3" t="s">
        <v>221</v>
      </c>
      <c r="E14570" s="3" t="s">
        <v>584</v>
      </c>
      <c r="F14570" s="7">
        <v>46028.99241876069</v>
      </c>
      <c r="G14570" s="3" t="s">
        <v>3545</v>
      </c>
    </row>
    <row r="14571">
      <c r="A14571" s="3" t="s">
        <v>30475</v>
      </c>
      <c r="B14571" s="3" t="s">
        <v>12426</v>
      </c>
      <c r="C14571" s="5" t="s">
        <v>221</v>
      </c>
      <c r="D14571" s="3" t="s">
        <v>614</v>
      </c>
      <c r="E14571" s="3" t="s">
        <v>118</v>
      </c>
      <c r="F14571" s="7">
        <v>46028.99589098291</v>
      </c>
      <c r="G14571" s="3" t="s">
        <v>3548</v>
      </c>
    </row>
    <row r="14572">
      <c r="A14572" s="3" t="s">
        <v>30476</v>
      </c>
      <c r="B14572" s="3" t="s">
        <v>12426</v>
      </c>
      <c r="C14572" s="5" t="s">
        <v>614</v>
      </c>
      <c r="D14572" s="3" t="s">
        <v>206</v>
      </c>
      <c r="E14572" s="3" t="s">
        <v>100</v>
      </c>
      <c r="F14572" s="7">
        <v>46028.999363205134</v>
      </c>
      <c r="G14572" s="3" t="s">
        <v>3551</v>
      </c>
    </row>
    <row r="14573">
      <c r="A14573" s="3" t="s">
        <v>30477</v>
      </c>
      <c r="B14573" s="3" t="s">
        <v>12426</v>
      </c>
      <c r="C14573" s="5" t="s">
        <v>206</v>
      </c>
      <c r="D14573" s="3" t="s">
        <v>68</v>
      </c>
      <c r="E14573" s="3" t="s">
        <v>100</v>
      </c>
      <c r="F14573" s="7">
        <v>46029.00283542735</v>
      </c>
      <c r="G14573" s="3" t="s">
        <v>3554</v>
      </c>
    </row>
    <row r="14574">
      <c r="A14574" s="3" t="s">
        <v>30478</v>
      </c>
      <c r="B14574" s="3" t="s">
        <v>12428</v>
      </c>
      <c r="C14574" s="5" t="s">
        <v>45</v>
      </c>
      <c r="D14574" s="3" t="s">
        <v>221</v>
      </c>
      <c r="E14574" s="3" t="s">
        <v>916</v>
      </c>
      <c r="F14574" s="7">
        <v>46029.0635936061</v>
      </c>
      <c r="G14574" s="3" t="s">
        <v>19475</v>
      </c>
    </row>
    <row r="14575">
      <c r="A14575" s="3" t="s">
        <v>30479</v>
      </c>
      <c r="B14575" s="3" t="s">
        <v>12428</v>
      </c>
      <c r="C14575" s="5" t="s">
        <v>221</v>
      </c>
      <c r="D14575" s="3" t="s">
        <v>614</v>
      </c>
      <c r="E14575" s="3" t="s">
        <v>118</v>
      </c>
      <c r="F14575" s="7">
        <v>46029.06706582832</v>
      </c>
      <c r="G14575" s="3" t="s">
        <v>19478</v>
      </c>
    </row>
    <row r="14576">
      <c r="A14576" s="3" t="s">
        <v>30480</v>
      </c>
      <c r="B14576" s="3" t="s">
        <v>12428</v>
      </c>
      <c r="C14576" s="5" t="s">
        <v>614</v>
      </c>
      <c r="D14576" s="3" t="s">
        <v>206</v>
      </c>
      <c r="E14576" s="3" t="s">
        <v>100</v>
      </c>
      <c r="F14576" s="7">
        <v>46029.070538050546</v>
      </c>
      <c r="G14576" s="3" t="s">
        <v>19481</v>
      </c>
    </row>
    <row r="14577">
      <c r="A14577" s="3" t="s">
        <v>30481</v>
      </c>
      <c r="B14577" s="3" t="s">
        <v>12428</v>
      </c>
      <c r="C14577" s="5" t="s">
        <v>206</v>
      </c>
      <c r="D14577" s="3" t="s">
        <v>68</v>
      </c>
      <c r="E14577" s="3" t="s">
        <v>100</v>
      </c>
      <c r="F14577" s="7">
        <v>46029.074010272765</v>
      </c>
      <c r="G14577" s="3" t="s">
        <v>19483</v>
      </c>
    </row>
    <row r="14578">
      <c r="A14578" s="3" t="s">
        <v>30482</v>
      </c>
      <c r="B14578" s="3" t="s">
        <v>12430</v>
      </c>
      <c r="C14578" s="5" t="s">
        <v>45</v>
      </c>
      <c r="D14578" s="3" t="s">
        <v>221</v>
      </c>
      <c r="E14578" s="3" t="s">
        <v>398</v>
      </c>
      <c r="F14578" s="7">
        <v>46029.13476845151</v>
      </c>
      <c r="G14578" s="3" t="s">
        <v>3557</v>
      </c>
    </row>
    <row r="14579">
      <c r="A14579" s="3" t="s">
        <v>30483</v>
      </c>
      <c r="B14579" s="3" t="s">
        <v>12430</v>
      </c>
      <c r="C14579" s="5" t="s">
        <v>221</v>
      </c>
      <c r="D14579" s="3" t="s">
        <v>614</v>
      </c>
      <c r="E14579" s="3" t="s">
        <v>118</v>
      </c>
      <c r="F14579" s="7">
        <v>46029.13824067373</v>
      </c>
      <c r="G14579" s="3" t="s">
        <v>3562</v>
      </c>
    </row>
    <row r="14580">
      <c r="A14580" s="3" t="s">
        <v>30484</v>
      </c>
      <c r="B14580" s="3" t="s">
        <v>12430</v>
      </c>
      <c r="C14580" s="5" t="s">
        <v>614</v>
      </c>
      <c r="D14580" s="3" t="s">
        <v>206</v>
      </c>
      <c r="E14580" s="3" t="s">
        <v>100</v>
      </c>
      <c r="F14580" s="7">
        <v>46029.14171289596</v>
      </c>
      <c r="G14580" s="3" t="s">
        <v>3564</v>
      </c>
    </row>
    <row r="14581">
      <c r="A14581" s="3" t="s">
        <v>30485</v>
      </c>
      <c r="B14581" s="3" t="s">
        <v>12430</v>
      </c>
      <c r="C14581" s="5" t="s">
        <v>206</v>
      </c>
      <c r="D14581" s="3" t="s">
        <v>68</v>
      </c>
      <c r="E14581" s="3" t="s">
        <v>100</v>
      </c>
      <c r="F14581" s="7">
        <v>46029.14518511818</v>
      </c>
      <c r="G14581" s="3" t="s">
        <v>3567</v>
      </c>
    </row>
    <row r="14582">
      <c r="A14582" s="3" t="s">
        <v>30486</v>
      </c>
      <c r="B14582" s="3" t="s">
        <v>12433</v>
      </c>
      <c r="C14582" s="5" t="s">
        <v>45</v>
      </c>
      <c r="D14582" s="3" t="s">
        <v>221</v>
      </c>
      <c r="E14582" s="3" t="s">
        <v>998</v>
      </c>
      <c r="F14582" s="7">
        <v>46029.20594329693</v>
      </c>
      <c r="G14582" s="3" t="s">
        <v>3570</v>
      </c>
    </row>
    <row r="14583">
      <c r="A14583" s="3" t="s">
        <v>30487</v>
      </c>
      <c r="B14583" s="3" t="s">
        <v>12433</v>
      </c>
      <c r="C14583" s="5" t="s">
        <v>221</v>
      </c>
      <c r="D14583" s="3" t="s">
        <v>614</v>
      </c>
      <c r="E14583" s="3" t="s">
        <v>118</v>
      </c>
      <c r="F14583" s="7">
        <v>46029.20941551915</v>
      </c>
      <c r="G14583" s="3" t="s">
        <v>3573</v>
      </c>
    </row>
    <row r="14584">
      <c r="A14584" s="3" t="s">
        <v>30488</v>
      </c>
      <c r="B14584" s="3" t="s">
        <v>12433</v>
      </c>
      <c r="C14584" s="5" t="s">
        <v>614</v>
      </c>
      <c r="D14584" s="3" t="s">
        <v>206</v>
      </c>
      <c r="E14584" s="3" t="s">
        <v>100</v>
      </c>
      <c r="F14584" s="7">
        <v>46029.21288774138</v>
      </c>
      <c r="G14584" s="3" t="s">
        <v>3576</v>
      </c>
    </row>
    <row r="14585">
      <c r="A14585" s="3" t="s">
        <v>30489</v>
      </c>
      <c r="B14585" s="3" t="s">
        <v>12433</v>
      </c>
      <c r="C14585" s="5" t="s">
        <v>206</v>
      </c>
      <c r="D14585" s="3" t="s">
        <v>68</v>
      </c>
      <c r="E14585" s="3" t="s">
        <v>100</v>
      </c>
      <c r="F14585" s="7">
        <v>46029.2163599636</v>
      </c>
      <c r="G14585" s="3" t="s">
        <v>3579</v>
      </c>
    </row>
    <row r="14586">
      <c r="A14586" s="3" t="s">
        <v>30490</v>
      </c>
      <c r="B14586" s="3" t="s">
        <v>12435</v>
      </c>
      <c r="C14586" s="5" t="s">
        <v>45</v>
      </c>
      <c r="D14586" s="3" t="s">
        <v>221</v>
      </c>
      <c r="E14586" s="3" t="s">
        <v>512</v>
      </c>
      <c r="F14586" s="7">
        <v>46029.27711814235</v>
      </c>
      <c r="G14586" s="3" t="s">
        <v>24197</v>
      </c>
    </row>
    <row r="14587">
      <c r="A14587" s="3" t="s">
        <v>30491</v>
      </c>
      <c r="B14587" s="3" t="s">
        <v>12435</v>
      </c>
      <c r="C14587" s="5" t="s">
        <v>221</v>
      </c>
      <c r="D14587" s="3" t="s">
        <v>181</v>
      </c>
      <c r="E14587" s="3" t="s">
        <v>118</v>
      </c>
      <c r="F14587" s="7">
        <v>46029.28059036457</v>
      </c>
      <c r="G14587" s="3" t="s">
        <v>30492</v>
      </c>
    </row>
    <row r="14588">
      <c r="A14588" s="3" t="s">
        <v>30493</v>
      </c>
      <c r="B14588" s="3" t="s">
        <v>12437</v>
      </c>
      <c r="C14588" s="5" t="s">
        <v>45</v>
      </c>
      <c r="D14588" s="3" t="s">
        <v>221</v>
      </c>
      <c r="E14588" s="3" t="s">
        <v>282</v>
      </c>
      <c r="F14588" s="7">
        <v>46029.34829298776</v>
      </c>
      <c r="G14588" s="3" t="s">
        <v>3594</v>
      </c>
    </row>
    <row r="14589">
      <c r="A14589" s="3" t="s">
        <v>30494</v>
      </c>
      <c r="B14589" s="3" t="s">
        <v>12437</v>
      </c>
      <c r="C14589" s="5" t="s">
        <v>221</v>
      </c>
      <c r="D14589" s="3" t="s">
        <v>614</v>
      </c>
      <c r="E14589" s="3" t="s">
        <v>118</v>
      </c>
      <c r="F14589" s="7">
        <v>46029.351765209976</v>
      </c>
      <c r="G14589" s="3" t="s">
        <v>3597</v>
      </c>
    </row>
    <row r="14590">
      <c r="A14590" s="3" t="s">
        <v>30495</v>
      </c>
      <c r="B14590" s="3" t="s">
        <v>12437</v>
      </c>
      <c r="C14590" s="5" t="s">
        <v>614</v>
      </c>
      <c r="D14590" s="3" t="s">
        <v>206</v>
      </c>
      <c r="E14590" s="3" t="s">
        <v>100</v>
      </c>
      <c r="F14590" s="7">
        <v>46029.3552374322</v>
      </c>
      <c r="G14590" s="3" t="s">
        <v>3600</v>
      </c>
    </row>
    <row r="14591">
      <c r="A14591" s="3" t="s">
        <v>30496</v>
      </c>
      <c r="B14591" s="3" t="s">
        <v>12437</v>
      </c>
      <c r="C14591" s="5" t="s">
        <v>206</v>
      </c>
      <c r="D14591" s="3" t="s">
        <v>68</v>
      </c>
      <c r="E14591" s="3" t="s">
        <v>100</v>
      </c>
      <c r="F14591" s="7">
        <v>46029.35870965442</v>
      </c>
      <c r="G14591" s="3" t="s">
        <v>3603</v>
      </c>
    </row>
    <row r="14592">
      <c r="A14592" s="3" t="s">
        <v>30497</v>
      </c>
      <c r="B14592" s="3" t="s">
        <v>12442</v>
      </c>
      <c r="C14592" s="5" t="s">
        <v>45</v>
      </c>
      <c r="D14592" s="3" t="s">
        <v>221</v>
      </c>
      <c r="E14592" s="3" t="s">
        <v>536</v>
      </c>
      <c r="F14592" s="7">
        <v>46029.41946783318</v>
      </c>
      <c r="G14592" s="3" t="s">
        <v>26136</v>
      </c>
    </row>
    <row r="14593">
      <c r="A14593" s="3" t="s">
        <v>30498</v>
      </c>
      <c r="B14593" s="3" t="s">
        <v>12442</v>
      </c>
      <c r="C14593" s="5" t="s">
        <v>221</v>
      </c>
      <c r="D14593" s="3" t="s">
        <v>614</v>
      </c>
      <c r="E14593" s="3" t="s">
        <v>118</v>
      </c>
      <c r="F14593" s="7">
        <v>46029.422940055396</v>
      </c>
      <c r="G14593" s="3" t="s">
        <v>26138</v>
      </c>
    </row>
    <row r="14594">
      <c r="A14594" s="3" t="s">
        <v>30499</v>
      </c>
      <c r="B14594" s="3" t="s">
        <v>12442</v>
      </c>
      <c r="C14594" s="5" t="s">
        <v>614</v>
      </c>
      <c r="D14594" s="3" t="s">
        <v>206</v>
      </c>
      <c r="E14594" s="3" t="s">
        <v>100</v>
      </c>
      <c r="F14594" s="7">
        <v>46029.42641227762</v>
      </c>
      <c r="G14594" s="3" t="s">
        <v>26140</v>
      </c>
    </row>
    <row r="14595">
      <c r="A14595" s="3" t="s">
        <v>30500</v>
      </c>
      <c r="B14595" s="3" t="s">
        <v>12442</v>
      </c>
      <c r="C14595" s="5" t="s">
        <v>206</v>
      </c>
      <c r="D14595" s="3" t="s">
        <v>68</v>
      </c>
      <c r="E14595" s="3" t="s">
        <v>100</v>
      </c>
      <c r="F14595" s="7">
        <v>46029.42988449984</v>
      </c>
      <c r="G14595" s="3" t="s">
        <v>26142</v>
      </c>
    </row>
    <row r="14596">
      <c r="A14596" s="3" t="s">
        <v>30501</v>
      </c>
      <c r="B14596" s="3" t="s">
        <v>12445</v>
      </c>
      <c r="C14596" s="5" t="s">
        <v>45</v>
      </c>
      <c r="D14596" s="3" t="s">
        <v>221</v>
      </c>
      <c r="E14596" s="3" t="s">
        <v>758</v>
      </c>
      <c r="F14596" s="7">
        <v>46029.4906426786</v>
      </c>
      <c r="G14596" s="3" t="s">
        <v>16755</v>
      </c>
    </row>
    <row r="14597">
      <c r="A14597" s="3" t="s">
        <v>30502</v>
      </c>
      <c r="B14597" s="3" t="s">
        <v>12445</v>
      </c>
      <c r="C14597" s="5" t="s">
        <v>221</v>
      </c>
      <c r="D14597" s="3" t="s">
        <v>614</v>
      </c>
      <c r="E14597" s="3" t="s">
        <v>118</v>
      </c>
      <c r="F14597" s="7">
        <v>46029.494114900815</v>
      </c>
      <c r="G14597" s="3" t="s">
        <v>16758</v>
      </c>
    </row>
    <row r="14598">
      <c r="A14598" s="3" t="s">
        <v>30503</v>
      </c>
      <c r="B14598" s="3" t="s">
        <v>12445</v>
      </c>
      <c r="C14598" s="5" t="s">
        <v>614</v>
      </c>
      <c r="D14598" s="3" t="s">
        <v>206</v>
      </c>
      <c r="E14598" s="3" t="s">
        <v>100</v>
      </c>
      <c r="F14598" s="7">
        <v>46029.49758712304</v>
      </c>
      <c r="G14598" s="3" t="s">
        <v>16761</v>
      </c>
    </row>
    <row r="14599">
      <c r="A14599" s="3" t="s">
        <v>30504</v>
      </c>
      <c r="B14599" s="3" t="s">
        <v>12445</v>
      </c>
      <c r="C14599" s="5" t="s">
        <v>206</v>
      </c>
      <c r="D14599" s="3" t="s">
        <v>68</v>
      </c>
      <c r="E14599" s="3" t="s">
        <v>100</v>
      </c>
      <c r="F14599" s="7">
        <v>46029.50105934526</v>
      </c>
      <c r="G14599" s="3" t="s">
        <v>16763</v>
      </c>
    </row>
    <row r="14600">
      <c r="A14600" s="3" t="s">
        <v>30505</v>
      </c>
      <c r="B14600" s="3" t="s">
        <v>12448</v>
      </c>
      <c r="C14600" s="5" t="s">
        <v>45</v>
      </c>
      <c r="D14600" s="3" t="s">
        <v>221</v>
      </c>
      <c r="E14600" s="3" t="s">
        <v>643</v>
      </c>
      <c r="F14600" s="7">
        <v>46029.56181752401</v>
      </c>
      <c r="G14600" s="3" t="s">
        <v>13039</v>
      </c>
    </row>
    <row r="14601">
      <c r="A14601" s="3" t="s">
        <v>30506</v>
      </c>
      <c r="B14601" s="3" t="s">
        <v>12448</v>
      </c>
      <c r="C14601" s="5" t="s">
        <v>221</v>
      </c>
      <c r="D14601" s="3" t="s">
        <v>614</v>
      </c>
      <c r="E14601" s="3" t="s">
        <v>118</v>
      </c>
      <c r="F14601" s="7">
        <v>46029.56528974623</v>
      </c>
      <c r="G14601" s="3" t="s">
        <v>13042</v>
      </c>
    </row>
    <row r="14602">
      <c r="A14602" s="3" t="s">
        <v>30507</v>
      </c>
      <c r="B14602" s="3" t="s">
        <v>12448</v>
      </c>
      <c r="C14602" s="5" t="s">
        <v>614</v>
      </c>
      <c r="D14602" s="3" t="s">
        <v>206</v>
      </c>
      <c r="E14602" s="3" t="s">
        <v>100</v>
      </c>
      <c r="F14602" s="7">
        <v>46029.568761968454</v>
      </c>
      <c r="G14602" s="3" t="s">
        <v>13045</v>
      </c>
    </row>
    <row r="14603">
      <c r="A14603" s="3" t="s">
        <v>30508</v>
      </c>
      <c r="B14603" s="3" t="s">
        <v>12448</v>
      </c>
      <c r="C14603" s="5" t="s">
        <v>206</v>
      </c>
      <c r="D14603" s="3" t="s">
        <v>68</v>
      </c>
      <c r="E14603" s="3" t="s">
        <v>100</v>
      </c>
      <c r="F14603" s="7">
        <v>46029.57223419067</v>
      </c>
      <c r="G14603" s="3" t="s">
        <v>13049</v>
      </c>
    </row>
    <row r="14604">
      <c r="A14604" s="3" t="s">
        <v>30509</v>
      </c>
      <c r="B14604" s="3" t="s">
        <v>12449</v>
      </c>
      <c r="C14604" s="5" t="s">
        <v>45</v>
      </c>
      <c r="D14604" s="3" t="s">
        <v>221</v>
      </c>
      <c r="E14604" s="3" t="s">
        <v>734</v>
      </c>
      <c r="F14604" s="7">
        <v>46029.63299236942</v>
      </c>
      <c r="G14604" s="3" t="s">
        <v>19931</v>
      </c>
    </row>
    <row r="14605">
      <c r="A14605" s="3" t="s">
        <v>30510</v>
      </c>
      <c r="B14605" s="3" t="s">
        <v>12449</v>
      </c>
      <c r="C14605" s="5" t="s">
        <v>221</v>
      </c>
      <c r="D14605" s="3" t="s">
        <v>181</v>
      </c>
      <c r="E14605" s="3" t="s">
        <v>118</v>
      </c>
      <c r="F14605" s="7">
        <v>46029.63646459164</v>
      </c>
      <c r="G14605" s="3" t="s">
        <v>30511</v>
      </c>
    </row>
    <row r="14606">
      <c r="A14606" s="3" t="s">
        <v>30512</v>
      </c>
      <c r="B14606" s="3" t="s">
        <v>12451</v>
      </c>
      <c r="C14606" s="5" t="s">
        <v>45</v>
      </c>
      <c r="D14606" s="3" t="s">
        <v>221</v>
      </c>
      <c r="E14606" s="3" t="s">
        <v>643</v>
      </c>
      <c r="F14606" s="7">
        <v>46029.70416721484</v>
      </c>
      <c r="G14606" s="3" t="s">
        <v>13039</v>
      </c>
    </row>
    <row r="14607">
      <c r="A14607" s="3" t="s">
        <v>30513</v>
      </c>
      <c r="B14607" s="3" t="s">
        <v>12451</v>
      </c>
      <c r="C14607" s="5" t="s">
        <v>221</v>
      </c>
      <c r="D14607" s="3" t="s">
        <v>195</v>
      </c>
      <c r="E14607" s="3" t="s">
        <v>643</v>
      </c>
      <c r="F14607" s="7">
        <v>46029.70763943706</v>
      </c>
      <c r="G14607" s="3" t="s">
        <v>30376</v>
      </c>
    </row>
    <row r="14608">
      <c r="A14608" s="3" t="s">
        <v>30514</v>
      </c>
      <c r="B14608" s="3" t="s">
        <v>12453</v>
      </c>
      <c r="C14608" s="5" t="s">
        <v>45</v>
      </c>
      <c r="D14608" s="3" t="s">
        <v>221</v>
      </c>
      <c r="E14608" s="3" t="s">
        <v>202</v>
      </c>
      <c r="F14608" s="7">
        <v>46029.77534206025</v>
      </c>
      <c r="G14608" s="3" t="s">
        <v>10623</v>
      </c>
    </row>
    <row r="14609">
      <c r="A14609" s="3" t="s">
        <v>30515</v>
      </c>
      <c r="B14609" s="3" t="s">
        <v>12453</v>
      </c>
      <c r="C14609" s="5" t="s">
        <v>221</v>
      </c>
      <c r="D14609" s="3" t="s">
        <v>614</v>
      </c>
      <c r="E14609" s="3" t="s">
        <v>118</v>
      </c>
      <c r="F14609" s="7">
        <v>46029.77881428247</v>
      </c>
      <c r="G14609" s="3" t="s">
        <v>10625</v>
      </c>
    </row>
    <row r="14610">
      <c r="A14610" s="3" t="s">
        <v>30516</v>
      </c>
      <c r="B14610" s="3" t="s">
        <v>12453</v>
      </c>
      <c r="C14610" s="5" t="s">
        <v>614</v>
      </c>
      <c r="D14610" s="3" t="s">
        <v>206</v>
      </c>
      <c r="E14610" s="3" t="s">
        <v>100</v>
      </c>
      <c r="F14610" s="7">
        <v>46029.7822865047</v>
      </c>
      <c r="G14610" s="3" t="s">
        <v>10628</v>
      </c>
    </row>
    <row r="14611">
      <c r="A14611" s="3" t="s">
        <v>30517</v>
      </c>
      <c r="B14611" s="3" t="s">
        <v>12453</v>
      </c>
      <c r="C14611" s="5" t="s">
        <v>206</v>
      </c>
      <c r="D14611" s="3" t="s">
        <v>68</v>
      </c>
      <c r="E14611" s="3" t="s">
        <v>100</v>
      </c>
      <c r="F14611" s="7">
        <v>46029.78575872692</v>
      </c>
      <c r="G14611" s="3" t="s">
        <v>10631</v>
      </c>
    </row>
    <row r="14612">
      <c r="A14612" s="3" t="s">
        <v>30518</v>
      </c>
      <c r="B14612" s="3" t="s">
        <v>12456</v>
      </c>
      <c r="C14612" s="5" t="s">
        <v>45</v>
      </c>
      <c r="D14612" s="3" t="s">
        <v>221</v>
      </c>
      <c r="E14612" s="3" t="s">
        <v>913</v>
      </c>
      <c r="F14612" s="7">
        <v>46029.846516905665</v>
      </c>
      <c r="G14612" s="3" t="s">
        <v>3605</v>
      </c>
    </row>
    <row r="14613">
      <c r="A14613" s="3" t="s">
        <v>30519</v>
      </c>
      <c r="B14613" s="3" t="s">
        <v>12456</v>
      </c>
      <c r="C14613" s="5" t="s">
        <v>221</v>
      </c>
      <c r="D14613" s="3" t="s">
        <v>614</v>
      </c>
      <c r="E14613" s="3" t="s">
        <v>118</v>
      </c>
      <c r="F14613" s="7">
        <v>46029.849989127884</v>
      </c>
      <c r="G14613" s="3" t="s">
        <v>3608</v>
      </c>
    </row>
    <row r="14614">
      <c r="A14614" s="3" t="s">
        <v>30520</v>
      </c>
      <c r="B14614" s="3" t="s">
        <v>12456</v>
      </c>
      <c r="C14614" s="5" t="s">
        <v>614</v>
      </c>
      <c r="D14614" s="3" t="s">
        <v>206</v>
      </c>
      <c r="E14614" s="3" t="s">
        <v>100</v>
      </c>
      <c r="F14614" s="7">
        <v>46029.85346135011</v>
      </c>
      <c r="G14614" s="3" t="s">
        <v>3611</v>
      </c>
    </row>
    <row r="14615">
      <c r="A14615" s="3" t="s">
        <v>30521</v>
      </c>
      <c r="B14615" s="3" t="s">
        <v>12456</v>
      </c>
      <c r="C14615" s="5" t="s">
        <v>206</v>
      </c>
      <c r="D14615" s="3" t="s">
        <v>68</v>
      </c>
      <c r="E14615" s="3" t="s">
        <v>100</v>
      </c>
      <c r="F14615" s="7">
        <v>46029.85693357233</v>
      </c>
      <c r="G14615" s="3" t="s">
        <v>3614</v>
      </c>
    </row>
    <row r="14616">
      <c r="A14616" s="3" t="s">
        <v>30522</v>
      </c>
      <c r="B14616" s="3" t="s">
        <v>12459</v>
      </c>
      <c r="C14616" s="5" t="s">
        <v>45</v>
      </c>
      <c r="D14616" s="3" t="s">
        <v>221</v>
      </c>
      <c r="E14616" s="3" t="s">
        <v>516</v>
      </c>
      <c r="F14616" s="7">
        <v>46029.917691751085</v>
      </c>
      <c r="G14616" s="3" t="s">
        <v>28602</v>
      </c>
    </row>
    <row r="14617">
      <c r="A14617" s="3" t="s">
        <v>30523</v>
      </c>
      <c r="B14617" s="3" t="s">
        <v>12459</v>
      </c>
      <c r="C14617" s="5" t="s">
        <v>221</v>
      </c>
      <c r="D14617" s="3" t="s">
        <v>181</v>
      </c>
      <c r="E14617" s="3" t="s">
        <v>118</v>
      </c>
      <c r="F14617" s="7">
        <v>46029.921163973304</v>
      </c>
      <c r="G14617" s="3" t="s">
        <v>30524</v>
      </c>
    </row>
    <row r="14618">
      <c r="A14618" s="3" t="s">
        <v>30525</v>
      </c>
      <c r="B14618" s="3" t="s">
        <v>12462</v>
      </c>
      <c r="C14618" s="5" t="s">
        <v>45</v>
      </c>
      <c r="D14618" s="3" t="s">
        <v>221</v>
      </c>
      <c r="E14618" s="3" t="s">
        <v>969</v>
      </c>
      <c r="F14618" s="7">
        <v>46029.988866596505</v>
      </c>
      <c r="G14618" s="3" t="s">
        <v>15479</v>
      </c>
    </row>
    <row r="14619">
      <c r="A14619" s="3" t="s">
        <v>30526</v>
      </c>
      <c r="B14619" s="3" t="s">
        <v>12462</v>
      </c>
      <c r="C14619" s="5" t="s">
        <v>221</v>
      </c>
      <c r="D14619" s="3" t="s">
        <v>614</v>
      </c>
      <c r="E14619" s="3" t="s">
        <v>118</v>
      </c>
      <c r="F14619" s="7">
        <v>46029.99233881872</v>
      </c>
      <c r="G14619" s="3" t="s">
        <v>15482</v>
      </c>
    </row>
    <row r="14620">
      <c r="A14620" s="3" t="s">
        <v>30527</v>
      </c>
      <c r="B14620" s="3" t="s">
        <v>12462</v>
      </c>
      <c r="C14620" s="5" t="s">
        <v>614</v>
      </c>
      <c r="D14620" s="3" t="s">
        <v>206</v>
      </c>
      <c r="E14620" s="3" t="s">
        <v>100</v>
      </c>
      <c r="F14620" s="7">
        <v>46029.99581104095</v>
      </c>
      <c r="G14620" s="3" t="s">
        <v>15485</v>
      </c>
    </row>
    <row r="14621">
      <c r="A14621" s="3" t="s">
        <v>30528</v>
      </c>
      <c r="B14621" s="3" t="s">
        <v>12462</v>
      </c>
      <c r="C14621" s="5" t="s">
        <v>206</v>
      </c>
      <c r="D14621" s="3" t="s">
        <v>68</v>
      </c>
      <c r="E14621" s="3" t="s">
        <v>100</v>
      </c>
      <c r="F14621" s="7">
        <v>46029.99928326317</v>
      </c>
      <c r="G14621" s="3" t="s">
        <v>15488</v>
      </c>
    </row>
    <row r="14622">
      <c r="A14622" s="3" t="s">
        <v>30529</v>
      </c>
      <c r="B14622" s="3" t="s">
        <v>12464</v>
      </c>
      <c r="C14622" s="5" t="s">
        <v>45</v>
      </c>
      <c r="D14622" s="3" t="s">
        <v>221</v>
      </c>
      <c r="E14622" s="3" t="s">
        <v>137</v>
      </c>
      <c r="F14622" s="7">
        <v>46030.06004144191</v>
      </c>
      <c r="G14622" s="3" t="s">
        <v>7413</v>
      </c>
    </row>
    <row r="14623">
      <c r="A14623" s="3" t="s">
        <v>30530</v>
      </c>
      <c r="B14623" s="3" t="s">
        <v>12464</v>
      </c>
      <c r="C14623" s="5" t="s">
        <v>221</v>
      </c>
      <c r="D14623" s="3" t="s">
        <v>614</v>
      </c>
      <c r="E14623" s="3" t="s">
        <v>118</v>
      </c>
      <c r="F14623" s="7">
        <v>46030.06351366413</v>
      </c>
      <c r="G14623" s="3" t="s">
        <v>7416</v>
      </c>
    </row>
    <row r="14624">
      <c r="A14624" s="3" t="s">
        <v>30531</v>
      </c>
      <c r="B14624" s="3" t="s">
        <v>12464</v>
      </c>
      <c r="C14624" s="5" t="s">
        <v>614</v>
      </c>
      <c r="D14624" s="3" t="s">
        <v>206</v>
      </c>
      <c r="E14624" s="3" t="s">
        <v>100</v>
      </c>
      <c r="F14624" s="7">
        <v>46030.066985886355</v>
      </c>
      <c r="G14624" s="3" t="s">
        <v>7418</v>
      </c>
    </row>
    <row r="14625">
      <c r="A14625" s="3" t="s">
        <v>30532</v>
      </c>
      <c r="B14625" s="3" t="s">
        <v>12464</v>
      </c>
      <c r="C14625" s="5" t="s">
        <v>206</v>
      </c>
      <c r="D14625" s="3" t="s">
        <v>68</v>
      </c>
      <c r="E14625" s="3" t="s">
        <v>100</v>
      </c>
      <c r="F14625" s="7">
        <v>46030.070458108574</v>
      </c>
      <c r="G14625" s="3" t="s">
        <v>7421</v>
      </c>
    </row>
    <row r="14626">
      <c r="A14626" s="3" t="s">
        <v>30533</v>
      </c>
      <c r="B14626" s="3" t="s">
        <v>12466</v>
      </c>
      <c r="C14626" s="5" t="s">
        <v>45</v>
      </c>
      <c r="D14626" s="3" t="s">
        <v>221</v>
      </c>
      <c r="E14626" s="3" t="s">
        <v>307</v>
      </c>
      <c r="F14626" s="7">
        <v>46030.13121628733</v>
      </c>
      <c r="G14626" s="3" t="s">
        <v>18380</v>
      </c>
    </row>
    <row r="14627">
      <c r="A14627" s="3" t="s">
        <v>30534</v>
      </c>
      <c r="B14627" s="3" t="s">
        <v>12466</v>
      </c>
      <c r="C14627" s="5" t="s">
        <v>221</v>
      </c>
      <c r="D14627" s="3" t="s">
        <v>614</v>
      </c>
      <c r="E14627" s="3" t="s">
        <v>118</v>
      </c>
      <c r="F14627" s="7">
        <v>46030.13468850955</v>
      </c>
      <c r="G14627" s="3" t="s">
        <v>18383</v>
      </c>
    </row>
    <row r="14628">
      <c r="A14628" s="3" t="s">
        <v>30535</v>
      </c>
      <c r="B14628" s="3" t="s">
        <v>12466</v>
      </c>
      <c r="C14628" s="5" t="s">
        <v>614</v>
      </c>
      <c r="D14628" s="3" t="s">
        <v>206</v>
      </c>
      <c r="E14628" s="3" t="s">
        <v>100</v>
      </c>
      <c r="F14628" s="7">
        <v>46030.138160731774</v>
      </c>
      <c r="G14628" s="3" t="s">
        <v>18386</v>
      </c>
    </row>
    <row r="14629">
      <c r="A14629" s="3" t="s">
        <v>30536</v>
      </c>
      <c r="B14629" s="3" t="s">
        <v>12466</v>
      </c>
      <c r="C14629" s="5" t="s">
        <v>206</v>
      </c>
      <c r="D14629" s="3" t="s">
        <v>68</v>
      </c>
      <c r="E14629" s="3" t="s">
        <v>100</v>
      </c>
      <c r="F14629" s="7">
        <v>46030.14163295399</v>
      </c>
      <c r="G14629" s="3" t="s">
        <v>18389</v>
      </c>
    </row>
    <row r="14630">
      <c r="A14630" s="3" t="s">
        <v>30537</v>
      </c>
      <c r="B14630" s="3" t="s">
        <v>12470</v>
      </c>
      <c r="C14630" s="5" t="s">
        <v>45</v>
      </c>
      <c r="D14630" s="3" t="s">
        <v>221</v>
      </c>
      <c r="E14630" s="3" t="s">
        <v>547</v>
      </c>
      <c r="F14630" s="7">
        <v>46030.20239113274</v>
      </c>
      <c r="G14630" s="3" t="s">
        <v>9004</v>
      </c>
    </row>
    <row r="14631">
      <c r="A14631" s="3" t="s">
        <v>30538</v>
      </c>
      <c r="B14631" s="3" t="s">
        <v>12470</v>
      </c>
      <c r="C14631" s="5" t="s">
        <v>221</v>
      </c>
      <c r="D14631" s="3" t="s">
        <v>614</v>
      </c>
      <c r="E14631" s="3" t="s">
        <v>118</v>
      </c>
      <c r="F14631" s="7">
        <v>46030.20586335496</v>
      </c>
      <c r="G14631" s="3" t="s">
        <v>9006</v>
      </c>
    </row>
    <row r="14632">
      <c r="A14632" s="3" t="s">
        <v>30539</v>
      </c>
      <c r="B14632" s="3" t="s">
        <v>12470</v>
      </c>
      <c r="C14632" s="5" t="s">
        <v>614</v>
      </c>
      <c r="D14632" s="3" t="s">
        <v>206</v>
      </c>
      <c r="E14632" s="3" t="s">
        <v>100</v>
      </c>
      <c r="F14632" s="7">
        <v>46030.20933557719</v>
      </c>
      <c r="G14632" s="3" t="s">
        <v>9009</v>
      </c>
    </row>
    <row r="14633">
      <c r="A14633" s="3" t="s">
        <v>30540</v>
      </c>
      <c r="B14633" s="3" t="s">
        <v>12470</v>
      </c>
      <c r="C14633" s="5" t="s">
        <v>206</v>
      </c>
      <c r="D14633" s="3" t="s">
        <v>68</v>
      </c>
      <c r="E14633" s="3" t="s">
        <v>100</v>
      </c>
      <c r="F14633" s="7">
        <v>46030.212807799406</v>
      </c>
      <c r="G14633" s="3" t="s">
        <v>9012</v>
      </c>
    </row>
    <row r="14634">
      <c r="A14634" s="3" t="s">
        <v>30541</v>
      </c>
      <c r="B14634" s="3" t="s">
        <v>12473</v>
      </c>
      <c r="C14634" s="5" t="s">
        <v>45</v>
      </c>
      <c r="D14634" s="3" t="s">
        <v>221</v>
      </c>
      <c r="E14634" s="3" t="s">
        <v>510</v>
      </c>
      <c r="F14634" s="7">
        <v>46030.27356597816</v>
      </c>
      <c r="G14634" s="3" t="s">
        <v>18016</v>
      </c>
    </row>
    <row r="14635">
      <c r="A14635" s="3" t="s">
        <v>30542</v>
      </c>
      <c r="B14635" s="3" t="s">
        <v>12473</v>
      </c>
      <c r="C14635" s="5" t="s">
        <v>221</v>
      </c>
      <c r="D14635" s="3" t="s">
        <v>181</v>
      </c>
      <c r="E14635" s="3" t="s">
        <v>118</v>
      </c>
      <c r="F14635" s="7">
        <v>46030.27703820038</v>
      </c>
      <c r="G14635" s="3" t="s">
        <v>30543</v>
      </c>
    </row>
    <row r="14636">
      <c r="A14636" s="3" t="s">
        <v>30544</v>
      </c>
      <c r="B14636" s="3" t="s">
        <v>12476</v>
      </c>
      <c r="C14636" s="5" t="s">
        <v>45</v>
      </c>
      <c r="D14636" s="3" t="s">
        <v>221</v>
      </c>
      <c r="E14636" s="3" t="s">
        <v>596</v>
      </c>
      <c r="F14636" s="7">
        <v>46030.34474082357</v>
      </c>
      <c r="G14636" s="3" t="s">
        <v>27629</v>
      </c>
    </row>
    <row r="14637">
      <c r="A14637" s="3" t="s">
        <v>30545</v>
      </c>
      <c r="B14637" s="3" t="s">
        <v>12476</v>
      </c>
      <c r="C14637" s="5" t="s">
        <v>221</v>
      </c>
      <c r="D14637" s="3" t="s">
        <v>614</v>
      </c>
      <c r="E14637" s="3" t="s">
        <v>118</v>
      </c>
      <c r="F14637" s="7">
        <v>46030.34821304579</v>
      </c>
      <c r="G14637" s="3" t="s">
        <v>27631</v>
      </c>
    </row>
    <row r="14638">
      <c r="A14638" s="3" t="s">
        <v>30546</v>
      </c>
      <c r="B14638" s="3" t="s">
        <v>12476</v>
      </c>
      <c r="C14638" s="5" t="s">
        <v>614</v>
      </c>
      <c r="D14638" s="3" t="s">
        <v>206</v>
      </c>
      <c r="E14638" s="3" t="s">
        <v>100</v>
      </c>
      <c r="F14638" s="7">
        <v>46030.35168526802</v>
      </c>
      <c r="G14638" s="3" t="s">
        <v>27633</v>
      </c>
    </row>
    <row r="14639">
      <c r="A14639" s="3" t="s">
        <v>30547</v>
      </c>
      <c r="B14639" s="3" t="s">
        <v>12476</v>
      </c>
      <c r="C14639" s="5" t="s">
        <v>206</v>
      </c>
      <c r="D14639" s="3" t="s">
        <v>68</v>
      </c>
      <c r="E14639" s="3" t="s">
        <v>100</v>
      </c>
      <c r="F14639" s="7">
        <v>46030.35515749024</v>
      </c>
      <c r="G14639" s="3" t="s">
        <v>27635</v>
      </c>
    </row>
    <row r="14640">
      <c r="A14640" s="3" t="s">
        <v>30548</v>
      </c>
      <c r="B14640" s="3" t="s">
        <v>12478</v>
      </c>
      <c r="C14640" s="5" t="s">
        <v>45</v>
      </c>
      <c r="D14640" s="3" t="s">
        <v>221</v>
      </c>
      <c r="E14640" s="3" t="s">
        <v>949</v>
      </c>
      <c r="F14640" s="7">
        <v>46030.41591566899</v>
      </c>
      <c r="G14640" s="3" t="s">
        <v>30549</v>
      </c>
    </row>
    <row r="14641">
      <c r="A14641" s="3" t="s">
        <v>30550</v>
      </c>
      <c r="B14641" s="3" t="s">
        <v>12478</v>
      </c>
      <c r="C14641" s="5" t="s">
        <v>221</v>
      </c>
      <c r="D14641" s="3" t="s">
        <v>614</v>
      </c>
      <c r="E14641" s="3" t="s">
        <v>118</v>
      </c>
      <c r="F14641" s="7">
        <v>46030.41938789121</v>
      </c>
      <c r="G14641" s="3" t="s">
        <v>30551</v>
      </c>
    </row>
    <row r="14642">
      <c r="A14642" s="3" t="s">
        <v>30552</v>
      </c>
      <c r="B14642" s="3" t="s">
        <v>12478</v>
      </c>
      <c r="C14642" s="5" t="s">
        <v>614</v>
      </c>
      <c r="D14642" s="3" t="s">
        <v>206</v>
      </c>
      <c r="E14642" s="3" t="s">
        <v>100</v>
      </c>
      <c r="F14642" s="7">
        <v>46030.42286011344</v>
      </c>
      <c r="G14642" s="3" t="s">
        <v>30553</v>
      </c>
    </row>
    <row r="14643">
      <c r="A14643" s="3" t="s">
        <v>30554</v>
      </c>
      <c r="B14643" s="3" t="s">
        <v>12478</v>
      </c>
      <c r="C14643" s="5" t="s">
        <v>206</v>
      </c>
      <c r="D14643" s="3" t="s">
        <v>68</v>
      </c>
      <c r="E14643" s="3" t="s">
        <v>100</v>
      </c>
      <c r="F14643" s="7">
        <v>46030.42633233566</v>
      </c>
      <c r="G14643" s="3" t="s">
        <v>30555</v>
      </c>
    </row>
    <row r="14644">
      <c r="A14644" s="3" t="s">
        <v>30556</v>
      </c>
      <c r="B14644" s="3" t="s">
        <v>12482</v>
      </c>
      <c r="C14644" s="5" t="s">
        <v>45</v>
      </c>
      <c r="D14644" s="3" t="s">
        <v>221</v>
      </c>
      <c r="E14644" s="3" t="s">
        <v>980</v>
      </c>
      <c r="F14644" s="7">
        <v>46030.4870905144</v>
      </c>
      <c r="G14644" s="3" t="s">
        <v>30145</v>
      </c>
    </row>
    <row r="14645">
      <c r="A14645" s="3" t="s">
        <v>30557</v>
      </c>
      <c r="B14645" s="3" t="s">
        <v>12482</v>
      </c>
      <c r="C14645" s="5" t="s">
        <v>221</v>
      </c>
      <c r="D14645" s="3" t="s">
        <v>614</v>
      </c>
      <c r="E14645" s="3" t="s">
        <v>118</v>
      </c>
      <c r="F14645" s="7">
        <v>46030.49056273662</v>
      </c>
      <c r="G14645" s="3" t="s">
        <v>30147</v>
      </c>
    </row>
    <row r="14646">
      <c r="A14646" s="3" t="s">
        <v>30558</v>
      </c>
      <c r="B14646" s="3" t="s">
        <v>12482</v>
      </c>
      <c r="C14646" s="5" t="s">
        <v>614</v>
      </c>
      <c r="D14646" s="3" t="s">
        <v>206</v>
      </c>
      <c r="E14646" s="3" t="s">
        <v>100</v>
      </c>
      <c r="F14646" s="7">
        <v>46030.49403495884</v>
      </c>
      <c r="G14646" s="3" t="s">
        <v>30149</v>
      </c>
    </row>
    <row r="14647">
      <c r="A14647" s="3" t="s">
        <v>30559</v>
      </c>
      <c r="B14647" s="3" t="s">
        <v>12482</v>
      </c>
      <c r="C14647" s="5" t="s">
        <v>206</v>
      </c>
      <c r="D14647" s="3" t="s">
        <v>68</v>
      </c>
      <c r="E14647" s="3" t="s">
        <v>100</v>
      </c>
      <c r="F14647" s="7">
        <v>46030.49750718106</v>
      </c>
      <c r="G14647" s="3" t="s">
        <v>30151</v>
      </c>
    </row>
    <row r="14648">
      <c r="A14648" s="3" t="s">
        <v>30560</v>
      </c>
      <c r="B14648" s="3" t="s">
        <v>12484</v>
      </c>
      <c r="C14648" s="5" t="s">
        <v>45</v>
      </c>
      <c r="D14648" s="3" t="s">
        <v>221</v>
      </c>
      <c r="E14648" s="3" t="s">
        <v>691</v>
      </c>
      <c r="F14648" s="7">
        <v>46030.55826535982</v>
      </c>
      <c r="G14648" s="3" t="s">
        <v>6973</v>
      </c>
    </row>
    <row r="14649">
      <c r="A14649" s="3" t="s">
        <v>30561</v>
      </c>
      <c r="B14649" s="3" t="s">
        <v>12484</v>
      </c>
      <c r="C14649" s="5" t="s">
        <v>221</v>
      </c>
      <c r="D14649" s="3" t="s">
        <v>614</v>
      </c>
      <c r="E14649" s="3" t="s">
        <v>118</v>
      </c>
      <c r="F14649" s="7">
        <v>46030.56173758204</v>
      </c>
      <c r="G14649" s="3" t="s">
        <v>6976</v>
      </c>
    </row>
    <row r="14650">
      <c r="A14650" s="3" t="s">
        <v>30562</v>
      </c>
      <c r="B14650" s="3" t="s">
        <v>12484</v>
      </c>
      <c r="C14650" s="5" t="s">
        <v>614</v>
      </c>
      <c r="D14650" s="3" t="s">
        <v>206</v>
      </c>
      <c r="E14650" s="3" t="s">
        <v>100</v>
      </c>
      <c r="F14650" s="7">
        <v>46030.56520980426</v>
      </c>
      <c r="G14650" s="3" t="s">
        <v>6979</v>
      </c>
    </row>
    <row r="14651">
      <c r="A14651" s="3" t="s">
        <v>30563</v>
      </c>
      <c r="B14651" s="3" t="s">
        <v>12484</v>
      </c>
      <c r="C14651" s="5" t="s">
        <v>206</v>
      </c>
      <c r="D14651" s="3" t="s">
        <v>68</v>
      </c>
      <c r="E14651" s="3" t="s">
        <v>100</v>
      </c>
      <c r="F14651" s="7">
        <v>46030.56868202648</v>
      </c>
      <c r="G14651" s="3" t="s">
        <v>6982</v>
      </c>
    </row>
    <row r="14652">
      <c r="A14652" s="3" t="s">
        <v>30564</v>
      </c>
      <c r="B14652" s="3" t="s">
        <v>12487</v>
      </c>
      <c r="C14652" s="5" t="s">
        <v>45</v>
      </c>
      <c r="D14652" s="3" t="s">
        <v>221</v>
      </c>
      <c r="E14652" s="3" t="s">
        <v>377</v>
      </c>
      <c r="F14652" s="7">
        <v>46030.62944020524</v>
      </c>
      <c r="G14652" s="3" t="s">
        <v>22255</v>
      </c>
    </row>
    <row r="14653">
      <c r="A14653" s="3" t="s">
        <v>30565</v>
      </c>
      <c r="B14653" s="3" t="s">
        <v>12487</v>
      </c>
      <c r="C14653" s="5" t="s">
        <v>221</v>
      </c>
      <c r="D14653" s="3" t="s">
        <v>181</v>
      </c>
      <c r="E14653" s="3" t="s">
        <v>118</v>
      </c>
      <c r="F14653" s="7">
        <v>46030.632912427456</v>
      </c>
      <c r="G14653" s="3" t="s">
        <v>30566</v>
      </c>
    </row>
    <row r="14654">
      <c r="A14654" s="3" t="s">
        <v>30567</v>
      </c>
      <c r="B14654" s="3" t="s">
        <v>12490</v>
      </c>
      <c r="C14654" s="5" t="s">
        <v>45</v>
      </c>
      <c r="D14654" s="3" t="s">
        <v>221</v>
      </c>
      <c r="E14654" s="3" t="s">
        <v>141</v>
      </c>
      <c r="F14654" s="7">
        <v>46030.70061505065</v>
      </c>
      <c r="G14654" s="3" t="s">
        <v>11246</v>
      </c>
    </row>
    <row r="14655">
      <c r="A14655" s="3" t="s">
        <v>30568</v>
      </c>
      <c r="B14655" s="3" t="s">
        <v>12490</v>
      </c>
      <c r="C14655" s="5" t="s">
        <v>221</v>
      </c>
      <c r="D14655" s="3" t="s">
        <v>614</v>
      </c>
      <c r="E14655" s="3" t="s">
        <v>118</v>
      </c>
      <c r="F14655" s="7">
        <v>46030.70408727287</v>
      </c>
      <c r="G14655" s="3" t="s">
        <v>16883</v>
      </c>
    </row>
    <row r="14656">
      <c r="A14656" s="3" t="s">
        <v>30569</v>
      </c>
      <c r="B14656" s="3" t="s">
        <v>12490</v>
      </c>
      <c r="C14656" s="5" t="s">
        <v>614</v>
      </c>
      <c r="D14656" s="3" t="s">
        <v>206</v>
      </c>
      <c r="E14656" s="3" t="s">
        <v>100</v>
      </c>
      <c r="F14656" s="7">
        <v>46030.707559495095</v>
      </c>
      <c r="G14656" s="3" t="s">
        <v>16886</v>
      </c>
    </row>
    <row r="14657">
      <c r="A14657" s="3" t="s">
        <v>30570</v>
      </c>
      <c r="B14657" s="3" t="s">
        <v>12490</v>
      </c>
      <c r="C14657" s="5" t="s">
        <v>206</v>
      </c>
      <c r="D14657" s="3" t="s">
        <v>68</v>
      </c>
      <c r="E14657" s="3" t="s">
        <v>100</v>
      </c>
      <c r="F14657" s="7">
        <v>46030.711031717314</v>
      </c>
      <c r="G14657" s="3" t="s">
        <v>16889</v>
      </c>
    </row>
    <row r="14658">
      <c r="A14658" s="3" t="s">
        <v>30571</v>
      </c>
      <c r="B14658" s="3" t="s">
        <v>12493</v>
      </c>
      <c r="C14658" s="5" t="s">
        <v>45</v>
      </c>
      <c r="D14658" s="3" t="s">
        <v>221</v>
      </c>
      <c r="E14658" s="3" t="s">
        <v>536</v>
      </c>
      <c r="F14658" s="7">
        <v>46030.77178989606</v>
      </c>
      <c r="G14658" s="3" t="s">
        <v>3632</v>
      </c>
    </row>
    <row r="14659">
      <c r="A14659" s="3" t="s">
        <v>30572</v>
      </c>
      <c r="B14659" s="3" t="s">
        <v>12493</v>
      </c>
      <c r="C14659" s="5" t="s">
        <v>221</v>
      </c>
      <c r="D14659" s="3" t="s">
        <v>614</v>
      </c>
      <c r="E14659" s="3" t="s">
        <v>118</v>
      </c>
      <c r="F14659" s="7">
        <v>46030.77526211828</v>
      </c>
      <c r="G14659" s="3" t="s">
        <v>3635</v>
      </c>
    </row>
    <row r="14660">
      <c r="A14660" s="3" t="s">
        <v>30573</v>
      </c>
      <c r="B14660" s="3" t="s">
        <v>12493</v>
      </c>
      <c r="C14660" s="5" t="s">
        <v>614</v>
      </c>
      <c r="D14660" s="3" t="s">
        <v>206</v>
      </c>
      <c r="E14660" s="3" t="s">
        <v>100</v>
      </c>
      <c r="F14660" s="7">
        <v>46030.77873434051</v>
      </c>
      <c r="G14660" s="3" t="s">
        <v>3638</v>
      </c>
    </row>
    <row r="14661">
      <c r="A14661" s="3" t="s">
        <v>30574</v>
      </c>
      <c r="B14661" s="3" t="s">
        <v>12493</v>
      </c>
      <c r="C14661" s="5" t="s">
        <v>206</v>
      </c>
      <c r="D14661" s="3" t="s">
        <v>68</v>
      </c>
      <c r="E14661" s="3" t="s">
        <v>100</v>
      </c>
      <c r="F14661" s="7">
        <v>46030.782206562726</v>
      </c>
      <c r="G14661" s="3" t="s">
        <v>3641</v>
      </c>
    </row>
    <row r="14662">
      <c r="A14662" s="3" t="s">
        <v>30575</v>
      </c>
      <c r="B14662" s="3" t="s">
        <v>12496</v>
      </c>
      <c r="C14662" s="5" t="s">
        <v>45</v>
      </c>
      <c r="D14662" s="3" t="s">
        <v>221</v>
      </c>
      <c r="E14662" s="3" t="s">
        <v>519</v>
      </c>
      <c r="F14662" s="7">
        <v>46030.84296474148</v>
      </c>
      <c r="G14662" s="3" t="s">
        <v>3644</v>
      </c>
    </row>
    <row r="14663">
      <c r="A14663" s="3" t="s">
        <v>30576</v>
      </c>
      <c r="B14663" s="3" t="s">
        <v>12496</v>
      </c>
      <c r="C14663" s="5" t="s">
        <v>221</v>
      </c>
      <c r="D14663" s="3" t="s">
        <v>614</v>
      </c>
      <c r="E14663" s="3" t="s">
        <v>118</v>
      </c>
      <c r="F14663" s="7">
        <v>46030.8464369637</v>
      </c>
      <c r="G14663" s="3" t="s">
        <v>3647</v>
      </c>
    </row>
    <row r="14664">
      <c r="A14664" s="3" t="s">
        <v>30577</v>
      </c>
      <c r="B14664" s="3" t="s">
        <v>12496</v>
      </c>
      <c r="C14664" s="5" t="s">
        <v>614</v>
      </c>
      <c r="D14664" s="3" t="s">
        <v>206</v>
      </c>
      <c r="E14664" s="3" t="s">
        <v>100</v>
      </c>
      <c r="F14664" s="7">
        <v>46030.84990918593</v>
      </c>
      <c r="G14664" s="3" t="s">
        <v>3650</v>
      </c>
    </row>
    <row r="14665">
      <c r="A14665" s="3" t="s">
        <v>30578</v>
      </c>
      <c r="B14665" s="3" t="s">
        <v>12496</v>
      </c>
      <c r="C14665" s="5" t="s">
        <v>206</v>
      </c>
      <c r="D14665" s="3" t="s">
        <v>68</v>
      </c>
      <c r="E14665" s="3" t="s">
        <v>100</v>
      </c>
      <c r="F14665" s="7">
        <v>46030.853381408146</v>
      </c>
      <c r="G14665" s="3" t="s">
        <v>3653</v>
      </c>
    </row>
    <row r="14666">
      <c r="A14666" s="3" t="s">
        <v>30579</v>
      </c>
      <c r="B14666" s="3" t="s">
        <v>12499</v>
      </c>
      <c r="C14666" s="5" t="s">
        <v>45</v>
      </c>
      <c r="D14666" s="3" t="s">
        <v>221</v>
      </c>
      <c r="E14666" s="3" t="s">
        <v>601</v>
      </c>
      <c r="F14666" s="7">
        <v>46030.914139586894</v>
      </c>
      <c r="G14666" s="3" t="s">
        <v>6625</v>
      </c>
    </row>
    <row r="14667">
      <c r="A14667" s="3" t="s">
        <v>30580</v>
      </c>
      <c r="B14667" s="3" t="s">
        <v>12499</v>
      </c>
      <c r="C14667" s="5" t="s">
        <v>221</v>
      </c>
      <c r="D14667" s="3" t="s">
        <v>614</v>
      </c>
      <c r="E14667" s="3" t="s">
        <v>118</v>
      </c>
      <c r="F14667" s="7">
        <v>46030.91761180911</v>
      </c>
      <c r="G14667" s="3" t="s">
        <v>6628</v>
      </c>
    </row>
    <row r="14668">
      <c r="A14668" s="3" t="s">
        <v>30581</v>
      </c>
      <c r="B14668" s="3" t="s">
        <v>12499</v>
      </c>
      <c r="C14668" s="5" t="s">
        <v>614</v>
      </c>
      <c r="D14668" s="3" t="s">
        <v>206</v>
      </c>
      <c r="E14668" s="3" t="s">
        <v>100</v>
      </c>
      <c r="F14668" s="7">
        <v>46030.92108403134</v>
      </c>
      <c r="G14668" s="3" t="s">
        <v>6631</v>
      </c>
    </row>
    <row r="14669">
      <c r="A14669" s="3" t="s">
        <v>30582</v>
      </c>
      <c r="B14669" s="3" t="s">
        <v>12499</v>
      </c>
      <c r="C14669" s="5" t="s">
        <v>206</v>
      </c>
      <c r="D14669" s="3" t="s">
        <v>68</v>
      </c>
      <c r="E14669" s="3" t="s">
        <v>100</v>
      </c>
      <c r="F14669" s="7">
        <v>46030.92455625356</v>
      </c>
      <c r="G14669" s="3" t="s">
        <v>6634</v>
      </c>
    </row>
    <row r="14670">
      <c r="A14670" s="3" t="s">
        <v>30583</v>
      </c>
      <c r="B14670" s="3" t="s">
        <v>12502</v>
      </c>
      <c r="C14670" s="5" t="s">
        <v>45</v>
      </c>
      <c r="D14670" s="3" t="s">
        <v>221</v>
      </c>
      <c r="E14670" s="3" t="s">
        <v>475</v>
      </c>
      <c r="F14670" s="7">
        <v>46030.985314432306</v>
      </c>
      <c r="G14670" s="3" t="s">
        <v>3667</v>
      </c>
    </row>
    <row r="14671">
      <c r="A14671" s="3" t="s">
        <v>30584</v>
      </c>
      <c r="B14671" s="3" t="s">
        <v>12502</v>
      </c>
      <c r="C14671" s="5" t="s">
        <v>221</v>
      </c>
      <c r="D14671" s="3" t="s">
        <v>614</v>
      </c>
      <c r="E14671" s="3" t="s">
        <v>118</v>
      </c>
      <c r="F14671" s="7">
        <v>46030.988786654525</v>
      </c>
      <c r="G14671" s="3" t="s">
        <v>3670</v>
      </c>
    </row>
    <row r="14672">
      <c r="A14672" s="3" t="s">
        <v>30585</v>
      </c>
      <c r="B14672" s="3" t="s">
        <v>12502</v>
      </c>
      <c r="C14672" s="5" t="s">
        <v>614</v>
      </c>
      <c r="D14672" s="3" t="s">
        <v>206</v>
      </c>
      <c r="E14672" s="3" t="s">
        <v>100</v>
      </c>
      <c r="F14672" s="7">
        <v>46030.99225887675</v>
      </c>
      <c r="G14672" s="3" t="s">
        <v>3673</v>
      </c>
    </row>
    <row r="14673">
      <c r="A14673" s="3" t="s">
        <v>30586</v>
      </c>
      <c r="B14673" s="3" t="s">
        <v>12502</v>
      </c>
      <c r="C14673" s="5" t="s">
        <v>206</v>
      </c>
      <c r="D14673" s="3" t="s">
        <v>68</v>
      </c>
      <c r="E14673" s="3" t="s">
        <v>100</v>
      </c>
      <c r="F14673" s="7">
        <v>46030.99573109897</v>
      </c>
      <c r="G14673" s="3" t="s">
        <v>3676</v>
      </c>
    </row>
    <row r="14674">
      <c r="A14674" s="3" t="s">
        <v>30587</v>
      </c>
      <c r="B14674" s="3" t="s">
        <v>12504</v>
      </c>
      <c r="C14674" s="5" t="s">
        <v>45</v>
      </c>
      <c r="D14674" s="3" t="s">
        <v>221</v>
      </c>
      <c r="E14674" s="3" t="s">
        <v>763</v>
      </c>
      <c r="F14674" s="7">
        <v>46031.056489277726</v>
      </c>
      <c r="G14674" s="3" t="s">
        <v>3707</v>
      </c>
    </row>
    <row r="14675">
      <c r="A14675" s="3" t="s">
        <v>30588</v>
      </c>
      <c r="B14675" s="3" t="s">
        <v>12504</v>
      </c>
      <c r="C14675" s="5" t="s">
        <v>221</v>
      </c>
      <c r="D14675" s="3" t="s">
        <v>614</v>
      </c>
      <c r="E14675" s="3" t="s">
        <v>118</v>
      </c>
      <c r="F14675" s="7">
        <v>46031.059961499945</v>
      </c>
      <c r="G14675" s="3" t="s">
        <v>3710</v>
      </c>
    </row>
    <row r="14676">
      <c r="A14676" s="3" t="s">
        <v>30589</v>
      </c>
      <c r="B14676" s="3" t="s">
        <v>12504</v>
      </c>
      <c r="C14676" s="5" t="s">
        <v>614</v>
      </c>
      <c r="D14676" s="3" t="s">
        <v>206</v>
      </c>
      <c r="E14676" s="3" t="s">
        <v>100</v>
      </c>
      <c r="F14676" s="7">
        <v>46031.06343372217</v>
      </c>
      <c r="G14676" s="3" t="s">
        <v>3713</v>
      </c>
    </row>
    <row r="14677">
      <c r="A14677" s="3" t="s">
        <v>30590</v>
      </c>
      <c r="B14677" s="3" t="s">
        <v>12504</v>
      </c>
      <c r="C14677" s="5" t="s">
        <v>206</v>
      </c>
      <c r="D14677" s="3" t="s">
        <v>68</v>
      </c>
      <c r="E14677" s="3" t="s">
        <v>100</v>
      </c>
      <c r="F14677" s="7">
        <v>46031.06690594439</v>
      </c>
      <c r="G14677" s="3" t="s">
        <v>3716</v>
      </c>
    </row>
    <row r="14678">
      <c r="A14678" s="3" t="s">
        <v>30591</v>
      </c>
      <c r="B14678" s="3" t="s">
        <v>12506</v>
      </c>
      <c r="C14678" s="5" t="s">
        <v>45</v>
      </c>
      <c r="D14678" s="3" t="s">
        <v>221</v>
      </c>
      <c r="E14678" s="3" t="s">
        <v>414</v>
      </c>
      <c r="F14678" s="7">
        <v>46031.127664123145</v>
      </c>
      <c r="G14678" s="3" t="s">
        <v>29957</v>
      </c>
    </row>
    <row r="14679">
      <c r="A14679" s="3" t="s">
        <v>30592</v>
      </c>
      <c r="B14679" s="3" t="s">
        <v>12506</v>
      </c>
      <c r="C14679" s="5" t="s">
        <v>221</v>
      </c>
      <c r="D14679" s="3" t="s">
        <v>614</v>
      </c>
      <c r="E14679" s="3" t="s">
        <v>118</v>
      </c>
      <c r="F14679" s="7">
        <v>46031.131136345364</v>
      </c>
      <c r="G14679" s="3" t="s">
        <v>29959</v>
      </c>
    </row>
    <row r="14680">
      <c r="A14680" s="3" t="s">
        <v>30593</v>
      </c>
      <c r="B14680" s="3" t="s">
        <v>12506</v>
      </c>
      <c r="C14680" s="5" t="s">
        <v>614</v>
      </c>
      <c r="D14680" s="3" t="s">
        <v>206</v>
      </c>
      <c r="E14680" s="3" t="s">
        <v>100</v>
      </c>
      <c r="F14680" s="7">
        <v>46031.13460856759</v>
      </c>
      <c r="G14680" s="3" t="s">
        <v>29961</v>
      </c>
    </row>
    <row r="14681">
      <c r="A14681" s="3" t="s">
        <v>30594</v>
      </c>
      <c r="B14681" s="3" t="s">
        <v>12506</v>
      </c>
      <c r="C14681" s="5" t="s">
        <v>206</v>
      </c>
      <c r="D14681" s="3" t="s">
        <v>68</v>
      </c>
      <c r="E14681" s="3" t="s">
        <v>100</v>
      </c>
      <c r="F14681" s="7">
        <v>46031.13808078981</v>
      </c>
      <c r="G14681" s="3" t="s">
        <v>29963</v>
      </c>
    </row>
    <row r="14682">
      <c r="A14682" s="3" t="s">
        <v>30595</v>
      </c>
      <c r="B14682" s="3" t="s">
        <v>12509</v>
      </c>
      <c r="C14682" s="5" t="s">
        <v>45</v>
      </c>
      <c r="D14682" s="3" t="s">
        <v>221</v>
      </c>
      <c r="E14682" s="3" t="s">
        <v>307</v>
      </c>
      <c r="F14682" s="7">
        <v>46031.19883896855</v>
      </c>
      <c r="G14682" s="3" t="s">
        <v>18380</v>
      </c>
    </row>
    <row r="14683">
      <c r="A14683" s="3" t="s">
        <v>30596</v>
      </c>
      <c r="B14683" s="3" t="s">
        <v>12509</v>
      </c>
      <c r="C14683" s="5" t="s">
        <v>221</v>
      </c>
      <c r="D14683" s="3" t="s">
        <v>614</v>
      </c>
      <c r="E14683" s="3" t="s">
        <v>118</v>
      </c>
      <c r="F14683" s="7">
        <v>46031.20231119077</v>
      </c>
      <c r="G14683" s="3" t="s">
        <v>18383</v>
      </c>
    </row>
    <row r="14684">
      <c r="A14684" s="3" t="s">
        <v>30597</v>
      </c>
      <c r="B14684" s="3" t="s">
        <v>12509</v>
      </c>
      <c r="C14684" s="5" t="s">
        <v>614</v>
      </c>
      <c r="D14684" s="3" t="s">
        <v>206</v>
      </c>
      <c r="E14684" s="3" t="s">
        <v>100</v>
      </c>
      <c r="F14684" s="7">
        <v>46031.205783412996</v>
      </c>
      <c r="G14684" s="3" t="s">
        <v>18386</v>
      </c>
    </row>
    <row r="14685">
      <c r="A14685" s="3" t="s">
        <v>30598</v>
      </c>
      <c r="B14685" s="3" t="s">
        <v>12509</v>
      </c>
      <c r="C14685" s="5" t="s">
        <v>206</v>
      </c>
      <c r="D14685" s="3" t="s">
        <v>68</v>
      </c>
      <c r="E14685" s="3" t="s">
        <v>100</v>
      </c>
      <c r="F14685" s="7">
        <v>46031.209255635215</v>
      </c>
      <c r="G14685" s="3" t="s">
        <v>18389</v>
      </c>
    </row>
    <row r="14686">
      <c r="A14686" s="3" t="s">
        <v>30599</v>
      </c>
      <c r="B14686" s="3" t="s">
        <v>12512</v>
      </c>
      <c r="C14686" s="5" t="s">
        <v>45</v>
      </c>
      <c r="D14686" s="3" t="s">
        <v>221</v>
      </c>
      <c r="E14686" s="3" t="s">
        <v>747</v>
      </c>
      <c r="F14686" s="7">
        <v>46031.27001381397</v>
      </c>
      <c r="G14686" s="3" t="s">
        <v>3737</v>
      </c>
    </row>
    <row r="14687">
      <c r="A14687" s="3" t="s">
        <v>30600</v>
      </c>
      <c r="B14687" s="3" t="s">
        <v>12512</v>
      </c>
      <c r="C14687" s="5" t="s">
        <v>221</v>
      </c>
      <c r="D14687" s="3" t="s">
        <v>614</v>
      </c>
      <c r="E14687" s="3" t="s">
        <v>118</v>
      </c>
      <c r="F14687" s="7">
        <v>46031.27348603619</v>
      </c>
      <c r="G14687" s="3" t="s">
        <v>3740</v>
      </c>
    </row>
    <row r="14688">
      <c r="A14688" s="3" t="s">
        <v>30601</v>
      </c>
      <c r="B14688" s="3" t="s">
        <v>12512</v>
      </c>
      <c r="C14688" s="5" t="s">
        <v>614</v>
      </c>
      <c r="D14688" s="3" t="s">
        <v>206</v>
      </c>
      <c r="E14688" s="3" t="s">
        <v>100</v>
      </c>
      <c r="F14688" s="7">
        <v>46031.276958258415</v>
      </c>
      <c r="G14688" s="3" t="s">
        <v>3743</v>
      </c>
    </row>
    <row r="14689">
      <c r="A14689" s="3" t="s">
        <v>30602</v>
      </c>
      <c r="B14689" s="3" t="s">
        <v>12512</v>
      </c>
      <c r="C14689" s="5" t="s">
        <v>206</v>
      </c>
      <c r="D14689" s="3" t="s">
        <v>68</v>
      </c>
      <c r="E14689" s="3" t="s">
        <v>100</v>
      </c>
      <c r="F14689" s="7">
        <v>46031.280430480634</v>
      </c>
      <c r="G14689" s="3" t="s">
        <v>3745</v>
      </c>
    </row>
    <row r="14690">
      <c r="A14690" s="3" t="s">
        <v>30603</v>
      </c>
      <c r="B14690" s="3" t="s">
        <v>12515</v>
      </c>
      <c r="C14690" s="5" t="s">
        <v>45</v>
      </c>
      <c r="D14690" s="3" t="s">
        <v>221</v>
      </c>
      <c r="E14690" s="3" t="s">
        <v>848</v>
      </c>
      <c r="F14690" s="7">
        <v>46031.34118865939</v>
      </c>
      <c r="G14690" s="3" t="s">
        <v>3748</v>
      </c>
    </row>
    <row r="14691">
      <c r="A14691" s="3" t="s">
        <v>30604</v>
      </c>
      <c r="B14691" s="3" t="s">
        <v>12515</v>
      </c>
      <c r="C14691" s="5" t="s">
        <v>221</v>
      </c>
      <c r="D14691" s="3" t="s">
        <v>614</v>
      </c>
      <c r="E14691" s="3" t="s">
        <v>118</v>
      </c>
      <c r="F14691" s="7">
        <v>46031.34466088161</v>
      </c>
      <c r="G14691" s="3" t="s">
        <v>3751</v>
      </c>
    </row>
    <row r="14692">
      <c r="A14692" s="3" t="s">
        <v>30605</v>
      </c>
      <c r="B14692" s="3" t="s">
        <v>12515</v>
      </c>
      <c r="C14692" s="5" t="s">
        <v>614</v>
      </c>
      <c r="D14692" s="3" t="s">
        <v>206</v>
      </c>
      <c r="E14692" s="3" t="s">
        <v>100</v>
      </c>
      <c r="F14692" s="7">
        <v>46031.348133103835</v>
      </c>
      <c r="G14692" s="3" t="s">
        <v>3754</v>
      </c>
    </row>
    <row r="14693">
      <c r="A14693" s="3" t="s">
        <v>30606</v>
      </c>
      <c r="B14693" s="3" t="s">
        <v>12515</v>
      </c>
      <c r="C14693" s="5" t="s">
        <v>206</v>
      </c>
      <c r="D14693" s="3" t="s">
        <v>68</v>
      </c>
      <c r="E14693" s="3" t="s">
        <v>100</v>
      </c>
      <c r="F14693" s="7">
        <v>46031.351605326054</v>
      </c>
      <c r="G14693" s="3" t="s">
        <v>3757</v>
      </c>
    </row>
    <row r="14694">
      <c r="A14694" s="3" t="s">
        <v>30607</v>
      </c>
      <c r="B14694" s="3" t="s">
        <v>12518</v>
      </c>
      <c r="C14694" s="5" t="s">
        <v>45</v>
      </c>
      <c r="D14694" s="3" t="s">
        <v>221</v>
      </c>
      <c r="E14694" s="3" t="s">
        <v>224</v>
      </c>
      <c r="F14694" s="7">
        <v>46031.4123635048</v>
      </c>
      <c r="G14694" s="3" t="s">
        <v>21743</v>
      </c>
    </row>
    <row r="14695">
      <c r="A14695" s="3" t="s">
        <v>30608</v>
      </c>
      <c r="B14695" s="3" t="s">
        <v>12518</v>
      </c>
      <c r="C14695" s="5" t="s">
        <v>221</v>
      </c>
      <c r="D14695" s="3" t="s">
        <v>614</v>
      </c>
      <c r="E14695" s="3" t="s">
        <v>118</v>
      </c>
      <c r="F14695" s="7">
        <v>46031.41583572702</v>
      </c>
      <c r="G14695" s="3" t="s">
        <v>21746</v>
      </c>
    </row>
    <row r="14696">
      <c r="A14696" s="3" t="s">
        <v>30609</v>
      </c>
      <c r="B14696" s="3" t="s">
        <v>12518</v>
      </c>
      <c r="C14696" s="5" t="s">
        <v>614</v>
      </c>
      <c r="D14696" s="3" t="s">
        <v>206</v>
      </c>
      <c r="E14696" s="3" t="s">
        <v>100</v>
      </c>
      <c r="F14696" s="7">
        <v>46031.41930794925</v>
      </c>
      <c r="G14696" s="3" t="s">
        <v>21749</v>
      </c>
    </row>
    <row r="14697">
      <c r="A14697" s="3" t="s">
        <v>30610</v>
      </c>
      <c r="B14697" s="3" t="s">
        <v>12518</v>
      </c>
      <c r="C14697" s="5" t="s">
        <v>206</v>
      </c>
      <c r="D14697" s="3" t="s">
        <v>68</v>
      </c>
      <c r="E14697" s="3" t="s">
        <v>100</v>
      </c>
      <c r="F14697" s="7">
        <v>46031.422780171466</v>
      </c>
      <c r="G14697" s="3" t="s">
        <v>21752</v>
      </c>
    </row>
    <row r="14698">
      <c r="A14698" s="3" t="s">
        <v>30611</v>
      </c>
      <c r="B14698" s="3" t="s">
        <v>12521</v>
      </c>
      <c r="C14698" s="5" t="s">
        <v>45</v>
      </c>
      <c r="D14698" s="3" t="s">
        <v>221</v>
      </c>
      <c r="E14698" s="3" t="s">
        <v>615</v>
      </c>
      <c r="F14698" s="7">
        <v>46031.483538350214</v>
      </c>
      <c r="G14698" s="3" t="s">
        <v>14040</v>
      </c>
    </row>
    <row r="14699">
      <c r="A14699" s="3" t="s">
        <v>30612</v>
      </c>
      <c r="B14699" s="3" t="s">
        <v>12521</v>
      </c>
      <c r="C14699" s="5" t="s">
        <v>221</v>
      </c>
      <c r="D14699" s="3" t="s">
        <v>614</v>
      </c>
      <c r="E14699" s="3" t="s">
        <v>118</v>
      </c>
      <c r="F14699" s="7">
        <v>46031.48701057243</v>
      </c>
      <c r="G14699" s="3" t="s">
        <v>14043</v>
      </c>
    </row>
    <row r="14700">
      <c r="A14700" s="3" t="s">
        <v>30613</v>
      </c>
      <c r="B14700" s="3" t="s">
        <v>12521</v>
      </c>
      <c r="C14700" s="5" t="s">
        <v>614</v>
      </c>
      <c r="D14700" s="3" t="s">
        <v>206</v>
      </c>
      <c r="E14700" s="3" t="s">
        <v>100</v>
      </c>
      <c r="F14700" s="7">
        <v>46031.49048279466</v>
      </c>
      <c r="G14700" s="3" t="s">
        <v>14046</v>
      </c>
    </row>
    <row r="14701">
      <c r="A14701" s="3" t="s">
        <v>30614</v>
      </c>
      <c r="B14701" s="3" t="s">
        <v>12521</v>
      </c>
      <c r="C14701" s="5" t="s">
        <v>206</v>
      </c>
      <c r="D14701" s="3" t="s">
        <v>68</v>
      </c>
      <c r="E14701" s="3" t="s">
        <v>100</v>
      </c>
      <c r="F14701" s="7">
        <v>46031.49395501688</v>
      </c>
      <c r="G14701" s="3" t="s">
        <v>14048</v>
      </c>
    </row>
    <row r="14702">
      <c r="A14702" s="3" t="s">
        <v>30615</v>
      </c>
      <c r="B14702" s="3" t="s">
        <v>12524</v>
      </c>
      <c r="C14702" s="5" t="s">
        <v>45</v>
      </c>
      <c r="D14702" s="3" t="s">
        <v>221</v>
      </c>
      <c r="E14702" s="3" t="s">
        <v>612</v>
      </c>
      <c r="F14702" s="7">
        <v>46031.554713195634</v>
      </c>
      <c r="G14702" s="3" t="s">
        <v>24554</v>
      </c>
    </row>
    <row r="14703">
      <c r="A14703" s="3" t="s">
        <v>30616</v>
      </c>
      <c r="B14703" s="3" t="s">
        <v>12524</v>
      </c>
      <c r="C14703" s="5" t="s">
        <v>221</v>
      </c>
      <c r="D14703" s="3" t="s">
        <v>614</v>
      </c>
      <c r="E14703" s="3" t="s">
        <v>118</v>
      </c>
      <c r="F14703" s="7">
        <v>46031.55818541785</v>
      </c>
      <c r="G14703" s="3" t="s">
        <v>24556</v>
      </c>
    </row>
    <row r="14704">
      <c r="A14704" s="3" t="s">
        <v>30617</v>
      </c>
      <c r="B14704" s="3" t="s">
        <v>12524</v>
      </c>
      <c r="C14704" s="5" t="s">
        <v>614</v>
      </c>
      <c r="D14704" s="3" t="s">
        <v>206</v>
      </c>
      <c r="E14704" s="3" t="s">
        <v>100</v>
      </c>
      <c r="F14704" s="7">
        <v>46031.56165764008</v>
      </c>
      <c r="G14704" s="3" t="s">
        <v>24558</v>
      </c>
    </row>
    <row r="14705">
      <c r="A14705" s="3" t="s">
        <v>30618</v>
      </c>
      <c r="B14705" s="3" t="s">
        <v>12524</v>
      </c>
      <c r="C14705" s="5" t="s">
        <v>206</v>
      </c>
      <c r="D14705" s="3" t="s">
        <v>68</v>
      </c>
      <c r="E14705" s="3" t="s">
        <v>100</v>
      </c>
      <c r="F14705" s="7">
        <v>46031.5651298623</v>
      </c>
      <c r="G14705" s="3" t="s">
        <v>24560</v>
      </c>
    </row>
    <row r="14706">
      <c r="A14706" s="3" t="s">
        <v>30619</v>
      </c>
      <c r="B14706" s="3" t="s">
        <v>12526</v>
      </c>
      <c r="C14706" s="5" t="s">
        <v>45</v>
      </c>
      <c r="D14706" s="3" t="s">
        <v>221</v>
      </c>
      <c r="E14706" s="3" t="s">
        <v>230</v>
      </c>
      <c r="F14706" s="7">
        <v>46031.625888041046</v>
      </c>
      <c r="G14706" s="3" t="s">
        <v>21732</v>
      </c>
    </row>
    <row r="14707">
      <c r="A14707" s="3" t="s">
        <v>30620</v>
      </c>
      <c r="B14707" s="3" t="s">
        <v>12526</v>
      </c>
      <c r="C14707" s="5" t="s">
        <v>221</v>
      </c>
      <c r="D14707" s="3" t="s">
        <v>614</v>
      </c>
      <c r="E14707" s="3" t="s">
        <v>118</v>
      </c>
      <c r="F14707" s="7">
        <v>46031.629360263265</v>
      </c>
      <c r="G14707" s="3" t="s">
        <v>21735</v>
      </c>
    </row>
    <row r="14708">
      <c r="A14708" s="3" t="s">
        <v>30621</v>
      </c>
      <c r="B14708" s="3" t="s">
        <v>12526</v>
      </c>
      <c r="C14708" s="5" t="s">
        <v>614</v>
      </c>
      <c r="D14708" s="3" t="s">
        <v>206</v>
      </c>
      <c r="E14708" s="3" t="s">
        <v>100</v>
      </c>
      <c r="F14708" s="7">
        <v>46031.63283248549</v>
      </c>
      <c r="G14708" s="3" t="s">
        <v>21738</v>
      </c>
    </row>
    <row r="14709">
      <c r="A14709" s="3" t="s">
        <v>30622</v>
      </c>
      <c r="B14709" s="3" t="s">
        <v>12526</v>
      </c>
      <c r="C14709" s="5" t="s">
        <v>206</v>
      </c>
      <c r="D14709" s="3" t="s">
        <v>68</v>
      </c>
      <c r="E14709" s="3" t="s">
        <v>100</v>
      </c>
      <c r="F14709" s="7">
        <v>46031.63630470771</v>
      </c>
      <c r="G14709" s="3" t="s">
        <v>21740</v>
      </c>
    </row>
    <row r="14710">
      <c r="A14710" s="3" t="s">
        <v>30623</v>
      </c>
      <c r="B14710" s="3" t="s">
        <v>12528</v>
      </c>
      <c r="C14710" s="5" t="s">
        <v>45</v>
      </c>
      <c r="D14710" s="3" t="s">
        <v>221</v>
      </c>
      <c r="E14710" s="3" t="s">
        <v>126</v>
      </c>
      <c r="F14710" s="7">
        <v>46031.69706288646</v>
      </c>
      <c r="G14710" s="3" t="s">
        <v>3771</v>
      </c>
    </row>
    <row r="14711">
      <c r="A14711" s="3" t="s">
        <v>30624</v>
      </c>
      <c r="B14711" s="3" t="s">
        <v>12528</v>
      </c>
      <c r="C14711" s="5" t="s">
        <v>221</v>
      </c>
      <c r="D14711" s="3" t="s">
        <v>614</v>
      </c>
      <c r="E14711" s="3" t="s">
        <v>118</v>
      </c>
      <c r="F14711" s="7">
        <v>46031.70053510868</v>
      </c>
      <c r="G14711" s="3" t="s">
        <v>3774</v>
      </c>
    </row>
    <row r="14712">
      <c r="A14712" s="3" t="s">
        <v>30625</v>
      </c>
      <c r="B14712" s="3" t="s">
        <v>12528</v>
      </c>
      <c r="C14712" s="5" t="s">
        <v>614</v>
      </c>
      <c r="D14712" s="3" t="s">
        <v>206</v>
      </c>
      <c r="E14712" s="3" t="s">
        <v>100</v>
      </c>
      <c r="F14712" s="7">
        <v>46031.7040073309</v>
      </c>
      <c r="G14712" s="3" t="s">
        <v>3777</v>
      </c>
    </row>
    <row r="14713">
      <c r="A14713" s="3" t="s">
        <v>30626</v>
      </c>
      <c r="B14713" s="3" t="s">
        <v>12528</v>
      </c>
      <c r="C14713" s="5" t="s">
        <v>206</v>
      </c>
      <c r="D14713" s="3" t="s">
        <v>68</v>
      </c>
      <c r="E14713" s="3" t="s">
        <v>100</v>
      </c>
      <c r="F14713" s="7">
        <v>46031.70747955312</v>
      </c>
      <c r="G14713" s="3" t="s">
        <v>3780</v>
      </c>
    </row>
    <row r="14714">
      <c r="A14714" s="3" t="s">
        <v>30627</v>
      </c>
      <c r="B14714" s="3" t="s">
        <v>12530</v>
      </c>
      <c r="C14714" s="5" t="s">
        <v>45</v>
      </c>
      <c r="D14714" s="3" t="s">
        <v>221</v>
      </c>
      <c r="E14714" s="3" t="s">
        <v>380</v>
      </c>
      <c r="F14714" s="7">
        <v>46031.76823773188</v>
      </c>
      <c r="G14714" s="3" t="s">
        <v>3621</v>
      </c>
    </row>
    <row r="14715">
      <c r="A14715" s="3" t="s">
        <v>30628</v>
      </c>
      <c r="B14715" s="3" t="s">
        <v>12530</v>
      </c>
      <c r="C14715" s="5" t="s">
        <v>221</v>
      </c>
      <c r="D14715" s="3" t="s">
        <v>614</v>
      </c>
      <c r="E14715" s="3" t="s">
        <v>118</v>
      </c>
      <c r="F14715" s="7">
        <v>46031.7717099541</v>
      </c>
      <c r="G14715" s="3" t="s">
        <v>3623</v>
      </c>
    </row>
    <row r="14716">
      <c r="A14716" s="3" t="s">
        <v>30629</v>
      </c>
      <c r="B14716" s="3" t="s">
        <v>12530</v>
      </c>
      <c r="C14716" s="5" t="s">
        <v>614</v>
      </c>
      <c r="D14716" s="3" t="s">
        <v>206</v>
      </c>
      <c r="E14716" s="3" t="s">
        <v>100</v>
      </c>
      <c r="F14716" s="7">
        <v>46031.77518217632</v>
      </c>
      <c r="G14716" s="3" t="s">
        <v>3626</v>
      </c>
    </row>
    <row r="14717">
      <c r="A14717" s="3" t="s">
        <v>30630</v>
      </c>
      <c r="B14717" s="3" t="s">
        <v>12530</v>
      </c>
      <c r="C14717" s="5" t="s">
        <v>206</v>
      </c>
      <c r="D14717" s="3" t="s">
        <v>68</v>
      </c>
      <c r="E14717" s="3" t="s">
        <v>100</v>
      </c>
      <c r="F14717" s="7">
        <v>46031.77865439854</v>
      </c>
      <c r="G14717" s="3" t="s">
        <v>3629</v>
      </c>
    </row>
    <row r="14718">
      <c r="A14718" s="3" t="s">
        <v>30631</v>
      </c>
      <c r="B14718" s="3" t="s">
        <v>12532</v>
      </c>
      <c r="C14718" s="5" t="s">
        <v>45</v>
      </c>
      <c r="D14718" s="3" t="s">
        <v>221</v>
      </c>
      <c r="E14718" s="3" t="s">
        <v>535</v>
      </c>
      <c r="F14718" s="7">
        <v>46031.83941257729</v>
      </c>
      <c r="G14718" s="3" t="s">
        <v>10940</v>
      </c>
    </row>
    <row r="14719">
      <c r="A14719" s="3" t="s">
        <v>30632</v>
      </c>
      <c r="B14719" s="3" t="s">
        <v>12532</v>
      </c>
      <c r="C14719" s="5" t="s">
        <v>221</v>
      </c>
      <c r="D14719" s="3" t="s">
        <v>614</v>
      </c>
      <c r="E14719" s="3" t="s">
        <v>118</v>
      </c>
      <c r="F14719" s="7">
        <v>46031.84288479951</v>
      </c>
      <c r="G14719" s="3" t="s">
        <v>10943</v>
      </c>
    </row>
    <row r="14720">
      <c r="A14720" s="3" t="s">
        <v>30633</v>
      </c>
      <c r="B14720" s="3" t="s">
        <v>12532</v>
      </c>
      <c r="C14720" s="5" t="s">
        <v>614</v>
      </c>
      <c r="D14720" s="3" t="s">
        <v>206</v>
      </c>
      <c r="E14720" s="3" t="s">
        <v>100</v>
      </c>
      <c r="F14720" s="7">
        <v>46031.846357021735</v>
      </c>
      <c r="G14720" s="3" t="s">
        <v>10946</v>
      </c>
    </row>
    <row r="14721">
      <c r="A14721" s="3" t="s">
        <v>30634</v>
      </c>
      <c r="B14721" s="3" t="s">
        <v>12532</v>
      </c>
      <c r="C14721" s="5" t="s">
        <v>206</v>
      </c>
      <c r="D14721" s="3" t="s">
        <v>68</v>
      </c>
      <c r="E14721" s="3" t="s">
        <v>100</v>
      </c>
      <c r="F14721" s="7">
        <v>46031.849829243954</v>
      </c>
      <c r="G14721" s="3" t="s">
        <v>10949</v>
      </c>
    </row>
    <row r="14722">
      <c r="A14722" s="3" t="s">
        <v>30635</v>
      </c>
      <c r="B14722" s="3" t="s">
        <v>12533</v>
      </c>
      <c r="C14722" s="5" t="s">
        <v>45</v>
      </c>
      <c r="D14722" s="3" t="s">
        <v>221</v>
      </c>
      <c r="E14722" s="3" t="s">
        <v>290</v>
      </c>
      <c r="F14722" s="7">
        <v>46031.9105874227</v>
      </c>
      <c r="G14722" s="3" t="s">
        <v>30636</v>
      </c>
    </row>
    <row r="14723">
      <c r="A14723" s="3" t="s">
        <v>30637</v>
      </c>
      <c r="B14723" s="3" t="s">
        <v>12533</v>
      </c>
      <c r="C14723" s="5" t="s">
        <v>221</v>
      </c>
      <c r="D14723" s="3" t="s">
        <v>614</v>
      </c>
      <c r="E14723" s="3" t="s">
        <v>118</v>
      </c>
      <c r="F14723" s="7">
        <v>46031.91405964492</v>
      </c>
      <c r="G14723" s="3" t="s">
        <v>30638</v>
      </c>
    </row>
    <row r="14724">
      <c r="A14724" s="3" t="s">
        <v>30639</v>
      </c>
      <c r="B14724" s="3" t="s">
        <v>12533</v>
      </c>
      <c r="C14724" s="5" t="s">
        <v>614</v>
      </c>
      <c r="D14724" s="3" t="s">
        <v>206</v>
      </c>
      <c r="E14724" s="3" t="s">
        <v>100</v>
      </c>
      <c r="F14724" s="7">
        <v>46031.91753186715</v>
      </c>
      <c r="G14724" s="3" t="s">
        <v>30640</v>
      </c>
    </row>
    <row r="14725">
      <c r="A14725" s="3" t="s">
        <v>30641</v>
      </c>
      <c r="B14725" s="3" t="s">
        <v>12533</v>
      </c>
      <c r="C14725" s="5" t="s">
        <v>206</v>
      </c>
      <c r="D14725" s="3" t="s">
        <v>68</v>
      </c>
      <c r="E14725" s="3" t="s">
        <v>100</v>
      </c>
      <c r="F14725" s="7">
        <v>46031.92100408937</v>
      </c>
      <c r="G14725" s="3" t="s">
        <v>30642</v>
      </c>
    </row>
    <row r="14726">
      <c r="A14726" s="3" t="s">
        <v>30643</v>
      </c>
      <c r="B14726" s="3" t="s">
        <v>12535</v>
      </c>
      <c r="C14726" s="5" t="s">
        <v>45</v>
      </c>
      <c r="D14726" s="3" t="s">
        <v>221</v>
      </c>
      <c r="E14726" s="3" t="s">
        <v>171</v>
      </c>
      <c r="F14726" s="7">
        <v>46031.98176226812</v>
      </c>
      <c r="G14726" s="3" t="s">
        <v>13962</v>
      </c>
    </row>
    <row r="14727">
      <c r="A14727" s="3" t="s">
        <v>30644</v>
      </c>
      <c r="B14727" s="3" t="s">
        <v>12535</v>
      </c>
      <c r="C14727" s="5" t="s">
        <v>221</v>
      </c>
      <c r="D14727" s="3" t="s">
        <v>614</v>
      </c>
      <c r="E14727" s="3" t="s">
        <v>118</v>
      </c>
      <c r="F14727" s="7">
        <v>46031.98523449034</v>
      </c>
      <c r="G14727" s="3" t="s">
        <v>13965</v>
      </c>
    </row>
    <row r="14728">
      <c r="A14728" s="3" t="s">
        <v>30645</v>
      </c>
      <c r="B14728" s="3" t="s">
        <v>12535</v>
      </c>
      <c r="C14728" s="5" t="s">
        <v>614</v>
      </c>
      <c r="D14728" s="3" t="s">
        <v>206</v>
      </c>
      <c r="E14728" s="3" t="s">
        <v>100</v>
      </c>
      <c r="F14728" s="7">
        <v>46031.98870671257</v>
      </c>
      <c r="G14728" s="3" t="s">
        <v>13968</v>
      </c>
    </row>
    <row r="14729">
      <c r="A14729" s="3" t="s">
        <v>30646</v>
      </c>
      <c r="B14729" s="3" t="s">
        <v>12535</v>
      </c>
      <c r="C14729" s="5" t="s">
        <v>206</v>
      </c>
      <c r="D14729" s="3" t="s">
        <v>68</v>
      </c>
      <c r="E14729" s="3" t="s">
        <v>100</v>
      </c>
      <c r="F14729" s="7">
        <v>46031.992178934786</v>
      </c>
      <c r="G14729" s="3" t="s">
        <v>13970</v>
      </c>
    </row>
    <row r="14730">
      <c r="A14730" s="3" t="s">
        <v>30647</v>
      </c>
      <c r="B14730" s="3" t="s">
        <v>12537</v>
      </c>
      <c r="C14730" s="5" t="s">
        <v>45</v>
      </c>
      <c r="D14730" s="3" t="s">
        <v>221</v>
      </c>
      <c r="E14730" s="3" t="s">
        <v>183</v>
      </c>
      <c r="F14730" s="7">
        <v>46032.052937113534</v>
      </c>
      <c r="G14730" s="3" t="s">
        <v>23549</v>
      </c>
    </row>
    <row r="14731">
      <c r="A14731" s="3" t="s">
        <v>30648</v>
      </c>
      <c r="B14731" s="3" t="s">
        <v>12537</v>
      </c>
      <c r="C14731" s="5" t="s">
        <v>221</v>
      </c>
      <c r="D14731" s="3" t="s">
        <v>614</v>
      </c>
      <c r="E14731" s="3" t="s">
        <v>118</v>
      </c>
      <c r="F14731" s="7">
        <v>46032.05640933575</v>
      </c>
      <c r="G14731" s="3" t="s">
        <v>23552</v>
      </c>
    </row>
    <row r="14732">
      <c r="A14732" s="3" t="s">
        <v>30649</v>
      </c>
      <c r="B14732" s="3" t="s">
        <v>12537</v>
      </c>
      <c r="C14732" s="5" t="s">
        <v>614</v>
      </c>
      <c r="D14732" s="3" t="s">
        <v>206</v>
      </c>
      <c r="E14732" s="3" t="s">
        <v>100</v>
      </c>
      <c r="F14732" s="7">
        <v>46032.05988155798</v>
      </c>
      <c r="G14732" s="3" t="s">
        <v>23555</v>
      </c>
    </row>
    <row r="14733">
      <c r="A14733" s="3" t="s">
        <v>30650</v>
      </c>
      <c r="B14733" s="3" t="s">
        <v>12537</v>
      </c>
      <c r="C14733" s="5" t="s">
        <v>206</v>
      </c>
      <c r="D14733" s="3" t="s">
        <v>68</v>
      </c>
      <c r="E14733" s="3" t="s">
        <v>100</v>
      </c>
      <c r="F14733" s="7">
        <v>46032.0633537802</v>
      </c>
      <c r="G14733" s="3" t="s">
        <v>23559</v>
      </c>
    </row>
    <row r="14734">
      <c r="A14734" s="3" t="s">
        <v>30651</v>
      </c>
      <c r="B14734" s="3" t="s">
        <v>12539</v>
      </c>
      <c r="C14734" s="5" t="s">
        <v>45</v>
      </c>
      <c r="D14734" s="3" t="s">
        <v>221</v>
      </c>
      <c r="E14734" s="3" t="s">
        <v>760</v>
      </c>
      <c r="F14734" s="7">
        <v>46032.12411195895</v>
      </c>
      <c r="G14734" s="3" t="s">
        <v>3807</v>
      </c>
    </row>
    <row r="14735">
      <c r="A14735" s="3" t="s">
        <v>30652</v>
      </c>
      <c r="B14735" s="3" t="s">
        <v>12539</v>
      </c>
      <c r="C14735" s="5" t="s">
        <v>221</v>
      </c>
      <c r="D14735" s="3" t="s">
        <v>614</v>
      </c>
      <c r="E14735" s="3" t="s">
        <v>118</v>
      </c>
      <c r="F14735" s="7">
        <v>46032.127584181166</v>
      </c>
      <c r="G14735" s="3" t="s">
        <v>3810</v>
      </c>
    </row>
    <row r="14736">
      <c r="A14736" s="3" t="s">
        <v>30653</v>
      </c>
      <c r="B14736" s="3" t="s">
        <v>12539</v>
      </c>
      <c r="C14736" s="5" t="s">
        <v>614</v>
      </c>
      <c r="D14736" s="3" t="s">
        <v>206</v>
      </c>
      <c r="E14736" s="3" t="s">
        <v>100</v>
      </c>
      <c r="F14736" s="7">
        <v>46032.13105640339</v>
      </c>
      <c r="G14736" s="3" t="s">
        <v>3812</v>
      </c>
    </row>
    <row r="14737">
      <c r="A14737" s="3" t="s">
        <v>30654</v>
      </c>
      <c r="B14737" s="3" t="s">
        <v>12539</v>
      </c>
      <c r="C14737" s="5" t="s">
        <v>206</v>
      </c>
      <c r="D14737" s="3" t="s">
        <v>68</v>
      </c>
      <c r="E14737" s="3" t="s">
        <v>100</v>
      </c>
      <c r="F14737" s="7">
        <v>46032.13452862561</v>
      </c>
      <c r="G14737" s="3" t="s">
        <v>3815</v>
      </c>
    </row>
    <row r="14738">
      <c r="A14738" s="3" t="s">
        <v>30655</v>
      </c>
      <c r="B14738" s="3" t="s">
        <v>12541</v>
      </c>
      <c r="C14738" s="5" t="s">
        <v>45</v>
      </c>
      <c r="D14738" s="3" t="s">
        <v>221</v>
      </c>
      <c r="E14738" s="3" t="s">
        <v>601</v>
      </c>
      <c r="F14738" s="7">
        <v>46032.195286804366</v>
      </c>
      <c r="G14738" s="3" t="s">
        <v>3783</v>
      </c>
    </row>
    <row r="14739">
      <c r="A14739" s="3" t="s">
        <v>30656</v>
      </c>
      <c r="B14739" s="3" t="s">
        <v>12541</v>
      </c>
      <c r="C14739" s="5" t="s">
        <v>221</v>
      </c>
      <c r="D14739" s="3" t="s">
        <v>614</v>
      </c>
      <c r="E14739" s="3" t="s">
        <v>118</v>
      </c>
      <c r="F14739" s="7">
        <v>46032.198759026585</v>
      </c>
      <c r="G14739" s="3" t="s">
        <v>3786</v>
      </c>
    </row>
    <row r="14740">
      <c r="A14740" s="3" t="s">
        <v>30657</v>
      </c>
      <c r="B14740" s="3" t="s">
        <v>12541</v>
      </c>
      <c r="C14740" s="5" t="s">
        <v>614</v>
      </c>
      <c r="D14740" s="3" t="s">
        <v>206</v>
      </c>
      <c r="E14740" s="3" t="s">
        <v>100</v>
      </c>
      <c r="F14740" s="7">
        <v>46032.20223124881</v>
      </c>
      <c r="G14740" s="3" t="s">
        <v>3789</v>
      </c>
    </row>
    <row r="14741">
      <c r="A14741" s="3" t="s">
        <v>30658</v>
      </c>
      <c r="B14741" s="3" t="s">
        <v>12541</v>
      </c>
      <c r="C14741" s="5" t="s">
        <v>206</v>
      </c>
      <c r="D14741" s="3" t="s">
        <v>68</v>
      </c>
      <c r="E14741" s="3" t="s">
        <v>100</v>
      </c>
      <c r="F14741" s="7">
        <v>46032.20570347103</v>
      </c>
      <c r="G14741" s="3" t="s">
        <v>3792</v>
      </c>
    </row>
    <row r="14742">
      <c r="A14742" s="3" t="s">
        <v>30659</v>
      </c>
      <c r="B14742" s="3" t="s">
        <v>12544</v>
      </c>
      <c r="C14742" s="5" t="s">
        <v>45</v>
      </c>
      <c r="D14742" s="3" t="s">
        <v>221</v>
      </c>
      <c r="E14742" s="3" t="s">
        <v>990</v>
      </c>
      <c r="F14742" s="7">
        <v>46032.266461649786</v>
      </c>
      <c r="G14742" s="3" t="s">
        <v>17252</v>
      </c>
    </row>
    <row r="14743">
      <c r="A14743" s="3" t="s">
        <v>30660</v>
      </c>
      <c r="B14743" s="3" t="s">
        <v>12544</v>
      </c>
      <c r="C14743" s="5" t="s">
        <v>221</v>
      </c>
      <c r="D14743" s="3" t="s">
        <v>614</v>
      </c>
      <c r="E14743" s="3" t="s">
        <v>118</v>
      </c>
      <c r="F14743" s="7">
        <v>46032.269933872005</v>
      </c>
      <c r="G14743" s="3" t="s">
        <v>17255</v>
      </c>
    </row>
    <row r="14744">
      <c r="A14744" s="3" t="s">
        <v>30661</v>
      </c>
      <c r="B14744" s="3" t="s">
        <v>12544</v>
      </c>
      <c r="C14744" s="5" t="s">
        <v>614</v>
      </c>
      <c r="D14744" s="3" t="s">
        <v>206</v>
      </c>
      <c r="E14744" s="3" t="s">
        <v>100</v>
      </c>
      <c r="F14744" s="7">
        <v>46032.27340609423</v>
      </c>
      <c r="G14744" s="3" t="s">
        <v>17258</v>
      </c>
    </row>
    <row r="14745">
      <c r="A14745" s="3" t="s">
        <v>30662</v>
      </c>
      <c r="B14745" s="3" t="s">
        <v>12544</v>
      </c>
      <c r="C14745" s="5" t="s">
        <v>206</v>
      </c>
      <c r="D14745" s="3" t="s">
        <v>68</v>
      </c>
      <c r="E14745" s="3" t="s">
        <v>100</v>
      </c>
      <c r="F14745" s="7">
        <v>46032.27687831645</v>
      </c>
      <c r="G14745" s="3" t="s">
        <v>17260</v>
      </c>
    </row>
    <row r="14746">
      <c r="A14746" s="3" t="s">
        <v>30663</v>
      </c>
      <c r="B14746" s="3" t="s">
        <v>12547</v>
      </c>
      <c r="C14746" s="5" t="s">
        <v>45</v>
      </c>
      <c r="D14746" s="3" t="s">
        <v>221</v>
      </c>
      <c r="E14746" s="3" t="s">
        <v>330</v>
      </c>
      <c r="F14746" s="7">
        <v>46032.33763649519</v>
      </c>
      <c r="G14746" s="3" t="s">
        <v>3582</v>
      </c>
    </row>
    <row r="14747">
      <c r="A14747" s="3" t="s">
        <v>30664</v>
      </c>
      <c r="B14747" s="3" t="s">
        <v>12547</v>
      </c>
      <c r="C14747" s="5" t="s">
        <v>221</v>
      </c>
      <c r="D14747" s="3" t="s">
        <v>181</v>
      </c>
      <c r="E14747" s="3" t="s">
        <v>118</v>
      </c>
      <c r="F14747" s="7">
        <v>46032.34110871741</v>
      </c>
      <c r="G14747" s="3" t="s">
        <v>29943</v>
      </c>
    </row>
    <row r="14748">
      <c r="A14748" s="3" t="s">
        <v>30665</v>
      </c>
      <c r="B14748" s="3" t="s">
        <v>12548</v>
      </c>
      <c r="C14748" s="5" t="s">
        <v>45</v>
      </c>
      <c r="D14748" s="3" t="s">
        <v>221</v>
      </c>
      <c r="E14748" s="3" t="s">
        <v>247</v>
      </c>
      <c r="F14748" s="7">
        <v>46032.40881134061</v>
      </c>
      <c r="G14748" s="3" t="s">
        <v>2770</v>
      </c>
    </row>
    <row r="14749">
      <c r="A14749" s="3" t="s">
        <v>30666</v>
      </c>
      <c r="B14749" s="3" t="s">
        <v>12548</v>
      </c>
      <c r="C14749" s="5" t="s">
        <v>221</v>
      </c>
      <c r="D14749" s="3" t="s">
        <v>181</v>
      </c>
      <c r="E14749" s="3" t="s">
        <v>118</v>
      </c>
      <c r="F14749" s="7">
        <v>46032.41228356283</v>
      </c>
      <c r="G14749" s="3" t="s">
        <v>2774</v>
      </c>
    </row>
    <row r="14750">
      <c r="A14750" s="3" t="s">
        <v>30667</v>
      </c>
      <c r="B14750" s="3" t="s">
        <v>12551</v>
      </c>
      <c r="C14750" s="5" t="s">
        <v>45</v>
      </c>
      <c r="D14750" s="3" t="s">
        <v>221</v>
      </c>
      <c r="E14750" s="3" t="s">
        <v>189</v>
      </c>
      <c r="F14750" s="7">
        <v>46032.47998618603</v>
      </c>
      <c r="G14750" s="3" t="s">
        <v>6022</v>
      </c>
    </row>
    <row r="14751">
      <c r="A14751" s="3" t="s">
        <v>30668</v>
      </c>
      <c r="B14751" s="3" t="s">
        <v>12551</v>
      </c>
      <c r="C14751" s="5" t="s">
        <v>221</v>
      </c>
      <c r="D14751" s="3" t="s">
        <v>614</v>
      </c>
      <c r="E14751" s="3" t="s">
        <v>118</v>
      </c>
      <c r="F14751" s="7">
        <v>46032.48345840825</v>
      </c>
      <c r="G14751" s="3" t="s">
        <v>6025</v>
      </c>
    </row>
    <row r="14752">
      <c r="A14752" s="3" t="s">
        <v>30669</v>
      </c>
      <c r="B14752" s="3" t="s">
        <v>12551</v>
      </c>
      <c r="C14752" s="5" t="s">
        <v>614</v>
      </c>
      <c r="D14752" s="3" t="s">
        <v>206</v>
      </c>
      <c r="E14752" s="3" t="s">
        <v>100</v>
      </c>
      <c r="F14752" s="7">
        <v>46032.486930630475</v>
      </c>
      <c r="G14752" s="3" t="s">
        <v>6027</v>
      </c>
    </row>
    <row r="14753">
      <c r="A14753" s="3" t="s">
        <v>30670</v>
      </c>
      <c r="B14753" s="3" t="s">
        <v>12551</v>
      </c>
      <c r="C14753" s="5" t="s">
        <v>206</v>
      </c>
      <c r="D14753" s="3" t="s">
        <v>68</v>
      </c>
      <c r="E14753" s="3" t="s">
        <v>100</v>
      </c>
      <c r="F14753" s="7">
        <v>46032.490402852694</v>
      </c>
      <c r="G14753" s="3" t="s">
        <v>6030</v>
      </c>
    </row>
    <row r="14754">
      <c r="A14754" s="3" t="s">
        <v>30671</v>
      </c>
      <c r="B14754" s="3" t="s">
        <v>12554</v>
      </c>
      <c r="C14754" s="5" t="s">
        <v>45</v>
      </c>
      <c r="D14754" s="3" t="s">
        <v>221</v>
      </c>
      <c r="E14754" s="3" t="s">
        <v>322</v>
      </c>
      <c r="F14754" s="7">
        <v>46032.55116103144</v>
      </c>
      <c r="G14754" s="3" t="s">
        <v>3795</v>
      </c>
    </row>
    <row r="14755">
      <c r="A14755" s="3" t="s">
        <v>30672</v>
      </c>
      <c r="B14755" s="3" t="s">
        <v>12554</v>
      </c>
      <c r="C14755" s="5" t="s">
        <v>221</v>
      </c>
      <c r="D14755" s="3" t="s">
        <v>614</v>
      </c>
      <c r="E14755" s="3" t="s">
        <v>118</v>
      </c>
      <c r="F14755" s="7">
        <v>46032.55463325366</v>
      </c>
      <c r="G14755" s="3" t="s">
        <v>3798</v>
      </c>
    </row>
    <row r="14756">
      <c r="A14756" s="3" t="s">
        <v>30673</v>
      </c>
      <c r="B14756" s="3" t="s">
        <v>12554</v>
      </c>
      <c r="C14756" s="5" t="s">
        <v>614</v>
      </c>
      <c r="D14756" s="3" t="s">
        <v>206</v>
      </c>
      <c r="E14756" s="3" t="s">
        <v>100</v>
      </c>
      <c r="F14756" s="7">
        <v>46032.55810547589</v>
      </c>
      <c r="G14756" s="3" t="s">
        <v>3801</v>
      </c>
    </row>
    <row r="14757">
      <c r="A14757" s="3" t="s">
        <v>30674</v>
      </c>
      <c r="B14757" s="3" t="s">
        <v>12554</v>
      </c>
      <c r="C14757" s="5" t="s">
        <v>206</v>
      </c>
      <c r="D14757" s="3" t="s">
        <v>68</v>
      </c>
      <c r="E14757" s="3" t="s">
        <v>100</v>
      </c>
      <c r="F14757" s="7">
        <v>46032.56157769811</v>
      </c>
      <c r="G14757" s="3" t="s">
        <v>3804</v>
      </c>
    </row>
    <row r="14758">
      <c r="A14758" s="3" t="s">
        <v>30675</v>
      </c>
      <c r="B14758" s="3" t="s">
        <v>12556</v>
      </c>
      <c r="C14758" s="5" t="s">
        <v>45</v>
      </c>
      <c r="D14758" s="3" t="s">
        <v>221</v>
      </c>
      <c r="E14758" s="3" t="s">
        <v>789</v>
      </c>
      <c r="F14758" s="7">
        <v>46032.622335876855</v>
      </c>
      <c r="G14758" s="3" t="s">
        <v>19383</v>
      </c>
    </row>
    <row r="14759">
      <c r="A14759" s="3" t="s">
        <v>30676</v>
      </c>
      <c r="B14759" s="3" t="s">
        <v>12556</v>
      </c>
      <c r="C14759" s="5" t="s">
        <v>221</v>
      </c>
      <c r="D14759" s="3" t="s">
        <v>181</v>
      </c>
      <c r="E14759" s="3" t="s">
        <v>118</v>
      </c>
      <c r="F14759" s="7">
        <v>46032.625808099074</v>
      </c>
      <c r="G14759" s="3" t="s">
        <v>30677</v>
      </c>
    </row>
    <row r="14760">
      <c r="A14760" s="3" t="s">
        <v>30678</v>
      </c>
      <c r="B14760" s="3" t="s">
        <v>12558</v>
      </c>
      <c r="C14760" s="5" t="s">
        <v>45</v>
      </c>
      <c r="D14760" s="3" t="s">
        <v>221</v>
      </c>
      <c r="E14760" s="3" t="s">
        <v>778</v>
      </c>
      <c r="F14760" s="7">
        <v>46032.693510722274</v>
      </c>
      <c r="G14760" s="3" t="s">
        <v>14568</v>
      </c>
    </row>
    <row r="14761">
      <c r="A14761" s="3" t="s">
        <v>30679</v>
      </c>
      <c r="B14761" s="3" t="s">
        <v>12558</v>
      </c>
      <c r="C14761" s="5" t="s">
        <v>221</v>
      </c>
      <c r="D14761" s="3" t="s">
        <v>614</v>
      </c>
      <c r="E14761" s="3" t="s">
        <v>118</v>
      </c>
      <c r="F14761" s="7">
        <v>46032.69698294449</v>
      </c>
      <c r="G14761" s="3" t="s">
        <v>14571</v>
      </c>
    </row>
    <row r="14762">
      <c r="A14762" s="3" t="s">
        <v>30680</v>
      </c>
      <c r="B14762" s="3" t="s">
        <v>12558</v>
      </c>
      <c r="C14762" s="5" t="s">
        <v>614</v>
      </c>
      <c r="D14762" s="3" t="s">
        <v>206</v>
      </c>
      <c r="E14762" s="3" t="s">
        <v>100</v>
      </c>
      <c r="F14762" s="7">
        <v>46032.70045516672</v>
      </c>
      <c r="G14762" s="3" t="s">
        <v>14574</v>
      </c>
    </row>
    <row r="14763">
      <c r="A14763" s="3" t="s">
        <v>30681</v>
      </c>
      <c r="B14763" s="3" t="s">
        <v>12558</v>
      </c>
      <c r="C14763" s="5" t="s">
        <v>206</v>
      </c>
      <c r="D14763" s="3" t="s">
        <v>68</v>
      </c>
      <c r="E14763" s="3" t="s">
        <v>100</v>
      </c>
      <c r="F14763" s="7">
        <v>46032.70392738894</v>
      </c>
      <c r="G14763" s="3" t="s">
        <v>14577</v>
      </c>
    </row>
    <row r="14764">
      <c r="A14764" s="3" t="s">
        <v>30682</v>
      </c>
      <c r="B14764" s="3" t="s">
        <v>12561</v>
      </c>
      <c r="C14764" s="5" t="s">
        <v>45</v>
      </c>
      <c r="D14764" s="3" t="s">
        <v>221</v>
      </c>
      <c r="E14764" s="3" t="s">
        <v>398</v>
      </c>
      <c r="F14764" s="7">
        <v>46032.76468556769</v>
      </c>
      <c r="G14764" s="3" t="s">
        <v>30683</v>
      </c>
    </row>
    <row r="14765">
      <c r="A14765" s="3" t="s">
        <v>30684</v>
      </c>
      <c r="B14765" s="3" t="s">
        <v>12561</v>
      </c>
      <c r="C14765" s="5" t="s">
        <v>221</v>
      </c>
      <c r="D14765" s="3" t="s">
        <v>614</v>
      </c>
      <c r="E14765" s="3" t="s">
        <v>118</v>
      </c>
      <c r="F14765" s="7">
        <v>46032.768157789906</v>
      </c>
      <c r="G14765" s="3" t="s">
        <v>30685</v>
      </c>
    </row>
    <row r="14766">
      <c r="A14766" s="3" t="s">
        <v>30686</v>
      </c>
      <c r="B14766" s="3" t="s">
        <v>12561</v>
      </c>
      <c r="C14766" s="5" t="s">
        <v>614</v>
      </c>
      <c r="D14766" s="3" t="s">
        <v>206</v>
      </c>
      <c r="E14766" s="3" t="s">
        <v>100</v>
      </c>
      <c r="F14766" s="7">
        <v>46032.77163001213</v>
      </c>
      <c r="G14766" s="3" t="s">
        <v>30687</v>
      </c>
    </row>
    <row r="14767">
      <c r="A14767" s="3" t="s">
        <v>30688</v>
      </c>
      <c r="B14767" s="3" t="s">
        <v>12561</v>
      </c>
      <c r="C14767" s="5" t="s">
        <v>206</v>
      </c>
      <c r="D14767" s="3" t="s">
        <v>68</v>
      </c>
      <c r="E14767" s="3" t="s">
        <v>100</v>
      </c>
      <c r="F14767" s="7">
        <v>46032.77510223435</v>
      </c>
      <c r="G14767" s="3" t="s">
        <v>30689</v>
      </c>
    </row>
    <row r="14768">
      <c r="A14768" s="3" t="s">
        <v>30690</v>
      </c>
      <c r="B14768" s="3" t="s">
        <v>12563</v>
      </c>
      <c r="C14768" s="5" t="s">
        <v>45</v>
      </c>
      <c r="D14768" s="3" t="s">
        <v>221</v>
      </c>
      <c r="E14768" s="3" t="s">
        <v>916</v>
      </c>
      <c r="F14768" s="7">
        <v>46032.8358604131</v>
      </c>
      <c r="G14768" s="3" t="s">
        <v>3818</v>
      </c>
    </row>
    <row r="14769">
      <c r="A14769" s="3" t="s">
        <v>30691</v>
      </c>
      <c r="B14769" s="3" t="s">
        <v>12563</v>
      </c>
      <c r="C14769" s="5" t="s">
        <v>221</v>
      </c>
      <c r="D14769" s="3" t="s">
        <v>614</v>
      </c>
      <c r="E14769" s="3" t="s">
        <v>118</v>
      </c>
      <c r="F14769" s="7">
        <v>46032.83933263532</v>
      </c>
      <c r="G14769" s="3" t="s">
        <v>3821</v>
      </c>
    </row>
    <row r="14770">
      <c r="A14770" s="3" t="s">
        <v>30692</v>
      </c>
      <c r="B14770" s="3" t="s">
        <v>12563</v>
      </c>
      <c r="C14770" s="5" t="s">
        <v>614</v>
      </c>
      <c r="D14770" s="3" t="s">
        <v>206</v>
      </c>
      <c r="E14770" s="3" t="s">
        <v>100</v>
      </c>
      <c r="F14770" s="7">
        <v>46032.842804857544</v>
      </c>
      <c r="G14770" s="3" t="s">
        <v>3824</v>
      </c>
    </row>
    <row r="14771">
      <c r="A14771" s="3" t="s">
        <v>30693</v>
      </c>
      <c r="B14771" s="3" t="s">
        <v>12563</v>
      </c>
      <c r="C14771" s="5" t="s">
        <v>206</v>
      </c>
      <c r="D14771" s="3" t="s">
        <v>68</v>
      </c>
      <c r="E14771" s="3" t="s">
        <v>100</v>
      </c>
      <c r="F14771" s="7">
        <v>46032.84627707976</v>
      </c>
      <c r="G14771" s="3" t="s">
        <v>3827</v>
      </c>
    </row>
    <row r="14772">
      <c r="A14772" s="3" t="s">
        <v>30694</v>
      </c>
      <c r="B14772" s="3" t="s">
        <v>12565</v>
      </c>
      <c r="C14772" s="5" t="s">
        <v>45</v>
      </c>
      <c r="D14772" s="3" t="s">
        <v>221</v>
      </c>
      <c r="E14772" s="3" t="s">
        <v>615</v>
      </c>
      <c r="F14772" s="7">
        <v>46032.90703525852</v>
      </c>
      <c r="G14772" s="3" t="s">
        <v>3834</v>
      </c>
    </row>
    <row r="14773">
      <c r="A14773" s="3" t="s">
        <v>30695</v>
      </c>
      <c r="B14773" s="3" t="s">
        <v>12565</v>
      </c>
      <c r="C14773" s="5" t="s">
        <v>221</v>
      </c>
      <c r="D14773" s="3" t="s">
        <v>614</v>
      </c>
      <c r="E14773" s="3" t="s">
        <v>118</v>
      </c>
      <c r="F14773" s="7">
        <v>46032.91050748074</v>
      </c>
      <c r="G14773" s="3" t="s">
        <v>3837</v>
      </c>
    </row>
    <row r="14774">
      <c r="A14774" s="3" t="s">
        <v>30696</v>
      </c>
      <c r="B14774" s="3" t="s">
        <v>12565</v>
      </c>
      <c r="C14774" s="5" t="s">
        <v>614</v>
      </c>
      <c r="D14774" s="3" t="s">
        <v>206</v>
      </c>
      <c r="E14774" s="3" t="s">
        <v>100</v>
      </c>
      <c r="F14774" s="7">
        <v>46032.913979702964</v>
      </c>
      <c r="G14774" s="3" t="s">
        <v>3840</v>
      </c>
    </row>
    <row r="14775">
      <c r="A14775" s="3" t="s">
        <v>30697</v>
      </c>
      <c r="B14775" s="3" t="s">
        <v>12565</v>
      </c>
      <c r="C14775" s="5" t="s">
        <v>206</v>
      </c>
      <c r="D14775" s="3" t="s">
        <v>68</v>
      </c>
      <c r="E14775" s="3" t="s">
        <v>100</v>
      </c>
      <c r="F14775" s="7">
        <v>46032.91745192518</v>
      </c>
      <c r="G14775" s="3" t="s">
        <v>3843</v>
      </c>
    </row>
    <row r="14776">
      <c r="A14776" s="3" t="s">
        <v>30698</v>
      </c>
      <c r="B14776" s="3" t="s">
        <v>12568</v>
      </c>
      <c r="C14776" s="5" t="s">
        <v>45</v>
      </c>
      <c r="D14776" s="3" t="s">
        <v>221</v>
      </c>
      <c r="E14776" s="3" t="s">
        <v>475</v>
      </c>
      <c r="F14776" s="7">
        <v>46032.97821010393</v>
      </c>
      <c r="G14776" s="3" t="s">
        <v>3719</v>
      </c>
    </row>
    <row r="14777">
      <c r="A14777" s="3" t="s">
        <v>30699</v>
      </c>
      <c r="B14777" s="3" t="s">
        <v>12568</v>
      </c>
      <c r="C14777" s="5" t="s">
        <v>221</v>
      </c>
      <c r="D14777" s="3" t="s">
        <v>614</v>
      </c>
      <c r="E14777" s="3" t="s">
        <v>118</v>
      </c>
      <c r="F14777" s="7">
        <v>46032.98168232615</v>
      </c>
      <c r="G14777" s="3" t="s">
        <v>3722</v>
      </c>
    </row>
    <row r="14778">
      <c r="A14778" s="3" t="s">
        <v>30700</v>
      </c>
      <c r="B14778" s="3" t="s">
        <v>12568</v>
      </c>
      <c r="C14778" s="5" t="s">
        <v>614</v>
      </c>
      <c r="D14778" s="3" t="s">
        <v>206</v>
      </c>
      <c r="E14778" s="3" t="s">
        <v>100</v>
      </c>
      <c r="F14778" s="7">
        <v>46032.985154548376</v>
      </c>
      <c r="G14778" s="3" t="s">
        <v>3725</v>
      </c>
    </row>
    <row r="14779">
      <c r="A14779" s="3" t="s">
        <v>30701</v>
      </c>
      <c r="B14779" s="3" t="s">
        <v>12568</v>
      </c>
      <c r="C14779" s="5" t="s">
        <v>206</v>
      </c>
      <c r="D14779" s="3" t="s">
        <v>68</v>
      </c>
      <c r="E14779" s="3" t="s">
        <v>100</v>
      </c>
      <c r="F14779" s="7">
        <v>46032.988626770595</v>
      </c>
      <c r="G14779" s="3" t="s">
        <v>3728</v>
      </c>
    </row>
    <row r="14780">
      <c r="A14780" s="3" t="s">
        <v>30702</v>
      </c>
      <c r="B14780" s="3" t="s">
        <v>12569</v>
      </c>
      <c r="C14780" s="5" t="s">
        <v>45</v>
      </c>
      <c r="D14780" s="3" t="s">
        <v>221</v>
      </c>
      <c r="E14780" s="3" t="s">
        <v>637</v>
      </c>
      <c r="F14780" s="7">
        <v>46033.04938494934</v>
      </c>
      <c r="G14780" s="3" t="s">
        <v>15491</v>
      </c>
    </row>
    <row r="14781">
      <c r="A14781" s="3" t="s">
        <v>30703</v>
      </c>
      <c r="B14781" s="3" t="s">
        <v>12569</v>
      </c>
      <c r="C14781" s="5" t="s">
        <v>221</v>
      </c>
      <c r="D14781" s="3" t="s">
        <v>614</v>
      </c>
      <c r="E14781" s="3" t="s">
        <v>118</v>
      </c>
      <c r="F14781" s="7">
        <v>46033.05285717156</v>
      </c>
      <c r="G14781" s="3" t="s">
        <v>15493</v>
      </c>
    </row>
    <row r="14782">
      <c r="A14782" s="3" t="s">
        <v>30704</v>
      </c>
      <c r="B14782" s="3" t="s">
        <v>12569</v>
      </c>
      <c r="C14782" s="5" t="s">
        <v>614</v>
      </c>
      <c r="D14782" s="3" t="s">
        <v>206</v>
      </c>
      <c r="E14782" s="3" t="s">
        <v>100</v>
      </c>
      <c r="F14782" s="7">
        <v>46033.05632939379</v>
      </c>
      <c r="G14782" s="3" t="s">
        <v>15496</v>
      </c>
    </row>
    <row r="14783">
      <c r="A14783" s="3" t="s">
        <v>30705</v>
      </c>
      <c r="B14783" s="3" t="s">
        <v>12569</v>
      </c>
      <c r="C14783" s="5" t="s">
        <v>206</v>
      </c>
      <c r="D14783" s="3" t="s">
        <v>68</v>
      </c>
      <c r="E14783" s="3" t="s">
        <v>100</v>
      </c>
      <c r="F14783" s="7">
        <v>46033.05980161601</v>
      </c>
      <c r="G14783" s="3" t="s">
        <v>15499</v>
      </c>
    </row>
    <row r="14784">
      <c r="A14784" s="3" t="s">
        <v>30706</v>
      </c>
      <c r="B14784" s="3" t="s">
        <v>12572</v>
      </c>
      <c r="C14784" s="5" t="s">
        <v>45</v>
      </c>
      <c r="D14784" s="3" t="s">
        <v>221</v>
      </c>
      <c r="E14784" s="3" t="s">
        <v>615</v>
      </c>
      <c r="F14784" s="7">
        <v>46033.12055979476</v>
      </c>
      <c r="G14784" s="3" t="s">
        <v>30707</v>
      </c>
    </row>
    <row r="14785">
      <c r="A14785" s="3" t="s">
        <v>30708</v>
      </c>
      <c r="B14785" s="3" t="s">
        <v>12572</v>
      </c>
      <c r="C14785" s="5" t="s">
        <v>221</v>
      </c>
      <c r="D14785" s="3" t="s">
        <v>614</v>
      </c>
      <c r="E14785" s="3" t="s">
        <v>118</v>
      </c>
      <c r="F14785" s="7">
        <v>46033.12403201698</v>
      </c>
      <c r="G14785" s="3" t="s">
        <v>30709</v>
      </c>
    </row>
    <row r="14786">
      <c r="A14786" s="3" t="s">
        <v>30710</v>
      </c>
      <c r="B14786" s="3" t="s">
        <v>12572</v>
      </c>
      <c r="C14786" s="5" t="s">
        <v>614</v>
      </c>
      <c r="D14786" s="3" t="s">
        <v>206</v>
      </c>
      <c r="E14786" s="3" t="s">
        <v>100</v>
      </c>
      <c r="F14786" s="7">
        <v>46033.12750423921</v>
      </c>
      <c r="G14786" s="3" t="s">
        <v>30711</v>
      </c>
    </row>
    <row r="14787">
      <c r="A14787" s="3" t="s">
        <v>30712</v>
      </c>
      <c r="B14787" s="3" t="s">
        <v>12572</v>
      </c>
      <c r="C14787" s="5" t="s">
        <v>206</v>
      </c>
      <c r="D14787" s="3" t="s">
        <v>68</v>
      </c>
      <c r="E14787" s="3" t="s">
        <v>100</v>
      </c>
      <c r="F14787" s="7">
        <v>46033.13097646143</v>
      </c>
      <c r="G14787" s="3" t="s">
        <v>30713</v>
      </c>
    </row>
    <row r="14788">
      <c r="A14788" s="3" t="s">
        <v>30714</v>
      </c>
      <c r="B14788" s="3" t="s">
        <v>12575</v>
      </c>
      <c r="C14788" s="5" t="s">
        <v>45</v>
      </c>
      <c r="D14788" s="3" t="s">
        <v>221</v>
      </c>
      <c r="E14788" s="3" t="s">
        <v>1040</v>
      </c>
      <c r="F14788" s="7">
        <v>46033.191734640175</v>
      </c>
      <c r="G14788" s="3" t="s">
        <v>2770</v>
      </c>
    </row>
    <row r="14789">
      <c r="A14789" s="3" t="s">
        <v>30715</v>
      </c>
      <c r="B14789" s="3" t="s">
        <v>12575</v>
      </c>
      <c r="C14789" s="5" t="s">
        <v>221</v>
      </c>
      <c r="D14789" s="3" t="s">
        <v>181</v>
      </c>
      <c r="E14789" s="3" t="s">
        <v>118</v>
      </c>
      <c r="F14789" s="7">
        <v>46033.195206862394</v>
      </c>
      <c r="G14789" s="3" t="s">
        <v>2774</v>
      </c>
    </row>
    <row r="14790">
      <c r="A14790" s="3" t="s">
        <v>30716</v>
      </c>
      <c r="B14790" s="3" t="s">
        <v>12578</v>
      </c>
      <c r="C14790" s="5" t="s">
        <v>45</v>
      </c>
      <c r="D14790" s="3" t="s">
        <v>221</v>
      </c>
      <c r="E14790" s="3" t="s">
        <v>366</v>
      </c>
      <c r="F14790" s="7">
        <v>46033.26290948559</v>
      </c>
      <c r="G14790" s="3" t="s">
        <v>20658</v>
      </c>
    </row>
    <row r="14791">
      <c r="A14791" s="3" t="s">
        <v>30717</v>
      </c>
      <c r="B14791" s="3" t="s">
        <v>12578</v>
      </c>
      <c r="C14791" s="5" t="s">
        <v>221</v>
      </c>
      <c r="D14791" s="3" t="s">
        <v>181</v>
      </c>
      <c r="E14791" s="3" t="s">
        <v>118</v>
      </c>
      <c r="F14791" s="7">
        <v>46033.26638170781</v>
      </c>
      <c r="G14791" s="3" t="s">
        <v>30718</v>
      </c>
    </row>
    <row r="14792">
      <c r="A14792" s="3" t="s">
        <v>30719</v>
      </c>
      <c r="B14792" s="3" t="s">
        <v>12581</v>
      </c>
      <c r="C14792" s="5" t="s">
        <v>45</v>
      </c>
      <c r="D14792" s="3" t="s">
        <v>221</v>
      </c>
      <c r="E14792" s="3" t="s">
        <v>629</v>
      </c>
      <c r="F14792" s="7">
        <v>46033.33408433101</v>
      </c>
      <c r="G14792" s="3" t="s">
        <v>12582</v>
      </c>
    </row>
    <row r="14793">
      <c r="A14793" s="3" t="s">
        <v>30720</v>
      </c>
      <c r="B14793" s="3" t="s">
        <v>12581</v>
      </c>
      <c r="C14793" s="5" t="s">
        <v>221</v>
      </c>
      <c r="D14793" s="3" t="s">
        <v>614</v>
      </c>
      <c r="E14793" s="3" t="s">
        <v>118</v>
      </c>
      <c r="F14793" s="7">
        <v>46033.337556553226</v>
      </c>
      <c r="G14793" s="3" t="s">
        <v>12585</v>
      </c>
    </row>
    <row r="14794">
      <c r="A14794" s="3" t="s">
        <v>30721</v>
      </c>
      <c r="B14794" s="3" t="s">
        <v>12581</v>
      </c>
      <c r="C14794" s="5" t="s">
        <v>614</v>
      </c>
      <c r="D14794" s="3" t="s">
        <v>206</v>
      </c>
      <c r="E14794" s="3" t="s">
        <v>100</v>
      </c>
      <c r="F14794" s="7">
        <v>46033.34102877545</v>
      </c>
      <c r="G14794" s="3" t="s">
        <v>12588</v>
      </c>
    </row>
    <row r="14795">
      <c r="A14795" s="3" t="s">
        <v>30722</v>
      </c>
      <c r="B14795" s="3" t="s">
        <v>12581</v>
      </c>
      <c r="C14795" s="5" t="s">
        <v>206</v>
      </c>
      <c r="D14795" s="3" t="s">
        <v>68</v>
      </c>
      <c r="E14795" s="3" t="s">
        <v>100</v>
      </c>
      <c r="F14795" s="7">
        <v>46033.34450099767</v>
      </c>
      <c r="G14795" s="3" t="s">
        <v>12591</v>
      </c>
    </row>
    <row r="14796">
      <c r="A14796" s="3" t="s">
        <v>30723</v>
      </c>
      <c r="B14796" s="3" t="s">
        <v>12584</v>
      </c>
      <c r="C14796" s="5" t="s">
        <v>45</v>
      </c>
      <c r="D14796" s="3" t="s">
        <v>221</v>
      </c>
      <c r="E14796" s="3" t="s">
        <v>1043</v>
      </c>
      <c r="F14796" s="7">
        <v>46033.40525917643</v>
      </c>
      <c r="G14796" s="3" t="s">
        <v>3845</v>
      </c>
    </row>
    <row r="14797">
      <c r="A14797" s="3" t="s">
        <v>30724</v>
      </c>
      <c r="B14797" s="3" t="s">
        <v>12584</v>
      </c>
      <c r="C14797" s="5" t="s">
        <v>221</v>
      </c>
      <c r="D14797" s="3" t="s">
        <v>614</v>
      </c>
      <c r="E14797" s="3" t="s">
        <v>118</v>
      </c>
      <c r="F14797" s="7">
        <v>46033.408731398646</v>
      </c>
      <c r="G14797" s="3" t="s">
        <v>3848</v>
      </c>
    </row>
    <row r="14798">
      <c r="A14798" s="3" t="s">
        <v>30725</v>
      </c>
      <c r="B14798" s="3" t="s">
        <v>12584</v>
      </c>
      <c r="C14798" s="5" t="s">
        <v>614</v>
      </c>
      <c r="D14798" s="3" t="s">
        <v>206</v>
      </c>
      <c r="E14798" s="3" t="s">
        <v>100</v>
      </c>
      <c r="F14798" s="7">
        <v>46033.41220362087</v>
      </c>
      <c r="G14798" s="3" t="s">
        <v>3851</v>
      </c>
    </row>
    <row r="14799">
      <c r="A14799" s="3" t="s">
        <v>30726</v>
      </c>
      <c r="B14799" s="3" t="s">
        <v>12584</v>
      </c>
      <c r="C14799" s="5" t="s">
        <v>206</v>
      </c>
      <c r="D14799" s="3" t="s">
        <v>68</v>
      </c>
      <c r="E14799" s="3" t="s">
        <v>100</v>
      </c>
      <c r="F14799" s="7">
        <v>46033.41567584309</v>
      </c>
      <c r="G14799" s="3" t="s">
        <v>3854</v>
      </c>
    </row>
    <row r="14800">
      <c r="A14800" s="3" t="s">
        <v>30727</v>
      </c>
      <c r="B14800" s="3" t="s">
        <v>12587</v>
      </c>
      <c r="C14800" s="5" t="s">
        <v>45</v>
      </c>
      <c r="D14800" s="3" t="s">
        <v>221</v>
      </c>
      <c r="E14800" s="3" t="s">
        <v>316</v>
      </c>
      <c r="F14800" s="7">
        <v>46033.47643402183</v>
      </c>
      <c r="G14800" s="3" t="s">
        <v>6396</v>
      </c>
    </row>
    <row r="14801">
      <c r="A14801" s="3" t="s">
        <v>30728</v>
      </c>
      <c r="B14801" s="3" t="s">
        <v>12587</v>
      </c>
      <c r="C14801" s="5" t="s">
        <v>221</v>
      </c>
      <c r="D14801" s="3" t="s">
        <v>614</v>
      </c>
      <c r="E14801" s="3" t="s">
        <v>118</v>
      </c>
      <c r="F14801" s="7">
        <v>46033.47990624405</v>
      </c>
      <c r="G14801" s="3" t="s">
        <v>6399</v>
      </c>
    </row>
    <row r="14802">
      <c r="A14802" s="3" t="s">
        <v>30729</v>
      </c>
      <c r="B14802" s="3" t="s">
        <v>12587</v>
      </c>
      <c r="C14802" s="5" t="s">
        <v>614</v>
      </c>
      <c r="D14802" s="3" t="s">
        <v>206</v>
      </c>
      <c r="E14802" s="3" t="s">
        <v>100</v>
      </c>
      <c r="F14802" s="7">
        <v>46033.48337846628</v>
      </c>
      <c r="G14802" s="3" t="s">
        <v>6402</v>
      </c>
    </row>
    <row r="14803">
      <c r="A14803" s="3" t="s">
        <v>30730</v>
      </c>
      <c r="B14803" s="3" t="s">
        <v>12587</v>
      </c>
      <c r="C14803" s="5" t="s">
        <v>206</v>
      </c>
      <c r="D14803" s="3" t="s">
        <v>68</v>
      </c>
      <c r="E14803" s="3" t="s">
        <v>100</v>
      </c>
      <c r="F14803" s="7">
        <v>46033.486850688496</v>
      </c>
      <c r="G14803" s="3" t="s">
        <v>6405</v>
      </c>
    </row>
    <row r="14804">
      <c r="A14804" s="3" t="s">
        <v>30731</v>
      </c>
      <c r="B14804" s="3" t="s">
        <v>12590</v>
      </c>
      <c r="C14804" s="5" t="s">
        <v>45</v>
      </c>
      <c r="D14804" s="3" t="s">
        <v>221</v>
      </c>
      <c r="E14804" s="3" t="s">
        <v>908</v>
      </c>
      <c r="F14804" s="7">
        <v>46033.54760886725</v>
      </c>
      <c r="G14804" s="3" t="s">
        <v>3857</v>
      </c>
    </row>
    <row r="14805">
      <c r="A14805" s="3" t="s">
        <v>30732</v>
      </c>
      <c r="B14805" s="3" t="s">
        <v>12590</v>
      </c>
      <c r="C14805" s="5" t="s">
        <v>221</v>
      </c>
      <c r="D14805" s="3" t="s">
        <v>614</v>
      </c>
      <c r="E14805" s="3" t="s">
        <v>118</v>
      </c>
      <c r="F14805" s="7">
        <v>46033.55108108947</v>
      </c>
      <c r="G14805" s="3" t="s">
        <v>3860</v>
      </c>
    </row>
    <row r="14806">
      <c r="A14806" s="3" t="s">
        <v>30733</v>
      </c>
      <c r="B14806" s="3" t="s">
        <v>12590</v>
      </c>
      <c r="C14806" s="5" t="s">
        <v>614</v>
      </c>
      <c r="D14806" s="3" t="s">
        <v>206</v>
      </c>
      <c r="E14806" s="3" t="s">
        <v>100</v>
      </c>
      <c r="F14806" s="7">
        <v>46033.5545533117</v>
      </c>
      <c r="G14806" s="3" t="s">
        <v>3863</v>
      </c>
    </row>
    <row r="14807">
      <c r="A14807" s="3" t="s">
        <v>30734</v>
      </c>
      <c r="B14807" s="3" t="s">
        <v>12590</v>
      </c>
      <c r="C14807" s="5" t="s">
        <v>206</v>
      </c>
      <c r="D14807" s="3" t="s">
        <v>68</v>
      </c>
      <c r="E14807" s="3" t="s">
        <v>100</v>
      </c>
      <c r="F14807" s="7">
        <v>46033.558025533915</v>
      </c>
      <c r="G14807" s="3" t="s">
        <v>3865</v>
      </c>
    </row>
    <row r="14808">
      <c r="A14808" s="3" t="s">
        <v>30735</v>
      </c>
      <c r="B14808" s="3" t="s">
        <v>12593</v>
      </c>
      <c r="C14808" s="5" t="s">
        <v>45</v>
      </c>
      <c r="D14808" s="3" t="s">
        <v>221</v>
      </c>
      <c r="E14808" s="3" t="s">
        <v>640</v>
      </c>
      <c r="F14808" s="7">
        <v>46033.61878371267</v>
      </c>
      <c r="G14808" s="3" t="s">
        <v>3868</v>
      </c>
    </row>
    <row r="14809">
      <c r="A14809" s="3" t="s">
        <v>30736</v>
      </c>
      <c r="B14809" s="3" t="s">
        <v>12593</v>
      </c>
      <c r="C14809" s="5" t="s">
        <v>221</v>
      </c>
      <c r="D14809" s="3" t="s">
        <v>614</v>
      </c>
      <c r="E14809" s="3" t="s">
        <v>118</v>
      </c>
      <c r="F14809" s="7">
        <v>46033.62225593489</v>
      </c>
      <c r="G14809" s="3" t="s">
        <v>3871</v>
      </c>
    </row>
    <row r="14810">
      <c r="A14810" s="3" t="s">
        <v>30737</v>
      </c>
      <c r="B14810" s="3" t="s">
        <v>12593</v>
      </c>
      <c r="C14810" s="5" t="s">
        <v>614</v>
      </c>
      <c r="D14810" s="3" t="s">
        <v>206</v>
      </c>
      <c r="E14810" s="3" t="s">
        <v>100</v>
      </c>
      <c r="F14810" s="7">
        <v>46033.625728157116</v>
      </c>
      <c r="G14810" s="3" t="s">
        <v>3874</v>
      </c>
    </row>
    <row r="14811">
      <c r="A14811" s="3" t="s">
        <v>30738</v>
      </c>
      <c r="B14811" s="3" t="s">
        <v>12593</v>
      </c>
      <c r="C14811" s="5" t="s">
        <v>206</v>
      </c>
      <c r="D14811" s="3" t="s">
        <v>68</v>
      </c>
      <c r="E14811" s="3" t="s">
        <v>100</v>
      </c>
      <c r="F14811" s="7">
        <v>46033.629200379335</v>
      </c>
      <c r="G14811" s="3" t="s">
        <v>3877</v>
      </c>
    </row>
    <row r="14812">
      <c r="A14812" s="3" t="s">
        <v>30739</v>
      </c>
      <c r="B14812" s="3" t="s">
        <v>12597</v>
      </c>
      <c r="C14812" s="5" t="s">
        <v>45</v>
      </c>
      <c r="D14812" s="3" t="s">
        <v>221</v>
      </c>
      <c r="E14812" s="3" t="s">
        <v>219</v>
      </c>
      <c r="F14812" s="7">
        <v>46033.68995855808</v>
      </c>
      <c r="G14812" s="3" t="s">
        <v>2770</v>
      </c>
    </row>
    <row r="14813">
      <c r="A14813" s="3" t="s">
        <v>30740</v>
      </c>
      <c r="B14813" s="3" t="s">
        <v>12597</v>
      </c>
      <c r="C14813" s="5" t="s">
        <v>221</v>
      </c>
      <c r="D14813" s="3" t="s">
        <v>195</v>
      </c>
      <c r="E14813" s="3" t="s">
        <v>219</v>
      </c>
      <c r="F14813" s="7">
        <v>46033.6934307803</v>
      </c>
      <c r="G14813" s="3" t="s">
        <v>3055</v>
      </c>
    </row>
    <row r="14814">
      <c r="A14814" s="3" t="s">
        <v>30741</v>
      </c>
      <c r="B14814" s="3" t="s">
        <v>12600</v>
      </c>
      <c r="C14814" s="5" t="s">
        <v>45</v>
      </c>
      <c r="D14814" s="3" t="s">
        <v>221</v>
      </c>
      <c r="E14814" s="3" t="s">
        <v>998</v>
      </c>
      <c r="F14814" s="7">
        <v>46033.761133403495</v>
      </c>
      <c r="G14814" s="3" t="s">
        <v>9943</v>
      </c>
    </row>
    <row r="14815">
      <c r="A14815" s="3" t="s">
        <v>30742</v>
      </c>
      <c r="B14815" s="3" t="s">
        <v>12600</v>
      </c>
      <c r="C14815" s="5" t="s">
        <v>221</v>
      </c>
      <c r="D14815" s="3" t="s">
        <v>614</v>
      </c>
      <c r="E14815" s="3" t="s">
        <v>118</v>
      </c>
      <c r="F14815" s="7">
        <v>46033.764605625714</v>
      </c>
      <c r="G14815" s="3" t="s">
        <v>9946</v>
      </c>
    </row>
    <row r="14816">
      <c r="A14816" s="3" t="s">
        <v>30743</v>
      </c>
      <c r="B14816" s="3" t="s">
        <v>12600</v>
      </c>
      <c r="C14816" s="5" t="s">
        <v>614</v>
      </c>
      <c r="D14816" s="3" t="s">
        <v>206</v>
      </c>
      <c r="E14816" s="3" t="s">
        <v>100</v>
      </c>
      <c r="F14816" s="7">
        <v>46033.76807784794</v>
      </c>
      <c r="G14816" s="3" t="s">
        <v>9949</v>
      </c>
    </row>
    <row r="14817">
      <c r="A14817" s="3" t="s">
        <v>30744</v>
      </c>
      <c r="B14817" s="3" t="s">
        <v>12600</v>
      </c>
      <c r="C14817" s="5" t="s">
        <v>206</v>
      </c>
      <c r="D14817" s="3" t="s">
        <v>68</v>
      </c>
      <c r="E14817" s="3" t="s">
        <v>100</v>
      </c>
      <c r="F14817" s="7">
        <v>46033.77155007016</v>
      </c>
      <c r="G14817" s="3" t="s">
        <v>9953</v>
      </c>
    </row>
    <row r="14818">
      <c r="A14818" s="3" t="s">
        <v>30745</v>
      </c>
      <c r="B14818" s="3" t="s">
        <v>12603</v>
      </c>
      <c r="C14818" s="5" t="s">
        <v>45</v>
      </c>
      <c r="D14818" s="3" t="s">
        <v>221</v>
      </c>
      <c r="E14818" s="3" t="s">
        <v>316</v>
      </c>
      <c r="F14818" s="7">
        <v>46033.832308248915</v>
      </c>
      <c r="G14818" s="3" t="s">
        <v>3888</v>
      </c>
    </row>
    <row r="14819">
      <c r="A14819" s="3" t="s">
        <v>30746</v>
      </c>
      <c r="B14819" s="3" t="s">
        <v>12603</v>
      </c>
      <c r="C14819" s="5" t="s">
        <v>221</v>
      </c>
      <c r="D14819" s="3" t="s">
        <v>614</v>
      </c>
      <c r="E14819" s="3" t="s">
        <v>118</v>
      </c>
      <c r="F14819" s="7">
        <v>46033.835780471134</v>
      </c>
      <c r="G14819" s="3" t="s">
        <v>3890</v>
      </c>
    </row>
    <row r="14820">
      <c r="A14820" s="3" t="s">
        <v>30747</v>
      </c>
      <c r="B14820" s="3" t="s">
        <v>12603</v>
      </c>
      <c r="C14820" s="5" t="s">
        <v>614</v>
      </c>
      <c r="D14820" s="3" t="s">
        <v>206</v>
      </c>
      <c r="E14820" s="3" t="s">
        <v>100</v>
      </c>
      <c r="F14820" s="7">
        <v>46033.83925269336</v>
      </c>
      <c r="G14820" s="3" t="s">
        <v>3893</v>
      </c>
    </row>
    <row r="14821">
      <c r="A14821" s="3" t="s">
        <v>30748</v>
      </c>
      <c r="B14821" s="3" t="s">
        <v>12603</v>
      </c>
      <c r="C14821" s="5" t="s">
        <v>206</v>
      </c>
      <c r="D14821" s="3" t="s">
        <v>68</v>
      </c>
      <c r="E14821" s="3" t="s">
        <v>100</v>
      </c>
      <c r="F14821" s="7">
        <v>46033.84272491558</v>
      </c>
      <c r="G14821" s="3" t="s">
        <v>3896</v>
      </c>
    </row>
    <row r="14822">
      <c r="A14822" s="3" t="s">
        <v>30749</v>
      </c>
      <c r="B14822" s="3" t="s">
        <v>12606</v>
      </c>
      <c r="C14822" s="5" t="s">
        <v>45</v>
      </c>
      <c r="D14822" s="3" t="s">
        <v>221</v>
      </c>
      <c r="E14822" s="3" t="s">
        <v>336</v>
      </c>
      <c r="F14822" s="7">
        <v>46033.90348309433</v>
      </c>
      <c r="G14822" s="3" t="s">
        <v>3934</v>
      </c>
    </row>
    <row r="14823">
      <c r="A14823" s="3" t="s">
        <v>30750</v>
      </c>
      <c r="B14823" s="3" t="s">
        <v>12606</v>
      </c>
      <c r="C14823" s="5" t="s">
        <v>221</v>
      </c>
      <c r="D14823" s="3" t="s">
        <v>614</v>
      </c>
      <c r="E14823" s="3" t="s">
        <v>118</v>
      </c>
      <c r="F14823" s="7">
        <v>46033.90695531655</v>
      </c>
      <c r="G14823" s="3" t="s">
        <v>3937</v>
      </c>
    </row>
    <row r="14824">
      <c r="A14824" s="3" t="s">
        <v>30751</v>
      </c>
      <c r="B14824" s="3" t="s">
        <v>12606</v>
      </c>
      <c r="C14824" s="5" t="s">
        <v>614</v>
      </c>
      <c r="D14824" s="3" t="s">
        <v>206</v>
      </c>
      <c r="E14824" s="3" t="s">
        <v>100</v>
      </c>
      <c r="F14824" s="7">
        <v>46033.91042753877</v>
      </c>
      <c r="G14824" s="3" t="s">
        <v>3940</v>
      </c>
    </row>
    <row r="14825">
      <c r="A14825" s="3" t="s">
        <v>30752</v>
      </c>
      <c r="B14825" s="3" t="s">
        <v>12606</v>
      </c>
      <c r="C14825" s="5" t="s">
        <v>206</v>
      </c>
      <c r="D14825" s="3" t="s">
        <v>68</v>
      </c>
      <c r="E14825" s="3" t="s">
        <v>100</v>
      </c>
      <c r="F14825" s="7">
        <v>46033.91389976099</v>
      </c>
      <c r="G14825" s="3" t="s">
        <v>3942</v>
      </c>
    </row>
    <row r="14826">
      <c r="A14826" s="3" t="s">
        <v>30753</v>
      </c>
      <c r="B14826" s="3" t="s">
        <v>12611</v>
      </c>
      <c r="C14826" s="5" t="s">
        <v>45</v>
      </c>
      <c r="D14826" s="3" t="s">
        <v>221</v>
      </c>
      <c r="E14826" s="3" t="s">
        <v>1021</v>
      </c>
      <c r="F14826" s="7">
        <v>46033.97465793974</v>
      </c>
      <c r="G14826" s="3" t="s">
        <v>14701</v>
      </c>
    </row>
    <row r="14827">
      <c r="A14827" s="3" t="s">
        <v>30754</v>
      </c>
      <c r="B14827" s="3" t="s">
        <v>12611</v>
      </c>
      <c r="C14827" s="5" t="s">
        <v>221</v>
      </c>
      <c r="D14827" s="3" t="s">
        <v>181</v>
      </c>
      <c r="E14827" s="3" t="s">
        <v>118</v>
      </c>
      <c r="F14827" s="7">
        <v>46033.97813016196</v>
      </c>
      <c r="G14827" s="3" t="s">
        <v>30755</v>
      </c>
    </row>
    <row r="14828">
      <c r="A14828" s="3" t="s">
        <v>30756</v>
      </c>
      <c r="B14828" s="3" t="s">
        <v>12614</v>
      </c>
      <c r="C14828" s="5" t="s">
        <v>45</v>
      </c>
      <c r="D14828" s="3" t="s">
        <v>221</v>
      </c>
      <c r="E14828" s="3" t="s">
        <v>319</v>
      </c>
      <c r="F14828" s="7">
        <v>46034.04583278516</v>
      </c>
      <c r="G14828" s="3" t="s">
        <v>5848</v>
      </c>
    </row>
    <row r="14829">
      <c r="A14829" s="3" t="s">
        <v>30757</v>
      </c>
      <c r="B14829" s="3" t="s">
        <v>12614</v>
      </c>
      <c r="C14829" s="5" t="s">
        <v>221</v>
      </c>
      <c r="D14829" s="3" t="s">
        <v>614</v>
      </c>
      <c r="E14829" s="3" t="s">
        <v>118</v>
      </c>
      <c r="F14829" s="7">
        <v>46034.04930500738</v>
      </c>
      <c r="G14829" s="3" t="s">
        <v>5851</v>
      </c>
    </row>
    <row r="14830">
      <c r="A14830" s="3" t="s">
        <v>30758</v>
      </c>
      <c r="B14830" s="3" t="s">
        <v>12614</v>
      </c>
      <c r="C14830" s="5" t="s">
        <v>614</v>
      </c>
      <c r="D14830" s="3" t="s">
        <v>206</v>
      </c>
      <c r="E14830" s="3" t="s">
        <v>100</v>
      </c>
      <c r="F14830" s="7">
        <v>46034.052777229605</v>
      </c>
      <c r="G14830" s="3" t="s">
        <v>5854</v>
      </c>
    </row>
    <row r="14831">
      <c r="A14831" s="3" t="s">
        <v>30759</v>
      </c>
      <c r="B14831" s="3" t="s">
        <v>12614</v>
      </c>
      <c r="C14831" s="5" t="s">
        <v>206</v>
      </c>
      <c r="D14831" s="3" t="s">
        <v>68</v>
      </c>
      <c r="E14831" s="3" t="s">
        <v>100</v>
      </c>
      <c r="F14831" s="7">
        <v>46034.05624945182</v>
      </c>
      <c r="G14831" s="3" t="s">
        <v>5857</v>
      </c>
    </row>
    <row r="14832">
      <c r="A14832" s="3" t="s">
        <v>30760</v>
      </c>
      <c r="B14832" s="3" t="s">
        <v>12615</v>
      </c>
      <c r="C14832" s="5" t="s">
        <v>45</v>
      </c>
      <c r="D14832" s="3" t="s">
        <v>221</v>
      </c>
      <c r="E14832" s="3" t="s">
        <v>256</v>
      </c>
      <c r="F14832" s="7">
        <v>46034.11700763057</v>
      </c>
      <c r="G14832" s="3" t="s">
        <v>6109</v>
      </c>
    </row>
    <row r="14833">
      <c r="A14833" s="3" t="s">
        <v>30761</v>
      </c>
      <c r="B14833" s="3" t="s">
        <v>12615</v>
      </c>
      <c r="C14833" s="5" t="s">
        <v>221</v>
      </c>
      <c r="D14833" s="3" t="s">
        <v>614</v>
      </c>
      <c r="E14833" s="3" t="s">
        <v>118</v>
      </c>
      <c r="F14833" s="7">
        <v>46034.12047985279</v>
      </c>
      <c r="G14833" s="3" t="s">
        <v>6113</v>
      </c>
    </row>
    <row r="14834">
      <c r="A14834" s="3" t="s">
        <v>30762</v>
      </c>
      <c r="B14834" s="3" t="s">
        <v>12615</v>
      </c>
      <c r="C14834" s="5" t="s">
        <v>614</v>
      </c>
      <c r="D14834" s="3" t="s">
        <v>206</v>
      </c>
      <c r="E14834" s="3" t="s">
        <v>100</v>
      </c>
      <c r="F14834" s="7">
        <v>46034.12395207502</v>
      </c>
      <c r="G14834" s="3" t="s">
        <v>6116</v>
      </c>
    </row>
    <row r="14835">
      <c r="A14835" s="3" t="s">
        <v>30763</v>
      </c>
      <c r="B14835" s="3" t="s">
        <v>12615</v>
      </c>
      <c r="C14835" s="5" t="s">
        <v>206</v>
      </c>
      <c r="D14835" s="3" t="s">
        <v>68</v>
      </c>
      <c r="E14835" s="3" t="s">
        <v>100</v>
      </c>
      <c r="F14835" s="7">
        <v>46034.127424297236</v>
      </c>
      <c r="G14835" s="3" t="s">
        <v>6120</v>
      </c>
    </row>
    <row r="14836">
      <c r="A14836" s="3" t="s">
        <v>30764</v>
      </c>
      <c r="B14836" s="3" t="s">
        <v>12620</v>
      </c>
      <c r="C14836" s="5" t="s">
        <v>45</v>
      </c>
      <c r="D14836" s="3" t="s">
        <v>221</v>
      </c>
      <c r="E14836" s="3" t="s">
        <v>581</v>
      </c>
      <c r="F14836" s="7">
        <v>46034.188182475984</v>
      </c>
      <c r="G14836" s="3" t="s">
        <v>3945</v>
      </c>
    </row>
    <row r="14837">
      <c r="A14837" s="3" t="s">
        <v>30765</v>
      </c>
      <c r="B14837" s="3" t="s">
        <v>12620</v>
      </c>
      <c r="C14837" s="5" t="s">
        <v>221</v>
      </c>
      <c r="D14837" s="3" t="s">
        <v>614</v>
      </c>
      <c r="E14837" s="3" t="s">
        <v>118</v>
      </c>
      <c r="F14837" s="7">
        <v>46034.1916546982</v>
      </c>
      <c r="G14837" s="3" t="s">
        <v>3948</v>
      </c>
    </row>
    <row r="14838">
      <c r="A14838" s="3" t="s">
        <v>30766</v>
      </c>
      <c r="B14838" s="3" t="s">
        <v>12620</v>
      </c>
      <c r="C14838" s="5" t="s">
        <v>614</v>
      </c>
      <c r="D14838" s="3" t="s">
        <v>206</v>
      </c>
      <c r="E14838" s="3" t="s">
        <v>100</v>
      </c>
      <c r="F14838" s="7">
        <v>46034.19512692043</v>
      </c>
      <c r="G14838" s="3" t="s">
        <v>3951</v>
      </c>
    </row>
    <row r="14839">
      <c r="A14839" s="3" t="s">
        <v>30767</v>
      </c>
      <c r="B14839" s="3" t="s">
        <v>12620</v>
      </c>
      <c r="C14839" s="5" t="s">
        <v>206</v>
      </c>
      <c r="D14839" s="3" t="s">
        <v>68</v>
      </c>
      <c r="E14839" s="3" t="s">
        <v>100</v>
      </c>
      <c r="F14839" s="7">
        <v>46034.19859914265</v>
      </c>
      <c r="G14839" s="3" t="s">
        <v>3953</v>
      </c>
    </row>
    <row r="14840">
      <c r="A14840" s="3" t="s">
        <v>30768</v>
      </c>
      <c r="B14840" s="3" t="s">
        <v>12622</v>
      </c>
      <c r="C14840" s="5" t="s">
        <v>45</v>
      </c>
      <c r="D14840" s="3" t="s">
        <v>221</v>
      </c>
      <c r="E14840" s="3" t="s">
        <v>916</v>
      </c>
      <c r="F14840" s="7">
        <v>46034.2593573214</v>
      </c>
      <c r="G14840" s="3" t="s">
        <v>8332</v>
      </c>
    </row>
    <row r="14841">
      <c r="A14841" s="3" t="s">
        <v>30769</v>
      </c>
      <c r="B14841" s="3" t="s">
        <v>12622</v>
      </c>
      <c r="C14841" s="5" t="s">
        <v>221</v>
      </c>
      <c r="D14841" s="3" t="s">
        <v>614</v>
      </c>
      <c r="E14841" s="3" t="s">
        <v>118</v>
      </c>
      <c r="F14841" s="7">
        <v>46034.26282954362</v>
      </c>
      <c r="G14841" s="3" t="s">
        <v>8335</v>
      </c>
    </row>
    <row r="14842">
      <c r="A14842" s="3" t="s">
        <v>30770</v>
      </c>
      <c r="B14842" s="3" t="s">
        <v>12622</v>
      </c>
      <c r="C14842" s="5" t="s">
        <v>614</v>
      </c>
      <c r="D14842" s="3" t="s">
        <v>206</v>
      </c>
      <c r="E14842" s="3" t="s">
        <v>100</v>
      </c>
      <c r="F14842" s="7">
        <v>46034.26630176585</v>
      </c>
      <c r="G14842" s="3" t="s">
        <v>8338</v>
      </c>
    </row>
    <row r="14843">
      <c r="A14843" s="3" t="s">
        <v>30771</v>
      </c>
      <c r="B14843" s="3" t="s">
        <v>12622</v>
      </c>
      <c r="C14843" s="5" t="s">
        <v>206</v>
      </c>
      <c r="D14843" s="3" t="s">
        <v>68</v>
      </c>
      <c r="E14843" s="3" t="s">
        <v>100</v>
      </c>
      <c r="F14843" s="7">
        <v>46034.26977398807</v>
      </c>
      <c r="G14843" s="3" t="s">
        <v>8341</v>
      </c>
    </row>
    <row r="14844">
      <c r="A14844" s="3" t="s">
        <v>30772</v>
      </c>
      <c r="B14844" s="3" t="s">
        <v>12623</v>
      </c>
      <c r="C14844" s="5" t="s">
        <v>45</v>
      </c>
      <c r="D14844" s="3" t="s">
        <v>221</v>
      </c>
      <c r="E14844" s="3" t="s">
        <v>436</v>
      </c>
      <c r="F14844" s="7">
        <v>46034.33053216682</v>
      </c>
      <c r="G14844" s="3" t="s">
        <v>7732</v>
      </c>
    </row>
    <row r="14845">
      <c r="A14845" s="3" t="s">
        <v>30773</v>
      </c>
      <c r="B14845" s="3" t="s">
        <v>12623</v>
      </c>
      <c r="C14845" s="5" t="s">
        <v>221</v>
      </c>
      <c r="D14845" s="3" t="s">
        <v>614</v>
      </c>
      <c r="E14845" s="3" t="s">
        <v>118</v>
      </c>
      <c r="F14845" s="7">
        <v>46034.33400438904</v>
      </c>
      <c r="G14845" s="3" t="s">
        <v>7735</v>
      </c>
    </row>
    <row r="14846">
      <c r="A14846" s="3" t="s">
        <v>30774</v>
      </c>
      <c r="B14846" s="3" t="s">
        <v>12623</v>
      </c>
      <c r="C14846" s="5" t="s">
        <v>614</v>
      </c>
      <c r="D14846" s="3" t="s">
        <v>206</v>
      </c>
      <c r="E14846" s="3" t="s">
        <v>100</v>
      </c>
      <c r="F14846" s="7">
        <v>46034.33747661127</v>
      </c>
      <c r="G14846" s="3" t="s">
        <v>7738</v>
      </c>
    </row>
    <row r="14847">
      <c r="A14847" s="3" t="s">
        <v>30775</v>
      </c>
      <c r="B14847" s="3" t="s">
        <v>12623</v>
      </c>
      <c r="C14847" s="5" t="s">
        <v>206</v>
      </c>
      <c r="D14847" s="3" t="s">
        <v>68</v>
      </c>
      <c r="E14847" s="3" t="s">
        <v>100</v>
      </c>
      <c r="F14847" s="7">
        <v>46034.34094883349</v>
      </c>
      <c r="G14847" s="3" t="s">
        <v>7741</v>
      </c>
    </row>
    <row r="14848">
      <c r="A14848" s="3" t="s">
        <v>30776</v>
      </c>
      <c r="B14848" s="3" t="s">
        <v>12625</v>
      </c>
      <c r="C14848" s="5" t="s">
        <v>45</v>
      </c>
      <c r="D14848" s="3" t="s">
        <v>221</v>
      </c>
      <c r="E14848" s="3" t="s">
        <v>998</v>
      </c>
      <c r="F14848" s="7">
        <v>46034.40170701223</v>
      </c>
      <c r="G14848" s="3" t="s">
        <v>3960</v>
      </c>
    </row>
    <row r="14849">
      <c r="A14849" s="3" t="s">
        <v>30777</v>
      </c>
      <c r="B14849" s="3" t="s">
        <v>12625</v>
      </c>
      <c r="C14849" s="5" t="s">
        <v>221</v>
      </c>
      <c r="D14849" s="3" t="s">
        <v>614</v>
      </c>
      <c r="E14849" s="3" t="s">
        <v>118</v>
      </c>
      <c r="F14849" s="7">
        <v>46034.40517923445</v>
      </c>
      <c r="G14849" s="3" t="s">
        <v>3963</v>
      </c>
    </row>
    <row r="14850">
      <c r="A14850" s="3" t="s">
        <v>30778</v>
      </c>
      <c r="B14850" s="3" t="s">
        <v>12625</v>
      </c>
      <c r="C14850" s="5" t="s">
        <v>614</v>
      </c>
      <c r="D14850" s="3" t="s">
        <v>206</v>
      </c>
      <c r="E14850" s="3" t="s">
        <v>100</v>
      </c>
      <c r="F14850" s="7">
        <v>46034.40865145667</v>
      </c>
      <c r="G14850" s="3" t="s">
        <v>3966</v>
      </c>
    </row>
    <row r="14851">
      <c r="A14851" s="3" t="s">
        <v>30779</v>
      </c>
      <c r="B14851" s="3" t="s">
        <v>12625</v>
      </c>
      <c r="C14851" s="5" t="s">
        <v>206</v>
      </c>
      <c r="D14851" s="3" t="s">
        <v>68</v>
      </c>
      <c r="E14851" s="3" t="s">
        <v>100</v>
      </c>
      <c r="F14851" s="7">
        <v>46034.41212367889</v>
      </c>
      <c r="G14851" s="3" t="s">
        <v>3969</v>
      </c>
    </row>
    <row r="14852">
      <c r="A14852" s="3" t="s">
        <v>30780</v>
      </c>
      <c r="B14852" s="3" t="s">
        <v>12627</v>
      </c>
      <c r="C14852" s="5" t="s">
        <v>45</v>
      </c>
      <c r="D14852" s="3" t="s">
        <v>221</v>
      </c>
      <c r="E14852" s="3" t="s">
        <v>785</v>
      </c>
      <c r="F14852" s="7">
        <v>46034.47288185765</v>
      </c>
      <c r="G14852" s="3" t="s">
        <v>5961</v>
      </c>
    </row>
    <row r="14853">
      <c r="A14853" s="3" t="s">
        <v>30781</v>
      </c>
      <c r="B14853" s="3" t="s">
        <v>12627</v>
      </c>
      <c r="C14853" s="5" t="s">
        <v>221</v>
      </c>
      <c r="D14853" s="3" t="s">
        <v>614</v>
      </c>
      <c r="E14853" s="3" t="s">
        <v>118</v>
      </c>
      <c r="F14853" s="7">
        <v>46034.47635407987</v>
      </c>
      <c r="G14853" s="3" t="s">
        <v>5964</v>
      </c>
    </row>
    <row r="14854">
      <c r="A14854" s="3" t="s">
        <v>30782</v>
      </c>
      <c r="B14854" s="3" t="s">
        <v>12627</v>
      </c>
      <c r="C14854" s="5" t="s">
        <v>614</v>
      </c>
      <c r="D14854" s="3" t="s">
        <v>206</v>
      </c>
      <c r="E14854" s="3" t="s">
        <v>100</v>
      </c>
      <c r="F14854" s="7">
        <v>46034.47982630209</v>
      </c>
      <c r="G14854" s="3" t="s">
        <v>5967</v>
      </c>
    </row>
    <row r="14855">
      <c r="A14855" s="3" t="s">
        <v>30783</v>
      </c>
      <c r="B14855" s="3" t="s">
        <v>12627</v>
      </c>
      <c r="C14855" s="5" t="s">
        <v>206</v>
      </c>
      <c r="D14855" s="3" t="s">
        <v>68</v>
      </c>
      <c r="E14855" s="3" t="s">
        <v>100</v>
      </c>
      <c r="F14855" s="7">
        <v>46034.48329852431</v>
      </c>
      <c r="G14855" s="3" t="s">
        <v>5970</v>
      </c>
    </row>
    <row r="14856">
      <c r="A14856" s="3" t="s">
        <v>30784</v>
      </c>
      <c r="B14856" s="3" t="s">
        <v>12629</v>
      </c>
      <c r="C14856" s="5" t="s">
        <v>45</v>
      </c>
      <c r="D14856" s="3" t="s">
        <v>221</v>
      </c>
      <c r="E14856" s="3" t="s">
        <v>1026</v>
      </c>
      <c r="F14856" s="7">
        <v>46034.54405670307</v>
      </c>
      <c r="G14856" s="3" t="s">
        <v>20847</v>
      </c>
    </row>
    <row r="14857">
      <c r="A14857" s="3" t="s">
        <v>30785</v>
      </c>
      <c r="B14857" s="3" t="s">
        <v>12629</v>
      </c>
      <c r="C14857" s="5" t="s">
        <v>221</v>
      </c>
      <c r="D14857" s="3" t="s">
        <v>614</v>
      </c>
      <c r="E14857" s="3" t="s">
        <v>118</v>
      </c>
      <c r="F14857" s="7">
        <v>46034.547528925286</v>
      </c>
      <c r="G14857" s="3" t="s">
        <v>20850</v>
      </c>
    </row>
    <row r="14858">
      <c r="A14858" s="3" t="s">
        <v>30786</v>
      </c>
      <c r="B14858" s="3" t="s">
        <v>12629</v>
      </c>
      <c r="C14858" s="5" t="s">
        <v>614</v>
      </c>
      <c r="D14858" s="3" t="s">
        <v>206</v>
      </c>
      <c r="E14858" s="3" t="s">
        <v>100</v>
      </c>
      <c r="F14858" s="7">
        <v>46034.55100114751</v>
      </c>
      <c r="G14858" s="3" t="s">
        <v>20853</v>
      </c>
    </row>
    <row r="14859">
      <c r="A14859" s="3" t="s">
        <v>30787</v>
      </c>
      <c r="B14859" s="3" t="s">
        <v>12629</v>
      </c>
      <c r="C14859" s="5" t="s">
        <v>206</v>
      </c>
      <c r="D14859" s="3" t="s">
        <v>68</v>
      </c>
      <c r="E14859" s="3" t="s">
        <v>100</v>
      </c>
      <c r="F14859" s="7">
        <v>46034.55447336973</v>
      </c>
      <c r="G14859" s="3" t="s">
        <v>20856</v>
      </c>
    </row>
    <row r="14860">
      <c r="A14860" s="3" t="s">
        <v>30788</v>
      </c>
      <c r="B14860" s="3" t="s">
        <v>12631</v>
      </c>
      <c r="C14860" s="5" t="s">
        <v>45</v>
      </c>
      <c r="D14860" s="3" t="s">
        <v>221</v>
      </c>
      <c r="E14860" s="3" t="s">
        <v>519</v>
      </c>
      <c r="F14860" s="7">
        <v>46034.61523154848</v>
      </c>
      <c r="G14860" s="3" t="s">
        <v>7117</v>
      </c>
    </row>
    <row r="14861">
      <c r="A14861" s="3" t="s">
        <v>30789</v>
      </c>
      <c r="B14861" s="3" t="s">
        <v>12631</v>
      </c>
      <c r="C14861" s="5" t="s">
        <v>221</v>
      </c>
      <c r="D14861" s="3" t="s">
        <v>614</v>
      </c>
      <c r="E14861" s="3" t="s">
        <v>118</v>
      </c>
      <c r="F14861" s="7">
        <v>46034.6187037707</v>
      </c>
      <c r="G14861" s="3" t="s">
        <v>7120</v>
      </c>
    </row>
    <row r="14862">
      <c r="A14862" s="3" t="s">
        <v>30790</v>
      </c>
      <c r="B14862" s="3" t="s">
        <v>12631</v>
      </c>
      <c r="C14862" s="5" t="s">
        <v>614</v>
      </c>
      <c r="D14862" s="3" t="s">
        <v>206</v>
      </c>
      <c r="E14862" s="3" t="s">
        <v>100</v>
      </c>
      <c r="F14862" s="7">
        <v>46034.622175992925</v>
      </c>
      <c r="G14862" s="3" t="s">
        <v>7123</v>
      </c>
    </row>
    <row r="14863">
      <c r="A14863" s="3" t="s">
        <v>30791</v>
      </c>
      <c r="B14863" s="3" t="s">
        <v>12631</v>
      </c>
      <c r="C14863" s="5" t="s">
        <v>206</v>
      </c>
      <c r="D14863" s="3" t="s">
        <v>68</v>
      </c>
      <c r="E14863" s="3" t="s">
        <v>100</v>
      </c>
      <c r="F14863" s="7">
        <v>46034.625648215144</v>
      </c>
      <c r="G14863" s="3" t="s">
        <v>7126</v>
      </c>
    </row>
    <row r="14864">
      <c r="A14864" s="3" t="s">
        <v>30792</v>
      </c>
      <c r="B14864" s="3" t="s">
        <v>12633</v>
      </c>
      <c r="C14864" s="5" t="s">
        <v>45</v>
      </c>
      <c r="D14864" s="3" t="s">
        <v>221</v>
      </c>
      <c r="E14864" s="3" t="s">
        <v>348</v>
      </c>
      <c r="F14864" s="7">
        <v>46034.68640639389</v>
      </c>
      <c r="G14864" s="3" t="s">
        <v>2770</v>
      </c>
    </row>
    <row r="14865">
      <c r="A14865" s="3" t="s">
        <v>30793</v>
      </c>
      <c r="B14865" s="3" t="s">
        <v>12633</v>
      </c>
      <c r="C14865" s="5" t="s">
        <v>221</v>
      </c>
      <c r="D14865" s="3" t="s">
        <v>195</v>
      </c>
      <c r="E14865" s="3" t="s">
        <v>348</v>
      </c>
      <c r="F14865" s="7">
        <v>46034.68987861611</v>
      </c>
      <c r="G14865" s="3" t="s">
        <v>3055</v>
      </c>
    </row>
    <row r="14866">
      <c r="A14866" s="3" t="s">
        <v>30794</v>
      </c>
      <c r="B14866" s="3" t="s">
        <v>12636</v>
      </c>
      <c r="C14866" s="5" t="s">
        <v>45</v>
      </c>
      <c r="D14866" s="3" t="s">
        <v>221</v>
      </c>
      <c r="E14866" s="3" t="s">
        <v>1043</v>
      </c>
      <c r="F14866" s="7">
        <v>46034.75758123931</v>
      </c>
      <c r="G14866" s="3" t="s">
        <v>30795</v>
      </c>
    </row>
    <row r="14867">
      <c r="A14867" s="3" t="s">
        <v>30796</v>
      </c>
      <c r="B14867" s="3" t="s">
        <v>12636</v>
      </c>
      <c r="C14867" s="5" t="s">
        <v>221</v>
      </c>
      <c r="D14867" s="3" t="s">
        <v>614</v>
      </c>
      <c r="E14867" s="3" t="s">
        <v>118</v>
      </c>
      <c r="F14867" s="7">
        <v>46034.76105346153</v>
      </c>
      <c r="G14867" s="3" t="s">
        <v>30797</v>
      </c>
    </row>
    <row r="14868">
      <c r="A14868" s="3" t="s">
        <v>30798</v>
      </c>
      <c r="B14868" s="3" t="s">
        <v>12636</v>
      </c>
      <c r="C14868" s="5" t="s">
        <v>614</v>
      </c>
      <c r="D14868" s="3" t="s">
        <v>206</v>
      </c>
      <c r="E14868" s="3" t="s">
        <v>100</v>
      </c>
      <c r="F14868" s="7">
        <v>46034.76452568376</v>
      </c>
      <c r="G14868" s="3" t="s">
        <v>30799</v>
      </c>
    </row>
    <row r="14869">
      <c r="A14869" s="3" t="s">
        <v>30800</v>
      </c>
      <c r="B14869" s="3" t="s">
        <v>12636</v>
      </c>
      <c r="C14869" s="5" t="s">
        <v>206</v>
      </c>
      <c r="D14869" s="3" t="s">
        <v>68</v>
      </c>
      <c r="E14869" s="3" t="s">
        <v>100</v>
      </c>
      <c r="F14869" s="7">
        <v>46034.767997905976</v>
      </c>
      <c r="G14869" s="3" t="s">
        <v>30801</v>
      </c>
    </row>
    <row r="14870">
      <c r="A14870" s="3" t="s">
        <v>30802</v>
      </c>
      <c r="B14870" s="3" t="s">
        <v>12639</v>
      </c>
      <c r="C14870" s="5" t="s">
        <v>45</v>
      </c>
      <c r="D14870" s="3" t="s">
        <v>221</v>
      </c>
      <c r="E14870" s="3" t="s">
        <v>336</v>
      </c>
      <c r="F14870" s="7">
        <v>46034.828756084724</v>
      </c>
      <c r="G14870" s="3" t="s">
        <v>5707</v>
      </c>
    </row>
    <row r="14871">
      <c r="A14871" s="3" t="s">
        <v>30803</v>
      </c>
      <c r="B14871" s="3" t="s">
        <v>12639</v>
      </c>
      <c r="C14871" s="5" t="s">
        <v>221</v>
      </c>
      <c r="D14871" s="3" t="s">
        <v>195</v>
      </c>
      <c r="E14871" s="3" t="s">
        <v>336</v>
      </c>
      <c r="F14871" s="7">
        <v>46034.83222830694</v>
      </c>
      <c r="G14871" s="3" t="s">
        <v>30804</v>
      </c>
    </row>
    <row r="14872">
      <c r="A14872" s="3" t="s">
        <v>30805</v>
      </c>
      <c r="B14872" s="3" t="s">
        <v>12641</v>
      </c>
      <c r="C14872" s="5" t="s">
        <v>45</v>
      </c>
      <c r="D14872" s="3" t="s">
        <v>221</v>
      </c>
      <c r="E14872" s="3" t="s">
        <v>230</v>
      </c>
      <c r="F14872" s="7">
        <v>46034.899930930136</v>
      </c>
      <c r="G14872" s="3" t="s">
        <v>27999</v>
      </c>
    </row>
    <row r="14873">
      <c r="A14873" s="3" t="s">
        <v>30806</v>
      </c>
      <c r="B14873" s="3" t="s">
        <v>12641</v>
      </c>
      <c r="C14873" s="5" t="s">
        <v>221</v>
      </c>
      <c r="D14873" s="3" t="s">
        <v>614</v>
      </c>
      <c r="E14873" s="3" t="s">
        <v>118</v>
      </c>
      <c r="F14873" s="7">
        <v>46034.903403152355</v>
      </c>
      <c r="G14873" s="3" t="s">
        <v>28001</v>
      </c>
    </row>
    <row r="14874">
      <c r="A14874" s="3" t="s">
        <v>30807</v>
      </c>
      <c r="B14874" s="3" t="s">
        <v>12641</v>
      </c>
      <c r="C14874" s="5" t="s">
        <v>614</v>
      </c>
      <c r="D14874" s="3" t="s">
        <v>206</v>
      </c>
      <c r="E14874" s="3" t="s">
        <v>100</v>
      </c>
      <c r="F14874" s="7">
        <v>46034.90687537458</v>
      </c>
      <c r="G14874" s="3" t="s">
        <v>28003</v>
      </c>
    </row>
    <row r="14875">
      <c r="A14875" s="3" t="s">
        <v>30808</v>
      </c>
      <c r="B14875" s="3" t="s">
        <v>12641</v>
      </c>
      <c r="C14875" s="5" t="s">
        <v>206</v>
      </c>
      <c r="D14875" s="3" t="s">
        <v>68</v>
      </c>
      <c r="E14875" s="3" t="s">
        <v>100</v>
      </c>
      <c r="F14875" s="7">
        <v>46034.9103475968</v>
      </c>
      <c r="G14875" s="3" t="s">
        <v>28005</v>
      </c>
    </row>
    <row r="14876">
      <c r="A14876" s="3" t="s">
        <v>30809</v>
      </c>
      <c r="B14876" s="3" t="s">
        <v>12643</v>
      </c>
      <c r="C14876" s="5" t="s">
        <v>45</v>
      </c>
      <c r="D14876" s="3" t="s">
        <v>221</v>
      </c>
      <c r="E14876" s="3" t="s">
        <v>462</v>
      </c>
      <c r="F14876" s="7">
        <v>46034.971105775556</v>
      </c>
      <c r="G14876" s="3" t="s">
        <v>17810</v>
      </c>
    </row>
    <row r="14877">
      <c r="A14877" s="3" t="s">
        <v>30810</v>
      </c>
      <c r="B14877" s="3" t="s">
        <v>12643</v>
      </c>
      <c r="C14877" s="5" t="s">
        <v>221</v>
      </c>
      <c r="D14877" s="3" t="s">
        <v>614</v>
      </c>
      <c r="E14877" s="3" t="s">
        <v>118</v>
      </c>
      <c r="F14877" s="7">
        <v>46034.974577997775</v>
      </c>
      <c r="G14877" s="3" t="s">
        <v>17813</v>
      </c>
    </row>
    <row r="14878">
      <c r="A14878" s="3" t="s">
        <v>30811</v>
      </c>
      <c r="B14878" s="3" t="s">
        <v>12643</v>
      </c>
      <c r="C14878" s="5" t="s">
        <v>614</v>
      </c>
      <c r="D14878" s="3" t="s">
        <v>206</v>
      </c>
      <c r="E14878" s="3" t="s">
        <v>100</v>
      </c>
      <c r="F14878" s="7">
        <v>46034.97805022</v>
      </c>
      <c r="G14878" s="3" t="s">
        <v>17816</v>
      </c>
    </row>
    <row r="14879">
      <c r="A14879" s="3" t="s">
        <v>30812</v>
      </c>
      <c r="B14879" s="3" t="s">
        <v>12643</v>
      </c>
      <c r="C14879" s="5" t="s">
        <v>206</v>
      </c>
      <c r="D14879" s="3" t="s">
        <v>68</v>
      </c>
      <c r="E14879" s="3" t="s">
        <v>100</v>
      </c>
      <c r="F14879" s="7">
        <v>46034.98152244222</v>
      </c>
      <c r="G14879" s="3" t="s">
        <v>17819</v>
      </c>
    </row>
    <row r="14880">
      <c r="A14880" s="3" t="s">
        <v>30813</v>
      </c>
      <c r="B14880" s="3" t="s">
        <v>12646</v>
      </c>
      <c r="C14880" s="5" t="s">
        <v>45</v>
      </c>
      <c r="D14880" s="3" t="s">
        <v>221</v>
      </c>
      <c r="E14880" s="3" t="s">
        <v>404</v>
      </c>
      <c r="F14880" s="7">
        <v>46035.04228062097</v>
      </c>
      <c r="G14880" s="3" t="s">
        <v>19159</v>
      </c>
    </row>
    <row r="14881">
      <c r="A14881" s="3" t="s">
        <v>30814</v>
      </c>
      <c r="B14881" s="3" t="s">
        <v>12646</v>
      </c>
      <c r="C14881" s="5" t="s">
        <v>221</v>
      </c>
      <c r="D14881" s="3" t="s">
        <v>614</v>
      </c>
      <c r="E14881" s="3" t="s">
        <v>118</v>
      </c>
      <c r="F14881" s="7">
        <v>46035.04575284319</v>
      </c>
      <c r="G14881" s="3" t="s">
        <v>19162</v>
      </c>
    </row>
    <row r="14882">
      <c r="A14882" s="3" t="s">
        <v>30815</v>
      </c>
      <c r="B14882" s="3" t="s">
        <v>12646</v>
      </c>
      <c r="C14882" s="5" t="s">
        <v>614</v>
      </c>
      <c r="D14882" s="3" t="s">
        <v>206</v>
      </c>
      <c r="E14882" s="3" t="s">
        <v>100</v>
      </c>
      <c r="F14882" s="7">
        <v>46035.04922506541</v>
      </c>
      <c r="G14882" s="3" t="s">
        <v>19165</v>
      </c>
    </row>
    <row r="14883">
      <c r="A14883" s="3" t="s">
        <v>30816</v>
      </c>
      <c r="B14883" s="3" t="s">
        <v>12646</v>
      </c>
      <c r="C14883" s="5" t="s">
        <v>206</v>
      </c>
      <c r="D14883" s="3" t="s">
        <v>68</v>
      </c>
      <c r="E14883" s="3" t="s">
        <v>100</v>
      </c>
      <c r="F14883" s="7">
        <v>46035.05269728763</v>
      </c>
      <c r="G14883" s="3" t="s">
        <v>19167</v>
      </c>
    </row>
    <row r="14884">
      <c r="A14884" s="3" t="s">
        <v>30817</v>
      </c>
      <c r="B14884" s="3" t="s">
        <v>12649</v>
      </c>
      <c r="C14884" s="5" t="s">
        <v>45</v>
      </c>
      <c r="D14884" s="3" t="s">
        <v>221</v>
      </c>
      <c r="E14884" s="3" t="s">
        <v>162</v>
      </c>
      <c r="F14884" s="7">
        <v>46035.11345546638</v>
      </c>
      <c r="G14884" s="3" t="s">
        <v>28448</v>
      </c>
    </row>
    <row r="14885">
      <c r="A14885" s="3" t="s">
        <v>30818</v>
      </c>
      <c r="B14885" s="3" t="s">
        <v>12649</v>
      </c>
      <c r="C14885" s="5" t="s">
        <v>221</v>
      </c>
      <c r="D14885" s="3" t="s">
        <v>614</v>
      </c>
      <c r="E14885" s="3" t="s">
        <v>118</v>
      </c>
      <c r="F14885" s="7">
        <v>46035.1169276886</v>
      </c>
      <c r="G14885" s="3" t="s">
        <v>28450</v>
      </c>
    </row>
    <row r="14886">
      <c r="A14886" s="3" t="s">
        <v>30819</v>
      </c>
      <c r="B14886" s="3" t="s">
        <v>12649</v>
      </c>
      <c r="C14886" s="5" t="s">
        <v>614</v>
      </c>
      <c r="D14886" s="3" t="s">
        <v>206</v>
      </c>
      <c r="E14886" s="3" t="s">
        <v>100</v>
      </c>
      <c r="F14886" s="7">
        <v>46035.120399910826</v>
      </c>
      <c r="G14886" s="3" t="s">
        <v>28452</v>
      </c>
    </row>
    <row r="14887">
      <c r="A14887" s="3" t="s">
        <v>30820</v>
      </c>
      <c r="B14887" s="3" t="s">
        <v>12649</v>
      </c>
      <c r="C14887" s="5" t="s">
        <v>206</v>
      </c>
      <c r="D14887" s="3" t="s">
        <v>68</v>
      </c>
      <c r="E14887" s="3" t="s">
        <v>100</v>
      </c>
      <c r="F14887" s="7">
        <v>46035.123872133045</v>
      </c>
      <c r="G14887" s="3" t="s">
        <v>28454</v>
      </c>
    </row>
    <row r="14888">
      <c r="A14888" s="3" t="s">
        <v>30821</v>
      </c>
      <c r="B14888" s="3" t="s">
        <v>12651</v>
      </c>
      <c r="C14888" s="5" t="s">
        <v>45</v>
      </c>
      <c r="D14888" s="3" t="s">
        <v>221</v>
      </c>
      <c r="E14888" s="3" t="s">
        <v>903</v>
      </c>
      <c r="F14888" s="7">
        <v>46035.1846303118</v>
      </c>
      <c r="G14888" s="3" t="s">
        <v>12191</v>
      </c>
    </row>
    <row r="14889">
      <c r="A14889" s="3" t="s">
        <v>30822</v>
      </c>
      <c r="B14889" s="3" t="s">
        <v>12651</v>
      </c>
      <c r="C14889" s="5" t="s">
        <v>221</v>
      </c>
      <c r="D14889" s="3" t="s">
        <v>614</v>
      </c>
      <c r="E14889" s="3" t="s">
        <v>118</v>
      </c>
      <c r="F14889" s="7">
        <v>46035.18810253402</v>
      </c>
      <c r="G14889" s="3" t="s">
        <v>12194</v>
      </c>
    </row>
    <row r="14890">
      <c r="A14890" s="3" t="s">
        <v>30823</v>
      </c>
      <c r="B14890" s="3" t="s">
        <v>12651</v>
      </c>
      <c r="C14890" s="5" t="s">
        <v>614</v>
      </c>
      <c r="D14890" s="3" t="s">
        <v>206</v>
      </c>
      <c r="E14890" s="3" t="s">
        <v>100</v>
      </c>
      <c r="F14890" s="7">
        <v>46035.191574756245</v>
      </c>
      <c r="G14890" s="3" t="s">
        <v>12197</v>
      </c>
    </row>
    <row r="14891">
      <c r="A14891" s="3" t="s">
        <v>30824</v>
      </c>
      <c r="B14891" s="3" t="s">
        <v>12651</v>
      </c>
      <c r="C14891" s="5" t="s">
        <v>206</v>
      </c>
      <c r="D14891" s="3" t="s">
        <v>68</v>
      </c>
      <c r="E14891" s="3" t="s">
        <v>100</v>
      </c>
      <c r="F14891" s="7">
        <v>46035.195046978464</v>
      </c>
      <c r="G14891" s="3" t="s">
        <v>12200</v>
      </c>
    </row>
    <row r="14892">
      <c r="A14892" s="3" t="s">
        <v>30825</v>
      </c>
      <c r="B14892" s="3" t="s">
        <v>12653</v>
      </c>
      <c r="C14892" s="5" t="s">
        <v>45</v>
      </c>
      <c r="D14892" s="3" t="s">
        <v>221</v>
      </c>
      <c r="E14892" s="3" t="s">
        <v>247</v>
      </c>
      <c r="F14892" s="7">
        <v>46035.25580515721</v>
      </c>
      <c r="G14892" s="3" t="s">
        <v>3972</v>
      </c>
    </row>
    <row r="14893">
      <c r="A14893" s="3" t="s">
        <v>30826</v>
      </c>
      <c r="B14893" s="3" t="s">
        <v>12653</v>
      </c>
      <c r="C14893" s="5" t="s">
        <v>221</v>
      </c>
      <c r="D14893" s="3" t="s">
        <v>614</v>
      </c>
      <c r="E14893" s="3" t="s">
        <v>118</v>
      </c>
      <c r="F14893" s="7">
        <v>46035.25927737943</v>
      </c>
      <c r="G14893" s="3" t="s">
        <v>3975</v>
      </c>
    </row>
    <row r="14894">
      <c r="A14894" s="3" t="s">
        <v>30827</v>
      </c>
      <c r="B14894" s="3" t="s">
        <v>12653</v>
      </c>
      <c r="C14894" s="5" t="s">
        <v>614</v>
      </c>
      <c r="D14894" s="3" t="s">
        <v>206</v>
      </c>
      <c r="E14894" s="3" t="s">
        <v>100</v>
      </c>
      <c r="F14894" s="7">
        <v>46035.26274960166</v>
      </c>
      <c r="G14894" s="3" t="s">
        <v>3978</v>
      </c>
    </row>
    <row r="14895">
      <c r="A14895" s="3" t="s">
        <v>30828</v>
      </c>
      <c r="B14895" s="3" t="s">
        <v>12653</v>
      </c>
      <c r="C14895" s="5" t="s">
        <v>206</v>
      </c>
      <c r="D14895" s="3" t="s">
        <v>68</v>
      </c>
      <c r="E14895" s="3" t="s">
        <v>100</v>
      </c>
      <c r="F14895" s="7">
        <v>46035.26622182388</v>
      </c>
      <c r="G14895" s="3" t="s">
        <v>3981</v>
      </c>
    </row>
    <row r="14896">
      <c r="A14896" s="3" t="s">
        <v>30829</v>
      </c>
      <c r="B14896" s="3" t="s">
        <v>12656</v>
      </c>
      <c r="C14896" s="5" t="s">
        <v>45</v>
      </c>
      <c r="D14896" s="3" t="s">
        <v>221</v>
      </c>
      <c r="E14896" s="3" t="s">
        <v>226</v>
      </c>
      <c r="F14896" s="7">
        <v>46035.326980002625</v>
      </c>
      <c r="G14896" s="3" t="s">
        <v>29889</v>
      </c>
    </row>
    <row r="14897">
      <c r="A14897" s="3" t="s">
        <v>30830</v>
      </c>
      <c r="B14897" s="3" t="s">
        <v>12656</v>
      </c>
      <c r="C14897" s="5" t="s">
        <v>221</v>
      </c>
      <c r="D14897" s="3" t="s">
        <v>614</v>
      </c>
      <c r="E14897" s="3" t="s">
        <v>118</v>
      </c>
      <c r="F14897" s="7">
        <v>46035.33045222484</v>
      </c>
      <c r="G14897" s="3" t="s">
        <v>29891</v>
      </c>
    </row>
    <row r="14898">
      <c r="A14898" s="3" t="s">
        <v>30831</v>
      </c>
      <c r="B14898" s="3" t="s">
        <v>12656</v>
      </c>
      <c r="C14898" s="5" t="s">
        <v>614</v>
      </c>
      <c r="D14898" s="3" t="s">
        <v>206</v>
      </c>
      <c r="E14898" s="3" t="s">
        <v>100</v>
      </c>
      <c r="F14898" s="7">
        <v>46035.33392444707</v>
      </c>
      <c r="G14898" s="3" t="s">
        <v>29893</v>
      </c>
    </row>
    <row r="14899">
      <c r="A14899" s="3" t="s">
        <v>30832</v>
      </c>
      <c r="B14899" s="3" t="s">
        <v>12656</v>
      </c>
      <c r="C14899" s="5" t="s">
        <v>206</v>
      </c>
      <c r="D14899" s="3" t="s">
        <v>68</v>
      </c>
      <c r="E14899" s="3" t="s">
        <v>100</v>
      </c>
      <c r="F14899" s="7">
        <v>46035.33739666929</v>
      </c>
      <c r="G14899" s="3" t="s">
        <v>29895</v>
      </c>
    </row>
    <row r="14900">
      <c r="A14900" s="3" t="s">
        <v>30833</v>
      </c>
      <c r="B14900" s="3" t="s">
        <v>12658</v>
      </c>
      <c r="C14900" s="5" t="s">
        <v>45</v>
      </c>
      <c r="D14900" s="3" t="s">
        <v>221</v>
      </c>
      <c r="E14900" s="3" t="s">
        <v>619</v>
      </c>
      <c r="F14900" s="7">
        <v>46035.398154848044</v>
      </c>
      <c r="G14900" s="3" t="s">
        <v>3984</v>
      </c>
    </row>
    <row r="14901">
      <c r="A14901" s="3" t="s">
        <v>30834</v>
      </c>
      <c r="B14901" s="3" t="s">
        <v>12658</v>
      </c>
      <c r="C14901" s="5" t="s">
        <v>221</v>
      </c>
      <c r="D14901" s="3" t="s">
        <v>614</v>
      </c>
      <c r="E14901" s="3" t="s">
        <v>118</v>
      </c>
      <c r="F14901" s="7">
        <v>46035.40162707026</v>
      </c>
      <c r="G14901" s="3" t="s">
        <v>3987</v>
      </c>
    </row>
    <row r="14902">
      <c r="A14902" s="3" t="s">
        <v>30835</v>
      </c>
      <c r="B14902" s="3" t="s">
        <v>12658</v>
      </c>
      <c r="C14902" s="5" t="s">
        <v>614</v>
      </c>
      <c r="D14902" s="3" t="s">
        <v>206</v>
      </c>
      <c r="E14902" s="3" t="s">
        <v>100</v>
      </c>
      <c r="F14902" s="7">
        <v>46035.40509929249</v>
      </c>
      <c r="G14902" s="3" t="s">
        <v>3990</v>
      </c>
    </row>
    <row r="14903">
      <c r="A14903" s="3" t="s">
        <v>30836</v>
      </c>
      <c r="B14903" s="3" t="s">
        <v>12658</v>
      </c>
      <c r="C14903" s="5" t="s">
        <v>206</v>
      </c>
      <c r="D14903" s="3" t="s">
        <v>68</v>
      </c>
      <c r="E14903" s="3" t="s">
        <v>100</v>
      </c>
      <c r="F14903" s="7">
        <v>46035.40857151471</v>
      </c>
      <c r="G14903" s="3" t="s">
        <v>3993</v>
      </c>
    </row>
    <row r="14904">
      <c r="A14904" s="3" t="s">
        <v>30837</v>
      </c>
      <c r="B14904" s="3" t="s">
        <v>12660</v>
      </c>
      <c r="C14904" s="5" t="s">
        <v>45</v>
      </c>
      <c r="D14904" s="3" t="s">
        <v>221</v>
      </c>
      <c r="E14904" s="3" t="s">
        <v>290</v>
      </c>
      <c r="F14904" s="7">
        <v>46035.469329693464</v>
      </c>
      <c r="G14904" s="3" t="s">
        <v>3996</v>
      </c>
    </row>
    <row r="14905">
      <c r="A14905" s="3" t="s">
        <v>30838</v>
      </c>
      <c r="B14905" s="3" t="s">
        <v>12660</v>
      </c>
      <c r="C14905" s="5" t="s">
        <v>221</v>
      </c>
      <c r="D14905" s="3" t="s">
        <v>614</v>
      </c>
      <c r="E14905" s="3" t="s">
        <v>118</v>
      </c>
      <c r="F14905" s="7">
        <v>46035.47280191568</v>
      </c>
      <c r="G14905" s="3" t="s">
        <v>3999</v>
      </c>
    </row>
    <row r="14906">
      <c r="A14906" s="3" t="s">
        <v>30839</v>
      </c>
      <c r="B14906" s="3" t="s">
        <v>12660</v>
      </c>
      <c r="C14906" s="5" t="s">
        <v>614</v>
      </c>
      <c r="D14906" s="3" t="s">
        <v>206</v>
      </c>
      <c r="E14906" s="3" t="s">
        <v>100</v>
      </c>
      <c r="F14906" s="7">
        <v>46035.47627413791</v>
      </c>
      <c r="G14906" s="3" t="s">
        <v>4002</v>
      </c>
    </row>
    <row r="14907">
      <c r="A14907" s="3" t="s">
        <v>30840</v>
      </c>
      <c r="B14907" s="3" t="s">
        <v>12660</v>
      </c>
      <c r="C14907" s="5" t="s">
        <v>206</v>
      </c>
      <c r="D14907" s="3" t="s">
        <v>68</v>
      </c>
      <c r="E14907" s="3" t="s">
        <v>100</v>
      </c>
      <c r="F14907" s="7">
        <v>46035.47974636013</v>
      </c>
      <c r="G14907" s="3" t="s">
        <v>4005</v>
      </c>
    </row>
    <row r="14908">
      <c r="A14908" s="3" t="s">
        <v>30841</v>
      </c>
      <c r="B14908" s="3" t="s">
        <v>12663</v>
      </c>
      <c r="C14908" s="5" t="s">
        <v>45</v>
      </c>
      <c r="D14908" s="3" t="s">
        <v>221</v>
      </c>
      <c r="E14908" s="3" t="s">
        <v>383</v>
      </c>
      <c r="F14908" s="7">
        <v>46035.54050453887</v>
      </c>
      <c r="G14908" s="3" t="s">
        <v>18473</v>
      </c>
    </row>
    <row r="14909">
      <c r="A14909" s="3" t="s">
        <v>30842</v>
      </c>
      <c r="B14909" s="3" t="s">
        <v>12663</v>
      </c>
      <c r="C14909" s="5" t="s">
        <v>221</v>
      </c>
      <c r="D14909" s="3" t="s">
        <v>614</v>
      </c>
      <c r="E14909" s="3" t="s">
        <v>118</v>
      </c>
      <c r="F14909" s="7">
        <v>46035.54397676109</v>
      </c>
      <c r="G14909" s="3" t="s">
        <v>18476</v>
      </c>
    </row>
    <row r="14910">
      <c r="A14910" s="3" t="s">
        <v>30843</v>
      </c>
      <c r="B14910" s="3" t="s">
        <v>12663</v>
      </c>
      <c r="C14910" s="5" t="s">
        <v>614</v>
      </c>
      <c r="D14910" s="3" t="s">
        <v>206</v>
      </c>
      <c r="E14910" s="3" t="s">
        <v>100</v>
      </c>
      <c r="F14910" s="7">
        <v>46035.547448983314</v>
      </c>
      <c r="G14910" s="3" t="s">
        <v>18479</v>
      </c>
    </row>
    <row r="14911">
      <c r="A14911" s="3" t="s">
        <v>30844</v>
      </c>
      <c r="B14911" s="3" t="s">
        <v>12663</v>
      </c>
      <c r="C14911" s="5" t="s">
        <v>206</v>
      </c>
      <c r="D14911" s="3" t="s">
        <v>68</v>
      </c>
      <c r="E14911" s="3" t="s">
        <v>100</v>
      </c>
      <c r="F14911" s="7">
        <v>46035.55092120553</v>
      </c>
      <c r="G14911" s="3" t="s">
        <v>18482</v>
      </c>
    </row>
    <row r="14912">
      <c r="A14912" s="3" t="s">
        <v>30845</v>
      </c>
      <c r="B14912" s="3" t="s">
        <v>12666</v>
      </c>
      <c r="C14912" s="5" t="s">
        <v>45</v>
      </c>
      <c r="D14912" s="3" t="s">
        <v>221</v>
      </c>
      <c r="E14912" s="3" t="s">
        <v>773</v>
      </c>
      <c r="F14912" s="7">
        <v>46035.61167938429</v>
      </c>
      <c r="G14912" s="3" t="s">
        <v>26693</v>
      </c>
    </row>
    <row r="14913">
      <c r="A14913" s="3" t="s">
        <v>30846</v>
      </c>
      <c r="B14913" s="3" t="s">
        <v>12666</v>
      </c>
      <c r="C14913" s="5" t="s">
        <v>221</v>
      </c>
      <c r="D14913" s="3" t="s">
        <v>614</v>
      </c>
      <c r="E14913" s="3" t="s">
        <v>118</v>
      </c>
      <c r="F14913" s="7">
        <v>46035.61515160651</v>
      </c>
      <c r="G14913" s="3" t="s">
        <v>26695</v>
      </c>
    </row>
    <row r="14914">
      <c r="A14914" s="3" t="s">
        <v>30847</v>
      </c>
      <c r="B14914" s="3" t="s">
        <v>12666</v>
      </c>
      <c r="C14914" s="5" t="s">
        <v>614</v>
      </c>
      <c r="D14914" s="3" t="s">
        <v>206</v>
      </c>
      <c r="E14914" s="3" t="s">
        <v>100</v>
      </c>
      <c r="F14914" s="7">
        <v>46035.618623828734</v>
      </c>
      <c r="G14914" s="3" t="s">
        <v>26697</v>
      </c>
    </row>
    <row r="14915">
      <c r="A14915" s="3" t="s">
        <v>30848</v>
      </c>
      <c r="B14915" s="3" t="s">
        <v>12666</v>
      </c>
      <c r="C14915" s="5" t="s">
        <v>206</v>
      </c>
      <c r="D14915" s="3" t="s">
        <v>68</v>
      </c>
      <c r="E14915" s="3" t="s">
        <v>100</v>
      </c>
      <c r="F14915" s="7">
        <v>46035.62209605095</v>
      </c>
      <c r="G14915" s="3" t="s">
        <v>26699</v>
      </c>
    </row>
    <row r="14916">
      <c r="A14916" s="3" t="s">
        <v>30849</v>
      </c>
      <c r="B14916" s="3" t="s">
        <v>12668</v>
      </c>
      <c r="C14916" s="5" t="s">
        <v>45</v>
      </c>
      <c r="D14916" s="3" t="s">
        <v>221</v>
      </c>
      <c r="E14916" s="3" t="s">
        <v>883</v>
      </c>
      <c r="F14916" s="7">
        <v>46035.68285422971</v>
      </c>
      <c r="G14916" s="3" t="s">
        <v>12671</v>
      </c>
    </row>
    <row r="14917">
      <c r="A14917" s="3" t="s">
        <v>30850</v>
      </c>
      <c r="B14917" s="3" t="s">
        <v>12668</v>
      </c>
      <c r="C14917" s="5" t="s">
        <v>221</v>
      </c>
      <c r="D14917" s="3" t="s">
        <v>614</v>
      </c>
      <c r="E14917" s="3" t="s">
        <v>118</v>
      </c>
      <c r="F14917" s="7">
        <v>46035.68632645193</v>
      </c>
      <c r="G14917" s="3" t="s">
        <v>12674</v>
      </c>
    </row>
    <row r="14918">
      <c r="A14918" s="3" t="s">
        <v>30851</v>
      </c>
      <c r="B14918" s="3" t="s">
        <v>12668</v>
      </c>
      <c r="C14918" s="5" t="s">
        <v>614</v>
      </c>
      <c r="D14918" s="3" t="s">
        <v>206</v>
      </c>
      <c r="E14918" s="3" t="s">
        <v>100</v>
      </c>
      <c r="F14918" s="7">
        <v>46035.68979867415</v>
      </c>
      <c r="G14918" s="3" t="s">
        <v>12677</v>
      </c>
    </row>
    <row r="14919">
      <c r="A14919" s="3" t="s">
        <v>30852</v>
      </c>
      <c r="B14919" s="3" t="s">
        <v>12668</v>
      </c>
      <c r="C14919" s="5" t="s">
        <v>206</v>
      </c>
      <c r="D14919" s="3" t="s">
        <v>68</v>
      </c>
      <c r="E14919" s="3" t="s">
        <v>100</v>
      </c>
      <c r="F14919" s="7">
        <v>46035.69327089637</v>
      </c>
      <c r="G14919" s="3" t="s">
        <v>12680</v>
      </c>
    </row>
    <row r="14920">
      <c r="A14920" s="3" t="s">
        <v>30853</v>
      </c>
      <c r="B14920" s="3" t="s">
        <v>12670</v>
      </c>
      <c r="C14920" s="5" t="s">
        <v>45</v>
      </c>
      <c r="D14920" s="3" t="s">
        <v>221</v>
      </c>
      <c r="E14920" s="3" t="s">
        <v>287</v>
      </c>
      <c r="F14920" s="7">
        <v>46035.75402907512</v>
      </c>
      <c r="G14920" s="3" t="s">
        <v>18163</v>
      </c>
    </row>
    <row r="14921">
      <c r="A14921" s="3" t="s">
        <v>30854</v>
      </c>
      <c r="B14921" s="3" t="s">
        <v>12670</v>
      </c>
      <c r="C14921" s="5" t="s">
        <v>221</v>
      </c>
      <c r="D14921" s="3" t="s">
        <v>614</v>
      </c>
      <c r="E14921" s="3" t="s">
        <v>118</v>
      </c>
      <c r="F14921" s="7">
        <v>46035.75750129734</v>
      </c>
      <c r="G14921" s="3" t="s">
        <v>18165</v>
      </c>
    </row>
    <row r="14922">
      <c r="A14922" s="3" t="s">
        <v>30855</v>
      </c>
      <c r="B14922" s="3" t="s">
        <v>12670</v>
      </c>
      <c r="C14922" s="5" t="s">
        <v>614</v>
      </c>
      <c r="D14922" s="3" t="s">
        <v>206</v>
      </c>
      <c r="E14922" s="3" t="s">
        <v>100</v>
      </c>
      <c r="F14922" s="7">
        <v>46035.760973519566</v>
      </c>
      <c r="G14922" s="3" t="s">
        <v>18168</v>
      </c>
    </row>
    <row r="14923">
      <c r="A14923" s="3" t="s">
        <v>30856</v>
      </c>
      <c r="B14923" s="3" t="s">
        <v>12670</v>
      </c>
      <c r="C14923" s="5" t="s">
        <v>206</v>
      </c>
      <c r="D14923" s="3" t="s">
        <v>68</v>
      </c>
      <c r="E14923" s="3" t="s">
        <v>100</v>
      </c>
      <c r="F14923" s="7">
        <v>46035.764445741785</v>
      </c>
      <c r="G14923" s="3" t="s">
        <v>18171</v>
      </c>
    </row>
    <row r="14924">
      <c r="A14924" s="3" t="s">
        <v>30857</v>
      </c>
      <c r="B14924" s="3" t="s">
        <v>12673</v>
      </c>
      <c r="C14924" s="5" t="s">
        <v>45</v>
      </c>
      <c r="D14924" s="3" t="s">
        <v>221</v>
      </c>
      <c r="E14924" s="3" t="s">
        <v>725</v>
      </c>
      <c r="F14924" s="7">
        <v>46035.82520392053</v>
      </c>
      <c r="G14924" s="3" t="s">
        <v>15017</v>
      </c>
    </row>
    <row r="14925">
      <c r="A14925" s="3" t="s">
        <v>30858</v>
      </c>
      <c r="B14925" s="3" t="s">
        <v>12673</v>
      </c>
      <c r="C14925" s="5" t="s">
        <v>221</v>
      </c>
      <c r="D14925" s="3" t="s">
        <v>614</v>
      </c>
      <c r="E14925" s="3" t="s">
        <v>118</v>
      </c>
      <c r="F14925" s="7">
        <v>46035.82867614275</v>
      </c>
      <c r="G14925" s="3" t="s">
        <v>15020</v>
      </c>
    </row>
    <row r="14926">
      <c r="A14926" s="3" t="s">
        <v>30859</v>
      </c>
      <c r="B14926" s="3" t="s">
        <v>12673</v>
      </c>
      <c r="C14926" s="5" t="s">
        <v>614</v>
      </c>
      <c r="D14926" s="3" t="s">
        <v>206</v>
      </c>
      <c r="E14926" s="3" t="s">
        <v>100</v>
      </c>
      <c r="F14926" s="7">
        <v>46035.83214836498</v>
      </c>
      <c r="G14926" s="3" t="s">
        <v>15023</v>
      </c>
    </row>
    <row r="14927">
      <c r="A14927" s="3" t="s">
        <v>30860</v>
      </c>
      <c r="B14927" s="3" t="s">
        <v>12673</v>
      </c>
      <c r="C14927" s="5" t="s">
        <v>206</v>
      </c>
      <c r="D14927" s="3" t="s">
        <v>68</v>
      </c>
      <c r="E14927" s="3" t="s">
        <v>100</v>
      </c>
      <c r="F14927" s="7">
        <v>46035.8356205872</v>
      </c>
      <c r="G14927" s="3" t="s">
        <v>15026</v>
      </c>
    </row>
    <row r="14928">
      <c r="A14928" s="3" t="s">
        <v>30861</v>
      </c>
      <c r="B14928" s="3" t="s">
        <v>12676</v>
      </c>
      <c r="C14928" s="5" t="s">
        <v>45</v>
      </c>
      <c r="D14928" s="3" t="s">
        <v>221</v>
      </c>
      <c r="E14928" s="3" t="s">
        <v>547</v>
      </c>
      <c r="F14928" s="7">
        <v>46035.89637876595</v>
      </c>
      <c r="G14928" s="3" t="s">
        <v>4007</v>
      </c>
    </row>
    <row r="14929">
      <c r="A14929" s="3" t="s">
        <v>30862</v>
      </c>
      <c r="B14929" s="3" t="s">
        <v>12676</v>
      </c>
      <c r="C14929" s="5" t="s">
        <v>221</v>
      </c>
      <c r="D14929" s="3" t="s">
        <v>614</v>
      </c>
      <c r="E14929" s="3" t="s">
        <v>118</v>
      </c>
      <c r="F14929" s="7">
        <v>46035.89985098817</v>
      </c>
      <c r="G14929" s="3" t="s">
        <v>4010</v>
      </c>
    </row>
    <row r="14930">
      <c r="A14930" s="3" t="s">
        <v>30863</v>
      </c>
      <c r="B14930" s="3" t="s">
        <v>12676</v>
      </c>
      <c r="C14930" s="5" t="s">
        <v>614</v>
      </c>
      <c r="D14930" s="3" t="s">
        <v>206</v>
      </c>
      <c r="E14930" s="3" t="s">
        <v>100</v>
      </c>
      <c r="F14930" s="7">
        <v>46035.9033232104</v>
      </c>
      <c r="G14930" s="3" t="s">
        <v>4013</v>
      </c>
    </row>
    <row r="14931">
      <c r="A14931" s="3" t="s">
        <v>30864</v>
      </c>
      <c r="B14931" s="3" t="s">
        <v>12676</v>
      </c>
      <c r="C14931" s="5" t="s">
        <v>206</v>
      </c>
      <c r="D14931" s="3" t="s">
        <v>68</v>
      </c>
      <c r="E14931" s="3" t="s">
        <v>100</v>
      </c>
      <c r="F14931" s="7">
        <v>46035.90679543262</v>
      </c>
      <c r="G14931" s="3" t="s">
        <v>4016</v>
      </c>
    </row>
    <row r="14932">
      <c r="A14932" s="3" t="s">
        <v>30865</v>
      </c>
      <c r="B14932" s="3" t="s">
        <v>12679</v>
      </c>
      <c r="C14932" s="5" t="s">
        <v>45</v>
      </c>
      <c r="D14932" s="3" t="s">
        <v>221</v>
      </c>
      <c r="E14932" s="3" t="s">
        <v>414</v>
      </c>
      <c r="F14932" s="7">
        <v>46035.967553611365</v>
      </c>
      <c r="G14932" s="3" t="s">
        <v>29957</v>
      </c>
    </row>
    <row r="14933">
      <c r="A14933" s="3" t="s">
        <v>30866</v>
      </c>
      <c r="B14933" s="3" t="s">
        <v>12679</v>
      </c>
      <c r="C14933" s="5" t="s">
        <v>221</v>
      </c>
      <c r="D14933" s="3" t="s">
        <v>614</v>
      </c>
      <c r="E14933" s="3" t="s">
        <v>118</v>
      </c>
      <c r="F14933" s="7">
        <v>46035.97102583358</v>
      </c>
      <c r="G14933" s="3" t="s">
        <v>29959</v>
      </c>
    </row>
    <row r="14934">
      <c r="A14934" s="3" t="s">
        <v>30867</v>
      </c>
      <c r="B14934" s="3" t="s">
        <v>12679</v>
      </c>
      <c r="C14934" s="5" t="s">
        <v>614</v>
      </c>
      <c r="D14934" s="3" t="s">
        <v>206</v>
      </c>
      <c r="E14934" s="3" t="s">
        <v>100</v>
      </c>
      <c r="F14934" s="7">
        <v>46035.97449805581</v>
      </c>
      <c r="G14934" s="3" t="s">
        <v>29961</v>
      </c>
    </row>
    <row r="14935">
      <c r="A14935" s="3" t="s">
        <v>30868</v>
      </c>
      <c r="B14935" s="3" t="s">
        <v>12679</v>
      </c>
      <c r="C14935" s="5" t="s">
        <v>206</v>
      </c>
      <c r="D14935" s="3" t="s">
        <v>68</v>
      </c>
      <c r="E14935" s="3" t="s">
        <v>100</v>
      </c>
      <c r="F14935" s="7">
        <v>46035.97797027803</v>
      </c>
      <c r="G14935" s="3" t="s">
        <v>29963</v>
      </c>
    </row>
    <row r="14936">
      <c r="A14936" s="3" t="s">
        <v>30869</v>
      </c>
      <c r="B14936" s="3" t="s">
        <v>12681</v>
      </c>
      <c r="C14936" s="5" t="s">
        <v>45</v>
      </c>
      <c r="D14936" s="3" t="s">
        <v>221</v>
      </c>
      <c r="E14936" s="3" t="s">
        <v>722</v>
      </c>
      <c r="F14936" s="7">
        <v>46036.03872845678</v>
      </c>
      <c r="G14936" s="3" t="s">
        <v>4019</v>
      </c>
    </row>
    <row r="14937">
      <c r="A14937" s="3" t="s">
        <v>30870</v>
      </c>
      <c r="B14937" s="3" t="s">
        <v>12681</v>
      </c>
      <c r="C14937" s="5" t="s">
        <v>221</v>
      </c>
      <c r="D14937" s="3" t="s">
        <v>614</v>
      </c>
      <c r="E14937" s="3" t="s">
        <v>118</v>
      </c>
      <c r="F14937" s="7">
        <v>46036.042200678996</v>
      </c>
      <c r="G14937" s="3" t="s">
        <v>4022</v>
      </c>
    </row>
    <row r="14938">
      <c r="A14938" s="3" t="s">
        <v>30871</v>
      </c>
      <c r="B14938" s="3" t="s">
        <v>12681</v>
      </c>
      <c r="C14938" s="5" t="s">
        <v>614</v>
      </c>
      <c r="D14938" s="3" t="s">
        <v>206</v>
      </c>
      <c r="E14938" s="3" t="s">
        <v>100</v>
      </c>
      <c r="F14938" s="7">
        <v>46036.04567290122</v>
      </c>
      <c r="G14938" s="3" t="s">
        <v>4025</v>
      </c>
    </row>
    <row r="14939">
      <c r="A14939" s="3" t="s">
        <v>30872</v>
      </c>
      <c r="B14939" s="3" t="s">
        <v>12681</v>
      </c>
      <c r="C14939" s="5" t="s">
        <v>206</v>
      </c>
      <c r="D14939" s="3" t="s">
        <v>68</v>
      </c>
      <c r="E14939" s="3" t="s">
        <v>100</v>
      </c>
      <c r="F14939" s="7">
        <v>46036.04914512344</v>
      </c>
      <c r="G14939" s="3" t="s">
        <v>4028</v>
      </c>
    </row>
    <row r="14940">
      <c r="A14940" s="3" t="s">
        <v>30873</v>
      </c>
      <c r="B14940" s="3" t="s">
        <v>12683</v>
      </c>
      <c r="C14940" s="5" t="s">
        <v>45</v>
      </c>
      <c r="D14940" s="3" t="s">
        <v>221</v>
      </c>
      <c r="E14940" s="3" t="s">
        <v>665</v>
      </c>
      <c r="F14940" s="7">
        <v>46036.1099033022</v>
      </c>
      <c r="G14940" s="3" t="s">
        <v>4043</v>
      </c>
    </row>
    <row r="14941">
      <c r="A14941" s="3" t="s">
        <v>30874</v>
      </c>
      <c r="B14941" s="3" t="s">
        <v>12683</v>
      </c>
      <c r="C14941" s="5" t="s">
        <v>221</v>
      </c>
      <c r="D14941" s="3" t="s">
        <v>614</v>
      </c>
      <c r="E14941" s="3" t="s">
        <v>118</v>
      </c>
      <c r="F14941" s="7">
        <v>46036.113375524415</v>
      </c>
      <c r="G14941" s="3" t="s">
        <v>4046</v>
      </c>
    </row>
    <row r="14942">
      <c r="A14942" s="3" t="s">
        <v>30875</v>
      </c>
      <c r="B14942" s="3" t="s">
        <v>12683</v>
      </c>
      <c r="C14942" s="5" t="s">
        <v>614</v>
      </c>
      <c r="D14942" s="3" t="s">
        <v>206</v>
      </c>
      <c r="E14942" s="3" t="s">
        <v>100</v>
      </c>
      <c r="F14942" s="7">
        <v>46036.11684774664</v>
      </c>
      <c r="G14942" s="3" t="s">
        <v>4049</v>
      </c>
    </row>
    <row r="14943">
      <c r="A14943" s="3" t="s">
        <v>30876</v>
      </c>
      <c r="B14943" s="3" t="s">
        <v>12683</v>
      </c>
      <c r="C14943" s="5" t="s">
        <v>206</v>
      </c>
      <c r="D14943" s="3" t="s">
        <v>68</v>
      </c>
      <c r="E14943" s="3" t="s">
        <v>100</v>
      </c>
      <c r="F14943" s="7">
        <v>46036.12031996886</v>
      </c>
      <c r="G14943" s="3" t="s">
        <v>4051</v>
      </c>
    </row>
    <row r="14944">
      <c r="A14944" s="3" t="s">
        <v>30877</v>
      </c>
      <c r="B14944" s="3" t="s">
        <v>12685</v>
      </c>
      <c r="C14944" s="5" t="s">
        <v>45</v>
      </c>
      <c r="D14944" s="3" t="s">
        <v>221</v>
      </c>
      <c r="E14944" s="3" t="s">
        <v>310</v>
      </c>
      <c r="F14944" s="7">
        <v>46036.18107814761</v>
      </c>
      <c r="G14944" s="3" t="s">
        <v>11084</v>
      </c>
    </row>
    <row r="14945">
      <c r="A14945" s="3" t="s">
        <v>30878</v>
      </c>
      <c r="B14945" s="3" t="s">
        <v>12685</v>
      </c>
      <c r="C14945" s="5" t="s">
        <v>221</v>
      </c>
      <c r="D14945" s="3" t="s">
        <v>614</v>
      </c>
      <c r="E14945" s="3" t="s">
        <v>118</v>
      </c>
      <c r="F14945" s="7">
        <v>46036.18455036983</v>
      </c>
      <c r="G14945" s="3" t="s">
        <v>11087</v>
      </c>
    </row>
    <row r="14946">
      <c r="A14946" s="3" t="s">
        <v>30879</v>
      </c>
      <c r="B14946" s="3" t="s">
        <v>12685</v>
      </c>
      <c r="C14946" s="5" t="s">
        <v>614</v>
      </c>
      <c r="D14946" s="3" t="s">
        <v>206</v>
      </c>
      <c r="E14946" s="3" t="s">
        <v>100</v>
      </c>
      <c r="F14946" s="7">
        <v>46036.188022592054</v>
      </c>
      <c r="G14946" s="3" t="s">
        <v>11090</v>
      </c>
    </row>
    <row r="14947">
      <c r="A14947" s="3" t="s">
        <v>30880</v>
      </c>
      <c r="B14947" s="3" t="s">
        <v>12685</v>
      </c>
      <c r="C14947" s="5" t="s">
        <v>206</v>
      </c>
      <c r="D14947" s="3" t="s">
        <v>68</v>
      </c>
      <c r="E14947" s="3" t="s">
        <v>100</v>
      </c>
      <c r="F14947" s="7">
        <v>46036.19149481427</v>
      </c>
      <c r="G14947" s="3" t="s">
        <v>11093</v>
      </c>
    </row>
    <row r="14948">
      <c r="A14948" s="3" t="s">
        <v>30881</v>
      </c>
      <c r="B14948" s="3" t="s">
        <v>12686</v>
      </c>
      <c r="C14948" s="5" t="s">
        <v>45</v>
      </c>
      <c r="D14948" s="3" t="s">
        <v>221</v>
      </c>
      <c r="E14948" s="3" t="s">
        <v>211</v>
      </c>
      <c r="F14948" s="7">
        <v>46036.25225299302</v>
      </c>
      <c r="G14948" s="3" t="s">
        <v>4066</v>
      </c>
    </row>
    <row r="14949">
      <c r="A14949" s="3" t="s">
        <v>30882</v>
      </c>
      <c r="B14949" s="3" t="s">
        <v>12686</v>
      </c>
      <c r="C14949" s="5" t="s">
        <v>221</v>
      </c>
      <c r="D14949" s="3" t="s">
        <v>614</v>
      </c>
      <c r="E14949" s="3" t="s">
        <v>118</v>
      </c>
      <c r="F14949" s="7">
        <v>46036.25572521524</v>
      </c>
      <c r="G14949" s="3" t="s">
        <v>4069</v>
      </c>
    </row>
    <row r="14950">
      <c r="A14950" s="3" t="s">
        <v>30883</v>
      </c>
      <c r="B14950" s="3" t="s">
        <v>12686</v>
      </c>
      <c r="C14950" s="5" t="s">
        <v>614</v>
      </c>
      <c r="D14950" s="3" t="s">
        <v>206</v>
      </c>
      <c r="E14950" s="3" t="s">
        <v>100</v>
      </c>
      <c r="F14950" s="7">
        <v>46036.259197437466</v>
      </c>
      <c r="G14950" s="3" t="s">
        <v>4072</v>
      </c>
    </row>
    <row r="14951">
      <c r="A14951" s="3" t="s">
        <v>30884</v>
      </c>
      <c r="B14951" s="3" t="s">
        <v>12686</v>
      </c>
      <c r="C14951" s="5" t="s">
        <v>206</v>
      </c>
      <c r="D14951" s="3" t="s">
        <v>68</v>
      </c>
      <c r="E14951" s="3" t="s">
        <v>100</v>
      </c>
      <c r="F14951" s="7">
        <v>46036.262669659685</v>
      </c>
      <c r="G14951" s="3" t="s">
        <v>4075</v>
      </c>
    </row>
    <row r="14952">
      <c r="A14952" s="3" t="s">
        <v>30885</v>
      </c>
      <c r="B14952" s="3" t="s">
        <v>12688</v>
      </c>
      <c r="C14952" s="5" t="s">
        <v>45</v>
      </c>
      <c r="D14952" s="3" t="s">
        <v>221</v>
      </c>
      <c r="E14952" s="3" t="s">
        <v>565</v>
      </c>
      <c r="F14952" s="7">
        <v>46036.32342783844</v>
      </c>
      <c r="G14952" s="3" t="s">
        <v>4113</v>
      </c>
    </row>
    <row r="14953">
      <c r="A14953" s="3" t="s">
        <v>30886</v>
      </c>
      <c r="B14953" s="3" t="s">
        <v>12688</v>
      </c>
      <c r="C14953" s="5" t="s">
        <v>221</v>
      </c>
      <c r="D14953" s="3" t="s">
        <v>614</v>
      </c>
      <c r="E14953" s="3" t="s">
        <v>118</v>
      </c>
      <c r="F14953" s="7">
        <v>46036.32690006066</v>
      </c>
      <c r="G14953" s="3" t="s">
        <v>4116</v>
      </c>
    </row>
    <row r="14954">
      <c r="A14954" s="3" t="s">
        <v>30887</v>
      </c>
      <c r="B14954" s="3" t="s">
        <v>12688</v>
      </c>
      <c r="C14954" s="5" t="s">
        <v>614</v>
      </c>
      <c r="D14954" s="3" t="s">
        <v>206</v>
      </c>
      <c r="E14954" s="3" t="s">
        <v>100</v>
      </c>
      <c r="F14954" s="7">
        <v>46036.330372282886</v>
      </c>
      <c r="G14954" s="3" t="s">
        <v>4119</v>
      </c>
    </row>
    <row r="14955">
      <c r="A14955" s="3" t="s">
        <v>30888</v>
      </c>
      <c r="B14955" s="3" t="s">
        <v>12688</v>
      </c>
      <c r="C14955" s="5" t="s">
        <v>206</v>
      </c>
      <c r="D14955" s="3" t="s">
        <v>68</v>
      </c>
      <c r="E14955" s="3" t="s">
        <v>100</v>
      </c>
      <c r="F14955" s="7">
        <v>46036.333844505105</v>
      </c>
      <c r="G14955" s="3" t="s">
        <v>4121</v>
      </c>
    </row>
    <row r="14956">
      <c r="A14956" s="3" t="s">
        <v>30889</v>
      </c>
      <c r="B14956" s="3" t="s">
        <v>12691</v>
      </c>
      <c r="C14956" s="5" t="s">
        <v>45</v>
      </c>
      <c r="D14956" s="3" t="s">
        <v>221</v>
      </c>
      <c r="E14956" s="3" t="s">
        <v>313</v>
      </c>
      <c r="F14956" s="7">
        <v>46036.39460268385</v>
      </c>
      <c r="G14956" s="3" t="s">
        <v>14991</v>
      </c>
    </row>
    <row r="14957">
      <c r="A14957" s="3" t="s">
        <v>30890</v>
      </c>
      <c r="B14957" s="3" t="s">
        <v>12691</v>
      </c>
      <c r="C14957" s="5" t="s">
        <v>221</v>
      </c>
      <c r="D14957" s="3" t="s">
        <v>614</v>
      </c>
      <c r="E14957" s="3" t="s">
        <v>118</v>
      </c>
      <c r="F14957" s="7">
        <v>46036.39807490607</v>
      </c>
      <c r="G14957" s="3" t="s">
        <v>19172</v>
      </c>
    </row>
    <row r="14958">
      <c r="A14958" s="3" t="s">
        <v>30891</v>
      </c>
      <c r="B14958" s="3" t="s">
        <v>12691</v>
      </c>
      <c r="C14958" s="5" t="s">
        <v>614</v>
      </c>
      <c r="D14958" s="3" t="s">
        <v>206</v>
      </c>
      <c r="E14958" s="3" t="s">
        <v>100</v>
      </c>
      <c r="F14958" s="7">
        <v>46036.4015471283</v>
      </c>
      <c r="G14958" s="3" t="s">
        <v>19175</v>
      </c>
    </row>
    <row r="14959">
      <c r="A14959" s="3" t="s">
        <v>30892</v>
      </c>
      <c r="B14959" s="3" t="s">
        <v>12691</v>
      </c>
      <c r="C14959" s="5" t="s">
        <v>206</v>
      </c>
      <c r="D14959" s="3" t="s">
        <v>68</v>
      </c>
      <c r="E14959" s="3" t="s">
        <v>100</v>
      </c>
      <c r="F14959" s="7">
        <v>46036.40501935052</v>
      </c>
      <c r="G14959" s="3" t="s">
        <v>19178</v>
      </c>
    </row>
    <row r="14960">
      <c r="A14960" s="3" t="s">
        <v>30893</v>
      </c>
      <c r="B14960" s="3" t="s">
        <v>12694</v>
      </c>
      <c r="C14960" s="5" t="s">
        <v>45</v>
      </c>
      <c r="D14960" s="3" t="s">
        <v>221</v>
      </c>
      <c r="E14960" s="3" t="s">
        <v>565</v>
      </c>
      <c r="F14960" s="7">
        <v>46036.465777529265</v>
      </c>
      <c r="G14960" s="3" t="s">
        <v>4376</v>
      </c>
    </row>
    <row r="14961">
      <c r="A14961" s="3" t="s">
        <v>30894</v>
      </c>
      <c r="B14961" s="3" t="s">
        <v>12694</v>
      </c>
      <c r="C14961" s="5" t="s">
        <v>221</v>
      </c>
      <c r="D14961" s="3" t="s">
        <v>614</v>
      </c>
      <c r="E14961" s="3" t="s">
        <v>118</v>
      </c>
      <c r="F14961" s="7">
        <v>46036.469249751484</v>
      </c>
      <c r="G14961" s="3" t="s">
        <v>4379</v>
      </c>
    </row>
    <row r="14962">
      <c r="A14962" s="3" t="s">
        <v>30895</v>
      </c>
      <c r="B14962" s="3" t="s">
        <v>12694</v>
      </c>
      <c r="C14962" s="5" t="s">
        <v>614</v>
      </c>
      <c r="D14962" s="3" t="s">
        <v>206</v>
      </c>
      <c r="E14962" s="3" t="s">
        <v>100</v>
      </c>
      <c r="F14962" s="7">
        <v>46036.47272197371</v>
      </c>
      <c r="G14962" s="3" t="s">
        <v>4382</v>
      </c>
    </row>
    <row r="14963">
      <c r="A14963" s="3" t="s">
        <v>30896</v>
      </c>
      <c r="B14963" s="3" t="s">
        <v>12694</v>
      </c>
      <c r="C14963" s="5" t="s">
        <v>206</v>
      </c>
      <c r="D14963" s="3" t="s">
        <v>68</v>
      </c>
      <c r="E14963" s="3" t="s">
        <v>100</v>
      </c>
      <c r="F14963" s="7">
        <v>46036.47619419593</v>
      </c>
      <c r="G14963" s="3" t="s">
        <v>4385</v>
      </c>
    </row>
    <row r="14964">
      <c r="A14964" s="3" t="s">
        <v>30897</v>
      </c>
      <c r="B14964" s="3" t="s">
        <v>12697</v>
      </c>
      <c r="C14964" s="5" t="s">
        <v>45</v>
      </c>
      <c r="D14964" s="3" t="s">
        <v>221</v>
      </c>
      <c r="E14964" s="3" t="s">
        <v>290</v>
      </c>
      <c r="F14964" s="7">
        <v>46036.536952374685</v>
      </c>
      <c r="G14964" s="3" t="s">
        <v>16822</v>
      </c>
    </row>
    <row r="14965">
      <c r="A14965" s="3" t="s">
        <v>30898</v>
      </c>
      <c r="B14965" s="3" t="s">
        <v>12697</v>
      </c>
      <c r="C14965" s="5" t="s">
        <v>221</v>
      </c>
      <c r="D14965" s="3" t="s">
        <v>614</v>
      </c>
      <c r="E14965" s="3" t="s">
        <v>118</v>
      </c>
      <c r="F14965" s="7">
        <v>46036.540424596904</v>
      </c>
      <c r="G14965" s="3" t="s">
        <v>16825</v>
      </c>
    </row>
    <row r="14966">
      <c r="A14966" s="3" t="s">
        <v>30899</v>
      </c>
      <c r="B14966" s="3" t="s">
        <v>12697</v>
      </c>
      <c r="C14966" s="5" t="s">
        <v>614</v>
      </c>
      <c r="D14966" s="3" t="s">
        <v>206</v>
      </c>
      <c r="E14966" s="3" t="s">
        <v>100</v>
      </c>
      <c r="F14966" s="7">
        <v>46036.54389681913</v>
      </c>
      <c r="G14966" s="3" t="s">
        <v>16828</v>
      </c>
    </row>
    <row r="14967">
      <c r="A14967" s="3" t="s">
        <v>30900</v>
      </c>
      <c r="B14967" s="3" t="s">
        <v>12697</v>
      </c>
      <c r="C14967" s="5" t="s">
        <v>206</v>
      </c>
      <c r="D14967" s="3" t="s">
        <v>68</v>
      </c>
      <c r="E14967" s="3" t="s">
        <v>100</v>
      </c>
      <c r="F14967" s="7">
        <v>46036.54736904135</v>
      </c>
      <c r="G14967" s="3" t="s">
        <v>16831</v>
      </c>
    </row>
    <row r="14968">
      <c r="A14968" s="3" t="s">
        <v>30901</v>
      </c>
      <c r="B14968" s="3" t="s">
        <v>12700</v>
      </c>
      <c r="C14968" s="5" t="s">
        <v>45</v>
      </c>
      <c r="D14968" s="3" t="s">
        <v>221</v>
      </c>
      <c r="E14968" s="3" t="s">
        <v>1021</v>
      </c>
      <c r="F14968" s="7">
        <v>46036.608127220105</v>
      </c>
      <c r="G14968" s="3" t="s">
        <v>11571</v>
      </c>
    </row>
    <row r="14969">
      <c r="A14969" s="3" t="s">
        <v>30902</v>
      </c>
      <c r="B14969" s="3" t="s">
        <v>12700</v>
      </c>
      <c r="C14969" s="5" t="s">
        <v>221</v>
      </c>
      <c r="D14969" s="3" t="s">
        <v>614</v>
      </c>
      <c r="E14969" s="3" t="s">
        <v>118</v>
      </c>
      <c r="F14969" s="7">
        <v>46036.61159944232</v>
      </c>
      <c r="G14969" s="3" t="s">
        <v>27354</v>
      </c>
    </row>
    <row r="14970">
      <c r="A14970" s="3" t="s">
        <v>30903</v>
      </c>
      <c r="B14970" s="3" t="s">
        <v>12700</v>
      </c>
      <c r="C14970" s="5" t="s">
        <v>614</v>
      </c>
      <c r="D14970" s="3" t="s">
        <v>206</v>
      </c>
      <c r="E14970" s="3" t="s">
        <v>100</v>
      </c>
      <c r="F14970" s="7">
        <v>46036.61507166455</v>
      </c>
      <c r="G14970" s="3" t="s">
        <v>27356</v>
      </c>
    </row>
    <row r="14971">
      <c r="A14971" s="3" t="s">
        <v>30904</v>
      </c>
      <c r="B14971" s="3" t="s">
        <v>12700</v>
      </c>
      <c r="C14971" s="5" t="s">
        <v>206</v>
      </c>
      <c r="D14971" s="3" t="s">
        <v>68</v>
      </c>
      <c r="E14971" s="3" t="s">
        <v>100</v>
      </c>
      <c r="F14971" s="7">
        <v>46036.61854388677</v>
      </c>
      <c r="G14971" s="3" t="s">
        <v>27358</v>
      </c>
    </row>
    <row r="14972">
      <c r="A14972" s="3" t="s">
        <v>30905</v>
      </c>
      <c r="B14972" s="3" t="s">
        <v>12703</v>
      </c>
      <c r="C14972" s="5" t="s">
        <v>45</v>
      </c>
      <c r="D14972" s="3" t="s">
        <v>221</v>
      </c>
      <c r="E14972" s="3" t="s">
        <v>800</v>
      </c>
      <c r="F14972" s="7">
        <v>46036.67930206551</v>
      </c>
      <c r="G14972" s="3" t="s">
        <v>4136</v>
      </c>
    </row>
    <row r="14973">
      <c r="A14973" s="3" t="s">
        <v>30906</v>
      </c>
      <c r="B14973" s="3" t="s">
        <v>12703</v>
      </c>
      <c r="C14973" s="5" t="s">
        <v>221</v>
      </c>
      <c r="D14973" s="3" t="s">
        <v>614</v>
      </c>
      <c r="E14973" s="3" t="s">
        <v>118</v>
      </c>
      <c r="F14973" s="7">
        <v>46036.68277428773</v>
      </c>
      <c r="G14973" s="3" t="s">
        <v>4138</v>
      </c>
    </row>
    <row r="14974">
      <c r="A14974" s="3" t="s">
        <v>30907</v>
      </c>
      <c r="B14974" s="3" t="s">
        <v>12703</v>
      </c>
      <c r="C14974" s="5" t="s">
        <v>614</v>
      </c>
      <c r="D14974" s="3" t="s">
        <v>206</v>
      </c>
      <c r="E14974" s="3" t="s">
        <v>100</v>
      </c>
      <c r="F14974" s="7">
        <v>46036.686246509955</v>
      </c>
      <c r="G14974" s="3" t="s">
        <v>4141</v>
      </c>
    </row>
    <row r="14975">
      <c r="A14975" s="3" t="s">
        <v>30908</v>
      </c>
      <c r="B14975" s="3" t="s">
        <v>12703</v>
      </c>
      <c r="C14975" s="5" t="s">
        <v>206</v>
      </c>
      <c r="D14975" s="3" t="s">
        <v>68</v>
      </c>
      <c r="E14975" s="3" t="s">
        <v>100</v>
      </c>
      <c r="F14975" s="7">
        <v>46036.689718732174</v>
      </c>
      <c r="G14975" s="3" t="s">
        <v>4144</v>
      </c>
    </row>
    <row r="14976">
      <c r="A14976" s="3" t="s">
        <v>30909</v>
      </c>
      <c r="B14976" s="3" t="s">
        <v>12706</v>
      </c>
      <c r="C14976" s="5" t="s">
        <v>45</v>
      </c>
      <c r="D14976" s="3" t="s">
        <v>221</v>
      </c>
      <c r="E14976" s="3" t="s">
        <v>953</v>
      </c>
      <c r="F14976" s="7">
        <v>46036.75047691093</v>
      </c>
      <c r="G14976" s="3" t="s">
        <v>27120</v>
      </c>
    </row>
    <row r="14977">
      <c r="A14977" s="3" t="s">
        <v>30910</v>
      </c>
      <c r="B14977" s="3" t="s">
        <v>12706</v>
      </c>
      <c r="C14977" s="5" t="s">
        <v>221</v>
      </c>
      <c r="D14977" s="3" t="s">
        <v>614</v>
      </c>
      <c r="E14977" s="3" t="s">
        <v>118</v>
      </c>
      <c r="F14977" s="7">
        <v>46036.75394913315</v>
      </c>
      <c r="G14977" s="3" t="s">
        <v>27122</v>
      </c>
    </row>
    <row r="14978">
      <c r="A14978" s="3" t="s">
        <v>30911</v>
      </c>
      <c r="B14978" s="3" t="s">
        <v>12706</v>
      </c>
      <c r="C14978" s="5" t="s">
        <v>614</v>
      </c>
      <c r="D14978" s="3" t="s">
        <v>206</v>
      </c>
      <c r="E14978" s="3" t="s">
        <v>100</v>
      </c>
      <c r="F14978" s="7">
        <v>46036.757421355374</v>
      </c>
      <c r="G14978" s="3" t="s">
        <v>27124</v>
      </c>
    </row>
    <row r="14979">
      <c r="A14979" s="3" t="s">
        <v>30912</v>
      </c>
      <c r="B14979" s="3" t="s">
        <v>12706</v>
      </c>
      <c r="C14979" s="5" t="s">
        <v>206</v>
      </c>
      <c r="D14979" s="3" t="s">
        <v>68</v>
      </c>
      <c r="E14979" s="3" t="s">
        <v>100</v>
      </c>
      <c r="F14979" s="7">
        <v>46036.76089357759</v>
      </c>
      <c r="G14979" s="3" t="s">
        <v>27126</v>
      </c>
    </row>
    <row r="14980">
      <c r="A14980" s="3" t="s">
        <v>30913</v>
      </c>
      <c r="B14980" s="3" t="s">
        <v>12709</v>
      </c>
      <c r="C14980" s="5" t="s">
        <v>45</v>
      </c>
      <c r="D14980" s="3" t="s">
        <v>221</v>
      </c>
      <c r="E14980" s="3" t="s">
        <v>886</v>
      </c>
      <c r="F14980" s="7">
        <v>46036.82165175635</v>
      </c>
      <c r="G14980" s="3" t="s">
        <v>17843</v>
      </c>
    </row>
    <row r="14981">
      <c r="A14981" s="3" t="s">
        <v>30914</v>
      </c>
      <c r="B14981" s="3" t="s">
        <v>12709</v>
      </c>
      <c r="C14981" s="5" t="s">
        <v>221</v>
      </c>
      <c r="D14981" s="3" t="s">
        <v>181</v>
      </c>
      <c r="E14981" s="3" t="s">
        <v>118</v>
      </c>
      <c r="F14981" s="7">
        <v>46036.82512397857</v>
      </c>
      <c r="G14981" s="3" t="s">
        <v>30915</v>
      </c>
    </row>
    <row r="14982">
      <c r="A14982" s="3" t="s">
        <v>30916</v>
      </c>
      <c r="B14982" s="3" t="s">
        <v>12712</v>
      </c>
      <c r="C14982" s="5" t="s">
        <v>45</v>
      </c>
      <c r="D14982" s="3" t="s">
        <v>221</v>
      </c>
      <c r="E14982" s="3" t="s">
        <v>505</v>
      </c>
      <c r="F14982" s="7">
        <v>46036.89282660176</v>
      </c>
      <c r="G14982" s="3" t="s">
        <v>17219</v>
      </c>
    </row>
    <row r="14983">
      <c r="A14983" s="3" t="s">
        <v>30917</v>
      </c>
      <c r="B14983" s="3" t="s">
        <v>12712</v>
      </c>
      <c r="C14983" s="5" t="s">
        <v>221</v>
      </c>
      <c r="D14983" s="3" t="s">
        <v>614</v>
      </c>
      <c r="E14983" s="3" t="s">
        <v>118</v>
      </c>
      <c r="F14983" s="7">
        <v>46036.89629882398</v>
      </c>
      <c r="G14983" s="3" t="s">
        <v>17222</v>
      </c>
    </row>
    <row r="14984">
      <c r="A14984" s="3" t="s">
        <v>30918</v>
      </c>
      <c r="B14984" s="3" t="s">
        <v>12712</v>
      </c>
      <c r="C14984" s="5" t="s">
        <v>614</v>
      </c>
      <c r="D14984" s="3" t="s">
        <v>206</v>
      </c>
      <c r="E14984" s="3" t="s">
        <v>100</v>
      </c>
      <c r="F14984" s="7">
        <v>46036.899771046206</v>
      </c>
      <c r="G14984" s="3" t="s">
        <v>17225</v>
      </c>
    </row>
    <row r="14985">
      <c r="A14985" s="3" t="s">
        <v>30919</v>
      </c>
      <c r="B14985" s="3" t="s">
        <v>12712</v>
      </c>
      <c r="C14985" s="5" t="s">
        <v>206</v>
      </c>
      <c r="D14985" s="3" t="s">
        <v>68</v>
      </c>
      <c r="E14985" s="3" t="s">
        <v>100</v>
      </c>
      <c r="F14985" s="7">
        <v>46036.903243268425</v>
      </c>
      <c r="G14985" s="3" t="s">
        <v>17227</v>
      </c>
    </row>
    <row r="14986">
      <c r="A14986" s="3" t="s">
        <v>30920</v>
      </c>
      <c r="B14986" s="3" t="s">
        <v>12715</v>
      </c>
      <c r="C14986" s="5" t="s">
        <v>45</v>
      </c>
      <c r="D14986" s="3" t="s">
        <v>221</v>
      </c>
      <c r="E14986" s="3" t="s">
        <v>598</v>
      </c>
      <c r="F14986" s="7">
        <v>46036.96400144717</v>
      </c>
      <c r="G14986" s="3" t="s">
        <v>4152</v>
      </c>
    </row>
    <row r="14987">
      <c r="A14987" s="3" t="s">
        <v>30921</v>
      </c>
      <c r="B14987" s="3" t="s">
        <v>12715</v>
      </c>
      <c r="C14987" s="5" t="s">
        <v>221</v>
      </c>
      <c r="D14987" s="3" t="s">
        <v>614</v>
      </c>
      <c r="E14987" s="3" t="s">
        <v>118</v>
      </c>
      <c r="F14987" s="7">
        <v>46036.96747366939</v>
      </c>
      <c r="G14987" s="3" t="s">
        <v>4155</v>
      </c>
    </row>
    <row r="14988">
      <c r="A14988" s="3" t="s">
        <v>30922</v>
      </c>
      <c r="B14988" s="3" t="s">
        <v>12715</v>
      </c>
      <c r="C14988" s="5" t="s">
        <v>614</v>
      </c>
      <c r="D14988" s="3" t="s">
        <v>206</v>
      </c>
      <c r="E14988" s="3" t="s">
        <v>100</v>
      </c>
      <c r="F14988" s="7">
        <v>46036.97094589162</v>
      </c>
      <c r="G14988" s="3" t="s">
        <v>4158</v>
      </c>
    </row>
    <row r="14989">
      <c r="A14989" s="3" t="s">
        <v>30923</v>
      </c>
      <c r="B14989" s="3" t="s">
        <v>12715</v>
      </c>
      <c r="C14989" s="5" t="s">
        <v>206</v>
      </c>
      <c r="D14989" s="3" t="s">
        <v>68</v>
      </c>
      <c r="E14989" s="3" t="s">
        <v>100</v>
      </c>
      <c r="F14989" s="7">
        <v>46036.97441811384</v>
      </c>
      <c r="G14989" s="3" t="s">
        <v>4161</v>
      </c>
    </row>
    <row r="14990">
      <c r="A14990" s="3" t="s">
        <v>30924</v>
      </c>
      <c r="B14990" s="3" t="s">
        <v>12720</v>
      </c>
      <c r="C14990" s="5" t="s">
        <v>45</v>
      </c>
      <c r="D14990" s="3" t="s">
        <v>221</v>
      </c>
      <c r="E14990" s="3" t="s">
        <v>1011</v>
      </c>
      <c r="F14990" s="7">
        <v>46037.03517629259</v>
      </c>
      <c r="G14990" s="3" t="s">
        <v>2770</v>
      </c>
    </row>
    <row r="14991">
      <c r="A14991" s="3" t="s">
        <v>30925</v>
      </c>
      <c r="B14991" s="3" t="s">
        <v>12720</v>
      </c>
      <c r="C14991" s="5" t="s">
        <v>221</v>
      </c>
      <c r="D14991" s="3" t="s">
        <v>195</v>
      </c>
      <c r="E14991" s="3" t="s">
        <v>1011</v>
      </c>
      <c r="F14991" s="7">
        <v>46037.03864851481</v>
      </c>
      <c r="G14991" s="3" t="s">
        <v>3055</v>
      </c>
    </row>
    <row r="14992">
      <c r="A14992" s="3" t="s">
        <v>30926</v>
      </c>
      <c r="B14992" s="3" t="s">
        <v>12722</v>
      </c>
      <c r="C14992" s="5" t="s">
        <v>45</v>
      </c>
      <c r="D14992" s="3" t="s">
        <v>221</v>
      </c>
      <c r="E14992" s="3" t="s">
        <v>1001</v>
      </c>
      <c r="F14992" s="7">
        <v>46037.106351138005</v>
      </c>
      <c r="G14992" s="3" t="s">
        <v>14886</v>
      </c>
    </row>
    <row r="14993">
      <c r="A14993" s="3" t="s">
        <v>30927</v>
      </c>
      <c r="B14993" s="3" t="s">
        <v>12722</v>
      </c>
      <c r="C14993" s="5" t="s">
        <v>221</v>
      </c>
      <c r="D14993" s="3" t="s">
        <v>614</v>
      </c>
      <c r="E14993" s="3" t="s">
        <v>118</v>
      </c>
      <c r="F14993" s="7">
        <v>46037.109823360224</v>
      </c>
      <c r="G14993" s="3" t="s">
        <v>14889</v>
      </c>
    </row>
    <row r="14994">
      <c r="A14994" s="3" t="s">
        <v>30928</v>
      </c>
      <c r="B14994" s="3" t="s">
        <v>12722</v>
      </c>
      <c r="C14994" s="5" t="s">
        <v>614</v>
      </c>
      <c r="D14994" s="3" t="s">
        <v>206</v>
      </c>
      <c r="E14994" s="3" t="s">
        <v>100</v>
      </c>
      <c r="F14994" s="7">
        <v>46037.11329558245</v>
      </c>
      <c r="G14994" s="3" t="s">
        <v>14892</v>
      </c>
    </row>
    <row r="14995">
      <c r="A14995" s="3" t="s">
        <v>30929</v>
      </c>
      <c r="B14995" s="3" t="s">
        <v>12722</v>
      </c>
      <c r="C14995" s="5" t="s">
        <v>206</v>
      </c>
      <c r="D14995" s="3" t="s">
        <v>68</v>
      </c>
      <c r="E14995" s="3" t="s">
        <v>100</v>
      </c>
      <c r="F14995" s="7">
        <v>46037.11676780467</v>
      </c>
      <c r="G14995" s="3" t="s">
        <v>14895</v>
      </c>
    </row>
    <row r="14996">
      <c r="A14996" s="3" t="s">
        <v>30930</v>
      </c>
      <c r="B14996" s="3" t="s">
        <v>12724</v>
      </c>
      <c r="C14996" s="5" t="s">
        <v>45</v>
      </c>
      <c r="D14996" s="3" t="s">
        <v>221</v>
      </c>
      <c r="E14996" s="3" t="s">
        <v>310</v>
      </c>
      <c r="F14996" s="7">
        <v>46037.17752598342</v>
      </c>
      <c r="G14996" s="3" t="s">
        <v>4175</v>
      </c>
    </row>
    <row r="14997">
      <c r="A14997" s="3" t="s">
        <v>30931</v>
      </c>
      <c r="B14997" s="3" t="s">
        <v>12724</v>
      </c>
      <c r="C14997" s="5" t="s">
        <v>221</v>
      </c>
      <c r="D14997" s="3" t="s">
        <v>614</v>
      </c>
      <c r="E14997" s="3" t="s">
        <v>118</v>
      </c>
      <c r="F14997" s="7">
        <v>46037.18099820564</v>
      </c>
      <c r="G14997" s="3" t="s">
        <v>4178</v>
      </c>
    </row>
    <row r="14998">
      <c r="A14998" s="3" t="s">
        <v>30932</v>
      </c>
      <c r="B14998" s="3" t="s">
        <v>12724</v>
      </c>
      <c r="C14998" s="5" t="s">
        <v>614</v>
      </c>
      <c r="D14998" s="3" t="s">
        <v>206</v>
      </c>
      <c r="E14998" s="3" t="s">
        <v>100</v>
      </c>
      <c r="F14998" s="7">
        <v>46037.18447042786</v>
      </c>
      <c r="G14998" s="3" t="s">
        <v>4181</v>
      </c>
    </row>
    <row r="14999">
      <c r="A14999" s="3" t="s">
        <v>30933</v>
      </c>
      <c r="B14999" s="3" t="s">
        <v>12724</v>
      </c>
      <c r="C14999" s="5" t="s">
        <v>206</v>
      </c>
      <c r="D14999" s="3" t="s">
        <v>68</v>
      </c>
      <c r="E14999" s="3" t="s">
        <v>100</v>
      </c>
      <c r="F14999" s="7">
        <v>46037.18794265008</v>
      </c>
      <c r="G14999" s="3" t="s">
        <v>4184</v>
      </c>
    </row>
    <row r="15000">
      <c r="A15000" s="3" t="s">
        <v>30934</v>
      </c>
      <c r="B15000" s="3" t="s">
        <v>12727</v>
      </c>
      <c r="C15000" s="5" t="s">
        <v>45</v>
      </c>
      <c r="D15000" s="3" t="s">
        <v>221</v>
      </c>
      <c r="E15000" s="3" t="s">
        <v>224</v>
      </c>
      <c r="F15000" s="7">
        <v>46037.24870082884</v>
      </c>
      <c r="G15000" s="3" t="s">
        <v>21743</v>
      </c>
    </row>
    <row r="15001">
      <c r="A15001" s="3" t="s">
        <v>30935</v>
      </c>
      <c r="B15001" s="3" t="s">
        <v>12727</v>
      </c>
      <c r="C15001" s="5" t="s">
        <v>221</v>
      </c>
      <c r="D15001" s="3" t="s">
        <v>614</v>
      </c>
      <c r="E15001" s="3" t="s">
        <v>118</v>
      </c>
      <c r="F15001" s="7">
        <v>46037.252173051056</v>
      </c>
      <c r="G15001" s="3" t="s">
        <v>21746</v>
      </c>
    </row>
    <row r="15002">
      <c r="A15002" s="3" t="s">
        <v>30936</v>
      </c>
      <c r="B15002" s="3" t="s">
        <v>12727</v>
      </c>
      <c r="C15002" s="5" t="s">
        <v>614</v>
      </c>
      <c r="D15002" s="3" t="s">
        <v>206</v>
      </c>
      <c r="E15002" s="3" t="s">
        <v>100</v>
      </c>
      <c r="F15002" s="7">
        <v>46037.25564527328</v>
      </c>
      <c r="G15002" s="3" t="s">
        <v>21749</v>
      </c>
    </row>
    <row r="15003">
      <c r="A15003" s="3" t="s">
        <v>30937</v>
      </c>
      <c r="B15003" s="3" t="s">
        <v>12727</v>
      </c>
      <c r="C15003" s="5" t="s">
        <v>206</v>
      </c>
      <c r="D15003" s="3" t="s">
        <v>68</v>
      </c>
      <c r="E15003" s="3" t="s">
        <v>100</v>
      </c>
      <c r="F15003" s="7">
        <v>46037.2591174955</v>
      </c>
      <c r="G15003" s="3" t="s">
        <v>21752</v>
      </c>
    </row>
    <row r="15004">
      <c r="A15004" s="3" t="s">
        <v>30938</v>
      </c>
      <c r="B15004" s="3" t="s">
        <v>12730</v>
      </c>
      <c r="C15004" s="5" t="s">
        <v>45</v>
      </c>
      <c r="D15004" s="3" t="s">
        <v>221</v>
      </c>
      <c r="E15004" s="3" t="s">
        <v>903</v>
      </c>
      <c r="F15004" s="7">
        <v>46037.31987567425</v>
      </c>
      <c r="G15004" s="3" t="s">
        <v>12191</v>
      </c>
    </row>
    <row r="15005">
      <c r="A15005" s="3" t="s">
        <v>30939</v>
      </c>
      <c r="B15005" s="3" t="s">
        <v>12730</v>
      </c>
      <c r="C15005" s="5" t="s">
        <v>221</v>
      </c>
      <c r="D15005" s="3" t="s">
        <v>614</v>
      </c>
      <c r="E15005" s="3" t="s">
        <v>118</v>
      </c>
      <c r="F15005" s="7">
        <v>46037.32334789647</v>
      </c>
      <c r="G15005" s="3" t="s">
        <v>12194</v>
      </c>
    </row>
    <row r="15006">
      <c r="A15006" s="3" t="s">
        <v>30940</v>
      </c>
      <c r="B15006" s="3" t="s">
        <v>12730</v>
      </c>
      <c r="C15006" s="5" t="s">
        <v>614</v>
      </c>
      <c r="D15006" s="3" t="s">
        <v>206</v>
      </c>
      <c r="E15006" s="3" t="s">
        <v>100</v>
      </c>
      <c r="F15006" s="7">
        <v>46037.326820118695</v>
      </c>
      <c r="G15006" s="3" t="s">
        <v>12197</v>
      </c>
    </row>
    <row r="15007">
      <c r="A15007" s="3" t="s">
        <v>30941</v>
      </c>
      <c r="B15007" s="3" t="s">
        <v>12730</v>
      </c>
      <c r="C15007" s="5" t="s">
        <v>206</v>
      </c>
      <c r="D15007" s="3" t="s">
        <v>68</v>
      </c>
      <c r="E15007" s="3" t="s">
        <v>100</v>
      </c>
      <c r="F15007" s="7">
        <v>46037.330292340914</v>
      </c>
      <c r="G15007" s="3" t="s">
        <v>12200</v>
      </c>
    </row>
    <row r="15008">
      <c r="A15008" s="3" t="s">
        <v>30942</v>
      </c>
      <c r="B15008" s="3" t="s">
        <v>12731</v>
      </c>
      <c r="C15008" s="5" t="s">
        <v>45</v>
      </c>
      <c r="D15008" s="3" t="s">
        <v>221</v>
      </c>
      <c r="E15008" s="3" t="s">
        <v>266</v>
      </c>
      <c r="F15008" s="7">
        <v>46037.39105051966</v>
      </c>
      <c r="G15008" s="3" t="s">
        <v>4205</v>
      </c>
    </row>
    <row r="15009">
      <c r="A15009" s="3" t="s">
        <v>30943</v>
      </c>
      <c r="B15009" s="3" t="s">
        <v>12731</v>
      </c>
      <c r="C15009" s="5" t="s">
        <v>221</v>
      </c>
      <c r="D15009" s="3" t="s">
        <v>614</v>
      </c>
      <c r="E15009" s="3" t="s">
        <v>118</v>
      </c>
      <c r="F15009" s="7">
        <v>46037.39452274188</v>
      </c>
      <c r="G15009" s="3" t="s">
        <v>4208</v>
      </c>
    </row>
    <row r="15010">
      <c r="A15010" s="3" t="s">
        <v>30944</v>
      </c>
      <c r="B15010" s="3" t="s">
        <v>12731</v>
      </c>
      <c r="C15010" s="5" t="s">
        <v>614</v>
      </c>
      <c r="D15010" s="3" t="s">
        <v>206</v>
      </c>
      <c r="E15010" s="3" t="s">
        <v>100</v>
      </c>
      <c r="F15010" s="7">
        <v>46037.39799496411</v>
      </c>
      <c r="G15010" s="3" t="s">
        <v>4211</v>
      </c>
    </row>
    <row r="15011">
      <c r="A15011" s="3" t="s">
        <v>30945</v>
      </c>
      <c r="B15011" s="3" t="s">
        <v>12731</v>
      </c>
      <c r="C15011" s="5" t="s">
        <v>206</v>
      </c>
      <c r="D15011" s="3" t="s">
        <v>68</v>
      </c>
      <c r="E15011" s="3" t="s">
        <v>100</v>
      </c>
      <c r="F15011" s="7">
        <v>46037.401467186326</v>
      </c>
      <c r="G15011" s="3" t="s">
        <v>4214</v>
      </c>
    </row>
    <row r="15012">
      <c r="A15012" s="3" t="s">
        <v>30946</v>
      </c>
      <c r="B15012" s="3" t="s">
        <v>12734</v>
      </c>
      <c r="C15012" s="5" t="s">
        <v>45</v>
      </c>
      <c r="D15012" s="3" t="s">
        <v>221</v>
      </c>
      <c r="E15012" s="3" t="s">
        <v>969</v>
      </c>
      <c r="F15012" s="7">
        <v>46037.46222536508</v>
      </c>
      <c r="G15012" s="3" t="s">
        <v>15479</v>
      </c>
    </row>
    <row r="15013">
      <c r="A15013" s="3" t="s">
        <v>30947</v>
      </c>
      <c r="B15013" s="3" t="s">
        <v>12734</v>
      </c>
      <c r="C15013" s="5" t="s">
        <v>221</v>
      </c>
      <c r="D15013" s="3" t="s">
        <v>614</v>
      </c>
      <c r="E15013" s="3" t="s">
        <v>118</v>
      </c>
      <c r="F15013" s="7">
        <v>46037.4656975873</v>
      </c>
      <c r="G15013" s="3" t="s">
        <v>15482</v>
      </c>
    </row>
    <row r="15014">
      <c r="A15014" s="3" t="s">
        <v>30948</v>
      </c>
      <c r="B15014" s="3" t="s">
        <v>12734</v>
      </c>
      <c r="C15014" s="5" t="s">
        <v>614</v>
      </c>
      <c r="D15014" s="3" t="s">
        <v>206</v>
      </c>
      <c r="E15014" s="3" t="s">
        <v>100</v>
      </c>
      <c r="F15014" s="7">
        <v>46037.46916980953</v>
      </c>
      <c r="G15014" s="3" t="s">
        <v>15485</v>
      </c>
    </row>
    <row r="15015">
      <c r="A15015" s="3" t="s">
        <v>30949</v>
      </c>
      <c r="B15015" s="3" t="s">
        <v>12734</v>
      </c>
      <c r="C15015" s="5" t="s">
        <v>206</v>
      </c>
      <c r="D15015" s="3" t="s">
        <v>68</v>
      </c>
      <c r="E15015" s="3" t="s">
        <v>100</v>
      </c>
      <c r="F15015" s="7">
        <v>46037.472642031746</v>
      </c>
      <c r="G15015" s="3" t="s">
        <v>15488</v>
      </c>
    </row>
    <row r="15016">
      <c r="A15016" s="3" t="s">
        <v>30950</v>
      </c>
      <c r="B15016" s="3" t="s">
        <v>12737</v>
      </c>
      <c r="C15016" s="5" t="s">
        <v>45</v>
      </c>
      <c r="D15016" s="3" t="s">
        <v>221</v>
      </c>
      <c r="E15016" s="3" t="s">
        <v>655</v>
      </c>
      <c r="F15016" s="7">
        <v>46037.533400210494</v>
      </c>
      <c r="G15016" s="3" t="s">
        <v>4217</v>
      </c>
    </row>
    <row r="15017">
      <c r="A15017" s="3" t="s">
        <v>30951</v>
      </c>
      <c r="B15017" s="3" t="s">
        <v>12737</v>
      </c>
      <c r="C15017" s="5" t="s">
        <v>221</v>
      </c>
      <c r="D15017" s="3" t="s">
        <v>614</v>
      </c>
      <c r="E15017" s="3" t="s">
        <v>118</v>
      </c>
      <c r="F15017" s="7">
        <v>46037.53687243271</v>
      </c>
      <c r="G15017" s="3" t="s">
        <v>4220</v>
      </c>
    </row>
    <row r="15018">
      <c r="A15018" s="3" t="s">
        <v>30952</v>
      </c>
      <c r="B15018" s="3" t="s">
        <v>12737</v>
      </c>
      <c r="C15018" s="5" t="s">
        <v>614</v>
      </c>
      <c r="D15018" s="3" t="s">
        <v>206</v>
      </c>
      <c r="E15018" s="3" t="s">
        <v>100</v>
      </c>
      <c r="F15018" s="7">
        <v>46037.54034465494</v>
      </c>
      <c r="G15018" s="3" t="s">
        <v>4222</v>
      </c>
    </row>
    <row r="15019">
      <c r="A15019" s="3" t="s">
        <v>30953</v>
      </c>
      <c r="B15019" s="3" t="s">
        <v>12737</v>
      </c>
      <c r="C15019" s="5" t="s">
        <v>206</v>
      </c>
      <c r="D15019" s="3" t="s">
        <v>68</v>
      </c>
      <c r="E15019" s="3" t="s">
        <v>100</v>
      </c>
      <c r="F15019" s="7">
        <v>46037.54381687716</v>
      </c>
      <c r="G15019" s="3" t="s">
        <v>4225</v>
      </c>
    </row>
    <row r="15020">
      <c r="A15020" s="3" t="s">
        <v>30954</v>
      </c>
      <c r="B15020" s="3" t="s">
        <v>12740</v>
      </c>
      <c r="C15020" s="5" t="s">
        <v>45</v>
      </c>
      <c r="D15020" s="3" t="s">
        <v>221</v>
      </c>
      <c r="E15020" s="3" t="s">
        <v>269</v>
      </c>
      <c r="F15020" s="7">
        <v>46037.60457505591</v>
      </c>
      <c r="G15020" s="3" t="s">
        <v>4228</v>
      </c>
    </row>
    <row r="15021">
      <c r="A15021" s="3" t="s">
        <v>30955</v>
      </c>
      <c r="B15021" s="3" t="s">
        <v>12740</v>
      </c>
      <c r="C15021" s="5" t="s">
        <v>221</v>
      </c>
      <c r="D15021" s="3" t="s">
        <v>614</v>
      </c>
      <c r="E15021" s="3" t="s">
        <v>118</v>
      </c>
      <c r="F15021" s="7">
        <v>46037.60804727813</v>
      </c>
      <c r="G15021" s="3" t="s">
        <v>4231</v>
      </c>
    </row>
    <row r="15022">
      <c r="A15022" s="3" t="s">
        <v>30956</v>
      </c>
      <c r="B15022" s="3" t="s">
        <v>12740</v>
      </c>
      <c r="C15022" s="5" t="s">
        <v>614</v>
      </c>
      <c r="D15022" s="3" t="s">
        <v>206</v>
      </c>
      <c r="E15022" s="3" t="s">
        <v>100</v>
      </c>
      <c r="F15022" s="7">
        <v>46037.61151950036</v>
      </c>
      <c r="G15022" s="3" t="s">
        <v>4234</v>
      </c>
    </row>
    <row r="15023">
      <c r="A15023" s="3" t="s">
        <v>30957</v>
      </c>
      <c r="B15023" s="3" t="s">
        <v>12740</v>
      </c>
      <c r="C15023" s="5" t="s">
        <v>206</v>
      </c>
      <c r="D15023" s="3" t="s">
        <v>68</v>
      </c>
      <c r="E15023" s="3" t="s">
        <v>100</v>
      </c>
      <c r="F15023" s="7">
        <v>46037.61499172258</v>
      </c>
      <c r="G15023" s="3" t="s">
        <v>4237</v>
      </c>
    </row>
    <row r="15024">
      <c r="A15024" s="3" t="s">
        <v>30958</v>
      </c>
      <c r="B15024" s="3" t="s">
        <v>12743</v>
      </c>
      <c r="C15024" s="5" t="s">
        <v>45</v>
      </c>
      <c r="D15024" s="3" t="s">
        <v>221</v>
      </c>
      <c r="E15024" s="3" t="s">
        <v>616</v>
      </c>
      <c r="F15024" s="7">
        <v>46037.675749901326</v>
      </c>
      <c r="G15024" s="3" t="s">
        <v>4240</v>
      </c>
    </row>
    <row r="15025">
      <c r="A15025" s="3" t="s">
        <v>30959</v>
      </c>
      <c r="B15025" s="3" t="s">
        <v>12743</v>
      </c>
      <c r="C15025" s="5" t="s">
        <v>221</v>
      </c>
      <c r="D15025" s="3" t="s">
        <v>614</v>
      </c>
      <c r="E15025" s="3" t="s">
        <v>118</v>
      </c>
      <c r="F15025" s="7">
        <v>46037.679222123545</v>
      </c>
      <c r="G15025" s="3" t="s">
        <v>4243</v>
      </c>
    </row>
    <row r="15026">
      <c r="A15026" s="3" t="s">
        <v>30960</v>
      </c>
      <c r="B15026" s="3" t="s">
        <v>12743</v>
      </c>
      <c r="C15026" s="5" t="s">
        <v>614</v>
      </c>
      <c r="D15026" s="3" t="s">
        <v>206</v>
      </c>
      <c r="E15026" s="3" t="s">
        <v>100</v>
      </c>
      <c r="F15026" s="7">
        <v>46037.68269434577</v>
      </c>
      <c r="G15026" s="3" t="s">
        <v>4246</v>
      </c>
    </row>
    <row r="15027">
      <c r="A15027" s="3" t="s">
        <v>30961</v>
      </c>
      <c r="B15027" s="3" t="s">
        <v>12743</v>
      </c>
      <c r="C15027" s="5" t="s">
        <v>206</v>
      </c>
      <c r="D15027" s="3" t="s">
        <v>68</v>
      </c>
      <c r="E15027" s="3" t="s">
        <v>100</v>
      </c>
      <c r="F15027" s="7">
        <v>46037.68616656799</v>
      </c>
      <c r="G15027" s="3" t="s">
        <v>4249</v>
      </c>
    </row>
    <row r="15028">
      <c r="A15028" s="3" t="s">
        <v>30962</v>
      </c>
      <c r="B15028" s="3" t="s">
        <v>12746</v>
      </c>
      <c r="C15028" s="5" t="s">
        <v>45</v>
      </c>
      <c r="D15028" s="3" t="s">
        <v>221</v>
      </c>
      <c r="E15028" s="3" t="s">
        <v>943</v>
      </c>
      <c r="F15028" s="7">
        <v>46037.746924746745</v>
      </c>
      <c r="G15028" s="3" t="s">
        <v>28850</v>
      </c>
    </row>
    <row r="15029">
      <c r="A15029" s="3" t="s">
        <v>30963</v>
      </c>
      <c r="B15029" s="3" t="s">
        <v>12746</v>
      </c>
      <c r="C15029" s="5" t="s">
        <v>221</v>
      </c>
      <c r="D15029" s="3" t="s">
        <v>614</v>
      </c>
      <c r="E15029" s="3" t="s">
        <v>118</v>
      </c>
      <c r="F15029" s="7">
        <v>46037.750396968964</v>
      </c>
      <c r="G15029" s="3" t="s">
        <v>28852</v>
      </c>
    </row>
    <row r="15030">
      <c r="A15030" s="3" t="s">
        <v>30964</v>
      </c>
      <c r="B15030" s="3" t="s">
        <v>12746</v>
      </c>
      <c r="C15030" s="5" t="s">
        <v>614</v>
      </c>
      <c r="D15030" s="3" t="s">
        <v>206</v>
      </c>
      <c r="E15030" s="3" t="s">
        <v>100</v>
      </c>
      <c r="F15030" s="7">
        <v>46037.75386919119</v>
      </c>
      <c r="G15030" s="3" t="s">
        <v>28854</v>
      </c>
    </row>
    <row r="15031">
      <c r="A15031" s="3" t="s">
        <v>30965</v>
      </c>
      <c r="B15031" s="3" t="s">
        <v>12746</v>
      </c>
      <c r="C15031" s="5" t="s">
        <v>206</v>
      </c>
      <c r="D15031" s="3" t="s">
        <v>68</v>
      </c>
      <c r="E15031" s="3" t="s">
        <v>100</v>
      </c>
      <c r="F15031" s="7">
        <v>46037.75734141341</v>
      </c>
      <c r="G15031" s="3" t="s">
        <v>28856</v>
      </c>
    </row>
    <row r="15032">
      <c r="A15032" s="3" t="s">
        <v>30966</v>
      </c>
      <c r="B15032" s="3" t="s">
        <v>12749</v>
      </c>
      <c r="C15032" s="5" t="s">
        <v>45</v>
      </c>
      <c r="D15032" s="3" t="s">
        <v>221</v>
      </c>
      <c r="E15032" s="3" t="s">
        <v>600</v>
      </c>
      <c r="F15032" s="7">
        <v>46037.81809959215</v>
      </c>
      <c r="G15032" s="3" t="s">
        <v>12542</v>
      </c>
    </row>
    <row r="15033">
      <c r="A15033" s="3" t="s">
        <v>30967</v>
      </c>
      <c r="B15033" s="3" t="s">
        <v>12749</v>
      </c>
      <c r="C15033" s="5" t="s">
        <v>221</v>
      </c>
      <c r="D15033" s="3" t="s">
        <v>614</v>
      </c>
      <c r="E15033" s="3" t="s">
        <v>118</v>
      </c>
      <c r="F15033" s="7">
        <v>46037.82157181437</v>
      </c>
      <c r="G15033" s="3" t="s">
        <v>12545</v>
      </c>
    </row>
    <row r="15034">
      <c r="A15034" s="3" t="s">
        <v>30968</v>
      </c>
      <c r="B15034" s="3" t="s">
        <v>12749</v>
      </c>
      <c r="C15034" s="5" t="s">
        <v>614</v>
      </c>
      <c r="D15034" s="3" t="s">
        <v>206</v>
      </c>
      <c r="E15034" s="3" t="s">
        <v>100</v>
      </c>
      <c r="F15034" s="7">
        <v>46037.825044036596</v>
      </c>
      <c r="G15034" s="3" t="s">
        <v>12549</v>
      </c>
    </row>
    <row r="15035">
      <c r="A15035" s="3" t="s">
        <v>30969</v>
      </c>
      <c r="B15035" s="3" t="s">
        <v>12749</v>
      </c>
      <c r="C15035" s="5" t="s">
        <v>206</v>
      </c>
      <c r="D15035" s="3" t="s">
        <v>68</v>
      </c>
      <c r="E15035" s="3" t="s">
        <v>100</v>
      </c>
      <c r="F15035" s="7">
        <v>46037.828516258814</v>
      </c>
      <c r="G15035" s="3" t="s">
        <v>12552</v>
      </c>
    </row>
    <row r="15036">
      <c r="A15036" s="3" t="s">
        <v>30970</v>
      </c>
      <c r="B15036" s="3" t="s">
        <v>12752</v>
      </c>
      <c r="C15036" s="5" t="s">
        <v>45</v>
      </c>
      <c r="D15036" s="3" t="s">
        <v>221</v>
      </c>
      <c r="E15036" s="3" t="s">
        <v>530</v>
      </c>
      <c r="F15036" s="7">
        <v>46037.88927443757</v>
      </c>
      <c r="G15036" s="3" t="s">
        <v>16420</v>
      </c>
    </row>
    <row r="15037">
      <c r="A15037" s="3" t="s">
        <v>30971</v>
      </c>
      <c r="B15037" s="3" t="s">
        <v>12752</v>
      </c>
      <c r="C15037" s="5" t="s">
        <v>221</v>
      </c>
      <c r="D15037" s="3" t="s">
        <v>614</v>
      </c>
      <c r="E15037" s="3" t="s">
        <v>118</v>
      </c>
      <c r="F15037" s="7">
        <v>46037.89274665979</v>
      </c>
      <c r="G15037" s="3" t="s">
        <v>16423</v>
      </c>
    </row>
    <row r="15038">
      <c r="A15038" s="3" t="s">
        <v>30972</v>
      </c>
      <c r="B15038" s="3" t="s">
        <v>12752</v>
      </c>
      <c r="C15038" s="5" t="s">
        <v>614</v>
      </c>
      <c r="D15038" s="3" t="s">
        <v>206</v>
      </c>
      <c r="E15038" s="3" t="s">
        <v>100</v>
      </c>
      <c r="F15038" s="7">
        <v>46037.896218882015</v>
      </c>
      <c r="G15038" s="3" t="s">
        <v>16426</v>
      </c>
    </row>
    <row r="15039">
      <c r="A15039" s="3" t="s">
        <v>30973</v>
      </c>
      <c r="B15039" s="3" t="s">
        <v>12752</v>
      </c>
      <c r="C15039" s="5" t="s">
        <v>206</v>
      </c>
      <c r="D15039" s="3" t="s">
        <v>68</v>
      </c>
      <c r="E15039" s="3" t="s">
        <v>100</v>
      </c>
      <c r="F15039" s="7">
        <v>46037.899691104234</v>
      </c>
      <c r="G15039" s="3" t="s">
        <v>16428</v>
      </c>
    </row>
    <row r="15040">
      <c r="A15040" s="3" t="s">
        <v>30974</v>
      </c>
      <c r="B15040" s="3" t="s">
        <v>12756</v>
      </c>
      <c r="C15040" s="5" t="s">
        <v>45</v>
      </c>
      <c r="D15040" s="3" t="s">
        <v>221</v>
      </c>
      <c r="E15040" s="3" t="s">
        <v>406</v>
      </c>
      <c r="F15040" s="7">
        <v>46037.96044928299</v>
      </c>
      <c r="G15040" s="3" t="s">
        <v>10844</v>
      </c>
    </row>
    <row r="15041">
      <c r="A15041" s="3" t="s">
        <v>30975</v>
      </c>
      <c r="B15041" s="3" t="s">
        <v>12756</v>
      </c>
      <c r="C15041" s="5" t="s">
        <v>221</v>
      </c>
      <c r="D15041" s="3" t="s">
        <v>614</v>
      </c>
      <c r="E15041" s="3" t="s">
        <v>118</v>
      </c>
      <c r="F15041" s="7">
        <v>46037.96392150521</v>
      </c>
      <c r="G15041" s="3" t="s">
        <v>10847</v>
      </c>
    </row>
    <row r="15042">
      <c r="A15042" s="3" t="s">
        <v>30976</v>
      </c>
      <c r="B15042" s="3" t="s">
        <v>12756</v>
      </c>
      <c r="C15042" s="5" t="s">
        <v>614</v>
      </c>
      <c r="D15042" s="3" t="s">
        <v>206</v>
      </c>
      <c r="E15042" s="3" t="s">
        <v>100</v>
      </c>
      <c r="F15042" s="7">
        <v>46037.967393727435</v>
      </c>
      <c r="G15042" s="3" t="s">
        <v>10850</v>
      </c>
    </row>
    <row r="15043">
      <c r="A15043" s="3" t="s">
        <v>30977</v>
      </c>
      <c r="B15043" s="3" t="s">
        <v>12756</v>
      </c>
      <c r="C15043" s="5" t="s">
        <v>206</v>
      </c>
      <c r="D15043" s="3" t="s">
        <v>68</v>
      </c>
      <c r="E15043" s="3" t="s">
        <v>100</v>
      </c>
      <c r="F15043" s="7">
        <v>46037.970865949654</v>
      </c>
      <c r="G15043" s="3" t="s">
        <v>10853</v>
      </c>
    </row>
    <row r="15044">
      <c r="A15044" s="3" t="s">
        <v>30978</v>
      </c>
      <c r="B15044" s="3" t="s">
        <v>12760</v>
      </c>
      <c r="C15044" s="5" t="s">
        <v>45</v>
      </c>
      <c r="D15044" s="3" t="s">
        <v>221</v>
      </c>
      <c r="E15044" s="3" t="s">
        <v>310</v>
      </c>
      <c r="F15044" s="7">
        <v>46038.0316241284</v>
      </c>
      <c r="G15044" s="3" t="s">
        <v>30979</v>
      </c>
    </row>
    <row r="15045">
      <c r="A15045" s="3" t="s">
        <v>30980</v>
      </c>
      <c r="B15045" s="3" t="s">
        <v>12760</v>
      </c>
      <c r="C15045" s="5" t="s">
        <v>221</v>
      </c>
      <c r="D15045" s="3" t="s">
        <v>614</v>
      </c>
      <c r="E15045" s="3" t="s">
        <v>118</v>
      </c>
      <c r="F15045" s="7">
        <v>46038.03509635062</v>
      </c>
      <c r="G15045" s="3" t="s">
        <v>30981</v>
      </c>
    </row>
    <row r="15046">
      <c r="A15046" s="3" t="s">
        <v>30982</v>
      </c>
      <c r="B15046" s="3" t="s">
        <v>12760</v>
      </c>
      <c r="C15046" s="5" t="s">
        <v>614</v>
      </c>
      <c r="D15046" s="3" t="s">
        <v>206</v>
      </c>
      <c r="E15046" s="3" t="s">
        <v>100</v>
      </c>
      <c r="F15046" s="7">
        <v>46038.03856857285</v>
      </c>
      <c r="G15046" s="3" t="s">
        <v>30983</v>
      </c>
    </row>
    <row r="15047">
      <c r="A15047" s="3" t="s">
        <v>30984</v>
      </c>
      <c r="B15047" s="3" t="s">
        <v>12760</v>
      </c>
      <c r="C15047" s="5" t="s">
        <v>206</v>
      </c>
      <c r="D15047" s="3" t="s">
        <v>68</v>
      </c>
      <c r="E15047" s="3" t="s">
        <v>100</v>
      </c>
      <c r="F15047" s="7">
        <v>46038.042040795066</v>
      </c>
      <c r="G15047" s="3" t="s">
        <v>30985</v>
      </c>
    </row>
    <row r="15048">
      <c r="A15048" s="3" t="s">
        <v>30986</v>
      </c>
      <c r="B15048" s="3" t="s">
        <v>12762</v>
      </c>
      <c r="C15048" s="5" t="s">
        <v>45</v>
      </c>
      <c r="D15048" s="3" t="s">
        <v>221</v>
      </c>
      <c r="E15048" s="3" t="s">
        <v>126</v>
      </c>
      <c r="F15048" s="7">
        <v>46038.102798973814</v>
      </c>
      <c r="G15048" s="3" t="s">
        <v>30987</v>
      </c>
    </row>
    <row r="15049">
      <c r="A15049" s="3" t="s">
        <v>30988</v>
      </c>
      <c r="B15049" s="3" t="s">
        <v>12762</v>
      </c>
      <c r="C15049" s="5" t="s">
        <v>221</v>
      </c>
      <c r="D15049" s="3" t="s">
        <v>614</v>
      </c>
      <c r="E15049" s="3" t="s">
        <v>118</v>
      </c>
      <c r="F15049" s="7">
        <v>46038.10627119603</v>
      </c>
      <c r="G15049" s="3" t="s">
        <v>30989</v>
      </c>
    </row>
    <row r="15050">
      <c r="A15050" s="3" t="s">
        <v>30990</v>
      </c>
      <c r="B15050" s="3" t="s">
        <v>12762</v>
      </c>
      <c r="C15050" s="5" t="s">
        <v>614</v>
      </c>
      <c r="D15050" s="3" t="s">
        <v>206</v>
      </c>
      <c r="E15050" s="3" t="s">
        <v>100</v>
      </c>
      <c r="F15050" s="7">
        <v>46038.10974341826</v>
      </c>
      <c r="G15050" s="3" t="s">
        <v>30991</v>
      </c>
    </row>
    <row r="15051">
      <c r="A15051" s="3" t="s">
        <v>30992</v>
      </c>
      <c r="B15051" s="3" t="s">
        <v>12762</v>
      </c>
      <c r="C15051" s="5" t="s">
        <v>206</v>
      </c>
      <c r="D15051" s="3" t="s">
        <v>68</v>
      </c>
      <c r="E15051" s="3" t="s">
        <v>100</v>
      </c>
      <c r="F15051" s="7">
        <v>46038.11321564048</v>
      </c>
      <c r="G15051" s="3" t="s">
        <v>30993</v>
      </c>
    </row>
    <row r="15052">
      <c r="A15052" s="3" t="s">
        <v>30994</v>
      </c>
      <c r="B15052" s="3" t="s">
        <v>12764</v>
      </c>
      <c r="C15052" s="5" t="s">
        <v>45</v>
      </c>
      <c r="D15052" s="3" t="s">
        <v>221</v>
      </c>
      <c r="E15052" s="3" t="s">
        <v>307</v>
      </c>
      <c r="F15052" s="7">
        <v>46038.173973819234</v>
      </c>
      <c r="G15052" s="3" t="s">
        <v>18872</v>
      </c>
    </row>
    <row r="15053">
      <c r="A15053" s="3" t="s">
        <v>30995</v>
      </c>
      <c r="B15053" s="3" t="s">
        <v>12764</v>
      </c>
      <c r="C15053" s="5" t="s">
        <v>221</v>
      </c>
      <c r="D15053" s="3" t="s">
        <v>195</v>
      </c>
      <c r="E15053" s="3" t="s">
        <v>307</v>
      </c>
      <c r="F15053" s="7">
        <v>46038.17744604145</v>
      </c>
      <c r="G15053" s="3" t="s">
        <v>30996</v>
      </c>
    </row>
    <row r="15054">
      <c r="A15054" s="3" t="s">
        <v>30997</v>
      </c>
      <c r="B15054" s="3" t="s">
        <v>12767</v>
      </c>
      <c r="C15054" s="5" t="s">
        <v>45</v>
      </c>
      <c r="D15054" s="3" t="s">
        <v>221</v>
      </c>
      <c r="E15054" s="3" t="s">
        <v>781</v>
      </c>
      <c r="F15054" s="7">
        <v>46038.245148664646</v>
      </c>
      <c r="G15054" s="3" t="s">
        <v>4264</v>
      </c>
    </row>
    <row r="15055">
      <c r="A15055" s="3" t="s">
        <v>30998</v>
      </c>
      <c r="B15055" s="3" t="s">
        <v>12767</v>
      </c>
      <c r="C15055" s="5" t="s">
        <v>221</v>
      </c>
      <c r="D15055" s="3" t="s">
        <v>614</v>
      </c>
      <c r="E15055" s="3" t="s">
        <v>118</v>
      </c>
      <c r="F15055" s="7">
        <v>46038.248620886865</v>
      </c>
      <c r="G15055" s="3" t="s">
        <v>4267</v>
      </c>
    </row>
    <row r="15056">
      <c r="A15056" s="3" t="s">
        <v>30999</v>
      </c>
      <c r="B15056" s="3" t="s">
        <v>12767</v>
      </c>
      <c r="C15056" s="5" t="s">
        <v>614</v>
      </c>
      <c r="D15056" s="3" t="s">
        <v>206</v>
      </c>
      <c r="E15056" s="3" t="s">
        <v>100</v>
      </c>
      <c r="F15056" s="7">
        <v>46038.25209310909</v>
      </c>
      <c r="G15056" s="3" t="s">
        <v>4270</v>
      </c>
    </row>
    <row r="15057">
      <c r="A15057" s="3" t="s">
        <v>31000</v>
      </c>
      <c r="B15057" s="3" t="s">
        <v>12767</v>
      </c>
      <c r="C15057" s="5" t="s">
        <v>206</v>
      </c>
      <c r="D15057" s="3" t="s">
        <v>68</v>
      </c>
      <c r="E15057" s="3" t="s">
        <v>100</v>
      </c>
      <c r="F15057" s="7">
        <v>46038.25556533131</v>
      </c>
      <c r="G15057" s="3" t="s">
        <v>4273</v>
      </c>
    </row>
    <row r="15058">
      <c r="A15058" s="3" t="s">
        <v>31001</v>
      </c>
      <c r="B15058" s="3" t="s">
        <v>12770</v>
      </c>
      <c r="C15058" s="5" t="s">
        <v>45</v>
      </c>
      <c r="D15058" s="3" t="s">
        <v>221</v>
      </c>
      <c r="E15058" s="3" t="s">
        <v>330</v>
      </c>
      <c r="F15058" s="7">
        <v>46038.31632351006</v>
      </c>
      <c r="G15058" s="3" t="s">
        <v>21463</v>
      </c>
    </row>
    <row r="15059">
      <c r="A15059" s="3" t="s">
        <v>31002</v>
      </c>
      <c r="B15059" s="3" t="s">
        <v>12770</v>
      </c>
      <c r="C15059" s="5" t="s">
        <v>221</v>
      </c>
      <c r="D15059" s="3" t="s">
        <v>614</v>
      </c>
      <c r="E15059" s="3" t="s">
        <v>118</v>
      </c>
      <c r="F15059" s="7">
        <v>46038.31979573228</v>
      </c>
      <c r="G15059" s="3" t="s">
        <v>21466</v>
      </c>
    </row>
    <row r="15060">
      <c r="A15060" s="3" t="s">
        <v>31003</v>
      </c>
      <c r="B15060" s="3" t="s">
        <v>12770</v>
      </c>
      <c r="C15060" s="5" t="s">
        <v>614</v>
      </c>
      <c r="D15060" s="3" t="s">
        <v>206</v>
      </c>
      <c r="E15060" s="3" t="s">
        <v>100</v>
      </c>
      <c r="F15060" s="7">
        <v>46038.3232679545</v>
      </c>
      <c r="G15060" s="3" t="s">
        <v>21468</v>
      </c>
    </row>
    <row r="15061">
      <c r="A15061" s="3" t="s">
        <v>31004</v>
      </c>
      <c r="B15061" s="3" t="s">
        <v>12770</v>
      </c>
      <c r="C15061" s="5" t="s">
        <v>206</v>
      </c>
      <c r="D15061" s="3" t="s">
        <v>68</v>
      </c>
      <c r="E15061" s="3" t="s">
        <v>100</v>
      </c>
      <c r="F15061" s="7">
        <v>46038.32674017672</v>
      </c>
      <c r="G15061" s="3" t="s">
        <v>21471</v>
      </c>
    </row>
    <row r="15062">
      <c r="A15062" s="3" t="s">
        <v>31005</v>
      </c>
      <c r="B15062" s="3" t="s">
        <v>12773</v>
      </c>
      <c r="C15062" s="5" t="s">
        <v>45</v>
      </c>
      <c r="D15062" s="3" t="s">
        <v>221</v>
      </c>
      <c r="E15062" s="3" t="s">
        <v>224</v>
      </c>
      <c r="F15062" s="7">
        <v>46038.38749835548</v>
      </c>
      <c r="G15062" s="3" t="s">
        <v>6177</v>
      </c>
    </row>
    <row r="15063">
      <c r="A15063" s="3" t="s">
        <v>31006</v>
      </c>
      <c r="B15063" s="3" t="s">
        <v>12773</v>
      </c>
      <c r="C15063" s="5" t="s">
        <v>221</v>
      </c>
      <c r="D15063" s="3" t="s">
        <v>614</v>
      </c>
      <c r="E15063" s="3" t="s">
        <v>118</v>
      </c>
      <c r="F15063" s="7">
        <v>46038.3909705777</v>
      </c>
      <c r="G15063" s="3" t="s">
        <v>6180</v>
      </c>
    </row>
    <row r="15064">
      <c r="A15064" s="3" t="s">
        <v>31007</v>
      </c>
      <c r="B15064" s="3" t="s">
        <v>12773</v>
      </c>
      <c r="C15064" s="5" t="s">
        <v>614</v>
      </c>
      <c r="D15064" s="3" t="s">
        <v>206</v>
      </c>
      <c r="E15064" s="3" t="s">
        <v>100</v>
      </c>
      <c r="F15064" s="7">
        <v>46038.39444279992</v>
      </c>
      <c r="G15064" s="3" t="s">
        <v>6183</v>
      </c>
    </row>
    <row r="15065">
      <c r="A15065" s="3" t="s">
        <v>31008</v>
      </c>
      <c r="B15065" s="3" t="s">
        <v>12773</v>
      </c>
      <c r="C15065" s="5" t="s">
        <v>206</v>
      </c>
      <c r="D15065" s="3" t="s">
        <v>68</v>
      </c>
      <c r="E15065" s="3" t="s">
        <v>100</v>
      </c>
      <c r="F15065" s="7">
        <v>46038.39791502214</v>
      </c>
      <c r="G15065" s="3" t="s">
        <v>6186</v>
      </c>
    </row>
    <row r="15066">
      <c r="A15066" s="3" t="s">
        <v>31009</v>
      </c>
      <c r="B15066" s="3" t="s">
        <v>12776</v>
      </c>
      <c r="C15066" s="5" t="s">
        <v>45</v>
      </c>
      <c r="D15066" s="3" t="s">
        <v>221</v>
      </c>
      <c r="E15066" s="3" t="s">
        <v>622</v>
      </c>
      <c r="F15066" s="7">
        <v>46038.4586732009</v>
      </c>
      <c r="G15066" s="3" t="s">
        <v>4124</v>
      </c>
    </row>
    <row r="15067">
      <c r="A15067" s="3" t="s">
        <v>31010</v>
      </c>
      <c r="B15067" s="3" t="s">
        <v>12776</v>
      </c>
      <c r="C15067" s="5" t="s">
        <v>221</v>
      </c>
      <c r="D15067" s="3" t="s">
        <v>614</v>
      </c>
      <c r="E15067" s="3" t="s">
        <v>118</v>
      </c>
      <c r="F15067" s="7">
        <v>46038.46214542312</v>
      </c>
      <c r="G15067" s="3" t="s">
        <v>4127</v>
      </c>
    </row>
    <row r="15068">
      <c r="A15068" s="3" t="s">
        <v>31011</v>
      </c>
      <c r="B15068" s="3" t="s">
        <v>12776</v>
      </c>
      <c r="C15068" s="5" t="s">
        <v>614</v>
      </c>
      <c r="D15068" s="3" t="s">
        <v>206</v>
      </c>
      <c r="E15068" s="3" t="s">
        <v>100</v>
      </c>
      <c r="F15068" s="7">
        <v>46038.46561764534</v>
      </c>
      <c r="G15068" s="3" t="s">
        <v>4130</v>
      </c>
    </row>
    <row r="15069">
      <c r="A15069" s="3" t="s">
        <v>31012</v>
      </c>
      <c r="B15069" s="3" t="s">
        <v>12776</v>
      </c>
      <c r="C15069" s="5" t="s">
        <v>206</v>
      </c>
      <c r="D15069" s="3" t="s">
        <v>68</v>
      </c>
      <c r="E15069" s="3" t="s">
        <v>100</v>
      </c>
      <c r="F15069" s="7">
        <v>46038.46908986756</v>
      </c>
      <c r="G15069" s="3" t="s">
        <v>4133</v>
      </c>
    </row>
    <row r="15070">
      <c r="A15070" s="3" t="s">
        <v>31013</v>
      </c>
      <c r="B15070" s="3" t="s">
        <v>12777</v>
      </c>
      <c r="C15070" s="5" t="s">
        <v>45</v>
      </c>
      <c r="D15070" s="3" t="s">
        <v>221</v>
      </c>
      <c r="E15070" s="3" t="s">
        <v>658</v>
      </c>
      <c r="F15070" s="7">
        <v>46038.5298480463</v>
      </c>
      <c r="G15070" s="3" t="s">
        <v>29041</v>
      </c>
    </row>
    <row r="15071">
      <c r="A15071" s="3" t="s">
        <v>31014</v>
      </c>
      <c r="B15071" s="3" t="s">
        <v>12777</v>
      </c>
      <c r="C15071" s="5" t="s">
        <v>221</v>
      </c>
      <c r="D15071" s="3" t="s">
        <v>614</v>
      </c>
      <c r="E15071" s="3" t="s">
        <v>118</v>
      </c>
      <c r="F15071" s="7">
        <v>46038.53332026852</v>
      </c>
      <c r="G15071" s="3" t="s">
        <v>31015</v>
      </c>
    </row>
    <row r="15072">
      <c r="A15072" s="3" t="s">
        <v>31016</v>
      </c>
      <c r="B15072" s="3" t="s">
        <v>12777</v>
      </c>
      <c r="C15072" s="5" t="s">
        <v>614</v>
      </c>
      <c r="D15072" s="3" t="s">
        <v>206</v>
      </c>
      <c r="E15072" s="3" t="s">
        <v>100</v>
      </c>
      <c r="F15072" s="7">
        <v>46038.53679249075</v>
      </c>
      <c r="G15072" s="3" t="s">
        <v>31017</v>
      </c>
    </row>
    <row r="15073">
      <c r="A15073" s="3" t="s">
        <v>31018</v>
      </c>
      <c r="B15073" s="3" t="s">
        <v>12777</v>
      </c>
      <c r="C15073" s="5" t="s">
        <v>206</v>
      </c>
      <c r="D15073" s="3" t="s">
        <v>68</v>
      </c>
      <c r="E15073" s="3" t="s">
        <v>100</v>
      </c>
      <c r="F15073" s="7">
        <v>46038.54026471297</v>
      </c>
      <c r="G15073" s="3" t="s">
        <v>31019</v>
      </c>
    </row>
    <row r="15074">
      <c r="A15074" s="3" t="s">
        <v>31020</v>
      </c>
      <c r="B15074" s="3" t="s">
        <v>12780</v>
      </c>
      <c r="C15074" s="5" t="s">
        <v>45</v>
      </c>
      <c r="D15074" s="3" t="s">
        <v>221</v>
      </c>
      <c r="E15074" s="3" t="s">
        <v>280</v>
      </c>
      <c r="F15074" s="7">
        <v>46038.60102289172</v>
      </c>
      <c r="G15074" s="3" t="s">
        <v>30273</v>
      </c>
    </row>
    <row r="15075">
      <c r="A15075" s="3" t="s">
        <v>31021</v>
      </c>
      <c r="B15075" s="3" t="s">
        <v>12780</v>
      </c>
      <c r="C15075" s="5" t="s">
        <v>221</v>
      </c>
      <c r="D15075" s="3" t="s">
        <v>181</v>
      </c>
      <c r="E15075" s="3" t="s">
        <v>118</v>
      </c>
      <c r="F15075" s="7">
        <v>46038.60449511394</v>
      </c>
      <c r="G15075" s="3" t="s">
        <v>30327</v>
      </c>
    </row>
    <row r="15076">
      <c r="A15076" s="3" t="s">
        <v>31022</v>
      </c>
      <c r="B15076" s="3" t="s">
        <v>12783</v>
      </c>
      <c r="C15076" s="5" t="s">
        <v>45</v>
      </c>
      <c r="D15076" s="3" t="s">
        <v>221</v>
      </c>
      <c r="E15076" s="3" t="s">
        <v>373</v>
      </c>
      <c r="F15076" s="7">
        <v>46038.672197737134</v>
      </c>
      <c r="G15076" s="3" t="s">
        <v>12383</v>
      </c>
    </row>
    <row r="15077">
      <c r="A15077" s="3" t="s">
        <v>31023</v>
      </c>
      <c r="B15077" s="3" t="s">
        <v>12783</v>
      </c>
      <c r="C15077" s="5" t="s">
        <v>221</v>
      </c>
      <c r="D15077" s="3" t="s">
        <v>614</v>
      </c>
      <c r="E15077" s="3" t="s">
        <v>118</v>
      </c>
      <c r="F15077" s="7">
        <v>46038.67566995935</v>
      </c>
      <c r="G15077" s="3" t="s">
        <v>12385</v>
      </c>
    </row>
    <row r="15078">
      <c r="A15078" s="3" t="s">
        <v>31024</v>
      </c>
      <c r="B15078" s="3" t="s">
        <v>12783</v>
      </c>
      <c r="C15078" s="5" t="s">
        <v>614</v>
      </c>
      <c r="D15078" s="3" t="s">
        <v>206</v>
      </c>
      <c r="E15078" s="3" t="s">
        <v>100</v>
      </c>
      <c r="F15078" s="7">
        <v>46038.67914218158</v>
      </c>
      <c r="G15078" s="3" t="s">
        <v>12388</v>
      </c>
    </row>
    <row r="15079">
      <c r="A15079" s="3" t="s">
        <v>31025</v>
      </c>
      <c r="B15079" s="3" t="s">
        <v>12783</v>
      </c>
      <c r="C15079" s="5" t="s">
        <v>206</v>
      </c>
      <c r="D15079" s="3" t="s">
        <v>68</v>
      </c>
      <c r="E15079" s="3" t="s">
        <v>100</v>
      </c>
      <c r="F15079" s="7">
        <v>46038.6826144038</v>
      </c>
      <c r="G15079" s="3" t="s">
        <v>12391</v>
      </c>
    </row>
    <row r="15080">
      <c r="A15080" s="3" t="s">
        <v>31026</v>
      </c>
      <c r="B15080" s="3" t="s">
        <v>12785</v>
      </c>
      <c r="C15080" s="5" t="s">
        <v>45</v>
      </c>
      <c r="D15080" s="3" t="s">
        <v>221</v>
      </c>
      <c r="E15080" s="3" t="s">
        <v>657</v>
      </c>
      <c r="F15080" s="7">
        <v>46038.743372582554</v>
      </c>
      <c r="G15080" s="3" t="s">
        <v>14516</v>
      </c>
    </row>
    <row r="15081">
      <c r="A15081" s="3" t="s">
        <v>31027</v>
      </c>
      <c r="B15081" s="3" t="s">
        <v>12785</v>
      </c>
      <c r="C15081" s="5" t="s">
        <v>221</v>
      </c>
      <c r="D15081" s="3" t="s">
        <v>614</v>
      </c>
      <c r="E15081" s="3" t="s">
        <v>118</v>
      </c>
      <c r="F15081" s="7">
        <v>46038.74684480477</v>
      </c>
      <c r="G15081" s="3" t="s">
        <v>14518</v>
      </c>
    </row>
    <row r="15082">
      <c r="A15082" s="3" t="s">
        <v>31028</v>
      </c>
      <c r="B15082" s="3" t="s">
        <v>12785</v>
      </c>
      <c r="C15082" s="5" t="s">
        <v>614</v>
      </c>
      <c r="D15082" s="3" t="s">
        <v>206</v>
      </c>
      <c r="E15082" s="3" t="s">
        <v>100</v>
      </c>
      <c r="F15082" s="7">
        <v>46038.750317027</v>
      </c>
      <c r="G15082" s="3" t="s">
        <v>14521</v>
      </c>
    </row>
    <row r="15083">
      <c r="A15083" s="3" t="s">
        <v>31029</v>
      </c>
      <c r="B15083" s="3" t="s">
        <v>12785</v>
      </c>
      <c r="C15083" s="5" t="s">
        <v>206</v>
      </c>
      <c r="D15083" s="3" t="s">
        <v>68</v>
      </c>
      <c r="E15083" s="3" t="s">
        <v>100</v>
      </c>
      <c r="F15083" s="7">
        <v>46038.75378924922</v>
      </c>
      <c r="G15083" s="3" t="s">
        <v>14524</v>
      </c>
    </row>
    <row r="15084">
      <c r="A15084" s="3" t="s">
        <v>31030</v>
      </c>
      <c r="B15084" s="3" t="s">
        <v>12789</v>
      </c>
      <c r="C15084" s="5" t="s">
        <v>45</v>
      </c>
      <c r="D15084" s="3" t="s">
        <v>221</v>
      </c>
      <c r="E15084" s="3" t="s">
        <v>900</v>
      </c>
      <c r="F15084" s="7">
        <v>46038.814547427966</v>
      </c>
      <c r="G15084" s="3" t="s">
        <v>29773</v>
      </c>
    </row>
    <row r="15085">
      <c r="A15085" s="3" t="s">
        <v>31031</v>
      </c>
      <c r="B15085" s="3" t="s">
        <v>12789</v>
      </c>
      <c r="C15085" s="5" t="s">
        <v>221</v>
      </c>
      <c r="D15085" s="3" t="s">
        <v>614</v>
      </c>
      <c r="E15085" s="3" t="s">
        <v>118</v>
      </c>
      <c r="F15085" s="7">
        <v>46038.818019650185</v>
      </c>
      <c r="G15085" s="3" t="s">
        <v>29775</v>
      </c>
    </row>
    <row r="15086">
      <c r="A15086" s="3" t="s">
        <v>31032</v>
      </c>
      <c r="B15086" s="3" t="s">
        <v>12789</v>
      </c>
      <c r="C15086" s="5" t="s">
        <v>614</v>
      </c>
      <c r="D15086" s="3" t="s">
        <v>206</v>
      </c>
      <c r="E15086" s="3" t="s">
        <v>100</v>
      </c>
      <c r="F15086" s="7">
        <v>46038.82149187241</v>
      </c>
      <c r="G15086" s="3" t="s">
        <v>29777</v>
      </c>
    </row>
    <row r="15087">
      <c r="A15087" s="3" t="s">
        <v>31033</v>
      </c>
      <c r="B15087" s="3" t="s">
        <v>12789</v>
      </c>
      <c r="C15087" s="5" t="s">
        <v>206</v>
      </c>
      <c r="D15087" s="3" t="s">
        <v>68</v>
      </c>
      <c r="E15087" s="3" t="s">
        <v>100</v>
      </c>
      <c r="F15087" s="7">
        <v>46038.82496409463</v>
      </c>
      <c r="G15087" s="3" t="s">
        <v>29779</v>
      </c>
    </row>
    <row r="15088">
      <c r="A15088" s="3" t="s">
        <v>31034</v>
      </c>
      <c r="B15088" s="3" t="s">
        <v>12792</v>
      </c>
      <c r="C15088" s="5" t="s">
        <v>45</v>
      </c>
      <c r="D15088" s="3" t="s">
        <v>221</v>
      </c>
      <c r="E15088" s="3" t="s">
        <v>710</v>
      </c>
      <c r="F15088" s="7">
        <v>46038.885722273386</v>
      </c>
      <c r="G15088" s="3" t="s">
        <v>8780</v>
      </c>
    </row>
    <row r="15089">
      <c r="A15089" s="3" t="s">
        <v>31035</v>
      </c>
      <c r="B15089" s="3" t="s">
        <v>12792</v>
      </c>
      <c r="C15089" s="5" t="s">
        <v>221</v>
      </c>
      <c r="D15089" s="3" t="s">
        <v>614</v>
      </c>
      <c r="E15089" s="3" t="s">
        <v>118</v>
      </c>
      <c r="F15089" s="7">
        <v>46038.889194495605</v>
      </c>
      <c r="G15089" s="3" t="s">
        <v>24241</v>
      </c>
    </row>
    <row r="15090">
      <c r="A15090" s="3" t="s">
        <v>31036</v>
      </c>
      <c r="B15090" s="3" t="s">
        <v>12792</v>
      </c>
      <c r="C15090" s="5" t="s">
        <v>614</v>
      </c>
      <c r="D15090" s="3" t="s">
        <v>206</v>
      </c>
      <c r="E15090" s="3" t="s">
        <v>100</v>
      </c>
      <c r="F15090" s="7">
        <v>46038.89266671783</v>
      </c>
      <c r="G15090" s="3" t="s">
        <v>24243</v>
      </c>
    </row>
    <row r="15091">
      <c r="A15091" s="3" t="s">
        <v>31037</v>
      </c>
      <c r="B15091" s="3" t="s">
        <v>12792</v>
      </c>
      <c r="C15091" s="5" t="s">
        <v>206</v>
      </c>
      <c r="D15091" s="3" t="s">
        <v>68</v>
      </c>
      <c r="E15091" s="3" t="s">
        <v>100</v>
      </c>
      <c r="F15091" s="7">
        <v>46038.89613894005</v>
      </c>
      <c r="G15091" s="3" t="s">
        <v>24245</v>
      </c>
    </row>
    <row r="15092">
      <c r="A15092" s="3" t="s">
        <v>31038</v>
      </c>
      <c r="B15092" s="3" t="s">
        <v>12795</v>
      </c>
      <c r="C15092" s="5" t="s">
        <v>45</v>
      </c>
      <c r="D15092" s="3" t="s">
        <v>221</v>
      </c>
      <c r="E15092" s="3" t="s">
        <v>830</v>
      </c>
      <c r="F15092" s="7">
        <v>46038.9568971188</v>
      </c>
      <c r="G15092" s="3" t="s">
        <v>22052</v>
      </c>
    </row>
    <row r="15093">
      <c r="A15093" s="3" t="s">
        <v>31039</v>
      </c>
      <c r="B15093" s="3" t="s">
        <v>12795</v>
      </c>
      <c r="C15093" s="5" t="s">
        <v>221</v>
      </c>
      <c r="D15093" s="3" t="s">
        <v>614</v>
      </c>
      <c r="E15093" s="3" t="s">
        <v>118</v>
      </c>
      <c r="F15093" s="7">
        <v>46038.96036934102</v>
      </c>
      <c r="G15093" s="3" t="s">
        <v>22055</v>
      </c>
    </row>
    <row r="15094">
      <c r="A15094" s="3" t="s">
        <v>31040</v>
      </c>
      <c r="B15094" s="3" t="s">
        <v>12795</v>
      </c>
      <c r="C15094" s="5" t="s">
        <v>614</v>
      </c>
      <c r="D15094" s="3" t="s">
        <v>206</v>
      </c>
      <c r="E15094" s="3" t="s">
        <v>100</v>
      </c>
      <c r="F15094" s="7">
        <v>46038.96384156324</v>
      </c>
      <c r="G15094" s="3" t="s">
        <v>22058</v>
      </c>
    </row>
    <row r="15095">
      <c r="A15095" s="3" t="s">
        <v>31041</v>
      </c>
      <c r="B15095" s="3" t="s">
        <v>12795</v>
      </c>
      <c r="C15095" s="5" t="s">
        <v>206</v>
      </c>
      <c r="D15095" s="3" t="s">
        <v>68</v>
      </c>
      <c r="E15095" s="3" t="s">
        <v>100</v>
      </c>
      <c r="F15095" s="7">
        <v>46038.96731378546</v>
      </c>
      <c r="G15095" s="3" t="s">
        <v>22061</v>
      </c>
    </row>
    <row r="15096">
      <c r="A15096" s="3" t="s">
        <v>31042</v>
      </c>
      <c r="B15096" s="3" t="s">
        <v>12799</v>
      </c>
      <c r="C15096" s="5" t="s">
        <v>45</v>
      </c>
      <c r="D15096" s="3" t="s">
        <v>221</v>
      </c>
      <c r="E15096" s="3" t="s">
        <v>171</v>
      </c>
      <c r="F15096" s="7">
        <v>46039.02807196421</v>
      </c>
      <c r="G15096" s="3" t="s">
        <v>13962</v>
      </c>
    </row>
    <row r="15097">
      <c r="A15097" s="3" t="s">
        <v>31043</v>
      </c>
      <c r="B15097" s="3" t="s">
        <v>12799</v>
      </c>
      <c r="C15097" s="5" t="s">
        <v>221</v>
      </c>
      <c r="D15097" s="3" t="s">
        <v>614</v>
      </c>
      <c r="E15097" s="3" t="s">
        <v>118</v>
      </c>
      <c r="F15097" s="7">
        <v>46039.03154418643</v>
      </c>
      <c r="G15097" s="3" t="s">
        <v>13965</v>
      </c>
    </row>
    <row r="15098">
      <c r="A15098" s="3" t="s">
        <v>31044</v>
      </c>
      <c r="B15098" s="3" t="s">
        <v>12799</v>
      </c>
      <c r="C15098" s="5" t="s">
        <v>614</v>
      </c>
      <c r="D15098" s="3" t="s">
        <v>206</v>
      </c>
      <c r="E15098" s="3" t="s">
        <v>100</v>
      </c>
      <c r="F15098" s="7">
        <v>46039.035016408656</v>
      </c>
      <c r="G15098" s="3" t="s">
        <v>13968</v>
      </c>
    </row>
    <row r="15099">
      <c r="A15099" s="3" t="s">
        <v>31045</v>
      </c>
      <c r="B15099" s="3" t="s">
        <v>12799</v>
      </c>
      <c r="C15099" s="5" t="s">
        <v>206</v>
      </c>
      <c r="D15099" s="3" t="s">
        <v>68</v>
      </c>
      <c r="E15099" s="3" t="s">
        <v>100</v>
      </c>
      <c r="F15099" s="7">
        <v>46039.038488630875</v>
      </c>
      <c r="G15099" s="3" t="s">
        <v>13970</v>
      </c>
    </row>
    <row r="15100">
      <c r="A15100" s="3" t="s">
        <v>31046</v>
      </c>
      <c r="B15100" s="3" t="s">
        <v>12803</v>
      </c>
      <c r="C15100" s="5" t="s">
        <v>45</v>
      </c>
      <c r="D15100" s="3" t="s">
        <v>221</v>
      </c>
      <c r="E15100" s="3" t="s">
        <v>742</v>
      </c>
      <c r="F15100" s="7">
        <v>46039.09924680963</v>
      </c>
      <c r="G15100" s="3" t="s">
        <v>4276</v>
      </c>
    </row>
    <row r="15101">
      <c r="A15101" s="3" t="s">
        <v>31047</v>
      </c>
      <c r="B15101" s="3" t="s">
        <v>12803</v>
      </c>
      <c r="C15101" s="5" t="s">
        <v>221</v>
      </c>
      <c r="D15101" s="3" t="s">
        <v>614</v>
      </c>
      <c r="E15101" s="3" t="s">
        <v>118</v>
      </c>
      <c r="F15101" s="7">
        <v>46039.10271903185</v>
      </c>
      <c r="G15101" s="3" t="s">
        <v>4278</v>
      </c>
    </row>
    <row r="15102">
      <c r="A15102" s="3" t="s">
        <v>31048</v>
      </c>
      <c r="B15102" s="3" t="s">
        <v>12803</v>
      </c>
      <c r="C15102" s="5" t="s">
        <v>614</v>
      </c>
      <c r="D15102" s="3" t="s">
        <v>206</v>
      </c>
      <c r="E15102" s="3" t="s">
        <v>100</v>
      </c>
      <c r="F15102" s="7">
        <v>46039.106191254075</v>
      </c>
      <c r="G15102" s="3" t="s">
        <v>4281</v>
      </c>
    </row>
    <row r="15103">
      <c r="A15103" s="3" t="s">
        <v>31049</v>
      </c>
      <c r="B15103" s="3" t="s">
        <v>12803</v>
      </c>
      <c r="C15103" s="5" t="s">
        <v>206</v>
      </c>
      <c r="D15103" s="3" t="s">
        <v>68</v>
      </c>
      <c r="E15103" s="3" t="s">
        <v>100</v>
      </c>
      <c r="F15103" s="7">
        <v>46039.109663476294</v>
      </c>
      <c r="G15103" s="3" t="s">
        <v>4284</v>
      </c>
    </row>
    <row r="15104">
      <c r="A15104" s="3" t="s">
        <v>31050</v>
      </c>
      <c r="B15104" s="3" t="s">
        <v>12806</v>
      </c>
      <c r="C15104" s="5" t="s">
        <v>45</v>
      </c>
      <c r="D15104" s="3" t="s">
        <v>221</v>
      </c>
      <c r="E15104" s="3" t="s">
        <v>290</v>
      </c>
      <c r="F15104" s="7">
        <v>46039.17042165504</v>
      </c>
      <c r="G15104" s="3" t="s">
        <v>4307</v>
      </c>
    </row>
    <row r="15105">
      <c r="A15105" s="3" t="s">
        <v>31051</v>
      </c>
      <c r="B15105" s="3" t="s">
        <v>12806</v>
      </c>
      <c r="C15105" s="5" t="s">
        <v>221</v>
      </c>
      <c r="D15105" s="3" t="s">
        <v>614</v>
      </c>
      <c r="E15105" s="3" t="s">
        <v>118</v>
      </c>
      <c r="F15105" s="7">
        <v>46039.17389387726</v>
      </c>
      <c r="G15105" s="3" t="s">
        <v>4310</v>
      </c>
    </row>
    <row r="15106">
      <c r="A15106" s="3" t="s">
        <v>31052</v>
      </c>
      <c r="B15106" s="3" t="s">
        <v>12806</v>
      </c>
      <c r="C15106" s="5" t="s">
        <v>614</v>
      </c>
      <c r="D15106" s="3" t="s">
        <v>206</v>
      </c>
      <c r="E15106" s="3" t="s">
        <v>100</v>
      </c>
      <c r="F15106" s="7">
        <v>46039.17736609949</v>
      </c>
      <c r="G15106" s="3" t="s">
        <v>4313</v>
      </c>
    </row>
    <row r="15107">
      <c r="A15107" s="3" t="s">
        <v>31053</v>
      </c>
      <c r="B15107" s="3" t="s">
        <v>12806</v>
      </c>
      <c r="C15107" s="5" t="s">
        <v>206</v>
      </c>
      <c r="D15107" s="3" t="s">
        <v>68</v>
      </c>
      <c r="E15107" s="3" t="s">
        <v>100</v>
      </c>
      <c r="F15107" s="7">
        <v>46039.18083832171</v>
      </c>
      <c r="G15107" s="3" t="s">
        <v>4315</v>
      </c>
    </row>
    <row r="15108">
      <c r="A15108" s="3" t="s">
        <v>31054</v>
      </c>
      <c r="B15108" s="3" t="s">
        <v>12809</v>
      </c>
      <c r="C15108" s="5" t="s">
        <v>45</v>
      </c>
      <c r="D15108" s="3" t="s">
        <v>221</v>
      </c>
      <c r="E15108" s="3" t="s">
        <v>290</v>
      </c>
      <c r="F15108" s="7">
        <v>46039.241596500455</v>
      </c>
      <c r="G15108" s="3" t="s">
        <v>16077</v>
      </c>
    </row>
    <row r="15109">
      <c r="A15109" s="3" t="s">
        <v>31055</v>
      </c>
      <c r="B15109" s="3" t="s">
        <v>12809</v>
      </c>
      <c r="C15109" s="5" t="s">
        <v>221</v>
      </c>
      <c r="D15109" s="3" t="s">
        <v>614</v>
      </c>
      <c r="E15109" s="3" t="s">
        <v>118</v>
      </c>
      <c r="F15109" s="7">
        <v>46039.245068722674</v>
      </c>
      <c r="G15109" s="3" t="s">
        <v>16080</v>
      </c>
    </row>
    <row r="15110">
      <c r="A15110" s="3" t="s">
        <v>31056</v>
      </c>
      <c r="B15110" s="3" t="s">
        <v>12809</v>
      </c>
      <c r="C15110" s="5" t="s">
        <v>614</v>
      </c>
      <c r="D15110" s="3" t="s">
        <v>206</v>
      </c>
      <c r="E15110" s="3" t="s">
        <v>100</v>
      </c>
      <c r="F15110" s="7">
        <v>46039.2485409449</v>
      </c>
      <c r="G15110" s="3" t="s">
        <v>16083</v>
      </c>
    </row>
    <row r="15111">
      <c r="A15111" s="3" t="s">
        <v>31057</v>
      </c>
      <c r="B15111" s="3" t="s">
        <v>12809</v>
      </c>
      <c r="C15111" s="5" t="s">
        <v>206</v>
      </c>
      <c r="D15111" s="3" t="s">
        <v>68</v>
      </c>
      <c r="E15111" s="3" t="s">
        <v>100</v>
      </c>
      <c r="F15111" s="7">
        <v>46039.25201316712</v>
      </c>
      <c r="G15111" s="3" t="s">
        <v>16086</v>
      </c>
    </row>
    <row r="15112">
      <c r="A15112" s="3" t="s">
        <v>31058</v>
      </c>
      <c r="B15112" s="3" t="s">
        <v>12812</v>
      </c>
      <c r="C15112" s="5" t="s">
        <v>45</v>
      </c>
      <c r="D15112" s="3" t="s">
        <v>221</v>
      </c>
      <c r="E15112" s="3" t="s">
        <v>980</v>
      </c>
      <c r="F15112" s="7">
        <v>46039.312771345874</v>
      </c>
      <c r="G15112" s="3" t="s">
        <v>6155</v>
      </c>
    </row>
    <row r="15113">
      <c r="A15113" s="3" t="s">
        <v>31059</v>
      </c>
      <c r="B15113" s="3" t="s">
        <v>12812</v>
      </c>
      <c r="C15113" s="5" t="s">
        <v>221</v>
      </c>
      <c r="D15113" s="3" t="s">
        <v>614</v>
      </c>
      <c r="E15113" s="3" t="s">
        <v>118</v>
      </c>
      <c r="F15113" s="7">
        <v>46039.31624356809</v>
      </c>
      <c r="G15113" s="3" t="s">
        <v>6158</v>
      </c>
    </row>
    <row r="15114">
      <c r="A15114" s="3" t="s">
        <v>31060</v>
      </c>
      <c r="B15114" s="3" t="s">
        <v>12812</v>
      </c>
      <c r="C15114" s="5" t="s">
        <v>614</v>
      </c>
      <c r="D15114" s="3" t="s">
        <v>206</v>
      </c>
      <c r="E15114" s="3" t="s">
        <v>100</v>
      </c>
      <c r="F15114" s="7">
        <v>46039.31971579032</v>
      </c>
      <c r="G15114" s="3" t="s">
        <v>6160</v>
      </c>
    </row>
    <row r="15115">
      <c r="A15115" s="3" t="s">
        <v>31061</v>
      </c>
      <c r="B15115" s="3" t="s">
        <v>12812</v>
      </c>
      <c r="C15115" s="5" t="s">
        <v>206</v>
      </c>
      <c r="D15115" s="3" t="s">
        <v>68</v>
      </c>
      <c r="E15115" s="3" t="s">
        <v>100</v>
      </c>
      <c r="F15115" s="7">
        <v>46039.32318801254</v>
      </c>
      <c r="G15115" s="3" t="s">
        <v>6163</v>
      </c>
    </row>
    <row r="15116">
      <c r="A15116" s="3" t="s">
        <v>31062</v>
      </c>
      <c r="B15116" s="3" t="s">
        <v>12815</v>
      </c>
      <c r="C15116" s="5" t="s">
        <v>45</v>
      </c>
      <c r="D15116" s="3" t="s">
        <v>221</v>
      </c>
      <c r="E15116" s="3" t="s">
        <v>853</v>
      </c>
      <c r="F15116" s="7">
        <v>46039.38394619129</v>
      </c>
      <c r="G15116" s="3" t="s">
        <v>7388</v>
      </c>
    </row>
    <row r="15117">
      <c r="A15117" s="3" t="s">
        <v>31063</v>
      </c>
      <c r="B15117" s="3" t="s">
        <v>12815</v>
      </c>
      <c r="C15117" s="5" t="s">
        <v>221</v>
      </c>
      <c r="D15117" s="3" t="s">
        <v>181</v>
      </c>
      <c r="E15117" s="3" t="s">
        <v>118</v>
      </c>
      <c r="F15117" s="7">
        <v>46039.387418413506</v>
      </c>
      <c r="G15117" s="3" t="s">
        <v>7390</v>
      </c>
    </row>
    <row r="15118">
      <c r="A15118" s="3" t="s">
        <v>31064</v>
      </c>
      <c r="B15118" s="3" t="s">
        <v>12816</v>
      </c>
      <c r="C15118" s="5" t="s">
        <v>45</v>
      </c>
      <c r="D15118" s="3" t="s">
        <v>221</v>
      </c>
      <c r="E15118" s="3" t="s">
        <v>689</v>
      </c>
      <c r="F15118" s="7">
        <v>46039.4551210367</v>
      </c>
      <c r="G15118" s="3" t="s">
        <v>4318</v>
      </c>
    </row>
    <row r="15119">
      <c r="A15119" s="3" t="s">
        <v>31065</v>
      </c>
      <c r="B15119" s="3" t="s">
        <v>12816</v>
      </c>
      <c r="C15119" s="5" t="s">
        <v>221</v>
      </c>
      <c r="D15119" s="3" t="s">
        <v>614</v>
      </c>
      <c r="E15119" s="3" t="s">
        <v>118</v>
      </c>
      <c r="F15119" s="7">
        <v>46039.45859325892</v>
      </c>
      <c r="G15119" s="3" t="s">
        <v>4321</v>
      </c>
    </row>
    <row r="15120">
      <c r="A15120" s="3" t="s">
        <v>31066</v>
      </c>
      <c r="B15120" s="3" t="s">
        <v>12816</v>
      </c>
      <c r="C15120" s="5" t="s">
        <v>614</v>
      </c>
      <c r="D15120" s="3" t="s">
        <v>206</v>
      </c>
      <c r="E15120" s="3" t="s">
        <v>100</v>
      </c>
      <c r="F15120" s="7">
        <v>46039.462065481144</v>
      </c>
      <c r="G15120" s="3" t="s">
        <v>4324</v>
      </c>
    </row>
    <row r="15121">
      <c r="A15121" s="3" t="s">
        <v>31067</v>
      </c>
      <c r="B15121" s="3" t="s">
        <v>12816</v>
      </c>
      <c r="C15121" s="5" t="s">
        <v>206</v>
      </c>
      <c r="D15121" s="3" t="s">
        <v>68</v>
      </c>
      <c r="E15121" s="3" t="s">
        <v>100</v>
      </c>
      <c r="F15121" s="7">
        <v>46039.46553770336</v>
      </c>
      <c r="G15121" s="3" t="s">
        <v>4327</v>
      </c>
    </row>
    <row r="15122">
      <c r="A15122" s="3" t="s">
        <v>31068</v>
      </c>
      <c r="B15122" s="3" t="s">
        <v>12819</v>
      </c>
      <c r="C15122" s="5" t="s">
        <v>45</v>
      </c>
      <c r="D15122" s="3" t="s">
        <v>221</v>
      </c>
      <c r="E15122" s="3" t="s">
        <v>123</v>
      </c>
      <c r="F15122" s="7">
        <v>46039.52629588212</v>
      </c>
      <c r="G15122" s="3" t="s">
        <v>8229</v>
      </c>
    </row>
    <row r="15123">
      <c r="A15123" s="3" t="s">
        <v>31069</v>
      </c>
      <c r="B15123" s="3" t="s">
        <v>12819</v>
      </c>
      <c r="C15123" s="5" t="s">
        <v>221</v>
      </c>
      <c r="D15123" s="3" t="s">
        <v>614</v>
      </c>
      <c r="E15123" s="3" t="s">
        <v>118</v>
      </c>
      <c r="F15123" s="7">
        <v>46039.52976810434</v>
      </c>
      <c r="G15123" s="3" t="s">
        <v>8231</v>
      </c>
    </row>
    <row r="15124">
      <c r="A15124" s="3" t="s">
        <v>31070</v>
      </c>
      <c r="B15124" s="3" t="s">
        <v>12819</v>
      </c>
      <c r="C15124" s="5" t="s">
        <v>614</v>
      </c>
      <c r="D15124" s="3" t="s">
        <v>206</v>
      </c>
      <c r="E15124" s="3" t="s">
        <v>100</v>
      </c>
      <c r="F15124" s="7">
        <v>46039.533240326564</v>
      </c>
      <c r="G15124" s="3" t="s">
        <v>8234</v>
      </c>
    </row>
    <row r="15125">
      <c r="A15125" s="3" t="s">
        <v>31071</v>
      </c>
      <c r="B15125" s="3" t="s">
        <v>12819</v>
      </c>
      <c r="C15125" s="5" t="s">
        <v>206</v>
      </c>
      <c r="D15125" s="3" t="s">
        <v>68</v>
      </c>
      <c r="E15125" s="3" t="s">
        <v>100</v>
      </c>
      <c r="F15125" s="7">
        <v>46039.53671254878</v>
      </c>
      <c r="G15125" s="3" t="s">
        <v>8237</v>
      </c>
    </row>
    <row r="15126">
      <c r="A15126" s="3" t="s">
        <v>31072</v>
      </c>
      <c r="B15126" s="3" t="s">
        <v>12822</v>
      </c>
      <c r="C15126" s="5" t="s">
        <v>45</v>
      </c>
      <c r="D15126" s="3" t="s">
        <v>221</v>
      </c>
      <c r="E15126" s="3" t="s">
        <v>208</v>
      </c>
      <c r="F15126" s="7">
        <v>46039.59747072754</v>
      </c>
      <c r="G15126" s="3" t="s">
        <v>15427</v>
      </c>
    </row>
    <row r="15127">
      <c r="A15127" s="3" t="s">
        <v>31073</v>
      </c>
      <c r="B15127" s="3" t="s">
        <v>12822</v>
      </c>
      <c r="C15127" s="5" t="s">
        <v>221</v>
      </c>
      <c r="D15127" s="3" t="s">
        <v>614</v>
      </c>
      <c r="E15127" s="3" t="s">
        <v>118</v>
      </c>
      <c r="F15127" s="7">
        <v>46039.60094294976</v>
      </c>
      <c r="G15127" s="3" t="s">
        <v>15430</v>
      </c>
    </row>
    <row r="15128">
      <c r="A15128" s="3" t="s">
        <v>31074</v>
      </c>
      <c r="B15128" s="3" t="s">
        <v>12822</v>
      </c>
      <c r="C15128" s="5" t="s">
        <v>614</v>
      </c>
      <c r="D15128" s="3" t="s">
        <v>206</v>
      </c>
      <c r="E15128" s="3" t="s">
        <v>100</v>
      </c>
      <c r="F15128" s="7">
        <v>46039.60441517198</v>
      </c>
      <c r="G15128" s="3" t="s">
        <v>15433</v>
      </c>
    </row>
    <row r="15129">
      <c r="A15129" s="3" t="s">
        <v>31075</v>
      </c>
      <c r="B15129" s="3" t="s">
        <v>12822</v>
      </c>
      <c r="C15129" s="5" t="s">
        <v>206</v>
      </c>
      <c r="D15129" s="3" t="s">
        <v>68</v>
      </c>
      <c r="E15129" s="3" t="s">
        <v>100</v>
      </c>
      <c r="F15129" s="7">
        <v>46039.6078873942</v>
      </c>
      <c r="G15129" s="3" t="s">
        <v>15436</v>
      </c>
    </row>
    <row r="15130">
      <c r="A15130" s="3" t="s">
        <v>31076</v>
      </c>
      <c r="B15130" s="3" t="s">
        <v>12825</v>
      </c>
      <c r="C15130" s="5" t="s">
        <v>45</v>
      </c>
      <c r="D15130" s="3" t="s">
        <v>221</v>
      </c>
      <c r="E15130" s="3" t="s">
        <v>326</v>
      </c>
      <c r="F15130" s="7">
        <v>46039.66864557294</v>
      </c>
      <c r="G15130" s="3" t="s">
        <v>16986</v>
      </c>
    </row>
    <row r="15131">
      <c r="A15131" s="3" t="s">
        <v>31077</v>
      </c>
      <c r="B15131" s="3" t="s">
        <v>12825</v>
      </c>
      <c r="C15131" s="5" t="s">
        <v>221</v>
      </c>
      <c r="D15131" s="3" t="s">
        <v>614</v>
      </c>
      <c r="E15131" s="3" t="s">
        <v>118</v>
      </c>
      <c r="F15131" s="7">
        <v>46039.67211779516</v>
      </c>
      <c r="G15131" s="3" t="s">
        <v>16988</v>
      </c>
    </row>
    <row r="15132">
      <c r="A15132" s="3" t="s">
        <v>31078</v>
      </c>
      <c r="B15132" s="3" t="s">
        <v>12825</v>
      </c>
      <c r="C15132" s="5" t="s">
        <v>614</v>
      </c>
      <c r="D15132" s="3" t="s">
        <v>206</v>
      </c>
      <c r="E15132" s="3" t="s">
        <v>100</v>
      </c>
      <c r="F15132" s="7">
        <v>46039.67559001739</v>
      </c>
      <c r="G15132" s="3" t="s">
        <v>16991</v>
      </c>
    </row>
    <row r="15133">
      <c r="A15133" s="3" t="s">
        <v>31079</v>
      </c>
      <c r="B15133" s="3" t="s">
        <v>12825</v>
      </c>
      <c r="C15133" s="5" t="s">
        <v>206</v>
      </c>
      <c r="D15133" s="3" t="s">
        <v>68</v>
      </c>
      <c r="E15133" s="3" t="s">
        <v>100</v>
      </c>
      <c r="F15133" s="7">
        <v>46039.67906223961</v>
      </c>
      <c r="G15133" s="3" t="s">
        <v>16994</v>
      </c>
    </row>
    <row r="15134">
      <c r="A15134" s="3" t="s">
        <v>31080</v>
      </c>
      <c r="B15134" s="3" t="s">
        <v>12827</v>
      </c>
      <c r="C15134" s="5" t="s">
        <v>45</v>
      </c>
      <c r="D15134" s="3" t="s">
        <v>221</v>
      </c>
      <c r="E15134" s="3" t="s">
        <v>293</v>
      </c>
      <c r="F15134" s="7">
        <v>46039.73982041836</v>
      </c>
      <c r="G15134" s="3" t="s">
        <v>22859</v>
      </c>
    </row>
    <row r="15135">
      <c r="A15135" s="3" t="s">
        <v>31081</v>
      </c>
      <c r="B15135" s="3" t="s">
        <v>12827</v>
      </c>
      <c r="C15135" s="5" t="s">
        <v>221</v>
      </c>
      <c r="D15135" s="3" t="s">
        <v>614</v>
      </c>
      <c r="E15135" s="3" t="s">
        <v>118</v>
      </c>
      <c r="F15135" s="7">
        <v>46039.74329264058</v>
      </c>
      <c r="G15135" s="3" t="s">
        <v>25383</v>
      </c>
    </row>
    <row r="15136">
      <c r="A15136" s="3" t="s">
        <v>31082</v>
      </c>
      <c r="B15136" s="3" t="s">
        <v>12827</v>
      </c>
      <c r="C15136" s="5" t="s">
        <v>614</v>
      </c>
      <c r="D15136" s="3" t="s">
        <v>206</v>
      </c>
      <c r="E15136" s="3" t="s">
        <v>100</v>
      </c>
      <c r="F15136" s="7">
        <v>46039.74676486281</v>
      </c>
      <c r="G15136" s="3" t="s">
        <v>25385</v>
      </c>
    </row>
    <row r="15137">
      <c r="A15137" s="3" t="s">
        <v>31083</v>
      </c>
      <c r="B15137" s="3" t="s">
        <v>12827</v>
      </c>
      <c r="C15137" s="5" t="s">
        <v>206</v>
      </c>
      <c r="D15137" s="3" t="s">
        <v>68</v>
      </c>
      <c r="E15137" s="3" t="s">
        <v>100</v>
      </c>
      <c r="F15137" s="7">
        <v>46039.75023708503</v>
      </c>
      <c r="G15137" s="3" t="s">
        <v>25387</v>
      </c>
    </row>
    <row r="15138">
      <c r="A15138" s="3" t="s">
        <v>31084</v>
      </c>
      <c r="B15138" s="3" t="s">
        <v>12828</v>
      </c>
      <c r="C15138" s="5" t="s">
        <v>45</v>
      </c>
      <c r="D15138" s="3" t="s">
        <v>221</v>
      </c>
      <c r="E15138" s="3" t="s">
        <v>645</v>
      </c>
      <c r="F15138" s="7">
        <v>46039.81099526378</v>
      </c>
      <c r="G15138" s="3" t="s">
        <v>8627</v>
      </c>
    </row>
    <row r="15139">
      <c r="A15139" s="3" t="s">
        <v>31085</v>
      </c>
      <c r="B15139" s="3" t="s">
        <v>12828</v>
      </c>
      <c r="C15139" s="5" t="s">
        <v>221</v>
      </c>
      <c r="D15139" s="3" t="s">
        <v>614</v>
      </c>
      <c r="E15139" s="3" t="s">
        <v>118</v>
      </c>
      <c r="F15139" s="7">
        <v>46039.814467486</v>
      </c>
      <c r="G15139" s="3" t="s">
        <v>8630</v>
      </c>
    </row>
    <row r="15140">
      <c r="A15140" s="3" t="s">
        <v>31086</v>
      </c>
      <c r="B15140" s="3" t="s">
        <v>12828</v>
      </c>
      <c r="C15140" s="5" t="s">
        <v>614</v>
      </c>
      <c r="D15140" s="3" t="s">
        <v>206</v>
      </c>
      <c r="E15140" s="3" t="s">
        <v>100</v>
      </c>
      <c r="F15140" s="7">
        <v>46039.81793970823</v>
      </c>
      <c r="G15140" s="3" t="s">
        <v>8633</v>
      </c>
    </row>
    <row r="15141">
      <c r="A15141" s="3" t="s">
        <v>31087</v>
      </c>
      <c r="B15141" s="3" t="s">
        <v>12828</v>
      </c>
      <c r="C15141" s="5" t="s">
        <v>206</v>
      </c>
      <c r="D15141" s="3" t="s">
        <v>68</v>
      </c>
      <c r="E15141" s="3" t="s">
        <v>100</v>
      </c>
      <c r="F15141" s="7">
        <v>46039.82141193045</v>
      </c>
      <c r="G15141" s="3" t="s">
        <v>8636</v>
      </c>
    </row>
    <row r="15142">
      <c r="A15142" s="3" t="s">
        <v>31088</v>
      </c>
      <c r="B15142" s="3" t="s">
        <v>12830</v>
      </c>
      <c r="C15142" s="5" t="s">
        <v>45</v>
      </c>
      <c r="D15142" s="3" t="s">
        <v>221</v>
      </c>
      <c r="E15142" s="3" t="s">
        <v>219</v>
      </c>
      <c r="F15142" s="7">
        <v>46039.882170109195</v>
      </c>
      <c r="G15142" s="3" t="s">
        <v>4364</v>
      </c>
    </row>
    <row r="15143">
      <c r="A15143" s="3" t="s">
        <v>31089</v>
      </c>
      <c r="B15143" s="3" t="s">
        <v>12830</v>
      </c>
      <c r="C15143" s="5" t="s">
        <v>221</v>
      </c>
      <c r="D15143" s="3" t="s">
        <v>614</v>
      </c>
      <c r="E15143" s="3" t="s">
        <v>118</v>
      </c>
      <c r="F15143" s="7">
        <v>46039.885642331414</v>
      </c>
      <c r="G15143" s="3" t="s">
        <v>4367</v>
      </c>
    </row>
    <row r="15144">
      <c r="A15144" s="3" t="s">
        <v>31090</v>
      </c>
      <c r="B15144" s="3" t="s">
        <v>12830</v>
      </c>
      <c r="C15144" s="5" t="s">
        <v>614</v>
      </c>
      <c r="D15144" s="3" t="s">
        <v>206</v>
      </c>
      <c r="E15144" s="3" t="s">
        <v>100</v>
      </c>
      <c r="F15144" s="7">
        <v>46039.88911455364</v>
      </c>
      <c r="G15144" s="3" t="s">
        <v>4370</v>
      </c>
    </row>
    <row r="15145">
      <c r="A15145" s="3" t="s">
        <v>31091</v>
      </c>
      <c r="B15145" s="3" t="s">
        <v>12830</v>
      </c>
      <c r="C15145" s="5" t="s">
        <v>206</v>
      </c>
      <c r="D15145" s="3" t="s">
        <v>68</v>
      </c>
      <c r="E15145" s="3" t="s">
        <v>100</v>
      </c>
      <c r="F15145" s="7">
        <v>46039.89258677586</v>
      </c>
      <c r="G15145" s="3" t="s">
        <v>4373</v>
      </c>
    </row>
    <row r="15146">
      <c r="A15146" s="3" t="s">
        <v>31092</v>
      </c>
      <c r="B15146" s="3" t="s">
        <v>12832</v>
      </c>
      <c r="C15146" s="5" t="s">
        <v>45</v>
      </c>
      <c r="D15146" s="3" t="s">
        <v>221</v>
      </c>
      <c r="E15146" s="3" t="s">
        <v>501</v>
      </c>
      <c r="F15146" s="7">
        <v>46039.95334495461</v>
      </c>
      <c r="G15146" s="3" t="s">
        <v>4394</v>
      </c>
    </row>
    <row r="15147">
      <c r="A15147" s="3" t="s">
        <v>31093</v>
      </c>
      <c r="B15147" s="3" t="s">
        <v>12832</v>
      </c>
      <c r="C15147" s="5" t="s">
        <v>221</v>
      </c>
      <c r="D15147" s="3" t="s">
        <v>614</v>
      </c>
      <c r="E15147" s="3" t="s">
        <v>118</v>
      </c>
      <c r="F15147" s="7">
        <v>46039.956817176826</v>
      </c>
      <c r="G15147" s="3" t="s">
        <v>4397</v>
      </c>
    </row>
    <row r="15148">
      <c r="A15148" s="3" t="s">
        <v>31094</v>
      </c>
      <c r="B15148" s="3" t="s">
        <v>12832</v>
      </c>
      <c r="C15148" s="5" t="s">
        <v>614</v>
      </c>
      <c r="D15148" s="3" t="s">
        <v>206</v>
      </c>
      <c r="E15148" s="3" t="s">
        <v>100</v>
      </c>
      <c r="F15148" s="7">
        <v>46039.96028939905</v>
      </c>
      <c r="G15148" s="3" t="s">
        <v>4400</v>
      </c>
    </row>
    <row r="15149">
      <c r="A15149" s="3" t="s">
        <v>31095</v>
      </c>
      <c r="B15149" s="3" t="s">
        <v>12832</v>
      </c>
      <c r="C15149" s="5" t="s">
        <v>206</v>
      </c>
      <c r="D15149" s="3" t="s">
        <v>68</v>
      </c>
      <c r="E15149" s="3" t="s">
        <v>100</v>
      </c>
      <c r="F15149" s="7">
        <v>46039.96376162127</v>
      </c>
      <c r="G15149" s="3" t="s">
        <v>4403</v>
      </c>
    </row>
    <row r="15150">
      <c r="A15150" s="3" t="s">
        <v>31096</v>
      </c>
      <c r="B15150" s="3" t="s">
        <v>12834</v>
      </c>
      <c r="C15150" s="5" t="s">
        <v>45</v>
      </c>
      <c r="D15150" s="3" t="s">
        <v>221</v>
      </c>
      <c r="E15150" s="3" t="s">
        <v>442</v>
      </c>
      <c r="F15150" s="7">
        <v>46040.02451980003</v>
      </c>
      <c r="G15150" s="3" t="s">
        <v>24051</v>
      </c>
    </row>
    <row r="15151">
      <c r="A15151" s="3" t="s">
        <v>31097</v>
      </c>
      <c r="B15151" s="3" t="s">
        <v>12834</v>
      </c>
      <c r="C15151" s="5" t="s">
        <v>221</v>
      </c>
      <c r="D15151" s="3" t="s">
        <v>181</v>
      </c>
      <c r="E15151" s="3" t="s">
        <v>118</v>
      </c>
      <c r="F15151" s="7">
        <v>46040.027992022246</v>
      </c>
      <c r="G15151" s="3" t="s">
        <v>24053</v>
      </c>
    </row>
    <row r="15152">
      <c r="A15152" s="3" t="s">
        <v>31098</v>
      </c>
      <c r="B15152" s="3" t="s">
        <v>12835</v>
      </c>
      <c r="C15152" s="5" t="s">
        <v>45</v>
      </c>
      <c r="D15152" s="3" t="s">
        <v>221</v>
      </c>
      <c r="E15152" s="3" t="s">
        <v>746</v>
      </c>
      <c r="F15152" s="7">
        <v>46040.09569464544</v>
      </c>
      <c r="G15152" s="3" t="s">
        <v>31099</v>
      </c>
    </row>
    <row r="15153">
      <c r="A15153" s="3" t="s">
        <v>31100</v>
      </c>
      <c r="B15153" s="3" t="s">
        <v>12835</v>
      </c>
      <c r="C15153" s="5" t="s">
        <v>221</v>
      </c>
      <c r="D15153" s="3" t="s">
        <v>195</v>
      </c>
      <c r="E15153" s="3" t="s">
        <v>746</v>
      </c>
      <c r="F15153" s="7">
        <v>46040.09916686766</v>
      </c>
      <c r="G15153" s="3" t="s">
        <v>31101</v>
      </c>
    </row>
    <row r="15154">
      <c r="A15154" s="3" t="s">
        <v>31102</v>
      </c>
      <c r="B15154" s="3" t="s">
        <v>12837</v>
      </c>
      <c r="C15154" s="5" t="s">
        <v>45</v>
      </c>
      <c r="D15154" s="3" t="s">
        <v>221</v>
      </c>
      <c r="E15154" s="3" t="s">
        <v>414</v>
      </c>
      <c r="F15154" s="7">
        <v>46040.16686949085</v>
      </c>
      <c r="G15154" s="3" t="s">
        <v>29957</v>
      </c>
    </row>
    <row r="15155">
      <c r="A15155" s="3" t="s">
        <v>31103</v>
      </c>
      <c r="B15155" s="3" t="s">
        <v>12837</v>
      </c>
      <c r="C15155" s="5" t="s">
        <v>221</v>
      </c>
      <c r="D15155" s="3" t="s">
        <v>614</v>
      </c>
      <c r="E15155" s="3" t="s">
        <v>118</v>
      </c>
      <c r="F15155" s="7">
        <v>46040.17034171307</v>
      </c>
      <c r="G15155" s="3" t="s">
        <v>29959</v>
      </c>
    </row>
    <row r="15156">
      <c r="A15156" s="3" t="s">
        <v>31104</v>
      </c>
      <c r="B15156" s="3" t="s">
        <v>12837</v>
      </c>
      <c r="C15156" s="5" t="s">
        <v>614</v>
      </c>
      <c r="D15156" s="3" t="s">
        <v>206</v>
      </c>
      <c r="E15156" s="3" t="s">
        <v>100</v>
      </c>
      <c r="F15156" s="7">
        <v>46040.1738139353</v>
      </c>
      <c r="G15156" s="3" t="s">
        <v>29961</v>
      </c>
    </row>
    <row r="15157">
      <c r="A15157" s="3" t="s">
        <v>31105</v>
      </c>
      <c r="B15157" s="3" t="s">
        <v>12837</v>
      </c>
      <c r="C15157" s="5" t="s">
        <v>206</v>
      </c>
      <c r="D15157" s="3" t="s">
        <v>68</v>
      </c>
      <c r="E15157" s="3" t="s">
        <v>100</v>
      </c>
      <c r="F15157" s="7">
        <v>46040.177286157515</v>
      </c>
      <c r="G15157" s="3" t="s">
        <v>29963</v>
      </c>
    </row>
    <row r="15158">
      <c r="A15158" s="3" t="s">
        <v>31106</v>
      </c>
      <c r="B15158" s="3" t="s">
        <v>12840</v>
      </c>
      <c r="C15158" s="5" t="s">
        <v>45</v>
      </c>
      <c r="D15158" s="3" t="s">
        <v>221</v>
      </c>
      <c r="E15158" s="3" t="s">
        <v>404</v>
      </c>
      <c r="F15158" s="7">
        <v>46040.23804433627</v>
      </c>
      <c r="G15158" s="3" t="s">
        <v>4406</v>
      </c>
    </row>
    <row r="15159">
      <c r="A15159" s="3" t="s">
        <v>31107</v>
      </c>
      <c r="B15159" s="3" t="s">
        <v>12840</v>
      </c>
      <c r="C15159" s="5" t="s">
        <v>221</v>
      </c>
      <c r="D15159" s="3" t="s">
        <v>614</v>
      </c>
      <c r="E15159" s="3" t="s">
        <v>118</v>
      </c>
      <c r="F15159" s="7">
        <v>46040.24151655849</v>
      </c>
      <c r="G15159" s="3" t="s">
        <v>4409</v>
      </c>
    </row>
    <row r="15160">
      <c r="A15160" s="3" t="s">
        <v>31108</v>
      </c>
      <c r="B15160" s="3" t="s">
        <v>12840</v>
      </c>
      <c r="C15160" s="5" t="s">
        <v>614</v>
      </c>
      <c r="D15160" s="3" t="s">
        <v>206</v>
      </c>
      <c r="E15160" s="3" t="s">
        <v>100</v>
      </c>
      <c r="F15160" s="7">
        <v>46040.244988780716</v>
      </c>
      <c r="G15160" s="3" t="s">
        <v>4412</v>
      </c>
    </row>
    <row r="15161">
      <c r="A15161" s="3" t="s">
        <v>31109</v>
      </c>
      <c r="B15161" s="3" t="s">
        <v>12840</v>
      </c>
      <c r="C15161" s="5" t="s">
        <v>206</v>
      </c>
      <c r="D15161" s="3" t="s">
        <v>68</v>
      </c>
      <c r="E15161" s="3" t="s">
        <v>100</v>
      </c>
      <c r="F15161" s="7">
        <v>46040.248461002935</v>
      </c>
      <c r="G15161" s="3" t="s">
        <v>4415</v>
      </c>
    </row>
    <row r="15162">
      <c r="A15162" s="3" t="s">
        <v>31110</v>
      </c>
      <c r="B15162" s="3" t="s">
        <v>12843</v>
      </c>
      <c r="C15162" s="5" t="s">
        <v>45</v>
      </c>
      <c r="D15162" s="3" t="s">
        <v>221</v>
      </c>
      <c r="E15162" s="3" t="s">
        <v>953</v>
      </c>
      <c r="F15162" s="7">
        <v>46040.30921918168</v>
      </c>
      <c r="G15162" s="3" t="s">
        <v>4418</v>
      </c>
    </row>
    <row r="15163">
      <c r="A15163" s="3" t="s">
        <v>31111</v>
      </c>
      <c r="B15163" s="3" t="s">
        <v>12843</v>
      </c>
      <c r="C15163" s="5" t="s">
        <v>221</v>
      </c>
      <c r="D15163" s="3" t="s">
        <v>614</v>
      </c>
      <c r="E15163" s="3" t="s">
        <v>118</v>
      </c>
      <c r="F15163" s="7">
        <v>46040.3126914039</v>
      </c>
      <c r="G15163" s="3" t="s">
        <v>4421</v>
      </c>
    </row>
    <row r="15164">
      <c r="A15164" s="3" t="s">
        <v>31112</v>
      </c>
      <c r="B15164" s="3" t="s">
        <v>12843</v>
      </c>
      <c r="C15164" s="5" t="s">
        <v>614</v>
      </c>
      <c r="D15164" s="3" t="s">
        <v>206</v>
      </c>
      <c r="E15164" s="3" t="s">
        <v>100</v>
      </c>
      <c r="F15164" s="7">
        <v>46040.31616362613</v>
      </c>
      <c r="G15164" s="3" t="s">
        <v>4424</v>
      </c>
    </row>
    <row r="15165">
      <c r="A15165" s="3" t="s">
        <v>31113</v>
      </c>
      <c r="B15165" s="3" t="s">
        <v>12843</v>
      </c>
      <c r="C15165" s="5" t="s">
        <v>206</v>
      </c>
      <c r="D15165" s="3" t="s">
        <v>68</v>
      </c>
      <c r="E15165" s="3" t="s">
        <v>100</v>
      </c>
      <c r="F15165" s="7">
        <v>46040.31963584835</v>
      </c>
      <c r="G15165" s="3" t="s">
        <v>4427</v>
      </c>
    </row>
    <row r="15166">
      <c r="A15166" s="3" t="s">
        <v>31114</v>
      </c>
      <c r="B15166" s="3" t="s">
        <v>12845</v>
      </c>
      <c r="C15166" s="5" t="s">
        <v>45</v>
      </c>
      <c r="D15166" s="3" t="s">
        <v>221</v>
      </c>
      <c r="E15166" s="3" t="s">
        <v>302</v>
      </c>
      <c r="F15166" s="7">
        <v>46040.380394027095</v>
      </c>
      <c r="G15166" s="3" t="s">
        <v>18347</v>
      </c>
    </row>
    <row r="15167">
      <c r="A15167" s="3" t="s">
        <v>31115</v>
      </c>
      <c r="B15167" s="3" t="s">
        <v>12845</v>
      </c>
      <c r="C15167" s="5" t="s">
        <v>221</v>
      </c>
      <c r="D15167" s="3" t="s">
        <v>614</v>
      </c>
      <c r="E15167" s="3" t="s">
        <v>118</v>
      </c>
      <c r="F15167" s="7">
        <v>46040.383866249314</v>
      </c>
      <c r="G15167" s="3" t="s">
        <v>18350</v>
      </c>
    </row>
    <row r="15168">
      <c r="A15168" s="3" t="s">
        <v>31116</v>
      </c>
      <c r="B15168" s="3" t="s">
        <v>12845</v>
      </c>
      <c r="C15168" s="5" t="s">
        <v>614</v>
      </c>
      <c r="D15168" s="3" t="s">
        <v>206</v>
      </c>
      <c r="E15168" s="3" t="s">
        <v>100</v>
      </c>
      <c r="F15168" s="7">
        <v>46040.38733847154</v>
      </c>
      <c r="G15168" s="3" t="s">
        <v>18353</v>
      </c>
    </row>
    <row r="15169">
      <c r="A15169" s="3" t="s">
        <v>31117</v>
      </c>
      <c r="B15169" s="3" t="s">
        <v>12845</v>
      </c>
      <c r="C15169" s="5" t="s">
        <v>206</v>
      </c>
      <c r="D15169" s="3" t="s">
        <v>68</v>
      </c>
      <c r="E15169" s="3" t="s">
        <v>100</v>
      </c>
      <c r="F15169" s="7">
        <v>46040.39081069376</v>
      </c>
      <c r="G15169" s="3" t="s">
        <v>18355</v>
      </c>
    </row>
    <row r="15170">
      <c r="A15170" s="3" t="s">
        <v>31118</v>
      </c>
      <c r="B15170" s="3" t="s">
        <v>12847</v>
      </c>
      <c r="C15170" s="5" t="s">
        <v>45</v>
      </c>
      <c r="D15170" s="3" t="s">
        <v>221</v>
      </c>
      <c r="E15170" s="3" t="s">
        <v>352</v>
      </c>
      <c r="F15170" s="7">
        <v>46040.451568872515</v>
      </c>
      <c r="G15170" s="3" t="s">
        <v>4500</v>
      </c>
    </row>
    <row r="15171">
      <c r="A15171" s="3" t="s">
        <v>31119</v>
      </c>
      <c r="B15171" s="3" t="s">
        <v>12847</v>
      </c>
      <c r="C15171" s="5" t="s">
        <v>221</v>
      </c>
      <c r="D15171" s="3" t="s">
        <v>614</v>
      </c>
      <c r="E15171" s="3" t="s">
        <v>118</v>
      </c>
      <c r="F15171" s="7">
        <v>46040.455041094734</v>
      </c>
      <c r="G15171" s="3" t="s">
        <v>4503</v>
      </c>
    </row>
    <row r="15172">
      <c r="A15172" s="3" t="s">
        <v>31120</v>
      </c>
      <c r="B15172" s="3" t="s">
        <v>12847</v>
      </c>
      <c r="C15172" s="5" t="s">
        <v>614</v>
      </c>
      <c r="D15172" s="3" t="s">
        <v>206</v>
      </c>
      <c r="E15172" s="3" t="s">
        <v>100</v>
      </c>
      <c r="F15172" s="7">
        <v>46040.45851331696</v>
      </c>
      <c r="G15172" s="3" t="s">
        <v>4506</v>
      </c>
    </row>
    <row r="15173">
      <c r="A15173" s="3" t="s">
        <v>31121</v>
      </c>
      <c r="B15173" s="3" t="s">
        <v>12847</v>
      </c>
      <c r="C15173" s="5" t="s">
        <v>206</v>
      </c>
      <c r="D15173" s="3" t="s">
        <v>68</v>
      </c>
      <c r="E15173" s="3" t="s">
        <v>100</v>
      </c>
      <c r="F15173" s="7">
        <v>46040.46198553918</v>
      </c>
      <c r="G15173" s="3" t="s">
        <v>4509</v>
      </c>
    </row>
    <row r="15174">
      <c r="A15174" s="3" t="s">
        <v>31122</v>
      </c>
      <c r="B15174" s="3" t="s">
        <v>12850</v>
      </c>
      <c r="C15174" s="5" t="s">
        <v>45</v>
      </c>
      <c r="D15174" s="3" t="s">
        <v>221</v>
      </c>
      <c r="E15174" s="3" t="s">
        <v>137</v>
      </c>
      <c r="F15174" s="7">
        <v>46040.52274371793</v>
      </c>
      <c r="G15174" s="3" t="s">
        <v>4430</v>
      </c>
    </row>
    <row r="15175">
      <c r="A15175" s="3" t="s">
        <v>31123</v>
      </c>
      <c r="B15175" s="3" t="s">
        <v>12850</v>
      </c>
      <c r="C15175" s="5" t="s">
        <v>221</v>
      </c>
      <c r="D15175" s="3" t="s">
        <v>614</v>
      </c>
      <c r="E15175" s="3" t="s">
        <v>118</v>
      </c>
      <c r="F15175" s="7">
        <v>46040.526215940146</v>
      </c>
      <c r="G15175" s="3" t="s">
        <v>4432</v>
      </c>
    </row>
    <row r="15176">
      <c r="A15176" s="3" t="s">
        <v>31124</v>
      </c>
      <c r="B15176" s="3" t="s">
        <v>12850</v>
      </c>
      <c r="C15176" s="5" t="s">
        <v>614</v>
      </c>
      <c r="D15176" s="3" t="s">
        <v>206</v>
      </c>
      <c r="E15176" s="3" t="s">
        <v>100</v>
      </c>
      <c r="F15176" s="7">
        <v>46040.52968816237</v>
      </c>
      <c r="G15176" s="3" t="s">
        <v>4435</v>
      </c>
    </row>
    <row r="15177">
      <c r="A15177" s="3" t="s">
        <v>31125</v>
      </c>
      <c r="B15177" s="3" t="s">
        <v>12850</v>
      </c>
      <c r="C15177" s="5" t="s">
        <v>206</v>
      </c>
      <c r="D15177" s="3" t="s">
        <v>68</v>
      </c>
      <c r="E15177" s="3" t="s">
        <v>100</v>
      </c>
      <c r="F15177" s="7">
        <v>46040.53316038459</v>
      </c>
      <c r="G15177" s="3" t="s">
        <v>4438</v>
      </c>
    </row>
    <row r="15178">
      <c r="A15178" s="3" t="s">
        <v>31126</v>
      </c>
      <c r="B15178" s="3" t="s">
        <v>12853</v>
      </c>
      <c r="C15178" s="5" t="s">
        <v>45</v>
      </c>
      <c r="D15178" s="3" t="s">
        <v>221</v>
      </c>
      <c r="E15178" s="3" t="s">
        <v>388</v>
      </c>
      <c r="F15178" s="7">
        <v>46040.59391856335</v>
      </c>
      <c r="G15178" s="3" t="s">
        <v>2770</v>
      </c>
    </row>
    <row r="15179">
      <c r="A15179" s="3" t="s">
        <v>31127</v>
      </c>
      <c r="B15179" s="3" t="s">
        <v>12853</v>
      </c>
      <c r="C15179" s="5" t="s">
        <v>221</v>
      </c>
      <c r="D15179" s="3" t="s">
        <v>195</v>
      </c>
      <c r="E15179" s="3" t="s">
        <v>388</v>
      </c>
      <c r="F15179" s="7">
        <v>46040.597390785566</v>
      </c>
      <c r="G15179" s="3" t="s">
        <v>3055</v>
      </c>
    </row>
    <row r="15180">
      <c r="A15180" s="3" t="s">
        <v>31128</v>
      </c>
      <c r="B15180" s="3" t="s">
        <v>12855</v>
      </c>
      <c r="C15180" s="5" t="s">
        <v>45</v>
      </c>
      <c r="D15180" s="3" t="s">
        <v>221</v>
      </c>
      <c r="E15180" s="3" t="s">
        <v>760</v>
      </c>
      <c r="F15180" s="7">
        <v>46040.66509340876</v>
      </c>
      <c r="G15180" s="3" t="s">
        <v>21301</v>
      </c>
    </row>
    <row r="15181">
      <c r="A15181" s="3" t="s">
        <v>31129</v>
      </c>
      <c r="B15181" s="3" t="s">
        <v>12855</v>
      </c>
      <c r="C15181" s="5" t="s">
        <v>221</v>
      </c>
      <c r="D15181" s="3" t="s">
        <v>614</v>
      </c>
      <c r="E15181" s="3" t="s">
        <v>118</v>
      </c>
      <c r="F15181" s="7">
        <v>46040.66856563098</v>
      </c>
      <c r="G15181" s="3" t="s">
        <v>21304</v>
      </c>
    </row>
    <row r="15182">
      <c r="A15182" s="3" t="s">
        <v>31130</v>
      </c>
      <c r="B15182" s="3" t="s">
        <v>12855</v>
      </c>
      <c r="C15182" s="5" t="s">
        <v>614</v>
      </c>
      <c r="D15182" s="3" t="s">
        <v>206</v>
      </c>
      <c r="E15182" s="3" t="s">
        <v>100</v>
      </c>
      <c r="F15182" s="7">
        <v>46040.672037853205</v>
      </c>
      <c r="G15182" s="3" t="s">
        <v>21307</v>
      </c>
    </row>
    <row r="15183">
      <c r="A15183" s="3" t="s">
        <v>31131</v>
      </c>
      <c r="B15183" s="3" t="s">
        <v>12855</v>
      </c>
      <c r="C15183" s="5" t="s">
        <v>206</v>
      </c>
      <c r="D15183" s="3" t="s">
        <v>68</v>
      </c>
      <c r="E15183" s="3" t="s">
        <v>100</v>
      </c>
      <c r="F15183" s="7">
        <v>46040.67551007542</v>
      </c>
      <c r="G15183" s="3" t="s">
        <v>21310</v>
      </c>
    </row>
    <row r="15184">
      <c r="A15184" s="3" t="s">
        <v>31132</v>
      </c>
      <c r="B15184" s="3" t="s">
        <v>12857</v>
      </c>
      <c r="C15184" s="5" t="s">
        <v>45</v>
      </c>
      <c r="D15184" s="3" t="s">
        <v>221</v>
      </c>
      <c r="E15184" s="3" t="s">
        <v>609</v>
      </c>
      <c r="F15184" s="7">
        <v>46040.73626825418</v>
      </c>
      <c r="G15184" s="3" t="s">
        <v>4164</v>
      </c>
    </row>
    <row r="15185">
      <c r="A15185" s="3" t="s">
        <v>31133</v>
      </c>
      <c r="B15185" s="3" t="s">
        <v>12857</v>
      </c>
      <c r="C15185" s="5" t="s">
        <v>221</v>
      </c>
      <c r="D15185" s="3" t="s">
        <v>614</v>
      </c>
      <c r="E15185" s="3" t="s">
        <v>118</v>
      </c>
      <c r="F15185" s="7">
        <v>46040.7397404764</v>
      </c>
      <c r="G15185" s="3" t="s">
        <v>4167</v>
      </c>
    </row>
    <row r="15186">
      <c r="A15186" s="3" t="s">
        <v>31134</v>
      </c>
      <c r="B15186" s="3" t="s">
        <v>12857</v>
      </c>
      <c r="C15186" s="5" t="s">
        <v>614</v>
      </c>
      <c r="D15186" s="3" t="s">
        <v>206</v>
      </c>
      <c r="E15186" s="3" t="s">
        <v>100</v>
      </c>
      <c r="F15186" s="7">
        <v>46040.743212698624</v>
      </c>
      <c r="G15186" s="3" t="s">
        <v>4169</v>
      </c>
    </row>
    <row r="15187">
      <c r="A15187" s="3" t="s">
        <v>31135</v>
      </c>
      <c r="B15187" s="3" t="s">
        <v>12857</v>
      </c>
      <c r="C15187" s="5" t="s">
        <v>206</v>
      </c>
      <c r="D15187" s="3" t="s">
        <v>68</v>
      </c>
      <c r="E15187" s="3" t="s">
        <v>100</v>
      </c>
      <c r="F15187" s="7">
        <v>46040.74668492084</v>
      </c>
      <c r="G15187" s="3" t="s">
        <v>4172</v>
      </c>
    </row>
    <row r="15188">
      <c r="A15188" s="3" t="s">
        <v>31136</v>
      </c>
      <c r="B15188" s="3" t="s">
        <v>12860</v>
      </c>
      <c r="C15188" s="5" t="s">
        <v>45</v>
      </c>
      <c r="D15188" s="3" t="s">
        <v>221</v>
      </c>
      <c r="E15188" s="3" t="s">
        <v>877</v>
      </c>
      <c r="F15188" s="7">
        <v>46040.807443099584</v>
      </c>
      <c r="G15188" s="3" t="s">
        <v>21862</v>
      </c>
    </row>
    <row r="15189">
      <c r="A15189" s="3" t="s">
        <v>31137</v>
      </c>
      <c r="B15189" s="3" t="s">
        <v>12860</v>
      </c>
      <c r="C15189" s="5" t="s">
        <v>221</v>
      </c>
      <c r="D15189" s="3" t="s">
        <v>181</v>
      </c>
      <c r="E15189" s="3" t="s">
        <v>118</v>
      </c>
      <c r="F15189" s="7">
        <v>46040.8109153218</v>
      </c>
      <c r="G15189" s="3" t="s">
        <v>31138</v>
      </c>
    </row>
    <row r="15190">
      <c r="A15190" s="3" t="s">
        <v>31139</v>
      </c>
      <c r="B15190" s="3" t="s">
        <v>12863</v>
      </c>
      <c r="C15190" s="5" t="s">
        <v>45</v>
      </c>
      <c r="D15190" s="3" t="s">
        <v>221</v>
      </c>
      <c r="E15190" s="3" t="s">
        <v>756</v>
      </c>
      <c r="F15190" s="7">
        <v>46040.878617945</v>
      </c>
      <c r="G15190" s="3" t="s">
        <v>4489</v>
      </c>
    </row>
    <row r="15191">
      <c r="A15191" s="3" t="s">
        <v>31140</v>
      </c>
      <c r="B15191" s="3" t="s">
        <v>12863</v>
      </c>
      <c r="C15191" s="5" t="s">
        <v>221</v>
      </c>
      <c r="D15191" s="3" t="s">
        <v>614</v>
      </c>
      <c r="E15191" s="3" t="s">
        <v>118</v>
      </c>
      <c r="F15191" s="7">
        <v>46040.88209016722</v>
      </c>
      <c r="G15191" s="3" t="s">
        <v>4491</v>
      </c>
    </row>
    <row r="15192">
      <c r="A15192" s="3" t="s">
        <v>31141</v>
      </c>
      <c r="B15192" s="3" t="s">
        <v>12863</v>
      </c>
      <c r="C15192" s="5" t="s">
        <v>614</v>
      </c>
      <c r="D15192" s="3" t="s">
        <v>206</v>
      </c>
      <c r="E15192" s="3" t="s">
        <v>100</v>
      </c>
      <c r="F15192" s="7">
        <v>46040.88556238945</v>
      </c>
      <c r="G15192" s="3" t="s">
        <v>4494</v>
      </c>
    </row>
    <row r="15193">
      <c r="A15193" s="3" t="s">
        <v>31142</v>
      </c>
      <c r="B15193" s="3" t="s">
        <v>12863</v>
      </c>
      <c r="C15193" s="5" t="s">
        <v>206</v>
      </c>
      <c r="D15193" s="3" t="s">
        <v>68</v>
      </c>
      <c r="E15193" s="3" t="s">
        <v>100</v>
      </c>
      <c r="F15193" s="7">
        <v>46040.88903461167</v>
      </c>
      <c r="G15193" s="3" t="s">
        <v>4497</v>
      </c>
    </row>
    <row r="15194">
      <c r="A15194" s="3" t="s">
        <v>31143</v>
      </c>
      <c r="B15194" s="3" t="s">
        <v>12864</v>
      </c>
      <c r="C15194" s="5" t="s">
        <v>45</v>
      </c>
      <c r="D15194" s="3" t="s">
        <v>221</v>
      </c>
      <c r="E15194" s="3" t="s">
        <v>307</v>
      </c>
      <c r="F15194" s="7">
        <v>46040.94979279042</v>
      </c>
      <c r="G15194" s="3" t="s">
        <v>18872</v>
      </c>
    </row>
    <row r="15195">
      <c r="A15195" s="3" t="s">
        <v>31144</v>
      </c>
      <c r="B15195" s="3" t="s">
        <v>12864</v>
      </c>
      <c r="C15195" s="5" t="s">
        <v>221</v>
      </c>
      <c r="D15195" s="3" t="s">
        <v>614</v>
      </c>
      <c r="E15195" s="3" t="s">
        <v>118</v>
      </c>
      <c r="F15195" s="7">
        <v>46040.95326501264</v>
      </c>
      <c r="G15195" s="3" t="s">
        <v>18875</v>
      </c>
    </row>
    <row r="15196">
      <c r="A15196" s="3" t="s">
        <v>31145</v>
      </c>
      <c r="B15196" s="3" t="s">
        <v>12864</v>
      </c>
      <c r="C15196" s="5" t="s">
        <v>614</v>
      </c>
      <c r="D15196" s="3" t="s">
        <v>206</v>
      </c>
      <c r="E15196" s="3" t="s">
        <v>100</v>
      </c>
      <c r="F15196" s="7">
        <v>46040.95673723487</v>
      </c>
      <c r="G15196" s="3" t="s">
        <v>18877</v>
      </c>
    </row>
    <row r="15197">
      <c r="A15197" s="3" t="s">
        <v>31146</v>
      </c>
      <c r="B15197" s="3" t="s">
        <v>12864</v>
      </c>
      <c r="C15197" s="5" t="s">
        <v>206</v>
      </c>
      <c r="D15197" s="3" t="s">
        <v>68</v>
      </c>
      <c r="E15197" s="3" t="s">
        <v>100</v>
      </c>
      <c r="F15197" s="7">
        <v>46040.96020945709</v>
      </c>
      <c r="G15197" s="3" t="s">
        <v>18879</v>
      </c>
    </row>
    <row r="15198">
      <c r="A15198" s="3" t="s">
        <v>31147</v>
      </c>
      <c r="B15198" s="3" t="s">
        <v>12867</v>
      </c>
      <c r="C15198" s="5" t="s">
        <v>45</v>
      </c>
      <c r="D15198" s="3" t="s">
        <v>221</v>
      </c>
      <c r="E15198" s="3" t="s">
        <v>778</v>
      </c>
      <c r="F15198" s="7">
        <v>46041.020967635835</v>
      </c>
      <c r="G15198" s="3" t="s">
        <v>14870</v>
      </c>
    </row>
    <row r="15199">
      <c r="A15199" s="3" t="s">
        <v>31148</v>
      </c>
      <c r="B15199" s="3" t="s">
        <v>12867</v>
      </c>
      <c r="C15199" s="5" t="s">
        <v>221</v>
      </c>
      <c r="D15199" s="3" t="s">
        <v>614</v>
      </c>
      <c r="E15199" s="3" t="s">
        <v>118</v>
      </c>
      <c r="F15199" s="7">
        <v>46041.024439858054</v>
      </c>
      <c r="G15199" s="3" t="s">
        <v>18806</v>
      </c>
    </row>
    <row r="15200">
      <c r="A15200" s="3" t="s">
        <v>31149</v>
      </c>
      <c r="B15200" s="3" t="s">
        <v>12867</v>
      </c>
      <c r="C15200" s="5" t="s">
        <v>614</v>
      </c>
      <c r="D15200" s="3" t="s">
        <v>206</v>
      </c>
      <c r="E15200" s="3" t="s">
        <v>100</v>
      </c>
      <c r="F15200" s="7">
        <v>46041.02791208028</v>
      </c>
      <c r="G15200" s="3" t="s">
        <v>18809</v>
      </c>
    </row>
    <row r="15201">
      <c r="A15201" s="3" t="s">
        <v>31150</v>
      </c>
      <c r="B15201" s="3" t="s">
        <v>12867</v>
      </c>
      <c r="C15201" s="5" t="s">
        <v>206</v>
      </c>
      <c r="D15201" s="3" t="s">
        <v>68</v>
      </c>
      <c r="E15201" s="3" t="s">
        <v>100</v>
      </c>
      <c r="F15201" s="7">
        <v>46041.0313843025</v>
      </c>
      <c r="G15201" s="3" t="s">
        <v>18811</v>
      </c>
    </row>
    <row r="15202">
      <c r="A15202" s="3" t="s">
        <v>31151</v>
      </c>
      <c r="B15202" s="3" t="s">
        <v>12870</v>
      </c>
      <c r="C15202" s="5" t="s">
        <v>45</v>
      </c>
      <c r="D15202" s="3" t="s">
        <v>221</v>
      </c>
      <c r="E15202" s="3" t="s">
        <v>575</v>
      </c>
      <c r="F15202" s="7">
        <v>46041.09214248125</v>
      </c>
      <c r="G15202" s="3" t="s">
        <v>30406</v>
      </c>
    </row>
    <row r="15203">
      <c r="A15203" s="3" t="s">
        <v>31152</v>
      </c>
      <c r="B15203" s="3" t="s">
        <v>12870</v>
      </c>
      <c r="C15203" s="5" t="s">
        <v>221</v>
      </c>
      <c r="D15203" s="3" t="s">
        <v>614</v>
      </c>
      <c r="E15203" s="3" t="s">
        <v>118</v>
      </c>
      <c r="F15203" s="7">
        <v>46041.09561470347</v>
      </c>
      <c r="G15203" s="3" t="s">
        <v>30408</v>
      </c>
    </row>
    <row r="15204">
      <c r="A15204" s="3" t="s">
        <v>31153</v>
      </c>
      <c r="B15204" s="3" t="s">
        <v>12870</v>
      </c>
      <c r="C15204" s="5" t="s">
        <v>614</v>
      </c>
      <c r="D15204" s="3" t="s">
        <v>206</v>
      </c>
      <c r="E15204" s="3" t="s">
        <v>100</v>
      </c>
      <c r="F15204" s="7">
        <v>46041.09908692569</v>
      </c>
      <c r="G15204" s="3" t="s">
        <v>30410</v>
      </c>
    </row>
    <row r="15205">
      <c r="A15205" s="3" t="s">
        <v>31154</v>
      </c>
      <c r="B15205" s="3" t="s">
        <v>12870</v>
      </c>
      <c r="C15205" s="5" t="s">
        <v>206</v>
      </c>
      <c r="D15205" s="3" t="s">
        <v>68</v>
      </c>
      <c r="E15205" s="3" t="s">
        <v>100</v>
      </c>
      <c r="F15205" s="7">
        <v>46041.10255914791</v>
      </c>
      <c r="G15205" s="3" t="s">
        <v>30412</v>
      </c>
    </row>
    <row r="15206">
      <c r="A15206" s="3" t="s">
        <v>31155</v>
      </c>
      <c r="B15206" s="3" t="s">
        <v>12872</v>
      </c>
      <c r="C15206" s="5" t="s">
        <v>45</v>
      </c>
      <c r="D15206" s="3" t="s">
        <v>221</v>
      </c>
      <c r="E15206" s="3" t="s">
        <v>359</v>
      </c>
      <c r="F15206" s="7">
        <v>46041.16331732667</v>
      </c>
      <c r="G15206" s="3" t="s">
        <v>4515</v>
      </c>
    </row>
    <row r="15207">
      <c r="A15207" s="3" t="s">
        <v>31156</v>
      </c>
      <c r="B15207" s="3" t="s">
        <v>12872</v>
      </c>
      <c r="C15207" s="5" t="s">
        <v>221</v>
      </c>
      <c r="D15207" s="3" t="s">
        <v>614</v>
      </c>
      <c r="E15207" s="3" t="s">
        <v>118</v>
      </c>
      <c r="F15207" s="7">
        <v>46041.166789548886</v>
      </c>
      <c r="G15207" s="3" t="s">
        <v>4518</v>
      </c>
    </row>
    <row r="15208">
      <c r="A15208" s="3" t="s">
        <v>31157</v>
      </c>
      <c r="B15208" s="3" t="s">
        <v>12872</v>
      </c>
      <c r="C15208" s="5" t="s">
        <v>614</v>
      </c>
      <c r="D15208" s="3" t="s">
        <v>206</v>
      </c>
      <c r="E15208" s="3" t="s">
        <v>100</v>
      </c>
      <c r="F15208" s="7">
        <v>46041.17026177111</v>
      </c>
      <c r="G15208" s="3" t="s">
        <v>4521</v>
      </c>
    </row>
    <row r="15209">
      <c r="A15209" s="3" t="s">
        <v>31158</v>
      </c>
      <c r="B15209" s="3" t="s">
        <v>12872</v>
      </c>
      <c r="C15209" s="5" t="s">
        <v>206</v>
      </c>
      <c r="D15209" s="3" t="s">
        <v>68</v>
      </c>
      <c r="E15209" s="3" t="s">
        <v>100</v>
      </c>
      <c r="F15209" s="7">
        <v>46041.17373399333</v>
      </c>
      <c r="G15209" s="3" t="s">
        <v>4524</v>
      </c>
    </row>
    <row r="15210">
      <c r="A15210" s="3" t="s">
        <v>31159</v>
      </c>
      <c r="B15210" s="3" t="s">
        <v>12874</v>
      </c>
      <c r="C15210" s="5" t="s">
        <v>45</v>
      </c>
      <c r="D15210" s="3" t="s">
        <v>221</v>
      </c>
      <c r="E15210" s="3" t="s">
        <v>533</v>
      </c>
      <c r="F15210" s="7">
        <v>46041.23449217208</v>
      </c>
      <c r="G15210" s="3" t="s">
        <v>24165</v>
      </c>
    </row>
    <row r="15211">
      <c r="A15211" s="3" t="s">
        <v>31160</v>
      </c>
      <c r="B15211" s="3" t="s">
        <v>12874</v>
      </c>
      <c r="C15211" s="5" t="s">
        <v>221</v>
      </c>
      <c r="D15211" s="3" t="s">
        <v>614</v>
      </c>
      <c r="E15211" s="3" t="s">
        <v>118</v>
      </c>
      <c r="F15211" s="7">
        <v>46041.2379643943</v>
      </c>
      <c r="G15211" s="3" t="s">
        <v>24167</v>
      </c>
    </row>
    <row r="15212">
      <c r="A15212" s="3" t="s">
        <v>31161</v>
      </c>
      <c r="B15212" s="3" t="s">
        <v>12874</v>
      </c>
      <c r="C15212" s="5" t="s">
        <v>614</v>
      </c>
      <c r="D15212" s="3" t="s">
        <v>206</v>
      </c>
      <c r="E15212" s="3" t="s">
        <v>100</v>
      </c>
      <c r="F15212" s="7">
        <v>46041.241436616525</v>
      </c>
      <c r="G15212" s="3" t="s">
        <v>24169</v>
      </c>
    </row>
    <row r="15213">
      <c r="A15213" s="3" t="s">
        <v>31162</v>
      </c>
      <c r="B15213" s="3" t="s">
        <v>12874</v>
      </c>
      <c r="C15213" s="5" t="s">
        <v>206</v>
      </c>
      <c r="D15213" s="3" t="s">
        <v>68</v>
      </c>
      <c r="E15213" s="3" t="s">
        <v>100</v>
      </c>
      <c r="F15213" s="7">
        <v>46041.244908838744</v>
      </c>
      <c r="G15213" s="3" t="s">
        <v>24171</v>
      </c>
    </row>
    <row r="15214">
      <c r="A15214" s="3" t="s">
        <v>31163</v>
      </c>
      <c r="B15214" s="3" t="s">
        <v>12877</v>
      </c>
      <c r="C15214" s="5" t="s">
        <v>45</v>
      </c>
      <c r="D15214" s="3" t="s">
        <v>221</v>
      </c>
      <c r="E15214" s="3" t="s">
        <v>468</v>
      </c>
      <c r="F15214" s="7">
        <v>46041.30566701749</v>
      </c>
      <c r="G15214" s="3" t="s">
        <v>5393</v>
      </c>
    </row>
    <row r="15215">
      <c r="A15215" s="3" t="s">
        <v>31164</v>
      </c>
      <c r="B15215" s="3" t="s">
        <v>12877</v>
      </c>
      <c r="C15215" s="5" t="s">
        <v>221</v>
      </c>
      <c r="D15215" s="3" t="s">
        <v>614</v>
      </c>
      <c r="E15215" s="3" t="s">
        <v>118</v>
      </c>
      <c r="F15215" s="7">
        <v>46041.30913923971</v>
      </c>
      <c r="G15215" s="3" t="s">
        <v>5396</v>
      </c>
    </row>
    <row r="15216">
      <c r="A15216" s="3" t="s">
        <v>31165</v>
      </c>
      <c r="B15216" s="3" t="s">
        <v>12877</v>
      </c>
      <c r="C15216" s="5" t="s">
        <v>614</v>
      </c>
      <c r="D15216" s="3" t="s">
        <v>206</v>
      </c>
      <c r="E15216" s="3" t="s">
        <v>100</v>
      </c>
      <c r="F15216" s="7">
        <v>46041.31261146194</v>
      </c>
      <c r="G15216" s="3" t="s">
        <v>5399</v>
      </c>
    </row>
    <row r="15217">
      <c r="A15217" s="3" t="s">
        <v>31166</v>
      </c>
      <c r="B15217" s="3" t="s">
        <v>12877</v>
      </c>
      <c r="C15217" s="5" t="s">
        <v>206</v>
      </c>
      <c r="D15217" s="3" t="s">
        <v>68</v>
      </c>
      <c r="E15217" s="3" t="s">
        <v>100</v>
      </c>
      <c r="F15217" s="7">
        <v>46041.316083684156</v>
      </c>
      <c r="G15217" s="3" t="s">
        <v>5402</v>
      </c>
    </row>
    <row r="15218">
      <c r="A15218" s="3" t="s">
        <v>31167</v>
      </c>
      <c r="B15218" s="3" t="s">
        <v>12880</v>
      </c>
      <c r="C15218" s="5" t="s">
        <v>45</v>
      </c>
      <c r="D15218" s="3" t="s">
        <v>221</v>
      </c>
      <c r="E15218" s="3" t="s">
        <v>516</v>
      </c>
      <c r="F15218" s="7">
        <v>46041.37684186291</v>
      </c>
      <c r="G15218" s="3" t="s">
        <v>18654</v>
      </c>
    </row>
    <row r="15219">
      <c r="A15219" s="3" t="s">
        <v>31168</v>
      </c>
      <c r="B15219" s="3" t="s">
        <v>12880</v>
      </c>
      <c r="C15219" s="5" t="s">
        <v>221</v>
      </c>
      <c r="D15219" s="3" t="s">
        <v>614</v>
      </c>
      <c r="E15219" s="3" t="s">
        <v>118</v>
      </c>
      <c r="F15219" s="7">
        <v>46041.38031408513</v>
      </c>
      <c r="G15219" s="3" t="s">
        <v>18657</v>
      </c>
    </row>
    <row r="15220">
      <c r="A15220" s="3" t="s">
        <v>31169</v>
      </c>
      <c r="B15220" s="3" t="s">
        <v>12880</v>
      </c>
      <c r="C15220" s="5" t="s">
        <v>614</v>
      </c>
      <c r="D15220" s="3" t="s">
        <v>206</v>
      </c>
      <c r="E15220" s="3" t="s">
        <v>100</v>
      </c>
      <c r="F15220" s="7">
        <v>46041.38378630736</v>
      </c>
      <c r="G15220" s="3" t="s">
        <v>18660</v>
      </c>
    </row>
    <row r="15221">
      <c r="A15221" s="3" t="s">
        <v>31170</v>
      </c>
      <c r="B15221" s="3" t="s">
        <v>12880</v>
      </c>
      <c r="C15221" s="5" t="s">
        <v>206</v>
      </c>
      <c r="D15221" s="3" t="s">
        <v>68</v>
      </c>
      <c r="E15221" s="3" t="s">
        <v>100</v>
      </c>
      <c r="F15221" s="7">
        <v>46041.387258529576</v>
      </c>
      <c r="G15221" s="3" t="s">
        <v>18663</v>
      </c>
    </row>
    <row r="15222">
      <c r="A15222" s="3" t="s">
        <v>31171</v>
      </c>
      <c r="B15222" s="3" t="s">
        <v>12882</v>
      </c>
      <c r="C15222" s="5" t="s">
        <v>45</v>
      </c>
      <c r="D15222" s="3" t="s">
        <v>221</v>
      </c>
      <c r="E15222" s="3" t="s">
        <v>676</v>
      </c>
      <c r="F15222" s="7">
        <v>46041.44801670833</v>
      </c>
      <c r="G15222" s="3" t="s">
        <v>27715</v>
      </c>
    </row>
    <row r="15223">
      <c r="A15223" s="3" t="s">
        <v>31172</v>
      </c>
      <c r="B15223" s="3" t="s">
        <v>12882</v>
      </c>
      <c r="C15223" s="5" t="s">
        <v>221</v>
      </c>
      <c r="D15223" s="3" t="s">
        <v>614</v>
      </c>
      <c r="E15223" s="3" t="s">
        <v>118</v>
      </c>
      <c r="F15223" s="7">
        <v>46041.45148893055</v>
      </c>
      <c r="G15223" s="3" t="s">
        <v>27717</v>
      </c>
    </row>
    <row r="15224">
      <c r="A15224" s="3" t="s">
        <v>31173</v>
      </c>
      <c r="B15224" s="3" t="s">
        <v>12882</v>
      </c>
      <c r="C15224" s="5" t="s">
        <v>614</v>
      </c>
      <c r="D15224" s="3" t="s">
        <v>206</v>
      </c>
      <c r="E15224" s="3" t="s">
        <v>100</v>
      </c>
      <c r="F15224" s="7">
        <v>46041.45496115278</v>
      </c>
      <c r="G15224" s="3" t="s">
        <v>27719</v>
      </c>
    </row>
    <row r="15225">
      <c r="A15225" s="3" t="s">
        <v>31174</v>
      </c>
      <c r="B15225" s="3" t="s">
        <v>12882</v>
      </c>
      <c r="C15225" s="5" t="s">
        <v>206</v>
      </c>
      <c r="D15225" s="3" t="s">
        <v>68</v>
      </c>
      <c r="E15225" s="3" t="s">
        <v>100</v>
      </c>
      <c r="F15225" s="7">
        <v>46041.458433374995</v>
      </c>
      <c r="G15225" s="3" t="s">
        <v>27721</v>
      </c>
    </row>
    <row r="15226">
      <c r="A15226" s="3" t="s">
        <v>31175</v>
      </c>
      <c r="B15226" s="3" t="s">
        <v>12884</v>
      </c>
      <c r="C15226" s="5" t="s">
        <v>45</v>
      </c>
      <c r="D15226" s="3" t="s">
        <v>221</v>
      </c>
      <c r="E15226" s="3" t="s">
        <v>533</v>
      </c>
      <c r="F15226" s="7">
        <v>46041.519191553736</v>
      </c>
      <c r="G15226" s="3" t="s">
        <v>8535</v>
      </c>
    </row>
    <row r="15227">
      <c r="A15227" s="3" t="s">
        <v>31176</v>
      </c>
      <c r="B15227" s="3" t="s">
        <v>12884</v>
      </c>
      <c r="C15227" s="5" t="s">
        <v>221</v>
      </c>
      <c r="D15227" s="3" t="s">
        <v>614</v>
      </c>
      <c r="E15227" s="3" t="s">
        <v>118</v>
      </c>
      <c r="F15227" s="7">
        <v>46041.522663775955</v>
      </c>
      <c r="G15227" s="3" t="s">
        <v>8537</v>
      </c>
    </row>
    <row r="15228">
      <c r="A15228" s="3" t="s">
        <v>31177</v>
      </c>
      <c r="B15228" s="3" t="s">
        <v>12884</v>
      </c>
      <c r="C15228" s="5" t="s">
        <v>614</v>
      </c>
      <c r="D15228" s="3" t="s">
        <v>206</v>
      </c>
      <c r="E15228" s="3" t="s">
        <v>100</v>
      </c>
      <c r="F15228" s="7">
        <v>46041.52613599818</v>
      </c>
      <c r="G15228" s="3" t="s">
        <v>8540</v>
      </c>
    </row>
    <row r="15229">
      <c r="A15229" s="3" t="s">
        <v>31178</v>
      </c>
      <c r="B15229" s="3" t="s">
        <v>12884</v>
      </c>
      <c r="C15229" s="5" t="s">
        <v>206</v>
      </c>
      <c r="D15229" s="3" t="s">
        <v>68</v>
      </c>
      <c r="E15229" s="3" t="s">
        <v>100</v>
      </c>
      <c r="F15229" s="7">
        <v>46041.5296082204</v>
      </c>
      <c r="G15229" s="3" t="s">
        <v>8543</v>
      </c>
    </row>
    <row r="15230">
      <c r="A15230" s="3" t="s">
        <v>31179</v>
      </c>
      <c r="B15230" s="3" t="s">
        <v>12887</v>
      </c>
      <c r="C15230" s="5" t="s">
        <v>45</v>
      </c>
      <c r="D15230" s="3" t="s">
        <v>221</v>
      </c>
      <c r="E15230" s="3" t="s">
        <v>662</v>
      </c>
      <c r="F15230" s="7">
        <v>46041.590366399156</v>
      </c>
      <c r="G15230" s="3" t="s">
        <v>6706</v>
      </c>
    </row>
    <row r="15231">
      <c r="A15231" s="3" t="s">
        <v>31180</v>
      </c>
      <c r="B15231" s="3" t="s">
        <v>12887</v>
      </c>
      <c r="C15231" s="5" t="s">
        <v>221</v>
      </c>
      <c r="D15231" s="3" t="s">
        <v>614</v>
      </c>
      <c r="E15231" s="3" t="s">
        <v>118</v>
      </c>
      <c r="F15231" s="7">
        <v>46041.593838621375</v>
      </c>
      <c r="G15231" s="3" t="s">
        <v>6708</v>
      </c>
    </row>
    <row r="15232">
      <c r="A15232" s="3" t="s">
        <v>31181</v>
      </c>
      <c r="B15232" s="3" t="s">
        <v>12887</v>
      </c>
      <c r="C15232" s="5" t="s">
        <v>614</v>
      </c>
      <c r="D15232" s="3" t="s">
        <v>206</v>
      </c>
      <c r="E15232" s="3" t="s">
        <v>100</v>
      </c>
      <c r="F15232" s="7">
        <v>46041.5973108436</v>
      </c>
      <c r="G15232" s="3" t="s">
        <v>6711</v>
      </c>
    </row>
    <row r="15233">
      <c r="A15233" s="3" t="s">
        <v>31182</v>
      </c>
      <c r="B15233" s="3" t="s">
        <v>12887</v>
      </c>
      <c r="C15233" s="5" t="s">
        <v>206</v>
      </c>
      <c r="D15233" s="3" t="s">
        <v>68</v>
      </c>
      <c r="E15233" s="3" t="s">
        <v>100</v>
      </c>
      <c r="F15233" s="7">
        <v>46041.60078306582</v>
      </c>
      <c r="G15233" s="3" t="s">
        <v>6713</v>
      </c>
    </row>
    <row r="15234">
      <c r="A15234" s="3" t="s">
        <v>31183</v>
      </c>
      <c r="B15234" s="3" t="s">
        <v>12889</v>
      </c>
      <c r="C15234" s="5" t="s">
        <v>45</v>
      </c>
      <c r="D15234" s="3" t="s">
        <v>221</v>
      </c>
      <c r="E15234" s="3" t="s">
        <v>652</v>
      </c>
      <c r="F15234" s="7">
        <v>46041.66154124457</v>
      </c>
      <c r="G15234" s="3" t="s">
        <v>4527</v>
      </c>
    </row>
    <row r="15235">
      <c r="A15235" s="3" t="s">
        <v>31184</v>
      </c>
      <c r="B15235" s="3" t="s">
        <v>12889</v>
      </c>
      <c r="C15235" s="5" t="s">
        <v>221</v>
      </c>
      <c r="D15235" s="3" t="s">
        <v>614</v>
      </c>
      <c r="E15235" s="3" t="s">
        <v>118</v>
      </c>
      <c r="F15235" s="7">
        <v>46041.66501346679</v>
      </c>
      <c r="G15235" s="3" t="s">
        <v>4530</v>
      </c>
    </row>
    <row r="15236">
      <c r="A15236" s="3" t="s">
        <v>31185</v>
      </c>
      <c r="B15236" s="3" t="s">
        <v>12889</v>
      </c>
      <c r="C15236" s="5" t="s">
        <v>614</v>
      </c>
      <c r="D15236" s="3" t="s">
        <v>206</v>
      </c>
      <c r="E15236" s="3" t="s">
        <v>100</v>
      </c>
      <c r="F15236" s="7">
        <v>46041.66848568901</v>
      </c>
      <c r="G15236" s="3" t="s">
        <v>4533</v>
      </c>
    </row>
    <row r="15237">
      <c r="A15237" s="3" t="s">
        <v>31186</v>
      </c>
      <c r="B15237" s="3" t="s">
        <v>12889</v>
      </c>
      <c r="C15237" s="5" t="s">
        <v>206</v>
      </c>
      <c r="D15237" s="3" t="s">
        <v>68</v>
      </c>
      <c r="E15237" s="3" t="s">
        <v>100</v>
      </c>
      <c r="F15237" s="7">
        <v>46041.67195791123</v>
      </c>
      <c r="G15237" s="3" t="s">
        <v>4536</v>
      </c>
    </row>
    <row r="15238">
      <c r="A15238" s="3" t="s">
        <v>31187</v>
      </c>
      <c r="B15238" s="3" t="s">
        <v>12891</v>
      </c>
      <c r="C15238" s="5" t="s">
        <v>45</v>
      </c>
      <c r="D15238" s="3" t="s">
        <v>221</v>
      </c>
      <c r="E15238" s="3" t="s">
        <v>236</v>
      </c>
      <c r="F15238" s="7">
        <v>46041.73271608999</v>
      </c>
      <c r="G15238" s="3" t="s">
        <v>4551</v>
      </c>
    </row>
    <row r="15239">
      <c r="A15239" s="3" t="s">
        <v>31188</v>
      </c>
      <c r="B15239" s="3" t="s">
        <v>12891</v>
      </c>
      <c r="C15239" s="5" t="s">
        <v>221</v>
      </c>
      <c r="D15239" s="3" t="s">
        <v>614</v>
      </c>
      <c r="E15239" s="3" t="s">
        <v>118</v>
      </c>
      <c r="F15239" s="7">
        <v>46041.73618831221</v>
      </c>
      <c r="G15239" s="3" t="s">
        <v>4554</v>
      </c>
    </row>
    <row r="15240">
      <c r="A15240" s="3" t="s">
        <v>31189</v>
      </c>
      <c r="B15240" s="3" t="s">
        <v>12891</v>
      </c>
      <c r="C15240" s="5" t="s">
        <v>614</v>
      </c>
      <c r="D15240" s="3" t="s">
        <v>206</v>
      </c>
      <c r="E15240" s="3" t="s">
        <v>100</v>
      </c>
      <c r="F15240" s="7">
        <v>46041.73966053443</v>
      </c>
      <c r="G15240" s="3" t="s">
        <v>4556</v>
      </c>
    </row>
    <row r="15241">
      <c r="A15241" s="3" t="s">
        <v>31190</v>
      </c>
      <c r="B15241" s="3" t="s">
        <v>12891</v>
      </c>
      <c r="C15241" s="5" t="s">
        <v>206</v>
      </c>
      <c r="D15241" s="3" t="s">
        <v>68</v>
      </c>
      <c r="E15241" s="3" t="s">
        <v>100</v>
      </c>
      <c r="F15241" s="7">
        <v>46041.74313275665</v>
      </c>
      <c r="G15241" s="3" t="s">
        <v>4559</v>
      </c>
    </row>
    <row r="15242">
      <c r="A15242" s="3" t="s">
        <v>31191</v>
      </c>
      <c r="B15242" s="3" t="s">
        <v>12894</v>
      </c>
      <c r="C15242" s="5" t="s">
        <v>45</v>
      </c>
      <c r="D15242" s="3" t="s">
        <v>221</v>
      </c>
      <c r="E15242" s="3" t="s">
        <v>976</v>
      </c>
      <c r="F15242" s="7">
        <v>46041.8038909354</v>
      </c>
      <c r="G15242" s="3" t="s">
        <v>4623</v>
      </c>
    </row>
    <row r="15243">
      <c r="A15243" s="3" t="s">
        <v>31192</v>
      </c>
      <c r="B15243" s="3" t="s">
        <v>12894</v>
      </c>
      <c r="C15243" s="5" t="s">
        <v>221</v>
      </c>
      <c r="D15243" s="3" t="s">
        <v>614</v>
      </c>
      <c r="E15243" s="3" t="s">
        <v>118</v>
      </c>
      <c r="F15243" s="7">
        <v>46041.80736315762</v>
      </c>
      <c r="G15243" s="3" t="s">
        <v>4626</v>
      </c>
    </row>
    <row r="15244">
      <c r="A15244" s="3" t="s">
        <v>31193</v>
      </c>
      <c r="B15244" s="3" t="s">
        <v>12894</v>
      </c>
      <c r="C15244" s="5" t="s">
        <v>614</v>
      </c>
      <c r="D15244" s="3" t="s">
        <v>206</v>
      </c>
      <c r="E15244" s="3" t="s">
        <v>100</v>
      </c>
      <c r="F15244" s="7">
        <v>46041.810835379845</v>
      </c>
      <c r="G15244" s="3" t="s">
        <v>4629</v>
      </c>
    </row>
    <row r="15245">
      <c r="A15245" s="3" t="s">
        <v>31194</v>
      </c>
      <c r="B15245" s="3" t="s">
        <v>12894</v>
      </c>
      <c r="C15245" s="5" t="s">
        <v>206</v>
      </c>
      <c r="D15245" s="3" t="s">
        <v>68</v>
      </c>
      <c r="E15245" s="3" t="s">
        <v>100</v>
      </c>
      <c r="F15245" s="7">
        <v>46041.814307602064</v>
      </c>
      <c r="G15245" s="3" t="s">
        <v>4632</v>
      </c>
    </row>
    <row r="15246">
      <c r="A15246" s="3" t="s">
        <v>31195</v>
      </c>
      <c r="B15246" s="3" t="s">
        <v>12897</v>
      </c>
      <c r="C15246" s="5" t="s">
        <v>45</v>
      </c>
      <c r="D15246" s="3" t="s">
        <v>221</v>
      </c>
      <c r="E15246" s="3" t="s">
        <v>929</v>
      </c>
      <c r="F15246" s="7">
        <v>46041.87506578082</v>
      </c>
      <c r="G15246" s="3" t="s">
        <v>20630</v>
      </c>
    </row>
    <row r="15247">
      <c r="A15247" s="3" t="s">
        <v>31196</v>
      </c>
      <c r="B15247" s="3" t="s">
        <v>12897</v>
      </c>
      <c r="C15247" s="5" t="s">
        <v>221</v>
      </c>
      <c r="D15247" s="3" t="s">
        <v>614</v>
      </c>
      <c r="E15247" s="3" t="s">
        <v>118</v>
      </c>
      <c r="F15247" s="7">
        <v>46041.87853800304</v>
      </c>
      <c r="G15247" s="3" t="s">
        <v>31197</v>
      </c>
    </row>
    <row r="15248">
      <c r="A15248" s="3" t="s">
        <v>31198</v>
      </c>
      <c r="B15248" s="3" t="s">
        <v>12897</v>
      </c>
      <c r="C15248" s="5" t="s">
        <v>614</v>
      </c>
      <c r="D15248" s="3" t="s">
        <v>206</v>
      </c>
      <c r="E15248" s="3" t="s">
        <v>100</v>
      </c>
      <c r="F15248" s="7">
        <v>46041.882010225265</v>
      </c>
      <c r="G15248" s="3" t="s">
        <v>31199</v>
      </c>
    </row>
    <row r="15249">
      <c r="A15249" s="3" t="s">
        <v>31200</v>
      </c>
      <c r="B15249" s="3" t="s">
        <v>12897</v>
      </c>
      <c r="C15249" s="5" t="s">
        <v>206</v>
      </c>
      <c r="D15249" s="3" t="s">
        <v>68</v>
      </c>
      <c r="E15249" s="3" t="s">
        <v>100</v>
      </c>
      <c r="F15249" s="7">
        <v>46041.885482447484</v>
      </c>
      <c r="G15249" s="3" t="s">
        <v>31201</v>
      </c>
    </row>
    <row r="15250">
      <c r="A15250" s="3" t="s">
        <v>31202</v>
      </c>
      <c r="B15250" s="3" t="s">
        <v>12900</v>
      </c>
      <c r="C15250" s="5" t="s">
        <v>45</v>
      </c>
      <c r="D15250" s="3" t="s">
        <v>221</v>
      </c>
      <c r="E15250" s="3" t="s">
        <v>356</v>
      </c>
      <c r="F15250" s="7">
        <v>46041.946240626225</v>
      </c>
      <c r="G15250" s="3" t="s">
        <v>4635</v>
      </c>
    </row>
    <row r="15251">
      <c r="A15251" s="3" t="s">
        <v>31203</v>
      </c>
      <c r="B15251" s="3" t="s">
        <v>12900</v>
      </c>
      <c r="C15251" s="5" t="s">
        <v>221</v>
      </c>
      <c r="D15251" s="3" t="s">
        <v>614</v>
      </c>
      <c r="E15251" s="3" t="s">
        <v>118</v>
      </c>
      <c r="F15251" s="7">
        <v>46041.94971284844</v>
      </c>
      <c r="G15251" s="3" t="s">
        <v>4638</v>
      </c>
    </row>
    <row r="15252">
      <c r="A15252" s="3" t="s">
        <v>31204</v>
      </c>
      <c r="B15252" s="3" t="s">
        <v>12900</v>
      </c>
      <c r="C15252" s="5" t="s">
        <v>614</v>
      </c>
      <c r="D15252" s="3" t="s">
        <v>206</v>
      </c>
      <c r="E15252" s="3" t="s">
        <v>100</v>
      </c>
      <c r="F15252" s="7">
        <v>46041.95318507067</v>
      </c>
      <c r="G15252" s="3" t="s">
        <v>4641</v>
      </c>
    </row>
    <row r="15253">
      <c r="A15253" s="3" t="s">
        <v>31205</v>
      </c>
      <c r="B15253" s="3" t="s">
        <v>12900</v>
      </c>
      <c r="C15253" s="5" t="s">
        <v>206</v>
      </c>
      <c r="D15253" s="3" t="s">
        <v>68</v>
      </c>
      <c r="E15253" s="3" t="s">
        <v>100</v>
      </c>
      <c r="F15253" s="7">
        <v>46041.95665729289</v>
      </c>
      <c r="G15253" s="3" t="s">
        <v>4643</v>
      </c>
    </row>
    <row r="15254">
      <c r="A15254" s="3" t="s">
        <v>31206</v>
      </c>
      <c r="B15254" s="3" t="s">
        <v>12902</v>
      </c>
      <c r="C15254" s="5" t="s">
        <v>45</v>
      </c>
      <c r="D15254" s="3" t="s">
        <v>221</v>
      </c>
      <c r="E15254" s="3" t="s">
        <v>658</v>
      </c>
      <c r="F15254" s="7">
        <v>46042.017415471644</v>
      </c>
      <c r="G15254" s="3" t="s">
        <v>22769</v>
      </c>
    </row>
    <row r="15255">
      <c r="A15255" s="3" t="s">
        <v>31207</v>
      </c>
      <c r="B15255" s="3" t="s">
        <v>12902</v>
      </c>
      <c r="C15255" s="5" t="s">
        <v>221</v>
      </c>
      <c r="D15255" s="3" t="s">
        <v>614</v>
      </c>
      <c r="E15255" s="3" t="s">
        <v>118</v>
      </c>
      <c r="F15255" s="7">
        <v>46042.02088769386</v>
      </c>
      <c r="G15255" s="3" t="s">
        <v>22772</v>
      </c>
    </row>
    <row r="15256">
      <c r="A15256" s="3" t="s">
        <v>31208</v>
      </c>
      <c r="B15256" s="3" t="s">
        <v>12902</v>
      </c>
      <c r="C15256" s="5" t="s">
        <v>614</v>
      </c>
      <c r="D15256" s="3" t="s">
        <v>206</v>
      </c>
      <c r="E15256" s="3" t="s">
        <v>100</v>
      </c>
      <c r="F15256" s="7">
        <v>46042.02435991609</v>
      </c>
      <c r="G15256" s="3" t="s">
        <v>22775</v>
      </c>
    </row>
    <row r="15257">
      <c r="A15257" s="3" t="s">
        <v>31209</v>
      </c>
      <c r="B15257" s="3" t="s">
        <v>12902</v>
      </c>
      <c r="C15257" s="5" t="s">
        <v>206</v>
      </c>
      <c r="D15257" s="3" t="s">
        <v>68</v>
      </c>
      <c r="E15257" s="3" t="s">
        <v>100</v>
      </c>
      <c r="F15257" s="7">
        <v>46042.02783213831</v>
      </c>
      <c r="G15257" s="3" t="s">
        <v>22778</v>
      </c>
    </row>
    <row r="15258">
      <c r="A15258" s="3" t="s">
        <v>31210</v>
      </c>
      <c r="B15258" s="3" t="s">
        <v>12904</v>
      </c>
      <c r="C15258" s="5" t="s">
        <v>45</v>
      </c>
      <c r="D15258" s="3" t="s">
        <v>221</v>
      </c>
      <c r="E15258" s="3" t="s">
        <v>313</v>
      </c>
      <c r="F15258" s="7">
        <v>46042.088590317064</v>
      </c>
      <c r="G15258" s="3" t="s">
        <v>4677</v>
      </c>
    </row>
    <row r="15259">
      <c r="A15259" s="3" t="s">
        <v>31211</v>
      </c>
      <c r="B15259" s="3" t="s">
        <v>12904</v>
      </c>
      <c r="C15259" s="5" t="s">
        <v>221</v>
      </c>
      <c r="D15259" s="3" t="s">
        <v>614</v>
      </c>
      <c r="E15259" s="3" t="s">
        <v>118</v>
      </c>
      <c r="F15259" s="7">
        <v>46042.09206253928</v>
      </c>
      <c r="G15259" s="3" t="s">
        <v>4680</v>
      </c>
    </row>
    <row r="15260">
      <c r="A15260" s="3" t="s">
        <v>31212</v>
      </c>
      <c r="B15260" s="3" t="s">
        <v>12904</v>
      </c>
      <c r="C15260" s="5" t="s">
        <v>614</v>
      </c>
      <c r="D15260" s="3" t="s">
        <v>206</v>
      </c>
      <c r="E15260" s="3" t="s">
        <v>100</v>
      </c>
      <c r="F15260" s="7">
        <v>46042.09553476151</v>
      </c>
      <c r="G15260" s="3" t="s">
        <v>4683</v>
      </c>
    </row>
    <row r="15261">
      <c r="A15261" s="3" t="s">
        <v>31213</v>
      </c>
      <c r="B15261" s="3" t="s">
        <v>12904</v>
      </c>
      <c r="C15261" s="5" t="s">
        <v>206</v>
      </c>
      <c r="D15261" s="3" t="s">
        <v>68</v>
      </c>
      <c r="E15261" s="3" t="s">
        <v>100</v>
      </c>
      <c r="F15261" s="7">
        <v>46042.09900698373</v>
      </c>
      <c r="G15261" s="3" t="s">
        <v>4686</v>
      </c>
    </row>
    <row r="15262">
      <c r="A15262" s="3" t="s">
        <v>31214</v>
      </c>
      <c r="B15262" s="3" t="s">
        <v>12907</v>
      </c>
      <c r="C15262" s="5" t="s">
        <v>45</v>
      </c>
      <c r="D15262" s="3" t="s">
        <v>221</v>
      </c>
      <c r="E15262" s="3" t="s">
        <v>922</v>
      </c>
      <c r="F15262" s="7">
        <v>46042.159765162476</v>
      </c>
      <c r="G15262" s="3" t="s">
        <v>4689</v>
      </c>
    </row>
    <row r="15263">
      <c r="A15263" s="3" t="s">
        <v>31215</v>
      </c>
      <c r="B15263" s="3" t="s">
        <v>12907</v>
      </c>
      <c r="C15263" s="5" t="s">
        <v>221</v>
      </c>
      <c r="D15263" s="3" t="s">
        <v>614</v>
      </c>
      <c r="E15263" s="3" t="s">
        <v>118</v>
      </c>
      <c r="F15263" s="7">
        <v>46042.163237384695</v>
      </c>
      <c r="G15263" s="3" t="s">
        <v>4692</v>
      </c>
    </row>
    <row r="15264">
      <c r="A15264" s="3" t="s">
        <v>31216</v>
      </c>
      <c r="B15264" s="3" t="s">
        <v>12907</v>
      </c>
      <c r="C15264" s="5" t="s">
        <v>614</v>
      </c>
      <c r="D15264" s="3" t="s">
        <v>206</v>
      </c>
      <c r="E15264" s="3" t="s">
        <v>100</v>
      </c>
      <c r="F15264" s="7">
        <v>46042.16670960692</v>
      </c>
      <c r="G15264" s="3" t="s">
        <v>4695</v>
      </c>
    </row>
    <row r="15265">
      <c r="A15265" s="3" t="s">
        <v>31217</v>
      </c>
      <c r="B15265" s="3" t="s">
        <v>12907</v>
      </c>
      <c r="C15265" s="5" t="s">
        <v>206</v>
      </c>
      <c r="D15265" s="3" t="s">
        <v>68</v>
      </c>
      <c r="E15265" s="3" t="s">
        <v>100</v>
      </c>
      <c r="F15265" s="7">
        <v>46042.17018182914</v>
      </c>
      <c r="G15265" s="3" t="s">
        <v>4698</v>
      </c>
    </row>
    <row r="15266">
      <c r="A15266" s="3" t="s">
        <v>31218</v>
      </c>
      <c r="B15266" s="3" t="s">
        <v>12909</v>
      </c>
      <c r="C15266" s="5" t="s">
        <v>45</v>
      </c>
      <c r="D15266" s="3" t="s">
        <v>221</v>
      </c>
      <c r="E15266" s="3" t="s">
        <v>773</v>
      </c>
      <c r="F15266" s="7">
        <v>46042.23094000789</v>
      </c>
      <c r="G15266" s="3" t="s">
        <v>26693</v>
      </c>
    </row>
    <row r="15267">
      <c r="A15267" s="3" t="s">
        <v>31219</v>
      </c>
      <c r="B15267" s="3" t="s">
        <v>12909</v>
      </c>
      <c r="C15267" s="5" t="s">
        <v>221</v>
      </c>
      <c r="D15267" s="3" t="s">
        <v>614</v>
      </c>
      <c r="E15267" s="3" t="s">
        <v>118</v>
      </c>
      <c r="F15267" s="7">
        <v>46042.23441223011</v>
      </c>
      <c r="G15267" s="3" t="s">
        <v>26695</v>
      </c>
    </row>
    <row r="15268">
      <c r="A15268" s="3" t="s">
        <v>31220</v>
      </c>
      <c r="B15268" s="3" t="s">
        <v>12909</v>
      </c>
      <c r="C15268" s="5" t="s">
        <v>614</v>
      </c>
      <c r="D15268" s="3" t="s">
        <v>206</v>
      </c>
      <c r="E15268" s="3" t="s">
        <v>100</v>
      </c>
      <c r="F15268" s="7">
        <v>46042.237884452334</v>
      </c>
      <c r="G15268" s="3" t="s">
        <v>26697</v>
      </c>
    </row>
    <row r="15269">
      <c r="A15269" s="3" t="s">
        <v>31221</v>
      </c>
      <c r="B15269" s="3" t="s">
        <v>12909</v>
      </c>
      <c r="C15269" s="5" t="s">
        <v>206</v>
      </c>
      <c r="D15269" s="3" t="s">
        <v>68</v>
      </c>
      <c r="E15269" s="3" t="s">
        <v>100</v>
      </c>
      <c r="F15269" s="7">
        <v>46042.24135667455</v>
      </c>
      <c r="G15269" s="3" t="s">
        <v>26699</v>
      </c>
    </row>
    <row r="15270">
      <c r="A15270" s="3" t="s">
        <v>31222</v>
      </c>
      <c r="B15270" s="3" t="s">
        <v>12912</v>
      </c>
      <c r="C15270" s="5" t="s">
        <v>45</v>
      </c>
      <c r="D15270" s="3" t="s">
        <v>221</v>
      </c>
      <c r="E15270" s="3" t="s">
        <v>689</v>
      </c>
      <c r="F15270" s="7">
        <v>46042.30211485331</v>
      </c>
      <c r="G15270" s="3" t="s">
        <v>6189</v>
      </c>
    </row>
    <row r="15271">
      <c r="A15271" s="3" t="s">
        <v>31223</v>
      </c>
      <c r="B15271" s="3" t="s">
        <v>12912</v>
      </c>
      <c r="C15271" s="5" t="s">
        <v>221</v>
      </c>
      <c r="D15271" s="3" t="s">
        <v>614</v>
      </c>
      <c r="E15271" s="3" t="s">
        <v>118</v>
      </c>
      <c r="F15271" s="7">
        <v>46042.30558707553</v>
      </c>
      <c r="G15271" s="3" t="s">
        <v>10455</v>
      </c>
    </row>
    <row r="15272">
      <c r="A15272" s="3" t="s">
        <v>31224</v>
      </c>
      <c r="B15272" s="3" t="s">
        <v>12912</v>
      </c>
      <c r="C15272" s="5" t="s">
        <v>614</v>
      </c>
      <c r="D15272" s="3" t="s">
        <v>206</v>
      </c>
      <c r="E15272" s="3" t="s">
        <v>100</v>
      </c>
      <c r="F15272" s="7">
        <v>46042.30905929775</v>
      </c>
      <c r="G15272" s="3" t="s">
        <v>10457</v>
      </c>
    </row>
    <row r="15273">
      <c r="A15273" s="3" t="s">
        <v>31225</v>
      </c>
      <c r="B15273" s="3" t="s">
        <v>12912</v>
      </c>
      <c r="C15273" s="5" t="s">
        <v>206</v>
      </c>
      <c r="D15273" s="3" t="s">
        <v>68</v>
      </c>
      <c r="E15273" s="3" t="s">
        <v>100</v>
      </c>
      <c r="F15273" s="7">
        <v>46042.31253151997</v>
      </c>
      <c r="G15273" s="3" t="s">
        <v>10460</v>
      </c>
    </row>
    <row r="15274">
      <c r="A15274" s="3" t="s">
        <v>31226</v>
      </c>
      <c r="B15274" s="3" t="s">
        <v>12914</v>
      </c>
      <c r="C15274" s="5" t="s">
        <v>45</v>
      </c>
      <c r="D15274" s="3" t="s">
        <v>221</v>
      </c>
      <c r="E15274" s="3" t="s">
        <v>678</v>
      </c>
      <c r="F15274" s="7">
        <v>46042.37328969872</v>
      </c>
      <c r="G15274" s="3" t="s">
        <v>4701</v>
      </c>
    </row>
    <row r="15275">
      <c r="A15275" s="3" t="s">
        <v>31227</v>
      </c>
      <c r="B15275" s="3" t="s">
        <v>12914</v>
      </c>
      <c r="C15275" s="5" t="s">
        <v>221</v>
      </c>
      <c r="D15275" s="3" t="s">
        <v>614</v>
      </c>
      <c r="E15275" s="3" t="s">
        <v>118</v>
      </c>
      <c r="F15275" s="7">
        <v>46042.37676192094</v>
      </c>
      <c r="G15275" s="3" t="s">
        <v>4704</v>
      </c>
    </row>
    <row r="15276">
      <c r="A15276" s="3" t="s">
        <v>31228</v>
      </c>
      <c r="B15276" s="3" t="s">
        <v>12914</v>
      </c>
      <c r="C15276" s="5" t="s">
        <v>614</v>
      </c>
      <c r="D15276" s="3" t="s">
        <v>206</v>
      </c>
      <c r="E15276" s="3" t="s">
        <v>100</v>
      </c>
      <c r="F15276" s="7">
        <v>46042.380234143166</v>
      </c>
      <c r="G15276" s="3" t="s">
        <v>4706</v>
      </c>
    </row>
    <row r="15277">
      <c r="A15277" s="3" t="s">
        <v>31229</v>
      </c>
      <c r="B15277" s="3" t="s">
        <v>12914</v>
      </c>
      <c r="C15277" s="5" t="s">
        <v>206</v>
      </c>
      <c r="D15277" s="3" t="s">
        <v>68</v>
      </c>
      <c r="E15277" s="3" t="s">
        <v>100</v>
      </c>
      <c r="F15277" s="7">
        <v>46042.383706365385</v>
      </c>
      <c r="G15277" s="3" t="s">
        <v>4709</v>
      </c>
    </row>
    <row r="15278">
      <c r="A15278" s="3" t="s">
        <v>31230</v>
      </c>
      <c r="B15278" s="3" t="s">
        <v>12917</v>
      </c>
      <c r="C15278" s="5" t="s">
        <v>45</v>
      </c>
      <c r="D15278" s="3" t="s">
        <v>221</v>
      </c>
      <c r="E15278" s="3" t="s">
        <v>920</v>
      </c>
      <c r="F15278" s="7">
        <v>46042.44446454413</v>
      </c>
      <c r="G15278" s="3" t="s">
        <v>31231</v>
      </c>
    </row>
    <row r="15279">
      <c r="A15279" s="3" t="s">
        <v>31232</v>
      </c>
      <c r="B15279" s="3" t="s">
        <v>12917</v>
      </c>
      <c r="C15279" s="5" t="s">
        <v>221</v>
      </c>
      <c r="D15279" s="3" t="s">
        <v>614</v>
      </c>
      <c r="E15279" s="3" t="s">
        <v>118</v>
      </c>
      <c r="F15279" s="7">
        <v>46042.44793676635</v>
      </c>
      <c r="G15279" s="3" t="s">
        <v>31233</v>
      </c>
    </row>
    <row r="15280">
      <c r="A15280" s="3" t="s">
        <v>31234</v>
      </c>
      <c r="B15280" s="3" t="s">
        <v>12917</v>
      </c>
      <c r="C15280" s="5" t="s">
        <v>614</v>
      </c>
      <c r="D15280" s="3" t="s">
        <v>206</v>
      </c>
      <c r="E15280" s="3" t="s">
        <v>100</v>
      </c>
      <c r="F15280" s="7">
        <v>46042.45140898858</v>
      </c>
      <c r="G15280" s="3" t="s">
        <v>31235</v>
      </c>
    </row>
    <row r="15281">
      <c r="A15281" s="3" t="s">
        <v>31236</v>
      </c>
      <c r="B15281" s="3" t="s">
        <v>12917</v>
      </c>
      <c r="C15281" s="5" t="s">
        <v>206</v>
      </c>
      <c r="D15281" s="3" t="s">
        <v>68</v>
      </c>
      <c r="E15281" s="3" t="s">
        <v>100</v>
      </c>
      <c r="F15281" s="7">
        <v>46042.4548812108</v>
      </c>
      <c r="G15281" s="3" t="s">
        <v>31237</v>
      </c>
    </row>
    <row r="15282">
      <c r="A15282" s="3" t="s">
        <v>31238</v>
      </c>
      <c r="B15282" s="3" t="s">
        <v>12920</v>
      </c>
      <c r="C15282" s="5" t="s">
        <v>45</v>
      </c>
      <c r="D15282" s="3" t="s">
        <v>221</v>
      </c>
      <c r="E15282" s="3" t="s">
        <v>202</v>
      </c>
      <c r="F15282" s="7">
        <v>46042.51563938955</v>
      </c>
      <c r="G15282" s="3" t="s">
        <v>15757</v>
      </c>
    </row>
    <row r="15283">
      <c r="A15283" s="3" t="s">
        <v>31239</v>
      </c>
      <c r="B15283" s="3" t="s">
        <v>12920</v>
      </c>
      <c r="C15283" s="5" t="s">
        <v>221</v>
      </c>
      <c r="D15283" s="3" t="s">
        <v>614</v>
      </c>
      <c r="E15283" s="3" t="s">
        <v>118</v>
      </c>
      <c r="F15283" s="7">
        <v>46042.51911161177</v>
      </c>
      <c r="G15283" s="3" t="s">
        <v>15760</v>
      </c>
    </row>
    <row r="15284">
      <c r="A15284" s="3" t="s">
        <v>31240</v>
      </c>
      <c r="B15284" s="3" t="s">
        <v>12920</v>
      </c>
      <c r="C15284" s="5" t="s">
        <v>614</v>
      </c>
      <c r="D15284" s="3" t="s">
        <v>206</v>
      </c>
      <c r="E15284" s="3" t="s">
        <v>100</v>
      </c>
      <c r="F15284" s="7">
        <v>46042.522583834</v>
      </c>
      <c r="G15284" s="3" t="s">
        <v>15762</v>
      </c>
    </row>
    <row r="15285">
      <c r="A15285" s="3" t="s">
        <v>31241</v>
      </c>
      <c r="B15285" s="3" t="s">
        <v>12920</v>
      </c>
      <c r="C15285" s="5" t="s">
        <v>206</v>
      </c>
      <c r="D15285" s="3" t="s">
        <v>68</v>
      </c>
      <c r="E15285" s="3" t="s">
        <v>100</v>
      </c>
      <c r="F15285" s="7">
        <v>46042.52605605622</v>
      </c>
      <c r="G15285" s="3" t="s">
        <v>15765</v>
      </c>
    </row>
    <row r="15286">
      <c r="A15286" s="3" t="s">
        <v>31242</v>
      </c>
      <c r="B15286" s="3" t="s">
        <v>12921</v>
      </c>
      <c r="C15286" s="5" t="s">
        <v>45</v>
      </c>
      <c r="D15286" s="3" t="s">
        <v>221</v>
      </c>
      <c r="E15286" s="3" t="s">
        <v>430</v>
      </c>
      <c r="F15286" s="7">
        <v>46042.58681423497</v>
      </c>
      <c r="G15286" s="3" t="s">
        <v>22176</v>
      </c>
    </row>
    <row r="15287">
      <c r="A15287" s="3" t="s">
        <v>31243</v>
      </c>
      <c r="B15287" s="3" t="s">
        <v>12921</v>
      </c>
      <c r="C15287" s="5" t="s">
        <v>221</v>
      </c>
      <c r="D15287" s="3" t="s">
        <v>614</v>
      </c>
      <c r="E15287" s="3" t="s">
        <v>118</v>
      </c>
      <c r="F15287" s="7">
        <v>46042.59028645719</v>
      </c>
      <c r="G15287" s="3" t="s">
        <v>26201</v>
      </c>
    </row>
    <row r="15288">
      <c r="A15288" s="3" t="s">
        <v>31244</v>
      </c>
      <c r="B15288" s="3" t="s">
        <v>12921</v>
      </c>
      <c r="C15288" s="5" t="s">
        <v>614</v>
      </c>
      <c r="D15288" s="3" t="s">
        <v>206</v>
      </c>
      <c r="E15288" s="3" t="s">
        <v>100</v>
      </c>
      <c r="F15288" s="7">
        <v>46042.59375867942</v>
      </c>
      <c r="G15288" s="3" t="s">
        <v>26203</v>
      </c>
    </row>
    <row r="15289">
      <c r="A15289" s="3" t="s">
        <v>31245</v>
      </c>
      <c r="B15289" s="3" t="s">
        <v>12921</v>
      </c>
      <c r="C15289" s="5" t="s">
        <v>206</v>
      </c>
      <c r="D15289" s="3" t="s">
        <v>68</v>
      </c>
      <c r="E15289" s="3" t="s">
        <v>100</v>
      </c>
      <c r="F15289" s="7">
        <v>46042.597230901636</v>
      </c>
      <c r="G15289" s="3" t="s">
        <v>26205</v>
      </c>
    </row>
    <row r="15290">
      <c r="A15290" s="3" t="s">
        <v>31246</v>
      </c>
      <c r="B15290" s="3" t="s">
        <v>12924</v>
      </c>
      <c r="C15290" s="5" t="s">
        <v>45</v>
      </c>
      <c r="D15290" s="3" t="s">
        <v>221</v>
      </c>
      <c r="E15290" s="3" t="s">
        <v>926</v>
      </c>
      <c r="F15290" s="7">
        <v>46042.65798908038</v>
      </c>
      <c r="G15290" s="3" t="s">
        <v>28794</v>
      </c>
    </row>
    <row r="15291">
      <c r="A15291" s="3" t="s">
        <v>31247</v>
      </c>
      <c r="B15291" s="3" t="s">
        <v>12924</v>
      </c>
      <c r="C15291" s="5" t="s">
        <v>221</v>
      </c>
      <c r="D15291" s="3" t="s">
        <v>614</v>
      </c>
      <c r="E15291" s="3" t="s">
        <v>118</v>
      </c>
      <c r="F15291" s="7">
        <v>46042.661461302596</v>
      </c>
      <c r="G15291" s="3" t="s">
        <v>28796</v>
      </c>
    </row>
    <row r="15292">
      <c r="A15292" s="3" t="s">
        <v>31248</v>
      </c>
      <c r="B15292" s="3" t="s">
        <v>12924</v>
      </c>
      <c r="C15292" s="5" t="s">
        <v>614</v>
      </c>
      <c r="D15292" s="3" t="s">
        <v>206</v>
      </c>
      <c r="E15292" s="3" t="s">
        <v>100</v>
      </c>
      <c r="F15292" s="7">
        <v>46042.66493352482</v>
      </c>
      <c r="G15292" s="3" t="s">
        <v>28798</v>
      </c>
    </row>
    <row r="15293">
      <c r="A15293" s="3" t="s">
        <v>31249</v>
      </c>
      <c r="B15293" s="3" t="s">
        <v>12924</v>
      </c>
      <c r="C15293" s="5" t="s">
        <v>206</v>
      </c>
      <c r="D15293" s="3" t="s">
        <v>68</v>
      </c>
      <c r="E15293" s="3" t="s">
        <v>100</v>
      </c>
      <c r="F15293" s="7">
        <v>46042.66840574704</v>
      </c>
      <c r="G15293" s="3" t="s">
        <v>28800</v>
      </c>
    </row>
    <row r="15294">
      <c r="A15294" s="3" t="s">
        <v>31250</v>
      </c>
      <c r="B15294" s="3" t="s">
        <v>12926</v>
      </c>
      <c r="C15294" s="5" t="s">
        <v>45</v>
      </c>
      <c r="D15294" s="3" t="s">
        <v>221</v>
      </c>
      <c r="E15294" s="3" t="s">
        <v>507</v>
      </c>
      <c r="F15294" s="7">
        <v>46042.7291639258</v>
      </c>
      <c r="G15294" s="3" t="s">
        <v>27164</v>
      </c>
    </row>
    <row r="15295">
      <c r="A15295" s="3" t="s">
        <v>31251</v>
      </c>
      <c r="B15295" s="3" t="s">
        <v>12926</v>
      </c>
      <c r="C15295" s="5" t="s">
        <v>221</v>
      </c>
      <c r="D15295" s="3" t="s">
        <v>614</v>
      </c>
      <c r="E15295" s="3" t="s">
        <v>118</v>
      </c>
      <c r="F15295" s="7">
        <v>46042.732636148015</v>
      </c>
      <c r="G15295" s="3" t="s">
        <v>27166</v>
      </c>
    </row>
    <row r="15296">
      <c r="A15296" s="3" t="s">
        <v>31252</v>
      </c>
      <c r="B15296" s="3" t="s">
        <v>12926</v>
      </c>
      <c r="C15296" s="5" t="s">
        <v>614</v>
      </c>
      <c r="D15296" s="3" t="s">
        <v>206</v>
      </c>
      <c r="E15296" s="3" t="s">
        <v>100</v>
      </c>
      <c r="F15296" s="7">
        <v>46042.73610837024</v>
      </c>
      <c r="G15296" s="3" t="s">
        <v>27168</v>
      </c>
    </row>
    <row r="15297">
      <c r="A15297" s="3" t="s">
        <v>31253</v>
      </c>
      <c r="B15297" s="3" t="s">
        <v>12926</v>
      </c>
      <c r="C15297" s="5" t="s">
        <v>206</v>
      </c>
      <c r="D15297" s="3" t="s">
        <v>68</v>
      </c>
      <c r="E15297" s="3" t="s">
        <v>100</v>
      </c>
      <c r="F15297" s="7">
        <v>46042.73958059246</v>
      </c>
      <c r="G15297" s="3" t="s">
        <v>27170</v>
      </c>
    </row>
    <row r="15298">
      <c r="A15298" s="3" t="s">
        <v>31254</v>
      </c>
      <c r="B15298" s="3" t="s">
        <v>12928</v>
      </c>
      <c r="C15298" s="5" t="s">
        <v>45</v>
      </c>
      <c r="D15298" s="3" t="s">
        <v>221</v>
      </c>
      <c r="E15298" s="3" t="s">
        <v>652</v>
      </c>
      <c r="F15298" s="7">
        <v>46042.800338771216</v>
      </c>
      <c r="G15298" s="3" t="s">
        <v>11481</v>
      </c>
    </row>
    <row r="15299">
      <c r="A15299" s="3" t="s">
        <v>31255</v>
      </c>
      <c r="B15299" s="3" t="s">
        <v>12928</v>
      </c>
      <c r="C15299" s="5" t="s">
        <v>221</v>
      </c>
      <c r="D15299" s="3" t="s">
        <v>181</v>
      </c>
      <c r="E15299" s="3" t="s">
        <v>118</v>
      </c>
      <c r="F15299" s="7">
        <v>46042.803810993435</v>
      </c>
      <c r="G15299" s="3" t="s">
        <v>31256</v>
      </c>
    </row>
    <row r="15300">
      <c r="A15300" s="3" t="s">
        <v>31257</v>
      </c>
      <c r="B15300" s="3" t="s">
        <v>12931</v>
      </c>
      <c r="C15300" s="5" t="s">
        <v>45</v>
      </c>
      <c r="D15300" s="3" t="s">
        <v>221</v>
      </c>
      <c r="E15300" s="3" t="s">
        <v>581</v>
      </c>
      <c r="F15300" s="7">
        <v>46042.87151361663</v>
      </c>
      <c r="G15300" s="3" t="s">
        <v>6556</v>
      </c>
    </row>
    <row r="15301">
      <c r="A15301" s="3" t="s">
        <v>31258</v>
      </c>
      <c r="B15301" s="3" t="s">
        <v>12931</v>
      </c>
      <c r="C15301" s="5" t="s">
        <v>221</v>
      </c>
      <c r="D15301" s="3" t="s">
        <v>614</v>
      </c>
      <c r="E15301" s="3" t="s">
        <v>118</v>
      </c>
      <c r="F15301" s="7">
        <v>46042.87498583885</v>
      </c>
      <c r="G15301" s="3" t="s">
        <v>6559</v>
      </c>
    </row>
    <row r="15302">
      <c r="A15302" s="3" t="s">
        <v>31259</v>
      </c>
      <c r="B15302" s="3" t="s">
        <v>12931</v>
      </c>
      <c r="C15302" s="5" t="s">
        <v>614</v>
      </c>
      <c r="D15302" s="3" t="s">
        <v>206</v>
      </c>
      <c r="E15302" s="3" t="s">
        <v>100</v>
      </c>
      <c r="F15302" s="7">
        <v>46042.87845806107</v>
      </c>
      <c r="G15302" s="3" t="s">
        <v>6562</v>
      </c>
    </row>
    <row r="15303">
      <c r="A15303" s="3" t="s">
        <v>31260</v>
      </c>
      <c r="B15303" s="3" t="s">
        <v>12931</v>
      </c>
      <c r="C15303" s="5" t="s">
        <v>206</v>
      </c>
      <c r="D15303" s="3" t="s">
        <v>68</v>
      </c>
      <c r="E15303" s="3" t="s">
        <v>100</v>
      </c>
      <c r="F15303" s="7">
        <v>46042.88193028329</v>
      </c>
      <c r="G15303" s="3" t="s">
        <v>6565</v>
      </c>
    </row>
    <row r="15304">
      <c r="A15304" s="3" t="s">
        <v>31261</v>
      </c>
      <c r="B15304" s="3" t="s">
        <v>12933</v>
      </c>
      <c r="C15304" s="5" t="s">
        <v>45</v>
      </c>
      <c r="D15304" s="3" t="s">
        <v>221</v>
      </c>
      <c r="E15304" s="3" t="s">
        <v>141</v>
      </c>
      <c r="F15304" s="7">
        <v>46042.94268846204</v>
      </c>
      <c r="G15304" s="3" t="s">
        <v>4724</v>
      </c>
    </row>
    <row r="15305">
      <c r="A15305" s="3" t="s">
        <v>31262</v>
      </c>
      <c r="B15305" s="3" t="s">
        <v>12933</v>
      </c>
      <c r="C15305" s="5" t="s">
        <v>221</v>
      </c>
      <c r="D15305" s="3" t="s">
        <v>614</v>
      </c>
      <c r="E15305" s="3" t="s">
        <v>118</v>
      </c>
      <c r="F15305" s="7">
        <v>46042.94616068426</v>
      </c>
      <c r="G15305" s="3" t="s">
        <v>4727</v>
      </c>
    </row>
    <row r="15306">
      <c r="A15306" s="3" t="s">
        <v>31263</v>
      </c>
      <c r="B15306" s="3" t="s">
        <v>12933</v>
      </c>
      <c r="C15306" s="5" t="s">
        <v>614</v>
      </c>
      <c r="D15306" s="3" t="s">
        <v>206</v>
      </c>
      <c r="E15306" s="3" t="s">
        <v>100</v>
      </c>
      <c r="F15306" s="7">
        <v>46042.949632906486</v>
      </c>
      <c r="G15306" s="3" t="s">
        <v>4730</v>
      </c>
    </row>
    <row r="15307">
      <c r="A15307" s="3" t="s">
        <v>31264</v>
      </c>
      <c r="B15307" s="3" t="s">
        <v>12933</v>
      </c>
      <c r="C15307" s="5" t="s">
        <v>206</v>
      </c>
      <c r="D15307" s="3" t="s">
        <v>68</v>
      </c>
      <c r="E15307" s="3" t="s">
        <v>100</v>
      </c>
      <c r="F15307" s="7">
        <v>46042.953105128705</v>
      </c>
      <c r="G15307" s="3" t="s">
        <v>4733</v>
      </c>
    </row>
    <row r="15308">
      <c r="A15308" s="3" t="s">
        <v>31265</v>
      </c>
      <c r="B15308" s="3" t="s">
        <v>12935</v>
      </c>
      <c r="C15308" s="5" t="s">
        <v>45</v>
      </c>
      <c r="D15308" s="3" t="s">
        <v>221</v>
      </c>
      <c r="E15308" s="3" t="s">
        <v>391</v>
      </c>
      <c r="F15308" s="7">
        <v>46043.01386330746</v>
      </c>
      <c r="G15308" s="3" t="s">
        <v>17598</v>
      </c>
    </row>
    <row r="15309">
      <c r="A15309" s="3" t="s">
        <v>31266</v>
      </c>
      <c r="B15309" s="3" t="s">
        <v>12935</v>
      </c>
      <c r="C15309" s="5" t="s">
        <v>221</v>
      </c>
      <c r="D15309" s="3" t="s">
        <v>614</v>
      </c>
      <c r="E15309" s="3" t="s">
        <v>118</v>
      </c>
      <c r="F15309" s="7">
        <v>46043.01733552968</v>
      </c>
      <c r="G15309" s="3" t="s">
        <v>17601</v>
      </c>
    </row>
    <row r="15310">
      <c r="A15310" s="3" t="s">
        <v>31267</v>
      </c>
      <c r="B15310" s="3" t="s">
        <v>12935</v>
      </c>
      <c r="C15310" s="5" t="s">
        <v>614</v>
      </c>
      <c r="D15310" s="3" t="s">
        <v>206</v>
      </c>
      <c r="E15310" s="3" t="s">
        <v>100</v>
      </c>
      <c r="F15310" s="7">
        <v>46043.020807751906</v>
      </c>
      <c r="G15310" s="3" t="s">
        <v>17604</v>
      </c>
    </row>
    <row r="15311">
      <c r="A15311" s="3" t="s">
        <v>31268</v>
      </c>
      <c r="B15311" s="3" t="s">
        <v>12935</v>
      </c>
      <c r="C15311" s="5" t="s">
        <v>206</v>
      </c>
      <c r="D15311" s="3" t="s">
        <v>68</v>
      </c>
      <c r="E15311" s="3" t="s">
        <v>100</v>
      </c>
      <c r="F15311" s="7">
        <v>46043.024279974125</v>
      </c>
      <c r="G15311" s="3" t="s">
        <v>17607</v>
      </c>
    </row>
    <row r="15312">
      <c r="A15312" s="3" t="s">
        <v>31269</v>
      </c>
      <c r="B15312" s="3" t="s">
        <v>12938</v>
      </c>
      <c r="C15312" s="5" t="s">
        <v>45</v>
      </c>
      <c r="D15312" s="3" t="s">
        <v>221</v>
      </c>
      <c r="E15312" s="3" t="s">
        <v>302</v>
      </c>
      <c r="F15312" s="7">
        <v>46043.08503815287</v>
      </c>
      <c r="G15312" s="3" t="s">
        <v>18347</v>
      </c>
    </row>
    <row r="15313">
      <c r="A15313" s="3" t="s">
        <v>31270</v>
      </c>
      <c r="B15313" s="3" t="s">
        <v>12938</v>
      </c>
      <c r="C15313" s="5" t="s">
        <v>221</v>
      </c>
      <c r="D15313" s="3" t="s">
        <v>614</v>
      </c>
      <c r="E15313" s="3" t="s">
        <v>118</v>
      </c>
      <c r="F15313" s="7">
        <v>46043.08851037509</v>
      </c>
      <c r="G15313" s="3" t="s">
        <v>18350</v>
      </c>
    </row>
    <row r="15314">
      <c r="A15314" s="3" t="s">
        <v>31271</v>
      </c>
      <c r="B15314" s="3" t="s">
        <v>12938</v>
      </c>
      <c r="C15314" s="5" t="s">
        <v>614</v>
      </c>
      <c r="D15314" s="3" t="s">
        <v>206</v>
      </c>
      <c r="E15314" s="3" t="s">
        <v>100</v>
      </c>
      <c r="F15314" s="7">
        <v>46043.09198259732</v>
      </c>
      <c r="G15314" s="3" t="s">
        <v>18353</v>
      </c>
    </row>
    <row r="15315">
      <c r="A15315" s="3" t="s">
        <v>31272</v>
      </c>
      <c r="B15315" s="3" t="s">
        <v>12938</v>
      </c>
      <c r="C15315" s="5" t="s">
        <v>206</v>
      </c>
      <c r="D15315" s="3" t="s">
        <v>68</v>
      </c>
      <c r="E15315" s="3" t="s">
        <v>100</v>
      </c>
      <c r="F15315" s="7">
        <v>46043.09545481954</v>
      </c>
      <c r="G15315" s="3" t="s">
        <v>18355</v>
      </c>
    </row>
    <row r="15316">
      <c r="A15316" s="3" t="s">
        <v>31273</v>
      </c>
      <c r="B15316" s="3" t="s">
        <v>12941</v>
      </c>
      <c r="C15316" s="5" t="s">
        <v>45</v>
      </c>
      <c r="D15316" s="3" t="s">
        <v>221</v>
      </c>
      <c r="E15316" s="3" t="s">
        <v>322</v>
      </c>
      <c r="F15316" s="7">
        <v>46043.156212998285</v>
      </c>
      <c r="G15316" s="3" t="s">
        <v>23169</v>
      </c>
    </row>
    <row r="15317">
      <c r="A15317" s="3" t="s">
        <v>31274</v>
      </c>
      <c r="B15317" s="3" t="s">
        <v>12941</v>
      </c>
      <c r="C15317" s="5" t="s">
        <v>221</v>
      </c>
      <c r="D15317" s="3" t="s">
        <v>614</v>
      </c>
      <c r="E15317" s="3" t="s">
        <v>118</v>
      </c>
      <c r="F15317" s="7">
        <v>46043.159685220504</v>
      </c>
      <c r="G15317" s="3" t="s">
        <v>23172</v>
      </c>
    </row>
    <row r="15318">
      <c r="A15318" s="3" t="s">
        <v>31275</v>
      </c>
      <c r="B15318" s="3" t="s">
        <v>12941</v>
      </c>
      <c r="C15318" s="5" t="s">
        <v>614</v>
      </c>
      <c r="D15318" s="3" t="s">
        <v>206</v>
      </c>
      <c r="E15318" s="3" t="s">
        <v>100</v>
      </c>
      <c r="F15318" s="7">
        <v>46043.16315744273</v>
      </c>
      <c r="G15318" s="3" t="s">
        <v>23175</v>
      </c>
    </row>
    <row r="15319">
      <c r="A15319" s="3" t="s">
        <v>31276</v>
      </c>
      <c r="B15319" s="3" t="s">
        <v>12941</v>
      </c>
      <c r="C15319" s="5" t="s">
        <v>206</v>
      </c>
      <c r="D15319" s="3" t="s">
        <v>68</v>
      </c>
      <c r="E15319" s="3" t="s">
        <v>100</v>
      </c>
      <c r="F15319" s="7">
        <v>46043.16662966495</v>
      </c>
      <c r="G15319" s="3" t="s">
        <v>23178</v>
      </c>
    </row>
    <row r="15320">
      <c r="A15320" s="3" t="s">
        <v>31277</v>
      </c>
      <c r="B15320" s="3" t="s">
        <v>12943</v>
      </c>
      <c r="C15320" s="5" t="s">
        <v>45</v>
      </c>
      <c r="D15320" s="3" t="s">
        <v>221</v>
      </c>
      <c r="E15320" s="3" t="s">
        <v>159</v>
      </c>
      <c r="F15320" s="7">
        <v>46043.227387843704</v>
      </c>
      <c r="G15320" s="3" t="s">
        <v>8901</v>
      </c>
    </row>
    <row r="15321">
      <c r="A15321" s="3" t="s">
        <v>31278</v>
      </c>
      <c r="B15321" s="3" t="s">
        <v>12943</v>
      </c>
      <c r="C15321" s="5" t="s">
        <v>221</v>
      </c>
      <c r="D15321" s="3" t="s">
        <v>614</v>
      </c>
      <c r="E15321" s="3" t="s">
        <v>118</v>
      </c>
      <c r="F15321" s="7">
        <v>46043.23086006592</v>
      </c>
      <c r="G15321" s="3" t="s">
        <v>8904</v>
      </c>
    </row>
    <row r="15322">
      <c r="A15322" s="3" t="s">
        <v>31279</v>
      </c>
      <c r="B15322" s="3" t="s">
        <v>12943</v>
      </c>
      <c r="C15322" s="5" t="s">
        <v>614</v>
      </c>
      <c r="D15322" s="3" t="s">
        <v>206</v>
      </c>
      <c r="E15322" s="3" t="s">
        <v>100</v>
      </c>
      <c r="F15322" s="7">
        <v>46043.23433228815</v>
      </c>
      <c r="G15322" s="3" t="s">
        <v>8907</v>
      </c>
    </row>
    <row r="15323">
      <c r="A15323" s="3" t="s">
        <v>31280</v>
      </c>
      <c r="B15323" s="3" t="s">
        <v>12943</v>
      </c>
      <c r="C15323" s="5" t="s">
        <v>206</v>
      </c>
      <c r="D15323" s="3" t="s">
        <v>68</v>
      </c>
      <c r="E15323" s="3" t="s">
        <v>100</v>
      </c>
      <c r="F15323" s="7">
        <v>46043.23780451037</v>
      </c>
      <c r="G15323" s="3" t="s">
        <v>8910</v>
      </c>
    </row>
    <row r="15324">
      <c r="A15324" s="3" t="s">
        <v>31281</v>
      </c>
      <c r="B15324" s="3" t="s">
        <v>12945</v>
      </c>
      <c r="C15324" s="5" t="s">
        <v>45</v>
      </c>
      <c r="D15324" s="3" t="s">
        <v>221</v>
      </c>
      <c r="E15324" s="3" t="s">
        <v>189</v>
      </c>
      <c r="F15324" s="7">
        <v>46043.29856268912</v>
      </c>
      <c r="G15324" s="3" t="s">
        <v>4747</v>
      </c>
    </row>
    <row r="15325">
      <c r="A15325" s="3" t="s">
        <v>31282</v>
      </c>
      <c r="B15325" s="3" t="s">
        <v>12945</v>
      </c>
      <c r="C15325" s="5" t="s">
        <v>221</v>
      </c>
      <c r="D15325" s="3" t="s">
        <v>614</v>
      </c>
      <c r="E15325" s="3" t="s">
        <v>118</v>
      </c>
      <c r="F15325" s="7">
        <v>46043.302034911336</v>
      </c>
      <c r="G15325" s="3" t="s">
        <v>4750</v>
      </c>
    </row>
    <row r="15326">
      <c r="A15326" s="3" t="s">
        <v>31283</v>
      </c>
      <c r="B15326" s="3" t="s">
        <v>12945</v>
      </c>
      <c r="C15326" s="5" t="s">
        <v>614</v>
      </c>
      <c r="D15326" s="3" t="s">
        <v>206</v>
      </c>
      <c r="E15326" s="3" t="s">
        <v>100</v>
      </c>
      <c r="F15326" s="7">
        <v>46043.30550713356</v>
      </c>
      <c r="G15326" s="3" t="s">
        <v>4753</v>
      </c>
    </row>
    <row r="15327">
      <c r="A15327" s="3" t="s">
        <v>31284</v>
      </c>
      <c r="B15327" s="3" t="s">
        <v>12945</v>
      </c>
      <c r="C15327" s="5" t="s">
        <v>206</v>
      </c>
      <c r="D15327" s="3" t="s">
        <v>68</v>
      </c>
      <c r="E15327" s="3" t="s">
        <v>100</v>
      </c>
      <c r="F15327" s="7">
        <v>46043.30897935578</v>
      </c>
      <c r="G15327" s="3" t="s">
        <v>4755</v>
      </c>
    </row>
    <row r="15328">
      <c r="A15328" s="3" t="s">
        <v>31285</v>
      </c>
      <c r="B15328" s="3" t="s">
        <v>12948</v>
      </c>
      <c r="C15328" s="5" t="s">
        <v>45</v>
      </c>
      <c r="D15328" s="3" t="s">
        <v>221</v>
      </c>
      <c r="E15328" s="3" t="s">
        <v>424</v>
      </c>
      <c r="F15328" s="7">
        <v>46043.36973753453</v>
      </c>
      <c r="G15328" s="3" t="s">
        <v>2770</v>
      </c>
    </row>
    <row r="15329">
      <c r="A15329" s="3" t="s">
        <v>31286</v>
      </c>
      <c r="B15329" s="3" t="s">
        <v>12948</v>
      </c>
      <c r="C15329" s="5" t="s">
        <v>221</v>
      </c>
      <c r="D15329" s="3" t="s">
        <v>195</v>
      </c>
      <c r="E15329" s="3" t="s">
        <v>424</v>
      </c>
      <c r="F15329" s="7">
        <v>46043.37320975675</v>
      </c>
      <c r="G15329" s="3" t="s">
        <v>3055</v>
      </c>
    </row>
    <row r="15330">
      <c r="A15330" s="3" t="s">
        <v>31287</v>
      </c>
      <c r="B15330" s="3" t="s">
        <v>12951</v>
      </c>
      <c r="C15330" s="5" t="s">
        <v>45</v>
      </c>
      <c r="D15330" s="3" t="s">
        <v>221</v>
      </c>
      <c r="E15330" s="3" t="s">
        <v>593</v>
      </c>
      <c r="F15330" s="7">
        <v>46043.44091237995</v>
      </c>
      <c r="G15330" s="3" t="s">
        <v>19062</v>
      </c>
    </row>
    <row r="15331">
      <c r="A15331" s="3" t="s">
        <v>31288</v>
      </c>
      <c r="B15331" s="3" t="s">
        <v>12951</v>
      </c>
      <c r="C15331" s="5" t="s">
        <v>221</v>
      </c>
      <c r="D15331" s="3" t="s">
        <v>614</v>
      </c>
      <c r="E15331" s="3" t="s">
        <v>118</v>
      </c>
      <c r="F15331" s="7">
        <v>46043.44438460217</v>
      </c>
      <c r="G15331" s="3" t="s">
        <v>20866</v>
      </c>
    </row>
    <row r="15332">
      <c r="A15332" s="3" t="s">
        <v>31289</v>
      </c>
      <c r="B15332" s="3" t="s">
        <v>12951</v>
      </c>
      <c r="C15332" s="5" t="s">
        <v>614</v>
      </c>
      <c r="D15332" s="3" t="s">
        <v>206</v>
      </c>
      <c r="E15332" s="3" t="s">
        <v>100</v>
      </c>
      <c r="F15332" s="7">
        <v>46043.447856824394</v>
      </c>
      <c r="G15332" s="3" t="s">
        <v>20869</v>
      </c>
    </row>
    <row r="15333">
      <c r="A15333" s="3" t="s">
        <v>31290</v>
      </c>
      <c r="B15333" s="3" t="s">
        <v>12951</v>
      </c>
      <c r="C15333" s="5" t="s">
        <v>206</v>
      </c>
      <c r="D15333" s="3" t="s">
        <v>68</v>
      </c>
      <c r="E15333" s="3" t="s">
        <v>100</v>
      </c>
      <c r="F15333" s="7">
        <v>46043.45132904661</v>
      </c>
      <c r="G15333" s="3" t="s">
        <v>20872</v>
      </c>
    </row>
    <row r="15334">
      <c r="A15334" s="3" t="s">
        <v>31291</v>
      </c>
      <c r="B15334" s="3" t="s">
        <v>12953</v>
      </c>
      <c r="C15334" s="5" t="s">
        <v>45</v>
      </c>
      <c r="D15334" s="3" t="s">
        <v>221</v>
      </c>
      <c r="E15334" s="3" t="s">
        <v>612</v>
      </c>
      <c r="F15334" s="7">
        <v>46043.51208722536</v>
      </c>
      <c r="G15334" s="3" t="s">
        <v>8139</v>
      </c>
    </row>
    <row r="15335">
      <c r="A15335" s="3" t="s">
        <v>31292</v>
      </c>
      <c r="B15335" s="3" t="s">
        <v>12953</v>
      </c>
      <c r="C15335" s="5" t="s">
        <v>221</v>
      </c>
      <c r="D15335" s="3" t="s">
        <v>195</v>
      </c>
      <c r="E15335" s="3" t="s">
        <v>612</v>
      </c>
      <c r="F15335" s="7">
        <v>46043.51555944758</v>
      </c>
      <c r="G15335" s="3" t="s">
        <v>31293</v>
      </c>
    </row>
    <row r="15336">
      <c r="A15336" s="3" t="s">
        <v>31294</v>
      </c>
      <c r="B15336" s="3" t="s">
        <v>12955</v>
      </c>
      <c r="C15336" s="5" t="s">
        <v>45</v>
      </c>
      <c r="D15336" s="3" t="s">
        <v>221</v>
      </c>
      <c r="E15336" s="3" t="s">
        <v>596</v>
      </c>
      <c r="F15336" s="7">
        <v>46043.58326207078</v>
      </c>
      <c r="G15336" s="3" t="s">
        <v>14390</v>
      </c>
    </row>
    <row r="15337">
      <c r="A15337" s="3" t="s">
        <v>31295</v>
      </c>
      <c r="B15337" s="3" t="s">
        <v>12955</v>
      </c>
      <c r="C15337" s="5" t="s">
        <v>221</v>
      </c>
      <c r="D15337" s="3" t="s">
        <v>614</v>
      </c>
      <c r="E15337" s="3" t="s">
        <v>118</v>
      </c>
      <c r="F15337" s="7">
        <v>46043.586734293</v>
      </c>
      <c r="G15337" s="3" t="s">
        <v>14392</v>
      </c>
    </row>
    <row r="15338">
      <c r="A15338" s="3" t="s">
        <v>31296</v>
      </c>
      <c r="B15338" s="3" t="s">
        <v>12955</v>
      </c>
      <c r="C15338" s="5" t="s">
        <v>614</v>
      </c>
      <c r="D15338" s="3" t="s">
        <v>206</v>
      </c>
      <c r="E15338" s="3" t="s">
        <v>100</v>
      </c>
      <c r="F15338" s="7">
        <v>46043.590206515226</v>
      </c>
      <c r="G15338" s="3" t="s">
        <v>14395</v>
      </c>
    </row>
    <row r="15339">
      <c r="A15339" s="3" t="s">
        <v>31297</v>
      </c>
      <c r="B15339" s="3" t="s">
        <v>12955</v>
      </c>
      <c r="C15339" s="5" t="s">
        <v>206</v>
      </c>
      <c r="D15339" s="3" t="s">
        <v>68</v>
      </c>
      <c r="E15339" s="3" t="s">
        <v>100</v>
      </c>
      <c r="F15339" s="7">
        <v>46043.593678737445</v>
      </c>
      <c r="G15339" s="3" t="s">
        <v>14398</v>
      </c>
    </row>
    <row r="15340">
      <c r="A15340" s="3" t="s">
        <v>31298</v>
      </c>
      <c r="B15340" s="3" t="s">
        <v>12958</v>
      </c>
      <c r="C15340" s="5" t="s">
        <v>45</v>
      </c>
      <c r="D15340" s="3" t="s">
        <v>221</v>
      </c>
      <c r="E15340" s="3" t="s">
        <v>204</v>
      </c>
      <c r="F15340" s="7">
        <v>46043.65443691619</v>
      </c>
      <c r="G15340" s="3" t="s">
        <v>18440</v>
      </c>
    </row>
    <row r="15341">
      <c r="A15341" s="3" t="s">
        <v>31299</v>
      </c>
      <c r="B15341" s="3" t="s">
        <v>12958</v>
      </c>
      <c r="C15341" s="5" t="s">
        <v>221</v>
      </c>
      <c r="D15341" s="3" t="s">
        <v>195</v>
      </c>
      <c r="E15341" s="3" t="s">
        <v>204</v>
      </c>
      <c r="F15341" s="7">
        <v>46043.65790913841</v>
      </c>
      <c r="G15341" s="3" t="s">
        <v>31300</v>
      </c>
    </row>
    <row r="15342">
      <c r="A15342" s="3" t="s">
        <v>31301</v>
      </c>
      <c r="B15342" s="3" t="s">
        <v>12961</v>
      </c>
      <c r="C15342" s="5" t="s">
        <v>45</v>
      </c>
      <c r="D15342" s="3" t="s">
        <v>221</v>
      </c>
      <c r="E15342" s="3" t="s">
        <v>826</v>
      </c>
      <c r="F15342" s="7">
        <v>46043.72561176161</v>
      </c>
      <c r="G15342" s="3" t="s">
        <v>4823</v>
      </c>
    </row>
    <row r="15343">
      <c r="A15343" s="3" t="s">
        <v>31302</v>
      </c>
      <c r="B15343" s="3" t="s">
        <v>12961</v>
      </c>
      <c r="C15343" s="5" t="s">
        <v>221</v>
      </c>
      <c r="D15343" s="3" t="s">
        <v>614</v>
      </c>
      <c r="E15343" s="3" t="s">
        <v>118</v>
      </c>
      <c r="F15343" s="7">
        <v>46043.72908398383</v>
      </c>
      <c r="G15343" s="3" t="s">
        <v>4826</v>
      </c>
    </row>
    <row r="15344">
      <c r="A15344" s="3" t="s">
        <v>31303</v>
      </c>
      <c r="B15344" s="3" t="s">
        <v>12961</v>
      </c>
      <c r="C15344" s="5" t="s">
        <v>614</v>
      </c>
      <c r="D15344" s="3" t="s">
        <v>206</v>
      </c>
      <c r="E15344" s="3" t="s">
        <v>100</v>
      </c>
      <c r="F15344" s="7">
        <v>46043.73255620606</v>
      </c>
      <c r="G15344" s="3" t="s">
        <v>4829</v>
      </c>
    </row>
    <row r="15345">
      <c r="A15345" s="3" t="s">
        <v>31304</v>
      </c>
      <c r="B15345" s="3" t="s">
        <v>12961</v>
      </c>
      <c r="C15345" s="5" t="s">
        <v>206</v>
      </c>
      <c r="D15345" s="3" t="s">
        <v>68</v>
      </c>
      <c r="E15345" s="3" t="s">
        <v>100</v>
      </c>
      <c r="F15345" s="7">
        <v>46043.73602842828</v>
      </c>
      <c r="G15345" s="3" t="s">
        <v>4832</v>
      </c>
    </row>
    <row r="15346">
      <c r="A15346" s="3" t="s">
        <v>31305</v>
      </c>
      <c r="B15346" s="3" t="s">
        <v>12964</v>
      </c>
      <c r="C15346" s="5" t="s">
        <v>45</v>
      </c>
      <c r="D15346" s="3" t="s">
        <v>221</v>
      </c>
      <c r="E15346" s="3" t="s">
        <v>388</v>
      </c>
      <c r="F15346" s="7">
        <v>46043.79678660702</v>
      </c>
      <c r="G15346" s="3" t="s">
        <v>2770</v>
      </c>
    </row>
    <row r="15347">
      <c r="A15347" s="3" t="s">
        <v>31306</v>
      </c>
      <c r="B15347" s="3" t="s">
        <v>12964</v>
      </c>
      <c r="C15347" s="5" t="s">
        <v>221</v>
      </c>
      <c r="D15347" s="3" t="s">
        <v>195</v>
      </c>
      <c r="E15347" s="3" t="s">
        <v>388</v>
      </c>
      <c r="F15347" s="7">
        <v>46043.80025882924</v>
      </c>
      <c r="G15347" s="3" t="s">
        <v>3055</v>
      </c>
    </row>
    <row r="15348">
      <c r="A15348" s="3" t="s">
        <v>31307</v>
      </c>
      <c r="B15348" s="3" t="s">
        <v>12966</v>
      </c>
      <c r="C15348" s="5" t="s">
        <v>45</v>
      </c>
      <c r="D15348" s="3" t="s">
        <v>221</v>
      </c>
      <c r="E15348" s="3" t="s">
        <v>742</v>
      </c>
      <c r="F15348" s="7">
        <v>46043.86796145244</v>
      </c>
      <c r="G15348" s="3" t="s">
        <v>5209</v>
      </c>
    </row>
    <row r="15349">
      <c r="A15349" s="3" t="s">
        <v>31308</v>
      </c>
      <c r="B15349" s="3" t="s">
        <v>12966</v>
      </c>
      <c r="C15349" s="5" t="s">
        <v>221</v>
      </c>
      <c r="D15349" s="3" t="s">
        <v>614</v>
      </c>
      <c r="E15349" s="3" t="s">
        <v>118</v>
      </c>
      <c r="F15349" s="7">
        <v>46043.871433674656</v>
      </c>
      <c r="G15349" s="3" t="s">
        <v>5213</v>
      </c>
    </row>
    <row r="15350">
      <c r="A15350" s="3" t="s">
        <v>31309</v>
      </c>
      <c r="B15350" s="3" t="s">
        <v>12966</v>
      </c>
      <c r="C15350" s="5" t="s">
        <v>614</v>
      </c>
      <c r="D15350" s="3" t="s">
        <v>206</v>
      </c>
      <c r="E15350" s="3" t="s">
        <v>100</v>
      </c>
      <c r="F15350" s="7">
        <v>46043.87490589688</v>
      </c>
      <c r="G15350" s="3" t="s">
        <v>5215</v>
      </c>
    </row>
    <row r="15351">
      <c r="A15351" s="3" t="s">
        <v>31310</v>
      </c>
      <c r="B15351" s="3" t="s">
        <v>12966</v>
      </c>
      <c r="C15351" s="5" t="s">
        <v>206</v>
      </c>
      <c r="D15351" s="3" t="s">
        <v>68</v>
      </c>
      <c r="E15351" s="3" t="s">
        <v>100</v>
      </c>
      <c r="F15351" s="7">
        <v>46043.8783781191</v>
      </c>
      <c r="G15351" s="3" t="s">
        <v>5218</v>
      </c>
    </row>
    <row r="15352">
      <c r="A15352" s="3" t="s">
        <v>31311</v>
      </c>
      <c r="B15352" s="3" t="s">
        <v>12968</v>
      </c>
      <c r="C15352" s="5" t="s">
        <v>45</v>
      </c>
      <c r="D15352" s="3" t="s">
        <v>221</v>
      </c>
      <c r="E15352" s="3" t="s">
        <v>151</v>
      </c>
      <c r="F15352" s="7">
        <v>46043.93913629786</v>
      </c>
      <c r="G15352" s="3" t="s">
        <v>12106</v>
      </c>
    </row>
    <row r="15353">
      <c r="A15353" s="3" t="s">
        <v>31312</v>
      </c>
      <c r="B15353" s="3" t="s">
        <v>12968</v>
      </c>
      <c r="C15353" s="5" t="s">
        <v>221</v>
      </c>
      <c r="D15353" s="3" t="s">
        <v>181</v>
      </c>
      <c r="E15353" s="3" t="s">
        <v>118</v>
      </c>
      <c r="F15353" s="7">
        <v>46043.942608520076</v>
      </c>
      <c r="G15353" s="3" t="s">
        <v>23901</v>
      </c>
    </row>
    <row r="15354">
      <c r="A15354" s="3" t="s">
        <v>31313</v>
      </c>
      <c r="B15354" s="3" t="s">
        <v>12971</v>
      </c>
      <c r="C15354" s="5" t="s">
        <v>45</v>
      </c>
      <c r="D15354" s="3" t="s">
        <v>221</v>
      </c>
      <c r="E15354" s="3" t="s">
        <v>215</v>
      </c>
      <c r="F15354" s="7">
        <v>46044.01031114327</v>
      </c>
      <c r="G15354" s="3" t="s">
        <v>25303</v>
      </c>
    </row>
    <row r="15355">
      <c r="A15355" s="3" t="s">
        <v>31314</v>
      </c>
      <c r="B15355" s="3" t="s">
        <v>12971</v>
      </c>
      <c r="C15355" s="5" t="s">
        <v>221</v>
      </c>
      <c r="D15355" s="3" t="s">
        <v>614</v>
      </c>
      <c r="E15355" s="3" t="s">
        <v>118</v>
      </c>
      <c r="F15355" s="7">
        <v>46044.01378336549</v>
      </c>
      <c r="G15355" s="3" t="s">
        <v>25305</v>
      </c>
    </row>
    <row r="15356">
      <c r="A15356" s="3" t="s">
        <v>31315</v>
      </c>
      <c r="B15356" s="3" t="s">
        <v>12971</v>
      </c>
      <c r="C15356" s="5" t="s">
        <v>614</v>
      </c>
      <c r="D15356" s="3" t="s">
        <v>206</v>
      </c>
      <c r="E15356" s="3" t="s">
        <v>100</v>
      </c>
      <c r="F15356" s="7">
        <v>46044.017255587714</v>
      </c>
      <c r="G15356" s="3" t="s">
        <v>25307</v>
      </c>
    </row>
    <row r="15357">
      <c r="A15357" s="3" t="s">
        <v>31316</v>
      </c>
      <c r="B15357" s="3" t="s">
        <v>12971</v>
      </c>
      <c r="C15357" s="5" t="s">
        <v>206</v>
      </c>
      <c r="D15357" s="3" t="s">
        <v>68</v>
      </c>
      <c r="E15357" s="3" t="s">
        <v>100</v>
      </c>
      <c r="F15357" s="7">
        <v>46044.02072780993</v>
      </c>
      <c r="G15357" s="3" t="s">
        <v>25309</v>
      </c>
    </row>
    <row r="15358">
      <c r="A15358" s="3" t="s">
        <v>31317</v>
      </c>
      <c r="B15358" s="3" t="s">
        <v>12973</v>
      </c>
      <c r="C15358" s="5" t="s">
        <v>45</v>
      </c>
      <c r="D15358" s="3" t="s">
        <v>221</v>
      </c>
      <c r="E15358" s="3" t="s">
        <v>424</v>
      </c>
      <c r="F15358" s="7">
        <v>46044.08148598868</v>
      </c>
      <c r="G15358" s="3" t="s">
        <v>4788</v>
      </c>
    </row>
    <row r="15359">
      <c r="A15359" s="3" t="s">
        <v>31318</v>
      </c>
      <c r="B15359" s="3" t="s">
        <v>12973</v>
      </c>
      <c r="C15359" s="5" t="s">
        <v>221</v>
      </c>
      <c r="D15359" s="3" t="s">
        <v>614</v>
      </c>
      <c r="E15359" s="3" t="s">
        <v>118</v>
      </c>
      <c r="F15359" s="7">
        <v>46044.0849582109</v>
      </c>
      <c r="G15359" s="3" t="s">
        <v>4791</v>
      </c>
    </row>
    <row r="15360">
      <c r="A15360" s="3" t="s">
        <v>31319</v>
      </c>
      <c r="B15360" s="3" t="s">
        <v>12973</v>
      </c>
      <c r="C15360" s="5" t="s">
        <v>614</v>
      </c>
      <c r="D15360" s="3" t="s">
        <v>206</v>
      </c>
      <c r="E15360" s="3" t="s">
        <v>100</v>
      </c>
      <c r="F15360" s="7">
        <v>46044.08843043313</v>
      </c>
      <c r="G15360" s="3" t="s">
        <v>4794</v>
      </c>
    </row>
    <row r="15361">
      <c r="A15361" s="3" t="s">
        <v>31320</v>
      </c>
      <c r="B15361" s="3" t="s">
        <v>12973</v>
      </c>
      <c r="C15361" s="5" t="s">
        <v>206</v>
      </c>
      <c r="D15361" s="3" t="s">
        <v>68</v>
      </c>
      <c r="E15361" s="3" t="s">
        <v>100</v>
      </c>
      <c r="F15361" s="7">
        <v>46044.091902655346</v>
      </c>
      <c r="G15361" s="3" t="s">
        <v>4797</v>
      </c>
    </row>
    <row r="15362">
      <c r="A15362" s="3" t="s">
        <v>31321</v>
      </c>
      <c r="B15362" s="3" t="s">
        <v>12975</v>
      </c>
      <c r="C15362" s="5" t="s">
        <v>45</v>
      </c>
      <c r="D15362" s="3" t="s">
        <v>221</v>
      </c>
      <c r="E15362" s="3" t="s">
        <v>631</v>
      </c>
      <c r="F15362" s="7">
        <v>46044.1526608341</v>
      </c>
      <c r="G15362" s="3" t="s">
        <v>4574</v>
      </c>
    </row>
    <row r="15363">
      <c r="A15363" s="3" t="s">
        <v>31322</v>
      </c>
      <c r="B15363" s="3" t="s">
        <v>12975</v>
      </c>
      <c r="C15363" s="5" t="s">
        <v>221</v>
      </c>
      <c r="D15363" s="3" t="s">
        <v>614</v>
      </c>
      <c r="E15363" s="3" t="s">
        <v>118</v>
      </c>
      <c r="F15363" s="7">
        <v>46044.15613305632</v>
      </c>
      <c r="G15363" s="3" t="s">
        <v>4576</v>
      </c>
    </row>
    <row r="15364">
      <c r="A15364" s="3" t="s">
        <v>31323</v>
      </c>
      <c r="B15364" s="3" t="s">
        <v>12975</v>
      </c>
      <c r="C15364" s="5" t="s">
        <v>614</v>
      </c>
      <c r="D15364" s="3" t="s">
        <v>206</v>
      </c>
      <c r="E15364" s="3" t="s">
        <v>100</v>
      </c>
      <c r="F15364" s="7">
        <v>46044.159605278546</v>
      </c>
      <c r="G15364" s="3" t="s">
        <v>4579</v>
      </c>
    </row>
    <row r="15365">
      <c r="A15365" s="3" t="s">
        <v>31324</v>
      </c>
      <c r="B15365" s="3" t="s">
        <v>12975</v>
      </c>
      <c r="C15365" s="5" t="s">
        <v>206</v>
      </c>
      <c r="D15365" s="3" t="s">
        <v>68</v>
      </c>
      <c r="E15365" s="3" t="s">
        <v>100</v>
      </c>
      <c r="F15365" s="7">
        <v>46044.163077500765</v>
      </c>
      <c r="G15365" s="3" t="s">
        <v>4582</v>
      </c>
    </row>
    <row r="15366">
      <c r="A15366" s="3" t="s">
        <v>31325</v>
      </c>
      <c r="B15366" s="3" t="s">
        <v>12978</v>
      </c>
      <c r="C15366" s="5" t="s">
        <v>45</v>
      </c>
      <c r="D15366" s="3" t="s">
        <v>221</v>
      </c>
      <c r="E15366" s="3" t="s">
        <v>725</v>
      </c>
      <c r="F15366" s="7">
        <v>46044.22383567951</v>
      </c>
      <c r="G15366" s="3" t="s">
        <v>15017</v>
      </c>
    </row>
    <row r="15367">
      <c r="A15367" s="3" t="s">
        <v>31326</v>
      </c>
      <c r="B15367" s="3" t="s">
        <v>12978</v>
      </c>
      <c r="C15367" s="5" t="s">
        <v>221</v>
      </c>
      <c r="D15367" s="3" t="s">
        <v>614</v>
      </c>
      <c r="E15367" s="3" t="s">
        <v>118</v>
      </c>
      <c r="F15367" s="7">
        <v>46044.22730790173</v>
      </c>
      <c r="G15367" s="3" t="s">
        <v>15020</v>
      </c>
    </row>
    <row r="15368">
      <c r="A15368" s="3" t="s">
        <v>31327</v>
      </c>
      <c r="B15368" s="3" t="s">
        <v>12978</v>
      </c>
      <c r="C15368" s="5" t="s">
        <v>614</v>
      </c>
      <c r="D15368" s="3" t="s">
        <v>206</v>
      </c>
      <c r="E15368" s="3" t="s">
        <v>100</v>
      </c>
      <c r="F15368" s="7">
        <v>46044.23078012396</v>
      </c>
      <c r="G15368" s="3" t="s">
        <v>15023</v>
      </c>
    </row>
    <row r="15369">
      <c r="A15369" s="3" t="s">
        <v>31328</v>
      </c>
      <c r="B15369" s="3" t="s">
        <v>12978</v>
      </c>
      <c r="C15369" s="5" t="s">
        <v>206</v>
      </c>
      <c r="D15369" s="3" t="s">
        <v>68</v>
      </c>
      <c r="E15369" s="3" t="s">
        <v>100</v>
      </c>
      <c r="F15369" s="7">
        <v>46044.23425234618</v>
      </c>
      <c r="G15369" s="3" t="s">
        <v>15026</v>
      </c>
    </row>
    <row r="15370">
      <c r="A15370" s="3" t="s">
        <v>31329</v>
      </c>
      <c r="B15370" s="3" t="s">
        <v>12981</v>
      </c>
      <c r="C15370" s="5" t="s">
        <v>45</v>
      </c>
      <c r="D15370" s="3" t="s">
        <v>221</v>
      </c>
      <c r="E15370" s="3" t="s">
        <v>455</v>
      </c>
      <c r="F15370" s="7">
        <v>46044.295010524926</v>
      </c>
      <c r="G15370" s="3" t="s">
        <v>2770</v>
      </c>
    </row>
    <row r="15371">
      <c r="A15371" s="3" t="s">
        <v>31330</v>
      </c>
      <c r="B15371" s="3" t="s">
        <v>12981</v>
      </c>
      <c r="C15371" s="5" t="s">
        <v>221</v>
      </c>
      <c r="D15371" s="3" t="s">
        <v>195</v>
      </c>
      <c r="E15371" s="3" t="s">
        <v>455</v>
      </c>
      <c r="F15371" s="7">
        <v>46044.298482747145</v>
      </c>
      <c r="G15371" s="3" t="s">
        <v>3055</v>
      </c>
    </row>
    <row r="15372">
      <c r="A15372" s="3" t="s">
        <v>31331</v>
      </c>
      <c r="B15372" s="3" t="s">
        <v>12982</v>
      </c>
      <c r="C15372" s="5" t="s">
        <v>45</v>
      </c>
      <c r="D15372" s="3" t="s">
        <v>221</v>
      </c>
      <c r="E15372" s="3" t="s">
        <v>758</v>
      </c>
      <c r="F15372" s="7">
        <v>46044.366185370345</v>
      </c>
      <c r="G15372" s="3" t="s">
        <v>16755</v>
      </c>
    </row>
    <row r="15373">
      <c r="A15373" s="3" t="s">
        <v>31332</v>
      </c>
      <c r="B15373" s="3" t="s">
        <v>12982</v>
      </c>
      <c r="C15373" s="5" t="s">
        <v>221</v>
      </c>
      <c r="D15373" s="3" t="s">
        <v>614</v>
      </c>
      <c r="E15373" s="3" t="s">
        <v>118</v>
      </c>
      <c r="F15373" s="7">
        <v>46044.369657592564</v>
      </c>
      <c r="G15373" s="3" t="s">
        <v>16758</v>
      </c>
    </row>
    <row r="15374">
      <c r="A15374" s="3" t="s">
        <v>31333</v>
      </c>
      <c r="B15374" s="3" t="s">
        <v>12982</v>
      </c>
      <c r="C15374" s="5" t="s">
        <v>614</v>
      </c>
      <c r="D15374" s="3" t="s">
        <v>206</v>
      </c>
      <c r="E15374" s="3" t="s">
        <v>100</v>
      </c>
      <c r="F15374" s="7">
        <v>46044.37312981479</v>
      </c>
      <c r="G15374" s="3" t="s">
        <v>16761</v>
      </c>
    </row>
    <row r="15375">
      <c r="A15375" s="3" t="s">
        <v>31334</v>
      </c>
      <c r="B15375" s="3" t="s">
        <v>12982</v>
      </c>
      <c r="C15375" s="5" t="s">
        <v>206</v>
      </c>
      <c r="D15375" s="3" t="s">
        <v>68</v>
      </c>
      <c r="E15375" s="3" t="s">
        <v>100</v>
      </c>
      <c r="F15375" s="7">
        <v>46044.37660203701</v>
      </c>
      <c r="G15375" s="3" t="s">
        <v>16763</v>
      </c>
    </row>
    <row r="15376">
      <c r="A15376" s="3" t="s">
        <v>31335</v>
      </c>
      <c r="B15376" s="3" t="s">
        <v>12985</v>
      </c>
      <c r="C15376" s="5" t="s">
        <v>45</v>
      </c>
      <c r="D15376" s="3" t="s">
        <v>221</v>
      </c>
      <c r="E15376" s="3" t="s">
        <v>713</v>
      </c>
      <c r="F15376" s="7">
        <v>46044.437360215765</v>
      </c>
      <c r="G15376" s="3" t="s">
        <v>17958</v>
      </c>
    </row>
    <row r="15377">
      <c r="A15377" s="3" t="s">
        <v>31336</v>
      </c>
      <c r="B15377" s="3" t="s">
        <v>12985</v>
      </c>
      <c r="C15377" s="5" t="s">
        <v>221</v>
      </c>
      <c r="D15377" s="3" t="s">
        <v>614</v>
      </c>
      <c r="E15377" s="3" t="s">
        <v>118</v>
      </c>
      <c r="F15377" s="7">
        <v>46044.440832437984</v>
      </c>
      <c r="G15377" s="3" t="s">
        <v>17961</v>
      </c>
    </row>
    <row r="15378">
      <c r="A15378" s="3" t="s">
        <v>31337</v>
      </c>
      <c r="B15378" s="3" t="s">
        <v>12985</v>
      </c>
      <c r="C15378" s="5" t="s">
        <v>614</v>
      </c>
      <c r="D15378" s="3" t="s">
        <v>206</v>
      </c>
      <c r="E15378" s="3" t="s">
        <v>100</v>
      </c>
      <c r="F15378" s="7">
        <v>46044.44430466021</v>
      </c>
      <c r="G15378" s="3" t="s">
        <v>17964</v>
      </c>
    </row>
    <row r="15379">
      <c r="A15379" s="3" t="s">
        <v>31338</v>
      </c>
      <c r="B15379" s="3" t="s">
        <v>12985</v>
      </c>
      <c r="C15379" s="5" t="s">
        <v>206</v>
      </c>
      <c r="D15379" s="3" t="s">
        <v>68</v>
      </c>
      <c r="E15379" s="3" t="s">
        <v>100</v>
      </c>
      <c r="F15379" s="7">
        <v>46044.44777688243</v>
      </c>
      <c r="G15379" s="3" t="s">
        <v>17967</v>
      </c>
    </row>
    <row r="15380">
      <c r="A15380" s="3" t="s">
        <v>31339</v>
      </c>
      <c r="B15380" s="3" t="s">
        <v>12988</v>
      </c>
      <c r="C15380" s="5" t="s">
        <v>45</v>
      </c>
      <c r="D15380" s="3" t="s">
        <v>221</v>
      </c>
      <c r="E15380" s="3" t="s">
        <v>411</v>
      </c>
      <c r="F15380" s="7">
        <v>46044.50853506117</v>
      </c>
      <c r="G15380" s="3" t="s">
        <v>13951</v>
      </c>
    </row>
    <row r="15381">
      <c r="A15381" s="3" t="s">
        <v>31340</v>
      </c>
      <c r="B15381" s="3" t="s">
        <v>12988</v>
      </c>
      <c r="C15381" s="5" t="s">
        <v>221</v>
      </c>
      <c r="D15381" s="3" t="s">
        <v>614</v>
      </c>
      <c r="E15381" s="3" t="s">
        <v>118</v>
      </c>
      <c r="F15381" s="7">
        <v>46044.51200728339</v>
      </c>
      <c r="G15381" s="3" t="s">
        <v>13954</v>
      </c>
    </row>
    <row r="15382">
      <c r="A15382" s="3" t="s">
        <v>31341</v>
      </c>
      <c r="B15382" s="3" t="s">
        <v>12988</v>
      </c>
      <c r="C15382" s="5" t="s">
        <v>614</v>
      </c>
      <c r="D15382" s="3" t="s">
        <v>206</v>
      </c>
      <c r="E15382" s="3" t="s">
        <v>100</v>
      </c>
      <c r="F15382" s="7">
        <v>46044.515479505615</v>
      </c>
      <c r="G15382" s="3" t="s">
        <v>13956</v>
      </c>
    </row>
    <row r="15383">
      <c r="A15383" s="3" t="s">
        <v>31342</v>
      </c>
      <c r="B15383" s="3" t="s">
        <v>12988</v>
      </c>
      <c r="C15383" s="5" t="s">
        <v>206</v>
      </c>
      <c r="D15383" s="3" t="s">
        <v>68</v>
      </c>
      <c r="E15383" s="3" t="s">
        <v>100</v>
      </c>
      <c r="F15383" s="7">
        <v>46044.518951727834</v>
      </c>
      <c r="G15383" s="3" t="s">
        <v>13959</v>
      </c>
    </row>
    <row r="15384">
      <c r="A15384" s="3" t="s">
        <v>31343</v>
      </c>
      <c r="B15384" s="3" t="s">
        <v>12989</v>
      </c>
      <c r="C15384" s="5" t="s">
        <v>45</v>
      </c>
      <c r="D15384" s="3" t="s">
        <v>221</v>
      </c>
      <c r="E15384" s="3" t="s">
        <v>731</v>
      </c>
      <c r="F15384" s="7">
        <v>46044.57970990659</v>
      </c>
      <c r="G15384" s="3" t="s">
        <v>17503</v>
      </c>
    </row>
    <row r="15385">
      <c r="A15385" s="3" t="s">
        <v>31344</v>
      </c>
      <c r="B15385" s="3" t="s">
        <v>12989</v>
      </c>
      <c r="C15385" s="5" t="s">
        <v>221</v>
      </c>
      <c r="D15385" s="3" t="s">
        <v>614</v>
      </c>
      <c r="E15385" s="3" t="s">
        <v>118</v>
      </c>
      <c r="F15385" s="7">
        <v>46044.58318212881</v>
      </c>
      <c r="G15385" s="3" t="s">
        <v>17506</v>
      </c>
    </row>
    <row r="15386">
      <c r="A15386" s="3" t="s">
        <v>31345</v>
      </c>
      <c r="B15386" s="3" t="s">
        <v>12989</v>
      </c>
      <c r="C15386" s="5" t="s">
        <v>614</v>
      </c>
      <c r="D15386" s="3" t="s">
        <v>206</v>
      </c>
      <c r="E15386" s="3" t="s">
        <v>100</v>
      </c>
      <c r="F15386" s="7">
        <v>46044.586654351035</v>
      </c>
      <c r="G15386" s="3" t="s">
        <v>17509</v>
      </c>
    </row>
    <row r="15387">
      <c r="A15387" s="3" t="s">
        <v>31346</v>
      </c>
      <c r="B15387" s="3" t="s">
        <v>12989</v>
      </c>
      <c r="C15387" s="5" t="s">
        <v>206</v>
      </c>
      <c r="D15387" s="3" t="s">
        <v>68</v>
      </c>
      <c r="E15387" s="3" t="s">
        <v>100</v>
      </c>
      <c r="F15387" s="7">
        <v>46044.590126573254</v>
      </c>
      <c r="G15387" s="3" t="s">
        <v>17511</v>
      </c>
    </row>
    <row r="15388">
      <c r="A15388" s="3" t="s">
        <v>31347</v>
      </c>
      <c r="B15388" s="3" t="s">
        <v>12991</v>
      </c>
      <c r="C15388" s="5" t="s">
        <v>45</v>
      </c>
      <c r="D15388" s="3" t="s">
        <v>221</v>
      </c>
      <c r="E15388" s="3" t="s">
        <v>665</v>
      </c>
      <c r="F15388" s="7">
        <v>46044.650884752</v>
      </c>
      <c r="G15388" s="3" t="s">
        <v>31348</v>
      </c>
    </row>
    <row r="15389">
      <c r="A15389" s="3" t="s">
        <v>31349</v>
      </c>
      <c r="B15389" s="3" t="s">
        <v>12991</v>
      </c>
      <c r="C15389" s="5" t="s">
        <v>221</v>
      </c>
      <c r="D15389" s="3" t="s">
        <v>614</v>
      </c>
      <c r="E15389" s="3" t="s">
        <v>118</v>
      </c>
      <c r="F15389" s="7">
        <v>46044.65435697422</v>
      </c>
      <c r="G15389" s="3" t="s">
        <v>31350</v>
      </c>
    </row>
    <row r="15390">
      <c r="A15390" s="3" t="s">
        <v>31351</v>
      </c>
      <c r="B15390" s="3" t="s">
        <v>12991</v>
      </c>
      <c r="C15390" s="5" t="s">
        <v>614</v>
      </c>
      <c r="D15390" s="3" t="s">
        <v>206</v>
      </c>
      <c r="E15390" s="3" t="s">
        <v>100</v>
      </c>
      <c r="F15390" s="7">
        <v>46044.65782919645</v>
      </c>
      <c r="G15390" s="3" t="s">
        <v>31352</v>
      </c>
    </row>
    <row r="15391">
      <c r="A15391" s="3" t="s">
        <v>31353</v>
      </c>
      <c r="B15391" s="3" t="s">
        <v>12991</v>
      </c>
      <c r="C15391" s="5" t="s">
        <v>206</v>
      </c>
      <c r="D15391" s="3" t="s">
        <v>68</v>
      </c>
      <c r="E15391" s="3" t="s">
        <v>100</v>
      </c>
      <c r="F15391" s="7">
        <v>46044.661301418666</v>
      </c>
      <c r="G15391" s="3" t="s">
        <v>31354</v>
      </c>
    </row>
    <row r="15392">
      <c r="A15392" s="3" t="s">
        <v>31355</v>
      </c>
      <c r="B15392" s="3" t="s">
        <v>12994</v>
      </c>
      <c r="C15392" s="5" t="s">
        <v>45</v>
      </c>
      <c r="D15392" s="3" t="s">
        <v>221</v>
      </c>
      <c r="E15392" s="3" t="s">
        <v>171</v>
      </c>
      <c r="F15392" s="7">
        <v>46044.72205959742</v>
      </c>
      <c r="G15392" s="3" t="s">
        <v>13962</v>
      </c>
    </row>
    <row r="15393">
      <c r="A15393" s="3" t="s">
        <v>31356</v>
      </c>
      <c r="B15393" s="3" t="s">
        <v>12994</v>
      </c>
      <c r="C15393" s="5" t="s">
        <v>221</v>
      </c>
      <c r="D15393" s="3" t="s">
        <v>614</v>
      </c>
      <c r="E15393" s="3" t="s">
        <v>118</v>
      </c>
      <c r="F15393" s="7">
        <v>46044.72553181964</v>
      </c>
      <c r="G15393" s="3" t="s">
        <v>13965</v>
      </c>
    </row>
    <row r="15394">
      <c r="A15394" s="3" t="s">
        <v>31357</v>
      </c>
      <c r="B15394" s="3" t="s">
        <v>12994</v>
      </c>
      <c r="C15394" s="5" t="s">
        <v>614</v>
      </c>
      <c r="D15394" s="3" t="s">
        <v>206</v>
      </c>
      <c r="E15394" s="3" t="s">
        <v>100</v>
      </c>
      <c r="F15394" s="7">
        <v>46044.72900404187</v>
      </c>
      <c r="G15394" s="3" t="s">
        <v>13968</v>
      </c>
    </row>
    <row r="15395">
      <c r="A15395" s="3" t="s">
        <v>31358</v>
      </c>
      <c r="B15395" s="3" t="s">
        <v>12994</v>
      </c>
      <c r="C15395" s="5" t="s">
        <v>206</v>
      </c>
      <c r="D15395" s="3" t="s">
        <v>68</v>
      </c>
      <c r="E15395" s="3" t="s">
        <v>100</v>
      </c>
      <c r="F15395" s="7">
        <v>46044.732476264086</v>
      </c>
      <c r="G15395" s="3" t="s">
        <v>13970</v>
      </c>
    </row>
    <row r="15396">
      <c r="A15396" s="3" t="s">
        <v>31359</v>
      </c>
      <c r="B15396" s="3" t="s">
        <v>12997</v>
      </c>
      <c r="C15396" s="5" t="s">
        <v>45</v>
      </c>
      <c r="D15396" s="3" t="s">
        <v>221</v>
      </c>
      <c r="E15396" s="3" t="s">
        <v>860</v>
      </c>
      <c r="F15396" s="7">
        <v>46044.79323444283</v>
      </c>
      <c r="G15396" s="3" t="s">
        <v>21425</v>
      </c>
    </row>
    <row r="15397">
      <c r="A15397" s="3" t="s">
        <v>31360</v>
      </c>
      <c r="B15397" s="3" t="s">
        <v>12997</v>
      </c>
      <c r="C15397" s="5" t="s">
        <v>221</v>
      </c>
      <c r="D15397" s="3" t="s">
        <v>614</v>
      </c>
      <c r="E15397" s="3" t="s">
        <v>118</v>
      </c>
      <c r="F15397" s="7">
        <v>46044.79670666505</v>
      </c>
      <c r="G15397" s="3" t="s">
        <v>21428</v>
      </c>
    </row>
    <row r="15398">
      <c r="A15398" s="3" t="s">
        <v>31361</v>
      </c>
      <c r="B15398" s="3" t="s">
        <v>12997</v>
      </c>
      <c r="C15398" s="5" t="s">
        <v>614</v>
      </c>
      <c r="D15398" s="3" t="s">
        <v>206</v>
      </c>
      <c r="E15398" s="3" t="s">
        <v>100</v>
      </c>
      <c r="F15398" s="7">
        <v>46044.80017888728</v>
      </c>
      <c r="G15398" s="3" t="s">
        <v>21431</v>
      </c>
    </row>
    <row r="15399">
      <c r="A15399" s="3" t="s">
        <v>31362</v>
      </c>
      <c r="B15399" s="3" t="s">
        <v>12997</v>
      </c>
      <c r="C15399" s="5" t="s">
        <v>206</v>
      </c>
      <c r="D15399" s="3" t="s">
        <v>68</v>
      </c>
      <c r="E15399" s="3" t="s">
        <v>100</v>
      </c>
      <c r="F15399" s="7">
        <v>46044.8036511095</v>
      </c>
      <c r="G15399" s="3" t="s">
        <v>21434</v>
      </c>
    </row>
    <row r="15400">
      <c r="A15400" s="3" t="s">
        <v>31363</v>
      </c>
      <c r="B15400" s="3" t="s">
        <v>13000</v>
      </c>
      <c r="C15400" s="5" t="s">
        <v>45</v>
      </c>
      <c r="D15400" s="3" t="s">
        <v>221</v>
      </c>
      <c r="E15400" s="3" t="s">
        <v>922</v>
      </c>
      <c r="F15400" s="7">
        <v>46044.86440928825</v>
      </c>
      <c r="G15400" s="3" t="s">
        <v>6568</v>
      </c>
    </row>
    <row r="15401">
      <c r="A15401" s="3" t="s">
        <v>31364</v>
      </c>
      <c r="B15401" s="3" t="s">
        <v>13000</v>
      </c>
      <c r="C15401" s="5" t="s">
        <v>221</v>
      </c>
      <c r="D15401" s="3" t="s">
        <v>614</v>
      </c>
      <c r="E15401" s="3" t="s">
        <v>118</v>
      </c>
      <c r="F15401" s="7">
        <v>46044.86788151047</v>
      </c>
      <c r="G15401" s="3" t="s">
        <v>6570</v>
      </c>
    </row>
    <row r="15402">
      <c r="A15402" s="3" t="s">
        <v>31365</v>
      </c>
      <c r="B15402" s="3" t="s">
        <v>13000</v>
      </c>
      <c r="C15402" s="5" t="s">
        <v>614</v>
      </c>
      <c r="D15402" s="3" t="s">
        <v>206</v>
      </c>
      <c r="E15402" s="3" t="s">
        <v>100</v>
      </c>
      <c r="F15402" s="7">
        <v>46044.8713537327</v>
      </c>
      <c r="G15402" s="3" t="s">
        <v>6573</v>
      </c>
    </row>
    <row r="15403">
      <c r="A15403" s="3" t="s">
        <v>31366</v>
      </c>
      <c r="B15403" s="3" t="s">
        <v>13000</v>
      </c>
      <c r="C15403" s="5" t="s">
        <v>206</v>
      </c>
      <c r="D15403" s="3" t="s">
        <v>68</v>
      </c>
      <c r="E15403" s="3" t="s">
        <v>100</v>
      </c>
      <c r="F15403" s="7">
        <v>46044.87482595492</v>
      </c>
      <c r="G15403" s="3" t="s">
        <v>6576</v>
      </c>
    </row>
    <row r="15404">
      <c r="A15404" s="3" t="s">
        <v>31367</v>
      </c>
      <c r="B15404" s="3" t="s">
        <v>13002</v>
      </c>
      <c r="C15404" s="5" t="s">
        <v>45</v>
      </c>
      <c r="D15404" s="3" t="s">
        <v>221</v>
      </c>
      <c r="E15404" s="3" t="s">
        <v>702</v>
      </c>
      <c r="F15404" s="7">
        <v>46044.93558413366</v>
      </c>
      <c r="G15404" s="3" t="s">
        <v>5617</v>
      </c>
    </row>
    <row r="15405">
      <c r="A15405" s="3" t="s">
        <v>31368</v>
      </c>
      <c r="B15405" s="3" t="s">
        <v>13002</v>
      </c>
      <c r="C15405" s="5" t="s">
        <v>221</v>
      </c>
      <c r="D15405" s="3" t="s">
        <v>614</v>
      </c>
      <c r="E15405" s="3" t="s">
        <v>118</v>
      </c>
      <c r="F15405" s="7">
        <v>46044.93905635588</v>
      </c>
      <c r="G15405" s="3" t="s">
        <v>12838</v>
      </c>
    </row>
    <row r="15406">
      <c r="A15406" s="3" t="s">
        <v>31369</v>
      </c>
      <c r="B15406" s="3" t="s">
        <v>13002</v>
      </c>
      <c r="C15406" s="5" t="s">
        <v>614</v>
      </c>
      <c r="D15406" s="3" t="s">
        <v>206</v>
      </c>
      <c r="E15406" s="3" t="s">
        <v>100</v>
      </c>
      <c r="F15406" s="7">
        <v>46044.9425285781</v>
      </c>
      <c r="G15406" s="3" t="s">
        <v>12841</v>
      </c>
    </row>
    <row r="15407">
      <c r="A15407" s="3" t="s">
        <v>31370</v>
      </c>
      <c r="B15407" s="3" t="s">
        <v>13002</v>
      </c>
      <c r="C15407" s="5" t="s">
        <v>206</v>
      </c>
      <c r="D15407" s="3" t="s">
        <v>68</v>
      </c>
      <c r="E15407" s="3" t="s">
        <v>100</v>
      </c>
      <c r="F15407" s="7">
        <v>46044.94600080032</v>
      </c>
      <c r="G15407" s="3" t="s">
        <v>12844</v>
      </c>
    </row>
    <row r="15408">
      <c r="A15408" s="3" t="s">
        <v>31371</v>
      </c>
      <c r="B15408" s="3" t="s">
        <v>13004</v>
      </c>
      <c r="C15408" s="5" t="s">
        <v>45</v>
      </c>
      <c r="D15408" s="3" t="s">
        <v>221</v>
      </c>
      <c r="E15408" s="3" t="s">
        <v>587</v>
      </c>
      <c r="F15408" s="7">
        <v>46045.00675897908</v>
      </c>
      <c r="G15408" s="3" t="s">
        <v>3139</v>
      </c>
    </row>
    <row r="15409">
      <c r="A15409" s="3" t="s">
        <v>31372</v>
      </c>
      <c r="B15409" s="3" t="s">
        <v>13004</v>
      </c>
      <c r="C15409" s="5" t="s">
        <v>221</v>
      </c>
      <c r="D15409" s="3" t="s">
        <v>614</v>
      </c>
      <c r="E15409" s="3" t="s">
        <v>118</v>
      </c>
      <c r="F15409" s="7">
        <v>46045.0102312013</v>
      </c>
      <c r="G15409" s="3" t="s">
        <v>3142</v>
      </c>
    </row>
    <row r="15410">
      <c r="A15410" s="3" t="s">
        <v>31373</v>
      </c>
      <c r="B15410" s="3" t="s">
        <v>13004</v>
      </c>
      <c r="C15410" s="5" t="s">
        <v>614</v>
      </c>
      <c r="D15410" s="3" t="s">
        <v>206</v>
      </c>
      <c r="E15410" s="3" t="s">
        <v>100</v>
      </c>
      <c r="F15410" s="7">
        <v>46045.01370342352</v>
      </c>
      <c r="G15410" s="3" t="s">
        <v>3144</v>
      </c>
    </row>
    <row r="15411">
      <c r="A15411" s="3" t="s">
        <v>31374</v>
      </c>
      <c r="B15411" s="3" t="s">
        <v>13004</v>
      </c>
      <c r="C15411" s="5" t="s">
        <v>206</v>
      </c>
      <c r="D15411" s="3" t="s">
        <v>68</v>
      </c>
      <c r="E15411" s="3" t="s">
        <v>100</v>
      </c>
      <c r="F15411" s="7">
        <v>46045.01717564574</v>
      </c>
      <c r="G15411" s="3" t="s">
        <v>3149</v>
      </c>
    </row>
    <row r="15412">
      <c r="A15412" s="3" t="s">
        <v>31375</v>
      </c>
      <c r="B15412" s="3" t="s">
        <v>13007</v>
      </c>
      <c r="C15412" s="5" t="s">
        <v>45</v>
      </c>
      <c r="D15412" s="3" t="s">
        <v>221</v>
      </c>
      <c r="E15412" s="3" t="s">
        <v>763</v>
      </c>
      <c r="F15412" s="7">
        <v>46045.0779338245</v>
      </c>
      <c r="G15412" s="3" t="s">
        <v>8097</v>
      </c>
    </row>
    <row r="15413">
      <c r="A15413" s="3" t="s">
        <v>31376</v>
      </c>
      <c r="B15413" s="3" t="s">
        <v>13007</v>
      </c>
      <c r="C15413" s="5" t="s">
        <v>221</v>
      </c>
      <c r="D15413" s="3" t="s">
        <v>614</v>
      </c>
      <c r="E15413" s="3" t="s">
        <v>118</v>
      </c>
      <c r="F15413" s="7">
        <v>46045.08140604672</v>
      </c>
      <c r="G15413" s="3" t="s">
        <v>8099</v>
      </c>
    </row>
    <row r="15414">
      <c r="A15414" s="3" t="s">
        <v>31377</v>
      </c>
      <c r="B15414" s="3" t="s">
        <v>13007</v>
      </c>
      <c r="C15414" s="5" t="s">
        <v>614</v>
      </c>
      <c r="D15414" s="3" t="s">
        <v>206</v>
      </c>
      <c r="E15414" s="3" t="s">
        <v>100</v>
      </c>
      <c r="F15414" s="7">
        <v>46045.08487826894</v>
      </c>
      <c r="G15414" s="3" t="s">
        <v>8102</v>
      </c>
    </row>
    <row r="15415">
      <c r="A15415" s="3" t="s">
        <v>31378</v>
      </c>
      <c r="B15415" s="3" t="s">
        <v>13007</v>
      </c>
      <c r="C15415" s="5" t="s">
        <v>206</v>
      </c>
      <c r="D15415" s="3" t="s">
        <v>68</v>
      </c>
      <c r="E15415" s="3" t="s">
        <v>100</v>
      </c>
      <c r="F15415" s="7">
        <v>46045.08835049116</v>
      </c>
      <c r="G15415" s="3" t="s">
        <v>8105</v>
      </c>
    </row>
    <row r="15416">
      <c r="A15416" s="3" t="s">
        <v>31379</v>
      </c>
      <c r="B15416" s="3" t="s">
        <v>13010</v>
      </c>
      <c r="C15416" s="5" t="s">
        <v>45</v>
      </c>
      <c r="D15416" s="3" t="s">
        <v>221</v>
      </c>
      <c r="E15416" s="3" t="s">
        <v>864</v>
      </c>
      <c r="F15416" s="7">
        <v>46045.14910866991</v>
      </c>
      <c r="G15416" s="3" t="s">
        <v>4800</v>
      </c>
    </row>
    <row r="15417">
      <c r="A15417" s="3" t="s">
        <v>31380</v>
      </c>
      <c r="B15417" s="3" t="s">
        <v>13010</v>
      </c>
      <c r="C15417" s="5" t="s">
        <v>221</v>
      </c>
      <c r="D15417" s="3" t="s">
        <v>614</v>
      </c>
      <c r="E15417" s="3" t="s">
        <v>118</v>
      </c>
      <c r="F15417" s="7">
        <v>46045.15258089213</v>
      </c>
      <c r="G15417" s="3" t="s">
        <v>4803</v>
      </c>
    </row>
    <row r="15418">
      <c r="A15418" s="3" t="s">
        <v>31381</v>
      </c>
      <c r="B15418" s="3" t="s">
        <v>13010</v>
      </c>
      <c r="C15418" s="5" t="s">
        <v>614</v>
      </c>
      <c r="D15418" s="3" t="s">
        <v>206</v>
      </c>
      <c r="E15418" s="3" t="s">
        <v>100</v>
      </c>
      <c r="F15418" s="7">
        <v>46045.156053114355</v>
      </c>
      <c r="G15418" s="3" t="s">
        <v>4806</v>
      </c>
    </row>
    <row r="15419">
      <c r="A15419" s="3" t="s">
        <v>31382</v>
      </c>
      <c r="B15419" s="3" t="s">
        <v>13010</v>
      </c>
      <c r="C15419" s="5" t="s">
        <v>206</v>
      </c>
      <c r="D15419" s="3" t="s">
        <v>68</v>
      </c>
      <c r="E15419" s="3" t="s">
        <v>100</v>
      </c>
      <c r="F15419" s="7">
        <v>46045.159525336574</v>
      </c>
      <c r="G15419" s="3" t="s">
        <v>4809</v>
      </c>
    </row>
    <row r="15420">
      <c r="A15420" s="3" t="s">
        <v>31383</v>
      </c>
      <c r="B15420" s="3" t="s">
        <v>13013</v>
      </c>
      <c r="C15420" s="5" t="s">
        <v>45</v>
      </c>
      <c r="D15420" s="3" t="s">
        <v>221</v>
      </c>
      <c r="E15420" s="3" t="s">
        <v>860</v>
      </c>
      <c r="F15420" s="7">
        <v>46045.22028351532</v>
      </c>
      <c r="G15420" s="3" t="s">
        <v>21425</v>
      </c>
    </row>
    <row r="15421">
      <c r="A15421" s="3" t="s">
        <v>31384</v>
      </c>
      <c r="B15421" s="3" t="s">
        <v>13013</v>
      </c>
      <c r="C15421" s="5" t="s">
        <v>221</v>
      </c>
      <c r="D15421" s="3" t="s">
        <v>614</v>
      </c>
      <c r="E15421" s="3" t="s">
        <v>118</v>
      </c>
      <c r="F15421" s="7">
        <v>46045.22375573754</v>
      </c>
      <c r="G15421" s="3" t="s">
        <v>21428</v>
      </c>
    </row>
    <row r="15422">
      <c r="A15422" s="3" t="s">
        <v>31385</v>
      </c>
      <c r="B15422" s="3" t="s">
        <v>13013</v>
      </c>
      <c r="C15422" s="5" t="s">
        <v>614</v>
      </c>
      <c r="D15422" s="3" t="s">
        <v>206</v>
      </c>
      <c r="E15422" s="3" t="s">
        <v>100</v>
      </c>
      <c r="F15422" s="7">
        <v>46045.22722795977</v>
      </c>
      <c r="G15422" s="3" t="s">
        <v>21431</v>
      </c>
    </row>
    <row r="15423">
      <c r="A15423" s="3" t="s">
        <v>31386</v>
      </c>
      <c r="B15423" s="3" t="s">
        <v>13013</v>
      </c>
      <c r="C15423" s="5" t="s">
        <v>206</v>
      </c>
      <c r="D15423" s="3" t="s">
        <v>68</v>
      </c>
      <c r="E15423" s="3" t="s">
        <v>100</v>
      </c>
      <c r="F15423" s="7">
        <v>46045.230700181986</v>
      </c>
      <c r="G15423" s="3" t="s">
        <v>21434</v>
      </c>
    </row>
    <row r="15424">
      <c r="A15424" s="3" t="s">
        <v>31387</v>
      </c>
      <c r="B15424" s="3" t="s">
        <v>13015</v>
      </c>
      <c r="C15424" s="5" t="s">
        <v>45</v>
      </c>
      <c r="D15424" s="3" t="s">
        <v>221</v>
      </c>
      <c r="E15424" s="3" t="s">
        <v>175</v>
      </c>
      <c r="F15424" s="7">
        <v>46045.29145836074</v>
      </c>
      <c r="G15424" s="3" t="s">
        <v>4812</v>
      </c>
    </row>
    <row r="15425">
      <c r="A15425" s="3" t="s">
        <v>31388</v>
      </c>
      <c r="B15425" s="3" t="s">
        <v>13015</v>
      </c>
      <c r="C15425" s="5" t="s">
        <v>221</v>
      </c>
      <c r="D15425" s="3" t="s">
        <v>614</v>
      </c>
      <c r="E15425" s="3" t="s">
        <v>118</v>
      </c>
      <c r="F15425" s="7">
        <v>46045.29493058296</v>
      </c>
      <c r="G15425" s="3" t="s">
        <v>4814</v>
      </c>
    </row>
    <row r="15426">
      <c r="A15426" s="3" t="s">
        <v>31389</v>
      </c>
      <c r="B15426" s="3" t="s">
        <v>13015</v>
      </c>
      <c r="C15426" s="5" t="s">
        <v>614</v>
      </c>
      <c r="D15426" s="3" t="s">
        <v>206</v>
      </c>
      <c r="E15426" s="3" t="s">
        <v>100</v>
      </c>
      <c r="F15426" s="7">
        <v>46045.29840280519</v>
      </c>
      <c r="G15426" s="3" t="s">
        <v>4817</v>
      </c>
    </row>
    <row r="15427">
      <c r="A15427" s="3" t="s">
        <v>31390</v>
      </c>
      <c r="B15427" s="3" t="s">
        <v>13015</v>
      </c>
      <c r="C15427" s="5" t="s">
        <v>206</v>
      </c>
      <c r="D15427" s="3" t="s">
        <v>68</v>
      </c>
      <c r="E15427" s="3" t="s">
        <v>100</v>
      </c>
      <c r="F15427" s="7">
        <v>46045.301875027406</v>
      </c>
      <c r="G15427" s="3" t="s">
        <v>4820</v>
      </c>
    </row>
    <row r="15428">
      <c r="A15428" s="3" t="s">
        <v>31391</v>
      </c>
      <c r="B15428" s="3" t="s">
        <v>13018</v>
      </c>
      <c r="C15428" s="5" t="s">
        <v>45</v>
      </c>
      <c r="D15428" s="3" t="s">
        <v>221</v>
      </c>
      <c r="E15428" s="3" t="s">
        <v>383</v>
      </c>
      <c r="F15428" s="7">
        <v>46045.362633206154</v>
      </c>
      <c r="G15428" s="3" t="s">
        <v>4835</v>
      </c>
    </row>
    <row r="15429">
      <c r="A15429" s="3" t="s">
        <v>31392</v>
      </c>
      <c r="B15429" s="3" t="s">
        <v>13018</v>
      </c>
      <c r="C15429" s="5" t="s">
        <v>221</v>
      </c>
      <c r="D15429" s="3" t="s">
        <v>614</v>
      </c>
      <c r="E15429" s="3" t="s">
        <v>118</v>
      </c>
      <c r="F15429" s="7">
        <v>46045.36610542837</v>
      </c>
      <c r="G15429" s="3" t="s">
        <v>4838</v>
      </c>
    </row>
    <row r="15430">
      <c r="A15430" s="3" t="s">
        <v>31393</v>
      </c>
      <c r="B15430" s="3" t="s">
        <v>13018</v>
      </c>
      <c r="C15430" s="5" t="s">
        <v>614</v>
      </c>
      <c r="D15430" s="3" t="s">
        <v>206</v>
      </c>
      <c r="E15430" s="3" t="s">
        <v>100</v>
      </c>
      <c r="F15430" s="7">
        <v>46045.3695776506</v>
      </c>
      <c r="G15430" s="3" t="s">
        <v>4841</v>
      </c>
    </row>
    <row r="15431">
      <c r="A15431" s="3" t="s">
        <v>31394</v>
      </c>
      <c r="B15431" s="3" t="s">
        <v>13018</v>
      </c>
      <c r="C15431" s="5" t="s">
        <v>206</v>
      </c>
      <c r="D15431" s="3" t="s">
        <v>68</v>
      </c>
      <c r="E15431" s="3" t="s">
        <v>100</v>
      </c>
      <c r="F15431" s="7">
        <v>46045.37304987282</v>
      </c>
      <c r="G15431" s="3" t="s">
        <v>4843</v>
      </c>
    </row>
    <row r="15432">
      <c r="A15432" s="3" t="s">
        <v>31395</v>
      </c>
      <c r="B15432" s="3" t="s">
        <v>13021</v>
      </c>
      <c r="C15432" s="5" t="s">
        <v>45</v>
      </c>
      <c r="D15432" s="3" t="s">
        <v>221</v>
      </c>
      <c r="E15432" s="3" t="s">
        <v>406</v>
      </c>
      <c r="F15432" s="7">
        <v>46045.433808051566</v>
      </c>
      <c r="G15432" s="3" t="s">
        <v>10844</v>
      </c>
    </row>
    <row r="15433">
      <c r="A15433" s="3" t="s">
        <v>31396</v>
      </c>
      <c r="B15433" s="3" t="s">
        <v>13021</v>
      </c>
      <c r="C15433" s="5" t="s">
        <v>221</v>
      </c>
      <c r="D15433" s="3" t="s">
        <v>614</v>
      </c>
      <c r="E15433" s="3" t="s">
        <v>118</v>
      </c>
      <c r="F15433" s="7">
        <v>46045.437280273785</v>
      </c>
      <c r="G15433" s="3" t="s">
        <v>10847</v>
      </c>
    </row>
    <row r="15434">
      <c r="A15434" s="3" t="s">
        <v>31397</v>
      </c>
      <c r="B15434" s="3" t="s">
        <v>13021</v>
      </c>
      <c r="C15434" s="5" t="s">
        <v>614</v>
      </c>
      <c r="D15434" s="3" t="s">
        <v>206</v>
      </c>
      <c r="E15434" s="3" t="s">
        <v>100</v>
      </c>
      <c r="F15434" s="7">
        <v>46045.44075249601</v>
      </c>
      <c r="G15434" s="3" t="s">
        <v>10850</v>
      </c>
    </row>
    <row r="15435">
      <c r="A15435" s="3" t="s">
        <v>31398</v>
      </c>
      <c r="B15435" s="3" t="s">
        <v>13021</v>
      </c>
      <c r="C15435" s="5" t="s">
        <v>206</v>
      </c>
      <c r="D15435" s="3" t="s">
        <v>68</v>
      </c>
      <c r="E15435" s="3" t="s">
        <v>100</v>
      </c>
      <c r="F15435" s="7">
        <v>46045.44422471823</v>
      </c>
      <c r="G15435" s="3" t="s">
        <v>10853</v>
      </c>
    </row>
    <row r="15436">
      <c r="A15436" s="3" t="s">
        <v>31399</v>
      </c>
      <c r="B15436" s="3" t="s">
        <v>13023</v>
      </c>
      <c r="C15436" s="5" t="s">
        <v>45</v>
      </c>
      <c r="D15436" s="3" t="s">
        <v>221</v>
      </c>
      <c r="E15436" s="3" t="s">
        <v>637</v>
      </c>
      <c r="F15436" s="7">
        <v>46045.504982896986</v>
      </c>
      <c r="G15436" s="3" t="s">
        <v>4846</v>
      </c>
    </row>
    <row r="15437">
      <c r="A15437" s="3" t="s">
        <v>31400</v>
      </c>
      <c r="B15437" s="3" t="s">
        <v>13023</v>
      </c>
      <c r="C15437" s="5" t="s">
        <v>221</v>
      </c>
      <c r="D15437" s="3" t="s">
        <v>614</v>
      </c>
      <c r="E15437" s="3" t="s">
        <v>118</v>
      </c>
      <c r="F15437" s="7">
        <v>46045.508455119205</v>
      </c>
      <c r="G15437" s="3" t="s">
        <v>4849</v>
      </c>
    </row>
    <row r="15438">
      <c r="A15438" s="3" t="s">
        <v>31401</v>
      </c>
      <c r="B15438" s="3" t="s">
        <v>13023</v>
      </c>
      <c r="C15438" s="5" t="s">
        <v>614</v>
      </c>
      <c r="D15438" s="3" t="s">
        <v>206</v>
      </c>
      <c r="E15438" s="3" t="s">
        <v>100</v>
      </c>
      <c r="F15438" s="7">
        <v>46045.51192734143</v>
      </c>
      <c r="G15438" s="3" t="s">
        <v>4852</v>
      </c>
    </row>
    <row r="15439">
      <c r="A15439" s="3" t="s">
        <v>31402</v>
      </c>
      <c r="B15439" s="3" t="s">
        <v>13023</v>
      </c>
      <c r="C15439" s="5" t="s">
        <v>206</v>
      </c>
      <c r="D15439" s="3" t="s">
        <v>68</v>
      </c>
      <c r="E15439" s="3" t="s">
        <v>100</v>
      </c>
      <c r="F15439" s="7">
        <v>46045.51539956365</v>
      </c>
      <c r="G15439" s="3" t="s">
        <v>4855</v>
      </c>
    </row>
    <row r="15440">
      <c r="A15440" s="3" t="s">
        <v>31403</v>
      </c>
      <c r="B15440" s="3" t="s">
        <v>13026</v>
      </c>
      <c r="C15440" s="5" t="s">
        <v>45</v>
      </c>
      <c r="D15440" s="3" t="s">
        <v>221</v>
      </c>
      <c r="E15440" s="3" t="s">
        <v>498</v>
      </c>
      <c r="F15440" s="7">
        <v>46045.576157742405</v>
      </c>
      <c r="G15440" s="3" t="s">
        <v>5927</v>
      </c>
    </row>
    <row r="15441">
      <c r="A15441" s="3" t="s">
        <v>31404</v>
      </c>
      <c r="B15441" s="3" t="s">
        <v>13026</v>
      </c>
      <c r="C15441" s="5" t="s">
        <v>221</v>
      </c>
      <c r="D15441" s="3" t="s">
        <v>614</v>
      </c>
      <c r="E15441" s="3" t="s">
        <v>118</v>
      </c>
      <c r="F15441" s="7">
        <v>46045.579629964624</v>
      </c>
      <c r="G15441" s="3" t="s">
        <v>5930</v>
      </c>
    </row>
    <row r="15442">
      <c r="A15442" s="3" t="s">
        <v>31405</v>
      </c>
      <c r="B15442" s="3" t="s">
        <v>13026</v>
      </c>
      <c r="C15442" s="5" t="s">
        <v>614</v>
      </c>
      <c r="D15442" s="3" t="s">
        <v>206</v>
      </c>
      <c r="E15442" s="3" t="s">
        <v>100</v>
      </c>
      <c r="F15442" s="7">
        <v>46045.58310218685</v>
      </c>
      <c r="G15442" s="3" t="s">
        <v>5932</v>
      </c>
    </row>
    <row r="15443">
      <c r="A15443" s="3" t="s">
        <v>31406</v>
      </c>
      <c r="B15443" s="3" t="s">
        <v>13026</v>
      </c>
      <c r="C15443" s="5" t="s">
        <v>206</v>
      </c>
      <c r="D15443" s="3" t="s">
        <v>68</v>
      </c>
      <c r="E15443" s="3" t="s">
        <v>100</v>
      </c>
      <c r="F15443" s="7">
        <v>46045.58657440907</v>
      </c>
      <c r="G15443" s="3" t="s">
        <v>5935</v>
      </c>
    </row>
    <row r="15444">
      <c r="A15444" s="3" t="s">
        <v>31407</v>
      </c>
      <c r="B15444" s="3" t="s">
        <v>13028</v>
      </c>
      <c r="C15444" s="5" t="s">
        <v>45</v>
      </c>
      <c r="D15444" s="3" t="s">
        <v>221</v>
      </c>
      <c r="E15444" s="3" t="s">
        <v>605</v>
      </c>
      <c r="F15444" s="7">
        <v>46045.64733258781</v>
      </c>
      <c r="G15444" s="3" t="s">
        <v>3731</v>
      </c>
    </row>
    <row r="15445">
      <c r="A15445" s="3" t="s">
        <v>31408</v>
      </c>
      <c r="B15445" s="3" t="s">
        <v>13028</v>
      </c>
      <c r="C15445" s="5" t="s">
        <v>221</v>
      </c>
      <c r="D15445" s="3" t="s">
        <v>614</v>
      </c>
      <c r="E15445" s="3" t="s">
        <v>118</v>
      </c>
      <c r="F15445" s="7">
        <v>46045.65080481003</v>
      </c>
      <c r="G15445" s="3" t="s">
        <v>24218</v>
      </c>
    </row>
    <row r="15446">
      <c r="A15446" s="3" t="s">
        <v>31409</v>
      </c>
      <c r="B15446" s="3" t="s">
        <v>13028</v>
      </c>
      <c r="C15446" s="5" t="s">
        <v>614</v>
      </c>
      <c r="D15446" s="3" t="s">
        <v>206</v>
      </c>
      <c r="E15446" s="3" t="s">
        <v>100</v>
      </c>
      <c r="F15446" s="7">
        <v>46045.654277032256</v>
      </c>
      <c r="G15446" s="3" t="s">
        <v>24220</v>
      </c>
    </row>
    <row r="15447">
      <c r="A15447" s="3" t="s">
        <v>31410</v>
      </c>
      <c r="B15447" s="3" t="s">
        <v>13028</v>
      </c>
      <c r="C15447" s="5" t="s">
        <v>206</v>
      </c>
      <c r="D15447" s="3" t="s">
        <v>68</v>
      </c>
      <c r="E15447" s="3" t="s">
        <v>100</v>
      </c>
      <c r="F15447" s="7">
        <v>46045.657749254475</v>
      </c>
      <c r="G15447" s="3" t="s">
        <v>24222</v>
      </c>
    </row>
    <row r="15448">
      <c r="A15448" s="3" t="s">
        <v>31411</v>
      </c>
      <c r="B15448" s="3" t="s">
        <v>13029</v>
      </c>
      <c r="C15448" s="5" t="s">
        <v>45</v>
      </c>
      <c r="D15448" s="3" t="s">
        <v>221</v>
      </c>
      <c r="E15448" s="3" t="s">
        <v>488</v>
      </c>
      <c r="F15448" s="7">
        <v>46045.71850743323</v>
      </c>
      <c r="G15448" s="3" t="s">
        <v>21166</v>
      </c>
    </row>
    <row r="15449">
      <c r="A15449" s="3" t="s">
        <v>31412</v>
      </c>
      <c r="B15449" s="3" t="s">
        <v>13029</v>
      </c>
      <c r="C15449" s="5" t="s">
        <v>221</v>
      </c>
      <c r="D15449" s="3" t="s">
        <v>195</v>
      </c>
      <c r="E15449" s="3" t="s">
        <v>488</v>
      </c>
      <c r="F15449" s="7">
        <v>46045.72197965545</v>
      </c>
      <c r="G15449" s="3" t="s">
        <v>31413</v>
      </c>
    </row>
    <row r="15450">
      <c r="A15450" s="3" t="s">
        <v>31414</v>
      </c>
      <c r="B15450" s="3" t="s">
        <v>13031</v>
      </c>
      <c r="C15450" s="5" t="s">
        <v>45</v>
      </c>
      <c r="D15450" s="3" t="s">
        <v>221</v>
      </c>
      <c r="E15450" s="3" t="s">
        <v>276</v>
      </c>
      <c r="F15450" s="7">
        <v>46045.78968227865</v>
      </c>
      <c r="G15450" s="3" t="s">
        <v>19424</v>
      </c>
    </row>
    <row r="15451">
      <c r="A15451" s="3" t="s">
        <v>31415</v>
      </c>
      <c r="B15451" s="3" t="s">
        <v>13031</v>
      </c>
      <c r="C15451" s="5" t="s">
        <v>221</v>
      </c>
      <c r="D15451" s="3" t="s">
        <v>181</v>
      </c>
      <c r="E15451" s="3" t="s">
        <v>118</v>
      </c>
      <c r="F15451" s="7">
        <v>46045.79315450087</v>
      </c>
      <c r="G15451" s="3" t="s">
        <v>31416</v>
      </c>
    </row>
    <row r="15452">
      <c r="A15452" s="3" t="s">
        <v>31417</v>
      </c>
      <c r="B15452" s="3" t="s">
        <v>13034</v>
      </c>
      <c r="C15452" s="5" t="s">
        <v>45</v>
      </c>
      <c r="D15452" s="3" t="s">
        <v>221</v>
      </c>
      <c r="E15452" s="3" t="s">
        <v>515</v>
      </c>
      <c r="F15452" s="7">
        <v>46045.86085712406</v>
      </c>
      <c r="G15452" s="3" t="s">
        <v>17413</v>
      </c>
    </row>
    <row r="15453">
      <c r="A15453" s="3" t="s">
        <v>31418</v>
      </c>
      <c r="B15453" s="3" t="s">
        <v>13034</v>
      </c>
      <c r="C15453" s="5" t="s">
        <v>221</v>
      </c>
      <c r="D15453" s="3" t="s">
        <v>614</v>
      </c>
      <c r="E15453" s="3" t="s">
        <v>118</v>
      </c>
      <c r="F15453" s="7">
        <v>46045.86432934628</v>
      </c>
      <c r="G15453" s="3" t="s">
        <v>17415</v>
      </c>
    </row>
    <row r="15454">
      <c r="A15454" s="3" t="s">
        <v>31419</v>
      </c>
      <c r="B15454" s="3" t="s">
        <v>13034</v>
      </c>
      <c r="C15454" s="5" t="s">
        <v>614</v>
      </c>
      <c r="D15454" s="3" t="s">
        <v>206</v>
      </c>
      <c r="E15454" s="3" t="s">
        <v>100</v>
      </c>
      <c r="F15454" s="7">
        <v>46045.86780156851</v>
      </c>
      <c r="G15454" s="3" t="s">
        <v>17418</v>
      </c>
    </row>
    <row r="15455">
      <c r="A15455" s="3" t="s">
        <v>31420</v>
      </c>
      <c r="B15455" s="3" t="s">
        <v>13034</v>
      </c>
      <c r="C15455" s="5" t="s">
        <v>206</v>
      </c>
      <c r="D15455" s="3" t="s">
        <v>68</v>
      </c>
      <c r="E15455" s="3" t="s">
        <v>100</v>
      </c>
      <c r="F15455" s="7">
        <v>46045.871273790726</v>
      </c>
      <c r="G15455" s="3" t="s">
        <v>17421</v>
      </c>
    </row>
    <row r="15456">
      <c r="A15456" s="3" t="s">
        <v>31421</v>
      </c>
      <c r="B15456" s="3" t="s">
        <v>13037</v>
      </c>
      <c r="C15456" s="5" t="s">
        <v>45</v>
      </c>
      <c r="D15456" s="3" t="s">
        <v>221</v>
      </c>
      <c r="E15456" s="3" t="s">
        <v>424</v>
      </c>
      <c r="F15456" s="7">
        <v>46045.932031969474</v>
      </c>
      <c r="G15456" s="3" t="s">
        <v>7435</v>
      </c>
    </row>
    <row r="15457">
      <c r="A15457" s="3" t="s">
        <v>31422</v>
      </c>
      <c r="B15457" s="3" t="s">
        <v>13037</v>
      </c>
      <c r="C15457" s="5" t="s">
        <v>221</v>
      </c>
      <c r="D15457" s="3" t="s">
        <v>614</v>
      </c>
      <c r="E15457" s="3" t="s">
        <v>118</v>
      </c>
      <c r="F15457" s="7">
        <v>46045.93550419169</v>
      </c>
      <c r="G15457" s="3" t="s">
        <v>7438</v>
      </c>
    </row>
    <row r="15458">
      <c r="A15458" s="3" t="s">
        <v>31423</v>
      </c>
      <c r="B15458" s="3" t="s">
        <v>13037</v>
      </c>
      <c r="C15458" s="5" t="s">
        <v>614</v>
      </c>
      <c r="D15458" s="3" t="s">
        <v>206</v>
      </c>
      <c r="E15458" s="3" t="s">
        <v>100</v>
      </c>
      <c r="F15458" s="7">
        <v>46045.93897641392</v>
      </c>
      <c r="G15458" s="3" t="s">
        <v>7441</v>
      </c>
    </row>
    <row r="15459">
      <c r="A15459" s="3" t="s">
        <v>31424</v>
      </c>
      <c r="B15459" s="3" t="s">
        <v>13037</v>
      </c>
      <c r="C15459" s="5" t="s">
        <v>206</v>
      </c>
      <c r="D15459" s="3" t="s">
        <v>68</v>
      </c>
      <c r="E15459" s="3" t="s">
        <v>100</v>
      </c>
      <c r="F15459" s="7">
        <v>46045.94244863614</v>
      </c>
      <c r="G15459" s="3" t="s">
        <v>7444</v>
      </c>
    </row>
    <row r="15460">
      <c r="A15460" s="3" t="s">
        <v>31425</v>
      </c>
      <c r="B15460" s="3" t="s">
        <v>13038</v>
      </c>
      <c r="C15460" s="5" t="s">
        <v>45</v>
      </c>
      <c r="D15460" s="3" t="s">
        <v>221</v>
      </c>
      <c r="E15460" s="3" t="s">
        <v>243</v>
      </c>
      <c r="F15460" s="7">
        <v>46046.003206814894</v>
      </c>
      <c r="G15460" s="3" t="s">
        <v>26464</v>
      </c>
    </row>
    <row r="15461">
      <c r="A15461" s="3" t="s">
        <v>31426</v>
      </c>
      <c r="B15461" s="3" t="s">
        <v>13038</v>
      </c>
      <c r="C15461" s="5" t="s">
        <v>221</v>
      </c>
      <c r="D15461" s="3" t="s">
        <v>614</v>
      </c>
      <c r="E15461" s="3" t="s">
        <v>118</v>
      </c>
      <c r="F15461" s="7">
        <v>46046.00667903711</v>
      </c>
      <c r="G15461" s="3" t="s">
        <v>26466</v>
      </c>
    </row>
    <row r="15462">
      <c r="A15462" s="3" t="s">
        <v>31427</v>
      </c>
      <c r="B15462" s="3" t="s">
        <v>13038</v>
      </c>
      <c r="C15462" s="5" t="s">
        <v>614</v>
      </c>
      <c r="D15462" s="3" t="s">
        <v>206</v>
      </c>
      <c r="E15462" s="3" t="s">
        <v>100</v>
      </c>
      <c r="F15462" s="7">
        <v>46046.01015125934</v>
      </c>
      <c r="G15462" s="3" t="s">
        <v>26468</v>
      </c>
    </row>
    <row r="15463">
      <c r="A15463" s="3" t="s">
        <v>31428</v>
      </c>
      <c r="B15463" s="3" t="s">
        <v>13038</v>
      </c>
      <c r="C15463" s="5" t="s">
        <v>206</v>
      </c>
      <c r="D15463" s="3" t="s">
        <v>68</v>
      </c>
      <c r="E15463" s="3" t="s">
        <v>100</v>
      </c>
      <c r="F15463" s="7">
        <v>46046.01362348156</v>
      </c>
      <c r="G15463" s="3" t="s">
        <v>26470</v>
      </c>
    </row>
    <row r="15464">
      <c r="A15464" s="3" t="s">
        <v>31429</v>
      </c>
      <c r="B15464" s="3" t="s">
        <v>13041</v>
      </c>
      <c r="C15464" s="5" t="s">
        <v>45</v>
      </c>
      <c r="D15464" s="3" t="s">
        <v>221</v>
      </c>
      <c r="E15464" s="3" t="s">
        <v>391</v>
      </c>
      <c r="F15464" s="7">
        <v>46046.074381660306</v>
      </c>
      <c r="G15464" s="3" t="s">
        <v>17598</v>
      </c>
    </row>
    <row r="15465">
      <c r="A15465" s="3" t="s">
        <v>31430</v>
      </c>
      <c r="B15465" s="3" t="s">
        <v>13041</v>
      </c>
      <c r="C15465" s="5" t="s">
        <v>221</v>
      </c>
      <c r="D15465" s="3" t="s">
        <v>614</v>
      </c>
      <c r="E15465" s="3" t="s">
        <v>118</v>
      </c>
      <c r="F15465" s="7">
        <v>46046.077853882525</v>
      </c>
      <c r="G15465" s="3" t="s">
        <v>17601</v>
      </c>
    </row>
    <row r="15466">
      <c r="A15466" s="3" t="s">
        <v>31431</v>
      </c>
      <c r="B15466" s="3" t="s">
        <v>13041</v>
      </c>
      <c r="C15466" s="5" t="s">
        <v>614</v>
      </c>
      <c r="D15466" s="3" t="s">
        <v>206</v>
      </c>
      <c r="E15466" s="3" t="s">
        <v>100</v>
      </c>
      <c r="F15466" s="7">
        <v>46046.08132610475</v>
      </c>
      <c r="G15466" s="3" t="s">
        <v>17604</v>
      </c>
    </row>
    <row r="15467">
      <c r="A15467" s="3" t="s">
        <v>31432</v>
      </c>
      <c r="B15467" s="3" t="s">
        <v>13041</v>
      </c>
      <c r="C15467" s="5" t="s">
        <v>206</v>
      </c>
      <c r="D15467" s="3" t="s">
        <v>68</v>
      </c>
      <c r="E15467" s="3" t="s">
        <v>100</v>
      </c>
      <c r="F15467" s="7">
        <v>46046.08479832697</v>
      </c>
      <c r="G15467" s="3" t="s">
        <v>17607</v>
      </c>
    </row>
    <row r="15468">
      <c r="A15468" s="3" t="s">
        <v>31433</v>
      </c>
      <c r="B15468" s="3" t="s">
        <v>13044</v>
      </c>
      <c r="C15468" s="5" t="s">
        <v>45</v>
      </c>
      <c r="D15468" s="3" t="s">
        <v>221</v>
      </c>
      <c r="E15468" s="3" t="s">
        <v>424</v>
      </c>
      <c r="F15468" s="7">
        <v>46046.14555650572</v>
      </c>
      <c r="G15468" s="3" t="s">
        <v>4883</v>
      </c>
    </row>
    <row r="15469">
      <c r="A15469" s="3" t="s">
        <v>31434</v>
      </c>
      <c r="B15469" s="3" t="s">
        <v>13044</v>
      </c>
      <c r="C15469" s="5" t="s">
        <v>221</v>
      </c>
      <c r="D15469" s="3" t="s">
        <v>614</v>
      </c>
      <c r="E15469" s="3" t="s">
        <v>118</v>
      </c>
      <c r="F15469" s="7">
        <v>46046.14902872794</v>
      </c>
      <c r="G15469" s="3" t="s">
        <v>4886</v>
      </c>
    </row>
    <row r="15470">
      <c r="A15470" s="3" t="s">
        <v>31435</v>
      </c>
      <c r="B15470" s="3" t="s">
        <v>13044</v>
      </c>
      <c r="C15470" s="5" t="s">
        <v>614</v>
      </c>
      <c r="D15470" s="3" t="s">
        <v>206</v>
      </c>
      <c r="E15470" s="3" t="s">
        <v>100</v>
      </c>
      <c r="F15470" s="7">
        <v>46046.152500950164</v>
      </c>
      <c r="G15470" s="3" t="s">
        <v>4889</v>
      </c>
    </row>
    <row r="15471">
      <c r="A15471" s="3" t="s">
        <v>31436</v>
      </c>
      <c r="B15471" s="3" t="s">
        <v>13044</v>
      </c>
      <c r="C15471" s="5" t="s">
        <v>206</v>
      </c>
      <c r="D15471" s="3" t="s">
        <v>68</v>
      </c>
      <c r="E15471" s="3" t="s">
        <v>100</v>
      </c>
      <c r="F15471" s="7">
        <v>46046.15597317238</v>
      </c>
      <c r="G15471" s="3" t="s">
        <v>4892</v>
      </c>
    </row>
    <row r="15472">
      <c r="A15472" s="3" t="s">
        <v>31437</v>
      </c>
      <c r="B15472" s="3" t="s">
        <v>13046</v>
      </c>
      <c r="C15472" s="5" t="s">
        <v>45</v>
      </c>
      <c r="D15472" s="3" t="s">
        <v>221</v>
      </c>
      <c r="E15472" s="3" t="s">
        <v>593</v>
      </c>
      <c r="F15472" s="7">
        <v>46046.21673135114</v>
      </c>
      <c r="G15472" s="3" t="s">
        <v>4906</v>
      </c>
    </row>
    <row r="15473">
      <c r="A15473" s="3" t="s">
        <v>31438</v>
      </c>
      <c r="B15473" s="3" t="s">
        <v>13046</v>
      </c>
      <c r="C15473" s="5" t="s">
        <v>221</v>
      </c>
      <c r="D15473" s="3" t="s">
        <v>614</v>
      </c>
      <c r="E15473" s="3" t="s">
        <v>118</v>
      </c>
      <c r="F15473" s="7">
        <v>46046.22020357336</v>
      </c>
      <c r="G15473" s="3" t="s">
        <v>4910</v>
      </c>
    </row>
    <row r="15474">
      <c r="A15474" s="3" t="s">
        <v>31439</v>
      </c>
      <c r="B15474" s="3" t="s">
        <v>13046</v>
      </c>
      <c r="C15474" s="5" t="s">
        <v>614</v>
      </c>
      <c r="D15474" s="3" t="s">
        <v>206</v>
      </c>
      <c r="E15474" s="3" t="s">
        <v>100</v>
      </c>
      <c r="F15474" s="7">
        <v>46046.22367579558</v>
      </c>
      <c r="G15474" s="3" t="s">
        <v>4912</v>
      </c>
    </row>
    <row r="15475">
      <c r="A15475" s="3" t="s">
        <v>31440</v>
      </c>
      <c r="B15475" s="3" t="s">
        <v>13046</v>
      </c>
      <c r="C15475" s="5" t="s">
        <v>206</v>
      </c>
      <c r="D15475" s="3" t="s">
        <v>68</v>
      </c>
      <c r="E15475" s="3" t="s">
        <v>100</v>
      </c>
      <c r="F15475" s="7">
        <v>46046.2271480178</v>
      </c>
      <c r="G15475" s="3" t="s">
        <v>4915</v>
      </c>
    </row>
    <row r="15476">
      <c r="A15476" s="3" t="s">
        <v>31441</v>
      </c>
      <c r="B15476" s="3" t="s">
        <v>13048</v>
      </c>
      <c r="C15476" s="5" t="s">
        <v>45</v>
      </c>
      <c r="D15476" s="3" t="s">
        <v>221</v>
      </c>
      <c r="E15476" s="3" t="s">
        <v>877</v>
      </c>
      <c r="F15476" s="7">
        <v>46046.28790619655</v>
      </c>
      <c r="G15476" s="3" t="s">
        <v>21862</v>
      </c>
    </row>
    <row r="15477">
      <c r="A15477" s="3" t="s">
        <v>31442</v>
      </c>
      <c r="B15477" s="3" t="s">
        <v>13048</v>
      </c>
      <c r="C15477" s="5" t="s">
        <v>221</v>
      </c>
      <c r="D15477" s="3" t="s">
        <v>614</v>
      </c>
      <c r="E15477" s="3" t="s">
        <v>118</v>
      </c>
      <c r="F15477" s="7">
        <v>46046.29137841877</v>
      </c>
      <c r="G15477" s="3" t="s">
        <v>21865</v>
      </c>
    </row>
    <row r="15478">
      <c r="A15478" s="3" t="s">
        <v>31443</v>
      </c>
      <c r="B15478" s="3" t="s">
        <v>13048</v>
      </c>
      <c r="C15478" s="5" t="s">
        <v>614</v>
      </c>
      <c r="D15478" s="3" t="s">
        <v>206</v>
      </c>
      <c r="E15478" s="3" t="s">
        <v>100</v>
      </c>
      <c r="F15478" s="7">
        <v>46046.294850640996</v>
      </c>
      <c r="G15478" s="3" t="s">
        <v>21868</v>
      </c>
    </row>
    <row r="15479">
      <c r="A15479" s="3" t="s">
        <v>31444</v>
      </c>
      <c r="B15479" s="3" t="s">
        <v>13048</v>
      </c>
      <c r="C15479" s="5" t="s">
        <v>206</v>
      </c>
      <c r="D15479" s="3" t="s">
        <v>68</v>
      </c>
      <c r="E15479" s="3" t="s">
        <v>100</v>
      </c>
      <c r="F15479" s="7">
        <v>46046.298322863215</v>
      </c>
      <c r="G15479" s="3" t="s">
        <v>21871</v>
      </c>
    </row>
    <row r="15480">
      <c r="A15480" s="3" t="s">
        <v>31445</v>
      </c>
      <c r="B15480" s="3" t="s">
        <v>13051</v>
      </c>
      <c r="C15480" s="5" t="s">
        <v>45</v>
      </c>
      <c r="D15480" s="3" t="s">
        <v>221</v>
      </c>
      <c r="E15480" s="3" t="s">
        <v>123</v>
      </c>
      <c r="F15480" s="7">
        <v>46046.35908104196</v>
      </c>
      <c r="G15480" s="3" t="s">
        <v>8229</v>
      </c>
    </row>
    <row r="15481">
      <c r="A15481" s="3" t="s">
        <v>31446</v>
      </c>
      <c r="B15481" s="3" t="s">
        <v>13051</v>
      </c>
      <c r="C15481" s="5" t="s">
        <v>221</v>
      </c>
      <c r="D15481" s="3" t="s">
        <v>614</v>
      </c>
      <c r="E15481" s="3" t="s">
        <v>118</v>
      </c>
      <c r="F15481" s="7">
        <v>46046.36255326418</v>
      </c>
      <c r="G15481" s="3" t="s">
        <v>8231</v>
      </c>
    </row>
    <row r="15482">
      <c r="A15482" s="3" t="s">
        <v>31447</v>
      </c>
      <c r="B15482" s="3" t="s">
        <v>13051</v>
      </c>
      <c r="C15482" s="5" t="s">
        <v>614</v>
      </c>
      <c r="D15482" s="3" t="s">
        <v>206</v>
      </c>
      <c r="E15482" s="3" t="s">
        <v>100</v>
      </c>
      <c r="F15482" s="7">
        <v>46046.36602548641</v>
      </c>
      <c r="G15482" s="3" t="s">
        <v>8234</v>
      </c>
    </row>
    <row r="15483">
      <c r="A15483" s="3" t="s">
        <v>31448</v>
      </c>
      <c r="B15483" s="3" t="s">
        <v>13051</v>
      </c>
      <c r="C15483" s="5" t="s">
        <v>206</v>
      </c>
      <c r="D15483" s="3" t="s">
        <v>68</v>
      </c>
      <c r="E15483" s="3" t="s">
        <v>100</v>
      </c>
      <c r="F15483" s="7">
        <v>46046.36949770863</v>
      </c>
      <c r="G15483" s="3" t="s">
        <v>8237</v>
      </c>
    </row>
    <row r="15484">
      <c r="A15484" s="3" t="s">
        <v>31449</v>
      </c>
      <c r="B15484" s="3" t="s">
        <v>13052</v>
      </c>
      <c r="C15484" s="5" t="s">
        <v>45</v>
      </c>
      <c r="D15484" s="3" t="s">
        <v>221</v>
      </c>
      <c r="E15484" s="3" t="s">
        <v>453</v>
      </c>
      <c r="F15484" s="7">
        <v>46046.43025588738</v>
      </c>
      <c r="G15484" s="3" t="s">
        <v>21271</v>
      </c>
    </row>
    <row r="15485">
      <c r="A15485" s="3" t="s">
        <v>31450</v>
      </c>
      <c r="B15485" s="3" t="s">
        <v>13052</v>
      </c>
      <c r="C15485" s="5" t="s">
        <v>221</v>
      </c>
      <c r="D15485" s="3" t="s">
        <v>614</v>
      </c>
      <c r="E15485" s="3" t="s">
        <v>118</v>
      </c>
      <c r="F15485" s="7">
        <v>46046.4337281096</v>
      </c>
      <c r="G15485" s="3" t="s">
        <v>21274</v>
      </c>
    </row>
    <row r="15486">
      <c r="A15486" s="3" t="s">
        <v>31451</v>
      </c>
      <c r="B15486" s="3" t="s">
        <v>13052</v>
      </c>
      <c r="C15486" s="5" t="s">
        <v>614</v>
      </c>
      <c r="D15486" s="3" t="s">
        <v>206</v>
      </c>
      <c r="E15486" s="3" t="s">
        <v>100</v>
      </c>
      <c r="F15486" s="7">
        <v>46046.43720033183</v>
      </c>
      <c r="G15486" s="3" t="s">
        <v>21277</v>
      </c>
    </row>
    <row r="15487">
      <c r="A15487" s="3" t="s">
        <v>31452</v>
      </c>
      <c r="B15487" s="3" t="s">
        <v>13052</v>
      </c>
      <c r="C15487" s="5" t="s">
        <v>206</v>
      </c>
      <c r="D15487" s="3" t="s">
        <v>68</v>
      </c>
      <c r="E15487" s="3" t="s">
        <v>100</v>
      </c>
      <c r="F15487" s="7">
        <v>46046.44067255405</v>
      </c>
      <c r="G15487" s="3" t="s">
        <v>21280</v>
      </c>
    </row>
    <row r="15488">
      <c r="A15488" s="3" t="s">
        <v>31453</v>
      </c>
      <c r="B15488" s="3" t="s">
        <v>13054</v>
      </c>
      <c r="C15488" s="5" t="s">
        <v>45</v>
      </c>
      <c r="D15488" s="3" t="s">
        <v>221</v>
      </c>
      <c r="E15488" s="3" t="s">
        <v>135</v>
      </c>
      <c r="F15488" s="7">
        <v>46046.501430732795</v>
      </c>
      <c r="G15488" s="3" t="s">
        <v>20575</v>
      </c>
    </row>
    <row r="15489">
      <c r="A15489" s="3" t="s">
        <v>31454</v>
      </c>
      <c r="B15489" s="3" t="s">
        <v>13054</v>
      </c>
      <c r="C15489" s="5" t="s">
        <v>221</v>
      </c>
      <c r="D15489" s="3" t="s">
        <v>614</v>
      </c>
      <c r="E15489" s="3" t="s">
        <v>118</v>
      </c>
      <c r="F15489" s="7">
        <v>46046.504902955014</v>
      </c>
      <c r="G15489" s="3" t="s">
        <v>20578</v>
      </c>
    </row>
    <row r="15490">
      <c r="A15490" s="3" t="s">
        <v>31455</v>
      </c>
      <c r="B15490" s="3" t="s">
        <v>13054</v>
      </c>
      <c r="C15490" s="5" t="s">
        <v>614</v>
      </c>
      <c r="D15490" s="3" t="s">
        <v>206</v>
      </c>
      <c r="E15490" s="3" t="s">
        <v>100</v>
      </c>
      <c r="F15490" s="7">
        <v>46046.50837517724</v>
      </c>
      <c r="G15490" s="3" t="s">
        <v>20581</v>
      </c>
    </row>
    <row r="15491">
      <c r="A15491" s="3" t="s">
        <v>31456</v>
      </c>
      <c r="B15491" s="3" t="s">
        <v>13054</v>
      </c>
      <c r="C15491" s="5" t="s">
        <v>206</v>
      </c>
      <c r="D15491" s="3" t="s">
        <v>68</v>
      </c>
      <c r="E15491" s="3" t="s">
        <v>100</v>
      </c>
      <c r="F15491" s="7">
        <v>46046.51184739946</v>
      </c>
      <c r="G15491" s="3" t="s">
        <v>20583</v>
      </c>
    </row>
    <row r="15492">
      <c r="A15492" s="3" t="s">
        <v>31457</v>
      </c>
      <c r="B15492" s="3" t="s">
        <v>13056</v>
      </c>
      <c r="C15492" s="5" t="s">
        <v>45</v>
      </c>
      <c r="D15492" s="3" t="s">
        <v>221</v>
      </c>
      <c r="E15492" s="3" t="s">
        <v>380</v>
      </c>
      <c r="F15492" s="7">
        <v>46046.57260557821</v>
      </c>
      <c r="G15492" s="3" t="s">
        <v>4985</v>
      </c>
    </row>
    <row r="15493">
      <c r="A15493" s="3" t="s">
        <v>31458</v>
      </c>
      <c r="B15493" s="3" t="s">
        <v>13056</v>
      </c>
      <c r="C15493" s="5" t="s">
        <v>221</v>
      </c>
      <c r="D15493" s="3" t="s">
        <v>614</v>
      </c>
      <c r="E15493" s="3" t="s">
        <v>118</v>
      </c>
      <c r="F15493" s="7">
        <v>46046.576077800426</v>
      </c>
      <c r="G15493" s="3" t="s">
        <v>4988</v>
      </c>
    </row>
    <row r="15494">
      <c r="A15494" s="3" t="s">
        <v>31459</v>
      </c>
      <c r="B15494" s="3" t="s">
        <v>13056</v>
      </c>
      <c r="C15494" s="5" t="s">
        <v>614</v>
      </c>
      <c r="D15494" s="3" t="s">
        <v>206</v>
      </c>
      <c r="E15494" s="3" t="s">
        <v>100</v>
      </c>
      <c r="F15494" s="7">
        <v>46046.57955002265</v>
      </c>
      <c r="G15494" s="3" t="s">
        <v>4990</v>
      </c>
    </row>
    <row r="15495">
      <c r="A15495" s="3" t="s">
        <v>31460</v>
      </c>
      <c r="B15495" s="3" t="s">
        <v>13056</v>
      </c>
      <c r="C15495" s="5" t="s">
        <v>206</v>
      </c>
      <c r="D15495" s="3" t="s">
        <v>68</v>
      </c>
      <c r="E15495" s="3" t="s">
        <v>100</v>
      </c>
      <c r="F15495" s="7">
        <v>46046.58302224487</v>
      </c>
      <c r="G15495" s="3" t="s">
        <v>4993</v>
      </c>
    </row>
    <row r="15496">
      <c r="A15496" s="3" t="s">
        <v>31461</v>
      </c>
      <c r="B15496" s="3" t="s">
        <v>13058</v>
      </c>
      <c r="C15496" s="5" t="s">
        <v>45</v>
      </c>
      <c r="D15496" s="3" t="s">
        <v>221</v>
      </c>
      <c r="E15496" s="3" t="s">
        <v>193</v>
      </c>
      <c r="F15496" s="7">
        <v>46046.64378042363</v>
      </c>
      <c r="G15496" s="3" t="s">
        <v>8729</v>
      </c>
    </row>
    <row r="15497">
      <c r="A15497" s="3" t="s">
        <v>31462</v>
      </c>
      <c r="B15497" s="3" t="s">
        <v>13058</v>
      </c>
      <c r="C15497" s="5" t="s">
        <v>221</v>
      </c>
      <c r="D15497" s="3" t="s">
        <v>614</v>
      </c>
      <c r="E15497" s="3" t="s">
        <v>118</v>
      </c>
      <c r="F15497" s="7">
        <v>46046.647252645846</v>
      </c>
      <c r="G15497" s="3" t="s">
        <v>25830</v>
      </c>
    </row>
    <row r="15498">
      <c r="A15498" s="3" t="s">
        <v>31463</v>
      </c>
      <c r="B15498" s="3" t="s">
        <v>13058</v>
      </c>
      <c r="C15498" s="5" t="s">
        <v>614</v>
      </c>
      <c r="D15498" s="3" t="s">
        <v>206</v>
      </c>
      <c r="E15498" s="3" t="s">
        <v>100</v>
      </c>
      <c r="F15498" s="7">
        <v>46046.65072486807</v>
      </c>
      <c r="G15498" s="3" t="s">
        <v>25832</v>
      </c>
    </row>
    <row r="15499">
      <c r="A15499" s="3" t="s">
        <v>31464</v>
      </c>
      <c r="B15499" s="3" t="s">
        <v>13058</v>
      </c>
      <c r="C15499" s="5" t="s">
        <v>206</v>
      </c>
      <c r="D15499" s="3" t="s">
        <v>68</v>
      </c>
      <c r="E15499" s="3" t="s">
        <v>100</v>
      </c>
      <c r="F15499" s="7">
        <v>46046.65419709029</v>
      </c>
      <c r="G15499" s="3" t="s">
        <v>25834</v>
      </c>
    </row>
    <row r="15500">
      <c r="A15500" s="3" t="s">
        <v>31465</v>
      </c>
      <c r="B15500" s="3" t="s">
        <v>13060</v>
      </c>
      <c r="C15500" s="5" t="s">
        <v>45</v>
      </c>
      <c r="D15500" s="3" t="s">
        <v>221</v>
      </c>
      <c r="E15500" s="3" t="s">
        <v>596</v>
      </c>
      <c r="F15500" s="7">
        <v>46046.714955269046</v>
      </c>
      <c r="G15500" s="3" t="s">
        <v>5031</v>
      </c>
    </row>
    <row r="15501">
      <c r="A15501" s="3" t="s">
        <v>31466</v>
      </c>
      <c r="B15501" s="3" t="s">
        <v>13060</v>
      </c>
      <c r="C15501" s="5" t="s">
        <v>221</v>
      </c>
      <c r="D15501" s="3" t="s">
        <v>614</v>
      </c>
      <c r="E15501" s="3" t="s">
        <v>118</v>
      </c>
      <c r="F15501" s="7">
        <v>46046.718427491265</v>
      </c>
      <c r="G15501" s="3" t="s">
        <v>5034</v>
      </c>
    </row>
    <row r="15502">
      <c r="A15502" s="3" t="s">
        <v>31467</v>
      </c>
      <c r="B15502" s="3" t="s">
        <v>13060</v>
      </c>
      <c r="C15502" s="5" t="s">
        <v>614</v>
      </c>
      <c r="D15502" s="3" t="s">
        <v>206</v>
      </c>
      <c r="E15502" s="3" t="s">
        <v>100</v>
      </c>
      <c r="F15502" s="7">
        <v>46046.72189971349</v>
      </c>
      <c r="G15502" s="3" t="s">
        <v>5037</v>
      </c>
    </row>
    <row r="15503">
      <c r="A15503" s="3" t="s">
        <v>31468</v>
      </c>
      <c r="B15503" s="3" t="s">
        <v>13060</v>
      </c>
      <c r="C15503" s="5" t="s">
        <v>206</v>
      </c>
      <c r="D15503" s="3" t="s">
        <v>68</v>
      </c>
      <c r="E15503" s="3" t="s">
        <v>100</v>
      </c>
      <c r="F15503" s="7">
        <v>46046.72537193571</v>
      </c>
      <c r="G15503" s="3" t="s">
        <v>5040</v>
      </c>
    </row>
    <row r="15504">
      <c r="A15504" s="3" t="s">
        <v>31469</v>
      </c>
      <c r="B15504" s="3" t="s">
        <v>13063</v>
      </c>
      <c r="C15504" s="5" t="s">
        <v>45</v>
      </c>
      <c r="D15504" s="3" t="s">
        <v>221</v>
      </c>
      <c r="E15504" s="3" t="s">
        <v>496</v>
      </c>
      <c r="F15504" s="7">
        <v>46046.78613011445</v>
      </c>
      <c r="G15504" s="3" t="s">
        <v>22899</v>
      </c>
    </row>
    <row r="15505">
      <c r="A15505" s="3" t="s">
        <v>31470</v>
      </c>
      <c r="B15505" s="3" t="s">
        <v>13063</v>
      </c>
      <c r="C15505" s="5" t="s">
        <v>221</v>
      </c>
      <c r="D15505" s="3" t="s">
        <v>614</v>
      </c>
      <c r="E15505" s="3" t="s">
        <v>118</v>
      </c>
      <c r="F15505" s="7">
        <v>46046.78960233667</v>
      </c>
      <c r="G15505" s="3" t="s">
        <v>22902</v>
      </c>
    </row>
    <row r="15506">
      <c r="A15506" s="3" t="s">
        <v>31471</v>
      </c>
      <c r="B15506" s="3" t="s">
        <v>13063</v>
      </c>
      <c r="C15506" s="5" t="s">
        <v>614</v>
      </c>
      <c r="D15506" s="3" t="s">
        <v>206</v>
      </c>
      <c r="E15506" s="3" t="s">
        <v>100</v>
      </c>
      <c r="F15506" s="7">
        <v>46046.7930745589</v>
      </c>
      <c r="G15506" s="3" t="s">
        <v>22905</v>
      </c>
    </row>
    <row r="15507">
      <c r="A15507" s="3" t="s">
        <v>31472</v>
      </c>
      <c r="B15507" s="3" t="s">
        <v>13063</v>
      </c>
      <c r="C15507" s="5" t="s">
        <v>206</v>
      </c>
      <c r="D15507" s="3" t="s">
        <v>68</v>
      </c>
      <c r="E15507" s="3" t="s">
        <v>100</v>
      </c>
      <c r="F15507" s="7">
        <v>46046.796546781115</v>
      </c>
      <c r="G15507" s="3" t="s">
        <v>22908</v>
      </c>
    </row>
    <row r="15508">
      <c r="A15508" s="3" t="s">
        <v>31473</v>
      </c>
      <c r="B15508" s="3" t="s">
        <v>13066</v>
      </c>
      <c r="C15508" s="5" t="s">
        <v>45</v>
      </c>
      <c r="D15508" s="3" t="s">
        <v>221</v>
      </c>
      <c r="E15508" s="3" t="s">
        <v>615</v>
      </c>
      <c r="F15508" s="7">
        <v>46046.85730495987</v>
      </c>
      <c r="G15508" s="3" t="s">
        <v>7284</v>
      </c>
    </row>
    <row r="15509">
      <c r="A15509" s="3" t="s">
        <v>31474</v>
      </c>
      <c r="B15509" s="3" t="s">
        <v>13066</v>
      </c>
      <c r="C15509" s="5" t="s">
        <v>221</v>
      </c>
      <c r="D15509" s="3" t="s">
        <v>614</v>
      </c>
      <c r="E15509" s="3" t="s">
        <v>118</v>
      </c>
      <c r="F15509" s="7">
        <v>46046.86077718209</v>
      </c>
      <c r="G15509" s="3" t="s">
        <v>7287</v>
      </c>
    </row>
    <row r="15510">
      <c r="A15510" s="3" t="s">
        <v>31475</v>
      </c>
      <c r="B15510" s="3" t="s">
        <v>13066</v>
      </c>
      <c r="C15510" s="5" t="s">
        <v>614</v>
      </c>
      <c r="D15510" s="3" t="s">
        <v>206</v>
      </c>
      <c r="E15510" s="3" t="s">
        <v>100</v>
      </c>
      <c r="F15510" s="7">
        <v>46046.864249404316</v>
      </c>
      <c r="G15510" s="3" t="s">
        <v>7290</v>
      </c>
    </row>
    <row r="15511">
      <c r="A15511" s="3" t="s">
        <v>31476</v>
      </c>
      <c r="B15511" s="3" t="s">
        <v>13066</v>
      </c>
      <c r="C15511" s="5" t="s">
        <v>206</v>
      </c>
      <c r="D15511" s="3" t="s">
        <v>68</v>
      </c>
      <c r="E15511" s="3" t="s">
        <v>100</v>
      </c>
      <c r="F15511" s="7">
        <v>46046.867721626535</v>
      </c>
      <c r="G15511" s="3" t="s">
        <v>7293</v>
      </c>
    </row>
    <row r="15512">
      <c r="A15512" s="3" t="s">
        <v>31477</v>
      </c>
      <c r="B15512" s="3" t="s">
        <v>13067</v>
      </c>
      <c r="C15512" s="5" t="s">
        <v>45</v>
      </c>
      <c r="D15512" s="3" t="s">
        <v>221</v>
      </c>
      <c r="E15512" s="3" t="s">
        <v>643</v>
      </c>
      <c r="F15512" s="7">
        <v>46046.92847980529</v>
      </c>
      <c r="G15512" s="3" t="s">
        <v>13039</v>
      </c>
    </row>
    <row r="15513">
      <c r="A15513" s="3" t="s">
        <v>31478</v>
      </c>
      <c r="B15513" s="3" t="s">
        <v>13067</v>
      </c>
      <c r="C15513" s="5" t="s">
        <v>221</v>
      </c>
      <c r="D15513" s="3" t="s">
        <v>614</v>
      </c>
      <c r="E15513" s="3" t="s">
        <v>118</v>
      </c>
      <c r="F15513" s="7">
        <v>46046.93195202751</v>
      </c>
      <c r="G15513" s="3" t="s">
        <v>13042</v>
      </c>
    </row>
    <row r="15514">
      <c r="A15514" s="3" t="s">
        <v>31479</v>
      </c>
      <c r="B15514" s="3" t="s">
        <v>13067</v>
      </c>
      <c r="C15514" s="5" t="s">
        <v>614</v>
      </c>
      <c r="D15514" s="3" t="s">
        <v>206</v>
      </c>
      <c r="E15514" s="3" t="s">
        <v>100</v>
      </c>
      <c r="F15514" s="7">
        <v>46046.935424249736</v>
      </c>
      <c r="G15514" s="3" t="s">
        <v>13045</v>
      </c>
    </row>
    <row r="15515">
      <c r="A15515" s="3" t="s">
        <v>31480</v>
      </c>
      <c r="B15515" s="3" t="s">
        <v>13067</v>
      </c>
      <c r="C15515" s="5" t="s">
        <v>206</v>
      </c>
      <c r="D15515" s="3" t="s">
        <v>68</v>
      </c>
      <c r="E15515" s="3" t="s">
        <v>100</v>
      </c>
      <c r="F15515" s="7">
        <v>46046.938896471955</v>
      </c>
      <c r="G15515" s="3" t="s">
        <v>13049</v>
      </c>
    </row>
    <row r="15516">
      <c r="A15516" s="3" t="s">
        <v>31481</v>
      </c>
      <c r="B15516" s="3" t="s">
        <v>13070</v>
      </c>
      <c r="C15516" s="5" t="s">
        <v>45</v>
      </c>
      <c r="D15516" s="3" t="s">
        <v>221</v>
      </c>
      <c r="E15516" s="3" t="s">
        <v>557</v>
      </c>
      <c r="F15516" s="7">
        <v>46046.9996546507</v>
      </c>
      <c r="G15516" s="3" t="s">
        <v>13585</v>
      </c>
    </row>
    <row r="15517">
      <c r="A15517" s="3" t="s">
        <v>31482</v>
      </c>
      <c r="B15517" s="3" t="s">
        <v>13070</v>
      </c>
      <c r="C15517" s="5" t="s">
        <v>221</v>
      </c>
      <c r="D15517" s="3" t="s">
        <v>614</v>
      </c>
      <c r="E15517" s="3" t="s">
        <v>118</v>
      </c>
      <c r="F15517" s="7">
        <v>46047.00312687292</v>
      </c>
      <c r="G15517" s="3" t="s">
        <v>13587</v>
      </c>
    </row>
    <row r="15518">
      <c r="A15518" s="3" t="s">
        <v>31483</v>
      </c>
      <c r="B15518" s="3" t="s">
        <v>13070</v>
      </c>
      <c r="C15518" s="5" t="s">
        <v>614</v>
      </c>
      <c r="D15518" s="3" t="s">
        <v>206</v>
      </c>
      <c r="E15518" s="3" t="s">
        <v>100</v>
      </c>
      <c r="F15518" s="7">
        <v>46047.00659909515</v>
      </c>
      <c r="G15518" s="3" t="s">
        <v>13590</v>
      </c>
    </row>
    <row r="15519">
      <c r="A15519" s="3" t="s">
        <v>31484</v>
      </c>
      <c r="B15519" s="3" t="s">
        <v>13070</v>
      </c>
      <c r="C15519" s="5" t="s">
        <v>206</v>
      </c>
      <c r="D15519" s="3" t="s">
        <v>68</v>
      </c>
      <c r="E15519" s="3" t="s">
        <v>100</v>
      </c>
      <c r="F15519" s="7">
        <v>46047.01007131737</v>
      </c>
      <c r="G15519" s="3" t="s">
        <v>13593</v>
      </c>
    </row>
    <row r="15520">
      <c r="A15520" s="3" t="s">
        <v>31485</v>
      </c>
      <c r="B15520" s="3" t="s">
        <v>13073</v>
      </c>
      <c r="C15520" s="5" t="s">
        <v>45</v>
      </c>
      <c r="D15520" s="3" t="s">
        <v>221</v>
      </c>
      <c r="E15520" s="3" t="s">
        <v>627</v>
      </c>
      <c r="F15520" s="7">
        <v>46047.070829496115</v>
      </c>
      <c r="G15520" s="3" t="s">
        <v>15877</v>
      </c>
    </row>
    <row r="15521">
      <c r="A15521" s="3" t="s">
        <v>31486</v>
      </c>
      <c r="B15521" s="3" t="s">
        <v>13073</v>
      </c>
      <c r="C15521" s="5" t="s">
        <v>221</v>
      </c>
      <c r="D15521" s="3" t="s">
        <v>181</v>
      </c>
      <c r="E15521" s="3" t="s">
        <v>118</v>
      </c>
      <c r="F15521" s="7">
        <v>46047.074301718334</v>
      </c>
      <c r="G15521" s="3" t="s">
        <v>31487</v>
      </c>
    </row>
    <row r="15522">
      <c r="A15522" s="3" t="s">
        <v>31488</v>
      </c>
      <c r="B15522" s="3" t="s">
        <v>13075</v>
      </c>
      <c r="C15522" s="5" t="s">
        <v>45</v>
      </c>
      <c r="D15522" s="3" t="s">
        <v>221</v>
      </c>
      <c r="E15522" s="3" t="s">
        <v>845</v>
      </c>
      <c r="F15522" s="7">
        <v>46047.142004341535</v>
      </c>
      <c r="G15522" s="3" t="s">
        <v>16521</v>
      </c>
    </row>
    <row r="15523">
      <c r="A15523" s="3" t="s">
        <v>31489</v>
      </c>
      <c r="B15523" s="3" t="s">
        <v>13075</v>
      </c>
      <c r="C15523" s="5" t="s">
        <v>221</v>
      </c>
      <c r="D15523" s="3" t="s">
        <v>614</v>
      </c>
      <c r="E15523" s="3" t="s">
        <v>118</v>
      </c>
      <c r="F15523" s="7">
        <v>46047.14547656375</v>
      </c>
      <c r="G15523" s="3" t="s">
        <v>16523</v>
      </c>
    </row>
    <row r="15524">
      <c r="A15524" s="3" t="s">
        <v>31490</v>
      </c>
      <c r="B15524" s="3" t="s">
        <v>13075</v>
      </c>
      <c r="C15524" s="5" t="s">
        <v>614</v>
      </c>
      <c r="D15524" s="3" t="s">
        <v>206</v>
      </c>
      <c r="E15524" s="3" t="s">
        <v>100</v>
      </c>
      <c r="F15524" s="7">
        <v>46047.14894878598</v>
      </c>
      <c r="G15524" s="3" t="s">
        <v>16526</v>
      </c>
    </row>
    <row r="15525">
      <c r="A15525" s="3" t="s">
        <v>31491</v>
      </c>
      <c r="B15525" s="3" t="s">
        <v>13075</v>
      </c>
      <c r="C15525" s="5" t="s">
        <v>206</v>
      </c>
      <c r="D15525" s="3" t="s">
        <v>68</v>
      </c>
      <c r="E15525" s="3" t="s">
        <v>100</v>
      </c>
      <c r="F15525" s="7">
        <v>46047.1524210082</v>
      </c>
      <c r="G15525" s="3" t="s">
        <v>16529</v>
      </c>
    </row>
    <row r="15526">
      <c r="A15526" s="3" t="s">
        <v>31492</v>
      </c>
      <c r="B15526" s="3" t="s">
        <v>13077</v>
      </c>
      <c r="C15526" s="5" t="s">
        <v>45</v>
      </c>
      <c r="D15526" s="3" t="s">
        <v>221</v>
      </c>
      <c r="E15526" s="3" t="s">
        <v>678</v>
      </c>
      <c r="F15526" s="7">
        <v>46047.21317918695</v>
      </c>
      <c r="G15526" s="3" t="s">
        <v>20214</v>
      </c>
    </row>
    <row r="15527">
      <c r="A15527" s="3" t="s">
        <v>31493</v>
      </c>
      <c r="B15527" s="3" t="s">
        <v>13077</v>
      </c>
      <c r="C15527" s="5" t="s">
        <v>221</v>
      </c>
      <c r="D15527" s="3" t="s">
        <v>614</v>
      </c>
      <c r="E15527" s="3" t="s">
        <v>118</v>
      </c>
      <c r="F15527" s="7">
        <v>46047.216651409166</v>
      </c>
      <c r="G15527" s="3" t="s">
        <v>21788</v>
      </c>
    </row>
    <row r="15528">
      <c r="A15528" s="3" t="s">
        <v>31494</v>
      </c>
      <c r="B15528" s="3" t="s">
        <v>13077</v>
      </c>
      <c r="C15528" s="5" t="s">
        <v>614</v>
      </c>
      <c r="D15528" s="3" t="s">
        <v>206</v>
      </c>
      <c r="E15528" s="3" t="s">
        <v>100</v>
      </c>
      <c r="F15528" s="7">
        <v>46047.22012363139</v>
      </c>
      <c r="G15528" s="3" t="s">
        <v>21791</v>
      </c>
    </row>
    <row r="15529">
      <c r="A15529" s="3" t="s">
        <v>31495</v>
      </c>
      <c r="B15529" s="3" t="s">
        <v>13077</v>
      </c>
      <c r="C15529" s="5" t="s">
        <v>206</v>
      </c>
      <c r="D15529" s="3" t="s">
        <v>68</v>
      </c>
      <c r="E15529" s="3" t="s">
        <v>100</v>
      </c>
      <c r="F15529" s="7">
        <v>46047.22359585361</v>
      </c>
      <c r="G15529" s="3" t="s">
        <v>21793</v>
      </c>
    </row>
    <row r="15530">
      <c r="A15530" s="3" t="s">
        <v>31496</v>
      </c>
      <c r="B15530" s="3" t="s">
        <v>13080</v>
      </c>
      <c r="C15530" s="5" t="s">
        <v>45</v>
      </c>
      <c r="D15530" s="3" t="s">
        <v>221</v>
      </c>
      <c r="E15530" s="3" t="s">
        <v>848</v>
      </c>
      <c r="F15530" s="7">
        <v>46047.28435403236</v>
      </c>
      <c r="G15530" s="3" t="s">
        <v>21641</v>
      </c>
    </row>
    <row r="15531">
      <c r="A15531" s="3" t="s">
        <v>31497</v>
      </c>
      <c r="B15531" s="3" t="s">
        <v>13080</v>
      </c>
      <c r="C15531" s="5" t="s">
        <v>221</v>
      </c>
      <c r="D15531" s="3" t="s">
        <v>614</v>
      </c>
      <c r="E15531" s="3" t="s">
        <v>118</v>
      </c>
      <c r="F15531" s="7">
        <v>46047.28782625458</v>
      </c>
      <c r="G15531" s="3" t="s">
        <v>31498</v>
      </c>
    </row>
    <row r="15532">
      <c r="A15532" s="3" t="s">
        <v>31499</v>
      </c>
      <c r="B15532" s="3" t="s">
        <v>13080</v>
      </c>
      <c r="C15532" s="5" t="s">
        <v>614</v>
      </c>
      <c r="D15532" s="3" t="s">
        <v>206</v>
      </c>
      <c r="E15532" s="3" t="s">
        <v>100</v>
      </c>
      <c r="F15532" s="7">
        <v>46047.291298476805</v>
      </c>
      <c r="G15532" s="3" t="s">
        <v>31500</v>
      </c>
    </row>
    <row r="15533">
      <c r="A15533" s="3" t="s">
        <v>31501</v>
      </c>
      <c r="B15533" s="3" t="s">
        <v>13080</v>
      </c>
      <c r="C15533" s="5" t="s">
        <v>206</v>
      </c>
      <c r="D15533" s="3" t="s">
        <v>68</v>
      </c>
      <c r="E15533" s="3" t="s">
        <v>100</v>
      </c>
      <c r="F15533" s="7">
        <v>46047.29477069902</v>
      </c>
      <c r="G15533" s="3" t="s">
        <v>31502</v>
      </c>
    </row>
    <row r="15534">
      <c r="A15534" s="3" t="s">
        <v>31503</v>
      </c>
      <c r="B15534" s="3" t="s">
        <v>13083</v>
      </c>
      <c r="C15534" s="5" t="s">
        <v>45</v>
      </c>
      <c r="D15534" s="3" t="s">
        <v>221</v>
      </c>
      <c r="E15534" s="3" t="s">
        <v>581</v>
      </c>
      <c r="F15534" s="7">
        <v>46047.35552887778</v>
      </c>
      <c r="G15534" s="3" t="s">
        <v>10173</v>
      </c>
    </row>
    <row r="15535">
      <c r="A15535" s="3" t="s">
        <v>31504</v>
      </c>
      <c r="B15535" s="3" t="s">
        <v>13083</v>
      </c>
      <c r="C15535" s="5" t="s">
        <v>221</v>
      </c>
      <c r="D15535" s="3" t="s">
        <v>614</v>
      </c>
      <c r="E15535" s="3" t="s">
        <v>118</v>
      </c>
      <c r="F15535" s="7">
        <v>46047.3590011</v>
      </c>
      <c r="G15535" s="3" t="s">
        <v>14172</v>
      </c>
    </row>
    <row r="15536">
      <c r="A15536" s="3" t="s">
        <v>31505</v>
      </c>
      <c r="B15536" s="3" t="s">
        <v>13083</v>
      </c>
      <c r="C15536" s="5" t="s">
        <v>614</v>
      </c>
      <c r="D15536" s="3" t="s">
        <v>206</v>
      </c>
      <c r="E15536" s="3" t="s">
        <v>100</v>
      </c>
      <c r="F15536" s="7">
        <v>46047.362473322224</v>
      </c>
      <c r="G15536" s="3" t="s">
        <v>14175</v>
      </c>
    </row>
    <row r="15537">
      <c r="A15537" s="3" t="s">
        <v>31506</v>
      </c>
      <c r="B15537" s="3" t="s">
        <v>13083</v>
      </c>
      <c r="C15537" s="5" t="s">
        <v>206</v>
      </c>
      <c r="D15537" s="3" t="s">
        <v>68</v>
      </c>
      <c r="E15537" s="3" t="s">
        <v>100</v>
      </c>
      <c r="F15537" s="7">
        <v>46047.36594554444</v>
      </c>
      <c r="G15537" s="3" t="s">
        <v>14178</v>
      </c>
    </row>
    <row r="15538">
      <c r="A15538" s="3" t="s">
        <v>31507</v>
      </c>
      <c r="B15538" s="3" t="s">
        <v>13085</v>
      </c>
      <c r="C15538" s="5" t="s">
        <v>45</v>
      </c>
      <c r="D15538" s="3" t="s">
        <v>221</v>
      </c>
      <c r="E15538" s="3" t="s">
        <v>516</v>
      </c>
      <c r="F15538" s="7">
        <v>46047.42670372319</v>
      </c>
      <c r="G15538" s="3" t="s">
        <v>5055</v>
      </c>
    </row>
    <row r="15539">
      <c r="A15539" s="3" t="s">
        <v>31508</v>
      </c>
      <c r="B15539" s="3" t="s">
        <v>13085</v>
      </c>
      <c r="C15539" s="5" t="s">
        <v>221</v>
      </c>
      <c r="D15539" s="3" t="s">
        <v>614</v>
      </c>
      <c r="E15539" s="3" t="s">
        <v>118</v>
      </c>
      <c r="F15539" s="7">
        <v>46047.43017594541</v>
      </c>
      <c r="G15539" s="3" t="s">
        <v>5058</v>
      </c>
    </row>
    <row r="15540">
      <c r="A15540" s="3" t="s">
        <v>31509</v>
      </c>
      <c r="B15540" s="3" t="s">
        <v>13085</v>
      </c>
      <c r="C15540" s="5" t="s">
        <v>614</v>
      </c>
      <c r="D15540" s="3" t="s">
        <v>206</v>
      </c>
      <c r="E15540" s="3" t="s">
        <v>100</v>
      </c>
      <c r="F15540" s="7">
        <v>46047.43364816764</v>
      </c>
      <c r="G15540" s="3" t="s">
        <v>5060</v>
      </c>
    </row>
    <row r="15541">
      <c r="A15541" s="3" t="s">
        <v>31510</v>
      </c>
      <c r="B15541" s="3" t="s">
        <v>13085</v>
      </c>
      <c r="C15541" s="5" t="s">
        <v>206</v>
      </c>
      <c r="D15541" s="3" t="s">
        <v>68</v>
      </c>
      <c r="E15541" s="3" t="s">
        <v>100</v>
      </c>
      <c r="F15541" s="7">
        <v>46047.437120389855</v>
      </c>
      <c r="G15541" s="3" t="s">
        <v>5063</v>
      </c>
    </row>
    <row r="15542">
      <c r="A15542" s="3" t="s">
        <v>31511</v>
      </c>
      <c r="B15542" s="3" t="s">
        <v>13087</v>
      </c>
      <c r="C15542" s="5" t="s">
        <v>45</v>
      </c>
      <c r="D15542" s="3" t="s">
        <v>221</v>
      </c>
      <c r="E15542" s="3" t="s">
        <v>561</v>
      </c>
      <c r="F15542" s="7">
        <v>46047.4978785686</v>
      </c>
      <c r="G15542" s="3" t="s">
        <v>13688</v>
      </c>
    </row>
    <row r="15543">
      <c r="A15543" s="3" t="s">
        <v>31512</v>
      </c>
      <c r="B15543" s="3" t="s">
        <v>13087</v>
      </c>
      <c r="C15543" s="5" t="s">
        <v>221</v>
      </c>
      <c r="D15543" s="3" t="s">
        <v>181</v>
      </c>
      <c r="E15543" s="3" t="s">
        <v>118</v>
      </c>
      <c r="F15543" s="7">
        <v>46047.50135079082</v>
      </c>
      <c r="G15543" s="3" t="s">
        <v>31513</v>
      </c>
    </row>
    <row r="15544">
      <c r="A15544" s="3" t="s">
        <v>31514</v>
      </c>
      <c r="B15544" s="3" t="s">
        <v>13090</v>
      </c>
      <c r="C15544" s="5" t="s">
        <v>45</v>
      </c>
      <c r="D15544" s="3" t="s">
        <v>221</v>
      </c>
      <c r="E15544" s="3" t="s">
        <v>811</v>
      </c>
      <c r="F15544" s="7">
        <v>46047.56905341402</v>
      </c>
      <c r="G15544" s="3" t="s">
        <v>7488</v>
      </c>
    </row>
    <row r="15545">
      <c r="A15545" s="3" t="s">
        <v>31515</v>
      </c>
      <c r="B15545" s="3" t="s">
        <v>13090</v>
      </c>
      <c r="C15545" s="5" t="s">
        <v>221</v>
      </c>
      <c r="D15545" s="3" t="s">
        <v>614</v>
      </c>
      <c r="E15545" s="3" t="s">
        <v>118</v>
      </c>
      <c r="F15545" s="7">
        <v>46047.57252563624</v>
      </c>
      <c r="G15545" s="3" t="s">
        <v>7491</v>
      </c>
    </row>
    <row r="15546">
      <c r="A15546" s="3" t="s">
        <v>31516</v>
      </c>
      <c r="B15546" s="3" t="s">
        <v>13090</v>
      </c>
      <c r="C15546" s="5" t="s">
        <v>614</v>
      </c>
      <c r="D15546" s="3" t="s">
        <v>206</v>
      </c>
      <c r="E15546" s="3" t="s">
        <v>100</v>
      </c>
      <c r="F15546" s="7">
        <v>46047.57599785847</v>
      </c>
      <c r="G15546" s="3" t="s">
        <v>7494</v>
      </c>
    </row>
    <row r="15547">
      <c r="A15547" s="3" t="s">
        <v>31517</v>
      </c>
      <c r="B15547" s="3" t="s">
        <v>13090</v>
      </c>
      <c r="C15547" s="5" t="s">
        <v>206</v>
      </c>
      <c r="D15547" s="3" t="s">
        <v>68</v>
      </c>
      <c r="E15547" s="3" t="s">
        <v>100</v>
      </c>
      <c r="F15547" s="7">
        <v>46047.57947008069</v>
      </c>
      <c r="G15547" s="3" t="s">
        <v>7496</v>
      </c>
    </row>
    <row r="15548">
      <c r="A15548" s="3" t="s">
        <v>31518</v>
      </c>
      <c r="B15548" s="3" t="s">
        <v>13093</v>
      </c>
      <c r="C15548" s="5" t="s">
        <v>45</v>
      </c>
      <c r="D15548" s="3" t="s">
        <v>221</v>
      </c>
      <c r="E15548" s="3" t="s">
        <v>230</v>
      </c>
      <c r="F15548" s="7">
        <v>46047.640228259435</v>
      </c>
      <c r="G15548" s="3" t="s">
        <v>5066</v>
      </c>
    </row>
    <row r="15549">
      <c r="A15549" s="3" t="s">
        <v>31519</v>
      </c>
      <c r="B15549" s="3" t="s">
        <v>13093</v>
      </c>
      <c r="C15549" s="5" t="s">
        <v>221</v>
      </c>
      <c r="D15549" s="3" t="s">
        <v>614</v>
      </c>
      <c r="E15549" s="3" t="s">
        <v>118</v>
      </c>
      <c r="F15549" s="7">
        <v>46047.643700481654</v>
      </c>
      <c r="G15549" s="3" t="s">
        <v>5069</v>
      </c>
    </row>
    <row r="15550">
      <c r="A15550" s="3" t="s">
        <v>31520</v>
      </c>
      <c r="B15550" s="3" t="s">
        <v>13093</v>
      </c>
      <c r="C15550" s="5" t="s">
        <v>614</v>
      </c>
      <c r="D15550" s="3" t="s">
        <v>206</v>
      </c>
      <c r="E15550" s="3" t="s">
        <v>100</v>
      </c>
      <c r="F15550" s="7">
        <v>46047.64717270388</v>
      </c>
      <c r="G15550" s="3" t="s">
        <v>5072</v>
      </c>
    </row>
    <row r="15551">
      <c r="A15551" s="3" t="s">
        <v>31521</v>
      </c>
      <c r="B15551" s="3" t="s">
        <v>13093</v>
      </c>
      <c r="C15551" s="5" t="s">
        <v>206</v>
      </c>
      <c r="D15551" s="3" t="s">
        <v>68</v>
      </c>
      <c r="E15551" s="3" t="s">
        <v>100</v>
      </c>
      <c r="F15551" s="7">
        <v>46047.6506449261</v>
      </c>
      <c r="G15551" s="3" t="s">
        <v>5074</v>
      </c>
    </row>
    <row r="15552">
      <c r="A15552" s="3" t="s">
        <v>31522</v>
      </c>
      <c r="B15552" s="3" t="s">
        <v>13096</v>
      </c>
      <c r="C15552" s="5" t="s">
        <v>45</v>
      </c>
      <c r="D15552" s="3" t="s">
        <v>221</v>
      </c>
      <c r="E15552" s="3" t="s">
        <v>546</v>
      </c>
      <c r="F15552" s="7">
        <v>46047.71140310485</v>
      </c>
      <c r="G15552" s="3" t="s">
        <v>5077</v>
      </c>
    </row>
    <row r="15553">
      <c r="A15553" s="3" t="s">
        <v>31523</v>
      </c>
      <c r="B15553" s="3" t="s">
        <v>13096</v>
      </c>
      <c r="C15553" s="5" t="s">
        <v>221</v>
      </c>
      <c r="D15553" s="3" t="s">
        <v>614</v>
      </c>
      <c r="E15553" s="3" t="s">
        <v>118</v>
      </c>
      <c r="F15553" s="7">
        <v>46047.71487532707</v>
      </c>
      <c r="G15553" s="3" t="s">
        <v>5080</v>
      </c>
    </row>
    <row r="15554">
      <c r="A15554" s="3" t="s">
        <v>31524</v>
      </c>
      <c r="B15554" s="3" t="s">
        <v>13096</v>
      </c>
      <c r="C15554" s="5" t="s">
        <v>614</v>
      </c>
      <c r="D15554" s="3" t="s">
        <v>206</v>
      </c>
      <c r="E15554" s="3" t="s">
        <v>100</v>
      </c>
      <c r="F15554" s="7">
        <v>46047.71834754929</v>
      </c>
      <c r="G15554" s="3" t="s">
        <v>5083</v>
      </c>
    </row>
    <row r="15555">
      <c r="A15555" s="3" t="s">
        <v>31525</v>
      </c>
      <c r="B15555" s="3" t="s">
        <v>13096</v>
      </c>
      <c r="C15555" s="5" t="s">
        <v>206</v>
      </c>
      <c r="D15555" s="3" t="s">
        <v>68</v>
      </c>
      <c r="E15555" s="3" t="s">
        <v>100</v>
      </c>
      <c r="F15555" s="7">
        <v>46047.72181977151</v>
      </c>
      <c r="G15555" s="3" t="s">
        <v>5086</v>
      </c>
    </row>
    <row r="15556">
      <c r="A15556" s="3" t="s">
        <v>31526</v>
      </c>
      <c r="B15556" s="3" t="s">
        <v>13097</v>
      </c>
      <c r="C15556" s="5" t="s">
        <v>45</v>
      </c>
      <c r="D15556" s="3" t="s">
        <v>221</v>
      </c>
      <c r="E15556" s="3" t="s">
        <v>395</v>
      </c>
      <c r="F15556" s="7">
        <v>46047.78257795027</v>
      </c>
      <c r="G15556" s="3" t="s">
        <v>15659</v>
      </c>
    </row>
    <row r="15557">
      <c r="A15557" s="3" t="s">
        <v>31527</v>
      </c>
      <c r="B15557" s="3" t="s">
        <v>13097</v>
      </c>
      <c r="C15557" s="5" t="s">
        <v>221</v>
      </c>
      <c r="D15557" s="3" t="s">
        <v>614</v>
      </c>
      <c r="E15557" s="3" t="s">
        <v>118</v>
      </c>
      <c r="F15557" s="7">
        <v>46047.786050172486</v>
      </c>
      <c r="G15557" s="3" t="s">
        <v>15662</v>
      </c>
    </row>
    <row r="15558">
      <c r="A15558" s="3" t="s">
        <v>31528</v>
      </c>
      <c r="B15558" s="3" t="s">
        <v>13097</v>
      </c>
      <c r="C15558" s="5" t="s">
        <v>614</v>
      </c>
      <c r="D15558" s="3" t="s">
        <v>206</v>
      </c>
      <c r="E15558" s="3" t="s">
        <v>100</v>
      </c>
      <c r="F15558" s="7">
        <v>46047.78952239471</v>
      </c>
      <c r="G15558" s="3" t="s">
        <v>15665</v>
      </c>
    </row>
    <row r="15559">
      <c r="A15559" s="3" t="s">
        <v>31529</v>
      </c>
      <c r="B15559" s="3" t="s">
        <v>13097</v>
      </c>
      <c r="C15559" s="5" t="s">
        <v>206</v>
      </c>
      <c r="D15559" s="3" t="s">
        <v>68</v>
      </c>
      <c r="E15559" s="3" t="s">
        <v>100</v>
      </c>
      <c r="F15559" s="7">
        <v>46047.79299461693</v>
      </c>
      <c r="G15559" s="3" t="s">
        <v>15667</v>
      </c>
    </row>
    <row r="15560">
      <c r="A15560" s="3" t="s">
        <v>31530</v>
      </c>
      <c r="B15560" s="3" t="s">
        <v>13099</v>
      </c>
      <c r="C15560" s="5" t="s">
        <v>45</v>
      </c>
      <c r="D15560" s="3" t="s">
        <v>221</v>
      </c>
      <c r="E15560" s="3" t="s">
        <v>579</v>
      </c>
      <c r="F15560" s="7">
        <v>46047.85375279569</v>
      </c>
      <c r="G15560" s="3" t="s">
        <v>5101</v>
      </c>
    </row>
    <row r="15561">
      <c r="A15561" s="3" t="s">
        <v>31531</v>
      </c>
      <c r="B15561" s="3" t="s">
        <v>13099</v>
      </c>
      <c r="C15561" s="5" t="s">
        <v>221</v>
      </c>
      <c r="D15561" s="3" t="s">
        <v>614</v>
      </c>
      <c r="E15561" s="3" t="s">
        <v>118</v>
      </c>
      <c r="F15561" s="7">
        <v>46047.857225017906</v>
      </c>
      <c r="G15561" s="3" t="s">
        <v>5104</v>
      </c>
    </row>
    <row r="15562">
      <c r="A15562" s="3" t="s">
        <v>31532</v>
      </c>
      <c r="B15562" s="3" t="s">
        <v>13099</v>
      </c>
      <c r="C15562" s="5" t="s">
        <v>614</v>
      </c>
      <c r="D15562" s="3" t="s">
        <v>206</v>
      </c>
      <c r="E15562" s="3" t="s">
        <v>100</v>
      </c>
      <c r="F15562" s="7">
        <v>46047.86069724013</v>
      </c>
      <c r="G15562" s="3" t="s">
        <v>5107</v>
      </c>
    </row>
    <row r="15563">
      <c r="A15563" s="3" t="s">
        <v>31533</v>
      </c>
      <c r="B15563" s="3" t="s">
        <v>13099</v>
      </c>
      <c r="C15563" s="5" t="s">
        <v>206</v>
      </c>
      <c r="D15563" s="3" t="s">
        <v>68</v>
      </c>
      <c r="E15563" s="3" t="s">
        <v>100</v>
      </c>
      <c r="F15563" s="7">
        <v>46047.86416946235</v>
      </c>
      <c r="G15563" s="3" t="s">
        <v>5110</v>
      </c>
    </row>
    <row r="15564">
      <c r="A15564" s="3" t="s">
        <v>31534</v>
      </c>
      <c r="B15564" s="3" t="s">
        <v>13102</v>
      </c>
      <c r="C15564" s="5" t="s">
        <v>45</v>
      </c>
      <c r="D15564" s="3" t="s">
        <v>221</v>
      </c>
      <c r="E15564" s="3" t="s">
        <v>523</v>
      </c>
      <c r="F15564" s="7">
        <v>46047.92492764109</v>
      </c>
      <c r="G15564" s="3" t="s">
        <v>5113</v>
      </c>
    </row>
    <row r="15565">
      <c r="A15565" s="3" t="s">
        <v>31535</v>
      </c>
      <c r="B15565" s="3" t="s">
        <v>13102</v>
      </c>
      <c r="C15565" s="5" t="s">
        <v>221</v>
      </c>
      <c r="D15565" s="3" t="s">
        <v>614</v>
      </c>
      <c r="E15565" s="3" t="s">
        <v>118</v>
      </c>
      <c r="F15565" s="7">
        <v>46047.92839986331</v>
      </c>
      <c r="G15565" s="3" t="s">
        <v>5116</v>
      </c>
    </row>
    <row r="15566">
      <c r="A15566" s="3" t="s">
        <v>31536</v>
      </c>
      <c r="B15566" s="3" t="s">
        <v>13102</v>
      </c>
      <c r="C15566" s="5" t="s">
        <v>614</v>
      </c>
      <c r="D15566" s="3" t="s">
        <v>206</v>
      </c>
      <c r="E15566" s="3" t="s">
        <v>100</v>
      </c>
      <c r="F15566" s="7">
        <v>46047.93187208554</v>
      </c>
      <c r="G15566" s="3" t="s">
        <v>5119</v>
      </c>
    </row>
    <row r="15567">
      <c r="A15567" s="3" t="s">
        <v>31537</v>
      </c>
      <c r="B15567" s="3" t="s">
        <v>13102</v>
      </c>
      <c r="C15567" s="5" t="s">
        <v>206</v>
      </c>
      <c r="D15567" s="3" t="s">
        <v>68</v>
      </c>
      <c r="E15567" s="3" t="s">
        <v>100</v>
      </c>
      <c r="F15567" s="7">
        <v>46047.935344307756</v>
      </c>
      <c r="G15567" s="3" t="s">
        <v>5122</v>
      </c>
    </row>
    <row r="15568">
      <c r="A15568" s="3" t="s">
        <v>31538</v>
      </c>
      <c r="B15568" s="3" t="s">
        <v>13105</v>
      </c>
      <c r="C15568" s="5" t="s">
        <v>45</v>
      </c>
      <c r="D15568" s="3" t="s">
        <v>221</v>
      </c>
      <c r="E15568" s="3" t="s">
        <v>326</v>
      </c>
      <c r="F15568" s="7">
        <v>46047.99610248651</v>
      </c>
      <c r="G15568" s="3" t="s">
        <v>5125</v>
      </c>
    </row>
    <row r="15569">
      <c r="A15569" s="3" t="s">
        <v>31539</v>
      </c>
      <c r="B15569" s="3" t="s">
        <v>13105</v>
      </c>
      <c r="C15569" s="5" t="s">
        <v>221</v>
      </c>
      <c r="D15569" s="3" t="s">
        <v>614</v>
      </c>
      <c r="E15569" s="3" t="s">
        <v>118</v>
      </c>
      <c r="F15569" s="7">
        <v>46047.99957470873</v>
      </c>
      <c r="G15569" s="3" t="s">
        <v>5128</v>
      </c>
    </row>
    <row r="15570">
      <c r="A15570" s="3" t="s">
        <v>31540</v>
      </c>
      <c r="B15570" s="3" t="s">
        <v>13105</v>
      </c>
      <c r="C15570" s="5" t="s">
        <v>614</v>
      </c>
      <c r="D15570" s="3" t="s">
        <v>206</v>
      </c>
      <c r="E15570" s="3" t="s">
        <v>100</v>
      </c>
      <c r="F15570" s="7">
        <v>46048.00304693096</v>
      </c>
      <c r="G15570" s="3" t="s">
        <v>5131</v>
      </c>
    </row>
    <row r="15571">
      <c r="A15571" s="3" t="s">
        <v>31541</v>
      </c>
      <c r="B15571" s="3" t="s">
        <v>13105</v>
      </c>
      <c r="C15571" s="5" t="s">
        <v>206</v>
      </c>
      <c r="D15571" s="3" t="s">
        <v>68</v>
      </c>
      <c r="E15571" s="3" t="s">
        <v>100</v>
      </c>
      <c r="F15571" s="7">
        <v>46048.006519153176</v>
      </c>
      <c r="G15571" s="3" t="s">
        <v>5134</v>
      </c>
    </row>
    <row r="15572">
      <c r="A15572" s="3" t="s">
        <v>31542</v>
      </c>
      <c r="B15572" s="3" t="s">
        <v>13106</v>
      </c>
      <c r="C15572" s="5" t="s">
        <v>45</v>
      </c>
      <c r="D15572" s="3" t="s">
        <v>221</v>
      </c>
      <c r="E15572" s="3" t="s">
        <v>793</v>
      </c>
      <c r="F15572" s="7">
        <v>46048.06727733193</v>
      </c>
      <c r="G15572" s="3" t="s">
        <v>12657</v>
      </c>
    </row>
    <row r="15573">
      <c r="A15573" s="3" t="s">
        <v>31543</v>
      </c>
      <c r="B15573" s="3" t="s">
        <v>13106</v>
      </c>
      <c r="C15573" s="5" t="s">
        <v>221</v>
      </c>
      <c r="D15573" s="3" t="s">
        <v>614</v>
      </c>
      <c r="E15573" s="3" t="s">
        <v>118</v>
      </c>
      <c r="F15573" s="7">
        <v>46048.07074955415</v>
      </c>
      <c r="G15573" s="3" t="s">
        <v>12661</v>
      </c>
    </row>
    <row r="15574">
      <c r="A15574" s="3" t="s">
        <v>31544</v>
      </c>
      <c r="B15574" s="3" t="s">
        <v>13106</v>
      </c>
      <c r="C15574" s="5" t="s">
        <v>614</v>
      </c>
      <c r="D15574" s="3" t="s">
        <v>206</v>
      </c>
      <c r="E15574" s="3" t="s">
        <v>100</v>
      </c>
      <c r="F15574" s="7">
        <v>46048.074221776376</v>
      </c>
      <c r="G15574" s="3" t="s">
        <v>12664</v>
      </c>
    </row>
    <row r="15575">
      <c r="A15575" s="3" t="s">
        <v>31545</v>
      </c>
      <c r="B15575" s="3" t="s">
        <v>13106</v>
      </c>
      <c r="C15575" s="5" t="s">
        <v>206</v>
      </c>
      <c r="D15575" s="3" t="s">
        <v>68</v>
      </c>
      <c r="E15575" s="3" t="s">
        <v>100</v>
      </c>
      <c r="F15575" s="7">
        <v>46048.077693998595</v>
      </c>
      <c r="G15575" s="3" t="s">
        <v>12667</v>
      </c>
    </row>
    <row r="15576">
      <c r="A15576" s="3" t="s">
        <v>31546</v>
      </c>
      <c r="B15576" s="3" t="s">
        <v>13109</v>
      </c>
      <c r="C15576" s="5" t="s">
        <v>45</v>
      </c>
      <c r="D15576" s="3" t="s">
        <v>221</v>
      </c>
      <c r="E15576" s="3" t="s">
        <v>202</v>
      </c>
      <c r="F15576" s="7">
        <v>46048.13845217734</v>
      </c>
      <c r="G15576" s="3" t="s">
        <v>5148</v>
      </c>
    </row>
    <row r="15577">
      <c r="A15577" s="3" t="s">
        <v>31547</v>
      </c>
      <c r="B15577" s="3" t="s">
        <v>13109</v>
      </c>
      <c r="C15577" s="5" t="s">
        <v>221</v>
      </c>
      <c r="D15577" s="3" t="s">
        <v>614</v>
      </c>
      <c r="E15577" s="3" t="s">
        <v>118</v>
      </c>
      <c r="F15577" s="7">
        <v>46048.14192439956</v>
      </c>
      <c r="G15577" s="3" t="s">
        <v>5150</v>
      </c>
    </row>
    <row r="15578">
      <c r="A15578" s="3" t="s">
        <v>31548</v>
      </c>
      <c r="B15578" s="3" t="s">
        <v>13109</v>
      </c>
      <c r="C15578" s="5" t="s">
        <v>614</v>
      </c>
      <c r="D15578" s="3" t="s">
        <v>206</v>
      </c>
      <c r="E15578" s="3" t="s">
        <v>100</v>
      </c>
      <c r="F15578" s="7">
        <v>46048.14539662179</v>
      </c>
      <c r="G15578" s="3" t="s">
        <v>5153</v>
      </c>
    </row>
    <row r="15579">
      <c r="A15579" s="3" t="s">
        <v>31549</v>
      </c>
      <c r="B15579" s="3" t="s">
        <v>13109</v>
      </c>
      <c r="C15579" s="5" t="s">
        <v>206</v>
      </c>
      <c r="D15579" s="3" t="s">
        <v>68</v>
      </c>
      <c r="E15579" s="3" t="s">
        <v>100</v>
      </c>
      <c r="F15579" s="7">
        <v>46048.14886884401</v>
      </c>
      <c r="G15579" s="3" t="s">
        <v>5156</v>
      </c>
    </row>
    <row r="15580">
      <c r="A15580" s="3" t="s">
        <v>31550</v>
      </c>
      <c r="B15580" s="3" t="s">
        <v>13111</v>
      </c>
      <c r="C15580" s="5" t="s">
        <v>45</v>
      </c>
      <c r="D15580" s="3" t="s">
        <v>221</v>
      </c>
      <c r="E15580" s="3" t="s">
        <v>348</v>
      </c>
      <c r="F15580" s="7">
        <v>46048.209627022756</v>
      </c>
      <c r="G15580" s="3" t="s">
        <v>5159</v>
      </c>
    </row>
    <row r="15581">
      <c r="A15581" s="3" t="s">
        <v>31551</v>
      </c>
      <c r="B15581" s="3" t="s">
        <v>13111</v>
      </c>
      <c r="C15581" s="5" t="s">
        <v>221</v>
      </c>
      <c r="D15581" s="3" t="s">
        <v>614</v>
      </c>
      <c r="E15581" s="3" t="s">
        <v>118</v>
      </c>
      <c r="F15581" s="7">
        <v>46048.213099244975</v>
      </c>
      <c r="G15581" s="3" t="s">
        <v>5162</v>
      </c>
    </row>
    <row r="15582">
      <c r="A15582" s="3" t="s">
        <v>31552</v>
      </c>
      <c r="B15582" s="3" t="s">
        <v>13111</v>
      </c>
      <c r="C15582" s="5" t="s">
        <v>614</v>
      </c>
      <c r="D15582" s="3" t="s">
        <v>206</v>
      </c>
      <c r="E15582" s="3" t="s">
        <v>100</v>
      </c>
      <c r="F15582" s="7">
        <v>46048.2165714672</v>
      </c>
      <c r="G15582" s="3" t="s">
        <v>5165</v>
      </c>
    </row>
    <row r="15583">
      <c r="A15583" s="3" t="s">
        <v>31553</v>
      </c>
      <c r="B15583" s="3" t="s">
        <v>13111</v>
      </c>
      <c r="C15583" s="5" t="s">
        <v>206</v>
      </c>
      <c r="D15583" s="3" t="s">
        <v>68</v>
      </c>
      <c r="E15583" s="3" t="s">
        <v>100</v>
      </c>
      <c r="F15583" s="7">
        <v>46048.22004368942</v>
      </c>
      <c r="G15583" s="3" t="s">
        <v>5168</v>
      </c>
    </row>
    <row r="15584">
      <c r="A15584" s="3" t="s">
        <v>31554</v>
      </c>
      <c r="B15584" s="3" t="s">
        <v>13113</v>
      </c>
      <c r="C15584" s="5" t="s">
        <v>45</v>
      </c>
      <c r="D15584" s="3" t="s">
        <v>221</v>
      </c>
      <c r="E15584" s="3" t="s">
        <v>929</v>
      </c>
      <c r="F15584" s="7">
        <v>46048.280801868175</v>
      </c>
      <c r="G15584" s="3" t="s">
        <v>5177</v>
      </c>
    </row>
    <row r="15585">
      <c r="A15585" s="3" t="s">
        <v>31555</v>
      </c>
      <c r="B15585" s="3" t="s">
        <v>13113</v>
      </c>
      <c r="C15585" s="5" t="s">
        <v>221</v>
      </c>
      <c r="D15585" s="3" t="s">
        <v>614</v>
      </c>
      <c r="E15585" s="3" t="s">
        <v>118</v>
      </c>
      <c r="F15585" s="7">
        <v>46048.284274090394</v>
      </c>
      <c r="G15585" s="3" t="s">
        <v>5180</v>
      </c>
    </row>
    <row r="15586">
      <c r="A15586" s="3" t="s">
        <v>31556</v>
      </c>
      <c r="B15586" s="3" t="s">
        <v>13113</v>
      </c>
      <c r="C15586" s="5" t="s">
        <v>614</v>
      </c>
      <c r="D15586" s="3" t="s">
        <v>206</v>
      </c>
      <c r="E15586" s="3" t="s">
        <v>100</v>
      </c>
      <c r="F15586" s="7">
        <v>46048.28774631262</v>
      </c>
      <c r="G15586" s="3" t="s">
        <v>5183</v>
      </c>
    </row>
    <row r="15587">
      <c r="A15587" s="3" t="s">
        <v>31557</v>
      </c>
      <c r="B15587" s="3" t="s">
        <v>13113</v>
      </c>
      <c r="C15587" s="5" t="s">
        <v>206</v>
      </c>
      <c r="D15587" s="3" t="s">
        <v>68</v>
      </c>
      <c r="E15587" s="3" t="s">
        <v>100</v>
      </c>
      <c r="F15587" s="7">
        <v>46048.29121853484</v>
      </c>
      <c r="G15587" s="3" t="s">
        <v>5186</v>
      </c>
    </row>
    <row r="15588">
      <c r="A15588" s="3" t="s">
        <v>31558</v>
      </c>
      <c r="B15588" s="3" t="s">
        <v>13116</v>
      </c>
      <c r="C15588" s="5" t="s">
        <v>45</v>
      </c>
      <c r="D15588" s="3" t="s">
        <v>221</v>
      </c>
      <c r="E15588" s="3" t="s">
        <v>168</v>
      </c>
      <c r="F15588" s="7">
        <v>46048.35197671359</v>
      </c>
      <c r="G15588" s="3" t="s">
        <v>5221</v>
      </c>
    </row>
    <row r="15589">
      <c r="A15589" s="3" t="s">
        <v>31559</v>
      </c>
      <c r="B15589" s="3" t="s">
        <v>13116</v>
      </c>
      <c r="C15589" s="5" t="s">
        <v>221</v>
      </c>
      <c r="D15589" s="3" t="s">
        <v>614</v>
      </c>
      <c r="E15589" s="3" t="s">
        <v>118</v>
      </c>
      <c r="F15589" s="7">
        <v>46048.35544893581</v>
      </c>
      <c r="G15589" s="3" t="s">
        <v>5224</v>
      </c>
    </row>
    <row r="15590">
      <c r="A15590" s="3" t="s">
        <v>31560</v>
      </c>
      <c r="B15590" s="3" t="s">
        <v>13116</v>
      </c>
      <c r="C15590" s="5" t="s">
        <v>614</v>
      </c>
      <c r="D15590" s="3" t="s">
        <v>206</v>
      </c>
      <c r="E15590" s="3" t="s">
        <v>100</v>
      </c>
      <c r="F15590" s="7">
        <v>46048.35892115803</v>
      </c>
      <c r="G15590" s="3" t="s">
        <v>5226</v>
      </c>
    </row>
    <row r="15591">
      <c r="A15591" s="3" t="s">
        <v>31561</v>
      </c>
      <c r="B15591" s="3" t="s">
        <v>13116</v>
      </c>
      <c r="C15591" s="5" t="s">
        <v>206</v>
      </c>
      <c r="D15591" s="3" t="s">
        <v>68</v>
      </c>
      <c r="E15591" s="3" t="s">
        <v>100</v>
      </c>
      <c r="F15591" s="7">
        <v>46048.36239338025</v>
      </c>
      <c r="G15591" s="3" t="s">
        <v>5229</v>
      </c>
    </row>
    <row r="15592">
      <c r="A15592" s="3" t="s">
        <v>31562</v>
      </c>
      <c r="B15592" s="3" t="s">
        <v>13118</v>
      </c>
      <c r="C15592" s="5" t="s">
        <v>45</v>
      </c>
      <c r="D15592" s="3" t="s">
        <v>221</v>
      </c>
      <c r="E15592" s="3" t="s">
        <v>151</v>
      </c>
      <c r="F15592" s="7">
        <v>46048.423151559</v>
      </c>
      <c r="G15592" s="3" t="s">
        <v>13217</v>
      </c>
    </row>
    <row r="15593">
      <c r="A15593" s="3" t="s">
        <v>31563</v>
      </c>
      <c r="B15593" s="3" t="s">
        <v>13118</v>
      </c>
      <c r="C15593" s="5" t="s">
        <v>221</v>
      </c>
      <c r="D15593" s="3" t="s">
        <v>614</v>
      </c>
      <c r="E15593" s="3" t="s">
        <v>118</v>
      </c>
      <c r="F15593" s="7">
        <v>46048.42662378122</v>
      </c>
      <c r="G15593" s="3" t="s">
        <v>13221</v>
      </c>
    </row>
    <row r="15594">
      <c r="A15594" s="3" t="s">
        <v>31564</v>
      </c>
      <c r="B15594" s="3" t="s">
        <v>13118</v>
      </c>
      <c r="C15594" s="5" t="s">
        <v>614</v>
      </c>
      <c r="D15594" s="3" t="s">
        <v>206</v>
      </c>
      <c r="E15594" s="3" t="s">
        <v>100</v>
      </c>
      <c r="F15594" s="7">
        <v>46048.430096003445</v>
      </c>
      <c r="G15594" s="3" t="s">
        <v>13224</v>
      </c>
    </row>
    <row r="15595">
      <c r="A15595" s="3" t="s">
        <v>31565</v>
      </c>
      <c r="B15595" s="3" t="s">
        <v>13118</v>
      </c>
      <c r="C15595" s="5" t="s">
        <v>206</v>
      </c>
      <c r="D15595" s="3" t="s">
        <v>68</v>
      </c>
      <c r="E15595" s="3" t="s">
        <v>100</v>
      </c>
      <c r="F15595" s="7">
        <v>46048.433568225664</v>
      </c>
      <c r="G15595" s="3" t="s">
        <v>13227</v>
      </c>
    </row>
    <row r="15596">
      <c r="A15596" s="3" t="s">
        <v>31566</v>
      </c>
      <c r="B15596" s="3" t="s">
        <v>13120</v>
      </c>
      <c r="C15596" s="5" t="s">
        <v>45</v>
      </c>
      <c r="D15596" s="3" t="s">
        <v>221</v>
      </c>
      <c r="E15596" s="3" t="s">
        <v>530</v>
      </c>
      <c r="F15596" s="7">
        <v>46048.49432640442</v>
      </c>
      <c r="G15596" s="3" t="s">
        <v>16420</v>
      </c>
    </row>
    <row r="15597">
      <c r="A15597" s="3" t="s">
        <v>31567</v>
      </c>
      <c r="B15597" s="3" t="s">
        <v>13120</v>
      </c>
      <c r="C15597" s="5" t="s">
        <v>221</v>
      </c>
      <c r="D15597" s="3" t="s">
        <v>614</v>
      </c>
      <c r="E15597" s="3" t="s">
        <v>118</v>
      </c>
      <c r="F15597" s="7">
        <v>46048.49779862664</v>
      </c>
      <c r="G15597" s="3" t="s">
        <v>16423</v>
      </c>
    </row>
    <row r="15598">
      <c r="A15598" s="3" t="s">
        <v>31568</v>
      </c>
      <c r="B15598" s="3" t="s">
        <v>13120</v>
      </c>
      <c r="C15598" s="5" t="s">
        <v>614</v>
      </c>
      <c r="D15598" s="3" t="s">
        <v>206</v>
      </c>
      <c r="E15598" s="3" t="s">
        <v>100</v>
      </c>
      <c r="F15598" s="7">
        <v>46048.501270848865</v>
      </c>
      <c r="G15598" s="3" t="s">
        <v>16426</v>
      </c>
    </row>
    <row r="15599">
      <c r="A15599" s="3" t="s">
        <v>31569</v>
      </c>
      <c r="B15599" s="3" t="s">
        <v>13120</v>
      </c>
      <c r="C15599" s="5" t="s">
        <v>206</v>
      </c>
      <c r="D15599" s="3" t="s">
        <v>68</v>
      </c>
      <c r="E15599" s="3" t="s">
        <v>100</v>
      </c>
      <c r="F15599" s="7">
        <v>46048.504743071084</v>
      </c>
      <c r="G15599" s="3" t="s">
        <v>16428</v>
      </c>
    </row>
    <row r="15600">
      <c r="A15600" s="3" t="s">
        <v>31570</v>
      </c>
      <c r="B15600" s="3" t="s">
        <v>13123</v>
      </c>
      <c r="C15600" s="5" t="s">
        <v>45</v>
      </c>
      <c r="D15600" s="3" t="s">
        <v>221</v>
      </c>
      <c r="E15600" s="3" t="s">
        <v>591</v>
      </c>
      <c r="F15600" s="7">
        <v>46048.56550124983</v>
      </c>
      <c r="G15600" s="3" t="s">
        <v>5232</v>
      </c>
    </row>
    <row r="15601">
      <c r="A15601" s="3" t="s">
        <v>31571</v>
      </c>
      <c r="B15601" s="3" t="s">
        <v>13123</v>
      </c>
      <c r="C15601" s="5" t="s">
        <v>221</v>
      </c>
      <c r="D15601" s="3" t="s">
        <v>614</v>
      </c>
      <c r="E15601" s="3" t="s">
        <v>118</v>
      </c>
      <c r="F15601" s="7">
        <v>46048.56897347205</v>
      </c>
      <c r="G15601" s="3" t="s">
        <v>5235</v>
      </c>
    </row>
    <row r="15602">
      <c r="A15602" s="3" t="s">
        <v>31572</v>
      </c>
      <c r="B15602" s="3" t="s">
        <v>13123</v>
      </c>
      <c r="C15602" s="5" t="s">
        <v>614</v>
      </c>
      <c r="D15602" s="3" t="s">
        <v>206</v>
      </c>
      <c r="E15602" s="3" t="s">
        <v>100</v>
      </c>
      <c r="F15602" s="7">
        <v>46048.57244569428</v>
      </c>
      <c r="G15602" s="3" t="s">
        <v>5238</v>
      </c>
    </row>
    <row r="15603">
      <c r="A15603" s="3" t="s">
        <v>31573</v>
      </c>
      <c r="B15603" s="3" t="s">
        <v>13123</v>
      </c>
      <c r="C15603" s="5" t="s">
        <v>206</v>
      </c>
      <c r="D15603" s="3" t="s">
        <v>68</v>
      </c>
      <c r="E15603" s="3" t="s">
        <v>100</v>
      </c>
      <c r="F15603" s="7">
        <v>46048.575917916496</v>
      </c>
      <c r="G15603" s="3" t="s">
        <v>5240</v>
      </c>
    </row>
    <row r="15604">
      <c r="A15604" s="3" t="s">
        <v>31574</v>
      </c>
      <c r="B15604" s="3" t="s">
        <v>13124</v>
      </c>
      <c r="C15604" s="5" t="s">
        <v>45</v>
      </c>
      <c r="D15604" s="3" t="s">
        <v>221</v>
      </c>
      <c r="E15604" s="3" t="s">
        <v>302</v>
      </c>
      <c r="F15604" s="7">
        <v>46048.636676095244</v>
      </c>
      <c r="G15604" s="3" t="s">
        <v>18347</v>
      </c>
    </row>
    <row r="15605">
      <c r="A15605" s="3" t="s">
        <v>31575</v>
      </c>
      <c r="B15605" s="3" t="s">
        <v>13124</v>
      </c>
      <c r="C15605" s="5" t="s">
        <v>221</v>
      </c>
      <c r="D15605" s="3" t="s">
        <v>614</v>
      </c>
      <c r="E15605" s="3" t="s">
        <v>118</v>
      </c>
      <c r="F15605" s="7">
        <v>46048.64014831746</v>
      </c>
      <c r="G15605" s="3" t="s">
        <v>18350</v>
      </c>
    </row>
    <row r="15606">
      <c r="A15606" s="3" t="s">
        <v>31576</v>
      </c>
      <c r="B15606" s="3" t="s">
        <v>13124</v>
      </c>
      <c r="C15606" s="5" t="s">
        <v>614</v>
      </c>
      <c r="D15606" s="3" t="s">
        <v>206</v>
      </c>
      <c r="E15606" s="3" t="s">
        <v>100</v>
      </c>
      <c r="F15606" s="7">
        <v>46048.64362053969</v>
      </c>
      <c r="G15606" s="3" t="s">
        <v>18353</v>
      </c>
    </row>
    <row r="15607">
      <c r="A15607" s="3" t="s">
        <v>31577</v>
      </c>
      <c r="B15607" s="3" t="s">
        <v>13124</v>
      </c>
      <c r="C15607" s="5" t="s">
        <v>206</v>
      </c>
      <c r="D15607" s="3" t="s">
        <v>68</v>
      </c>
      <c r="E15607" s="3" t="s">
        <v>100</v>
      </c>
      <c r="F15607" s="7">
        <v>46048.64709276191</v>
      </c>
      <c r="G15607" s="3" t="s">
        <v>18355</v>
      </c>
    </row>
    <row r="15608">
      <c r="A15608" s="3" t="s">
        <v>31578</v>
      </c>
      <c r="B15608" s="3" t="s">
        <v>13126</v>
      </c>
      <c r="C15608" s="5" t="s">
        <v>45</v>
      </c>
      <c r="D15608" s="3" t="s">
        <v>221</v>
      </c>
      <c r="E15608" s="3" t="s">
        <v>336</v>
      </c>
      <c r="F15608" s="7">
        <v>46048.707850940664</v>
      </c>
      <c r="G15608" s="3" t="s">
        <v>31579</v>
      </c>
    </row>
    <row r="15609">
      <c r="A15609" s="3" t="s">
        <v>31580</v>
      </c>
      <c r="B15609" s="3" t="s">
        <v>13126</v>
      </c>
      <c r="C15609" s="5" t="s">
        <v>221</v>
      </c>
      <c r="D15609" s="3" t="s">
        <v>614</v>
      </c>
      <c r="E15609" s="3" t="s">
        <v>118</v>
      </c>
      <c r="F15609" s="7">
        <v>46048.71132316288</v>
      </c>
      <c r="G15609" s="3" t="s">
        <v>31581</v>
      </c>
    </row>
    <row r="15610">
      <c r="A15610" s="3" t="s">
        <v>31582</v>
      </c>
      <c r="B15610" s="3" t="s">
        <v>13126</v>
      </c>
      <c r="C15610" s="5" t="s">
        <v>614</v>
      </c>
      <c r="D15610" s="3" t="s">
        <v>206</v>
      </c>
      <c r="E15610" s="3" t="s">
        <v>100</v>
      </c>
      <c r="F15610" s="7">
        <v>46048.71479538511</v>
      </c>
      <c r="G15610" s="3" t="s">
        <v>31583</v>
      </c>
    </row>
    <row r="15611">
      <c r="A15611" s="3" t="s">
        <v>31584</v>
      </c>
      <c r="B15611" s="3" t="s">
        <v>13126</v>
      </c>
      <c r="C15611" s="5" t="s">
        <v>206</v>
      </c>
      <c r="D15611" s="3" t="s">
        <v>68</v>
      </c>
      <c r="E15611" s="3" t="s">
        <v>100</v>
      </c>
      <c r="F15611" s="7">
        <v>46048.71826760733</v>
      </c>
      <c r="G15611" s="3" t="s">
        <v>31585</v>
      </c>
    </row>
    <row r="15612">
      <c r="A15612" s="3" t="s">
        <v>31586</v>
      </c>
      <c r="B15612" s="3" t="s">
        <v>13129</v>
      </c>
      <c r="C15612" s="5" t="s">
        <v>45</v>
      </c>
      <c r="D15612" s="3" t="s">
        <v>221</v>
      </c>
      <c r="E15612" s="3" t="s">
        <v>493</v>
      </c>
      <c r="F15612" s="7">
        <v>46048.77902578608</v>
      </c>
      <c r="G15612" s="3" t="s">
        <v>27090</v>
      </c>
    </row>
    <row r="15613">
      <c r="A15613" s="3" t="s">
        <v>31587</v>
      </c>
      <c r="B15613" s="3" t="s">
        <v>13129</v>
      </c>
      <c r="C15613" s="5" t="s">
        <v>221</v>
      </c>
      <c r="D15613" s="3" t="s">
        <v>614</v>
      </c>
      <c r="E15613" s="3" t="s">
        <v>118</v>
      </c>
      <c r="F15613" s="7">
        <v>46048.7824980083</v>
      </c>
      <c r="G15613" s="3" t="s">
        <v>27092</v>
      </c>
    </row>
    <row r="15614">
      <c r="A15614" s="3" t="s">
        <v>31588</v>
      </c>
      <c r="B15614" s="3" t="s">
        <v>13129</v>
      </c>
      <c r="C15614" s="5" t="s">
        <v>614</v>
      </c>
      <c r="D15614" s="3" t="s">
        <v>206</v>
      </c>
      <c r="E15614" s="3" t="s">
        <v>100</v>
      </c>
      <c r="F15614" s="7">
        <v>46048.78597023053</v>
      </c>
      <c r="G15614" s="3" t="s">
        <v>27094</v>
      </c>
    </row>
    <row r="15615">
      <c r="A15615" s="3" t="s">
        <v>31589</v>
      </c>
      <c r="B15615" s="3" t="s">
        <v>13129</v>
      </c>
      <c r="C15615" s="5" t="s">
        <v>206</v>
      </c>
      <c r="D15615" s="3" t="s">
        <v>68</v>
      </c>
      <c r="E15615" s="3" t="s">
        <v>100</v>
      </c>
      <c r="F15615" s="7">
        <v>46048.78944245275</v>
      </c>
      <c r="G15615" s="3" t="s">
        <v>27096</v>
      </c>
    </row>
    <row r="15616">
      <c r="A15616" s="3" t="s">
        <v>31590</v>
      </c>
      <c r="B15616" s="3" t="s">
        <v>13132</v>
      </c>
      <c r="C15616" s="5" t="s">
        <v>45</v>
      </c>
      <c r="D15616" s="3" t="s">
        <v>221</v>
      </c>
      <c r="E15616" s="3" t="s">
        <v>713</v>
      </c>
      <c r="F15616" s="7">
        <v>46048.850200631496</v>
      </c>
      <c r="G15616" s="3" t="s">
        <v>5244</v>
      </c>
    </row>
    <row r="15617">
      <c r="A15617" s="3" t="s">
        <v>31591</v>
      </c>
      <c r="B15617" s="3" t="s">
        <v>13132</v>
      </c>
      <c r="C15617" s="5" t="s">
        <v>221</v>
      </c>
      <c r="D15617" s="3" t="s">
        <v>614</v>
      </c>
      <c r="E15617" s="3" t="s">
        <v>118</v>
      </c>
      <c r="F15617" s="7">
        <v>46048.853672853715</v>
      </c>
      <c r="G15617" s="3" t="s">
        <v>5247</v>
      </c>
    </row>
    <row r="15618">
      <c r="A15618" s="3" t="s">
        <v>31592</v>
      </c>
      <c r="B15618" s="3" t="s">
        <v>13132</v>
      </c>
      <c r="C15618" s="5" t="s">
        <v>614</v>
      </c>
      <c r="D15618" s="3" t="s">
        <v>206</v>
      </c>
      <c r="E15618" s="3" t="s">
        <v>100</v>
      </c>
      <c r="F15618" s="7">
        <v>46048.85714507594</v>
      </c>
      <c r="G15618" s="3" t="s">
        <v>5250</v>
      </c>
    </row>
    <row r="15619">
      <c r="A15619" s="3" t="s">
        <v>31593</v>
      </c>
      <c r="B15619" s="3" t="s">
        <v>13132</v>
      </c>
      <c r="C15619" s="5" t="s">
        <v>206</v>
      </c>
      <c r="D15619" s="3" t="s">
        <v>68</v>
      </c>
      <c r="E15619" s="3" t="s">
        <v>100</v>
      </c>
      <c r="F15619" s="7">
        <v>46048.86061729816</v>
      </c>
      <c r="G15619" s="3" t="s">
        <v>5253</v>
      </c>
    </row>
    <row r="15620">
      <c r="A15620" s="3" t="s">
        <v>31594</v>
      </c>
      <c r="B15620" s="3" t="s">
        <v>13134</v>
      </c>
      <c r="C15620" s="5" t="s">
        <v>45</v>
      </c>
      <c r="D15620" s="3" t="s">
        <v>221</v>
      </c>
      <c r="E15620" s="3" t="s">
        <v>976</v>
      </c>
      <c r="F15620" s="7">
        <v>46048.92137547691</v>
      </c>
      <c r="G15620" s="3" t="s">
        <v>31595</v>
      </c>
    </row>
    <row r="15621">
      <c r="A15621" s="3" t="s">
        <v>31596</v>
      </c>
      <c r="B15621" s="3" t="s">
        <v>13134</v>
      </c>
      <c r="C15621" s="5" t="s">
        <v>221</v>
      </c>
      <c r="D15621" s="3" t="s">
        <v>181</v>
      </c>
      <c r="E15621" s="3" t="s">
        <v>118</v>
      </c>
      <c r="F15621" s="7">
        <v>46048.92484769913</v>
      </c>
      <c r="G15621" s="3" t="s">
        <v>31597</v>
      </c>
    </row>
    <row r="15622">
      <c r="A15622" s="3" t="s">
        <v>31598</v>
      </c>
      <c r="B15622" s="3" t="s">
        <v>13136</v>
      </c>
      <c r="C15622" s="5" t="s">
        <v>45</v>
      </c>
      <c r="D15622" s="3" t="s">
        <v>221</v>
      </c>
      <c r="E15622" s="3" t="s">
        <v>197</v>
      </c>
      <c r="F15622" s="7">
        <v>46048.99255032233</v>
      </c>
      <c r="G15622" s="3" t="s">
        <v>31599</v>
      </c>
    </row>
    <row r="15623">
      <c r="A15623" s="3" t="s">
        <v>31600</v>
      </c>
      <c r="B15623" s="3" t="s">
        <v>13136</v>
      </c>
      <c r="C15623" s="5" t="s">
        <v>221</v>
      </c>
      <c r="D15623" s="3" t="s">
        <v>181</v>
      </c>
      <c r="E15623" s="3" t="s">
        <v>118</v>
      </c>
      <c r="F15623" s="7">
        <v>46048.99602254455</v>
      </c>
      <c r="G15623" s="3" t="s">
        <v>31601</v>
      </c>
    </row>
    <row r="15624">
      <c r="A15624" s="3" t="s">
        <v>31602</v>
      </c>
      <c r="B15624" s="3" t="s">
        <v>13139</v>
      </c>
      <c r="C15624" s="5" t="s">
        <v>45</v>
      </c>
      <c r="D15624" s="3" t="s">
        <v>221</v>
      </c>
      <c r="E15624" s="3" t="s">
        <v>462</v>
      </c>
      <c r="F15624" s="7">
        <v>46049.06372516774</v>
      </c>
      <c r="G15624" s="3" t="s">
        <v>5256</v>
      </c>
    </row>
    <row r="15625">
      <c r="A15625" s="3" t="s">
        <v>31603</v>
      </c>
      <c r="B15625" s="3" t="s">
        <v>13139</v>
      </c>
      <c r="C15625" s="5" t="s">
        <v>221</v>
      </c>
      <c r="D15625" s="3" t="s">
        <v>614</v>
      </c>
      <c r="E15625" s="3" t="s">
        <v>118</v>
      </c>
      <c r="F15625" s="7">
        <v>46049.06719738996</v>
      </c>
      <c r="G15625" s="3" t="s">
        <v>5259</v>
      </c>
    </row>
    <row r="15626">
      <c r="A15626" s="3" t="s">
        <v>31604</v>
      </c>
      <c r="B15626" s="3" t="s">
        <v>13139</v>
      </c>
      <c r="C15626" s="5" t="s">
        <v>614</v>
      </c>
      <c r="D15626" s="3" t="s">
        <v>206</v>
      </c>
      <c r="E15626" s="3" t="s">
        <v>100</v>
      </c>
      <c r="F15626" s="7">
        <v>46049.070669612185</v>
      </c>
      <c r="G15626" s="3" t="s">
        <v>5262</v>
      </c>
    </row>
    <row r="15627">
      <c r="A15627" s="3" t="s">
        <v>31605</v>
      </c>
      <c r="B15627" s="3" t="s">
        <v>13139</v>
      </c>
      <c r="C15627" s="5" t="s">
        <v>206</v>
      </c>
      <c r="D15627" s="3" t="s">
        <v>68</v>
      </c>
      <c r="E15627" s="3" t="s">
        <v>100</v>
      </c>
      <c r="F15627" s="7">
        <v>46049.074141834404</v>
      </c>
      <c r="G15627" s="3" t="s">
        <v>5265</v>
      </c>
    </row>
    <row r="15628">
      <c r="A15628" s="3" t="s">
        <v>31606</v>
      </c>
      <c r="B15628" s="3" t="s">
        <v>13141</v>
      </c>
      <c r="C15628" s="5" t="s">
        <v>45</v>
      </c>
      <c r="D15628" s="3" t="s">
        <v>221</v>
      </c>
      <c r="E15628" s="3" t="s">
        <v>906</v>
      </c>
      <c r="F15628" s="7">
        <v>46049.13490001315</v>
      </c>
      <c r="G15628" s="3" t="s">
        <v>29510</v>
      </c>
    </row>
    <row r="15629">
      <c r="A15629" s="3" t="s">
        <v>31607</v>
      </c>
      <c r="B15629" s="3" t="s">
        <v>13141</v>
      </c>
      <c r="C15629" s="5" t="s">
        <v>221</v>
      </c>
      <c r="D15629" s="3" t="s">
        <v>614</v>
      </c>
      <c r="E15629" s="3" t="s">
        <v>118</v>
      </c>
      <c r="F15629" s="7">
        <v>46049.13837223537</v>
      </c>
      <c r="G15629" s="3" t="s">
        <v>31608</v>
      </c>
    </row>
    <row r="15630">
      <c r="A15630" s="3" t="s">
        <v>31609</v>
      </c>
      <c r="B15630" s="3" t="s">
        <v>13141</v>
      </c>
      <c r="C15630" s="5" t="s">
        <v>614</v>
      </c>
      <c r="D15630" s="3" t="s">
        <v>206</v>
      </c>
      <c r="E15630" s="3" t="s">
        <v>100</v>
      </c>
      <c r="F15630" s="7">
        <v>46049.1418444576</v>
      </c>
      <c r="G15630" s="3" t="s">
        <v>31610</v>
      </c>
    </row>
    <row r="15631">
      <c r="A15631" s="3" t="s">
        <v>31611</v>
      </c>
      <c r="B15631" s="3" t="s">
        <v>13141</v>
      </c>
      <c r="C15631" s="5" t="s">
        <v>206</v>
      </c>
      <c r="D15631" s="3" t="s">
        <v>68</v>
      </c>
      <c r="E15631" s="3" t="s">
        <v>100</v>
      </c>
      <c r="F15631" s="7">
        <v>46049.14531667982</v>
      </c>
      <c r="G15631" s="3" t="s">
        <v>31612</v>
      </c>
    </row>
    <row r="15632">
      <c r="A15632" s="3" t="s">
        <v>31613</v>
      </c>
      <c r="B15632" s="3" t="s">
        <v>13143</v>
      </c>
      <c r="C15632" s="5" t="s">
        <v>45</v>
      </c>
      <c r="D15632" s="3" t="s">
        <v>221</v>
      </c>
      <c r="E15632" s="3" t="s">
        <v>521</v>
      </c>
      <c r="F15632" s="7">
        <v>46049.20607485857</v>
      </c>
      <c r="G15632" s="3" t="s">
        <v>11464</v>
      </c>
    </row>
    <row r="15633">
      <c r="A15633" s="3" t="s">
        <v>31614</v>
      </c>
      <c r="B15633" s="3" t="s">
        <v>13143</v>
      </c>
      <c r="C15633" s="5" t="s">
        <v>221</v>
      </c>
      <c r="D15633" s="3" t="s">
        <v>614</v>
      </c>
      <c r="E15633" s="3" t="s">
        <v>118</v>
      </c>
      <c r="F15633" s="7">
        <v>46049.20954708079</v>
      </c>
      <c r="G15633" s="3" t="s">
        <v>11467</v>
      </c>
    </row>
    <row r="15634">
      <c r="A15634" s="3" t="s">
        <v>31615</v>
      </c>
      <c r="B15634" s="3" t="s">
        <v>13143</v>
      </c>
      <c r="C15634" s="5" t="s">
        <v>614</v>
      </c>
      <c r="D15634" s="3" t="s">
        <v>206</v>
      </c>
      <c r="E15634" s="3" t="s">
        <v>100</v>
      </c>
      <c r="F15634" s="7">
        <v>46049.21301930302</v>
      </c>
      <c r="G15634" s="3" t="s">
        <v>11470</v>
      </c>
    </row>
    <row r="15635">
      <c r="A15635" s="3" t="s">
        <v>31616</v>
      </c>
      <c r="B15635" s="3" t="s">
        <v>13143</v>
      </c>
      <c r="C15635" s="5" t="s">
        <v>206</v>
      </c>
      <c r="D15635" s="3" t="s">
        <v>68</v>
      </c>
      <c r="E15635" s="3" t="s">
        <v>100</v>
      </c>
      <c r="F15635" s="7">
        <v>46049.216491525236</v>
      </c>
      <c r="G15635" s="3" t="s">
        <v>11473</v>
      </c>
    </row>
    <row r="15636">
      <c r="A15636" s="3" t="s">
        <v>31617</v>
      </c>
      <c r="B15636" s="3" t="s">
        <v>13146</v>
      </c>
      <c r="C15636" s="5" t="s">
        <v>45</v>
      </c>
      <c r="D15636" s="3" t="s">
        <v>221</v>
      </c>
      <c r="E15636" s="3" t="s">
        <v>226</v>
      </c>
      <c r="F15636" s="7">
        <v>46049.277249703984</v>
      </c>
      <c r="G15636" s="3" t="s">
        <v>29889</v>
      </c>
    </row>
    <row r="15637">
      <c r="A15637" s="3" t="s">
        <v>31618</v>
      </c>
      <c r="B15637" s="3" t="s">
        <v>13146</v>
      </c>
      <c r="C15637" s="5" t="s">
        <v>221</v>
      </c>
      <c r="D15637" s="3" t="s">
        <v>614</v>
      </c>
      <c r="E15637" s="3" t="s">
        <v>118</v>
      </c>
      <c r="F15637" s="7">
        <v>46049.2807219262</v>
      </c>
      <c r="G15637" s="3" t="s">
        <v>29891</v>
      </c>
    </row>
    <row r="15638">
      <c r="A15638" s="3" t="s">
        <v>31619</v>
      </c>
      <c r="B15638" s="3" t="s">
        <v>13146</v>
      </c>
      <c r="C15638" s="5" t="s">
        <v>614</v>
      </c>
      <c r="D15638" s="3" t="s">
        <v>206</v>
      </c>
      <c r="E15638" s="3" t="s">
        <v>100</v>
      </c>
      <c r="F15638" s="7">
        <v>46049.28419414843</v>
      </c>
      <c r="G15638" s="3" t="s">
        <v>29893</v>
      </c>
    </row>
    <row r="15639">
      <c r="A15639" s="3" t="s">
        <v>31620</v>
      </c>
      <c r="B15639" s="3" t="s">
        <v>13146</v>
      </c>
      <c r="C15639" s="5" t="s">
        <v>206</v>
      </c>
      <c r="D15639" s="3" t="s">
        <v>68</v>
      </c>
      <c r="E15639" s="3" t="s">
        <v>100</v>
      </c>
      <c r="F15639" s="7">
        <v>46049.28766637065</v>
      </c>
      <c r="G15639" s="3" t="s">
        <v>29895</v>
      </c>
    </row>
    <row r="15640">
      <c r="A15640" s="3" t="s">
        <v>31621</v>
      </c>
      <c r="B15640" s="3" t="s">
        <v>13149</v>
      </c>
      <c r="C15640" s="5" t="s">
        <v>45</v>
      </c>
      <c r="D15640" s="3" t="s">
        <v>221</v>
      </c>
      <c r="E15640" s="3" t="s">
        <v>886</v>
      </c>
      <c r="F15640" s="7">
        <v>46049.3484245494</v>
      </c>
      <c r="G15640" s="3" t="s">
        <v>18140</v>
      </c>
    </row>
    <row r="15641">
      <c r="A15641" s="3" t="s">
        <v>31622</v>
      </c>
      <c r="B15641" s="3" t="s">
        <v>13149</v>
      </c>
      <c r="C15641" s="5" t="s">
        <v>221</v>
      </c>
      <c r="D15641" s="3" t="s">
        <v>614</v>
      </c>
      <c r="E15641" s="3" t="s">
        <v>118</v>
      </c>
      <c r="F15641" s="7">
        <v>46049.351896771615</v>
      </c>
      <c r="G15641" s="3" t="s">
        <v>18143</v>
      </c>
    </row>
    <row r="15642">
      <c r="A15642" s="3" t="s">
        <v>31623</v>
      </c>
      <c r="B15642" s="3" t="s">
        <v>13149</v>
      </c>
      <c r="C15642" s="5" t="s">
        <v>614</v>
      </c>
      <c r="D15642" s="3" t="s">
        <v>206</v>
      </c>
      <c r="E15642" s="3" t="s">
        <v>100</v>
      </c>
      <c r="F15642" s="7">
        <v>46049.35536899384</v>
      </c>
      <c r="G15642" s="3" t="s">
        <v>18146</v>
      </c>
    </row>
    <row r="15643">
      <c r="A15643" s="3" t="s">
        <v>31624</v>
      </c>
      <c r="B15643" s="3" t="s">
        <v>13149</v>
      </c>
      <c r="C15643" s="5" t="s">
        <v>206</v>
      </c>
      <c r="D15643" s="3" t="s">
        <v>68</v>
      </c>
      <c r="E15643" s="3" t="s">
        <v>100</v>
      </c>
      <c r="F15643" s="7">
        <v>46049.35884121606</v>
      </c>
      <c r="G15643" s="3" t="s">
        <v>18149</v>
      </c>
    </row>
    <row r="15644">
      <c r="A15644" s="3" t="s">
        <v>31625</v>
      </c>
      <c r="B15644" s="3" t="s">
        <v>13150</v>
      </c>
      <c r="C15644" s="5" t="s">
        <v>45</v>
      </c>
      <c r="D15644" s="3" t="s">
        <v>221</v>
      </c>
      <c r="E15644" s="3" t="s">
        <v>436</v>
      </c>
      <c r="F15644" s="7">
        <v>46049.419599394816</v>
      </c>
      <c r="G15644" s="3" t="s">
        <v>7732</v>
      </c>
    </row>
    <row r="15645">
      <c r="A15645" s="3" t="s">
        <v>31626</v>
      </c>
      <c r="B15645" s="3" t="s">
        <v>13150</v>
      </c>
      <c r="C15645" s="5" t="s">
        <v>221</v>
      </c>
      <c r="D15645" s="3" t="s">
        <v>614</v>
      </c>
      <c r="E15645" s="3" t="s">
        <v>118</v>
      </c>
      <c r="F15645" s="7">
        <v>46049.423071617035</v>
      </c>
      <c r="G15645" s="3" t="s">
        <v>7735</v>
      </c>
    </row>
    <row r="15646">
      <c r="A15646" s="3" t="s">
        <v>31627</v>
      </c>
      <c r="B15646" s="3" t="s">
        <v>13150</v>
      </c>
      <c r="C15646" s="5" t="s">
        <v>614</v>
      </c>
      <c r="D15646" s="3" t="s">
        <v>206</v>
      </c>
      <c r="E15646" s="3" t="s">
        <v>100</v>
      </c>
      <c r="F15646" s="7">
        <v>46049.42654383926</v>
      </c>
      <c r="G15646" s="3" t="s">
        <v>7738</v>
      </c>
    </row>
    <row r="15647">
      <c r="A15647" s="3" t="s">
        <v>31628</v>
      </c>
      <c r="B15647" s="3" t="s">
        <v>13150</v>
      </c>
      <c r="C15647" s="5" t="s">
        <v>206</v>
      </c>
      <c r="D15647" s="3" t="s">
        <v>68</v>
      </c>
      <c r="E15647" s="3" t="s">
        <v>100</v>
      </c>
      <c r="F15647" s="7">
        <v>46049.43001606148</v>
      </c>
      <c r="G15647" s="3" t="s">
        <v>7741</v>
      </c>
    </row>
    <row r="15648">
      <c r="A15648" s="3" t="s">
        <v>31629</v>
      </c>
      <c r="B15648" s="3" t="s">
        <v>13152</v>
      </c>
      <c r="C15648" s="5" t="s">
        <v>45</v>
      </c>
      <c r="D15648" s="3" t="s">
        <v>221</v>
      </c>
      <c r="E15648" s="3" t="s">
        <v>903</v>
      </c>
      <c r="F15648" s="7">
        <v>46049.49077424023</v>
      </c>
      <c r="G15648" s="3" t="s">
        <v>12781</v>
      </c>
    </row>
    <row r="15649">
      <c r="A15649" s="3" t="s">
        <v>31630</v>
      </c>
      <c r="B15649" s="3" t="s">
        <v>13152</v>
      </c>
      <c r="C15649" s="5" t="s">
        <v>221</v>
      </c>
      <c r="D15649" s="3" t="s">
        <v>614</v>
      </c>
      <c r="E15649" s="3" t="s">
        <v>118</v>
      </c>
      <c r="F15649" s="7">
        <v>46049.49424646245</v>
      </c>
      <c r="G15649" s="3" t="s">
        <v>12784</v>
      </c>
    </row>
    <row r="15650">
      <c r="A15650" s="3" t="s">
        <v>31631</v>
      </c>
      <c r="B15650" s="3" t="s">
        <v>13152</v>
      </c>
      <c r="C15650" s="5" t="s">
        <v>614</v>
      </c>
      <c r="D15650" s="3" t="s">
        <v>206</v>
      </c>
      <c r="E15650" s="3" t="s">
        <v>100</v>
      </c>
      <c r="F15650" s="7">
        <v>46049.49771868467</v>
      </c>
      <c r="G15650" s="3" t="s">
        <v>12787</v>
      </c>
    </row>
    <row r="15651">
      <c r="A15651" s="3" t="s">
        <v>31632</v>
      </c>
      <c r="B15651" s="3" t="s">
        <v>13152</v>
      </c>
      <c r="C15651" s="5" t="s">
        <v>206</v>
      </c>
      <c r="D15651" s="3" t="s">
        <v>68</v>
      </c>
      <c r="E15651" s="3" t="s">
        <v>100</v>
      </c>
      <c r="F15651" s="7">
        <v>46049.50119090689</v>
      </c>
      <c r="G15651" s="3" t="s">
        <v>12790</v>
      </c>
    </row>
    <row r="15652">
      <c r="A15652" s="3" t="s">
        <v>31633</v>
      </c>
      <c r="B15652" s="3" t="s">
        <v>13154</v>
      </c>
      <c r="C15652" s="5" t="s">
        <v>45</v>
      </c>
      <c r="D15652" s="3" t="s">
        <v>221</v>
      </c>
      <c r="E15652" s="3" t="s">
        <v>411</v>
      </c>
      <c r="F15652" s="7">
        <v>46049.56194908564</v>
      </c>
      <c r="G15652" s="3" t="s">
        <v>5280</v>
      </c>
    </row>
    <row r="15653">
      <c r="A15653" s="3" t="s">
        <v>31634</v>
      </c>
      <c r="B15653" s="3" t="s">
        <v>13154</v>
      </c>
      <c r="C15653" s="5" t="s">
        <v>221</v>
      </c>
      <c r="D15653" s="3" t="s">
        <v>614</v>
      </c>
      <c r="E15653" s="3" t="s">
        <v>118</v>
      </c>
      <c r="F15653" s="7">
        <v>46049.56542130786</v>
      </c>
      <c r="G15653" s="3" t="s">
        <v>5283</v>
      </c>
    </row>
    <row r="15654">
      <c r="A15654" s="3" t="s">
        <v>31635</v>
      </c>
      <c r="B15654" s="3" t="s">
        <v>13154</v>
      </c>
      <c r="C15654" s="5" t="s">
        <v>614</v>
      </c>
      <c r="D15654" s="3" t="s">
        <v>206</v>
      </c>
      <c r="E15654" s="3" t="s">
        <v>100</v>
      </c>
      <c r="F15654" s="7">
        <v>46049.568893530086</v>
      </c>
      <c r="G15654" s="3" t="s">
        <v>5286</v>
      </c>
    </row>
    <row r="15655">
      <c r="A15655" s="3" t="s">
        <v>31636</v>
      </c>
      <c r="B15655" s="3" t="s">
        <v>13154</v>
      </c>
      <c r="C15655" s="5" t="s">
        <v>206</v>
      </c>
      <c r="D15655" s="3" t="s">
        <v>68</v>
      </c>
      <c r="E15655" s="3" t="s">
        <v>100</v>
      </c>
      <c r="F15655" s="7">
        <v>46049.572365752305</v>
      </c>
      <c r="G15655" s="3" t="s">
        <v>5289</v>
      </c>
    </row>
    <row r="15656">
      <c r="A15656" s="3" t="s">
        <v>31637</v>
      </c>
      <c r="B15656" s="3" t="s">
        <v>13156</v>
      </c>
      <c r="C15656" s="5" t="s">
        <v>45</v>
      </c>
      <c r="D15656" s="3" t="s">
        <v>221</v>
      </c>
      <c r="E15656" s="3" t="s">
        <v>658</v>
      </c>
      <c r="F15656" s="7">
        <v>46049.63312393106</v>
      </c>
      <c r="G15656" s="3" t="s">
        <v>5303</v>
      </c>
    </row>
    <row r="15657">
      <c r="A15657" s="3" t="s">
        <v>31638</v>
      </c>
      <c r="B15657" s="3" t="s">
        <v>13156</v>
      </c>
      <c r="C15657" s="5" t="s">
        <v>221</v>
      </c>
      <c r="D15657" s="3" t="s">
        <v>614</v>
      </c>
      <c r="E15657" s="3" t="s">
        <v>118</v>
      </c>
      <c r="F15657" s="7">
        <v>46049.63659615328</v>
      </c>
      <c r="G15657" s="3" t="s">
        <v>5305</v>
      </c>
    </row>
    <row r="15658">
      <c r="A15658" s="3" t="s">
        <v>31639</v>
      </c>
      <c r="B15658" s="3" t="s">
        <v>13156</v>
      </c>
      <c r="C15658" s="5" t="s">
        <v>614</v>
      </c>
      <c r="D15658" s="3" t="s">
        <v>206</v>
      </c>
      <c r="E15658" s="3" t="s">
        <v>100</v>
      </c>
      <c r="F15658" s="7">
        <v>46049.640068375506</v>
      </c>
      <c r="G15658" s="3" t="s">
        <v>5308</v>
      </c>
    </row>
    <row r="15659">
      <c r="A15659" s="3" t="s">
        <v>31640</v>
      </c>
      <c r="B15659" s="3" t="s">
        <v>13156</v>
      </c>
      <c r="C15659" s="5" t="s">
        <v>206</v>
      </c>
      <c r="D15659" s="3" t="s">
        <v>68</v>
      </c>
      <c r="E15659" s="3" t="s">
        <v>100</v>
      </c>
      <c r="F15659" s="7">
        <v>46049.643540597724</v>
      </c>
      <c r="G15659" s="3" t="s">
        <v>5311</v>
      </c>
    </row>
    <row r="15660">
      <c r="A15660" s="3" t="s">
        <v>31641</v>
      </c>
      <c r="B15660" s="3" t="s">
        <v>13158</v>
      </c>
      <c r="C15660" s="5" t="s">
        <v>45</v>
      </c>
      <c r="D15660" s="3" t="s">
        <v>221</v>
      </c>
      <c r="E15660" s="3" t="s">
        <v>939</v>
      </c>
      <c r="F15660" s="7">
        <v>46049.70429877648</v>
      </c>
      <c r="G15660" s="3" t="s">
        <v>5366</v>
      </c>
    </row>
    <row r="15661">
      <c r="A15661" s="3" t="s">
        <v>31642</v>
      </c>
      <c r="B15661" s="3" t="s">
        <v>13158</v>
      </c>
      <c r="C15661" s="5" t="s">
        <v>221</v>
      </c>
      <c r="D15661" s="3" t="s">
        <v>614</v>
      </c>
      <c r="E15661" s="3" t="s">
        <v>118</v>
      </c>
      <c r="F15661" s="7">
        <v>46049.7077709987</v>
      </c>
      <c r="G15661" s="3" t="s">
        <v>5369</v>
      </c>
    </row>
    <row r="15662">
      <c r="A15662" s="3" t="s">
        <v>31643</v>
      </c>
      <c r="B15662" s="3" t="s">
        <v>13158</v>
      </c>
      <c r="C15662" s="5" t="s">
        <v>614</v>
      </c>
      <c r="D15662" s="3" t="s">
        <v>206</v>
      </c>
      <c r="E15662" s="3" t="s">
        <v>100</v>
      </c>
      <c r="F15662" s="7">
        <v>46049.711243220925</v>
      </c>
      <c r="G15662" s="3" t="s">
        <v>5372</v>
      </c>
    </row>
    <row r="15663">
      <c r="A15663" s="3" t="s">
        <v>31644</v>
      </c>
      <c r="B15663" s="3" t="s">
        <v>13158</v>
      </c>
      <c r="C15663" s="5" t="s">
        <v>206</v>
      </c>
      <c r="D15663" s="3" t="s">
        <v>68</v>
      </c>
      <c r="E15663" s="3" t="s">
        <v>100</v>
      </c>
      <c r="F15663" s="7">
        <v>46049.714715443144</v>
      </c>
      <c r="G15663" s="3" t="s">
        <v>5374</v>
      </c>
    </row>
    <row r="15664">
      <c r="A15664" s="3" t="s">
        <v>31645</v>
      </c>
      <c r="B15664" s="3" t="s">
        <v>13160</v>
      </c>
      <c r="C15664" s="5" t="s">
        <v>45</v>
      </c>
      <c r="D15664" s="3" t="s">
        <v>221</v>
      </c>
      <c r="E15664" s="3" t="s">
        <v>515</v>
      </c>
      <c r="F15664" s="7">
        <v>46049.775473621885</v>
      </c>
      <c r="G15664" s="3" t="s">
        <v>20096</v>
      </c>
    </row>
    <row r="15665">
      <c r="A15665" s="3" t="s">
        <v>31646</v>
      </c>
      <c r="B15665" s="3" t="s">
        <v>13160</v>
      </c>
      <c r="C15665" s="5" t="s">
        <v>221</v>
      </c>
      <c r="D15665" s="3" t="s">
        <v>614</v>
      </c>
      <c r="E15665" s="3" t="s">
        <v>118</v>
      </c>
      <c r="F15665" s="7">
        <v>46049.778945844104</v>
      </c>
      <c r="G15665" s="3" t="s">
        <v>20098</v>
      </c>
    </row>
    <row r="15666">
      <c r="A15666" s="3" t="s">
        <v>31647</v>
      </c>
      <c r="B15666" s="3" t="s">
        <v>13160</v>
      </c>
      <c r="C15666" s="5" t="s">
        <v>614</v>
      </c>
      <c r="D15666" s="3" t="s">
        <v>206</v>
      </c>
      <c r="E15666" s="3" t="s">
        <v>100</v>
      </c>
      <c r="F15666" s="7">
        <v>46049.78241806633</v>
      </c>
      <c r="G15666" s="3" t="s">
        <v>20101</v>
      </c>
    </row>
    <row r="15667">
      <c r="A15667" s="3" t="s">
        <v>31648</v>
      </c>
      <c r="B15667" s="3" t="s">
        <v>13160</v>
      </c>
      <c r="C15667" s="5" t="s">
        <v>206</v>
      </c>
      <c r="D15667" s="3" t="s">
        <v>68</v>
      </c>
      <c r="E15667" s="3" t="s">
        <v>100</v>
      </c>
      <c r="F15667" s="7">
        <v>46049.78589028855</v>
      </c>
      <c r="G15667" s="3" t="s">
        <v>20104</v>
      </c>
    </row>
    <row r="15668">
      <c r="A15668" s="3" t="s">
        <v>31649</v>
      </c>
      <c r="B15668" s="3" t="s">
        <v>13162</v>
      </c>
      <c r="C15668" s="5" t="s">
        <v>45</v>
      </c>
      <c r="D15668" s="3" t="s">
        <v>221</v>
      </c>
      <c r="E15668" s="3" t="s">
        <v>895</v>
      </c>
      <c r="F15668" s="7">
        <v>46049.846648467304</v>
      </c>
      <c r="G15668" s="3" t="s">
        <v>27581</v>
      </c>
    </row>
    <row r="15669">
      <c r="A15669" s="3" t="s">
        <v>31650</v>
      </c>
      <c r="B15669" s="3" t="s">
        <v>13162</v>
      </c>
      <c r="C15669" s="5" t="s">
        <v>221</v>
      </c>
      <c r="D15669" s="3" t="s">
        <v>614</v>
      </c>
      <c r="E15669" s="3" t="s">
        <v>118</v>
      </c>
      <c r="F15669" s="7">
        <v>46049.85012068952</v>
      </c>
      <c r="G15669" s="3" t="s">
        <v>27583</v>
      </c>
    </row>
    <row r="15670">
      <c r="A15670" s="3" t="s">
        <v>31651</v>
      </c>
      <c r="B15670" s="3" t="s">
        <v>13162</v>
      </c>
      <c r="C15670" s="5" t="s">
        <v>614</v>
      </c>
      <c r="D15670" s="3" t="s">
        <v>206</v>
      </c>
      <c r="E15670" s="3" t="s">
        <v>100</v>
      </c>
      <c r="F15670" s="7">
        <v>46049.85359291175</v>
      </c>
      <c r="G15670" s="3" t="s">
        <v>27585</v>
      </c>
    </row>
    <row r="15671">
      <c r="A15671" s="3" t="s">
        <v>31652</v>
      </c>
      <c r="B15671" s="3" t="s">
        <v>13162</v>
      </c>
      <c r="C15671" s="5" t="s">
        <v>206</v>
      </c>
      <c r="D15671" s="3" t="s">
        <v>68</v>
      </c>
      <c r="E15671" s="3" t="s">
        <v>100</v>
      </c>
      <c r="F15671" s="7">
        <v>46049.85706513397</v>
      </c>
      <c r="G15671" s="3" t="s">
        <v>27587</v>
      </c>
    </row>
    <row r="15672">
      <c r="A15672" s="3" t="s">
        <v>31653</v>
      </c>
      <c r="B15672" s="3" t="s">
        <v>13165</v>
      </c>
      <c r="C15672" s="5" t="s">
        <v>45</v>
      </c>
      <c r="D15672" s="3" t="s">
        <v>221</v>
      </c>
      <c r="E15672" s="3" t="s">
        <v>980</v>
      </c>
      <c r="F15672" s="7">
        <v>46049.917823312724</v>
      </c>
      <c r="G15672" s="3" t="s">
        <v>2770</v>
      </c>
    </row>
    <row r="15673">
      <c r="A15673" s="3" t="s">
        <v>31654</v>
      </c>
      <c r="B15673" s="3" t="s">
        <v>13165</v>
      </c>
      <c r="C15673" s="5" t="s">
        <v>221</v>
      </c>
      <c r="D15673" s="3" t="s">
        <v>195</v>
      </c>
      <c r="E15673" s="3" t="s">
        <v>980</v>
      </c>
      <c r="F15673" s="7">
        <v>46049.92129553494</v>
      </c>
      <c r="G15673" s="3" t="s">
        <v>3055</v>
      </c>
    </row>
    <row r="15674">
      <c r="A15674" s="3" t="s">
        <v>31655</v>
      </c>
      <c r="B15674" s="3" t="s">
        <v>13167</v>
      </c>
      <c r="C15674" s="5" t="s">
        <v>45</v>
      </c>
      <c r="D15674" s="3" t="s">
        <v>221</v>
      </c>
      <c r="E15674" s="3" t="s">
        <v>211</v>
      </c>
      <c r="F15674" s="7">
        <v>46049.98899815814</v>
      </c>
      <c r="G15674" s="3" t="s">
        <v>5696</v>
      </c>
    </row>
    <row r="15675">
      <c r="A15675" s="3" t="s">
        <v>31656</v>
      </c>
      <c r="B15675" s="3" t="s">
        <v>13167</v>
      </c>
      <c r="C15675" s="5" t="s">
        <v>221</v>
      </c>
      <c r="D15675" s="3" t="s">
        <v>614</v>
      </c>
      <c r="E15675" s="3" t="s">
        <v>118</v>
      </c>
      <c r="F15675" s="7">
        <v>46049.992470380355</v>
      </c>
      <c r="G15675" s="3" t="s">
        <v>5699</v>
      </c>
    </row>
    <row r="15676">
      <c r="A15676" s="3" t="s">
        <v>31657</v>
      </c>
      <c r="B15676" s="3" t="s">
        <v>13167</v>
      </c>
      <c r="C15676" s="5" t="s">
        <v>614</v>
      </c>
      <c r="D15676" s="3" t="s">
        <v>206</v>
      </c>
      <c r="E15676" s="3" t="s">
        <v>100</v>
      </c>
      <c r="F15676" s="7">
        <v>46049.99594260258</v>
      </c>
      <c r="G15676" s="3" t="s">
        <v>5701</v>
      </c>
    </row>
    <row r="15677">
      <c r="A15677" s="3" t="s">
        <v>31658</v>
      </c>
      <c r="B15677" s="3" t="s">
        <v>13167</v>
      </c>
      <c r="C15677" s="5" t="s">
        <v>206</v>
      </c>
      <c r="D15677" s="3" t="s">
        <v>68</v>
      </c>
      <c r="E15677" s="3" t="s">
        <v>100</v>
      </c>
      <c r="F15677" s="7">
        <v>46049.9994148248</v>
      </c>
      <c r="G15677" s="3" t="s">
        <v>5704</v>
      </c>
    </row>
    <row r="15678">
      <c r="A15678" s="3" t="s">
        <v>31659</v>
      </c>
      <c r="B15678" s="3" t="s">
        <v>13169</v>
      </c>
      <c r="C15678" s="5" t="s">
        <v>45</v>
      </c>
      <c r="D15678" s="3" t="s">
        <v>221</v>
      </c>
      <c r="E15678" s="3" t="s">
        <v>1021</v>
      </c>
      <c r="F15678" s="7">
        <v>46050.06017300355</v>
      </c>
      <c r="G15678" s="3" t="s">
        <v>11571</v>
      </c>
    </row>
    <row r="15679">
      <c r="A15679" s="3" t="s">
        <v>31660</v>
      </c>
      <c r="B15679" s="3" t="s">
        <v>13169</v>
      </c>
      <c r="C15679" s="5" t="s">
        <v>221</v>
      </c>
      <c r="D15679" s="3" t="s">
        <v>614</v>
      </c>
      <c r="E15679" s="3" t="s">
        <v>118</v>
      </c>
      <c r="F15679" s="7">
        <v>46050.06364522577</v>
      </c>
      <c r="G15679" s="3" t="s">
        <v>27354</v>
      </c>
    </row>
    <row r="15680">
      <c r="A15680" s="3" t="s">
        <v>31661</v>
      </c>
      <c r="B15680" s="3" t="s">
        <v>13169</v>
      </c>
      <c r="C15680" s="5" t="s">
        <v>614</v>
      </c>
      <c r="D15680" s="3" t="s">
        <v>206</v>
      </c>
      <c r="E15680" s="3" t="s">
        <v>100</v>
      </c>
      <c r="F15680" s="7">
        <v>46050.067117447994</v>
      </c>
      <c r="G15680" s="3" t="s">
        <v>27356</v>
      </c>
    </row>
    <row r="15681">
      <c r="A15681" s="3" t="s">
        <v>31662</v>
      </c>
      <c r="B15681" s="3" t="s">
        <v>13169</v>
      </c>
      <c r="C15681" s="5" t="s">
        <v>206</v>
      </c>
      <c r="D15681" s="3" t="s">
        <v>68</v>
      </c>
      <c r="E15681" s="3" t="s">
        <v>100</v>
      </c>
      <c r="F15681" s="7">
        <v>46050.07058967021</v>
      </c>
      <c r="G15681" s="3" t="s">
        <v>27358</v>
      </c>
    </row>
    <row r="15682">
      <c r="A15682" s="3" t="s">
        <v>31663</v>
      </c>
      <c r="B15682" s="3" t="s">
        <v>13172</v>
      </c>
      <c r="C15682" s="5" t="s">
        <v>45</v>
      </c>
      <c r="D15682" s="3" t="s">
        <v>221</v>
      </c>
      <c r="E15682" s="3" t="s">
        <v>541</v>
      </c>
      <c r="F15682" s="7">
        <v>46050.13134784897</v>
      </c>
      <c r="G15682" s="3" t="s">
        <v>2770</v>
      </c>
    </row>
    <row r="15683">
      <c r="A15683" s="3" t="s">
        <v>31664</v>
      </c>
      <c r="B15683" s="3" t="s">
        <v>13172</v>
      </c>
      <c r="C15683" s="5" t="s">
        <v>221</v>
      </c>
      <c r="D15683" s="3" t="s">
        <v>195</v>
      </c>
      <c r="E15683" s="3" t="s">
        <v>541</v>
      </c>
      <c r="F15683" s="7">
        <v>46050.13482007119</v>
      </c>
      <c r="G15683" s="3" t="s">
        <v>3055</v>
      </c>
    </row>
    <row r="15684">
      <c r="A15684" s="3" t="s">
        <v>31665</v>
      </c>
      <c r="B15684" s="3" t="s">
        <v>13173</v>
      </c>
      <c r="C15684" s="5" t="s">
        <v>45</v>
      </c>
      <c r="D15684" s="3" t="s">
        <v>221</v>
      </c>
      <c r="E15684" s="3" t="s">
        <v>352</v>
      </c>
      <c r="F15684" s="7">
        <v>46050.20252269438</v>
      </c>
      <c r="G15684" s="3" t="s">
        <v>4500</v>
      </c>
    </row>
    <row r="15685">
      <c r="A15685" s="3" t="s">
        <v>31666</v>
      </c>
      <c r="B15685" s="3" t="s">
        <v>13173</v>
      </c>
      <c r="C15685" s="5" t="s">
        <v>221</v>
      </c>
      <c r="D15685" s="3" t="s">
        <v>614</v>
      </c>
      <c r="E15685" s="3" t="s">
        <v>118</v>
      </c>
      <c r="F15685" s="7">
        <v>46050.2059949166</v>
      </c>
      <c r="G15685" s="3" t="s">
        <v>4503</v>
      </c>
    </row>
    <row r="15686">
      <c r="A15686" s="3" t="s">
        <v>31667</v>
      </c>
      <c r="B15686" s="3" t="s">
        <v>13173</v>
      </c>
      <c r="C15686" s="5" t="s">
        <v>614</v>
      </c>
      <c r="D15686" s="3" t="s">
        <v>206</v>
      </c>
      <c r="E15686" s="3" t="s">
        <v>100</v>
      </c>
      <c r="F15686" s="7">
        <v>46050.209467138826</v>
      </c>
      <c r="G15686" s="3" t="s">
        <v>4506</v>
      </c>
    </row>
    <row r="15687">
      <c r="A15687" s="3" t="s">
        <v>31668</v>
      </c>
      <c r="B15687" s="3" t="s">
        <v>13173</v>
      </c>
      <c r="C15687" s="5" t="s">
        <v>206</v>
      </c>
      <c r="D15687" s="3" t="s">
        <v>68</v>
      </c>
      <c r="E15687" s="3" t="s">
        <v>100</v>
      </c>
      <c r="F15687" s="7">
        <v>46050.212939361045</v>
      </c>
      <c r="G15687" s="3" t="s">
        <v>4509</v>
      </c>
    </row>
    <row r="15688">
      <c r="A15688" s="3" t="s">
        <v>31669</v>
      </c>
      <c r="B15688" s="3" t="s">
        <v>13175</v>
      </c>
      <c r="C15688" s="5" t="s">
        <v>45</v>
      </c>
      <c r="D15688" s="3" t="s">
        <v>221</v>
      </c>
      <c r="E15688" s="3" t="s">
        <v>414</v>
      </c>
      <c r="F15688" s="7">
        <v>46050.27369753979</v>
      </c>
      <c r="G15688" s="3" t="s">
        <v>29957</v>
      </c>
    </row>
    <row r="15689">
      <c r="A15689" s="3" t="s">
        <v>31670</v>
      </c>
      <c r="B15689" s="3" t="s">
        <v>13175</v>
      </c>
      <c r="C15689" s="5" t="s">
        <v>221</v>
      </c>
      <c r="D15689" s="3" t="s">
        <v>614</v>
      </c>
      <c r="E15689" s="3" t="s">
        <v>118</v>
      </c>
      <c r="F15689" s="7">
        <v>46050.27716976201</v>
      </c>
      <c r="G15689" s="3" t="s">
        <v>29959</v>
      </c>
    </row>
    <row r="15690">
      <c r="A15690" s="3" t="s">
        <v>31671</v>
      </c>
      <c r="B15690" s="3" t="s">
        <v>13175</v>
      </c>
      <c r="C15690" s="5" t="s">
        <v>614</v>
      </c>
      <c r="D15690" s="3" t="s">
        <v>206</v>
      </c>
      <c r="E15690" s="3" t="s">
        <v>100</v>
      </c>
      <c r="F15690" s="7">
        <v>46050.28064198424</v>
      </c>
      <c r="G15690" s="3" t="s">
        <v>29961</v>
      </c>
    </row>
    <row r="15691">
      <c r="A15691" s="3" t="s">
        <v>31672</v>
      </c>
      <c r="B15691" s="3" t="s">
        <v>13175</v>
      </c>
      <c r="C15691" s="5" t="s">
        <v>206</v>
      </c>
      <c r="D15691" s="3" t="s">
        <v>68</v>
      </c>
      <c r="E15691" s="3" t="s">
        <v>100</v>
      </c>
      <c r="F15691" s="7">
        <v>46050.28411420646</v>
      </c>
      <c r="G15691" s="3" t="s">
        <v>29963</v>
      </c>
    </row>
    <row r="15692">
      <c r="A15692" s="3" t="s">
        <v>31673</v>
      </c>
      <c r="B15692" s="3" t="s">
        <v>13177</v>
      </c>
      <c r="C15692" s="5" t="s">
        <v>45</v>
      </c>
      <c r="D15692" s="3" t="s">
        <v>221</v>
      </c>
      <c r="E15692" s="3" t="s">
        <v>148</v>
      </c>
      <c r="F15692" s="7">
        <v>46050.34487238521</v>
      </c>
      <c r="G15692" s="3" t="s">
        <v>4612</v>
      </c>
    </row>
    <row r="15693">
      <c r="A15693" s="3" t="s">
        <v>31674</v>
      </c>
      <c r="B15693" s="3" t="s">
        <v>13177</v>
      </c>
      <c r="C15693" s="5" t="s">
        <v>221</v>
      </c>
      <c r="D15693" s="3" t="s">
        <v>614</v>
      </c>
      <c r="E15693" s="3" t="s">
        <v>118</v>
      </c>
      <c r="F15693" s="7">
        <v>46050.34834460743</v>
      </c>
      <c r="G15693" s="3" t="s">
        <v>4615</v>
      </c>
    </row>
    <row r="15694">
      <c r="A15694" s="3" t="s">
        <v>31675</v>
      </c>
      <c r="B15694" s="3" t="s">
        <v>13177</v>
      </c>
      <c r="C15694" s="5" t="s">
        <v>614</v>
      </c>
      <c r="D15694" s="3" t="s">
        <v>206</v>
      </c>
      <c r="E15694" s="3" t="s">
        <v>100</v>
      </c>
      <c r="F15694" s="7">
        <v>46050.35181682966</v>
      </c>
      <c r="G15694" s="3" t="s">
        <v>4617</v>
      </c>
    </row>
    <row r="15695">
      <c r="A15695" s="3" t="s">
        <v>31676</v>
      </c>
      <c r="B15695" s="3" t="s">
        <v>13177</v>
      </c>
      <c r="C15695" s="5" t="s">
        <v>206</v>
      </c>
      <c r="D15695" s="3" t="s">
        <v>68</v>
      </c>
      <c r="E15695" s="3" t="s">
        <v>100</v>
      </c>
      <c r="F15695" s="7">
        <v>46050.35528905188</v>
      </c>
      <c r="G15695" s="3" t="s">
        <v>4620</v>
      </c>
    </row>
    <row r="15696">
      <c r="A15696" s="3" t="s">
        <v>31677</v>
      </c>
      <c r="B15696" s="3" t="s">
        <v>13178</v>
      </c>
      <c r="C15696" s="5" t="s">
        <v>45</v>
      </c>
      <c r="D15696" s="3" t="s">
        <v>221</v>
      </c>
      <c r="E15696" s="3" t="s">
        <v>993</v>
      </c>
      <c r="F15696" s="7">
        <v>46050.416047230625</v>
      </c>
      <c r="G15696" s="3" t="s">
        <v>4736</v>
      </c>
    </row>
    <row r="15697">
      <c r="A15697" s="3" t="s">
        <v>31678</v>
      </c>
      <c r="B15697" s="3" t="s">
        <v>13178</v>
      </c>
      <c r="C15697" s="5" t="s">
        <v>221</v>
      </c>
      <c r="D15697" s="3" t="s">
        <v>614</v>
      </c>
      <c r="E15697" s="3" t="s">
        <v>118</v>
      </c>
      <c r="F15697" s="7">
        <v>46050.419519452844</v>
      </c>
      <c r="G15697" s="3" t="s">
        <v>4738</v>
      </c>
    </row>
    <row r="15698">
      <c r="A15698" s="3" t="s">
        <v>31679</v>
      </c>
      <c r="B15698" s="3" t="s">
        <v>13178</v>
      </c>
      <c r="C15698" s="5" t="s">
        <v>614</v>
      </c>
      <c r="D15698" s="3" t="s">
        <v>206</v>
      </c>
      <c r="E15698" s="3" t="s">
        <v>100</v>
      </c>
      <c r="F15698" s="7">
        <v>46050.42299167507</v>
      </c>
      <c r="G15698" s="3" t="s">
        <v>4741</v>
      </c>
    </row>
    <row r="15699">
      <c r="A15699" s="3" t="s">
        <v>31680</v>
      </c>
      <c r="B15699" s="3" t="s">
        <v>13178</v>
      </c>
      <c r="C15699" s="5" t="s">
        <v>206</v>
      </c>
      <c r="D15699" s="3" t="s">
        <v>68</v>
      </c>
      <c r="E15699" s="3" t="s">
        <v>100</v>
      </c>
      <c r="F15699" s="7">
        <v>46050.42646389729</v>
      </c>
      <c r="G15699" s="3" t="s">
        <v>4744</v>
      </c>
    </row>
    <row r="15700">
      <c r="A15700" s="3" t="s">
        <v>31681</v>
      </c>
      <c r="B15700" s="3" t="s">
        <v>13180</v>
      </c>
      <c r="C15700" s="5" t="s">
        <v>45</v>
      </c>
      <c r="D15700" s="3" t="s">
        <v>221</v>
      </c>
      <c r="E15700" s="3" t="s">
        <v>414</v>
      </c>
      <c r="F15700" s="7">
        <v>46050.48722207604</v>
      </c>
      <c r="G15700" s="3" t="s">
        <v>3655</v>
      </c>
    </row>
    <row r="15701">
      <c r="A15701" s="3" t="s">
        <v>31682</v>
      </c>
      <c r="B15701" s="3" t="s">
        <v>13180</v>
      </c>
      <c r="C15701" s="5" t="s">
        <v>221</v>
      </c>
      <c r="D15701" s="3" t="s">
        <v>614</v>
      </c>
      <c r="E15701" s="3" t="s">
        <v>118</v>
      </c>
      <c r="F15701" s="7">
        <v>46050.490694298256</v>
      </c>
      <c r="G15701" s="3" t="s">
        <v>3658</v>
      </c>
    </row>
    <row r="15702">
      <c r="A15702" s="3" t="s">
        <v>31683</v>
      </c>
      <c r="B15702" s="3" t="s">
        <v>13180</v>
      </c>
      <c r="C15702" s="5" t="s">
        <v>614</v>
      </c>
      <c r="D15702" s="3" t="s">
        <v>206</v>
      </c>
      <c r="E15702" s="3" t="s">
        <v>100</v>
      </c>
      <c r="F15702" s="7">
        <v>46050.49416652048</v>
      </c>
      <c r="G15702" s="3" t="s">
        <v>3661</v>
      </c>
    </row>
    <row r="15703">
      <c r="A15703" s="3" t="s">
        <v>31684</v>
      </c>
      <c r="B15703" s="3" t="s">
        <v>13180</v>
      </c>
      <c r="C15703" s="5" t="s">
        <v>206</v>
      </c>
      <c r="D15703" s="3" t="s">
        <v>68</v>
      </c>
      <c r="E15703" s="3" t="s">
        <v>100</v>
      </c>
      <c r="F15703" s="7">
        <v>46050.4976387427</v>
      </c>
      <c r="G15703" s="3" t="s">
        <v>3664</v>
      </c>
    </row>
    <row r="15704">
      <c r="A15704" s="3" t="s">
        <v>31685</v>
      </c>
      <c r="B15704" s="3" t="s">
        <v>13182</v>
      </c>
      <c r="C15704" s="5" t="s">
        <v>45</v>
      </c>
      <c r="D15704" s="3" t="s">
        <v>221</v>
      </c>
      <c r="E15704" s="3" t="s">
        <v>1040</v>
      </c>
      <c r="F15704" s="7">
        <v>46050.55839692146</v>
      </c>
      <c r="G15704" s="3" t="s">
        <v>5431</v>
      </c>
    </row>
    <row r="15705">
      <c r="A15705" s="3" t="s">
        <v>31686</v>
      </c>
      <c r="B15705" s="3" t="s">
        <v>13182</v>
      </c>
      <c r="C15705" s="5" t="s">
        <v>221</v>
      </c>
      <c r="D15705" s="3" t="s">
        <v>614</v>
      </c>
      <c r="E15705" s="3" t="s">
        <v>118</v>
      </c>
      <c r="F15705" s="7">
        <v>46050.561869143676</v>
      </c>
      <c r="G15705" s="3" t="s">
        <v>5434</v>
      </c>
    </row>
    <row r="15706">
      <c r="A15706" s="3" t="s">
        <v>31687</v>
      </c>
      <c r="B15706" s="3" t="s">
        <v>13182</v>
      </c>
      <c r="C15706" s="5" t="s">
        <v>614</v>
      </c>
      <c r="D15706" s="3" t="s">
        <v>206</v>
      </c>
      <c r="E15706" s="3" t="s">
        <v>100</v>
      </c>
      <c r="F15706" s="7">
        <v>46050.5653413659</v>
      </c>
      <c r="G15706" s="3" t="s">
        <v>5437</v>
      </c>
    </row>
    <row r="15707">
      <c r="A15707" s="3" t="s">
        <v>31688</v>
      </c>
      <c r="B15707" s="3" t="s">
        <v>13182</v>
      </c>
      <c r="C15707" s="5" t="s">
        <v>206</v>
      </c>
      <c r="D15707" s="3" t="s">
        <v>68</v>
      </c>
      <c r="E15707" s="3" t="s">
        <v>100</v>
      </c>
      <c r="F15707" s="7">
        <v>46050.56881358812</v>
      </c>
      <c r="G15707" s="3" t="s">
        <v>5440</v>
      </c>
    </row>
    <row r="15708">
      <c r="A15708" s="3" t="s">
        <v>31689</v>
      </c>
      <c r="B15708" s="3" t="s">
        <v>13183</v>
      </c>
      <c r="C15708" s="5" t="s">
        <v>45</v>
      </c>
      <c r="D15708" s="3" t="s">
        <v>221</v>
      </c>
      <c r="E15708" s="3" t="s">
        <v>299</v>
      </c>
      <c r="F15708" s="7">
        <v>46050.62957176687</v>
      </c>
      <c r="G15708" s="3" t="s">
        <v>31690</v>
      </c>
    </row>
    <row r="15709">
      <c r="A15709" s="3" t="s">
        <v>31691</v>
      </c>
      <c r="B15709" s="3" t="s">
        <v>13183</v>
      </c>
      <c r="C15709" s="5" t="s">
        <v>221</v>
      </c>
      <c r="D15709" s="3" t="s">
        <v>181</v>
      </c>
      <c r="E15709" s="3" t="s">
        <v>118</v>
      </c>
      <c r="F15709" s="7">
        <v>46050.63304398909</v>
      </c>
      <c r="G15709" s="3" t="s">
        <v>31692</v>
      </c>
    </row>
    <row r="15710">
      <c r="A15710" s="3" t="s">
        <v>31693</v>
      </c>
      <c r="B15710" s="3" t="s">
        <v>13185</v>
      </c>
      <c r="C15710" s="5" t="s">
        <v>45</v>
      </c>
      <c r="D15710" s="3" t="s">
        <v>221</v>
      </c>
      <c r="E15710" s="3" t="s">
        <v>527</v>
      </c>
      <c r="F15710" s="7">
        <v>46050.70074661228</v>
      </c>
      <c r="G15710" s="3" t="s">
        <v>15152</v>
      </c>
    </row>
    <row r="15711">
      <c r="A15711" s="3" t="s">
        <v>31694</v>
      </c>
      <c r="B15711" s="3" t="s">
        <v>13185</v>
      </c>
      <c r="C15711" s="5" t="s">
        <v>221</v>
      </c>
      <c r="D15711" s="3" t="s">
        <v>614</v>
      </c>
      <c r="E15711" s="3" t="s">
        <v>118</v>
      </c>
      <c r="F15711" s="7">
        <v>46050.7042188345</v>
      </c>
      <c r="G15711" s="3" t="s">
        <v>15155</v>
      </c>
    </row>
    <row r="15712">
      <c r="A15712" s="3" t="s">
        <v>31695</v>
      </c>
      <c r="B15712" s="3" t="s">
        <v>13185</v>
      </c>
      <c r="C15712" s="5" t="s">
        <v>614</v>
      </c>
      <c r="D15712" s="3" t="s">
        <v>206</v>
      </c>
      <c r="E15712" s="3" t="s">
        <v>100</v>
      </c>
      <c r="F15712" s="7">
        <v>46050.70769105673</v>
      </c>
      <c r="G15712" s="3" t="s">
        <v>15157</v>
      </c>
    </row>
    <row r="15713">
      <c r="A15713" s="3" t="s">
        <v>31696</v>
      </c>
      <c r="B15713" s="3" t="s">
        <v>13185</v>
      </c>
      <c r="C15713" s="5" t="s">
        <v>206</v>
      </c>
      <c r="D15713" s="3" t="s">
        <v>68</v>
      </c>
      <c r="E15713" s="3" t="s">
        <v>100</v>
      </c>
      <c r="F15713" s="7">
        <v>46050.711163278946</v>
      </c>
      <c r="G15713" s="3" t="s">
        <v>15160</v>
      </c>
    </row>
    <row r="15714">
      <c r="A15714" s="3" t="s">
        <v>31697</v>
      </c>
      <c r="B15714" s="3" t="s">
        <v>13188</v>
      </c>
      <c r="C15714" s="5" t="s">
        <v>45</v>
      </c>
      <c r="D15714" s="3" t="s">
        <v>221</v>
      </c>
      <c r="E15714" s="3" t="s">
        <v>250</v>
      </c>
      <c r="F15714" s="7">
        <v>46050.7719214577</v>
      </c>
      <c r="G15714" s="3" t="s">
        <v>18846</v>
      </c>
    </row>
    <row r="15715">
      <c r="A15715" s="3" t="s">
        <v>31698</v>
      </c>
      <c r="B15715" s="3" t="s">
        <v>13188</v>
      </c>
      <c r="C15715" s="5" t="s">
        <v>221</v>
      </c>
      <c r="D15715" s="3" t="s">
        <v>614</v>
      </c>
      <c r="E15715" s="3" t="s">
        <v>118</v>
      </c>
      <c r="F15715" s="7">
        <v>46050.77539367992</v>
      </c>
      <c r="G15715" s="3" t="s">
        <v>18849</v>
      </c>
    </row>
    <row r="15716">
      <c r="A15716" s="3" t="s">
        <v>31699</v>
      </c>
      <c r="B15716" s="3" t="s">
        <v>13188</v>
      </c>
      <c r="C15716" s="5" t="s">
        <v>614</v>
      </c>
      <c r="D15716" s="3" t="s">
        <v>206</v>
      </c>
      <c r="E15716" s="3" t="s">
        <v>100</v>
      </c>
      <c r="F15716" s="7">
        <v>46050.778865902146</v>
      </c>
      <c r="G15716" s="3" t="s">
        <v>18852</v>
      </c>
    </row>
    <row r="15717">
      <c r="A15717" s="3" t="s">
        <v>31700</v>
      </c>
      <c r="B15717" s="3" t="s">
        <v>13188</v>
      </c>
      <c r="C15717" s="5" t="s">
        <v>206</v>
      </c>
      <c r="D15717" s="3" t="s">
        <v>68</v>
      </c>
      <c r="E15717" s="3" t="s">
        <v>100</v>
      </c>
      <c r="F15717" s="7">
        <v>46050.782338124365</v>
      </c>
      <c r="G15717" s="3" t="s">
        <v>18855</v>
      </c>
    </row>
    <row r="15718">
      <c r="A15718" s="3" t="s">
        <v>31701</v>
      </c>
      <c r="B15718" s="3" t="s">
        <v>13190</v>
      </c>
      <c r="C15718" s="5" t="s">
        <v>45</v>
      </c>
      <c r="D15718" s="3" t="s">
        <v>221</v>
      </c>
      <c r="E15718" s="3" t="s">
        <v>953</v>
      </c>
      <c r="F15718" s="7">
        <v>46050.84309630312</v>
      </c>
      <c r="G15718" s="3" t="s">
        <v>4712</v>
      </c>
    </row>
    <row r="15719">
      <c r="A15719" s="3" t="s">
        <v>31702</v>
      </c>
      <c r="B15719" s="3" t="s">
        <v>13190</v>
      </c>
      <c r="C15719" s="5" t="s">
        <v>221</v>
      </c>
      <c r="D15719" s="3" t="s">
        <v>614</v>
      </c>
      <c r="E15719" s="3" t="s">
        <v>118</v>
      </c>
      <c r="F15719" s="7">
        <v>46050.84656852534</v>
      </c>
      <c r="G15719" s="3" t="s">
        <v>4715</v>
      </c>
    </row>
    <row r="15720">
      <c r="A15720" s="3" t="s">
        <v>31703</v>
      </c>
      <c r="B15720" s="3" t="s">
        <v>13190</v>
      </c>
      <c r="C15720" s="5" t="s">
        <v>614</v>
      </c>
      <c r="D15720" s="3" t="s">
        <v>206</v>
      </c>
      <c r="E15720" s="3" t="s">
        <v>100</v>
      </c>
      <c r="F15720" s="7">
        <v>46050.850040747566</v>
      </c>
      <c r="G15720" s="3" t="s">
        <v>4718</v>
      </c>
    </row>
    <row r="15721">
      <c r="A15721" s="3" t="s">
        <v>31704</v>
      </c>
      <c r="B15721" s="3" t="s">
        <v>13190</v>
      </c>
      <c r="C15721" s="5" t="s">
        <v>206</v>
      </c>
      <c r="D15721" s="3" t="s">
        <v>68</v>
      </c>
      <c r="E15721" s="3" t="s">
        <v>100</v>
      </c>
      <c r="F15721" s="7">
        <v>46050.853512969785</v>
      </c>
      <c r="G15721" s="3" t="s">
        <v>4721</v>
      </c>
    </row>
    <row r="15722">
      <c r="A15722" s="3" t="s">
        <v>31705</v>
      </c>
      <c r="B15722" s="3" t="s">
        <v>13192</v>
      </c>
      <c r="C15722" s="5" t="s">
        <v>45</v>
      </c>
      <c r="D15722" s="3" t="s">
        <v>221</v>
      </c>
      <c r="E15722" s="3" t="s">
        <v>322</v>
      </c>
      <c r="F15722" s="7">
        <v>46050.914271148526</v>
      </c>
      <c r="G15722" s="3" t="s">
        <v>28527</v>
      </c>
    </row>
    <row r="15723">
      <c r="A15723" s="3" t="s">
        <v>31706</v>
      </c>
      <c r="B15723" s="3" t="s">
        <v>13192</v>
      </c>
      <c r="C15723" s="5" t="s">
        <v>221</v>
      </c>
      <c r="D15723" s="3" t="s">
        <v>614</v>
      </c>
      <c r="E15723" s="3" t="s">
        <v>118</v>
      </c>
      <c r="F15723" s="7">
        <v>46050.917743370745</v>
      </c>
      <c r="G15723" s="3" t="s">
        <v>28529</v>
      </c>
    </row>
    <row r="15724">
      <c r="A15724" s="3" t="s">
        <v>31707</v>
      </c>
      <c r="B15724" s="3" t="s">
        <v>13192</v>
      </c>
      <c r="C15724" s="5" t="s">
        <v>614</v>
      </c>
      <c r="D15724" s="3" t="s">
        <v>206</v>
      </c>
      <c r="E15724" s="3" t="s">
        <v>100</v>
      </c>
      <c r="F15724" s="7">
        <v>46050.92121559297</v>
      </c>
      <c r="G15724" s="3" t="s">
        <v>28531</v>
      </c>
    </row>
    <row r="15725">
      <c r="A15725" s="3" t="s">
        <v>31708</v>
      </c>
      <c r="B15725" s="3" t="s">
        <v>13192</v>
      </c>
      <c r="C15725" s="5" t="s">
        <v>206</v>
      </c>
      <c r="D15725" s="3" t="s">
        <v>68</v>
      </c>
      <c r="E15725" s="3" t="s">
        <v>100</v>
      </c>
      <c r="F15725" s="7">
        <v>46050.92468781519</v>
      </c>
      <c r="G15725" s="3" t="s">
        <v>28533</v>
      </c>
    </row>
    <row r="15726">
      <c r="A15726" s="3" t="s">
        <v>31709</v>
      </c>
      <c r="B15726" s="3" t="s">
        <v>13195</v>
      </c>
      <c r="C15726" s="5" t="s">
        <v>45</v>
      </c>
      <c r="D15726" s="3" t="s">
        <v>221</v>
      </c>
      <c r="E15726" s="3" t="s">
        <v>629</v>
      </c>
      <c r="F15726" s="7">
        <v>46050.985445993945</v>
      </c>
      <c r="G15726" s="3" t="s">
        <v>21414</v>
      </c>
    </row>
    <row r="15727">
      <c r="A15727" s="3" t="s">
        <v>31710</v>
      </c>
      <c r="B15727" s="3" t="s">
        <v>13195</v>
      </c>
      <c r="C15727" s="5" t="s">
        <v>221</v>
      </c>
      <c r="D15727" s="3" t="s">
        <v>614</v>
      </c>
      <c r="E15727" s="3" t="s">
        <v>118</v>
      </c>
      <c r="F15727" s="7">
        <v>46050.988918216164</v>
      </c>
      <c r="G15727" s="3" t="s">
        <v>21417</v>
      </c>
    </row>
    <row r="15728">
      <c r="A15728" s="3" t="s">
        <v>31711</v>
      </c>
      <c r="B15728" s="3" t="s">
        <v>13195</v>
      </c>
      <c r="C15728" s="5" t="s">
        <v>614</v>
      </c>
      <c r="D15728" s="3" t="s">
        <v>206</v>
      </c>
      <c r="E15728" s="3" t="s">
        <v>100</v>
      </c>
      <c r="F15728" s="7">
        <v>46050.99239043839</v>
      </c>
      <c r="G15728" s="3" t="s">
        <v>21420</v>
      </c>
    </row>
    <row r="15729">
      <c r="A15729" s="3" t="s">
        <v>31712</v>
      </c>
      <c r="B15729" s="3" t="s">
        <v>13195</v>
      </c>
      <c r="C15729" s="5" t="s">
        <v>206</v>
      </c>
      <c r="D15729" s="3" t="s">
        <v>68</v>
      </c>
      <c r="E15729" s="3" t="s">
        <v>100</v>
      </c>
      <c r="F15729" s="7">
        <v>46050.99586266061</v>
      </c>
      <c r="G15729" s="3" t="s">
        <v>21422</v>
      </c>
    </row>
    <row r="15730">
      <c r="A15730" s="3" t="s">
        <v>31713</v>
      </c>
      <c r="B15730" s="3" t="s">
        <v>13196</v>
      </c>
      <c r="C15730" s="5" t="s">
        <v>45</v>
      </c>
      <c r="D15730" s="3" t="s">
        <v>221</v>
      </c>
      <c r="E15730" s="3" t="s">
        <v>380</v>
      </c>
      <c r="F15730" s="7">
        <v>46051.056620839365</v>
      </c>
      <c r="G15730" s="3" t="s">
        <v>23421</v>
      </c>
    </row>
    <row r="15731">
      <c r="A15731" s="3" t="s">
        <v>31714</v>
      </c>
      <c r="B15731" s="3" t="s">
        <v>13196</v>
      </c>
      <c r="C15731" s="5" t="s">
        <v>221</v>
      </c>
      <c r="D15731" s="3" t="s">
        <v>614</v>
      </c>
      <c r="E15731" s="3" t="s">
        <v>118</v>
      </c>
      <c r="F15731" s="7">
        <v>46051.060093061584</v>
      </c>
      <c r="G15731" s="3" t="s">
        <v>24937</v>
      </c>
    </row>
    <row r="15732">
      <c r="A15732" s="3" t="s">
        <v>31715</v>
      </c>
      <c r="B15732" s="3" t="s">
        <v>13196</v>
      </c>
      <c r="C15732" s="5" t="s">
        <v>614</v>
      </c>
      <c r="D15732" s="3" t="s">
        <v>206</v>
      </c>
      <c r="E15732" s="3" t="s">
        <v>100</v>
      </c>
      <c r="F15732" s="7">
        <v>46051.06356528381</v>
      </c>
      <c r="G15732" s="3" t="s">
        <v>24939</v>
      </c>
    </row>
    <row r="15733">
      <c r="A15733" s="3" t="s">
        <v>31716</v>
      </c>
      <c r="B15733" s="3" t="s">
        <v>13196</v>
      </c>
      <c r="C15733" s="5" t="s">
        <v>206</v>
      </c>
      <c r="D15733" s="3" t="s">
        <v>68</v>
      </c>
      <c r="E15733" s="3" t="s">
        <v>100</v>
      </c>
      <c r="F15733" s="7">
        <v>46051.06703750603</v>
      </c>
      <c r="G15733" s="3" t="s">
        <v>24941</v>
      </c>
    </row>
    <row r="15734">
      <c r="A15734" s="3" t="s">
        <v>31717</v>
      </c>
      <c r="B15734" s="3" t="s">
        <v>13199</v>
      </c>
      <c r="C15734" s="5" t="s">
        <v>45</v>
      </c>
      <c r="D15734" s="3" t="s">
        <v>221</v>
      </c>
      <c r="E15734" s="3" t="s">
        <v>183</v>
      </c>
      <c r="F15734" s="7">
        <v>46051.12779568478</v>
      </c>
      <c r="G15734" s="3" t="s">
        <v>5456</v>
      </c>
    </row>
    <row r="15735">
      <c r="A15735" s="3" t="s">
        <v>31718</v>
      </c>
      <c r="B15735" s="3" t="s">
        <v>13199</v>
      </c>
      <c r="C15735" s="5" t="s">
        <v>221</v>
      </c>
      <c r="D15735" s="3" t="s">
        <v>614</v>
      </c>
      <c r="E15735" s="3" t="s">
        <v>118</v>
      </c>
      <c r="F15735" s="7">
        <v>46051.131267906996</v>
      </c>
      <c r="G15735" s="3" t="s">
        <v>5459</v>
      </c>
    </row>
    <row r="15736">
      <c r="A15736" s="3" t="s">
        <v>31719</v>
      </c>
      <c r="B15736" s="3" t="s">
        <v>13199</v>
      </c>
      <c r="C15736" s="5" t="s">
        <v>614</v>
      </c>
      <c r="D15736" s="3" t="s">
        <v>206</v>
      </c>
      <c r="E15736" s="3" t="s">
        <v>100</v>
      </c>
      <c r="F15736" s="7">
        <v>46051.13474012922</v>
      </c>
      <c r="G15736" s="3" t="s">
        <v>5461</v>
      </c>
    </row>
    <row r="15737">
      <c r="A15737" s="3" t="s">
        <v>31720</v>
      </c>
      <c r="B15737" s="3" t="s">
        <v>13199</v>
      </c>
      <c r="C15737" s="5" t="s">
        <v>206</v>
      </c>
      <c r="D15737" s="3" t="s">
        <v>68</v>
      </c>
      <c r="E15737" s="3" t="s">
        <v>100</v>
      </c>
      <c r="F15737" s="7">
        <v>46051.13821235144</v>
      </c>
      <c r="G15737" s="3" t="s">
        <v>5464</v>
      </c>
    </row>
    <row r="15738">
      <c r="A15738" s="3" t="s">
        <v>31721</v>
      </c>
      <c r="B15738" s="3" t="s">
        <v>13202</v>
      </c>
      <c r="C15738" s="5" t="s">
        <v>45</v>
      </c>
      <c r="D15738" s="3" t="s">
        <v>221</v>
      </c>
      <c r="E15738" s="3" t="s">
        <v>269</v>
      </c>
      <c r="F15738" s="7">
        <v>46051.19897053019</v>
      </c>
      <c r="G15738" s="3" t="s">
        <v>6834</v>
      </c>
    </row>
    <row r="15739">
      <c r="A15739" s="3" t="s">
        <v>31722</v>
      </c>
      <c r="B15739" s="3" t="s">
        <v>13202</v>
      </c>
      <c r="C15739" s="5" t="s">
        <v>221</v>
      </c>
      <c r="D15739" s="3" t="s">
        <v>614</v>
      </c>
      <c r="E15739" s="3" t="s">
        <v>118</v>
      </c>
      <c r="F15739" s="7">
        <v>46051.20244275241</v>
      </c>
      <c r="G15739" s="3" t="s">
        <v>6836</v>
      </c>
    </row>
    <row r="15740">
      <c r="A15740" s="3" t="s">
        <v>31723</v>
      </c>
      <c r="B15740" s="3" t="s">
        <v>13202</v>
      </c>
      <c r="C15740" s="5" t="s">
        <v>614</v>
      </c>
      <c r="D15740" s="3" t="s">
        <v>206</v>
      </c>
      <c r="E15740" s="3" t="s">
        <v>100</v>
      </c>
      <c r="F15740" s="7">
        <v>46051.205914974635</v>
      </c>
      <c r="G15740" s="3" t="s">
        <v>6839</v>
      </c>
    </row>
    <row r="15741">
      <c r="A15741" s="3" t="s">
        <v>31724</v>
      </c>
      <c r="B15741" s="3" t="s">
        <v>13202</v>
      </c>
      <c r="C15741" s="5" t="s">
        <v>206</v>
      </c>
      <c r="D15741" s="3" t="s">
        <v>68</v>
      </c>
      <c r="E15741" s="3" t="s">
        <v>100</v>
      </c>
      <c r="F15741" s="7">
        <v>46051.209387196854</v>
      </c>
      <c r="G15741" s="3" t="s">
        <v>6842</v>
      </c>
    </row>
    <row r="15742">
      <c r="A15742" s="3" t="s">
        <v>31725</v>
      </c>
      <c r="B15742" s="3" t="s">
        <v>13203</v>
      </c>
      <c r="C15742" s="5" t="s">
        <v>45</v>
      </c>
      <c r="D15742" s="3" t="s">
        <v>221</v>
      </c>
      <c r="E15742" s="3" t="s">
        <v>468</v>
      </c>
      <c r="F15742" s="7">
        <v>46051.27014537561</v>
      </c>
      <c r="G15742" s="3" t="s">
        <v>5479</v>
      </c>
    </row>
    <row r="15743">
      <c r="A15743" s="3" t="s">
        <v>31726</v>
      </c>
      <c r="B15743" s="3" t="s">
        <v>13203</v>
      </c>
      <c r="C15743" s="5" t="s">
        <v>221</v>
      </c>
      <c r="D15743" s="3" t="s">
        <v>614</v>
      </c>
      <c r="E15743" s="3" t="s">
        <v>118</v>
      </c>
      <c r="F15743" s="7">
        <v>46051.27361759783</v>
      </c>
      <c r="G15743" s="3" t="s">
        <v>5482</v>
      </c>
    </row>
    <row r="15744">
      <c r="A15744" s="3" t="s">
        <v>31727</v>
      </c>
      <c r="B15744" s="3" t="s">
        <v>13203</v>
      </c>
      <c r="C15744" s="5" t="s">
        <v>614</v>
      </c>
      <c r="D15744" s="3" t="s">
        <v>206</v>
      </c>
      <c r="E15744" s="3" t="s">
        <v>100</v>
      </c>
      <c r="F15744" s="7">
        <v>46051.277089820054</v>
      </c>
      <c r="G15744" s="3" t="s">
        <v>5484</v>
      </c>
    </row>
    <row r="15745">
      <c r="A15745" s="3" t="s">
        <v>31728</v>
      </c>
      <c r="B15745" s="3" t="s">
        <v>13203</v>
      </c>
      <c r="C15745" s="5" t="s">
        <v>206</v>
      </c>
      <c r="D15745" s="3" t="s">
        <v>68</v>
      </c>
      <c r="E15745" s="3" t="s">
        <v>100</v>
      </c>
      <c r="F15745" s="7">
        <v>46051.28056204227</v>
      </c>
      <c r="G15745" s="3" t="s">
        <v>5487</v>
      </c>
    </row>
    <row r="15746">
      <c r="A15746" s="3" t="s">
        <v>31729</v>
      </c>
      <c r="B15746" s="3" t="s">
        <v>13205</v>
      </c>
      <c r="C15746" s="5" t="s">
        <v>45</v>
      </c>
      <c r="D15746" s="3" t="s">
        <v>221</v>
      </c>
      <c r="E15746" s="3" t="s">
        <v>819</v>
      </c>
      <c r="F15746" s="7">
        <v>46051.34132022102</v>
      </c>
      <c r="G15746" s="3" t="s">
        <v>5490</v>
      </c>
    </row>
    <row r="15747">
      <c r="A15747" s="3" t="s">
        <v>31730</v>
      </c>
      <c r="B15747" s="3" t="s">
        <v>13205</v>
      </c>
      <c r="C15747" s="5" t="s">
        <v>221</v>
      </c>
      <c r="D15747" s="3" t="s">
        <v>614</v>
      </c>
      <c r="E15747" s="3" t="s">
        <v>118</v>
      </c>
      <c r="F15747" s="7">
        <v>46051.34479244324</v>
      </c>
      <c r="G15747" s="3" t="s">
        <v>5493</v>
      </c>
    </row>
    <row r="15748">
      <c r="A15748" s="3" t="s">
        <v>31731</v>
      </c>
      <c r="B15748" s="3" t="s">
        <v>13205</v>
      </c>
      <c r="C15748" s="5" t="s">
        <v>614</v>
      </c>
      <c r="D15748" s="3" t="s">
        <v>206</v>
      </c>
      <c r="E15748" s="3" t="s">
        <v>100</v>
      </c>
      <c r="F15748" s="7">
        <v>46051.34826466547</v>
      </c>
      <c r="G15748" s="3" t="s">
        <v>5496</v>
      </c>
    </row>
    <row r="15749">
      <c r="A15749" s="3" t="s">
        <v>31732</v>
      </c>
      <c r="B15749" s="3" t="s">
        <v>13205</v>
      </c>
      <c r="C15749" s="5" t="s">
        <v>206</v>
      </c>
      <c r="D15749" s="3" t="s">
        <v>68</v>
      </c>
      <c r="E15749" s="3" t="s">
        <v>100</v>
      </c>
      <c r="F15749" s="7">
        <v>46051.351736887686</v>
      </c>
      <c r="G15749" s="3" t="s">
        <v>5499</v>
      </c>
    </row>
    <row r="15750">
      <c r="A15750" s="3" t="s">
        <v>31733</v>
      </c>
      <c r="B15750" s="3" t="s">
        <v>13207</v>
      </c>
      <c r="C15750" s="5" t="s">
        <v>45</v>
      </c>
      <c r="D15750" s="3" t="s">
        <v>221</v>
      </c>
      <c r="E15750" s="3" t="s">
        <v>453</v>
      </c>
      <c r="F15750" s="7">
        <v>46051.41249506643</v>
      </c>
      <c r="G15750" s="3" t="s">
        <v>6317</v>
      </c>
    </row>
    <row r="15751">
      <c r="A15751" s="3" t="s">
        <v>31734</v>
      </c>
      <c r="B15751" s="3" t="s">
        <v>13207</v>
      </c>
      <c r="C15751" s="5" t="s">
        <v>221</v>
      </c>
      <c r="D15751" s="3" t="s">
        <v>614</v>
      </c>
      <c r="E15751" s="3" t="s">
        <v>118</v>
      </c>
      <c r="F15751" s="7">
        <v>46051.41596728865</v>
      </c>
      <c r="G15751" s="3" t="s">
        <v>6320</v>
      </c>
    </row>
    <row r="15752">
      <c r="A15752" s="3" t="s">
        <v>31735</v>
      </c>
      <c r="B15752" s="3" t="s">
        <v>13207</v>
      </c>
      <c r="C15752" s="5" t="s">
        <v>614</v>
      </c>
      <c r="D15752" s="3" t="s">
        <v>206</v>
      </c>
      <c r="E15752" s="3" t="s">
        <v>100</v>
      </c>
      <c r="F15752" s="7">
        <v>46051.41943951088</v>
      </c>
      <c r="G15752" s="3" t="s">
        <v>6322</v>
      </c>
    </row>
    <row r="15753">
      <c r="A15753" s="3" t="s">
        <v>31736</v>
      </c>
      <c r="B15753" s="3" t="s">
        <v>13207</v>
      </c>
      <c r="C15753" s="5" t="s">
        <v>206</v>
      </c>
      <c r="D15753" s="3" t="s">
        <v>68</v>
      </c>
      <c r="E15753" s="3" t="s">
        <v>100</v>
      </c>
      <c r="F15753" s="7">
        <v>46051.4229117331</v>
      </c>
      <c r="G15753" s="3" t="s">
        <v>6325</v>
      </c>
    </row>
    <row r="15754">
      <c r="A15754" s="3" t="s">
        <v>31737</v>
      </c>
      <c r="B15754" s="3" t="s">
        <v>13209</v>
      </c>
      <c r="C15754" s="5" t="s">
        <v>45</v>
      </c>
      <c r="D15754" s="3" t="s">
        <v>221</v>
      </c>
      <c r="E15754" s="3" t="s">
        <v>398</v>
      </c>
      <c r="F15754" s="7">
        <v>46051.48366991185</v>
      </c>
      <c r="G15754" s="3" t="s">
        <v>30683</v>
      </c>
    </row>
    <row r="15755">
      <c r="A15755" s="3" t="s">
        <v>31738</v>
      </c>
      <c r="B15755" s="3" t="s">
        <v>13209</v>
      </c>
      <c r="C15755" s="5" t="s">
        <v>221</v>
      </c>
      <c r="D15755" s="3" t="s">
        <v>614</v>
      </c>
      <c r="E15755" s="3" t="s">
        <v>118</v>
      </c>
      <c r="F15755" s="7">
        <v>46051.48714213407</v>
      </c>
      <c r="G15755" s="3" t="s">
        <v>30685</v>
      </c>
    </row>
    <row r="15756">
      <c r="A15756" s="3" t="s">
        <v>31739</v>
      </c>
      <c r="B15756" s="3" t="s">
        <v>13209</v>
      </c>
      <c r="C15756" s="5" t="s">
        <v>614</v>
      </c>
      <c r="D15756" s="3" t="s">
        <v>206</v>
      </c>
      <c r="E15756" s="3" t="s">
        <v>100</v>
      </c>
      <c r="F15756" s="7">
        <v>46051.4906143563</v>
      </c>
      <c r="G15756" s="3" t="s">
        <v>30687</v>
      </c>
    </row>
    <row r="15757">
      <c r="A15757" s="3" t="s">
        <v>31740</v>
      </c>
      <c r="B15757" s="3" t="s">
        <v>13209</v>
      </c>
      <c r="C15757" s="5" t="s">
        <v>206</v>
      </c>
      <c r="D15757" s="3" t="s">
        <v>68</v>
      </c>
      <c r="E15757" s="3" t="s">
        <v>100</v>
      </c>
      <c r="F15757" s="7">
        <v>46051.49408657852</v>
      </c>
      <c r="G15757" s="3" t="s">
        <v>30689</v>
      </c>
    </row>
    <row r="15758">
      <c r="A15758" s="3" t="s">
        <v>31741</v>
      </c>
      <c r="B15758" s="3" t="s">
        <v>13212</v>
      </c>
      <c r="C15758" s="5" t="s">
        <v>45</v>
      </c>
      <c r="D15758" s="3" t="s">
        <v>221</v>
      </c>
      <c r="E15758" s="3" t="s">
        <v>404</v>
      </c>
      <c r="F15758" s="7">
        <v>46051.554844757266</v>
      </c>
      <c r="G15758" s="3" t="s">
        <v>31742</v>
      </c>
    </row>
    <row r="15759">
      <c r="A15759" s="3" t="s">
        <v>31743</v>
      </c>
      <c r="B15759" s="3" t="s">
        <v>13212</v>
      </c>
      <c r="C15759" s="5" t="s">
        <v>221</v>
      </c>
      <c r="D15759" s="3" t="s">
        <v>614</v>
      </c>
      <c r="E15759" s="3" t="s">
        <v>118</v>
      </c>
      <c r="F15759" s="7">
        <v>46051.558316979485</v>
      </c>
      <c r="G15759" s="3" t="s">
        <v>31744</v>
      </c>
    </row>
    <row r="15760">
      <c r="A15760" s="3" t="s">
        <v>31745</v>
      </c>
      <c r="B15760" s="3" t="s">
        <v>13212</v>
      </c>
      <c r="C15760" s="5" t="s">
        <v>614</v>
      </c>
      <c r="D15760" s="3" t="s">
        <v>206</v>
      </c>
      <c r="E15760" s="3" t="s">
        <v>100</v>
      </c>
      <c r="F15760" s="7">
        <v>46051.56178920171</v>
      </c>
      <c r="G15760" s="3" t="s">
        <v>31746</v>
      </c>
    </row>
    <row r="15761">
      <c r="A15761" s="3" t="s">
        <v>31747</v>
      </c>
      <c r="B15761" s="3" t="s">
        <v>13212</v>
      </c>
      <c r="C15761" s="5" t="s">
        <v>206</v>
      </c>
      <c r="D15761" s="3" t="s">
        <v>68</v>
      </c>
      <c r="E15761" s="3" t="s">
        <v>100</v>
      </c>
      <c r="F15761" s="7">
        <v>46051.56526142393</v>
      </c>
      <c r="G15761" s="3" t="s">
        <v>31748</v>
      </c>
    </row>
    <row r="15762">
      <c r="A15762" s="3" t="s">
        <v>31749</v>
      </c>
      <c r="B15762" s="3" t="s">
        <v>13213</v>
      </c>
      <c r="C15762" s="5" t="s">
        <v>45</v>
      </c>
      <c r="D15762" s="3" t="s">
        <v>221</v>
      </c>
      <c r="E15762" s="3" t="s">
        <v>424</v>
      </c>
      <c r="F15762" s="7">
        <v>46051.62601960268</v>
      </c>
      <c r="G15762" s="3" t="s">
        <v>5019</v>
      </c>
    </row>
    <row r="15763">
      <c r="A15763" s="3" t="s">
        <v>31750</v>
      </c>
      <c r="B15763" s="3" t="s">
        <v>13213</v>
      </c>
      <c r="C15763" s="5" t="s">
        <v>221</v>
      </c>
      <c r="D15763" s="3" t="s">
        <v>614</v>
      </c>
      <c r="E15763" s="3" t="s">
        <v>118</v>
      </c>
      <c r="F15763" s="7">
        <v>46051.6294918249</v>
      </c>
      <c r="G15763" s="3" t="s">
        <v>5022</v>
      </c>
    </row>
    <row r="15764">
      <c r="A15764" s="3" t="s">
        <v>31751</v>
      </c>
      <c r="B15764" s="3" t="s">
        <v>13213</v>
      </c>
      <c r="C15764" s="5" t="s">
        <v>614</v>
      </c>
      <c r="D15764" s="3" t="s">
        <v>206</v>
      </c>
      <c r="E15764" s="3" t="s">
        <v>100</v>
      </c>
      <c r="F15764" s="7">
        <v>46051.63296404712</v>
      </c>
      <c r="G15764" s="3" t="s">
        <v>5025</v>
      </c>
    </row>
    <row r="15765">
      <c r="A15765" s="3" t="s">
        <v>31752</v>
      </c>
      <c r="B15765" s="3" t="s">
        <v>13213</v>
      </c>
      <c r="C15765" s="5" t="s">
        <v>206</v>
      </c>
      <c r="D15765" s="3" t="s">
        <v>68</v>
      </c>
      <c r="E15765" s="3" t="s">
        <v>100</v>
      </c>
      <c r="F15765" s="7">
        <v>46051.63643626934</v>
      </c>
      <c r="G15765" s="3" t="s">
        <v>5028</v>
      </c>
    </row>
    <row r="15766">
      <c r="A15766" s="3" t="s">
        <v>31753</v>
      </c>
      <c r="B15766" s="3" t="s">
        <v>13216</v>
      </c>
      <c r="C15766" s="5" t="s">
        <v>45</v>
      </c>
      <c r="D15766" s="3" t="s">
        <v>221</v>
      </c>
      <c r="E15766" s="3" t="s">
        <v>886</v>
      </c>
      <c r="F15766" s="7">
        <v>46051.6971944481</v>
      </c>
      <c r="G15766" s="3" t="s">
        <v>5514</v>
      </c>
    </row>
    <row r="15767">
      <c r="A15767" s="3" t="s">
        <v>31754</v>
      </c>
      <c r="B15767" s="3" t="s">
        <v>13216</v>
      </c>
      <c r="C15767" s="5" t="s">
        <v>221</v>
      </c>
      <c r="D15767" s="3" t="s">
        <v>614</v>
      </c>
      <c r="E15767" s="3" t="s">
        <v>118</v>
      </c>
      <c r="F15767" s="7">
        <v>46051.70066667032</v>
      </c>
      <c r="G15767" s="3" t="s">
        <v>5517</v>
      </c>
    </row>
    <row r="15768">
      <c r="A15768" s="3" t="s">
        <v>31755</v>
      </c>
      <c r="B15768" s="3" t="s">
        <v>13216</v>
      </c>
      <c r="C15768" s="5" t="s">
        <v>614</v>
      </c>
      <c r="D15768" s="3" t="s">
        <v>206</v>
      </c>
      <c r="E15768" s="3" t="s">
        <v>100</v>
      </c>
      <c r="F15768" s="7">
        <v>46051.70413889254</v>
      </c>
      <c r="G15768" s="3" t="s">
        <v>5520</v>
      </c>
    </row>
    <row r="15769">
      <c r="A15769" s="3" t="s">
        <v>31756</v>
      </c>
      <c r="B15769" s="3" t="s">
        <v>13216</v>
      </c>
      <c r="C15769" s="5" t="s">
        <v>206</v>
      </c>
      <c r="D15769" s="3" t="s">
        <v>68</v>
      </c>
      <c r="E15769" s="3" t="s">
        <v>100</v>
      </c>
      <c r="F15769" s="7">
        <v>46051.70761111476</v>
      </c>
      <c r="G15769" s="3" t="s">
        <v>5523</v>
      </c>
    </row>
    <row r="15770">
      <c r="A15770" s="3" t="s">
        <v>31757</v>
      </c>
      <c r="B15770" s="3" t="s">
        <v>13218</v>
      </c>
      <c r="C15770" s="5" t="s">
        <v>45</v>
      </c>
      <c r="D15770" s="3" t="s">
        <v>221</v>
      </c>
      <c r="E15770" s="3" t="s">
        <v>175</v>
      </c>
      <c r="F15770" s="7">
        <v>46051.76836929352</v>
      </c>
      <c r="G15770" s="3" t="s">
        <v>31758</v>
      </c>
    </row>
    <row r="15771">
      <c r="A15771" s="3" t="s">
        <v>31759</v>
      </c>
      <c r="B15771" s="3" t="s">
        <v>13218</v>
      </c>
      <c r="C15771" s="5" t="s">
        <v>221</v>
      </c>
      <c r="D15771" s="3" t="s">
        <v>614</v>
      </c>
      <c r="E15771" s="3" t="s">
        <v>118</v>
      </c>
      <c r="F15771" s="7">
        <v>46051.771841515736</v>
      </c>
      <c r="G15771" s="3" t="s">
        <v>31760</v>
      </c>
    </row>
    <row r="15772">
      <c r="A15772" s="3" t="s">
        <v>31761</v>
      </c>
      <c r="B15772" s="3" t="s">
        <v>13218</v>
      </c>
      <c r="C15772" s="5" t="s">
        <v>614</v>
      </c>
      <c r="D15772" s="3" t="s">
        <v>206</v>
      </c>
      <c r="E15772" s="3" t="s">
        <v>100</v>
      </c>
      <c r="F15772" s="7">
        <v>46051.77531373796</v>
      </c>
      <c r="G15772" s="3" t="s">
        <v>31762</v>
      </c>
    </row>
    <row r="15773">
      <c r="A15773" s="3" t="s">
        <v>31763</v>
      </c>
      <c r="B15773" s="3" t="s">
        <v>13218</v>
      </c>
      <c r="C15773" s="5" t="s">
        <v>206</v>
      </c>
      <c r="D15773" s="3" t="s">
        <v>68</v>
      </c>
      <c r="E15773" s="3" t="s">
        <v>100</v>
      </c>
      <c r="F15773" s="7">
        <v>46051.77878596018</v>
      </c>
      <c r="G15773" s="3" t="s">
        <v>31764</v>
      </c>
    </row>
    <row r="15774">
      <c r="A15774" s="3" t="s">
        <v>31765</v>
      </c>
      <c r="B15774" s="3" t="s">
        <v>13220</v>
      </c>
      <c r="C15774" s="5" t="s">
        <v>45</v>
      </c>
      <c r="D15774" s="3" t="s">
        <v>221</v>
      </c>
      <c r="E15774" s="3" t="s">
        <v>363</v>
      </c>
      <c r="F15774" s="7">
        <v>46051.83954413892</v>
      </c>
      <c r="G15774" s="3" t="s">
        <v>5043</v>
      </c>
    </row>
    <row r="15775">
      <c r="A15775" s="3" t="s">
        <v>31766</v>
      </c>
      <c r="B15775" s="3" t="s">
        <v>13220</v>
      </c>
      <c r="C15775" s="5" t="s">
        <v>221</v>
      </c>
      <c r="D15775" s="3" t="s">
        <v>614</v>
      </c>
      <c r="E15775" s="3" t="s">
        <v>118</v>
      </c>
      <c r="F15775" s="7">
        <v>46051.84301636114</v>
      </c>
      <c r="G15775" s="3" t="s">
        <v>5046</v>
      </c>
    </row>
    <row r="15776">
      <c r="A15776" s="3" t="s">
        <v>31767</v>
      </c>
      <c r="B15776" s="3" t="s">
        <v>13220</v>
      </c>
      <c r="C15776" s="5" t="s">
        <v>614</v>
      </c>
      <c r="D15776" s="3" t="s">
        <v>206</v>
      </c>
      <c r="E15776" s="3" t="s">
        <v>100</v>
      </c>
      <c r="F15776" s="7">
        <v>46051.84648858337</v>
      </c>
      <c r="G15776" s="3" t="s">
        <v>5049</v>
      </c>
    </row>
    <row r="15777">
      <c r="A15777" s="3" t="s">
        <v>31768</v>
      </c>
      <c r="B15777" s="3" t="s">
        <v>13220</v>
      </c>
      <c r="C15777" s="5" t="s">
        <v>206</v>
      </c>
      <c r="D15777" s="3" t="s">
        <v>68</v>
      </c>
      <c r="E15777" s="3" t="s">
        <v>100</v>
      </c>
      <c r="F15777" s="7">
        <v>46051.849960805586</v>
      </c>
      <c r="G15777" s="3" t="s">
        <v>5052</v>
      </c>
    </row>
    <row r="15778">
      <c r="A15778" s="3" t="s">
        <v>31769</v>
      </c>
      <c r="B15778" s="3" t="s">
        <v>13223</v>
      </c>
      <c r="C15778" s="5" t="s">
        <v>45</v>
      </c>
      <c r="D15778" s="3" t="s">
        <v>221</v>
      </c>
      <c r="E15778" s="3" t="s">
        <v>581</v>
      </c>
      <c r="F15778" s="7">
        <v>46051.91071898434</v>
      </c>
      <c r="G15778" s="3" t="s">
        <v>5537</v>
      </c>
    </row>
    <row r="15779">
      <c r="A15779" s="3" t="s">
        <v>31770</v>
      </c>
      <c r="B15779" s="3" t="s">
        <v>13223</v>
      </c>
      <c r="C15779" s="5" t="s">
        <v>221</v>
      </c>
      <c r="D15779" s="3" t="s">
        <v>614</v>
      </c>
      <c r="E15779" s="3" t="s">
        <v>118</v>
      </c>
      <c r="F15779" s="7">
        <v>46051.91419120656</v>
      </c>
      <c r="G15779" s="3" t="s">
        <v>5539</v>
      </c>
    </row>
    <row r="15780">
      <c r="A15780" s="3" t="s">
        <v>31771</v>
      </c>
      <c r="B15780" s="3" t="s">
        <v>13223</v>
      </c>
      <c r="C15780" s="5" t="s">
        <v>614</v>
      </c>
      <c r="D15780" s="3" t="s">
        <v>206</v>
      </c>
      <c r="E15780" s="3" t="s">
        <v>100</v>
      </c>
      <c r="F15780" s="7">
        <v>46051.91766342879</v>
      </c>
      <c r="G15780" s="3" t="s">
        <v>5542</v>
      </c>
    </row>
    <row r="15781">
      <c r="A15781" s="3" t="s">
        <v>31772</v>
      </c>
      <c r="B15781" s="3" t="s">
        <v>13223</v>
      </c>
      <c r="C15781" s="5" t="s">
        <v>206</v>
      </c>
      <c r="D15781" s="3" t="s">
        <v>68</v>
      </c>
      <c r="E15781" s="3" t="s">
        <v>100</v>
      </c>
      <c r="F15781" s="7">
        <v>46051.921135651006</v>
      </c>
      <c r="G15781" s="3" t="s">
        <v>5545</v>
      </c>
    </row>
    <row r="15782">
      <c r="A15782" s="3" t="s">
        <v>31773</v>
      </c>
      <c r="B15782" s="3" t="s">
        <v>13226</v>
      </c>
      <c r="C15782" s="5" t="s">
        <v>45</v>
      </c>
      <c r="D15782" s="3" t="s">
        <v>221</v>
      </c>
      <c r="E15782" s="3" t="s">
        <v>886</v>
      </c>
      <c r="F15782" s="7">
        <v>46051.98189382976</v>
      </c>
      <c r="G15782" s="3" t="s">
        <v>5833</v>
      </c>
    </row>
    <row r="15783">
      <c r="A15783" s="3" t="s">
        <v>31774</v>
      </c>
      <c r="B15783" s="3" t="s">
        <v>13226</v>
      </c>
      <c r="C15783" s="5" t="s">
        <v>221</v>
      </c>
      <c r="D15783" s="3" t="s">
        <v>614</v>
      </c>
      <c r="E15783" s="3" t="s">
        <v>118</v>
      </c>
      <c r="F15783" s="7">
        <v>46051.98536605198</v>
      </c>
      <c r="G15783" s="3" t="s">
        <v>5836</v>
      </c>
    </row>
    <row r="15784">
      <c r="A15784" s="3" t="s">
        <v>31775</v>
      </c>
      <c r="B15784" s="3" t="s">
        <v>13226</v>
      </c>
      <c r="C15784" s="5" t="s">
        <v>614</v>
      </c>
      <c r="D15784" s="3" t="s">
        <v>206</v>
      </c>
      <c r="E15784" s="3" t="s">
        <v>100</v>
      </c>
      <c r="F15784" s="7">
        <v>46051.98883827421</v>
      </c>
      <c r="G15784" s="3" t="s">
        <v>5839</v>
      </c>
    </row>
    <row r="15785">
      <c r="A15785" s="3" t="s">
        <v>31776</v>
      </c>
      <c r="B15785" s="3" t="s">
        <v>13226</v>
      </c>
      <c r="C15785" s="5" t="s">
        <v>206</v>
      </c>
      <c r="D15785" s="3" t="s">
        <v>68</v>
      </c>
      <c r="E15785" s="3" t="s">
        <v>100</v>
      </c>
      <c r="F15785" s="7">
        <v>46051.992310496425</v>
      </c>
      <c r="G15785" s="3" t="s">
        <v>5842</v>
      </c>
    </row>
    <row r="15786">
      <c r="A15786" s="3" t="s">
        <v>31777</v>
      </c>
      <c r="B15786" s="3" t="s">
        <v>13228</v>
      </c>
      <c r="C15786" s="5" t="s">
        <v>45</v>
      </c>
      <c r="D15786" s="3" t="s">
        <v>221</v>
      </c>
      <c r="E15786" s="3" t="s">
        <v>961</v>
      </c>
      <c r="F15786" s="7">
        <v>46052.05306867517</v>
      </c>
      <c r="G15786" s="3" t="s">
        <v>22304</v>
      </c>
    </row>
    <row r="15787">
      <c r="A15787" s="3" t="s">
        <v>31778</v>
      </c>
      <c r="B15787" s="3" t="s">
        <v>13228</v>
      </c>
      <c r="C15787" s="5" t="s">
        <v>221</v>
      </c>
      <c r="D15787" s="3" t="s">
        <v>614</v>
      </c>
      <c r="E15787" s="3" t="s">
        <v>118</v>
      </c>
      <c r="F15787" s="7">
        <v>46052.05654089739</v>
      </c>
      <c r="G15787" s="3" t="s">
        <v>22307</v>
      </c>
    </row>
    <row r="15788">
      <c r="A15788" s="3" t="s">
        <v>31779</v>
      </c>
      <c r="B15788" s="3" t="s">
        <v>13228</v>
      </c>
      <c r="C15788" s="5" t="s">
        <v>614</v>
      </c>
      <c r="D15788" s="3" t="s">
        <v>206</v>
      </c>
      <c r="E15788" s="3" t="s">
        <v>100</v>
      </c>
      <c r="F15788" s="7">
        <v>46052.06001311962</v>
      </c>
      <c r="G15788" s="3" t="s">
        <v>22310</v>
      </c>
    </row>
    <row r="15789">
      <c r="A15789" s="3" t="s">
        <v>31780</v>
      </c>
      <c r="B15789" s="3" t="s">
        <v>13228</v>
      </c>
      <c r="C15789" s="5" t="s">
        <v>206</v>
      </c>
      <c r="D15789" s="3" t="s">
        <v>68</v>
      </c>
      <c r="E15789" s="3" t="s">
        <v>100</v>
      </c>
      <c r="F15789" s="7">
        <v>46052.06348534184</v>
      </c>
      <c r="G15789" s="3" t="s">
        <v>22313</v>
      </c>
    </row>
    <row r="15790">
      <c r="A15790" s="3" t="s">
        <v>31781</v>
      </c>
      <c r="B15790" s="3" t="s">
        <v>13230</v>
      </c>
      <c r="C15790" s="5" t="s">
        <v>45</v>
      </c>
      <c r="D15790" s="3" t="s">
        <v>221</v>
      </c>
      <c r="E15790" s="3" t="s">
        <v>253</v>
      </c>
      <c r="F15790" s="7">
        <v>46052.124243520586</v>
      </c>
      <c r="G15790" s="3" t="s">
        <v>3395</v>
      </c>
    </row>
    <row r="15791">
      <c r="A15791" s="3" t="s">
        <v>31782</v>
      </c>
      <c r="B15791" s="3" t="s">
        <v>13230</v>
      </c>
      <c r="C15791" s="5" t="s">
        <v>221</v>
      </c>
      <c r="D15791" s="3" t="s">
        <v>614</v>
      </c>
      <c r="E15791" s="3" t="s">
        <v>118</v>
      </c>
      <c r="F15791" s="7">
        <v>46052.127715742805</v>
      </c>
      <c r="G15791" s="3" t="s">
        <v>3398</v>
      </c>
    </row>
    <row r="15792">
      <c r="A15792" s="3" t="s">
        <v>31783</v>
      </c>
      <c r="B15792" s="3" t="s">
        <v>13230</v>
      </c>
      <c r="C15792" s="5" t="s">
        <v>614</v>
      </c>
      <c r="D15792" s="3" t="s">
        <v>206</v>
      </c>
      <c r="E15792" s="3" t="s">
        <v>100</v>
      </c>
      <c r="F15792" s="7">
        <v>46052.13118796503</v>
      </c>
      <c r="G15792" s="3" t="s">
        <v>3401</v>
      </c>
    </row>
    <row r="15793">
      <c r="A15793" s="3" t="s">
        <v>31784</v>
      </c>
      <c r="B15793" s="3" t="s">
        <v>13230</v>
      </c>
      <c r="C15793" s="5" t="s">
        <v>206</v>
      </c>
      <c r="D15793" s="3" t="s">
        <v>68</v>
      </c>
      <c r="E15793" s="3" t="s">
        <v>100</v>
      </c>
      <c r="F15793" s="7">
        <v>46052.13466018725</v>
      </c>
      <c r="G15793" s="3" t="s">
        <v>3404</v>
      </c>
    </row>
    <row r="15794">
      <c r="A15794" s="3" t="s">
        <v>31785</v>
      </c>
      <c r="B15794" s="3" t="s">
        <v>13232</v>
      </c>
      <c r="C15794" s="5" t="s">
        <v>45</v>
      </c>
      <c r="D15794" s="3" t="s">
        <v>221</v>
      </c>
      <c r="E15794" s="3" t="s">
        <v>168</v>
      </c>
      <c r="F15794" s="7">
        <v>46052.195418366005</v>
      </c>
      <c r="G15794" s="3" t="s">
        <v>9004</v>
      </c>
    </row>
    <row r="15795">
      <c r="A15795" s="3" t="s">
        <v>31786</v>
      </c>
      <c r="B15795" s="3" t="s">
        <v>13232</v>
      </c>
      <c r="C15795" s="5" t="s">
        <v>221</v>
      </c>
      <c r="D15795" s="3" t="s">
        <v>614</v>
      </c>
      <c r="E15795" s="3" t="s">
        <v>118</v>
      </c>
      <c r="F15795" s="7">
        <v>46052.198890588224</v>
      </c>
      <c r="G15795" s="3" t="s">
        <v>9006</v>
      </c>
    </row>
    <row r="15796">
      <c r="A15796" s="3" t="s">
        <v>31787</v>
      </c>
      <c r="B15796" s="3" t="s">
        <v>13232</v>
      </c>
      <c r="C15796" s="5" t="s">
        <v>614</v>
      </c>
      <c r="D15796" s="3" t="s">
        <v>206</v>
      </c>
      <c r="E15796" s="3" t="s">
        <v>100</v>
      </c>
      <c r="F15796" s="7">
        <v>46052.20236281045</v>
      </c>
      <c r="G15796" s="3" t="s">
        <v>9009</v>
      </c>
    </row>
    <row r="15797">
      <c r="A15797" s="3" t="s">
        <v>31788</v>
      </c>
      <c r="B15797" s="3" t="s">
        <v>13232</v>
      </c>
      <c r="C15797" s="5" t="s">
        <v>206</v>
      </c>
      <c r="D15797" s="3" t="s">
        <v>68</v>
      </c>
      <c r="E15797" s="3" t="s">
        <v>100</v>
      </c>
      <c r="F15797" s="7">
        <v>46052.20583503267</v>
      </c>
      <c r="G15797" s="3" t="s">
        <v>9012</v>
      </c>
    </row>
    <row r="15798">
      <c r="A15798" s="3" t="s">
        <v>31789</v>
      </c>
      <c r="B15798" s="3" t="s">
        <v>13234</v>
      </c>
      <c r="C15798" s="5" t="s">
        <v>45</v>
      </c>
      <c r="D15798" s="3" t="s">
        <v>221</v>
      </c>
      <c r="E15798" s="3" t="s">
        <v>569</v>
      </c>
      <c r="F15798" s="7">
        <v>46052.26659321142</v>
      </c>
      <c r="G15798" s="3" t="s">
        <v>5548</v>
      </c>
    </row>
    <row r="15799">
      <c r="A15799" s="3" t="s">
        <v>31790</v>
      </c>
      <c r="B15799" s="3" t="s">
        <v>13234</v>
      </c>
      <c r="C15799" s="5" t="s">
        <v>221</v>
      </c>
      <c r="D15799" s="3" t="s">
        <v>614</v>
      </c>
      <c r="E15799" s="3" t="s">
        <v>118</v>
      </c>
      <c r="F15799" s="7">
        <v>46052.27006543364</v>
      </c>
      <c r="G15799" s="3" t="s">
        <v>5551</v>
      </c>
    </row>
    <row r="15800">
      <c r="A15800" s="3" t="s">
        <v>31791</v>
      </c>
      <c r="B15800" s="3" t="s">
        <v>13234</v>
      </c>
      <c r="C15800" s="5" t="s">
        <v>614</v>
      </c>
      <c r="D15800" s="3" t="s">
        <v>206</v>
      </c>
      <c r="E15800" s="3" t="s">
        <v>100</v>
      </c>
      <c r="F15800" s="7">
        <v>46052.27353765586</v>
      </c>
      <c r="G15800" s="3" t="s">
        <v>5554</v>
      </c>
    </row>
    <row r="15801">
      <c r="A15801" s="3" t="s">
        <v>31792</v>
      </c>
      <c r="B15801" s="3" t="s">
        <v>13234</v>
      </c>
      <c r="C15801" s="5" t="s">
        <v>206</v>
      </c>
      <c r="D15801" s="3" t="s">
        <v>68</v>
      </c>
      <c r="E15801" s="3" t="s">
        <v>100</v>
      </c>
      <c r="F15801" s="7">
        <v>46052.27700987808</v>
      </c>
      <c r="G15801" s="3" t="s">
        <v>5556</v>
      </c>
    </row>
    <row r="15802">
      <c r="A15802" s="3" t="s">
        <v>31793</v>
      </c>
      <c r="B15802" s="3" t="s">
        <v>13236</v>
      </c>
      <c r="C15802" s="5" t="s">
        <v>45</v>
      </c>
      <c r="D15802" s="3" t="s">
        <v>221</v>
      </c>
      <c r="E15802" s="3" t="s">
        <v>911</v>
      </c>
      <c r="F15802" s="7">
        <v>46052.33776805683</v>
      </c>
      <c r="G15802" s="3" t="s">
        <v>28535</v>
      </c>
    </row>
    <row r="15803">
      <c r="A15803" s="3" t="s">
        <v>31794</v>
      </c>
      <c r="B15803" s="3" t="s">
        <v>13236</v>
      </c>
      <c r="C15803" s="5" t="s">
        <v>221</v>
      </c>
      <c r="D15803" s="3" t="s">
        <v>614</v>
      </c>
      <c r="E15803" s="3" t="s">
        <v>118</v>
      </c>
      <c r="F15803" s="7">
        <v>46052.34124027905</v>
      </c>
      <c r="G15803" s="3" t="s">
        <v>28537</v>
      </c>
    </row>
    <row r="15804">
      <c r="A15804" s="3" t="s">
        <v>31795</v>
      </c>
      <c r="B15804" s="3" t="s">
        <v>13236</v>
      </c>
      <c r="C15804" s="5" t="s">
        <v>614</v>
      </c>
      <c r="D15804" s="3" t="s">
        <v>206</v>
      </c>
      <c r="E15804" s="3" t="s">
        <v>100</v>
      </c>
      <c r="F15804" s="7">
        <v>46052.344712501275</v>
      </c>
      <c r="G15804" s="3" t="s">
        <v>28539</v>
      </c>
    </row>
    <row r="15805">
      <c r="A15805" s="3" t="s">
        <v>31796</v>
      </c>
      <c r="B15805" s="3" t="s">
        <v>13236</v>
      </c>
      <c r="C15805" s="5" t="s">
        <v>206</v>
      </c>
      <c r="D15805" s="3" t="s">
        <v>68</v>
      </c>
      <c r="E15805" s="3" t="s">
        <v>100</v>
      </c>
      <c r="F15805" s="7">
        <v>46052.348184723494</v>
      </c>
      <c r="G15805" s="3" t="s">
        <v>28541</v>
      </c>
    </row>
    <row r="15806">
      <c r="A15806" s="3" t="s">
        <v>31797</v>
      </c>
      <c r="B15806" s="3" t="s">
        <v>13239</v>
      </c>
      <c r="C15806" s="5" t="s">
        <v>45</v>
      </c>
      <c r="D15806" s="3" t="s">
        <v>221</v>
      </c>
      <c r="E15806" s="3" t="s">
        <v>541</v>
      </c>
      <c r="F15806" s="7">
        <v>46052.40894290225</v>
      </c>
      <c r="G15806" s="3" t="s">
        <v>2770</v>
      </c>
    </row>
    <row r="15807">
      <c r="A15807" s="3" t="s">
        <v>31798</v>
      </c>
      <c r="B15807" s="3" t="s">
        <v>13239</v>
      </c>
      <c r="C15807" s="5" t="s">
        <v>221</v>
      </c>
      <c r="D15807" s="3" t="s">
        <v>181</v>
      </c>
      <c r="E15807" s="3" t="s">
        <v>118</v>
      </c>
      <c r="F15807" s="7">
        <v>46052.41241512447</v>
      </c>
      <c r="G15807" s="3" t="s">
        <v>2774</v>
      </c>
    </row>
    <row r="15808">
      <c r="A15808" s="3" t="s">
        <v>31799</v>
      </c>
      <c r="B15808" s="3" t="s">
        <v>13242</v>
      </c>
      <c r="C15808" s="5" t="s">
        <v>45</v>
      </c>
      <c r="D15808" s="3" t="s">
        <v>221</v>
      </c>
      <c r="E15808" s="3" t="s">
        <v>742</v>
      </c>
      <c r="F15808" s="7">
        <v>46052.48011774766</v>
      </c>
      <c r="G15808" s="3" t="s">
        <v>5559</v>
      </c>
    </row>
    <row r="15809">
      <c r="A15809" s="3" t="s">
        <v>31800</v>
      </c>
      <c r="B15809" s="3" t="s">
        <v>13242</v>
      </c>
      <c r="C15809" s="5" t="s">
        <v>221</v>
      </c>
      <c r="D15809" s="3" t="s">
        <v>614</v>
      </c>
      <c r="E15809" s="3" t="s">
        <v>118</v>
      </c>
      <c r="F15809" s="7">
        <v>46052.48358996988</v>
      </c>
      <c r="G15809" s="3" t="s">
        <v>5562</v>
      </c>
    </row>
    <row r="15810">
      <c r="A15810" s="3" t="s">
        <v>31801</v>
      </c>
      <c r="B15810" s="3" t="s">
        <v>13242</v>
      </c>
      <c r="C15810" s="5" t="s">
        <v>614</v>
      </c>
      <c r="D15810" s="3" t="s">
        <v>206</v>
      </c>
      <c r="E15810" s="3" t="s">
        <v>100</v>
      </c>
      <c r="F15810" s="7">
        <v>46052.48706219211</v>
      </c>
      <c r="G15810" s="3" t="s">
        <v>5565</v>
      </c>
    </row>
    <row r="15811">
      <c r="A15811" s="3" t="s">
        <v>31802</v>
      </c>
      <c r="B15811" s="3" t="s">
        <v>13242</v>
      </c>
      <c r="C15811" s="5" t="s">
        <v>206</v>
      </c>
      <c r="D15811" s="3" t="s">
        <v>68</v>
      </c>
      <c r="E15811" s="3" t="s">
        <v>100</v>
      </c>
      <c r="F15811" s="7">
        <v>46052.490534414326</v>
      </c>
      <c r="G15811" s="3" t="s">
        <v>5568</v>
      </c>
    </row>
    <row r="15812">
      <c r="A15812" s="3" t="s">
        <v>31803</v>
      </c>
      <c r="B15812" s="3" t="s">
        <v>13243</v>
      </c>
      <c r="C15812" s="5" t="s">
        <v>45</v>
      </c>
      <c r="D15812" s="3" t="s">
        <v>221</v>
      </c>
      <c r="E15812" s="3" t="s">
        <v>388</v>
      </c>
      <c r="F15812" s="7">
        <v>46052.551292593074</v>
      </c>
      <c r="G15812" s="3" t="s">
        <v>5571</v>
      </c>
    </row>
    <row r="15813">
      <c r="A15813" s="3" t="s">
        <v>31804</v>
      </c>
      <c r="B15813" s="3" t="s">
        <v>13243</v>
      </c>
      <c r="C15813" s="5" t="s">
        <v>221</v>
      </c>
      <c r="D15813" s="3" t="s">
        <v>614</v>
      </c>
      <c r="E15813" s="3" t="s">
        <v>118</v>
      </c>
      <c r="F15813" s="7">
        <v>46052.55476481529</v>
      </c>
      <c r="G15813" s="3" t="s">
        <v>5574</v>
      </c>
    </row>
    <row r="15814">
      <c r="A15814" s="3" t="s">
        <v>31805</v>
      </c>
      <c r="B15814" s="3" t="s">
        <v>13243</v>
      </c>
      <c r="C15814" s="5" t="s">
        <v>614</v>
      </c>
      <c r="D15814" s="3" t="s">
        <v>206</v>
      </c>
      <c r="E15814" s="3" t="s">
        <v>100</v>
      </c>
      <c r="F15814" s="7">
        <v>46052.55823703752</v>
      </c>
      <c r="G15814" s="3" t="s">
        <v>5577</v>
      </c>
    </row>
    <row r="15815">
      <c r="A15815" s="3" t="s">
        <v>31806</v>
      </c>
      <c r="B15815" s="3" t="s">
        <v>13243</v>
      </c>
      <c r="C15815" s="5" t="s">
        <v>206</v>
      </c>
      <c r="D15815" s="3" t="s">
        <v>68</v>
      </c>
      <c r="E15815" s="3" t="s">
        <v>100</v>
      </c>
      <c r="F15815" s="7">
        <v>46052.56170925974</v>
      </c>
      <c r="G15815" s="3" t="s">
        <v>5580</v>
      </c>
    </row>
    <row r="15816">
      <c r="A15816" s="3" t="s">
        <v>31807</v>
      </c>
      <c r="B15816" s="3" t="s">
        <v>13245</v>
      </c>
      <c r="C15816" s="5" t="s">
        <v>45</v>
      </c>
      <c r="D15816" s="3" t="s">
        <v>221</v>
      </c>
      <c r="E15816" s="3" t="s">
        <v>424</v>
      </c>
      <c r="F15816" s="7">
        <v>46052.622467438494</v>
      </c>
      <c r="G15816" s="3" t="s">
        <v>20072</v>
      </c>
    </row>
    <row r="15817">
      <c r="A15817" s="3" t="s">
        <v>31808</v>
      </c>
      <c r="B15817" s="3" t="s">
        <v>13245</v>
      </c>
      <c r="C15817" s="5" t="s">
        <v>221</v>
      </c>
      <c r="D15817" s="3" t="s">
        <v>614</v>
      </c>
      <c r="E15817" s="3" t="s">
        <v>118</v>
      </c>
      <c r="F15817" s="7">
        <v>46052.62593966071</v>
      </c>
      <c r="G15817" s="3" t="s">
        <v>20075</v>
      </c>
    </row>
    <row r="15818">
      <c r="A15818" s="3" t="s">
        <v>31809</v>
      </c>
      <c r="B15818" s="3" t="s">
        <v>13245</v>
      </c>
      <c r="C15818" s="5" t="s">
        <v>614</v>
      </c>
      <c r="D15818" s="3" t="s">
        <v>206</v>
      </c>
      <c r="E15818" s="3" t="s">
        <v>100</v>
      </c>
      <c r="F15818" s="7">
        <v>46052.62941188294</v>
      </c>
      <c r="G15818" s="3" t="s">
        <v>20078</v>
      </c>
    </row>
    <row r="15819">
      <c r="A15819" s="3" t="s">
        <v>31810</v>
      </c>
      <c r="B15819" s="3" t="s">
        <v>13245</v>
      </c>
      <c r="C15819" s="5" t="s">
        <v>206</v>
      </c>
      <c r="D15819" s="3" t="s">
        <v>68</v>
      </c>
      <c r="E15819" s="3" t="s">
        <v>100</v>
      </c>
      <c r="F15819" s="7">
        <v>46052.63288410516</v>
      </c>
      <c r="G15819" s="3" t="s">
        <v>20081</v>
      </c>
    </row>
    <row r="15820">
      <c r="A15820" s="3" t="s">
        <v>31811</v>
      </c>
      <c r="B15820" s="3" t="s">
        <v>13247</v>
      </c>
      <c r="C15820" s="5" t="s">
        <v>45</v>
      </c>
      <c r="D15820" s="3" t="s">
        <v>221</v>
      </c>
      <c r="E15820" s="3" t="s">
        <v>400</v>
      </c>
      <c r="F15820" s="7">
        <v>46052.693642283906</v>
      </c>
      <c r="G15820" s="3" t="s">
        <v>2770</v>
      </c>
    </row>
    <row r="15821">
      <c r="A15821" s="3" t="s">
        <v>31812</v>
      </c>
      <c r="B15821" s="3" t="s">
        <v>13247</v>
      </c>
      <c r="C15821" s="5" t="s">
        <v>221</v>
      </c>
      <c r="D15821" s="3" t="s">
        <v>181</v>
      </c>
      <c r="E15821" s="3" t="s">
        <v>118</v>
      </c>
      <c r="F15821" s="7">
        <v>46052.697114506125</v>
      </c>
      <c r="G15821" s="3" t="s">
        <v>2774</v>
      </c>
    </row>
    <row r="15822">
      <c r="A15822" s="3" t="s">
        <v>31813</v>
      </c>
      <c r="B15822" s="3" t="s">
        <v>13248</v>
      </c>
      <c r="C15822" s="5" t="s">
        <v>45</v>
      </c>
      <c r="D15822" s="3" t="s">
        <v>221</v>
      </c>
      <c r="E15822" s="3" t="s">
        <v>838</v>
      </c>
      <c r="F15822" s="7">
        <v>46052.76481712932</v>
      </c>
      <c r="G15822" s="3" t="s">
        <v>25568</v>
      </c>
    </row>
    <row r="15823">
      <c r="A15823" s="3" t="s">
        <v>31814</v>
      </c>
      <c r="B15823" s="3" t="s">
        <v>13248</v>
      </c>
      <c r="C15823" s="5" t="s">
        <v>221</v>
      </c>
      <c r="D15823" s="3" t="s">
        <v>614</v>
      </c>
      <c r="E15823" s="3" t="s">
        <v>118</v>
      </c>
      <c r="F15823" s="7">
        <v>46052.76828935154</v>
      </c>
      <c r="G15823" s="3" t="s">
        <v>25570</v>
      </c>
    </row>
    <row r="15824">
      <c r="A15824" s="3" t="s">
        <v>31815</v>
      </c>
      <c r="B15824" s="3" t="s">
        <v>13248</v>
      </c>
      <c r="C15824" s="5" t="s">
        <v>614</v>
      </c>
      <c r="D15824" s="3" t="s">
        <v>206</v>
      </c>
      <c r="E15824" s="3" t="s">
        <v>100</v>
      </c>
      <c r="F15824" s="7">
        <v>46052.771761573764</v>
      </c>
      <c r="G15824" s="3" t="s">
        <v>25572</v>
      </c>
    </row>
    <row r="15825">
      <c r="A15825" s="3" t="s">
        <v>31816</v>
      </c>
      <c r="B15825" s="3" t="s">
        <v>13248</v>
      </c>
      <c r="C15825" s="5" t="s">
        <v>206</v>
      </c>
      <c r="D15825" s="3" t="s">
        <v>68</v>
      </c>
      <c r="E15825" s="3" t="s">
        <v>100</v>
      </c>
      <c r="F15825" s="7">
        <v>46052.77523379598</v>
      </c>
      <c r="G15825" s="3" t="s">
        <v>25574</v>
      </c>
    </row>
    <row r="15826">
      <c r="A15826" s="3" t="s">
        <v>31817</v>
      </c>
      <c r="B15826" s="3" t="s">
        <v>13250</v>
      </c>
      <c r="C15826" s="5" t="s">
        <v>45</v>
      </c>
      <c r="D15826" s="3" t="s">
        <v>221</v>
      </c>
      <c r="E15826" s="3" t="s">
        <v>233</v>
      </c>
      <c r="F15826" s="7">
        <v>46052.83599197474</v>
      </c>
      <c r="G15826" s="3" t="s">
        <v>13734</v>
      </c>
    </row>
    <row r="15827">
      <c r="A15827" s="3" t="s">
        <v>31818</v>
      </c>
      <c r="B15827" s="3" t="s">
        <v>13250</v>
      </c>
      <c r="C15827" s="5" t="s">
        <v>221</v>
      </c>
      <c r="D15827" s="3" t="s">
        <v>614</v>
      </c>
      <c r="E15827" s="3" t="s">
        <v>118</v>
      </c>
      <c r="F15827" s="7">
        <v>46052.83946419696</v>
      </c>
      <c r="G15827" s="3" t="s">
        <v>13737</v>
      </c>
    </row>
    <row r="15828">
      <c r="A15828" s="3" t="s">
        <v>31819</v>
      </c>
      <c r="B15828" s="3" t="s">
        <v>13250</v>
      </c>
      <c r="C15828" s="5" t="s">
        <v>614</v>
      </c>
      <c r="D15828" s="3" t="s">
        <v>206</v>
      </c>
      <c r="E15828" s="3" t="s">
        <v>100</v>
      </c>
      <c r="F15828" s="7">
        <v>46052.84293641918</v>
      </c>
      <c r="G15828" s="3" t="s">
        <v>13740</v>
      </c>
    </row>
    <row r="15829">
      <c r="A15829" s="3" t="s">
        <v>31820</v>
      </c>
      <c r="B15829" s="3" t="s">
        <v>13250</v>
      </c>
      <c r="C15829" s="5" t="s">
        <v>206</v>
      </c>
      <c r="D15829" s="3" t="s">
        <v>68</v>
      </c>
      <c r="E15829" s="3" t="s">
        <v>100</v>
      </c>
      <c r="F15829" s="7">
        <v>46052.8464086414</v>
      </c>
      <c r="G15829" s="3" t="s">
        <v>13743</v>
      </c>
    </row>
    <row r="15830">
      <c r="A15830" s="3" t="s">
        <v>31821</v>
      </c>
      <c r="B15830" s="3" t="s">
        <v>13252</v>
      </c>
      <c r="C15830" s="5" t="s">
        <v>45</v>
      </c>
      <c r="D15830" s="3" t="s">
        <v>221</v>
      </c>
      <c r="E15830" s="3" t="s">
        <v>226</v>
      </c>
      <c r="F15830" s="7">
        <v>46052.90716682016</v>
      </c>
      <c r="G15830" s="3" t="s">
        <v>18636</v>
      </c>
    </row>
    <row r="15831">
      <c r="A15831" s="3" t="s">
        <v>31822</v>
      </c>
      <c r="B15831" s="3" t="s">
        <v>13252</v>
      </c>
      <c r="C15831" s="5" t="s">
        <v>221</v>
      </c>
      <c r="D15831" s="3" t="s">
        <v>614</v>
      </c>
      <c r="E15831" s="3" t="s">
        <v>118</v>
      </c>
      <c r="F15831" s="7">
        <v>46052.91063904238</v>
      </c>
      <c r="G15831" s="3" t="s">
        <v>18638</v>
      </c>
    </row>
    <row r="15832">
      <c r="A15832" s="3" t="s">
        <v>31823</v>
      </c>
      <c r="B15832" s="3" t="s">
        <v>13252</v>
      </c>
      <c r="C15832" s="5" t="s">
        <v>614</v>
      </c>
      <c r="D15832" s="3" t="s">
        <v>206</v>
      </c>
      <c r="E15832" s="3" t="s">
        <v>100</v>
      </c>
      <c r="F15832" s="7">
        <v>46052.9141112646</v>
      </c>
      <c r="G15832" s="3" t="s">
        <v>18641</v>
      </c>
    </row>
    <row r="15833">
      <c r="A15833" s="3" t="s">
        <v>31824</v>
      </c>
      <c r="B15833" s="3" t="s">
        <v>13252</v>
      </c>
      <c r="C15833" s="5" t="s">
        <v>206</v>
      </c>
      <c r="D15833" s="3" t="s">
        <v>68</v>
      </c>
      <c r="E15833" s="3" t="s">
        <v>100</v>
      </c>
      <c r="F15833" s="7">
        <v>46052.91758348682</v>
      </c>
      <c r="G15833" s="3" t="s">
        <v>18644</v>
      </c>
    </row>
    <row r="15834">
      <c r="A15834" s="3" t="s">
        <v>31825</v>
      </c>
      <c r="B15834" s="3" t="s">
        <v>13254</v>
      </c>
      <c r="C15834" s="5" t="s">
        <v>45</v>
      </c>
      <c r="D15834" s="3" t="s">
        <v>221</v>
      </c>
      <c r="E15834" s="3" t="s">
        <v>841</v>
      </c>
      <c r="F15834" s="7">
        <v>46052.97834166556</v>
      </c>
      <c r="G15834" s="3" t="s">
        <v>16371</v>
      </c>
    </row>
    <row r="15835">
      <c r="A15835" s="3" t="s">
        <v>31826</v>
      </c>
      <c r="B15835" s="3" t="s">
        <v>13254</v>
      </c>
      <c r="C15835" s="5" t="s">
        <v>221</v>
      </c>
      <c r="D15835" s="3" t="s">
        <v>614</v>
      </c>
      <c r="E15835" s="3" t="s">
        <v>118</v>
      </c>
      <c r="F15835" s="7">
        <v>46052.98181388778</v>
      </c>
      <c r="G15835" s="3" t="s">
        <v>16374</v>
      </c>
    </row>
    <row r="15836">
      <c r="A15836" s="3" t="s">
        <v>31827</v>
      </c>
      <c r="B15836" s="3" t="s">
        <v>13254</v>
      </c>
      <c r="C15836" s="5" t="s">
        <v>614</v>
      </c>
      <c r="D15836" s="3" t="s">
        <v>206</v>
      </c>
      <c r="E15836" s="3" t="s">
        <v>100</v>
      </c>
      <c r="F15836" s="7">
        <v>46052.98528611001</v>
      </c>
      <c r="G15836" s="3" t="s">
        <v>16377</v>
      </c>
    </row>
    <row r="15837">
      <c r="A15837" s="3" t="s">
        <v>31828</v>
      </c>
      <c r="B15837" s="3" t="s">
        <v>13254</v>
      </c>
      <c r="C15837" s="5" t="s">
        <v>206</v>
      </c>
      <c r="D15837" s="3" t="s">
        <v>68</v>
      </c>
      <c r="E15837" s="3" t="s">
        <v>100</v>
      </c>
      <c r="F15837" s="7">
        <v>46052.98875833223</v>
      </c>
      <c r="G15837" s="3" t="s">
        <v>16380</v>
      </c>
    </row>
    <row r="15838">
      <c r="A15838" s="3" t="s">
        <v>31829</v>
      </c>
      <c r="B15838" s="3" t="s">
        <v>13255</v>
      </c>
      <c r="C15838" s="5" t="s">
        <v>45</v>
      </c>
      <c r="D15838" s="3" t="s">
        <v>221</v>
      </c>
      <c r="E15838" s="3" t="s">
        <v>239</v>
      </c>
      <c r="F15838" s="7">
        <v>46053.04951651098</v>
      </c>
      <c r="G15838" s="3" t="s">
        <v>5661</v>
      </c>
    </row>
    <row r="15839">
      <c r="A15839" s="3" t="s">
        <v>31830</v>
      </c>
      <c r="B15839" s="3" t="s">
        <v>13255</v>
      </c>
      <c r="C15839" s="5" t="s">
        <v>221</v>
      </c>
      <c r="D15839" s="3" t="s">
        <v>614</v>
      </c>
      <c r="E15839" s="3" t="s">
        <v>118</v>
      </c>
      <c r="F15839" s="7">
        <v>46053.0529887332</v>
      </c>
      <c r="G15839" s="3" t="s">
        <v>5664</v>
      </c>
    </row>
    <row r="15840">
      <c r="A15840" s="3" t="s">
        <v>31831</v>
      </c>
      <c r="B15840" s="3" t="s">
        <v>13255</v>
      </c>
      <c r="C15840" s="5" t="s">
        <v>614</v>
      </c>
      <c r="D15840" s="3" t="s">
        <v>206</v>
      </c>
      <c r="E15840" s="3" t="s">
        <v>100</v>
      </c>
      <c r="F15840" s="7">
        <v>46053.05646095543</v>
      </c>
      <c r="G15840" s="3" t="s">
        <v>5667</v>
      </c>
    </row>
    <row r="15841">
      <c r="A15841" s="3" t="s">
        <v>31832</v>
      </c>
      <c r="B15841" s="3" t="s">
        <v>13255</v>
      </c>
      <c r="C15841" s="5" t="s">
        <v>206</v>
      </c>
      <c r="D15841" s="3" t="s">
        <v>68</v>
      </c>
      <c r="E15841" s="3" t="s">
        <v>100</v>
      </c>
      <c r="F15841" s="7">
        <v>46053.05993317765</v>
      </c>
      <c r="G15841" s="3" t="s">
        <v>5670</v>
      </c>
    </row>
    <row r="15842">
      <c r="A15842" s="3" t="s">
        <v>31833</v>
      </c>
      <c r="B15842" s="3" t="s">
        <v>13257</v>
      </c>
      <c r="C15842" s="5" t="s">
        <v>45</v>
      </c>
      <c r="D15842" s="3" t="s">
        <v>221</v>
      </c>
      <c r="E15842" s="3" t="s">
        <v>156</v>
      </c>
      <c r="F15842" s="7">
        <v>46053.1206913564</v>
      </c>
      <c r="G15842" s="3" t="s">
        <v>5673</v>
      </c>
    </row>
    <row r="15843">
      <c r="A15843" s="3" t="s">
        <v>31834</v>
      </c>
      <c r="B15843" s="3" t="s">
        <v>13257</v>
      </c>
      <c r="C15843" s="5" t="s">
        <v>221</v>
      </c>
      <c r="D15843" s="3" t="s">
        <v>614</v>
      </c>
      <c r="E15843" s="3" t="s">
        <v>118</v>
      </c>
      <c r="F15843" s="7">
        <v>46053.12416357862</v>
      </c>
      <c r="G15843" s="3" t="s">
        <v>5676</v>
      </c>
    </row>
    <row r="15844">
      <c r="A15844" s="3" t="s">
        <v>31835</v>
      </c>
      <c r="B15844" s="3" t="s">
        <v>13257</v>
      </c>
      <c r="C15844" s="5" t="s">
        <v>614</v>
      </c>
      <c r="D15844" s="3" t="s">
        <v>206</v>
      </c>
      <c r="E15844" s="3" t="s">
        <v>100</v>
      </c>
      <c r="F15844" s="7">
        <v>46053.12763580085</v>
      </c>
      <c r="G15844" s="3" t="s">
        <v>5679</v>
      </c>
    </row>
    <row r="15845">
      <c r="A15845" s="3" t="s">
        <v>31836</v>
      </c>
      <c r="B15845" s="3" t="s">
        <v>13257</v>
      </c>
      <c r="C15845" s="5" t="s">
        <v>206</v>
      </c>
      <c r="D15845" s="3" t="s">
        <v>68</v>
      </c>
      <c r="E15845" s="3" t="s">
        <v>100</v>
      </c>
      <c r="F15845" s="7">
        <v>46053.131108023066</v>
      </c>
      <c r="G15845" s="3" t="s">
        <v>5682</v>
      </c>
    </row>
    <row r="15846">
      <c r="A15846" s="3" t="s">
        <v>31837</v>
      </c>
      <c r="B15846" s="3" t="s">
        <v>13259</v>
      </c>
      <c r="C15846" s="5" t="s">
        <v>45</v>
      </c>
      <c r="D15846" s="3" t="s">
        <v>221</v>
      </c>
      <c r="E15846" s="3" t="s">
        <v>658</v>
      </c>
      <c r="F15846" s="7">
        <v>46053.191866201814</v>
      </c>
      <c r="G15846" s="3" t="s">
        <v>6010</v>
      </c>
    </row>
    <row r="15847">
      <c r="A15847" s="3" t="s">
        <v>31838</v>
      </c>
      <c r="B15847" s="3" t="s">
        <v>13259</v>
      </c>
      <c r="C15847" s="5" t="s">
        <v>221</v>
      </c>
      <c r="D15847" s="3" t="s">
        <v>614</v>
      </c>
      <c r="E15847" s="3" t="s">
        <v>118</v>
      </c>
      <c r="F15847" s="7">
        <v>46053.19533842403</v>
      </c>
      <c r="G15847" s="3" t="s">
        <v>6013</v>
      </c>
    </row>
    <row r="15848">
      <c r="A15848" s="3" t="s">
        <v>31839</v>
      </c>
      <c r="B15848" s="3" t="s">
        <v>13259</v>
      </c>
      <c r="C15848" s="5" t="s">
        <v>614</v>
      </c>
      <c r="D15848" s="3" t="s">
        <v>206</v>
      </c>
      <c r="E15848" s="3" t="s">
        <v>100</v>
      </c>
      <c r="F15848" s="7">
        <v>46053.19881064626</v>
      </c>
      <c r="G15848" s="3" t="s">
        <v>6016</v>
      </c>
    </row>
    <row r="15849">
      <c r="A15849" s="3" t="s">
        <v>31840</v>
      </c>
      <c r="B15849" s="3" t="s">
        <v>13259</v>
      </c>
      <c r="C15849" s="5" t="s">
        <v>206</v>
      </c>
      <c r="D15849" s="3" t="s">
        <v>68</v>
      </c>
      <c r="E15849" s="3" t="s">
        <v>100</v>
      </c>
      <c r="F15849" s="7">
        <v>46053.20228286848</v>
      </c>
      <c r="G15849" s="3" t="s">
        <v>6019</v>
      </c>
    </row>
    <row r="15850">
      <c r="A15850" s="3" t="s">
        <v>31841</v>
      </c>
      <c r="B15850" s="3" t="s">
        <v>13260</v>
      </c>
      <c r="C15850" s="5" t="s">
        <v>45</v>
      </c>
      <c r="D15850" s="3" t="s">
        <v>221</v>
      </c>
      <c r="E15850" s="3" t="s">
        <v>272</v>
      </c>
      <c r="F15850" s="7">
        <v>46053.26304104723</v>
      </c>
      <c r="G15850" s="3" t="s">
        <v>28842</v>
      </c>
    </row>
    <row r="15851">
      <c r="A15851" s="3" t="s">
        <v>31842</v>
      </c>
      <c r="B15851" s="3" t="s">
        <v>13260</v>
      </c>
      <c r="C15851" s="5" t="s">
        <v>221</v>
      </c>
      <c r="D15851" s="3" t="s">
        <v>614</v>
      </c>
      <c r="E15851" s="3" t="s">
        <v>118</v>
      </c>
      <c r="F15851" s="7">
        <v>46053.266513269446</v>
      </c>
      <c r="G15851" s="3" t="s">
        <v>28844</v>
      </c>
    </row>
    <row r="15852">
      <c r="A15852" s="3" t="s">
        <v>31843</v>
      </c>
      <c r="B15852" s="3" t="s">
        <v>13260</v>
      </c>
      <c r="C15852" s="5" t="s">
        <v>614</v>
      </c>
      <c r="D15852" s="3" t="s">
        <v>206</v>
      </c>
      <c r="E15852" s="3" t="s">
        <v>100</v>
      </c>
      <c r="F15852" s="7">
        <v>46053.26998549167</v>
      </c>
      <c r="G15852" s="3" t="s">
        <v>28846</v>
      </c>
    </row>
    <row r="15853">
      <c r="A15853" s="3" t="s">
        <v>31844</v>
      </c>
      <c r="B15853" s="3" t="s">
        <v>13260</v>
      </c>
      <c r="C15853" s="5" t="s">
        <v>206</v>
      </c>
      <c r="D15853" s="3" t="s">
        <v>68</v>
      </c>
      <c r="E15853" s="3" t="s">
        <v>100</v>
      </c>
      <c r="F15853" s="7">
        <v>46053.27345771389</v>
      </c>
      <c r="G15853" s="3" t="s">
        <v>28848</v>
      </c>
    </row>
    <row r="15854">
      <c r="A15854" s="3" t="s">
        <v>31845</v>
      </c>
      <c r="B15854" s="3" t="s">
        <v>13262</v>
      </c>
      <c r="C15854" s="5" t="s">
        <v>45</v>
      </c>
      <c r="D15854" s="3" t="s">
        <v>221</v>
      </c>
      <c r="E15854" s="3" t="s">
        <v>678</v>
      </c>
      <c r="F15854" s="7">
        <v>46053.334215892646</v>
      </c>
      <c r="G15854" s="3" t="s">
        <v>5631</v>
      </c>
    </row>
    <row r="15855">
      <c r="A15855" s="3" t="s">
        <v>31846</v>
      </c>
      <c r="B15855" s="3" t="s">
        <v>13262</v>
      </c>
      <c r="C15855" s="5" t="s">
        <v>221</v>
      </c>
      <c r="D15855" s="3" t="s">
        <v>614</v>
      </c>
      <c r="E15855" s="3" t="s">
        <v>118</v>
      </c>
      <c r="F15855" s="7">
        <v>46053.337688114865</v>
      </c>
      <c r="G15855" s="3" t="s">
        <v>5634</v>
      </c>
    </row>
    <row r="15856">
      <c r="A15856" s="3" t="s">
        <v>31847</v>
      </c>
      <c r="B15856" s="3" t="s">
        <v>13262</v>
      </c>
      <c r="C15856" s="5" t="s">
        <v>614</v>
      </c>
      <c r="D15856" s="3" t="s">
        <v>206</v>
      </c>
      <c r="E15856" s="3" t="s">
        <v>100</v>
      </c>
      <c r="F15856" s="7">
        <v>46053.34116033709</v>
      </c>
      <c r="G15856" s="3" t="s">
        <v>5636</v>
      </c>
    </row>
    <row r="15857">
      <c r="A15857" s="3" t="s">
        <v>31848</v>
      </c>
      <c r="B15857" s="3" t="s">
        <v>13262</v>
      </c>
      <c r="C15857" s="5" t="s">
        <v>206</v>
      </c>
      <c r="D15857" s="3" t="s">
        <v>68</v>
      </c>
      <c r="E15857" s="3" t="s">
        <v>100</v>
      </c>
      <c r="F15857" s="7">
        <v>46053.34463255931</v>
      </c>
      <c r="G15857" s="3" t="s">
        <v>5639</v>
      </c>
    </row>
    <row r="15858">
      <c r="A15858" s="3" t="s">
        <v>31849</v>
      </c>
      <c r="B15858" s="3" t="s">
        <v>13265</v>
      </c>
      <c r="C15858" s="5" t="s">
        <v>45</v>
      </c>
      <c r="D15858" s="3" t="s">
        <v>221</v>
      </c>
      <c r="E15858" s="3" t="s">
        <v>1043</v>
      </c>
      <c r="F15858" s="7">
        <v>46053.40539073806</v>
      </c>
      <c r="G15858" s="3" t="s">
        <v>30795</v>
      </c>
    </row>
    <row r="15859">
      <c r="A15859" s="3" t="s">
        <v>31850</v>
      </c>
      <c r="B15859" s="3" t="s">
        <v>13265</v>
      </c>
      <c r="C15859" s="5" t="s">
        <v>221</v>
      </c>
      <c r="D15859" s="3" t="s">
        <v>614</v>
      </c>
      <c r="E15859" s="3" t="s">
        <v>118</v>
      </c>
      <c r="F15859" s="7">
        <v>46053.40886296028</v>
      </c>
      <c r="G15859" s="3" t="s">
        <v>30797</v>
      </c>
    </row>
    <row r="15860">
      <c r="A15860" s="3" t="s">
        <v>31851</v>
      </c>
      <c r="B15860" s="3" t="s">
        <v>13265</v>
      </c>
      <c r="C15860" s="5" t="s">
        <v>614</v>
      </c>
      <c r="D15860" s="3" t="s">
        <v>206</v>
      </c>
      <c r="E15860" s="3" t="s">
        <v>100</v>
      </c>
      <c r="F15860" s="7">
        <v>46053.412335182504</v>
      </c>
      <c r="G15860" s="3" t="s">
        <v>30799</v>
      </c>
    </row>
    <row r="15861">
      <c r="A15861" s="3" t="s">
        <v>31852</v>
      </c>
      <c r="B15861" s="3" t="s">
        <v>13265</v>
      </c>
      <c r="C15861" s="5" t="s">
        <v>206</v>
      </c>
      <c r="D15861" s="3" t="s">
        <v>68</v>
      </c>
      <c r="E15861" s="3" t="s">
        <v>100</v>
      </c>
      <c r="F15861" s="7">
        <v>46053.41580740472</v>
      </c>
      <c r="G15861" s="3" t="s">
        <v>30801</v>
      </c>
    </row>
    <row r="15862">
      <c r="A15862" s="3" t="s">
        <v>31853</v>
      </c>
      <c r="B15862" s="3" t="s">
        <v>13267</v>
      </c>
      <c r="C15862" s="5" t="s">
        <v>45</v>
      </c>
      <c r="D15862" s="3" t="s">
        <v>221</v>
      </c>
      <c r="E15862" s="3" t="s">
        <v>593</v>
      </c>
      <c r="F15862" s="7">
        <v>46053.47656558347</v>
      </c>
      <c r="G15862" s="3" t="s">
        <v>4957</v>
      </c>
    </row>
    <row r="15863">
      <c r="A15863" s="3" t="s">
        <v>31854</v>
      </c>
      <c r="B15863" s="3" t="s">
        <v>13267</v>
      </c>
      <c r="C15863" s="5" t="s">
        <v>221</v>
      </c>
      <c r="D15863" s="3" t="s">
        <v>614</v>
      </c>
      <c r="E15863" s="3" t="s">
        <v>118</v>
      </c>
      <c r="F15863" s="7">
        <v>46053.48003780569</v>
      </c>
      <c r="G15863" s="3" t="s">
        <v>4960</v>
      </c>
    </row>
    <row r="15864">
      <c r="A15864" s="3" t="s">
        <v>31855</v>
      </c>
      <c r="B15864" s="3" t="s">
        <v>13267</v>
      </c>
      <c r="C15864" s="5" t="s">
        <v>614</v>
      </c>
      <c r="D15864" s="3" t="s">
        <v>206</v>
      </c>
      <c r="E15864" s="3" t="s">
        <v>100</v>
      </c>
      <c r="F15864" s="7">
        <v>46053.483510027916</v>
      </c>
      <c r="G15864" s="3" t="s">
        <v>4963</v>
      </c>
    </row>
    <row r="15865">
      <c r="A15865" s="3" t="s">
        <v>31856</v>
      </c>
      <c r="B15865" s="3" t="s">
        <v>13267</v>
      </c>
      <c r="C15865" s="5" t="s">
        <v>206</v>
      </c>
      <c r="D15865" s="3" t="s">
        <v>68</v>
      </c>
      <c r="E15865" s="3" t="s">
        <v>100</v>
      </c>
      <c r="F15865" s="7">
        <v>46053.486982250135</v>
      </c>
      <c r="G15865" s="3" t="s">
        <v>4966</v>
      </c>
    </row>
    <row r="15866">
      <c r="A15866" s="3" t="s">
        <v>31857</v>
      </c>
      <c r="B15866" s="3" t="s">
        <v>13269</v>
      </c>
      <c r="C15866" s="5" t="s">
        <v>45</v>
      </c>
      <c r="D15866" s="3" t="s">
        <v>221</v>
      </c>
      <c r="E15866" s="3" t="s">
        <v>722</v>
      </c>
      <c r="F15866" s="7">
        <v>46053.54774042889</v>
      </c>
      <c r="G15866" s="3" t="s">
        <v>4946</v>
      </c>
    </row>
    <row r="15867">
      <c r="A15867" s="3" t="s">
        <v>31858</v>
      </c>
      <c r="B15867" s="3" t="s">
        <v>13269</v>
      </c>
      <c r="C15867" s="5" t="s">
        <v>221</v>
      </c>
      <c r="D15867" s="3" t="s">
        <v>181</v>
      </c>
      <c r="E15867" s="3" t="s">
        <v>118</v>
      </c>
      <c r="F15867" s="7">
        <v>46053.55121265111</v>
      </c>
      <c r="G15867" s="3" t="s">
        <v>31859</v>
      </c>
    </row>
    <row r="15868">
      <c r="A15868" s="3" t="s">
        <v>31860</v>
      </c>
      <c r="B15868" s="3" t="s">
        <v>13272</v>
      </c>
      <c r="C15868" s="5" t="s">
        <v>45</v>
      </c>
      <c r="D15868" s="3" t="s">
        <v>221</v>
      </c>
      <c r="E15868" s="3" t="s">
        <v>596</v>
      </c>
      <c r="F15868" s="7">
        <v>46053.6189152743</v>
      </c>
      <c r="G15868" s="3" t="s">
        <v>24451</v>
      </c>
    </row>
    <row r="15869">
      <c r="A15869" s="3" t="s">
        <v>31861</v>
      </c>
      <c r="B15869" s="3" t="s">
        <v>13272</v>
      </c>
      <c r="C15869" s="5" t="s">
        <v>221</v>
      </c>
      <c r="D15869" s="3" t="s">
        <v>614</v>
      </c>
      <c r="E15869" s="3" t="s">
        <v>118</v>
      </c>
      <c r="F15869" s="7">
        <v>46053.62238749652</v>
      </c>
      <c r="G15869" s="3" t="s">
        <v>24453</v>
      </c>
    </row>
    <row r="15870">
      <c r="A15870" s="3" t="s">
        <v>31862</v>
      </c>
      <c r="B15870" s="3" t="s">
        <v>13272</v>
      </c>
      <c r="C15870" s="5" t="s">
        <v>614</v>
      </c>
      <c r="D15870" s="3" t="s">
        <v>206</v>
      </c>
      <c r="E15870" s="3" t="s">
        <v>100</v>
      </c>
      <c r="F15870" s="7">
        <v>46053.62585971875</v>
      </c>
      <c r="G15870" s="3" t="s">
        <v>24455</v>
      </c>
    </row>
    <row r="15871">
      <c r="A15871" s="3" t="s">
        <v>31863</v>
      </c>
      <c r="B15871" s="3" t="s">
        <v>13272</v>
      </c>
      <c r="C15871" s="5" t="s">
        <v>206</v>
      </c>
      <c r="D15871" s="3" t="s">
        <v>68</v>
      </c>
      <c r="E15871" s="3" t="s">
        <v>100</v>
      </c>
      <c r="F15871" s="7">
        <v>46053.62933194097</v>
      </c>
      <c r="G15871" s="3" t="s">
        <v>24457</v>
      </c>
    </row>
    <row r="15872">
      <c r="A15872" s="3" t="s">
        <v>31864</v>
      </c>
      <c r="B15872" s="3" t="s">
        <v>13275</v>
      </c>
      <c r="C15872" s="5" t="s">
        <v>45</v>
      </c>
      <c r="D15872" s="3" t="s">
        <v>221</v>
      </c>
      <c r="E15872" s="3" t="s">
        <v>554</v>
      </c>
      <c r="F15872" s="7">
        <v>46053.690090119715</v>
      </c>
      <c r="G15872" s="3" t="s">
        <v>8379</v>
      </c>
    </row>
    <row r="15873">
      <c r="A15873" s="3" t="s">
        <v>31865</v>
      </c>
      <c r="B15873" s="3" t="s">
        <v>13275</v>
      </c>
      <c r="C15873" s="5" t="s">
        <v>221</v>
      </c>
      <c r="D15873" s="3" t="s">
        <v>614</v>
      </c>
      <c r="E15873" s="3" t="s">
        <v>118</v>
      </c>
      <c r="F15873" s="7">
        <v>46053.693562341934</v>
      </c>
      <c r="G15873" s="3" t="s">
        <v>8382</v>
      </c>
    </row>
    <row r="15874">
      <c r="A15874" s="3" t="s">
        <v>31866</v>
      </c>
      <c r="B15874" s="3" t="s">
        <v>13275</v>
      </c>
      <c r="C15874" s="5" t="s">
        <v>614</v>
      </c>
      <c r="D15874" s="3" t="s">
        <v>206</v>
      </c>
      <c r="E15874" s="3" t="s">
        <v>100</v>
      </c>
      <c r="F15874" s="7">
        <v>46053.69703456416</v>
      </c>
      <c r="G15874" s="3" t="s">
        <v>8385</v>
      </c>
    </row>
    <row r="15875">
      <c r="A15875" s="3" t="s">
        <v>31867</v>
      </c>
      <c r="B15875" s="3" t="s">
        <v>13275</v>
      </c>
      <c r="C15875" s="5" t="s">
        <v>206</v>
      </c>
      <c r="D15875" s="3" t="s">
        <v>68</v>
      </c>
      <c r="E15875" s="3" t="s">
        <v>100</v>
      </c>
      <c r="F15875" s="7">
        <v>46053.70050678638</v>
      </c>
      <c r="G15875" s="3" t="s">
        <v>8388</v>
      </c>
    </row>
    <row r="15876">
      <c r="A15876" s="3" t="s">
        <v>31868</v>
      </c>
      <c r="B15876" s="3" t="s">
        <v>13276</v>
      </c>
      <c r="C15876" s="5" t="s">
        <v>45</v>
      </c>
      <c r="D15876" s="3" t="s">
        <v>221</v>
      </c>
      <c r="E15876" s="3" t="s">
        <v>900</v>
      </c>
      <c r="F15876" s="7">
        <v>46053.761264965135</v>
      </c>
      <c r="G15876" s="3" t="s">
        <v>20898</v>
      </c>
    </row>
    <row r="15877">
      <c r="A15877" s="3" t="s">
        <v>31869</v>
      </c>
      <c r="B15877" s="3" t="s">
        <v>13276</v>
      </c>
      <c r="C15877" s="5" t="s">
        <v>221</v>
      </c>
      <c r="D15877" s="3" t="s">
        <v>614</v>
      </c>
      <c r="E15877" s="3" t="s">
        <v>118</v>
      </c>
      <c r="F15877" s="7">
        <v>46053.76473718735</v>
      </c>
      <c r="G15877" s="3" t="s">
        <v>20901</v>
      </c>
    </row>
    <row r="15878">
      <c r="A15878" s="3" t="s">
        <v>31870</v>
      </c>
      <c r="B15878" s="3" t="s">
        <v>13276</v>
      </c>
      <c r="C15878" s="5" t="s">
        <v>614</v>
      </c>
      <c r="D15878" s="3" t="s">
        <v>206</v>
      </c>
      <c r="E15878" s="3" t="s">
        <v>100</v>
      </c>
      <c r="F15878" s="7">
        <v>46053.76820940958</v>
      </c>
      <c r="G15878" s="3" t="s">
        <v>20904</v>
      </c>
    </row>
    <row r="15879">
      <c r="A15879" s="3" t="s">
        <v>31871</v>
      </c>
      <c r="B15879" s="3" t="s">
        <v>13276</v>
      </c>
      <c r="C15879" s="5" t="s">
        <v>206</v>
      </c>
      <c r="D15879" s="3" t="s">
        <v>68</v>
      </c>
      <c r="E15879" s="3" t="s">
        <v>100</v>
      </c>
      <c r="F15879" s="7">
        <v>46053.7716816318</v>
      </c>
      <c r="G15879" s="3" t="s">
        <v>20907</v>
      </c>
    </row>
    <row r="15880">
      <c r="A15880" s="3" t="s">
        <v>31872</v>
      </c>
      <c r="B15880" s="3" t="s">
        <v>13278</v>
      </c>
      <c r="C15880" s="5" t="s">
        <v>45</v>
      </c>
      <c r="D15880" s="3" t="s">
        <v>221</v>
      </c>
      <c r="E15880" s="3" t="s">
        <v>650</v>
      </c>
      <c r="F15880" s="7">
        <v>46053.83243981055</v>
      </c>
      <c r="G15880" s="3" t="s">
        <v>19895</v>
      </c>
    </row>
    <row r="15881">
      <c r="A15881" s="3" t="s">
        <v>31873</v>
      </c>
      <c r="B15881" s="3" t="s">
        <v>13278</v>
      </c>
      <c r="C15881" s="5" t="s">
        <v>221</v>
      </c>
      <c r="D15881" s="3" t="s">
        <v>614</v>
      </c>
      <c r="E15881" s="3" t="s">
        <v>118</v>
      </c>
      <c r="F15881" s="7">
        <v>46053.835912032766</v>
      </c>
      <c r="G15881" s="3" t="s">
        <v>19897</v>
      </c>
    </row>
    <row r="15882">
      <c r="A15882" s="3" t="s">
        <v>31874</v>
      </c>
      <c r="B15882" s="3" t="s">
        <v>13278</v>
      </c>
      <c r="C15882" s="5" t="s">
        <v>614</v>
      </c>
      <c r="D15882" s="3" t="s">
        <v>206</v>
      </c>
      <c r="E15882" s="3" t="s">
        <v>100</v>
      </c>
      <c r="F15882" s="7">
        <v>46053.83938425499</v>
      </c>
      <c r="G15882" s="3" t="s">
        <v>19900</v>
      </c>
    </row>
    <row r="15883">
      <c r="A15883" s="3" t="s">
        <v>31875</v>
      </c>
      <c r="B15883" s="3" t="s">
        <v>13278</v>
      </c>
      <c r="C15883" s="5" t="s">
        <v>206</v>
      </c>
      <c r="D15883" s="3" t="s">
        <v>68</v>
      </c>
      <c r="E15883" s="3" t="s">
        <v>100</v>
      </c>
      <c r="F15883" s="7">
        <v>46053.84285647721</v>
      </c>
      <c r="G15883" s="3" t="s">
        <v>19903</v>
      </c>
    </row>
    <row r="15884">
      <c r="A15884" s="3" t="s">
        <v>31876</v>
      </c>
      <c r="B15884" s="3" t="s">
        <v>13281</v>
      </c>
      <c r="C15884" s="5" t="s">
        <v>45</v>
      </c>
      <c r="D15884" s="3" t="s">
        <v>221</v>
      </c>
      <c r="E15884" s="3" t="s">
        <v>536</v>
      </c>
      <c r="F15884" s="7">
        <v>46053.90361465596</v>
      </c>
      <c r="G15884" s="3" t="s">
        <v>4782</v>
      </c>
    </row>
    <row r="15885">
      <c r="A15885" s="3" t="s">
        <v>31877</v>
      </c>
      <c r="B15885" s="3" t="s">
        <v>13281</v>
      </c>
      <c r="C15885" s="5" t="s">
        <v>221</v>
      </c>
      <c r="D15885" s="3" t="s">
        <v>195</v>
      </c>
      <c r="E15885" s="3" t="s">
        <v>536</v>
      </c>
      <c r="F15885" s="7">
        <v>46053.90708687818</v>
      </c>
      <c r="G15885" s="3" t="s">
        <v>31878</v>
      </c>
    </row>
    <row r="15886">
      <c r="A15886" s="3" t="s">
        <v>31879</v>
      </c>
      <c r="B15886" s="3" t="s">
        <v>13284</v>
      </c>
      <c r="C15886" s="5" t="s">
        <v>45</v>
      </c>
      <c r="D15886" s="3" t="s">
        <v>221</v>
      </c>
      <c r="E15886" s="3" t="s">
        <v>596</v>
      </c>
      <c r="F15886" s="7">
        <v>46053.97478950138</v>
      </c>
      <c r="G15886" s="3" t="s">
        <v>5642</v>
      </c>
    </row>
    <row r="15887">
      <c r="A15887" s="3" t="s">
        <v>31880</v>
      </c>
      <c r="B15887" s="3" t="s">
        <v>13284</v>
      </c>
      <c r="C15887" s="5" t="s">
        <v>221</v>
      </c>
      <c r="D15887" s="3" t="s">
        <v>614</v>
      </c>
      <c r="E15887" s="3" t="s">
        <v>118</v>
      </c>
      <c r="F15887" s="7">
        <v>46053.9782617236</v>
      </c>
      <c r="G15887" s="3" t="s">
        <v>5645</v>
      </c>
    </row>
    <row r="15888">
      <c r="A15888" s="3" t="s">
        <v>31881</v>
      </c>
      <c r="B15888" s="3" t="s">
        <v>13284</v>
      </c>
      <c r="C15888" s="5" t="s">
        <v>614</v>
      </c>
      <c r="D15888" s="3" t="s">
        <v>206</v>
      </c>
      <c r="E15888" s="3" t="s">
        <v>100</v>
      </c>
      <c r="F15888" s="7">
        <v>46053.981733945824</v>
      </c>
      <c r="G15888" s="3" t="s">
        <v>5648</v>
      </c>
    </row>
    <row r="15889">
      <c r="A15889" s="3" t="s">
        <v>31882</v>
      </c>
      <c r="B15889" s="3" t="s">
        <v>13284</v>
      </c>
      <c r="C15889" s="5" t="s">
        <v>206</v>
      </c>
      <c r="D15889" s="3" t="s">
        <v>68</v>
      </c>
      <c r="E15889" s="3" t="s">
        <v>100</v>
      </c>
      <c r="F15889" s="7">
        <v>46053.98520616804</v>
      </c>
      <c r="G15889" s="3" t="s">
        <v>5651</v>
      </c>
    </row>
    <row r="15890">
      <c r="A15890" s="3" t="s">
        <v>31883</v>
      </c>
      <c r="B15890" s="3" t="s">
        <v>13286</v>
      </c>
      <c r="C15890" s="5" t="s">
        <v>45</v>
      </c>
      <c r="D15890" s="3" t="s">
        <v>221</v>
      </c>
      <c r="E15890" s="3" t="s">
        <v>734</v>
      </c>
      <c r="F15890" s="7">
        <v>46054.0459643468</v>
      </c>
      <c r="G15890" s="3" t="s">
        <v>20408</v>
      </c>
    </row>
    <row r="15891">
      <c r="A15891" s="3" t="s">
        <v>31884</v>
      </c>
      <c r="B15891" s="3" t="s">
        <v>13286</v>
      </c>
      <c r="C15891" s="5" t="s">
        <v>221</v>
      </c>
      <c r="D15891" s="3" t="s">
        <v>614</v>
      </c>
      <c r="E15891" s="3" t="s">
        <v>118</v>
      </c>
      <c r="F15891" s="7">
        <v>46054.04943656902</v>
      </c>
      <c r="G15891" s="3" t="s">
        <v>20411</v>
      </c>
    </row>
    <row r="15892">
      <c r="A15892" s="3" t="s">
        <v>31885</v>
      </c>
      <c r="B15892" s="3" t="s">
        <v>13286</v>
      </c>
      <c r="C15892" s="5" t="s">
        <v>614</v>
      </c>
      <c r="D15892" s="3" t="s">
        <v>206</v>
      </c>
      <c r="E15892" s="3" t="s">
        <v>100</v>
      </c>
      <c r="F15892" s="7">
        <v>46054.052908791244</v>
      </c>
      <c r="G15892" s="3" t="s">
        <v>20413</v>
      </c>
    </row>
    <row r="15893">
      <c r="A15893" s="3" t="s">
        <v>31886</v>
      </c>
      <c r="B15893" s="3" t="s">
        <v>13286</v>
      </c>
      <c r="C15893" s="5" t="s">
        <v>206</v>
      </c>
      <c r="D15893" s="3" t="s">
        <v>68</v>
      </c>
      <c r="E15893" s="3" t="s">
        <v>100</v>
      </c>
      <c r="F15893" s="7">
        <v>46054.05638101346</v>
      </c>
      <c r="G15893" s="3" t="s">
        <v>20416</v>
      </c>
    </row>
    <row r="15894">
      <c r="A15894" s="3" t="s">
        <v>31887</v>
      </c>
      <c r="B15894" s="3" t="s">
        <v>13288</v>
      </c>
      <c r="C15894" s="5" t="s">
        <v>45</v>
      </c>
      <c r="D15894" s="3" t="s">
        <v>221</v>
      </c>
      <c r="E15894" s="3" t="s">
        <v>505</v>
      </c>
      <c r="F15894" s="7">
        <v>46054.1171391922</v>
      </c>
      <c r="G15894" s="3" t="s">
        <v>2770</v>
      </c>
    </row>
    <row r="15895">
      <c r="A15895" s="3" t="s">
        <v>31888</v>
      </c>
      <c r="B15895" s="3" t="s">
        <v>13288</v>
      </c>
      <c r="C15895" s="5" t="s">
        <v>221</v>
      </c>
      <c r="D15895" s="3" t="s">
        <v>195</v>
      </c>
      <c r="E15895" s="3" t="s">
        <v>505</v>
      </c>
      <c r="F15895" s="7">
        <v>46054.12061141442</v>
      </c>
      <c r="G15895" s="3" t="s">
        <v>3055</v>
      </c>
    </row>
    <row r="15896">
      <c r="A15896" s="3" t="s">
        <v>31889</v>
      </c>
      <c r="B15896" s="3" t="s">
        <v>13291</v>
      </c>
      <c r="C15896" s="5" t="s">
        <v>45</v>
      </c>
      <c r="D15896" s="3" t="s">
        <v>221</v>
      </c>
      <c r="E15896" s="3" t="s">
        <v>356</v>
      </c>
      <c r="F15896" s="7">
        <v>46054.18831403762</v>
      </c>
      <c r="G15896" s="3" t="s">
        <v>24356</v>
      </c>
    </row>
    <row r="15897">
      <c r="A15897" s="3" t="s">
        <v>31890</v>
      </c>
      <c r="B15897" s="3" t="s">
        <v>13291</v>
      </c>
      <c r="C15897" s="5" t="s">
        <v>221</v>
      </c>
      <c r="D15897" s="3" t="s">
        <v>614</v>
      </c>
      <c r="E15897" s="3" t="s">
        <v>118</v>
      </c>
      <c r="F15897" s="7">
        <v>46054.19178625984</v>
      </c>
      <c r="G15897" s="3" t="s">
        <v>24358</v>
      </c>
    </row>
    <row r="15898">
      <c r="A15898" s="3" t="s">
        <v>31891</v>
      </c>
      <c r="B15898" s="3" t="s">
        <v>13291</v>
      </c>
      <c r="C15898" s="5" t="s">
        <v>614</v>
      </c>
      <c r="D15898" s="3" t="s">
        <v>206</v>
      </c>
      <c r="E15898" s="3" t="s">
        <v>100</v>
      </c>
      <c r="F15898" s="7">
        <v>46054.19525848207</v>
      </c>
      <c r="G15898" s="3" t="s">
        <v>24360</v>
      </c>
    </row>
    <row r="15899">
      <c r="A15899" s="3" t="s">
        <v>31892</v>
      </c>
      <c r="B15899" s="3" t="s">
        <v>13291</v>
      </c>
      <c r="C15899" s="5" t="s">
        <v>206</v>
      </c>
      <c r="D15899" s="3" t="s">
        <v>68</v>
      </c>
      <c r="E15899" s="3" t="s">
        <v>100</v>
      </c>
      <c r="F15899" s="7">
        <v>46054.19873070429</v>
      </c>
      <c r="G15899" s="3" t="s">
        <v>24362</v>
      </c>
    </row>
    <row r="15900">
      <c r="A15900" s="3" t="s">
        <v>31893</v>
      </c>
      <c r="B15900" s="3" t="s">
        <v>13294</v>
      </c>
      <c r="C15900" s="5" t="s">
        <v>45</v>
      </c>
      <c r="D15900" s="3" t="s">
        <v>221</v>
      </c>
      <c r="E15900" s="3" t="s">
        <v>643</v>
      </c>
      <c r="F15900" s="7">
        <v>46054.25948888304</v>
      </c>
      <c r="G15900" s="3" t="s">
        <v>13039</v>
      </c>
    </row>
    <row r="15901">
      <c r="A15901" s="3" t="s">
        <v>31894</v>
      </c>
      <c r="B15901" s="3" t="s">
        <v>13294</v>
      </c>
      <c r="C15901" s="5" t="s">
        <v>221</v>
      </c>
      <c r="D15901" s="3" t="s">
        <v>614</v>
      </c>
      <c r="E15901" s="3" t="s">
        <v>118</v>
      </c>
      <c r="F15901" s="7">
        <v>46054.26296110526</v>
      </c>
      <c r="G15901" s="3" t="s">
        <v>13042</v>
      </c>
    </row>
    <row r="15902">
      <c r="A15902" s="3" t="s">
        <v>31895</v>
      </c>
      <c r="B15902" s="3" t="s">
        <v>13294</v>
      </c>
      <c r="C15902" s="5" t="s">
        <v>614</v>
      </c>
      <c r="D15902" s="3" t="s">
        <v>206</v>
      </c>
      <c r="E15902" s="3" t="s">
        <v>100</v>
      </c>
      <c r="F15902" s="7">
        <v>46054.26643332749</v>
      </c>
      <c r="G15902" s="3" t="s">
        <v>13045</v>
      </c>
    </row>
    <row r="15903">
      <c r="A15903" s="3" t="s">
        <v>31896</v>
      </c>
      <c r="B15903" s="3" t="s">
        <v>13294</v>
      </c>
      <c r="C15903" s="5" t="s">
        <v>206</v>
      </c>
      <c r="D15903" s="3" t="s">
        <v>68</v>
      </c>
      <c r="E15903" s="3" t="s">
        <v>100</v>
      </c>
      <c r="F15903" s="7">
        <v>46054.26990554971</v>
      </c>
      <c r="G15903" s="3" t="s">
        <v>13049</v>
      </c>
    </row>
    <row r="15904">
      <c r="A15904" s="3" t="s">
        <v>31897</v>
      </c>
      <c r="B15904" s="3" t="s">
        <v>13296</v>
      </c>
      <c r="C15904" s="5" t="s">
        <v>45</v>
      </c>
      <c r="D15904" s="3" t="s">
        <v>221</v>
      </c>
      <c r="E15904" s="3" t="s">
        <v>632</v>
      </c>
      <c r="F15904" s="7">
        <v>46054.330663728455</v>
      </c>
      <c r="G15904" s="3" t="s">
        <v>5314</v>
      </c>
    </row>
    <row r="15905">
      <c r="A15905" s="3" t="s">
        <v>31898</v>
      </c>
      <c r="B15905" s="3" t="s">
        <v>13296</v>
      </c>
      <c r="C15905" s="5" t="s">
        <v>221</v>
      </c>
      <c r="D15905" s="3" t="s">
        <v>614</v>
      </c>
      <c r="E15905" s="3" t="s">
        <v>118</v>
      </c>
      <c r="F15905" s="7">
        <v>46054.334135950674</v>
      </c>
      <c r="G15905" s="3" t="s">
        <v>5317</v>
      </c>
    </row>
    <row r="15906">
      <c r="A15906" s="3" t="s">
        <v>31899</v>
      </c>
      <c r="B15906" s="3" t="s">
        <v>13296</v>
      </c>
      <c r="C15906" s="5" t="s">
        <v>614</v>
      </c>
      <c r="D15906" s="3" t="s">
        <v>206</v>
      </c>
      <c r="E15906" s="3" t="s">
        <v>100</v>
      </c>
      <c r="F15906" s="7">
        <v>46054.3376081729</v>
      </c>
      <c r="G15906" s="3" t="s">
        <v>5320</v>
      </c>
    </row>
    <row r="15907">
      <c r="A15907" s="3" t="s">
        <v>31900</v>
      </c>
      <c r="B15907" s="3" t="s">
        <v>13296</v>
      </c>
      <c r="C15907" s="5" t="s">
        <v>206</v>
      </c>
      <c r="D15907" s="3" t="s">
        <v>68</v>
      </c>
      <c r="E15907" s="3" t="s">
        <v>100</v>
      </c>
      <c r="F15907" s="7">
        <v>46054.34108039512</v>
      </c>
      <c r="G15907" s="3" t="s">
        <v>5323</v>
      </c>
    </row>
    <row r="15908">
      <c r="A15908" s="3" t="s">
        <v>31901</v>
      </c>
      <c r="B15908" s="3" t="s">
        <v>13298</v>
      </c>
      <c r="C15908" s="5" t="s">
        <v>45</v>
      </c>
      <c r="D15908" s="3" t="s">
        <v>221</v>
      </c>
      <c r="E15908" s="3" t="s">
        <v>937</v>
      </c>
      <c r="F15908" s="7">
        <v>46054.40183857387</v>
      </c>
      <c r="G15908" s="3" t="s">
        <v>6667</v>
      </c>
    </row>
    <row r="15909">
      <c r="A15909" s="3" t="s">
        <v>31902</v>
      </c>
      <c r="B15909" s="3" t="s">
        <v>13298</v>
      </c>
      <c r="C15909" s="5" t="s">
        <v>221</v>
      </c>
      <c r="D15909" s="3" t="s">
        <v>614</v>
      </c>
      <c r="E15909" s="3" t="s">
        <v>118</v>
      </c>
      <c r="F15909" s="7">
        <v>46054.405310796086</v>
      </c>
      <c r="G15909" s="3" t="s">
        <v>6670</v>
      </c>
    </row>
    <row r="15910">
      <c r="A15910" s="3" t="s">
        <v>31903</v>
      </c>
      <c r="B15910" s="3" t="s">
        <v>13298</v>
      </c>
      <c r="C15910" s="5" t="s">
        <v>614</v>
      </c>
      <c r="D15910" s="3" t="s">
        <v>206</v>
      </c>
      <c r="E15910" s="3" t="s">
        <v>100</v>
      </c>
      <c r="F15910" s="7">
        <v>46054.40878301831</v>
      </c>
      <c r="G15910" s="3" t="s">
        <v>6673</v>
      </c>
    </row>
    <row r="15911">
      <c r="A15911" s="3" t="s">
        <v>31904</v>
      </c>
      <c r="B15911" s="3" t="s">
        <v>13298</v>
      </c>
      <c r="C15911" s="5" t="s">
        <v>206</v>
      </c>
      <c r="D15911" s="3" t="s">
        <v>68</v>
      </c>
      <c r="E15911" s="3" t="s">
        <v>100</v>
      </c>
      <c r="F15911" s="7">
        <v>46054.41225524053</v>
      </c>
      <c r="G15911" s="3" t="s">
        <v>6676</v>
      </c>
    </row>
    <row r="15912">
      <c r="A15912" s="3" t="s">
        <v>31905</v>
      </c>
      <c r="B15912" s="3" t="s">
        <v>13301</v>
      </c>
      <c r="C15912" s="5" t="s">
        <v>45</v>
      </c>
      <c r="D15912" s="3" t="s">
        <v>221</v>
      </c>
      <c r="E15912" s="3" t="s">
        <v>135</v>
      </c>
      <c r="F15912" s="7">
        <v>46054.47301341929</v>
      </c>
      <c r="G15912" s="3" t="s">
        <v>5744</v>
      </c>
    </row>
    <row r="15913">
      <c r="A15913" s="3" t="s">
        <v>31906</v>
      </c>
      <c r="B15913" s="3" t="s">
        <v>13301</v>
      </c>
      <c r="C15913" s="5" t="s">
        <v>221</v>
      </c>
      <c r="D15913" s="3" t="s">
        <v>614</v>
      </c>
      <c r="E15913" s="3" t="s">
        <v>118</v>
      </c>
      <c r="F15913" s="7">
        <v>46054.476485641506</v>
      </c>
      <c r="G15913" s="3" t="s">
        <v>5747</v>
      </c>
    </row>
    <row r="15914">
      <c r="A15914" s="3" t="s">
        <v>31907</v>
      </c>
      <c r="B15914" s="3" t="s">
        <v>13301</v>
      </c>
      <c r="C15914" s="5" t="s">
        <v>614</v>
      </c>
      <c r="D15914" s="3" t="s">
        <v>206</v>
      </c>
      <c r="E15914" s="3" t="s">
        <v>100</v>
      </c>
      <c r="F15914" s="7">
        <v>46054.47995786373</v>
      </c>
      <c r="G15914" s="3" t="s">
        <v>5750</v>
      </c>
    </row>
    <row r="15915">
      <c r="A15915" s="3" t="s">
        <v>31908</v>
      </c>
      <c r="B15915" s="3" t="s">
        <v>13301</v>
      </c>
      <c r="C15915" s="5" t="s">
        <v>206</v>
      </c>
      <c r="D15915" s="3" t="s">
        <v>68</v>
      </c>
      <c r="E15915" s="3" t="s">
        <v>100</v>
      </c>
      <c r="F15915" s="7">
        <v>46054.48343008595</v>
      </c>
      <c r="G15915" s="3" t="s">
        <v>5753</v>
      </c>
    </row>
    <row r="15916">
      <c r="A15916" s="3" t="s">
        <v>31909</v>
      </c>
      <c r="B15916" s="3" t="s">
        <v>13303</v>
      </c>
      <c r="C15916" s="5" t="s">
        <v>45</v>
      </c>
      <c r="D15916" s="3" t="s">
        <v>221</v>
      </c>
      <c r="E15916" s="3" t="s">
        <v>816</v>
      </c>
      <c r="F15916" s="7">
        <v>46054.5441882647</v>
      </c>
      <c r="G15916" s="3" t="s">
        <v>5755</v>
      </c>
    </row>
    <row r="15917">
      <c r="A15917" s="3" t="s">
        <v>31910</v>
      </c>
      <c r="B15917" s="3" t="s">
        <v>13303</v>
      </c>
      <c r="C15917" s="5" t="s">
        <v>221</v>
      </c>
      <c r="D15917" s="3" t="s">
        <v>614</v>
      </c>
      <c r="E15917" s="3" t="s">
        <v>118</v>
      </c>
      <c r="F15917" s="7">
        <v>46054.54766048692</v>
      </c>
      <c r="G15917" s="3" t="s">
        <v>5758</v>
      </c>
    </row>
    <row r="15918">
      <c r="A15918" s="3" t="s">
        <v>31911</v>
      </c>
      <c r="B15918" s="3" t="s">
        <v>13303</v>
      </c>
      <c r="C15918" s="5" t="s">
        <v>614</v>
      </c>
      <c r="D15918" s="3" t="s">
        <v>206</v>
      </c>
      <c r="E15918" s="3" t="s">
        <v>100</v>
      </c>
      <c r="F15918" s="7">
        <v>46054.551132709144</v>
      </c>
      <c r="G15918" s="3" t="s">
        <v>5761</v>
      </c>
    </row>
    <row r="15919">
      <c r="A15919" s="3" t="s">
        <v>31912</v>
      </c>
      <c r="B15919" s="3" t="s">
        <v>13303</v>
      </c>
      <c r="C15919" s="5" t="s">
        <v>206</v>
      </c>
      <c r="D15919" s="3" t="s">
        <v>68</v>
      </c>
      <c r="E15919" s="3" t="s">
        <v>100</v>
      </c>
      <c r="F15919" s="7">
        <v>46054.55460493136</v>
      </c>
      <c r="G15919" s="3" t="s">
        <v>5764</v>
      </c>
    </row>
    <row r="15920">
      <c r="A15920" s="3" t="s">
        <v>31913</v>
      </c>
      <c r="B15920" s="3" t="s">
        <v>13304</v>
      </c>
      <c r="C15920" s="5" t="s">
        <v>45</v>
      </c>
      <c r="D15920" s="3" t="s">
        <v>221</v>
      </c>
      <c r="E15920" s="3" t="s">
        <v>460</v>
      </c>
      <c r="F15920" s="7">
        <v>46054.61536311011</v>
      </c>
      <c r="G15920" s="3" t="s">
        <v>5786</v>
      </c>
    </row>
    <row r="15921">
      <c r="A15921" s="3" t="s">
        <v>31914</v>
      </c>
      <c r="B15921" s="3" t="s">
        <v>13304</v>
      </c>
      <c r="C15921" s="5" t="s">
        <v>221</v>
      </c>
      <c r="D15921" s="3" t="s">
        <v>614</v>
      </c>
      <c r="E15921" s="3" t="s">
        <v>118</v>
      </c>
      <c r="F15921" s="7">
        <v>46054.61883533233</v>
      </c>
      <c r="G15921" s="3" t="s">
        <v>5789</v>
      </c>
    </row>
    <row r="15922">
      <c r="A15922" s="3" t="s">
        <v>31915</v>
      </c>
      <c r="B15922" s="3" t="s">
        <v>13304</v>
      </c>
      <c r="C15922" s="5" t="s">
        <v>614</v>
      </c>
      <c r="D15922" s="3" t="s">
        <v>206</v>
      </c>
      <c r="E15922" s="3" t="s">
        <v>100</v>
      </c>
      <c r="F15922" s="7">
        <v>46054.62230755456</v>
      </c>
      <c r="G15922" s="3" t="s">
        <v>5792</v>
      </c>
    </row>
    <row r="15923">
      <c r="A15923" s="3" t="s">
        <v>31916</v>
      </c>
      <c r="B15923" s="3" t="s">
        <v>13304</v>
      </c>
      <c r="C15923" s="5" t="s">
        <v>206</v>
      </c>
      <c r="D15923" s="3" t="s">
        <v>68</v>
      </c>
      <c r="E15923" s="3" t="s">
        <v>100</v>
      </c>
      <c r="F15923" s="7">
        <v>46054.625779776776</v>
      </c>
      <c r="G15923" s="3" t="s">
        <v>5795</v>
      </c>
    </row>
    <row r="15924">
      <c r="A15924" s="3" t="s">
        <v>31917</v>
      </c>
      <c r="B15924" s="3" t="s">
        <v>13306</v>
      </c>
      <c r="C15924" s="5" t="s">
        <v>45</v>
      </c>
      <c r="D15924" s="3" t="s">
        <v>221</v>
      </c>
      <c r="E15924" s="3" t="s">
        <v>269</v>
      </c>
      <c r="F15924" s="7">
        <v>46054.68653795553</v>
      </c>
      <c r="G15924" s="3" t="s">
        <v>5798</v>
      </c>
    </row>
    <row r="15925">
      <c r="A15925" s="3" t="s">
        <v>31918</v>
      </c>
      <c r="B15925" s="3" t="s">
        <v>13306</v>
      </c>
      <c r="C15925" s="5" t="s">
        <v>221</v>
      </c>
      <c r="D15925" s="3" t="s">
        <v>614</v>
      </c>
      <c r="E15925" s="3" t="s">
        <v>118</v>
      </c>
      <c r="F15925" s="7">
        <v>46054.69001017775</v>
      </c>
      <c r="G15925" s="3" t="s">
        <v>5801</v>
      </c>
    </row>
    <row r="15926">
      <c r="A15926" s="3" t="s">
        <v>31919</v>
      </c>
      <c r="B15926" s="3" t="s">
        <v>13306</v>
      </c>
      <c r="C15926" s="5" t="s">
        <v>614</v>
      </c>
      <c r="D15926" s="3" t="s">
        <v>206</v>
      </c>
      <c r="E15926" s="3" t="s">
        <v>100</v>
      </c>
      <c r="F15926" s="7">
        <v>46054.693482399976</v>
      </c>
      <c r="G15926" s="3" t="s">
        <v>5803</v>
      </c>
    </row>
    <row r="15927">
      <c r="A15927" s="3" t="s">
        <v>31920</v>
      </c>
      <c r="B15927" s="3" t="s">
        <v>13306</v>
      </c>
      <c r="C15927" s="5" t="s">
        <v>206</v>
      </c>
      <c r="D15927" s="3" t="s">
        <v>68</v>
      </c>
      <c r="E15927" s="3" t="s">
        <v>100</v>
      </c>
      <c r="F15927" s="7">
        <v>46054.696954622195</v>
      </c>
      <c r="G15927" s="3" t="s">
        <v>5807</v>
      </c>
    </row>
    <row r="15928">
      <c r="A15928" s="3" t="s">
        <v>31921</v>
      </c>
      <c r="B15928" s="3" t="s">
        <v>13308</v>
      </c>
      <c r="C15928" s="5" t="s">
        <v>45</v>
      </c>
      <c r="D15928" s="3" t="s">
        <v>221</v>
      </c>
      <c r="E15928" s="3" t="s">
        <v>453</v>
      </c>
      <c r="F15928" s="7">
        <v>46054.75771280095</v>
      </c>
      <c r="G15928" s="3" t="s">
        <v>5821</v>
      </c>
    </row>
    <row r="15929">
      <c r="A15929" s="3" t="s">
        <v>31922</v>
      </c>
      <c r="B15929" s="3" t="s">
        <v>13308</v>
      </c>
      <c r="C15929" s="5" t="s">
        <v>221</v>
      </c>
      <c r="D15929" s="3" t="s">
        <v>614</v>
      </c>
      <c r="E15929" s="3" t="s">
        <v>118</v>
      </c>
      <c r="F15929" s="7">
        <v>46054.76118502317</v>
      </c>
      <c r="G15929" s="3" t="s">
        <v>5824</v>
      </c>
    </row>
    <row r="15930">
      <c r="A15930" s="3" t="s">
        <v>31923</v>
      </c>
      <c r="B15930" s="3" t="s">
        <v>13308</v>
      </c>
      <c r="C15930" s="5" t="s">
        <v>614</v>
      </c>
      <c r="D15930" s="3" t="s">
        <v>206</v>
      </c>
      <c r="E15930" s="3" t="s">
        <v>100</v>
      </c>
      <c r="F15930" s="7">
        <v>46054.764657245396</v>
      </c>
      <c r="G15930" s="3" t="s">
        <v>5827</v>
      </c>
    </row>
    <row r="15931">
      <c r="A15931" s="3" t="s">
        <v>31924</v>
      </c>
      <c r="B15931" s="3" t="s">
        <v>13308</v>
      </c>
      <c r="C15931" s="5" t="s">
        <v>206</v>
      </c>
      <c r="D15931" s="3" t="s">
        <v>68</v>
      </c>
      <c r="E15931" s="3" t="s">
        <v>100</v>
      </c>
      <c r="F15931" s="7">
        <v>46054.768129467615</v>
      </c>
      <c r="G15931" s="3" t="s">
        <v>5831</v>
      </c>
    </row>
    <row r="15932">
      <c r="A15932" s="3" t="s">
        <v>31925</v>
      </c>
      <c r="B15932" s="3" t="s">
        <v>13309</v>
      </c>
      <c r="C15932" s="5" t="s">
        <v>45</v>
      </c>
      <c r="D15932" s="3" t="s">
        <v>221</v>
      </c>
      <c r="E15932" s="3" t="s">
        <v>369</v>
      </c>
      <c r="F15932" s="7">
        <v>46054.828887646356</v>
      </c>
      <c r="G15932" s="3" t="s">
        <v>6637</v>
      </c>
    </row>
    <row r="15933">
      <c r="A15933" s="3" t="s">
        <v>31926</v>
      </c>
      <c r="B15933" s="3" t="s">
        <v>13309</v>
      </c>
      <c r="C15933" s="5" t="s">
        <v>221</v>
      </c>
      <c r="D15933" s="3" t="s">
        <v>614</v>
      </c>
      <c r="E15933" s="3" t="s">
        <v>118</v>
      </c>
      <c r="F15933" s="7">
        <v>46054.832359868575</v>
      </c>
      <c r="G15933" s="3" t="s">
        <v>6640</v>
      </c>
    </row>
    <row r="15934">
      <c r="A15934" s="3" t="s">
        <v>31927</v>
      </c>
      <c r="B15934" s="3" t="s">
        <v>13309</v>
      </c>
      <c r="C15934" s="5" t="s">
        <v>614</v>
      </c>
      <c r="D15934" s="3" t="s">
        <v>206</v>
      </c>
      <c r="E15934" s="3" t="s">
        <v>100</v>
      </c>
      <c r="F15934" s="7">
        <v>46054.8358320908</v>
      </c>
      <c r="G15934" s="3" t="s">
        <v>6642</v>
      </c>
    </row>
    <row r="15935">
      <c r="A15935" s="3" t="s">
        <v>31928</v>
      </c>
      <c r="B15935" s="3" t="s">
        <v>13309</v>
      </c>
      <c r="C15935" s="5" t="s">
        <v>206</v>
      </c>
      <c r="D15935" s="3" t="s">
        <v>68</v>
      </c>
      <c r="E15935" s="3" t="s">
        <v>100</v>
      </c>
      <c r="F15935" s="7">
        <v>46054.83930431302</v>
      </c>
      <c r="G15935" s="3" t="s">
        <v>6645</v>
      </c>
    </row>
    <row r="15936">
      <c r="A15936" s="3" t="s">
        <v>31929</v>
      </c>
      <c r="B15936" s="3" t="s">
        <v>13311</v>
      </c>
      <c r="C15936" s="5" t="s">
        <v>45</v>
      </c>
      <c r="D15936" s="3" t="s">
        <v>221</v>
      </c>
      <c r="E15936" s="3" t="s">
        <v>765</v>
      </c>
      <c r="F15936" s="7">
        <v>46054.900062491775</v>
      </c>
      <c r="G15936" s="3" t="s">
        <v>24642</v>
      </c>
    </row>
    <row r="15937">
      <c r="A15937" s="3" t="s">
        <v>31930</v>
      </c>
      <c r="B15937" s="3" t="s">
        <v>13311</v>
      </c>
      <c r="C15937" s="5" t="s">
        <v>221</v>
      </c>
      <c r="D15937" s="3" t="s">
        <v>181</v>
      </c>
      <c r="E15937" s="3" t="s">
        <v>118</v>
      </c>
      <c r="F15937" s="7">
        <v>46054.903534713994</v>
      </c>
      <c r="G15937" s="3" t="s">
        <v>31931</v>
      </c>
    </row>
    <row r="15938">
      <c r="A15938" s="3" t="s">
        <v>31932</v>
      </c>
      <c r="B15938" s="3" t="s">
        <v>13314</v>
      </c>
      <c r="C15938" s="5" t="s">
        <v>45</v>
      </c>
      <c r="D15938" s="3" t="s">
        <v>221</v>
      </c>
      <c r="E15938" s="3" t="s">
        <v>751</v>
      </c>
      <c r="F15938" s="7">
        <v>46054.97123733719</v>
      </c>
      <c r="G15938" s="3" t="s">
        <v>4101</v>
      </c>
    </row>
    <row r="15939">
      <c r="A15939" s="3" t="s">
        <v>31933</v>
      </c>
      <c r="B15939" s="3" t="s">
        <v>13314</v>
      </c>
      <c r="C15939" s="5" t="s">
        <v>221</v>
      </c>
      <c r="D15939" s="3" t="s">
        <v>614</v>
      </c>
      <c r="E15939" s="3" t="s">
        <v>118</v>
      </c>
      <c r="F15939" s="7">
        <v>46054.97470955941</v>
      </c>
      <c r="G15939" s="3" t="s">
        <v>4104</v>
      </c>
    </row>
    <row r="15940">
      <c r="A15940" s="3" t="s">
        <v>31934</v>
      </c>
      <c r="B15940" s="3" t="s">
        <v>13314</v>
      </c>
      <c r="C15940" s="5" t="s">
        <v>614</v>
      </c>
      <c r="D15940" s="3" t="s">
        <v>206</v>
      </c>
      <c r="E15940" s="3" t="s">
        <v>100</v>
      </c>
      <c r="F15940" s="7">
        <v>46054.97818178163</v>
      </c>
      <c r="G15940" s="3" t="s">
        <v>4107</v>
      </c>
    </row>
    <row r="15941">
      <c r="A15941" s="3" t="s">
        <v>31935</v>
      </c>
      <c r="B15941" s="3" t="s">
        <v>13314</v>
      </c>
      <c r="C15941" s="5" t="s">
        <v>206</v>
      </c>
      <c r="D15941" s="3" t="s">
        <v>68</v>
      </c>
      <c r="E15941" s="3" t="s">
        <v>100</v>
      </c>
      <c r="F15941" s="7">
        <v>46054.98165400385</v>
      </c>
      <c r="G15941" s="3" t="s">
        <v>4110</v>
      </c>
    </row>
    <row r="15942">
      <c r="A15942" s="3" t="s">
        <v>31936</v>
      </c>
      <c r="B15942" s="3" t="s">
        <v>13316</v>
      </c>
      <c r="C15942" s="5" t="s">
        <v>45</v>
      </c>
      <c r="D15942" s="3" t="s">
        <v>221</v>
      </c>
      <c r="E15942" s="3" t="s">
        <v>629</v>
      </c>
      <c r="F15942" s="7">
        <v>46055.04241218261</v>
      </c>
      <c r="G15942" s="3" t="s">
        <v>5860</v>
      </c>
    </row>
    <row r="15943">
      <c r="A15943" s="3" t="s">
        <v>31937</v>
      </c>
      <c r="B15943" s="3" t="s">
        <v>13316</v>
      </c>
      <c r="C15943" s="5" t="s">
        <v>221</v>
      </c>
      <c r="D15943" s="3" t="s">
        <v>614</v>
      </c>
      <c r="E15943" s="3" t="s">
        <v>118</v>
      </c>
      <c r="F15943" s="7">
        <v>46055.045884404826</v>
      </c>
      <c r="G15943" s="3" t="s">
        <v>5863</v>
      </c>
    </row>
    <row r="15944">
      <c r="A15944" s="3" t="s">
        <v>31938</v>
      </c>
      <c r="B15944" s="3" t="s">
        <v>13316</v>
      </c>
      <c r="C15944" s="5" t="s">
        <v>614</v>
      </c>
      <c r="D15944" s="3" t="s">
        <v>206</v>
      </c>
      <c r="E15944" s="3" t="s">
        <v>100</v>
      </c>
      <c r="F15944" s="7">
        <v>46055.04935662705</v>
      </c>
      <c r="G15944" s="3" t="s">
        <v>5866</v>
      </c>
    </row>
    <row r="15945">
      <c r="A15945" s="3" t="s">
        <v>31939</v>
      </c>
      <c r="B15945" s="3" t="s">
        <v>13316</v>
      </c>
      <c r="C15945" s="5" t="s">
        <v>206</v>
      </c>
      <c r="D15945" s="3" t="s">
        <v>68</v>
      </c>
      <c r="E15945" s="3" t="s">
        <v>100</v>
      </c>
      <c r="F15945" s="7">
        <v>46055.05282884927</v>
      </c>
      <c r="G15945" s="3" t="s">
        <v>5869</v>
      </c>
    </row>
    <row r="15946">
      <c r="A15946" s="3" t="s">
        <v>31940</v>
      </c>
      <c r="B15946" s="3" t="s">
        <v>13318</v>
      </c>
      <c r="C15946" s="5" t="s">
        <v>45</v>
      </c>
      <c r="D15946" s="3" t="s">
        <v>221</v>
      </c>
      <c r="E15946" s="3" t="s">
        <v>145</v>
      </c>
      <c r="F15946" s="7">
        <v>46055.11358702802</v>
      </c>
      <c r="G15946" s="3" t="s">
        <v>5872</v>
      </c>
    </row>
    <row r="15947">
      <c r="A15947" s="3" t="s">
        <v>31941</v>
      </c>
      <c r="B15947" s="3" t="s">
        <v>13318</v>
      </c>
      <c r="C15947" s="5" t="s">
        <v>221</v>
      </c>
      <c r="D15947" s="3" t="s">
        <v>614</v>
      </c>
      <c r="E15947" s="3" t="s">
        <v>118</v>
      </c>
      <c r="F15947" s="7">
        <v>46055.11705925024</v>
      </c>
      <c r="G15947" s="3" t="s">
        <v>5875</v>
      </c>
    </row>
    <row r="15948">
      <c r="A15948" s="3" t="s">
        <v>31942</v>
      </c>
      <c r="B15948" s="3" t="s">
        <v>13318</v>
      </c>
      <c r="C15948" s="5" t="s">
        <v>614</v>
      </c>
      <c r="D15948" s="3" t="s">
        <v>206</v>
      </c>
      <c r="E15948" s="3" t="s">
        <v>100</v>
      </c>
      <c r="F15948" s="7">
        <v>46055.120531472465</v>
      </c>
      <c r="G15948" s="3" t="s">
        <v>5878</v>
      </c>
    </row>
    <row r="15949">
      <c r="A15949" s="3" t="s">
        <v>31943</v>
      </c>
      <c r="B15949" s="3" t="s">
        <v>13318</v>
      </c>
      <c r="C15949" s="5" t="s">
        <v>206</v>
      </c>
      <c r="D15949" s="3" t="s">
        <v>68</v>
      </c>
      <c r="E15949" s="3" t="s">
        <v>100</v>
      </c>
      <c r="F15949" s="7">
        <v>46055.124003694684</v>
      </c>
      <c r="G15949" s="3" t="s">
        <v>5881</v>
      </c>
    </row>
    <row r="15950">
      <c r="A15950" s="3" t="s">
        <v>31944</v>
      </c>
      <c r="B15950" s="3" t="s">
        <v>13321</v>
      </c>
      <c r="C15950" s="5" t="s">
        <v>45</v>
      </c>
      <c r="D15950" s="3" t="s">
        <v>221</v>
      </c>
      <c r="E15950" s="3" t="s">
        <v>895</v>
      </c>
      <c r="F15950" s="7">
        <v>46055.18476187344</v>
      </c>
      <c r="G15950" s="3" t="s">
        <v>7931</v>
      </c>
    </row>
    <row r="15951">
      <c r="A15951" s="3" t="s">
        <v>31945</v>
      </c>
      <c r="B15951" s="3" t="s">
        <v>13321</v>
      </c>
      <c r="C15951" s="5" t="s">
        <v>221</v>
      </c>
      <c r="D15951" s="3" t="s">
        <v>614</v>
      </c>
      <c r="E15951" s="3" t="s">
        <v>118</v>
      </c>
      <c r="F15951" s="7">
        <v>46055.18823409566</v>
      </c>
      <c r="G15951" s="3" t="s">
        <v>7934</v>
      </c>
    </row>
    <row r="15952">
      <c r="A15952" s="3" t="s">
        <v>31946</v>
      </c>
      <c r="B15952" s="3" t="s">
        <v>13321</v>
      </c>
      <c r="C15952" s="5" t="s">
        <v>614</v>
      </c>
      <c r="D15952" s="3" t="s">
        <v>206</v>
      </c>
      <c r="E15952" s="3" t="s">
        <v>100</v>
      </c>
      <c r="F15952" s="7">
        <v>46055.191706317884</v>
      </c>
      <c r="G15952" s="3" t="s">
        <v>7936</v>
      </c>
    </row>
    <row r="15953">
      <c r="A15953" s="3" t="s">
        <v>31947</v>
      </c>
      <c r="B15953" s="3" t="s">
        <v>13321</v>
      </c>
      <c r="C15953" s="5" t="s">
        <v>206</v>
      </c>
      <c r="D15953" s="3" t="s">
        <v>68</v>
      </c>
      <c r="E15953" s="3" t="s">
        <v>100</v>
      </c>
      <c r="F15953" s="7">
        <v>46055.1951785401</v>
      </c>
      <c r="G15953" s="3" t="s">
        <v>7939</v>
      </c>
    </row>
    <row r="15954">
      <c r="A15954" s="3" t="s">
        <v>31948</v>
      </c>
      <c r="B15954" s="3" t="s">
        <v>13323</v>
      </c>
      <c r="C15954" s="5" t="s">
        <v>45</v>
      </c>
      <c r="D15954" s="3" t="s">
        <v>221</v>
      </c>
      <c r="E15954" s="3" t="s">
        <v>689</v>
      </c>
      <c r="F15954" s="7">
        <v>46055.255936718844</v>
      </c>
      <c r="G15954" s="3" t="s">
        <v>5884</v>
      </c>
    </row>
    <row r="15955">
      <c r="A15955" s="3" t="s">
        <v>31949</v>
      </c>
      <c r="B15955" s="3" t="s">
        <v>13323</v>
      </c>
      <c r="C15955" s="5" t="s">
        <v>221</v>
      </c>
      <c r="D15955" s="3" t="s">
        <v>614</v>
      </c>
      <c r="E15955" s="3" t="s">
        <v>118</v>
      </c>
      <c r="F15955" s="7">
        <v>46055.25940894106</v>
      </c>
      <c r="G15955" s="3" t="s">
        <v>5887</v>
      </c>
    </row>
    <row r="15956">
      <c r="A15956" s="3" t="s">
        <v>31950</v>
      </c>
      <c r="B15956" s="3" t="s">
        <v>13323</v>
      </c>
      <c r="C15956" s="5" t="s">
        <v>614</v>
      </c>
      <c r="D15956" s="3" t="s">
        <v>206</v>
      </c>
      <c r="E15956" s="3" t="s">
        <v>100</v>
      </c>
      <c r="F15956" s="7">
        <v>46055.26288116329</v>
      </c>
      <c r="G15956" s="3" t="s">
        <v>5889</v>
      </c>
    </row>
    <row r="15957">
      <c r="A15957" s="3" t="s">
        <v>31951</v>
      </c>
      <c r="B15957" s="3" t="s">
        <v>13323</v>
      </c>
      <c r="C15957" s="5" t="s">
        <v>206</v>
      </c>
      <c r="D15957" s="3" t="s">
        <v>68</v>
      </c>
      <c r="E15957" s="3" t="s">
        <v>100</v>
      </c>
      <c r="F15957" s="7">
        <v>46055.26635338551</v>
      </c>
      <c r="G15957" s="3" t="s">
        <v>5892</v>
      </c>
    </row>
    <row r="15958">
      <c r="A15958" s="3" t="s">
        <v>31952</v>
      </c>
      <c r="B15958" s="3" t="s">
        <v>13325</v>
      </c>
      <c r="C15958" s="5" t="s">
        <v>45</v>
      </c>
      <c r="D15958" s="3" t="s">
        <v>221</v>
      </c>
      <c r="E15958" s="3" t="s">
        <v>746</v>
      </c>
      <c r="F15958" s="7">
        <v>46055.327111564264</v>
      </c>
      <c r="G15958" s="3" t="s">
        <v>21444</v>
      </c>
    </row>
    <row r="15959">
      <c r="A15959" s="3" t="s">
        <v>31953</v>
      </c>
      <c r="B15959" s="3" t="s">
        <v>13325</v>
      </c>
      <c r="C15959" s="5" t="s">
        <v>221</v>
      </c>
      <c r="D15959" s="3" t="s">
        <v>614</v>
      </c>
      <c r="E15959" s="3" t="s">
        <v>118</v>
      </c>
      <c r="F15959" s="7">
        <v>46055.33058378648</v>
      </c>
      <c r="G15959" s="3" t="s">
        <v>21447</v>
      </c>
    </row>
    <row r="15960">
      <c r="A15960" s="3" t="s">
        <v>31954</v>
      </c>
      <c r="B15960" s="3" t="s">
        <v>13325</v>
      </c>
      <c r="C15960" s="5" t="s">
        <v>614</v>
      </c>
      <c r="D15960" s="3" t="s">
        <v>206</v>
      </c>
      <c r="E15960" s="3" t="s">
        <v>100</v>
      </c>
      <c r="F15960" s="7">
        <v>46055.33405600871</v>
      </c>
      <c r="G15960" s="3" t="s">
        <v>21450</v>
      </c>
    </row>
    <row r="15961">
      <c r="A15961" s="3" t="s">
        <v>31955</v>
      </c>
      <c r="B15961" s="3" t="s">
        <v>13325</v>
      </c>
      <c r="C15961" s="5" t="s">
        <v>206</v>
      </c>
      <c r="D15961" s="3" t="s">
        <v>68</v>
      </c>
      <c r="E15961" s="3" t="s">
        <v>100</v>
      </c>
      <c r="F15961" s="7">
        <v>46055.33752823093</v>
      </c>
      <c r="G15961" s="3" t="s">
        <v>21452</v>
      </c>
    </row>
    <row r="15962">
      <c r="A15962" s="3" t="s">
        <v>31956</v>
      </c>
      <c r="B15962" s="3" t="s">
        <v>13327</v>
      </c>
      <c r="C15962" s="5" t="s">
        <v>45</v>
      </c>
      <c r="D15962" s="3" t="s">
        <v>221</v>
      </c>
      <c r="E15962" s="3" t="s">
        <v>972</v>
      </c>
      <c r="F15962" s="7">
        <v>46055.39828640968</v>
      </c>
      <c r="G15962" s="3" t="s">
        <v>5915</v>
      </c>
    </row>
    <row r="15963">
      <c r="A15963" s="3" t="s">
        <v>31957</v>
      </c>
      <c r="B15963" s="3" t="s">
        <v>13327</v>
      </c>
      <c r="C15963" s="5" t="s">
        <v>221</v>
      </c>
      <c r="D15963" s="3" t="s">
        <v>614</v>
      </c>
      <c r="E15963" s="3" t="s">
        <v>118</v>
      </c>
      <c r="F15963" s="7">
        <v>46055.4017586319</v>
      </c>
      <c r="G15963" s="3" t="s">
        <v>5918</v>
      </c>
    </row>
    <row r="15964">
      <c r="A15964" s="3" t="s">
        <v>31958</v>
      </c>
      <c r="B15964" s="3" t="s">
        <v>13327</v>
      </c>
      <c r="C15964" s="5" t="s">
        <v>614</v>
      </c>
      <c r="D15964" s="3" t="s">
        <v>206</v>
      </c>
      <c r="E15964" s="3" t="s">
        <v>100</v>
      </c>
      <c r="F15964" s="7">
        <v>46055.40523085413</v>
      </c>
      <c r="G15964" s="3" t="s">
        <v>5921</v>
      </c>
    </row>
    <row r="15965">
      <c r="A15965" s="3" t="s">
        <v>31959</v>
      </c>
      <c r="B15965" s="3" t="s">
        <v>13327</v>
      </c>
      <c r="C15965" s="5" t="s">
        <v>206</v>
      </c>
      <c r="D15965" s="3" t="s">
        <v>68</v>
      </c>
      <c r="E15965" s="3" t="s">
        <v>100</v>
      </c>
      <c r="F15965" s="7">
        <v>46055.40870307635</v>
      </c>
      <c r="G15965" s="3" t="s">
        <v>5924</v>
      </c>
    </row>
    <row r="15966">
      <c r="A15966" s="3" t="s">
        <v>31960</v>
      </c>
      <c r="B15966" s="3" t="s">
        <v>13329</v>
      </c>
      <c r="C15966" s="5" t="s">
        <v>45</v>
      </c>
      <c r="D15966" s="3" t="s">
        <v>221</v>
      </c>
      <c r="E15966" s="3" t="s">
        <v>383</v>
      </c>
      <c r="F15966" s="7">
        <v>46055.469461255096</v>
      </c>
      <c r="G15966" s="3" t="s">
        <v>24798</v>
      </c>
    </row>
    <row r="15967">
      <c r="A15967" s="3" t="s">
        <v>31961</v>
      </c>
      <c r="B15967" s="3" t="s">
        <v>13329</v>
      </c>
      <c r="C15967" s="5" t="s">
        <v>221</v>
      </c>
      <c r="D15967" s="3" t="s">
        <v>614</v>
      </c>
      <c r="E15967" s="3" t="s">
        <v>118</v>
      </c>
      <c r="F15967" s="7">
        <v>46055.472933477315</v>
      </c>
      <c r="G15967" s="3" t="s">
        <v>24800</v>
      </c>
    </row>
    <row r="15968">
      <c r="A15968" s="3" t="s">
        <v>31962</v>
      </c>
      <c r="B15968" s="3" t="s">
        <v>13329</v>
      </c>
      <c r="C15968" s="5" t="s">
        <v>614</v>
      </c>
      <c r="D15968" s="3" t="s">
        <v>206</v>
      </c>
      <c r="E15968" s="3" t="s">
        <v>100</v>
      </c>
      <c r="F15968" s="7">
        <v>46055.47640569954</v>
      </c>
      <c r="G15968" s="3" t="s">
        <v>24802</v>
      </c>
    </row>
    <row r="15969">
      <c r="A15969" s="3" t="s">
        <v>31963</v>
      </c>
      <c r="B15969" s="3" t="s">
        <v>13329</v>
      </c>
      <c r="C15969" s="5" t="s">
        <v>206</v>
      </c>
      <c r="D15969" s="3" t="s">
        <v>68</v>
      </c>
      <c r="E15969" s="3" t="s">
        <v>100</v>
      </c>
      <c r="F15969" s="7">
        <v>46055.47987792176</v>
      </c>
      <c r="G15969" s="3" t="s">
        <v>24804</v>
      </c>
    </row>
    <row r="15970">
      <c r="A15970" s="3" t="s">
        <v>31964</v>
      </c>
      <c r="B15970" s="3" t="s">
        <v>13332</v>
      </c>
      <c r="C15970" s="5" t="s">
        <v>45</v>
      </c>
      <c r="D15970" s="3" t="s">
        <v>221</v>
      </c>
      <c r="E15970" s="3" t="s">
        <v>481</v>
      </c>
      <c r="F15970" s="7">
        <v>46055.54063610051</v>
      </c>
      <c r="G15970" s="3" t="s">
        <v>5992</v>
      </c>
    </row>
    <row r="15971">
      <c r="A15971" s="3" t="s">
        <v>31965</v>
      </c>
      <c r="B15971" s="3" t="s">
        <v>13332</v>
      </c>
      <c r="C15971" s="5" t="s">
        <v>221</v>
      </c>
      <c r="D15971" s="3" t="s">
        <v>614</v>
      </c>
      <c r="E15971" s="3" t="s">
        <v>118</v>
      </c>
      <c r="F15971" s="7">
        <v>46055.54410832273</v>
      </c>
      <c r="G15971" s="3" t="s">
        <v>15785</v>
      </c>
    </row>
    <row r="15972">
      <c r="A15972" s="3" t="s">
        <v>31966</v>
      </c>
      <c r="B15972" s="3" t="s">
        <v>13332</v>
      </c>
      <c r="C15972" s="5" t="s">
        <v>614</v>
      </c>
      <c r="D15972" s="3" t="s">
        <v>206</v>
      </c>
      <c r="E15972" s="3" t="s">
        <v>100</v>
      </c>
      <c r="F15972" s="7">
        <v>46055.54758054495</v>
      </c>
      <c r="G15972" s="3" t="s">
        <v>15788</v>
      </c>
    </row>
    <row r="15973">
      <c r="A15973" s="3" t="s">
        <v>31967</v>
      </c>
      <c r="B15973" s="3" t="s">
        <v>13332</v>
      </c>
      <c r="C15973" s="5" t="s">
        <v>206</v>
      </c>
      <c r="D15973" s="3" t="s">
        <v>68</v>
      </c>
      <c r="E15973" s="3" t="s">
        <v>100</v>
      </c>
      <c r="F15973" s="7">
        <v>46055.55105276717</v>
      </c>
      <c r="G15973" s="3" t="s">
        <v>15791</v>
      </c>
    </row>
    <row r="15974">
      <c r="A15974" s="3" t="s">
        <v>31968</v>
      </c>
      <c r="B15974" s="3" t="s">
        <v>13335</v>
      </c>
      <c r="C15974" s="5" t="s">
        <v>45</v>
      </c>
      <c r="D15974" s="3" t="s">
        <v>221</v>
      </c>
      <c r="E15974" s="3" t="s">
        <v>980</v>
      </c>
      <c r="F15974" s="7">
        <v>46055.61181094593</v>
      </c>
      <c r="G15974" s="3" t="s">
        <v>5973</v>
      </c>
    </row>
    <row r="15975">
      <c r="A15975" s="3" t="s">
        <v>31969</v>
      </c>
      <c r="B15975" s="3" t="s">
        <v>13335</v>
      </c>
      <c r="C15975" s="5" t="s">
        <v>221</v>
      </c>
      <c r="D15975" s="3" t="s">
        <v>614</v>
      </c>
      <c r="E15975" s="3" t="s">
        <v>118</v>
      </c>
      <c r="F15975" s="7">
        <v>46055.61528316815</v>
      </c>
      <c r="G15975" s="3" t="s">
        <v>5976</v>
      </c>
    </row>
    <row r="15976">
      <c r="A15976" s="3" t="s">
        <v>31970</v>
      </c>
      <c r="B15976" s="3" t="s">
        <v>13335</v>
      </c>
      <c r="C15976" s="5" t="s">
        <v>614</v>
      </c>
      <c r="D15976" s="3" t="s">
        <v>206</v>
      </c>
      <c r="E15976" s="3" t="s">
        <v>100</v>
      </c>
      <c r="F15976" s="7">
        <v>46055.61875539037</v>
      </c>
      <c r="G15976" s="3" t="s">
        <v>5979</v>
      </c>
    </row>
    <row r="15977">
      <c r="A15977" s="3" t="s">
        <v>31971</v>
      </c>
      <c r="B15977" s="3" t="s">
        <v>13335</v>
      </c>
      <c r="C15977" s="5" t="s">
        <v>206</v>
      </c>
      <c r="D15977" s="3" t="s">
        <v>68</v>
      </c>
      <c r="E15977" s="3" t="s">
        <v>100</v>
      </c>
      <c r="F15977" s="7">
        <v>46055.62222761259</v>
      </c>
      <c r="G15977" s="3" t="s">
        <v>5982</v>
      </c>
    </row>
    <row r="15978">
      <c r="A15978" s="3" t="s">
        <v>31972</v>
      </c>
      <c r="B15978" s="3" t="s">
        <v>13336</v>
      </c>
      <c r="C15978" s="5" t="s">
        <v>45</v>
      </c>
      <c r="D15978" s="3" t="s">
        <v>221</v>
      </c>
      <c r="E15978" s="3" t="s">
        <v>151</v>
      </c>
      <c r="F15978" s="7">
        <v>46055.68298579134</v>
      </c>
      <c r="G15978" s="3" t="s">
        <v>2770</v>
      </c>
    </row>
    <row r="15979">
      <c r="A15979" s="3" t="s">
        <v>31973</v>
      </c>
      <c r="B15979" s="3" t="s">
        <v>13336</v>
      </c>
      <c r="C15979" s="5" t="s">
        <v>221</v>
      </c>
      <c r="D15979" s="3" t="s">
        <v>195</v>
      </c>
      <c r="E15979" s="3" t="s">
        <v>151</v>
      </c>
      <c r="F15979" s="7">
        <v>46055.68645801356</v>
      </c>
      <c r="G15979" s="3" t="s">
        <v>3055</v>
      </c>
    </row>
    <row r="15980">
      <c r="A15980" s="3" t="s">
        <v>31974</v>
      </c>
      <c r="B15980" s="3" t="s">
        <v>13339</v>
      </c>
      <c r="C15980" s="5" t="s">
        <v>45</v>
      </c>
      <c r="D15980" s="3" t="s">
        <v>221</v>
      </c>
      <c r="E15980" s="3" t="s">
        <v>698</v>
      </c>
      <c r="F15980" s="7">
        <v>46055.75416063675</v>
      </c>
      <c r="G15980" s="3" t="s">
        <v>19583</v>
      </c>
    </row>
    <row r="15981">
      <c r="A15981" s="3" t="s">
        <v>31975</v>
      </c>
      <c r="B15981" s="3" t="s">
        <v>13339</v>
      </c>
      <c r="C15981" s="5" t="s">
        <v>221</v>
      </c>
      <c r="D15981" s="3" t="s">
        <v>195</v>
      </c>
      <c r="E15981" s="3" t="s">
        <v>698</v>
      </c>
      <c r="F15981" s="7">
        <v>46055.75763285897</v>
      </c>
      <c r="G15981" s="3" t="s">
        <v>31976</v>
      </c>
    </row>
    <row r="15982">
      <c r="A15982" s="3" t="s">
        <v>31977</v>
      </c>
      <c r="B15982" s="3" t="s">
        <v>13342</v>
      </c>
      <c r="C15982" s="5" t="s">
        <v>45</v>
      </c>
      <c r="D15982" s="3" t="s">
        <v>221</v>
      </c>
      <c r="E15982" s="3" t="s">
        <v>678</v>
      </c>
      <c r="F15982" s="7">
        <v>46055.82533548217</v>
      </c>
      <c r="G15982" s="3" t="s">
        <v>10997</v>
      </c>
    </row>
    <row r="15983">
      <c r="A15983" s="3" t="s">
        <v>31978</v>
      </c>
      <c r="B15983" s="3" t="s">
        <v>13342</v>
      </c>
      <c r="C15983" s="5" t="s">
        <v>221</v>
      </c>
      <c r="D15983" s="3" t="s">
        <v>614</v>
      </c>
      <c r="E15983" s="3" t="s">
        <v>118</v>
      </c>
      <c r="F15983" s="7">
        <v>46055.82880770439</v>
      </c>
      <c r="G15983" s="3" t="s">
        <v>11000</v>
      </c>
    </row>
    <row r="15984">
      <c r="A15984" s="3" t="s">
        <v>31979</v>
      </c>
      <c r="B15984" s="3" t="s">
        <v>13342</v>
      </c>
      <c r="C15984" s="5" t="s">
        <v>614</v>
      </c>
      <c r="D15984" s="3" t="s">
        <v>206</v>
      </c>
      <c r="E15984" s="3" t="s">
        <v>100</v>
      </c>
      <c r="F15984" s="7">
        <v>46055.83227992662</v>
      </c>
      <c r="G15984" s="3" t="s">
        <v>11003</v>
      </c>
    </row>
    <row r="15985">
      <c r="A15985" s="3" t="s">
        <v>31980</v>
      </c>
      <c r="B15985" s="3" t="s">
        <v>13342</v>
      </c>
      <c r="C15985" s="5" t="s">
        <v>206</v>
      </c>
      <c r="D15985" s="3" t="s">
        <v>68</v>
      </c>
      <c r="E15985" s="3" t="s">
        <v>100</v>
      </c>
      <c r="F15985" s="7">
        <v>46055.835752148836</v>
      </c>
      <c r="G15985" s="3" t="s">
        <v>11006</v>
      </c>
    </row>
    <row r="15986">
      <c r="A15986" s="3" t="s">
        <v>31981</v>
      </c>
      <c r="B15986" s="3" t="s">
        <v>13343</v>
      </c>
      <c r="C15986" s="5" t="s">
        <v>45</v>
      </c>
      <c r="D15986" s="3" t="s">
        <v>221</v>
      </c>
      <c r="E15986" s="3" t="s">
        <v>908</v>
      </c>
      <c r="F15986" s="7">
        <v>46055.89651032759</v>
      </c>
      <c r="G15986" s="3" t="s">
        <v>19372</v>
      </c>
    </row>
    <row r="15987">
      <c r="A15987" s="3" t="s">
        <v>31982</v>
      </c>
      <c r="B15987" s="3" t="s">
        <v>13343</v>
      </c>
      <c r="C15987" s="5" t="s">
        <v>221</v>
      </c>
      <c r="D15987" s="3" t="s">
        <v>614</v>
      </c>
      <c r="E15987" s="3" t="s">
        <v>118</v>
      </c>
      <c r="F15987" s="7">
        <v>46055.89998254981</v>
      </c>
      <c r="G15987" s="3" t="s">
        <v>19374</v>
      </c>
    </row>
    <row r="15988">
      <c r="A15988" s="3" t="s">
        <v>31983</v>
      </c>
      <c r="B15988" s="3" t="s">
        <v>13343</v>
      </c>
      <c r="C15988" s="5" t="s">
        <v>614</v>
      </c>
      <c r="D15988" s="3" t="s">
        <v>206</v>
      </c>
      <c r="E15988" s="3" t="s">
        <v>100</v>
      </c>
      <c r="F15988" s="7">
        <v>46055.90345477204</v>
      </c>
      <c r="G15988" s="3" t="s">
        <v>19377</v>
      </c>
    </row>
    <row r="15989">
      <c r="A15989" s="3" t="s">
        <v>31984</v>
      </c>
      <c r="B15989" s="3" t="s">
        <v>13343</v>
      </c>
      <c r="C15989" s="5" t="s">
        <v>206</v>
      </c>
      <c r="D15989" s="3" t="s">
        <v>68</v>
      </c>
      <c r="E15989" s="3" t="s">
        <v>100</v>
      </c>
      <c r="F15989" s="7">
        <v>46055.906926994256</v>
      </c>
      <c r="G15989" s="3" t="s">
        <v>19380</v>
      </c>
    </row>
    <row r="15990">
      <c r="A15990" s="3" t="s">
        <v>31985</v>
      </c>
      <c r="B15990" s="3" t="s">
        <v>13346</v>
      </c>
      <c r="C15990" s="5" t="s">
        <v>45</v>
      </c>
      <c r="D15990" s="3" t="s">
        <v>221</v>
      </c>
      <c r="E15990" s="3" t="s">
        <v>233</v>
      </c>
      <c r="F15990" s="7">
        <v>46055.967685173</v>
      </c>
      <c r="G15990" s="3" t="s">
        <v>14598</v>
      </c>
    </row>
    <row r="15991">
      <c r="A15991" s="3" t="s">
        <v>31986</v>
      </c>
      <c r="B15991" s="3" t="s">
        <v>13346</v>
      </c>
      <c r="C15991" s="5" t="s">
        <v>221</v>
      </c>
      <c r="D15991" s="3" t="s">
        <v>614</v>
      </c>
      <c r="E15991" s="3" t="s">
        <v>118</v>
      </c>
      <c r="F15991" s="7">
        <v>46055.971157395215</v>
      </c>
      <c r="G15991" s="3" t="s">
        <v>14601</v>
      </c>
    </row>
    <row r="15992">
      <c r="A15992" s="3" t="s">
        <v>31987</v>
      </c>
      <c r="B15992" s="3" t="s">
        <v>13346</v>
      </c>
      <c r="C15992" s="5" t="s">
        <v>614</v>
      </c>
      <c r="D15992" s="3" t="s">
        <v>206</v>
      </c>
      <c r="E15992" s="3" t="s">
        <v>100</v>
      </c>
      <c r="F15992" s="7">
        <v>46055.97462961744</v>
      </c>
      <c r="G15992" s="3" t="s">
        <v>14604</v>
      </c>
    </row>
    <row r="15993">
      <c r="A15993" s="3" t="s">
        <v>31988</v>
      </c>
      <c r="B15993" s="3" t="s">
        <v>13346</v>
      </c>
      <c r="C15993" s="5" t="s">
        <v>206</v>
      </c>
      <c r="D15993" s="3" t="s">
        <v>68</v>
      </c>
      <c r="E15993" s="3" t="s">
        <v>100</v>
      </c>
      <c r="F15993" s="7">
        <v>46055.97810183966</v>
      </c>
      <c r="G15993" s="3" t="s">
        <v>14607</v>
      </c>
    </row>
    <row r="15994">
      <c r="A15994" s="3" t="s">
        <v>31989</v>
      </c>
      <c r="B15994" s="3" t="s">
        <v>13348</v>
      </c>
      <c r="C15994" s="5" t="s">
        <v>45</v>
      </c>
      <c r="D15994" s="3" t="s">
        <v>221</v>
      </c>
      <c r="E15994" s="3" t="s">
        <v>731</v>
      </c>
      <c r="F15994" s="7">
        <v>46056.038860018416</v>
      </c>
      <c r="G15994" s="3" t="s">
        <v>22532</v>
      </c>
    </row>
    <row r="15995">
      <c r="A15995" s="3" t="s">
        <v>31990</v>
      </c>
      <c r="B15995" s="3" t="s">
        <v>13348</v>
      </c>
      <c r="C15995" s="5" t="s">
        <v>221</v>
      </c>
      <c r="D15995" s="3" t="s">
        <v>614</v>
      </c>
      <c r="E15995" s="3" t="s">
        <v>118</v>
      </c>
      <c r="F15995" s="7">
        <v>46056.042332240635</v>
      </c>
      <c r="G15995" s="3" t="s">
        <v>22534</v>
      </c>
    </row>
    <row r="15996">
      <c r="A15996" s="3" t="s">
        <v>31991</v>
      </c>
      <c r="B15996" s="3" t="s">
        <v>13348</v>
      </c>
      <c r="C15996" s="5" t="s">
        <v>614</v>
      </c>
      <c r="D15996" s="3" t="s">
        <v>206</v>
      </c>
      <c r="E15996" s="3" t="s">
        <v>100</v>
      </c>
      <c r="F15996" s="7">
        <v>46056.04580446286</v>
      </c>
      <c r="G15996" s="3" t="s">
        <v>22537</v>
      </c>
    </row>
    <row r="15997">
      <c r="A15997" s="3" t="s">
        <v>31992</v>
      </c>
      <c r="B15997" s="3" t="s">
        <v>13348</v>
      </c>
      <c r="C15997" s="5" t="s">
        <v>206</v>
      </c>
      <c r="D15997" s="3" t="s">
        <v>68</v>
      </c>
      <c r="E15997" s="3" t="s">
        <v>100</v>
      </c>
      <c r="F15997" s="7">
        <v>46056.04927668508</v>
      </c>
      <c r="G15997" s="3" t="s">
        <v>22540</v>
      </c>
    </row>
    <row r="15998">
      <c r="A15998" s="3" t="s">
        <v>31993</v>
      </c>
      <c r="B15998" s="3" t="s">
        <v>13349</v>
      </c>
      <c r="C15998" s="5" t="s">
        <v>45</v>
      </c>
      <c r="D15998" s="3" t="s">
        <v>221</v>
      </c>
      <c r="E15998" s="3" t="s">
        <v>554</v>
      </c>
      <c r="F15998" s="7">
        <v>46056.110034863836</v>
      </c>
      <c r="G15998" s="3" t="s">
        <v>6033</v>
      </c>
    </row>
    <row r="15999">
      <c r="A15999" s="3" t="s">
        <v>31994</v>
      </c>
      <c r="B15999" s="3" t="s">
        <v>13349</v>
      </c>
      <c r="C15999" s="5" t="s">
        <v>221</v>
      </c>
      <c r="D15999" s="3" t="s">
        <v>614</v>
      </c>
      <c r="E15999" s="3" t="s">
        <v>118</v>
      </c>
      <c r="F15999" s="7">
        <v>46056.113507086055</v>
      </c>
      <c r="G15999" s="3" t="s">
        <v>6036</v>
      </c>
    </row>
    <row r="16000">
      <c r="A16000" s="3" t="s">
        <v>31995</v>
      </c>
      <c r="B16000" s="3" t="s">
        <v>13349</v>
      </c>
      <c r="C16000" s="5" t="s">
        <v>614</v>
      </c>
      <c r="D16000" s="3" t="s">
        <v>206</v>
      </c>
      <c r="E16000" s="3" t="s">
        <v>100</v>
      </c>
      <c r="F16000" s="7">
        <v>46056.11697930828</v>
      </c>
      <c r="G16000" s="3" t="s">
        <v>6039</v>
      </c>
    </row>
    <row r="16001">
      <c r="A16001" s="3" t="s">
        <v>31996</v>
      </c>
      <c r="B16001" s="3" t="s">
        <v>13349</v>
      </c>
      <c r="C16001" s="5" t="s">
        <v>206</v>
      </c>
      <c r="D16001" s="3" t="s">
        <v>68</v>
      </c>
      <c r="E16001" s="3" t="s">
        <v>100</v>
      </c>
      <c r="F16001" s="7">
        <v>46056.1204515305</v>
      </c>
      <c r="G16001" s="3" t="s">
        <v>6042</v>
      </c>
    </row>
    <row r="16002">
      <c r="A16002" s="3" t="s">
        <v>31997</v>
      </c>
      <c r="B16002" s="3" t="s">
        <v>13351</v>
      </c>
      <c r="C16002" s="5" t="s">
        <v>45</v>
      </c>
      <c r="D16002" s="3" t="s">
        <v>221</v>
      </c>
      <c r="E16002" s="3" t="s">
        <v>159</v>
      </c>
      <c r="F16002" s="7">
        <v>46056.18120970925</v>
      </c>
      <c r="G16002" s="3" t="s">
        <v>8901</v>
      </c>
    </row>
    <row r="16003">
      <c r="A16003" s="3" t="s">
        <v>31998</v>
      </c>
      <c r="B16003" s="3" t="s">
        <v>13351</v>
      </c>
      <c r="C16003" s="5" t="s">
        <v>221</v>
      </c>
      <c r="D16003" s="3" t="s">
        <v>614</v>
      </c>
      <c r="E16003" s="3" t="s">
        <v>118</v>
      </c>
      <c r="F16003" s="7">
        <v>46056.18468193147</v>
      </c>
      <c r="G16003" s="3" t="s">
        <v>8904</v>
      </c>
    </row>
    <row r="16004">
      <c r="A16004" s="3" t="s">
        <v>31999</v>
      </c>
      <c r="B16004" s="3" t="s">
        <v>13351</v>
      </c>
      <c r="C16004" s="5" t="s">
        <v>614</v>
      </c>
      <c r="D16004" s="3" t="s">
        <v>206</v>
      </c>
      <c r="E16004" s="3" t="s">
        <v>100</v>
      </c>
      <c r="F16004" s="7">
        <v>46056.18815415369</v>
      </c>
      <c r="G16004" s="3" t="s">
        <v>8907</v>
      </c>
    </row>
    <row r="16005">
      <c r="A16005" s="3" t="s">
        <v>32000</v>
      </c>
      <c r="B16005" s="3" t="s">
        <v>13351</v>
      </c>
      <c r="C16005" s="5" t="s">
        <v>206</v>
      </c>
      <c r="D16005" s="3" t="s">
        <v>68</v>
      </c>
      <c r="E16005" s="3" t="s">
        <v>100</v>
      </c>
      <c r="F16005" s="7">
        <v>46056.19162637591</v>
      </c>
      <c r="G16005" s="3" t="s">
        <v>8910</v>
      </c>
    </row>
    <row r="16006">
      <c r="A16006" s="3" t="s">
        <v>32001</v>
      </c>
      <c r="B16006" s="3" t="s">
        <v>13354</v>
      </c>
      <c r="C16006" s="5" t="s">
        <v>45</v>
      </c>
      <c r="D16006" s="3" t="s">
        <v>221</v>
      </c>
      <c r="E16006" s="3" t="s">
        <v>202</v>
      </c>
      <c r="F16006" s="7">
        <v>46056.25238455466</v>
      </c>
      <c r="G16006" s="3" t="s">
        <v>6614</v>
      </c>
    </row>
    <row r="16007">
      <c r="A16007" s="3" t="s">
        <v>32002</v>
      </c>
      <c r="B16007" s="3" t="s">
        <v>13354</v>
      </c>
      <c r="C16007" s="5" t="s">
        <v>221</v>
      </c>
      <c r="D16007" s="3" t="s">
        <v>614</v>
      </c>
      <c r="E16007" s="3" t="s">
        <v>118</v>
      </c>
      <c r="F16007" s="7">
        <v>46056.25585677688</v>
      </c>
      <c r="G16007" s="3" t="s">
        <v>6617</v>
      </c>
    </row>
    <row r="16008">
      <c r="A16008" s="3" t="s">
        <v>32003</v>
      </c>
      <c r="B16008" s="3" t="s">
        <v>13354</v>
      </c>
      <c r="C16008" s="5" t="s">
        <v>614</v>
      </c>
      <c r="D16008" s="3" t="s">
        <v>206</v>
      </c>
      <c r="E16008" s="3" t="s">
        <v>100</v>
      </c>
      <c r="F16008" s="7">
        <v>46056.259328999105</v>
      </c>
      <c r="G16008" s="3" t="s">
        <v>6619</v>
      </c>
    </row>
    <row r="16009">
      <c r="A16009" s="3" t="s">
        <v>32004</v>
      </c>
      <c r="B16009" s="3" t="s">
        <v>13354</v>
      </c>
      <c r="C16009" s="5" t="s">
        <v>206</v>
      </c>
      <c r="D16009" s="3" t="s">
        <v>68</v>
      </c>
      <c r="E16009" s="3" t="s">
        <v>100</v>
      </c>
      <c r="F16009" s="7">
        <v>46056.262801221324</v>
      </c>
      <c r="G16009" s="3" t="s">
        <v>6622</v>
      </c>
    </row>
    <row r="16010">
      <c r="A16010" s="3" t="s">
        <v>32005</v>
      </c>
      <c r="B16010" s="3" t="s">
        <v>13356</v>
      </c>
      <c r="C16010" s="5" t="s">
        <v>45</v>
      </c>
      <c r="D16010" s="3" t="s">
        <v>221</v>
      </c>
      <c r="E16010" s="3" t="s">
        <v>916</v>
      </c>
      <c r="F16010" s="7">
        <v>46056.32355940008</v>
      </c>
      <c r="G16010" s="3" t="s">
        <v>8332</v>
      </c>
    </row>
    <row r="16011">
      <c r="A16011" s="3" t="s">
        <v>32006</v>
      </c>
      <c r="B16011" s="3" t="s">
        <v>13356</v>
      </c>
      <c r="C16011" s="5" t="s">
        <v>221</v>
      </c>
      <c r="D16011" s="3" t="s">
        <v>614</v>
      </c>
      <c r="E16011" s="3" t="s">
        <v>118</v>
      </c>
      <c r="F16011" s="7">
        <v>46056.3270316223</v>
      </c>
      <c r="G16011" s="3" t="s">
        <v>8335</v>
      </c>
    </row>
    <row r="16012">
      <c r="A16012" s="3" t="s">
        <v>32007</v>
      </c>
      <c r="B16012" s="3" t="s">
        <v>13356</v>
      </c>
      <c r="C16012" s="5" t="s">
        <v>614</v>
      </c>
      <c r="D16012" s="3" t="s">
        <v>206</v>
      </c>
      <c r="E16012" s="3" t="s">
        <v>100</v>
      </c>
      <c r="F16012" s="7">
        <v>46056.330503844525</v>
      </c>
      <c r="G16012" s="3" t="s">
        <v>8338</v>
      </c>
    </row>
    <row r="16013">
      <c r="A16013" s="3" t="s">
        <v>32008</v>
      </c>
      <c r="B16013" s="3" t="s">
        <v>13356</v>
      </c>
      <c r="C16013" s="5" t="s">
        <v>206</v>
      </c>
      <c r="D16013" s="3" t="s">
        <v>68</v>
      </c>
      <c r="E16013" s="3" t="s">
        <v>100</v>
      </c>
      <c r="F16013" s="7">
        <v>46056.333976066744</v>
      </c>
      <c r="G16013" s="3" t="s">
        <v>8341</v>
      </c>
    </row>
    <row r="16014">
      <c r="A16014" s="3" t="s">
        <v>32009</v>
      </c>
      <c r="B16014" s="3" t="s">
        <v>13359</v>
      </c>
      <c r="C16014" s="5" t="s">
        <v>45</v>
      </c>
      <c r="D16014" s="3" t="s">
        <v>221</v>
      </c>
      <c r="E16014" s="3" t="s">
        <v>596</v>
      </c>
      <c r="F16014" s="7">
        <v>46056.39473424549</v>
      </c>
      <c r="G16014" s="3" t="s">
        <v>6046</v>
      </c>
    </row>
    <row r="16015">
      <c r="A16015" s="3" t="s">
        <v>32010</v>
      </c>
      <c r="B16015" s="3" t="s">
        <v>13359</v>
      </c>
      <c r="C16015" s="5" t="s">
        <v>221</v>
      </c>
      <c r="D16015" s="3" t="s">
        <v>614</v>
      </c>
      <c r="E16015" s="3" t="s">
        <v>118</v>
      </c>
      <c r="F16015" s="7">
        <v>46056.39820646771</v>
      </c>
      <c r="G16015" s="3" t="s">
        <v>6050</v>
      </c>
    </row>
    <row r="16016">
      <c r="A16016" s="3" t="s">
        <v>32011</v>
      </c>
      <c r="B16016" s="3" t="s">
        <v>13359</v>
      </c>
      <c r="C16016" s="5" t="s">
        <v>614</v>
      </c>
      <c r="D16016" s="3" t="s">
        <v>206</v>
      </c>
      <c r="E16016" s="3" t="s">
        <v>100</v>
      </c>
      <c r="F16016" s="7">
        <v>46056.40167868994</v>
      </c>
      <c r="G16016" s="3" t="s">
        <v>6053</v>
      </c>
    </row>
    <row r="16017">
      <c r="A16017" s="3" t="s">
        <v>32012</v>
      </c>
      <c r="B16017" s="3" t="s">
        <v>13359</v>
      </c>
      <c r="C16017" s="5" t="s">
        <v>206</v>
      </c>
      <c r="D16017" s="3" t="s">
        <v>68</v>
      </c>
      <c r="E16017" s="3" t="s">
        <v>100</v>
      </c>
      <c r="F16017" s="7">
        <v>46056.40515091216</v>
      </c>
      <c r="G16017" s="3" t="s">
        <v>6057</v>
      </c>
    </row>
    <row r="16018">
      <c r="A16018" s="3" t="s">
        <v>32013</v>
      </c>
      <c r="B16018" s="3" t="s">
        <v>13360</v>
      </c>
      <c r="C16018" s="5" t="s">
        <v>45</v>
      </c>
      <c r="D16018" s="3" t="s">
        <v>221</v>
      </c>
      <c r="E16018" s="3" t="s">
        <v>400</v>
      </c>
      <c r="F16018" s="7">
        <v>46056.465909090904</v>
      </c>
      <c r="G16018" s="3" t="s">
        <v>6060</v>
      </c>
    </row>
    <row r="16019">
      <c r="A16019" s="3" t="s">
        <v>32014</v>
      </c>
      <c r="B16019" s="3" t="s">
        <v>13360</v>
      </c>
      <c r="C16019" s="5" t="s">
        <v>221</v>
      </c>
      <c r="D16019" s="3" t="s">
        <v>614</v>
      </c>
      <c r="E16019" s="3" t="s">
        <v>118</v>
      </c>
      <c r="F16019" s="7">
        <v>46056.46938131312</v>
      </c>
      <c r="G16019" s="3" t="s">
        <v>6063</v>
      </c>
    </row>
    <row r="16020">
      <c r="A16020" s="3" t="s">
        <v>32015</v>
      </c>
      <c r="B16020" s="3" t="s">
        <v>13360</v>
      </c>
      <c r="C16020" s="5" t="s">
        <v>614</v>
      </c>
      <c r="D16020" s="3" t="s">
        <v>206</v>
      </c>
      <c r="E16020" s="3" t="s">
        <v>100</v>
      </c>
      <c r="F16020" s="7">
        <v>46056.47285353535</v>
      </c>
      <c r="G16020" s="3" t="s">
        <v>6067</v>
      </c>
    </row>
    <row r="16021">
      <c r="A16021" s="3" t="s">
        <v>32016</v>
      </c>
      <c r="B16021" s="3" t="s">
        <v>13360</v>
      </c>
      <c r="C16021" s="5" t="s">
        <v>206</v>
      </c>
      <c r="D16021" s="3" t="s">
        <v>68</v>
      </c>
      <c r="E16021" s="3" t="s">
        <v>100</v>
      </c>
      <c r="F16021" s="7">
        <v>46056.47632575757</v>
      </c>
      <c r="G16021" s="3" t="s">
        <v>6070</v>
      </c>
    </row>
    <row r="16022">
      <c r="A16022" s="3" t="s">
        <v>32017</v>
      </c>
      <c r="B16022" s="3" t="s">
        <v>13363</v>
      </c>
      <c r="C16022" s="5" t="s">
        <v>45</v>
      </c>
      <c r="D16022" s="3" t="s">
        <v>221</v>
      </c>
      <c r="E16022" s="3" t="s">
        <v>655</v>
      </c>
      <c r="F16022" s="7">
        <v>46056.537083936324</v>
      </c>
      <c r="G16022" s="3" t="s">
        <v>22282</v>
      </c>
    </row>
    <row r="16023">
      <c r="A16023" s="3" t="s">
        <v>32018</v>
      </c>
      <c r="B16023" s="3" t="s">
        <v>13363</v>
      </c>
      <c r="C16023" s="5" t="s">
        <v>221</v>
      </c>
      <c r="D16023" s="3" t="s">
        <v>614</v>
      </c>
      <c r="E16023" s="3" t="s">
        <v>118</v>
      </c>
      <c r="F16023" s="7">
        <v>46056.54055615854</v>
      </c>
      <c r="G16023" s="3" t="s">
        <v>22285</v>
      </c>
    </row>
    <row r="16024">
      <c r="A16024" s="3" t="s">
        <v>32019</v>
      </c>
      <c r="B16024" s="3" t="s">
        <v>13363</v>
      </c>
      <c r="C16024" s="5" t="s">
        <v>614</v>
      </c>
      <c r="D16024" s="3" t="s">
        <v>206</v>
      </c>
      <c r="E16024" s="3" t="s">
        <v>100</v>
      </c>
      <c r="F16024" s="7">
        <v>46056.54402838077</v>
      </c>
      <c r="G16024" s="3" t="s">
        <v>22288</v>
      </c>
    </row>
    <row r="16025">
      <c r="A16025" s="3" t="s">
        <v>32020</v>
      </c>
      <c r="B16025" s="3" t="s">
        <v>13363</v>
      </c>
      <c r="C16025" s="5" t="s">
        <v>206</v>
      </c>
      <c r="D16025" s="3" t="s">
        <v>68</v>
      </c>
      <c r="E16025" s="3" t="s">
        <v>100</v>
      </c>
      <c r="F16025" s="7">
        <v>46056.54750060299</v>
      </c>
      <c r="G16025" s="3" t="s">
        <v>22291</v>
      </c>
    </row>
    <row r="16026">
      <c r="A16026" s="3" t="s">
        <v>32021</v>
      </c>
      <c r="B16026" s="3" t="s">
        <v>13365</v>
      </c>
      <c r="C16026" s="5" t="s">
        <v>45</v>
      </c>
      <c r="D16026" s="3" t="s">
        <v>221</v>
      </c>
      <c r="E16026" s="3" t="s">
        <v>1001</v>
      </c>
      <c r="F16026" s="7">
        <v>46056.60825878174</v>
      </c>
      <c r="G16026" s="3" t="s">
        <v>17935</v>
      </c>
    </row>
    <row r="16027">
      <c r="A16027" s="3" t="s">
        <v>32022</v>
      </c>
      <c r="B16027" s="3" t="s">
        <v>13365</v>
      </c>
      <c r="C16027" s="5" t="s">
        <v>221</v>
      </c>
      <c r="D16027" s="3" t="s">
        <v>614</v>
      </c>
      <c r="E16027" s="3" t="s">
        <v>118</v>
      </c>
      <c r="F16027" s="7">
        <v>46056.611731003955</v>
      </c>
      <c r="G16027" s="3" t="s">
        <v>17938</v>
      </c>
    </row>
    <row r="16028">
      <c r="A16028" s="3" t="s">
        <v>32023</v>
      </c>
      <c r="B16028" s="3" t="s">
        <v>13365</v>
      </c>
      <c r="C16028" s="5" t="s">
        <v>614</v>
      </c>
      <c r="D16028" s="3" t="s">
        <v>206</v>
      </c>
      <c r="E16028" s="3" t="s">
        <v>100</v>
      </c>
      <c r="F16028" s="7">
        <v>46056.61520322618</v>
      </c>
      <c r="G16028" s="3" t="s">
        <v>17940</v>
      </c>
    </row>
    <row r="16029">
      <c r="A16029" s="3" t="s">
        <v>32024</v>
      </c>
      <c r="B16029" s="3" t="s">
        <v>13365</v>
      </c>
      <c r="C16029" s="5" t="s">
        <v>206</v>
      </c>
      <c r="D16029" s="3" t="s">
        <v>68</v>
      </c>
      <c r="E16029" s="3" t="s">
        <v>100</v>
      </c>
      <c r="F16029" s="7">
        <v>46056.6186754484</v>
      </c>
      <c r="G16029" s="3" t="s">
        <v>17943</v>
      </c>
    </row>
    <row r="16030">
      <c r="A16030" s="3" t="s">
        <v>32025</v>
      </c>
      <c r="B16030" s="3" t="s">
        <v>13367</v>
      </c>
      <c r="C16030" s="5" t="s">
        <v>45</v>
      </c>
      <c r="D16030" s="3" t="s">
        <v>221</v>
      </c>
      <c r="E16030" s="3" t="s">
        <v>501</v>
      </c>
      <c r="F16030" s="7">
        <v>46056.67943362715</v>
      </c>
      <c r="G16030" s="3" t="s">
        <v>18174</v>
      </c>
    </row>
    <row r="16031">
      <c r="A16031" s="3" t="s">
        <v>32026</v>
      </c>
      <c r="B16031" s="3" t="s">
        <v>13367</v>
      </c>
      <c r="C16031" s="5" t="s">
        <v>221</v>
      </c>
      <c r="D16031" s="3" t="s">
        <v>614</v>
      </c>
      <c r="E16031" s="3" t="s">
        <v>118</v>
      </c>
      <c r="F16031" s="7">
        <v>46056.68290584937</v>
      </c>
      <c r="G16031" s="3" t="s">
        <v>18176</v>
      </c>
    </row>
    <row r="16032">
      <c r="A16032" s="3" t="s">
        <v>32027</v>
      </c>
      <c r="B16032" s="3" t="s">
        <v>13367</v>
      </c>
      <c r="C16032" s="5" t="s">
        <v>614</v>
      </c>
      <c r="D16032" s="3" t="s">
        <v>206</v>
      </c>
      <c r="E16032" s="3" t="s">
        <v>100</v>
      </c>
      <c r="F16032" s="7">
        <v>46056.686378071594</v>
      </c>
      <c r="G16032" s="3" t="s">
        <v>18179</v>
      </c>
    </row>
    <row r="16033">
      <c r="A16033" s="3" t="s">
        <v>32028</v>
      </c>
      <c r="B16033" s="3" t="s">
        <v>13367</v>
      </c>
      <c r="C16033" s="5" t="s">
        <v>206</v>
      </c>
      <c r="D16033" s="3" t="s">
        <v>68</v>
      </c>
      <c r="E16033" s="3" t="s">
        <v>100</v>
      </c>
      <c r="F16033" s="7">
        <v>46056.68985029381</v>
      </c>
      <c r="G16033" s="3" t="s">
        <v>18182</v>
      </c>
    </row>
    <row r="16034">
      <c r="A16034" s="3" t="s">
        <v>32029</v>
      </c>
      <c r="B16034" s="3" t="s">
        <v>13370</v>
      </c>
      <c r="C16034" s="5" t="s">
        <v>45</v>
      </c>
      <c r="D16034" s="3" t="s">
        <v>221</v>
      </c>
      <c r="E16034" s="3" t="s">
        <v>507</v>
      </c>
      <c r="F16034" s="7">
        <v>46056.75060847257</v>
      </c>
      <c r="G16034" s="3" t="s">
        <v>27164</v>
      </c>
    </row>
    <row r="16035">
      <c r="A16035" s="3" t="s">
        <v>32030</v>
      </c>
      <c r="B16035" s="3" t="s">
        <v>13370</v>
      </c>
      <c r="C16035" s="5" t="s">
        <v>221</v>
      </c>
      <c r="D16035" s="3" t="s">
        <v>614</v>
      </c>
      <c r="E16035" s="3" t="s">
        <v>118</v>
      </c>
      <c r="F16035" s="7">
        <v>46056.75408069479</v>
      </c>
      <c r="G16035" s="3" t="s">
        <v>27166</v>
      </c>
    </row>
    <row r="16036">
      <c r="A16036" s="3" t="s">
        <v>32031</v>
      </c>
      <c r="B16036" s="3" t="s">
        <v>13370</v>
      </c>
      <c r="C16036" s="5" t="s">
        <v>614</v>
      </c>
      <c r="D16036" s="3" t="s">
        <v>206</v>
      </c>
      <c r="E16036" s="3" t="s">
        <v>100</v>
      </c>
      <c r="F16036" s="7">
        <v>46056.75755291701</v>
      </c>
      <c r="G16036" s="3" t="s">
        <v>27168</v>
      </c>
    </row>
    <row r="16037">
      <c r="A16037" s="3" t="s">
        <v>32032</v>
      </c>
      <c r="B16037" s="3" t="s">
        <v>13370</v>
      </c>
      <c r="C16037" s="5" t="s">
        <v>206</v>
      </c>
      <c r="D16037" s="3" t="s">
        <v>68</v>
      </c>
      <c r="E16037" s="3" t="s">
        <v>100</v>
      </c>
      <c r="F16037" s="7">
        <v>46056.76102513923</v>
      </c>
      <c r="G16037" s="3" t="s">
        <v>27170</v>
      </c>
    </row>
    <row r="16038">
      <c r="A16038" s="3" t="s">
        <v>32033</v>
      </c>
      <c r="B16038" s="3" t="s">
        <v>13374</v>
      </c>
      <c r="C16038" s="5" t="s">
        <v>45</v>
      </c>
      <c r="D16038" s="3" t="s">
        <v>221</v>
      </c>
      <c r="E16038" s="3" t="s">
        <v>596</v>
      </c>
      <c r="F16038" s="7">
        <v>46056.82178331798</v>
      </c>
      <c r="G16038" s="3" t="s">
        <v>9956</v>
      </c>
    </row>
    <row r="16039">
      <c r="A16039" s="3" t="s">
        <v>32034</v>
      </c>
      <c r="B16039" s="3" t="s">
        <v>13374</v>
      </c>
      <c r="C16039" s="5" t="s">
        <v>221</v>
      </c>
      <c r="D16039" s="3" t="s">
        <v>614</v>
      </c>
      <c r="E16039" s="3" t="s">
        <v>118</v>
      </c>
      <c r="F16039" s="7">
        <v>46056.8252555402</v>
      </c>
      <c r="G16039" s="3" t="s">
        <v>9960</v>
      </c>
    </row>
    <row r="16040">
      <c r="A16040" s="3" t="s">
        <v>32035</v>
      </c>
      <c r="B16040" s="3" t="s">
        <v>13374</v>
      </c>
      <c r="C16040" s="5" t="s">
        <v>614</v>
      </c>
      <c r="D16040" s="3" t="s">
        <v>206</v>
      </c>
      <c r="E16040" s="3" t="s">
        <v>100</v>
      </c>
      <c r="F16040" s="7">
        <v>46056.828727762426</v>
      </c>
      <c r="G16040" s="3" t="s">
        <v>9963</v>
      </c>
    </row>
    <row r="16041">
      <c r="A16041" s="3" t="s">
        <v>32036</v>
      </c>
      <c r="B16041" s="3" t="s">
        <v>13374</v>
      </c>
      <c r="C16041" s="5" t="s">
        <v>206</v>
      </c>
      <c r="D16041" s="3" t="s">
        <v>68</v>
      </c>
      <c r="E16041" s="3" t="s">
        <v>100</v>
      </c>
      <c r="F16041" s="7">
        <v>46056.832199984645</v>
      </c>
      <c r="G16041" s="3" t="s">
        <v>9966</v>
      </c>
    </row>
    <row r="16042">
      <c r="A16042" s="3" t="s">
        <v>32037</v>
      </c>
      <c r="B16042" s="3" t="s">
        <v>13378</v>
      </c>
      <c r="C16042" s="5" t="s">
        <v>45</v>
      </c>
      <c r="D16042" s="3" t="s">
        <v>221</v>
      </c>
      <c r="E16042" s="3" t="s">
        <v>541</v>
      </c>
      <c r="F16042" s="7">
        <v>46056.89295816339</v>
      </c>
      <c r="G16042" s="3" t="s">
        <v>6145</v>
      </c>
    </row>
    <row r="16043">
      <c r="A16043" s="3" t="s">
        <v>32038</v>
      </c>
      <c r="B16043" s="3" t="s">
        <v>13378</v>
      </c>
      <c r="C16043" s="5" t="s">
        <v>221</v>
      </c>
      <c r="D16043" s="3" t="s">
        <v>614</v>
      </c>
      <c r="E16043" s="3" t="s">
        <v>118</v>
      </c>
      <c r="F16043" s="7">
        <v>46056.89643038561</v>
      </c>
      <c r="G16043" s="3" t="s">
        <v>6147</v>
      </c>
    </row>
    <row r="16044">
      <c r="A16044" s="3" t="s">
        <v>32039</v>
      </c>
      <c r="B16044" s="3" t="s">
        <v>13378</v>
      </c>
      <c r="C16044" s="5" t="s">
        <v>614</v>
      </c>
      <c r="D16044" s="3" t="s">
        <v>206</v>
      </c>
      <c r="E16044" s="3" t="s">
        <v>100</v>
      </c>
      <c r="F16044" s="7">
        <v>46056.89990260784</v>
      </c>
      <c r="G16044" s="3" t="s">
        <v>6149</v>
      </c>
    </row>
    <row r="16045">
      <c r="A16045" s="3" t="s">
        <v>32040</v>
      </c>
      <c r="B16045" s="3" t="s">
        <v>13378</v>
      </c>
      <c r="C16045" s="5" t="s">
        <v>206</v>
      </c>
      <c r="D16045" s="3" t="s">
        <v>68</v>
      </c>
      <c r="E16045" s="3" t="s">
        <v>100</v>
      </c>
      <c r="F16045" s="7">
        <v>46056.90337483006</v>
      </c>
      <c r="G16045" s="3" t="s">
        <v>6152</v>
      </c>
    </row>
    <row r="16046">
      <c r="A16046" s="3" t="s">
        <v>32041</v>
      </c>
      <c r="B16046" s="3" t="s">
        <v>13381</v>
      </c>
      <c r="C16046" s="5" t="s">
        <v>45</v>
      </c>
      <c r="D16046" s="3" t="s">
        <v>221</v>
      </c>
      <c r="E16046" s="3" t="s">
        <v>669</v>
      </c>
      <c r="F16046" s="7">
        <v>46056.96413300881</v>
      </c>
      <c r="G16046" s="3" t="s">
        <v>21032</v>
      </c>
    </row>
    <row r="16047">
      <c r="A16047" s="3" t="s">
        <v>32042</v>
      </c>
      <c r="B16047" s="3" t="s">
        <v>13381</v>
      </c>
      <c r="C16047" s="5" t="s">
        <v>221</v>
      </c>
      <c r="D16047" s="3" t="s">
        <v>195</v>
      </c>
      <c r="E16047" s="3" t="s">
        <v>669</v>
      </c>
      <c r="F16047" s="7">
        <v>46056.96760523103</v>
      </c>
      <c r="G16047" s="3" t="s">
        <v>32043</v>
      </c>
    </row>
    <row r="16048">
      <c r="A16048" s="3" t="s">
        <v>32044</v>
      </c>
      <c r="B16048" s="3" t="s">
        <v>13383</v>
      </c>
      <c r="C16048" s="5" t="s">
        <v>45</v>
      </c>
      <c r="D16048" s="3" t="s">
        <v>221</v>
      </c>
      <c r="E16048" s="3" t="s">
        <v>845</v>
      </c>
      <c r="F16048" s="7">
        <v>46057.03530785423</v>
      </c>
      <c r="G16048" s="3" t="s">
        <v>2770</v>
      </c>
    </row>
    <row r="16049">
      <c r="A16049" s="3" t="s">
        <v>32045</v>
      </c>
      <c r="B16049" s="3" t="s">
        <v>13383</v>
      </c>
      <c r="C16049" s="5" t="s">
        <v>221</v>
      </c>
      <c r="D16049" s="3" t="s">
        <v>181</v>
      </c>
      <c r="E16049" s="3" t="s">
        <v>118</v>
      </c>
      <c r="F16049" s="7">
        <v>46057.03878007645</v>
      </c>
      <c r="G16049" s="3" t="s">
        <v>2774</v>
      </c>
    </row>
    <row r="16050">
      <c r="A16050" s="3" t="s">
        <v>32046</v>
      </c>
      <c r="B16050" s="3" t="s">
        <v>13385</v>
      </c>
      <c r="C16050" s="5" t="s">
        <v>45</v>
      </c>
      <c r="D16050" s="3" t="s">
        <v>221</v>
      </c>
      <c r="E16050" s="3" t="s">
        <v>498</v>
      </c>
      <c r="F16050" s="7">
        <v>46057.10648269964</v>
      </c>
      <c r="G16050" s="3" t="s">
        <v>6166</v>
      </c>
    </row>
    <row r="16051">
      <c r="A16051" s="3" t="s">
        <v>32047</v>
      </c>
      <c r="B16051" s="3" t="s">
        <v>13385</v>
      </c>
      <c r="C16051" s="5" t="s">
        <v>221</v>
      </c>
      <c r="D16051" s="3" t="s">
        <v>614</v>
      </c>
      <c r="E16051" s="3" t="s">
        <v>118</v>
      </c>
      <c r="F16051" s="7">
        <v>46057.109954921856</v>
      </c>
      <c r="G16051" s="3" t="s">
        <v>6169</v>
      </c>
    </row>
    <row r="16052">
      <c r="A16052" s="3" t="s">
        <v>32048</v>
      </c>
      <c r="B16052" s="3" t="s">
        <v>13385</v>
      </c>
      <c r="C16052" s="5" t="s">
        <v>614</v>
      </c>
      <c r="D16052" s="3" t="s">
        <v>206</v>
      </c>
      <c r="E16052" s="3" t="s">
        <v>100</v>
      </c>
      <c r="F16052" s="7">
        <v>46057.11342714408</v>
      </c>
      <c r="G16052" s="3" t="s">
        <v>6171</v>
      </c>
    </row>
    <row r="16053">
      <c r="A16053" s="3" t="s">
        <v>32049</v>
      </c>
      <c r="B16053" s="3" t="s">
        <v>13385</v>
      </c>
      <c r="C16053" s="5" t="s">
        <v>206</v>
      </c>
      <c r="D16053" s="3" t="s">
        <v>68</v>
      </c>
      <c r="E16053" s="3" t="s">
        <v>100</v>
      </c>
      <c r="F16053" s="7">
        <v>46057.1168993663</v>
      </c>
      <c r="G16053" s="3" t="s">
        <v>6174</v>
      </c>
    </row>
    <row r="16054">
      <c r="A16054" s="3" t="s">
        <v>32050</v>
      </c>
      <c r="B16054" s="3" t="s">
        <v>13388</v>
      </c>
      <c r="C16054" s="5" t="s">
        <v>45</v>
      </c>
      <c r="D16054" s="3" t="s">
        <v>221</v>
      </c>
      <c r="E16054" s="3" t="s">
        <v>411</v>
      </c>
      <c r="F16054" s="7">
        <v>46057.17765754506</v>
      </c>
      <c r="G16054" s="3" t="s">
        <v>5377</v>
      </c>
    </row>
    <row r="16055">
      <c r="A16055" s="3" t="s">
        <v>32051</v>
      </c>
      <c r="B16055" s="3" t="s">
        <v>13388</v>
      </c>
      <c r="C16055" s="5" t="s">
        <v>221</v>
      </c>
      <c r="D16055" s="3" t="s">
        <v>181</v>
      </c>
      <c r="E16055" s="3" t="s">
        <v>118</v>
      </c>
      <c r="F16055" s="7">
        <v>46057.181129767276</v>
      </c>
      <c r="G16055" s="3" t="s">
        <v>32052</v>
      </c>
    </row>
    <row r="16056">
      <c r="A16056" s="3" t="s">
        <v>32053</v>
      </c>
      <c r="B16056" s="3" t="s">
        <v>13391</v>
      </c>
      <c r="C16056" s="5" t="s">
        <v>45</v>
      </c>
      <c r="D16056" s="3" t="s">
        <v>221</v>
      </c>
      <c r="E16056" s="3" t="s">
        <v>455</v>
      </c>
      <c r="F16056" s="7">
        <v>46057.248832390476</v>
      </c>
      <c r="G16056" s="3" t="s">
        <v>2770</v>
      </c>
    </row>
    <row r="16057">
      <c r="A16057" s="3" t="s">
        <v>32054</v>
      </c>
      <c r="B16057" s="3" t="s">
        <v>13391</v>
      </c>
      <c r="C16057" s="5" t="s">
        <v>221</v>
      </c>
      <c r="D16057" s="3" t="s">
        <v>181</v>
      </c>
      <c r="E16057" s="3" t="s">
        <v>118</v>
      </c>
      <c r="F16057" s="7">
        <v>46057.252304612695</v>
      </c>
      <c r="G16057" s="3" t="s">
        <v>2774</v>
      </c>
    </row>
    <row r="16058">
      <c r="A16058" s="3" t="s">
        <v>32055</v>
      </c>
      <c r="B16058" s="3" t="s">
        <v>13394</v>
      </c>
      <c r="C16058" s="5" t="s">
        <v>45</v>
      </c>
      <c r="D16058" s="3" t="s">
        <v>221</v>
      </c>
      <c r="E16058" s="3" t="s">
        <v>224</v>
      </c>
      <c r="F16058" s="7">
        <v>46057.32000723589</v>
      </c>
      <c r="G16058" s="3" t="s">
        <v>2770</v>
      </c>
    </row>
    <row r="16059">
      <c r="A16059" s="3" t="s">
        <v>32056</v>
      </c>
      <c r="B16059" s="3" t="s">
        <v>13394</v>
      </c>
      <c r="C16059" s="5" t="s">
        <v>221</v>
      </c>
      <c r="D16059" s="3" t="s">
        <v>181</v>
      </c>
      <c r="E16059" s="3" t="s">
        <v>118</v>
      </c>
      <c r="F16059" s="7">
        <v>46057.32347945811</v>
      </c>
      <c r="G16059" s="3" t="s">
        <v>2774</v>
      </c>
    </row>
    <row r="16060">
      <c r="A16060" s="3" t="s">
        <v>32057</v>
      </c>
      <c r="B16060" s="3" t="s">
        <v>13397</v>
      </c>
      <c r="C16060" s="5" t="s">
        <v>45</v>
      </c>
      <c r="D16060" s="3" t="s">
        <v>221</v>
      </c>
      <c r="E16060" s="3" t="s">
        <v>987</v>
      </c>
      <c r="F16060" s="7">
        <v>46057.3911820813</v>
      </c>
      <c r="G16060" s="3" t="s">
        <v>5810</v>
      </c>
    </row>
    <row r="16061">
      <c r="A16061" s="3" t="s">
        <v>32058</v>
      </c>
      <c r="B16061" s="3" t="s">
        <v>13397</v>
      </c>
      <c r="C16061" s="5" t="s">
        <v>221</v>
      </c>
      <c r="D16061" s="3" t="s">
        <v>614</v>
      </c>
      <c r="E16061" s="3" t="s">
        <v>118</v>
      </c>
      <c r="F16061" s="7">
        <v>46057.39465430352</v>
      </c>
      <c r="G16061" s="3" t="s">
        <v>5813</v>
      </c>
    </row>
    <row r="16062">
      <c r="A16062" s="3" t="s">
        <v>32059</v>
      </c>
      <c r="B16062" s="3" t="s">
        <v>13397</v>
      </c>
      <c r="C16062" s="5" t="s">
        <v>614</v>
      </c>
      <c r="D16062" s="3" t="s">
        <v>206</v>
      </c>
      <c r="E16062" s="3" t="s">
        <v>100</v>
      </c>
      <c r="F16062" s="7">
        <v>46057.398126525746</v>
      </c>
      <c r="G16062" s="3" t="s">
        <v>5815</v>
      </c>
    </row>
    <row r="16063">
      <c r="A16063" s="3" t="s">
        <v>32060</v>
      </c>
      <c r="B16063" s="3" t="s">
        <v>13397</v>
      </c>
      <c r="C16063" s="5" t="s">
        <v>206</v>
      </c>
      <c r="D16063" s="3" t="s">
        <v>68</v>
      </c>
      <c r="E16063" s="3" t="s">
        <v>100</v>
      </c>
      <c r="F16063" s="7">
        <v>46057.401598747965</v>
      </c>
      <c r="G16063" s="3" t="s">
        <v>5818</v>
      </c>
    </row>
    <row r="16064">
      <c r="A16064" s="3" t="s">
        <v>32061</v>
      </c>
      <c r="B16064" s="3" t="s">
        <v>13400</v>
      </c>
      <c r="C16064" s="5" t="s">
        <v>45</v>
      </c>
      <c r="D16064" s="3" t="s">
        <v>221</v>
      </c>
      <c r="E16064" s="3" t="s">
        <v>383</v>
      </c>
      <c r="F16064" s="7">
        <v>46057.46235692672</v>
      </c>
      <c r="G16064" s="3" t="s">
        <v>24798</v>
      </c>
    </row>
    <row r="16065">
      <c r="A16065" s="3" t="s">
        <v>32062</v>
      </c>
      <c r="B16065" s="3" t="s">
        <v>13400</v>
      </c>
      <c r="C16065" s="5" t="s">
        <v>221</v>
      </c>
      <c r="D16065" s="3" t="s">
        <v>614</v>
      </c>
      <c r="E16065" s="3" t="s">
        <v>118</v>
      </c>
      <c r="F16065" s="7">
        <v>46057.46582914894</v>
      </c>
      <c r="G16065" s="3" t="s">
        <v>24800</v>
      </c>
    </row>
    <row r="16066">
      <c r="A16066" s="3" t="s">
        <v>32063</v>
      </c>
      <c r="B16066" s="3" t="s">
        <v>13400</v>
      </c>
      <c r="C16066" s="5" t="s">
        <v>614</v>
      </c>
      <c r="D16066" s="3" t="s">
        <v>206</v>
      </c>
      <c r="E16066" s="3" t="s">
        <v>100</v>
      </c>
      <c r="F16066" s="7">
        <v>46057.469301371166</v>
      </c>
      <c r="G16066" s="3" t="s">
        <v>24802</v>
      </c>
    </row>
    <row r="16067">
      <c r="A16067" s="3" t="s">
        <v>32064</v>
      </c>
      <c r="B16067" s="3" t="s">
        <v>13400</v>
      </c>
      <c r="C16067" s="5" t="s">
        <v>206</v>
      </c>
      <c r="D16067" s="3" t="s">
        <v>68</v>
      </c>
      <c r="E16067" s="3" t="s">
        <v>100</v>
      </c>
      <c r="F16067" s="7">
        <v>46057.472773593385</v>
      </c>
      <c r="G16067" s="3" t="s">
        <v>24804</v>
      </c>
    </row>
    <row r="16068">
      <c r="A16068" s="3" t="s">
        <v>32065</v>
      </c>
      <c r="B16068" s="3" t="s">
        <v>13403</v>
      </c>
      <c r="C16068" s="5" t="s">
        <v>45</v>
      </c>
      <c r="D16068" s="3" t="s">
        <v>221</v>
      </c>
      <c r="E16068" s="3" t="s">
        <v>333</v>
      </c>
      <c r="F16068" s="7">
        <v>46057.53353177213</v>
      </c>
      <c r="G16068" s="3" t="s">
        <v>6195</v>
      </c>
    </row>
    <row r="16069">
      <c r="A16069" s="3" t="s">
        <v>32066</v>
      </c>
      <c r="B16069" s="3" t="s">
        <v>13403</v>
      </c>
      <c r="C16069" s="5" t="s">
        <v>221</v>
      </c>
      <c r="D16069" s="3" t="s">
        <v>614</v>
      </c>
      <c r="E16069" s="3" t="s">
        <v>118</v>
      </c>
      <c r="F16069" s="7">
        <v>46057.53700399435</v>
      </c>
      <c r="G16069" s="3" t="s">
        <v>6198</v>
      </c>
    </row>
    <row r="16070">
      <c r="A16070" s="3" t="s">
        <v>32067</v>
      </c>
      <c r="B16070" s="3" t="s">
        <v>13403</v>
      </c>
      <c r="C16070" s="5" t="s">
        <v>614</v>
      </c>
      <c r="D16070" s="3" t="s">
        <v>206</v>
      </c>
      <c r="E16070" s="3" t="s">
        <v>100</v>
      </c>
      <c r="F16070" s="7">
        <v>46057.54047621658</v>
      </c>
      <c r="G16070" s="3" t="s">
        <v>6201</v>
      </c>
    </row>
    <row r="16071">
      <c r="A16071" s="3" t="s">
        <v>32068</v>
      </c>
      <c r="B16071" s="3" t="s">
        <v>13403</v>
      </c>
      <c r="C16071" s="5" t="s">
        <v>206</v>
      </c>
      <c r="D16071" s="3" t="s">
        <v>68</v>
      </c>
      <c r="E16071" s="3" t="s">
        <v>100</v>
      </c>
      <c r="F16071" s="7">
        <v>46057.5439484388</v>
      </c>
      <c r="G16071" s="3" t="s">
        <v>6203</v>
      </c>
    </row>
    <row r="16072">
      <c r="A16072" s="3" t="s">
        <v>32069</v>
      </c>
      <c r="B16072" s="3" t="s">
        <v>13406</v>
      </c>
      <c r="C16072" s="5" t="s">
        <v>45</v>
      </c>
      <c r="D16072" s="3" t="s">
        <v>221</v>
      </c>
      <c r="E16072" s="3" t="s">
        <v>1008</v>
      </c>
      <c r="F16072" s="7">
        <v>46057.604706617545</v>
      </c>
      <c r="G16072" s="3" t="s">
        <v>18591</v>
      </c>
    </row>
    <row r="16073">
      <c r="A16073" s="3" t="s">
        <v>32070</v>
      </c>
      <c r="B16073" s="3" t="s">
        <v>13406</v>
      </c>
      <c r="C16073" s="5" t="s">
        <v>221</v>
      </c>
      <c r="D16073" s="3" t="s">
        <v>614</v>
      </c>
      <c r="E16073" s="3" t="s">
        <v>118</v>
      </c>
      <c r="F16073" s="7">
        <v>46057.608178839764</v>
      </c>
      <c r="G16073" s="3" t="s">
        <v>18594</v>
      </c>
    </row>
    <row r="16074">
      <c r="A16074" s="3" t="s">
        <v>32071</v>
      </c>
      <c r="B16074" s="3" t="s">
        <v>13406</v>
      </c>
      <c r="C16074" s="5" t="s">
        <v>614</v>
      </c>
      <c r="D16074" s="3" t="s">
        <v>206</v>
      </c>
      <c r="E16074" s="3" t="s">
        <v>100</v>
      </c>
      <c r="F16074" s="7">
        <v>46057.61165106199</v>
      </c>
      <c r="G16074" s="3" t="s">
        <v>18597</v>
      </c>
    </row>
    <row r="16075">
      <c r="A16075" s="3" t="s">
        <v>32072</v>
      </c>
      <c r="B16075" s="3" t="s">
        <v>13406</v>
      </c>
      <c r="C16075" s="5" t="s">
        <v>206</v>
      </c>
      <c r="D16075" s="3" t="s">
        <v>68</v>
      </c>
      <c r="E16075" s="3" t="s">
        <v>100</v>
      </c>
      <c r="F16075" s="7">
        <v>46057.61512328421</v>
      </c>
      <c r="G16075" s="3" t="s">
        <v>18599</v>
      </c>
    </row>
    <row r="16076">
      <c r="A16076" s="3" t="s">
        <v>32073</v>
      </c>
      <c r="B16076" s="3" t="s">
        <v>13410</v>
      </c>
      <c r="C16076" s="5" t="s">
        <v>45</v>
      </c>
      <c r="D16076" s="3" t="s">
        <v>221</v>
      </c>
      <c r="E16076" s="3" t="s">
        <v>247</v>
      </c>
      <c r="F16076" s="7">
        <v>46057.675881462965</v>
      </c>
      <c r="G16076" s="3" t="s">
        <v>11423</v>
      </c>
    </row>
    <row r="16077">
      <c r="A16077" s="3" t="s">
        <v>32074</v>
      </c>
      <c r="B16077" s="3" t="s">
        <v>13410</v>
      </c>
      <c r="C16077" s="5" t="s">
        <v>221</v>
      </c>
      <c r="D16077" s="3" t="s">
        <v>614</v>
      </c>
      <c r="E16077" s="3" t="s">
        <v>118</v>
      </c>
      <c r="F16077" s="7">
        <v>46057.679353685184</v>
      </c>
      <c r="G16077" s="3" t="s">
        <v>11426</v>
      </c>
    </row>
    <row r="16078">
      <c r="A16078" s="3" t="s">
        <v>32075</v>
      </c>
      <c r="B16078" s="3" t="s">
        <v>13410</v>
      </c>
      <c r="C16078" s="5" t="s">
        <v>614</v>
      </c>
      <c r="D16078" s="3" t="s">
        <v>206</v>
      </c>
      <c r="E16078" s="3" t="s">
        <v>100</v>
      </c>
      <c r="F16078" s="7">
        <v>46057.68282590741</v>
      </c>
      <c r="G16078" s="3" t="s">
        <v>11429</v>
      </c>
    </row>
    <row r="16079">
      <c r="A16079" s="3" t="s">
        <v>32076</v>
      </c>
      <c r="B16079" s="3" t="s">
        <v>13410</v>
      </c>
      <c r="C16079" s="5" t="s">
        <v>206</v>
      </c>
      <c r="D16079" s="3" t="s">
        <v>68</v>
      </c>
      <c r="E16079" s="3" t="s">
        <v>100</v>
      </c>
      <c r="F16079" s="7">
        <v>46057.68629812963</v>
      </c>
      <c r="G16079" s="3" t="s">
        <v>11432</v>
      </c>
    </row>
    <row r="16080">
      <c r="A16080" s="3" t="s">
        <v>32077</v>
      </c>
      <c r="B16080" s="3" t="s">
        <v>13414</v>
      </c>
      <c r="C16080" s="5" t="s">
        <v>45</v>
      </c>
      <c r="D16080" s="3" t="s">
        <v>221</v>
      </c>
      <c r="E16080" s="3" t="s">
        <v>561</v>
      </c>
      <c r="F16080" s="7">
        <v>46057.747056308384</v>
      </c>
      <c r="G16080" s="3" t="s">
        <v>13688</v>
      </c>
    </row>
    <row r="16081">
      <c r="A16081" s="3" t="s">
        <v>32078</v>
      </c>
      <c r="B16081" s="3" t="s">
        <v>13414</v>
      </c>
      <c r="C16081" s="5" t="s">
        <v>221</v>
      </c>
      <c r="D16081" s="3" t="s">
        <v>195</v>
      </c>
      <c r="E16081" s="3" t="s">
        <v>561</v>
      </c>
      <c r="F16081" s="7">
        <v>46057.7505285306</v>
      </c>
      <c r="G16081" s="3" t="s">
        <v>32079</v>
      </c>
    </row>
    <row r="16082">
      <c r="A16082" s="3" t="s">
        <v>32080</v>
      </c>
      <c r="B16082" s="3" t="s">
        <v>13416</v>
      </c>
      <c r="C16082" s="5" t="s">
        <v>45</v>
      </c>
      <c r="D16082" s="3" t="s">
        <v>221</v>
      </c>
      <c r="E16082" s="3" t="s">
        <v>559</v>
      </c>
      <c r="F16082" s="7">
        <v>46057.81823115379</v>
      </c>
      <c r="G16082" s="3" t="s">
        <v>6214</v>
      </c>
    </row>
    <row r="16083">
      <c r="A16083" s="3" t="s">
        <v>32081</v>
      </c>
      <c r="B16083" s="3" t="s">
        <v>13416</v>
      </c>
      <c r="C16083" s="5" t="s">
        <v>221</v>
      </c>
      <c r="D16083" s="3" t="s">
        <v>614</v>
      </c>
      <c r="E16083" s="3" t="s">
        <v>118</v>
      </c>
      <c r="F16083" s="7">
        <v>46057.82170337601</v>
      </c>
      <c r="G16083" s="3" t="s">
        <v>6219</v>
      </c>
    </row>
    <row r="16084">
      <c r="A16084" s="3" t="s">
        <v>32082</v>
      </c>
      <c r="B16084" s="3" t="s">
        <v>13416</v>
      </c>
      <c r="C16084" s="5" t="s">
        <v>614</v>
      </c>
      <c r="D16084" s="3" t="s">
        <v>206</v>
      </c>
      <c r="E16084" s="3" t="s">
        <v>100</v>
      </c>
      <c r="F16084" s="7">
        <v>46057.825175598235</v>
      </c>
      <c r="G16084" s="3" t="s">
        <v>6222</v>
      </c>
    </row>
    <row r="16085">
      <c r="A16085" s="3" t="s">
        <v>32083</v>
      </c>
      <c r="B16085" s="3" t="s">
        <v>13416</v>
      </c>
      <c r="C16085" s="5" t="s">
        <v>206</v>
      </c>
      <c r="D16085" s="3" t="s">
        <v>68</v>
      </c>
      <c r="E16085" s="3" t="s">
        <v>100</v>
      </c>
      <c r="F16085" s="7">
        <v>46057.82864782045</v>
      </c>
      <c r="G16085" s="3" t="s">
        <v>6224</v>
      </c>
    </row>
    <row r="16086">
      <c r="A16086" s="3" t="s">
        <v>32084</v>
      </c>
      <c r="B16086" s="3" t="s">
        <v>13418</v>
      </c>
      <c r="C16086" s="5" t="s">
        <v>45</v>
      </c>
      <c r="D16086" s="3" t="s">
        <v>221</v>
      </c>
      <c r="E16086" s="3" t="s">
        <v>1026</v>
      </c>
      <c r="F16086" s="7">
        <v>46057.88940599921</v>
      </c>
      <c r="G16086" s="3" t="s">
        <v>6243</v>
      </c>
    </row>
    <row r="16087">
      <c r="A16087" s="3" t="s">
        <v>32085</v>
      </c>
      <c r="B16087" s="3" t="s">
        <v>13418</v>
      </c>
      <c r="C16087" s="5" t="s">
        <v>221</v>
      </c>
      <c r="D16087" s="3" t="s">
        <v>614</v>
      </c>
      <c r="E16087" s="3" t="s">
        <v>118</v>
      </c>
      <c r="F16087" s="7">
        <v>46057.89287822143</v>
      </c>
      <c r="G16087" s="3" t="s">
        <v>6246</v>
      </c>
    </row>
    <row r="16088">
      <c r="A16088" s="3" t="s">
        <v>32086</v>
      </c>
      <c r="B16088" s="3" t="s">
        <v>13418</v>
      </c>
      <c r="C16088" s="5" t="s">
        <v>614</v>
      </c>
      <c r="D16088" s="3" t="s">
        <v>206</v>
      </c>
      <c r="E16088" s="3" t="s">
        <v>100</v>
      </c>
      <c r="F16088" s="7">
        <v>46057.896350443654</v>
      </c>
      <c r="G16088" s="3" t="s">
        <v>6248</v>
      </c>
    </row>
    <row r="16089">
      <c r="A16089" s="3" t="s">
        <v>32087</v>
      </c>
      <c r="B16089" s="3" t="s">
        <v>13418</v>
      </c>
      <c r="C16089" s="5" t="s">
        <v>206</v>
      </c>
      <c r="D16089" s="3" t="s">
        <v>68</v>
      </c>
      <c r="E16089" s="3" t="s">
        <v>100</v>
      </c>
      <c r="F16089" s="7">
        <v>46057.89982266587</v>
      </c>
      <c r="G16089" s="3" t="s">
        <v>6251</v>
      </c>
    </row>
    <row r="16090">
      <c r="A16090" s="3" t="s">
        <v>32088</v>
      </c>
      <c r="B16090" s="3" t="s">
        <v>13420</v>
      </c>
      <c r="C16090" s="5" t="s">
        <v>45</v>
      </c>
      <c r="D16090" s="3" t="s">
        <v>221</v>
      </c>
      <c r="E16090" s="3" t="s">
        <v>957</v>
      </c>
      <c r="F16090" s="7">
        <v>46057.96058084462</v>
      </c>
      <c r="G16090" s="3" t="s">
        <v>3679</v>
      </c>
    </row>
    <row r="16091">
      <c r="A16091" s="3" t="s">
        <v>32089</v>
      </c>
      <c r="B16091" s="3" t="s">
        <v>13420</v>
      </c>
      <c r="C16091" s="5" t="s">
        <v>221</v>
      </c>
      <c r="D16091" s="3" t="s">
        <v>614</v>
      </c>
      <c r="E16091" s="3" t="s">
        <v>118</v>
      </c>
      <c r="F16091" s="7">
        <v>46057.96405306684</v>
      </c>
      <c r="G16091" s="3" t="s">
        <v>3682</v>
      </c>
    </row>
    <row r="16092">
      <c r="A16092" s="3" t="s">
        <v>32090</v>
      </c>
      <c r="B16092" s="3" t="s">
        <v>13420</v>
      </c>
      <c r="C16092" s="5" t="s">
        <v>614</v>
      </c>
      <c r="D16092" s="3" t="s">
        <v>206</v>
      </c>
      <c r="E16092" s="3" t="s">
        <v>100</v>
      </c>
      <c r="F16092" s="7">
        <v>46057.96752528907</v>
      </c>
      <c r="G16092" s="3" t="s">
        <v>3685</v>
      </c>
    </row>
    <row r="16093">
      <c r="A16093" s="3" t="s">
        <v>32091</v>
      </c>
      <c r="B16093" s="3" t="s">
        <v>13420</v>
      </c>
      <c r="C16093" s="5" t="s">
        <v>206</v>
      </c>
      <c r="D16093" s="3" t="s">
        <v>68</v>
      </c>
      <c r="E16093" s="3" t="s">
        <v>100</v>
      </c>
      <c r="F16093" s="7">
        <v>46057.970997511286</v>
      </c>
      <c r="G16093" s="3" t="s">
        <v>3688</v>
      </c>
    </row>
    <row r="16094">
      <c r="A16094" s="3" t="s">
        <v>32092</v>
      </c>
      <c r="B16094" s="3" t="s">
        <v>13422</v>
      </c>
      <c r="C16094" s="5" t="s">
        <v>45</v>
      </c>
      <c r="D16094" s="3" t="s">
        <v>221</v>
      </c>
      <c r="E16094" s="3" t="s">
        <v>1043</v>
      </c>
      <c r="F16094" s="7">
        <v>46058.03175569004</v>
      </c>
      <c r="G16094" s="3" t="s">
        <v>30795</v>
      </c>
    </row>
    <row r="16095">
      <c r="A16095" s="3" t="s">
        <v>32093</v>
      </c>
      <c r="B16095" s="3" t="s">
        <v>13422</v>
      </c>
      <c r="C16095" s="5" t="s">
        <v>221</v>
      </c>
      <c r="D16095" s="3" t="s">
        <v>614</v>
      </c>
      <c r="E16095" s="3" t="s">
        <v>118</v>
      </c>
      <c r="F16095" s="7">
        <v>46058.03522791226</v>
      </c>
      <c r="G16095" s="3" t="s">
        <v>30797</v>
      </c>
    </row>
    <row r="16096">
      <c r="A16096" s="3" t="s">
        <v>32094</v>
      </c>
      <c r="B16096" s="3" t="s">
        <v>13422</v>
      </c>
      <c r="C16096" s="5" t="s">
        <v>614</v>
      </c>
      <c r="D16096" s="3" t="s">
        <v>206</v>
      </c>
      <c r="E16096" s="3" t="s">
        <v>100</v>
      </c>
      <c r="F16096" s="7">
        <v>46058.038700134486</v>
      </c>
      <c r="G16096" s="3" t="s">
        <v>30799</v>
      </c>
    </row>
    <row r="16097">
      <c r="A16097" s="3" t="s">
        <v>32095</v>
      </c>
      <c r="B16097" s="3" t="s">
        <v>13422</v>
      </c>
      <c r="C16097" s="5" t="s">
        <v>206</v>
      </c>
      <c r="D16097" s="3" t="s">
        <v>68</v>
      </c>
      <c r="E16097" s="3" t="s">
        <v>100</v>
      </c>
      <c r="F16097" s="7">
        <v>46058.042172356705</v>
      </c>
      <c r="G16097" s="3" t="s">
        <v>30801</v>
      </c>
    </row>
    <row r="16098">
      <c r="A16098" s="3" t="s">
        <v>32096</v>
      </c>
      <c r="B16098" s="3" t="s">
        <v>13426</v>
      </c>
      <c r="C16098" s="5" t="s">
        <v>45</v>
      </c>
      <c r="D16098" s="3" t="s">
        <v>221</v>
      </c>
      <c r="E16098" s="3" t="s">
        <v>937</v>
      </c>
      <c r="F16098" s="7">
        <v>46058.10293053545</v>
      </c>
      <c r="G16098" s="3" t="s">
        <v>17343</v>
      </c>
    </row>
    <row r="16099">
      <c r="A16099" s="3" t="s">
        <v>32097</v>
      </c>
      <c r="B16099" s="3" t="s">
        <v>13426</v>
      </c>
      <c r="C16099" s="5" t="s">
        <v>221</v>
      </c>
      <c r="D16099" s="3" t="s">
        <v>614</v>
      </c>
      <c r="E16099" s="3" t="s">
        <v>118</v>
      </c>
      <c r="F16099" s="7">
        <v>46058.10640275767</v>
      </c>
      <c r="G16099" s="3" t="s">
        <v>17346</v>
      </c>
    </row>
    <row r="16100">
      <c r="A16100" s="3" t="s">
        <v>32098</v>
      </c>
      <c r="B16100" s="3" t="s">
        <v>13426</v>
      </c>
      <c r="C16100" s="5" t="s">
        <v>614</v>
      </c>
      <c r="D16100" s="3" t="s">
        <v>206</v>
      </c>
      <c r="E16100" s="3" t="s">
        <v>100</v>
      </c>
      <c r="F16100" s="7">
        <v>46058.1098749799</v>
      </c>
      <c r="G16100" s="3" t="s">
        <v>17349</v>
      </c>
    </row>
    <row r="16101">
      <c r="A16101" s="3" t="s">
        <v>32099</v>
      </c>
      <c r="B16101" s="3" t="s">
        <v>13426</v>
      </c>
      <c r="C16101" s="5" t="s">
        <v>206</v>
      </c>
      <c r="D16101" s="3" t="s">
        <v>68</v>
      </c>
      <c r="E16101" s="3" t="s">
        <v>100</v>
      </c>
      <c r="F16101" s="7">
        <v>46058.11334720212</v>
      </c>
      <c r="G16101" s="3" t="s">
        <v>17352</v>
      </c>
    </row>
    <row r="16102">
      <c r="A16102" s="3" t="s">
        <v>32100</v>
      </c>
      <c r="B16102" s="3" t="s">
        <v>13430</v>
      </c>
      <c r="C16102" s="5" t="s">
        <v>45</v>
      </c>
      <c r="D16102" s="3" t="s">
        <v>221</v>
      </c>
      <c r="E16102" s="3" t="s">
        <v>767</v>
      </c>
      <c r="F16102" s="7">
        <v>46058.17410538087</v>
      </c>
      <c r="G16102" s="3" t="s">
        <v>6254</v>
      </c>
    </row>
    <row r="16103">
      <c r="A16103" s="3" t="s">
        <v>32101</v>
      </c>
      <c r="B16103" s="3" t="s">
        <v>13430</v>
      </c>
      <c r="C16103" s="5" t="s">
        <v>221</v>
      </c>
      <c r="D16103" s="3" t="s">
        <v>614</v>
      </c>
      <c r="E16103" s="3" t="s">
        <v>118</v>
      </c>
      <c r="F16103" s="7">
        <v>46058.17757760309</v>
      </c>
      <c r="G16103" s="3" t="s">
        <v>6257</v>
      </c>
    </row>
    <row r="16104">
      <c r="A16104" s="3" t="s">
        <v>32102</v>
      </c>
      <c r="B16104" s="3" t="s">
        <v>13430</v>
      </c>
      <c r="C16104" s="5" t="s">
        <v>614</v>
      </c>
      <c r="D16104" s="3" t="s">
        <v>206</v>
      </c>
      <c r="E16104" s="3" t="s">
        <v>100</v>
      </c>
      <c r="F16104" s="7">
        <v>46058.18104982532</v>
      </c>
      <c r="G16104" s="3" t="s">
        <v>6260</v>
      </c>
    </row>
    <row r="16105">
      <c r="A16105" s="3" t="s">
        <v>32103</v>
      </c>
      <c r="B16105" s="3" t="s">
        <v>13430</v>
      </c>
      <c r="C16105" s="5" t="s">
        <v>206</v>
      </c>
      <c r="D16105" s="3" t="s">
        <v>68</v>
      </c>
      <c r="E16105" s="3" t="s">
        <v>100</v>
      </c>
      <c r="F16105" s="7">
        <v>46058.18452204754</v>
      </c>
      <c r="G16105" s="3" t="s">
        <v>6263</v>
      </c>
    </row>
    <row r="16106">
      <c r="A16106" s="3" t="s">
        <v>32104</v>
      </c>
      <c r="B16106" s="3" t="s">
        <v>13433</v>
      </c>
      <c r="C16106" s="5" t="s">
        <v>45</v>
      </c>
      <c r="D16106" s="3" t="s">
        <v>221</v>
      </c>
      <c r="E16106" s="3" t="s">
        <v>685</v>
      </c>
      <c r="F16106" s="7">
        <v>46058.24528022628</v>
      </c>
      <c r="G16106" s="3" t="s">
        <v>6266</v>
      </c>
    </row>
    <row r="16107">
      <c r="A16107" s="3" t="s">
        <v>32105</v>
      </c>
      <c r="B16107" s="3" t="s">
        <v>13433</v>
      </c>
      <c r="C16107" s="5" t="s">
        <v>221</v>
      </c>
      <c r="D16107" s="3" t="s">
        <v>614</v>
      </c>
      <c r="E16107" s="3" t="s">
        <v>118</v>
      </c>
      <c r="F16107" s="7">
        <v>46058.2487524485</v>
      </c>
      <c r="G16107" s="3" t="s">
        <v>6269</v>
      </c>
    </row>
    <row r="16108">
      <c r="A16108" s="3" t="s">
        <v>32106</v>
      </c>
      <c r="B16108" s="3" t="s">
        <v>13433</v>
      </c>
      <c r="C16108" s="5" t="s">
        <v>614</v>
      </c>
      <c r="D16108" s="3" t="s">
        <v>206</v>
      </c>
      <c r="E16108" s="3" t="s">
        <v>100</v>
      </c>
      <c r="F16108" s="7">
        <v>46058.25222467072</v>
      </c>
      <c r="G16108" s="3" t="s">
        <v>6272</v>
      </c>
    </row>
    <row r="16109">
      <c r="A16109" s="3" t="s">
        <v>32107</v>
      </c>
      <c r="B16109" s="3" t="s">
        <v>13433</v>
      </c>
      <c r="C16109" s="5" t="s">
        <v>206</v>
      </c>
      <c r="D16109" s="3" t="s">
        <v>68</v>
      </c>
      <c r="E16109" s="3" t="s">
        <v>100</v>
      </c>
      <c r="F16109" s="7">
        <v>46058.25569689294</v>
      </c>
      <c r="G16109" s="3" t="s">
        <v>6275</v>
      </c>
    </row>
    <row r="16110">
      <c r="A16110" s="3" t="s">
        <v>32108</v>
      </c>
      <c r="B16110" s="3" t="s">
        <v>13438</v>
      </c>
      <c r="C16110" s="5" t="s">
        <v>45</v>
      </c>
      <c r="D16110" s="3" t="s">
        <v>221</v>
      </c>
      <c r="E16110" s="3" t="s">
        <v>717</v>
      </c>
      <c r="F16110" s="7">
        <v>46058.3164550717</v>
      </c>
      <c r="G16110" s="3" t="s">
        <v>6277</v>
      </c>
    </row>
    <row r="16111">
      <c r="A16111" s="3" t="s">
        <v>32109</v>
      </c>
      <c r="B16111" s="3" t="s">
        <v>13438</v>
      </c>
      <c r="C16111" s="5" t="s">
        <v>221</v>
      </c>
      <c r="D16111" s="3" t="s">
        <v>614</v>
      </c>
      <c r="E16111" s="3" t="s">
        <v>118</v>
      </c>
      <c r="F16111" s="7">
        <v>46058.31992729392</v>
      </c>
      <c r="G16111" s="3" t="s">
        <v>6280</v>
      </c>
    </row>
    <row r="16112">
      <c r="A16112" s="3" t="s">
        <v>32110</v>
      </c>
      <c r="B16112" s="3" t="s">
        <v>13438</v>
      </c>
      <c r="C16112" s="5" t="s">
        <v>614</v>
      </c>
      <c r="D16112" s="3" t="s">
        <v>206</v>
      </c>
      <c r="E16112" s="3" t="s">
        <v>100</v>
      </c>
      <c r="F16112" s="7">
        <v>46058.32339951614</v>
      </c>
      <c r="G16112" s="3" t="s">
        <v>6283</v>
      </c>
    </row>
    <row r="16113">
      <c r="A16113" s="3" t="s">
        <v>32111</v>
      </c>
      <c r="B16113" s="3" t="s">
        <v>13438</v>
      </c>
      <c r="C16113" s="5" t="s">
        <v>206</v>
      </c>
      <c r="D16113" s="3" t="s">
        <v>68</v>
      </c>
      <c r="E16113" s="3" t="s">
        <v>100</v>
      </c>
      <c r="F16113" s="7">
        <v>46058.32687173836</v>
      </c>
      <c r="G16113" s="3" t="s">
        <v>6286</v>
      </c>
    </row>
    <row r="16114">
      <c r="A16114" s="3" t="s">
        <v>32112</v>
      </c>
      <c r="B16114" s="3" t="s">
        <v>13441</v>
      </c>
      <c r="C16114" s="5" t="s">
        <v>45</v>
      </c>
      <c r="D16114" s="3" t="s">
        <v>221</v>
      </c>
      <c r="E16114" s="3" t="s">
        <v>516</v>
      </c>
      <c r="F16114" s="7">
        <v>46058.38762991712</v>
      </c>
      <c r="G16114" s="3" t="s">
        <v>5719</v>
      </c>
    </row>
    <row r="16115">
      <c r="A16115" s="3" t="s">
        <v>32113</v>
      </c>
      <c r="B16115" s="3" t="s">
        <v>13441</v>
      </c>
      <c r="C16115" s="5" t="s">
        <v>221</v>
      </c>
      <c r="D16115" s="3" t="s">
        <v>614</v>
      </c>
      <c r="E16115" s="3" t="s">
        <v>118</v>
      </c>
      <c r="F16115" s="7">
        <v>46058.391102139336</v>
      </c>
      <c r="G16115" s="3" t="s">
        <v>5723</v>
      </c>
    </row>
    <row r="16116">
      <c r="A16116" s="3" t="s">
        <v>32114</v>
      </c>
      <c r="B16116" s="3" t="s">
        <v>13441</v>
      </c>
      <c r="C16116" s="5" t="s">
        <v>614</v>
      </c>
      <c r="D16116" s="3" t="s">
        <v>206</v>
      </c>
      <c r="E16116" s="3" t="s">
        <v>100</v>
      </c>
      <c r="F16116" s="7">
        <v>46058.39457436156</v>
      </c>
      <c r="G16116" s="3" t="s">
        <v>5726</v>
      </c>
    </row>
    <row r="16117">
      <c r="A16117" s="3" t="s">
        <v>32115</v>
      </c>
      <c r="B16117" s="3" t="s">
        <v>13441</v>
      </c>
      <c r="C16117" s="5" t="s">
        <v>206</v>
      </c>
      <c r="D16117" s="3" t="s">
        <v>68</v>
      </c>
      <c r="E16117" s="3" t="s">
        <v>100</v>
      </c>
      <c r="F16117" s="7">
        <v>46058.39804658378</v>
      </c>
      <c r="G16117" s="3" t="s">
        <v>5729</v>
      </c>
    </row>
    <row r="16118">
      <c r="A16118" s="3" t="s">
        <v>32116</v>
      </c>
      <c r="B16118" s="3" t="s">
        <v>13444</v>
      </c>
      <c r="C16118" s="5" t="s">
        <v>45</v>
      </c>
      <c r="D16118" s="3" t="s">
        <v>221</v>
      </c>
      <c r="E16118" s="3" t="s">
        <v>202</v>
      </c>
      <c r="F16118" s="7">
        <v>46058.45880476253</v>
      </c>
      <c r="G16118" s="3" t="s">
        <v>6614</v>
      </c>
    </row>
    <row r="16119">
      <c r="A16119" s="3" t="s">
        <v>32117</v>
      </c>
      <c r="B16119" s="3" t="s">
        <v>13444</v>
      </c>
      <c r="C16119" s="5" t="s">
        <v>221</v>
      </c>
      <c r="D16119" s="3" t="s">
        <v>614</v>
      </c>
      <c r="E16119" s="3" t="s">
        <v>118</v>
      </c>
      <c r="F16119" s="7">
        <v>46058.46227698475</v>
      </c>
      <c r="G16119" s="3" t="s">
        <v>6617</v>
      </c>
    </row>
    <row r="16120">
      <c r="A16120" s="3" t="s">
        <v>32118</v>
      </c>
      <c r="B16120" s="3" t="s">
        <v>13444</v>
      </c>
      <c r="C16120" s="5" t="s">
        <v>614</v>
      </c>
      <c r="D16120" s="3" t="s">
        <v>206</v>
      </c>
      <c r="E16120" s="3" t="s">
        <v>100</v>
      </c>
      <c r="F16120" s="7">
        <v>46058.465749206975</v>
      </c>
      <c r="G16120" s="3" t="s">
        <v>6619</v>
      </c>
    </row>
    <row r="16121">
      <c r="A16121" s="3" t="s">
        <v>32119</v>
      </c>
      <c r="B16121" s="3" t="s">
        <v>13444</v>
      </c>
      <c r="C16121" s="5" t="s">
        <v>206</v>
      </c>
      <c r="D16121" s="3" t="s">
        <v>68</v>
      </c>
      <c r="E16121" s="3" t="s">
        <v>100</v>
      </c>
      <c r="F16121" s="7">
        <v>46058.46922142919</v>
      </c>
      <c r="G16121" s="3" t="s">
        <v>6622</v>
      </c>
    </row>
    <row r="16122">
      <c r="A16122" s="3" t="s">
        <v>32120</v>
      </c>
      <c r="B16122" s="3" t="s">
        <v>13447</v>
      </c>
      <c r="C16122" s="5" t="s">
        <v>45</v>
      </c>
      <c r="D16122" s="3" t="s">
        <v>221</v>
      </c>
      <c r="E16122" s="3" t="s">
        <v>126</v>
      </c>
      <c r="F16122" s="7">
        <v>46058.52997960794</v>
      </c>
      <c r="G16122" s="3" t="s">
        <v>30987</v>
      </c>
    </row>
    <row r="16123">
      <c r="A16123" s="3" t="s">
        <v>32121</v>
      </c>
      <c r="B16123" s="3" t="s">
        <v>13447</v>
      </c>
      <c r="C16123" s="5" t="s">
        <v>221</v>
      </c>
      <c r="D16123" s="3" t="s">
        <v>614</v>
      </c>
      <c r="E16123" s="3" t="s">
        <v>118</v>
      </c>
      <c r="F16123" s="7">
        <v>46058.53345183016</v>
      </c>
      <c r="G16123" s="3" t="s">
        <v>30989</v>
      </c>
    </row>
    <row r="16124">
      <c r="A16124" s="3" t="s">
        <v>32122</v>
      </c>
      <c r="B16124" s="3" t="s">
        <v>13447</v>
      </c>
      <c r="C16124" s="5" t="s">
        <v>614</v>
      </c>
      <c r="D16124" s="3" t="s">
        <v>206</v>
      </c>
      <c r="E16124" s="3" t="s">
        <v>100</v>
      </c>
      <c r="F16124" s="7">
        <v>46058.53692405239</v>
      </c>
      <c r="G16124" s="3" t="s">
        <v>30991</v>
      </c>
    </row>
    <row r="16125">
      <c r="A16125" s="3" t="s">
        <v>32123</v>
      </c>
      <c r="B16125" s="3" t="s">
        <v>13447</v>
      </c>
      <c r="C16125" s="5" t="s">
        <v>206</v>
      </c>
      <c r="D16125" s="3" t="s">
        <v>68</v>
      </c>
      <c r="E16125" s="3" t="s">
        <v>100</v>
      </c>
      <c r="F16125" s="7">
        <v>46058.540396274606</v>
      </c>
      <c r="G16125" s="3" t="s">
        <v>30993</v>
      </c>
    </row>
    <row r="16126">
      <c r="A16126" s="3" t="s">
        <v>32124</v>
      </c>
      <c r="B16126" s="3" t="s">
        <v>13451</v>
      </c>
      <c r="C16126" s="5" t="s">
        <v>45</v>
      </c>
      <c r="D16126" s="3" t="s">
        <v>221</v>
      </c>
      <c r="E16126" s="3" t="s">
        <v>957</v>
      </c>
      <c r="F16126" s="7">
        <v>46058.60115445336</v>
      </c>
      <c r="G16126" s="3" t="s">
        <v>3679</v>
      </c>
    </row>
    <row r="16127">
      <c r="A16127" s="3" t="s">
        <v>32125</v>
      </c>
      <c r="B16127" s="3" t="s">
        <v>13451</v>
      </c>
      <c r="C16127" s="5" t="s">
        <v>221</v>
      </c>
      <c r="D16127" s="3" t="s">
        <v>614</v>
      </c>
      <c r="E16127" s="3" t="s">
        <v>118</v>
      </c>
      <c r="F16127" s="7">
        <v>46058.60462667558</v>
      </c>
      <c r="G16127" s="3" t="s">
        <v>3682</v>
      </c>
    </row>
    <row r="16128">
      <c r="A16128" s="3" t="s">
        <v>32126</v>
      </c>
      <c r="B16128" s="3" t="s">
        <v>13451</v>
      </c>
      <c r="C16128" s="5" t="s">
        <v>614</v>
      </c>
      <c r="D16128" s="3" t="s">
        <v>206</v>
      </c>
      <c r="E16128" s="3" t="s">
        <v>100</v>
      </c>
      <c r="F16128" s="7">
        <v>46058.60809889781</v>
      </c>
      <c r="G16128" s="3" t="s">
        <v>3685</v>
      </c>
    </row>
    <row r="16129">
      <c r="A16129" s="3" t="s">
        <v>32127</v>
      </c>
      <c r="B16129" s="3" t="s">
        <v>13451</v>
      </c>
      <c r="C16129" s="5" t="s">
        <v>206</v>
      </c>
      <c r="D16129" s="3" t="s">
        <v>68</v>
      </c>
      <c r="E16129" s="3" t="s">
        <v>100</v>
      </c>
      <c r="F16129" s="7">
        <v>46058.611571120025</v>
      </c>
      <c r="G16129" s="3" t="s">
        <v>3688</v>
      </c>
    </row>
    <row r="16130">
      <c r="A16130" s="3" t="s">
        <v>32128</v>
      </c>
      <c r="B16130" s="3" t="s">
        <v>13454</v>
      </c>
      <c r="C16130" s="5" t="s">
        <v>45</v>
      </c>
      <c r="D16130" s="3" t="s">
        <v>221</v>
      </c>
      <c r="E16130" s="3" t="s">
        <v>130</v>
      </c>
      <c r="F16130" s="7">
        <v>46058.67232929877</v>
      </c>
      <c r="G16130" s="3" t="s">
        <v>32129</v>
      </c>
    </row>
    <row r="16131">
      <c r="A16131" s="3" t="s">
        <v>32130</v>
      </c>
      <c r="B16131" s="3" t="s">
        <v>13454</v>
      </c>
      <c r="C16131" s="5" t="s">
        <v>221</v>
      </c>
      <c r="D16131" s="3" t="s">
        <v>614</v>
      </c>
      <c r="E16131" s="3" t="s">
        <v>118</v>
      </c>
      <c r="F16131" s="7">
        <v>46058.67580152099</v>
      </c>
      <c r="G16131" s="3" t="s">
        <v>32131</v>
      </c>
    </row>
    <row r="16132">
      <c r="A16132" s="3" t="s">
        <v>32132</v>
      </c>
      <c r="B16132" s="3" t="s">
        <v>13454</v>
      </c>
      <c r="C16132" s="5" t="s">
        <v>614</v>
      </c>
      <c r="D16132" s="3" t="s">
        <v>206</v>
      </c>
      <c r="E16132" s="3" t="s">
        <v>100</v>
      </c>
      <c r="F16132" s="7">
        <v>46058.67927374322</v>
      </c>
      <c r="G16132" s="3" t="s">
        <v>32133</v>
      </c>
    </row>
    <row r="16133">
      <c r="A16133" s="3" t="s">
        <v>32134</v>
      </c>
      <c r="B16133" s="3" t="s">
        <v>13454</v>
      </c>
      <c r="C16133" s="5" t="s">
        <v>206</v>
      </c>
      <c r="D16133" s="3" t="s">
        <v>68</v>
      </c>
      <c r="E16133" s="3" t="s">
        <v>100</v>
      </c>
      <c r="F16133" s="7">
        <v>46058.68274596544</v>
      </c>
      <c r="G16133" s="3" t="s">
        <v>32135</v>
      </c>
    </row>
    <row r="16134">
      <c r="A16134" s="3" t="s">
        <v>32136</v>
      </c>
      <c r="B16134" s="3" t="s">
        <v>13457</v>
      </c>
      <c r="C16134" s="5" t="s">
        <v>45</v>
      </c>
      <c r="D16134" s="3" t="s">
        <v>221</v>
      </c>
      <c r="E16134" s="3" t="s">
        <v>151</v>
      </c>
      <c r="F16134" s="7">
        <v>46058.743504144186</v>
      </c>
      <c r="G16134" s="3" t="s">
        <v>6289</v>
      </c>
    </row>
    <row r="16135">
      <c r="A16135" s="3" t="s">
        <v>32137</v>
      </c>
      <c r="B16135" s="3" t="s">
        <v>13457</v>
      </c>
      <c r="C16135" s="5" t="s">
        <v>221</v>
      </c>
      <c r="D16135" s="3" t="s">
        <v>614</v>
      </c>
      <c r="E16135" s="3" t="s">
        <v>118</v>
      </c>
      <c r="F16135" s="7">
        <v>46058.746976366405</v>
      </c>
      <c r="G16135" s="3" t="s">
        <v>6292</v>
      </c>
    </row>
    <row r="16136">
      <c r="A16136" s="3" t="s">
        <v>32138</v>
      </c>
      <c r="B16136" s="3" t="s">
        <v>13457</v>
      </c>
      <c r="C16136" s="5" t="s">
        <v>614</v>
      </c>
      <c r="D16136" s="3" t="s">
        <v>206</v>
      </c>
      <c r="E16136" s="3" t="s">
        <v>100</v>
      </c>
      <c r="F16136" s="7">
        <v>46058.75044858863</v>
      </c>
      <c r="G16136" s="3" t="s">
        <v>6295</v>
      </c>
    </row>
    <row r="16137">
      <c r="A16137" s="3" t="s">
        <v>32139</v>
      </c>
      <c r="B16137" s="3" t="s">
        <v>13457</v>
      </c>
      <c r="C16137" s="5" t="s">
        <v>206</v>
      </c>
      <c r="D16137" s="3" t="s">
        <v>68</v>
      </c>
      <c r="E16137" s="3" t="s">
        <v>100</v>
      </c>
      <c r="F16137" s="7">
        <v>46058.75392081085</v>
      </c>
      <c r="G16137" s="3" t="s">
        <v>6298</v>
      </c>
    </row>
    <row r="16138">
      <c r="A16138" s="3" t="s">
        <v>32140</v>
      </c>
      <c r="B16138" s="3" t="s">
        <v>13459</v>
      </c>
      <c r="C16138" s="5" t="s">
        <v>45</v>
      </c>
      <c r="D16138" s="3" t="s">
        <v>221</v>
      </c>
      <c r="E16138" s="3" t="s">
        <v>546</v>
      </c>
      <c r="F16138" s="7">
        <v>46058.814678989605</v>
      </c>
      <c r="G16138" s="3" t="s">
        <v>5450</v>
      </c>
    </row>
    <row r="16139">
      <c r="A16139" s="3" t="s">
        <v>32141</v>
      </c>
      <c r="B16139" s="3" t="s">
        <v>13459</v>
      </c>
      <c r="C16139" s="5" t="s">
        <v>221</v>
      </c>
      <c r="D16139" s="3" t="s">
        <v>614</v>
      </c>
      <c r="E16139" s="3" t="s">
        <v>118</v>
      </c>
      <c r="F16139" s="7">
        <v>46058.818151211824</v>
      </c>
      <c r="G16139" s="3" t="s">
        <v>11062</v>
      </c>
    </row>
    <row r="16140">
      <c r="A16140" s="3" t="s">
        <v>32142</v>
      </c>
      <c r="B16140" s="3" t="s">
        <v>13459</v>
      </c>
      <c r="C16140" s="5" t="s">
        <v>614</v>
      </c>
      <c r="D16140" s="3" t="s">
        <v>206</v>
      </c>
      <c r="E16140" s="3" t="s">
        <v>100</v>
      </c>
      <c r="F16140" s="7">
        <v>46058.82162343405</v>
      </c>
      <c r="G16140" s="3" t="s">
        <v>11064</v>
      </c>
    </row>
    <row r="16141">
      <c r="A16141" s="3" t="s">
        <v>32143</v>
      </c>
      <c r="B16141" s="3" t="s">
        <v>13459</v>
      </c>
      <c r="C16141" s="5" t="s">
        <v>206</v>
      </c>
      <c r="D16141" s="3" t="s">
        <v>68</v>
      </c>
      <c r="E16141" s="3" t="s">
        <v>100</v>
      </c>
      <c r="F16141" s="7">
        <v>46058.82509565627</v>
      </c>
      <c r="G16141" s="3" t="s">
        <v>11067</v>
      </c>
    </row>
    <row r="16142">
      <c r="A16142" s="3" t="s">
        <v>32144</v>
      </c>
      <c r="B16142" s="3" t="s">
        <v>13461</v>
      </c>
      <c r="C16142" s="5" t="s">
        <v>45</v>
      </c>
      <c r="D16142" s="3" t="s">
        <v>221</v>
      </c>
      <c r="E16142" s="3" t="s">
        <v>581</v>
      </c>
      <c r="F16142" s="7">
        <v>46058.885853835025</v>
      </c>
      <c r="G16142" s="3" t="s">
        <v>7272</v>
      </c>
    </row>
    <row r="16143">
      <c r="A16143" s="3" t="s">
        <v>32145</v>
      </c>
      <c r="B16143" s="3" t="s">
        <v>13461</v>
      </c>
      <c r="C16143" s="5" t="s">
        <v>221</v>
      </c>
      <c r="D16143" s="3" t="s">
        <v>614</v>
      </c>
      <c r="E16143" s="3" t="s">
        <v>118</v>
      </c>
      <c r="F16143" s="7">
        <v>46058.889326057244</v>
      </c>
      <c r="G16143" s="3" t="s">
        <v>7275</v>
      </c>
    </row>
    <row r="16144">
      <c r="A16144" s="3" t="s">
        <v>32146</v>
      </c>
      <c r="B16144" s="3" t="s">
        <v>13461</v>
      </c>
      <c r="C16144" s="5" t="s">
        <v>614</v>
      </c>
      <c r="D16144" s="3" t="s">
        <v>206</v>
      </c>
      <c r="E16144" s="3" t="s">
        <v>100</v>
      </c>
      <c r="F16144" s="7">
        <v>46058.89279827947</v>
      </c>
      <c r="G16144" s="3" t="s">
        <v>7278</v>
      </c>
    </row>
    <row r="16145">
      <c r="A16145" s="3" t="s">
        <v>32147</v>
      </c>
      <c r="B16145" s="3" t="s">
        <v>13461</v>
      </c>
      <c r="C16145" s="5" t="s">
        <v>206</v>
      </c>
      <c r="D16145" s="3" t="s">
        <v>68</v>
      </c>
      <c r="E16145" s="3" t="s">
        <v>100</v>
      </c>
      <c r="F16145" s="7">
        <v>46058.89627050169</v>
      </c>
      <c r="G16145" s="3" t="s">
        <v>7281</v>
      </c>
    </row>
    <row r="16146">
      <c r="A16146" s="3" t="s">
        <v>32148</v>
      </c>
      <c r="B16146" s="3" t="s">
        <v>13463</v>
      </c>
      <c r="C16146" s="5" t="s">
        <v>45</v>
      </c>
      <c r="D16146" s="3" t="s">
        <v>221</v>
      </c>
      <c r="E16146" s="3" t="s">
        <v>1043</v>
      </c>
      <c r="F16146" s="7">
        <v>46058.95702868043</v>
      </c>
      <c r="G16146" s="3" t="s">
        <v>5136</v>
      </c>
    </row>
    <row r="16147">
      <c r="A16147" s="3" t="s">
        <v>32149</v>
      </c>
      <c r="B16147" s="3" t="s">
        <v>13463</v>
      </c>
      <c r="C16147" s="5" t="s">
        <v>221</v>
      </c>
      <c r="D16147" s="3" t="s">
        <v>614</v>
      </c>
      <c r="E16147" s="3" t="s">
        <v>118</v>
      </c>
      <c r="F16147" s="7">
        <v>46058.96050090265</v>
      </c>
      <c r="G16147" s="3" t="s">
        <v>5139</v>
      </c>
    </row>
    <row r="16148">
      <c r="A16148" s="3" t="s">
        <v>32150</v>
      </c>
      <c r="B16148" s="3" t="s">
        <v>13463</v>
      </c>
      <c r="C16148" s="5" t="s">
        <v>614</v>
      </c>
      <c r="D16148" s="3" t="s">
        <v>206</v>
      </c>
      <c r="E16148" s="3" t="s">
        <v>100</v>
      </c>
      <c r="F16148" s="7">
        <v>46058.963973124875</v>
      </c>
      <c r="G16148" s="3" t="s">
        <v>5142</v>
      </c>
    </row>
    <row r="16149">
      <c r="A16149" s="3" t="s">
        <v>32151</v>
      </c>
      <c r="B16149" s="3" t="s">
        <v>13463</v>
      </c>
      <c r="C16149" s="5" t="s">
        <v>206</v>
      </c>
      <c r="D16149" s="3" t="s">
        <v>68</v>
      </c>
      <c r="E16149" s="3" t="s">
        <v>100</v>
      </c>
      <c r="F16149" s="7">
        <v>46058.967445347094</v>
      </c>
      <c r="G16149" s="3" t="s">
        <v>5145</v>
      </c>
    </row>
    <row r="16150">
      <c r="A16150" s="3" t="s">
        <v>32152</v>
      </c>
      <c r="B16150" s="3" t="s">
        <v>13466</v>
      </c>
      <c r="C16150" s="5" t="s">
        <v>45</v>
      </c>
      <c r="D16150" s="3" t="s">
        <v>221</v>
      </c>
      <c r="E16150" s="3" t="s">
        <v>1008</v>
      </c>
      <c r="F16150" s="7">
        <v>46059.02820352585</v>
      </c>
      <c r="G16150" s="3" t="s">
        <v>18591</v>
      </c>
    </row>
    <row r="16151">
      <c r="A16151" s="3" t="s">
        <v>32153</v>
      </c>
      <c r="B16151" s="3" t="s">
        <v>13466</v>
      </c>
      <c r="C16151" s="5" t="s">
        <v>221</v>
      </c>
      <c r="D16151" s="3" t="s">
        <v>614</v>
      </c>
      <c r="E16151" s="3" t="s">
        <v>118</v>
      </c>
      <c r="F16151" s="7">
        <v>46059.03167574807</v>
      </c>
      <c r="G16151" s="3" t="s">
        <v>18594</v>
      </c>
    </row>
    <row r="16152">
      <c r="A16152" s="3" t="s">
        <v>32154</v>
      </c>
      <c r="B16152" s="3" t="s">
        <v>13466</v>
      </c>
      <c r="C16152" s="5" t="s">
        <v>614</v>
      </c>
      <c r="D16152" s="3" t="s">
        <v>206</v>
      </c>
      <c r="E16152" s="3" t="s">
        <v>100</v>
      </c>
      <c r="F16152" s="7">
        <v>46059.035147970295</v>
      </c>
      <c r="G16152" s="3" t="s">
        <v>18597</v>
      </c>
    </row>
    <row r="16153">
      <c r="A16153" s="3" t="s">
        <v>32155</v>
      </c>
      <c r="B16153" s="3" t="s">
        <v>13466</v>
      </c>
      <c r="C16153" s="5" t="s">
        <v>206</v>
      </c>
      <c r="D16153" s="3" t="s">
        <v>68</v>
      </c>
      <c r="E16153" s="3" t="s">
        <v>100</v>
      </c>
      <c r="F16153" s="7">
        <v>46059.038620192514</v>
      </c>
      <c r="G16153" s="3" t="s">
        <v>18599</v>
      </c>
    </row>
    <row r="16154">
      <c r="A16154" s="3" t="s">
        <v>32156</v>
      </c>
      <c r="B16154" s="3" t="s">
        <v>13469</v>
      </c>
      <c r="C16154" s="5" t="s">
        <v>45</v>
      </c>
      <c r="D16154" s="3" t="s">
        <v>221</v>
      </c>
      <c r="E16154" s="3" t="s">
        <v>430</v>
      </c>
      <c r="F16154" s="7">
        <v>46059.09937837126</v>
      </c>
      <c r="G16154" s="3" t="s">
        <v>22176</v>
      </c>
    </row>
    <row r="16155">
      <c r="A16155" s="3" t="s">
        <v>32157</v>
      </c>
      <c r="B16155" s="3" t="s">
        <v>13469</v>
      </c>
      <c r="C16155" s="5" t="s">
        <v>221</v>
      </c>
      <c r="D16155" s="3" t="s">
        <v>614</v>
      </c>
      <c r="E16155" s="3" t="s">
        <v>118</v>
      </c>
      <c r="F16155" s="7">
        <v>46059.10285059348</v>
      </c>
      <c r="G16155" s="3" t="s">
        <v>26201</v>
      </c>
    </row>
    <row r="16156">
      <c r="A16156" s="3" t="s">
        <v>32158</v>
      </c>
      <c r="B16156" s="3" t="s">
        <v>13469</v>
      </c>
      <c r="C16156" s="5" t="s">
        <v>614</v>
      </c>
      <c r="D16156" s="3" t="s">
        <v>206</v>
      </c>
      <c r="E16156" s="3" t="s">
        <v>100</v>
      </c>
      <c r="F16156" s="7">
        <v>46059.10632281571</v>
      </c>
      <c r="G16156" s="3" t="s">
        <v>26203</v>
      </c>
    </row>
    <row r="16157">
      <c r="A16157" s="3" t="s">
        <v>32159</v>
      </c>
      <c r="B16157" s="3" t="s">
        <v>13469</v>
      </c>
      <c r="C16157" s="5" t="s">
        <v>206</v>
      </c>
      <c r="D16157" s="3" t="s">
        <v>68</v>
      </c>
      <c r="E16157" s="3" t="s">
        <v>100</v>
      </c>
      <c r="F16157" s="7">
        <v>46059.109795037926</v>
      </c>
      <c r="G16157" s="3" t="s">
        <v>26205</v>
      </c>
    </row>
    <row r="16158">
      <c r="A16158" s="3" t="s">
        <v>32160</v>
      </c>
      <c r="B16158" s="3" t="s">
        <v>13472</v>
      </c>
      <c r="C16158" s="5" t="s">
        <v>45</v>
      </c>
      <c r="D16158" s="3" t="s">
        <v>221</v>
      </c>
      <c r="E16158" s="3" t="s">
        <v>957</v>
      </c>
      <c r="F16158" s="7">
        <v>46059.17055321668</v>
      </c>
      <c r="G16158" s="3" t="s">
        <v>13392</v>
      </c>
    </row>
    <row r="16159">
      <c r="A16159" s="3" t="s">
        <v>32161</v>
      </c>
      <c r="B16159" s="3" t="s">
        <v>13472</v>
      </c>
      <c r="C16159" s="5" t="s">
        <v>221</v>
      </c>
      <c r="D16159" s="3" t="s">
        <v>614</v>
      </c>
      <c r="E16159" s="3" t="s">
        <v>118</v>
      </c>
      <c r="F16159" s="7">
        <v>46059.1740254389</v>
      </c>
      <c r="G16159" s="3" t="s">
        <v>13395</v>
      </c>
    </row>
    <row r="16160">
      <c r="A16160" s="3" t="s">
        <v>32162</v>
      </c>
      <c r="B16160" s="3" t="s">
        <v>13472</v>
      </c>
      <c r="C16160" s="5" t="s">
        <v>614</v>
      </c>
      <c r="D16160" s="3" t="s">
        <v>206</v>
      </c>
      <c r="E16160" s="3" t="s">
        <v>100</v>
      </c>
      <c r="F16160" s="7">
        <v>46059.17749766113</v>
      </c>
      <c r="G16160" s="3" t="s">
        <v>13398</v>
      </c>
    </row>
    <row r="16161">
      <c r="A16161" s="3" t="s">
        <v>32163</v>
      </c>
      <c r="B16161" s="3" t="s">
        <v>13472</v>
      </c>
      <c r="C16161" s="5" t="s">
        <v>206</v>
      </c>
      <c r="D16161" s="3" t="s">
        <v>68</v>
      </c>
      <c r="E16161" s="3" t="s">
        <v>100</v>
      </c>
      <c r="F16161" s="7">
        <v>46059.180969883346</v>
      </c>
      <c r="G16161" s="3" t="s">
        <v>13401</v>
      </c>
    </row>
    <row r="16162">
      <c r="A16162" s="3" t="s">
        <v>32164</v>
      </c>
      <c r="B16162" s="3" t="s">
        <v>13475</v>
      </c>
      <c r="C16162" s="5" t="s">
        <v>45</v>
      </c>
      <c r="D16162" s="3" t="s">
        <v>221</v>
      </c>
      <c r="E16162" s="3" t="s">
        <v>219</v>
      </c>
      <c r="F16162" s="7">
        <v>46059.241728062094</v>
      </c>
      <c r="G16162" s="3" t="s">
        <v>32165</v>
      </c>
    </row>
    <row r="16163">
      <c r="A16163" s="3" t="s">
        <v>32166</v>
      </c>
      <c r="B16163" s="3" t="s">
        <v>13475</v>
      </c>
      <c r="C16163" s="5" t="s">
        <v>221</v>
      </c>
      <c r="D16163" s="3" t="s">
        <v>614</v>
      </c>
      <c r="E16163" s="3" t="s">
        <v>118</v>
      </c>
      <c r="F16163" s="7">
        <v>46059.24520028431</v>
      </c>
      <c r="G16163" s="3" t="s">
        <v>32167</v>
      </c>
    </row>
    <row r="16164">
      <c r="A16164" s="3" t="s">
        <v>32168</v>
      </c>
      <c r="B16164" s="3" t="s">
        <v>13475</v>
      </c>
      <c r="C16164" s="5" t="s">
        <v>614</v>
      </c>
      <c r="D16164" s="3" t="s">
        <v>206</v>
      </c>
      <c r="E16164" s="3" t="s">
        <v>100</v>
      </c>
      <c r="F16164" s="7">
        <v>46059.24867250654</v>
      </c>
      <c r="G16164" s="3" t="s">
        <v>32169</v>
      </c>
    </row>
    <row r="16165">
      <c r="A16165" s="3" t="s">
        <v>32170</v>
      </c>
      <c r="B16165" s="3" t="s">
        <v>13475</v>
      </c>
      <c r="C16165" s="5" t="s">
        <v>206</v>
      </c>
      <c r="D16165" s="3" t="s">
        <v>68</v>
      </c>
      <c r="E16165" s="3" t="s">
        <v>100</v>
      </c>
      <c r="F16165" s="7">
        <v>46059.25214472876</v>
      </c>
      <c r="G16165" s="3" t="s">
        <v>32171</v>
      </c>
    </row>
    <row r="16166">
      <c r="A16166" s="3" t="s">
        <v>32172</v>
      </c>
      <c r="B16166" s="3" t="s">
        <v>13479</v>
      </c>
      <c r="C16166" s="5" t="s">
        <v>45</v>
      </c>
      <c r="D16166" s="3" t="s">
        <v>221</v>
      </c>
      <c r="E16166" s="3" t="s">
        <v>436</v>
      </c>
      <c r="F16166" s="7">
        <v>46059.31290290751</v>
      </c>
      <c r="G16166" s="3" t="s">
        <v>7732</v>
      </c>
    </row>
    <row r="16167">
      <c r="A16167" s="3" t="s">
        <v>32173</v>
      </c>
      <c r="B16167" s="3" t="s">
        <v>13479</v>
      </c>
      <c r="C16167" s="5" t="s">
        <v>221</v>
      </c>
      <c r="D16167" s="3" t="s">
        <v>614</v>
      </c>
      <c r="E16167" s="3" t="s">
        <v>118</v>
      </c>
      <c r="F16167" s="7">
        <v>46059.31637512973</v>
      </c>
      <c r="G16167" s="3" t="s">
        <v>7735</v>
      </c>
    </row>
    <row r="16168">
      <c r="A16168" s="3" t="s">
        <v>32174</v>
      </c>
      <c r="B16168" s="3" t="s">
        <v>13479</v>
      </c>
      <c r="C16168" s="5" t="s">
        <v>614</v>
      </c>
      <c r="D16168" s="3" t="s">
        <v>206</v>
      </c>
      <c r="E16168" s="3" t="s">
        <v>100</v>
      </c>
      <c r="F16168" s="7">
        <v>46059.31984735196</v>
      </c>
      <c r="G16168" s="3" t="s">
        <v>7738</v>
      </c>
    </row>
    <row r="16169">
      <c r="A16169" s="3" t="s">
        <v>32175</v>
      </c>
      <c r="B16169" s="3" t="s">
        <v>13479</v>
      </c>
      <c r="C16169" s="5" t="s">
        <v>206</v>
      </c>
      <c r="D16169" s="3" t="s">
        <v>68</v>
      </c>
      <c r="E16169" s="3" t="s">
        <v>100</v>
      </c>
      <c r="F16169" s="7">
        <v>46059.32331957418</v>
      </c>
      <c r="G16169" s="3" t="s">
        <v>7741</v>
      </c>
    </row>
    <row r="16170">
      <c r="A16170" s="3" t="s">
        <v>32176</v>
      </c>
      <c r="B16170" s="3" t="s">
        <v>13483</v>
      </c>
      <c r="C16170" s="5" t="s">
        <v>45</v>
      </c>
      <c r="D16170" s="3" t="s">
        <v>221</v>
      </c>
      <c r="E16170" s="3" t="s">
        <v>600</v>
      </c>
      <c r="F16170" s="7">
        <v>46059.384077752926</v>
      </c>
      <c r="G16170" s="3" t="s">
        <v>6328</v>
      </c>
    </row>
    <row r="16171">
      <c r="A16171" s="3" t="s">
        <v>32177</v>
      </c>
      <c r="B16171" s="3" t="s">
        <v>13483</v>
      </c>
      <c r="C16171" s="5" t="s">
        <v>221</v>
      </c>
      <c r="D16171" s="3" t="s">
        <v>614</v>
      </c>
      <c r="E16171" s="3" t="s">
        <v>118</v>
      </c>
      <c r="F16171" s="7">
        <v>46059.387549975145</v>
      </c>
      <c r="G16171" s="3" t="s">
        <v>6331</v>
      </c>
    </row>
    <row r="16172">
      <c r="A16172" s="3" t="s">
        <v>32178</v>
      </c>
      <c r="B16172" s="3" t="s">
        <v>13483</v>
      </c>
      <c r="C16172" s="5" t="s">
        <v>614</v>
      </c>
      <c r="D16172" s="3" t="s">
        <v>206</v>
      </c>
      <c r="E16172" s="3" t="s">
        <v>100</v>
      </c>
      <c r="F16172" s="7">
        <v>46059.39102219737</v>
      </c>
      <c r="G16172" s="3" t="s">
        <v>6334</v>
      </c>
    </row>
    <row r="16173">
      <c r="A16173" s="3" t="s">
        <v>32179</v>
      </c>
      <c r="B16173" s="3" t="s">
        <v>13483</v>
      </c>
      <c r="C16173" s="5" t="s">
        <v>206</v>
      </c>
      <c r="D16173" s="3" t="s">
        <v>68</v>
      </c>
      <c r="E16173" s="3" t="s">
        <v>100</v>
      </c>
      <c r="F16173" s="7">
        <v>46059.39449441959</v>
      </c>
      <c r="G16173" s="3" t="s">
        <v>6337</v>
      </c>
    </row>
    <row r="16174">
      <c r="A16174" s="3" t="s">
        <v>32180</v>
      </c>
      <c r="B16174" s="3" t="s">
        <v>13486</v>
      </c>
      <c r="C16174" s="5" t="s">
        <v>45</v>
      </c>
      <c r="D16174" s="3" t="s">
        <v>221</v>
      </c>
      <c r="E16174" s="3" t="s">
        <v>1043</v>
      </c>
      <c r="F16174" s="7">
        <v>46059.45525259834</v>
      </c>
      <c r="G16174" s="3" t="s">
        <v>2770</v>
      </c>
    </row>
    <row r="16175">
      <c r="A16175" s="3" t="s">
        <v>32181</v>
      </c>
      <c r="B16175" s="3" t="s">
        <v>13486</v>
      </c>
      <c r="C16175" s="5" t="s">
        <v>221</v>
      </c>
      <c r="D16175" s="3" t="s">
        <v>195</v>
      </c>
      <c r="E16175" s="3" t="s">
        <v>1043</v>
      </c>
      <c r="F16175" s="7">
        <v>46059.45872482056</v>
      </c>
      <c r="G16175" s="3" t="s">
        <v>3055</v>
      </c>
    </row>
    <row r="16176">
      <c r="A16176" s="3" t="s">
        <v>32182</v>
      </c>
      <c r="B16176" s="3" t="s">
        <v>13489</v>
      </c>
      <c r="C16176" s="5" t="s">
        <v>45</v>
      </c>
      <c r="D16176" s="3" t="s">
        <v>221</v>
      </c>
      <c r="E16176" s="3" t="s">
        <v>535</v>
      </c>
      <c r="F16176" s="7">
        <v>46059.52642744376</v>
      </c>
      <c r="G16176" s="3" t="s">
        <v>2770</v>
      </c>
    </row>
    <row r="16177">
      <c r="A16177" s="3" t="s">
        <v>32183</v>
      </c>
      <c r="B16177" s="3" t="s">
        <v>13489</v>
      </c>
      <c r="C16177" s="5" t="s">
        <v>221</v>
      </c>
      <c r="D16177" s="3" t="s">
        <v>195</v>
      </c>
      <c r="E16177" s="3" t="s">
        <v>535</v>
      </c>
      <c r="F16177" s="7">
        <v>46059.52989966598</v>
      </c>
      <c r="G16177" s="3" t="s">
        <v>3055</v>
      </c>
    </row>
    <row r="16178">
      <c r="A16178" s="3" t="s">
        <v>32184</v>
      </c>
      <c r="B16178" s="3" t="s">
        <v>13492</v>
      </c>
      <c r="C16178" s="5" t="s">
        <v>45</v>
      </c>
      <c r="D16178" s="3" t="s">
        <v>221</v>
      </c>
      <c r="E16178" s="3" t="s">
        <v>373</v>
      </c>
      <c r="F16178" s="7">
        <v>46059.59760228917</v>
      </c>
      <c r="G16178" s="3" t="s">
        <v>12383</v>
      </c>
    </row>
    <row r="16179">
      <c r="A16179" s="3" t="s">
        <v>32185</v>
      </c>
      <c r="B16179" s="3" t="s">
        <v>13492</v>
      </c>
      <c r="C16179" s="5" t="s">
        <v>221</v>
      </c>
      <c r="D16179" s="3" t="s">
        <v>181</v>
      </c>
      <c r="E16179" s="3" t="s">
        <v>118</v>
      </c>
      <c r="F16179" s="7">
        <v>46059.60107451139</v>
      </c>
      <c r="G16179" s="3" t="s">
        <v>32186</v>
      </c>
    </row>
    <row r="16180">
      <c r="A16180" s="3" t="s">
        <v>32187</v>
      </c>
      <c r="B16180" s="3" t="s">
        <v>13496</v>
      </c>
      <c r="C16180" s="5" t="s">
        <v>45</v>
      </c>
      <c r="D16180" s="3" t="s">
        <v>221</v>
      </c>
      <c r="E16180" s="3" t="s">
        <v>913</v>
      </c>
      <c r="F16180" s="7">
        <v>46059.66877713458</v>
      </c>
      <c r="G16180" s="3" t="s">
        <v>6510</v>
      </c>
    </row>
    <row r="16181">
      <c r="A16181" s="3" t="s">
        <v>32188</v>
      </c>
      <c r="B16181" s="3" t="s">
        <v>13496</v>
      </c>
      <c r="C16181" s="5" t="s">
        <v>221</v>
      </c>
      <c r="D16181" s="3" t="s">
        <v>614</v>
      </c>
      <c r="E16181" s="3" t="s">
        <v>118</v>
      </c>
      <c r="F16181" s="7">
        <v>46059.6722493568</v>
      </c>
      <c r="G16181" s="3" t="s">
        <v>6513</v>
      </c>
    </row>
    <row r="16182">
      <c r="A16182" s="3" t="s">
        <v>32189</v>
      </c>
      <c r="B16182" s="3" t="s">
        <v>13496</v>
      </c>
      <c r="C16182" s="5" t="s">
        <v>614</v>
      </c>
      <c r="D16182" s="3" t="s">
        <v>206</v>
      </c>
      <c r="E16182" s="3" t="s">
        <v>100</v>
      </c>
      <c r="F16182" s="7">
        <v>46059.67572157903</v>
      </c>
      <c r="G16182" s="3" t="s">
        <v>6516</v>
      </c>
    </row>
    <row r="16183">
      <c r="A16183" s="3" t="s">
        <v>32190</v>
      </c>
      <c r="B16183" s="3" t="s">
        <v>13496</v>
      </c>
      <c r="C16183" s="5" t="s">
        <v>206</v>
      </c>
      <c r="D16183" s="3" t="s">
        <v>68</v>
      </c>
      <c r="E16183" s="3" t="s">
        <v>100</v>
      </c>
      <c r="F16183" s="7">
        <v>46059.67919380125</v>
      </c>
      <c r="G16183" s="3" t="s">
        <v>6519</v>
      </c>
    </row>
    <row r="16184">
      <c r="A16184" s="3" t="s">
        <v>32191</v>
      </c>
      <c r="B16184" s="3" t="s">
        <v>13499</v>
      </c>
      <c r="C16184" s="5" t="s">
        <v>45</v>
      </c>
      <c r="D16184" s="3" t="s">
        <v>221</v>
      </c>
      <c r="E16184" s="3" t="s">
        <v>488</v>
      </c>
      <c r="F16184" s="7">
        <v>46059.73995198</v>
      </c>
      <c r="G16184" s="3" t="s">
        <v>21166</v>
      </c>
    </row>
    <row r="16185">
      <c r="A16185" s="3" t="s">
        <v>32192</v>
      </c>
      <c r="B16185" s="3" t="s">
        <v>13499</v>
      </c>
      <c r="C16185" s="5" t="s">
        <v>221</v>
      </c>
      <c r="D16185" s="3" t="s">
        <v>614</v>
      </c>
      <c r="E16185" s="3" t="s">
        <v>118</v>
      </c>
      <c r="F16185" s="7">
        <v>46059.74342420222</v>
      </c>
      <c r="G16185" s="3" t="s">
        <v>21169</v>
      </c>
    </row>
    <row r="16186">
      <c r="A16186" s="3" t="s">
        <v>32193</v>
      </c>
      <c r="B16186" s="3" t="s">
        <v>13499</v>
      </c>
      <c r="C16186" s="5" t="s">
        <v>614</v>
      </c>
      <c r="D16186" s="3" t="s">
        <v>206</v>
      </c>
      <c r="E16186" s="3" t="s">
        <v>100</v>
      </c>
      <c r="F16186" s="7">
        <v>46059.74689642445</v>
      </c>
      <c r="G16186" s="3" t="s">
        <v>21171</v>
      </c>
    </row>
    <row r="16187">
      <c r="A16187" s="3" t="s">
        <v>32194</v>
      </c>
      <c r="B16187" s="3" t="s">
        <v>13499</v>
      </c>
      <c r="C16187" s="5" t="s">
        <v>206</v>
      </c>
      <c r="D16187" s="3" t="s">
        <v>68</v>
      </c>
      <c r="E16187" s="3" t="s">
        <v>100</v>
      </c>
      <c r="F16187" s="7">
        <v>46059.750368646666</v>
      </c>
      <c r="G16187" s="3" t="s">
        <v>21174</v>
      </c>
    </row>
    <row r="16188">
      <c r="A16188" s="3" t="s">
        <v>32195</v>
      </c>
      <c r="B16188" s="3" t="s">
        <v>13503</v>
      </c>
      <c r="C16188" s="5" t="s">
        <v>45</v>
      </c>
      <c r="D16188" s="3" t="s">
        <v>221</v>
      </c>
      <c r="E16188" s="3" t="s">
        <v>162</v>
      </c>
      <c r="F16188" s="7">
        <v>46059.811126825414</v>
      </c>
      <c r="G16188" s="3" t="s">
        <v>28448</v>
      </c>
    </row>
    <row r="16189">
      <c r="A16189" s="3" t="s">
        <v>32196</v>
      </c>
      <c r="B16189" s="3" t="s">
        <v>13503</v>
      </c>
      <c r="C16189" s="5" t="s">
        <v>221</v>
      </c>
      <c r="D16189" s="3" t="s">
        <v>614</v>
      </c>
      <c r="E16189" s="3" t="s">
        <v>118</v>
      </c>
      <c r="F16189" s="7">
        <v>46059.81459904763</v>
      </c>
      <c r="G16189" s="3" t="s">
        <v>28450</v>
      </c>
    </row>
    <row r="16190">
      <c r="A16190" s="3" t="s">
        <v>32197</v>
      </c>
      <c r="B16190" s="3" t="s">
        <v>13503</v>
      </c>
      <c r="C16190" s="5" t="s">
        <v>614</v>
      </c>
      <c r="D16190" s="3" t="s">
        <v>206</v>
      </c>
      <c r="E16190" s="3" t="s">
        <v>100</v>
      </c>
      <c r="F16190" s="7">
        <v>46059.81807126986</v>
      </c>
      <c r="G16190" s="3" t="s">
        <v>28452</v>
      </c>
    </row>
    <row r="16191">
      <c r="A16191" s="3" t="s">
        <v>32198</v>
      </c>
      <c r="B16191" s="3" t="s">
        <v>13503</v>
      </c>
      <c r="C16191" s="5" t="s">
        <v>206</v>
      </c>
      <c r="D16191" s="3" t="s">
        <v>68</v>
      </c>
      <c r="E16191" s="3" t="s">
        <v>100</v>
      </c>
      <c r="F16191" s="7">
        <v>46059.82154349208</v>
      </c>
      <c r="G16191" s="3" t="s">
        <v>28454</v>
      </c>
    </row>
    <row r="16192">
      <c r="A16192" s="3" t="s">
        <v>32199</v>
      </c>
      <c r="B16192" s="3" t="s">
        <v>13506</v>
      </c>
      <c r="C16192" s="5" t="s">
        <v>45</v>
      </c>
      <c r="D16192" s="3" t="s">
        <v>221</v>
      </c>
      <c r="E16192" s="3" t="s">
        <v>224</v>
      </c>
      <c r="F16192" s="7">
        <v>46059.88230167083</v>
      </c>
      <c r="G16192" s="3" t="s">
        <v>6363</v>
      </c>
    </row>
    <row r="16193">
      <c r="A16193" s="3" t="s">
        <v>32200</v>
      </c>
      <c r="B16193" s="3" t="s">
        <v>13506</v>
      </c>
      <c r="C16193" s="5" t="s">
        <v>221</v>
      </c>
      <c r="D16193" s="3" t="s">
        <v>614</v>
      </c>
      <c r="E16193" s="3" t="s">
        <v>118</v>
      </c>
      <c r="F16193" s="7">
        <v>46059.885773893046</v>
      </c>
      <c r="G16193" s="3" t="s">
        <v>6365</v>
      </c>
    </row>
    <row r="16194">
      <c r="A16194" s="3" t="s">
        <v>32201</v>
      </c>
      <c r="B16194" s="3" t="s">
        <v>13506</v>
      </c>
      <c r="C16194" s="5" t="s">
        <v>614</v>
      </c>
      <c r="D16194" s="3" t="s">
        <v>206</v>
      </c>
      <c r="E16194" s="3" t="s">
        <v>100</v>
      </c>
      <c r="F16194" s="7">
        <v>46059.88924611527</v>
      </c>
      <c r="G16194" s="3" t="s">
        <v>6368</v>
      </c>
    </row>
    <row r="16195">
      <c r="A16195" s="3" t="s">
        <v>32202</v>
      </c>
      <c r="B16195" s="3" t="s">
        <v>13506</v>
      </c>
      <c r="C16195" s="5" t="s">
        <v>206</v>
      </c>
      <c r="D16195" s="3" t="s">
        <v>68</v>
      </c>
      <c r="E16195" s="3" t="s">
        <v>100</v>
      </c>
      <c r="F16195" s="7">
        <v>46059.89271833749</v>
      </c>
      <c r="G16195" s="3" t="s">
        <v>6371</v>
      </c>
    </row>
    <row r="16196">
      <c r="A16196" s="3" t="s">
        <v>32203</v>
      </c>
      <c r="B16196" s="3" t="s">
        <v>13509</v>
      </c>
      <c r="C16196" s="5" t="s">
        <v>45</v>
      </c>
      <c r="D16196" s="3" t="s">
        <v>221</v>
      </c>
      <c r="E16196" s="3" t="s">
        <v>682</v>
      </c>
      <c r="F16196" s="7">
        <v>46059.953476516246</v>
      </c>
      <c r="G16196" s="3" t="s">
        <v>3442</v>
      </c>
    </row>
    <row r="16197">
      <c r="A16197" s="3" t="s">
        <v>32204</v>
      </c>
      <c r="B16197" s="3" t="s">
        <v>13509</v>
      </c>
      <c r="C16197" s="5" t="s">
        <v>221</v>
      </c>
      <c r="D16197" s="3" t="s">
        <v>614</v>
      </c>
      <c r="E16197" s="3" t="s">
        <v>118</v>
      </c>
      <c r="F16197" s="7">
        <v>46059.956948738465</v>
      </c>
      <c r="G16197" s="3" t="s">
        <v>3445</v>
      </c>
    </row>
    <row r="16198">
      <c r="A16198" s="3" t="s">
        <v>32205</v>
      </c>
      <c r="B16198" s="3" t="s">
        <v>13509</v>
      </c>
      <c r="C16198" s="5" t="s">
        <v>614</v>
      </c>
      <c r="D16198" s="3" t="s">
        <v>206</v>
      </c>
      <c r="E16198" s="3" t="s">
        <v>100</v>
      </c>
      <c r="F16198" s="7">
        <v>46059.96042096069</v>
      </c>
      <c r="G16198" s="3" t="s">
        <v>3447</v>
      </c>
    </row>
    <row r="16199">
      <c r="A16199" s="3" t="s">
        <v>32206</v>
      </c>
      <c r="B16199" s="3" t="s">
        <v>13509</v>
      </c>
      <c r="C16199" s="5" t="s">
        <v>206</v>
      </c>
      <c r="D16199" s="3" t="s">
        <v>68</v>
      </c>
      <c r="E16199" s="3" t="s">
        <v>100</v>
      </c>
      <c r="F16199" s="7">
        <v>46059.96389318291</v>
      </c>
      <c r="G16199" s="3" t="s">
        <v>3450</v>
      </c>
    </row>
    <row r="16200">
      <c r="A16200" s="3" t="s">
        <v>32207</v>
      </c>
      <c r="B16200" s="3" t="s">
        <v>13513</v>
      </c>
      <c r="C16200" s="5" t="s">
        <v>45</v>
      </c>
      <c r="D16200" s="3" t="s">
        <v>221</v>
      </c>
      <c r="E16200" s="3" t="s">
        <v>947</v>
      </c>
      <c r="F16200" s="7">
        <v>46060.024651361666</v>
      </c>
      <c r="G16200" s="3" t="s">
        <v>19647</v>
      </c>
    </row>
    <row r="16201">
      <c r="A16201" s="3" t="s">
        <v>32208</v>
      </c>
      <c r="B16201" s="3" t="s">
        <v>13513</v>
      </c>
      <c r="C16201" s="5" t="s">
        <v>221</v>
      </c>
      <c r="D16201" s="3" t="s">
        <v>614</v>
      </c>
      <c r="E16201" s="3" t="s">
        <v>118</v>
      </c>
      <c r="F16201" s="7">
        <v>46060.028123583885</v>
      </c>
      <c r="G16201" s="3" t="s">
        <v>19650</v>
      </c>
    </row>
    <row r="16202">
      <c r="A16202" s="3" t="s">
        <v>32209</v>
      </c>
      <c r="B16202" s="3" t="s">
        <v>13513</v>
      </c>
      <c r="C16202" s="5" t="s">
        <v>614</v>
      </c>
      <c r="D16202" s="3" t="s">
        <v>206</v>
      </c>
      <c r="E16202" s="3" t="s">
        <v>100</v>
      </c>
      <c r="F16202" s="7">
        <v>46060.03159580611</v>
      </c>
      <c r="G16202" s="3" t="s">
        <v>19653</v>
      </c>
    </row>
    <row r="16203">
      <c r="A16203" s="3" t="s">
        <v>32210</v>
      </c>
      <c r="B16203" s="3" t="s">
        <v>13513</v>
      </c>
      <c r="C16203" s="5" t="s">
        <v>206</v>
      </c>
      <c r="D16203" s="3" t="s">
        <v>68</v>
      </c>
      <c r="E16203" s="3" t="s">
        <v>100</v>
      </c>
      <c r="F16203" s="7">
        <v>46060.03506802833</v>
      </c>
      <c r="G16203" s="3" t="s">
        <v>19656</v>
      </c>
    </row>
    <row r="16204">
      <c r="A16204" s="3" t="s">
        <v>32211</v>
      </c>
      <c r="B16204" s="3" t="s">
        <v>13518</v>
      </c>
      <c r="C16204" s="5" t="s">
        <v>45</v>
      </c>
      <c r="D16204" s="3" t="s">
        <v>221</v>
      </c>
      <c r="E16204" s="3" t="s">
        <v>263</v>
      </c>
      <c r="F16204" s="7">
        <v>46060.09582620707</v>
      </c>
      <c r="G16204" s="3" t="s">
        <v>23285</v>
      </c>
    </row>
    <row r="16205">
      <c r="A16205" s="3" t="s">
        <v>32212</v>
      </c>
      <c r="B16205" s="3" t="s">
        <v>13518</v>
      </c>
      <c r="C16205" s="5" t="s">
        <v>221</v>
      </c>
      <c r="D16205" s="3" t="s">
        <v>614</v>
      </c>
      <c r="E16205" s="3" t="s">
        <v>118</v>
      </c>
      <c r="F16205" s="7">
        <v>46060.09929842929</v>
      </c>
      <c r="G16205" s="3" t="s">
        <v>23288</v>
      </c>
    </row>
    <row r="16206">
      <c r="A16206" s="3" t="s">
        <v>32213</v>
      </c>
      <c r="B16206" s="3" t="s">
        <v>13518</v>
      </c>
      <c r="C16206" s="5" t="s">
        <v>614</v>
      </c>
      <c r="D16206" s="3" t="s">
        <v>206</v>
      </c>
      <c r="E16206" s="3" t="s">
        <v>100</v>
      </c>
      <c r="F16206" s="7">
        <v>46060.102770651516</v>
      </c>
      <c r="G16206" s="3" t="s">
        <v>23291</v>
      </c>
    </row>
    <row r="16207">
      <c r="A16207" s="3" t="s">
        <v>32214</v>
      </c>
      <c r="B16207" s="3" t="s">
        <v>13518</v>
      </c>
      <c r="C16207" s="5" t="s">
        <v>206</v>
      </c>
      <c r="D16207" s="3" t="s">
        <v>68</v>
      </c>
      <c r="E16207" s="3" t="s">
        <v>100</v>
      </c>
      <c r="F16207" s="7">
        <v>46060.106242873735</v>
      </c>
      <c r="G16207" s="3" t="s">
        <v>23294</v>
      </c>
    </row>
    <row r="16208">
      <c r="A16208" s="3" t="s">
        <v>32215</v>
      </c>
      <c r="B16208" s="3" t="s">
        <v>13520</v>
      </c>
      <c r="C16208" s="5" t="s">
        <v>45</v>
      </c>
      <c r="D16208" s="3" t="s">
        <v>221</v>
      </c>
      <c r="E16208" s="3" t="s">
        <v>496</v>
      </c>
      <c r="F16208" s="7">
        <v>46060.16700105249</v>
      </c>
      <c r="G16208" s="3" t="s">
        <v>6419</v>
      </c>
    </row>
    <row r="16209">
      <c r="A16209" s="3" t="s">
        <v>32216</v>
      </c>
      <c r="B16209" s="3" t="s">
        <v>13520</v>
      </c>
      <c r="C16209" s="5" t="s">
        <v>221</v>
      </c>
      <c r="D16209" s="3" t="s">
        <v>614</v>
      </c>
      <c r="E16209" s="3" t="s">
        <v>118</v>
      </c>
      <c r="F16209" s="7">
        <v>46060.17047327471</v>
      </c>
      <c r="G16209" s="3" t="s">
        <v>6422</v>
      </c>
    </row>
    <row r="16210">
      <c r="A16210" s="3" t="s">
        <v>32217</v>
      </c>
      <c r="B16210" s="3" t="s">
        <v>13520</v>
      </c>
      <c r="C16210" s="5" t="s">
        <v>614</v>
      </c>
      <c r="D16210" s="3" t="s">
        <v>206</v>
      </c>
      <c r="E16210" s="3" t="s">
        <v>100</v>
      </c>
      <c r="F16210" s="7">
        <v>46060.173945496936</v>
      </c>
      <c r="G16210" s="3" t="s">
        <v>6425</v>
      </c>
    </row>
    <row r="16211">
      <c r="A16211" s="3" t="s">
        <v>32218</v>
      </c>
      <c r="B16211" s="3" t="s">
        <v>13520</v>
      </c>
      <c r="C16211" s="5" t="s">
        <v>206</v>
      </c>
      <c r="D16211" s="3" t="s">
        <v>68</v>
      </c>
      <c r="E16211" s="3" t="s">
        <v>100</v>
      </c>
      <c r="F16211" s="7">
        <v>46060.177417719155</v>
      </c>
      <c r="G16211" s="3" t="s">
        <v>6427</v>
      </c>
    </row>
    <row r="16212">
      <c r="A16212" s="3" t="s">
        <v>32219</v>
      </c>
      <c r="B16212" s="3" t="s">
        <v>13523</v>
      </c>
      <c r="C16212" s="5" t="s">
        <v>45</v>
      </c>
      <c r="D16212" s="3" t="s">
        <v>221</v>
      </c>
      <c r="E16212" s="3" t="s">
        <v>922</v>
      </c>
      <c r="F16212" s="7">
        <v>46060.23817589791</v>
      </c>
      <c r="G16212" s="3" t="s">
        <v>6430</v>
      </c>
    </row>
    <row r="16213">
      <c r="A16213" s="3" t="s">
        <v>32220</v>
      </c>
      <c r="B16213" s="3" t="s">
        <v>13523</v>
      </c>
      <c r="C16213" s="5" t="s">
        <v>221</v>
      </c>
      <c r="D16213" s="3" t="s">
        <v>614</v>
      </c>
      <c r="E16213" s="3" t="s">
        <v>118</v>
      </c>
      <c r="F16213" s="7">
        <v>46060.24164812013</v>
      </c>
      <c r="G16213" s="3" t="s">
        <v>6433</v>
      </c>
    </row>
    <row r="16214">
      <c r="A16214" s="3" t="s">
        <v>32221</v>
      </c>
      <c r="B16214" s="3" t="s">
        <v>13523</v>
      </c>
      <c r="C16214" s="5" t="s">
        <v>614</v>
      </c>
      <c r="D16214" s="3" t="s">
        <v>206</v>
      </c>
      <c r="E16214" s="3" t="s">
        <v>100</v>
      </c>
      <c r="F16214" s="7">
        <v>46060.245120342355</v>
      </c>
      <c r="G16214" s="3" t="s">
        <v>6436</v>
      </c>
    </row>
    <row r="16215">
      <c r="A16215" s="3" t="s">
        <v>32222</v>
      </c>
      <c r="B16215" s="3" t="s">
        <v>13523</v>
      </c>
      <c r="C16215" s="5" t="s">
        <v>206</v>
      </c>
      <c r="D16215" s="3" t="s">
        <v>68</v>
      </c>
      <c r="E16215" s="3" t="s">
        <v>100</v>
      </c>
      <c r="F16215" s="7">
        <v>46060.248592564574</v>
      </c>
      <c r="G16215" s="3" t="s">
        <v>6439</v>
      </c>
    </row>
    <row r="16216">
      <c r="A16216" s="3" t="s">
        <v>32223</v>
      </c>
      <c r="B16216" s="3" t="s">
        <v>13525</v>
      </c>
      <c r="C16216" s="5" t="s">
        <v>45</v>
      </c>
      <c r="D16216" s="3" t="s">
        <v>221</v>
      </c>
      <c r="E16216" s="3" t="s">
        <v>906</v>
      </c>
      <c r="F16216" s="7">
        <v>46060.30935074332</v>
      </c>
      <c r="G16216" s="3" t="s">
        <v>29510</v>
      </c>
    </row>
    <row r="16217">
      <c r="A16217" s="3" t="s">
        <v>32224</v>
      </c>
      <c r="B16217" s="3" t="s">
        <v>13525</v>
      </c>
      <c r="C16217" s="5" t="s">
        <v>221</v>
      </c>
      <c r="D16217" s="3" t="s">
        <v>614</v>
      </c>
      <c r="E16217" s="3" t="s">
        <v>118</v>
      </c>
      <c r="F16217" s="7">
        <v>46060.31282296554</v>
      </c>
      <c r="G16217" s="3" t="s">
        <v>31608</v>
      </c>
    </row>
    <row r="16218">
      <c r="A16218" s="3" t="s">
        <v>32225</v>
      </c>
      <c r="B16218" s="3" t="s">
        <v>13525</v>
      </c>
      <c r="C16218" s="5" t="s">
        <v>614</v>
      </c>
      <c r="D16218" s="3" t="s">
        <v>206</v>
      </c>
      <c r="E16218" s="3" t="s">
        <v>100</v>
      </c>
      <c r="F16218" s="7">
        <v>46060.31629518777</v>
      </c>
      <c r="G16218" s="3" t="s">
        <v>31610</v>
      </c>
    </row>
    <row r="16219">
      <c r="A16219" s="3" t="s">
        <v>32226</v>
      </c>
      <c r="B16219" s="3" t="s">
        <v>13525</v>
      </c>
      <c r="C16219" s="5" t="s">
        <v>206</v>
      </c>
      <c r="D16219" s="3" t="s">
        <v>68</v>
      </c>
      <c r="E16219" s="3" t="s">
        <v>100</v>
      </c>
      <c r="F16219" s="7">
        <v>46060.31976740999</v>
      </c>
      <c r="G16219" s="3" t="s">
        <v>31612</v>
      </c>
    </row>
    <row r="16220">
      <c r="A16220" s="3" t="s">
        <v>32227</v>
      </c>
      <c r="B16220" s="3" t="s">
        <v>13527</v>
      </c>
      <c r="C16220" s="5" t="s">
        <v>45</v>
      </c>
      <c r="D16220" s="3" t="s">
        <v>221</v>
      </c>
      <c r="E16220" s="3" t="s">
        <v>326</v>
      </c>
      <c r="F16220" s="7">
        <v>46060.380525588735</v>
      </c>
      <c r="G16220" s="3" t="s">
        <v>5326</v>
      </c>
    </row>
    <row r="16221">
      <c r="A16221" s="3" t="s">
        <v>32228</v>
      </c>
      <c r="B16221" s="3" t="s">
        <v>13527</v>
      </c>
      <c r="C16221" s="5" t="s">
        <v>221</v>
      </c>
      <c r="D16221" s="3" t="s">
        <v>614</v>
      </c>
      <c r="E16221" s="3" t="s">
        <v>118</v>
      </c>
      <c r="F16221" s="7">
        <v>46060.38399781095</v>
      </c>
      <c r="G16221" s="3" t="s">
        <v>5329</v>
      </c>
    </row>
    <row r="16222">
      <c r="A16222" s="3" t="s">
        <v>32229</v>
      </c>
      <c r="B16222" s="3" t="s">
        <v>13527</v>
      </c>
      <c r="C16222" s="5" t="s">
        <v>614</v>
      </c>
      <c r="D16222" s="3" t="s">
        <v>206</v>
      </c>
      <c r="E16222" s="3" t="s">
        <v>100</v>
      </c>
      <c r="F16222" s="7">
        <v>46060.38747003318</v>
      </c>
      <c r="G16222" s="3" t="s">
        <v>5332</v>
      </c>
    </row>
    <row r="16223">
      <c r="A16223" s="3" t="s">
        <v>32230</v>
      </c>
      <c r="B16223" s="3" t="s">
        <v>13527</v>
      </c>
      <c r="C16223" s="5" t="s">
        <v>206</v>
      </c>
      <c r="D16223" s="3" t="s">
        <v>68</v>
      </c>
      <c r="E16223" s="3" t="s">
        <v>100</v>
      </c>
      <c r="F16223" s="7">
        <v>46060.3909422554</v>
      </c>
      <c r="G16223" s="3" t="s">
        <v>5335</v>
      </c>
    </row>
    <row r="16224">
      <c r="A16224" s="3" t="s">
        <v>32231</v>
      </c>
      <c r="B16224" s="3" t="s">
        <v>13529</v>
      </c>
      <c r="C16224" s="5" t="s">
        <v>45</v>
      </c>
      <c r="D16224" s="3" t="s">
        <v>221</v>
      </c>
      <c r="E16224" s="3" t="s">
        <v>530</v>
      </c>
      <c r="F16224" s="7">
        <v>46060.451700434154</v>
      </c>
      <c r="G16224" s="3" t="s">
        <v>16420</v>
      </c>
    </row>
    <row r="16225">
      <c r="A16225" s="3" t="s">
        <v>32232</v>
      </c>
      <c r="B16225" s="3" t="s">
        <v>13529</v>
      </c>
      <c r="C16225" s="5" t="s">
        <v>221</v>
      </c>
      <c r="D16225" s="3" t="s">
        <v>614</v>
      </c>
      <c r="E16225" s="3" t="s">
        <v>118</v>
      </c>
      <c r="F16225" s="7">
        <v>46060.45517265637</v>
      </c>
      <c r="G16225" s="3" t="s">
        <v>16423</v>
      </c>
    </row>
    <row r="16226">
      <c r="A16226" s="3" t="s">
        <v>32233</v>
      </c>
      <c r="B16226" s="3" t="s">
        <v>13529</v>
      </c>
      <c r="C16226" s="5" t="s">
        <v>614</v>
      </c>
      <c r="D16226" s="3" t="s">
        <v>206</v>
      </c>
      <c r="E16226" s="3" t="s">
        <v>100</v>
      </c>
      <c r="F16226" s="7">
        <v>46060.4586448786</v>
      </c>
      <c r="G16226" s="3" t="s">
        <v>16426</v>
      </c>
    </row>
    <row r="16227">
      <c r="A16227" s="3" t="s">
        <v>32234</v>
      </c>
      <c r="B16227" s="3" t="s">
        <v>13529</v>
      </c>
      <c r="C16227" s="5" t="s">
        <v>206</v>
      </c>
      <c r="D16227" s="3" t="s">
        <v>68</v>
      </c>
      <c r="E16227" s="3" t="s">
        <v>100</v>
      </c>
      <c r="F16227" s="7">
        <v>46060.46211710082</v>
      </c>
      <c r="G16227" s="3" t="s">
        <v>16428</v>
      </c>
    </row>
    <row r="16228">
      <c r="A16228" s="3" t="s">
        <v>32235</v>
      </c>
      <c r="B16228" s="3" t="s">
        <v>13533</v>
      </c>
      <c r="C16228" s="5" t="s">
        <v>45</v>
      </c>
      <c r="D16228" s="3" t="s">
        <v>221</v>
      </c>
      <c r="E16228" s="3" t="s">
        <v>632</v>
      </c>
      <c r="F16228" s="7">
        <v>46060.52287527957</v>
      </c>
      <c r="G16228" s="3" t="s">
        <v>5582</v>
      </c>
    </row>
    <row r="16229">
      <c r="A16229" s="3" t="s">
        <v>32236</v>
      </c>
      <c r="B16229" s="3" t="s">
        <v>13533</v>
      </c>
      <c r="C16229" s="5" t="s">
        <v>221</v>
      </c>
      <c r="D16229" s="3" t="s">
        <v>614</v>
      </c>
      <c r="E16229" s="3" t="s">
        <v>118</v>
      </c>
      <c r="F16229" s="7">
        <v>46060.526347501785</v>
      </c>
      <c r="G16229" s="3" t="s">
        <v>5585</v>
      </c>
    </row>
    <row r="16230">
      <c r="A16230" s="3" t="s">
        <v>32237</v>
      </c>
      <c r="B16230" s="3" t="s">
        <v>13533</v>
      </c>
      <c r="C16230" s="5" t="s">
        <v>614</v>
      </c>
      <c r="D16230" s="3" t="s">
        <v>206</v>
      </c>
      <c r="E16230" s="3" t="s">
        <v>100</v>
      </c>
      <c r="F16230" s="7">
        <v>46060.52981972401</v>
      </c>
      <c r="G16230" s="3" t="s">
        <v>5588</v>
      </c>
    </row>
    <row r="16231">
      <c r="A16231" s="3" t="s">
        <v>32238</v>
      </c>
      <c r="B16231" s="3" t="s">
        <v>13533</v>
      </c>
      <c r="C16231" s="5" t="s">
        <v>206</v>
      </c>
      <c r="D16231" s="3" t="s">
        <v>68</v>
      </c>
      <c r="E16231" s="3" t="s">
        <v>100</v>
      </c>
      <c r="F16231" s="7">
        <v>46060.53329194623</v>
      </c>
      <c r="G16231" s="3" t="s">
        <v>5591</v>
      </c>
    </row>
    <row r="16232">
      <c r="A16232" s="3" t="s">
        <v>32239</v>
      </c>
      <c r="B16232" s="3" t="s">
        <v>13537</v>
      </c>
      <c r="C16232" s="5" t="s">
        <v>45</v>
      </c>
      <c r="D16232" s="3" t="s">
        <v>221</v>
      </c>
      <c r="E16232" s="3" t="s">
        <v>658</v>
      </c>
      <c r="F16232" s="7">
        <v>46060.59405012498</v>
      </c>
      <c r="G16232" s="3" t="s">
        <v>2770</v>
      </c>
    </row>
    <row r="16233">
      <c r="A16233" s="3" t="s">
        <v>32240</v>
      </c>
      <c r="B16233" s="3" t="s">
        <v>13537</v>
      </c>
      <c r="C16233" s="5" t="s">
        <v>221</v>
      </c>
      <c r="D16233" s="3" t="s">
        <v>181</v>
      </c>
      <c r="E16233" s="3" t="s">
        <v>118</v>
      </c>
      <c r="F16233" s="7">
        <v>46060.5975223472</v>
      </c>
      <c r="G16233" s="3" t="s">
        <v>2774</v>
      </c>
    </row>
    <row r="16234">
      <c r="A16234" s="3" t="s">
        <v>32241</v>
      </c>
      <c r="B16234" s="3" t="s">
        <v>13540</v>
      </c>
      <c r="C16234" s="5" t="s">
        <v>45</v>
      </c>
      <c r="D16234" s="3" t="s">
        <v>221</v>
      </c>
      <c r="E16234" s="3" t="s">
        <v>398</v>
      </c>
      <c r="F16234" s="7">
        <v>46060.6652249704</v>
      </c>
      <c r="G16234" s="3" t="s">
        <v>6800</v>
      </c>
    </row>
    <row r="16235">
      <c r="A16235" s="3" t="s">
        <v>32242</v>
      </c>
      <c r="B16235" s="3" t="s">
        <v>13540</v>
      </c>
      <c r="C16235" s="5" t="s">
        <v>221</v>
      </c>
      <c r="D16235" s="3" t="s">
        <v>614</v>
      </c>
      <c r="E16235" s="3" t="s">
        <v>118</v>
      </c>
      <c r="F16235" s="7">
        <v>46060.66869719262</v>
      </c>
      <c r="G16235" s="3" t="s">
        <v>6803</v>
      </c>
    </row>
    <row r="16236">
      <c r="A16236" s="3" t="s">
        <v>32243</v>
      </c>
      <c r="B16236" s="3" t="s">
        <v>13540</v>
      </c>
      <c r="C16236" s="5" t="s">
        <v>614</v>
      </c>
      <c r="D16236" s="3" t="s">
        <v>206</v>
      </c>
      <c r="E16236" s="3" t="s">
        <v>100</v>
      </c>
      <c r="F16236" s="7">
        <v>46060.672169414844</v>
      </c>
      <c r="G16236" s="3" t="s">
        <v>6806</v>
      </c>
    </row>
    <row r="16237">
      <c r="A16237" s="3" t="s">
        <v>32244</v>
      </c>
      <c r="B16237" s="3" t="s">
        <v>13540</v>
      </c>
      <c r="C16237" s="5" t="s">
        <v>206</v>
      </c>
      <c r="D16237" s="3" t="s">
        <v>68</v>
      </c>
      <c r="E16237" s="3" t="s">
        <v>100</v>
      </c>
      <c r="F16237" s="7">
        <v>46060.67564163706</v>
      </c>
      <c r="G16237" s="3" t="s">
        <v>6808</v>
      </c>
    </row>
    <row r="16238">
      <c r="A16238" s="3" t="s">
        <v>32245</v>
      </c>
      <c r="B16238" s="3" t="s">
        <v>13543</v>
      </c>
      <c r="C16238" s="5" t="s">
        <v>45</v>
      </c>
      <c r="D16238" s="3" t="s">
        <v>221</v>
      </c>
      <c r="E16238" s="3" t="s">
        <v>377</v>
      </c>
      <c r="F16238" s="7">
        <v>46060.73639981582</v>
      </c>
      <c r="G16238" s="3" t="s">
        <v>22255</v>
      </c>
    </row>
    <row r="16239">
      <c r="A16239" s="3" t="s">
        <v>32246</v>
      </c>
      <c r="B16239" s="3" t="s">
        <v>13543</v>
      </c>
      <c r="C16239" s="5" t="s">
        <v>221</v>
      </c>
      <c r="D16239" s="3" t="s">
        <v>614</v>
      </c>
      <c r="E16239" s="3" t="s">
        <v>118</v>
      </c>
      <c r="F16239" s="7">
        <v>46060.73987203804</v>
      </c>
      <c r="G16239" s="3" t="s">
        <v>22258</v>
      </c>
    </row>
    <row r="16240">
      <c r="A16240" s="3" t="s">
        <v>32247</v>
      </c>
      <c r="B16240" s="3" t="s">
        <v>13543</v>
      </c>
      <c r="C16240" s="5" t="s">
        <v>614</v>
      </c>
      <c r="D16240" s="3" t="s">
        <v>206</v>
      </c>
      <c r="E16240" s="3" t="s">
        <v>100</v>
      </c>
      <c r="F16240" s="7">
        <v>46060.74334426026</v>
      </c>
      <c r="G16240" s="3" t="s">
        <v>22260</v>
      </c>
    </row>
    <row r="16241">
      <c r="A16241" s="3" t="s">
        <v>32248</v>
      </c>
      <c r="B16241" s="3" t="s">
        <v>13543</v>
      </c>
      <c r="C16241" s="5" t="s">
        <v>206</v>
      </c>
      <c r="D16241" s="3" t="s">
        <v>68</v>
      </c>
      <c r="E16241" s="3" t="s">
        <v>100</v>
      </c>
      <c r="F16241" s="7">
        <v>46060.74681648248</v>
      </c>
      <c r="G16241" s="3" t="s">
        <v>22263</v>
      </c>
    </row>
    <row r="16242">
      <c r="A16242" s="3" t="s">
        <v>32249</v>
      </c>
      <c r="B16242" s="3" t="s">
        <v>13546</v>
      </c>
      <c r="C16242" s="5" t="s">
        <v>45</v>
      </c>
      <c r="D16242" s="3" t="s">
        <v>221</v>
      </c>
      <c r="E16242" s="3" t="s">
        <v>352</v>
      </c>
      <c r="F16242" s="7">
        <v>46060.80757466122</v>
      </c>
      <c r="G16242" s="3" t="s">
        <v>4500</v>
      </c>
    </row>
    <row r="16243">
      <c r="A16243" s="3" t="s">
        <v>32250</v>
      </c>
      <c r="B16243" s="3" t="s">
        <v>13546</v>
      </c>
      <c r="C16243" s="5" t="s">
        <v>221</v>
      </c>
      <c r="D16243" s="3" t="s">
        <v>614</v>
      </c>
      <c r="E16243" s="3" t="s">
        <v>118</v>
      </c>
      <c r="F16243" s="7">
        <v>46060.81104688344</v>
      </c>
      <c r="G16243" s="3" t="s">
        <v>4503</v>
      </c>
    </row>
    <row r="16244">
      <c r="A16244" s="3" t="s">
        <v>32251</v>
      </c>
      <c r="B16244" s="3" t="s">
        <v>13546</v>
      </c>
      <c r="C16244" s="5" t="s">
        <v>614</v>
      </c>
      <c r="D16244" s="3" t="s">
        <v>206</v>
      </c>
      <c r="E16244" s="3" t="s">
        <v>100</v>
      </c>
      <c r="F16244" s="7">
        <v>46060.81451910567</v>
      </c>
      <c r="G16244" s="3" t="s">
        <v>4506</v>
      </c>
    </row>
    <row r="16245">
      <c r="A16245" s="3" t="s">
        <v>32252</v>
      </c>
      <c r="B16245" s="3" t="s">
        <v>13546</v>
      </c>
      <c r="C16245" s="5" t="s">
        <v>206</v>
      </c>
      <c r="D16245" s="3" t="s">
        <v>68</v>
      </c>
      <c r="E16245" s="3" t="s">
        <v>100</v>
      </c>
      <c r="F16245" s="7">
        <v>46060.81799132789</v>
      </c>
      <c r="G16245" s="3" t="s">
        <v>4509</v>
      </c>
    </row>
    <row r="16246">
      <c r="A16246" s="3" t="s">
        <v>32253</v>
      </c>
      <c r="B16246" s="3" t="s">
        <v>13549</v>
      </c>
      <c r="C16246" s="5" t="s">
        <v>45</v>
      </c>
      <c r="D16246" s="3" t="s">
        <v>221</v>
      </c>
      <c r="E16246" s="3" t="s">
        <v>609</v>
      </c>
      <c r="F16246" s="7">
        <v>46060.87874950664</v>
      </c>
      <c r="G16246" s="3" t="s">
        <v>4164</v>
      </c>
    </row>
    <row r="16247">
      <c r="A16247" s="3" t="s">
        <v>32254</v>
      </c>
      <c r="B16247" s="3" t="s">
        <v>13549</v>
      </c>
      <c r="C16247" s="5" t="s">
        <v>221</v>
      </c>
      <c r="D16247" s="3" t="s">
        <v>614</v>
      </c>
      <c r="E16247" s="3" t="s">
        <v>118</v>
      </c>
      <c r="F16247" s="7">
        <v>46060.88222172886</v>
      </c>
      <c r="G16247" s="3" t="s">
        <v>4167</v>
      </c>
    </row>
    <row r="16248">
      <c r="A16248" s="3" t="s">
        <v>32255</v>
      </c>
      <c r="B16248" s="3" t="s">
        <v>13549</v>
      </c>
      <c r="C16248" s="5" t="s">
        <v>614</v>
      </c>
      <c r="D16248" s="3" t="s">
        <v>206</v>
      </c>
      <c r="E16248" s="3" t="s">
        <v>100</v>
      </c>
      <c r="F16248" s="7">
        <v>46060.88569395109</v>
      </c>
      <c r="G16248" s="3" t="s">
        <v>4169</v>
      </c>
    </row>
    <row r="16249">
      <c r="A16249" s="3" t="s">
        <v>32256</v>
      </c>
      <c r="B16249" s="3" t="s">
        <v>13549</v>
      </c>
      <c r="C16249" s="5" t="s">
        <v>206</v>
      </c>
      <c r="D16249" s="3" t="s">
        <v>68</v>
      </c>
      <c r="E16249" s="3" t="s">
        <v>100</v>
      </c>
      <c r="F16249" s="7">
        <v>46060.88916617331</v>
      </c>
      <c r="G16249" s="3" t="s">
        <v>4172</v>
      </c>
    </row>
    <row r="16250">
      <c r="A16250" s="3" t="s">
        <v>32257</v>
      </c>
      <c r="B16250" s="3" t="s">
        <v>13552</v>
      </c>
      <c r="C16250" s="5" t="s">
        <v>45</v>
      </c>
      <c r="D16250" s="3" t="s">
        <v>221</v>
      </c>
      <c r="E16250" s="3" t="s">
        <v>414</v>
      </c>
      <c r="F16250" s="7">
        <v>46060.949924352055</v>
      </c>
      <c r="G16250" s="3" t="s">
        <v>6442</v>
      </c>
    </row>
    <row r="16251">
      <c r="A16251" s="3" t="s">
        <v>32258</v>
      </c>
      <c r="B16251" s="3" t="s">
        <v>13552</v>
      </c>
      <c r="C16251" s="5" t="s">
        <v>221</v>
      </c>
      <c r="D16251" s="3" t="s">
        <v>614</v>
      </c>
      <c r="E16251" s="3" t="s">
        <v>118</v>
      </c>
      <c r="F16251" s="7">
        <v>46060.953396574274</v>
      </c>
      <c r="G16251" s="3" t="s">
        <v>6445</v>
      </c>
    </row>
    <row r="16252">
      <c r="A16252" s="3" t="s">
        <v>32259</v>
      </c>
      <c r="B16252" s="3" t="s">
        <v>13552</v>
      </c>
      <c r="C16252" s="5" t="s">
        <v>614</v>
      </c>
      <c r="D16252" s="3" t="s">
        <v>206</v>
      </c>
      <c r="E16252" s="3" t="s">
        <v>100</v>
      </c>
      <c r="F16252" s="7">
        <v>46060.9568687965</v>
      </c>
      <c r="G16252" s="3" t="s">
        <v>6448</v>
      </c>
    </row>
    <row r="16253">
      <c r="A16253" s="3" t="s">
        <v>32260</v>
      </c>
      <c r="B16253" s="3" t="s">
        <v>13552</v>
      </c>
      <c r="C16253" s="5" t="s">
        <v>206</v>
      </c>
      <c r="D16253" s="3" t="s">
        <v>68</v>
      </c>
      <c r="E16253" s="3" t="s">
        <v>100</v>
      </c>
      <c r="F16253" s="7">
        <v>46060.96034101872</v>
      </c>
      <c r="G16253" s="3" t="s">
        <v>6451</v>
      </c>
    </row>
    <row r="16254">
      <c r="A16254" s="3" t="s">
        <v>32261</v>
      </c>
      <c r="B16254" s="3" t="s">
        <v>13555</v>
      </c>
      <c r="C16254" s="5" t="s">
        <v>45</v>
      </c>
      <c r="D16254" s="3" t="s">
        <v>221</v>
      </c>
      <c r="E16254" s="3" t="s">
        <v>913</v>
      </c>
      <c r="F16254" s="7">
        <v>46061.021099197475</v>
      </c>
      <c r="G16254" s="3" t="s">
        <v>6464</v>
      </c>
    </row>
    <row r="16255">
      <c r="A16255" s="3" t="s">
        <v>32262</v>
      </c>
      <c r="B16255" s="3" t="s">
        <v>13555</v>
      </c>
      <c r="C16255" s="5" t="s">
        <v>221</v>
      </c>
      <c r="D16255" s="3" t="s">
        <v>614</v>
      </c>
      <c r="E16255" s="3" t="s">
        <v>118</v>
      </c>
      <c r="F16255" s="7">
        <v>46061.02457141969</v>
      </c>
      <c r="G16255" s="3" t="s">
        <v>6467</v>
      </c>
    </row>
    <row r="16256">
      <c r="A16256" s="3" t="s">
        <v>32263</v>
      </c>
      <c r="B16256" s="3" t="s">
        <v>13555</v>
      </c>
      <c r="C16256" s="5" t="s">
        <v>614</v>
      </c>
      <c r="D16256" s="3" t="s">
        <v>206</v>
      </c>
      <c r="E16256" s="3" t="s">
        <v>100</v>
      </c>
      <c r="F16256" s="7">
        <v>46061.02804364192</v>
      </c>
      <c r="G16256" s="3" t="s">
        <v>6470</v>
      </c>
    </row>
    <row r="16257">
      <c r="A16257" s="3" t="s">
        <v>32264</v>
      </c>
      <c r="B16257" s="3" t="s">
        <v>13555</v>
      </c>
      <c r="C16257" s="5" t="s">
        <v>206</v>
      </c>
      <c r="D16257" s="3" t="s">
        <v>68</v>
      </c>
      <c r="E16257" s="3" t="s">
        <v>100</v>
      </c>
      <c r="F16257" s="7">
        <v>46061.03151586414</v>
      </c>
      <c r="G16257" s="3" t="s">
        <v>6473</v>
      </c>
    </row>
    <row r="16258">
      <c r="A16258" s="3" t="s">
        <v>32265</v>
      </c>
      <c r="B16258" s="3" t="s">
        <v>13559</v>
      </c>
      <c r="C16258" s="5" t="s">
        <v>45</v>
      </c>
      <c r="D16258" s="3" t="s">
        <v>221</v>
      </c>
      <c r="E16258" s="3" t="s">
        <v>145</v>
      </c>
      <c r="F16258" s="7">
        <v>46061.09227404289</v>
      </c>
      <c r="G16258" s="3" t="s">
        <v>12956</v>
      </c>
    </row>
    <row r="16259">
      <c r="A16259" s="3" t="s">
        <v>32266</v>
      </c>
      <c r="B16259" s="3" t="s">
        <v>13559</v>
      </c>
      <c r="C16259" s="5" t="s">
        <v>221</v>
      </c>
      <c r="D16259" s="3" t="s">
        <v>614</v>
      </c>
      <c r="E16259" s="3" t="s">
        <v>118</v>
      </c>
      <c r="F16259" s="7">
        <v>46061.095746265106</v>
      </c>
      <c r="G16259" s="3" t="s">
        <v>12959</v>
      </c>
    </row>
    <row r="16260">
      <c r="A16260" s="3" t="s">
        <v>32267</v>
      </c>
      <c r="B16260" s="3" t="s">
        <v>13559</v>
      </c>
      <c r="C16260" s="5" t="s">
        <v>614</v>
      </c>
      <c r="D16260" s="3" t="s">
        <v>206</v>
      </c>
      <c r="E16260" s="3" t="s">
        <v>100</v>
      </c>
      <c r="F16260" s="7">
        <v>46061.09921848733</v>
      </c>
      <c r="G16260" s="3" t="s">
        <v>12962</v>
      </c>
    </row>
    <row r="16261">
      <c r="A16261" s="3" t="s">
        <v>32268</v>
      </c>
      <c r="B16261" s="3" t="s">
        <v>13559</v>
      </c>
      <c r="C16261" s="5" t="s">
        <v>206</v>
      </c>
      <c r="D16261" s="3" t="s">
        <v>68</v>
      </c>
      <c r="E16261" s="3" t="s">
        <v>100</v>
      </c>
      <c r="F16261" s="7">
        <v>46061.10269070955</v>
      </c>
      <c r="G16261" s="3" t="s">
        <v>12965</v>
      </c>
    </row>
    <row r="16262">
      <c r="A16262" s="3" t="s">
        <v>32269</v>
      </c>
      <c r="B16262" s="3" t="s">
        <v>13562</v>
      </c>
      <c r="C16262" s="5" t="s">
        <v>45</v>
      </c>
      <c r="D16262" s="3" t="s">
        <v>221</v>
      </c>
      <c r="E16262" s="3" t="s">
        <v>770</v>
      </c>
      <c r="F16262" s="7">
        <v>46061.16344888831</v>
      </c>
      <c r="G16262" s="3" t="s">
        <v>22571</v>
      </c>
    </row>
    <row r="16263">
      <c r="A16263" s="3" t="s">
        <v>32270</v>
      </c>
      <c r="B16263" s="3" t="s">
        <v>13562</v>
      </c>
      <c r="C16263" s="5" t="s">
        <v>221</v>
      </c>
      <c r="D16263" s="3" t="s">
        <v>614</v>
      </c>
      <c r="E16263" s="3" t="s">
        <v>118</v>
      </c>
      <c r="F16263" s="7">
        <v>46061.166921110525</v>
      </c>
      <c r="G16263" s="3" t="s">
        <v>22574</v>
      </c>
    </row>
    <row r="16264">
      <c r="A16264" s="3" t="s">
        <v>32271</v>
      </c>
      <c r="B16264" s="3" t="s">
        <v>13562</v>
      </c>
      <c r="C16264" s="5" t="s">
        <v>614</v>
      </c>
      <c r="D16264" s="3" t="s">
        <v>206</v>
      </c>
      <c r="E16264" s="3" t="s">
        <v>100</v>
      </c>
      <c r="F16264" s="7">
        <v>46061.17039333275</v>
      </c>
      <c r="G16264" s="3" t="s">
        <v>22577</v>
      </c>
    </row>
    <row r="16265">
      <c r="A16265" s="3" t="s">
        <v>32272</v>
      </c>
      <c r="B16265" s="3" t="s">
        <v>13562</v>
      </c>
      <c r="C16265" s="5" t="s">
        <v>206</v>
      </c>
      <c r="D16265" s="3" t="s">
        <v>68</v>
      </c>
      <c r="E16265" s="3" t="s">
        <v>100</v>
      </c>
      <c r="F16265" s="7">
        <v>46061.17386555497</v>
      </c>
      <c r="G16265" s="3" t="s">
        <v>22580</v>
      </c>
    </row>
    <row r="16266">
      <c r="A16266" s="3" t="s">
        <v>32273</v>
      </c>
      <c r="B16266" s="3" t="s">
        <v>13565</v>
      </c>
      <c r="C16266" s="5" t="s">
        <v>45</v>
      </c>
      <c r="D16266" s="3" t="s">
        <v>221</v>
      </c>
      <c r="E16266" s="3" t="s">
        <v>619</v>
      </c>
      <c r="F16266" s="7">
        <v>46061.23462373371</v>
      </c>
      <c r="G16266" s="3" t="s">
        <v>5848</v>
      </c>
    </row>
    <row r="16267">
      <c r="A16267" s="3" t="s">
        <v>32274</v>
      </c>
      <c r="B16267" s="3" t="s">
        <v>13565</v>
      </c>
      <c r="C16267" s="5" t="s">
        <v>221</v>
      </c>
      <c r="D16267" s="3" t="s">
        <v>614</v>
      </c>
      <c r="E16267" s="3" t="s">
        <v>118</v>
      </c>
      <c r="F16267" s="7">
        <v>46061.23809595593</v>
      </c>
      <c r="G16267" s="3" t="s">
        <v>5851</v>
      </c>
    </row>
    <row r="16268">
      <c r="A16268" s="3" t="s">
        <v>32275</v>
      </c>
      <c r="B16268" s="3" t="s">
        <v>13565</v>
      </c>
      <c r="C16268" s="5" t="s">
        <v>614</v>
      </c>
      <c r="D16268" s="3" t="s">
        <v>206</v>
      </c>
      <c r="E16268" s="3" t="s">
        <v>100</v>
      </c>
      <c r="F16268" s="7">
        <v>46061.24156817816</v>
      </c>
      <c r="G16268" s="3" t="s">
        <v>5854</v>
      </c>
    </row>
    <row r="16269">
      <c r="A16269" s="3" t="s">
        <v>32276</v>
      </c>
      <c r="B16269" s="3" t="s">
        <v>13565</v>
      </c>
      <c r="C16269" s="5" t="s">
        <v>206</v>
      </c>
      <c r="D16269" s="3" t="s">
        <v>68</v>
      </c>
      <c r="E16269" s="3" t="s">
        <v>100</v>
      </c>
      <c r="F16269" s="7">
        <v>46061.245040400376</v>
      </c>
      <c r="G16269" s="3" t="s">
        <v>5857</v>
      </c>
    </row>
    <row r="16270">
      <c r="A16270" s="3" t="s">
        <v>32277</v>
      </c>
      <c r="B16270" s="3" t="s">
        <v>13569</v>
      </c>
      <c r="C16270" s="5" t="s">
        <v>45</v>
      </c>
      <c r="D16270" s="3" t="s">
        <v>221</v>
      </c>
      <c r="E16270" s="3" t="s">
        <v>247</v>
      </c>
      <c r="F16270" s="7">
        <v>46061.30579857913</v>
      </c>
      <c r="G16270" s="3" t="s">
        <v>6488</v>
      </c>
    </row>
    <row r="16271">
      <c r="A16271" s="3" t="s">
        <v>32278</v>
      </c>
      <c r="B16271" s="3" t="s">
        <v>13569</v>
      </c>
      <c r="C16271" s="5" t="s">
        <v>221</v>
      </c>
      <c r="D16271" s="3" t="s">
        <v>614</v>
      </c>
      <c r="E16271" s="3" t="s">
        <v>118</v>
      </c>
      <c r="F16271" s="7">
        <v>46061.30927080135</v>
      </c>
      <c r="G16271" s="3" t="s">
        <v>6490</v>
      </c>
    </row>
    <row r="16272">
      <c r="A16272" s="3" t="s">
        <v>32279</v>
      </c>
      <c r="B16272" s="3" t="s">
        <v>13569</v>
      </c>
      <c r="C16272" s="5" t="s">
        <v>614</v>
      </c>
      <c r="D16272" s="3" t="s">
        <v>206</v>
      </c>
      <c r="E16272" s="3" t="s">
        <v>100</v>
      </c>
      <c r="F16272" s="7">
        <v>46061.312743023576</v>
      </c>
      <c r="G16272" s="3" t="s">
        <v>6493</v>
      </c>
    </row>
    <row r="16273">
      <c r="A16273" s="3" t="s">
        <v>32280</v>
      </c>
      <c r="B16273" s="3" t="s">
        <v>13569</v>
      </c>
      <c r="C16273" s="5" t="s">
        <v>206</v>
      </c>
      <c r="D16273" s="3" t="s">
        <v>68</v>
      </c>
      <c r="E16273" s="3" t="s">
        <v>100</v>
      </c>
      <c r="F16273" s="7">
        <v>46061.316215245795</v>
      </c>
      <c r="G16273" s="3" t="s">
        <v>6496</v>
      </c>
    </row>
    <row r="16274">
      <c r="A16274" s="3" t="s">
        <v>32281</v>
      </c>
      <c r="B16274" s="3" t="s">
        <v>13573</v>
      </c>
      <c r="C16274" s="5" t="s">
        <v>45</v>
      </c>
      <c r="D16274" s="3" t="s">
        <v>221</v>
      </c>
      <c r="E16274" s="3" t="s">
        <v>691</v>
      </c>
      <c r="F16274" s="7">
        <v>46061.37697342455</v>
      </c>
      <c r="G16274" s="3" t="s">
        <v>6522</v>
      </c>
    </row>
    <row r="16275">
      <c r="A16275" s="3" t="s">
        <v>32282</v>
      </c>
      <c r="B16275" s="3" t="s">
        <v>13573</v>
      </c>
      <c r="C16275" s="5" t="s">
        <v>221</v>
      </c>
      <c r="D16275" s="3" t="s">
        <v>614</v>
      </c>
      <c r="E16275" s="3" t="s">
        <v>118</v>
      </c>
      <c r="F16275" s="7">
        <v>46061.38044564677</v>
      </c>
      <c r="G16275" s="3" t="s">
        <v>6524</v>
      </c>
    </row>
    <row r="16276">
      <c r="A16276" s="3" t="s">
        <v>32283</v>
      </c>
      <c r="B16276" s="3" t="s">
        <v>13573</v>
      </c>
      <c r="C16276" s="5" t="s">
        <v>614</v>
      </c>
      <c r="D16276" s="3" t="s">
        <v>206</v>
      </c>
      <c r="E16276" s="3" t="s">
        <v>100</v>
      </c>
      <c r="F16276" s="7">
        <v>46061.383917868996</v>
      </c>
      <c r="G16276" s="3" t="s">
        <v>6527</v>
      </c>
    </row>
    <row r="16277">
      <c r="A16277" s="3" t="s">
        <v>32284</v>
      </c>
      <c r="B16277" s="3" t="s">
        <v>13573</v>
      </c>
      <c r="C16277" s="5" t="s">
        <v>206</v>
      </c>
      <c r="D16277" s="3" t="s">
        <v>68</v>
      </c>
      <c r="E16277" s="3" t="s">
        <v>100</v>
      </c>
      <c r="F16277" s="7">
        <v>46061.387390091215</v>
      </c>
      <c r="G16277" s="3" t="s">
        <v>6530</v>
      </c>
    </row>
    <row r="16278">
      <c r="A16278" s="3" t="s">
        <v>32285</v>
      </c>
      <c r="B16278" s="3" t="s">
        <v>13576</v>
      </c>
      <c r="C16278" s="5" t="s">
        <v>45</v>
      </c>
      <c r="D16278" s="3" t="s">
        <v>221</v>
      </c>
      <c r="E16278" s="3" t="s">
        <v>230</v>
      </c>
      <c r="F16278" s="7">
        <v>46061.44814826996</v>
      </c>
      <c r="G16278" s="3" t="s">
        <v>23497</v>
      </c>
    </row>
    <row r="16279">
      <c r="A16279" s="3" t="s">
        <v>32286</v>
      </c>
      <c r="B16279" s="3" t="s">
        <v>13576</v>
      </c>
      <c r="C16279" s="5" t="s">
        <v>221</v>
      </c>
      <c r="D16279" s="3" t="s">
        <v>614</v>
      </c>
      <c r="E16279" s="3" t="s">
        <v>118</v>
      </c>
      <c r="F16279" s="7">
        <v>46061.45162049218</v>
      </c>
      <c r="G16279" s="3" t="s">
        <v>23500</v>
      </c>
    </row>
    <row r="16280">
      <c r="A16280" s="3" t="s">
        <v>32287</v>
      </c>
      <c r="B16280" s="3" t="s">
        <v>13576</v>
      </c>
      <c r="C16280" s="5" t="s">
        <v>614</v>
      </c>
      <c r="D16280" s="3" t="s">
        <v>206</v>
      </c>
      <c r="E16280" s="3" t="s">
        <v>100</v>
      </c>
      <c r="F16280" s="7">
        <v>46061.45509271441</v>
      </c>
      <c r="G16280" s="3" t="s">
        <v>23503</v>
      </c>
    </row>
    <row r="16281">
      <c r="A16281" s="3" t="s">
        <v>32288</v>
      </c>
      <c r="B16281" s="3" t="s">
        <v>13576</v>
      </c>
      <c r="C16281" s="5" t="s">
        <v>206</v>
      </c>
      <c r="D16281" s="3" t="s">
        <v>68</v>
      </c>
      <c r="E16281" s="3" t="s">
        <v>100</v>
      </c>
      <c r="F16281" s="7">
        <v>46061.45856493663</v>
      </c>
      <c r="G16281" s="3" t="s">
        <v>23506</v>
      </c>
    </row>
    <row r="16282">
      <c r="A16282" s="3" t="s">
        <v>32289</v>
      </c>
      <c r="B16282" s="3" t="s">
        <v>13578</v>
      </c>
      <c r="C16282" s="5" t="s">
        <v>45</v>
      </c>
      <c r="D16282" s="3" t="s">
        <v>221</v>
      </c>
      <c r="E16282" s="3" t="s">
        <v>816</v>
      </c>
      <c r="F16282" s="7">
        <v>46061.519323115375</v>
      </c>
      <c r="G16282" s="3" t="s">
        <v>6845</v>
      </c>
    </row>
    <row r="16283">
      <c r="A16283" s="3" t="s">
        <v>32290</v>
      </c>
      <c r="B16283" s="3" t="s">
        <v>13578</v>
      </c>
      <c r="C16283" s="5" t="s">
        <v>221</v>
      </c>
      <c r="D16283" s="3" t="s">
        <v>614</v>
      </c>
      <c r="E16283" s="3" t="s">
        <v>118</v>
      </c>
      <c r="F16283" s="7">
        <v>46061.522795337594</v>
      </c>
      <c r="G16283" s="3" t="s">
        <v>6848</v>
      </c>
    </row>
    <row r="16284">
      <c r="A16284" s="3" t="s">
        <v>32291</v>
      </c>
      <c r="B16284" s="3" t="s">
        <v>13578</v>
      </c>
      <c r="C16284" s="5" t="s">
        <v>614</v>
      </c>
      <c r="D16284" s="3" t="s">
        <v>206</v>
      </c>
      <c r="E16284" s="3" t="s">
        <v>100</v>
      </c>
      <c r="F16284" s="7">
        <v>46061.52626755982</v>
      </c>
      <c r="G16284" s="3" t="s">
        <v>6851</v>
      </c>
    </row>
    <row r="16285">
      <c r="A16285" s="3" t="s">
        <v>32292</v>
      </c>
      <c r="B16285" s="3" t="s">
        <v>13578</v>
      </c>
      <c r="C16285" s="5" t="s">
        <v>206</v>
      </c>
      <c r="D16285" s="3" t="s">
        <v>68</v>
      </c>
      <c r="E16285" s="3" t="s">
        <v>100</v>
      </c>
      <c r="F16285" s="7">
        <v>46061.52973978204</v>
      </c>
      <c r="G16285" s="3" t="s">
        <v>6854</v>
      </c>
    </row>
    <row r="16286">
      <c r="A16286" s="3" t="s">
        <v>32293</v>
      </c>
      <c r="B16286" s="3" t="s">
        <v>13580</v>
      </c>
      <c r="C16286" s="5" t="s">
        <v>45</v>
      </c>
      <c r="D16286" s="3" t="s">
        <v>221</v>
      </c>
      <c r="E16286" s="3" t="s">
        <v>976</v>
      </c>
      <c r="F16286" s="7">
        <v>46061.590497960795</v>
      </c>
      <c r="G16286" s="3" t="s">
        <v>31595</v>
      </c>
    </row>
    <row r="16287">
      <c r="A16287" s="3" t="s">
        <v>32294</v>
      </c>
      <c r="B16287" s="3" t="s">
        <v>13580</v>
      </c>
      <c r="C16287" s="5" t="s">
        <v>221</v>
      </c>
      <c r="D16287" s="3" t="s">
        <v>614</v>
      </c>
      <c r="E16287" s="3" t="s">
        <v>118</v>
      </c>
      <c r="F16287" s="7">
        <v>46061.593970183014</v>
      </c>
      <c r="G16287" s="3" t="s">
        <v>32295</v>
      </c>
    </row>
    <row r="16288">
      <c r="A16288" s="3" t="s">
        <v>32296</v>
      </c>
      <c r="B16288" s="3" t="s">
        <v>13580</v>
      </c>
      <c r="C16288" s="5" t="s">
        <v>614</v>
      </c>
      <c r="D16288" s="3" t="s">
        <v>206</v>
      </c>
      <c r="E16288" s="3" t="s">
        <v>100</v>
      </c>
      <c r="F16288" s="7">
        <v>46061.59744240524</v>
      </c>
      <c r="G16288" s="3" t="s">
        <v>32297</v>
      </c>
    </row>
    <row r="16289">
      <c r="A16289" s="3" t="s">
        <v>32298</v>
      </c>
      <c r="B16289" s="3" t="s">
        <v>13580</v>
      </c>
      <c r="C16289" s="5" t="s">
        <v>206</v>
      </c>
      <c r="D16289" s="3" t="s">
        <v>68</v>
      </c>
      <c r="E16289" s="3" t="s">
        <v>100</v>
      </c>
      <c r="F16289" s="7">
        <v>46061.60091462746</v>
      </c>
      <c r="G16289" s="3" t="s">
        <v>32299</v>
      </c>
    </row>
    <row r="16290">
      <c r="A16290" s="3" t="s">
        <v>32300</v>
      </c>
      <c r="B16290" s="3" t="s">
        <v>13582</v>
      </c>
      <c r="C16290" s="5" t="s">
        <v>45</v>
      </c>
      <c r="D16290" s="3" t="s">
        <v>221</v>
      </c>
      <c r="E16290" s="3" t="s">
        <v>406</v>
      </c>
      <c r="F16290" s="7">
        <v>46061.66167280621</v>
      </c>
      <c r="G16290" s="3" t="s">
        <v>10929</v>
      </c>
    </row>
    <row r="16291">
      <c r="A16291" s="3" t="s">
        <v>32301</v>
      </c>
      <c r="B16291" s="3" t="s">
        <v>13582</v>
      </c>
      <c r="C16291" s="5" t="s">
        <v>221</v>
      </c>
      <c r="D16291" s="3" t="s">
        <v>614</v>
      </c>
      <c r="E16291" s="3" t="s">
        <v>118</v>
      </c>
      <c r="F16291" s="7">
        <v>46061.665145028426</v>
      </c>
      <c r="G16291" s="3" t="s">
        <v>10931</v>
      </c>
    </row>
    <row r="16292">
      <c r="A16292" s="3" t="s">
        <v>32302</v>
      </c>
      <c r="B16292" s="3" t="s">
        <v>13582</v>
      </c>
      <c r="C16292" s="5" t="s">
        <v>614</v>
      </c>
      <c r="D16292" s="3" t="s">
        <v>206</v>
      </c>
      <c r="E16292" s="3" t="s">
        <v>100</v>
      </c>
      <c r="F16292" s="7">
        <v>46061.66861725065</v>
      </c>
      <c r="G16292" s="3" t="s">
        <v>10934</v>
      </c>
    </row>
    <row r="16293">
      <c r="A16293" s="3" t="s">
        <v>32303</v>
      </c>
      <c r="B16293" s="3" t="s">
        <v>13582</v>
      </c>
      <c r="C16293" s="5" t="s">
        <v>206</v>
      </c>
      <c r="D16293" s="3" t="s">
        <v>68</v>
      </c>
      <c r="E16293" s="3" t="s">
        <v>100</v>
      </c>
      <c r="F16293" s="7">
        <v>46061.67208947287</v>
      </c>
      <c r="G16293" s="3" t="s">
        <v>10937</v>
      </c>
    </row>
    <row r="16294">
      <c r="A16294" s="3" t="s">
        <v>32304</v>
      </c>
      <c r="B16294" s="3" t="s">
        <v>13584</v>
      </c>
      <c r="C16294" s="5" t="s">
        <v>45</v>
      </c>
      <c r="D16294" s="3" t="s">
        <v>221</v>
      </c>
      <c r="E16294" s="3" t="s">
        <v>640</v>
      </c>
      <c r="F16294" s="7">
        <v>46061.73284765162</v>
      </c>
      <c r="G16294" s="3" t="s">
        <v>7639</v>
      </c>
    </row>
    <row r="16295">
      <c r="A16295" s="3" t="s">
        <v>32305</v>
      </c>
      <c r="B16295" s="3" t="s">
        <v>13584</v>
      </c>
      <c r="C16295" s="5" t="s">
        <v>221</v>
      </c>
      <c r="D16295" s="3" t="s">
        <v>195</v>
      </c>
      <c r="E16295" s="3" t="s">
        <v>640</v>
      </c>
      <c r="F16295" s="7">
        <v>46061.73631987384</v>
      </c>
      <c r="G16295" s="3" t="s">
        <v>32306</v>
      </c>
    </row>
    <row r="16296">
      <c r="A16296" s="3" t="s">
        <v>32307</v>
      </c>
      <c r="B16296" s="3" t="s">
        <v>13589</v>
      </c>
      <c r="C16296" s="5" t="s">
        <v>45</v>
      </c>
      <c r="D16296" s="3" t="s">
        <v>221</v>
      </c>
      <c r="E16296" s="3" t="s">
        <v>841</v>
      </c>
      <c r="F16296" s="7">
        <v>46061.80402249704</v>
      </c>
      <c r="G16296" s="3" t="s">
        <v>6533</v>
      </c>
    </row>
    <row r="16297">
      <c r="A16297" s="3" t="s">
        <v>32308</v>
      </c>
      <c r="B16297" s="3" t="s">
        <v>13589</v>
      </c>
      <c r="C16297" s="5" t="s">
        <v>221</v>
      </c>
      <c r="D16297" s="3" t="s">
        <v>614</v>
      </c>
      <c r="E16297" s="3" t="s">
        <v>118</v>
      </c>
      <c r="F16297" s="7">
        <v>46061.80749471926</v>
      </c>
      <c r="G16297" s="3" t="s">
        <v>6536</v>
      </c>
    </row>
    <row r="16298">
      <c r="A16298" s="3" t="s">
        <v>32309</v>
      </c>
      <c r="B16298" s="3" t="s">
        <v>13589</v>
      </c>
      <c r="C16298" s="5" t="s">
        <v>614</v>
      </c>
      <c r="D16298" s="3" t="s">
        <v>206</v>
      </c>
      <c r="E16298" s="3" t="s">
        <v>100</v>
      </c>
      <c r="F16298" s="7">
        <v>46061.810966941484</v>
      </c>
      <c r="G16298" s="3" t="s">
        <v>6539</v>
      </c>
    </row>
    <row r="16299">
      <c r="A16299" s="3" t="s">
        <v>32310</v>
      </c>
      <c r="B16299" s="3" t="s">
        <v>13589</v>
      </c>
      <c r="C16299" s="5" t="s">
        <v>206</v>
      </c>
      <c r="D16299" s="3" t="s">
        <v>68</v>
      </c>
      <c r="E16299" s="3" t="s">
        <v>100</v>
      </c>
      <c r="F16299" s="7">
        <v>46061.8144391637</v>
      </c>
      <c r="G16299" s="3" t="s">
        <v>6542</v>
      </c>
    </row>
    <row r="16300">
      <c r="A16300" s="3" t="s">
        <v>32311</v>
      </c>
      <c r="B16300" s="3" t="s">
        <v>13592</v>
      </c>
      <c r="C16300" s="5" t="s">
        <v>45</v>
      </c>
      <c r="D16300" s="3" t="s">
        <v>221</v>
      </c>
      <c r="E16300" s="3" t="s">
        <v>363</v>
      </c>
      <c r="F16300" s="7">
        <v>46061.87519734246</v>
      </c>
      <c r="G16300" s="3" t="s">
        <v>6231</v>
      </c>
    </row>
    <row r="16301">
      <c r="A16301" s="3" t="s">
        <v>32312</v>
      </c>
      <c r="B16301" s="3" t="s">
        <v>13592</v>
      </c>
      <c r="C16301" s="5" t="s">
        <v>221</v>
      </c>
      <c r="D16301" s="3" t="s">
        <v>614</v>
      </c>
      <c r="E16301" s="3" t="s">
        <v>118</v>
      </c>
      <c r="F16301" s="7">
        <v>46061.87866956468</v>
      </c>
      <c r="G16301" s="3" t="s">
        <v>6234</v>
      </c>
    </row>
    <row r="16302">
      <c r="A16302" s="3" t="s">
        <v>32313</v>
      </c>
      <c r="B16302" s="3" t="s">
        <v>13592</v>
      </c>
      <c r="C16302" s="5" t="s">
        <v>614</v>
      </c>
      <c r="D16302" s="3" t="s">
        <v>206</v>
      </c>
      <c r="E16302" s="3" t="s">
        <v>100</v>
      </c>
      <c r="F16302" s="7">
        <v>46061.882141786904</v>
      </c>
      <c r="G16302" s="3" t="s">
        <v>6237</v>
      </c>
    </row>
    <row r="16303">
      <c r="A16303" s="3" t="s">
        <v>32314</v>
      </c>
      <c r="B16303" s="3" t="s">
        <v>13592</v>
      </c>
      <c r="C16303" s="5" t="s">
        <v>206</v>
      </c>
      <c r="D16303" s="3" t="s">
        <v>68</v>
      </c>
      <c r="E16303" s="3" t="s">
        <v>100</v>
      </c>
      <c r="F16303" s="7">
        <v>46061.88561400912</v>
      </c>
      <c r="G16303" s="3" t="s">
        <v>6240</v>
      </c>
    </row>
    <row r="16304">
      <c r="A16304" s="3" t="s">
        <v>32315</v>
      </c>
      <c r="B16304" s="3" t="s">
        <v>13596</v>
      </c>
      <c r="C16304" s="5" t="s">
        <v>45</v>
      </c>
      <c r="D16304" s="3" t="s">
        <v>221</v>
      </c>
      <c r="E16304" s="3" t="s">
        <v>123</v>
      </c>
      <c r="F16304" s="7">
        <v>46061.946372187864</v>
      </c>
      <c r="G16304" s="3" t="s">
        <v>8229</v>
      </c>
    </row>
    <row r="16305">
      <c r="A16305" s="3" t="s">
        <v>32316</v>
      </c>
      <c r="B16305" s="3" t="s">
        <v>13596</v>
      </c>
      <c r="C16305" s="5" t="s">
        <v>221</v>
      </c>
      <c r="D16305" s="3" t="s">
        <v>181</v>
      </c>
      <c r="E16305" s="3" t="s">
        <v>118</v>
      </c>
      <c r="F16305" s="7">
        <v>46061.94984441008</v>
      </c>
      <c r="G16305" s="3" t="s">
        <v>32317</v>
      </c>
    </row>
    <row r="16306">
      <c r="A16306" s="3" t="s">
        <v>32318</v>
      </c>
      <c r="B16306" s="3" t="s">
        <v>13599</v>
      </c>
      <c r="C16306" s="5" t="s">
        <v>45</v>
      </c>
      <c r="D16306" s="3" t="s">
        <v>221</v>
      </c>
      <c r="E16306" s="3" t="s">
        <v>742</v>
      </c>
      <c r="F16306" s="7">
        <v>46062.01754703328</v>
      </c>
      <c r="G16306" s="3" t="s">
        <v>9397</v>
      </c>
    </row>
    <row r="16307">
      <c r="A16307" s="3" t="s">
        <v>32319</v>
      </c>
      <c r="B16307" s="3" t="s">
        <v>13599</v>
      </c>
      <c r="C16307" s="5" t="s">
        <v>221</v>
      </c>
      <c r="D16307" s="3" t="s">
        <v>614</v>
      </c>
      <c r="E16307" s="3" t="s">
        <v>118</v>
      </c>
      <c r="F16307" s="7">
        <v>46062.0210192555</v>
      </c>
      <c r="G16307" s="3" t="s">
        <v>9399</v>
      </c>
    </row>
    <row r="16308">
      <c r="A16308" s="3" t="s">
        <v>32320</v>
      </c>
      <c r="B16308" s="3" t="s">
        <v>13599</v>
      </c>
      <c r="C16308" s="5" t="s">
        <v>614</v>
      </c>
      <c r="D16308" s="3" t="s">
        <v>206</v>
      </c>
      <c r="E16308" s="3" t="s">
        <v>100</v>
      </c>
      <c r="F16308" s="7">
        <v>46062.02449147773</v>
      </c>
      <c r="G16308" s="3" t="s">
        <v>9402</v>
      </c>
    </row>
    <row r="16309">
      <c r="A16309" s="3" t="s">
        <v>32321</v>
      </c>
      <c r="B16309" s="3" t="s">
        <v>13599</v>
      </c>
      <c r="C16309" s="5" t="s">
        <v>206</v>
      </c>
      <c r="D16309" s="3" t="s">
        <v>68</v>
      </c>
      <c r="E16309" s="3" t="s">
        <v>100</v>
      </c>
      <c r="F16309" s="7">
        <v>46062.02796369995</v>
      </c>
      <c r="G16309" s="3" t="s">
        <v>9405</v>
      </c>
    </row>
    <row r="16310">
      <c r="A16310" s="3" t="s">
        <v>32322</v>
      </c>
      <c r="B16310" s="3" t="s">
        <v>13601</v>
      </c>
      <c r="C16310" s="5" t="s">
        <v>45</v>
      </c>
      <c r="D16310" s="3" t="s">
        <v>221</v>
      </c>
      <c r="E16310" s="3" t="s">
        <v>953</v>
      </c>
      <c r="F16310" s="7">
        <v>46062.088721878696</v>
      </c>
      <c r="G16310" s="3" t="s">
        <v>4712</v>
      </c>
    </row>
    <row r="16311">
      <c r="A16311" s="3" t="s">
        <v>32323</v>
      </c>
      <c r="B16311" s="3" t="s">
        <v>13601</v>
      </c>
      <c r="C16311" s="5" t="s">
        <v>221</v>
      </c>
      <c r="D16311" s="3" t="s">
        <v>614</v>
      </c>
      <c r="E16311" s="3" t="s">
        <v>118</v>
      </c>
      <c r="F16311" s="7">
        <v>46062.092194100915</v>
      </c>
      <c r="G16311" s="3" t="s">
        <v>4715</v>
      </c>
    </row>
    <row r="16312">
      <c r="A16312" s="3" t="s">
        <v>32324</v>
      </c>
      <c r="B16312" s="3" t="s">
        <v>13601</v>
      </c>
      <c r="C16312" s="5" t="s">
        <v>614</v>
      </c>
      <c r="D16312" s="3" t="s">
        <v>206</v>
      </c>
      <c r="E16312" s="3" t="s">
        <v>100</v>
      </c>
      <c r="F16312" s="7">
        <v>46062.09566632314</v>
      </c>
      <c r="G16312" s="3" t="s">
        <v>4718</v>
      </c>
    </row>
    <row r="16313">
      <c r="A16313" s="3" t="s">
        <v>32325</v>
      </c>
      <c r="B16313" s="3" t="s">
        <v>13601</v>
      </c>
      <c r="C16313" s="5" t="s">
        <v>206</v>
      </c>
      <c r="D16313" s="3" t="s">
        <v>68</v>
      </c>
      <c r="E16313" s="3" t="s">
        <v>100</v>
      </c>
      <c r="F16313" s="7">
        <v>46062.09913854536</v>
      </c>
      <c r="G16313" s="3" t="s">
        <v>4721</v>
      </c>
    </row>
    <row r="16314">
      <c r="A16314" s="3" t="s">
        <v>32326</v>
      </c>
      <c r="B16314" s="3" t="s">
        <v>13604</v>
      </c>
      <c r="C16314" s="5" t="s">
        <v>45</v>
      </c>
      <c r="D16314" s="3" t="s">
        <v>221</v>
      </c>
      <c r="E16314" s="3" t="s">
        <v>734</v>
      </c>
      <c r="F16314" s="7">
        <v>46062.159896724115</v>
      </c>
      <c r="G16314" s="3" t="s">
        <v>6545</v>
      </c>
    </row>
    <row r="16315">
      <c r="A16315" s="3" t="s">
        <v>32327</v>
      </c>
      <c r="B16315" s="3" t="s">
        <v>13604</v>
      </c>
      <c r="C16315" s="5" t="s">
        <v>221</v>
      </c>
      <c r="D16315" s="3" t="s">
        <v>614</v>
      </c>
      <c r="E16315" s="3" t="s">
        <v>118</v>
      </c>
      <c r="F16315" s="7">
        <v>46062.163368946334</v>
      </c>
      <c r="G16315" s="3" t="s">
        <v>6548</v>
      </c>
    </row>
    <row r="16316">
      <c r="A16316" s="3" t="s">
        <v>32328</v>
      </c>
      <c r="B16316" s="3" t="s">
        <v>13604</v>
      </c>
      <c r="C16316" s="5" t="s">
        <v>614</v>
      </c>
      <c r="D16316" s="3" t="s">
        <v>206</v>
      </c>
      <c r="E16316" s="3" t="s">
        <v>100</v>
      </c>
      <c r="F16316" s="7">
        <v>46062.16684116856</v>
      </c>
      <c r="G16316" s="3" t="s">
        <v>6550</v>
      </c>
    </row>
    <row r="16317">
      <c r="A16317" s="3" t="s">
        <v>32329</v>
      </c>
      <c r="B16317" s="3" t="s">
        <v>13604</v>
      </c>
      <c r="C16317" s="5" t="s">
        <v>206</v>
      </c>
      <c r="D16317" s="3" t="s">
        <v>68</v>
      </c>
      <c r="E16317" s="3" t="s">
        <v>100</v>
      </c>
      <c r="F16317" s="7">
        <v>46062.17031339078</v>
      </c>
      <c r="G16317" s="3" t="s">
        <v>6553</v>
      </c>
    </row>
    <row r="16318">
      <c r="A16318" s="3" t="s">
        <v>32330</v>
      </c>
      <c r="B16318" s="3" t="s">
        <v>13607</v>
      </c>
      <c r="C16318" s="5" t="s">
        <v>45</v>
      </c>
      <c r="D16318" s="3" t="s">
        <v>221</v>
      </c>
      <c r="E16318" s="3" t="s">
        <v>883</v>
      </c>
      <c r="F16318" s="7">
        <v>46062.23107156953</v>
      </c>
      <c r="G16318" s="3" t="s">
        <v>6579</v>
      </c>
    </row>
    <row r="16319">
      <c r="A16319" s="3" t="s">
        <v>32331</v>
      </c>
      <c r="B16319" s="3" t="s">
        <v>13607</v>
      </c>
      <c r="C16319" s="5" t="s">
        <v>221</v>
      </c>
      <c r="D16319" s="3" t="s">
        <v>614</v>
      </c>
      <c r="E16319" s="3" t="s">
        <v>118</v>
      </c>
      <c r="F16319" s="7">
        <v>46062.23454379175</v>
      </c>
      <c r="G16319" s="3" t="s">
        <v>6582</v>
      </c>
    </row>
    <row r="16320">
      <c r="A16320" s="3" t="s">
        <v>32332</v>
      </c>
      <c r="B16320" s="3" t="s">
        <v>13607</v>
      </c>
      <c r="C16320" s="5" t="s">
        <v>614</v>
      </c>
      <c r="D16320" s="3" t="s">
        <v>206</v>
      </c>
      <c r="E16320" s="3" t="s">
        <v>100</v>
      </c>
      <c r="F16320" s="7">
        <v>46062.23801601397</v>
      </c>
      <c r="G16320" s="3" t="s">
        <v>6585</v>
      </c>
    </row>
    <row r="16321">
      <c r="A16321" s="3" t="s">
        <v>32333</v>
      </c>
      <c r="B16321" s="3" t="s">
        <v>13607</v>
      </c>
      <c r="C16321" s="5" t="s">
        <v>206</v>
      </c>
      <c r="D16321" s="3" t="s">
        <v>68</v>
      </c>
      <c r="E16321" s="3" t="s">
        <v>100</v>
      </c>
      <c r="F16321" s="7">
        <v>46062.24148823619</v>
      </c>
      <c r="G16321" s="3" t="s">
        <v>6588</v>
      </c>
    </row>
    <row r="16322">
      <c r="A16322" s="3" t="s">
        <v>32334</v>
      </c>
      <c r="B16322" s="3" t="s">
        <v>13610</v>
      </c>
      <c r="C16322" s="5" t="s">
        <v>45</v>
      </c>
      <c r="D16322" s="3" t="s">
        <v>221</v>
      </c>
      <c r="E16322" s="3" t="s">
        <v>527</v>
      </c>
      <c r="F16322" s="7">
        <v>46062.30224641495</v>
      </c>
      <c r="G16322" s="3" t="s">
        <v>6602</v>
      </c>
    </row>
    <row r="16323">
      <c r="A16323" s="3" t="s">
        <v>32335</v>
      </c>
      <c r="B16323" s="3" t="s">
        <v>13610</v>
      </c>
      <c r="C16323" s="5" t="s">
        <v>221</v>
      </c>
      <c r="D16323" s="3" t="s">
        <v>614</v>
      </c>
      <c r="E16323" s="3" t="s">
        <v>118</v>
      </c>
      <c r="F16323" s="7">
        <v>46062.305718637166</v>
      </c>
      <c r="G16323" s="3" t="s">
        <v>6605</v>
      </c>
    </row>
    <row r="16324">
      <c r="A16324" s="3" t="s">
        <v>32336</v>
      </c>
      <c r="B16324" s="3" t="s">
        <v>13610</v>
      </c>
      <c r="C16324" s="5" t="s">
        <v>614</v>
      </c>
      <c r="D16324" s="3" t="s">
        <v>206</v>
      </c>
      <c r="E16324" s="3" t="s">
        <v>100</v>
      </c>
      <c r="F16324" s="7">
        <v>46062.30919085939</v>
      </c>
      <c r="G16324" s="3" t="s">
        <v>6608</v>
      </c>
    </row>
    <row r="16325">
      <c r="A16325" s="3" t="s">
        <v>32337</v>
      </c>
      <c r="B16325" s="3" t="s">
        <v>13610</v>
      </c>
      <c r="C16325" s="5" t="s">
        <v>206</v>
      </c>
      <c r="D16325" s="3" t="s">
        <v>68</v>
      </c>
      <c r="E16325" s="3" t="s">
        <v>100</v>
      </c>
      <c r="F16325" s="7">
        <v>46062.31266308161</v>
      </c>
      <c r="G16325" s="3" t="s">
        <v>6611</v>
      </c>
    </row>
    <row r="16326">
      <c r="A16326" s="3" t="s">
        <v>32338</v>
      </c>
      <c r="B16326" s="3" t="s">
        <v>13613</v>
      </c>
      <c r="C16326" s="5" t="s">
        <v>45</v>
      </c>
      <c r="D16326" s="3" t="s">
        <v>221</v>
      </c>
      <c r="E16326" s="3" t="s">
        <v>512</v>
      </c>
      <c r="F16326" s="7">
        <v>46062.37342126036</v>
      </c>
      <c r="G16326" s="3" t="s">
        <v>17592</v>
      </c>
    </row>
    <row r="16327">
      <c r="A16327" s="3" t="s">
        <v>32339</v>
      </c>
      <c r="B16327" s="3" t="s">
        <v>13613</v>
      </c>
      <c r="C16327" s="5" t="s">
        <v>221</v>
      </c>
      <c r="D16327" s="3" t="s">
        <v>614</v>
      </c>
      <c r="E16327" s="3" t="s">
        <v>118</v>
      </c>
      <c r="F16327" s="7">
        <v>46062.37689348258</v>
      </c>
      <c r="G16327" s="3" t="s">
        <v>19466</v>
      </c>
    </row>
    <row r="16328">
      <c r="A16328" s="3" t="s">
        <v>32340</v>
      </c>
      <c r="B16328" s="3" t="s">
        <v>13613</v>
      </c>
      <c r="C16328" s="5" t="s">
        <v>614</v>
      </c>
      <c r="D16328" s="3" t="s">
        <v>206</v>
      </c>
      <c r="E16328" s="3" t="s">
        <v>100</v>
      </c>
      <c r="F16328" s="7">
        <v>46062.380365704805</v>
      </c>
      <c r="G16328" s="3" t="s">
        <v>19469</v>
      </c>
    </row>
    <row r="16329">
      <c r="A16329" s="3" t="s">
        <v>32341</v>
      </c>
      <c r="B16329" s="3" t="s">
        <v>13613</v>
      </c>
      <c r="C16329" s="5" t="s">
        <v>206</v>
      </c>
      <c r="D16329" s="3" t="s">
        <v>68</v>
      </c>
      <c r="E16329" s="3" t="s">
        <v>100</v>
      </c>
      <c r="F16329" s="7">
        <v>46062.383837927024</v>
      </c>
      <c r="G16329" s="3" t="s">
        <v>19472</v>
      </c>
    </row>
    <row r="16330">
      <c r="A16330" s="3" t="s">
        <v>32342</v>
      </c>
      <c r="B16330" s="3" t="s">
        <v>13616</v>
      </c>
      <c r="C16330" s="5" t="s">
        <v>45</v>
      </c>
      <c r="D16330" s="3" t="s">
        <v>221</v>
      </c>
      <c r="E16330" s="3" t="s">
        <v>215</v>
      </c>
      <c r="F16330" s="7">
        <v>46062.44459610577</v>
      </c>
      <c r="G16330" s="3" t="s">
        <v>6656</v>
      </c>
    </row>
    <row r="16331">
      <c r="A16331" s="3" t="s">
        <v>32343</v>
      </c>
      <c r="B16331" s="3" t="s">
        <v>13616</v>
      </c>
      <c r="C16331" s="5" t="s">
        <v>221</v>
      </c>
      <c r="D16331" s="3" t="s">
        <v>614</v>
      </c>
      <c r="E16331" s="3" t="s">
        <v>118</v>
      </c>
      <c r="F16331" s="7">
        <v>46062.44806832799</v>
      </c>
      <c r="G16331" s="3" t="s">
        <v>6659</v>
      </c>
    </row>
    <row r="16332">
      <c r="A16332" s="3" t="s">
        <v>32344</v>
      </c>
      <c r="B16332" s="3" t="s">
        <v>13616</v>
      </c>
      <c r="C16332" s="5" t="s">
        <v>614</v>
      </c>
      <c r="D16332" s="3" t="s">
        <v>206</v>
      </c>
      <c r="E16332" s="3" t="s">
        <v>100</v>
      </c>
      <c r="F16332" s="7">
        <v>46062.45154055022</v>
      </c>
      <c r="G16332" s="3" t="s">
        <v>6662</v>
      </c>
    </row>
    <row r="16333">
      <c r="A16333" s="3" t="s">
        <v>32345</v>
      </c>
      <c r="B16333" s="3" t="s">
        <v>13616</v>
      </c>
      <c r="C16333" s="5" t="s">
        <v>206</v>
      </c>
      <c r="D16333" s="3" t="s">
        <v>68</v>
      </c>
      <c r="E16333" s="3" t="s">
        <v>100</v>
      </c>
      <c r="F16333" s="7">
        <v>46062.455012772436</v>
      </c>
      <c r="G16333" s="3" t="s">
        <v>6664</v>
      </c>
    </row>
    <row r="16334">
      <c r="A16334" s="3" t="s">
        <v>32346</v>
      </c>
      <c r="B16334" s="3" t="s">
        <v>13619</v>
      </c>
      <c r="C16334" s="5" t="s">
        <v>45</v>
      </c>
      <c r="D16334" s="3" t="s">
        <v>221</v>
      </c>
      <c r="E16334" s="3" t="s">
        <v>419</v>
      </c>
      <c r="F16334" s="7">
        <v>46062.51577095119</v>
      </c>
      <c r="G16334" s="3" t="s">
        <v>2770</v>
      </c>
    </row>
    <row r="16335">
      <c r="A16335" s="3" t="s">
        <v>32347</v>
      </c>
      <c r="B16335" s="3" t="s">
        <v>13619</v>
      </c>
      <c r="C16335" s="5" t="s">
        <v>221</v>
      </c>
      <c r="D16335" s="3" t="s">
        <v>195</v>
      </c>
      <c r="E16335" s="3" t="s">
        <v>419</v>
      </c>
      <c r="F16335" s="7">
        <v>46062.51924317341</v>
      </c>
      <c r="G16335" s="3" t="s">
        <v>3055</v>
      </c>
    </row>
    <row r="16336">
      <c r="A16336" s="3" t="s">
        <v>32348</v>
      </c>
      <c r="B16336" s="3" t="s">
        <v>13623</v>
      </c>
      <c r="C16336" s="5" t="s">
        <v>45</v>
      </c>
      <c r="D16336" s="3" t="s">
        <v>221</v>
      </c>
      <c r="E16336" s="3" t="s">
        <v>953</v>
      </c>
      <c r="F16336" s="7">
        <v>46062.586945796604</v>
      </c>
      <c r="G16336" s="3" t="s">
        <v>18185</v>
      </c>
    </row>
    <row r="16337">
      <c r="A16337" s="3" t="s">
        <v>32349</v>
      </c>
      <c r="B16337" s="3" t="s">
        <v>13623</v>
      </c>
      <c r="C16337" s="5" t="s">
        <v>221</v>
      </c>
      <c r="D16337" s="3" t="s">
        <v>614</v>
      </c>
      <c r="E16337" s="3" t="s">
        <v>118</v>
      </c>
      <c r="F16337" s="7">
        <v>46062.59041801882</v>
      </c>
      <c r="G16337" s="3" t="s">
        <v>18188</v>
      </c>
    </row>
    <row r="16338">
      <c r="A16338" s="3" t="s">
        <v>32350</v>
      </c>
      <c r="B16338" s="3" t="s">
        <v>13623</v>
      </c>
      <c r="C16338" s="5" t="s">
        <v>614</v>
      </c>
      <c r="D16338" s="3" t="s">
        <v>206</v>
      </c>
      <c r="E16338" s="3" t="s">
        <v>100</v>
      </c>
      <c r="F16338" s="7">
        <v>46062.59389024105</v>
      </c>
      <c r="G16338" s="3" t="s">
        <v>18190</v>
      </c>
    </row>
    <row r="16339">
      <c r="A16339" s="3" t="s">
        <v>32351</v>
      </c>
      <c r="B16339" s="3" t="s">
        <v>13623</v>
      </c>
      <c r="C16339" s="5" t="s">
        <v>206</v>
      </c>
      <c r="D16339" s="3" t="s">
        <v>68</v>
      </c>
      <c r="E16339" s="3" t="s">
        <v>100</v>
      </c>
      <c r="F16339" s="7">
        <v>46062.59736246327</v>
      </c>
      <c r="G16339" s="3" t="s">
        <v>18193</v>
      </c>
    </row>
    <row r="16340">
      <c r="A16340" s="3" t="s">
        <v>32352</v>
      </c>
      <c r="B16340" s="3" t="s">
        <v>13627</v>
      </c>
      <c r="C16340" s="5" t="s">
        <v>45</v>
      </c>
      <c r="D16340" s="3" t="s">
        <v>221</v>
      </c>
      <c r="E16340" s="3" t="s">
        <v>253</v>
      </c>
      <c r="F16340" s="7">
        <v>46062.658120642016</v>
      </c>
      <c r="G16340" s="3" t="s">
        <v>3395</v>
      </c>
    </row>
    <row r="16341">
      <c r="A16341" s="3" t="s">
        <v>32353</v>
      </c>
      <c r="B16341" s="3" t="s">
        <v>13627</v>
      </c>
      <c r="C16341" s="5" t="s">
        <v>221</v>
      </c>
      <c r="D16341" s="3" t="s">
        <v>614</v>
      </c>
      <c r="E16341" s="3" t="s">
        <v>118</v>
      </c>
      <c r="F16341" s="7">
        <v>46062.661592864235</v>
      </c>
      <c r="G16341" s="3" t="s">
        <v>3398</v>
      </c>
    </row>
    <row r="16342">
      <c r="A16342" s="3" t="s">
        <v>32354</v>
      </c>
      <c r="B16342" s="3" t="s">
        <v>13627</v>
      </c>
      <c r="C16342" s="5" t="s">
        <v>614</v>
      </c>
      <c r="D16342" s="3" t="s">
        <v>206</v>
      </c>
      <c r="E16342" s="3" t="s">
        <v>100</v>
      </c>
      <c r="F16342" s="7">
        <v>46062.66506508646</v>
      </c>
      <c r="G16342" s="3" t="s">
        <v>3401</v>
      </c>
    </row>
    <row r="16343">
      <c r="A16343" s="3" t="s">
        <v>32355</v>
      </c>
      <c r="B16343" s="3" t="s">
        <v>13627</v>
      </c>
      <c r="C16343" s="5" t="s">
        <v>206</v>
      </c>
      <c r="D16343" s="3" t="s">
        <v>68</v>
      </c>
      <c r="E16343" s="3" t="s">
        <v>100</v>
      </c>
      <c r="F16343" s="7">
        <v>46062.66853730868</v>
      </c>
      <c r="G16343" s="3" t="s">
        <v>3404</v>
      </c>
    </row>
    <row r="16344">
      <c r="A16344" s="3" t="s">
        <v>32356</v>
      </c>
      <c r="B16344" s="3" t="s">
        <v>13630</v>
      </c>
      <c r="C16344" s="5" t="s">
        <v>45</v>
      </c>
      <c r="D16344" s="3" t="s">
        <v>221</v>
      </c>
      <c r="E16344" s="3" t="s">
        <v>704</v>
      </c>
      <c r="F16344" s="7">
        <v>46062.729295487436</v>
      </c>
      <c r="G16344" s="3" t="s">
        <v>6679</v>
      </c>
    </row>
    <row r="16345">
      <c r="A16345" s="3" t="s">
        <v>32357</v>
      </c>
      <c r="B16345" s="3" t="s">
        <v>13630</v>
      </c>
      <c r="C16345" s="5" t="s">
        <v>221</v>
      </c>
      <c r="D16345" s="3" t="s">
        <v>614</v>
      </c>
      <c r="E16345" s="3" t="s">
        <v>118</v>
      </c>
      <c r="F16345" s="7">
        <v>46062.732767709655</v>
      </c>
      <c r="G16345" s="3" t="s">
        <v>6681</v>
      </c>
    </row>
    <row r="16346">
      <c r="A16346" s="3" t="s">
        <v>32358</v>
      </c>
      <c r="B16346" s="3" t="s">
        <v>13630</v>
      </c>
      <c r="C16346" s="5" t="s">
        <v>614</v>
      </c>
      <c r="D16346" s="3" t="s">
        <v>206</v>
      </c>
      <c r="E16346" s="3" t="s">
        <v>100</v>
      </c>
      <c r="F16346" s="7">
        <v>46062.73623993188</v>
      </c>
      <c r="G16346" s="3" t="s">
        <v>6684</v>
      </c>
    </row>
    <row r="16347">
      <c r="A16347" s="3" t="s">
        <v>32359</v>
      </c>
      <c r="B16347" s="3" t="s">
        <v>13630</v>
      </c>
      <c r="C16347" s="5" t="s">
        <v>206</v>
      </c>
      <c r="D16347" s="3" t="s">
        <v>68</v>
      </c>
      <c r="E16347" s="3" t="s">
        <v>100</v>
      </c>
      <c r="F16347" s="7">
        <v>46062.7397121541</v>
      </c>
      <c r="G16347" s="3" t="s">
        <v>6687</v>
      </c>
    </row>
    <row r="16348">
      <c r="A16348" s="3" t="s">
        <v>32360</v>
      </c>
      <c r="B16348" s="3" t="s">
        <v>13632</v>
      </c>
      <c r="C16348" s="5" t="s">
        <v>45</v>
      </c>
      <c r="D16348" s="3" t="s">
        <v>221</v>
      </c>
      <c r="E16348" s="3" t="s">
        <v>310</v>
      </c>
      <c r="F16348" s="7">
        <v>46062.80047033285</v>
      </c>
      <c r="G16348" s="3" t="s">
        <v>30979</v>
      </c>
    </row>
    <row r="16349">
      <c r="A16349" s="3" t="s">
        <v>32361</v>
      </c>
      <c r="B16349" s="3" t="s">
        <v>13632</v>
      </c>
      <c r="C16349" s="5" t="s">
        <v>221</v>
      </c>
      <c r="D16349" s="3" t="s">
        <v>614</v>
      </c>
      <c r="E16349" s="3" t="s">
        <v>118</v>
      </c>
      <c r="F16349" s="7">
        <v>46062.80394255507</v>
      </c>
      <c r="G16349" s="3" t="s">
        <v>30981</v>
      </c>
    </row>
    <row r="16350">
      <c r="A16350" s="3" t="s">
        <v>32362</v>
      </c>
      <c r="B16350" s="3" t="s">
        <v>13632</v>
      </c>
      <c r="C16350" s="5" t="s">
        <v>614</v>
      </c>
      <c r="D16350" s="3" t="s">
        <v>206</v>
      </c>
      <c r="E16350" s="3" t="s">
        <v>100</v>
      </c>
      <c r="F16350" s="7">
        <v>46062.80741477729</v>
      </c>
      <c r="G16350" s="3" t="s">
        <v>30983</v>
      </c>
    </row>
    <row r="16351">
      <c r="A16351" s="3" t="s">
        <v>32363</v>
      </c>
      <c r="B16351" s="3" t="s">
        <v>13632</v>
      </c>
      <c r="C16351" s="5" t="s">
        <v>206</v>
      </c>
      <c r="D16351" s="3" t="s">
        <v>68</v>
      </c>
      <c r="E16351" s="3" t="s">
        <v>100</v>
      </c>
      <c r="F16351" s="7">
        <v>46062.81088699951</v>
      </c>
      <c r="G16351" s="3" t="s">
        <v>30985</v>
      </c>
    </row>
    <row r="16352">
      <c r="A16352" s="3" t="s">
        <v>32364</v>
      </c>
      <c r="B16352" s="3" t="s">
        <v>13634</v>
      </c>
      <c r="C16352" s="5" t="s">
        <v>45</v>
      </c>
      <c r="D16352" s="3" t="s">
        <v>221</v>
      </c>
      <c r="E16352" s="3" t="s">
        <v>1011</v>
      </c>
      <c r="F16352" s="7">
        <v>46062.87164517826</v>
      </c>
      <c r="G16352" s="3" t="s">
        <v>6726</v>
      </c>
    </row>
    <row r="16353">
      <c r="A16353" s="3" t="s">
        <v>32365</v>
      </c>
      <c r="B16353" s="3" t="s">
        <v>13634</v>
      </c>
      <c r="C16353" s="5" t="s">
        <v>221</v>
      </c>
      <c r="D16353" s="3" t="s">
        <v>614</v>
      </c>
      <c r="E16353" s="3" t="s">
        <v>118</v>
      </c>
      <c r="F16353" s="7">
        <v>46062.87511740048</v>
      </c>
      <c r="G16353" s="3" t="s">
        <v>6729</v>
      </c>
    </row>
    <row r="16354">
      <c r="A16354" s="3" t="s">
        <v>32366</v>
      </c>
      <c r="B16354" s="3" t="s">
        <v>13634</v>
      </c>
      <c r="C16354" s="5" t="s">
        <v>614</v>
      </c>
      <c r="D16354" s="3" t="s">
        <v>206</v>
      </c>
      <c r="E16354" s="3" t="s">
        <v>100</v>
      </c>
      <c r="F16354" s="7">
        <v>46062.878589622705</v>
      </c>
      <c r="G16354" s="3" t="s">
        <v>6732</v>
      </c>
    </row>
    <row r="16355">
      <c r="A16355" s="3" t="s">
        <v>32367</v>
      </c>
      <c r="B16355" s="3" t="s">
        <v>13634</v>
      </c>
      <c r="C16355" s="5" t="s">
        <v>206</v>
      </c>
      <c r="D16355" s="3" t="s">
        <v>68</v>
      </c>
      <c r="E16355" s="3" t="s">
        <v>100</v>
      </c>
      <c r="F16355" s="7">
        <v>46062.882061844924</v>
      </c>
      <c r="G16355" s="3" t="s">
        <v>6735</v>
      </c>
    </row>
    <row r="16356">
      <c r="A16356" s="3" t="s">
        <v>32368</v>
      </c>
      <c r="B16356" s="3" t="s">
        <v>13636</v>
      </c>
      <c r="C16356" s="5" t="s">
        <v>45</v>
      </c>
      <c r="D16356" s="3" t="s">
        <v>221</v>
      </c>
      <c r="E16356" s="3" t="s">
        <v>569</v>
      </c>
      <c r="F16356" s="7">
        <v>46062.94282002368</v>
      </c>
      <c r="G16356" s="3" t="s">
        <v>5606</v>
      </c>
    </row>
    <row r="16357">
      <c r="A16357" s="3" t="s">
        <v>32369</v>
      </c>
      <c r="B16357" s="3" t="s">
        <v>13636</v>
      </c>
      <c r="C16357" s="5" t="s">
        <v>221</v>
      </c>
      <c r="D16357" s="3" t="s">
        <v>614</v>
      </c>
      <c r="E16357" s="3" t="s">
        <v>118</v>
      </c>
      <c r="F16357" s="7">
        <v>46062.9462922459</v>
      </c>
      <c r="G16357" s="3" t="s">
        <v>5609</v>
      </c>
    </row>
    <row r="16358">
      <c r="A16358" s="3" t="s">
        <v>32370</v>
      </c>
      <c r="B16358" s="3" t="s">
        <v>13636</v>
      </c>
      <c r="C16358" s="5" t="s">
        <v>614</v>
      </c>
      <c r="D16358" s="3" t="s">
        <v>206</v>
      </c>
      <c r="E16358" s="3" t="s">
        <v>100</v>
      </c>
      <c r="F16358" s="7">
        <v>46062.949764468125</v>
      </c>
      <c r="G16358" s="3" t="s">
        <v>5612</v>
      </c>
    </row>
    <row r="16359">
      <c r="A16359" s="3" t="s">
        <v>32371</v>
      </c>
      <c r="B16359" s="3" t="s">
        <v>13636</v>
      </c>
      <c r="C16359" s="5" t="s">
        <v>206</v>
      </c>
      <c r="D16359" s="3" t="s">
        <v>68</v>
      </c>
      <c r="E16359" s="3" t="s">
        <v>100</v>
      </c>
      <c r="F16359" s="7">
        <v>46062.953236690344</v>
      </c>
      <c r="G16359" s="3" t="s">
        <v>5614</v>
      </c>
    </row>
    <row r="16360">
      <c r="A16360" s="3" t="s">
        <v>32372</v>
      </c>
      <c r="B16360" s="3" t="s">
        <v>13638</v>
      </c>
      <c r="C16360" s="5" t="s">
        <v>45</v>
      </c>
      <c r="D16360" s="3" t="s">
        <v>221</v>
      </c>
      <c r="E16360" s="3" t="s">
        <v>903</v>
      </c>
      <c r="F16360" s="7">
        <v>46063.0139948691</v>
      </c>
      <c r="G16360" s="3" t="s">
        <v>6737</v>
      </c>
    </row>
    <row r="16361">
      <c r="A16361" s="3" t="s">
        <v>32373</v>
      </c>
      <c r="B16361" s="3" t="s">
        <v>13638</v>
      </c>
      <c r="C16361" s="5" t="s">
        <v>221</v>
      </c>
      <c r="D16361" s="3" t="s">
        <v>614</v>
      </c>
      <c r="E16361" s="3" t="s">
        <v>118</v>
      </c>
      <c r="F16361" s="7">
        <v>46063.01746709132</v>
      </c>
      <c r="G16361" s="3" t="s">
        <v>6740</v>
      </c>
    </row>
    <row r="16362">
      <c r="A16362" s="3" t="s">
        <v>32374</v>
      </c>
      <c r="B16362" s="3" t="s">
        <v>13638</v>
      </c>
      <c r="C16362" s="5" t="s">
        <v>614</v>
      </c>
      <c r="D16362" s="3" t="s">
        <v>206</v>
      </c>
      <c r="E16362" s="3" t="s">
        <v>100</v>
      </c>
      <c r="F16362" s="7">
        <v>46063.020939313545</v>
      </c>
      <c r="G16362" s="3" t="s">
        <v>6743</v>
      </c>
    </row>
    <row r="16363">
      <c r="A16363" s="3" t="s">
        <v>32375</v>
      </c>
      <c r="B16363" s="3" t="s">
        <v>13638</v>
      </c>
      <c r="C16363" s="5" t="s">
        <v>206</v>
      </c>
      <c r="D16363" s="3" t="s">
        <v>68</v>
      </c>
      <c r="E16363" s="3" t="s">
        <v>100</v>
      </c>
      <c r="F16363" s="7">
        <v>46063.024411535764</v>
      </c>
      <c r="G16363" s="3" t="s">
        <v>6746</v>
      </c>
    </row>
    <row r="16364">
      <c r="A16364" s="3" t="s">
        <v>32376</v>
      </c>
      <c r="B16364" s="3" t="s">
        <v>13641</v>
      </c>
      <c r="C16364" s="5" t="s">
        <v>45</v>
      </c>
      <c r="D16364" s="3" t="s">
        <v>221</v>
      </c>
      <c r="E16364" s="3" t="s">
        <v>969</v>
      </c>
      <c r="F16364" s="7">
        <v>46063.085169714504</v>
      </c>
      <c r="G16364" s="3" t="s">
        <v>15479</v>
      </c>
    </row>
    <row r="16365">
      <c r="A16365" s="3" t="s">
        <v>32377</v>
      </c>
      <c r="B16365" s="3" t="s">
        <v>13641</v>
      </c>
      <c r="C16365" s="5" t="s">
        <v>221</v>
      </c>
      <c r="D16365" s="3" t="s">
        <v>614</v>
      </c>
      <c r="E16365" s="3" t="s">
        <v>118</v>
      </c>
      <c r="F16365" s="7">
        <v>46063.08864193672</v>
      </c>
      <c r="G16365" s="3" t="s">
        <v>15482</v>
      </c>
    </row>
    <row r="16366">
      <c r="A16366" s="3" t="s">
        <v>32378</v>
      </c>
      <c r="B16366" s="3" t="s">
        <v>13641</v>
      </c>
      <c r="C16366" s="5" t="s">
        <v>614</v>
      </c>
      <c r="D16366" s="3" t="s">
        <v>206</v>
      </c>
      <c r="E16366" s="3" t="s">
        <v>100</v>
      </c>
      <c r="F16366" s="7">
        <v>46063.09211415895</v>
      </c>
      <c r="G16366" s="3" t="s">
        <v>15485</v>
      </c>
    </row>
    <row r="16367">
      <c r="A16367" s="3" t="s">
        <v>32379</v>
      </c>
      <c r="B16367" s="3" t="s">
        <v>13641</v>
      </c>
      <c r="C16367" s="5" t="s">
        <v>206</v>
      </c>
      <c r="D16367" s="3" t="s">
        <v>68</v>
      </c>
      <c r="E16367" s="3" t="s">
        <v>100</v>
      </c>
      <c r="F16367" s="7">
        <v>46063.09558638117</v>
      </c>
      <c r="G16367" s="3" t="s">
        <v>15488</v>
      </c>
    </row>
    <row r="16368">
      <c r="A16368" s="3" t="s">
        <v>32380</v>
      </c>
      <c r="B16368" s="3" t="s">
        <v>13645</v>
      </c>
      <c r="C16368" s="5" t="s">
        <v>45</v>
      </c>
      <c r="D16368" s="3" t="s">
        <v>221</v>
      </c>
      <c r="E16368" s="3" t="s">
        <v>293</v>
      </c>
      <c r="F16368" s="7">
        <v>46063.156344559924</v>
      </c>
      <c r="G16368" s="3" t="s">
        <v>22859</v>
      </c>
    </row>
    <row r="16369">
      <c r="A16369" s="3" t="s">
        <v>32381</v>
      </c>
      <c r="B16369" s="3" t="s">
        <v>13645</v>
      </c>
      <c r="C16369" s="5" t="s">
        <v>221</v>
      </c>
      <c r="D16369" s="3" t="s">
        <v>614</v>
      </c>
      <c r="E16369" s="3" t="s">
        <v>118</v>
      </c>
      <c r="F16369" s="7">
        <v>46063.15981678214</v>
      </c>
      <c r="G16369" s="3" t="s">
        <v>25383</v>
      </c>
    </row>
    <row r="16370">
      <c r="A16370" s="3" t="s">
        <v>32382</v>
      </c>
      <c r="B16370" s="3" t="s">
        <v>13645</v>
      </c>
      <c r="C16370" s="5" t="s">
        <v>614</v>
      </c>
      <c r="D16370" s="3" t="s">
        <v>206</v>
      </c>
      <c r="E16370" s="3" t="s">
        <v>100</v>
      </c>
      <c r="F16370" s="7">
        <v>46063.16328900437</v>
      </c>
      <c r="G16370" s="3" t="s">
        <v>25385</v>
      </c>
    </row>
    <row r="16371">
      <c r="A16371" s="3" t="s">
        <v>32383</v>
      </c>
      <c r="B16371" s="3" t="s">
        <v>13645</v>
      </c>
      <c r="C16371" s="5" t="s">
        <v>206</v>
      </c>
      <c r="D16371" s="3" t="s">
        <v>68</v>
      </c>
      <c r="E16371" s="3" t="s">
        <v>100</v>
      </c>
      <c r="F16371" s="7">
        <v>46063.16676122659</v>
      </c>
      <c r="G16371" s="3" t="s">
        <v>25387</v>
      </c>
    </row>
    <row r="16372">
      <c r="A16372" s="3" t="s">
        <v>32384</v>
      </c>
      <c r="B16372" s="3" t="s">
        <v>13649</v>
      </c>
      <c r="C16372" s="5" t="s">
        <v>45</v>
      </c>
      <c r="D16372" s="3" t="s">
        <v>221</v>
      </c>
      <c r="E16372" s="3" t="s">
        <v>501</v>
      </c>
      <c r="F16372" s="7">
        <v>46063.22751940534</v>
      </c>
      <c r="G16372" s="3" t="s">
        <v>6761</v>
      </c>
    </row>
    <row r="16373">
      <c r="A16373" s="3" t="s">
        <v>32385</v>
      </c>
      <c r="B16373" s="3" t="s">
        <v>13649</v>
      </c>
      <c r="C16373" s="5" t="s">
        <v>221</v>
      </c>
      <c r="D16373" s="3" t="s">
        <v>614</v>
      </c>
      <c r="E16373" s="3" t="s">
        <v>118</v>
      </c>
      <c r="F16373" s="7">
        <v>46063.23099162756</v>
      </c>
      <c r="G16373" s="3" t="s">
        <v>6763</v>
      </c>
    </row>
    <row r="16374">
      <c r="A16374" s="3" t="s">
        <v>32386</v>
      </c>
      <c r="B16374" s="3" t="s">
        <v>13649</v>
      </c>
      <c r="C16374" s="5" t="s">
        <v>614</v>
      </c>
      <c r="D16374" s="3" t="s">
        <v>206</v>
      </c>
      <c r="E16374" s="3" t="s">
        <v>100</v>
      </c>
      <c r="F16374" s="7">
        <v>46063.23446384979</v>
      </c>
      <c r="G16374" s="3" t="s">
        <v>6766</v>
      </c>
    </row>
    <row r="16375">
      <c r="A16375" s="3" t="s">
        <v>32387</v>
      </c>
      <c r="B16375" s="3" t="s">
        <v>13649</v>
      </c>
      <c r="C16375" s="5" t="s">
        <v>206</v>
      </c>
      <c r="D16375" s="3" t="s">
        <v>68</v>
      </c>
      <c r="E16375" s="3" t="s">
        <v>100</v>
      </c>
      <c r="F16375" s="7">
        <v>46063.23793607201</v>
      </c>
      <c r="G16375" s="3" t="s">
        <v>6769</v>
      </c>
    </row>
    <row r="16376">
      <c r="A16376" s="3" t="s">
        <v>32388</v>
      </c>
      <c r="B16376" s="3" t="s">
        <v>13650</v>
      </c>
      <c r="C16376" s="5" t="s">
        <v>45</v>
      </c>
      <c r="D16376" s="3" t="s">
        <v>221</v>
      </c>
      <c r="E16376" s="3" t="s">
        <v>949</v>
      </c>
      <c r="F16376" s="7">
        <v>46063.298694250756</v>
      </c>
      <c r="G16376" s="3" t="s">
        <v>30549</v>
      </c>
    </row>
    <row r="16377">
      <c r="A16377" s="3" t="s">
        <v>32389</v>
      </c>
      <c r="B16377" s="3" t="s">
        <v>13650</v>
      </c>
      <c r="C16377" s="5" t="s">
        <v>221</v>
      </c>
      <c r="D16377" s="3" t="s">
        <v>614</v>
      </c>
      <c r="E16377" s="3" t="s">
        <v>118</v>
      </c>
      <c r="F16377" s="7">
        <v>46063.302166472975</v>
      </c>
      <c r="G16377" s="3" t="s">
        <v>30551</v>
      </c>
    </row>
    <row r="16378">
      <c r="A16378" s="3" t="s">
        <v>32390</v>
      </c>
      <c r="B16378" s="3" t="s">
        <v>13650</v>
      </c>
      <c r="C16378" s="5" t="s">
        <v>614</v>
      </c>
      <c r="D16378" s="3" t="s">
        <v>206</v>
      </c>
      <c r="E16378" s="3" t="s">
        <v>100</v>
      </c>
      <c r="F16378" s="7">
        <v>46063.3056386952</v>
      </c>
      <c r="G16378" s="3" t="s">
        <v>30553</v>
      </c>
    </row>
    <row r="16379">
      <c r="A16379" s="3" t="s">
        <v>32391</v>
      </c>
      <c r="B16379" s="3" t="s">
        <v>13650</v>
      </c>
      <c r="C16379" s="5" t="s">
        <v>206</v>
      </c>
      <c r="D16379" s="3" t="s">
        <v>68</v>
      </c>
      <c r="E16379" s="3" t="s">
        <v>100</v>
      </c>
      <c r="F16379" s="7">
        <v>46063.30911091742</v>
      </c>
      <c r="G16379" s="3" t="s">
        <v>30555</v>
      </c>
    </row>
    <row r="16380">
      <c r="A16380" s="3" t="s">
        <v>32392</v>
      </c>
      <c r="B16380" s="3" t="s">
        <v>13654</v>
      </c>
      <c r="C16380" s="5" t="s">
        <v>45</v>
      </c>
      <c r="D16380" s="3" t="s">
        <v>221</v>
      </c>
      <c r="E16380" s="3" t="s">
        <v>763</v>
      </c>
      <c r="F16380" s="7">
        <v>46063.36986909617</v>
      </c>
      <c r="G16380" s="3" t="s">
        <v>8327</v>
      </c>
    </row>
    <row r="16381">
      <c r="A16381" s="3" t="s">
        <v>32393</v>
      </c>
      <c r="B16381" s="3" t="s">
        <v>13654</v>
      </c>
      <c r="C16381" s="5" t="s">
        <v>221</v>
      </c>
      <c r="D16381" s="3" t="s">
        <v>195</v>
      </c>
      <c r="E16381" s="3" t="s">
        <v>763</v>
      </c>
      <c r="F16381" s="7">
        <v>46063.37334131839</v>
      </c>
      <c r="G16381" s="3" t="s">
        <v>8330</v>
      </c>
    </row>
    <row r="16382">
      <c r="A16382" s="3" t="s">
        <v>32394</v>
      </c>
      <c r="B16382" s="3" t="s">
        <v>13658</v>
      </c>
      <c r="C16382" s="5" t="s">
        <v>45</v>
      </c>
      <c r="D16382" s="3" t="s">
        <v>221</v>
      </c>
      <c r="E16382" s="3" t="s">
        <v>280</v>
      </c>
      <c r="F16382" s="7">
        <v>46063.44104394159</v>
      </c>
      <c r="G16382" s="3" t="s">
        <v>30273</v>
      </c>
    </row>
    <row r="16383">
      <c r="A16383" s="3" t="s">
        <v>32395</v>
      </c>
      <c r="B16383" s="3" t="s">
        <v>13658</v>
      </c>
      <c r="C16383" s="5" t="s">
        <v>221</v>
      </c>
      <c r="D16383" s="3" t="s">
        <v>614</v>
      </c>
      <c r="E16383" s="3" t="s">
        <v>118</v>
      </c>
      <c r="F16383" s="7">
        <v>46063.44451616381</v>
      </c>
      <c r="G16383" s="3" t="s">
        <v>30275</v>
      </c>
    </row>
    <row r="16384">
      <c r="A16384" s="3" t="s">
        <v>32396</v>
      </c>
      <c r="B16384" s="3" t="s">
        <v>13658</v>
      </c>
      <c r="C16384" s="5" t="s">
        <v>614</v>
      </c>
      <c r="D16384" s="3" t="s">
        <v>206</v>
      </c>
      <c r="E16384" s="3" t="s">
        <v>100</v>
      </c>
      <c r="F16384" s="7">
        <v>46063.44798838603</v>
      </c>
      <c r="G16384" s="3" t="s">
        <v>30277</v>
      </c>
    </row>
    <row r="16385">
      <c r="A16385" s="3" t="s">
        <v>32397</v>
      </c>
      <c r="B16385" s="3" t="s">
        <v>13658</v>
      </c>
      <c r="C16385" s="5" t="s">
        <v>206</v>
      </c>
      <c r="D16385" s="3" t="s">
        <v>68</v>
      </c>
      <c r="E16385" s="3" t="s">
        <v>100</v>
      </c>
      <c r="F16385" s="7">
        <v>46063.45146060825</v>
      </c>
      <c r="G16385" s="3" t="s">
        <v>30279</v>
      </c>
    </row>
    <row r="16386">
      <c r="A16386" s="3" t="s">
        <v>32398</v>
      </c>
      <c r="B16386" s="3" t="s">
        <v>13661</v>
      </c>
      <c r="C16386" s="5" t="s">
        <v>45</v>
      </c>
      <c r="D16386" s="3" t="s">
        <v>221</v>
      </c>
      <c r="E16386" s="3" t="s">
        <v>760</v>
      </c>
      <c r="F16386" s="7">
        <v>46063.512218787</v>
      </c>
      <c r="G16386" s="3" t="s">
        <v>6772</v>
      </c>
    </row>
    <row r="16387">
      <c r="A16387" s="3" t="s">
        <v>32399</v>
      </c>
      <c r="B16387" s="3" t="s">
        <v>13661</v>
      </c>
      <c r="C16387" s="5" t="s">
        <v>221</v>
      </c>
      <c r="D16387" s="3" t="s">
        <v>614</v>
      </c>
      <c r="E16387" s="3" t="s">
        <v>118</v>
      </c>
      <c r="F16387" s="7">
        <v>46063.51569100922</v>
      </c>
      <c r="G16387" s="3" t="s">
        <v>6775</v>
      </c>
    </row>
    <row r="16388">
      <c r="A16388" s="3" t="s">
        <v>32400</v>
      </c>
      <c r="B16388" s="3" t="s">
        <v>13661</v>
      </c>
      <c r="C16388" s="5" t="s">
        <v>614</v>
      </c>
      <c r="D16388" s="3" t="s">
        <v>206</v>
      </c>
      <c r="E16388" s="3" t="s">
        <v>100</v>
      </c>
      <c r="F16388" s="7">
        <v>46063.519163231445</v>
      </c>
      <c r="G16388" s="3" t="s">
        <v>6778</v>
      </c>
    </row>
    <row r="16389">
      <c r="A16389" s="3" t="s">
        <v>32401</v>
      </c>
      <c r="B16389" s="3" t="s">
        <v>13661</v>
      </c>
      <c r="C16389" s="5" t="s">
        <v>206</v>
      </c>
      <c r="D16389" s="3" t="s">
        <v>68</v>
      </c>
      <c r="E16389" s="3" t="s">
        <v>100</v>
      </c>
      <c r="F16389" s="7">
        <v>46063.522635453664</v>
      </c>
      <c r="G16389" s="3" t="s">
        <v>6780</v>
      </c>
    </row>
    <row r="16390">
      <c r="A16390" s="3" t="s">
        <v>32402</v>
      </c>
      <c r="B16390" s="3" t="s">
        <v>13663</v>
      </c>
      <c r="C16390" s="5" t="s">
        <v>45</v>
      </c>
      <c r="D16390" s="3" t="s">
        <v>221</v>
      </c>
      <c r="E16390" s="3" t="s">
        <v>250</v>
      </c>
      <c r="F16390" s="7">
        <v>46063.58339363241</v>
      </c>
      <c r="G16390" s="3" t="s">
        <v>18846</v>
      </c>
    </row>
    <row r="16391">
      <c r="A16391" s="3" t="s">
        <v>32403</v>
      </c>
      <c r="B16391" s="3" t="s">
        <v>13663</v>
      </c>
      <c r="C16391" s="5" t="s">
        <v>221</v>
      </c>
      <c r="D16391" s="3" t="s">
        <v>614</v>
      </c>
      <c r="E16391" s="3" t="s">
        <v>118</v>
      </c>
      <c r="F16391" s="7">
        <v>46063.58686585463</v>
      </c>
      <c r="G16391" s="3" t="s">
        <v>18849</v>
      </c>
    </row>
    <row r="16392">
      <c r="A16392" s="3" t="s">
        <v>32404</v>
      </c>
      <c r="B16392" s="3" t="s">
        <v>13663</v>
      </c>
      <c r="C16392" s="5" t="s">
        <v>614</v>
      </c>
      <c r="D16392" s="3" t="s">
        <v>206</v>
      </c>
      <c r="E16392" s="3" t="s">
        <v>100</v>
      </c>
      <c r="F16392" s="7">
        <v>46063.59033807686</v>
      </c>
      <c r="G16392" s="3" t="s">
        <v>18852</v>
      </c>
    </row>
    <row r="16393">
      <c r="A16393" s="3" t="s">
        <v>32405</v>
      </c>
      <c r="B16393" s="3" t="s">
        <v>13663</v>
      </c>
      <c r="C16393" s="5" t="s">
        <v>206</v>
      </c>
      <c r="D16393" s="3" t="s">
        <v>68</v>
      </c>
      <c r="E16393" s="3" t="s">
        <v>100</v>
      </c>
      <c r="F16393" s="7">
        <v>46063.59381029908</v>
      </c>
      <c r="G16393" s="3" t="s">
        <v>18855</v>
      </c>
    </row>
    <row r="16394">
      <c r="A16394" s="3" t="s">
        <v>32406</v>
      </c>
      <c r="B16394" s="3" t="s">
        <v>13665</v>
      </c>
      <c r="C16394" s="5" t="s">
        <v>45</v>
      </c>
      <c r="D16394" s="3" t="s">
        <v>221</v>
      </c>
      <c r="E16394" s="3" t="s">
        <v>949</v>
      </c>
      <c r="F16394" s="7">
        <v>46063.65456847783</v>
      </c>
      <c r="G16394" s="3" t="s">
        <v>17294</v>
      </c>
    </row>
    <row r="16395">
      <c r="A16395" s="3" t="s">
        <v>32407</v>
      </c>
      <c r="B16395" s="3" t="s">
        <v>13665</v>
      </c>
      <c r="C16395" s="5" t="s">
        <v>221</v>
      </c>
      <c r="D16395" s="3" t="s">
        <v>614</v>
      </c>
      <c r="E16395" s="3" t="s">
        <v>118</v>
      </c>
      <c r="F16395" s="7">
        <v>46063.65804070005</v>
      </c>
      <c r="G16395" s="3" t="s">
        <v>17296</v>
      </c>
    </row>
    <row r="16396">
      <c r="A16396" s="3" t="s">
        <v>32408</v>
      </c>
      <c r="B16396" s="3" t="s">
        <v>13665</v>
      </c>
      <c r="C16396" s="5" t="s">
        <v>614</v>
      </c>
      <c r="D16396" s="3" t="s">
        <v>206</v>
      </c>
      <c r="E16396" s="3" t="s">
        <v>100</v>
      </c>
      <c r="F16396" s="7">
        <v>46063.66151292228</v>
      </c>
      <c r="G16396" s="3" t="s">
        <v>17299</v>
      </c>
    </row>
    <row r="16397">
      <c r="A16397" s="3" t="s">
        <v>32409</v>
      </c>
      <c r="B16397" s="3" t="s">
        <v>13665</v>
      </c>
      <c r="C16397" s="5" t="s">
        <v>206</v>
      </c>
      <c r="D16397" s="3" t="s">
        <v>68</v>
      </c>
      <c r="E16397" s="3" t="s">
        <v>100</v>
      </c>
      <c r="F16397" s="7">
        <v>46063.664985144496</v>
      </c>
      <c r="G16397" s="3" t="s">
        <v>17302</v>
      </c>
    </row>
    <row r="16398">
      <c r="A16398" s="3" t="s">
        <v>32410</v>
      </c>
      <c r="B16398" s="3" t="s">
        <v>13667</v>
      </c>
      <c r="C16398" s="5" t="s">
        <v>45</v>
      </c>
      <c r="D16398" s="3" t="s">
        <v>221</v>
      </c>
      <c r="E16398" s="3" t="s">
        <v>883</v>
      </c>
      <c r="F16398" s="7">
        <v>46063.725743323244</v>
      </c>
      <c r="G16398" s="3" t="s">
        <v>13510</v>
      </c>
    </row>
    <row r="16399">
      <c r="A16399" s="3" t="s">
        <v>32411</v>
      </c>
      <c r="B16399" s="3" t="s">
        <v>13667</v>
      </c>
      <c r="C16399" s="5" t="s">
        <v>221</v>
      </c>
      <c r="D16399" s="3" t="s">
        <v>614</v>
      </c>
      <c r="E16399" s="3" t="s">
        <v>118</v>
      </c>
      <c r="F16399" s="7">
        <v>46063.72921554546</v>
      </c>
      <c r="G16399" s="3" t="s">
        <v>13512</v>
      </c>
    </row>
    <row r="16400">
      <c r="A16400" s="3" t="s">
        <v>32412</v>
      </c>
      <c r="B16400" s="3" t="s">
        <v>13667</v>
      </c>
      <c r="C16400" s="5" t="s">
        <v>614</v>
      </c>
      <c r="D16400" s="3" t="s">
        <v>206</v>
      </c>
      <c r="E16400" s="3" t="s">
        <v>100</v>
      </c>
      <c r="F16400" s="7">
        <v>46063.73268776769</v>
      </c>
      <c r="G16400" s="3" t="s">
        <v>13515</v>
      </c>
    </row>
    <row r="16401">
      <c r="A16401" s="3" t="s">
        <v>32413</v>
      </c>
      <c r="B16401" s="3" t="s">
        <v>13667</v>
      </c>
      <c r="C16401" s="5" t="s">
        <v>206</v>
      </c>
      <c r="D16401" s="3" t="s">
        <v>68</v>
      </c>
      <c r="E16401" s="3" t="s">
        <v>100</v>
      </c>
      <c r="F16401" s="7">
        <v>46063.73615998991</v>
      </c>
      <c r="G16401" s="3" t="s">
        <v>13517</v>
      </c>
    </row>
    <row r="16402">
      <c r="A16402" s="3" t="s">
        <v>32414</v>
      </c>
      <c r="B16402" s="3" t="s">
        <v>13670</v>
      </c>
      <c r="C16402" s="5" t="s">
        <v>45</v>
      </c>
      <c r="D16402" s="3" t="s">
        <v>221</v>
      </c>
      <c r="E16402" s="3" t="s">
        <v>453</v>
      </c>
      <c r="F16402" s="7">
        <v>46063.79691816866</v>
      </c>
      <c r="G16402" s="3" t="s">
        <v>8181</v>
      </c>
    </row>
    <row r="16403">
      <c r="A16403" s="3" t="s">
        <v>32415</v>
      </c>
      <c r="B16403" s="3" t="s">
        <v>13670</v>
      </c>
      <c r="C16403" s="5" t="s">
        <v>221</v>
      </c>
      <c r="D16403" s="3" t="s">
        <v>614</v>
      </c>
      <c r="E16403" s="3" t="s">
        <v>118</v>
      </c>
      <c r="F16403" s="7">
        <v>46063.800390390876</v>
      </c>
      <c r="G16403" s="3" t="s">
        <v>11205</v>
      </c>
    </row>
    <row r="16404">
      <c r="A16404" s="3" t="s">
        <v>32416</v>
      </c>
      <c r="B16404" s="3" t="s">
        <v>13670</v>
      </c>
      <c r="C16404" s="5" t="s">
        <v>614</v>
      </c>
      <c r="D16404" s="3" t="s">
        <v>206</v>
      </c>
      <c r="E16404" s="3" t="s">
        <v>100</v>
      </c>
      <c r="F16404" s="7">
        <v>46063.8038626131</v>
      </c>
      <c r="G16404" s="3" t="s">
        <v>11208</v>
      </c>
    </row>
    <row r="16405">
      <c r="A16405" s="3" t="s">
        <v>32417</v>
      </c>
      <c r="B16405" s="3" t="s">
        <v>13670</v>
      </c>
      <c r="C16405" s="5" t="s">
        <v>206</v>
      </c>
      <c r="D16405" s="3" t="s">
        <v>68</v>
      </c>
      <c r="E16405" s="3" t="s">
        <v>100</v>
      </c>
      <c r="F16405" s="7">
        <v>46063.80733483532</v>
      </c>
      <c r="G16405" s="3" t="s">
        <v>11211</v>
      </c>
    </row>
    <row r="16406">
      <c r="A16406" s="3" t="s">
        <v>32418</v>
      </c>
      <c r="B16406" s="3" t="s">
        <v>13674</v>
      </c>
      <c r="C16406" s="5" t="s">
        <v>45</v>
      </c>
      <c r="D16406" s="3" t="s">
        <v>221</v>
      </c>
      <c r="E16406" s="3" t="s">
        <v>468</v>
      </c>
      <c r="F16406" s="7">
        <v>46063.868093014076</v>
      </c>
      <c r="G16406" s="3" t="s">
        <v>32419</v>
      </c>
    </row>
    <row r="16407">
      <c r="A16407" s="3" t="s">
        <v>32420</v>
      </c>
      <c r="B16407" s="3" t="s">
        <v>13674</v>
      </c>
      <c r="C16407" s="5" t="s">
        <v>221</v>
      </c>
      <c r="D16407" s="3" t="s">
        <v>195</v>
      </c>
      <c r="E16407" s="3" t="s">
        <v>468</v>
      </c>
      <c r="F16407" s="7">
        <v>46063.871565236295</v>
      </c>
      <c r="G16407" s="3" t="s">
        <v>32421</v>
      </c>
    </row>
    <row r="16408">
      <c r="A16408" s="3" t="s">
        <v>32422</v>
      </c>
      <c r="B16408" s="3" t="s">
        <v>13677</v>
      </c>
      <c r="C16408" s="5" t="s">
        <v>45</v>
      </c>
      <c r="D16408" s="3" t="s">
        <v>221</v>
      </c>
      <c r="E16408" s="3" t="s">
        <v>414</v>
      </c>
      <c r="F16408" s="7">
        <v>46063.93926785949</v>
      </c>
      <c r="G16408" s="3" t="s">
        <v>9366</v>
      </c>
    </row>
    <row r="16409">
      <c r="A16409" s="3" t="s">
        <v>32423</v>
      </c>
      <c r="B16409" s="3" t="s">
        <v>13677</v>
      </c>
      <c r="C16409" s="5" t="s">
        <v>221</v>
      </c>
      <c r="D16409" s="3" t="s">
        <v>614</v>
      </c>
      <c r="E16409" s="3" t="s">
        <v>118</v>
      </c>
      <c r="F16409" s="7">
        <v>46063.94274008171</v>
      </c>
      <c r="G16409" s="3" t="s">
        <v>9369</v>
      </c>
    </row>
    <row r="16410">
      <c r="A16410" s="3" t="s">
        <v>32424</v>
      </c>
      <c r="B16410" s="3" t="s">
        <v>13677</v>
      </c>
      <c r="C16410" s="5" t="s">
        <v>614</v>
      </c>
      <c r="D16410" s="3" t="s">
        <v>206</v>
      </c>
      <c r="E16410" s="3" t="s">
        <v>100</v>
      </c>
      <c r="F16410" s="7">
        <v>46063.946212303934</v>
      </c>
      <c r="G16410" s="3" t="s">
        <v>9372</v>
      </c>
    </row>
    <row r="16411">
      <c r="A16411" s="3" t="s">
        <v>32425</v>
      </c>
      <c r="B16411" s="3" t="s">
        <v>13677</v>
      </c>
      <c r="C16411" s="5" t="s">
        <v>206</v>
      </c>
      <c r="D16411" s="3" t="s">
        <v>68</v>
      </c>
      <c r="E16411" s="3" t="s">
        <v>100</v>
      </c>
      <c r="F16411" s="7">
        <v>46063.94968452615</v>
      </c>
      <c r="G16411" s="3" t="s">
        <v>9375</v>
      </c>
    </row>
    <row r="16412">
      <c r="A16412" s="3" t="s">
        <v>32426</v>
      </c>
      <c r="B16412" s="3" t="s">
        <v>13680</v>
      </c>
      <c r="C16412" s="5" t="s">
        <v>45</v>
      </c>
      <c r="D16412" s="3" t="s">
        <v>221</v>
      </c>
      <c r="E16412" s="3" t="s">
        <v>727</v>
      </c>
      <c r="F16412" s="7">
        <v>46064.0104427049</v>
      </c>
      <c r="G16412" s="3" t="s">
        <v>21948</v>
      </c>
    </row>
    <row r="16413">
      <c r="A16413" s="3" t="s">
        <v>32427</v>
      </c>
      <c r="B16413" s="3" t="s">
        <v>13680</v>
      </c>
      <c r="C16413" s="5" t="s">
        <v>221</v>
      </c>
      <c r="D16413" s="3" t="s">
        <v>614</v>
      </c>
      <c r="E16413" s="3" t="s">
        <v>118</v>
      </c>
      <c r="F16413" s="7">
        <v>46064.01391492712</v>
      </c>
      <c r="G16413" s="3" t="s">
        <v>21951</v>
      </c>
    </row>
    <row r="16414">
      <c r="A16414" s="3" t="s">
        <v>32428</v>
      </c>
      <c r="B16414" s="3" t="s">
        <v>13680</v>
      </c>
      <c r="C16414" s="5" t="s">
        <v>614</v>
      </c>
      <c r="D16414" s="3" t="s">
        <v>206</v>
      </c>
      <c r="E16414" s="3" t="s">
        <v>100</v>
      </c>
      <c r="F16414" s="7">
        <v>46064.017387149346</v>
      </c>
      <c r="G16414" s="3" t="s">
        <v>21954</v>
      </c>
    </row>
    <row r="16415">
      <c r="A16415" s="3" t="s">
        <v>32429</v>
      </c>
      <c r="B16415" s="3" t="s">
        <v>13680</v>
      </c>
      <c r="C16415" s="5" t="s">
        <v>206</v>
      </c>
      <c r="D16415" s="3" t="s">
        <v>68</v>
      </c>
      <c r="E16415" s="3" t="s">
        <v>100</v>
      </c>
      <c r="F16415" s="7">
        <v>46064.020859371565</v>
      </c>
      <c r="G16415" s="3" t="s">
        <v>21956</v>
      </c>
    </row>
    <row r="16416">
      <c r="A16416" s="3" t="s">
        <v>32430</v>
      </c>
      <c r="B16416" s="3" t="s">
        <v>13683</v>
      </c>
      <c r="C16416" s="5" t="s">
        <v>45</v>
      </c>
      <c r="D16416" s="3" t="s">
        <v>221</v>
      </c>
      <c r="E16416" s="3" t="s">
        <v>895</v>
      </c>
      <c r="F16416" s="7">
        <v>46064.08161755032</v>
      </c>
      <c r="G16416" s="3" t="s">
        <v>6815</v>
      </c>
    </row>
    <row r="16417">
      <c r="A16417" s="3" t="s">
        <v>32431</v>
      </c>
      <c r="B16417" s="3" t="s">
        <v>13683</v>
      </c>
      <c r="C16417" s="5" t="s">
        <v>221</v>
      </c>
      <c r="D16417" s="3" t="s">
        <v>614</v>
      </c>
      <c r="E16417" s="3" t="s">
        <v>118</v>
      </c>
      <c r="F16417" s="7">
        <v>46064.08508977254</v>
      </c>
      <c r="G16417" s="3" t="s">
        <v>6818</v>
      </c>
    </row>
    <row r="16418">
      <c r="A16418" s="3" t="s">
        <v>32432</v>
      </c>
      <c r="B16418" s="3" t="s">
        <v>13683</v>
      </c>
      <c r="C16418" s="5" t="s">
        <v>614</v>
      </c>
      <c r="D16418" s="3" t="s">
        <v>206</v>
      </c>
      <c r="E16418" s="3" t="s">
        <v>100</v>
      </c>
      <c r="F16418" s="7">
        <v>46064.088561994766</v>
      </c>
      <c r="G16418" s="3" t="s">
        <v>6821</v>
      </c>
    </row>
    <row r="16419">
      <c r="A16419" s="3" t="s">
        <v>32433</v>
      </c>
      <c r="B16419" s="3" t="s">
        <v>13683</v>
      </c>
      <c r="C16419" s="5" t="s">
        <v>206</v>
      </c>
      <c r="D16419" s="3" t="s">
        <v>68</v>
      </c>
      <c r="E16419" s="3" t="s">
        <v>100</v>
      </c>
      <c r="F16419" s="7">
        <v>46064.092034216985</v>
      </c>
      <c r="G16419" s="3" t="s">
        <v>6824</v>
      </c>
    </row>
    <row r="16420">
      <c r="A16420" s="3" t="s">
        <v>32434</v>
      </c>
      <c r="B16420" s="3" t="s">
        <v>13685</v>
      </c>
      <c r="C16420" s="5" t="s">
        <v>45</v>
      </c>
      <c r="D16420" s="3" t="s">
        <v>221</v>
      </c>
      <c r="E16420" s="3" t="s">
        <v>269</v>
      </c>
      <c r="F16420" s="7">
        <v>46064.15279239574</v>
      </c>
      <c r="G16420" s="3" t="s">
        <v>6311</v>
      </c>
    </row>
    <row r="16421">
      <c r="A16421" s="3" t="s">
        <v>32435</v>
      </c>
      <c r="B16421" s="3" t="s">
        <v>13685</v>
      </c>
      <c r="C16421" s="5" t="s">
        <v>221</v>
      </c>
      <c r="D16421" s="3" t="s">
        <v>614</v>
      </c>
      <c r="E16421" s="3" t="s">
        <v>118</v>
      </c>
      <c r="F16421" s="7">
        <v>46064.15626461796</v>
      </c>
      <c r="G16421" s="3" t="s">
        <v>24260</v>
      </c>
    </row>
    <row r="16422">
      <c r="A16422" s="3" t="s">
        <v>32436</v>
      </c>
      <c r="B16422" s="3" t="s">
        <v>13685</v>
      </c>
      <c r="C16422" s="5" t="s">
        <v>614</v>
      </c>
      <c r="D16422" s="3" t="s">
        <v>206</v>
      </c>
      <c r="E16422" s="3" t="s">
        <v>100</v>
      </c>
      <c r="F16422" s="7">
        <v>46064.159736840185</v>
      </c>
      <c r="G16422" s="3" t="s">
        <v>24262</v>
      </c>
    </row>
    <row r="16423">
      <c r="A16423" s="3" t="s">
        <v>32437</v>
      </c>
      <c r="B16423" s="3" t="s">
        <v>13685</v>
      </c>
      <c r="C16423" s="5" t="s">
        <v>206</v>
      </c>
      <c r="D16423" s="3" t="s">
        <v>68</v>
      </c>
      <c r="E16423" s="3" t="s">
        <v>100</v>
      </c>
      <c r="F16423" s="7">
        <v>46064.163209062404</v>
      </c>
      <c r="G16423" s="3" t="s">
        <v>24264</v>
      </c>
    </row>
    <row r="16424">
      <c r="A16424" s="3" t="s">
        <v>32438</v>
      </c>
      <c r="B16424" s="3" t="s">
        <v>13687</v>
      </c>
      <c r="C16424" s="5" t="s">
        <v>45</v>
      </c>
      <c r="D16424" s="3" t="s">
        <v>221</v>
      </c>
      <c r="E16424" s="3" t="s">
        <v>541</v>
      </c>
      <c r="F16424" s="7">
        <v>46064.223967241145</v>
      </c>
      <c r="G16424" s="3" t="s">
        <v>19087</v>
      </c>
    </row>
    <row r="16425">
      <c r="A16425" s="3" t="s">
        <v>32439</v>
      </c>
      <c r="B16425" s="3" t="s">
        <v>13687</v>
      </c>
      <c r="C16425" s="5" t="s">
        <v>221</v>
      </c>
      <c r="D16425" s="3" t="s">
        <v>614</v>
      </c>
      <c r="E16425" s="3" t="s">
        <v>118</v>
      </c>
      <c r="F16425" s="7">
        <v>46064.227439463364</v>
      </c>
      <c r="G16425" s="3" t="s">
        <v>19090</v>
      </c>
    </row>
    <row r="16426">
      <c r="A16426" s="3" t="s">
        <v>32440</v>
      </c>
      <c r="B16426" s="3" t="s">
        <v>13687</v>
      </c>
      <c r="C16426" s="5" t="s">
        <v>614</v>
      </c>
      <c r="D16426" s="3" t="s">
        <v>206</v>
      </c>
      <c r="E16426" s="3" t="s">
        <v>100</v>
      </c>
      <c r="F16426" s="7">
        <v>46064.23091168559</v>
      </c>
      <c r="G16426" s="3" t="s">
        <v>19093</v>
      </c>
    </row>
    <row r="16427">
      <c r="A16427" s="3" t="s">
        <v>32441</v>
      </c>
      <c r="B16427" s="3" t="s">
        <v>13687</v>
      </c>
      <c r="C16427" s="5" t="s">
        <v>206</v>
      </c>
      <c r="D16427" s="3" t="s">
        <v>68</v>
      </c>
      <c r="E16427" s="3" t="s">
        <v>100</v>
      </c>
      <c r="F16427" s="7">
        <v>46064.23438390781</v>
      </c>
      <c r="G16427" s="3" t="s">
        <v>19096</v>
      </c>
    </row>
    <row r="16428">
      <c r="A16428" s="3" t="s">
        <v>32442</v>
      </c>
      <c r="B16428" s="3" t="s">
        <v>13690</v>
      </c>
      <c r="C16428" s="5" t="s">
        <v>45</v>
      </c>
      <c r="D16428" s="3" t="s">
        <v>221</v>
      </c>
      <c r="E16428" s="3" t="s">
        <v>269</v>
      </c>
      <c r="F16428" s="7">
        <v>46064.295142086565</v>
      </c>
      <c r="G16428" s="3" t="s">
        <v>6868</v>
      </c>
    </row>
    <row r="16429">
      <c r="A16429" s="3" t="s">
        <v>32443</v>
      </c>
      <c r="B16429" s="3" t="s">
        <v>13690</v>
      </c>
      <c r="C16429" s="5" t="s">
        <v>221</v>
      </c>
      <c r="D16429" s="3" t="s">
        <v>614</v>
      </c>
      <c r="E16429" s="3" t="s">
        <v>118</v>
      </c>
      <c r="F16429" s="7">
        <v>46064.298614308784</v>
      </c>
      <c r="G16429" s="3" t="s">
        <v>6871</v>
      </c>
    </row>
    <row r="16430">
      <c r="A16430" s="3" t="s">
        <v>32444</v>
      </c>
      <c r="B16430" s="3" t="s">
        <v>13690</v>
      </c>
      <c r="C16430" s="5" t="s">
        <v>614</v>
      </c>
      <c r="D16430" s="3" t="s">
        <v>206</v>
      </c>
      <c r="E16430" s="3" t="s">
        <v>100</v>
      </c>
      <c r="F16430" s="7">
        <v>46064.30208653101</v>
      </c>
      <c r="G16430" s="3" t="s">
        <v>6874</v>
      </c>
    </row>
    <row r="16431">
      <c r="A16431" s="3" t="s">
        <v>32445</v>
      </c>
      <c r="B16431" s="3" t="s">
        <v>13690</v>
      </c>
      <c r="C16431" s="5" t="s">
        <v>206</v>
      </c>
      <c r="D16431" s="3" t="s">
        <v>68</v>
      </c>
      <c r="E16431" s="3" t="s">
        <v>100</v>
      </c>
      <c r="F16431" s="7">
        <v>46064.30555875323</v>
      </c>
      <c r="G16431" s="3" t="s">
        <v>6877</v>
      </c>
    </row>
    <row r="16432">
      <c r="A16432" s="3" t="s">
        <v>32446</v>
      </c>
      <c r="B16432" s="3" t="s">
        <v>13693</v>
      </c>
      <c r="C16432" s="5" t="s">
        <v>45</v>
      </c>
      <c r="D16432" s="3" t="s">
        <v>221</v>
      </c>
      <c r="E16432" s="3" t="s">
        <v>496</v>
      </c>
      <c r="F16432" s="7">
        <v>46064.366316931984</v>
      </c>
      <c r="G16432" s="3" t="s">
        <v>9744</v>
      </c>
    </row>
    <row r="16433">
      <c r="A16433" s="3" t="s">
        <v>32447</v>
      </c>
      <c r="B16433" s="3" t="s">
        <v>13693</v>
      </c>
      <c r="C16433" s="5" t="s">
        <v>221</v>
      </c>
      <c r="D16433" s="3" t="s">
        <v>614</v>
      </c>
      <c r="E16433" s="3" t="s">
        <v>118</v>
      </c>
      <c r="F16433" s="7">
        <v>46064.3697891542</v>
      </c>
      <c r="G16433" s="3" t="s">
        <v>9747</v>
      </c>
    </row>
    <row r="16434">
      <c r="A16434" s="3" t="s">
        <v>32448</v>
      </c>
      <c r="B16434" s="3" t="s">
        <v>13693</v>
      </c>
      <c r="C16434" s="5" t="s">
        <v>614</v>
      </c>
      <c r="D16434" s="3" t="s">
        <v>206</v>
      </c>
      <c r="E16434" s="3" t="s">
        <v>100</v>
      </c>
      <c r="F16434" s="7">
        <v>46064.37326137643</v>
      </c>
      <c r="G16434" s="3" t="s">
        <v>9750</v>
      </c>
    </row>
    <row r="16435">
      <c r="A16435" s="3" t="s">
        <v>32449</v>
      </c>
      <c r="B16435" s="3" t="s">
        <v>13693</v>
      </c>
      <c r="C16435" s="5" t="s">
        <v>206</v>
      </c>
      <c r="D16435" s="3" t="s">
        <v>68</v>
      </c>
      <c r="E16435" s="3" t="s">
        <v>100</v>
      </c>
      <c r="F16435" s="7">
        <v>46064.37673359865</v>
      </c>
      <c r="G16435" s="3" t="s">
        <v>9753</v>
      </c>
    </row>
    <row r="16436">
      <c r="A16436" s="3" t="s">
        <v>32450</v>
      </c>
      <c r="B16436" s="3" t="s">
        <v>13696</v>
      </c>
      <c r="C16436" s="5" t="s">
        <v>45</v>
      </c>
      <c r="D16436" s="3" t="s">
        <v>221</v>
      </c>
      <c r="E16436" s="3" t="s">
        <v>330</v>
      </c>
      <c r="F16436" s="7">
        <v>46064.4374917774</v>
      </c>
      <c r="G16436" s="3" t="s">
        <v>3582</v>
      </c>
    </row>
    <row r="16437">
      <c r="A16437" s="3" t="s">
        <v>32451</v>
      </c>
      <c r="B16437" s="3" t="s">
        <v>13696</v>
      </c>
      <c r="C16437" s="5" t="s">
        <v>221</v>
      </c>
      <c r="D16437" s="3" t="s">
        <v>181</v>
      </c>
      <c r="E16437" s="3" t="s">
        <v>118</v>
      </c>
      <c r="F16437" s="7">
        <v>46064.440963999616</v>
      </c>
      <c r="G16437" s="3" t="s">
        <v>29943</v>
      </c>
    </row>
    <row r="16438">
      <c r="A16438" s="3" t="s">
        <v>32452</v>
      </c>
      <c r="B16438" s="3" t="s">
        <v>13698</v>
      </c>
      <c r="C16438" s="5" t="s">
        <v>45</v>
      </c>
      <c r="D16438" s="3" t="s">
        <v>221</v>
      </c>
      <c r="E16438" s="3" t="s">
        <v>539</v>
      </c>
      <c r="F16438" s="7">
        <v>46064.50866662281</v>
      </c>
      <c r="G16438" s="3" t="s">
        <v>6905</v>
      </c>
    </row>
    <row r="16439">
      <c r="A16439" s="3" t="s">
        <v>32453</v>
      </c>
      <c r="B16439" s="3" t="s">
        <v>13698</v>
      </c>
      <c r="C16439" s="5" t="s">
        <v>221</v>
      </c>
      <c r="D16439" s="3" t="s">
        <v>614</v>
      </c>
      <c r="E16439" s="3" t="s">
        <v>118</v>
      </c>
      <c r="F16439" s="7">
        <v>46064.51213884503</v>
      </c>
      <c r="G16439" s="3" t="s">
        <v>6908</v>
      </c>
    </row>
    <row r="16440">
      <c r="A16440" s="3" t="s">
        <v>32454</v>
      </c>
      <c r="B16440" s="3" t="s">
        <v>13698</v>
      </c>
      <c r="C16440" s="5" t="s">
        <v>614</v>
      </c>
      <c r="D16440" s="3" t="s">
        <v>206</v>
      </c>
      <c r="E16440" s="3" t="s">
        <v>100</v>
      </c>
      <c r="F16440" s="7">
        <v>46064.515611067254</v>
      </c>
      <c r="G16440" s="3" t="s">
        <v>6911</v>
      </c>
    </row>
    <row r="16441">
      <c r="A16441" s="3" t="s">
        <v>32455</v>
      </c>
      <c r="B16441" s="3" t="s">
        <v>13698</v>
      </c>
      <c r="C16441" s="5" t="s">
        <v>206</v>
      </c>
      <c r="D16441" s="3" t="s">
        <v>68</v>
      </c>
      <c r="E16441" s="3" t="s">
        <v>100</v>
      </c>
      <c r="F16441" s="7">
        <v>46064.51908328947</v>
      </c>
      <c r="G16441" s="3" t="s">
        <v>6914</v>
      </c>
    </row>
    <row r="16442">
      <c r="A16442" s="3" t="s">
        <v>32456</v>
      </c>
      <c r="B16442" s="3" t="s">
        <v>13701</v>
      </c>
      <c r="C16442" s="5" t="s">
        <v>45</v>
      </c>
      <c r="D16442" s="3" t="s">
        <v>221</v>
      </c>
      <c r="E16442" s="3" t="s">
        <v>183</v>
      </c>
      <c r="F16442" s="7">
        <v>46064.57984146823</v>
      </c>
      <c r="G16442" s="3" t="s">
        <v>7238</v>
      </c>
    </row>
    <row r="16443">
      <c r="A16443" s="3" t="s">
        <v>32457</v>
      </c>
      <c r="B16443" s="3" t="s">
        <v>13701</v>
      </c>
      <c r="C16443" s="5" t="s">
        <v>221</v>
      </c>
      <c r="D16443" s="3" t="s">
        <v>614</v>
      </c>
      <c r="E16443" s="3" t="s">
        <v>118</v>
      </c>
      <c r="F16443" s="7">
        <v>46064.58331369045</v>
      </c>
      <c r="G16443" s="3" t="s">
        <v>7241</v>
      </c>
    </row>
    <row r="16444">
      <c r="A16444" s="3" t="s">
        <v>32458</v>
      </c>
      <c r="B16444" s="3" t="s">
        <v>13701</v>
      </c>
      <c r="C16444" s="5" t="s">
        <v>614</v>
      </c>
      <c r="D16444" s="3" t="s">
        <v>206</v>
      </c>
      <c r="E16444" s="3" t="s">
        <v>100</v>
      </c>
      <c r="F16444" s="7">
        <v>46064.586785912674</v>
      </c>
      <c r="G16444" s="3" t="s">
        <v>7244</v>
      </c>
    </row>
    <row r="16445">
      <c r="A16445" s="3" t="s">
        <v>32459</v>
      </c>
      <c r="B16445" s="3" t="s">
        <v>13701</v>
      </c>
      <c r="C16445" s="5" t="s">
        <v>206</v>
      </c>
      <c r="D16445" s="3" t="s">
        <v>68</v>
      </c>
      <c r="E16445" s="3" t="s">
        <v>100</v>
      </c>
      <c r="F16445" s="7">
        <v>46064.59025813489</v>
      </c>
      <c r="G16445" s="3" t="s">
        <v>7246</v>
      </c>
    </row>
    <row r="16446">
      <c r="A16446" s="3" t="s">
        <v>32460</v>
      </c>
      <c r="B16446" s="3" t="s">
        <v>13704</v>
      </c>
      <c r="C16446" s="5" t="s">
        <v>45</v>
      </c>
      <c r="D16446" s="3" t="s">
        <v>221</v>
      </c>
      <c r="E16446" s="3" t="s">
        <v>272</v>
      </c>
      <c r="F16446" s="7">
        <v>46064.65101631364</v>
      </c>
      <c r="G16446" s="3" t="s">
        <v>10364</v>
      </c>
    </row>
    <row r="16447">
      <c r="A16447" s="3" t="s">
        <v>32461</v>
      </c>
      <c r="B16447" s="3" t="s">
        <v>13704</v>
      </c>
      <c r="C16447" s="5" t="s">
        <v>221</v>
      </c>
      <c r="D16447" s="3" t="s">
        <v>195</v>
      </c>
      <c r="E16447" s="3" t="s">
        <v>272</v>
      </c>
      <c r="F16447" s="7">
        <v>46064.65448853586</v>
      </c>
      <c r="G16447" s="3" t="s">
        <v>32462</v>
      </c>
    </row>
    <row r="16448">
      <c r="A16448" s="3" t="s">
        <v>32463</v>
      </c>
      <c r="B16448" s="3" t="s">
        <v>13708</v>
      </c>
      <c r="C16448" s="5" t="s">
        <v>45</v>
      </c>
      <c r="D16448" s="3" t="s">
        <v>221</v>
      </c>
      <c r="E16448" s="3" t="s">
        <v>383</v>
      </c>
      <c r="F16448" s="7">
        <v>46064.72219115905</v>
      </c>
      <c r="G16448" s="3" t="s">
        <v>24798</v>
      </c>
    </row>
    <row r="16449">
      <c r="A16449" s="3" t="s">
        <v>32464</v>
      </c>
      <c r="B16449" s="3" t="s">
        <v>13708</v>
      </c>
      <c r="C16449" s="5" t="s">
        <v>221</v>
      </c>
      <c r="D16449" s="3" t="s">
        <v>614</v>
      </c>
      <c r="E16449" s="3" t="s">
        <v>118</v>
      </c>
      <c r="F16449" s="7">
        <v>46064.72566338127</v>
      </c>
      <c r="G16449" s="3" t="s">
        <v>24800</v>
      </c>
    </row>
    <row r="16450">
      <c r="A16450" s="3" t="s">
        <v>32465</v>
      </c>
      <c r="B16450" s="3" t="s">
        <v>13708</v>
      </c>
      <c r="C16450" s="5" t="s">
        <v>614</v>
      </c>
      <c r="D16450" s="3" t="s">
        <v>206</v>
      </c>
      <c r="E16450" s="3" t="s">
        <v>100</v>
      </c>
      <c r="F16450" s="7">
        <v>46064.7291356035</v>
      </c>
      <c r="G16450" s="3" t="s">
        <v>24802</v>
      </c>
    </row>
    <row r="16451">
      <c r="A16451" s="3" t="s">
        <v>32466</v>
      </c>
      <c r="B16451" s="3" t="s">
        <v>13708</v>
      </c>
      <c r="C16451" s="5" t="s">
        <v>206</v>
      </c>
      <c r="D16451" s="3" t="s">
        <v>68</v>
      </c>
      <c r="E16451" s="3" t="s">
        <v>100</v>
      </c>
      <c r="F16451" s="7">
        <v>46064.73260782572</v>
      </c>
      <c r="G16451" s="3" t="s">
        <v>24804</v>
      </c>
    </row>
    <row r="16452">
      <c r="A16452" s="3" t="s">
        <v>32467</v>
      </c>
      <c r="B16452" s="3" t="s">
        <v>13711</v>
      </c>
      <c r="C16452" s="5" t="s">
        <v>45</v>
      </c>
      <c r="D16452" s="3" t="s">
        <v>221</v>
      </c>
      <c r="E16452" s="3" t="s">
        <v>287</v>
      </c>
      <c r="F16452" s="7">
        <v>46064.79336600447</v>
      </c>
      <c r="G16452" s="3" t="s">
        <v>6942</v>
      </c>
    </row>
    <row r="16453">
      <c r="A16453" s="3" t="s">
        <v>32468</v>
      </c>
      <c r="B16453" s="3" t="s">
        <v>13711</v>
      </c>
      <c r="C16453" s="5" t="s">
        <v>221</v>
      </c>
      <c r="D16453" s="3" t="s">
        <v>614</v>
      </c>
      <c r="E16453" s="3" t="s">
        <v>118</v>
      </c>
      <c r="F16453" s="7">
        <v>46064.79683822669</v>
      </c>
      <c r="G16453" s="3" t="s">
        <v>6945</v>
      </c>
    </row>
    <row r="16454">
      <c r="A16454" s="3" t="s">
        <v>32469</v>
      </c>
      <c r="B16454" s="3" t="s">
        <v>13711</v>
      </c>
      <c r="C16454" s="5" t="s">
        <v>614</v>
      </c>
      <c r="D16454" s="3" t="s">
        <v>206</v>
      </c>
      <c r="E16454" s="3" t="s">
        <v>100</v>
      </c>
      <c r="F16454" s="7">
        <v>46064.80031044892</v>
      </c>
      <c r="G16454" s="3" t="s">
        <v>6948</v>
      </c>
    </row>
    <row r="16455">
      <c r="A16455" s="3" t="s">
        <v>32470</v>
      </c>
      <c r="B16455" s="3" t="s">
        <v>13711</v>
      </c>
      <c r="C16455" s="5" t="s">
        <v>206</v>
      </c>
      <c r="D16455" s="3" t="s">
        <v>68</v>
      </c>
      <c r="E16455" s="3" t="s">
        <v>100</v>
      </c>
      <c r="F16455" s="7">
        <v>46064.80378267114</v>
      </c>
      <c r="G16455" s="3" t="s">
        <v>6951</v>
      </c>
    </row>
    <row r="16456">
      <c r="A16456" s="3" t="s">
        <v>32471</v>
      </c>
      <c r="B16456" s="3" t="s">
        <v>13714</v>
      </c>
      <c r="C16456" s="5" t="s">
        <v>45</v>
      </c>
      <c r="D16456" s="3" t="s">
        <v>221</v>
      </c>
      <c r="E16456" s="3" t="s">
        <v>615</v>
      </c>
      <c r="F16456" s="7">
        <v>46064.864540849885</v>
      </c>
      <c r="G16456" s="3" t="s">
        <v>6954</v>
      </c>
    </row>
    <row r="16457">
      <c r="A16457" s="3" t="s">
        <v>32472</v>
      </c>
      <c r="B16457" s="3" t="s">
        <v>13714</v>
      </c>
      <c r="C16457" s="5" t="s">
        <v>221</v>
      </c>
      <c r="D16457" s="3" t="s">
        <v>614</v>
      </c>
      <c r="E16457" s="3" t="s">
        <v>118</v>
      </c>
      <c r="F16457" s="7">
        <v>46064.868013072104</v>
      </c>
      <c r="G16457" s="3" t="s">
        <v>6957</v>
      </c>
    </row>
    <row r="16458">
      <c r="A16458" s="3" t="s">
        <v>32473</v>
      </c>
      <c r="B16458" s="3" t="s">
        <v>13714</v>
      </c>
      <c r="C16458" s="5" t="s">
        <v>614</v>
      </c>
      <c r="D16458" s="3" t="s">
        <v>206</v>
      </c>
      <c r="E16458" s="3" t="s">
        <v>100</v>
      </c>
      <c r="F16458" s="7">
        <v>46064.87148529433</v>
      </c>
      <c r="G16458" s="3" t="s">
        <v>6959</v>
      </c>
    </row>
    <row r="16459">
      <c r="A16459" s="3" t="s">
        <v>32474</v>
      </c>
      <c r="B16459" s="3" t="s">
        <v>13714</v>
      </c>
      <c r="C16459" s="5" t="s">
        <v>206</v>
      </c>
      <c r="D16459" s="3" t="s">
        <v>68</v>
      </c>
      <c r="E16459" s="3" t="s">
        <v>100</v>
      </c>
      <c r="F16459" s="7">
        <v>46064.87495751655</v>
      </c>
      <c r="G16459" s="3" t="s">
        <v>6962</v>
      </c>
    </row>
    <row r="16460">
      <c r="A16460" s="3" t="s">
        <v>32475</v>
      </c>
      <c r="B16460" s="3" t="s">
        <v>13718</v>
      </c>
      <c r="C16460" s="5" t="s">
        <v>45</v>
      </c>
      <c r="D16460" s="3" t="s">
        <v>221</v>
      </c>
      <c r="E16460" s="3" t="s">
        <v>605</v>
      </c>
      <c r="F16460" s="7">
        <v>46064.9357156953</v>
      </c>
      <c r="G16460" s="3" t="s">
        <v>3731</v>
      </c>
    </row>
    <row r="16461">
      <c r="A16461" s="3" t="s">
        <v>32476</v>
      </c>
      <c r="B16461" s="3" t="s">
        <v>13718</v>
      </c>
      <c r="C16461" s="5" t="s">
        <v>221</v>
      </c>
      <c r="D16461" s="3" t="s">
        <v>181</v>
      </c>
      <c r="E16461" s="3" t="s">
        <v>118</v>
      </c>
      <c r="F16461" s="7">
        <v>46064.93918791752</v>
      </c>
      <c r="G16461" s="3" t="s">
        <v>3734</v>
      </c>
    </row>
    <row r="16462">
      <c r="A16462" s="3" t="s">
        <v>32477</v>
      </c>
      <c r="B16462" s="3" t="s">
        <v>13722</v>
      </c>
      <c r="C16462" s="5" t="s">
        <v>45</v>
      </c>
      <c r="D16462" s="3" t="s">
        <v>221</v>
      </c>
      <c r="E16462" s="3" t="s">
        <v>183</v>
      </c>
      <c r="F16462" s="7">
        <v>46065.00689054072</v>
      </c>
      <c r="G16462" s="3" t="s">
        <v>7044</v>
      </c>
    </row>
    <row r="16463">
      <c r="A16463" s="3" t="s">
        <v>32478</v>
      </c>
      <c r="B16463" s="3" t="s">
        <v>13722</v>
      </c>
      <c r="C16463" s="5" t="s">
        <v>221</v>
      </c>
      <c r="D16463" s="3" t="s">
        <v>614</v>
      </c>
      <c r="E16463" s="3" t="s">
        <v>118</v>
      </c>
      <c r="F16463" s="7">
        <v>46065.010362762936</v>
      </c>
      <c r="G16463" s="3" t="s">
        <v>7047</v>
      </c>
    </row>
    <row r="16464">
      <c r="A16464" s="3" t="s">
        <v>32479</v>
      </c>
      <c r="B16464" s="3" t="s">
        <v>13722</v>
      </c>
      <c r="C16464" s="5" t="s">
        <v>614</v>
      </c>
      <c r="D16464" s="3" t="s">
        <v>206</v>
      </c>
      <c r="E16464" s="3" t="s">
        <v>100</v>
      </c>
      <c r="F16464" s="7">
        <v>46065.01383498516</v>
      </c>
      <c r="G16464" s="3" t="s">
        <v>7050</v>
      </c>
    </row>
    <row r="16465">
      <c r="A16465" s="3" t="s">
        <v>32480</v>
      </c>
      <c r="B16465" s="3" t="s">
        <v>13722</v>
      </c>
      <c r="C16465" s="5" t="s">
        <v>206</v>
      </c>
      <c r="D16465" s="3" t="s">
        <v>68</v>
      </c>
      <c r="E16465" s="3" t="s">
        <v>100</v>
      </c>
      <c r="F16465" s="7">
        <v>46065.01730720738</v>
      </c>
      <c r="G16465" s="3" t="s">
        <v>7053</v>
      </c>
    </row>
    <row r="16466">
      <c r="A16466" s="3" t="s">
        <v>32481</v>
      </c>
      <c r="B16466" s="3" t="s">
        <v>13725</v>
      </c>
      <c r="C16466" s="5" t="s">
        <v>45</v>
      </c>
      <c r="D16466" s="3" t="s">
        <v>221</v>
      </c>
      <c r="E16466" s="3" t="s">
        <v>512</v>
      </c>
      <c r="F16466" s="7">
        <v>46065.07806538613</v>
      </c>
      <c r="G16466" s="3" t="s">
        <v>24197</v>
      </c>
    </row>
    <row r="16467">
      <c r="A16467" s="3" t="s">
        <v>32482</v>
      </c>
      <c r="B16467" s="3" t="s">
        <v>13725</v>
      </c>
      <c r="C16467" s="5" t="s">
        <v>221</v>
      </c>
      <c r="D16467" s="3" t="s">
        <v>614</v>
      </c>
      <c r="E16467" s="3" t="s">
        <v>118</v>
      </c>
      <c r="F16467" s="7">
        <v>46065.08153760835</v>
      </c>
      <c r="G16467" s="3" t="s">
        <v>24199</v>
      </c>
    </row>
    <row r="16468">
      <c r="A16468" s="3" t="s">
        <v>32483</v>
      </c>
      <c r="B16468" s="3" t="s">
        <v>13725</v>
      </c>
      <c r="C16468" s="5" t="s">
        <v>614</v>
      </c>
      <c r="D16468" s="3" t="s">
        <v>206</v>
      </c>
      <c r="E16468" s="3" t="s">
        <v>100</v>
      </c>
      <c r="F16468" s="7">
        <v>46065.085009830575</v>
      </c>
      <c r="G16468" s="3" t="s">
        <v>24201</v>
      </c>
    </row>
    <row r="16469">
      <c r="A16469" s="3" t="s">
        <v>32484</v>
      </c>
      <c r="B16469" s="3" t="s">
        <v>13725</v>
      </c>
      <c r="C16469" s="5" t="s">
        <v>206</v>
      </c>
      <c r="D16469" s="3" t="s">
        <v>68</v>
      </c>
      <c r="E16469" s="3" t="s">
        <v>100</v>
      </c>
      <c r="F16469" s="7">
        <v>46065.08848205279</v>
      </c>
      <c r="G16469" s="3" t="s">
        <v>24203</v>
      </c>
    </row>
    <row r="16470">
      <c r="A16470" s="3" t="s">
        <v>32485</v>
      </c>
      <c r="B16470" s="3" t="s">
        <v>13729</v>
      </c>
      <c r="C16470" s="5" t="s">
        <v>45</v>
      </c>
      <c r="D16470" s="3" t="s">
        <v>221</v>
      </c>
      <c r="E16470" s="3" t="s">
        <v>290</v>
      </c>
      <c r="F16470" s="7">
        <v>46065.14924023154</v>
      </c>
      <c r="G16470" s="3" t="s">
        <v>7075</v>
      </c>
    </row>
    <row r="16471">
      <c r="A16471" s="3" t="s">
        <v>32486</v>
      </c>
      <c r="B16471" s="3" t="s">
        <v>13729</v>
      </c>
      <c r="C16471" s="5" t="s">
        <v>221</v>
      </c>
      <c r="D16471" s="3" t="s">
        <v>614</v>
      </c>
      <c r="E16471" s="3" t="s">
        <v>118</v>
      </c>
      <c r="F16471" s="7">
        <v>46065.15271245376</v>
      </c>
      <c r="G16471" s="3" t="s">
        <v>7078</v>
      </c>
    </row>
    <row r="16472">
      <c r="A16472" s="3" t="s">
        <v>32487</v>
      </c>
      <c r="B16472" s="3" t="s">
        <v>13729</v>
      </c>
      <c r="C16472" s="5" t="s">
        <v>614</v>
      </c>
      <c r="D16472" s="3" t="s">
        <v>206</v>
      </c>
      <c r="E16472" s="3" t="s">
        <v>100</v>
      </c>
      <c r="F16472" s="7">
        <v>46065.15618467599</v>
      </c>
      <c r="G16472" s="3" t="s">
        <v>7081</v>
      </c>
    </row>
    <row r="16473">
      <c r="A16473" s="3" t="s">
        <v>32488</v>
      </c>
      <c r="B16473" s="3" t="s">
        <v>13729</v>
      </c>
      <c r="C16473" s="5" t="s">
        <v>206</v>
      </c>
      <c r="D16473" s="3" t="s">
        <v>68</v>
      </c>
      <c r="E16473" s="3" t="s">
        <v>100</v>
      </c>
      <c r="F16473" s="7">
        <v>46065.159656898206</v>
      </c>
      <c r="G16473" s="3" t="s">
        <v>7084</v>
      </c>
    </row>
    <row r="16474">
      <c r="A16474" s="3" t="s">
        <v>32489</v>
      </c>
      <c r="B16474" s="3" t="s">
        <v>13733</v>
      </c>
      <c r="C16474" s="5" t="s">
        <v>45</v>
      </c>
      <c r="D16474" s="3" t="s">
        <v>221</v>
      </c>
      <c r="E16474" s="3" t="s">
        <v>475</v>
      </c>
      <c r="F16474" s="7">
        <v>46065.22041507696</v>
      </c>
      <c r="G16474" s="3" t="s">
        <v>2770</v>
      </c>
    </row>
    <row r="16475">
      <c r="A16475" s="3" t="s">
        <v>32490</v>
      </c>
      <c r="B16475" s="3" t="s">
        <v>13733</v>
      </c>
      <c r="C16475" s="5" t="s">
        <v>221</v>
      </c>
      <c r="D16475" s="3" t="s">
        <v>195</v>
      </c>
      <c r="E16475" s="3" t="s">
        <v>475</v>
      </c>
      <c r="F16475" s="7">
        <v>46065.22388729918</v>
      </c>
      <c r="G16475" s="3" t="s">
        <v>3055</v>
      </c>
    </row>
    <row r="16476">
      <c r="A16476" s="3" t="s">
        <v>32491</v>
      </c>
      <c r="B16476" s="3" t="s">
        <v>13735</v>
      </c>
      <c r="C16476" s="5" t="s">
        <v>45</v>
      </c>
      <c r="D16476" s="3" t="s">
        <v>221</v>
      </c>
      <c r="E16476" s="3" t="s">
        <v>622</v>
      </c>
      <c r="F16476" s="7">
        <v>46065.29158992238</v>
      </c>
      <c r="G16476" s="3" t="s">
        <v>5938</v>
      </c>
    </row>
    <row r="16477">
      <c r="A16477" s="3" t="s">
        <v>32492</v>
      </c>
      <c r="B16477" s="3" t="s">
        <v>13735</v>
      </c>
      <c r="C16477" s="5" t="s">
        <v>221</v>
      </c>
      <c r="D16477" s="3" t="s">
        <v>195</v>
      </c>
      <c r="E16477" s="3" t="s">
        <v>622</v>
      </c>
      <c r="F16477" s="7">
        <v>46065.2950621446</v>
      </c>
      <c r="G16477" s="3" t="s">
        <v>32493</v>
      </c>
    </row>
    <row r="16478">
      <c r="A16478" s="3" t="s">
        <v>32494</v>
      </c>
      <c r="B16478" s="3" t="s">
        <v>13739</v>
      </c>
      <c r="C16478" s="5" t="s">
        <v>45</v>
      </c>
      <c r="D16478" s="3" t="s">
        <v>221</v>
      </c>
      <c r="E16478" s="3" t="s">
        <v>276</v>
      </c>
      <c r="F16478" s="7">
        <v>46065.36276476779</v>
      </c>
      <c r="G16478" s="3" t="s">
        <v>22064</v>
      </c>
    </row>
    <row r="16479">
      <c r="A16479" s="3" t="s">
        <v>32495</v>
      </c>
      <c r="B16479" s="3" t="s">
        <v>13739</v>
      </c>
      <c r="C16479" s="5" t="s">
        <v>221</v>
      </c>
      <c r="D16479" s="3" t="s">
        <v>614</v>
      </c>
      <c r="E16479" s="3" t="s">
        <v>118</v>
      </c>
      <c r="F16479" s="7">
        <v>46065.36623699001</v>
      </c>
      <c r="G16479" s="3" t="s">
        <v>22067</v>
      </c>
    </row>
    <row r="16480">
      <c r="A16480" s="3" t="s">
        <v>32496</v>
      </c>
      <c r="B16480" s="3" t="s">
        <v>13739</v>
      </c>
      <c r="C16480" s="5" t="s">
        <v>614</v>
      </c>
      <c r="D16480" s="3" t="s">
        <v>206</v>
      </c>
      <c r="E16480" s="3" t="s">
        <v>100</v>
      </c>
      <c r="F16480" s="7">
        <v>46065.36970921224</v>
      </c>
      <c r="G16480" s="3" t="s">
        <v>22069</v>
      </c>
    </row>
    <row r="16481">
      <c r="A16481" s="3" t="s">
        <v>32497</v>
      </c>
      <c r="B16481" s="3" t="s">
        <v>13739</v>
      </c>
      <c r="C16481" s="5" t="s">
        <v>206</v>
      </c>
      <c r="D16481" s="3" t="s">
        <v>68</v>
      </c>
      <c r="E16481" s="3" t="s">
        <v>100</v>
      </c>
      <c r="F16481" s="7">
        <v>46065.37318143446</v>
      </c>
      <c r="G16481" s="3" t="s">
        <v>22072</v>
      </c>
    </row>
    <row r="16482">
      <c r="A16482" s="3" t="s">
        <v>32498</v>
      </c>
      <c r="B16482" s="3" t="s">
        <v>13742</v>
      </c>
      <c r="C16482" s="5" t="s">
        <v>45</v>
      </c>
      <c r="D16482" s="3" t="s">
        <v>221</v>
      </c>
      <c r="E16482" s="3" t="s">
        <v>123</v>
      </c>
      <c r="F16482" s="7">
        <v>46065.433939613205</v>
      </c>
      <c r="G16482" s="3" t="s">
        <v>8816</v>
      </c>
    </row>
    <row r="16483">
      <c r="A16483" s="3" t="s">
        <v>32499</v>
      </c>
      <c r="B16483" s="3" t="s">
        <v>13742</v>
      </c>
      <c r="C16483" s="5" t="s">
        <v>221</v>
      </c>
      <c r="D16483" s="3" t="s">
        <v>614</v>
      </c>
      <c r="E16483" s="3" t="s">
        <v>118</v>
      </c>
      <c r="F16483" s="7">
        <v>46065.437411835424</v>
      </c>
      <c r="G16483" s="3" t="s">
        <v>8819</v>
      </c>
    </row>
    <row r="16484">
      <c r="A16484" s="3" t="s">
        <v>32500</v>
      </c>
      <c r="B16484" s="3" t="s">
        <v>13742</v>
      </c>
      <c r="C16484" s="5" t="s">
        <v>614</v>
      </c>
      <c r="D16484" s="3" t="s">
        <v>206</v>
      </c>
      <c r="E16484" s="3" t="s">
        <v>100</v>
      </c>
      <c r="F16484" s="7">
        <v>46065.44088405765</v>
      </c>
      <c r="G16484" s="3" t="s">
        <v>8822</v>
      </c>
    </row>
    <row r="16485">
      <c r="A16485" s="3" t="s">
        <v>32501</v>
      </c>
      <c r="B16485" s="3" t="s">
        <v>13742</v>
      </c>
      <c r="C16485" s="5" t="s">
        <v>206</v>
      </c>
      <c r="D16485" s="3" t="s">
        <v>68</v>
      </c>
      <c r="E16485" s="3" t="s">
        <v>100</v>
      </c>
      <c r="F16485" s="7">
        <v>46065.44435627987</v>
      </c>
      <c r="G16485" s="3" t="s">
        <v>8825</v>
      </c>
    </row>
    <row r="16486">
      <c r="A16486" s="3" t="s">
        <v>32502</v>
      </c>
      <c r="B16486" s="3" t="s">
        <v>13745</v>
      </c>
      <c r="C16486" s="5" t="s">
        <v>45</v>
      </c>
      <c r="D16486" s="3" t="s">
        <v>221</v>
      </c>
      <c r="E16486" s="3" t="s">
        <v>598</v>
      </c>
      <c r="F16486" s="7">
        <v>46065.505114458625</v>
      </c>
      <c r="G16486" s="3" t="s">
        <v>7009</v>
      </c>
    </row>
    <row r="16487">
      <c r="A16487" s="3" t="s">
        <v>32503</v>
      </c>
      <c r="B16487" s="3" t="s">
        <v>13745</v>
      </c>
      <c r="C16487" s="5" t="s">
        <v>221</v>
      </c>
      <c r="D16487" s="3" t="s">
        <v>181</v>
      </c>
      <c r="E16487" s="3" t="s">
        <v>118</v>
      </c>
      <c r="F16487" s="7">
        <v>46065.508586680844</v>
      </c>
      <c r="G16487" s="3" t="s">
        <v>32504</v>
      </c>
    </row>
    <row r="16488">
      <c r="A16488" s="3" t="s">
        <v>32505</v>
      </c>
      <c r="B16488" s="3" t="s">
        <v>13747</v>
      </c>
      <c r="C16488" s="5" t="s">
        <v>45</v>
      </c>
      <c r="D16488" s="3" t="s">
        <v>221</v>
      </c>
      <c r="E16488" s="3" t="s">
        <v>512</v>
      </c>
      <c r="F16488" s="7">
        <v>46065.57628930404</v>
      </c>
      <c r="G16488" s="3" t="s">
        <v>7174</v>
      </c>
    </row>
    <row r="16489">
      <c r="A16489" s="3" t="s">
        <v>32506</v>
      </c>
      <c r="B16489" s="3" t="s">
        <v>13747</v>
      </c>
      <c r="C16489" s="5" t="s">
        <v>221</v>
      </c>
      <c r="D16489" s="3" t="s">
        <v>614</v>
      </c>
      <c r="E16489" s="3" t="s">
        <v>118</v>
      </c>
      <c r="F16489" s="7">
        <v>46065.579761526256</v>
      </c>
      <c r="G16489" s="3" t="s">
        <v>7177</v>
      </c>
    </row>
    <row r="16490">
      <c r="A16490" s="3" t="s">
        <v>32507</v>
      </c>
      <c r="B16490" s="3" t="s">
        <v>13747</v>
      </c>
      <c r="C16490" s="5" t="s">
        <v>614</v>
      </c>
      <c r="D16490" s="3" t="s">
        <v>206</v>
      </c>
      <c r="E16490" s="3" t="s">
        <v>100</v>
      </c>
      <c r="F16490" s="7">
        <v>46065.58323374848</v>
      </c>
      <c r="G16490" s="3" t="s">
        <v>7180</v>
      </c>
    </row>
    <row r="16491">
      <c r="A16491" s="3" t="s">
        <v>32508</v>
      </c>
      <c r="B16491" s="3" t="s">
        <v>13747</v>
      </c>
      <c r="C16491" s="5" t="s">
        <v>206</v>
      </c>
      <c r="D16491" s="3" t="s">
        <v>68</v>
      </c>
      <c r="E16491" s="3" t="s">
        <v>100</v>
      </c>
      <c r="F16491" s="7">
        <v>46065.5867059707</v>
      </c>
      <c r="G16491" s="3" t="s">
        <v>7182</v>
      </c>
    </row>
    <row r="16492">
      <c r="A16492" s="3" t="s">
        <v>32509</v>
      </c>
      <c r="B16492" s="3" t="s">
        <v>13749</v>
      </c>
      <c r="C16492" s="5" t="s">
        <v>45</v>
      </c>
      <c r="D16492" s="3" t="s">
        <v>221</v>
      </c>
      <c r="E16492" s="3" t="s">
        <v>148</v>
      </c>
      <c r="F16492" s="7">
        <v>46065.64746414945</v>
      </c>
      <c r="G16492" s="3" t="s">
        <v>7214</v>
      </c>
    </row>
    <row r="16493">
      <c r="A16493" s="3" t="s">
        <v>32510</v>
      </c>
      <c r="B16493" s="3" t="s">
        <v>13749</v>
      </c>
      <c r="C16493" s="5" t="s">
        <v>221</v>
      </c>
      <c r="D16493" s="3" t="s">
        <v>614</v>
      </c>
      <c r="E16493" s="3" t="s">
        <v>118</v>
      </c>
      <c r="F16493" s="7">
        <v>46065.65093637167</v>
      </c>
      <c r="G16493" s="3" t="s">
        <v>7217</v>
      </c>
    </row>
    <row r="16494">
      <c r="A16494" s="3" t="s">
        <v>32511</v>
      </c>
      <c r="B16494" s="3" t="s">
        <v>13749</v>
      </c>
      <c r="C16494" s="5" t="s">
        <v>614</v>
      </c>
      <c r="D16494" s="3" t="s">
        <v>206</v>
      </c>
      <c r="E16494" s="3" t="s">
        <v>100</v>
      </c>
      <c r="F16494" s="7">
        <v>46065.654408593895</v>
      </c>
      <c r="G16494" s="3" t="s">
        <v>7220</v>
      </c>
    </row>
    <row r="16495">
      <c r="A16495" s="3" t="s">
        <v>32512</v>
      </c>
      <c r="B16495" s="3" t="s">
        <v>13749</v>
      </c>
      <c r="C16495" s="5" t="s">
        <v>206</v>
      </c>
      <c r="D16495" s="3" t="s">
        <v>68</v>
      </c>
      <c r="E16495" s="3" t="s">
        <v>100</v>
      </c>
      <c r="F16495" s="7">
        <v>46065.657880816114</v>
      </c>
      <c r="G16495" s="3" t="s">
        <v>7223</v>
      </c>
    </row>
    <row r="16496">
      <c r="A16496" s="3" t="s">
        <v>32513</v>
      </c>
      <c r="B16496" s="3" t="s">
        <v>13751</v>
      </c>
      <c r="C16496" s="5" t="s">
        <v>45</v>
      </c>
      <c r="D16496" s="3" t="s">
        <v>221</v>
      </c>
      <c r="E16496" s="3" t="s">
        <v>449</v>
      </c>
      <c r="F16496" s="7">
        <v>46065.71863899487</v>
      </c>
      <c r="G16496" s="3" t="s">
        <v>20719</v>
      </c>
    </row>
    <row r="16497">
      <c r="A16497" s="3" t="s">
        <v>32514</v>
      </c>
      <c r="B16497" s="3" t="s">
        <v>13751</v>
      </c>
      <c r="C16497" s="5" t="s">
        <v>221</v>
      </c>
      <c r="D16497" s="3" t="s">
        <v>614</v>
      </c>
      <c r="E16497" s="3" t="s">
        <v>118</v>
      </c>
      <c r="F16497" s="7">
        <v>46065.72211121709</v>
      </c>
      <c r="G16497" s="3" t="s">
        <v>32515</v>
      </c>
    </row>
    <row r="16498">
      <c r="A16498" s="3" t="s">
        <v>32516</v>
      </c>
      <c r="B16498" s="3" t="s">
        <v>13751</v>
      </c>
      <c r="C16498" s="5" t="s">
        <v>614</v>
      </c>
      <c r="D16498" s="3" t="s">
        <v>206</v>
      </c>
      <c r="E16498" s="3" t="s">
        <v>100</v>
      </c>
      <c r="F16498" s="7">
        <v>46065.725583439315</v>
      </c>
      <c r="G16498" s="3" t="s">
        <v>32517</v>
      </c>
    </row>
    <row r="16499">
      <c r="A16499" s="3" t="s">
        <v>32518</v>
      </c>
      <c r="B16499" s="3" t="s">
        <v>13751</v>
      </c>
      <c r="C16499" s="5" t="s">
        <v>206</v>
      </c>
      <c r="D16499" s="3" t="s">
        <v>68</v>
      </c>
      <c r="E16499" s="3" t="s">
        <v>100</v>
      </c>
      <c r="F16499" s="7">
        <v>46065.72905566153</v>
      </c>
      <c r="G16499" s="3" t="s">
        <v>32519</v>
      </c>
    </row>
    <row r="16500">
      <c r="A16500" s="3" t="s">
        <v>32520</v>
      </c>
      <c r="B16500" s="3" t="s">
        <v>13753</v>
      </c>
      <c r="C16500" s="5" t="s">
        <v>45</v>
      </c>
      <c r="D16500" s="3" t="s">
        <v>221</v>
      </c>
      <c r="E16500" s="3" t="s">
        <v>521</v>
      </c>
      <c r="F16500" s="7">
        <v>46065.78981384028</v>
      </c>
      <c r="G16500" s="3" t="s">
        <v>11464</v>
      </c>
    </row>
    <row r="16501">
      <c r="A16501" s="3" t="s">
        <v>32521</v>
      </c>
      <c r="B16501" s="3" t="s">
        <v>13753</v>
      </c>
      <c r="C16501" s="5" t="s">
        <v>221</v>
      </c>
      <c r="D16501" s="3" t="s">
        <v>614</v>
      </c>
      <c r="E16501" s="3" t="s">
        <v>118</v>
      </c>
      <c r="F16501" s="7">
        <v>46065.7932860625</v>
      </c>
      <c r="G16501" s="3" t="s">
        <v>11467</v>
      </c>
    </row>
    <row r="16502">
      <c r="A16502" s="3" t="s">
        <v>32522</v>
      </c>
      <c r="B16502" s="3" t="s">
        <v>13753</v>
      </c>
      <c r="C16502" s="5" t="s">
        <v>614</v>
      </c>
      <c r="D16502" s="3" t="s">
        <v>206</v>
      </c>
      <c r="E16502" s="3" t="s">
        <v>100</v>
      </c>
      <c r="F16502" s="7">
        <v>46065.79675828473</v>
      </c>
      <c r="G16502" s="3" t="s">
        <v>11470</v>
      </c>
    </row>
    <row r="16503">
      <c r="A16503" s="3" t="s">
        <v>32523</v>
      </c>
      <c r="B16503" s="3" t="s">
        <v>13753</v>
      </c>
      <c r="C16503" s="5" t="s">
        <v>206</v>
      </c>
      <c r="D16503" s="3" t="s">
        <v>68</v>
      </c>
      <c r="E16503" s="3" t="s">
        <v>100</v>
      </c>
      <c r="F16503" s="7">
        <v>46065.800230506946</v>
      </c>
      <c r="G16503" s="3" t="s">
        <v>11473</v>
      </c>
    </row>
    <row r="16504">
      <c r="A16504" s="3" t="s">
        <v>32524</v>
      </c>
      <c r="B16504" s="3" t="s">
        <v>13754</v>
      </c>
      <c r="C16504" s="5" t="s">
        <v>45</v>
      </c>
      <c r="D16504" s="3" t="s">
        <v>221</v>
      </c>
      <c r="E16504" s="3" t="s">
        <v>657</v>
      </c>
      <c r="F16504" s="7">
        <v>46065.860988685694</v>
      </c>
      <c r="G16504" s="3" t="s">
        <v>14516</v>
      </c>
    </row>
    <row r="16505">
      <c r="A16505" s="3" t="s">
        <v>32525</v>
      </c>
      <c r="B16505" s="3" t="s">
        <v>13754</v>
      </c>
      <c r="C16505" s="5" t="s">
        <v>221</v>
      </c>
      <c r="D16505" s="3" t="s">
        <v>614</v>
      </c>
      <c r="E16505" s="3" t="s">
        <v>118</v>
      </c>
      <c r="F16505" s="7">
        <v>46065.86446090791</v>
      </c>
      <c r="G16505" s="3" t="s">
        <v>14518</v>
      </c>
    </row>
    <row r="16506">
      <c r="A16506" s="3" t="s">
        <v>32526</v>
      </c>
      <c r="B16506" s="3" t="s">
        <v>13754</v>
      </c>
      <c r="C16506" s="5" t="s">
        <v>614</v>
      </c>
      <c r="D16506" s="3" t="s">
        <v>206</v>
      </c>
      <c r="E16506" s="3" t="s">
        <v>100</v>
      </c>
      <c r="F16506" s="7">
        <v>46065.86793313014</v>
      </c>
      <c r="G16506" s="3" t="s">
        <v>14521</v>
      </c>
    </row>
    <row r="16507">
      <c r="A16507" s="3" t="s">
        <v>32527</v>
      </c>
      <c r="B16507" s="3" t="s">
        <v>13754</v>
      </c>
      <c r="C16507" s="5" t="s">
        <v>206</v>
      </c>
      <c r="D16507" s="3" t="s">
        <v>68</v>
      </c>
      <c r="E16507" s="3" t="s">
        <v>100</v>
      </c>
      <c r="F16507" s="7">
        <v>46065.87140535236</v>
      </c>
      <c r="G16507" s="3" t="s">
        <v>14524</v>
      </c>
    </row>
    <row r="16508">
      <c r="A16508" s="3" t="s">
        <v>32528</v>
      </c>
      <c r="B16508" s="3" t="s">
        <v>13756</v>
      </c>
      <c r="C16508" s="5" t="s">
        <v>45</v>
      </c>
      <c r="D16508" s="3" t="s">
        <v>221</v>
      </c>
      <c r="E16508" s="3" t="s">
        <v>189</v>
      </c>
      <c r="F16508" s="7">
        <v>46065.93216353111</v>
      </c>
      <c r="G16508" s="3" t="s">
        <v>5950</v>
      </c>
    </row>
    <row r="16509">
      <c r="A16509" s="3" t="s">
        <v>32529</v>
      </c>
      <c r="B16509" s="3" t="s">
        <v>13756</v>
      </c>
      <c r="C16509" s="5" t="s">
        <v>221</v>
      </c>
      <c r="D16509" s="3" t="s">
        <v>614</v>
      </c>
      <c r="E16509" s="3" t="s">
        <v>118</v>
      </c>
      <c r="F16509" s="7">
        <v>46065.93563575333</v>
      </c>
      <c r="G16509" s="3" t="s">
        <v>5953</v>
      </c>
    </row>
    <row r="16510">
      <c r="A16510" s="3" t="s">
        <v>32530</v>
      </c>
      <c r="B16510" s="3" t="s">
        <v>13756</v>
      </c>
      <c r="C16510" s="5" t="s">
        <v>614</v>
      </c>
      <c r="D16510" s="3" t="s">
        <v>206</v>
      </c>
      <c r="E16510" s="3" t="s">
        <v>100</v>
      </c>
      <c r="F16510" s="7">
        <v>46065.93910797556</v>
      </c>
      <c r="G16510" s="3" t="s">
        <v>5956</v>
      </c>
    </row>
    <row r="16511">
      <c r="A16511" s="3" t="s">
        <v>32531</v>
      </c>
      <c r="B16511" s="3" t="s">
        <v>13756</v>
      </c>
      <c r="C16511" s="5" t="s">
        <v>206</v>
      </c>
      <c r="D16511" s="3" t="s">
        <v>68</v>
      </c>
      <c r="E16511" s="3" t="s">
        <v>100</v>
      </c>
      <c r="F16511" s="7">
        <v>46065.94258019778</v>
      </c>
      <c r="G16511" s="3" t="s">
        <v>5958</v>
      </c>
    </row>
    <row r="16512">
      <c r="A16512" s="3" t="s">
        <v>32532</v>
      </c>
      <c r="B16512" s="3" t="s">
        <v>13758</v>
      </c>
      <c r="C16512" s="5" t="s">
        <v>45</v>
      </c>
      <c r="D16512" s="3" t="s">
        <v>221</v>
      </c>
      <c r="E16512" s="3" t="s">
        <v>290</v>
      </c>
      <c r="F16512" s="7">
        <v>46066.003338376526</v>
      </c>
      <c r="G16512" s="3" t="s">
        <v>16766</v>
      </c>
    </row>
    <row r="16513">
      <c r="A16513" s="3" t="s">
        <v>32533</v>
      </c>
      <c r="B16513" s="3" t="s">
        <v>13758</v>
      </c>
      <c r="C16513" s="5" t="s">
        <v>221</v>
      </c>
      <c r="D16513" s="3" t="s">
        <v>181</v>
      </c>
      <c r="E16513" s="3" t="s">
        <v>118</v>
      </c>
      <c r="F16513" s="7">
        <v>46066.006810598745</v>
      </c>
      <c r="G16513" s="3" t="s">
        <v>32534</v>
      </c>
    </row>
    <row r="16514">
      <c r="A16514" s="3" t="s">
        <v>32535</v>
      </c>
      <c r="B16514" s="3" t="s">
        <v>13760</v>
      </c>
      <c r="C16514" s="5" t="s">
        <v>45</v>
      </c>
      <c r="D16514" s="3" t="s">
        <v>221</v>
      </c>
      <c r="E16514" s="3" t="s">
        <v>455</v>
      </c>
      <c r="F16514" s="7">
        <v>46066.07451322194</v>
      </c>
      <c r="G16514" s="3" t="s">
        <v>7226</v>
      </c>
    </row>
    <row r="16515">
      <c r="A16515" s="3" t="s">
        <v>32536</v>
      </c>
      <c r="B16515" s="3" t="s">
        <v>13760</v>
      </c>
      <c r="C16515" s="5" t="s">
        <v>221</v>
      </c>
      <c r="D16515" s="3" t="s">
        <v>614</v>
      </c>
      <c r="E16515" s="3" t="s">
        <v>118</v>
      </c>
      <c r="F16515" s="7">
        <v>46066.07798544416</v>
      </c>
      <c r="G16515" s="3" t="s">
        <v>7229</v>
      </c>
    </row>
    <row r="16516">
      <c r="A16516" s="3" t="s">
        <v>32537</v>
      </c>
      <c r="B16516" s="3" t="s">
        <v>13760</v>
      </c>
      <c r="C16516" s="5" t="s">
        <v>614</v>
      </c>
      <c r="D16516" s="3" t="s">
        <v>206</v>
      </c>
      <c r="E16516" s="3" t="s">
        <v>100</v>
      </c>
      <c r="F16516" s="7">
        <v>46066.08145766638</v>
      </c>
      <c r="G16516" s="3" t="s">
        <v>7232</v>
      </c>
    </row>
    <row r="16517">
      <c r="A16517" s="3" t="s">
        <v>32538</v>
      </c>
      <c r="B16517" s="3" t="s">
        <v>13760</v>
      </c>
      <c r="C16517" s="5" t="s">
        <v>206</v>
      </c>
      <c r="D16517" s="3" t="s">
        <v>68</v>
      </c>
      <c r="E16517" s="3" t="s">
        <v>100</v>
      </c>
      <c r="F16517" s="7">
        <v>46066.0849298886</v>
      </c>
      <c r="G16517" s="3" t="s">
        <v>7235</v>
      </c>
    </row>
    <row r="16518">
      <c r="A16518" s="3" t="s">
        <v>32539</v>
      </c>
      <c r="B16518" s="3" t="s">
        <v>13761</v>
      </c>
      <c r="C16518" s="5" t="s">
        <v>45</v>
      </c>
      <c r="D16518" s="3" t="s">
        <v>221</v>
      </c>
      <c r="E16518" s="3" t="s">
        <v>826</v>
      </c>
      <c r="F16518" s="7">
        <v>46066.14568806736</v>
      </c>
      <c r="G16518" s="3" t="s">
        <v>4823</v>
      </c>
    </row>
    <row r="16519">
      <c r="A16519" s="3" t="s">
        <v>32540</v>
      </c>
      <c r="B16519" s="3" t="s">
        <v>13761</v>
      </c>
      <c r="C16519" s="5" t="s">
        <v>221</v>
      </c>
      <c r="D16519" s="3" t="s">
        <v>614</v>
      </c>
      <c r="E16519" s="3" t="s">
        <v>118</v>
      </c>
      <c r="F16519" s="7">
        <v>46066.14916028958</v>
      </c>
      <c r="G16519" s="3" t="s">
        <v>4826</v>
      </c>
    </row>
    <row r="16520">
      <c r="A16520" s="3" t="s">
        <v>32541</v>
      </c>
      <c r="B16520" s="3" t="s">
        <v>13761</v>
      </c>
      <c r="C16520" s="5" t="s">
        <v>614</v>
      </c>
      <c r="D16520" s="3" t="s">
        <v>206</v>
      </c>
      <c r="E16520" s="3" t="s">
        <v>100</v>
      </c>
      <c r="F16520" s="7">
        <v>46066.1526325118</v>
      </c>
      <c r="G16520" s="3" t="s">
        <v>4829</v>
      </c>
    </row>
    <row r="16521">
      <c r="A16521" s="3" t="s">
        <v>32542</v>
      </c>
      <c r="B16521" s="3" t="s">
        <v>13761</v>
      </c>
      <c r="C16521" s="5" t="s">
        <v>206</v>
      </c>
      <c r="D16521" s="3" t="s">
        <v>68</v>
      </c>
      <c r="E16521" s="3" t="s">
        <v>100</v>
      </c>
      <c r="F16521" s="7">
        <v>46066.15610473402</v>
      </c>
      <c r="G16521" s="3" t="s">
        <v>4832</v>
      </c>
    </row>
    <row r="16522">
      <c r="A16522" s="3" t="s">
        <v>32543</v>
      </c>
      <c r="B16522" s="3" t="s">
        <v>13763</v>
      </c>
      <c r="C16522" s="5" t="s">
        <v>45</v>
      </c>
      <c r="D16522" s="3" t="s">
        <v>221</v>
      </c>
      <c r="E16522" s="3" t="s">
        <v>937</v>
      </c>
      <c r="F16522" s="7">
        <v>46066.21686291278</v>
      </c>
      <c r="G16522" s="3" t="s">
        <v>7261</v>
      </c>
    </row>
    <row r="16523">
      <c r="A16523" s="3" t="s">
        <v>32544</v>
      </c>
      <c r="B16523" s="3" t="s">
        <v>13763</v>
      </c>
      <c r="C16523" s="5" t="s">
        <v>221</v>
      </c>
      <c r="D16523" s="3" t="s">
        <v>614</v>
      </c>
      <c r="E16523" s="3" t="s">
        <v>118</v>
      </c>
      <c r="F16523" s="7">
        <v>46066.220335134996</v>
      </c>
      <c r="G16523" s="3" t="s">
        <v>7264</v>
      </c>
    </row>
    <row r="16524">
      <c r="A16524" s="3" t="s">
        <v>32545</v>
      </c>
      <c r="B16524" s="3" t="s">
        <v>13763</v>
      </c>
      <c r="C16524" s="5" t="s">
        <v>614</v>
      </c>
      <c r="D16524" s="3" t="s">
        <v>206</v>
      </c>
      <c r="E16524" s="3" t="s">
        <v>100</v>
      </c>
      <c r="F16524" s="7">
        <v>46066.22380735722</v>
      </c>
      <c r="G16524" s="3" t="s">
        <v>7266</v>
      </c>
    </row>
    <row r="16525">
      <c r="A16525" s="3" t="s">
        <v>32546</v>
      </c>
      <c r="B16525" s="3" t="s">
        <v>13763</v>
      </c>
      <c r="C16525" s="5" t="s">
        <v>206</v>
      </c>
      <c r="D16525" s="3" t="s">
        <v>68</v>
      </c>
      <c r="E16525" s="3" t="s">
        <v>100</v>
      </c>
      <c r="F16525" s="7">
        <v>46066.22727957944</v>
      </c>
      <c r="G16525" s="3" t="s">
        <v>7269</v>
      </c>
    </row>
    <row r="16526">
      <c r="A16526" s="3" t="s">
        <v>32547</v>
      </c>
      <c r="B16526" s="3" t="s">
        <v>13766</v>
      </c>
      <c r="C16526" s="5" t="s">
        <v>45</v>
      </c>
      <c r="D16526" s="3" t="s">
        <v>221</v>
      </c>
      <c r="E16526" s="3" t="s">
        <v>574</v>
      </c>
      <c r="F16526" s="7">
        <v>46066.28803775818</v>
      </c>
      <c r="G16526" s="3" t="s">
        <v>20811</v>
      </c>
    </row>
    <row r="16527">
      <c r="A16527" s="3" t="s">
        <v>32548</v>
      </c>
      <c r="B16527" s="3" t="s">
        <v>13766</v>
      </c>
      <c r="C16527" s="5" t="s">
        <v>221</v>
      </c>
      <c r="D16527" s="3" t="s">
        <v>181</v>
      </c>
      <c r="E16527" s="3" t="s">
        <v>118</v>
      </c>
      <c r="F16527" s="7">
        <v>46066.2915099804</v>
      </c>
      <c r="G16527" s="3" t="s">
        <v>32549</v>
      </c>
    </row>
    <row r="16528">
      <c r="A16528" s="3" t="s">
        <v>32550</v>
      </c>
      <c r="B16528" s="3" t="s">
        <v>13770</v>
      </c>
      <c r="C16528" s="5" t="s">
        <v>45</v>
      </c>
      <c r="D16528" s="3" t="s">
        <v>221</v>
      </c>
      <c r="E16528" s="3" t="s">
        <v>449</v>
      </c>
      <c r="F16528" s="7">
        <v>46066.3592126036</v>
      </c>
      <c r="G16528" s="3" t="s">
        <v>20719</v>
      </c>
    </row>
    <row r="16529">
      <c r="A16529" s="3" t="s">
        <v>32551</v>
      </c>
      <c r="B16529" s="3" t="s">
        <v>13770</v>
      </c>
      <c r="C16529" s="5" t="s">
        <v>221</v>
      </c>
      <c r="D16529" s="3" t="s">
        <v>614</v>
      </c>
      <c r="E16529" s="3" t="s">
        <v>118</v>
      </c>
      <c r="F16529" s="7">
        <v>46066.36268482582</v>
      </c>
      <c r="G16529" s="3" t="s">
        <v>32515</v>
      </c>
    </row>
    <row r="16530">
      <c r="A16530" s="3" t="s">
        <v>32552</v>
      </c>
      <c r="B16530" s="3" t="s">
        <v>13770</v>
      </c>
      <c r="C16530" s="5" t="s">
        <v>614</v>
      </c>
      <c r="D16530" s="3" t="s">
        <v>206</v>
      </c>
      <c r="E16530" s="3" t="s">
        <v>100</v>
      </c>
      <c r="F16530" s="7">
        <v>46066.36615704805</v>
      </c>
      <c r="G16530" s="3" t="s">
        <v>32517</v>
      </c>
    </row>
    <row r="16531">
      <c r="A16531" s="3" t="s">
        <v>32553</v>
      </c>
      <c r="B16531" s="3" t="s">
        <v>13770</v>
      </c>
      <c r="C16531" s="5" t="s">
        <v>206</v>
      </c>
      <c r="D16531" s="3" t="s">
        <v>68</v>
      </c>
      <c r="E16531" s="3" t="s">
        <v>100</v>
      </c>
      <c r="F16531" s="7">
        <v>46066.369629270266</v>
      </c>
      <c r="G16531" s="3" t="s">
        <v>32519</v>
      </c>
    </row>
    <row r="16532">
      <c r="A16532" s="3" t="s">
        <v>32554</v>
      </c>
      <c r="B16532" s="3" t="s">
        <v>13774</v>
      </c>
      <c r="C16532" s="5" t="s">
        <v>45</v>
      </c>
      <c r="D16532" s="3" t="s">
        <v>221</v>
      </c>
      <c r="E16532" s="3" t="s">
        <v>530</v>
      </c>
      <c r="F16532" s="7">
        <v>46066.43038744902</v>
      </c>
      <c r="G16532" s="3" t="s">
        <v>17058</v>
      </c>
    </row>
    <row r="16533">
      <c r="A16533" s="3" t="s">
        <v>32555</v>
      </c>
      <c r="B16533" s="3" t="s">
        <v>13774</v>
      </c>
      <c r="C16533" s="5" t="s">
        <v>221</v>
      </c>
      <c r="D16533" s="3" t="s">
        <v>614</v>
      </c>
      <c r="E16533" s="3" t="s">
        <v>118</v>
      </c>
      <c r="F16533" s="7">
        <v>46066.43385967124</v>
      </c>
      <c r="G16533" s="3" t="s">
        <v>17061</v>
      </c>
    </row>
    <row r="16534">
      <c r="A16534" s="3" t="s">
        <v>32556</v>
      </c>
      <c r="B16534" s="3" t="s">
        <v>13774</v>
      </c>
      <c r="C16534" s="5" t="s">
        <v>614</v>
      </c>
      <c r="D16534" s="3" t="s">
        <v>206</v>
      </c>
      <c r="E16534" s="3" t="s">
        <v>100</v>
      </c>
      <c r="F16534" s="7">
        <v>46066.43733189347</v>
      </c>
      <c r="G16534" s="3" t="s">
        <v>17064</v>
      </c>
    </row>
    <row r="16535">
      <c r="A16535" s="3" t="s">
        <v>32557</v>
      </c>
      <c r="B16535" s="3" t="s">
        <v>13774</v>
      </c>
      <c r="C16535" s="5" t="s">
        <v>206</v>
      </c>
      <c r="D16535" s="3" t="s">
        <v>68</v>
      </c>
      <c r="E16535" s="3" t="s">
        <v>100</v>
      </c>
      <c r="F16535" s="7">
        <v>46066.440804115686</v>
      </c>
      <c r="G16535" s="3" t="s">
        <v>17067</v>
      </c>
    </row>
    <row r="16536">
      <c r="A16536" s="3" t="s">
        <v>32558</v>
      </c>
      <c r="B16536" s="3" t="s">
        <v>13777</v>
      </c>
      <c r="C16536" s="5" t="s">
        <v>45</v>
      </c>
      <c r="D16536" s="3" t="s">
        <v>221</v>
      </c>
      <c r="E16536" s="3" t="s">
        <v>652</v>
      </c>
      <c r="F16536" s="7">
        <v>46066.501562294434</v>
      </c>
      <c r="G16536" s="3" t="s">
        <v>5685</v>
      </c>
    </row>
    <row r="16537">
      <c r="A16537" s="3" t="s">
        <v>32559</v>
      </c>
      <c r="B16537" s="3" t="s">
        <v>13777</v>
      </c>
      <c r="C16537" s="5" t="s">
        <v>221</v>
      </c>
      <c r="D16537" s="3" t="s">
        <v>614</v>
      </c>
      <c r="E16537" s="3" t="s">
        <v>118</v>
      </c>
      <c r="F16537" s="7">
        <v>46066.50503451665</v>
      </c>
      <c r="G16537" s="3" t="s">
        <v>5687</v>
      </c>
    </row>
    <row r="16538">
      <c r="A16538" s="3" t="s">
        <v>32560</v>
      </c>
      <c r="B16538" s="3" t="s">
        <v>13777</v>
      </c>
      <c r="C16538" s="5" t="s">
        <v>614</v>
      </c>
      <c r="D16538" s="3" t="s">
        <v>206</v>
      </c>
      <c r="E16538" s="3" t="s">
        <v>100</v>
      </c>
      <c r="F16538" s="7">
        <v>46066.50850673888</v>
      </c>
      <c r="G16538" s="3" t="s">
        <v>5690</v>
      </c>
    </row>
    <row r="16539">
      <c r="A16539" s="3" t="s">
        <v>32561</v>
      </c>
      <c r="B16539" s="3" t="s">
        <v>13777</v>
      </c>
      <c r="C16539" s="5" t="s">
        <v>206</v>
      </c>
      <c r="D16539" s="3" t="s">
        <v>68</v>
      </c>
      <c r="E16539" s="3" t="s">
        <v>100</v>
      </c>
      <c r="F16539" s="7">
        <v>46066.5119789611</v>
      </c>
      <c r="G16539" s="3" t="s">
        <v>5693</v>
      </c>
    </row>
    <row r="16540">
      <c r="A16540" s="3" t="s">
        <v>32562</v>
      </c>
      <c r="B16540" s="3" t="s">
        <v>13780</v>
      </c>
      <c r="C16540" s="5" t="s">
        <v>45</v>
      </c>
      <c r="D16540" s="3" t="s">
        <v>221</v>
      </c>
      <c r="E16540" s="3" t="s">
        <v>758</v>
      </c>
      <c r="F16540" s="7">
        <v>46066.572737139846</v>
      </c>
      <c r="G16540" s="3" t="s">
        <v>16933</v>
      </c>
    </row>
    <row r="16541">
      <c r="A16541" s="3" t="s">
        <v>32563</v>
      </c>
      <c r="B16541" s="3" t="s">
        <v>13780</v>
      </c>
      <c r="C16541" s="5" t="s">
        <v>221</v>
      </c>
      <c r="D16541" s="3" t="s">
        <v>614</v>
      </c>
      <c r="E16541" s="3" t="s">
        <v>118</v>
      </c>
      <c r="F16541" s="7">
        <v>46066.576209362065</v>
      </c>
      <c r="G16541" s="3" t="s">
        <v>16935</v>
      </c>
    </row>
    <row r="16542">
      <c r="A16542" s="3" t="s">
        <v>32564</v>
      </c>
      <c r="B16542" s="3" t="s">
        <v>13780</v>
      </c>
      <c r="C16542" s="5" t="s">
        <v>614</v>
      </c>
      <c r="D16542" s="3" t="s">
        <v>206</v>
      </c>
      <c r="E16542" s="3" t="s">
        <v>100</v>
      </c>
      <c r="F16542" s="7">
        <v>46066.57968158429</v>
      </c>
      <c r="G16542" s="3" t="s">
        <v>16938</v>
      </c>
    </row>
    <row r="16543">
      <c r="A16543" s="3" t="s">
        <v>32565</v>
      </c>
      <c r="B16543" s="3" t="s">
        <v>13780</v>
      </c>
      <c r="C16543" s="5" t="s">
        <v>206</v>
      </c>
      <c r="D16543" s="3" t="s">
        <v>68</v>
      </c>
      <c r="E16543" s="3" t="s">
        <v>100</v>
      </c>
      <c r="F16543" s="7">
        <v>46066.58315380651</v>
      </c>
      <c r="G16543" s="3" t="s">
        <v>16941</v>
      </c>
    </row>
    <row r="16544">
      <c r="A16544" s="3" t="s">
        <v>32566</v>
      </c>
      <c r="B16544" s="3" t="s">
        <v>13785</v>
      </c>
      <c r="C16544" s="5" t="s">
        <v>45</v>
      </c>
      <c r="D16544" s="3" t="s">
        <v>221</v>
      </c>
      <c r="E16544" s="3" t="s">
        <v>713</v>
      </c>
      <c r="F16544" s="7">
        <v>46066.643911985266</v>
      </c>
      <c r="G16544" s="3" t="s">
        <v>9343</v>
      </c>
    </row>
    <row r="16545">
      <c r="A16545" s="3" t="s">
        <v>32567</v>
      </c>
      <c r="B16545" s="3" t="s">
        <v>13785</v>
      </c>
      <c r="C16545" s="5" t="s">
        <v>221</v>
      </c>
      <c r="D16545" s="3" t="s">
        <v>614</v>
      </c>
      <c r="E16545" s="3" t="s">
        <v>118</v>
      </c>
      <c r="F16545" s="7">
        <v>46066.647384207485</v>
      </c>
      <c r="G16545" s="3" t="s">
        <v>9346</v>
      </c>
    </row>
    <row r="16546">
      <c r="A16546" s="3" t="s">
        <v>32568</v>
      </c>
      <c r="B16546" s="3" t="s">
        <v>13785</v>
      </c>
      <c r="C16546" s="5" t="s">
        <v>614</v>
      </c>
      <c r="D16546" s="3" t="s">
        <v>206</v>
      </c>
      <c r="E16546" s="3" t="s">
        <v>100</v>
      </c>
      <c r="F16546" s="7">
        <v>46066.65085642971</v>
      </c>
      <c r="G16546" s="3" t="s">
        <v>9349</v>
      </c>
    </row>
    <row r="16547">
      <c r="A16547" s="3" t="s">
        <v>32569</v>
      </c>
      <c r="B16547" s="3" t="s">
        <v>13785</v>
      </c>
      <c r="C16547" s="5" t="s">
        <v>206</v>
      </c>
      <c r="D16547" s="3" t="s">
        <v>68</v>
      </c>
      <c r="E16547" s="3" t="s">
        <v>100</v>
      </c>
      <c r="F16547" s="7">
        <v>46066.65432865193</v>
      </c>
      <c r="G16547" s="3" t="s">
        <v>9352</v>
      </c>
    </row>
    <row r="16548">
      <c r="A16548" s="3" t="s">
        <v>32570</v>
      </c>
      <c r="B16548" s="3" t="s">
        <v>13788</v>
      </c>
      <c r="C16548" s="5" t="s">
        <v>45</v>
      </c>
      <c r="D16548" s="3" t="s">
        <v>221</v>
      </c>
      <c r="E16548" s="3" t="s">
        <v>631</v>
      </c>
      <c r="F16548" s="7">
        <v>46066.71508683068</v>
      </c>
      <c r="G16548" s="3" t="s">
        <v>7249</v>
      </c>
    </row>
    <row r="16549">
      <c r="A16549" s="3" t="s">
        <v>32571</v>
      </c>
      <c r="B16549" s="3" t="s">
        <v>13788</v>
      </c>
      <c r="C16549" s="5" t="s">
        <v>221</v>
      </c>
      <c r="D16549" s="3" t="s">
        <v>614</v>
      </c>
      <c r="E16549" s="3" t="s">
        <v>118</v>
      </c>
      <c r="F16549" s="7">
        <v>46066.7185590529</v>
      </c>
      <c r="G16549" s="3" t="s">
        <v>7252</v>
      </c>
    </row>
    <row r="16550">
      <c r="A16550" s="3" t="s">
        <v>32572</v>
      </c>
      <c r="B16550" s="3" t="s">
        <v>13788</v>
      </c>
      <c r="C16550" s="5" t="s">
        <v>614</v>
      </c>
      <c r="D16550" s="3" t="s">
        <v>206</v>
      </c>
      <c r="E16550" s="3" t="s">
        <v>100</v>
      </c>
      <c r="F16550" s="7">
        <v>46066.72203127512</v>
      </c>
      <c r="G16550" s="3" t="s">
        <v>7255</v>
      </c>
    </row>
    <row r="16551">
      <c r="A16551" s="3" t="s">
        <v>32573</v>
      </c>
      <c r="B16551" s="3" t="s">
        <v>13788</v>
      </c>
      <c r="C16551" s="5" t="s">
        <v>206</v>
      </c>
      <c r="D16551" s="3" t="s">
        <v>68</v>
      </c>
      <c r="E16551" s="3" t="s">
        <v>100</v>
      </c>
      <c r="F16551" s="7">
        <v>46066.72550349734</v>
      </c>
      <c r="G16551" s="3" t="s">
        <v>7258</v>
      </c>
    </row>
    <row r="16552">
      <c r="A16552" s="3" t="s">
        <v>32574</v>
      </c>
      <c r="B16552" s="3" t="s">
        <v>13791</v>
      </c>
      <c r="C16552" s="5" t="s">
        <v>45</v>
      </c>
      <c r="D16552" s="3" t="s">
        <v>221</v>
      </c>
      <c r="E16552" s="3" t="s">
        <v>627</v>
      </c>
      <c r="F16552" s="7">
        <v>46066.78626167609</v>
      </c>
      <c r="G16552" s="3" t="s">
        <v>32575</v>
      </c>
    </row>
    <row r="16553">
      <c r="A16553" s="3" t="s">
        <v>32576</v>
      </c>
      <c r="B16553" s="3" t="s">
        <v>13791</v>
      </c>
      <c r="C16553" s="5" t="s">
        <v>221</v>
      </c>
      <c r="D16553" s="3" t="s">
        <v>614</v>
      </c>
      <c r="E16553" s="3" t="s">
        <v>118</v>
      </c>
      <c r="F16553" s="7">
        <v>46066.78973389831</v>
      </c>
      <c r="G16553" s="3" t="s">
        <v>32577</v>
      </c>
    </row>
    <row r="16554">
      <c r="A16554" s="3" t="s">
        <v>32578</v>
      </c>
      <c r="B16554" s="3" t="s">
        <v>13791</v>
      </c>
      <c r="C16554" s="5" t="s">
        <v>614</v>
      </c>
      <c r="D16554" s="3" t="s">
        <v>206</v>
      </c>
      <c r="E16554" s="3" t="s">
        <v>100</v>
      </c>
      <c r="F16554" s="7">
        <v>46066.793206120536</v>
      </c>
      <c r="G16554" s="3" t="s">
        <v>32579</v>
      </c>
    </row>
    <row r="16555">
      <c r="A16555" s="3" t="s">
        <v>32580</v>
      </c>
      <c r="B16555" s="3" t="s">
        <v>13791</v>
      </c>
      <c r="C16555" s="5" t="s">
        <v>206</v>
      </c>
      <c r="D16555" s="3" t="s">
        <v>68</v>
      </c>
      <c r="E16555" s="3" t="s">
        <v>100</v>
      </c>
      <c r="F16555" s="7">
        <v>46066.796678342755</v>
      </c>
      <c r="G16555" s="3" t="s">
        <v>32581</v>
      </c>
    </row>
    <row r="16556">
      <c r="A16556" s="3" t="s">
        <v>32582</v>
      </c>
      <c r="B16556" s="3" t="s">
        <v>13796</v>
      </c>
      <c r="C16556" s="5" t="s">
        <v>45</v>
      </c>
      <c r="D16556" s="3" t="s">
        <v>221</v>
      </c>
      <c r="E16556" s="3" t="s">
        <v>197</v>
      </c>
      <c r="F16556" s="7">
        <v>46066.85743652151</v>
      </c>
      <c r="G16556" s="3" t="s">
        <v>20510</v>
      </c>
    </row>
    <row r="16557">
      <c r="A16557" s="3" t="s">
        <v>32583</v>
      </c>
      <c r="B16557" s="3" t="s">
        <v>13796</v>
      </c>
      <c r="C16557" s="5" t="s">
        <v>221</v>
      </c>
      <c r="D16557" s="3" t="s">
        <v>614</v>
      </c>
      <c r="E16557" s="3" t="s">
        <v>118</v>
      </c>
      <c r="F16557" s="7">
        <v>46066.86090874373</v>
      </c>
      <c r="G16557" s="3" t="s">
        <v>20513</v>
      </c>
    </row>
    <row r="16558">
      <c r="A16558" s="3" t="s">
        <v>32584</v>
      </c>
      <c r="B16558" s="3" t="s">
        <v>13796</v>
      </c>
      <c r="C16558" s="5" t="s">
        <v>614</v>
      </c>
      <c r="D16558" s="3" t="s">
        <v>206</v>
      </c>
      <c r="E16558" s="3" t="s">
        <v>100</v>
      </c>
      <c r="F16558" s="7">
        <v>46066.864380965955</v>
      </c>
      <c r="G16558" s="3" t="s">
        <v>20516</v>
      </c>
    </row>
    <row r="16559">
      <c r="A16559" s="3" t="s">
        <v>32585</v>
      </c>
      <c r="B16559" s="3" t="s">
        <v>13796</v>
      </c>
      <c r="C16559" s="5" t="s">
        <v>206</v>
      </c>
      <c r="D16559" s="3" t="s">
        <v>68</v>
      </c>
      <c r="E16559" s="3" t="s">
        <v>100</v>
      </c>
      <c r="F16559" s="7">
        <v>46066.867853188174</v>
      </c>
      <c r="G16559" s="3" t="s">
        <v>20519</v>
      </c>
    </row>
    <row r="16560">
      <c r="A16560" s="3" t="s">
        <v>32586</v>
      </c>
      <c r="B16560" s="3" t="s">
        <v>13798</v>
      </c>
      <c r="C16560" s="5" t="s">
        <v>45</v>
      </c>
      <c r="D16560" s="3" t="s">
        <v>221</v>
      </c>
      <c r="E16560" s="3" t="s">
        <v>734</v>
      </c>
      <c r="F16560" s="7">
        <v>46066.92861136692</v>
      </c>
      <c r="G16560" s="3" t="s">
        <v>23999</v>
      </c>
    </row>
    <row r="16561">
      <c r="A16561" s="3" t="s">
        <v>32587</v>
      </c>
      <c r="B16561" s="3" t="s">
        <v>13798</v>
      </c>
      <c r="C16561" s="5" t="s">
        <v>221</v>
      </c>
      <c r="D16561" s="3" t="s">
        <v>614</v>
      </c>
      <c r="E16561" s="3" t="s">
        <v>118</v>
      </c>
      <c r="F16561" s="7">
        <v>46066.93208358914</v>
      </c>
      <c r="G16561" s="3" t="s">
        <v>24001</v>
      </c>
    </row>
    <row r="16562">
      <c r="A16562" s="3" t="s">
        <v>32588</v>
      </c>
      <c r="B16562" s="3" t="s">
        <v>13798</v>
      </c>
      <c r="C16562" s="5" t="s">
        <v>614</v>
      </c>
      <c r="D16562" s="3" t="s">
        <v>206</v>
      </c>
      <c r="E16562" s="3" t="s">
        <v>100</v>
      </c>
      <c r="F16562" s="7">
        <v>46066.93555581137</v>
      </c>
      <c r="G16562" s="3" t="s">
        <v>24003</v>
      </c>
    </row>
    <row r="16563">
      <c r="A16563" s="3" t="s">
        <v>32589</v>
      </c>
      <c r="B16563" s="3" t="s">
        <v>13798</v>
      </c>
      <c r="C16563" s="5" t="s">
        <v>206</v>
      </c>
      <c r="D16563" s="3" t="s">
        <v>68</v>
      </c>
      <c r="E16563" s="3" t="s">
        <v>100</v>
      </c>
      <c r="F16563" s="7">
        <v>46066.93902803359</v>
      </c>
      <c r="G16563" s="3" t="s">
        <v>24005</v>
      </c>
    </row>
    <row r="16564">
      <c r="A16564" s="3" t="s">
        <v>32590</v>
      </c>
      <c r="B16564" s="3" t="s">
        <v>13800</v>
      </c>
      <c r="C16564" s="5" t="s">
        <v>45</v>
      </c>
      <c r="D16564" s="3" t="s">
        <v>221</v>
      </c>
      <c r="E16564" s="3" t="s">
        <v>319</v>
      </c>
      <c r="F16564" s="7">
        <v>46066.999786212335</v>
      </c>
      <c r="G16564" s="3" t="s">
        <v>7330</v>
      </c>
    </row>
    <row r="16565">
      <c r="A16565" s="3" t="s">
        <v>32591</v>
      </c>
      <c r="B16565" s="3" t="s">
        <v>13800</v>
      </c>
      <c r="C16565" s="5" t="s">
        <v>221</v>
      </c>
      <c r="D16565" s="3" t="s">
        <v>614</v>
      </c>
      <c r="E16565" s="3" t="s">
        <v>118</v>
      </c>
      <c r="F16565" s="7">
        <v>46067.00325843455</v>
      </c>
      <c r="G16565" s="3" t="s">
        <v>7333</v>
      </c>
    </row>
    <row r="16566">
      <c r="A16566" s="3" t="s">
        <v>32592</v>
      </c>
      <c r="B16566" s="3" t="s">
        <v>13800</v>
      </c>
      <c r="C16566" s="5" t="s">
        <v>614</v>
      </c>
      <c r="D16566" s="3" t="s">
        <v>206</v>
      </c>
      <c r="E16566" s="3" t="s">
        <v>100</v>
      </c>
      <c r="F16566" s="7">
        <v>46067.00673065678</v>
      </c>
      <c r="G16566" s="3" t="s">
        <v>7336</v>
      </c>
    </row>
    <row r="16567">
      <c r="A16567" s="3" t="s">
        <v>32593</v>
      </c>
      <c r="B16567" s="3" t="s">
        <v>13800</v>
      </c>
      <c r="C16567" s="5" t="s">
        <v>206</v>
      </c>
      <c r="D16567" s="3" t="s">
        <v>68</v>
      </c>
      <c r="E16567" s="3" t="s">
        <v>100</v>
      </c>
      <c r="F16567" s="7">
        <v>46067.010202879</v>
      </c>
      <c r="G16567" s="3" t="s">
        <v>7339</v>
      </c>
    </row>
    <row r="16568">
      <c r="A16568" s="3" t="s">
        <v>32594</v>
      </c>
      <c r="B16568" s="3" t="s">
        <v>13806</v>
      </c>
      <c r="C16568" s="5" t="s">
        <v>45</v>
      </c>
      <c r="D16568" s="3" t="s">
        <v>221</v>
      </c>
      <c r="E16568" s="3" t="s">
        <v>655</v>
      </c>
      <c r="F16568" s="7">
        <v>46067.070961057754</v>
      </c>
      <c r="G16568" s="3" t="s">
        <v>2770</v>
      </c>
    </row>
    <row r="16569">
      <c r="A16569" s="3" t="s">
        <v>32595</v>
      </c>
      <c r="B16569" s="3" t="s">
        <v>13806</v>
      </c>
      <c r="C16569" s="5" t="s">
        <v>221</v>
      </c>
      <c r="D16569" s="3" t="s">
        <v>181</v>
      </c>
      <c r="E16569" s="3" t="s">
        <v>118</v>
      </c>
      <c r="F16569" s="7">
        <v>46067.07443327997</v>
      </c>
      <c r="G16569" s="3" t="s">
        <v>2774</v>
      </c>
    </row>
    <row r="16570">
      <c r="A16570" s="3" t="s">
        <v>32596</v>
      </c>
      <c r="B16570" s="3" t="s">
        <v>13810</v>
      </c>
      <c r="C16570" s="5" t="s">
        <v>45</v>
      </c>
      <c r="D16570" s="3" t="s">
        <v>221</v>
      </c>
      <c r="E16570" s="3" t="s">
        <v>333</v>
      </c>
      <c r="F16570" s="7">
        <v>46067.14213590317</v>
      </c>
      <c r="G16570" s="3" t="s">
        <v>30137</v>
      </c>
    </row>
    <row r="16571">
      <c r="A16571" s="3" t="s">
        <v>32597</v>
      </c>
      <c r="B16571" s="3" t="s">
        <v>13810</v>
      </c>
      <c r="C16571" s="5" t="s">
        <v>221</v>
      </c>
      <c r="D16571" s="3" t="s">
        <v>614</v>
      </c>
      <c r="E16571" s="3" t="s">
        <v>118</v>
      </c>
      <c r="F16571" s="7">
        <v>46067.145608125385</v>
      </c>
      <c r="G16571" s="3" t="s">
        <v>30458</v>
      </c>
    </row>
    <row r="16572">
      <c r="A16572" s="3" t="s">
        <v>32598</v>
      </c>
      <c r="B16572" s="3" t="s">
        <v>13810</v>
      </c>
      <c r="C16572" s="5" t="s">
        <v>614</v>
      </c>
      <c r="D16572" s="3" t="s">
        <v>206</v>
      </c>
      <c r="E16572" s="3" t="s">
        <v>100</v>
      </c>
      <c r="F16572" s="7">
        <v>46067.14908034761</v>
      </c>
      <c r="G16572" s="3" t="s">
        <v>30460</v>
      </c>
    </row>
    <row r="16573">
      <c r="A16573" s="3" t="s">
        <v>32599</v>
      </c>
      <c r="B16573" s="3" t="s">
        <v>13810</v>
      </c>
      <c r="C16573" s="5" t="s">
        <v>206</v>
      </c>
      <c r="D16573" s="3" t="s">
        <v>68</v>
      </c>
      <c r="E16573" s="3" t="s">
        <v>100</v>
      </c>
      <c r="F16573" s="7">
        <v>46067.15255256983</v>
      </c>
      <c r="G16573" s="3" t="s">
        <v>30462</v>
      </c>
    </row>
    <row r="16574">
      <c r="A16574" s="3" t="s">
        <v>32600</v>
      </c>
      <c r="B16574" s="3" t="s">
        <v>13813</v>
      </c>
      <c r="C16574" s="5" t="s">
        <v>45</v>
      </c>
      <c r="D16574" s="3" t="s">
        <v>221</v>
      </c>
      <c r="E16574" s="3" t="s">
        <v>141</v>
      </c>
      <c r="F16574" s="7">
        <v>46067.21331074858</v>
      </c>
      <c r="G16574" s="3" t="s">
        <v>32601</v>
      </c>
    </row>
    <row r="16575">
      <c r="A16575" s="3" t="s">
        <v>32602</v>
      </c>
      <c r="B16575" s="3" t="s">
        <v>13813</v>
      </c>
      <c r="C16575" s="5" t="s">
        <v>221</v>
      </c>
      <c r="D16575" s="3" t="s">
        <v>181</v>
      </c>
      <c r="E16575" s="3" t="s">
        <v>118</v>
      </c>
      <c r="F16575" s="7">
        <v>46067.2167829708</v>
      </c>
      <c r="G16575" s="3" t="s">
        <v>32603</v>
      </c>
    </row>
    <row r="16576">
      <c r="A16576" s="3" t="s">
        <v>32604</v>
      </c>
      <c r="B16576" s="3" t="s">
        <v>13815</v>
      </c>
      <c r="C16576" s="5" t="s">
        <v>45</v>
      </c>
      <c r="D16576" s="3" t="s">
        <v>221</v>
      </c>
      <c r="E16576" s="3" t="s">
        <v>171</v>
      </c>
      <c r="F16576" s="7">
        <v>46067.284485594</v>
      </c>
      <c r="G16576" s="3" t="s">
        <v>32605</v>
      </c>
    </row>
    <row r="16577">
      <c r="A16577" s="3" t="s">
        <v>32606</v>
      </c>
      <c r="B16577" s="3" t="s">
        <v>13815</v>
      </c>
      <c r="C16577" s="5" t="s">
        <v>221</v>
      </c>
      <c r="D16577" s="3" t="s">
        <v>181</v>
      </c>
      <c r="E16577" s="3" t="s">
        <v>118</v>
      </c>
      <c r="F16577" s="7">
        <v>46067.28795781622</v>
      </c>
      <c r="G16577" s="3" t="s">
        <v>32607</v>
      </c>
    </row>
    <row r="16578">
      <c r="A16578" s="3" t="s">
        <v>32608</v>
      </c>
      <c r="B16578" s="3" t="s">
        <v>13817</v>
      </c>
      <c r="C16578" s="5" t="s">
        <v>45</v>
      </c>
      <c r="D16578" s="3" t="s">
        <v>221</v>
      </c>
      <c r="E16578" s="3" t="s">
        <v>510</v>
      </c>
      <c r="F16578" s="7">
        <v>46067.35566043942</v>
      </c>
      <c r="G16578" s="3" t="s">
        <v>16144</v>
      </c>
    </row>
    <row r="16579">
      <c r="A16579" s="3" t="s">
        <v>32609</v>
      </c>
      <c r="B16579" s="3" t="s">
        <v>13817</v>
      </c>
      <c r="C16579" s="5" t="s">
        <v>221</v>
      </c>
      <c r="D16579" s="3" t="s">
        <v>614</v>
      </c>
      <c r="E16579" s="3" t="s">
        <v>118</v>
      </c>
      <c r="F16579" s="7">
        <v>46067.35913266164</v>
      </c>
      <c r="G16579" s="3" t="s">
        <v>16147</v>
      </c>
    </row>
    <row r="16580">
      <c r="A16580" s="3" t="s">
        <v>32610</v>
      </c>
      <c r="B16580" s="3" t="s">
        <v>13817</v>
      </c>
      <c r="C16580" s="5" t="s">
        <v>614</v>
      </c>
      <c r="D16580" s="3" t="s">
        <v>206</v>
      </c>
      <c r="E16580" s="3" t="s">
        <v>100</v>
      </c>
      <c r="F16580" s="7">
        <v>46067.36260488386</v>
      </c>
      <c r="G16580" s="3" t="s">
        <v>16150</v>
      </c>
    </row>
    <row r="16581">
      <c r="A16581" s="3" t="s">
        <v>32611</v>
      </c>
      <c r="B16581" s="3" t="s">
        <v>13817</v>
      </c>
      <c r="C16581" s="5" t="s">
        <v>206</v>
      </c>
      <c r="D16581" s="3" t="s">
        <v>68</v>
      </c>
      <c r="E16581" s="3" t="s">
        <v>100</v>
      </c>
      <c r="F16581" s="7">
        <v>46067.36607710608</v>
      </c>
      <c r="G16581" s="3" t="s">
        <v>16153</v>
      </c>
    </row>
    <row r="16582">
      <c r="A16582" s="3" t="s">
        <v>32612</v>
      </c>
      <c r="B16582" s="3" t="s">
        <v>13819</v>
      </c>
      <c r="C16582" s="5" t="s">
        <v>45</v>
      </c>
      <c r="D16582" s="3" t="s">
        <v>221</v>
      </c>
      <c r="E16582" s="3" t="s">
        <v>141</v>
      </c>
      <c r="F16582" s="7">
        <v>46067.42683528482</v>
      </c>
      <c r="G16582" s="3" t="s">
        <v>11137</v>
      </c>
    </row>
    <row r="16583">
      <c r="A16583" s="3" t="s">
        <v>32613</v>
      </c>
      <c r="B16583" s="3" t="s">
        <v>13819</v>
      </c>
      <c r="C16583" s="5" t="s">
        <v>221</v>
      </c>
      <c r="D16583" s="3" t="s">
        <v>614</v>
      </c>
      <c r="E16583" s="3" t="s">
        <v>118</v>
      </c>
      <c r="F16583" s="7">
        <v>46067.43030750704</v>
      </c>
      <c r="G16583" s="3" t="s">
        <v>11140</v>
      </c>
    </row>
    <row r="16584">
      <c r="A16584" s="3" t="s">
        <v>32614</v>
      </c>
      <c r="B16584" s="3" t="s">
        <v>13819</v>
      </c>
      <c r="C16584" s="5" t="s">
        <v>614</v>
      </c>
      <c r="D16584" s="3" t="s">
        <v>206</v>
      </c>
      <c r="E16584" s="3" t="s">
        <v>100</v>
      </c>
      <c r="F16584" s="7">
        <v>46067.43377972927</v>
      </c>
      <c r="G16584" s="3" t="s">
        <v>11143</v>
      </c>
    </row>
    <row r="16585">
      <c r="A16585" s="3" t="s">
        <v>32615</v>
      </c>
      <c r="B16585" s="3" t="s">
        <v>13819</v>
      </c>
      <c r="C16585" s="5" t="s">
        <v>206</v>
      </c>
      <c r="D16585" s="3" t="s">
        <v>68</v>
      </c>
      <c r="E16585" s="3" t="s">
        <v>100</v>
      </c>
      <c r="F16585" s="7">
        <v>46067.43725195149</v>
      </c>
      <c r="G16585" s="3" t="s">
        <v>11145</v>
      </c>
    </row>
    <row r="16586">
      <c r="A16586" s="3" t="s">
        <v>32616</v>
      </c>
      <c r="B16586" s="3" t="s">
        <v>13821</v>
      </c>
      <c r="C16586" s="5" t="s">
        <v>45</v>
      </c>
      <c r="D16586" s="3" t="s">
        <v>221</v>
      </c>
      <c r="E16586" s="3" t="s">
        <v>419</v>
      </c>
      <c r="F16586" s="7">
        <v>46067.49801013024</v>
      </c>
      <c r="G16586" s="3" t="s">
        <v>7354</v>
      </c>
    </row>
    <row r="16587">
      <c r="A16587" s="3" t="s">
        <v>32617</v>
      </c>
      <c r="B16587" s="3" t="s">
        <v>13821</v>
      </c>
      <c r="C16587" s="5" t="s">
        <v>221</v>
      </c>
      <c r="D16587" s="3" t="s">
        <v>614</v>
      </c>
      <c r="E16587" s="3" t="s">
        <v>118</v>
      </c>
      <c r="F16587" s="7">
        <v>46067.50148235246</v>
      </c>
      <c r="G16587" s="3" t="s">
        <v>7357</v>
      </c>
    </row>
    <row r="16588">
      <c r="A16588" s="3" t="s">
        <v>32618</v>
      </c>
      <c r="B16588" s="3" t="s">
        <v>13821</v>
      </c>
      <c r="C16588" s="5" t="s">
        <v>614</v>
      </c>
      <c r="D16588" s="3" t="s">
        <v>206</v>
      </c>
      <c r="E16588" s="3" t="s">
        <v>100</v>
      </c>
      <c r="F16588" s="7">
        <v>46067.50495457469</v>
      </c>
      <c r="G16588" s="3" t="s">
        <v>7359</v>
      </c>
    </row>
    <row r="16589">
      <c r="A16589" s="3" t="s">
        <v>32619</v>
      </c>
      <c r="B16589" s="3" t="s">
        <v>13821</v>
      </c>
      <c r="C16589" s="5" t="s">
        <v>206</v>
      </c>
      <c r="D16589" s="3" t="s">
        <v>68</v>
      </c>
      <c r="E16589" s="3" t="s">
        <v>100</v>
      </c>
      <c r="F16589" s="7">
        <v>46067.50842679691</v>
      </c>
      <c r="G16589" s="3" t="s">
        <v>7362</v>
      </c>
    </row>
    <row r="16590">
      <c r="A16590" s="3" t="s">
        <v>32620</v>
      </c>
      <c r="B16590" s="3" t="s">
        <v>13824</v>
      </c>
      <c r="C16590" s="5" t="s">
        <v>45</v>
      </c>
      <c r="D16590" s="3" t="s">
        <v>221</v>
      </c>
      <c r="E16590" s="3" t="s">
        <v>662</v>
      </c>
      <c r="F16590" s="7">
        <v>46067.56918497566</v>
      </c>
      <c r="G16590" s="3" t="s">
        <v>7365</v>
      </c>
    </row>
    <row r="16591">
      <c r="A16591" s="3" t="s">
        <v>32621</v>
      </c>
      <c r="B16591" s="3" t="s">
        <v>13824</v>
      </c>
      <c r="C16591" s="5" t="s">
        <v>221</v>
      </c>
      <c r="D16591" s="3" t="s">
        <v>614</v>
      </c>
      <c r="E16591" s="3" t="s">
        <v>118</v>
      </c>
      <c r="F16591" s="7">
        <v>46067.57265719788</v>
      </c>
      <c r="G16591" s="3" t="s">
        <v>7368</v>
      </c>
    </row>
    <row r="16592">
      <c r="A16592" s="3" t="s">
        <v>32622</v>
      </c>
      <c r="B16592" s="3" t="s">
        <v>13824</v>
      </c>
      <c r="C16592" s="5" t="s">
        <v>614</v>
      </c>
      <c r="D16592" s="3" t="s">
        <v>206</v>
      </c>
      <c r="E16592" s="3" t="s">
        <v>100</v>
      </c>
      <c r="F16592" s="7">
        <v>46067.57612942011</v>
      </c>
      <c r="G16592" s="3" t="s">
        <v>7371</v>
      </c>
    </row>
    <row r="16593">
      <c r="A16593" s="3" t="s">
        <v>32623</v>
      </c>
      <c r="B16593" s="3" t="s">
        <v>13824</v>
      </c>
      <c r="C16593" s="5" t="s">
        <v>206</v>
      </c>
      <c r="D16593" s="3" t="s">
        <v>68</v>
      </c>
      <c r="E16593" s="3" t="s">
        <v>100</v>
      </c>
      <c r="F16593" s="7">
        <v>46067.57960164233</v>
      </c>
      <c r="G16593" s="3" t="s">
        <v>7374</v>
      </c>
    </row>
    <row r="16594">
      <c r="A16594" s="3" t="s">
        <v>32624</v>
      </c>
      <c r="B16594" s="3" t="s">
        <v>13829</v>
      </c>
      <c r="C16594" s="5" t="s">
        <v>45</v>
      </c>
      <c r="D16594" s="3" t="s">
        <v>221</v>
      </c>
      <c r="E16594" s="3" t="s">
        <v>126</v>
      </c>
      <c r="F16594" s="7">
        <v>46067.640359821075</v>
      </c>
      <c r="G16594" s="3" t="s">
        <v>7056</v>
      </c>
    </row>
    <row r="16595">
      <c r="A16595" s="3" t="s">
        <v>32625</v>
      </c>
      <c r="B16595" s="3" t="s">
        <v>13829</v>
      </c>
      <c r="C16595" s="5" t="s">
        <v>221</v>
      </c>
      <c r="D16595" s="3" t="s">
        <v>195</v>
      </c>
      <c r="E16595" s="3" t="s">
        <v>126</v>
      </c>
      <c r="F16595" s="7">
        <v>46067.64383204329</v>
      </c>
      <c r="G16595" s="3" t="s">
        <v>32626</v>
      </c>
    </row>
    <row r="16596">
      <c r="A16596" s="3" t="s">
        <v>32627</v>
      </c>
      <c r="B16596" s="3" t="s">
        <v>13832</v>
      </c>
      <c r="C16596" s="5" t="s">
        <v>45</v>
      </c>
      <c r="D16596" s="3" t="s">
        <v>221</v>
      </c>
      <c r="E16596" s="3" t="s">
        <v>554</v>
      </c>
      <c r="F16596" s="7">
        <v>46067.71153466649</v>
      </c>
      <c r="G16596" s="3" t="s">
        <v>7779</v>
      </c>
    </row>
    <row r="16597">
      <c r="A16597" s="3" t="s">
        <v>32628</v>
      </c>
      <c r="B16597" s="3" t="s">
        <v>13832</v>
      </c>
      <c r="C16597" s="5" t="s">
        <v>221</v>
      </c>
      <c r="D16597" s="3" t="s">
        <v>614</v>
      </c>
      <c r="E16597" s="3" t="s">
        <v>118</v>
      </c>
      <c r="F16597" s="7">
        <v>46067.715006888706</v>
      </c>
      <c r="G16597" s="3" t="s">
        <v>7782</v>
      </c>
    </row>
    <row r="16598">
      <c r="A16598" s="3" t="s">
        <v>32629</v>
      </c>
      <c r="B16598" s="3" t="s">
        <v>13832</v>
      </c>
      <c r="C16598" s="5" t="s">
        <v>614</v>
      </c>
      <c r="D16598" s="3" t="s">
        <v>206</v>
      </c>
      <c r="E16598" s="3" t="s">
        <v>100</v>
      </c>
      <c r="F16598" s="7">
        <v>46067.71847911093</v>
      </c>
      <c r="G16598" s="3" t="s">
        <v>7785</v>
      </c>
    </row>
    <row r="16599">
      <c r="A16599" s="3" t="s">
        <v>32630</v>
      </c>
      <c r="B16599" s="3" t="s">
        <v>13832</v>
      </c>
      <c r="C16599" s="5" t="s">
        <v>206</v>
      </c>
      <c r="D16599" s="3" t="s">
        <v>68</v>
      </c>
      <c r="E16599" s="3" t="s">
        <v>100</v>
      </c>
      <c r="F16599" s="7">
        <v>46067.72195133315</v>
      </c>
      <c r="G16599" s="3" t="s">
        <v>7787</v>
      </c>
    </row>
    <row r="16600">
      <c r="A16600" s="3" t="s">
        <v>32631</v>
      </c>
      <c r="B16600" s="3" t="s">
        <v>13834</v>
      </c>
      <c r="C16600" s="5" t="s">
        <v>45</v>
      </c>
      <c r="D16600" s="3" t="s">
        <v>221</v>
      </c>
      <c r="E16600" s="3" t="s">
        <v>752</v>
      </c>
      <c r="F16600" s="7">
        <v>46067.78270951191</v>
      </c>
      <c r="G16600" s="3" t="s">
        <v>7377</v>
      </c>
    </row>
    <row r="16601">
      <c r="A16601" s="3" t="s">
        <v>32632</v>
      </c>
      <c r="B16601" s="3" t="s">
        <v>13834</v>
      </c>
      <c r="C16601" s="5" t="s">
        <v>221</v>
      </c>
      <c r="D16601" s="3" t="s">
        <v>614</v>
      </c>
      <c r="E16601" s="3" t="s">
        <v>118</v>
      </c>
      <c r="F16601" s="7">
        <v>46067.786181734125</v>
      </c>
      <c r="G16601" s="3" t="s">
        <v>7380</v>
      </c>
    </row>
    <row r="16602">
      <c r="A16602" s="3" t="s">
        <v>32633</v>
      </c>
      <c r="B16602" s="3" t="s">
        <v>13834</v>
      </c>
      <c r="C16602" s="5" t="s">
        <v>614</v>
      </c>
      <c r="D16602" s="3" t="s">
        <v>206</v>
      </c>
      <c r="E16602" s="3" t="s">
        <v>100</v>
      </c>
      <c r="F16602" s="7">
        <v>46067.78965395635</v>
      </c>
      <c r="G16602" s="3" t="s">
        <v>7382</v>
      </c>
    </row>
    <row r="16603">
      <c r="A16603" s="3" t="s">
        <v>32634</v>
      </c>
      <c r="B16603" s="3" t="s">
        <v>13834</v>
      </c>
      <c r="C16603" s="5" t="s">
        <v>206</v>
      </c>
      <c r="D16603" s="3" t="s">
        <v>68</v>
      </c>
      <c r="E16603" s="3" t="s">
        <v>100</v>
      </c>
      <c r="F16603" s="7">
        <v>46067.79312617857</v>
      </c>
      <c r="G16603" s="3" t="s">
        <v>7385</v>
      </c>
    </row>
    <row r="16604">
      <c r="A16604" s="3" t="s">
        <v>32635</v>
      </c>
      <c r="B16604" s="3" t="s">
        <v>13837</v>
      </c>
      <c r="C16604" s="5" t="s">
        <v>45</v>
      </c>
      <c r="D16604" s="3" t="s">
        <v>221</v>
      </c>
      <c r="E16604" s="3" t="s">
        <v>853</v>
      </c>
      <c r="F16604" s="7">
        <v>46067.85388435732</v>
      </c>
      <c r="G16604" s="3" t="s">
        <v>7388</v>
      </c>
    </row>
    <row r="16605">
      <c r="A16605" s="3" t="s">
        <v>32636</v>
      </c>
      <c r="B16605" s="3" t="s">
        <v>13837</v>
      </c>
      <c r="C16605" s="5" t="s">
        <v>221</v>
      </c>
      <c r="D16605" s="3" t="s">
        <v>614</v>
      </c>
      <c r="E16605" s="3" t="s">
        <v>118</v>
      </c>
      <c r="F16605" s="7">
        <v>46067.85735657954</v>
      </c>
      <c r="G16605" s="3" t="s">
        <v>25795</v>
      </c>
    </row>
    <row r="16606">
      <c r="A16606" s="3" t="s">
        <v>32637</v>
      </c>
      <c r="B16606" s="3" t="s">
        <v>13837</v>
      </c>
      <c r="C16606" s="5" t="s">
        <v>614</v>
      </c>
      <c r="D16606" s="3" t="s">
        <v>206</v>
      </c>
      <c r="E16606" s="3" t="s">
        <v>100</v>
      </c>
      <c r="F16606" s="7">
        <v>46067.860828801764</v>
      </c>
      <c r="G16606" s="3" t="s">
        <v>25797</v>
      </c>
    </row>
    <row r="16607">
      <c r="A16607" s="3" t="s">
        <v>32638</v>
      </c>
      <c r="B16607" s="3" t="s">
        <v>13837</v>
      </c>
      <c r="C16607" s="5" t="s">
        <v>206</v>
      </c>
      <c r="D16607" s="3" t="s">
        <v>68</v>
      </c>
      <c r="E16607" s="3" t="s">
        <v>100</v>
      </c>
      <c r="F16607" s="7">
        <v>46067.86430102398</v>
      </c>
      <c r="G16607" s="3" t="s">
        <v>25799</v>
      </c>
    </row>
    <row r="16608">
      <c r="A16608" s="3" t="s">
        <v>32639</v>
      </c>
      <c r="B16608" s="3" t="s">
        <v>13839</v>
      </c>
      <c r="C16608" s="5" t="s">
        <v>45</v>
      </c>
      <c r="D16608" s="3" t="s">
        <v>221</v>
      </c>
      <c r="E16608" s="3" t="s">
        <v>507</v>
      </c>
      <c r="F16608" s="7">
        <v>46067.92505920273</v>
      </c>
      <c r="G16608" s="3" t="s">
        <v>13340</v>
      </c>
    </row>
    <row r="16609">
      <c r="A16609" s="3" t="s">
        <v>32640</v>
      </c>
      <c r="B16609" s="3" t="s">
        <v>13839</v>
      </c>
      <c r="C16609" s="5" t="s">
        <v>221</v>
      </c>
      <c r="D16609" s="3" t="s">
        <v>614</v>
      </c>
      <c r="E16609" s="3" t="s">
        <v>118</v>
      </c>
      <c r="F16609" s="7">
        <v>46067.92853142495</v>
      </c>
      <c r="G16609" s="3" t="s">
        <v>13344</v>
      </c>
    </row>
    <row r="16610">
      <c r="A16610" s="3" t="s">
        <v>32641</v>
      </c>
      <c r="B16610" s="3" t="s">
        <v>13839</v>
      </c>
      <c r="C16610" s="5" t="s">
        <v>614</v>
      </c>
      <c r="D16610" s="3" t="s">
        <v>206</v>
      </c>
      <c r="E16610" s="3" t="s">
        <v>100</v>
      </c>
      <c r="F16610" s="7">
        <v>46067.932003647176</v>
      </c>
      <c r="G16610" s="3" t="s">
        <v>13347</v>
      </c>
    </row>
    <row r="16611">
      <c r="A16611" s="3" t="s">
        <v>32642</v>
      </c>
      <c r="B16611" s="3" t="s">
        <v>13839</v>
      </c>
      <c r="C16611" s="5" t="s">
        <v>206</v>
      </c>
      <c r="D16611" s="3" t="s">
        <v>68</v>
      </c>
      <c r="E16611" s="3" t="s">
        <v>100</v>
      </c>
      <c r="F16611" s="7">
        <v>46067.935475869395</v>
      </c>
      <c r="G16611" s="3" t="s">
        <v>13352</v>
      </c>
    </row>
    <row r="16612">
      <c r="A16612" s="3" t="s">
        <v>32643</v>
      </c>
      <c r="B16612" s="3" t="s">
        <v>13842</v>
      </c>
      <c r="C16612" s="5" t="s">
        <v>45</v>
      </c>
      <c r="D16612" s="3" t="s">
        <v>221</v>
      </c>
      <c r="E16612" s="3" t="s">
        <v>939</v>
      </c>
      <c r="F16612" s="7">
        <v>46067.99623404815</v>
      </c>
      <c r="G16612" s="3" t="s">
        <v>10758</v>
      </c>
    </row>
    <row r="16613">
      <c r="A16613" s="3" t="s">
        <v>32644</v>
      </c>
      <c r="B16613" s="3" t="s">
        <v>13842</v>
      </c>
      <c r="C16613" s="5" t="s">
        <v>221</v>
      </c>
      <c r="D16613" s="3" t="s">
        <v>614</v>
      </c>
      <c r="E16613" s="3" t="s">
        <v>118</v>
      </c>
      <c r="F16613" s="7">
        <v>46067.99970627037</v>
      </c>
      <c r="G16613" s="3" t="s">
        <v>10761</v>
      </c>
    </row>
    <row r="16614">
      <c r="A16614" s="3" t="s">
        <v>32645</v>
      </c>
      <c r="B16614" s="3" t="s">
        <v>13842</v>
      </c>
      <c r="C16614" s="5" t="s">
        <v>614</v>
      </c>
      <c r="D16614" s="3" t="s">
        <v>206</v>
      </c>
      <c r="E16614" s="3" t="s">
        <v>100</v>
      </c>
      <c r="F16614" s="7">
        <v>46068.003178492596</v>
      </c>
      <c r="G16614" s="3" t="s">
        <v>10763</v>
      </c>
    </row>
    <row r="16615">
      <c r="A16615" s="3" t="s">
        <v>32646</v>
      </c>
      <c r="B16615" s="3" t="s">
        <v>13842</v>
      </c>
      <c r="C16615" s="5" t="s">
        <v>206</v>
      </c>
      <c r="D16615" s="3" t="s">
        <v>68</v>
      </c>
      <c r="E16615" s="3" t="s">
        <v>100</v>
      </c>
      <c r="F16615" s="7">
        <v>46068.006650714815</v>
      </c>
      <c r="G16615" s="3" t="s">
        <v>10766</v>
      </c>
    </row>
    <row r="16616">
      <c r="A16616" s="3" t="s">
        <v>32647</v>
      </c>
      <c r="B16616" s="3" t="s">
        <v>13845</v>
      </c>
      <c r="C16616" s="5" t="s">
        <v>45</v>
      </c>
      <c r="D16616" s="3" t="s">
        <v>221</v>
      </c>
      <c r="E16616" s="3" t="s">
        <v>159</v>
      </c>
      <c r="F16616" s="7">
        <v>46068.06740889356</v>
      </c>
      <c r="G16616" s="3" t="s">
        <v>32648</v>
      </c>
    </row>
    <row r="16617">
      <c r="A16617" s="3" t="s">
        <v>32649</v>
      </c>
      <c r="B16617" s="3" t="s">
        <v>13845</v>
      </c>
      <c r="C16617" s="5" t="s">
        <v>221</v>
      </c>
      <c r="D16617" s="3" t="s">
        <v>614</v>
      </c>
      <c r="E16617" s="3" t="s">
        <v>118</v>
      </c>
      <c r="F16617" s="7">
        <v>46068.07088111578</v>
      </c>
      <c r="G16617" s="3" t="s">
        <v>32650</v>
      </c>
    </row>
    <row r="16618">
      <c r="A16618" s="3" t="s">
        <v>32651</v>
      </c>
      <c r="B16618" s="3" t="s">
        <v>13845</v>
      </c>
      <c r="C16618" s="5" t="s">
        <v>614</v>
      </c>
      <c r="D16618" s="3" t="s">
        <v>206</v>
      </c>
      <c r="E16618" s="3" t="s">
        <v>100</v>
      </c>
      <c r="F16618" s="7">
        <v>46068.07435333801</v>
      </c>
      <c r="G16618" s="3" t="s">
        <v>32652</v>
      </c>
    </row>
    <row r="16619">
      <c r="A16619" s="3" t="s">
        <v>32653</v>
      </c>
      <c r="B16619" s="3" t="s">
        <v>13845</v>
      </c>
      <c r="C16619" s="5" t="s">
        <v>206</v>
      </c>
      <c r="D16619" s="3" t="s">
        <v>68</v>
      </c>
      <c r="E16619" s="3" t="s">
        <v>100</v>
      </c>
      <c r="F16619" s="7">
        <v>46068.07782556023</v>
      </c>
      <c r="G16619" s="3" t="s">
        <v>32654</v>
      </c>
    </row>
    <row r="16620">
      <c r="A16620" s="3" t="s">
        <v>32655</v>
      </c>
      <c r="B16620" s="3" t="s">
        <v>13849</v>
      </c>
      <c r="C16620" s="5" t="s">
        <v>45</v>
      </c>
      <c r="D16620" s="3" t="s">
        <v>221</v>
      </c>
      <c r="E16620" s="3" t="s">
        <v>845</v>
      </c>
      <c r="F16620" s="7">
        <v>46068.138583738975</v>
      </c>
      <c r="G16620" s="3" t="s">
        <v>7424</v>
      </c>
    </row>
    <row r="16621">
      <c r="A16621" s="3" t="s">
        <v>32656</v>
      </c>
      <c r="B16621" s="3" t="s">
        <v>13849</v>
      </c>
      <c r="C16621" s="5" t="s">
        <v>221</v>
      </c>
      <c r="D16621" s="3" t="s">
        <v>614</v>
      </c>
      <c r="E16621" s="3" t="s">
        <v>118</v>
      </c>
      <c r="F16621" s="7">
        <v>46068.142055961194</v>
      </c>
      <c r="G16621" s="3" t="s">
        <v>7427</v>
      </c>
    </row>
    <row r="16622">
      <c r="A16622" s="3" t="s">
        <v>32657</v>
      </c>
      <c r="B16622" s="3" t="s">
        <v>13849</v>
      </c>
      <c r="C16622" s="5" t="s">
        <v>614</v>
      </c>
      <c r="D16622" s="3" t="s">
        <v>206</v>
      </c>
      <c r="E16622" s="3" t="s">
        <v>100</v>
      </c>
      <c r="F16622" s="7">
        <v>46068.14552818342</v>
      </c>
      <c r="G16622" s="3" t="s">
        <v>7430</v>
      </c>
    </row>
    <row r="16623">
      <c r="A16623" s="3" t="s">
        <v>32658</v>
      </c>
      <c r="B16623" s="3" t="s">
        <v>13849</v>
      </c>
      <c r="C16623" s="5" t="s">
        <v>206</v>
      </c>
      <c r="D16623" s="3" t="s">
        <v>68</v>
      </c>
      <c r="E16623" s="3" t="s">
        <v>100</v>
      </c>
      <c r="F16623" s="7">
        <v>46068.14900040564</v>
      </c>
      <c r="G16623" s="3" t="s">
        <v>7433</v>
      </c>
    </row>
    <row r="16624">
      <c r="A16624" s="3" t="s">
        <v>32659</v>
      </c>
      <c r="B16624" s="3" t="s">
        <v>13852</v>
      </c>
      <c r="C16624" s="5" t="s">
        <v>45</v>
      </c>
      <c r="D16624" s="3" t="s">
        <v>221</v>
      </c>
      <c r="E16624" s="3" t="s">
        <v>541</v>
      </c>
      <c r="F16624" s="7">
        <v>46068.209758584395</v>
      </c>
      <c r="G16624" s="3" t="s">
        <v>7464</v>
      </c>
    </row>
    <row r="16625">
      <c r="A16625" s="3" t="s">
        <v>32660</v>
      </c>
      <c r="B16625" s="3" t="s">
        <v>13852</v>
      </c>
      <c r="C16625" s="5" t="s">
        <v>221</v>
      </c>
      <c r="D16625" s="3" t="s">
        <v>614</v>
      </c>
      <c r="E16625" s="3" t="s">
        <v>118</v>
      </c>
      <c r="F16625" s="7">
        <v>46068.213230806614</v>
      </c>
      <c r="G16625" s="3" t="s">
        <v>7467</v>
      </c>
    </row>
    <row r="16626">
      <c r="A16626" s="3" t="s">
        <v>32661</v>
      </c>
      <c r="B16626" s="3" t="s">
        <v>13852</v>
      </c>
      <c r="C16626" s="5" t="s">
        <v>614</v>
      </c>
      <c r="D16626" s="3" t="s">
        <v>206</v>
      </c>
      <c r="E16626" s="3" t="s">
        <v>100</v>
      </c>
      <c r="F16626" s="7">
        <v>46068.21670302884</v>
      </c>
      <c r="G16626" s="3" t="s">
        <v>7470</v>
      </c>
    </row>
    <row r="16627">
      <c r="A16627" s="3" t="s">
        <v>32662</v>
      </c>
      <c r="B16627" s="3" t="s">
        <v>13852</v>
      </c>
      <c r="C16627" s="5" t="s">
        <v>206</v>
      </c>
      <c r="D16627" s="3" t="s">
        <v>68</v>
      </c>
      <c r="E16627" s="3" t="s">
        <v>100</v>
      </c>
      <c r="F16627" s="7">
        <v>46068.22017525106</v>
      </c>
      <c r="G16627" s="3" t="s">
        <v>7473</v>
      </c>
    </row>
    <row r="16628">
      <c r="A16628" s="3" t="s">
        <v>32663</v>
      </c>
      <c r="B16628" s="3" t="s">
        <v>13854</v>
      </c>
      <c r="C16628" s="5" t="s">
        <v>45</v>
      </c>
      <c r="D16628" s="3" t="s">
        <v>221</v>
      </c>
      <c r="E16628" s="3" t="s">
        <v>752</v>
      </c>
      <c r="F16628" s="7">
        <v>46068.28093342981</v>
      </c>
      <c r="G16628" s="3" t="s">
        <v>25016</v>
      </c>
    </row>
    <row r="16629">
      <c r="A16629" s="3" t="s">
        <v>32664</v>
      </c>
      <c r="B16629" s="3" t="s">
        <v>13854</v>
      </c>
      <c r="C16629" s="5" t="s">
        <v>221</v>
      </c>
      <c r="D16629" s="3" t="s">
        <v>614</v>
      </c>
      <c r="E16629" s="3" t="s">
        <v>118</v>
      </c>
      <c r="F16629" s="7">
        <v>46068.284405652026</v>
      </c>
      <c r="G16629" s="3" t="s">
        <v>25247</v>
      </c>
    </row>
    <row r="16630">
      <c r="A16630" s="3" t="s">
        <v>32665</v>
      </c>
      <c r="B16630" s="3" t="s">
        <v>13854</v>
      </c>
      <c r="C16630" s="5" t="s">
        <v>614</v>
      </c>
      <c r="D16630" s="3" t="s">
        <v>206</v>
      </c>
      <c r="E16630" s="3" t="s">
        <v>100</v>
      </c>
      <c r="F16630" s="7">
        <v>46068.28787787425</v>
      </c>
      <c r="G16630" s="3" t="s">
        <v>25249</v>
      </c>
    </row>
    <row r="16631">
      <c r="A16631" s="3" t="s">
        <v>32666</v>
      </c>
      <c r="B16631" s="3" t="s">
        <v>13854</v>
      </c>
      <c r="C16631" s="5" t="s">
        <v>206</v>
      </c>
      <c r="D16631" s="3" t="s">
        <v>68</v>
      </c>
      <c r="E16631" s="3" t="s">
        <v>100</v>
      </c>
      <c r="F16631" s="7">
        <v>46068.29135009647</v>
      </c>
      <c r="G16631" s="3" t="s">
        <v>25251</v>
      </c>
    </row>
    <row r="16632">
      <c r="A16632" s="3" t="s">
        <v>32667</v>
      </c>
      <c r="B16632" s="3" t="s">
        <v>13856</v>
      </c>
      <c r="C16632" s="5" t="s">
        <v>45</v>
      </c>
      <c r="D16632" s="3" t="s">
        <v>221</v>
      </c>
      <c r="E16632" s="3" t="s">
        <v>189</v>
      </c>
      <c r="F16632" s="7">
        <v>46068.35210827522</v>
      </c>
      <c r="G16632" s="3" t="s">
        <v>7499</v>
      </c>
    </row>
    <row r="16633">
      <c r="A16633" s="3" t="s">
        <v>32668</v>
      </c>
      <c r="B16633" s="3" t="s">
        <v>13856</v>
      </c>
      <c r="C16633" s="5" t="s">
        <v>221</v>
      </c>
      <c r="D16633" s="3" t="s">
        <v>614</v>
      </c>
      <c r="E16633" s="3" t="s">
        <v>118</v>
      </c>
      <c r="F16633" s="7">
        <v>46068.35558049744</v>
      </c>
      <c r="G16633" s="3" t="s">
        <v>7502</v>
      </c>
    </row>
    <row r="16634">
      <c r="A16634" s="3" t="s">
        <v>32669</v>
      </c>
      <c r="B16634" s="3" t="s">
        <v>13856</v>
      </c>
      <c r="C16634" s="5" t="s">
        <v>614</v>
      </c>
      <c r="D16634" s="3" t="s">
        <v>206</v>
      </c>
      <c r="E16634" s="3" t="s">
        <v>100</v>
      </c>
      <c r="F16634" s="7">
        <v>46068.359052719665</v>
      </c>
      <c r="G16634" s="3" t="s">
        <v>7505</v>
      </c>
    </row>
    <row r="16635">
      <c r="A16635" s="3" t="s">
        <v>32670</v>
      </c>
      <c r="B16635" s="3" t="s">
        <v>13856</v>
      </c>
      <c r="C16635" s="5" t="s">
        <v>206</v>
      </c>
      <c r="D16635" s="3" t="s">
        <v>68</v>
      </c>
      <c r="E16635" s="3" t="s">
        <v>100</v>
      </c>
      <c r="F16635" s="7">
        <v>46068.362524941884</v>
      </c>
      <c r="G16635" s="3" t="s">
        <v>7508</v>
      </c>
    </row>
    <row r="16636">
      <c r="A16636" s="3" t="s">
        <v>32671</v>
      </c>
      <c r="B16636" s="3" t="s">
        <v>13858</v>
      </c>
      <c r="C16636" s="5" t="s">
        <v>45</v>
      </c>
      <c r="D16636" s="3" t="s">
        <v>221</v>
      </c>
      <c r="E16636" s="3" t="s">
        <v>159</v>
      </c>
      <c r="F16636" s="7">
        <v>46068.42328312064</v>
      </c>
      <c r="G16636" s="3" t="s">
        <v>7511</v>
      </c>
    </row>
    <row r="16637">
      <c r="A16637" s="3" t="s">
        <v>32672</v>
      </c>
      <c r="B16637" s="3" t="s">
        <v>13858</v>
      </c>
      <c r="C16637" s="5" t="s">
        <v>221</v>
      </c>
      <c r="D16637" s="3" t="s">
        <v>614</v>
      </c>
      <c r="E16637" s="3" t="s">
        <v>118</v>
      </c>
      <c r="F16637" s="7">
        <v>46068.42675534286</v>
      </c>
      <c r="G16637" s="3" t="s">
        <v>7514</v>
      </c>
    </row>
    <row r="16638">
      <c r="A16638" s="3" t="s">
        <v>32673</v>
      </c>
      <c r="B16638" s="3" t="s">
        <v>13858</v>
      </c>
      <c r="C16638" s="5" t="s">
        <v>614</v>
      </c>
      <c r="D16638" s="3" t="s">
        <v>206</v>
      </c>
      <c r="E16638" s="3" t="s">
        <v>100</v>
      </c>
      <c r="F16638" s="7">
        <v>46068.430227565084</v>
      </c>
      <c r="G16638" s="3" t="s">
        <v>7516</v>
      </c>
    </row>
    <row r="16639">
      <c r="A16639" s="3" t="s">
        <v>32674</v>
      </c>
      <c r="B16639" s="3" t="s">
        <v>13858</v>
      </c>
      <c r="C16639" s="5" t="s">
        <v>206</v>
      </c>
      <c r="D16639" s="3" t="s">
        <v>68</v>
      </c>
      <c r="E16639" s="3" t="s">
        <v>100</v>
      </c>
      <c r="F16639" s="7">
        <v>46068.4336997873</v>
      </c>
      <c r="G16639" s="3" t="s">
        <v>7519</v>
      </c>
    </row>
    <row r="16640">
      <c r="A16640" s="3" t="s">
        <v>32675</v>
      </c>
      <c r="B16640" s="3" t="s">
        <v>13861</v>
      </c>
      <c r="C16640" s="5" t="s">
        <v>45</v>
      </c>
      <c r="D16640" s="3" t="s">
        <v>221</v>
      </c>
      <c r="E16640" s="3" t="s">
        <v>822</v>
      </c>
      <c r="F16640" s="7">
        <v>46068.49445796606</v>
      </c>
      <c r="G16640" s="3" t="s">
        <v>23596</v>
      </c>
    </row>
    <row r="16641">
      <c r="A16641" s="3" t="s">
        <v>32676</v>
      </c>
      <c r="B16641" s="3" t="s">
        <v>13861</v>
      </c>
      <c r="C16641" s="5" t="s">
        <v>221</v>
      </c>
      <c r="D16641" s="3" t="s">
        <v>614</v>
      </c>
      <c r="E16641" s="3" t="s">
        <v>118</v>
      </c>
      <c r="F16641" s="7">
        <v>46068.49793018828</v>
      </c>
      <c r="G16641" s="3" t="s">
        <v>23599</v>
      </c>
    </row>
    <row r="16642">
      <c r="A16642" s="3" t="s">
        <v>32677</v>
      </c>
      <c r="B16642" s="3" t="s">
        <v>13861</v>
      </c>
      <c r="C16642" s="5" t="s">
        <v>614</v>
      </c>
      <c r="D16642" s="3" t="s">
        <v>206</v>
      </c>
      <c r="E16642" s="3" t="s">
        <v>100</v>
      </c>
      <c r="F16642" s="7">
        <v>46068.501402410504</v>
      </c>
      <c r="G16642" s="3" t="s">
        <v>23603</v>
      </c>
    </row>
    <row r="16643">
      <c r="A16643" s="3" t="s">
        <v>32678</v>
      </c>
      <c r="B16643" s="3" t="s">
        <v>13861</v>
      </c>
      <c r="C16643" s="5" t="s">
        <v>206</v>
      </c>
      <c r="D16643" s="3" t="s">
        <v>68</v>
      </c>
      <c r="E16643" s="3" t="s">
        <v>100</v>
      </c>
      <c r="F16643" s="7">
        <v>46068.50487463272</v>
      </c>
      <c r="G16643" s="3" t="s">
        <v>23606</v>
      </c>
    </row>
    <row r="16644">
      <c r="A16644" s="3" t="s">
        <v>32679</v>
      </c>
      <c r="B16644" s="3" t="s">
        <v>13865</v>
      </c>
      <c r="C16644" s="5" t="s">
        <v>45</v>
      </c>
      <c r="D16644" s="3" t="s">
        <v>221</v>
      </c>
      <c r="E16644" s="3" t="s">
        <v>811</v>
      </c>
      <c r="F16644" s="7">
        <v>46068.565632811464</v>
      </c>
      <c r="G16644" s="3" t="s">
        <v>7522</v>
      </c>
    </row>
    <row r="16645">
      <c r="A16645" s="3" t="s">
        <v>32680</v>
      </c>
      <c r="B16645" s="3" t="s">
        <v>13865</v>
      </c>
      <c r="C16645" s="5" t="s">
        <v>221</v>
      </c>
      <c r="D16645" s="3" t="s">
        <v>614</v>
      </c>
      <c r="E16645" s="3" t="s">
        <v>118</v>
      </c>
      <c r="F16645" s="7">
        <v>46068.56910503368</v>
      </c>
      <c r="G16645" s="3" t="s">
        <v>7525</v>
      </c>
    </row>
    <row r="16646">
      <c r="A16646" s="3" t="s">
        <v>32681</v>
      </c>
      <c r="B16646" s="3" t="s">
        <v>13865</v>
      </c>
      <c r="C16646" s="5" t="s">
        <v>614</v>
      </c>
      <c r="D16646" s="3" t="s">
        <v>206</v>
      </c>
      <c r="E16646" s="3" t="s">
        <v>100</v>
      </c>
      <c r="F16646" s="7">
        <v>46068.57257725591</v>
      </c>
      <c r="G16646" s="3" t="s">
        <v>7528</v>
      </c>
    </row>
    <row r="16647">
      <c r="A16647" s="3" t="s">
        <v>32682</v>
      </c>
      <c r="B16647" s="3" t="s">
        <v>13865</v>
      </c>
      <c r="C16647" s="5" t="s">
        <v>206</v>
      </c>
      <c r="D16647" s="3" t="s">
        <v>68</v>
      </c>
      <c r="E16647" s="3" t="s">
        <v>100</v>
      </c>
      <c r="F16647" s="7">
        <v>46068.57604947813</v>
      </c>
      <c r="G16647" s="3" t="s">
        <v>7531</v>
      </c>
    </row>
    <row r="16648">
      <c r="A16648" s="3" t="s">
        <v>32683</v>
      </c>
      <c r="B16648" s="3" t="s">
        <v>13871</v>
      </c>
      <c r="C16648" s="5" t="s">
        <v>45</v>
      </c>
      <c r="D16648" s="3" t="s">
        <v>221</v>
      </c>
      <c r="E16648" s="3" t="s">
        <v>949</v>
      </c>
      <c r="F16648" s="7">
        <v>46068.63680765688</v>
      </c>
      <c r="G16648" s="3" t="s">
        <v>2770</v>
      </c>
    </row>
    <row r="16649">
      <c r="A16649" s="3" t="s">
        <v>32684</v>
      </c>
      <c r="B16649" s="3" t="s">
        <v>13871</v>
      </c>
      <c r="C16649" s="5" t="s">
        <v>221</v>
      </c>
      <c r="D16649" s="3" t="s">
        <v>195</v>
      </c>
      <c r="E16649" s="3" t="s">
        <v>949</v>
      </c>
      <c r="F16649" s="7">
        <v>46068.6402798791</v>
      </c>
      <c r="G16649" s="3" t="s">
        <v>3055</v>
      </c>
    </row>
    <row r="16650">
      <c r="A16650" s="3" t="s">
        <v>32685</v>
      </c>
      <c r="B16650" s="3" t="s">
        <v>13872</v>
      </c>
      <c r="C16650" s="5" t="s">
        <v>45</v>
      </c>
      <c r="D16650" s="3" t="s">
        <v>221</v>
      </c>
      <c r="E16650" s="3" t="s">
        <v>767</v>
      </c>
      <c r="F16650" s="7">
        <v>46068.7079825023</v>
      </c>
      <c r="G16650" s="3" t="s">
        <v>25202</v>
      </c>
    </row>
    <row r="16651">
      <c r="A16651" s="3" t="s">
        <v>32686</v>
      </c>
      <c r="B16651" s="3" t="s">
        <v>13872</v>
      </c>
      <c r="C16651" s="5" t="s">
        <v>221</v>
      </c>
      <c r="D16651" s="3" t="s">
        <v>614</v>
      </c>
      <c r="E16651" s="3" t="s">
        <v>118</v>
      </c>
      <c r="F16651" s="7">
        <v>46068.71145472452</v>
      </c>
      <c r="G16651" s="3" t="s">
        <v>25204</v>
      </c>
    </row>
    <row r="16652">
      <c r="A16652" s="3" t="s">
        <v>32687</v>
      </c>
      <c r="B16652" s="3" t="s">
        <v>13872</v>
      </c>
      <c r="C16652" s="5" t="s">
        <v>614</v>
      </c>
      <c r="D16652" s="3" t="s">
        <v>206</v>
      </c>
      <c r="E16652" s="3" t="s">
        <v>100</v>
      </c>
      <c r="F16652" s="7">
        <v>46068.71492694675</v>
      </c>
      <c r="G16652" s="3" t="s">
        <v>25206</v>
      </c>
    </row>
    <row r="16653">
      <c r="A16653" s="3" t="s">
        <v>32688</v>
      </c>
      <c r="B16653" s="3" t="s">
        <v>13872</v>
      </c>
      <c r="C16653" s="5" t="s">
        <v>206</v>
      </c>
      <c r="D16653" s="3" t="s">
        <v>68</v>
      </c>
      <c r="E16653" s="3" t="s">
        <v>100</v>
      </c>
      <c r="F16653" s="7">
        <v>46068.71839916897</v>
      </c>
      <c r="G16653" s="3" t="s">
        <v>25208</v>
      </c>
    </row>
    <row r="16654">
      <c r="A16654" s="3" t="s">
        <v>32689</v>
      </c>
      <c r="B16654" s="3" t="s">
        <v>13876</v>
      </c>
      <c r="C16654" s="5" t="s">
        <v>45</v>
      </c>
      <c r="D16654" s="3" t="s">
        <v>221</v>
      </c>
      <c r="E16654" s="3" t="s">
        <v>1043</v>
      </c>
      <c r="F16654" s="7">
        <v>46068.779157347715</v>
      </c>
      <c r="G16654" s="3" t="s">
        <v>7546</v>
      </c>
    </row>
    <row r="16655">
      <c r="A16655" s="3" t="s">
        <v>32690</v>
      </c>
      <c r="B16655" s="3" t="s">
        <v>13876</v>
      </c>
      <c r="C16655" s="5" t="s">
        <v>221</v>
      </c>
      <c r="D16655" s="3" t="s">
        <v>614</v>
      </c>
      <c r="E16655" s="3" t="s">
        <v>118</v>
      </c>
      <c r="F16655" s="7">
        <v>46068.782629569934</v>
      </c>
      <c r="G16655" s="3" t="s">
        <v>7549</v>
      </c>
    </row>
    <row r="16656">
      <c r="A16656" s="3" t="s">
        <v>32691</v>
      </c>
      <c r="B16656" s="3" t="s">
        <v>13876</v>
      </c>
      <c r="C16656" s="5" t="s">
        <v>614</v>
      </c>
      <c r="D16656" s="3" t="s">
        <v>206</v>
      </c>
      <c r="E16656" s="3" t="s">
        <v>100</v>
      </c>
      <c r="F16656" s="7">
        <v>46068.78610179216</v>
      </c>
      <c r="G16656" s="3" t="s">
        <v>7552</v>
      </c>
    </row>
    <row r="16657">
      <c r="A16657" s="3" t="s">
        <v>32692</v>
      </c>
      <c r="B16657" s="3" t="s">
        <v>13876</v>
      </c>
      <c r="C16657" s="5" t="s">
        <v>206</v>
      </c>
      <c r="D16657" s="3" t="s">
        <v>68</v>
      </c>
      <c r="E16657" s="3" t="s">
        <v>100</v>
      </c>
      <c r="F16657" s="7">
        <v>46068.78957401438</v>
      </c>
      <c r="G16657" s="3" t="s">
        <v>7555</v>
      </c>
    </row>
    <row r="16658">
      <c r="A16658" s="3" t="s">
        <v>32693</v>
      </c>
      <c r="B16658" s="3" t="s">
        <v>13880</v>
      </c>
      <c r="C16658" s="5" t="s">
        <v>45</v>
      </c>
      <c r="D16658" s="3" t="s">
        <v>221</v>
      </c>
      <c r="E16658" s="3" t="s">
        <v>805</v>
      </c>
      <c r="F16658" s="7">
        <v>46068.85033219313</v>
      </c>
      <c r="G16658" s="3" t="s">
        <v>7557</v>
      </c>
    </row>
    <row r="16659">
      <c r="A16659" s="3" t="s">
        <v>32694</v>
      </c>
      <c r="B16659" s="3" t="s">
        <v>13880</v>
      </c>
      <c r="C16659" s="5" t="s">
        <v>221</v>
      </c>
      <c r="D16659" s="3" t="s">
        <v>614</v>
      </c>
      <c r="E16659" s="3" t="s">
        <v>118</v>
      </c>
      <c r="F16659" s="7">
        <v>46068.85380441535</v>
      </c>
      <c r="G16659" s="3" t="s">
        <v>7560</v>
      </c>
    </row>
    <row r="16660">
      <c r="A16660" s="3" t="s">
        <v>32695</v>
      </c>
      <c r="B16660" s="3" t="s">
        <v>13880</v>
      </c>
      <c r="C16660" s="5" t="s">
        <v>614</v>
      </c>
      <c r="D16660" s="3" t="s">
        <v>206</v>
      </c>
      <c r="E16660" s="3" t="s">
        <v>100</v>
      </c>
      <c r="F16660" s="7">
        <v>46068.85727663757</v>
      </c>
      <c r="G16660" s="3" t="s">
        <v>7563</v>
      </c>
    </row>
    <row r="16661">
      <c r="A16661" s="3" t="s">
        <v>32696</v>
      </c>
      <c r="B16661" s="3" t="s">
        <v>13880</v>
      </c>
      <c r="C16661" s="5" t="s">
        <v>206</v>
      </c>
      <c r="D16661" s="3" t="s">
        <v>68</v>
      </c>
      <c r="E16661" s="3" t="s">
        <v>100</v>
      </c>
      <c r="F16661" s="7">
        <v>46068.86074885979</v>
      </c>
      <c r="G16661" s="3" t="s">
        <v>7566</v>
      </c>
    </row>
    <row r="16662">
      <c r="A16662" s="3" t="s">
        <v>32697</v>
      </c>
      <c r="B16662" s="3" t="s">
        <v>13885</v>
      </c>
      <c r="C16662" s="5" t="s">
        <v>45</v>
      </c>
      <c r="D16662" s="3" t="s">
        <v>221</v>
      </c>
      <c r="E16662" s="3" t="s">
        <v>466</v>
      </c>
      <c r="F16662" s="7">
        <v>46068.92150703855</v>
      </c>
      <c r="G16662" s="3" t="s">
        <v>6498</v>
      </c>
    </row>
    <row r="16663">
      <c r="A16663" s="3" t="s">
        <v>32698</v>
      </c>
      <c r="B16663" s="3" t="s">
        <v>13885</v>
      </c>
      <c r="C16663" s="5" t="s">
        <v>221</v>
      </c>
      <c r="D16663" s="3" t="s">
        <v>614</v>
      </c>
      <c r="E16663" s="3" t="s">
        <v>118</v>
      </c>
      <c r="F16663" s="7">
        <v>46068.924979260766</v>
      </c>
      <c r="G16663" s="3" t="s">
        <v>6501</v>
      </c>
    </row>
    <row r="16664">
      <c r="A16664" s="3" t="s">
        <v>32699</v>
      </c>
      <c r="B16664" s="3" t="s">
        <v>13885</v>
      </c>
      <c r="C16664" s="5" t="s">
        <v>614</v>
      </c>
      <c r="D16664" s="3" t="s">
        <v>206</v>
      </c>
      <c r="E16664" s="3" t="s">
        <v>100</v>
      </c>
      <c r="F16664" s="7">
        <v>46068.92845148299</v>
      </c>
      <c r="G16664" s="3" t="s">
        <v>6504</v>
      </c>
    </row>
    <row r="16665">
      <c r="A16665" s="3" t="s">
        <v>32700</v>
      </c>
      <c r="B16665" s="3" t="s">
        <v>13885</v>
      </c>
      <c r="C16665" s="5" t="s">
        <v>206</v>
      </c>
      <c r="D16665" s="3" t="s">
        <v>68</v>
      </c>
      <c r="E16665" s="3" t="s">
        <v>100</v>
      </c>
      <c r="F16665" s="7">
        <v>46068.93192370521</v>
      </c>
      <c r="G16665" s="3" t="s">
        <v>6507</v>
      </c>
    </row>
    <row r="16666">
      <c r="A16666" s="3" t="s">
        <v>32701</v>
      </c>
      <c r="B16666" s="3" t="s">
        <v>13890</v>
      </c>
      <c r="C16666" s="5" t="s">
        <v>45</v>
      </c>
      <c r="D16666" s="3" t="s">
        <v>221</v>
      </c>
      <c r="E16666" s="3" t="s">
        <v>860</v>
      </c>
      <c r="F16666" s="7">
        <v>46068.99268188396</v>
      </c>
      <c r="G16666" s="3" t="s">
        <v>24027</v>
      </c>
    </row>
    <row r="16667">
      <c r="A16667" s="3" t="s">
        <v>32702</v>
      </c>
      <c r="B16667" s="3" t="s">
        <v>13890</v>
      </c>
      <c r="C16667" s="5" t="s">
        <v>221</v>
      </c>
      <c r="D16667" s="3" t="s">
        <v>614</v>
      </c>
      <c r="E16667" s="3" t="s">
        <v>118</v>
      </c>
      <c r="F16667" s="7">
        <v>46068.99615410618</v>
      </c>
      <c r="G16667" s="3" t="s">
        <v>24029</v>
      </c>
    </row>
    <row r="16668">
      <c r="A16668" s="3" t="s">
        <v>32703</v>
      </c>
      <c r="B16668" s="3" t="s">
        <v>13890</v>
      </c>
      <c r="C16668" s="5" t="s">
        <v>614</v>
      </c>
      <c r="D16668" s="3" t="s">
        <v>206</v>
      </c>
      <c r="E16668" s="3" t="s">
        <v>100</v>
      </c>
      <c r="F16668" s="7">
        <v>46068.999626328405</v>
      </c>
      <c r="G16668" s="3" t="s">
        <v>24031</v>
      </c>
    </row>
    <row r="16669">
      <c r="A16669" s="3" t="s">
        <v>32704</v>
      </c>
      <c r="B16669" s="3" t="s">
        <v>13890</v>
      </c>
      <c r="C16669" s="5" t="s">
        <v>206</v>
      </c>
      <c r="D16669" s="3" t="s">
        <v>68</v>
      </c>
      <c r="E16669" s="3" t="s">
        <v>100</v>
      </c>
      <c r="F16669" s="7">
        <v>46069.003098550624</v>
      </c>
      <c r="G16669" s="3" t="s">
        <v>24033</v>
      </c>
    </row>
    <row r="16670">
      <c r="A16670" s="3" t="s">
        <v>32705</v>
      </c>
      <c r="B16670" s="3" t="s">
        <v>13893</v>
      </c>
      <c r="C16670" s="5" t="s">
        <v>45</v>
      </c>
      <c r="D16670" s="3" t="s">
        <v>221</v>
      </c>
      <c r="E16670" s="3" t="s">
        <v>373</v>
      </c>
      <c r="F16670" s="7">
        <v>46069.06385672937</v>
      </c>
      <c r="G16670" s="3" t="s">
        <v>15923</v>
      </c>
    </row>
    <row r="16671">
      <c r="A16671" s="3" t="s">
        <v>32706</v>
      </c>
      <c r="B16671" s="3" t="s">
        <v>13893</v>
      </c>
      <c r="C16671" s="5" t="s">
        <v>221</v>
      </c>
      <c r="D16671" s="3" t="s">
        <v>614</v>
      </c>
      <c r="E16671" s="3" t="s">
        <v>118</v>
      </c>
      <c r="F16671" s="7">
        <v>46069.06732895159</v>
      </c>
      <c r="G16671" s="3" t="s">
        <v>15925</v>
      </c>
    </row>
    <row r="16672">
      <c r="A16672" s="3" t="s">
        <v>32707</v>
      </c>
      <c r="B16672" s="3" t="s">
        <v>13893</v>
      </c>
      <c r="C16672" s="5" t="s">
        <v>614</v>
      </c>
      <c r="D16672" s="3" t="s">
        <v>206</v>
      </c>
      <c r="E16672" s="3" t="s">
        <v>100</v>
      </c>
      <c r="F16672" s="7">
        <v>46069.07080117382</v>
      </c>
      <c r="G16672" s="3" t="s">
        <v>15928</v>
      </c>
    </row>
    <row r="16673">
      <c r="A16673" s="3" t="s">
        <v>32708</v>
      </c>
      <c r="B16673" s="3" t="s">
        <v>13893</v>
      </c>
      <c r="C16673" s="5" t="s">
        <v>206</v>
      </c>
      <c r="D16673" s="3" t="s">
        <v>68</v>
      </c>
      <c r="E16673" s="3" t="s">
        <v>100</v>
      </c>
      <c r="F16673" s="7">
        <v>46069.074273396036</v>
      </c>
      <c r="G16673" s="3" t="s">
        <v>15931</v>
      </c>
    </row>
    <row r="16674">
      <c r="A16674" s="3" t="s">
        <v>32709</v>
      </c>
      <c r="B16674" s="3" t="s">
        <v>13896</v>
      </c>
      <c r="C16674" s="5" t="s">
        <v>45</v>
      </c>
      <c r="D16674" s="3" t="s">
        <v>221</v>
      </c>
      <c r="E16674" s="3" t="s">
        <v>519</v>
      </c>
      <c r="F16674" s="7">
        <v>46069.13503157479</v>
      </c>
      <c r="G16674" s="3" t="s">
        <v>7117</v>
      </c>
    </row>
    <row r="16675">
      <c r="A16675" s="3" t="s">
        <v>32710</v>
      </c>
      <c r="B16675" s="3" t="s">
        <v>13896</v>
      </c>
      <c r="C16675" s="5" t="s">
        <v>221</v>
      </c>
      <c r="D16675" s="3" t="s">
        <v>614</v>
      </c>
      <c r="E16675" s="3" t="s">
        <v>118</v>
      </c>
      <c r="F16675" s="7">
        <v>46069.13850379701</v>
      </c>
      <c r="G16675" s="3" t="s">
        <v>7120</v>
      </c>
    </row>
    <row r="16676">
      <c r="A16676" s="3" t="s">
        <v>32711</v>
      </c>
      <c r="B16676" s="3" t="s">
        <v>13896</v>
      </c>
      <c r="C16676" s="5" t="s">
        <v>614</v>
      </c>
      <c r="D16676" s="3" t="s">
        <v>206</v>
      </c>
      <c r="E16676" s="3" t="s">
        <v>100</v>
      </c>
      <c r="F16676" s="7">
        <v>46069.14197601924</v>
      </c>
      <c r="G16676" s="3" t="s">
        <v>7123</v>
      </c>
    </row>
    <row r="16677">
      <c r="A16677" s="3" t="s">
        <v>32712</v>
      </c>
      <c r="B16677" s="3" t="s">
        <v>13896</v>
      </c>
      <c r="C16677" s="5" t="s">
        <v>206</v>
      </c>
      <c r="D16677" s="3" t="s">
        <v>68</v>
      </c>
      <c r="E16677" s="3" t="s">
        <v>100</v>
      </c>
      <c r="F16677" s="7">
        <v>46069.145448241456</v>
      </c>
      <c r="G16677" s="3" t="s">
        <v>7126</v>
      </c>
    </row>
    <row r="16678">
      <c r="A16678" s="3" t="s">
        <v>32713</v>
      </c>
      <c r="B16678" s="3" t="s">
        <v>13900</v>
      </c>
      <c r="C16678" s="5" t="s">
        <v>45</v>
      </c>
      <c r="D16678" s="3" t="s">
        <v>221</v>
      </c>
      <c r="E16678" s="3" t="s">
        <v>466</v>
      </c>
      <c r="F16678" s="7">
        <v>46069.20620642021</v>
      </c>
      <c r="G16678" s="3" t="s">
        <v>6498</v>
      </c>
    </row>
    <row r="16679">
      <c r="A16679" s="3" t="s">
        <v>32714</v>
      </c>
      <c r="B16679" s="3" t="s">
        <v>13900</v>
      </c>
      <c r="C16679" s="5" t="s">
        <v>221</v>
      </c>
      <c r="D16679" s="3" t="s">
        <v>614</v>
      </c>
      <c r="E16679" s="3" t="s">
        <v>118</v>
      </c>
      <c r="F16679" s="7">
        <v>46069.20967864243</v>
      </c>
      <c r="G16679" s="3" t="s">
        <v>6501</v>
      </c>
    </row>
    <row r="16680">
      <c r="A16680" s="3" t="s">
        <v>32715</v>
      </c>
      <c r="B16680" s="3" t="s">
        <v>13900</v>
      </c>
      <c r="C16680" s="5" t="s">
        <v>614</v>
      </c>
      <c r="D16680" s="3" t="s">
        <v>206</v>
      </c>
      <c r="E16680" s="3" t="s">
        <v>100</v>
      </c>
      <c r="F16680" s="7">
        <v>46069.213150864656</v>
      </c>
      <c r="G16680" s="3" t="s">
        <v>6504</v>
      </c>
    </row>
    <row r="16681">
      <c r="A16681" s="3" t="s">
        <v>32716</v>
      </c>
      <c r="B16681" s="3" t="s">
        <v>13900</v>
      </c>
      <c r="C16681" s="5" t="s">
        <v>206</v>
      </c>
      <c r="D16681" s="3" t="s">
        <v>68</v>
      </c>
      <c r="E16681" s="3" t="s">
        <v>100</v>
      </c>
      <c r="F16681" s="7">
        <v>46069.216623086875</v>
      </c>
      <c r="G16681" s="3" t="s">
        <v>6507</v>
      </c>
    </row>
    <row r="16682">
      <c r="A16682" s="3" t="s">
        <v>32717</v>
      </c>
      <c r="B16682" s="3" t="s">
        <v>13903</v>
      </c>
      <c r="C16682" s="5" t="s">
        <v>45</v>
      </c>
      <c r="D16682" s="3" t="s">
        <v>221</v>
      </c>
      <c r="E16682" s="3" t="s">
        <v>710</v>
      </c>
      <c r="F16682" s="7">
        <v>46069.277381265616</v>
      </c>
      <c r="G16682" s="3" t="s">
        <v>8780</v>
      </c>
    </row>
    <row r="16683">
      <c r="A16683" s="3" t="s">
        <v>32718</v>
      </c>
      <c r="B16683" s="3" t="s">
        <v>13903</v>
      </c>
      <c r="C16683" s="5" t="s">
        <v>221</v>
      </c>
      <c r="D16683" s="3" t="s">
        <v>614</v>
      </c>
      <c r="E16683" s="3" t="s">
        <v>118</v>
      </c>
      <c r="F16683" s="7">
        <v>46069.280853487835</v>
      </c>
      <c r="G16683" s="3" t="s">
        <v>24241</v>
      </c>
    </row>
    <row r="16684">
      <c r="A16684" s="3" t="s">
        <v>32719</v>
      </c>
      <c r="B16684" s="3" t="s">
        <v>13903</v>
      </c>
      <c r="C16684" s="5" t="s">
        <v>614</v>
      </c>
      <c r="D16684" s="3" t="s">
        <v>206</v>
      </c>
      <c r="E16684" s="3" t="s">
        <v>100</v>
      </c>
      <c r="F16684" s="7">
        <v>46069.28432571006</v>
      </c>
      <c r="G16684" s="3" t="s">
        <v>24243</v>
      </c>
    </row>
    <row r="16685">
      <c r="A16685" s="3" t="s">
        <v>32720</v>
      </c>
      <c r="B16685" s="3" t="s">
        <v>13903</v>
      </c>
      <c r="C16685" s="5" t="s">
        <v>206</v>
      </c>
      <c r="D16685" s="3" t="s">
        <v>68</v>
      </c>
      <c r="E16685" s="3" t="s">
        <v>100</v>
      </c>
      <c r="F16685" s="7">
        <v>46069.28779793228</v>
      </c>
      <c r="G16685" s="3" t="s">
        <v>24245</v>
      </c>
    </row>
    <row r="16686">
      <c r="A16686" s="3" t="s">
        <v>32721</v>
      </c>
      <c r="B16686" s="3" t="s">
        <v>13907</v>
      </c>
      <c r="C16686" s="5" t="s">
        <v>45</v>
      </c>
      <c r="D16686" s="3" t="s">
        <v>221</v>
      </c>
      <c r="E16686" s="3" t="s">
        <v>475</v>
      </c>
      <c r="F16686" s="7">
        <v>46069.348556111036</v>
      </c>
      <c r="G16686" s="3" t="s">
        <v>2770</v>
      </c>
    </row>
    <row r="16687">
      <c r="A16687" s="3" t="s">
        <v>32722</v>
      </c>
      <c r="B16687" s="3" t="s">
        <v>13907</v>
      </c>
      <c r="C16687" s="5" t="s">
        <v>221</v>
      </c>
      <c r="D16687" s="3" t="s">
        <v>195</v>
      </c>
      <c r="E16687" s="3" t="s">
        <v>475</v>
      </c>
      <c r="F16687" s="7">
        <v>46069.352028333255</v>
      </c>
      <c r="G16687" s="3" t="s">
        <v>3055</v>
      </c>
    </row>
    <row r="16688">
      <c r="A16688" s="3" t="s">
        <v>32723</v>
      </c>
      <c r="B16688" s="3" t="s">
        <v>13910</v>
      </c>
      <c r="C16688" s="5" t="s">
        <v>45</v>
      </c>
      <c r="D16688" s="3" t="s">
        <v>221</v>
      </c>
      <c r="E16688" s="3" t="s">
        <v>1040</v>
      </c>
      <c r="F16688" s="7">
        <v>46069.41973095645</v>
      </c>
      <c r="G16688" s="3" t="s">
        <v>8120</v>
      </c>
    </row>
    <row r="16689">
      <c r="A16689" s="3" t="s">
        <v>32724</v>
      </c>
      <c r="B16689" s="3" t="s">
        <v>13910</v>
      </c>
      <c r="C16689" s="5" t="s">
        <v>221</v>
      </c>
      <c r="D16689" s="3" t="s">
        <v>614</v>
      </c>
      <c r="E16689" s="3" t="s">
        <v>118</v>
      </c>
      <c r="F16689" s="7">
        <v>46069.42320317867</v>
      </c>
      <c r="G16689" s="3" t="s">
        <v>8123</v>
      </c>
    </row>
    <row r="16690">
      <c r="A16690" s="3" t="s">
        <v>32725</v>
      </c>
      <c r="B16690" s="3" t="s">
        <v>13910</v>
      </c>
      <c r="C16690" s="5" t="s">
        <v>614</v>
      </c>
      <c r="D16690" s="3" t="s">
        <v>206</v>
      </c>
      <c r="E16690" s="3" t="s">
        <v>100</v>
      </c>
      <c r="F16690" s="7">
        <v>46069.42667540089</v>
      </c>
      <c r="G16690" s="3" t="s">
        <v>8125</v>
      </c>
    </row>
    <row r="16691">
      <c r="A16691" s="3" t="s">
        <v>32726</v>
      </c>
      <c r="B16691" s="3" t="s">
        <v>13910</v>
      </c>
      <c r="C16691" s="5" t="s">
        <v>206</v>
      </c>
      <c r="D16691" s="3" t="s">
        <v>68</v>
      </c>
      <c r="E16691" s="3" t="s">
        <v>100</v>
      </c>
      <c r="F16691" s="7">
        <v>46069.43014762311</v>
      </c>
      <c r="G16691" s="3" t="s">
        <v>8128</v>
      </c>
    </row>
    <row r="16692">
      <c r="A16692" s="3" t="s">
        <v>32727</v>
      </c>
      <c r="B16692" s="3" t="s">
        <v>13913</v>
      </c>
      <c r="C16692" s="5" t="s">
        <v>45</v>
      </c>
      <c r="D16692" s="3" t="s">
        <v>221</v>
      </c>
      <c r="E16692" s="3" t="s">
        <v>280</v>
      </c>
      <c r="F16692" s="7">
        <v>46069.49090580187</v>
      </c>
      <c r="G16692" s="3" t="s">
        <v>30273</v>
      </c>
    </row>
    <row r="16693">
      <c r="A16693" s="3" t="s">
        <v>32728</v>
      </c>
      <c r="B16693" s="3" t="s">
        <v>13913</v>
      </c>
      <c r="C16693" s="5" t="s">
        <v>221</v>
      </c>
      <c r="D16693" s="3" t="s">
        <v>181</v>
      </c>
      <c r="E16693" s="3" t="s">
        <v>118</v>
      </c>
      <c r="F16693" s="7">
        <v>46069.49437802409</v>
      </c>
      <c r="G16693" s="3" t="s">
        <v>30327</v>
      </c>
    </row>
    <row r="16694">
      <c r="A16694" s="3" t="s">
        <v>32729</v>
      </c>
      <c r="B16694" s="3" t="s">
        <v>13917</v>
      </c>
      <c r="C16694" s="5" t="s">
        <v>45</v>
      </c>
      <c r="D16694" s="3" t="s">
        <v>221</v>
      </c>
      <c r="E16694" s="3" t="s">
        <v>557</v>
      </c>
      <c r="F16694" s="7">
        <v>46069.56208064728</v>
      </c>
      <c r="G16694" s="3" t="s">
        <v>15126</v>
      </c>
    </row>
    <row r="16695">
      <c r="A16695" s="3" t="s">
        <v>32730</v>
      </c>
      <c r="B16695" s="3" t="s">
        <v>13917</v>
      </c>
      <c r="C16695" s="5" t="s">
        <v>221</v>
      </c>
      <c r="D16695" s="3" t="s">
        <v>614</v>
      </c>
      <c r="E16695" s="3" t="s">
        <v>118</v>
      </c>
      <c r="F16695" s="7">
        <v>46069.5655528695</v>
      </c>
      <c r="G16695" s="3" t="s">
        <v>15129</v>
      </c>
    </row>
    <row r="16696">
      <c r="A16696" s="3" t="s">
        <v>32731</v>
      </c>
      <c r="B16696" s="3" t="s">
        <v>13917</v>
      </c>
      <c r="C16696" s="5" t="s">
        <v>614</v>
      </c>
      <c r="D16696" s="3" t="s">
        <v>206</v>
      </c>
      <c r="E16696" s="3" t="s">
        <v>100</v>
      </c>
      <c r="F16696" s="7">
        <v>46069.569025091725</v>
      </c>
      <c r="G16696" s="3" t="s">
        <v>15131</v>
      </c>
    </row>
    <row r="16697">
      <c r="A16697" s="3" t="s">
        <v>32732</v>
      </c>
      <c r="B16697" s="3" t="s">
        <v>13917</v>
      </c>
      <c r="C16697" s="5" t="s">
        <v>206</v>
      </c>
      <c r="D16697" s="3" t="s">
        <v>68</v>
      </c>
      <c r="E16697" s="3" t="s">
        <v>100</v>
      </c>
      <c r="F16697" s="7">
        <v>46069.572497313944</v>
      </c>
      <c r="G16697" s="3" t="s">
        <v>15134</v>
      </c>
    </row>
    <row r="16698">
      <c r="A16698" s="3" t="s">
        <v>32733</v>
      </c>
      <c r="B16698" s="3" t="s">
        <v>13921</v>
      </c>
      <c r="C16698" s="5" t="s">
        <v>45</v>
      </c>
      <c r="D16698" s="3" t="s">
        <v>221</v>
      </c>
      <c r="E16698" s="3" t="s">
        <v>485</v>
      </c>
      <c r="F16698" s="7">
        <v>46069.6332554927</v>
      </c>
      <c r="G16698" s="3" t="s">
        <v>12294</v>
      </c>
    </row>
    <row r="16699">
      <c r="A16699" s="3" t="s">
        <v>32734</v>
      </c>
      <c r="B16699" s="3" t="s">
        <v>13921</v>
      </c>
      <c r="C16699" s="5" t="s">
        <v>221</v>
      </c>
      <c r="D16699" s="3" t="s">
        <v>614</v>
      </c>
      <c r="E16699" s="3" t="s">
        <v>118</v>
      </c>
      <c r="F16699" s="7">
        <v>46069.63672771492</v>
      </c>
      <c r="G16699" s="3" t="s">
        <v>16559</v>
      </c>
    </row>
    <row r="16700">
      <c r="A16700" s="3" t="s">
        <v>32735</v>
      </c>
      <c r="B16700" s="3" t="s">
        <v>13921</v>
      </c>
      <c r="C16700" s="5" t="s">
        <v>614</v>
      </c>
      <c r="D16700" s="3" t="s">
        <v>206</v>
      </c>
      <c r="E16700" s="3" t="s">
        <v>100</v>
      </c>
      <c r="F16700" s="7">
        <v>46069.640199937145</v>
      </c>
      <c r="G16700" s="3" t="s">
        <v>16562</v>
      </c>
    </row>
    <row r="16701">
      <c r="A16701" s="3" t="s">
        <v>32736</v>
      </c>
      <c r="B16701" s="3" t="s">
        <v>13921</v>
      </c>
      <c r="C16701" s="5" t="s">
        <v>206</v>
      </c>
      <c r="D16701" s="3" t="s">
        <v>68</v>
      </c>
      <c r="E16701" s="3" t="s">
        <v>100</v>
      </c>
      <c r="F16701" s="7">
        <v>46069.64367215936</v>
      </c>
      <c r="G16701" s="3" t="s">
        <v>16565</v>
      </c>
    </row>
    <row r="16702">
      <c r="A16702" s="3" t="s">
        <v>32737</v>
      </c>
      <c r="B16702" s="3" t="s">
        <v>13924</v>
      </c>
      <c r="C16702" s="5" t="s">
        <v>45</v>
      </c>
      <c r="D16702" s="3" t="s">
        <v>221</v>
      </c>
      <c r="E16702" s="3" t="s">
        <v>922</v>
      </c>
      <c r="F16702" s="7">
        <v>46069.704430338104</v>
      </c>
      <c r="G16702" s="3" t="s">
        <v>7106</v>
      </c>
    </row>
    <row r="16703">
      <c r="A16703" s="3" t="s">
        <v>32738</v>
      </c>
      <c r="B16703" s="3" t="s">
        <v>13924</v>
      </c>
      <c r="C16703" s="5" t="s">
        <v>221</v>
      </c>
      <c r="D16703" s="3" t="s">
        <v>614</v>
      </c>
      <c r="E16703" s="3" t="s">
        <v>118</v>
      </c>
      <c r="F16703" s="7">
        <v>46069.70790256032</v>
      </c>
      <c r="G16703" s="3" t="s">
        <v>7109</v>
      </c>
    </row>
    <row r="16704">
      <c r="A16704" s="3" t="s">
        <v>32739</v>
      </c>
      <c r="B16704" s="3" t="s">
        <v>13924</v>
      </c>
      <c r="C16704" s="5" t="s">
        <v>614</v>
      </c>
      <c r="D16704" s="3" t="s">
        <v>206</v>
      </c>
      <c r="E16704" s="3" t="s">
        <v>100</v>
      </c>
      <c r="F16704" s="7">
        <v>46069.71137478255</v>
      </c>
      <c r="G16704" s="3" t="s">
        <v>7112</v>
      </c>
    </row>
    <row r="16705">
      <c r="A16705" s="3" t="s">
        <v>32740</v>
      </c>
      <c r="B16705" s="3" t="s">
        <v>13924</v>
      </c>
      <c r="C16705" s="5" t="s">
        <v>206</v>
      </c>
      <c r="D16705" s="3" t="s">
        <v>68</v>
      </c>
      <c r="E16705" s="3" t="s">
        <v>100</v>
      </c>
      <c r="F16705" s="7">
        <v>46069.71484700477</v>
      </c>
      <c r="G16705" s="3" t="s">
        <v>7114</v>
      </c>
    </row>
    <row r="16706">
      <c r="A16706" s="3" t="s">
        <v>32741</v>
      </c>
      <c r="B16706" s="3" t="s">
        <v>13927</v>
      </c>
      <c r="C16706" s="5" t="s">
        <v>45</v>
      </c>
      <c r="D16706" s="3" t="s">
        <v>221</v>
      </c>
      <c r="E16706" s="3" t="s">
        <v>202</v>
      </c>
      <c r="F16706" s="7">
        <v>46069.775605183524</v>
      </c>
      <c r="G16706" s="3" t="s">
        <v>6614</v>
      </c>
    </row>
    <row r="16707">
      <c r="A16707" s="3" t="s">
        <v>32742</v>
      </c>
      <c r="B16707" s="3" t="s">
        <v>13927</v>
      </c>
      <c r="C16707" s="5" t="s">
        <v>221</v>
      </c>
      <c r="D16707" s="3" t="s">
        <v>614</v>
      </c>
      <c r="E16707" s="3" t="s">
        <v>118</v>
      </c>
      <c r="F16707" s="7">
        <v>46069.77907740574</v>
      </c>
      <c r="G16707" s="3" t="s">
        <v>6617</v>
      </c>
    </row>
    <row r="16708">
      <c r="A16708" s="3" t="s">
        <v>32743</v>
      </c>
      <c r="B16708" s="3" t="s">
        <v>13927</v>
      </c>
      <c r="C16708" s="5" t="s">
        <v>614</v>
      </c>
      <c r="D16708" s="3" t="s">
        <v>206</v>
      </c>
      <c r="E16708" s="3" t="s">
        <v>100</v>
      </c>
      <c r="F16708" s="7">
        <v>46069.78254962797</v>
      </c>
      <c r="G16708" s="3" t="s">
        <v>6619</v>
      </c>
    </row>
    <row r="16709">
      <c r="A16709" s="3" t="s">
        <v>32744</v>
      </c>
      <c r="B16709" s="3" t="s">
        <v>13927</v>
      </c>
      <c r="C16709" s="5" t="s">
        <v>206</v>
      </c>
      <c r="D16709" s="3" t="s">
        <v>68</v>
      </c>
      <c r="E16709" s="3" t="s">
        <v>100</v>
      </c>
      <c r="F16709" s="7">
        <v>46069.78602185019</v>
      </c>
      <c r="G16709" s="3" t="s">
        <v>6622</v>
      </c>
    </row>
    <row r="16710">
      <c r="A16710" s="3" t="s">
        <v>32745</v>
      </c>
      <c r="B16710" s="3" t="s">
        <v>13931</v>
      </c>
      <c r="C16710" s="5" t="s">
        <v>45</v>
      </c>
      <c r="D16710" s="3" t="s">
        <v>221</v>
      </c>
      <c r="E16710" s="3" t="s">
        <v>515</v>
      </c>
      <c r="F16710" s="7">
        <v>46069.84678002894</v>
      </c>
      <c r="G16710" s="3" t="s">
        <v>7569</v>
      </c>
    </row>
    <row r="16711">
      <c r="A16711" s="3" t="s">
        <v>32746</v>
      </c>
      <c r="B16711" s="3" t="s">
        <v>13931</v>
      </c>
      <c r="C16711" s="5" t="s">
        <v>221</v>
      </c>
      <c r="D16711" s="3" t="s">
        <v>614</v>
      </c>
      <c r="E16711" s="3" t="s">
        <v>118</v>
      </c>
      <c r="F16711" s="7">
        <v>46069.85025225116</v>
      </c>
      <c r="G16711" s="3" t="s">
        <v>7572</v>
      </c>
    </row>
    <row r="16712">
      <c r="A16712" s="3" t="s">
        <v>32747</v>
      </c>
      <c r="B16712" s="3" t="s">
        <v>13931</v>
      </c>
      <c r="C16712" s="5" t="s">
        <v>614</v>
      </c>
      <c r="D16712" s="3" t="s">
        <v>206</v>
      </c>
      <c r="E16712" s="3" t="s">
        <v>100</v>
      </c>
      <c r="F16712" s="7">
        <v>46069.85372447339</v>
      </c>
      <c r="G16712" s="3" t="s">
        <v>7575</v>
      </c>
    </row>
    <row r="16713">
      <c r="A16713" s="3" t="s">
        <v>32748</v>
      </c>
      <c r="B16713" s="3" t="s">
        <v>13931</v>
      </c>
      <c r="C16713" s="5" t="s">
        <v>206</v>
      </c>
      <c r="D16713" s="3" t="s">
        <v>68</v>
      </c>
      <c r="E16713" s="3" t="s">
        <v>100</v>
      </c>
      <c r="F16713" s="7">
        <v>46069.85719669561</v>
      </c>
      <c r="G16713" s="3" t="s">
        <v>7578</v>
      </c>
    </row>
    <row r="16714">
      <c r="A16714" s="3" t="s">
        <v>32749</v>
      </c>
      <c r="B16714" s="3" t="s">
        <v>13935</v>
      </c>
      <c r="C16714" s="5" t="s">
        <v>45</v>
      </c>
      <c r="D16714" s="3" t="s">
        <v>221</v>
      </c>
      <c r="E16714" s="3" t="s">
        <v>498</v>
      </c>
      <c r="F16714" s="7">
        <v>46069.917954874356</v>
      </c>
      <c r="G16714" s="3" t="s">
        <v>10003</v>
      </c>
    </row>
    <row r="16715">
      <c r="A16715" s="3" t="s">
        <v>32750</v>
      </c>
      <c r="B16715" s="3" t="s">
        <v>13935</v>
      </c>
      <c r="C16715" s="5" t="s">
        <v>221</v>
      </c>
      <c r="D16715" s="3" t="s">
        <v>614</v>
      </c>
      <c r="E16715" s="3" t="s">
        <v>118</v>
      </c>
      <c r="F16715" s="7">
        <v>46069.921427096575</v>
      </c>
      <c r="G16715" s="3" t="s">
        <v>10007</v>
      </c>
    </row>
    <row r="16716">
      <c r="A16716" s="3" t="s">
        <v>32751</v>
      </c>
      <c r="B16716" s="3" t="s">
        <v>13935</v>
      </c>
      <c r="C16716" s="5" t="s">
        <v>614</v>
      </c>
      <c r="D16716" s="3" t="s">
        <v>206</v>
      </c>
      <c r="E16716" s="3" t="s">
        <v>100</v>
      </c>
      <c r="F16716" s="7">
        <v>46069.9248993188</v>
      </c>
      <c r="G16716" s="3" t="s">
        <v>10010</v>
      </c>
    </row>
    <row r="16717">
      <c r="A16717" s="3" t="s">
        <v>32752</v>
      </c>
      <c r="B16717" s="3" t="s">
        <v>13935</v>
      </c>
      <c r="C16717" s="5" t="s">
        <v>206</v>
      </c>
      <c r="D16717" s="3" t="s">
        <v>68</v>
      </c>
      <c r="E16717" s="3" t="s">
        <v>100</v>
      </c>
      <c r="F16717" s="7">
        <v>46069.92837154102</v>
      </c>
      <c r="G16717" s="3" t="s">
        <v>10013</v>
      </c>
    </row>
    <row r="16718">
      <c r="A16718" s="3" t="s">
        <v>32753</v>
      </c>
      <c r="B16718" s="3" t="s">
        <v>13937</v>
      </c>
      <c r="C16718" s="5" t="s">
        <v>45</v>
      </c>
      <c r="D16718" s="3" t="s">
        <v>221</v>
      </c>
      <c r="E16718" s="3" t="s">
        <v>710</v>
      </c>
      <c r="F16718" s="7">
        <v>46069.98912971977</v>
      </c>
      <c r="G16718" s="3" t="s">
        <v>7459</v>
      </c>
    </row>
    <row r="16719">
      <c r="A16719" s="3" t="s">
        <v>32754</v>
      </c>
      <c r="B16719" s="3" t="s">
        <v>13937</v>
      </c>
      <c r="C16719" s="5" t="s">
        <v>221</v>
      </c>
      <c r="D16719" s="3" t="s">
        <v>614</v>
      </c>
      <c r="E16719" s="3" t="s">
        <v>118</v>
      </c>
      <c r="F16719" s="7">
        <v>46069.99260194199</v>
      </c>
      <c r="G16719" s="3" t="s">
        <v>14771</v>
      </c>
    </row>
    <row r="16720">
      <c r="A16720" s="3" t="s">
        <v>32755</v>
      </c>
      <c r="B16720" s="3" t="s">
        <v>13937</v>
      </c>
      <c r="C16720" s="5" t="s">
        <v>614</v>
      </c>
      <c r="D16720" s="3" t="s">
        <v>206</v>
      </c>
      <c r="E16720" s="3" t="s">
        <v>100</v>
      </c>
      <c r="F16720" s="7">
        <v>46069.99607416421</v>
      </c>
      <c r="G16720" s="3" t="s">
        <v>14773</v>
      </c>
    </row>
    <row r="16721">
      <c r="A16721" s="3" t="s">
        <v>32756</v>
      </c>
      <c r="B16721" s="3" t="s">
        <v>13937</v>
      </c>
      <c r="C16721" s="5" t="s">
        <v>206</v>
      </c>
      <c r="D16721" s="3" t="s">
        <v>68</v>
      </c>
      <c r="E16721" s="3" t="s">
        <v>100</v>
      </c>
      <c r="F16721" s="7">
        <v>46069.99954638643</v>
      </c>
      <c r="G16721" s="3" t="s">
        <v>14776</v>
      </c>
    </row>
    <row r="16722">
      <c r="A16722" s="3" t="s">
        <v>32757</v>
      </c>
      <c r="B16722" s="3" t="s">
        <v>13939</v>
      </c>
      <c r="C16722" s="5" t="s">
        <v>45</v>
      </c>
      <c r="D16722" s="3" t="s">
        <v>221</v>
      </c>
      <c r="E16722" s="3" t="s">
        <v>363</v>
      </c>
      <c r="F16722" s="7">
        <v>46070.06030456519</v>
      </c>
      <c r="G16722" s="3" t="s">
        <v>7581</v>
      </c>
    </row>
    <row r="16723">
      <c r="A16723" s="3" t="s">
        <v>32758</v>
      </c>
      <c r="B16723" s="3" t="s">
        <v>13939</v>
      </c>
      <c r="C16723" s="5" t="s">
        <v>221</v>
      </c>
      <c r="D16723" s="3" t="s">
        <v>614</v>
      </c>
      <c r="E16723" s="3" t="s">
        <v>118</v>
      </c>
      <c r="F16723" s="7">
        <v>46070.06377678741</v>
      </c>
      <c r="G16723" s="3" t="s">
        <v>7584</v>
      </c>
    </row>
    <row r="16724">
      <c r="A16724" s="3" t="s">
        <v>32759</v>
      </c>
      <c r="B16724" s="3" t="s">
        <v>13939</v>
      </c>
      <c r="C16724" s="5" t="s">
        <v>614</v>
      </c>
      <c r="D16724" s="3" t="s">
        <v>206</v>
      </c>
      <c r="E16724" s="3" t="s">
        <v>100</v>
      </c>
      <c r="F16724" s="7">
        <v>46070.06724900963</v>
      </c>
      <c r="G16724" s="3" t="s">
        <v>7586</v>
      </c>
    </row>
    <row r="16725">
      <c r="A16725" s="3" t="s">
        <v>32760</v>
      </c>
      <c r="B16725" s="3" t="s">
        <v>13939</v>
      </c>
      <c r="C16725" s="5" t="s">
        <v>206</v>
      </c>
      <c r="D16725" s="3" t="s">
        <v>68</v>
      </c>
      <c r="E16725" s="3" t="s">
        <v>100</v>
      </c>
      <c r="F16725" s="7">
        <v>46070.07072123185</v>
      </c>
      <c r="G16725" s="3" t="s">
        <v>7589</v>
      </c>
    </row>
    <row r="16726">
      <c r="A16726" s="3" t="s">
        <v>32761</v>
      </c>
      <c r="B16726" s="3" t="s">
        <v>13943</v>
      </c>
      <c r="C16726" s="5" t="s">
        <v>45</v>
      </c>
      <c r="D16726" s="3" t="s">
        <v>221</v>
      </c>
      <c r="E16726" s="3" t="s">
        <v>650</v>
      </c>
      <c r="F16726" s="7">
        <v>46070.1314794106</v>
      </c>
      <c r="G16726" s="3" t="s">
        <v>20491</v>
      </c>
    </row>
    <row r="16727">
      <c r="A16727" s="3" t="s">
        <v>32762</v>
      </c>
      <c r="B16727" s="3" t="s">
        <v>13943</v>
      </c>
      <c r="C16727" s="5" t="s">
        <v>221</v>
      </c>
      <c r="D16727" s="3" t="s">
        <v>614</v>
      </c>
      <c r="E16727" s="3" t="s">
        <v>118</v>
      </c>
      <c r="F16727" s="7">
        <v>46070.13495163282</v>
      </c>
      <c r="G16727" s="3" t="s">
        <v>20494</v>
      </c>
    </row>
    <row r="16728">
      <c r="A16728" s="3" t="s">
        <v>32763</v>
      </c>
      <c r="B16728" s="3" t="s">
        <v>13943</v>
      </c>
      <c r="C16728" s="5" t="s">
        <v>614</v>
      </c>
      <c r="D16728" s="3" t="s">
        <v>206</v>
      </c>
      <c r="E16728" s="3" t="s">
        <v>100</v>
      </c>
      <c r="F16728" s="7">
        <v>46070.138423855045</v>
      </c>
      <c r="G16728" s="3" t="s">
        <v>20497</v>
      </c>
    </row>
    <row r="16729">
      <c r="A16729" s="3" t="s">
        <v>32764</v>
      </c>
      <c r="B16729" s="3" t="s">
        <v>13943</v>
      </c>
      <c r="C16729" s="5" t="s">
        <v>206</v>
      </c>
      <c r="D16729" s="3" t="s">
        <v>68</v>
      </c>
      <c r="E16729" s="3" t="s">
        <v>100</v>
      </c>
      <c r="F16729" s="7">
        <v>46070.141896077264</v>
      </c>
      <c r="G16729" s="3" t="s">
        <v>20499</v>
      </c>
    </row>
    <row r="16730">
      <c r="A16730" s="3" t="s">
        <v>32765</v>
      </c>
      <c r="B16730" s="3" t="s">
        <v>13947</v>
      </c>
      <c r="C16730" s="5" t="s">
        <v>45</v>
      </c>
      <c r="D16730" s="3" t="s">
        <v>221</v>
      </c>
      <c r="E16730" s="3" t="s">
        <v>247</v>
      </c>
      <c r="F16730" s="7">
        <v>46070.20265425601</v>
      </c>
      <c r="G16730" s="3" t="s">
        <v>24380</v>
      </c>
    </row>
    <row r="16731">
      <c r="A16731" s="3" t="s">
        <v>32766</v>
      </c>
      <c r="B16731" s="3" t="s">
        <v>13947</v>
      </c>
      <c r="C16731" s="5" t="s">
        <v>221</v>
      </c>
      <c r="D16731" s="3" t="s">
        <v>614</v>
      </c>
      <c r="E16731" s="3" t="s">
        <v>118</v>
      </c>
      <c r="F16731" s="7">
        <v>46070.20612647823</v>
      </c>
      <c r="G16731" s="3" t="s">
        <v>24382</v>
      </c>
    </row>
    <row r="16732">
      <c r="A16732" s="3" t="s">
        <v>32767</v>
      </c>
      <c r="B16732" s="3" t="s">
        <v>13947</v>
      </c>
      <c r="C16732" s="5" t="s">
        <v>614</v>
      </c>
      <c r="D16732" s="3" t="s">
        <v>206</v>
      </c>
      <c r="E16732" s="3" t="s">
        <v>100</v>
      </c>
      <c r="F16732" s="7">
        <v>46070.20959870046</v>
      </c>
      <c r="G16732" s="3" t="s">
        <v>24384</v>
      </c>
    </row>
    <row r="16733">
      <c r="A16733" s="3" t="s">
        <v>32768</v>
      </c>
      <c r="B16733" s="3" t="s">
        <v>13947</v>
      </c>
      <c r="C16733" s="5" t="s">
        <v>206</v>
      </c>
      <c r="D16733" s="3" t="s">
        <v>68</v>
      </c>
      <c r="E16733" s="3" t="s">
        <v>100</v>
      </c>
      <c r="F16733" s="7">
        <v>46070.21307092268</v>
      </c>
      <c r="G16733" s="3" t="s">
        <v>24386</v>
      </c>
    </row>
    <row r="16734">
      <c r="A16734" s="3" t="s">
        <v>32769</v>
      </c>
      <c r="B16734" s="3" t="s">
        <v>13950</v>
      </c>
      <c r="C16734" s="5" t="s">
        <v>45</v>
      </c>
      <c r="D16734" s="3" t="s">
        <v>221</v>
      </c>
      <c r="E16734" s="3" t="s">
        <v>1034</v>
      </c>
      <c r="F16734" s="7">
        <v>46070.27382910143</v>
      </c>
      <c r="G16734" s="3" t="s">
        <v>7592</v>
      </c>
    </row>
    <row r="16735">
      <c r="A16735" s="3" t="s">
        <v>32770</v>
      </c>
      <c r="B16735" s="3" t="s">
        <v>13950</v>
      </c>
      <c r="C16735" s="5" t="s">
        <v>221</v>
      </c>
      <c r="D16735" s="3" t="s">
        <v>614</v>
      </c>
      <c r="E16735" s="3" t="s">
        <v>118</v>
      </c>
      <c r="F16735" s="7">
        <v>46070.27730132365</v>
      </c>
      <c r="G16735" s="3" t="s">
        <v>7595</v>
      </c>
    </row>
    <row r="16736">
      <c r="A16736" s="3" t="s">
        <v>32771</v>
      </c>
      <c r="B16736" s="3" t="s">
        <v>13950</v>
      </c>
      <c r="C16736" s="5" t="s">
        <v>614</v>
      </c>
      <c r="D16736" s="3" t="s">
        <v>206</v>
      </c>
      <c r="E16736" s="3" t="s">
        <v>100</v>
      </c>
      <c r="F16736" s="7">
        <v>46070.28077354588</v>
      </c>
      <c r="G16736" s="3" t="s">
        <v>7598</v>
      </c>
    </row>
    <row r="16737">
      <c r="A16737" s="3" t="s">
        <v>32772</v>
      </c>
      <c r="B16737" s="3" t="s">
        <v>13950</v>
      </c>
      <c r="C16737" s="5" t="s">
        <v>206</v>
      </c>
      <c r="D16737" s="3" t="s">
        <v>68</v>
      </c>
      <c r="E16737" s="3" t="s">
        <v>100</v>
      </c>
      <c r="F16737" s="7">
        <v>46070.284245768096</v>
      </c>
      <c r="G16737" s="3" t="s">
        <v>7600</v>
      </c>
    </row>
    <row r="16738">
      <c r="A16738" s="3" t="s">
        <v>32773</v>
      </c>
      <c r="B16738" s="3" t="s">
        <v>13953</v>
      </c>
      <c r="C16738" s="5" t="s">
        <v>45</v>
      </c>
      <c r="D16738" s="3" t="s">
        <v>221</v>
      </c>
      <c r="E16738" s="3" t="s">
        <v>547</v>
      </c>
      <c r="F16738" s="7">
        <v>46070.34500394685</v>
      </c>
      <c r="G16738" s="3" t="s">
        <v>16631</v>
      </c>
    </row>
    <row r="16739">
      <c r="A16739" s="3" t="s">
        <v>32774</v>
      </c>
      <c r="B16739" s="3" t="s">
        <v>13953</v>
      </c>
      <c r="C16739" s="5" t="s">
        <v>221</v>
      </c>
      <c r="D16739" s="3" t="s">
        <v>614</v>
      </c>
      <c r="E16739" s="3" t="s">
        <v>118</v>
      </c>
      <c r="F16739" s="7">
        <v>46070.34847616907</v>
      </c>
      <c r="G16739" s="3" t="s">
        <v>16634</v>
      </c>
    </row>
    <row r="16740">
      <c r="A16740" s="3" t="s">
        <v>32775</v>
      </c>
      <c r="B16740" s="3" t="s">
        <v>13953</v>
      </c>
      <c r="C16740" s="5" t="s">
        <v>614</v>
      </c>
      <c r="D16740" s="3" t="s">
        <v>206</v>
      </c>
      <c r="E16740" s="3" t="s">
        <v>100</v>
      </c>
      <c r="F16740" s="7">
        <v>46070.3519483913</v>
      </c>
      <c r="G16740" s="3" t="s">
        <v>16636</v>
      </c>
    </row>
    <row r="16741">
      <c r="A16741" s="3" t="s">
        <v>32776</v>
      </c>
      <c r="B16741" s="3" t="s">
        <v>13953</v>
      </c>
      <c r="C16741" s="5" t="s">
        <v>206</v>
      </c>
      <c r="D16741" s="3" t="s">
        <v>68</v>
      </c>
      <c r="E16741" s="3" t="s">
        <v>100</v>
      </c>
      <c r="F16741" s="7">
        <v>46070.355420613516</v>
      </c>
      <c r="G16741" s="3" t="s">
        <v>16639</v>
      </c>
    </row>
    <row r="16742">
      <c r="A16742" s="3" t="s">
        <v>32777</v>
      </c>
      <c r="B16742" s="3" t="s">
        <v>13958</v>
      </c>
      <c r="C16742" s="5" t="s">
        <v>45</v>
      </c>
      <c r="D16742" s="3" t="s">
        <v>221</v>
      </c>
      <c r="E16742" s="3" t="s">
        <v>547</v>
      </c>
      <c r="F16742" s="7">
        <v>46070.41617879226</v>
      </c>
      <c r="G16742" s="3" t="s">
        <v>7604</v>
      </c>
    </row>
    <row r="16743">
      <c r="A16743" s="3" t="s">
        <v>32778</v>
      </c>
      <c r="B16743" s="3" t="s">
        <v>13958</v>
      </c>
      <c r="C16743" s="5" t="s">
        <v>221</v>
      </c>
      <c r="D16743" s="3" t="s">
        <v>614</v>
      </c>
      <c r="E16743" s="3" t="s">
        <v>118</v>
      </c>
      <c r="F16743" s="7">
        <v>46070.419651014476</v>
      </c>
      <c r="G16743" s="3" t="s">
        <v>7606</v>
      </c>
    </row>
    <row r="16744">
      <c r="A16744" s="3" t="s">
        <v>32779</v>
      </c>
      <c r="B16744" s="3" t="s">
        <v>13958</v>
      </c>
      <c r="C16744" s="5" t="s">
        <v>614</v>
      </c>
      <c r="D16744" s="3" t="s">
        <v>206</v>
      </c>
      <c r="E16744" s="3" t="s">
        <v>100</v>
      </c>
      <c r="F16744" s="7">
        <v>46070.4231232367</v>
      </c>
      <c r="G16744" s="3" t="s">
        <v>7609</v>
      </c>
    </row>
    <row r="16745">
      <c r="A16745" s="3" t="s">
        <v>32780</v>
      </c>
      <c r="B16745" s="3" t="s">
        <v>13958</v>
      </c>
      <c r="C16745" s="5" t="s">
        <v>206</v>
      </c>
      <c r="D16745" s="3" t="s">
        <v>68</v>
      </c>
      <c r="E16745" s="3" t="s">
        <v>100</v>
      </c>
      <c r="F16745" s="7">
        <v>46070.42659545892</v>
      </c>
      <c r="G16745" s="3" t="s">
        <v>7612</v>
      </c>
    </row>
    <row r="16746">
      <c r="A16746" s="3" t="s">
        <v>32781</v>
      </c>
      <c r="B16746" s="3" t="s">
        <v>13961</v>
      </c>
      <c r="C16746" s="5" t="s">
        <v>45</v>
      </c>
      <c r="D16746" s="3" t="s">
        <v>221</v>
      </c>
      <c r="E16746" s="3" t="s">
        <v>727</v>
      </c>
      <c r="F16746" s="7">
        <v>46070.487353637676</v>
      </c>
      <c r="G16746" s="3" t="s">
        <v>4078</v>
      </c>
    </row>
    <row r="16747">
      <c r="A16747" s="3" t="s">
        <v>32782</v>
      </c>
      <c r="B16747" s="3" t="s">
        <v>13961</v>
      </c>
      <c r="C16747" s="5" t="s">
        <v>221</v>
      </c>
      <c r="D16747" s="3" t="s">
        <v>614</v>
      </c>
      <c r="E16747" s="3" t="s">
        <v>118</v>
      </c>
      <c r="F16747" s="7">
        <v>46070.490825859895</v>
      </c>
      <c r="G16747" s="3" t="s">
        <v>4080</v>
      </c>
    </row>
    <row r="16748">
      <c r="A16748" s="3" t="s">
        <v>32783</v>
      </c>
      <c r="B16748" s="3" t="s">
        <v>13961</v>
      </c>
      <c r="C16748" s="5" t="s">
        <v>614</v>
      </c>
      <c r="D16748" s="3" t="s">
        <v>206</v>
      </c>
      <c r="E16748" s="3" t="s">
        <v>100</v>
      </c>
      <c r="F16748" s="7">
        <v>46070.49429808212</v>
      </c>
      <c r="G16748" s="3" t="s">
        <v>4083</v>
      </c>
    </row>
    <row r="16749">
      <c r="A16749" s="3" t="s">
        <v>32784</v>
      </c>
      <c r="B16749" s="3" t="s">
        <v>13961</v>
      </c>
      <c r="C16749" s="5" t="s">
        <v>206</v>
      </c>
      <c r="D16749" s="3" t="s">
        <v>68</v>
      </c>
      <c r="E16749" s="3" t="s">
        <v>100</v>
      </c>
      <c r="F16749" s="7">
        <v>46070.49777030434</v>
      </c>
      <c r="G16749" s="3" t="s">
        <v>4086</v>
      </c>
    </row>
    <row r="16750">
      <c r="A16750" s="3" t="s">
        <v>32785</v>
      </c>
      <c r="B16750" s="3" t="s">
        <v>13964</v>
      </c>
      <c r="C16750" s="5" t="s">
        <v>45</v>
      </c>
      <c r="D16750" s="3" t="s">
        <v>221</v>
      </c>
      <c r="E16750" s="3" t="s">
        <v>586</v>
      </c>
      <c r="F16750" s="7">
        <v>46070.558528483096</v>
      </c>
      <c r="G16750" s="3" t="s">
        <v>19542</v>
      </c>
    </row>
    <row r="16751">
      <c r="A16751" s="3" t="s">
        <v>32786</v>
      </c>
      <c r="B16751" s="3" t="s">
        <v>13964</v>
      </c>
      <c r="C16751" s="5" t="s">
        <v>221</v>
      </c>
      <c r="D16751" s="3" t="s">
        <v>614</v>
      </c>
      <c r="E16751" s="3" t="s">
        <v>118</v>
      </c>
      <c r="F16751" s="7">
        <v>46070.562000705315</v>
      </c>
      <c r="G16751" s="3" t="s">
        <v>19544</v>
      </c>
    </row>
    <row r="16752">
      <c r="A16752" s="3" t="s">
        <v>32787</v>
      </c>
      <c r="B16752" s="3" t="s">
        <v>13964</v>
      </c>
      <c r="C16752" s="5" t="s">
        <v>614</v>
      </c>
      <c r="D16752" s="3" t="s">
        <v>206</v>
      </c>
      <c r="E16752" s="3" t="s">
        <v>100</v>
      </c>
      <c r="F16752" s="7">
        <v>46070.56547292754</v>
      </c>
      <c r="G16752" s="3" t="s">
        <v>19547</v>
      </c>
    </row>
    <row r="16753">
      <c r="A16753" s="3" t="s">
        <v>32788</v>
      </c>
      <c r="B16753" s="3" t="s">
        <v>13964</v>
      </c>
      <c r="C16753" s="5" t="s">
        <v>206</v>
      </c>
      <c r="D16753" s="3" t="s">
        <v>68</v>
      </c>
      <c r="E16753" s="3" t="s">
        <v>100</v>
      </c>
      <c r="F16753" s="7">
        <v>46070.56894514976</v>
      </c>
      <c r="G16753" s="3" t="s">
        <v>19550</v>
      </c>
    </row>
    <row r="16754">
      <c r="A16754" s="3" t="s">
        <v>32789</v>
      </c>
      <c r="B16754" s="3" t="s">
        <v>13967</v>
      </c>
      <c r="C16754" s="5" t="s">
        <v>45</v>
      </c>
      <c r="D16754" s="3" t="s">
        <v>221</v>
      </c>
      <c r="E16754" s="3" t="s">
        <v>770</v>
      </c>
      <c r="F16754" s="7">
        <v>46070.62970332851</v>
      </c>
      <c r="G16754" s="3" t="s">
        <v>7682</v>
      </c>
    </row>
    <row r="16755">
      <c r="A16755" s="3" t="s">
        <v>32790</v>
      </c>
      <c r="B16755" s="3" t="s">
        <v>13967</v>
      </c>
      <c r="C16755" s="5" t="s">
        <v>221</v>
      </c>
      <c r="D16755" s="3" t="s">
        <v>614</v>
      </c>
      <c r="E16755" s="3" t="s">
        <v>118</v>
      </c>
      <c r="F16755" s="7">
        <v>46070.63317555073</v>
      </c>
      <c r="G16755" s="3" t="s">
        <v>7684</v>
      </c>
    </row>
    <row r="16756">
      <c r="A16756" s="3" t="s">
        <v>32791</v>
      </c>
      <c r="B16756" s="3" t="s">
        <v>13967</v>
      </c>
      <c r="C16756" s="5" t="s">
        <v>614</v>
      </c>
      <c r="D16756" s="3" t="s">
        <v>206</v>
      </c>
      <c r="E16756" s="3" t="s">
        <v>100</v>
      </c>
      <c r="F16756" s="7">
        <v>46070.63664777295</v>
      </c>
      <c r="G16756" s="3" t="s">
        <v>7687</v>
      </c>
    </row>
    <row r="16757">
      <c r="A16757" s="3" t="s">
        <v>32792</v>
      </c>
      <c r="B16757" s="3" t="s">
        <v>13967</v>
      </c>
      <c r="C16757" s="5" t="s">
        <v>206</v>
      </c>
      <c r="D16757" s="3" t="s">
        <v>68</v>
      </c>
      <c r="E16757" s="3" t="s">
        <v>100</v>
      </c>
      <c r="F16757" s="7">
        <v>46070.64011999517</v>
      </c>
      <c r="G16757" s="3" t="s">
        <v>7690</v>
      </c>
    </row>
    <row r="16758">
      <c r="A16758" s="3" t="s">
        <v>32793</v>
      </c>
      <c r="B16758" s="3" t="s">
        <v>13972</v>
      </c>
      <c r="C16758" s="5" t="s">
        <v>45</v>
      </c>
      <c r="D16758" s="3" t="s">
        <v>221</v>
      </c>
      <c r="E16758" s="3" t="s">
        <v>561</v>
      </c>
      <c r="F16758" s="7">
        <v>46070.70087817392</v>
      </c>
      <c r="G16758" s="3" t="s">
        <v>23915</v>
      </c>
    </row>
    <row r="16759">
      <c r="A16759" s="3" t="s">
        <v>32794</v>
      </c>
      <c r="B16759" s="3" t="s">
        <v>13972</v>
      </c>
      <c r="C16759" s="5" t="s">
        <v>221</v>
      </c>
      <c r="D16759" s="3" t="s">
        <v>614</v>
      </c>
      <c r="E16759" s="3" t="s">
        <v>118</v>
      </c>
      <c r="F16759" s="7">
        <v>46070.70435039614</v>
      </c>
      <c r="G16759" s="3" t="s">
        <v>23917</v>
      </c>
    </row>
    <row r="16760">
      <c r="A16760" s="3" t="s">
        <v>32795</v>
      </c>
      <c r="B16760" s="3" t="s">
        <v>13972</v>
      </c>
      <c r="C16760" s="5" t="s">
        <v>614</v>
      </c>
      <c r="D16760" s="3" t="s">
        <v>206</v>
      </c>
      <c r="E16760" s="3" t="s">
        <v>100</v>
      </c>
      <c r="F16760" s="7">
        <v>46070.707822618366</v>
      </c>
      <c r="G16760" s="3" t="s">
        <v>23919</v>
      </c>
    </row>
    <row r="16761">
      <c r="A16761" s="3" t="s">
        <v>32796</v>
      </c>
      <c r="B16761" s="3" t="s">
        <v>13972</v>
      </c>
      <c r="C16761" s="5" t="s">
        <v>206</v>
      </c>
      <c r="D16761" s="3" t="s">
        <v>68</v>
      </c>
      <c r="E16761" s="3" t="s">
        <v>100</v>
      </c>
      <c r="F16761" s="7">
        <v>46070.711294840585</v>
      </c>
      <c r="G16761" s="3" t="s">
        <v>23921</v>
      </c>
    </row>
    <row r="16762">
      <c r="A16762" s="3" t="s">
        <v>32797</v>
      </c>
      <c r="B16762" s="3" t="s">
        <v>13975</v>
      </c>
      <c r="C16762" s="5" t="s">
        <v>45</v>
      </c>
      <c r="D16762" s="3" t="s">
        <v>221</v>
      </c>
      <c r="E16762" s="3" t="s">
        <v>406</v>
      </c>
      <c r="F16762" s="7">
        <v>46070.77205301934</v>
      </c>
      <c r="G16762" s="3" t="s">
        <v>7721</v>
      </c>
    </row>
    <row r="16763">
      <c r="A16763" s="3" t="s">
        <v>32798</v>
      </c>
      <c r="B16763" s="3" t="s">
        <v>13975</v>
      </c>
      <c r="C16763" s="5" t="s">
        <v>221</v>
      </c>
      <c r="D16763" s="3" t="s">
        <v>614</v>
      </c>
      <c r="E16763" s="3" t="s">
        <v>118</v>
      </c>
      <c r="F16763" s="7">
        <v>46070.77552524156</v>
      </c>
      <c r="G16763" s="3" t="s">
        <v>7724</v>
      </c>
    </row>
    <row r="16764">
      <c r="A16764" s="3" t="s">
        <v>32799</v>
      </c>
      <c r="B16764" s="3" t="s">
        <v>13975</v>
      </c>
      <c r="C16764" s="5" t="s">
        <v>614</v>
      </c>
      <c r="D16764" s="3" t="s">
        <v>206</v>
      </c>
      <c r="E16764" s="3" t="s">
        <v>100</v>
      </c>
      <c r="F16764" s="7">
        <v>46070.778997463785</v>
      </c>
      <c r="G16764" s="3" t="s">
        <v>7727</v>
      </c>
    </row>
    <row r="16765">
      <c r="A16765" s="3" t="s">
        <v>32800</v>
      </c>
      <c r="B16765" s="3" t="s">
        <v>13975</v>
      </c>
      <c r="C16765" s="5" t="s">
        <v>206</v>
      </c>
      <c r="D16765" s="3" t="s">
        <v>68</v>
      </c>
      <c r="E16765" s="3" t="s">
        <v>100</v>
      </c>
      <c r="F16765" s="7">
        <v>46070.782469686004</v>
      </c>
      <c r="G16765" s="3" t="s">
        <v>7730</v>
      </c>
    </row>
    <row r="16766">
      <c r="A16766" s="3" t="s">
        <v>32801</v>
      </c>
      <c r="B16766" s="3" t="s">
        <v>13978</v>
      </c>
      <c r="C16766" s="5" t="s">
        <v>45</v>
      </c>
      <c r="D16766" s="3" t="s">
        <v>221</v>
      </c>
      <c r="E16766" s="3" t="s">
        <v>657</v>
      </c>
      <c r="F16766" s="7">
        <v>46070.84322786475</v>
      </c>
      <c r="G16766" s="3" t="s">
        <v>24173</v>
      </c>
    </row>
    <row r="16767">
      <c r="A16767" s="3" t="s">
        <v>32802</v>
      </c>
      <c r="B16767" s="3" t="s">
        <v>13978</v>
      </c>
      <c r="C16767" s="5" t="s">
        <v>221</v>
      </c>
      <c r="D16767" s="3" t="s">
        <v>614</v>
      </c>
      <c r="E16767" s="3" t="s">
        <v>118</v>
      </c>
      <c r="F16767" s="7">
        <v>46070.84670008697</v>
      </c>
      <c r="G16767" s="3" t="s">
        <v>24175</v>
      </c>
    </row>
    <row r="16768">
      <c r="A16768" s="3" t="s">
        <v>32803</v>
      </c>
      <c r="B16768" s="3" t="s">
        <v>13978</v>
      </c>
      <c r="C16768" s="5" t="s">
        <v>614</v>
      </c>
      <c r="D16768" s="3" t="s">
        <v>206</v>
      </c>
      <c r="E16768" s="3" t="s">
        <v>100</v>
      </c>
      <c r="F16768" s="7">
        <v>46070.8501723092</v>
      </c>
      <c r="G16768" s="3" t="s">
        <v>24177</v>
      </c>
    </row>
    <row r="16769">
      <c r="A16769" s="3" t="s">
        <v>32804</v>
      </c>
      <c r="B16769" s="3" t="s">
        <v>13978</v>
      </c>
      <c r="C16769" s="5" t="s">
        <v>206</v>
      </c>
      <c r="D16769" s="3" t="s">
        <v>68</v>
      </c>
      <c r="E16769" s="3" t="s">
        <v>100</v>
      </c>
      <c r="F16769" s="7">
        <v>46070.85364453142</v>
      </c>
      <c r="G16769" s="3" t="s">
        <v>24179</v>
      </c>
    </row>
    <row r="16770">
      <c r="A16770" s="3" t="s">
        <v>32805</v>
      </c>
      <c r="B16770" s="3" t="s">
        <v>13981</v>
      </c>
      <c r="C16770" s="5" t="s">
        <v>45</v>
      </c>
      <c r="D16770" s="3" t="s">
        <v>221</v>
      </c>
      <c r="E16770" s="3" t="s">
        <v>575</v>
      </c>
      <c r="F16770" s="7">
        <v>46070.914402710165</v>
      </c>
      <c r="G16770" s="3" t="s">
        <v>30406</v>
      </c>
    </row>
    <row r="16771">
      <c r="A16771" s="3" t="s">
        <v>32806</v>
      </c>
      <c r="B16771" s="3" t="s">
        <v>13981</v>
      </c>
      <c r="C16771" s="5" t="s">
        <v>221</v>
      </c>
      <c r="D16771" s="3" t="s">
        <v>614</v>
      </c>
      <c r="E16771" s="3" t="s">
        <v>118</v>
      </c>
      <c r="F16771" s="7">
        <v>46070.917874932384</v>
      </c>
      <c r="G16771" s="3" t="s">
        <v>30408</v>
      </c>
    </row>
    <row r="16772">
      <c r="A16772" s="3" t="s">
        <v>32807</v>
      </c>
      <c r="B16772" s="3" t="s">
        <v>13981</v>
      </c>
      <c r="C16772" s="5" t="s">
        <v>614</v>
      </c>
      <c r="D16772" s="3" t="s">
        <v>206</v>
      </c>
      <c r="E16772" s="3" t="s">
        <v>100</v>
      </c>
      <c r="F16772" s="7">
        <v>46070.92134715461</v>
      </c>
      <c r="G16772" s="3" t="s">
        <v>30410</v>
      </c>
    </row>
    <row r="16773">
      <c r="A16773" s="3" t="s">
        <v>32808</v>
      </c>
      <c r="B16773" s="3" t="s">
        <v>13981</v>
      </c>
      <c r="C16773" s="5" t="s">
        <v>206</v>
      </c>
      <c r="D16773" s="3" t="s">
        <v>68</v>
      </c>
      <c r="E16773" s="3" t="s">
        <v>100</v>
      </c>
      <c r="F16773" s="7">
        <v>46070.92481937683</v>
      </c>
      <c r="G16773" s="3" t="s">
        <v>30412</v>
      </c>
    </row>
    <row r="16774">
      <c r="A16774" s="3" t="s">
        <v>32809</v>
      </c>
      <c r="B16774" s="3" t="s">
        <v>13984</v>
      </c>
      <c r="C16774" s="5" t="s">
        <v>45</v>
      </c>
      <c r="D16774" s="3" t="s">
        <v>221</v>
      </c>
      <c r="E16774" s="3" t="s">
        <v>778</v>
      </c>
      <c r="F16774" s="7">
        <v>46070.985577555584</v>
      </c>
      <c r="G16774" s="3" t="s">
        <v>7744</v>
      </c>
    </row>
    <row r="16775">
      <c r="A16775" s="3" t="s">
        <v>32810</v>
      </c>
      <c r="B16775" s="3" t="s">
        <v>13984</v>
      </c>
      <c r="C16775" s="5" t="s">
        <v>221</v>
      </c>
      <c r="D16775" s="3" t="s">
        <v>614</v>
      </c>
      <c r="E16775" s="3" t="s">
        <v>118</v>
      </c>
      <c r="F16775" s="7">
        <v>46070.9890497778</v>
      </c>
      <c r="G16775" s="3" t="s">
        <v>7747</v>
      </c>
    </row>
    <row r="16776">
      <c r="A16776" s="3" t="s">
        <v>32811</v>
      </c>
      <c r="B16776" s="3" t="s">
        <v>13984</v>
      </c>
      <c r="C16776" s="5" t="s">
        <v>614</v>
      </c>
      <c r="D16776" s="3" t="s">
        <v>206</v>
      </c>
      <c r="E16776" s="3" t="s">
        <v>100</v>
      </c>
      <c r="F16776" s="7">
        <v>46070.99252200003</v>
      </c>
      <c r="G16776" s="3" t="s">
        <v>7750</v>
      </c>
    </row>
    <row r="16777">
      <c r="A16777" s="3" t="s">
        <v>32812</v>
      </c>
      <c r="B16777" s="3" t="s">
        <v>13984</v>
      </c>
      <c r="C16777" s="5" t="s">
        <v>206</v>
      </c>
      <c r="D16777" s="3" t="s">
        <v>68</v>
      </c>
      <c r="E16777" s="3" t="s">
        <v>100</v>
      </c>
      <c r="F16777" s="7">
        <v>46070.99599422225</v>
      </c>
      <c r="G16777" s="3" t="s">
        <v>7753</v>
      </c>
    </row>
    <row r="16778">
      <c r="A16778" s="3" t="s">
        <v>32813</v>
      </c>
      <c r="B16778" s="3" t="s">
        <v>13989</v>
      </c>
      <c r="C16778" s="5" t="s">
        <v>45</v>
      </c>
      <c r="D16778" s="3" t="s">
        <v>221</v>
      </c>
      <c r="E16778" s="3" t="s">
        <v>395</v>
      </c>
      <c r="F16778" s="7">
        <v>46071.056752401</v>
      </c>
      <c r="G16778" s="3" t="s">
        <v>7828</v>
      </c>
    </row>
    <row r="16779">
      <c r="A16779" s="3" t="s">
        <v>32814</v>
      </c>
      <c r="B16779" s="3" t="s">
        <v>13989</v>
      </c>
      <c r="C16779" s="5" t="s">
        <v>221</v>
      </c>
      <c r="D16779" s="3" t="s">
        <v>614</v>
      </c>
      <c r="E16779" s="3" t="s">
        <v>118</v>
      </c>
      <c r="F16779" s="7">
        <v>46071.060224623216</v>
      </c>
      <c r="G16779" s="3" t="s">
        <v>7831</v>
      </c>
    </row>
    <row r="16780">
      <c r="A16780" s="3" t="s">
        <v>32815</v>
      </c>
      <c r="B16780" s="3" t="s">
        <v>13989</v>
      </c>
      <c r="C16780" s="5" t="s">
        <v>614</v>
      </c>
      <c r="D16780" s="3" t="s">
        <v>206</v>
      </c>
      <c r="E16780" s="3" t="s">
        <v>100</v>
      </c>
      <c r="F16780" s="7">
        <v>46071.06369684544</v>
      </c>
      <c r="G16780" s="3" t="s">
        <v>7834</v>
      </c>
    </row>
    <row r="16781">
      <c r="A16781" s="3" t="s">
        <v>32816</v>
      </c>
      <c r="B16781" s="3" t="s">
        <v>13989</v>
      </c>
      <c r="C16781" s="5" t="s">
        <v>206</v>
      </c>
      <c r="D16781" s="3" t="s">
        <v>68</v>
      </c>
      <c r="E16781" s="3" t="s">
        <v>100</v>
      </c>
      <c r="F16781" s="7">
        <v>46071.06716906766</v>
      </c>
      <c r="G16781" s="3" t="s">
        <v>7837</v>
      </c>
    </row>
    <row r="16782">
      <c r="A16782" s="3" t="s">
        <v>32817</v>
      </c>
      <c r="B16782" s="3" t="s">
        <v>13992</v>
      </c>
      <c r="C16782" s="5" t="s">
        <v>45</v>
      </c>
      <c r="D16782" s="3" t="s">
        <v>221</v>
      </c>
      <c r="E16782" s="3" t="s">
        <v>151</v>
      </c>
      <c r="F16782" s="7">
        <v>46071.12792724641</v>
      </c>
      <c r="G16782" s="3" t="s">
        <v>9783</v>
      </c>
    </row>
    <row r="16783">
      <c r="A16783" s="3" t="s">
        <v>32818</v>
      </c>
      <c r="B16783" s="3" t="s">
        <v>13992</v>
      </c>
      <c r="C16783" s="5" t="s">
        <v>221</v>
      </c>
      <c r="D16783" s="3" t="s">
        <v>614</v>
      </c>
      <c r="E16783" s="3" t="s">
        <v>118</v>
      </c>
      <c r="F16783" s="7">
        <v>46071.13139946863</v>
      </c>
      <c r="G16783" s="3" t="s">
        <v>9786</v>
      </c>
    </row>
    <row r="16784">
      <c r="A16784" s="3" t="s">
        <v>32819</v>
      </c>
      <c r="B16784" s="3" t="s">
        <v>13992</v>
      </c>
      <c r="C16784" s="5" t="s">
        <v>614</v>
      </c>
      <c r="D16784" s="3" t="s">
        <v>206</v>
      </c>
      <c r="E16784" s="3" t="s">
        <v>100</v>
      </c>
      <c r="F16784" s="7">
        <v>46071.134871690854</v>
      </c>
      <c r="G16784" s="3" t="s">
        <v>9790</v>
      </c>
    </row>
    <row r="16785">
      <c r="A16785" s="3" t="s">
        <v>32820</v>
      </c>
      <c r="B16785" s="3" t="s">
        <v>13992</v>
      </c>
      <c r="C16785" s="5" t="s">
        <v>206</v>
      </c>
      <c r="D16785" s="3" t="s">
        <v>68</v>
      </c>
      <c r="E16785" s="3" t="s">
        <v>100</v>
      </c>
      <c r="F16785" s="7">
        <v>46071.13834391307</v>
      </c>
      <c r="G16785" s="3" t="s">
        <v>9793</v>
      </c>
    </row>
    <row r="16786">
      <c r="A16786" s="3" t="s">
        <v>32821</v>
      </c>
      <c r="B16786" s="3" t="s">
        <v>13995</v>
      </c>
      <c r="C16786" s="5" t="s">
        <v>45</v>
      </c>
      <c r="D16786" s="3" t="s">
        <v>221</v>
      </c>
      <c r="E16786" s="3" t="s">
        <v>845</v>
      </c>
      <c r="F16786" s="7">
        <v>46071.19910209183</v>
      </c>
      <c r="G16786" s="3" t="s">
        <v>12488</v>
      </c>
    </row>
    <row r="16787">
      <c r="A16787" s="3" t="s">
        <v>32822</v>
      </c>
      <c r="B16787" s="3" t="s">
        <v>13995</v>
      </c>
      <c r="C16787" s="5" t="s">
        <v>221</v>
      </c>
      <c r="D16787" s="3" t="s">
        <v>614</v>
      </c>
      <c r="E16787" s="3" t="s">
        <v>118</v>
      </c>
      <c r="F16787" s="7">
        <v>46071.20257431405</v>
      </c>
      <c r="G16787" s="3" t="s">
        <v>12491</v>
      </c>
    </row>
    <row r="16788">
      <c r="A16788" s="3" t="s">
        <v>32823</v>
      </c>
      <c r="B16788" s="3" t="s">
        <v>13995</v>
      </c>
      <c r="C16788" s="5" t="s">
        <v>614</v>
      </c>
      <c r="D16788" s="3" t="s">
        <v>206</v>
      </c>
      <c r="E16788" s="3" t="s">
        <v>100</v>
      </c>
      <c r="F16788" s="7">
        <v>46071.206046536274</v>
      </c>
      <c r="G16788" s="3" t="s">
        <v>12494</v>
      </c>
    </row>
    <row r="16789">
      <c r="A16789" s="3" t="s">
        <v>32824</v>
      </c>
      <c r="B16789" s="3" t="s">
        <v>13995</v>
      </c>
      <c r="C16789" s="5" t="s">
        <v>206</v>
      </c>
      <c r="D16789" s="3" t="s">
        <v>68</v>
      </c>
      <c r="E16789" s="3" t="s">
        <v>100</v>
      </c>
      <c r="F16789" s="7">
        <v>46071.20951875849</v>
      </c>
      <c r="G16789" s="3" t="s">
        <v>12497</v>
      </c>
    </row>
    <row r="16790">
      <c r="A16790" s="3" t="s">
        <v>32825</v>
      </c>
      <c r="B16790" s="3" t="s">
        <v>13999</v>
      </c>
      <c r="C16790" s="5" t="s">
        <v>45</v>
      </c>
      <c r="D16790" s="3" t="s">
        <v>221</v>
      </c>
      <c r="E16790" s="3" t="s">
        <v>479</v>
      </c>
      <c r="F16790" s="7">
        <v>46071.27027693724</v>
      </c>
      <c r="G16790" s="3" t="s">
        <v>25146</v>
      </c>
    </row>
    <row r="16791">
      <c r="A16791" s="3" t="s">
        <v>32826</v>
      </c>
      <c r="B16791" s="3" t="s">
        <v>13999</v>
      </c>
      <c r="C16791" s="5" t="s">
        <v>221</v>
      </c>
      <c r="D16791" s="3" t="s">
        <v>614</v>
      </c>
      <c r="E16791" s="3" t="s">
        <v>118</v>
      </c>
      <c r="F16791" s="7">
        <v>46071.27374915946</v>
      </c>
      <c r="G16791" s="3" t="s">
        <v>25148</v>
      </c>
    </row>
    <row r="16792">
      <c r="A16792" s="3" t="s">
        <v>32827</v>
      </c>
      <c r="B16792" s="3" t="s">
        <v>13999</v>
      </c>
      <c r="C16792" s="5" t="s">
        <v>614</v>
      </c>
      <c r="D16792" s="3" t="s">
        <v>206</v>
      </c>
      <c r="E16792" s="3" t="s">
        <v>100</v>
      </c>
      <c r="F16792" s="7">
        <v>46071.277221381686</v>
      </c>
      <c r="G16792" s="3" t="s">
        <v>25150</v>
      </c>
    </row>
    <row r="16793">
      <c r="A16793" s="3" t="s">
        <v>32828</v>
      </c>
      <c r="B16793" s="3" t="s">
        <v>13999</v>
      </c>
      <c r="C16793" s="5" t="s">
        <v>206</v>
      </c>
      <c r="D16793" s="3" t="s">
        <v>68</v>
      </c>
      <c r="E16793" s="3" t="s">
        <v>100</v>
      </c>
      <c r="F16793" s="7">
        <v>46071.280693603905</v>
      </c>
      <c r="G16793" s="3" t="s">
        <v>25152</v>
      </c>
    </row>
    <row r="16794">
      <c r="A16794" s="3" t="s">
        <v>32829</v>
      </c>
      <c r="B16794" s="3" t="s">
        <v>14003</v>
      </c>
      <c r="C16794" s="5" t="s">
        <v>45</v>
      </c>
      <c r="D16794" s="3" t="s">
        <v>221</v>
      </c>
      <c r="E16794" s="3" t="s">
        <v>333</v>
      </c>
      <c r="F16794" s="7">
        <v>46071.34145178265</v>
      </c>
      <c r="G16794" s="3" t="s">
        <v>7852</v>
      </c>
    </row>
    <row r="16795">
      <c r="A16795" s="3" t="s">
        <v>32830</v>
      </c>
      <c r="B16795" s="3" t="s">
        <v>14003</v>
      </c>
      <c r="C16795" s="5" t="s">
        <v>221</v>
      </c>
      <c r="D16795" s="3" t="s">
        <v>614</v>
      </c>
      <c r="E16795" s="3" t="s">
        <v>118</v>
      </c>
      <c r="F16795" s="7">
        <v>46071.34492400487</v>
      </c>
      <c r="G16795" s="3" t="s">
        <v>7855</v>
      </c>
    </row>
    <row r="16796">
      <c r="A16796" s="3" t="s">
        <v>32831</v>
      </c>
      <c r="B16796" s="3" t="s">
        <v>14003</v>
      </c>
      <c r="C16796" s="5" t="s">
        <v>614</v>
      </c>
      <c r="D16796" s="3" t="s">
        <v>206</v>
      </c>
      <c r="E16796" s="3" t="s">
        <v>100</v>
      </c>
      <c r="F16796" s="7">
        <v>46071.3483962271</v>
      </c>
      <c r="G16796" s="3" t="s">
        <v>7860</v>
      </c>
    </row>
    <row r="16797">
      <c r="A16797" s="3" t="s">
        <v>32832</v>
      </c>
      <c r="B16797" s="3" t="s">
        <v>14003</v>
      </c>
      <c r="C16797" s="5" t="s">
        <v>206</v>
      </c>
      <c r="D16797" s="3" t="s">
        <v>68</v>
      </c>
      <c r="E16797" s="3" t="s">
        <v>100</v>
      </c>
      <c r="F16797" s="7">
        <v>46071.35186844932</v>
      </c>
      <c r="G16797" s="3" t="s">
        <v>7863</v>
      </c>
    </row>
    <row r="16798">
      <c r="A16798" s="3" t="s">
        <v>32833</v>
      </c>
      <c r="B16798" s="3" t="s">
        <v>14006</v>
      </c>
      <c r="C16798" s="5" t="s">
        <v>45</v>
      </c>
      <c r="D16798" s="3" t="s">
        <v>221</v>
      </c>
      <c r="E16798" s="3" t="s">
        <v>593</v>
      </c>
      <c r="F16798" s="7">
        <v>46071.41262662807</v>
      </c>
      <c r="G16798" s="3" t="s">
        <v>11839</v>
      </c>
    </row>
    <row r="16799">
      <c r="A16799" s="3" t="s">
        <v>32834</v>
      </c>
      <c r="B16799" s="3" t="s">
        <v>14006</v>
      </c>
      <c r="C16799" s="5" t="s">
        <v>221</v>
      </c>
      <c r="D16799" s="3" t="s">
        <v>614</v>
      </c>
      <c r="E16799" s="3" t="s">
        <v>118</v>
      </c>
      <c r="F16799" s="7">
        <v>46071.41609885029</v>
      </c>
      <c r="G16799" s="3" t="s">
        <v>11844</v>
      </c>
    </row>
    <row r="16800">
      <c r="A16800" s="3" t="s">
        <v>32835</v>
      </c>
      <c r="B16800" s="3" t="s">
        <v>14006</v>
      </c>
      <c r="C16800" s="5" t="s">
        <v>614</v>
      </c>
      <c r="D16800" s="3" t="s">
        <v>206</v>
      </c>
      <c r="E16800" s="3" t="s">
        <v>100</v>
      </c>
      <c r="F16800" s="7">
        <v>46071.41957107252</v>
      </c>
      <c r="G16800" s="3" t="s">
        <v>11848</v>
      </c>
    </row>
    <row r="16801">
      <c r="A16801" s="3" t="s">
        <v>32836</v>
      </c>
      <c r="B16801" s="3" t="s">
        <v>14006</v>
      </c>
      <c r="C16801" s="5" t="s">
        <v>206</v>
      </c>
      <c r="D16801" s="3" t="s">
        <v>68</v>
      </c>
      <c r="E16801" s="3" t="s">
        <v>100</v>
      </c>
      <c r="F16801" s="7">
        <v>46071.42304329474</v>
      </c>
      <c r="G16801" s="3" t="s">
        <v>11851</v>
      </c>
    </row>
    <row r="16802">
      <c r="A16802" s="3" t="s">
        <v>32837</v>
      </c>
      <c r="B16802" s="3" t="s">
        <v>14009</v>
      </c>
      <c r="C16802" s="5" t="s">
        <v>45</v>
      </c>
      <c r="D16802" s="3" t="s">
        <v>221</v>
      </c>
      <c r="E16802" s="3" t="s">
        <v>800</v>
      </c>
      <c r="F16802" s="7">
        <v>46071.48380147349</v>
      </c>
      <c r="G16802" s="3" t="s">
        <v>32838</v>
      </c>
    </row>
    <row r="16803">
      <c r="A16803" s="3" t="s">
        <v>32839</v>
      </c>
      <c r="B16803" s="3" t="s">
        <v>14009</v>
      </c>
      <c r="C16803" s="5" t="s">
        <v>221</v>
      </c>
      <c r="D16803" s="3" t="s">
        <v>614</v>
      </c>
      <c r="E16803" s="3" t="s">
        <v>118</v>
      </c>
      <c r="F16803" s="7">
        <v>46071.48727369571</v>
      </c>
      <c r="G16803" s="3" t="s">
        <v>32840</v>
      </c>
    </row>
    <row r="16804">
      <c r="A16804" s="3" t="s">
        <v>32841</v>
      </c>
      <c r="B16804" s="3" t="s">
        <v>14009</v>
      </c>
      <c r="C16804" s="5" t="s">
        <v>614</v>
      </c>
      <c r="D16804" s="3" t="s">
        <v>206</v>
      </c>
      <c r="E16804" s="3" t="s">
        <v>100</v>
      </c>
      <c r="F16804" s="7">
        <v>46071.49074591794</v>
      </c>
      <c r="G16804" s="3" t="s">
        <v>32842</v>
      </c>
    </row>
    <row r="16805">
      <c r="A16805" s="3" t="s">
        <v>32843</v>
      </c>
      <c r="B16805" s="3" t="s">
        <v>14009</v>
      </c>
      <c r="C16805" s="5" t="s">
        <v>206</v>
      </c>
      <c r="D16805" s="3" t="s">
        <v>68</v>
      </c>
      <c r="E16805" s="3" t="s">
        <v>100</v>
      </c>
      <c r="F16805" s="7">
        <v>46071.49421814016</v>
      </c>
      <c r="G16805" s="3" t="s">
        <v>32844</v>
      </c>
    </row>
    <row r="16806">
      <c r="A16806" s="3" t="s">
        <v>32845</v>
      </c>
      <c r="B16806" s="3" t="s">
        <v>14012</v>
      </c>
      <c r="C16806" s="5" t="s">
        <v>45</v>
      </c>
      <c r="D16806" s="3" t="s">
        <v>221</v>
      </c>
      <c r="E16806" s="3" t="s">
        <v>496</v>
      </c>
      <c r="F16806" s="7">
        <v>46071.5549763189</v>
      </c>
      <c r="G16806" s="3" t="s">
        <v>7884</v>
      </c>
    </row>
    <row r="16807">
      <c r="A16807" s="3" t="s">
        <v>32846</v>
      </c>
      <c r="B16807" s="3" t="s">
        <v>14012</v>
      </c>
      <c r="C16807" s="5" t="s">
        <v>221</v>
      </c>
      <c r="D16807" s="3" t="s">
        <v>614</v>
      </c>
      <c r="E16807" s="3" t="s">
        <v>118</v>
      </c>
      <c r="F16807" s="7">
        <v>46071.55844854112</v>
      </c>
      <c r="G16807" s="3" t="s">
        <v>7887</v>
      </c>
    </row>
    <row r="16808">
      <c r="A16808" s="3" t="s">
        <v>32847</v>
      </c>
      <c r="B16808" s="3" t="s">
        <v>14012</v>
      </c>
      <c r="C16808" s="5" t="s">
        <v>614</v>
      </c>
      <c r="D16808" s="3" t="s">
        <v>206</v>
      </c>
      <c r="E16808" s="3" t="s">
        <v>100</v>
      </c>
      <c r="F16808" s="7">
        <v>46071.56192076334</v>
      </c>
      <c r="G16808" s="3" t="s">
        <v>7889</v>
      </c>
    </row>
    <row r="16809">
      <c r="A16809" s="3" t="s">
        <v>32848</v>
      </c>
      <c r="B16809" s="3" t="s">
        <v>14012</v>
      </c>
      <c r="C16809" s="5" t="s">
        <v>206</v>
      </c>
      <c r="D16809" s="3" t="s">
        <v>68</v>
      </c>
      <c r="E16809" s="3" t="s">
        <v>100</v>
      </c>
      <c r="F16809" s="7">
        <v>46071.56539298556</v>
      </c>
      <c r="G16809" s="3" t="s">
        <v>7892</v>
      </c>
    </row>
    <row r="16810">
      <c r="A16810" s="3" t="s">
        <v>32849</v>
      </c>
      <c r="B16810" s="3" t="s">
        <v>14017</v>
      </c>
      <c r="C16810" s="5" t="s">
        <v>45</v>
      </c>
      <c r="D16810" s="3" t="s">
        <v>221</v>
      </c>
      <c r="E16810" s="3" t="s">
        <v>789</v>
      </c>
      <c r="F16810" s="7">
        <v>46071.62615116432</v>
      </c>
      <c r="G16810" s="3" t="s">
        <v>28782</v>
      </c>
    </row>
    <row r="16811">
      <c r="A16811" s="3" t="s">
        <v>32850</v>
      </c>
      <c r="B16811" s="3" t="s">
        <v>14017</v>
      </c>
      <c r="C16811" s="5" t="s">
        <v>221</v>
      </c>
      <c r="D16811" s="3" t="s">
        <v>614</v>
      </c>
      <c r="E16811" s="3" t="s">
        <v>118</v>
      </c>
      <c r="F16811" s="7">
        <v>46071.629623386536</v>
      </c>
      <c r="G16811" s="3" t="s">
        <v>28784</v>
      </c>
    </row>
    <row r="16812">
      <c r="A16812" s="3" t="s">
        <v>32851</v>
      </c>
      <c r="B16812" s="3" t="s">
        <v>14017</v>
      </c>
      <c r="C16812" s="5" t="s">
        <v>614</v>
      </c>
      <c r="D16812" s="3" t="s">
        <v>206</v>
      </c>
      <c r="E16812" s="3" t="s">
        <v>100</v>
      </c>
      <c r="F16812" s="7">
        <v>46071.63309560876</v>
      </c>
      <c r="G16812" s="3" t="s">
        <v>28786</v>
      </c>
    </row>
    <row r="16813">
      <c r="A16813" s="3" t="s">
        <v>32852</v>
      </c>
      <c r="B16813" s="3" t="s">
        <v>14017</v>
      </c>
      <c r="C16813" s="5" t="s">
        <v>206</v>
      </c>
      <c r="D16813" s="3" t="s">
        <v>68</v>
      </c>
      <c r="E16813" s="3" t="s">
        <v>100</v>
      </c>
      <c r="F16813" s="7">
        <v>46071.63656783098</v>
      </c>
      <c r="G16813" s="3" t="s">
        <v>28788</v>
      </c>
    </row>
    <row r="16814">
      <c r="A16814" s="3" t="s">
        <v>32853</v>
      </c>
      <c r="B16814" s="3" t="s">
        <v>14020</v>
      </c>
      <c r="C16814" s="5" t="s">
        <v>45</v>
      </c>
      <c r="D16814" s="3" t="s">
        <v>221</v>
      </c>
      <c r="E16814" s="3" t="s">
        <v>778</v>
      </c>
      <c r="F16814" s="7">
        <v>46071.69732600974</v>
      </c>
      <c r="G16814" s="3" t="s">
        <v>8546</v>
      </c>
    </row>
    <row r="16815">
      <c r="A16815" s="3" t="s">
        <v>32854</v>
      </c>
      <c r="B16815" s="3" t="s">
        <v>14020</v>
      </c>
      <c r="C16815" s="5" t="s">
        <v>221</v>
      </c>
      <c r="D16815" s="3" t="s">
        <v>181</v>
      </c>
      <c r="E16815" s="3" t="s">
        <v>118</v>
      </c>
      <c r="F16815" s="7">
        <v>46071.700798231956</v>
      </c>
      <c r="G16815" s="3" t="s">
        <v>32855</v>
      </c>
    </row>
    <row r="16816">
      <c r="A16816" s="3" t="s">
        <v>32856</v>
      </c>
      <c r="B16816" s="3" t="s">
        <v>14023</v>
      </c>
      <c r="C16816" s="5" t="s">
        <v>45</v>
      </c>
      <c r="D16816" s="3" t="s">
        <v>221</v>
      </c>
      <c r="E16816" s="3" t="s">
        <v>756</v>
      </c>
      <c r="F16816" s="7">
        <v>46071.76850085515</v>
      </c>
      <c r="G16816" s="3" t="s">
        <v>9168</v>
      </c>
    </row>
    <row r="16817">
      <c r="A16817" s="3" t="s">
        <v>32857</v>
      </c>
      <c r="B16817" s="3" t="s">
        <v>14023</v>
      </c>
      <c r="C16817" s="5" t="s">
        <v>221</v>
      </c>
      <c r="D16817" s="3" t="s">
        <v>614</v>
      </c>
      <c r="E16817" s="3" t="s">
        <v>118</v>
      </c>
      <c r="F16817" s="7">
        <v>46071.77197307737</v>
      </c>
      <c r="G16817" s="3" t="s">
        <v>9171</v>
      </c>
    </row>
    <row r="16818">
      <c r="A16818" s="3" t="s">
        <v>32858</v>
      </c>
      <c r="B16818" s="3" t="s">
        <v>14023</v>
      </c>
      <c r="C16818" s="5" t="s">
        <v>614</v>
      </c>
      <c r="D16818" s="3" t="s">
        <v>206</v>
      </c>
      <c r="E16818" s="3" t="s">
        <v>100</v>
      </c>
      <c r="F16818" s="7">
        <v>46071.775445299594</v>
      </c>
      <c r="G16818" s="3" t="s">
        <v>9174</v>
      </c>
    </row>
    <row r="16819">
      <c r="A16819" s="3" t="s">
        <v>32859</v>
      </c>
      <c r="B16819" s="3" t="s">
        <v>14023</v>
      </c>
      <c r="C16819" s="5" t="s">
        <v>206</v>
      </c>
      <c r="D16819" s="3" t="s">
        <v>68</v>
      </c>
      <c r="E16819" s="3" t="s">
        <v>100</v>
      </c>
      <c r="F16819" s="7">
        <v>46071.77891752181</v>
      </c>
      <c r="G16819" s="3" t="s">
        <v>9177</v>
      </c>
    </row>
    <row r="16820">
      <c r="A16820" s="3" t="s">
        <v>32860</v>
      </c>
      <c r="B16820" s="3" t="s">
        <v>14027</v>
      </c>
      <c r="C16820" s="5" t="s">
        <v>45</v>
      </c>
      <c r="D16820" s="3" t="s">
        <v>221</v>
      </c>
      <c r="E16820" s="3" t="s">
        <v>793</v>
      </c>
      <c r="F16820" s="7">
        <v>46071.83967570056</v>
      </c>
      <c r="G16820" s="3" t="s">
        <v>7941</v>
      </c>
    </row>
    <row r="16821">
      <c r="A16821" s="3" t="s">
        <v>32861</v>
      </c>
      <c r="B16821" s="3" t="s">
        <v>14027</v>
      </c>
      <c r="C16821" s="5" t="s">
        <v>221</v>
      </c>
      <c r="D16821" s="3" t="s">
        <v>614</v>
      </c>
      <c r="E16821" s="3" t="s">
        <v>118</v>
      </c>
      <c r="F16821" s="7">
        <v>46071.84314792278</v>
      </c>
      <c r="G16821" s="3" t="s">
        <v>7944</v>
      </c>
    </row>
    <row r="16822">
      <c r="A16822" s="3" t="s">
        <v>32862</v>
      </c>
      <c r="B16822" s="3" t="s">
        <v>14027</v>
      </c>
      <c r="C16822" s="5" t="s">
        <v>614</v>
      </c>
      <c r="D16822" s="3" t="s">
        <v>206</v>
      </c>
      <c r="E16822" s="3" t="s">
        <v>100</v>
      </c>
      <c r="F16822" s="7">
        <v>46071.84662014501</v>
      </c>
      <c r="G16822" s="3" t="s">
        <v>7947</v>
      </c>
    </row>
    <row r="16823">
      <c r="A16823" s="3" t="s">
        <v>32863</v>
      </c>
      <c r="B16823" s="3" t="s">
        <v>14027</v>
      </c>
      <c r="C16823" s="5" t="s">
        <v>206</v>
      </c>
      <c r="D16823" s="3" t="s">
        <v>68</v>
      </c>
      <c r="E16823" s="3" t="s">
        <v>100</v>
      </c>
      <c r="F16823" s="7">
        <v>46071.850092367225</v>
      </c>
      <c r="G16823" s="3" t="s">
        <v>7950</v>
      </c>
    </row>
    <row r="16824">
      <c r="A16824" s="3" t="s">
        <v>32864</v>
      </c>
      <c r="B16824" s="3" t="s">
        <v>14031</v>
      </c>
      <c r="C16824" s="5" t="s">
        <v>45</v>
      </c>
      <c r="D16824" s="3" t="s">
        <v>221</v>
      </c>
      <c r="E16824" s="3" t="s">
        <v>710</v>
      </c>
      <c r="F16824" s="7">
        <v>46071.91085054598</v>
      </c>
      <c r="G16824" s="3" t="s">
        <v>7960</v>
      </c>
    </row>
    <row r="16825">
      <c r="A16825" s="3" t="s">
        <v>32865</v>
      </c>
      <c r="B16825" s="3" t="s">
        <v>14031</v>
      </c>
      <c r="C16825" s="5" t="s">
        <v>221</v>
      </c>
      <c r="D16825" s="3" t="s">
        <v>614</v>
      </c>
      <c r="E16825" s="3" t="s">
        <v>118</v>
      </c>
      <c r="F16825" s="7">
        <v>46071.9143227682</v>
      </c>
      <c r="G16825" s="3" t="s">
        <v>7963</v>
      </c>
    </row>
    <row r="16826">
      <c r="A16826" s="3" t="s">
        <v>32866</v>
      </c>
      <c r="B16826" s="3" t="s">
        <v>14031</v>
      </c>
      <c r="C16826" s="5" t="s">
        <v>614</v>
      </c>
      <c r="D16826" s="3" t="s">
        <v>206</v>
      </c>
      <c r="E16826" s="3" t="s">
        <v>100</v>
      </c>
      <c r="F16826" s="7">
        <v>46071.917794990426</v>
      </c>
      <c r="G16826" s="3" t="s">
        <v>7966</v>
      </c>
    </row>
    <row r="16827">
      <c r="A16827" s="3" t="s">
        <v>32867</v>
      </c>
      <c r="B16827" s="3" t="s">
        <v>14031</v>
      </c>
      <c r="C16827" s="5" t="s">
        <v>206</v>
      </c>
      <c r="D16827" s="3" t="s">
        <v>68</v>
      </c>
      <c r="E16827" s="3" t="s">
        <v>100</v>
      </c>
      <c r="F16827" s="7">
        <v>46071.921267212645</v>
      </c>
      <c r="G16827" s="3" t="s">
        <v>7969</v>
      </c>
    </row>
    <row r="16828">
      <c r="A16828" s="3" t="s">
        <v>32868</v>
      </c>
      <c r="B16828" s="3" t="s">
        <v>14034</v>
      </c>
      <c r="C16828" s="5" t="s">
        <v>45</v>
      </c>
      <c r="D16828" s="3" t="s">
        <v>221</v>
      </c>
      <c r="E16828" s="3" t="s">
        <v>356</v>
      </c>
      <c r="F16828" s="7">
        <v>46071.98202539139</v>
      </c>
      <c r="G16828" s="3" t="s">
        <v>8169</v>
      </c>
    </row>
    <row r="16829">
      <c r="A16829" s="3" t="s">
        <v>32869</v>
      </c>
      <c r="B16829" s="3" t="s">
        <v>14034</v>
      </c>
      <c r="C16829" s="5" t="s">
        <v>221</v>
      </c>
      <c r="D16829" s="3" t="s">
        <v>614</v>
      </c>
      <c r="E16829" s="3" t="s">
        <v>118</v>
      </c>
      <c r="F16829" s="7">
        <v>46071.98549761361</v>
      </c>
      <c r="G16829" s="3" t="s">
        <v>8172</v>
      </c>
    </row>
    <row r="16830">
      <c r="A16830" s="3" t="s">
        <v>32870</v>
      </c>
      <c r="B16830" s="3" t="s">
        <v>14034</v>
      </c>
      <c r="C16830" s="5" t="s">
        <v>614</v>
      </c>
      <c r="D16830" s="3" t="s">
        <v>206</v>
      </c>
      <c r="E16830" s="3" t="s">
        <v>100</v>
      </c>
      <c r="F16830" s="7">
        <v>46071.98896983584</v>
      </c>
      <c r="G16830" s="3" t="s">
        <v>8175</v>
      </c>
    </row>
    <row r="16831">
      <c r="A16831" s="3" t="s">
        <v>32871</v>
      </c>
      <c r="B16831" s="3" t="s">
        <v>14034</v>
      </c>
      <c r="C16831" s="5" t="s">
        <v>206</v>
      </c>
      <c r="D16831" s="3" t="s">
        <v>68</v>
      </c>
      <c r="E16831" s="3" t="s">
        <v>100</v>
      </c>
      <c r="F16831" s="7">
        <v>46071.99244205806</v>
      </c>
      <c r="G16831" s="3" t="s">
        <v>8178</v>
      </c>
    </row>
    <row r="16832">
      <c r="A16832" s="3" t="s">
        <v>32872</v>
      </c>
      <c r="B16832" s="3" t="s">
        <v>14037</v>
      </c>
      <c r="C16832" s="5" t="s">
        <v>45</v>
      </c>
      <c r="D16832" s="3" t="s">
        <v>221</v>
      </c>
      <c r="E16832" s="3" t="s">
        <v>391</v>
      </c>
      <c r="F16832" s="7">
        <v>46072.053200236805</v>
      </c>
      <c r="G16832" s="3" t="s">
        <v>20264</v>
      </c>
    </row>
    <row r="16833">
      <c r="A16833" s="3" t="s">
        <v>32873</v>
      </c>
      <c r="B16833" s="3" t="s">
        <v>14037</v>
      </c>
      <c r="C16833" s="5" t="s">
        <v>221</v>
      </c>
      <c r="D16833" s="3" t="s">
        <v>614</v>
      </c>
      <c r="E16833" s="3" t="s">
        <v>118</v>
      </c>
      <c r="F16833" s="7">
        <v>46072.056672459024</v>
      </c>
      <c r="G16833" s="3" t="s">
        <v>20267</v>
      </c>
    </row>
    <row r="16834">
      <c r="A16834" s="3" t="s">
        <v>32874</v>
      </c>
      <c r="B16834" s="3" t="s">
        <v>14037</v>
      </c>
      <c r="C16834" s="5" t="s">
        <v>614</v>
      </c>
      <c r="D16834" s="3" t="s">
        <v>206</v>
      </c>
      <c r="E16834" s="3" t="s">
        <v>100</v>
      </c>
      <c r="F16834" s="7">
        <v>46072.06014468125</v>
      </c>
      <c r="G16834" s="3" t="s">
        <v>20270</v>
      </c>
    </row>
    <row r="16835">
      <c r="A16835" s="3" t="s">
        <v>32875</v>
      </c>
      <c r="B16835" s="3" t="s">
        <v>14037</v>
      </c>
      <c r="C16835" s="5" t="s">
        <v>206</v>
      </c>
      <c r="D16835" s="3" t="s">
        <v>68</v>
      </c>
      <c r="E16835" s="3" t="s">
        <v>100</v>
      </c>
      <c r="F16835" s="7">
        <v>46072.06361690347</v>
      </c>
      <c r="G16835" s="3" t="s">
        <v>20273</v>
      </c>
    </row>
    <row r="16836">
      <c r="A16836" s="3" t="s">
        <v>32876</v>
      </c>
      <c r="B16836" s="3" t="s">
        <v>14042</v>
      </c>
      <c r="C16836" s="5" t="s">
        <v>45</v>
      </c>
      <c r="D16836" s="3" t="s">
        <v>221</v>
      </c>
      <c r="E16836" s="3" t="s">
        <v>785</v>
      </c>
      <c r="F16836" s="7">
        <v>46072.124375082225</v>
      </c>
      <c r="G16836" s="3" t="s">
        <v>24806</v>
      </c>
    </row>
    <row r="16837">
      <c r="A16837" s="3" t="s">
        <v>32877</v>
      </c>
      <c r="B16837" s="3" t="s">
        <v>14042</v>
      </c>
      <c r="C16837" s="5" t="s">
        <v>221</v>
      </c>
      <c r="D16837" s="3" t="s">
        <v>614</v>
      </c>
      <c r="E16837" s="3" t="s">
        <v>118</v>
      </c>
      <c r="F16837" s="7">
        <v>46072.127847304444</v>
      </c>
      <c r="G16837" s="3" t="s">
        <v>24808</v>
      </c>
    </row>
    <row r="16838">
      <c r="A16838" s="3" t="s">
        <v>32878</v>
      </c>
      <c r="B16838" s="3" t="s">
        <v>14042</v>
      </c>
      <c r="C16838" s="5" t="s">
        <v>614</v>
      </c>
      <c r="D16838" s="3" t="s">
        <v>206</v>
      </c>
      <c r="E16838" s="3" t="s">
        <v>100</v>
      </c>
      <c r="F16838" s="7">
        <v>46072.13131952667</v>
      </c>
      <c r="G16838" s="3" t="s">
        <v>24810</v>
      </c>
    </row>
    <row r="16839">
      <c r="A16839" s="3" t="s">
        <v>32879</v>
      </c>
      <c r="B16839" s="3" t="s">
        <v>14042</v>
      </c>
      <c r="C16839" s="5" t="s">
        <v>206</v>
      </c>
      <c r="D16839" s="3" t="s">
        <v>68</v>
      </c>
      <c r="E16839" s="3" t="s">
        <v>100</v>
      </c>
      <c r="F16839" s="7">
        <v>46072.13479174889</v>
      </c>
      <c r="G16839" s="3" t="s">
        <v>24812</v>
      </c>
    </row>
    <row r="16840">
      <c r="A16840" s="3" t="s">
        <v>32880</v>
      </c>
      <c r="B16840" s="3" t="s">
        <v>14045</v>
      </c>
      <c r="C16840" s="5" t="s">
        <v>45</v>
      </c>
      <c r="D16840" s="3" t="s">
        <v>221</v>
      </c>
      <c r="E16840" s="3" t="s">
        <v>929</v>
      </c>
      <c r="F16840" s="7">
        <v>46072.195549927645</v>
      </c>
      <c r="G16840" s="3" t="s">
        <v>32881</v>
      </c>
    </row>
    <row r="16841">
      <c r="A16841" s="3" t="s">
        <v>32882</v>
      </c>
      <c r="B16841" s="3" t="s">
        <v>14045</v>
      </c>
      <c r="C16841" s="5" t="s">
        <v>221</v>
      </c>
      <c r="D16841" s="3" t="s">
        <v>614</v>
      </c>
      <c r="E16841" s="3" t="s">
        <v>118</v>
      </c>
      <c r="F16841" s="7">
        <v>46072.19902214986</v>
      </c>
      <c r="G16841" s="3" t="s">
        <v>32883</v>
      </c>
    </row>
    <row r="16842">
      <c r="A16842" s="3" t="s">
        <v>32884</v>
      </c>
      <c r="B16842" s="3" t="s">
        <v>14045</v>
      </c>
      <c r="C16842" s="5" t="s">
        <v>614</v>
      </c>
      <c r="D16842" s="3" t="s">
        <v>206</v>
      </c>
      <c r="E16842" s="3" t="s">
        <v>100</v>
      </c>
      <c r="F16842" s="7">
        <v>46072.20249437209</v>
      </c>
      <c r="G16842" s="3" t="s">
        <v>32885</v>
      </c>
    </row>
    <row r="16843">
      <c r="A16843" s="3" t="s">
        <v>32886</v>
      </c>
      <c r="B16843" s="3" t="s">
        <v>14045</v>
      </c>
      <c r="C16843" s="5" t="s">
        <v>206</v>
      </c>
      <c r="D16843" s="3" t="s">
        <v>68</v>
      </c>
      <c r="E16843" s="3" t="s">
        <v>100</v>
      </c>
      <c r="F16843" s="7">
        <v>46072.20596659431</v>
      </c>
      <c r="G16843" s="3" t="s">
        <v>32887</v>
      </c>
    </row>
    <row r="16844">
      <c r="A16844" s="3" t="s">
        <v>32888</v>
      </c>
      <c r="B16844" s="3" t="s">
        <v>14050</v>
      </c>
      <c r="C16844" s="5" t="s">
        <v>45</v>
      </c>
      <c r="D16844" s="3" t="s">
        <v>221</v>
      </c>
      <c r="E16844" s="3" t="s">
        <v>725</v>
      </c>
      <c r="F16844" s="7">
        <v>46072.26672477305</v>
      </c>
      <c r="G16844" s="3" t="s">
        <v>22223</v>
      </c>
    </row>
    <row r="16845">
      <c r="A16845" s="3" t="s">
        <v>32889</v>
      </c>
      <c r="B16845" s="3" t="s">
        <v>14050</v>
      </c>
      <c r="C16845" s="5" t="s">
        <v>221</v>
      </c>
      <c r="D16845" s="3" t="s">
        <v>614</v>
      </c>
      <c r="E16845" s="3" t="s">
        <v>118</v>
      </c>
      <c r="F16845" s="7">
        <v>46072.27019699527</v>
      </c>
      <c r="G16845" s="3" t="s">
        <v>22226</v>
      </c>
    </row>
    <row r="16846">
      <c r="A16846" s="3" t="s">
        <v>32890</v>
      </c>
      <c r="B16846" s="3" t="s">
        <v>14050</v>
      </c>
      <c r="C16846" s="5" t="s">
        <v>614</v>
      </c>
      <c r="D16846" s="3" t="s">
        <v>206</v>
      </c>
      <c r="E16846" s="3" t="s">
        <v>100</v>
      </c>
      <c r="F16846" s="7">
        <v>46072.273669217495</v>
      </c>
      <c r="G16846" s="3" t="s">
        <v>22229</v>
      </c>
    </row>
    <row r="16847">
      <c r="A16847" s="3" t="s">
        <v>32891</v>
      </c>
      <c r="B16847" s="3" t="s">
        <v>14050</v>
      </c>
      <c r="C16847" s="5" t="s">
        <v>206</v>
      </c>
      <c r="D16847" s="3" t="s">
        <v>68</v>
      </c>
      <c r="E16847" s="3" t="s">
        <v>100</v>
      </c>
      <c r="F16847" s="7">
        <v>46072.277141439714</v>
      </c>
      <c r="G16847" s="3" t="s">
        <v>22232</v>
      </c>
    </row>
    <row r="16848">
      <c r="A16848" s="3" t="s">
        <v>32892</v>
      </c>
      <c r="B16848" s="3" t="s">
        <v>14053</v>
      </c>
      <c r="C16848" s="5" t="s">
        <v>45</v>
      </c>
      <c r="D16848" s="3" t="s">
        <v>221</v>
      </c>
      <c r="E16848" s="3" t="s">
        <v>460</v>
      </c>
      <c r="F16848" s="7">
        <v>46072.33789961847</v>
      </c>
      <c r="G16848" s="3" t="s">
        <v>7164</v>
      </c>
    </row>
    <row r="16849">
      <c r="A16849" s="3" t="s">
        <v>32893</v>
      </c>
      <c r="B16849" s="3" t="s">
        <v>14053</v>
      </c>
      <c r="C16849" s="5" t="s">
        <v>221</v>
      </c>
      <c r="D16849" s="3" t="s">
        <v>614</v>
      </c>
      <c r="E16849" s="3" t="s">
        <v>118</v>
      </c>
      <c r="F16849" s="7">
        <v>46072.34137184069</v>
      </c>
      <c r="G16849" s="3" t="s">
        <v>7166</v>
      </c>
    </row>
    <row r="16850">
      <c r="A16850" s="3" t="s">
        <v>32894</v>
      </c>
      <c r="B16850" s="3" t="s">
        <v>14053</v>
      </c>
      <c r="C16850" s="5" t="s">
        <v>614</v>
      </c>
      <c r="D16850" s="3" t="s">
        <v>206</v>
      </c>
      <c r="E16850" s="3" t="s">
        <v>100</v>
      </c>
      <c r="F16850" s="7">
        <v>46072.344844062914</v>
      </c>
      <c r="G16850" s="3" t="s">
        <v>7169</v>
      </c>
    </row>
    <row r="16851">
      <c r="A16851" s="3" t="s">
        <v>32895</v>
      </c>
      <c r="B16851" s="3" t="s">
        <v>14053</v>
      </c>
      <c r="C16851" s="5" t="s">
        <v>206</v>
      </c>
      <c r="D16851" s="3" t="s">
        <v>68</v>
      </c>
      <c r="E16851" s="3" t="s">
        <v>100</v>
      </c>
      <c r="F16851" s="7">
        <v>46072.34831628513</v>
      </c>
      <c r="G16851" s="3" t="s">
        <v>7172</v>
      </c>
    </row>
    <row r="16852">
      <c r="A16852" s="3" t="s">
        <v>32896</v>
      </c>
      <c r="B16852" s="3" t="s">
        <v>14057</v>
      </c>
      <c r="C16852" s="5" t="s">
        <v>45</v>
      </c>
      <c r="D16852" s="3" t="s">
        <v>221</v>
      </c>
      <c r="E16852" s="3" t="s">
        <v>130</v>
      </c>
      <c r="F16852" s="7">
        <v>46072.40907446388</v>
      </c>
      <c r="G16852" s="3" t="s">
        <v>19315</v>
      </c>
    </row>
    <row r="16853">
      <c r="A16853" s="3" t="s">
        <v>32897</v>
      </c>
      <c r="B16853" s="3" t="s">
        <v>14057</v>
      </c>
      <c r="C16853" s="5" t="s">
        <v>221</v>
      </c>
      <c r="D16853" s="3" t="s">
        <v>181</v>
      </c>
      <c r="E16853" s="3" t="s">
        <v>118</v>
      </c>
      <c r="F16853" s="7">
        <v>46072.4125466861</v>
      </c>
      <c r="G16853" s="3" t="s">
        <v>32898</v>
      </c>
    </row>
    <row r="16854">
      <c r="A16854" s="3" t="s">
        <v>32899</v>
      </c>
      <c r="B16854" s="3" t="s">
        <v>14061</v>
      </c>
      <c r="C16854" s="5" t="s">
        <v>45</v>
      </c>
      <c r="D16854" s="3" t="s">
        <v>221</v>
      </c>
      <c r="E16854" s="3" t="s">
        <v>596</v>
      </c>
      <c r="F16854" s="7">
        <v>46072.4802493093</v>
      </c>
      <c r="G16854" s="3" t="s">
        <v>12875</v>
      </c>
    </row>
    <row r="16855">
      <c r="A16855" s="3" t="s">
        <v>32900</v>
      </c>
      <c r="B16855" s="3" t="s">
        <v>14061</v>
      </c>
      <c r="C16855" s="5" t="s">
        <v>221</v>
      </c>
      <c r="D16855" s="3" t="s">
        <v>195</v>
      </c>
      <c r="E16855" s="3" t="s">
        <v>596</v>
      </c>
      <c r="F16855" s="7">
        <v>46072.48372153152</v>
      </c>
      <c r="G16855" s="3" t="s">
        <v>32901</v>
      </c>
    </row>
    <row r="16856">
      <c r="A16856" s="3" t="s">
        <v>32902</v>
      </c>
      <c r="B16856" s="3" t="s">
        <v>14064</v>
      </c>
      <c r="C16856" s="5" t="s">
        <v>45</v>
      </c>
      <c r="D16856" s="3" t="s">
        <v>221</v>
      </c>
      <c r="E16856" s="3" t="s">
        <v>123</v>
      </c>
      <c r="F16856" s="7">
        <v>46072.55142415471</v>
      </c>
      <c r="G16856" s="3" t="s">
        <v>7972</v>
      </c>
    </row>
    <row r="16857">
      <c r="A16857" s="3" t="s">
        <v>32903</v>
      </c>
      <c r="B16857" s="3" t="s">
        <v>14064</v>
      </c>
      <c r="C16857" s="5" t="s">
        <v>221</v>
      </c>
      <c r="D16857" s="3" t="s">
        <v>614</v>
      </c>
      <c r="E16857" s="3" t="s">
        <v>118</v>
      </c>
      <c r="F16857" s="7">
        <v>46072.55489637693</v>
      </c>
      <c r="G16857" s="3" t="s">
        <v>7974</v>
      </c>
    </row>
    <row r="16858">
      <c r="A16858" s="3" t="s">
        <v>32904</v>
      </c>
      <c r="B16858" s="3" t="s">
        <v>14064</v>
      </c>
      <c r="C16858" s="5" t="s">
        <v>614</v>
      </c>
      <c r="D16858" s="3" t="s">
        <v>206</v>
      </c>
      <c r="E16858" s="3" t="s">
        <v>100</v>
      </c>
      <c r="F16858" s="7">
        <v>46072.55836859916</v>
      </c>
      <c r="G16858" s="3" t="s">
        <v>7977</v>
      </c>
    </row>
    <row r="16859">
      <c r="A16859" s="3" t="s">
        <v>32905</v>
      </c>
      <c r="B16859" s="3" t="s">
        <v>14064</v>
      </c>
      <c r="C16859" s="5" t="s">
        <v>206</v>
      </c>
      <c r="D16859" s="3" t="s">
        <v>68</v>
      </c>
      <c r="E16859" s="3" t="s">
        <v>100</v>
      </c>
      <c r="F16859" s="7">
        <v>46072.56184082138</v>
      </c>
      <c r="G16859" s="3" t="s">
        <v>7980</v>
      </c>
    </row>
    <row r="16860">
      <c r="A16860" s="3" t="s">
        <v>32906</v>
      </c>
      <c r="B16860" s="3" t="s">
        <v>14067</v>
      </c>
      <c r="C16860" s="5" t="s">
        <v>45</v>
      </c>
      <c r="D16860" s="3" t="s">
        <v>221</v>
      </c>
      <c r="E16860" s="3" t="s">
        <v>747</v>
      </c>
      <c r="F16860" s="7">
        <v>46072.62259900013</v>
      </c>
      <c r="G16860" s="3" t="s">
        <v>21283</v>
      </c>
    </row>
    <row r="16861">
      <c r="A16861" s="3" t="s">
        <v>32907</v>
      </c>
      <c r="B16861" s="3" t="s">
        <v>14067</v>
      </c>
      <c r="C16861" s="5" t="s">
        <v>221</v>
      </c>
      <c r="D16861" s="3" t="s">
        <v>614</v>
      </c>
      <c r="E16861" s="3" t="s">
        <v>118</v>
      </c>
      <c r="F16861" s="7">
        <v>46072.62607122235</v>
      </c>
      <c r="G16861" s="3" t="s">
        <v>21286</v>
      </c>
    </row>
    <row r="16862">
      <c r="A16862" s="3" t="s">
        <v>32908</v>
      </c>
      <c r="B16862" s="3" t="s">
        <v>14067</v>
      </c>
      <c r="C16862" s="5" t="s">
        <v>614</v>
      </c>
      <c r="D16862" s="3" t="s">
        <v>206</v>
      </c>
      <c r="E16862" s="3" t="s">
        <v>100</v>
      </c>
      <c r="F16862" s="7">
        <v>46072.62954344458</v>
      </c>
      <c r="G16862" s="3" t="s">
        <v>21288</v>
      </c>
    </row>
    <row r="16863">
      <c r="A16863" s="3" t="s">
        <v>32909</v>
      </c>
      <c r="B16863" s="3" t="s">
        <v>14067</v>
      </c>
      <c r="C16863" s="5" t="s">
        <v>206</v>
      </c>
      <c r="D16863" s="3" t="s">
        <v>68</v>
      </c>
      <c r="E16863" s="3" t="s">
        <v>100</v>
      </c>
      <c r="F16863" s="7">
        <v>46072.6330156668</v>
      </c>
      <c r="G16863" s="3" t="s">
        <v>21291</v>
      </c>
    </row>
    <row r="16864">
      <c r="A16864" s="3" t="s">
        <v>32910</v>
      </c>
      <c r="B16864" s="3" t="s">
        <v>14072</v>
      </c>
      <c r="C16864" s="5" t="s">
        <v>45</v>
      </c>
      <c r="D16864" s="3" t="s">
        <v>221</v>
      </c>
      <c r="E16864" s="3" t="s">
        <v>1037</v>
      </c>
      <c r="F16864" s="7">
        <v>46072.69377384554</v>
      </c>
      <c r="G16864" s="3" t="s">
        <v>7983</v>
      </c>
    </row>
    <row r="16865">
      <c r="A16865" s="3" t="s">
        <v>32911</v>
      </c>
      <c r="B16865" s="3" t="s">
        <v>14072</v>
      </c>
      <c r="C16865" s="5" t="s">
        <v>221</v>
      </c>
      <c r="D16865" s="3" t="s">
        <v>614</v>
      </c>
      <c r="E16865" s="3" t="s">
        <v>118</v>
      </c>
      <c r="F16865" s="7">
        <v>46072.69724606776</v>
      </c>
      <c r="G16865" s="3" t="s">
        <v>7986</v>
      </c>
    </row>
    <row r="16866">
      <c r="A16866" s="3" t="s">
        <v>32912</v>
      </c>
      <c r="B16866" s="3" t="s">
        <v>14072</v>
      </c>
      <c r="C16866" s="5" t="s">
        <v>614</v>
      </c>
      <c r="D16866" s="3" t="s">
        <v>206</v>
      </c>
      <c r="E16866" s="3" t="s">
        <v>100</v>
      </c>
      <c r="F16866" s="7">
        <v>46072.70071828998</v>
      </c>
      <c r="G16866" s="3" t="s">
        <v>7988</v>
      </c>
    </row>
    <row r="16867">
      <c r="A16867" s="3" t="s">
        <v>32913</v>
      </c>
      <c r="B16867" s="3" t="s">
        <v>14072</v>
      </c>
      <c r="C16867" s="5" t="s">
        <v>206</v>
      </c>
      <c r="D16867" s="3" t="s">
        <v>68</v>
      </c>
      <c r="E16867" s="3" t="s">
        <v>100</v>
      </c>
      <c r="F16867" s="7">
        <v>46072.7041905122</v>
      </c>
      <c r="G16867" s="3" t="s">
        <v>7991</v>
      </c>
    </row>
    <row r="16868">
      <c r="A16868" s="3" t="s">
        <v>32914</v>
      </c>
      <c r="B16868" s="3" t="s">
        <v>14075</v>
      </c>
      <c r="C16868" s="5" t="s">
        <v>45</v>
      </c>
      <c r="D16868" s="3" t="s">
        <v>221</v>
      </c>
      <c r="E16868" s="3" t="s">
        <v>159</v>
      </c>
      <c r="F16868" s="7">
        <v>46072.76494869096</v>
      </c>
      <c r="G16868" s="3" t="s">
        <v>8665</v>
      </c>
    </row>
    <row r="16869">
      <c r="A16869" s="3" t="s">
        <v>32915</v>
      </c>
      <c r="B16869" s="3" t="s">
        <v>14075</v>
      </c>
      <c r="C16869" s="5" t="s">
        <v>221</v>
      </c>
      <c r="D16869" s="3" t="s">
        <v>614</v>
      </c>
      <c r="E16869" s="3" t="s">
        <v>118</v>
      </c>
      <c r="F16869" s="7">
        <v>46072.76842091318</v>
      </c>
      <c r="G16869" s="3" t="s">
        <v>8668</v>
      </c>
    </row>
    <row r="16870">
      <c r="A16870" s="3" t="s">
        <v>32916</v>
      </c>
      <c r="B16870" s="3" t="s">
        <v>14075</v>
      </c>
      <c r="C16870" s="5" t="s">
        <v>614</v>
      </c>
      <c r="D16870" s="3" t="s">
        <v>206</v>
      </c>
      <c r="E16870" s="3" t="s">
        <v>100</v>
      </c>
      <c r="F16870" s="7">
        <v>46072.7718931354</v>
      </c>
      <c r="G16870" s="3" t="s">
        <v>8670</v>
      </c>
    </row>
    <row r="16871">
      <c r="A16871" s="3" t="s">
        <v>32917</v>
      </c>
      <c r="B16871" s="3" t="s">
        <v>14075</v>
      </c>
      <c r="C16871" s="5" t="s">
        <v>206</v>
      </c>
      <c r="D16871" s="3" t="s">
        <v>68</v>
      </c>
      <c r="E16871" s="3" t="s">
        <v>100</v>
      </c>
      <c r="F16871" s="7">
        <v>46072.77536535762</v>
      </c>
      <c r="G16871" s="3" t="s">
        <v>8673</v>
      </c>
    </row>
    <row r="16872">
      <c r="A16872" s="3" t="s">
        <v>32918</v>
      </c>
      <c r="B16872" s="3" t="s">
        <v>14078</v>
      </c>
      <c r="C16872" s="5" t="s">
        <v>45</v>
      </c>
      <c r="D16872" s="3" t="s">
        <v>221</v>
      </c>
      <c r="E16872" s="3" t="s">
        <v>903</v>
      </c>
      <c r="F16872" s="7">
        <v>46072.83612353638</v>
      </c>
      <c r="G16872" s="3" t="s">
        <v>24285</v>
      </c>
    </row>
    <row r="16873">
      <c r="A16873" s="3" t="s">
        <v>32919</v>
      </c>
      <c r="B16873" s="3" t="s">
        <v>14078</v>
      </c>
      <c r="C16873" s="5" t="s">
        <v>221</v>
      </c>
      <c r="D16873" s="3" t="s">
        <v>614</v>
      </c>
      <c r="E16873" s="3" t="s">
        <v>118</v>
      </c>
      <c r="F16873" s="7">
        <v>46072.839595758596</v>
      </c>
      <c r="G16873" s="3" t="s">
        <v>32920</v>
      </c>
    </row>
    <row r="16874">
      <c r="A16874" s="3" t="s">
        <v>32921</v>
      </c>
      <c r="B16874" s="3" t="s">
        <v>14078</v>
      </c>
      <c r="C16874" s="5" t="s">
        <v>614</v>
      </c>
      <c r="D16874" s="3" t="s">
        <v>206</v>
      </c>
      <c r="E16874" s="3" t="s">
        <v>100</v>
      </c>
      <c r="F16874" s="7">
        <v>46072.84306798082</v>
      </c>
      <c r="G16874" s="3" t="s">
        <v>32922</v>
      </c>
    </row>
    <row r="16875">
      <c r="A16875" s="3" t="s">
        <v>32923</v>
      </c>
      <c r="B16875" s="3" t="s">
        <v>14078</v>
      </c>
      <c r="C16875" s="5" t="s">
        <v>206</v>
      </c>
      <c r="D16875" s="3" t="s">
        <v>68</v>
      </c>
      <c r="E16875" s="3" t="s">
        <v>100</v>
      </c>
      <c r="F16875" s="7">
        <v>46072.84654020304</v>
      </c>
      <c r="G16875" s="3" t="s">
        <v>32924</v>
      </c>
    </row>
    <row r="16876">
      <c r="A16876" s="3" t="s">
        <v>32925</v>
      </c>
      <c r="B16876" s="3" t="s">
        <v>14081</v>
      </c>
      <c r="C16876" s="5" t="s">
        <v>45</v>
      </c>
      <c r="D16876" s="3" t="s">
        <v>221</v>
      </c>
      <c r="E16876" s="3" t="s">
        <v>380</v>
      </c>
      <c r="F16876" s="7">
        <v>46072.90729838179</v>
      </c>
      <c r="G16876" s="3" t="s">
        <v>8874</v>
      </c>
    </row>
    <row r="16877">
      <c r="A16877" s="3" t="s">
        <v>32926</v>
      </c>
      <c r="B16877" s="3" t="s">
        <v>14081</v>
      </c>
      <c r="C16877" s="5" t="s">
        <v>221</v>
      </c>
      <c r="D16877" s="3" t="s">
        <v>614</v>
      </c>
      <c r="E16877" s="3" t="s">
        <v>118</v>
      </c>
      <c r="F16877" s="7">
        <v>46072.91077060401</v>
      </c>
      <c r="G16877" s="3" t="s">
        <v>8877</v>
      </c>
    </row>
    <row r="16878">
      <c r="A16878" s="3" t="s">
        <v>32927</v>
      </c>
      <c r="B16878" s="3" t="s">
        <v>14081</v>
      </c>
      <c r="C16878" s="5" t="s">
        <v>614</v>
      </c>
      <c r="D16878" s="3" t="s">
        <v>206</v>
      </c>
      <c r="E16878" s="3" t="s">
        <v>100</v>
      </c>
      <c r="F16878" s="7">
        <v>46072.914242826235</v>
      </c>
      <c r="G16878" s="3" t="s">
        <v>8880</v>
      </c>
    </row>
    <row r="16879">
      <c r="A16879" s="3" t="s">
        <v>32928</v>
      </c>
      <c r="B16879" s="3" t="s">
        <v>14081</v>
      </c>
      <c r="C16879" s="5" t="s">
        <v>206</v>
      </c>
      <c r="D16879" s="3" t="s">
        <v>68</v>
      </c>
      <c r="E16879" s="3" t="s">
        <v>100</v>
      </c>
      <c r="F16879" s="7">
        <v>46072.917715048454</v>
      </c>
      <c r="G16879" s="3" t="s">
        <v>8883</v>
      </c>
    </row>
    <row r="16880">
      <c r="A16880" s="3" t="s">
        <v>32929</v>
      </c>
      <c r="B16880" s="3" t="s">
        <v>14084</v>
      </c>
      <c r="C16880" s="5" t="s">
        <v>45</v>
      </c>
      <c r="D16880" s="3" t="s">
        <v>221</v>
      </c>
      <c r="E16880" s="3" t="s">
        <v>276</v>
      </c>
      <c r="F16880" s="7">
        <v>46072.9784732272</v>
      </c>
      <c r="G16880" s="3" t="s">
        <v>8002</v>
      </c>
    </row>
    <row r="16881">
      <c r="A16881" s="3" t="s">
        <v>32930</v>
      </c>
      <c r="B16881" s="3" t="s">
        <v>14084</v>
      </c>
      <c r="C16881" s="5" t="s">
        <v>221</v>
      </c>
      <c r="D16881" s="3" t="s">
        <v>614</v>
      </c>
      <c r="E16881" s="3" t="s">
        <v>118</v>
      </c>
      <c r="F16881" s="7">
        <v>46072.98194544942</v>
      </c>
      <c r="G16881" s="3" t="s">
        <v>8005</v>
      </c>
    </row>
    <row r="16882">
      <c r="A16882" s="3" t="s">
        <v>32931</v>
      </c>
      <c r="B16882" s="3" t="s">
        <v>14084</v>
      </c>
      <c r="C16882" s="5" t="s">
        <v>614</v>
      </c>
      <c r="D16882" s="3" t="s">
        <v>206</v>
      </c>
      <c r="E16882" s="3" t="s">
        <v>100</v>
      </c>
      <c r="F16882" s="7">
        <v>46072.98541767165</v>
      </c>
      <c r="G16882" s="3" t="s">
        <v>8008</v>
      </c>
    </row>
    <row r="16883">
      <c r="A16883" s="3" t="s">
        <v>32932</v>
      </c>
      <c r="B16883" s="3" t="s">
        <v>14084</v>
      </c>
      <c r="C16883" s="5" t="s">
        <v>206</v>
      </c>
      <c r="D16883" s="3" t="s">
        <v>68</v>
      </c>
      <c r="E16883" s="3" t="s">
        <v>100</v>
      </c>
      <c r="F16883" s="7">
        <v>46072.988889893866</v>
      </c>
      <c r="G16883" s="3" t="s">
        <v>8011</v>
      </c>
    </row>
    <row r="16884">
      <c r="A16884" s="3" t="s">
        <v>32933</v>
      </c>
      <c r="B16884" s="3" t="s">
        <v>14088</v>
      </c>
      <c r="C16884" s="5" t="s">
        <v>45</v>
      </c>
      <c r="D16884" s="3" t="s">
        <v>221</v>
      </c>
      <c r="E16884" s="3" t="s">
        <v>702</v>
      </c>
      <c r="F16884" s="7">
        <v>46073.04964807262</v>
      </c>
      <c r="G16884" s="3" t="s">
        <v>16032</v>
      </c>
    </row>
    <row r="16885">
      <c r="A16885" s="3" t="s">
        <v>32934</v>
      </c>
      <c r="B16885" s="3" t="s">
        <v>14088</v>
      </c>
      <c r="C16885" s="5" t="s">
        <v>221</v>
      </c>
      <c r="D16885" s="3" t="s">
        <v>614</v>
      </c>
      <c r="E16885" s="3" t="s">
        <v>118</v>
      </c>
      <c r="F16885" s="7">
        <v>46073.05312029484</v>
      </c>
      <c r="G16885" s="3" t="s">
        <v>16035</v>
      </c>
    </row>
    <row r="16886">
      <c r="A16886" s="3" t="s">
        <v>32935</v>
      </c>
      <c r="B16886" s="3" t="s">
        <v>14088</v>
      </c>
      <c r="C16886" s="5" t="s">
        <v>614</v>
      </c>
      <c r="D16886" s="3" t="s">
        <v>206</v>
      </c>
      <c r="E16886" s="3" t="s">
        <v>100</v>
      </c>
      <c r="F16886" s="7">
        <v>46073.05659251707</v>
      </c>
      <c r="G16886" s="3" t="s">
        <v>16037</v>
      </c>
    </row>
    <row r="16887">
      <c r="A16887" s="3" t="s">
        <v>32936</v>
      </c>
      <c r="B16887" s="3" t="s">
        <v>14088</v>
      </c>
      <c r="C16887" s="5" t="s">
        <v>206</v>
      </c>
      <c r="D16887" s="3" t="s">
        <v>68</v>
      </c>
      <c r="E16887" s="3" t="s">
        <v>100</v>
      </c>
      <c r="F16887" s="7">
        <v>46073.060064739286</v>
      </c>
      <c r="G16887" s="3" t="s">
        <v>16040</v>
      </c>
    </row>
    <row r="16888">
      <c r="A16888" s="3" t="s">
        <v>32937</v>
      </c>
      <c r="B16888" s="3" t="s">
        <v>14092</v>
      </c>
      <c r="C16888" s="5" t="s">
        <v>45</v>
      </c>
      <c r="D16888" s="3" t="s">
        <v>221</v>
      </c>
      <c r="E16888" s="3" t="s">
        <v>521</v>
      </c>
      <c r="F16888" s="7">
        <v>46073.120822918034</v>
      </c>
      <c r="G16888" s="3" t="s">
        <v>11745</v>
      </c>
    </row>
    <row r="16889">
      <c r="A16889" s="3" t="s">
        <v>32938</v>
      </c>
      <c r="B16889" s="3" t="s">
        <v>14092</v>
      </c>
      <c r="C16889" s="5" t="s">
        <v>221</v>
      </c>
      <c r="D16889" s="3" t="s">
        <v>614</v>
      </c>
      <c r="E16889" s="3" t="s">
        <v>118</v>
      </c>
      <c r="F16889" s="7">
        <v>46073.12429514025</v>
      </c>
      <c r="G16889" s="3" t="s">
        <v>11748</v>
      </c>
    </row>
    <row r="16890">
      <c r="A16890" s="3" t="s">
        <v>32939</v>
      </c>
      <c r="B16890" s="3" t="s">
        <v>14092</v>
      </c>
      <c r="C16890" s="5" t="s">
        <v>614</v>
      </c>
      <c r="D16890" s="3" t="s">
        <v>206</v>
      </c>
      <c r="E16890" s="3" t="s">
        <v>100</v>
      </c>
      <c r="F16890" s="7">
        <v>46073.12776736248</v>
      </c>
      <c r="G16890" s="3" t="s">
        <v>11751</v>
      </c>
    </row>
    <row r="16891">
      <c r="A16891" s="3" t="s">
        <v>32940</v>
      </c>
      <c r="B16891" s="3" t="s">
        <v>14092</v>
      </c>
      <c r="C16891" s="5" t="s">
        <v>206</v>
      </c>
      <c r="D16891" s="3" t="s">
        <v>68</v>
      </c>
      <c r="E16891" s="3" t="s">
        <v>100</v>
      </c>
      <c r="F16891" s="7">
        <v>46073.1312395847</v>
      </c>
      <c r="G16891" s="3" t="s">
        <v>11754</v>
      </c>
    </row>
    <row r="16892">
      <c r="A16892" s="3" t="s">
        <v>32941</v>
      </c>
      <c r="B16892" s="3" t="s">
        <v>14095</v>
      </c>
      <c r="C16892" s="5" t="s">
        <v>45</v>
      </c>
      <c r="D16892" s="3" t="s">
        <v>221</v>
      </c>
      <c r="E16892" s="3" t="s">
        <v>388</v>
      </c>
      <c r="F16892" s="7">
        <v>46073.191997763446</v>
      </c>
      <c r="G16892" s="3" t="s">
        <v>6300</v>
      </c>
    </row>
    <row r="16893">
      <c r="A16893" s="3" t="s">
        <v>32942</v>
      </c>
      <c r="B16893" s="3" t="s">
        <v>14095</v>
      </c>
      <c r="C16893" s="5" t="s">
        <v>221</v>
      </c>
      <c r="D16893" s="3" t="s">
        <v>614</v>
      </c>
      <c r="E16893" s="3" t="s">
        <v>118</v>
      </c>
      <c r="F16893" s="7">
        <v>46073.195469985665</v>
      </c>
      <c r="G16893" s="3" t="s">
        <v>6303</v>
      </c>
    </row>
    <row r="16894">
      <c r="A16894" s="3" t="s">
        <v>32943</v>
      </c>
      <c r="B16894" s="3" t="s">
        <v>14095</v>
      </c>
      <c r="C16894" s="5" t="s">
        <v>614</v>
      </c>
      <c r="D16894" s="3" t="s">
        <v>206</v>
      </c>
      <c r="E16894" s="3" t="s">
        <v>100</v>
      </c>
      <c r="F16894" s="7">
        <v>46073.19894220789</v>
      </c>
      <c r="G16894" s="3" t="s">
        <v>6305</v>
      </c>
    </row>
    <row r="16895">
      <c r="A16895" s="3" t="s">
        <v>32944</v>
      </c>
      <c r="B16895" s="3" t="s">
        <v>14095</v>
      </c>
      <c r="C16895" s="5" t="s">
        <v>206</v>
      </c>
      <c r="D16895" s="3" t="s">
        <v>68</v>
      </c>
      <c r="E16895" s="3" t="s">
        <v>100</v>
      </c>
      <c r="F16895" s="7">
        <v>46073.20241443011</v>
      </c>
      <c r="G16895" s="3" t="s">
        <v>6308</v>
      </c>
    </row>
    <row r="16896">
      <c r="A16896" s="3" t="s">
        <v>32945</v>
      </c>
      <c r="B16896" s="3" t="s">
        <v>14098</v>
      </c>
      <c r="C16896" s="5" t="s">
        <v>45</v>
      </c>
      <c r="D16896" s="3" t="s">
        <v>221</v>
      </c>
      <c r="E16896" s="3" t="s">
        <v>239</v>
      </c>
      <c r="F16896" s="7">
        <v>46073.263172608866</v>
      </c>
      <c r="G16896" s="3" t="s">
        <v>8014</v>
      </c>
    </row>
    <row r="16897">
      <c r="A16897" s="3" t="s">
        <v>32946</v>
      </c>
      <c r="B16897" s="3" t="s">
        <v>14098</v>
      </c>
      <c r="C16897" s="5" t="s">
        <v>221</v>
      </c>
      <c r="D16897" s="3" t="s">
        <v>614</v>
      </c>
      <c r="E16897" s="3" t="s">
        <v>118</v>
      </c>
      <c r="F16897" s="7">
        <v>46073.266644831085</v>
      </c>
      <c r="G16897" s="3" t="s">
        <v>8017</v>
      </c>
    </row>
    <row r="16898">
      <c r="A16898" s="3" t="s">
        <v>32947</v>
      </c>
      <c r="B16898" s="3" t="s">
        <v>14098</v>
      </c>
      <c r="C16898" s="5" t="s">
        <v>614</v>
      </c>
      <c r="D16898" s="3" t="s">
        <v>206</v>
      </c>
      <c r="E16898" s="3" t="s">
        <v>100</v>
      </c>
      <c r="F16898" s="7">
        <v>46073.27011705331</v>
      </c>
      <c r="G16898" s="3" t="s">
        <v>8020</v>
      </c>
    </row>
    <row r="16899">
      <c r="A16899" s="3" t="s">
        <v>32948</v>
      </c>
      <c r="B16899" s="3" t="s">
        <v>14098</v>
      </c>
      <c r="C16899" s="5" t="s">
        <v>206</v>
      </c>
      <c r="D16899" s="3" t="s">
        <v>68</v>
      </c>
      <c r="E16899" s="3" t="s">
        <v>100</v>
      </c>
      <c r="F16899" s="7">
        <v>46073.27358927553</v>
      </c>
      <c r="G16899" s="3" t="s">
        <v>8024</v>
      </c>
    </row>
    <row r="16900">
      <c r="A16900" s="3" t="s">
        <v>32949</v>
      </c>
      <c r="B16900" s="3" t="s">
        <v>14102</v>
      </c>
      <c r="C16900" s="5" t="s">
        <v>45</v>
      </c>
      <c r="D16900" s="3" t="s">
        <v>221</v>
      </c>
      <c r="E16900" s="3" t="s">
        <v>903</v>
      </c>
      <c r="F16900" s="7">
        <v>46073.334347454285</v>
      </c>
      <c r="G16900" s="3" t="s">
        <v>7342</v>
      </c>
    </row>
    <row r="16901">
      <c r="A16901" s="3" t="s">
        <v>32950</v>
      </c>
      <c r="B16901" s="3" t="s">
        <v>14102</v>
      </c>
      <c r="C16901" s="5" t="s">
        <v>221</v>
      </c>
      <c r="D16901" s="3" t="s">
        <v>614</v>
      </c>
      <c r="E16901" s="3" t="s">
        <v>118</v>
      </c>
      <c r="F16901" s="7">
        <v>46073.337819676504</v>
      </c>
      <c r="G16901" s="3" t="s">
        <v>7345</v>
      </c>
    </row>
    <row r="16902">
      <c r="A16902" s="3" t="s">
        <v>32951</v>
      </c>
      <c r="B16902" s="3" t="s">
        <v>14102</v>
      </c>
      <c r="C16902" s="5" t="s">
        <v>614</v>
      </c>
      <c r="D16902" s="3" t="s">
        <v>206</v>
      </c>
      <c r="E16902" s="3" t="s">
        <v>100</v>
      </c>
      <c r="F16902" s="7">
        <v>46073.34129189873</v>
      </c>
      <c r="G16902" s="3" t="s">
        <v>7348</v>
      </c>
    </row>
    <row r="16903">
      <c r="A16903" s="3" t="s">
        <v>32952</v>
      </c>
      <c r="B16903" s="3" t="s">
        <v>14102</v>
      </c>
      <c r="C16903" s="5" t="s">
        <v>206</v>
      </c>
      <c r="D16903" s="3" t="s">
        <v>68</v>
      </c>
      <c r="E16903" s="3" t="s">
        <v>100</v>
      </c>
      <c r="F16903" s="7">
        <v>46073.34476412095</v>
      </c>
      <c r="G16903" s="3" t="s">
        <v>7351</v>
      </c>
    </row>
    <row r="16904">
      <c r="A16904" s="3" t="s">
        <v>32953</v>
      </c>
      <c r="B16904" s="3" t="s">
        <v>14106</v>
      </c>
      <c r="C16904" s="5" t="s">
        <v>45</v>
      </c>
      <c r="D16904" s="3" t="s">
        <v>221</v>
      </c>
      <c r="E16904" s="3" t="s">
        <v>145</v>
      </c>
      <c r="F16904" s="7">
        <v>46073.40552229969</v>
      </c>
      <c r="G16904" s="3" t="s">
        <v>12956</v>
      </c>
    </row>
    <row r="16905">
      <c r="A16905" s="3" t="s">
        <v>32954</v>
      </c>
      <c r="B16905" s="3" t="s">
        <v>14106</v>
      </c>
      <c r="C16905" s="5" t="s">
        <v>221</v>
      </c>
      <c r="D16905" s="3" t="s">
        <v>614</v>
      </c>
      <c r="E16905" s="3" t="s">
        <v>118</v>
      </c>
      <c r="F16905" s="7">
        <v>46073.40899452191</v>
      </c>
      <c r="G16905" s="3" t="s">
        <v>12959</v>
      </c>
    </row>
    <row r="16906">
      <c r="A16906" s="3" t="s">
        <v>32955</v>
      </c>
      <c r="B16906" s="3" t="s">
        <v>14106</v>
      </c>
      <c r="C16906" s="5" t="s">
        <v>614</v>
      </c>
      <c r="D16906" s="3" t="s">
        <v>206</v>
      </c>
      <c r="E16906" s="3" t="s">
        <v>100</v>
      </c>
      <c r="F16906" s="7">
        <v>46073.412466744136</v>
      </c>
      <c r="G16906" s="3" t="s">
        <v>12962</v>
      </c>
    </row>
    <row r="16907">
      <c r="A16907" s="3" t="s">
        <v>32956</v>
      </c>
      <c r="B16907" s="3" t="s">
        <v>14106</v>
      </c>
      <c r="C16907" s="5" t="s">
        <v>206</v>
      </c>
      <c r="D16907" s="3" t="s">
        <v>68</v>
      </c>
      <c r="E16907" s="3" t="s">
        <v>100</v>
      </c>
      <c r="F16907" s="7">
        <v>46073.415938966355</v>
      </c>
      <c r="G16907" s="3" t="s">
        <v>12965</v>
      </c>
    </row>
    <row r="16908">
      <c r="A16908" s="3" t="s">
        <v>32957</v>
      </c>
      <c r="B16908" s="3" t="s">
        <v>14109</v>
      </c>
      <c r="C16908" s="5" t="s">
        <v>45</v>
      </c>
      <c r="D16908" s="3" t="s">
        <v>221</v>
      </c>
      <c r="E16908" s="3" t="s">
        <v>841</v>
      </c>
      <c r="F16908" s="7">
        <v>46073.47669714511</v>
      </c>
      <c r="G16908" s="3" t="s">
        <v>32958</v>
      </c>
    </row>
    <row r="16909">
      <c r="A16909" s="3" t="s">
        <v>32959</v>
      </c>
      <c r="B16909" s="3" t="s">
        <v>14109</v>
      </c>
      <c r="C16909" s="5" t="s">
        <v>221</v>
      </c>
      <c r="D16909" s="3" t="s">
        <v>614</v>
      </c>
      <c r="E16909" s="3" t="s">
        <v>118</v>
      </c>
      <c r="F16909" s="7">
        <v>46073.48016936733</v>
      </c>
      <c r="G16909" s="3" t="s">
        <v>32960</v>
      </c>
    </row>
    <row r="16910">
      <c r="A16910" s="3" t="s">
        <v>32961</v>
      </c>
      <c r="B16910" s="3" t="s">
        <v>14109</v>
      </c>
      <c r="C16910" s="5" t="s">
        <v>614</v>
      </c>
      <c r="D16910" s="3" t="s">
        <v>206</v>
      </c>
      <c r="E16910" s="3" t="s">
        <v>100</v>
      </c>
      <c r="F16910" s="7">
        <v>46073.483641589555</v>
      </c>
      <c r="G16910" s="3" t="s">
        <v>32962</v>
      </c>
    </row>
    <row r="16911">
      <c r="A16911" s="3" t="s">
        <v>32963</v>
      </c>
      <c r="B16911" s="3" t="s">
        <v>14109</v>
      </c>
      <c r="C16911" s="5" t="s">
        <v>206</v>
      </c>
      <c r="D16911" s="3" t="s">
        <v>68</v>
      </c>
      <c r="E16911" s="3" t="s">
        <v>100</v>
      </c>
      <c r="F16911" s="7">
        <v>46073.487113811774</v>
      </c>
      <c r="G16911" s="3" t="s">
        <v>32964</v>
      </c>
    </row>
    <row r="16912">
      <c r="A16912" s="3" t="s">
        <v>32965</v>
      </c>
      <c r="B16912" s="3" t="s">
        <v>14113</v>
      </c>
      <c r="C16912" s="5" t="s">
        <v>45</v>
      </c>
      <c r="D16912" s="3" t="s">
        <v>221</v>
      </c>
      <c r="E16912" s="3" t="s">
        <v>530</v>
      </c>
      <c r="F16912" s="7">
        <v>46073.54787199053</v>
      </c>
      <c r="G16912" s="3" t="s">
        <v>8027</v>
      </c>
    </row>
    <row r="16913">
      <c r="A16913" s="3" t="s">
        <v>32966</v>
      </c>
      <c r="B16913" s="3" t="s">
        <v>14113</v>
      </c>
      <c r="C16913" s="5" t="s">
        <v>221</v>
      </c>
      <c r="D16913" s="3" t="s">
        <v>614</v>
      </c>
      <c r="E16913" s="3" t="s">
        <v>118</v>
      </c>
      <c r="F16913" s="7">
        <v>46073.55134421275</v>
      </c>
      <c r="G16913" s="3" t="s">
        <v>8030</v>
      </c>
    </row>
    <row r="16914">
      <c r="A16914" s="3" t="s">
        <v>32967</v>
      </c>
      <c r="B16914" s="3" t="s">
        <v>14113</v>
      </c>
      <c r="C16914" s="5" t="s">
        <v>614</v>
      </c>
      <c r="D16914" s="3" t="s">
        <v>206</v>
      </c>
      <c r="E16914" s="3" t="s">
        <v>100</v>
      </c>
      <c r="F16914" s="7">
        <v>46073.554816434975</v>
      </c>
      <c r="G16914" s="3" t="s">
        <v>8032</v>
      </c>
    </row>
    <row r="16915">
      <c r="A16915" s="3" t="s">
        <v>32968</v>
      </c>
      <c r="B16915" s="3" t="s">
        <v>14113</v>
      </c>
      <c r="C16915" s="5" t="s">
        <v>206</v>
      </c>
      <c r="D16915" s="3" t="s">
        <v>68</v>
      </c>
      <c r="E16915" s="3" t="s">
        <v>100</v>
      </c>
      <c r="F16915" s="7">
        <v>46073.558288657194</v>
      </c>
      <c r="G16915" s="3" t="s">
        <v>8035</v>
      </c>
    </row>
    <row r="16916">
      <c r="A16916" s="3" t="s">
        <v>32969</v>
      </c>
      <c r="B16916" s="3" t="s">
        <v>14117</v>
      </c>
      <c r="C16916" s="5" t="s">
        <v>45</v>
      </c>
      <c r="D16916" s="3" t="s">
        <v>221</v>
      </c>
      <c r="E16916" s="3" t="s">
        <v>130</v>
      </c>
      <c r="F16916" s="7">
        <v>46073.61904683594</v>
      </c>
      <c r="G16916" s="3" t="s">
        <v>19315</v>
      </c>
    </row>
    <row r="16917">
      <c r="A16917" s="3" t="s">
        <v>32970</v>
      </c>
      <c r="B16917" s="3" t="s">
        <v>14117</v>
      </c>
      <c r="C16917" s="5" t="s">
        <v>221</v>
      </c>
      <c r="D16917" s="3" t="s">
        <v>614</v>
      </c>
      <c r="E16917" s="3" t="s">
        <v>118</v>
      </c>
      <c r="F16917" s="7">
        <v>46073.62251905816</v>
      </c>
      <c r="G16917" s="3" t="s">
        <v>19317</v>
      </c>
    </row>
    <row r="16918">
      <c r="A16918" s="3" t="s">
        <v>32971</v>
      </c>
      <c r="B16918" s="3" t="s">
        <v>14117</v>
      </c>
      <c r="C16918" s="5" t="s">
        <v>614</v>
      </c>
      <c r="D16918" s="3" t="s">
        <v>206</v>
      </c>
      <c r="E16918" s="3" t="s">
        <v>100</v>
      </c>
      <c r="F16918" s="7">
        <v>46073.62599128039</v>
      </c>
      <c r="G16918" s="3" t="s">
        <v>19320</v>
      </c>
    </row>
    <row r="16919">
      <c r="A16919" s="3" t="s">
        <v>32972</v>
      </c>
      <c r="B16919" s="3" t="s">
        <v>14117</v>
      </c>
      <c r="C16919" s="5" t="s">
        <v>206</v>
      </c>
      <c r="D16919" s="3" t="s">
        <v>68</v>
      </c>
      <c r="E16919" s="3" t="s">
        <v>100</v>
      </c>
      <c r="F16919" s="7">
        <v>46073.629463502606</v>
      </c>
      <c r="G16919" s="3" t="s">
        <v>19323</v>
      </c>
    </row>
    <row r="16920">
      <c r="A16920" s="3" t="s">
        <v>32973</v>
      </c>
      <c r="B16920" s="3" t="s">
        <v>14119</v>
      </c>
      <c r="C16920" s="5" t="s">
        <v>45</v>
      </c>
      <c r="D16920" s="3" t="s">
        <v>221</v>
      </c>
      <c r="E16920" s="3" t="s">
        <v>627</v>
      </c>
      <c r="F16920" s="7">
        <v>46073.690221681354</v>
      </c>
      <c r="G16920" s="3" t="s">
        <v>32575</v>
      </c>
    </row>
    <row r="16921">
      <c r="A16921" s="3" t="s">
        <v>32974</v>
      </c>
      <c r="B16921" s="3" t="s">
        <v>14119</v>
      </c>
      <c r="C16921" s="5" t="s">
        <v>221</v>
      </c>
      <c r="D16921" s="3" t="s">
        <v>614</v>
      </c>
      <c r="E16921" s="3" t="s">
        <v>118</v>
      </c>
      <c r="F16921" s="7">
        <v>46073.69369390357</v>
      </c>
      <c r="G16921" s="3" t="s">
        <v>32577</v>
      </c>
    </row>
    <row r="16922">
      <c r="A16922" s="3" t="s">
        <v>32975</v>
      </c>
      <c r="B16922" s="3" t="s">
        <v>14119</v>
      </c>
      <c r="C16922" s="5" t="s">
        <v>614</v>
      </c>
      <c r="D16922" s="3" t="s">
        <v>206</v>
      </c>
      <c r="E16922" s="3" t="s">
        <v>100</v>
      </c>
      <c r="F16922" s="7">
        <v>46073.6971661258</v>
      </c>
      <c r="G16922" s="3" t="s">
        <v>32579</v>
      </c>
    </row>
    <row r="16923">
      <c r="A16923" s="3" t="s">
        <v>32976</v>
      </c>
      <c r="B16923" s="3" t="s">
        <v>14119</v>
      </c>
      <c r="C16923" s="5" t="s">
        <v>206</v>
      </c>
      <c r="D16923" s="3" t="s">
        <v>68</v>
      </c>
      <c r="E16923" s="3" t="s">
        <v>100</v>
      </c>
      <c r="F16923" s="7">
        <v>46073.70063834802</v>
      </c>
      <c r="G16923" s="3" t="s">
        <v>32581</v>
      </c>
    </row>
    <row r="16924">
      <c r="A16924" s="3" t="s">
        <v>32977</v>
      </c>
      <c r="B16924" s="3" t="s">
        <v>14121</v>
      </c>
      <c r="C16924" s="5" t="s">
        <v>45</v>
      </c>
      <c r="D16924" s="3" t="s">
        <v>221</v>
      </c>
      <c r="E16924" s="3" t="s">
        <v>672</v>
      </c>
      <c r="F16924" s="7">
        <v>46073.761396526774</v>
      </c>
      <c r="G16924" s="3" t="s">
        <v>19435</v>
      </c>
    </row>
    <row r="16925">
      <c r="A16925" s="3" t="s">
        <v>32978</v>
      </c>
      <c r="B16925" s="3" t="s">
        <v>14121</v>
      </c>
      <c r="C16925" s="5" t="s">
        <v>221</v>
      </c>
      <c r="D16925" s="3" t="s">
        <v>614</v>
      </c>
      <c r="E16925" s="3" t="s">
        <v>118</v>
      </c>
      <c r="F16925" s="7">
        <v>46073.76486874899</v>
      </c>
      <c r="G16925" s="3" t="s">
        <v>19438</v>
      </c>
    </row>
    <row r="16926">
      <c r="A16926" s="3" t="s">
        <v>32979</v>
      </c>
      <c r="B16926" s="3" t="s">
        <v>14121</v>
      </c>
      <c r="C16926" s="5" t="s">
        <v>614</v>
      </c>
      <c r="D16926" s="3" t="s">
        <v>206</v>
      </c>
      <c r="E16926" s="3" t="s">
        <v>100</v>
      </c>
      <c r="F16926" s="7">
        <v>46073.76834097122</v>
      </c>
      <c r="G16926" s="3" t="s">
        <v>19441</v>
      </c>
    </row>
    <row r="16927">
      <c r="A16927" s="3" t="s">
        <v>32980</v>
      </c>
      <c r="B16927" s="3" t="s">
        <v>14121</v>
      </c>
      <c r="C16927" s="5" t="s">
        <v>206</v>
      </c>
      <c r="D16927" s="3" t="s">
        <v>68</v>
      </c>
      <c r="E16927" s="3" t="s">
        <v>100</v>
      </c>
      <c r="F16927" s="7">
        <v>46073.77181319344</v>
      </c>
      <c r="G16927" s="3" t="s">
        <v>19443</v>
      </c>
    </row>
    <row r="16928">
      <c r="A16928" s="3" t="s">
        <v>32981</v>
      </c>
      <c r="B16928" s="3" t="s">
        <v>14123</v>
      </c>
      <c r="C16928" s="5" t="s">
        <v>45</v>
      </c>
      <c r="D16928" s="3" t="s">
        <v>221</v>
      </c>
      <c r="E16928" s="3" t="s">
        <v>906</v>
      </c>
      <c r="F16928" s="7">
        <v>46073.832571372186</v>
      </c>
      <c r="G16928" s="3" t="s">
        <v>29510</v>
      </c>
    </row>
    <row r="16929">
      <c r="A16929" s="3" t="s">
        <v>32982</v>
      </c>
      <c r="B16929" s="3" t="s">
        <v>14123</v>
      </c>
      <c r="C16929" s="5" t="s">
        <v>221</v>
      </c>
      <c r="D16929" s="3" t="s">
        <v>614</v>
      </c>
      <c r="E16929" s="3" t="s">
        <v>118</v>
      </c>
      <c r="F16929" s="7">
        <v>46073.836043594405</v>
      </c>
      <c r="G16929" s="3" t="s">
        <v>31608</v>
      </c>
    </row>
    <row r="16930">
      <c r="A16930" s="3" t="s">
        <v>32983</v>
      </c>
      <c r="B16930" s="3" t="s">
        <v>14123</v>
      </c>
      <c r="C16930" s="5" t="s">
        <v>614</v>
      </c>
      <c r="D16930" s="3" t="s">
        <v>206</v>
      </c>
      <c r="E16930" s="3" t="s">
        <v>100</v>
      </c>
      <c r="F16930" s="7">
        <v>46073.83951581663</v>
      </c>
      <c r="G16930" s="3" t="s">
        <v>31610</v>
      </c>
    </row>
    <row r="16931">
      <c r="A16931" s="3" t="s">
        <v>32984</v>
      </c>
      <c r="B16931" s="3" t="s">
        <v>14123</v>
      </c>
      <c r="C16931" s="5" t="s">
        <v>206</v>
      </c>
      <c r="D16931" s="3" t="s">
        <v>68</v>
      </c>
      <c r="E16931" s="3" t="s">
        <v>100</v>
      </c>
      <c r="F16931" s="7">
        <v>46073.84298803885</v>
      </c>
      <c r="G16931" s="3" t="s">
        <v>31612</v>
      </c>
    </row>
    <row r="16932">
      <c r="A16932" s="3" t="s">
        <v>32985</v>
      </c>
      <c r="B16932" s="3" t="s">
        <v>14126</v>
      </c>
      <c r="C16932" s="5" t="s">
        <v>45</v>
      </c>
      <c r="D16932" s="3" t="s">
        <v>221</v>
      </c>
      <c r="E16932" s="3" t="s">
        <v>398</v>
      </c>
      <c r="F16932" s="7">
        <v>46073.9037462176</v>
      </c>
      <c r="G16932" s="3" t="s">
        <v>2770</v>
      </c>
    </row>
    <row r="16933">
      <c r="A16933" s="3" t="s">
        <v>32986</v>
      </c>
      <c r="B16933" s="3" t="s">
        <v>14126</v>
      </c>
      <c r="C16933" s="5" t="s">
        <v>221</v>
      </c>
      <c r="D16933" s="3" t="s">
        <v>181</v>
      </c>
      <c r="E16933" s="3" t="s">
        <v>118</v>
      </c>
      <c r="F16933" s="7">
        <v>46073.90721843982</v>
      </c>
      <c r="G16933" s="3" t="s">
        <v>2774</v>
      </c>
    </row>
    <row r="16934">
      <c r="A16934" s="3" t="s">
        <v>32987</v>
      </c>
      <c r="B16934" s="3" t="s">
        <v>14130</v>
      </c>
      <c r="C16934" s="5" t="s">
        <v>45</v>
      </c>
      <c r="D16934" s="3" t="s">
        <v>221</v>
      </c>
      <c r="E16934" s="3" t="s">
        <v>601</v>
      </c>
      <c r="F16934" s="7">
        <v>46073.97492106302</v>
      </c>
      <c r="G16934" s="3" t="s">
        <v>10467</v>
      </c>
    </row>
    <row r="16935">
      <c r="A16935" s="3" t="s">
        <v>32988</v>
      </c>
      <c r="B16935" s="3" t="s">
        <v>14130</v>
      </c>
      <c r="C16935" s="5" t="s">
        <v>221</v>
      </c>
      <c r="D16935" s="3" t="s">
        <v>614</v>
      </c>
      <c r="E16935" s="3" t="s">
        <v>118</v>
      </c>
      <c r="F16935" s="7">
        <v>46073.97839328524</v>
      </c>
      <c r="G16935" s="3" t="s">
        <v>10470</v>
      </c>
    </row>
    <row r="16936">
      <c r="A16936" s="3" t="s">
        <v>32989</v>
      </c>
      <c r="B16936" s="3" t="s">
        <v>14130</v>
      </c>
      <c r="C16936" s="5" t="s">
        <v>614</v>
      </c>
      <c r="D16936" s="3" t="s">
        <v>206</v>
      </c>
      <c r="E16936" s="3" t="s">
        <v>100</v>
      </c>
      <c r="F16936" s="7">
        <v>46073.98186550746</v>
      </c>
      <c r="G16936" s="3" t="s">
        <v>10473</v>
      </c>
    </row>
    <row r="16937">
      <c r="A16937" s="3" t="s">
        <v>32990</v>
      </c>
      <c r="B16937" s="3" t="s">
        <v>14130</v>
      </c>
      <c r="C16937" s="5" t="s">
        <v>206</v>
      </c>
      <c r="D16937" s="3" t="s">
        <v>68</v>
      </c>
      <c r="E16937" s="3" t="s">
        <v>100</v>
      </c>
      <c r="F16937" s="7">
        <v>46073.98533772968</v>
      </c>
      <c r="G16937" s="3" t="s">
        <v>10475</v>
      </c>
    </row>
    <row r="16938">
      <c r="A16938" s="3" t="s">
        <v>32991</v>
      </c>
      <c r="B16938" s="3" t="s">
        <v>14133</v>
      </c>
      <c r="C16938" s="5" t="s">
        <v>45</v>
      </c>
      <c r="D16938" s="3" t="s">
        <v>221</v>
      </c>
      <c r="E16938" s="3" t="s">
        <v>189</v>
      </c>
      <c r="F16938" s="7">
        <v>46074.04609590843</v>
      </c>
      <c r="G16938" s="3" t="s">
        <v>32992</v>
      </c>
    </row>
    <row r="16939">
      <c r="A16939" s="3" t="s">
        <v>32993</v>
      </c>
      <c r="B16939" s="3" t="s">
        <v>14133</v>
      </c>
      <c r="C16939" s="5" t="s">
        <v>221</v>
      </c>
      <c r="D16939" s="3" t="s">
        <v>614</v>
      </c>
      <c r="E16939" s="3" t="s">
        <v>118</v>
      </c>
      <c r="F16939" s="7">
        <v>46074.04956813065</v>
      </c>
      <c r="G16939" s="3" t="s">
        <v>32994</v>
      </c>
    </row>
    <row r="16940">
      <c r="A16940" s="3" t="s">
        <v>32995</v>
      </c>
      <c r="B16940" s="3" t="s">
        <v>14133</v>
      </c>
      <c r="C16940" s="5" t="s">
        <v>614</v>
      </c>
      <c r="D16940" s="3" t="s">
        <v>206</v>
      </c>
      <c r="E16940" s="3" t="s">
        <v>100</v>
      </c>
      <c r="F16940" s="7">
        <v>46074.053040352876</v>
      </c>
      <c r="G16940" s="3" t="s">
        <v>32996</v>
      </c>
    </row>
    <row r="16941">
      <c r="A16941" s="3" t="s">
        <v>32997</v>
      </c>
      <c r="B16941" s="3" t="s">
        <v>14133</v>
      </c>
      <c r="C16941" s="5" t="s">
        <v>206</v>
      </c>
      <c r="D16941" s="3" t="s">
        <v>68</v>
      </c>
      <c r="E16941" s="3" t="s">
        <v>100</v>
      </c>
      <c r="F16941" s="7">
        <v>46074.056512575095</v>
      </c>
      <c r="G16941" s="3" t="s">
        <v>32998</v>
      </c>
    </row>
    <row r="16942">
      <c r="A16942" s="3" t="s">
        <v>32999</v>
      </c>
      <c r="B16942" s="3" t="s">
        <v>14136</v>
      </c>
      <c r="C16942" s="5" t="s">
        <v>45</v>
      </c>
      <c r="D16942" s="3" t="s">
        <v>221</v>
      </c>
      <c r="E16942" s="3" t="s">
        <v>135</v>
      </c>
      <c r="F16942" s="7">
        <v>46074.11727075384</v>
      </c>
      <c r="G16942" s="3" t="s">
        <v>9305</v>
      </c>
    </row>
    <row r="16943">
      <c r="A16943" s="3" t="s">
        <v>33000</v>
      </c>
      <c r="B16943" s="3" t="s">
        <v>14136</v>
      </c>
      <c r="C16943" s="5" t="s">
        <v>221</v>
      </c>
      <c r="D16943" s="3" t="s">
        <v>614</v>
      </c>
      <c r="E16943" s="3" t="s">
        <v>118</v>
      </c>
      <c r="F16943" s="7">
        <v>46074.12074297606</v>
      </c>
      <c r="G16943" s="3" t="s">
        <v>9308</v>
      </c>
    </row>
    <row r="16944">
      <c r="A16944" s="3" t="s">
        <v>33001</v>
      </c>
      <c r="B16944" s="3" t="s">
        <v>14136</v>
      </c>
      <c r="C16944" s="5" t="s">
        <v>614</v>
      </c>
      <c r="D16944" s="3" t="s">
        <v>206</v>
      </c>
      <c r="E16944" s="3" t="s">
        <v>100</v>
      </c>
      <c r="F16944" s="7">
        <v>46074.12421519829</v>
      </c>
      <c r="G16944" s="3" t="s">
        <v>9311</v>
      </c>
    </row>
    <row r="16945">
      <c r="A16945" s="3" t="s">
        <v>33002</v>
      </c>
      <c r="B16945" s="3" t="s">
        <v>14136</v>
      </c>
      <c r="C16945" s="5" t="s">
        <v>206</v>
      </c>
      <c r="D16945" s="3" t="s">
        <v>68</v>
      </c>
      <c r="E16945" s="3" t="s">
        <v>100</v>
      </c>
      <c r="F16945" s="7">
        <v>46074.12768742051</v>
      </c>
      <c r="G16945" s="3" t="s">
        <v>9314</v>
      </c>
    </row>
    <row r="16946">
      <c r="A16946" s="3" t="s">
        <v>33003</v>
      </c>
      <c r="B16946" s="3" t="s">
        <v>14140</v>
      </c>
      <c r="C16946" s="5" t="s">
        <v>45</v>
      </c>
      <c r="D16946" s="3" t="s">
        <v>221</v>
      </c>
      <c r="E16946" s="3" t="s">
        <v>266</v>
      </c>
      <c r="F16946" s="7">
        <v>46074.18844559926</v>
      </c>
      <c r="G16946" s="3" t="s">
        <v>4342</v>
      </c>
    </row>
    <row r="16947">
      <c r="A16947" s="3" t="s">
        <v>33004</v>
      </c>
      <c r="B16947" s="3" t="s">
        <v>14140</v>
      </c>
      <c r="C16947" s="5" t="s">
        <v>221</v>
      </c>
      <c r="D16947" s="3" t="s">
        <v>614</v>
      </c>
      <c r="E16947" s="3" t="s">
        <v>118</v>
      </c>
      <c r="F16947" s="7">
        <v>46074.19191782148</v>
      </c>
      <c r="G16947" s="3" t="s">
        <v>4345</v>
      </c>
    </row>
    <row r="16948">
      <c r="A16948" s="3" t="s">
        <v>33005</v>
      </c>
      <c r="B16948" s="3" t="s">
        <v>14140</v>
      </c>
      <c r="C16948" s="5" t="s">
        <v>614</v>
      </c>
      <c r="D16948" s="3" t="s">
        <v>206</v>
      </c>
      <c r="E16948" s="3" t="s">
        <v>100</v>
      </c>
      <c r="F16948" s="7">
        <v>46074.19539004371</v>
      </c>
      <c r="G16948" s="3" t="s">
        <v>4348</v>
      </c>
    </row>
    <row r="16949">
      <c r="A16949" s="3" t="s">
        <v>33006</v>
      </c>
      <c r="B16949" s="3" t="s">
        <v>14140</v>
      </c>
      <c r="C16949" s="5" t="s">
        <v>206</v>
      </c>
      <c r="D16949" s="3" t="s">
        <v>68</v>
      </c>
      <c r="E16949" s="3" t="s">
        <v>100</v>
      </c>
      <c r="F16949" s="7">
        <v>46074.19886226593</v>
      </c>
      <c r="G16949" s="3" t="s">
        <v>4350</v>
      </c>
    </row>
    <row r="16950">
      <c r="A16950" s="3" t="s">
        <v>33007</v>
      </c>
      <c r="B16950" s="3" t="s">
        <v>14144</v>
      </c>
      <c r="C16950" s="5" t="s">
        <v>45</v>
      </c>
      <c r="D16950" s="3" t="s">
        <v>221</v>
      </c>
      <c r="E16950" s="3" t="s">
        <v>698</v>
      </c>
      <c r="F16950" s="7">
        <v>46074.259620444675</v>
      </c>
      <c r="G16950" s="3" t="s">
        <v>33008</v>
      </c>
    </row>
    <row r="16951">
      <c r="A16951" s="3" t="s">
        <v>33009</v>
      </c>
      <c r="B16951" s="3" t="s">
        <v>14144</v>
      </c>
      <c r="C16951" s="5" t="s">
        <v>221</v>
      </c>
      <c r="D16951" s="3" t="s">
        <v>181</v>
      </c>
      <c r="E16951" s="3" t="s">
        <v>118</v>
      </c>
      <c r="F16951" s="7">
        <v>46074.26309266689</v>
      </c>
      <c r="G16951" s="3" t="s">
        <v>33010</v>
      </c>
    </row>
    <row r="16952">
      <c r="A16952" s="3" t="s">
        <v>33011</v>
      </c>
      <c r="B16952" s="3" t="s">
        <v>14147</v>
      </c>
      <c r="C16952" s="5" t="s">
        <v>45</v>
      </c>
      <c r="D16952" s="3" t="s">
        <v>221</v>
      </c>
      <c r="E16952" s="3" t="s">
        <v>455</v>
      </c>
      <c r="F16952" s="7">
        <v>46074.33079529009</v>
      </c>
      <c r="G16952" s="3" t="s">
        <v>9570</v>
      </c>
    </row>
    <row r="16953">
      <c r="A16953" s="3" t="s">
        <v>33012</v>
      </c>
      <c r="B16953" s="3" t="s">
        <v>14147</v>
      </c>
      <c r="C16953" s="5" t="s">
        <v>221</v>
      </c>
      <c r="D16953" s="3" t="s">
        <v>614</v>
      </c>
      <c r="E16953" s="3" t="s">
        <v>118</v>
      </c>
      <c r="F16953" s="7">
        <v>46074.334267512306</v>
      </c>
      <c r="G16953" s="3" t="s">
        <v>9572</v>
      </c>
    </row>
    <row r="16954">
      <c r="A16954" s="3" t="s">
        <v>33013</v>
      </c>
      <c r="B16954" s="3" t="s">
        <v>14147</v>
      </c>
      <c r="C16954" s="5" t="s">
        <v>614</v>
      </c>
      <c r="D16954" s="3" t="s">
        <v>206</v>
      </c>
      <c r="E16954" s="3" t="s">
        <v>100</v>
      </c>
      <c r="F16954" s="7">
        <v>46074.33773973453</v>
      </c>
      <c r="G16954" s="3" t="s">
        <v>9575</v>
      </c>
    </row>
    <row r="16955">
      <c r="A16955" s="3" t="s">
        <v>33014</v>
      </c>
      <c r="B16955" s="3" t="s">
        <v>14147</v>
      </c>
      <c r="C16955" s="5" t="s">
        <v>206</v>
      </c>
      <c r="D16955" s="3" t="s">
        <v>68</v>
      </c>
      <c r="E16955" s="3" t="s">
        <v>100</v>
      </c>
      <c r="F16955" s="7">
        <v>46074.34121195675</v>
      </c>
      <c r="G16955" s="3" t="s">
        <v>9578</v>
      </c>
    </row>
    <row r="16956">
      <c r="A16956" s="3" t="s">
        <v>33015</v>
      </c>
      <c r="B16956" s="3" t="s">
        <v>14151</v>
      </c>
      <c r="C16956" s="5" t="s">
        <v>45</v>
      </c>
      <c r="D16956" s="3" t="s">
        <v>221</v>
      </c>
      <c r="E16956" s="3" t="s">
        <v>313</v>
      </c>
      <c r="F16956" s="7">
        <v>46074.40197013551</v>
      </c>
      <c r="G16956" s="3" t="s">
        <v>33016</v>
      </c>
    </row>
    <row r="16957">
      <c r="A16957" s="3" t="s">
        <v>33017</v>
      </c>
      <c r="B16957" s="3" t="s">
        <v>14151</v>
      </c>
      <c r="C16957" s="5" t="s">
        <v>221</v>
      </c>
      <c r="D16957" s="3" t="s">
        <v>614</v>
      </c>
      <c r="E16957" s="3" t="s">
        <v>118</v>
      </c>
      <c r="F16957" s="7">
        <v>46074.405442357725</v>
      </c>
      <c r="G16957" s="3" t="s">
        <v>33018</v>
      </c>
    </row>
    <row r="16958">
      <c r="A16958" s="3" t="s">
        <v>33019</v>
      </c>
      <c r="B16958" s="3" t="s">
        <v>14151</v>
      </c>
      <c r="C16958" s="5" t="s">
        <v>614</v>
      </c>
      <c r="D16958" s="3" t="s">
        <v>206</v>
      </c>
      <c r="E16958" s="3" t="s">
        <v>100</v>
      </c>
      <c r="F16958" s="7">
        <v>46074.40891457995</v>
      </c>
      <c r="G16958" s="3" t="s">
        <v>33020</v>
      </c>
    </row>
    <row r="16959">
      <c r="A16959" s="3" t="s">
        <v>33021</v>
      </c>
      <c r="B16959" s="3" t="s">
        <v>14151</v>
      </c>
      <c r="C16959" s="5" t="s">
        <v>206</v>
      </c>
      <c r="D16959" s="3" t="s">
        <v>68</v>
      </c>
      <c r="E16959" s="3" t="s">
        <v>100</v>
      </c>
      <c r="F16959" s="7">
        <v>46074.41238680217</v>
      </c>
      <c r="G16959" s="3" t="s">
        <v>33022</v>
      </c>
    </row>
    <row r="16960">
      <c r="A16960" s="3" t="s">
        <v>33023</v>
      </c>
      <c r="B16960" s="3" t="s">
        <v>14155</v>
      </c>
      <c r="C16960" s="5" t="s">
        <v>45</v>
      </c>
      <c r="D16960" s="3" t="s">
        <v>221</v>
      </c>
      <c r="E16960" s="3" t="s">
        <v>612</v>
      </c>
      <c r="F16960" s="7">
        <v>46074.473144980926</v>
      </c>
      <c r="G16960" s="3" t="s">
        <v>8139</v>
      </c>
    </row>
    <row r="16961">
      <c r="A16961" s="3" t="s">
        <v>33024</v>
      </c>
      <c r="B16961" s="3" t="s">
        <v>14155</v>
      </c>
      <c r="C16961" s="5" t="s">
        <v>221</v>
      </c>
      <c r="D16961" s="3" t="s">
        <v>614</v>
      </c>
      <c r="E16961" s="3" t="s">
        <v>118</v>
      </c>
      <c r="F16961" s="7">
        <v>46074.476617203145</v>
      </c>
      <c r="G16961" s="3" t="s">
        <v>8142</v>
      </c>
    </row>
    <row r="16962">
      <c r="A16962" s="3" t="s">
        <v>33025</v>
      </c>
      <c r="B16962" s="3" t="s">
        <v>14155</v>
      </c>
      <c r="C16962" s="5" t="s">
        <v>614</v>
      </c>
      <c r="D16962" s="3" t="s">
        <v>206</v>
      </c>
      <c r="E16962" s="3" t="s">
        <v>100</v>
      </c>
      <c r="F16962" s="7">
        <v>46074.48008942537</v>
      </c>
      <c r="G16962" s="3" t="s">
        <v>8145</v>
      </c>
    </row>
    <row r="16963">
      <c r="A16963" s="3" t="s">
        <v>33026</v>
      </c>
      <c r="B16963" s="3" t="s">
        <v>14155</v>
      </c>
      <c r="C16963" s="5" t="s">
        <v>206</v>
      </c>
      <c r="D16963" s="3" t="s">
        <v>68</v>
      </c>
      <c r="E16963" s="3" t="s">
        <v>100</v>
      </c>
      <c r="F16963" s="7">
        <v>46074.48356164759</v>
      </c>
      <c r="G16963" s="3" t="s">
        <v>8148</v>
      </c>
    </row>
    <row r="16964">
      <c r="A16964" s="3" t="s">
        <v>33027</v>
      </c>
      <c r="B16964" s="3" t="s">
        <v>14159</v>
      </c>
      <c r="C16964" s="5" t="s">
        <v>45</v>
      </c>
      <c r="D16964" s="3" t="s">
        <v>221</v>
      </c>
      <c r="E16964" s="3" t="s">
        <v>202</v>
      </c>
      <c r="F16964" s="7">
        <v>46074.54431982633</v>
      </c>
      <c r="G16964" s="3" t="s">
        <v>20630</v>
      </c>
    </row>
    <row r="16965">
      <c r="A16965" s="3" t="s">
        <v>33028</v>
      </c>
      <c r="B16965" s="3" t="s">
        <v>14159</v>
      </c>
      <c r="C16965" s="5" t="s">
        <v>221</v>
      </c>
      <c r="D16965" s="3" t="s">
        <v>614</v>
      </c>
      <c r="E16965" s="3" t="s">
        <v>118</v>
      </c>
      <c r="F16965" s="7">
        <v>46074.54779204855</v>
      </c>
      <c r="G16965" s="3" t="s">
        <v>31197</v>
      </c>
    </row>
    <row r="16966">
      <c r="A16966" s="3" t="s">
        <v>33029</v>
      </c>
      <c r="B16966" s="3" t="s">
        <v>14159</v>
      </c>
      <c r="C16966" s="5" t="s">
        <v>614</v>
      </c>
      <c r="D16966" s="3" t="s">
        <v>206</v>
      </c>
      <c r="E16966" s="3" t="s">
        <v>100</v>
      </c>
      <c r="F16966" s="7">
        <v>46074.551264270776</v>
      </c>
      <c r="G16966" s="3" t="s">
        <v>31199</v>
      </c>
    </row>
    <row r="16967">
      <c r="A16967" s="3" t="s">
        <v>33030</v>
      </c>
      <c r="B16967" s="3" t="s">
        <v>14159</v>
      </c>
      <c r="C16967" s="5" t="s">
        <v>206</v>
      </c>
      <c r="D16967" s="3" t="s">
        <v>68</v>
      </c>
      <c r="E16967" s="3" t="s">
        <v>100</v>
      </c>
      <c r="F16967" s="7">
        <v>46074.554736492995</v>
      </c>
      <c r="G16967" s="3" t="s">
        <v>31201</v>
      </c>
    </row>
    <row r="16968">
      <c r="A16968" s="3" t="s">
        <v>33031</v>
      </c>
      <c r="B16968" s="3" t="s">
        <v>14162</v>
      </c>
      <c r="C16968" s="5" t="s">
        <v>45</v>
      </c>
      <c r="D16968" s="3" t="s">
        <v>221</v>
      </c>
      <c r="E16968" s="3" t="s">
        <v>596</v>
      </c>
      <c r="F16968" s="7">
        <v>46074.61549467175</v>
      </c>
      <c r="G16968" s="3" t="s">
        <v>12875</v>
      </c>
    </row>
    <row r="16969">
      <c r="A16969" s="3" t="s">
        <v>33032</v>
      </c>
      <c r="B16969" s="3" t="s">
        <v>14162</v>
      </c>
      <c r="C16969" s="5" t="s">
        <v>221</v>
      </c>
      <c r="D16969" s="3" t="s">
        <v>195</v>
      </c>
      <c r="E16969" s="3" t="s">
        <v>596</v>
      </c>
      <c r="F16969" s="7">
        <v>46074.61896689397</v>
      </c>
      <c r="G16969" s="3" t="s">
        <v>32901</v>
      </c>
    </row>
    <row r="16970">
      <c r="A16970" s="3" t="s">
        <v>33033</v>
      </c>
      <c r="B16970" s="3" t="s">
        <v>14165</v>
      </c>
      <c r="C16970" s="5" t="s">
        <v>45</v>
      </c>
      <c r="D16970" s="3" t="s">
        <v>221</v>
      </c>
      <c r="E16970" s="3" t="s">
        <v>886</v>
      </c>
      <c r="F16970" s="7">
        <v>46074.68666951717</v>
      </c>
      <c r="G16970" s="3" t="s">
        <v>18096</v>
      </c>
    </row>
    <row r="16971">
      <c r="A16971" s="3" t="s">
        <v>33034</v>
      </c>
      <c r="B16971" s="3" t="s">
        <v>14165</v>
      </c>
      <c r="C16971" s="5" t="s">
        <v>221</v>
      </c>
      <c r="D16971" s="3" t="s">
        <v>614</v>
      </c>
      <c r="E16971" s="3" t="s">
        <v>118</v>
      </c>
      <c r="F16971" s="7">
        <v>46074.69014173939</v>
      </c>
      <c r="G16971" s="3" t="s">
        <v>18099</v>
      </c>
    </row>
    <row r="16972">
      <c r="A16972" s="3" t="s">
        <v>33035</v>
      </c>
      <c r="B16972" s="3" t="s">
        <v>14165</v>
      </c>
      <c r="C16972" s="5" t="s">
        <v>614</v>
      </c>
      <c r="D16972" s="3" t="s">
        <v>206</v>
      </c>
      <c r="E16972" s="3" t="s">
        <v>100</v>
      </c>
      <c r="F16972" s="7">
        <v>46074.693613961615</v>
      </c>
      <c r="G16972" s="3" t="s">
        <v>18102</v>
      </c>
    </row>
    <row r="16973">
      <c r="A16973" s="3" t="s">
        <v>33036</v>
      </c>
      <c r="B16973" s="3" t="s">
        <v>14165</v>
      </c>
      <c r="C16973" s="5" t="s">
        <v>206</v>
      </c>
      <c r="D16973" s="3" t="s">
        <v>68</v>
      </c>
      <c r="E16973" s="3" t="s">
        <v>100</v>
      </c>
      <c r="F16973" s="7">
        <v>46074.697086183834</v>
      </c>
      <c r="G16973" s="3" t="s">
        <v>18105</v>
      </c>
    </row>
    <row r="16974">
      <c r="A16974" s="3" t="s">
        <v>33037</v>
      </c>
      <c r="B16974" s="3" t="s">
        <v>14169</v>
      </c>
      <c r="C16974" s="5" t="s">
        <v>45</v>
      </c>
      <c r="D16974" s="3" t="s">
        <v>221</v>
      </c>
      <c r="E16974" s="3" t="s">
        <v>219</v>
      </c>
      <c r="F16974" s="7">
        <v>46074.75784436258</v>
      </c>
      <c r="G16974" s="3" t="s">
        <v>32165</v>
      </c>
    </row>
    <row r="16975">
      <c r="A16975" s="3" t="s">
        <v>33038</v>
      </c>
      <c r="B16975" s="3" t="s">
        <v>14169</v>
      </c>
      <c r="C16975" s="5" t="s">
        <v>221</v>
      </c>
      <c r="D16975" s="3" t="s">
        <v>614</v>
      </c>
      <c r="E16975" s="3" t="s">
        <v>118</v>
      </c>
      <c r="F16975" s="7">
        <v>46074.7613165848</v>
      </c>
      <c r="G16975" s="3" t="s">
        <v>32167</v>
      </c>
    </row>
    <row r="16976">
      <c r="A16976" s="3" t="s">
        <v>33039</v>
      </c>
      <c r="B16976" s="3" t="s">
        <v>14169</v>
      </c>
      <c r="C16976" s="5" t="s">
        <v>614</v>
      </c>
      <c r="D16976" s="3" t="s">
        <v>206</v>
      </c>
      <c r="E16976" s="3" t="s">
        <v>100</v>
      </c>
      <c r="F16976" s="7">
        <v>46074.76478880703</v>
      </c>
      <c r="G16976" s="3" t="s">
        <v>32169</v>
      </c>
    </row>
    <row r="16977">
      <c r="A16977" s="3" t="s">
        <v>33040</v>
      </c>
      <c r="B16977" s="3" t="s">
        <v>14169</v>
      </c>
      <c r="C16977" s="5" t="s">
        <v>206</v>
      </c>
      <c r="D16977" s="3" t="s">
        <v>68</v>
      </c>
      <c r="E16977" s="3" t="s">
        <v>100</v>
      </c>
      <c r="F16977" s="7">
        <v>46074.76826102925</v>
      </c>
      <c r="G16977" s="3" t="s">
        <v>32171</v>
      </c>
    </row>
    <row r="16978">
      <c r="A16978" s="3" t="s">
        <v>33041</v>
      </c>
      <c r="B16978" s="3" t="s">
        <v>14171</v>
      </c>
      <c r="C16978" s="5" t="s">
        <v>45</v>
      </c>
      <c r="D16978" s="3" t="s">
        <v>221</v>
      </c>
      <c r="E16978" s="3" t="s">
        <v>685</v>
      </c>
      <c r="F16978" s="7">
        <v>46074.829019207995</v>
      </c>
      <c r="G16978" s="3" t="s">
        <v>6408</v>
      </c>
    </row>
    <row r="16979">
      <c r="A16979" s="3" t="s">
        <v>33042</v>
      </c>
      <c r="B16979" s="3" t="s">
        <v>14171</v>
      </c>
      <c r="C16979" s="5" t="s">
        <v>221</v>
      </c>
      <c r="D16979" s="3" t="s">
        <v>614</v>
      </c>
      <c r="E16979" s="3" t="s">
        <v>118</v>
      </c>
      <c r="F16979" s="7">
        <v>46074.832491430214</v>
      </c>
      <c r="G16979" s="3" t="s">
        <v>6410</v>
      </c>
    </row>
    <row r="16980">
      <c r="A16980" s="3" t="s">
        <v>33043</v>
      </c>
      <c r="B16980" s="3" t="s">
        <v>14171</v>
      </c>
      <c r="C16980" s="5" t="s">
        <v>614</v>
      </c>
      <c r="D16980" s="3" t="s">
        <v>206</v>
      </c>
      <c r="E16980" s="3" t="s">
        <v>100</v>
      </c>
      <c r="F16980" s="7">
        <v>46074.83596365244</v>
      </c>
      <c r="G16980" s="3" t="s">
        <v>6413</v>
      </c>
    </row>
    <row r="16981">
      <c r="A16981" s="3" t="s">
        <v>33044</v>
      </c>
      <c r="B16981" s="3" t="s">
        <v>14171</v>
      </c>
      <c r="C16981" s="5" t="s">
        <v>206</v>
      </c>
      <c r="D16981" s="3" t="s">
        <v>68</v>
      </c>
      <c r="E16981" s="3" t="s">
        <v>100</v>
      </c>
      <c r="F16981" s="7">
        <v>46074.83943587466</v>
      </c>
      <c r="G16981" s="3" t="s">
        <v>6416</v>
      </c>
    </row>
    <row r="16982">
      <c r="A16982" s="3" t="s">
        <v>33045</v>
      </c>
      <c r="B16982" s="3" t="s">
        <v>14174</v>
      </c>
      <c r="C16982" s="5" t="s">
        <v>45</v>
      </c>
      <c r="D16982" s="3" t="s">
        <v>221</v>
      </c>
      <c r="E16982" s="3" t="s">
        <v>336</v>
      </c>
      <c r="F16982" s="7">
        <v>46074.900194053414</v>
      </c>
      <c r="G16982" s="3" t="s">
        <v>31579</v>
      </c>
    </row>
    <row r="16983">
      <c r="A16983" s="3" t="s">
        <v>33046</v>
      </c>
      <c r="B16983" s="3" t="s">
        <v>14174</v>
      </c>
      <c r="C16983" s="5" t="s">
        <v>221</v>
      </c>
      <c r="D16983" s="3" t="s">
        <v>614</v>
      </c>
      <c r="E16983" s="3" t="s">
        <v>118</v>
      </c>
      <c r="F16983" s="7">
        <v>46074.90366627563</v>
      </c>
      <c r="G16983" s="3" t="s">
        <v>31581</v>
      </c>
    </row>
    <row r="16984">
      <c r="A16984" s="3" t="s">
        <v>33047</v>
      </c>
      <c r="B16984" s="3" t="s">
        <v>14174</v>
      </c>
      <c r="C16984" s="5" t="s">
        <v>614</v>
      </c>
      <c r="D16984" s="3" t="s">
        <v>206</v>
      </c>
      <c r="E16984" s="3" t="s">
        <v>100</v>
      </c>
      <c r="F16984" s="7">
        <v>46074.90713849786</v>
      </c>
      <c r="G16984" s="3" t="s">
        <v>31583</v>
      </c>
    </row>
    <row r="16985">
      <c r="A16985" s="3" t="s">
        <v>33048</v>
      </c>
      <c r="B16985" s="3" t="s">
        <v>14174</v>
      </c>
      <c r="C16985" s="5" t="s">
        <v>206</v>
      </c>
      <c r="D16985" s="3" t="s">
        <v>68</v>
      </c>
      <c r="E16985" s="3" t="s">
        <v>100</v>
      </c>
      <c r="F16985" s="7">
        <v>46074.91061072008</v>
      </c>
      <c r="G16985" s="3" t="s">
        <v>31585</v>
      </c>
    </row>
    <row r="16986">
      <c r="A16986" s="3" t="s">
        <v>33049</v>
      </c>
      <c r="B16986" s="3" t="s">
        <v>14177</v>
      </c>
      <c r="C16986" s="5" t="s">
        <v>45</v>
      </c>
      <c r="D16986" s="3" t="s">
        <v>221</v>
      </c>
      <c r="E16986" s="3" t="s">
        <v>293</v>
      </c>
      <c r="F16986" s="7">
        <v>46074.97136889883</v>
      </c>
      <c r="G16986" s="3" t="s">
        <v>22859</v>
      </c>
    </row>
    <row r="16987">
      <c r="A16987" s="3" t="s">
        <v>33050</v>
      </c>
      <c r="B16987" s="3" t="s">
        <v>14177</v>
      </c>
      <c r="C16987" s="5" t="s">
        <v>221</v>
      </c>
      <c r="D16987" s="3" t="s">
        <v>614</v>
      </c>
      <c r="E16987" s="3" t="s">
        <v>118</v>
      </c>
      <c r="F16987" s="7">
        <v>46074.974841121046</v>
      </c>
      <c r="G16987" s="3" t="s">
        <v>25383</v>
      </c>
    </row>
    <row r="16988">
      <c r="A16988" s="3" t="s">
        <v>33051</v>
      </c>
      <c r="B16988" s="3" t="s">
        <v>14177</v>
      </c>
      <c r="C16988" s="5" t="s">
        <v>614</v>
      </c>
      <c r="D16988" s="3" t="s">
        <v>206</v>
      </c>
      <c r="E16988" s="3" t="s">
        <v>100</v>
      </c>
      <c r="F16988" s="7">
        <v>46074.97831334327</v>
      </c>
      <c r="G16988" s="3" t="s">
        <v>25385</v>
      </c>
    </row>
    <row r="16989">
      <c r="A16989" s="3" t="s">
        <v>33052</v>
      </c>
      <c r="B16989" s="3" t="s">
        <v>14177</v>
      </c>
      <c r="C16989" s="5" t="s">
        <v>206</v>
      </c>
      <c r="D16989" s="3" t="s">
        <v>68</v>
      </c>
      <c r="E16989" s="3" t="s">
        <v>100</v>
      </c>
      <c r="F16989" s="7">
        <v>46074.98178556549</v>
      </c>
      <c r="G16989" s="3" t="s">
        <v>25387</v>
      </c>
    </row>
    <row r="16990">
      <c r="A16990" s="3" t="s">
        <v>33053</v>
      </c>
      <c r="B16990" s="3" t="s">
        <v>14180</v>
      </c>
      <c r="C16990" s="5" t="s">
        <v>45</v>
      </c>
      <c r="D16990" s="3" t="s">
        <v>221</v>
      </c>
      <c r="E16990" s="3" t="s">
        <v>502</v>
      </c>
      <c r="F16990" s="7">
        <v>46075.04254374424</v>
      </c>
      <c r="G16990" s="3" t="s">
        <v>8108</v>
      </c>
    </row>
    <row r="16991">
      <c r="A16991" s="3" t="s">
        <v>33054</v>
      </c>
      <c r="B16991" s="3" t="s">
        <v>14180</v>
      </c>
      <c r="C16991" s="5" t="s">
        <v>221</v>
      </c>
      <c r="D16991" s="3" t="s">
        <v>614</v>
      </c>
      <c r="E16991" s="3" t="s">
        <v>118</v>
      </c>
      <c r="F16991" s="7">
        <v>46075.04601596646</v>
      </c>
      <c r="G16991" s="3" t="s">
        <v>8111</v>
      </c>
    </row>
    <row r="16992">
      <c r="A16992" s="3" t="s">
        <v>33055</v>
      </c>
      <c r="B16992" s="3" t="s">
        <v>14180</v>
      </c>
      <c r="C16992" s="5" t="s">
        <v>614</v>
      </c>
      <c r="D16992" s="3" t="s">
        <v>206</v>
      </c>
      <c r="E16992" s="3" t="s">
        <v>100</v>
      </c>
      <c r="F16992" s="7">
        <v>46075.049488188684</v>
      </c>
      <c r="G16992" s="3" t="s">
        <v>8114</v>
      </c>
    </row>
    <row r="16993">
      <c r="A16993" s="3" t="s">
        <v>33056</v>
      </c>
      <c r="B16993" s="3" t="s">
        <v>14180</v>
      </c>
      <c r="C16993" s="5" t="s">
        <v>206</v>
      </c>
      <c r="D16993" s="3" t="s">
        <v>68</v>
      </c>
      <c r="E16993" s="3" t="s">
        <v>100</v>
      </c>
      <c r="F16993" s="7">
        <v>46075.0529604109</v>
      </c>
      <c r="G16993" s="3" t="s">
        <v>8117</v>
      </c>
    </row>
    <row r="16994">
      <c r="A16994" s="3" t="s">
        <v>33057</v>
      </c>
      <c r="B16994" s="3" t="s">
        <v>14185</v>
      </c>
      <c r="C16994" s="5" t="s">
        <v>45</v>
      </c>
      <c r="D16994" s="3" t="s">
        <v>221</v>
      </c>
      <c r="E16994" s="3" t="s">
        <v>546</v>
      </c>
      <c r="F16994" s="7">
        <v>46075.11371858966</v>
      </c>
      <c r="G16994" s="3" t="s">
        <v>8187</v>
      </c>
    </row>
    <row r="16995">
      <c r="A16995" s="3" t="s">
        <v>33058</v>
      </c>
      <c r="B16995" s="3" t="s">
        <v>14185</v>
      </c>
      <c r="C16995" s="5" t="s">
        <v>221</v>
      </c>
      <c r="D16995" s="3" t="s">
        <v>614</v>
      </c>
      <c r="E16995" s="3" t="s">
        <v>118</v>
      </c>
      <c r="F16995" s="7">
        <v>46075.11719081188</v>
      </c>
      <c r="G16995" s="3" t="s">
        <v>8190</v>
      </c>
    </row>
    <row r="16996">
      <c r="A16996" s="3" t="s">
        <v>33059</v>
      </c>
      <c r="B16996" s="3" t="s">
        <v>14185</v>
      </c>
      <c r="C16996" s="5" t="s">
        <v>614</v>
      </c>
      <c r="D16996" s="3" t="s">
        <v>206</v>
      </c>
      <c r="E16996" s="3" t="s">
        <v>100</v>
      </c>
      <c r="F16996" s="7">
        <v>46075.120663034104</v>
      </c>
      <c r="G16996" s="3" t="s">
        <v>8193</v>
      </c>
    </row>
    <row r="16997">
      <c r="A16997" s="3" t="s">
        <v>33060</v>
      </c>
      <c r="B16997" s="3" t="s">
        <v>14185</v>
      </c>
      <c r="C16997" s="5" t="s">
        <v>206</v>
      </c>
      <c r="D16997" s="3" t="s">
        <v>68</v>
      </c>
      <c r="E16997" s="3" t="s">
        <v>100</v>
      </c>
      <c r="F16997" s="7">
        <v>46075.12413525632</v>
      </c>
      <c r="G16997" s="3" t="s">
        <v>8196</v>
      </c>
    </row>
    <row r="16998">
      <c r="A16998" s="3" t="s">
        <v>33061</v>
      </c>
      <c r="B16998" s="3" t="s">
        <v>14188</v>
      </c>
      <c r="C16998" s="5" t="s">
        <v>45</v>
      </c>
      <c r="D16998" s="3" t="s">
        <v>221</v>
      </c>
      <c r="E16998" s="3" t="s">
        <v>678</v>
      </c>
      <c r="F16998" s="7">
        <v>46075.18489343508</v>
      </c>
      <c r="G16998" s="3" t="s">
        <v>8217</v>
      </c>
    </row>
    <row r="16999">
      <c r="A16999" s="3" t="s">
        <v>33062</v>
      </c>
      <c r="B16999" s="3" t="s">
        <v>14188</v>
      </c>
      <c r="C16999" s="5" t="s">
        <v>221</v>
      </c>
      <c r="D16999" s="3" t="s">
        <v>614</v>
      </c>
      <c r="E16999" s="3" t="s">
        <v>118</v>
      </c>
      <c r="F16999" s="7">
        <v>46075.1883656573</v>
      </c>
      <c r="G16999" s="3" t="s">
        <v>8220</v>
      </c>
    </row>
    <row r="17000">
      <c r="A17000" s="3" t="s">
        <v>33063</v>
      </c>
      <c r="B17000" s="3" t="s">
        <v>14188</v>
      </c>
      <c r="C17000" s="5" t="s">
        <v>614</v>
      </c>
      <c r="D17000" s="3" t="s">
        <v>206</v>
      </c>
      <c r="E17000" s="3" t="s">
        <v>100</v>
      </c>
      <c r="F17000" s="7">
        <v>46075.19183787952</v>
      </c>
      <c r="G17000" s="3" t="s">
        <v>8223</v>
      </c>
    </row>
    <row r="17001">
      <c r="A17001" s="3" t="s">
        <v>33064</v>
      </c>
      <c r="B17001" s="3" t="s">
        <v>14188</v>
      </c>
      <c r="C17001" s="5" t="s">
        <v>206</v>
      </c>
      <c r="D17001" s="3" t="s">
        <v>68</v>
      </c>
      <c r="E17001" s="3" t="s">
        <v>100</v>
      </c>
      <c r="F17001" s="7">
        <v>46075.19531010174</v>
      </c>
      <c r="G17001" s="3" t="s">
        <v>8226</v>
      </c>
    </row>
    <row r="17002">
      <c r="A17002" s="3" t="s">
        <v>33065</v>
      </c>
      <c r="B17002" s="3" t="s">
        <v>14191</v>
      </c>
      <c r="C17002" s="5" t="s">
        <v>45</v>
      </c>
      <c r="D17002" s="3" t="s">
        <v>221</v>
      </c>
      <c r="E17002" s="3" t="s">
        <v>1011</v>
      </c>
      <c r="F17002" s="7">
        <v>46075.25606828048</v>
      </c>
      <c r="G17002" s="3" t="s">
        <v>33066</v>
      </c>
    </row>
    <row r="17003">
      <c r="A17003" s="3" t="s">
        <v>33067</v>
      </c>
      <c r="B17003" s="3" t="s">
        <v>14191</v>
      </c>
      <c r="C17003" s="5" t="s">
        <v>221</v>
      </c>
      <c r="D17003" s="3" t="s">
        <v>614</v>
      </c>
      <c r="E17003" s="3" t="s">
        <v>118</v>
      </c>
      <c r="F17003" s="7">
        <v>46075.2595405027</v>
      </c>
      <c r="G17003" s="3" t="s">
        <v>33068</v>
      </c>
    </row>
    <row r="17004">
      <c r="A17004" s="3" t="s">
        <v>33069</v>
      </c>
      <c r="B17004" s="3" t="s">
        <v>14191</v>
      </c>
      <c r="C17004" s="5" t="s">
        <v>614</v>
      </c>
      <c r="D17004" s="3" t="s">
        <v>206</v>
      </c>
      <c r="E17004" s="3" t="s">
        <v>100</v>
      </c>
      <c r="F17004" s="7">
        <v>46075.26301272493</v>
      </c>
      <c r="G17004" s="3" t="s">
        <v>33070</v>
      </c>
    </row>
    <row r="17005">
      <c r="A17005" s="3" t="s">
        <v>33071</v>
      </c>
      <c r="B17005" s="3" t="s">
        <v>14191</v>
      </c>
      <c r="C17005" s="5" t="s">
        <v>206</v>
      </c>
      <c r="D17005" s="3" t="s">
        <v>68</v>
      </c>
      <c r="E17005" s="3" t="s">
        <v>100</v>
      </c>
      <c r="F17005" s="7">
        <v>46075.26648494715</v>
      </c>
      <c r="G17005" s="3" t="s">
        <v>33072</v>
      </c>
    </row>
    <row r="17006">
      <c r="A17006" s="3" t="s">
        <v>33073</v>
      </c>
      <c r="B17006" s="3" t="s">
        <v>14195</v>
      </c>
      <c r="C17006" s="5" t="s">
        <v>45</v>
      </c>
      <c r="D17006" s="3" t="s">
        <v>221</v>
      </c>
      <c r="E17006" s="3" t="s">
        <v>860</v>
      </c>
      <c r="F17006" s="7">
        <v>46075.3272431259</v>
      </c>
      <c r="G17006" s="3" t="s">
        <v>2770</v>
      </c>
    </row>
    <row r="17007">
      <c r="A17007" s="3" t="s">
        <v>33074</v>
      </c>
      <c r="B17007" s="3" t="s">
        <v>14195</v>
      </c>
      <c r="C17007" s="5" t="s">
        <v>221</v>
      </c>
      <c r="D17007" s="3" t="s">
        <v>181</v>
      </c>
      <c r="E17007" s="3" t="s">
        <v>118</v>
      </c>
      <c r="F17007" s="7">
        <v>46075.33071534812</v>
      </c>
      <c r="G17007" s="3" t="s">
        <v>2774</v>
      </c>
    </row>
    <row r="17008">
      <c r="A17008" s="3" t="s">
        <v>33075</v>
      </c>
      <c r="B17008" s="3" t="s">
        <v>14199</v>
      </c>
      <c r="C17008" s="5" t="s">
        <v>45</v>
      </c>
      <c r="D17008" s="3" t="s">
        <v>221</v>
      </c>
      <c r="E17008" s="3" t="s">
        <v>717</v>
      </c>
      <c r="F17008" s="7">
        <v>46075.398417971315</v>
      </c>
      <c r="G17008" s="3" t="s">
        <v>19792</v>
      </c>
    </row>
    <row r="17009">
      <c r="A17009" s="3" t="s">
        <v>33076</v>
      </c>
      <c r="B17009" s="3" t="s">
        <v>14199</v>
      </c>
      <c r="C17009" s="5" t="s">
        <v>221</v>
      </c>
      <c r="D17009" s="3" t="s">
        <v>614</v>
      </c>
      <c r="E17009" s="3" t="s">
        <v>118</v>
      </c>
      <c r="F17009" s="7">
        <v>46075.401890193534</v>
      </c>
      <c r="G17009" s="3" t="s">
        <v>19794</v>
      </c>
    </row>
    <row r="17010">
      <c r="A17010" s="3" t="s">
        <v>33077</v>
      </c>
      <c r="B17010" s="3" t="s">
        <v>14199</v>
      </c>
      <c r="C17010" s="5" t="s">
        <v>614</v>
      </c>
      <c r="D17010" s="3" t="s">
        <v>206</v>
      </c>
      <c r="E17010" s="3" t="s">
        <v>100</v>
      </c>
      <c r="F17010" s="7">
        <v>46075.40536241576</v>
      </c>
      <c r="G17010" s="3" t="s">
        <v>19797</v>
      </c>
    </row>
    <row r="17011">
      <c r="A17011" s="3" t="s">
        <v>33078</v>
      </c>
      <c r="B17011" s="3" t="s">
        <v>14199</v>
      </c>
      <c r="C17011" s="5" t="s">
        <v>206</v>
      </c>
      <c r="D17011" s="3" t="s">
        <v>68</v>
      </c>
      <c r="E17011" s="3" t="s">
        <v>100</v>
      </c>
      <c r="F17011" s="7">
        <v>46075.40883463798</v>
      </c>
      <c r="G17011" s="3" t="s">
        <v>19800</v>
      </c>
    </row>
    <row r="17012">
      <c r="A17012" s="3" t="s">
        <v>33079</v>
      </c>
      <c r="B17012" s="3" t="s">
        <v>14202</v>
      </c>
      <c r="C17012" s="5" t="s">
        <v>45</v>
      </c>
      <c r="D17012" s="3" t="s">
        <v>221</v>
      </c>
      <c r="E17012" s="3" t="s">
        <v>319</v>
      </c>
      <c r="F17012" s="7">
        <v>46075.469592816735</v>
      </c>
      <c r="G17012" s="3" t="s">
        <v>8710</v>
      </c>
    </row>
    <row r="17013">
      <c r="A17013" s="3" t="s">
        <v>33080</v>
      </c>
      <c r="B17013" s="3" t="s">
        <v>14202</v>
      </c>
      <c r="C17013" s="5" t="s">
        <v>221</v>
      </c>
      <c r="D17013" s="3" t="s">
        <v>614</v>
      </c>
      <c r="E17013" s="3" t="s">
        <v>118</v>
      </c>
      <c r="F17013" s="7">
        <v>46075.473065038954</v>
      </c>
      <c r="G17013" s="3" t="s">
        <v>8713</v>
      </c>
    </row>
    <row r="17014">
      <c r="A17014" s="3" t="s">
        <v>33081</v>
      </c>
      <c r="B17014" s="3" t="s">
        <v>14202</v>
      </c>
      <c r="C17014" s="5" t="s">
        <v>614</v>
      </c>
      <c r="D17014" s="3" t="s">
        <v>206</v>
      </c>
      <c r="E17014" s="3" t="s">
        <v>100</v>
      </c>
      <c r="F17014" s="7">
        <v>46075.47653726118</v>
      </c>
      <c r="G17014" s="3" t="s">
        <v>8715</v>
      </c>
    </row>
    <row r="17015">
      <c r="A17015" s="3" t="s">
        <v>33082</v>
      </c>
      <c r="B17015" s="3" t="s">
        <v>14202</v>
      </c>
      <c r="C17015" s="5" t="s">
        <v>206</v>
      </c>
      <c r="D17015" s="3" t="s">
        <v>68</v>
      </c>
      <c r="E17015" s="3" t="s">
        <v>100</v>
      </c>
      <c r="F17015" s="7">
        <v>46075.4800094834</v>
      </c>
      <c r="G17015" s="3" t="s">
        <v>8718</v>
      </c>
    </row>
    <row r="17016">
      <c r="A17016" s="3" t="s">
        <v>33083</v>
      </c>
      <c r="B17016" s="3" t="s">
        <v>14204</v>
      </c>
      <c r="C17016" s="5" t="s">
        <v>45</v>
      </c>
      <c r="D17016" s="3" t="s">
        <v>221</v>
      </c>
      <c r="E17016" s="3" t="s">
        <v>883</v>
      </c>
      <c r="F17016" s="7">
        <v>46075.54076766215</v>
      </c>
      <c r="G17016" s="3" t="s">
        <v>8252</v>
      </c>
    </row>
    <row r="17017">
      <c r="A17017" s="3" t="s">
        <v>33084</v>
      </c>
      <c r="B17017" s="3" t="s">
        <v>14204</v>
      </c>
      <c r="C17017" s="5" t="s">
        <v>221</v>
      </c>
      <c r="D17017" s="3" t="s">
        <v>614</v>
      </c>
      <c r="E17017" s="3" t="s">
        <v>118</v>
      </c>
      <c r="F17017" s="7">
        <v>46075.544239884366</v>
      </c>
      <c r="G17017" s="3" t="s">
        <v>8255</v>
      </c>
    </row>
    <row r="17018">
      <c r="A17018" s="3" t="s">
        <v>33085</v>
      </c>
      <c r="B17018" s="3" t="s">
        <v>14204</v>
      </c>
      <c r="C17018" s="5" t="s">
        <v>614</v>
      </c>
      <c r="D17018" s="3" t="s">
        <v>206</v>
      </c>
      <c r="E17018" s="3" t="s">
        <v>100</v>
      </c>
      <c r="F17018" s="7">
        <v>46075.54771210659</v>
      </c>
      <c r="G17018" s="3" t="s">
        <v>8257</v>
      </c>
    </row>
    <row r="17019">
      <c r="A17019" s="3" t="s">
        <v>33086</v>
      </c>
      <c r="B17019" s="3" t="s">
        <v>14204</v>
      </c>
      <c r="C17019" s="5" t="s">
        <v>206</v>
      </c>
      <c r="D17019" s="3" t="s">
        <v>68</v>
      </c>
      <c r="E17019" s="3" t="s">
        <v>100</v>
      </c>
      <c r="F17019" s="7">
        <v>46075.55118432881</v>
      </c>
      <c r="G17019" s="3" t="s">
        <v>8260</v>
      </c>
    </row>
    <row r="17020">
      <c r="A17020" s="3" t="s">
        <v>33087</v>
      </c>
      <c r="B17020" s="3" t="s">
        <v>14206</v>
      </c>
      <c r="C17020" s="5" t="s">
        <v>45</v>
      </c>
      <c r="D17020" s="3" t="s">
        <v>221</v>
      </c>
      <c r="E17020" s="3" t="s">
        <v>796</v>
      </c>
      <c r="F17020" s="7">
        <v>46075.61194250757</v>
      </c>
      <c r="G17020" s="3" t="s">
        <v>27019</v>
      </c>
    </row>
    <row r="17021">
      <c r="A17021" s="3" t="s">
        <v>33088</v>
      </c>
      <c r="B17021" s="3" t="s">
        <v>14206</v>
      </c>
      <c r="C17021" s="5" t="s">
        <v>221</v>
      </c>
      <c r="D17021" s="3" t="s">
        <v>181</v>
      </c>
      <c r="E17021" s="3" t="s">
        <v>118</v>
      </c>
      <c r="F17021" s="7">
        <v>46075.615414729786</v>
      </c>
      <c r="G17021" s="3" t="s">
        <v>27021</v>
      </c>
    </row>
    <row r="17022">
      <c r="A17022" s="3" t="s">
        <v>33089</v>
      </c>
      <c r="B17022" s="3" t="s">
        <v>14208</v>
      </c>
      <c r="C17022" s="5" t="s">
        <v>45</v>
      </c>
      <c r="D17022" s="3" t="s">
        <v>221</v>
      </c>
      <c r="E17022" s="3" t="s">
        <v>446</v>
      </c>
      <c r="F17022" s="7">
        <v>46075.68311735297</v>
      </c>
      <c r="G17022" s="3" t="s">
        <v>7476</v>
      </c>
    </row>
    <row r="17023">
      <c r="A17023" s="3" t="s">
        <v>33090</v>
      </c>
      <c r="B17023" s="3" t="s">
        <v>14208</v>
      </c>
      <c r="C17023" s="5" t="s">
        <v>221</v>
      </c>
      <c r="D17023" s="3" t="s">
        <v>614</v>
      </c>
      <c r="E17023" s="3" t="s">
        <v>118</v>
      </c>
      <c r="F17023" s="7">
        <v>46075.68658957519</v>
      </c>
      <c r="G17023" s="3" t="s">
        <v>7479</v>
      </c>
    </row>
    <row r="17024">
      <c r="A17024" s="3" t="s">
        <v>33091</v>
      </c>
      <c r="B17024" s="3" t="s">
        <v>14208</v>
      </c>
      <c r="C17024" s="5" t="s">
        <v>614</v>
      </c>
      <c r="D17024" s="3" t="s">
        <v>206</v>
      </c>
      <c r="E17024" s="3" t="s">
        <v>100</v>
      </c>
      <c r="F17024" s="7">
        <v>46075.69006179742</v>
      </c>
      <c r="G17024" s="3" t="s">
        <v>7482</v>
      </c>
    </row>
    <row r="17025">
      <c r="A17025" s="3" t="s">
        <v>33092</v>
      </c>
      <c r="B17025" s="3" t="s">
        <v>14208</v>
      </c>
      <c r="C17025" s="5" t="s">
        <v>206</v>
      </c>
      <c r="D17025" s="3" t="s">
        <v>68</v>
      </c>
      <c r="E17025" s="3" t="s">
        <v>100</v>
      </c>
      <c r="F17025" s="7">
        <v>46075.693534019636</v>
      </c>
      <c r="G17025" s="3" t="s">
        <v>7485</v>
      </c>
    </row>
    <row r="17026">
      <c r="A17026" s="3" t="s">
        <v>33093</v>
      </c>
      <c r="B17026" s="3" t="s">
        <v>14211</v>
      </c>
      <c r="C17026" s="5" t="s">
        <v>45</v>
      </c>
      <c r="D17026" s="3" t="s">
        <v>221</v>
      </c>
      <c r="E17026" s="3" t="s">
        <v>233</v>
      </c>
      <c r="F17026" s="7">
        <v>46075.75429219839</v>
      </c>
      <c r="G17026" s="3" t="s">
        <v>8262</v>
      </c>
    </row>
    <row r="17027">
      <c r="A17027" s="3" t="s">
        <v>33094</v>
      </c>
      <c r="B17027" s="3" t="s">
        <v>14211</v>
      </c>
      <c r="C17027" s="5" t="s">
        <v>221</v>
      </c>
      <c r="D17027" s="3" t="s">
        <v>614</v>
      </c>
      <c r="E17027" s="3" t="s">
        <v>118</v>
      </c>
      <c r="F17027" s="7">
        <v>46075.75776442061</v>
      </c>
      <c r="G17027" s="3" t="s">
        <v>8265</v>
      </c>
    </row>
    <row r="17028">
      <c r="A17028" s="3" t="s">
        <v>33095</v>
      </c>
      <c r="B17028" s="3" t="s">
        <v>14211</v>
      </c>
      <c r="C17028" s="5" t="s">
        <v>614</v>
      </c>
      <c r="D17028" s="3" t="s">
        <v>206</v>
      </c>
      <c r="E17028" s="3" t="s">
        <v>100</v>
      </c>
      <c r="F17028" s="7">
        <v>46075.76123664284</v>
      </c>
      <c r="G17028" s="3" t="s">
        <v>8268</v>
      </c>
    </row>
    <row r="17029">
      <c r="A17029" s="3" t="s">
        <v>33096</v>
      </c>
      <c r="B17029" s="3" t="s">
        <v>14211</v>
      </c>
      <c r="C17029" s="5" t="s">
        <v>206</v>
      </c>
      <c r="D17029" s="3" t="s">
        <v>68</v>
      </c>
      <c r="E17029" s="3" t="s">
        <v>100</v>
      </c>
      <c r="F17029" s="7">
        <v>46075.764708865056</v>
      </c>
      <c r="G17029" s="3" t="s">
        <v>8271</v>
      </c>
    </row>
    <row r="17030">
      <c r="A17030" s="3" t="s">
        <v>33097</v>
      </c>
      <c r="B17030" s="3" t="s">
        <v>14213</v>
      </c>
      <c r="C17030" s="5" t="s">
        <v>45</v>
      </c>
      <c r="D17030" s="3" t="s">
        <v>221</v>
      </c>
      <c r="E17030" s="3" t="s">
        <v>505</v>
      </c>
      <c r="F17030" s="7">
        <v>46075.82546704381</v>
      </c>
      <c r="G17030" s="3" t="s">
        <v>8292</v>
      </c>
    </row>
    <row r="17031">
      <c r="A17031" s="3" t="s">
        <v>33098</v>
      </c>
      <c r="B17031" s="3" t="s">
        <v>14213</v>
      </c>
      <c r="C17031" s="5" t="s">
        <v>221</v>
      </c>
      <c r="D17031" s="3" t="s">
        <v>614</v>
      </c>
      <c r="E17031" s="3" t="s">
        <v>118</v>
      </c>
      <c r="F17031" s="7">
        <v>46075.82893926603</v>
      </c>
      <c r="G17031" s="3" t="s">
        <v>8294</v>
      </c>
    </row>
    <row r="17032">
      <c r="A17032" s="3" t="s">
        <v>33099</v>
      </c>
      <c r="B17032" s="3" t="s">
        <v>14213</v>
      </c>
      <c r="C17032" s="5" t="s">
        <v>614</v>
      </c>
      <c r="D17032" s="3" t="s">
        <v>206</v>
      </c>
      <c r="E17032" s="3" t="s">
        <v>100</v>
      </c>
      <c r="F17032" s="7">
        <v>46075.832411488256</v>
      </c>
      <c r="G17032" s="3" t="s">
        <v>8297</v>
      </c>
    </row>
    <row r="17033">
      <c r="A17033" s="3" t="s">
        <v>33100</v>
      </c>
      <c r="B17033" s="3" t="s">
        <v>14213</v>
      </c>
      <c r="C17033" s="5" t="s">
        <v>206</v>
      </c>
      <c r="D17033" s="3" t="s">
        <v>68</v>
      </c>
      <c r="E17033" s="3" t="s">
        <v>100</v>
      </c>
      <c r="F17033" s="7">
        <v>46075.835883710475</v>
      </c>
      <c r="G17033" s="3" t="s">
        <v>8300</v>
      </c>
    </row>
    <row r="17034">
      <c r="A17034" s="3" t="s">
        <v>33101</v>
      </c>
      <c r="B17034" s="3" t="s">
        <v>14216</v>
      </c>
      <c r="C17034" s="5" t="s">
        <v>45</v>
      </c>
      <c r="D17034" s="3" t="s">
        <v>221</v>
      </c>
      <c r="E17034" s="3" t="s">
        <v>253</v>
      </c>
      <c r="F17034" s="7">
        <v>46075.89664188922</v>
      </c>
      <c r="G17034" s="3" t="s">
        <v>3395</v>
      </c>
    </row>
    <row r="17035">
      <c r="A17035" s="3" t="s">
        <v>33102</v>
      </c>
      <c r="B17035" s="3" t="s">
        <v>14216</v>
      </c>
      <c r="C17035" s="5" t="s">
        <v>221</v>
      </c>
      <c r="D17035" s="3" t="s">
        <v>614</v>
      </c>
      <c r="E17035" s="3" t="s">
        <v>118</v>
      </c>
      <c r="F17035" s="7">
        <v>46075.90011411144</v>
      </c>
      <c r="G17035" s="3" t="s">
        <v>3398</v>
      </c>
    </row>
    <row r="17036">
      <c r="A17036" s="3" t="s">
        <v>33103</v>
      </c>
      <c r="B17036" s="3" t="s">
        <v>14216</v>
      </c>
      <c r="C17036" s="5" t="s">
        <v>614</v>
      </c>
      <c r="D17036" s="3" t="s">
        <v>206</v>
      </c>
      <c r="E17036" s="3" t="s">
        <v>100</v>
      </c>
      <c r="F17036" s="7">
        <v>46075.90358633367</v>
      </c>
      <c r="G17036" s="3" t="s">
        <v>3401</v>
      </c>
    </row>
    <row r="17037">
      <c r="A17037" s="3" t="s">
        <v>33104</v>
      </c>
      <c r="B17037" s="3" t="s">
        <v>14216</v>
      </c>
      <c r="C17037" s="5" t="s">
        <v>206</v>
      </c>
      <c r="D17037" s="3" t="s">
        <v>68</v>
      </c>
      <c r="E17037" s="3" t="s">
        <v>100</v>
      </c>
      <c r="F17037" s="7">
        <v>46075.90705855589</v>
      </c>
      <c r="G17037" s="3" t="s">
        <v>3404</v>
      </c>
    </row>
    <row r="17038">
      <c r="A17038" s="3" t="s">
        <v>33105</v>
      </c>
      <c r="B17038" s="3" t="s">
        <v>14219</v>
      </c>
      <c r="C17038" s="5" t="s">
        <v>45</v>
      </c>
      <c r="D17038" s="3" t="s">
        <v>221</v>
      </c>
      <c r="E17038" s="3" t="s">
        <v>848</v>
      </c>
      <c r="F17038" s="7">
        <v>46075.967816734636</v>
      </c>
      <c r="G17038" s="3" t="s">
        <v>21641</v>
      </c>
    </row>
    <row r="17039">
      <c r="A17039" s="3" t="s">
        <v>33106</v>
      </c>
      <c r="B17039" s="3" t="s">
        <v>14219</v>
      </c>
      <c r="C17039" s="5" t="s">
        <v>221</v>
      </c>
      <c r="D17039" s="3" t="s">
        <v>614</v>
      </c>
      <c r="E17039" s="3" t="s">
        <v>118</v>
      </c>
      <c r="F17039" s="7">
        <v>46075.971288956855</v>
      </c>
      <c r="G17039" s="3" t="s">
        <v>31498</v>
      </c>
    </row>
    <row r="17040">
      <c r="A17040" s="3" t="s">
        <v>33107</v>
      </c>
      <c r="B17040" s="3" t="s">
        <v>14219</v>
      </c>
      <c r="C17040" s="5" t="s">
        <v>614</v>
      </c>
      <c r="D17040" s="3" t="s">
        <v>206</v>
      </c>
      <c r="E17040" s="3" t="s">
        <v>100</v>
      </c>
      <c r="F17040" s="7">
        <v>46075.97476117908</v>
      </c>
      <c r="G17040" s="3" t="s">
        <v>31500</v>
      </c>
    </row>
    <row r="17041">
      <c r="A17041" s="3" t="s">
        <v>33108</v>
      </c>
      <c r="B17041" s="3" t="s">
        <v>14219</v>
      </c>
      <c r="C17041" s="5" t="s">
        <v>206</v>
      </c>
      <c r="D17041" s="3" t="s">
        <v>68</v>
      </c>
      <c r="E17041" s="3" t="s">
        <v>100</v>
      </c>
      <c r="F17041" s="7">
        <v>46075.9782334013</v>
      </c>
      <c r="G17041" s="3" t="s">
        <v>31502</v>
      </c>
    </row>
    <row r="17042">
      <c r="A17042" s="3" t="s">
        <v>33109</v>
      </c>
      <c r="B17042" s="3" t="s">
        <v>14223</v>
      </c>
      <c r="C17042" s="5" t="s">
        <v>45</v>
      </c>
      <c r="D17042" s="3" t="s">
        <v>221</v>
      </c>
      <c r="E17042" s="3" t="s">
        <v>141</v>
      </c>
      <c r="F17042" s="7">
        <v>46076.038991580055</v>
      </c>
      <c r="G17042" s="3" t="s">
        <v>8368</v>
      </c>
    </row>
    <row r="17043">
      <c r="A17043" s="3" t="s">
        <v>33110</v>
      </c>
      <c r="B17043" s="3" t="s">
        <v>14223</v>
      </c>
      <c r="C17043" s="5" t="s">
        <v>221</v>
      </c>
      <c r="D17043" s="3" t="s">
        <v>614</v>
      </c>
      <c r="E17043" s="3" t="s">
        <v>118</v>
      </c>
      <c r="F17043" s="7">
        <v>46076.042463802274</v>
      </c>
      <c r="G17043" s="3" t="s">
        <v>8371</v>
      </c>
    </row>
    <row r="17044">
      <c r="A17044" s="3" t="s">
        <v>33111</v>
      </c>
      <c r="B17044" s="3" t="s">
        <v>14223</v>
      </c>
      <c r="C17044" s="5" t="s">
        <v>614</v>
      </c>
      <c r="D17044" s="3" t="s">
        <v>206</v>
      </c>
      <c r="E17044" s="3" t="s">
        <v>100</v>
      </c>
      <c r="F17044" s="7">
        <v>46076.0459360245</v>
      </c>
      <c r="G17044" s="3" t="s">
        <v>8374</v>
      </c>
    </row>
    <row r="17045">
      <c r="A17045" s="3" t="s">
        <v>33112</v>
      </c>
      <c r="B17045" s="3" t="s">
        <v>14223</v>
      </c>
      <c r="C17045" s="5" t="s">
        <v>206</v>
      </c>
      <c r="D17045" s="3" t="s">
        <v>68</v>
      </c>
      <c r="E17045" s="3" t="s">
        <v>100</v>
      </c>
      <c r="F17045" s="7">
        <v>46076.04940824672</v>
      </c>
      <c r="G17045" s="3" t="s">
        <v>8377</v>
      </c>
    </row>
    <row r="17046">
      <c r="A17046" s="3" t="s">
        <v>33113</v>
      </c>
      <c r="B17046" s="3" t="s">
        <v>14226</v>
      </c>
      <c r="C17046" s="5" t="s">
        <v>45</v>
      </c>
      <c r="D17046" s="3" t="s">
        <v>221</v>
      </c>
      <c r="E17046" s="3" t="s">
        <v>189</v>
      </c>
      <c r="F17046" s="7">
        <v>46076.11016642547</v>
      </c>
      <c r="G17046" s="3" t="s">
        <v>32992</v>
      </c>
    </row>
    <row r="17047">
      <c r="A17047" s="3" t="s">
        <v>33114</v>
      </c>
      <c r="B17047" s="3" t="s">
        <v>14226</v>
      </c>
      <c r="C17047" s="5" t="s">
        <v>221</v>
      </c>
      <c r="D17047" s="3" t="s">
        <v>614</v>
      </c>
      <c r="E17047" s="3" t="s">
        <v>118</v>
      </c>
      <c r="F17047" s="7">
        <v>46076.11363864769</v>
      </c>
      <c r="G17047" s="3" t="s">
        <v>32994</v>
      </c>
    </row>
    <row r="17048">
      <c r="A17048" s="3" t="s">
        <v>33115</v>
      </c>
      <c r="B17048" s="3" t="s">
        <v>14226</v>
      </c>
      <c r="C17048" s="5" t="s">
        <v>614</v>
      </c>
      <c r="D17048" s="3" t="s">
        <v>206</v>
      </c>
      <c r="E17048" s="3" t="s">
        <v>100</v>
      </c>
      <c r="F17048" s="7">
        <v>46076.11711086991</v>
      </c>
      <c r="G17048" s="3" t="s">
        <v>32996</v>
      </c>
    </row>
    <row r="17049">
      <c r="A17049" s="3" t="s">
        <v>33116</v>
      </c>
      <c r="B17049" s="3" t="s">
        <v>14226</v>
      </c>
      <c r="C17049" s="5" t="s">
        <v>206</v>
      </c>
      <c r="D17049" s="3" t="s">
        <v>68</v>
      </c>
      <c r="E17049" s="3" t="s">
        <v>100</v>
      </c>
      <c r="F17049" s="7">
        <v>46076.12058309213</v>
      </c>
      <c r="G17049" s="3" t="s">
        <v>32998</v>
      </c>
    </row>
    <row r="17050">
      <c r="A17050" s="3" t="s">
        <v>33117</v>
      </c>
      <c r="B17050" s="3" t="s">
        <v>14230</v>
      </c>
      <c r="C17050" s="5" t="s">
        <v>45</v>
      </c>
      <c r="D17050" s="3" t="s">
        <v>221</v>
      </c>
      <c r="E17050" s="3" t="s">
        <v>596</v>
      </c>
      <c r="F17050" s="7">
        <v>46076.18134127088</v>
      </c>
      <c r="G17050" s="3" t="s">
        <v>9956</v>
      </c>
    </row>
    <row r="17051">
      <c r="A17051" s="3" t="s">
        <v>33118</v>
      </c>
      <c r="B17051" s="3" t="s">
        <v>14230</v>
      </c>
      <c r="C17051" s="5" t="s">
        <v>221</v>
      </c>
      <c r="D17051" s="3" t="s">
        <v>614</v>
      </c>
      <c r="E17051" s="3" t="s">
        <v>118</v>
      </c>
      <c r="F17051" s="7">
        <v>46076.1848134931</v>
      </c>
      <c r="G17051" s="3" t="s">
        <v>9960</v>
      </c>
    </row>
    <row r="17052">
      <c r="A17052" s="3" t="s">
        <v>33119</v>
      </c>
      <c r="B17052" s="3" t="s">
        <v>14230</v>
      </c>
      <c r="C17052" s="5" t="s">
        <v>614</v>
      </c>
      <c r="D17052" s="3" t="s">
        <v>206</v>
      </c>
      <c r="E17052" s="3" t="s">
        <v>100</v>
      </c>
      <c r="F17052" s="7">
        <v>46076.188285715325</v>
      </c>
      <c r="G17052" s="3" t="s">
        <v>9963</v>
      </c>
    </row>
    <row r="17053">
      <c r="A17053" s="3" t="s">
        <v>33120</v>
      </c>
      <c r="B17053" s="3" t="s">
        <v>14230</v>
      </c>
      <c r="C17053" s="5" t="s">
        <v>206</v>
      </c>
      <c r="D17053" s="3" t="s">
        <v>68</v>
      </c>
      <c r="E17053" s="3" t="s">
        <v>100</v>
      </c>
      <c r="F17053" s="7">
        <v>46076.191757937544</v>
      </c>
      <c r="G17053" s="3" t="s">
        <v>9966</v>
      </c>
    </row>
    <row r="17054">
      <c r="A17054" s="3" t="s">
        <v>33121</v>
      </c>
      <c r="B17054" s="3" t="s">
        <v>14233</v>
      </c>
      <c r="C17054" s="5" t="s">
        <v>45</v>
      </c>
      <c r="D17054" s="3" t="s">
        <v>221</v>
      </c>
      <c r="E17054" s="3" t="s">
        <v>348</v>
      </c>
      <c r="F17054" s="7">
        <v>46076.2525161163</v>
      </c>
      <c r="G17054" s="3" t="s">
        <v>6086</v>
      </c>
    </row>
    <row r="17055">
      <c r="A17055" s="3" t="s">
        <v>33122</v>
      </c>
      <c r="B17055" s="3" t="s">
        <v>14233</v>
      </c>
      <c r="C17055" s="5" t="s">
        <v>221</v>
      </c>
      <c r="D17055" s="3" t="s">
        <v>614</v>
      </c>
      <c r="E17055" s="3" t="s">
        <v>118</v>
      </c>
      <c r="F17055" s="7">
        <v>46076.25598833852</v>
      </c>
      <c r="G17055" s="3" t="s">
        <v>6088</v>
      </c>
    </row>
    <row r="17056">
      <c r="A17056" s="3" t="s">
        <v>33123</v>
      </c>
      <c r="B17056" s="3" t="s">
        <v>14233</v>
      </c>
      <c r="C17056" s="5" t="s">
        <v>614</v>
      </c>
      <c r="D17056" s="3" t="s">
        <v>206</v>
      </c>
      <c r="E17056" s="3" t="s">
        <v>100</v>
      </c>
      <c r="F17056" s="7">
        <v>46076.259460560745</v>
      </c>
      <c r="G17056" s="3" t="s">
        <v>6091</v>
      </c>
    </row>
    <row r="17057">
      <c r="A17057" s="3" t="s">
        <v>33124</v>
      </c>
      <c r="B17057" s="3" t="s">
        <v>14233</v>
      </c>
      <c r="C17057" s="5" t="s">
        <v>206</v>
      </c>
      <c r="D17057" s="3" t="s">
        <v>68</v>
      </c>
      <c r="E17057" s="3" t="s">
        <v>100</v>
      </c>
      <c r="F17057" s="7">
        <v>46076.26293278296</v>
      </c>
      <c r="G17057" s="3" t="s">
        <v>6094</v>
      </c>
    </row>
    <row r="17058">
      <c r="A17058" s="3" t="s">
        <v>33125</v>
      </c>
      <c r="B17058" s="3" t="s">
        <v>14237</v>
      </c>
      <c r="C17058" s="5" t="s">
        <v>45</v>
      </c>
      <c r="D17058" s="3" t="s">
        <v>221</v>
      </c>
      <c r="E17058" s="3" t="s">
        <v>253</v>
      </c>
      <c r="F17058" s="7">
        <v>46076.32369096172</v>
      </c>
      <c r="G17058" s="3" t="s">
        <v>5349</v>
      </c>
    </row>
    <row r="17059">
      <c r="A17059" s="3" t="s">
        <v>33126</v>
      </c>
      <c r="B17059" s="3" t="s">
        <v>14237</v>
      </c>
      <c r="C17059" s="5" t="s">
        <v>221</v>
      </c>
      <c r="D17059" s="3" t="s">
        <v>181</v>
      </c>
      <c r="E17059" s="3" t="s">
        <v>118</v>
      </c>
      <c r="F17059" s="7">
        <v>46076.32716318394</v>
      </c>
      <c r="G17059" s="3" t="s">
        <v>33127</v>
      </c>
    </row>
    <row r="17060">
      <c r="A17060" s="3" t="s">
        <v>33128</v>
      </c>
      <c r="B17060" s="3" t="s">
        <v>14239</v>
      </c>
      <c r="C17060" s="5" t="s">
        <v>45</v>
      </c>
      <c r="D17060" s="3" t="s">
        <v>221</v>
      </c>
      <c r="E17060" s="3" t="s">
        <v>411</v>
      </c>
      <c r="F17060" s="7">
        <v>46076.394865807124</v>
      </c>
      <c r="G17060" s="3" t="s">
        <v>5377</v>
      </c>
    </row>
    <row r="17061">
      <c r="A17061" s="3" t="s">
        <v>33129</v>
      </c>
      <c r="B17061" s="3" t="s">
        <v>14239</v>
      </c>
      <c r="C17061" s="5" t="s">
        <v>221</v>
      </c>
      <c r="D17061" s="3" t="s">
        <v>614</v>
      </c>
      <c r="E17061" s="3" t="s">
        <v>118</v>
      </c>
      <c r="F17061" s="7">
        <v>46076.39833802934</v>
      </c>
      <c r="G17061" s="3" t="s">
        <v>5380</v>
      </c>
    </row>
    <row r="17062">
      <c r="A17062" s="3" t="s">
        <v>33130</v>
      </c>
      <c r="B17062" s="3" t="s">
        <v>14239</v>
      </c>
      <c r="C17062" s="5" t="s">
        <v>614</v>
      </c>
      <c r="D17062" s="3" t="s">
        <v>206</v>
      </c>
      <c r="E17062" s="3" t="s">
        <v>100</v>
      </c>
      <c r="F17062" s="7">
        <v>46076.40181025157</v>
      </c>
      <c r="G17062" s="3" t="s">
        <v>5383</v>
      </c>
    </row>
    <row r="17063">
      <c r="A17063" s="3" t="s">
        <v>33131</v>
      </c>
      <c r="B17063" s="3" t="s">
        <v>14239</v>
      </c>
      <c r="C17063" s="5" t="s">
        <v>206</v>
      </c>
      <c r="D17063" s="3" t="s">
        <v>68</v>
      </c>
      <c r="E17063" s="3" t="s">
        <v>100</v>
      </c>
      <c r="F17063" s="7">
        <v>46076.40528247379</v>
      </c>
      <c r="G17063" s="3" t="s">
        <v>5386</v>
      </c>
    </row>
    <row r="17064">
      <c r="A17064" s="3" t="s">
        <v>33132</v>
      </c>
      <c r="B17064" s="3" t="s">
        <v>14241</v>
      </c>
      <c r="C17064" s="5" t="s">
        <v>45</v>
      </c>
      <c r="D17064" s="3" t="s">
        <v>221</v>
      </c>
      <c r="E17064" s="3" t="s">
        <v>253</v>
      </c>
      <c r="F17064" s="7">
        <v>46076.46604065254</v>
      </c>
      <c r="G17064" s="3" t="s">
        <v>3395</v>
      </c>
    </row>
    <row r="17065">
      <c r="A17065" s="3" t="s">
        <v>33133</v>
      </c>
      <c r="B17065" s="3" t="s">
        <v>14241</v>
      </c>
      <c r="C17065" s="5" t="s">
        <v>221</v>
      </c>
      <c r="D17065" s="3" t="s">
        <v>614</v>
      </c>
      <c r="E17065" s="3" t="s">
        <v>118</v>
      </c>
      <c r="F17065" s="7">
        <v>46076.46951287476</v>
      </c>
      <c r="G17065" s="3" t="s">
        <v>3398</v>
      </c>
    </row>
    <row r="17066">
      <c r="A17066" s="3" t="s">
        <v>33134</v>
      </c>
      <c r="B17066" s="3" t="s">
        <v>14241</v>
      </c>
      <c r="C17066" s="5" t="s">
        <v>614</v>
      </c>
      <c r="D17066" s="3" t="s">
        <v>206</v>
      </c>
      <c r="E17066" s="3" t="s">
        <v>100</v>
      </c>
      <c r="F17066" s="7">
        <v>46076.47298509699</v>
      </c>
      <c r="G17066" s="3" t="s">
        <v>3401</v>
      </c>
    </row>
    <row r="17067">
      <c r="A17067" s="3" t="s">
        <v>33135</v>
      </c>
      <c r="B17067" s="3" t="s">
        <v>14241</v>
      </c>
      <c r="C17067" s="5" t="s">
        <v>206</v>
      </c>
      <c r="D17067" s="3" t="s">
        <v>68</v>
      </c>
      <c r="E17067" s="3" t="s">
        <v>100</v>
      </c>
      <c r="F17067" s="7">
        <v>46076.47645731921</v>
      </c>
      <c r="G17067" s="3" t="s">
        <v>3404</v>
      </c>
    </row>
    <row r="17068">
      <c r="A17068" s="3" t="s">
        <v>33136</v>
      </c>
      <c r="B17068" s="3" t="s">
        <v>14245</v>
      </c>
      <c r="C17068" s="5" t="s">
        <v>45</v>
      </c>
      <c r="D17068" s="3" t="s">
        <v>221</v>
      </c>
      <c r="E17068" s="3" t="s">
        <v>547</v>
      </c>
      <c r="F17068" s="7">
        <v>46076.53721549796</v>
      </c>
      <c r="G17068" s="3" t="s">
        <v>9071</v>
      </c>
    </row>
    <row r="17069">
      <c r="A17069" s="3" t="s">
        <v>33137</v>
      </c>
      <c r="B17069" s="3" t="s">
        <v>14245</v>
      </c>
      <c r="C17069" s="5" t="s">
        <v>221</v>
      </c>
      <c r="D17069" s="3" t="s">
        <v>614</v>
      </c>
      <c r="E17069" s="3" t="s">
        <v>118</v>
      </c>
      <c r="F17069" s="7">
        <v>46076.54068772018</v>
      </c>
      <c r="G17069" s="3" t="s">
        <v>9074</v>
      </c>
    </row>
    <row r="17070">
      <c r="A17070" s="3" t="s">
        <v>33138</v>
      </c>
      <c r="B17070" s="3" t="s">
        <v>14245</v>
      </c>
      <c r="C17070" s="5" t="s">
        <v>614</v>
      </c>
      <c r="D17070" s="3" t="s">
        <v>206</v>
      </c>
      <c r="E17070" s="3" t="s">
        <v>100</v>
      </c>
      <c r="F17070" s="7">
        <v>46076.54415994241</v>
      </c>
      <c r="G17070" s="3" t="s">
        <v>9077</v>
      </c>
    </row>
    <row r="17071">
      <c r="A17071" s="3" t="s">
        <v>33139</v>
      </c>
      <c r="B17071" s="3" t="s">
        <v>14245</v>
      </c>
      <c r="C17071" s="5" t="s">
        <v>206</v>
      </c>
      <c r="D17071" s="3" t="s">
        <v>68</v>
      </c>
      <c r="E17071" s="3" t="s">
        <v>100</v>
      </c>
      <c r="F17071" s="7">
        <v>46076.54763216463</v>
      </c>
      <c r="G17071" s="3" t="s">
        <v>9080</v>
      </c>
    </row>
    <row r="17072">
      <c r="A17072" s="3" t="s">
        <v>33140</v>
      </c>
      <c r="B17072" s="3" t="s">
        <v>14248</v>
      </c>
      <c r="C17072" s="5" t="s">
        <v>45</v>
      </c>
      <c r="D17072" s="3" t="s">
        <v>221</v>
      </c>
      <c r="E17072" s="3" t="s">
        <v>501</v>
      </c>
      <c r="F17072" s="7">
        <v>46076.608390343376</v>
      </c>
      <c r="G17072" s="3" t="s">
        <v>10306</v>
      </c>
    </row>
    <row r="17073">
      <c r="A17073" s="3" t="s">
        <v>33141</v>
      </c>
      <c r="B17073" s="3" t="s">
        <v>14248</v>
      </c>
      <c r="C17073" s="5" t="s">
        <v>221</v>
      </c>
      <c r="D17073" s="3" t="s">
        <v>181</v>
      </c>
      <c r="E17073" s="3" t="s">
        <v>118</v>
      </c>
      <c r="F17073" s="7">
        <v>46076.611862565594</v>
      </c>
      <c r="G17073" s="3" t="s">
        <v>33142</v>
      </c>
    </row>
    <row r="17074">
      <c r="A17074" s="3" t="s">
        <v>33143</v>
      </c>
      <c r="B17074" s="3" t="s">
        <v>14251</v>
      </c>
      <c r="C17074" s="5" t="s">
        <v>45</v>
      </c>
      <c r="D17074" s="3" t="s">
        <v>221</v>
      </c>
      <c r="E17074" s="3" t="s">
        <v>969</v>
      </c>
      <c r="F17074" s="7">
        <v>46076.67956518879</v>
      </c>
      <c r="G17074" s="3" t="s">
        <v>15479</v>
      </c>
    </row>
    <row r="17075">
      <c r="A17075" s="3" t="s">
        <v>33144</v>
      </c>
      <c r="B17075" s="3" t="s">
        <v>14251</v>
      </c>
      <c r="C17075" s="5" t="s">
        <v>221</v>
      </c>
      <c r="D17075" s="3" t="s">
        <v>614</v>
      </c>
      <c r="E17075" s="3" t="s">
        <v>118</v>
      </c>
      <c r="F17075" s="7">
        <v>46076.68303741101</v>
      </c>
      <c r="G17075" s="3" t="s">
        <v>15482</v>
      </c>
    </row>
    <row r="17076">
      <c r="A17076" s="3" t="s">
        <v>33145</v>
      </c>
      <c r="B17076" s="3" t="s">
        <v>14251</v>
      </c>
      <c r="C17076" s="5" t="s">
        <v>614</v>
      </c>
      <c r="D17076" s="3" t="s">
        <v>206</v>
      </c>
      <c r="E17076" s="3" t="s">
        <v>100</v>
      </c>
      <c r="F17076" s="7">
        <v>46076.68650963323</v>
      </c>
      <c r="G17076" s="3" t="s">
        <v>15485</v>
      </c>
    </row>
    <row r="17077">
      <c r="A17077" s="3" t="s">
        <v>33146</v>
      </c>
      <c r="B17077" s="3" t="s">
        <v>14251</v>
      </c>
      <c r="C17077" s="5" t="s">
        <v>206</v>
      </c>
      <c r="D17077" s="3" t="s">
        <v>68</v>
      </c>
      <c r="E17077" s="3" t="s">
        <v>100</v>
      </c>
      <c r="F17077" s="7">
        <v>46076.68998185545</v>
      </c>
      <c r="G17077" s="3" t="s">
        <v>15488</v>
      </c>
    </row>
    <row r="17078">
      <c r="A17078" s="3" t="s">
        <v>33147</v>
      </c>
      <c r="B17078" s="3" t="s">
        <v>14254</v>
      </c>
      <c r="C17078" s="5" t="s">
        <v>45</v>
      </c>
      <c r="D17078" s="3" t="s">
        <v>221</v>
      </c>
      <c r="E17078" s="3" t="s">
        <v>316</v>
      </c>
      <c r="F17078" s="7">
        <v>46076.75074003421</v>
      </c>
      <c r="G17078" s="3" t="s">
        <v>4187</v>
      </c>
    </row>
    <row r="17079">
      <c r="A17079" s="3" t="s">
        <v>33148</v>
      </c>
      <c r="B17079" s="3" t="s">
        <v>14254</v>
      </c>
      <c r="C17079" s="5" t="s">
        <v>221</v>
      </c>
      <c r="D17079" s="3" t="s">
        <v>614</v>
      </c>
      <c r="E17079" s="3" t="s">
        <v>118</v>
      </c>
      <c r="F17079" s="7">
        <v>46076.75421225643</v>
      </c>
      <c r="G17079" s="3" t="s">
        <v>8275</v>
      </c>
    </row>
    <row r="17080">
      <c r="A17080" s="3" t="s">
        <v>33149</v>
      </c>
      <c r="B17080" s="3" t="s">
        <v>14254</v>
      </c>
      <c r="C17080" s="5" t="s">
        <v>614</v>
      </c>
      <c r="D17080" s="3" t="s">
        <v>206</v>
      </c>
      <c r="E17080" s="3" t="s">
        <v>100</v>
      </c>
      <c r="F17080" s="7">
        <v>46076.75768447865</v>
      </c>
      <c r="G17080" s="3" t="s">
        <v>8278</v>
      </c>
    </row>
    <row r="17081">
      <c r="A17081" s="3" t="s">
        <v>33150</v>
      </c>
      <c r="B17081" s="3" t="s">
        <v>14254</v>
      </c>
      <c r="C17081" s="5" t="s">
        <v>206</v>
      </c>
      <c r="D17081" s="3" t="s">
        <v>68</v>
      </c>
      <c r="E17081" s="3" t="s">
        <v>100</v>
      </c>
      <c r="F17081" s="7">
        <v>46076.76115670087</v>
      </c>
      <c r="G17081" s="3" t="s">
        <v>8281</v>
      </c>
    </row>
    <row r="17082">
      <c r="A17082" s="3" t="s">
        <v>33151</v>
      </c>
      <c r="B17082" s="3" t="s">
        <v>14257</v>
      </c>
      <c r="C17082" s="5" t="s">
        <v>45</v>
      </c>
      <c r="D17082" s="3" t="s">
        <v>221</v>
      </c>
      <c r="E17082" s="3" t="s">
        <v>535</v>
      </c>
      <c r="F17082" s="7">
        <v>46076.82191487962</v>
      </c>
      <c r="G17082" s="3" t="s">
        <v>8391</v>
      </c>
    </row>
    <row r="17083">
      <c r="A17083" s="3" t="s">
        <v>33152</v>
      </c>
      <c r="B17083" s="3" t="s">
        <v>14257</v>
      </c>
      <c r="C17083" s="5" t="s">
        <v>221</v>
      </c>
      <c r="D17083" s="3" t="s">
        <v>614</v>
      </c>
      <c r="E17083" s="3" t="s">
        <v>118</v>
      </c>
      <c r="F17083" s="7">
        <v>46076.82538710184</v>
      </c>
      <c r="G17083" s="3" t="s">
        <v>8394</v>
      </c>
    </row>
    <row r="17084">
      <c r="A17084" s="3" t="s">
        <v>33153</v>
      </c>
      <c r="B17084" s="3" t="s">
        <v>14257</v>
      </c>
      <c r="C17084" s="5" t="s">
        <v>614</v>
      </c>
      <c r="D17084" s="3" t="s">
        <v>206</v>
      </c>
      <c r="E17084" s="3" t="s">
        <v>100</v>
      </c>
      <c r="F17084" s="7">
        <v>46076.828859324065</v>
      </c>
      <c r="G17084" s="3" t="s">
        <v>8396</v>
      </c>
    </row>
    <row r="17085">
      <c r="A17085" s="3" t="s">
        <v>33154</v>
      </c>
      <c r="B17085" s="3" t="s">
        <v>14257</v>
      </c>
      <c r="C17085" s="5" t="s">
        <v>206</v>
      </c>
      <c r="D17085" s="3" t="s">
        <v>68</v>
      </c>
      <c r="E17085" s="3" t="s">
        <v>100</v>
      </c>
      <c r="F17085" s="7">
        <v>46076.832331546284</v>
      </c>
      <c r="G17085" s="3" t="s">
        <v>8399</v>
      </c>
    </row>
    <row r="17086">
      <c r="A17086" s="3" t="s">
        <v>33155</v>
      </c>
      <c r="B17086" s="3" t="s">
        <v>14259</v>
      </c>
      <c r="C17086" s="5" t="s">
        <v>45</v>
      </c>
      <c r="D17086" s="3" t="s">
        <v>221</v>
      </c>
      <c r="E17086" s="3" t="s">
        <v>685</v>
      </c>
      <c r="F17086" s="7">
        <v>46076.89308972503</v>
      </c>
      <c r="G17086" s="3" t="s">
        <v>6408</v>
      </c>
    </row>
    <row r="17087">
      <c r="A17087" s="3" t="s">
        <v>33156</v>
      </c>
      <c r="B17087" s="3" t="s">
        <v>14259</v>
      </c>
      <c r="C17087" s="5" t="s">
        <v>221</v>
      </c>
      <c r="D17087" s="3" t="s">
        <v>614</v>
      </c>
      <c r="E17087" s="3" t="s">
        <v>118</v>
      </c>
      <c r="F17087" s="7">
        <v>46076.89656194725</v>
      </c>
      <c r="G17087" s="3" t="s">
        <v>6410</v>
      </c>
    </row>
    <row r="17088">
      <c r="A17088" s="3" t="s">
        <v>33157</v>
      </c>
      <c r="B17088" s="3" t="s">
        <v>14259</v>
      </c>
      <c r="C17088" s="5" t="s">
        <v>614</v>
      </c>
      <c r="D17088" s="3" t="s">
        <v>206</v>
      </c>
      <c r="E17088" s="3" t="s">
        <v>100</v>
      </c>
      <c r="F17088" s="7">
        <v>46076.90003416948</v>
      </c>
      <c r="G17088" s="3" t="s">
        <v>6413</v>
      </c>
    </row>
    <row r="17089">
      <c r="A17089" s="3" t="s">
        <v>33158</v>
      </c>
      <c r="B17089" s="3" t="s">
        <v>14259</v>
      </c>
      <c r="C17089" s="5" t="s">
        <v>206</v>
      </c>
      <c r="D17089" s="3" t="s">
        <v>68</v>
      </c>
      <c r="E17089" s="3" t="s">
        <v>100</v>
      </c>
      <c r="F17089" s="7">
        <v>46076.903506391696</v>
      </c>
      <c r="G17089" s="3" t="s">
        <v>6416</v>
      </c>
    </row>
    <row r="17090">
      <c r="A17090" s="3" t="s">
        <v>33159</v>
      </c>
      <c r="B17090" s="3" t="s">
        <v>14261</v>
      </c>
      <c r="C17090" s="5" t="s">
        <v>45</v>
      </c>
      <c r="D17090" s="3" t="s">
        <v>221</v>
      </c>
      <c r="E17090" s="3" t="s">
        <v>990</v>
      </c>
      <c r="F17090" s="7">
        <v>46076.96426457045</v>
      </c>
      <c r="G17090" s="3" t="s">
        <v>8402</v>
      </c>
    </row>
    <row r="17091">
      <c r="A17091" s="3" t="s">
        <v>33160</v>
      </c>
      <c r="B17091" s="3" t="s">
        <v>14261</v>
      </c>
      <c r="C17091" s="5" t="s">
        <v>221</v>
      </c>
      <c r="D17091" s="3" t="s">
        <v>614</v>
      </c>
      <c r="E17091" s="3" t="s">
        <v>118</v>
      </c>
      <c r="F17091" s="7">
        <v>46076.96773679267</v>
      </c>
      <c r="G17091" s="3" t="s">
        <v>8405</v>
      </c>
    </row>
    <row r="17092">
      <c r="A17092" s="3" t="s">
        <v>33161</v>
      </c>
      <c r="B17092" s="3" t="s">
        <v>14261</v>
      </c>
      <c r="C17092" s="5" t="s">
        <v>614</v>
      </c>
      <c r="D17092" s="3" t="s">
        <v>206</v>
      </c>
      <c r="E17092" s="3" t="s">
        <v>100</v>
      </c>
      <c r="F17092" s="7">
        <v>46076.9712090149</v>
      </c>
      <c r="G17092" s="3" t="s">
        <v>8408</v>
      </c>
    </row>
    <row r="17093">
      <c r="A17093" s="3" t="s">
        <v>33162</v>
      </c>
      <c r="B17093" s="3" t="s">
        <v>14261</v>
      </c>
      <c r="C17093" s="5" t="s">
        <v>206</v>
      </c>
      <c r="D17093" s="3" t="s">
        <v>68</v>
      </c>
      <c r="E17093" s="3" t="s">
        <v>100</v>
      </c>
      <c r="F17093" s="7">
        <v>46076.974681237116</v>
      </c>
      <c r="G17093" s="3" t="s">
        <v>8411</v>
      </c>
    </row>
    <row r="17094">
      <c r="A17094" s="3" t="s">
        <v>33163</v>
      </c>
      <c r="B17094" s="3" t="s">
        <v>14264</v>
      </c>
      <c r="C17094" s="5" t="s">
        <v>45</v>
      </c>
      <c r="D17094" s="3" t="s">
        <v>221</v>
      </c>
      <c r="E17094" s="3" t="s">
        <v>554</v>
      </c>
      <c r="F17094" s="7">
        <v>46077.035439415864</v>
      </c>
      <c r="G17094" s="3" t="s">
        <v>8763</v>
      </c>
    </row>
    <row r="17095">
      <c r="A17095" s="3" t="s">
        <v>33164</v>
      </c>
      <c r="B17095" s="3" t="s">
        <v>14264</v>
      </c>
      <c r="C17095" s="5" t="s">
        <v>221</v>
      </c>
      <c r="D17095" s="3" t="s">
        <v>614</v>
      </c>
      <c r="E17095" s="3" t="s">
        <v>118</v>
      </c>
      <c r="F17095" s="7">
        <v>46077.03891163808</v>
      </c>
      <c r="G17095" s="3" t="s">
        <v>13100</v>
      </c>
    </row>
    <row r="17096">
      <c r="A17096" s="3" t="s">
        <v>33165</v>
      </c>
      <c r="B17096" s="3" t="s">
        <v>14264</v>
      </c>
      <c r="C17096" s="5" t="s">
        <v>614</v>
      </c>
      <c r="D17096" s="3" t="s">
        <v>206</v>
      </c>
      <c r="E17096" s="3" t="s">
        <v>100</v>
      </c>
      <c r="F17096" s="7">
        <v>46077.04238386031</v>
      </c>
      <c r="G17096" s="3" t="s">
        <v>13103</v>
      </c>
    </row>
    <row r="17097">
      <c r="A17097" s="3" t="s">
        <v>33166</v>
      </c>
      <c r="B17097" s="3" t="s">
        <v>14264</v>
      </c>
      <c r="C17097" s="5" t="s">
        <v>206</v>
      </c>
      <c r="D17097" s="3" t="s">
        <v>68</v>
      </c>
      <c r="E17097" s="3" t="s">
        <v>100</v>
      </c>
      <c r="F17097" s="7">
        <v>46077.04585608253</v>
      </c>
      <c r="G17097" s="3" t="s">
        <v>13107</v>
      </c>
    </row>
    <row r="17098">
      <c r="A17098" s="3" t="s">
        <v>33167</v>
      </c>
      <c r="B17098" s="3" t="s">
        <v>14266</v>
      </c>
      <c r="C17098" s="5" t="s">
        <v>45</v>
      </c>
      <c r="D17098" s="3" t="s">
        <v>221</v>
      </c>
      <c r="E17098" s="3" t="s">
        <v>400</v>
      </c>
      <c r="F17098" s="7">
        <v>46077.106614261276</v>
      </c>
      <c r="G17098" s="3" t="s">
        <v>10273</v>
      </c>
    </row>
    <row r="17099">
      <c r="A17099" s="3" t="s">
        <v>33168</v>
      </c>
      <c r="B17099" s="3" t="s">
        <v>14266</v>
      </c>
      <c r="C17099" s="5" t="s">
        <v>221</v>
      </c>
      <c r="D17099" s="3" t="s">
        <v>614</v>
      </c>
      <c r="E17099" s="3" t="s">
        <v>118</v>
      </c>
      <c r="F17099" s="7">
        <v>46077.110086483495</v>
      </c>
      <c r="G17099" s="3" t="s">
        <v>10592</v>
      </c>
    </row>
    <row r="17100">
      <c r="A17100" s="3" t="s">
        <v>33169</v>
      </c>
      <c r="B17100" s="3" t="s">
        <v>14266</v>
      </c>
      <c r="C17100" s="5" t="s">
        <v>614</v>
      </c>
      <c r="D17100" s="3" t="s">
        <v>206</v>
      </c>
      <c r="E17100" s="3" t="s">
        <v>100</v>
      </c>
      <c r="F17100" s="7">
        <v>46077.11355870572</v>
      </c>
      <c r="G17100" s="3" t="s">
        <v>10595</v>
      </c>
    </row>
    <row r="17101">
      <c r="A17101" s="3" t="s">
        <v>33170</v>
      </c>
      <c r="B17101" s="3" t="s">
        <v>14266</v>
      </c>
      <c r="C17101" s="5" t="s">
        <v>206</v>
      </c>
      <c r="D17101" s="3" t="s">
        <v>68</v>
      </c>
      <c r="E17101" s="3" t="s">
        <v>100</v>
      </c>
      <c r="F17101" s="7">
        <v>46077.11703092794</v>
      </c>
      <c r="G17101" s="3" t="s">
        <v>10597</v>
      </c>
    </row>
    <row r="17102">
      <c r="A17102" s="3" t="s">
        <v>33171</v>
      </c>
      <c r="B17102" s="3" t="s">
        <v>14268</v>
      </c>
      <c r="C17102" s="5" t="s">
        <v>45</v>
      </c>
      <c r="D17102" s="3" t="s">
        <v>221</v>
      </c>
      <c r="E17102" s="3" t="s">
        <v>698</v>
      </c>
      <c r="F17102" s="7">
        <v>46077.177789106696</v>
      </c>
      <c r="G17102" s="3" t="s">
        <v>19583</v>
      </c>
    </row>
    <row r="17103">
      <c r="A17103" s="3" t="s">
        <v>33172</v>
      </c>
      <c r="B17103" s="3" t="s">
        <v>14268</v>
      </c>
      <c r="C17103" s="5" t="s">
        <v>221</v>
      </c>
      <c r="D17103" s="3" t="s">
        <v>181</v>
      </c>
      <c r="E17103" s="3" t="s">
        <v>118</v>
      </c>
      <c r="F17103" s="7">
        <v>46077.181261328915</v>
      </c>
      <c r="G17103" s="3" t="s">
        <v>33173</v>
      </c>
    </row>
    <row r="17104">
      <c r="A17104" s="3" t="s">
        <v>33174</v>
      </c>
      <c r="B17104" s="3" t="s">
        <v>14271</v>
      </c>
      <c r="C17104" s="5" t="s">
        <v>45</v>
      </c>
      <c r="D17104" s="3" t="s">
        <v>221</v>
      </c>
      <c r="E17104" s="3" t="s">
        <v>1049</v>
      </c>
      <c r="F17104" s="7">
        <v>46077.24896395211</v>
      </c>
      <c r="G17104" s="3" t="s">
        <v>18325</v>
      </c>
    </row>
    <row r="17105">
      <c r="A17105" s="3" t="s">
        <v>33175</v>
      </c>
      <c r="B17105" s="3" t="s">
        <v>14271</v>
      </c>
      <c r="C17105" s="5" t="s">
        <v>221</v>
      </c>
      <c r="D17105" s="3" t="s">
        <v>614</v>
      </c>
      <c r="E17105" s="3" t="s">
        <v>118</v>
      </c>
      <c r="F17105" s="7">
        <v>46077.25243617433</v>
      </c>
      <c r="G17105" s="3" t="s">
        <v>18328</v>
      </c>
    </row>
    <row r="17106">
      <c r="A17106" s="3" t="s">
        <v>33176</v>
      </c>
      <c r="B17106" s="3" t="s">
        <v>14271</v>
      </c>
      <c r="C17106" s="5" t="s">
        <v>614</v>
      </c>
      <c r="D17106" s="3" t="s">
        <v>206</v>
      </c>
      <c r="E17106" s="3" t="s">
        <v>100</v>
      </c>
      <c r="F17106" s="7">
        <v>46077.25590839655</v>
      </c>
      <c r="G17106" s="3" t="s">
        <v>18330</v>
      </c>
    </row>
    <row r="17107">
      <c r="A17107" s="3" t="s">
        <v>33177</v>
      </c>
      <c r="B17107" s="3" t="s">
        <v>14271</v>
      </c>
      <c r="C17107" s="5" t="s">
        <v>206</v>
      </c>
      <c r="D17107" s="3" t="s">
        <v>68</v>
      </c>
      <c r="E17107" s="3" t="s">
        <v>100</v>
      </c>
      <c r="F17107" s="7">
        <v>46077.25938061877</v>
      </c>
      <c r="G17107" s="3" t="s">
        <v>18333</v>
      </c>
    </row>
    <row r="17108">
      <c r="A17108" s="3" t="s">
        <v>33178</v>
      </c>
      <c r="B17108" s="3" t="s">
        <v>14276</v>
      </c>
      <c r="C17108" s="5" t="s">
        <v>45</v>
      </c>
      <c r="D17108" s="3" t="s">
        <v>221</v>
      </c>
      <c r="E17108" s="3" t="s">
        <v>253</v>
      </c>
      <c r="F17108" s="7">
        <v>46077.32013879752</v>
      </c>
      <c r="G17108" s="3" t="s">
        <v>5349</v>
      </c>
    </row>
    <row r="17109">
      <c r="A17109" s="3" t="s">
        <v>33179</v>
      </c>
      <c r="B17109" s="3" t="s">
        <v>14276</v>
      </c>
      <c r="C17109" s="5" t="s">
        <v>221</v>
      </c>
      <c r="D17109" s="3" t="s">
        <v>614</v>
      </c>
      <c r="E17109" s="3" t="s">
        <v>118</v>
      </c>
      <c r="F17109" s="7">
        <v>46077.32361101974</v>
      </c>
      <c r="G17109" s="3" t="s">
        <v>5352</v>
      </c>
    </row>
    <row r="17110">
      <c r="A17110" s="3" t="s">
        <v>33180</v>
      </c>
      <c r="B17110" s="3" t="s">
        <v>14276</v>
      </c>
      <c r="C17110" s="5" t="s">
        <v>614</v>
      </c>
      <c r="D17110" s="3" t="s">
        <v>206</v>
      </c>
      <c r="E17110" s="3" t="s">
        <v>100</v>
      </c>
      <c r="F17110" s="7">
        <v>46077.327083241966</v>
      </c>
      <c r="G17110" s="3" t="s">
        <v>5355</v>
      </c>
    </row>
    <row r="17111">
      <c r="A17111" s="3" t="s">
        <v>33181</v>
      </c>
      <c r="B17111" s="3" t="s">
        <v>14276</v>
      </c>
      <c r="C17111" s="5" t="s">
        <v>206</v>
      </c>
      <c r="D17111" s="3" t="s">
        <v>68</v>
      </c>
      <c r="E17111" s="3" t="s">
        <v>100</v>
      </c>
      <c r="F17111" s="7">
        <v>46077.330555464185</v>
      </c>
      <c r="G17111" s="3" t="s">
        <v>5358</v>
      </c>
    </row>
    <row r="17112">
      <c r="A17112" s="3" t="s">
        <v>33182</v>
      </c>
      <c r="B17112" s="3" t="s">
        <v>14279</v>
      </c>
      <c r="C17112" s="5" t="s">
        <v>45</v>
      </c>
      <c r="D17112" s="3" t="s">
        <v>221</v>
      </c>
      <c r="E17112" s="3" t="s">
        <v>637</v>
      </c>
      <c r="F17112" s="7">
        <v>46077.39131364294</v>
      </c>
      <c r="G17112" s="3" t="s">
        <v>20670</v>
      </c>
    </row>
    <row r="17113">
      <c r="A17113" s="3" t="s">
        <v>33183</v>
      </c>
      <c r="B17113" s="3" t="s">
        <v>14279</v>
      </c>
      <c r="C17113" s="5" t="s">
        <v>221</v>
      </c>
      <c r="D17113" s="3" t="s">
        <v>614</v>
      </c>
      <c r="E17113" s="3" t="s">
        <v>118</v>
      </c>
      <c r="F17113" s="7">
        <v>46077.39478586516</v>
      </c>
      <c r="G17113" s="3" t="s">
        <v>20672</v>
      </c>
    </row>
    <row r="17114">
      <c r="A17114" s="3" t="s">
        <v>33184</v>
      </c>
      <c r="B17114" s="3" t="s">
        <v>14279</v>
      </c>
      <c r="C17114" s="5" t="s">
        <v>614</v>
      </c>
      <c r="D17114" s="3" t="s">
        <v>206</v>
      </c>
      <c r="E17114" s="3" t="s">
        <v>100</v>
      </c>
      <c r="F17114" s="7">
        <v>46077.398258087385</v>
      </c>
      <c r="G17114" s="3" t="s">
        <v>20675</v>
      </c>
    </row>
    <row r="17115">
      <c r="A17115" s="3" t="s">
        <v>33185</v>
      </c>
      <c r="B17115" s="3" t="s">
        <v>14279</v>
      </c>
      <c r="C17115" s="5" t="s">
        <v>206</v>
      </c>
      <c r="D17115" s="3" t="s">
        <v>68</v>
      </c>
      <c r="E17115" s="3" t="s">
        <v>100</v>
      </c>
      <c r="F17115" s="7">
        <v>46077.401730309604</v>
      </c>
      <c r="G17115" s="3" t="s">
        <v>20678</v>
      </c>
    </row>
    <row r="17116">
      <c r="A17116" s="3" t="s">
        <v>33186</v>
      </c>
      <c r="B17116" s="3" t="s">
        <v>14282</v>
      </c>
      <c r="C17116" s="5" t="s">
        <v>45</v>
      </c>
      <c r="D17116" s="3" t="s">
        <v>221</v>
      </c>
      <c r="E17116" s="3" t="s">
        <v>519</v>
      </c>
      <c r="F17116" s="7">
        <v>46077.46248848836</v>
      </c>
      <c r="G17116" s="3" t="s">
        <v>7117</v>
      </c>
    </row>
    <row r="17117">
      <c r="A17117" s="3" t="s">
        <v>33187</v>
      </c>
      <c r="B17117" s="3" t="s">
        <v>14282</v>
      </c>
      <c r="C17117" s="5" t="s">
        <v>221</v>
      </c>
      <c r="D17117" s="3" t="s">
        <v>614</v>
      </c>
      <c r="E17117" s="3" t="s">
        <v>118</v>
      </c>
      <c r="F17117" s="7">
        <v>46077.46596071058</v>
      </c>
      <c r="G17117" s="3" t="s">
        <v>7120</v>
      </c>
    </row>
    <row r="17118">
      <c r="A17118" s="3" t="s">
        <v>33188</v>
      </c>
      <c r="B17118" s="3" t="s">
        <v>14282</v>
      </c>
      <c r="C17118" s="5" t="s">
        <v>614</v>
      </c>
      <c r="D17118" s="3" t="s">
        <v>206</v>
      </c>
      <c r="E17118" s="3" t="s">
        <v>100</v>
      </c>
      <c r="F17118" s="7">
        <v>46077.469432932805</v>
      </c>
      <c r="G17118" s="3" t="s">
        <v>7123</v>
      </c>
    </row>
    <row r="17119">
      <c r="A17119" s="3" t="s">
        <v>33189</v>
      </c>
      <c r="B17119" s="3" t="s">
        <v>14282</v>
      </c>
      <c r="C17119" s="5" t="s">
        <v>206</v>
      </c>
      <c r="D17119" s="3" t="s">
        <v>68</v>
      </c>
      <c r="E17119" s="3" t="s">
        <v>100</v>
      </c>
      <c r="F17119" s="7">
        <v>46077.472905155024</v>
      </c>
      <c r="G17119" s="3" t="s">
        <v>7126</v>
      </c>
    </row>
    <row r="17120">
      <c r="A17120" s="3" t="s">
        <v>33190</v>
      </c>
      <c r="B17120" s="3" t="s">
        <v>14285</v>
      </c>
      <c r="C17120" s="5" t="s">
        <v>45</v>
      </c>
      <c r="D17120" s="3" t="s">
        <v>221</v>
      </c>
      <c r="E17120" s="3" t="s">
        <v>848</v>
      </c>
      <c r="F17120" s="7">
        <v>46077.533663333765</v>
      </c>
      <c r="G17120" s="3" t="s">
        <v>10017</v>
      </c>
    </row>
    <row r="17121">
      <c r="A17121" s="3" t="s">
        <v>33191</v>
      </c>
      <c r="B17121" s="3" t="s">
        <v>14285</v>
      </c>
      <c r="C17121" s="5" t="s">
        <v>221</v>
      </c>
      <c r="D17121" s="3" t="s">
        <v>614</v>
      </c>
      <c r="E17121" s="3" t="s">
        <v>118</v>
      </c>
      <c r="F17121" s="7">
        <v>46077.537135555984</v>
      </c>
      <c r="G17121" s="3" t="s">
        <v>10020</v>
      </c>
    </row>
    <row r="17122">
      <c r="A17122" s="3" t="s">
        <v>33192</v>
      </c>
      <c r="B17122" s="3" t="s">
        <v>14285</v>
      </c>
      <c r="C17122" s="5" t="s">
        <v>614</v>
      </c>
      <c r="D17122" s="3" t="s">
        <v>206</v>
      </c>
      <c r="E17122" s="3" t="s">
        <v>100</v>
      </c>
      <c r="F17122" s="7">
        <v>46077.54060777821</v>
      </c>
      <c r="G17122" s="3" t="s">
        <v>10023</v>
      </c>
    </row>
    <row r="17123">
      <c r="A17123" s="3" t="s">
        <v>33193</v>
      </c>
      <c r="B17123" s="3" t="s">
        <v>14285</v>
      </c>
      <c r="C17123" s="5" t="s">
        <v>206</v>
      </c>
      <c r="D17123" s="3" t="s">
        <v>68</v>
      </c>
      <c r="E17123" s="3" t="s">
        <v>100</v>
      </c>
      <c r="F17123" s="7">
        <v>46077.54408000043</v>
      </c>
      <c r="G17123" s="3" t="s">
        <v>10027</v>
      </c>
    </row>
    <row r="17124">
      <c r="A17124" s="3" t="s">
        <v>33194</v>
      </c>
      <c r="B17124" s="3" t="s">
        <v>14288</v>
      </c>
      <c r="C17124" s="5" t="s">
        <v>45</v>
      </c>
      <c r="D17124" s="3" t="s">
        <v>221</v>
      </c>
      <c r="E17124" s="3" t="s">
        <v>760</v>
      </c>
      <c r="F17124" s="7">
        <v>46077.604838179184</v>
      </c>
      <c r="G17124" s="3" t="s">
        <v>8535</v>
      </c>
    </row>
    <row r="17125">
      <c r="A17125" s="3" t="s">
        <v>33195</v>
      </c>
      <c r="B17125" s="3" t="s">
        <v>14288</v>
      </c>
      <c r="C17125" s="5" t="s">
        <v>221</v>
      </c>
      <c r="D17125" s="3" t="s">
        <v>614</v>
      </c>
      <c r="E17125" s="3" t="s">
        <v>118</v>
      </c>
      <c r="F17125" s="7">
        <v>46077.6083104014</v>
      </c>
      <c r="G17125" s="3" t="s">
        <v>8537</v>
      </c>
    </row>
    <row r="17126">
      <c r="A17126" s="3" t="s">
        <v>33196</v>
      </c>
      <c r="B17126" s="3" t="s">
        <v>14288</v>
      </c>
      <c r="C17126" s="5" t="s">
        <v>614</v>
      </c>
      <c r="D17126" s="3" t="s">
        <v>206</v>
      </c>
      <c r="E17126" s="3" t="s">
        <v>100</v>
      </c>
      <c r="F17126" s="7">
        <v>46077.61178262363</v>
      </c>
      <c r="G17126" s="3" t="s">
        <v>8540</v>
      </c>
    </row>
    <row r="17127">
      <c r="A17127" s="3" t="s">
        <v>33197</v>
      </c>
      <c r="B17127" s="3" t="s">
        <v>14288</v>
      </c>
      <c r="C17127" s="5" t="s">
        <v>206</v>
      </c>
      <c r="D17127" s="3" t="s">
        <v>68</v>
      </c>
      <c r="E17127" s="3" t="s">
        <v>100</v>
      </c>
      <c r="F17127" s="7">
        <v>46077.61525484585</v>
      </c>
      <c r="G17127" s="3" t="s">
        <v>8543</v>
      </c>
    </row>
    <row r="17128">
      <c r="A17128" s="3" t="s">
        <v>33198</v>
      </c>
      <c r="B17128" s="3" t="s">
        <v>14291</v>
      </c>
      <c r="C17128" s="5" t="s">
        <v>45</v>
      </c>
      <c r="D17128" s="3" t="s">
        <v>221</v>
      </c>
      <c r="E17128" s="3" t="s">
        <v>676</v>
      </c>
      <c r="F17128" s="7">
        <v>46077.676013024604</v>
      </c>
      <c r="G17128" s="3" t="s">
        <v>27715</v>
      </c>
    </row>
    <row r="17129">
      <c r="A17129" s="3" t="s">
        <v>33199</v>
      </c>
      <c r="B17129" s="3" t="s">
        <v>14291</v>
      </c>
      <c r="C17129" s="5" t="s">
        <v>221</v>
      </c>
      <c r="D17129" s="3" t="s">
        <v>614</v>
      </c>
      <c r="E17129" s="3" t="s">
        <v>118</v>
      </c>
      <c r="F17129" s="7">
        <v>46077.67948524682</v>
      </c>
      <c r="G17129" s="3" t="s">
        <v>27717</v>
      </c>
    </row>
    <row r="17130">
      <c r="A17130" s="3" t="s">
        <v>33200</v>
      </c>
      <c r="B17130" s="3" t="s">
        <v>14291</v>
      </c>
      <c r="C17130" s="5" t="s">
        <v>614</v>
      </c>
      <c r="D17130" s="3" t="s">
        <v>206</v>
      </c>
      <c r="E17130" s="3" t="s">
        <v>100</v>
      </c>
      <c r="F17130" s="7">
        <v>46077.68295746905</v>
      </c>
      <c r="G17130" s="3" t="s">
        <v>27719</v>
      </c>
    </row>
    <row r="17131">
      <c r="A17131" s="3" t="s">
        <v>33201</v>
      </c>
      <c r="B17131" s="3" t="s">
        <v>14291</v>
      </c>
      <c r="C17131" s="5" t="s">
        <v>206</v>
      </c>
      <c r="D17131" s="3" t="s">
        <v>68</v>
      </c>
      <c r="E17131" s="3" t="s">
        <v>100</v>
      </c>
      <c r="F17131" s="7">
        <v>46077.68642969127</v>
      </c>
      <c r="G17131" s="3" t="s">
        <v>27721</v>
      </c>
    </row>
    <row r="17132">
      <c r="A17132" s="3" t="s">
        <v>33202</v>
      </c>
      <c r="B17132" s="3" t="s">
        <v>14295</v>
      </c>
      <c r="C17132" s="5" t="s">
        <v>45</v>
      </c>
      <c r="D17132" s="3" t="s">
        <v>221</v>
      </c>
      <c r="E17132" s="3" t="s">
        <v>830</v>
      </c>
      <c r="F17132" s="7">
        <v>46077.747187870016</v>
      </c>
      <c r="G17132" s="3" t="s">
        <v>8414</v>
      </c>
    </row>
    <row r="17133">
      <c r="A17133" s="3" t="s">
        <v>33203</v>
      </c>
      <c r="B17133" s="3" t="s">
        <v>14295</v>
      </c>
      <c r="C17133" s="5" t="s">
        <v>221</v>
      </c>
      <c r="D17133" s="3" t="s">
        <v>614</v>
      </c>
      <c r="E17133" s="3" t="s">
        <v>118</v>
      </c>
      <c r="F17133" s="7">
        <v>46077.750660092235</v>
      </c>
      <c r="G17133" s="3" t="s">
        <v>8416</v>
      </c>
    </row>
    <row r="17134">
      <c r="A17134" s="3" t="s">
        <v>33204</v>
      </c>
      <c r="B17134" s="3" t="s">
        <v>14295</v>
      </c>
      <c r="C17134" s="5" t="s">
        <v>614</v>
      </c>
      <c r="D17134" s="3" t="s">
        <v>206</v>
      </c>
      <c r="E17134" s="3" t="s">
        <v>100</v>
      </c>
      <c r="F17134" s="7">
        <v>46077.75413231446</v>
      </c>
      <c r="G17134" s="3" t="s">
        <v>8419</v>
      </c>
    </row>
    <row r="17135">
      <c r="A17135" s="3" t="s">
        <v>33205</v>
      </c>
      <c r="B17135" s="3" t="s">
        <v>14295</v>
      </c>
      <c r="C17135" s="5" t="s">
        <v>206</v>
      </c>
      <c r="D17135" s="3" t="s">
        <v>68</v>
      </c>
      <c r="E17135" s="3" t="s">
        <v>100</v>
      </c>
      <c r="F17135" s="7">
        <v>46077.75760453668</v>
      </c>
      <c r="G17135" s="3" t="s">
        <v>8422</v>
      </c>
    </row>
    <row r="17136">
      <c r="A17136" s="3" t="s">
        <v>33206</v>
      </c>
      <c r="B17136" s="3" t="s">
        <v>14297</v>
      </c>
      <c r="C17136" s="5" t="s">
        <v>45</v>
      </c>
      <c r="D17136" s="3" t="s">
        <v>221</v>
      </c>
      <c r="E17136" s="3" t="s">
        <v>391</v>
      </c>
      <c r="F17136" s="7">
        <v>46077.81836271543</v>
      </c>
      <c r="G17136" s="3" t="s">
        <v>8436</v>
      </c>
    </row>
    <row r="17137">
      <c r="A17137" s="3" t="s">
        <v>33207</v>
      </c>
      <c r="B17137" s="3" t="s">
        <v>14297</v>
      </c>
      <c r="C17137" s="5" t="s">
        <v>221</v>
      </c>
      <c r="D17137" s="3" t="s">
        <v>614</v>
      </c>
      <c r="E17137" s="3" t="s">
        <v>118</v>
      </c>
      <c r="F17137" s="7">
        <v>46077.82183493765</v>
      </c>
      <c r="G17137" s="3" t="s">
        <v>8439</v>
      </c>
    </row>
    <row r="17138">
      <c r="A17138" s="3" t="s">
        <v>33208</v>
      </c>
      <c r="B17138" s="3" t="s">
        <v>14297</v>
      </c>
      <c r="C17138" s="5" t="s">
        <v>614</v>
      </c>
      <c r="D17138" s="3" t="s">
        <v>206</v>
      </c>
      <c r="E17138" s="3" t="s">
        <v>100</v>
      </c>
      <c r="F17138" s="7">
        <v>46077.825307159874</v>
      </c>
      <c r="G17138" s="3" t="s">
        <v>8442</v>
      </c>
    </row>
    <row r="17139">
      <c r="A17139" s="3" t="s">
        <v>33209</v>
      </c>
      <c r="B17139" s="3" t="s">
        <v>14297</v>
      </c>
      <c r="C17139" s="5" t="s">
        <v>206</v>
      </c>
      <c r="D17139" s="3" t="s">
        <v>68</v>
      </c>
      <c r="E17139" s="3" t="s">
        <v>100</v>
      </c>
      <c r="F17139" s="7">
        <v>46077.82877938209</v>
      </c>
      <c r="G17139" s="3" t="s">
        <v>8444</v>
      </c>
    </row>
    <row r="17140">
      <c r="A17140" s="3" t="s">
        <v>33210</v>
      </c>
      <c r="B17140" s="3" t="s">
        <v>14300</v>
      </c>
      <c r="C17140" s="5" t="s">
        <v>45</v>
      </c>
      <c r="D17140" s="3" t="s">
        <v>221</v>
      </c>
      <c r="E17140" s="3" t="s">
        <v>322</v>
      </c>
      <c r="F17140" s="7">
        <v>46077.88953756085</v>
      </c>
      <c r="G17140" s="3" t="s">
        <v>8447</v>
      </c>
    </row>
    <row r="17141">
      <c r="A17141" s="3" t="s">
        <v>33211</v>
      </c>
      <c r="B17141" s="3" t="s">
        <v>14300</v>
      </c>
      <c r="C17141" s="5" t="s">
        <v>221</v>
      </c>
      <c r="D17141" s="3" t="s">
        <v>614</v>
      </c>
      <c r="E17141" s="3" t="s">
        <v>118</v>
      </c>
      <c r="F17141" s="7">
        <v>46077.89300978307</v>
      </c>
      <c r="G17141" s="3" t="s">
        <v>8450</v>
      </c>
    </row>
    <row r="17142">
      <c r="A17142" s="3" t="s">
        <v>33212</v>
      </c>
      <c r="B17142" s="3" t="s">
        <v>14300</v>
      </c>
      <c r="C17142" s="5" t="s">
        <v>614</v>
      </c>
      <c r="D17142" s="3" t="s">
        <v>206</v>
      </c>
      <c r="E17142" s="3" t="s">
        <v>100</v>
      </c>
      <c r="F17142" s="7">
        <v>46077.89648200529</v>
      </c>
      <c r="G17142" s="3" t="s">
        <v>8453</v>
      </c>
    </row>
    <row r="17143">
      <c r="A17143" s="3" t="s">
        <v>33213</v>
      </c>
      <c r="B17143" s="3" t="s">
        <v>14300</v>
      </c>
      <c r="C17143" s="5" t="s">
        <v>206</v>
      </c>
      <c r="D17143" s="3" t="s">
        <v>68</v>
      </c>
      <c r="E17143" s="3" t="s">
        <v>100</v>
      </c>
      <c r="F17143" s="7">
        <v>46077.89995422751</v>
      </c>
      <c r="G17143" s="3" t="s">
        <v>8456</v>
      </c>
    </row>
    <row r="17144">
      <c r="A17144" s="3" t="s">
        <v>33214</v>
      </c>
      <c r="B17144" s="3" t="s">
        <v>14303</v>
      </c>
      <c r="C17144" s="5" t="s">
        <v>45</v>
      </c>
      <c r="D17144" s="3" t="s">
        <v>221</v>
      </c>
      <c r="E17144" s="3" t="s">
        <v>609</v>
      </c>
      <c r="F17144" s="7">
        <v>46077.96071240626</v>
      </c>
      <c r="G17144" s="3" t="s">
        <v>4164</v>
      </c>
    </row>
    <row r="17145">
      <c r="A17145" s="3" t="s">
        <v>33215</v>
      </c>
      <c r="B17145" s="3" t="s">
        <v>14303</v>
      </c>
      <c r="C17145" s="5" t="s">
        <v>221</v>
      </c>
      <c r="D17145" s="3" t="s">
        <v>614</v>
      </c>
      <c r="E17145" s="3" t="s">
        <v>118</v>
      </c>
      <c r="F17145" s="7">
        <v>46077.96418462848</v>
      </c>
      <c r="G17145" s="3" t="s">
        <v>4167</v>
      </c>
    </row>
    <row r="17146">
      <c r="A17146" s="3" t="s">
        <v>33216</v>
      </c>
      <c r="B17146" s="3" t="s">
        <v>14303</v>
      </c>
      <c r="C17146" s="5" t="s">
        <v>614</v>
      </c>
      <c r="D17146" s="3" t="s">
        <v>206</v>
      </c>
      <c r="E17146" s="3" t="s">
        <v>100</v>
      </c>
      <c r="F17146" s="7">
        <v>46077.967656850706</v>
      </c>
      <c r="G17146" s="3" t="s">
        <v>4169</v>
      </c>
    </row>
    <row r="17147">
      <c r="A17147" s="3" t="s">
        <v>33217</v>
      </c>
      <c r="B17147" s="3" t="s">
        <v>14303</v>
      </c>
      <c r="C17147" s="5" t="s">
        <v>206</v>
      </c>
      <c r="D17147" s="3" t="s">
        <v>68</v>
      </c>
      <c r="E17147" s="3" t="s">
        <v>100</v>
      </c>
      <c r="F17147" s="7">
        <v>46077.971129072925</v>
      </c>
      <c r="G17147" s="3" t="s">
        <v>4172</v>
      </c>
    </row>
    <row r="17148">
      <c r="A17148" s="3" t="s">
        <v>33218</v>
      </c>
      <c r="B17148" s="3" t="s">
        <v>14308</v>
      </c>
      <c r="C17148" s="5" t="s">
        <v>45</v>
      </c>
      <c r="D17148" s="3" t="s">
        <v>221</v>
      </c>
      <c r="E17148" s="3" t="s">
        <v>253</v>
      </c>
      <c r="F17148" s="7">
        <v>46078.03188725167</v>
      </c>
      <c r="G17148" s="3" t="s">
        <v>8478</v>
      </c>
    </row>
    <row r="17149">
      <c r="A17149" s="3" t="s">
        <v>33219</v>
      </c>
      <c r="B17149" s="3" t="s">
        <v>14308</v>
      </c>
      <c r="C17149" s="5" t="s">
        <v>221</v>
      </c>
      <c r="D17149" s="3" t="s">
        <v>614</v>
      </c>
      <c r="E17149" s="3" t="s">
        <v>118</v>
      </c>
      <c r="F17149" s="7">
        <v>46078.03535947389</v>
      </c>
      <c r="G17149" s="3" t="s">
        <v>8481</v>
      </c>
    </row>
    <row r="17150">
      <c r="A17150" s="3" t="s">
        <v>33220</v>
      </c>
      <c r="B17150" s="3" t="s">
        <v>14308</v>
      </c>
      <c r="C17150" s="5" t="s">
        <v>614</v>
      </c>
      <c r="D17150" s="3" t="s">
        <v>206</v>
      </c>
      <c r="E17150" s="3" t="s">
        <v>100</v>
      </c>
      <c r="F17150" s="7">
        <v>46078.03883169612</v>
      </c>
      <c r="G17150" s="3" t="s">
        <v>8484</v>
      </c>
    </row>
    <row r="17151">
      <c r="A17151" s="3" t="s">
        <v>33221</v>
      </c>
      <c r="B17151" s="3" t="s">
        <v>14308</v>
      </c>
      <c r="C17151" s="5" t="s">
        <v>206</v>
      </c>
      <c r="D17151" s="3" t="s">
        <v>68</v>
      </c>
      <c r="E17151" s="3" t="s">
        <v>100</v>
      </c>
      <c r="F17151" s="7">
        <v>46078.04230391834</v>
      </c>
      <c r="G17151" s="3" t="s">
        <v>8487</v>
      </c>
    </row>
    <row r="17152">
      <c r="A17152" s="3" t="s">
        <v>33222</v>
      </c>
      <c r="B17152" s="3" t="s">
        <v>14311</v>
      </c>
      <c r="C17152" s="5" t="s">
        <v>45</v>
      </c>
      <c r="D17152" s="3" t="s">
        <v>221</v>
      </c>
      <c r="E17152" s="3" t="s">
        <v>369</v>
      </c>
      <c r="F17152" s="7">
        <v>46078.10306209709</v>
      </c>
      <c r="G17152" s="3" t="s">
        <v>2770</v>
      </c>
    </row>
    <row r="17153">
      <c r="A17153" s="3" t="s">
        <v>33223</v>
      </c>
      <c r="B17153" s="3" t="s">
        <v>14311</v>
      </c>
      <c r="C17153" s="5" t="s">
        <v>221</v>
      </c>
      <c r="D17153" s="3" t="s">
        <v>195</v>
      </c>
      <c r="E17153" s="3" t="s">
        <v>369</v>
      </c>
      <c r="F17153" s="7">
        <v>46078.10653431931</v>
      </c>
      <c r="G17153" s="3" t="s">
        <v>3055</v>
      </c>
    </row>
    <row r="17154">
      <c r="A17154" s="3" t="s">
        <v>33224</v>
      </c>
      <c r="B17154" s="3" t="s">
        <v>14314</v>
      </c>
      <c r="C17154" s="5" t="s">
        <v>45</v>
      </c>
      <c r="D17154" s="3" t="s">
        <v>221</v>
      </c>
      <c r="E17154" s="3" t="s">
        <v>694</v>
      </c>
      <c r="F17154" s="7">
        <v>46078.174236942505</v>
      </c>
      <c r="G17154" s="3" t="s">
        <v>16178</v>
      </c>
    </row>
    <row r="17155">
      <c r="A17155" s="3" t="s">
        <v>33225</v>
      </c>
      <c r="B17155" s="3" t="s">
        <v>14314</v>
      </c>
      <c r="C17155" s="5" t="s">
        <v>221</v>
      </c>
      <c r="D17155" s="3" t="s">
        <v>614</v>
      </c>
      <c r="E17155" s="3" t="s">
        <v>118</v>
      </c>
      <c r="F17155" s="7">
        <v>46078.17770916472</v>
      </c>
      <c r="G17155" s="3" t="s">
        <v>16181</v>
      </c>
    </row>
    <row r="17156">
      <c r="A17156" s="3" t="s">
        <v>33226</v>
      </c>
      <c r="B17156" s="3" t="s">
        <v>14314</v>
      </c>
      <c r="C17156" s="5" t="s">
        <v>614</v>
      </c>
      <c r="D17156" s="3" t="s">
        <v>206</v>
      </c>
      <c r="E17156" s="3" t="s">
        <v>100</v>
      </c>
      <c r="F17156" s="7">
        <v>46078.18118138695</v>
      </c>
      <c r="G17156" s="3" t="s">
        <v>16184</v>
      </c>
    </row>
    <row r="17157">
      <c r="A17157" s="3" t="s">
        <v>33227</v>
      </c>
      <c r="B17157" s="3" t="s">
        <v>14314</v>
      </c>
      <c r="C17157" s="5" t="s">
        <v>206</v>
      </c>
      <c r="D17157" s="3" t="s">
        <v>68</v>
      </c>
      <c r="E17157" s="3" t="s">
        <v>100</v>
      </c>
      <c r="F17157" s="7">
        <v>46078.18465360917</v>
      </c>
      <c r="G17157" s="3" t="s">
        <v>16186</v>
      </c>
    </row>
    <row r="17158">
      <c r="A17158" s="3" t="s">
        <v>33228</v>
      </c>
      <c r="B17158" s="3" t="s">
        <v>14318</v>
      </c>
      <c r="C17158" s="5" t="s">
        <v>45</v>
      </c>
      <c r="D17158" s="3" t="s">
        <v>221</v>
      </c>
      <c r="E17158" s="3" t="s">
        <v>498</v>
      </c>
      <c r="F17158" s="7">
        <v>46078.24541178792</v>
      </c>
      <c r="G17158" s="3" t="s">
        <v>10003</v>
      </c>
    </row>
    <row r="17159">
      <c r="A17159" s="3" t="s">
        <v>33229</v>
      </c>
      <c r="B17159" s="3" t="s">
        <v>14318</v>
      </c>
      <c r="C17159" s="5" t="s">
        <v>221</v>
      </c>
      <c r="D17159" s="3" t="s">
        <v>614</v>
      </c>
      <c r="E17159" s="3" t="s">
        <v>118</v>
      </c>
      <c r="F17159" s="7">
        <v>46078.248884010136</v>
      </c>
      <c r="G17159" s="3" t="s">
        <v>10007</v>
      </c>
    </row>
    <row r="17160">
      <c r="A17160" s="3" t="s">
        <v>33230</v>
      </c>
      <c r="B17160" s="3" t="s">
        <v>14318</v>
      </c>
      <c r="C17160" s="5" t="s">
        <v>614</v>
      </c>
      <c r="D17160" s="3" t="s">
        <v>206</v>
      </c>
      <c r="E17160" s="3" t="s">
        <v>100</v>
      </c>
      <c r="F17160" s="7">
        <v>46078.25235623236</v>
      </c>
      <c r="G17160" s="3" t="s">
        <v>10010</v>
      </c>
    </row>
    <row r="17161">
      <c r="A17161" s="3" t="s">
        <v>33231</v>
      </c>
      <c r="B17161" s="3" t="s">
        <v>14318</v>
      </c>
      <c r="C17161" s="5" t="s">
        <v>206</v>
      </c>
      <c r="D17161" s="3" t="s">
        <v>68</v>
      </c>
      <c r="E17161" s="3" t="s">
        <v>100</v>
      </c>
      <c r="F17161" s="7">
        <v>46078.25582845458</v>
      </c>
      <c r="G17161" s="3" t="s">
        <v>10013</v>
      </c>
    </row>
    <row r="17162">
      <c r="A17162" s="3" t="s">
        <v>33232</v>
      </c>
      <c r="B17162" s="3" t="s">
        <v>14320</v>
      </c>
      <c r="C17162" s="5" t="s">
        <v>45</v>
      </c>
      <c r="D17162" s="3" t="s">
        <v>221</v>
      </c>
      <c r="E17162" s="3" t="s">
        <v>186</v>
      </c>
      <c r="F17162" s="7">
        <v>46078.31658663334</v>
      </c>
      <c r="G17162" s="3" t="s">
        <v>25401</v>
      </c>
    </row>
    <row r="17163">
      <c r="A17163" s="3" t="s">
        <v>33233</v>
      </c>
      <c r="B17163" s="3" t="s">
        <v>14320</v>
      </c>
      <c r="C17163" s="5" t="s">
        <v>221</v>
      </c>
      <c r="D17163" s="3" t="s">
        <v>614</v>
      </c>
      <c r="E17163" s="3" t="s">
        <v>118</v>
      </c>
      <c r="F17163" s="7">
        <v>46078.320058855556</v>
      </c>
      <c r="G17163" s="3" t="s">
        <v>25403</v>
      </c>
    </row>
    <row r="17164">
      <c r="A17164" s="3" t="s">
        <v>33234</v>
      </c>
      <c r="B17164" s="3" t="s">
        <v>14320</v>
      </c>
      <c r="C17164" s="5" t="s">
        <v>614</v>
      </c>
      <c r="D17164" s="3" t="s">
        <v>206</v>
      </c>
      <c r="E17164" s="3" t="s">
        <v>100</v>
      </c>
      <c r="F17164" s="7">
        <v>46078.32353107778</v>
      </c>
      <c r="G17164" s="3" t="s">
        <v>25405</v>
      </c>
    </row>
    <row r="17165">
      <c r="A17165" s="3" t="s">
        <v>33235</v>
      </c>
      <c r="B17165" s="3" t="s">
        <v>14320</v>
      </c>
      <c r="C17165" s="5" t="s">
        <v>206</v>
      </c>
      <c r="D17165" s="3" t="s">
        <v>68</v>
      </c>
      <c r="E17165" s="3" t="s">
        <v>100</v>
      </c>
      <c r="F17165" s="7">
        <v>46078.3270033</v>
      </c>
      <c r="G17165" s="3" t="s">
        <v>25407</v>
      </c>
    </row>
    <row r="17166">
      <c r="A17166" s="3" t="s">
        <v>33236</v>
      </c>
      <c r="B17166" s="3" t="s">
        <v>14323</v>
      </c>
      <c r="C17166" s="5" t="s">
        <v>45</v>
      </c>
      <c r="D17166" s="3" t="s">
        <v>221</v>
      </c>
      <c r="E17166" s="3" t="s">
        <v>380</v>
      </c>
      <c r="F17166" s="7">
        <v>46078.38776147875</v>
      </c>
      <c r="G17166" s="3" t="s">
        <v>8489</v>
      </c>
    </row>
    <row r="17167">
      <c r="A17167" s="3" t="s">
        <v>33237</v>
      </c>
      <c r="B17167" s="3" t="s">
        <v>14323</v>
      </c>
      <c r="C17167" s="5" t="s">
        <v>221</v>
      </c>
      <c r="D17167" s="3" t="s">
        <v>614</v>
      </c>
      <c r="E17167" s="3" t="s">
        <v>118</v>
      </c>
      <c r="F17167" s="7">
        <v>46078.39123370097</v>
      </c>
      <c r="G17167" s="3" t="s">
        <v>8492</v>
      </c>
    </row>
    <row r="17168">
      <c r="A17168" s="3" t="s">
        <v>33238</v>
      </c>
      <c r="B17168" s="3" t="s">
        <v>14323</v>
      </c>
      <c r="C17168" s="5" t="s">
        <v>614</v>
      </c>
      <c r="D17168" s="3" t="s">
        <v>206</v>
      </c>
      <c r="E17168" s="3" t="s">
        <v>100</v>
      </c>
      <c r="F17168" s="7">
        <v>46078.394705923194</v>
      </c>
      <c r="G17168" s="3" t="s">
        <v>8495</v>
      </c>
    </row>
    <row r="17169">
      <c r="A17169" s="3" t="s">
        <v>33239</v>
      </c>
      <c r="B17169" s="3" t="s">
        <v>14323</v>
      </c>
      <c r="C17169" s="5" t="s">
        <v>206</v>
      </c>
      <c r="D17169" s="3" t="s">
        <v>68</v>
      </c>
      <c r="E17169" s="3" t="s">
        <v>100</v>
      </c>
      <c r="F17169" s="7">
        <v>46078.39817814541</v>
      </c>
      <c r="G17169" s="3" t="s">
        <v>8498</v>
      </c>
    </row>
    <row r="17170">
      <c r="A17170" s="3" t="s">
        <v>33240</v>
      </c>
      <c r="B17170" s="3" t="s">
        <v>14325</v>
      </c>
      <c r="C17170" s="5" t="s">
        <v>45</v>
      </c>
      <c r="D17170" s="3" t="s">
        <v>221</v>
      </c>
      <c r="E17170" s="3" t="s">
        <v>535</v>
      </c>
      <c r="F17170" s="7">
        <v>46078.45893632416</v>
      </c>
      <c r="G17170" s="3" t="s">
        <v>13014</v>
      </c>
    </row>
    <row r="17171">
      <c r="A17171" s="3" t="s">
        <v>33241</v>
      </c>
      <c r="B17171" s="3" t="s">
        <v>14325</v>
      </c>
      <c r="C17171" s="5" t="s">
        <v>221</v>
      </c>
      <c r="D17171" s="3" t="s">
        <v>614</v>
      </c>
      <c r="E17171" s="3" t="s">
        <v>118</v>
      </c>
      <c r="F17171" s="7">
        <v>46078.46240854638</v>
      </c>
      <c r="G17171" s="3" t="s">
        <v>13017</v>
      </c>
    </row>
    <row r="17172">
      <c r="A17172" s="3" t="s">
        <v>33242</v>
      </c>
      <c r="B17172" s="3" t="s">
        <v>14325</v>
      </c>
      <c r="C17172" s="5" t="s">
        <v>614</v>
      </c>
      <c r="D17172" s="3" t="s">
        <v>206</v>
      </c>
      <c r="E17172" s="3" t="s">
        <v>100</v>
      </c>
      <c r="F17172" s="7">
        <v>46078.46588076861</v>
      </c>
      <c r="G17172" s="3" t="s">
        <v>13020</v>
      </c>
    </row>
    <row r="17173">
      <c r="A17173" s="3" t="s">
        <v>33243</v>
      </c>
      <c r="B17173" s="3" t="s">
        <v>14325</v>
      </c>
      <c r="C17173" s="5" t="s">
        <v>206</v>
      </c>
      <c r="D17173" s="3" t="s">
        <v>68</v>
      </c>
      <c r="E17173" s="3" t="s">
        <v>100</v>
      </c>
      <c r="F17173" s="7">
        <v>46078.469352990825</v>
      </c>
      <c r="G17173" s="3" t="s">
        <v>13024</v>
      </c>
    </row>
    <row r="17174">
      <c r="A17174" s="3" t="s">
        <v>33244</v>
      </c>
      <c r="B17174" s="3" t="s">
        <v>14327</v>
      </c>
      <c r="C17174" s="5" t="s">
        <v>45</v>
      </c>
      <c r="D17174" s="3" t="s">
        <v>221</v>
      </c>
      <c r="E17174" s="3" t="s">
        <v>1028</v>
      </c>
      <c r="F17174" s="7">
        <v>46078.53011116958</v>
      </c>
      <c r="G17174" s="3" t="s">
        <v>16833</v>
      </c>
    </row>
    <row r="17175">
      <c r="A17175" s="3" t="s">
        <v>33245</v>
      </c>
      <c r="B17175" s="3" t="s">
        <v>14327</v>
      </c>
      <c r="C17175" s="5" t="s">
        <v>221</v>
      </c>
      <c r="D17175" s="3" t="s">
        <v>614</v>
      </c>
      <c r="E17175" s="3" t="s">
        <v>118</v>
      </c>
      <c r="F17175" s="7">
        <v>46078.5335833918</v>
      </c>
      <c r="G17175" s="3" t="s">
        <v>16836</v>
      </c>
    </row>
    <row r="17176">
      <c r="A17176" s="3" t="s">
        <v>33246</v>
      </c>
      <c r="B17176" s="3" t="s">
        <v>14327</v>
      </c>
      <c r="C17176" s="5" t="s">
        <v>614</v>
      </c>
      <c r="D17176" s="3" t="s">
        <v>206</v>
      </c>
      <c r="E17176" s="3" t="s">
        <v>100</v>
      </c>
      <c r="F17176" s="7">
        <v>46078.537055614026</v>
      </c>
      <c r="G17176" s="3" t="s">
        <v>16839</v>
      </c>
    </row>
    <row r="17177">
      <c r="A17177" s="3" t="s">
        <v>33247</v>
      </c>
      <c r="B17177" s="3" t="s">
        <v>14327</v>
      </c>
      <c r="C17177" s="5" t="s">
        <v>206</v>
      </c>
      <c r="D17177" s="3" t="s">
        <v>68</v>
      </c>
      <c r="E17177" s="3" t="s">
        <v>100</v>
      </c>
      <c r="F17177" s="7">
        <v>46078.540527836245</v>
      </c>
      <c r="G17177" s="3" t="s">
        <v>16842</v>
      </c>
    </row>
    <row r="17178">
      <c r="A17178" s="3" t="s">
        <v>33248</v>
      </c>
      <c r="B17178" s="3" t="s">
        <v>14330</v>
      </c>
      <c r="C17178" s="5" t="s">
        <v>45</v>
      </c>
      <c r="D17178" s="3" t="s">
        <v>221</v>
      </c>
      <c r="E17178" s="3" t="s">
        <v>243</v>
      </c>
      <c r="F17178" s="7">
        <v>46078.601286015</v>
      </c>
      <c r="G17178" s="3" t="s">
        <v>8501</v>
      </c>
    </row>
    <row r="17179">
      <c r="A17179" s="3" t="s">
        <v>33249</v>
      </c>
      <c r="B17179" s="3" t="s">
        <v>14330</v>
      </c>
      <c r="C17179" s="5" t="s">
        <v>221</v>
      </c>
      <c r="D17179" s="3" t="s">
        <v>614</v>
      </c>
      <c r="E17179" s="3" t="s">
        <v>118</v>
      </c>
      <c r="F17179" s="7">
        <v>46078.60475823722</v>
      </c>
      <c r="G17179" s="3" t="s">
        <v>8503</v>
      </c>
    </row>
    <row r="17180">
      <c r="A17180" s="3" t="s">
        <v>33250</v>
      </c>
      <c r="B17180" s="3" t="s">
        <v>14330</v>
      </c>
      <c r="C17180" s="5" t="s">
        <v>614</v>
      </c>
      <c r="D17180" s="3" t="s">
        <v>206</v>
      </c>
      <c r="E17180" s="3" t="s">
        <v>100</v>
      </c>
      <c r="F17180" s="7">
        <v>46078.608230459446</v>
      </c>
      <c r="G17180" s="3" t="s">
        <v>8506</v>
      </c>
    </row>
    <row r="17181">
      <c r="A17181" s="3" t="s">
        <v>33251</v>
      </c>
      <c r="B17181" s="3" t="s">
        <v>14330</v>
      </c>
      <c r="C17181" s="5" t="s">
        <v>206</v>
      </c>
      <c r="D17181" s="3" t="s">
        <v>68</v>
      </c>
      <c r="E17181" s="3" t="s">
        <v>100</v>
      </c>
      <c r="F17181" s="7">
        <v>46078.611702681665</v>
      </c>
      <c r="G17181" s="3" t="s">
        <v>8509</v>
      </c>
    </row>
    <row r="17182">
      <c r="A17182" s="3" t="s">
        <v>33252</v>
      </c>
      <c r="B17182" s="3" t="s">
        <v>14332</v>
      </c>
      <c r="C17182" s="5" t="s">
        <v>45</v>
      </c>
      <c r="D17182" s="3" t="s">
        <v>221</v>
      </c>
      <c r="E17182" s="3" t="s">
        <v>627</v>
      </c>
      <c r="F17182" s="7">
        <v>46078.672460860405</v>
      </c>
      <c r="G17182" s="3" t="s">
        <v>32575</v>
      </c>
    </row>
    <row r="17183">
      <c r="A17183" s="3" t="s">
        <v>33253</v>
      </c>
      <c r="B17183" s="3" t="s">
        <v>14332</v>
      </c>
      <c r="C17183" s="5" t="s">
        <v>221</v>
      </c>
      <c r="D17183" s="3" t="s">
        <v>614</v>
      </c>
      <c r="E17183" s="3" t="s">
        <v>118</v>
      </c>
      <c r="F17183" s="7">
        <v>46078.675933082624</v>
      </c>
      <c r="G17183" s="3" t="s">
        <v>32577</v>
      </c>
    </row>
    <row r="17184">
      <c r="A17184" s="3" t="s">
        <v>33254</v>
      </c>
      <c r="B17184" s="3" t="s">
        <v>14332</v>
      </c>
      <c r="C17184" s="5" t="s">
        <v>614</v>
      </c>
      <c r="D17184" s="3" t="s">
        <v>206</v>
      </c>
      <c r="E17184" s="3" t="s">
        <v>100</v>
      </c>
      <c r="F17184" s="7">
        <v>46078.67940530485</v>
      </c>
      <c r="G17184" s="3" t="s">
        <v>32579</v>
      </c>
    </row>
    <row r="17185">
      <c r="A17185" s="3" t="s">
        <v>33255</v>
      </c>
      <c r="B17185" s="3" t="s">
        <v>14332</v>
      </c>
      <c r="C17185" s="5" t="s">
        <v>206</v>
      </c>
      <c r="D17185" s="3" t="s">
        <v>68</v>
      </c>
      <c r="E17185" s="3" t="s">
        <v>100</v>
      </c>
      <c r="F17185" s="7">
        <v>46078.68287752707</v>
      </c>
      <c r="G17185" s="3" t="s">
        <v>32581</v>
      </c>
    </row>
    <row r="17186">
      <c r="A17186" s="3" t="s">
        <v>33256</v>
      </c>
      <c r="B17186" s="3" t="s">
        <v>14334</v>
      </c>
      <c r="C17186" s="5" t="s">
        <v>45</v>
      </c>
      <c r="D17186" s="3" t="s">
        <v>221</v>
      </c>
      <c r="E17186" s="3" t="s">
        <v>826</v>
      </c>
      <c r="F17186" s="7">
        <v>46078.743635705825</v>
      </c>
      <c r="G17186" s="3" t="s">
        <v>11577</v>
      </c>
    </row>
    <row r="17187">
      <c r="A17187" s="3" t="s">
        <v>33257</v>
      </c>
      <c r="B17187" s="3" t="s">
        <v>14334</v>
      </c>
      <c r="C17187" s="5" t="s">
        <v>221</v>
      </c>
      <c r="D17187" s="3" t="s">
        <v>195</v>
      </c>
      <c r="E17187" s="3" t="s">
        <v>826</v>
      </c>
      <c r="F17187" s="7">
        <v>46078.747107928044</v>
      </c>
      <c r="G17187" s="3" t="s">
        <v>25133</v>
      </c>
    </row>
    <row r="17188">
      <c r="A17188" s="3" t="s">
        <v>33258</v>
      </c>
      <c r="B17188" s="3" t="s">
        <v>14338</v>
      </c>
      <c r="C17188" s="5" t="s">
        <v>45</v>
      </c>
      <c r="D17188" s="3" t="s">
        <v>221</v>
      </c>
      <c r="E17188" s="3" t="s">
        <v>760</v>
      </c>
      <c r="F17188" s="7">
        <v>46078.814810551245</v>
      </c>
      <c r="G17188" s="3" t="s">
        <v>8557</v>
      </c>
    </row>
    <row r="17189">
      <c r="A17189" s="3" t="s">
        <v>33259</v>
      </c>
      <c r="B17189" s="3" t="s">
        <v>14338</v>
      </c>
      <c r="C17189" s="5" t="s">
        <v>221</v>
      </c>
      <c r="D17189" s="3" t="s">
        <v>614</v>
      </c>
      <c r="E17189" s="3" t="s">
        <v>118</v>
      </c>
      <c r="F17189" s="7">
        <v>46078.81828277346</v>
      </c>
      <c r="G17189" s="3" t="s">
        <v>8560</v>
      </c>
    </row>
    <row r="17190">
      <c r="A17190" s="3" t="s">
        <v>33260</v>
      </c>
      <c r="B17190" s="3" t="s">
        <v>14338</v>
      </c>
      <c r="C17190" s="5" t="s">
        <v>614</v>
      </c>
      <c r="D17190" s="3" t="s">
        <v>206</v>
      </c>
      <c r="E17190" s="3" t="s">
        <v>100</v>
      </c>
      <c r="F17190" s="7">
        <v>46078.82175499569</v>
      </c>
      <c r="G17190" s="3" t="s">
        <v>8563</v>
      </c>
    </row>
    <row r="17191">
      <c r="A17191" s="3" t="s">
        <v>33261</v>
      </c>
      <c r="B17191" s="3" t="s">
        <v>14338</v>
      </c>
      <c r="C17191" s="5" t="s">
        <v>206</v>
      </c>
      <c r="D17191" s="3" t="s">
        <v>68</v>
      </c>
      <c r="E17191" s="3" t="s">
        <v>100</v>
      </c>
      <c r="F17191" s="7">
        <v>46078.82522721791</v>
      </c>
      <c r="G17191" s="3" t="s">
        <v>8566</v>
      </c>
    </row>
    <row r="17192">
      <c r="A17192" s="3" t="s">
        <v>33262</v>
      </c>
      <c r="B17192" s="3" t="s">
        <v>14341</v>
      </c>
      <c r="C17192" s="5" t="s">
        <v>45</v>
      </c>
      <c r="D17192" s="3" t="s">
        <v>221</v>
      </c>
      <c r="E17192" s="3" t="s">
        <v>848</v>
      </c>
      <c r="F17192" s="7">
        <v>46078.88598539666</v>
      </c>
      <c r="G17192" s="3" t="s">
        <v>8580</v>
      </c>
    </row>
    <row r="17193">
      <c r="A17193" s="3" t="s">
        <v>33263</v>
      </c>
      <c r="B17193" s="3" t="s">
        <v>14341</v>
      </c>
      <c r="C17193" s="5" t="s">
        <v>221</v>
      </c>
      <c r="D17193" s="3" t="s">
        <v>614</v>
      </c>
      <c r="E17193" s="3" t="s">
        <v>118</v>
      </c>
      <c r="F17193" s="7">
        <v>46078.889457618876</v>
      </c>
      <c r="G17193" s="3" t="s">
        <v>8583</v>
      </c>
    </row>
    <row r="17194">
      <c r="A17194" s="3" t="s">
        <v>33264</v>
      </c>
      <c r="B17194" s="3" t="s">
        <v>14341</v>
      </c>
      <c r="C17194" s="5" t="s">
        <v>614</v>
      </c>
      <c r="D17194" s="3" t="s">
        <v>206</v>
      </c>
      <c r="E17194" s="3" t="s">
        <v>100</v>
      </c>
      <c r="F17194" s="7">
        <v>46078.8929298411</v>
      </c>
      <c r="G17194" s="3" t="s">
        <v>8586</v>
      </c>
    </row>
    <row r="17195">
      <c r="A17195" s="3" t="s">
        <v>33265</v>
      </c>
      <c r="B17195" s="3" t="s">
        <v>14341</v>
      </c>
      <c r="C17195" s="5" t="s">
        <v>206</v>
      </c>
      <c r="D17195" s="3" t="s">
        <v>68</v>
      </c>
      <c r="E17195" s="3" t="s">
        <v>100</v>
      </c>
      <c r="F17195" s="7">
        <v>46078.89640206332</v>
      </c>
      <c r="G17195" s="3" t="s">
        <v>8589</v>
      </c>
    </row>
    <row r="17196">
      <c r="A17196" s="3" t="s">
        <v>33266</v>
      </c>
      <c r="B17196" s="3" t="s">
        <v>14345</v>
      </c>
      <c r="C17196" s="5" t="s">
        <v>45</v>
      </c>
      <c r="D17196" s="3" t="s">
        <v>221</v>
      </c>
      <c r="E17196" s="3" t="s">
        <v>765</v>
      </c>
      <c r="F17196" s="7">
        <v>46078.95716024207</v>
      </c>
      <c r="G17196" s="3" t="s">
        <v>24642</v>
      </c>
    </row>
    <row r="17197">
      <c r="A17197" s="3" t="s">
        <v>33267</v>
      </c>
      <c r="B17197" s="3" t="s">
        <v>14345</v>
      </c>
      <c r="C17197" s="5" t="s">
        <v>221</v>
      </c>
      <c r="D17197" s="3" t="s">
        <v>614</v>
      </c>
      <c r="E17197" s="3" t="s">
        <v>118</v>
      </c>
      <c r="F17197" s="7">
        <v>46078.96063246429</v>
      </c>
      <c r="G17197" s="3" t="s">
        <v>24644</v>
      </c>
    </row>
    <row r="17198">
      <c r="A17198" s="3" t="s">
        <v>33268</v>
      </c>
      <c r="B17198" s="3" t="s">
        <v>14345</v>
      </c>
      <c r="C17198" s="5" t="s">
        <v>614</v>
      </c>
      <c r="D17198" s="3" t="s">
        <v>206</v>
      </c>
      <c r="E17198" s="3" t="s">
        <v>100</v>
      </c>
      <c r="F17198" s="7">
        <v>46078.964104686514</v>
      </c>
      <c r="G17198" s="3" t="s">
        <v>24646</v>
      </c>
    </row>
    <row r="17199">
      <c r="A17199" s="3" t="s">
        <v>33269</v>
      </c>
      <c r="B17199" s="3" t="s">
        <v>14345</v>
      </c>
      <c r="C17199" s="5" t="s">
        <v>206</v>
      </c>
      <c r="D17199" s="3" t="s">
        <v>68</v>
      </c>
      <c r="E17199" s="3" t="s">
        <v>100</v>
      </c>
      <c r="F17199" s="7">
        <v>46078.96757690873</v>
      </c>
      <c r="G17199" s="3" t="s">
        <v>24648</v>
      </c>
    </row>
    <row r="17200">
      <c r="A17200" s="3" t="s">
        <v>33270</v>
      </c>
      <c r="B17200" s="3" t="s">
        <v>14349</v>
      </c>
      <c r="C17200" s="5" t="s">
        <v>45</v>
      </c>
      <c r="D17200" s="3" t="s">
        <v>221</v>
      </c>
      <c r="E17200" s="3" t="s">
        <v>934</v>
      </c>
      <c r="F17200" s="7">
        <v>46079.02833508749</v>
      </c>
      <c r="G17200" s="3" t="s">
        <v>8599</v>
      </c>
    </row>
    <row r="17201">
      <c r="A17201" s="3" t="s">
        <v>33271</v>
      </c>
      <c r="B17201" s="3" t="s">
        <v>14349</v>
      </c>
      <c r="C17201" s="5" t="s">
        <v>221</v>
      </c>
      <c r="D17201" s="3" t="s">
        <v>614</v>
      </c>
      <c r="E17201" s="3" t="s">
        <v>118</v>
      </c>
      <c r="F17201" s="7">
        <v>46079.03180730971</v>
      </c>
      <c r="G17201" s="3" t="s">
        <v>8602</v>
      </c>
    </row>
    <row r="17202">
      <c r="A17202" s="3" t="s">
        <v>33272</v>
      </c>
      <c r="B17202" s="3" t="s">
        <v>14349</v>
      </c>
      <c r="C17202" s="5" t="s">
        <v>614</v>
      </c>
      <c r="D17202" s="3" t="s">
        <v>206</v>
      </c>
      <c r="E17202" s="3" t="s">
        <v>100</v>
      </c>
      <c r="F17202" s="7">
        <v>46079.035279531934</v>
      </c>
      <c r="G17202" s="3" t="s">
        <v>8605</v>
      </c>
    </row>
    <row r="17203">
      <c r="A17203" s="3" t="s">
        <v>33273</v>
      </c>
      <c r="B17203" s="3" t="s">
        <v>14349</v>
      </c>
      <c r="C17203" s="5" t="s">
        <v>206</v>
      </c>
      <c r="D17203" s="3" t="s">
        <v>68</v>
      </c>
      <c r="E17203" s="3" t="s">
        <v>100</v>
      </c>
      <c r="F17203" s="7">
        <v>46079.03875175415</v>
      </c>
      <c r="G17203" s="3" t="s">
        <v>8607</v>
      </c>
    </row>
    <row r="17204">
      <c r="A17204" s="3" t="s">
        <v>33274</v>
      </c>
      <c r="B17204" s="3" t="s">
        <v>14353</v>
      </c>
      <c r="C17204" s="5" t="s">
        <v>45</v>
      </c>
      <c r="D17204" s="3" t="s">
        <v>221</v>
      </c>
      <c r="E17204" s="3" t="s">
        <v>299</v>
      </c>
      <c r="F17204" s="7">
        <v>46079.0995099329</v>
      </c>
      <c r="G17204" s="3" t="s">
        <v>31690</v>
      </c>
    </row>
    <row r="17205">
      <c r="A17205" s="3" t="s">
        <v>33275</v>
      </c>
      <c r="B17205" s="3" t="s">
        <v>14353</v>
      </c>
      <c r="C17205" s="5" t="s">
        <v>221</v>
      </c>
      <c r="D17205" s="3" t="s">
        <v>614</v>
      </c>
      <c r="E17205" s="3" t="s">
        <v>118</v>
      </c>
      <c r="F17205" s="7">
        <v>46079.10298215512</v>
      </c>
      <c r="G17205" s="3" t="s">
        <v>33276</v>
      </c>
    </row>
    <row r="17206">
      <c r="A17206" s="3" t="s">
        <v>33277</v>
      </c>
      <c r="B17206" s="3" t="s">
        <v>14353</v>
      </c>
      <c r="C17206" s="5" t="s">
        <v>614</v>
      </c>
      <c r="D17206" s="3" t="s">
        <v>206</v>
      </c>
      <c r="E17206" s="3" t="s">
        <v>100</v>
      </c>
      <c r="F17206" s="7">
        <v>46079.10645437735</v>
      </c>
      <c r="G17206" s="3" t="s">
        <v>33278</v>
      </c>
    </row>
    <row r="17207">
      <c r="A17207" s="3" t="s">
        <v>33279</v>
      </c>
      <c r="B17207" s="3" t="s">
        <v>14353</v>
      </c>
      <c r="C17207" s="5" t="s">
        <v>206</v>
      </c>
      <c r="D17207" s="3" t="s">
        <v>68</v>
      </c>
      <c r="E17207" s="3" t="s">
        <v>100</v>
      </c>
      <c r="F17207" s="7">
        <v>46079.109926599565</v>
      </c>
      <c r="G17207" s="3" t="s">
        <v>33280</v>
      </c>
    </row>
    <row r="17208">
      <c r="A17208" s="3" t="s">
        <v>33281</v>
      </c>
      <c r="B17208" s="3" t="s">
        <v>14356</v>
      </c>
      <c r="C17208" s="5" t="s">
        <v>45</v>
      </c>
      <c r="D17208" s="3" t="s">
        <v>221</v>
      </c>
      <c r="E17208" s="3" t="s">
        <v>290</v>
      </c>
      <c r="F17208" s="7">
        <v>46079.17068477831</v>
      </c>
      <c r="G17208" s="3" t="s">
        <v>33282</v>
      </c>
    </row>
    <row r="17209">
      <c r="A17209" s="3" t="s">
        <v>33283</v>
      </c>
      <c r="B17209" s="3" t="s">
        <v>14356</v>
      </c>
      <c r="C17209" s="5" t="s">
        <v>221</v>
      </c>
      <c r="D17209" s="3" t="s">
        <v>614</v>
      </c>
      <c r="E17209" s="3" t="s">
        <v>118</v>
      </c>
      <c r="F17209" s="7">
        <v>46079.17415700053</v>
      </c>
      <c r="G17209" s="3" t="s">
        <v>33284</v>
      </c>
    </row>
    <row r="17210">
      <c r="A17210" s="3" t="s">
        <v>33285</v>
      </c>
      <c r="B17210" s="3" t="s">
        <v>14356</v>
      </c>
      <c r="C17210" s="5" t="s">
        <v>614</v>
      </c>
      <c r="D17210" s="3" t="s">
        <v>206</v>
      </c>
      <c r="E17210" s="3" t="s">
        <v>100</v>
      </c>
      <c r="F17210" s="7">
        <v>46079.17762922276</v>
      </c>
      <c r="G17210" s="3" t="s">
        <v>33286</v>
      </c>
    </row>
    <row r="17211">
      <c r="A17211" s="3" t="s">
        <v>33287</v>
      </c>
      <c r="B17211" s="3" t="s">
        <v>14356</v>
      </c>
      <c r="C17211" s="5" t="s">
        <v>206</v>
      </c>
      <c r="D17211" s="3" t="s">
        <v>68</v>
      </c>
      <c r="E17211" s="3" t="s">
        <v>100</v>
      </c>
      <c r="F17211" s="7">
        <v>46079.18110144498</v>
      </c>
      <c r="G17211" s="3" t="s">
        <v>33288</v>
      </c>
    </row>
    <row r="17212">
      <c r="A17212" s="3" t="s">
        <v>33289</v>
      </c>
      <c r="B17212" s="3" t="s">
        <v>14359</v>
      </c>
      <c r="C17212" s="5" t="s">
        <v>45</v>
      </c>
      <c r="D17212" s="3" t="s">
        <v>221</v>
      </c>
      <c r="E17212" s="3" t="s">
        <v>943</v>
      </c>
      <c r="F17212" s="7">
        <v>46079.24185962373</v>
      </c>
      <c r="G17212" s="3" t="s">
        <v>28850</v>
      </c>
    </row>
    <row r="17213">
      <c r="A17213" s="3" t="s">
        <v>33290</v>
      </c>
      <c r="B17213" s="3" t="s">
        <v>14359</v>
      </c>
      <c r="C17213" s="5" t="s">
        <v>221</v>
      </c>
      <c r="D17213" s="3" t="s">
        <v>614</v>
      </c>
      <c r="E17213" s="3" t="s">
        <v>118</v>
      </c>
      <c r="F17213" s="7">
        <v>46079.24533184595</v>
      </c>
      <c r="G17213" s="3" t="s">
        <v>28852</v>
      </c>
    </row>
    <row r="17214">
      <c r="A17214" s="3" t="s">
        <v>33291</v>
      </c>
      <c r="B17214" s="3" t="s">
        <v>14359</v>
      </c>
      <c r="C17214" s="5" t="s">
        <v>614</v>
      </c>
      <c r="D17214" s="3" t="s">
        <v>206</v>
      </c>
      <c r="E17214" s="3" t="s">
        <v>100</v>
      </c>
      <c r="F17214" s="7">
        <v>46079.24880406818</v>
      </c>
      <c r="G17214" s="3" t="s">
        <v>28854</v>
      </c>
    </row>
    <row r="17215">
      <c r="A17215" s="3" t="s">
        <v>33292</v>
      </c>
      <c r="B17215" s="3" t="s">
        <v>14359</v>
      </c>
      <c r="C17215" s="5" t="s">
        <v>206</v>
      </c>
      <c r="D17215" s="3" t="s">
        <v>68</v>
      </c>
      <c r="E17215" s="3" t="s">
        <v>100</v>
      </c>
      <c r="F17215" s="7">
        <v>46079.2522762904</v>
      </c>
      <c r="G17215" s="3" t="s">
        <v>28856</v>
      </c>
    </row>
    <row r="17216">
      <c r="A17216" s="3" t="s">
        <v>33293</v>
      </c>
      <c r="B17216" s="3" t="s">
        <v>14362</v>
      </c>
      <c r="C17216" s="5" t="s">
        <v>45</v>
      </c>
      <c r="D17216" s="3" t="s">
        <v>221</v>
      </c>
      <c r="E17216" s="3" t="s">
        <v>369</v>
      </c>
      <c r="F17216" s="7">
        <v>46079.313034469145</v>
      </c>
      <c r="G17216" s="3" t="s">
        <v>8639</v>
      </c>
    </row>
    <row r="17217">
      <c r="A17217" s="3" t="s">
        <v>33294</v>
      </c>
      <c r="B17217" s="3" t="s">
        <v>14362</v>
      </c>
      <c r="C17217" s="5" t="s">
        <v>221</v>
      </c>
      <c r="D17217" s="3" t="s">
        <v>614</v>
      </c>
      <c r="E17217" s="3" t="s">
        <v>118</v>
      </c>
      <c r="F17217" s="7">
        <v>46079.316506691364</v>
      </c>
      <c r="G17217" s="3" t="s">
        <v>8642</v>
      </c>
    </row>
    <row r="17218">
      <c r="A17218" s="3" t="s">
        <v>33295</v>
      </c>
      <c r="B17218" s="3" t="s">
        <v>14362</v>
      </c>
      <c r="C17218" s="5" t="s">
        <v>614</v>
      </c>
      <c r="D17218" s="3" t="s">
        <v>206</v>
      </c>
      <c r="E17218" s="3" t="s">
        <v>100</v>
      </c>
      <c r="F17218" s="7">
        <v>46079.31997891359</v>
      </c>
      <c r="G17218" s="3" t="s">
        <v>8645</v>
      </c>
    </row>
    <row r="17219">
      <c r="A17219" s="3" t="s">
        <v>33296</v>
      </c>
      <c r="B17219" s="3" t="s">
        <v>14362</v>
      </c>
      <c r="C17219" s="5" t="s">
        <v>206</v>
      </c>
      <c r="D17219" s="3" t="s">
        <v>68</v>
      </c>
      <c r="E17219" s="3" t="s">
        <v>100</v>
      </c>
      <c r="F17219" s="7">
        <v>46079.32345113581</v>
      </c>
      <c r="G17219" s="3" t="s">
        <v>8648</v>
      </c>
    </row>
    <row r="17220">
      <c r="A17220" s="3" t="s">
        <v>33297</v>
      </c>
      <c r="B17220" s="3" t="s">
        <v>14366</v>
      </c>
      <c r="C17220" s="5" t="s">
        <v>45</v>
      </c>
      <c r="D17220" s="3" t="s">
        <v>221</v>
      </c>
      <c r="E17220" s="3" t="s">
        <v>512</v>
      </c>
      <c r="F17220" s="7">
        <v>46079.38420931456</v>
      </c>
      <c r="G17220" s="3" t="s">
        <v>7296</v>
      </c>
    </row>
    <row r="17221">
      <c r="A17221" s="3" t="s">
        <v>33298</v>
      </c>
      <c r="B17221" s="3" t="s">
        <v>14366</v>
      </c>
      <c r="C17221" s="5" t="s">
        <v>221</v>
      </c>
      <c r="D17221" s="3" t="s">
        <v>614</v>
      </c>
      <c r="E17221" s="3" t="s">
        <v>118</v>
      </c>
      <c r="F17221" s="7">
        <v>46079.38768153678</v>
      </c>
      <c r="G17221" s="3" t="s">
        <v>7299</v>
      </c>
    </row>
    <row r="17222">
      <c r="A17222" s="3" t="s">
        <v>33299</v>
      </c>
      <c r="B17222" s="3" t="s">
        <v>14366</v>
      </c>
      <c r="C17222" s="5" t="s">
        <v>614</v>
      </c>
      <c r="D17222" s="3" t="s">
        <v>206</v>
      </c>
      <c r="E17222" s="3" t="s">
        <v>100</v>
      </c>
      <c r="F17222" s="7">
        <v>46079.391153759</v>
      </c>
      <c r="G17222" s="3" t="s">
        <v>7301</v>
      </c>
    </row>
    <row r="17223">
      <c r="A17223" s="3" t="s">
        <v>33300</v>
      </c>
      <c r="B17223" s="3" t="s">
        <v>14366</v>
      </c>
      <c r="C17223" s="5" t="s">
        <v>206</v>
      </c>
      <c r="D17223" s="3" t="s">
        <v>68</v>
      </c>
      <c r="E17223" s="3" t="s">
        <v>100</v>
      </c>
      <c r="F17223" s="7">
        <v>46079.39462598122</v>
      </c>
      <c r="G17223" s="3" t="s">
        <v>7304</v>
      </c>
    </row>
    <row r="17224">
      <c r="A17224" s="3" t="s">
        <v>33301</v>
      </c>
      <c r="B17224" s="3" t="s">
        <v>14370</v>
      </c>
      <c r="C17224" s="5" t="s">
        <v>45</v>
      </c>
      <c r="D17224" s="3" t="s">
        <v>221</v>
      </c>
      <c r="E17224" s="3" t="s">
        <v>130</v>
      </c>
      <c r="F17224" s="7">
        <v>46079.45538415998</v>
      </c>
      <c r="G17224" s="3" t="s">
        <v>8654</v>
      </c>
    </row>
    <row r="17225">
      <c r="A17225" s="3" t="s">
        <v>33302</v>
      </c>
      <c r="B17225" s="3" t="s">
        <v>14370</v>
      </c>
      <c r="C17225" s="5" t="s">
        <v>221</v>
      </c>
      <c r="D17225" s="3" t="s">
        <v>614</v>
      </c>
      <c r="E17225" s="3" t="s">
        <v>118</v>
      </c>
      <c r="F17225" s="7">
        <v>46079.458856382196</v>
      </c>
      <c r="G17225" s="3" t="s">
        <v>8657</v>
      </c>
    </row>
    <row r="17226">
      <c r="A17226" s="3" t="s">
        <v>33303</v>
      </c>
      <c r="B17226" s="3" t="s">
        <v>14370</v>
      </c>
      <c r="C17226" s="5" t="s">
        <v>614</v>
      </c>
      <c r="D17226" s="3" t="s">
        <v>206</v>
      </c>
      <c r="E17226" s="3" t="s">
        <v>100</v>
      </c>
      <c r="F17226" s="7">
        <v>46079.46232860442</v>
      </c>
      <c r="G17226" s="3" t="s">
        <v>8659</v>
      </c>
    </row>
    <row r="17227">
      <c r="A17227" s="3" t="s">
        <v>33304</v>
      </c>
      <c r="B17227" s="3" t="s">
        <v>14370</v>
      </c>
      <c r="C17227" s="5" t="s">
        <v>206</v>
      </c>
      <c r="D17227" s="3" t="s">
        <v>68</v>
      </c>
      <c r="E17227" s="3" t="s">
        <v>100</v>
      </c>
      <c r="F17227" s="7">
        <v>46079.46580082664</v>
      </c>
      <c r="G17227" s="3" t="s">
        <v>8662</v>
      </c>
    </row>
    <row r="17228">
      <c r="A17228" s="3" t="s">
        <v>33305</v>
      </c>
      <c r="B17228" s="3" t="s">
        <v>14373</v>
      </c>
      <c r="C17228" s="5" t="s">
        <v>45</v>
      </c>
      <c r="D17228" s="3" t="s">
        <v>221</v>
      </c>
      <c r="E17228" s="3" t="s">
        <v>1043</v>
      </c>
      <c r="F17228" s="7">
        <v>46079.5265590054</v>
      </c>
      <c r="G17228" s="3" t="s">
        <v>10732</v>
      </c>
    </row>
    <row r="17229">
      <c r="A17229" s="3" t="s">
        <v>33306</v>
      </c>
      <c r="B17229" s="3" t="s">
        <v>14373</v>
      </c>
      <c r="C17229" s="5" t="s">
        <v>221</v>
      </c>
      <c r="D17229" s="3" t="s">
        <v>614</v>
      </c>
      <c r="E17229" s="3" t="s">
        <v>118</v>
      </c>
      <c r="F17229" s="7">
        <v>46079.530031227616</v>
      </c>
      <c r="G17229" s="3" t="s">
        <v>15471</v>
      </c>
    </row>
    <row r="17230">
      <c r="A17230" s="3" t="s">
        <v>33307</v>
      </c>
      <c r="B17230" s="3" t="s">
        <v>14373</v>
      </c>
      <c r="C17230" s="5" t="s">
        <v>614</v>
      </c>
      <c r="D17230" s="3" t="s">
        <v>206</v>
      </c>
      <c r="E17230" s="3" t="s">
        <v>100</v>
      </c>
      <c r="F17230" s="7">
        <v>46079.53350344984</v>
      </c>
      <c r="G17230" s="3" t="s">
        <v>15473</v>
      </c>
    </row>
    <row r="17231">
      <c r="A17231" s="3" t="s">
        <v>33308</v>
      </c>
      <c r="B17231" s="3" t="s">
        <v>14373</v>
      </c>
      <c r="C17231" s="5" t="s">
        <v>206</v>
      </c>
      <c r="D17231" s="3" t="s">
        <v>68</v>
      </c>
      <c r="E17231" s="3" t="s">
        <v>100</v>
      </c>
      <c r="F17231" s="7">
        <v>46079.53697567206</v>
      </c>
      <c r="G17231" s="3" t="s">
        <v>15476</v>
      </c>
    </row>
    <row r="17232">
      <c r="A17232" s="3" t="s">
        <v>33309</v>
      </c>
      <c r="B17232" s="3" t="s">
        <v>14375</v>
      </c>
      <c r="C17232" s="5" t="s">
        <v>45</v>
      </c>
      <c r="D17232" s="3" t="s">
        <v>221</v>
      </c>
      <c r="E17232" s="3" t="s">
        <v>377</v>
      </c>
      <c r="F17232" s="7">
        <v>46079.5977338508</v>
      </c>
      <c r="G17232" s="3" t="s">
        <v>22255</v>
      </c>
    </row>
    <row r="17233">
      <c r="A17233" s="3" t="s">
        <v>33310</v>
      </c>
      <c r="B17233" s="3" t="s">
        <v>14375</v>
      </c>
      <c r="C17233" s="5" t="s">
        <v>221</v>
      </c>
      <c r="D17233" s="3" t="s">
        <v>614</v>
      </c>
      <c r="E17233" s="3" t="s">
        <v>118</v>
      </c>
      <c r="F17233" s="7">
        <v>46079.60120607302</v>
      </c>
      <c r="G17233" s="3" t="s">
        <v>22258</v>
      </c>
    </row>
    <row r="17234">
      <c r="A17234" s="3" t="s">
        <v>33311</v>
      </c>
      <c r="B17234" s="3" t="s">
        <v>14375</v>
      </c>
      <c r="C17234" s="5" t="s">
        <v>614</v>
      </c>
      <c r="D17234" s="3" t="s">
        <v>206</v>
      </c>
      <c r="E17234" s="3" t="s">
        <v>100</v>
      </c>
      <c r="F17234" s="7">
        <v>46079.60467829525</v>
      </c>
      <c r="G17234" s="3" t="s">
        <v>22260</v>
      </c>
    </row>
    <row r="17235">
      <c r="A17235" s="3" t="s">
        <v>33312</v>
      </c>
      <c r="B17235" s="3" t="s">
        <v>14375</v>
      </c>
      <c r="C17235" s="5" t="s">
        <v>206</v>
      </c>
      <c r="D17235" s="3" t="s">
        <v>68</v>
      </c>
      <c r="E17235" s="3" t="s">
        <v>100</v>
      </c>
      <c r="F17235" s="7">
        <v>46079.608150517466</v>
      </c>
      <c r="G17235" s="3" t="s">
        <v>22263</v>
      </c>
    </row>
    <row r="17236">
      <c r="A17236" s="3" t="s">
        <v>33313</v>
      </c>
      <c r="B17236" s="3" t="s">
        <v>14377</v>
      </c>
      <c r="C17236" s="5" t="s">
        <v>45</v>
      </c>
      <c r="D17236" s="3" t="s">
        <v>221</v>
      </c>
      <c r="E17236" s="3" t="s">
        <v>383</v>
      </c>
      <c r="F17236" s="7">
        <v>46079.66890869622</v>
      </c>
      <c r="G17236" s="3" t="s">
        <v>24798</v>
      </c>
    </row>
    <row r="17237">
      <c r="A17237" s="3" t="s">
        <v>33314</v>
      </c>
      <c r="B17237" s="3" t="s">
        <v>14377</v>
      </c>
      <c r="C17237" s="5" t="s">
        <v>221</v>
      </c>
      <c r="D17237" s="3" t="s">
        <v>614</v>
      </c>
      <c r="E17237" s="3" t="s">
        <v>118</v>
      </c>
      <c r="F17237" s="7">
        <v>46079.67238091844</v>
      </c>
      <c r="G17237" s="3" t="s">
        <v>24800</v>
      </c>
    </row>
    <row r="17238">
      <c r="A17238" s="3" t="s">
        <v>33315</v>
      </c>
      <c r="B17238" s="3" t="s">
        <v>14377</v>
      </c>
      <c r="C17238" s="5" t="s">
        <v>614</v>
      </c>
      <c r="D17238" s="3" t="s">
        <v>206</v>
      </c>
      <c r="E17238" s="3" t="s">
        <v>100</v>
      </c>
      <c r="F17238" s="7">
        <v>46079.67585314067</v>
      </c>
      <c r="G17238" s="3" t="s">
        <v>24802</v>
      </c>
    </row>
    <row r="17239">
      <c r="A17239" s="3" t="s">
        <v>33316</v>
      </c>
      <c r="B17239" s="3" t="s">
        <v>14377</v>
      </c>
      <c r="C17239" s="5" t="s">
        <v>206</v>
      </c>
      <c r="D17239" s="3" t="s">
        <v>68</v>
      </c>
      <c r="E17239" s="3" t="s">
        <v>100</v>
      </c>
      <c r="F17239" s="7">
        <v>46079.679325362886</v>
      </c>
      <c r="G17239" s="3" t="s">
        <v>24804</v>
      </c>
    </row>
    <row r="17240">
      <c r="A17240" s="3" t="s">
        <v>33317</v>
      </c>
      <c r="B17240" s="3" t="s">
        <v>14379</v>
      </c>
      <c r="C17240" s="5" t="s">
        <v>45</v>
      </c>
      <c r="D17240" s="3" t="s">
        <v>221</v>
      </c>
      <c r="E17240" s="3" t="s">
        <v>391</v>
      </c>
      <c r="F17240" s="7">
        <v>46079.74008354164</v>
      </c>
      <c r="G17240" s="3" t="s">
        <v>8459</v>
      </c>
    </row>
    <row r="17241">
      <c r="A17241" s="3" t="s">
        <v>33318</v>
      </c>
      <c r="B17241" s="3" t="s">
        <v>14379</v>
      </c>
      <c r="C17241" s="5" t="s">
        <v>221</v>
      </c>
      <c r="D17241" s="3" t="s">
        <v>614</v>
      </c>
      <c r="E17241" s="3" t="s">
        <v>118</v>
      </c>
      <c r="F17241" s="7">
        <v>46079.74355576386</v>
      </c>
      <c r="G17241" s="3" t="s">
        <v>8462</v>
      </c>
    </row>
    <row r="17242">
      <c r="A17242" s="3" t="s">
        <v>33319</v>
      </c>
      <c r="B17242" s="3" t="s">
        <v>14379</v>
      </c>
      <c r="C17242" s="5" t="s">
        <v>614</v>
      </c>
      <c r="D17242" s="3" t="s">
        <v>206</v>
      </c>
      <c r="E17242" s="3" t="s">
        <v>100</v>
      </c>
      <c r="F17242" s="7">
        <v>46079.747027986086</v>
      </c>
      <c r="G17242" s="3" t="s">
        <v>8465</v>
      </c>
    </row>
    <row r="17243">
      <c r="A17243" s="3" t="s">
        <v>33320</v>
      </c>
      <c r="B17243" s="3" t="s">
        <v>14379</v>
      </c>
      <c r="C17243" s="5" t="s">
        <v>206</v>
      </c>
      <c r="D17243" s="3" t="s">
        <v>68</v>
      </c>
      <c r="E17243" s="3" t="s">
        <v>100</v>
      </c>
      <c r="F17243" s="7">
        <v>46079.750500208305</v>
      </c>
      <c r="G17243" s="3" t="s">
        <v>8468</v>
      </c>
    </row>
    <row r="17244">
      <c r="A17244" s="3" t="s">
        <v>33321</v>
      </c>
      <c r="B17244" s="3" t="s">
        <v>14381</v>
      </c>
      <c r="C17244" s="5" t="s">
        <v>45</v>
      </c>
      <c r="D17244" s="3" t="s">
        <v>221</v>
      </c>
      <c r="E17244" s="3" t="s">
        <v>141</v>
      </c>
      <c r="F17244" s="7">
        <v>46079.81125838705</v>
      </c>
      <c r="G17244" s="3" t="s">
        <v>15047</v>
      </c>
    </row>
    <row r="17245">
      <c r="A17245" s="3" t="s">
        <v>33322</v>
      </c>
      <c r="B17245" s="3" t="s">
        <v>14381</v>
      </c>
      <c r="C17245" s="5" t="s">
        <v>221</v>
      </c>
      <c r="D17245" s="3" t="s">
        <v>614</v>
      </c>
      <c r="E17245" s="3" t="s">
        <v>118</v>
      </c>
      <c r="F17245" s="7">
        <v>46079.81473060927</v>
      </c>
      <c r="G17245" s="3" t="s">
        <v>15050</v>
      </c>
    </row>
    <row r="17246">
      <c r="A17246" s="3" t="s">
        <v>33323</v>
      </c>
      <c r="B17246" s="3" t="s">
        <v>14381</v>
      </c>
      <c r="C17246" s="5" t="s">
        <v>614</v>
      </c>
      <c r="D17246" s="3" t="s">
        <v>206</v>
      </c>
      <c r="E17246" s="3" t="s">
        <v>100</v>
      </c>
      <c r="F17246" s="7">
        <v>46079.8182028315</v>
      </c>
      <c r="G17246" s="3" t="s">
        <v>15053</v>
      </c>
    </row>
    <row r="17247">
      <c r="A17247" s="3" t="s">
        <v>33324</v>
      </c>
      <c r="B17247" s="3" t="s">
        <v>14381</v>
      </c>
      <c r="C17247" s="5" t="s">
        <v>206</v>
      </c>
      <c r="D17247" s="3" t="s">
        <v>68</v>
      </c>
      <c r="E17247" s="3" t="s">
        <v>100</v>
      </c>
      <c r="F17247" s="7">
        <v>46079.82167505372</v>
      </c>
      <c r="G17247" s="3" t="s">
        <v>15055</v>
      </c>
    </row>
    <row r="17248">
      <c r="A17248" s="3" t="s">
        <v>33325</v>
      </c>
      <c r="B17248" s="3" t="s">
        <v>14383</v>
      </c>
      <c r="C17248" s="5" t="s">
        <v>45</v>
      </c>
      <c r="D17248" s="3" t="s">
        <v>221</v>
      </c>
      <c r="E17248" s="3" t="s">
        <v>1049</v>
      </c>
      <c r="F17248" s="7">
        <v>46079.882433232466</v>
      </c>
      <c r="G17248" s="3" t="s">
        <v>18610</v>
      </c>
    </row>
    <row r="17249">
      <c r="A17249" s="3" t="s">
        <v>33326</v>
      </c>
      <c r="B17249" s="3" t="s">
        <v>14383</v>
      </c>
      <c r="C17249" s="5" t="s">
        <v>221</v>
      </c>
      <c r="D17249" s="3" t="s">
        <v>614</v>
      </c>
      <c r="E17249" s="3" t="s">
        <v>118</v>
      </c>
      <c r="F17249" s="7">
        <v>46079.885905454685</v>
      </c>
      <c r="G17249" s="3" t="s">
        <v>18612</v>
      </c>
    </row>
    <row r="17250">
      <c r="A17250" s="3" t="s">
        <v>33327</v>
      </c>
      <c r="B17250" s="3" t="s">
        <v>14383</v>
      </c>
      <c r="C17250" s="5" t="s">
        <v>614</v>
      </c>
      <c r="D17250" s="3" t="s">
        <v>206</v>
      </c>
      <c r="E17250" s="3" t="s">
        <v>100</v>
      </c>
      <c r="F17250" s="7">
        <v>46079.88937767691</v>
      </c>
      <c r="G17250" s="3" t="s">
        <v>18615</v>
      </c>
    </row>
    <row r="17251">
      <c r="A17251" s="3" t="s">
        <v>33328</v>
      </c>
      <c r="B17251" s="3" t="s">
        <v>14383</v>
      </c>
      <c r="C17251" s="5" t="s">
        <v>206</v>
      </c>
      <c r="D17251" s="3" t="s">
        <v>68</v>
      </c>
      <c r="E17251" s="3" t="s">
        <v>100</v>
      </c>
      <c r="F17251" s="7">
        <v>46079.89284989913</v>
      </c>
      <c r="G17251" s="3" t="s">
        <v>18618</v>
      </c>
    </row>
    <row r="17252">
      <c r="A17252" s="3" t="s">
        <v>33329</v>
      </c>
      <c r="B17252" s="3" t="s">
        <v>14385</v>
      </c>
      <c r="C17252" s="5" t="s">
        <v>45</v>
      </c>
      <c r="D17252" s="3" t="s">
        <v>221</v>
      </c>
      <c r="E17252" s="3" t="s">
        <v>574</v>
      </c>
      <c r="F17252" s="7">
        <v>46079.953608077885</v>
      </c>
      <c r="G17252" s="3" t="s">
        <v>15196</v>
      </c>
    </row>
    <row r="17253">
      <c r="A17253" s="3" t="s">
        <v>33330</v>
      </c>
      <c r="B17253" s="3" t="s">
        <v>14385</v>
      </c>
      <c r="C17253" s="5" t="s">
        <v>221</v>
      </c>
      <c r="D17253" s="3" t="s">
        <v>614</v>
      </c>
      <c r="E17253" s="3" t="s">
        <v>118</v>
      </c>
      <c r="F17253" s="7">
        <v>46079.957080300104</v>
      </c>
      <c r="G17253" s="3" t="s">
        <v>15199</v>
      </c>
    </row>
    <row r="17254">
      <c r="A17254" s="3" t="s">
        <v>33331</v>
      </c>
      <c r="B17254" s="3" t="s">
        <v>14385</v>
      </c>
      <c r="C17254" s="5" t="s">
        <v>614</v>
      </c>
      <c r="D17254" s="3" t="s">
        <v>206</v>
      </c>
      <c r="E17254" s="3" t="s">
        <v>100</v>
      </c>
      <c r="F17254" s="7">
        <v>46079.96055252233</v>
      </c>
      <c r="G17254" s="3" t="s">
        <v>15203</v>
      </c>
    </row>
    <row r="17255">
      <c r="A17255" s="3" t="s">
        <v>33332</v>
      </c>
      <c r="B17255" s="3" t="s">
        <v>14385</v>
      </c>
      <c r="C17255" s="5" t="s">
        <v>206</v>
      </c>
      <c r="D17255" s="3" t="s">
        <v>68</v>
      </c>
      <c r="E17255" s="3" t="s">
        <v>100</v>
      </c>
      <c r="F17255" s="7">
        <v>46079.96402474455</v>
      </c>
      <c r="G17255" s="3" t="s">
        <v>15206</v>
      </c>
    </row>
    <row r="17256">
      <c r="A17256" s="3" t="s">
        <v>33333</v>
      </c>
      <c r="B17256" s="3" t="s">
        <v>14387</v>
      </c>
      <c r="C17256" s="5" t="s">
        <v>45</v>
      </c>
      <c r="D17256" s="3" t="s">
        <v>221</v>
      </c>
      <c r="E17256" s="3" t="s">
        <v>250</v>
      </c>
      <c r="F17256" s="7">
        <v>46080.0247829233</v>
      </c>
      <c r="G17256" s="3" t="s">
        <v>18846</v>
      </c>
    </row>
    <row r="17257">
      <c r="A17257" s="3" t="s">
        <v>33334</v>
      </c>
      <c r="B17257" s="3" t="s">
        <v>14387</v>
      </c>
      <c r="C17257" s="5" t="s">
        <v>221</v>
      </c>
      <c r="D17257" s="3" t="s">
        <v>181</v>
      </c>
      <c r="E17257" s="3" t="s">
        <v>118</v>
      </c>
      <c r="F17257" s="7">
        <v>46080.02825514552</v>
      </c>
      <c r="G17257" s="3" t="s">
        <v>33335</v>
      </c>
    </row>
    <row r="17258">
      <c r="A17258" s="3" t="s">
        <v>33336</v>
      </c>
      <c r="B17258" s="3" t="s">
        <v>14389</v>
      </c>
      <c r="C17258" s="5" t="s">
        <v>45</v>
      </c>
      <c r="D17258" s="3" t="s">
        <v>221</v>
      </c>
      <c r="E17258" s="3" t="s">
        <v>491</v>
      </c>
      <c r="F17258" s="7">
        <v>46080.09595776871</v>
      </c>
      <c r="G17258" s="3" t="s">
        <v>9670</v>
      </c>
    </row>
    <row r="17259">
      <c r="A17259" s="3" t="s">
        <v>33337</v>
      </c>
      <c r="B17259" s="3" t="s">
        <v>14389</v>
      </c>
      <c r="C17259" s="5" t="s">
        <v>221</v>
      </c>
      <c r="D17259" s="3" t="s">
        <v>614</v>
      </c>
      <c r="E17259" s="3" t="s">
        <v>118</v>
      </c>
      <c r="F17259" s="7">
        <v>46080.09942999093</v>
      </c>
      <c r="G17259" s="3" t="s">
        <v>9674</v>
      </c>
    </row>
    <row r="17260">
      <c r="A17260" s="3" t="s">
        <v>33338</v>
      </c>
      <c r="B17260" s="3" t="s">
        <v>14389</v>
      </c>
      <c r="C17260" s="5" t="s">
        <v>614</v>
      </c>
      <c r="D17260" s="3" t="s">
        <v>206</v>
      </c>
      <c r="E17260" s="3" t="s">
        <v>100</v>
      </c>
      <c r="F17260" s="7">
        <v>46080.102902213155</v>
      </c>
      <c r="G17260" s="3" t="s">
        <v>9677</v>
      </c>
    </row>
    <row r="17261">
      <c r="A17261" s="3" t="s">
        <v>33339</v>
      </c>
      <c r="B17261" s="3" t="s">
        <v>14389</v>
      </c>
      <c r="C17261" s="5" t="s">
        <v>206</v>
      </c>
      <c r="D17261" s="3" t="s">
        <v>68</v>
      </c>
      <c r="E17261" s="3" t="s">
        <v>100</v>
      </c>
      <c r="F17261" s="7">
        <v>46080.106374435374</v>
      </c>
      <c r="G17261" s="3" t="s">
        <v>9680</v>
      </c>
    </row>
    <row r="17262">
      <c r="A17262" s="3" t="s">
        <v>33340</v>
      </c>
      <c r="B17262" s="3" t="s">
        <v>14393</v>
      </c>
      <c r="C17262" s="5" t="s">
        <v>45</v>
      </c>
      <c r="D17262" s="3" t="s">
        <v>221</v>
      </c>
      <c r="E17262" s="3" t="s">
        <v>256</v>
      </c>
      <c r="F17262" s="7">
        <v>46080.16713261413</v>
      </c>
      <c r="G17262" s="3" t="s">
        <v>8746</v>
      </c>
    </row>
    <row r="17263">
      <c r="A17263" s="3" t="s">
        <v>33341</v>
      </c>
      <c r="B17263" s="3" t="s">
        <v>14393</v>
      </c>
      <c r="C17263" s="5" t="s">
        <v>221</v>
      </c>
      <c r="D17263" s="3" t="s">
        <v>614</v>
      </c>
      <c r="E17263" s="3" t="s">
        <v>118</v>
      </c>
      <c r="F17263" s="7">
        <v>46080.17060483635</v>
      </c>
      <c r="G17263" s="3" t="s">
        <v>8749</v>
      </c>
    </row>
    <row r="17264">
      <c r="A17264" s="3" t="s">
        <v>33342</v>
      </c>
      <c r="B17264" s="3" t="s">
        <v>14393</v>
      </c>
      <c r="C17264" s="5" t="s">
        <v>614</v>
      </c>
      <c r="D17264" s="3" t="s">
        <v>206</v>
      </c>
      <c r="E17264" s="3" t="s">
        <v>100</v>
      </c>
      <c r="F17264" s="7">
        <v>46080.174077058575</v>
      </c>
      <c r="G17264" s="3" t="s">
        <v>8752</v>
      </c>
    </row>
    <row r="17265">
      <c r="A17265" s="3" t="s">
        <v>33343</v>
      </c>
      <c r="B17265" s="3" t="s">
        <v>14393</v>
      </c>
      <c r="C17265" s="5" t="s">
        <v>206</v>
      </c>
      <c r="D17265" s="3" t="s">
        <v>68</v>
      </c>
      <c r="E17265" s="3" t="s">
        <v>100</v>
      </c>
      <c r="F17265" s="7">
        <v>46080.177549280794</v>
      </c>
      <c r="G17265" s="3" t="s">
        <v>8754</v>
      </c>
    </row>
    <row r="17266">
      <c r="A17266" s="3" t="s">
        <v>33344</v>
      </c>
      <c r="B17266" s="3" t="s">
        <v>14397</v>
      </c>
      <c r="C17266" s="5" t="s">
        <v>45</v>
      </c>
      <c r="D17266" s="3" t="s">
        <v>221</v>
      </c>
      <c r="E17266" s="3" t="s">
        <v>778</v>
      </c>
      <c r="F17266" s="7">
        <v>46080.23830745954</v>
      </c>
      <c r="G17266" s="3" t="s">
        <v>18279</v>
      </c>
    </row>
    <row r="17267">
      <c r="A17267" s="3" t="s">
        <v>33345</v>
      </c>
      <c r="B17267" s="3" t="s">
        <v>14397</v>
      </c>
      <c r="C17267" s="5" t="s">
        <v>221</v>
      </c>
      <c r="D17267" s="3" t="s">
        <v>614</v>
      </c>
      <c r="E17267" s="3" t="s">
        <v>118</v>
      </c>
      <c r="F17267" s="7">
        <v>46080.24177968176</v>
      </c>
      <c r="G17267" s="3" t="s">
        <v>18282</v>
      </c>
    </row>
    <row r="17268">
      <c r="A17268" s="3" t="s">
        <v>33346</v>
      </c>
      <c r="B17268" s="3" t="s">
        <v>14397</v>
      </c>
      <c r="C17268" s="5" t="s">
        <v>614</v>
      </c>
      <c r="D17268" s="3" t="s">
        <v>206</v>
      </c>
      <c r="E17268" s="3" t="s">
        <v>100</v>
      </c>
      <c r="F17268" s="7">
        <v>46080.24525190399</v>
      </c>
      <c r="G17268" s="3" t="s">
        <v>18285</v>
      </c>
    </row>
    <row r="17269">
      <c r="A17269" s="3" t="s">
        <v>33347</v>
      </c>
      <c r="B17269" s="3" t="s">
        <v>14397</v>
      </c>
      <c r="C17269" s="5" t="s">
        <v>206</v>
      </c>
      <c r="D17269" s="3" t="s">
        <v>68</v>
      </c>
      <c r="E17269" s="3" t="s">
        <v>100</v>
      </c>
      <c r="F17269" s="7">
        <v>46080.248724126206</v>
      </c>
      <c r="G17269" s="3" t="s">
        <v>18288</v>
      </c>
    </row>
    <row r="17270">
      <c r="A17270" s="3" t="s">
        <v>33348</v>
      </c>
      <c r="B17270" s="3" t="s">
        <v>14400</v>
      </c>
      <c r="C17270" s="5" t="s">
        <v>45</v>
      </c>
      <c r="D17270" s="3" t="s">
        <v>221</v>
      </c>
      <c r="E17270" s="3" t="s">
        <v>341</v>
      </c>
      <c r="F17270" s="7">
        <v>46080.309482304954</v>
      </c>
      <c r="G17270" s="3" t="s">
        <v>8769</v>
      </c>
    </row>
    <row r="17271">
      <c r="A17271" s="3" t="s">
        <v>33349</v>
      </c>
      <c r="B17271" s="3" t="s">
        <v>14400</v>
      </c>
      <c r="C17271" s="5" t="s">
        <v>221</v>
      </c>
      <c r="D17271" s="3" t="s">
        <v>614</v>
      </c>
      <c r="E17271" s="3" t="s">
        <v>118</v>
      </c>
      <c r="F17271" s="7">
        <v>46080.31295452717</v>
      </c>
      <c r="G17271" s="3" t="s">
        <v>8772</v>
      </c>
    </row>
    <row r="17272">
      <c r="A17272" s="3" t="s">
        <v>33350</v>
      </c>
      <c r="B17272" s="3" t="s">
        <v>14400</v>
      </c>
      <c r="C17272" s="5" t="s">
        <v>614</v>
      </c>
      <c r="D17272" s="3" t="s">
        <v>206</v>
      </c>
      <c r="E17272" s="3" t="s">
        <v>100</v>
      </c>
      <c r="F17272" s="7">
        <v>46080.3164267494</v>
      </c>
      <c r="G17272" s="3" t="s">
        <v>8775</v>
      </c>
    </row>
    <row r="17273">
      <c r="A17273" s="3" t="s">
        <v>33351</v>
      </c>
      <c r="B17273" s="3" t="s">
        <v>14400</v>
      </c>
      <c r="C17273" s="5" t="s">
        <v>206</v>
      </c>
      <c r="D17273" s="3" t="s">
        <v>68</v>
      </c>
      <c r="E17273" s="3" t="s">
        <v>100</v>
      </c>
      <c r="F17273" s="7">
        <v>46080.31989897162</v>
      </c>
      <c r="G17273" s="3" t="s">
        <v>8778</v>
      </c>
    </row>
    <row r="17274">
      <c r="A17274" s="3" t="s">
        <v>33352</v>
      </c>
      <c r="B17274" s="3" t="s">
        <v>14404</v>
      </c>
      <c r="C17274" s="5" t="s">
        <v>45</v>
      </c>
      <c r="D17274" s="3" t="s">
        <v>221</v>
      </c>
      <c r="E17274" s="3" t="s">
        <v>870</v>
      </c>
      <c r="F17274" s="7">
        <v>46080.380657150374</v>
      </c>
      <c r="G17274" s="3" t="s">
        <v>16305</v>
      </c>
    </row>
    <row r="17275">
      <c r="A17275" s="3" t="s">
        <v>33353</v>
      </c>
      <c r="B17275" s="3" t="s">
        <v>14404</v>
      </c>
      <c r="C17275" s="5" t="s">
        <v>221</v>
      </c>
      <c r="D17275" s="3" t="s">
        <v>614</v>
      </c>
      <c r="E17275" s="3" t="s">
        <v>118</v>
      </c>
      <c r="F17275" s="7">
        <v>46080.38412937259</v>
      </c>
      <c r="G17275" s="3" t="s">
        <v>16308</v>
      </c>
    </row>
    <row r="17276">
      <c r="A17276" s="3" t="s">
        <v>33354</v>
      </c>
      <c r="B17276" s="3" t="s">
        <v>14404</v>
      </c>
      <c r="C17276" s="5" t="s">
        <v>614</v>
      </c>
      <c r="D17276" s="3" t="s">
        <v>206</v>
      </c>
      <c r="E17276" s="3" t="s">
        <v>100</v>
      </c>
      <c r="F17276" s="7">
        <v>46080.38760159482</v>
      </c>
      <c r="G17276" s="3" t="s">
        <v>16311</v>
      </c>
    </row>
    <row r="17277">
      <c r="A17277" s="3" t="s">
        <v>33355</v>
      </c>
      <c r="B17277" s="3" t="s">
        <v>14404</v>
      </c>
      <c r="C17277" s="5" t="s">
        <v>206</v>
      </c>
      <c r="D17277" s="3" t="s">
        <v>68</v>
      </c>
      <c r="E17277" s="3" t="s">
        <v>100</v>
      </c>
      <c r="F17277" s="7">
        <v>46080.39107381704</v>
      </c>
      <c r="G17277" s="3" t="s">
        <v>16313</v>
      </c>
    </row>
    <row r="17278">
      <c r="A17278" s="3" t="s">
        <v>33356</v>
      </c>
      <c r="B17278" s="3" t="s">
        <v>14408</v>
      </c>
      <c r="C17278" s="5" t="s">
        <v>45</v>
      </c>
      <c r="D17278" s="3" t="s">
        <v>221</v>
      </c>
      <c r="E17278" s="3" t="s">
        <v>557</v>
      </c>
      <c r="F17278" s="7">
        <v>46080.451831995786</v>
      </c>
      <c r="G17278" s="3" t="s">
        <v>8827</v>
      </c>
    </row>
    <row r="17279">
      <c r="A17279" s="3" t="s">
        <v>33357</v>
      </c>
      <c r="B17279" s="3" t="s">
        <v>14408</v>
      </c>
      <c r="C17279" s="5" t="s">
        <v>221</v>
      </c>
      <c r="D17279" s="3" t="s">
        <v>614</v>
      </c>
      <c r="E17279" s="3" t="s">
        <v>118</v>
      </c>
      <c r="F17279" s="7">
        <v>46080.455304218005</v>
      </c>
      <c r="G17279" s="3" t="s">
        <v>8830</v>
      </c>
    </row>
    <row r="17280">
      <c r="A17280" s="3" t="s">
        <v>33358</v>
      </c>
      <c r="B17280" s="3" t="s">
        <v>14408</v>
      </c>
      <c r="C17280" s="5" t="s">
        <v>614</v>
      </c>
      <c r="D17280" s="3" t="s">
        <v>206</v>
      </c>
      <c r="E17280" s="3" t="s">
        <v>100</v>
      </c>
      <c r="F17280" s="7">
        <v>46080.45877644023</v>
      </c>
      <c r="G17280" s="3" t="s">
        <v>8833</v>
      </c>
    </row>
    <row r="17281">
      <c r="A17281" s="3" t="s">
        <v>33359</v>
      </c>
      <c r="B17281" s="3" t="s">
        <v>14408</v>
      </c>
      <c r="C17281" s="5" t="s">
        <v>206</v>
      </c>
      <c r="D17281" s="3" t="s">
        <v>68</v>
      </c>
      <c r="E17281" s="3" t="s">
        <v>100</v>
      </c>
      <c r="F17281" s="7">
        <v>46080.46224866245</v>
      </c>
      <c r="G17281" s="3" t="s">
        <v>8836</v>
      </c>
    </row>
    <row r="17282">
      <c r="A17282" s="3" t="s">
        <v>33360</v>
      </c>
      <c r="B17282" s="3" t="s">
        <v>14415</v>
      </c>
      <c r="C17282" s="5" t="s">
        <v>45</v>
      </c>
      <c r="D17282" s="3" t="s">
        <v>221</v>
      </c>
      <c r="E17282" s="3" t="s">
        <v>137</v>
      </c>
      <c r="F17282" s="7">
        <v>46080.5230068412</v>
      </c>
      <c r="G17282" s="3" t="s">
        <v>21815</v>
      </c>
    </row>
    <row r="17283">
      <c r="A17283" s="3" t="s">
        <v>33361</v>
      </c>
      <c r="B17283" s="3" t="s">
        <v>14415</v>
      </c>
      <c r="C17283" s="5" t="s">
        <v>221</v>
      </c>
      <c r="D17283" s="3" t="s">
        <v>614</v>
      </c>
      <c r="E17283" s="3" t="s">
        <v>118</v>
      </c>
      <c r="F17283" s="7">
        <v>46080.52647906342</v>
      </c>
      <c r="G17283" s="3" t="s">
        <v>24589</v>
      </c>
    </row>
    <row r="17284">
      <c r="A17284" s="3" t="s">
        <v>33362</v>
      </c>
      <c r="B17284" s="3" t="s">
        <v>14415</v>
      </c>
      <c r="C17284" s="5" t="s">
        <v>614</v>
      </c>
      <c r="D17284" s="3" t="s">
        <v>206</v>
      </c>
      <c r="E17284" s="3" t="s">
        <v>100</v>
      </c>
      <c r="F17284" s="7">
        <v>46080.52995128564</v>
      </c>
      <c r="G17284" s="3" t="s">
        <v>24591</v>
      </c>
    </row>
    <row r="17285">
      <c r="A17285" s="3" t="s">
        <v>33363</v>
      </c>
      <c r="B17285" s="3" t="s">
        <v>14415</v>
      </c>
      <c r="C17285" s="5" t="s">
        <v>206</v>
      </c>
      <c r="D17285" s="3" t="s">
        <v>68</v>
      </c>
      <c r="E17285" s="3" t="s">
        <v>100</v>
      </c>
      <c r="F17285" s="7">
        <v>46080.53342350786</v>
      </c>
      <c r="G17285" s="3" t="s">
        <v>24593</v>
      </c>
    </row>
    <row r="17286">
      <c r="A17286" s="3" t="s">
        <v>33364</v>
      </c>
      <c r="B17286" s="3" t="s">
        <v>14418</v>
      </c>
      <c r="C17286" s="5" t="s">
        <v>45</v>
      </c>
      <c r="D17286" s="3" t="s">
        <v>221</v>
      </c>
      <c r="E17286" s="3" t="s">
        <v>616</v>
      </c>
      <c r="F17286" s="7">
        <v>46080.59418168662</v>
      </c>
      <c r="G17286" s="3" t="s">
        <v>6749</v>
      </c>
    </row>
    <row r="17287">
      <c r="A17287" s="3" t="s">
        <v>33365</v>
      </c>
      <c r="B17287" s="3" t="s">
        <v>14418</v>
      </c>
      <c r="C17287" s="5" t="s">
        <v>221</v>
      </c>
      <c r="D17287" s="3" t="s">
        <v>614</v>
      </c>
      <c r="E17287" s="3" t="s">
        <v>118</v>
      </c>
      <c r="F17287" s="7">
        <v>46080.59765390884</v>
      </c>
      <c r="G17287" s="3" t="s">
        <v>6752</v>
      </c>
    </row>
    <row r="17288">
      <c r="A17288" s="3" t="s">
        <v>33366</v>
      </c>
      <c r="B17288" s="3" t="s">
        <v>14418</v>
      </c>
      <c r="C17288" s="5" t="s">
        <v>614</v>
      </c>
      <c r="D17288" s="3" t="s">
        <v>206</v>
      </c>
      <c r="E17288" s="3" t="s">
        <v>100</v>
      </c>
      <c r="F17288" s="7">
        <v>46080.60112613106</v>
      </c>
      <c r="G17288" s="3" t="s">
        <v>6755</v>
      </c>
    </row>
    <row r="17289">
      <c r="A17289" s="3" t="s">
        <v>33367</v>
      </c>
      <c r="B17289" s="3" t="s">
        <v>14418</v>
      </c>
      <c r="C17289" s="5" t="s">
        <v>206</v>
      </c>
      <c r="D17289" s="3" t="s">
        <v>68</v>
      </c>
      <c r="E17289" s="3" t="s">
        <v>100</v>
      </c>
      <c r="F17289" s="7">
        <v>46080.60459835328</v>
      </c>
      <c r="G17289" s="3" t="s">
        <v>6758</v>
      </c>
    </row>
    <row r="17290">
      <c r="A17290" s="3" t="s">
        <v>33368</v>
      </c>
      <c r="B17290" s="3" t="s">
        <v>14422</v>
      </c>
      <c r="C17290" s="5" t="s">
        <v>45</v>
      </c>
      <c r="D17290" s="3" t="s">
        <v>221</v>
      </c>
      <c r="E17290" s="3" t="s">
        <v>805</v>
      </c>
      <c r="F17290" s="7">
        <v>46080.66535653204</v>
      </c>
      <c r="G17290" s="3" t="s">
        <v>8085</v>
      </c>
    </row>
    <row r="17291">
      <c r="A17291" s="3" t="s">
        <v>33369</v>
      </c>
      <c r="B17291" s="3" t="s">
        <v>14422</v>
      </c>
      <c r="C17291" s="5" t="s">
        <v>221</v>
      </c>
      <c r="D17291" s="3" t="s">
        <v>614</v>
      </c>
      <c r="E17291" s="3" t="s">
        <v>118</v>
      </c>
      <c r="F17291" s="7">
        <v>46080.66882875426</v>
      </c>
      <c r="G17291" s="3" t="s">
        <v>8088</v>
      </c>
    </row>
    <row r="17292">
      <c r="A17292" s="3" t="s">
        <v>33370</v>
      </c>
      <c r="B17292" s="3" t="s">
        <v>14422</v>
      </c>
      <c r="C17292" s="5" t="s">
        <v>614</v>
      </c>
      <c r="D17292" s="3" t="s">
        <v>206</v>
      </c>
      <c r="E17292" s="3" t="s">
        <v>100</v>
      </c>
      <c r="F17292" s="7">
        <v>46080.67230097648</v>
      </c>
      <c r="G17292" s="3" t="s">
        <v>8091</v>
      </c>
    </row>
    <row r="17293">
      <c r="A17293" s="3" t="s">
        <v>33371</v>
      </c>
      <c r="B17293" s="3" t="s">
        <v>14422</v>
      </c>
      <c r="C17293" s="5" t="s">
        <v>206</v>
      </c>
      <c r="D17293" s="3" t="s">
        <v>68</v>
      </c>
      <c r="E17293" s="3" t="s">
        <v>100</v>
      </c>
      <c r="F17293" s="7">
        <v>46080.6757731987</v>
      </c>
      <c r="G17293" s="3" t="s">
        <v>8094</v>
      </c>
    </row>
    <row r="17294">
      <c r="A17294" s="3" t="s">
        <v>33372</v>
      </c>
      <c r="B17294" s="3" t="s">
        <v>14425</v>
      </c>
      <c r="C17294" s="5" t="s">
        <v>45</v>
      </c>
      <c r="D17294" s="3" t="s">
        <v>221</v>
      </c>
      <c r="E17294" s="3" t="s">
        <v>838</v>
      </c>
      <c r="F17294" s="7">
        <v>46080.73653137744</v>
      </c>
      <c r="G17294" s="3" t="s">
        <v>8839</v>
      </c>
    </row>
    <row r="17295">
      <c r="A17295" s="3" t="s">
        <v>33373</v>
      </c>
      <c r="B17295" s="3" t="s">
        <v>14425</v>
      </c>
      <c r="C17295" s="5" t="s">
        <v>221</v>
      </c>
      <c r="D17295" s="3" t="s">
        <v>614</v>
      </c>
      <c r="E17295" s="3" t="s">
        <v>118</v>
      </c>
      <c r="F17295" s="7">
        <v>46080.74000359966</v>
      </c>
      <c r="G17295" s="3" t="s">
        <v>8842</v>
      </c>
    </row>
    <row r="17296">
      <c r="A17296" s="3" t="s">
        <v>33374</v>
      </c>
      <c r="B17296" s="3" t="s">
        <v>14425</v>
      </c>
      <c r="C17296" s="5" t="s">
        <v>614</v>
      </c>
      <c r="D17296" s="3" t="s">
        <v>206</v>
      </c>
      <c r="E17296" s="3" t="s">
        <v>100</v>
      </c>
      <c r="F17296" s="7">
        <v>46080.74347582189</v>
      </c>
      <c r="G17296" s="3" t="s">
        <v>8845</v>
      </c>
    </row>
    <row r="17297">
      <c r="A17297" s="3" t="s">
        <v>33375</v>
      </c>
      <c r="B17297" s="3" t="s">
        <v>14425</v>
      </c>
      <c r="C17297" s="5" t="s">
        <v>206</v>
      </c>
      <c r="D17297" s="3" t="s">
        <v>68</v>
      </c>
      <c r="E17297" s="3" t="s">
        <v>100</v>
      </c>
      <c r="F17297" s="7">
        <v>46080.74694804411</v>
      </c>
      <c r="G17297" s="3" t="s">
        <v>8848</v>
      </c>
    </row>
    <row r="17298">
      <c r="A17298" s="3" t="s">
        <v>33376</v>
      </c>
      <c r="B17298" s="3" t="s">
        <v>14429</v>
      </c>
      <c r="C17298" s="5" t="s">
        <v>45</v>
      </c>
      <c r="D17298" s="3" t="s">
        <v>221</v>
      </c>
      <c r="E17298" s="3" t="s">
        <v>747</v>
      </c>
      <c r="F17298" s="7">
        <v>46080.80770622286</v>
      </c>
      <c r="G17298" s="3" t="s">
        <v>21283</v>
      </c>
    </row>
    <row r="17299">
      <c r="A17299" s="3" t="s">
        <v>33377</v>
      </c>
      <c r="B17299" s="3" t="s">
        <v>14429</v>
      </c>
      <c r="C17299" s="5" t="s">
        <v>221</v>
      </c>
      <c r="D17299" s="3" t="s">
        <v>614</v>
      </c>
      <c r="E17299" s="3" t="s">
        <v>118</v>
      </c>
      <c r="F17299" s="7">
        <v>46080.81117844508</v>
      </c>
      <c r="G17299" s="3" t="s">
        <v>21286</v>
      </c>
    </row>
    <row r="17300">
      <c r="A17300" s="3" t="s">
        <v>33378</v>
      </c>
      <c r="B17300" s="3" t="s">
        <v>14429</v>
      </c>
      <c r="C17300" s="5" t="s">
        <v>614</v>
      </c>
      <c r="D17300" s="3" t="s">
        <v>206</v>
      </c>
      <c r="E17300" s="3" t="s">
        <v>100</v>
      </c>
      <c r="F17300" s="7">
        <v>46080.81465066731</v>
      </c>
      <c r="G17300" s="3" t="s">
        <v>21288</v>
      </c>
    </row>
    <row r="17301">
      <c r="A17301" s="3" t="s">
        <v>33379</v>
      </c>
      <c r="B17301" s="3" t="s">
        <v>14429</v>
      </c>
      <c r="C17301" s="5" t="s">
        <v>206</v>
      </c>
      <c r="D17301" s="3" t="s">
        <v>68</v>
      </c>
      <c r="E17301" s="3" t="s">
        <v>100</v>
      </c>
      <c r="F17301" s="7">
        <v>46080.81812288953</v>
      </c>
      <c r="G17301" s="3" t="s">
        <v>21291</v>
      </c>
    </row>
    <row r="17302">
      <c r="A17302" s="3" t="s">
        <v>33380</v>
      </c>
      <c r="B17302" s="3" t="s">
        <v>14432</v>
      </c>
      <c r="C17302" s="5" t="s">
        <v>45</v>
      </c>
      <c r="D17302" s="3" t="s">
        <v>221</v>
      </c>
      <c r="E17302" s="3" t="s">
        <v>947</v>
      </c>
      <c r="F17302" s="7">
        <v>46080.87888106828</v>
      </c>
      <c r="G17302" s="3" t="s">
        <v>19647</v>
      </c>
    </row>
    <row r="17303">
      <c r="A17303" s="3" t="s">
        <v>33381</v>
      </c>
      <c r="B17303" s="3" t="s">
        <v>14432</v>
      </c>
      <c r="C17303" s="5" t="s">
        <v>221</v>
      </c>
      <c r="D17303" s="3" t="s">
        <v>614</v>
      </c>
      <c r="E17303" s="3" t="s">
        <v>118</v>
      </c>
      <c r="F17303" s="7">
        <v>46080.8823532905</v>
      </c>
      <c r="G17303" s="3" t="s">
        <v>19650</v>
      </c>
    </row>
    <row r="17304">
      <c r="A17304" s="3" t="s">
        <v>33382</v>
      </c>
      <c r="B17304" s="3" t="s">
        <v>14432</v>
      </c>
      <c r="C17304" s="5" t="s">
        <v>614</v>
      </c>
      <c r="D17304" s="3" t="s">
        <v>206</v>
      </c>
      <c r="E17304" s="3" t="s">
        <v>100</v>
      </c>
      <c r="F17304" s="7">
        <v>46080.88582551273</v>
      </c>
      <c r="G17304" s="3" t="s">
        <v>19653</v>
      </c>
    </row>
    <row r="17305">
      <c r="A17305" s="3" t="s">
        <v>33383</v>
      </c>
      <c r="B17305" s="3" t="s">
        <v>14432</v>
      </c>
      <c r="C17305" s="5" t="s">
        <v>206</v>
      </c>
      <c r="D17305" s="3" t="s">
        <v>68</v>
      </c>
      <c r="E17305" s="3" t="s">
        <v>100</v>
      </c>
      <c r="F17305" s="7">
        <v>46080.889297734946</v>
      </c>
      <c r="G17305" s="3" t="s">
        <v>19656</v>
      </c>
    </row>
    <row r="17306">
      <c r="A17306" s="3" t="s">
        <v>33384</v>
      </c>
      <c r="B17306" s="3" t="s">
        <v>14435</v>
      </c>
      <c r="C17306" s="5" t="s">
        <v>45</v>
      </c>
      <c r="D17306" s="3" t="s">
        <v>221</v>
      </c>
      <c r="E17306" s="3" t="s">
        <v>541</v>
      </c>
      <c r="F17306" s="7">
        <v>46080.950055913694</v>
      </c>
      <c r="G17306" s="3" t="s">
        <v>11524</v>
      </c>
    </row>
    <row r="17307">
      <c r="A17307" s="3" t="s">
        <v>33385</v>
      </c>
      <c r="B17307" s="3" t="s">
        <v>14435</v>
      </c>
      <c r="C17307" s="5" t="s">
        <v>221</v>
      </c>
      <c r="D17307" s="3" t="s">
        <v>614</v>
      </c>
      <c r="E17307" s="3" t="s">
        <v>118</v>
      </c>
      <c r="F17307" s="7">
        <v>46080.95352813591</v>
      </c>
      <c r="G17307" s="3" t="s">
        <v>11527</v>
      </c>
    </row>
    <row r="17308">
      <c r="A17308" s="3" t="s">
        <v>33386</v>
      </c>
      <c r="B17308" s="3" t="s">
        <v>14435</v>
      </c>
      <c r="C17308" s="5" t="s">
        <v>614</v>
      </c>
      <c r="D17308" s="3" t="s">
        <v>206</v>
      </c>
      <c r="E17308" s="3" t="s">
        <v>100</v>
      </c>
      <c r="F17308" s="7">
        <v>46080.95700035814</v>
      </c>
      <c r="G17308" s="3" t="s">
        <v>11530</v>
      </c>
    </row>
    <row r="17309">
      <c r="A17309" s="3" t="s">
        <v>33387</v>
      </c>
      <c r="B17309" s="3" t="s">
        <v>14435</v>
      </c>
      <c r="C17309" s="5" t="s">
        <v>206</v>
      </c>
      <c r="D17309" s="3" t="s">
        <v>68</v>
      </c>
      <c r="E17309" s="3" t="s">
        <v>100</v>
      </c>
      <c r="F17309" s="7">
        <v>46080.96047258036</v>
      </c>
      <c r="G17309" s="3" t="s">
        <v>11533</v>
      </c>
    </row>
    <row r="17310">
      <c r="A17310" s="3" t="s">
        <v>33388</v>
      </c>
      <c r="B17310" s="3" t="s">
        <v>14438</v>
      </c>
      <c r="C17310" s="5" t="s">
        <v>45</v>
      </c>
      <c r="D17310" s="3" t="s">
        <v>221</v>
      </c>
      <c r="E17310" s="3" t="s">
        <v>822</v>
      </c>
      <c r="F17310" s="7">
        <v>46081.02123075911</v>
      </c>
      <c r="G17310" s="3" t="s">
        <v>28491</v>
      </c>
    </row>
    <row r="17311">
      <c r="A17311" s="3" t="s">
        <v>33389</v>
      </c>
      <c r="B17311" s="3" t="s">
        <v>14438</v>
      </c>
      <c r="C17311" s="5" t="s">
        <v>221</v>
      </c>
      <c r="D17311" s="3" t="s">
        <v>614</v>
      </c>
      <c r="E17311" s="3" t="s">
        <v>118</v>
      </c>
      <c r="F17311" s="7">
        <v>46081.024702981325</v>
      </c>
      <c r="G17311" s="3" t="s">
        <v>28493</v>
      </c>
    </row>
    <row r="17312">
      <c r="A17312" s="3" t="s">
        <v>33390</v>
      </c>
      <c r="B17312" s="3" t="s">
        <v>14438</v>
      </c>
      <c r="C17312" s="5" t="s">
        <v>614</v>
      </c>
      <c r="D17312" s="3" t="s">
        <v>206</v>
      </c>
      <c r="E17312" s="3" t="s">
        <v>100</v>
      </c>
      <c r="F17312" s="7">
        <v>46081.02817520355</v>
      </c>
      <c r="G17312" s="3" t="s">
        <v>28495</v>
      </c>
    </row>
    <row r="17313">
      <c r="A17313" s="3" t="s">
        <v>33391</v>
      </c>
      <c r="B17313" s="3" t="s">
        <v>14438</v>
      </c>
      <c r="C17313" s="5" t="s">
        <v>206</v>
      </c>
      <c r="D17313" s="3" t="s">
        <v>68</v>
      </c>
      <c r="E17313" s="3" t="s">
        <v>100</v>
      </c>
      <c r="F17313" s="7">
        <v>46081.03164742577</v>
      </c>
      <c r="G17313" s="3" t="s">
        <v>28497</v>
      </c>
    </row>
    <row r="17314">
      <c r="A17314" s="3" t="s">
        <v>33392</v>
      </c>
      <c r="B17314" s="3" t="s">
        <v>14441</v>
      </c>
      <c r="C17314" s="5" t="s">
        <v>45</v>
      </c>
      <c r="D17314" s="3" t="s">
        <v>221</v>
      </c>
      <c r="E17314" s="3" t="s">
        <v>171</v>
      </c>
      <c r="F17314" s="7">
        <v>46081.092405604526</v>
      </c>
      <c r="G17314" s="3" t="s">
        <v>13962</v>
      </c>
    </row>
    <row r="17315">
      <c r="A17315" s="3" t="s">
        <v>33393</v>
      </c>
      <c r="B17315" s="3" t="s">
        <v>14441</v>
      </c>
      <c r="C17315" s="5" t="s">
        <v>221</v>
      </c>
      <c r="D17315" s="3" t="s">
        <v>614</v>
      </c>
      <c r="E17315" s="3" t="s">
        <v>118</v>
      </c>
      <c r="F17315" s="7">
        <v>46081.095877826745</v>
      </c>
      <c r="G17315" s="3" t="s">
        <v>13965</v>
      </c>
    </row>
    <row r="17316">
      <c r="A17316" s="3" t="s">
        <v>33394</v>
      </c>
      <c r="B17316" s="3" t="s">
        <v>14441</v>
      </c>
      <c r="C17316" s="5" t="s">
        <v>614</v>
      </c>
      <c r="D17316" s="3" t="s">
        <v>206</v>
      </c>
      <c r="E17316" s="3" t="s">
        <v>100</v>
      </c>
      <c r="F17316" s="7">
        <v>46081.09935004897</v>
      </c>
      <c r="G17316" s="3" t="s">
        <v>13968</v>
      </c>
    </row>
    <row r="17317">
      <c r="A17317" s="3" t="s">
        <v>33395</v>
      </c>
      <c r="B17317" s="3" t="s">
        <v>14441</v>
      </c>
      <c r="C17317" s="5" t="s">
        <v>206</v>
      </c>
      <c r="D17317" s="3" t="s">
        <v>68</v>
      </c>
      <c r="E17317" s="3" t="s">
        <v>100</v>
      </c>
      <c r="F17317" s="7">
        <v>46081.10282227119</v>
      </c>
      <c r="G17317" s="3" t="s">
        <v>13970</v>
      </c>
    </row>
    <row r="17318">
      <c r="A17318" s="3" t="s">
        <v>33396</v>
      </c>
      <c r="B17318" s="3" t="s">
        <v>14444</v>
      </c>
      <c r="C17318" s="5" t="s">
        <v>45</v>
      </c>
      <c r="D17318" s="3" t="s">
        <v>221</v>
      </c>
      <c r="E17318" s="3" t="s">
        <v>226</v>
      </c>
      <c r="F17318" s="7">
        <v>46081.16358044994</v>
      </c>
      <c r="G17318" s="3" t="s">
        <v>8889</v>
      </c>
    </row>
    <row r="17319">
      <c r="A17319" s="3" t="s">
        <v>33397</v>
      </c>
      <c r="B17319" s="3" t="s">
        <v>14444</v>
      </c>
      <c r="C17319" s="5" t="s">
        <v>221</v>
      </c>
      <c r="D17319" s="3" t="s">
        <v>614</v>
      </c>
      <c r="E17319" s="3" t="s">
        <v>118</v>
      </c>
      <c r="F17319" s="7">
        <v>46081.16705267216</v>
      </c>
      <c r="G17319" s="3" t="s">
        <v>8892</v>
      </c>
    </row>
    <row r="17320">
      <c r="A17320" s="3" t="s">
        <v>33398</v>
      </c>
      <c r="B17320" s="3" t="s">
        <v>14444</v>
      </c>
      <c r="C17320" s="5" t="s">
        <v>614</v>
      </c>
      <c r="D17320" s="3" t="s">
        <v>206</v>
      </c>
      <c r="E17320" s="3" t="s">
        <v>100</v>
      </c>
      <c r="F17320" s="7">
        <v>46081.17052489438</v>
      </c>
      <c r="G17320" s="3" t="s">
        <v>8895</v>
      </c>
    </row>
    <row r="17321">
      <c r="A17321" s="3" t="s">
        <v>33399</v>
      </c>
      <c r="B17321" s="3" t="s">
        <v>14444</v>
      </c>
      <c r="C17321" s="5" t="s">
        <v>206</v>
      </c>
      <c r="D17321" s="3" t="s">
        <v>68</v>
      </c>
      <c r="E17321" s="3" t="s">
        <v>100</v>
      </c>
      <c r="F17321" s="7">
        <v>46081.1739971166</v>
      </c>
      <c r="G17321" s="3" t="s">
        <v>8898</v>
      </c>
    </row>
    <row r="17322">
      <c r="A17322" s="3" t="s">
        <v>33400</v>
      </c>
      <c r="B17322" s="3" t="s">
        <v>14449</v>
      </c>
      <c r="C17322" s="5" t="s">
        <v>45</v>
      </c>
      <c r="D17322" s="3" t="s">
        <v>221</v>
      </c>
      <c r="E17322" s="3" t="s">
        <v>561</v>
      </c>
      <c r="F17322" s="7">
        <v>46081.23475529535</v>
      </c>
      <c r="G17322" s="3" t="s">
        <v>8949</v>
      </c>
    </row>
    <row r="17323">
      <c r="A17323" s="3" t="s">
        <v>33401</v>
      </c>
      <c r="B17323" s="3" t="s">
        <v>14449</v>
      </c>
      <c r="C17323" s="5" t="s">
        <v>221</v>
      </c>
      <c r="D17323" s="3" t="s">
        <v>614</v>
      </c>
      <c r="E17323" s="3" t="s">
        <v>118</v>
      </c>
      <c r="F17323" s="7">
        <v>46081.23822751757</v>
      </c>
      <c r="G17323" s="3" t="s">
        <v>8952</v>
      </c>
    </row>
    <row r="17324">
      <c r="A17324" s="3" t="s">
        <v>33402</v>
      </c>
      <c r="B17324" s="3" t="s">
        <v>14449</v>
      </c>
      <c r="C17324" s="5" t="s">
        <v>614</v>
      </c>
      <c r="D17324" s="3" t="s">
        <v>206</v>
      </c>
      <c r="E17324" s="3" t="s">
        <v>100</v>
      </c>
      <c r="F17324" s="7">
        <v>46081.241699739796</v>
      </c>
      <c r="G17324" s="3" t="s">
        <v>8954</v>
      </c>
    </row>
    <row r="17325">
      <c r="A17325" s="3" t="s">
        <v>33403</v>
      </c>
      <c r="B17325" s="3" t="s">
        <v>14449</v>
      </c>
      <c r="C17325" s="5" t="s">
        <v>206</v>
      </c>
      <c r="D17325" s="3" t="s">
        <v>68</v>
      </c>
      <c r="E17325" s="3" t="s">
        <v>100</v>
      </c>
      <c r="F17325" s="7">
        <v>46081.245171962015</v>
      </c>
      <c r="G17325" s="3" t="s">
        <v>8957</v>
      </c>
    </row>
    <row r="17326">
      <c r="A17326" s="3" t="s">
        <v>33404</v>
      </c>
      <c r="B17326" s="3" t="s">
        <v>14452</v>
      </c>
      <c r="C17326" s="5" t="s">
        <v>45</v>
      </c>
      <c r="D17326" s="3" t="s">
        <v>221</v>
      </c>
      <c r="E17326" s="3" t="s">
        <v>632</v>
      </c>
      <c r="F17326" s="7">
        <v>46081.30593014077</v>
      </c>
      <c r="G17326" s="3" t="s">
        <v>8968</v>
      </c>
    </row>
    <row r="17327">
      <c r="A17327" s="3" t="s">
        <v>33405</v>
      </c>
      <c r="B17327" s="3" t="s">
        <v>14452</v>
      </c>
      <c r="C17327" s="5" t="s">
        <v>221</v>
      </c>
      <c r="D17327" s="3" t="s">
        <v>614</v>
      </c>
      <c r="E17327" s="3" t="s">
        <v>118</v>
      </c>
      <c r="F17327" s="7">
        <v>46081.30940236299</v>
      </c>
      <c r="G17327" s="3" t="s">
        <v>8971</v>
      </c>
    </row>
    <row r="17328">
      <c r="A17328" s="3" t="s">
        <v>33406</v>
      </c>
      <c r="B17328" s="3" t="s">
        <v>14452</v>
      </c>
      <c r="C17328" s="5" t="s">
        <v>614</v>
      </c>
      <c r="D17328" s="3" t="s">
        <v>206</v>
      </c>
      <c r="E17328" s="3" t="s">
        <v>100</v>
      </c>
      <c r="F17328" s="7">
        <v>46081.312874585215</v>
      </c>
      <c r="G17328" s="3" t="s">
        <v>8974</v>
      </c>
    </row>
    <row r="17329">
      <c r="A17329" s="3" t="s">
        <v>33407</v>
      </c>
      <c r="B17329" s="3" t="s">
        <v>14452</v>
      </c>
      <c r="C17329" s="5" t="s">
        <v>206</v>
      </c>
      <c r="D17329" s="3" t="s">
        <v>68</v>
      </c>
      <c r="E17329" s="3" t="s">
        <v>100</v>
      </c>
      <c r="F17329" s="7">
        <v>46081.316346807434</v>
      </c>
      <c r="G17329" s="3" t="s">
        <v>8977</v>
      </c>
    </row>
    <row r="17330">
      <c r="A17330" s="3" t="s">
        <v>33408</v>
      </c>
      <c r="B17330" s="3" t="s">
        <v>14455</v>
      </c>
      <c r="C17330" s="5" t="s">
        <v>45</v>
      </c>
      <c r="D17330" s="3" t="s">
        <v>221</v>
      </c>
      <c r="E17330" s="3" t="s">
        <v>449</v>
      </c>
      <c r="F17330" s="7">
        <v>46081.37710498618</v>
      </c>
      <c r="G17330" s="3" t="s">
        <v>20719</v>
      </c>
    </row>
    <row r="17331">
      <c r="A17331" s="3" t="s">
        <v>33409</v>
      </c>
      <c r="B17331" s="3" t="s">
        <v>14455</v>
      </c>
      <c r="C17331" s="5" t="s">
        <v>221</v>
      </c>
      <c r="D17331" s="3" t="s">
        <v>614</v>
      </c>
      <c r="E17331" s="3" t="s">
        <v>118</v>
      </c>
      <c r="F17331" s="7">
        <v>46081.3805772084</v>
      </c>
      <c r="G17331" s="3" t="s">
        <v>32515</v>
      </c>
    </row>
    <row r="17332">
      <c r="A17332" s="3" t="s">
        <v>33410</v>
      </c>
      <c r="B17332" s="3" t="s">
        <v>14455</v>
      </c>
      <c r="C17332" s="5" t="s">
        <v>614</v>
      </c>
      <c r="D17332" s="3" t="s">
        <v>206</v>
      </c>
      <c r="E17332" s="3" t="s">
        <v>100</v>
      </c>
      <c r="F17332" s="7">
        <v>46081.38404943063</v>
      </c>
      <c r="G17332" s="3" t="s">
        <v>32517</v>
      </c>
    </row>
    <row r="17333">
      <c r="A17333" s="3" t="s">
        <v>33411</v>
      </c>
      <c r="B17333" s="3" t="s">
        <v>14455</v>
      </c>
      <c r="C17333" s="5" t="s">
        <v>206</v>
      </c>
      <c r="D17333" s="3" t="s">
        <v>68</v>
      </c>
      <c r="E17333" s="3" t="s">
        <v>100</v>
      </c>
      <c r="F17333" s="7">
        <v>46081.38752165285</v>
      </c>
      <c r="G17333" s="3" t="s">
        <v>32519</v>
      </c>
    </row>
    <row r="17334">
      <c r="A17334" s="3" t="s">
        <v>33412</v>
      </c>
      <c r="B17334" s="3" t="s">
        <v>14459</v>
      </c>
      <c r="C17334" s="5" t="s">
        <v>45</v>
      </c>
      <c r="D17334" s="3" t="s">
        <v>221</v>
      </c>
      <c r="E17334" s="3" t="s">
        <v>507</v>
      </c>
      <c r="F17334" s="7">
        <v>46081.448279831595</v>
      </c>
      <c r="G17334" s="3" t="s">
        <v>9043</v>
      </c>
    </row>
    <row r="17335">
      <c r="A17335" s="3" t="s">
        <v>33413</v>
      </c>
      <c r="B17335" s="3" t="s">
        <v>14459</v>
      </c>
      <c r="C17335" s="5" t="s">
        <v>221</v>
      </c>
      <c r="D17335" s="3" t="s">
        <v>614</v>
      </c>
      <c r="E17335" s="3" t="s">
        <v>118</v>
      </c>
      <c r="F17335" s="7">
        <v>46081.451752053814</v>
      </c>
      <c r="G17335" s="3" t="s">
        <v>9046</v>
      </c>
    </row>
    <row r="17336">
      <c r="A17336" s="3" t="s">
        <v>33414</v>
      </c>
      <c r="B17336" s="3" t="s">
        <v>14459</v>
      </c>
      <c r="C17336" s="5" t="s">
        <v>614</v>
      </c>
      <c r="D17336" s="3" t="s">
        <v>206</v>
      </c>
      <c r="E17336" s="3" t="s">
        <v>100</v>
      </c>
      <c r="F17336" s="7">
        <v>46081.45522427604</v>
      </c>
      <c r="G17336" s="3" t="s">
        <v>9049</v>
      </c>
    </row>
    <row r="17337">
      <c r="A17337" s="3" t="s">
        <v>33415</v>
      </c>
      <c r="B17337" s="3" t="s">
        <v>14459</v>
      </c>
      <c r="C17337" s="5" t="s">
        <v>206</v>
      </c>
      <c r="D17337" s="3" t="s">
        <v>68</v>
      </c>
      <c r="E17337" s="3" t="s">
        <v>100</v>
      </c>
      <c r="F17337" s="7">
        <v>46081.45869649826</v>
      </c>
      <c r="G17337" s="3" t="s">
        <v>9051</v>
      </c>
    </row>
    <row r="17338">
      <c r="A17338" s="3" t="s">
        <v>33416</v>
      </c>
      <c r="B17338" s="3" t="s">
        <v>14462</v>
      </c>
      <c r="C17338" s="5" t="s">
        <v>45</v>
      </c>
      <c r="D17338" s="3" t="s">
        <v>221</v>
      </c>
      <c r="E17338" s="3" t="s">
        <v>727</v>
      </c>
      <c r="F17338" s="7">
        <v>46081.519454677014</v>
      </c>
      <c r="G17338" s="3" t="s">
        <v>9128</v>
      </c>
    </row>
    <row r="17339">
      <c r="A17339" s="3" t="s">
        <v>33417</v>
      </c>
      <c r="B17339" s="3" t="s">
        <v>14462</v>
      </c>
      <c r="C17339" s="5" t="s">
        <v>221</v>
      </c>
      <c r="D17339" s="3" t="s">
        <v>614</v>
      </c>
      <c r="E17339" s="3" t="s">
        <v>118</v>
      </c>
      <c r="F17339" s="7">
        <v>46081.52292689923</v>
      </c>
      <c r="G17339" s="3" t="s">
        <v>9131</v>
      </c>
    </row>
    <row r="17340">
      <c r="A17340" s="3" t="s">
        <v>33418</v>
      </c>
      <c r="B17340" s="3" t="s">
        <v>14462</v>
      </c>
      <c r="C17340" s="5" t="s">
        <v>614</v>
      </c>
      <c r="D17340" s="3" t="s">
        <v>206</v>
      </c>
      <c r="E17340" s="3" t="s">
        <v>100</v>
      </c>
      <c r="F17340" s="7">
        <v>46081.52639912146</v>
      </c>
      <c r="G17340" s="3" t="s">
        <v>9134</v>
      </c>
    </row>
    <row r="17341">
      <c r="A17341" s="3" t="s">
        <v>33419</v>
      </c>
      <c r="B17341" s="3" t="s">
        <v>14462</v>
      </c>
      <c r="C17341" s="5" t="s">
        <v>206</v>
      </c>
      <c r="D17341" s="3" t="s">
        <v>68</v>
      </c>
      <c r="E17341" s="3" t="s">
        <v>100</v>
      </c>
      <c r="F17341" s="7">
        <v>46081.52987134368</v>
      </c>
      <c r="G17341" s="3" t="s">
        <v>9137</v>
      </c>
    </row>
    <row r="17342">
      <c r="A17342" s="3" t="s">
        <v>33420</v>
      </c>
      <c r="B17342" s="3" t="s">
        <v>14466</v>
      </c>
      <c r="C17342" s="5" t="s">
        <v>45</v>
      </c>
      <c r="D17342" s="3" t="s">
        <v>221</v>
      </c>
      <c r="E17342" s="3" t="s">
        <v>838</v>
      </c>
      <c r="F17342" s="7">
        <v>46081.59062952243</v>
      </c>
      <c r="G17342" s="3" t="s">
        <v>25660</v>
      </c>
    </row>
    <row r="17343">
      <c r="A17343" s="3" t="s">
        <v>33421</v>
      </c>
      <c r="B17343" s="3" t="s">
        <v>14466</v>
      </c>
      <c r="C17343" s="5" t="s">
        <v>221</v>
      </c>
      <c r="D17343" s="3" t="s">
        <v>614</v>
      </c>
      <c r="E17343" s="3" t="s">
        <v>118</v>
      </c>
      <c r="F17343" s="7">
        <v>46081.594101744646</v>
      </c>
      <c r="G17343" s="3" t="s">
        <v>25662</v>
      </c>
    </row>
    <row r="17344">
      <c r="A17344" s="3" t="s">
        <v>33422</v>
      </c>
      <c r="B17344" s="3" t="s">
        <v>14466</v>
      </c>
      <c r="C17344" s="5" t="s">
        <v>614</v>
      </c>
      <c r="D17344" s="3" t="s">
        <v>206</v>
      </c>
      <c r="E17344" s="3" t="s">
        <v>100</v>
      </c>
      <c r="F17344" s="7">
        <v>46081.59757396687</v>
      </c>
      <c r="G17344" s="3" t="s">
        <v>25664</v>
      </c>
    </row>
    <row r="17345">
      <c r="A17345" s="3" t="s">
        <v>33423</v>
      </c>
      <c r="B17345" s="3" t="s">
        <v>14466</v>
      </c>
      <c r="C17345" s="5" t="s">
        <v>206</v>
      </c>
      <c r="D17345" s="3" t="s">
        <v>68</v>
      </c>
      <c r="E17345" s="3" t="s">
        <v>100</v>
      </c>
      <c r="F17345" s="7">
        <v>46081.60104618909</v>
      </c>
      <c r="G17345" s="3" t="s">
        <v>25666</v>
      </c>
    </row>
    <row r="17346">
      <c r="A17346" s="3" t="s">
        <v>33424</v>
      </c>
      <c r="B17346" s="3" t="s">
        <v>14469</v>
      </c>
      <c r="C17346" s="5" t="s">
        <v>45</v>
      </c>
      <c r="D17346" s="3" t="s">
        <v>221</v>
      </c>
      <c r="E17346" s="3" t="s">
        <v>643</v>
      </c>
      <c r="F17346" s="7">
        <v>46081.66180436784</v>
      </c>
      <c r="G17346" s="3" t="s">
        <v>19687</v>
      </c>
    </row>
    <row r="17347">
      <c r="A17347" s="3" t="s">
        <v>33425</v>
      </c>
      <c r="B17347" s="3" t="s">
        <v>14469</v>
      </c>
      <c r="C17347" s="5" t="s">
        <v>221</v>
      </c>
      <c r="D17347" s="3" t="s">
        <v>614</v>
      </c>
      <c r="E17347" s="3" t="s">
        <v>118</v>
      </c>
      <c r="F17347" s="7">
        <v>46081.66527659006</v>
      </c>
      <c r="G17347" s="3" t="s">
        <v>19690</v>
      </c>
    </row>
    <row r="17348">
      <c r="A17348" s="3" t="s">
        <v>33426</v>
      </c>
      <c r="B17348" s="3" t="s">
        <v>14469</v>
      </c>
      <c r="C17348" s="5" t="s">
        <v>614</v>
      </c>
      <c r="D17348" s="3" t="s">
        <v>206</v>
      </c>
      <c r="E17348" s="3" t="s">
        <v>100</v>
      </c>
      <c r="F17348" s="7">
        <v>46081.668748812284</v>
      </c>
      <c r="G17348" s="3" t="s">
        <v>19693</v>
      </c>
    </row>
    <row r="17349">
      <c r="A17349" s="3" t="s">
        <v>33427</v>
      </c>
      <c r="B17349" s="3" t="s">
        <v>14469</v>
      </c>
      <c r="C17349" s="5" t="s">
        <v>206</v>
      </c>
      <c r="D17349" s="3" t="s">
        <v>68</v>
      </c>
      <c r="E17349" s="3" t="s">
        <v>100</v>
      </c>
      <c r="F17349" s="7">
        <v>46081.6722210345</v>
      </c>
      <c r="G17349" s="3" t="s">
        <v>19695</v>
      </c>
    </row>
    <row r="17350">
      <c r="A17350" s="3" t="s">
        <v>33428</v>
      </c>
      <c r="B17350" s="3" t="s">
        <v>14472</v>
      </c>
      <c r="C17350" s="5" t="s">
        <v>45</v>
      </c>
      <c r="D17350" s="3" t="s">
        <v>221</v>
      </c>
      <c r="E17350" s="3" t="s">
        <v>605</v>
      </c>
      <c r="F17350" s="7">
        <v>46081.73297921326</v>
      </c>
      <c r="G17350" s="3" t="s">
        <v>4895</v>
      </c>
    </row>
    <row r="17351">
      <c r="A17351" s="3" t="s">
        <v>33429</v>
      </c>
      <c r="B17351" s="3" t="s">
        <v>14472</v>
      </c>
      <c r="C17351" s="5" t="s">
        <v>221</v>
      </c>
      <c r="D17351" s="3" t="s">
        <v>614</v>
      </c>
      <c r="E17351" s="3" t="s">
        <v>118</v>
      </c>
      <c r="F17351" s="7">
        <v>46081.73645143548</v>
      </c>
      <c r="G17351" s="3" t="s">
        <v>4898</v>
      </c>
    </row>
    <row r="17352">
      <c r="A17352" s="3" t="s">
        <v>33430</v>
      </c>
      <c r="B17352" s="3" t="s">
        <v>14472</v>
      </c>
      <c r="C17352" s="5" t="s">
        <v>614</v>
      </c>
      <c r="D17352" s="3" t="s">
        <v>206</v>
      </c>
      <c r="E17352" s="3" t="s">
        <v>100</v>
      </c>
      <c r="F17352" s="7">
        <v>46081.739923657704</v>
      </c>
      <c r="G17352" s="3" t="s">
        <v>4900</v>
      </c>
    </row>
    <row r="17353">
      <c r="A17353" s="3" t="s">
        <v>33431</v>
      </c>
      <c r="B17353" s="3" t="s">
        <v>14472</v>
      </c>
      <c r="C17353" s="5" t="s">
        <v>206</v>
      </c>
      <c r="D17353" s="3" t="s">
        <v>68</v>
      </c>
      <c r="E17353" s="3" t="s">
        <v>100</v>
      </c>
      <c r="F17353" s="7">
        <v>46081.74339587992</v>
      </c>
      <c r="G17353" s="3" t="s">
        <v>4903</v>
      </c>
    </row>
    <row r="17354">
      <c r="A17354" s="3" t="s">
        <v>33432</v>
      </c>
      <c r="B17354" s="3" t="s">
        <v>14477</v>
      </c>
      <c r="C17354" s="5" t="s">
        <v>45</v>
      </c>
      <c r="D17354" s="3" t="s">
        <v>221</v>
      </c>
      <c r="E17354" s="3" t="s">
        <v>330</v>
      </c>
      <c r="F17354" s="7">
        <v>46081.80415405868</v>
      </c>
      <c r="G17354" s="3" t="s">
        <v>3582</v>
      </c>
    </row>
    <row r="17355">
      <c r="A17355" s="3" t="s">
        <v>33433</v>
      </c>
      <c r="B17355" s="3" t="s">
        <v>14477</v>
      </c>
      <c r="C17355" s="5" t="s">
        <v>221</v>
      </c>
      <c r="D17355" s="3" t="s">
        <v>614</v>
      </c>
      <c r="E17355" s="3" t="s">
        <v>118</v>
      </c>
      <c r="F17355" s="7">
        <v>46081.8076262809</v>
      </c>
      <c r="G17355" s="3" t="s">
        <v>3585</v>
      </c>
    </row>
    <row r="17356">
      <c r="A17356" s="3" t="s">
        <v>33434</v>
      </c>
      <c r="B17356" s="3" t="s">
        <v>14477</v>
      </c>
      <c r="C17356" s="5" t="s">
        <v>614</v>
      </c>
      <c r="D17356" s="3" t="s">
        <v>206</v>
      </c>
      <c r="E17356" s="3" t="s">
        <v>100</v>
      </c>
      <c r="F17356" s="7">
        <v>46081.81109850312</v>
      </c>
      <c r="G17356" s="3" t="s">
        <v>3588</v>
      </c>
    </row>
    <row r="17357">
      <c r="A17357" s="3" t="s">
        <v>33435</v>
      </c>
      <c r="B17357" s="3" t="s">
        <v>14477</v>
      </c>
      <c r="C17357" s="5" t="s">
        <v>206</v>
      </c>
      <c r="D17357" s="3" t="s">
        <v>68</v>
      </c>
      <c r="E17357" s="3" t="s">
        <v>100</v>
      </c>
      <c r="F17357" s="7">
        <v>46081.81457072534</v>
      </c>
      <c r="G17357" s="3" t="s">
        <v>3591</v>
      </c>
    </row>
    <row r="17358">
      <c r="A17358" s="3" t="s">
        <v>33436</v>
      </c>
      <c r="B17358" s="3" t="s">
        <v>14480</v>
      </c>
      <c r="C17358" s="5" t="s">
        <v>45</v>
      </c>
      <c r="D17358" s="3" t="s">
        <v>221</v>
      </c>
      <c r="E17358" s="3" t="s">
        <v>609</v>
      </c>
      <c r="F17358" s="7">
        <v>46081.87532890408</v>
      </c>
      <c r="G17358" s="3" t="s">
        <v>19846</v>
      </c>
    </row>
    <row r="17359">
      <c r="A17359" s="3" t="s">
        <v>33437</v>
      </c>
      <c r="B17359" s="3" t="s">
        <v>14480</v>
      </c>
      <c r="C17359" s="5" t="s">
        <v>221</v>
      </c>
      <c r="D17359" s="3" t="s">
        <v>614</v>
      </c>
      <c r="E17359" s="3" t="s">
        <v>118</v>
      </c>
      <c r="F17359" s="7">
        <v>46081.8788011263</v>
      </c>
      <c r="G17359" s="3" t="s">
        <v>19849</v>
      </c>
    </row>
    <row r="17360">
      <c r="A17360" s="3" t="s">
        <v>33438</v>
      </c>
      <c r="B17360" s="3" t="s">
        <v>14480</v>
      </c>
      <c r="C17360" s="5" t="s">
        <v>614</v>
      </c>
      <c r="D17360" s="3" t="s">
        <v>206</v>
      </c>
      <c r="E17360" s="3" t="s">
        <v>100</v>
      </c>
      <c r="F17360" s="7">
        <v>46081.88227334853</v>
      </c>
      <c r="G17360" s="3" t="s">
        <v>19851</v>
      </c>
    </row>
    <row r="17361">
      <c r="A17361" s="3" t="s">
        <v>33439</v>
      </c>
      <c r="B17361" s="3" t="s">
        <v>14480</v>
      </c>
      <c r="C17361" s="5" t="s">
        <v>206</v>
      </c>
      <c r="D17361" s="3" t="s">
        <v>68</v>
      </c>
      <c r="E17361" s="3" t="s">
        <v>100</v>
      </c>
      <c r="F17361" s="7">
        <v>46081.88574557075</v>
      </c>
      <c r="G17361" s="3" t="s">
        <v>19854</v>
      </c>
    </row>
    <row r="17362">
      <c r="A17362" s="3" t="s">
        <v>33440</v>
      </c>
      <c r="B17362" s="3" t="s">
        <v>14483</v>
      </c>
      <c r="C17362" s="5" t="s">
        <v>45</v>
      </c>
      <c r="D17362" s="3" t="s">
        <v>221</v>
      </c>
      <c r="E17362" s="3" t="s">
        <v>756</v>
      </c>
      <c r="F17362" s="7">
        <v>46081.9465037495</v>
      </c>
      <c r="G17362" s="3" t="s">
        <v>9199</v>
      </c>
    </row>
    <row r="17363">
      <c r="A17363" s="3" t="s">
        <v>33441</v>
      </c>
      <c r="B17363" s="3" t="s">
        <v>14483</v>
      </c>
      <c r="C17363" s="5" t="s">
        <v>221</v>
      </c>
      <c r="D17363" s="3" t="s">
        <v>614</v>
      </c>
      <c r="E17363" s="3" t="s">
        <v>118</v>
      </c>
      <c r="F17363" s="7">
        <v>46081.94997597172</v>
      </c>
      <c r="G17363" s="3" t="s">
        <v>9202</v>
      </c>
    </row>
    <row r="17364">
      <c r="A17364" s="3" t="s">
        <v>33442</v>
      </c>
      <c r="B17364" s="3" t="s">
        <v>14483</v>
      </c>
      <c r="C17364" s="5" t="s">
        <v>614</v>
      </c>
      <c r="D17364" s="3" t="s">
        <v>206</v>
      </c>
      <c r="E17364" s="3" t="s">
        <v>100</v>
      </c>
      <c r="F17364" s="7">
        <v>46081.95344819395</v>
      </c>
      <c r="G17364" s="3" t="s">
        <v>9205</v>
      </c>
    </row>
    <row r="17365">
      <c r="A17365" s="3" t="s">
        <v>33443</v>
      </c>
      <c r="B17365" s="3" t="s">
        <v>14483</v>
      </c>
      <c r="C17365" s="5" t="s">
        <v>206</v>
      </c>
      <c r="D17365" s="3" t="s">
        <v>68</v>
      </c>
      <c r="E17365" s="3" t="s">
        <v>100</v>
      </c>
      <c r="F17365" s="7">
        <v>46081.95692041617</v>
      </c>
      <c r="G17365" s="3" t="s">
        <v>9208</v>
      </c>
    </row>
    <row r="17366">
      <c r="A17366" s="3" t="s">
        <v>33444</v>
      </c>
      <c r="B17366" s="3" t="s">
        <v>14486</v>
      </c>
      <c r="C17366" s="5" t="s">
        <v>45</v>
      </c>
      <c r="D17366" s="3" t="s">
        <v>221</v>
      </c>
      <c r="E17366" s="3" t="s">
        <v>819</v>
      </c>
      <c r="F17366" s="7">
        <v>46082.01767859492</v>
      </c>
      <c r="G17366" s="3" t="s">
        <v>27364</v>
      </c>
    </row>
    <row r="17367">
      <c r="A17367" s="3" t="s">
        <v>33445</v>
      </c>
      <c r="B17367" s="3" t="s">
        <v>14486</v>
      </c>
      <c r="C17367" s="5" t="s">
        <v>221</v>
      </c>
      <c r="D17367" s="3" t="s">
        <v>614</v>
      </c>
      <c r="E17367" s="3" t="s">
        <v>118</v>
      </c>
      <c r="F17367" s="7">
        <v>46082.02115081714</v>
      </c>
      <c r="G17367" s="3" t="s">
        <v>27366</v>
      </c>
    </row>
    <row r="17368">
      <c r="A17368" s="3" t="s">
        <v>33446</v>
      </c>
      <c r="B17368" s="3" t="s">
        <v>14486</v>
      </c>
      <c r="C17368" s="5" t="s">
        <v>614</v>
      </c>
      <c r="D17368" s="3" t="s">
        <v>206</v>
      </c>
      <c r="E17368" s="3" t="s">
        <v>100</v>
      </c>
      <c r="F17368" s="7">
        <v>46082.02462303937</v>
      </c>
      <c r="G17368" s="3" t="s">
        <v>27368</v>
      </c>
    </row>
    <row r="17369">
      <c r="A17369" s="3" t="s">
        <v>33447</v>
      </c>
      <c r="B17369" s="3" t="s">
        <v>14486</v>
      </c>
      <c r="C17369" s="5" t="s">
        <v>206</v>
      </c>
      <c r="D17369" s="3" t="s">
        <v>68</v>
      </c>
      <c r="E17369" s="3" t="s">
        <v>100</v>
      </c>
      <c r="F17369" s="7">
        <v>46082.02809526159</v>
      </c>
      <c r="G17369" s="3" t="s">
        <v>27370</v>
      </c>
    </row>
    <row r="17370">
      <c r="A17370" s="3" t="s">
        <v>33448</v>
      </c>
      <c r="B17370" s="3" t="s">
        <v>14489</v>
      </c>
      <c r="C17370" s="5" t="s">
        <v>45</v>
      </c>
      <c r="D17370" s="3" t="s">
        <v>221</v>
      </c>
      <c r="E17370" s="3" t="s">
        <v>937</v>
      </c>
      <c r="F17370" s="7">
        <v>46082.088853440335</v>
      </c>
      <c r="G17370" s="3" t="s">
        <v>24427</v>
      </c>
    </row>
    <row r="17371">
      <c r="A17371" s="3" t="s">
        <v>33449</v>
      </c>
      <c r="B17371" s="3" t="s">
        <v>14489</v>
      </c>
      <c r="C17371" s="5" t="s">
        <v>221</v>
      </c>
      <c r="D17371" s="3" t="s">
        <v>614</v>
      </c>
      <c r="E17371" s="3" t="s">
        <v>118</v>
      </c>
      <c r="F17371" s="7">
        <v>46082.092325662554</v>
      </c>
      <c r="G17371" s="3" t="s">
        <v>24429</v>
      </c>
    </row>
    <row r="17372">
      <c r="A17372" s="3" t="s">
        <v>33450</v>
      </c>
      <c r="B17372" s="3" t="s">
        <v>14489</v>
      </c>
      <c r="C17372" s="5" t="s">
        <v>614</v>
      </c>
      <c r="D17372" s="3" t="s">
        <v>206</v>
      </c>
      <c r="E17372" s="3" t="s">
        <v>100</v>
      </c>
      <c r="F17372" s="7">
        <v>46082.09579788478</v>
      </c>
      <c r="G17372" s="3" t="s">
        <v>24431</v>
      </c>
    </row>
    <row r="17373">
      <c r="A17373" s="3" t="s">
        <v>33451</v>
      </c>
      <c r="B17373" s="3" t="s">
        <v>14489</v>
      </c>
      <c r="C17373" s="5" t="s">
        <v>206</v>
      </c>
      <c r="D17373" s="3" t="s">
        <v>68</v>
      </c>
      <c r="E17373" s="3" t="s">
        <v>100</v>
      </c>
      <c r="F17373" s="7">
        <v>46082.099270107</v>
      </c>
      <c r="G17373" s="3" t="s">
        <v>24433</v>
      </c>
    </row>
    <row r="17374">
      <c r="A17374" s="3" t="s">
        <v>33452</v>
      </c>
      <c r="B17374" s="3" t="s">
        <v>14493</v>
      </c>
      <c r="C17374" s="5" t="s">
        <v>45</v>
      </c>
      <c r="D17374" s="3" t="s">
        <v>221</v>
      </c>
      <c r="E17374" s="3" t="s">
        <v>637</v>
      </c>
      <c r="F17374" s="7">
        <v>46082.16002828575</v>
      </c>
      <c r="G17374" s="3" t="s">
        <v>24943</v>
      </c>
    </row>
    <row r="17375">
      <c r="A17375" s="3" t="s">
        <v>33453</v>
      </c>
      <c r="B17375" s="3" t="s">
        <v>14493</v>
      </c>
      <c r="C17375" s="5" t="s">
        <v>221</v>
      </c>
      <c r="D17375" s="3" t="s">
        <v>195</v>
      </c>
      <c r="E17375" s="3" t="s">
        <v>637</v>
      </c>
      <c r="F17375" s="7">
        <v>46082.163500507966</v>
      </c>
      <c r="G17375" s="3" t="s">
        <v>33454</v>
      </c>
    </row>
    <row r="17376">
      <c r="A17376" s="3" t="s">
        <v>33455</v>
      </c>
      <c r="B17376" s="3" t="s">
        <v>14497</v>
      </c>
      <c r="C17376" s="5" t="s">
        <v>45</v>
      </c>
      <c r="D17376" s="3" t="s">
        <v>221</v>
      </c>
      <c r="E17376" s="3" t="s">
        <v>727</v>
      </c>
      <c r="F17376" s="7">
        <v>46082.23120313117</v>
      </c>
      <c r="G17376" s="3" t="s">
        <v>17271</v>
      </c>
    </row>
    <row r="17377">
      <c r="A17377" s="3" t="s">
        <v>33456</v>
      </c>
      <c r="B17377" s="3" t="s">
        <v>14497</v>
      </c>
      <c r="C17377" s="5" t="s">
        <v>221</v>
      </c>
      <c r="D17377" s="3" t="s">
        <v>614</v>
      </c>
      <c r="E17377" s="3" t="s">
        <v>118</v>
      </c>
      <c r="F17377" s="7">
        <v>46082.234675353386</v>
      </c>
      <c r="G17377" s="3" t="s">
        <v>17274</v>
      </c>
    </row>
    <row r="17378">
      <c r="A17378" s="3" t="s">
        <v>33457</v>
      </c>
      <c r="B17378" s="3" t="s">
        <v>14497</v>
      </c>
      <c r="C17378" s="5" t="s">
        <v>614</v>
      </c>
      <c r="D17378" s="3" t="s">
        <v>206</v>
      </c>
      <c r="E17378" s="3" t="s">
        <v>100</v>
      </c>
      <c r="F17378" s="7">
        <v>46082.23814757561</v>
      </c>
      <c r="G17378" s="3" t="s">
        <v>17277</v>
      </c>
    </row>
    <row r="17379">
      <c r="A17379" s="3" t="s">
        <v>33458</v>
      </c>
      <c r="B17379" s="3" t="s">
        <v>14497</v>
      </c>
      <c r="C17379" s="5" t="s">
        <v>206</v>
      </c>
      <c r="D17379" s="3" t="s">
        <v>68</v>
      </c>
      <c r="E17379" s="3" t="s">
        <v>100</v>
      </c>
      <c r="F17379" s="7">
        <v>46082.24161979783</v>
      </c>
      <c r="G17379" s="3" t="s">
        <v>17280</v>
      </c>
    </row>
    <row r="17380">
      <c r="A17380" s="3" t="s">
        <v>33459</v>
      </c>
      <c r="B17380" s="3" t="s">
        <v>14500</v>
      </c>
      <c r="C17380" s="5" t="s">
        <v>45</v>
      </c>
      <c r="D17380" s="3" t="s">
        <v>221</v>
      </c>
      <c r="E17380" s="3" t="s">
        <v>1049</v>
      </c>
      <c r="F17380" s="7">
        <v>46082.30237797658</v>
      </c>
      <c r="G17380" s="3" t="s">
        <v>9211</v>
      </c>
    </row>
    <row r="17381">
      <c r="A17381" s="3" t="s">
        <v>33460</v>
      </c>
      <c r="B17381" s="3" t="s">
        <v>14500</v>
      </c>
      <c r="C17381" s="5" t="s">
        <v>221</v>
      </c>
      <c r="D17381" s="3" t="s">
        <v>614</v>
      </c>
      <c r="E17381" s="3" t="s">
        <v>118</v>
      </c>
      <c r="F17381" s="7">
        <v>46082.3058501988</v>
      </c>
      <c r="G17381" s="3" t="s">
        <v>9213</v>
      </c>
    </row>
    <row r="17382">
      <c r="A17382" s="3" t="s">
        <v>33461</v>
      </c>
      <c r="B17382" s="3" t="s">
        <v>14500</v>
      </c>
      <c r="C17382" s="5" t="s">
        <v>614</v>
      </c>
      <c r="D17382" s="3" t="s">
        <v>206</v>
      </c>
      <c r="E17382" s="3" t="s">
        <v>100</v>
      </c>
      <c r="F17382" s="7">
        <v>46082.309322421024</v>
      </c>
      <c r="G17382" s="3" t="s">
        <v>9216</v>
      </c>
    </row>
    <row r="17383">
      <c r="A17383" s="3" t="s">
        <v>33462</v>
      </c>
      <c r="B17383" s="3" t="s">
        <v>14500</v>
      </c>
      <c r="C17383" s="5" t="s">
        <v>206</v>
      </c>
      <c r="D17383" s="3" t="s">
        <v>68</v>
      </c>
      <c r="E17383" s="3" t="s">
        <v>100</v>
      </c>
      <c r="F17383" s="7">
        <v>46082.31279464324</v>
      </c>
      <c r="G17383" s="3" t="s">
        <v>9219</v>
      </c>
    </row>
    <row r="17384">
      <c r="A17384" s="3" t="s">
        <v>33463</v>
      </c>
      <c r="B17384" s="3" t="s">
        <v>14502</v>
      </c>
      <c r="C17384" s="5" t="s">
        <v>45</v>
      </c>
      <c r="D17384" s="3" t="s">
        <v>221</v>
      </c>
      <c r="E17384" s="3" t="s">
        <v>908</v>
      </c>
      <c r="F17384" s="7">
        <v>46082.37355282199</v>
      </c>
      <c r="G17384" s="3" t="s">
        <v>9267</v>
      </c>
    </row>
    <row r="17385">
      <c r="A17385" s="3" t="s">
        <v>33464</v>
      </c>
      <c r="B17385" s="3" t="s">
        <v>14502</v>
      </c>
      <c r="C17385" s="5" t="s">
        <v>221</v>
      </c>
      <c r="D17385" s="3" t="s">
        <v>614</v>
      </c>
      <c r="E17385" s="3" t="s">
        <v>118</v>
      </c>
      <c r="F17385" s="7">
        <v>46082.37702504421</v>
      </c>
      <c r="G17385" s="3" t="s">
        <v>9270</v>
      </c>
    </row>
    <row r="17386">
      <c r="A17386" s="3" t="s">
        <v>33465</v>
      </c>
      <c r="B17386" s="3" t="s">
        <v>14502</v>
      </c>
      <c r="C17386" s="5" t="s">
        <v>614</v>
      </c>
      <c r="D17386" s="3" t="s">
        <v>206</v>
      </c>
      <c r="E17386" s="3" t="s">
        <v>100</v>
      </c>
      <c r="F17386" s="7">
        <v>46082.38049726644</v>
      </c>
      <c r="G17386" s="3" t="s">
        <v>9272</v>
      </c>
    </row>
    <row r="17387">
      <c r="A17387" s="3" t="s">
        <v>33466</v>
      </c>
      <c r="B17387" s="3" t="s">
        <v>14502</v>
      </c>
      <c r="C17387" s="5" t="s">
        <v>206</v>
      </c>
      <c r="D17387" s="3" t="s">
        <v>68</v>
      </c>
      <c r="E17387" s="3" t="s">
        <v>100</v>
      </c>
      <c r="F17387" s="7">
        <v>46082.383969488656</v>
      </c>
      <c r="G17387" s="3" t="s">
        <v>9275</v>
      </c>
    </row>
    <row r="17388">
      <c r="A17388" s="3" t="s">
        <v>33467</v>
      </c>
      <c r="B17388" s="3" t="s">
        <v>14504</v>
      </c>
      <c r="C17388" s="5" t="s">
        <v>45</v>
      </c>
      <c r="D17388" s="3" t="s">
        <v>221</v>
      </c>
      <c r="E17388" s="3" t="s">
        <v>341</v>
      </c>
      <c r="F17388" s="7">
        <v>46082.44472766741</v>
      </c>
      <c r="G17388" s="3" t="s">
        <v>16111</v>
      </c>
    </row>
    <row r="17389">
      <c r="A17389" s="3" t="s">
        <v>33468</v>
      </c>
      <c r="B17389" s="3" t="s">
        <v>14504</v>
      </c>
      <c r="C17389" s="5" t="s">
        <v>221</v>
      </c>
      <c r="D17389" s="3" t="s">
        <v>614</v>
      </c>
      <c r="E17389" s="3" t="s">
        <v>118</v>
      </c>
      <c r="F17389" s="7">
        <v>46082.44819988963</v>
      </c>
      <c r="G17389" s="3" t="s">
        <v>16113</v>
      </c>
    </row>
    <row r="17390">
      <c r="A17390" s="3" t="s">
        <v>33469</v>
      </c>
      <c r="B17390" s="3" t="s">
        <v>14504</v>
      </c>
      <c r="C17390" s="5" t="s">
        <v>614</v>
      </c>
      <c r="D17390" s="3" t="s">
        <v>206</v>
      </c>
      <c r="E17390" s="3" t="s">
        <v>100</v>
      </c>
      <c r="F17390" s="7">
        <v>46082.451672111856</v>
      </c>
      <c r="G17390" s="3" t="s">
        <v>16116</v>
      </c>
    </row>
    <row r="17391">
      <c r="A17391" s="3" t="s">
        <v>33470</v>
      </c>
      <c r="B17391" s="3" t="s">
        <v>14504</v>
      </c>
      <c r="C17391" s="5" t="s">
        <v>206</v>
      </c>
      <c r="D17391" s="3" t="s">
        <v>68</v>
      </c>
      <c r="E17391" s="3" t="s">
        <v>100</v>
      </c>
      <c r="F17391" s="7">
        <v>46082.455144334075</v>
      </c>
      <c r="G17391" s="3" t="s">
        <v>16118</v>
      </c>
    </row>
    <row r="17392">
      <c r="A17392" s="3" t="s">
        <v>33471</v>
      </c>
      <c r="B17392" s="3" t="s">
        <v>14506</v>
      </c>
      <c r="C17392" s="5" t="s">
        <v>45</v>
      </c>
      <c r="D17392" s="3" t="s">
        <v>221</v>
      </c>
      <c r="E17392" s="3" t="s">
        <v>550</v>
      </c>
      <c r="F17392" s="7">
        <v>46082.51590251283</v>
      </c>
      <c r="G17392" s="3" t="s">
        <v>24324</v>
      </c>
    </row>
    <row r="17393">
      <c r="A17393" s="3" t="s">
        <v>33472</v>
      </c>
      <c r="B17393" s="3" t="s">
        <v>14506</v>
      </c>
      <c r="C17393" s="5" t="s">
        <v>221</v>
      </c>
      <c r="D17393" s="3" t="s">
        <v>614</v>
      </c>
      <c r="E17393" s="3" t="s">
        <v>118</v>
      </c>
      <c r="F17393" s="7">
        <v>46082.51937473505</v>
      </c>
      <c r="G17393" s="3" t="s">
        <v>24326</v>
      </c>
    </row>
    <row r="17394">
      <c r="A17394" s="3" t="s">
        <v>33473</v>
      </c>
      <c r="B17394" s="3" t="s">
        <v>14506</v>
      </c>
      <c r="C17394" s="5" t="s">
        <v>614</v>
      </c>
      <c r="D17394" s="3" t="s">
        <v>206</v>
      </c>
      <c r="E17394" s="3" t="s">
        <v>100</v>
      </c>
      <c r="F17394" s="7">
        <v>46082.522846957276</v>
      </c>
      <c r="G17394" s="3" t="s">
        <v>24328</v>
      </c>
    </row>
    <row r="17395">
      <c r="A17395" s="3" t="s">
        <v>33474</v>
      </c>
      <c r="B17395" s="3" t="s">
        <v>14506</v>
      </c>
      <c r="C17395" s="5" t="s">
        <v>206</v>
      </c>
      <c r="D17395" s="3" t="s">
        <v>68</v>
      </c>
      <c r="E17395" s="3" t="s">
        <v>100</v>
      </c>
      <c r="F17395" s="7">
        <v>46082.526319179495</v>
      </c>
      <c r="G17395" s="3" t="s">
        <v>24330</v>
      </c>
    </row>
    <row r="17396">
      <c r="A17396" s="3" t="s">
        <v>33475</v>
      </c>
      <c r="B17396" s="3" t="s">
        <v>14509</v>
      </c>
      <c r="C17396" s="5" t="s">
        <v>45</v>
      </c>
      <c r="D17396" s="3" t="s">
        <v>221</v>
      </c>
      <c r="E17396" s="3" t="s">
        <v>953</v>
      </c>
      <c r="F17396" s="7">
        <v>46082.587077358236</v>
      </c>
      <c r="G17396" s="3" t="s">
        <v>9278</v>
      </c>
    </row>
    <row r="17397">
      <c r="A17397" s="3" t="s">
        <v>33476</v>
      </c>
      <c r="B17397" s="3" t="s">
        <v>14509</v>
      </c>
      <c r="C17397" s="5" t="s">
        <v>221</v>
      </c>
      <c r="D17397" s="3" t="s">
        <v>614</v>
      </c>
      <c r="E17397" s="3" t="s">
        <v>118</v>
      </c>
      <c r="F17397" s="7">
        <v>46082.590549580455</v>
      </c>
      <c r="G17397" s="3" t="s">
        <v>9281</v>
      </c>
    </row>
    <row r="17398">
      <c r="A17398" s="3" t="s">
        <v>33477</v>
      </c>
      <c r="B17398" s="3" t="s">
        <v>14509</v>
      </c>
      <c r="C17398" s="5" t="s">
        <v>614</v>
      </c>
      <c r="D17398" s="3" t="s">
        <v>206</v>
      </c>
      <c r="E17398" s="3" t="s">
        <v>100</v>
      </c>
      <c r="F17398" s="7">
        <v>46082.59402180268</v>
      </c>
      <c r="G17398" s="3" t="s">
        <v>9284</v>
      </c>
    </row>
    <row r="17399">
      <c r="A17399" s="3" t="s">
        <v>33478</v>
      </c>
      <c r="B17399" s="3" t="s">
        <v>14509</v>
      </c>
      <c r="C17399" s="5" t="s">
        <v>206</v>
      </c>
      <c r="D17399" s="3" t="s">
        <v>68</v>
      </c>
      <c r="E17399" s="3" t="s">
        <v>100</v>
      </c>
      <c r="F17399" s="7">
        <v>46082.5974940249</v>
      </c>
      <c r="G17399" s="3" t="s">
        <v>9288</v>
      </c>
    </row>
    <row r="17400">
      <c r="A17400" s="3" t="s">
        <v>33479</v>
      </c>
      <c r="B17400" s="3" t="s">
        <v>14511</v>
      </c>
      <c r="C17400" s="5" t="s">
        <v>45</v>
      </c>
      <c r="D17400" s="3" t="s">
        <v>221</v>
      </c>
      <c r="E17400" s="3" t="s">
        <v>953</v>
      </c>
      <c r="F17400" s="7">
        <v>46082.658252203655</v>
      </c>
      <c r="G17400" s="3" t="s">
        <v>25817</v>
      </c>
    </row>
    <row r="17401">
      <c r="A17401" s="3" t="s">
        <v>33480</v>
      </c>
      <c r="B17401" s="3" t="s">
        <v>14511</v>
      </c>
      <c r="C17401" s="5" t="s">
        <v>221</v>
      </c>
      <c r="D17401" s="3" t="s">
        <v>614</v>
      </c>
      <c r="E17401" s="3" t="s">
        <v>118</v>
      </c>
      <c r="F17401" s="7">
        <v>46082.661724425874</v>
      </c>
      <c r="G17401" s="3" t="s">
        <v>25819</v>
      </c>
    </row>
    <row r="17402">
      <c r="A17402" s="3" t="s">
        <v>33481</v>
      </c>
      <c r="B17402" s="3" t="s">
        <v>14511</v>
      </c>
      <c r="C17402" s="5" t="s">
        <v>614</v>
      </c>
      <c r="D17402" s="3" t="s">
        <v>206</v>
      </c>
      <c r="E17402" s="3" t="s">
        <v>100</v>
      </c>
      <c r="F17402" s="7">
        <v>46082.6651966481</v>
      </c>
      <c r="G17402" s="3" t="s">
        <v>25821</v>
      </c>
    </row>
    <row r="17403">
      <c r="A17403" s="3" t="s">
        <v>33482</v>
      </c>
      <c r="B17403" s="3" t="s">
        <v>14511</v>
      </c>
      <c r="C17403" s="5" t="s">
        <v>206</v>
      </c>
      <c r="D17403" s="3" t="s">
        <v>68</v>
      </c>
      <c r="E17403" s="3" t="s">
        <v>100</v>
      </c>
      <c r="F17403" s="7">
        <v>46082.66866887032</v>
      </c>
      <c r="G17403" s="3" t="s">
        <v>25823</v>
      </c>
    </row>
    <row r="17404">
      <c r="A17404" s="3" t="s">
        <v>33483</v>
      </c>
      <c r="B17404" s="3" t="s">
        <v>14513</v>
      </c>
      <c r="C17404" s="5" t="s">
        <v>45</v>
      </c>
      <c r="D17404" s="3" t="s">
        <v>221</v>
      </c>
      <c r="E17404" s="3" t="s">
        <v>631</v>
      </c>
      <c r="F17404" s="7">
        <v>46082.729427049075</v>
      </c>
      <c r="G17404" s="3" t="s">
        <v>9332</v>
      </c>
    </row>
    <row r="17405">
      <c r="A17405" s="3" t="s">
        <v>33484</v>
      </c>
      <c r="B17405" s="3" t="s">
        <v>14513</v>
      </c>
      <c r="C17405" s="5" t="s">
        <v>221</v>
      </c>
      <c r="D17405" s="3" t="s">
        <v>614</v>
      </c>
      <c r="E17405" s="3" t="s">
        <v>118</v>
      </c>
      <c r="F17405" s="7">
        <v>46082.732899271294</v>
      </c>
      <c r="G17405" s="3" t="s">
        <v>9335</v>
      </c>
    </row>
    <row r="17406">
      <c r="A17406" s="3" t="s">
        <v>33485</v>
      </c>
      <c r="B17406" s="3" t="s">
        <v>14513</v>
      </c>
      <c r="C17406" s="5" t="s">
        <v>614</v>
      </c>
      <c r="D17406" s="3" t="s">
        <v>206</v>
      </c>
      <c r="E17406" s="3" t="s">
        <v>100</v>
      </c>
      <c r="F17406" s="7">
        <v>46082.73637149352</v>
      </c>
      <c r="G17406" s="3" t="s">
        <v>9337</v>
      </c>
    </row>
    <row r="17407">
      <c r="A17407" s="3" t="s">
        <v>33486</v>
      </c>
      <c r="B17407" s="3" t="s">
        <v>14513</v>
      </c>
      <c r="C17407" s="5" t="s">
        <v>206</v>
      </c>
      <c r="D17407" s="3" t="s">
        <v>68</v>
      </c>
      <c r="E17407" s="3" t="s">
        <v>100</v>
      </c>
      <c r="F17407" s="7">
        <v>46082.73984371574</v>
      </c>
      <c r="G17407" s="3" t="s">
        <v>9340</v>
      </c>
    </row>
    <row r="17408">
      <c r="A17408" s="3" t="s">
        <v>33487</v>
      </c>
      <c r="B17408" s="3" t="s">
        <v>14515</v>
      </c>
      <c r="C17408" s="5" t="s">
        <v>45</v>
      </c>
      <c r="D17408" s="3" t="s">
        <v>221</v>
      </c>
      <c r="E17408" s="3" t="s">
        <v>319</v>
      </c>
      <c r="F17408" s="7">
        <v>46082.80060189449</v>
      </c>
      <c r="G17408" s="3" t="s">
        <v>9355</v>
      </c>
    </row>
    <row r="17409">
      <c r="A17409" s="3" t="s">
        <v>33488</v>
      </c>
      <c r="B17409" s="3" t="s">
        <v>14515</v>
      </c>
      <c r="C17409" s="5" t="s">
        <v>221</v>
      </c>
      <c r="D17409" s="3" t="s">
        <v>614</v>
      </c>
      <c r="E17409" s="3" t="s">
        <v>118</v>
      </c>
      <c r="F17409" s="7">
        <v>46082.804074116706</v>
      </c>
      <c r="G17409" s="3" t="s">
        <v>9358</v>
      </c>
    </row>
    <row r="17410">
      <c r="A17410" s="3" t="s">
        <v>33489</v>
      </c>
      <c r="B17410" s="3" t="s">
        <v>14515</v>
      </c>
      <c r="C17410" s="5" t="s">
        <v>614</v>
      </c>
      <c r="D17410" s="3" t="s">
        <v>206</v>
      </c>
      <c r="E17410" s="3" t="s">
        <v>100</v>
      </c>
      <c r="F17410" s="7">
        <v>46082.80754633893</v>
      </c>
      <c r="G17410" s="3" t="s">
        <v>9361</v>
      </c>
    </row>
    <row r="17411">
      <c r="A17411" s="3" t="s">
        <v>33490</v>
      </c>
      <c r="B17411" s="3" t="s">
        <v>14515</v>
      </c>
      <c r="C17411" s="5" t="s">
        <v>206</v>
      </c>
      <c r="D17411" s="3" t="s">
        <v>68</v>
      </c>
      <c r="E17411" s="3" t="s">
        <v>100</v>
      </c>
      <c r="F17411" s="7">
        <v>46082.81101856115</v>
      </c>
      <c r="G17411" s="3" t="s">
        <v>9363</v>
      </c>
    </row>
    <row r="17412">
      <c r="A17412" s="3" t="s">
        <v>33491</v>
      </c>
      <c r="B17412" s="3" t="s">
        <v>14519</v>
      </c>
      <c r="C17412" s="5" t="s">
        <v>45</v>
      </c>
      <c r="D17412" s="3" t="s">
        <v>221</v>
      </c>
      <c r="E17412" s="3" t="s">
        <v>870</v>
      </c>
      <c r="F17412" s="7">
        <v>46082.8717767399</v>
      </c>
      <c r="G17412" s="3" t="s">
        <v>9378</v>
      </c>
    </row>
    <row r="17413">
      <c r="A17413" s="3" t="s">
        <v>33492</v>
      </c>
      <c r="B17413" s="3" t="s">
        <v>14519</v>
      </c>
      <c r="C17413" s="5" t="s">
        <v>221</v>
      </c>
      <c r="D17413" s="3" t="s">
        <v>614</v>
      </c>
      <c r="E17413" s="3" t="s">
        <v>118</v>
      </c>
      <c r="F17413" s="7">
        <v>46082.87524896212</v>
      </c>
      <c r="G17413" s="3" t="s">
        <v>9380</v>
      </c>
    </row>
    <row r="17414">
      <c r="A17414" s="3" t="s">
        <v>33493</v>
      </c>
      <c r="B17414" s="3" t="s">
        <v>14519</v>
      </c>
      <c r="C17414" s="5" t="s">
        <v>614</v>
      </c>
      <c r="D17414" s="3" t="s">
        <v>206</v>
      </c>
      <c r="E17414" s="3" t="s">
        <v>100</v>
      </c>
      <c r="F17414" s="7">
        <v>46082.878721184345</v>
      </c>
      <c r="G17414" s="3" t="s">
        <v>9383</v>
      </c>
    </row>
    <row r="17415">
      <c r="A17415" s="3" t="s">
        <v>33494</v>
      </c>
      <c r="B17415" s="3" t="s">
        <v>14519</v>
      </c>
      <c r="C17415" s="5" t="s">
        <v>206</v>
      </c>
      <c r="D17415" s="3" t="s">
        <v>68</v>
      </c>
      <c r="E17415" s="3" t="s">
        <v>100</v>
      </c>
      <c r="F17415" s="7">
        <v>46082.88219340656</v>
      </c>
      <c r="G17415" s="3" t="s">
        <v>9386</v>
      </c>
    </row>
    <row r="17416">
      <c r="A17416" s="3" t="s">
        <v>33495</v>
      </c>
      <c r="B17416" s="3" t="s">
        <v>14523</v>
      </c>
      <c r="C17416" s="5" t="s">
        <v>45</v>
      </c>
      <c r="D17416" s="3" t="s">
        <v>221</v>
      </c>
      <c r="E17416" s="3" t="s">
        <v>565</v>
      </c>
      <c r="F17416" s="7">
        <v>46082.94295158532</v>
      </c>
      <c r="G17416" s="3" t="s">
        <v>9484</v>
      </c>
    </row>
    <row r="17417">
      <c r="A17417" s="3" t="s">
        <v>33496</v>
      </c>
      <c r="B17417" s="3" t="s">
        <v>14523</v>
      </c>
      <c r="C17417" s="5" t="s">
        <v>221</v>
      </c>
      <c r="D17417" s="3" t="s">
        <v>614</v>
      </c>
      <c r="E17417" s="3" t="s">
        <v>118</v>
      </c>
      <c r="F17417" s="7">
        <v>46082.94642380754</v>
      </c>
      <c r="G17417" s="3" t="s">
        <v>9487</v>
      </c>
    </row>
    <row r="17418">
      <c r="A17418" s="3" t="s">
        <v>33497</v>
      </c>
      <c r="B17418" s="3" t="s">
        <v>14523</v>
      </c>
      <c r="C17418" s="5" t="s">
        <v>614</v>
      </c>
      <c r="D17418" s="3" t="s">
        <v>206</v>
      </c>
      <c r="E17418" s="3" t="s">
        <v>100</v>
      </c>
      <c r="F17418" s="7">
        <v>46082.949896029764</v>
      </c>
      <c r="G17418" s="3" t="s">
        <v>9489</v>
      </c>
    </row>
    <row r="17419">
      <c r="A17419" s="3" t="s">
        <v>33498</v>
      </c>
      <c r="B17419" s="3" t="s">
        <v>14523</v>
      </c>
      <c r="C17419" s="5" t="s">
        <v>206</v>
      </c>
      <c r="D17419" s="3" t="s">
        <v>68</v>
      </c>
      <c r="E17419" s="3" t="s">
        <v>100</v>
      </c>
      <c r="F17419" s="7">
        <v>46082.95336825198</v>
      </c>
      <c r="G17419" s="3" t="s">
        <v>9492</v>
      </c>
    </row>
    <row r="17420">
      <c r="A17420" s="3" t="s">
        <v>33499</v>
      </c>
      <c r="B17420" s="3" t="s">
        <v>14526</v>
      </c>
      <c r="C17420" s="5" t="s">
        <v>45</v>
      </c>
      <c r="D17420" s="3" t="s">
        <v>221</v>
      </c>
      <c r="E17420" s="3" t="s">
        <v>751</v>
      </c>
      <c r="F17420" s="7">
        <v>46083.01412643073</v>
      </c>
      <c r="G17420" s="3" t="s">
        <v>9506</v>
      </c>
    </row>
    <row r="17421">
      <c r="A17421" s="3" t="s">
        <v>33500</v>
      </c>
      <c r="B17421" s="3" t="s">
        <v>14526</v>
      </c>
      <c r="C17421" s="5" t="s">
        <v>221</v>
      </c>
      <c r="D17421" s="3" t="s">
        <v>614</v>
      </c>
      <c r="E17421" s="3" t="s">
        <v>118</v>
      </c>
      <c r="F17421" s="7">
        <v>46083.01759865295</v>
      </c>
      <c r="G17421" s="3" t="s">
        <v>9509</v>
      </c>
    </row>
    <row r="17422">
      <c r="A17422" s="3" t="s">
        <v>33501</v>
      </c>
      <c r="B17422" s="3" t="s">
        <v>14526</v>
      </c>
      <c r="C17422" s="5" t="s">
        <v>614</v>
      </c>
      <c r="D17422" s="3" t="s">
        <v>206</v>
      </c>
      <c r="E17422" s="3" t="s">
        <v>100</v>
      </c>
      <c r="F17422" s="7">
        <v>46083.02107087518</v>
      </c>
      <c r="G17422" s="3" t="s">
        <v>9512</v>
      </c>
    </row>
    <row r="17423">
      <c r="A17423" s="3" t="s">
        <v>33502</v>
      </c>
      <c r="B17423" s="3" t="s">
        <v>14526</v>
      </c>
      <c r="C17423" s="5" t="s">
        <v>206</v>
      </c>
      <c r="D17423" s="3" t="s">
        <v>68</v>
      </c>
      <c r="E17423" s="3" t="s">
        <v>100</v>
      </c>
      <c r="F17423" s="7">
        <v>46083.024543097396</v>
      </c>
      <c r="G17423" s="3" t="s">
        <v>9515</v>
      </c>
    </row>
    <row r="17424">
      <c r="A17424" s="3" t="s">
        <v>33503</v>
      </c>
      <c r="B17424" s="3" t="s">
        <v>14531</v>
      </c>
      <c r="C17424" s="5" t="s">
        <v>45</v>
      </c>
      <c r="D17424" s="3" t="s">
        <v>221</v>
      </c>
      <c r="E17424" s="3" t="s">
        <v>293</v>
      </c>
      <c r="F17424" s="7">
        <v>46083.08530127614</v>
      </c>
      <c r="G17424" s="3" t="s">
        <v>28298</v>
      </c>
    </row>
    <row r="17425">
      <c r="A17425" s="3" t="s">
        <v>33504</v>
      </c>
      <c r="B17425" s="3" t="s">
        <v>14531</v>
      </c>
      <c r="C17425" s="5" t="s">
        <v>221</v>
      </c>
      <c r="D17425" s="3" t="s">
        <v>614</v>
      </c>
      <c r="E17425" s="3" t="s">
        <v>118</v>
      </c>
      <c r="F17425" s="7">
        <v>46083.08877349836</v>
      </c>
      <c r="G17425" s="3" t="s">
        <v>28300</v>
      </c>
    </row>
    <row r="17426">
      <c r="A17426" s="3" t="s">
        <v>33505</v>
      </c>
      <c r="B17426" s="3" t="s">
        <v>14531</v>
      </c>
      <c r="C17426" s="5" t="s">
        <v>614</v>
      </c>
      <c r="D17426" s="3" t="s">
        <v>206</v>
      </c>
      <c r="E17426" s="3" t="s">
        <v>100</v>
      </c>
      <c r="F17426" s="7">
        <v>46083.09224572059</v>
      </c>
      <c r="G17426" s="3" t="s">
        <v>28302</v>
      </c>
    </row>
    <row r="17427">
      <c r="A17427" s="3" t="s">
        <v>33506</v>
      </c>
      <c r="B17427" s="3" t="s">
        <v>14531</v>
      </c>
      <c r="C17427" s="5" t="s">
        <v>206</v>
      </c>
      <c r="D17427" s="3" t="s">
        <v>68</v>
      </c>
      <c r="E17427" s="3" t="s">
        <v>100</v>
      </c>
      <c r="F17427" s="7">
        <v>46083.09571794281</v>
      </c>
      <c r="G17427" s="3" t="s">
        <v>28304</v>
      </c>
    </row>
    <row r="17428">
      <c r="A17428" s="3" t="s">
        <v>33507</v>
      </c>
      <c r="B17428" s="3" t="s">
        <v>14534</v>
      </c>
      <c r="C17428" s="5" t="s">
        <v>45</v>
      </c>
      <c r="D17428" s="3" t="s">
        <v>221</v>
      </c>
      <c r="E17428" s="3" t="s">
        <v>920</v>
      </c>
      <c r="F17428" s="7">
        <v>46083.15647612156</v>
      </c>
      <c r="G17428" s="3" t="s">
        <v>31231</v>
      </c>
    </row>
    <row r="17429">
      <c r="A17429" s="3" t="s">
        <v>33508</v>
      </c>
      <c r="B17429" s="3" t="s">
        <v>14534</v>
      </c>
      <c r="C17429" s="5" t="s">
        <v>221</v>
      </c>
      <c r="D17429" s="3" t="s">
        <v>614</v>
      </c>
      <c r="E17429" s="3" t="s">
        <v>118</v>
      </c>
      <c r="F17429" s="7">
        <v>46083.15994834378</v>
      </c>
      <c r="G17429" s="3" t="s">
        <v>31233</v>
      </c>
    </row>
    <row r="17430">
      <c r="A17430" s="3" t="s">
        <v>33509</v>
      </c>
      <c r="B17430" s="3" t="s">
        <v>14534</v>
      </c>
      <c r="C17430" s="5" t="s">
        <v>614</v>
      </c>
      <c r="D17430" s="3" t="s">
        <v>206</v>
      </c>
      <c r="E17430" s="3" t="s">
        <v>100</v>
      </c>
      <c r="F17430" s="7">
        <v>46083.16342056601</v>
      </c>
      <c r="G17430" s="3" t="s">
        <v>31235</v>
      </c>
    </row>
    <row r="17431">
      <c r="A17431" s="3" t="s">
        <v>33510</v>
      </c>
      <c r="B17431" s="3" t="s">
        <v>14534</v>
      </c>
      <c r="C17431" s="5" t="s">
        <v>206</v>
      </c>
      <c r="D17431" s="3" t="s">
        <v>68</v>
      </c>
      <c r="E17431" s="3" t="s">
        <v>100</v>
      </c>
      <c r="F17431" s="7">
        <v>46083.16689278823</v>
      </c>
      <c r="G17431" s="3" t="s">
        <v>31237</v>
      </c>
    </row>
    <row r="17432">
      <c r="A17432" s="3" t="s">
        <v>33511</v>
      </c>
      <c r="B17432" s="3" t="s">
        <v>14537</v>
      </c>
      <c r="C17432" s="5" t="s">
        <v>45</v>
      </c>
      <c r="D17432" s="3" t="s">
        <v>221</v>
      </c>
      <c r="E17432" s="3" t="s">
        <v>789</v>
      </c>
      <c r="F17432" s="7">
        <v>46083.227650966975</v>
      </c>
      <c r="G17432" s="3" t="s">
        <v>19383</v>
      </c>
    </row>
    <row r="17433">
      <c r="A17433" s="3" t="s">
        <v>33512</v>
      </c>
      <c r="B17433" s="3" t="s">
        <v>14537</v>
      </c>
      <c r="C17433" s="5" t="s">
        <v>221</v>
      </c>
      <c r="D17433" s="3" t="s">
        <v>181</v>
      </c>
      <c r="E17433" s="3" t="s">
        <v>118</v>
      </c>
      <c r="F17433" s="7">
        <v>46083.231123189194</v>
      </c>
      <c r="G17433" s="3" t="s">
        <v>30677</v>
      </c>
    </row>
    <row r="17434">
      <c r="A17434" s="3" t="s">
        <v>33513</v>
      </c>
      <c r="B17434" s="3" t="s">
        <v>14540</v>
      </c>
      <c r="C17434" s="5" t="s">
        <v>45</v>
      </c>
      <c r="D17434" s="3" t="s">
        <v>221</v>
      </c>
      <c r="E17434" s="3" t="s">
        <v>805</v>
      </c>
      <c r="F17434" s="7">
        <v>46083.29882581239</v>
      </c>
      <c r="G17434" s="3" t="s">
        <v>9523</v>
      </c>
    </row>
    <row r="17435">
      <c r="A17435" s="3" t="s">
        <v>33514</v>
      </c>
      <c r="B17435" s="3" t="s">
        <v>14540</v>
      </c>
      <c r="C17435" s="5" t="s">
        <v>221</v>
      </c>
      <c r="D17435" s="3" t="s">
        <v>614</v>
      </c>
      <c r="E17435" s="3" t="s">
        <v>118</v>
      </c>
      <c r="F17435" s="7">
        <v>46083.30229803461</v>
      </c>
      <c r="G17435" s="3" t="s">
        <v>9526</v>
      </c>
    </row>
    <row r="17436">
      <c r="A17436" s="3" t="s">
        <v>33515</v>
      </c>
      <c r="B17436" s="3" t="s">
        <v>14540</v>
      </c>
      <c r="C17436" s="5" t="s">
        <v>614</v>
      </c>
      <c r="D17436" s="3" t="s">
        <v>206</v>
      </c>
      <c r="E17436" s="3" t="s">
        <v>100</v>
      </c>
      <c r="F17436" s="7">
        <v>46083.30577025683</v>
      </c>
      <c r="G17436" s="3" t="s">
        <v>9529</v>
      </c>
    </row>
    <row r="17437">
      <c r="A17437" s="3" t="s">
        <v>33516</v>
      </c>
      <c r="B17437" s="3" t="s">
        <v>14540</v>
      </c>
      <c r="C17437" s="5" t="s">
        <v>206</v>
      </c>
      <c r="D17437" s="3" t="s">
        <v>68</v>
      </c>
      <c r="E17437" s="3" t="s">
        <v>100</v>
      </c>
      <c r="F17437" s="7">
        <v>46083.30924247905</v>
      </c>
      <c r="G17437" s="3" t="s">
        <v>9532</v>
      </c>
    </row>
    <row r="17438">
      <c r="A17438" s="3" t="s">
        <v>33517</v>
      </c>
      <c r="B17438" s="3" t="s">
        <v>14543</v>
      </c>
      <c r="C17438" s="5" t="s">
        <v>45</v>
      </c>
      <c r="D17438" s="3" t="s">
        <v>221</v>
      </c>
      <c r="E17438" s="3" t="s">
        <v>678</v>
      </c>
      <c r="F17438" s="7">
        <v>46083.37000065781</v>
      </c>
      <c r="G17438" s="3" t="s">
        <v>8229</v>
      </c>
    </row>
    <row r="17439">
      <c r="A17439" s="3" t="s">
        <v>33518</v>
      </c>
      <c r="B17439" s="3" t="s">
        <v>14543</v>
      </c>
      <c r="C17439" s="5" t="s">
        <v>221</v>
      </c>
      <c r="D17439" s="3" t="s">
        <v>614</v>
      </c>
      <c r="E17439" s="3" t="s">
        <v>118</v>
      </c>
      <c r="F17439" s="7">
        <v>46083.37347288003</v>
      </c>
      <c r="G17439" s="3" t="s">
        <v>8231</v>
      </c>
    </row>
    <row r="17440">
      <c r="A17440" s="3" t="s">
        <v>33519</v>
      </c>
      <c r="B17440" s="3" t="s">
        <v>14543</v>
      </c>
      <c r="C17440" s="5" t="s">
        <v>614</v>
      </c>
      <c r="D17440" s="3" t="s">
        <v>206</v>
      </c>
      <c r="E17440" s="3" t="s">
        <v>100</v>
      </c>
      <c r="F17440" s="7">
        <v>46083.37694510225</v>
      </c>
      <c r="G17440" s="3" t="s">
        <v>8234</v>
      </c>
    </row>
    <row r="17441">
      <c r="A17441" s="3" t="s">
        <v>33520</v>
      </c>
      <c r="B17441" s="3" t="s">
        <v>14543</v>
      </c>
      <c r="C17441" s="5" t="s">
        <v>206</v>
      </c>
      <c r="D17441" s="3" t="s">
        <v>68</v>
      </c>
      <c r="E17441" s="3" t="s">
        <v>100</v>
      </c>
      <c r="F17441" s="7">
        <v>46083.38041732447</v>
      </c>
      <c r="G17441" s="3" t="s">
        <v>8237</v>
      </c>
    </row>
    <row r="17442">
      <c r="A17442" s="3" t="s">
        <v>33521</v>
      </c>
      <c r="B17442" s="3" t="s">
        <v>14548</v>
      </c>
      <c r="C17442" s="5" t="s">
        <v>45</v>
      </c>
      <c r="D17442" s="3" t="s">
        <v>221</v>
      </c>
      <c r="E17442" s="3" t="s">
        <v>519</v>
      </c>
      <c r="F17442" s="7">
        <v>46083.44117550322</v>
      </c>
      <c r="G17442" s="3" t="s">
        <v>8734</v>
      </c>
    </row>
    <row r="17443">
      <c r="A17443" s="3" t="s">
        <v>33522</v>
      </c>
      <c r="B17443" s="3" t="s">
        <v>14548</v>
      </c>
      <c r="C17443" s="5" t="s">
        <v>221</v>
      </c>
      <c r="D17443" s="3" t="s">
        <v>614</v>
      </c>
      <c r="E17443" s="3" t="s">
        <v>118</v>
      </c>
      <c r="F17443" s="7">
        <v>46083.44464772544</v>
      </c>
      <c r="G17443" s="3" t="s">
        <v>8737</v>
      </c>
    </row>
    <row r="17444">
      <c r="A17444" s="3" t="s">
        <v>33523</v>
      </c>
      <c r="B17444" s="3" t="s">
        <v>14548</v>
      </c>
      <c r="C17444" s="5" t="s">
        <v>614</v>
      </c>
      <c r="D17444" s="3" t="s">
        <v>206</v>
      </c>
      <c r="E17444" s="3" t="s">
        <v>100</v>
      </c>
      <c r="F17444" s="7">
        <v>46083.448119947665</v>
      </c>
      <c r="G17444" s="3" t="s">
        <v>8740</v>
      </c>
    </row>
    <row r="17445">
      <c r="A17445" s="3" t="s">
        <v>33524</v>
      </c>
      <c r="B17445" s="3" t="s">
        <v>14548</v>
      </c>
      <c r="C17445" s="5" t="s">
        <v>206</v>
      </c>
      <c r="D17445" s="3" t="s">
        <v>68</v>
      </c>
      <c r="E17445" s="3" t="s">
        <v>100</v>
      </c>
      <c r="F17445" s="7">
        <v>46083.451592169884</v>
      </c>
      <c r="G17445" s="3" t="s">
        <v>8743</v>
      </c>
    </row>
    <row r="17446">
      <c r="A17446" s="3" t="s">
        <v>33525</v>
      </c>
      <c r="B17446" s="3" t="s">
        <v>14551</v>
      </c>
      <c r="C17446" s="5" t="s">
        <v>45</v>
      </c>
      <c r="D17446" s="3" t="s">
        <v>221</v>
      </c>
      <c r="E17446" s="3" t="s">
        <v>186</v>
      </c>
      <c r="F17446" s="7">
        <v>46083.51235034863</v>
      </c>
      <c r="G17446" s="3" t="s">
        <v>25401</v>
      </c>
    </row>
    <row r="17447">
      <c r="A17447" s="3" t="s">
        <v>33526</v>
      </c>
      <c r="B17447" s="3" t="s">
        <v>14551</v>
      </c>
      <c r="C17447" s="5" t="s">
        <v>221</v>
      </c>
      <c r="D17447" s="3" t="s">
        <v>614</v>
      </c>
      <c r="E17447" s="3" t="s">
        <v>118</v>
      </c>
      <c r="F17447" s="7">
        <v>46083.51582257085</v>
      </c>
      <c r="G17447" s="3" t="s">
        <v>25403</v>
      </c>
    </row>
    <row r="17448">
      <c r="A17448" s="3" t="s">
        <v>33527</v>
      </c>
      <c r="B17448" s="3" t="s">
        <v>14551</v>
      </c>
      <c r="C17448" s="5" t="s">
        <v>614</v>
      </c>
      <c r="D17448" s="3" t="s">
        <v>206</v>
      </c>
      <c r="E17448" s="3" t="s">
        <v>100</v>
      </c>
      <c r="F17448" s="7">
        <v>46083.51929479308</v>
      </c>
      <c r="G17448" s="3" t="s">
        <v>25405</v>
      </c>
    </row>
    <row r="17449">
      <c r="A17449" s="3" t="s">
        <v>33528</v>
      </c>
      <c r="B17449" s="3" t="s">
        <v>14551</v>
      </c>
      <c r="C17449" s="5" t="s">
        <v>206</v>
      </c>
      <c r="D17449" s="3" t="s">
        <v>68</v>
      </c>
      <c r="E17449" s="3" t="s">
        <v>100</v>
      </c>
      <c r="F17449" s="7">
        <v>46083.522767015296</v>
      </c>
      <c r="G17449" s="3" t="s">
        <v>25407</v>
      </c>
    </row>
    <row r="17450">
      <c r="A17450" s="3" t="s">
        <v>33529</v>
      </c>
      <c r="B17450" s="3" t="s">
        <v>14554</v>
      </c>
      <c r="C17450" s="5" t="s">
        <v>45</v>
      </c>
      <c r="D17450" s="3" t="s">
        <v>221</v>
      </c>
      <c r="E17450" s="3" t="s">
        <v>765</v>
      </c>
      <c r="F17450" s="7">
        <v>46083.58352519405</v>
      </c>
      <c r="G17450" s="3" t="s">
        <v>24642</v>
      </c>
    </row>
    <row r="17451">
      <c r="A17451" s="3" t="s">
        <v>33530</v>
      </c>
      <c r="B17451" s="3" t="s">
        <v>14554</v>
      </c>
      <c r="C17451" s="5" t="s">
        <v>221</v>
      </c>
      <c r="D17451" s="3" t="s">
        <v>614</v>
      </c>
      <c r="E17451" s="3" t="s">
        <v>118</v>
      </c>
      <c r="F17451" s="7">
        <v>46083.58699741627</v>
      </c>
      <c r="G17451" s="3" t="s">
        <v>24644</v>
      </c>
    </row>
    <row r="17452">
      <c r="A17452" s="3" t="s">
        <v>33531</v>
      </c>
      <c r="B17452" s="3" t="s">
        <v>14554</v>
      </c>
      <c r="C17452" s="5" t="s">
        <v>614</v>
      </c>
      <c r="D17452" s="3" t="s">
        <v>206</v>
      </c>
      <c r="E17452" s="3" t="s">
        <v>100</v>
      </c>
      <c r="F17452" s="7">
        <v>46083.5904696385</v>
      </c>
      <c r="G17452" s="3" t="s">
        <v>24646</v>
      </c>
    </row>
    <row r="17453">
      <c r="A17453" s="3" t="s">
        <v>33532</v>
      </c>
      <c r="B17453" s="3" t="s">
        <v>14554</v>
      </c>
      <c r="C17453" s="5" t="s">
        <v>206</v>
      </c>
      <c r="D17453" s="3" t="s">
        <v>68</v>
      </c>
      <c r="E17453" s="3" t="s">
        <v>100</v>
      </c>
      <c r="F17453" s="7">
        <v>46083.593941860716</v>
      </c>
      <c r="G17453" s="3" t="s">
        <v>24648</v>
      </c>
    </row>
    <row r="17454">
      <c r="A17454" s="3" t="s">
        <v>33533</v>
      </c>
      <c r="B17454" s="3" t="s">
        <v>14557</v>
      </c>
      <c r="C17454" s="5" t="s">
        <v>45</v>
      </c>
      <c r="D17454" s="3" t="s">
        <v>221</v>
      </c>
      <c r="E17454" s="3" t="s">
        <v>811</v>
      </c>
      <c r="F17454" s="7">
        <v>46083.65470003947</v>
      </c>
      <c r="G17454" s="3" t="s">
        <v>10119</v>
      </c>
    </row>
    <row r="17455">
      <c r="A17455" s="3" t="s">
        <v>33534</v>
      </c>
      <c r="B17455" s="3" t="s">
        <v>14557</v>
      </c>
      <c r="C17455" s="5" t="s">
        <v>221</v>
      </c>
      <c r="D17455" s="3" t="s">
        <v>614</v>
      </c>
      <c r="E17455" s="3" t="s">
        <v>118</v>
      </c>
      <c r="F17455" s="7">
        <v>46083.65817226169</v>
      </c>
      <c r="G17455" s="3" t="s">
        <v>10122</v>
      </c>
    </row>
    <row r="17456">
      <c r="A17456" s="3" t="s">
        <v>33535</v>
      </c>
      <c r="B17456" s="3" t="s">
        <v>14557</v>
      </c>
      <c r="C17456" s="5" t="s">
        <v>614</v>
      </c>
      <c r="D17456" s="3" t="s">
        <v>206</v>
      </c>
      <c r="E17456" s="3" t="s">
        <v>100</v>
      </c>
      <c r="F17456" s="7">
        <v>46083.66164448392</v>
      </c>
      <c r="G17456" s="3" t="s">
        <v>10125</v>
      </c>
    </row>
    <row r="17457">
      <c r="A17457" s="3" t="s">
        <v>33536</v>
      </c>
      <c r="B17457" s="3" t="s">
        <v>14557</v>
      </c>
      <c r="C17457" s="5" t="s">
        <v>206</v>
      </c>
      <c r="D17457" s="3" t="s">
        <v>68</v>
      </c>
      <c r="E17457" s="3" t="s">
        <v>100</v>
      </c>
      <c r="F17457" s="7">
        <v>46083.665116706135</v>
      </c>
      <c r="G17457" s="3" t="s">
        <v>10128</v>
      </c>
    </row>
    <row r="17458">
      <c r="A17458" s="3" t="s">
        <v>33537</v>
      </c>
      <c r="B17458" s="3" t="s">
        <v>14560</v>
      </c>
      <c r="C17458" s="5" t="s">
        <v>45</v>
      </c>
      <c r="D17458" s="3" t="s">
        <v>221</v>
      </c>
      <c r="E17458" s="3" t="s">
        <v>691</v>
      </c>
      <c r="F17458" s="7">
        <v>46083.725874884876</v>
      </c>
      <c r="G17458" s="3" t="s">
        <v>33538</v>
      </c>
    </row>
    <row r="17459">
      <c r="A17459" s="3" t="s">
        <v>33539</v>
      </c>
      <c r="B17459" s="3" t="s">
        <v>14560</v>
      </c>
      <c r="C17459" s="5" t="s">
        <v>221</v>
      </c>
      <c r="D17459" s="3" t="s">
        <v>614</v>
      </c>
      <c r="E17459" s="3" t="s">
        <v>118</v>
      </c>
      <c r="F17459" s="7">
        <v>46083.729347107095</v>
      </c>
      <c r="G17459" s="3" t="s">
        <v>33540</v>
      </c>
    </row>
    <row r="17460">
      <c r="A17460" s="3" t="s">
        <v>33541</v>
      </c>
      <c r="B17460" s="3" t="s">
        <v>14560</v>
      </c>
      <c r="C17460" s="5" t="s">
        <v>614</v>
      </c>
      <c r="D17460" s="3" t="s">
        <v>206</v>
      </c>
      <c r="E17460" s="3" t="s">
        <v>100</v>
      </c>
      <c r="F17460" s="7">
        <v>46083.73281932932</v>
      </c>
      <c r="G17460" s="3" t="s">
        <v>33542</v>
      </c>
    </row>
    <row r="17461">
      <c r="A17461" s="3" t="s">
        <v>33543</v>
      </c>
      <c r="B17461" s="3" t="s">
        <v>14560</v>
      </c>
      <c r="C17461" s="5" t="s">
        <v>206</v>
      </c>
      <c r="D17461" s="3" t="s">
        <v>68</v>
      </c>
      <c r="E17461" s="3" t="s">
        <v>100</v>
      </c>
      <c r="F17461" s="7">
        <v>46083.73629155154</v>
      </c>
      <c r="G17461" s="3" t="s">
        <v>33544</v>
      </c>
    </row>
    <row r="17462">
      <c r="A17462" s="3" t="s">
        <v>33545</v>
      </c>
      <c r="B17462" s="3" t="s">
        <v>14562</v>
      </c>
      <c r="C17462" s="5" t="s">
        <v>45</v>
      </c>
      <c r="D17462" s="3" t="s">
        <v>221</v>
      </c>
      <c r="E17462" s="3" t="s">
        <v>383</v>
      </c>
      <c r="F17462" s="7">
        <v>46083.797049730296</v>
      </c>
      <c r="G17462" s="3" t="s">
        <v>24798</v>
      </c>
    </row>
    <row r="17463">
      <c r="A17463" s="3" t="s">
        <v>33546</v>
      </c>
      <c r="B17463" s="3" t="s">
        <v>14562</v>
      </c>
      <c r="C17463" s="5" t="s">
        <v>221</v>
      </c>
      <c r="D17463" s="3" t="s">
        <v>181</v>
      </c>
      <c r="E17463" s="3" t="s">
        <v>118</v>
      </c>
      <c r="F17463" s="7">
        <v>46083.800521952515</v>
      </c>
      <c r="G17463" s="3" t="s">
        <v>33547</v>
      </c>
    </row>
    <row r="17464">
      <c r="A17464" s="3" t="s">
        <v>33548</v>
      </c>
      <c r="B17464" s="3" t="s">
        <v>14565</v>
      </c>
      <c r="C17464" s="5" t="s">
        <v>45</v>
      </c>
      <c r="D17464" s="3" t="s">
        <v>221</v>
      </c>
      <c r="E17464" s="3" t="s">
        <v>1034</v>
      </c>
      <c r="F17464" s="7">
        <v>46083.868224575715</v>
      </c>
      <c r="G17464" s="3" t="s">
        <v>20778</v>
      </c>
    </row>
    <row r="17465">
      <c r="A17465" s="3" t="s">
        <v>33549</v>
      </c>
      <c r="B17465" s="3" t="s">
        <v>14565</v>
      </c>
      <c r="C17465" s="5" t="s">
        <v>221</v>
      </c>
      <c r="D17465" s="3" t="s">
        <v>614</v>
      </c>
      <c r="E17465" s="3" t="s">
        <v>118</v>
      </c>
      <c r="F17465" s="7">
        <v>46083.871696797934</v>
      </c>
      <c r="G17465" s="3" t="s">
        <v>20780</v>
      </c>
    </row>
    <row r="17466">
      <c r="A17466" s="3" t="s">
        <v>33550</v>
      </c>
      <c r="B17466" s="3" t="s">
        <v>14565</v>
      </c>
      <c r="C17466" s="5" t="s">
        <v>614</v>
      </c>
      <c r="D17466" s="3" t="s">
        <v>206</v>
      </c>
      <c r="E17466" s="3" t="s">
        <v>100</v>
      </c>
      <c r="F17466" s="7">
        <v>46083.87516902016</v>
      </c>
      <c r="G17466" s="3" t="s">
        <v>20784</v>
      </c>
    </row>
    <row r="17467">
      <c r="A17467" s="3" t="s">
        <v>33551</v>
      </c>
      <c r="B17467" s="3" t="s">
        <v>14565</v>
      </c>
      <c r="C17467" s="5" t="s">
        <v>206</v>
      </c>
      <c r="D17467" s="3" t="s">
        <v>68</v>
      </c>
      <c r="E17467" s="3" t="s">
        <v>100</v>
      </c>
      <c r="F17467" s="7">
        <v>46083.87864124238</v>
      </c>
      <c r="G17467" s="3" t="s">
        <v>20786</v>
      </c>
    </row>
    <row r="17468">
      <c r="A17468" s="3" t="s">
        <v>33552</v>
      </c>
      <c r="B17468" s="3" t="s">
        <v>14567</v>
      </c>
      <c r="C17468" s="5" t="s">
        <v>45</v>
      </c>
      <c r="D17468" s="3" t="s">
        <v>221</v>
      </c>
      <c r="E17468" s="3" t="s">
        <v>363</v>
      </c>
      <c r="F17468" s="7">
        <v>46083.93939942113</v>
      </c>
      <c r="G17468" s="3" t="s">
        <v>26072</v>
      </c>
    </row>
    <row r="17469">
      <c r="A17469" s="3" t="s">
        <v>33553</v>
      </c>
      <c r="B17469" s="3" t="s">
        <v>14567</v>
      </c>
      <c r="C17469" s="5" t="s">
        <v>221</v>
      </c>
      <c r="D17469" s="3" t="s">
        <v>614</v>
      </c>
      <c r="E17469" s="3" t="s">
        <v>118</v>
      </c>
      <c r="F17469" s="7">
        <v>46083.94287164335</v>
      </c>
      <c r="G17469" s="3" t="s">
        <v>26074</v>
      </c>
    </row>
    <row r="17470">
      <c r="A17470" s="3" t="s">
        <v>33554</v>
      </c>
      <c r="B17470" s="3" t="s">
        <v>14567</v>
      </c>
      <c r="C17470" s="5" t="s">
        <v>614</v>
      </c>
      <c r="D17470" s="3" t="s">
        <v>206</v>
      </c>
      <c r="E17470" s="3" t="s">
        <v>100</v>
      </c>
      <c r="F17470" s="7">
        <v>46083.94634386557</v>
      </c>
      <c r="G17470" s="3" t="s">
        <v>26076</v>
      </c>
    </row>
    <row r="17471">
      <c r="A17471" s="3" t="s">
        <v>33555</v>
      </c>
      <c r="B17471" s="3" t="s">
        <v>14567</v>
      </c>
      <c r="C17471" s="5" t="s">
        <v>206</v>
      </c>
      <c r="D17471" s="3" t="s">
        <v>68</v>
      </c>
      <c r="E17471" s="3" t="s">
        <v>100</v>
      </c>
      <c r="F17471" s="7">
        <v>46083.94981608779</v>
      </c>
      <c r="G17471" s="3" t="s">
        <v>26078</v>
      </c>
    </row>
    <row r="17472">
      <c r="A17472" s="3" t="s">
        <v>33556</v>
      </c>
      <c r="B17472" s="3" t="s">
        <v>14570</v>
      </c>
      <c r="C17472" s="5" t="s">
        <v>45</v>
      </c>
      <c r="D17472" s="3" t="s">
        <v>221</v>
      </c>
      <c r="E17472" s="3" t="s">
        <v>557</v>
      </c>
      <c r="F17472" s="7">
        <v>46084.01057426654</v>
      </c>
      <c r="G17472" s="3" t="s">
        <v>9869</v>
      </c>
    </row>
    <row r="17473">
      <c r="A17473" s="3" t="s">
        <v>33557</v>
      </c>
      <c r="B17473" s="3" t="s">
        <v>14570</v>
      </c>
      <c r="C17473" s="5" t="s">
        <v>221</v>
      </c>
      <c r="D17473" s="3" t="s">
        <v>614</v>
      </c>
      <c r="E17473" s="3" t="s">
        <v>118</v>
      </c>
      <c r="F17473" s="7">
        <v>46084.01404648876</v>
      </c>
      <c r="G17473" s="3" t="s">
        <v>9873</v>
      </c>
    </row>
    <row r="17474">
      <c r="A17474" s="3" t="s">
        <v>33558</v>
      </c>
      <c r="B17474" s="3" t="s">
        <v>14570</v>
      </c>
      <c r="C17474" s="5" t="s">
        <v>614</v>
      </c>
      <c r="D17474" s="3" t="s">
        <v>206</v>
      </c>
      <c r="E17474" s="3" t="s">
        <v>100</v>
      </c>
      <c r="F17474" s="7">
        <v>46084.017518710985</v>
      </c>
      <c r="G17474" s="3" t="s">
        <v>9876</v>
      </c>
    </row>
    <row r="17475">
      <c r="A17475" s="3" t="s">
        <v>33559</v>
      </c>
      <c r="B17475" s="3" t="s">
        <v>14570</v>
      </c>
      <c r="C17475" s="5" t="s">
        <v>206</v>
      </c>
      <c r="D17475" s="3" t="s">
        <v>68</v>
      </c>
      <c r="E17475" s="3" t="s">
        <v>100</v>
      </c>
      <c r="F17475" s="7">
        <v>46084.020990933204</v>
      </c>
      <c r="G17475" s="3" t="s">
        <v>9879</v>
      </c>
    </row>
    <row r="17476">
      <c r="A17476" s="3" t="s">
        <v>33560</v>
      </c>
      <c r="B17476" s="3" t="s">
        <v>14573</v>
      </c>
      <c r="C17476" s="5" t="s">
        <v>45</v>
      </c>
      <c r="D17476" s="3" t="s">
        <v>221</v>
      </c>
      <c r="E17476" s="3" t="s">
        <v>226</v>
      </c>
      <c r="F17476" s="7">
        <v>46084.08174911196</v>
      </c>
      <c r="G17476" s="3" t="s">
        <v>11536</v>
      </c>
    </row>
    <row r="17477">
      <c r="A17477" s="3" t="s">
        <v>33561</v>
      </c>
      <c r="B17477" s="3" t="s">
        <v>14573</v>
      </c>
      <c r="C17477" s="5" t="s">
        <v>221</v>
      </c>
      <c r="D17477" s="3" t="s">
        <v>614</v>
      </c>
      <c r="E17477" s="3" t="s">
        <v>118</v>
      </c>
      <c r="F17477" s="7">
        <v>46084.08522133418</v>
      </c>
      <c r="G17477" s="3" t="s">
        <v>11539</v>
      </c>
    </row>
    <row r="17478">
      <c r="A17478" s="3" t="s">
        <v>33562</v>
      </c>
      <c r="B17478" s="3" t="s">
        <v>14573</v>
      </c>
      <c r="C17478" s="5" t="s">
        <v>614</v>
      </c>
      <c r="D17478" s="3" t="s">
        <v>206</v>
      </c>
      <c r="E17478" s="3" t="s">
        <v>100</v>
      </c>
      <c r="F17478" s="7">
        <v>46084.088693556405</v>
      </c>
      <c r="G17478" s="3" t="s">
        <v>11542</v>
      </c>
    </row>
    <row r="17479">
      <c r="A17479" s="3" t="s">
        <v>33563</v>
      </c>
      <c r="B17479" s="3" t="s">
        <v>14573</v>
      </c>
      <c r="C17479" s="5" t="s">
        <v>206</v>
      </c>
      <c r="D17479" s="3" t="s">
        <v>68</v>
      </c>
      <c r="E17479" s="3" t="s">
        <v>100</v>
      </c>
      <c r="F17479" s="7">
        <v>46084.092165778624</v>
      </c>
      <c r="G17479" s="3" t="s">
        <v>11544</v>
      </c>
    </row>
    <row r="17480">
      <c r="A17480" s="3" t="s">
        <v>33564</v>
      </c>
      <c r="B17480" s="3" t="s">
        <v>14576</v>
      </c>
      <c r="C17480" s="5" t="s">
        <v>45</v>
      </c>
      <c r="D17480" s="3" t="s">
        <v>221</v>
      </c>
      <c r="E17480" s="3" t="s">
        <v>515</v>
      </c>
      <c r="F17480" s="7">
        <v>46084.15292395737</v>
      </c>
      <c r="G17480" s="3" t="s">
        <v>11310</v>
      </c>
    </row>
    <row r="17481">
      <c r="A17481" s="3" t="s">
        <v>33565</v>
      </c>
      <c r="B17481" s="3" t="s">
        <v>14576</v>
      </c>
      <c r="C17481" s="5" t="s">
        <v>221</v>
      </c>
      <c r="D17481" s="3" t="s">
        <v>614</v>
      </c>
      <c r="E17481" s="3" t="s">
        <v>118</v>
      </c>
      <c r="F17481" s="7">
        <v>46084.15639617959</v>
      </c>
      <c r="G17481" s="3" t="s">
        <v>11353</v>
      </c>
    </row>
    <row r="17482">
      <c r="A17482" s="3" t="s">
        <v>33566</v>
      </c>
      <c r="B17482" s="3" t="s">
        <v>14576</v>
      </c>
      <c r="C17482" s="5" t="s">
        <v>614</v>
      </c>
      <c r="D17482" s="3" t="s">
        <v>206</v>
      </c>
      <c r="E17482" s="3" t="s">
        <v>100</v>
      </c>
      <c r="F17482" s="7">
        <v>46084.15986840182</v>
      </c>
      <c r="G17482" s="3" t="s">
        <v>11355</v>
      </c>
    </row>
    <row r="17483">
      <c r="A17483" s="3" t="s">
        <v>33567</v>
      </c>
      <c r="B17483" s="3" t="s">
        <v>14576</v>
      </c>
      <c r="C17483" s="5" t="s">
        <v>206</v>
      </c>
      <c r="D17483" s="3" t="s">
        <v>68</v>
      </c>
      <c r="E17483" s="3" t="s">
        <v>100</v>
      </c>
      <c r="F17483" s="7">
        <v>46084.163340624036</v>
      </c>
      <c r="G17483" s="3" t="s">
        <v>11358</v>
      </c>
    </row>
    <row r="17484">
      <c r="A17484" s="3" t="s">
        <v>33568</v>
      </c>
      <c r="B17484" s="3" t="s">
        <v>14579</v>
      </c>
      <c r="C17484" s="5" t="s">
        <v>45</v>
      </c>
      <c r="D17484" s="3" t="s">
        <v>221</v>
      </c>
      <c r="E17484" s="3" t="s">
        <v>236</v>
      </c>
      <c r="F17484" s="7">
        <v>46084.224098802784</v>
      </c>
      <c r="G17484" s="3" t="s">
        <v>7768</v>
      </c>
    </row>
    <row r="17485">
      <c r="A17485" s="3" t="s">
        <v>33569</v>
      </c>
      <c r="B17485" s="3" t="s">
        <v>14579</v>
      </c>
      <c r="C17485" s="5" t="s">
        <v>221</v>
      </c>
      <c r="D17485" s="3" t="s">
        <v>614</v>
      </c>
      <c r="E17485" s="3" t="s">
        <v>118</v>
      </c>
      <c r="F17485" s="7">
        <v>46084.227571025</v>
      </c>
      <c r="G17485" s="3" t="s">
        <v>7771</v>
      </c>
    </row>
    <row r="17486">
      <c r="A17486" s="3" t="s">
        <v>33570</v>
      </c>
      <c r="B17486" s="3" t="s">
        <v>14579</v>
      </c>
      <c r="C17486" s="5" t="s">
        <v>614</v>
      </c>
      <c r="D17486" s="3" t="s">
        <v>206</v>
      </c>
      <c r="E17486" s="3" t="s">
        <v>100</v>
      </c>
      <c r="F17486" s="7">
        <v>46084.23104324723</v>
      </c>
      <c r="G17486" s="3" t="s">
        <v>7773</v>
      </c>
    </row>
    <row r="17487">
      <c r="A17487" s="3" t="s">
        <v>33571</v>
      </c>
      <c r="B17487" s="3" t="s">
        <v>14579</v>
      </c>
      <c r="C17487" s="5" t="s">
        <v>206</v>
      </c>
      <c r="D17487" s="3" t="s">
        <v>68</v>
      </c>
      <c r="E17487" s="3" t="s">
        <v>100</v>
      </c>
      <c r="F17487" s="7">
        <v>46084.23451546945</v>
      </c>
      <c r="G17487" s="3" t="s">
        <v>7776</v>
      </c>
    </row>
    <row r="17488">
      <c r="A17488" s="3" t="s">
        <v>33572</v>
      </c>
      <c r="B17488" s="3" t="s">
        <v>14581</v>
      </c>
      <c r="C17488" s="5" t="s">
        <v>45</v>
      </c>
      <c r="D17488" s="3" t="s">
        <v>221</v>
      </c>
      <c r="E17488" s="3" t="s">
        <v>1049</v>
      </c>
      <c r="F17488" s="7">
        <v>46084.295273648204</v>
      </c>
      <c r="G17488" s="3" t="s">
        <v>14938</v>
      </c>
    </row>
    <row r="17489">
      <c r="A17489" s="3" t="s">
        <v>33573</v>
      </c>
      <c r="B17489" s="3" t="s">
        <v>14581</v>
      </c>
      <c r="C17489" s="5" t="s">
        <v>221</v>
      </c>
      <c r="D17489" s="3" t="s">
        <v>614</v>
      </c>
      <c r="E17489" s="3" t="s">
        <v>118</v>
      </c>
      <c r="F17489" s="7">
        <v>46084.29874587042</v>
      </c>
      <c r="G17489" s="3" t="s">
        <v>14941</v>
      </c>
    </row>
    <row r="17490">
      <c r="A17490" s="3" t="s">
        <v>33574</v>
      </c>
      <c r="B17490" s="3" t="s">
        <v>14581</v>
      </c>
      <c r="C17490" s="5" t="s">
        <v>614</v>
      </c>
      <c r="D17490" s="3" t="s">
        <v>206</v>
      </c>
      <c r="E17490" s="3" t="s">
        <v>100</v>
      </c>
      <c r="F17490" s="7">
        <v>46084.30221809265</v>
      </c>
      <c r="G17490" s="3" t="s">
        <v>14944</v>
      </c>
    </row>
    <row r="17491">
      <c r="A17491" s="3" t="s">
        <v>33575</v>
      </c>
      <c r="B17491" s="3" t="s">
        <v>14581</v>
      </c>
      <c r="C17491" s="5" t="s">
        <v>206</v>
      </c>
      <c r="D17491" s="3" t="s">
        <v>68</v>
      </c>
      <c r="E17491" s="3" t="s">
        <v>100</v>
      </c>
      <c r="F17491" s="7">
        <v>46084.30569031487</v>
      </c>
      <c r="G17491" s="3" t="s">
        <v>14947</v>
      </c>
    </row>
    <row r="17492">
      <c r="A17492" s="3" t="s">
        <v>33576</v>
      </c>
      <c r="B17492" s="3" t="s">
        <v>14583</v>
      </c>
      <c r="C17492" s="5" t="s">
        <v>45</v>
      </c>
      <c r="D17492" s="3" t="s">
        <v>221</v>
      </c>
      <c r="E17492" s="3" t="s">
        <v>395</v>
      </c>
      <c r="F17492" s="7">
        <v>46084.366448493616</v>
      </c>
      <c r="G17492" s="3" t="s">
        <v>29322</v>
      </c>
    </row>
    <row r="17493">
      <c r="A17493" s="3" t="s">
        <v>33577</v>
      </c>
      <c r="B17493" s="3" t="s">
        <v>14583</v>
      </c>
      <c r="C17493" s="5" t="s">
        <v>221</v>
      </c>
      <c r="D17493" s="3" t="s">
        <v>614</v>
      </c>
      <c r="E17493" s="3" t="s">
        <v>118</v>
      </c>
      <c r="F17493" s="7">
        <v>46084.369920715835</v>
      </c>
      <c r="G17493" s="3" t="s">
        <v>29324</v>
      </c>
    </row>
    <row r="17494">
      <c r="A17494" s="3" t="s">
        <v>33578</v>
      </c>
      <c r="B17494" s="3" t="s">
        <v>14583</v>
      </c>
      <c r="C17494" s="5" t="s">
        <v>614</v>
      </c>
      <c r="D17494" s="3" t="s">
        <v>206</v>
      </c>
      <c r="E17494" s="3" t="s">
        <v>100</v>
      </c>
      <c r="F17494" s="7">
        <v>46084.37339293806</v>
      </c>
      <c r="G17494" s="3" t="s">
        <v>29326</v>
      </c>
    </row>
    <row r="17495">
      <c r="A17495" s="3" t="s">
        <v>33579</v>
      </c>
      <c r="B17495" s="3" t="s">
        <v>14583</v>
      </c>
      <c r="C17495" s="5" t="s">
        <v>206</v>
      </c>
      <c r="D17495" s="3" t="s">
        <v>68</v>
      </c>
      <c r="E17495" s="3" t="s">
        <v>100</v>
      </c>
      <c r="F17495" s="7">
        <v>46084.37686516028</v>
      </c>
      <c r="G17495" s="3" t="s">
        <v>29328</v>
      </c>
    </row>
    <row r="17496">
      <c r="A17496" s="3" t="s">
        <v>33580</v>
      </c>
      <c r="B17496" s="3" t="s">
        <v>14586</v>
      </c>
      <c r="C17496" s="5" t="s">
        <v>45</v>
      </c>
      <c r="D17496" s="3" t="s">
        <v>221</v>
      </c>
      <c r="E17496" s="3" t="s">
        <v>276</v>
      </c>
      <c r="F17496" s="7">
        <v>46084.43762333903</v>
      </c>
      <c r="G17496" s="3" t="s">
        <v>33581</v>
      </c>
    </row>
    <row r="17497">
      <c r="A17497" s="3" t="s">
        <v>33582</v>
      </c>
      <c r="B17497" s="3" t="s">
        <v>14586</v>
      </c>
      <c r="C17497" s="5" t="s">
        <v>221</v>
      </c>
      <c r="D17497" s="3" t="s">
        <v>614</v>
      </c>
      <c r="E17497" s="3" t="s">
        <v>118</v>
      </c>
      <c r="F17497" s="7">
        <v>46084.44109556125</v>
      </c>
      <c r="G17497" s="3" t="s">
        <v>33583</v>
      </c>
    </row>
    <row r="17498">
      <c r="A17498" s="3" t="s">
        <v>33584</v>
      </c>
      <c r="B17498" s="3" t="s">
        <v>14586</v>
      </c>
      <c r="C17498" s="5" t="s">
        <v>614</v>
      </c>
      <c r="D17498" s="3" t="s">
        <v>206</v>
      </c>
      <c r="E17498" s="3" t="s">
        <v>100</v>
      </c>
      <c r="F17498" s="7">
        <v>46084.444567783474</v>
      </c>
      <c r="G17498" s="3" t="s">
        <v>33585</v>
      </c>
    </row>
    <row r="17499">
      <c r="A17499" s="3" t="s">
        <v>33586</v>
      </c>
      <c r="B17499" s="3" t="s">
        <v>14586</v>
      </c>
      <c r="C17499" s="5" t="s">
        <v>206</v>
      </c>
      <c r="D17499" s="3" t="s">
        <v>68</v>
      </c>
      <c r="E17499" s="3" t="s">
        <v>100</v>
      </c>
      <c r="F17499" s="7">
        <v>46084.44804000569</v>
      </c>
      <c r="G17499" s="3" t="s">
        <v>33587</v>
      </c>
    </row>
    <row r="17500">
      <c r="A17500" s="3" t="s">
        <v>33588</v>
      </c>
      <c r="B17500" s="3" t="s">
        <v>14589</v>
      </c>
      <c r="C17500" s="5" t="s">
        <v>45</v>
      </c>
      <c r="D17500" s="3" t="s">
        <v>221</v>
      </c>
      <c r="E17500" s="3" t="s">
        <v>758</v>
      </c>
      <c r="F17500" s="7">
        <v>46084.50879818445</v>
      </c>
      <c r="G17500" s="3" t="s">
        <v>2770</v>
      </c>
    </row>
    <row r="17501">
      <c r="A17501" s="3" t="s">
        <v>33589</v>
      </c>
      <c r="B17501" s="3" t="s">
        <v>14589</v>
      </c>
      <c r="C17501" s="5" t="s">
        <v>221</v>
      </c>
      <c r="D17501" s="3" t="s">
        <v>181</v>
      </c>
      <c r="E17501" s="3" t="s">
        <v>118</v>
      </c>
      <c r="F17501" s="7">
        <v>46084.51227040667</v>
      </c>
      <c r="G17501" s="3" t="s">
        <v>2774</v>
      </c>
    </row>
    <row r="17502">
      <c r="A17502" s="3" t="s">
        <v>33590</v>
      </c>
      <c r="B17502" s="3" t="s">
        <v>14592</v>
      </c>
      <c r="C17502" s="5" t="s">
        <v>45</v>
      </c>
      <c r="D17502" s="3" t="s">
        <v>221</v>
      </c>
      <c r="E17502" s="3" t="s">
        <v>767</v>
      </c>
      <c r="F17502" s="7">
        <v>46084.57997302986</v>
      </c>
      <c r="G17502" s="3" t="s">
        <v>6690</v>
      </c>
    </row>
    <row r="17503">
      <c r="A17503" s="3" t="s">
        <v>33591</v>
      </c>
      <c r="B17503" s="3" t="s">
        <v>14592</v>
      </c>
      <c r="C17503" s="5" t="s">
        <v>221</v>
      </c>
      <c r="D17503" s="3" t="s">
        <v>614</v>
      </c>
      <c r="E17503" s="3" t="s">
        <v>118</v>
      </c>
      <c r="F17503" s="7">
        <v>46084.58344525208</v>
      </c>
      <c r="G17503" s="3" t="s">
        <v>6693</v>
      </c>
    </row>
    <row r="17504">
      <c r="A17504" s="3" t="s">
        <v>33592</v>
      </c>
      <c r="B17504" s="3" t="s">
        <v>14592</v>
      </c>
      <c r="C17504" s="5" t="s">
        <v>614</v>
      </c>
      <c r="D17504" s="3" t="s">
        <v>206</v>
      </c>
      <c r="E17504" s="3" t="s">
        <v>100</v>
      </c>
      <c r="F17504" s="7">
        <v>46084.586917474306</v>
      </c>
      <c r="G17504" s="3" t="s">
        <v>6696</v>
      </c>
    </row>
    <row r="17505">
      <c r="A17505" s="3" t="s">
        <v>33593</v>
      </c>
      <c r="B17505" s="3" t="s">
        <v>14592</v>
      </c>
      <c r="C17505" s="5" t="s">
        <v>206</v>
      </c>
      <c r="D17505" s="3" t="s">
        <v>68</v>
      </c>
      <c r="E17505" s="3" t="s">
        <v>100</v>
      </c>
      <c r="F17505" s="7">
        <v>46084.590389696525</v>
      </c>
      <c r="G17505" s="3" t="s">
        <v>6699</v>
      </c>
    </row>
    <row r="17506">
      <c r="A17506" s="3" t="s">
        <v>33594</v>
      </c>
      <c r="B17506" s="3" t="s">
        <v>14596</v>
      </c>
      <c r="C17506" s="5" t="s">
        <v>45</v>
      </c>
      <c r="D17506" s="3" t="s">
        <v>221</v>
      </c>
      <c r="E17506" s="3" t="s">
        <v>575</v>
      </c>
      <c r="F17506" s="7">
        <v>46084.65114787527</v>
      </c>
      <c r="G17506" s="3" t="s">
        <v>30406</v>
      </c>
    </row>
    <row r="17507">
      <c r="A17507" s="3" t="s">
        <v>33595</v>
      </c>
      <c r="B17507" s="3" t="s">
        <v>14596</v>
      </c>
      <c r="C17507" s="5" t="s">
        <v>221</v>
      </c>
      <c r="D17507" s="3" t="s">
        <v>614</v>
      </c>
      <c r="E17507" s="3" t="s">
        <v>118</v>
      </c>
      <c r="F17507" s="7">
        <v>46084.65462009749</v>
      </c>
      <c r="G17507" s="3" t="s">
        <v>30408</v>
      </c>
    </row>
    <row r="17508">
      <c r="A17508" s="3" t="s">
        <v>33596</v>
      </c>
      <c r="B17508" s="3" t="s">
        <v>14596</v>
      </c>
      <c r="C17508" s="5" t="s">
        <v>614</v>
      </c>
      <c r="D17508" s="3" t="s">
        <v>206</v>
      </c>
      <c r="E17508" s="3" t="s">
        <v>100</v>
      </c>
      <c r="F17508" s="7">
        <v>46084.65809231972</v>
      </c>
      <c r="G17508" s="3" t="s">
        <v>30410</v>
      </c>
    </row>
    <row r="17509">
      <c r="A17509" s="3" t="s">
        <v>33597</v>
      </c>
      <c r="B17509" s="3" t="s">
        <v>14596</v>
      </c>
      <c r="C17509" s="5" t="s">
        <v>206</v>
      </c>
      <c r="D17509" s="3" t="s">
        <v>68</v>
      </c>
      <c r="E17509" s="3" t="s">
        <v>100</v>
      </c>
      <c r="F17509" s="7">
        <v>46084.66156454194</v>
      </c>
      <c r="G17509" s="3" t="s">
        <v>30412</v>
      </c>
    </row>
    <row r="17510">
      <c r="A17510" s="3" t="s">
        <v>33598</v>
      </c>
      <c r="B17510" s="3" t="s">
        <v>14599</v>
      </c>
      <c r="C17510" s="5" t="s">
        <v>45</v>
      </c>
      <c r="D17510" s="3" t="s">
        <v>221</v>
      </c>
      <c r="E17510" s="3" t="s">
        <v>816</v>
      </c>
      <c r="F17510" s="7">
        <v>46084.72232272069</v>
      </c>
      <c r="G17510" s="3" t="s">
        <v>8698</v>
      </c>
    </row>
    <row r="17511">
      <c r="A17511" s="3" t="s">
        <v>33599</v>
      </c>
      <c r="B17511" s="3" t="s">
        <v>14599</v>
      </c>
      <c r="C17511" s="5" t="s">
        <v>221</v>
      </c>
      <c r="D17511" s="3" t="s">
        <v>614</v>
      </c>
      <c r="E17511" s="3" t="s">
        <v>118</v>
      </c>
      <c r="F17511" s="7">
        <v>46084.72579494291</v>
      </c>
      <c r="G17511" s="3" t="s">
        <v>8701</v>
      </c>
    </row>
    <row r="17512">
      <c r="A17512" s="3" t="s">
        <v>33600</v>
      </c>
      <c r="B17512" s="3" t="s">
        <v>14599</v>
      </c>
      <c r="C17512" s="5" t="s">
        <v>614</v>
      </c>
      <c r="D17512" s="3" t="s">
        <v>206</v>
      </c>
      <c r="E17512" s="3" t="s">
        <v>100</v>
      </c>
      <c r="F17512" s="7">
        <v>46084.72926716514</v>
      </c>
      <c r="G17512" s="3" t="s">
        <v>8704</v>
      </c>
    </row>
    <row r="17513">
      <c r="A17513" s="3" t="s">
        <v>33601</v>
      </c>
      <c r="B17513" s="3" t="s">
        <v>14599</v>
      </c>
      <c r="C17513" s="5" t="s">
        <v>206</v>
      </c>
      <c r="D17513" s="3" t="s">
        <v>68</v>
      </c>
      <c r="E17513" s="3" t="s">
        <v>100</v>
      </c>
      <c r="F17513" s="7">
        <v>46084.73273938736</v>
      </c>
      <c r="G17513" s="3" t="s">
        <v>8707</v>
      </c>
    </row>
    <row r="17514">
      <c r="A17514" s="3" t="s">
        <v>33602</v>
      </c>
      <c r="B17514" s="3" t="s">
        <v>14603</v>
      </c>
      <c r="C17514" s="5" t="s">
        <v>45</v>
      </c>
      <c r="D17514" s="3" t="s">
        <v>221</v>
      </c>
      <c r="E17514" s="3" t="s">
        <v>250</v>
      </c>
      <c r="F17514" s="7">
        <v>46084.79349756611</v>
      </c>
      <c r="G17514" s="3" t="s">
        <v>19670</v>
      </c>
    </row>
    <row r="17515">
      <c r="A17515" s="3" t="s">
        <v>33603</v>
      </c>
      <c r="B17515" s="3" t="s">
        <v>14603</v>
      </c>
      <c r="C17515" s="5" t="s">
        <v>221</v>
      </c>
      <c r="D17515" s="3" t="s">
        <v>614</v>
      </c>
      <c r="E17515" s="3" t="s">
        <v>118</v>
      </c>
      <c r="F17515" s="7">
        <v>46084.79696978833</v>
      </c>
      <c r="G17515" s="3" t="s">
        <v>21518</v>
      </c>
    </row>
    <row r="17516">
      <c r="A17516" s="3" t="s">
        <v>33604</v>
      </c>
      <c r="B17516" s="3" t="s">
        <v>14603</v>
      </c>
      <c r="C17516" s="5" t="s">
        <v>614</v>
      </c>
      <c r="D17516" s="3" t="s">
        <v>206</v>
      </c>
      <c r="E17516" s="3" t="s">
        <v>100</v>
      </c>
      <c r="F17516" s="7">
        <v>46084.80044201056</v>
      </c>
      <c r="G17516" s="3" t="s">
        <v>21521</v>
      </c>
    </row>
    <row r="17517">
      <c r="A17517" s="3" t="s">
        <v>33605</v>
      </c>
      <c r="B17517" s="3" t="s">
        <v>14603</v>
      </c>
      <c r="C17517" s="5" t="s">
        <v>206</v>
      </c>
      <c r="D17517" s="3" t="s">
        <v>68</v>
      </c>
      <c r="E17517" s="3" t="s">
        <v>100</v>
      </c>
      <c r="F17517" s="7">
        <v>46084.803914232776</v>
      </c>
      <c r="G17517" s="3" t="s">
        <v>21524</v>
      </c>
    </row>
    <row r="17518">
      <c r="A17518" s="3" t="s">
        <v>33606</v>
      </c>
      <c r="B17518" s="3" t="s">
        <v>14606</v>
      </c>
      <c r="C17518" s="5" t="s">
        <v>45</v>
      </c>
      <c r="D17518" s="3" t="s">
        <v>221</v>
      </c>
      <c r="E17518" s="3" t="s">
        <v>731</v>
      </c>
      <c r="F17518" s="7">
        <v>46084.86467241152</v>
      </c>
      <c r="G17518" s="3" t="s">
        <v>9536</v>
      </c>
    </row>
    <row r="17519">
      <c r="A17519" s="3" t="s">
        <v>33607</v>
      </c>
      <c r="B17519" s="3" t="s">
        <v>14606</v>
      </c>
      <c r="C17519" s="5" t="s">
        <v>221</v>
      </c>
      <c r="D17519" s="3" t="s">
        <v>614</v>
      </c>
      <c r="E17519" s="3" t="s">
        <v>118</v>
      </c>
      <c r="F17519" s="7">
        <v>46084.868144633736</v>
      </c>
      <c r="G17519" s="3" t="s">
        <v>9539</v>
      </c>
    </row>
    <row r="17520">
      <c r="A17520" s="3" t="s">
        <v>33608</v>
      </c>
      <c r="B17520" s="3" t="s">
        <v>14606</v>
      </c>
      <c r="C17520" s="5" t="s">
        <v>614</v>
      </c>
      <c r="D17520" s="3" t="s">
        <v>206</v>
      </c>
      <c r="E17520" s="3" t="s">
        <v>100</v>
      </c>
      <c r="F17520" s="7">
        <v>46084.87161685596</v>
      </c>
      <c r="G17520" s="3" t="s">
        <v>9542</v>
      </c>
    </row>
    <row r="17521">
      <c r="A17521" s="3" t="s">
        <v>33609</v>
      </c>
      <c r="B17521" s="3" t="s">
        <v>14606</v>
      </c>
      <c r="C17521" s="5" t="s">
        <v>206</v>
      </c>
      <c r="D17521" s="3" t="s">
        <v>68</v>
      </c>
      <c r="E17521" s="3" t="s">
        <v>100</v>
      </c>
      <c r="F17521" s="7">
        <v>46084.87508907818</v>
      </c>
      <c r="G17521" s="3" t="s">
        <v>9545</v>
      </c>
    </row>
    <row r="17522">
      <c r="A17522" s="3" t="s">
        <v>33610</v>
      </c>
      <c r="B17522" s="3" t="s">
        <v>14610</v>
      </c>
      <c r="C17522" s="5" t="s">
        <v>45</v>
      </c>
      <c r="D17522" s="3" t="s">
        <v>221</v>
      </c>
      <c r="E17522" s="3" t="s">
        <v>785</v>
      </c>
      <c r="F17522" s="7">
        <v>46084.93584725694</v>
      </c>
      <c r="G17522" s="3" t="s">
        <v>9596</v>
      </c>
    </row>
    <row r="17523">
      <c r="A17523" s="3" t="s">
        <v>33611</v>
      </c>
      <c r="B17523" s="3" t="s">
        <v>14610</v>
      </c>
      <c r="C17523" s="5" t="s">
        <v>221</v>
      </c>
      <c r="D17523" s="3" t="s">
        <v>614</v>
      </c>
      <c r="E17523" s="3" t="s">
        <v>118</v>
      </c>
      <c r="F17523" s="7">
        <v>46084.939319479156</v>
      </c>
      <c r="G17523" s="3" t="s">
        <v>9599</v>
      </c>
    </row>
    <row r="17524">
      <c r="A17524" s="3" t="s">
        <v>33612</v>
      </c>
      <c r="B17524" s="3" t="s">
        <v>14610</v>
      </c>
      <c r="C17524" s="5" t="s">
        <v>614</v>
      </c>
      <c r="D17524" s="3" t="s">
        <v>206</v>
      </c>
      <c r="E17524" s="3" t="s">
        <v>100</v>
      </c>
      <c r="F17524" s="7">
        <v>46084.94279170138</v>
      </c>
      <c r="G17524" s="3" t="s">
        <v>9602</v>
      </c>
    </row>
    <row r="17525">
      <c r="A17525" s="3" t="s">
        <v>33613</v>
      </c>
      <c r="B17525" s="3" t="s">
        <v>14610</v>
      </c>
      <c r="C17525" s="5" t="s">
        <v>206</v>
      </c>
      <c r="D17525" s="3" t="s">
        <v>68</v>
      </c>
      <c r="E17525" s="3" t="s">
        <v>100</v>
      </c>
      <c r="F17525" s="7">
        <v>46084.9462639236</v>
      </c>
      <c r="G17525" s="3" t="s">
        <v>9606</v>
      </c>
    </row>
    <row r="17526">
      <c r="A17526" s="3" t="s">
        <v>33614</v>
      </c>
      <c r="B17526" s="3" t="s">
        <v>14613</v>
      </c>
      <c r="C17526" s="5" t="s">
        <v>45</v>
      </c>
      <c r="D17526" s="3" t="s">
        <v>221</v>
      </c>
      <c r="E17526" s="3" t="s">
        <v>598</v>
      </c>
      <c r="F17526" s="7">
        <v>46085.007022102356</v>
      </c>
      <c r="G17526" s="3" t="s">
        <v>7009</v>
      </c>
    </row>
    <row r="17527">
      <c r="A17527" s="3" t="s">
        <v>33615</v>
      </c>
      <c r="B17527" s="3" t="s">
        <v>14613</v>
      </c>
      <c r="C17527" s="5" t="s">
        <v>221</v>
      </c>
      <c r="D17527" s="3" t="s">
        <v>614</v>
      </c>
      <c r="E17527" s="3" t="s">
        <v>118</v>
      </c>
      <c r="F17527" s="7">
        <v>46085.010494324575</v>
      </c>
      <c r="G17527" s="3" t="s">
        <v>7012</v>
      </c>
    </row>
    <row r="17528">
      <c r="A17528" s="3" t="s">
        <v>33616</v>
      </c>
      <c r="B17528" s="3" t="s">
        <v>14613</v>
      </c>
      <c r="C17528" s="5" t="s">
        <v>614</v>
      </c>
      <c r="D17528" s="3" t="s">
        <v>206</v>
      </c>
      <c r="E17528" s="3" t="s">
        <v>100</v>
      </c>
      <c r="F17528" s="7">
        <v>46085.0139665468</v>
      </c>
      <c r="G17528" s="3" t="s">
        <v>7015</v>
      </c>
    </row>
    <row r="17529">
      <c r="A17529" s="3" t="s">
        <v>33617</v>
      </c>
      <c r="B17529" s="3" t="s">
        <v>14613</v>
      </c>
      <c r="C17529" s="5" t="s">
        <v>206</v>
      </c>
      <c r="D17529" s="3" t="s">
        <v>68</v>
      </c>
      <c r="E17529" s="3" t="s">
        <v>100</v>
      </c>
      <c r="F17529" s="7">
        <v>46085.01743876902</v>
      </c>
      <c r="G17529" s="3" t="s">
        <v>7018</v>
      </c>
    </row>
    <row r="17530">
      <c r="A17530" s="3" t="s">
        <v>33618</v>
      </c>
      <c r="B17530" s="3" t="s">
        <v>14617</v>
      </c>
      <c r="C17530" s="5" t="s">
        <v>45</v>
      </c>
      <c r="D17530" s="3" t="s">
        <v>221</v>
      </c>
      <c r="E17530" s="3" t="s">
        <v>822</v>
      </c>
      <c r="F17530" s="7">
        <v>46085.07819694777</v>
      </c>
      <c r="G17530" s="3" t="s">
        <v>9629</v>
      </c>
    </row>
    <row r="17531">
      <c r="A17531" s="3" t="s">
        <v>33619</v>
      </c>
      <c r="B17531" s="3" t="s">
        <v>14617</v>
      </c>
      <c r="C17531" s="5" t="s">
        <v>221</v>
      </c>
      <c r="D17531" s="3" t="s">
        <v>614</v>
      </c>
      <c r="E17531" s="3" t="s">
        <v>118</v>
      </c>
      <c r="F17531" s="7">
        <v>46085.08166916999</v>
      </c>
      <c r="G17531" s="3" t="s">
        <v>9632</v>
      </c>
    </row>
    <row r="17532">
      <c r="A17532" s="3" t="s">
        <v>33620</v>
      </c>
      <c r="B17532" s="3" t="s">
        <v>14617</v>
      </c>
      <c r="C17532" s="5" t="s">
        <v>614</v>
      </c>
      <c r="D17532" s="3" t="s">
        <v>206</v>
      </c>
      <c r="E17532" s="3" t="s">
        <v>100</v>
      </c>
      <c r="F17532" s="7">
        <v>46085.085141392214</v>
      </c>
      <c r="G17532" s="3" t="s">
        <v>9636</v>
      </c>
    </row>
    <row r="17533">
      <c r="A17533" s="3" t="s">
        <v>33621</v>
      </c>
      <c r="B17533" s="3" t="s">
        <v>14617</v>
      </c>
      <c r="C17533" s="5" t="s">
        <v>206</v>
      </c>
      <c r="D17533" s="3" t="s">
        <v>68</v>
      </c>
      <c r="E17533" s="3" t="s">
        <v>100</v>
      </c>
      <c r="F17533" s="7">
        <v>46085.08861361443</v>
      </c>
      <c r="G17533" s="3" t="s">
        <v>9639</v>
      </c>
    </row>
    <row r="17534">
      <c r="A17534" s="3" t="s">
        <v>33622</v>
      </c>
      <c r="B17534" s="3" t="s">
        <v>14620</v>
      </c>
      <c r="C17534" s="5" t="s">
        <v>45</v>
      </c>
      <c r="D17534" s="3" t="s">
        <v>221</v>
      </c>
      <c r="E17534" s="3" t="s">
        <v>575</v>
      </c>
      <c r="F17534" s="7">
        <v>46085.14937179318</v>
      </c>
      <c r="G17534" s="3" t="s">
        <v>30406</v>
      </c>
    </row>
    <row r="17535">
      <c r="A17535" s="3" t="s">
        <v>33623</v>
      </c>
      <c r="B17535" s="3" t="s">
        <v>14620</v>
      </c>
      <c r="C17535" s="5" t="s">
        <v>221</v>
      </c>
      <c r="D17535" s="3" t="s">
        <v>614</v>
      </c>
      <c r="E17535" s="3" t="s">
        <v>118</v>
      </c>
      <c r="F17535" s="7">
        <v>46085.1528440154</v>
      </c>
      <c r="G17535" s="3" t="s">
        <v>30408</v>
      </c>
    </row>
    <row r="17536">
      <c r="A17536" s="3" t="s">
        <v>33624</v>
      </c>
      <c r="B17536" s="3" t="s">
        <v>14620</v>
      </c>
      <c r="C17536" s="5" t="s">
        <v>614</v>
      </c>
      <c r="D17536" s="3" t="s">
        <v>206</v>
      </c>
      <c r="E17536" s="3" t="s">
        <v>100</v>
      </c>
      <c r="F17536" s="7">
        <v>46085.156316237626</v>
      </c>
      <c r="G17536" s="3" t="s">
        <v>30410</v>
      </c>
    </row>
    <row r="17537">
      <c r="A17537" s="3" t="s">
        <v>33625</v>
      </c>
      <c r="B17537" s="3" t="s">
        <v>14620</v>
      </c>
      <c r="C17537" s="5" t="s">
        <v>206</v>
      </c>
      <c r="D17537" s="3" t="s">
        <v>68</v>
      </c>
      <c r="E17537" s="3" t="s">
        <v>100</v>
      </c>
      <c r="F17537" s="7">
        <v>46085.159788459845</v>
      </c>
      <c r="G17537" s="3" t="s">
        <v>30412</v>
      </c>
    </row>
    <row r="17538">
      <c r="A17538" s="3" t="s">
        <v>33626</v>
      </c>
      <c r="B17538" s="3" t="s">
        <v>14621</v>
      </c>
      <c r="C17538" s="5" t="s">
        <v>45</v>
      </c>
      <c r="D17538" s="3" t="s">
        <v>221</v>
      </c>
      <c r="E17538" s="3" t="s">
        <v>841</v>
      </c>
      <c r="F17538" s="7">
        <v>46085.2205466386</v>
      </c>
      <c r="G17538" s="3" t="s">
        <v>16043</v>
      </c>
    </row>
    <row r="17539">
      <c r="A17539" s="3" t="s">
        <v>33627</v>
      </c>
      <c r="B17539" s="3" t="s">
        <v>14621</v>
      </c>
      <c r="C17539" s="5" t="s">
        <v>221</v>
      </c>
      <c r="D17539" s="3" t="s">
        <v>614</v>
      </c>
      <c r="E17539" s="3" t="s">
        <v>118</v>
      </c>
      <c r="F17539" s="7">
        <v>46085.22401886082</v>
      </c>
      <c r="G17539" s="3" t="s">
        <v>16046</v>
      </c>
    </row>
    <row r="17540">
      <c r="A17540" s="3" t="s">
        <v>33628</v>
      </c>
      <c r="B17540" s="3" t="s">
        <v>14621</v>
      </c>
      <c r="C17540" s="5" t="s">
        <v>614</v>
      </c>
      <c r="D17540" s="3" t="s">
        <v>206</v>
      </c>
      <c r="E17540" s="3" t="s">
        <v>100</v>
      </c>
      <c r="F17540" s="7">
        <v>46085.227491083046</v>
      </c>
      <c r="G17540" s="3" t="s">
        <v>16049</v>
      </c>
    </row>
    <row r="17541">
      <c r="A17541" s="3" t="s">
        <v>33629</v>
      </c>
      <c r="B17541" s="3" t="s">
        <v>14621</v>
      </c>
      <c r="C17541" s="5" t="s">
        <v>206</v>
      </c>
      <c r="D17541" s="3" t="s">
        <v>68</v>
      </c>
      <c r="E17541" s="3" t="s">
        <v>100</v>
      </c>
      <c r="F17541" s="7">
        <v>46085.230963305265</v>
      </c>
      <c r="G17541" s="3" t="s">
        <v>16052</v>
      </c>
    </row>
    <row r="17542">
      <c r="A17542" s="3" t="s">
        <v>33630</v>
      </c>
      <c r="B17542" s="3" t="s">
        <v>14623</v>
      </c>
      <c r="C17542" s="5" t="s">
        <v>45</v>
      </c>
      <c r="D17542" s="3" t="s">
        <v>221</v>
      </c>
      <c r="E17542" s="3" t="s">
        <v>805</v>
      </c>
      <c r="F17542" s="7">
        <v>46085.29172148401</v>
      </c>
      <c r="G17542" s="3" t="s">
        <v>9656</v>
      </c>
    </row>
    <row r="17543">
      <c r="A17543" s="3" t="s">
        <v>33631</v>
      </c>
      <c r="B17543" s="3" t="s">
        <v>14623</v>
      </c>
      <c r="C17543" s="5" t="s">
        <v>221</v>
      </c>
      <c r="D17543" s="3" t="s">
        <v>614</v>
      </c>
      <c r="E17543" s="3" t="s">
        <v>118</v>
      </c>
      <c r="F17543" s="7">
        <v>46085.29519370623</v>
      </c>
      <c r="G17543" s="3" t="s">
        <v>9660</v>
      </c>
    </row>
    <row r="17544">
      <c r="A17544" s="3" t="s">
        <v>33632</v>
      </c>
      <c r="B17544" s="3" t="s">
        <v>14623</v>
      </c>
      <c r="C17544" s="5" t="s">
        <v>614</v>
      </c>
      <c r="D17544" s="3" t="s">
        <v>206</v>
      </c>
      <c r="E17544" s="3" t="s">
        <v>100</v>
      </c>
      <c r="F17544" s="7">
        <v>46085.29866592846</v>
      </c>
      <c r="G17544" s="3" t="s">
        <v>9663</v>
      </c>
    </row>
    <row r="17545">
      <c r="A17545" s="3" t="s">
        <v>33633</v>
      </c>
      <c r="B17545" s="3" t="s">
        <v>14623</v>
      </c>
      <c r="C17545" s="5" t="s">
        <v>206</v>
      </c>
      <c r="D17545" s="3" t="s">
        <v>68</v>
      </c>
      <c r="E17545" s="3" t="s">
        <v>100</v>
      </c>
      <c r="F17545" s="7">
        <v>46085.30213815068</v>
      </c>
      <c r="G17545" s="3" t="s">
        <v>9667</v>
      </c>
    </row>
    <row r="17546">
      <c r="A17546" s="3" t="s">
        <v>33634</v>
      </c>
      <c r="B17546" s="3" t="s">
        <v>14625</v>
      </c>
      <c r="C17546" s="5" t="s">
        <v>45</v>
      </c>
      <c r="D17546" s="3" t="s">
        <v>221</v>
      </c>
      <c r="E17546" s="3" t="s">
        <v>584</v>
      </c>
      <c r="F17546" s="7">
        <v>46085.362896329425</v>
      </c>
      <c r="G17546" s="3" t="s">
        <v>22235</v>
      </c>
    </row>
    <row r="17547">
      <c r="A17547" s="3" t="s">
        <v>33635</v>
      </c>
      <c r="B17547" s="3" t="s">
        <v>14625</v>
      </c>
      <c r="C17547" s="5" t="s">
        <v>221</v>
      </c>
      <c r="D17547" s="3" t="s">
        <v>614</v>
      </c>
      <c r="E17547" s="3" t="s">
        <v>118</v>
      </c>
      <c r="F17547" s="7">
        <v>46085.366368551644</v>
      </c>
      <c r="G17547" s="3" t="s">
        <v>22238</v>
      </c>
    </row>
    <row r="17548">
      <c r="A17548" s="3" t="s">
        <v>33636</v>
      </c>
      <c r="B17548" s="3" t="s">
        <v>14625</v>
      </c>
      <c r="C17548" s="5" t="s">
        <v>614</v>
      </c>
      <c r="D17548" s="3" t="s">
        <v>206</v>
      </c>
      <c r="E17548" s="3" t="s">
        <v>100</v>
      </c>
      <c r="F17548" s="7">
        <v>46085.36984077387</v>
      </c>
      <c r="G17548" s="3" t="s">
        <v>22241</v>
      </c>
    </row>
    <row r="17549">
      <c r="A17549" s="3" t="s">
        <v>33637</v>
      </c>
      <c r="B17549" s="3" t="s">
        <v>14625</v>
      </c>
      <c r="C17549" s="5" t="s">
        <v>206</v>
      </c>
      <c r="D17549" s="3" t="s">
        <v>68</v>
      </c>
      <c r="E17549" s="3" t="s">
        <v>100</v>
      </c>
      <c r="F17549" s="7">
        <v>46085.37331299609</v>
      </c>
      <c r="G17549" s="3" t="s">
        <v>22244</v>
      </c>
    </row>
    <row r="17550">
      <c r="A17550" s="3" t="s">
        <v>33638</v>
      </c>
      <c r="B17550" s="3" t="s">
        <v>14627</v>
      </c>
      <c r="C17550" s="5" t="s">
        <v>45</v>
      </c>
      <c r="D17550" s="3" t="s">
        <v>221</v>
      </c>
      <c r="E17550" s="3" t="s">
        <v>953</v>
      </c>
      <c r="F17550" s="7">
        <v>46085.434071174845</v>
      </c>
      <c r="G17550" s="3" t="s">
        <v>25817</v>
      </c>
    </row>
    <row r="17551">
      <c r="A17551" s="3" t="s">
        <v>33639</v>
      </c>
      <c r="B17551" s="3" t="s">
        <v>14627</v>
      </c>
      <c r="C17551" s="5" t="s">
        <v>221</v>
      </c>
      <c r="D17551" s="3" t="s">
        <v>614</v>
      </c>
      <c r="E17551" s="3" t="s">
        <v>118</v>
      </c>
      <c r="F17551" s="7">
        <v>46085.43754339706</v>
      </c>
      <c r="G17551" s="3" t="s">
        <v>25819</v>
      </c>
    </row>
    <row r="17552">
      <c r="A17552" s="3" t="s">
        <v>33640</v>
      </c>
      <c r="B17552" s="3" t="s">
        <v>14627</v>
      </c>
      <c r="C17552" s="5" t="s">
        <v>614</v>
      </c>
      <c r="D17552" s="3" t="s">
        <v>206</v>
      </c>
      <c r="E17552" s="3" t="s">
        <v>100</v>
      </c>
      <c r="F17552" s="7">
        <v>46085.44101561929</v>
      </c>
      <c r="G17552" s="3" t="s">
        <v>25821</v>
      </c>
    </row>
    <row r="17553">
      <c r="A17553" s="3" t="s">
        <v>33641</v>
      </c>
      <c r="B17553" s="3" t="s">
        <v>14627</v>
      </c>
      <c r="C17553" s="5" t="s">
        <v>206</v>
      </c>
      <c r="D17553" s="3" t="s">
        <v>68</v>
      </c>
      <c r="E17553" s="3" t="s">
        <v>100</v>
      </c>
      <c r="F17553" s="7">
        <v>46085.44448784151</v>
      </c>
      <c r="G17553" s="3" t="s">
        <v>25823</v>
      </c>
    </row>
    <row r="17554">
      <c r="A17554" s="3" t="s">
        <v>33642</v>
      </c>
      <c r="B17554" s="3" t="s">
        <v>14631</v>
      </c>
      <c r="C17554" s="5" t="s">
        <v>45</v>
      </c>
      <c r="D17554" s="3" t="s">
        <v>221</v>
      </c>
      <c r="E17554" s="3" t="s">
        <v>916</v>
      </c>
      <c r="F17554" s="7">
        <v>46085.50524602026</v>
      </c>
      <c r="G17554" s="3" t="s">
        <v>8332</v>
      </c>
    </row>
    <row r="17555">
      <c r="A17555" s="3" t="s">
        <v>33643</v>
      </c>
      <c r="B17555" s="3" t="s">
        <v>14631</v>
      </c>
      <c r="C17555" s="5" t="s">
        <v>221</v>
      </c>
      <c r="D17555" s="3" t="s">
        <v>181</v>
      </c>
      <c r="E17555" s="3" t="s">
        <v>118</v>
      </c>
      <c r="F17555" s="7">
        <v>46085.508718242476</v>
      </c>
      <c r="G17555" s="3" t="s">
        <v>33644</v>
      </c>
    </row>
    <row r="17556">
      <c r="A17556" s="3" t="s">
        <v>33645</v>
      </c>
      <c r="B17556" s="3" t="s">
        <v>14636</v>
      </c>
      <c r="C17556" s="5" t="s">
        <v>45</v>
      </c>
      <c r="D17556" s="3" t="s">
        <v>221</v>
      </c>
      <c r="E17556" s="3" t="s">
        <v>751</v>
      </c>
      <c r="F17556" s="7">
        <v>46085.57642086567</v>
      </c>
      <c r="G17556" s="3" t="s">
        <v>22075</v>
      </c>
    </row>
    <row r="17557">
      <c r="A17557" s="3" t="s">
        <v>33646</v>
      </c>
      <c r="B17557" s="3" t="s">
        <v>14636</v>
      </c>
      <c r="C17557" s="5" t="s">
        <v>221</v>
      </c>
      <c r="D17557" s="3" t="s">
        <v>614</v>
      </c>
      <c r="E17557" s="3" t="s">
        <v>118</v>
      </c>
      <c r="F17557" s="7">
        <v>46085.57989308789</v>
      </c>
      <c r="G17557" s="3" t="s">
        <v>24267</v>
      </c>
    </row>
    <row r="17558">
      <c r="A17558" s="3" t="s">
        <v>33647</v>
      </c>
      <c r="B17558" s="3" t="s">
        <v>14636</v>
      </c>
      <c r="C17558" s="5" t="s">
        <v>614</v>
      </c>
      <c r="D17558" s="3" t="s">
        <v>206</v>
      </c>
      <c r="E17558" s="3" t="s">
        <v>100</v>
      </c>
      <c r="F17558" s="7">
        <v>46085.583365310114</v>
      </c>
      <c r="G17558" s="3" t="s">
        <v>24269</v>
      </c>
    </row>
    <row r="17559">
      <c r="A17559" s="3" t="s">
        <v>33648</v>
      </c>
      <c r="B17559" s="3" t="s">
        <v>14636</v>
      </c>
      <c r="C17559" s="5" t="s">
        <v>206</v>
      </c>
      <c r="D17559" s="3" t="s">
        <v>68</v>
      </c>
      <c r="E17559" s="3" t="s">
        <v>100</v>
      </c>
      <c r="F17559" s="7">
        <v>46085.58683753233</v>
      </c>
      <c r="G17559" s="3" t="s">
        <v>24271</v>
      </c>
    </row>
    <row r="17560">
      <c r="A17560" s="3" t="s">
        <v>33649</v>
      </c>
      <c r="B17560" s="3" t="s">
        <v>14639</v>
      </c>
      <c r="C17560" s="5" t="s">
        <v>45</v>
      </c>
      <c r="D17560" s="3" t="s">
        <v>221</v>
      </c>
      <c r="E17560" s="3" t="s">
        <v>575</v>
      </c>
      <c r="F17560" s="7">
        <v>46085.64759571109</v>
      </c>
      <c r="G17560" s="3" t="s">
        <v>30406</v>
      </c>
    </row>
    <row r="17561">
      <c r="A17561" s="3" t="s">
        <v>33650</v>
      </c>
      <c r="B17561" s="3" t="s">
        <v>14639</v>
      </c>
      <c r="C17561" s="5" t="s">
        <v>221</v>
      </c>
      <c r="D17561" s="3" t="s">
        <v>614</v>
      </c>
      <c r="E17561" s="3" t="s">
        <v>118</v>
      </c>
      <c r="F17561" s="7">
        <v>46085.65106793331</v>
      </c>
      <c r="G17561" s="3" t="s">
        <v>30408</v>
      </c>
    </row>
    <row r="17562">
      <c r="A17562" s="3" t="s">
        <v>33651</v>
      </c>
      <c r="B17562" s="3" t="s">
        <v>14639</v>
      </c>
      <c r="C17562" s="5" t="s">
        <v>614</v>
      </c>
      <c r="D17562" s="3" t="s">
        <v>206</v>
      </c>
      <c r="E17562" s="3" t="s">
        <v>100</v>
      </c>
      <c r="F17562" s="7">
        <v>46085.654540155534</v>
      </c>
      <c r="G17562" s="3" t="s">
        <v>30410</v>
      </c>
    </row>
    <row r="17563">
      <c r="A17563" s="3" t="s">
        <v>33652</v>
      </c>
      <c r="B17563" s="3" t="s">
        <v>14639</v>
      </c>
      <c r="C17563" s="5" t="s">
        <v>206</v>
      </c>
      <c r="D17563" s="3" t="s">
        <v>68</v>
      </c>
      <c r="E17563" s="3" t="s">
        <v>100</v>
      </c>
      <c r="F17563" s="7">
        <v>46085.65801237775</v>
      </c>
      <c r="G17563" s="3" t="s">
        <v>30412</v>
      </c>
    </row>
    <row r="17564">
      <c r="A17564" s="3" t="s">
        <v>33653</v>
      </c>
      <c r="B17564" s="3" t="s">
        <v>14640</v>
      </c>
      <c r="C17564" s="5" t="s">
        <v>45</v>
      </c>
      <c r="D17564" s="3" t="s">
        <v>221</v>
      </c>
      <c r="E17564" s="3" t="s">
        <v>612</v>
      </c>
      <c r="F17564" s="7">
        <v>46085.7187705565</v>
      </c>
      <c r="G17564" s="3" t="s">
        <v>9684</v>
      </c>
    </row>
    <row r="17565">
      <c r="A17565" s="3" t="s">
        <v>33654</v>
      </c>
      <c r="B17565" s="3" t="s">
        <v>14640</v>
      </c>
      <c r="C17565" s="5" t="s">
        <v>221</v>
      </c>
      <c r="D17565" s="3" t="s">
        <v>614</v>
      </c>
      <c r="E17565" s="3" t="s">
        <v>118</v>
      </c>
      <c r="F17565" s="7">
        <v>46085.72224277872</v>
      </c>
      <c r="G17565" s="3" t="s">
        <v>9687</v>
      </c>
    </row>
    <row r="17566">
      <c r="A17566" s="3" t="s">
        <v>33655</v>
      </c>
      <c r="B17566" s="3" t="s">
        <v>14640</v>
      </c>
      <c r="C17566" s="5" t="s">
        <v>614</v>
      </c>
      <c r="D17566" s="3" t="s">
        <v>206</v>
      </c>
      <c r="E17566" s="3" t="s">
        <v>100</v>
      </c>
      <c r="F17566" s="7">
        <v>46085.72571500095</v>
      </c>
      <c r="G17566" s="3" t="s">
        <v>9691</v>
      </c>
    </row>
    <row r="17567">
      <c r="A17567" s="3" t="s">
        <v>33656</v>
      </c>
      <c r="B17567" s="3" t="s">
        <v>14640</v>
      </c>
      <c r="C17567" s="5" t="s">
        <v>206</v>
      </c>
      <c r="D17567" s="3" t="s">
        <v>68</v>
      </c>
      <c r="E17567" s="3" t="s">
        <v>100</v>
      </c>
      <c r="F17567" s="7">
        <v>46085.729187223165</v>
      </c>
      <c r="G17567" s="3" t="s">
        <v>9694</v>
      </c>
    </row>
    <row r="17568">
      <c r="A17568" s="3" t="s">
        <v>33657</v>
      </c>
      <c r="B17568" s="3" t="s">
        <v>14643</v>
      </c>
      <c r="C17568" s="5" t="s">
        <v>45</v>
      </c>
      <c r="D17568" s="3" t="s">
        <v>221</v>
      </c>
      <c r="E17568" s="3" t="s">
        <v>156</v>
      </c>
      <c r="F17568" s="7">
        <v>46085.78994540192</v>
      </c>
      <c r="G17568" s="3" t="s">
        <v>9717</v>
      </c>
    </row>
    <row r="17569">
      <c r="A17569" s="3" t="s">
        <v>33658</v>
      </c>
      <c r="B17569" s="3" t="s">
        <v>14643</v>
      </c>
      <c r="C17569" s="5" t="s">
        <v>221</v>
      </c>
      <c r="D17569" s="3" t="s">
        <v>614</v>
      </c>
      <c r="E17569" s="3" t="s">
        <v>118</v>
      </c>
      <c r="F17569" s="7">
        <v>46085.79341762414</v>
      </c>
      <c r="G17569" s="3" t="s">
        <v>9720</v>
      </c>
    </row>
    <row r="17570">
      <c r="A17570" s="3" t="s">
        <v>33659</v>
      </c>
      <c r="B17570" s="3" t="s">
        <v>14643</v>
      </c>
      <c r="C17570" s="5" t="s">
        <v>614</v>
      </c>
      <c r="D17570" s="3" t="s">
        <v>206</v>
      </c>
      <c r="E17570" s="3" t="s">
        <v>100</v>
      </c>
      <c r="F17570" s="7">
        <v>46085.796889846366</v>
      </c>
      <c r="G17570" s="3" t="s">
        <v>9724</v>
      </c>
    </row>
    <row r="17571">
      <c r="A17571" s="3" t="s">
        <v>33660</v>
      </c>
      <c r="B17571" s="3" t="s">
        <v>14643</v>
      </c>
      <c r="C17571" s="5" t="s">
        <v>206</v>
      </c>
      <c r="D17571" s="3" t="s">
        <v>68</v>
      </c>
      <c r="E17571" s="3" t="s">
        <v>100</v>
      </c>
      <c r="F17571" s="7">
        <v>46085.800362068585</v>
      </c>
      <c r="G17571" s="3" t="s">
        <v>9727</v>
      </c>
    </row>
    <row r="17572">
      <c r="A17572" s="3" t="s">
        <v>33661</v>
      </c>
      <c r="B17572" s="3" t="s">
        <v>14648</v>
      </c>
      <c r="C17572" s="5" t="s">
        <v>45</v>
      </c>
      <c r="D17572" s="3" t="s">
        <v>221</v>
      </c>
      <c r="E17572" s="3" t="s">
        <v>310</v>
      </c>
      <c r="F17572" s="7">
        <v>46085.86112024733</v>
      </c>
      <c r="G17572" s="3" t="s">
        <v>4973</v>
      </c>
    </row>
    <row r="17573">
      <c r="A17573" s="3" t="s">
        <v>33662</v>
      </c>
      <c r="B17573" s="3" t="s">
        <v>14648</v>
      </c>
      <c r="C17573" s="5" t="s">
        <v>221</v>
      </c>
      <c r="D17573" s="3" t="s">
        <v>614</v>
      </c>
      <c r="E17573" s="3" t="s">
        <v>118</v>
      </c>
      <c r="F17573" s="7">
        <v>46085.86459246955</v>
      </c>
      <c r="G17573" s="3" t="s">
        <v>4976</v>
      </c>
    </row>
    <row r="17574">
      <c r="A17574" s="3" t="s">
        <v>33663</v>
      </c>
      <c r="B17574" s="3" t="s">
        <v>14648</v>
      </c>
      <c r="C17574" s="5" t="s">
        <v>614</v>
      </c>
      <c r="D17574" s="3" t="s">
        <v>206</v>
      </c>
      <c r="E17574" s="3" t="s">
        <v>100</v>
      </c>
      <c r="F17574" s="7">
        <v>46085.86806469178</v>
      </c>
      <c r="G17574" s="3" t="s">
        <v>4979</v>
      </c>
    </row>
    <row r="17575">
      <c r="A17575" s="3" t="s">
        <v>33664</v>
      </c>
      <c r="B17575" s="3" t="s">
        <v>14648</v>
      </c>
      <c r="C17575" s="5" t="s">
        <v>206</v>
      </c>
      <c r="D17575" s="3" t="s">
        <v>68</v>
      </c>
      <c r="E17575" s="3" t="s">
        <v>100</v>
      </c>
      <c r="F17575" s="7">
        <v>46085.871536914</v>
      </c>
      <c r="G17575" s="3" t="s">
        <v>4982</v>
      </c>
    </row>
    <row r="17576">
      <c r="A17576" s="3" t="s">
        <v>33665</v>
      </c>
      <c r="B17576" s="3" t="s">
        <v>14650</v>
      </c>
      <c r="C17576" s="5" t="s">
        <v>45</v>
      </c>
      <c r="D17576" s="3" t="s">
        <v>221</v>
      </c>
      <c r="E17576" s="3" t="s">
        <v>507</v>
      </c>
      <c r="F17576" s="7">
        <v>46085.93229509275</v>
      </c>
      <c r="G17576" s="3" t="s">
        <v>10645</v>
      </c>
    </row>
    <row r="17577">
      <c r="A17577" s="3" t="s">
        <v>33666</v>
      </c>
      <c r="B17577" s="3" t="s">
        <v>14650</v>
      </c>
      <c r="C17577" s="5" t="s">
        <v>221</v>
      </c>
      <c r="D17577" s="3" t="s">
        <v>195</v>
      </c>
      <c r="E17577" s="3" t="s">
        <v>507</v>
      </c>
      <c r="F17577" s="7">
        <v>46085.93576731497</v>
      </c>
      <c r="G17577" s="3" t="s">
        <v>33667</v>
      </c>
    </row>
    <row r="17578">
      <c r="A17578" s="3" t="s">
        <v>33668</v>
      </c>
      <c r="B17578" s="3" t="s">
        <v>14652</v>
      </c>
      <c r="C17578" s="5" t="s">
        <v>45</v>
      </c>
      <c r="D17578" s="3" t="s">
        <v>221</v>
      </c>
      <c r="E17578" s="3" t="s">
        <v>722</v>
      </c>
      <c r="F17578" s="7">
        <v>46086.00346993816</v>
      </c>
      <c r="G17578" s="3" t="s">
        <v>33669</v>
      </c>
    </row>
    <row r="17579">
      <c r="A17579" s="3" t="s">
        <v>33670</v>
      </c>
      <c r="B17579" s="3" t="s">
        <v>14652</v>
      </c>
      <c r="C17579" s="5" t="s">
        <v>221</v>
      </c>
      <c r="D17579" s="3" t="s">
        <v>195</v>
      </c>
      <c r="E17579" s="3" t="s">
        <v>722</v>
      </c>
      <c r="F17579" s="7">
        <v>46086.00694216038</v>
      </c>
      <c r="G17579" s="3" t="s">
        <v>33671</v>
      </c>
    </row>
    <row r="17580">
      <c r="A17580" s="3" t="s">
        <v>33672</v>
      </c>
      <c r="B17580" s="3" t="s">
        <v>14655</v>
      </c>
      <c r="C17580" s="5" t="s">
        <v>45</v>
      </c>
      <c r="D17580" s="3" t="s">
        <v>221</v>
      </c>
      <c r="E17580" s="3" t="s">
        <v>159</v>
      </c>
      <c r="F17580" s="7">
        <v>46086.07464478358</v>
      </c>
      <c r="G17580" s="3" t="s">
        <v>9730</v>
      </c>
    </row>
    <row r="17581">
      <c r="A17581" s="3" t="s">
        <v>33673</v>
      </c>
      <c r="B17581" s="3" t="s">
        <v>14655</v>
      </c>
      <c r="C17581" s="5" t="s">
        <v>221</v>
      </c>
      <c r="D17581" s="3" t="s">
        <v>614</v>
      </c>
      <c r="E17581" s="3" t="s">
        <v>118</v>
      </c>
      <c r="F17581" s="7">
        <v>46086.078117005796</v>
      </c>
      <c r="G17581" s="3" t="s">
        <v>9734</v>
      </c>
    </row>
    <row r="17582">
      <c r="A17582" s="3" t="s">
        <v>33674</v>
      </c>
      <c r="B17582" s="3" t="s">
        <v>14655</v>
      </c>
      <c r="C17582" s="5" t="s">
        <v>614</v>
      </c>
      <c r="D17582" s="3" t="s">
        <v>206</v>
      </c>
      <c r="E17582" s="3" t="s">
        <v>100</v>
      </c>
      <c r="F17582" s="7">
        <v>46086.08158922802</v>
      </c>
      <c r="G17582" s="3" t="s">
        <v>9737</v>
      </c>
    </row>
    <row r="17583">
      <c r="A17583" s="3" t="s">
        <v>33675</v>
      </c>
      <c r="B17583" s="3" t="s">
        <v>14655</v>
      </c>
      <c r="C17583" s="5" t="s">
        <v>206</v>
      </c>
      <c r="D17583" s="3" t="s">
        <v>68</v>
      </c>
      <c r="E17583" s="3" t="s">
        <v>100</v>
      </c>
      <c r="F17583" s="7">
        <v>46086.08506145024</v>
      </c>
      <c r="G17583" s="3" t="s">
        <v>9740</v>
      </c>
    </row>
    <row r="17584">
      <c r="A17584" s="3" t="s">
        <v>33676</v>
      </c>
      <c r="B17584" s="3" t="s">
        <v>14658</v>
      </c>
      <c r="C17584" s="5" t="s">
        <v>45</v>
      </c>
      <c r="D17584" s="3" t="s">
        <v>221</v>
      </c>
      <c r="E17584" s="3" t="s">
        <v>282</v>
      </c>
      <c r="F17584" s="7">
        <v>46086.145819629</v>
      </c>
      <c r="G17584" s="3" t="s">
        <v>14478</v>
      </c>
    </row>
    <row r="17585">
      <c r="A17585" s="3" t="s">
        <v>33677</v>
      </c>
      <c r="B17585" s="3" t="s">
        <v>14658</v>
      </c>
      <c r="C17585" s="5" t="s">
        <v>221</v>
      </c>
      <c r="D17585" s="3" t="s">
        <v>614</v>
      </c>
      <c r="E17585" s="3" t="s">
        <v>118</v>
      </c>
      <c r="F17585" s="7">
        <v>46086.149291851216</v>
      </c>
      <c r="G17585" s="3" t="s">
        <v>14481</v>
      </c>
    </row>
    <row r="17586">
      <c r="A17586" s="3" t="s">
        <v>33678</v>
      </c>
      <c r="B17586" s="3" t="s">
        <v>14658</v>
      </c>
      <c r="C17586" s="5" t="s">
        <v>614</v>
      </c>
      <c r="D17586" s="3" t="s">
        <v>206</v>
      </c>
      <c r="E17586" s="3" t="s">
        <v>100</v>
      </c>
      <c r="F17586" s="7">
        <v>46086.15276407344</v>
      </c>
      <c r="G17586" s="3" t="s">
        <v>14484</v>
      </c>
    </row>
    <row r="17587">
      <c r="A17587" s="3" t="s">
        <v>33679</v>
      </c>
      <c r="B17587" s="3" t="s">
        <v>14658</v>
      </c>
      <c r="C17587" s="5" t="s">
        <v>206</v>
      </c>
      <c r="D17587" s="3" t="s">
        <v>68</v>
      </c>
      <c r="E17587" s="3" t="s">
        <v>100</v>
      </c>
      <c r="F17587" s="7">
        <v>46086.15623629566</v>
      </c>
      <c r="G17587" s="3" t="s">
        <v>14487</v>
      </c>
    </row>
    <row r="17588">
      <c r="A17588" s="3" t="s">
        <v>33680</v>
      </c>
      <c r="B17588" s="3" t="s">
        <v>14661</v>
      </c>
      <c r="C17588" s="5" t="s">
        <v>45</v>
      </c>
      <c r="D17588" s="3" t="s">
        <v>221</v>
      </c>
      <c r="E17588" s="3" t="s">
        <v>233</v>
      </c>
      <c r="F17588" s="7">
        <v>46086.21699447441</v>
      </c>
      <c r="G17588" s="3" t="s">
        <v>12969</v>
      </c>
    </row>
    <row r="17589">
      <c r="A17589" s="3" t="s">
        <v>33681</v>
      </c>
      <c r="B17589" s="3" t="s">
        <v>14661</v>
      </c>
      <c r="C17589" s="5" t="s">
        <v>221</v>
      </c>
      <c r="D17589" s="3" t="s">
        <v>614</v>
      </c>
      <c r="E17589" s="3" t="s">
        <v>118</v>
      </c>
      <c r="F17589" s="7">
        <v>46086.22046669663</v>
      </c>
      <c r="G17589" s="3" t="s">
        <v>12972</v>
      </c>
    </row>
    <row r="17590">
      <c r="A17590" s="3" t="s">
        <v>33682</v>
      </c>
      <c r="B17590" s="3" t="s">
        <v>14661</v>
      </c>
      <c r="C17590" s="5" t="s">
        <v>614</v>
      </c>
      <c r="D17590" s="3" t="s">
        <v>206</v>
      </c>
      <c r="E17590" s="3" t="s">
        <v>100</v>
      </c>
      <c r="F17590" s="7">
        <v>46086.223938918854</v>
      </c>
      <c r="G17590" s="3" t="s">
        <v>12976</v>
      </c>
    </row>
    <row r="17591">
      <c r="A17591" s="3" t="s">
        <v>33683</v>
      </c>
      <c r="B17591" s="3" t="s">
        <v>14661</v>
      </c>
      <c r="C17591" s="5" t="s">
        <v>206</v>
      </c>
      <c r="D17591" s="3" t="s">
        <v>68</v>
      </c>
      <c r="E17591" s="3" t="s">
        <v>100</v>
      </c>
      <c r="F17591" s="7">
        <v>46086.22741114107</v>
      </c>
      <c r="G17591" s="3" t="s">
        <v>12979</v>
      </c>
    </row>
    <row r="17592">
      <c r="A17592" s="3" t="s">
        <v>33684</v>
      </c>
      <c r="B17592" s="3" t="s">
        <v>14664</v>
      </c>
      <c r="C17592" s="5" t="s">
        <v>45</v>
      </c>
      <c r="D17592" s="3" t="s">
        <v>221</v>
      </c>
      <c r="E17592" s="3" t="s">
        <v>419</v>
      </c>
      <c r="F17592" s="7">
        <v>46086.28816931982</v>
      </c>
      <c r="G17592" s="3" t="s">
        <v>11316</v>
      </c>
    </row>
    <row r="17593">
      <c r="A17593" s="3" t="s">
        <v>33685</v>
      </c>
      <c r="B17593" s="3" t="s">
        <v>14664</v>
      </c>
      <c r="C17593" s="5" t="s">
        <v>221</v>
      </c>
      <c r="D17593" s="3" t="s">
        <v>614</v>
      </c>
      <c r="E17593" s="3" t="s">
        <v>118</v>
      </c>
      <c r="F17593" s="7">
        <v>46086.29164154204</v>
      </c>
      <c r="G17593" s="3" t="s">
        <v>11319</v>
      </c>
    </row>
    <row r="17594">
      <c r="A17594" s="3" t="s">
        <v>33686</v>
      </c>
      <c r="B17594" s="3" t="s">
        <v>14664</v>
      </c>
      <c r="C17594" s="5" t="s">
        <v>614</v>
      </c>
      <c r="D17594" s="3" t="s">
        <v>206</v>
      </c>
      <c r="E17594" s="3" t="s">
        <v>100</v>
      </c>
      <c r="F17594" s="7">
        <v>46086.29511376427</v>
      </c>
      <c r="G17594" s="3" t="s">
        <v>11321</v>
      </c>
    </row>
    <row r="17595">
      <c r="A17595" s="3" t="s">
        <v>33687</v>
      </c>
      <c r="B17595" s="3" t="s">
        <v>14664</v>
      </c>
      <c r="C17595" s="5" t="s">
        <v>206</v>
      </c>
      <c r="D17595" s="3" t="s">
        <v>68</v>
      </c>
      <c r="E17595" s="3" t="s">
        <v>100</v>
      </c>
      <c r="F17595" s="7">
        <v>46086.298585986486</v>
      </c>
      <c r="G17595" s="3" t="s">
        <v>11324</v>
      </c>
    </row>
    <row r="17596">
      <c r="A17596" s="3" t="s">
        <v>33688</v>
      </c>
      <c r="B17596" s="3" t="s">
        <v>14667</v>
      </c>
      <c r="C17596" s="5" t="s">
        <v>45</v>
      </c>
      <c r="D17596" s="3" t="s">
        <v>221</v>
      </c>
      <c r="E17596" s="3" t="s">
        <v>763</v>
      </c>
      <c r="F17596" s="7">
        <v>46086.35934416524</v>
      </c>
      <c r="G17596" s="3" t="s">
        <v>8327</v>
      </c>
    </row>
    <row r="17597">
      <c r="A17597" s="3" t="s">
        <v>33689</v>
      </c>
      <c r="B17597" s="3" t="s">
        <v>14667</v>
      </c>
      <c r="C17597" s="5" t="s">
        <v>221</v>
      </c>
      <c r="D17597" s="3" t="s">
        <v>614</v>
      </c>
      <c r="E17597" s="3" t="s">
        <v>118</v>
      </c>
      <c r="F17597" s="7">
        <v>46086.36281638746</v>
      </c>
      <c r="G17597" s="3" t="s">
        <v>10208</v>
      </c>
    </row>
    <row r="17598">
      <c r="A17598" s="3" t="s">
        <v>33690</v>
      </c>
      <c r="B17598" s="3" t="s">
        <v>14667</v>
      </c>
      <c r="C17598" s="5" t="s">
        <v>614</v>
      </c>
      <c r="D17598" s="3" t="s">
        <v>206</v>
      </c>
      <c r="E17598" s="3" t="s">
        <v>100</v>
      </c>
      <c r="F17598" s="7">
        <v>46086.366288609686</v>
      </c>
      <c r="G17598" s="3" t="s">
        <v>10211</v>
      </c>
    </row>
    <row r="17599">
      <c r="A17599" s="3" t="s">
        <v>33691</v>
      </c>
      <c r="B17599" s="3" t="s">
        <v>14667</v>
      </c>
      <c r="C17599" s="5" t="s">
        <v>206</v>
      </c>
      <c r="D17599" s="3" t="s">
        <v>68</v>
      </c>
      <c r="E17599" s="3" t="s">
        <v>100</v>
      </c>
      <c r="F17599" s="7">
        <v>46086.369760831905</v>
      </c>
      <c r="G17599" s="3" t="s">
        <v>10213</v>
      </c>
    </row>
    <row r="17600">
      <c r="A17600" s="3" t="s">
        <v>33692</v>
      </c>
      <c r="B17600" s="3" t="s">
        <v>14670</v>
      </c>
      <c r="C17600" s="5" t="s">
        <v>45</v>
      </c>
      <c r="D17600" s="3" t="s">
        <v>221</v>
      </c>
      <c r="E17600" s="3" t="s">
        <v>731</v>
      </c>
      <c r="F17600" s="7">
        <v>46086.43051901065</v>
      </c>
      <c r="G17600" s="3" t="s">
        <v>10161</v>
      </c>
    </row>
    <row r="17601">
      <c r="A17601" s="3" t="s">
        <v>33693</v>
      </c>
      <c r="B17601" s="3" t="s">
        <v>14670</v>
      </c>
      <c r="C17601" s="5" t="s">
        <v>221</v>
      </c>
      <c r="D17601" s="3" t="s">
        <v>614</v>
      </c>
      <c r="E17601" s="3" t="s">
        <v>118</v>
      </c>
      <c r="F17601" s="7">
        <v>46086.43399123287</v>
      </c>
      <c r="G17601" s="3" t="s">
        <v>10164</v>
      </c>
    </row>
    <row r="17602">
      <c r="A17602" s="3" t="s">
        <v>33694</v>
      </c>
      <c r="B17602" s="3" t="s">
        <v>14670</v>
      </c>
      <c r="C17602" s="5" t="s">
        <v>614</v>
      </c>
      <c r="D17602" s="3" t="s">
        <v>206</v>
      </c>
      <c r="E17602" s="3" t="s">
        <v>100</v>
      </c>
      <c r="F17602" s="7">
        <v>46086.4374634551</v>
      </c>
      <c r="G17602" s="3" t="s">
        <v>10167</v>
      </c>
    </row>
    <row r="17603">
      <c r="A17603" s="3" t="s">
        <v>33695</v>
      </c>
      <c r="B17603" s="3" t="s">
        <v>14670</v>
      </c>
      <c r="C17603" s="5" t="s">
        <v>206</v>
      </c>
      <c r="D17603" s="3" t="s">
        <v>68</v>
      </c>
      <c r="E17603" s="3" t="s">
        <v>100</v>
      </c>
      <c r="F17603" s="7">
        <v>46086.44093567732</v>
      </c>
      <c r="G17603" s="3" t="s">
        <v>10170</v>
      </c>
    </row>
    <row r="17604">
      <c r="A17604" s="3" t="s">
        <v>33696</v>
      </c>
      <c r="B17604" s="3" t="s">
        <v>14672</v>
      </c>
      <c r="C17604" s="5" t="s">
        <v>45</v>
      </c>
      <c r="D17604" s="3" t="s">
        <v>221</v>
      </c>
      <c r="E17604" s="3" t="s">
        <v>900</v>
      </c>
      <c r="F17604" s="7">
        <v>46086.501693856066</v>
      </c>
      <c r="G17604" s="3" t="s">
        <v>2770</v>
      </c>
    </row>
    <row r="17605">
      <c r="A17605" s="3" t="s">
        <v>33697</v>
      </c>
      <c r="B17605" s="3" t="s">
        <v>14672</v>
      </c>
      <c r="C17605" s="5" t="s">
        <v>221</v>
      </c>
      <c r="D17605" s="3" t="s">
        <v>181</v>
      </c>
      <c r="E17605" s="3" t="s">
        <v>118</v>
      </c>
      <c r="F17605" s="7">
        <v>46086.505166078285</v>
      </c>
      <c r="G17605" s="3" t="s">
        <v>2774</v>
      </c>
    </row>
    <row r="17606">
      <c r="A17606" s="3" t="s">
        <v>33698</v>
      </c>
      <c r="B17606" s="3" t="s">
        <v>14674</v>
      </c>
      <c r="C17606" s="5" t="s">
        <v>45</v>
      </c>
      <c r="D17606" s="3" t="s">
        <v>221</v>
      </c>
      <c r="E17606" s="3" t="s">
        <v>193</v>
      </c>
      <c r="F17606" s="7">
        <v>46086.572868701485</v>
      </c>
      <c r="G17606" s="3" t="s">
        <v>8729</v>
      </c>
    </row>
    <row r="17607">
      <c r="A17607" s="3" t="s">
        <v>33699</v>
      </c>
      <c r="B17607" s="3" t="s">
        <v>14674</v>
      </c>
      <c r="C17607" s="5" t="s">
        <v>221</v>
      </c>
      <c r="D17607" s="3" t="s">
        <v>614</v>
      </c>
      <c r="E17607" s="3" t="s">
        <v>118</v>
      </c>
      <c r="F17607" s="7">
        <v>46086.576340923704</v>
      </c>
      <c r="G17607" s="3" t="s">
        <v>25830</v>
      </c>
    </row>
    <row r="17608">
      <c r="A17608" s="3" t="s">
        <v>33700</v>
      </c>
      <c r="B17608" s="3" t="s">
        <v>14674</v>
      </c>
      <c r="C17608" s="5" t="s">
        <v>614</v>
      </c>
      <c r="D17608" s="3" t="s">
        <v>206</v>
      </c>
      <c r="E17608" s="3" t="s">
        <v>100</v>
      </c>
      <c r="F17608" s="7">
        <v>46086.57981314593</v>
      </c>
      <c r="G17608" s="3" t="s">
        <v>25832</v>
      </c>
    </row>
    <row r="17609">
      <c r="A17609" s="3" t="s">
        <v>33701</v>
      </c>
      <c r="B17609" s="3" t="s">
        <v>14674</v>
      </c>
      <c r="C17609" s="5" t="s">
        <v>206</v>
      </c>
      <c r="D17609" s="3" t="s">
        <v>68</v>
      </c>
      <c r="E17609" s="3" t="s">
        <v>100</v>
      </c>
      <c r="F17609" s="7">
        <v>46086.58328536815</v>
      </c>
      <c r="G17609" s="3" t="s">
        <v>25834</v>
      </c>
    </row>
    <row r="17610">
      <c r="A17610" s="3" t="s">
        <v>33702</v>
      </c>
      <c r="B17610" s="3" t="s">
        <v>14676</v>
      </c>
      <c r="C17610" s="5" t="s">
        <v>45</v>
      </c>
      <c r="D17610" s="3" t="s">
        <v>221</v>
      </c>
      <c r="E17610" s="3" t="s">
        <v>845</v>
      </c>
      <c r="F17610" s="7">
        <v>46086.644043546905</v>
      </c>
      <c r="G17610" s="3" t="s">
        <v>12488</v>
      </c>
    </row>
    <row r="17611">
      <c r="A17611" s="3" t="s">
        <v>33703</v>
      </c>
      <c r="B17611" s="3" t="s">
        <v>14676</v>
      </c>
      <c r="C17611" s="5" t="s">
        <v>221</v>
      </c>
      <c r="D17611" s="3" t="s">
        <v>614</v>
      </c>
      <c r="E17611" s="3" t="s">
        <v>118</v>
      </c>
      <c r="F17611" s="7">
        <v>46086.647515769124</v>
      </c>
      <c r="G17611" s="3" t="s">
        <v>12491</v>
      </c>
    </row>
    <row r="17612">
      <c r="A17612" s="3" t="s">
        <v>33704</v>
      </c>
      <c r="B17612" s="3" t="s">
        <v>14676</v>
      </c>
      <c r="C17612" s="5" t="s">
        <v>614</v>
      </c>
      <c r="D17612" s="3" t="s">
        <v>206</v>
      </c>
      <c r="E17612" s="3" t="s">
        <v>100</v>
      </c>
      <c r="F17612" s="7">
        <v>46086.65098799135</v>
      </c>
      <c r="G17612" s="3" t="s">
        <v>12494</v>
      </c>
    </row>
    <row r="17613">
      <c r="A17613" s="3" t="s">
        <v>33705</v>
      </c>
      <c r="B17613" s="3" t="s">
        <v>14676</v>
      </c>
      <c r="C17613" s="5" t="s">
        <v>206</v>
      </c>
      <c r="D17613" s="3" t="s">
        <v>68</v>
      </c>
      <c r="E17613" s="3" t="s">
        <v>100</v>
      </c>
      <c r="F17613" s="7">
        <v>46086.65446021357</v>
      </c>
      <c r="G17613" s="3" t="s">
        <v>12497</v>
      </c>
    </row>
    <row r="17614">
      <c r="A17614" s="3" t="s">
        <v>33706</v>
      </c>
      <c r="B17614" s="3" t="s">
        <v>14679</v>
      </c>
      <c r="C17614" s="5" t="s">
        <v>45</v>
      </c>
      <c r="D17614" s="3" t="s">
        <v>221</v>
      </c>
      <c r="E17614" s="3" t="s">
        <v>600</v>
      </c>
      <c r="F17614" s="7">
        <v>46086.71521839231</v>
      </c>
      <c r="G17614" s="3" t="s">
        <v>20858</v>
      </c>
    </row>
    <row r="17615">
      <c r="A17615" s="3" t="s">
        <v>33707</v>
      </c>
      <c r="B17615" s="3" t="s">
        <v>14679</v>
      </c>
      <c r="C17615" s="5" t="s">
        <v>221</v>
      </c>
      <c r="D17615" s="3" t="s">
        <v>614</v>
      </c>
      <c r="E17615" s="3" t="s">
        <v>118</v>
      </c>
      <c r="F17615" s="7">
        <v>46086.71869061453</v>
      </c>
      <c r="G17615" s="3" t="s">
        <v>21682</v>
      </c>
    </row>
    <row r="17616">
      <c r="A17616" s="3" t="s">
        <v>33708</v>
      </c>
      <c r="B17616" s="3" t="s">
        <v>14679</v>
      </c>
      <c r="C17616" s="5" t="s">
        <v>614</v>
      </c>
      <c r="D17616" s="3" t="s">
        <v>206</v>
      </c>
      <c r="E17616" s="3" t="s">
        <v>100</v>
      </c>
      <c r="F17616" s="7">
        <v>46086.722162836755</v>
      </c>
      <c r="G17616" s="3" t="s">
        <v>21685</v>
      </c>
    </row>
    <row r="17617">
      <c r="A17617" s="3" t="s">
        <v>33709</v>
      </c>
      <c r="B17617" s="3" t="s">
        <v>14679</v>
      </c>
      <c r="C17617" s="5" t="s">
        <v>206</v>
      </c>
      <c r="D17617" s="3" t="s">
        <v>68</v>
      </c>
      <c r="E17617" s="3" t="s">
        <v>100</v>
      </c>
      <c r="F17617" s="7">
        <v>46086.725635058974</v>
      </c>
      <c r="G17617" s="3" t="s">
        <v>21687</v>
      </c>
    </row>
    <row r="17618">
      <c r="A17618" s="3" t="s">
        <v>33710</v>
      </c>
      <c r="B17618" s="3" t="s">
        <v>14681</v>
      </c>
      <c r="C17618" s="5" t="s">
        <v>45</v>
      </c>
      <c r="D17618" s="3" t="s">
        <v>221</v>
      </c>
      <c r="E17618" s="3" t="s">
        <v>280</v>
      </c>
      <c r="F17618" s="7">
        <v>46086.78639323773</v>
      </c>
      <c r="G17618" s="3" t="s">
        <v>16619</v>
      </c>
    </row>
    <row r="17619">
      <c r="A17619" s="3" t="s">
        <v>33711</v>
      </c>
      <c r="B17619" s="3" t="s">
        <v>14681</v>
      </c>
      <c r="C17619" s="5" t="s">
        <v>221</v>
      </c>
      <c r="D17619" s="3" t="s">
        <v>614</v>
      </c>
      <c r="E17619" s="3" t="s">
        <v>118</v>
      </c>
      <c r="F17619" s="7">
        <v>46086.78986545995</v>
      </c>
      <c r="G17619" s="3" t="s">
        <v>16622</v>
      </c>
    </row>
    <row r="17620">
      <c r="A17620" s="3" t="s">
        <v>33712</v>
      </c>
      <c r="B17620" s="3" t="s">
        <v>14681</v>
      </c>
      <c r="C17620" s="5" t="s">
        <v>614</v>
      </c>
      <c r="D17620" s="3" t="s">
        <v>206</v>
      </c>
      <c r="E17620" s="3" t="s">
        <v>100</v>
      </c>
      <c r="F17620" s="7">
        <v>46086.793337682175</v>
      </c>
      <c r="G17620" s="3" t="s">
        <v>16625</v>
      </c>
    </row>
    <row r="17621">
      <c r="A17621" s="3" t="s">
        <v>33713</v>
      </c>
      <c r="B17621" s="3" t="s">
        <v>14681</v>
      </c>
      <c r="C17621" s="5" t="s">
        <v>206</v>
      </c>
      <c r="D17621" s="3" t="s">
        <v>68</v>
      </c>
      <c r="E17621" s="3" t="s">
        <v>100</v>
      </c>
      <c r="F17621" s="7">
        <v>46086.796809904394</v>
      </c>
      <c r="G17621" s="3" t="s">
        <v>16628</v>
      </c>
    </row>
    <row r="17622">
      <c r="A17622" s="3" t="s">
        <v>33714</v>
      </c>
      <c r="B17622" s="3" t="s">
        <v>14683</v>
      </c>
      <c r="C17622" s="5" t="s">
        <v>45</v>
      </c>
      <c r="D17622" s="3" t="s">
        <v>221</v>
      </c>
      <c r="E17622" s="3" t="s">
        <v>758</v>
      </c>
      <c r="F17622" s="7">
        <v>46086.85756808314</v>
      </c>
      <c r="G17622" s="3" t="s">
        <v>9757</v>
      </c>
    </row>
    <row r="17623">
      <c r="A17623" s="3" t="s">
        <v>33715</v>
      </c>
      <c r="B17623" s="3" t="s">
        <v>14683</v>
      </c>
      <c r="C17623" s="5" t="s">
        <v>221</v>
      </c>
      <c r="D17623" s="3" t="s">
        <v>614</v>
      </c>
      <c r="E17623" s="3" t="s">
        <v>118</v>
      </c>
      <c r="F17623" s="7">
        <v>46086.86104030536</v>
      </c>
      <c r="G17623" s="3" t="s">
        <v>9760</v>
      </c>
    </row>
    <row r="17624">
      <c r="A17624" s="3" t="s">
        <v>33716</v>
      </c>
      <c r="B17624" s="3" t="s">
        <v>14683</v>
      </c>
      <c r="C17624" s="5" t="s">
        <v>614</v>
      </c>
      <c r="D17624" s="3" t="s">
        <v>206</v>
      </c>
      <c r="E17624" s="3" t="s">
        <v>100</v>
      </c>
      <c r="F17624" s="7">
        <v>46086.86451252759</v>
      </c>
      <c r="G17624" s="3" t="s">
        <v>9763</v>
      </c>
    </row>
    <row r="17625">
      <c r="A17625" s="3" t="s">
        <v>33717</v>
      </c>
      <c r="B17625" s="3" t="s">
        <v>14683</v>
      </c>
      <c r="C17625" s="5" t="s">
        <v>206</v>
      </c>
      <c r="D17625" s="3" t="s">
        <v>68</v>
      </c>
      <c r="E17625" s="3" t="s">
        <v>100</v>
      </c>
      <c r="F17625" s="7">
        <v>46086.867984749806</v>
      </c>
      <c r="G17625" s="3" t="s">
        <v>9767</v>
      </c>
    </row>
    <row r="17626">
      <c r="A17626" s="3" t="s">
        <v>33718</v>
      </c>
      <c r="B17626" s="3" t="s">
        <v>14685</v>
      </c>
      <c r="C17626" s="5" t="s">
        <v>45</v>
      </c>
      <c r="D17626" s="3" t="s">
        <v>221</v>
      </c>
      <c r="E17626" s="3" t="s">
        <v>224</v>
      </c>
      <c r="F17626" s="7">
        <v>46086.92874292856</v>
      </c>
      <c r="G17626" s="3" t="s">
        <v>7094</v>
      </c>
    </row>
    <row r="17627">
      <c r="A17627" s="3" t="s">
        <v>33719</v>
      </c>
      <c r="B17627" s="3" t="s">
        <v>14685</v>
      </c>
      <c r="C17627" s="5" t="s">
        <v>221</v>
      </c>
      <c r="D17627" s="3" t="s">
        <v>181</v>
      </c>
      <c r="E17627" s="3" t="s">
        <v>118</v>
      </c>
      <c r="F17627" s="7">
        <v>46086.93221515078</v>
      </c>
      <c r="G17627" s="3" t="s">
        <v>33720</v>
      </c>
    </row>
    <row r="17628">
      <c r="A17628" s="3" t="s">
        <v>33721</v>
      </c>
      <c r="B17628" s="3" t="s">
        <v>14687</v>
      </c>
      <c r="C17628" s="5" t="s">
        <v>45</v>
      </c>
      <c r="D17628" s="3" t="s">
        <v>221</v>
      </c>
      <c r="E17628" s="3" t="s">
        <v>811</v>
      </c>
      <c r="F17628" s="7">
        <v>46086.999917773974</v>
      </c>
      <c r="G17628" s="3" t="s">
        <v>9770</v>
      </c>
    </row>
    <row r="17629">
      <c r="A17629" s="3" t="s">
        <v>33722</v>
      </c>
      <c r="B17629" s="3" t="s">
        <v>14687</v>
      </c>
      <c r="C17629" s="5" t="s">
        <v>221</v>
      </c>
      <c r="D17629" s="3" t="s">
        <v>614</v>
      </c>
      <c r="E17629" s="3" t="s">
        <v>118</v>
      </c>
      <c r="F17629" s="7">
        <v>46087.00338999619</v>
      </c>
      <c r="G17629" s="3" t="s">
        <v>9773</v>
      </c>
    </row>
    <row r="17630">
      <c r="A17630" s="3" t="s">
        <v>33723</v>
      </c>
      <c r="B17630" s="3" t="s">
        <v>14687</v>
      </c>
      <c r="C17630" s="5" t="s">
        <v>614</v>
      </c>
      <c r="D17630" s="3" t="s">
        <v>206</v>
      </c>
      <c r="E17630" s="3" t="s">
        <v>100</v>
      </c>
      <c r="F17630" s="7">
        <v>46087.00686221842</v>
      </c>
      <c r="G17630" s="3" t="s">
        <v>9776</v>
      </c>
    </row>
    <row r="17631">
      <c r="A17631" s="3" t="s">
        <v>33724</v>
      </c>
      <c r="B17631" s="3" t="s">
        <v>14687</v>
      </c>
      <c r="C17631" s="5" t="s">
        <v>206</v>
      </c>
      <c r="D17631" s="3" t="s">
        <v>68</v>
      </c>
      <c r="E17631" s="3" t="s">
        <v>100</v>
      </c>
      <c r="F17631" s="7">
        <v>46087.01033444064</v>
      </c>
      <c r="G17631" s="3" t="s">
        <v>9779</v>
      </c>
    </row>
    <row r="17632">
      <c r="A17632" s="3" t="s">
        <v>33725</v>
      </c>
      <c r="B17632" s="3" t="s">
        <v>14690</v>
      </c>
      <c r="C17632" s="5" t="s">
        <v>45</v>
      </c>
      <c r="D17632" s="3" t="s">
        <v>221</v>
      </c>
      <c r="E17632" s="3" t="s">
        <v>883</v>
      </c>
      <c r="F17632" s="7">
        <v>46087.07109261939</v>
      </c>
      <c r="G17632" s="3" t="s">
        <v>10805</v>
      </c>
    </row>
    <row r="17633">
      <c r="A17633" s="3" t="s">
        <v>33726</v>
      </c>
      <c r="B17633" s="3" t="s">
        <v>14690</v>
      </c>
      <c r="C17633" s="5" t="s">
        <v>221</v>
      </c>
      <c r="D17633" s="3" t="s">
        <v>614</v>
      </c>
      <c r="E17633" s="3" t="s">
        <v>118</v>
      </c>
      <c r="F17633" s="7">
        <v>46087.07456484161</v>
      </c>
      <c r="G17633" s="3" t="s">
        <v>25913</v>
      </c>
    </row>
    <row r="17634">
      <c r="A17634" s="3" t="s">
        <v>33727</v>
      </c>
      <c r="B17634" s="3" t="s">
        <v>14690</v>
      </c>
      <c r="C17634" s="5" t="s">
        <v>614</v>
      </c>
      <c r="D17634" s="3" t="s">
        <v>206</v>
      </c>
      <c r="E17634" s="3" t="s">
        <v>100</v>
      </c>
      <c r="F17634" s="7">
        <v>46087.07803706384</v>
      </c>
      <c r="G17634" s="3" t="s">
        <v>25915</v>
      </c>
    </row>
    <row r="17635">
      <c r="A17635" s="3" t="s">
        <v>33728</v>
      </c>
      <c r="B17635" s="3" t="s">
        <v>14690</v>
      </c>
      <c r="C17635" s="5" t="s">
        <v>206</v>
      </c>
      <c r="D17635" s="3" t="s">
        <v>68</v>
      </c>
      <c r="E17635" s="3" t="s">
        <v>100</v>
      </c>
      <c r="F17635" s="7">
        <v>46087.08150928606</v>
      </c>
      <c r="G17635" s="3" t="s">
        <v>25917</v>
      </c>
    </row>
    <row r="17636">
      <c r="A17636" s="3" t="s">
        <v>33729</v>
      </c>
      <c r="B17636" s="3" t="s">
        <v>14693</v>
      </c>
      <c r="C17636" s="5" t="s">
        <v>45</v>
      </c>
      <c r="D17636" s="3" t="s">
        <v>221</v>
      </c>
      <c r="E17636" s="3" t="s">
        <v>826</v>
      </c>
      <c r="F17636" s="7">
        <v>46087.1422674648</v>
      </c>
      <c r="G17636" s="3" t="s">
        <v>11577</v>
      </c>
    </row>
    <row r="17637">
      <c r="A17637" s="3" t="s">
        <v>33730</v>
      </c>
      <c r="B17637" s="3" t="s">
        <v>14693</v>
      </c>
      <c r="C17637" s="5" t="s">
        <v>221</v>
      </c>
      <c r="D17637" s="3" t="s">
        <v>614</v>
      </c>
      <c r="E17637" s="3" t="s">
        <v>118</v>
      </c>
      <c r="F17637" s="7">
        <v>46087.14573968702</v>
      </c>
      <c r="G17637" s="3" t="s">
        <v>11580</v>
      </c>
    </row>
    <row r="17638">
      <c r="A17638" s="3" t="s">
        <v>33731</v>
      </c>
      <c r="B17638" s="3" t="s">
        <v>14693</v>
      </c>
      <c r="C17638" s="5" t="s">
        <v>614</v>
      </c>
      <c r="D17638" s="3" t="s">
        <v>206</v>
      </c>
      <c r="E17638" s="3" t="s">
        <v>100</v>
      </c>
      <c r="F17638" s="7">
        <v>46087.14921190924</v>
      </c>
      <c r="G17638" s="3" t="s">
        <v>11583</v>
      </c>
    </row>
    <row r="17639">
      <c r="A17639" s="3" t="s">
        <v>33732</v>
      </c>
      <c r="B17639" s="3" t="s">
        <v>14693</v>
      </c>
      <c r="C17639" s="5" t="s">
        <v>206</v>
      </c>
      <c r="D17639" s="3" t="s">
        <v>68</v>
      </c>
      <c r="E17639" s="3" t="s">
        <v>100</v>
      </c>
      <c r="F17639" s="7">
        <v>46087.15268413146</v>
      </c>
      <c r="G17639" s="3" t="s">
        <v>11585</v>
      </c>
    </row>
    <row r="17640">
      <c r="A17640" s="3" t="s">
        <v>33733</v>
      </c>
      <c r="B17640" s="3" t="s">
        <v>14695</v>
      </c>
      <c r="C17640" s="5" t="s">
        <v>45</v>
      </c>
      <c r="D17640" s="3" t="s">
        <v>221</v>
      </c>
      <c r="E17640" s="3" t="s">
        <v>398</v>
      </c>
      <c r="F17640" s="7">
        <v>46087.21344231022</v>
      </c>
      <c r="G17640" s="3" t="s">
        <v>9796</v>
      </c>
    </row>
    <row r="17641">
      <c r="A17641" s="3" t="s">
        <v>33734</v>
      </c>
      <c r="B17641" s="3" t="s">
        <v>14695</v>
      </c>
      <c r="C17641" s="5" t="s">
        <v>221</v>
      </c>
      <c r="D17641" s="3" t="s">
        <v>614</v>
      </c>
      <c r="E17641" s="3" t="s">
        <v>118</v>
      </c>
      <c r="F17641" s="7">
        <v>46087.21691453244</v>
      </c>
      <c r="G17641" s="3" t="s">
        <v>9800</v>
      </c>
    </row>
    <row r="17642">
      <c r="A17642" s="3" t="s">
        <v>33735</v>
      </c>
      <c r="B17642" s="3" t="s">
        <v>14695</v>
      </c>
      <c r="C17642" s="5" t="s">
        <v>614</v>
      </c>
      <c r="D17642" s="3" t="s">
        <v>206</v>
      </c>
      <c r="E17642" s="3" t="s">
        <v>100</v>
      </c>
      <c r="F17642" s="7">
        <v>46087.22038675466</v>
      </c>
      <c r="G17642" s="3" t="s">
        <v>9803</v>
      </c>
    </row>
    <row r="17643">
      <c r="A17643" s="3" t="s">
        <v>33736</v>
      </c>
      <c r="B17643" s="3" t="s">
        <v>14695</v>
      </c>
      <c r="C17643" s="5" t="s">
        <v>206</v>
      </c>
      <c r="D17643" s="3" t="s">
        <v>68</v>
      </c>
      <c r="E17643" s="3" t="s">
        <v>100</v>
      </c>
      <c r="F17643" s="7">
        <v>46087.22385897688</v>
      </c>
      <c r="G17643" s="3" t="s">
        <v>9806</v>
      </c>
    </row>
    <row r="17644">
      <c r="A17644" s="3" t="s">
        <v>33737</v>
      </c>
      <c r="B17644" s="3" t="s">
        <v>14697</v>
      </c>
      <c r="C17644" s="5" t="s">
        <v>45</v>
      </c>
      <c r="D17644" s="3" t="s">
        <v>221</v>
      </c>
      <c r="E17644" s="3" t="s">
        <v>713</v>
      </c>
      <c r="F17644" s="7">
        <v>46087.28461715564</v>
      </c>
      <c r="G17644" s="3" t="s">
        <v>9343</v>
      </c>
    </row>
    <row r="17645">
      <c r="A17645" s="3" t="s">
        <v>33738</v>
      </c>
      <c r="B17645" s="3" t="s">
        <v>14697</v>
      </c>
      <c r="C17645" s="5" t="s">
        <v>221</v>
      </c>
      <c r="D17645" s="3" t="s">
        <v>614</v>
      </c>
      <c r="E17645" s="3" t="s">
        <v>118</v>
      </c>
      <c r="F17645" s="7">
        <v>46087.28808937786</v>
      </c>
      <c r="G17645" s="3" t="s">
        <v>9346</v>
      </c>
    </row>
    <row r="17646">
      <c r="A17646" s="3" t="s">
        <v>33739</v>
      </c>
      <c r="B17646" s="3" t="s">
        <v>14697</v>
      </c>
      <c r="C17646" s="5" t="s">
        <v>614</v>
      </c>
      <c r="D17646" s="3" t="s">
        <v>206</v>
      </c>
      <c r="E17646" s="3" t="s">
        <v>100</v>
      </c>
      <c r="F17646" s="7">
        <v>46087.29156160008</v>
      </c>
      <c r="G17646" s="3" t="s">
        <v>9349</v>
      </c>
    </row>
    <row r="17647">
      <c r="A17647" s="3" t="s">
        <v>33740</v>
      </c>
      <c r="B17647" s="3" t="s">
        <v>14697</v>
      </c>
      <c r="C17647" s="5" t="s">
        <v>206</v>
      </c>
      <c r="D17647" s="3" t="s">
        <v>68</v>
      </c>
      <c r="E17647" s="3" t="s">
        <v>100</v>
      </c>
      <c r="F17647" s="7">
        <v>46087.2950338223</v>
      </c>
      <c r="G17647" s="3" t="s">
        <v>9352</v>
      </c>
    </row>
    <row r="17648">
      <c r="A17648" s="3" t="s">
        <v>33741</v>
      </c>
      <c r="B17648" s="3" t="s">
        <v>14700</v>
      </c>
      <c r="C17648" s="5" t="s">
        <v>45</v>
      </c>
      <c r="D17648" s="3" t="s">
        <v>221</v>
      </c>
      <c r="E17648" s="3" t="s">
        <v>961</v>
      </c>
      <c r="F17648" s="7">
        <v>46087.35579200105</v>
      </c>
      <c r="G17648" s="3" t="s">
        <v>2770</v>
      </c>
    </row>
    <row r="17649">
      <c r="A17649" s="3" t="s">
        <v>33742</v>
      </c>
      <c r="B17649" s="3" t="s">
        <v>14700</v>
      </c>
      <c r="C17649" s="5" t="s">
        <v>221</v>
      </c>
      <c r="D17649" s="3" t="s">
        <v>195</v>
      </c>
      <c r="E17649" s="3" t="s">
        <v>961</v>
      </c>
      <c r="F17649" s="7">
        <v>46087.35926422327</v>
      </c>
      <c r="G17649" s="3" t="s">
        <v>3055</v>
      </c>
    </row>
    <row r="17650">
      <c r="A17650" s="3" t="s">
        <v>33743</v>
      </c>
      <c r="B17650" s="3" t="s">
        <v>14703</v>
      </c>
      <c r="C17650" s="5" t="s">
        <v>45</v>
      </c>
      <c r="D17650" s="3" t="s">
        <v>221</v>
      </c>
      <c r="E17650" s="3" t="s">
        <v>870</v>
      </c>
      <c r="F17650" s="7">
        <v>46087.42696684646</v>
      </c>
      <c r="G17650" s="3" t="s">
        <v>9643</v>
      </c>
    </row>
    <row r="17651">
      <c r="A17651" s="3" t="s">
        <v>33744</v>
      </c>
      <c r="B17651" s="3" t="s">
        <v>14703</v>
      </c>
      <c r="C17651" s="5" t="s">
        <v>221</v>
      </c>
      <c r="D17651" s="3" t="s">
        <v>614</v>
      </c>
      <c r="E17651" s="3" t="s">
        <v>118</v>
      </c>
      <c r="F17651" s="7">
        <v>46087.43043906868</v>
      </c>
      <c r="G17651" s="3" t="s">
        <v>9646</v>
      </c>
    </row>
    <row r="17652">
      <c r="A17652" s="3" t="s">
        <v>33745</v>
      </c>
      <c r="B17652" s="3" t="s">
        <v>14703</v>
      </c>
      <c r="C17652" s="5" t="s">
        <v>614</v>
      </c>
      <c r="D17652" s="3" t="s">
        <v>206</v>
      </c>
      <c r="E17652" s="3" t="s">
        <v>100</v>
      </c>
      <c r="F17652" s="7">
        <v>46087.43391129091</v>
      </c>
      <c r="G17652" s="3" t="s">
        <v>9649</v>
      </c>
    </row>
    <row r="17653">
      <c r="A17653" s="3" t="s">
        <v>33746</v>
      </c>
      <c r="B17653" s="3" t="s">
        <v>14703</v>
      </c>
      <c r="C17653" s="5" t="s">
        <v>206</v>
      </c>
      <c r="D17653" s="3" t="s">
        <v>68</v>
      </c>
      <c r="E17653" s="3" t="s">
        <v>100</v>
      </c>
      <c r="F17653" s="7">
        <v>46087.43738351313</v>
      </c>
      <c r="G17653" s="3" t="s">
        <v>9653</v>
      </c>
    </row>
    <row r="17654">
      <c r="A17654" s="3" t="s">
        <v>33747</v>
      </c>
      <c r="B17654" s="3" t="s">
        <v>14706</v>
      </c>
      <c r="C17654" s="5" t="s">
        <v>45</v>
      </c>
      <c r="D17654" s="3" t="s">
        <v>221</v>
      </c>
      <c r="E17654" s="3" t="s">
        <v>326</v>
      </c>
      <c r="F17654" s="7">
        <v>46087.49814169188</v>
      </c>
      <c r="G17654" s="3" t="s">
        <v>8794</v>
      </c>
    </row>
    <row r="17655">
      <c r="A17655" s="3" t="s">
        <v>33748</v>
      </c>
      <c r="B17655" s="3" t="s">
        <v>14706</v>
      </c>
      <c r="C17655" s="5" t="s">
        <v>221</v>
      </c>
      <c r="D17655" s="3" t="s">
        <v>614</v>
      </c>
      <c r="E17655" s="3" t="s">
        <v>118</v>
      </c>
      <c r="F17655" s="7">
        <v>46087.5016139141</v>
      </c>
      <c r="G17655" s="3" t="s">
        <v>8796</v>
      </c>
    </row>
    <row r="17656">
      <c r="A17656" s="3" t="s">
        <v>33749</v>
      </c>
      <c r="B17656" s="3" t="s">
        <v>14706</v>
      </c>
      <c r="C17656" s="5" t="s">
        <v>614</v>
      </c>
      <c r="D17656" s="3" t="s">
        <v>206</v>
      </c>
      <c r="E17656" s="3" t="s">
        <v>100</v>
      </c>
      <c r="F17656" s="7">
        <v>46087.50508613633</v>
      </c>
      <c r="G17656" s="3" t="s">
        <v>8799</v>
      </c>
    </row>
    <row r="17657">
      <c r="A17657" s="3" t="s">
        <v>33750</v>
      </c>
      <c r="B17657" s="3" t="s">
        <v>14706</v>
      </c>
      <c r="C17657" s="5" t="s">
        <v>206</v>
      </c>
      <c r="D17657" s="3" t="s">
        <v>68</v>
      </c>
      <c r="E17657" s="3" t="s">
        <v>100</v>
      </c>
      <c r="F17657" s="7">
        <v>46087.508558358546</v>
      </c>
      <c r="G17657" s="3" t="s">
        <v>8802</v>
      </c>
    </row>
    <row r="17658">
      <c r="A17658" s="3" t="s">
        <v>33751</v>
      </c>
      <c r="B17658" s="3" t="s">
        <v>14710</v>
      </c>
      <c r="C17658" s="5" t="s">
        <v>45</v>
      </c>
      <c r="D17658" s="3" t="s">
        <v>221</v>
      </c>
      <c r="E17658" s="3" t="s">
        <v>141</v>
      </c>
      <c r="F17658" s="7">
        <v>46087.569316537294</v>
      </c>
      <c r="G17658" s="3" t="s">
        <v>2770</v>
      </c>
    </row>
    <row r="17659">
      <c r="A17659" s="3" t="s">
        <v>33752</v>
      </c>
      <c r="B17659" s="3" t="s">
        <v>14710</v>
      </c>
      <c r="C17659" s="5" t="s">
        <v>221</v>
      </c>
      <c r="D17659" s="3" t="s">
        <v>181</v>
      </c>
      <c r="E17659" s="3" t="s">
        <v>118</v>
      </c>
      <c r="F17659" s="7">
        <v>46087.57278875951</v>
      </c>
      <c r="G17659" s="3" t="s">
        <v>2774</v>
      </c>
    </row>
    <row r="17660">
      <c r="A17660" s="3" t="s">
        <v>33753</v>
      </c>
      <c r="B17660" s="3" t="s">
        <v>14713</v>
      </c>
      <c r="C17660" s="5" t="s">
        <v>45</v>
      </c>
      <c r="D17660" s="3" t="s">
        <v>221</v>
      </c>
      <c r="E17660" s="3" t="s">
        <v>643</v>
      </c>
      <c r="F17660" s="7">
        <v>46087.64049138271</v>
      </c>
      <c r="G17660" s="3" t="s">
        <v>9843</v>
      </c>
    </row>
    <row r="17661">
      <c r="A17661" s="3" t="s">
        <v>33754</v>
      </c>
      <c r="B17661" s="3" t="s">
        <v>14713</v>
      </c>
      <c r="C17661" s="5" t="s">
        <v>221</v>
      </c>
      <c r="D17661" s="3" t="s">
        <v>614</v>
      </c>
      <c r="E17661" s="3" t="s">
        <v>118</v>
      </c>
      <c r="F17661" s="7">
        <v>46087.643963604925</v>
      </c>
      <c r="G17661" s="3" t="s">
        <v>9846</v>
      </c>
    </row>
    <row r="17662">
      <c r="A17662" s="3" t="s">
        <v>33755</v>
      </c>
      <c r="B17662" s="3" t="s">
        <v>14713</v>
      </c>
      <c r="C17662" s="5" t="s">
        <v>614</v>
      </c>
      <c r="D17662" s="3" t="s">
        <v>206</v>
      </c>
      <c r="E17662" s="3" t="s">
        <v>100</v>
      </c>
      <c r="F17662" s="7">
        <v>46087.64743582715</v>
      </c>
      <c r="G17662" s="3" t="s">
        <v>9849</v>
      </c>
    </row>
    <row r="17663">
      <c r="A17663" s="3" t="s">
        <v>33756</v>
      </c>
      <c r="B17663" s="3" t="s">
        <v>14713</v>
      </c>
      <c r="C17663" s="5" t="s">
        <v>206</v>
      </c>
      <c r="D17663" s="3" t="s">
        <v>68</v>
      </c>
      <c r="E17663" s="3" t="s">
        <v>100</v>
      </c>
      <c r="F17663" s="7">
        <v>46087.65090804937</v>
      </c>
      <c r="G17663" s="3" t="s">
        <v>9853</v>
      </c>
    </row>
    <row r="17664">
      <c r="A17664" s="3" t="s">
        <v>33757</v>
      </c>
      <c r="B17664" s="3" t="s">
        <v>14717</v>
      </c>
      <c r="C17664" s="5" t="s">
        <v>45</v>
      </c>
      <c r="D17664" s="3" t="s">
        <v>221</v>
      </c>
      <c r="E17664" s="3" t="s">
        <v>507</v>
      </c>
      <c r="F17664" s="7">
        <v>46087.711666228126</v>
      </c>
      <c r="G17664" s="3" t="s">
        <v>10645</v>
      </c>
    </row>
    <row r="17665">
      <c r="A17665" s="3" t="s">
        <v>33758</v>
      </c>
      <c r="B17665" s="3" t="s">
        <v>14717</v>
      </c>
      <c r="C17665" s="5" t="s">
        <v>221</v>
      </c>
      <c r="D17665" s="3" t="s">
        <v>614</v>
      </c>
      <c r="E17665" s="3" t="s">
        <v>118</v>
      </c>
      <c r="F17665" s="7">
        <v>46087.715138450345</v>
      </c>
      <c r="G17665" s="3" t="s">
        <v>10648</v>
      </c>
    </row>
    <row r="17666">
      <c r="A17666" s="3" t="s">
        <v>33759</v>
      </c>
      <c r="B17666" s="3" t="s">
        <v>14717</v>
      </c>
      <c r="C17666" s="5" t="s">
        <v>614</v>
      </c>
      <c r="D17666" s="3" t="s">
        <v>206</v>
      </c>
      <c r="E17666" s="3" t="s">
        <v>100</v>
      </c>
      <c r="F17666" s="7">
        <v>46087.71861067257</v>
      </c>
      <c r="G17666" s="3" t="s">
        <v>10651</v>
      </c>
    </row>
    <row r="17667">
      <c r="A17667" s="3" t="s">
        <v>33760</v>
      </c>
      <c r="B17667" s="3" t="s">
        <v>14717</v>
      </c>
      <c r="C17667" s="5" t="s">
        <v>206</v>
      </c>
      <c r="D17667" s="3" t="s">
        <v>68</v>
      </c>
      <c r="E17667" s="3" t="s">
        <v>100</v>
      </c>
      <c r="F17667" s="7">
        <v>46087.72208289479</v>
      </c>
      <c r="G17667" s="3" t="s">
        <v>10653</v>
      </c>
    </row>
    <row r="17668">
      <c r="A17668" s="3" t="s">
        <v>33761</v>
      </c>
      <c r="B17668" s="3" t="s">
        <v>14720</v>
      </c>
      <c r="C17668" s="5" t="s">
        <v>45</v>
      </c>
      <c r="D17668" s="3" t="s">
        <v>221</v>
      </c>
      <c r="E17668" s="3" t="s">
        <v>900</v>
      </c>
      <c r="F17668" s="7">
        <v>46087.782841073546</v>
      </c>
      <c r="G17668" s="3" t="s">
        <v>9883</v>
      </c>
    </row>
    <row r="17669">
      <c r="A17669" s="3" t="s">
        <v>33762</v>
      </c>
      <c r="B17669" s="3" t="s">
        <v>14720</v>
      </c>
      <c r="C17669" s="5" t="s">
        <v>221</v>
      </c>
      <c r="D17669" s="3" t="s">
        <v>614</v>
      </c>
      <c r="E17669" s="3" t="s">
        <v>118</v>
      </c>
      <c r="F17669" s="7">
        <v>46087.786313295765</v>
      </c>
      <c r="G17669" s="3" t="s">
        <v>9886</v>
      </c>
    </row>
    <row r="17670">
      <c r="A17670" s="3" t="s">
        <v>33763</v>
      </c>
      <c r="B17670" s="3" t="s">
        <v>14720</v>
      </c>
      <c r="C17670" s="5" t="s">
        <v>614</v>
      </c>
      <c r="D17670" s="3" t="s">
        <v>206</v>
      </c>
      <c r="E17670" s="3" t="s">
        <v>100</v>
      </c>
      <c r="F17670" s="7">
        <v>46087.78978551799</v>
      </c>
      <c r="G17670" s="3" t="s">
        <v>9890</v>
      </c>
    </row>
    <row r="17671">
      <c r="A17671" s="3" t="s">
        <v>33764</v>
      </c>
      <c r="B17671" s="3" t="s">
        <v>14720</v>
      </c>
      <c r="C17671" s="5" t="s">
        <v>206</v>
      </c>
      <c r="D17671" s="3" t="s">
        <v>68</v>
      </c>
      <c r="E17671" s="3" t="s">
        <v>100</v>
      </c>
      <c r="F17671" s="7">
        <v>46087.79325774021</v>
      </c>
      <c r="G17671" s="3" t="s">
        <v>9893</v>
      </c>
    </row>
    <row r="17672">
      <c r="A17672" s="3" t="s">
        <v>33765</v>
      </c>
      <c r="B17672" s="3" t="s">
        <v>14723</v>
      </c>
      <c r="C17672" s="5" t="s">
        <v>45</v>
      </c>
      <c r="D17672" s="3" t="s">
        <v>221</v>
      </c>
      <c r="E17672" s="3" t="s">
        <v>998</v>
      </c>
      <c r="F17672" s="7">
        <v>46087.85401591895</v>
      </c>
      <c r="G17672" s="3" t="s">
        <v>8065</v>
      </c>
    </row>
    <row r="17673">
      <c r="A17673" s="3" t="s">
        <v>33766</v>
      </c>
      <c r="B17673" s="3" t="s">
        <v>14723</v>
      </c>
      <c r="C17673" s="5" t="s">
        <v>221</v>
      </c>
      <c r="D17673" s="3" t="s">
        <v>614</v>
      </c>
      <c r="E17673" s="3" t="s">
        <v>118</v>
      </c>
      <c r="F17673" s="7">
        <v>46087.85748814117</v>
      </c>
      <c r="G17673" s="3" t="s">
        <v>22215</v>
      </c>
    </row>
    <row r="17674">
      <c r="A17674" s="3" t="s">
        <v>33767</v>
      </c>
      <c r="B17674" s="3" t="s">
        <v>14723</v>
      </c>
      <c r="C17674" s="5" t="s">
        <v>614</v>
      </c>
      <c r="D17674" s="3" t="s">
        <v>206</v>
      </c>
      <c r="E17674" s="3" t="s">
        <v>100</v>
      </c>
      <c r="F17674" s="7">
        <v>46087.860960363396</v>
      </c>
      <c r="G17674" s="3" t="s">
        <v>22218</v>
      </c>
    </row>
    <row r="17675">
      <c r="A17675" s="3" t="s">
        <v>33768</v>
      </c>
      <c r="B17675" s="3" t="s">
        <v>14723</v>
      </c>
      <c r="C17675" s="5" t="s">
        <v>206</v>
      </c>
      <c r="D17675" s="3" t="s">
        <v>68</v>
      </c>
      <c r="E17675" s="3" t="s">
        <v>100</v>
      </c>
      <c r="F17675" s="7">
        <v>46087.864432585615</v>
      </c>
      <c r="G17675" s="3" t="s">
        <v>22220</v>
      </c>
    </row>
    <row r="17676">
      <c r="A17676" s="3" t="s">
        <v>33769</v>
      </c>
      <c r="B17676" s="3" t="s">
        <v>14726</v>
      </c>
      <c r="C17676" s="5" t="s">
        <v>45</v>
      </c>
      <c r="D17676" s="3" t="s">
        <v>221</v>
      </c>
      <c r="E17676" s="3" t="s">
        <v>789</v>
      </c>
      <c r="F17676" s="7">
        <v>46087.92519076437</v>
      </c>
      <c r="G17676" s="3" t="s">
        <v>28782</v>
      </c>
    </row>
    <row r="17677">
      <c r="A17677" s="3" t="s">
        <v>33770</v>
      </c>
      <c r="B17677" s="3" t="s">
        <v>14726</v>
      </c>
      <c r="C17677" s="5" t="s">
        <v>221</v>
      </c>
      <c r="D17677" s="3" t="s">
        <v>614</v>
      </c>
      <c r="E17677" s="3" t="s">
        <v>118</v>
      </c>
      <c r="F17677" s="7">
        <v>46087.92866298659</v>
      </c>
      <c r="G17677" s="3" t="s">
        <v>28784</v>
      </c>
    </row>
    <row r="17678">
      <c r="A17678" s="3" t="s">
        <v>33771</v>
      </c>
      <c r="B17678" s="3" t="s">
        <v>14726</v>
      </c>
      <c r="C17678" s="5" t="s">
        <v>614</v>
      </c>
      <c r="D17678" s="3" t="s">
        <v>206</v>
      </c>
      <c r="E17678" s="3" t="s">
        <v>100</v>
      </c>
      <c r="F17678" s="7">
        <v>46087.932135208815</v>
      </c>
      <c r="G17678" s="3" t="s">
        <v>28786</v>
      </c>
    </row>
    <row r="17679">
      <c r="A17679" s="3" t="s">
        <v>33772</v>
      </c>
      <c r="B17679" s="3" t="s">
        <v>14726</v>
      </c>
      <c r="C17679" s="5" t="s">
        <v>206</v>
      </c>
      <c r="D17679" s="3" t="s">
        <v>68</v>
      </c>
      <c r="E17679" s="3" t="s">
        <v>100</v>
      </c>
      <c r="F17679" s="7">
        <v>46087.935607431034</v>
      </c>
      <c r="G17679" s="3" t="s">
        <v>28788</v>
      </c>
    </row>
    <row r="17680">
      <c r="A17680" s="3" t="s">
        <v>33773</v>
      </c>
      <c r="B17680" s="3" t="s">
        <v>14730</v>
      </c>
      <c r="C17680" s="5" t="s">
        <v>45</v>
      </c>
      <c r="D17680" s="3" t="s">
        <v>221</v>
      </c>
      <c r="E17680" s="3" t="s">
        <v>961</v>
      </c>
      <c r="F17680" s="7">
        <v>46087.99636560979</v>
      </c>
      <c r="G17680" s="3" t="s">
        <v>9915</v>
      </c>
    </row>
    <row r="17681">
      <c r="A17681" s="3" t="s">
        <v>33774</v>
      </c>
      <c r="B17681" s="3" t="s">
        <v>14730</v>
      </c>
      <c r="C17681" s="5" t="s">
        <v>221</v>
      </c>
      <c r="D17681" s="3" t="s">
        <v>614</v>
      </c>
      <c r="E17681" s="3" t="s">
        <v>118</v>
      </c>
      <c r="F17681" s="7">
        <v>46087.99983783201</v>
      </c>
      <c r="G17681" s="3" t="s">
        <v>9919</v>
      </c>
    </row>
    <row r="17682">
      <c r="A17682" s="3" t="s">
        <v>33775</v>
      </c>
      <c r="B17682" s="3" t="s">
        <v>14730</v>
      </c>
      <c r="C17682" s="5" t="s">
        <v>614</v>
      </c>
      <c r="D17682" s="3" t="s">
        <v>206</v>
      </c>
      <c r="E17682" s="3" t="s">
        <v>100</v>
      </c>
      <c r="F17682" s="7">
        <v>46088.003310054235</v>
      </c>
      <c r="G17682" s="3" t="s">
        <v>9922</v>
      </c>
    </row>
    <row r="17683">
      <c r="A17683" s="3" t="s">
        <v>33776</v>
      </c>
      <c r="B17683" s="3" t="s">
        <v>14730</v>
      </c>
      <c r="C17683" s="5" t="s">
        <v>206</v>
      </c>
      <c r="D17683" s="3" t="s">
        <v>68</v>
      </c>
      <c r="E17683" s="3" t="s">
        <v>100</v>
      </c>
      <c r="F17683" s="7">
        <v>46088.006782276454</v>
      </c>
      <c r="G17683" s="3" t="s">
        <v>9925</v>
      </c>
    </row>
    <row r="17684">
      <c r="A17684" s="3" t="s">
        <v>33777</v>
      </c>
      <c r="B17684" s="3" t="s">
        <v>14734</v>
      </c>
      <c r="C17684" s="5" t="s">
        <v>45</v>
      </c>
      <c r="D17684" s="3" t="s">
        <v>221</v>
      </c>
      <c r="E17684" s="3" t="s">
        <v>398</v>
      </c>
      <c r="F17684" s="7">
        <v>46088.0675404552</v>
      </c>
      <c r="G17684" s="3" t="s">
        <v>9809</v>
      </c>
    </row>
    <row r="17685">
      <c r="A17685" s="3" t="s">
        <v>33778</v>
      </c>
      <c r="B17685" s="3" t="s">
        <v>14734</v>
      </c>
      <c r="C17685" s="5" t="s">
        <v>221</v>
      </c>
      <c r="D17685" s="3" t="s">
        <v>614</v>
      </c>
      <c r="E17685" s="3" t="s">
        <v>118</v>
      </c>
      <c r="F17685" s="7">
        <v>46088.07101267742</v>
      </c>
      <c r="G17685" s="3" t="s">
        <v>9813</v>
      </c>
    </row>
    <row r="17686">
      <c r="A17686" s="3" t="s">
        <v>33779</v>
      </c>
      <c r="B17686" s="3" t="s">
        <v>14734</v>
      </c>
      <c r="C17686" s="5" t="s">
        <v>614</v>
      </c>
      <c r="D17686" s="3" t="s">
        <v>206</v>
      </c>
      <c r="E17686" s="3" t="s">
        <v>100</v>
      </c>
      <c r="F17686" s="7">
        <v>46088.07448489965</v>
      </c>
      <c r="G17686" s="3" t="s">
        <v>9816</v>
      </c>
    </row>
    <row r="17687">
      <c r="A17687" s="3" t="s">
        <v>33780</v>
      </c>
      <c r="B17687" s="3" t="s">
        <v>14734</v>
      </c>
      <c r="C17687" s="5" t="s">
        <v>206</v>
      </c>
      <c r="D17687" s="3" t="s">
        <v>68</v>
      </c>
      <c r="E17687" s="3" t="s">
        <v>100</v>
      </c>
      <c r="F17687" s="7">
        <v>46088.077957121866</v>
      </c>
      <c r="G17687" s="3" t="s">
        <v>9819</v>
      </c>
    </row>
    <row r="17688">
      <c r="A17688" s="3" t="s">
        <v>33781</v>
      </c>
      <c r="B17688" s="3" t="s">
        <v>14736</v>
      </c>
      <c r="C17688" s="5" t="s">
        <v>45</v>
      </c>
      <c r="D17688" s="3" t="s">
        <v>221</v>
      </c>
      <c r="E17688" s="3" t="s">
        <v>475</v>
      </c>
      <c r="F17688" s="7">
        <v>46088.138715300614</v>
      </c>
      <c r="G17688" s="3" t="s">
        <v>9929</v>
      </c>
    </row>
    <row r="17689">
      <c r="A17689" s="3" t="s">
        <v>33782</v>
      </c>
      <c r="B17689" s="3" t="s">
        <v>14736</v>
      </c>
      <c r="C17689" s="5" t="s">
        <v>221</v>
      </c>
      <c r="D17689" s="3" t="s">
        <v>614</v>
      </c>
      <c r="E17689" s="3" t="s">
        <v>118</v>
      </c>
      <c r="F17689" s="7">
        <v>46088.14218752283</v>
      </c>
      <c r="G17689" s="3" t="s">
        <v>9932</v>
      </c>
    </row>
    <row r="17690">
      <c r="A17690" s="3" t="s">
        <v>33783</v>
      </c>
      <c r="B17690" s="3" t="s">
        <v>14736</v>
      </c>
      <c r="C17690" s="5" t="s">
        <v>614</v>
      </c>
      <c r="D17690" s="3" t="s">
        <v>206</v>
      </c>
      <c r="E17690" s="3" t="s">
        <v>100</v>
      </c>
      <c r="F17690" s="7">
        <v>46088.14565974506</v>
      </c>
      <c r="G17690" s="3" t="s">
        <v>9935</v>
      </c>
    </row>
    <row r="17691">
      <c r="A17691" s="3" t="s">
        <v>33784</v>
      </c>
      <c r="B17691" s="3" t="s">
        <v>14736</v>
      </c>
      <c r="C17691" s="5" t="s">
        <v>206</v>
      </c>
      <c r="D17691" s="3" t="s">
        <v>68</v>
      </c>
      <c r="E17691" s="3" t="s">
        <v>100</v>
      </c>
      <c r="F17691" s="7">
        <v>46088.14913196728</v>
      </c>
      <c r="G17691" s="3" t="s">
        <v>9939</v>
      </c>
    </row>
    <row r="17692">
      <c r="A17692" s="3" t="s">
        <v>33785</v>
      </c>
      <c r="B17692" s="3" t="s">
        <v>14739</v>
      </c>
      <c r="C17692" s="5" t="s">
        <v>45</v>
      </c>
      <c r="D17692" s="3" t="s">
        <v>221</v>
      </c>
      <c r="E17692" s="3" t="s">
        <v>523</v>
      </c>
      <c r="F17692" s="7">
        <v>46088.209890146034</v>
      </c>
      <c r="G17692" s="3" t="s">
        <v>22804</v>
      </c>
    </row>
    <row r="17693">
      <c r="A17693" s="3" t="s">
        <v>33786</v>
      </c>
      <c r="B17693" s="3" t="s">
        <v>14739</v>
      </c>
      <c r="C17693" s="5" t="s">
        <v>221</v>
      </c>
      <c r="D17693" s="3" t="s">
        <v>181</v>
      </c>
      <c r="E17693" s="3" t="s">
        <v>118</v>
      </c>
      <c r="F17693" s="7">
        <v>46088.21336236825</v>
      </c>
      <c r="G17693" s="3" t="s">
        <v>33787</v>
      </c>
    </row>
    <row r="17694">
      <c r="A17694" s="3" t="s">
        <v>33788</v>
      </c>
      <c r="B17694" s="3" t="s">
        <v>14743</v>
      </c>
      <c r="C17694" s="5" t="s">
        <v>45</v>
      </c>
      <c r="D17694" s="3" t="s">
        <v>221</v>
      </c>
      <c r="E17694" s="3" t="s">
        <v>424</v>
      </c>
      <c r="F17694" s="7">
        <v>46088.281064991446</v>
      </c>
      <c r="G17694" s="3" t="s">
        <v>9970</v>
      </c>
    </row>
    <row r="17695">
      <c r="A17695" s="3" t="s">
        <v>33789</v>
      </c>
      <c r="B17695" s="3" t="s">
        <v>14743</v>
      </c>
      <c r="C17695" s="5" t="s">
        <v>221</v>
      </c>
      <c r="D17695" s="3" t="s">
        <v>614</v>
      </c>
      <c r="E17695" s="3" t="s">
        <v>118</v>
      </c>
      <c r="F17695" s="7">
        <v>46088.284537213665</v>
      </c>
      <c r="G17695" s="3" t="s">
        <v>9973</v>
      </c>
    </row>
    <row r="17696">
      <c r="A17696" s="3" t="s">
        <v>33790</v>
      </c>
      <c r="B17696" s="3" t="s">
        <v>14743</v>
      </c>
      <c r="C17696" s="5" t="s">
        <v>614</v>
      </c>
      <c r="D17696" s="3" t="s">
        <v>206</v>
      </c>
      <c r="E17696" s="3" t="s">
        <v>100</v>
      </c>
      <c r="F17696" s="7">
        <v>46088.28800943589</v>
      </c>
      <c r="G17696" s="3" t="s">
        <v>9976</v>
      </c>
    </row>
    <row r="17697">
      <c r="A17697" s="3" t="s">
        <v>33791</v>
      </c>
      <c r="B17697" s="3" t="s">
        <v>14743</v>
      </c>
      <c r="C17697" s="5" t="s">
        <v>206</v>
      </c>
      <c r="D17697" s="3" t="s">
        <v>68</v>
      </c>
      <c r="E17697" s="3" t="s">
        <v>100</v>
      </c>
      <c r="F17697" s="7">
        <v>46088.29148165811</v>
      </c>
      <c r="G17697" s="3" t="s">
        <v>9980</v>
      </c>
    </row>
    <row r="17698">
      <c r="A17698" s="3" t="s">
        <v>33792</v>
      </c>
      <c r="B17698" s="3" t="s">
        <v>14746</v>
      </c>
      <c r="C17698" s="5" t="s">
        <v>45</v>
      </c>
      <c r="D17698" s="3" t="s">
        <v>221</v>
      </c>
      <c r="E17698" s="3" t="s">
        <v>485</v>
      </c>
      <c r="F17698" s="7">
        <v>46088.35223983686</v>
      </c>
      <c r="G17698" s="3" t="s">
        <v>9983</v>
      </c>
    </row>
    <row r="17699">
      <c r="A17699" s="3" t="s">
        <v>33793</v>
      </c>
      <c r="B17699" s="3" t="s">
        <v>14746</v>
      </c>
      <c r="C17699" s="5" t="s">
        <v>221</v>
      </c>
      <c r="D17699" s="3" t="s">
        <v>614</v>
      </c>
      <c r="E17699" s="3" t="s">
        <v>118</v>
      </c>
      <c r="F17699" s="7">
        <v>46088.35571205908</v>
      </c>
      <c r="G17699" s="3" t="s">
        <v>9986</v>
      </c>
    </row>
    <row r="17700">
      <c r="A17700" s="3" t="s">
        <v>33794</v>
      </c>
      <c r="B17700" s="3" t="s">
        <v>14746</v>
      </c>
      <c r="C17700" s="5" t="s">
        <v>614</v>
      </c>
      <c r="D17700" s="3" t="s">
        <v>206</v>
      </c>
      <c r="E17700" s="3" t="s">
        <v>100</v>
      </c>
      <c r="F17700" s="7">
        <v>46088.359184281304</v>
      </c>
      <c r="G17700" s="3" t="s">
        <v>9990</v>
      </c>
    </row>
    <row r="17701">
      <c r="A17701" s="3" t="s">
        <v>33795</v>
      </c>
      <c r="B17701" s="3" t="s">
        <v>14746</v>
      </c>
      <c r="C17701" s="5" t="s">
        <v>206</v>
      </c>
      <c r="D17701" s="3" t="s">
        <v>68</v>
      </c>
      <c r="E17701" s="3" t="s">
        <v>100</v>
      </c>
      <c r="F17701" s="7">
        <v>46088.36265650352</v>
      </c>
      <c r="G17701" s="3" t="s">
        <v>9993</v>
      </c>
    </row>
    <row r="17702">
      <c r="A17702" s="3" t="s">
        <v>33796</v>
      </c>
      <c r="B17702" s="3" t="s">
        <v>14751</v>
      </c>
      <c r="C17702" s="5" t="s">
        <v>45</v>
      </c>
      <c r="D17702" s="3" t="s">
        <v>221</v>
      </c>
      <c r="E17702" s="3" t="s">
        <v>307</v>
      </c>
      <c r="F17702" s="7">
        <v>46088.42341468228</v>
      </c>
      <c r="G17702" s="3" t="s">
        <v>10054</v>
      </c>
    </row>
    <row r="17703">
      <c r="A17703" s="3" t="s">
        <v>33797</v>
      </c>
      <c r="B17703" s="3" t="s">
        <v>14751</v>
      </c>
      <c r="C17703" s="5" t="s">
        <v>221</v>
      </c>
      <c r="D17703" s="3" t="s">
        <v>614</v>
      </c>
      <c r="E17703" s="3" t="s">
        <v>118</v>
      </c>
      <c r="F17703" s="7">
        <v>46088.4268869045</v>
      </c>
      <c r="G17703" s="3" t="s">
        <v>10057</v>
      </c>
    </row>
    <row r="17704">
      <c r="A17704" s="3" t="s">
        <v>33798</v>
      </c>
      <c r="B17704" s="3" t="s">
        <v>14751</v>
      </c>
      <c r="C17704" s="5" t="s">
        <v>614</v>
      </c>
      <c r="D17704" s="3" t="s">
        <v>206</v>
      </c>
      <c r="E17704" s="3" t="s">
        <v>100</v>
      </c>
      <c r="F17704" s="7">
        <v>46088.43035912672</v>
      </c>
      <c r="G17704" s="3" t="s">
        <v>10060</v>
      </c>
    </row>
    <row r="17705">
      <c r="A17705" s="3" t="s">
        <v>33799</v>
      </c>
      <c r="B17705" s="3" t="s">
        <v>14751</v>
      </c>
      <c r="C17705" s="5" t="s">
        <v>206</v>
      </c>
      <c r="D17705" s="3" t="s">
        <v>68</v>
      </c>
      <c r="E17705" s="3" t="s">
        <v>100</v>
      </c>
      <c r="F17705" s="7">
        <v>46088.43383134894</v>
      </c>
      <c r="G17705" s="3" t="s">
        <v>10063</v>
      </c>
    </row>
    <row r="17706">
      <c r="A17706" s="3" t="s">
        <v>33800</v>
      </c>
      <c r="B17706" s="3" t="s">
        <v>14754</v>
      </c>
      <c r="C17706" s="5" t="s">
        <v>45</v>
      </c>
      <c r="D17706" s="3" t="s">
        <v>221</v>
      </c>
      <c r="E17706" s="3" t="s">
        <v>159</v>
      </c>
      <c r="F17706" s="7">
        <v>46088.49458952769</v>
      </c>
      <c r="G17706" s="3" t="s">
        <v>12226</v>
      </c>
    </row>
    <row r="17707">
      <c r="A17707" s="3" t="s">
        <v>33801</v>
      </c>
      <c r="B17707" s="3" t="s">
        <v>14754</v>
      </c>
      <c r="C17707" s="5" t="s">
        <v>221</v>
      </c>
      <c r="D17707" s="3" t="s">
        <v>614</v>
      </c>
      <c r="E17707" s="3" t="s">
        <v>118</v>
      </c>
      <c r="F17707" s="7">
        <v>46088.49806174991</v>
      </c>
      <c r="G17707" s="3" t="s">
        <v>12229</v>
      </c>
    </row>
    <row r="17708">
      <c r="A17708" s="3" t="s">
        <v>33802</v>
      </c>
      <c r="B17708" s="3" t="s">
        <v>14754</v>
      </c>
      <c r="C17708" s="5" t="s">
        <v>614</v>
      </c>
      <c r="D17708" s="3" t="s">
        <v>206</v>
      </c>
      <c r="E17708" s="3" t="s">
        <v>100</v>
      </c>
      <c r="F17708" s="7">
        <v>46088.501533972136</v>
      </c>
      <c r="G17708" s="3" t="s">
        <v>12232</v>
      </c>
    </row>
    <row r="17709">
      <c r="A17709" s="3" t="s">
        <v>33803</v>
      </c>
      <c r="B17709" s="3" t="s">
        <v>14754</v>
      </c>
      <c r="C17709" s="5" t="s">
        <v>206</v>
      </c>
      <c r="D17709" s="3" t="s">
        <v>68</v>
      </c>
      <c r="E17709" s="3" t="s">
        <v>100</v>
      </c>
      <c r="F17709" s="7">
        <v>46088.505006194355</v>
      </c>
      <c r="G17709" s="3" t="s">
        <v>12235</v>
      </c>
    </row>
    <row r="17710">
      <c r="A17710" s="3" t="s">
        <v>33804</v>
      </c>
      <c r="B17710" s="3" t="s">
        <v>14757</v>
      </c>
      <c r="C17710" s="5" t="s">
        <v>45</v>
      </c>
      <c r="D17710" s="3" t="s">
        <v>221</v>
      </c>
      <c r="E17710" s="3" t="s">
        <v>135</v>
      </c>
      <c r="F17710" s="7">
        <v>46088.5657643731</v>
      </c>
      <c r="G17710" s="3" t="s">
        <v>10078</v>
      </c>
    </row>
    <row r="17711">
      <c r="A17711" s="3" t="s">
        <v>33805</v>
      </c>
      <c r="B17711" s="3" t="s">
        <v>14757</v>
      </c>
      <c r="C17711" s="5" t="s">
        <v>221</v>
      </c>
      <c r="D17711" s="3" t="s">
        <v>614</v>
      </c>
      <c r="E17711" s="3" t="s">
        <v>118</v>
      </c>
      <c r="F17711" s="7">
        <v>46088.56923659532</v>
      </c>
      <c r="G17711" s="3" t="s">
        <v>10082</v>
      </c>
    </row>
    <row r="17712">
      <c r="A17712" s="3" t="s">
        <v>33806</v>
      </c>
      <c r="B17712" s="3" t="s">
        <v>14757</v>
      </c>
      <c r="C17712" s="5" t="s">
        <v>614</v>
      </c>
      <c r="D17712" s="3" t="s">
        <v>206</v>
      </c>
      <c r="E17712" s="3" t="s">
        <v>100</v>
      </c>
      <c r="F17712" s="7">
        <v>46088.57270881755</v>
      </c>
      <c r="G17712" s="3" t="s">
        <v>10085</v>
      </c>
    </row>
    <row r="17713">
      <c r="A17713" s="3" t="s">
        <v>33807</v>
      </c>
      <c r="B17713" s="3" t="s">
        <v>14757</v>
      </c>
      <c r="C17713" s="5" t="s">
        <v>206</v>
      </c>
      <c r="D17713" s="3" t="s">
        <v>68</v>
      </c>
      <c r="E17713" s="3" t="s">
        <v>100</v>
      </c>
      <c r="F17713" s="7">
        <v>46088.57618103977</v>
      </c>
      <c r="G17713" s="3" t="s">
        <v>10088</v>
      </c>
    </row>
    <row r="17714">
      <c r="A17714" s="3" t="s">
        <v>33808</v>
      </c>
      <c r="B17714" s="3" t="s">
        <v>14760</v>
      </c>
      <c r="C17714" s="5" t="s">
        <v>45</v>
      </c>
      <c r="D17714" s="3" t="s">
        <v>221</v>
      </c>
      <c r="E17714" s="3" t="s">
        <v>330</v>
      </c>
      <c r="F17714" s="7">
        <v>46088.63693921852</v>
      </c>
      <c r="G17714" s="3" t="s">
        <v>10131</v>
      </c>
    </row>
    <row r="17715">
      <c r="A17715" s="3" t="s">
        <v>33809</v>
      </c>
      <c r="B17715" s="3" t="s">
        <v>14760</v>
      </c>
      <c r="C17715" s="5" t="s">
        <v>221</v>
      </c>
      <c r="D17715" s="3" t="s">
        <v>614</v>
      </c>
      <c r="E17715" s="3" t="s">
        <v>118</v>
      </c>
      <c r="F17715" s="7">
        <v>46088.64041144074</v>
      </c>
      <c r="G17715" s="3" t="s">
        <v>10134</v>
      </c>
    </row>
    <row r="17716">
      <c r="A17716" s="3" t="s">
        <v>33810</v>
      </c>
      <c r="B17716" s="3" t="s">
        <v>14760</v>
      </c>
      <c r="C17716" s="5" t="s">
        <v>614</v>
      </c>
      <c r="D17716" s="3" t="s">
        <v>206</v>
      </c>
      <c r="E17716" s="3" t="s">
        <v>100</v>
      </c>
      <c r="F17716" s="7">
        <v>46088.64388366297</v>
      </c>
      <c r="G17716" s="3" t="s">
        <v>10136</v>
      </c>
    </row>
    <row r="17717">
      <c r="A17717" s="3" t="s">
        <v>33811</v>
      </c>
      <c r="B17717" s="3" t="s">
        <v>14760</v>
      </c>
      <c r="C17717" s="5" t="s">
        <v>206</v>
      </c>
      <c r="D17717" s="3" t="s">
        <v>68</v>
      </c>
      <c r="E17717" s="3" t="s">
        <v>100</v>
      </c>
      <c r="F17717" s="7">
        <v>46088.64735588519</v>
      </c>
      <c r="G17717" s="3" t="s">
        <v>10139</v>
      </c>
    </row>
    <row r="17718">
      <c r="A17718" s="3" t="s">
        <v>33812</v>
      </c>
      <c r="B17718" s="3" t="s">
        <v>14765</v>
      </c>
      <c r="C17718" s="5" t="s">
        <v>45</v>
      </c>
      <c r="D17718" s="3" t="s">
        <v>221</v>
      </c>
      <c r="E17718" s="3" t="s">
        <v>731</v>
      </c>
      <c r="F17718" s="7">
        <v>46088.708114063935</v>
      </c>
      <c r="G17718" s="3" t="s">
        <v>10161</v>
      </c>
    </row>
    <row r="17719">
      <c r="A17719" s="3" t="s">
        <v>33813</v>
      </c>
      <c r="B17719" s="3" t="s">
        <v>14765</v>
      </c>
      <c r="C17719" s="5" t="s">
        <v>221</v>
      </c>
      <c r="D17719" s="3" t="s">
        <v>614</v>
      </c>
      <c r="E17719" s="3" t="s">
        <v>118</v>
      </c>
      <c r="F17719" s="7">
        <v>46088.711586286154</v>
      </c>
      <c r="G17719" s="3" t="s">
        <v>10164</v>
      </c>
    </row>
    <row r="17720">
      <c r="A17720" s="3" t="s">
        <v>33814</v>
      </c>
      <c r="B17720" s="3" t="s">
        <v>14765</v>
      </c>
      <c r="C17720" s="5" t="s">
        <v>614</v>
      </c>
      <c r="D17720" s="3" t="s">
        <v>206</v>
      </c>
      <c r="E17720" s="3" t="s">
        <v>100</v>
      </c>
      <c r="F17720" s="7">
        <v>46088.71505850838</v>
      </c>
      <c r="G17720" s="3" t="s">
        <v>10167</v>
      </c>
    </row>
    <row r="17721">
      <c r="A17721" s="3" t="s">
        <v>33815</v>
      </c>
      <c r="B17721" s="3" t="s">
        <v>14765</v>
      </c>
      <c r="C17721" s="5" t="s">
        <v>206</v>
      </c>
      <c r="D17721" s="3" t="s">
        <v>68</v>
      </c>
      <c r="E17721" s="3" t="s">
        <v>100</v>
      </c>
      <c r="F17721" s="7">
        <v>46088.7185307306</v>
      </c>
      <c r="G17721" s="3" t="s">
        <v>10170</v>
      </c>
    </row>
    <row r="17722">
      <c r="A17722" s="3" t="s">
        <v>33816</v>
      </c>
      <c r="B17722" s="3" t="s">
        <v>14768</v>
      </c>
      <c r="C17722" s="5" t="s">
        <v>45</v>
      </c>
      <c r="D17722" s="3" t="s">
        <v>221</v>
      </c>
      <c r="E17722" s="3" t="s">
        <v>569</v>
      </c>
      <c r="F17722" s="7">
        <v>46088.77928890935</v>
      </c>
      <c r="G17722" s="3" t="s">
        <v>10179</v>
      </c>
    </row>
    <row r="17723">
      <c r="A17723" s="3" t="s">
        <v>33817</v>
      </c>
      <c r="B17723" s="3" t="s">
        <v>14768</v>
      </c>
      <c r="C17723" s="5" t="s">
        <v>221</v>
      </c>
      <c r="D17723" s="3" t="s">
        <v>614</v>
      </c>
      <c r="E17723" s="3" t="s">
        <v>118</v>
      </c>
      <c r="F17723" s="7">
        <v>46088.782761131566</v>
      </c>
      <c r="G17723" s="3" t="s">
        <v>10182</v>
      </c>
    </row>
    <row r="17724">
      <c r="A17724" s="3" t="s">
        <v>33818</v>
      </c>
      <c r="B17724" s="3" t="s">
        <v>14768</v>
      </c>
      <c r="C17724" s="5" t="s">
        <v>614</v>
      </c>
      <c r="D17724" s="3" t="s">
        <v>206</v>
      </c>
      <c r="E17724" s="3" t="s">
        <v>100</v>
      </c>
      <c r="F17724" s="7">
        <v>46088.78623335379</v>
      </c>
      <c r="G17724" s="3" t="s">
        <v>10185</v>
      </c>
    </row>
    <row r="17725">
      <c r="A17725" s="3" t="s">
        <v>33819</v>
      </c>
      <c r="B17725" s="3" t="s">
        <v>14768</v>
      </c>
      <c r="C17725" s="5" t="s">
        <v>206</v>
      </c>
      <c r="D17725" s="3" t="s">
        <v>68</v>
      </c>
      <c r="E17725" s="3" t="s">
        <v>100</v>
      </c>
      <c r="F17725" s="7">
        <v>46088.78970557601</v>
      </c>
      <c r="G17725" s="3" t="s">
        <v>10189</v>
      </c>
    </row>
    <row r="17726">
      <c r="A17726" s="3" t="s">
        <v>33820</v>
      </c>
      <c r="B17726" s="3" t="s">
        <v>14770</v>
      </c>
      <c r="C17726" s="5" t="s">
        <v>45</v>
      </c>
      <c r="D17726" s="3" t="s">
        <v>221</v>
      </c>
      <c r="E17726" s="3" t="s">
        <v>632</v>
      </c>
      <c r="F17726" s="7">
        <v>46088.85046375477</v>
      </c>
      <c r="G17726" s="3" t="s">
        <v>15911</v>
      </c>
    </row>
    <row r="17727">
      <c r="A17727" s="3" t="s">
        <v>33821</v>
      </c>
      <c r="B17727" s="3" t="s">
        <v>14770</v>
      </c>
      <c r="C17727" s="5" t="s">
        <v>221</v>
      </c>
      <c r="D17727" s="3" t="s">
        <v>614</v>
      </c>
      <c r="E17727" s="3" t="s">
        <v>118</v>
      </c>
      <c r="F17727" s="7">
        <v>46088.853935976986</v>
      </c>
      <c r="G17727" s="3" t="s">
        <v>15914</v>
      </c>
    </row>
    <row r="17728">
      <c r="A17728" s="3" t="s">
        <v>33822</v>
      </c>
      <c r="B17728" s="3" t="s">
        <v>14770</v>
      </c>
      <c r="C17728" s="5" t="s">
        <v>614</v>
      </c>
      <c r="D17728" s="3" t="s">
        <v>206</v>
      </c>
      <c r="E17728" s="3" t="s">
        <v>100</v>
      </c>
      <c r="F17728" s="7">
        <v>46088.85740819921</v>
      </c>
      <c r="G17728" s="3" t="s">
        <v>15917</v>
      </c>
    </row>
    <row r="17729">
      <c r="A17729" s="3" t="s">
        <v>33823</v>
      </c>
      <c r="B17729" s="3" t="s">
        <v>14770</v>
      </c>
      <c r="C17729" s="5" t="s">
        <v>206</v>
      </c>
      <c r="D17729" s="3" t="s">
        <v>68</v>
      </c>
      <c r="E17729" s="3" t="s">
        <v>100</v>
      </c>
      <c r="F17729" s="7">
        <v>46088.86088042143</v>
      </c>
      <c r="G17729" s="3" t="s">
        <v>15919</v>
      </c>
    </row>
    <row r="17730">
      <c r="A17730" s="3" t="s">
        <v>33824</v>
      </c>
      <c r="B17730" s="3" t="s">
        <v>14774</v>
      </c>
      <c r="C17730" s="5" t="s">
        <v>45</v>
      </c>
      <c r="D17730" s="3" t="s">
        <v>221</v>
      </c>
      <c r="E17730" s="3" t="s">
        <v>479</v>
      </c>
      <c r="F17730" s="7">
        <v>46088.921638600186</v>
      </c>
      <c r="G17730" s="3" t="s">
        <v>10192</v>
      </c>
    </row>
    <row r="17731">
      <c r="A17731" s="3" t="s">
        <v>33825</v>
      </c>
      <c r="B17731" s="3" t="s">
        <v>14774</v>
      </c>
      <c r="C17731" s="5" t="s">
        <v>221</v>
      </c>
      <c r="D17731" s="3" t="s">
        <v>614</v>
      </c>
      <c r="E17731" s="3" t="s">
        <v>118</v>
      </c>
      <c r="F17731" s="7">
        <v>46088.925110822405</v>
      </c>
      <c r="G17731" s="3" t="s">
        <v>10196</v>
      </c>
    </row>
    <row r="17732">
      <c r="A17732" s="3" t="s">
        <v>33826</v>
      </c>
      <c r="B17732" s="3" t="s">
        <v>14774</v>
      </c>
      <c r="C17732" s="5" t="s">
        <v>614</v>
      </c>
      <c r="D17732" s="3" t="s">
        <v>206</v>
      </c>
      <c r="E17732" s="3" t="s">
        <v>100</v>
      </c>
      <c r="F17732" s="7">
        <v>46088.92858304463</v>
      </c>
      <c r="G17732" s="3" t="s">
        <v>10199</v>
      </c>
    </row>
    <row r="17733">
      <c r="A17733" s="3" t="s">
        <v>33827</v>
      </c>
      <c r="B17733" s="3" t="s">
        <v>14774</v>
      </c>
      <c r="C17733" s="5" t="s">
        <v>206</v>
      </c>
      <c r="D17733" s="3" t="s">
        <v>68</v>
      </c>
      <c r="E17733" s="3" t="s">
        <v>100</v>
      </c>
      <c r="F17733" s="7">
        <v>46088.93205526685</v>
      </c>
      <c r="G17733" s="3" t="s">
        <v>10203</v>
      </c>
    </row>
    <row r="17734">
      <c r="A17734" s="3" t="s">
        <v>33828</v>
      </c>
      <c r="B17734" s="3" t="s">
        <v>14778</v>
      </c>
      <c r="C17734" s="5" t="s">
        <v>45</v>
      </c>
      <c r="D17734" s="3" t="s">
        <v>221</v>
      </c>
      <c r="E17734" s="3" t="s">
        <v>906</v>
      </c>
      <c r="F17734" s="7">
        <v>46088.99281344559</v>
      </c>
      <c r="G17734" s="3" t="s">
        <v>29510</v>
      </c>
    </row>
    <row r="17735">
      <c r="A17735" s="3" t="s">
        <v>33829</v>
      </c>
      <c r="B17735" s="3" t="s">
        <v>14778</v>
      </c>
      <c r="C17735" s="5" t="s">
        <v>221</v>
      </c>
      <c r="D17735" s="3" t="s">
        <v>614</v>
      </c>
      <c r="E17735" s="3" t="s">
        <v>118</v>
      </c>
      <c r="F17735" s="7">
        <v>46088.99628566781</v>
      </c>
      <c r="G17735" s="3" t="s">
        <v>31608</v>
      </c>
    </row>
    <row r="17736">
      <c r="A17736" s="3" t="s">
        <v>33830</v>
      </c>
      <c r="B17736" s="3" t="s">
        <v>14778</v>
      </c>
      <c r="C17736" s="5" t="s">
        <v>614</v>
      </c>
      <c r="D17736" s="3" t="s">
        <v>206</v>
      </c>
      <c r="E17736" s="3" t="s">
        <v>100</v>
      </c>
      <c r="F17736" s="7">
        <v>46088.99975789004</v>
      </c>
      <c r="G17736" s="3" t="s">
        <v>31610</v>
      </c>
    </row>
    <row r="17737">
      <c r="A17737" s="3" t="s">
        <v>33831</v>
      </c>
      <c r="B17737" s="3" t="s">
        <v>14778</v>
      </c>
      <c r="C17737" s="5" t="s">
        <v>206</v>
      </c>
      <c r="D17737" s="3" t="s">
        <v>68</v>
      </c>
      <c r="E17737" s="3" t="s">
        <v>100</v>
      </c>
      <c r="F17737" s="7">
        <v>46089.003230112256</v>
      </c>
      <c r="G17737" s="3" t="s">
        <v>31612</v>
      </c>
    </row>
    <row r="17738">
      <c r="A17738" s="3" t="s">
        <v>33832</v>
      </c>
      <c r="B17738" s="3" t="s">
        <v>14781</v>
      </c>
      <c r="C17738" s="5" t="s">
        <v>45</v>
      </c>
      <c r="D17738" s="3" t="s">
        <v>221</v>
      </c>
      <c r="E17738" s="3" t="s">
        <v>521</v>
      </c>
      <c r="F17738" s="7">
        <v>46089.06398829101</v>
      </c>
      <c r="G17738" s="3" t="s">
        <v>10236</v>
      </c>
    </row>
    <row r="17739">
      <c r="A17739" s="3" t="s">
        <v>33833</v>
      </c>
      <c r="B17739" s="3" t="s">
        <v>14781</v>
      </c>
      <c r="C17739" s="5" t="s">
        <v>221</v>
      </c>
      <c r="D17739" s="3" t="s">
        <v>614</v>
      </c>
      <c r="E17739" s="3" t="s">
        <v>118</v>
      </c>
      <c r="F17739" s="7">
        <v>46089.06746051323</v>
      </c>
      <c r="G17739" s="3" t="s">
        <v>10240</v>
      </c>
    </row>
    <row r="17740">
      <c r="A17740" s="3" t="s">
        <v>33834</v>
      </c>
      <c r="B17740" s="3" t="s">
        <v>14781</v>
      </c>
      <c r="C17740" s="5" t="s">
        <v>614</v>
      </c>
      <c r="D17740" s="3" t="s">
        <v>206</v>
      </c>
      <c r="E17740" s="3" t="s">
        <v>100</v>
      </c>
      <c r="F17740" s="7">
        <v>46089.070932735456</v>
      </c>
      <c r="G17740" s="3" t="s">
        <v>10243</v>
      </c>
    </row>
    <row r="17741">
      <c r="A17741" s="3" t="s">
        <v>33835</v>
      </c>
      <c r="B17741" s="3" t="s">
        <v>14781</v>
      </c>
      <c r="C17741" s="5" t="s">
        <v>206</v>
      </c>
      <c r="D17741" s="3" t="s">
        <v>68</v>
      </c>
      <c r="E17741" s="3" t="s">
        <v>100</v>
      </c>
      <c r="F17741" s="7">
        <v>46089.074404957675</v>
      </c>
      <c r="G17741" s="3" t="s">
        <v>10247</v>
      </c>
    </row>
    <row r="17742">
      <c r="A17742" s="3" t="s">
        <v>33836</v>
      </c>
      <c r="B17742" s="3" t="s">
        <v>14784</v>
      </c>
      <c r="C17742" s="5" t="s">
        <v>45</v>
      </c>
      <c r="D17742" s="3" t="s">
        <v>221</v>
      </c>
      <c r="E17742" s="3" t="s">
        <v>631</v>
      </c>
      <c r="F17742" s="7">
        <v>46089.13516313643</v>
      </c>
      <c r="G17742" s="3" t="s">
        <v>19972</v>
      </c>
    </row>
    <row r="17743">
      <c r="A17743" s="3" t="s">
        <v>33837</v>
      </c>
      <c r="B17743" s="3" t="s">
        <v>14784</v>
      </c>
      <c r="C17743" s="5" t="s">
        <v>221</v>
      </c>
      <c r="D17743" s="3" t="s">
        <v>614</v>
      </c>
      <c r="E17743" s="3" t="s">
        <v>118</v>
      </c>
      <c r="F17743" s="7">
        <v>46089.13863535865</v>
      </c>
      <c r="G17743" s="3" t="s">
        <v>19975</v>
      </c>
    </row>
    <row r="17744">
      <c r="A17744" s="3" t="s">
        <v>33838</v>
      </c>
      <c r="B17744" s="3" t="s">
        <v>14784</v>
      </c>
      <c r="C17744" s="5" t="s">
        <v>614</v>
      </c>
      <c r="D17744" s="3" t="s">
        <v>206</v>
      </c>
      <c r="E17744" s="3" t="s">
        <v>100</v>
      </c>
      <c r="F17744" s="7">
        <v>46089.142107580876</v>
      </c>
      <c r="G17744" s="3" t="s">
        <v>19978</v>
      </c>
    </row>
    <row r="17745">
      <c r="A17745" s="3" t="s">
        <v>33839</v>
      </c>
      <c r="B17745" s="3" t="s">
        <v>14784</v>
      </c>
      <c r="C17745" s="5" t="s">
        <v>206</v>
      </c>
      <c r="D17745" s="3" t="s">
        <v>68</v>
      </c>
      <c r="E17745" s="3" t="s">
        <v>100</v>
      </c>
      <c r="F17745" s="7">
        <v>46089.145579803095</v>
      </c>
      <c r="G17745" s="3" t="s">
        <v>19980</v>
      </c>
    </row>
    <row r="17746">
      <c r="A17746" s="3" t="s">
        <v>33840</v>
      </c>
      <c r="B17746" s="3" t="s">
        <v>14788</v>
      </c>
      <c r="C17746" s="5" t="s">
        <v>45</v>
      </c>
      <c r="D17746" s="3" t="s">
        <v>221</v>
      </c>
      <c r="E17746" s="3" t="s">
        <v>282</v>
      </c>
      <c r="F17746" s="7">
        <v>46089.20633798184</v>
      </c>
      <c r="G17746" s="3" t="s">
        <v>10279</v>
      </c>
    </row>
    <row r="17747">
      <c r="A17747" s="3" t="s">
        <v>33841</v>
      </c>
      <c r="B17747" s="3" t="s">
        <v>14788</v>
      </c>
      <c r="C17747" s="5" t="s">
        <v>221</v>
      </c>
      <c r="D17747" s="3" t="s">
        <v>614</v>
      </c>
      <c r="E17747" s="3" t="s">
        <v>118</v>
      </c>
      <c r="F17747" s="7">
        <v>46089.20981020406</v>
      </c>
      <c r="G17747" s="3" t="s">
        <v>10282</v>
      </c>
    </row>
    <row r="17748">
      <c r="A17748" s="3" t="s">
        <v>33842</v>
      </c>
      <c r="B17748" s="3" t="s">
        <v>14788</v>
      </c>
      <c r="C17748" s="5" t="s">
        <v>614</v>
      </c>
      <c r="D17748" s="3" t="s">
        <v>206</v>
      </c>
      <c r="E17748" s="3" t="s">
        <v>100</v>
      </c>
      <c r="F17748" s="7">
        <v>46089.21328242629</v>
      </c>
      <c r="G17748" s="3" t="s">
        <v>10285</v>
      </c>
    </row>
    <row r="17749">
      <c r="A17749" s="3" t="s">
        <v>33843</v>
      </c>
      <c r="B17749" s="3" t="s">
        <v>14788</v>
      </c>
      <c r="C17749" s="5" t="s">
        <v>206</v>
      </c>
      <c r="D17749" s="3" t="s">
        <v>68</v>
      </c>
      <c r="E17749" s="3" t="s">
        <v>100</v>
      </c>
      <c r="F17749" s="7">
        <v>46089.21675464851</v>
      </c>
      <c r="G17749" s="3" t="s">
        <v>10288</v>
      </c>
    </row>
    <row r="17750">
      <c r="A17750" s="3" t="s">
        <v>33844</v>
      </c>
      <c r="B17750" s="3" t="s">
        <v>14792</v>
      </c>
      <c r="C17750" s="5" t="s">
        <v>45</v>
      </c>
      <c r="D17750" s="3" t="s">
        <v>221</v>
      </c>
      <c r="E17750" s="3" t="s">
        <v>539</v>
      </c>
      <c r="F17750" s="7">
        <v>46089.277512827255</v>
      </c>
      <c r="G17750" s="3" t="s">
        <v>10291</v>
      </c>
    </row>
    <row r="17751">
      <c r="A17751" s="3" t="s">
        <v>33845</v>
      </c>
      <c r="B17751" s="3" t="s">
        <v>14792</v>
      </c>
      <c r="C17751" s="5" t="s">
        <v>221</v>
      </c>
      <c r="D17751" s="3" t="s">
        <v>614</v>
      </c>
      <c r="E17751" s="3" t="s">
        <v>118</v>
      </c>
      <c r="F17751" s="7">
        <v>46089.280985049474</v>
      </c>
      <c r="G17751" s="3" t="s">
        <v>10294</v>
      </c>
    </row>
    <row r="17752">
      <c r="A17752" s="3" t="s">
        <v>33846</v>
      </c>
      <c r="B17752" s="3" t="s">
        <v>14792</v>
      </c>
      <c r="C17752" s="5" t="s">
        <v>614</v>
      </c>
      <c r="D17752" s="3" t="s">
        <v>206</v>
      </c>
      <c r="E17752" s="3" t="s">
        <v>100</v>
      </c>
      <c r="F17752" s="7">
        <v>46089.2844572717</v>
      </c>
      <c r="G17752" s="3" t="s">
        <v>10296</v>
      </c>
    </row>
    <row r="17753">
      <c r="A17753" s="3" t="s">
        <v>33847</v>
      </c>
      <c r="B17753" s="3" t="s">
        <v>14792</v>
      </c>
      <c r="C17753" s="5" t="s">
        <v>206</v>
      </c>
      <c r="D17753" s="3" t="s">
        <v>68</v>
      </c>
      <c r="E17753" s="3" t="s">
        <v>100</v>
      </c>
      <c r="F17753" s="7">
        <v>46089.28792949392</v>
      </c>
      <c r="G17753" s="3" t="s">
        <v>10299</v>
      </c>
    </row>
    <row r="17754">
      <c r="A17754" s="3" t="s">
        <v>33848</v>
      </c>
      <c r="B17754" s="3" t="s">
        <v>14795</v>
      </c>
      <c r="C17754" s="5" t="s">
        <v>45</v>
      </c>
      <c r="D17754" s="3" t="s">
        <v>221</v>
      </c>
      <c r="E17754" s="3" t="s">
        <v>348</v>
      </c>
      <c r="F17754" s="7">
        <v>46089.348687672675</v>
      </c>
      <c r="G17754" s="3" t="s">
        <v>14243</v>
      </c>
    </row>
    <row r="17755">
      <c r="A17755" s="3" t="s">
        <v>33849</v>
      </c>
      <c r="B17755" s="3" t="s">
        <v>14795</v>
      </c>
      <c r="C17755" s="5" t="s">
        <v>221</v>
      </c>
      <c r="D17755" s="3" t="s">
        <v>614</v>
      </c>
      <c r="E17755" s="3" t="s">
        <v>118</v>
      </c>
      <c r="F17755" s="7">
        <v>46089.352159894894</v>
      </c>
      <c r="G17755" s="3" t="s">
        <v>14246</v>
      </c>
    </row>
    <row r="17756">
      <c r="A17756" s="3" t="s">
        <v>33850</v>
      </c>
      <c r="B17756" s="3" t="s">
        <v>14795</v>
      </c>
      <c r="C17756" s="5" t="s">
        <v>614</v>
      </c>
      <c r="D17756" s="3" t="s">
        <v>206</v>
      </c>
      <c r="E17756" s="3" t="s">
        <v>100</v>
      </c>
      <c r="F17756" s="7">
        <v>46089.35563211712</v>
      </c>
      <c r="G17756" s="3" t="s">
        <v>14249</v>
      </c>
    </row>
    <row r="17757">
      <c r="A17757" s="3" t="s">
        <v>33851</v>
      </c>
      <c r="B17757" s="3" t="s">
        <v>14795</v>
      </c>
      <c r="C17757" s="5" t="s">
        <v>206</v>
      </c>
      <c r="D17757" s="3" t="s">
        <v>68</v>
      </c>
      <c r="E17757" s="3" t="s">
        <v>100</v>
      </c>
      <c r="F17757" s="7">
        <v>46089.35910433934</v>
      </c>
      <c r="G17757" s="3" t="s">
        <v>14252</v>
      </c>
    </row>
    <row r="17758">
      <c r="A17758" s="3" t="s">
        <v>33852</v>
      </c>
      <c r="B17758" s="3" t="s">
        <v>14798</v>
      </c>
      <c r="C17758" s="5" t="s">
        <v>45</v>
      </c>
      <c r="D17758" s="3" t="s">
        <v>221</v>
      </c>
      <c r="E17758" s="3" t="s">
        <v>383</v>
      </c>
      <c r="F17758" s="7">
        <v>46089.41986251809</v>
      </c>
      <c r="G17758" s="3" t="s">
        <v>24798</v>
      </c>
    </row>
    <row r="17759">
      <c r="A17759" s="3" t="s">
        <v>33853</v>
      </c>
      <c r="B17759" s="3" t="s">
        <v>14798</v>
      </c>
      <c r="C17759" s="5" t="s">
        <v>221</v>
      </c>
      <c r="D17759" s="3" t="s">
        <v>181</v>
      </c>
      <c r="E17759" s="3" t="s">
        <v>118</v>
      </c>
      <c r="F17759" s="7">
        <v>46089.423334740306</v>
      </c>
      <c r="G17759" s="3" t="s">
        <v>33547</v>
      </c>
    </row>
    <row r="17760">
      <c r="A17760" s="3" t="s">
        <v>33854</v>
      </c>
      <c r="B17760" s="3" t="s">
        <v>14801</v>
      </c>
      <c r="C17760" s="5" t="s">
        <v>45</v>
      </c>
      <c r="D17760" s="3" t="s">
        <v>221</v>
      </c>
      <c r="E17760" s="3" t="s">
        <v>632</v>
      </c>
      <c r="F17760" s="7">
        <v>46089.4910373635</v>
      </c>
      <c r="G17760" s="3" t="s">
        <v>15911</v>
      </c>
    </row>
    <row r="17761">
      <c r="A17761" s="3" t="s">
        <v>33855</v>
      </c>
      <c r="B17761" s="3" t="s">
        <v>14801</v>
      </c>
      <c r="C17761" s="5" t="s">
        <v>221</v>
      </c>
      <c r="D17761" s="3" t="s">
        <v>614</v>
      </c>
      <c r="E17761" s="3" t="s">
        <v>118</v>
      </c>
      <c r="F17761" s="7">
        <v>46089.49450958572</v>
      </c>
      <c r="G17761" s="3" t="s">
        <v>15914</v>
      </c>
    </row>
    <row r="17762">
      <c r="A17762" s="3" t="s">
        <v>33856</v>
      </c>
      <c r="B17762" s="3" t="s">
        <v>14801</v>
      </c>
      <c r="C17762" s="5" t="s">
        <v>614</v>
      </c>
      <c r="D17762" s="3" t="s">
        <v>206</v>
      </c>
      <c r="E17762" s="3" t="s">
        <v>100</v>
      </c>
      <c r="F17762" s="7">
        <v>46089.497981807945</v>
      </c>
      <c r="G17762" s="3" t="s">
        <v>15917</v>
      </c>
    </row>
    <row r="17763">
      <c r="A17763" s="3" t="s">
        <v>33857</v>
      </c>
      <c r="B17763" s="3" t="s">
        <v>14801</v>
      </c>
      <c r="C17763" s="5" t="s">
        <v>206</v>
      </c>
      <c r="D17763" s="3" t="s">
        <v>68</v>
      </c>
      <c r="E17763" s="3" t="s">
        <v>100</v>
      </c>
      <c r="F17763" s="7">
        <v>46089.50145403016</v>
      </c>
      <c r="G17763" s="3" t="s">
        <v>15919</v>
      </c>
    </row>
    <row r="17764">
      <c r="A17764" s="3" t="s">
        <v>33858</v>
      </c>
      <c r="B17764" s="3" t="s">
        <v>14805</v>
      </c>
      <c r="C17764" s="5" t="s">
        <v>45</v>
      </c>
      <c r="D17764" s="3" t="s">
        <v>221</v>
      </c>
      <c r="E17764" s="3" t="s">
        <v>906</v>
      </c>
      <c r="F17764" s="7">
        <v>46089.56221220892</v>
      </c>
      <c r="G17764" s="3" t="s">
        <v>19222</v>
      </c>
    </row>
    <row r="17765">
      <c r="A17765" s="3" t="s">
        <v>33859</v>
      </c>
      <c r="B17765" s="3" t="s">
        <v>14805</v>
      </c>
      <c r="C17765" s="5" t="s">
        <v>221</v>
      </c>
      <c r="D17765" s="3" t="s">
        <v>181</v>
      </c>
      <c r="E17765" s="3" t="s">
        <v>118</v>
      </c>
      <c r="F17765" s="7">
        <v>46089.56568443114</v>
      </c>
      <c r="G17765" s="3" t="s">
        <v>33860</v>
      </c>
    </row>
    <row r="17766">
      <c r="A17766" s="3" t="s">
        <v>33861</v>
      </c>
      <c r="B17766" s="3" t="s">
        <v>14808</v>
      </c>
      <c r="C17766" s="5" t="s">
        <v>45</v>
      </c>
      <c r="D17766" s="3" t="s">
        <v>221</v>
      </c>
      <c r="E17766" s="3" t="s">
        <v>993</v>
      </c>
      <c r="F17766" s="7">
        <v>46089.63338705434</v>
      </c>
      <c r="G17766" s="3" t="s">
        <v>10403</v>
      </c>
    </row>
    <row r="17767">
      <c r="A17767" s="3" t="s">
        <v>33862</v>
      </c>
      <c r="B17767" s="3" t="s">
        <v>14808</v>
      </c>
      <c r="C17767" s="5" t="s">
        <v>221</v>
      </c>
      <c r="D17767" s="3" t="s">
        <v>614</v>
      </c>
      <c r="E17767" s="3" t="s">
        <v>118</v>
      </c>
      <c r="F17767" s="7">
        <v>46089.63685927656</v>
      </c>
      <c r="G17767" s="3" t="s">
        <v>10406</v>
      </c>
    </row>
    <row r="17768">
      <c r="A17768" s="3" t="s">
        <v>33863</v>
      </c>
      <c r="B17768" s="3" t="s">
        <v>14808</v>
      </c>
      <c r="C17768" s="5" t="s">
        <v>614</v>
      </c>
      <c r="D17768" s="3" t="s">
        <v>206</v>
      </c>
      <c r="E17768" s="3" t="s">
        <v>100</v>
      </c>
      <c r="F17768" s="7">
        <v>46089.640331498784</v>
      </c>
      <c r="G17768" s="3" t="s">
        <v>10409</v>
      </c>
    </row>
    <row r="17769">
      <c r="A17769" s="3" t="s">
        <v>33864</v>
      </c>
      <c r="B17769" s="3" t="s">
        <v>14808</v>
      </c>
      <c r="C17769" s="5" t="s">
        <v>206</v>
      </c>
      <c r="D17769" s="3" t="s">
        <v>68</v>
      </c>
      <c r="E17769" s="3" t="s">
        <v>100</v>
      </c>
      <c r="F17769" s="7">
        <v>46089.643803721</v>
      </c>
      <c r="G17769" s="3" t="s">
        <v>10412</v>
      </c>
    </row>
    <row r="17770">
      <c r="A17770" s="3" t="s">
        <v>33865</v>
      </c>
      <c r="B17770" s="3" t="s">
        <v>14812</v>
      </c>
      <c r="C17770" s="5" t="s">
        <v>45</v>
      </c>
      <c r="D17770" s="3" t="s">
        <v>221</v>
      </c>
      <c r="E17770" s="3" t="s">
        <v>853</v>
      </c>
      <c r="F17770" s="7">
        <v>46089.70456189974</v>
      </c>
      <c r="G17770" s="3" t="s">
        <v>7388</v>
      </c>
    </row>
    <row r="17771">
      <c r="A17771" s="3" t="s">
        <v>33866</v>
      </c>
      <c r="B17771" s="3" t="s">
        <v>14812</v>
      </c>
      <c r="C17771" s="5" t="s">
        <v>221</v>
      </c>
      <c r="D17771" s="3" t="s">
        <v>614</v>
      </c>
      <c r="E17771" s="3" t="s">
        <v>118</v>
      </c>
      <c r="F17771" s="7">
        <v>46089.70803412196</v>
      </c>
      <c r="G17771" s="3" t="s">
        <v>25795</v>
      </c>
    </row>
    <row r="17772">
      <c r="A17772" s="3" t="s">
        <v>33867</v>
      </c>
      <c r="B17772" s="3" t="s">
        <v>14812</v>
      </c>
      <c r="C17772" s="5" t="s">
        <v>614</v>
      </c>
      <c r="D17772" s="3" t="s">
        <v>206</v>
      </c>
      <c r="E17772" s="3" t="s">
        <v>100</v>
      </c>
      <c r="F17772" s="7">
        <v>46089.71150634419</v>
      </c>
      <c r="G17772" s="3" t="s">
        <v>25797</v>
      </c>
    </row>
    <row r="17773">
      <c r="A17773" s="3" t="s">
        <v>33868</v>
      </c>
      <c r="B17773" s="3" t="s">
        <v>14812</v>
      </c>
      <c r="C17773" s="5" t="s">
        <v>206</v>
      </c>
      <c r="D17773" s="3" t="s">
        <v>68</v>
      </c>
      <c r="E17773" s="3" t="s">
        <v>100</v>
      </c>
      <c r="F17773" s="7">
        <v>46089.71497856641</v>
      </c>
      <c r="G17773" s="3" t="s">
        <v>25799</v>
      </c>
    </row>
    <row r="17774">
      <c r="A17774" s="3" t="s">
        <v>33869</v>
      </c>
      <c r="B17774" s="3" t="s">
        <v>14814</v>
      </c>
      <c r="C17774" s="5" t="s">
        <v>45</v>
      </c>
      <c r="D17774" s="3" t="s">
        <v>221</v>
      </c>
      <c r="E17774" s="3" t="s">
        <v>860</v>
      </c>
      <c r="F17774" s="7">
        <v>46089.77573674516</v>
      </c>
      <c r="G17774" s="3" t="s">
        <v>10495</v>
      </c>
    </row>
    <row r="17775">
      <c r="A17775" s="3" t="s">
        <v>33870</v>
      </c>
      <c r="B17775" s="3" t="s">
        <v>14814</v>
      </c>
      <c r="C17775" s="5" t="s">
        <v>221</v>
      </c>
      <c r="D17775" s="3" t="s">
        <v>614</v>
      </c>
      <c r="E17775" s="3" t="s">
        <v>118</v>
      </c>
      <c r="F17775" s="7">
        <v>46089.77920896738</v>
      </c>
      <c r="G17775" s="3" t="s">
        <v>10498</v>
      </c>
    </row>
    <row r="17776">
      <c r="A17776" s="3" t="s">
        <v>33871</v>
      </c>
      <c r="B17776" s="3" t="s">
        <v>14814</v>
      </c>
      <c r="C17776" s="5" t="s">
        <v>614</v>
      </c>
      <c r="D17776" s="3" t="s">
        <v>206</v>
      </c>
      <c r="E17776" s="3" t="s">
        <v>100</v>
      </c>
      <c r="F17776" s="7">
        <v>46089.78268118961</v>
      </c>
      <c r="G17776" s="3" t="s">
        <v>10500</v>
      </c>
    </row>
    <row r="17777">
      <c r="A17777" s="3" t="s">
        <v>33872</v>
      </c>
      <c r="B17777" s="3" t="s">
        <v>14814</v>
      </c>
      <c r="C17777" s="5" t="s">
        <v>206</v>
      </c>
      <c r="D17777" s="3" t="s">
        <v>68</v>
      </c>
      <c r="E17777" s="3" t="s">
        <v>100</v>
      </c>
      <c r="F17777" s="7">
        <v>46089.78615341183</v>
      </c>
      <c r="G17777" s="3" t="s">
        <v>10503</v>
      </c>
    </row>
    <row r="17778">
      <c r="A17778" s="3" t="s">
        <v>33873</v>
      </c>
      <c r="B17778" s="3" t="s">
        <v>14817</v>
      </c>
      <c r="C17778" s="5" t="s">
        <v>45</v>
      </c>
      <c r="D17778" s="3" t="s">
        <v>221</v>
      </c>
      <c r="E17778" s="3" t="s">
        <v>778</v>
      </c>
      <c r="F17778" s="7">
        <v>46089.846911590575</v>
      </c>
      <c r="G17778" s="3" t="s">
        <v>10536</v>
      </c>
    </row>
    <row r="17779">
      <c r="A17779" s="3" t="s">
        <v>33874</v>
      </c>
      <c r="B17779" s="3" t="s">
        <v>14817</v>
      </c>
      <c r="C17779" s="5" t="s">
        <v>221</v>
      </c>
      <c r="D17779" s="3" t="s">
        <v>614</v>
      </c>
      <c r="E17779" s="3" t="s">
        <v>118</v>
      </c>
      <c r="F17779" s="7">
        <v>46089.850383812794</v>
      </c>
      <c r="G17779" s="3" t="s">
        <v>10539</v>
      </c>
    </row>
    <row r="17780">
      <c r="A17780" s="3" t="s">
        <v>33875</v>
      </c>
      <c r="B17780" s="3" t="s">
        <v>14817</v>
      </c>
      <c r="C17780" s="5" t="s">
        <v>614</v>
      </c>
      <c r="D17780" s="3" t="s">
        <v>206</v>
      </c>
      <c r="E17780" s="3" t="s">
        <v>100</v>
      </c>
      <c r="F17780" s="7">
        <v>46089.85385603502</v>
      </c>
      <c r="G17780" s="3" t="s">
        <v>10541</v>
      </c>
    </row>
    <row r="17781">
      <c r="A17781" s="3" t="s">
        <v>33876</v>
      </c>
      <c r="B17781" s="3" t="s">
        <v>14817</v>
      </c>
      <c r="C17781" s="5" t="s">
        <v>206</v>
      </c>
      <c r="D17781" s="3" t="s">
        <v>68</v>
      </c>
      <c r="E17781" s="3" t="s">
        <v>100</v>
      </c>
      <c r="F17781" s="7">
        <v>46089.85732825724</v>
      </c>
      <c r="G17781" s="3" t="s">
        <v>10544</v>
      </c>
    </row>
    <row r="17782">
      <c r="A17782" s="3" t="s">
        <v>33877</v>
      </c>
      <c r="B17782" s="3" t="s">
        <v>14820</v>
      </c>
      <c r="C17782" s="5" t="s">
        <v>45</v>
      </c>
      <c r="D17782" s="3" t="s">
        <v>221</v>
      </c>
      <c r="E17782" s="3" t="s">
        <v>773</v>
      </c>
      <c r="F17782" s="7">
        <v>46089.918086435995</v>
      </c>
      <c r="G17782" s="3" t="s">
        <v>26693</v>
      </c>
    </row>
    <row r="17783">
      <c r="A17783" s="3" t="s">
        <v>33878</v>
      </c>
      <c r="B17783" s="3" t="s">
        <v>14820</v>
      </c>
      <c r="C17783" s="5" t="s">
        <v>221</v>
      </c>
      <c r="D17783" s="3" t="s">
        <v>614</v>
      </c>
      <c r="E17783" s="3" t="s">
        <v>118</v>
      </c>
      <c r="F17783" s="7">
        <v>46089.921558658214</v>
      </c>
      <c r="G17783" s="3" t="s">
        <v>26695</v>
      </c>
    </row>
    <row r="17784">
      <c r="A17784" s="3" t="s">
        <v>33879</v>
      </c>
      <c r="B17784" s="3" t="s">
        <v>14820</v>
      </c>
      <c r="C17784" s="5" t="s">
        <v>614</v>
      </c>
      <c r="D17784" s="3" t="s">
        <v>206</v>
      </c>
      <c r="E17784" s="3" t="s">
        <v>100</v>
      </c>
      <c r="F17784" s="7">
        <v>46089.92503088044</v>
      </c>
      <c r="G17784" s="3" t="s">
        <v>26697</v>
      </c>
    </row>
    <row r="17785">
      <c r="A17785" s="3" t="s">
        <v>33880</v>
      </c>
      <c r="B17785" s="3" t="s">
        <v>14820</v>
      </c>
      <c r="C17785" s="5" t="s">
        <v>206</v>
      </c>
      <c r="D17785" s="3" t="s">
        <v>68</v>
      </c>
      <c r="E17785" s="3" t="s">
        <v>100</v>
      </c>
      <c r="F17785" s="7">
        <v>46089.92850310266</v>
      </c>
      <c r="G17785" s="3" t="s">
        <v>26699</v>
      </c>
    </row>
    <row r="17786">
      <c r="A17786" s="3" t="s">
        <v>33881</v>
      </c>
      <c r="B17786" s="3" t="s">
        <v>14825</v>
      </c>
      <c r="C17786" s="5" t="s">
        <v>45</v>
      </c>
      <c r="D17786" s="3" t="s">
        <v>221</v>
      </c>
      <c r="E17786" s="3" t="s">
        <v>911</v>
      </c>
      <c r="F17786" s="7">
        <v>46089.98926128141</v>
      </c>
      <c r="G17786" s="3" t="s">
        <v>28535</v>
      </c>
    </row>
    <row r="17787">
      <c r="A17787" s="3" t="s">
        <v>33882</v>
      </c>
      <c r="B17787" s="3" t="s">
        <v>14825</v>
      </c>
      <c r="C17787" s="5" t="s">
        <v>221</v>
      </c>
      <c r="D17787" s="3" t="s">
        <v>614</v>
      </c>
      <c r="E17787" s="3" t="s">
        <v>118</v>
      </c>
      <c r="F17787" s="7">
        <v>46089.99273350363</v>
      </c>
      <c r="G17787" s="3" t="s">
        <v>28537</v>
      </c>
    </row>
    <row r="17788">
      <c r="A17788" s="3" t="s">
        <v>33883</v>
      </c>
      <c r="B17788" s="3" t="s">
        <v>14825</v>
      </c>
      <c r="C17788" s="5" t="s">
        <v>614</v>
      </c>
      <c r="D17788" s="3" t="s">
        <v>206</v>
      </c>
      <c r="E17788" s="3" t="s">
        <v>100</v>
      </c>
      <c r="F17788" s="7">
        <v>46089.99620572585</v>
      </c>
      <c r="G17788" s="3" t="s">
        <v>28539</v>
      </c>
    </row>
    <row r="17789">
      <c r="A17789" s="3" t="s">
        <v>33884</v>
      </c>
      <c r="B17789" s="3" t="s">
        <v>14825</v>
      </c>
      <c r="C17789" s="5" t="s">
        <v>206</v>
      </c>
      <c r="D17789" s="3" t="s">
        <v>68</v>
      </c>
      <c r="E17789" s="3" t="s">
        <v>100</v>
      </c>
      <c r="F17789" s="7">
        <v>46089.99967794807</v>
      </c>
      <c r="G17789" s="3" t="s">
        <v>28541</v>
      </c>
    </row>
    <row r="17790">
      <c r="A17790" s="3" t="s">
        <v>33885</v>
      </c>
      <c r="B17790" s="3" t="s">
        <v>14828</v>
      </c>
      <c r="C17790" s="5" t="s">
        <v>45</v>
      </c>
      <c r="D17790" s="3" t="s">
        <v>221</v>
      </c>
      <c r="E17790" s="3" t="s">
        <v>645</v>
      </c>
      <c r="F17790" s="7">
        <v>46090.06043612683</v>
      </c>
      <c r="G17790" s="3" t="s">
        <v>8627</v>
      </c>
    </row>
    <row r="17791">
      <c r="A17791" s="3" t="s">
        <v>33886</v>
      </c>
      <c r="B17791" s="3" t="s">
        <v>14828</v>
      </c>
      <c r="C17791" s="5" t="s">
        <v>221</v>
      </c>
      <c r="D17791" s="3" t="s">
        <v>614</v>
      </c>
      <c r="E17791" s="3" t="s">
        <v>118</v>
      </c>
      <c r="F17791" s="7">
        <v>46090.063908349046</v>
      </c>
      <c r="G17791" s="3" t="s">
        <v>8630</v>
      </c>
    </row>
    <row r="17792">
      <c r="A17792" s="3" t="s">
        <v>33887</v>
      </c>
      <c r="B17792" s="3" t="s">
        <v>14828</v>
      </c>
      <c r="C17792" s="5" t="s">
        <v>614</v>
      </c>
      <c r="D17792" s="3" t="s">
        <v>206</v>
      </c>
      <c r="E17792" s="3" t="s">
        <v>100</v>
      </c>
      <c r="F17792" s="7">
        <v>46090.06738057127</v>
      </c>
      <c r="G17792" s="3" t="s">
        <v>8633</v>
      </c>
    </row>
    <row r="17793">
      <c r="A17793" s="3" t="s">
        <v>33888</v>
      </c>
      <c r="B17793" s="3" t="s">
        <v>14828</v>
      </c>
      <c r="C17793" s="5" t="s">
        <v>206</v>
      </c>
      <c r="D17793" s="3" t="s">
        <v>68</v>
      </c>
      <c r="E17793" s="3" t="s">
        <v>100</v>
      </c>
      <c r="F17793" s="7">
        <v>46090.07085279349</v>
      </c>
      <c r="G17793" s="3" t="s">
        <v>8636</v>
      </c>
    </row>
    <row r="17794">
      <c r="A17794" s="3" t="s">
        <v>33889</v>
      </c>
      <c r="B17794" s="3" t="s">
        <v>14830</v>
      </c>
      <c r="C17794" s="5" t="s">
        <v>45</v>
      </c>
      <c r="D17794" s="3" t="s">
        <v>221</v>
      </c>
      <c r="E17794" s="3" t="s">
        <v>565</v>
      </c>
      <c r="F17794" s="7">
        <v>46090.13161097223</v>
      </c>
      <c r="G17794" s="3" t="s">
        <v>11084</v>
      </c>
    </row>
    <row r="17795">
      <c r="A17795" s="3" t="s">
        <v>33890</v>
      </c>
      <c r="B17795" s="3" t="s">
        <v>14830</v>
      </c>
      <c r="C17795" s="5" t="s">
        <v>221</v>
      </c>
      <c r="D17795" s="3" t="s">
        <v>614</v>
      </c>
      <c r="E17795" s="3" t="s">
        <v>118</v>
      </c>
      <c r="F17795" s="7">
        <v>46090.13508319445</v>
      </c>
      <c r="G17795" s="3" t="s">
        <v>11087</v>
      </c>
    </row>
    <row r="17796">
      <c r="A17796" s="3" t="s">
        <v>33891</v>
      </c>
      <c r="B17796" s="3" t="s">
        <v>14830</v>
      </c>
      <c r="C17796" s="5" t="s">
        <v>614</v>
      </c>
      <c r="D17796" s="3" t="s">
        <v>206</v>
      </c>
      <c r="E17796" s="3" t="s">
        <v>100</v>
      </c>
      <c r="F17796" s="7">
        <v>46090.13855541668</v>
      </c>
      <c r="G17796" s="3" t="s">
        <v>11090</v>
      </c>
    </row>
    <row r="17797">
      <c r="A17797" s="3" t="s">
        <v>33892</v>
      </c>
      <c r="B17797" s="3" t="s">
        <v>14830</v>
      </c>
      <c r="C17797" s="5" t="s">
        <v>206</v>
      </c>
      <c r="D17797" s="3" t="s">
        <v>68</v>
      </c>
      <c r="E17797" s="3" t="s">
        <v>100</v>
      </c>
      <c r="F17797" s="7">
        <v>46090.142027638896</v>
      </c>
      <c r="G17797" s="3" t="s">
        <v>11093</v>
      </c>
    </row>
    <row r="17798">
      <c r="A17798" s="3" t="s">
        <v>33893</v>
      </c>
      <c r="B17798" s="3" t="s">
        <v>14832</v>
      </c>
      <c r="C17798" s="5" t="s">
        <v>45</v>
      </c>
      <c r="D17798" s="3" t="s">
        <v>221</v>
      </c>
      <c r="E17798" s="3" t="s">
        <v>539</v>
      </c>
      <c r="F17798" s="7">
        <v>46090.20278581765</v>
      </c>
      <c r="G17798" s="3" t="s">
        <v>12738</v>
      </c>
    </row>
    <row r="17799">
      <c r="A17799" s="3" t="s">
        <v>33894</v>
      </c>
      <c r="B17799" s="3" t="s">
        <v>14832</v>
      </c>
      <c r="C17799" s="5" t="s">
        <v>221</v>
      </c>
      <c r="D17799" s="3" t="s">
        <v>181</v>
      </c>
      <c r="E17799" s="3" t="s">
        <v>118</v>
      </c>
      <c r="F17799" s="7">
        <v>46090.20625803987</v>
      </c>
      <c r="G17799" s="3" t="s">
        <v>28269</v>
      </c>
    </row>
    <row r="17800">
      <c r="A17800" s="3" t="s">
        <v>33895</v>
      </c>
      <c r="B17800" s="3" t="s">
        <v>14834</v>
      </c>
      <c r="C17800" s="5" t="s">
        <v>45</v>
      </c>
      <c r="D17800" s="3" t="s">
        <v>221</v>
      </c>
      <c r="E17800" s="3" t="s">
        <v>934</v>
      </c>
      <c r="F17800" s="7">
        <v>46090.27396066307</v>
      </c>
      <c r="G17800" s="3" t="s">
        <v>33896</v>
      </c>
    </row>
    <row r="17801">
      <c r="A17801" s="3" t="s">
        <v>33897</v>
      </c>
      <c r="B17801" s="3" t="s">
        <v>14834</v>
      </c>
      <c r="C17801" s="5" t="s">
        <v>221</v>
      </c>
      <c r="D17801" s="3" t="s">
        <v>614</v>
      </c>
      <c r="E17801" s="3" t="s">
        <v>118</v>
      </c>
      <c r="F17801" s="7">
        <v>46090.27743288529</v>
      </c>
      <c r="G17801" s="3" t="s">
        <v>33898</v>
      </c>
    </row>
    <row r="17802">
      <c r="A17802" s="3" t="s">
        <v>33899</v>
      </c>
      <c r="B17802" s="3" t="s">
        <v>14834</v>
      </c>
      <c r="C17802" s="5" t="s">
        <v>614</v>
      </c>
      <c r="D17802" s="3" t="s">
        <v>206</v>
      </c>
      <c r="E17802" s="3" t="s">
        <v>100</v>
      </c>
      <c r="F17802" s="7">
        <v>46090.28090510752</v>
      </c>
      <c r="G17802" s="3" t="s">
        <v>33900</v>
      </c>
    </row>
    <row r="17803">
      <c r="A17803" s="3" t="s">
        <v>33901</v>
      </c>
      <c r="B17803" s="3" t="s">
        <v>14834</v>
      </c>
      <c r="C17803" s="5" t="s">
        <v>206</v>
      </c>
      <c r="D17803" s="3" t="s">
        <v>68</v>
      </c>
      <c r="E17803" s="3" t="s">
        <v>100</v>
      </c>
      <c r="F17803" s="7">
        <v>46090.284377329735</v>
      </c>
      <c r="G17803" s="3" t="s">
        <v>33902</v>
      </c>
    </row>
    <row r="17804">
      <c r="A17804" s="3" t="s">
        <v>33903</v>
      </c>
      <c r="B17804" s="3" t="s">
        <v>14837</v>
      </c>
      <c r="C17804" s="5" t="s">
        <v>45</v>
      </c>
      <c r="D17804" s="3" t="s">
        <v>221</v>
      </c>
      <c r="E17804" s="3" t="s">
        <v>1043</v>
      </c>
      <c r="F17804" s="7">
        <v>46090.34513550848</v>
      </c>
      <c r="G17804" s="3" t="s">
        <v>10570</v>
      </c>
    </row>
    <row r="17805">
      <c r="A17805" s="3" t="s">
        <v>33904</v>
      </c>
      <c r="B17805" s="3" t="s">
        <v>14837</v>
      </c>
      <c r="C17805" s="5" t="s">
        <v>221</v>
      </c>
      <c r="D17805" s="3" t="s">
        <v>614</v>
      </c>
      <c r="E17805" s="3" t="s">
        <v>118</v>
      </c>
      <c r="F17805" s="7">
        <v>46090.3486077307</v>
      </c>
      <c r="G17805" s="3" t="s">
        <v>10572</v>
      </c>
    </row>
    <row r="17806">
      <c r="A17806" s="3" t="s">
        <v>33905</v>
      </c>
      <c r="B17806" s="3" t="s">
        <v>14837</v>
      </c>
      <c r="C17806" s="5" t="s">
        <v>614</v>
      </c>
      <c r="D17806" s="3" t="s">
        <v>206</v>
      </c>
      <c r="E17806" s="3" t="s">
        <v>100</v>
      </c>
      <c r="F17806" s="7">
        <v>46090.35207995293</v>
      </c>
      <c r="G17806" s="3" t="s">
        <v>10575</v>
      </c>
    </row>
    <row r="17807">
      <c r="A17807" s="3" t="s">
        <v>33906</v>
      </c>
      <c r="B17807" s="3" t="s">
        <v>14837</v>
      </c>
      <c r="C17807" s="5" t="s">
        <v>206</v>
      </c>
      <c r="D17807" s="3" t="s">
        <v>68</v>
      </c>
      <c r="E17807" s="3" t="s">
        <v>100</v>
      </c>
      <c r="F17807" s="7">
        <v>46090.35555217515</v>
      </c>
      <c r="G17807" s="3" t="s">
        <v>10578</v>
      </c>
    </row>
    <row r="17808">
      <c r="A17808" s="3" t="s">
        <v>33907</v>
      </c>
      <c r="B17808" s="3" t="s">
        <v>14841</v>
      </c>
      <c r="C17808" s="5" t="s">
        <v>45</v>
      </c>
      <c r="D17808" s="3" t="s">
        <v>221</v>
      </c>
      <c r="E17808" s="3" t="s">
        <v>913</v>
      </c>
      <c r="F17808" s="7">
        <v>46090.416310353896</v>
      </c>
      <c r="G17808" s="3" t="s">
        <v>6783</v>
      </c>
    </row>
    <row r="17809">
      <c r="A17809" s="3" t="s">
        <v>33908</v>
      </c>
      <c r="B17809" s="3" t="s">
        <v>14841</v>
      </c>
      <c r="C17809" s="5" t="s">
        <v>221</v>
      </c>
      <c r="D17809" s="3" t="s">
        <v>614</v>
      </c>
      <c r="E17809" s="3" t="s">
        <v>118</v>
      </c>
      <c r="F17809" s="7">
        <v>46090.419782576115</v>
      </c>
      <c r="G17809" s="3" t="s">
        <v>6786</v>
      </c>
    </row>
    <row r="17810">
      <c r="A17810" s="3" t="s">
        <v>33909</v>
      </c>
      <c r="B17810" s="3" t="s">
        <v>14841</v>
      </c>
      <c r="C17810" s="5" t="s">
        <v>614</v>
      </c>
      <c r="D17810" s="3" t="s">
        <v>206</v>
      </c>
      <c r="E17810" s="3" t="s">
        <v>100</v>
      </c>
      <c r="F17810" s="7">
        <v>46090.42325479834</v>
      </c>
      <c r="G17810" s="3" t="s">
        <v>6789</v>
      </c>
    </row>
    <row r="17811">
      <c r="A17811" s="3" t="s">
        <v>33910</v>
      </c>
      <c r="B17811" s="3" t="s">
        <v>14841</v>
      </c>
      <c r="C17811" s="5" t="s">
        <v>206</v>
      </c>
      <c r="D17811" s="3" t="s">
        <v>68</v>
      </c>
      <c r="E17811" s="3" t="s">
        <v>100</v>
      </c>
      <c r="F17811" s="7">
        <v>46090.42672702056</v>
      </c>
      <c r="G17811" s="3" t="s">
        <v>6792</v>
      </c>
    </row>
    <row r="17812">
      <c r="A17812" s="3" t="s">
        <v>33911</v>
      </c>
      <c r="B17812" s="3" t="s">
        <v>14844</v>
      </c>
      <c r="C17812" s="5" t="s">
        <v>45</v>
      </c>
      <c r="D17812" s="3" t="s">
        <v>221</v>
      </c>
      <c r="E17812" s="3" t="s">
        <v>838</v>
      </c>
      <c r="F17812" s="7">
        <v>46090.487485199315</v>
      </c>
      <c r="G17812" s="3" t="s">
        <v>25660</v>
      </c>
    </row>
    <row r="17813">
      <c r="A17813" s="3" t="s">
        <v>33912</v>
      </c>
      <c r="B17813" s="3" t="s">
        <v>14844</v>
      </c>
      <c r="C17813" s="5" t="s">
        <v>221</v>
      </c>
      <c r="D17813" s="3" t="s">
        <v>614</v>
      </c>
      <c r="E17813" s="3" t="s">
        <v>118</v>
      </c>
      <c r="F17813" s="7">
        <v>46090.490957421534</v>
      </c>
      <c r="G17813" s="3" t="s">
        <v>25662</v>
      </c>
    </row>
    <row r="17814">
      <c r="A17814" s="3" t="s">
        <v>33913</v>
      </c>
      <c r="B17814" s="3" t="s">
        <v>14844</v>
      </c>
      <c r="C17814" s="5" t="s">
        <v>614</v>
      </c>
      <c r="D17814" s="3" t="s">
        <v>206</v>
      </c>
      <c r="E17814" s="3" t="s">
        <v>100</v>
      </c>
      <c r="F17814" s="7">
        <v>46090.49442964376</v>
      </c>
      <c r="G17814" s="3" t="s">
        <v>25664</v>
      </c>
    </row>
    <row r="17815">
      <c r="A17815" s="3" t="s">
        <v>33914</v>
      </c>
      <c r="B17815" s="3" t="s">
        <v>14844</v>
      </c>
      <c r="C17815" s="5" t="s">
        <v>206</v>
      </c>
      <c r="D17815" s="3" t="s">
        <v>68</v>
      </c>
      <c r="E17815" s="3" t="s">
        <v>100</v>
      </c>
      <c r="F17815" s="7">
        <v>46090.49790186598</v>
      </c>
      <c r="G17815" s="3" t="s">
        <v>25666</v>
      </c>
    </row>
    <row r="17816">
      <c r="A17816" s="3" t="s">
        <v>33915</v>
      </c>
      <c r="B17816" s="3" t="s">
        <v>14847</v>
      </c>
      <c r="C17816" s="5" t="s">
        <v>45</v>
      </c>
      <c r="D17816" s="3" t="s">
        <v>221</v>
      </c>
      <c r="E17816" s="3" t="s">
        <v>965</v>
      </c>
      <c r="F17816" s="7">
        <v>46090.55866004473</v>
      </c>
      <c r="G17816" s="3" t="s">
        <v>21804</v>
      </c>
    </row>
    <row r="17817">
      <c r="A17817" s="3" t="s">
        <v>33916</v>
      </c>
      <c r="B17817" s="3" t="s">
        <v>14847</v>
      </c>
      <c r="C17817" s="5" t="s">
        <v>221</v>
      </c>
      <c r="D17817" s="3" t="s">
        <v>614</v>
      </c>
      <c r="E17817" s="3" t="s">
        <v>118</v>
      </c>
      <c r="F17817" s="7">
        <v>46090.56213226695</v>
      </c>
      <c r="G17817" s="3" t="s">
        <v>21807</v>
      </c>
    </row>
    <row r="17818">
      <c r="A17818" s="3" t="s">
        <v>33917</v>
      </c>
      <c r="B17818" s="3" t="s">
        <v>14847</v>
      </c>
      <c r="C17818" s="5" t="s">
        <v>614</v>
      </c>
      <c r="D17818" s="3" t="s">
        <v>206</v>
      </c>
      <c r="E17818" s="3" t="s">
        <v>100</v>
      </c>
      <c r="F17818" s="7">
        <v>46090.56560448917</v>
      </c>
      <c r="G17818" s="3" t="s">
        <v>21810</v>
      </c>
    </row>
    <row r="17819">
      <c r="A17819" s="3" t="s">
        <v>33918</v>
      </c>
      <c r="B17819" s="3" t="s">
        <v>14847</v>
      </c>
      <c r="C17819" s="5" t="s">
        <v>206</v>
      </c>
      <c r="D17819" s="3" t="s">
        <v>68</v>
      </c>
      <c r="E17819" s="3" t="s">
        <v>100</v>
      </c>
      <c r="F17819" s="7">
        <v>46090.56907671139</v>
      </c>
      <c r="G17819" s="3" t="s">
        <v>21813</v>
      </c>
    </row>
    <row r="17820">
      <c r="A17820" s="3" t="s">
        <v>33919</v>
      </c>
      <c r="B17820" s="3" t="s">
        <v>14850</v>
      </c>
      <c r="C17820" s="5" t="s">
        <v>45</v>
      </c>
      <c r="D17820" s="3" t="s">
        <v>221</v>
      </c>
      <c r="E17820" s="3" t="s">
        <v>406</v>
      </c>
      <c r="F17820" s="7">
        <v>46090.62983489014</v>
      </c>
      <c r="G17820" s="3" t="s">
        <v>7840</v>
      </c>
    </row>
    <row r="17821">
      <c r="A17821" s="3" t="s">
        <v>33920</v>
      </c>
      <c r="B17821" s="3" t="s">
        <v>14850</v>
      </c>
      <c r="C17821" s="5" t="s">
        <v>221</v>
      </c>
      <c r="D17821" s="3" t="s">
        <v>614</v>
      </c>
      <c r="E17821" s="3" t="s">
        <v>118</v>
      </c>
      <c r="F17821" s="7">
        <v>46090.63330711236</v>
      </c>
      <c r="G17821" s="3" t="s">
        <v>7843</v>
      </c>
    </row>
    <row r="17822">
      <c r="A17822" s="3" t="s">
        <v>33921</v>
      </c>
      <c r="B17822" s="3" t="s">
        <v>14850</v>
      </c>
      <c r="C17822" s="5" t="s">
        <v>614</v>
      </c>
      <c r="D17822" s="3" t="s">
        <v>206</v>
      </c>
      <c r="E17822" s="3" t="s">
        <v>100</v>
      </c>
      <c r="F17822" s="7">
        <v>46090.636779334585</v>
      </c>
      <c r="G17822" s="3" t="s">
        <v>7846</v>
      </c>
    </row>
    <row r="17823">
      <c r="A17823" s="3" t="s">
        <v>33922</v>
      </c>
      <c r="B17823" s="3" t="s">
        <v>14850</v>
      </c>
      <c r="C17823" s="5" t="s">
        <v>206</v>
      </c>
      <c r="D17823" s="3" t="s">
        <v>68</v>
      </c>
      <c r="E17823" s="3" t="s">
        <v>100</v>
      </c>
      <c r="F17823" s="7">
        <v>46090.640251556804</v>
      </c>
      <c r="G17823" s="3" t="s">
        <v>7849</v>
      </c>
    </row>
    <row r="17824">
      <c r="A17824" s="3" t="s">
        <v>33923</v>
      </c>
      <c r="B17824" s="3" t="s">
        <v>14852</v>
      </c>
      <c r="C17824" s="5" t="s">
        <v>45</v>
      </c>
      <c r="D17824" s="3" t="s">
        <v>221</v>
      </c>
      <c r="E17824" s="3" t="s">
        <v>515</v>
      </c>
      <c r="F17824" s="7">
        <v>46090.70100973556</v>
      </c>
      <c r="G17824" s="3" t="s">
        <v>10634</v>
      </c>
    </row>
    <row r="17825">
      <c r="A17825" s="3" t="s">
        <v>33924</v>
      </c>
      <c r="B17825" s="3" t="s">
        <v>14852</v>
      </c>
      <c r="C17825" s="5" t="s">
        <v>221</v>
      </c>
      <c r="D17825" s="3" t="s">
        <v>614</v>
      </c>
      <c r="E17825" s="3" t="s">
        <v>118</v>
      </c>
      <c r="F17825" s="7">
        <v>46090.70448195778</v>
      </c>
      <c r="G17825" s="3" t="s">
        <v>10637</v>
      </c>
    </row>
    <row r="17826">
      <c r="A17826" s="3" t="s">
        <v>33925</v>
      </c>
      <c r="B17826" s="3" t="s">
        <v>14852</v>
      </c>
      <c r="C17826" s="5" t="s">
        <v>614</v>
      </c>
      <c r="D17826" s="3" t="s">
        <v>206</v>
      </c>
      <c r="E17826" s="3" t="s">
        <v>100</v>
      </c>
      <c r="F17826" s="7">
        <v>46090.707954180005</v>
      </c>
      <c r="G17826" s="3" t="s">
        <v>10639</v>
      </c>
    </row>
    <row r="17827">
      <c r="A17827" s="3" t="s">
        <v>33926</v>
      </c>
      <c r="B17827" s="3" t="s">
        <v>14852</v>
      </c>
      <c r="C17827" s="5" t="s">
        <v>206</v>
      </c>
      <c r="D17827" s="3" t="s">
        <v>68</v>
      </c>
      <c r="E17827" s="3" t="s">
        <v>100</v>
      </c>
      <c r="F17827" s="7">
        <v>46090.711426402224</v>
      </c>
      <c r="G17827" s="3" t="s">
        <v>10642</v>
      </c>
    </row>
    <row r="17828">
      <c r="A17828" s="3" t="s">
        <v>33927</v>
      </c>
      <c r="B17828" s="3" t="s">
        <v>14854</v>
      </c>
      <c r="C17828" s="5" t="s">
        <v>45</v>
      </c>
      <c r="D17828" s="3" t="s">
        <v>221</v>
      </c>
      <c r="E17828" s="3" t="s">
        <v>632</v>
      </c>
      <c r="F17828" s="7">
        <v>46090.77218458098</v>
      </c>
      <c r="G17828" s="3" t="s">
        <v>15911</v>
      </c>
    </row>
    <row r="17829">
      <c r="A17829" s="3" t="s">
        <v>33928</v>
      </c>
      <c r="B17829" s="3" t="s">
        <v>14854</v>
      </c>
      <c r="C17829" s="5" t="s">
        <v>221</v>
      </c>
      <c r="D17829" s="3" t="s">
        <v>614</v>
      </c>
      <c r="E17829" s="3" t="s">
        <v>118</v>
      </c>
      <c r="F17829" s="7">
        <v>46090.7756568032</v>
      </c>
      <c r="G17829" s="3" t="s">
        <v>15914</v>
      </c>
    </row>
    <row r="17830">
      <c r="A17830" s="3" t="s">
        <v>33929</v>
      </c>
      <c r="B17830" s="3" t="s">
        <v>14854</v>
      </c>
      <c r="C17830" s="5" t="s">
        <v>614</v>
      </c>
      <c r="D17830" s="3" t="s">
        <v>206</v>
      </c>
      <c r="E17830" s="3" t="s">
        <v>100</v>
      </c>
      <c r="F17830" s="7">
        <v>46090.779129025424</v>
      </c>
      <c r="G17830" s="3" t="s">
        <v>15917</v>
      </c>
    </row>
    <row r="17831">
      <c r="A17831" s="3" t="s">
        <v>33930</v>
      </c>
      <c r="B17831" s="3" t="s">
        <v>14854</v>
      </c>
      <c r="C17831" s="5" t="s">
        <v>206</v>
      </c>
      <c r="D17831" s="3" t="s">
        <v>68</v>
      </c>
      <c r="E17831" s="3" t="s">
        <v>100</v>
      </c>
      <c r="F17831" s="7">
        <v>46090.78260124764</v>
      </c>
      <c r="G17831" s="3" t="s">
        <v>15919</v>
      </c>
    </row>
    <row r="17832">
      <c r="A17832" s="3" t="s">
        <v>33931</v>
      </c>
      <c r="B17832" s="3" t="s">
        <v>14856</v>
      </c>
      <c r="C17832" s="5" t="s">
        <v>45</v>
      </c>
      <c r="D17832" s="3" t="s">
        <v>221</v>
      </c>
      <c r="E17832" s="3" t="s">
        <v>366</v>
      </c>
      <c r="F17832" s="7">
        <v>46090.843359426384</v>
      </c>
      <c r="G17832" s="3" t="s">
        <v>20038</v>
      </c>
    </row>
    <row r="17833">
      <c r="A17833" s="3" t="s">
        <v>33932</v>
      </c>
      <c r="B17833" s="3" t="s">
        <v>14856</v>
      </c>
      <c r="C17833" s="5" t="s">
        <v>221</v>
      </c>
      <c r="D17833" s="3" t="s">
        <v>614</v>
      </c>
      <c r="E17833" s="3" t="s">
        <v>118</v>
      </c>
      <c r="F17833" s="7">
        <v>46090.8468316486</v>
      </c>
      <c r="G17833" s="3" t="s">
        <v>20041</v>
      </c>
    </row>
    <row r="17834">
      <c r="A17834" s="3" t="s">
        <v>33933</v>
      </c>
      <c r="B17834" s="3" t="s">
        <v>14856</v>
      </c>
      <c r="C17834" s="5" t="s">
        <v>614</v>
      </c>
      <c r="D17834" s="3" t="s">
        <v>206</v>
      </c>
      <c r="E17834" s="3" t="s">
        <v>100</v>
      </c>
      <c r="F17834" s="7">
        <v>46090.85030387083</v>
      </c>
      <c r="G17834" s="3" t="s">
        <v>20044</v>
      </c>
    </row>
    <row r="17835">
      <c r="A17835" s="3" t="s">
        <v>33934</v>
      </c>
      <c r="B17835" s="3" t="s">
        <v>14856</v>
      </c>
      <c r="C17835" s="5" t="s">
        <v>206</v>
      </c>
      <c r="D17835" s="3" t="s">
        <v>68</v>
      </c>
      <c r="E17835" s="3" t="s">
        <v>100</v>
      </c>
      <c r="F17835" s="7">
        <v>46090.85377609305</v>
      </c>
      <c r="G17835" s="3" t="s">
        <v>20047</v>
      </c>
    </row>
    <row r="17836">
      <c r="A17836" s="3" t="s">
        <v>33935</v>
      </c>
      <c r="B17836" s="3" t="s">
        <v>14858</v>
      </c>
      <c r="C17836" s="5" t="s">
        <v>45</v>
      </c>
      <c r="D17836" s="3" t="s">
        <v>221</v>
      </c>
      <c r="E17836" s="3" t="s">
        <v>544</v>
      </c>
      <c r="F17836" s="7">
        <v>46090.914534271804</v>
      </c>
      <c r="G17836" s="3" t="s">
        <v>30157</v>
      </c>
    </row>
    <row r="17837">
      <c r="A17837" s="3" t="s">
        <v>33936</v>
      </c>
      <c r="B17837" s="3" t="s">
        <v>14858</v>
      </c>
      <c r="C17837" s="5" t="s">
        <v>221</v>
      </c>
      <c r="D17837" s="3" t="s">
        <v>614</v>
      </c>
      <c r="E17837" s="3" t="s">
        <v>118</v>
      </c>
      <c r="F17837" s="7">
        <v>46090.91800649402</v>
      </c>
      <c r="G17837" s="3" t="s">
        <v>30159</v>
      </c>
    </row>
    <row r="17838">
      <c r="A17838" s="3" t="s">
        <v>33937</v>
      </c>
      <c r="B17838" s="3" t="s">
        <v>14858</v>
      </c>
      <c r="C17838" s="5" t="s">
        <v>614</v>
      </c>
      <c r="D17838" s="3" t="s">
        <v>206</v>
      </c>
      <c r="E17838" s="3" t="s">
        <v>100</v>
      </c>
      <c r="F17838" s="7">
        <v>46090.92147871625</v>
      </c>
      <c r="G17838" s="3" t="s">
        <v>30161</v>
      </c>
    </row>
    <row r="17839">
      <c r="A17839" s="3" t="s">
        <v>33938</v>
      </c>
      <c r="B17839" s="3" t="s">
        <v>14858</v>
      </c>
      <c r="C17839" s="5" t="s">
        <v>206</v>
      </c>
      <c r="D17839" s="3" t="s">
        <v>68</v>
      </c>
      <c r="E17839" s="3" t="s">
        <v>100</v>
      </c>
      <c r="F17839" s="7">
        <v>46090.92495093847</v>
      </c>
      <c r="G17839" s="3" t="s">
        <v>30163</v>
      </c>
    </row>
    <row r="17840">
      <c r="A17840" s="3" t="s">
        <v>33939</v>
      </c>
      <c r="B17840" s="3" t="s">
        <v>14862</v>
      </c>
      <c r="C17840" s="5" t="s">
        <v>45</v>
      </c>
      <c r="D17840" s="3" t="s">
        <v>221</v>
      </c>
      <c r="E17840" s="3" t="s">
        <v>1043</v>
      </c>
      <c r="F17840" s="7">
        <v>46090.98570911722</v>
      </c>
      <c r="G17840" s="3" t="s">
        <v>19136</v>
      </c>
    </row>
    <row r="17841">
      <c r="A17841" s="3" t="s">
        <v>33940</v>
      </c>
      <c r="B17841" s="3" t="s">
        <v>14862</v>
      </c>
      <c r="C17841" s="5" t="s">
        <v>221</v>
      </c>
      <c r="D17841" s="3" t="s">
        <v>614</v>
      </c>
      <c r="E17841" s="3" t="s">
        <v>118</v>
      </c>
      <c r="F17841" s="7">
        <v>46090.98918133944</v>
      </c>
      <c r="G17841" s="3" t="s">
        <v>19139</v>
      </c>
    </row>
    <row r="17842">
      <c r="A17842" s="3" t="s">
        <v>33941</v>
      </c>
      <c r="B17842" s="3" t="s">
        <v>14862</v>
      </c>
      <c r="C17842" s="5" t="s">
        <v>614</v>
      </c>
      <c r="D17842" s="3" t="s">
        <v>206</v>
      </c>
      <c r="E17842" s="3" t="s">
        <v>100</v>
      </c>
      <c r="F17842" s="7">
        <v>46090.99265356167</v>
      </c>
      <c r="G17842" s="3" t="s">
        <v>19142</v>
      </c>
    </row>
    <row r="17843">
      <c r="A17843" s="3" t="s">
        <v>33942</v>
      </c>
      <c r="B17843" s="3" t="s">
        <v>14862</v>
      </c>
      <c r="C17843" s="5" t="s">
        <v>206</v>
      </c>
      <c r="D17843" s="3" t="s">
        <v>68</v>
      </c>
      <c r="E17843" s="3" t="s">
        <v>100</v>
      </c>
      <c r="F17843" s="7">
        <v>46090.99612578389</v>
      </c>
      <c r="G17843" s="3" t="s">
        <v>19145</v>
      </c>
    </row>
    <row r="17844">
      <c r="A17844" s="3" t="s">
        <v>33943</v>
      </c>
      <c r="B17844" s="3" t="s">
        <v>14866</v>
      </c>
      <c r="C17844" s="5" t="s">
        <v>45</v>
      </c>
      <c r="D17844" s="3" t="s">
        <v>221</v>
      </c>
      <c r="E17844" s="3" t="s">
        <v>860</v>
      </c>
      <c r="F17844" s="7">
        <v>46091.056883962636</v>
      </c>
      <c r="G17844" s="3" t="s">
        <v>33944</v>
      </c>
    </row>
    <row r="17845">
      <c r="A17845" s="3" t="s">
        <v>33945</v>
      </c>
      <c r="B17845" s="3" t="s">
        <v>14866</v>
      </c>
      <c r="C17845" s="5" t="s">
        <v>221</v>
      </c>
      <c r="D17845" s="3" t="s">
        <v>614</v>
      </c>
      <c r="E17845" s="3" t="s">
        <v>118</v>
      </c>
      <c r="F17845" s="7">
        <v>46091.060356184855</v>
      </c>
      <c r="G17845" s="3" t="s">
        <v>33946</v>
      </c>
    </row>
    <row r="17846">
      <c r="A17846" s="3" t="s">
        <v>33947</v>
      </c>
      <c r="B17846" s="3" t="s">
        <v>14866</v>
      </c>
      <c r="C17846" s="5" t="s">
        <v>614</v>
      </c>
      <c r="D17846" s="3" t="s">
        <v>206</v>
      </c>
      <c r="E17846" s="3" t="s">
        <v>100</v>
      </c>
      <c r="F17846" s="7">
        <v>46091.06382840708</v>
      </c>
      <c r="G17846" s="3" t="s">
        <v>33948</v>
      </c>
    </row>
    <row r="17847">
      <c r="A17847" s="3" t="s">
        <v>33949</v>
      </c>
      <c r="B17847" s="3" t="s">
        <v>14866</v>
      </c>
      <c r="C17847" s="5" t="s">
        <v>206</v>
      </c>
      <c r="D17847" s="3" t="s">
        <v>68</v>
      </c>
      <c r="E17847" s="3" t="s">
        <v>100</v>
      </c>
      <c r="F17847" s="7">
        <v>46091.0673006293</v>
      </c>
      <c r="G17847" s="3" t="s">
        <v>33950</v>
      </c>
    </row>
    <row r="17848">
      <c r="A17848" s="3" t="s">
        <v>33951</v>
      </c>
      <c r="B17848" s="3" t="s">
        <v>14869</v>
      </c>
      <c r="C17848" s="5" t="s">
        <v>45</v>
      </c>
      <c r="D17848" s="3" t="s">
        <v>221</v>
      </c>
      <c r="E17848" s="3" t="s">
        <v>922</v>
      </c>
      <c r="F17848" s="7">
        <v>46091.12805880805</v>
      </c>
      <c r="G17848" s="3" t="s">
        <v>10673</v>
      </c>
    </row>
    <row r="17849">
      <c r="A17849" s="3" t="s">
        <v>33952</v>
      </c>
      <c r="B17849" s="3" t="s">
        <v>14869</v>
      </c>
      <c r="C17849" s="5" t="s">
        <v>221</v>
      </c>
      <c r="D17849" s="3" t="s">
        <v>614</v>
      </c>
      <c r="E17849" s="3" t="s">
        <v>118</v>
      </c>
      <c r="F17849" s="7">
        <v>46091.13153103027</v>
      </c>
      <c r="G17849" s="3" t="s">
        <v>10676</v>
      </c>
    </row>
    <row r="17850">
      <c r="A17850" s="3" t="s">
        <v>33953</v>
      </c>
      <c r="B17850" s="3" t="s">
        <v>14869</v>
      </c>
      <c r="C17850" s="5" t="s">
        <v>614</v>
      </c>
      <c r="D17850" s="3" t="s">
        <v>206</v>
      </c>
      <c r="E17850" s="3" t="s">
        <v>100</v>
      </c>
      <c r="F17850" s="7">
        <v>46091.13500325249</v>
      </c>
      <c r="G17850" s="3" t="s">
        <v>10679</v>
      </c>
    </row>
    <row r="17851">
      <c r="A17851" s="3" t="s">
        <v>33954</v>
      </c>
      <c r="B17851" s="3" t="s">
        <v>14869</v>
      </c>
      <c r="C17851" s="5" t="s">
        <v>206</v>
      </c>
      <c r="D17851" s="3" t="s">
        <v>68</v>
      </c>
      <c r="E17851" s="3" t="s">
        <v>100</v>
      </c>
      <c r="F17851" s="7">
        <v>46091.13847547471</v>
      </c>
      <c r="G17851" s="3" t="s">
        <v>10682</v>
      </c>
    </row>
    <row r="17852">
      <c r="A17852" s="3" t="s">
        <v>33955</v>
      </c>
      <c r="B17852" s="3" t="s">
        <v>14873</v>
      </c>
      <c r="C17852" s="5" t="s">
        <v>45</v>
      </c>
      <c r="D17852" s="3" t="s">
        <v>221</v>
      </c>
      <c r="E17852" s="3" t="s">
        <v>883</v>
      </c>
      <c r="F17852" s="7">
        <v>46091.19923365347</v>
      </c>
      <c r="G17852" s="3" t="s">
        <v>10689</v>
      </c>
    </row>
    <row r="17853">
      <c r="A17853" s="3" t="s">
        <v>33956</v>
      </c>
      <c r="B17853" s="3" t="s">
        <v>14873</v>
      </c>
      <c r="C17853" s="5" t="s">
        <v>221</v>
      </c>
      <c r="D17853" s="3" t="s">
        <v>614</v>
      </c>
      <c r="E17853" s="3" t="s">
        <v>118</v>
      </c>
      <c r="F17853" s="7">
        <v>46091.20270587569</v>
      </c>
      <c r="G17853" s="3" t="s">
        <v>10692</v>
      </c>
    </row>
    <row r="17854">
      <c r="A17854" s="3" t="s">
        <v>33957</v>
      </c>
      <c r="B17854" s="3" t="s">
        <v>14873</v>
      </c>
      <c r="C17854" s="5" t="s">
        <v>614</v>
      </c>
      <c r="D17854" s="3" t="s">
        <v>206</v>
      </c>
      <c r="E17854" s="3" t="s">
        <v>100</v>
      </c>
      <c r="F17854" s="7">
        <v>46091.20617809791</v>
      </c>
      <c r="G17854" s="3" t="s">
        <v>10695</v>
      </c>
    </row>
    <row r="17855">
      <c r="A17855" s="3" t="s">
        <v>33958</v>
      </c>
      <c r="B17855" s="3" t="s">
        <v>14873</v>
      </c>
      <c r="C17855" s="5" t="s">
        <v>206</v>
      </c>
      <c r="D17855" s="3" t="s">
        <v>68</v>
      </c>
      <c r="E17855" s="3" t="s">
        <v>100</v>
      </c>
      <c r="F17855" s="7">
        <v>46091.20965032013</v>
      </c>
      <c r="G17855" s="3" t="s">
        <v>10698</v>
      </c>
    </row>
    <row r="17856">
      <c r="A17856" s="3" t="s">
        <v>33959</v>
      </c>
      <c r="B17856" s="3" t="s">
        <v>14876</v>
      </c>
      <c r="C17856" s="5" t="s">
        <v>45</v>
      </c>
      <c r="D17856" s="3" t="s">
        <v>221</v>
      </c>
      <c r="E17856" s="3" t="s">
        <v>689</v>
      </c>
      <c r="F17856" s="7">
        <v>46091.27040849888</v>
      </c>
      <c r="G17856" s="3" t="s">
        <v>20950</v>
      </c>
    </row>
    <row r="17857">
      <c r="A17857" s="3" t="s">
        <v>33960</v>
      </c>
      <c r="B17857" s="3" t="s">
        <v>14876</v>
      </c>
      <c r="C17857" s="5" t="s">
        <v>221</v>
      </c>
      <c r="D17857" s="3" t="s">
        <v>614</v>
      </c>
      <c r="E17857" s="3" t="s">
        <v>118</v>
      </c>
      <c r="F17857" s="7">
        <v>46091.2738807211</v>
      </c>
      <c r="G17857" s="3" t="s">
        <v>20953</v>
      </c>
    </row>
    <row r="17858">
      <c r="A17858" s="3" t="s">
        <v>33961</v>
      </c>
      <c r="B17858" s="3" t="s">
        <v>14876</v>
      </c>
      <c r="C17858" s="5" t="s">
        <v>614</v>
      </c>
      <c r="D17858" s="3" t="s">
        <v>206</v>
      </c>
      <c r="E17858" s="3" t="s">
        <v>100</v>
      </c>
      <c r="F17858" s="7">
        <v>46091.277352943325</v>
      </c>
      <c r="G17858" s="3" t="s">
        <v>20956</v>
      </c>
    </row>
    <row r="17859">
      <c r="A17859" s="3" t="s">
        <v>33962</v>
      </c>
      <c r="B17859" s="3" t="s">
        <v>14876</v>
      </c>
      <c r="C17859" s="5" t="s">
        <v>206</v>
      </c>
      <c r="D17859" s="3" t="s">
        <v>68</v>
      </c>
      <c r="E17859" s="3" t="s">
        <v>100</v>
      </c>
      <c r="F17859" s="7">
        <v>46091.280825165544</v>
      </c>
      <c r="G17859" s="3" t="s">
        <v>20959</v>
      </c>
    </row>
    <row r="17860">
      <c r="A17860" s="3" t="s">
        <v>33963</v>
      </c>
      <c r="B17860" s="3" t="s">
        <v>14880</v>
      </c>
      <c r="C17860" s="5" t="s">
        <v>45</v>
      </c>
      <c r="D17860" s="3" t="s">
        <v>221</v>
      </c>
      <c r="E17860" s="3" t="s">
        <v>751</v>
      </c>
      <c r="F17860" s="7">
        <v>46091.34158334429</v>
      </c>
      <c r="G17860" s="3" t="s">
        <v>10701</v>
      </c>
    </row>
    <row r="17861">
      <c r="A17861" s="3" t="s">
        <v>33964</v>
      </c>
      <c r="B17861" s="3" t="s">
        <v>14880</v>
      </c>
      <c r="C17861" s="5" t="s">
        <v>221</v>
      </c>
      <c r="D17861" s="3" t="s">
        <v>614</v>
      </c>
      <c r="E17861" s="3" t="s">
        <v>118</v>
      </c>
      <c r="F17861" s="7">
        <v>46091.34505556651</v>
      </c>
      <c r="G17861" s="3" t="s">
        <v>10703</v>
      </c>
    </row>
    <row r="17862">
      <c r="A17862" s="3" t="s">
        <v>33965</v>
      </c>
      <c r="B17862" s="3" t="s">
        <v>14880</v>
      </c>
      <c r="C17862" s="5" t="s">
        <v>614</v>
      </c>
      <c r="D17862" s="3" t="s">
        <v>206</v>
      </c>
      <c r="E17862" s="3" t="s">
        <v>100</v>
      </c>
      <c r="F17862" s="7">
        <v>46091.34852778874</v>
      </c>
      <c r="G17862" s="3" t="s">
        <v>10706</v>
      </c>
    </row>
    <row r="17863">
      <c r="A17863" s="3" t="s">
        <v>33966</v>
      </c>
      <c r="B17863" s="3" t="s">
        <v>14880</v>
      </c>
      <c r="C17863" s="5" t="s">
        <v>206</v>
      </c>
      <c r="D17863" s="3" t="s">
        <v>68</v>
      </c>
      <c r="E17863" s="3" t="s">
        <v>100</v>
      </c>
      <c r="F17863" s="7">
        <v>46091.35200001096</v>
      </c>
      <c r="G17863" s="3" t="s">
        <v>10709</v>
      </c>
    </row>
    <row r="17864">
      <c r="A17864" s="3" t="s">
        <v>33967</v>
      </c>
      <c r="B17864" s="3" t="s">
        <v>14883</v>
      </c>
      <c r="C17864" s="5" t="s">
        <v>45</v>
      </c>
      <c r="D17864" s="3" t="s">
        <v>221</v>
      </c>
      <c r="E17864" s="3" t="s">
        <v>183</v>
      </c>
      <c r="F17864" s="7">
        <v>46091.41275818971</v>
      </c>
      <c r="G17864" s="3" t="s">
        <v>9408</v>
      </c>
    </row>
    <row r="17865">
      <c r="A17865" s="3" t="s">
        <v>33968</v>
      </c>
      <c r="B17865" s="3" t="s">
        <v>14883</v>
      </c>
      <c r="C17865" s="5" t="s">
        <v>221</v>
      </c>
      <c r="D17865" s="3" t="s">
        <v>614</v>
      </c>
      <c r="E17865" s="3" t="s">
        <v>118</v>
      </c>
      <c r="F17865" s="7">
        <v>46091.41623041193</v>
      </c>
      <c r="G17865" s="3" t="s">
        <v>9411</v>
      </c>
    </row>
    <row r="17866">
      <c r="A17866" s="3" t="s">
        <v>33969</v>
      </c>
      <c r="B17866" s="3" t="s">
        <v>14883</v>
      </c>
      <c r="C17866" s="5" t="s">
        <v>614</v>
      </c>
      <c r="D17866" s="3" t="s">
        <v>206</v>
      </c>
      <c r="E17866" s="3" t="s">
        <v>100</v>
      </c>
      <c r="F17866" s="7">
        <v>46091.41970263416</v>
      </c>
      <c r="G17866" s="3" t="s">
        <v>9414</v>
      </c>
    </row>
    <row r="17867">
      <c r="A17867" s="3" t="s">
        <v>33970</v>
      </c>
      <c r="B17867" s="3" t="s">
        <v>14883</v>
      </c>
      <c r="C17867" s="5" t="s">
        <v>206</v>
      </c>
      <c r="D17867" s="3" t="s">
        <v>68</v>
      </c>
      <c r="E17867" s="3" t="s">
        <v>100</v>
      </c>
      <c r="F17867" s="7">
        <v>46091.423174856376</v>
      </c>
      <c r="G17867" s="3" t="s">
        <v>9417</v>
      </c>
    </row>
    <row r="17868">
      <c r="A17868" s="3" t="s">
        <v>33971</v>
      </c>
      <c r="B17868" s="3" t="s">
        <v>14887</v>
      </c>
      <c r="C17868" s="5" t="s">
        <v>45</v>
      </c>
      <c r="D17868" s="3" t="s">
        <v>221</v>
      </c>
      <c r="E17868" s="3" t="s">
        <v>1037</v>
      </c>
      <c r="F17868" s="7">
        <v>46091.483933035124</v>
      </c>
      <c r="G17868" s="3" t="s">
        <v>33972</v>
      </c>
    </row>
    <row r="17869">
      <c r="A17869" s="3" t="s">
        <v>33973</v>
      </c>
      <c r="B17869" s="3" t="s">
        <v>14887</v>
      </c>
      <c r="C17869" s="5" t="s">
        <v>221</v>
      </c>
      <c r="D17869" s="3" t="s">
        <v>614</v>
      </c>
      <c r="E17869" s="3" t="s">
        <v>118</v>
      </c>
      <c r="F17869" s="7">
        <v>46091.48740525734</v>
      </c>
      <c r="G17869" s="3" t="s">
        <v>33974</v>
      </c>
    </row>
    <row r="17870">
      <c r="A17870" s="3" t="s">
        <v>33975</v>
      </c>
      <c r="B17870" s="3" t="s">
        <v>14887</v>
      </c>
      <c r="C17870" s="5" t="s">
        <v>614</v>
      </c>
      <c r="D17870" s="3" t="s">
        <v>206</v>
      </c>
      <c r="E17870" s="3" t="s">
        <v>100</v>
      </c>
      <c r="F17870" s="7">
        <v>46091.49087747957</v>
      </c>
      <c r="G17870" s="3" t="s">
        <v>33976</v>
      </c>
    </row>
    <row r="17871">
      <c r="A17871" s="3" t="s">
        <v>33977</v>
      </c>
      <c r="B17871" s="3" t="s">
        <v>14887</v>
      </c>
      <c r="C17871" s="5" t="s">
        <v>206</v>
      </c>
      <c r="D17871" s="3" t="s">
        <v>68</v>
      </c>
      <c r="E17871" s="3" t="s">
        <v>100</v>
      </c>
      <c r="F17871" s="7">
        <v>46091.49434970179</v>
      </c>
      <c r="G17871" s="3" t="s">
        <v>33978</v>
      </c>
    </row>
    <row r="17872">
      <c r="A17872" s="3" t="s">
        <v>33979</v>
      </c>
      <c r="B17872" s="3" t="s">
        <v>14891</v>
      </c>
      <c r="C17872" s="5" t="s">
        <v>45</v>
      </c>
      <c r="D17872" s="3" t="s">
        <v>221</v>
      </c>
      <c r="E17872" s="3" t="s">
        <v>702</v>
      </c>
      <c r="F17872" s="7">
        <v>46091.55510788054</v>
      </c>
      <c r="G17872" s="3" t="s">
        <v>10712</v>
      </c>
    </row>
    <row r="17873">
      <c r="A17873" s="3" t="s">
        <v>33980</v>
      </c>
      <c r="B17873" s="3" t="s">
        <v>14891</v>
      </c>
      <c r="C17873" s="5" t="s">
        <v>221</v>
      </c>
      <c r="D17873" s="3" t="s">
        <v>614</v>
      </c>
      <c r="E17873" s="3" t="s">
        <v>118</v>
      </c>
      <c r="F17873" s="7">
        <v>46091.558580102756</v>
      </c>
      <c r="G17873" s="3" t="s">
        <v>10714</v>
      </c>
    </row>
    <row r="17874">
      <c r="A17874" s="3" t="s">
        <v>33981</v>
      </c>
      <c r="B17874" s="3" t="s">
        <v>14891</v>
      </c>
      <c r="C17874" s="5" t="s">
        <v>614</v>
      </c>
      <c r="D17874" s="3" t="s">
        <v>206</v>
      </c>
      <c r="E17874" s="3" t="s">
        <v>100</v>
      </c>
      <c r="F17874" s="7">
        <v>46091.56205232498</v>
      </c>
      <c r="G17874" s="3" t="s">
        <v>10717</v>
      </c>
    </row>
    <row r="17875">
      <c r="A17875" s="3" t="s">
        <v>33982</v>
      </c>
      <c r="B17875" s="3" t="s">
        <v>14891</v>
      </c>
      <c r="C17875" s="5" t="s">
        <v>206</v>
      </c>
      <c r="D17875" s="3" t="s">
        <v>68</v>
      </c>
      <c r="E17875" s="3" t="s">
        <v>100</v>
      </c>
      <c r="F17875" s="7">
        <v>46091.5655245472</v>
      </c>
      <c r="G17875" s="3" t="s">
        <v>10721</v>
      </c>
    </row>
    <row r="17876">
      <c r="A17876" s="3" t="s">
        <v>33983</v>
      </c>
      <c r="B17876" s="3" t="s">
        <v>14894</v>
      </c>
      <c r="C17876" s="5" t="s">
        <v>45</v>
      </c>
      <c r="D17876" s="3" t="s">
        <v>221</v>
      </c>
      <c r="E17876" s="3" t="s">
        <v>400</v>
      </c>
      <c r="F17876" s="7">
        <v>46091.626282725956</v>
      </c>
      <c r="G17876" s="3" t="s">
        <v>10769</v>
      </c>
    </row>
    <row r="17877">
      <c r="A17877" s="3" t="s">
        <v>33984</v>
      </c>
      <c r="B17877" s="3" t="s">
        <v>14894</v>
      </c>
      <c r="C17877" s="5" t="s">
        <v>221</v>
      </c>
      <c r="D17877" s="3" t="s">
        <v>614</v>
      </c>
      <c r="E17877" s="3" t="s">
        <v>118</v>
      </c>
      <c r="F17877" s="7">
        <v>46091.629754948175</v>
      </c>
      <c r="G17877" s="3" t="s">
        <v>10772</v>
      </c>
    </row>
    <row r="17878">
      <c r="A17878" s="3" t="s">
        <v>33985</v>
      </c>
      <c r="B17878" s="3" t="s">
        <v>14894</v>
      </c>
      <c r="C17878" s="5" t="s">
        <v>614</v>
      </c>
      <c r="D17878" s="3" t="s">
        <v>206</v>
      </c>
      <c r="E17878" s="3" t="s">
        <v>100</v>
      </c>
      <c r="F17878" s="7">
        <v>46091.6332271704</v>
      </c>
      <c r="G17878" s="3" t="s">
        <v>10775</v>
      </c>
    </row>
    <row r="17879">
      <c r="A17879" s="3" t="s">
        <v>33986</v>
      </c>
      <c r="B17879" s="3" t="s">
        <v>14894</v>
      </c>
      <c r="C17879" s="5" t="s">
        <v>206</v>
      </c>
      <c r="D17879" s="3" t="s">
        <v>68</v>
      </c>
      <c r="E17879" s="3" t="s">
        <v>100</v>
      </c>
      <c r="F17879" s="7">
        <v>46091.63669939262</v>
      </c>
      <c r="G17879" s="3" t="s">
        <v>10778</v>
      </c>
    </row>
    <row r="17880">
      <c r="A17880" s="3" t="s">
        <v>33987</v>
      </c>
      <c r="B17880" s="3" t="s">
        <v>14897</v>
      </c>
      <c r="C17880" s="5" t="s">
        <v>45</v>
      </c>
      <c r="D17880" s="3" t="s">
        <v>221</v>
      </c>
      <c r="E17880" s="3" t="s">
        <v>527</v>
      </c>
      <c r="F17880" s="7">
        <v>46091.69745757137</v>
      </c>
      <c r="G17880" s="3" t="s">
        <v>11756</v>
      </c>
    </row>
    <row r="17881">
      <c r="A17881" s="3" t="s">
        <v>33988</v>
      </c>
      <c r="B17881" s="3" t="s">
        <v>14897</v>
      </c>
      <c r="C17881" s="5" t="s">
        <v>221</v>
      </c>
      <c r="D17881" s="3" t="s">
        <v>614</v>
      </c>
      <c r="E17881" s="3" t="s">
        <v>118</v>
      </c>
      <c r="F17881" s="7">
        <v>46091.70092979359</v>
      </c>
      <c r="G17881" s="3" t="s">
        <v>11759</v>
      </c>
    </row>
    <row r="17882">
      <c r="A17882" s="3" t="s">
        <v>33989</v>
      </c>
      <c r="B17882" s="3" t="s">
        <v>14897</v>
      </c>
      <c r="C17882" s="5" t="s">
        <v>614</v>
      </c>
      <c r="D17882" s="3" t="s">
        <v>206</v>
      </c>
      <c r="E17882" s="3" t="s">
        <v>100</v>
      </c>
      <c r="F17882" s="7">
        <v>46091.704402015814</v>
      </c>
      <c r="G17882" s="3" t="s">
        <v>11762</v>
      </c>
    </row>
    <row r="17883">
      <c r="A17883" s="3" t="s">
        <v>33990</v>
      </c>
      <c r="B17883" s="3" t="s">
        <v>14897</v>
      </c>
      <c r="C17883" s="5" t="s">
        <v>206</v>
      </c>
      <c r="D17883" s="3" t="s">
        <v>68</v>
      </c>
      <c r="E17883" s="3" t="s">
        <v>100</v>
      </c>
      <c r="F17883" s="7">
        <v>46091.70787423803</v>
      </c>
      <c r="G17883" s="3" t="s">
        <v>11765</v>
      </c>
    </row>
    <row r="17884">
      <c r="A17884" s="3" t="s">
        <v>33991</v>
      </c>
      <c r="B17884" s="3" t="s">
        <v>14901</v>
      </c>
      <c r="C17884" s="5" t="s">
        <v>45</v>
      </c>
      <c r="D17884" s="3" t="s">
        <v>221</v>
      </c>
      <c r="E17884" s="3" t="s">
        <v>694</v>
      </c>
      <c r="F17884" s="7">
        <v>46091.76863241678</v>
      </c>
      <c r="G17884" s="3" t="s">
        <v>16178</v>
      </c>
    </row>
    <row r="17885">
      <c r="A17885" s="3" t="s">
        <v>33992</v>
      </c>
      <c r="B17885" s="3" t="s">
        <v>14901</v>
      </c>
      <c r="C17885" s="5" t="s">
        <v>221</v>
      </c>
      <c r="D17885" s="3" t="s">
        <v>614</v>
      </c>
      <c r="E17885" s="3" t="s">
        <v>118</v>
      </c>
      <c r="F17885" s="7">
        <v>46091.772104639</v>
      </c>
      <c r="G17885" s="3" t="s">
        <v>16181</v>
      </c>
    </row>
    <row r="17886">
      <c r="A17886" s="3" t="s">
        <v>33993</v>
      </c>
      <c r="B17886" s="3" t="s">
        <v>14901</v>
      </c>
      <c r="C17886" s="5" t="s">
        <v>614</v>
      </c>
      <c r="D17886" s="3" t="s">
        <v>206</v>
      </c>
      <c r="E17886" s="3" t="s">
        <v>100</v>
      </c>
      <c r="F17886" s="7">
        <v>46091.775576861226</v>
      </c>
      <c r="G17886" s="3" t="s">
        <v>16184</v>
      </c>
    </row>
    <row r="17887">
      <c r="A17887" s="3" t="s">
        <v>33994</v>
      </c>
      <c r="B17887" s="3" t="s">
        <v>14901</v>
      </c>
      <c r="C17887" s="5" t="s">
        <v>206</v>
      </c>
      <c r="D17887" s="3" t="s">
        <v>68</v>
      </c>
      <c r="E17887" s="3" t="s">
        <v>100</v>
      </c>
      <c r="F17887" s="7">
        <v>46091.779049083445</v>
      </c>
      <c r="G17887" s="3" t="s">
        <v>16186</v>
      </c>
    </row>
    <row r="17888">
      <c r="A17888" s="3" t="s">
        <v>33995</v>
      </c>
      <c r="B17888" s="3" t="s">
        <v>14905</v>
      </c>
      <c r="C17888" s="5" t="s">
        <v>45</v>
      </c>
      <c r="D17888" s="3" t="s">
        <v>221</v>
      </c>
      <c r="E17888" s="3" t="s">
        <v>593</v>
      </c>
      <c r="F17888" s="7">
        <v>46091.8398072622</v>
      </c>
      <c r="G17888" s="3" t="s">
        <v>10793</v>
      </c>
    </row>
    <row r="17889">
      <c r="A17889" s="3" t="s">
        <v>33996</v>
      </c>
      <c r="B17889" s="3" t="s">
        <v>14905</v>
      </c>
      <c r="C17889" s="5" t="s">
        <v>221</v>
      </c>
      <c r="D17889" s="3" t="s">
        <v>614</v>
      </c>
      <c r="E17889" s="3" t="s">
        <v>118</v>
      </c>
      <c r="F17889" s="7">
        <v>46091.84327948442</v>
      </c>
      <c r="G17889" s="3" t="s">
        <v>10796</v>
      </c>
    </row>
    <row r="17890">
      <c r="A17890" s="3" t="s">
        <v>33997</v>
      </c>
      <c r="B17890" s="3" t="s">
        <v>14905</v>
      </c>
      <c r="C17890" s="5" t="s">
        <v>614</v>
      </c>
      <c r="D17890" s="3" t="s">
        <v>206</v>
      </c>
      <c r="E17890" s="3" t="s">
        <v>100</v>
      </c>
      <c r="F17890" s="7">
        <v>46091.846751706646</v>
      </c>
      <c r="G17890" s="3" t="s">
        <v>10799</v>
      </c>
    </row>
    <row r="17891">
      <c r="A17891" s="3" t="s">
        <v>33998</v>
      </c>
      <c r="B17891" s="3" t="s">
        <v>14905</v>
      </c>
      <c r="C17891" s="5" t="s">
        <v>206</v>
      </c>
      <c r="D17891" s="3" t="s">
        <v>68</v>
      </c>
      <c r="E17891" s="3" t="s">
        <v>100</v>
      </c>
      <c r="F17891" s="7">
        <v>46091.850223928865</v>
      </c>
      <c r="G17891" s="3" t="s">
        <v>10802</v>
      </c>
    </row>
    <row r="17892">
      <c r="A17892" s="3" t="s">
        <v>33999</v>
      </c>
      <c r="B17892" s="3" t="s">
        <v>14908</v>
      </c>
      <c r="C17892" s="5" t="s">
        <v>45</v>
      </c>
      <c r="D17892" s="3" t="s">
        <v>221</v>
      </c>
      <c r="E17892" s="3" t="s">
        <v>883</v>
      </c>
      <c r="F17892" s="7">
        <v>46091.91098210762</v>
      </c>
      <c r="G17892" s="3" t="s">
        <v>13084</v>
      </c>
    </row>
    <row r="17893">
      <c r="A17893" s="3" t="s">
        <v>34000</v>
      </c>
      <c r="B17893" s="3" t="s">
        <v>14908</v>
      </c>
      <c r="C17893" s="5" t="s">
        <v>221</v>
      </c>
      <c r="D17893" s="3" t="s">
        <v>614</v>
      </c>
      <c r="E17893" s="3" t="s">
        <v>118</v>
      </c>
      <c r="F17893" s="7">
        <v>46091.91445432984</v>
      </c>
      <c r="G17893" s="3" t="s">
        <v>13088</v>
      </c>
    </row>
    <row r="17894">
      <c r="A17894" s="3" t="s">
        <v>34001</v>
      </c>
      <c r="B17894" s="3" t="s">
        <v>14908</v>
      </c>
      <c r="C17894" s="5" t="s">
        <v>614</v>
      </c>
      <c r="D17894" s="3" t="s">
        <v>206</v>
      </c>
      <c r="E17894" s="3" t="s">
        <v>100</v>
      </c>
      <c r="F17894" s="7">
        <v>46091.917926552065</v>
      </c>
      <c r="G17894" s="3" t="s">
        <v>13091</v>
      </c>
    </row>
    <row r="17895">
      <c r="A17895" s="3" t="s">
        <v>34002</v>
      </c>
      <c r="B17895" s="3" t="s">
        <v>14908</v>
      </c>
      <c r="C17895" s="5" t="s">
        <v>206</v>
      </c>
      <c r="D17895" s="3" t="s">
        <v>68</v>
      </c>
      <c r="E17895" s="3" t="s">
        <v>100</v>
      </c>
      <c r="F17895" s="7">
        <v>46091.921398774284</v>
      </c>
      <c r="G17895" s="3" t="s">
        <v>13094</v>
      </c>
    </row>
    <row r="17896">
      <c r="A17896" s="3" t="s">
        <v>34003</v>
      </c>
      <c r="B17896" s="3" t="s">
        <v>14911</v>
      </c>
      <c r="C17896" s="5" t="s">
        <v>45</v>
      </c>
      <c r="D17896" s="3" t="s">
        <v>221</v>
      </c>
      <c r="E17896" s="3" t="s">
        <v>629</v>
      </c>
      <c r="F17896" s="7">
        <v>46091.982156953025</v>
      </c>
      <c r="G17896" s="3" t="s">
        <v>11392</v>
      </c>
    </row>
    <row r="17897">
      <c r="A17897" s="3" t="s">
        <v>34004</v>
      </c>
      <c r="B17897" s="3" t="s">
        <v>14911</v>
      </c>
      <c r="C17897" s="5" t="s">
        <v>221</v>
      </c>
      <c r="D17897" s="3" t="s">
        <v>614</v>
      </c>
      <c r="E17897" s="3" t="s">
        <v>118</v>
      </c>
      <c r="F17897" s="7">
        <v>46091.985629175244</v>
      </c>
      <c r="G17897" s="3" t="s">
        <v>11394</v>
      </c>
    </row>
    <row r="17898">
      <c r="A17898" s="3" t="s">
        <v>34005</v>
      </c>
      <c r="B17898" s="3" t="s">
        <v>14911</v>
      </c>
      <c r="C17898" s="5" t="s">
        <v>614</v>
      </c>
      <c r="D17898" s="3" t="s">
        <v>206</v>
      </c>
      <c r="E17898" s="3" t="s">
        <v>100</v>
      </c>
      <c r="F17898" s="7">
        <v>46091.98910139747</v>
      </c>
      <c r="G17898" s="3" t="s">
        <v>11397</v>
      </c>
    </row>
    <row r="17899">
      <c r="A17899" s="3" t="s">
        <v>34006</v>
      </c>
      <c r="B17899" s="3" t="s">
        <v>14911</v>
      </c>
      <c r="C17899" s="5" t="s">
        <v>206</v>
      </c>
      <c r="D17899" s="3" t="s">
        <v>68</v>
      </c>
      <c r="E17899" s="3" t="s">
        <v>100</v>
      </c>
      <c r="F17899" s="7">
        <v>46091.99257361969</v>
      </c>
      <c r="G17899" s="3" t="s">
        <v>11400</v>
      </c>
    </row>
    <row r="17900">
      <c r="A17900" s="3" t="s">
        <v>34007</v>
      </c>
      <c r="B17900" s="3" t="s">
        <v>14915</v>
      </c>
      <c r="C17900" s="5" t="s">
        <v>45</v>
      </c>
      <c r="D17900" s="3" t="s">
        <v>221</v>
      </c>
      <c r="E17900" s="3" t="s">
        <v>313</v>
      </c>
      <c r="F17900" s="7">
        <v>46092.053331798445</v>
      </c>
      <c r="G17900" s="3" t="s">
        <v>22722</v>
      </c>
    </row>
    <row r="17901">
      <c r="A17901" s="3" t="s">
        <v>34008</v>
      </c>
      <c r="B17901" s="3" t="s">
        <v>14915</v>
      </c>
      <c r="C17901" s="5" t="s">
        <v>221</v>
      </c>
      <c r="D17901" s="3" t="s">
        <v>614</v>
      </c>
      <c r="E17901" s="3" t="s">
        <v>118</v>
      </c>
      <c r="F17901" s="7">
        <v>46092.05680402066</v>
      </c>
      <c r="G17901" s="3" t="s">
        <v>22724</v>
      </c>
    </row>
    <row r="17902">
      <c r="A17902" s="3" t="s">
        <v>34009</v>
      </c>
      <c r="B17902" s="3" t="s">
        <v>14915</v>
      </c>
      <c r="C17902" s="5" t="s">
        <v>614</v>
      </c>
      <c r="D17902" s="3" t="s">
        <v>206</v>
      </c>
      <c r="E17902" s="3" t="s">
        <v>100</v>
      </c>
      <c r="F17902" s="7">
        <v>46092.06027624289</v>
      </c>
      <c r="G17902" s="3" t="s">
        <v>22727</v>
      </c>
    </row>
    <row r="17903">
      <c r="A17903" s="3" t="s">
        <v>34010</v>
      </c>
      <c r="B17903" s="3" t="s">
        <v>14915</v>
      </c>
      <c r="C17903" s="5" t="s">
        <v>206</v>
      </c>
      <c r="D17903" s="3" t="s">
        <v>68</v>
      </c>
      <c r="E17903" s="3" t="s">
        <v>100</v>
      </c>
      <c r="F17903" s="7">
        <v>46092.06374846511</v>
      </c>
      <c r="G17903" s="3" t="s">
        <v>22730</v>
      </c>
    </row>
    <row r="17904">
      <c r="A17904" s="3" t="s">
        <v>34011</v>
      </c>
      <c r="B17904" s="3" t="s">
        <v>14919</v>
      </c>
      <c r="C17904" s="5" t="s">
        <v>45</v>
      </c>
      <c r="D17904" s="3" t="s">
        <v>221</v>
      </c>
      <c r="E17904" s="3" t="s">
        <v>536</v>
      </c>
      <c r="F17904" s="7">
        <v>46092.124506643864</v>
      </c>
      <c r="G17904" s="3" t="s">
        <v>34012</v>
      </c>
    </row>
    <row r="17905">
      <c r="A17905" s="3" t="s">
        <v>34013</v>
      </c>
      <c r="B17905" s="3" t="s">
        <v>14919</v>
      </c>
      <c r="C17905" s="5" t="s">
        <v>221</v>
      </c>
      <c r="D17905" s="3" t="s">
        <v>614</v>
      </c>
      <c r="E17905" s="3" t="s">
        <v>118</v>
      </c>
      <c r="F17905" s="7">
        <v>46092.12797886608</v>
      </c>
      <c r="G17905" s="3" t="s">
        <v>34014</v>
      </c>
    </row>
    <row r="17906">
      <c r="A17906" s="3" t="s">
        <v>34015</v>
      </c>
      <c r="B17906" s="3" t="s">
        <v>14919</v>
      </c>
      <c r="C17906" s="5" t="s">
        <v>614</v>
      </c>
      <c r="D17906" s="3" t="s">
        <v>206</v>
      </c>
      <c r="E17906" s="3" t="s">
        <v>100</v>
      </c>
      <c r="F17906" s="7">
        <v>46092.13145108831</v>
      </c>
      <c r="G17906" s="3" t="s">
        <v>34016</v>
      </c>
    </row>
    <row r="17907">
      <c r="A17907" s="3" t="s">
        <v>34017</v>
      </c>
      <c r="B17907" s="3" t="s">
        <v>14919</v>
      </c>
      <c r="C17907" s="5" t="s">
        <v>206</v>
      </c>
      <c r="D17907" s="3" t="s">
        <v>68</v>
      </c>
      <c r="E17907" s="3" t="s">
        <v>100</v>
      </c>
      <c r="F17907" s="7">
        <v>46092.13492331053</v>
      </c>
      <c r="G17907" s="3" t="s">
        <v>34018</v>
      </c>
    </row>
    <row r="17908">
      <c r="A17908" s="3" t="s">
        <v>34019</v>
      </c>
      <c r="B17908" s="3" t="s">
        <v>14922</v>
      </c>
      <c r="C17908" s="5" t="s">
        <v>45</v>
      </c>
      <c r="D17908" s="3" t="s">
        <v>221</v>
      </c>
      <c r="E17908" s="3" t="s">
        <v>953</v>
      </c>
      <c r="F17908" s="7">
        <v>46092.19568148928</v>
      </c>
      <c r="G17908" s="3" t="s">
        <v>25817</v>
      </c>
    </row>
    <row r="17909">
      <c r="A17909" s="3" t="s">
        <v>34020</v>
      </c>
      <c r="B17909" s="3" t="s">
        <v>14922</v>
      </c>
      <c r="C17909" s="5" t="s">
        <v>221</v>
      </c>
      <c r="D17909" s="3" t="s">
        <v>614</v>
      </c>
      <c r="E17909" s="3" t="s">
        <v>118</v>
      </c>
      <c r="F17909" s="7">
        <v>46092.199153711495</v>
      </c>
      <c r="G17909" s="3" t="s">
        <v>25819</v>
      </c>
    </row>
    <row r="17910">
      <c r="A17910" s="3" t="s">
        <v>34021</v>
      </c>
      <c r="B17910" s="3" t="s">
        <v>14922</v>
      </c>
      <c r="C17910" s="5" t="s">
        <v>614</v>
      </c>
      <c r="D17910" s="3" t="s">
        <v>206</v>
      </c>
      <c r="E17910" s="3" t="s">
        <v>100</v>
      </c>
      <c r="F17910" s="7">
        <v>46092.20262593372</v>
      </c>
      <c r="G17910" s="3" t="s">
        <v>25821</v>
      </c>
    </row>
    <row r="17911">
      <c r="A17911" s="3" t="s">
        <v>34022</v>
      </c>
      <c r="B17911" s="3" t="s">
        <v>14922</v>
      </c>
      <c r="C17911" s="5" t="s">
        <v>206</v>
      </c>
      <c r="D17911" s="3" t="s">
        <v>68</v>
      </c>
      <c r="E17911" s="3" t="s">
        <v>100</v>
      </c>
      <c r="F17911" s="7">
        <v>46092.20609815594</v>
      </c>
      <c r="G17911" s="3" t="s">
        <v>25823</v>
      </c>
    </row>
    <row r="17912">
      <c r="A17912" s="3" t="s">
        <v>34023</v>
      </c>
      <c r="B17912" s="3" t="s">
        <v>14925</v>
      </c>
      <c r="C17912" s="5" t="s">
        <v>45</v>
      </c>
      <c r="D17912" s="3" t="s">
        <v>221</v>
      </c>
      <c r="E17912" s="3" t="s">
        <v>903</v>
      </c>
      <c r="F17912" s="7">
        <v>46092.26685633469</v>
      </c>
      <c r="G17912" s="3" t="s">
        <v>10833</v>
      </c>
    </row>
    <row r="17913">
      <c r="A17913" s="3" t="s">
        <v>34024</v>
      </c>
      <c r="B17913" s="3" t="s">
        <v>14925</v>
      </c>
      <c r="C17913" s="5" t="s">
        <v>221</v>
      </c>
      <c r="D17913" s="3" t="s">
        <v>614</v>
      </c>
      <c r="E17913" s="3" t="s">
        <v>118</v>
      </c>
      <c r="F17913" s="7">
        <v>46092.27032855691</v>
      </c>
      <c r="G17913" s="3" t="s">
        <v>10836</v>
      </c>
    </row>
    <row r="17914">
      <c r="A17914" s="3" t="s">
        <v>34025</v>
      </c>
      <c r="B17914" s="3" t="s">
        <v>14925</v>
      </c>
      <c r="C17914" s="5" t="s">
        <v>614</v>
      </c>
      <c r="D17914" s="3" t="s">
        <v>206</v>
      </c>
      <c r="E17914" s="3" t="s">
        <v>100</v>
      </c>
      <c r="F17914" s="7">
        <v>46092.273800779134</v>
      </c>
      <c r="G17914" s="3" t="s">
        <v>10838</v>
      </c>
    </row>
    <row r="17915">
      <c r="A17915" s="3" t="s">
        <v>34026</v>
      </c>
      <c r="B17915" s="3" t="s">
        <v>14925</v>
      </c>
      <c r="C17915" s="5" t="s">
        <v>206</v>
      </c>
      <c r="D17915" s="3" t="s">
        <v>68</v>
      </c>
      <c r="E17915" s="3" t="s">
        <v>100</v>
      </c>
      <c r="F17915" s="7">
        <v>46092.27727300135</v>
      </c>
      <c r="G17915" s="3" t="s">
        <v>10841</v>
      </c>
    </row>
    <row r="17916">
      <c r="A17916" s="3" t="s">
        <v>34027</v>
      </c>
      <c r="B17916" s="3" t="s">
        <v>14930</v>
      </c>
      <c r="C17916" s="5" t="s">
        <v>45</v>
      </c>
      <c r="D17916" s="3" t="s">
        <v>221</v>
      </c>
      <c r="E17916" s="3" t="s">
        <v>987</v>
      </c>
      <c r="F17916" s="7">
        <v>46092.33803118011</v>
      </c>
      <c r="G17916" s="3" t="s">
        <v>5810</v>
      </c>
    </row>
    <row r="17917">
      <c r="A17917" s="3" t="s">
        <v>34028</v>
      </c>
      <c r="B17917" s="3" t="s">
        <v>14930</v>
      </c>
      <c r="C17917" s="5" t="s">
        <v>221</v>
      </c>
      <c r="D17917" s="3" t="s">
        <v>614</v>
      </c>
      <c r="E17917" s="3" t="s">
        <v>118</v>
      </c>
      <c r="F17917" s="7">
        <v>46092.34150340233</v>
      </c>
      <c r="G17917" s="3" t="s">
        <v>5813</v>
      </c>
    </row>
    <row r="17918">
      <c r="A17918" s="3" t="s">
        <v>34029</v>
      </c>
      <c r="B17918" s="3" t="s">
        <v>14930</v>
      </c>
      <c r="C17918" s="5" t="s">
        <v>614</v>
      </c>
      <c r="D17918" s="3" t="s">
        <v>206</v>
      </c>
      <c r="E17918" s="3" t="s">
        <v>100</v>
      </c>
      <c r="F17918" s="7">
        <v>46092.34497562455</v>
      </c>
      <c r="G17918" s="3" t="s">
        <v>5815</v>
      </c>
    </row>
    <row r="17919">
      <c r="A17919" s="3" t="s">
        <v>34030</v>
      </c>
      <c r="B17919" s="3" t="s">
        <v>14930</v>
      </c>
      <c r="C17919" s="5" t="s">
        <v>206</v>
      </c>
      <c r="D17919" s="3" t="s">
        <v>68</v>
      </c>
      <c r="E17919" s="3" t="s">
        <v>100</v>
      </c>
      <c r="F17919" s="7">
        <v>46092.34844784677</v>
      </c>
      <c r="G17919" s="3" t="s">
        <v>5818</v>
      </c>
    </row>
    <row r="17920">
      <c r="A17920" s="3" t="s">
        <v>34031</v>
      </c>
      <c r="B17920" s="3" t="s">
        <v>14932</v>
      </c>
      <c r="C17920" s="5" t="s">
        <v>45</v>
      </c>
      <c r="D17920" s="3" t="s">
        <v>221</v>
      </c>
      <c r="E17920" s="3" t="s">
        <v>359</v>
      </c>
      <c r="F17920" s="7">
        <v>46092.40920602552</v>
      </c>
      <c r="G17920" s="3" t="s">
        <v>22403</v>
      </c>
    </row>
    <row r="17921">
      <c r="A17921" s="3" t="s">
        <v>34032</v>
      </c>
      <c r="B17921" s="3" t="s">
        <v>14932</v>
      </c>
      <c r="C17921" s="5" t="s">
        <v>221</v>
      </c>
      <c r="D17921" s="3" t="s">
        <v>614</v>
      </c>
      <c r="E17921" s="3" t="s">
        <v>118</v>
      </c>
      <c r="F17921" s="7">
        <v>46092.41267824774</v>
      </c>
      <c r="G17921" s="3" t="s">
        <v>22406</v>
      </c>
    </row>
    <row r="17922">
      <c r="A17922" s="3" t="s">
        <v>34033</v>
      </c>
      <c r="B17922" s="3" t="s">
        <v>14932</v>
      </c>
      <c r="C17922" s="5" t="s">
        <v>614</v>
      </c>
      <c r="D17922" s="3" t="s">
        <v>206</v>
      </c>
      <c r="E17922" s="3" t="s">
        <v>100</v>
      </c>
      <c r="F17922" s="7">
        <v>46092.416150469966</v>
      </c>
      <c r="G17922" s="3" t="s">
        <v>22409</v>
      </c>
    </row>
    <row r="17923">
      <c r="A17923" s="3" t="s">
        <v>34034</v>
      </c>
      <c r="B17923" s="3" t="s">
        <v>14932</v>
      </c>
      <c r="C17923" s="5" t="s">
        <v>206</v>
      </c>
      <c r="D17923" s="3" t="s">
        <v>68</v>
      </c>
      <c r="E17923" s="3" t="s">
        <v>100</v>
      </c>
      <c r="F17923" s="7">
        <v>46092.419622692185</v>
      </c>
      <c r="G17923" s="3" t="s">
        <v>22412</v>
      </c>
    </row>
    <row r="17924">
      <c r="A17924" s="3" t="s">
        <v>34035</v>
      </c>
      <c r="B17924" s="3" t="s">
        <v>14934</v>
      </c>
      <c r="C17924" s="5" t="s">
        <v>45</v>
      </c>
      <c r="D17924" s="3" t="s">
        <v>221</v>
      </c>
      <c r="E17924" s="3" t="s">
        <v>348</v>
      </c>
      <c r="F17924" s="7">
        <v>46092.48038087093</v>
      </c>
      <c r="G17924" s="3" t="s">
        <v>10874</v>
      </c>
    </row>
    <row r="17925">
      <c r="A17925" s="3" t="s">
        <v>34036</v>
      </c>
      <c r="B17925" s="3" t="s">
        <v>14934</v>
      </c>
      <c r="C17925" s="5" t="s">
        <v>221</v>
      </c>
      <c r="D17925" s="3" t="s">
        <v>614</v>
      </c>
      <c r="E17925" s="3" t="s">
        <v>118</v>
      </c>
      <c r="F17925" s="7">
        <v>46092.48385309315</v>
      </c>
      <c r="G17925" s="3" t="s">
        <v>10877</v>
      </c>
    </row>
    <row r="17926">
      <c r="A17926" s="3" t="s">
        <v>34037</v>
      </c>
      <c r="B17926" s="3" t="s">
        <v>14934</v>
      </c>
      <c r="C17926" s="5" t="s">
        <v>614</v>
      </c>
      <c r="D17926" s="3" t="s">
        <v>206</v>
      </c>
      <c r="E17926" s="3" t="s">
        <v>100</v>
      </c>
      <c r="F17926" s="7">
        <v>46092.48732531538</v>
      </c>
      <c r="G17926" s="3" t="s">
        <v>10881</v>
      </c>
    </row>
    <row r="17927">
      <c r="A17927" s="3" t="s">
        <v>34038</v>
      </c>
      <c r="B17927" s="3" t="s">
        <v>14934</v>
      </c>
      <c r="C17927" s="5" t="s">
        <v>206</v>
      </c>
      <c r="D17927" s="3" t="s">
        <v>68</v>
      </c>
      <c r="E17927" s="3" t="s">
        <v>100</v>
      </c>
      <c r="F17927" s="7">
        <v>46092.4907975376</v>
      </c>
      <c r="G17927" s="3" t="s">
        <v>10884</v>
      </c>
    </row>
    <row r="17928">
      <c r="A17928" s="3" t="s">
        <v>34039</v>
      </c>
      <c r="B17928" s="3" t="s">
        <v>14936</v>
      </c>
      <c r="C17928" s="5" t="s">
        <v>45</v>
      </c>
      <c r="D17928" s="3" t="s">
        <v>221</v>
      </c>
      <c r="E17928" s="3" t="s">
        <v>493</v>
      </c>
      <c r="F17928" s="7">
        <v>46092.55155571635</v>
      </c>
      <c r="G17928" s="3" t="s">
        <v>27090</v>
      </c>
    </row>
    <row r="17929">
      <c r="A17929" s="3" t="s">
        <v>34040</v>
      </c>
      <c r="B17929" s="3" t="s">
        <v>14936</v>
      </c>
      <c r="C17929" s="5" t="s">
        <v>221</v>
      </c>
      <c r="D17929" s="3" t="s">
        <v>614</v>
      </c>
      <c r="E17929" s="3" t="s">
        <v>118</v>
      </c>
      <c r="F17929" s="7">
        <v>46092.55502793857</v>
      </c>
      <c r="G17929" s="3" t="s">
        <v>27092</v>
      </c>
    </row>
    <row r="17930">
      <c r="A17930" s="3" t="s">
        <v>34041</v>
      </c>
      <c r="B17930" s="3" t="s">
        <v>14936</v>
      </c>
      <c r="C17930" s="5" t="s">
        <v>614</v>
      </c>
      <c r="D17930" s="3" t="s">
        <v>206</v>
      </c>
      <c r="E17930" s="3" t="s">
        <v>100</v>
      </c>
      <c r="F17930" s="7">
        <v>46092.5585001608</v>
      </c>
      <c r="G17930" s="3" t="s">
        <v>27094</v>
      </c>
    </row>
    <row r="17931">
      <c r="A17931" s="3" t="s">
        <v>34042</v>
      </c>
      <c r="B17931" s="3" t="s">
        <v>14936</v>
      </c>
      <c r="C17931" s="5" t="s">
        <v>206</v>
      </c>
      <c r="D17931" s="3" t="s">
        <v>68</v>
      </c>
      <c r="E17931" s="3" t="s">
        <v>100</v>
      </c>
      <c r="F17931" s="7">
        <v>46092.56197238302</v>
      </c>
      <c r="G17931" s="3" t="s">
        <v>27096</v>
      </c>
    </row>
    <row r="17932">
      <c r="A17932" s="3" t="s">
        <v>34043</v>
      </c>
      <c r="B17932" s="3" t="s">
        <v>14939</v>
      </c>
      <c r="C17932" s="5" t="s">
        <v>45</v>
      </c>
      <c r="D17932" s="3" t="s">
        <v>221</v>
      </c>
      <c r="E17932" s="3" t="s">
        <v>535</v>
      </c>
      <c r="F17932" s="7">
        <v>46092.62273056177</v>
      </c>
      <c r="G17932" s="3" t="s">
        <v>13014</v>
      </c>
    </row>
    <row r="17933">
      <c r="A17933" s="3" t="s">
        <v>34044</v>
      </c>
      <c r="B17933" s="3" t="s">
        <v>14939</v>
      </c>
      <c r="C17933" s="5" t="s">
        <v>221</v>
      </c>
      <c r="D17933" s="3" t="s">
        <v>614</v>
      </c>
      <c r="E17933" s="3" t="s">
        <v>118</v>
      </c>
      <c r="F17933" s="7">
        <v>46092.62620278399</v>
      </c>
      <c r="G17933" s="3" t="s">
        <v>13017</v>
      </c>
    </row>
    <row r="17934">
      <c r="A17934" s="3" t="s">
        <v>34045</v>
      </c>
      <c r="B17934" s="3" t="s">
        <v>14939</v>
      </c>
      <c r="C17934" s="5" t="s">
        <v>614</v>
      </c>
      <c r="D17934" s="3" t="s">
        <v>206</v>
      </c>
      <c r="E17934" s="3" t="s">
        <v>100</v>
      </c>
      <c r="F17934" s="7">
        <v>46092.62967500622</v>
      </c>
      <c r="G17934" s="3" t="s">
        <v>13020</v>
      </c>
    </row>
    <row r="17935">
      <c r="A17935" s="3" t="s">
        <v>34046</v>
      </c>
      <c r="B17935" s="3" t="s">
        <v>14939</v>
      </c>
      <c r="C17935" s="5" t="s">
        <v>206</v>
      </c>
      <c r="D17935" s="3" t="s">
        <v>68</v>
      </c>
      <c r="E17935" s="3" t="s">
        <v>100</v>
      </c>
      <c r="F17935" s="7">
        <v>46092.63314722844</v>
      </c>
      <c r="G17935" s="3" t="s">
        <v>13024</v>
      </c>
    </row>
    <row r="17936">
      <c r="A17936" s="3" t="s">
        <v>34047</v>
      </c>
      <c r="B17936" s="3" t="s">
        <v>14943</v>
      </c>
      <c r="C17936" s="5" t="s">
        <v>45</v>
      </c>
      <c r="D17936" s="3" t="s">
        <v>221</v>
      </c>
      <c r="E17936" s="3" t="s">
        <v>1037</v>
      </c>
      <c r="F17936" s="7">
        <v>46092.69390540718</v>
      </c>
      <c r="G17936" s="3" t="s">
        <v>10513</v>
      </c>
    </row>
    <row r="17937">
      <c r="A17937" s="3" t="s">
        <v>34048</v>
      </c>
      <c r="B17937" s="3" t="s">
        <v>14943</v>
      </c>
      <c r="C17937" s="5" t="s">
        <v>221</v>
      </c>
      <c r="D17937" s="3" t="s">
        <v>614</v>
      </c>
      <c r="E17937" s="3" t="s">
        <v>118</v>
      </c>
      <c r="F17937" s="7">
        <v>46092.697377629396</v>
      </c>
      <c r="G17937" s="3" t="s">
        <v>10516</v>
      </c>
    </row>
    <row r="17938">
      <c r="A17938" s="3" t="s">
        <v>34049</v>
      </c>
      <c r="B17938" s="3" t="s">
        <v>14943</v>
      </c>
      <c r="C17938" s="5" t="s">
        <v>614</v>
      </c>
      <c r="D17938" s="3" t="s">
        <v>206</v>
      </c>
      <c r="E17938" s="3" t="s">
        <v>100</v>
      </c>
      <c r="F17938" s="7">
        <v>46092.70084985162</v>
      </c>
      <c r="G17938" s="3" t="s">
        <v>10519</v>
      </c>
    </row>
    <row r="17939">
      <c r="A17939" s="3" t="s">
        <v>34050</v>
      </c>
      <c r="B17939" s="3" t="s">
        <v>14943</v>
      </c>
      <c r="C17939" s="5" t="s">
        <v>206</v>
      </c>
      <c r="D17939" s="3" t="s">
        <v>68</v>
      </c>
      <c r="E17939" s="3" t="s">
        <v>100</v>
      </c>
      <c r="F17939" s="7">
        <v>46092.70432207384</v>
      </c>
      <c r="G17939" s="3" t="s">
        <v>10522</v>
      </c>
    </row>
    <row r="17940">
      <c r="A17940" s="3" t="s">
        <v>34051</v>
      </c>
      <c r="B17940" s="3" t="s">
        <v>14946</v>
      </c>
      <c r="C17940" s="5" t="s">
        <v>45</v>
      </c>
      <c r="D17940" s="3" t="s">
        <v>221</v>
      </c>
      <c r="E17940" s="3" t="s">
        <v>512</v>
      </c>
      <c r="F17940" s="7">
        <v>46092.7650802526</v>
      </c>
      <c r="G17940" s="3" t="s">
        <v>10898</v>
      </c>
    </row>
    <row r="17941">
      <c r="A17941" s="3" t="s">
        <v>34052</v>
      </c>
      <c r="B17941" s="3" t="s">
        <v>14946</v>
      </c>
      <c r="C17941" s="5" t="s">
        <v>221</v>
      </c>
      <c r="D17941" s="3" t="s">
        <v>614</v>
      </c>
      <c r="E17941" s="3" t="s">
        <v>118</v>
      </c>
      <c r="F17941" s="7">
        <v>46092.768552474816</v>
      </c>
      <c r="G17941" s="3" t="s">
        <v>10902</v>
      </c>
    </row>
    <row r="17942">
      <c r="A17942" s="3" t="s">
        <v>34053</v>
      </c>
      <c r="B17942" s="3" t="s">
        <v>14946</v>
      </c>
      <c r="C17942" s="5" t="s">
        <v>614</v>
      </c>
      <c r="D17942" s="3" t="s">
        <v>206</v>
      </c>
      <c r="E17942" s="3" t="s">
        <v>100</v>
      </c>
      <c r="F17942" s="7">
        <v>46092.77202469704</v>
      </c>
      <c r="G17942" s="3" t="s">
        <v>10904</v>
      </c>
    </row>
    <row r="17943">
      <c r="A17943" s="3" t="s">
        <v>34054</v>
      </c>
      <c r="B17943" s="3" t="s">
        <v>14946</v>
      </c>
      <c r="C17943" s="5" t="s">
        <v>206</v>
      </c>
      <c r="D17943" s="3" t="s">
        <v>68</v>
      </c>
      <c r="E17943" s="3" t="s">
        <v>100</v>
      </c>
      <c r="F17943" s="7">
        <v>46092.77549691926</v>
      </c>
      <c r="G17943" s="3" t="s">
        <v>10907</v>
      </c>
    </row>
    <row r="17944">
      <c r="A17944" s="3" t="s">
        <v>34055</v>
      </c>
      <c r="B17944" s="3" t="s">
        <v>14949</v>
      </c>
      <c r="C17944" s="5" t="s">
        <v>45</v>
      </c>
      <c r="D17944" s="3" t="s">
        <v>221</v>
      </c>
      <c r="E17944" s="3" t="s">
        <v>819</v>
      </c>
      <c r="F17944" s="7">
        <v>46092.83625509801</v>
      </c>
      <c r="G17944" s="3" t="s">
        <v>2770</v>
      </c>
    </row>
    <row r="17945">
      <c r="A17945" s="3" t="s">
        <v>34056</v>
      </c>
      <c r="B17945" s="3" t="s">
        <v>14949</v>
      </c>
      <c r="C17945" s="5" t="s">
        <v>221</v>
      </c>
      <c r="D17945" s="3" t="s">
        <v>195</v>
      </c>
      <c r="E17945" s="3" t="s">
        <v>819</v>
      </c>
      <c r="F17945" s="7">
        <v>46092.83972732023</v>
      </c>
      <c r="G17945" s="3" t="s">
        <v>3055</v>
      </c>
    </row>
    <row r="17946">
      <c r="A17946" s="3" t="s">
        <v>34057</v>
      </c>
      <c r="B17946" s="3" t="s">
        <v>14952</v>
      </c>
      <c r="C17946" s="5" t="s">
        <v>45</v>
      </c>
      <c r="D17946" s="3" t="s">
        <v>221</v>
      </c>
      <c r="E17946" s="3" t="s">
        <v>763</v>
      </c>
      <c r="F17946" s="7">
        <v>46092.90742994343</v>
      </c>
      <c r="G17946" s="3" t="s">
        <v>10917</v>
      </c>
    </row>
    <row r="17947">
      <c r="A17947" s="3" t="s">
        <v>34058</v>
      </c>
      <c r="B17947" s="3" t="s">
        <v>14952</v>
      </c>
      <c r="C17947" s="5" t="s">
        <v>221</v>
      </c>
      <c r="D17947" s="3" t="s">
        <v>614</v>
      </c>
      <c r="E17947" s="3" t="s">
        <v>118</v>
      </c>
      <c r="F17947" s="7">
        <v>46092.91090216565</v>
      </c>
      <c r="G17947" s="3" t="s">
        <v>10920</v>
      </c>
    </row>
    <row r="17948">
      <c r="A17948" s="3" t="s">
        <v>34059</v>
      </c>
      <c r="B17948" s="3" t="s">
        <v>14952</v>
      </c>
      <c r="C17948" s="5" t="s">
        <v>614</v>
      </c>
      <c r="D17948" s="3" t="s">
        <v>206</v>
      </c>
      <c r="E17948" s="3" t="s">
        <v>100</v>
      </c>
      <c r="F17948" s="7">
        <v>46092.914374387874</v>
      </c>
      <c r="G17948" s="3" t="s">
        <v>10923</v>
      </c>
    </row>
    <row r="17949">
      <c r="A17949" s="3" t="s">
        <v>34060</v>
      </c>
      <c r="B17949" s="3" t="s">
        <v>14952</v>
      </c>
      <c r="C17949" s="5" t="s">
        <v>206</v>
      </c>
      <c r="D17949" s="3" t="s">
        <v>68</v>
      </c>
      <c r="E17949" s="3" t="s">
        <v>100</v>
      </c>
      <c r="F17949" s="7">
        <v>46092.91784661009</v>
      </c>
      <c r="G17949" s="3" t="s">
        <v>10926</v>
      </c>
    </row>
    <row r="17950">
      <c r="A17950" s="3" t="s">
        <v>34061</v>
      </c>
      <c r="B17950" s="3" t="s">
        <v>14956</v>
      </c>
      <c r="C17950" s="5" t="s">
        <v>45</v>
      </c>
      <c r="D17950" s="3" t="s">
        <v>221</v>
      </c>
      <c r="E17950" s="3" t="s">
        <v>998</v>
      </c>
      <c r="F17950" s="7">
        <v>46092.97860478884</v>
      </c>
      <c r="G17950" s="3" t="s">
        <v>10105</v>
      </c>
    </row>
    <row r="17951">
      <c r="A17951" s="3" t="s">
        <v>34062</v>
      </c>
      <c r="B17951" s="3" t="s">
        <v>14956</v>
      </c>
      <c r="C17951" s="5" t="s">
        <v>221</v>
      </c>
      <c r="D17951" s="3" t="s">
        <v>614</v>
      </c>
      <c r="E17951" s="3" t="s">
        <v>118</v>
      </c>
      <c r="F17951" s="7">
        <v>46092.98207701106</v>
      </c>
      <c r="G17951" s="3" t="s">
        <v>10109</v>
      </c>
    </row>
    <row r="17952">
      <c r="A17952" s="3" t="s">
        <v>34063</v>
      </c>
      <c r="B17952" s="3" t="s">
        <v>14956</v>
      </c>
      <c r="C17952" s="5" t="s">
        <v>614</v>
      </c>
      <c r="D17952" s="3" t="s">
        <v>206</v>
      </c>
      <c r="E17952" s="3" t="s">
        <v>100</v>
      </c>
      <c r="F17952" s="7">
        <v>46092.985549233286</v>
      </c>
      <c r="G17952" s="3" t="s">
        <v>10112</v>
      </c>
    </row>
    <row r="17953">
      <c r="A17953" s="3" t="s">
        <v>34064</v>
      </c>
      <c r="B17953" s="3" t="s">
        <v>14956</v>
      </c>
      <c r="C17953" s="5" t="s">
        <v>206</v>
      </c>
      <c r="D17953" s="3" t="s">
        <v>68</v>
      </c>
      <c r="E17953" s="3" t="s">
        <v>100</v>
      </c>
      <c r="F17953" s="7">
        <v>46092.989021455505</v>
      </c>
      <c r="G17953" s="3" t="s">
        <v>10116</v>
      </c>
    </row>
    <row r="17954">
      <c r="A17954" s="3" t="s">
        <v>34065</v>
      </c>
      <c r="B17954" s="3" t="s">
        <v>14960</v>
      </c>
      <c r="C17954" s="5" t="s">
        <v>45</v>
      </c>
      <c r="D17954" s="3" t="s">
        <v>221</v>
      </c>
      <c r="E17954" s="3" t="s">
        <v>767</v>
      </c>
      <c r="F17954" s="7">
        <v>46093.04977963426</v>
      </c>
      <c r="G17954" s="3" t="s">
        <v>10953</v>
      </c>
    </row>
    <row r="17955">
      <c r="A17955" s="3" t="s">
        <v>34066</v>
      </c>
      <c r="B17955" s="3" t="s">
        <v>14960</v>
      </c>
      <c r="C17955" s="5" t="s">
        <v>221</v>
      </c>
      <c r="D17955" s="3" t="s">
        <v>614</v>
      </c>
      <c r="E17955" s="3" t="s">
        <v>118</v>
      </c>
      <c r="F17955" s="7">
        <v>46093.05325185648</v>
      </c>
      <c r="G17955" s="3" t="s">
        <v>10956</v>
      </c>
    </row>
    <row r="17956">
      <c r="A17956" s="3" t="s">
        <v>34067</v>
      </c>
      <c r="B17956" s="3" t="s">
        <v>14960</v>
      </c>
      <c r="C17956" s="5" t="s">
        <v>614</v>
      </c>
      <c r="D17956" s="3" t="s">
        <v>206</v>
      </c>
      <c r="E17956" s="3" t="s">
        <v>100</v>
      </c>
      <c r="F17956" s="7">
        <v>46093.056724078706</v>
      </c>
      <c r="G17956" s="3" t="s">
        <v>10958</v>
      </c>
    </row>
    <row r="17957">
      <c r="A17957" s="3" t="s">
        <v>34068</v>
      </c>
      <c r="B17957" s="3" t="s">
        <v>14960</v>
      </c>
      <c r="C17957" s="5" t="s">
        <v>206</v>
      </c>
      <c r="D17957" s="3" t="s">
        <v>68</v>
      </c>
      <c r="E17957" s="3" t="s">
        <v>100</v>
      </c>
      <c r="F17957" s="7">
        <v>46093.060196300925</v>
      </c>
      <c r="G17957" s="3" t="s">
        <v>10961</v>
      </c>
    </row>
    <row r="17958">
      <c r="A17958" s="3" t="s">
        <v>34069</v>
      </c>
      <c r="B17958" s="3" t="s">
        <v>14963</v>
      </c>
      <c r="C17958" s="5" t="s">
        <v>45</v>
      </c>
      <c r="D17958" s="3" t="s">
        <v>221</v>
      </c>
      <c r="E17958" s="3" t="s">
        <v>811</v>
      </c>
      <c r="F17958" s="7">
        <v>46093.120954479666</v>
      </c>
      <c r="G17958" s="3" t="s">
        <v>10661</v>
      </c>
    </row>
    <row r="17959">
      <c r="A17959" s="3" t="s">
        <v>34070</v>
      </c>
      <c r="B17959" s="3" t="s">
        <v>14963</v>
      </c>
      <c r="C17959" s="5" t="s">
        <v>221</v>
      </c>
      <c r="D17959" s="3" t="s">
        <v>614</v>
      </c>
      <c r="E17959" s="3" t="s">
        <v>118</v>
      </c>
      <c r="F17959" s="7">
        <v>46093.124426701885</v>
      </c>
      <c r="G17959" s="3" t="s">
        <v>10664</v>
      </c>
    </row>
    <row r="17960">
      <c r="A17960" s="3" t="s">
        <v>34071</v>
      </c>
      <c r="B17960" s="3" t="s">
        <v>14963</v>
      </c>
      <c r="C17960" s="5" t="s">
        <v>614</v>
      </c>
      <c r="D17960" s="3" t="s">
        <v>206</v>
      </c>
      <c r="E17960" s="3" t="s">
        <v>100</v>
      </c>
      <c r="F17960" s="7">
        <v>46093.12789892411</v>
      </c>
      <c r="G17960" s="3" t="s">
        <v>10667</v>
      </c>
    </row>
    <row r="17961">
      <c r="A17961" s="3" t="s">
        <v>34072</v>
      </c>
      <c r="B17961" s="3" t="s">
        <v>14963</v>
      </c>
      <c r="C17961" s="5" t="s">
        <v>206</v>
      </c>
      <c r="D17961" s="3" t="s">
        <v>68</v>
      </c>
      <c r="E17961" s="3" t="s">
        <v>100</v>
      </c>
      <c r="F17961" s="7">
        <v>46093.13137114633</v>
      </c>
      <c r="G17961" s="3" t="s">
        <v>10670</v>
      </c>
    </row>
    <row r="17962">
      <c r="A17962" s="3" t="s">
        <v>34073</v>
      </c>
      <c r="B17962" s="3" t="s">
        <v>14966</v>
      </c>
      <c r="C17962" s="5" t="s">
        <v>45</v>
      </c>
      <c r="D17962" s="3" t="s">
        <v>221</v>
      </c>
      <c r="E17962" s="3" t="s">
        <v>805</v>
      </c>
      <c r="F17962" s="7">
        <v>46093.192129325085</v>
      </c>
      <c r="G17962" s="3" t="s">
        <v>12438</v>
      </c>
    </row>
    <row r="17963">
      <c r="A17963" s="3" t="s">
        <v>34074</v>
      </c>
      <c r="B17963" s="3" t="s">
        <v>14966</v>
      </c>
      <c r="C17963" s="5" t="s">
        <v>221</v>
      </c>
      <c r="D17963" s="3" t="s">
        <v>614</v>
      </c>
      <c r="E17963" s="3" t="s">
        <v>118</v>
      </c>
      <c r="F17963" s="7">
        <v>46093.195601547304</v>
      </c>
      <c r="G17963" s="3" t="s">
        <v>12440</v>
      </c>
    </row>
    <row r="17964">
      <c r="A17964" s="3" t="s">
        <v>34075</v>
      </c>
      <c r="B17964" s="3" t="s">
        <v>14966</v>
      </c>
      <c r="C17964" s="5" t="s">
        <v>614</v>
      </c>
      <c r="D17964" s="3" t="s">
        <v>206</v>
      </c>
      <c r="E17964" s="3" t="s">
        <v>100</v>
      </c>
      <c r="F17964" s="7">
        <v>46093.19907376953</v>
      </c>
      <c r="G17964" s="3" t="s">
        <v>12443</v>
      </c>
    </row>
    <row r="17965">
      <c r="A17965" s="3" t="s">
        <v>34076</v>
      </c>
      <c r="B17965" s="3" t="s">
        <v>14966</v>
      </c>
      <c r="C17965" s="5" t="s">
        <v>206</v>
      </c>
      <c r="D17965" s="3" t="s">
        <v>68</v>
      </c>
      <c r="E17965" s="3" t="s">
        <v>100</v>
      </c>
      <c r="F17965" s="7">
        <v>46093.20254599175</v>
      </c>
      <c r="G17965" s="3" t="s">
        <v>12446</v>
      </c>
    </row>
    <row r="17966">
      <c r="A17966" s="3" t="s">
        <v>34077</v>
      </c>
      <c r="B17966" s="3" t="s">
        <v>14969</v>
      </c>
      <c r="C17966" s="5" t="s">
        <v>45</v>
      </c>
      <c r="D17966" s="3" t="s">
        <v>221</v>
      </c>
      <c r="E17966" s="3" t="s">
        <v>505</v>
      </c>
      <c r="F17966" s="7">
        <v>46093.263304170505</v>
      </c>
      <c r="G17966" s="3" t="s">
        <v>14836</v>
      </c>
    </row>
    <row r="17967">
      <c r="A17967" s="3" t="s">
        <v>34078</v>
      </c>
      <c r="B17967" s="3" t="s">
        <v>14969</v>
      </c>
      <c r="C17967" s="5" t="s">
        <v>221</v>
      </c>
      <c r="D17967" s="3" t="s">
        <v>181</v>
      </c>
      <c r="E17967" s="3" t="s">
        <v>118</v>
      </c>
      <c r="F17967" s="7">
        <v>46093.266776392724</v>
      </c>
      <c r="G17967" s="3" t="s">
        <v>34079</v>
      </c>
    </row>
    <row r="17968">
      <c r="A17968" s="3" t="s">
        <v>34080</v>
      </c>
      <c r="B17968" s="3" t="s">
        <v>14971</v>
      </c>
      <c r="C17968" s="5" t="s">
        <v>45</v>
      </c>
      <c r="D17968" s="3" t="s">
        <v>221</v>
      </c>
      <c r="E17968" s="3" t="s">
        <v>130</v>
      </c>
      <c r="F17968" s="7">
        <v>46093.33447901592</v>
      </c>
      <c r="G17968" s="3" t="s">
        <v>25413</v>
      </c>
    </row>
    <row r="17969">
      <c r="A17969" s="3" t="s">
        <v>34081</v>
      </c>
      <c r="B17969" s="3" t="s">
        <v>14971</v>
      </c>
      <c r="C17969" s="5" t="s">
        <v>221</v>
      </c>
      <c r="D17969" s="3" t="s">
        <v>614</v>
      </c>
      <c r="E17969" s="3" t="s">
        <v>118</v>
      </c>
      <c r="F17969" s="7">
        <v>46093.337951238136</v>
      </c>
      <c r="G17969" s="3" t="s">
        <v>25415</v>
      </c>
    </row>
    <row r="17970">
      <c r="A17970" s="3" t="s">
        <v>34082</v>
      </c>
      <c r="B17970" s="3" t="s">
        <v>14971</v>
      </c>
      <c r="C17970" s="5" t="s">
        <v>614</v>
      </c>
      <c r="D17970" s="3" t="s">
        <v>206</v>
      </c>
      <c r="E17970" s="3" t="s">
        <v>100</v>
      </c>
      <c r="F17970" s="7">
        <v>46093.34142346036</v>
      </c>
      <c r="G17970" s="3" t="s">
        <v>25417</v>
      </c>
    </row>
    <row r="17971">
      <c r="A17971" s="3" t="s">
        <v>34083</v>
      </c>
      <c r="B17971" s="3" t="s">
        <v>14971</v>
      </c>
      <c r="C17971" s="5" t="s">
        <v>206</v>
      </c>
      <c r="D17971" s="3" t="s">
        <v>68</v>
      </c>
      <c r="E17971" s="3" t="s">
        <v>100</v>
      </c>
      <c r="F17971" s="7">
        <v>46093.34489568258</v>
      </c>
      <c r="G17971" s="3" t="s">
        <v>25419</v>
      </c>
    </row>
    <row r="17972">
      <c r="A17972" s="3" t="s">
        <v>34084</v>
      </c>
      <c r="B17972" s="3" t="s">
        <v>14974</v>
      </c>
      <c r="C17972" s="5" t="s">
        <v>45</v>
      </c>
      <c r="D17972" s="3" t="s">
        <v>221</v>
      </c>
      <c r="E17972" s="3" t="s">
        <v>717</v>
      </c>
      <c r="F17972" s="7">
        <v>46093.40565386133</v>
      </c>
      <c r="G17972" s="3" t="s">
        <v>10987</v>
      </c>
    </row>
    <row r="17973">
      <c r="A17973" s="3" t="s">
        <v>34085</v>
      </c>
      <c r="B17973" s="3" t="s">
        <v>14974</v>
      </c>
      <c r="C17973" s="5" t="s">
        <v>221</v>
      </c>
      <c r="D17973" s="3" t="s">
        <v>614</v>
      </c>
      <c r="E17973" s="3" t="s">
        <v>118</v>
      </c>
      <c r="F17973" s="7">
        <v>46093.40912608355</v>
      </c>
      <c r="G17973" s="3" t="s">
        <v>10989</v>
      </c>
    </row>
    <row r="17974">
      <c r="A17974" s="3" t="s">
        <v>34086</v>
      </c>
      <c r="B17974" s="3" t="s">
        <v>14974</v>
      </c>
      <c r="C17974" s="5" t="s">
        <v>614</v>
      </c>
      <c r="D17974" s="3" t="s">
        <v>206</v>
      </c>
      <c r="E17974" s="3" t="s">
        <v>100</v>
      </c>
      <c r="F17974" s="7">
        <v>46093.412598305775</v>
      </c>
      <c r="G17974" s="3" t="s">
        <v>10992</v>
      </c>
    </row>
    <row r="17975">
      <c r="A17975" s="3" t="s">
        <v>34087</v>
      </c>
      <c r="B17975" s="3" t="s">
        <v>14974</v>
      </c>
      <c r="C17975" s="5" t="s">
        <v>206</v>
      </c>
      <c r="D17975" s="3" t="s">
        <v>68</v>
      </c>
      <c r="E17975" s="3" t="s">
        <v>100</v>
      </c>
      <c r="F17975" s="7">
        <v>46093.416070527994</v>
      </c>
      <c r="G17975" s="3" t="s">
        <v>10995</v>
      </c>
    </row>
    <row r="17976">
      <c r="A17976" s="3" t="s">
        <v>34088</v>
      </c>
      <c r="B17976" s="3" t="s">
        <v>14977</v>
      </c>
      <c r="C17976" s="5" t="s">
        <v>45</v>
      </c>
      <c r="D17976" s="3" t="s">
        <v>221</v>
      </c>
      <c r="E17976" s="3" t="s">
        <v>135</v>
      </c>
      <c r="F17976" s="7">
        <v>46093.47682870675</v>
      </c>
      <c r="G17976" s="3" t="s">
        <v>10600</v>
      </c>
    </row>
    <row r="17977">
      <c r="A17977" s="3" t="s">
        <v>34089</v>
      </c>
      <c r="B17977" s="3" t="s">
        <v>14977</v>
      </c>
      <c r="C17977" s="5" t="s">
        <v>221</v>
      </c>
      <c r="D17977" s="3" t="s">
        <v>614</v>
      </c>
      <c r="E17977" s="3" t="s">
        <v>118</v>
      </c>
      <c r="F17977" s="7">
        <v>46093.48030092897</v>
      </c>
      <c r="G17977" s="3" t="s">
        <v>10603</v>
      </c>
    </row>
    <row r="17978">
      <c r="A17978" s="3" t="s">
        <v>34090</v>
      </c>
      <c r="B17978" s="3" t="s">
        <v>14977</v>
      </c>
      <c r="C17978" s="5" t="s">
        <v>614</v>
      </c>
      <c r="D17978" s="3" t="s">
        <v>206</v>
      </c>
      <c r="E17978" s="3" t="s">
        <v>100</v>
      </c>
      <c r="F17978" s="7">
        <v>46093.483773151194</v>
      </c>
      <c r="G17978" s="3" t="s">
        <v>10606</v>
      </c>
    </row>
    <row r="17979">
      <c r="A17979" s="3" t="s">
        <v>34091</v>
      </c>
      <c r="B17979" s="3" t="s">
        <v>14977</v>
      </c>
      <c r="C17979" s="5" t="s">
        <v>206</v>
      </c>
      <c r="D17979" s="3" t="s">
        <v>68</v>
      </c>
      <c r="E17979" s="3" t="s">
        <v>100</v>
      </c>
      <c r="F17979" s="7">
        <v>46093.48724537341</v>
      </c>
      <c r="G17979" s="3" t="s">
        <v>10608</v>
      </c>
    </row>
    <row r="17980">
      <c r="A17980" s="3" t="s">
        <v>34092</v>
      </c>
      <c r="B17980" s="3" t="s">
        <v>14980</v>
      </c>
      <c r="C17980" s="5" t="s">
        <v>45</v>
      </c>
      <c r="D17980" s="3" t="s">
        <v>221</v>
      </c>
      <c r="E17980" s="3" t="s">
        <v>414</v>
      </c>
      <c r="F17980" s="7">
        <v>46093.54800355216</v>
      </c>
      <c r="G17980" s="3" t="s">
        <v>9366</v>
      </c>
    </row>
    <row r="17981">
      <c r="A17981" s="3" t="s">
        <v>34093</v>
      </c>
      <c r="B17981" s="3" t="s">
        <v>14980</v>
      </c>
      <c r="C17981" s="5" t="s">
        <v>221</v>
      </c>
      <c r="D17981" s="3" t="s">
        <v>614</v>
      </c>
      <c r="E17981" s="3" t="s">
        <v>118</v>
      </c>
      <c r="F17981" s="7">
        <v>46093.55147577438</v>
      </c>
      <c r="G17981" s="3" t="s">
        <v>9369</v>
      </c>
    </row>
    <row r="17982">
      <c r="A17982" s="3" t="s">
        <v>34094</v>
      </c>
      <c r="B17982" s="3" t="s">
        <v>14980</v>
      </c>
      <c r="C17982" s="5" t="s">
        <v>614</v>
      </c>
      <c r="D17982" s="3" t="s">
        <v>206</v>
      </c>
      <c r="E17982" s="3" t="s">
        <v>100</v>
      </c>
      <c r="F17982" s="7">
        <v>46093.55494799661</v>
      </c>
      <c r="G17982" s="3" t="s">
        <v>9372</v>
      </c>
    </row>
    <row r="17983">
      <c r="A17983" s="3" t="s">
        <v>34095</v>
      </c>
      <c r="B17983" s="3" t="s">
        <v>14980</v>
      </c>
      <c r="C17983" s="5" t="s">
        <v>206</v>
      </c>
      <c r="D17983" s="3" t="s">
        <v>68</v>
      </c>
      <c r="E17983" s="3" t="s">
        <v>100</v>
      </c>
      <c r="F17983" s="7">
        <v>46093.558420218826</v>
      </c>
      <c r="G17983" s="3" t="s">
        <v>9375</v>
      </c>
    </row>
    <row r="17984">
      <c r="A17984" s="3" t="s">
        <v>34096</v>
      </c>
      <c r="B17984" s="3" t="s">
        <v>14984</v>
      </c>
      <c r="C17984" s="5" t="s">
        <v>45</v>
      </c>
      <c r="D17984" s="3" t="s">
        <v>221</v>
      </c>
      <c r="E17984" s="3" t="s">
        <v>236</v>
      </c>
      <c r="F17984" s="7">
        <v>46093.619178397574</v>
      </c>
      <c r="G17984" s="3" t="s">
        <v>11020</v>
      </c>
    </row>
    <row r="17985">
      <c r="A17985" s="3" t="s">
        <v>34097</v>
      </c>
      <c r="B17985" s="3" t="s">
        <v>14984</v>
      </c>
      <c r="C17985" s="5" t="s">
        <v>221</v>
      </c>
      <c r="D17985" s="3" t="s">
        <v>614</v>
      </c>
      <c r="E17985" s="3" t="s">
        <v>118</v>
      </c>
      <c r="F17985" s="7">
        <v>46093.62265061979</v>
      </c>
      <c r="G17985" s="3" t="s">
        <v>11022</v>
      </c>
    </row>
    <row r="17986">
      <c r="A17986" s="3" t="s">
        <v>34098</v>
      </c>
      <c r="B17986" s="3" t="s">
        <v>14984</v>
      </c>
      <c r="C17986" s="5" t="s">
        <v>614</v>
      </c>
      <c r="D17986" s="3" t="s">
        <v>206</v>
      </c>
      <c r="E17986" s="3" t="s">
        <v>100</v>
      </c>
      <c r="F17986" s="7">
        <v>46093.62612284202</v>
      </c>
      <c r="G17986" s="3" t="s">
        <v>11025</v>
      </c>
    </row>
    <row r="17987">
      <c r="A17987" s="3" t="s">
        <v>34099</v>
      </c>
      <c r="B17987" s="3" t="s">
        <v>14984</v>
      </c>
      <c r="C17987" s="5" t="s">
        <v>206</v>
      </c>
      <c r="D17987" s="3" t="s">
        <v>68</v>
      </c>
      <c r="E17987" s="3" t="s">
        <v>100</v>
      </c>
      <c r="F17987" s="7">
        <v>46093.62959506424</v>
      </c>
      <c r="G17987" s="3" t="s">
        <v>11029</v>
      </c>
    </row>
    <row r="17988">
      <c r="A17988" s="3" t="s">
        <v>34100</v>
      </c>
      <c r="B17988" s="3" t="s">
        <v>14987</v>
      </c>
      <c r="C17988" s="5" t="s">
        <v>45</v>
      </c>
      <c r="D17988" s="3" t="s">
        <v>221</v>
      </c>
      <c r="E17988" s="3" t="s">
        <v>366</v>
      </c>
      <c r="F17988" s="7">
        <v>46093.69035324299</v>
      </c>
      <c r="G17988" s="3" t="s">
        <v>20658</v>
      </c>
    </row>
    <row r="17989">
      <c r="A17989" s="3" t="s">
        <v>34101</v>
      </c>
      <c r="B17989" s="3" t="s">
        <v>14987</v>
      </c>
      <c r="C17989" s="5" t="s">
        <v>221</v>
      </c>
      <c r="D17989" s="3" t="s">
        <v>614</v>
      </c>
      <c r="E17989" s="3" t="s">
        <v>118</v>
      </c>
      <c r="F17989" s="7">
        <v>46093.69382546521</v>
      </c>
      <c r="G17989" s="3" t="s">
        <v>20661</v>
      </c>
    </row>
    <row r="17990">
      <c r="A17990" s="3" t="s">
        <v>34102</v>
      </c>
      <c r="B17990" s="3" t="s">
        <v>14987</v>
      </c>
      <c r="C17990" s="5" t="s">
        <v>614</v>
      </c>
      <c r="D17990" s="3" t="s">
        <v>206</v>
      </c>
      <c r="E17990" s="3" t="s">
        <v>100</v>
      </c>
      <c r="F17990" s="7">
        <v>46093.69729768744</v>
      </c>
      <c r="G17990" s="3" t="s">
        <v>20664</v>
      </c>
    </row>
    <row r="17991">
      <c r="A17991" s="3" t="s">
        <v>34103</v>
      </c>
      <c r="B17991" s="3" t="s">
        <v>14987</v>
      </c>
      <c r="C17991" s="5" t="s">
        <v>206</v>
      </c>
      <c r="D17991" s="3" t="s">
        <v>68</v>
      </c>
      <c r="E17991" s="3" t="s">
        <v>100</v>
      </c>
      <c r="F17991" s="7">
        <v>46093.70076990966</v>
      </c>
      <c r="G17991" s="3" t="s">
        <v>20667</v>
      </c>
    </row>
    <row r="17992">
      <c r="A17992" s="3" t="s">
        <v>34104</v>
      </c>
      <c r="B17992" s="3" t="s">
        <v>14990</v>
      </c>
      <c r="C17992" s="5" t="s">
        <v>45</v>
      </c>
      <c r="D17992" s="3" t="s">
        <v>221</v>
      </c>
      <c r="E17992" s="3" t="s">
        <v>586</v>
      </c>
      <c r="F17992" s="7">
        <v>46093.76152808841</v>
      </c>
      <c r="G17992" s="3" t="s">
        <v>19542</v>
      </c>
    </row>
    <row r="17993">
      <c r="A17993" s="3" t="s">
        <v>34105</v>
      </c>
      <c r="B17993" s="3" t="s">
        <v>14990</v>
      </c>
      <c r="C17993" s="5" t="s">
        <v>221</v>
      </c>
      <c r="D17993" s="3" t="s">
        <v>181</v>
      </c>
      <c r="E17993" s="3" t="s">
        <v>118</v>
      </c>
      <c r="F17993" s="7">
        <v>46093.76500031063</v>
      </c>
      <c r="G17993" s="3" t="s">
        <v>28192</v>
      </c>
    </row>
    <row r="17994">
      <c r="A17994" s="3" t="s">
        <v>34106</v>
      </c>
      <c r="B17994" s="3" t="s">
        <v>14993</v>
      </c>
      <c r="C17994" s="5" t="s">
        <v>45</v>
      </c>
      <c r="D17994" s="3" t="s">
        <v>221</v>
      </c>
      <c r="E17994" s="3" t="s">
        <v>600</v>
      </c>
      <c r="F17994" s="7">
        <v>46093.83270293382</v>
      </c>
      <c r="G17994" s="3" t="s">
        <v>11032</v>
      </c>
    </row>
    <row r="17995">
      <c r="A17995" s="3" t="s">
        <v>34107</v>
      </c>
      <c r="B17995" s="3" t="s">
        <v>14993</v>
      </c>
      <c r="C17995" s="5" t="s">
        <v>221</v>
      </c>
      <c r="D17995" s="3" t="s">
        <v>614</v>
      </c>
      <c r="E17995" s="3" t="s">
        <v>118</v>
      </c>
      <c r="F17995" s="7">
        <v>46093.83617515604</v>
      </c>
      <c r="G17995" s="3" t="s">
        <v>11035</v>
      </c>
    </row>
    <row r="17996">
      <c r="A17996" s="3" t="s">
        <v>34108</v>
      </c>
      <c r="B17996" s="3" t="s">
        <v>14993</v>
      </c>
      <c r="C17996" s="5" t="s">
        <v>614</v>
      </c>
      <c r="D17996" s="3" t="s">
        <v>206</v>
      </c>
      <c r="E17996" s="3" t="s">
        <v>100</v>
      </c>
      <c r="F17996" s="7">
        <v>46093.83964737826</v>
      </c>
      <c r="G17996" s="3" t="s">
        <v>11038</v>
      </c>
    </row>
    <row r="17997">
      <c r="A17997" s="3" t="s">
        <v>34109</v>
      </c>
      <c r="B17997" s="3" t="s">
        <v>14993</v>
      </c>
      <c r="C17997" s="5" t="s">
        <v>206</v>
      </c>
      <c r="D17997" s="3" t="s">
        <v>68</v>
      </c>
      <c r="E17997" s="3" t="s">
        <v>100</v>
      </c>
      <c r="F17997" s="7">
        <v>46093.84311960048</v>
      </c>
      <c r="G17997" s="3" t="s">
        <v>11040</v>
      </c>
    </row>
    <row r="17998">
      <c r="A17998" s="3" t="s">
        <v>34110</v>
      </c>
      <c r="B17998" s="3" t="s">
        <v>14996</v>
      </c>
      <c r="C17998" s="5" t="s">
        <v>45</v>
      </c>
      <c r="D17998" s="3" t="s">
        <v>221</v>
      </c>
      <c r="E17998" s="3" t="s">
        <v>383</v>
      </c>
      <c r="F17998" s="7">
        <v>46093.90387777924</v>
      </c>
      <c r="G17998" s="3" t="s">
        <v>24798</v>
      </c>
    </row>
    <row r="17999">
      <c r="A17999" s="3" t="s">
        <v>34111</v>
      </c>
      <c r="B17999" s="3" t="s">
        <v>14996</v>
      </c>
      <c r="C17999" s="5" t="s">
        <v>221</v>
      </c>
      <c r="D17999" s="3" t="s">
        <v>614</v>
      </c>
      <c r="E17999" s="3" t="s">
        <v>118</v>
      </c>
      <c r="F17999" s="7">
        <v>46093.90735000146</v>
      </c>
      <c r="G17999" s="3" t="s">
        <v>24800</v>
      </c>
    </row>
    <row r="18000">
      <c r="A18000" s="3" t="s">
        <v>34112</v>
      </c>
      <c r="B18000" s="3" t="s">
        <v>14996</v>
      </c>
      <c r="C18000" s="5" t="s">
        <v>614</v>
      </c>
      <c r="D18000" s="3" t="s">
        <v>206</v>
      </c>
      <c r="E18000" s="3" t="s">
        <v>100</v>
      </c>
      <c r="F18000" s="7">
        <v>46093.91082222368</v>
      </c>
      <c r="G18000" s="3" t="s">
        <v>24802</v>
      </c>
    </row>
    <row r="18001">
      <c r="A18001" s="3" t="s">
        <v>34113</v>
      </c>
      <c r="B18001" s="3" t="s">
        <v>14996</v>
      </c>
      <c r="C18001" s="5" t="s">
        <v>206</v>
      </c>
      <c r="D18001" s="3" t="s">
        <v>68</v>
      </c>
      <c r="E18001" s="3" t="s">
        <v>100</v>
      </c>
      <c r="F18001" s="7">
        <v>46093.9142944459</v>
      </c>
      <c r="G18001" s="3" t="s">
        <v>24804</v>
      </c>
    </row>
    <row r="18002">
      <c r="A18002" s="3" t="s">
        <v>34114</v>
      </c>
      <c r="B18002" s="3" t="s">
        <v>14999</v>
      </c>
      <c r="C18002" s="5" t="s">
        <v>45</v>
      </c>
      <c r="D18002" s="3" t="s">
        <v>221</v>
      </c>
      <c r="E18002" s="3" t="s">
        <v>546</v>
      </c>
      <c r="F18002" s="7">
        <v>46093.97505262466</v>
      </c>
      <c r="G18002" s="3" t="s">
        <v>8676</v>
      </c>
    </row>
    <row r="18003">
      <c r="A18003" s="3" t="s">
        <v>34115</v>
      </c>
      <c r="B18003" s="3" t="s">
        <v>14999</v>
      </c>
      <c r="C18003" s="5" t="s">
        <v>221</v>
      </c>
      <c r="D18003" s="3" t="s">
        <v>181</v>
      </c>
      <c r="E18003" s="3" t="s">
        <v>118</v>
      </c>
      <c r="F18003" s="7">
        <v>46093.978524846876</v>
      </c>
      <c r="G18003" s="3" t="s">
        <v>34116</v>
      </c>
    </row>
    <row r="18004">
      <c r="A18004" s="3" t="s">
        <v>34117</v>
      </c>
      <c r="B18004" s="3" t="s">
        <v>15003</v>
      </c>
      <c r="C18004" s="5" t="s">
        <v>45</v>
      </c>
      <c r="D18004" s="3" t="s">
        <v>221</v>
      </c>
      <c r="E18004" s="3" t="s">
        <v>616</v>
      </c>
      <c r="F18004" s="7">
        <v>46094.04622747007</v>
      </c>
      <c r="G18004" s="3" t="s">
        <v>6749</v>
      </c>
    </row>
    <row r="18005">
      <c r="A18005" s="3" t="s">
        <v>34118</v>
      </c>
      <c r="B18005" s="3" t="s">
        <v>15003</v>
      </c>
      <c r="C18005" s="5" t="s">
        <v>221</v>
      </c>
      <c r="D18005" s="3" t="s">
        <v>614</v>
      </c>
      <c r="E18005" s="3" t="s">
        <v>118</v>
      </c>
      <c r="F18005" s="7">
        <v>46094.04969969229</v>
      </c>
      <c r="G18005" s="3" t="s">
        <v>6752</v>
      </c>
    </row>
    <row r="18006">
      <c r="A18006" s="3" t="s">
        <v>34119</v>
      </c>
      <c r="B18006" s="3" t="s">
        <v>15003</v>
      </c>
      <c r="C18006" s="5" t="s">
        <v>614</v>
      </c>
      <c r="D18006" s="3" t="s">
        <v>206</v>
      </c>
      <c r="E18006" s="3" t="s">
        <v>100</v>
      </c>
      <c r="F18006" s="7">
        <v>46094.053171914515</v>
      </c>
      <c r="G18006" s="3" t="s">
        <v>6755</v>
      </c>
    </row>
    <row r="18007">
      <c r="A18007" s="3" t="s">
        <v>34120</v>
      </c>
      <c r="B18007" s="3" t="s">
        <v>15003</v>
      </c>
      <c r="C18007" s="5" t="s">
        <v>206</v>
      </c>
      <c r="D18007" s="3" t="s">
        <v>68</v>
      </c>
      <c r="E18007" s="3" t="s">
        <v>100</v>
      </c>
      <c r="F18007" s="7">
        <v>46094.056644136734</v>
      </c>
      <c r="G18007" s="3" t="s">
        <v>6758</v>
      </c>
    </row>
    <row r="18008">
      <c r="A18008" s="3" t="s">
        <v>34121</v>
      </c>
      <c r="B18008" s="3" t="s">
        <v>15006</v>
      </c>
      <c r="C18008" s="5" t="s">
        <v>45</v>
      </c>
      <c r="D18008" s="3" t="s">
        <v>221</v>
      </c>
      <c r="E18008" s="3" t="s">
        <v>920</v>
      </c>
      <c r="F18008" s="7">
        <v>46094.11740231548</v>
      </c>
      <c r="G18008" s="3" t="s">
        <v>22356</v>
      </c>
    </row>
    <row r="18009">
      <c r="A18009" s="3" t="s">
        <v>34122</v>
      </c>
      <c r="B18009" s="3" t="s">
        <v>15006</v>
      </c>
      <c r="C18009" s="5" t="s">
        <v>221</v>
      </c>
      <c r="D18009" s="3" t="s">
        <v>614</v>
      </c>
      <c r="E18009" s="3" t="s">
        <v>118</v>
      </c>
      <c r="F18009" s="7">
        <v>46094.1208745377</v>
      </c>
      <c r="G18009" s="3" t="s">
        <v>22359</v>
      </c>
    </row>
    <row r="18010">
      <c r="A18010" s="3" t="s">
        <v>34123</v>
      </c>
      <c r="B18010" s="3" t="s">
        <v>15006</v>
      </c>
      <c r="C18010" s="5" t="s">
        <v>614</v>
      </c>
      <c r="D18010" s="3" t="s">
        <v>206</v>
      </c>
      <c r="E18010" s="3" t="s">
        <v>100</v>
      </c>
      <c r="F18010" s="7">
        <v>46094.12434675993</v>
      </c>
      <c r="G18010" s="3" t="s">
        <v>22362</v>
      </c>
    </row>
    <row r="18011">
      <c r="A18011" s="3" t="s">
        <v>34124</v>
      </c>
      <c r="B18011" s="3" t="s">
        <v>15006</v>
      </c>
      <c r="C18011" s="5" t="s">
        <v>206</v>
      </c>
      <c r="D18011" s="3" t="s">
        <v>68</v>
      </c>
      <c r="E18011" s="3" t="s">
        <v>100</v>
      </c>
      <c r="F18011" s="7">
        <v>46094.127818982146</v>
      </c>
      <c r="G18011" s="3" t="s">
        <v>22365</v>
      </c>
    </row>
    <row r="18012">
      <c r="A18012" s="3" t="s">
        <v>34125</v>
      </c>
      <c r="B18012" s="3" t="s">
        <v>15008</v>
      </c>
      <c r="C18012" s="5" t="s">
        <v>45</v>
      </c>
      <c r="D18012" s="3" t="s">
        <v>221</v>
      </c>
      <c r="E18012" s="3" t="s">
        <v>953</v>
      </c>
      <c r="F18012" s="7">
        <v>46094.1885771609</v>
      </c>
      <c r="G18012" s="3" t="s">
        <v>11339</v>
      </c>
    </row>
    <row r="18013">
      <c r="A18013" s="3" t="s">
        <v>34126</v>
      </c>
      <c r="B18013" s="3" t="s">
        <v>15008</v>
      </c>
      <c r="C18013" s="5" t="s">
        <v>221</v>
      </c>
      <c r="D18013" s="3" t="s">
        <v>614</v>
      </c>
      <c r="E18013" s="3" t="s">
        <v>118</v>
      </c>
      <c r="F18013" s="7">
        <v>46094.19204938312</v>
      </c>
      <c r="G18013" s="3" t="s">
        <v>11342</v>
      </c>
    </row>
    <row r="18014">
      <c r="A18014" s="3" t="s">
        <v>34127</v>
      </c>
      <c r="B18014" s="3" t="s">
        <v>15008</v>
      </c>
      <c r="C18014" s="5" t="s">
        <v>614</v>
      </c>
      <c r="D18014" s="3" t="s">
        <v>206</v>
      </c>
      <c r="E18014" s="3" t="s">
        <v>100</v>
      </c>
      <c r="F18014" s="7">
        <v>46094.19552160535</v>
      </c>
      <c r="G18014" s="3" t="s">
        <v>11345</v>
      </c>
    </row>
    <row r="18015">
      <c r="A18015" s="3" t="s">
        <v>34128</v>
      </c>
      <c r="B18015" s="3" t="s">
        <v>15008</v>
      </c>
      <c r="C18015" s="5" t="s">
        <v>206</v>
      </c>
      <c r="D18015" s="3" t="s">
        <v>68</v>
      </c>
      <c r="E18015" s="3" t="s">
        <v>100</v>
      </c>
      <c r="F18015" s="7">
        <v>46094.198993827566</v>
      </c>
      <c r="G18015" s="3" t="s">
        <v>11348</v>
      </c>
    </row>
    <row r="18016">
      <c r="A18016" s="3" t="s">
        <v>34129</v>
      </c>
      <c r="B18016" s="3" t="s">
        <v>15010</v>
      </c>
      <c r="C18016" s="5" t="s">
        <v>45</v>
      </c>
      <c r="D18016" s="3" t="s">
        <v>221</v>
      </c>
      <c r="E18016" s="3" t="s">
        <v>800</v>
      </c>
      <c r="F18016" s="7">
        <v>46094.259752006314</v>
      </c>
      <c r="G18016" s="3" t="s">
        <v>4476</v>
      </c>
    </row>
    <row r="18017">
      <c r="A18017" s="3" t="s">
        <v>34130</v>
      </c>
      <c r="B18017" s="3" t="s">
        <v>15010</v>
      </c>
      <c r="C18017" s="5" t="s">
        <v>221</v>
      </c>
      <c r="D18017" s="3" t="s">
        <v>614</v>
      </c>
      <c r="E18017" s="3" t="s">
        <v>118</v>
      </c>
      <c r="F18017" s="7">
        <v>46094.26322422853</v>
      </c>
      <c r="G18017" s="3" t="s">
        <v>4479</v>
      </c>
    </row>
    <row r="18018">
      <c r="A18018" s="3" t="s">
        <v>34131</v>
      </c>
      <c r="B18018" s="3" t="s">
        <v>15010</v>
      </c>
      <c r="C18018" s="5" t="s">
        <v>614</v>
      </c>
      <c r="D18018" s="3" t="s">
        <v>206</v>
      </c>
      <c r="E18018" s="3" t="s">
        <v>100</v>
      </c>
      <c r="F18018" s="7">
        <v>46094.26669645076</v>
      </c>
      <c r="G18018" s="3" t="s">
        <v>4482</v>
      </c>
    </row>
    <row r="18019">
      <c r="A18019" s="3" t="s">
        <v>34132</v>
      </c>
      <c r="B18019" s="3" t="s">
        <v>15010</v>
      </c>
      <c r="C18019" s="5" t="s">
        <v>206</v>
      </c>
      <c r="D18019" s="3" t="s">
        <v>68</v>
      </c>
      <c r="E18019" s="3" t="s">
        <v>100</v>
      </c>
      <c r="F18019" s="7">
        <v>46094.27016867298</v>
      </c>
      <c r="G18019" s="3" t="s">
        <v>4485</v>
      </c>
    </row>
    <row r="18020">
      <c r="A18020" s="3" t="s">
        <v>34133</v>
      </c>
      <c r="B18020" s="3" t="s">
        <v>15012</v>
      </c>
      <c r="C18020" s="5" t="s">
        <v>45</v>
      </c>
      <c r="D18020" s="3" t="s">
        <v>221</v>
      </c>
      <c r="E18020" s="3" t="s">
        <v>1028</v>
      </c>
      <c r="F18020" s="7">
        <v>46094.330926851726</v>
      </c>
      <c r="G18020" s="3" t="s">
        <v>11049</v>
      </c>
    </row>
    <row r="18021">
      <c r="A18021" s="3" t="s">
        <v>34134</v>
      </c>
      <c r="B18021" s="3" t="s">
        <v>15012</v>
      </c>
      <c r="C18021" s="5" t="s">
        <v>221</v>
      </c>
      <c r="D18021" s="3" t="s">
        <v>614</v>
      </c>
      <c r="E18021" s="3" t="s">
        <v>118</v>
      </c>
      <c r="F18021" s="7">
        <v>46094.334399073945</v>
      </c>
      <c r="G18021" s="3" t="s">
        <v>11051</v>
      </c>
    </row>
    <row r="18022">
      <c r="A18022" s="3" t="s">
        <v>34135</v>
      </c>
      <c r="B18022" s="3" t="s">
        <v>15012</v>
      </c>
      <c r="C18022" s="5" t="s">
        <v>614</v>
      </c>
      <c r="D18022" s="3" t="s">
        <v>206</v>
      </c>
      <c r="E18022" s="3" t="s">
        <v>100</v>
      </c>
      <c r="F18022" s="7">
        <v>46094.33787129617</v>
      </c>
      <c r="G18022" s="3" t="s">
        <v>11054</v>
      </c>
    </row>
    <row r="18023">
      <c r="A18023" s="3" t="s">
        <v>34136</v>
      </c>
      <c r="B18023" s="3" t="s">
        <v>15012</v>
      </c>
      <c r="C18023" s="5" t="s">
        <v>206</v>
      </c>
      <c r="D18023" s="3" t="s">
        <v>68</v>
      </c>
      <c r="E18023" s="3" t="s">
        <v>100</v>
      </c>
      <c r="F18023" s="7">
        <v>46094.34134351839</v>
      </c>
      <c r="G18023" s="3" t="s">
        <v>11057</v>
      </c>
    </row>
    <row r="18024">
      <c r="A18024" s="3" t="s">
        <v>34137</v>
      </c>
      <c r="B18024" s="3" t="s">
        <v>15015</v>
      </c>
      <c r="C18024" s="5" t="s">
        <v>45</v>
      </c>
      <c r="D18024" s="3" t="s">
        <v>221</v>
      </c>
      <c r="E18024" s="3" t="s">
        <v>781</v>
      </c>
      <c r="F18024" s="7">
        <v>46094.402101697146</v>
      </c>
      <c r="G18024" s="3" t="s">
        <v>4658</v>
      </c>
    </row>
    <row r="18025">
      <c r="A18025" s="3" t="s">
        <v>34138</v>
      </c>
      <c r="B18025" s="3" t="s">
        <v>15015</v>
      </c>
      <c r="C18025" s="5" t="s">
        <v>221</v>
      </c>
      <c r="D18025" s="3" t="s">
        <v>181</v>
      </c>
      <c r="E18025" s="3" t="s">
        <v>118</v>
      </c>
      <c r="F18025" s="7">
        <v>46094.405573919365</v>
      </c>
      <c r="G18025" s="3" t="s">
        <v>34139</v>
      </c>
    </row>
    <row r="18026">
      <c r="A18026" s="3" t="s">
        <v>34140</v>
      </c>
      <c r="B18026" s="3" t="s">
        <v>15019</v>
      </c>
      <c r="C18026" s="5" t="s">
        <v>45</v>
      </c>
      <c r="D18026" s="3" t="s">
        <v>221</v>
      </c>
      <c r="E18026" s="3" t="s">
        <v>650</v>
      </c>
      <c r="F18026" s="7">
        <v>46094.47327654256</v>
      </c>
      <c r="G18026" s="3" t="s">
        <v>11108</v>
      </c>
    </row>
    <row r="18027">
      <c r="A18027" s="3" t="s">
        <v>34141</v>
      </c>
      <c r="B18027" s="3" t="s">
        <v>15019</v>
      </c>
      <c r="C18027" s="5" t="s">
        <v>221</v>
      </c>
      <c r="D18027" s="3" t="s">
        <v>614</v>
      </c>
      <c r="E18027" s="3" t="s">
        <v>118</v>
      </c>
      <c r="F18027" s="7">
        <v>46094.47674876478</v>
      </c>
      <c r="G18027" s="3" t="s">
        <v>11111</v>
      </c>
    </row>
    <row r="18028">
      <c r="A18028" s="3" t="s">
        <v>34142</v>
      </c>
      <c r="B18028" s="3" t="s">
        <v>15019</v>
      </c>
      <c r="C18028" s="5" t="s">
        <v>614</v>
      </c>
      <c r="D18028" s="3" t="s">
        <v>206</v>
      </c>
      <c r="E18028" s="3" t="s">
        <v>100</v>
      </c>
      <c r="F18028" s="7">
        <v>46094.480220987</v>
      </c>
      <c r="G18028" s="3" t="s">
        <v>11114</v>
      </c>
    </row>
    <row r="18029">
      <c r="A18029" s="3" t="s">
        <v>34143</v>
      </c>
      <c r="B18029" s="3" t="s">
        <v>15019</v>
      </c>
      <c r="C18029" s="5" t="s">
        <v>206</v>
      </c>
      <c r="D18029" s="3" t="s">
        <v>68</v>
      </c>
      <c r="E18029" s="3" t="s">
        <v>100</v>
      </c>
      <c r="F18029" s="7">
        <v>46094.48369320922</v>
      </c>
      <c r="G18029" s="3" t="s">
        <v>11117</v>
      </c>
    </row>
    <row r="18030">
      <c r="A18030" s="3" t="s">
        <v>34144</v>
      </c>
      <c r="B18030" s="3" t="s">
        <v>15022</v>
      </c>
      <c r="C18030" s="5" t="s">
        <v>45</v>
      </c>
      <c r="D18030" s="3" t="s">
        <v>221</v>
      </c>
      <c r="E18030" s="3" t="s">
        <v>727</v>
      </c>
      <c r="F18030" s="7">
        <v>46094.54445138797</v>
      </c>
      <c r="G18030" s="3" t="s">
        <v>9589</v>
      </c>
    </row>
    <row r="18031">
      <c r="A18031" s="3" t="s">
        <v>34145</v>
      </c>
      <c r="B18031" s="3" t="s">
        <v>15022</v>
      </c>
      <c r="C18031" s="5" t="s">
        <v>221</v>
      </c>
      <c r="D18031" s="3" t="s">
        <v>614</v>
      </c>
      <c r="E18031" s="3" t="s">
        <v>118</v>
      </c>
      <c r="F18031" s="7">
        <v>46094.54792361019</v>
      </c>
      <c r="G18031" s="3" t="s">
        <v>23663</v>
      </c>
    </row>
    <row r="18032">
      <c r="A18032" s="3" t="s">
        <v>34146</v>
      </c>
      <c r="B18032" s="3" t="s">
        <v>15022</v>
      </c>
      <c r="C18032" s="5" t="s">
        <v>614</v>
      </c>
      <c r="D18032" s="3" t="s">
        <v>206</v>
      </c>
      <c r="E18032" s="3" t="s">
        <v>100</v>
      </c>
      <c r="F18032" s="7">
        <v>46094.551395832415</v>
      </c>
      <c r="G18032" s="3" t="s">
        <v>23665</v>
      </c>
    </row>
    <row r="18033">
      <c r="A18033" s="3" t="s">
        <v>34147</v>
      </c>
      <c r="B18033" s="3" t="s">
        <v>15022</v>
      </c>
      <c r="C18033" s="5" t="s">
        <v>206</v>
      </c>
      <c r="D18033" s="3" t="s">
        <v>68</v>
      </c>
      <c r="E18033" s="3" t="s">
        <v>100</v>
      </c>
      <c r="F18033" s="7">
        <v>46094.554868054634</v>
      </c>
      <c r="G18033" s="3" t="s">
        <v>23667</v>
      </c>
    </row>
    <row r="18034">
      <c r="A18034" s="3" t="s">
        <v>34148</v>
      </c>
      <c r="B18034" s="3" t="s">
        <v>15025</v>
      </c>
      <c r="C18034" s="5" t="s">
        <v>45</v>
      </c>
      <c r="D18034" s="3" t="s">
        <v>221</v>
      </c>
      <c r="E18034" s="3" t="s">
        <v>501</v>
      </c>
      <c r="F18034" s="7">
        <v>46094.61562623339</v>
      </c>
      <c r="G18034" s="3" t="s">
        <v>27375</v>
      </c>
    </row>
    <row r="18035">
      <c r="A18035" s="3" t="s">
        <v>34149</v>
      </c>
      <c r="B18035" s="3" t="s">
        <v>15025</v>
      </c>
      <c r="C18035" s="5" t="s">
        <v>221</v>
      </c>
      <c r="D18035" s="3" t="s">
        <v>614</v>
      </c>
      <c r="E18035" s="3" t="s">
        <v>118</v>
      </c>
      <c r="F18035" s="7">
        <v>46094.61909845561</v>
      </c>
      <c r="G18035" s="3" t="s">
        <v>27377</v>
      </c>
    </row>
    <row r="18036">
      <c r="A18036" s="3" t="s">
        <v>34150</v>
      </c>
      <c r="B18036" s="3" t="s">
        <v>15025</v>
      </c>
      <c r="C18036" s="5" t="s">
        <v>614</v>
      </c>
      <c r="D18036" s="3" t="s">
        <v>206</v>
      </c>
      <c r="E18036" s="3" t="s">
        <v>100</v>
      </c>
      <c r="F18036" s="7">
        <v>46094.622570677835</v>
      </c>
      <c r="G18036" s="3" t="s">
        <v>27379</v>
      </c>
    </row>
    <row r="18037">
      <c r="A18037" s="3" t="s">
        <v>34151</v>
      </c>
      <c r="B18037" s="3" t="s">
        <v>15025</v>
      </c>
      <c r="C18037" s="5" t="s">
        <v>206</v>
      </c>
      <c r="D18037" s="3" t="s">
        <v>68</v>
      </c>
      <c r="E18037" s="3" t="s">
        <v>100</v>
      </c>
      <c r="F18037" s="7">
        <v>46094.626042900054</v>
      </c>
      <c r="G18037" s="3" t="s">
        <v>27381</v>
      </c>
    </row>
    <row r="18038">
      <c r="A18038" s="3" t="s">
        <v>34152</v>
      </c>
      <c r="B18038" s="3" t="s">
        <v>15028</v>
      </c>
      <c r="C18038" s="5" t="s">
        <v>45</v>
      </c>
      <c r="D18038" s="3" t="s">
        <v>221</v>
      </c>
      <c r="E18038" s="3" t="s">
        <v>584</v>
      </c>
      <c r="F18038" s="7">
        <v>46094.6868010788</v>
      </c>
      <c r="G18038" s="3" t="s">
        <v>4031</v>
      </c>
    </row>
    <row r="18039">
      <c r="A18039" s="3" t="s">
        <v>34153</v>
      </c>
      <c r="B18039" s="3" t="s">
        <v>15028</v>
      </c>
      <c r="C18039" s="5" t="s">
        <v>221</v>
      </c>
      <c r="D18039" s="3" t="s">
        <v>614</v>
      </c>
      <c r="E18039" s="3" t="s">
        <v>118</v>
      </c>
      <c r="F18039" s="7">
        <v>46094.69027330102</v>
      </c>
      <c r="G18039" s="3" t="s">
        <v>4034</v>
      </c>
    </row>
    <row r="18040">
      <c r="A18040" s="3" t="s">
        <v>34154</v>
      </c>
      <c r="B18040" s="3" t="s">
        <v>15028</v>
      </c>
      <c r="C18040" s="5" t="s">
        <v>614</v>
      </c>
      <c r="D18040" s="3" t="s">
        <v>206</v>
      </c>
      <c r="E18040" s="3" t="s">
        <v>100</v>
      </c>
      <c r="F18040" s="7">
        <v>46094.69374552325</v>
      </c>
      <c r="G18040" s="3" t="s">
        <v>4037</v>
      </c>
    </row>
    <row r="18041">
      <c r="A18041" s="3" t="s">
        <v>34155</v>
      </c>
      <c r="B18041" s="3" t="s">
        <v>15028</v>
      </c>
      <c r="C18041" s="5" t="s">
        <v>206</v>
      </c>
      <c r="D18041" s="3" t="s">
        <v>68</v>
      </c>
      <c r="E18041" s="3" t="s">
        <v>100</v>
      </c>
      <c r="F18041" s="7">
        <v>46094.697217745466</v>
      </c>
      <c r="G18041" s="3" t="s">
        <v>4040</v>
      </c>
    </row>
    <row r="18042">
      <c r="A18042" s="3" t="s">
        <v>34156</v>
      </c>
      <c r="B18042" s="3" t="s">
        <v>15032</v>
      </c>
      <c r="C18042" s="5" t="s">
        <v>45</v>
      </c>
      <c r="D18042" s="3" t="s">
        <v>221</v>
      </c>
      <c r="E18042" s="3" t="s">
        <v>998</v>
      </c>
      <c r="F18042" s="7">
        <v>46094.757975924214</v>
      </c>
      <c r="G18042" s="3" t="s">
        <v>11148</v>
      </c>
    </row>
    <row r="18043">
      <c r="A18043" s="3" t="s">
        <v>34157</v>
      </c>
      <c r="B18043" s="3" t="s">
        <v>15032</v>
      </c>
      <c r="C18043" s="5" t="s">
        <v>221</v>
      </c>
      <c r="D18043" s="3" t="s">
        <v>614</v>
      </c>
      <c r="E18043" s="3" t="s">
        <v>118</v>
      </c>
      <c r="F18043" s="7">
        <v>46094.76144814643</v>
      </c>
      <c r="G18043" s="3" t="s">
        <v>11151</v>
      </c>
    </row>
    <row r="18044">
      <c r="A18044" s="3" t="s">
        <v>34158</v>
      </c>
      <c r="B18044" s="3" t="s">
        <v>15032</v>
      </c>
      <c r="C18044" s="5" t="s">
        <v>614</v>
      </c>
      <c r="D18044" s="3" t="s">
        <v>206</v>
      </c>
      <c r="E18044" s="3" t="s">
        <v>100</v>
      </c>
      <c r="F18044" s="7">
        <v>46094.76492036866</v>
      </c>
      <c r="G18044" s="3" t="s">
        <v>11154</v>
      </c>
    </row>
    <row r="18045">
      <c r="A18045" s="3" t="s">
        <v>34159</v>
      </c>
      <c r="B18045" s="3" t="s">
        <v>15032</v>
      </c>
      <c r="C18045" s="5" t="s">
        <v>206</v>
      </c>
      <c r="D18045" s="3" t="s">
        <v>68</v>
      </c>
      <c r="E18045" s="3" t="s">
        <v>100</v>
      </c>
      <c r="F18045" s="7">
        <v>46094.76839259088</v>
      </c>
      <c r="G18045" s="3" t="s">
        <v>11157</v>
      </c>
    </row>
    <row r="18046">
      <c r="A18046" s="3" t="s">
        <v>34160</v>
      </c>
      <c r="B18046" s="3" t="s">
        <v>15036</v>
      </c>
      <c r="C18046" s="5" t="s">
        <v>45</v>
      </c>
      <c r="D18046" s="3" t="s">
        <v>221</v>
      </c>
      <c r="E18046" s="3" t="s">
        <v>961</v>
      </c>
      <c r="F18046" s="7">
        <v>46094.829150769634</v>
      </c>
      <c r="G18046" s="3" t="s">
        <v>14870</v>
      </c>
    </row>
    <row r="18047">
      <c r="A18047" s="3" t="s">
        <v>34161</v>
      </c>
      <c r="B18047" s="3" t="s">
        <v>15036</v>
      </c>
      <c r="C18047" s="5" t="s">
        <v>221</v>
      </c>
      <c r="D18047" s="3" t="s">
        <v>614</v>
      </c>
      <c r="E18047" s="3" t="s">
        <v>118</v>
      </c>
      <c r="F18047" s="7">
        <v>46094.83262299185</v>
      </c>
      <c r="G18047" s="3" t="s">
        <v>18806</v>
      </c>
    </row>
    <row r="18048">
      <c r="A18048" s="3" t="s">
        <v>34162</v>
      </c>
      <c r="B18048" s="3" t="s">
        <v>15036</v>
      </c>
      <c r="C18048" s="5" t="s">
        <v>614</v>
      </c>
      <c r="D18048" s="3" t="s">
        <v>206</v>
      </c>
      <c r="E18048" s="3" t="s">
        <v>100</v>
      </c>
      <c r="F18048" s="7">
        <v>46094.83609521408</v>
      </c>
      <c r="G18048" s="3" t="s">
        <v>18809</v>
      </c>
    </row>
    <row r="18049">
      <c r="A18049" s="3" t="s">
        <v>34163</v>
      </c>
      <c r="B18049" s="3" t="s">
        <v>15036</v>
      </c>
      <c r="C18049" s="5" t="s">
        <v>206</v>
      </c>
      <c r="D18049" s="3" t="s">
        <v>68</v>
      </c>
      <c r="E18049" s="3" t="s">
        <v>100</v>
      </c>
      <c r="F18049" s="7">
        <v>46094.8395674363</v>
      </c>
      <c r="G18049" s="3" t="s">
        <v>18811</v>
      </c>
    </row>
    <row r="18050">
      <c r="A18050" s="3" t="s">
        <v>34164</v>
      </c>
      <c r="B18050" s="3" t="s">
        <v>15039</v>
      </c>
      <c r="C18050" s="5" t="s">
        <v>45</v>
      </c>
      <c r="D18050" s="3" t="s">
        <v>221</v>
      </c>
      <c r="E18050" s="3" t="s">
        <v>219</v>
      </c>
      <c r="F18050" s="7">
        <v>46094.90032561505</v>
      </c>
      <c r="G18050" s="3" t="s">
        <v>32165</v>
      </c>
    </row>
    <row r="18051">
      <c r="A18051" s="3" t="s">
        <v>34165</v>
      </c>
      <c r="B18051" s="3" t="s">
        <v>15039</v>
      </c>
      <c r="C18051" s="5" t="s">
        <v>221</v>
      </c>
      <c r="D18051" s="3" t="s">
        <v>614</v>
      </c>
      <c r="E18051" s="3" t="s">
        <v>118</v>
      </c>
      <c r="F18051" s="7">
        <v>46094.90379783727</v>
      </c>
      <c r="G18051" s="3" t="s">
        <v>32167</v>
      </c>
    </row>
    <row r="18052">
      <c r="A18052" s="3" t="s">
        <v>34166</v>
      </c>
      <c r="B18052" s="3" t="s">
        <v>15039</v>
      </c>
      <c r="C18052" s="5" t="s">
        <v>614</v>
      </c>
      <c r="D18052" s="3" t="s">
        <v>206</v>
      </c>
      <c r="E18052" s="3" t="s">
        <v>100</v>
      </c>
      <c r="F18052" s="7">
        <v>46094.9072700595</v>
      </c>
      <c r="G18052" s="3" t="s">
        <v>32169</v>
      </c>
    </row>
    <row r="18053">
      <c r="A18053" s="3" t="s">
        <v>34167</v>
      </c>
      <c r="B18053" s="3" t="s">
        <v>15039</v>
      </c>
      <c r="C18053" s="5" t="s">
        <v>206</v>
      </c>
      <c r="D18053" s="3" t="s">
        <v>68</v>
      </c>
      <c r="E18053" s="3" t="s">
        <v>100</v>
      </c>
      <c r="F18053" s="7">
        <v>46094.91074228172</v>
      </c>
      <c r="G18053" s="3" t="s">
        <v>32171</v>
      </c>
    </row>
    <row r="18054">
      <c r="A18054" s="3" t="s">
        <v>34168</v>
      </c>
      <c r="B18054" s="3" t="s">
        <v>15041</v>
      </c>
      <c r="C18054" s="5" t="s">
        <v>45</v>
      </c>
      <c r="D18054" s="3" t="s">
        <v>221</v>
      </c>
      <c r="E18054" s="3" t="s">
        <v>819</v>
      </c>
      <c r="F18054" s="7">
        <v>46094.97150046046</v>
      </c>
      <c r="G18054" s="3" t="s">
        <v>11192</v>
      </c>
    </row>
    <row r="18055">
      <c r="A18055" s="3" t="s">
        <v>34169</v>
      </c>
      <c r="B18055" s="3" t="s">
        <v>15041</v>
      </c>
      <c r="C18055" s="5" t="s">
        <v>221</v>
      </c>
      <c r="D18055" s="3" t="s">
        <v>614</v>
      </c>
      <c r="E18055" s="3" t="s">
        <v>118</v>
      </c>
      <c r="F18055" s="7">
        <v>46094.97497268268</v>
      </c>
      <c r="G18055" s="3" t="s">
        <v>11194</v>
      </c>
    </row>
    <row r="18056">
      <c r="A18056" s="3" t="s">
        <v>34170</v>
      </c>
      <c r="B18056" s="3" t="s">
        <v>15041</v>
      </c>
      <c r="C18056" s="5" t="s">
        <v>614</v>
      </c>
      <c r="D18056" s="3" t="s">
        <v>206</v>
      </c>
      <c r="E18056" s="3" t="s">
        <v>100</v>
      </c>
      <c r="F18056" s="7">
        <v>46094.978444904904</v>
      </c>
      <c r="G18056" s="3" t="s">
        <v>11197</v>
      </c>
    </row>
    <row r="18057">
      <c r="A18057" s="3" t="s">
        <v>34171</v>
      </c>
      <c r="B18057" s="3" t="s">
        <v>15041</v>
      </c>
      <c r="C18057" s="5" t="s">
        <v>206</v>
      </c>
      <c r="D18057" s="3" t="s">
        <v>68</v>
      </c>
      <c r="E18057" s="3" t="s">
        <v>100</v>
      </c>
      <c r="F18057" s="7">
        <v>46094.98191712712</v>
      </c>
      <c r="G18057" s="3" t="s">
        <v>11200</v>
      </c>
    </row>
    <row r="18058">
      <c r="A18058" s="3" t="s">
        <v>34172</v>
      </c>
      <c r="B18058" s="3" t="s">
        <v>15043</v>
      </c>
      <c r="C18058" s="5" t="s">
        <v>45</v>
      </c>
      <c r="D18058" s="3" t="s">
        <v>221</v>
      </c>
      <c r="E18058" s="3" t="s">
        <v>678</v>
      </c>
      <c r="F18058" s="7">
        <v>46095.04267530588</v>
      </c>
      <c r="G18058" s="3" t="s">
        <v>8229</v>
      </c>
    </row>
    <row r="18059">
      <c r="A18059" s="3" t="s">
        <v>34173</v>
      </c>
      <c r="B18059" s="3" t="s">
        <v>15043</v>
      </c>
      <c r="C18059" s="5" t="s">
        <v>221</v>
      </c>
      <c r="D18059" s="3" t="s">
        <v>181</v>
      </c>
      <c r="E18059" s="3" t="s">
        <v>118</v>
      </c>
      <c r="F18059" s="7">
        <v>46095.0461475281</v>
      </c>
      <c r="G18059" s="3" t="s">
        <v>32317</v>
      </c>
    </row>
    <row r="18060">
      <c r="A18060" s="3" t="s">
        <v>34174</v>
      </c>
      <c r="B18060" s="3" t="s">
        <v>15046</v>
      </c>
      <c r="C18060" s="5" t="s">
        <v>45</v>
      </c>
      <c r="D18060" s="3" t="s">
        <v>221</v>
      </c>
      <c r="E18060" s="3" t="s">
        <v>713</v>
      </c>
      <c r="F18060" s="7">
        <v>46095.1138501513</v>
      </c>
      <c r="G18060" s="3" t="s">
        <v>18208</v>
      </c>
    </row>
    <row r="18061">
      <c r="A18061" s="3" t="s">
        <v>34175</v>
      </c>
      <c r="B18061" s="3" t="s">
        <v>15046</v>
      </c>
      <c r="C18061" s="5" t="s">
        <v>221</v>
      </c>
      <c r="D18061" s="3" t="s">
        <v>614</v>
      </c>
      <c r="E18061" s="3" t="s">
        <v>118</v>
      </c>
      <c r="F18061" s="7">
        <v>46095.11732237352</v>
      </c>
      <c r="G18061" s="3" t="s">
        <v>18210</v>
      </c>
    </row>
    <row r="18062">
      <c r="A18062" s="3" t="s">
        <v>34176</v>
      </c>
      <c r="B18062" s="3" t="s">
        <v>15046</v>
      </c>
      <c r="C18062" s="5" t="s">
        <v>614</v>
      </c>
      <c r="D18062" s="3" t="s">
        <v>206</v>
      </c>
      <c r="E18062" s="3" t="s">
        <v>100</v>
      </c>
      <c r="F18062" s="7">
        <v>46095.12079459574</v>
      </c>
      <c r="G18062" s="3" t="s">
        <v>18213</v>
      </c>
    </row>
    <row r="18063">
      <c r="A18063" s="3" t="s">
        <v>34177</v>
      </c>
      <c r="B18063" s="3" t="s">
        <v>15046</v>
      </c>
      <c r="C18063" s="5" t="s">
        <v>206</v>
      </c>
      <c r="D18063" s="3" t="s">
        <v>68</v>
      </c>
      <c r="E18063" s="3" t="s">
        <v>100</v>
      </c>
      <c r="F18063" s="7">
        <v>46095.12426681796</v>
      </c>
      <c r="G18063" s="3" t="s">
        <v>18216</v>
      </c>
    </row>
    <row r="18064">
      <c r="A18064" s="3" t="s">
        <v>34178</v>
      </c>
      <c r="B18064" s="3" t="s">
        <v>15049</v>
      </c>
      <c r="C18064" s="5" t="s">
        <v>45</v>
      </c>
      <c r="D18064" s="3" t="s">
        <v>221</v>
      </c>
      <c r="E18064" s="3" t="s">
        <v>455</v>
      </c>
      <c r="F18064" s="7">
        <v>46095.18502499671</v>
      </c>
      <c r="G18064" s="3" t="s">
        <v>11224</v>
      </c>
    </row>
    <row r="18065">
      <c r="A18065" s="3" t="s">
        <v>34179</v>
      </c>
      <c r="B18065" s="3" t="s">
        <v>15049</v>
      </c>
      <c r="C18065" s="5" t="s">
        <v>221</v>
      </c>
      <c r="D18065" s="3" t="s">
        <v>614</v>
      </c>
      <c r="E18065" s="3" t="s">
        <v>118</v>
      </c>
      <c r="F18065" s="7">
        <v>46095.18849721893</v>
      </c>
      <c r="G18065" s="3" t="s">
        <v>11226</v>
      </c>
    </row>
    <row r="18066">
      <c r="A18066" s="3" t="s">
        <v>34180</v>
      </c>
      <c r="B18066" s="3" t="s">
        <v>15049</v>
      </c>
      <c r="C18066" s="5" t="s">
        <v>614</v>
      </c>
      <c r="D18066" s="3" t="s">
        <v>206</v>
      </c>
      <c r="E18066" s="3" t="s">
        <v>100</v>
      </c>
      <c r="F18066" s="7">
        <v>46095.191969441155</v>
      </c>
      <c r="G18066" s="3" t="s">
        <v>11229</v>
      </c>
    </row>
    <row r="18067">
      <c r="A18067" s="3" t="s">
        <v>34181</v>
      </c>
      <c r="B18067" s="3" t="s">
        <v>15049</v>
      </c>
      <c r="C18067" s="5" t="s">
        <v>206</v>
      </c>
      <c r="D18067" s="3" t="s">
        <v>68</v>
      </c>
      <c r="E18067" s="3" t="s">
        <v>100</v>
      </c>
      <c r="F18067" s="7">
        <v>46095.195441663374</v>
      </c>
      <c r="G18067" s="3" t="s">
        <v>11232</v>
      </c>
    </row>
    <row r="18068">
      <c r="A18068" s="3" t="s">
        <v>34182</v>
      </c>
      <c r="B18068" s="3" t="s">
        <v>15052</v>
      </c>
      <c r="C18068" s="5" t="s">
        <v>45</v>
      </c>
      <c r="D18068" s="3" t="s">
        <v>221</v>
      </c>
      <c r="E18068" s="3" t="s">
        <v>637</v>
      </c>
      <c r="F18068" s="7">
        <v>46095.25619984212</v>
      </c>
      <c r="G18068" s="3" t="s">
        <v>24943</v>
      </c>
    </row>
    <row r="18069">
      <c r="A18069" s="3" t="s">
        <v>34183</v>
      </c>
      <c r="B18069" s="3" t="s">
        <v>15052</v>
      </c>
      <c r="C18069" s="5" t="s">
        <v>221</v>
      </c>
      <c r="D18069" s="3" t="s">
        <v>614</v>
      </c>
      <c r="E18069" s="3" t="s">
        <v>118</v>
      </c>
      <c r="F18069" s="7">
        <v>46095.25967206434</v>
      </c>
      <c r="G18069" s="3" t="s">
        <v>24945</v>
      </c>
    </row>
    <row r="18070">
      <c r="A18070" s="3" t="s">
        <v>34184</v>
      </c>
      <c r="B18070" s="3" t="s">
        <v>15052</v>
      </c>
      <c r="C18070" s="5" t="s">
        <v>614</v>
      </c>
      <c r="D18070" s="3" t="s">
        <v>206</v>
      </c>
      <c r="E18070" s="3" t="s">
        <v>100</v>
      </c>
      <c r="F18070" s="7">
        <v>46095.26314428657</v>
      </c>
      <c r="G18070" s="3" t="s">
        <v>24947</v>
      </c>
    </row>
    <row r="18071">
      <c r="A18071" s="3" t="s">
        <v>34185</v>
      </c>
      <c r="B18071" s="3" t="s">
        <v>15052</v>
      </c>
      <c r="C18071" s="5" t="s">
        <v>206</v>
      </c>
      <c r="D18071" s="3" t="s">
        <v>68</v>
      </c>
      <c r="E18071" s="3" t="s">
        <v>100</v>
      </c>
      <c r="F18071" s="7">
        <v>46095.26661650879</v>
      </c>
      <c r="G18071" s="3" t="s">
        <v>24949</v>
      </c>
    </row>
    <row r="18072">
      <c r="A18072" s="3" t="s">
        <v>34186</v>
      </c>
      <c r="B18072" s="3" t="s">
        <v>15056</v>
      </c>
      <c r="C18072" s="5" t="s">
        <v>45</v>
      </c>
      <c r="D18072" s="3" t="s">
        <v>221</v>
      </c>
      <c r="E18072" s="3" t="s">
        <v>1037</v>
      </c>
      <c r="F18072" s="7">
        <v>46095.32737468754</v>
      </c>
      <c r="G18072" s="3" t="s">
        <v>11252</v>
      </c>
    </row>
    <row r="18073">
      <c r="A18073" s="3" t="s">
        <v>34187</v>
      </c>
      <c r="B18073" s="3" t="s">
        <v>15056</v>
      </c>
      <c r="C18073" s="5" t="s">
        <v>221</v>
      </c>
      <c r="D18073" s="3" t="s">
        <v>614</v>
      </c>
      <c r="E18073" s="3" t="s">
        <v>118</v>
      </c>
      <c r="F18073" s="7">
        <v>46095.33084690976</v>
      </c>
      <c r="G18073" s="3" t="s">
        <v>11255</v>
      </c>
    </row>
    <row r="18074">
      <c r="A18074" s="3" t="s">
        <v>34188</v>
      </c>
      <c r="B18074" s="3" t="s">
        <v>15056</v>
      </c>
      <c r="C18074" s="5" t="s">
        <v>614</v>
      </c>
      <c r="D18074" s="3" t="s">
        <v>206</v>
      </c>
      <c r="E18074" s="3" t="s">
        <v>100</v>
      </c>
      <c r="F18074" s="7">
        <v>46095.33431913199</v>
      </c>
      <c r="G18074" s="3" t="s">
        <v>11259</v>
      </c>
    </row>
    <row r="18075">
      <c r="A18075" s="3" t="s">
        <v>34189</v>
      </c>
      <c r="B18075" s="3" t="s">
        <v>15056</v>
      </c>
      <c r="C18075" s="5" t="s">
        <v>206</v>
      </c>
      <c r="D18075" s="3" t="s">
        <v>68</v>
      </c>
      <c r="E18075" s="3" t="s">
        <v>100</v>
      </c>
      <c r="F18075" s="7">
        <v>46095.337791354206</v>
      </c>
      <c r="G18075" s="3" t="s">
        <v>11262</v>
      </c>
    </row>
    <row r="18076">
      <c r="A18076" s="3" t="s">
        <v>34190</v>
      </c>
      <c r="B18076" s="3" t="s">
        <v>15060</v>
      </c>
      <c r="C18076" s="5" t="s">
        <v>45</v>
      </c>
      <c r="D18076" s="3" t="s">
        <v>221</v>
      </c>
      <c r="E18076" s="3" t="s">
        <v>698</v>
      </c>
      <c r="F18076" s="7">
        <v>46095.398549532954</v>
      </c>
      <c r="G18076" s="3" t="s">
        <v>19583</v>
      </c>
    </row>
    <row r="18077">
      <c r="A18077" s="3" t="s">
        <v>34191</v>
      </c>
      <c r="B18077" s="3" t="s">
        <v>15060</v>
      </c>
      <c r="C18077" s="5" t="s">
        <v>221</v>
      </c>
      <c r="D18077" s="3" t="s">
        <v>614</v>
      </c>
      <c r="E18077" s="3" t="s">
        <v>118</v>
      </c>
      <c r="F18077" s="7">
        <v>46095.40202175517</v>
      </c>
      <c r="G18077" s="3" t="s">
        <v>19586</v>
      </c>
    </row>
    <row r="18078">
      <c r="A18078" s="3" t="s">
        <v>34192</v>
      </c>
      <c r="B18078" s="3" t="s">
        <v>15060</v>
      </c>
      <c r="C18078" s="5" t="s">
        <v>614</v>
      </c>
      <c r="D18078" s="3" t="s">
        <v>206</v>
      </c>
      <c r="E18078" s="3" t="s">
        <v>100</v>
      </c>
      <c r="F18078" s="7">
        <v>46095.4054939774</v>
      </c>
      <c r="G18078" s="3" t="s">
        <v>19589</v>
      </c>
    </row>
    <row r="18079">
      <c r="A18079" s="3" t="s">
        <v>34193</v>
      </c>
      <c r="B18079" s="3" t="s">
        <v>15060</v>
      </c>
      <c r="C18079" s="5" t="s">
        <v>206</v>
      </c>
      <c r="D18079" s="3" t="s">
        <v>68</v>
      </c>
      <c r="E18079" s="3" t="s">
        <v>100</v>
      </c>
      <c r="F18079" s="7">
        <v>46095.40896619962</v>
      </c>
      <c r="G18079" s="3" t="s">
        <v>19591</v>
      </c>
    </row>
    <row r="18080">
      <c r="A18080" s="3" t="s">
        <v>34194</v>
      </c>
      <c r="B18080" s="3" t="s">
        <v>15063</v>
      </c>
      <c r="C18080" s="5" t="s">
        <v>45</v>
      </c>
      <c r="D18080" s="3" t="s">
        <v>221</v>
      </c>
      <c r="E18080" s="3" t="s">
        <v>280</v>
      </c>
      <c r="F18080" s="7">
        <v>46095.46972437837</v>
      </c>
      <c r="G18080" s="3" t="s">
        <v>11265</v>
      </c>
    </row>
    <row r="18081">
      <c r="A18081" s="3" t="s">
        <v>34195</v>
      </c>
      <c r="B18081" s="3" t="s">
        <v>15063</v>
      </c>
      <c r="C18081" s="5" t="s">
        <v>221</v>
      </c>
      <c r="D18081" s="3" t="s">
        <v>614</v>
      </c>
      <c r="E18081" s="3" t="s">
        <v>118</v>
      </c>
      <c r="F18081" s="7">
        <v>46095.473196600586</v>
      </c>
      <c r="G18081" s="3" t="s">
        <v>11268</v>
      </c>
    </row>
    <row r="18082">
      <c r="A18082" s="3" t="s">
        <v>34196</v>
      </c>
      <c r="B18082" s="3" t="s">
        <v>15063</v>
      </c>
      <c r="C18082" s="5" t="s">
        <v>614</v>
      </c>
      <c r="D18082" s="3" t="s">
        <v>206</v>
      </c>
      <c r="E18082" s="3" t="s">
        <v>100</v>
      </c>
      <c r="F18082" s="7">
        <v>46095.47666882281</v>
      </c>
      <c r="G18082" s="3" t="s">
        <v>11271</v>
      </c>
    </row>
    <row r="18083">
      <c r="A18083" s="3" t="s">
        <v>34197</v>
      </c>
      <c r="B18083" s="3" t="s">
        <v>15063</v>
      </c>
      <c r="C18083" s="5" t="s">
        <v>206</v>
      </c>
      <c r="D18083" s="3" t="s">
        <v>68</v>
      </c>
      <c r="E18083" s="3" t="s">
        <v>100</v>
      </c>
      <c r="F18083" s="7">
        <v>46095.48014104503</v>
      </c>
      <c r="G18083" s="3" t="s">
        <v>11273</v>
      </c>
    </row>
    <row r="18084">
      <c r="A18084" s="3" t="s">
        <v>34198</v>
      </c>
      <c r="B18084" s="3" t="s">
        <v>15066</v>
      </c>
      <c r="C18084" s="5" t="s">
        <v>45</v>
      </c>
      <c r="D18084" s="3" t="s">
        <v>221</v>
      </c>
      <c r="E18084" s="3" t="s">
        <v>310</v>
      </c>
      <c r="F18084" s="7">
        <v>46095.540899223786</v>
      </c>
      <c r="G18084" s="3" t="s">
        <v>11276</v>
      </c>
    </row>
    <row r="18085">
      <c r="A18085" s="3" t="s">
        <v>34199</v>
      </c>
      <c r="B18085" s="3" t="s">
        <v>15066</v>
      </c>
      <c r="C18085" s="5" t="s">
        <v>221</v>
      </c>
      <c r="D18085" s="3" t="s">
        <v>614</v>
      </c>
      <c r="E18085" s="3" t="s">
        <v>118</v>
      </c>
      <c r="F18085" s="7">
        <v>46095.544371446005</v>
      </c>
      <c r="G18085" s="3" t="s">
        <v>11279</v>
      </c>
    </row>
    <row r="18086">
      <c r="A18086" s="3" t="s">
        <v>34200</v>
      </c>
      <c r="B18086" s="3" t="s">
        <v>15066</v>
      </c>
      <c r="C18086" s="5" t="s">
        <v>614</v>
      </c>
      <c r="D18086" s="3" t="s">
        <v>206</v>
      </c>
      <c r="E18086" s="3" t="s">
        <v>100</v>
      </c>
      <c r="F18086" s="7">
        <v>46095.54784366823</v>
      </c>
      <c r="G18086" s="3" t="s">
        <v>11282</v>
      </c>
    </row>
    <row r="18087">
      <c r="A18087" s="3" t="s">
        <v>34201</v>
      </c>
      <c r="B18087" s="3" t="s">
        <v>15066</v>
      </c>
      <c r="C18087" s="5" t="s">
        <v>206</v>
      </c>
      <c r="D18087" s="3" t="s">
        <v>68</v>
      </c>
      <c r="E18087" s="3" t="s">
        <v>100</v>
      </c>
      <c r="F18087" s="7">
        <v>46095.55131589045</v>
      </c>
      <c r="G18087" s="3" t="s">
        <v>11284</v>
      </c>
    </row>
    <row r="18088">
      <c r="A18088" s="3" t="s">
        <v>34202</v>
      </c>
      <c r="B18088" s="3" t="s">
        <v>15069</v>
      </c>
      <c r="C18088" s="5" t="s">
        <v>45</v>
      </c>
      <c r="D18088" s="3" t="s">
        <v>221</v>
      </c>
      <c r="E18088" s="3" t="s">
        <v>287</v>
      </c>
      <c r="F18088" s="7">
        <v>46095.6120740692</v>
      </c>
      <c r="G18088" s="3" t="s">
        <v>24829</v>
      </c>
    </row>
    <row r="18089">
      <c r="A18089" s="3" t="s">
        <v>34203</v>
      </c>
      <c r="B18089" s="3" t="s">
        <v>15069</v>
      </c>
      <c r="C18089" s="5" t="s">
        <v>221</v>
      </c>
      <c r="D18089" s="3" t="s">
        <v>614</v>
      </c>
      <c r="E18089" s="3" t="s">
        <v>118</v>
      </c>
      <c r="F18089" s="7">
        <v>46095.61554629142</v>
      </c>
      <c r="G18089" s="3" t="s">
        <v>34204</v>
      </c>
    </row>
    <row r="18090">
      <c r="A18090" s="3" t="s">
        <v>34205</v>
      </c>
      <c r="B18090" s="3" t="s">
        <v>15069</v>
      </c>
      <c r="C18090" s="5" t="s">
        <v>614</v>
      </c>
      <c r="D18090" s="3" t="s">
        <v>206</v>
      </c>
      <c r="E18090" s="3" t="s">
        <v>100</v>
      </c>
      <c r="F18090" s="7">
        <v>46095.619018513644</v>
      </c>
      <c r="G18090" s="3" t="s">
        <v>34206</v>
      </c>
    </row>
    <row r="18091">
      <c r="A18091" s="3" t="s">
        <v>34207</v>
      </c>
      <c r="B18091" s="3" t="s">
        <v>15069</v>
      </c>
      <c r="C18091" s="5" t="s">
        <v>206</v>
      </c>
      <c r="D18091" s="3" t="s">
        <v>68</v>
      </c>
      <c r="E18091" s="3" t="s">
        <v>100</v>
      </c>
      <c r="F18091" s="7">
        <v>46095.62249073586</v>
      </c>
      <c r="G18091" s="3" t="s">
        <v>34208</v>
      </c>
    </row>
    <row r="18092">
      <c r="A18092" s="3" t="s">
        <v>34209</v>
      </c>
      <c r="B18092" s="3" t="s">
        <v>15072</v>
      </c>
      <c r="C18092" s="5" t="s">
        <v>45</v>
      </c>
      <c r="D18092" s="3" t="s">
        <v>221</v>
      </c>
      <c r="E18092" s="3" t="s">
        <v>742</v>
      </c>
      <c r="F18092" s="7">
        <v>46095.68324891461</v>
      </c>
      <c r="G18092" s="3" t="s">
        <v>11287</v>
      </c>
    </row>
    <row r="18093">
      <c r="A18093" s="3" t="s">
        <v>34210</v>
      </c>
      <c r="B18093" s="3" t="s">
        <v>15072</v>
      </c>
      <c r="C18093" s="5" t="s">
        <v>221</v>
      </c>
      <c r="D18093" s="3" t="s">
        <v>614</v>
      </c>
      <c r="E18093" s="3" t="s">
        <v>118</v>
      </c>
      <c r="F18093" s="7">
        <v>46095.68672113683</v>
      </c>
      <c r="G18093" s="3" t="s">
        <v>11290</v>
      </c>
    </row>
    <row r="18094">
      <c r="A18094" s="3" t="s">
        <v>34211</v>
      </c>
      <c r="B18094" s="3" t="s">
        <v>15072</v>
      </c>
      <c r="C18094" s="5" t="s">
        <v>614</v>
      </c>
      <c r="D18094" s="3" t="s">
        <v>206</v>
      </c>
      <c r="E18094" s="3" t="s">
        <v>100</v>
      </c>
      <c r="F18094" s="7">
        <v>46095.690193359056</v>
      </c>
      <c r="G18094" s="3" t="s">
        <v>11293</v>
      </c>
    </row>
    <row r="18095">
      <c r="A18095" s="3" t="s">
        <v>34212</v>
      </c>
      <c r="B18095" s="3" t="s">
        <v>15072</v>
      </c>
      <c r="C18095" s="5" t="s">
        <v>206</v>
      </c>
      <c r="D18095" s="3" t="s">
        <v>68</v>
      </c>
      <c r="E18095" s="3" t="s">
        <v>100</v>
      </c>
      <c r="F18095" s="7">
        <v>46095.693665581275</v>
      </c>
      <c r="G18095" s="3" t="s">
        <v>11296</v>
      </c>
    </row>
    <row r="18096">
      <c r="A18096" s="3" t="s">
        <v>34213</v>
      </c>
      <c r="B18096" s="3" t="s">
        <v>15074</v>
      </c>
      <c r="C18096" s="5" t="s">
        <v>45</v>
      </c>
      <c r="D18096" s="3" t="s">
        <v>221</v>
      </c>
      <c r="E18096" s="3" t="s">
        <v>569</v>
      </c>
      <c r="F18096" s="7">
        <v>46095.75442376003</v>
      </c>
      <c r="G18096" s="3" t="s">
        <v>11700</v>
      </c>
    </row>
    <row r="18097">
      <c r="A18097" s="3" t="s">
        <v>34214</v>
      </c>
      <c r="B18097" s="3" t="s">
        <v>15074</v>
      </c>
      <c r="C18097" s="5" t="s">
        <v>221</v>
      </c>
      <c r="D18097" s="3" t="s">
        <v>614</v>
      </c>
      <c r="E18097" s="3" t="s">
        <v>118</v>
      </c>
      <c r="F18097" s="7">
        <v>46095.75789598225</v>
      </c>
      <c r="G18097" s="3" t="s">
        <v>11703</v>
      </c>
    </row>
    <row r="18098">
      <c r="A18098" s="3" t="s">
        <v>34215</v>
      </c>
      <c r="B18098" s="3" t="s">
        <v>15074</v>
      </c>
      <c r="C18098" s="5" t="s">
        <v>614</v>
      </c>
      <c r="D18098" s="3" t="s">
        <v>206</v>
      </c>
      <c r="E18098" s="3" t="s">
        <v>100</v>
      </c>
      <c r="F18098" s="7">
        <v>46095.761368204476</v>
      </c>
      <c r="G18098" s="3" t="s">
        <v>11706</v>
      </c>
    </row>
    <row r="18099">
      <c r="A18099" s="3" t="s">
        <v>34216</v>
      </c>
      <c r="B18099" s="3" t="s">
        <v>15074</v>
      </c>
      <c r="C18099" s="5" t="s">
        <v>206</v>
      </c>
      <c r="D18099" s="3" t="s">
        <v>68</v>
      </c>
      <c r="E18099" s="3" t="s">
        <v>100</v>
      </c>
      <c r="F18099" s="7">
        <v>46095.764840426695</v>
      </c>
      <c r="G18099" s="3" t="s">
        <v>11709</v>
      </c>
    </row>
    <row r="18100">
      <c r="A18100" s="3" t="s">
        <v>34217</v>
      </c>
      <c r="B18100" s="3" t="s">
        <v>15076</v>
      </c>
      <c r="C18100" s="5" t="s">
        <v>45</v>
      </c>
      <c r="D18100" s="3" t="s">
        <v>221</v>
      </c>
      <c r="E18100" s="3" t="s">
        <v>619</v>
      </c>
      <c r="F18100" s="7">
        <v>46095.82559860544</v>
      </c>
      <c r="G18100" s="3" t="s">
        <v>11299</v>
      </c>
    </row>
    <row r="18101">
      <c r="A18101" s="3" t="s">
        <v>34218</v>
      </c>
      <c r="B18101" s="3" t="s">
        <v>15076</v>
      </c>
      <c r="C18101" s="5" t="s">
        <v>221</v>
      </c>
      <c r="D18101" s="3" t="s">
        <v>614</v>
      </c>
      <c r="E18101" s="3" t="s">
        <v>118</v>
      </c>
      <c r="F18101" s="7">
        <v>46095.82907082766</v>
      </c>
      <c r="G18101" s="3" t="s">
        <v>11302</v>
      </c>
    </row>
    <row r="18102">
      <c r="A18102" s="3" t="s">
        <v>34219</v>
      </c>
      <c r="B18102" s="3" t="s">
        <v>15076</v>
      </c>
      <c r="C18102" s="5" t="s">
        <v>614</v>
      </c>
      <c r="D18102" s="3" t="s">
        <v>206</v>
      </c>
      <c r="E18102" s="3" t="s">
        <v>100</v>
      </c>
      <c r="F18102" s="7">
        <v>46095.83254304989</v>
      </c>
      <c r="G18102" s="3" t="s">
        <v>11304</v>
      </c>
    </row>
    <row r="18103">
      <c r="A18103" s="3" t="s">
        <v>34220</v>
      </c>
      <c r="B18103" s="3" t="s">
        <v>15076</v>
      </c>
      <c r="C18103" s="5" t="s">
        <v>206</v>
      </c>
      <c r="D18103" s="3" t="s">
        <v>68</v>
      </c>
      <c r="E18103" s="3" t="s">
        <v>100</v>
      </c>
      <c r="F18103" s="7">
        <v>46095.83601527211</v>
      </c>
      <c r="G18103" s="3" t="s">
        <v>11307</v>
      </c>
    </row>
    <row r="18104">
      <c r="A18104" s="3" t="s">
        <v>34221</v>
      </c>
      <c r="B18104" s="3" t="s">
        <v>15080</v>
      </c>
      <c r="C18104" s="5" t="s">
        <v>45</v>
      </c>
      <c r="D18104" s="3" t="s">
        <v>221</v>
      </c>
      <c r="E18104" s="3" t="s">
        <v>722</v>
      </c>
      <c r="F18104" s="7">
        <v>46095.896773450855</v>
      </c>
      <c r="G18104" s="3" t="s">
        <v>33669</v>
      </c>
    </row>
    <row r="18105">
      <c r="A18105" s="3" t="s">
        <v>34222</v>
      </c>
      <c r="B18105" s="3" t="s">
        <v>15080</v>
      </c>
      <c r="C18105" s="5" t="s">
        <v>221</v>
      </c>
      <c r="D18105" s="3" t="s">
        <v>614</v>
      </c>
      <c r="E18105" s="3" t="s">
        <v>118</v>
      </c>
      <c r="F18105" s="7">
        <v>46095.900245673074</v>
      </c>
      <c r="G18105" s="3" t="s">
        <v>34223</v>
      </c>
    </row>
    <row r="18106">
      <c r="A18106" s="3" t="s">
        <v>34224</v>
      </c>
      <c r="B18106" s="3" t="s">
        <v>15080</v>
      </c>
      <c r="C18106" s="5" t="s">
        <v>614</v>
      </c>
      <c r="D18106" s="3" t="s">
        <v>206</v>
      </c>
      <c r="E18106" s="3" t="s">
        <v>100</v>
      </c>
      <c r="F18106" s="7">
        <v>46095.9037178953</v>
      </c>
      <c r="G18106" s="3" t="s">
        <v>34225</v>
      </c>
    </row>
    <row r="18107">
      <c r="A18107" s="3" t="s">
        <v>34226</v>
      </c>
      <c r="B18107" s="3" t="s">
        <v>15080</v>
      </c>
      <c r="C18107" s="5" t="s">
        <v>206</v>
      </c>
      <c r="D18107" s="3" t="s">
        <v>68</v>
      </c>
      <c r="E18107" s="3" t="s">
        <v>100</v>
      </c>
      <c r="F18107" s="7">
        <v>46095.90719011752</v>
      </c>
      <c r="G18107" s="3" t="s">
        <v>34227</v>
      </c>
    </row>
    <row r="18108">
      <c r="A18108" s="3" t="s">
        <v>34228</v>
      </c>
      <c r="B18108" s="3" t="s">
        <v>15084</v>
      </c>
      <c r="C18108" s="5" t="s">
        <v>45</v>
      </c>
      <c r="D18108" s="3" t="s">
        <v>221</v>
      </c>
      <c r="E18108" s="3" t="s">
        <v>702</v>
      </c>
      <c r="F18108" s="7">
        <v>46095.967948296275</v>
      </c>
      <c r="G18108" s="3" t="s">
        <v>34229</v>
      </c>
    </row>
    <row r="18109">
      <c r="A18109" s="3" t="s">
        <v>34230</v>
      </c>
      <c r="B18109" s="3" t="s">
        <v>15084</v>
      </c>
      <c r="C18109" s="5" t="s">
        <v>221</v>
      </c>
      <c r="D18109" s="3" t="s">
        <v>614</v>
      </c>
      <c r="E18109" s="3" t="s">
        <v>118</v>
      </c>
      <c r="F18109" s="7">
        <v>46095.971420518494</v>
      </c>
      <c r="G18109" s="3" t="s">
        <v>34231</v>
      </c>
    </row>
    <row r="18110">
      <c r="A18110" s="3" t="s">
        <v>34232</v>
      </c>
      <c r="B18110" s="3" t="s">
        <v>15084</v>
      </c>
      <c r="C18110" s="5" t="s">
        <v>614</v>
      </c>
      <c r="D18110" s="3" t="s">
        <v>206</v>
      </c>
      <c r="E18110" s="3" t="s">
        <v>100</v>
      </c>
      <c r="F18110" s="7">
        <v>46095.97489274072</v>
      </c>
      <c r="G18110" s="3" t="s">
        <v>34233</v>
      </c>
    </row>
    <row r="18111">
      <c r="A18111" s="3" t="s">
        <v>34234</v>
      </c>
      <c r="B18111" s="3" t="s">
        <v>15084</v>
      </c>
      <c r="C18111" s="5" t="s">
        <v>206</v>
      </c>
      <c r="D18111" s="3" t="s">
        <v>68</v>
      </c>
      <c r="E18111" s="3" t="s">
        <v>100</v>
      </c>
      <c r="F18111" s="7">
        <v>46095.97836496294</v>
      </c>
      <c r="G18111" s="3" t="s">
        <v>34235</v>
      </c>
    </row>
    <row r="18112">
      <c r="A18112" s="3" t="s">
        <v>34236</v>
      </c>
      <c r="B18112" s="3" t="s">
        <v>15087</v>
      </c>
      <c r="C18112" s="5" t="s">
        <v>45</v>
      </c>
      <c r="D18112" s="3" t="s">
        <v>221</v>
      </c>
      <c r="E18112" s="3" t="s">
        <v>395</v>
      </c>
      <c r="F18112" s="7">
        <v>46096.039123141694</v>
      </c>
      <c r="G18112" s="3" t="s">
        <v>29322</v>
      </c>
    </row>
    <row r="18113">
      <c r="A18113" s="3" t="s">
        <v>34237</v>
      </c>
      <c r="B18113" s="3" t="s">
        <v>15087</v>
      </c>
      <c r="C18113" s="5" t="s">
        <v>221</v>
      </c>
      <c r="D18113" s="3" t="s">
        <v>614</v>
      </c>
      <c r="E18113" s="3" t="s">
        <v>118</v>
      </c>
      <c r="F18113" s="7">
        <v>46096.04259536391</v>
      </c>
      <c r="G18113" s="3" t="s">
        <v>29324</v>
      </c>
    </row>
    <row r="18114">
      <c r="A18114" s="3" t="s">
        <v>34238</v>
      </c>
      <c r="B18114" s="3" t="s">
        <v>15087</v>
      </c>
      <c r="C18114" s="5" t="s">
        <v>614</v>
      </c>
      <c r="D18114" s="3" t="s">
        <v>206</v>
      </c>
      <c r="E18114" s="3" t="s">
        <v>100</v>
      </c>
      <c r="F18114" s="7">
        <v>46096.04606758614</v>
      </c>
      <c r="G18114" s="3" t="s">
        <v>29326</v>
      </c>
    </row>
    <row r="18115">
      <c r="A18115" s="3" t="s">
        <v>34239</v>
      </c>
      <c r="B18115" s="3" t="s">
        <v>15087</v>
      </c>
      <c r="C18115" s="5" t="s">
        <v>206</v>
      </c>
      <c r="D18115" s="3" t="s">
        <v>68</v>
      </c>
      <c r="E18115" s="3" t="s">
        <v>100</v>
      </c>
      <c r="F18115" s="7">
        <v>46096.04953980836</v>
      </c>
      <c r="G18115" s="3" t="s">
        <v>29328</v>
      </c>
    </row>
    <row r="18116">
      <c r="A18116" s="3" t="s">
        <v>34240</v>
      </c>
      <c r="B18116" s="3" t="s">
        <v>15089</v>
      </c>
      <c r="C18116" s="5" t="s">
        <v>45</v>
      </c>
      <c r="D18116" s="3" t="s">
        <v>221</v>
      </c>
      <c r="E18116" s="3" t="s">
        <v>442</v>
      </c>
      <c r="F18116" s="7">
        <v>46096.1102979871</v>
      </c>
      <c r="G18116" s="3" t="s">
        <v>24051</v>
      </c>
    </row>
    <row r="18117">
      <c r="A18117" s="3" t="s">
        <v>34241</v>
      </c>
      <c r="B18117" s="3" t="s">
        <v>15089</v>
      </c>
      <c r="C18117" s="5" t="s">
        <v>221</v>
      </c>
      <c r="D18117" s="3" t="s">
        <v>614</v>
      </c>
      <c r="E18117" s="3" t="s">
        <v>118</v>
      </c>
      <c r="F18117" s="7">
        <v>46096.11377020932</v>
      </c>
      <c r="G18117" s="3" t="s">
        <v>25376</v>
      </c>
    </row>
    <row r="18118">
      <c r="A18118" s="3" t="s">
        <v>34242</v>
      </c>
      <c r="B18118" s="3" t="s">
        <v>15089</v>
      </c>
      <c r="C18118" s="5" t="s">
        <v>614</v>
      </c>
      <c r="D18118" s="3" t="s">
        <v>206</v>
      </c>
      <c r="E18118" s="3" t="s">
        <v>100</v>
      </c>
      <c r="F18118" s="7">
        <v>46096.117242431545</v>
      </c>
      <c r="G18118" s="3" t="s">
        <v>25378</v>
      </c>
    </row>
    <row r="18119">
      <c r="A18119" s="3" t="s">
        <v>34243</v>
      </c>
      <c r="B18119" s="3" t="s">
        <v>15089</v>
      </c>
      <c r="C18119" s="5" t="s">
        <v>206</v>
      </c>
      <c r="D18119" s="3" t="s">
        <v>68</v>
      </c>
      <c r="E18119" s="3" t="s">
        <v>100</v>
      </c>
      <c r="F18119" s="7">
        <v>46096.12071465376</v>
      </c>
      <c r="G18119" s="3" t="s">
        <v>25380</v>
      </c>
    </row>
    <row r="18120">
      <c r="A18120" s="3" t="s">
        <v>34244</v>
      </c>
      <c r="B18120" s="3" t="s">
        <v>15092</v>
      </c>
      <c r="C18120" s="5" t="s">
        <v>45</v>
      </c>
      <c r="D18120" s="3" t="s">
        <v>221</v>
      </c>
      <c r="E18120" s="3" t="s">
        <v>247</v>
      </c>
      <c r="F18120" s="7">
        <v>46096.18147283252</v>
      </c>
      <c r="G18120" s="3" t="s">
        <v>24380</v>
      </c>
    </row>
    <row r="18121">
      <c r="A18121" s="3" t="s">
        <v>34245</v>
      </c>
      <c r="B18121" s="3" t="s">
        <v>15092</v>
      </c>
      <c r="C18121" s="5" t="s">
        <v>221</v>
      </c>
      <c r="D18121" s="3" t="s">
        <v>614</v>
      </c>
      <c r="E18121" s="3" t="s">
        <v>118</v>
      </c>
      <c r="F18121" s="7">
        <v>46096.18494505474</v>
      </c>
      <c r="G18121" s="3" t="s">
        <v>24382</v>
      </c>
    </row>
    <row r="18122">
      <c r="A18122" s="3" t="s">
        <v>34246</v>
      </c>
      <c r="B18122" s="3" t="s">
        <v>15092</v>
      </c>
      <c r="C18122" s="5" t="s">
        <v>614</v>
      </c>
      <c r="D18122" s="3" t="s">
        <v>206</v>
      </c>
      <c r="E18122" s="3" t="s">
        <v>100</v>
      </c>
      <c r="F18122" s="7">
        <v>46096.188417276964</v>
      </c>
      <c r="G18122" s="3" t="s">
        <v>24384</v>
      </c>
    </row>
    <row r="18123">
      <c r="A18123" s="3" t="s">
        <v>34247</v>
      </c>
      <c r="B18123" s="3" t="s">
        <v>15092</v>
      </c>
      <c r="C18123" s="5" t="s">
        <v>206</v>
      </c>
      <c r="D18123" s="3" t="s">
        <v>68</v>
      </c>
      <c r="E18123" s="3" t="s">
        <v>100</v>
      </c>
      <c r="F18123" s="7">
        <v>46096.19188949918</v>
      </c>
      <c r="G18123" s="3" t="s">
        <v>24386</v>
      </c>
    </row>
    <row r="18124">
      <c r="A18124" s="3" t="s">
        <v>34248</v>
      </c>
      <c r="B18124" s="3" t="s">
        <v>15096</v>
      </c>
      <c r="C18124" s="5" t="s">
        <v>45</v>
      </c>
      <c r="D18124" s="3" t="s">
        <v>221</v>
      </c>
      <c r="E18124" s="3" t="s">
        <v>1001</v>
      </c>
      <c r="F18124" s="7">
        <v>46096.25264767794</v>
      </c>
      <c r="G18124" s="3" t="s">
        <v>11361</v>
      </c>
    </row>
    <row r="18125">
      <c r="A18125" s="3" t="s">
        <v>34249</v>
      </c>
      <c r="B18125" s="3" t="s">
        <v>15096</v>
      </c>
      <c r="C18125" s="5" t="s">
        <v>221</v>
      </c>
      <c r="D18125" s="3" t="s">
        <v>614</v>
      </c>
      <c r="E18125" s="3" t="s">
        <v>118</v>
      </c>
      <c r="F18125" s="7">
        <v>46096.25611990016</v>
      </c>
      <c r="G18125" s="3" t="s">
        <v>11364</v>
      </c>
    </row>
    <row r="18126">
      <c r="A18126" s="3" t="s">
        <v>34250</v>
      </c>
      <c r="B18126" s="3" t="s">
        <v>15096</v>
      </c>
      <c r="C18126" s="5" t="s">
        <v>614</v>
      </c>
      <c r="D18126" s="3" t="s">
        <v>206</v>
      </c>
      <c r="E18126" s="3" t="s">
        <v>100</v>
      </c>
      <c r="F18126" s="7">
        <v>46096.259592122384</v>
      </c>
      <c r="G18126" s="3" t="s">
        <v>11367</v>
      </c>
    </row>
    <row r="18127">
      <c r="A18127" s="3" t="s">
        <v>34251</v>
      </c>
      <c r="B18127" s="3" t="s">
        <v>15096</v>
      </c>
      <c r="C18127" s="5" t="s">
        <v>206</v>
      </c>
      <c r="D18127" s="3" t="s">
        <v>68</v>
      </c>
      <c r="E18127" s="3" t="s">
        <v>100</v>
      </c>
      <c r="F18127" s="7">
        <v>46096.2630643446</v>
      </c>
      <c r="G18127" s="3" t="s">
        <v>11370</v>
      </c>
    </row>
    <row r="18128">
      <c r="A18128" s="3" t="s">
        <v>34252</v>
      </c>
      <c r="B18128" s="3" t="s">
        <v>15100</v>
      </c>
      <c r="C18128" s="5" t="s">
        <v>45</v>
      </c>
      <c r="D18128" s="3" t="s">
        <v>221</v>
      </c>
      <c r="E18128" s="3" t="s">
        <v>204</v>
      </c>
      <c r="F18128" s="7">
        <v>46096.32382252335</v>
      </c>
      <c r="G18128" s="3" t="s">
        <v>18440</v>
      </c>
    </row>
    <row r="18129">
      <c r="A18129" s="3" t="s">
        <v>34253</v>
      </c>
      <c r="B18129" s="3" t="s">
        <v>15100</v>
      </c>
      <c r="C18129" s="5" t="s">
        <v>221</v>
      </c>
      <c r="D18129" s="3" t="s">
        <v>614</v>
      </c>
      <c r="E18129" s="3" t="s">
        <v>118</v>
      </c>
      <c r="F18129" s="7">
        <v>46096.32729474557</v>
      </c>
      <c r="G18129" s="3" t="s">
        <v>18442</v>
      </c>
    </row>
    <row r="18130">
      <c r="A18130" s="3" t="s">
        <v>34254</v>
      </c>
      <c r="B18130" s="3" t="s">
        <v>15100</v>
      </c>
      <c r="C18130" s="5" t="s">
        <v>614</v>
      </c>
      <c r="D18130" s="3" t="s">
        <v>206</v>
      </c>
      <c r="E18130" s="3" t="s">
        <v>100</v>
      </c>
      <c r="F18130" s="7">
        <v>46096.330766967796</v>
      </c>
      <c r="G18130" s="3" t="s">
        <v>18445</v>
      </c>
    </row>
    <row r="18131">
      <c r="A18131" s="3" t="s">
        <v>34255</v>
      </c>
      <c r="B18131" s="3" t="s">
        <v>15100</v>
      </c>
      <c r="C18131" s="5" t="s">
        <v>206</v>
      </c>
      <c r="D18131" s="3" t="s">
        <v>68</v>
      </c>
      <c r="E18131" s="3" t="s">
        <v>100</v>
      </c>
      <c r="F18131" s="7">
        <v>46096.334239190015</v>
      </c>
      <c r="G18131" s="3" t="s">
        <v>18448</v>
      </c>
    </row>
    <row r="18132">
      <c r="A18132" s="3" t="s">
        <v>34256</v>
      </c>
      <c r="B18132" s="3" t="s">
        <v>15103</v>
      </c>
      <c r="C18132" s="5" t="s">
        <v>45</v>
      </c>
      <c r="D18132" s="3" t="s">
        <v>221</v>
      </c>
      <c r="E18132" s="3" t="s">
        <v>135</v>
      </c>
      <c r="F18132" s="7">
        <v>46096.39499736876</v>
      </c>
      <c r="G18132" s="3" t="s">
        <v>16305</v>
      </c>
    </row>
    <row r="18133">
      <c r="A18133" s="3" t="s">
        <v>34257</v>
      </c>
      <c r="B18133" s="3" t="s">
        <v>15103</v>
      </c>
      <c r="C18133" s="5" t="s">
        <v>221</v>
      </c>
      <c r="D18133" s="3" t="s">
        <v>614</v>
      </c>
      <c r="E18133" s="3" t="s">
        <v>118</v>
      </c>
      <c r="F18133" s="7">
        <v>46096.39846959098</v>
      </c>
      <c r="G18133" s="3" t="s">
        <v>16308</v>
      </c>
    </row>
    <row r="18134">
      <c r="A18134" s="3" t="s">
        <v>34258</v>
      </c>
      <c r="B18134" s="3" t="s">
        <v>15103</v>
      </c>
      <c r="C18134" s="5" t="s">
        <v>614</v>
      </c>
      <c r="D18134" s="3" t="s">
        <v>206</v>
      </c>
      <c r="E18134" s="3" t="s">
        <v>100</v>
      </c>
      <c r="F18134" s="7">
        <v>46096.40194181321</v>
      </c>
      <c r="G18134" s="3" t="s">
        <v>16311</v>
      </c>
    </row>
    <row r="18135">
      <c r="A18135" s="3" t="s">
        <v>34259</v>
      </c>
      <c r="B18135" s="3" t="s">
        <v>15103</v>
      </c>
      <c r="C18135" s="5" t="s">
        <v>206</v>
      </c>
      <c r="D18135" s="3" t="s">
        <v>68</v>
      </c>
      <c r="E18135" s="3" t="s">
        <v>100</v>
      </c>
      <c r="F18135" s="7">
        <v>46096.40541403543</v>
      </c>
      <c r="G18135" s="3" t="s">
        <v>16313</v>
      </c>
    </row>
    <row r="18136">
      <c r="A18136" s="3" t="s">
        <v>34260</v>
      </c>
      <c r="B18136" s="3" t="s">
        <v>15105</v>
      </c>
      <c r="C18136" s="5" t="s">
        <v>45</v>
      </c>
      <c r="D18136" s="3" t="s">
        <v>221</v>
      </c>
      <c r="E18136" s="3" t="s">
        <v>521</v>
      </c>
      <c r="F18136" s="7">
        <v>46096.46617221418</v>
      </c>
      <c r="G18136" s="3" t="s">
        <v>13764</v>
      </c>
    </row>
    <row r="18137">
      <c r="A18137" s="3" t="s">
        <v>34261</v>
      </c>
      <c r="B18137" s="3" t="s">
        <v>15105</v>
      </c>
      <c r="C18137" s="5" t="s">
        <v>221</v>
      </c>
      <c r="D18137" s="3" t="s">
        <v>614</v>
      </c>
      <c r="E18137" s="3" t="s">
        <v>118</v>
      </c>
      <c r="F18137" s="7">
        <v>46096.4696444364</v>
      </c>
      <c r="G18137" s="3" t="s">
        <v>13767</v>
      </c>
    </row>
    <row r="18138">
      <c r="A18138" s="3" t="s">
        <v>34262</v>
      </c>
      <c r="B18138" s="3" t="s">
        <v>15105</v>
      </c>
      <c r="C18138" s="5" t="s">
        <v>614</v>
      </c>
      <c r="D18138" s="3" t="s">
        <v>206</v>
      </c>
      <c r="E18138" s="3" t="s">
        <v>100</v>
      </c>
      <c r="F18138" s="7">
        <v>46096.47311665863</v>
      </c>
      <c r="G18138" s="3" t="s">
        <v>13769</v>
      </c>
    </row>
    <row r="18139">
      <c r="A18139" s="3" t="s">
        <v>34263</v>
      </c>
      <c r="B18139" s="3" t="s">
        <v>15105</v>
      </c>
      <c r="C18139" s="5" t="s">
        <v>206</v>
      </c>
      <c r="D18139" s="3" t="s">
        <v>68</v>
      </c>
      <c r="E18139" s="3" t="s">
        <v>100</v>
      </c>
      <c r="F18139" s="7">
        <v>46096.47658888085</v>
      </c>
      <c r="G18139" s="3" t="s">
        <v>13772</v>
      </c>
    </row>
    <row r="18140">
      <c r="A18140" s="3" t="s">
        <v>34264</v>
      </c>
      <c r="B18140" s="3" t="s">
        <v>15108</v>
      </c>
      <c r="C18140" s="5" t="s">
        <v>45</v>
      </c>
      <c r="D18140" s="3" t="s">
        <v>221</v>
      </c>
      <c r="E18140" s="3" t="s">
        <v>657</v>
      </c>
      <c r="F18140" s="7">
        <v>46096.537347059595</v>
      </c>
      <c r="G18140" s="3" t="s">
        <v>11453</v>
      </c>
    </row>
    <row r="18141">
      <c r="A18141" s="3" t="s">
        <v>34265</v>
      </c>
      <c r="B18141" s="3" t="s">
        <v>15108</v>
      </c>
      <c r="C18141" s="5" t="s">
        <v>221</v>
      </c>
      <c r="D18141" s="3" t="s">
        <v>614</v>
      </c>
      <c r="E18141" s="3" t="s">
        <v>118</v>
      </c>
      <c r="F18141" s="7">
        <v>46096.540819281814</v>
      </c>
      <c r="G18141" s="3" t="s">
        <v>11456</v>
      </c>
    </row>
    <row r="18142">
      <c r="A18142" s="3" t="s">
        <v>34266</v>
      </c>
      <c r="B18142" s="3" t="s">
        <v>15108</v>
      </c>
      <c r="C18142" s="5" t="s">
        <v>614</v>
      </c>
      <c r="D18142" s="3" t="s">
        <v>206</v>
      </c>
      <c r="E18142" s="3" t="s">
        <v>100</v>
      </c>
      <c r="F18142" s="7">
        <v>46096.54429150404</v>
      </c>
      <c r="G18142" s="3" t="s">
        <v>11459</v>
      </c>
    </row>
    <row r="18143">
      <c r="A18143" s="3" t="s">
        <v>34267</v>
      </c>
      <c r="B18143" s="3" t="s">
        <v>15108</v>
      </c>
      <c r="C18143" s="5" t="s">
        <v>206</v>
      </c>
      <c r="D18143" s="3" t="s">
        <v>68</v>
      </c>
      <c r="E18143" s="3" t="s">
        <v>100</v>
      </c>
      <c r="F18143" s="7">
        <v>46096.54776372626</v>
      </c>
      <c r="G18143" s="3" t="s">
        <v>11461</v>
      </c>
    </row>
    <row r="18144">
      <c r="A18144" s="3" t="s">
        <v>34268</v>
      </c>
      <c r="B18144" s="3" t="s">
        <v>15112</v>
      </c>
      <c r="C18144" s="5" t="s">
        <v>45</v>
      </c>
      <c r="D18144" s="3" t="s">
        <v>221</v>
      </c>
      <c r="E18144" s="3" t="s">
        <v>1030</v>
      </c>
      <c r="F18144" s="7">
        <v>46096.60852190501</v>
      </c>
      <c r="G18144" s="3" t="s">
        <v>8757</v>
      </c>
    </row>
    <row r="18145">
      <c r="A18145" s="3" t="s">
        <v>34269</v>
      </c>
      <c r="B18145" s="3" t="s">
        <v>15112</v>
      </c>
      <c r="C18145" s="5" t="s">
        <v>221</v>
      </c>
      <c r="D18145" s="3" t="s">
        <v>614</v>
      </c>
      <c r="E18145" s="3" t="s">
        <v>118</v>
      </c>
      <c r="F18145" s="7">
        <v>46096.611994127226</v>
      </c>
      <c r="G18145" s="3" t="s">
        <v>34270</v>
      </c>
    </row>
    <row r="18146">
      <c r="A18146" s="3" t="s">
        <v>34271</v>
      </c>
      <c r="B18146" s="3" t="s">
        <v>15112</v>
      </c>
      <c r="C18146" s="5" t="s">
        <v>614</v>
      </c>
      <c r="D18146" s="3" t="s">
        <v>206</v>
      </c>
      <c r="E18146" s="3" t="s">
        <v>100</v>
      </c>
      <c r="F18146" s="7">
        <v>46096.61546634945</v>
      </c>
      <c r="G18146" s="3" t="s">
        <v>34272</v>
      </c>
    </row>
    <row r="18147">
      <c r="A18147" s="3" t="s">
        <v>34273</v>
      </c>
      <c r="B18147" s="3" t="s">
        <v>15112</v>
      </c>
      <c r="C18147" s="5" t="s">
        <v>206</v>
      </c>
      <c r="D18147" s="3" t="s">
        <v>68</v>
      </c>
      <c r="E18147" s="3" t="s">
        <v>100</v>
      </c>
      <c r="F18147" s="7">
        <v>46096.61893857167</v>
      </c>
      <c r="G18147" s="3" t="s">
        <v>34274</v>
      </c>
    </row>
    <row r="18148">
      <c r="A18148" s="3" t="s">
        <v>34275</v>
      </c>
      <c r="B18148" s="3" t="s">
        <v>15115</v>
      </c>
      <c r="C18148" s="5" t="s">
        <v>45</v>
      </c>
      <c r="D18148" s="3" t="s">
        <v>221</v>
      </c>
      <c r="E18148" s="3" t="s">
        <v>816</v>
      </c>
      <c r="F18148" s="7">
        <v>46096.67969675043</v>
      </c>
      <c r="G18148" s="3" t="s">
        <v>2770</v>
      </c>
    </row>
    <row r="18149">
      <c r="A18149" s="3" t="s">
        <v>34276</v>
      </c>
      <c r="B18149" s="3" t="s">
        <v>15115</v>
      </c>
      <c r="C18149" s="5" t="s">
        <v>221</v>
      </c>
      <c r="D18149" s="3" t="s">
        <v>181</v>
      </c>
      <c r="E18149" s="3" t="s">
        <v>118</v>
      </c>
      <c r="F18149" s="7">
        <v>46096.683168972646</v>
      </c>
      <c r="G18149" s="3" t="s">
        <v>2774</v>
      </c>
    </row>
    <row r="18150">
      <c r="A18150" s="3" t="s">
        <v>34277</v>
      </c>
      <c r="B18150" s="3" t="s">
        <v>15118</v>
      </c>
      <c r="C18150" s="5" t="s">
        <v>45</v>
      </c>
      <c r="D18150" s="3" t="s">
        <v>221</v>
      </c>
      <c r="E18150" s="3" t="s">
        <v>536</v>
      </c>
      <c r="F18150" s="7">
        <v>46096.75087159584</v>
      </c>
      <c r="G18150" s="3" t="s">
        <v>34012</v>
      </c>
    </row>
    <row r="18151">
      <c r="A18151" s="3" t="s">
        <v>34278</v>
      </c>
      <c r="B18151" s="3" t="s">
        <v>15118</v>
      </c>
      <c r="C18151" s="5" t="s">
        <v>221</v>
      </c>
      <c r="D18151" s="3" t="s">
        <v>614</v>
      </c>
      <c r="E18151" s="3" t="s">
        <v>118</v>
      </c>
      <c r="F18151" s="7">
        <v>46096.75434381806</v>
      </c>
      <c r="G18151" s="3" t="s">
        <v>34014</v>
      </c>
    </row>
    <row r="18152">
      <c r="A18152" s="3" t="s">
        <v>34279</v>
      </c>
      <c r="B18152" s="3" t="s">
        <v>15118</v>
      </c>
      <c r="C18152" s="5" t="s">
        <v>614</v>
      </c>
      <c r="D18152" s="3" t="s">
        <v>206</v>
      </c>
      <c r="E18152" s="3" t="s">
        <v>100</v>
      </c>
      <c r="F18152" s="7">
        <v>46096.757816040285</v>
      </c>
      <c r="G18152" s="3" t="s">
        <v>34016</v>
      </c>
    </row>
    <row r="18153">
      <c r="A18153" s="3" t="s">
        <v>34280</v>
      </c>
      <c r="B18153" s="3" t="s">
        <v>15118</v>
      </c>
      <c r="C18153" s="5" t="s">
        <v>206</v>
      </c>
      <c r="D18153" s="3" t="s">
        <v>68</v>
      </c>
      <c r="E18153" s="3" t="s">
        <v>100</v>
      </c>
      <c r="F18153" s="7">
        <v>46096.7612882625</v>
      </c>
      <c r="G18153" s="3" t="s">
        <v>34018</v>
      </c>
    </row>
    <row r="18154">
      <c r="A18154" s="3" t="s">
        <v>34281</v>
      </c>
      <c r="B18154" s="3" t="s">
        <v>15121</v>
      </c>
      <c r="C18154" s="5" t="s">
        <v>45</v>
      </c>
      <c r="D18154" s="3" t="s">
        <v>221</v>
      </c>
      <c r="E18154" s="3" t="s">
        <v>895</v>
      </c>
      <c r="F18154" s="7">
        <v>46096.82204644125</v>
      </c>
      <c r="G18154" s="3" t="s">
        <v>9456</v>
      </c>
    </row>
    <row r="18155">
      <c r="A18155" s="3" t="s">
        <v>34282</v>
      </c>
      <c r="B18155" s="3" t="s">
        <v>15121</v>
      </c>
      <c r="C18155" s="5" t="s">
        <v>221</v>
      </c>
      <c r="D18155" s="3" t="s">
        <v>614</v>
      </c>
      <c r="E18155" s="3" t="s">
        <v>118</v>
      </c>
      <c r="F18155" s="7">
        <v>46096.82551866347</v>
      </c>
      <c r="G18155" s="3" t="s">
        <v>9460</v>
      </c>
    </row>
    <row r="18156">
      <c r="A18156" s="3" t="s">
        <v>34283</v>
      </c>
      <c r="B18156" s="3" t="s">
        <v>15121</v>
      </c>
      <c r="C18156" s="5" t="s">
        <v>614</v>
      </c>
      <c r="D18156" s="3" t="s">
        <v>206</v>
      </c>
      <c r="E18156" s="3" t="s">
        <v>100</v>
      </c>
      <c r="F18156" s="7">
        <v>46096.8289908857</v>
      </c>
      <c r="G18156" s="3" t="s">
        <v>9462</v>
      </c>
    </row>
    <row r="18157">
      <c r="A18157" s="3" t="s">
        <v>34284</v>
      </c>
      <c r="B18157" s="3" t="s">
        <v>15121</v>
      </c>
      <c r="C18157" s="5" t="s">
        <v>206</v>
      </c>
      <c r="D18157" s="3" t="s">
        <v>68</v>
      </c>
      <c r="E18157" s="3" t="s">
        <v>100</v>
      </c>
      <c r="F18157" s="7">
        <v>46096.832463107916</v>
      </c>
      <c r="G18157" s="3" t="s">
        <v>9465</v>
      </c>
    </row>
    <row r="18158">
      <c r="A18158" s="3" t="s">
        <v>34285</v>
      </c>
      <c r="B18158" s="3" t="s">
        <v>15123</v>
      </c>
      <c r="C18158" s="5" t="s">
        <v>45</v>
      </c>
      <c r="D18158" s="3" t="s">
        <v>221</v>
      </c>
      <c r="E18158" s="3" t="s">
        <v>819</v>
      </c>
      <c r="F18158" s="7">
        <v>46096.89322128667</v>
      </c>
      <c r="G18158" s="3" t="s">
        <v>17970</v>
      </c>
    </row>
    <row r="18159">
      <c r="A18159" s="3" t="s">
        <v>34286</v>
      </c>
      <c r="B18159" s="3" t="s">
        <v>15123</v>
      </c>
      <c r="C18159" s="5" t="s">
        <v>221</v>
      </c>
      <c r="D18159" s="3" t="s">
        <v>614</v>
      </c>
      <c r="E18159" s="3" t="s">
        <v>118</v>
      </c>
      <c r="F18159" s="7">
        <v>46096.89669350889</v>
      </c>
      <c r="G18159" s="3" t="s">
        <v>19775</v>
      </c>
    </row>
    <row r="18160">
      <c r="A18160" s="3" t="s">
        <v>34287</v>
      </c>
      <c r="B18160" s="3" t="s">
        <v>15123</v>
      </c>
      <c r="C18160" s="5" t="s">
        <v>614</v>
      </c>
      <c r="D18160" s="3" t="s">
        <v>206</v>
      </c>
      <c r="E18160" s="3" t="s">
        <v>100</v>
      </c>
      <c r="F18160" s="7">
        <v>46096.90016573112</v>
      </c>
      <c r="G18160" s="3" t="s">
        <v>19778</v>
      </c>
    </row>
    <row r="18161">
      <c r="A18161" s="3" t="s">
        <v>34288</v>
      </c>
      <c r="B18161" s="3" t="s">
        <v>15123</v>
      </c>
      <c r="C18161" s="5" t="s">
        <v>206</v>
      </c>
      <c r="D18161" s="3" t="s">
        <v>68</v>
      </c>
      <c r="E18161" s="3" t="s">
        <v>100</v>
      </c>
      <c r="F18161" s="7">
        <v>46096.903637953335</v>
      </c>
      <c r="G18161" s="3" t="s">
        <v>19781</v>
      </c>
    </row>
    <row r="18162">
      <c r="A18162" s="3" t="s">
        <v>34289</v>
      </c>
      <c r="B18162" s="3" t="s">
        <v>15125</v>
      </c>
      <c r="C18162" s="5" t="s">
        <v>45</v>
      </c>
      <c r="D18162" s="3" t="s">
        <v>221</v>
      </c>
      <c r="E18162" s="3" t="s">
        <v>830</v>
      </c>
      <c r="F18162" s="7">
        <v>46096.96439613209</v>
      </c>
      <c r="G18162" s="3" t="s">
        <v>26188</v>
      </c>
    </row>
    <row r="18163">
      <c r="A18163" s="3" t="s">
        <v>34290</v>
      </c>
      <c r="B18163" s="3" t="s">
        <v>15125</v>
      </c>
      <c r="C18163" s="5" t="s">
        <v>221</v>
      </c>
      <c r="D18163" s="3" t="s">
        <v>614</v>
      </c>
      <c r="E18163" s="3" t="s">
        <v>118</v>
      </c>
      <c r="F18163" s="7">
        <v>46096.96786835431</v>
      </c>
      <c r="G18163" s="3" t="s">
        <v>26190</v>
      </c>
    </row>
    <row r="18164">
      <c r="A18164" s="3" t="s">
        <v>34291</v>
      </c>
      <c r="B18164" s="3" t="s">
        <v>15125</v>
      </c>
      <c r="C18164" s="5" t="s">
        <v>614</v>
      </c>
      <c r="D18164" s="3" t="s">
        <v>206</v>
      </c>
      <c r="E18164" s="3" t="s">
        <v>100</v>
      </c>
      <c r="F18164" s="7">
        <v>46096.971340576536</v>
      </c>
      <c r="G18164" s="3" t="s">
        <v>26192</v>
      </c>
    </row>
    <row r="18165">
      <c r="A18165" s="3" t="s">
        <v>34292</v>
      </c>
      <c r="B18165" s="3" t="s">
        <v>15125</v>
      </c>
      <c r="C18165" s="5" t="s">
        <v>206</v>
      </c>
      <c r="D18165" s="3" t="s">
        <v>68</v>
      </c>
      <c r="E18165" s="3" t="s">
        <v>100</v>
      </c>
      <c r="F18165" s="7">
        <v>46096.974812798755</v>
      </c>
      <c r="G18165" s="3" t="s">
        <v>26194</v>
      </c>
    </row>
    <row r="18166">
      <c r="A18166" s="3" t="s">
        <v>34293</v>
      </c>
      <c r="B18166" s="3" t="s">
        <v>15128</v>
      </c>
      <c r="C18166" s="5" t="s">
        <v>45</v>
      </c>
      <c r="D18166" s="3" t="s">
        <v>221</v>
      </c>
      <c r="E18166" s="3" t="s">
        <v>373</v>
      </c>
      <c r="F18166" s="7">
        <v>46097.035570977496</v>
      </c>
      <c r="G18166" s="3" t="s">
        <v>11493</v>
      </c>
    </row>
    <row r="18167">
      <c r="A18167" s="3" t="s">
        <v>34294</v>
      </c>
      <c r="B18167" s="3" t="s">
        <v>15128</v>
      </c>
      <c r="C18167" s="5" t="s">
        <v>221</v>
      </c>
      <c r="D18167" s="3" t="s">
        <v>614</v>
      </c>
      <c r="E18167" s="3" t="s">
        <v>118</v>
      </c>
      <c r="F18167" s="7">
        <v>46097.039043199715</v>
      </c>
      <c r="G18167" s="3" t="s">
        <v>11496</v>
      </c>
    </row>
    <row r="18168">
      <c r="A18168" s="3" t="s">
        <v>34295</v>
      </c>
      <c r="B18168" s="3" t="s">
        <v>15128</v>
      </c>
      <c r="C18168" s="5" t="s">
        <v>614</v>
      </c>
      <c r="D18168" s="3" t="s">
        <v>206</v>
      </c>
      <c r="E18168" s="3" t="s">
        <v>100</v>
      </c>
      <c r="F18168" s="7">
        <v>46097.04251542194</v>
      </c>
      <c r="G18168" s="3" t="s">
        <v>11499</v>
      </c>
    </row>
    <row r="18169">
      <c r="A18169" s="3" t="s">
        <v>34296</v>
      </c>
      <c r="B18169" s="3" t="s">
        <v>15128</v>
      </c>
      <c r="C18169" s="5" t="s">
        <v>206</v>
      </c>
      <c r="D18169" s="3" t="s">
        <v>68</v>
      </c>
      <c r="E18169" s="3" t="s">
        <v>100</v>
      </c>
      <c r="F18169" s="7">
        <v>46097.04598764416</v>
      </c>
      <c r="G18169" s="3" t="s">
        <v>11501</v>
      </c>
    </row>
    <row r="18170">
      <c r="A18170" s="3" t="s">
        <v>34297</v>
      </c>
      <c r="B18170" s="3" t="s">
        <v>15132</v>
      </c>
      <c r="C18170" s="5" t="s">
        <v>45</v>
      </c>
      <c r="D18170" s="3" t="s">
        <v>221</v>
      </c>
      <c r="E18170" s="3" t="s">
        <v>704</v>
      </c>
      <c r="F18170" s="7">
        <v>46097.106745822915</v>
      </c>
      <c r="G18170" s="3" t="s">
        <v>10844</v>
      </c>
    </row>
    <row r="18171">
      <c r="A18171" s="3" t="s">
        <v>34298</v>
      </c>
      <c r="B18171" s="3" t="s">
        <v>15132</v>
      </c>
      <c r="C18171" s="5" t="s">
        <v>221</v>
      </c>
      <c r="D18171" s="3" t="s">
        <v>614</v>
      </c>
      <c r="E18171" s="3" t="s">
        <v>118</v>
      </c>
      <c r="F18171" s="7">
        <v>46097.110218045134</v>
      </c>
      <c r="G18171" s="3" t="s">
        <v>10847</v>
      </c>
    </row>
    <row r="18172">
      <c r="A18172" s="3" t="s">
        <v>34299</v>
      </c>
      <c r="B18172" s="3" t="s">
        <v>15132</v>
      </c>
      <c r="C18172" s="5" t="s">
        <v>614</v>
      </c>
      <c r="D18172" s="3" t="s">
        <v>206</v>
      </c>
      <c r="E18172" s="3" t="s">
        <v>100</v>
      </c>
      <c r="F18172" s="7">
        <v>46097.11369026736</v>
      </c>
      <c r="G18172" s="3" t="s">
        <v>10850</v>
      </c>
    </row>
    <row r="18173">
      <c r="A18173" s="3" t="s">
        <v>34300</v>
      </c>
      <c r="B18173" s="3" t="s">
        <v>15132</v>
      </c>
      <c r="C18173" s="5" t="s">
        <v>206</v>
      </c>
      <c r="D18173" s="3" t="s">
        <v>68</v>
      </c>
      <c r="E18173" s="3" t="s">
        <v>100</v>
      </c>
      <c r="F18173" s="7">
        <v>46097.11716248958</v>
      </c>
      <c r="G18173" s="3" t="s">
        <v>10853</v>
      </c>
    </row>
    <row r="18174">
      <c r="A18174" s="3" t="s">
        <v>34301</v>
      </c>
      <c r="B18174" s="3" t="s">
        <v>15136</v>
      </c>
      <c r="C18174" s="5" t="s">
        <v>45</v>
      </c>
      <c r="D18174" s="3" t="s">
        <v>221</v>
      </c>
      <c r="E18174" s="3" t="s">
        <v>256</v>
      </c>
      <c r="F18174" s="7">
        <v>46097.177920668335</v>
      </c>
      <c r="G18174" s="3" t="s">
        <v>25813</v>
      </c>
    </row>
    <row r="18175">
      <c r="A18175" s="3" t="s">
        <v>34302</v>
      </c>
      <c r="B18175" s="3" t="s">
        <v>15136</v>
      </c>
      <c r="C18175" s="5" t="s">
        <v>221</v>
      </c>
      <c r="D18175" s="3" t="s">
        <v>614</v>
      </c>
      <c r="E18175" s="3" t="s">
        <v>118</v>
      </c>
      <c r="F18175" s="7">
        <v>46097.181392890554</v>
      </c>
      <c r="G18175" s="3" t="s">
        <v>27432</v>
      </c>
    </row>
    <row r="18176">
      <c r="A18176" s="3" t="s">
        <v>34303</v>
      </c>
      <c r="B18176" s="3" t="s">
        <v>15136</v>
      </c>
      <c r="C18176" s="5" t="s">
        <v>614</v>
      </c>
      <c r="D18176" s="3" t="s">
        <v>206</v>
      </c>
      <c r="E18176" s="3" t="s">
        <v>100</v>
      </c>
      <c r="F18176" s="7">
        <v>46097.18486511278</v>
      </c>
      <c r="G18176" s="3" t="s">
        <v>27434</v>
      </c>
    </row>
    <row r="18177">
      <c r="A18177" s="3" t="s">
        <v>34304</v>
      </c>
      <c r="B18177" s="3" t="s">
        <v>15136</v>
      </c>
      <c r="C18177" s="5" t="s">
        <v>206</v>
      </c>
      <c r="D18177" s="3" t="s">
        <v>68</v>
      </c>
      <c r="E18177" s="3" t="s">
        <v>100</v>
      </c>
      <c r="F18177" s="7">
        <v>46097.188337335</v>
      </c>
      <c r="G18177" s="3" t="s">
        <v>27436</v>
      </c>
    </row>
    <row r="18178">
      <c r="A18178" s="3" t="s">
        <v>34305</v>
      </c>
      <c r="B18178" s="3" t="s">
        <v>15138</v>
      </c>
      <c r="C18178" s="5" t="s">
        <v>45</v>
      </c>
      <c r="D18178" s="3" t="s">
        <v>221</v>
      </c>
      <c r="E18178" s="3" t="s">
        <v>713</v>
      </c>
      <c r="F18178" s="7">
        <v>46097.24909551375</v>
      </c>
      <c r="G18178" s="3" t="s">
        <v>11560</v>
      </c>
    </row>
    <row r="18179">
      <c r="A18179" s="3" t="s">
        <v>34306</v>
      </c>
      <c r="B18179" s="3" t="s">
        <v>15138</v>
      </c>
      <c r="C18179" s="5" t="s">
        <v>221</v>
      </c>
      <c r="D18179" s="3" t="s">
        <v>614</v>
      </c>
      <c r="E18179" s="3" t="s">
        <v>118</v>
      </c>
      <c r="F18179" s="7">
        <v>46097.252567735966</v>
      </c>
      <c r="G18179" s="3" t="s">
        <v>11563</v>
      </c>
    </row>
    <row r="18180">
      <c r="A18180" s="3" t="s">
        <v>34307</v>
      </c>
      <c r="B18180" s="3" t="s">
        <v>15138</v>
      </c>
      <c r="C18180" s="5" t="s">
        <v>614</v>
      </c>
      <c r="D18180" s="3" t="s">
        <v>206</v>
      </c>
      <c r="E18180" s="3" t="s">
        <v>100</v>
      </c>
      <c r="F18180" s="7">
        <v>46097.25603995819</v>
      </c>
      <c r="G18180" s="3" t="s">
        <v>11566</v>
      </c>
    </row>
    <row r="18181">
      <c r="A18181" s="3" t="s">
        <v>34308</v>
      </c>
      <c r="B18181" s="3" t="s">
        <v>15138</v>
      </c>
      <c r="C18181" s="5" t="s">
        <v>206</v>
      </c>
      <c r="D18181" s="3" t="s">
        <v>68</v>
      </c>
      <c r="E18181" s="3" t="s">
        <v>100</v>
      </c>
      <c r="F18181" s="7">
        <v>46097.25951218041</v>
      </c>
      <c r="G18181" s="3" t="s">
        <v>11569</v>
      </c>
    </row>
    <row r="18182">
      <c r="A18182" s="3" t="s">
        <v>34309</v>
      </c>
      <c r="B18182" s="3" t="s">
        <v>15140</v>
      </c>
      <c r="C18182" s="5" t="s">
        <v>45</v>
      </c>
      <c r="D18182" s="3" t="s">
        <v>221</v>
      </c>
      <c r="E18182" s="3" t="s">
        <v>414</v>
      </c>
      <c r="F18182" s="7">
        <v>46097.32027035916</v>
      </c>
      <c r="G18182" s="3" t="s">
        <v>18755</v>
      </c>
    </row>
    <row r="18183">
      <c r="A18183" s="3" t="s">
        <v>34310</v>
      </c>
      <c r="B18183" s="3" t="s">
        <v>15140</v>
      </c>
      <c r="C18183" s="5" t="s">
        <v>221</v>
      </c>
      <c r="D18183" s="3" t="s">
        <v>614</v>
      </c>
      <c r="E18183" s="3" t="s">
        <v>118</v>
      </c>
      <c r="F18183" s="7">
        <v>46097.32374258138</v>
      </c>
      <c r="G18183" s="3" t="s">
        <v>18758</v>
      </c>
    </row>
    <row r="18184">
      <c r="A18184" s="3" t="s">
        <v>34311</v>
      </c>
      <c r="B18184" s="3" t="s">
        <v>15140</v>
      </c>
      <c r="C18184" s="5" t="s">
        <v>614</v>
      </c>
      <c r="D18184" s="3" t="s">
        <v>206</v>
      </c>
      <c r="E18184" s="3" t="s">
        <v>100</v>
      </c>
      <c r="F18184" s="7">
        <v>46097.327214803605</v>
      </c>
      <c r="G18184" s="3" t="s">
        <v>18761</v>
      </c>
    </row>
    <row r="18185">
      <c r="A18185" s="3" t="s">
        <v>34312</v>
      </c>
      <c r="B18185" s="3" t="s">
        <v>15140</v>
      </c>
      <c r="C18185" s="5" t="s">
        <v>206</v>
      </c>
      <c r="D18185" s="3" t="s">
        <v>68</v>
      </c>
      <c r="E18185" s="3" t="s">
        <v>100</v>
      </c>
      <c r="F18185" s="7">
        <v>46097.330687025824</v>
      </c>
      <c r="G18185" s="3" t="s">
        <v>18764</v>
      </c>
    </row>
    <row r="18186">
      <c r="A18186" s="3" t="s">
        <v>34313</v>
      </c>
      <c r="B18186" s="3" t="s">
        <v>15142</v>
      </c>
      <c r="C18186" s="5" t="s">
        <v>45</v>
      </c>
      <c r="D18186" s="3" t="s">
        <v>221</v>
      </c>
      <c r="E18186" s="3" t="s">
        <v>929</v>
      </c>
      <c r="F18186" s="7">
        <v>46097.39144520458</v>
      </c>
      <c r="G18186" s="3" t="s">
        <v>32881</v>
      </c>
    </row>
    <row r="18187">
      <c r="A18187" s="3" t="s">
        <v>34314</v>
      </c>
      <c r="B18187" s="3" t="s">
        <v>15142</v>
      </c>
      <c r="C18187" s="5" t="s">
        <v>221</v>
      </c>
      <c r="D18187" s="3" t="s">
        <v>614</v>
      </c>
      <c r="E18187" s="3" t="s">
        <v>118</v>
      </c>
      <c r="F18187" s="7">
        <v>46097.3949174268</v>
      </c>
      <c r="G18187" s="3" t="s">
        <v>32883</v>
      </c>
    </row>
    <row r="18188">
      <c r="A18188" s="3" t="s">
        <v>34315</v>
      </c>
      <c r="B18188" s="3" t="s">
        <v>15142</v>
      </c>
      <c r="C18188" s="5" t="s">
        <v>614</v>
      </c>
      <c r="D18188" s="3" t="s">
        <v>206</v>
      </c>
      <c r="E18188" s="3" t="s">
        <v>100</v>
      </c>
      <c r="F18188" s="7">
        <v>46097.398389649024</v>
      </c>
      <c r="G18188" s="3" t="s">
        <v>32885</v>
      </c>
    </row>
    <row r="18189">
      <c r="A18189" s="3" t="s">
        <v>34316</v>
      </c>
      <c r="B18189" s="3" t="s">
        <v>15142</v>
      </c>
      <c r="C18189" s="5" t="s">
        <v>206</v>
      </c>
      <c r="D18189" s="3" t="s">
        <v>68</v>
      </c>
      <c r="E18189" s="3" t="s">
        <v>100</v>
      </c>
      <c r="F18189" s="7">
        <v>46097.40186187124</v>
      </c>
      <c r="G18189" s="3" t="s">
        <v>32887</v>
      </c>
    </row>
    <row r="18190">
      <c r="A18190" s="3" t="s">
        <v>34317</v>
      </c>
      <c r="B18190" s="3" t="s">
        <v>15145</v>
      </c>
      <c r="C18190" s="5" t="s">
        <v>45</v>
      </c>
      <c r="D18190" s="3" t="s">
        <v>221</v>
      </c>
      <c r="E18190" s="3" t="s">
        <v>171</v>
      </c>
      <c r="F18190" s="7">
        <v>46097.46262004999</v>
      </c>
      <c r="G18190" s="3" t="s">
        <v>32605</v>
      </c>
    </row>
    <row r="18191">
      <c r="A18191" s="3" t="s">
        <v>34318</v>
      </c>
      <c r="B18191" s="3" t="s">
        <v>15145</v>
      </c>
      <c r="C18191" s="5" t="s">
        <v>221</v>
      </c>
      <c r="D18191" s="3" t="s">
        <v>181</v>
      </c>
      <c r="E18191" s="3" t="s">
        <v>118</v>
      </c>
      <c r="F18191" s="7">
        <v>46097.46609227221</v>
      </c>
      <c r="G18191" s="3" t="s">
        <v>32607</v>
      </c>
    </row>
    <row r="18192">
      <c r="A18192" s="3" t="s">
        <v>34319</v>
      </c>
      <c r="B18192" s="3" t="s">
        <v>15147</v>
      </c>
      <c r="C18192" s="5" t="s">
        <v>45</v>
      </c>
      <c r="D18192" s="3" t="s">
        <v>221</v>
      </c>
      <c r="E18192" s="3" t="s">
        <v>662</v>
      </c>
      <c r="F18192" s="7">
        <v>46097.533794895404</v>
      </c>
      <c r="G18192" s="3" t="s">
        <v>22201</v>
      </c>
    </row>
    <row r="18193">
      <c r="A18193" s="3" t="s">
        <v>34320</v>
      </c>
      <c r="B18193" s="3" t="s">
        <v>15147</v>
      </c>
      <c r="C18193" s="5" t="s">
        <v>221</v>
      </c>
      <c r="D18193" s="3" t="s">
        <v>614</v>
      </c>
      <c r="E18193" s="3" t="s">
        <v>118</v>
      </c>
      <c r="F18193" s="7">
        <v>46097.53726711762</v>
      </c>
      <c r="G18193" s="3" t="s">
        <v>22204</v>
      </c>
    </row>
    <row r="18194">
      <c r="A18194" s="3" t="s">
        <v>34321</v>
      </c>
      <c r="B18194" s="3" t="s">
        <v>15147</v>
      </c>
      <c r="C18194" s="5" t="s">
        <v>614</v>
      </c>
      <c r="D18194" s="3" t="s">
        <v>206</v>
      </c>
      <c r="E18194" s="3" t="s">
        <v>100</v>
      </c>
      <c r="F18194" s="7">
        <v>46097.54073933985</v>
      </c>
      <c r="G18194" s="3" t="s">
        <v>22207</v>
      </c>
    </row>
    <row r="18195">
      <c r="A18195" s="3" t="s">
        <v>34322</v>
      </c>
      <c r="B18195" s="3" t="s">
        <v>15147</v>
      </c>
      <c r="C18195" s="5" t="s">
        <v>206</v>
      </c>
      <c r="D18195" s="3" t="s">
        <v>68</v>
      </c>
      <c r="E18195" s="3" t="s">
        <v>100</v>
      </c>
      <c r="F18195" s="7">
        <v>46097.54421156207</v>
      </c>
      <c r="G18195" s="3" t="s">
        <v>22210</v>
      </c>
    </row>
    <row r="18196">
      <c r="A18196" s="3" t="s">
        <v>34323</v>
      </c>
      <c r="B18196" s="3" t="s">
        <v>15149</v>
      </c>
      <c r="C18196" s="5" t="s">
        <v>45</v>
      </c>
      <c r="D18196" s="3" t="s">
        <v>221</v>
      </c>
      <c r="E18196" s="3" t="s">
        <v>822</v>
      </c>
      <c r="F18196" s="7">
        <v>46097.60496974082</v>
      </c>
      <c r="G18196" s="3" t="s">
        <v>10611</v>
      </c>
    </row>
    <row r="18197">
      <c r="A18197" s="3" t="s">
        <v>34324</v>
      </c>
      <c r="B18197" s="3" t="s">
        <v>15149</v>
      </c>
      <c r="C18197" s="5" t="s">
        <v>221</v>
      </c>
      <c r="D18197" s="3" t="s">
        <v>614</v>
      </c>
      <c r="E18197" s="3" t="s">
        <v>118</v>
      </c>
      <c r="F18197" s="7">
        <v>46097.60844196304</v>
      </c>
      <c r="G18197" s="3" t="s">
        <v>10614</v>
      </c>
    </row>
    <row r="18198">
      <c r="A18198" s="3" t="s">
        <v>34325</v>
      </c>
      <c r="B18198" s="3" t="s">
        <v>15149</v>
      </c>
      <c r="C18198" s="5" t="s">
        <v>614</v>
      </c>
      <c r="D18198" s="3" t="s">
        <v>206</v>
      </c>
      <c r="E18198" s="3" t="s">
        <v>100</v>
      </c>
      <c r="F18198" s="7">
        <v>46097.61191418527</v>
      </c>
      <c r="G18198" s="3" t="s">
        <v>10617</v>
      </c>
    </row>
    <row r="18199">
      <c r="A18199" s="3" t="s">
        <v>34326</v>
      </c>
      <c r="B18199" s="3" t="s">
        <v>15149</v>
      </c>
      <c r="C18199" s="5" t="s">
        <v>206</v>
      </c>
      <c r="D18199" s="3" t="s">
        <v>68</v>
      </c>
      <c r="E18199" s="3" t="s">
        <v>100</v>
      </c>
      <c r="F18199" s="7">
        <v>46097.61538640749</v>
      </c>
      <c r="G18199" s="3" t="s">
        <v>10620</v>
      </c>
    </row>
    <row r="18200">
      <c r="A18200" s="3" t="s">
        <v>34327</v>
      </c>
      <c r="B18200" s="3" t="s">
        <v>15151</v>
      </c>
      <c r="C18200" s="5" t="s">
        <v>45</v>
      </c>
      <c r="D18200" s="3" t="s">
        <v>221</v>
      </c>
      <c r="E18200" s="3" t="s">
        <v>356</v>
      </c>
      <c r="F18200" s="7">
        <v>46097.676144586236</v>
      </c>
      <c r="G18200" s="3" t="s">
        <v>11588</v>
      </c>
    </row>
    <row r="18201">
      <c r="A18201" s="3" t="s">
        <v>34328</v>
      </c>
      <c r="B18201" s="3" t="s">
        <v>15151</v>
      </c>
      <c r="C18201" s="5" t="s">
        <v>221</v>
      </c>
      <c r="D18201" s="3" t="s">
        <v>614</v>
      </c>
      <c r="E18201" s="3" t="s">
        <v>118</v>
      </c>
      <c r="F18201" s="7">
        <v>46097.679616808455</v>
      </c>
      <c r="G18201" s="3" t="s">
        <v>11591</v>
      </c>
    </row>
    <row r="18202">
      <c r="A18202" s="3" t="s">
        <v>34329</v>
      </c>
      <c r="B18202" s="3" t="s">
        <v>15151</v>
      </c>
      <c r="C18202" s="5" t="s">
        <v>614</v>
      </c>
      <c r="D18202" s="3" t="s">
        <v>206</v>
      </c>
      <c r="E18202" s="3" t="s">
        <v>100</v>
      </c>
      <c r="F18202" s="7">
        <v>46097.68308903068</v>
      </c>
      <c r="G18202" s="3" t="s">
        <v>11594</v>
      </c>
    </row>
    <row r="18203">
      <c r="A18203" s="3" t="s">
        <v>34330</v>
      </c>
      <c r="B18203" s="3" t="s">
        <v>15151</v>
      </c>
      <c r="C18203" s="5" t="s">
        <v>206</v>
      </c>
      <c r="D18203" s="3" t="s">
        <v>68</v>
      </c>
      <c r="E18203" s="3" t="s">
        <v>100</v>
      </c>
      <c r="F18203" s="7">
        <v>46097.6865612529</v>
      </c>
      <c r="G18203" s="3" t="s">
        <v>11597</v>
      </c>
    </row>
    <row r="18204">
      <c r="A18204" s="3" t="s">
        <v>34331</v>
      </c>
      <c r="B18204" s="3" t="s">
        <v>15154</v>
      </c>
      <c r="C18204" s="5" t="s">
        <v>45</v>
      </c>
      <c r="D18204" s="3" t="s">
        <v>221</v>
      </c>
      <c r="E18204" s="3" t="s">
        <v>870</v>
      </c>
      <c r="F18204" s="7">
        <v>46097.74731943165</v>
      </c>
      <c r="G18204" s="3" t="s">
        <v>9643</v>
      </c>
    </row>
    <row r="18205">
      <c r="A18205" s="3" t="s">
        <v>34332</v>
      </c>
      <c r="B18205" s="3" t="s">
        <v>15154</v>
      </c>
      <c r="C18205" s="5" t="s">
        <v>221</v>
      </c>
      <c r="D18205" s="3" t="s">
        <v>614</v>
      </c>
      <c r="E18205" s="3" t="s">
        <v>118</v>
      </c>
      <c r="F18205" s="7">
        <v>46097.75079165387</v>
      </c>
      <c r="G18205" s="3" t="s">
        <v>9646</v>
      </c>
    </row>
    <row r="18206">
      <c r="A18206" s="3" t="s">
        <v>34333</v>
      </c>
      <c r="B18206" s="3" t="s">
        <v>15154</v>
      </c>
      <c r="C18206" s="5" t="s">
        <v>614</v>
      </c>
      <c r="D18206" s="3" t="s">
        <v>206</v>
      </c>
      <c r="E18206" s="3" t="s">
        <v>100</v>
      </c>
      <c r="F18206" s="7">
        <v>46097.75426387609</v>
      </c>
      <c r="G18206" s="3" t="s">
        <v>9649</v>
      </c>
    </row>
    <row r="18207">
      <c r="A18207" s="3" t="s">
        <v>34334</v>
      </c>
      <c r="B18207" s="3" t="s">
        <v>15154</v>
      </c>
      <c r="C18207" s="5" t="s">
        <v>206</v>
      </c>
      <c r="D18207" s="3" t="s">
        <v>68</v>
      </c>
      <c r="E18207" s="3" t="s">
        <v>100</v>
      </c>
      <c r="F18207" s="7">
        <v>46097.75773609831</v>
      </c>
      <c r="G18207" s="3" t="s">
        <v>9653</v>
      </c>
    </row>
    <row r="18208">
      <c r="A18208" s="3" t="s">
        <v>34335</v>
      </c>
      <c r="B18208" s="3" t="s">
        <v>15158</v>
      </c>
      <c r="C18208" s="5" t="s">
        <v>45</v>
      </c>
      <c r="D18208" s="3" t="s">
        <v>221</v>
      </c>
      <c r="E18208" s="3" t="s">
        <v>947</v>
      </c>
      <c r="F18208" s="7">
        <v>46097.81849427707</v>
      </c>
      <c r="G18208" s="3" t="s">
        <v>19647</v>
      </c>
    </row>
    <row r="18209">
      <c r="A18209" s="3" t="s">
        <v>34336</v>
      </c>
      <c r="B18209" s="3" t="s">
        <v>15158</v>
      </c>
      <c r="C18209" s="5" t="s">
        <v>221</v>
      </c>
      <c r="D18209" s="3" t="s">
        <v>614</v>
      </c>
      <c r="E18209" s="3" t="s">
        <v>118</v>
      </c>
      <c r="F18209" s="7">
        <v>46097.82196649929</v>
      </c>
      <c r="G18209" s="3" t="s">
        <v>19650</v>
      </c>
    </row>
    <row r="18210">
      <c r="A18210" s="3" t="s">
        <v>34337</v>
      </c>
      <c r="B18210" s="3" t="s">
        <v>15158</v>
      </c>
      <c r="C18210" s="5" t="s">
        <v>614</v>
      </c>
      <c r="D18210" s="3" t="s">
        <v>206</v>
      </c>
      <c r="E18210" s="3" t="s">
        <v>100</v>
      </c>
      <c r="F18210" s="7">
        <v>46097.82543872151</v>
      </c>
      <c r="G18210" s="3" t="s">
        <v>19653</v>
      </c>
    </row>
    <row r="18211">
      <c r="A18211" s="3" t="s">
        <v>34338</v>
      </c>
      <c r="B18211" s="3" t="s">
        <v>15158</v>
      </c>
      <c r="C18211" s="5" t="s">
        <v>206</v>
      </c>
      <c r="D18211" s="3" t="s">
        <v>68</v>
      </c>
      <c r="E18211" s="3" t="s">
        <v>100</v>
      </c>
      <c r="F18211" s="7">
        <v>46097.82891094373</v>
      </c>
      <c r="G18211" s="3" t="s">
        <v>19656</v>
      </c>
    </row>
    <row r="18212">
      <c r="A18212" s="3" t="s">
        <v>34339</v>
      </c>
      <c r="B18212" s="3" t="s">
        <v>15162</v>
      </c>
      <c r="C18212" s="5" t="s">
        <v>45</v>
      </c>
      <c r="D18212" s="3" t="s">
        <v>221</v>
      </c>
      <c r="E18212" s="3" t="s">
        <v>727</v>
      </c>
      <c r="F18212" s="7">
        <v>46097.88966912248</v>
      </c>
      <c r="G18212" s="3" t="s">
        <v>11607</v>
      </c>
    </row>
    <row r="18213">
      <c r="A18213" s="3" t="s">
        <v>34340</v>
      </c>
      <c r="B18213" s="3" t="s">
        <v>15162</v>
      </c>
      <c r="C18213" s="5" t="s">
        <v>221</v>
      </c>
      <c r="D18213" s="3" t="s">
        <v>614</v>
      </c>
      <c r="E18213" s="3" t="s">
        <v>118</v>
      </c>
      <c r="F18213" s="7">
        <v>46097.8931413447</v>
      </c>
      <c r="G18213" s="3" t="s">
        <v>11610</v>
      </c>
    </row>
    <row r="18214">
      <c r="A18214" s="3" t="s">
        <v>34341</v>
      </c>
      <c r="B18214" s="3" t="s">
        <v>15162</v>
      </c>
      <c r="C18214" s="5" t="s">
        <v>614</v>
      </c>
      <c r="D18214" s="3" t="s">
        <v>206</v>
      </c>
      <c r="E18214" s="3" t="s">
        <v>100</v>
      </c>
      <c r="F18214" s="7">
        <v>46097.896613566925</v>
      </c>
      <c r="G18214" s="3" t="s">
        <v>11613</v>
      </c>
    </row>
    <row r="18215">
      <c r="A18215" s="3" t="s">
        <v>34342</v>
      </c>
      <c r="B18215" s="3" t="s">
        <v>15162</v>
      </c>
      <c r="C18215" s="5" t="s">
        <v>206</v>
      </c>
      <c r="D18215" s="3" t="s">
        <v>68</v>
      </c>
      <c r="E18215" s="3" t="s">
        <v>100</v>
      </c>
      <c r="F18215" s="7">
        <v>46097.900085789144</v>
      </c>
      <c r="G18215" s="3" t="s">
        <v>11615</v>
      </c>
    </row>
    <row r="18216">
      <c r="A18216" s="3" t="s">
        <v>34343</v>
      </c>
      <c r="B18216" s="3" t="s">
        <v>15164</v>
      </c>
      <c r="C18216" s="5" t="s">
        <v>45</v>
      </c>
      <c r="D18216" s="3" t="s">
        <v>221</v>
      </c>
      <c r="E18216" s="3" t="s">
        <v>906</v>
      </c>
      <c r="F18216" s="7">
        <v>46097.96084396789</v>
      </c>
      <c r="G18216" s="3" t="s">
        <v>29510</v>
      </c>
    </row>
    <row r="18217">
      <c r="A18217" s="3" t="s">
        <v>34344</v>
      </c>
      <c r="B18217" s="3" t="s">
        <v>15164</v>
      </c>
      <c r="C18217" s="5" t="s">
        <v>221</v>
      </c>
      <c r="D18217" s="3" t="s">
        <v>614</v>
      </c>
      <c r="E18217" s="3" t="s">
        <v>118</v>
      </c>
      <c r="F18217" s="7">
        <v>46097.96431619011</v>
      </c>
      <c r="G18217" s="3" t="s">
        <v>31608</v>
      </c>
    </row>
    <row r="18218">
      <c r="A18218" s="3" t="s">
        <v>34345</v>
      </c>
      <c r="B18218" s="3" t="s">
        <v>15164</v>
      </c>
      <c r="C18218" s="5" t="s">
        <v>614</v>
      </c>
      <c r="D18218" s="3" t="s">
        <v>206</v>
      </c>
      <c r="E18218" s="3" t="s">
        <v>100</v>
      </c>
      <c r="F18218" s="7">
        <v>46097.96778841234</v>
      </c>
      <c r="G18218" s="3" t="s">
        <v>31610</v>
      </c>
    </row>
    <row r="18219">
      <c r="A18219" s="3" t="s">
        <v>34346</v>
      </c>
      <c r="B18219" s="3" t="s">
        <v>15164</v>
      </c>
      <c r="C18219" s="5" t="s">
        <v>206</v>
      </c>
      <c r="D18219" s="3" t="s">
        <v>68</v>
      </c>
      <c r="E18219" s="3" t="s">
        <v>100</v>
      </c>
      <c r="F18219" s="7">
        <v>46097.97126063456</v>
      </c>
      <c r="G18219" s="3" t="s">
        <v>31612</v>
      </c>
    </row>
    <row r="18220">
      <c r="A18220" s="3" t="s">
        <v>34347</v>
      </c>
      <c r="B18220" s="3" t="s">
        <v>15166</v>
      </c>
      <c r="C18220" s="5" t="s">
        <v>45</v>
      </c>
      <c r="D18220" s="3" t="s">
        <v>221</v>
      </c>
      <c r="E18220" s="3" t="s">
        <v>316</v>
      </c>
      <c r="F18220" s="7">
        <v>46098.03201881331</v>
      </c>
      <c r="G18220" s="3" t="s">
        <v>4187</v>
      </c>
    </row>
    <row r="18221">
      <c r="A18221" s="3" t="s">
        <v>34348</v>
      </c>
      <c r="B18221" s="3" t="s">
        <v>15166</v>
      </c>
      <c r="C18221" s="5" t="s">
        <v>221</v>
      </c>
      <c r="D18221" s="3" t="s">
        <v>614</v>
      </c>
      <c r="E18221" s="3" t="s">
        <v>118</v>
      </c>
      <c r="F18221" s="7">
        <v>46098.03549103553</v>
      </c>
      <c r="G18221" s="3" t="s">
        <v>8275</v>
      </c>
    </row>
    <row r="18222">
      <c r="A18222" s="3" t="s">
        <v>34349</v>
      </c>
      <c r="B18222" s="3" t="s">
        <v>15166</v>
      </c>
      <c r="C18222" s="5" t="s">
        <v>614</v>
      </c>
      <c r="D18222" s="3" t="s">
        <v>206</v>
      </c>
      <c r="E18222" s="3" t="s">
        <v>100</v>
      </c>
      <c r="F18222" s="7">
        <v>46098.03896325776</v>
      </c>
      <c r="G18222" s="3" t="s">
        <v>8278</v>
      </c>
    </row>
    <row r="18223">
      <c r="A18223" s="3" t="s">
        <v>34350</v>
      </c>
      <c r="B18223" s="3" t="s">
        <v>15166</v>
      </c>
      <c r="C18223" s="5" t="s">
        <v>206</v>
      </c>
      <c r="D18223" s="3" t="s">
        <v>68</v>
      </c>
      <c r="E18223" s="3" t="s">
        <v>100</v>
      </c>
      <c r="F18223" s="7">
        <v>46098.042435479976</v>
      </c>
      <c r="G18223" s="3" t="s">
        <v>8281</v>
      </c>
    </row>
    <row r="18224">
      <c r="A18224" s="3" t="s">
        <v>34351</v>
      </c>
      <c r="B18224" s="3" t="s">
        <v>15167</v>
      </c>
      <c r="C18224" s="5" t="s">
        <v>45</v>
      </c>
      <c r="D18224" s="3" t="s">
        <v>221</v>
      </c>
      <c r="E18224" s="3" t="s">
        <v>466</v>
      </c>
      <c r="F18224" s="7">
        <v>46098.10319365873</v>
      </c>
      <c r="G18224" s="3" t="s">
        <v>6498</v>
      </c>
    </row>
    <row r="18225">
      <c r="A18225" s="3" t="s">
        <v>34352</v>
      </c>
      <c r="B18225" s="3" t="s">
        <v>15167</v>
      </c>
      <c r="C18225" s="5" t="s">
        <v>221</v>
      </c>
      <c r="D18225" s="3" t="s">
        <v>614</v>
      </c>
      <c r="E18225" s="3" t="s">
        <v>118</v>
      </c>
      <c r="F18225" s="7">
        <v>46098.10666588095</v>
      </c>
      <c r="G18225" s="3" t="s">
        <v>6501</v>
      </c>
    </row>
    <row r="18226">
      <c r="A18226" s="3" t="s">
        <v>34353</v>
      </c>
      <c r="B18226" s="3" t="s">
        <v>15167</v>
      </c>
      <c r="C18226" s="5" t="s">
        <v>614</v>
      </c>
      <c r="D18226" s="3" t="s">
        <v>206</v>
      </c>
      <c r="E18226" s="3" t="s">
        <v>100</v>
      </c>
      <c r="F18226" s="7">
        <v>46098.11013810318</v>
      </c>
      <c r="G18226" s="3" t="s">
        <v>6504</v>
      </c>
    </row>
    <row r="18227">
      <c r="A18227" s="3" t="s">
        <v>34354</v>
      </c>
      <c r="B18227" s="3" t="s">
        <v>15167</v>
      </c>
      <c r="C18227" s="5" t="s">
        <v>206</v>
      </c>
      <c r="D18227" s="3" t="s">
        <v>68</v>
      </c>
      <c r="E18227" s="3" t="s">
        <v>100</v>
      </c>
      <c r="F18227" s="7">
        <v>46098.113610325396</v>
      </c>
      <c r="G18227" s="3" t="s">
        <v>6507</v>
      </c>
    </row>
    <row r="18228">
      <c r="A18228" s="3" t="s">
        <v>34355</v>
      </c>
      <c r="B18228" s="3" t="s">
        <v>15169</v>
      </c>
      <c r="C18228" s="5" t="s">
        <v>45</v>
      </c>
      <c r="D18228" s="3" t="s">
        <v>221</v>
      </c>
      <c r="E18228" s="3" t="s">
        <v>756</v>
      </c>
      <c r="F18228" s="7">
        <v>46098.17436850414</v>
      </c>
      <c r="G18228" s="3" t="s">
        <v>9419</v>
      </c>
    </row>
    <row r="18229">
      <c r="A18229" s="3" t="s">
        <v>34356</v>
      </c>
      <c r="B18229" s="3" t="s">
        <v>15169</v>
      </c>
      <c r="C18229" s="5" t="s">
        <v>221</v>
      </c>
      <c r="D18229" s="3" t="s">
        <v>614</v>
      </c>
      <c r="E18229" s="3" t="s">
        <v>118</v>
      </c>
      <c r="F18229" s="7">
        <v>46098.177840726355</v>
      </c>
      <c r="G18229" s="3" t="s">
        <v>13127</v>
      </c>
    </row>
    <row r="18230">
      <c r="A18230" s="3" t="s">
        <v>34357</v>
      </c>
      <c r="B18230" s="3" t="s">
        <v>15169</v>
      </c>
      <c r="C18230" s="5" t="s">
        <v>614</v>
      </c>
      <c r="D18230" s="3" t="s">
        <v>206</v>
      </c>
      <c r="E18230" s="3" t="s">
        <v>100</v>
      </c>
      <c r="F18230" s="7">
        <v>46098.18131294858</v>
      </c>
      <c r="G18230" s="3" t="s">
        <v>13130</v>
      </c>
    </row>
    <row r="18231">
      <c r="A18231" s="3" t="s">
        <v>34358</v>
      </c>
      <c r="B18231" s="3" t="s">
        <v>15169</v>
      </c>
      <c r="C18231" s="5" t="s">
        <v>206</v>
      </c>
      <c r="D18231" s="3" t="s">
        <v>68</v>
      </c>
      <c r="E18231" s="3" t="s">
        <v>100</v>
      </c>
      <c r="F18231" s="7">
        <v>46098.1847851708</v>
      </c>
      <c r="G18231" s="3" t="s">
        <v>13133</v>
      </c>
    </row>
    <row r="18232">
      <c r="A18232" s="3" t="s">
        <v>34359</v>
      </c>
      <c r="B18232" s="3" t="s">
        <v>15171</v>
      </c>
      <c r="C18232" s="5" t="s">
        <v>45</v>
      </c>
      <c r="D18232" s="3" t="s">
        <v>221</v>
      </c>
      <c r="E18232" s="3" t="s">
        <v>226</v>
      </c>
      <c r="F18232" s="7">
        <v>46098.245543349556</v>
      </c>
      <c r="G18232" s="3" t="s">
        <v>11653</v>
      </c>
    </row>
    <row r="18233">
      <c r="A18233" s="3" t="s">
        <v>34360</v>
      </c>
      <c r="B18233" s="3" t="s">
        <v>15171</v>
      </c>
      <c r="C18233" s="5" t="s">
        <v>221</v>
      </c>
      <c r="D18233" s="3" t="s">
        <v>614</v>
      </c>
      <c r="E18233" s="3" t="s">
        <v>118</v>
      </c>
      <c r="F18233" s="7">
        <v>46098.249015571775</v>
      </c>
      <c r="G18233" s="3" t="s">
        <v>11656</v>
      </c>
    </row>
    <row r="18234">
      <c r="A18234" s="3" t="s">
        <v>34361</v>
      </c>
      <c r="B18234" s="3" t="s">
        <v>15171</v>
      </c>
      <c r="C18234" s="5" t="s">
        <v>614</v>
      </c>
      <c r="D18234" s="3" t="s">
        <v>206</v>
      </c>
      <c r="E18234" s="3" t="s">
        <v>100</v>
      </c>
      <c r="F18234" s="7">
        <v>46098.252487794</v>
      </c>
      <c r="G18234" s="3" t="s">
        <v>11659</v>
      </c>
    </row>
    <row r="18235">
      <c r="A18235" s="3" t="s">
        <v>34362</v>
      </c>
      <c r="B18235" s="3" t="s">
        <v>15171</v>
      </c>
      <c r="C18235" s="5" t="s">
        <v>206</v>
      </c>
      <c r="D18235" s="3" t="s">
        <v>68</v>
      </c>
      <c r="E18235" s="3" t="s">
        <v>100</v>
      </c>
      <c r="F18235" s="7">
        <v>46098.25596001622</v>
      </c>
      <c r="G18235" s="3" t="s">
        <v>11661</v>
      </c>
    </row>
    <row r="18236">
      <c r="A18236" s="3" t="s">
        <v>34363</v>
      </c>
      <c r="B18236" s="3" t="s">
        <v>15173</v>
      </c>
      <c r="C18236" s="5" t="s">
        <v>45</v>
      </c>
      <c r="D18236" s="3" t="s">
        <v>221</v>
      </c>
      <c r="E18236" s="3" t="s">
        <v>747</v>
      </c>
      <c r="F18236" s="7">
        <v>46098.316718194976</v>
      </c>
      <c r="G18236" s="3" t="s">
        <v>21283</v>
      </c>
    </row>
    <row r="18237">
      <c r="A18237" s="3" t="s">
        <v>34364</v>
      </c>
      <c r="B18237" s="3" t="s">
        <v>15173</v>
      </c>
      <c r="C18237" s="5" t="s">
        <v>221</v>
      </c>
      <c r="D18237" s="3" t="s">
        <v>614</v>
      </c>
      <c r="E18237" s="3" t="s">
        <v>118</v>
      </c>
      <c r="F18237" s="7">
        <v>46098.320190417195</v>
      </c>
      <c r="G18237" s="3" t="s">
        <v>21286</v>
      </c>
    </row>
    <row r="18238">
      <c r="A18238" s="3" t="s">
        <v>34365</v>
      </c>
      <c r="B18238" s="3" t="s">
        <v>15173</v>
      </c>
      <c r="C18238" s="5" t="s">
        <v>614</v>
      </c>
      <c r="D18238" s="3" t="s">
        <v>206</v>
      </c>
      <c r="E18238" s="3" t="s">
        <v>100</v>
      </c>
      <c r="F18238" s="7">
        <v>46098.32366263942</v>
      </c>
      <c r="G18238" s="3" t="s">
        <v>21288</v>
      </c>
    </row>
    <row r="18239">
      <c r="A18239" s="3" t="s">
        <v>34366</v>
      </c>
      <c r="B18239" s="3" t="s">
        <v>15173</v>
      </c>
      <c r="C18239" s="5" t="s">
        <v>206</v>
      </c>
      <c r="D18239" s="3" t="s">
        <v>68</v>
      </c>
      <c r="E18239" s="3" t="s">
        <v>100</v>
      </c>
      <c r="F18239" s="7">
        <v>46098.32713486164</v>
      </c>
      <c r="G18239" s="3" t="s">
        <v>21291</v>
      </c>
    </row>
    <row r="18240">
      <c r="A18240" s="3" t="s">
        <v>34367</v>
      </c>
      <c r="B18240" s="3" t="s">
        <v>15174</v>
      </c>
      <c r="C18240" s="5" t="s">
        <v>45</v>
      </c>
      <c r="D18240" s="3" t="s">
        <v>221</v>
      </c>
      <c r="E18240" s="3" t="s">
        <v>326</v>
      </c>
      <c r="F18240" s="7">
        <v>46098.38789304039</v>
      </c>
      <c r="G18240" s="3" t="s">
        <v>11676</v>
      </c>
    </row>
    <row r="18241">
      <c r="A18241" s="3" t="s">
        <v>34368</v>
      </c>
      <c r="B18241" s="3" t="s">
        <v>15174</v>
      </c>
      <c r="C18241" s="5" t="s">
        <v>221</v>
      </c>
      <c r="D18241" s="3" t="s">
        <v>614</v>
      </c>
      <c r="E18241" s="3" t="s">
        <v>118</v>
      </c>
      <c r="F18241" s="7">
        <v>46098.39136526261</v>
      </c>
      <c r="G18241" s="3" t="s">
        <v>11678</v>
      </c>
    </row>
    <row r="18242">
      <c r="A18242" s="3" t="s">
        <v>34369</v>
      </c>
      <c r="B18242" s="3" t="s">
        <v>15174</v>
      </c>
      <c r="C18242" s="5" t="s">
        <v>614</v>
      </c>
      <c r="D18242" s="3" t="s">
        <v>206</v>
      </c>
      <c r="E18242" s="3" t="s">
        <v>100</v>
      </c>
      <c r="F18242" s="7">
        <v>46098.39483748483</v>
      </c>
      <c r="G18242" s="3" t="s">
        <v>11681</v>
      </c>
    </row>
    <row r="18243">
      <c r="A18243" s="3" t="s">
        <v>34370</v>
      </c>
      <c r="B18243" s="3" t="s">
        <v>15174</v>
      </c>
      <c r="C18243" s="5" t="s">
        <v>206</v>
      </c>
      <c r="D18243" s="3" t="s">
        <v>68</v>
      </c>
      <c r="E18243" s="3" t="s">
        <v>100</v>
      </c>
      <c r="F18243" s="7">
        <v>46098.39830970705</v>
      </c>
      <c r="G18243" s="3" t="s">
        <v>11684</v>
      </c>
    </row>
    <row r="18244">
      <c r="A18244" s="3" t="s">
        <v>34371</v>
      </c>
      <c r="B18244" s="3" t="s">
        <v>15176</v>
      </c>
      <c r="C18244" s="5" t="s">
        <v>45</v>
      </c>
      <c r="D18244" s="3" t="s">
        <v>221</v>
      </c>
      <c r="E18244" s="3" t="s">
        <v>773</v>
      </c>
      <c r="F18244" s="7">
        <v>46098.4590678858</v>
      </c>
      <c r="G18244" s="3" t="s">
        <v>26693</v>
      </c>
    </row>
    <row r="18245">
      <c r="A18245" s="3" t="s">
        <v>34372</v>
      </c>
      <c r="B18245" s="3" t="s">
        <v>15176</v>
      </c>
      <c r="C18245" s="5" t="s">
        <v>221</v>
      </c>
      <c r="D18245" s="3" t="s">
        <v>614</v>
      </c>
      <c r="E18245" s="3" t="s">
        <v>118</v>
      </c>
      <c r="F18245" s="7">
        <v>46098.46254010802</v>
      </c>
      <c r="G18245" s="3" t="s">
        <v>26695</v>
      </c>
    </row>
    <row r="18246">
      <c r="A18246" s="3" t="s">
        <v>34373</v>
      </c>
      <c r="B18246" s="3" t="s">
        <v>15176</v>
      </c>
      <c r="C18246" s="5" t="s">
        <v>614</v>
      </c>
      <c r="D18246" s="3" t="s">
        <v>206</v>
      </c>
      <c r="E18246" s="3" t="s">
        <v>100</v>
      </c>
      <c r="F18246" s="7">
        <v>46098.466012330246</v>
      </c>
      <c r="G18246" s="3" t="s">
        <v>26697</v>
      </c>
    </row>
    <row r="18247">
      <c r="A18247" s="3" t="s">
        <v>34374</v>
      </c>
      <c r="B18247" s="3" t="s">
        <v>15176</v>
      </c>
      <c r="C18247" s="5" t="s">
        <v>206</v>
      </c>
      <c r="D18247" s="3" t="s">
        <v>68</v>
      </c>
      <c r="E18247" s="3" t="s">
        <v>100</v>
      </c>
      <c r="F18247" s="7">
        <v>46098.469484552465</v>
      </c>
      <c r="G18247" s="3" t="s">
        <v>26699</v>
      </c>
    </row>
    <row r="18248">
      <c r="A18248" s="3" t="s">
        <v>34375</v>
      </c>
      <c r="B18248" s="3" t="s">
        <v>15178</v>
      </c>
      <c r="C18248" s="5" t="s">
        <v>45</v>
      </c>
      <c r="D18248" s="3" t="s">
        <v>221</v>
      </c>
      <c r="E18248" s="3" t="s">
        <v>934</v>
      </c>
      <c r="F18248" s="7">
        <v>46098.53024273122</v>
      </c>
      <c r="G18248" s="3" t="s">
        <v>33896</v>
      </c>
    </row>
    <row r="18249">
      <c r="A18249" s="3" t="s">
        <v>34376</v>
      </c>
      <c r="B18249" s="3" t="s">
        <v>15178</v>
      </c>
      <c r="C18249" s="5" t="s">
        <v>221</v>
      </c>
      <c r="D18249" s="3" t="s">
        <v>181</v>
      </c>
      <c r="E18249" s="3" t="s">
        <v>118</v>
      </c>
      <c r="F18249" s="7">
        <v>46098.53371495344</v>
      </c>
      <c r="G18249" s="3" t="s">
        <v>34377</v>
      </c>
    </row>
    <row r="18250">
      <c r="A18250" s="3" t="s">
        <v>34378</v>
      </c>
      <c r="B18250" s="3" t="s">
        <v>15180</v>
      </c>
      <c r="C18250" s="5" t="s">
        <v>45</v>
      </c>
      <c r="D18250" s="3" t="s">
        <v>221</v>
      </c>
      <c r="E18250" s="3" t="s">
        <v>652</v>
      </c>
      <c r="F18250" s="7">
        <v>46098.60141757663</v>
      </c>
      <c r="G18250" s="3" t="s">
        <v>11481</v>
      </c>
    </row>
    <row r="18251">
      <c r="A18251" s="3" t="s">
        <v>34379</v>
      </c>
      <c r="B18251" s="3" t="s">
        <v>15180</v>
      </c>
      <c r="C18251" s="5" t="s">
        <v>221</v>
      </c>
      <c r="D18251" s="3" t="s">
        <v>614</v>
      </c>
      <c r="E18251" s="3" t="s">
        <v>118</v>
      </c>
      <c r="F18251" s="7">
        <v>46098.60488979885</v>
      </c>
      <c r="G18251" s="3" t="s">
        <v>11485</v>
      </c>
    </row>
    <row r="18252">
      <c r="A18252" s="3" t="s">
        <v>34380</v>
      </c>
      <c r="B18252" s="3" t="s">
        <v>15180</v>
      </c>
      <c r="C18252" s="5" t="s">
        <v>614</v>
      </c>
      <c r="D18252" s="3" t="s">
        <v>206</v>
      </c>
      <c r="E18252" s="3" t="s">
        <v>100</v>
      </c>
      <c r="F18252" s="7">
        <v>46098.60836202108</v>
      </c>
      <c r="G18252" s="3" t="s">
        <v>11487</v>
      </c>
    </row>
    <row r="18253">
      <c r="A18253" s="3" t="s">
        <v>34381</v>
      </c>
      <c r="B18253" s="3" t="s">
        <v>15180</v>
      </c>
      <c r="C18253" s="5" t="s">
        <v>206</v>
      </c>
      <c r="D18253" s="3" t="s">
        <v>68</v>
      </c>
      <c r="E18253" s="3" t="s">
        <v>100</v>
      </c>
      <c r="F18253" s="7">
        <v>46098.6118342433</v>
      </c>
      <c r="G18253" s="3" t="s">
        <v>11490</v>
      </c>
    </row>
    <row r="18254">
      <c r="A18254" s="3" t="s">
        <v>34382</v>
      </c>
      <c r="B18254" s="3" t="s">
        <v>15181</v>
      </c>
      <c r="C18254" s="5" t="s">
        <v>45</v>
      </c>
      <c r="D18254" s="3" t="s">
        <v>221</v>
      </c>
      <c r="E18254" s="3" t="s">
        <v>911</v>
      </c>
      <c r="F18254" s="7">
        <v>46098.672592422045</v>
      </c>
      <c r="G18254" s="3" t="s">
        <v>28535</v>
      </c>
    </row>
    <row r="18255">
      <c r="A18255" s="3" t="s">
        <v>34383</v>
      </c>
      <c r="B18255" s="3" t="s">
        <v>15181</v>
      </c>
      <c r="C18255" s="5" t="s">
        <v>221</v>
      </c>
      <c r="D18255" s="3" t="s">
        <v>614</v>
      </c>
      <c r="E18255" s="3" t="s">
        <v>118</v>
      </c>
      <c r="F18255" s="7">
        <v>46098.67606464426</v>
      </c>
      <c r="G18255" s="3" t="s">
        <v>28537</v>
      </c>
    </row>
    <row r="18256">
      <c r="A18256" s="3" t="s">
        <v>34384</v>
      </c>
      <c r="B18256" s="3" t="s">
        <v>15181</v>
      </c>
      <c r="C18256" s="5" t="s">
        <v>614</v>
      </c>
      <c r="D18256" s="3" t="s">
        <v>206</v>
      </c>
      <c r="E18256" s="3" t="s">
        <v>100</v>
      </c>
      <c r="F18256" s="7">
        <v>46098.67953686649</v>
      </c>
      <c r="G18256" s="3" t="s">
        <v>28539</v>
      </c>
    </row>
    <row r="18257">
      <c r="A18257" s="3" t="s">
        <v>34385</v>
      </c>
      <c r="B18257" s="3" t="s">
        <v>15181</v>
      </c>
      <c r="C18257" s="5" t="s">
        <v>206</v>
      </c>
      <c r="D18257" s="3" t="s">
        <v>68</v>
      </c>
      <c r="E18257" s="3" t="s">
        <v>100</v>
      </c>
      <c r="F18257" s="7">
        <v>46098.68300908871</v>
      </c>
      <c r="G18257" s="3" t="s">
        <v>28541</v>
      </c>
    </row>
    <row r="18258">
      <c r="A18258" s="3" t="s">
        <v>34386</v>
      </c>
      <c r="B18258" s="3" t="s">
        <v>15184</v>
      </c>
      <c r="C18258" s="5" t="s">
        <v>45</v>
      </c>
      <c r="D18258" s="3" t="s">
        <v>221</v>
      </c>
      <c r="E18258" s="3" t="s">
        <v>141</v>
      </c>
      <c r="F18258" s="7">
        <v>46098.743767267464</v>
      </c>
      <c r="G18258" s="3" t="s">
        <v>11734</v>
      </c>
    </row>
    <row r="18259">
      <c r="A18259" s="3" t="s">
        <v>34387</v>
      </c>
      <c r="B18259" s="3" t="s">
        <v>15184</v>
      </c>
      <c r="C18259" s="5" t="s">
        <v>221</v>
      </c>
      <c r="D18259" s="3" t="s">
        <v>614</v>
      </c>
      <c r="E18259" s="3" t="s">
        <v>118</v>
      </c>
      <c r="F18259" s="7">
        <v>46098.74723948968</v>
      </c>
      <c r="G18259" s="3" t="s">
        <v>11737</v>
      </c>
    </row>
    <row r="18260">
      <c r="A18260" s="3" t="s">
        <v>34388</v>
      </c>
      <c r="B18260" s="3" t="s">
        <v>15184</v>
      </c>
      <c r="C18260" s="5" t="s">
        <v>614</v>
      </c>
      <c r="D18260" s="3" t="s">
        <v>206</v>
      </c>
      <c r="E18260" s="3" t="s">
        <v>100</v>
      </c>
      <c r="F18260" s="7">
        <v>46098.75071171191</v>
      </c>
      <c r="G18260" s="3" t="s">
        <v>11740</v>
      </c>
    </row>
    <row r="18261">
      <c r="A18261" s="3" t="s">
        <v>34389</v>
      </c>
      <c r="B18261" s="3" t="s">
        <v>15184</v>
      </c>
      <c r="C18261" s="5" t="s">
        <v>206</v>
      </c>
      <c r="D18261" s="3" t="s">
        <v>68</v>
      </c>
      <c r="E18261" s="3" t="s">
        <v>100</v>
      </c>
      <c r="F18261" s="7">
        <v>46098.75418393413</v>
      </c>
      <c r="G18261" s="3" t="s">
        <v>11742</v>
      </c>
    </row>
    <row r="18262">
      <c r="A18262" s="3" t="s">
        <v>34390</v>
      </c>
      <c r="B18262" s="3" t="s">
        <v>15186</v>
      </c>
      <c r="C18262" s="5" t="s">
        <v>45</v>
      </c>
      <c r="D18262" s="3" t="s">
        <v>221</v>
      </c>
      <c r="E18262" s="3" t="s">
        <v>424</v>
      </c>
      <c r="F18262" s="7">
        <v>46098.81494211288</v>
      </c>
      <c r="G18262" s="3" t="s">
        <v>27707</v>
      </c>
    </row>
    <row r="18263">
      <c r="A18263" s="3" t="s">
        <v>34391</v>
      </c>
      <c r="B18263" s="3" t="s">
        <v>15186</v>
      </c>
      <c r="C18263" s="5" t="s">
        <v>221</v>
      </c>
      <c r="D18263" s="3" t="s">
        <v>195</v>
      </c>
      <c r="E18263" s="3" t="s">
        <v>424</v>
      </c>
      <c r="F18263" s="7">
        <v>46098.818414335095</v>
      </c>
      <c r="G18263" s="3" t="s">
        <v>34392</v>
      </c>
    </row>
    <row r="18264">
      <c r="A18264" s="3" t="s">
        <v>34393</v>
      </c>
      <c r="B18264" s="3" t="s">
        <v>15188</v>
      </c>
      <c r="C18264" s="5" t="s">
        <v>45</v>
      </c>
      <c r="D18264" s="3" t="s">
        <v>221</v>
      </c>
      <c r="E18264" s="3" t="s">
        <v>632</v>
      </c>
      <c r="F18264" s="7">
        <v>46098.88611695829</v>
      </c>
      <c r="G18264" s="3" t="s">
        <v>20987</v>
      </c>
    </row>
    <row r="18265">
      <c r="A18265" s="3" t="s">
        <v>34394</v>
      </c>
      <c r="B18265" s="3" t="s">
        <v>15188</v>
      </c>
      <c r="C18265" s="5" t="s">
        <v>221</v>
      </c>
      <c r="D18265" s="3" t="s">
        <v>614</v>
      </c>
      <c r="E18265" s="3" t="s">
        <v>118</v>
      </c>
      <c r="F18265" s="7">
        <v>46098.88958918051</v>
      </c>
      <c r="G18265" s="3" t="s">
        <v>20989</v>
      </c>
    </row>
    <row r="18266">
      <c r="A18266" s="3" t="s">
        <v>34395</v>
      </c>
      <c r="B18266" s="3" t="s">
        <v>15188</v>
      </c>
      <c r="C18266" s="5" t="s">
        <v>614</v>
      </c>
      <c r="D18266" s="3" t="s">
        <v>206</v>
      </c>
      <c r="E18266" s="3" t="s">
        <v>100</v>
      </c>
      <c r="F18266" s="7">
        <v>46098.893061402734</v>
      </c>
      <c r="G18266" s="3" t="s">
        <v>20992</v>
      </c>
    </row>
    <row r="18267">
      <c r="A18267" s="3" t="s">
        <v>34396</v>
      </c>
      <c r="B18267" s="3" t="s">
        <v>15188</v>
      </c>
      <c r="C18267" s="5" t="s">
        <v>206</v>
      </c>
      <c r="D18267" s="3" t="s">
        <v>68</v>
      </c>
      <c r="E18267" s="3" t="s">
        <v>100</v>
      </c>
      <c r="F18267" s="7">
        <v>46098.89653362495</v>
      </c>
      <c r="G18267" s="3" t="s">
        <v>20995</v>
      </c>
    </row>
    <row r="18268">
      <c r="A18268" s="3" t="s">
        <v>34397</v>
      </c>
      <c r="B18268" s="3" t="s">
        <v>15191</v>
      </c>
      <c r="C18268" s="5" t="s">
        <v>45</v>
      </c>
      <c r="D18268" s="3" t="s">
        <v>221</v>
      </c>
      <c r="E18268" s="3" t="s">
        <v>468</v>
      </c>
      <c r="F18268" s="7">
        <v>46098.95729180371</v>
      </c>
      <c r="G18268" s="3" t="s">
        <v>32419</v>
      </c>
    </row>
    <row r="18269">
      <c r="A18269" s="3" t="s">
        <v>34398</v>
      </c>
      <c r="B18269" s="3" t="s">
        <v>15191</v>
      </c>
      <c r="C18269" s="5" t="s">
        <v>221</v>
      </c>
      <c r="D18269" s="3" t="s">
        <v>614</v>
      </c>
      <c r="E18269" s="3" t="s">
        <v>118</v>
      </c>
      <c r="F18269" s="7">
        <v>46098.96076402593</v>
      </c>
      <c r="G18269" s="3" t="s">
        <v>34399</v>
      </c>
    </row>
    <row r="18270">
      <c r="A18270" s="3" t="s">
        <v>34400</v>
      </c>
      <c r="B18270" s="3" t="s">
        <v>15191</v>
      </c>
      <c r="C18270" s="5" t="s">
        <v>614</v>
      </c>
      <c r="D18270" s="3" t="s">
        <v>206</v>
      </c>
      <c r="E18270" s="3" t="s">
        <v>100</v>
      </c>
      <c r="F18270" s="7">
        <v>46098.96423624815</v>
      </c>
      <c r="G18270" s="3" t="s">
        <v>34401</v>
      </c>
    </row>
    <row r="18271">
      <c r="A18271" s="3" t="s">
        <v>34402</v>
      </c>
      <c r="B18271" s="3" t="s">
        <v>15191</v>
      </c>
      <c r="C18271" s="5" t="s">
        <v>206</v>
      </c>
      <c r="D18271" s="3" t="s">
        <v>68</v>
      </c>
      <c r="E18271" s="3" t="s">
        <v>100</v>
      </c>
      <c r="F18271" s="7">
        <v>46098.96770847037</v>
      </c>
      <c r="G18271" s="3" t="s">
        <v>34403</v>
      </c>
    </row>
    <row r="18272">
      <c r="A18272" s="3" t="s">
        <v>34404</v>
      </c>
      <c r="B18272" s="3" t="s">
        <v>15193</v>
      </c>
      <c r="C18272" s="5" t="s">
        <v>45</v>
      </c>
      <c r="D18272" s="3" t="s">
        <v>221</v>
      </c>
      <c r="E18272" s="3" t="s">
        <v>906</v>
      </c>
      <c r="F18272" s="7">
        <v>46099.02846664912</v>
      </c>
      <c r="G18272" s="3" t="s">
        <v>29510</v>
      </c>
    </row>
    <row r="18273">
      <c r="A18273" s="3" t="s">
        <v>34405</v>
      </c>
      <c r="B18273" s="3" t="s">
        <v>15193</v>
      </c>
      <c r="C18273" s="5" t="s">
        <v>221</v>
      </c>
      <c r="D18273" s="3" t="s">
        <v>195</v>
      </c>
      <c r="E18273" s="3" t="s">
        <v>906</v>
      </c>
      <c r="F18273" s="7">
        <v>46099.03193887134</v>
      </c>
      <c r="G18273" s="3" t="s">
        <v>29512</v>
      </c>
    </row>
    <row r="18274">
      <c r="A18274" s="3" t="s">
        <v>34406</v>
      </c>
      <c r="B18274" s="3" t="s">
        <v>15195</v>
      </c>
      <c r="C18274" s="5" t="s">
        <v>45</v>
      </c>
      <c r="D18274" s="3" t="s">
        <v>221</v>
      </c>
      <c r="E18274" s="3" t="s">
        <v>527</v>
      </c>
      <c r="F18274" s="7">
        <v>46099.09964149453</v>
      </c>
      <c r="G18274" s="3" t="s">
        <v>11756</v>
      </c>
    </row>
    <row r="18275">
      <c r="A18275" s="3" t="s">
        <v>34407</v>
      </c>
      <c r="B18275" s="3" t="s">
        <v>15195</v>
      </c>
      <c r="C18275" s="5" t="s">
        <v>221</v>
      </c>
      <c r="D18275" s="3" t="s">
        <v>614</v>
      </c>
      <c r="E18275" s="3" t="s">
        <v>118</v>
      </c>
      <c r="F18275" s="7">
        <v>46099.10311371675</v>
      </c>
      <c r="G18275" s="3" t="s">
        <v>11759</v>
      </c>
    </row>
    <row r="18276">
      <c r="A18276" s="3" t="s">
        <v>34408</v>
      </c>
      <c r="B18276" s="3" t="s">
        <v>15195</v>
      </c>
      <c r="C18276" s="5" t="s">
        <v>614</v>
      </c>
      <c r="D18276" s="3" t="s">
        <v>206</v>
      </c>
      <c r="E18276" s="3" t="s">
        <v>100</v>
      </c>
      <c r="F18276" s="7">
        <v>46099.10658593898</v>
      </c>
      <c r="G18276" s="3" t="s">
        <v>11762</v>
      </c>
    </row>
    <row r="18277">
      <c r="A18277" s="3" t="s">
        <v>34409</v>
      </c>
      <c r="B18277" s="3" t="s">
        <v>15195</v>
      </c>
      <c r="C18277" s="5" t="s">
        <v>206</v>
      </c>
      <c r="D18277" s="3" t="s">
        <v>68</v>
      </c>
      <c r="E18277" s="3" t="s">
        <v>100</v>
      </c>
      <c r="F18277" s="7">
        <v>46099.1100581612</v>
      </c>
      <c r="G18277" s="3" t="s">
        <v>11765</v>
      </c>
    </row>
    <row r="18278">
      <c r="A18278" s="3" t="s">
        <v>34410</v>
      </c>
      <c r="B18278" s="3" t="s">
        <v>15198</v>
      </c>
      <c r="C18278" s="5" t="s">
        <v>45</v>
      </c>
      <c r="D18278" s="3" t="s">
        <v>221</v>
      </c>
      <c r="E18278" s="3" t="s">
        <v>202</v>
      </c>
      <c r="F18278" s="7">
        <v>46099.17081633995</v>
      </c>
      <c r="G18278" s="3" t="s">
        <v>11855</v>
      </c>
    </row>
    <row r="18279">
      <c r="A18279" s="3" t="s">
        <v>34411</v>
      </c>
      <c r="B18279" s="3" t="s">
        <v>15198</v>
      </c>
      <c r="C18279" s="5" t="s">
        <v>221</v>
      </c>
      <c r="D18279" s="3" t="s">
        <v>614</v>
      </c>
      <c r="E18279" s="3" t="s">
        <v>118</v>
      </c>
      <c r="F18279" s="7">
        <v>46099.17428856217</v>
      </c>
      <c r="G18279" s="3" t="s">
        <v>11858</v>
      </c>
    </row>
    <row r="18280">
      <c r="A18280" s="3" t="s">
        <v>34412</v>
      </c>
      <c r="B18280" s="3" t="s">
        <v>15198</v>
      </c>
      <c r="C18280" s="5" t="s">
        <v>614</v>
      </c>
      <c r="D18280" s="3" t="s">
        <v>206</v>
      </c>
      <c r="E18280" s="3" t="s">
        <v>100</v>
      </c>
      <c r="F18280" s="7">
        <v>46099.1777607844</v>
      </c>
      <c r="G18280" s="3" t="s">
        <v>11861</v>
      </c>
    </row>
    <row r="18281">
      <c r="A18281" s="3" t="s">
        <v>34413</v>
      </c>
      <c r="B18281" s="3" t="s">
        <v>15198</v>
      </c>
      <c r="C18281" s="5" t="s">
        <v>206</v>
      </c>
      <c r="D18281" s="3" t="s">
        <v>68</v>
      </c>
      <c r="E18281" s="3" t="s">
        <v>100</v>
      </c>
      <c r="F18281" s="7">
        <v>46099.18123300662</v>
      </c>
      <c r="G18281" s="3" t="s">
        <v>11865</v>
      </c>
    </row>
    <row r="18282">
      <c r="A18282" s="3" t="s">
        <v>34414</v>
      </c>
      <c r="B18282" s="3" t="s">
        <v>15200</v>
      </c>
      <c r="C18282" s="5" t="s">
        <v>45</v>
      </c>
      <c r="D18282" s="3" t="s">
        <v>221</v>
      </c>
      <c r="E18282" s="3" t="s">
        <v>204</v>
      </c>
      <c r="F18282" s="7">
        <v>46099.24199118537</v>
      </c>
      <c r="G18282" s="3" t="s">
        <v>11892</v>
      </c>
    </row>
    <row r="18283">
      <c r="A18283" s="3" t="s">
        <v>34415</v>
      </c>
      <c r="B18283" s="3" t="s">
        <v>15200</v>
      </c>
      <c r="C18283" s="5" t="s">
        <v>221</v>
      </c>
      <c r="D18283" s="3" t="s">
        <v>614</v>
      </c>
      <c r="E18283" s="3" t="s">
        <v>118</v>
      </c>
      <c r="F18283" s="7">
        <v>46099.24546340759</v>
      </c>
      <c r="G18283" s="3" t="s">
        <v>11895</v>
      </c>
    </row>
    <row r="18284">
      <c r="A18284" s="3" t="s">
        <v>34416</v>
      </c>
      <c r="B18284" s="3" t="s">
        <v>15200</v>
      </c>
      <c r="C18284" s="5" t="s">
        <v>614</v>
      </c>
      <c r="D18284" s="3" t="s">
        <v>206</v>
      </c>
      <c r="E18284" s="3" t="s">
        <v>100</v>
      </c>
      <c r="F18284" s="7">
        <v>46099.24893562982</v>
      </c>
      <c r="G18284" s="3" t="s">
        <v>11898</v>
      </c>
    </row>
    <row r="18285">
      <c r="A18285" s="3" t="s">
        <v>34417</v>
      </c>
      <c r="B18285" s="3" t="s">
        <v>15200</v>
      </c>
      <c r="C18285" s="5" t="s">
        <v>206</v>
      </c>
      <c r="D18285" s="3" t="s">
        <v>68</v>
      </c>
      <c r="E18285" s="3" t="s">
        <v>100</v>
      </c>
      <c r="F18285" s="7">
        <v>46099.25240785204</v>
      </c>
      <c r="G18285" s="3" t="s">
        <v>11901</v>
      </c>
    </row>
    <row r="18286">
      <c r="A18286" s="3" t="s">
        <v>34418</v>
      </c>
      <c r="B18286" s="3" t="s">
        <v>15202</v>
      </c>
      <c r="C18286" s="5" t="s">
        <v>45</v>
      </c>
      <c r="D18286" s="3" t="s">
        <v>221</v>
      </c>
      <c r="E18286" s="3" t="s">
        <v>233</v>
      </c>
      <c r="F18286" s="7">
        <v>46099.31316603078</v>
      </c>
      <c r="G18286" s="3" t="s">
        <v>10910</v>
      </c>
    </row>
    <row r="18287">
      <c r="A18287" s="3" t="s">
        <v>34419</v>
      </c>
      <c r="B18287" s="3" t="s">
        <v>15202</v>
      </c>
      <c r="C18287" s="5" t="s">
        <v>221</v>
      </c>
      <c r="D18287" s="3" t="s">
        <v>614</v>
      </c>
      <c r="E18287" s="3" t="s">
        <v>118</v>
      </c>
      <c r="F18287" s="7">
        <v>46099.316638252996</v>
      </c>
      <c r="G18287" s="3" t="s">
        <v>25464</v>
      </c>
    </row>
    <row r="18288">
      <c r="A18288" s="3" t="s">
        <v>34420</v>
      </c>
      <c r="B18288" s="3" t="s">
        <v>15202</v>
      </c>
      <c r="C18288" s="5" t="s">
        <v>614</v>
      </c>
      <c r="D18288" s="3" t="s">
        <v>206</v>
      </c>
      <c r="E18288" s="3" t="s">
        <v>100</v>
      </c>
      <c r="F18288" s="7">
        <v>46099.32011047522</v>
      </c>
      <c r="G18288" s="3" t="s">
        <v>25466</v>
      </c>
    </row>
    <row r="18289">
      <c r="A18289" s="3" t="s">
        <v>34421</v>
      </c>
      <c r="B18289" s="3" t="s">
        <v>15202</v>
      </c>
      <c r="C18289" s="5" t="s">
        <v>206</v>
      </c>
      <c r="D18289" s="3" t="s">
        <v>68</v>
      </c>
      <c r="E18289" s="3" t="s">
        <v>100</v>
      </c>
      <c r="F18289" s="7">
        <v>46099.32358269744</v>
      </c>
      <c r="G18289" s="3" t="s">
        <v>25468</v>
      </c>
    </row>
    <row r="18290">
      <c r="A18290" s="3" t="s">
        <v>34422</v>
      </c>
      <c r="B18290" s="3" t="s">
        <v>15205</v>
      </c>
      <c r="C18290" s="5" t="s">
        <v>45</v>
      </c>
      <c r="D18290" s="3" t="s">
        <v>221</v>
      </c>
      <c r="E18290" s="3" t="s">
        <v>400</v>
      </c>
      <c r="F18290" s="7">
        <v>46099.3843408762</v>
      </c>
      <c r="G18290" s="3" t="s">
        <v>26846</v>
      </c>
    </row>
    <row r="18291">
      <c r="A18291" s="3" t="s">
        <v>34423</v>
      </c>
      <c r="B18291" s="3" t="s">
        <v>15205</v>
      </c>
      <c r="C18291" s="5" t="s">
        <v>221</v>
      </c>
      <c r="D18291" s="3" t="s">
        <v>195</v>
      </c>
      <c r="E18291" s="3" t="s">
        <v>400</v>
      </c>
      <c r="F18291" s="7">
        <v>46099.387813098416</v>
      </c>
      <c r="G18291" s="3" t="s">
        <v>34424</v>
      </c>
    </row>
    <row r="18292">
      <c r="A18292" s="3" t="s">
        <v>34425</v>
      </c>
      <c r="B18292" s="3" t="s">
        <v>15208</v>
      </c>
      <c r="C18292" s="5" t="s">
        <v>45</v>
      </c>
      <c r="D18292" s="3" t="s">
        <v>221</v>
      </c>
      <c r="E18292" s="3" t="s">
        <v>505</v>
      </c>
      <c r="F18292" s="7">
        <v>46099.45551572162</v>
      </c>
      <c r="G18292" s="3" t="s">
        <v>15058</v>
      </c>
    </row>
    <row r="18293">
      <c r="A18293" s="3" t="s">
        <v>34426</v>
      </c>
      <c r="B18293" s="3" t="s">
        <v>15208</v>
      </c>
      <c r="C18293" s="5" t="s">
        <v>221</v>
      </c>
      <c r="D18293" s="3" t="s">
        <v>614</v>
      </c>
      <c r="E18293" s="3" t="s">
        <v>118</v>
      </c>
      <c r="F18293" s="7">
        <v>46099.458987943835</v>
      </c>
      <c r="G18293" s="3" t="s">
        <v>15061</v>
      </c>
    </row>
    <row r="18294">
      <c r="A18294" s="3" t="s">
        <v>34427</v>
      </c>
      <c r="B18294" s="3" t="s">
        <v>15208</v>
      </c>
      <c r="C18294" s="5" t="s">
        <v>614</v>
      </c>
      <c r="D18294" s="3" t="s">
        <v>206</v>
      </c>
      <c r="E18294" s="3" t="s">
        <v>100</v>
      </c>
      <c r="F18294" s="7">
        <v>46099.46246016606</v>
      </c>
      <c r="G18294" s="3" t="s">
        <v>15064</v>
      </c>
    </row>
    <row r="18295">
      <c r="A18295" s="3" t="s">
        <v>34428</v>
      </c>
      <c r="B18295" s="3" t="s">
        <v>15208</v>
      </c>
      <c r="C18295" s="5" t="s">
        <v>206</v>
      </c>
      <c r="D18295" s="3" t="s">
        <v>68</v>
      </c>
      <c r="E18295" s="3" t="s">
        <v>100</v>
      </c>
      <c r="F18295" s="7">
        <v>46099.46593238828</v>
      </c>
      <c r="G18295" s="3" t="s">
        <v>15067</v>
      </c>
    </row>
    <row r="18296">
      <c r="A18296" s="3" t="s">
        <v>34429</v>
      </c>
      <c r="B18296" s="3" t="s">
        <v>15211</v>
      </c>
      <c r="C18296" s="5" t="s">
        <v>45</v>
      </c>
      <c r="D18296" s="3" t="s">
        <v>221</v>
      </c>
      <c r="E18296" s="3" t="s">
        <v>629</v>
      </c>
      <c r="F18296" s="7">
        <v>46099.52669056703</v>
      </c>
      <c r="G18296" s="3" t="s">
        <v>11903</v>
      </c>
    </row>
    <row r="18297">
      <c r="A18297" s="3" t="s">
        <v>34430</v>
      </c>
      <c r="B18297" s="3" t="s">
        <v>15211</v>
      </c>
      <c r="C18297" s="5" t="s">
        <v>221</v>
      </c>
      <c r="D18297" s="3" t="s">
        <v>614</v>
      </c>
      <c r="E18297" s="3" t="s">
        <v>118</v>
      </c>
      <c r="F18297" s="7">
        <v>46099.53016278925</v>
      </c>
      <c r="G18297" s="3" t="s">
        <v>11906</v>
      </c>
    </row>
    <row r="18298">
      <c r="A18298" s="3" t="s">
        <v>34431</v>
      </c>
      <c r="B18298" s="3" t="s">
        <v>15211</v>
      </c>
      <c r="C18298" s="5" t="s">
        <v>614</v>
      </c>
      <c r="D18298" s="3" t="s">
        <v>206</v>
      </c>
      <c r="E18298" s="3" t="s">
        <v>100</v>
      </c>
      <c r="F18298" s="7">
        <v>46099.533635011474</v>
      </c>
      <c r="G18298" s="3" t="s">
        <v>11909</v>
      </c>
    </row>
    <row r="18299">
      <c r="A18299" s="3" t="s">
        <v>34432</v>
      </c>
      <c r="B18299" s="3" t="s">
        <v>15211</v>
      </c>
      <c r="C18299" s="5" t="s">
        <v>206</v>
      </c>
      <c r="D18299" s="3" t="s">
        <v>68</v>
      </c>
      <c r="E18299" s="3" t="s">
        <v>100</v>
      </c>
      <c r="F18299" s="7">
        <v>46099.53710723369</v>
      </c>
      <c r="G18299" s="3" t="s">
        <v>11912</v>
      </c>
    </row>
    <row r="18300">
      <c r="A18300" s="3" t="s">
        <v>34433</v>
      </c>
      <c r="B18300" s="3" t="s">
        <v>15214</v>
      </c>
      <c r="C18300" s="5" t="s">
        <v>45</v>
      </c>
      <c r="D18300" s="3" t="s">
        <v>221</v>
      </c>
      <c r="E18300" s="3" t="s">
        <v>586</v>
      </c>
      <c r="F18300" s="7">
        <v>46099.59786541244</v>
      </c>
      <c r="G18300" s="3" t="s">
        <v>19542</v>
      </c>
    </row>
    <row r="18301">
      <c r="A18301" s="3" t="s">
        <v>34434</v>
      </c>
      <c r="B18301" s="3" t="s">
        <v>15214</v>
      </c>
      <c r="C18301" s="5" t="s">
        <v>221</v>
      </c>
      <c r="D18301" s="3" t="s">
        <v>614</v>
      </c>
      <c r="E18301" s="3" t="s">
        <v>118</v>
      </c>
      <c r="F18301" s="7">
        <v>46099.60133763466</v>
      </c>
      <c r="G18301" s="3" t="s">
        <v>19544</v>
      </c>
    </row>
    <row r="18302">
      <c r="A18302" s="3" t="s">
        <v>34435</v>
      </c>
      <c r="B18302" s="3" t="s">
        <v>15214</v>
      </c>
      <c r="C18302" s="5" t="s">
        <v>614</v>
      </c>
      <c r="D18302" s="3" t="s">
        <v>206</v>
      </c>
      <c r="E18302" s="3" t="s">
        <v>100</v>
      </c>
      <c r="F18302" s="7">
        <v>46099.604809856886</v>
      </c>
      <c r="G18302" s="3" t="s">
        <v>19547</v>
      </c>
    </row>
    <row r="18303">
      <c r="A18303" s="3" t="s">
        <v>34436</v>
      </c>
      <c r="B18303" s="3" t="s">
        <v>15214</v>
      </c>
      <c r="C18303" s="5" t="s">
        <v>206</v>
      </c>
      <c r="D18303" s="3" t="s">
        <v>68</v>
      </c>
      <c r="E18303" s="3" t="s">
        <v>100</v>
      </c>
      <c r="F18303" s="7">
        <v>46099.608282079105</v>
      </c>
      <c r="G18303" s="3" t="s">
        <v>19550</v>
      </c>
    </row>
    <row r="18304">
      <c r="A18304" s="3" t="s">
        <v>34437</v>
      </c>
      <c r="B18304" s="3" t="s">
        <v>15217</v>
      </c>
      <c r="C18304" s="5" t="s">
        <v>45</v>
      </c>
      <c r="D18304" s="3" t="s">
        <v>221</v>
      </c>
      <c r="E18304" s="3" t="s">
        <v>657</v>
      </c>
      <c r="F18304" s="7">
        <v>46099.66904025786</v>
      </c>
      <c r="G18304" s="3" t="s">
        <v>13925</v>
      </c>
    </row>
    <row r="18305">
      <c r="A18305" s="3" t="s">
        <v>34438</v>
      </c>
      <c r="B18305" s="3" t="s">
        <v>15217</v>
      </c>
      <c r="C18305" s="5" t="s">
        <v>221</v>
      </c>
      <c r="D18305" s="3" t="s">
        <v>614</v>
      </c>
      <c r="E18305" s="3" t="s">
        <v>118</v>
      </c>
      <c r="F18305" s="7">
        <v>46099.67251248008</v>
      </c>
      <c r="G18305" s="3" t="s">
        <v>13928</v>
      </c>
    </row>
    <row r="18306">
      <c r="A18306" s="3" t="s">
        <v>34439</v>
      </c>
      <c r="B18306" s="3" t="s">
        <v>15217</v>
      </c>
      <c r="C18306" s="5" t="s">
        <v>614</v>
      </c>
      <c r="D18306" s="3" t="s">
        <v>206</v>
      </c>
      <c r="E18306" s="3" t="s">
        <v>100</v>
      </c>
      <c r="F18306" s="7">
        <v>46099.675984702306</v>
      </c>
      <c r="G18306" s="3" t="s">
        <v>13930</v>
      </c>
    </row>
    <row r="18307">
      <c r="A18307" s="3" t="s">
        <v>34440</v>
      </c>
      <c r="B18307" s="3" t="s">
        <v>15217</v>
      </c>
      <c r="C18307" s="5" t="s">
        <v>206</v>
      </c>
      <c r="D18307" s="3" t="s">
        <v>68</v>
      </c>
      <c r="E18307" s="3" t="s">
        <v>100</v>
      </c>
      <c r="F18307" s="7">
        <v>46099.679456924525</v>
      </c>
      <c r="G18307" s="3" t="s">
        <v>13933</v>
      </c>
    </row>
    <row r="18308">
      <c r="A18308" s="3" t="s">
        <v>34441</v>
      </c>
      <c r="B18308" s="3" t="s">
        <v>15220</v>
      </c>
      <c r="C18308" s="5" t="s">
        <v>45</v>
      </c>
      <c r="D18308" s="3" t="s">
        <v>221</v>
      </c>
      <c r="E18308" s="3" t="s">
        <v>260</v>
      </c>
      <c r="F18308" s="7">
        <v>46099.74021510327</v>
      </c>
      <c r="G18308" s="3" t="s">
        <v>11938</v>
      </c>
    </row>
    <row r="18309">
      <c r="A18309" s="3" t="s">
        <v>34442</v>
      </c>
      <c r="B18309" s="3" t="s">
        <v>15220</v>
      </c>
      <c r="C18309" s="5" t="s">
        <v>221</v>
      </c>
      <c r="D18309" s="3" t="s">
        <v>614</v>
      </c>
      <c r="E18309" s="3" t="s">
        <v>118</v>
      </c>
      <c r="F18309" s="7">
        <v>46099.74368732549</v>
      </c>
      <c r="G18309" s="3" t="s">
        <v>11941</v>
      </c>
    </row>
    <row r="18310">
      <c r="A18310" s="3" t="s">
        <v>34443</v>
      </c>
      <c r="B18310" s="3" t="s">
        <v>15220</v>
      </c>
      <c r="C18310" s="5" t="s">
        <v>614</v>
      </c>
      <c r="D18310" s="3" t="s">
        <v>206</v>
      </c>
      <c r="E18310" s="3" t="s">
        <v>100</v>
      </c>
      <c r="F18310" s="7">
        <v>46099.74715954772</v>
      </c>
      <c r="G18310" s="3" t="s">
        <v>11944</v>
      </c>
    </row>
    <row r="18311">
      <c r="A18311" s="3" t="s">
        <v>34444</v>
      </c>
      <c r="B18311" s="3" t="s">
        <v>15220</v>
      </c>
      <c r="C18311" s="5" t="s">
        <v>206</v>
      </c>
      <c r="D18311" s="3" t="s">
        <v>68</v>
      </c>
      <c r="E18311" s="3" t="s">
        <v>100</v>
      </c>
      <c r="F18311" s="7">
        <v>46099.75063176994</v>
      </c>
      <c r="G18311" s="3" t="s">
        <v>11947</v>
      </c>
    </row>
    <row r="18312">
      <c r="A18312" s="3" t="s">
        <v>34445</v>
      </c>
      <c r="B18312" s="3" t="s">
        <v>15223</v>
      </c>
      <c r="C18312" s="5" t="s">
        <v>45</v>
      </c>
      <c r="D18312" s="3" t="s">
        <v>221</v>
      </c>
      <c r="E18312" s="3" t="s">
        <v>316</v>
      </c>
      <c r="F18312" s="7">
        <v>46099.811389948685</v>
      </c>
      <c r="G18312" s="3" t="s">
        <v>4187</v>
      </c>
    </row>
    <row r="18313">
      <c r="A18313" s="3" t="s">
        <v>34446</v>
      </c>
      <c r="B18313" s="3" t="s">
        <v>15223</v>
      </c>
      <c r="C18313" s="5" t="s">
        <v>221</v>
      </c>
      <c r="D18313" s="3" t="s">
        <v>614</v>
      </c>
      <c r="E18313" s="3" t="s">
        <v>118</v>
      </c>
      <c r="F18313" s="7">
        <v>46099.814862170904</v>
      </c>
      <c r="G18313" s="3" t="s">
        <v>8275</v>
      </c>
    </row>
    <row r="18314">
      <c r="A18314" s="3" t="s">
        <v>34447</v>
      </c>
      <c r="B18314" s="3" t="s">
        <v>15223</v>
      </c>
      <c r="C18314" s="5" t="s">
        <v>614</v>
      </c>
      <c r="D18314" s="3" t="s">
        <v>206</v>
      </c>
      <c r="E18314" s="3" t="s">
        <v>100</v>
      </c>
      <c r="F18314" s="7">
        <v>46099.81833439313</v>
      </c>
      <c r="G18314" s="3" t="s">
        <v>8278</v>
      </c>
    </row>
    <row r="18315">
      <c r="A18315" s="3" t="s">
        <v>34448</v>
      </c>
      <c r="B18315" s="3" t="s">
        <v>15223</v>
      </c>
      <c r="C18315" s="5" t="s">
        <v>206</v>
      </c>
      <c r="D18315" s="3" t="s">
        <v>68</v>
      </c>
      <c r="E18315" s="3" t="s">
        <v>100</v>
      </c>
      <c r="F18315" s="7">
        <v>46099.82180661535</v>
      </c>
      <c r="G18315" s="3" t="s">
        <v>8281</v>
      </c>
    </row>
    <row r="18316">
      <c r="A18316" s="3" t="s">
        <v>34449</v>
      </c>
      <c r="B18316" s="3" t="s">
        <v>15225</v>
      </c>
      <c r="C18316" s="5" t="s">
        <v>45</v>
      </c>
      <c r="D18316" s="3" t="s">
        <v>221</v>
      </c>
      <c r="E18316" s="3" t="s">
        <v>727</v>
      </c>
      <c r="F18316" s="7">
        <v>46099.882564794105</v>
      </c>
      <c r="G18316" s="3" t="s">
        <v>12301</v>
      </c>
    </row>
    <row r="18317">
      <c r="A18317" s="3" t="s">
        <v>34450</v>
      </c>
      <c r="B18317" s="3" t="s">
        <v>15225</v>
      </c>
      <c r="C18317" s="5" t="s">
        <v>221</v>
      </c>
      <c r="D18317" s="3" t="s">
        <v>614</v>
      </c>
      <c r="E18317" s="3" t="s">
        <v>118</v>
      </c>
      <c r="F18317" s="7">
        <v>46099.886037016324</v>
      </c>
      <c r="G18317" s="3" t="s">
        <v>12304</v>
      </c>
    </row>
    <row r="18318">
      <c r="A18318" s="3" t="s">
        <v>34451</v>
      </c>
      <c r="B18318" s="3" t="s">
        <v>15225</v>
      </c>
      <c r="C18318" s="5" t="s">
        <v>614</v>
      </c>
      <c r="D18318" s="3" t="s">
        <v>206</v>
      </c>
      <c r="E18318" s="3" t="s">
        <v>100</v>
      </c>
      <c r="F18318" s="7">
        <v>46099.88950923855</v>
      </c>
      <c r="G18318" s="3" t="s">
        <v>12307</v>
      </c>
    </row>
    <row r="18319">
      <c r="A18319" s="3" t="s">
        <v>34452</v>
      </c>
      <c r="B18319" s="3" t="s">
        <v>15225</v>
      </c>
      <c r="C18319" s="5" t="s">
        <v>206</v>
      </c>
      <c r="D18319" s="3" t="s">
        <v>68</v>
      </c>
      <c r="E18319" s="3" t="s">
        <v>100</v>
      </c>
      <c r="F18319" s="7">
        <v>46099.89298146077</v>
      </c>
      <c r="G18319" s="3" t="s">
        <v>12310</v>
      </c>
    </row>
    <row r="18320">
      <c r="A18320" s="3" t="s">
        <v>34453</v>
      </c>
      <c r="B18320" s="3" t="s">
        <v>15227</v>
      </c>
      <c r="C18320" s="5" t="s">
        <v>45</v>
      </c>
      <c r="D18320" s="3" t="s">
        <v>221</v>
      </c>
      <c r="E18320" s="3" t="s">
        <v>773</v>
      </c>
      <c r="F18320" s="7">
        <v>46099.953739639524</v>
      </c>
      <c r="G18320" s="3" t="s">
        <v>26693</v>
      </c>
    </row>
    <row r="18321">
      <c r="A18321" s="3" t="s">
        <v>34454</v>
      </c>
      <c r="B18321" s="3" t="s">
        <v>15227</v>
      </c>
      <c r="C18321" s="5" t="s">
        <v>221</v>
      </c>
      <c r="D18321" s="3" t="s">
        <v>614</v>
      </c>
      <c r="E18321" s="3" t="s">
        <v>118</v>
      </c>
      <c r="F18321" s="7">
        <v>46099.95721186174</v>
      </c>
      <c r="G18321" s="3" t="s">
        <v>26695</v>
      </c>
    </row>
    <row r="18322">
      <c r="A18322" s="3" t="s">
        <v>34455</v>
      </c>
      <c r="B18322" s="3" t="s">
        <v>15227</v>
      </c>
      <c r="C18322" s="5" t="s">
        <v>614</v>
      </c>
      <c r="D18322" s="3" t="s">
        <v>206</v>
      </c>
      <c r="E18322" s="3" t="s">
        <v>100</v>
      </c>
      <c r="F18322" s="7">
        <v>46099.96068408397</v>
      </c>
      <c r="G18322" s="3" t="s">
        <v>26697</v>
      </c>
    </row>
    <row r="18323">
      <c r="A18323" s="3" t="s">
        <v>34456</v>
      </c>
      <c r="B18323" s="3" t="s">
        <v>15227</v>
      </c>
      <c r="C18323" s="5" t="s">
        <v>206</v>
      </c>
      <c r="D18323" s="3" t="s">
        <v>68</v>
      </c>
      <c r="E18323" s="3" t="s">
        <v>100</v>
      </c>
      <c r="F18323" s="7">
        <v>46099.96415630619</v>
      </c>
      <c r="G18323" s="3" t="s">
        <v>26699</v>
      </c>
    </row>
    <row r="18324">
      <c r="A18324" s="3" t="s">
        <v>34457</v>
      </c>
      <c r="B18324" s="3" t="s">
        <v>15230</v>
      </c>
      <c r="C18324" s="5" t="s">
        <v>45</v>
      </c>
      <c r="D18324" s="3" t="s">
        <v>221</v>
      </c>
      <c r="E18324" s="3" t="s">
        <v>250</v>
      </c>
      <c r="F18324" s="7">
        <v>46100.02491448493</v>
      </c>
      <c r="G18324" s="3" t="s">
        <v>11971</v>
      </c>
    </row>
    <row r="18325">
      <c r="A18325" s="3" t="s">
        <v>34458</v>
      </c>
      <c r="B18325" s="3" t="s">
        <v>15230</v>
      </c>
      <c r="C18325" s="5" t="s">
        <v>221</v>
      </c>
      <c r="D18325" s="3" t="s">
        <v>614</v>
      </c>
      <c r="E18325" s="3" t="s">
        <v>118</v>
      </c>
      <c r="F18325" s="7">
        <v>46100.02838670715</v>
      </c>
      <c r="G18325" s="3" t="s">
        <v>11974</v>
      </c>
    </row>
    <row r="18326">
      <c r="A18326" s="3" t="s">
        <v>34459</v>
      </c>
      <c r="B18326" s="3" t="s">
        <v>15230</v>
      </c>
      <c r="C18326" s="5" t="s">
        <v>614</v>
      </c>
      <c r="D18326" s="3" t="s">
        <v>206</v>
      </c>
      <c r="E18326" s="3" t="s">
        <v>100</v>
      </c>
      <c r="F18326" s="7">
        <v>46100.031858929375</v>
      </c>
      <c r="G18326" s="3" t="s">
        <v>11977</v>
      </c>
    </row>
    <row r="18327">
      <c r="A18327" s="3" t="s">
        <v>34460</v>
      </c>
      <c r="B18327" s="3" t="s">
        <v>15230</v>
      </c>
      <c r="C18327" s="5" t="s">
        <v>206</v>
      </c>
      <c r="D18327" s="3" t="s">
        <v>68</v>
      </c>
      <c r="E18327" s="3" t="s">
        <v>100</v>
      </c>
      <c r="F18327" s="7">
        <v>46100.035331151594</v>
      </c>
      <c r="G18327" s="3" t="s">
        <v>11980</v>
      </c>
    </row>
    <row r="18328">
      <c r="A18328" s="3" t="s">
        <v>34461</v>
      </c>
      <c r="B18328" s="3" t="s">
        <v>15233</v>
      </c>
      <c r="C18328" s="5" t="s">
        <v>45</v>
      </c>
      <c r="D18328" s="3" t="s">
        <v>221</v>
      </c>
      <c r="E18328" s="3" t="s">
        <v>446</v>
      </c>
      <c r="F18328" s="7">
        <v>46100.09608933035</v>
      </c>
      <c r="G18328" s="3" t="s">
        <v>11997</v>
      </c>
    </row>
    <row r="18329">
      <c r="A18329" s="3" t="s">
        <v>34462</v>
      </c>
      <c r="B18329" s="3" t="s">
        <v>15233</v>
      </c>
      <c r="C18329" s="5" t="s">
        <v>221</v>
      </c>
      <c r="D18329" s="3" t="s">
        <v>614</v>
      </c>
      <c r="E18329" s="3" t="s">
        <v>118</v>
      </c>
      <c r="F18329" s="7">
        <v>46100.09956155257</v>
      </c>
      <c r="G18329" s="3" t="s">
        <v>12000</v>
      </c>
    </row>
    <row r="18330">
      <c r="A18330" s="3" t="s">
        <v>34463</v>
      </c>
      <c r="B18330" s="3" t="s">
        <v>15233</v>
      </c>
      <c r="C18330" s="5" t="s">
        <v>614</v>
      </c>
      <c r="D18330" s="3" t="s">
        <v>206</v>
      </c>
      <c r="E18330" s="3" t="s">
        <v>100</v>
      </c>
      <c r="F18330" s="7">
        <v>46100.103033774794</v>
      </c>
      <c r="G18330" s="3" t="s">
        <v>12003</v>
      </c>
    </row>
    <row r="18331">
      <c r="A18331" s="3" t="s">
        <v>34464</v>
      </c>
      <c r="B18331" s="3" t="s">
        <v>15233</v>
      </c>
      <c r="C18331" s="5" t="s">
        <v>206</v>
      </c>
      <c r="D18331" s="3" t="s">
        <v>68</v>
      </c>
      <c r="E18331" s="3" t="s">
        <v>100</v>
      </c>
      <c r="F18331" s="7">
        <v>46100.10650599701</v>
      </c>
      <c r="G18331" s="3" t="s">
        <v>12006</v>
      </c>
    </row>
    <row r="18332">
      <c r="A18332" s="3" t="s">
        <v>34465</v>
      </c>
      <c r="B18332" s="3" t="s">
        <v>15235</v>
      </c>
      <c r="C18332" s="5" t="s">
        <v>45</v>
      </c>
      <c r="D18332" s="3" t="s">
        <v>221</v>
      </c>
      <c r="E18332" s="3" t="s">
        <v>145</v>
      </c>
      <c r="F18332" s="7">
        <v>46100.16726417576</v>
      </c>
      <c r="G18332" s="3" t="s">
        <v>15338</v>
      </c>
    </row>
    <row r="18333">
      <c r="A18333" s="3" t="s">
        <v>34466</v>
      </c>
      <c r="B18333" s="3" t="s">
        <v>15235</v>
      </c>
      <c r="C18333" s="5" t="s">
        <v>221</v>
      </c>
      <c r="D18333" s="3" t="s">
        <v>614</v>
      </c>
      <c r="E18333" s="3" t="s">
        <v>118</v>
      </c>
      <c r="F18333" s="7">
        <v>46100.17073639798</v>
      </c>
      <c r="G18333" s="3" t="s">
        <v>15341</v>
      </c>
    </row>
    <row r="18334">
      <c r="A18334" s="3" t="s">
        <v>34467</v>
      </c>
      <c r="B18334" s="3" t="s">
        <v>15235</v>
      </c>
      <c r="C18334" s="5" t="s">
        <v>614</v>
      </c>
      <c r="D18334" s="3" t="s">
        <v>206</v>
      </c>
      <c r="E18334" s="3" t="s">
        <v>100</v>
      </c>
      <c r="F18334" s="7">
        <v>46100.17420862021</v>
      </c>
      <c r="G18334" s="3" t="s">
        <v>15344</v>
      </c>
    </row>
    <row r="18335">
      <c r="A18335" s="3" t="s">
        <v>34468</v>
      </c>
      <c r="B18335" s="3" t="s">
        <v>15235</v>
      </c>
      <c r="C18335" s="5" t="s">
        <v>206</v>
      </c>
      <c r="D18335" s="3" t="s">
        <v>68</v>
      </c>
      <c r="E18335" s="3" t="s">
        <v>100</v>
      </c>
      <c r="F18335" s="7">
        <v>46100.177680842426</v>
      </c>
      <c r="G18335" s="3" t="s">
        <v>15347</v>
      </c>
    </row>
    <row r="18336">
      <c r="A18336" s="3" t="s">
        <v>34469</v>
      </c>
      <c r="B18336" s="3" t="s">
        <v>15236</v>
      </c>
      <c r="C18336" s="5" t="s">
        <v>45</v>
      </c>
      <c r="D18336" s="3" t="s">
        <v>221</v>
      </c>
      <c r="E18336" s="3" t="s">
        <v>554</v>
      </c>
      <c r="F18336" s="7">
        <v>46100.23843902118</v>
      </c>
      <c r="G18336" s="3" t="s">
        <v>12010</v>
      </c>
    </row>
    <row r="18337">
      <c r="A18337" s="3" t="s">
        <v>34470</v>
      </c>
      <c r="B18337" s="3" t="s">
        <v>15236</v>
      </c>
      <c r="C18337" s="5" t="s">
        <v>221</v>
      </c>
      <c r="D18337" s="3" t="s">
        <v>614</v>
      </c>
      <c r="E18337" s="3" t="s">
        <v>118</v>
      </c>
      <c r="F18337" s="7">
        <v>46100.2419112434</v>
      </c>
      <c r="G18337" s="3" t="s">
        <v>12013</v>
      </c>
    </row>
    <row r="18338">
      <c r="A18338" s="3" t="s">
        <v>34471</v>
      </c>
      <c r="B18338" s="3" t="s">
        <v>15236</v>
      </c>
      <c r="C18338" s="5" t="s">
        <v>614</v>
      </c>
      <c r="D18338" s="3" t="s">
        <v>206</v>
      </c>
      <c r="E18338" s="3" t="s">
        <v>100</v>
      </c>
      <c r="F18338" s="7">
        <v>46100.245383465626</v>
      </c>
      <c r="G18338" s="3" t="s">
        <v>12016</v>
      </c>
    </row>
    <row r="18339">
      <c r="A18339" s="3" t="s">
        <v>34472</v>
      </c>
      <c r="B18339" s="3" t="s">
        <v>15236</v>
      </c>
      <c r="C18339" s="5" t="s">
        <v>206</v>
      </c>
      <c r="D18339" s="3" t="s">
        <v>68</v>
      </c>
      <c r="E18339" s="3" t="s">
        <v>100</v>
      </c>
      <c r="F18339" s="7">
        <v>46100.248855687845</v>
      </c>
      <c r="G18339" s="3" t="s">
        <v>12020</v>
      </c>
    </row>
    <row r="18340">
      <c r="A18340" s="3" t="s">
        <v>34473</v>
      </c>
      <c r="B18340" s="3" t="s">
        <v>15238</v>
      </c>
      <c r="C18340" s="5" t="s">
        <v>45</v>
      </c>
      <c r="D18340" s="3" t="s">
        <v>221</v>
      </c>
      <c r="E18340" s="3" t="s">
        <v>322</v>
      </c>
      <c r="F18340" s="7">
        <v>46100.30961386659</v>
      </c>
      <c r="G18340" s="3" t="s">
        <v>9157</v>
      </c>
    </row>
    <row r="18341">
      <c r="A18341" s="3" t="s">
        <v>34474</v>
      </c>
      <c r="B18341" s="3" t="s">
        <v>15238</v>
      </c>
      <c r="C18341" s="5" t="s">
        <v>221</v>
      </c>
      <c r="D18341" s="3" t="s">
        <v>614</v>
      </c>
      <c r="E18341" s="3" t="s">
        <v>118</v>
      </c>
      <c r="F18341" s="7">
        <v>46100.31308608881</v>
      </c>
      <c r="G18341" s="3" t="s">
        <v>9160</v>
      </c>
    </row>
    <row r="18342">
      <c r="A18342" s="3" t="s">
        <v>34475</v>
      </c>
      <c r="B18342" s="3" t="s">
        <v>15238</v>
      </c>
      <c r="C18342" s="5" t="s">
        <v>614</v>
      </c>
      <c r="D18342" s="3" t="s">
        <v>206</v>
      </c>
      <c r="E18342" s="3" t="s">
        <v>100</v>
      </c>
      <c r="F18342" s="7">
        <v>46100.31655831104</v>
      </c>
      <c r="G18342" s="3" t="s">
        <v>9163</v>
      </c>
    </row>
    <row r="18343">
      <c r="A18343" s="3" t="s">
        <v>34476</v>
      </c>
      <c r="B18343" s="3" t="s">
        <v>15238</v>
      </c>
      <c r="C18343" s="5" t="s">
        <v>206</v>
      </c>
      <c r="D18343" s="3" t="s">
        <v>68</v>
      </c>
      <c r="E18343" s="3" t="s">
        <v>100</v>
      </c>
      <c r="F18343" s="7">
        <v>46100.32003053326</v>
      </c>
      <c r="G18343" s="3" t="s">
        <v>9166</v>
      </c>
    </row>
    <row r="18344">
      <c r="A18344" s="3" t="s">
        <v>34477</v>
      </c>
      <c r="B18344" s="3" t="s">
        <v>15241</v>
      </c>
      <c r="C18344" s="5" t="s">
        <v>45</v>
      </c>
      <c r="D18344" s="3" t="s">
        <v>221</v>
      </c>
      <c r="E18344" s="3" t="s">
        <v>845</v>
      </c>
      <c r="F18344" s="7">
        <v>46100.38078871201</v>
      </c>
      <c r="G18344" s="3" t="s">
        <v>9015</v>
      </c>
    </row>
    <row r="18345">
      <c r="A18345" s="3" t="s">
        <v>34478</v>
      </c>
      <c r="B18345" s="3" t="s">
        <v>15241</v>
      </c>
      <c r="C18345" s="5" t="s">
        <v>221</v>
      </c>
      <c r="D18345" s="3" t="s">
        <v>195</v>
      </c>
      <c r="E18345" s="3" t="s">
        <v>845</v>
      </c>
      <c r="F18345" s="7">
        <v>46100.38426093423</v>
      </c>
      <c r="G18345" s="3" t="s">
        <v>9017</v>
      </c>
    </row>
    <row r="18346">
      <c r="A18346" s="3" t="s">
        <v>34479</v>
      </c>
      <c r="B18346" s="3" t="s">
        <v>15243</v>
      </c>
      <c r="C18346" s="5" t="s">
        <v>45</v>
      </c>
      <c r="D18346" s="3" t="s">
        <v>221</v>
      </c>
      <c r="E18346" s="3" t="s">
        <v>770</v>
      </c>
      <c r="F18346" s="7">
        <v>46100.45196355742</v>
      </c>
      <c r="G18346" s="3" t="s">
        <v>8987</v>
      </c>
    </row>
    <row r="18347">
      <c r="A18347" s="3" t="s">
        <v>34480</v>
      </c>
      <c r="B18347" s="3" t="s">
        <v>15243</v>
      </c>
      <c r="C18347" s="5" t="s">
        <v>221</v>
      </c>
      <c r="D18347" s="3" t="s">
        <v>614</v>
      </c>
      <c r="E18347" s="3" t="s">
        <v>118</v>
      </c>
      <c r="F18347" s="7">
        <v>46100.45543577964</v>
      </c>
      <c r="G18347" s="3" t="s">
        <v>8990</v>
      </c>
    </row>
    <row r="18348">
      <c r="A18348" s="3" t="s">
        <v>34481</v>
      </c>
      <c r="B18348" s="3" t="s">
        <v>15243</v>
      </c>
      <c r="C18348" s="5" t="s">
        <v>614</v>
      </c>
      <c r="D18348" s="3" t="s">
        <v>206</v>
      </c>
      <c r="E18348" s="3" t="s">
        <v>100</v>
      </c>
      <c r="F18348" s="7">
        <v>46100.45890800186</v>
      </c>
      <c r="G18348" s="3" t="s">
        <v>8993</v>
      </c>
    </row>
    <row r="18349">
      <c r="A18349" s="3" t="s">
        <v>34482</v>
      </c>
      <c r="B18349" s="3" t="s">
        <v>15243</v>
      </c>
      <c r="C18349" s="5" t="s">
        <v>206</v>
      </c>
      <c r="D18349" s="3" t="s">
        <v>68</v>
      </c>
      <c r="E18349" s="3" t="s">
        <v>100</v>
      </c>
      <c r="F18349" s="7">
        <v>46100.46238022408</v>
      </c>
      <c r="G18349" s="3" t="s">
        <v>8996</v>
      </c>
    </row>
    <row r="18350">
      <c r="A18350" s="3" t="s">
        <v>34483</v>
      </c>
      <c r="B18350" s="3" t="s">
        <v>15245</v>
      </c>
      <c r="C18350" s="5" t="s">
        <v>45</v>
      </c>
      <c r="D18350" s="3" t="s">
        <v>221</v>
      </c>
      <c r="E18350" s="3" t="s">
        <v>151</v>
      </c>
      <c r="F18350" s="7">
        <v>46100.52313840284</v>
      </c>
      <c r="G18350" s="3" t="s">
        <v>12023</v>
      </c>
    </row>
    <row r="18351">
      <c r="A18351" s="3" t="s">
        <v>34484</v>
      </c>
      <c r="B18351" s="3" t="s">
        <v>15245</v>
      </c>
      <c r="C18351" s="5" t="s">
        <v>221</v>
      </c>
      <c r="D18351" s="3" t="s">
        <v>614</v>
      </c>
      <c r="E18351" s="3" t="s">
        <v>118</v>
      </c>
      <c r="F18351" s="7">
        <v>46100.52661062506</v>
      </c>
      <c r="G18351" s="3" t="s">
        <v>12027</v>
      </c>
    </row>
    <row r="18352">
      <c r="A18352" s="3" t="s">
        <v>34485</v>
      </c>
      <c r="B18352" s="3" t="s">
        <v>15245</v>
      </c>
      <c r="C18352" s="5" t="s">
        <v>614</v>
      </c>
      <c r="D18352" s="3" t="s">
        <v>206</v>
      </c>
      <c r="E18352" s="3" t="s">
        <v>100</v>
      </c>
      <c r="F18352" s="7">
        <v>46100.53008284728</v>
      </c>
      <c r="G18352" s="3" t="s">
        <v>12030</v>
      </c>
    </row>
    <row r="18353">
      <c r="A18353" s="3" t="s">
        <v>34486</v>
      </c>
      <c r="B18353" s="3" t="s">
        <v>15245</v>
      </c>
      <c r="C18353" s="5" t="s">
        <v>206</v>
      </c>
      <c r="D18353" s="3" t="s">
        <v>68</v>
      </c>
      <c r="E18353" s="3" t="s">
        <v>100</v>
      </c>
      <c r="F18353" s="7">
        <v>46100.5335550695</v>
      </c>
      <c r="G18353" s="3" t="s">
        <v>12032</v>
      </c>
    </row>
    <row r="18354">
      <c r="A18354" s="3" t="s">
        <v>34487</v>
      </c>
      <c r="B18354" s="3" t="s">
        <v>15248</v>
      </c>
      <c r="C18354" s="5" t="s">
        <v>45</v>
      </c>
      <c r="D18354" s="3" t="s">
        <v>221</v>
      </c>
      <c r="E18354" s="3" t="s">
        <v>168</v>
      </c>
      <c r="F18354" s="7">
        <v>46100.59431324826</v>
      </c>
      <c r="G18354" s="3" t="s">
        <v>12065</v>
      </c>
    </row>
    <row r="18355">
      <c r="A18355" s="3" t="s">
        <v>34488</v>
      </c>
      <c r="B18355" s="3" t="s">
        <v>15248</v>
      </c>
      <c r="C18355" s="5" t="s">
        <v>221</v>
      </c>
      <c r="D18355" s="3" t="s">
        <v>614</v>
      </c>
      <c r="E18355" s="3" t="s">
        <v>118</v>
      </c>
      <c r="F18355" s="7">
        <v>46100.597785470476</v>
      </c>
      <c r="G18355" s="3" t="s">
        <v>12068</v>
      </c>
    </row>
    <row r="18356">
      <c r="A18356" s="3" t="s">
        <v>34489</v>
      </c>
      <c r="B18356" s="3" t="s">
        <v>15248</v>
      </c>
      <c r="C18356" s="5" t="s">
        <v>614</v>
      </c>
      <c r="D18356" s="3" t="s">
        <v>206</v>
      </c>
      <c r="E18356" s="3" t="s">
        <v>100</v>
      </c>
      <c r="F18356" s="7">
        <v>46100.6012576927</v>
      </c>
      <c r="G18356" s="3" t="s">
        <v>12071</v>
      </c>
    </row>
    <row r="18357">
      <c r="A18357" s="3" t="s">
        <v>34490</v>
      </c>
      <c r="B18357" s="3" t="s">
        <v>15248</v>
      </c>
      <c r="C18357" s="5" t="s">
        <v>206</v>
      </c>
      <c r="D18357" s="3" t="s">
        <v>68</v>
      </c>
      <c r="E18357" s="3" t="s">
        <v>100</v>
      </c>
      <c r="F18357" s="7">
        <v>46100.60472991492</v>
      </c>
      <c r="G18357" s="3" t="s">
        <v>12074</v>
      </c>
    </row>
    <row r="18358">
      <c r="A18358" s="3" t="s">
        <v>34491</v>
      </c>
      <c r="B18358" s="3" t="s">
        <v>15251</v>
      </c>
      <c r="C18358" s="5" t="s">
        <v>45</v>
      </c>
      <c r="D18358" s="3" t="s">
        <v>221</v>
      </c>
      <c r="E18358" s="3" t="s">
        <v>841</v>
      </c>
      <c r="F18358" s="7">
        <v>46100.66548809367</v>
      </c>
      <c r="G18358" s="3" t="s">
        <v>12117</v>
      </c>
    </row>
    <row r="18359">
      <c r="A18359" s="3" t="s">
        <v>34492</v>
      </c>
      <c r="B18359" s="3" t="s">
        <v>15251</v>
      </c>
      <c r="C18359" s="5" t="s">
        <v>221</v>
      </c>
      <c r="D18359" s="3" t="s">
        <v>614</v>
      </c>
      <c r="E18359" s="3" t="s">
        <v>118</v>
      </c>
      <c r="F18359" s="7">
        <v>46100.66896031589</v>
      </c>
      <c r="G18359" s="3" t="s">
        <v>12121</v>
      </c>
    </row>
    <row r="18360">
      <c r="A18360" s="3" t="s">
        <v>34493</v>
      </c>
      <c r="B18360" s="3" t="s">
        <v>15251</v>
      </c>
      <c r="C18360" s="5" t="s">
        <v>614</v>
      </c>
      <c r="D18360" s="3" t="s">
        <v>206</v>
      </c>
      <c r="E18360" s="3" t="s">
        <v>100</v>
      </c>
      <c r="F18360" s="7">
        <v>46100.672432538115</v>
      </c>
      <c r="G18360" s="3" t="s">
        <v>12124</v>
      </c>
    </row>
    <row r="18361">
      <c r="A18361" s="3" t="s">
        <v>34494</v>
      </c>
      <c r="B18361" s="3" t="s">
        <v>15251</v>
      </c>
      <c r="C18361" s="5" t="s">
        <v>206</v>
      </c>
      <c r="D18361" s="3" t="s">
        <v>68</v>
      </c>
      <c r="E18361" s="3" t="s">
        <v>100</v>
      </c>
      <c r="F18361" s="7">
        <v>46100.675904760334</v>
      </c>
      <c r="G18361" s="3" t="s">
        <v>12128</v>
      </c>
    </row>
    <row r="18362">
      <c r="A18362" s="3" t="s">
        <v>34495</v>
      </c>
      <c r="B18362" s="3" t="s">
        <v>15253</v>
      </c>
      <c r="C18362" s="5" t="s">
        <v>45</v>
      </c>
      <c r="D18362" s="3" t="s">
        <v>221</v>
      </c>
      <c r="E18362" s="3" t="s">
        <v>756</v>
      </c>
      <c r="F18362" s="7">
        <v>46100.73666293908</v>
      </c>
      <c r="G18362" s="3" t="s">
        <v>13951</v>
      </c>
    </row>
    <row r="18363">
      <c r="A18363" s="3" t="s">
        <v>34496</v>
      </c>
      <c r="B18363" s="3" t="s">
        <v>15253</v>
      </c>
      <c r="C18363" s="5" t="s">
        <v>221</v>
      </c>
      <c r="D18363" s="3" t="s">
        <v>614</v>
      </c>
      <c r="E18363" s="3" t="s">
        <v>118</v>
      </c>
      <c r="F18363" s="7">
        <v>46100.7401351613</v>
      </c>
      <c r="G18363" s="3" t="s">
        <v>13954</v>
      </c>
    </row>
    <row r="18364">
      <c r="A18364" s="3" t="s">
        <v>34497</v>
      </c>
      <c r="B18364" s="3" t="s">
        <v>15253</v>
      </c>
      <c r="C18364" s="5" t="s">
        <v>614</v>
      </c>
      <c r="D18364" s="3" t="s">
        <v>206</v>
      </c>
      <c r="E18364" s="3" t="s">
        <v>100</v>
      </c>
      <c r="F18364" s="7">
        <v>46100.74360738353</v>
      </c>
      <c r="G18364" s="3" t="s">
        <v>13956</v>
      </c>
    </row>
    <row r="18365">
      <c r="A18365" s="3" t="s">
        <v>34498</v>
      </c>
      <c r="B18365" s="3" t="s">
        <v>15253</v>
      </c>
      <c r="C18365" s="5" t="s">
        <v>206</v>
      </c>
      <c r="D18365" s="3" t="s">
        <v>68</v>
      </c>
      <c r="E18365" s="3" t="s">
        <v>100</v>
      </c>
      <c r="F18365" s="7">
        <v>46100.747079605746</v>
      </c>
      <c r="G18365" s="3" t="s">
        <v>13959</v>
      </c>
    </row>
    <row r="18366">
      <c r="A18366" s="3" t="s">
        <v>34499</v>
      </c>
      <c r="B18366" s="3" t="s">
        <v>15255</v>
      </c>
      <c r="C18366" s="5" t="s">
        <v>45</v>
      </c>
      <c r="D18366" s="3" t="s">
        <v>221</v>
      </c>
      <c r="E18366" s="3" t="s">
        <v>735</v>
      </c>
      <c r="F18366" s="7">
        <v>46100.8078377845</v>
      </c>
      <c r="G18366" s="3" t="s">
        <v>12131</v>
      </c>
    </row>
    <row r="18367">
      <c r="A18367" s="3" t="s">
        <v>34500</v>
      </c>
      <c r="B18367" s="3" t="s">
        <v>15255</v>
      </c>
      <c r="C18367" s="5" t="s">
        <v>221</v>
      </c>
      <c r="D18367" s="3" t="s">
        <v>614</v>
      </c>
      <c r="E18367" s="3" t="s">
        <v>118</v>
      </c>
      <c r="F18367" s="7">
        <v>46100.81131000672</v>
      </c>
      <c r="G18367" s="3" t="s">
        <v>12133</v>
      </c>
    </row>
    <row r="18368">
      <c r="A18368" s="3" t="s">
        <v>34501</v>
      </c>
      <c r="B18368" s="3" t="s">
        <v>15255</v>
      </c>
      <c r="C18368" s="5" t="s">
        <v>614</v>
      </c>
      <c r="D18368" s="3" t="s">
        <v>206</v>
      </c>
      <c r="E18368" s="3" t="s">
        <v>100</v>
      </c>
      <c r="F18368" s="7">
        <v>46100.81478222895</v>
      </c>
      <c r="G18368" s="3" t="s">
        <v>12136</v>
      </c>
    </row>
    <row r="18369">
      <c r="A18369" s="3" t="s">
        <v>34502</v>
      </c>
      <c r="B18369" s="3" t="s">
        <v>15255</v>
      </c>
      <c r="C18369" s="5" t="s">
        <v>206</v>
      </c>
      <c r="D18369" s="3" t="s">
        <v>68</v>
      </c>
      <c r="E18369" s="3" t="s">
        <v>100</v>
      </c>
      <c r="F18369" s="7">
        <v>46100.818254451166</v>
      </c>
      <c r="G18369" s="3" t="s">
        <v>12139</v>
      </c>
    </row>
    <row r="18370">
      <c r="A18370" s="3" t="s">
        <v>34503</v>
      </c>
      <c r="B18370" s="3" t="s">
        <v>15258</v>
      </c>
      <c r="C18370" s="5" t="s">
        <v>45</v>
      </c>
      <c r="D18370" s="3" t="s">
        <v>221</v>
      </c>
      <c r="E18370" s="3" t="s">
        <v>516</v>
      </c>
      <c r="F18370" s="7">
        <v>46100.87901262991</v>
      </c>
      <c r="G18370" s="3" t="s">
        <v>12154</v>
      </c>
    </row>
    <row r="18371">
      <c r="A18371" s="3" t="s">
        <v>34504</v>
      </c>
      <c r="B18371" s="3" t="s">
        <v>15258</v>
      </c>
      <c r="C18371" s="5" t="s">
        <v>221</v>
      </c>
      <c r="D18371" s="3" t="s">
        <v>614</v>
      </c>
      <c r="E18371" s="3" t="s">
        <v>118</v>
      </c>
      <c r="F18371" s="7">
        <v>46100.88248485213</v>
      </c>
      <c r="G18371" s="3" t="s">
        <v>12157</v>
      </c>
    </row>
    <row r="18372">
      <c r="A18372" s="3" t="s">
        <v>34505</v>
      </c>
      <c r="B18372" s="3" t="s">
        <v>15258</v>
      </c>
      <c r="C18372" s="5" t="s">
        <v>614</v>
      </c>
      <c r="D18372" s="3" t="s">
        <v>206</v>
      </c>
      <c r="E18372" s="3" t="s">
        <v>100</v>
      </c>
      <c r="F18372" s="7">
        <v>46100.88595707436</v>
      </c>
      <c r="G18372" s="3" t="s">
        <v>12160</v>
      </c>
    </row>
    <row r="18373">
      <c r="A18373" s="3" t="s">
        <v>34506</v>
      </c>
      <c r="B18373" s="3" t="s">
        <v>15258</v>
      </c>
      <c r="C18373" s="5" t="s">
        <v>206</v>
      </c>
      <c r="D18373" s="3" t="s">
        <v>68</v>
      </c>
      <c r="E18373" s="3" t="s">
        <v>100</v>
      </c>
      <c r="F18373" s="7">
        <v>46100.88942929658</v>
      </c>
      <c r="G18373" s="3" t="s">
        <v>12164</v>
      </c>
    </row>
    <row r="18374">
      <c r="A18374" s="3" t="s">
        <v>34507</v>
      </c>
      <c r="B18374" s="3" t="s">
        <v>15261</v>
      </c>
      <c r="C18374" s="5" t="s">
        <v>45</v>
      </c>
      <c r="D18374" s="3" t="s">
        <v>221</v>
      </c>
      <c r="E18374" s="3" t="s">
        <v>864</v>
      </c>
      <c r="F18374" s="7">
        <v>46100.950187475326</v>
      </c>
      <c r="G18374" s="3" t="s">
        <v>27407</v>
      </c>
    </row>
    <row r="18375">
      <c r="A18375" s="3" t="s">
        <v>34508</v>
      </c>
      <c r="B18375" s="3" t="s">
        <v>15261</v>
      </c>
      <c r="C18375" s="5" t="s">
        <v>221</v>
      </c>
      <c r="D18375" s="3" t="s">
        <v>614</v>
      </c>
      <c r="E18375" s="3" t="s">
        <v>118</v>
      </c>
      <c r="F18375" s="7">
        <v>46100.953659697545</v>
      </c>
      <c r="G18375" s="3" t="s">
        <v>27409</v>
      </c>
    </row>
    <row r="18376">
      <c r="A18376" s="3" t="s">
        <v>34509</v>
      </c>
      <c r="B18376" s="3" t="s">
        <v>15261</v>
      </c>
      <c r="C18376" s="5" t="s">
        <v>614</v>
      </c>
      <c r="D18376" s="3" t="s">
        <v>206</v>
      </c>
      <c r="E18376" s="3" t="s">
        <v>100</v>
      </c>
      <c r="F18376" s="7">
        <v>46100.95713191977</v>
      </c>
      <c r="G18376" s="3" t="s">
        <v>27411</v>
      </c>
    </row>
    <row r="18377">
      <c r="A18377" s="3" t="s">
        <v>34510</v>
      </c>
      <c r="B18377" s="3" t="s">
        <v>15261</v>
      </c>
      <c r="C18377" s="5" t="s">
        <v>206</v>
      </c>
      <c r="D18377" s="3" t="s">
        <v>68</v>
      </c>
      <c r="E18377" s="3" t="s">
        <v>100</v>
      </c>
      <c r="F18377" s="7">
        <v>46100.96060414199</v>
      </c>
      <c r="G18377" s="3" t="s">
        <v>27413</v>
      </c>
    </row>
    <row r="18378">
      <c r="A18378" s="3" t="s">
        <v>34511</v>
      </c>
      <c r="B18378" s="3" t="s">
        <v>15264</v>
      </c>
      <c r="C18378" s="5" t="s">
        <v>45</v>
      </c>
      <c r="D18378" s="3" t="s">
        <v>221</v>
      </c>
      <c r="E18378" s="3" t="s">
        <v>151</v>
      </c>
      <c r="F18378" s="7">
        <v>46101.021362320746</v>
      </c>
      <c r="G18378" s="3" t="s">
        <v>14411</v>
      </c>
    </row>
    <row r="18379">
      <c r="A18379" s="3" t="s">
        <v>34512</v>
      </c>
      <c r="B18379" s="3" t="s">
        <v>15264</v>
      </c>
      <c r="C18379" s="5" t="s">
        <v>221</v>
      </c>
      <c r="D18379" s="3" t="s">
        <v>181</v>
      </c>
      <c r="E18379" s="3" t="s">
        <v>118</v>
      </c>
      <c r="F18379" s="7">
        <v>46101.024834542965</v>
      </c>
      <c r="G18379" s="3" t="s">
        <v>34513</v>
      </c>
    </row>
    <row r="18380">
      <c r="A18380" s="3" t="s">
        <v>34514</v>
      </c>
      <c r="B18380" s="3" t="s">
        <v>15267</v>
      </c>
      <c r="C18380" s="5" t="s">
        <v>45</v>
      </c>
      <c r="D18380" s="3" t="s">
        <v>221</v>
      </c>
      <c r="E18380" s="3" t="s">
        <v>793</v>
      </c>
      <c r="F18380" s="7">
        <v>46101.092537166165</v>
      </c>
      <c r="G18380" s="3" t="s">
        <v>9616</v>
      </c>
    </row>
    <row r="18381">
      <c r="A18381" s="3" t="s">
        <v>34515</v>
      </c>
      <c r="B18381" s="3" t="s">
        <v>15267</v>
      </c>
      <c r="C18381" s="5" t="s">
        <v>221</v>
      </c>
      <c r="D18381" s="3" t="s">
        <v>614</v>
      </c>
      <c r="E18381" s="3" t="s">
        <v>118</v>
      </c>
      <c r="F18381" s="7">
        <v>46101.096009388384</v>
      </c>
      <c r="G18381" s="3" t="s">
        <v>9619</v>
      </c>
    </row>
    <row r="18382">
      <c r="A18382" s="3" t="s">
        <v>34516</v>
      </c>
      <c r="B18382" s="3" t="s">
        <v>15267</v>
      </c>
      <c r="C18382" s="5" t="s">
        <v>614</v>
      </c>
      <c r="D18382" s="3" t="s">
        <v>206</v>
      </c>
      <c r="E18382" s="3" t="s">
        <v>100</v>
      </c>
      <c r="F18382" s="7">
        <v>46101.09948161061</v>
      </c>
      <c r="G18382" s="3" t="s">
        <v>9622</v>
      </c>
    </row>
    <row r="18383">
      <c r="A18383" s="3" t="s">
        <v>34517</v>
      </c>
      <c r="B18383" s="3" t="s">
        <v>15267</v>
      </c>
      <c r="C18383" s="5" t="s">
        <v>206</v>
      </c>
      <c r="D18383" s="3" t="s">
        <v>68</v>
      </c>
      <c r="E18383" s="3" t="s">
        <v>100</v>
      </c>
      <c r="F18383" s="7">
        <v>46101.10295383283</v>
      </c>
      <c r="G18383" s="3" t="s">
        <v>9625</v>
      </c>
    </row>
    <row r="18384">
      <c r="A18384" s="3" t="s">
        <v>34518</v>
      </c>
      <c r="B18384" s="3" t="s">
        <v>15269</v>
      </c>
      <c r="C18384" s="5" t="s">
        <v>45</v>
      </c>
      <c r="D18384" s="3" t="s">
        <v>221</v>
      </c>
      <c r="E18384" s="3" t="s">
        <v>645</v>
      </c>
      <c r="F18384" s="7">
        <v>46101.16371201157</v>
      </c>
      <c r="G18384" s="3" t="s">
        <v>8627</v>
      </c>
    </row>
    <row r="18385">
      <c r="A18385" s="3" t="s">
        <v>34519</v>
      </c>
      <c r="B18385" s="3" t="s">
        <v>15269</v>
      </c>
      <c r="C18385" s="5" t="s">
        <v>221</v>
      </c>
      <c r="D18385" s="3" t="s">
        <v>614</v>
      </c>
      <c r="E18385" s="3" t="s">
        <v>118</v>
      </c>
      <c r="F18385" s="7">
        <v>46101.16718423379</v>
      </c>
      <c r="G18385" s="3" t="s">
        <v>8630</v>
      </c>
    </row>
    <row r="18386">
      <c r="A18386" s="3" t="s">
        <v>34520</v>
      </c>
      <c r="B18386" s="3" t="s">
        <v>15269</v>
      </c>
      <c r="C18386" s="5" t="s">
        <v>614</v>
      </c>
      <c r="D18386" s="3" t="s">
        <v>206</v>
      </c>
      <c r="E18386" s="3" t="s">
        <v>100</v>
      </c>
      <c r="F18386" s="7">
        <v>46101.170656456015</v>
      </c>
      <c r="G18386" s="3" t="s">
        <v>8633</v>
      </c>
    </row>
    <row r="18387">
      <c r="A18387" s="3" t="s">
        <v>34521</v>
      </c>
      <c r="B18387" s="3" t="s">
        <v>15269</v>
      </c>
      <c r="C18387" s="5" t="s">
        <v>206</v>
      </c>
      <c r="D18387" s="3" t="s">
        <v>68</v>
      </c>
      <c r="E18387" s="3" t="s">
        <v>100</v>
      </c>
      <c r="F18387" s="7">
        <v>46101.174128678234</v>
      </c>
      <c r="G18387" s="3" t="s">
        <v>8636</v>
      </c>
    </row>
    <row r="18388">
      <c r="A18388" s="3" t="s">
        <v>34522</v>
      </c>
      <c r="B18388" s="3" t="s">
        <v>15271</v>
      </c>
      <c r="C18388" s="5" t="s">
        <v>45</v>
      </c>
      <c r="D18388" s="3" t="s">
        <v>221</v>
      </c>
      <c r="E18388" s="3" t="s">
        <v>243</v>
      </c>
      <c r="F18388" s="7">
        <v>46101.23488685699</v>
      </c>
      <c r="G18388" s="3" t="s">
        <v>22614</v>
      </c>
    </row>
    <row r="18389">
      <c r="A18389" s="3" t="s">
        <v>34523</v>
      </c>
      <c r="B18389" s="3" t="s">
        <v>15271</v>
      </c>
      <c r="C18389" s="5" t="s">
        <v>221</v>
      </c>
      <c r="D18389" s="3" t="s">
        <v>614</v>
      </c>
      <c r="E18389" s="3" t="s">
        <v>118</v>
      </c>
      <c r="F18389" s="7">
        <v>46101.23835907921</v>
      </c>
      <c r="G18389" s="3" t="s">
        <v>22617</v>
      </c>
    </row>
    <row r="18390">
      <c r="A18390" s="3" t="s">
        <v>34524</v>
      </c>
      <c r="B18390" s="3" t="s">
        <v>15271</v>
      </c>
      <c r="C18390" s="5" t="s">
        <v>614</v>
      </c>
      <c r="D18390" s="3" t="s">
        <v>206</v>
      </c>
      <c r="E18390" s="3" t="s">
        <v>100</v>
      </c>
      <c r="F18390" s="7">
        <v>46101.241831301435</v>
      </c>
      <c r="G18390" s="3" t="s">
        <v>22620</v>
      </c>
    </row>
    <row r="18391">
      <c r="A18391" s="3" t="s">
        <v>34525</v>
      </c>
      <c r="B18391" s="3" t="s">
        <v>15271</v>
      </c>
      <c r="C18391" s="5" t="s">
        <v>206</v>
      </c>
      <c r="D18391" s="3" t="s">
        <v>68</v>
      </c>
      <c r="E18391" s="3" t="s">
        <v>100</v>
      </c>
      <c r="F18391" s="7">
        <v>46101.245303523654</v>
      </c>
      <c r="G18391" s="3" t="s">
        <v>22623</v>
      </c>
    </row>
    <row r="18392">
      <c r="A18392" s="3" t="s">
        <v>34526</v>
      </c>
      <c r="B18392" s="3" t="s">
        <v>15274</v>
      </c>
      <c r="C18392" s="5" t="s">
        <v>45</v>
      </c>
      <c r="D18392" s="3" t="s">
        <v>221</v>
      </c>
      <c r="E18392" s="3" t="s">
        <v>708</v>
      </c>
      <c r="F18392" s="7">
        <v>46101.30606170241</v>
      </c>
      <c r="G18392" s="3" t="s">
        <v>34527</v>
      </c>
    </row>
    <row r="18393">
      <c r="A18393" s="3" t="s">
        <v>34528</v>
      </c>
      <c r="B18393" s="3" t="s">
        <v>15274</v>
      </c>
      <c r="C18393" s="5" t="s">
        <v>221</v>
      </c>
      <c r="D18393" s="3" t="s">
        <v>614</v>
      </c>
      <c r="E18393" s="3" t="s">
        <v>118</v>
      </c>
      <c r="F18393" s="7">
        <v>46101.30953392463</v>
      </c>
      <c r="G18393" s="3" t="s">
        <v>34529</v>
      </c>
    </row>
    <row r="18394">
      <c r="A18394" s="3" t="s">
        <v>34530</v>
      </c>
      <c r="B18394" s="3" t="s">
        <v>15274</v>
      </c>
      <c r="C18394" s="5" t="s">
        <v>614</v>
      </c>
      <c r="D18394" s="3" t="s">
        <v>206</v>
      </c>
      <c r="E18394" s="3" t="s">
        <v>100</v>
      </c>
      <c r="F18394" s="7">
        <v>46101.313006146855</v>
      </c>
      <c r="G18394" s="3" t="s">
        <v>34531</v>
      </c>
    </row>
    <row r="18395">
      <c r="A18395" s="3" t="s">
        <v>34532</v>
      </c>
      <c r="B18395" s="3" t="s">
        <v>15274</v>
      </c>
      <c r="C18395" s="5" t="s">
        <v>206</v>
      </c>
      <c r="D18395" s="3" t="s">
        <v>68</v>
      </c>
      <c r="E18395" s="3" t="s">
        <v>100</v>
      </c>
      <c r="F18395" s="7">
        <v>46101.31647836907</v>
      </c>
      <c r="G18395" s="3" t="s">
        <v>34533</v>
      </c>
    </row>
    <row r="18396">
      <c r="A18396" s="3" t="s">
        <v>34534</v>
      </c>
      <c r="B18396" s="3" t="s">
        <v>15277</v>
      </c>
      <c r="C18396" s="5" t="s">
        <v>45</v>
      </c>
      <c r="D18396" s="3" t="s">
        <v>221</v>
      </c>
      <c r="E18396" s="3" t="s">
        <v>957</v>
      </c>
      <c r="F18396" s="7">
        <v>46101.37723654782</v>
      </c>
      <c r="G18396" s="3" t="s">
        <v>12179</v>
      </c>
    </row>
    <row r="18397">
      <c r="A18397" s="3" t="s">
        <v>34535</v>
      </c>
      <c r="B18397" s="3" t="s">
        <v>15277</v>
      </c>
      <c r="C18397" s="5" t="s">
        <v>221</v>
      </c>
      <c r="D18397" s="3" t="s">
        <v>614</v>
      </c>
      <c r="E18397" s="3" t="s">
        <v>118</v>
      </c>
      <c r="F18397" s="7">
        <v>46101.38070877004</v>
      </c>
      <c r="G18397" s="3" t="s">
        <v>12182</v>
      </c>
    </row>
    <row r="18398">
      <c r="A18398" s="3" t="s">
        <v>34536</v>
      </c>
      <c r="B18398" s="3" t="s">
        <v>15277</v>
      </c>
      <c r="C18398" s="5" t="s">
        <v>614</v>
      </c>
      <c r="D18398" s="3" t="s">
        <v>206</v>
      </c>
      <c r="E18398" s="3" t="s">
        <v>100</v>
      </c>
      <c r="F18398" s="7">
        <v>46101.38418099227</v>
      </c>
      <c r="G18398" s="3" t="s">
        <v>12185</v>
      </c>
    </row>
    <row r="18399">
      <c r="A18399" s="3" t="s">
        <v>34537</v>
      </c>
      <c r="B18399" s="3" t="s">
        <v>15277</v>
      </c>
      <c r="C18399" s="5" t="s">
        <v>206</v>
      </c>
      <c r="D18399" s="3" t="s">
        <v>68</v>
      </c>
      <c r="E18399" s="3" t="s">
        <v>100</v>
      </c>
      <c r="F18399" s="7">
        <v>46101.387653214486</v>
      </c>
      <c r="G18399" s="3" t="s">
        <v>12188</v>
      </c>
    </row>
    <row r="18400">
      <c r="A18400" s="3" t="s">
        <v>34538</v>
      </c>
      <c r="B18400" s="3" t="s">
        <v>15278</v>
      </c>
      <c r="C18400" s="5" t="s">
        <v>45</v>
      </c>
      <c r="D18400" s="3" t="s">
        <v>221</v>
      </c>
      <c r="E18400" s="3" t="s">
        <v>676</v>
      </c>
      <c r="F18400" s="7">
        <v>46101.448411393234</v>
      </c>
      <c r="G18400" s="3" t="s">
        <v>16778</v>
      </c>
    </row>
    <row r="18401">
      <c r="A18401" s="3" t="s">
        <v>34539</v>
      </c>
      <c r="B18401" s="3" t="s">
        <v>15278</v>
      </c>
      <c r="C18401" s="5" t="s">
        <v>221</v>
      </c>
      <c r="D18401" s="3" t="s">
        <v>614</v>
      </c>
      <c r="E18401" s="3" t="s">
        <v>118</v>
      </c>
      <c r="F18401" s="7">
        <v>46101.45188361545</v>
      </c>
      <c r="G18401" s="3" t="s">
        <v>16781</v>
      </c>
    </row>
    <row r="18402">
      <c r="A18402" s="3" t="s">
        <v>34540</v>
      </c>
      <c r="B18402" s="3" t="s">
        <v>15278</v>
      </c>
      <c r="C18402" s="5" t="s">
        <v>614</v>
      </c>
      <c r="D18402" s="3" t="s">
        <v>206</v>
      </c>
      <c r="E18402" s="3" t="s">
        <v>100</v>
      </c>
      <c r="F18402" s="7">
        <v>46101.45535583768</v>
      </c>
      <c r="G18402" s="3" t="s">
        <v>16783</v>
      </c>
    </row>
    <row r="18403">
      <c r="A18403" s="3" t="s">
        <v>34541</v>
      </c>
      <c r="B18403" s="3" t="s">
        <v>15278</v>
      </c>
      <c r="C18403" s="5" t="s">
        <v>206</v>
      </c>
      <c r="D18403" s="3" t="s">
        <v>68</v>
      </c>
      <c r="E18403" s="3" t="s">
        <v>100</v>
      </c>
      <c r="F18403" s="7">
        <v>46101.4588280599</v>
      </c>
      <c r="G18403" s="3" t="s">
        <v>16786</v>
      </c>
    </row>
    <row r="18404">
      <c r="A18404" s="3" t="s">
        <v>34542</v>
      </c>
      <c r="B18404" s="3" t="s">
        <v>15282</v>
      </c>
      <c r="C18404" s="5" t="s">
        <v>45</v>
      </c>
      <c r="D18404" s="3" t="s">
        <v>221</v>
      </c>
      <c r="E18404" s="3" t="s">
        <v>934</v>
      </c>
      <c r="F18404" s="7">
        <v>46101.51958623865</v>
      </c>
      <c r="G18404" s="3" t="s">
        <v>33896</v>
      </c>
    </row>
    <row r="18405">
      <c r="A18405" s="3" t="s">
        <v>34543</v>
      </c>
      <c r="B18405" s="3" t="s">
        <v>15282</v>
      </c>
      <c r="C18405" s="5" t="s">
        <v>221</v>
      </c>
      <c r="D18405" s="3" t="s">
        <v>181</v>
      </c>
      <c r="E18405" s="3" t="s">
        <v>118</v>
      </c>
      <c r="F18405" s="7">
        <v>46101.52305846087</v>
      </c>
      <c r="G18405" s="3" t="s">
        <v>34377</v>
      </c>
    </row>
    <row r="18406">
      <c r="A18406" s="3" t="s">
        <v>34544</v>
      </c>
      <c r="B18406" s="3" t="s">
        <v>15286</v>
      </c>
      <c r="C18406" s="5" t="s">
        <v>45</v>
      </c>
      <c r="D18406" s="3" t="s">
        <v>221</v>
      </c>
      <c r="E18406" s="3" t="s">
        <v>972</v>
      </c>
      <c r="F18406" s="7">
        <v>46101.590761084066</v>
      </c>
      <c r="G18406" s="3" t="s">
        <v>8512</v>
      </c>
    </row>
    <row r="18407">
      <c r="A18407" s="3" t="s">
        <v>34545</v>
      </c>
      <c r="B18407" s="3" t="s">
        <v>15286</v>
      </c>
      <c r="C18407" s="5" t="s">
        <v>221</v>
      </c>
      <c r="D18407" s="3" t="s">
        <v>614</v>
      </c>
      <c r="E18407" s="3" t="s">
        <v>118</v>
      </c>
      <c r="F18407" s="7">
        <v>46101.594233306285</v>
      </c>
      <c r="G18407" s="3" t="s">
        <v>8515</v>
      </c>
    </row>
    <row r="18408">
      <c r="A18408" s="3" t="s">
        <v>34546</v>
      </c>
      <c r="B18408" s="3" t="s">
        <v>15286</v>
      </c>
      <c r="C18408" s="5" t="s">
        <v>614</v>
      </c>
      <c r="D18408" s="3" t="s">
        <v>206</v>
      </c>
      <c r="E18408" s="3" t="s">
        <v>100</v>
      </c>
      <c r="F18408" s="7">
        <v>46101.59770552851</v>
      </c>
      <c r="G18408" s="3" t="s">
        <v>8517</v>
      </c>
    </row>
    <row r="18409">
      <c r="A18409" s="3" t="s">
        <v>34547</v>
      </c>
      <c r="B18409" s="3" t="s">
        <v>15286</v>
      </c>
      <c r="C18409" s="5" t="s">
        <v>206</v>
      </c>
      <c r="D18409" s="3" t="s">
        <v>68</v>
      </c>
      <c r="E18409" s="3" t="s">
        <v>100</v>
      </c>
      <c r="F18409" s="7">
        <v>46101.60117775073</v>
      </c>
      <c r="G18409" s="3" t="s">
        <v>8520</v>
      </c>
    </row>
    <row r="18410">
      <c r="A18410" s="3" t="s">
        <v>34548</v>
      </c>
      <c r="B18410" s="3" t="s">
        <v>15289</v>
      </c>
      <c r="C18410" s="5" t="s">
        <v>45</v>
      </c>
      <c r="D18410" s="3" t="s">
        <v>221</v>
      </c>
      <c r="E18410" s="3" t="s">
        <v>767</v>
      </c>
      <c r="F18410" s="7">
        <v>46101.66193592948</v>
      </c>
      <c r="G18410" s="3" t="s">
        <v>18531</v>
      </c>
    </row>
    <row r="18411">
      <c r="A18411" s="3" t="s">
        <v>34549</v>
      </c>
      <c r="B18411" s="3" t="s">
        <v>15289</v>
      </c>
      <c r="C18411" s="5" t="s">
        <v>221</v>
      </c>
      <c r="D18411" s="3" t="s">
        <v>614</v>
      </c>
      <c r="E18411" s="3" t="s">
        <v>118</v>
      </c>
      <c r="F18411" s="7">
        <v>46101.6654081517</v>
      </c>
      <c r="G18411" s="3" t="s">
        <v>18534</v>
      </c>
    </row>
    <row r="18412">
      <c r="A18412" s="3" t="s">
        <v>34550</v>
      </c>
      <c r="B18412" s="3" t="s">
        <v>15289</v>
      </c>
      <c r="C18412" s="5" t="s">
        <v>614</v>
      </c>
      <c r="D18412" s="3" t="s">
        <v>206</v>
      </c>
      <c r="E18412" s="3" t="s">
        <v>100</v>
      </c>
      <c r="F18412" s="7">
        <v>46101.66888037392</v>
      </c>
      <c r="G18412" s="3" t="s">
        <v>18536</v>
      </c>
    </row>
    <row r="18413">
      <c r="A18413" s="3" t="s">
        <v>34551</v>
      </c>
      <c r="B18413" s="3" t="s">
        <v>15289</v>
      </c>
      <c r="C18413" s="5" t="s">
        <v>206</v>
      </c>
      <c r="D18413" s="3" t="s">
        <v>68</v>
      </c>
      <c r="E18413" s="3" t="s">
        <v>100</v>
      </c>
      <c r="F18413" s="7">
        <v>46101.67235259614</v>
      </c>
      <c r="G18413" s="3" t="s">
        <v>18539</v>
      </c>
    </row>
    <row r="18414">
      <c r="A18414" s="3" t="s">
        <v>34552</v>
      </c>
      <c r="B18414" s="3" t="s">
        <v>15292</v>
      </c>
      <c r="C18414" s="5" t="s">
        <v>45</v>
      </c>
      <c r="D18414" s="3" t="s">
        <v>221</v>
      </c>
      <c r="E18414" s="3" t="s">
        <v>1030</v>
      </c>
      <c r="F18414" s="7">
        <v>46101.7331107749</v>
      </c>
      <c r="G18414" s="3" t="s">
        <v>8757</v>
      </c>
    </row>
    <row r="18415">
      <c r="A18415" s="3" t="s">
        <v>34553</v>
      </c>
      <c r="B18415" s="3" t="s">
        <v>15292</v>
      </c>
      <c r="C18415" s="5" t="s">
        <v>221</v>
      </c>
      <c r="D18415" s="3" t="s">
        <v>614</v>
      </c>
      <c r="E18415" s="3" t="s">
        <v>118</v>
      </c>
      <c r="F18415" s="7">
        <v>46101.73658299712</v>
      </c>
      <c r="G18415" s="3" t="s">
        <v>34270</v>
      </c>
    </row>
    <row r="18416">
      <c r="A18416" s="3" t="s">
        <v>34554</v>
      </c>
      <c r="B18416" s="3" t="s">
        <v>15292</v>
      </c>
      <c r="C18416" s="5" t="s">
        <v>614</v>
      </c>
      <c r="D18416" s="3" t="s">
        <v>206</v>
      </c>
      <c r="E18416" s="3" t="s">
        <v>100</v>
      </c>
      <c r="F18416" s="7">
        <v>46101.74005521934</v>
      </c>
      <c r="G18416" s="3" t="s">
        <v>34272</v>
      </c>
    </row>
    <row r="18417">
      <c r="A18417" s="3" t="s">
        <v>34555</v>
      </c>
      <c r="B18417" s="3" t="s">
        <v>15292</v>
      </c>
      <c r="C18417" s="5" t="s">
        <v>206</v>
      </c>
      <c r="D18417" s="3" t="s">
        <v>68</v>
      </c>
      <c r="E18417" s="3" t="s">
        <v>100</v>
      </c>
      <c r="F18417" s="7">
        <v>46101.74352744156</v>
      </c>
      <c r="G18417" s="3" t="s">
        <v>34274</v>
      </c>
    </row>
    <row r="18418">
      <c r="A18418" s="3" t="s">
        <v>34556</v>
      </c>
      <c r="B18418" s="3" t="s">
        <v>15296</v>
      </c>
      <c r="C18418" s="5" t="s">
        <v>45</v>
      </c>
      <c r="D18418" s="3" t="s">
        <v>221</v>
      </c>
      <c r="E18418" s="3" t="s">
        <v>713</v>
      </c>
      <c r="F18418" s="7">
        <v>46101.80428562031</v>
      </c>
      <c r="G18418" s="3" t="s">
        <v>14158</v>
      </c>
    </row>
    <row r="18419">
      <c r="A18419" s="3" t="s">
        <v>34557</v>
      </c>
      <c r="B18419" s="3" t="s">
        <v>15296</v>
      </c>
      <c r="C18419" s="5" t="s">
        <v>221</v>
      </c>
      <c r="D18419" s="3" t="s">
        <v>614</v>
      </c>
      <c r="E18419" s="3" t="s">
        <v>118</v>
      </c>
      <c r="F18419" s="7">
        <v>46101.80775784253</v>
      </c>
      <c r="G18419" s="3" t="s">
        <v>14161</v>
      </c>
    </row>
    <row r="18420">
      <c r="A18420" s="3" t="s">
        <v>34558</v>
      </c>
      <c r="B18420" s="3" t="s">
        <v>15296</v>
      </c>
      <c r="C18420" s="5" t="s">
        <v>614</v>
      </c>
      <c r="D18420" s="3" t="s">
        <v>206</v>
      </c>
      <c r="E18420" s="3" t="s">
        <v>100</v>
      </c>
      <c r="F18420" s="7">
        <v>46101.811230064755</v>
      </c>
      <c r="G18420" s="3" t="s">
        <v>14164</v>
      </c>
    </row>
    <row r="18421">
      <c r="A18421" s="3" t="s">
        <v>34559</v>
      </c>
      <c r="B18421" s="3" t="s">
        <v>15296</v>
      </c>
      <c r="C18421" s="5" t="s">
        <v>206</v>
      </c>
      <c r="D18421" s="3" t="s">
        <v>68</v>
      </c>
      <c r="E18421" s="3" t="s">
        <v>100</v>
      </c>
      <c r="F18421" s="7">
        <v>46101.814702286974</v>
      </c>
      <c r="G18421" s="3" t="s">
        <v>14167</v>
      </c>
    </row>
    <row r="18422">
      <c r="A18422" s="3" t="s">
        <v>34560</v>
      </c>
      <c r="B18422" s="3" t="s">
        <v>15299</v>
      </c>
      <c r="C18422" s="5" t="s">
        <v>45</v>
      </c>
      <c r="D18422" s="3" t="s">
        <v>221</v>
      </c>
      <c r="E18422" s="3" t="s">
        <v>765</v>
      </c>
      <c r="F18422" s="7">
        <v>46101.87546046572</v>
      </c>
      <c r="G18422" s="3" t="s">
        <v>24642</v>
      </c>
    </row>
    <row r="18423">
      <c r="A18423" s="3" t="s">
        <v>34561</v>
      </c>
      <c r="B18423" s="3" t="s">
        <v>15299</v>
      </c>
      <c r="C18423" s="5" t="s">
        <v>221</v>
      </c>
      <c r="D18423" s="3" t="s">
        <v>614</v>
      </c>
      <c r="E18423" s="3" t="s">
        <v>118</v>
      </c>
      <c r="F18423" s="7">
        <v>46101.87893268794</v>
      </c>
      <c r="G18423" s="3" t="s">
        <v>24644</v>
      </c>
    </row>
    <row r="18424">
      <c r="A18424" s="3" t="s">
        <v>34562</v>
      </c>
      <c r="B18424" s="3" t="s">
        <v>15299</v>
      </c>
      <c r="C18424" s="5" t="s">
        <v>614</v>
      </c>
      <c r="D18424" s="3" t="s">
        <v>206</v>
      </c>
      <c r="E18424" s="3" t="s">
        <v>100</v>
      </c>
      <c r="F18424" s="7">
        <v>46101.88240491017</v>
      </c>
      <c r="G18424" s="3" t="s">
        <v>24646</v>
      </c>
    </row>
    <row r="18425">
      <c r="A18425" s="3" t="s">
        <v>34563</v>
      </c>
      <c r="B18425" s="3" t="s">
        <v>15299</v>
      </c>
      <c r="C18425" s="5" t="s">
        <v>206</v>
      </c>
      <c r="D18425" s="3" t="s">
        <v>68</v>
      </c>
      <c r="E18425" s="3" t="s">
        <v>100</v>
      </c>
      <c r="F18425" s="7">
        <v>46101.88587713239</v>
      </c>
      <c r="G18425" s="3" t="s">
        <v>24648</v>
      </c>
    </row>
    <row r="18426">
      <c r="A18426" s="3" t="s">
        <v>34564</v>
      </c>
      <c r="B18426" s="3" t="s">
        <v>15301</v>
      </c>
      <c r="C18426" s="5" t="s">
        <v>45</v>
      </c>
      <c r="D18426" s="3" t="s">
        <v>221</v>
      </c>
      <c r="E18426" s="3" t="s">
        <v>472</v>
      </c>
      <c r="F18426" s="7">
        <v>46101.94663531114</v>
      </c>
      <c r="G18426" s="3" t="s">
        <v>12203</v>
      </c>
    </row>
    <row r="18427">
      <c r="A18427" s="3" t="s">
        <v>34565</v>
      </c>
      <c r="B18427" s="3" t="s">
        <v>15301</v>
      </c>
      <c r="C18427" s="5" t="s">
        <v>221</v>
      </c>
      <c r="D18427" s="3" t="s">
        <v>614</v>
      </c>
      <c r="E18427" s="3" t="s">
        <v>118</v>
      </c>
      <c r="F18427" s="7">
        <v>46101.95010753336</v>
      </c>
      <c r="G18427" s="3" t="s">
        <v>12206</v>
      </c>
    </row>
    <row r="18428">
      <c r="A18428" s="3" t="s">
        <v>34566</v>
      </c>
      <c r="B18428" s="3" t="s">
        <v>15301</v>
      </c>
      <c r="C18428" s="5" t="s">
        <v>614</v>
      </c>
      <c r="D18428" s="3" t="s">
        <v>206</v>
      </c>
      <c r="E18428" s="3" t="s">
        <v>100</v>
      </c>
      <c r="F18428" s="7">
        <v>46101.95357975559</v>
      </c>
      <c r="G18428" s="3" t="s">
        <v>12209</v>
      </c>
    </row>
    <row r="18429">
      <c r="A18429" s="3" t="s">
        <v>34567</v>
      </c>
      <c r="B18429" s="3" t="s">
        <v>15301</v>
      </c>
      <c r="C18429" s="5" t="s">
        <v>206</v>
      </c>
      <c r="D18429" s="3" t="s">
        <v>68</v>
      </c>
      <c r="E18429" s="3" t="s">
        <v>100</v>
      </c>
      <c r="F18429" s="7">
        <v>46101.957051977806</v>
      </c>
      <c r="G18429" s="3" t="s">
        <v>12211</v>
      </c>
    </row>
    <row r="18430">
      <c r="A18430" s="3" t="s">
        <v>34568</v>
      </c>
      <c r="B18430" s="3" t="s">
        <v>15304</v>
      </c>
      <c r="C18430" s="5" t="s">
        <v>45</v>
      </c>
      <c r="D18430" s="3" t="s">
        <v>221</v>
      </c>
      <c r="E18430" s="3" t="s">
        <v>388</v>
      </c>
      <c r="F18430" s="7">
        <v>46102.017810156554</v>
      </c>
      <c r="G18430" s="3" t="s">
        <v>6300</v>
      </c>
    </row>
    <row r="18431">
      <c r="A18431" s="3" t="s">
        <v>34569</v>
      </c>
      <c r="B18431" s="3" t="s">
        <v>15304</v>
      </c>
      <c r="C18431" s="5" t="s">
        <v>221</v>
      </c>
      <c r="D18431" s="3" t="s">
        <v>181</v>
      </c>
      <c r="E18431" s="3" t="s">
        <v>118</v>
      </c>
      <c r="F18431" s="7">
        <v>46102.02128237877</v>
      </c>
      <c r="G18431" s="3" t="s">
        <v>34570</v>
      </c>
    </row>
    <row r="18432">
      <c r="A18432" s="3" t="s">
        <v>34571</v>
      </c>
      <c r="B18432" s="3" t="s">
        <v>15306</v>
      </c>
      <c r="C18432" s="5" t="s">
        <v>45</v>
      </c>
      <c r="D18432" s="3" t="s">
        <v>221</v>
      </c>
      <c r="E18432" s="3" t="s">
        <v>1021</v>
      </c>
      <c r="F18432" s="7">
        <v>46102.08898500197</v>
      </c>
      <c r="G18432" s="3" t="s">
        <v>11571</v>
      </c>
    </row>
    <row r="18433">
      <c r="A18433" s="3" t="s">
        <v>34572</v>
      </c>
      <c r="B18433" s="3" t="s">
        <v>15306</v>
      </c>
      <c r="C18433" s="5" t="s">
        <v>221</v>
      </c>
      <c r="D18433" s="3" t="s">
        <v>614</v>
      </c>
      <c r="E18433" s="3" t="s">
        <v>118</v>
      </c>
      <c r="F18433" s="7">
        <v>46102.092457224186</v>
      </c>
      <c r="G18433" s="3" t="s">
        <v>27354</v>
      </c>
    </row>
    <row r="18434">
      <c r="A18434" s="3" t="s">
        <v>34573</v>
      </c>
      <c r="B18434" s="3" t="s">
        <v>15306</v>
      </c>
      <c r="C18434" s="5" t="s">
        <v>614</v>
      </c>
      <c r="D18434" s="3" t="s">
        <v>206</v>
      </c>
      <c r="E18434" s="3" t="s">
        <v>100</v>
      </c>
      <c r="F18434" s="7">
        <v>46102.09592944641</v>
      </c>
      <c r="G18434" s="3" t="s">
        <v>27356</v>
      </c>
    </row>
    <row r="18435">
      <c r="A18435" s="3" t="s">
        <v>34574</v>
      </c>
      <c r="B18435" s="3" t="s">
        <v>15306</v>
      </c>
      <c r="C18435" s="5" t="s">
        <v>206</v>
      </c>
      <c r="D18435" s="3" t="s">
        <v>68</v>
      </c>
      <c r="E18435" s="3" t="s">
        <v>100</v>
      </c>
      <c r="F18435" s="7">
        <v>46102.09940166863</v>
      </c>
      <c r="G18435" s="3" t="s">
        <v>27358</v>
      </c>
    </row>
    <row r="18436">
      <c r="A18436" s="3" t="s">
        <v>34575</v>
      </c>
      <c r="B18436" s="3" t="s">
        <v>15310</v>
      </c>
      <c r="C18436" s="5" t="s">
        <v>45</v>
      </c>
      <c r="D18436" s="3" t="s">
        <v>221</v>
      </c>
      <c r="E18436" s="3" t="s">
        <v>440</v>
      </c>
      <c r="F18436" s="7">
        <v>46102.160159847386</v>
      </c>
      <c r="G18436" s="3" t="s">
        <v>7627</v>
      </c>
    </row>
    <row r="18437">
      <c r="A18437" s="3" t="s">
        <v>34576</v>
      </c>
      <c r="B18437" s="3" t="s">
        <v>15310</v>
      </c>
      <c r="C18437" s="5" t="s">
        <v>221</v>
      </c>
      <c r="D18437" s="3" t="s">
        <v>614</v>
      </c>
      <c r="E18437" s="3" t="s">
        <v>118</v>
      </c>
      <c r="F18437" s="7">
        <v>46102.163632069605</v>
      </c>
      <c r="G18437" s="3" t="s">
        <v>8929</v>
      </c>
    </row>
    <row r="18438">
      <c r="A18438" s="3" t="s">
        <v>34577</v>
      </c>
      <c r="B18438" s="3" t="s">
        <v>15310</v>
      </c>
      <c r="C18438" s="5" t="s">
        <v>614</v>
      </c>
      <c r="D18438" s="3" t="s">
        <v>206</v>
      </c>
      <c r="E18438" s="3" t="s">
        <v>100</v>
      </c>
      <c r="F18438" s="7">
        <v>46102.16710429183</v>
      </c>
      <c r="G18438" s="3" t="s">
        <v>8932</v>
      </c>
    </row>
    <row r="18439">
      <c r="A18439" s="3" t="s">
        <v>34578</v>
      </c>
      <c r="B18439" s="3" t="s">
        <v>15310</v>
      </c>
      <c r="C18439" s="5" t="s">
        <v>206</v>
      </c>
      <c r="D18439" s="3" t="s">
        <v>68</v>
      </c>
      <c r="E18439" s="3" t="s">
        <v>100</v>
      </c>
      <c r="F18439" s="7">
        <v>46102.17057651405</v>
      </c>
      <c r="G18439" s="3" t="s">
        <v>8935</v>
      </c>
    </row>
    <row r="18440">
      <c r="A18440" s="3" t="s">
        <v>34579</v>
      </c>
      <c r="B18440" s="3" t="s">
        <v>15313</v>
      </c>
      <c r="C18440" s="5" t="s">
        <v>45</v>
      </c>
      <c r="D18440" s="3" t="s">
        <v>221</v>
      </c>
      <c r="E18440" s="3" t="s">
        <v>1040</v>
      </c>
      <c r="F18440" s="7">
        <v>46102.231334692806</v>
      </c>
      <c r="G18440" s="3" t="s">
        <v>12266</v>
      </c>
    </row>
    <row r="18441">
      <c r="A18441" s="3" t="s">
        <v>34580</v>
      </c>
      <c r="B18441" s="3" t="s">
        <v>15313</v>
      </c>
      <c r="C18441" s="5" t="s">
        <v>221</v>
      </c>
      <c r="D18441" s="3" t="s">
        <v>614</v>
      </c>
      <c r="E18441" s="3" t="s">
        <v>118</v>
      </c>
      <c r="F18441" s="7">
        <v>46102.234806915025</v>
      </c>
      <c r="G18441" s="3" t="s">
        <v>12269</v>
      </c>
    </row>
    <row r="18442">
      <c r="A18442" s="3" t="s">
        <v>34581</v>
      </c>
      <c r="B18442" s="3" t="s">
        <v>15313</v>
      </c>
      <c r="C18442" s="5" t="s">
        <v>614</v>
      </c>
      <c r="D18442" s="3" t="s">
        <v>206</v>
      </c>
      <c r="E18442" s="3" t="s">
        <v>100</v>
      </c>
      <c r="F18442" s="7">
        <v>46102.23827913725</v>
      </c>
      <c r="G18442" s="3" t="s">
        <v>12272</v>
      </c>
    </row>
    <row r="18443">
      <c r="A18443" s="3" t="s">
        <v>34582</v>
      </c>
      <c r="B18443" s="3" t="s">
        <v>15313</v>
      </c>
      <c r="C18443" s="5" t="s">
        <v>206</v>
      </c>
      <c r="D18443" s="3" t="s">
        <v>68</v>
      </c>
      <c r="E18443" s="3" t="s">
        <v>100</v>
      </c>
      <c r="F18443" s="7">
        <v>46102.24175135947</v>
      </c>
      <c r="G18443" s="3" t="s">
        <v>12276</v>
      </c>
    </row>
    <row r="18444">
      <c r="A18444" s="3" t="s">
        <v>34583</v>
      </c>
      <c r="B18444" s="3" t="s">
        <v>15316</v>
      </c>
      <c r="C18444" s="5" t="s">
        <v>45</v>
      </c>
      <c r="D18444" s="3" t="s">
        <v>221</v>
      </c>
      <c r="E18444" s="3" t="s">
        <v>280</v>
      </c>
      <c r="F18444" s="7">
        <v>46102.30250953821</v>
      </c>
      <c r="G18444" s="3" t="s">
        <v>11915</v>
      </c>
    </row>
    <row r="18445">
      <c r="A18445" s="3" t="s">
        <v>34584</v>
      </c>
      <c r="B18445" s="3" t="s">
        <v>15316</v>
      </c>
      <c r="C18445" s="5" t="s">
        <v>221</v>
      </c>
      <c r="D18445" s="3" t="s">
        <v>195</v>
      </c>
      <c r="E18445" s="3" t="s">
        <v>280</v>
      </c>
      <c r="F18445" s="7">
        <v>46102.30598176043</v>
      </c>
      <c r="G18445" s="3" t="s">
        <v>34585</v>
      </c>
    </row>
    <row r="18446">
      <c r="A18446" s="3" t="s">
        <v>34586</v>
      </c>
      <c r="B18446" s="3" t="s">
        <v>15319</v>
      </c>
      <c r="C18446" s="5" t="s">
        <v>45</v>
      </c>
      <c r="D18446" s="3" t="s">
        <v>221</v>
      </c>
      <c r="E18446" s="3" t="s">
        <v>440</v>
      </c>
      <c r="F18446" s="7">
        <v>46102.37368438363</v>
      </c>
      <c r="G18446" s="3" t="s">
        <v>5171</v>
      </c>
    </row>
    <row r="18447">
      <c r="A18447" s="3" t="s">
        <v>34587</v>
      </c>
      <c r="B18447" s="3" t="s">
        <v>15319</v>
      </c>
      <c r="C18447" s="5" t="s">
        <v>221</v>
      </c>
      <c r="D18447" s="3" t="s">
        <v>614</v>
      </c>
      <c r="E18447" s="3" t="s">
        <v>118</v>
      </c>
      <c r="F18447" s="7">
        <v>46102.37715660585</v>
      </c>
      <c r="G18447" s="3" t="s">
        <v>12316</v>
      </c>
    </row>
    <row r="18448">
      <c r="A18448" s="3" t="s">
        <v>34588</v>
      </c>
      <c r="B18448" s="3" t="s">
        <v>15319</v>
      </c>
      <c r="C18448" s="5" t="s">
        <v>614</v>
      </c>
      <c r="D18448" s="3" t="s">
        <v>206</v>
      </c>
      <c r="E18448" s="3" t="s">
        <v>100</v>
      </c>
      <c r="F18448" s="7">
        <v>46102.380628828076</v>
      </c>
      <c r="G18448" s="3" t="s">
        <v>12319</v>
      </c>
    </row>
    <row r="18449">
      <c r="A18449" s="3" t="s">
        <v>34589</v>
      </c>
      <c r="B18449" s="3" t="s">
        <v>15319</v>
      </c>
      <c r="C18449" s="5" t="s">
        <v>206</v>
      </c>
      <c r="D18449" s="3" t="s">
        <v>68</v>
      </c>
      <c r="E18449" s="3" t="s">
        <v>100</v>
      </c>
      <c r="F18449" s="7">
        <v>46102.384101050295</v>
      </c>
      <c r="G18449" s="3" t="s">
        <v>12322</v>
      </c>
    </row>
    <row r="18450">
      <c r="A18450" s="3" t="s">
        <v>34590</v>
      </c>
      <c r="B18450" s="3" t="s">
        <v>15321</v>
      </c>
      <c r="C18450" s="5" t="s">
        <v>45</v>
      </c>
      <c r="D18450" s="3" t="s">
        <v>221</v>
      </c>
      <c r="E18450" s="3" t="s">
        <v>587</v>
      </c>
      <c r="F18450" s="7">
        <v>46102.44485922905</v>
      </c>
      <c r="G18450" s="3" t="s">
        <v>3139</v>
      </c>
    </row>
    <row r="18451">
      <c r="A18451" s="3" t="s">
        <v>34591</v>
      </c>
      <c r="B18451" s="3" t="s">
        <v>15321</v>
      </c>
      <c r="C18451" s="5" t="s">
        <v>221</v>
      </c>
      <c r="D18451" s="3" t="s">
        <v>614</v>
      </c>
      <c r="E18451" s="3" t="s">
        <v>118</v>
      </c>
      <c r="F18451" s="7">
        <v>46102.44833145127</v>
      </c>
      <c r="G18451" s="3" t="s">
        <v>3142</v>
      </c>
    </row>
    <row r="18452">
      <c r="A18452" s="3" t="s">
        <v>34592</v>
      </c>
      <c r="B18452" s="3" t="s">
        <v>15321</v>
      </c>
      <c r="C18452" s="5" t="s">
        <v>614</v>
      </c>
      <c r="D18452" s="3" t="s">
        <v>206</v>
      </c>
      <c r="E18452" s="3" t="s">
        <v>100</v>
      </c>
      <c r="F18452" s="7">
        <v>46102.451803673495</v>
      </c>
      <c r="G18452" s="3" t="s">
        <v>3144</v>
      </c>
    </row>
    <row r="18453">
      <c r="A18453" s="3" t="s">
        <v>34593</v>
      </c>
      <c r="B18453" s="3" t="s">
        <v>15321</v>
      </c>
      <c r="C18453" s="5" t="s">
        <v>206</v>
      </c>
      <c r="D18453" s="3" t="s">
        <v>68</v>
      </c>
      <c r="E18453" s="3" t="s">
        <v>100</v>
      </c>
      <c r="F18453" s="7">
        <v>46102.455275895714</v>
      </c>
      <c r="G18453" s="3" t="s">
        <v>3149</v>
      </c>
    </row>
    <row r="18454">
      <c r="A18454" s="3" t="s">
        <v>34594</v>
      </c>
      <c r="B18454" s="3" t="s">
        <v>15323</v>
      </c>
      <c r="C18454" s="5" t="s">
        <v>45</v>
      </c>
      <c r="D18454" s="3" t="s">
        <v>221</v>
      </c>
      <c r="E18454" s="3" t="s">
        <v>276</v>
      </c>
      <c r="F18454" s="7">
        <v>46102.51603407446</v>
      </c>
      <c r="G18454" s="3" t="s">
        <v>33581</v>
      </c>
    </row>
    <row r="18455">
      <c r="A18455" s="3" t="s">
        <v>34595</v>
      </c>
      <c r="B18455" s="3" t="s">
        <v>15323</v>
      </c>
      <c r="C18455" s="5" t="s">
        <v>221</v>
      </c>
      <c r="D18455" s="3" t="s">
        <v>614</v>
      </c>
      <c r="E18455" s="3" t="s">
        <v>118</v>
      </c>
      <c r="F18455" s="7">
        <v>46102.51950629668</v>
      </c>
      <c r="G18455" s="3" t="s">
        <v>33583</v>
      </c>
    </row>
    <row r="18456">
      <c r="A18456" s="3" t="s">
        <v>34596</v>
      </c>
      <c r="B18456" s="3" t="s">
        <v>15323</v>
      </c>
      <c r="C18456" s="5" t="s">
        <v>614</v>
      </c>
      <c r="D18456" s="3" t="s">
        <v>206</v>
      </c>
      <c r="E18456" s="3" t="s">
        <v>100</v>
      </c>
      <c r="F18456" s="7">
        <v>46102.52297851891</v>
      </c>
      <c r="G18456" s="3" t="s">
        <v>33585</v>
      </c>
    </row>
    <row r="18457">
      <c r="A18457" s="3" t="s">
        <v>34597</v>
      </c>
      <c r="B18457" s="3" t="s">
        <v>15323</v>
      </c>
      <c r="C18457" s="5" t="s">
        <v>206</v>
      </c>
      <c r="D18457" s="3" t="s">
        <v>68</v>
      </c>
      <c r="E18457" s="3" t="s">
        <v>100</v>
      </c>
      <c r="F18457" s="7">
        <v>46102.52645074113</v>
      </c>
      <c r="G18457" s="3" t="s">
        <v>33587</v>
      </c>
    </row>
    <row r="18458">
      <c r="A18458" s="3" t="s">
        <v>34598</v>
      </c>
      <c r="B18458" s="3" t="s">
        <v>15326</v>
      </c>
      <c r="C18458" s="5" t="s">
        <v>45</v>
      </c>
      <c r="D18458" s="3" t="s">
        <v>221</v>
      </c>
      <c r="E18458" s="3" t="s">
        <v>475</v>
      </c>
      <c r="F18458" s="7">
        <v>46102.587208919875</v>
      </c>
      <c r="G18458" s="3" t="s">
        <v>14351</v>
      </c>
    </row>
    <row r="18459">
      <c r="A18459" s="3" t="s">
        <v>34599</v>
      </c>
      <c r="B18459" s="3" t="s">
        <v>15326</v>
      </c>
      <c r="C18459" s="5" t="s">
        <v>221</v>
      </c>
      <c r="D18459" s="3" t="s">
        <v>614</v>
      </c>
      <c r="E18459" s="3" t="s">
        <v>118</v>
      </c>
      <c r="F18459" s="7">
        <v>46102.590681142094</v>
      </c>
      <c r="G18459" s="3" t="s">
        <v>14354</v>
      </c>
    </row>
    <row r="18460">
      <c r="A18460" s="3" t="s">
        <v>34600</v>
      </c>
      <c r="B18460" s="3" t="s">
        <v>15326</v>
      </c>
      <c r="C18460" s="5" t="s">
        <v>614</v>
      </c>
      <c r="D18460" s="3" t="s">
        <v>206</v>
      </c>
      <c r="E18460" s="3" t="s">
        <v>100</v>
      </c>
      <c r="F18460" s="7">
        <v>46102.59415336432</v>
      </c>
      <c r="G18460" s="3" t="s">
        <v>14357</v>
      </c>
    </row>
    <row r="18461">
      <c r="A18461" s="3" t="s">
        <v>34601</v>
      </c>
      <c r="B18461" s="3" t="s">
        <v>15326</v>
      </c>
      <c r="C18461" s="5" t="s">
        <v>206</v>
      </c>
      <c r="D18461" s="3" t="s">
        <v>68</v>
      </c>
      <c r="E18461" s="3" t="s">
        <v>100</v>
      </c>
      <c r="F18461" s="7">
        <v>46102.59762558654</v>
      </c>
      <c r="G18461" s="3" t="s">
        <v>14360</v>
      </c>
    </row>
    <row r="18462">
      <c r="A18462" s="3" t="s">
        <v>34602</v>
      </c>
      <c r="B18462" s="3" t="s">
        <v>15329</v>
      </c>
      <c r="C18462" s="5" t="s">
        <v>45</v>
      </c>
      <c r="D18462" s="3" t="s">
        <v>221</v>
      </c>
      <c r="E18462" s="3" t="s">
        <v>230</v>
      </c>
      <c r="F18462" s="7">
        <v>46102.658383765294</v>
      </c>
      <c r="G18462" s="3" t="s">
        <v>9856</v>
      </c>
    </row>
    <row r="18463">
      <c r="A18463" s="3" t="s">
        <v>34603</v>
      </c>
      <c r="B18463" s="3" t="s">
        <v>15329</v>
      </c>
      <c r="C18463" s="5" t="s">
        <v>221</v>
      </c>
      <c r="D18463" s="3" t="s">
        <v>614</v>
      </c>
      <c r="E18463" s="3" t="s">
        <v>118</v>
      </c>
      <c r="F18463" s="7">
        <v>46102.66185598751</v>
      </c>
      <c r="G18463" s="3" t="s">
        <v>9859</v>
      </c>
    </row>
    <row r="18464">
      <c r="A18464" s="3" t="s">
        <v>34604</v>
      </c>
      <c r="B18464" s="3" t="s">
        <v>15329</v>
      </c>
      <c r="C18464" s="5" t="s">
        <v>614</v>
      </c>
      <c r="D18464" s="3" t="s">
        <v>206</v>
      </c>
      <c r="E18464" s="3" t="s">
        <v>100</v>
      </c>
      <c r="F18464" s="7">
        <v>46102.66532820974</v>
      </c>
      <c r="G18464" s="3" t="s">
        <v>9862</v>
      </c>
    </row>
    <row r="18465">
      <c r="A18465" s="3" t="s">
        <v>34605</v>
      </c>
      <c r="B18465" s="3" t="s">
        <v>15329</v>
      </c>
      <c r="C18465" s="5" t="s">
        <v>206</v>
      </c>
      <c r="D18465" s="3" t="s">
        <v>68</v>
      </c>
      <c r="E18465" s="3" t="s">
        <v>100</v>
      </c>
      <c r="F18465" s="7">
        <v>46102.66880043196</v>
      </c>
      <c r="G18465" s="3" t="s">
        <v>9866</v>
      </c>
    </row>
    <row r="18466">
      <c r="A18466" s="3" t="s">
        <v>34606</v>
      </c>
      <c r="B18466" s="3" t="s">
        <v>15332</v>
      </c>
      <c r="C18466" s="5" t="s">
        <v>45</v>
      </c>
      <c r="D18466" s="3" t="s">
        <v>221</v>
      </c>
      <c r="E18466" s="3" t="s">
        <v>400</v>
      </c>
      <c r="F18466" s="7">
        <v>46102.72955861071</v>
      </c>
      <c r="G18466" s="3" t="s">
        <v>11180</v>
      </c>
    </row>
    <row r="18467">
      <c r="A18467" s="3" t="s">
        <v>34607</v>
      </c>
      <c r="B18467" s="3" t="s">
        <v>15332</v>
      </c>
      <c r="C18467" s="5" t="s">
        <v>221</v>
      </c>
      <c r="D18467" s="3" t="s">
        <v>195</v>
      </c>
      <c r="E18467" s="3" t="s">
        <v>400</v>
      </c>
      <c r="F18467" s="7">
        <v>46102.733030832926</v>
      </c>
      <c r="G18467" s="3" t="s">
        <v>34608</v>
      </c>
    </row>
    <row r="18468">
      <c r="A18468" s="3" t="s">
        <v>34609</v>
      </c>
      <c r="B18468" s="3" t="s">
        <v>15335</v>
      </c>
      <c r="C18468" s="5" t="s">
        <v>45</v>
      </c>
      <c r="D18468" s="3" t="s">
        <v>221</v>
      </c>
      <c r="E18468" s="3" t="s">
        <v>770</v>
      </c>
      <c r="F18468" s="7">
        <v>46102.80073345612</v>
      </c>
      <c r="G18468" s="3" t="s">
        <v>8987</v>
      </c>
    </row>
    <row r="18469">
      <c r="A18469" s="3" t="s">
        <v>34610</v>
      </c>
      <c r="B18469" s="3" t="s">
        <v>15335</v>
      </c>
      <c r="C18469" s="5" t="s">
        <v>221</v>
      </c>
      <c r="D18469" s="3" t="s">
        <v>614</v>
      </c>
      <c r="E18469" s="3" t="s">
        <v>118</v>
      </c>
      <c r="F18469" s="7">
        <v>46102.80420567834</v>
      </c>
      <c r="G18469" s="3" t="s">
        <v>8990</v>
      </c>
    </row>
    <row r="18470">
      <c r="A18470" s="3" t="s">
        <v>34611</v>
      </c>
      <c r="B18470" s="3" t="s">
        <v>15335</v>
      </c>
      <c r="C18470" s="5" t="s">
        <v>614</v>
      </c>
      <c r="D18470" s="3" t="s">
        <v>206</v>
      </c>
      <c r="E18470" s="3" t="s">
        <v>100</v>
      </c>
      <c r="F18470" s="7">
        <v>46102.807677900564</v>
      </c>
      <c r="G18470" s="3" t="s">
        <v>8993</v>
      </c>
    </row>
    <row r="18471">
      <c r="A18471" s="3" t="s">
        <v>34612</v>
      </c>
      <c r="B18471" s="3" t="s">
        <v>15335</v>
      </c>
      <c r="C18471" s="5" t="s">
        <v>206</v>
      </c>
      <c r="D18471" s="3" t="s">
        <v>68</v>
      </c>
      <c r="E18471" s="3" t="s">
        <v>100</v>
      </c>
      <c r="F18471" s="7">
        <v>46102.81115012278</v>
      </c>
      <c r="G18471" s="3" t="s">
        <v>8996</v>
      </c>
    </row>
    <row r="18472">
      <c r="A18472" s="3" t="s">
        <v>34613</v>
      </c>
      <c r="B18472" s="3" t="s">
        <v>15339</v>
      </c>
      <c r="C18472" s="5" t="s">
        <v>45</v>
      </c>
      <c r="D18472" s="3" t="s">
        <v>221</v>
      </c>
      <c r="E18472" s="3" t="s">
        <v>860</v>
      </c>
      <c r="F18472" s="7">
        <v>46102.87190830154</v>
      </c>
      <c r="G18472" s="3" t="s">
        <v>12167</v>
      </c>
    </row>
    <row r="18473">
      <c r="A18473" s="3" t="s">
        <v>34614</v>
      </c>
      <c r="B18473" s="3" t="s">
        <v>15339</v>
      </c>
      <c r="C18473" s="5" t="s">
        <v>221</v>
      </c>
      <c r="D18473" s="3" t="s">
        <v>614</v>
      </c>
      <c r="E18473" s="3" t="s">
        <v>118</v>
      </c>
      <c r="F18473" s="7">
        <v>46102.87538052376</v>
      </c>
      <c r="G18473" s="3" t="s">
        <v>12170</v>
      </c>
    </row>
    <row r="18474">
      <c r="A18474" s="3" t="s">
        <v>34615</v>
      </c>
      <c r="B18474" s="3" t="s">
        <v>15339</v>
      </c>
      <c r="C18474" s="5" t="s">
        <v>614</v>
      </c>
      <c r="D18474" s="3" t="s">
        <v>206</v>
      </c>
      <c r="E18474" s="3" t="s">
        <v>100</v>
      </c>
      <c r="F18474" s="7">
        <v>46102.878852745984</v>
      </c>
      <c r="G18474" s="3" t="s">
        <v>12173</v>
      </c>
    </row>
    <row r="18475">
      <c r="A18475" s="3" t="s">
        <v>34616</v>
      </c>
      <c r="B18475" s="3" t="s">
        <v>15339</v>
      </c>
      <c r="C18475" s="5" t="s">
        <v>206</v>
      </c>
      <c r="D18475" s="3" t="s">
        <v>68</v>
      </c>
      <c r="E18475" s="3" t="s">
        <v>100</v>
      </c>
      <c r="F18475" s="7">
        <v>46102.8823249682</v>
      </c>
      <c r="G18475" s="3" t="s">
        <v>12176</v>
      </c>
    </row>
    <row r="18476">
      <c r="A18476" s="3" t="s">
        <v>34617</v>
      </c>
      <c r="B18476" s="3" t="s">
        <v>15343</v>
      </c>
      <c r="C18476" s="5" t="s">
        <v>45</v>
      </c>
      <c r="D18476" s="3" t="s">
        <v>221</v>
      </c>
      <c r="E18476" s="3" t="s">
        <v>479</v>
      </c>
      <c r="F18476" s="7">
        <v>46102.94308314696</v>
      </c>
      <c r="G18476" s="3" t="s">
        <v>17484</v>
      </c>
    </row>
    <row r="18477">
      <c r="A18477" s="3" t="s">
        <v>34618</v>
      </c>
      <c r="B18477" s="3" t="s">
        <v>15343</v>
      </c>
      <c r="C18477" s="5" t="s">
        <v>221</v>
      </c>
      <c r="D18477" s="3" t="s">
        <v>614</v>
      </c>
      <c r="E18477" s="3" t="s">
        <v>118</v>
      </c>
      <c r="F18477" s="7">
        <v>46102.94655536918</v>
      </c>
      <c r="G18477" s="3" t="s">
        <v>17487</v>
      </c>
    </row>
    <row r="18478">
      <c r="A18478" s="3" t="s">
        <v>34619</v>
      </c>
      <c r="B18478" s="3" t="s">
        <v>15343</v>
      </c>
      <c r="C18478" s="5" t="s">
        <v>614</v>
      </c>
      <c r="D18478" s="3" t="s">
        <v>206</v>
      </c>
      <c r="E18478" s="3" t="s">
        <v>100</v>
      </c>
      <c r="F18478" s="7">
        <v>46102.9500275914</v>
      </c>
      <c r="G18478" s="3" t="s">
        <v>17490</v>
      </c>
    </row>
    <row r="18479">
      <c r="A18479" s="3" t="s">
        <v>34620</v>
      </c>
      <c r="B18479" s="3" t="s">
        <v>15343</v>
      </c>
      <c r="C18479" s="5" t="s">
        <v>206</v>
      </c>
      <c r="D18479" s="3" t="s">
        <v>68</v>
      </c>
      <c r="E18479" s="3" t="s">
        <v>100</v>
      </c>
      <c r="F18479" s="7">
        <v>46102.95349981362</v>
      </c>
      <c r="G18479" s="3" t="s">
        <v>17493</v>
      </c>
    </row>
    <row r="18480">
      <c r="A18480" s="3" t="s">
        <v>34621</v>
      </c>
      <c r="B18480" s="3" t="s">
        <v>15346</v>
      </c>
      <c r="C18480" s="5" t="s">
        <v>45</v>
      </c>
      <c r="D18480" s="3" t="s">
        <v>221</v>
      </c>
      <c r="E18480" s="3" t="s">
        <v>460</v>
      </c>
      <c r="F18480" s="7">
        <v>46103.01425799236</v>
      </c>
      <c r="G18480" s="3" t="s">
        <v>9425</v>
      </c>
    </row>
    <row r="18481">
      <c r="A18481" s="3" t="s">
        <v>34622</v>
      </c>
      <c r="B18481" s="3" t="s">
        <v>15346</v>
      </c>
      <c r="C18481" s="5" t="s">
        <v>221</v>
      </c>
      <c r="D18481" s="3" t="s">
        <v>614</v>
      </c>
      <c r="E18481" s="3" t="s">
        <v>118</v>
      </c>
      <c r="F18481" s="7">
        <v>46103.01773021458</v>
      </c>
      <c r="G18481" s="3" t="s">
        <v>9428</v>
      </c>
    </row>
    <row r="18482">
      <c r="A18482" s="3" t="s">
        <v>34623</v>
      </c>
      <c r="B18482" s="3" t="s">
        <v>15346</v>
      </c>
      <c r="C18482" s="5" t="s">
        <v>614</v>
      </c>
      <c r="D18482" s="3" t="s">
        <v>206</v>
      </c>
      <c r="E18482" s="3" t="s">
        <v>100</v>
      </c>
      <c r="F18482" s="7">
        <v>46103.02120243681</v>
      </c>
      <c r="G18482" s="3" t="s">
        <v>9431</v>
      </c>
    </row>
    <row r="18483">
      <c r="A18483" s="3" t="s">
        <v>34624</v>
      </c>
      <c r="B18483" s="3" t="s">
        <v>15346</v>
      </c>
      <c r="C18483" s="5" t="s">
        <v>206</v>
      </c>
      <c r="D18483" s="3" t="s">
        <v>68</v>
      </c>
      <c r="E18483" s="3" t="s">
        <v>100</v>
      </c>
      <c r="F18483" s="7">
        <v>46103.02467465903</v>
      </c>
      <c r="G18483" s="3" t="s">
        <v>9434</v>
      </c>
    </row>
    <row r="18484">
      <c r="A18484" s="3" t="s">
        <v>34625</v>
      </c>
      <c r="B18484" s="3" t="s">
        <v>15351</v>
      </c>
      <c r="C18484" s="5" t="s">
        <v>45</v>
      </c>
      <c r="D18484" s="3" t="s">
        <v>221</v>
      </c>
      <c r="E18484" s="3" t="s">
        <v>197</v>
      </c>
      <c r="F18484" s="7">
        <v>46103.08543283778</v>
      </c>
      <c r="G18484" s="3" t="s">
        <v>12279</v>
      </c>
    </row>
    <row r="18485">
      <c r="A18485" s="3" t="s">
        <v>34626</v>
      </c>
      <c r="B18485" s="3" t="s">
        <v>15351</v>
      </c>
      <c r="C18485" s="5" t="s">
        <v>221</v>
      </c>
      <c r="D18485" s="3" t="s">
        <v>614</v>
      </c>
      <c r="E18485" s="3" t="s">
        <v>118</v>
      </c>
      <c r="F18485" s="7">
        <v>46103.08890506</v>
      </c>
      <c r="G18485" s="3" t="s">
        <v>12283</v>
      </c>
    </row>
    <row r="18486">
      <c r="A18486" s="3" t="s">
        <v>34627</v>
      </c>
      <c r="B18486" s="3" t="s">
        <v>15351</v>
      </c>
      <c r="C18486" s="5" t="s">
        <v>614</v>
      </c>
      <c r="D18486" s="3" t="s">
        <v>206</v>
      </c>
      <c r="E18486" s="3" t="s">
        <v>100</v>
      </c>
      <c r="F18486" s="7">
        <v>46103.09237728223</v>
      </c>
      <c r="G18486" s="3" t="s">
        <v>12286</v>
      </c>
    </row>
    <row r="18487">
      <c r="A18487" s="3" t="s">
        <v>34628</v>
      </c>
      <c r="B18487" s="3" t="s">
        <v>15351</v>
      </c>
      <c r="C18487" s="5" t="s">
        <v>206</v>
      </c>
      <c r="D18487" s="3" t="s">
        <v>68</v>
      </c>
      <c r="E18487" s="3" t="s">
        <v>100</v>
      </c>
      <c r="F18487" s="7">
        <v>46103.09584950445</v>
      </c>
      <c r="G18487" s="3" t="s">
        <v>12290</v>
      </c>
    </row>
    <row r="18488">
      <c r="A18488" s="3" t="s">
        <v>34629</v>
      </c>
      <c r="B18488" s="3" t="s">
        <v>15354</v>
      </c>
      <c r="C18488" s="5" t="s">
        <v>45</v>
      </c>
      <c r="D18488" s="3" t="s">
        <v>221</v>
      </c>
      <c r="E18488" s="3" t="s">
        <v>250</v>
      </c>
      <c r="F18488" s="7">
        <v>46103.156607683195</v>
      </c>
      <c r="G18488" s="3" t="s">
        <v>14421</v>
      </c>
    </row>
    <row r="18489">
      <c r="A18489" s="3" t="s">
        <v>34630</v>
      </c>
      <c r="B18489" s="3" t="s">
        <v>15354</v>
      </c>
      <c r="C18489" s="5" t="s">
        <v>221</v>
      </c>
      <c r="D18489" s="3" t="s">
        <v>181</v>
      </c>
      <c r="E18489" s="3" t="s">
        <v>118</v>
      </c>
      <c r="F18489" s="7">
        <v>46103.160079905414</v>
      </c>
      <c r="G18489" s="3" t="s">
        <v>34631</v>
      </c>
    </row>
    <row r="18490">
      <c r="A18490" s="3" t="s">
        <v>34632</v>
      </c>
      <c r="B18490" s="3" t="s">
        <v>15357</v>
      </c>
      <c r="C18490" s="5" t="s">
        <v>45</v>
      </c>
      <c r="D18490" s="3" t="s">
        <v>221</v>
      </c>
      <c r="E18490" s="3" t="s">
        <v>913</v>
      </c>
      <c r="F18490" s="7">
        <v>46103.227782528615</v>
      </c>
      <c r="G18490" s="3" t="s">
        <v>12334</v>
      </c>
    </row>
    <row r="18491">
      <c r="A18491" s="3" t="s">
        <v>34633</v>
      </c>
      <c r="B18491" s="3" t="s">
        <v>15357</v>
      </c>
      <c r="C18491" s="5" t="s">
        <v>221</v>
      </c>
      <c r="D18491" s="3" t="s">
        <v>614</v>
      </c>
      <c r="E18491" s="3" t="s">
        <v>118</v>
      </c>
      <c r="F18491" s="7">
        <v>46103.23125475083</v>
      </c>
      <c r="G18491" s="3" t="s">
        <v>12337</v>
      </c>
    </row>
    <row r="18492">
      <c r="A18492" s="3" t="s">
        <v>34634</v>
      </c>
      <c r="B18492" s="3" t="s">
        <v>15357</v>
      </c>
      <c r="C18492" s="5" t="s">
        <v>614</v>
      </c>
      <c r="D18492" s="3" t="s">
        <v>206</v>
      </c>
      <c r="E18492" s="3" t="s">
        <v>100</v>
      </c>
      <c r="F18492" s="7">
        <v>46103.23472697306</v>
      </c>
      <c r="G18492" s="3" t="s">
        <v>12340</v>
      </c>
    </row>
    <row r="18493">
      <c r="A18493" s="3" t="s">
        <v>34635</v>
      </c>
      <c r="B18493" s="3" t="s">
        <v>15357</v>
      </c>
      <c r="C18493" s="5" t="s">
        <v>206</v>
      </c>
      <c r="D18493" s="3" t="s">
        <v>68</v>
      </c>
      <c r="E18493" s="3" t="s">
        <v>100</v>
      </c>
      <c r="F18493" s="7">
        <v>46103.23819919528</v>
      </c>
      <c r="G18493" s="3" t="s">
        <v>12342</v>
      </c>
    </row>
    <row r="18494">
      <c r="A18494" s="3" t="s">
        <v>34636</v>
      </c>
      <c r="B18494" s="3" t="s">
        <v>15360</v>
      </c>
      <c r="C18494" s="5" t="s">
        <v>45</v>
      </c>
      <c r="D18494" s="3" t="s">
        <v>221</v>
      </c>
      <c r="E18494" s="3" t="s">
        <v>637</v>
      </c>
      <c r="F18494" s="7">
        <v>46103.29895737403</v>
      </c>
      <c r="G18494" s="3" t="s">
        <v>12353</v>
      </c>
    </row>
    <row r="18495">
      <c r="A18495" s="3" t="s">
        <v>34637</v>
      </c>
      <c r="B18495" s="3" t="s">
        <v>15360</v>
      </c>
      <c r="C18495" s="5" t="s">
        <v>221</v>
      </c>
      <c r="D18495" s="3" t="s">
        <v>614</v>
      </c>
      <c r="E18495" s="3" t="s">
        <v>118</v>
      </c>
      <c r="F18495" s="7">
        <v>46103.302429596246</v>
      </c>
      <c r="G18495" s="3" t="s">
        <v>12356</v>
      </c>
    </row>
    <row r="18496">
      <c r="A18496" s="3" t="s">
        <v>34638</v>
      </c>
      <c r="B18496" s="3" t="s">
        <v>15360</v>
      </c>
      <c r="C18496" s="5" t="s">
        <v>614</v>
      </c>
      <c r="D18496" s="3" t="s">
        <v>206</v>
      </c>
      <c r="E18496" s="3" t="s">
        <v>100</v>
      </c>
      <c r="F18496" s="7">
        <v>46103.30590181847</v>
      </c>
      <c r="G18496" s="3" t="s">
        <v>12358</v>
      </c>
    </row>
    <row r="18497">
      <c r="A18497" s="3" t="s">
        <v>34639</v>
      </c>
      <c r="B18497" s="3" t="s">
        <v>15360</v>
      </c>
      <c r="C18497" s="5" t="s">
        <v>206</v>
      </c>
      <c r="D18497" s="3" t="s">
        <v>68</v>
      </c>
      <c r="E18497" s="3" t="s">
        <v>100</v>
      </c>
      <c r="F18497" s="7">
        <v>46103.30937404069</v>
      </c>
      <c r="G18497" s="3" t="s">
        <v>12361</v>
      </c>
    </row>
    <row r="18498">
      <c r="A18498" s="3" t="s">
        <v>34640</v>
      </c>
      <c r="B18498" s="3" t="s">
        <v>15365</v>
      </c>
      <c r="C18498" s="5" t="s">
        <v>45</v>
      </c>
      <c r="D18498" s="3" t="s">
        <v>221</v>
      </c>
      <c r="E18498" s="3" t="s">
        <v>380</v>
      </c>
      <c r="F18498" s="7">
        <v>46103.37013221945</v>
      </c>
      <c r="G18498" s="3" t="s">
        <v>9238</v>
      </c>
    </row>
    <row r="18499">
      <c r="A18499" s="3" t="s">
        <v>34641</v>
      </c>
      <c r="B18499" s="3" t="s">
        <v>15365</v>
      </c>
      <c r="C18499" s="5" t="s">
        <v>221</v>
      </c>
      <c r="D18499" s="3" t="s">
        <v>614</v>
      </c>
      <c r="E18499" s="3" t="s">
        <v>118</v>
      </c>
      <c r="F18499" s="7">
        <v>46103.373604441666</v>
      </c>
      <c r="G18499" s="3" t="s">
        <v>16363</v>
      </c>
    </row>
    <row r="18500">
      <c r="A18500" s="3" t="s">
        <v>34642</v>
      </c>
      <c r="B18500" s="3" t="s">
        <v>15365</v>
      </c>
      <c r="C18500" s="5" t="s">
        <v>614</v>
      </c>
      <c r="D18500" s="3" t="s">
        <v>206</v>
      </c>
      <c r="E18500" s="3" t="s">
        <v>100</v>
      </c>
      <c r="F18500" s="7">
        <v>46103.37707666389</v>
      </c>
      <c r="G18500" s="3" t="s">
        <v>16366</v>
      </c>
    </row>
    <row r="18501">
      <c r="A18501" s="3" t="s">
        <v>34643</v>
      </c>
      <c r="B18501" s="3" t="s">
        <v>15365</v>
      </c>
      <c r="C18501" s="5" t="s">
        <v>206</v>
      </c>
      <c r="D18501" s="3" t="s">
        <v>68</v>
      </c>
      <c r="E18501" s="3" t="s">
        <v>100</v>
      </c>
      <c r="F18501" s="7">
        <v>46103.38054888611</v>
      </c>
      <c r="G18501" s="3" t="s">
        <v>16369</v>
      </c>
    </row>
    <row r="18502">
      <c r="A18502" s="3" t="s">
        <v>34644</v>
      </c>
      <c r="B18502" s="3" t="s">
        <v>15368</v>
      </c>
      <c r="C18502" s="5" t="s">
        <v>45</v>
      </c>
      <c r="D18502" s="3" t="s">
        <v>221</v>
      </c>
      <c r="E18502" s="3" t="s">
        <v>302</v>
      </c>
      <c r="F18502" s="7">
        <v>46103.44130706485</v>
      </c>
      <c r="G18502" s="3" t="s">
        <v>18347</v>
      </c>
    </row>
    <row r="18503">
      <c r="A18503" s="3" t="s">
        <v>34645</v>
      </c>
      <c r="B18503" s="3" t="s">
        <v>15368</v>
      </c>
      <c r="C18503" s="5" t="s">
        <v>221</v>
      </c>
      <c r="D18503" s="3" t="s">
        <v>614</v>
      </c>
      <c r="E18503" s="3" t="s">
        <v>118</v>
      </c>
      <c r="F18503" s="7">
        <v>46103.44477928707</v>
      </c>
      <c r="G18503" s="3" t="s">
        <v>18350</v>
      </c>
    </row>
    <row r="18504">
      <c r="A18504" s="3" t="s">
        <v>34646</v>
      </c>
      <c r="B18504" s="3" t="s">
        <v>15368</v>
      </c>
      <c r="C18504" s="5" t="s">
        <v>614</v>
      </c>
      <c r="D18504" s="3" t="s">
        <v>206</v>
      </c>
      <c r="E18504" s="3" t="s">
        <v>100</v>
      </c>
      <c r="F18504" s="7">
        <v>46103.4482515093</v>
      </c>
      <c r="G18504" s="3" t="s">
        <v>18353</v>
      </c>
    </row>
    <row r="18505">
      <c r="A18505" s="3" t="s">
        <v>34647</v>
      </c>
      <c r="B18505" s="3" t="s">
        <v>15368</v>
      </c>
      <c r="C18505" s="5" t="s">
        <v>206</v>
      </c>
      <c r="D18505" s="3" t="s">
        <v>68</v>
      </c>
      <c r="E18505" s="3" t="s">
        <v>100</v>
      </c>
      <c r="F18505" s="7">
        <v>46103.451723731516</v>
      </c>
      <c r="G18505" s="3" t="s">
        <v>18355</v>
      </c>
    </row>
    <row r="18506">
      <c r="A18506" s="3" t="s">
        <v>34648</v>
      </c>
      <c r="B18506" s="3" t="s">
        <v>15371</v>
      </c>
      <c r="C18506" s="5" t="s">
        <v>45</v>
      </c>
      <c r="D18506" s="3" t="s">
        <v>221</v>
      </c>
      <c r="E18506" s="3" t="s">
        <v>519</v>
      </c>
      <c r="F18506" s="7">
        <v>46103.51248191027</v>
      </c>
      <c r="G18506" s="3" t="s">
        <v>12364</v>
      </c>
    </row>
    <row r="18507">
      <c r="A18507" s="3" t="s">
        <v>34649</v>
      </c>
      <c r="B18507" s="3" t="s">
        <v>15371</v>
      </c>
      <c r="C18507" s="5" t="s">
        <v>221</v>
      </c>
      <c r="D18507" s="3" t="s">
        <v>614</v>
      </c>
      <c r="E18507" s="3" t="s">
        <v>118</v>
      </c>
      <c r="F18507" s="7">
        <v>46103.51595413249</v>
      </c>
      <c r="G18507" s="3" t="s">
        <v>12366</v>
      </c>
    </row>
    <row r="18508">
      <c r="A18508" s="3" t="s">
        <v>34650</v>
      </c>
      <c r="B18508" s="3" t="s">
        <v>15371</v>
      </c>
      <c r="C18508" s="5" t="s">
        <v>614</v>
      </c>
      <c r="D18508" s="3" t="s">
        <v>206</v>
      </c>
      <c r="E18508" s="3" t="s">
        <v>100</v>
      </c>
      <c r="F18508" s="7">
        <v>46103.51942635472</v>
      </c>
      <c r="G18508" s="3" t="s">
        <v>12369</v>
      </c>
    </row>
    <row r="18509">
      <c r="A18509" s="3" t="s">
        <v>34651</v>
      </c>
      <c r="B18509" s="3" t="s">
        <v>15371</v>
      </c>
      <c r="C18509" s="5" t="s">
        <v>206</v>
      </c>
      <c r="D18509" s="3" t="s">
        <v>68</v>
      </c>
      <c r="E18509" s="3" t="s">
        <v>100</v>
      </c>
      <c r="F18509" s="7">
        <v>46103.522898576935</v>
      </c>
      <c r="G18509" s="3" t="s">
        <v>12372</v>
      </c>
    </row>
    <row r="18510">
      <c r="A18510" s="3" t="s">
        <v>34652</v>
      </c>
      <c r="B18510" s="3" t="s">
        <v>15375</v>
      </c>
      <c r="C18510" s="5" t="s">
        <v>45</v>
      </c>
      <c r="D18510" s="3" t="s">
        <v>221</v>
      </c>
      <c r="E18510" s="3" t="s">
        <v>662</v>
      </c>
      <c r="F18510" s="7">
        <v>46103.58365675569</v>
      </c>
      <c r="G18510" s="3" t="s">
        <v>12394</v>
      </c>
    </row>
    <row r="18511">
      <c r="A18511" s="3" t="s">
        <v>34653</v>
      </c>
      <c r="B18511" s="3" t="s">
        <v>15375</v>
      </c>
      <c r="C18511" s="5" t="s">
        <v>221</v>
      </c>
      <c r="D18511" s="3" t="s">
        <v>614</v>
      </c>
      <c r="E18511" s="3" t="s">
        <v>118</v>
      </c>
      <c r="F18511" s="7">
        <v>46103.58712897791</v>
      </c>
      <c r="G18511" s="3" t="s">
        <v>12397</v>
      </c>
    </row>
    <row r="18512">
      <c r="A18512" s="3" t="s">
        <v>34654</v>
      </c>
      <c r="B18512" s="3" t="s">
        <v>15375</v>
      </c>
      <c r="C18512" s="5" t="s">
        <v>614</v>
      </c>
      <c r="D18512" s="3" t="s">
        <v>206</v>
      </c>
      <c r="E18512" s="3" t="s">
        <v>100</v>
      </c>
      <c r="F18512" s="7">
        <v>46103.590601200136</v>
      </c>
      <c r="G18512" s="3" t="s">
        <v>12400</v>
      </c>
    </row>
    <row r="18513">
      <c r="A18513" s="3" t="s">
        <v>34655</v>
      </c>
      <c r="B18513" s="3" t="s">
        <v>15375</v>
      </c>
      <c r="C18513" s="5" t="s">
        <v>206</v>
      </c>
      <c r="D18513" s="3" t="s">
        <v>68</v>
      </c>
      <c r="E18513" s="3" t="s">
        <v>100</v>
      </c>
      <c r="F18513" s="7">
        <v>46103.594073422355</v>
      </c>
      <c r="G18513" s="3" t="s">
        <v>12402</v>
      </c>
    </row>
    <row r="18514">
      <c r="A18514" s="3" t="s">
        <v>34656</v>
      </c>
      <c r="B18514" s="3" t="s">
        <v>15379</v>
      </c>
      <c r="C18514" s="5" t="s">
        <v>45</v>
      </c>
      <c r="D18514" s="3" t="s">
        <v>221</v>
      </c>
      <c r="E18514" s="3" t="s">
        <v>796</v>
      </c>
      <c r="F18514" s="7">
        <v>46103.6548316011</v>
      </c>
      <c r="G18514" s="3" t="s">
        <v>8315</v>
      </c>
    </row>
    <row r="18515">
      <c r="A18515" s="3" t="s">
        <v>34657</v>
      </c>
      <c r="B18515" s="3" t="s">
        <v>15379</v>
      </c>
      <c r="C18515" s="5" t="s">
        <v>221</v>
      </c>
      <c r="D18515" s="3" t="s">
        <v>614</v>
      </c>
      <c r="E18515" s="3" t="s">
        <v>118</v>
      </c>
      <c r="F18515" s="7">
        <v>46103.65830382332</v>
      </c>
      <c r="G18515" s="3" t="s">
        <v>8318</v>
      </c>
    </row>
    <row r="18516">
      <c r="A18516" s="3" t="s">
        <v>34658</v>
      </c>
      <c r="B18516" s="3" t="s">
        <v>15379</v>
      </c>
      <c r="C18516" s="5" t="s">
        <v>614</v>
      </c>
      <c r="D18516" s="3" t="s">
        <v>206</v>
      </c>
      <c r="E18516" s="3" t="s">
        <v>100</v>
      </c>
      <c r="F18516" s="7">
        <v>46103.66177604555</v>
      </c>
      <c r="G18516" s="3" t="s">
        <v>8321</v>
      </c>
    </row>
    <row r="18517">
      <c r="A18517" s="3" t="s">
        <v>34659</v>
      </c>
      <c r="B18517" s="3" t="s">
        <v>15379</v>
      </c>
      <c r="C18517" s="5" t="s">
        <v>206</v>
      </c>
      <c r="D18517" s="3" t="s">
        <v>68</v>
      </c>
      <c r="E18517" s="3" t="s">
        <v>100</v>
      </c>
      <c r="F18517" s="7">
        <v>46103.66524826777</v>
      </c>
      <c r="G18517" s="3" t="s">
        <v>8324</v>
      </c>
    </row>
    <row r="18518">
      <c r="A18518" s="3" t="s">
        <v>34660</v>
      </c>
      <c r="B18518" s="3" t="s">
        <v>15382</v>
      </c>
      <c r="C18518" s="5" t="s">
        <v>45</v>
      </c>
      <c r="D18518" s="3" t="s">
        <v>221</v>
      </c>
      <c r="E18518" s="3" t="s">
        <v>643</v>
      </c>
      <c r="F18518" s="7">
        <v>46103.726006446515</v>
      </c>
      <c r="G18518" s="3" t="s">
        <v>10975</v>
      </c>
    </row>
    <row r="18519">
      <c r="A18519" s="3" t="s">
        <v>34661</v>
      </c>
      <c r="B18519" s="3" t="s">
        <v>15382</v>
      </c>
      <c r="C18519" s="5" t="s">
        <v>221</v>
      </c>
      <c r="D18519" s="3" t="s">
        <v>614</v>
      </c>
      <c r="E18519" s="3" t="s">
        <v>118</v>
      </c>
      <c r="F18519" s="7">
        <v>46103.729478668734</v>
      </c>
      <c r="G18519" s="3" t="s">
        <v>10978</v>
      </c>
    </row>
    <row r="18520">
      <c r="A18520" s="3" t="s">
        <v>34662</v>
      </c>
      <c r="B18520" s="3" t="s">
        <v>15382</v>
      </c>
      <c r="C18520" s="5" t="s">
        <v>614</v>
      </c>
      <c r="D18520" s="3" t="s">
        <v>206</v>
      </c>
      <c r="E18520" s="3" t="s">
        <v>100</v>
      </c>
      <c r="F18520" s="7">
        <v>46103.73295089096</v>
      </c>
      <c r="G18520" s="3" t="s">
        <v>10981</v>
      </c>
    </row>
    <row r="18521">
      <c r="A18521" s="3" t="s">
        <v>34663</v>
      </c>
      <c r="B18521" s="3" t="s">
        <v>15382</v>
      </c>
      <c r="C18521" s="5" t="s">
        <v>206</v>
      </c>
      <c r="D18521" s="3" t="s">
        <v>68</v>
      </c>
      <c r="E18521" s="3" t="s">
        <v>100</v>
      </c>
      <c r="F18521" s="7">
        <v>46103.73642311318</v>
      </c>
      <c r="G18521" s="3" t="s">
        <v>10984</v>
      </c>
    </row>
    <row r="18522">
      <c r="A18522" s="3" t="s">
        <v>34664</v>
      </c>
      <c r="B18522" s="3" t="s">
        <v>15386</v>
      </c>
      <c r="C18522" s="5" t="s">
        <v>45</v>
      </c>
      <c r="D18522" s="3" t="s">
        <v>221</v>
      </c>
      <c r="E18522" s="3" t="s">
        <v>980</v>
      </c>
      <c r="F18522" s="7">
        <v>46103.797181291935</v>
      </c>
      <c r="G18522" s="3" t="s">
        <v>7919</v>
      </c>
    </row>
    <row r="18523">
      <c r="A18523" s="3" t="s">
        <v>34665</v>
      </c>
      <c r="B18523" s="3" t="s">
        <v>15386</v>
      </c>
      <c r="C18523" s="5" t="s">
        <v>221</v>
      </c>
      <c r="D18523" s="3" t="s">
        <v>614</v>
      </c>
      <c r="E18523" s="3" t="s">
        <v>118</v>
      </c>
      <c r="F18523" s="7">
        <v>46103.800653514154</v>
      </c>
      <c r="G18523" s="3" t="s">
        <v>7922</v>
      </c>
    </row>
    <row r="18524">
      <c r="A18524" s="3" t="s">
        <v>34666</v>
      </c>
      <c r="B18524" s="3" t="s">
        <v>15386</v>
      </c>
      <c r="C18524" s="5" t="s">
        <v>614</v>
      </c>
      <c r="D18524" s="3" t="s">
        <v>206</v>
      </c>
      <c r="E18524" s="3" t="s">
        <v>100</v>
      </c>
      <c r="F18524" s="7">
        <v>46103.80412573638</v>
      </c>
      <c r="G18524" s="3" t="s">
        <v>7925</v>
      </c>
    </row>
    <row r="18525">
      <c r="A18525" s="3" t="s">
        <v>34667</v>
      </c>
      <c r="B18525" s="3" t="s">
        <v>15386</v>
      </c>
      <c r="C18525" s="5" t="s">
        <v>206</v>
      </c>
      <c r="D18525" s="3" t="s">
        <v>68</v>
      </c>
      <c r="E18525" s="3" t="s">
        <v>100</v>
      </c>
      <c r="F18525" s="7">
        <v>46103.8075979586</v>
      </c>
      <c r="G18525" s="3" t="s">
        <v>7928</v>
      </c>
    </row>
    <row r="18526">
      <c r="A18526" s="3" t="s">
        <v>34668</v>
      </c>
      <c r="B18526" s="3" t="s">
        <v>15390</v>
      </c>
      <c r="C18526" s="5" t="s">
        <v>45</v>
      </c>
      <c r="D18526" s="3" t="s">
        <v>221</v>
      </c>
      <c r="E18526" s="3" t="s">
        <v>965</v>
      </c>
      <c r="F18526" s="7">
        <v>46103.86835613735</v>
      </c>
      <c r="G18526" s="3" t="s">
        <v>21804</v>
      </c>
    </row>
    <row r="18527">
      <c r="A18527" s="3" t="s">
        <v>34669</v>
      </c>
      <c r="B18527" s="3" t="s">
        <v>15390</v>
      </c>
      <c r="C18527" s="5" t="s">
        <v>221</v>
      </c>
      <c r="D18527" s="3" t="s">
        <v>614</v>
      </c>
      <c r="E18527" s="3" t="s">
        <v>118</v>
      </c>
      <c r="F18527" s="7">
        <v>46103.871828359566</v>
      </c>
      <c r="G18527" s="3" t="s">
        <v>21807</v>
      </c>
    </row>
    <row r="18528">
      <c r="A18528" s="3" t="s">
        <v>34670</v>
      </c>
      <c r="B18528" s="3" t="s">
        <v>15390</v>
      </c>
      <c r="C18528" s="5" t="s">
        <v>614</v>
      </c>
      <c r="D18528" s="3" t="s">
        <v>206</v>
      </c>
      <c r="E18528" s="3" t="s">
        <v>100</v>
      </c>
      <c r="F18528" s="7">
        <v>46103.87530058179</v>
      </c>
      <c r="G18528" s="3" t="s">
        <v>21810</v>
      </c>
    </row>
    <row r="18529">
      <c r="A18529" s="3" t="s">
        <v>34671</v>
      </c>
      <c r="B18529" s="3" t="s">
        <v>15390</v>
      </c>
      <c r="C18529" s="5" t="s">
        <v>206</v>
      </c>
      <c r="D18529" s="3" t="s">
        <v>68</v>
      </c>
      <c r="E18529" s="3" t="s">
        <v>100</v>
      </c>
      <c r="F18529" s="7">
        <v>46103.87877280401</v>
      </c>
      <c r="G18529" s="3" t="s">
        <v>21813</v>
      </c>
    </row>
    <row r="18530">
      <c r="A18530" s="3" t="s">
        <v>34672</v>
      </c>
      <c r="B18530" s="3" t="s">
        <v>15393</v>
      </c>
      <c r="C18530" s="5" t="s">
        <v>45</v>
      </c>
      <c r="D18530" s="3" t="s">
        <v>221</v>
      </c>
      <c r="E18530" s="3" t="s">
        <v>341</v>
      </c>
      <c r="F18530" s="7">
        <v>46103.93953098276</v>
      </c>
      <c r="G18530" s="3" t="s">
        <v>2770</v>
      </c>
    </row>
    <row r="18531">
      <c r="A18531" s="3" t="s">
        <v>34673</v>
      </c>
      <c r="B18531" s="3" t="s">
        <v>15393</v>
      </c>
      <c r="C18531" s="5" t="s">
        <v>221</v>
      </c>
      <c r="D18531" s="3" t="s">
        <v>195</v>
      </c>
      <c r="E18531" s="3" t="s">
        <v>341</v>
      </c>
      <c r="F18531" s="7">
        <v>46103.94300320498</v>
      </c>
      <c r="G18531" s="3" t="s">
        <v>3055</v>
      </c>
    </row>
    <row r="18532">
      <c r="A18532" s="3" t="s">
        <v>34674</v>
      </c>
      <c r="B18532" s="3" t="s">
        <v>15396</v>
      </c>
      <c r="C18532" s="5" t="s">
        <v>45</v>
      </c>
      <c r="D18532" s="3" t="s">
        <v>221</v>
      </c>
      <c r="E18532" s="3" t="s">
        <v>694</v>
      </c>
      <c r="F18532" s="7">
        <v>46104.01070582818</v>
      </c>
      <c r="G18532" s="3" t="s">
        <v>18415</v>
      </c>
    </row>
    <row r="18533">
      <c r="A18533" s="3" t="s">
        <v>34675</v>
      </c>
      <c r="B18533" s="3" t="s">
        <v>15396</v>
      </c>
      <c r="C18533" s="5" t="s">
        <v>221</v>
      </c>
      <c r="D18533" s="3" t="s">
        <v>614</v>
      </c>
      <c r="E18533" s="3" t="s">
        <v>118</v>
      </c>
      <c r="F18533" s="7">
        <v>46104.0141780504</v>
      </c>
      <c r="G18533" s="3" t="s">
        <v>22698</v>
      </c>
    </row>
    <row r="18534">
      <c r="A18534" s="3" t="s">
        <v>34676</v>
      </c>
      <c r="B18534" s="3" t="s">
        <v>15396</v>
      </c>
      <c r="C18534" s="5" t="s">
        <v>614</v>
      </c>
      <c r="D18534" s="3" t="s">
        <v>206</v>
      </c>
      <c r="E18534" s="3" t="s">
        <v>100</v>
      </c>
      <c r="F18534" s="7">
        <v>46104.017650272624</v>
      </c>
      <c r="G18534" s="3" t="s">
        <v>22701</v>
      </c>
    </row>
    <row r="18535">
      <c r="A18535" s="3" t="s">
        <v>34677</v>
      </c>
      <c r="B18535" s="3" t="s">
        <v>15396</v>
      </c>
      <c r="C18535" s="5" t="s">
        <v>206</v>
      </c>
      <c r="D18535" s="3" t="s">
        <v>68</v>
      </c>
      <c r="E18535" s="3" t="s">
        <v>100</v>
      </c>
      <c r="F18535" s="7">
        <v>46104.02112249484</v>
      </c>
      <c r="G18535" s="3" t="s">
        <v>22703</v>
      </c>
    </row>
    <row r="18536">
      <c r="A18536" s="3" t="s">
        <v>34678</v>
      </c>
      <c r="B18536" s="3" t="s">
        <v>15401</v>
      </c>
      <c r="C18536" s="5" t="s">
        <v>45</v>
      </c>
      <c r="D18536" s="3" t="s">
        <v>221</v>
      </c>
      <c r="E18536" s="3" t="s">
        <v>404</v>
      </c>
      <c r="F18536" s="7">
        <v>46104.0818806736</v>
      </c>
      <c r="G18536" s="3" t="s">
        <v>31742</v>
      </c>
    </row>
    <row r="18537">
      <c r="A18537" s="3" t="s">
        <v>34679</v>
      </c>
      <c r="B18537" s="3" t="s">
        <v>15401</v>
      </c>
      <c r="C18537" s="5" t="s">
        <v>221</v>
      </c>
      <c r="D18537" s="3" t="s">
        <v>614</v>
      </c>
      <c r="E18537" s="3" t="s">
        <v>118</v>
      </c>
      <c r="F18537" s="7">
        <v>46104.08535289582</v>
      </c>
      <c r="G18537" s="3" t="s">
        <v>31744</v>
      </c>
    </row>
    <row r="18538">
      <c r="A18538" s="3" t="s">
        <v>34680</v>
      </c>
      <c r="B18538" s="3" t="s">
        <v>15401</v>
      </c>
      <c r="C18538" s="5" t="s">
        <v>614</v>
      </c>
      <c r="D18538" s="3" t="s">
        <v>206</v>
      </c>
      <c r="E18538" s="3" t="s">
        <v>100</v>
      </c>
      <c r="F18538" s="7">
        <v>46104.088825118044</v>
      </c>
      <c r="G18538" s="3" t="s">
        <v>31746</v>
      </c>
    </row>
    <row r="18539">
      <c r="A18539" s="3" t="s">
        <v>34681</v>
      </c>
      <c r="B18539" s="3" t="s">
        <v>15401</v>
      </c>
      <c r="C18539" s="5" t="s">
        <v>206</v>
      </c>
      <c r="D18539" s="3" t="s">
        <v>68</v>
      </c>
      <c r="E18539" s="3" t="s">
        <v>100</v>
      </c>
      <c r="F18539" s="7">
        <v>46104.09229734026</v>
      </c>
      <c r="G18539" s="3" t="s">
        <v>31748</v>
      </c>
    </row>
    <row r="18540">
      <c r="A18540" s="3" t="s">
        <v>34682</v>
      </c>
      <c r="B18540" s="3" t="s">
        <v>15404</v>
      </c>
      <c r="C18540" s="5" t="s">
        <v>45</v>
      </c>
      <c r="D18540" s="3" t="s">
        <v>221</v>
      </c>
      <c r="E18540" s="3" t="s">
        <v>130</v>
      </c>
      <c r="F18540" s="7">
        <v>46104.153055519004</v>
      </c>
      <c r="G18540" s="3" t="s">
        <v>25413</v>
      </c>
    </row>
    <row r="18541">
      <c r="A18541" s="3" t="s">
        <v>34683</v>
      </c>
      <c r="B18541" s="3" t="s">
        <v>15404</v>
      </c>
      <c r="C18541" s="5" t="s">
        <v>221</v>
      </c>
      <c r="D18541" s="3" t="s">
        <v>614</v>
      </c>
      <c r="E18541" s="3" t="s">
        <v>118</v>
      </c>
      <c r="F18541" s="7">
        <v>46104.15652774122</v>
      </c>
      <c r="G18541" s="3" t="s">
        <v>25415</v>
      </c>
    </row>
    <row r="18542">
      <c r="A18542" s="3" t="s">
        <v>34684</v>
      </c>
      <c r="B18542" s="3" t="s">
        <v>15404</v>
      </c>
      <c r="C18542" s="5" t="s">
        <v>614</v>
      </c>
      <c r="D18542" s="3" t="s">
        <v>206</v>
      </c>
      <c r="E18542" s="3" t="s">
        <v>100</v>
      </c>
      <c r="F18542" s="7">
        <v>46104.15999996345</v>
      </c>
      <c r="G18542" s="3" t="s">
        <v>25417</v>
      </c>
    </row>
    <row r="18543">
      <c r="A18543" s="3" t="s">
        <v>34685</v>
      </c>
      <c r="B18543" s="3" t="s">
        <v>15404</v>
      </c>
      <c r="C18543" s="5" t="s">
        <v>206</v>
      </c>
      <c r="D18543" s="3" t="s">
        <v>68</v>
      </c>
      <c r="E18543" s="3" t="s">
        <v>100</v>
      </c>
      <c r="F18543" s="7">
        <v>46104.16347218567</v>
      </c>
      <c r="G18543" s="3" t="s">
        <v>25419</v>
      </c>
    </row>
    <row r="18544">
      <c r="A18544" s="3" t="s">
        <v>34686</v>
      </c>
      <c r="B18544" s="3" t="s">
        <v>15407</v>
      </c>
      <c r="C18544" s="5" t="s">
        <v>45</v>
      </c>
      <c r="D18544" s="3" t="s">
        <v>221</v>
      </c>
      <c r="E18544" s="3" t="s">
        <v>1021</v>
      </c>
      <c r="F18544" s="7">
        <v>46104.22423036442</v>
      </c>
      <c r="G18544" s="3" t="s">
        <v>11571</v>
      </c>
    </row>
    <row r="18545">
      <c r="A18545" s="3" t="s">
        <v>34687</v>
      </c>
      <c r="B18545" s="3" t="s">
        <v>15407</v>
      </c>
      <c r="C18545" s="5" t="s">
        <v>221</v>
      </c>
      <c r="D18545" s="3" t="s">
        <v>614</v>
      </c>
      <c r="E18545" s="3" t="s">
        <v>118</v>
      </c>
      <c r="F18545" s="7">
        <v>46104.22770258664</v>
      </c>
      <c r="G18545" s="3" t="s">
        <v>27354</v>
      </c>
    </row>
    <row r="18546">
      <c r="A18546" s="3" t="s">
        <v>34688</v>
      </c>
      <c r="B18546" s="3" t="s">
        <v>15407</v>
      </c>
      <c r="C18546" s="5" t="s">
        <v>614</v>
      </c>
      <c r="D18546" s="3" t="s">
        <v>206</v>
      </c>
      <c r="E18546" s="3" t="s">
        <v>100</v>
      </c>
      <c r="F18546" s="7">
        <v>46104.23117480887</v>
      </c>
      <c r="G18546" s="3" t="s">
        <v>27356</v>
      </c>
    </row>
    <row r="18547">
      <c r="A18547" s="3" t="s">
        <v>34689</v>
      </c>
      <c r="B18547" s="3" t="s">
        <v>15407</v>
      </c>
      <c r="C18547" s="5" t="s">
        <v>206</v>
      </c>
      <c r="D18547" s="3" t="s">
        <v>68</v>
      </c>
      <c r="E18547" s="3" t="s">
        <v>100</v>
      </c>
      <c r="F18547" s="7">
        <v>46104.23464703109</v>
      </c>
      <c r="G18547" s="3" t="s">
        <v>27358</v>
      </c>
    </row>
    <row r="18548">
      <c r="A18548" s="3" t="s">
        <v>34690</v>
      </c>
      <c r="B18548" s="3" t="s">
        <v>15410</v>
      </c>
      <c r="C18548" s="5" t="s">
        <v>45</v>
      </c>
      <c r="D18548" s="3" t="s">
        <v>221</v>
      </c>
      <c r="E18548" s="3" t="s">
        <v>778</v>
      </c>
      <c r="F18548" s="7">
        <v>46104.295405209836</v>
      </c>
      <c r="G18548" s="3" t="s">
        <v>18257</v>
      </c>
    </row>
    <row r="18549">
      <c r="A18549" s="3" t="s">
        <v>34691</v>
      </c>
      <c r="B18549" s="3" t="s">
        <v>15410</v>
      </c>
      <c r="C18549" s="5" t="s">
        <v>221</v>
      </c>
      <c r="D18549" s="3" t="s">
        <v>614</v>
      </c>
      <c r="E18549" s="3" t="s">
        <v>118</v>
      </c>
      <c r="F18549" s="7">
        <v>46104.298877432055</v>
      </c>
      <c r="G18549" s="3" t="s">
        <v>18260</v>
      </c>
    </row>
    <row r="18550">
      <c r="A18550" s="3" t="s">
        <v>34692</v>
      </c>
      <c r="B18550" s="3" t="s">
        <v>15410</v>
      </c>
      <c r="C18550" s="5" t="s">
        <v>614</v>
      </c>
      <c r="D18550" s="3" t="s">
        <v>206</v>
      </c>
      <c r="E18550" s="3" t="s">
        <v>100</v>
      </c>
      <c r="F18550" s="7">
        <v>46104.30234965428</v>
      </c>
      <c r="G18550" s="3" t="s">
        <v>18263</v>
      </c>
    </row>
    <row r="18551">
      <c r="A18551" s="3" t="s">
        <v>34693</v>
      </c>
      <c r="B18551" s="3" t="s">
        <v>15410</v>
      </c>
      <c r="C18551" s="5" t="s">
        <v>206</v>
      </c>
      <c r="D18551" s="3" t="s">
        <v>68</v>
      </c>
      <c r="E18551" s="3" t="s">
        <v>100</v>
      </c>
      <c r="F18551" s="7">
        <v>46104.3058218765</v>
      </c>
      <c r="G18551" s="3" t="s">
        <v>18265</v>
      </c>
    </row>
    <row r="18552">
      <c r="A18552" s="3" t="s">
        <v>34694</v>
      </c>
      <c r="B18552" s="3" t="s">
        <v>15414</v>
      </c>
      <c r="C18552" s="5" t="s">
        <v>45</v>
      </c>
      <c r="D18552" s="3" t="s">
        <v>221</v>
      </c>
      <c r="E18552" s="3" t="s">
        <v>939</v>
      </c>
      <c r="F18552" s="7">
        <v>46104.366580055255</v>
      </c>
      <c r="G18552" s="3" t="s">
        <v>12405</v>
      </c>
    </row>
    <row r="18553">
      <c r="A18553" s="3" t="s">
        <v>34695</v>
      </c>
      <c r="B18553" s="3" t="s">
        <v>15414</v>
      </c>
      <c r="C18553" s="5" t="s">
        <v>221</v>
      </c>
      <c r="D18553" s="3" t="s">
        <v>614</v>
      </c>
      <c r="E18553" s="3" t="s">
        <v>118</v>
      </c>
      <c r="F18553" s="7">
        <v>46104.370052277474</v>
      </c>
      <c r="G18553" s="3" t="s">
        <v>12408</v>
      </c>
    </row>
    <row r="18554">
      <c r="A18554" s="3" t="s">
        <v>34696</v>
      </c>
      <c r="B18554" s="3" t="s">
        <v>15414</v>
      </c>
      <c r="C18554" s="5" t="s">
        <v>614</v>
      </c>
      <c r="D18554" s="3" t="s">
        <v>206</v>
      </c>
      <c r="E18554" s="3" t="s">
        <v>100</v>
      </c>
      <c r="F18554" s="7">
        <v>46104.3735244997</v>
      </c>
      <c r="G18554" s="3" t="s">
        <v>12411</v>
      </c>
    </row>
    <row r="18555">
      <c r="A18555" s="3" t="s">
        <v>34697</v>
      </c>
      <c r="B18555" s="3" t="s">
        <v>15414</v>
      </c>
      <c r="C18555" s="5" t="s">
        <v>206</v>
      </c>
      <c r="D18555" s="3" t="s">
        <v>68</v>
      </c>
      <c r="E18555" s="3" t="s">
        <v>100</v>
      </c>
      <c r="F18555" s="7">
        <v>46104.37699672192</v>
      </c>
      <c r="G18555" s="3" t="s">
        <v>12414</v>
      </c>
    </row>
    <row r="18556">
      <c r="A18556" s="3" t="s">
        <v>34698</v>
      </c>
      <c r="B18556" s="3" t="s">
        <v>15418</v>
      </c>
      <c r="C18556" s="5" t="s">
        <v>45</v>
      </c>
      <c r="D18556" s="3" t="s">
        <v>221</v>
      </c>
      <c r="E18556" s="3" t="s">
        <v>424</v>
      </c>
      <c r="F18556" s="7">
        <v>46104.43775490067</v>
      </c>
      <c r="G18556" s="3" t="s">
        <v>11246</v>
      </c>
    </row>
    <row r="18557">
      <c r="A18557" s="3" t="s">
        <v>34699</v>
      </c>
      <c r="B18557" s="3" t="s">
        <v>15418</v>
      </c>
      <c r="C18557" s="5" t="s">
        <v>221</v>
      </c>
      <c r="D18557" s="3" t="s">
        <v>195</v>
      </c>
      <c r="E18557" s="3" t="s">
        <v>424</v>
      </c>
      <c r="F18557" s="7">
        <v>46104.44122712289</v>
      </c>
      <c r="G18557" s="3" t="s">
        <v>11249</v>
      </c>
    </row>
    <row r="18558">
      <c r="A18558" s="3" t="s">
        <v>34700</v>
      </c>
      <c r="B18558" s="3" t="s">
        <v>15421</v>
      </c>
      <c r="C18558" s="5" t="s">
        <v>45</v>
      </c>
      <c r="D18558" s="3" t="s">
        <v>221</v>
      </c>
      <c r="E18558" s="3" t="s">
        <v>937</v>
      </c>
      <c r="F18558" s="7">
        <v>46104.50892974609</v>
      </c>
      <c r="G18558" s="3" t="s">
        <v>24427</v>
      </c>
    </row>
    <row r="18559">
      <c r="A18559" s="3" t="s">
        <v>34701</v>
      </c>
      <c r="B18559" s="3" t="s">
        <v>15421</v>
      </c>
      <c r="C18559" s="5" t="s">
        <v>221</v>
      </c>
      <c r="D18559" s="3" t="s">
        <v>614</v>
      </c>
      <c r="E18559" s="3" t="s">
        <v>118</v>
      </c>
      <c r="F18559" s="7">
        <v>46104.512401968306</v>
      </c>
      <c r="G18559" s="3" t="s">
        <v>24429</v>
      </c>
    </row>
    <row r="18560">
      <c r="A18560" s="3" t="s">
        <v>34702</v>
      </c>
      <c r="B18560" s="3" t="s">
        <v>15421</v>
      </c>
      <c r="C18560" s="5" t="s">
        <v>614</v>
      </c>
      <c r="D18560" s="3" t="s">
        <v>206</v>
      </c>
      <c r="E18560" s="3" t="s">
        <v>100</v>
      </c>
      <c r="F18560" s="7">
        <v>46104.51587419053</v>
      </c>
      <c r="G18560" s="3" t="s">
        <v>24431</v>
      </c>
    </row>
    <row r="18561">
      <c r="A18561" s="3" t="s">
        <v>34703</v>
      </c>
      <c r="B18561" s="3" t="s">
        <v>15421</v>
      </c>
      <c r="C18561" s="5" t="s">
        <v>206</v>
      </c>
      <c r="D18561" s="3" t="s">
        <v>68</v>
      </c>
      <c r="E18561" s="3" t="s">
        <v>100</v>
      </c>
      <c r="F18561" s="7">
        <v>46104.51934641275</v>
      </c>
      <c r="G18561" s="3" t="s">
        <v>24433</v>
      </c>
    </row>
    <row r="18562">
      <c r="A18562" s="3" t="s">
        <v>34704</v>
      </c>
      <c r="B18562" s="3" t="s">
        <v>15424</v>
      </c>
      <c r="C18562" s="5" t="s">
        <v>45</v>
      </c>
      <c r="D18562" s="3" t="s">
        <v>221</v>
      </c>
      <c r="E18562" s="3" t="s">
        <v>165</v>
      </c>
      <c r="F18562" s="7">
        <v>46104.5801045915</v>
      </c>
      <c r="G18562" s="3" t="s">
        <v>8240</v>
      </c>
    </row>
    <row r="18563">
      <c r="A18563" s="3" t="s">
        <v>34705</v>
      </c>
      <c r="B18563" s="3" t="s">
        <v>15424</v>
      </c>
      <c r="C18563" s="5" t="s">
        <v>221</v>
      </c>
      <c r="D18563" s="3" t="s">
        <v>195</v>
      </c>
      <c r="E18563" s="3" t="s">
        <v>165</v>
      </c>
      <c r="F18563" s="7">
        <v>46104.58357681372</v>
      </c>
      <c r="G18563" s="3" t="s">
        <v>34706</v>
      </c>
    </row>
    <row r="18564">
      <c r="A18564" s="3" t="s">
        <v>34707</v>
      </c>
      <c r="B18564" s="3" t="s">
        <v>15429</v>
      </c>
      <c r="C18564" s="5" t="s">
        <v>45</v>
      </c>
      <c r="D18564" s="3" t="s">
        <v>221</v>
      </c>
      <c r="E18564" s="3" t="s">
        <v>316</v>
      </c>
      <c r="F18564" s="7">
        <v>46104.65127943691</v>
      </c>
      <c r="G18564" s="3" t="s">
        <v>4187</v>
      </c>
    </row>
    <row r="18565">
      <c r="A18565" s="3" t="s">
        <v>34708</v>
      </c>
      <c r="B18565" s="3" t="s">
        <v>15429</v>
      </c>
      <c r="C18565" s="5" t="s">
        <v>221</v>
      </c>
      <c r="D18565" s="3" t="s">
        <v>614</v>
      </c>
      <c r="E18565" s="3" t="s">
        <v>118</v>
      </c>
      <c r="F18565" s="7">
        <v>46104.65475165913</v>
      </c>
      <c r="G18565" s="3" t="s">
        <v>8275</v>
      </c>
    </row>
    <row r="18566">
      <c r="A18566" s="3" t="s">
        <v>34709</v>
      </c>
      <c r="B18566" s="3" t="s">
        <v>15429</v>
      </c>
      <c r="C18566" s="5" t="s">
        <v>614</v>
      </c>
      <c r="D18566" s="3" t="s">
        <v>206</v>
      </c>
      <c r="E18566" s="3" t="s">
        <v>100</v>
      </c>
      <c r="F18566" s="7">
        <v>46104.65822388136</v>
      </c>
      <c r="G18566" s="3" t="s">
        <v>8278</v>
      </c>
    </row>
    <row r="18567">
      <c r="A18567" s="3" t="s">
        <v>34710</v>
      </c>
      <c r="B18567" s="3" t="s">
        <v>15429</v>
      </c>
      <c r="C18567" s="5" t="s">
        <v>206</v>
      </c>
      <c r="D18567" s="3" t="s">
        <v>68</v>
      </c>
      <c r="E18567" s="3" t="s">
        <v>100</v>
      </c>
      <c r="F18567" s="7">
        <v>46104.661696103576</v>
      </c>
      <c r="G18567" s="3" t="s">
        <v>8281</v>
      </c>
    </row>
    <row r="18568">
      <c r="A18568" s="3" t="s">
        <v>34711</v>
      </c>
      <c r="B18568" s="3" t="s">
        <v>15432</v>
      </c>
      <c r="C18568" s="5" t="s">
        <v>45</v>
      </c>
      <c r="D18568" s="3" t="s">
        <v>221</v>
      </c>
      <c r="E18568" s="3" t="s">
        <v>156</v>
      </c>
      <c r="F18568" s="7">
        <v>46104.72245428233</v>
      </c>
      <c r="G18568" s="3" t="s">
        <v>12088</v>
      </c>
    </row>
    <row r="18569">
      <c r="A18569" s="3" t="s">
        <v>34712</v>
      </c>
      <c r="B18569" s="3" t="s">
        <v>15432</v>
      </c>
      <c r="C18569" s="5" t="s">
        <v>221</v>
      </c>
      <c r="D18569" s="3" t="s">
        <v>614</v>
      </c>
      <c r="E18569" s="3" t="s">
        <v>118</v>
      </c>
      <c r="F18569" s="7">
        <v>46104.72592650455</v>
      </c>
      <c r="G18569" s="3" t="s">
        <v>12091</v>
      </c>
    </row>
    <row r="18570">
      <c r="A18570" s="3" t="s">
        <v>34713</v>
      </c>
      <c r="B18570" s="3" t="s">
        <v>15432</v>
      </c>
      <c r="C18570" s="5" t="s">
        <v>614</v>
      </c>
      <c r="D18570" s="3" t="s">
        <v>206</v>
      </c>
      <c r="E18570" s="3" t="s">
        <v>100</v>
      </c>
      <c r="F18570" s="7">
        <v>46104.72939872678</v>
      </c>
      <c r="G18570" s="3" t="s">
        <v>12094</v>
      </c>
    </row>
    <row r="18571">
      <c r="A18571" s="3" t="s">
        <v>34714</v>
      </c>
      <c r="B18571" s="3" t="s">
        <v>15432</v>
      </c>
      <c r="C18571" s="5" t="s">
        <v>206</v>
      </c>
      <c r="D18571" s="3" t="s">
        <v>68</v>
      </c>
      <c r="E18571" s="3" t="s">
        <v>100</v>
      </c>
      <c r="F18571" s="7">
        <v>46104.732870948996</v>
      </c>
      <c r="G18571" s="3" t="s">
        <v>12097</v>
      </c>
    </row>
    <row r="18572">
      <c r="A18572" s="3" t="s">
        <v>34715</v>
      </c>
      <c r="B18572" s="3" t="s">
        <v>15435</v>
      </c>
      <c r="C18572" s="5" t="s">
        <v>45</v>
      </c>
      <c r="D18572" s="3" t="s">
        <v>221</v>
      </c>
      <c r="E18572" s="3" t="s">
        <v>619</v>
      </c>
      <c r="F18572" s="7">
        <v>46104.793629127744</v>
      </c>
      <c r="G18572" s="3" t="s">
        <v>13071</v>
      </c>
    </row>
    <row r="18573">
      <c r="A18573" s="3" t="s">
        <v>34716</v>
      </c>
      <c r="B18573" s="3" t="s">
        <v>15435</v>
      </c>
      <c r="C18573" s="5" t="s">
        <v>221</v>
      </c>
      <c r="D18573" s="3" t="s">
        <v>614</v>
      </c>
      <c r="E18573" s="3" t="s">
        <v>118</v>
      </c>
      <c r="F18573" s="7">
        <v>46104.79710134996</v>
      </c>
      <c r="G18573" s="3" t="s">
        <v>13074</v>
      </c>
    </row>
    <row r="18574">
      <c r="A18574" s="3" t="s">
        <v>34717</v>
      </c>
      <c r="B18574" s="3" t="s">
        <v>15435</v>
      </c>
      <c r="C18574" s="5" t="s">
        <v>614</v>
      </c>
      <c r="D18574" s="3" t="s">
        <v>206</v>
      </c>
      <c r="E18574" s="3" t="s">
        <v>100</v>
      </c>
      <c r="F18574" s="7">
        <v>46104.80057357219</v>
      </c>
      <c r="G18574" s="3" t="s">
        <v>13078</v>
      </c>
    </row>
    <row r="18575">
      <c r="A18575" s="3" t="s">
        <v>34718</v>
      </c>
      <c r="B18575" s="3" t="s">
        <v>15435</v>
      </c>
      <c r="C18575" s="5" t="s">
        <v>206</v>
      </c>
      <c r="D18575" s="3" t="s">
        <v>68</v>
      </c>
      <c r="E18575" s="3" t="s">
        <v>100</v>
      </c>
      <c r="F18575" s="7">
        <v>46104.80404579441</v>
      </c>
      <c r="G18575" s="3" t="s">
        <v>13081</v>
      </c>
    </row>
    <row r="18576">
      <c r="A18576" s="3" t="s">
        <v>34719</v>
      </c>
      <c r="B18576" s="3" t="s">
        <v>15438</v>
      </c>
      <c r="C18576" s="5" t="s">
        <v>45</v>
      </c>
      <c r="D18576" s="3" t="s">
        <v>221</v>
      </c>
      <c r="E18576" s="3" t="s">
        <v>629</v>
      </c>
      <c r="F18576" s="7">
        <v>46104.864803973156</v>
      </c>
      <c r="G18576" s="3" t="s">
        <v>19687</v>
      </c>
    </row>
    <row r="18577">
      <c r="A18577" s="3" t="s">
        <v>34720</v>
      </c>
      <c r="B18577" s="3" t="s">
        <v>15438</v>
      </c>
      <c r="C18577" s="5" t="s">
        <v>221</v>
      </c>
      <c r="D18577" s="3" t="s">
        <v>614</v>
      </c>
      <c r="E18577" s="3" t="s">
        <v>118</v>
      </c>
      <c r="F18577" s="7">
        <v>46104.868276195375</v>
      </c>
      <c r="G18577" s="3" t="s">
        <v>19690</v>
      </c>
    </row>
    <row r="18578">
      <c r="A18578" s="3" t="s">
        <v>34721</v>
      </c>
      <c r="B18578" s="3" t="s">
        <v>15438</v>
      </c>
      <c r="C18578" s="5" t="s">
        <v>614</v>
      </c>
      <c r="D18578" s="3" t="s">
        <v>206</v>
      </c>
      <c r="E18578" s="3" t="s">
        <v>100</v>
      </c>
      <c r="F18578" s="7">
        <v>46104.8717484176</v>
      </c>
      <c r="G18578" s="3" t="s">
        <v>19693</v>
      </c>
    </row>
    <row r="18579">
      <c r="A18579" s="3" t="s">
        <v>34722</v>
      </c>
      <c r="B18579" s="3" t="s">
        <v>15438</v>
      </c>
      <c r="C18579" s="5" t="s">
        <v>206</v>
      </c>
      <c r="D18579" s="3" t="s">
        <v>68</v>
      </c>
      <c r="E18579" s="3" t="s">
        <v>100</v>
      </c>
      <c r="F18579" s="7">
        <v>46104.87522063982</v>
      </c>
      <c r="G18579" s="3" t="s">
        <v>19695</v>
      </c>
    </row>
    <row r="18580">
      <c r="A18580" s="3" t="s">
        <v>34723</v>
      </c>
      <c r="B18580" s="3" t="s">
        <v>15442</v>
      </c>
      <c r="C18580" s="5" t="s">
        <v>45</v>
      </c>
      <c r="D18580" s="3" t="s">
        <v>221</v>
      </c>
      <c r="E18580" s="3" t="s">
        <v>886</v>
      </c>
      <c r="F18580" s="7">
        <v>46104.935978818576</v>
      </c>
      <c r="G18580" s="3" t="s">
        <v>2770</v>
      </c>
    </row>
    <row r="18581">
      <c r="A18581" s="3" t="s">
        <v>34724</v>
      </c>
      <c r="B18581" s="3" t="s">
        <v>15442</v>
      </c>
      <c r="C18581" s="5" t="s">
        <v>221</v>
      </c>
      <c r="D18581" s="3" t="s">
        <v>195</v>
      </c>
      <c r="E18581" s="3" t="s">
        <v>886</v>
      </c>
      <c r="F18581" s="7">
        <v>46104.939451040795</v>
      </c>
      <c r="G18581" s="3" t="s">
        <v>3055</v>
      </c>
    </row>
    <row r="18582">
      <c r="A18582" s="3" t="s">
        <v>34725</v>
      </c>
      <c r="B18582" s="3" t="s">
        <v>15446</v>
      </c>
      <c r="C18582" s="5" t="s">
        <v>45</v>
      </c>
      <c r="D18582" s="3" t="s">
        <v>221</v>
      </c>
      <c r="E18582" s="3" t="s">
        <v>746</v>
      </c>
      <c r="F18582" s="7">
        <v>46105.00715366399</v>
      </c>
      <c r="G18582" s="3" t="s">
        <v>12500</v>
      </c>
    </row>
    <row r="18583">
      <c r="A18583" s="3" t="s">
        <v>34726</v>
      </c>
      <c r="B18583" s="3" t="s">
        <v>15446</v>
      </c>
      <c r="C18583" s="5" t="s">
        <v>221</v>
      </c>
      <c r="D18583" s="3" t="s">
        <v>614</v>
      </c>
      <c r="E18583" s="3" t="s">
        <v>118</v>
      </c>
      <c r="F18583" s="7">
        <v>46105.01062588621</v>
      </c>
      <c r="G18583" s="3" t="s">
        <v>12503</v>
      </c>
    </row>
    <row r="18584">
      <c r="A18584" s="3" t="s">
        <v>34727</v>
      </c>
      <c r="B18584" s="3" t="s">
        <v>15446</v>
      </c>
      <c r="C18584" s="5" t="s">
        <v>614</v>
      </c>
      <c r="D18584" s="3" t="s">
        <v>206</v>
      </c>
      <c r="E18584" s="3" t="s">
        <v>100</v>
      </c>
      <c r="F18584" s="7">
        <v>46105.01409810843</v>
      </c>
      <c r="G18584" s="3" t="s">
        <v>12507</v>
      </c>
    </row>
    <row r="18585">
      <c r="A18585" s="3" t="s">
        <v>34728</v>
      </c>
      <c r="B18585" s="3" t="s">
        <v>15446</v>
      </c>
      <c r="C18585" s="5" t="s">
        <v>206</v>
      </c>
      <c r="D18585" s="3" t="s">
        <v>68</v>
      </c>
      <c r="E18585" s="3" t="s">
        <v>100</v>
      </c>
      <c r="F18585" s="7">
        <v>46105.01757033065</v>
      </c>
      <c r="G18585" s="3" t="s">
        <v>12510</v>
      </c>
    </row>
    <row r="18586">
      <c r="A18586" s="3" t="s">
        <v>34729</v>
      </c>
      <c r="B18586" s="3" t="s">
        <v>15449</v>
      </c>
      <c r="C18586" s="5" t="s">
        <v>45</v>
      </c>
      <c r="D18586" s="3" t="s">
        <v>221</v>
      </c>
      <c r="E18586" s="3" t="s">
        <v>969</v>
      </c>
      <c r="F18586" s="7">
        <v>46105.0783285094</v>
      </c>
      <c r="G18586" s="3" t="s">
        <v>15479</v>
      </c>
    </row>
    <row r="18587">
      <c r="A18587" s="3" t="s">
        <v>34730</v>
      </c>
      <c r="B18587" s="3" t="s">
        <v>15449</v>
      </c>
      <c r="C18587" s="5" t="s">
        <v>221</v>
      </c>
      <c r="D18587" s="3" t="s">
        <v>614</v>
      </c>
      <c r="E18587" s="3" t="s">
        <v>118</v>
      </c>
      <c r="F18587" s="7">
        <v>46105.08180073162</v>
      </c>
      <c r="G18587" s="3" t="s">
        <v>15482</v>
      </c>
    </row>
    <row r="18588">
      <c r="A18588" s="3" t="s">
        <v>34731</v>
      </c>
      <c r="B18588" s="3" t="s">
        <v>15449</v>
      </c>
      <c r="C18588" s="5" t="s">
        <v>614</v>
      </c>
      <c r="D18588" s="3" t="s">
        <v>206</v>
      </c>
      <c r="E18588" s="3" t="s">
        <v>100</v>
      </c>
      <c r="F18588" s="7">
        <v>46105.085272953846</v>
      </c>
      <c r="G18588" s="3" t="s">
        <v>15485</v>
      </c>
    </row>
    <row r="18589">
      <c r="A18589" s="3" t="s">
        <v>34732</v>
      </c>
      <c r="B18589" s="3" t="s">
        <v>15449</v>
      </c>
      <c r="C18589" s="5" t="s">
        <v>206</v>
      </c>
      <c r="D18589" s="3" t="s">
        <v>68</v>
      </c>
      <c r="E18589" s="3" t="s">
        <v>100</v>
      </c>
      <c r="F18589" s="7">
        <v>46105.088745176065</v>
      </c>
      <c r="G18589" s="3" t="s">
        <v>15488</v>
      </c>
    </row>
    <row r="18590">
      <c r="A18590" s="3" t="s">
        <v>34733</v>
      </c>
      <c r="B18590" s="3" t="s">
        <v>15451</v>
      </c>
      <c r="C18590" s="5" t="s">
        <v>45</v>
      </c>
      <c r="D18590" s="3" t="s">
        <v>221</v>
      </c>
      <c r="E18590" s="3" t="s">
        <v>682</v>
      </c>
      <c r="F18590" s="7">
        <v>46105.14950335482</v>
      </c>
      <c r="G18590" s="3" t="s">
        <v>4193</v>
      </c>
    </row>
    <row r="18591">
      <c r="A18591" s="3" t="s">
        <v>34734</v>
      </c>
      <c r="B18591" s="3" t="s">
        <v>15451</v>
      </c>
      <c r="C18591" s="5" t="s">
        <v>221</v>
      </c>
      <c r="D18591" s="3" t="s">
        <v>614</v>
      </c>
      <c r="E18591" s="3" t="s">
        <v>118</v>
      </c>
      <c r="F18591" s="7">
        <v>46105.15297557704</v>
      </c>
      <c r="G18591" s="3" t="s">
        <v>4196</v>
      </c>
    </row>
    <row r="18592">
      <c r="A18592" s="3" t="s">
        <v>34735</v>
      </c>
      <c r="B18592" s="3" t="s">
        <v>15451</v>
      </c>
      <c r="C18592" s="5" t="s">
        <v>614</v>
      </c>
      <c r="D18592" s="3" t="s">
        <v>206</v>
      </c>
      <c r="E18592" s="3" t="s">
        <v>100</v>
      </c>
      <c r="F18592" s="7">
        <v>46105.156447799265</v>
      </c>
      <c r="G18592" s="3" t="s">
        <v>4199</v>
      </c>
    </row>
    <row r="18593">
      <c r="A18593" s="3" t="s">
        <v>34736</v>
      </c>
      <c r="B18593" s="3" t="s">
        <v>15451</v>
      </c>
      <c r="C18593" s="5" t="s">
        <v>206</v>
      </c>
      <c r="D18593" s="3" t="s">
        <v>68</v>
      </c>
      <c r="E18593" s="3" t="s">
        <v>100</v>
      </c>
      <c r="F18593" s="7">
        <v>46105.159920021484</v>
      </c>
      <c r="G18593" s="3" t="s">
        <v>4202</v>
      </c>
    </row>
    <row r="18594">
      <c r="A18594" s="3" t="s">
        <v>34737</v>
      </c>
      <c r="B18594" s="3" t="s">
        <v>15453</v>
      </c>
      <c r="C18594" s="5" t="s">
        <v>45</v>
      </c>
      <c r="D18594" s="3" t="s">
        <v>221</v>
      </c>
      <c r="E18594" s="3" t="s">
        <v>193</v>
      </c>
      <c r="F18594" s="7">
        <v>46105.22067820024</v>
      </c>
      <c r="G18594" s="3" t="s">
        <v>8729</v>
      </c>
    </row>
    <row r="18595">
      <c r="A18595" s="3" t="s">
        <v>34738</v>
      </c>
      <c r="B18595" s="3" t="s">
        <v>15453</v>
      </c>
      <c r="C18595" s="5" t="s">
        <v>221</v>
      </c>
      <c r="D18595" s="3" t="s">
        <v>614</v>
      </c>
      <c r="E18595" s="3" t="s">
        <v>118</v>
      </c>
      <c r="F18595" s="7">
        <v>46105.22415042246</v>
      </c>
      <c r="G18595" s="3" t="s">
        <v>25830</v>
      </c>
    </row>
    <row r="18596">
      <c r="A18596" s="3" t="s">
        <v>34739</v>
      </c>
      <c r="B18596" s="3" t="s">
        <v>15453</v>
      </c>
      <c r="C18596" s="5" t="s">
        <v>614</v>
      </c>
      <c r="D18596" s="3" t="s">
        <v>206</v>
      </c>
      <c r="E18596" s="3" t="s">
        <v>100</v>
      </c>
      <c r="F18596" s="7">
        <v>46105.227622644685</v>
      </c>
      <c r="G18596" s="3" t="s">
        <v>25832</v>
      </c>
    </row>
    <row r="18597">
      <c r="A18597" s="3" t="s">
        <v>34740</v>
      </c>
      <c r="B18597" s="3" t="s">
        <v>15453</v>
      </c>
      <c r="C18597" s="5" t="s">
        <v>206</v>
      </c>
      <c r="D18597" s="3" t="s">
        <v>68</v>
      </c>
      <c r="E18597" s="3" t="s">
        <v>100</v>
      </c>
      <c r="F18597" s="7">
        <v>46105.231094866904</v>
      </c>
      <c r="G18597" s="3" t="s">
        <v>25834</v>
      </c>
    </row>
    <row r="18598">
      <c r="A18598" s="3" t="s">
        <v>34741</v>
      </c>
      <c r="B18598" s="3" t="s">
        <v>15455</v>
      </c>
      <c r="C18598" s="5" t="s">
        <v>45</v>
      </c>
      <c r="D18598" s="3" t="s">
        <v>221</v>
      </c>
      <c r="E18598" s="3" t="s">
        <v>411</v>
      </c>
      <c r="F18598" s="7">
        <v>46105.291853045645</v>
      </c>
      <c r="G18598" s="3" t="s">
        <v>12513</v>
      </c>
    </row>
    <row r="18599">
      <c r="A18599" s="3" t="s">
        <v>34742</v>
      </c>
      <c r="B18599" s="3" t="s">
        <v>15455</v>
      </c>
      <c r="C18599" s="5" t="s">
        <v>221</v>
      </c>
      <c r="D18599" s="3" t="s">
        <v>614</v>
      </c>
      <c r="E18599" s="3" t="s">
        <v>118</v>
      </c>
      <c r="F18599" s="7">
        <v>46105.29532526786</v>
      </c>
      <c r="G18599" s="3" t="s">
        <v>12516</v>
      </c>
    </row>
    <row r="18600">
      <c r="A18600" s="3" t="s">
        <v>34743</v>
      </c>
      <c r="B18600" s="3" t="s">
        <v>15455</v>
      </c>
      <c r="C18600" s="5" t="s">
        <v>614</v>
      </c>
      <c r="D18600" s="3" t="s">
        <v>206</v>
      </c>
      <c r="E18600" s="3" t="s">
        <v>100</v>
      </c>
      <c r="F18600" s="7">
        <v>46105.29879749009</v>
      </c>
      <c r="G18600" s="3" t="s">
        <v>12519</v>
      </c>
    </row>
    <row r="18601">
      <c r="A18601" s="3" t="s">
        <v>34744</v>
      </c>
      <c r="B18601" s="3" t="s">
        <v>15455</v>
      </c>
      <c r="C18601" s="5" t="s">
        <v>206</v>
      </c>
      <c r="D18601" s="3" t="s">
        <v>68</v>
      </c>
      <c r="E18601" s="3" t="s">
        <v>100</v>
      </c>
      <c r="F18601" s="7">
        <v>46105.30226971231</v>
      </c>
      <c r="G18601" s="3" t="s">
        <v>12522</v>
      </c>
    </row>
    <row r="18602">
      <c r="A18602" s="3" t="s">
        <v>34745</v>
      </c>
      <c r="B18602" s="3" t="s">
        <v>15459</v>
      </c>
      <c r="C18602" s="5" t="s">
        <v>45</v>
      </c>
      <c r="D18602" s="3" t="s">
        <v>221</v>
      </c>
      <c r="E18602" s="3" t="s">
        <v>330</v>
      </c>
      <c r="F18602" s="7">
        <v>46105.363027891064</v>
      </c>
      <c r="G18602" s="3" t="s">
        <v>34746</v>
      </c>
    </row>
    <row r="18603">
      <c r="A18603" s="3" t="s">
        <v>34747</v>
      </c>
      <c r="B18603" s="3" t="s">
        <v>15459</v>
      </c>
      <c r="C18603" s="5" t="s">
        <v>221</v>
      </c>
      <c r="D18603" s="3" t="s">
        <v>614</v>
      </c>
      <c r="E18603" s="3" t="s">
        <v>118</v>
      </c>
      <c r="F18603" s="7">
        <v>46105.36650011328</v>
      </c>
      <c r="G18603" s="3" t="s">
        <v>34748</v>
      </c>
    </row>
    <row r="18604">
      <c r="A18604" s="3" t="s">
        <v>34749</v>
      </c>
      <c r="B18604" s="3" t="s">
        <v>15459</v>
      </c>
      <c r="C18604" s="5" t="s">
        <v>614</v>
      </c>
      <c r="D18604" s="3" t="s">
        <v>206</v>
      </c>
      <c r="E18604" s="3" t="s">
        <v>100</v>
      </c>
      <c r="F18604" s="7">
        <v>46105.36997233551</v>
      </c>
      <c r="G18604" s="3" t="s">
        <v>34750</v>
      </c>
    </row>
    <row r="18605">
      <c r="A18605" s="3" t="s">
        <v>34751</v>
      </c>
      <c r="B18605" s="3" t="s">
        <v>15459</v>
      </c>
      <c r="C18605" s="5" t="s">
        <v>206</v>
      </c>
      <c r="D18605" s="3" t="s">
        <v>68</v>
      </c>
      <c r="E18605" s="3" t="s">
        <v>100</v>
      </c>
      <c r="F18605" s="7">
        <v>46105.37344455773</v>
      </c>
      <c r="G18605" s="3" t="s">
        <v>34752</v>
      </c>
    </row>
    <row r="18606">
      <c r="A18606" s="3" t="s">
        <v>34753</v>
      </c>
      <c r="B18606" s="3" t="s">
        <v>15462</v>
      </c>
      <c r="C18606" s="5" t="s">
        <v>45</v>
      </c>
      <c r="D18606" s="3" t="s">
        <v>221</v>
      </c>
      <c r="E18606" s="3" t="s">
        <v>972</v>
      </c>
      <c r="F18606" s="7">
        <v>46105.434202736484</v>
      </c>
      <c r="G18606" s="3" t="s">
        <v>2770</v>
      </c>
    </row>
    <row r="18607">
      <c r="A18607" s="3" t="s">
        <v>34754</v>
      </c>
      <c r="B18607" s="3" t="s">
        <v>15462</v>
      </c>
      <c r="C18607" s="5" t="s">
        <v>221</v>
      </c>
      <c r="D18607" s="3" t="s">
        <v>181</v>
      </c>
      <c r="E18607" s="3" t="s">
        <v>118</v>
      </c>
      <c r="F18607" s="7">
        <v>46105.4376749587</v>
      </c>
      <c r="G18607" s="3" t="s">
        <v>2774</v>
      </c>
    </row>
    <row r="18608">
      <c r="A18608" s="3" t="s">
        <v>34755</v>
      </c>
      <c r="B18608" s="3" t="s">
        <v>15465</v>
      </c>
      <c r="C18608" s="5" t="s">
        <v>45</v>
      </c>
      <c r="D18608" s="3" t="s">
        <v>221</v>
      </c>
      <c r="E18608" s="3" t="s">
        <v>326</v>
      </c>
      <c r="F18608" s="7">
        <v>46105.505377581896</v>
      </c>
      <c r="G18608" s="3" t="s">
        <v>20882</v>
      </c>
    </row>
    <row r="18609">
      <c r="A18609" s="3" t="s">
        <v>34756</v>
      </c>
      <c r="B18609" s="3" t="s">
        <v>15465</v>
      </c>
      <c r="C18609" s="5" t="s">
        <v>221</v>
      </c>
      <c r="D18609" s="3" t="s">
        <v>614</v>
      </c>
      <c r="E18609" s="3" t="s">
        <v>118</v>
      </c>
      <c r="F18609" s="7">
        <v>46105.508849804115</v>
      </c>
      <c r="G18609" s="3" t="s">
        <v>20885</v>
      </c>
    </row>
    <row r="18610">
      <c r="A18610" s="3" t="s">
        <v>34757</v>
      </c>
      <c r="B18610" s="3" t="s">
        <v>15465</v>
      </c>
      <c r="C18610" s="5" t="s">
        <v>614</v>
      </c>
      <c r="D18610" s="3" t="s">
        <v>206</v>
      </c>
      <c r="E18610" s="3" t="s">
        <v>100</v>
      </c>
      <c r="F18610" s="7">
        <v>46105.51232202634</v>
      </c>
      <c r="G18610" s="3" t="s">
        <v>20888</v>
      </c>
    </row>
    <row r="18611">
      <c r="A18611" s="3" t="s">
        <v>34758</v>
      </c>
      <c r="B18611" s="3" t="s">
        <v>15465</v>
      </c>
      <c r="C18611" s="5" t="s">
        <v>206</v>
      </c>
      <c r="D18611" s="3" t="s">
        <v>68</v>
      </c>
      <c r="E18611" s="3" t="s">
        <v>100</v>
      </c>
      <c r="F18611" s="7">
        <v>46105.51579424856</v>
      </c>
      <c r="G18611" s="3" t="s">
        <v>20891</v>
      </c>
    </row>
    <row r="18612">
      <c r="A18612" s="3" t="s">
        <v>34759</v>
      </c>
      <c r="B18612" s="3" t="s">
        <v>15468</v>
      </c>
      <c r="C18612" s="5" t="s">
        <v>45</v>
      </c>
      <c r="D18612" s="3" t="s">
        <v>221</v>
      </c>
      <c r="E18612" s="3" t="s">
        <v>498</v>
      </c>
      <c r="F18612" s="7">
        <v>46105.57655242731</v>
      </c>
      <c r="G18612" s="3" t="s">
        <v>10003</v>
      </c>
    </row>
    <row r="18613">
      <c r="A18613" s="3" t="s">
        <v>34760</v>
      </c>
      <c r="B18613" s="3" t="s">
        <v>15468</v>
      </c>
      <c r="C18613" s="5" t="s">
        <v>221</v>
      </c>
      <c r="D18613" s="3" t="s">
        <v>195</v>
      </c>
      <c r="E18613" s="3" t="s">
        <v>498</v>
      </c>
      <c r="F18613" s="7">
        <v>46105.58002464953</v>
      </c>
      <c r="G18613" s="3" t="s">
        <v>34761</v>
      </c>
    </row>
    <row r="18614">
      <c r="A18614" s="3" t="s">
        <v>34762</v>
      </c>
      <c r="B18614" s="3" t="s">
        <v>15470</v>
      </c>
      <c r="C18614" s="5" t="s">
        <v>45</v>
      </c>
      <c r="D18614" s="3" t="s">
        <v>221</v>
      </c>
      <c r="E18614" s="3" t="s">
        <v>593</v>
      </c>
      <c r="F18614" s="7">
        <v>46105.64772727273</v>
      </c>
      <c r="G18614" s="3" t="s">
        <v>20022</v>
      </c>
    </row>
    <row r="18615">
      <c r="A18615" s="3" t="s">
        <v>34763</v>
      </c>
      <c r="B18615" s="3" t="s">
        <v>15470</v>
      </c>
      <c r="C18615" s="5" t="s">
        <v>221</v>
      </c>
      <c r="D18615" s="3" t="s">
        <v>614</v>
      </c>
      <c r="E18615" s="3" t="s">
        <v>118</v>
      </c>
      <c r="F18615" s="7">
        <v>46105.65119949495</v>
      </c>
      <c r="G18615" s="3" t="s">
        <v>20024</v>
      </c>
    </row>
    <row r="18616">
      <c r="A18616" s="3" t="s">
        <v>34764</v>
      </c>
      <c r="B18616" s="3" t="s">
        <v>15470</v>
      </c>
      <c r="C18616" s="5" t="s">
        <v>614</v>
      </c>
      <c r="D18616" s="3" t="s">
        <v>206</v>
      </c>
      <c r="E18616" s="3" t="s">
        <v>100</v>
      </c>
      <c r="F18616" s="7">
        <v>46105.65467171717</v>
      </c>
      <c r="G18616" s="3" t="s">
        <v>20027</v>
      </c>
    </row>
    <row r="18617">
      <c r="A18617" s="3" t="s">
        <v>34765</v>
      </c>
      <c r="B18617" s="3" t="s">
        <v>15470</v>
      </c>
      <c r="C18617" s="5" t="s">
        <v>206</v>
      </c>
      <c r="D18617" s="3" t="s">
        <v>68</v>
      </c>
      <c r="E18617" s="3" t="s">
        <v>100</v>
      </c>
      <c r="F18617" s="7">
        <v>46105.65814393939</v>
      </c>
      <c r="G18617" s="3" t="s">
        <v>20030</v>
      </c>
    </row>
    <row r="18618">
      <c r="A18618" s="3" t="s">
        <v>34766</v>
      </c>
      <c r="B18618" s="3" t="s">
        <v>15474</v>
      </c>
      <c r="C18618" s="5" t="s">
        <v>45</v>
      </c>
      <c r="D18618" s="3" t="s">
        <v>221</v>
      </c>
      <c r="E18618" s="3" t="s">
        <v>224</v>
      </c>
      <c r="F18618" s="7">
        <v>46105.71890211814</v>
      </c>
      <c r="G18618" s="3" t="s">
        <v>11327</v>
      </c>
    </row>
    <row r="18619">
      <c r="A18619" s="3" t="s">
        <v>34767</v>
      </c>
      <c r="B18619" s="3" t="s">
        <v>15474</v>
      </c>
      <c r="C18619" s="5" t="s">
        <v>221</v>
      </c>
      <c r="D18619" s="3" t="s">
        <v>614</v>
      </c>
      <c r="E18619" s="3" t="s">
        <v>118</v>
      </c>
      <c r="F18619" s="7">
        <v>46105.72237434036</v>
      </c>
      <c r="G18619" s="3" t="s">
        <v>11330</v>
      </c>
    </row>
    <row r="18620">
      <c r="A18620" s="3" t="s">
        <v>34768</v>
      </c>
      <c r="B18620" s="3" t="s">
        <v>15474</v>
      </c>
      <c r="C18620" s="5" t="s">
        <v>614</v>
      </c>
      <c r="D18620" s="3" t="s">
        <v>206</v>
      </c>
      <c r="E18620" s="3" t="s">
        <v>100</v>
      </c>
      <c r="F18620" s="7">
        <v>46105.725846562586</v>
      </c>
      <c r="G18620" s="3" t="s">
        <v>11333</v>
      </c>
    </row>
    <row r="18621">
      <c r="A18621" s="3" t="s">
        <v>34769</v>
      </c>
      <c r="B18621" s="3" t="s">
        <v>15474</v>
      </c>
      <c r="C18621" s="5" t="s">
        <v>206</v>
      </c>
      <c r="D18621" s="3" t="s">
        <v>68</v>
      </c>
      <c r="E18621" s="3" t="s">
        <v>100</v>
      </c>
      <c r="F18621" s="7">
        <v>46105.729318784804</v>
      </c>
      <c r="G18621" s="3" t="s">
        <v>11336</v>
      </c>
    </row>
    <row r="18622">
      <c r="A18622" s="3" t="s">
        <v>34770</v>
      </c>
      <c r="B18622" s="3" t="s">
        <v>15477</v>
      </c>
      <c r="C18622" s="5" t="s">
        <v>45</v>
      </c>
      <c r="D18622" s="3" t="s">
        <v>221</v>
      </c>
      <c r="E18622" s="3" t="s">
        <v>536</v>
      </c>
      <c r="F18622" s="7">
        <v>46105.79007696355</v>
      </c>
      <c r="G18622" s="3" t="s">
        <v>4782</v>
      </c>
    </row>
    <row r="18623">
      <c r="A18623" s="3" t="s">
        <v>34771</v>
      </c>
      <c r="B18623" s="3" t="s">
        <v>15477</v>
      </c>
      <c r="C18623" s="5" t="s">
        <v>221</v>
      </c>
      <c r="D18623" s="3" t="s">
        <v>614</v>
      </c>
      <c r="E18623" s="3" t="s">
        <v>118</v>
      </c>
      <c r="F18623" s="7">
        <v>46105.79354918577</v>
      </c>
      <c r="G18623" s="3" t="s">
        <v>5411</v>
      </c>
    </row>
    <row r="18624">
      <c r="A18624" s="3" t="s">
        <v>34772</v>
      </c>
      <c r="B18624" s="3" t="s">
        <v>15477</v>
      </c>
      <c r="C18624" s="5" t="s">
        <v>614</v>
      </c>
      <c r="D18624" s="3" t="s">
        <v>206</v>
      </c>
      <c r="E18624" s="3" t="s">
        <v>100</v>
      </c>
      <c r="F18624" s="7">
        <v>46105.797021408</v>
      </c>
      <c r="G18624" s="3" t="s">
        <v>5413</v>
      </c>
    </row>
    <row r="18625">
      <c r="A18625" s="3" t="s">
        <v>34773</v>
      </c>
      <c r="B18625" s="3" t="s">
        <v>15477</v>
      </c>
      <c r="C18625" s="5" t="s">
        <v>206</v>
      </c>
      <c r="D18625" s="3" t="s">
        <v>68</v>
      </c>
      <c r="E18625" s="3" t="s">
        <v>100</v>
      </c>
      <c r="F18625" s="7">
        <v>46105.80049363022</v>
      </c>
      <c r="G18625" s="3" t="s">
        <v>5417</v>
      </c>
    </row>
    <row r="18626">
      <c r="A18626" s="3" t="s">
        <v>34774</v>
      </c>
      <c r="B18626" s="3" t="s">
        <v>15481</v>
      </c>
      <c r="C18626" s="5" t="s">
        <v>45</v>
      </c>
      <c r="D18626" s="3" t="s">
        <v>221</v>
      </c>
      <c r="E18626" s="3" t="s">
        <v>380</v>
      </c>
      <c r="F18626" s="7">
        <v>46105.86125180897</v>
      </c>
      <c r="G18626" s="3" t="s">
        <v>12570</v>
      </c>
    </row>
    <row r="18627">
      <c r="A18627" s="3" t="s">
        <v>34775</v>
      </c>
      <c r="B18627" s="3" t="s">
        <v>15481</v>
      </c>
      <c r="C18627" s="5" t="s">
        <v>221</v>
      </c>
      <c r="D18627" s="3" t="s">
        <v>614</v>
      </c>
      <c r="E18627" s="3" t="s">
        <v>118</v>
      </c>
      <c r="F18627" s="7">
        <v>46105.86472403119</v>
      </c>
      <c r="G18627" s="3" t="s">
        <v>12573</v>
      </c>
    </row>
    <row r="18628">
      <c r="A18628" s="3" t="s">
        <v>34776</v>
      </c>
      <c r="B18628" s="3" t="s">
        <v>15481</v>
      </c>
      <c r="C18628" s="5" t="s">
        <v>614</v>
      </c>
      <c r="D18628" s="3" t="s">
        <v>206</v>
      </c>
      <c r="E18628" s="3" t="s">
        <v>100</v>
      </c>
      <c r="F18628" s="7">
        <v>46105.86819625342</v>
      </c>
      <c r="G18628" s="3" t="s">
        <v>12576</v>
      </c>
    </row>
    <row r="18629">
      <c r="A18629" s="3" t="s">
        <v>34777</v>
      </c>
      <c r="B18629" s="3" t="s">
        <v>15481</v>
      </c>
      <c r="C18629" s="5" t="s">
        <v>206</v>
      </c>
      <c r="D18629" s="3" t="s">
        <v>68</v>
      </c>
      <c r="E18629" s="3" t="s">
        <v>100</v>
      </c>
      <c r="F18629" s="7">
        <v>46105.87166847564</v>
      </c>
      <c r="G18629" s="3" t="s">
        <v>12579</v>
      </c>
    </row>
    <row r="18630">
      <c r="A18630" s="3" t="s">
        <v>34778</v>
      </c>
      <c r="B18630" s="3" t="s">
        <v>15484</v>
      </c>
      <c r="C18630" s="5" t="s">
        <v>45</v>
      </c>
      <c r="D18630" s="3" t="s">
        <v>221</v>
      </c>
      <c r="E18630" s="3" t="s">
        <v>453</v>
      </c>
      <c r="F18630" s="7">
        <v>46105.932426654384</v>
      </c>
      <c r="G18630" s="3" t="s">
        <v>8181</v>
      </c>
    </row>
    <row r="18631">
      <c r="A18631" s="3" t="s">
        <v>34779</v>
      </c>
      <c r="B18631" s="3" t="s">
        <v>15484</v>
      </c>
      <c r="C18631" s="5" t="s">
        <v>221</v>
      </c>
      <c r="D18631" s="3" t="s">
        <v>614</v>
      </c>
      <c r="E18631" s="3" t="s">
        <v>118</v>
      </c>
      <c r="F18631" s="7">
        <v>46105.9358988766</v>
      </c>
      <c r="G18631" s="3" t="s">
        <v>11205</v>
      </c>
    </row>
    <row r="18632">
      <c r="A18632" s="3" t="s">
        <v>34780</v>
      </c>
      <c r="B18632" s="3" t="s">
        <v>15484</v>
      </c>
      <c r="C18632" s="5" t="s">
        <v>614</v>
      </c>
      <c r="D18632" s="3" t="s">
        <v>206</v>
      </c>
      <c r="E18632" s="3" t="s">
        <v>100</v>
      </c>
      <c r="F18632" s="7">
        <v>46105.93937109883</v>
      </c>
      <c r="G18632" s="3" t="s">
        <v>11208</v>
      </c>
    </row>
    <row r="18633">
      <c r="A18633" s="3" t="s">
        <v>34781</v>
      </c>
      <c r="B18633" s="3" t="s">
        <v>15484</v>
      </c>
      <c r="C18633" s="5" t="s">
        <v>206</v>
      </c>
      <c r="D18633" s="3" t="s">
        <v>68</v>
      </c>
      <c r="E18633" s="3" t="s">
        <v>100</v>
      </c>
      <c r="F18633" s="7">
        <v>46105.94284332105</v>
      </c>
      <c r="G18633" s="3" t="s">
        <v>11211</v>
      </c>
    </row>
    <row r="18634">
      <c r="A18634" s="3" t="s">
        <v>34782</v>
      </c>
      <c r="B18634" s="3" t="s">
        <v>15487</v>
      </c>
      <c r="C18634" s="5" t="s">
        <v>45</v>
      </c>
      <c r="D18634" s="3" t="s">
        <v>221</v>
      </c>
      <c r="E18634" s="3" t="s">
        <v>453</v>
      </c>
      <c r="F18634" s="7">
        <v>46106.0036014998</v>
      </c>
      <c r="G18634" s="3" t="s">
        <v>8181</v>
      </c>
    </row>
    <row r="18635">
      <c r="A18635" s="3" t="s">
        <v>34783</v>
      </c>
      <c r="B18635" s="3" t="s">
        <v>15487</v>
      </c>
      <c r="C18635" s="5" t="s">
        <v>221</v>
      </c>
      <c r="D18635" s="3" t="s">
        <v>614</v>
      </c>
      <c r="E18635" s="3" t="s">
        <v>118</v>
      </c>
      <c r="F18635" s="7">
        <v>46106.007073722016</v>
      </c>
      <c r="G18635" s="3" t="s">
        <v>11205</v>
      </c>
    </row>
    <row r="18636">
      <c r="A18636" s="3" t="s">
        <v>34784</v>
      </c>
      <c r="B18636" s="3" t="s">
        <v>15487</v>
      </c>
      <c r="C18636" s="5" t="s">
        <v>614</v>
      </c>
      <c r="D18636" s="3" t="s">
        <v>206</v>
      </c>
      <c r="E18636" s="3" t="s">
        <v>100</v>
      </c>
      <c r="F18636" s="7">
        <v>46106.01054594424</v>
      </c>
      <c r="G18636" s="3" t="s">
        <v>11208</v>
      </c>
    </row>
    <row r="18637">
      <c r="A18637" s="3" t="s">
        <v>34785</v>
      </c>
      <c r="B18637" s="3" t="s">
        <v>15487</v>
      </c>
      <c r="C18637" s="5" t="s">
        <v>206</v>
      </c>
      <c r="D18637" s="3" t="s">
        <v>68</v>
      </c>
      <c r="E18637" s="3" t="s">
        <v>100</v>
      </c>
      <c r="F18637" s="7">
        <v>46106.01401816646</v>
      </c>
      <c r="G18637" s="3" t="s">
        <v>11211</v>
      </c>
    </row>
    <row r="18638">
      <c r="A18638" s="3" t="s">
        <v>34786</v>
      </c>
      <c r="B18638" s="3" t="s">
        <v>15490</v>
      </c>
      <c r="C18638" s="5" t="s">
        <v>45</v>
      </c>
      <c r="D18638" s="3" t="s">
        <v>221</v>
      </c>
      <c r="E18638" s="3" t="s">
        <v>202</v>
      </c>
      <c r="F18638" s="7">
        <v>46106.07477634522</v>
      </c>
      <c r="G18638" s="3" t="s">
        <v>34787</v>
      </c>
    </row>
    <row r="18639">
      <c r="A18639" s="3" t="s">
        <v>34788</v>
      </c>
      <c r="B18639" s="3" t="s">
        <v>15490</v>
      </c>
      <c r="C18639" s="5" t="s">
        <v>221</v>
      </c>
      <c r="D18639" s="3" t="s">
        <v>614</v>
      </c>
      <c r="E18639" s="3" t="s">
        <v>118</v>
      </c>
      <c r="F18639" s="7">
        <v>46106.078248567435</v>
      </c>
      <c r="G18639" s="3" t="s">
        <v>34789</v>
      </c>
    </row>
    <row r="18640">
      <c r="A18640" s="3" t="s">
        <v>34790</v>
      </c>
      <c r="B18640" s="3" t="s">
        <v>15490</v>
      </c>
      <c r="C18640" s="5" t="s">
        <v>614</v>
      </c>
      <c r="D18640" s="3" t="s">
        <v>206</v>
      </c>
      <c r="E18640" s="3" t="s">
        <v>100</v>
      </c>
      <c r="F18640" s="7">
        <v>46106.08172078966</v>
      </c>
      <c r="G18640" s="3" t="s">
        <v>34791</v>
      </c>
    </row>
    <row r="18641">
      <c r="A18641" s="3" t="s">
        <v>34792</v>
      </c>
      <c r="B18641" s="3" t="s">
        <v>15490</v>
      </c>
      <c r="C18641" s="5" t="s">
        <v>206</v>
      </c>
      <c r="D18641" s="3" t="s">
        <v>68</v>
      </c>
      <c r="E18641" s="3" t="s">
        <v>100</v>
      </c>
      <c r="F18641" s="7">
        <v>46106.08519301188</v>
      </c>
      <c r="G18641" s="3" t="s">
        <v>34793</v>
      </c>
    </row>
    <row r="18642">
      <c r="A18642" s="3" t="s">
        <v>34794</v>
      </c>
      <c r="B18642" s="3" t="s">
        <v>15494</v>
      </c>
      <c r="C18642" s="5" t="s">
        <v>45</v>
      </c>
      <c r="D18642" s="3" t="s">
        <v>221</v>
      </c>
      <c r="E18642" s="3" t="s">
        <v>197</v>
      </c>
      <c r="F18642" s="7">
        <v>46106.14595119063</v>
      </c>
      <c r="G18642" s="3" t="s">
        <v>24595</v>
      </c>
    </row>
    <row r="18643">
      <c r="A18643" s="3" t="s">
        <v>34795</v>
      </c>
      <c r="B18643" s="3" t="s">
        <v>15494</v>
      </c>
      <c r="C18643" s="5" t="s">
        <v>221</v>
      </c>
      <c r="D18643" s="3" t="s">
        <v>614</v>
      </c>
      <c r="E18643" s="3" t="s">
        <v>118</v>
      </c>
      <c r="F18643" s="7">
        <v>46106.14942341285</v>
      </c>
      <c r="G18643" s="3" t="s">
        <v>24597</v>
      </c>
    </row>
    <row r="18644">
      <c r="A18644" s="3" t="s">
        <v>34796</v>
      </c>
      <c r="B18644" s="3" t="s">
        <v>15494</v>
      </c>
      <c r="C18644" s="5" t="s">
        <v>614</v>
      </c>
      <c r="D18644" s="3" t="s">
        <v>206</v>
      </c>
      <c r="E18644" s="3" t="s">
        <v>100</v>
      </c>
      <c r="F18644" s="7">
        <v>46106.152895635074</v>
      </c>
      <c r="G18644" s="3" t="s">
        <v>24599</v>
      </c>
    </row>
    <row r="18645">
      <c r="A18645" s="3" t="s">
        <v>34797</v>
      </c>
      <c r="B18645" s="3" t="s">
        <v>15494</v>
      </c>
      <c r="C18645" s="5" t="s">
        <v>206</v>
      </c>
      <c r="D18645" s="3" t="s">
        <v>68</v>
      </c>
      <c r="E18645" s="3" t="s">
        <v>100</v>
      </c>
      <c r="F18645" s="7">
        <v>46106.15636785729</v>
      </c>
      <c r="G18645" s="3" t="s">
        <v>24601</v>
      </c>
    </row>
    <row r="18646">
      <c r="A18646" s="3" t="s">
        <v>34798</v>
      </c>
      <c r="B18646" s="3" t="s">
        <v>15498</v>
      </c>
      <c r="C18646" s="5" t="s">
        <v>45</v>
      </c>
      <c r="D18646" s="3" t="s">
        <v>221</v>
      </c>
      <c r="E18646" s="3" t="s">
        <v>1008</v>
      </c>
      <c r="F18646" s="7">
        <v>46106.21712603605</v>
      </c>
      <c r="G18646" s="3" t="s">
        <v>30101</v>
      </c>
    </row>
    <row r="18647">
      <c r="A18647" s="3" t="s">
        <v>34799</v>
      </c>
      <c r="B18647" s="3" t="s">
        <v>15498</v>
      </c>
      <c r="C18647" s="5" t="s">
        <v>221</v>
      </c>
      <c r="D18647" s="3" t="s">
        <v>614</v>
      </c>
      <c r="E18647" s="3" t="s">
        <v>118</v>
      </c>
      <c r="F18647" s="7">
        <v>46106.22059825827</v>
      </c>
      <c r="G18647" s="3" t="s">
        <v>34800</v>
      </c>
    </row>
    <row r="18648">
      <c r="A18648" s="3" t="s">
        <v>34801</v>
      </c>
      <c r="B18648" s="3" t="s">
        <v>15498</v>
      </c>
      <c r="C18648" s="5" t="s">
        <v>614</v>
      </c>
      <c r="D18648" s="3" t="s">
        <v>206</v>
      </c>
      <c r="E18648" s="3" t="s">
        <v>100</v>
      </c>
      <c r="F18648" s="7">
        <v>46106.22407048049</v>
      </c>
      <c r="G18648" s="3" t="s">
        <v>34802</v>
      </c>
    </row>
    <row r="18649">
      <c r="A18649" s="3" t="s">
        <v>34803</v>
      </c>
      <c r="B18649" s="3" t="s">
        <v>15498</v>
      </c>
      <c r="C18649" s="5" t="s">
        <v>206</v>
      </c>
      <c r="D18649" s="3" t="s">
        <v>68</v>
      </c>
      <c r="E18649" s="3" t="s">
        <v>100</v>
      </c>
      <c r="F18649" s="7">
        <v>46106.22754270271</v>
      </c>
      <c r="G18649" s="3" t="s">
        <v>34804</v>
      </c>
    </row>
    <row r="18650">
      <c r="A18650" s="3" t="s">
        <v>34805</v>
      </c>
      <c r="B18650" s="3" t="s">
        <v>15501</v>
      </c>
      <c r="C18650" s="5" t="s">
        <v>45</v>
      </c>
      <c r="D18650" s="3" t="s">
        <v>221</v>
      </c>
      <c r="E18650" s="3" t="s">
        <v>1040</v>
      </c>
      <c r="F18650" s="7">
        <v>46106.28830088146</v>
      </c>
      <c r="G18650" s="3" t="s">
        <v>25704</v>
      </c>
    </row>
    <row r="18651">
      <c r="A18651" s="3" t="s">
        <v>34806</v>
      </c>
      <c r="B18651" s="3" t="s">
        <v>15501</v>
      </c>
      <c r="C18651" s="5" t="s">
        <v>221</v>
      </c>
      <c r="D18651" s="3" t="s">
        <v>181</v>
      </c>
      <c r="E18651" s="3" t="s">
        <v>118</v>
      </c>
      <c r="F18651" s="7">
        <v>46106.29177310368</v>
      </c>
      <c r="G18651" s="3" t="s">
        <v>34807</v>
      </c>
    </row>
    <row r="18652">
      <c r="A18652" s="3" t="s">
        <v>34808</v>
      </c>
      <c r="B18652" s="3" t="s">
        <v>15503</v>
      </c>
      <c r="C18652" s="5" t="s">
        <v>45</v>
      </c>
      <c r="D18652" s="3" t="s">
        <v>221</v>
      </c>
      <c r="E18652" s="3" t="s">
        <v>760</v>
      </c>
      <c r="F18652" s="7">
        <v>46106.35947572688</v>
      </c>
      <c r="G18652" s="3" t="s">
        <v>25178</v>
      </c>
    </row>
    <row r="18653">
      <c r="A18653" s="3" t="s">
        <v>34809</v>
      </c>
      <c r="B18653" s="3" t="s">
        <v>15503</v>
      </c>
      <c r="C18653" s="5" t="s">
        <v>221</v>
      </c>
      <c r="D18653" s="3" t="s">
        <v>614</v>
      </c>
      <c r="E18653" s="3" t="s">
        <v>118</v>
      </c>
      <c r="F18653" s="7">
        <v>46106.3629479491</v>
      </c>
      <c r="G18653" s="3" t="s">
        <v>25180</v>
      </c>
    </row>
    <row r="18654">
      <c r="A18654" s="3" t="s">
        <v>34810</v>
      </c>
      <c r="B18654" s="3" t="s">
        <v>15503</v>
      </c>
      <c r="C18654" s="5" t="s">
        <v>614</v>
      </c>
      <c r="D18654" s="3" t="s">
        <v>206</v>
      </c>
      <c r="E18654" s="3" t="s">
        <v>100</v>
      </c>
      <c r="F18654" s="7">
        <v>46106.366420171325</v>
      </c>
      <c r="G18654" s="3" t="s">
        <v>25182</v>
      </c>
    </row>
    <row r="18655">
      <c r="A18655" s="3" t="s">
        <v>34811</v>
      </c>
      <c r="B18655" s="3" t="s">
        <v>15503</v>
      </c>
      <c r="C18655" s="5" t="s">
        <v>206</v>
      </c>
      <c r="D18655" s="3" t="s">
        <v>68</v>
      </c>
      <c r="E18655" s="3" t="s">
        <v>100</v>
      </c>
      <c r="F18655" s="7">
        <v>46106.369892393544</v>
      </c>
      <c r="G18655" s="3" t="s">
        <v>25184</v>
      </c>
    </row>
    <row r="18656">
      <c r="A18656" s="3" t="s">
        <v>34812</v>
      </c>
      <c r="B18656" s="3" t="s">
        <v>15505</v>
      </c>
      <c r="C18656" s="5" t="s">
        <v>45</v>
      </c>
      <c r="D18656" s="3" t="s">
        <v>221</v>
      </c>
      <c r="E18656" s="3" t="s">
        <v>224</v>
      </c>
      <c r="F18656" s="7">
        <v>46106.430650572285</v>
      </c>
      <c r="G18656" s="3" t="s">
        <v>12689</v>
      </c>
    </row>
    <row r="18657">
      <c r="A18657" s="3" t="s">
        <v>34813</v>
      </c>
      <c r="B18657" s="3" t="s">
        <v>15505</v>
      </c>
      <c r="C18657" s="5" t="s">
        <v>221</v>
      </c>
      <c r="D18657" s="3" t="s">
        <v>614</v>
      </c>
      <c r="E18657" s="3" t="s">
        <v>118</v>
      </c>
      <c r="F18657" s="7">
        <v>46106.434122794504</v>
      </c>
      <c r="G18657" s="3" t="s">
        <v>12692</v>
      </c>
    </row>
    <row r="18658">
      <c r="A18658" s="3" t="s">
        <v>34814</v>
      </c>
      <c r="B18658" s="3" t="s">
        <v>15505</v>
      </c>
      <c r="C18658" s="5" t="s">
        <v>614</v>
      </c>
      <c r="D18658" s="3" t="s">
        <v>206</v>
      </c>
      <c r="E18658" s="3" t="s">
        <v>100</v>
      </c>
      <c r="F18658" s="7">
        <v>46106.43759501673</v>
      </c>
      <c r="G18658" s="3" t="s">
        <v>12695</v>
      </c>
    </row>
    <row r="18659">
      <c r="A18659" s="3" t="s">
        <v>34815</v>
      </c>
      <c r="B18659" s="3" t="s">
        <v>15505</v>
      </c>
      <c r="C18659" s="5" t="s">
        <v>206</v>
      </c>
      <c r="D18659" s="3" t="s">
        <v>68</v>
      </c>
      <c r="E18659" s="3" t="s">
        <v>100</v>
      </c>
      <c r="F18659" s="7">
        <v>46106.44106723895</v>
      </c>
      <c r="G18659" s="3" t="s">
        <v>12698</v>
      </c>
    </row>
    <row r="18660">
      <c r="A18660" s="3" t="s">
        <v>34816</v>
      </c>
      <c r="B18660" s="3" t="s">
        <v>15508</v>
      </c>
      <c r="C18660" s="5" t="s">
        <v>45</v>
      </c>
      <c r="D18660" s="3" t="s">
        <v>221</v>
      </c>
      <c r="E18660" s="3" t="s">
        <v>600</v>
      </c>
      <c r="F18660" s="7">
        <v>46106.501825417705</v>
      </c>
      <c r="G18660" s="3" t="s">
        <v>11519</v>
      </c>
    </row>
    <row r="18661">
      <c r="A18661" s="3" t="s">
        <v>34817</v>
      </c>
      <c r="B18661" s="3" t="s">
        <v>15508</v>
      </c>
      <c r="C18661" s="5" t="s">
        <v>221</v>
      </c>
      <c r="D18661" s="3" t="s">
        <v>614</v>
      </c>
      <c r="E18661" s="3" t="s">
        <v>118</v>
      </c>
      <c r="F18661" s="7">
        <v>46106.505297639924</v>
      </c>
      <c r="G18661" s="3" t="s">
        <v>12479</v>
      </c>
    </row>
    <row r="18662">
      <c r="A18662" s="3" t="s">
        <v>34818</v>
      </c>
      <c r="B18662" s="3" t="s">
        <v>15508</v>
      </c>
      <c r="C18662" s="5" t="s">
        <v>614</v>
      </c>
      <c r="D18662" s="3" t="s">
        <v>206</v>
      </c>
      <c r="E18662" s="3" t="s">
        <v>100</v>
      </c>
      <c r="F18662" s="7">
        <v>46106.50876986215</v>
      </c>
      <c r="G18662" s="3" t="s">
        <v>12481</v>
      </c>
    </row>
    <row r="18663">
      <c r="A18663" s="3" t="s">
        <v>34819</v>
      </c>
      <c r="B18663" s="3" t="s">
        <v>15508</v>
      </c>
      <c r="C18663" s="5" t="s">
        <v>206</v>
      </c>
      <c r="D18663" s="3" t="s">
        <v>68</v>
      </c>
      <c r="E18663" s="3" t="s">
        <v>100</v>
      </c>
      <c r="F18663" s="7">
        <v>46106.51224208437</v>
      </c>
      <c r="G18663" s="3" t="s">
        <v>12485</v>
      </c>
    </row>
    <row r="18664">
      <c r="A18664" s="3" t="s">
        <v>34820</v>
      </c>
      <c r="B18664" s="3" t="s">
        <v>15511</v>
      </c>
      <c r="C18664" s="5" t="s">
        <v>45</v>
      </c>
      <c r="D18664" s="3" t="s">
        <v>221</v>
      </c>
      <c r="E18664" s="3" t="s">
        <v>939</v>
      </c>
      <c r="F18664" s="7">
        <v>46106.573000263124</v>
      </c>
      <c r="G18664" s="3" t="s">
        <v>13032</v>
      </c>
    </row>
    <row r="18665">
      <c r="A18665" s="3" t="s">
        <v>34821</v>
      </c>
      <c r="B18665" s="3" t="s">
        <v>15511</v>
      </c>
      <c r="C18665" s="5" t="s">
        <v>221</v>
      </c>
      <c r="D18665" s="3" t="s">
        <v>614</v>
      </c>
      <c r="E18665" s="3" t="s">
        <v>118</v>
      </c>
      <c r="F18665" s="7">
        <v>46106.57647248534</v>
      </c>
      <c r="G18665" s="3" t="s">
        <v>26882</v>
      </c>
    </row>
    <row r="18666">
      <c r="A18666" s="3" t="s">
        <v>34822</v>
      </c>
      <c r="B18666" s="3" t="s">
        <v>15511</v>
      </c>
      <c r="C18666" s="5" t="s">
        <v>614</v>
      </c>
      <c r="D18666" s="3" t="s">
        <v>206</v>
      </c>
      <c r="E18666" s="3" t="s">
        <v>100</v>
      </c>
      <c r="F18666" s="7">
        <v>46106.57994470757</v>
      </c>
      <c r="G18666" s="3" t="s">
        <v>26884</v>
      </c>
    </row>
    <row r="18667">
      <c r="A18667" s="3" t="s">
        <v>34823</v>
      </c>
      <c r="B18667" s="3" t="s">
        <v>15511</v>
      </c>
      <c r="C18667" s="5" t="s">
        <v>206</v>
      </c>
      <c r="D18667" s="3" t="s">
        <v>68</v>
      </c>
      <c r="E18667" s="3" t="s">
        <v>100</v>
      </c>
      <c r="F18667" s="7">
        <v>46106.58341692979</v>
      </c>
      <c r="G18667" s="3" t="s">
        <v>26886</v>
      </c>
    </row>
    <row r="18668">
      <c r="A18668" s="3" t="s">
        <v>34824</v>
      </c>
      <c r="B18668" s="3" t="s">
        <v>15514</v>
      </c>
      <c r="C18668" s="5" t="s">
        <v>45</v>
      </c>
      <c r="D18668" s="3" t="s">
        <v>221</v>
      </c>
      <c r="E18668" s="3" t="s">
        <v>596</v>
      </c>
      <c r="F18668" s="7">
        <v>46106.64417510854</v>
      </c>
      <c r="G18668" s="3" t="s">
        <v>9956</v>
      </c>
    </row>
    <row r="18669">
      <c r="A18669" s="3" t="s">
        <v>34825</v>
      </c>
      <c r="B18669" s="3" t="s">
        <v>15514</v>
      </c>
      <c r="C18669" s="5" t="s">
        <v>221</v>
      </c>
      <c r="D18669" s="3" t="s">
        <v>614</v>
      </c>
      <c r="E18669" s="3" t="s">
        <v>118</v>
      </c>
      <c r="F18669" s="7">
        <v>46106.647647330756</v>
      </c>
      <c r="G18669" s="3" t="s">
        <v>9960</v>
      </c>
    </row>
    <row r="18670">
      <c r="A18670" s="3" t="s">
        <v>34826</v>
      </c>
      <c r="B18670" s="3" t="s">
        <v>15514</v>
      </c>
      <c r="C18670" s="5" t="s">
        <v>614</v>
      </c>
      <c r="D18670" s="3" t="s">
        <v>206</v>
      </c>
      <c r="E18670" s="3" t="s">
        <v>100</v>
      </c>
      <c r="F18670" s="7">
        <v>46106.65111955298</v>
      </c>
      <c r="G18670" s="3" t="s">
        <v>9963</v>
      </c>
    </row>
    <row r="18671">
      <c r="A18671" s="3" t="s">
        <v>34827</v>
      </c>
      <c r="B18671" s="3" t="s">
        <v>15514</v>
      </c>
      <c r="C18671" s="5" t="s">
        <v>206</v>
      </c>
      <c r="D18671" s="3" t="s">
        <v>68</v>
      </c>
      <c r="E18671" s="3" t="s">
        <v>100</v>
      </c>
      <c r="F18671" s="7">
        <v>46106.6545917752</v>
      </c>
      <c r="G18671" s="3" t="s">
        <v>9966</v>
      </c>
    </row>
    <row r="18672">
      <c r="A18672" s="3" t="s">
        <v>34828</v>
      </c>
      <c r="B18672" s="3" t="s">
        <v>15519</v>
      </c>
      <c r="C18672" s="5" t="s">
        <v>45</v>
      </c>
      <c r="D18672" s="3" t="s">
        <v>221</v>
      </c>
      <c r="E18672" s="3" t="s">
        <v>333</v>
      </c>
      <c r="F18672" s="7">
        <v>46106.71534995395</v>
      </c>
      <c r="G18672" s="3" t="s">
        <v>15842</v>
      </c>
    </row>
    <row r="18673">
      <c r="A18673" s="3" t="s">
        <v>34829</v>
      </c>
      <c r="B18673" s="3" t="s">
        <v>15519</v>
      </c>
      <c r="C18673" s="5" t="s">
        <v>221</v>
      </c>
      <c r="D18673" s="3" t="s">
        <v>614</v>
      </c>
      <c r="E18673" s="3" t="s">
        <v>118</v>
      </c>
      <c r="F18673" s="7">
        <v>46106.71882217617</v>
      </c>
      <c r="G18673" s="3" t="s">
        <v>15845</v>
      </c>
    </row>
    <row r="18674">
      <c r="A18674" s="3" t="s">
        <v>34830</v>
      </c>
      <c r="B18674" s="3" t="s">
        <v>15519</v>
      </c>
      <c r="C18674" s="5" t="s">
        <v>614</v>
      </c>
      <c r="D18674" s="3" t="s">
        <v>206</v>
      </c>
      <c r="E18674" s="3" t="s">
        <v>100</v>
      </c>
      <c r="F18674" s="7">
        <v>46106.722294398394</v>
      </c>
      <c r="G18674" s="3" t="s">
        <v>15848</v>
      </c>
    </row>
    <row r="18675">
      <c r="A18675" s="3" t="s">
        <v>34831</v>
      </c>
      <c r="B18675" s="3" t="s">
        <v>15519</v>
      </c>
      <c r="C18675" s="5" t="s">
        <v>206</v>
      </c>
      <c r="D18675" s="3" t="s">
        <v>68</v>
      </c>
      <c r="E18675" s="3" t="s">
        <v>100</v>
      </c>
      <c r="F18675" s="7">
        <v>46106.72576662061</v>
      </c>
      <c r="G18675" s="3" t="s">
        <v>15850</v>
      </c>
    </row>
    <row r="18676">
      <c r="A18676" s="3" t="s">
        <v>34832</v>
      </c>
      <c r="B18676" s="3" t="s">
        <v>15522</v>
      </c>
      <c r="C18676" s="5" t="s">
        <v>45</v>
      </c>
      <c r="D18676" s="3" t="s">
        <v>221</v>
      </c>
      <c r="E18676" s="3" t="s">
        <v>746</v>
      </c>
      <c r="F18676" s="7">
        <v>46106.78652479937</v>
      </c>
      <c r="G18676" s="3" t="s">
        <v>27074</v>
      </c>
    </row>
    <row r="18677">
      <c r="A18677" s="3" t="s">
        <v>34833</v>
      </c>
      <c r="B18677" s="3" t="s">
        <v>15522</v>
      </c>
      <c r="C18677" s="5" t="s">
        <v>221</v>
      </c>
      <c r="D18677" s="3" t="s">
        <v>614</v>
      </c>
      <c r="E18677" s="3" t="s">
        <v>118</v>
      </c>
      <c r="F18677" s="7">
        <v>46106.78999702159</v>
      </c>
      <c r="G18677" s="3" t="s">
        <v>27076</v>
      </c>
    </row>
    <row r="18678">
      <c r="A18678" s="3" t="s">
        <v>34834</v>
      </c>
      <c r="B18678" s="3" t="s">
        <v>15522</v>
      </c>
      <c r="C18678" s="5" t="s">
        <v>614</v>
      </c>
      <c r="D18678" s="3" t="s">
        <v>206</v>
      </c>
      <c r="E18678" s="3" t="s">
        <v>100</v>
      </c>
      <c r="F18678" s="7">
        <v>46106.793469243814</v>
      </c>
      <c r="G18678" s="3" t="s">
        <v>27078</v>
      </c>
    </row>
    <row r="18679">
      <c r="A18679" s="3" t="s">
        <v>34835</v>
      </c>
      <c r="B18679" s="3" t="s">
        <v>15522</v>
      </c>
      <c r="C18679" s="5" t="s">
        <v>206</v>
      </c>
      <c r="D18679" s="3" t="s">
        <v>68</v>
      </c>
      <c r="E18679" s="3" t="s">
        <v>100</v>
      </c>
      <c r="F18679" s="7">
        <v>46106.79694146603</v>
      </c>
      <c r="G18679" s="3" t="s">
        <v>27080</v>
      </c>
    </row>
    <row r="18680">
      <c r="A18680" s="3" t="s">
        <v>34836</v>
      </c>
      <c r="B18680" s="3" t="s">
        <v>15525</v>
      </c>
      <c r="C18680" s="5" t="s">
        <v>45</v>
      </c>
      <c r="D18680" s="3" t="s">
        <v>221</v>
      </c>
      <c r="E18680" s="3" t="s">
        <v>789</v>
      </c>
      <c r="F18680" s="7">
        <v>46106.85769964478</v>
      </c>
      <c r="G18680" s="3" t="s">
        <v>19383</v>
      </c>
    </row>
    <row r="18681">
      <c r="A18681" s="3" t="s">
        <v>34837</v>
      </c>
      <c r="B18681" s="3" t="s">
        <v>15525</v>
      </c>
      <c r="C18681" s="5" t="s">
        <v>221</v>
      </c>
      <c r="D18681" s="3" t="s">
        <v>614</v>
      </c>
      <c r="E18681" s="3" t="s">
        <v>118</v>
      </c>
      <c r="F18681" s="7">
        <v>46106.861171867</v>
      </c>
      <c r="G18681" s="3" t="s">
        <v>19386</v>
      </c>
    </row>
    <row r="18682">
      <c r="A18682" s="3" t="s">
        <v>34838</v>
      </c>
      <c r="B18682" s="3" t="s">
        <v>15525</v>
      </c>
      <c r="C18682" s="5" t="s">
        <v>614</v>
      </c>
      <c r="D18682" s="3" t="s">
        <v>206</v>
      </c>
      <c r="E18682" s="3" t="s">
        <v>100</v>
      </c>
      <c r="F18682" s="7">
        <v>46106.864644089226</v>
      </c>
      <c r="G18682" s="3" t="s">
        <v>19389</v>
      </c>
    </row>
    <row r="18683">
      <c r="A18683" s="3" t="s">
        <v>34839</v>
      </c>
      <c r="B18683" s="3" t="s">
        <v>15525</v>
      </c>
      <c r="C18683" s="5" t="s">
        <v>206</v>
      </c>
      <c r="D18683" s="3" t="s">
        <v>68</v>
      </c>
      <c r="E18683" s="3" t="s">
        <v>100</v>
      </c>
      <c r="F18683" s="7">
        <v>46106.868116311445</v>
      </c>
      <c r="G18683" s="3" t="s">
        <v>19391</v>
      </c>
    </row>
    <row r="18684">
      <c r="A18684" s="3" t="s">
        <v>34840</v>
      </c>
      <c r="B18684" s="3" t="s">
        <v>15529</v>
      </c>
      <c r="C18684" s="5" t="s">
        <v>45</v>
      </c>
      <c r="D18684" s="3" t="s">
        <v>221</v>
      </c>
      <c r="E18684" s="3" t="s">
        <v>826</v>
      </c>
      <c r="F18684" s="7">
        <v>46106.92887449019</v>
      </c>
      <c r="G18684" s="3" t="s">
        <v>12725</v>
      </c>
    </row>
    <row r="18685">
      <c r="A18685" s="3" t="s">
        <v>34841</v>
      </c>
      <c r="B18685" s="3" t="s">
        <v>15529</v>
      </c>
      <c r="C18685" s="5" t="s">
        <v>221</v>
      </c>
      <c r="D18685" s="3" t="s">
        <v>614</v>
      </c>
      <c r="E18685" s="3" t="s">
        <v>118</v>
      </c>
      <c r="F18685" s="7">
        <v>46106.93234671241</v>
      </c>
      <c r="G18685" s="3" t="s">
        <v>12728</v>
      </c>
    </row>
    <row r="18686">
      <c r="A18686" s="3" t="s">
        <v>34842</v>
      </c>
      <c r="B18686" s="3" t="s">
        <v>15529</v>
      </c>
      <c r="C18686" s="5" t="s">
        <v>614</v>
      </c>
      <c r="D18686" s="3" t="s">
        <v>206</v>
      </c>
      <c r="E18686" s="3" t="s">
        <v>100</v>
      </c>
      <c r="F18686" s="7">
        <v>46106.93581893464</v>
      </c>
      <c r="G18686" s="3" t="s">
        <v>12732</v>
      </c>
    </row>
    <row r="18687">
      <c r="A18687" s="3" t="s">
        <v>34843</v>
      </c>
      <c r="B18687" s="3" t="s">
        <v>15529</v>
      </c>
      <c r="C18687" s="5" t="s">
        <v>206</v>
      </c>
      <c r="D18687" s="3" t="s">
        <v>68</v>
      </c>
      <c r="E18687" s="3" t="s">
        <v>100</v>
      </c>
      <c r="F18687" s="7">
        <v>46106.93929115686</v>
      </c>
      <c r="G18687" s="3" t="s">
        <v>12735</v>
      </c>
    </row>
    <row r="18688">
      <c r="A18688" s="3" t="s">
        <v>34844</v>
      </c>
      <c r="B18688" s="3" t="s">
        <v>15533</v>
      </c>
      <c r="C18688" s="5" t="s">
        <v>45</v>
      </c>
      <c r="D18688" s="3" t="s">
        <v>221</v>
      </c>
      <c r="E18688" s="3" t="s">
        <v>672</v>
      </c>
      <c r="F18688" s="7">
        <v>46107.00004933561</v>
      </c>
      <c r="G18688" s="3" t="s">
        <v>2770</v>
      </c>
    </row>
    <row r="18689">
      <c r="A18689" s="3" t="s">
        <v>34845</v>
      </c>
      <c r="B18689" s="3" t="s">
        <v>15533</v>
      </c>
      <c r="C18689" s="5" t="s">
        <v>221</v>
      </c>
      <c r="D18689" s="3" t="s">
        <v>181</v>
      </c>
      <c r="E18689" s="3" t="s">
        <v>118</v>
      </c>
      <c r="F18689" s="7">
        <v>46107.00352155783</v>
      </c>
      <c r="G18689" s="3" t="s">
        <v>2774</v>
      </c>
    </row>
    <row r="18690">
      <c r="A18690" s="3" t="s">
        <v>34846</v>
      </c>
      <c r="B18690" s="3" t="s">
        <v>15536</v>
      </c>
      <c r="C18690" s="5" t="s">
        <v>45</v>
      </c>
      <c r="D18690" s="3" t="s">
        <v>221</v>
      </c>
      <c r="E18690" s="3" t="s">
        <v>616</v>
      </c>
      <c r="F18690" s="7">
        <v>46107.07122418103</v>
      </c>
      <c r="G18690" s="3" t="s">
        <v>7697</v>
      </c>
    </row>
    <row r="18691">
      <c r="A18691" s="3" t="s">
        <v>34847</v>
      </c>
      <c r="B18691" s="3" t="s">
        <v>15536</v>
      </c>
      <c r="C18691" s="5" t="s">
        <v>221</v>
      </c>
      <c r="D18691" s="3" t="s">
        <v>614</v>
      </c>
      <c r="E18691" s="3" t="s">
        <v>118</v>
      </c>
      <c r="F18691" s="7">
        <v>46107.07469640325</v>
      </c>
      <c r="G18691" s="3" t="s">
        <v>7700</v>
      </c>
    </row>
    <row r="18692">
      <c r="A18692" s="3" t="s">
        <v>34848</v>
      </c>
      <c r="B18692" s="3" t="s">
        <v>15536</v>
      </c>
      <c r="C18692" s="5" t="s">
        <v>614</v>
      </c>
      <c r="D18692" s="3" t="s">
        <v>206</v>
      </c>
      <c r="E18692" s="3" t="s">
        <v>100</v>
      </c>
      <c r="F18692" s="7">
        <v>46107.07816862548</v>
      </c>
      <c r="G18692" s="3" t="s">
        <v>7703</v>
      </c>
    </row>
    <row r="18693">
      <c r="A18693" s="3" t="s">
        <v>34849</v>
      </c>
      <c r="B18693" s="3" t="s">
        <v>15536</v>
      </c>
      <c r="C18693" s="5" t="s">
        <v>206</v>
      </c>
      <c r="D18693" s="3" t="s">
        <v>68</v>
      </c>
      <c r="E18693" s="3" t="s">
        <v>100</v>
      </c>
      <c r="F18693" s="7">
        <v>46107.0816408477</v>
      </c>
      <c r="G18693" s="3" t="s">
        <v>7706</v>
      </c>
    </row>
    <row r="18694">
      <c r="A18694" s="3" t="s">
        <v>34850</v>
      </c>
      <c r="B18694" s="3" t="s">
        <v>15539</v>
      </c>
      <c r="C18694" s="5" t="s">
        <v>45</v>
      </c>
      <c r="D18694" s="3" t="s">
        <v>221</v>
      </c>
      <c r="E18694" s="3" t="s">
        <v>406</v>
      </c>
      <c r="F18694" s="7">
        <v>46107.14239902644</v>
      </c>
      <c r="G18694" s="3" t="s">
        <v>12750</v>
      </c>
    </row>
    <row r="18695">
      <c r="A18695" s="3" t="s">
        <v>34851</v>
      </c>
      <c r="B18695" s="3" t="s">
        <v>15539</v>
      </c>
      <c r="C18695" s="5" t="s">
        <v>221</v>
      </c>
      <c r="D18695" s="3" t="s">
        <v>614</v>
      </c>
      <c r="E18695" s="3" t="s">
        <v>118</v>
      </c>
      <c r="F18695" s="7">
        <v>46107.14587124866</v>
      </c>
      <c r="G18695" s="3" t="s">
        <v>12753</v>
      </c>
    </row>
    <row r="18696">
      <c r="A18696" s="3" t="s">
        <v>34852</v>
      </c>
      <c r="B18696" s="3" t="s">
        <v>15539</v>
      </c>
      <c r="C18696" s="5" t="s">
        <v>614</v>
      </c>
      <c r="D18696" s="3" t="s">
        <v>206</v>
      </c>
      <c r="E18696" s="3" t="s">
        <v>100</v>
      </c>
      <c r="F18696" s="7">
        <v>46107.14934347088</v>
      </c>
      <c r="G18696" s="3" t="s">
        <v>12755</v>
      </c>
    </row>
    <row r="18697">
      <c r="A18697" s="3" t="s">
        <v>34853</v>
      </c>
      <c r="B18697" s="3" t="s">
        <v>15539</v>
      </c>
      <c r="C18697" s="5" t="s">
        <v>206</v>
      </c>
      <c r="D18697" s="3" t="s">
        <v>68</v>
      </c>
      <c r="E18697" s="3" t="s">
        <v>100</v>
      </c>
      <c r="F18697" s="7">
        <v>46107.1528156931</v>
      </c>
      <c r="G18697" s="3" t="s">
        <v>12758</v>
      </c>
    </row>
    <row r="18698">
      <c r="A18698" s="3" t="s">
        <v>34854</v>
      </c>
      <c r="B18698" s="3" t="s">
        <v>15542</v>
      </c>
      <c r="C18698" s="5" t="s">
        <v>45</v>
      </c>
      <c r="D18698" s="3" t="s">
        <v>221</v>
      </c>
      <c r="E18698" s="3" t="s">
        <v>926</v>
      </c>
      <c r="F18698" s="7">
        <v>46107.21357387186</v>
      </c>
      <c r="G18698" s="3" t="s">
        <v>28794</v>
      </c>
    </row>
    <row r="18699">
      <c r="A18699" s="3" t="s">
        <v>34855</v>
      </c>
      <c r="B18699" s="3" t="s">
        <v>15542</v>
      </c>
      <c r="C18699" s="5" t="s">
        <v>221</v>
      </c>
      <c r="D18699" s="3" t="s">
        <v>181</v>
      </c>
      <c r="E18699" s="3" t="s">
        <v>118</v>
      </c>
      <c r="F18699" s="7">
        <v>46107.217046094076</v>
      </c>
      <c r="G18699" s="3" t="s">
        <v>34856</v>
      </c>
    </row>
    <row r="18700">
      <c r="A18700" s="3" t="s">
        <v>34857</v>
      </c>
      <c r="B18700" s="3" t="s">
        <v>15545</v>
      </c>
      <c r="C18700" s="5" t="s">
        <v>45</v>
      </c>
      <c r="D18700" s="3" t="s">
        <v>221</v>
      </c>
      <c r="E18700" s="3" t="s">
        <v>123</v>
      </c>
      <c r="F18700" s="7">
        <v>46107.28474871727</v>
      </c>
      <c r="G18700" s="3" t="s">
        <v>24877</v>
      </c>
    </row>
    <row r="18701">
      <c r="A18701" s="3" t="s">
        <v>34858</v>
      </c>
      <c r="B18701" s="3" t="s">
        <v>15545</v>
      </c>
      <c r="C18701" s="5" t="s">
        <v>221</v>
      </c>
      <c r="D18701" s="3" t="s">
        <v>614</v>
      </c>
      <c r="E18701" s="3" t="s">
        <v>118</v>
      </c>
      <c r="F18701" s="7">
        <v>46107.28822093949</v>
      </c>
      <c r="G18701" s="3" t="s">
        <v>24879</v>
      </c>
    </row>
    <row r="18702">
      <c r="A18702" s="3" t="s">
        <v>34859</v>
      </c>
      <c r="B18702" s="3" t="s">
        <v>15545</v>
      </c>
      <c r="C18702" s="5" t="s">
        <v>614</v>
      </c>
      <c r="D18702" s="3" t="s">
        <v>206</v>
      </c>
      <c r="E18702" s="3" t="s">
        <v>100</v>
      </c>
      <c r="F18702" s="7">
        <v>46107.291693161715</v>
      </c>
      <c r="G18702" s="3" t="s">
        <v>24881</v>
      </c>
    </row>
    <row r="18703">
      <c r="A18703" s="3" t="s">
        <v>34860</v>
      </c>
      <c r="B18703" s="3" t="s">
        <v>15545</v>
      </c>
      <c r="C18703" s="5" t="s">
        <v>206</v>
      </c>
      <c r="D18703" s="3" t="s">
        <v>68</v>
      </c>
      <c r="E18703" s="3" t="s">
        <v>100</v>
      </c>
      <c r="F18703" s="7">
        <v>46107.29516538393</v>
      </c>
      <c r="G18703" s="3" t="s">
        <v>24883</v>
      </c>
    </row>
    <row r="18704">
      <c r="A18704" s="3" t="s">
        <v>34861</v>
      </c>
      <c r="B18704" s="3" t="s">
        <v>15547</v>
      </c>
      <c r="C18704" s="5" t="s">
        <v>45</v>
      </c>
      <c r="D18704" s="3" t="s">
        <v>221</v>
      </c>
      <c r="E18704" s="3" t="s">
        <v>565</v>
      </c>
      <c r="F18704" s="7">
        <v>46107.35592356269</v>
      </c>
      <c r="G18704" s="3" t="s">
        <v>12793</v>
      </c>
    </row>
    <row r="18705">
      <c r="A18705" s="3" t="s">
        <v>34862</v>
      </c>
      <c r="B18705" s="3" t="s">
        <v>15547</v>
      </c>
      <c r="C18705" s="5" t="s">
        <v>221</v>
      </c>
      <c r="D18705" s="3" t="s">
        <v>614</v>
      </c>
      <c r="E18705" s="3" t="s">
        <v>118</v>
      </c>
      <c r="F18705" s="7">
        <v>46107.35939578491</v>
      </c>
      <c r="G18705" s="3" t="s">
        <v>12796</v>
      </c>
    </row>
    <row r="18706">
      <c r="A18706" s="3" t="s">
        <v>34863</v>
      </c>
      <c r="B18706" s="3" t="s">
        <v>15547</v>
      </c>
      <c r="C18706" s="5" t="s">
        <v>614</v>
      </c>
      <c r="D18706" s="3" t="s">
        <v>206</v>
      </c>
      <c r="E18706" s="3" t="s">
        <v>100</v>
      </c>
      <c r="F18706" s="7">
        <v>46107.362868007134</v>
      </c>
      <c r="G18706" s="3" t="s">
        <v>12798</v>
      </c>
    </row>
    <row r="18707">
      <c r="A18707" s="3" t="s">
        <v>34864</v>
      </c>
      <c r="B18707" s="3" t="s">
        <v>15547</v>
      </c>
      <c r="C18707" s="5" t="s">
        <v>206</v>
      </c>
      <c r="D18707" s="3" t="s">
        <v>68</v>
      </c>
      <c r="E18707" s="3" t="s">
        <v>100</v>
      </c>
      <c r="F18707" s="7">
        <v>46107.36634022935</v>
      </c>
      <c r="G18707" s="3" t="s">
        <v>12801</v>
      </c>
    </row>
    <row r="18708">
      <c r="A18708" s="3" t="s">
        <v>34865</v>
      </c>
      <c r="B18708" s="3" t="s">
        <v>15549</v>
      </c>
      <c r="C18708" s="5" t="s">
        <v>45</v>
      </c>
      <c r="D18708" s="3" t="s">
        <v>221</v>
      </c>
      <c r="E18708" s="3" t="s">
        <v>485</v>
      </c>
      <c r="F18708" s="7">
        <v>46107.4270984081</v>
      </c>
      <c r="G18708" s="3" t="s">
        <v>11801</v>
      </c>
    </row>
    <row r="18709">
      <c r="A18709" s="3" t="s">
        <v>34866</v>
      </c>
      <c r="B18709" s="3" t="s">
        <v>15549</v>
      </c>
      <c r="C18709" s="5" t="s">
        <v>221</v>
      </c>
      <c r="D18709" s="3" t="s">
        <v>614</v>
      </c>
      <c r="E18709" s="3" t="s">
        <v>118</v>
      </c>
      <c r="F18709" s="7">
        <v>46107.43057063032</v>
      </c>
      <c r="G18709" s="3" t="s">
        <v>11804</v>
      </c>
    </row>
    <row r="18710">
      <c r="A18710" s="3" t="s">
        <v>34867</v>
      </c>
      <c r="B18710" s="3" t="s">
        <v>15549</v>
      </c>
      <c r="C18710" s="5" t="s">
        <v>614</v>
      </c>
      <c r="D18710" s="3" t="s">
        <v>206</v>
      </c>
      <c r="E18710" s="3" t="s">
        <v>100</v>
      </c>
      <c r="F18710" s="7">
        <v>46107.43404285255</v>
      </c>
      <c r="G18710" s="3" t="s">
        <v>11807</v>
      </c>
    </row>
    <row r="18711">
      <c r="A18711" s="3" t="s">
        <v>34868</v>
      </c>
      <c r="B18711" s="3" t="s">
        <v>15549</v>
      </c>
      <c r="C18711" s="5" t="s">
        <v>206</v>
      </c>
      <c r="D18711" s="3" t="s">
        <v>68</v>
      </c>
      <c r="E18711" s="3" t="s">
        <v>100</v>
      </c>
      <c r="F18711" s="7">
        <v>46107.437515074766</v>
      </c>
      <c r="G18711" s="3" t="s">
        <v>11810</v>
      </c>
    </row>
    <row r="18712">
      <c r="A18712" s="3" t="s">
        <v>34869</v>
      </c>
      <c r="B18712" s="3" t="s">
        <v>15551</v>
      </c>
      <c r="C18712" s="5" t="s">
        <v>45</v>
      </c>
      <c r="D18712" s="3" t="s">
        <v>221</v>
      </c>
      <c r="E18712" s="3" t="s">
        <v>662</v>
      </c>
      <c r="F18712" s="7">
        <v>46107.49827325352</v>
      </c>
      <c r="G18712" s="3" t="s">
        <v>30398</v>
      </c>
    </row>
    <row r="18713">
      <c r="A18713" s="3" t="s">
        <v>34870</v>
      </c>
      <c r="B18713" s="3" t="s">
        <v>15551</v>
      </c>
      <c r="C18713" s="5" t="s">
        <v>221</v>
      </c>
      <c r="D18713" s="3" t="s">
        <v>614</v>
      </c>
      <c r="E18713" s="3" t="s">
        <v>118</v>
      </c>
      <c r="F18713" s="7">
        <v>46107.50174547574</v>
      </c>
      <c r="G18713" s="3" t="s">
        <v>30400</v>
      </c>
    </row>
    <row r="18714">
      <c r="A18714" s="3" t="s">
        <v>34871</v>
      </c>
      <c r="B18714" s="3" t="s">
        <v>15551</v>
      </c>
      <c r="C18714" s="5" t="s">
        <v>614</v>
      </c>
      <c r="D18714" s="3" t="s">
        <v>206</v>
      </c>
      <c r="E18714" s="3" t="s">
        <v>100</v>
      </c>
      <c r="F18714" s="7">
        <v>46107.505217697966</v>
      </c>
      <c r="G18714" s="3" t="s">
        <v>30402</v>
      </c>
    </row>
    <row r="18715">
      <c r="A18715" s="3" t="s">
        <v>34872</v>
      </c>
      <c r="B18715" s="3" t="s">
        <v>15551</v>
      </c>
      <c r="C18715" s="5" t="s">
        <v>206</v>
      </c>
      <c r="D18715" s="3" t="s">
        <v>68</v>
      </c>
      <c r="E18715" s="3" t="s">
        <v>100</v>
      </c>
      <c r="F18715" s="7">
        <v>46107.508689920185</v>
      </c>
      <c r="G18715" s="3" t="s">
        <v>30404</v>
      </c>
    </row>
    <row r="18716">
      <c r="A18716" s="3" t="s">
        <v>34873</v>
      </c>
      <c r="B18716" s="3" t="s">
        <v>15553</v>
      </c>
      <c r="C18716" s="5" t="s">
        <v>45</v>
      </c>
      <c r="D18716" s="3" t="s">
        <v>221</v>
      </c>
      <c r="E18716" s="3" t="s">
        <v>1034</v>
      </c>
      <c r="F18716" s="7">
        <v>46107.56944809893</v>
      </c>
      <c r="G18716" s="3" t="s">
        <v>12804</v>
      </c>
    </row>
    <row r="18717">
      <c r="A18717" s="3" t="s">
        <v>34874</v>
      </c>
      <c r="B18717" s="3" t="s">
        <v>15553</v>
      </c>
      <c r="C18717" s="5" t="s">
        <v>221</v>
      </c>
      <c r="D18717" s="3" t="s">
        <v>614</v>
      </c>
      <c r="E18717" s="3" t="s">
        <v>118</v>
      </c>
      <c r="F18717" s="7">
        <v>46107.57292032115</v>
      </c>
      <c r="G18717" s="3" t="s">
        <v>12807</v>
      </c>
    </row>
    <row r="18718">
      <c r="A18718" s="3" t="s">
        <v>34875</v>
      </c>
      <c r="B18718" s="3" t="s">
        <v>15553</v>
      </c>
      <c r="C18718" s="5" t="s">
        <v>614</v>
      </c>
      <c r="D18718" s="3" t="s">
        <v>206</v>
      </c>
      <c r="E18718" s="3" t="s">
        <v>100</v>
      </c>
      <c r="F18718" s="7">
        <v>46107.57639254338</v>
      </c>
      <c r="G18718" s="3" t="s">
        <v>12810</v>
      </c>
    </row>
    <row r="18719">
      <c r="A18719" s="3" t="s">
        <v>34876</v>
      </c>
      <c r="B18719" s="3" t="s">
        <v>15553</v>
      </c>
      <c r="C18719" s="5" t="s">
        <v>206</v>
      </c>
      <c r="D18719" s="3" t="s">
        <v>68</v>
      </c>
      <c r="E18719" s="3" t="s">
        <v>100</v>
      </c>
      <c r="F18719" s="7">
        <v>46107.5798647656</v>
      </c>
      <c r="G18719" s="3" t="s">
        <v>12813</v>
      </c>
    </row>
    <row r="18720">
      <c r="A18720" s="3" t="s">
        <v>34877</v>
      </c>
      <c r="B18720" s="3" t="s">
        <v>15555</v>
      </c>
      <c r="C18720" s="5" t="s">
        <v>45</v>
      </c>
      <c r="D18720" s="3" t="s">
        <v>221</v>
      </c>
      <c r="E18720" s="3" t="s">
        <v>1034</v>
      </c>
      <c r="F18720" s="7">
        <v>46107.640622944346</v>
      </c>
      <c r="G18720" s="3" t="s">
        <v>14107</v>
      </c>
    </row>
    <row r="18721">
      <c r="A18721" s="3" t="s">
        <v>34878</v>
      </c>
      <c r="B18721" s="3" t="s">
        <v>15555</v>
      </c>
      <c r="C18721" s="5" t="s">
        <v>221</v>
      </c>
      <c r="D18721" s="3" t="s">
        <v>614</v>
      </c>
      <c r="E18721" s="3" t="s">
        <v>118</v>
      </c>
      <c r="F18721" s="7">
        <v>46107.644095166565</v>
      </c>
      <c r="G18721" s="3" t="s">
        <v>14110</v>
      </c>
    </row>
    <row r="18722">
      <c r="A18722" s="3" t="s">
        <v>34879</v>
      </c>
      <c r="B18722" s="3" t="s">
        <v>15555</v>
      </c>
      <c r="C18722" s="5" t="s">
        <v>614</v>
      </c>
      <c r="D18722" s="3" t="s">
        <v>206</v>
      </c>
      <c r="E18722" s="3" t="s">
        <v>100</v>
      </c>
      <c r="F18722" s="7">
        <v>46107.64756738879</v>
      </c>
      <c r="G18722" s="3" t="s">
        <v>14112</v>
      </c>
    </row>
    <row r="18723">
      <c r="A18723" s="3" t="s">
        <v>34880</v>
      </c>
      <c r="B18723" s="3" t="s">
        <v>15555</v>
      </c>
      <c r="C18723" s="5" t="s">
        <v>206</v>
      </c>
      <c r="D18723" s="3" t="s">
        <v>68</v>
      </c>
      <c r="E18723" s="3" t="s">
        <v>100</v>
      </c>
      <c r="F18723" s="7">
        <v>46107.65103961101</v>
      </c>
      <c r="G18723" s="3" t="s">
        <v>14115</v>
      </c>
    </row>
    <row r="18724">
      <c r="A18724" s="3" t="s">
        <v>34881</v>
      </c>
      <c r="B18724" s="3" t="s">
        <v>15557</v>
      </c>
      <c r="C18724" s="5" t="s">
        <v>45</v>
      </c>
      <c r="D18724" s="3" t="s">
        <v>221</v>
      </c>
      <c r="E18724" s="3" t="s">
        <v>781</v>
      </c>
      <c r="F18724" s="7">
        <v>46107.711797789765</v>
      </c>
      <c r="G18724" s="3" t="s">
        <v>4353</v>
      </c>
    </row>
    <row r="18725">
      <c r="A18725" s="3" t="s">
        <v>34882</v>
      </c>
      <c r="B18725" s="3" t="s">
        <v>15557</v>
      </c>
      <c r="C18725" s="5" t="s">
        <v>221</v>
      </c>
      <c r="D18725" s="3" t="s">
        <v>614</v>
      </c>
      <c r="E18725" s="3" t="s">
        <v>118</v>
      </c>
      <c r="F18725" s="7">
        <v>46107.715270011984</v>
      </c>
      <c r="G18725" s="3" t="s">
        <v>4356</v>
      </c>
    </row>
    <row r="18726">
      <c r="A18726" s="3" t="s">
        <v>34883</v>
      </c>
      <c r="B18726" s="3" t="s">
        <v>15557</v>
      </c>
      <c r="C18726" s="5" t="s">
        <v>614</v>
      </c>
      <c r="D18726" s="3" t="s">
        <v>206</v>
      </c>
      <c r="E18726" s="3" t="s">
        <v>100</v>
      </c>
      <c r="F18726" s="7">
        <v>46107.71874223421</v>
      </c>
      <c r="G18726" s="3" t="s">
        <v>4359</v>
      </c>
    </row>
    <row r="18727">
      <c r="A18727" s="3" t="s">
        <v>34884</v>
      </c>
      <c r="B18727" s="3" t="s">
        <v>15557</v>
      </c>
      <c r="C18727" s="5" t="s">
        <v>206</v>
      </c>
      <c r="D18727" s="3" t="s">
        <v>68</v>
      </c>
      <c r="E18727" s="3" t="s">
        <v>100</v>
      </c>
      <c r="F18727" s="7">
        <v>46107.72221445643</v>
      </c>
      <c r="G18727" s="3" t="s">
        <v>4362</v>
      </c>
    </row>
    <row r="18728">
      <c r="A18728" s="3" t="s">
        <v>34885</v>
      </c>
      <c r="B18728" s="3" t="s">
        <v>15559</v>
      </c>
      <c r="C18728" s="5" t="s">
        <v>45</v>
      </c>
      <c r="D18728" s="3" t="s">
        <v>221</v>
      </c>
      <c r="E18728" s="3" t="s">
        <v>906</v>
      </c>
      <c r="F18728" s="7">
        <v>46107.78297263518</v>
      </c>
      <c r="G18728" s="3" t="s">
        <v>19222</v>
      </c>
    </row>
    <row r="18729">
      <c r="A18729" s="3" t="s">
        <v>34886</v>
      </c>
      <c r="B18729" s="3" t="s">
        <v>15559</v>
      </c>
      <c r="C18729" s="5" t="s">
        <v>221</v>
      </c>
      <c r="D18729" s="3" t="s">
        <v>614</v>
      </c>
      <c r="E18729" s="3" t="s">
        <v>118</v>
      </c>
      <c r="F18729" s="7">
        <v>46107.7864448574</v>
      </c>
      <c r="G18729" s="3" t="s">
        <v>19224</v>
      </c>
    </row>
    <row r="18730">
      <c r="A18730" s="3" t="s">
        <v>34887</v>
      </c>
      <c r="B18730" s="3" t="s">
        <v>15559</v>
      </c>
      <c r="C18730" s="5" t="s">
        <v>614</v>
      </c>
      <c r="D18730" s="3" t="s">
        <v>206</v>
      </c>
      <c r="E18730" s="3" t="s">
        <v>100</v>
      </c>
      <c r="F18730" s="7">
        <v>46107.78991707962</v>
      </c>
      <c r="G18730" s="3" t="s">
        <v>19227</v>
      </c>
    </row>
    <row r="18731">
      <c r="A18731" s="3" t="s">
        <v>34888</v>
      </c>
      <c r="B18731" s="3" t="s">
        <v>15559</v>
      </c>
      <c r="C18731" s="5" t="s">
        <v>206</v>
      </c>
      <c r="D18731" s="3" t="s">
        <v>68</v>
      </c>
      <c r="E18731" s="3" t="s">
        <v>100</v>
      </c>
      <c r="F18731" s="7">
        <v>46107.79338930184</v>
      </c>
      <c r="G18731" s="3" t="s">
        <v>19230</v>
      </c>
    </row>
    <row r="18732">
      <c r="A18732" s="3" t="s">
        <v>34889</v>
      </c>
      <c r="B18732" s="3" t="s">
        <v>15562</v>
      </c>
      <c r="C18732" s="5" t="s">
        <v>45</v>
      </c>
      <c r="D18732" s="3" t="s">
        <v>221</v>
      </c>
      <c r="E18732" s="3" t="s">
        <v>247</v>
      </c>
      <c r="F18732" s="7">
        <v>46107.85414748059</v>
      </c>
      <c r="G18732" s="3" t="s">
        <v>13159</v>
      </c>
    </row>
    <row r="18733">
      <c r="A18733" s="3" t="s">
        <v>34890</v>
      </c>
      <c r="B18733" s="3" t="s">
        <v>15562</v>
      </c>
      <c r="C18733" s="5" t="s">
        <v>221</v>
      </c>
      <c r="D18733" s="3" t="s">
        <v>614</v>
      </c>
      <c r="E18733" s="3" t="s">
        <v>118</v>
      </c>
      <c r="F18733" s="7">
        <v>46107.85761970281</v>
      </c>
      <c r="G18733" s="3" t="s">
        <v>13163</v>
      </c>
    </row>
    <row r="18734">
      <c r="A18734" s="3" t="s">
        <v>34891</v>
      </c>
      <c r="B18734" s="3" t="s">
        <v>15562</v>
      </c>
      <c r="C18734" s="5" t="s">
        <v>614</v>
      </c>
      <c r="D18734" s="3" t="s">
        <v>206</v>
      </c>
      <c r="E18734" s="3" t="s">
        <v>100</v>
      </c>
      <c r="F18734" s="7">
        <v>46107.861091925035</v>
      </c>
      <c r="G18734" s="3" t="s">
        <v>13166</v>
      </c>
    </row>
    <row r="18735">
      <c r="A18735" s="3" t="s">
        <v>34892</v>
      </c>
      <c r="B18735" s="3" t="s">
        <v>15562</v>
      </c>
      <c r="C18735" s="5" t="s">
        <v>206</v>
      </c>
      <c r="D18735" s="3" t="s">
        <v>68</v>
      </c>
      <c r="E18735" s="3" t="s">
        <v>100</v>
      </c>
      <c r="F18735" s="7">
        <v>46107.864564147254</v>
      </c>
      <c r="G18735" s="3" t="s">
        <v>13170</v>
      </c>
    </row>
    <row r="18736">
      <c r="A18736" s="3" t="s">
        <v>34893</v>
      </c>
      <c r="B18736" s="3" t="s">
        <v>15564</v>
      </c>
      <c r="C18736" s="5" t="s">
        <v>45</v>
      </c>
      <c r="D18736" s="3" t="s">
        <v>221</v>
      </c>
      <c r="E18736" s="3" t="s">
        <v>998</v>
      </c>
      <c r="F18736" s="7">
        <v>46107.92532232601</v>
      </c>
      <c r="G18736" s="3" t="s">
        <v>26583</v>
      </c>
    </row>
    <row r="18737">
      <c r="A18737" s="3" t="s">
        <v>34894</v>
      </c>
      <c r="B18737" s="3" t="s">
        <v>15564</v>
      </c>
      <c r="C18737" s="5" t="s">
        <v>221</v>
      </c>
      <c r="D18737" s="3" t="s">
        <v>614</v>
      </c>
      <c r="E18737" s="3" t="s">
        <v>118</v>
      </c>
      <c r="F18737" s="7">
        <v>46107.92879454823</v>
      </c>
      <c r="G18737" s="3" t="s">
        <v>26585</v>
      </c>
    </row>
    <row r="18738">
      <c r="A18738" s="3" t="s">
        <v>34895</v>
      </c>
      <c r="B18738" s="3" t="s">
        <v>15564</v>
      </c>
      <c r="C18738" s="5" t="s">
        <v>614</v>
      </c>
      <c r="D18738" s="3" t="s">
        <v>206</v>
      </c>
      <c r="E18738" s="3" t="s">
        <v>100</v>
      </c>
      <c r="F18738" s="7">
        <v>46107.932266770455</v>
      </c>
      <c r="G18738" s="3" t="s">
        <v>26587</v>
      </c>
    </row>
    <row r="18739">
      <c r="A18739" s="3" t="s">
        <v>34896</v>
      </c>
      <c r="B18739" s="3" t="s">
        <v>15564</v>
      </c>
      <c r="C18739" s="5" t="s">
        <v>206</v>
      </c>
      <c r="D18739" s="3" t="s">
        <v>68</v>
      </c>
      <c r="E18739" s="3" t="s">
        <v>100</v>
      </c>
      <c r="F18739" s="7">
        <v>46107.93573899267</v>
      </c>
      <c r="G18739" s="3" t="s">
        <v>26589</v>
      </c>
    </row>
    <row r="18740">
      <c r="A18740" s="3" t="s">
        <v>34897</v>
      </c>
      <c r="B18740" s="3" t="s">
        <v>15567</v>
      </c>
      <c r="C18740" s="5" t="s">
        <v>45</v>
      </c>
      <c r="D18740" s="3" t="s">
        <v>221</v>
      </c>
      <c r="E18740" s="3" t="s">
        <v>468</v>
      </c>
      <c r="F18740" s="7">
        <v>46107.99649717142</v>
      </c>
      <c r="G18740" s="3" t="s">
        <v>12252</v>
      </c>
    </row>
    <row r="18741">
      <c r="A18741" s="3" t="s">
        <v>34898</v>
      </c>
      <c r="B18741" s="3" t="s">
        <v>15567</v>
      </c>
      <c r="C18741" s="5" t="s">
        <v>221</v>
      </c>
      <c r="D18741" s="3" t="s">
        <v>614</v>
      </c>
      <c r="E18741" s="3" t="s">
        <v>118</v>
      </c>
      <c r="F18741" s="7">
        <v>46107.99996939364</v>
      </c>
      <c r="G18741" s="3" t="s">
        <v>12255</v>
      </c>
    </row>
    <row r="18742">
      <c r="A18742" s="3" t="s">
        <v>34899</v>
      </c>
      <c r="B18742" s="3" t="s">
        <v>15567</v>
      </c>
      <c r="C18742" s="5" t="s">
        <v>614</v>
      </c>
      <c r="D18742" s="3" t="s">
        <v>206</v>
      </c>
      <c r="E18742" s="3" t="s">
        <v>100</v>
      </c>
      <c r="F18742" s="7">
        <v>46108.00344161587</v>
      </c>
      <c r="G18742" s="3" t="s">
        <v>12259</v>
      </c>
    </row>
    <row r="18743">
      <c r="A18743" s="3" t="s">
        <v>34900</v>
      </c>
      <c r="B18743" s="3" t="s">
        <v>15567</v>
      </c>
      <c r="C18743" s="5" t="s">
        <v>206</v>
      </c>
      <c r="D18743" s="3" t="s">
        <v>68</v>
      </c>
      <c r="E18743" s="3" t="s">
        <v>100</v>
      </c>
      <c r="F18743" s="7">
        <v>46108.006913838086</v>
      </c>
      <c r="G18743" s="3" t="s">
        <v>12262</v>
      </c>
    </row>
    <row r="18744">
      <c r="A18744" s="3" t="s">
        <v>34901</v>
      </c>
      <c r="B18744" s="3" t="s">
        <v>15571</v>
      </c>
      <c r="C18744" s="5" t="s">
        <v>45</v>
      </c>
      <c r="D18744" s="3" t="s">
        <v>221</v>
      </c>
      <c r="E18744" s="3" t="s">
        <v>822</v>
      </c>
      <c r="F18744" s="7">
        <v>46108.067672016834</v>
      </c>
      <c r="G18744" s="3" t="s">
        <v>10611</v>
      </c>
    </row>
    <row r="18745">
      <c r="A18745" s="3" t="s">
        <v>34902</v>
      </c>
      <c r="B18745" s="3" t="s">
        <v>15571</v>
      </c>
      <c r="C18745" s="5" t="s">
        <v>221</v>
      </c>
      <c r="D18745" s="3" t="s">
        <v>614</v>
      </c>
      <c r="E18745" s="3" t="s">
        <v>118</v>
      </c>
      <c r="F18745" s="7">
        <v>46108.07114423905</v>
      </c>
      <c r="G18745" s="3" t="s">
        <v>10614</v>
      </c>
    </row>
    <row r="18746">
      <c r="A18746" s="3" t="s">
        <v>34903</v>
      </c>
      <c r="B18746" s="3" t="s">
        <v>15571</v>
      </c>
      <c r="C18746" s="5" t="s">
        <v>614</v>
      </c>
      <c r="D18746" s="3" t="s">
        <v>206</v>
      </c>
      <c r="E18746" s="3" t="s">
        <v>100</v>
      </c>
      <c r="F18746" s="7">
        <v>46108.07461646128</v>
      </c>
      <c r="G18746" s="3" t="s">
        <v>10617</v>
      </c>
    </row>
    <row r="18747">
      <c r="A18747" s="3" t="s">
        <v>34904</v>
      </c>
      <c r="B18747" s="3" t="s">
        <v>15571</v>
      </c>
      <c r="C18747" s="5" t="s">
        <v>206</v>
      </c>
      <c r="D18747" s="3" t="s">
        <v>68</v>
      </c>
      <c r="E18747" s="3" t="s">
        <v>100</v>
      </c>
      <c r="F18747" s="7">
        <v>46108.0780886835</v>
      </c>
      <c r="G18747" s="3" t="s">
        <v>10620</v>
      </c>
    </row>
    <row r="18748">
      <c r="A18748" s="3" t="s">
        <v>34905</v>
      </c>
      <c r="B18748" s="3" t="s">
        <v>15575</v>
      </c>
      <c r="C18748" s="5" t="s">
        <v>45</v>
      </c>
      <c r="D18748" s="3" t="s">
        <v>221</v>
      </c>
      <c r="E18748" s="3" t="s">
        <v>848</v>
      </c>
      <c r="F18748" s="7">
        <v>46108.13884686225</v>
      </c>
      <c r="G18748" s="3" t="s">
        <v>11404</v>
      </c>
    </row>
    <row r="18749">
      <c r="A18749" s="3" t="s">
        <v>34906</v>
      </c>
      <c r="B18749" s="3" t="s">
        <v>15575</v>
      </c>
      <c r="C18749" s="5" t="s">
        <v>221</v>
      </c>
      <c r="D18749" s="3" t="s">
        <v>614</v>
      </c>
      <c r="E18749" s="3" t="s">
        <v>118</v>
      </c>
      <c r="F18749" s="7">
        <v>46108.14231908447</v>
      </c>
      <c r="G18749" s="3" t="s">
        <v>11407</v>
      </c>
    </row>
    <row r="18750">
      <c r="A18750" s="3" t="s">
        <v>34907</v>
      </c>
      <c r="B18750" s="3" t="s">
        <v>15575</v>
      </c>
      <c r="C18750" s="5" t="s">
        <v>614</v>
      </c>
      <c r="D18750" s="3" t="s">
        <v>206</v>
      </c>
      <c r="E18750" s="3" t="s">
        <v>100</v>
      </c>
      <c r="F18750" s="7">
        <v>46108.1457913067</v>
      </c>
      <c r="G18750" s="3" t="s">
        <v>11410</v>
      </c>
    </row>
    <row r="18751">
      <c r="A18751" s="3" t="s">
        <v>34908</v>
      </c>
      <c r="B18751" s="3" t="s">
        <v>15575</v>
      </c>
      <c r="C18751" s="5" t="s">
        <v>206</v>
      </c>
      <c r="D18751" s="3" t="s">
        <v>68</v>
      </c>
      <c r="E18751" s="3" t="s">
        <v>100</v>
      </c>
      <c r="F18751" s="7">
        <v>46108.14926352892</v>
      </c>
      <c r="G18751" s="3" t="s">
        <v>11413</v>
      </c>
    </row>
    <row r="18752">
      <c r="A18752" s="3" t="s">
        <v>34909</v>
      </c>
      <c r="B18752" s="3" t="s">
        <v>15577</v>
      </c>
      <c r="C18752" s="5" t="s">
        <v>45</v>
      </c>
      <c r="D18752" s="3" t="s">
        <v>221</v>
      </c>
      <c r="E18752" s="3" t="s">
        <v>391</v>
      </c>
      <c r="F18752" s="7">
        <v>46108.21002170767</v>
      </c>
      <c r="G18752" s="3" t="s">
        <v>12861</v>
      </c>
    </row>
    <row r="18753">
      <c r="A18753" s="3" t="s">
        <v>34910</v>
      </c>
      <c r="B18753" s="3" t="s">
        <v>15577</v>
      </c>
      <c r="C18753" s="5" t="s">
        <v>221</v>
      </c>
      <c r="D18753" s="3" t="s">
        <v>614</v>
      </c>
      <c r="E18753" s="3" t="s">
        <v>118</v>
      </c>
      <c r="F18753" s="7">
        <v>46108.21349392989</v>
      </c>
      <c r="G18753" s="3" t="s">
        <v>12865</v>
      </c>
    </row>
    <row r="18754">
      <c r="A18754" s="3" t="s">
        <v>34911</v>
      </c>
      <c r="B18754" s="3" t="s">
        <v>15577</v>
      </c>
      <c r="C18754" s="5" t="s">
        <v>614</v>
      </c>
      <c r="D18754" s="3" t="s">
        <v>206</v>
      </c>
      <c r="E18754" s="3" t="s">
        <v>100</v>
      </c>
      <c r="F18754" s="7">
        <v>46108.21696615212</v>
      </c>
      <c r="G18754" s="3" t="s">
        <v>12868</v>
      </c>
    </row>
    <row r="18755">
      <c r="A18755" s="3" t="s">
        <v>34912</v>
      </c>
      <c r="B18755" s="3" t="s">
        <v>15577</v>
      </c>
      <c r="C18755" s="5" t="s">
        <v>206</v>
      </c>
      <c r="D18755" s="3" t="s">
        <v>68</v>
      </c>
      <c r="E18755" s="3" t="s">
        <v>100</v>
      </c>
      <c r="F18755" s="7">
        <v>46108.22043837434</v>
      </c>
      <c r="G18755" s="3" t="s">
        <v>12871</v>
      </c>
    </row>
    <row r="18756">
      <c r="A18756" s="3" t="s">
        <v>34913</v>
      </c>
      <c r="B18756" s="3" t="s">
        <v>15579</v>
      </c>
      <c r="C18756" s="5" t="s">
        <v>45</v>
      </c>
      <c r="D18756" s="3" t="s">
        <v>221</v>
      </c>
      <c r="E18756" s="3" t="s">
        <v>632</v>
      </c>
      <c r="F18756" s="7">
        <v>46108.28119655308</v>
      </c>
      <c r="G18756" s="3" t="s">
        <v>12901</v>
      </c>
    </row>
    <row r="18757">
      <c r="A18757" s="3" t="s">
        <v>34914</v>
      </c>
      <c r="B18757" s="3" t="s">
        <v>15579</v>
      </c>
      <c r="C18757" s="5" t="s">
        <v>221</v>
      </c>
      <c r="D18757" s="3" t="s">
        <v>614</v>
      </c>
      <c r="E18757" s="3" t="s">
        <v>118</v>
      </c>
      <c r="F18757" s="7">
        <v>46108.2846687753</v>
      </c>
      <c r="G18757" s="3" t="s">
        <v>12905</v>
      </c>
    </row>
    <row r="18758">
      <c r="A18758" s="3" t="s">
        <v>34915</v>
      </c>
      <c r="B18758" s="3" t="s">
        <v>15579</v>
      </c>
      <c r="C18758" s="5" t="s">
        <v>614</v>
      </c>
      <c r="D18758" s="3" t="s">
        <v>206</v>
      </c>
      <c r="E18758" s="3" t="s">
        <v>100</v>
      </c>
      <c r="F18758" s="7">
        <v>46108.28814099752</v>
      </c>
      <c r="G18758" s="3" t="s">
        <v>12908</v>
      </c>
    </row>
    <row r="18759">
      <c r="A18759" s="3" t="s">
        <v>34916</v>
      </c>
      <c r="B18759" s="3" t="s">
        <v>15579</v>
      </c>
      <c r="C18759" s="5" t="s">
        <v>206</v>
      </c>
      <c r="D18759" s="3" t="s">
        <v>68</v>
      </c>
      <c r="E18759" s="3" t="s">
        <v>100</v>
      </c>
      <c r="F18759" s="7">
        <v>46108.29161321974</v>
      </c>
      <c r="G18759" s="3" t="s">
        <v>12911</v>
      </c>
    </row>
    <row r="18760">
      <c r="A18760" s="3" t="s">
        <v>34917</v>
      </c>
      <c r="B18760" s="3" t="s">
        <v>15582</v>
      </c>
      <c r="C18760" s="5" t="s">
        <v>45</v>
      </c>
      <c r="D18760" s="3" t="s">
        <v>221</v>
      </c>
      <c r="E18760" s="3" t="s">
        <v>657</v>
      </c>
      <c r="F18760" s="7">
        <v>46108.3523713985</v>
      </c>
      <c r="G18760" s="3" t="s">
        <v>13925</v>
      </c>
    </row>
    <row r="18761">
      <c r="A18761" s="3" t="s">
        <v>34918</v>
      </c>
      <c r="B18761" s="3" t="s">
        <v>15582</v>
      </c>
      <c r="C18761" s="5" t="s">
        <v>221</v>
      </c>
      <c r="D18761" s="3" t="s">
        <v>614</v>
      </c>
      <c r="E18761" s="3" t="s">
        <v>118</v>
      </c>
      <c r="F18761" s="7">
        <v>46108.35584362072</v>
      </c>
      <c r="G18761" s="3" t="s">
        <v>13928</v>
      </c>
    </row>
    <row r="18762">
      <c r="A18762" s="3" t="s">
        <v>34919</v>
      </c>
      <c r="B18762" s="3" t="s">
        <v>15582</v>
      </c>
      <c r="C18762" s="5" t="s">
        <v>614</v>
      </c>
      <c r="D18762" s="3" t="s">
        <v>206</v>
      </c>
      <c r="E18762" s="3" t="s">
        <v>100</v>
      </c>
      <c r="F18762" s="7">
        <v>46108.35931584294</v>
      </c>
      <c r="G18762" s="3" t="s">
        <v>13930</v>
      </c>
    </row>
    <row r="18763">
      <c r="A18763" s="3" t="s">
        <v>34920</v>
      </c>
      <c r="B18763" s="3" t="s">
        <v>15582</v>
      </c>
      <c r="C18763" s="5" t="s">
        <v>206</v>
      </c>
      <c r="D18763" s="3" t="s">
        <v>68</v>
      </c>
      <c r="E18763" s="3" t="s">
        <v>100</v>
      </c>
      <c r="F18763" s="7">
        <v>46108.36278806516</v>
      </c>
      <c r="G18763" s="3" t="s">
        <v>13933</v>
      </c>
    </row>
    <row r="18764">
      <c r="A18764" s="3" t="s">
        <v>34921</v>
      </c>
      <c r="B18764" s="3" t="s">
        <v>15585</v>
      </c>
      <c r="C18764" s="5" t="s">
        <v>45</v>
      </c>
      <c r="D18764" s="3" t="s">
        <v>221</v>
      </c>
      <c r="E18764" s="3" t="s">
        <v>1040</v>
      </c>
      <c r="F18764" s="7">
        <v>46108.42354624392</v>
      </c>
      <c r="G18764" s="3" t="s">
        <v>19125</v>
      </c>
    </row>
    <row r="18765">
      <c r="A18765" s="3" t="s">
        <v>34922</v>
      </c>
      <c r="B18765" s="3" t="s">
        <v>15585</v>
      </c>
      <c r="C18765" s="5" t="s">
        <v>221</v>
      </c>
      <c r="D18765" s="3" t="s">
        <v>614</v>
      </c>
      <c r="E18765" s="3" t="s">
        <v>118</v>
      </c>
      <c r="F18765" s="7">
        <v>46108.427018466136</v>
      </c>
      <c r="G18765" s="3" t="s">
        <v>19128</v>
      </c>
    </row>
    <row r="18766">
      <c r="A18766" s="3" t="s">
        <v>34923</v>
      </c>
      <c r="B18766" s="3" t="s">
        <v>15585</v>
      </c>
      <c r="C18766" s="5" t="s">
        <v>614</v>
      </c>
      <c r="D18766" s="3" t="s">
        <v>206</v>
      </c>
      <c r="E18766" s="3" t="s">
        <v>100</v>
      </c>
      <c r="F18766" s="7">
        <v>46108.43049068836</v>
      </c>
      <c r="G18766" s="3" t="s">
        <v>19131</v>
      </c>
    </row>
    <row r="18767">
      <c r="A18767" s="3" t="s">
        <v>34924</v>
      </c>
      <c r="B18767" s="3" t="s">
        <v>15585</v>
      </c>
      <c r="C18767" s="5" t="s">
        <v>206</v>
      </c>
      <c r="D18767" s="3" t="s">
        <v>68</v>
      </c>
      <c r="E18767" s="3" t="s">
        <v>100</v>
      </c>
      <c r="F18767" s="7">
        <v>46108.43396291058</v>
      </c>
      <c r="G18767" s="3" t="s">
        <v>19134</v>
      </c>
    </row>
    <row r="18768">
      <c r="A18768" s="3" t="s">
        <v>34925</v>
      </c>
      <c r="B18768" s="3" t="s">
        <v>15588</v>
      </c>
      <c r="C18768" s="5" t="s">
        <v>45</v>
      </c>
      <c r="D18768" s="3" t="s">
        <v>221</v>
      </c>
      <c r="E18768" s="3" t="s">
        <v>377</v>
      </c>
      <c r="F18768" s="7">
        <v>46108.49472108933</v>
      </c>
      <c r="G18768" s="3" t="s">
        <v>22255</v>
      </c>
    </row>
    <row r="18769">
      <c r="A18769" s="3" t="s">
        <v>34926</v>
      </c>
      <c r="B18769" s="3" t="s">
        <v>15588</v>
      </c>
      <c r="C18769" s="5" t="s">
        <v>221</v>
      </c>
      <c r="D18769" s="3" t="s">
        <v>614</v>
      </c>
      <c r="E18769" s="3" t="s">
        <v>118</v>
      </c>
      <c r="F18769" s="7">
        <v>46108.49819331155</v>
      </c>
      <c r="G18769" s="3" t="s">
        <v>22258</v>
      </c>
    </row>
    <row r="18770">
      <c r="A18770" s="3" t="s">
        <v>34927</v>
      </c>
      <c r="B18770" s="3" t="s">
        <v>15588</v>
      </c>
      <c r="C18770" s="5" t="s">
        <v>614</v>
      </c>
      <c r="D18770" s="3" t="s">
        <v>206</v>
      </c>
      <c r="E18770" s="3" t="s">
        <v>100</v>
      </c>
      <c r="F18770" s="7">
        <v>46108.501665533775</v>
      </c>
      <c r="G18770" s="3" t="s">
        <v>22260</v>
      </c>
    </row>
    <row r="18771">
      <c r="A18771" s="3" t="s">
        <v>34928</v>
      </c>
      <c r="B18771" s="3" t="s">
        <v>15588</v>
      </c>
      <c r="C18771" s="5" t="s">
        <v>206</v>
      </c>
      <c r="D18771" s="3" t="s">
        <v>68</v>
      </c>
      <c r="E18771" s="3" t="s">
        <v>100</v>
      </c>
      <c r="F18771" s="7">
        <v>46108.505137755994</v>
      </c>
      <c r="G18771" s="3" t="s">
        <v>22263</v>
      </c>
    </row>
    <row r="18772">
      <c r="A18772" s="3" t="s">
        <v>34929</v>
      </c>
      <c r="B18772" s="3" t="s">
        <v>15591</v>
      </c>
      <c r="C18772" s="5" t="s">
        <v>45</v>
      </c>
      <c r="D18772" s="3" t="s">
        <v>221</v>
      </c>
      <c r="E18772" s="3" t="s">
        <v>735</v>
      </c>
      <c r="F18772" s="7">
        <v>46108.56589593474</v>
      </c>
      <c r="G18772" s="3" t="s">
        <v>15923</v>
      </c>
    </row>
    <row r="18773">
      <c r="A18773" s="3" t="s">
        <v>34930</v>
      </c>
      <c r="B18773" s="3" t="s">
        <v>15591</v>
      </c>
      <c r="C18773" s="5" t="s">
        <v>221</v>
      </c>
      <c r="D18773" s="3" t="s">
        <v>195</v>
      </c>
      <c r="E18773" s="3" t="s">
        <v>735</v>
      </c>
      <c r="F18773" s="7">
        <v>46108.56936815696</v>
      </c>
      <c r="G18773" s="3" t="s">
        <v>34931</v>
      </c>
    </row>
    <row r="18774">
      <c r="A18774" s="3" t="s">
        <v>34932</v>
      </c>
      <c r="B18774" s="3" t="s">
        <v>15594</v>
      </c>
      <c r="C18774" s="5" t="s">
        <v>45</v>
      </c>
      <c r="D18774" s="3" t="s">
        <v>221</v>
      </c>
      <c r="E18774" s="3" t="s">
        <v>793</v>
      </c>
      <c r="F18774" s="7">
        <v>46108.63707078016</v>
      </c>
      <c r="G18774" s="3" t="s">
        <v>9616</v>
      </c>
    </row>
    <row r="18775">
      <c r="A18775" s="3" t="s">
        <v>34933</v>
      </c>
      <c r="B18775" s="3" t="s">
        <v>15594</v>
      </c>
      <c r="C18775" s="5" t="s">
        <v>221</v>
      </c>
      <c r="D18775" s="3" t="s">
        <v>614</v>
      </c>
      <c r="E18775" s="3" t="s">
        <v>118</v>
      </c>
      <c r="F18775" s="7">
        <v>46108.64054300238</v>
      </c>
      <c r="G18775" s="3" t="s">
        <v>9619</v>
      </c>
    </row>
    <row r="18776">
      <c r="A18776" s="3" t="s">
        <v>34934</v>
      </c>
      <c r="B18776" s="3" t="s">
        <v>15594</v>
      </c>
      <c r="C18776" s="5" t="s">
        <v>614</v>
      </c>
      <c r="D18776" s="3" t="s">
        <v>206</v>
      </c>
      <c r="E18776" s="3" t="s">
        <v>100</v>
      </c>
      <c r="F18776" s="7">
        <v>46108.64401522461</v>
      </c>
      <c r="G18776" s="3" t="s">
        <v>9622</v>
      </c>
    </row>
    <row r="18777">
      <c r="A18777" s="3" t="s">
        <v>34935</v>
      </c>
      <c r="B18777" s="3" t="s">
        <v>15594</v>
      </c>
      <c r="C18777" s="5" t="s">
        <v>206</v>
      </c>
      <c r="D18777" s="3" t="s">
        <v>68</v>
      </c>
      <c r="E18777" s="3" t="s">
        <v>100</v>
      </c>
      <c r="F18777" s="7">
        <v>46108.647487446826</v>
      </c>
      <c r="G18777" s="3" t="s">
        <v>9625</v>
      </c>
    </row>
    <row r="18778">
      <c r="A18778" s="3" t="s">
        <v>34936</v>
      </c>
      <c r="B18778" s="3" t="s">
        <v>15597</v>
      </c>
      <c r="C18778" s="5" t="s">
        <v>45</v>
      </c>
      <c r="D18778" s="3" t="s">
        <v>221</v>
      </c>
      <c r="E18778" s="3" t="s">
        <v>505</v>
      </c>
      <c r="F18778" s="7">
        <v>46108.708245625574</v>
      </c>
      <c r="G18778" s="3" t="s">
        <v>13001</v>
      </c>
    </row>
    <row r="18779">
      <c r="A18779" s="3" t="s">
        <v>34937</v>
      </c>
      <c r="B18779" s="3" t="s">
        <v>15597</v>
      </c>
      <c r="C18779" s="5" t="s">
        <v>221</v>
      </c>
      <c r="D18779" s="3" t="s">
        <v>614</v>
      </c>
      <c r="E18779" s="3" t="s">
        <v>118</v>
      </c>
      <c r="F18779" s="7">
        <v>46108.71171784779</v>
      </c>
      <c r="G18779" s="3" t="s">
        <v>13005</v>
      </c>
    </row>
    <row r="18780">
      <c r="A18780" s="3" t="s">
        <v>34938</v>
      </c>
      <c r="B18780" s="3" t="s">
        <v>15597</v>
      </c>
      <c r="C18780" s="5" t="s">
        <v>614</v>
      </c>
      <c r="D18780" s="3" t="s">
        <v>206</v>
      </c>
      <c r="E18780" s="3" t="s">
        <v>100</v>
      </c>
      <c r="F18780" s="7">
        <v>46108.71519007002</v>
      </c>
      <c r="G18780" s="3" t="s">
        <v>13008</v>
      </c>
    </row>
    <row r="18781">
      <c r="A18781" s="3" t="s">
        <v>34939</v>
      </c>
      <c r="B18781" s="3" t="s">
        <v>15597</v>
      </c>
      <c r="C18781" s="5" t="s">
        <v>206</v>
      </c>
      <c r="D18781" s="3" t="s">
        <v>68</v>
      </c>
      <c r="E18781" s="3" t="s">
        <v>100</v>
      </c>
      <c r="F18781" s="7">
        <v>46108.71866229224</v>
      </c>
      <c r="G18781" s="3" t="s">
        <v>13011</v>
      </c>
    </row>
    <row r="18782">
      <c r="A18782" s="3" t="s">
        <v>34940</v>
      </c>
      <c r="B18782" s="3" t="s">
        <v>15601</v>
      </c>
      <c r="C18782" s="5" t="s">
        <v>45</v>
      </c>
      <c r="D18782" s="3" t="s">
        <v>221</v>
      </c>
      <c r="E18782" s="3" t="s">
        <v>430</v>
      </c>
      <c r="F18782" s="7">
        <v>46108.779420470986</v>
      </c>
      <c r="G18782" s="3" t="s">
        <v>22947</v>
      </c>
    </row>
    <row r="18783">
      <c r="A18783" s="3" t="s">
        <v>34941</v>
      </c>
      <c r="B18783" s="3" t="s">
        <v>15601</v>
      </c>
      <c r="C18783" s="5" t="s">
        <v>221</v>
      </c>
      <c r="D18783" s="3" t="s">
        <v>614</v>
      </c>
      <c r="E18783" s="3" t="s">
        <v>118</v>
      </c>
      <c r="F18783" s="7">
        <v>46108.782892693205</v>
      </c>
      <c r="G18783" s="3" t="s">
        <v>22950</v>
      </c>
    </row>
    <row r="18784">
      <c r="A18784" s="3" t="s">
        <v>34942</v>
      </c>
      <c r="B18784" s="3" t="s">
        <v>15601</v>
      </c>
      <c r="C18784" s="5" t="s">
        <v>614</v>
      </c>
      <c r="D18784" s="3" t="s">
        <v>206</v>
      </c>
      <c r="E18784" s="3" t="s">
        <v>100</v>
      </c>
      <c r="F18784" s="7">
        <v>46108.78636491543</v>
      </c>
      <c r="G18784" s="3" t="s">
        <v>22953</v>
      </c>
    </row>
    <row r="18785">
      <c r="A18785" s="3" t="s">
        <v>34943</v>
      </c>
      <c r="B18785" s="3" t="s">
        <v>15601</v>
      </c>
      <c r="C18785" s="5" t="s">
        <v>206</v>
      </c>
      <c r="D18785" s="3" t="s">
        <v>68</v>
      </c>
      <c r="E18785" s="3" t="s">
        <v>100</v>
      </c>
      <c r="F18785" s="7">
        <v>46108.78983713765</v>
      </c>
      <c r="G18785" s="3" t="s">
        <v>22956</v>
      </c>
    </row>
    <row r="18786">
      <c r="A18786" s="3" t="s">
        <v>34944</v>
      </c>
      <c r="B18786" s="3" t="s">
        <v>15605</v>
      </c>
      <c r="C18786" s="5" t="s">
        <v>45</v>
      </c>
      <c r="D18786" s="3" t="s">
        <v>221</v>
      </c>
      <c r="E18786" s="3" t="s">
        <v>171</v>
      </c>
      <c r="F18786" s="7">
        <v>46108.850595316406</v>
      </c>
      <c r="G18786" s="3" t="s">
        <v>13962</v>
      </c>
    </row>
    <row r="18787">
      <c r="A18787" s="3" t="s">
        <v>34945</v>
      </c>
      <c r="B18787" s="3" t="s">
        <v>15605</v>
      </c>
      <c r="C18787" s="5" t="s">
        <v>221</v>
      </c>
      <c r="D18787" s="3" t="s">
        <v>195</v>
      </c>
      <c r="E18787" s="3" t="s">
        <v>171</v>
      </c>
      <c r="F18787" s="7">
        <v>46108.854067538625</v>
      </c>
      <c r="G18787" s="3" t="s">
        <v>34946</v>
      </c>
    </row>
    <row r="18788">
      <c r="A18788" s="3" t="s">
        <v>34947</v>
      </c>
      <c r="B18788" s="3" t="s">
        <v>15608</v>
      </c>
      <c r="C18788" s="5" t="s">
        <v>45</v>
      </c>
      <c r="D18788" s="3" t="s">
        <v>221</v>
      </c>
      <c r="E18788" s="3" t="s">
        <v>436</v>
      </c>
      <c r="F18788" s="7">
        <v>46108.92177016182</v>
      </c>
      <c r="G18788" s="3" t="s">
        <v>7732</v>
      </c>
    </row>
    <row r="18789">
      <c r="A18789" s="3" t="s">
        <v>34948</v>
      </c>
      <c r="B18789" s="3" t="s">
        <v>15608</v>
      </c>
      <c r="C18789" s="5" t="s">
        <v>221</v>
      </c>
      <c r="D18789" s="3" t="s">
        <v>614</v>
      </c>
      <c r="E18789" s="3" t="s">
        <v>118</v>
      </c>
      <c r="F18789" s="7">
        <v>46108.92524238404</v>
      </c>
      <c r="G18789" s="3" t="s">
        <v>7735</v>
      </c>
    </row>
    <row r="18790">
      <c r="A18790" s="3" t="s">
        <v>34949</v>
      </c>
      <c r="B18790" s="3" t="s">
        <v>15608</v>
      </c>
      <c r="C18790" s="5" t="s">
        <v>614</v>
      </c>
      <c r="D18790" s="3" t="s">
        <v>206</v>
      </c>
      <c r="E18790" s="3" t="s">
        <v>100</v>
      </c>
      <c r="F18790" s="7">
        <v>46108.92871460626</v>
      </c>
      <c r="G18790" s="3" t="s">
        <v>7738</v>
      </c>
    </row>
    <row r="18791">
      <c r="A18791" s="3" t="s">
        <v>34950</v>
      </c>
      <c r="B18791" s="3" t="s">
        <v>15608</v>
      </c>
      <c r="C18791" s="5" t="s">
        <v>206</v>
      </c>
      <c r="D18791" s="3" t="s">
        <v>68</v>
      </c>
      <c r="E18791" s="3" t="s">
        <v>100</v>
      </c>
      <c r="F18791" s="7">
        <v>46108.93218682848</v>
      </c>
      <c r="G18791" s="3" t="s">
        <v>7741</v>
      </c>
    </row>
    <row r="18792">
      <c r="A18792" s="3" t="s">
        <v>34951</v>
      </c>
      <c r="B18792" s="3" t="s">
        <v>15611</v>
      </c>
      <c r="C18792" s="5" t="s">
        <v>45</v>
      </c>
      <c r="D18792" s="3" t="s">
        <v>221</v>
      </c>
      <c r="E18792" s="3" t="s">
        <v>186</v>
      </c>
      <c r="F18792" s="7">
        <v>46108.99294500723</v>
      </c>
      <c r="G18792" s="3" t="s">
        <v>25401</v>
      </c>
    </row>
    <row r="18793">
      <c r="A18793" s="3" t="s">
        <v>34952</v>
      </c>
      <c r="B18793" s="3" t="s">
        <v>15611</v>
      </c>
      <c r="C18793" s="5" t="s">
        <v>221</v>
      </c>
      <c r="D18793" s="3" t="s">
        <v>614</v>
      </c>
      <c r="E18793" s="3" t="s">
        <v>118</v>
      </c>
      <c r="F18793" s="7">
        <v>46108.99641722945</v>
      </c>
      <c r="G18793" s="3" t="s">
        <v>25403</v>
      </c>
    </row>
    <row r="18794">
      <c r="A18794" s="3" t="s">
        <v>34953</v>
      </c>
      <c r="B18794" s="3" t="s">
        <v>15611</v>
      </c>
      <c r="C18794" s="5" t="s">
        <v>614</v>
      </c>
      <c r="D18794" s="3" t="s">
        <v>206</v>
      </c>
      <c r="E18794" s="3" t="s">
        <v>100</v>
      </c>
      <c r="F18794" s="7">
        <v>46108.999889451676</v>
      </c>
      <c r="G18794" s="3" t="s">
        <v>25405</v>
      </c>
    </row>
    <row r="18795">
      <c r="A18795" s="3" t="s">
        <v>34954</v>
      </c>
      <c r="B18795" s="3" t="s">
        <v>15611</v>
      </c>
      <c r="C18795" s="5" t="s">
        <v>206</v>
      </c>
      <c r="D18795" s="3" t="s">
        <v>68</v>
      </c>
      <c r="E18795" s="3" t="s">
        <v>100</v>
      </c>
      <c r="F18795" s="7">
        <v>46109.003361673895</v>
      </c>
      <c r="G18795" s="3" t="s">
        <v>25407</v>
      </c>
    </row>
    <row r="18796">
      <c r="A18796" s="3" t="s">
        <v>34955</v>
      </c>
      <c r="B18796" s="3" t="s">
        <v>15614</v>
      </c>
      <c r="C18796" s="5" t="s">
        <v>45</v>
      </c>
      <c r="D18796" s="3" t="s">
        <v>221</v>
      </c>
      <c r="E18796" s="3" t="s">
        <v>600</v>
      </c>
      <c r="F18796" s="7">
        <v>46109.06411985265</v>
      </c>
      <c r="G18796" s="3" t="s">
        <v>13110</v>
      </c>
    </row>
    <row r="18797">
      <c r="A18797" s="3" t="s">
        <v>34956</v>
      </c>
      <c r="B18797" s="3" t="s">
        <v>15614</v>
      </c>
      <c r="C18797" s="5" t="s">
        <v>221</v>
      </c>
      <c r="D18797" s="3" t="s">
        <v>614</v>
      </c>
      <c r="E18797" s="3" t="s">
        <v>118</v>
      </c>
      <c r="F18797" s="7">
        <v>46109.06759207487</v>
      </c>
      <c r="G18797" s="3" t="s">
        <v>13114</v>
      </c>
    </row>
    <row r="18798">
      <c r="A18798" s="3" t="s">
        <v>34957</v>
      </c>
      <c r="B18798" s="3" t="s">
        <v>15614</v>
      </c>
      <c r="C18798" s="5" t="s">
        <v>614</v>
      </c>
      <c r="D18798" s="3" t="s">
        <v>206</v>
      </c>
      <c r="E18798" s="3" t="s">
        <v>100</v>
      </c>
      <c r="F18798" s="7">
        <v>46109.071064297095</v>
      </c>
      <c r="G18798" s="3" t="s">
        <v>13117</v>
      </c>
    </row>
    <row r="18799">
      <c r="A18799" s="3" t="s">
        <v>34958</v>
      </c>
      <c r="B18799" s="3" t="s">
        <v>15614</v>
      </c>
      <c r="C18799" s="5" t="s">
        <v>206</v>
      </c>
      <c r="D18799" s="3" t="s">
        <v>68</v>
      </c>
      <c r="E18799" s="3" t="s">
        <v>100</v>
      </c>
      <c r="F18799" s="7">
        <v>46109.074536519314</v>
      </c>
      <c r="G18799" s="3" t="s">
        <v>13121</v>
      </c>
    </row>
    <row r="18800">
      <c r="A18800" s="3" t="s">
        <v>34959</v>
      </c>
      <c r="B18800" s="3" t="s">
        <v>15617</v>
      </c>
      <c r="C18800" s="5" t="s">
        <v>45</v>
      </c>
      <c r="D18800" s="3" t="s">
        <v>221</v>
      </c>
      <c r="E18800" s="3" t="s">
        <v>949</v>
      </c>
      <c r="F18800" s="7">
        <v>46109.13529469806</v>
      </c>
      <c r="G18800" s="3" t="s">
        <v>13263</v>
      </c>
    </row>
    <row r="18801">
      <c r="A18801" s="3" t="s">
        <v>34960</v>
      </c>
      <c r="B18801" s="3" t="s">
        <v>15617</v>
      </c>
      <c r="C18801" s="5" t="s">
        <v>221</v>
      </c>
      <c r="D18801" s="3" t="s">
        <v>614</v>
      </c>
      <c r="E18801" s="3" t="s">
        <v>118</v>
      </c>
      <c r="F18801" s="7">
        <v>46109.13876692028</v>
      </c>
      <c r="G18801" s="3" t="s">
        <v>13266</v>
      </c>
    </row>
    <row r="18802">
      <c r="A18802" s="3" t="s">
        <v>34961</v>
      </c>
      <c r="B18802" s="3" t="s">
        <v>15617</v>
      </c>
      <c r="C18802" s="5" t="s">
        <v>614</v>
      </c>
      <c r="D18802" s="3" t="s">
        <v>206</v>
      </c>
      <c r="E18802" s="3" t="s">
        <v>100</v>
      </c>
      <c r="F18802" s="7">
        <v>46109.14223914251</v>
      </c>
      <c r="G18802" s="3" t="s">
        <v>13270</v>
      </c>
    </row>
    <row r="18803">
      <c r="A18803" s="3" t="s">
        <v>34962</v>
      </c>
      <c r="B18803" s="3" t="s">
        <v>15617</v>
      </c>
      <c r="C18803" s="5" t="s">
        <v>206</v>
      </c>
      <c r="D18803" s="3" t="s">
        <v>68</v>
      </c>
      <c r="E18803" s="3" t="s">
        <v>100</v>
      </c>
      <c r="F18803" s="7">
        <v>46109.14571136473</v>
      </c>
      <c r="G18803" s="3" t="s">
        <v>13273</v>
      </c>
    </row>
    <row r="18804">
      <c r="A18804" s="3" t="s">
        <v>34963</v>
      </c>
      <c r="B18804" s="3" t="s">
        <v>15621</v>
      </c>
      <c r="C18804" s="5" t="s">
        <v>45</v>
      </c>
      <c r="D18804" s="3" t="s">
        <v>221</v>
      </c>
      <c r="E18804" s="3" t="s">
        <v>383</v>
      </c>
      <c r="F18804" s="7">
        <v>46109.206469543475</v>
      </c>
      <c r="G18804" s="3" t="s">
        <v>24798</v>
      </c>
    </row>
    <row r="18805">
      <c r="A18805" s="3" t="s">
        <v>34964</v>
      </c>
      <c r="B18805" s="3" t="s">
        <v>15621</v>
      </c>
      <c r="C18805" s="5" t="s">
        <v>221</v>
      </c>
      <c r="D18805" s="3" t="s">
        <v>614</v>
      </c>
      <c r="E18805" s="3" t="s">
        <v>118</v>
      </c>
      <c r="F18805" s="7">
        <v>46109.209941765694</v>
      </c>
      <c r="G18805" s="3" t="s">
        <v>24800</v>
      </c>
    </row>
    <row r="18806">
      <c r="A18806" s="3" t="s">
        <v>34965</v>
      </c>
      <c r="B18806" s="3" t="s">
        <v>15621</v>
      </c>
      <c r="C18806" s="5" t="s">
        <v>614</v>
      </c>
      <c r="D18806" s="3" t="s">
        <v>206</v>
      </c>
      <c r="E18806" s="3" t="s">
        <v>100</v>
      </c>
      <c r="F18806" s="7">
        <v>46109.21341398792</v>
      </c>
      <c r="G18806" s="3" t="s">
        <v>24802</v>
      </c>
    </row>
    <row r="18807">
      <c r="A18807" s="3" t="s">
        <v>34966</v>
      </c>
      <c r="B18807" s="3" t="s">
        <v>15621</v>
      </c>
      <c r="C18807" s="5" t="s">
        <v>206</v>
      </c>
      <c r="D18807" s="3" t="s">
        <v>68</v>
      </c>
      <c r="E18807" s="3" t="s">
        <v>100</v>
      </c>
      <c r="F18807" s="7">
        <v>46109.21688621014</v>
      </c>
      <c r="G18807" s="3" t="s">
        <v>24804</v>
      </c>
    </row>
    <row r="18808">
      <c r="A18808" s="3" t="s">
        <v>34967</v>
      </c>
      <c r="B18808" s="3" t="s">
        <v>15625</v>
      </c>
      <c r="C18808" s="5" t="s">
        <v>45</v>
      </c>
      <c r="D18808" s="3" t="s">
        <v>221</v>
      </c>
      <c r="E18808" s="3" t="s">
        <v>322</v>
      </c>
      <c r="F18808" s="7">
        <v>46109.277644388894</v>
      </c>
      <c r="G18808" s="3" t="s">
        <v>13289</v>
      </c>
    </row>
    <row r="18809">
      <c r="A18809" s="3" t="s">
        <v>34968</v>
      </c>
      <c r="B18809" s="3" t="s">
        <v>15625</v>
      </c>
      <c r="C18809" s="5" t="s">
        <v>221</v>
      </c>
      <c r="D18809" s="3" t="s">
        <v>614</v>
      </c>
      <c r="E18809" s="3" t="s">
        <v>118</v>
      </c>
      <c r="F18809" s="7">
        <v>46109.28111661111</v>
      </c>
      <c r="G18809" s="3" t="s">
        <v>13292</v>
      </c>
    </row>
    <row r="18810">
      <c r="A18810" s="3" t="s">
        <v>34969</v>
      </c>
      <c r="B18810" s="3" t="s">
        <v>15625</v>
      </c>
      <c r="C18810" s="5" t="s">
        <v>614</v>
      </c>
      <c r="D18810" s="3" t="s">
        <v>206</v>
      </c>
      <c r="E18810" s="3" t="s">
        <v>100</v>
      </c>
      <c r="F18810" s="7">
        <v>46109.28458883334</v>
      </c>
      <c r="G18810" s="3" t="s">
        <v>13295</v>
      </c>
    </row>
    <row r="18811">
      <c r="A18811" s="3" t="s">
        <v>34970</v>
      </c>
      <c r="B18811" s="3" t="s">
        <v>15625</v>
      </c>
      <c r="C18811" s="5" t="s">
        <v>206</v>
      </c>
      <c r="D18811" s="3" t="s">
        <v>68</v>
      </c>
      <c r="E18811" s="3" t="s">
        <v>100</v>
      </c>
      <c r="F18811" s="7">
        <v>46109.28806105556</v>
      </c>
      <c r="G18811" s="3" t="s">
        <v>13299</v>
      </c>
    </row>
    <row r="18812">
      <c r="A18812" s="3" t="s">
        <v>34971</v>
      </c>
      <c r="B18812" s="3" t="s">
        <v>15628</v>
      </c>
      <c r="C18812" s="5" t="s">
        <v>45</v>
      </c>
      <c r="D18812" s="3" t="s">
        <v>221</v>
      </c>
      <c r="E18812" s="3" t="s">
        <v>734</v>
      </c>
      <c r="F18812" s="7">
        <v>46109.348819234314</v>
      </c>
      <c r="G18812" s="3" t="s">
        <v>23999</v>
      </c>
    </row>
    <row r="18813">
      <c r="A18813" s="3" t="s">
        <v>34972</v>
      </c>
      <c r="B18813" s="3" t="s">
        <v>15628</v>
      </c>
      <c r="C18813" s="5" t="s">
        <v>221</v>
      </c>
      <c r="D18813" s="3" t="s">
        <v>614</v>
      </c>
      <c r="E18813" s="3" t="s">
        <v>118</v>
      </c>
      <c r="F18813" s="7">
        <v>46109.35229145653</v>
      </c>
      <c r="G18813" s="3" t="s">
        <v>24001</v>
      </c>
    </row>
    <row r="18814">
      <c r="A18814" s="3" t="s">
        <v>34973</v>
      </c>
      <c r="B18814" s="3" t="s">
        <v>15628</v>
      </c>
      <c r="C18814" s="5" t="s">
        <v>614</v>
      </c>
      <c r="D18814" s="3" t="s">
        <v>206</v>
      </c>
      <c r="E18814" s="3" t="s">
        <v>100</v>
      </c>
      <c r="F18814" s="7">
        <v>46109.35576367876</v>
      </c>
      <c r="G18814" s="3" t="s">
        <v>24003</v>
      </c>
    </row>
    <row r="18815">
      <c r="A18815" s="3" t="s">
        <v>34974</v>
      </c>
      <c r="B18815" s="3" t="s">
        <v>15628</v>
      </c>
      <c r="C18815" s="5" t="s">
        <v>206</v>
      </c>
      <c r="D18815" s="3" t="s">
        <v>68</v>
      </c>
      <c r="E18815" s="3" t="s">
        <v>100</v>
      </c>
      <c r="F18815" s="7">
        <v>46109.35923590098</v>
      </c>
      <c r="G18815" s="3" t="s">
        <v>24005</v>
      </c>
    </row>
    <row r="18816">
      <c r="A18816" s="3" t="s">
        <v>34975</v>
      </c>
      <c r="B18816" s="3" t="s">
        <v>15631</v>
      </c>
      <c r="C18816" s="5" t="s">
        <v>45</v>
      </c>
      <c r="D18816" s="3" t="s">
        <v>221</v>
      </c>
      <c r="E18816" s="3" t="s">
        <v>1001</v>
      </c>
      <c r="F18816" s="7">
        <v>46109.41999407972</v>
      </c>
      <c r="G18816" s="3" t="s">
        <v>34976</v>
      </c>
    </row>
    <row r="18817">
      <c r="A18817" s="3" t="s">
        <v>34977</v>
      </c>
      <c r="B18817" s="3" t="s">
        <v>15631</v>
      </c>
      <c r="C18817" s="5" t="s">
        <v>221</v>
      </c>
      <c r="D18817" s="3" t="s">
        <v>614</v>
      </c>
      <c r="E18817" s="3" t="s">
        <v>118</v>
      </c>
      <c r="F18817" s="7">
        <v>46109.42346630194</v>
      </c>
      <c r="G18817" s="3" t="s">
        <v>34978</v>
      </c>
    </row>
    <row r="18818">
      <c r="A18818" s="3" t="s">
        <v>34979</v>
      </c>
      <c r="B18818" s="3" t="s">
        <v>15631</v>
      </c>
      <c r="C18818" s="5" t="s">
        <v>614</v>
      </c>
      <c r="D18818" s="3" t="s">
        <v>206</v>
      </c>
      <c r="E18818" s="3" t="s">
        <v>100</v>
      </c>
      <c r="F18818" s="7">
        <v>46109.426938524164</v>
      </c>
      <c r="G18818" s="3" t="s">
        <v>34980</v>
      </c>
    </row>
    <row r="18819">
      <c r="A18819" s="3" t="s">
        <v>34981</v>
      </c>
      <c r="B18819" s="3" t="s">
        <v>15631</v>
      </c>
      <c r="C18819" s="5" t="s">
        <v>206</v>
      </c>
      <c r="D18819" s="3" t="s">
        <v>68</v>
      </c>
      <c r="E18819" s="3" t="s">
        <v>100</v>
      </c>
      <c r="F18819" s="7">
        <v>46109.43041074638</v>
      </c>
      <c r="G18819" s="3" t="s">
        <v>34982</v>
      </c>
    </row>
    <row r="18820">
      <c r="A18820" s="3" t="s">
        <v>34983</v>
      </c>
      <c r="B18820" s="3" t="s">
        <v>15636</v>
      </c>
      <c r="C18820" s="5" t="s">
        <v>45</v>
      </c>
      <c r="D18820" s="3" t="s">
        <v>221</v>
      </c>
      <c r="E18820" s="3" t="s">
        <v>990</v>
      </c>
      <c r="F18820" s="7">
        <v>46109.49116892514</v>
      </c>
      <c r="G18820" s="3" t="s">
        <v>12701</v>
      </c>
    </row>
    <row r="18821">
      <c r="A18821" s="3" t="s">
        <v>34984</v>
      </c>
      <c r="B18821" s="3" t="s">
        <v>15636</v>
      </c>
      <c r="C18821" s="5" t="s">
        <v>221</v>
      </c>
      <c r="D18821" s="3" t="s">
        <v>614</v>
      </c>
      <c r="E18821" s="3" t="s">
        <v>118</v>
      </c>
      <c r="F18821" s="7">
        <v>46109.49464114736</v>
      </c>
      <c r="G18821" s="3" t="s">
        <v>12704</v>
      </c>
    </row>
    <row r="18822">
      <c r="A18822" s="3" t="s">
        <v>34985</v>
      </c>
      <c r="B18822" s="3" t="s">
        <v>15636</v>
      </c>
      <c r="C18822" s="5" t="s">
        <v>614</v>
      </c>
      <c r="D18822" s="3" t="s">
        <v>206</v>
      </c>
      <c r="E18822" s="3" t="s">
        <v>100</v>
      </c>
      <c r="F18822" s="7">
        <v>46109.498113369584</v>
      </c>
      <c r="G18822" s="3" t="s">
        <v>12707</v>
      </c>
    </row>
    <row r="18823">
      <c r="A18823" s="3" t="s">
        <v>34986</v>
      </c>
      <c r="B18823" s="3" t="s">
        <v>15636</v>
      </c>
      <c r="C18823" s="5" t="s">
        <v>206</v>
      </c>
      <c r="D18823" s="3" t="s">
        <v>68</v>
      </c>
      <c r="E18823" s="3" t="s">
        <v>100</v>
      </c>
      <c r="F18823" s="7">
        <v>46109.5015855918</v>
      </c>
      <c r="G18823" s="3" t="s">
        <v>12710</v>
      </c>
    </row>
    <row r="18824">
      <c r="A18824" s="3" t="s">
        <v>34987</v>
      </c>
      <c r="B18824" s="3" t="s">
        <v>15639</v>
      </c>
      <c r="C18824" s="5" t="s">
        <v>45</v>
      </c>
      <c r="D18824" s="3" t="s">
        <v>221</v>
      </c>
      <c r="E18824" s="3" t="s">
        <v>208</v>
      </c>
      <c r="F18824" s="7">
        <v>46109.56234377056</v>
      </c>
      <c r="G18824" s="3" t="s">
        <v>22918</v>
      </c>
    </row>
    <row r="18825">
      <c r="A18825" s="3" t="s">
        <v>34988</v>
      </c>
      <c r="B18825" s="3" t="s">
        <v>15639</v>
      </c>
      <c r="C18825" s="5" t="s">
        <v>221</v>
      </c>
      <c r="D18825" s="3" t="s">
        <v>614</v>
      </c>
      <c r="E18825" s="3" t="s">
        <v>118</v>
      </c>
      <c r="F18825" s="7">
        <v>46109.56581599278</v>
      </c>
      <c r="G18825" s="3" t="s">
        <v>22921</v>
      </c>
    </row>
    <row r="18826">
      <c r="A18826" s="3" t="s">
        <v>34989</v>
      </c>
      <c r="B18826" s="3" t="s">
        <v>15639</v>
      </c>
      <c r="C18826" s="5" t="s">
        <v>614</v>
      </c>
      <c r="D18826" s="3" t="s">
        <v>206</v>
      </c>
      <c r="E18826" s="3" t="s">
        <v>100</v>
      </c>
      <c r="F18826" s="7">
        <v>46109.569288215</v>
      </c>
      <c r="G18826" s="3" t="s">
        <v>22924</v>
      </c>
    </row>
    <row r="18827">
      <c r="A18827" s="3" t="s">
        <v>34990</v>
      </c>
      <c r="B18827" s="3" t="s">
        <v>15639</v>
      </c>
      <c r="C18827" s="5" t="s">
        <v>206</v>
      </c>
      <c r="D18827" s="3" t="s">
        <v>68</v>
      </c>
      <c r="E18827" s="3" t="s">
        <v>100</v>
      </c>
      <c r="F18827" s="7">
        <v>46109.57276043722</v>
      </c>
      <c r="G18827" s="3" t="s">
        <v>22927</v>
      </c>
    </row>
    <row r="18828">
      <c r="A18828" s="3" t="s">
        <v>34991</v>
      </c>
      <c r="B18828" s="3" t="s">
        <v>15641</v>
      </c>
      <c r="C18828" s="5" t="s">
        <v>45</v>
      </c>
      <c r="D18828" s="3" t="s">
        <v>221</v>
      </c>
      <c r="E18828" s="3" t="s">
        <v>502</v>
      </c>
      <c r="F18828" s="7">
        <v>46109.63351861597</v>
      </c>
      <c r="G18828" s="3" t="s">
        <v>13891</v>
      </c>
    </row>
    <row r="18829">
      <c r="A18829" s="3" t="s">
        <v>34992</v>
      </c>
      <c r="B18829" s="3" t="s">
        <v>15641</v>
      </c>
      <c r="C18829" s="5" t="s">
        <v>221</v>
      </c>
      <c r="D18829" s="3" t="s">
        <v>614</v>
      </c>
      <c r="E18829" s="3" t="s">
        <v>118</v>
      </c>
      <c r="F18829" s="7">
        <v>46109.63699083819</v>
      </c>
      <c r="G18829" s="3" t="s">
        <v>13894</v>
      </c>
    </row>
    <row r="18830">
      <c r="A18830" s="3" t="s">
        <v>34993</v>
      </c>
      <c r="B18830" s="3" t="s">
        <v>15641</v>
      </c>
      <c r="C18830" s="5" t="s">
        <v>614</v>
      </c>
      <c r="D18830" s="3" t="s">
        <v>206</v>
      </c>
      <c r="E18830" s="3" t="s">
        <v>100</v>
      </c>
      <c r="F18830" s="7">
        <v>46109.640463060416</v>
      </c>
      <c r="G18830" s="3" t="s">
        <v>13897</v>
      </c>
    </row>
    <row r="18831">
      <c r="A18831" s="3" t="s">
        <v>34994</v>
      </c>
      <c r="B18831" s="3" t="s">
        <v>15641</v>
      </c>
      <c r="C18831" s="5" t="s">
        <v>206</v>
      </c>
      <c r="D18831" s="3" t="s">
        <v>68</v>
      </c>
      <c r="E18831" s="3" t="s">
        <v>100</v>
      </c>
      <c r="F18831" s="7">
        <v>46109.643935282635</v>
      </c>
      <c r="G18831" s="3" t="s">
        <v>13899</v>
      </c>
    </row>
    <row r="18832">
      <c r="A18832" s="3" t="s">
        <v>34995</v>
      </c>
      <c r="B18832" s="3" t="s">
        <v>15645</v>
      </c>
      <c r="C18832" s="5" t="s">
        <v>45</v>
      </c>
      <c r="D18832" s="3" t="s">
        <v>221</v>
      </c>
      <c r="E18832" s="3" t="s">
        <v>491</v>
      </c>
      <c r="F18832" s="7">
        <v>46109.70469346138</v>
      </c>
      <c r="G18832" s="3" t="s">
        <v>9670</v>
      </c>
    </row>
    <row r="18833">
      <c r="A18833" s="3" t="s">
        <v>34996</v>
      </c>
      <c r="B18833" s="3" t="s">
        <v>15645</v>
      </c>
      <c r="C18833" s="5" t="s">
        <v>221</v>
      </c>
      <c r="D18833" s="3" t="s">
        <v>614</v>
      </c>
      <c r="E18833" s="3" t="s">
        <v>118</v>
      </c>
      <c r="F18833" s="7">
        <v>46109.7081656836</v>
      </c>
      <c r="G18833" s="3" t="s">
        <v>9674</v>
      </c>
    </row>
    <row r="18834">
      <c r="A18834" s="3" t="s">
        <v>34997</v>
      </c>
      <c r="B18834" s="3" t="s">
        <v>15645</v>
      </c>
      <c r="C18834" s="5" t="s">
        <v>614</v>
      </c>
      <c r="D18834" s="3" t="s">
        <v>206</v>
      </c>
      <c r="E18834" s="3" t="s">
        <v>100</v>
      </c>
      <c r="F18834" s="7">
        <v>46109.71163790583</v>
      </c>
      <c r="G18834" s="3" t="s">
        <v>9677</v>
      </c>
    </row>
    <row r="18835">
      <c r="A18835" s="3" t="s">
        <v>34998</v>
      </c>
      <c r="B18835" s="3" t="s">
        <v>15645</v>
      </c>
      <c r="C18835" s="5" t="s">
        <v>206</v>
      </c>
      <c r="D18835" s="3" t="s">
        <v>68</v>
      </c>
      <c r="E18835" s="3" t="s">
        <v>100</v>
      </c>
      <c r="F18835" s="7">
        <v>46109.71511012805</v>
      </c>
      <c r="G18835" s="3" t="s">
        <v>9680</v>
      </c>
    </row>
    <row r="18836">
      <c r="A18836" s="3" t="s">
        <v>34999</v>
      </c>
      <c r="B18836" s="3" t="s">
        <v>15647</v>
      </c>
      <c r="C18836" s="5" t="s">
        <v>45</v>
      </c>
      <c r="D18836" s="3" t="s">
        <v>221</v>
      </c>
      <c r="E18836" s="3" t="s">
        <v>266</v>
      </c>
      <c r="F18836" s="7">
        <v>46109.7758683068</v>
      </c>
      <c r="G18836" s="3" t="s">
        <v>4342</v>
      </c>
    </row>
    <row r="18837">
      <c r="A18837" s="3" t="s">
        <v>35000</v>
      </c>
      <c r="B18837" s="3" t="s">
        <v>15647</v>
      </c>
      <c r="C18837" s="5" t="s">
        <v>221</v>
      </c>
      <c r="D18837" s="3" t="s">
        <v>614</v>
      </c>
      <c r="E18837" s="3" t="s">
        <v>118</v>
      </c>
      <c r="F18837" s="7">
        <v>46109.77934052902</v>
      </c>
      <c r="G18837" s="3" t="s">
        <v>4345</v>
      </c>
    </row>
    <row r="18838">
      <c r="A18838" s="3" t="s">
        <v>35001</v>
      </c>
      <c r="B18838" s="3" t="s">
        <v>15647</v>
      </c>
      <c r="C18838" s="5" t="s">
        <v>614</v>
      </c>
      <c r="D18838" s="3" t="s">
        <v>206</v>
      </c>
      <c r="E18838" s="3" t="s">
        <v>100</v>
      </c>
      <c r="F18838" s="7">
        <v>46109.78281275125</v>
      </c>
      <c r="G18838" s="3" t="s">
        <v>4348</v>
      </c>
    </row>
    <row r="18839">
      <c r="A18839" s="3" t="s">
        <v>35002</v>
      </c>
      <c r="B18839" s="3" t="s">
        <v>15647</v>
      </c>
      <c r="C18839" s="5" t="s">
        <v>206</v>
      </c>
      <c r="D18839" s="3" t="s">
        <v>68</v>
      </c>
      <c r="E18839" s="3" t="s">
        <v>100</v>
      </c>
      <c r="F18839" s="7">
        <v>46109.78628497347</v>
      </c>
      <c r="G18839" s="3" t="s">
        <v>4350</v>
      </c>
    </row>
    <row r="18840">
      <c r="A18840" s="3" t="s">
        <v>35003</v>
      </c>
      <c r="B18840" s="3" t="s">
        <v>15649</v>
      </c>
      <c r="C18840" s="5" t="s">
        <v>45</v>
      </c>
      <c r="D18840" s="3" t="s">
        <v>221</v>
      </c>
      <c r="E18840" s="3" t="s">
        <v>841</v>
      </c>
      <c r="F18840" s="7">
        <v>46109.847043152215</v>
      </c>
      <c r="G18840" s="3" t="s">
        <v>13404</v>
      </c>
    </row>
    <row r="18841">
      <c r="A18841" s="3" t="s">
        <v>35004</v>
      </c>
      <c r="B18841" s="3" t="s">
        <v>15649</v>
      </c>
      <c r="C18841" s="5" t="s">
        <v>221</v>
      </c>
      <c r="D18841" s="3" t="s">
        <v>614</v>
      </c>
      <c r="E18841" s="3" t="s">
        <v>118</v>
      </c>
      <c r="F18841" s="7">
        <v>46109.85051537443</v>
      </c>
      <c r="G18841" s="3" t="s">
        <v>13407</v>
      </c>
    </row>
    <row r="18842">
      <c r="A18842" s="3" t="s">
        <v>35005</v>
      </c>
      <c r="B18842" s="3" t="s">
        <v>15649</v>
      </c>
      <c r="C18842" s="5" t="s">
        <v>614</v>
      </c>
      <c r="D18842" s="3" t="s">
        <v>206</v>
      </c>
      <c r="E18842" s="3" t="s">
        <v>100</v>
      </c>
      <c r="F18842" s="7">
        <v>46109.85398759666</v>
      </c>
      <c r="G18842" s="3" t="s">
        <v>13409</v>
      </c>
    </row>
    <row r="18843">
      <c r="A18843" s="3" t="s">
        <v>35006</v>
      </c>
      <c r="B18843" s="3" t="s">
        <v>15649</v>
      </c>
      <c r="C18843" s="5" t="s">
        <v>206</v>
      </c>
      <c r="D18843" s="3" t="s">
        <v>68</v>
      </c>
      <c r="E18843" s="3" t="s">
        <v>100</v>
      </c>
      <c r="F18843" s="7">
        <v>46109.85745981888</v>
      </c>
      <c r="G18843" s="3" t="s">
        <v>13412</v>
      </c>
    </row>
    <row r="18844">
      <c r="A18844" s="3" t="s">
        <v>35007</v>
      </c>
      <c r="B18844" s="3" t="s">
        <v>15651</v>
      </c>
      <c r="C18844" s="5" t="s">
        <v>45</v>
      </c>
      <c r="D18844" s="3" t="s">
        <v>221</v>
      </c>
      <c r="E18844" s="3" t="s">
        <v>493</v>
      </c>
      <c r="F18844" s="7">
        <v>46109.91821799763</v>
      </c>
      <c r="G18844" s="3" t="s">
        <v>27090</v>
      </c>
    </row>
    <row r="18845">
      <c r="A18845" s="3" t="s">
        <v>35008</v>
      </c>
      <c r="B18845" s="3" t="s">
        <v>15651</v>
      </c>
      <c r="C18845" s="5" t="s">
        <v>221</v>
      </c>
      <c r="D18845" s="3" t="s">
        <v>614</v>
      </c>
      <c r="E18845" s="3" t="s">
        <v>118</v>
      </c>
      <c r="F18845" s="7">
        <v>46109.921690219846</v>
      </c>
      <c r="G18845" s="3" t="s">
        <v>27092</v>
      </c>
    </row>
    <row r="18846">
      <c r="A18846" s="3" t="s">
        <v>35009</v>
      </c>
      <c r="B18846" s="3" t="s">
        <v>15651</v>
      </c>
      <c r="C18846" s="5" t="s">
        <v>614</v>
      </c>
      <c r="D18846" s="3" t="s">
        <v>206</v>
      </c>
      <c r="E18846" s="3" t="s">
        <v>100</v>
      </c>
      <c r="F18846" s="7">
        <v>46109.92516244207</v>
      </c>
      <c r="G18846" s="3" t="s">
        <v>27094</v>
      </c>
    </row>
    <row r="18847">
      <c r="A18847" s="3" t="s">
        <v>35010</v>
      </c>
      <c r="B18847" s="3" t="s">
        <v>15651</v>
      </c>
      <c r="C18847" s="5" t="s">
        <v>206</v>
      </c>
      <c r="D18847" s="3" t="s">
        <v>68</v>
      </c>
      <c r="E18847" s="3" t="s">
        <v>100</v>
      </c>
      <c r="F18847" s="7">
        <v>46109.92863466429</v>
      </c>
      <c r="G18847" s="3" t="s">
        <v>27096</v>
      </c>
    </row>
    <row r="18848">
      <c r="A18848" s="3" t="s">
        <v>35011</v>
      </c>
      <c r="B18848" s="3" t="s">
        <v>15653</v>
      </c>
      <c r="C18848" s="5" t="s">
        <v>45</v>
      </c>
      <c r="D18848" s="3" t="s">
        <v>221</v>
      </c>
      <c r="E18848" s="3" t="s">
        <v>717</v>
      </c>
      <c r="F18848" s="7">
        <v>46109.98939284305</v>
      </c>
      <c r="G18848" s="3" t="s">
        <v>35012</v>
      </c>
    </row>
    <row r="18849">
      <c r="A18849" s="3" t="s">
        <v>35013</v>
      </c>
      <c r="B18849" s="3" t="s">
        <v>15653</v>
      </c>
      <c r="C18849" s="5" t="s">
        <v>221</v>
      </c>
      <c r="D18849" s="3" t="s">
        <v>181</v>
      </c>
      <c r="E18849" s="3" t="s">
        <v>118</v>
      </c>
      <c r="F18849" s="7">
        <v>46109.992865065266</v>
      </c>
      <c r="G18849" s="3" t="s">
        <v>35014</v>
      </c>
    </row>
    <row r="18850">
      <c r="A18850" s="3" t="s">
        <v>35015</v>
      </c>
      <c r="B18850" s="3" t="s">
        <v>15655</v>
      </c>
      <c r="C18850" s="5" t="s">
        <v>45</v>
      </c>
      <c r="D18850" s="3" t="s">
        <v>221</v>
      </c>
      <c r="E18850" s="3" t="s">
        <v>313</v>
      </c>
      <c r="F18850" s="7">
        <v>46110.06056768846</v>
      </c>
      <c r="G18850" s="3" t="s">
        <v>13312</v>
      </c>
    </row>
    <row r="18851">
      <c r="A18851" s="3" t="s">
        <v>35016</v>
      </c>
      <c r="B18851" s="3" t="s">
        <v>15655</v>
      </c>
      <c r="C18851" s="5" t="s">
        <v>221</v>
      </c>
      <c r="D18851" s="3" t="s">
        <v>614</v>
      </c>
      <c r="E18851" s="3" t="s">
        <v>118</v>
      </c>
      <c r="F18851" s="7">
        <v>46110.06403991068</v>
      </c>
      <c r="G18851" s="3" t="s">
        <v>13315</v>
      </c>
    </row>
    <row r="18852">
      <c r="A18852" s="3" t="s">
        <v>35017</v>
      </c>
      <c r="B18852" s="3" t="s">
        <v>15655</v>
      </c>
      <c r="C18852" s="5" t="s">
        <v>614</v>
      </c>
      <c r="D18852" s="3" t="s">
        <v>206</v>
      </c>
      <c r="E18852" s="3" t="s">
        <v>100</v>
      </c>
      <c r="F18852" s="7">
        <v>46110.067512132904</v>
      </c>
      <c r="G18852" s="3" t="s">
        <v>13319</v>
      </c>
    </row>
    <row r="18853">
      <c r="A18853" s="3" t="s">
        <v>35018</v>
      </c>
      <c r="B18853" s="3" t="s">
        <v>15655</v>
      </c>
      <c r="C18853" s="5" t="s">
        <v>206</v>
      </c>
      <c r="D18853" s="3" t="s">
        <v>68</v>
      </c>
      <c r="E18853" s="3" t="s">
        <v>100</v>
      </c>
      <c r="F18853" s="7">
        <v>46110.07098435512</v>
      </c>
      <c r="G18853" s="3" t="s">
        <v>13322</v>
      </c>
    </row>
    <row r="18854">
      <c r="A18854" s="3" t="s">
        <v>35019</v>
      </c>
      <c r="B18854" s="3" t="s">
        <v>15658</v>
      </c>
      <c r="C18854" s="5" t="s">
        <v>45</v>
      </c>
      <c r="D18854" s="3" t="s">
        <v>221</v>
      </c>
      <c r="E18854" s="3" t="s">
        <v>530</v>
      </c>
      <c r="F18854" s="7">
        <v>46110.13174253387</v>
      </c>
      <c r="G18854" s="3" t="s">
        <v>8303</v>
      </c>
    </row>
    <row r="18855">
      <c r="A18855" s="3" t="s">
        <v>35020</v>
      </c>
      <c r="B18855" s="3" t="s">
        <v>15658</v>
      </c>
      <c r="C18855" s="5" t="s">
        <v>221</v>
      </c>
      <c r="D18855" s="3" t="s">
        <v>614</v>
      </c>
      <c r="E18855" s="3" t="s">
        <v>118</v>
      </c>
      <c r="F18855" s="7">
        <v>46110.13521475609</v>
      </c>
      <c r="G18855" s="3" t="s">
        <v>8306</v>
      </c>
    </row>
    <row r="18856">
      <c r="A18856" s="3" t="s">
        <v>35021</v>
      </c>
      <c r="B18856" s="3" t="s">
        <v>15658</v>
      </c>
      <c r="C18856" s="5" t="s">
        <v>614</v>
      </c>
      <c r="D18856" s="3" t="s">
        <v>206</v>
      </c>
      <c r="E18856" s="3" t="s">
        <v>100</v>
      </c>
      <c r="F18856" s="7">
        <v>46110.13868697832</v>
      </c>
      <c r="G18856" s="3" t="s">
        <v>8309</v>
      </c>
    </row>
    <row r="18857">
      <c r="A18857" s="3" t="s">
        <v>35022</v>
      </c>
      <c r="B18857" s="3" t="s">
        <v>15658</v>
      </c>
      <c r="C18857" s="5" t="s">
        <v>206</v>
      </c>
      <c r="D18857" s="3" t="s">
        <v>68</v>
      </c>
      <c r="E18857" s="3" t="s">
        <v>100</v>
      </c>
      <c r="F18857" s="7">
        <v>46110.142159200535</v>
      </c>
      <c r="G18857" s="3" t="s">
        <v>8312</v>
      </c>
    </row>
    <row r="18858">
      <c r="A18858" s="3" t="s">
        <v>35023</v>
      </c>
      <c r="B18858" s="3" t="s">
        <v>15661</v>
      </c>
      <c r="C18858" s="5" t="s">
        <v>45</v>
      </c>
      <c r="D18858" s="3" t="s">
        <v>221</v>
      </c>
      <c r="E18858" s="3" t="s">
        <v>1034</v>
      </c>
      <c r="F18858" s="7">
        <v>46110.20291737929</v>
      </c>
      <c r="G18858" s="3" t="s">
        <v>15934</v>
      </c>
    </row>
    <row r="18859">
      <c r="A18859" s="3" t="s">
        <v>35024</v>
      </c>
      <c r="B18859" s="3" t="s">
        <v>15661</v>
      </c>
      <c r="C18859" s="5" t="s">
        <v>221</v>
      </c>
      <c r="D18859" s="3" t="s">
        <v>614</v>
      </c>
      <c r="E18859" s="3" t="s">
        <v>118</v>
      </c>
      <c r="F18859" s="7">
        <v>46110.20638960151</v>
      </c>
      <c r="G18859" s="3" t="s">
        <v>15936</v>
      </c>
    </row>
    <row r="18860">
      <c r="A18860" s="3" t="s">
        <v>35025</v>
      </c>
      <c r="B18860" s="3" t="s">
        <v>15661</v>
      </c>
      <c r="C18860" s="5" t="s">
        <v>614</v>
      </c>
      <c r="D18860" s="3" t="s">
        <v>206</v>
      </c>
      <c r="E18860" s="3" t="s">
        <v>100</v>
      </c>
      <c r="F18860" s="7">
        <v>46110.209861823736</v>
      </c>
      <c r="G18860" s="3" t="s">
        <v>15939</v>
      </c>
    </row>
    <row r="18861">
      <c r="A18861" s="3" t="s">
        <v>35026</v>
      </c>
      <c r="B18861" s="3" t="s">
        <v>15661</v>
      </c>
      <c r="C18861" s="5" t="s">
        <v>206</v>
      </c>
      <c r="D18861" s="3" t="s">
        <v>68</v>
      </c>
      <c r="E18861" s="3" t="s">
        <v>100</v>
      </c>
      <c r="F18861" s="7">
        <v>46110.213334045955</v>
      </c>
      <c r="G18861" s="3" t="s">
        <v>15942</v>
      </c>
    </row>
    <row r="18862">
      <c r="A18862" s="3" t="s">
        <v>35027</v>
      </c>
      <c r="B18862" s="3" t="s">
        <v>15664</v>
      </c>
      <c r="C18862" s="5" t="s">
        <v>45</v>
      </c>
      <c r="D18862" s="3" t="s">
        <v>221</v>
      </c>
      <c r="E18862" s="3" t="s">
        <v>734</v>
      </c>
      <c r="F18862" s="7">
        <v>46110.2740922247</v>
      </c>
      <c r="G18862" s="3" t="s">
        <v>9495</v>
      </c>
    </row>
    <row r="18863">
      <c r="A18863" s="3" t="s">
        <v>35028</v>
      </c>
      <c r="B18863" s="3" t="s">
        <v>15664</v>
      </c>
      <c r="C18863" s="5" t="s">
        <v>221</v>
      </c>
      <c r="D18863" s="3" t="s">
        <v>614</v>
      </c>
      <c r="E18863" s="3" t="s">
        <v>118</v>
      </c>
      <c r="F18863" s="7">
        <v>46110.27756444692</v>
      </c>
      <c r="G18863" s="3" t="s">
        <v>9498</v>
      </c>
    </row>
    <row r="18864">
      <c r="A18864" s="3" t="s">
        <v>35029</v>
      </c>
      <c r="B18864" s="3" t="s">
        <v>15664</v>
      </c>
      <c r="C18864" s="5" t="s">
        <v>614</v>
      </c>
      <c r="D18864" s="3" t="s">
        <v>206</v>
      </c>
      <c r="E18864" s="3" t="s">
        <v>100</v>
      </c>
      <c r="F18864" s="7">
        <v>46110.28103666915</v>
      </c>
      <c r="G18864" s="3" t="s">
        <v>9501</v>
      </c>
    </row>
    <row r="18865">
      <c r="A18865" s="3" t="s">
        <v>35030</v>
      </c>
      <c r="B18865" s="3" t="s">
        <v>15664</v>
      </c>
      <c r="C18865" s="5" t="s">
        <v>206</v>
      </c>
      <c r="D18865" s="3" t="s">
        <v>68</v>
      </c>
      <c r="E18865" s="3" t="s">
        <v>100</v>
      </c>
      <c r="F18865" s="7">
        <v>46110.28450889137</v>
      </c>
      <c r="G18865" s="3" t="s">
        <v>9503</v>
      </c>
    </row>
    <row r="18866">
      <c r="A18866" s="3" t="s">
        <v>35031</v>
      </c>
      <c r="B18866" s="3" t="s">
        <v>15668</v>
      </c>
      <c r="C18866" s="5" t="s">
        <v>45</v>
      </c>
      <c r="D18866" s="3" t="s">
        <v>221</v>
      </c>
      <c r="E18866" s="3" t="s">
        <v>725</v>
      </c>
      <c r="F18866" s="7">
        <v>46110.345267070115</v>
      </c>
      <c r="G18866" s="3" t="s">
        <v>2770</v>
      </c>
    </row>
    <row r="18867">
      <c r="A18867" s="3" t="s">
        <v>35032</v>
      </c>
      <c r="B18867" s="3" t="s">
        <v>15668</v>
      </c>
      <c r="C18867" s="5" t="s">
        <v>221</v>
      </c>
      <c r="D18867" s="3" t="s">
        <v>195</v>
      </c>
      <c r="E18867" s="3" t="s">
        <v>725</v>
      </c>
      <c r="F18867" s="7">
        <v>46110.348739292334</v>
      </c>
      <c r="G18867" s="3" t="s">
        <v>3055</v>
      </c>
    </row>
    <row r="18868">
      <c r="A18868" s="3" t="s">
        <v>35033</v>
      </c>
      <c r="B18868" s="3" t="s">
        <v>15670</v>
      </c>
      <c r="C18868" s="5" t="s">
        <v>45</v>
      </c>
      <c r="D18868" s="3" t="s">
        <v>221</v>
      </c>
      <c r="E18868" s="3" t="s">
        <v>1021</v>
      </c>
      <c r="F18868" s="7">
        <v>46110.416441915535</v>
      </c>
      <c r="G18868" s="3" t="s">
        <v>11571</v>
      </c>
    </row>
    <row r="18869">
      <c r="A18869" s="3" t="s">
        <v>35034</v>
      </c>
      <c r="B18869" s="3" t="s">
        <v>15670</v>
      </c>
      <c r="C18869" s="5" t="s">
        <v>221</v>
      </c>
      <c r="D18869" s="3" t="s">
        <v>614</v>
      </c>
      <c r="E18869" s="3" t="s">
        <v>118</v>
      </c>
      <c r="F18869" s="7">
        <v>46110.419914137754</v>
      </c>
      <c r="G18869" s="3" t="s">
        <v>27354</v>
      </c>
    </row>
    <row r="18870">
      <c r="A18870" s="3" t="s">
        <v>35035</v>
      </c>
      <c r="B18870" s="3" t="s">
        <v>15670</v>
      </c>
      <c r="C18870" s="5" t="s">
        <v>614</v>
      </c>
      <c r="D18870" s="3" t="s">
        <v>206</v>
      </c>
      <c r="E18870" s="3" t="s">
        <v>100</v>
      </c>
      <c r="F18870" s="7">
        <v>46110.42338635998</v>
      </c>
      <c r="G18870" s="3" t="s">
        <v>27356</v>
      </c>
    </row>
    <row r="18871">
      <c r="A18871" s="3" t="s">
        <v>35036</v>
      </c>
      <c r="B18871" s="3" t="s">
        <v>15670</v>
      </c>
      <c r="C18871" s="5" t="s">
        <v>206</v>
      </c>
      <c r="D18871" s="3" t="s">
        <v>68</v>
      </c>
      <c r="E18871" s="3" t="s">
        <v>100</v>
      </c>
      <c r="F18871" s="7">
        <v>46110.4268585822</v>
      </c>
      <c r="G18871" s="3" t="s">
        <v>27358</v>
      </c>
    </row>
    <row r="18872">
      <c r="A18872" s="3" t="s">
        <v>35037</v>
      </c>
      <c r="B18872" s="3" t="s">
        <v>15671</v>
      </c>
      <c r="C18872" s="5" t="s">
        <v>45</v>
      </c>
      <c r="D18872" s="3" t="s">
        <v>221</v>
      </c>
      <c r="E18872" s="3" t="s">
        <v>574</v>
      </c>
      <c r="F18872" s="7">
        <v>46110.487616760955</v>
      </c>
      <c r="G18872" s="3" t="s">
        <v>15196</v>
      </c>
    </row>
    <row r="18873">
      <c r="A18873" s="3" t="s">
        <v>35038</v>
      </c>
      <c r="B18873" s="3" t="s">
        <v>15671</v>
      </c>
      <c r="C18873" s="5" t="s">
        <v>221</v>
      </c>
      <c r="D18873" s="3" t="s">
        <v>614</v>
      </c>
      <c r="E18873" s="3" t="s">
        <v>118</v>
      </c>
      <c r="F18873" s="7">
        <v>46110.49108898317</v>
      </c>
      <c r="G18873" s="3" t="s">
        <v>15199</v>
      </c>
    </row>
    <row r="18874">
      <c r="A18874" s="3" t="s">
        <v>35039</v>
      </c>
      <c r="B18874" s="3" t="s">
        <v>15671</v>
      </c>
      <c r="C18874" s="5" t="s">
        <v>614</v>
      </c>
      <c r="D18874" s="3" t="s">
        <v>206</v>
      </c>
      <c r="E18874" s="3" t="s">
        <v>100</v>
      </c>
      <c r="F18874" s="7">
        <v>46110.4945612054</v>
      </c>
      <c r="G18874" s="3" t="s">
        <v>15203</v>
      </c>
    </row>
    <row r="18875">
      <c r="A18875" s="3" t="s">
        <v>35040</v>
      </c>
      <c r="B18875" s="3" t="s">
        <v>15671</v>
      </c>
      <c r="C18875" s="5" t="s">
        <v>206</v>
      </c>
      <c r="D18875" s="3" t="s">
        <v>68</v>
      </c>
      <c r="E18875" s="3" t="s">
        <v>100</v>
      </c>
      <c r="F18875" s="7">
        <v>46110.49803342762</v>
      </c>
      <c r="G18875" s="3" t="s">
        <v>15206</v>
      </c>
    </row>
    <row r="18876">
      <c r="A18876" s="3" t="s">
        <v>35041</v>
      </c>
      <c r="B18876" s="3" t="s">
        <v>15674</v>
      </c>
      <c r="C18876" s="5" t="s">
        <v>45</v>
      </c>
      <c r="D18876" s="3" t="s">
        <v>221</v>
      </c>
      <c r="E18876" s="3" t="s">
        <v>870</v>
      </c>
      <c r="F18876" s="7">
        <v>46110.55879160636</v>
      </c>
      <c r="G18876" s="3" t="s">
        <v>9996</v>
      </c>
    </row>
    <row r="18877">
      <c r="A18877" s="3" t="s">
        <v>35042</v>
      </c>
      <c r="B18877" s="3" t="s">
        <v>15674</v>
      </c>
      <c r="C18877" s="5" t="s">
        <v>221</v>
      </c>
      <c r="D18877" s="3" t="s">
        <v>614</v>
      </c>
      <c r="E18877" s="3" t="s">
        <v>118</v>
      </c>
      <c r="F18877" s="7">
        <v>46110.56226382858</v>
      </c>
      <c r="G18877" s="3" t="s">
        <v>12468</v>
      </c>
    </row>
    <row r="18878">
      <c r="A18878" s="3" t="s">
        <v>35043</v>
      </c>
      <c r="B18878" s="3" t="s">
        <v>15674</v>
      </c>
      <c r="C18878" s="5" t="s">
        <v>614</v>
      </c>
      <c r="D18878" s="3" t="s">
        <v>206</v>
      </c>
      <c r="E18878" s="3" t="s">
        <v>100</v>
      </c>
      <c r="F18878" s="7">
        <v>46110.565736050805</v>
      </c>
      <c r="G18878" s="3" t="s">
        <v>12471</v>
      </c>
    </row>
    <row r="18879">
      <c r="A18879" s="3" t="s">
        <v>35044</v>
      </c>
      <c r="B18879" s="3" t="s">
        <v>15674</v>
      </c>
      <c r="C18879" s="5" t="s">
        <v>206</v>
      </c>
      <c r="D18879" s="3" t="s">
        <v>68</v>
      </c>
      <c r="E18879" s="3" t="s">
        <v>100</v>
      </c>
      <c r="F18879" s="7">
        <v>46110.569208273024</v>
      </c>
      <c r="G18879" s="3" t="s">
        <v>12474</v>
      </c>
    </row>
    <row r="18880">
      <c r="A18880" s="3" t="s">
        <v>35045</v>
      </c>
      <c r="B18880" s="3" t="s">
        <v>15678</v>
      </c>
      <c r="C18880" s="5" t="s">
        <v>45</v>
      </c>
      <c r="D18880" s="3" t="s">
        <v>221</v>
      </c>
      <c r="E18880" s="3" t="s">
        <v>886</v>
      </c>
      <c r="F18880" s="7">
        <v>46110.62996645178</v>
      </c>
      <c r="G18880" s="3" t="s">
        <v>13326</v>
      </c>
    </row>
    <row r="18881">
      <c r="A18881" s="3" t="s">
        <v>35046</v>
      </c>
      <c r="B18881" s="3" t="s">
        <v>15678</v>
      </c>
      <c r="C18881" s="5" t="s">
        <v>221</v>
      </c>
      <c r="D18881" s="3" t="s">
        <v>614</v>
      </c>
      <c r="E18881" s="3" t="s">
        <v>118</v>
      </c>
      <c r="F18881" s="7">
        <v>46110.633438674</v>
      </c>
      <c r="G18881" s="3" t="s">
        <v>13330</v>
      </c>
    </row>
    <row r="18882">
      <c r="A18882" s="3" t="s">
        <v>35047</v>
      </c>
      <c r="B18882" s="3" t="s">
        <v>15678</v>
      </c>
      <c r="C18882" s="5" t="s">
        <v>614</v>
      </c>
      <c r="D18882" s="3" t="s">
        <v>206</v>
      </c>
      <c r="E18882" s="3" t="s">
        <v>100</v>
      </c>
      <c r="F18882" s="7">
        <v>46110.636910896224</v>
      </c>
      <c r="G18882" s="3" t="s">
        <v>13333</v>
      </c>
    </row>
    <row r="18883">
      <c r="A18883" s="3" t="s">
        <v>35048</v>
      </c>
      <c r="B18883" s="3" t="s">
        <v>15678</v>
      </c>
      <c r="C18883" s="5" t="s">
        <v>206</v>
      </c>
      <c r="D18883" s="3" t="s">
        <v>68</v>
      </c>
      <c r="E18883" s="3" t="s">
        <v>100</v>
      </c>
      <c r="F18883" s="7">
        <v>46110.64038311844</v>
      </c>
      <c r="G18883" s="3" t="s">
        <v>13337</v>
      </c>
    </row>
    <row r="18884">
      <c r="A18884" s="3" t="s">
        <v>35049</v>
      </c>
      <c r="B18884" s="3" t="s">
        <v>15682</v>
      </c>
      <c r="C18884" s="5" t="s">
        <v>45</v>
      </c>
      <c r="D18884" s="3" t="s">
        <v>221</v>
      </c>
      <c r="E18884" s="3" t="s">
        <v>694</v>
      </c>
      <c r="F18884" s="7">
        <v>46110.7011412972</v>
      </c>
      <c r="G18884" s="3" t="s">
        <v>13368</v>
      </c>
    </row>
    <row r="18885">
      <c r="A18885" s="3" t="s">
        <v>35050</v>
      </c>
      <c r="B18885" s="3" t="s">
        <v>15682</v>
      </c>
      <c r="C18885" s="5" t="s">
        <v>221</v>
      </c>
      <c r="D18885" s="3" t="s">
        <v>614</v>
      </c>
      <c r="E18885" s="3" t="s">
        <v>118</v>
      </c>
      <c r="F18885" s="7">
        <v>46110.70461351942</v>
      </c>
      <c r="G18885" s="3" t="s">
        <v>13371</v>
      </c>
    </row>
    <row r="18886">
      <c r="A18886" s="3" t="s">
        <v>35051</v>
      </c>
      <c r="B18886" s="3" t="s">
        <v>15682</v>
      </c>
      <c r="C18886" s="5" t="s">
        <v>614</v>
      </c>
      <c r="D18886" s="3" t="s">
        <v>206</v>
      </c>
      <c r="E18886" s="3" t="s">
        <v>100</v>
      </c>
      <c r="F18886" s="7">
        <v>46110.708085741644</v>
      </c>
      <c r="G18886" s="3" t="s">
        <v>13373</v>
      </c>
    </row>
    <row r="18887">
      <c r="A18887" s="3" t="s">
        <v>35052</v>
      </c>
      <c r="B18887" s="3" t="s">
        <v>15682</v>
      </c>
      <c r="C18887" s="5" t="s">
        <v>206</v>
      </c>
      <c r="D18887" s="3" t="s">
        <v>68</v>
      </c>
      <c r="E18887" s="3" t="s">
        <v>100</v>
      </c>
      <c r="F18887" s="7">
        <v>46110.71155796386</v>
      </c>
      <c r="G18887" s="3" t="s">
        <v>13376</v>
      </c>
    </row>
    <row r="18888">
      <c r="A18888" s="3" t="s">
        <v>35053</v>
      </c>
      <c r="B18888" s="3" t="s">
        <v>15685</v>
      </c>
      <c r="C18888" s="5" t="s">
        <v>45</v>
      </c>
      <c r="D18888" s="3" t="s">
        <v>221</v>
      </c>
      <c r="E18888" s="3" t="s">
        <v>455</v>
      </c>
      <c r="F18888" s="7">
        <v>46110.77231614261</v>
      </c>
      <c r="G18888" s="3" t="s">
        <v>12076</v>
      </c>
    </row>
    <row r="18889">
      <c r="A18889" s="3" t="s">
        <v>35054</v>
      </c>
      <c r="B18889" s="3" t="s">
        <v>15685</v>
      </c>
      <c r="C18889" s="5" t="s">
        <v>221</v>
      </c>
      <c r="D18889" s="3" t="s">
        <v>614</v>
      </c>
      <c r="E18889" s="3" t="s">
        <v>118</v>
      </c>
      <c r="F18889" s="7">
        <v>46110.77578836483</v>
      </c>
      <c r="G18889" s="3" t="s">
        <v>12079</v>
      </c>
    </row>
    <row r="18890">
      <c r="A18890" s="3" t="s">
        <v>35055</v>
      </c>
      <c r="B18890" s="3" t="s">
        <v>15685</v>
      </c>
      <c r="C18890" s="5" t="s">
        <v>614</v>
      </c>
      <c r="D18890" s="3" t="s">
        <v>206</v>
      </c>
      <c r="E18890" s="3" t="s">
        <v>100</v>
      </c>
      <c r="F18890" s="7">
        <v>46110.779260587056</v>
      </c>
      <c r="G18890" s="3" t="s">
        <v>12082</v>
      </c>
    </row>
    <row r="18891">
      <c r="A18891" s="3" t="s">
        <v>35056</v>
      </c>
      <c r="B18891" s="3" t="s">
        <v>15685</v>
      </c>
      <c r="C18891" s="5" t="s">
        <v>206</v>
      </c>
      <c r="D18891" s="3" t="s">
        <v>68</v>
      </c>
      <c r="E18891" s="3" t="s">
        <v>100</v>
      </c>
      <c r="F18891" s="7">
        <v>46110.782732809275</v>
      </c>
      <c r="G18891" s="3" t="s">
        <v>12085</v>
      </c>
    </row>
    <row r="18892">
      <c r="A18892" s="3" t="s">
        <v>35057</v>
      </c>
      <c r="B18892" s="3" t="s">
        <v>15688</v>
      </c>
      <c r="C18892" s="5" t="s">
        <v>45</v>
      </c>
      <c r="D18892" s="3" t="s">
        <v>221</v>
      </c>
      <c r="E18892" s="3" t="s">
        <v>319</v>
      </c>
      <c r="F18892" s="7">
        <v>46110.84349098802</v>
      </c>
      <c r="G18892" s="3" t="s">
        <v>10352</v>
      </c>
    </row>
    <row r="18893">
      <c r="A18893" s="3" t="s">
        <v>35058</v>
      </c>
      <c r="B18893" s="3" t="s">
        <v>15688</v>
      </c>
      <c r="C18893" s="5" t="s">
        <v>221</v>
      </c>
      <c r="D18893" s="3" t="s">
        <v>614</v>
      </c>
      <c r="E18893" s="3" t="s">
        <v>118</v>
      </c>
      <c r="F18893" s="7">
        <v>46110.84696321024</v>
      </c>
      <c r="G18893" s="3" t="s">
        <v>10355</v>
      </c>
    </row>
    <row r="18894">
      <c r="A18894" s="3" t="s">
        <v>35059</v>
      </c>
      <c r="B18894" s="3" t="s">
        <v>15688</v>
      </c>
      <c r="C18894" s="5" t="s">
        <v>614</v>
      </c>
      <c r="D18894" s="3" t="s">
        <v>206</v>
      </c>
      <c r="E18894" s="3" t="s">
        <v>100</v>
      </c>
      <c r="F18894" s="7">
        <v>46110.85043543247</v>
      </c>
      <c r="G18894" s="3" t="s">
        <v>10358</v>
      </c>
    </row>
    <row r="18895">
      <c r="A18895" s="3" t="s">
        <v>35060</v>
      </c>
      <c r="B18895" s="3" t="s">
        <v>15688</v>
      </c>
      <c r="C18895" s="5" t="s">
        <v>206</v>
      </c>
      <c r="D18895" s="3" t="s">
        <v>68</v>
      </c>
      <c r="E18895" s="3" t="s">
        <v>100</v>
      </c>
      <c r="F18895" s="7">
        <v>46110.85390765469</v>
      </c>
      <c r="G18895" s="3" t="s">
        <v>10361</v>
      </c>
    </row>
    <row r="18896">
      <c r="A18896" s="3" t="s">
        <v>35061</v>
      </c>
      <c r="B18896" s="3" t="s">
        <v>15692</v>
      </c>
      <c r="C18896" s="5" t="s">
        <v>45</v>
      </c>
      <c r="D18896" s="3" t="s">
        <v>221</v>
      </c>
      <c r="E18896" s="3" t="s">
        <v>665</v>
      </c>
      <c r="F18896" s="7">
        <v>46110.91466583344</v>
      </c>
      <c r="G18896" s="3" t="s">
        <v>31348</v>
      </c>
    </row>
    <row r="18897">
      <c r="A18897" s="3" t="s">
        <v>35062</v>
      </c>
      <c r="B18897" s="3" t="s">
        <v>15692</v>
      </c>
      <c r="C18897" s="5" t="s">
        <v>221</v>
      </c>
      <c r="D18897" s="3" t="s">
        <v>614</v>
      </c>
      <c r="E18897" s="3" t="s">
        <v>118</v>
      </c>
      <c r="F18897" s="7">
        <v>46110.91813805566</v>
      </c>
      <c r="G18897" s="3" t="s">
        <v>31350</v>
      </c>
    </row>
    <row r="18898">
      <c r="A18898" s="3" t="s">
        <v>35063</v>
      </c>
      <c r="B18898" s="3" t="s">
        <v>15692</v>
      </c>
      <c r="C18898" s="5" t="s">
        <v>614</v>
      </c>
      <c r="D18898" s="3" t="s">
        <v>206</v>
      </c>
      <c r="E18898" s="3" t="s">
        <v>100</v>
      </c>
      <c r="F18898" s="7">
        <v>46110.92161027789</v>
      </c>
      <c r="G18898" s="3" t="s">
        <v>31352</v>
      </c>
    </row>
    <row r="18899">
      <c r="A18899" s="3" t="s">
        <v>35064</v>
      </c>
      <c r="B18899" s="3" t="s">
        <v>15692</v>
      </c>
      <c r="C18899" s="5" t="s">
        <v>206</v>
      </c>
      <c r="D18899" s="3" t="s">
        <v>68</v>
      </c>
      <c r="E18899" s="3" t="s">
        <v>100</v>
      </c>
      <c r="F18899" s="7">
        <v>46110.92508250011</v>
      </c>
      <c r="G18899" s="3" t="s">
        <v>31354</v>
      </c>
    </row>
    <row r="18900">
      <c r="A18900" s="3" t="s">
        <v>35065</v>
      </c>
      <c r="B18900" s="3" t="s">
        <v>15699</v>
      </c>
      <c r="C18900" s="5" t="s">
        <v>45</v>
      </c>
      <c r="D18900" s="3" t="s">
        <v>221</v>
      </c>
      <c r="E18900" s="3" t="s">
        <v>725</v>
      </c>
      <c r="F18900" s="7">
        <v>46110.985840678855</v>
      </c>
      <c r="G18900" s="3" t="s">
        <v>13379</v>
      </c>
    </row>
    <row r="18901">
      <c r="A18901" s="3" t="s">
        <v>35066</v>
      </c>
      <c r="B18901" s="3" t="s">
        <v>15699</v>
      </c>
      <c r="C18901" s="5" t="s">
        <v>221</v>
      </c>
      <c r="D18901" s="3" t="s">
        <v>614</v>
      </c>
      <c r="E18901" s="3" t="s">
        <v>118</v>
      </c>
      <c r="F18901" s="7">
        <v>46110.989312901074</v>
      </c>
      <c r="G18901" s="3" t="s">
        <v>13382</v>
      </c>
    </row>
    <row r="18902">
      <c r="A18902" s="3" t="s">
        <v>35067</v>
      </c>
      <c r="B18902" s="3" t="s">
        <v>15699</v>
      </c>
      <c r="C18902" s="5" t="s">
        <v>614</v>
      </c>
      <c r="D18902" s="3" t="s">
        <v>206</v>
      </c>
      <c r="E18902" s="3" t="s">
        <v>100</v>
      </c>
      <c r="F18902" s="7">
        <v>46110.9927851233</v>
      </c>
      <c r="G18902" s="3" t="s">
        <v>13386</v>
      </c>
    </row>
    <row r="18903">
      <c r="A18903" s="3" t="s">
        <v>35068</v>
      </c>
      <c r="B18903" s="3" t="s">
        <v>15699</v>
      </c>
      <c r="C18903" s="5" t="s">
        <v>206</v>
      </c>
      <c r="D18903" s="3" t="s">
        <v>68</v>
      </c>
      <c r="E18903" s="3" t="s">
        <v>100</v>
      </c>
      <c r="F18903" s="7">
        <v>46110.99625734552</v>
      </c>
      <c r="G18903" s="3" t="s">
        <v>13389</v>
      </c>
    </row>
    <row r="18904">
      <c r="A18904" s="3" t="s">
        <v>35069</v>
      </c>
      <c r="B18904" s="3" t="s">
        <v>15702</v>
      </c>
      <c r="C18904" s="5" t="s">
        <v>45</v>
      </c>
      <c r="D18904" s="3" t="s">
        <v>221</v>
      </c>
      <c r="E18904" s="3" t="s">
        <v>398</v>
      </c>
      <c r="F18904" s="7">
        <v>46111.05701552427</v>
      </c>
      <c r="G18904" s="3" t="s">
        <v>10330</v>
      </c>
    </row>
    <row r="18905">
      <c r="A18905" s="3" t="s">
        <v>35070</v>
      </c>
      <c r="B18905" s="3" t="s">
        <v>15702</v>
      </c>
      <c r="C18905" s="5" t="s">
        <v>221</v>
      </c>
      <c r="D18905" s="3" t="s">
        <v>614</v>
      </c>
      <c r="E18905" s="3" t="s">
        <v>118</v>
      </c>
      <c r="F18905" s="7">
        <v>46111.06048774649</v>
      </c>
      <c r="G18905" s="3" t="s">
        <v>10333</v>
      </c>
    </row>
    <row r="18906">
      <c r="A18906" s="3" t="s">
        <v>35071</v>
      </c>
      <c r="B18906" s="3" t="s">
        <v>15702</v>
      </c>
      <c r="C18906" s="5" t="s">
        <v>614</v>
      </c>
      <c r="D18906" s="3" t="s">
        <v>206</v>
      </c>
      <c r="E18906" s="3" t="s">
        <v>100</v>
      </c>
      <c r="F18906" s="7">
        <v>46111.06395996871</v>
      </c>
      <c r="G18906" s="3" t="s">
        <v>10335</v>
      </c>
    </row>
    <row r="18907">
      <c r="A18907" s="3" t="s">
        <v>35072</v>
      </c>
      <c r="B18907" s="3" t="s">
        <v>15702</v>
      </c>
      <c r="C18907" s="5" t="s">
        <v>206</v>
      </c>
      <c r="D18907" s="3" t="s">
        <v>68</v>
      </c>
      <c r="E18907" s="3" t="s">
        <v>100</v>
      </c>
      <c r="F18907" s="7">
        <v>46111.06743219093</v>
      </c>
      <c r="G18907" s="3" t="s">
        <v>10338</v>
      </c>
    </row>
    <row r="18908">
      <c r="A18908" s="3" t="s">
        <v>35073</v>
      </c>
      <c r="B18908" s="3" t="s">
        <v>15706</v>
      </c>
      <c r="C18908" s="5" t="s">
        <v>45</v>
      </c>
      <c r="D18908" s="3" t="s">
        <v>221</v>
      </c>
      <c r="E18908" s="3" t="s">
        <v>126</v>
      </c>
      <c r="F18908" s="7">
        <v>46111.12819036969</v>
      </c>
      <c r="G18908" s="3" t="s">
        <v>30987</v>
      </c>
    </row>
    <row r="18909">
      <c r="A18909" s="3" t="s">
        <v>35074</v>
      </c>
      <c r="B18909" s="3" t="s">
        <v>15706</v>
      </c>
      <c r="C18909" s="5" t="s">
        <v>221</v>
      </c>
      <c r="D18909" s="3" t="s">
        <v>614</v>
      </c>
      <c r="E18909" s="3" t="s">
        <v>118</v>
      </c>
      <c r="F18909" s="7">
        <v>46111.131662591906</v>
      </c>
      <c r="G18909" s="3" t="s">
        <v>30989</v>
      </c>
    </row>
    <row r="18910">
      <c r="A18910" s="3" t="s">
        <v>35075</v>
      </c>
      <c r="B18910" s="3" t="s">
        <v>15706</v>
      </c>
      <c r="C18910" s="5" t="s">
        <v>614</v>
      </c>
      <c r="D18910" s="3" t="s">
        <v>206</v>
      </c>
      <c r="E18910" s="3" t="s">
        <v>100</v>
      </c>
      <c r="F18910" s="7">
        <v>46111.13513481413</v>
      </c>
      <c r="G18910" s="3" t="s">
        <v>30991</v>
      </c>
    </row>
    <row r="18911">
      <c r="A18911" s="3" t="s">
        <v>35076</v>
      </c>
      <c r="B18911" s="3" t="s">
        <v>15706</v>
      </c>
      <c r="C18911" s="5" t="s">
        <v>206</v>
      </c>
      <c r="D18911" s="3" t="s">
        <v>68</v>
      </c>
      <c r="E18911" s="3" t="s">
        <v>100</v>
      </c>
      <c r="F18911" s="7">
        <v>46111.13860703635</v>
      </c>
      <c r="G18911" s="3" t="s">
        <v>30993</v>
      </c>
    </row>
    <row r="18912">
      <c r="A18912" s="3" t="s">
        <v>35077</v>
      </c>
      <c r="B18912" s="3" t="s">
        <v>15709</v>
      </c>
      <c r="C18912" s="5" t="s">
        <v>45</v>
      </c>
      <c r="D18912" s="3" t="s">
        <v>221</v>
      </c>
      <c r="E18912" s="3" t="s">
        <v>168</v>
      </c>
      <c r="F18912" s="7">
        <v>46111.1993652151</v>
      </c>
      <c r="G18912" s="3" t="s">
        <v>28553</v>
      </c>
    </row>
    <row r="18913">
      <c r="A18913" s="3" t="s">
        <v>35078</v>
      </c>
      <c r="B18913" s="3" t="s">
        <v>15709</v>
      </c>
      <c r="C18913" s="5" t="s">
        <v>221</v>
      </c>
      <c r="D18913" s="3" t="s">
        <v>614</v>
      </c>
      <c r="E18913" s="3" t="s">
        <v>118</v>
      </c>
      <c r="F18913" s="7">
        <v>46111.20283743732</v>
      </c>
      <c r="G18913" s="3" t="s">
        <v>28555</v>
      </c>
    </row>
    <row r="18914">
      <c r="A18914" s="3" t="s">
        <v>35079</v>
      </c>
      <c r="B18914" s="3" t="s">
        <v>15709</v>
      </c>
      <c r="C18914" s="5" t="s">
        <v>614</v>
      </c>
      <c r="D18914" s="3" t="s">
        <v>206</v>
      </c>
      <c r="E18914" s="3" t="s">
        <v>100</v>
      </c>
      <c r="F18914" s="7">
        <v>46111.206309659545</v>
      </c>
      <c r="G18914" s="3" t="s">
        <v>28557</v>
      </c>
    </row>
    <row r="18915">
      <c r="A18915" s="3" t="s">
        <v>35080</v>
      </c>
      <c r="B18915" s="3" t="s">
        <v>15709</v>
      </c>
      <c r="C18915" s="5" t="s">
        <v>206</v>
      </c>
      <c r="D18915" s="3" t="s">
        <v>68</v>
      </c>
      <c r="E18915" s="3" t="s">
        <v>100</v>
      </c>
      <c r="F18915" s="7">
        <v>46111.209781881764</v>
      </c>
      <c r="G18915" s="3" t="s">
        <v>28559</v>
      </c>
    </row>
    <row r="18916">
      <c r="A18916" s="3" t="s">
        <v>35081</v>
      </c>
      <c r="B18916" s="3" t="s">
        <v>15712</v>
      </c>
      <c r="C18916" s="5" t="s">
        <v>45</v>
      </c>
      <c r="D18916" s="3" t="s">
        <v>221</v>
      </c>
      <c r="E18916" s="3" t="s">
        <v>319</v>
      </c>
      <c r="F18916" s="7">
        <v>46111.27054006051</v>
      </c>
      <c r="G18916" s="3" t="s">
        <v>10352</v>
      </c>
    </row>
    <row r="18917">
      <c r="A18917" s="3" t="s">
        <v>35082</v>
      </c>
      <c r="B18917" s="3" t="s">
        <v>15712</v>
      </c>
      <c r="C18917" s="5" t="s">
        <v>221</v>
      </c>
      <c r="D18917" s="3" t="s">
        <v>614</v>
      </c>
      <c r="E18917" s="3" t="s">
        <v>118</v>
      </c>
      <c r="F18917" s="7">
        <v>46111.27401228273</v>
      </c>
      <c r="G18917" s="3" t="s">
        <v>10355</v>
      </c>
    </row>
    <row r="18918">
      <c r="A18918" s="3" t="s">
        <v>35083</v>
      </c>
      <c r="B18918" s="3" t="s">
        <v>15712</v>
      </c>
      <c r="C18918" s="5" t="s">
        <v>614</v>
      </c>
      <c r="D18918" s="3" t="s">
        <v>206</v>
      </c>
      <c r="E18918" s="3" t="s">
        <v>100</v>
      </c>
      <c r="F18918" s="7">
        <v>46111.27748450496</v>
      </c>
      <c r="G18918" s="3" t="s">
        <v>10358</v>
      </c>
    </row>
    <row r="18919">
      <c r="A18919" s="3" t="s">
        <v>35084</v>
      </c>
      <c r="B18919" s="3" t="s">
        <v>15712</v>
      </c>
      <c r="C18919" s="5" t="s">
        <v>206</v>
      </c>
      <c r="D18919" s="3" t="s">
        <v>68</v>
      </c>
      <c r="E18919" s="3" t="s">
        <v>100</v>
      </c>
      <c r="F18919" s="7">
        <v>46111.280956727176</v>
      </c>
      <c r="G18919" s="3" t="s">
        <v>10361</v>
      </c>
    </row>
    <row r="18920">
      <c r="A18920" s="3" t="s">
        <v>35085</v>
      </c>
      <c r="B18920" s="3" t="s">
        <v>15715</v>
      </c>
      <c r="C18920" s="5" t="s">
        <v>45</v>
      </c>
      <c r="D18920" s="3" t="s">
        <v>221</v>
      </c>
      <c r="E18920" s="3" t="s">
        <v>895</v>
      </c>
      <c r="F18920" s="7">
        <v>46111.34171490593</v>
      </c>
      <c r="G18920" s="3" t="s">
        <v>13445</v>
      </c>
    </row>
    <row r="18921">
      <c r="A18921" s="3" t="s">
        <v>35086</v>
      </c>
      <c r="B18921" s="3" t="s">
        <v>15715</v>
      </c>
      <c r="C18921" s="5" t="s">
        <v>221</v>
      </c>
      <c r="D18921" s="3" t="s">
        <v>614</v>
      </c>
      <c r="E18921" s="3" t="s">
        <v>118</v>
      </c>
      <c r="F18921" s="7">
        <v>46111.34518712815</v>
      </c>
      <c r="G18921" s="3" t="s">
        <v>13448</v>
      </c>
    </row>
    <row r="18922">
      <c r="A18922" s="3" t="s">
        <v>35087</v>
      </c>
      <c r="B18922" s="3" t="s">
        <v>15715</v>
      </c>
      <c r="C18922" s="5" t="s">
        <v>614</v>
      </c>
      <c r="D18922" s="3" t="s">
        <v>206</v>
      </c>
      <c r="E18922" s="3" t="s">
        <v>100</v>
      </c>
      <c r="F18922" s="7">
        <v>46111.34865935038</v>
      </c>
      <c r="G18922" s="3" t="s">
        <v>13450</v>
      </c>
    </row>
    <row r="18923">
      <c r="A18923" s="3" t="s">
        <v>35088</v>
      </c>
      <c r="B18923" s="3" t="s">
        <v>15715</v>
      </c>
      <c r="C18923" s="5" t="s">
        <v>206</v>
      </c>
      <c r="D18923" s="3" t="s">
        <v>68</v>
      </c>
      <c r="E18923" s="3" t="s">
        <v>100</v>
      </c>
      <c r="F18923" s="7">
        <v>46111.352131572596</v>
      </c>
      <c r="G18923" s="3" t="s">
        <v>13453</v>
      </c>
    </row>
    <row r="18924">
      <c r="A18924" s="3" t="s">
        <v>35089</v>
      </c>
      <c r="B18924" s="3" t="s">
        <v>15717</v>
      </c>
      <c r="C18924" s="5" t="s">
        <v>45</v>
      </c>
      <c r="D18924" s="3" t="s">
        <v>221</v>
      </c>
      <c r="E18924" s="3" t="s">
        <v>961</v>
      </c>
      <c r="F18924" s="7">
        <v>46111.41288975135</v>
      </c>
      <c r="G18924" s="3" t="s">
        <v>13464</v>
      </c>
    </row>
    <row r="18925">
      <c r="A18925" s="3" t="s">
        <v>35090</v>
      </c>
      <c r="B18925" s="3" t="s">
        <v>15717</v>
      </c>
      <c r="C18925" s="5" t="s">
        <v>221</v>
      </c>
      <c r="D18925" s="3" t="s">
        <v>614</v>
      </c>
      <c r="E18925" s="3" t="s">
        <v>118</v>
      </c>
      <c r="F18925" s="7">
        <v>46111.41636197357</v>
      </c>
      <c r="G18925" s="3" t="s">
        <v>13467</v>
      </c>
    </row>
    <row r="18926">
      <c r="A18926" s="3" t="s">
        <v>35091</v>
      </c>
      <c r="B18926" s="3" t="s">
        <v>15717</v>
      </c>
      <c r="C18926" s="5" t="s">
        <v>614</v>
      </c>
      <c r="D18926" s="3" t="s">
        <v>206</v>
      </c>
      <c r="E18926" s="3" t="s">
        <v>100</v>
      </c>
      <c r="F18926" s="7">
        <v>46111.419834195796</v>
      </c>
      <c r="G18926" s="3" t="s">
        <v>13470</v>
      </c>
    </row>
    <row r="18927">
      <c r="A18927" s="3" t="s">
        <v>35092</v>
      </c>
      <c r="B18927" s="3" t="s">
        <v>15717</v>
      </c>
      <c r="C18927" s="5" t="s">
        <v>206</v>
      </c>
      <c r="D18927" s="3" t="s">
        <v>68</v>
      </c>
      <c r="E18927" s="3" t="s">
        <v>100</v>
      </c>
      <c r="F18927" s="7">
        <v>46111.423306418015</v>
      </c>
      <c r="G18927" s="3" t="s">
        <v>13473</v>
      </c>
    </row>
    <row r="18928">
      <c r="A18928" s="3" t="s">
        <v>35093</v>
      </c>
      <c r="B18928" s="3" t="s">
        <v>15719</v>
      </c>
      <c r="C18928" s="5" t="s">
        <v>45</v>
      </c>
      <c r="D18928" s="3" t="s">
        <v>221</v>
      </c>
      <c r="E18928" s="3" t="s">
        <v>704</v>
      </c>
      <c r="F18928" s="7">
        <v>46111.484064596756</v>
      </c>
      <c r="G18928" s="3" t="s">
        <v>10929</v>
      </c>
    </row>
    <row r="18929">
      <c r="A18929" s="3" t="s">
        <v>35094</v>
      </c>
      <c r="B18929" s="3" t="s">
        <v>15719</v>
      </c>
      <c r="C18929" s="5" t="s">
        <v>221</v>
      </c>
      <c r="D18929" s="3" t="s">
        <v>614</v>
      </c>
      <c r="E18929" s="3" t="s">
        <v>118</v>
      </c>
      <c r="F18929" s="7">
        <v>46111.487536818975</v>
      </c>
      <c r="G18929" s="3" t="s">
        <v>10931</v>
      </c>
    </row>
    <row r="18930">
      <c r="A18930" s="3" t="s">
        <v>35095</v>
      </c>
      <c r="B18930" s="3" t="s">
        <v>15719</v>
      </c>
      <c r="C18930" s="5" t="s">
        <v>614</v>
      </c>
      <c r="D18930" s="3" t="s">
        <v>206</v>
      </c>
      <c r="E18930" s="3" t="s">
        <v>100</v>
      </c>
      <c r="F18930" s="7">
        <v>46111.4910090412</v>
      </c>
      <c r="G18930" s="3" t="s">
        <v>10934</v>
      </c>
    </row>
    <row r="18931">
      <c r="A18931" s="3" t="s">
        <v>35096</v>
      </c>
      <c r="B18931" s="3" t="s">
        <v>15719</v>
      </c>
      <c r="C18931" s="5" t="s">
        <v>206</v>
      </c>
      <c r="D18931" s="3" t="s">
        <v>68</v>
      </c>
      <c r="E18931" s="3" t="s">
        <v>100</v>
      </c>
      <c r="F18931" s="7">
        <v>46111.49448126342</v>
      </c>
      <c r="G18931" s="3" t="s">
        <v>10937</v>
      </c>
    </row>
    <row r="18932">
      <c r="A18932" s="3" t="s">
        <v>35097</v>
      </c>
      <c r="B18932" s="3" t="s">
        <v>15721</v>
      </c>
      <c r="C18932" s="5" t="s">
        <v>45</v>
      </c>
      <c r="D18932" s="3" t="s">
        <v>221</v>
      </c>
      <c r="E18932" s="3" t="s">
        <v>491</v>
      </c>
      <c r="F18932" s="7">
        <v>46111.555239442176</v>
      </c>
      <c r="G18932" s="3" t="s">
        <v>9670</v>
      </c>
    </row>
    <row r="18933">
      <c r="A18933" s="3" t="s">
        <v>35098</v>
      </c>
      <c r="B18933" s="3" t="s">
        <v>15721</v>
      </c>
      <c r="C18933" s="5" t="s">
        <v>221</v>
      </c>
      <c r="D18933" s="3" t="s">
        <v>614</v>
      </c>
      <c r="E18933" s="3" t="s">
        <v>118</v>
      </c>
      <c r="F18933" s="7">
        <v>46111.558711664395</v>
      </c>
      <c r="G18933" s="3" t="s">
        <v>9674</v>
      </c>
    </row>
    <row r="18934">
      <c r="A18934" s="3" t="s">
        <v>35099</v>
      </c>
      <c r="B18934" s="3" t="s">
        <v>15721</v>
      </c>
      <c r="C18934" s="5" t="s">
        <v>614</v>
      </c>
      <c r="D18934" s="3" t="s">
        <v>206</v>
      </c>
      <c r="E18934" s="3" t="s">
        <v>100</v>
      </c>
      <c r="F18934" s="7">
        <v>46111.56218388662</v>
      </c>
      <c r="G18934" s="3" t="s">
        <v>9677</v>
      </c>
    </row>
    <row r="18935">
      <c r="A18935" s="3" t="s">
        <v>35100</v>
      </c>
      <c r="B18935" s="3" t="s">
        <v>15721</v>
      </c>
      <c r="C18935" s="5" t="s">
        <v>206</v>
      </c>
      <c r="D18935" s="3" t="s">
        <v>68</v>
      </c>
      <c r="E18935" s="3" t="s">
        <v>100</v>
      </c>
      <c r="F18935" s="7">
        <v>46111.56565610884</v>
      </c>
      <c r="G18935" s="3" t="s">
        <v>9680</v>
      </c>
    </row>
    <row r="18936">
      <c r="A18936" s="3" t="s">
        <v>35101</v>
      </c>
      <c r="B18936" s="3" t="s">
        <v>15724</v>
      </c>
      <c r="C18936" s="5" t="s">
        <v>45</v>
      </c>
      <c r="D18936" s="3" t="s">
        <v>221</v>
      </c>
      <c r="E18936" s="3" t="s">
        <v>366</v>
      </c>
      <c r="F18936" s="7">
        <v>46111.626414287595</v>
      </c>
      <c r="G18936" s="3" t="s">
        <v>13476</v>
      </c>
    </row>
    <row r="18937">
      <c r="A18937" s="3" t="s">
        <v>35102</v>
      </c>
      <c r="B18937" s="3" t="s">
        <v>15724</v>
      </c>
      <c r="C18937" s="5" t="s">
        <v>221</v>
      </c>
      <c r="D18937" s="3" t="s">
        <v>614</v>
      </c>
      <c r="E18937" s="3" t="s">
        <v>118</v>
      </c>
      <c r="F18937" s="7">
        <v>46111.629886509814</v>
      </c>
      <c r="G18937" s="3" t="s">
        <v>13478</v>
      </c>
    </row>
    <row r="18938">
      <c r="A18938" s="3" t="s">
        <v>35103</v>
      </c>
      <c r="B18938" s="3" t="s">
        <v>15724</v>
      </c>
      <c r="C18938" s="5" t="s">
        <v>614</v>
      </c>
      <c r="D18938" s="3" t="s">
        <v>206</v>
      </c>
      <c r="E18938" s="3" t="s">
        <v>100</v>
      </c>
      <c r="F18938" s="7">
        <v>46111.63335873204</v>
      </c>
      <c r="G18938" s="3" t="s">
        <v>13481</v>
      </c>
    </row>
    <row r="18939">
      <c r="A18939" s="3" t="s">
        <v>35104</v>
      </c>
      <c r="B18939" s="3" t="s">
        <v>15724</v>
      </c>
      <c r="C18939" s="5" t="s">
        <v>206</v>
      </c>
      <c r="D18939" s="3" t="s">
        <v>68</v>
      </c>
      <c r="E18939" s="3" t="s">
        <v>100</v>
      </c>
      <c r="F18939" s="7">
        <v>46111.63683095426</v>
      </c>
      <c r="G18939" s="3" t="s">
        <v>13484</v>
      </c>
    </row>
    <row r="18940">
      <c r="A18940" s="3" t="s">
        <v>35105</v>
      </c>
      <c r="B18940" s="3" t="s">
        <v>15730</v>
      </c>
      <c r="C18940" s="5" t="s">
        <v>45</v>
      </c>
      <c r="D18940" s="3" t="s">
        <v>221</v>
      </c>
      <c r="E18940" s="3" t="s">
        <v>689</v>
      </c>
      <c r="F18940" s="7">
        <v>46111.69758913301</v>
      </c>
      <c r="G18940" s="3" t="s">
        <v>13487</v>
      </c>
    </row>
    <row r="18941">
      <c r="A18941" s="3" t="s">
        <v>35106</v>
      </c>
      <c r="B18941" s="3" t="s">
        <v>15730</v>
      </c>
      <c r="C18941" s="5" t="s">
        <v>221</v>
      </c>
      <c r="D18941" s="3" t="s">
        <v>614</v>
      </c>
      <c r="E18941" s="3" t="s">
        <v>118</v>
      </c>
      <c r="F18941" s="7">
        <v>46111.70106135523</v>
      </c>
      <c r="G18941" s="3" t="s">
        <v>13490</v>
      </c>
    </row>
    <row r="18942">
      <c r="A18942" s="3" t="s">
        <v>35107</v>
      </c>
      <c r="B18942" s="3" t="s">
        <v>15730</v>
      </c>
      <c r="C18942" s="5" t="s">
        <v>614</v>
      </c>
      <c r="D18942" s="3" t="s">
        <v>206</v>
      </c>
      <c r="E18942" s="3" t="s">
        <v>100</v>
      </c>
      <c r="F18942" s="7">
        <v>46111.70453357745</v>
      </c>
      <c r="G18942" s="3" t="s">
        <v>13493</v>
      </c>
    </row>
    <row r="18943">
      <c r="A18943" s="3" t="s">
        <v>35108</v>
      </c>
      <c r="B18943" s="3" t="s">
        <v>15730</v>
      </c>
      <c r="C18943" s="5" t="s">
        <v>206</v>
      </c>
      <c r="D18943" s="3" t="s">
        <v>68</v>
      </c>
      <c r="E18943" s="3" t="s">
        <v>100</v>
      </c>
      <c r="F18943" s="7">
        <v>46111.70800579967</v>
      </c>
      <c r="G18943" s="3" t="s">
        <v>13495</v>
      </c>
    </row>
    <row r="18944">
      <c r="A18944" s="3" t="s">
        <v>35109</v>
      </c>
      <c r="B18944" s="3" t="s">
        <v>15733</v>
      </c>
      <c r="C18944" s="5" t="s">
        <v>45</v>
      </c>
      <c r="D18944" s="3" t="s">
        <v>221</v>
      </c>
      <c r="E18944" s="3" t="s">
        <v>186</v>
      </c>
      <c r="F18944" s="7">
        <v>46111.76876397842</v>
      </c>
      <c r="G18944" s="3" t="s">
        <v>25401</v>
      </c>
    </row>
    <row r="18945">
      <c r="A18945" s="3" t="s">
        <v>35110</v>
      </c>
      <c r="B18945" s="3" t="s">
        <v>15733</v>
      </c>
      <c r="C18945" s="5" t="s">
        <v>221</v>
      </c>
      <c r="D18945" s="3" t="s">
        <v>614</v>
      </c>
      <c r="E18945" s="3" t="s">
        <v>118</v>
      </c>
      <c r="F18945" s="7">
        <v>46111.77223620064</v>
      </c>
      <c r="G18945" s="3" t="s">
        <v>25403</v>
      </c>
    </row>
    <row r="18946">
      <c r="A18946" s="3" t="s">
        <v>35111</v>
      </c>
      <c r="B18946" s="3" t="s">
        <v>15733</v>
      </c>
      <c r="C18946" s="5" t="s">
        <v>614</v>
      </c>
      <c r="D18946" s="3" t="s">
        <v>206</v>
      </c>
      <c r="E18946" s="3" t="s">
        <v>100</v>
      </c>
      <c r="F18946" s="7">
        <v>46111.775708422865</v>
      </c>
      <c r="G18946" s="3" t="s">
        <v>25405</v>
      </c>
    </row>
    <row r="18947">
      <c r="A18947" s="3" t="s">
        <v>35112</v>
      </c>
      <c r="B18947" s="3" t="s">
        <v>15733</v>
      </c>
      <c r="C18947" s="5" t="s">
        <v>206</v>
      </c>
      <c r="D18947" s="3" t="s">
        <v>68</v>
      </c>
      <c r="E18947" s="3" t="s">
        <v>100</v>
      </c>
      <c r="F18947" s="7">
        <v>46111.779180645084</v>
      </c>
      <c r="G18947" s="3" t="s">
        <v>25407</v>
      </c>
    </row>
    <row r="18948">
      <c r="A18948" s="3" t="s">
        <v>35113</v>
      </c>
      <c r="B18948" s="3" t="s">
        <v>15736</v>
      </c>
      <c r="C18948" s="5" t="s">
        <v>45</v>
      </c>
      <c r="D18948" s="3" t="s">
        <v>221</v>
      </c>
      <c r="E18948" s="3" t="s">
        <v>359</v>
      </c>
      <c r="F18948" s="7">
        <v>46111.83993882384</v>
      </c>
      <c r="G18948" s="3" t="s">
        <v>13498</v>
      </c>
    </row>
    <row r="18949">
      <c r="A18949" s="3" t="s">
        <v>35114</v>
      </c>
      <c r="B18949" s="3" t="s">
        <v>15736</v>
      </c>
      <c r="C18949" s="5" t="s">
        <v>221</v>
      </c>
      <c r="D18949" s="3" t="s">
        <v>614</v>
      </c>
      <c r="E18949" s="3" t="s">
        <v>118</v>
      </c>
      <c r="F18949" s="7">
        <v>46111.84341104606</v>
      </c>
      <c r="G18949" s="3" t="s">
        <v>13501</v>
      </c>
    </row>
    <row r="18950">
      <c r="A18950" s="3" t="s">
        <v>35115</v>
      </c>
      <c r="B18950" s="3" t="s">
        <v>15736</v>
      </c>
      <c r="C18950" s="5" t="s">
        <v>614</v>
      </c>
      <c r="D18950" s="3" t="s">
        <v>206</v>
      </c>
      <c r="E18950" s="3" t="s">
        <v>100</v>
      </c>
      <c r="F18950" s="7">
        <v>46111.846883268285</v>
      </c>
      <c r="G18950" s="3" t="s">
        <v>13504</v>
      </c>
    </row>
    <row r="18951">
      <c r="A18951" s="3" t="s">
        <v>35116</v>
      </c>
      <c r="B18951" s="3" t="s">
        <v>15736</v>
      </c>
      <c r="C18951" s="5" t="s">
        <v>206</v>
      </c>
      <c r="D18951" s="3" t="s">
        <v>68</v>
      </c>
      <c r="E18951" s="3" t="s">
        <v>100</v>
      </c>
      <c r="F18951" s="7">
        <v>46111.850355490504</v>
      </c>
      <c r="G18951" s="3" t="s">
        <v>13507</v>
      </c>
    </row>
    <row r="18952">
      <c r="A18952" s="3" t="s">
        <v>35117</v>
      </c>
      <c r="B18952" s="3" t="s">
        <v>15739</v>
      </c>
      <c r="C18952" s="5" t="s">
        <v>45</v>
      </c>
      <c r="D18952" s="3" t="s">
        <v>221</v>
      </c>
      <c r="E18952" s="3" t="s">
        <v>895</v>
      </c>
      <c r="F18952" s="7">
        <v>46111.91111366925</v>
      </c>
      <c r="G18952" s="3" t="s">
        <v>25146</v>
      </c>
    </row>
    <row r="18953">
      <c r="A18953" s="3" t="s">
        <v>35118</v>
      </c>
      <c r="B18953" s="3" t="s">
        <v>15739</v>
      </c>
      <c r="C18953" s="5" t="s">
        <v>221</v>
      </c>
      <c r="D18953" s="3" t="s">
        <v>614</v>
      </c>
      <c r="E18953" s="3" t="s">
        <v>118</v>
      </c>
      <c r="F18953" s="7">
        <v>46111.91458589147</v>
      </c>
      <c r="G18953" s="3" t="s">
        <v>25148</v>
      </c>
    </row>
    <row r="18954">
      <c r="A18954" s="3" t="s">
        <v>35119</v>
      </c>
      <c r="B18954" s="3" t="s">
        <v>15739</v>
      </c>
      <c r="C18954" s="5" t="s">
        <v>614</v>
      </c>
      <c r="D18954" s="3" t="s">
        <v>206</v>
      </c>
      <c r="E18954" s="3" t="s">
        <v>100</v>
      </c>
      <c r="F18954" s="7">
        <v>46111.9180581137</v>
      </c>
      <c r="G18954" s="3" t="s">
        <v>25150</v>
      </c>
    </row>
    <row r="18955">
      <c r="A18955" s="3" t="s">
        <v>35120</v>
      </c>
      <c r="B18955" s="3" t="s">
        <v>15739</v>
      </c>
      <c r="C18955" s="5" t="s">
        <v>206</v>
      </c>
      <c r="D18955" s="3" t="s">
        <v>68</v>
      </c>
      <c r="E18955" s="3" t="s">
        <v>100</v>
      </c>
      <c r="F18955" s="7">
        <v>46111.921530335916</v>
      </c>
      <c r="G18955" s="3" t="s">
        <v>25152</v>
      </c>
    </row>
    <row r="18956">
      <c r="A18956" s="3" t="s">
        <v>35121</v>
      </c>
      <c r="B18956" s="3" t="s">
        <v>15742</v>
      </c>
      <c r="C18956" s="5" t="s">
        <v>45</v>
      </c>
      <c r="D18956" s="3" t="s">
        <v>221</v>
      </c>
      <c r="E18956" s="3" t="s">
        <v>911</v>
      </c>
      <c r="F18956" s="7">
        <v>46111.982288514664</v>
      </c>
      <c r="G18956" s="3" t="s">
        <v>28535</v>
      </c>
    </row>
    <row r="18957">
      <c r="A18957" s="3" t="s">
        <v>35122</v>
      </c>
      <c r="B18957" s="3" t="s">
        <v>15742</v>
      </c>
      <c r="C18957" s="5" t="s">
        <v>221</v>
      </c>
      <c r="D18957" s="3" t="s">
        <v>614</v>
      </c>
      <c r="E18957" s="3" t="s">
        <v>118</v>
      </c>
      <c r="F18957" s="7">
        <v>46111.98576073688</v>
      </c>
      <c r="G18957" s="3" t="s">
        <v>28537</v>
      </c>
    </row>
    <row r="18958">
      <c r="A18958" s="3" t="s">
        <v>35123</v>
      </c>
      <c r="B18958" s="3" t="s">
        <v>15742</v>
      </c>
      <c r="C18958" s="5" t="s">
        <v>614</v>
      </c>
      <c r="D18958" s="3" t="s">
        <v>206</v>
      </c>
      <c r="E18958" s="3" t="s">
        <v>100</v>
      </c>
      <c r="F18958" s="7">
        <v>46111.98923295911</v>
      </c>
      <c r="G18958" s="3" t="s">
        <v>28539</v>
      </c>
    </row>
    <row r="18959">
      <c r="A18959" s="3" t="s">
        <v>35124</v>
      </c>
      <c r="B18959" s="3" t="s">
        <v>15742</v>
      </c>
      <c r="C18959" s="5" t="s">
        <v>206</v>
      </c>
      <c r="D18959" s="3" t="s">
        <v>68</v>
      </c>
      <c r="E18959" s="3" t="s">
        <v>100</v>
      </c>
      <c r="F18959" s="7">
        <v>46111.99270518133</v>
      </c>
      <c r="G18959" s="3" t="s">
        <v>28541</v>
      </c>
    </row>
    <row r="18960">
      <c r="A18960" s="3" t="s">
        <v>35125</v>
      </c>
      <c r="B18960" s="3" t="s">
        <v>15746</v>
      </c>
      <c r="C18960" s="5" t="s">
        <v>45</v>
      </c>
      <c r="D18960" s="3" t="s">
        <v>221</v>
      </c>
      <c r="E18960" s="3" t="s">
        <v>658</v>
      </c>
      <c r="F18960" s="7">
        <v>46112.053463360084</v>
      </c>
      <c r="G18960" s="3" t="s">
        <v>13538</v>
      </c>
    </row>
    <row r="18961">
      <c r="A18961" s="3" t="s">
        <v>35126</v>
      </c>
      <c r="B18961" s="3" t="s">
        <v>15746</v>
      </c>
      <c r="C18961" s="5" t="s">
        <v>221</v>
      </c>
      <c r="D18961" s="3" t="s">
        <v>614</v>
      </c>
      <c r="E18961" s="3" t="s">
        <v>118</v>
      </c>
      <c r="F18961" s="7">
        <v>46112.0569355823</v>
      </c>
      <c r="G18961" s="3" t="s">
        <v>13541</v>
      </c>
    </row>
    <row r="18962">
      <c r="A18962" s="3" t="s">
        <v>35127</v>
      </c>
      <c r="B18962" s="3" t="s">
        <v>15746</v>
      </c>
      <c r="C18962" s="5" t="s">
        <v>614</v>
      </c>
      <c r="D18962" s="3" t="s">
        <v>206</v>
      </c>
      <c r="E18962" s="3" t="s">
        <v>100</v>
      </c>
      <c r="F18962" s="7">
        <v>46112.06040780453</v>
      </c>
      <c r="G18962" s="3" t="s">
        <v>13544</v>
      </c>
    </row>
    <row r="18963">
      <c r="A18963" s="3" t="s">
        <v>35128</v>
      </c>
      <c r="B18963" s="3" t="s">
        <v>15746</v>
      </c>
      <c r="C18963" s="5" t="s">
        <v>206</v>
      </c>
      <c r="D18963" s="3" t="s">
        <v>68</v>
      </c>
      <c r="E18963" s="3" t="s">
        <v>100</v>
      </c>
      <c r="F18963" s="7">
        <v>46112.06388002675</v>
      </c>
      <c r="G18963" s="3" t="s">
        <v>13547</v>
      </c>
    </row>
    <row r="18964">
      <c r="A18964" s="3" t="s">
        <v>35129</v>
      </c>
      <c r="B18964" s="3" t="s">
        <v>15750</v>
      </c>
      <c r="C18964" s="5" t="s">
        <v>45</v>
      </c>
      <c r="D18964" s="3" t="s">
        <v>221</v>
      </c>
      <c r="E18964" s="3" t="s">
        <v>645</v>
      </c>
      <c r="F18964" s="7">
        <v>46112.124638205496</v>
      </c>
      <c r="G18964" s="3" t="s">
        <v>8627</v>
      </c>
    </row>
    <row r="18965">
      <c r="A18965" s="3" t="s">
        <v>35130</v>
      </c>
      <c r="B18965" s="3" t="s">
        <v>15750</v>
      </c>
      <c r="C18965" s="5" t="s">
        <v>221</v>
      </c>
      <c r="D18965" s="3" t="s">
        <v>614</v>
      </c>
      <c r="E18965" s="3" t="s">
        <v>118</v>
      </c>
      <c r="F18965" s="7">
        <v>46112.128110427715</v>
      </c>
      <c r="G18965" s="3" t="s">
        <v>8630</v>
      </c>
    </row>
    <row r="18966">
      <c r="A18966" s="3" t="s">
        <v>35131</v>
      </c>
      <c r="B18966" s="3" t="s">
        <v>15750</v>
      </c>
      <c r="C18966" s="5" t="s">
        <v>614</v>
      </c>
      <c r="D18966" s="3" t="s">
        <v>206</v>
      </c>
      <c r="E18966" s="3" t="s">
        <v>100</v>
      </c>
      <c r="F18966" s="7">
        <v>46112.13158264994</v>
      </c>
      <c r="G18966" s="3" t="s">
        <v>8633</v>
      </c>
    </row>
    <row r="18967">
      <c r="A18967" s="3" t="s">
        <v>35132</v>
      </c>
      <c r="B18967" s="3" t="s">
        <v>15750</v>
      </c>
      <c r="C18967" s="5" t="s">
        <v>206</v>
      </c>
      <c r="D18967" s="3" t="s">
        <v>68</v>
      </c>
      <c r="E18967" s="3" t="s">
        <v>100</v>
      </c>
      <c r="F18967" s="7">
        <v>46112.13505487216</v>
      </c>
      <c r="G18967" s="3" t="s">
        <v>8636</v>
      </c>
    </row>
    <row r="18968">
      <c r="A18968" s="3" t="s">
        <v>35133</v>
      </c>
      <c r="B18968" s="3" t="s">
        <v>15753</v>
      </c>
      <c r="C18968" s="5" t="s">
        <v>45</v>
      </c>
      <c r="D18968" s="3" t="s">
        <v>221</v>
      </c>
      <c r="E18968" s="3" t="s">
        <v>752</v>
      </c>
      <c r="F18968" s="7">
        <v>46112.19581305091</v>
      </c>
      <c r="G18968" s="3" t="s">
        <v>9117</v>
      </c>
    </row>
    <row r="18969">
      <c r="A18969" s="3" t="s">
        <v>35134</v>
      </c>
      <c r="B18969" s="3" t="s">
        <v>15753</v>
      </c>
      <c r="C18969" s="5" t="s">
        <v>221</v>
      </c>
      <c r="D18969" s="3" t="s">
        <v>614</v>
      </c>
      <c r="E18969" s="3" t="s">
        <v>118</v>
      </c>
      <c r="F18969" s="7">
        <v>46112.19928527313</v>
      </c>
      <c r="G18969" s="3" t="s">
        <v>9120</v>
      </c>
    </row>
    <row r="18970">
      <c r="A18970" s="3" t="s">
        <v>35135</v>
      </c>
      <c r="B18970" s="3" t="s">
        <v>15753</v>
      </c>
      <c r="C18970" s="5" t="s">
        <v>614</v>
      </c>
      <c r="D18970" s="3" t="s">
        <v>206</v>
      </c>
      <c r="E18970" s="3" t="s">
        <v>100</v>
      </c>
      <c r="F18970" s="7">
        <v>46112.20275749535</v>
      </c>
      <c r="G18970" s="3" t="s">
        <v>9122</v>
      </c>
    </row>
    <row r="18971">
      <c r="A18971" s="3" t="s">
        <v>35136</v>
      </c>
      <c r="B18971" s="3" t="s">
        <v>15753</v>
      </c>
      <c r="C18971" s="5" t="s">
        <v>206</v>
      </c>
      <c r="D18971" s="3" t="s">
        <v>68</v>
      </c>
      <c r="E18971" s="3" t="s">
        <v>100</v>
      </c>
      <c r="F18971" s="7">
        <v>46112.20622971757</v>
      </c>
      <c r="G18971" s="3" t="s">
        <v>9125</v>
      </c>
    </row>
    <row r="18972">
      <c r="A18972" s="3" t="s">
        <v>35137</v>
      </c>
      <c r="B18972" s="3" t="s">
        <v>15756</v>
      </c>
      <c r="C18972" s="5" t="s">
        <v>45</v>
      </c>
      <c r="D18972" s="3" t="s">
        <v>221</v>
      </c>
      <c r="E18972" s="3" t="s">
        <v>541</v>
      </c>
      <c r="F18972" s="7">
        <v>46112.26698789633</v>
      </c>
      <c r="G18972" s="3" t="s">
        <v>11524</v>
      </c>
    </row>
    <row r="18973">
      <c r="A18973" s="3" t="s">
        <v>35138</v>
      </c>
      <c r="B18973" s="3" t="s">
        <v>15756</v>
      </c>
      <c r="C18973" s="5" t="s">
        <v>221</v>
      </c>
      <c r="D18973" s="3" t="s">
        <v>614</v>
      </c>
      <c r="E18973" s="3" t="s">
        <v>118</v>
      </c>
      <c r="F18973" s="7">
        <v>46112.27046011855</v>
      </c>
      <c r="G18973" s="3" t="s">
        <v>11527</v>
      </c>
    </row>
    <row r="18974">
      <c r="A18974" s="3" t="s">
        <v>35139</v>
      </c>
      <c r="B18974" s="3" t="s">
        <v>15756</v>
      </c>
      <c r="C18974" s="5" t="s">
        <v>614</v>
      </c>
      <c r="D18974" s="3" t="s">
        <v>206</v>
      </c>
      <c r="E18974" s="3" t="s">
        <v>100</v>
      </c>
      <c r="F18974" s="7">
        <v>46112.27393234077</v>
      </c>
      <c r="G18974" s="3" t="s">
        <v>11530</v>
      </c>
    </row>
    <row r="18975">
      <c r="A18975" s="3" t="s">
        <v>35140</v>
      </c>
      <c r="B18975" s="3" t="s">
        <v>15756</v>
      </c>
      <c r="C18975" s="5" t="s">
        <v>206</v>
      </c>
      <c r="D18975" s="3" t="s">
        <v>68</v>
      </c>
      <c r="E18975" s="3" t="s">
        <v>100</v>
      </c>
      <c r="F18975" s="7">
        <v>46112.27740456299</v>
      </c>
      <c r="G18975" s="3" t="s">
        <v>11533</v>
      </c>
    </row>
    <row r="18976">
      <c r="A18976" s="3" t="s">
        <v>35141</v>
      </c>
      <c r="B18976" s="3" t="s">
        <v>15759</v>
      </c>
      <c r="C18976" s="5" t="s">
        <v>45</v>
      </c>
      <c r="D18976" s="3" t="s">
        <v>221</v>
      </c>
      <c r="E18976" s="3" t="s">
        <v>523</v>
      </c>
      <c r="F18976" s="7">
        <v>46112.33816274174</v>
      </c>
      <c r="G18976" s="3" t="s">
        <v>22804</v>
      </c>
    </row>
    <row r="18977">
      <c r="A18977" s="3" t="s">
        <v>35142</v>
      </c>
      <c r="B18977" s="3" t="s">
        <v>15759</v>
      </c>
      <c r="C18977" s="5" t="s">
        <v>221</v>
      </c>
      <c r="D18977" s="3" t="s">
        <v>614</v>
      </c>
      <c r="E18977" s="3" t="s">
        <v>118</v>
      </c>
      <c r="F18977" s="7">
        <v>46112.34163496396</v>
      </c>
      <c r="G18977" s="3" t="s">
        <v>22807</v>
      </c>
    </row>
    <row r="18978">
      <c r="A18978" s="3" t="s">
        <v>35143</v>
      </c>
      <c r="B18978" s="3" t="s">
        <v>15759</v>
      </c>
      <c r="C18978" s="5" t="s">
        <v>614</v>
      </c>
      <c r="D18978" s="3" t="s">
        <v>206</v>
      </c>
      <c r="E18978" s="3" t="s">
        <v>100</v>
      </c>
      <c r="F18978" s="7">
        <v>46112.345107186185</v>
      </c>
      <c r="G18978" s="3" t="s">
        <v>22810</v>
      </c>
    </row>
    <row r="18979">
      <c r="A18979" s="3" t="s">
        <v>35144</v>
      </c>
      <c r="B18979" s="3" t="s">
        <v>15759</v>
      </c>
      <c r="C18979" s="5" t="s">
        <v>206</v>
      </c>
      <c r="D18979" s="3" t="s">
        <v>68</v>
      </c>
      <c r="E18979" s="3" t="s">
        <v>100</v>
      </c>
      <c r="F18979" s="7">
        <v>46112.348579408404</v>
      </c>
      <c r="G18979" s="3" t="s">
        <v>22813</v>
      </c>
    </row>
    <row r="18980">
      <c r="A18980" s="3" t="s">
        <v>35145</v>
      </c>
      <c r="B18980" s="3" t="s">
        <v>15764</v>
      </c>
      <c r="C18980" s="5" t="s">
        <v>45</v>
      </c>
      <c r="D18980" s="3" t="s">
        <v>221</v>
      </c>
      <c r="E18980" s="3" t="s">
        <v>678</v>
      </c>
      <c r="F18980" s="7">
        <v>46112.40933758715</v>
      </c>
      <c r="G18980" s="3" t="s">
        <v>8816</v>
      </c>
    </row>
    <row r="18981">
      <c r="A18981" s="3" t="s">
        <v>35146</v>
      </c>
      <c r="B18981" s="3" t="s">
        <v>15764</v>
      </c>
      <c r="C18981" s="5" t="s">
        <v>221</v>
      </c>
      <c r="D18981" s="3" t="s">
        <v>181</v>
      </c>
      <c r="E18981" s="3" t="s">
        <v>118</v>
      </c>
      <c r="F18981" s="7">
        <v>46112.41280980937</v>
      </c>
      <c r="G18981" s="3" t="s">
        <v>35147</v>
      </c>
    </row>
    <row r="18982">
      <c r="A18982" s="3" t="s">
        <v>35148</v>
      </c>
      <c r="B18982" s="3" t="s">
        <v>15767</v>
      </c>
      <c r="C18982" s="5" t="s">
        <v>45</v>
      </c>
      <c r="D18982" s="3" t="s">
        <v>221</v>
      </c>
      <c r="E18982" s="3" t="s">
        <v>903</v>
      </c>
      <c r="F18982" s="7">
        <v>46112.48051243257</v>
      </c>
      <c r="G18982" s="3" t="s">
        <v>12054</v>
      </c>
    </row>
    <row r="18983">
      <c r="A18983" s="3" t="s">
        <v>35149</v>
      </c>
      <c r="B18983" s="3" t="s">
        <v>15767</v>
      </c>
      <c r="C18983" s="5" t="s">
        <v>221</v>
      </c>
      <c r="D18983" s="3" t="s">
        <v>614</v>
      </c>
      <c r="E18983" s="3" t="s">
        <v>118</v>
      </c>
      <c r="F18983" s="7">
        <v>46112.48398465479</v>
      </c>
      <c r="G18983" s="3" t="s">
        <v>12057</v>
      </c>
    </row>
    <row r="18984">
      <c r="A18984" s="3" t="s">
        <v>35150</v>
      </c>
      <c r="B18984" s="3" t="s">
        <v>15767</v>
      </c>
      <c r="C18984" s="5" t="s">
        <v>614</v>
      </c>
      <c r="D18984" s="3" t="s">
        <v>206</v>
      </c>
      <c r="E18984" s="3" t="s">
        <v>100</v>
      </c>
      <c r="F18984" s="7">
        <v>46112.48745687702</v>
      </c>
      <c r="G18984" s="3" t="s">
        <v>12059</v>
      </c>
    </row>
    <row r="18985">
      <c r="A18985" s="3" t="s">
        <v>35151</v>
      </c>
      <c r="B18985" s="3" t="s">
        <v>15767</v>
      </c>
      <c r="C18985" s="5" t="s">
        <v>206</v>
      </c>
      <c r="D18985" s="3" t="s">
        <v>68</v>
      </c>
      <c r="E18985" s="3" t="s">
        <v>100</v>
      </c>
      <c r="F18985" s="7">
        <v>46112.49092909924</v>
      </c>
      <c r="G18985" s="3" t="s">
        <v>12062</v>
      </c>
    </row>
    <row r="18986">
      <c r="A18986" s="3" t="s">
        <v>35152</v>
      </c>
      <c r="B18986" s="3" t="s">
        <v>15769</v>
      </c>
      <c r="C18986" s="5" t="s">
        <v>45</v>
      </c>
      <c r="D18986" s="3" t="s">
        <v>221</v>
      </c>
      <c r="E18986" s="3" t="s">
        <v>676</v>
      </c>
      <c r="F18986" s="7">
        <v>46112.55168727799</v>
      </c>
      <c r="G18986" s="3" t="s">
        <v>13554</v>
      </c>
    </row>
    <row r="18987">
      <c r="A18987" s="3" t="s">
        <v>35153</v>
      </c>
      <c r="B18987" s="3" t="s">
        <v>15769</v>
      </c>
      <c r="C18987" s="5" t="s">
        <v>221</v>
      </c>
      <c r="D18987" s="3" t="s">
        <v>614</v>
      </c>
      <c r="E18987" s="3" t="s">
        <v>118</v>
      </c>
      <c r="F18987" s="7">
        <v>46112.55515950021</v>
      </c>
      <c r="G18987" s="3" t="s">
        <v>13557</v>
      </c>
    </row>
    <row r="18988">
      <c r="A18988" s="3" t="s">
        <v>35154</v>
      </c>
      <c r="B18988" s="3" t="s">
        <v>15769</v>
      </c>
      <c r="C18988" s="5" t="s">
        <v>614</v>
      </c>
      <c r="D18988" s="3" t="s">
        <v>206</v>
      </c>
      <c r="E18988" s="3" t="s">
        <v>100</v>
      </c>
      <c r="F18988" s="7">
        <v>46112.55863172244</v>
      </c>
      <c r="G18988" s="3" t="s">
        <v>13560</v>
      </c>
    </row>
    <row r="18989">
      <c r="A18989" s="3" t="s">
        <v>35155</v>
      </c>
      <c r="B18989" s="3" t="s">
        <v>15769</v>
      </c>
      <c r="C18989" s="5" t="s">
        <v>206</v>
      </c>
      <c r="D18989" s="3" t="s">
        <v>68</v>
      </c>
      <c r="E18989" s="3" t="s">
        <v>100</v>
      </c>
      <c r="F18989" s="7">
        <v>46112.562103944656</v>
      </c>
      <c r="G18989" s="3" t="s">
        <v>13563</v>
      </c>
    </row>
    <row r="18990">
      <c r="A18990" s="3" t="s">
        <v>35156</v>
      </c>
      <c r="B18990" s="3" t="s">
        <v>15771</v>
      </c>
      <c r="C18990" s="5" t="s">
        <v>45</v>
      </c>
      <c r="D18990" s="3" t="s">
        <v>221</v>
      </c>
      <c r="E18990" s="3" t="s">
        <v>168</v>
      </c>
      <c r="F18990" s="7">
        <v>46112.6228621234</v>
      </c>
      <c r="G18990" s="3" t="s">
        <v>28553</v>
      </c>
    </row>
    <row r="18991">
      <c r="A18991" s="3" t="s">
        <v>35157</v>
      </c>
      <c r="B18991" s="3" t="s">
        <v>15771</v>
      </c>
      <c r="C18991" s="5" t="s">
        <v>221</v>
      </c>
      <c r="D18991" s="3" t="s">
        <v>614</v>
      </c>
      <c r="E18991" s="3" t="s">
        <v>118</v>
      </c>
      <c r="F18991" s="7">
        <v>46112.626334345616</v>
      </c>
      <c r="G18991" s="3" t="s">
        <v>28555</v>
      </c>
    </row>
    <row r="18992">
      <c r="A18992" s="3" t="s">
        <v>35158</v>
      </c>
      <c r="B18992" s="3" t="s">
        <v>15771</v>
      </c>
      <c r="C18992" s="5" t="s">
        <v>614</v>
      </c>
      <c r="D18992" s="3" t="s">
        <v>206</v>
      </c>
      <c r="E18992" s="3" t="s">
        <v>100</v>
      </c>
      <c r="F18992" s="7">
        <v>46112.62980656784</v>
      </c>
      <c r="G18992" s="3" t="s">
        <v>28557</v>
      </c>
    </row>
    <row r="18993">
      <c r="A18993" s="3" t="s">
        <v>35159</v>
      </c>
      <c r="B18993" s="3" t="s">
        <v>15771</v>
      </c>
      <c r="C18993" s="5" t="s">
        <v>206</v>
      </c>
      <c r="D18993" s="3" t="s">
        <v>68</v>
      </c>
      <c r="E18993" s="3" t="s">
        <v>100</v>
      </c>
      <c r="F18993" s="7">
        <v>46112.63327879006</v>
      </c>
      <c r="G18993" s="3" t="s">
        <v>28559</v>
      </c>
    </row>
    <row r="18994">
      <c r="A18994" s="3" t="s">
        <v>35160</v>
      </c>
      <c r="B18994" s="3" t="s">
        <v>15774</v>
      </c>
      <c r="C18994" s="5" t="s">
        <v>45</v>
      </c>
      <c r="D18994" s="3" t="s">
        <v>221</v>
      </c>
      <c r="E18994" s="3" t="s">
        <v>746</v>
      </c>
      <c r="F18994" s="7">
        <v>46112.69403696882</v>
      </c>
      <c r="G18994" s="3" t="s">
        <v>12555</v>
      </c>
    </row>
    <row r="18995">
      <c r="A18995" s="3" t="s">
        <v>35161</v>
      </c>
      <c r="B18995" s="3" t="s">
        <v>15774</v>
      </c>
      <c r="C18995" s="5" t="s">
        <v>221</v>
      </c>
      <c r="D18995" s="3" t="s">
        <v>614</v>
      </c>
      <c r="E18995" s="3" t="s">
        <v>118</v>
      </c>
      <c r="F18995" s="7">
        <v>46112.697509191035</v>
      </c>
      <c r="G18995" s="3" t="s">
        <v>12559</v>
      </c>
    </row>
    <row r="18996">
      <c r="A18996" s="3" t="s">
        <v>35162</v>
      </c>
      <c r="B18996" s="3" t="s">
        <v>15774</v>
      </c>
      <c r="C18996" s="5" t="s">
        <v>614</v>
      </c>
      <c r="D18996" s="3" t="s">
        <v>206</v>
      </c>
      <c r="E18996" s="3" t="s">
        <v>100</v>
      </c>
      <c r="F18996" s="7">
        <v>46112.70098141326</v>
      </c>
      <c r="G18996" s="3" t="s">
        <v>12562</v>
      </c>
    </row>
    <row r="18997">
      <c r="A18997" s="3" t="s">
        <v>35163</v>
      </c>
      <c r="B18997" s="3" t="s">
        <v>15774</v>
      </c>
      <c r="C18997" s="5" t="s">
        <v>206</v>
      </c>
      <c r="D18997" s="3" t="s">
        <v>68</v>
      </c>
      <c r="E18997" s="3" t="s">
        <v>100</v>
      </c>
      <c r="F18997" s="7">
        <v>46112.70445363548</v>
      </c>
      <c r="G18997" s="3" t="s">
        <v>12566</v>
      </c>
    </row>
    <row r="18998">
      <c r="A18998" s="3" t="s">
        <v>35164</v>
      </c>
      <c r="B18998" s="3" t="s">
        <v>15776</v>
      </c>
      <c r="C18998" s="5" t="s">
        <v>45</v>
      </c>
      <c r="D18998" s="3" t="s">
        <v>221</v>
      </c>
      <c r="E18998" s="3" t="s">
        <v>781</v>
      </c>
      <c r="F18998" s="7">
        <v>46112.765211814236</v>
      </c>
      <c r="G18998" s="3" t="s">
        <v>4658</v>
      </c>
    </row>
    <row r="18999">
      <c r="A18999" s="3" t="s">
        <v>35165</v>
      </c>
      <c r="B18999" s="3" t="s">
        <v>15776</v>
      </c>
      <c r="C18999" s="5" t="s">
        <v>221</v>
      </c>
      <c r="D18999" s="3" t="s">
        <v>614</v>
      </c>
      <c r="E18999" s="3" t="s">
        <v>118</v>
      </c>
      <c r="F18999" s="7">
        <v>46112.768684036455</v>
      </c>
      <c r="G18999" s="3" t="s">
        <v>4661</v>
      </c>
    </row>
    <row r="19000">
      <c r="A19000" s="3" t="s">
        <v>35166</v>
      </c>
      <c r="B19000" s="3" t="s">
        <v>15776</v>
      </c>
      <c r="C19000" s="5" t="s">
        <v>614</v>
      </c>
      <c r="D19000" s="3" t="s">
        <v>206</v>
      </c>
      <c r="E19000" s="3" t="s">
        <v>100</v>
      </c>
      <c r="F19000" s="7">
        <v>46112.77215625868</v>
      </c>
      <c r="G19000" s="3" t="s">
        <v>4664</v>
      </c>
    </row>
    <row r="19001">
      <c r="A19001" s="3" t="s">
        <v>35167</v>
      </c>
      <c r="B19001" s="3" t="s">
        <v>15776</v>
      </c>
      <c r="C19001" s="5" t="s">
        <v>206</v>
      </c>
      <c r="D19001" s="3" t="s">
        <v>68</v>
      </c>
      <c r="E19001" s="3" t="s">
        <v>100</v>
      </c>
      <c r="F19001" s="7">
        <v>46112.7756284809</v>
      </c>
      <c r="G19001" s="3" t="s">
        <v>4667</v>
      </c>
    </row>
    <row r="19002">
      <c r="A19002" s="3" t="s">
        <v>35168</v>
      </c>
      <c r="B19002" s="3" t="s">
        <v>15778</v>
      </c>
      <c r="C19002" s="5" t="s">
        <v>45</v>
      </c>
      <c r="D19002" s="3" t="s">
        <v>221</v>
      </c>
      <c r="E19002" s="3" t="s">
        <v>326</v>
      </c>
      <c r="F19002" s="7">
        <v>46112.83638665965</v>
      </c>
      <c r="G19002" s="3" t="s">
        <v>13566</v>
      </c>
    </row>
    <row r="19003">
      <c r="A19003" s="3" t="s">
        <v>35169</v>
      </c>
      <c r="B19003" s="3" t="s">
        <v>15778</v>
      </c>
      <c r="C19003" s="5" t="s">
        <v>221</v>
      </c>
      <c r="D19003" s="3" t="s">
        <v>614</v>
      </c>
      <c r="E19003" s="3" t="s">
        <v>118</v>
      </c>
      <c r="F19003" s="7">
        <v>46112.83985888187</v>
      </c>
      <c r="G19003" s="3" t="s">
        <v>13568</v>
      </c>
    </row>
    <row r="19004">
      <c r="A19004" s="3" t="s">
        <v>35170</v>
      </c>
      <c r="B19004" s="3" t="s">
        <v>15778</v>
      </c>
      <c r="C19004" s="5" t="s">
        <v>614</v>
      </c>
      <c r="D19004" s="3" t="s">
        <v>206</v>
      </c>
      <c r="E19004" s="3" t="s">
        <v>100</v>
      </c>
      <c r="F19004" s="7">
        <v>46112.84333110409</v>
      </c>
      <c r="G19004" s="3" t="s">
        <v>13571</v>
      </c>
    </row>
    <row r="19005">
      <c r="A19005" s="3" t="s">
        <v>35171</v>
      </c>
      <c r="B19005" s="3" t="s">
        <v>15778</v>
      </c>
      <c r="C19005" s="5" t="s">
        <v>206</v>
      </c>
      <c r="D19005" s="3" t="s">
        <v>68</v>
      </c>
      <c r="E19005" s="3" t="s">
        <v>100</v>
      </c>
      <c r="F19005" s="7">
        <v>46112.84680332631</v>
      </c>
      <c r="G19005" s="3" t="s">
        <v>13574</v>
      </c>
    </row>
    <row r="19006">
      <c r="A19006" s="3" t="s">
        <v>35172</v>
      </c>
      <c r="B19006" s="3" t="s">
        <v>15780</v>
      </c>
      <c r="C19006" s="5" t="s">
        <v>45</v>
      </c>
      <c r="D19006" s="3" t="s">
        <v>221</v>
      </c>
      <c r="E19006" s="3" t="s">
        <v>219</v>
      </c>
      <c r="F19006" s="7">
        <v>46112.90756150506</v>
      </c>
      <c r="G19006" s="3" t="s">
        <v>32165</v>
      </c>
    </row>
    <row r="19007">
      <c r="A19007" s="3" t="s">
        <v>35173</v>
      </c>
      <c r="B19007" s="3" t="s">
        <v>15780</v>
      </c>
      <c r="C19007" s="5" t="s">
        <v>221</v>
      </c>
      <c r="D19007" s="3" t="s">
        <v>614</v>
      </c>
      <c r="E19007" s="3" t="s">
        <v>118</v>
      </c>
      <c r="F19007" s="7">
        <v>46112.91103372728</v>
      </c>
      <c r="G19007" s="3" t="s">
        <v>32167</v>
      </c>
    </row>
    <row r="19008">
      <c r="A19008" s="3" t="s">
        <v>35174</v>
      </c>
      <c r="B19008" s="3" t="s">
        <v>15780</v>
      </c>
      <c r="C19008" s="5" t="s">
        <v>614</v>
      </c>
      <c r="D19008" s="3" t="s">
        <v>206</v>
      </c>
      <c r="E19008" s="3" t="s">
        <v>100</v>
      </c>
      <c r="F19008" s="7">
        <v>46112.914505949506</v>
      </c>
      <c r="G19008" s="3" t="s">
        <v>32169</v>
      </c>
    </row>
    <row r="19009">
      <c r="A19009" s="3" t="s">
        <v>35175</v>
      </c>
      <c r="B19009" s="3" t="s">
        <v>15780</v>
      </c>
      <c r="C19009" s="5" t="s">
        <v>206</v>
      </c>
      <c r="D19009" s="3" t="s">
        <v>68</v>
      </c>
      <c r="E19009" s="3" t="s">
        <v>100</v>
      </c>
      <c r="F19009" s="7">
        <v>46112.917978171725</v>
      </c>
      <c r="G19009" s="3" t="s">
        <v>32171</v>
      </c>
    </row>
    <row r="19010">
      <c r="A19010" s="3" t="s">
        <v>35176</v>
      </c>
      <c r="B19010" s="3" t="s">
        <v>15782</v>
      </c>
      <c r="C19010" s="5" t="s">
        <v>45</v>
      </c>
      <c r="D19010" s="3" t="s">
        <v>221</v>
      </c>
      <c r="E19010" s="3" t="s">
        <v>929</v>
      </c>
      <c r="F19010" s="7">
        <v>46112.97873635048</v>
      </c>
      <c r="G19010" s="3" t="s">
        <v>32881</v>
      </c>
    </row>
    <row r="19011">
      <c r="A19011" s="3" t="s">
        <v>35177</v>
      </c>
      <c r="B19011" s="3" t="s">
        <v>15782</v>
      </c>
      <c r="C19011" s="5" t="s">
        <v>221</v>
      </c>
      <c r="D19011" s="3" t="s">
        <v>181</v>
      </c>
      <c r="E19011" s="3" t="s">
        <v>118</v>
      </c>
      <c r="F19011" s="7">
        <v>46112.9822085727</v>
      </c>
      <c r="G19011" s="3" t="s">
        <v>35178</v>
      </c>
    </row>
    <row r="19012">
      <c r="A19012" s="3" t="s">
        <v>35179</v>
      </c>
      <c r="B19012" s="3" t="s">
        <v>15784</v>
      </c>
      <c r="C19012" s="5" t="s">
        <v>45</v>
      </c>
      <c r="D19012" s="3" t="s">
        <v>221</v>
      </c>
      <c r="E19012" s="3" t="s">
        <v>596</v>
      </c>
      <c r="F19012" s="7">
        <v>46113.04991119589</v>
      </c>
      <c r="G19012" s="3" t="s">
        <v>9956</v>
      </c>
    </row>
    <row r="19013">
      <c r="A19013" s="3" t="s">
        <v>35180</v>
      </c>
      <c r="B19013" s="3" t="s">
        <v>15784</v>
      </c>
      <c r="C19013" s="5" t="s">
        <v>221</v>
      </c>
      <c r="D19013" s="3" t="s">
        <v>614</v>
      </c>
      <c r="E19013" s="3" t="s">
        <v>118</v>
      </c>
      <c r="F19013" s="7">
        <v>46113.05338341811</v>
      </c>
      <c r="G19013" s="3" t="s">
        <v>9960</v>
      </c>
    </row>
    <row r="19014">
      <c r="A19014" s="3" t="s">
        <v>35181</v>
      </c>
      <c r="B19014" s="3" t="s">
        <v>15784</v>
      </c>
      <c r="C19014" s="5" t="s">
        <v>614</v>
      </c>
      <c r="D19014" s="3" t="s">
        <v>206</v>
      </c>
      <c r="E19014" s="3" t="s">
        <v>100</v>
      </c>
      <c r="F19014" s="7">
        <v>46113.05685564034</v>
      </c>
      <c r="G19014" s="3" t="s">
        <v>9963</v>
      </c>
    </row>
    <row r="19015">
      <c r="A19015" s="3" t="s">
        <v>35182</v>
      </c>
      <c r="B19015" s="3" t="s">
        <v>15784</v>
      </c>
      <c r="C19015" s="5" t="s">
        <v>206</v>
      </c>
      <c r="D19015" s="3" t="s">
        <v>68</v>
      </c>
      <c r="E19015" s="3" t="s">
        <v>100</v>
      </c>
      <c r="F19015" s="7">
        <v>46113.06032786256</v>
      </c>
      <c r="G19015" s="3" t="s">
        <v>9966</v>
      </c>
    </row>
    <row r="19016">
      <c r="A19016" s="3" t="s">
        <v>35183</v>
      </c>
      <c r="B19016" s="3" t="s">
        <v>15786</v>
      </c>
      <c r="C19016" s="5" t="s">
        <v>45</v>
      </c>
      <c r="D19016" s="3" t="s">
        <v>221</v>
      </c>
      <c r="E19016" s="3" t="s">
        <v>655</v>
      </c>
      <c r="F19016" s="7">
        <v>46113.121086041305</v>
      </c>
      <c r="G19016" s="3" t="s">
        <v>13620</v>
      </c>
    </row>
    <row r="19017">
      <c r="A19017" s="3" t="s">
        <v>35184</v>
      </c>
      <c r="B19017" s="3" t="s">
        <v>15786</v>
      </c>
      <c r="C19017" s="5" t="s">
        <v>221</v>
      </c>
      <c r="D19017" s="3" t="s">
        <v>614</v>
      </c>
      <c r="E19017" s="3" t="s">
        <v>118</v>
      </c>
      <c r="F19017" s="7">
        <v>46113.124558263524</v>
      </c>
      <c r="G19017" s="3" t="s">
        <v>13622</v>
      </c>
    </row>
    <row r="19018">
      <c r="A19018" s="3" t="s">
        <v>35185</v>
      </c>
      <c r="B19018" s="3" t="s">
        <v>15786</v>
      </c>
      <c r="C19018" s="5" t="s">
        <v>614</v>
      </c>
      <c r="D19018" s="3" t="s">
        <v>206</v>
      </c>
      <c r="E19018" s="3" t="s">
        <v>100</v>
      </c>
      <c r="F19018" s="7">
        <v>46113.12803048575</v>
      </c>
      <c r="G19018" s="3" t="s">
        <v>13625</v>
      </c>
    </row>
    <row r="19019">
      <c r="A19019" s="3" t="s">
        <v>35186</v>
      </c>
      <c r="B19019" s="3" t="s">
        <v>15786</v>
      </c>
      <c r="C19019" s="5" t="s">
        <v>206</v>
      </c>
      <c r="D19019" s="3" t="s">
        <v>68</v>
      </c>
      <c r="E19019" s="3" t="s">
        <v>100</v>
      </c>
      <c r="F19019" s="7">
        <v>46113.13150270797</v>
      </c>
      <c r="G19019" s="3" t="s">
        <v>13628</v>
      </c>
    </row>
    <row r="19020">
      <c r="A19020" s="3" t="s">
        <v>35187</v>
      </c>
      <c r="B19020" s="3" t="s">
        <v>15790</v>
      </c>
      <c r="C19020" s="5" t="s">
        <v>45</v>
      </c>
      <c r="D19020" s="3" t="s">
        <v>221</v>
      </c>
      <c r="E19020" s="3" t="s">
        <v>282</v>
      </c>
      <c r="F19020" s="7">
        <v>46113.192260886724</v>
      </c>
      <c r="G19020" s="3" t="s">
        <v>14490</v>
      </c>
    </row>
    <row r="19021">
      <c r="A19021" s="3" t="s">
        <v>35188</v>
      </c>
      <c r="B19021" s="3" t="s">
        <v>15790</v>
      </c>
      <c r="C19021" s="5" t="s">
        <v>221</v>
      </c>
      <c r="D19021" s="3" t="s">
        <v>614</v>
      </c>
      <c r="E19021" s="3" t="s">
        <v>118</v>
      </c>
      <c r="F19021" s="7">
        <v>46113.19573310894</v>
      </c>
      <c r="G19021" s="3" t="s">
        <v>14492</v>
      </c>
    </row>
    <row r="19022">
      <c r="A19022" s="3" t="s">
        <v>35189</v>
      </c>
      <c r="B19022" s="3" t="s">
        <v>15790</v>
      </c>
      <c r="C19022" s="5" t="s">
        <v>614</v>
      </c>
      <c r="D19022" s="3" t="s">
        <v>206</v>
      </c>
      <c r="E19022" s="3" t="s">
        <v>100</v>
      </c>
      <c r="F19022" s="7">
        <v>46113.19920533117</v>
      </c>
      <c r="G19022" s="3" t="s">
        <v>14495</v>
      </c>
    </row>
    <row r="19023">
      <c r="A19023" s="3" t="s">
        <v>35190</v>
      </c>
      <c r="B19023" s="3" t="s">
        <v>15790</v>
      </c>
      <c r="C19023" s="5" t="s">
        <v>206</v>
      </c>
      <c r="D19023" s="3" t="s">
        <v>68</v>
      </c>
      <c r="E19023" s="3" t="s">
        <v>100</v>
      </c>
      <c r="F19023" s="7">
        <v>46113.20267755339</v>
      </c>
      <c r="G19023" s="3" t="s">
        <v>14498</v>
      </c>
    </row>
    <row r="19024">
      <c r="A19024" s="3" t="s">
        <v>35191</v>
      </c>
      <c r="B19024" s="3" t="s">
        <v>15793</v>
      </c>
      <c r="C19024" s="5" t="s">
        <v>45</v>
      </c>
      <c r="D19024" s="3" t="s">
        <v>221</v>
      </c>
      <c r="E19024" s="3" t="s">
        <v>870</v>
      </c>
      <c r="F19024" s="7">
        <v>46113.26343573214</v>
      </c>
      <c r="G19024" s="3" t="s">
        <v>13639</v>
      </c>
    </row>
    <row r="19025">
      <c r="A19025" s="3" t="s">
        <v>35192</v>
      </c>
      <c r="B19025" s="3" t="s">
        <v>15793</v>
      </c>
      <c r="C19025" s="5" t="s">
        <v>221</v>
      </c>
      <c r="D19025" s="3" t="s">
        <v>614</v>
      </c>
      <c r="E19025" s="3" t="s">
        <v>118</v>
      </c>
      <c r="F19025" s="7">
        <v>46113.266907954356</v>
      </c>
      <c r="G19025" s="3" t="s">
        <v>13642</v>
      </c>
    </row>
    <row r="19026">
      <c r="A19026" s="3" t="s">
        <v>35193</v>
      </c>
      <c r="B19026" s="3" t="s">
        <v>15793</v>
      </c>
      <c r="C19026" s="5" t="s">
        <v>614</v>
      </c>
      <c r="D19026" s="3" t="s">
        <v>206</v>
      </c>
      <c r="E19026" s="3" t="s">
        <v>100</v>
      </c>
      <c r="F19026" s="7">
        <v>46113.27038017658</v>
      </c>
      <c r="G19026" s="3" t="s">
        <v>13644</v>
      </c>
    </row>
    <row r="19027">
      <c r="A19027" s="3" t="s">
        <v>35194</v>
      </c>
      <c r="B19027" s="3" t="s">
        <v>15793</v>
      </c>
      <c r="C19027" s="5" t="s">
        <v>206</v>
      </c>
      <c r="D19027" s="3" t="s">
        <v>68</v>
      </c>
      <c r="E19027" s="3" t="s">
        <v>100</v>
      </c>
      <c r="F19027" s="7">
        <v>46113.2738523988</v>
      </c>
      <c r="G19027" s="3" t="s">
        <v>13647</v>
      </c>
    </row>
    <row r="19028">
      <c r="A19028" s="3" t="s">
        <v>35195</v>
      </c>
      <c r="B19028" s="3" t="s">
        <v>15796</v>
      </c>
      <c r="C19028" s="5" t="s">
        <v>45</v>
      </c>
      <c r="D19028" s="3" t="s">
        <v>221</v>
      </c>
      <c r="E19028" s="3" t="s">
        <v>722</v>
      </c>
      <c r="F19028" s="7">
        <v>46113.33461057755</v>
      </c>
      <c r="G19028" s="3" t="s">
        <v>4946</v>
      </c>
    </row>
    <row r="19029">
      <c r="A19029" s="3" t="s">
        <v>35196</v>
      </c>
      <c r="B19029" s="3" t="s">
        <v>15796</v>
      </c>
      <c r="C19029" s="5" t="s">
        <v>221</v>
      </c>
      <c r="D19029" s="3" t="s">
        <v>614</v>
      </c>
      <c r="E19029" s="3" t="s">
        <v>118</v>
      </c>
      <c r="F19029" s="7">
        <v>46113.33808279977</v>
      </c>
      <c r="G19029" s="3" t="s">
        <v>4949</v>
      </c>
    </row>
    <row r="19030">
      <c r="A19030" s="3" t="s">
        <v>35197</v>
      </c>
      <c r="B19030" s="3" t="s">
        <v>15796</v>
      </c>
      <c r="C19030" s="5" t="s">
        <v>614</v>
      </c>
      <c r="D19030" s="3" t="s">
        <v>206</v>
      </c>
      <c r="E19030" s="3" t="s">
        <v>100</v>
      </c>
      <c r="F19030" s="7">
        <v>46113.341555021994</v>
      </c>
      <c r="G19030" s="3" t="s">
        <v>4952</v>
      </c>
    </row>
    <row r="19031">
      <c r="A19031" s="3" t="s">
        <v>35198</v>
      </c>
      <c r="B19031" s="3" t="s">
        <v>15796</v>
      </c>
      <c r="C19031" s="5" t="s">
        <v>206</v>
      </c>
      <c r="D19031" s="3" t="s">
        <v>68</v>
      </c>
      <c r="E19031" s="3" t="s">
        <v>100</v>
      </c>
      <c r="F19031" s="7">
        <v>46113.34502724421</v>
      </c>
      <c r="G19031" s="3" t="s">
        <v>4955</v>
      </c>
    </row>
    <row r="19032">
      <c r="A19032" s="3" t="s">
        <v>35199</v>
      </c>
      <c r="B19032" s="3" t="s">
        <v>15799</v>
      </c>
      <c r="C19032" s="5" t="s">
        <v>45</v>
      </c>
      <c r="D19032" s="3" t="s">
        <v>221</v>
      </c>
      <c r="E19032" s="3" t="s">
        <v>398</v>
      </c>
      <c r="F19032" s="7">
        <v>46113.40578542297</v>
      </c>
      <c r="G19032" s="3" t="s">
        <v>13651</v>
      </c>
    </row>
    <row r="19033">
      <c r="A19033" s="3" t="s">
        <v>35200</v>
      </c>
      <c r="B19033" s="3" t="s">
        <v>15799</v>
      </c>
      <c r="C19033" s="5" t="s">
        <v>221</v>
      </c>
      <c r="D19033" s="3" t="s">
        <v>614</v>
      </c>
      <c r="E19033" s="3" t="s">
        <v>118</v>
      </c>
      <c r="F19033" s="7">
        <v>46113.40925764519</v>
      </c>
      <c r="G19033" s="3" t="s">
        <v>13653</v>
      </c>
    </row>
    <row r="19034">
      <c r="A19034" s="3" t="s">
        <v>35201</v>
      </c>
      <c r="B19034" s="3" t="s">
        <v>15799</v>
      </c>
      <c r="C19034" s="5" t="s">
        <v>614</v>
      </c>
      <c r="D19034" s="3" t="s">
        <v>206</v>
      </c>
      <c r="E19034" s="3" t="s">
        <v>100</v>
      </c>
      <c r="F19034" s="7">
        <v>46113.412729867414</v>
      </c>
      <c r="G19034" s="3" t="s">
        <v>13656</v>
      </c>
    </row>
    <row r="19035">
      <c r="A19035" s="3" t="s">
        <v>35202</v>
      </c>
      <c r="B19035" s="3" t="s">
        <v>15799</v>
      </c>
      <c r="C19035" s="5" t="s">
        <v>206</v>
      </c>
      <c r="D19035" s="3" t="s">
        <v>68</v>
      </c>
      <c r="E19035" s="3" t="s">
        <v>100</v>
      </c>
      <c r="F19035" s="7">
        <v>46113.41620208963</v>
      </c>
      <c r="G19035" s="3" t="s">
        <v>13659</v>
      </c>
    </row>
    <row r="19036">
      <c r="A19036" s="3" t="s">
        <v>35203</v>
      </c>
      <c r="B19036" s="3" t="s">
        <v>15802</v>
      </c>
      <c r="C19036" s="5" t="s">
        <v>45</v>
      </c>
      <c r="D19036" s="3" t="s">
        <v>221</v>
      </c>
      <c r="E19036" s="3" t="s">
        <v>266</v>
      </c>
      <c r="F19036" s="7">
        <v>46113.47696026838</v>
      </c>
      <c r="G19036" s="3" t="s">
        <v>4342</v>
      </c>
    </row>
    <row r="19037">
      <c r="A19037" s="3" t="s">
        <v>35204</v>
      </c>
      <c r="B19037" s="3" t="s">
        <v>15802</v>
      </c>
      <c r="C19037" s="5" t="s">
        <v>221</v>
      </c>
      <c r="D19037" s="3" t="s">
        <v>614</v>
      </c>
      <c r="E19037" s="3" t="s">
        <v>118</v>
      </c>
      <c r="F19037" s="7">
        <v>46113.4804324906</v>
      </c>
      <c r="G19037" s="3" t="s">
        <v>4345</v>
      </c>
    </row>
    <row r="19038">
      <c r="A19038" s="3" t="s">
        <v>35205</v>
      </c>
      <c r="B19038" s="3" t="s">
        <v>15802</v>
      </c>
      <c r="C19038" s="5" t="s">
        <v>614</v>
      </c>
      <c r="D19038" s="3" t="s">
        <v>206</v>
      </c>
      <c r="E19038" s="3" t="s">
        <v>100</v>
      </c>
      <c r="F19038" s="7">
        <v>46113.483904712826</v>
      </c>
      <c r="G19038" s="3" t="s">
        <v>4348</v>
      </c>
    </row>
    <row r="19039">
      <c r="A19039" s="3" t="s">
        <v>35206</v>
      </c>
      <c r="B19039" s="3" t="s">
        <v>15802</v>
      </c>
      <c r="C19039" s="5" t="s">
        <v>206</v>
      </c>
      <c r="D19039" s="3" t="s">
        <v>68</v>
      </c>
      <c r="E19039" s="3" t="s">
        <v>100</v>
      </c>
      <c r="F19039" s="7">
        <v>46113.487376935045</v>
      </c>
      <c r="G19039" s="3" t="s">
        <v>4350</v>
      </c>
    </row>
    <row r="19040">
      <c r="A19040" s="3" t="s">
        <v>35207</v>
      </c>
      <c r="B19040" s="3" t="s">
        <v>15804</v>
      </c>
      <c r="C19040" s="5" t="s">
        <v>45</v>
      </c>
      <c r="D19040" s="3" t="s">
        <v>221</v>
      </c>
      <c r="E19040" s="3" t="s">
        <v>747</v>
      </c>
      <c r="F19040" s="7">
        <v>46113.54813511379</v>
      </c>
      <c r="G19040" s="3" t="s">
        <v>5902</v>
      </c>
    </row>
    <row r="19041">
      <c r="A19041" s="3" t="s">
        <v>35208</v>
      </c>
      <c r="B19041" s="3" t="s">
        <v>15804</v>
      </c>
      <c r="C19041" s="5" t="s">
        <v>221</v>
      </c>
      <c r="D19041" s="3" t="s">
        <v>614</v>
      </c>
      <c r="E19041" s="3" t="s">
        <v>118</v>
      </c>
      <c r="F19041" s="7">
        <v>46113.55160733601</v>
      </c>
      <c r="G19041" s="3" t="s">
        <v>5906</v>
      </c>
    </row>
    <row r="19042">
      <c r="A19042" s="3" t="s">
        <v>35209</v>
      </c>
      <c r="B19042" s="3" t="s">
        <v>15804</v>
      </c>
      <c r="C19042" s="5" t="s">
        <v>614</v>
      </c>
      <c r="D19042" s="3" t="s">
        <v>206</v>
      </c>
      <c r="E19042" s="3" t="s">
        <v>100</v>
      </c>
      <c r="F19042" s="7">
        <v>46113.55507955824</v>
      </c>
      <c r="G19042" s="3" t="s">
        <v>5909</v>
      </c>
    </row>
    <row r="19043">
      <c r="A19043" s="3" t="s">
        <v>35210</v>
      </c>
      <c r="B19043" s="3" t="s">
        <v>15804</v>
      </c>
      <c r="C19043" s="5" t="s">
        <v>206</v>
      </c>
      <c r="D19043" s="3" t="s">
        <v>68</v>
      </c>
      <c r="E19043" s="3" t="s">
        <v>100</v>
      </c>
      <c r="F19043" s="7">
        <v>46113.55855178046</v>
      </c>
      <c r="G19043" s="3" t="s">
        <v>5912</v>
      </c>
    </row>
    <row r="19044">
      <c r="A19044" s="3" t="s">
        <v>35211</v>
      </c>
      <c r="B19044" s="3" t="s">
        <v>15807</v>
      </c>
      <c r="C19044" s="5" t="s">
        <v>45</v>
      </c>
      <c r="D19044" s="3" t="s">
        <v>221</v>
      </c>
      <c r="E19044" s="3" t="s">
        <v>193</v>
      </c>
      <c r="F19044" s="7">
        <v>46113.61930995921</v>
      </c>
      <c r="G19044" s="3" t="s">
        <v>8729</v>
      </c>
    </row>
    <row r="19045">
      <c r="A19045" s="3" t="s">
        <v>35212</v>
      </c>
      <c r="B19045" s="3" t="s">
        <v>15807</v>
      </c>
      <c r="C19045" s="5" t="s">
        <v>221</v>
      </c>
      <c r="D19045" s="3" t="s">
        <v>614</v>
      </c>
      <c r="E19045" s="3" t="s">
        <v>118</v>
      </c>
      <c r="F19045" s="7">
        <v>46113.62278218143</v>
      </c>
      <c r="G19045" s="3" t="s">
        <v>25830</v>
      </c>
    </row>
    <row r="19046">
      <c r="A19046" s="3" t="s">
        <v>35213</v>
      </c>
      <c r="B19046" s="3" t="s">
        <v>15807</v>
      </c>
      <c r="C19046" s="5" t="s">
        <v>614</v>
      </c>
      <c r="D19046" s="3" t="s">
        <v>206</v>
      </c>
      <c r="E19046" s="3" t="s">
        <v>100</v>
      </c>
      <c r="F19046" s="7">
        <v>46113.62625440366</v>
      </c>
      <c r="G19046" s="3" t="s">
        <v>25832</v>
      </c>
    </row>
    <row r="19047">
      <c r="A19047" s="3" t="s">
        <v>35214</v>
      </c>
      <c r="B19047" s="3" t="s">
        <v>15807</v>
      </c>
      <c r="C19047" s="5" t="s">
        <v>206</v>
      </c>
      <c r="D19047" s="3" t="s">
        <v>68</v>
      </c>
      <c r="E19047" s="3" t="s">
        <v>100</v>
      </c>
      <c r="F19047" s="7">
        <v>46113.62972662588</v>
      </c>
      <c r="G19047" s="3" t="s">
        <v>25834</v>
      </c>
    </row>
    <row r="19048">
      <c r="A19048" s="3" t="s">
        <v>35215</v>
      </c>
      <c r="B19048" s="3" t="s">
        <v>15811</v>
      </c>
      <c r="C19048" s="5" t="s">
        <v>45</v>
      </c>
      <c r="D19048" s="3" t="s">
        <v>221</v>
      </c>
      <c r="E19048" s="3" t="s">
        <v>233</v>
      </c>
      <c r="F19048" s="7">
        <v>46113.69048480463</v>
      </c>
      <c r="G19048" s="3" t="s">
        <v>13669</v>
      </c>
    </row>
    <row r="19049">
      <c r="A19049" s="3" t="s">
        <v>35216</v>
      </c>
      <c r="B19049" s="3" t="s">
        <v>15811</v>
      </c>
      <c r="C19049" s="5" t="s">
        <v>221</v>
      </c>
      <c r="D19049" s="3" t="s">
        <v>614</v>
      </c>
      <c r="E19049" s="3" t="s">
        <v>118</v>
      </c>
      <c r="F19049" s="7">
        <v>46113.69395702685</v>
      </c>
      <c r="G19049" s="3" t="s">
        <v>13672</v>
      </c>
    </row>
    <row r="19050">
      <c r="A19050" s="3" t="s">
        <v>35217</v>
      </c>
      <c r="B19050" s="3" t="s">
        <v>15811</v>
      </c>
      <c r="C19050" s="5" t="s">
        <v>614</v>
      </c>
      <c r="D19050" s="3" t="s">
        <v>206</v>
      </c>
      <c r="E19050" s="3" t="s">
        <v>100</v>
      </c>
      <c r="F19050" s="7">
        <v>46113.69742924908</v>
      </c>
      <c r="G19050" s="3" t="s">
        <v>13675</v>
      </c>
    </row>
    <row r="19051">
      <c r="A19051" s="3" t="s">
        <v>35218</v>
      </c>
      <c r="B19051" s="3" t="s">
        <v>15811</v>
      </c>
      <c r="C19051" s="5" t="s">
        <v>206</v>
      </c>
      <c r="D19051" s="3" t="s">
        <v>68</v>
      </c>
      <c r="E19051" s="3" t="s">
        <v>100</v>
      </c>
      <c r="F19051" s="7">
        <v>46113.7009014713</v>
      </c>
      <c r="G19051" s="3" t="s">
        <v>13678</v>
      </c>
    </row>
    <row r="19052">
      <c r="A19052" s="3" t="s">
        <v>35219</v>
      </c>
      <c r="B19052" s="3" t="s">
        <v>15814</v>
      </c>
      <c r="C19052" s="5" t="s">
        <v>45</v>
      </c>
      <c r="D19052" s="3" t="s">
        <v>221</v>
      </c>
      <c r="E19052" s="3" t="s">
        <v>280</v>
      </c>
      <c r="F19052" s="7">
        <v>46113.76165965004</v>
      </c>
      <c r="G19052" s="3" t="s">
        <v>11915</v>
      </c>
    </row>
    <row r="19053">
      <c r="A19053" s="3" t="s">
        <v>35220</v>
      </c>
      <c r="B19053" s="3" t="s">
        <v>15814</v>
      </c>
      <c r="C19053" s="5" t="s">
        <v>221</v>
      </c>
      <c r="D19053" s="3" t="s">
        <v>614</v>
      </c>
      <c r="E19053" s="3" t="s">
        <v>118</v>
      </c>
      <c r="F19053" s="7">
        <v>46113.76513187226</v>
      </c>
      <c r="G19053" s="3" t="s">
        <v>11918</v>
      </c>
    </row>
    <row r="19054">
      <c r="A19054" s="3" t="s">
        <v>35221</v>
      </c>
      <c r="B19054" s="3" t="s">
        <v>15814</v>
      </c>
      <c r="C19054" s="5" t="s">
        <v>614</v>
      </c>
      <c r="D19054" s="3" t="s">
        <v>206</v>
      </c>
      <c r="E19054" s="3" t="s">
        <v>100</v>
      </c>
      <c r="F19054" s="7">
        <v>46113.76860409448</v>
      </c>
      <c r="G19054" s="3" t="s">
        <v>11921</v>
      </c>
    </row>
    <row r="19055">
      <c r="A19055" s="3" t="s">
        <v>35222</v>
      </c>
      <c r="B19055" s="3" t="s">
        <v>15814</v>
      </c>
      <c r="C19055" s="5" t="s">
        <v>206</v>
      </c>
      <c r="D19055" s="3" t="s">
        <v>68</v>
      </c>
      <c r="E19055" s="3" t="s">
        <v>100</v>
      </c>
      <c r="F19055" s="7">
        <v>46113.7720763167</v>
      </c>
      <c r="G19055" s="3" t="s">
        <v>11923</v>
      </c>
    </row>
    <row r="19056">
      <c r="A19056" s="3" t="s">
        <v>35223</v>
      </c>
      <c r="B19056" s="3" t="s">
        <v>15817</v>
      </c>
      <c r="C19056" s="5" t="s">
        <v>45</v>
      </c>
      <c r="D19056" s="3" t="s">
        <v>221</v>
      </c>
      <c r="E19056" s="3" t="s">
        <v>685</v>
      </c>
      <c r="F19056" s="7">
        <v>46113.83283449546</v>
      </c>
      <c r="G19056" s="3" t="s">
        <v>6408</v>
      </c>
    </row>
    <row r="19057">
      <c r="A19057" s="3" t="s">
        <v>35224</v>
      </c>
      <c r="B19057" s="3" t="s">
        <v>15817</v>
      </c>
      <c r="C19057" s="5" t="s">
        <v>221</v>
      </c>
      <c r="D19057" s="3" t="s">
        <v>614</v>
      </c>
      <c r="E19057" s="3" t="s">
        <v>118</v>
      </c>
      <c r="F19057" s="7">
        <v>46113.836306717676</v>
      </c>
      <c r="G19057" s="3" t="s">
        <v>6410</v>
      </c>
    </row>
    <row r="19058">
      <c r="A19058" s="3" t="s">
        <v>35225</v>
      </c>
      <c r="B19058" s="3" t="s">
        <v>15817</v>
      </c>
      <c r="C19058" s="5" t="s">
        <v>614</v>
      </c>
      <c r="D19058" s="3" t="s">
        <v>206</v>
      </c>
      <c r="E19058" s="3" t="s">
        <v>100</v>
      </c>
      <c r="F19058" s="7">
        <v>46113.8397789399</v>
      </c>
      <c r="G19058" s="3" t="s">
        <v>6413</v>
      </c>
    </row>
    <row r="19059">
      <c r="A19059" s="3" t="s">
        <v>35226</v>
      </c>
      <c r="B19059" s="3" t="s">
        <v>15817</v>
      </c>
      <c r="C19059" s="5" t="s">
        <v>206</v>
      </c>
      <c r="D19059" s="3" t="s">
        <v>68</v>
      </c>
      <c r="E19059" s="3" t="s">
        <v>100</v>
      </c>
      <c r="F19059" s="7">
        <v>46113.84325116212</v>
      </c>
      <c r="G19059" s="3" t="s">
        <v>6416</v>
      </c>
    </row>
    <row r="19060">
      <c r="A19060" s="3" t="s">
        <v>35227</v>
      </c>
      <c r="B19060" s="3" t="s">
        <v>15821</v>
      </c>
      <c r="C19060" s="5" t="s">
        <v>45</v>
      </c>
      <c r="D19060" s="3" t="s">
        <v>221</v>
      </c>
      <c r="E19060" s="3" t="s">
        <v>419</v>
      </c>
      <c r="F19060" s="7">
        <v>46113.90400934088</v>
      </c>
      <c r="G19060" s="3" t="s">
        <v>17638</v>
      </c>
    </row>
    <row r="19061">
      <c r="A19061" s="3" t="s">
        <v>35228</v>
      </c>
      <c r="B19061" s="3" t="s">
        <v>15821</v>
      </c>
      <c r="C19061" s="5" t="s">
        <v>221</v>
      </c>
      <c r="D19061" s="3" t="s">
        <v>614</v>
      </c>
      <c r="E19061" s="3" t="s">
        <v>118</v>
      </c>
      <c r="F19061" s="7">
        <v>46113.907481563096</v>
      </c>
      <c r="G19061" s="3" t="s">
        <v>20179</v>
      </c>
    </row>
    <row r="19062">
      <c r="A19062" s="3" t="s">
        <v>35229</v>
      </c>
      <c r="B19062" s="3" t="s">
        <v>15821</v>
      </c>
      <c r="C19062" s="5" t="s">
        <v>614</v>
      </c>
      <c r="D19062" s="3" t="s">
        <v>206</v>
      </c>
      <c r="E19062" s="3" t="s">
        <v>100</v>
      </c>
      <c r="F19062" s="7">
        <v>46113.91095378532</v>
      </c>
      <c r="G19062" s="3" t="s">
        <v>20182</v>
      </c>
    </row>
    <row r="19063">
      <c r="A19063" s="3" t="s">
        <v>35230</v>
      </c>
      <c r="B19063" s="3" t="s">
        <v>15821</v>
      </c>
      <c r="C19063" s="5" t="s">
        <v>206</v>
      </c>
      <c r="D19063" s="3" t="s">
        <v>68</v>
      </c>
      <c r="E19063" s="3" t="s">
        <v>100</v>
      </c>
      <c r="F19063" s="7">
        <v>46113.91442600754</v>
      </c>
      <c r="G19063" s="3" t="s">
        <v>20185</v>
      </c>
    </row>
    <row r="19064">
      <c r="A19064" s="3" t="s">
        <v>35231</v>
      </c>
      <c r="B19064" s="3" t="s">
        <v>15825</v>
      </c>
      <c r="C19064" s="5" t="s">
        <v>45</v>
      </c>
      <c r="D19064" s="3" t="s">
        <v>221</v>
      </c>
      <c r="E19064" s="3" t="s">
        <v>800</v>
      </c>
      <c r="F19064" s="7">
        <v>46113.97518418629</v>
      </c>
      <c r="G19064" s="3" t="s">
        <v>13700</v>
      </c>
    </row>
    <row r="19065">
      <c r="A19065" s="3" t="s">
        <v>35232</v>
      </c>
      <c r="B19065" s="3" t="s">
        <v>15825</v>
      </c>
      <c r="C19065" s="5" t="s">
        <v>221</v>
      </c>
      <c r="D19065" s="3" t="s">
        <v>614</v>
      </c>
      <c r="E19065" s="3" t="s">
        <v>118</v>
      </c>
      <c r="F19065" s="7">
        <v>46113.97865640851</v>
      </c>
      <c r="G19065" s="3" t="s">
        <v>13703</v>
      </c>
    </row>
    <row r="19066">
      <c r="A19066" s="3" t="s">
        <v>35233</v>
      </c>
      <c r="B19066" s="3" t="s">
        <v>15825</v>
      </c>
      <c r="C19066" s="5" t="s">
        <v>614</v>
      </c>
      <c r="D19066" s="3" t="s">
        <v>206</v>
      </c>
      <c r="E19066" s="3" t="s">
        <v>100</v>
      </c>
      <c r="F19066" s="7">
        <v>46113.982128630734</v>
      </c>
      <c r="G19066" s="3" t="s">
        <v>13706</v>
      </c>
    </row>
    <row r="19067">
      <c r="A19067" s="3" t="s">
        <v>35234</v>
      </c>
      <c r="B19067" s="3" t="s">
        <v>15825</v>
      </c>
      <c r="C19067" s="5" t="s">
        <v>206</v>
      </c>
      <c r="D19067" s="3" t="s">
        <v>68</v>
      </c>
      <c r="E19067" s="3" t="s">
        <v>100</v>
      </c>
      <c r="F19067" s="7">
        <v>46113.98560085295</v>
      </c>
      <c r="G19067" s="3" t="s">
        <v>13709</v>
      </c>
    </row>
    <row r="19068">
      <c r="A19068" s="3" t="s">
        <v>35235</v>
      </c>
      <c r="B19068" s="3" t="s">
        <v>15828</v>
      </c>
      <c r="C19068" s="5" t="s">
        <v>45</v>
      </c>
      <c r="D19068" s="3" t="s">
        <v>221</v>
      </c>
      <c r="E19068" s="3" t="s">
        <v>920</v>
      </c>
      <c r="F19068" s="7">
        <v>46114.0463590317</v>
      </c>
      <c r="G19068" s="3" t="s">
        <v>13723</v>
      </c>
    </row>
    <row r="19069">
      <c r="A19069" s="3" t="s">
        <v>35236</v>
      </c>
      <c r="B19069" s="3" t="s">
        <v>15828</v>
      </c>
      <c r="C19069" s="5" t="s">
        <v>221</v>
      </c>
      <c r="D19069" s="3" t="s">
        <v>614</v>
      </c>
      <c r="E19069" s="3" t="s">
        <v>118</v>
      </c>
      <c r="F19069" s="7">
        <v>46114.04983125392</v>
      </c>
      <c r="G19069" s="3" t="s">
        <v>13726</v>
      </c>
    </row>
    <row r="19070">
      <c r="A19070" s="3" t="s">
        <v>35237</v>
      </c>
      <c r="B19070" s="3" t="s">
        <v>15828</v>
      </c>
      <c r="C19070" s="5" t="s">
        <v>614</v>
      </c>
      <c r="D19070" s="3" t="s">
        <v>206</v>
      </c>
      <c r="E19070" s="3" t="s">
        <v>100</v>
      </c>
      <c r="F19070" s="7">
        <v>46114.05330347615</v>
      </c>
      <c r="G19070" s="3" t="s">
        <v>13728</v>
      </c>
    </row>
    <row r="19071">
      <c r="A19071" s="3" t="s">
        <v>35238</v>
      </c>
      <c r="B19071" s="3" t="s">
        <v>15828</v>
      </c>
      <c r="C19071" s="5" t="s">
        <v>206</v>
      </c>
      <c r="D19071" s="3" t="s">
        <v>68</v>
      </c>
      <c r="E19071" s="3" t="s">
        <v>100</v>
      </c>
      <c r="F19071" s="7">
        <v>46114.056775698366</v>
      </c>
      <c r="G19071" s="3" t="s">
        <v>13731</v>
      </c>
    </row>
    <row r="19072">
      <c r="A19072" s="3" t="s">
        <v>35239</v>
      </c>
      <c r="B19072" s="3" t="s">
        <v>15831</v>
      </c>
      <c r="C19072" s="5" t="s">
        <v>45</v>
      </c>
      <c r="D19072" s="3" t="s">
        <v>221</v>
      </c>
      <c r="E19072" s="3" t="s">
        <v>159</v>
      </c>
      <c r="F19072" s="7">
        <v>46114.11753387712</v>
      </c>
      <c r="G19072" s="3" t="s">
        <v>12226</v>
      </c>
    </row>
    <row r="19073">
      <c r="A19073" s="3" t="s">
        <v>35240</v>
      </c>
      <c r="B19073" s="3" t="s">
        <v>15831</v>
      </c>
      <c r="C19073" s="5" t="s">
        <v>221</v>
      </c>
      <c r="D19073" s="3" t="s">
        <v>614</v>
      </c>
      <c r="E19073" s="3" t="s">
        <v>118</v>
      </c>
      <c r="F19073" s="7">
        <v>46114.12100609934</v>
      </c>
      <c r="G19073" s="3" t="s">
        <v>12229</v>
      </c>
    </row>
    <row r="19074">
      <c r="A19074" s="3" t="s">
        <v>35241</v>
      </c>
      <c r="B19074" s="3" t="s">
        <v>15831</v>
      </c>
      <c r="C19074" s="5" t="s">
        <v>614</v>
      </c>
      <c r="D19074" s="3" t="s">
        <v>206</v>
      </c>
      <c r="E19074" s="3" t="s">
        <v>100</v>
      </c>
      <c r="F19074" s="7">
        <v>46114.124478321566</v>
      </c>
      <c r="G19074" s="3" t="s">
        <v>12232</v>
      </c>
    </row>
    <row r="19075">
      <c r="A19075" s="3" t="s">
        <v>35242</v>
      </c>
      <c r="B19075" s="3" t="s">
        <v>15831</v>
      </c>
      <c r="C19075" s="5" t="s">
        <v>206</v>
      </c>
      <c r="D19075" s="3" t="s">
        <v>68</v>
      </c>
      <c r="E19075" s="3" t="s">
        <v>100</v>
      </c>
      <c r="F19075" s="7">
        <v>46114.127950543785</v>
      </c>
      <c r="G19075" s="3" t="s">
        <v>12235</v>
      </c>
    </row>
    <row r="19076">
      <c r="A19076" s="3" t="s">
        <v>35243</v>
      </c>
      <c r="B19076" s="3" t="s">
        <v>15834</v>
      </c>
      <c r="C19076" s="5" t="s">
        <v>45</v>
      </c>
      <c r="D19076" s="3" t="s">
        <v>221</v>
      </c>
      <c r="E19076" s="3" t="s">
        <v>598</v>
      </c>
      <c r="F19076" s="7">
        <v>46114.18870872253</v>
      </c>
      <c r="G19076" s="3" t="s">
        <v>23242</v>
      </c>
    </row>
    <row r="19077">
      <c r="A19077" s="3" t="s">
        <v>35244</v>
      </c>
      <c r="B19077" s="3" t="s">
        <v>15834</v>
      </c>
      <c r="C19077" s="5" t="s">
        <v>221</v>
      </c>
      <c r="D19077" s="3" t="s">
        <v>614</v>
      </c>
      <c r="E19077" s="3" t="s">
        <v>118</v>
      </c>
      <c r="F19077" s="7">
        <v>46114.19218094475</v>
      </c>
      <c r="G19077" s="3" t="s">
        <v>23245</v>
      </c>
    </row>
    <row r="19078">
      <c r="A19078" s="3" t="s">
        <v>35245</v>
      </c>
      <c r="B19078" s="3" t="s">
        <v>15834</v>
      </c>
      <c r="C19078" s="5" t="s">
        <v>614</v>
      </c>
      <c r="D19078" s="3" t="s">
        <v>206</v>
      </c>
      <c r="E19078" s="3" t="s">
        <v>100</v>
      </c>
      <c r="F19078" s="7">
        <v>46114.19565316698</v>
      </c>
      <c r="G19078" s="3" t="s">
        <v>23248</v>
      </c>
    </row>
    <row r="19079">
      <c r="A19079" s="3" t="s">
        <v>35246</v>
      </c>
      <c r="B19079" s="3" t="s">
        <v>15834</v>
      </c>
      <c r="C19079" s="5" t="s">
        <v>206</v>
      </c>
      <c r="D19079" s="3" t="s">
        <v>68</v>
      </c>
      <c r="E19079" s="3" t="s">
        <v>100</v>
      </c>
      <c r="F19079" s="7">
        <v>46114.1991253892</v>
      </c>
      <c r="G19079" s="3" t="s">
        <v>23251</v>
      </c>
    </row>
    <row r="19080">
      <c r="A19080" s="3" t="s">
        <v>35247</v>
      </c>
      <c r="B19080" s="3" t="s">
        <v>15836</v>
      </c>
      <c r="C19080" s="5" t="s">
        <v>45</v>
      </c>
      <c r="D19080" s="3" t="s">
        <v>221</v>
      </c>
      <c r="E19080" s="3" t="s">
        <v>1043</v>
      </c>
      <c r="F19080" s="7">
        <v>46114.259883567946</v>
      </c>
      <c r="G19080" s="3" t="s">
        <v>11131</v>
      </c>
    </row>
    <row r="19081">
      <c r="A19081" s="3" t="s">
        <v>35248</v>
      </c>
      <c r="B19081" s="3" t="s">
        <v>15836</v>
      </c>
      <c r="C19081" s="5" t="s">
        <v>221</v>
      </c>
      <c r="D19081" s="3" t="s">
        <v>181</v>
      </c>
      <c r="E19081" s="3" t="s">
        <v>118</v>
      </c>
      <c r="F19081" s="7">
        <v>46114.263355790164</v>
      </c>
      <c r="G19081" s="3" t="s">
        <v>35249</v>
      </c>
    </row>
    <row r="19082">
      <c r="A19082" s="3" t="s">
        <v>35250</v>
      </c>
      <c r="B19082" s="3" t="s">
        <v>15839</v>
      </c>
      <c r="C19082" s="5" t="s">
        <v>45</v>
      </c>
      <c r="D19082" s="3" t="s">
        <v>221</v>
      </c>
      <c r="E19082" s="3" t="s">
        <v>993</v>
      </c>
      <c r="F19082" s="7">
        <v>46114.331058413365</v>
      </c>
      <c r="G19082" s="3" t="s">
        <v>12582</v>
      </c>
    </row>
    <row r="19083">
      <c r="A19083" s="3" t="s">
        <v>35251</v>
      </c>
      <c r="B19083" s="3" t="s">
        <v>15839</v>
      </c>
      <c r="C19083" s="5" t="s">
        <v>221</v>
      </c>
      <c r="D19083" s="3" t="s">
        <v>614</v>
      </c>
      <c r="E19083" s="3" t="s">
        <v>118</v>
      </c>
      <c r="F19083" s="7">
        <v>46114.334530635584</v>
      </c>
      <c r="G19083" s="3" t="s">
        <v>12585</v>
      </c>
    </row>
    <row r="19084">
      <c r="A19084" s="3" t="s">
        <v>35252</v>
      </c>
      <c r="B19084" s="3" t="s">
        <v>15839</v>
      </c>
      <c r="C19084" s="5" t="s">
        <v>614</v>
      </c>
      <c r="D19084" s="3" t="s">
        <v>206</v>
      </c>
      <c r="E19084" s="3" t="s">
        <v>100</v>
      </c>
      <c r="F19084" s="7">
        <v>46114.33800285781</v>
      </c>
      <c r="G19084" s="3" t="s">
        <v>12588</v>
      </c>
    </row>
    <row r="19085">
      <c r="A19085" s="3" t="s">
        <v>35253</v>
      </c>
      <c r="B19085" s="3" t="s">
        <v>15839</v>
      </c>
      <c r="C19085" s="5" t="s">
        <v>206</v>
      </c>
      <c r="D19085" s="3" t="s">
        <v>68</v>
      </c>
      <c r="E19085" s="3" t="s">
        <v>100</v>
      </c>
      <c r="F19085" s="7">
        <v>46114.34147508003</v>
      </c>
      <c r="G19085" s="3" t="s">
        <v>12591</v>
      </c>
    </row>
    <row r="19086">
      <c r="A19086" s="3" t="s">
        <v>35254</v>
      </c>
      <c r="B19086" s="3" t="s">
        <v>15841</v>
      </c>
      <c r="C19086" s="5" t="s">
        <v>45</v>
      </c>
      <c r="D19086" s="3" t="s">
        <v>221</v>
      </c>
      <c r="E19086" s="3" t="s">
        <v>593</v>
      </c>
      <c r="F19086" s="7">
        <v>46114.402233258785</v>
      </c>
      <c r="G19086" s="3" t="s">
        <v>22304</v>
      </c>
    </row>
    <row r="19087">
      <c r="A19087" s="3" t="s">
        <v>35255</v>
      </c>
      <c r="B19087" s="3" t="s">
        <v>15841</v>
      </c>
      <c r="C19087" s="5" t="s">
        <v>221</v>
      </c>
      <c r="D19087" s="3" t="s">
        <v>614</v>
      </c>
      <c r="E19087" s="3" t="s">
        <v>118</v>
      </c>
      <c r="F19087" s="7">
        <v>46114.405705481004</v>
      </c>
      <c r="G19087" s="3" t="s">
        <v>22307</v>
      </c>
    </row>
    <row r="19088">
      <c r="A19088" s="3" t="s">
        <v>35256</v>
      </c>
      <c r="B19088" s="3" t="s">
        <v>15841</v>
      </c>
      <c r="C19088" s="5" t="s">
        <v>614</v>
      </c>
      <c r="D19088" s="3" t="s">
        <v>206</v>
      </c>
      <c r="E19088" s="3" t="s">
        <v>100</v>
      </c>
      <c r="F19088" s="7">
        <v>46114.40917770323</v>
      </c>
      <c r="G19088" s="3" t="s">
        <v>22310</v>
      </c>
    </row>
    <row r="19089">
      <c r="A19089" s="3" t="s">
        <v>35257</v>
      </c>
      <c r="B19089" s="3" t="s">
        <v>15841</v>
      </c>
      <c r="C19089" s="5" t="s">
        <v>206</v>
      </c>
      <c r="D19089" s="3" t="s">
        <v>68</v>
      </c>
      <c r="E19089" s="3" t="s">
        <v>100</v>
      </c>
      <c r="F19089" s="7">
        <v>46114.41264992545</v>
      </c>
      <c r="G19089" s="3" t="s">
        <v>22313</v>
      </c>
    </row>
    <row r="19090">
      <c r="A19090" s="3" t="s">
        <v>35258</v>
      </c>
      <c r="B19090" s="3" t="s">
        <v>15844</v>
      </c>
      <c r="C19090" s="5" t="s">
        <v>45</v>
      </c>
      <c r="D19090" s="3" t="s">
        <v>221</v>
      </c>
      <c r="E19090" s="3" t="s">
        <v>990</v>
      </c>
      <c r="F19090" s="7">
        <v>46114.47340810419</v>
      </c>
      <c r="G19090" s="3" t="s">
        <v>13775</v>
      </c>
    </row>
    <row r="19091">
      <c r="A19091" s="3" t="s">
        <v>35259</v>
      </c>
      <c r="B19091" s="3" t="s">
        <v>15844</v>
      </c>
      <c r="C19091" s="5" t="s">
        <v>221</v>
      </c>
      <c r="D19091" s="3" t="s">
        <v>614</v>
      </c>
      <c r="E19091" s="3" t="s">
        <v>118</v>
      </c>
      <c r="F19091" s="7">
        <v>46114.47688032641</v>
      </c>
      <c r="G19091" s="3" t="s">
        <v>13778</v>
      </c>
    </row>
    <row r="19092">
      <c r="A19092" s="3" t="s">
        <v>35260</v>
      </c>
      <c r="B19092" s="3" t="s">
        <v>15844</v>
      </c>
      <c r="C19092" s="5" t="s">
        <v>614</v>
      </c>
      <c r="D19092" s="3" t="s">
        <v>206</v>
      </c>
      <c r="E19092" s="3" t="s">
        <v>100</v>
      </c>
      <c r="F19092" s="7">
        <v>46114.480352548635</v>
      </c>
      <c r="G19092" s="3" t="s">
        <v>13781</v>
      </c>
    </row>
    <row r="19093">
      <c r="A19093" s="3" t="s">
        <v>35261</v>
      </c>
      <c r="B19093" s="3" t="s">
        <v>15844</v>
      </c>
      <c r="C19093" s="5" t="s">
        <v>206</v>
      </c>
      <c r="D19093" s="3" t="s">
        <v>68</v>
      </c>
      <c r="E19093" s="3" t="s">
        <v>100</v>
      </c>
      <c r="F19093" s="7">
        <v>46114.483824770854</v>
      </c>
      <c r="G19093" s="3" t="s">
        <v>13783</v>
      </c>
    </row>
    <row r="19094">
      <c r="A19094" s="3" t="s">
        <v>35262</v>
      </c>
      <c r="B19094" s="3" t="s">
        <v>15847</v>
      </c>
      <c r="C19094" s="5" t="s">
        <v>45</v>
      </c>
      <c r="D19094" s="3" t="s">
        <v>221</v>
      </c>
      <c r="E19094" s="3" t="s">
        <v>615</v>
      </c>
      <c r="F19094" s="7">
        <v>46114.54458294961</v>
      </c>
      <c r="G19094" s="3" t="s">
        <v>10558</v>
      </c>
    </row>
    <row r="19095">
      <c r="A19095" s="3" t="s">
        <v>35263</v>
      </c>
      <c r="B19095" s="3" t="s">
        <v>15847</v>
      </c>
      <c r="C19095" s="5" t="s">
        <v>221</v>
      </c>
      <c r="D19095" s="3" t="s">
        <v>614</v>
      </c>
      <c r="E19095" s="3" t="s">
        <v>118</v>
      </c>
      <c r="F19095" s="7">
        <v>46114.54805517183</v>
      </c>
      <c r="G19095" s="3" t="s">
        <v>10561</v>
      </c>
    </row>
    <row r="19096">
      <c r="A19096" s="3" t="s">
        <v>35264</v>
      </c>
      <c r="B19096" s="3" t="s">
        <v>15847</v>
      </c>
      <c r="C19096" s="5" t="s">
        <v>614</v>
      </c>
      <c r="D19096" s="3" t="s">
        <v>206</v>
      </c>
      <c r="E19096" s="3" t="s">
        <v>100</v>
      </c>
      <c r="F19096" s="7">
        <v>46114.551527394055</v>
      </c>
      <c r="G19096" s="3" t="s">
        <v>10564</v>
      </c>
    </row>
    <row r="19097">
      <c r="A19097" s="3" t="s">
        <v>35265</v>
      </c>
      <c r="B19097" s="3" t="s">
        <v>15847</v>
      </c>
      <c r="C19097" s="5" t="s">
        <v>206</v>
      </c>
      <c r="D19097" s="3" t="s">
        <v>68</v>
      </c>
      <c r="E19097" s="3" t="s">
        <v>100</v>
      </c>
      <c r="F19097" s="7">
        <v>46114.55499961627</v>
      </c>
      <c r="G19097" s="3" t="s">
        <v>10567</v>
      </c>
    </row>
    <row r="19098">
      <c r="A19098" s="3" t="s">
        <v>35266</v>
      </c>
      <c r="B19098" s="3" t="s">
        <v>15852</v>
      </c>
      <c r="C19098" s="5" t="s">
        <v>45</v>
      </c>
      <c r="D19098" s="3" t="s">
        <v>221</v>
      </c>
      <c r="E19098" s="3" t="s">
        <v>816</v>
      </c>
      <c r="F19098" s="7">
        <v>46114.61575779502</v>
      </c>
      <c r="G19098" s="3" t="s">
        <v>13786</v>
      </c>
    </row>
    <row r="19099">
      <c r="A19099" s="3" t="s">
        <v>35267</v>
      </c>
      <c r="B19099" s="3" t="s">
        <v>15852</v>
      </c>
      <c r="C19099" s="5" t="s">
        <v>221</v>
      </c>
      <c r="D19099" s="3" t="s">
        <v>614</v>
      </c>
      <c r="E19099" s="3" t="s">
        <v>118</v>
      </c>
      <c r="F19099" s="7">
        <v>46114.61923001724</v>
      </c>
      <c r="G19099" s="3" t="s">
        <v>13789</v>
      </c>
    </row>
    <row r="19100">
      <c r="A19100" s="3" t="s">
        <v>35268</v>
      </c>
      <c r="B19100" s="3" t="s">
        <v>15852</v>
      </c>
      <c r="C19100" s="5" t="s">
        <v>614</v>
      </c>
      <c r="D19100" s="3" t="s">
        <v>206</v>
      </c>
      <c r="E19100" s="3" t="s">
        <v>100</v>
      </c>
      <c r="F19100" s="7">
        <v>46114.62270223947</v>
      </c>
      <c r="G19100" s="3" t="s">
        <v>13792</v>
      </c>
    </row>
    <row r="19101">
      <c r="A19101" s="3" t="s">
        <v>35269</v>
      </c>
      <c r="B19101" s="3" t="s">
        <v>15852</v>
      </c>
      <c r="C19101" s="5" t="s">
        <v>206</v>
      </c>
      <c r="D19101" s="3" t="s">
        <v>68</v>
      </c>
      <c r="E19101" s="3" t="s">
        <v>100</v>
      </c>
      <c r="F19101" s="7">
        <v>46114.626174461686</v>
      </c>
      <c r="G19101" s="3" t="s">
        <v>13794</v>
      </c>
    </row>
    <row r="19102">
      <c r="A19102" s="3" t="s">
        <v>35270</v>
      </c>
      <c r="B19102" s="3" t="s">
        <v>15854</v>
      </c>
      <c r="C19102" s="5" t="s">
        <v>45</v>
      </c>
      <c r="D19102" s="3" t="s">
        <v>221</v>
      </c>
      <c r="E19102" s="3" t="s">
        <v>1043</v>
      </c>
      <c r="F19102" s="7">
        <v>46114.68693264044</v>
      </c>
      <c r="G19102" s="3" t="s">
        <v>19136</v>
      </c>
    </row>
    <row r="19103">
      <c r="A19103" s="3" t="s">
        <v>35271</v>
      </c>
      <c r="B19103" s="3" t="s">
        <v>15854</v>
      </c>
      <c r="C19103" s="5" t="s">
        <v>221</v>
      </c>
      <c r="D19103" s="3" t="s">
        <v>614</v>
      </c>
      <c r="E19103" s="3" t="s">
        <v>118</v>
      </c>
      <c r="F19103" s="7">
        <v>46114.69040486266</v>
      </c>
      <c r="G19103" s="3" t="s">
        <v>19139</v>
      </c>
    </row>
    <row r="19104">
      <c r="A19104" s="3" t="s">
        <v>35272</v>
      </c>
      <c r="B19104" s="3" t="s">
        <v>15854</v>
      </c>
      <c r="C19104" s="5" t="s">
        <v>614</v>
      </c>
      <c r="D19104" s="3" t="s">
        <v>206</v>
      </c>
      <c r="E19104" s="3" t="s">
        <v>100</v>
      </c>
      <c r="F19104" s="7">
        <v>46114.69387708489</v>
      </c>
      <c r="G19104" s="3" t="s">
        <v>19142</v>
      </c>
    </row>
    <row r="19105">
      <c r="A19105" s="3" t="s">
        <v>35273</v>
      </c>
      <c r="B19105" s="3" t="s">
        <v>15854</v>
      </c>
      <c r="C19105" s="5" t="s">
        <v>206</v>
      </c>
      <c r="D19105" s="3" t="s">
        <v>68</v>
      </c>
      <c r="E19105" s="3" t="s">
        <v>100</v>
      </c>
      <c r="F19105" s="7">
        <v>46114.697349307105</v>
      </c>
      <c r="G19105" s="3" t="s">
        <v>19145</v>
      </c>
    </row>
    <row r="19106">
      <c r="A19106" s="3" t="s">
        <v>35274</v>
      </c>
      <c r="B19106" s="3" t="s">
        <v>15856</v>
      </c>
      <c r="C19106" s="5" t="s">
        <v>45</v>
      </c>
      <c r="D19106" s="3" t="s">
        <v>221</v>
      </c>
      <c r="E19106" s="3" t="s">
        <v>710</v>
      </c>
      <c r="F19106" s="7">
        <v>46114.75810748585</v>
      </c>
      <c r="G19106" s="3" t="s">
        <v>25091</v>
      </c>
    </row>
    <row r="19107">
      <c r="A19107" s="3" t="s">
        <v>35275</v>
      </c>
      <c r="B19107" s="3" t="s">
        <v>15856</v>
      </c>
      <c r="C19107" s="5" t="s">
        <v>221</v>
      </c>
      <c r="D19107" s="3" t="s">
        <v>614</v>
      </c>
      <c r="E19107" s="3" t="s">
        <v>118</v>
      </c>
      <c r="F19107" s="7">
        <v>46114.76157970807</v>
      </c>
      <c r="G19107" s="3" t="s">
        <v>25093</v>
      </c>
    </row>
    <row r="19108">
      <c r="A19108" s="3" t="s">
        <v>35276</v>
      </c>
      <c r="B19108" s="3" t="s">
        <v>15856</v>
      </c>
      <c r="C19108" s="5" t="s">
        <v>614</v>
      </c>
      <c r="D19108" s="3" t="s">
        <v>206</v>
      </c>
      <c r="E19108" s="3" t="s">
        <v>100</v>
      </c>
      <c r="F19108" s="7">
        <v>46114.7650519303</v>
      </c>
      <c r="G19108" s="3" t="s">
        <v>25095</v>
      </c>
    </row>
    <row r="19109">
      <c r="A19109" s="3" t="s">
        <v>35277</v>
      </c>
      <c r="B19109" s="3" t="s">
        <v>15856</v>
      </c>
      <c r="C19109" s="5" t="s">
        <v>206</v>
      </c>
      <c r="D19109" s="3" t="s">
        <v>68</v>
      </c>
      <c r="E19109" s="3" t="s">
        <v>100</v>
      </c>
      <c r="F19109" s="7">
        <v>46114.76852415252</v>
      </c>
      <c r="G19109" s="3" t="s">
        <v>25097</v>
      </c>
    </row>
    <row r="19110">
      <c r="A19110" s="3" t="s">
        <v>35278</v>
      </c>
      <c r="B19110" s="3" t="s">
        <v>15858</v>
      </c>
      <c r="C19110" s="5" t="s">
        <v>45</v>
      </c>
      <c r="D19110" s="3" t="s">
        <v>221</v>
      </c>
      <c r="E19110" s="3" t="s">
        <v>1021</v>
      </c>
      <c r="F19110" s="7">
        <v>46114.82928233127</v>
      </c>
      <c r="G19110" s="3" t="s">
        <v>14701</v>
      </c>
    </row>
    <row r="19111">
      <c r="A19111" s="3" t="s">
        <v>35279</v>
      </c>
      <c r="B19111" s="3" t="s">
        <v>15858</v>
      </c>
      <c r="C19111" s="5" t="s">
        <v>221</v>
      </c>
      <c r="D19111" s="3" t="s">
        <v>614</v>
      </c>
      <c r="E19111" s="3" t="s">
        <v>118</v>
      </c>
      <c r="F19111" s="7">
        <v>46114.83275455349</v>
      </c>
      <c r="G19111" s="3" t="s">
        <v>14704</v>
      </c>
    </row>
    <row r="19112">
      <c r="A19112" s="3" t="s">
        <v>35280</v>
      </c>
      <c r="B19112" s="3" t="s">
        <v>15858</v>
      </c>
      <c r="C19112" s="5" t="s">
        <v>614</v>
      </c>
      <c r="D19112" s="3" t="s">
        <v>206</v>
      </c>
      <c r="E19112" s="3" t="s">
        <v>100</v>
      </c>
      <c r="F19112" s="7">
        <v>46114.83622677572</v>
      </c>
      <c r="G19112" s="3" t="s">
        <v>14707</v>
      </c>
    </row>
    <row r="19113">
      <c r="A19113" s="3" t="s">
        <v>35281</v>
      </c>
      <c r="B19113" s="3" t="s">
        <v>15858</v>
      </c>
      <c r="C19113" s="5" t="s">
        <v>206</v>
      </c>
      <c r="D19113" s="3" t="s">
        <v>68</v>
      </c>
      <c r="E19113" s="3" t="s">
        <v>100</v>
      </c>
      <c r="F19113" s="7">
        <v>46114.83969899794</v>
      </c>
      <c r="G19113" s="3" t="s">
        <v>14709</v>
      </c>
    </row>
    <row r="19114">
      <c r="A19114" s="3" t="s">
        <v>35282</v>
      </c>
      <c r="B19114" s="3" t="s">
        <v>15860</v>
      </c>
      <c r="C19114" s="5" t="s">
        <v>45</v>
      </c>
      <c r="D19114" s="3" t="s">
        <v>221</v>
      </c>
      <c r="E19114" s="3" t="s">
        <v>253</v>
      </c>
      <c r="F19114" s="7">
        <v>46114.90045717668</v>
      </c>
      <c r="G19114" s="3" t="s">
        <v>10781</v>
      </c>
    </row>
    <row r="19115">
      <c r="A19115" s="3" t="s">
        <v>35283</v>
      </c>
      <c r="B19115" s="3" t="s">
        <v>15860</v>
      </c>
      <c r="C19115" s="5" t="s">
        <v>221</v>
      </c>
      <c r="D19115" s="3" t="s">
        <v>614</v>
      </c>
      <c r="E19115" s="3" t="s">
        <v>118</v>
      </c>
      <c r="F19115" s="7">
        <v>46114.9039293989</v>
      </c>
      <c r="G19115" s="3" t="s">
        <v>10784</v>
      </c>
    </row>
    <row r="19116">
      <c r="A19116" s="3" t="s">
        <v>35284</v>
      </c>
      <c r="B19116" s="3" t="s">
        <v>15860</v>
      </c>
      <c r="C19116" s="5" t="s">
        <v>614</v>
      </c>
      <c r="D19116" s="3" t="s">
        <v>206</v>
      </c>
      <c r="E19116" s="3" t="s">
        <v>100</v>
      </c>
      <c r="F19116" s="7">
        <v>46114.90740162112</v>
      </c>
      <c r="G19116" s="3" t="s">
        <v>10786</v>
      </c>
    </row>
    <row r="19117">
      <c r="A19117" s="3" t="s">
        <v>35285</v>
      </c>
      <c r="B19117" s="3" t="s">
        <v>15860</v>
      </c>
      <c r="C19117" s="5" t="s">
        <v>206</v>
      </c>
      <c r="D19117" s="3" t="s">
        <v>68</v>
      </c>
      <c r="E19117" s="3" t="s">
        <v>100</v>
      </c>
      <c r="F19117" s="7">
        <v>46114.91087384334</v>
      </c>
      <c r="G19117" s="3" t="s">
        <v>10789</v>
      </c>
    </row>
    <row r="19118">
      <c r="A19118" s="3" t="s">
        <v>35286</v>
      </c>
      <c r="B19118" s="3" t="s">
        <v>15865</v>
      </c>
      <c r="C19118" s="5" t="s">
        <v>45</v>
      </c>
      <c r="D19118" s="3" t="s">
        <v>221</v>
      </c>
      <c r="E19118" s="3" t="s">
        <v>559</v>
      </c>
      <c r="F19118" s="7">
        <v>46114.9716320221</v>
      </c>
      <c r="G19118" s="3" t="s">
        <v>7319</v>
      </c>
    </row>
    <row r="19119">
      <c r="A19119" s="3" t="s">
        <v>35287</v>
      </c>
      <c r="B19119" s="3" t="s">
        <v>15865</v>
      </c>
      <c r="C19119" s="5" t="s">
        <v>221</v>
      </c>
      <c r="D19119" s="3" t="s">
        <v>614</v>
      </c>
      <c r="E19119" s="3" t="s">
        <v>118</v>
      </c>
      <c r="F19119" s="7">
        <v>46114.97510424432</v>
      </c>
      <c r="G19119" s="3" t="s">
        <v>7322</v>
      </c>
    </row>
    <row r="19120">
      <c r="A19120" s="3" t="s">
        <v>35288</v>
      </c>
      <c r="B19120" s="3" t="s">
        <v>15865</v>
      </c>
      <c r="C19120" s="5" t="s">
        <v>614</v>
      </c>
      <c r="D19120" s="3" t="s">
        <v>206</v>
      </c>
      <c r="E19120" s="3" t="s">
        <v>100</v>
      </c>
      <c r="F19120" s="7">
        <v>46114.97857646654</v>
      </c>
      <c r="G19120" s="3" t="s">
        <v>7324</v>
      </c>
    </row>
    <row r="19121">
      <c r="A19121" s="3" t="s">
        <v>35289</v>
      </c>
      <c r="B19121" s="3" t="s">
        <v>15865</v>
      </c>
      <c r="C19121" s="5" t="s">
        <v>206</v>
      </c>
      <c r="D19121" s="3" t="s">
        <v>68</v>
      </c>
      <c r="E19121" s="3" t="s">
        <v>100</v>
      </c>
      <c r="F19121" s="7">
        <v>46114.98204868876</v>
      </c>
      <c r="G19121" s="3" t="s">
        <v>7327</v>
      </c>
    </row>
    <row r="19122">
      <c r="A19122" s="3" t="s">
        <v>35290</v>
      </c>
      <c r="B19122" s="3" t="s">
        <v>15868</v>
      </c>
      <c r="C19122" s="5" t="s">
        <v>45</v>
      </c>
      <c r="D19122" s="3" t="s">
        <v>221</v>
      </c>
      <c r="E19122" s="3" t="s">
        <v>877</v>
      </c>
      <c r="F19122" s="7">
        <v>46115.04280686752</v>
      </c>
      <c r="G19122" s="3" t="s">
        <v>13822</v>
      </c>
    </row>
    <row r="19123">
      <c r="A19123" s="3" t="s">
        <v>35291</v>
      </c>
      <c r="B19123" s="3" t="s">
        <v>15868</v>
      </c>
      <c r="C19123" s="5" t="s">
        <v>221</v>
      </c>
      <c r="D19123" s="3" t="s">
        <v>614</v>
      </c>
      <c r="E19123" s="3" t="s">
        <v>118</v>
      </c>
      <c r="F19123" s="7">
        <v>46115.046279089736</v>
      </c>
      <c r="G19123" s="3" t="s">
        <v>13825</v>
      </c>
    </row>
    <row r="19124">
      <c r="A19124" s="3" t="s">
        <v>35292</v>
      </c>
      <c r="B19124" s="3" t="s">
        <v>15868</v>
      </c>
      <c r="C19124" s="5" t="s">
        <v>614</v>
      </c>
      <c r="D19124" s="3" t="s">
        <v>206</v>
      </c>
      <c r="E19124" s="3" t="s">
        <v>100</v>
      </c>
      <c r="F19124" s="7">
        <v>46115.04975131196</v>
      </c>
      <c r="G19124" s="3" t="s">
        <v>13827</v>
      </c>
    </row>
    <row r="19125">
      <c r="A19125" s="3" t="s">
        <v>35293</v>
      </c>
      <c r="B19125" s="3" t="s">
        <v>15868</v>
      </c>
      <c r="C19125" s="5" t="s">
        <v>206</v>
      </c>
      <c r="D19125" s="3" t="s">
        <v>68</v>
      </c>
      <c r="E19125" s="3" t="s">
        <v>100</v>
      </c>
      <c r="F19125" s="7">
        <v>46115.05322353418</v>
      </c>
      <c r="G19125" s="3" t="s">
        <v>13830</v>
      </c>
    </row>
    <row r="19126">
      <c r="A19126" s="3" t="s">
        <v>35294</v>
      </c>
      <c r="B19126" s="3" t="s">
        <v>15871</v>
      </c>
      <c r="C19126" s="5" t="s">
        <v>45</v>
      </c>
      <c r="D19126" s="3" t="s">
        <v>221</v>
      </c>
      <c r="E19126" s="3" t="s">
        <v>735</v>
      </c>
      <c r="F19126" s="7">
        <v>46115.11398171293</v>
      </c>
      <c r="G19126" s="3" t="s">
        <v>12383</v>
      </c>
    </row>
    <row r="19127">
      <c r="A19127" s="3" t="s">
        <v>35295</v>
      </c>
      <c r="B19127" s="3" t="s">
        <v>15871</v>
      </c>
      <c r="C19127" s="5" t="s">
        <v>221</v>
      </c>
      <c r="D19127" s="3" t="s">
        <v>614</v>
      </c>
      <c r="E19127" s="3" t="s">
        <v>118</v>
      </c>
      <c r="F19127" s="7">
        <v>46115.11745393515</v>
      </c>
      <c r="G19127" s="3" t="s">
        <v>12385</v>
      </c>
    </row>
    <row r="19128">
      <c r="A19128" s="3" t="s">
        <v>35296</v>
      </c>
      <c r="B19128" s="3" t="s">
        <v>15871</v>
      </c>
      <c r="C19128" s="5" t="s">
        <v>614</v>
      </c>
      <c r="D19128" s="3" t="s">
        <v>206</v>
      </c>
      <c r="E19128" s="3" t="s">
        <v>100</v>
      </c>
      <c r="F19128" s="7">
        <v>46115.120926157375</v>
      </c>
      <c r="G19128" s="3" t="s">
        <v>12388</v>
      </c>
    </row>
    <row r="19129">
      <c r="A19129" s="3" t="s">
        <v>35297</v>
      </c>
      <c r="B19129" s="3" t="s">
        <v>15871</v>
      </c>
      <c r="C19129" s="5" t="s">
        <v>206</v>
      </c>
      <c r="D19129" s="3" t="s">
        <v>68</v>
      </c>
      <c r="E19129" s="3" t="s">
        <v>100</v>
      </c>
      <c r="F19129" s="7">
        <v>46115.124398379594</v>
      </c>
      <c r="G19129" s="3" t="s">
        <v>12391</v>
      </c>
    </row>
    <row r="19130">
      <c r="A19130" s="3" t="s">
        <v>35298</v>
      </c>
      <c r="B19130" s="3" t="s">
        <v>15875</v>
      </c>
      <c r="C19130" s="5" t="s">
        <v>45</v>
      </c>
      <c r="D19130" s="3" t="s">
        <v>221</v>
      </c>
      <c r="E19130" s="3" t="s">
        <v>731</v>
      </c>
      <c r="F19130" s="7">
        <v>46115.18515655834</v>
      </c>
      <c r="G19130" s="3" t="s">
        <v>24762</v>
      </c>
    </row>
    <row r="19131">
      <c r="A19131" s="3" t="s">
        <v>35299</v>
      </c>
      <c r="B19131" s="3" t="s">
        <v>15875</v>
      </c>
      <c r="C19131" s="5" t="s">
        <v>221</v>
      </c>
      <c r="D19131" s="3" t="s">
        <v>614</v>
      </c>
      <c r="E19131" s="3" t="s">
        <v>118</v>
      </c>
      <c r="F19131" s="7">
        <v>46115.18862878056</v>
      </c>
      <c r="G19131" s="3" t="s">
        <v>25615</v>
      </c>
    </row>
    <row r="19132">
      <c r="A19132" s="3" t="s">
        <v>35300</v>
      </c>
      <c r="B19132" s="3" t="s">
        <v>15875</v>
      </c>
      <c r="C19132" s="5" t="s">
        <v>614</v>
      </c>
      <c r="D19132" s="3" t="s">
        <v>206</v>
      </c>
      <c r="E19132" s="3" t="s">
        <v>100</v>
      </c>
      <c r="F19132" s="7">
        <v>46115.19210100279</v>
      </c>
      <c r="G19132" s="3" t="s">
        <v>25617</v>
      </c>
    </row>
    <row r="19133">
      <c r="A19133" s="3" t="s">
        <v>35301</v>
      </c>
      <c r="B19133" s="3" t="s">
        <v>15875</v>
      </c>
      <c r="C19133" s="5" t="s">
        <v>206</v>
      </c>
      <c r="D19133" s="3" t="s">
        <v>68</v>
      </c>
      <c r="E19133" s="3" t="s">
        <v>100</v>
      </c>
      <c r="F19133" s="7">
        <v>46115.195573225006</v>
      </c>
      <c r="G19133" s="3" t="s">
        <v>25619</v>
      </c>
    </row>
    <row r="19134">
      <c r="A19134" s="3" t="s">
        <v>35302</v>
      </c>
      <c r="B19134" s="3" t="s">
        <v>15879</v>
      </c>
      <c r="C19134" s="5" t="s">
        <v>45</v>
      </c>
      <c r="D19134" s="3" t="s">
        <v>221</v>
      </c>
      <c r="E19134" s="3" t="s">
        <v>243</v>
      </c>
      <c r="F19134" s="7">
        <v>46115.25633140376</v>
      </c>
      <c r="G19134" s="3" t="s">
        <v>13869</v>
      </c>
    </row>
    <row r="19135">
      <c r="A19135" s="3" t="s">
        <v>35303</v>
      </c>
      <c r="B19135" s="3" t="s">
        <v>15879</v>
      </c>
      <c r="C19135" s="5" t="s">
        <v>221</v>
      </c>
      <c r="D19135" s="3" t="s">
        <v>614</v>
      </c>
      <c r="E19135" s="3" t="s">
        <v>118</v>
      </c>
      <c r="F19135" s="7">
        <v>46115.25980362598</v>
      </c>
      <c r="G19135" s="3" t="s">
        <v>13873</v>
      </c>
    </row>
    <row r="19136">
      <c r="A19136" s="3" t="s">
        <v>35304</v>
      </c>
      <c r="B19136" s="3" t="s">
        <v>15879</v>
      </c>
      <c r="C19136" s="5" t="s">
        <v>614</v>
      </c>
      <c r="D19136" s="3" t="s">
        <v>206</v>
      </c>
      <c r="E19136" s="3" t="s">
        <v>100</v>
      </c>
      <c r="F19136" s="7">
        <v>46115.26327584821</v>
      </c>
      <c r="G19136" s="3" t="s">
        <v>13875</v>
      </c>
    </row>
    <row r="19137">
      <c r="A19137" s="3" t="s">
        <v>35305</v>
      </c>
      <c r="B19137" s="3" t="s">
        <v>15879</v>
      </c>
      <c r="C19137" s="5" t="s">
        <v>206</v>
      </c>
      <c r="D19137" s="3" t="s">
        <v>68</v>
      </c>
      <c r="E19137" s="3" t="s">
        <v>100</v>
      </c>
      <c r="F19137" s="7">
        <v>46115.266748070426</v>
      </c>
      <c r="G19137" s="3" t="s">
        <v>13878</v>
      </c>
    </row>
    <row r="19138">
      <c r="A19138" s="3" t="s">
        <v>35306</v>
      </c>
      <c r="B19138" s="3" t="s">
        <v>15882</v>
      </c>
      <c r="C19138" s="5" t="s">
        <v>45</v>
      </c>
      <c r="D19138" s="3" t="s">
        <v>221</v>
      </c>
      <c r="E19138" s="3" t="s">
        <v>665</v>
      </c>
      <c r="F19138" s="7">
        <v>46115.327506249174</v>
      </c>
      <c r="G19138" s="3" t="s">
        <v>4858</v>
      </c>
    </row>
    <row r="19139">
      <c r="A19139" s="3" t="s">
        <v>35307</v>
      </c>
      <c r="B19139" s="3" t="s">
        <v>15882</v>
      </c>
      <c r="C19139" s="5" t="s">
        <v>221</v>
      </c>
      <c r="D19139" s="3" t="s">
        <v>614</v>
      </c>
      <c r="E19139" s="3" t="s">
        <v>118</v>
      </c>
      <c r="F19139" s="7">
        <v>46115.33097847139</v>
      </c>
      <c r="G19139" s="3" t="s">
        <v>4861</v>
      </c>
    </row>
    <row r="19140">
      <c r="A19140" s="3" t="s">
        <v>35308</v>
      </c>
      <c r="B19140" s="3" t="s">
        <v>15882</v>
      </c>
      <c r="C19140" s="5" t="s">
        <v>614</v>
      </c>
      <c r="D19140" s="3" t="s">
        <v>206</v>
      </c>
      <c r="E19140" s="3" t="s">
        <v>100</v>
      </c>
      <c r="F19140" s="7">
        <v>46115.33445069362</v>
      </c>
      <c r="G19140" s="3" t="s">
        <v>4865</v>
      </c>
    </row>
    <row r="19141">
      <c r="A19141" s="3" t="s">
        <v>35309</v>
      </c>
      <c r="B19141" s="3" t="s">
        <v>15882</v>
      </c>
      <c r="C19141" s="5" t="s">
        <v>206</v>
      </c>
      <c r="D19141" s="3" t="s">
        <v>68</v>
      </c>
      <c r="E19141" s="3" t="s">
        <v>100</v>
      </c>
      <c r="F19141" s="7">
        <v>46115.33792291584</v>
      </c>
      <c r="G19141" s="3" t="s">
        <v>4868</v>
      </c>
    </row>
    <row r="19142">
      <c r="A19142" s="3" t="s">
        <v>35310</v>
      </c>
      <c r="B19142" s="3" t="s">
        <v>15885</v>
      </c>
      <c r="C19142" s="5" t="s">
        <v>45</v>
      </c>
      <c r="D19142" s="3" t="s">
        <v>221</v>
      </c>
      <c r="E19142" s="3" t="s">
        <v>215</v>
      </c>
      <c r="F19142" s="7">
        <v>46115.398681094586</v>
      </c>
      <c r="G19142" s="3" t="s">
        <v>6857</v>
      </c>
    </row>
    <row r="19143">
      <c r="A19143" s="3" t="s">
        <v>35311</v>
      </c>
      <c r="B19143" s="3" t="s">
        <v>15885</v>
      </c>
      <c r="C19143" s="5" t="s">
        <v>221</v>
      </c>
      <c r="D19143" s="3" t="s">
        <v>614</v>
      </c>
      <c r="E19143" s="3" t="s">
        <v>118</v>
      </c>
      <c r="F19143" s="7">
        <v>46115.402153316805</v>
      </c>
      <c r="G19143" s="3" t="s">
        <v>6859</v>
      </c>
    </row>
    <row r="19144">
      <c r="A19144" s="3" t="s">
        <v>35312</v>
      </c>
      <c r="B19144" s="3" t="s">
        <v>15885</v>
      </c>
      <c r="C19144" s="5" t="s">
        <v>614</v>
      </c>
      <c r="D19144" s="3" t="s">
        <v>206</v>
      </c>
      <c r="E19144" s="3" t="s">
        <v>100</v>
      </c>
      <c r="F19144" s="7">
        <v>46115.40562553903</v>
      </c>
      <c r="G19144" s="3" t="s">
        <v>6862</v>
      </c>
    </row>
    <row r="19145">
      <c r="A19145" s="3" t="s">
        <v>35313</v>
      </c>
      <c r="B19145" s="3" t="s">
        <v>15885</v>
      </c>
      <c r="C19145" s="5" t="s">
        <v>206</v>
      </c>
      <c r="D19145" s="3" t="s">
        <v>68</v>
      </c>
      <c r="E19145" s="3" t="s">
        <v>100</v>
      </c>
      <c r="F19145" s="7">
        <v>46115.40909776125</v>
      </c>
      <c r="G19145" s="3" t="s">
        <v>6865</v>
      </c>
    </row>
    <row r="19146">
      <c r="A19146" s="3" t="s">
        <v>35314</v>
      </c>
      <c r="B19146" s="3" t="s">
        <v>15890</v>
      </c>
      <c r="C19146" s="5" t="s">
        <v>45</v>
      </c>
      <c r="D19146" s="3" t="s">
        <v>221</v>
      </c>
      <c r="E19146" s="3" t="s">
        <v>557</v>
      </c>
      <c r="F19146" s="7">
        <v>46115.469855940006</v>
      </c>
      <c r="G19146" s="3" t="s">
        <v>9869</v>
      </c>
    </row>
    <row r="19147">
      <c r="A19147" s="3" t="s">
        <v>35315</v>
      </c>
      <c r="B19147" s="3" t="s">
        <v>15890</v>
      </c>
      <c r="C19147" s="5" t="s">
        <v>221</v>
      </c>
      <c r="D19147" s="3" t="s">
        <v>614</v>
      </c>
      <c r="E19147" s="3" t="s">
        <v>118</v>
      </c>
      <c r="F19147" s="7">
        <v>46115.473328162225</v>
      </c>
      <c r="G19147" s="3" t="s">
        <v>9873</v>
      </c>
    </row>
    <row r="19148">
      <c r="A19148" s="3" t="s">
        <v>35316</v>
      </c>
      <c r="B19148" s="3" t="s">
        <v>15890</v>
      </c>
      <c r="C19148" s="5" t="s">
        <v>614</v>
      </c>
      <c r="D19148" s="3" t="s">
        <v>206</v>
      </c>
      <c r="E19148" s="3" t="s">
        <v>100</v>
      </c>
      <c r="F19148" s="7">
        <v>46115.47680038445</v>
      </c>
      <c r="G19148" s="3" t="s">
        <v>9876</v>
      </c>
    </row>
    <row r="19149">
      <c r="A19149" s="3" t="s">
        <v>35317</v>
      </c>
      <c r="B19149" s="3" t="s">
        <v>15890</v>
      </c>
      <c r="C19149" s="5" t="s">
        <v>206</v>
      </c>
      <c r="D19149" s="3" t="s">
        <v>68</v>
      </c>
      <c r="E19149" s="3" t="s">
        <v>100</v>
      </c>
      <c r="F19149" s="7">
        <v>46115.48027260667</v>
      </c>
      <c r="G19149" s="3" t="s">
        <v>9879</v>
      </c>
    </row>
    <row r="19150">
      <c r="A19150" s="3" t="s">
        <v>35318</v>
      </c>
      <c r="B19150" s="3" t="s">
        <v>15893</v>
      </c>
      <c r="C19150" s="5" t="s">
        <v>45</v>
      </c>
      <c r="D19150" s="3" t="s">
        <v>221</v>
      </c>
      <c r="E19150" s="3" t="s">
        <v>758</v>
      </c>
      <c r="F19150" s="7">
        <v>46115.541030785425</v>
      </c>
      <c r="G19150" s="3" t="s">
        <v>25954</v>
      </c>
    </row>
    <row r="19151">
      <c r="A19151" s="3" t="s">
        <v>35319</v>
      </c>
      <c r="B19151" s="3" t="s">
        <v>15893</v>
      </c>
      <c r="C19151" s="5" t="s">
        <v>221</v>
      </c>
      <c r="D19151" s="3" t="s">
        <v>614</v>
      </c>
      <c r="E19151" s="3" t="s">
        <v>118</v>
      </c>
      <c r="F19151" s="7">
        <v>46115.544503007644</v>
      </c>
      <c r="G19151" s="3" t="s">
        <v>25956</v>
      </c>
    </row>
    <row r="19152">
      <c r="A19152" s="3" t="s">
        <v>35320</v>
      </c>
      <c r="B19152" s="3" t="s">
        <v>15893</v>
      </c>
      <c r="C19152" s="5" t="s">
        <v>614</v>
      </c>
      <c r="D19152" s="3" t="s">
        <v>206</v>
      </c>
      <c r="E19152" s="3" t="s">
        <v>100</v>
      </c>
      <c r="F19152" s="7">
        <v>46115.54797522987</v>
      </c>
      <c r="G19152" s="3" t="s">
        <v>25958</v>
      </c>
    </row>
    <row r="19153">
      <c r="A19153" s="3" t="s">
        <v>35321</v>
      </c>
      <c r="B19153" s="3" t="s">
        <v>15893</v>
      </c>
      <c r="C19153" s="5" t="s">
        <v>206</v>
      </c>
      <c r="D19153" s="3" t="s">
        <v>68</v>
      </c>
      <c r="E19153" s="3" t="s">
        <v>100</v>
      </c>
      <c r="F19153" s="7">
        <v>46115.55144745209</v>
      </c>
      <c r="G19153" s="3" t="s">
        <v>25960</v>
      </c>
    </row>
    <row r="19154">
      <c r="A19154" s="3" t="s">
        <v>35322</v>
      </c>
      <c r="B19154" s="3" t="s">
        <v>15896</v>
      </c>
      <c r="C19154" s="5" t="s">
        <v>45</v>
      </c>
      <c r="D19154" s="3" t="s">
        <v>221</v>
      </c>
      <c r="E19154" s="3" t="s">
        <v>280</v>
      </c>
      <c r="F19154" s="7">
        <v>46115.61220563083</v>
      </c>
      <c r="G19154" s="3" t="s">
        <v>11915</v>
      </c>
    </row>
    <row r="19155">
      <c r="A19155" s="3" t="s">
        <v>35323</v>
      </c>
      <c r="B19155" s="3" t="s">
        <v>15896</v>
      </c>
      <c r="C19155" s="5" t="s">
        <v>221</v>
      </c>
      <c r="D19155" s="3" t="s">
        <v>614</v>
      </c>
      <c r="E19155" s="3" t="s">
        <v>118</v>
      </c>
      <c r="F19155" s="7">
        <v>46115.61567785305</v>
      </c>
      <c r="G19155" s="3" t="s">
        <v>11918</v>
      </c>
    </row>
    <row r="19156">
      <c r="A19156" s="3" t="s">
        <v>35324</v>
      </c>
      <c r="B19156" s="3" t="s">
        <v>15896</v>
      </c>
      <c r="C19156" s="5" t="s">
        <v>614</v>
      </c>
      <c r="D19156" s="3" t="s">
        <v>206</v>
      </c>
      <c r="E19156" s="3" t="s">
        <v>100</v>
      </c>
      <c r="F19156" s="7">
        <v>46115.619150075276</v>
      </c>
      <c r="G19156" s="3" t="s">
        <v>11921</v>
      </c>
    </row>
    <row r="19157">
      <c r="A19157" s="3" t="s">
        <v>35325</v>
      </c>
      <c r="B19157" s="3" t="s">
        <v>15896</v>
      </c>
      <c r="C19157" s="5" t="s">
        <v>206</v>
      </c>
      <c r="D19157" s="3" t="s">
        <v>68</v>
      </c>
      <c r="E19157" s="3" t="s">
        <v>100</v>
      </c>
      <c r="F19157" s="7">
        <v>46115.622622297495</v>
      </c>
      <c r="G19157" s="3" t="s">
        <v>11923</v>
      </c>
    </row>
    <row r="19158">
      <c r="A19158" s="3" t="s">
        <v>35326</v>
      </c>
      <c r="B19158" s="3" t="s">
        <v>15899</v>
      </c>
      <c r="C19158" s="5" t="s">
        <v>45</v>
      </c>
      <c r="D19158" s="3" t="s">
        <v>221</v>
      </c>
      <c r="E19158" s="3" t="s">
        <v>250</v>
      </c>
      <c r="F19158" s="7">
        <v>46115.68338047625</v>
      </c>
      <c r="G19158" s="3" t="s">
        <v>14421</v>
      </c>
    </row>
    <row r="19159">
      <c r="A19159" s="3" t="s">
        <v>35327</v>
      </c>
      <c r="B19159" s="3" t="s">
        <v>15899</v>
      </c>
      <c r="C19159" s="5" t="s">
        <v>221</v>
      </c>
      <c r="D19159" s="3" t="s">
        <v>614</v>
      </c>
      <c r="E19159" s="3" t="s">
        <v>118</v>
      </c>
      <c r="F19159" s="7">
        <v>46115.68685269847</v>
      </c>
      <c r="G19159" s="3" t="s">
        <v>14424</v>
      </c>
    </row>
    <row r="19160">
      <c r="A19160" s="3" t="s">
        <v>35328</v>
      </c>
      <c r="B19160" s="3" t="s">
        <v>15899</v>
      </c>
      <c r="C19160" s="5" t="s">
        <v>614</v>
      </c>
      <c r="D19160" s="3" t="s">
        <v>206</v>
      </c>
      <c r="E19160" s="3" t="s">
        <v>100</v>
      </c>
      <c r="F19160" s="7">
        <v>46115.690324920695</v>
      </c>
      <c r="G19160" s="3" t="s">
        <v>14427</v>
      </c>
    </row>
    <row r="19161">
      <c r="A19161" s="3" t="s">
        <v>35329</v>
      </c>
      <c r="B19161" s="3" t="s">
        <v>15899</v>
      </c>
      <c r="C19161" s="5" t="s">
        <v>206</v>
      </c>
      <c r="D19161" s="3" t="s">
        <v>68</v>
      </c>
      <c r="E19161" s="3" t="s">
        <v>100</v>
      </c>
      <c r="F19161" s="7">
        <v>46115.693797142914</v>
      </c>
      <c r="G19161" s="3" t="s">
        <v>14430</v>
      </c>
    </row>
    <row r="19162">
      <c r="A19162" s="3" t="s">
        <v>35330</v>
      </c>
      <c r="B19162" s="3" t="s">
        <v>15903</v>
      </c>
      <c r="C19162" s="5" t="s">
        <v>45</v>
      </c>
      <c r="D19162" s="3" t="s">
        <v>221</v>
      </c>
      <c r="E19162" s="3" t="s">
        <v>366</v>
      </c>
      <c r="F19162" s="7">
        <v>46115.75455532167</v>
      </c>
      <c r="G19162" s="3" t="s">
        <v>24562</v>
      </c>
    </row>
    <row r="19163">
      <c r="A19163" s="3" t="s">
        <v>35331</v>
      </c>
      <c r="B19163" s="3" t="s">
        <v>15903</v>
      </c>
      <c r="C19163" s="5" t="s">
        <v>221</v>
      </c>
      <c r="D19163" s="3" t="s">
        <v>614</v>
      </c>
      <c r="E19163" s="3" t="s">
        <v>118</v>
      </c>
      <c r="F19163" s="7">
        <v>46115.75802754389</v>
      </c>
      <c r="G19163" s="3" t="s">
        <v>24564</v>
      </c>
    </row>
    <row r="19164">
      <c r="A19164" s="3" t="s">
        <v>35332</v>
      </c>
      <c r="B19164" s="3" t="s">
        <v>15903</v>
      </c>
      <c r="C19164" s="5" t="s">
        <v>614</v>
      </c>
      <c r="D19164" s="3" t="s">
        <v>206</v>
      </c>
      <c r="E19164" s="3" t="s">
        <v>100</v>
      </c>
      <c r="F19164" s="7">
        <v>46115.761499766115</v>
      </c>
      <c r="G19164" s="3" t="s">
        <v>24566</v>
      </c>
    </row>
    <row r="19165">
      <c r="A19165" s="3" t="s">
        <v>35333</v>
      </c>
      <c r="B19165" s="3" t="s">
        <v>15903</v>
      </c>
      <c r="C19165" s="5" t="s">
        <v>206</v>
      </c>
      <c r="D19165" s="3" t="s">
        <v>68</v>
      </c>
      <c r="E19165" s="3" t="s">
        <v>100</v>
      </c>
      <c r="F19165" s="7">
        <v>46115.764971988334</v>
      </c>
      <c r="G19165" s="3" t="s">
        <v>24568</v>
      </c>
    </row>
    <row r="19166">
      <c r="A19166" s="3" t="s">
        <v>35334</v>
      </c>
      <c r="B19166" s="3" t="s">
        <v>15907</v>
      </c>
      <c r="C19166" s="5" t="s">
        <v>45</v>
      </c>
      <c r="D19166" s="3" t="s">
        <v>221</v>
      </c>
      <c r="E19166" s="3" t="s">
        <v>920</v>
      </c>
      <c r="F19166" s="7">
        <v>46115.82573016708</v>
      </c>
      <c r="G19166" s="3" t="s">
        <v>14818</v>
      </c>
    </row>
    <row r="19167">
      <c r="A19167" s="3" t="s">
        <v>35335</v>
      </c>
      <c r="B19167" s="3" t="s">
        <v>15907</v>
      </c>
      <c r="C19167" s="5" t="s">
        <v>221</v>
      </c>
      <c r="D19167" s="3" t="s">
        <v>614</v>
      </c>
      <c r="E19167" s="3" t="s">
        <v>118</v>
      </c>
      <c r="F19167" s="7">
        <v>46115.8292023893</v>
      </c>
      <c r="G19167" s="3" t="s">
        <v>14821</v>
      </c>
    </row>
    <row r="19168">
      <c r="A19168" s="3" t="s">
        <v>35336</v>
      </c>
      <c r="B19168" s="3" t="s">
        <v>15907</v>
      </c>
      <c r="C19168" s="5" t="s">
        <v>614</v>
      </c>
      <c r="D19168" s="3" t="s">
        <v>206</v>
      </c>
      <c r="E19168" s="3" t="s">
        <v>100</v>
      </c>
      <c r="F19168" s="7">
        <v>46115.83267461153</v>
      </c>
      <c r="G19168" s="3" t="s">
        <v>14823</v>
      </c>
    </row>
    <row r="19169">
      <c r="A19169" s="3" t="s">
        <v>35337</v>
      </c>
      <c r="B19169" s="3" t="s">
        <v>15907</v>
      </c>
      <c r="C19169" s="5" t="s">
        <v>206</v>
      </c>
      <c r="D19169" s="3" t="s">
        <v>68</v>
      </c>
      <c r="E19169" s="3" t="s">
        <v>100</v>
      </c>
      <c r="F19169" s="7">
        <v>46115.836146833746</v>
      </c>
      <c r="G19169" s="3" t="s">
        <v>14826</v>
      </c>
    </row>
    <row r="19170">
      <c r="A19170" s="3" t="s">
        <v>35338</v>
      </c>
      <c r="B19170" s="3" t="s">
        <v>15910</v>
      </c>
      <c r="C19170" s="5" t="s">
        <v>45</v>
      </c>
      <c r="D19170" s="3" t="s">
        <v>221</v>
      </c>
      <c r="E19170" s="3" t="s">
        <v>727</v>
      </c>
      <c r="F19170" s="7">
        <v>46115.896905012494</v>
      </c>
      <c r="G19170" s="3" t="s">
        <v>20847</v>
      </c>
    </row>
    <row r="19171">
      <c r="A19171" s="3" t="s">
        <v>35339</v>
      </c>
      <c r="B19171" s="3" t="s">
        <v>15910</v>
      </c>
      <c r="C19171" s="5" t="s">
        <v>221</v>
      </c>
      <c r="D19171" s="3" t="s">
        <v>614</v>
      </c>
      <c r="E19171" s="3" t="s">
        <v>118</v>
      </c>
      <c r="F19171" s="7">
        <v>46115.90037723471</v>
      </c>
      <c r="G19171" s="3" t="s">
        <v>20850</v>
      </c>
    </row>
    <row r="19172">
      <c r="A19172" s="3" t="s">
        <v>35340</v>
      </c>
      <c r="B19172" s="3" t="s">
        <v>15910</v>
      </c>
      <c r="C19172" s="5" t="s">
        <v>614</v>
      </c>
      <c r="D19172" s="3" t="s">
        <v>206</v>
      </c>
      <c r="E19172" s="3" t="s">
        <v>100</v>
      </c>
      <c r="F19172" s="7">
        <v>46115.90384945694</v>
      </c>
      <c r="G19172" s="3" t="s">
        <v>20853</v>
      </c>
    </row>
    <row r="19173">
      <c r="A19173" s="3" t="s">
        <v>35341</v>
      </c>
      <c r="B19173" s="3" t="s">
        <v>15910</v>
      </c>
      <c r="C19173" s="5" t="s">
        <v>206</v>
      </c>
      <c r="D19173" s="3" t="s">
        <v>68</v>
      </c>
      <c r="E19173" s="3" t="s">
        <v>100</v>
      </c>
      <c r="F19173" s="7">
        <v>46115.90732167916</v>
      </c>
      <c r="G19173" s="3" t="s">
        <v>20856</v>
      </c>
    </row>
    <row r="19174">
      <c r="A19174" s="3" t="s">
        <v>35342</v>
      </c>
      <c r="B19174" s="3" t="s">
        <v>15913</v>
      </c>
      <c r="C19174" s="5" t="s">
        <v>45</v>
      </c>
      <c r="D19174" s="3" t="s">
        <v>221</v>
      </c>
      <c r="E19174" s="3" t="s">
        <v>197</v>
      </c>
      <c r="F19174" s="7">
        <v>46115.968079857914</v>
      </c>
      <c r="G19174" s="3" t="s">
        <v>24595</v>
      </c>
    </row>
    <row r="19175">
      <c r="A19175" s="3" t="s">
        <v>35343</v>
      </c>
      <c r="B19175" s="3" t="s">
        <v>15913</v>
      </c>
      <c r="C19175" s="5" t="s">
        <v>221</v>
      </c>
      <c r="D19175" s="3" t="s">
        <v>614</v>
      </c>
      <c r="E19175" s="3" t="s">
        <v>118</v>
      </c>
      <c r="F19175" s="7">
        <v>46115.97155208013</v>
      </c>
      <c r="G19175" s="3" t="s">
        <v>24597</v>
      </c>
    </row>
    <row r="19176">
      <c r="A19176" s="3" t="s">
        <v>35344</v>
      </c>
      <c r="B19176" s="3" t="s">
        <v>15913</v>
      </c>
      <c r="C19176" s="5" t="s">
        <v>614</v>
      </c>
      <c r="D19176" s="3" t="s">
        <v>206</v>
      </c>
      <c r="E19176" s="3" t="s">
        <v>100</v>
      </c>
      <c r="F19176" s="7">
        <v>46115.97502430236</v>
      </c>
      <c r="G19176" s="3" t="s">
        <v>24599</v>
      </c>
    </row>
    <row r="19177">
      <c r="A19177" s="3" t="s">
        <v>35345</v>
      </c>
      <c r="B19177" s="3" t="s">
        <v>15913</v>
      </c>
      <c r="C19177" s="5" t="s">
        <v>206</v>
      </c>
      <c r="D19177" s="3" t="s">
        <v>68</v>
      </c>
      <c r="E19177" s="3" t="s">
        <v>100</v>
      </c>
      <c r="F19177" s="7">
        <v>46115.97849652458</v>
      </c>
      <c r="G19177" s="3" t="s">
        <v>24601</v>
      </c>
    </row>
    <row r="19178">
      <c r="A19178" s="3" t="s">
        <v>35346</v>
      </c>
      <c r="B19178" s="3" t="s">
        <v>15916</v>
      </c>
      <c r="C19178" s="5" t="s">
        <v>45</v>
      </c>
      <c r="D19178" s="3" t="s">
        <v>221</v>
      </c>
      <c r="E19178" s="3" t="s">
        <v>1037</v>
      </c>
      <c r="F19178" s="7">
        <v>46116.039254703326</v>
      </c>
      <c r="G19178" s="3" t="s">
        <v>35347</v>
      </c>
    </row>
    <row r="19179">
      <c r="A19179" s="3" t="s">
        <v>35348</v>
      </c>
      <c r="B19179" s="3" t="s">
        <v>15916</v>
      </c>
      <c r="C19179" s="5" t="s">
        <v>221</v>
      </c>
      <c r="D19179" s="3" t="s">
        <v>614</v>
      </c>
      <c r="E19179" s="3" t="s">
        <v>118</v>
      </c>
      <c r="F19179" s="7">
        <v>46116.042726925545</v>
      </c>
      <c r="G19179" s="3" t="s">
        <v>35349</v>
      </c>
    </row>
    <row r="19180">
      <c r="A19180" s="3" t="s">
        <v>35350</v>
      </c>
      <c r="B19180" s="3" t="s">
        <v>15916</v>
      </c>
      <c r="C19180" s="5" t="s">
        <v>614</v>
      </c>
      <c r="D19180" s="3" t="s">
        <v>206</v>
      </c>
      <c r="E19180" s="3" t="s">
        <v>100</v>
      </c>
      <c r="F19180" s="7">
        <v>46116.04619914777</v>
      </c>
      <c r="G19180" s="3" t="s">
        <v>35351</v>
      </c>
    </row>
    <row r="19181">
      <c r="A19181" s="3" t="s">
        <v>35352</v>
      </c>
      <c r="B19181" s="3" t="s">
        <v>15916</v>
      </c>
      <c r="C19181" s="5" t="s">
        <v>206</v>
      </c>
      <c r="D19181" s="3" t="s">
        <v>68</v>
      </c>
      <c r="E19181" s="3" t="s">
        <v>100</v>
      </c>
      <c r="F19181" s="7">
        <v>46116.04967136999</v>
      </c>
      <c r="G19181" s="3" t="s">
        <v>35353</v>
      </c>
    </row>
    <row r="19182">
      <c r="A19182" s="3" t="s">
        <v>35354</v>
      </c>
      <c r="B19182" s="3" t="s">
        <v>15920</v>
      </c>
      <c r="C19182" s="5" t="s">
        <v>45</v>
      </c>
      <c r="D19182" s="3" t="s">
        <v>221</v>
      </c>
      <c r="E19182" s="3" t="s">
        <v>527</v>
      </c>
      <c r="F19182" s="7">
        <v>46116.11042954874</v>
      </c>
      <c r="G19182" s="3" t="s">
        <v>11756</v>
      </c>
    </row>
    <row r="19183">
      <c r="A19183" s="3" t="s">
        <v>35355</v>
      </c>
      <c r="B19183" s="3" t="s">
        <v>15920</v>
      </c>
      <c r="C19183" s="5" t="s">
        <v>221</v>
      </c>
      <c r="D19183" s="3" t="s">
        <v>614</v>
      </c>
      <c r="E19183" s="3" t="s">
        <v>118</v>
      </c>
      <c r="F19183" s="7">
        <v>46116.11390177096</v>
      </c>
      <c r="G19183" s="3" t="s">
        <v>11759</v>
      </c>
    </row>
    <row r="19184">
      <c r="A19184" s="3" t="s">
        <v>35356</v>
      </c>
      <c r="B19184" s="3" t="s">
        <v>15920</v>
      </c>
      <c r="C19184" s="5" t="s">
        <v>614</v>
      </c>
      <c r="D19184" s="3" t="s">
        <v>206</v>
      </c>
      <c r="E19184" s="3" t="s">
        <v>100</v>
      </c>
      <c r="F19184" s="7">
        <v>46116.117373993184</v>
      </c>
      <c r="G19184" s="3" t="s">
        <v>11762</v>
      </c>
    </row>
    <row r="19185">
      <c r="A19185" s="3" t="s">
        <v>35357</v>
      </c>
      <c r="B19185" s="3" t="s">
        <v>15920</v>
      </c>
      <c r="C19185" s="5" t="s">
        <v>206</v>
      </c>
      <c r="D19185" s="3" t="s">
        <v>68</v>
      </c>
      <c r="E19185" s="3" t="s">
        <v>100</v>
      </c>
      <c r="F19185" s="7">
        <v>46116.1208462154</v>
      </c>
      <c r="G19185" s="3" t="s">
        <v>11765</v>
      </c>
    </row>
    <row r="19186">
      <c r="A19186" s="3" t="s">
        <v>35358</v>
      </c>
      <c r="B19186" s="3" t="s">
        <v>15922</v>
      </c>
      <c r="C19186" s="5" t="s">
        <v>45</v>
      </c>
      <c r="D19186" s="3" t="s">
        <v>221</v>
      </c>
      <c r="E19186" s="3" t="s">
        <v>895</v>
      </c>
      <c r="F19186" s="7">
        <v>46116.18160439416</v>
      </c>
      <c r="G19186" s="3" t="s">
        <v>13881</v>
      </c>
    </row>
    <row r="19187">
      <c r="A19187" s="3" t="s">
        <v>35359</v>
      </c>
      <c r="B19187" s="3" t="s">
        <v>15922</v>
      </c>
      <c r="C19187" s="5" t="s">
        <v>221</v>
      </c>
      <c r="D19187" s="3" t="s">
        <v>614</v>
      </c>
      <c r="E19187" s="3" t="s">
        <v>118</v>
      </c>
      <c r="F19187" s="7">
        <v>46116.18507661638</v>
      </c>
      <c r="G19187" s="3" t="s">
        <v>13883</v>
      </c>
    </row>
    <row r="19188">
      <c r="A19188" s="3" t="s">
        <v>35360</v>
      </c>
      <c r="B19188" s="3" t="s">
        <v>15922</v>
      </c>
      <c r="C19188" s="5" t="s">
        <v>614</v>
      </c>
      <c r="D19188" s="3" t="s">
        <v>206</v>
      </c>
      <c r="E19188" s="3" t="s">
        <v>100</v>
      </c>
      <c r="F19188" s="7">
        <v>46116.1885488386</v>
      </c>
      <c r="G19188" s="3" t="s">
        <v>13886</v>
      </c>
    </row>
    <row r="19189">
      <c r="A19189" s="3" t="s">
        <v>35361</v>
      </c>
      <c r="B19189" s="3" t="s">
        <v>15922</v>
      </c>
      <c r="C19189" s="5" t="s">
        <v>206</v>
      </c>
      <c r="D19189" s="3" t="s">
        <v>68</v>
      </c>
      <c r="E19189" s="3" t="s">
        <v>100</v>
      </c>
      <c r="F19189" s="7">
        <v>46116.19202106082</v>
      </c>
      <c r="G19189" s="3" t="s">
        <v>13888</v>
      </c>
    </row>
    <row r="19190">
      <c r="A19190" s="3" t="s">
        <v>35362</v>
      </c>
      <c r="B19190" s="3" t="s">
        <v>15926</v>
      </c>
      <c r="C19190" s="5" t="s">
        <v>45</v>
      </c>
      <c r="D19190" s="3" t="s">
        <v>221</v>
      </c>
      <c r="E19190" s="3" t="s">
        <v>612</v>
      </c>
      <c r="F19190" s="7">
        <v>46116.25277923957</v>
      </c>
      <c r="G19190" s="3" t="s">
        <v>16686</v>
      </c>
    </row>
    <row r="19191">
      <c r="A19191" s="3" t="s">
        <v>35363</v>
      </c>
      <c r="B19191" s="3" t="s">
        <v>15926</v>
      </c>
      <c r="C19191" s="5" t="s">
        <v>221</v>
      </c>
      <c r="D19191" s="3" t="s">
        <v>614</v>
      </c>
      <c r="E19191" s="3" t="s">
        <v>118</v>
      </c>
      <c r="F19191" s="7">
        <v>46116.25625146179</v>
      </c>
      <c r="G19191" s="3" t="s">
        <v>28365</v>
      </c>
    </row>
    <row r="19192">
      <c r="A19192" s="3" t="s">
        <v>35364</v>
      </c>
      <c r="B19192" s="3" t="s">
        <v>15926</v>
      </c>
      <c r="C19192" s="5" t="s">
        <v>614</v>
      </c>
      <c r="D19192" s="3" t="s">
        <v>206</v>
      </c>
      <c r="E19192" s="3" t="s">
        <v>100</v>
      </c>
      <c r="F19192" s="7">
        <v>46116.259723684016</v>
      </c>
      <c r="G19192" s="3" t="s">
        <v>28367</v>
      </c>
    </row>
    <row r="19193">
      <c r="A19193" s="3" t="s">
        <v>35365</v>
      </c>
      <c r="B19193" s="3" t="s">
        <v>15926</v>
      </c>
      <c r="C19193" s="5" t="s">
        <v>206</v>
      </c>
      <c r="D19193" s="3" t="s">
        <v>68</v>
      </c>
      <c r="E19193" s="3" t="s">
        <v>100</v>
      </c>
      <c r="F19193" s="7">
        <v>46116.263195906235</v>
      </c>
      <c r="G19193" s="3" t="s">
        <v>28369</v>
      </c>
    </row>
    <row r="19194">
      <c r="A19194" s="3" t="s">
        <v>35366</v>
      </c>
      <c r="B19194" s="3" t="s">
        <v>15930</v>
      </c>
      <c r="C19194" s="5" t="s">
        <v>45</v>
      </c>
      <c r="D19194" s="3" t="s">
        <v>221</v>
      </c>
      <c r="E19194" s="3" t="s">
        <v>781</v>
      </c>
      <c r="F19194" s="7">
        <v>46116.32395408498</v>
      </c>
      <c r="G19194" s="3" t="s">
        <v>13914</v>
      </c>
    </row>
    <row r="19195">
      <c r="A19195" s="3" t="s">
        <v>35367</v>
      </c>
      <c r="B19195" s="3" t="s">
        <v>15930</v>
      </c>
      <c r="C19195" s="5" t="s">
        <v>221</v>
      </c>
      <c r="D19195" s="3" t="s">
        <v>614</v>
      </c>
      <c r="E19195" s="3" t="s">
        <v>118</v>
      </c>
      <c r="F19195" s="7">
        <v>46116.3274263072</v>
      </c>
      <c r="G19195" s="3" t="s">
        <v>13916</v>
      </c>
    </row>
    <row r="19196">
      <c r="A19196" s="3" t="s">
        <v>35368</v>
      </c>
      <c r="B19196" s="3" t="s">
        <v>15930</v>
      </c>
      <c r="C19196" s="5" t="s">
        <v>614</v>
      </c>
      <c r="D19196" s="3" t="s">
        <v>206</v>
      </c>
      <c r="E19196" s="3" t="s">
        <v>100</v>
      </c>
      <c r="F19196" s="7">
        <v>46116.33089852943</v>
      </c>
      <c r="G19196" s="3" t="s">
        <v>13919</v>
      </c>
    </row>
    <row r="19197">
      <c r="A19197" s="3" t="s">
        <v>35369</v>
      </c>
      <c r="B19197" s="3" t="s">
        <v>15930</v>
      </c>
      <c r="C19197" s="5" t="s">
        <v>206</v>
      </c>
      <c r="D19197" s="3" t="s">
        <v>68</v>
      </c>
      <c r="E19197" s="3" t="s">
        <v>100</v>
      </c>
      <c r="F19197" s="7">
        <v>46116.33437075165</v>
      </c>
      <c r="G19197" s="3" t="s">
        <v>13922</v>
      </c>
    </row>
    <row r="19198">
      <c r="A19198" s="3" t="s">
        <v>35370</v>
      </c>
      <c r="B19198" s="3" t="s">
        <v>15933</v>
      </c>
      <c r="C19198" s="5" t="s">
        <v>45</v>
      </c>
      <c r="D19198" s="3" t="s">
        <v>221</v>
      </c>
      <c r="E19198" s="3" t="s">
        <v>243</v>
      </c>
      <c r="F19198" s="7">
        <v>46116.3951289304</v>
      </c>
      <c r="G19198" s="3" t="s">
        <v>30636</v>
      </c>
    </row>
    <row r="19199">
      <c r="A19199" s="3" t="s">
        <v>35371</v>
      </c>
      <c r="B19199" s="3" t="s">
        <v>15933</v>
      </c>
      <c r="C19199" s="5" t="s">
        <v>221</v>
      </c>
      <c r="D19199" s="3" t="s">
        <v>614</v>
      </c>
      <c r="E19199" s="3" t="s">
        <v>118</v>
      </c>
      <c r="F19199" s="7">
        <v>46116.39860115262</v>
      </c>
      <c r="G19199" s="3" t="s">
        <v>30638</v>
      </c>
    </row>
    <row r="19200">
      <c r="A19200" s="3" t="s">
        <v>35372</v>
      </c>
      <c r="B19200" s="3" t="s">
        <v>15933</v>
      </c>
      <c r="C19200" s="5" t="s">
        <v>614</v>
      </c>
      <c r="D19200" s="3" t="s">
        <v>206</v>
      </c>
      <c r="E19200" s="3" t="s">
        <v>100</v>
      </c>
      <c r="F19200" s="7">
        <v>46116.40207337485</v>
      </c>
      <c r="G19200" s="3" t="s">
        <v>30640</v>
      </c>
    </row>
    <row r="19201">
      <c r="A19201" s="3" t="s">
        <v>35373</v>
      </c>
      <c r="B19201" s="3" t="s">
        <v>15933</v>
      </c>
      <c r="C19201" s="5" t="s">
        <v>206</v>
      </c>
      <c r="D19201" s="3" t="s">
        <v>68</v>
      </c>
      <c r="E19201" s="3" t="s">
        <v>100</v>
      </c>
      <c r="F19201" s="7">
        <v>46116.40554559707</v>
      </c>
      <c r="G19201" s="3" t="s">
        <v>30642</v>
      </c>
    </row>
    <row r="19202">
      <c r="A19202" s="3" t="s">
        <v>35374</v>
      </c>
      <c r="B19202" s="3" t="s">
        <v>15937</v>
      </c>
      <c r="C19202" s="5" t="s">
        <v>45</v>
      </c>
      <c r="D19202" s="3" t="s">
        <v>221</v>
      </c>
      <c r="E19202" s="3" t="s">
        <v>1037</v>
      </c>
      <c r="F19202" s="7">
        <v>46116.466303775815</v>
      </c>
      <c r="G19202" s="3" t="s">
        <v>13985</v>
      </c>
    </row>
    <row r="19203">
      <c r="A19203" s="3" t="s">
        <v>35375</v>
      </c>
      <c r="B19203" s="3" t="s">
        <v>15937</v>
      </c>
      <c r="C19203" s="5" t="s">
        <v>221</v>
      </c>
      <c r="D19203" s="3" t="s">
        <v>614</v>
      </c>
      <c r="E19203" s="3" t="s">
        <v>118</v>
      </c>
      <c r="F19203" s="7">
        <v>46116.46977599803</v>
      </c>
      <c r="G19203" s="3" t="s">
        <v>13987</v>
      </c>
    </row>
    <row r="19204">
      <c r="A19204" s="3" t="s">
        <v>35376</v>
      </c>
      <c r="B19204" s="3" t="s">
        <v>15937</v>
      </c>
      <c r="C19204" s="5" t="s">
        <v>614</v>
      </c>
      <c r="D19204" s="3" t="s">
        <v>206</v>
      </c>
      <c r="E19204" s="3" t="s">
        <v>100</v>
      </c>
      <c r="F19204" s="7">
        <v>46116.47324822026</v>
      </c>
      <c r="G19204" s="3" t="s">
        <v>13990</v>
      </c>
    </row>
    <row r="19205">
      <c r="A19205" s="3" t="s">
        <v>35377</v>
      </c>
      <c r="B19205" s="3" t="s">
        <v>15937</v>
      </c>
      <c r="C19205" s="5" t="s">
        <v>206</v>
      </c>
      <c r="D19205" s="3" t="s">
        <v>68</v>
      </c>
      <c r="E19205" s="3" t="s">
        <v>100</v>
      </c>
      <c r="F19205" s="7">
        <v>46116.47672044248</v>
      </c>
      <c r="G19205" s="3" t="s">
        <v>13993</v>
      </c>
    </row>
    <row r="19206">
      <c r="A19206" s="3" t="s">
        <v>35378</v>
      </c>
      <c r="B19206" s="3" t="s">
        <v>15941</v>
      </c>
      <c r="C19206" s="5" t="s">
        <v>45</v>
      </c>
      <c r="D19206" s="3" t="s">
        <v>221</v>
      </c>
      <c r="E19206" s="3" t="s">
        <v>269</v>
      </c>
      <c r="F19206" s="7">
        <v>46116.53747862123</v>
      </c>
      <c r="G19206" s="3" t="s">
        <v>7615</v>
      </c>
    </row>
    <row r="19207">
      <c r="A19207" s="3" t="s">
        <v>35379</v>
      </c>
      <c r="B19207" s="3" t="s">
        <v>15941</v>
      </c>
      <c r="C19207" s="5" t="s">
        <v>221</v>
      </c>
      <c r="D19207" s="3" t="s">
        <v>181</v>
      </c>
      <c r="E19207" s="3" t="s">
        <v>118</v>
      </c>
      <c r="F19207" s="7">
        <v>46116.540950843446</v>
      </c>
      <c r="G19207" s="3" t="s">
        <v>7719</v>
      </c>
    </row>
    <row r="19208">
      <c r="A19208" s="3" t="s">
        <v>35380</v>
      </c>
      <c r="B19208" s="3" t="s">
        <v>15944</v>
      </c>
      <c r="C19208" s="5" t="s">
        <v>45</v>
      </c>
      <c r="D19208" s="3" t="s">
        <v>221</v>
      </c>
      <c r="E19208" s="3" t="s">
        <v>689</v>
      </c>
      <c r="F19208" s="7">
        <v>46116.60865346665</v>
      </c>
      <c r="G19208" s="3" t="s">
        <v>18336</v>
      </c>
    </row>
    <row r="19209">
      <c r="A19209" s="3" t="s">
        <v>35381</v>
      </c>
      <c r="B19209" s="3" t="s">
        <v>15944</v>
      </c>
      <c r="C19209" s="5" t="s">
        <v>221</v>
      </c>
      <c r="D19209" s="3" t="s">
        <v>614</v>
      </c>
      <c r="E19209" s="3" t="s">
        <v>118</v>
      </c>
      <c r="F19209" s="7">
        <v>46116.612125688865</v>
      </c>
      <c r="G19209" s="3" t="s">
        <v>18339</v>
      </c>
    </row>
    <row r="19210">
      <c r="A19210" s="3" t="s">
        <v>35382</v>
      </c>
      <c r="B19210" s="3" t="s">
        <v>15944</v>
      </c>
      <c r="C19210" s="5" t="s">
        <v>614</v>
      </c>
      <c r="D19210" s="3" t="s">
        <v>206</v>
      </c>
      <c r="E19210" s="3" t="s">
        <v>100</v>
      </c>
      <c r="F19210" s="7">
        <v>46116.61559791109</v>
      </c>
      <c r="G19210" s="3" t="s">
        <v>18341</v>
      </c>
    </row>
    <row r="19211">
      <c r="A19211" s="3" t="s">
        <v>35383</v>
      </c>
      <c r="B19211" s="3" t="s">
        <v>15944</v>
      </c>
      <c r="C19211" s="5" t="s">
        <v>206</v>
      </c>
      <c r="D19211" s="3" t="s">
        <v>68</v>
      </c>
      <c r="E19211" s="3" t="s">
        <v>100</v>
      </c>
      <c r="F19211" s="7">
        <v>46116.61907013331</v>
      </c>
      <c r="G19211" s="3" t="s">
        <v>18344</v>
      </c>
    </row>
    <row r="19212">
      <c r="A19212" s="3" t="s">
        <v>35384</v>
      </c>
      <c r="B19212" s="3" t="s">
        <v>15947</v>
      </c>
      <c r="C19212" s="5" t="s">
        <v>45</v>
      </c>
      <c r="D19212" s="3" t="s">
        <v>221</v>
      </c>
      <c r="E19212" s="3" t="s">
        <v>202</v>
      </c>
      <c r="F19212" s="7">
        <v>46116.679828312066</v>
      </c>
      <c r="G19212" s="3" t="s">
        <v>34787</v>
      </c>
    </row>
    <row r="19213">
      <c r="A19213" s="3" t="s">
        <v>35385</v>
      </c>
      <c r="B19213" s="3" t="s">
        <v>15947</v>
      </c>
      <c r="C19213" s="5" t="s">
        <v>221</v>
      </c>
      <c r="D19213" s="3" t="s">
        <v>614</v>
      </c>
      <c r="E19213" s="3" t="s">
        <v>118</v>
      </c>
      <c r="F19213" s="7">
        <v>46116.683300534285</v>
      </c>
      <c r="G19213" s="3" t="s">
        <v>34789</v>
      </c>
    </row>
    <row r="19214">
      <c r="A19214" s="3" t="s">
        <v>35386</v>
      </c>
      <c r="B19214" s="3" t="s">
        <v>15947</v>
      </c>
      <c r="C19214" s="5" t="s">
        <v>614</v>
      </c>
      <c r="D19214" s="3" t="s">
        <v>206</v>
      </c>
      <c r="E19214" s="3" t="s">
        <v>100</v>
      </c>
      <c r="F19214" s="7">
        <v>46116.68677275651</v>
      </c>
      <c r="G19214" s="3" t="s">
        <v>34791</v>
      </c>
    </row>
    <row r="19215">
      <c r="A19215" s="3" t="s">
        <v>35387</v>
      </c>
      <c r="B19215" s="3" t="s">
        <v>15947</v>
      </c>
      <c r="C19215" s="5" t="s">
        <v>206</v>
      </c>
      <c r="D19215" s="3" t="s">
        <v>68</v>
      </c>
      <c r="E19215" s="3" t="s">
        <v>100</v>
      </c>
      <c r="F19215" s="7">
        <v>46116.69024497873</v>
      </c>
      <c r="G19215" s="3" t="s">
        <v>34793</v>
      </c>
    </row>
    <row r="19216">
      <c r="A19216" s="3" t="s">
        <v>35388</v>
      </c>
      <c r="B19216" s="3" t="s">
        <v>15950</v>
      </c>
      <c r="C19216" s="5" t="s">
        <v>45</v>
      </c>
      <c r="D19216" s="3" t="s">
        <v>221</v>
      </c>
      <c r="E19216" s="3" t="s">
        <v>972</v>
      </c>
      <c r="F19216" s="7">
        <v>46116.75100315747</v>
      </c>
      <c r="G19216" s="3" t="s">
        <v>2770</v>
      </c>
    </row>
    <row r="19217">
      <c r="A19217" s="3" t="s">
        <v>35389</v>
      </c>
      <c r="B19217" s="3" t="s">
        <v>15950</v>
      </c>
      <c r="C19217" s="5" t="s">
        <v>221</v>
      </c>
      <c r="D19217" s="3" t="s">
        <v>181</v>
      </c>
      <c r="E19217" s="3" t="s">
        <v>118</v>
      </c>
      <c r="F19217" s="7">
        <v>46116.75447537969</v>
      </c>
      <c r="G19217" s="3" t="s">
        <v>2774</v>
      </c>
    </row>
    <row r="19218">
      <c r="A19218" s="3" t="s">
        <v>35390</v>
      </c>
      <c r="B19218" s="3" t="s">
        <v>15952</v>
      </c>
      <c r="C19218" s="5" t="s">
        <v>45</v>
      </c>
      <c r="D19218" s="3" t="s">
        <v>221</v>
      </c>
      <c r="E19218" s="3" t="s">
        <v>380</v>
      </c>
      <c r="F19218" s="7">
        <v>46116.82217800289</v>
      </c>
      <c r="G19218" s="3" t="s">
        <v>15565</v>
      </c>
    </row>
    <row r="19219">
      <c r="A19219" s="3" t="s">
        <v>35391</v>
      </c>
      <c r="B19219" s="3" t="s">
        <v>15952</v>
      </c>
      <c r="C19219" s="5" t="s">
        <v>221</v>
      </c>
      <c r="D19219" s="3" t="s">
        <v>614</v>
      </c>
      <c r="E19219" s="3" t="s">
        <v>118</v>
      </c>
      <c r="F19219" s="7">
        <v>46116.82565022511</v>
      </c>
      <c r="G19219" s="3" t="s">
        <v>15568</v>
      </c>
    </row>
    <row r="19220">
      <c r="A19220" s="3" t="s">
        <v>35392</v>
      </c>
      <c r="B19220" s="3" t="s">
        <v>15952</v>
      </c>
      <c r="C19220" s="5" t="s">
        <v>614</v>
      </c>
      <c r="D19220" s="3" t="s">
        <v>206</v>
      </c>
      <c r="E19220" s="3" t="s">
        <v>100</v>
      </c>
      <c r="F19220" s="7">
        <v>46116.829122447336</v>
      </c>
      <c r="G19220" s="3" t="s">
        <v>15570</v>
      </c>
    </row>
    <row r="19221">
      <c r="A19221" s="3" t="s">
        <v>35393</v>
      </c>
      <c r="B19221" s="3" t="s">
        <v>15952</v>
      </c>
      <c r="C19221" s="5" t="s">
        <v>206</v>
      </c>
      <c r="D19221" s="3" t="s">
        <v>68</v>
      </c>
      <c r="E19221" s="3" t="s">
        <v>100</v>
      </c>
      <c r="F19221" s="7">
        <v>46116.832594669555</v>
      </c>
      <c r="G19221" s="3" t="s">
        <v>15573</v>
      </c>
    </row>
    <row r="19222">
      <c r="A19222" s="3" t="s">
        <v>35394</v>
      </c>
      <c r="B19222" s="3" t="s">
        <v>15955</v>
      </c>
      <c r="C19222" s="5" t="s">
        <v>45</v>
      </c>
      <c r="D19222" s="3" t="s">
        <v>221</v>
      </c>
      <c r="E19222" s="3" t="s">
        <v>612</v>
      </c>
      <c r="F19222" s="7">
        <v>46116.89335284831</v>
      </c>
      <c r="G19222" s="3" t="s">
        <v>14007</v>
      </c>
    </row>
    <row r="19223">
      <c r="A19223" s="3" t="s">
        <v>35395</v>
      </c>
      <c r="B19223" s="3" t="s">
        <v>15955</v>
      </c>
      <c r="C19223" s="5" t="s">
        <v>221</v>
      </c>
      <c r="D19223" s="3" t="s">
        <v>614</v>
      </c>
      <c r="E19223" s="3" t="s">
        <v>118</v>
      </c>
      <c r="F19223" s="7">
        <v>46116.89682507053</v>
      </c>
      <c r="G19223" s="3" t="s">
        <v>14010</v>
      </c>
    </row>
    <row r="19224">
      <c r="A19224" s="3" t="s">
        <v>35396</v>
      </c>
      <c r="B19224" s="3" t="s">
        <v>15955</v>
      </c>
      <c r="C19224" s="5" t="s">
        <v>614</v>
      </c>
      <c r="D19224" s="3" t="s">
        <v>206</v>
      </c>
      <c r="E19224" s="3" t="s">
        <v>100</v>
      </c>
      <c r="F19224" s="7">
        <v>46116.900297292756</v>
      </c>
      <c r="G19224" s="3" t="s">
        <v>14013</v>
      </c>
    </row>
    <row r="19225">
      <c r="A19225" s="3" t="s">
        <v>35397</v>
      </c>
      <c r="B19225" s="3" t="s">
        <v>15955</v>
      </c>
      <c r="C19225" s="5" t="s">
        <v>206</v>
      </c>
      <c r="D19225" s="3" t="s">
        <v>68</v>
      </c>
      <c r="E19225" s="3" t="s">
        <v>100</v>
      </c>
      <c r="F19225" s="7">
        <v>46116.903769514975</v>
      </c>
      <c r="G19225" s="3" t="s">
        <v>14015</v>
      </c>
    </row>
    <row r="19226">
      <c r="A19226" s="3" t="s">
        <v>35398</v>
      </c>
      <c r="B19226" s="3" t="s">
        <v>15957</v>
      </c>
      <c r="C19226" s="5" t="s">
        <v>45</v>
      </c>
      <c r="D19226" s="3" t="s">
        <v>221</v>
      </c>
      <c r="E19226" s="3" t="s">
        <v>521</v>
      </c>
      <c r="F19226" s="7">
        <v>46116.96452769372</v>
      </c>
      <c r="G19226" s="3" t="s">
        <v>14029</v>
      </c>
    </row>
    <row r="19227">
      <c r="A19227" s="3" t="s">
        <v>35399</v>
      </c>
      <c r="B19227" s="3" t="s">
        <v>15957</v>
      </c>
      <c r="C19227" s="5" t="s">
        <v>221</v>
      </c>
      <c r="D19227" s="3" t="s">
        <v>614</v>
      </c>
      <c r="E19227" s="3" t="s">
        <v>118</v>
      </c>
      <c r="F19227" s="7">
        <v>46116.96799991594</v>
      </c>
      <c r="G19227" s="3" t="s">
        <v>14032</v>
      </c>
    </row>
    <row r="19228">
      <c r="A19228" s="3" t="s">
        <v>35400</v>
      </c>
      <c r="B19228" s="3" t="s">
        <v>15957</v>
      </c>
      <c r="C19228" s="5" t="s">
        <v>614</v>
      </c>
      <c r="D19228" s="3" t="s">
        <v>206</v>
      </c>
      <c r="E19228" s="3" t="s">
        <v>100</v>
      </c>
      <c r="F19228" s="7">
        <v>46116.97147213817</v>
      </c>
      <c r="G19228" s="3" t="s">
        <v>14035</v>
      </c>
    </row>
    <row r="19229">
      <c r="A19229" s="3" t="s">
        <v>35401</v>
      </c>
      <c r="B19229" s="3" t="s">
        <v>15957</v>
      </c>
      <c r="C19229" s="5" t="s">
        <v>206</v>
      </c>
      <c r="D19229" s="3" t="s">
        <v>68</v>
      </c>
      <c r="E19229" s="3" t="s">
        <v>100</v>
      </c>
      <c r="F19229" s="7">
        <v>46116.97494436039</v>
      </c>
      <c r="G19229" s="3" t="s">
        <v>14038</v>
      </c>
    </row>
    <row r="19230">
      <c r="A19230" s="3" t="s">
        <v>35402</v>
      </c>
      <c r="B19230" s="3" t="s">
        <v>15960</v>
      </c>
      <c r="C19230" s="5" t="s">
        <v>45</v>
      </c>
      <c r="D19230" s="3" t="s">
        <v>221</v>
      </c>
      <c r="E19230" s="3" t="s">
        <v>619</v>
      </c>
      <c r="F19230" s="7">
        <v>46117.035702539135</v>
      </c>
      <c r="G19230" s="3" t="s">
        <v>13071</v>
      </c>
    </row>
    <row r="19231">
      <c r="A19231" s="3" t="s">
        <v>35403</v>
      </c>
      <c r="B19231" s="3" t="s">
        <v>15960</v>
      </c>
      <c r="C19231" s="5" t="s">
        <v>221</v>
      </c>
      <c r="D19231" s="3" t="s">
        <v>614</v>
      </c>
      <c r="E19231" s="3" t="s">
        <v>118</v>
      </c>
      <c r="F19231" s="7">
        <v>46117.039174761354</v>
      </c>
      <c r="G19231" s="3" t="s">
        <v>13074</v>
      </c>
    </row>
    <row r="19232">
      <c r="A19232" s="3" t="s">
        <v>35404</v>
      </c>
      <c r="B19232" s="3" t="s">
        <v>15960</v>
      </c>
      <c r="C19232" s="5" t="s">
        <v>614</v>
      </c>
      <c r="D19232" s="3" t="s">
        <v>206</v>
      </c>
      <c r="E19232" s="3" t="s">
        <v>100</v>
      </c>
      <c r="F19232" s="7">
        <v>46117.04264698358</v>
      </c>
      <c r="G19232" s="3" t="s">
        <v>13078</v>
      </c>
    </row>
    <row r="19233">
      <c r="A19233" s="3" t="s">
        <v>35405</v>
      </c>
      <c r="B19233" s="3" t="s">
        <v>15960</v>
      </c>
      <c r="C19233" s="5" t="s">
        <v>206</v>
      </c>
      <c r="D19233" s="3" t="s">
        <v>68</v>
      </c>
      <c r="E19233" s="3" t="s">
        <v>100</v>
      </c>
      <c r="F19233" s="7">
        <v>46117.0461192058</v>
      </c>
      <c r="G19233" s="3" t="s">
        <v>13081</v>
      </c>
    </row>
    <row r="19234">
      <c r="A19234" s="3" t="s">
        <v>35406</v>
      </c>
      <c r="B19234" s="3" t="s">
        <v>15963</v>
      </c>
      <c r="C19234" s="5" t="s">
        <v>45</v>
      </c>
      <c r="D19234" s="3" t="s">
        <v>221</v>
      </c>
      <c r="E19234" s="3" t="s">
        <v>773</v>
      </c>
      <c r="F19234" s="7">
        <v>46117.106877384555</v>
      </c>
      <c r="G19234" s="3" t="s">
        <v>26693</v>
      </c>
    </row>
    <row r="19235">
      <c r="A19235" s="3" t="s">
        <v>35407</v>
      </c>
      <c r="B19235" s="3" t="s">
        <v>15963</v>
      </c>
      <c r="C19235" s="5" t="s">
        <v>221</v>
      </c>
      <c r="D19235" s="3" t="s">
        <v>181</v>
      </c>
      <c r="E19235" s="3" t="s">
        <v>118</v>
      </c>
      <c r="F19235" s="7">
        <v>46117.11034960677</v>
      </c>
      <c r="G19235" s="3" t="s">
        <v>35408</v>
      </c>
    </row>
    <row r="19236">
      <c r="A19236" s="3" t="s">
        <v>35409</v>
      </c>
      <c r="B19236" s="3" t="s">
        <v>15966</v>
      </c>
      <c r="C19236" s="5" t="s">
        <v>45</v>
      </c>
      <c r="D19236" s="3" t="s">
        <v>221</v>
      </c>
      <c r="E19236" s="3" t="s">
        <v>1043</v>
      </c>
      <c r="F19236" s="7">
        <v>46117.17805222997</v>
      </c>
      <c r="G19236" s="3" t="s">
        <v>19136</v>
      </c>
    </row>
    <row r="19237">
      <c r="A19237" s="3" t="s">
        <v>35410</v>
      </c>
      <c r="B19237" s="3" t="s">
        <v>15966</v>
      </c>
      <c r="C19237" s="5" t="s">
        <v>221</v>
      </c>
      <c r="D19237" s="3" t="s">
        <v>614</v>
      </c>
      <c r="E19237" s="3" t="s">
        <v>118</v>
      </c>
      <c r="F19237" s="7">
        <v>46117.181524452186</v>
      </c>
      <c r="G19237" s="3" t="s">
        <v>19139</v>
      </c>
    </row>
    <row r="19238">
      <c r="A19238" s="3" t="s">
        <v>35411</v>
      </c>
      <c r="B19238" s="3" t="s">
        <v>15966</v>
      </c>
      <c r="C19238" s="5" t="s">
        <v>614</v>
      </c>
      <c r="D19238" s="3" t="s">
        <v>206</v>
      </c>
      <c r="E19238" s="3" t="s">
        <v>100</v>
      </c>
      <c r="F19238" s="7">
        <v>46117.18499667441</v>
      </c>
      <c r="G19238" s="3" t="s">
        <v>19142</v>
      </c>
    </row>
    <row r="19239">
      <c r="A19239" s="3" t="s">
        <v>35412</v>
      </c>
      <c r="B19239" s="3" t="s">
        <v>15966</v>
      </c>
      <c r="C19239" s="5" t="s">
        <v>206</v>
      </c>
      <c r="D19239" s="3" t="s">
        <v>68</v>
      </c>
      <c r="E19239" s="3" t="s">
        <v>100</v>
      </c>
      <c r="F19239" s="7">
        <v>46117.18846889663</v>
      </c>
      <c r="G19239" s="3" t="s">
        <v>19145</v>
      </c>
    </row>
    <row r="19240">
      <c r="A19240" s="3" t="s">
        <v>35413</v>
      </c>
      <c r="B19240" s="3" t="s">
        <v>15969</v>
      </c>
      <c r="C19240" s="5" t="s">
        <v>45</v>
      </c>
      <c r="D19240" s="3" t="s">
        <v>221</v>
      </c>
      <c r="E19240" s="3" t="s">
        <v>536</v>
      </c>
      <c r="F19240" s="7">
        <v>46117.24922707538</v>
      </c>
      <c r="G19240" s="3" t="s">
        <v>14051</v>
      </c>
    </row>
    <row r="19241">
      <c r="A19241" s="3" t="s">
        <v>35414</v>
      </c>
      <c r="B19241" s="3" t="s">
        <v>15969</v>
      </c>
      <c r="C19241" s="5" t="s">
        <v>221</v>
      </c>
      <c r="D19241" s="3" t="s">
        <v>614</v>
      </c>
      <c r="E19241" s="3" t="s">
        <v>118</v>
      </c>
      <c r="F19241" s="7">
        <v>46117.2526992976</v>
      </c>
      <c r="G19241" s="3" t="s">
        <v>14054</v>
      </c>
    </row>
    <row r="19242">
      <c r="A19242" s="3" t="s">
        <v>35415</v>
      </c>
      <c r="B19242" s="3" t="s">
        <v>15969</v>
      </c>
      <c r="C19242" s="5" t="s">
        <v>614</v>
      </c>
      <c r="D19242" s="3" t="s">
        <v>206</v>
      </c>
      <c r="E19242" s="3" t="s">
        <v>100</v>
      </c>
      <c r="F19242" s="7">
        <v>46117.256171519824</v>
      </c>
      <c r="G19242" s="3" t="s">
        <v>14056</v>
      </c>
    </row>
    <row r="19243">
      <c r="A19243" s="3" t="s">
        <v>35416</v>
      </c>
      <c r="B19243" s="3" t="s">
        <v>15969</v>
      </c>
      <c r="C19243" s="5" t="s">
        <v>206</v>
      </c>
      <c r="D19243" s="3" t="s">
        <v>68</v>
      </c>
      <c r="E19243" s="3" t="s">
        <v>100</v>
      </c>
      <c r="F19243" s="7">
        <v>46117.25964374204</v>
      </c>
      <c r="G19243" s="3" t="s">
        <v>14059</v>
      </c>
    </row>
    <row r="19244">
      <c r="A19244" s="3" t="s">
        <v>35417</v>
      </c>
      <c r="B19244" s="3" t="s">
        <v>15973</v>
      </c>
      <c r="C19244" s="5" t="s">
        <v>45</v>
      </c>
      <c r="D19244" s="3" t="s">
        <v>221</v>
      </c>
      <c r="E19244" s="3" t="s">
        <v>965</v>
      </c>
      <c r="F19244" s="7">
        <v>46117.3204019208</v>
      </c>
      <c r="G19244" s="3" t="s">
        <v>21804</v>
      </c>
    </row>
    <row r="19245">
      <c r="A19245" s="3" t="s">
        <v>35418</v>
      </c>
      <c r="B19245" s="3" t="s">
        <v>15973</v>
      </c>
      <c r="C19245" s="5" t="s">
        <v>221</v>
      </c>
      <c r="D19245" s="3" t="s">
        <v>614</v>
      </c>
      <c r="E19245" s="3" t="s">
        <v>118</v>
      </c>
      <c r="F19245" s="7">
        <v>46117.32387414302</v>
      </c>
      <c r="G19245" s="3" t="s">
        <v>21807</v>
      </c>
    </row>
    <row r="19246">
      <c r="A19246" s="3" t="s">
        <v>35419</v>
      </c>
      <c r="B19246" s="3" t="s">
        <v>15973</v>
      </c>
      <c r="C19246" s="5" t="s">
        <v>614</v>
      </c>
      <c r="D19246" s="3" t="s">
        <v>206</v>
      </c>
      <c r="E19246" s="3" t="s">
        <v>100</v>
      </c>
      <c r="F19246" s="7">
        <v>46117.327346365244</v>
      </c>
      <c r="G19246" s="3" t="s">
        <v>21810</v>
      </c>
    </row>
    <row r="19247">
      <c r="A19247" s="3" t="s">
        <v>35420</v>
      </c>
      <c r="B19247" s="3" t="s">
        <v>15973</v>
      </c>
      <c r="C19247" s="5" t="s">
        <v>206</v>
      </c>
      <c r="D19247" s="3" t="s">
        <v>68</v>
      </c>
      <c r="E19247" s="3" t="s">
        <v>100</v>
      </c>
      <c r="F19247" s="7">
        <v>46117.33081858746</v>
      </c>
      <c r="G19247" s="3" t="s">
        <v>21813</v>
      </c>
    </row>
    <row r="19248">
      <c r="A19248" s="3" t="s">
        <v>35421</v>
      </c>
      <c r="B19248" s="3" t="s">
        <v>15976</v>
      </c>
      <c r="C19248" s="5" t="s">
        <v>45</v>
      </c>
      <c r="D19248" s="3" t="s">
        <v>221</v>
      </c>
      <c r="E19248" s="3" t="s">
        <v>175</v>
      </c>
      <c r="F19248" s="7">
        <v>46117.39157676622</v>
      </c>
      <c r="G19248" s="3" t="s">
        <v>10964</v>
      </c>
    </row>
    <row r="19249">
      <c r="A19249" s="3" t="s">
        <v>35422</v>
      </c>
      <c r="B19249" s="3" t="s">
        <v>15976</v>
      </c>
      <c r="C19249" s="5" t="s">
        <v>221</v>
      </c>
      <c r="D19249" s="3" t="s">
        <v>614</v>
      </c>
      <c r="E19249" s="3" t="s">
        <v>118</v>
      </c>
      <c r="F19249" s="7">
        <v>46117.39504898844</v>
      </c>
      <c r="G19249" s="3" t="s">
        <v>10967</v>
      </c>
    </row>
    <row r="19250">
      <c r="A19250" s="3" t="s">
        <v>35423</v>
      </c>
      <c r="B19250" s="3" t="s">
        <v>15976</v>
      </c>
      <c r="C19250" s="5" t="s">
        <v>614</v>
      </c>
      <c r="D19250" s="3" t="s">
        <v>206</v>
      </c>
      <c r="E19250" s="3" t="s">
        <v>100</v>
      </c>
      <c r="F19250" s="7">
        <v>46117.39852121066</v>
      </c>
      <c r="G19250" s="3" t="s">
        <v>10970</v>
      </c>
    </row>
    <row r="19251">
      <c r="A19251" s="3" t="s">
        <v>35424</v>
      </c>
      <c r="B19251" s="3" t="s">
        <v>15976</v>
      </c>
      <c r="C19251" s="5" t="s">
        <v>206</v>
      </c>
      <c r="D19251" s="3" t="s">
        <v>68</v>
      </c>
      <c r="E19251" s="3" t="s">
        <v>100</v>
      </c>
      <c r="F19251" s="7">
        <v>46117.40199343288</v>
      </c>
      <c r="G19251" s="3" t="s">
        <v>10973</v>
      </c>
    </row>
    <row r="19252">
      <c r="A19252" s="3" t="s">
        <v>35425</v>
      </c>
      <c r="B19252" s="3" t="s">
        <v>15980</v>
      </c>
      <c r="C19252" s="5" t="s">
        <v>45</v>
      </c>
      <c r="D19252" s="3" t="s">
        <v>221</v>
      </c>
      <c r="E19252" s="3" t="s">
        <v>993</v>
      </c>
      <c r="F19252" s="7">
        <v>46117.46275161162</v>
      </c>
      <c r="G19252" s="3" t="s">
        <v>12582</v>
      </c>
    </row>
    <row r="19253">
      <c r="A19253" s="3" t="s">
        <v>35426</v>
      </c>
      <c r="B19253" s="3" t="s">
        <v>15980</v>
      </c>
      <c r="C19253" s="5" t="s">
        <v>221</v>
      </c>
      <c r="D19253" s="3" t="s">
        <v>614</v>
      </c>
      <c r="E19253" s="3" t="s">
        <v>118</v>
      </c>
      <c r="F19253" s="7">
        <v>46117.46622383384</v>
      </c>
      <c r="G19253" s="3" t="s">
        <v>12585</v>
      </c>
    </row>
    <row r="19254">
      <c r="A19254" s="3" t="s">
        <v>35427</v>
      </c>
      <c r="B19254" s="3" t="s">
        <v>15980</v>
      </c>
      <c r="C19254" s="5" t="s">
        <v>614</v>
      </c>
      <c r="D19254" s="3" t="s">
        <v>206</v>
      </c>
      <c r="E19254" s="3" t="s">
        <v>100</v>
      </c>
      <c r="F19254" s="7">
        <v>46117.46969605607</v>
      </c>
      <c r="G19254" s="3" t="s">
        <v>12588</v>
      </c>
    </row>
    <row r="19255">
      <c r="A19255" s="3" t="s">
        <v>35428</v>
      </c>
      <c r="B19255" s="3" t="s">
        <v>15980</v>
      </c>
      <c r="C19255" s="5" t="s">
        <v>206</v>
      </c>
      <c r="D19255" s="3" t="s">
        <v>68</v>
      </c>
      <c r="E19255" s="3" t="s">
        <v>100</v>
      </c>
      <c r="F19255" s="7">
        <v>46117.47316827829</v>
      </c>
      <c r="G19255" s="3" t="s">
        <v>12591</v>
      </c>
    </row>
    <row r="19256">
      <c r="A19256" s="3" t="s">
        <v>35429</v>
      </c>
      <c r="B19256" s="3" t="s">
        <v>15983</v>
      </c>
      <c r="C19256" s="5" t="s">
        <v>45</v>
      </c>
      <c r="D19256" s="3" t="s">
        <v>221</v>
      </c>
      <c r="E19256" s="3" t="s">
        <v>1030</v>
      </c>
      <c r="F19256" s="7">
        <v>46117.53392645704</v>
      </c>
      <c r="G19256" s="3" t="s">
        <v>8757</v>
      </c>
    </row>
    <row r="19257">
      <c r="A19257" s="3" t="s">
        <v>35430</v>
      </c>
      <c r="B19257" s="3" t="s">
        <v>15983</v>
      </c>
      <c r="C19257" s="5" t="s">
        <v>221</v>
      </c>
      <c r="D19257" s="3" t="s">
        <v>614</v>
      </c>
      <c r="E19257" s="3" t="s">
        <v>118</v>
      </c>
      <c r="F19257" s="7">
        <v>46117.53739867926</v>
      </c>
      <c r="G19257" s="3" t="s">
        <v>34270</v>
      </c>
    </row>
    <row r="19258">
      <c r="A19258" s="3" t="s">
        <v>35431</v>
      </c>
      <c r="B19258" s="3" t="s">
        <v>15983</v>
      </c>
      <c r="C19258" s="5" t="s">
        <v>614</v>
      </c>
      <c r="D19258" s="3" t="s">
        <v>206</v>
      </c>
      <c r="E19258" s="3" t="s">
        <v>100</v>
      </c>
      <c r="F19258" s="7">
        <v>46117.54087090149</v>
      </c>
      <c r="G19258" s="3" t="s">
        <v>34272</v>
      </c>
    </row>
    <row r="19259">
      <c r="A19259" s="3" t="s">
        <v>35432</v>
      </c>
      <c r="B19259" s="3" t="s">
        <v>15983</v>
      </c>
      <c r="C19259" s="5" t="s">
        <v>206</v>
      </c>
      <c r="D19259" s="3" t="s">
        <v>68</v>
      </c>
      <c r="E19259" s="3" t="s">
        <v>100</v>
      </c>
      <c r="F19259" s="7">
        <v>46117.54434312371</v>
      </c>
      <c r="G19259" s="3" t="s">
        <v>34274</v>
      </c>
    </row>
    <row r="19260">
      <c r="A19260" s="3" t="s">
        <v>35433</v>
      </c>
      <c r="B19260" s="3" t="s">
        <v>15986</v>
      </c>
      <c r="C19260" s="5" t="s">
        <v>45</v>
      </c>
      <c r="D19260" s="3" t="s">
        <v>221</v>
      </c>
      <c r="E19260" s="3" t="s">
        <v>793</v>
      </c>
      <c r="F19260" s="7">
        <v>46117.605101302455</v>
      </c>
      <c r="G19260" s="3" t="s">
        <v>9616</v>
      </c>
    </row>
    <row r="19261">
      <c r="A19261" s="3" t="s">
        <v>35434</v>
      </c>
      <c r="B19261" s="3" t="s">
        <v>15986</v>
      </c>
      <c r="C19261" s="5" t="s">
        <v>221</v>
      </c>
      <c r="D19261" s="3" t="s">
        <v>195</v>
      </c>
      <c r="E19261" s="3" t="s">
        <v>793</v>
      </c>
      <c r="F19261" s="7">
        <v>46117.608573524674</v>
      </c>
      <c r="G19261" s="3" t="s">
        <v>35435</v>
      </c>
    </row>
    <row r="19262">
      <c r="A19262" s="3" t="s">
        <v>35436</v>
      </c>
      <c r="B19262" s="3" t="s">
        <v>15988</v>
      </c>
      <c r="C19262" s="5" t="s">
        <v>45</v>
      </c>
      <c r="D19262" s="3" t="s">
        <v>221</v>
      </c>
      <c r="E19262" s="3" t="s">
        <v>1043</v>
      </c>
      <c r="F19262" s="7">
        <v>46117.676276147875</v>
      </c>
      <c r="G19262" s="3" t="s">
        <v>19136</v>
      </c>
    </row>
    <row r="19263">
      <c r="A19263" s="3" t="s">
        <v>35437</v>
      </c>
      <c r="B19263" s="3" t="s">
        <v>15988</v>
      </c>
      <c r="C19263" s="5" t="s">
        <v>221</v>
      </c>
      <c r="D19263" s="3" t="s">
        <v>614</v>
      </c>
      <c r="E19263" s="3" t="s">
        <v>118</v>
      </c>
      <c r="F19263" s="7">
        <v>46117.679748370094</v>
      </c>
      <c r="G19263" s="3" t="s">
        <v>19139</v>
      </c>
    </row>
    <row r="19264">
      <c r="A19264" s="3" t="s">
        <v>35438</v>
      </c>
      <c r="B19264" s="3" t="s">
        <v>15988</v>
      </c>
      <c r="C19264" s="5" t="s">
        <v>614</v>
      </c>
      <c r="D19264" s="3" t="s">
        <v>206</v>
      </c>
      <c r="E19264" s="3" t="s">
        <v>100</v>
      </c>
      <c r="F19264" s="7">
        <v>46117.68322059232</v>
      </c>
      <c r="G19264" s="3" t="s">
        <v>19142</v>
      </c>
    </row>
    <row r="19265">
      <c r="A19265" s="3" t="s">
        <v>35439</v>
      </c>
      <c r="B19265" s="3" t="s">
        <v>15988</v>
      </c>
      <c r="C19265" s="5" t="s">
        <v>206</v>
      </c>
      <c r="D19265" s="3" t="s">
        <v>68</v>
      </c>
      <c r="E19265" s="3" t="s">
        <v>100</v>
      </c>
      <c r="F19265" s="7">
        <v>46117.68669281454</v>
      </c>
      <c r="G19265" s="3" t="s">
        <v>19145</v>
      </c>
    </row>
    <row r="19266">
      <c r="A19266" s="3" t="s">
        <v>35440</v>
      </c>
      <c r="B19266" s="3" t="s">
        <v>15990</v>
      </c>
      <c r="C19266" s="5" t="s">
        <v>45</v>
      </c>
      <c r="D19266" s="3" t="s">
        <v>221</v>
      </c>
      <c r="E19266" s="3" t="s">
        <v>785</v>
      </c>
      <c r="F19266" s="7">
        <v>46117.74745099329</v>
      </c>
      <c r="G19266" s="3" t="s">
        <v>14779</v>
      </c>
    </row>
    <row r="19267">
      <c r="A19267" s="3" t="s">
        <v>35441</v>
      </c>
      <c r="B19267" s="3" t="s">
        <v>15990</v>
      </c>
      <c r="C19267" s="5" t="s">
        <v>221</v>
      </c>
      <c r="D19267" s="3" t="s">
        <v>614</v>
      </c>
      <c r="E19267" s="3" t="s">
        <v>118</v>
      </c>
      <c r="F19267" s="7">
        <v>46117.750923215506</v>
      </c>
      <c r="G19267" s="3" t="s">
        <v>14782</v>
      </c>
    </row>
    <row r="19268">
      <c r="A19268" s="3" t="s">
        <v>35442</v>
      </c>
      <c r="B19268" s="3" t="s">
        <v>15990</v>
      </c>
      <c r="C19268" s="5" t="s">
        <v>614</v>
      </c>
      <c r="D19268" s="3" t="s">
        <v>206</v>
      </c>
      <c r="E19268" s="3" t="s">
        <v>100</v>
      </c>
      <c r="F19268" s="7">
        <v>46117.75439543773</v>
      </c>
      <c r="G19268" s="3" t="s">
        <v>14785</v>
      </c>
    </row>
    <row r="19269">
      <c r="A19269" s="3" t="s">
        <v>35443</v>
      </c>
      <c r="B19269" s="3" t="s">
        <v>15990</v>
      </c>
      <c r="C19269" s="5" t="s">
        <v>206</v>
      </c>
      <c r="D19269" s="3" t="s">
        <v>68</v>
      </c>
      <c r="E19269" s="3" t="s">
        <v>100</v>
      </c>
      <c r="F19269" s="7">
        <v>46117.75786765995</v>
      </c>
      <c r="G19269" s="3" t="s">
        <v>14787</v>
      </c>
    </row>
    <row r="19270">
      <c r="A19270" s="3" t="s">
        <v>35444</v>
      </c>
      <c r="B19270" s="3" t="s">
        <v>15993</v>
      </c>
      <c r="C19270" s="5" t="s">
        <v>45</v>
      </c>
      <c r="D19270" s="3" t="s">
        <v>221</v>
      </c>
      <c r="E19270" s="3" t="s">
        <v>272</v>
      </c>
      <c r="F19270" s="7">
        <v>46117.81862583871</v>
      </c>
      <c r="G19270" s="3" t="s">
        <v>28842</v>
      </c>
    </row>
    <row r="19271">
      <c r="A19271" s="3" t="s">
        <v>35445</v>
      </c>
      <c r="B19271" s="3" t="s">
        <v>15993</v>
      </c>
      <c r="C19271" s="5" t="s">
        <v>221</v>
      </c>
      <c r="D19271" s="3" t="s">
        <v>614</v>
      </c>
      <c r="E19271" s="3" t="s">
        <v>118</v>
      </c>
      <c r="F19271" s="7">
        <v>46117.822098060926</v>
      </c>
      <c r="G19271" s="3" t="s">
        <v>28844</v>
      </c>
    </row>
    <row r="19272">
      <c r="A19272" s="3" t="s">
        <v>35446</v>
      </c>
      <c r="B19272" s="3" t="s">
        <v>15993</v>
      </c>
      <c r="C19272" s="5" t="s">
        <v>614</v>
      </c>
      <c r="D19272" s="3" t="s">
        <v>206</v>
      </c>
      <c r="E19272" s="3" t="s">
        <v>100</v>
      </c>
      <c r="F19272" s="7">
        <v>46117.82557028315</v>
      </c>
      <c r="G19272" s="3" t="s">
        <v>28846</v>
      </c>
    </row>
    <row r="19273">
      <c r="A19273" s="3" t="s">
        <v>35447</v>
      </c>
      <c r="B19273" s="3" t="s">
        <v>15993</v>
      </c>
      <c r="C19273" s="5" t="s">
        <v>206</v>
      </c>
      <c r="D19273" s="3" t="s">
        <v>68</v>
      </c>
      <c r="E19273" s="3" t="s">
        <v>100</v>
      </c>
      <c r="F19273" s="7">
        <v>46117.82904250537</v>
      </c>
      <c r="G19273" s="3" t="s">
        <v>28848</v>
      </c>
    </row>
    <row r="19274">
      <c r="A19274" s="3" t="s">
        <v>35448</v>
      </c>
      <c r="B19274" s="3" t="s">
        <v>15995</v>
      </c>
      <c r="C19274" s="5" t="s">
        <v>45</v>
      </c>
      <c r="D19274" s="3" t="s">
        <v>221</v>
      </c>
      <c r="E19274" s="3" t="s">
        <v>287</v>
      </c>
      <c r="F19274" s="7">
        <v>46117.88980068411</v>
      </c>
      <c r="G19274" s="3" t="s">
        <v>7895</v>
      </c>
    </row>
    <row r="19275">
      <c r="A19275" s="3" t="s">
        <v>35449</v>
      </c>
      <c r="B19275" s="3" t="s">
        <v>15995</v>
      </c>
      <c r="C19275" s="5" t="s">
        <v>221</v>
      </c>
      <c r="D19275" s="3" t="s">
        <v>614</v>
      </c>
      <c r="E19275" s="3" t="s">
        <v>118</v>
      </c>
      <c r="F19275" s="7">
        <v>46117.89327290633</v>
      </c>
      <c r="G19275" s="3" t="s">
        <v>7898</v>
      </c>
    </row>
    <row r="19276">
      <c r="A19276" s="3" t="s">
        <v>35450</v>
      </c>
      <c r="B19276" s="3" t="s">
        <v>15995</v>
      </c>
      <c r="C19276" s="5" t="s">
        <v>614</v>
      </c>
      <c r="D19276" s="3" t="s">
        <v>206</v>
      </c>
      <c r="E19276" s="3" t="s">
        <v>100</v>
      </c>
      <c r="F19276" s="7">
        <v>46117.89674512856</v>
      </c>
      <c r="G19276" s="3" t="s">
        <v>7901</v>
      </c>
    </row>
    <row r="19277">
      <c r="A19277" s="3" t="s">
        <v>35451</v>
      </c>
      <c r="B19277" s="3" t="s">
        <v>15995</v>
      </c>
      <c r="C19277" s="5" t="s">
        <v>206</v>
      </c>
      <c r="D19277" s="3" t="s">
        <v>68</v>
      </c>
      <c r="E19277" s="3" t="s">
        <v>100</v>
      </c>
      <c r="F19277" s="7">
        <v>46117.900217350776</v>
      </c>
      <c r="G19277" s="3" t="s">
        <v>7904</v>
      </c>
    </row>
    <row r="19278">
      <c r="A19278" s="3" t="s">
        <v>35452</v>
      </c>
      <c r="B19278" s="3" t="s">
        <v>15997</v>
      </c>
      <c r="C19278" s="5" t="s">
        <v>45</v>
      </c>
      <c r="D19278" s="3" t="s">
        <v>221</v>
      </c>
      <c r="E19278" s="3" t="s">
        <v>629</v>
      </c>
      <c r="F19278" s="7">
        <v>46117.96097552953</v>
      </c>
      <c r="G19278" s="3" t="s">
        <v>14073</v>
      </c>
    </row>
    <row r="19279">
      <c r="A19279" s="3" t="s">
        <v>35453</v>
      </c>
      <c r="B19279" s="3" t="s">
        <v>15997</v>
      </c>
      <c r="C19279" s="5" t="s">
        <v>221</v>
      </c>
      <c r="D19279" s="3" t="s">
        <v>614</v>
      </c>
      <c r="E19279" s="3" t="s">
        <v>118</v>
      </c>
      <c r="F19279" s="7">
        <v>46117.96444775175</v>
      </c>
      <c r="G19279" s="3" t="s">
        <v>14076</v>
      </c>
    </row>
    <row r="19280">
      <c r="A19280" s="3" t="s">
        <v>35454</v>
      </c>
      <c r="B19280" s="3" t="s">
        <v>15997</v>
      </c>
      <c r="C19280" s="5" t="s">
        <v>614</v>
      </c>
      <c r="D19280" s="3" t="s">
        <v>206</v>
      </c>
      <c r="E19280" s="3" t="s">
        <v>100</v>
      </c>
      <c r="F19280" s="7">
        <v>46117.96791997398</v>
      </c>
      <c r="G19280" s="3" t="s">
        <v>14079</v>
      </c>
    </row>
    <row r="19281">
      <c r="A19281" s="3" t="s">
        <v>35455</v>
      </c>
      <c r="B19281" s="3" t="s">
        <v>15997</v>
      </c>
      <c r="C19281" s="5" t="s">
        <v>206</v>
      </c>
      <c r="D19281" s="3" t="s">
        <v>68</v>
      </c>
      <c r="E19281" s="3" t="s">
        <v>100</v>
      </c>
      <c r="F19281" s="7">
        <v>46117.971392196196</v>
      </c>
      <c r="G19281" s="3" t="s">
        <v>14082</v>
      </c>
    </row>
    <row r="19282">
      <c r="A19282" s="3" t="s">
        <v>35456</v>
      </c>
      <c r="B19282" s="3" t="s">
        <v>16000</v>
      </c>
      <c r="C19282" s="5" t="s">
        <v>45</v>
      </c>
      <c r="D19282" s="3" t="s">
        <v>221</v>
      </c>
      <c r="E19282" s="3" t="s">
        <v>778</v>
      </c>
      <c r="F19282" s="7">
        <v>46118.03215037495</v>
      </c>
      <c r="G19282" s="3" t="s">
        <v>14085</v>
      </c>
    </row>
    <row r="19283">
      <c r="A19283" s="3" t="s">
        <v>35457</v>
      </c>
      <c r="B19283" s="3" t="s">
        <v>16000</v>
      </c>
      <c r="C19283" s="5" t="s">
        <v>221</v>
      </c>
      <c r="D19283" s="3" t="s">
        <v>614</v>
      </c>
      <c r="E19283" s="3" t="s">
        <v>118</v>
      </c>
      <c r="F19283" s="7">
        <v>46118.03562259717</v>
      </c>
      <c r="G19283" s="3" t="s">
        <v>14087</v>
      </c>
    </row>
    <row r="19284">
      <c r="A19284" s="3" t="s">
        <v>35458</v>
      </c>
      <c r="B19284" s="3" t="s">
        <v>16000</v>
      </c>
      <c r="C19284" s="5" t="s">
        <v>614</v>
      </c>
      <c r="D19284" s="3" t="s">
        <v>206</v>
      </c>
      <c r="E19284" s="3" t="s">
        <v>100</v>
      </c>
      <c r="F19284" s="7">
        <v>46118.039094819396</v>
      </c>
      <c r="G19284" s="3" t="s">
        <v>14090</v>
      </c>
    </row>
    <row r="19285">
      <c r="A19285" s="3" t="s">
        <v>35459</v>
      </c>
      <c r="B19285" s="3" t="s">
        <v>16000</v>
      </c>
      <c r="C19285" s="5" t="s">
        <v>206</v>
      </c>
      <c r="D19285" s="3" t="s">
        <v>68</v>
      </c>
      <c r="E19285" s="3" t="s">
        <v>100</v>
      </c>
      <c r="F19285" s="7">
        <v>46118.042567041615</v>
      </c>
      <c r="G19285" s="3" t="s">
        <v>14093</v>
      </c>
    </row>
    <row r="19286">
      <c r="A19286" s="3" t="s">
        <v>35460</v>
      </c>
      <c r="B19286" s="3" t="s">
        <v>16004</v>
      </c>
      <c r="C19286" s="5" t="s">
        <v>45</v>
      </c>
      <c r="D19286" s="3" t="s">
        <v>221</v>
      </c>
      <c r="E19286" s="3" t="s">
        <v>400</v>
      </c>
      <c r="F19286" s="7">
        <v>46118.10332522036</v>
      </c>
      <c r="G19286" s="3" t="s">
        <v>26846</v>
      </c>
    </row>
    <row r="19287">
      <c r="A19287" s="3" t="s">
        <v>35461</v>
      </c>
      <c r="B19287" s="3" t="s">
        <v>16004</v>
      </c>
      <c r="C19287" s="5" t="s">
        <v>221</v>
      </c>
      <c r="D19287" s="3" t="s">
        <v>614</v>
      </c>
      <c r="E19287" s="3" t="s">
        <v>118</v>
      </c>
      <c r="F19287" s="7">
        <v>46118.10679744258</v>
      </c>
      <c r="G19287" s="3" t="s">
        <v>29677</v>
      </c>
    </row>
    <row r="19288">
      <c r="A19288" s="3" t="s">
        <v>35462</v>
      </c>
      <c r="B19288" s="3" t="s">
        <v>16004</v>
      </c>
      <c r="C19288" s="5" t="s">
        <v>614</v>
      </c>
      <c r="D19288" s="3" t="s">
        <v>206</v>
      </c>
      <c r="E19288" s="3" t="s">
        <v>100</v>
      </c>
      <c r="F19288" s="7">
        <v>46118.11026966481</v>
      </c>
      <c r="G19288" s="3" t="s">
        <v>29679</v>
      </c>
    </row>
    <row r="19289">
      <c r="A19289" s="3" t="s">
        <v>35463</v>
      </c>
      <c r="B19289" s="3" t="s">
        <v>16004</v>
      </c>
      <c r="C19289" s="5" t="s">
        <v>206</v>
      </c>
      <c r="D19289" s="3" t="s">
        <v>68</v>
      </c>
      <c r="E19289" s="3" t="s">
        <v>100</v>
      </c>
      <c r="F19289" s="7">
        <v>46118.11374188703</v>
      </c>
      <c r="G19289" s="3" t="s">
        <v>29681</v>
      </c>
    </row>
    <row r="19290">
      <c r="A19290" s="3" t="s">
        <v>35464</v>
      </c>
      <c r="B19290" s="3" t="s">
        <v>16008</v>
      </c>
      <c r="C19290" s="5" t="s">
        <v>45</v>
      </c>
      <c r="D19290" s="3" t="s">
        <v>221</v>
      </c>
      <c r="E19290" s="3" t="s">
        <v>481</v>
      </c>
      <c r="F19290" s="7">
        <v>46118.174500065776</v>
      </c>
      <c r="G19290" s="3" t="s">
        <v>2770</v>
      </c>
    </row>
    <row r="19291">
      <c r="A19291" s="3" t="s">
        <v>35465</v>
      </c>
      <c r="B19291" s="3" t="s">
        <v>16008</v>
      </c>
      <c r="C19291" s="5" t="s">
        <v>221</v>
      </c>
      <c r="D19291" s="3" t="s">
        <v>181</v>
      </c>
      <c r="E19291" s="3" t="s">
        <v>118</v>
      </c>
      <c r="F19291" s="7">
        <v>46118.177972287995</v>
      </c>
      <c r="G19291" s="3" t="s">
        <v>2774</v>
      </c>
    </row>
    <row r="19292">
      <c r="A19292" s="3" t="s">
        <v>35466</v>
      </c>
      <c r="B19292" s="3" t="s">
        <v>16011</v>
      </c>
      <c r="C19292" s="5" t="s">
        <v>45</v>
      </c>
      <c r="D19292" s="3" t="s">
        <v>221</v>
      </c>
      <c r="E19292" s="3" t="s">
        <v>151</v>
      </c>
      <c r="F19292" s="7">
        <v>46118.245674911195</v>
      </c>
      <c r="G19292" s="3" t="s">
        <v>14411</v>
      </c>
    </row>
    <row r="19293">
      <c r="A19293" s="3" t="s">
        <v>35467</v>
      </c>
      <c r="B19293" s="3" t="s">
        <v>16011</v>
      </c>
      <c r="C19293" s="5" t="s">
        <v>221</v>
      </c>
      <c r="D19293" s="3" t="s">
        <v>614</v>
      </c>
      <c r="E19293" s="3" t="s">
        <v>118</v>
      </c>
      <c r="F19293" s="7">
        <v>46118.249147133414</v>
      </c>
      <c r="G19293" s="3" t="s">
        <v>14413</v>
      </c>
    </row>
    <row r="19294">
      <c r="A19294" s="3" t="s">
        <v>35468</v>
      </c>
      <c r="B19294" s="3" t="s">
        <v>16011</v>
      </c>
      <c r="C19294" s="5" t="s">
        <v>614</v>
      </c>
      <c r="D19294" s="3" t="s">
        <v>206</v>
      </c>
      <c r="E19294" s="3" t="s">
        <v>100</v>
      </c>
      <c r="F19294" s="7">
        <v>46118.25261935564</v>
      </c>
      <c r="G19294" s="3" t="s">
        <v>14416</v>
      </c>
    </row>
    <row r="19295">
      <c r="A19295" s="3" t="s">
        <v>35469</v>
      </c>
      <c r="B19295" s="3" t="s">
        <v>16011</v>
      </c>
      <c r="C19295" s="5" t="s">
        <v>206</v>
      </c>
      <c r="D19295" s="3" t="s">
        <v>68</v>
      </c>
      <c r="E19295" s="3" t="s">
        <v>100</v>
      </c>
      <c r="F19295" s="7">
        <v>46118.25609157786</v>
      </c>
      <c r="G19295" s="3" t="s">
        <v>14419</v>
      </c>
    </row>
    <row r="19296">
      <c r="A19296" s="3" t="s">
        <v>35470</v>
      </c>
      <c r="B19296" s="3" t="s">
        <v>16014</v>
      </c>
      <c r="C19296" s="5" t="s">
        <v>45</v>
      </c>
      <c r="D19296" s="3" t="s">
        <v>221</v>
      </c>
      <c r="E19296" s="3" t="s">
        <v>348</v>
      </c>
      <c r="F19296" s="7">
        <v>46118.31684975661</v>
      </c>
      <c r="G19296" s="3" t="s">
        <v>16918</v>
      </c>
    </row>
    <row r="19297">
      <c r="A19297" s="3" t="s">
        <v>35471</v>
      </c>
      <c r="B19297" s="3" t="s">
        <v>16014</v>
      </c>
      <c r="C19297" s="5" t="s">
        <v>221</v>
      </c>
      <c r="D19297" s="3" t="s">
        <v>614</v>
      </c>
      <c r="E19297" s="3" t="s">
        <v>118</v>
      </c>
      <c r="F19297" s="7">
        <v>46118.32032197883</v>
      </c>
      <c r="G19297" s="3" t="s">
        <v>16920</v>
      </c>
    </row>
    <row r="19298">
      <c r="A19298" s="3" t="s">
        <v>35472</v>
      </c>
      <c r="B19298" s="3" t="s">
        <v>16014</v>
      </c>
      <c r="C19298" s="5" t="s">
        <v>614</v>
      </c>
      <c r="D19298" s="3" t="s">
        <v>206</v>
      </c>
      <c r="E19298" s="3" t="s">
        <v>100</v>
      </c>
      <c r="F19298" s="7">
        <v>46118.32379420105</v>
      </c>
      <c r="G19298" s="3" t="s">
        <v>16923</v>
      </c>
    </row>
    <row r="19299">
      <c r="A19299" s="3" t="s">
        <v>35473</v>
      </c>
      <c r="B19299" s="3" t="s">
        <v>16014</v>
      </c>
      <c r="C19299" s="5" t="s">
        <v>206</v>
      </c>
      <c r="D19299" s="3" t="s">
        <v>68</v>
      </c>
      <c r="E19299" s="3" t="s">
        <v>100</v>
      </c>
      <c r="F19299" s="7">
        <v>46118.32726642327</v>
      </c>
      <c r="G19299" s="3" t="s">
        <v>16926</v>
      </c>
    </row>
    <row r="19300">
      <c r="A19300" s="3" t="s">
        <v>35474</v>
      </c>
      <c r="B19300" s="3" t="s">
        <v>16018</v>
      </c>
      <c r="C19300" s="5" t="s">
        <v>45</v>
      </c>
      <c r="D19300" s="3" t="s">
        <v>221</v>
      </c>
      <c r="E19300" s="3" t="s">
        <v>619</v>
      </c>
      <c r="F19300" s="7">
        <v>46118.38802460202</v>
      </c>
      <c r="G19300" s="3" t="s">
        <v>21088</v>
      </c>
    </row>
    <row r="19301">
      <c r="A19301" s="3" t="s">
        <v>35475</v>
      </c>
      <c r="B19301" s="3" t="s">
        <v>16018</v>
      </c>
      <c r="C19301" s="5" t="s">
        <v>221</v>
      </c>
      <c r="D19301" s="3" t="s">
        <v>614</v>
      </c>
      <c r="E19301" s="3" t="s">
        <v>118</v>
      </c>
      <c r="F19301" s="7">
        <v>46118.39149682424</v>
      </c>
      <c r="G19301" s="3" t="s">
        <v>21529</v>
      </c>
    </row>
    <row r="19302">
      <c r="A19302" s="3" t="s">
        <v>35476</v>
      </c>
      <c r="B19302" s="3" t="s">
        <v>16018</v>
      </c>
      <c r="C19302" s="5" t="s">
        <v>614</v>
      </c>
      <c r="D19302" s="3" t="s">
        <v>206</v>
      </c>
      <c r="E19302" s="3" t="s">
        <v>100</v>
      </c>
      <c r="F19302" s="7">
        <v>46118.394969046465</v>
      </c>
      <c r="G19302" s="3" t="s">
        <v>21532</v>
      </c>
    </row>
    <row r="19303">
      <c r="A19303" s="3" t="s">
        <v>35477</v>
      </c>
      <c r="B19303" s="3" t="s">
        <v>16018</v>
      </c>
      <c r="C19303" s="5" t="s">
        <v>206</v>
      </c>
      <c r="D19303" s="3" t="s">
        <v>68</v>
      </c>
      <c r="E19303" s="3" t="s">
        <v>100</v>
      </c>
      <c r="F19303" s="7">
        <v>46118.398441268684</v>
      </c>
      <c r="G19303" s="3" t="s">
        <v>21534</v>
      </c>
    </row>
    <row r="19304">
      <c r="A19304" s="3" t="s">
        <v>35478</v>
      </c>
      <c r="B19304" s="3" t="s">
        <v>16021</v>
      </c>
      <c r="C19304" s="5" t="s">
        <v>45</v>
      </c>
      <c r="D19304" s="3" t="s">
        <v>221</v>
      </c>
      <c r="E19304" s="3" t="s">
        <v>559</v>
      </c>
      <c r="F19304" s="7">
        <v>46118.45919944744</v>
      </c>
      <c r="G19304" s="3" t="s">
        <v>22474</v>
      </c>
    </row>
    <row r="19305">
      <c r="A19305" s="3" t="s">
        <v>35479</v>
      </c>
      <c r="B19305" s="3" t="s">
        <v>16021</v>
      </c>
      <c r="C19305" s="5" t="s">
        <v>221</v>
      </c>
      <c r="D19305" s="3" t="s">
        <v>614</v>
      </c>
      <c r="E19305" s="3" t="s">
        <v>118</v>
      </c>
      <c r="F19305" s="7">
        <v>46118.46267166966</v>
      </c>
      <c r="G19305" s="3" t="s">
        <v>22477</v>
      </c>
    </row>
    <row r="19306">
      <c r="A19306" s="3" t="s">
        <v>35480</v>
      </c>
      <c r="B19306" s="3" t="s">
        <v>16021</v>
      </c>
      <c r="C19306" s="5" t="s">
        <v>614</v>
      </c>
      <c r="D19306" s="3" t="s">
        <v>206</v>
      </c>
      <c r="E19306" s="3" t="s">
        <v>100</v>
      </c>
      <c r="F19306" s="7">
        <v>46118.466143891885</v>
      </c>
      <c r="G19306" s="3" t="s">
        <v>22480</v>
      </c>
    </row>
    <row r="19307">
      <c r="A19307" s="3" t="s">
        <v>35481</v>
      </c>
      <c r="B19307" s="3" t="s">
        <v>16021</v>
      </c>
      <c r="C19307" s="5" t="s">
        <v>206</v>
      </c>
      <c r="D19307" s="3" t="s">
        <v>68</v>
      </c>
      <c r="E19307" s="3" t="s">
        <v>100</v>
      </c>
      <c r="F19307" s="7">
        <v>46118.469616114104</v>
      </c>
      <c r="G19307" s="3" t="s">
        <v>22483</v>
      </c>
    </row>
    <row r="19308">
      <c r="A19308" s="3" t="s">
        <v>35482</v>
      </c>
      <c r="B19308" s="3" t="s">
        <v>16025</v>
      </c>
      <c r="C19308" s="5" t="s">
        <v>45</v>
      </c>
      <c r="D19308" s="3" t="s">
        <v>221</v>
      </c>
      <c r="E19308" s="3" t="s">
        <v>398</v>
      </c>
      <c r="F19308" s="7">
        <v>46118.53037429286</v>
      </c>
      <c r="G19308" s="3" t="s">
        <v>14516</v>
      </c>
    </row>
    <row r="19309">
      <c r="A19309" s="3" t="s">
        <v>35483</v>
      </c>
      <c r="B19309" s="3" t="s">
        <v>16025</v>
      </c>
      <c r="C19309" s="5" t="s">
        <v>221</v>
      </c>
      <c r="D19309" s="3" t="s">
        <v>614</v>
      </c>
      <c r="E19309" s="3" t="s">
        <v>118</v>
      </c>
      <c r="F19309" s="7">
        <v>46118.53384651508</v>
      </c>
      <c r="G19309" s="3" t="s">
        <v>14518</v>
      </c>
    </row>
    <row r="19310">
      <c r="A19310" s="3" t="s">
        <v>35484</v>
      </c>
      <c r="B19310" s="3" t="s">
        <v>16025</v>
      </c>
      <c r="C19310" s="5" t="s">
        <v>614</v>
      </c>
      <c r="D19310" s="3" t="s">
        <v>206</v>
      </c>
      <c r="E19310" s="3" t="s">
        <v>100</v>
      </c>
      <c r="F19310" s="7">
        <v>46118.537318737304</v>
      </c>
      <c r="G19310" s="3" t="s">
        <v>14521</v>
      </c>
    </row>
    <row r="19311">
      <c r="A19311" s="3" t="s">
        <v>35485</v>
      </c>
      <c r="B19311" s="3" t="s">
        <v>16025</v>
      </c>
      <c r="C19311" s="5" t="s">
        <v>206</v>
      </c>
      <c r="D19311" s="3" t="s">
        <v>68</v>
      </c>
      <c r="E19311" s="3" t="s">
        <v>100</v>
      </c>
      <c r="F19311" s="7">
        <v>46118.54079095952</v>
      </c>
      <c r="G19311" s="3" t="s">
        <v>14524</v>
      </c>
    </row>
    <row r="19312">
      <c r="A19312" s="3" t="s">
        <v>35486</v>
      </c>
      <c r="B19312" s="3" t="s">
        <v>16028</v>
      </c>
      <c r="C19312" s="5" t="s">
        <v>45</v>
      </c>
      <c r="D19312" s="3" t="s">
        <v>221</v>
      </c>
      <c r="E19312" s="3" t="s">
        <v>619</v>
      </c>
      <c r="F19312" s="7">
        <v>46118.601549138264</v>
      </c>
      <c r="G19312" s="3" t="s">
        <v>14096</v>
      </c>
    </row>
    <row r="19313">
      <c r="A19313" s="3" t="s">
        <v>35487</v>
      </c>
      <c r="B19313" s="3" t="s">
        <v>16028</v>
      </c>
      <c r="C19313" s="5" t="s">
        <v>221</v>
      </c>
      <c r="D19313" s="3" t="s">
        <v>614</v>
      </c>
      <c r="E19313" s="3" t="s">
        <v>118</v>
      </c>
      <c r="F19313" s="7">
        <v>46118.60502136048</v>
      </c>
      <c r="G19313" s="3" t="s">
        <v>14099</v>
      </c>
    </row>
    <row r="19314">
      <c r="A19314" s="3" t="s">
        <v>35488</v>
      </c>
      <c r="B19314" s="3" t="s">
        <v>16028</v>
      </c>
      <c r="C19314" s="5" t="s">
        <v>614</v>
      </c>
      <c r="D19314" s="3" t="s">
        <v>206</v>
      </c>
      <c r="E19314" s="3" t="s">
        <v>100</v>
      </c>
      <c r="F19314" s="7">
        <v>46118.60849358271</v>
      </c>
      <c r="G19314" s="3" t="s">
        <v>14101</v>
      </c>
    </row>
    <row r="19315">
      <c r="A19315" s="3" t="s">
        <v>35489</v>
      </c>
      <c r="B19315" s="3" t="s">
        <v>16028</v>
      </c>
      <c r="C19315" s="5" t="s">
        <v>206</v>
      </c>
      <c r="D19315" s="3" t="s">
        <v>68</v>
      </c>
      <c r="E19315" s="3" t="s">
        <v>100</v>
      </c>
      <c r="F19315" s="7">
        <v>46118.61196580493</v>
      </c>
      <c r="G19315" s="3" t="s">
        <v>14104</v>
      </c>
    </row>
    <row r="19316">
      <c r="A19316" s="3" t="s">
        <v>35490</v>
      </c>
      <c r="B19316" s="3" t="s">
        <v>16031</v>
      </c>
      <c r="C19316" s="5" t="s">
        <v>45</v>
      </c>
      <c r="D19316" s="3" t="s">
        <v>221</v>
      </c>
      <c r="E19316" s="3" t="s">
        <v>781</v>
      </c>
      <c r="F19316" s="7">
        <v>46118.672723983684</v>
      </c>
      <c r="G19316" s="3" t="s">
        <v>25303</v>
      </c>
    </row>
    <row r="19317">
      <c r="A19317" s="3" t="s">
        <v>35491</v>
      </c>
      <c r="B19317" s="3" t="s">
        <v>16031</v>
      </c>
      <c r="C19317" s="5" t="s">
        <v>221</v>
      </c>
      <c r="D19317" s="3" t="s">
        <v>614</v>
      </c>
      <c r="E19317" s="3" t="s">
        <v>118</v>
      </c>
      <c r="F19317" s="7">
        <v>46118.6761962059</v>
      </c>
      <c r="G19317" s="3" t="s">
        <v>25305</v>
      </c>
    </row>
    <row r="19318">
      <c r="A19318" s="3" t="s">
        <v>35492</v>
      </c>
      <c r="B19318" s="3" t="s">
        <v>16031</v>
      </c>
      <c r="C19318" s="5" t="s">
        <v>614</v>
      </c>
      <c r="D19318" s="3" t="s">
        <v>206</v>
      </c>
      <c r="E19318" s="3" t="s">
        <v>100</v>
      </c>
      <c r="F19318" s="7">
        <v>46118.67966842813</v>
      </c>
      <c r="G19318" s="3" t="s">
        <v>25307</v>
      </c>
    </row>
    <row r="19319">
      <c r="A19319" s="3" t="s">
        <v>35493</v>
      </c>
      <c r="B19319" s="3" t="s">
        <v>16031</v>
      </c>
      <c r="C19319" s="5" t="s">
        <v>206</v>
      </c>
      <c r="D19319" s="3" t="s">
        <v>68</v>
      </c>
      <c r="E19319" s="3" t="s">
        <v>100</v>
      </c>
      <c r="F19319" s="7">
        <v>46118.68314065035</v>
      </c>
      <c r="G19319" s="3" t="s">
        <v>25309</v>
      </c>
    </row>
    <row r="19320">
      <c r="A19320" s="3" t="s">
        <v>35494</v>
      </c>
      <c r="B19320" s="3" t="s">
        <v>16034</v>
      </c>
      <c r="C19320" s="5" t="s">
        <v>45</v>
      </c>
      <c r="D19320" s="3" t="s">
        <v>221</v>
      </c>
      <c r="E19320" s="3" t="s">
        <v>949</v>
      </c>
      <c r="F19320" s="7">
        <v>46118.7438988291</v>
      </c>
      <c r="G19320" s="3" t="s">
        <v>14280</v>
      </c>
    </row>
    <row r="19321">
      <c r="A19321" s="3" t="s">
        <v>35495</v>
      </c>
      <c r="B19321" s="3" t="s">
        <v>16034</v>
      </c>
      <c r="C19321" s="5" t="s">
        <v>221</v>
      </c>
      <c r="D19321" s="3" t="s">
        <v>614</v>
      </c>
      <c r="E19321" s="3" t="s">
        <v>118</v>
      </c>
      <c r="F19321" s="7">
        <v>46118.74737105132</v>
      </c>
      <c r="G19321" s="3" t="s">
        <v>14283</v>
      </c>
    </row>
    <row r="19322">
      <c r="A19322" s="3" t="s">
        <v>35496</v>
      </c>
      <c r="B19322" s="3" t="s">
        <v>16034</v>
      </c>
      <c r="C19322" s="5" t="s">
        <v>614</v>
      </c>
      <c r="D19322" s="3" t="s">
        <v>206</v>
      </c>
      <c r="E19322" s="3" t="s">
        <v>100</v>
      </c>
      <c r="F19322" s="7">
        <v>46118.75084327355</v>
      </c>
      <c r="G19322" s="3" t="s">
        <v>14286</v>
      </c>
    </row>
    <row r="19323">
      <c r="A19323" s="3" t="s">
        <v>35497</v>
      </c>
      <c r="B19323" s="3" t="s">
        <v>16034</v>
      </c>
      <c r="C19323" s="5" t="s">
        <v>206</v>
      </c>
      <c r="D19323" s="3" t="s">
        <v>68</v>
      </c>
      <c r="E19323" s="3" t="s">
        <v>100</v>
      </c>
      <c r="F19323" s="7">
        <v>46118.75431549577</v>
      </c>
      <c r="G19323" s="3" t="s">
        <v>14289</v>
      </c>
    </row>
    <row r="19324">
      <c r="A19324" s="3" t="s">
        <v>35498</v>
      </c>
      <c r="B19324" s="3" t="s">
        <v>16038</v>
      </c>
      <c r="C19324" s="5" t="s">
        <v>45</v>
      </c>
      <c r="D19324" s="3" t="s">
        <v>221</v>
      </c>
      <c r="E19324" s="3" t="s">
        <v>969</v>
      </c>
      <c r="F19324" s="7">
        <v>46118.815073674516</v>
      </c>
      <c r="G19324" s="3" t="s">
        <v>15479</v>
      </c>
    </row>
    <row r="19325">
      <c r="A19325" s="3" t="s">
        <v>35499</v>
      </c>
      <c r="B19325" s="3" t="s">
        <v>16038</v>
      </c>
      <c r="C19325" s="5" t="s">
        <v>221</v>
      </c>
      <c r="D19325" s="3" t="s">
        <v>614</v>
      </c>
      <c r="E19325" s="3" t="s">
        <v>118</v>
      </c>
      <c r="F19325" s="7">
        <v>46118.818545896735</v>
      </c>
      <c r="G19325" s="3" t="s">
        <v>15482</v>
      </c>
    </row>
    <row r="19326">
      <c r="A19326" s="3" t="s">
        <v>35500</v>
      </c>
      <c r="B19326" s="3" t="s">
        <v>16038</v>
      </c>
      <c r="C19326" s="5" t="s">
        <v>614</v>
      </c>
      <c r="D19326" s="3" t="s">
        <v>206</v>
      </c>
      <c r="E19326" s="3" t="s">
        <v>100</v>
      </c>
      <c r="F19326" s="7">
        <v>46118.82201811896</v>
      </c>
      <c r="G19326" s="3" t="s">
        <v>15485</v>
      </c>
    </row>
    <row r="19327">
      <c r="A19327" s="3" t="s">
        <v>35501</v>
      </c>
      <c r="B19327" s="3" t="s">
        <v>16038</v>
      </c>
      <c r="C19327" s="5" t="s">
        <v>206</v>
      </c>
      <c r="D19327" s="3" t="s">
        <v>68</v>
      </c>
      <c r="E19327" s="3" t="s">
        <v>100</v>
      </c>
      <c r="F19327" s="7">
        <v>46118.82549034118</v>
      </c>
      <c r="G19327" s="3" t="s">
        <v>15488</v>
      </c>
    </row>
    <row r="19328">
      <c r="A19328" s="3" t="s">
        <v>35502</v>
      </c>
      <c r="B19328" s="3" t="s">
        <v>16042</v>
      </c>
      <c r="C19328" s="5" t="s">
        <v>45</v>
      </c>
      <c r="D19328" s="3" t="s">
        <v>221</v>
      </c>
      <c r="E19328" s="3" t="s">
        <v>352</v>
      </c>
      <c r="F19328" s="7">
        <v>46118.88624851993</v>
      </c>
      <c r="G19328" s="3" t="s">
        <v>19713</v>
      </c>
    </row>
    <row r="19329">
      <c r="A19329" s="3" t="s">
        <v>35503</v>
      </c>
      <c r="B19329" s="3" t="s">
        <v>16042</v>
      </c>
      <c r="C19329" s="5" t="s">
        <v>221</v>
      </c>
      <c r="D19329" s="3" t="s">
        <v>195</v>
      </c>
      <c r="E19329" s="3" t="s">
        <v>352</v>
      </c>
      <c r="F19329" s="7">
        <v>46118.88972074215</v>
      </c>
      <c r="G19329" s="3" t="s">
        <v>35504</v>
      </c>
    </row>
    <row r="19330">
      <c r="A19330" s="3" t="s">
        <v>35505</v>
      </c>
      <c r="B19330" s="3" t="s">
        <v>16045</v>
      </c>
      <c r="C19330" s="5" t="s">
        <v>45</v>
      </c>
      <c r="D19330" s="3" t="s">
        <v>221</v>
      </c>
      <c r="E19330" s="3" t="s">
        <v>481</v>
      </c>
      <c r="F19330" s="7">
        <v>46118.95742336535</v>
      </c>
      <c r="G19330" s="3" t="s">
        <v>2770</v>
      </c>
    </row>
    <row r="19331">
      <c r="A19331" s="3" t="s">
        <v>35506</v>
      </c>
      <c r="B19331" s="3" t="s">
        <v>16045</v>
      </c>
      <c r="C19331" s="5" t="s">
        <v>221</v>
      </c>
      <c r="D19331" s="3" t="s">
        <v>181</v>
      </c>
      <c r="E19331" s="3" t="s">
        <v>118</v>
      </c>
      <c r="F19331" s="7">
        <v>46118.96089558757</v>
      </c>
      <c r="G19331" s="3" t="s">
        <v>2774</v>
      </c>
    </row>
    <row r="19332">
      <c r="A19332" s="3" t="s">
        <v>35507</v>
      </c>
      <c r="B19332" s="3" t="s">
        <v>16048</v>
      </c>
      <c r="C19332" s="5" t="s">
        <v>45</v>
      </c>
      <c r="D19332" s="3" t="s">
        <v>221</v>
      </c>
      <c r="E19332" s="3" t="s">
        <v>895</v>
      </c>
      <c r="F19332" s="7">
        <v>46119.02859821076</v>
      </c>
      <c r="G19332" s="3" t="s">
        <v>17947</v>
      </c>
    </row>
    <row r="19333">
      <c r="A19333" s="3" t="s">
        <v>35508</v>
      </c>
      <c r="B19333" s="3" t="s">
        <v>16048</v>
      </c>
      <c r="C19333" s="5" t="s">
        <v>221</v>
      </c>
      <c r="D19333" s="3" t="s">
        <v>614</v>
      </c>
      <c r="E19333" s="3" t="s">
        <v>118</v>
      </c>
      <c r="F19333" s="7">
        <v>46119.03207043298</v>
      </c>
      <c r="G19333" s="3" t="s">
        <v>17950</v>
      </c>
    </row>
    <row r="19334">
      <c r="A19334" s="3" t="s">
        <v>35509</v>
      </c>
      <c r="B19334" s="3" t="s">
        <v>16048</v>
      </c>
      <c r="C19334" s="5" t="s">
        <v>614</v>
      </c>
      <c r="D19334" s="3" t="s">
        <v>206</v>
      </c>
      <c r="E19334" s="3" t="s">
        <v>100</v>
      </c>
      <c r="F19334" s="7">
        <v>46119.035542655205</v>
      </c>
      <c r="G19334" s="3" t="s">
        <v>17952</v>
      </c>
    </row>
    <row r="19335">
      <c r="A19335" s="3" t="s">
        <v>35510</v>
      </c>
      <c r="B19335" s="3" t="s">
        <v>16048</v>
      </c>
      <c r="C19335" s="5" t="s">
        <v>206</v>
      </c>
      <c r="D19335" s="3" t="s">
        <v>68</v>
      </c>
      <c r="E19335" s="3" t="s">
        <v>100</v>
      </c>
      <c r="F19335" s="7">
        <v>46119.039014877424</v>
      </c>
      <c r="G19335" s="3" t="s">
        <v>17955</v>
      </c>
    </row>
    <row r="19336">
      <c r="A19336" s="3" t="s">
        <v>35511</v>
      </c>
      <c r="B19336" s="3" t="s">
        <v>16051</v>
      </c>
      <c r="C19336" s="5" t="s">
        <v>45</v>
      </c>
      <c r="D19336" s="3" t="s">
        <v>221</v>
      </c>
      <c r="E19336" s="3" t="s">
        <v>822</v>
      </c>
      <c r="F19336" s="7">
        <v>46119.09977305617</v>
      </c>
      <c r="G19336" s="3" t="s">
        <v>15659</v>
      </c>
    </row>
    <row r="19337">
      <c r="A19337" s="3" t="s">
        <v>35512</v>
      </c>
      <c r="B19337" s="3" t="s">
        <v>16051</v>
      </c>
      <c r="C19337" s="5" t="s">
        <v>221</v>
      </c>
      <c r="D19337" s="3" t="s">
        <v>195</v>
      </c>
      <c r="E19337" s="3" t="s">
        <v>822</v>
      </c>
      <c r="F19337" s="7">
        <v>46119.10324527839</v>
      </c>
      <c r="G19337" s="3" t="s">
        <v>35513</v>
      </c>
    </row>
    <row r="19338">
      <c r="A19338" s="3" t="s">
        <v>35514</v>
      </c>
      <c r="B19338" s="3" t="s">
        <v>16054</v>
      </c>
      <c r="C19338" s="5" t="s">
        <v>45</v>
      </c>
      <c r="D19338" s="3" t="s">
        <v>221</v>
      </c>
      <c r="E19338" s="3" t="s">
        <v>773</v>
      </c>
      <c r="F19338" s="7">
        <v>46119.17094790159</v>
      </c>
      <c r="G19338" s="3" t="s">
        <v>26693</v>
      </c>
    </row>
    <row r="19339">
      <c r="A19339" s="3" t="s">
        <v>35515</v>
      </c>
      <c r="B19339" s="3" t="s">
        <v>16054</v>
      </c>
      <c r="C19339" s="5" t="s">
        <v>221</v>
      </c>
      <c r="D19339" s="3" t="s">
        <v>195</v>
      </c>
      <c r="E19339" s="3" t="s">
        <v>773</v>
      </c>
      <c r="F19339" s="7">
        <v>46119.17442012381</v>
      </c>
      <c r="G19339" s="3" t="s">
        <v>35516</v>
      </c>
    </row>
    <row r="19340">
      <c r="A19340" s="3" t="s">
        <v>35517</v>
      </c>
      <c r="B19340" s="3" t="s">
        <v>16058</v>
      </c>
      <c r="C19340" s="5" t="s">
        <v>45</v>
      </c>
      <c r="D19340" s="3" t="s">
        <v>221</v>
      </c>
      <c r="E19340" s="3" t="s">
        <v>515</v>
      </c>
      <c r="F19340" s="7">
        <v>46119.242122747004</v>
      </c>
      <c r="G19340" s="3" t="s">
        <v>14598</v>
      </c>
    </row>
    <row r="19341">
      <c r="A19341" s="3" t="s">
        <v>35518</v>
      </c>
      <c r="B19341" s="3" t="s">
        <v>16058</v>
      </c>
      <c r="C19341" s="5" t="s">
        <v>221</v>
      </c>
      <c r="D19341" s="3" t="s">
        <v>614</v>
      </c>
      <c r="E19341" s="3" t="s">
        <v>118</v>
      </c>
      <c r="F19341" s="7">
        <v>46119.24559496922</v>
      </c>
      <c r="G19341" s="3" t="s">
        <v>14601</v>
      </c>
    </row>
    <row r="19342">
      <c r="A19342" s="3" t="s">
        <v>35519</v>
      </c>
      <c r="B19342" s="3" t="s">
        <v>16058</v>
      </c>
      <c r="C19342" s="5" t="s">
        <v>614</v>
      </c>
      <c r="D19342" s="3" t="s">
        <v>206</v>
      </c>
      <c r="E19342" s="3" t="s">
        <v>100</v>
      </c>
      <c r="F19342" s="7">
        <v>46119.24906719145</v>
      </c>
      <c r="G19342" s="3" t="s">
        <v>14604</v>
      </c>
    </row>
    <row r="19343">
      <c r="A19343" s="3" t="s">
        <v>35520</v>
      </c>
      <c r="B19343" s="3" t="s">
        <v>16058</v>
      </c>
      <c r="C19343" s="5" t="s">
        <v>206</v>
      </c>
      <c r="D19343" s="3" t="s">
        <v>68</v>
      </c>
      <c r="E19343" s="3" t="s">
        <v>100</v>
      </c>
      <c r="F19343" s="7">
        <v>46119.25253941367</v>
      </c>
      <c r="G19343" s="3" t="s">
        <v>14607</v>
      </c>
    </row>
    <row r="19344">
      <c r="A19344" s="3" t="s">
        <v>35521</v>
      </c>
      <c r="B19344" s="3" t="s">
        <v>16062</v>
      </c>
      <c r="C19344" s="5" t="s">
        <v>45</v>
      </c>
      <c r="D19344" s="3" t="s">
        <v>221</v>
      </c>
      <c r="E19344" s="3" t="s">
        <v>202</v>
      </c>
      <c r="F19344" s="7">
        <v>46119.313297592416</v>
      </c>
      <c r="G19344" s="3" t="s">
        <v>34787</v>
      </c>
    </row>
    <row r="19345">
      <c r="A19345" s="3" t="s">
        <v>35522</v>
      </c>
      <c r="B19345" s="3" t="s">
        <v>16062</v>
      </c>
      <c r="C19345" s="5" t="s">
        <v>221</v>
      </c>
      <c r="D19345" s="3" t="s">
        <v>614</v>
      </c>
      <c r="E19345" s="3" t="s">
        <v>118</v>
      </c>
      <c r="F19345" s="7">
        <v>46119.316769814635</v>
      </c>
      <c r="G19345" s="3" t="s">
        <v>34789</v>
      </c>
    </row>
    <row r="19346">
      <c r="A19346" s="3" t="s">
        <v>35523</v>
      </c>
      <c r="B19346" s="3" t="s">
        <v>16062</v>
      </c>
      <c r="C19346" s="5" t="s">
        <v>614</v>
      </c>
      <c r="D19346" s="3" t="s">
        <v>206</v>
      </c>
      <c r="E19346" s="3" t="s">
        <v>100</v>
      </c>
      <c r="F19346" s="7">
        <v>46119.32024203686</v>
      </c>
      <c r="G19346" s="3" t="s">
        <v>34791</v>
      </c>
    </row>
    <row r="19347">
      <c r="A19347" s="3" t="s">
        <v>35524</v>
      </c>
      <c r="B19347" s="3" t="s">
        <v>16062</v>
      </c>
      <c r="C19347" s="5" t="s">
        <v>206</v>
      </c>
      <c r="D19347" s="3" t="s">
        <v>68</v>
      </c>
      <c r="E19347" s="3" t="s">
        <v>100</v>
      </c>
      <c r="F19347" s="7">
        <v>46119.32371425908</v>
      </c>
      <c r="G19347" s="3" t="s">
        <v>34793</v>
      </c>
    </row>
    <row r="19348">
      <c r="A19348" s="3" t="s">
        <v>35525</v>
      </c>
      <c r="B19348" s="3" t="s">
        <v>16065</v>
      </c>
      <c r="C19348" s="5" t="s">
        <v>45</v>
      </c>
      <c r="D19348" s="3" t="s">
        <v>221</v>
      </c>
      <c r="E19348" s="3" t="s">
        <v>460</v>
      </c>
      <c r="F19348" s="7">
        <v>46119.384472437836</v>
      </c>
      <c r="G19348" s="3" t="s">
        <v>14125</v>
      </c>
    </row>
    <row r="19349">
      <c r="A19349" s="3" t="s">
        <v>35526</v>
      </c>
      <c r="B19349" s="3" t="s">
        <v>16065</v>
      </c>
      <c r="C19349" s="5" t="s">
        <v>221</v>
      </c>
      <c r="D19349" s="3" t="s">
        <v>614</v>
      </c>
      <c r="E19349" s="3" t="s">
        <v>118</v>
      </c>
      <c r="F19349" s="7">
        <v>46119.387944660055</v>
      </c>
      <c r="G19349" s="3" t="s">
        <v>14128</v>
      </c>
    </row>
    <row r="19350">
      <c r="A19350" s="3" t="s">
        <v>35527</v>
      </c>
      <c r="B19350" s="3" t="s">
        <v>16065</v>
      </c>
      <c r="C19350" s="5" t="s">
        <v>614</v>
      </c>
      <c r="D19350" s="3" t="s">
        <v>206</v>
      </c>
      <c r="E19350" s="3" t="s">
        <v>100</v>
      </c>
      <c r="F19350" s="7">
        <v>46119.39141688228</v>
      </c>
      <c r="G19350" s="3" t="s">
        <v>14131</v>
      </c>
    </row>
    <row r="19351">
      <c r="A19351" s="3" t="s">
        <v>35528</v>
      </c>
      <c r="B19351" s="3" t="s">
        <v>16065</v>
      </c>
      <c r="C19351" s="5" t="s">
        <v>206</v>
      </c>
      <c r="D19351" s="3" t="s">
        <v>68</v>
      </c>
      <c r="E19351" s="3" t="s">
        <v>100</v>
      </c>
      <c r="F19351" s="7">
        <v>46119.3948891045</v>
      </c>
      <c r="G19351" s="3" t="s">
        <v>14134</v>
      </c>
    </row>
    <row r="19352">
      <c r="A19352" s="3" t="s">
        <v>35529</v>
      </c>
      <c r="B19352" s="3" t="s">
        <v>16068</v>
      </c>
      <c r="C19352" s="5" t="s">
        <v>45</v>
      </c>
      <c r="D19352" s="3" t="s">
        <v>221</v>
      </c>
      <c r="E19352" s="3" t="s">
        <v>424</v>
      </c>
      <c r="F19352" s="7">
        <v>46119.45564728325</v>
      </c>
      <c r="G19352" s="3" t="s">
        <v>11246</v>
      </c>
    </row>
    <row r="19353">
      <c r="A19353" s="3" t="s">
        <v>35530</v>
      </c>
      <c r="B19353" s="3" t="s">
        <v>16068</v>
      </c>
      <c r="C19353" s="5" t="s">
        <v>221</v>
      </c>
      <c r="D19353" s="3" t="s">
        <v>614</v>
      </c>
      <c r="E19353" s="3" t="s">
        <v>118</v>
      </c>
      <c r="F19353" s="7">
        <v>46119.45911950547</v>
      </c>
      <c r="G19353" s="3" t="s">
        <v>16883</v>
      </c>
    </row>
    <row r="19354">
      <c r="A19354" s="3" t="s">
        <v>35531</v>
      </c>
      <c r="B19354" s="3" t="s">
        <v>16068</v>
      </c>
      <c r="C19354" s="5" t="s">
        <v>614</v>
      </c>
      <c r="D19354" s="3" t="s">
        <v>206</v>
      </c>
      <c r="E19354" s="3" t="s">
        <v>100</v>
      </c>
      <c r="F19354" s="7">
        <v>46119.46259172769</v>
      </c>
      <c r="G19354" s="3" t="s">
        <v>16886</v>
      </c>
    </row>
    <row r="19355">
      <c r="A19355" s="3" t="s">
        <v>35532</v>
      </c>
      <c r="B19355" s="3" t="s">
        <v>16068</v>
      </c>
      <c r="C19355" s="5" t="s">
        <v>206</v>
      </c>
      <c r="D19355" s="3" t="s">
        <v>68</v>
      </c>
      <c r="E19355" s="3" t="s">
        <v>100</v>
      </c>
      <c r="F19355" s="7">
        <v>46119.46606394991</v>
      </c>
      <c r="G19355" s="3" t="s">
        <v>16889</v>
      </c>
    </row>
    <row r="19356">
      <c r="A19356" s="3" t="s">
        <v>35533</v>
      </c>
      <c r="B19356" s="3" t="s">
        <v>16071</v>
      </c>
      <c r="C19356" s="5" t="s">
        <v>45</v>
      </c>
      <c r="D19356" s="3" t="s">
        <v>221</v>
      </c>
      <c r="E19356" s="3" t="s">
        <v>535</v>
      </c>
      <c r="F19356" s="7">
        <v>46119.52682212866</v>
      </c>
      <c r="G19356" s="3" t="s">
        <v>13014</v>
      </c>
    </row>
    <row r="19357">
      <c r="A19357" s="3" t="s">
        <v>35534</v>
      </c>
      <c r="B19357" s="3" t="s">
        <v>16071</v>
      </c>
      <c r="C19357" s="5" t="s">
        <v>221</v>
      </c>
      <c r="D19357" s="3" t="s">
        <v>614</v>
      </c>
      <c r="E19357" s="3" t="s">
        <v>118</v>
      </c>
      <c r="F19357" s="7">
        <v>46119.53029435088</v>
      </c>
      <c r="G19357" s="3" t="s">
        <v>13017</v>
      </c>
    </row>
    <row r="19358">
      <c r="A19358" s="3" t="s">
        <v>35535</v>
      </c>
      <c r="B19358" s="3" t="s">
        <v>16071</v>
      </c>
      <c r="C19358" s="5" t="s">
        <v>614</v>
      </c>
      <c r="D19358" s="3" t="s">
        <v>206</v>
      </c>
      <c r="E19358" s="3" t="s">
        <v>100</v>
      </c>
      <c r="F19358" s="7">
        <v>46119.533766573106</v>
      </c>
      <c r="G19358" s="3" t="s">
        <v>13020</v>
      </c>
    </row>
    <row r="19359">
      <c r="A19359" s="3" t="s">
        <v>35536</v>
      </c>
      <c r="B19359" s="3" t="s">
        <v>16071</v>
      </c>
      <c r="C19359" s="5" t="s">
        <v>206</v>
      </c>
      <c r="D19359" s="3" t="s">
        <v>68</v>
      </c>
      <c r="E19359" s="3" t="s">
        <v>100</v>
      </c>
      <c r="F19359" s="7">
        <v>46119.537238795325</v>
      </c>
      <c r="G19359" s="3" t="s">
        <v>13024</v>
      </c>
    </row>
    <row r="19360">
      <c r="A19360" s="3" t="s">
        <v>35537</v>
      </c>
      <c r="B19360" s="3" t="s">
        <v>16076</v>
      </c>
      <c r="C19360" s="5" t="s">
        <v>45</v>
      </c>
      <c r="D19360" s="3" t="s">
        <v>221</v>
      </c>
      <c r="E19360" s="3" t="s">
        <v>530</v>
      </c>
      <c r="F19360" s="7">
        <v>46119.59799697408</v>
      </c>
      <c r="G19360" s="3" t="s">
        <v>8303</v>
      </c>
    </row>
    <row r="19361">
      <c r="A19361" s="3" t="s">
        <v>35538</v>
      </c>
      <c r="B19361" s="3" t="s">
        <v>16076</v>
      </c>
      <c r="C19361" s="5" t="s">
        <v>221</v>
      </c>
      <c r="D19361" s="3" t="s">
        <v>614</v>
      </c>
      <c r="E19361" s="3" t="s">
        <v>118</v>
      </c>
      <c r="F19361" s="7">
        <v>46119.6014691963</v>
      </c>
      <c r="G19361" s="3" t="s">
        <v>8306</v>
      </c>
    </row>
    <row r="19362">
      <c r="A19362" s="3" t="s">
        <v>35539</v>
      </c>
      <c r="B19362" s="3" t="s">
        <v>16076</v>
      </c>
      <c r="C19362" s="5" t="s">
        <v>614</v>
      </c>
      <c r="D19362" s="3" t="s">
        <v>206</v>
      </c>
      <c r="E19362" s="3" t="s">
        <v>100</v>
      </c>
      <c r="F19362" s="7">
        <v>46119.604941418525</v>
      </c>
      <c r="G19362" s="3" t="s">
        <v>8309</v>
      </c>
    </row>
    <row r="19363">
      <c r="A19363" s="3" t="s">
        <v>35540</v>
      </c>
      <c r="B19363" s="3" t="s">
        <v>16076</v>
      </c>
      <c r="C19363" s="5" t="s">
        <v>206</v>
      </c>
      <c r="D19363" s="3" t="s">
        <v>68</v>
      </c>
      <c r="E19363" s="3" t="s">
        <v>100</v>
      </c>
      <c r="F19363" s="7">
        <v>46119.608413640744</v>
      </c>
      <c r="G19363" s="3" t="s">
        <v>8312</v>
      </c>
    </row>
    <row r="19364">
      <c r="A19364" s="3" t="s">
        <v>35541</v>
      </c>
      <c r="B19364" s="3" t="s">
        <v>16079</v>
      </c>
      <c r="C19364" s="5" t="s">
        <v>45</v>
      </c>
      <c r="D19364" s="3" t="s">
        <v>221</v>
      </c>
      <c r="E19364" s="3" t="s">
        <v>698</v>
      </c>
      <c r="F19364" s="7">
        <v>46119.6691718195</v>
      </c>
      <c r="G19364" s="3" t="s">
        <v>2770</v>
      </c>
    </row>
    <row r="19365">
      <c r="A19365" s="3" t="s">
        <v>35542</v>
      </c>
      <c r="B19365" s="3" t="s">
        <v>16079</v>
      </c>
      <c r="C19365" s="5" t="s">
        <v>221</v>
      </c>
      <c r="D19365" s="3" t="s">
        <v>195</v>
      </c>
      <c r="E19365" s="3" t="s">
        <v>698</v>
      </c>
      <c r="F19365" s="7">
        <v>46119.67264404172</v>
      </c>
      <c r="G19365" s="3" t="s">
        <v>3055</v>
      </c>
    </row>
    <row r="19366">
      <c r="A19366" s="3" t="s">
        <v>35543</v>
      </c>
      <c r="B19366" s="3" t="s">
        <v>16082</v>
      </c>
      <c r="C19366" s="5" t="s">
        <v>45</v>
      </c>
      <c r="D19366" s="3" t="s">
        <v>221</v>
      </c>
      <c r="E19366" s="3" t="s">
        <v>449</v>
      </c>
      <c r="F19366" s="7">
        <v>46119.740346664905</v>
      </c>
      <c r="G19366" s="3" t="s">
        <v>4758</v>
      </c>
    </row>
    <row r="19367">
      <c r="A19367" s="3" t="s">
        <v>35544</v>
      </c>
      <c r="B19367" s="3" t="s">
        <v>16082</v>
      </c>
      <c r="C19367" s="5" t="s">
        <v>221</v>
      </c>
      <c r="D19367" s="3" t="s">
        <v>614</v>
      </c>
      <c r="E19367" s="3" t="s">
        <v>118</v>
      </c>
      <c r="F19367" s="7">
        <v>46119.743818887124</v>
      </c>
      <c r="G19367" s="3" t="s">
        <v>4761</v>
      </c>
    </row>
    <row r="19368">
      <c r="A19368" s="3" t="s">
        <v>35545</v>
      </c>
      <c r="B19368" s="3" t="s">
        <v>16082</v>
      </c>
      <c r="C19368" s="5" t="s">
        <v>614</v>
      </c>
      <c r="D19368" s="3" t="s">
        <v>206</v>
      </c>
      <c r="E19368" s="3" t="s">
        <v>100</v>
      </c>
      <c r="F19368" s="7">
        <v>46119.74729110935</v>
      </c>
      <c r="G19368" s="3" t="s">
        <v>4764</v>
      </c>
    </row>
    <row r="19369">
      <c r="A19369" s="3" t="s">
        <v>35546</v>
      </c>
      <c r="B19369" s="3" t="s">
        <v>16082</v>
      </c>
      <c r="C19369" s="5" t="s">
        <v>206</v>
      </c>
      <c r="D19369" s="3" t="s">
        <v>68</v>
      </c>
      <c r="E19369" s="3" t="s">
        <v>100</v>
      </c>
      <c r="F19369" s="7">
        <v>46119.75076333157</v>
      </c>
      <c r="G19369" s="3" t="s">
        <v>4767</v>
      </c>
    </row>
    <row r="19370">
      <c r="A19370" s="3" t="s">
        <v>35547</v>
      </c>
      <c r="B19370" s="3" t="s">
        <v>16085</v>
      </c>
      <c r="C19370" s="5" t="s">
        <v>45</v>
      </c>
      <c r="D19370" s="3" t="s">
        <v>221</v>
      </c>
      <c r="E19370" s="3" t="s">
        <v>424</v>
      </c>
      <c r="F19370" s="7">
        <v>46119.811521510324</v>
      </c>
      <c r="G19370" s="3" t="s">
        <v>14137</v>
      </c>
    </row>
    <row r="19371">
      <c r="A19371" s="3" t="s">
        <v>35548</v>
      </c>
      <c r="B19371" s="3" t="s">
        <v>16085</v>
      </c>
      <c r="C19371" s="5" t="s">
        <v>221</v>
      </c>
      <c r="D19371" s="3" t="s">
        <v>614</v>
      </c>
      <c r="E19371" s="3" t="s">
        <v>118</v>
      </c>
      <c r="F19371" s="7">
        <v>46119.81499373254</v>
      </c>
      <c r="G19371" s="3" t="s">
        <v>14139</v>
      </c>
    </row>
    <row r="19372">
      <c r="A19372" s="3" t="s">
        <v>35549</v>
      </c>
      <c r="B19372" s="3" t="s">
        <v>16085</v>
      </c>
      <c r="C19372" s="5" t="s">
        <v>614</v>
      </c>
      <c r="D19372" s="3" t="s">
        <v>206</v>
      </c>
      <c r="E19372" s="3" t="s">
        <v>100</v>
      </c>
      <c r="F19372" s="7">
        <v>46119.81846595477</v>
      </c>
      <c r="G19372" s="3" t="s">
        <v>14142</v>
      </c>
    </row>
    <row r="19373">
      <c r="A19373" s="3" t="s">
        <v>35550</v>
      </c>
      <c r="B19373" s="3" t="s">
        <v>16085</v>
      </c>
      <c r="C19373" s="5" t="s">
        <v>206</v>
      </c>
      <c r="D19373" s="3" t="s">
        <v>68</v>
      </c>
      <c r="E19373" s="3" t="s">
        <v>100</v>
      </c>
      <c r="F19373" s="7">
        <v>46119.82193817699</v>
      </c>
      <c r="G19373" s="3" t="s">
        <v>14145</v>
      </c>
    </row>
    <row r="19374">
      <c r="A19374" s="3" t="s">
        <v>35551</v>
      </c>
      <c r="B19374" s="3" t="s">
        <v>16088</v>
      </c>
      <c r="C19374" s="5" t="s">
        <v>45</v>
      </c>
      <c r="D19374" s="3" t="s">
        <v>221</v>
      </c>
      <c r="E19374" s="3" t="s">
        <v>226</v>
      </c>
      <c r="F19374" s="7">
        <v>46119.882696355744</v>
      </c>
      <c r="G19374" s="3" t="s">
        <v>15900</v>
      </c>
    </row>
    <row r="19375">
      <c r="A19375" s="3" t="s">
        <v>35552</v>
      </c>
      <c r="B19375" s="3" t="s">
        <v>16088</v>
      </c>
      <c r="C19375" s="5" t="s">
        <v>221</v>
      </c>
      <c r="D19375" s="3" t="s">
        <v>614</v>
      </c>
      <c r="E19375" s="3" t="s">
        <v>118</v>
      </c>
      <c r="F19375" s="7">
        <v>46119.88616857796</v>
      </c>
      <c r="G19375" s="3" t="s">
        <v>15902</v>
      </c>
    </row>
    <row r="19376">
      <c r="A19376" s="3" t="s">
        <v>35553</v>
      </c>
      <c r="B19376" s="3" t="s">
        <v>16088</v>
      </c>
      <c r="C19376" s="5" t="s">
        <v>614</v>
      </c>
      <c r="D19376" s="3" t="s">
        <v>206</v>
      </c>
      <c r="E19376" s="3" t="s">
        <v>100</v>
      </c>
      <c r="F19376" s="7">
        <v>46119.88964080019</v>
      </c>
      <c r="G19376" s="3" t="s">
        <v>15905</v>
      </c>
    </row>
    <row r="19377">
      <c r="A19377" s="3" t="s">
        <v>35554</v>
      </c>
      <c r="B19377" s="3" t="s">
        <v>16088</v>
      </c>
      <c r="C19377" s="5" t="s">
        <v>206</v>
      </c>
      <c r="D19377" s="3" t="s">
        <v>68</v>
      </c>
      <c r="E19377" s="3" t="s">
        <v>100</v>
      </c>
      <c r="F19377" s="7">
        <v>46119.89311302241</v>
      </c>
      <c r="G19377" s="3" t="s">
        <v>15908</v>
      </c>
    </row>
    <row r="19378">
      <c r="A19378" s="3" t="s">
        <v>35555</v>
      </c>
      <c r="B19378" s="3" t="s">
        <v>16092</v>
      </c>
      <c r="C19378" s="5" t="s">
        <v>45</v>
      </c>
      <c r="D19378" s="3" t="s">
        <v>221</v>
      </c>
      <c r="E19378" s="3" t="s">
        <v>168</v>
      </c>
      <c r="F19378" s="7">
        <v>46119.953871201156</v>
      </c>
      <c r="G19378" s="3" t="s">
        <v>16371</v>
      </c>
    </row>
    <row r="19379">
      <c r="A19379" s="3" t="s">
        <v>35556</v>
      </c>
      <c r="B19379" s="3" t="s">
        <v>16092</v>
      </c>
      <c r="C19379" s="5" t="s">
        <v>221</v>
      </c>
      <c r="D19379" s="3" t="s">
        <v>614</v>
      </c>
      <c r="E19379" s="3" t="s">
        <v>118</v>
      </c>
      <c r="F19379" s="7">
        <v>46119.957343423375</v>
      </c>
      <c r="G19379" s="3" t="s">
        <v>16374</v>
      </c>
    </row>
    <row r="19380">
      <c r="A19380" s="3" t="s">
        <v>35557</v>
      </c>
      <c r="B19380" s="3" t="s">
        <v>16092</v>
      </c>
      <c r="C19380" s="5" t="s">
        <v>614</v>
      </c>
      <c r="D19380" s="3" t="s">
        <v>206</v>
      </c>
      <c r="E19380" s="3" t="s">
        <v>100</v>
      </c>
      <c r="F19380" s="7">
        <v>46119.9608156456</v>
      </c>
      <c r="G19380" s="3" t="s">
        <v>16377</v>
      </c>
    </row>
    <row r="19381">
      <c r="A19381" s="3" t="s">
        <v>35558</v>
      </c>
      <c r="B19381" s="3" t="s">
        <v>16092</v>
      </c>
      <c r="C19381" s="5" t="s">
        <v>206</v>
      </c>
      <c r="D19381" s="3" t="s">
        <v>68</v>
      </c>
      <c r="E19381" s="3" t="s">
        <v>100</v>
      </c>
      <c r="F19381" s="7">
        <v>46119.96428786782</v>
      </c>
      <c r="G19381" s="3" t="s">
        <v>16380</v>
      </c>
    </row>
    <row r="19382">
      <c r="A19382" s="3" t="s">
        <v>35559</v>
      </c>
      <c r="B19382" s="3" t="s">
        <v>16096</v>
      </c>
      <c r="C19382" s="5" t="s">
        <v>45</v>
      </c>
      <c r="D19382" s="3" t="s">
        <v>221</v>
      </c>
      <c r="E19382" s="3" t="s">
        <v>440</v>
      </c>
      <c r="F19382" s="7">
        <v>46120.02504604657</v>
      </c>
      <c r="G19382" s="3" t="s">
        <v>14192</v>
      </c>
    </row>
    <row r="19383">
      <c r="A19383" s="3" t="s">
        <v>35560</v>
      </c>
      <c r="B19383" s="3" t="s">
        <v>16096</v>
      </c>
      <c r="C19383" s="5" t="s">
        <v>221</v>
      </c>
      <c r="D19383" s="3" t="s">
        <v>614</v>
      </c>
      <c r="E19383" s="3" t="s">
        <v>118</v>
      </c>
      <c r="F19383" s="7">
        <v>46120.02851826879</v>
      </c>
      <c r="G19383" s="3" t="s">
        <v>14194</v>
      </c>
    </row>
    <row r="19384">
      <c r="A19384" s="3" t="s">
        <v>35561</v>
      </c>
      <c r="B19384" s="3" t="s">
        <v>16096</v>
      </c>
      <c r="C19384" s="5" t="s">
        <v>614</v>
      </c>
      <c r="D19384" s="3" t="s">
        <v>206</v>
      </c>
      <c r="E19384" s="3" t="s">
        <v>100</v>
      </c>
      <c r="F19384" s="7">
        <v>46120.031990491014</v>
      </c>
      <c r="G19384" s="3" t="s">
        <v>14197</v>
      </c>
    </row>
    <row r="19385">
      <c r="A19385" s="3" t="s">
        <v>35562</v>
      </c>
      <c r="B19385" s="3" t="s">
        <v>16096</v>
      </c>
      <c r="C19385" s="5" t="s">
        <v>206</v>
      </c>
      <c r="D19385" s="3" t="s">
        <v>68</v>
      </c>
      <c r="E19385" s="3" t="s">
        <v>100</v>
      </c>
      <c r="F19385" s="7">
        <v>46120.03546271323</v>
      </c>
      <c r="G19385" s="3" t="s">
        <v>14200</v>
      </c>
    </row>
    <row r="19386">
      <c r="A19386" s="3" t="s">
        <v>35563</v>
      </c>
      <c r="B19386" s="3" t="s">
        <v>16099</v>
      </c>
      <c r="C19386" s="5" t="s">
        <v>45</v>
      </c>
      <c r="D19386" s="3" t="s">
        <v>221</v>
      </c>
      <c r="E19386" s="3" t="s">
        <v>165</v>
      </c>
      <c r="F19386" s="7">
        <v>46120.09622089199</v>
      </c>
      <c r="G19386" s="3" t="s">
        <v>24623</v>
      </c>
    </row>
    <row r="19387">
      <c r="A19387" s="3" t="s">
        <v>35564</v>
      </c>
      <c r="B19387" s="3" t="s">
        <v>16099</v>
      </c>
      <c r="C19387" s="5" t="s">
        <v>221</v>
      </c>
      <c r="D19387" s="3" t="s">
        <v>614</v>
      </c>
      <c r="E19387" s="3" t="s">
        <v>118</v>
      </c>
      <c r="F19387" s="7">
        <v>46120.09969311421</v>
      </c>
      <c r="G19387" s="3" t="s">
        <v>24625</v>
      </c>
    </row>
    <row r="19388">
      <c r="A19388" s="3" t="s">
        <v>35565</v>
      </c>
      <c r="B19388" s="3" t="s">
        <v>16099</v>
      </c>
      <c r="C19388" s="5" t="s">
        <v>614</v>
      </c>
      <c r="D19388" s="3" t="s">
        <v>206</v>
      </c>
      <c r="E19388" s="3" t="s">
        <v>100</v>
      </c>
      <c r="F19388" s="7">
        <v>46120.10316533643</v>
      </c>
      <c r="G19388" s="3" t="s">
        <v>24627</v>
      </c>
    </row>
    <row r="19389">
      <c r="A19389" s="3" t="s">
        <v>35566</v>
      </c>
      <c r="B19389" s="3" t="s">
        <v>16099</v>
      </c>
      <c r="C19389" s="5" t="s">
        <v>206</v>
      </c>
      <c r="D19389" s="3" t="s">
        <v>68</v>
      </c>
      <c r="E19389" s="3" t="s">
        <v>100</v>
      </c>
      <c r="F19389" s="7">
        <v>46120.10663755865</v>
      </c>
      <c r="G19389" s="3" t="s">
        <v>24629</v>
      </c>
    </row>
    <row r="19390">
      <c r="A19390" s="3" t="s">
        <v>35567</v>
      </c>
      <c r="B19390" s="3" t="s">
        <v>16103</v>
      </c>
      <c r="C19390" s="5" t="s">
        <v>45</v>
      </c>
      <c r="D19390" s="3" t="s">
        <v>221</v>
      </c>
      <c r="E19390" s="3" t="s">
        <v>591</v>
      </c>
      <c r="F19390" s="7">
        <v>46120.1673957374</v>
      </c>
      <c r="G19390" s="3" t="s">
        <v>23230</v>
      </c>
    </row>
    <row r="19391">
      <c r="A19391" s="3" t="s">
        <v>35568</v>
      </c>
      <c r="B19391" s="3" t="s">
        <v>16103</v>
      </c>
      <c r="C19391" s="5" t="s">
        <v>221</v>
      </c>
      <c r="D19391" s="3" t="s">
        <v>614</v>
      </c>
      <c r="E19391" s="3" t="s">
        <v>118</v>
      </c>
      <c r="F19391" s="7">
        <v>46120.17086795962</v>
      </c>
      <c r="G19391" s="3" t="s">
        <v>23233</v>
      </c>
    </row>
    <row r="19392">
      <c r="A19392" s="3" t="s">
        <v>35569</v>
      </c>
      <c r="B19392" s="3" t="s">
        <v>16103</v>
      </c>
      <c r="C19392" s="5" t="s">
        <v>614</v>
      </c>
      <c r="D19392" s="3" t="s">
        <v>206</v>
      </c>
      <c r="E19392" s="3" t="s">
        <v>100</v>
      </c>
      <c r="F19392" s="7">
        <v>46120.174340181846</v>
      </c>
      <c r="G19392" s="3" t="s">
        <v>23236</v>
      </c>
    </row>
    <row r="19393">
      <c r="A19393" s="3" t="s">
        <v>35570</v>
      </c>
      <c r="B19393" s="3" t="s">
        <v>16103</v>
      </c>
      <c r="C19393" s="5" t="s">
        <v>206</v>
      </c>
      <c r="D19393" s="3" t="s">
        <v>68</v>
      </c>
      <c r="E19393" s="3" t="s">
        <v>100</v>
      </c>
      <c r="F19393" s="7">
        <v>46120.177812404065</v>
      </c>
      <c r="G19393" s="3" t="s">
        <v>23239</v>
      </c>
    </row>
    <row r="19394">
      <c r="A19394" s="3" t="s">
        <v>35571</v>
      </c>
      <c r="B19394" s="3" t="s">
        <v>16107</v>
      </c>
      <c r="C19394" s="5" t="s">
        <v>45</v>
      </c>
      <c r="D19394" s="3" t="s">
        <v>221</v>
      </c>
      <c r="E19394" s="3" t="s">
        <v>993</v>
      </c>
      <c r="F19394" s="7">
        <v>46120.23857058281</v>
      </c>
      <c r="G19394" s="3" t="s">
        <v>12582</v>
      </c>
    </row>
    <row r="19395">
      <c r="A19395" s="3" t="s">
        <v>35572</v>
      </c>
      <c r="B19395" s="3" t="s">
        <v>16107</v>
      </c>
      <c r="C19395" s="5" t="s">
        <v>221</v>
      </c>
      <c r="D19395" s="3" t="s">
        <v>614</v>
      </c>
      <c r="E19395" s="3" t="s">
        <v>118</v>
      </c>
      <c r="F19395" s="7">
        <v>46120.24204280503</v>
      </c>
      <c r="G19395" s="3" t="s">
        <v>12585</v>
      </c>
    </row>
    <row r="19396">
      <c r="A19396" s="3" t="s">
        <v>35573</v>
      </c>
      <c r="B19396" s="3" t="s">
        <v>16107</v>
      </c>
      <c r="C19396" s="5" t="s">
        <v>614</v>
      </c>
      <c r="D19396" s="3" t="s">
        <v>206</v>
      </c>
      <c r="E19396" s="3" t="s">
        <v>100</v>
      </c>
      <c r="F19396" s="7">
        <v>46120.24551502726</v>
      </c>
      <c r="G19396" s="3" t="s">
        <v>12588</v>
      </c>
    </row>
    <row r="19397">
      <c r="A19397" s="3" t="s">
        <v>35574</v>
      </c>
      <c r="B19397" s="3" t="s">
        <v>16107</v>
      </c>
      <c r="C19397" s="5" t="s">
        <v>206</v>
      </c>
      <c r="D19397" s="3" t="s">
        <v>68</v>
      </c>
      <c r="E19397" s="3" t="s">
        <v>100</v>
      </c>
      <c r="F19397" s="7">
        <v>46120.24898724948</v>
      </c>
      <c r="G19397" s="3" t="s">
        <v>12591</v>
      </c>
    </row>
    <row r="19398">
      <c r="A19398" s="3" t="s">
        <v>35575</v>
      </c>
      <c r="B19398" s="3" t="s">
        <v>16110</v>
      </c>
      <c r="C19398" s="5" t="s">
        <v>45</v>
      </c>
      <c r="D19398" s="3" t="s">
        <v>221</v>
      </c>
      <c r="E19398" s="3" t="s">
        <v>622</v>
      </c>
      <c r="F19398" s="7">
        <v>46120.30974542823</v>
      </c>
      <c r="G19398" s="3" t="s">
        <v>4124</v>
      </c>
    </row>
    <row r="19399">
      <c r="A19399" s="3" t="s">
        <v>35576</v>
      </c>
      <c r="B19399" s="3" t="s">
        <v>16110</v>
      </c>
      <c r="C19399" s="5" t="s">
        <v>221</v>
      </c>
      <c r="D19399" s="3" t="s">
        <v>614</v>
      </c>
      <c r="E19399" s="3" t="s">
        <v>118</v>
      </c>
      <c r="F19399" s="7">
        <v>46120.31321765045</v>
      </c>
      <c r="G19399" s="3" t="s">
        <v>4127</v>
      </c>
    </row>
    <row r="19400">
      <c r="A19400" s="3" t="s">
        <v>35577</v>
      </c>
      <c r="B19400" s="3" t="s">
        <v>16110</v>
      </c>
      <c r="C19400" s="5" t="s">
        <v>614</v>
      </c>
      <c r="D19400" s="3" t="s">
        <v>206</v>
      </c>
      <c r="E19400" s="3" t="s">
        <v>100</v>
      </c>
      <c r="F19400" s="7">
        <v>46120.31668987268</v>
      </c>
      <c r="G19400" s="3" t="s">
        <v>4130</v>
      </c>
    </row>
    <row r="19401">
      <c r="A19401" s="3" t="s">
        <v>35578</v>
      </c>
      <c r="B19401" s="3" t="s">
        <v>16110</v>
      </c>
      <c r="C19401" s="5" t="s">
        <v>206</v>
      </c>
      <c r="D19401" s="3" t="s">
        <v>68</v>
      </c>
      <c r="E19401" s="3" t="s">
        <v>100</v>
      </c>
      <c r="F19401" s="7">
        <v>46120.3201620949</v>
      </c>
      <c r="G19401" s="3" t="s">
        <v>4133</v>
      </c>
    </row>
    <row r="19402">
      <c r="A19402" s="3" t="s">
        <v>35579</v>
      </c>
      <c r="B19402" s="3" t="s">
        <v>16114</v>
      </c>
      <c r="C19402" s="5" t="s">
        <v>45</v>
      </c>
      <c r="D19402" s="3" t="s">
        <v>221</v>
      </c>
      <c r="E19402" s="3" t="s">
        <v>581</v>
      </c>
      <c r="F19402" s="7">
        <v>46120.38092027365</v>
      </c>
      <c r="G19402" s="3" t="s">
        <v>12929</v>
      </c>
    </row>
    <row r="19403">
      <c r="A19403" s="3" t="s">
        <v>35580</v>
      </c>
      <c r="B19403" s="3" t="s">
        <v>16114</v>
      </c>
      <c r="C19403" s="5" t="s">
        <v>221</v>
      </c>
      <c r="D19403" s="3" t="s">
        <v>614</v>
      </c>
      <c r="E19403" s="3" t="s">
        <v>118</v>
      </c>
      <c r="F19403" s="7">
        <v>46120.38439249587</v>
      </c>
      <c r="G19403" s="3" t="s">
        <v>12932</v>
      </c>
    </row>
    <row r="19404">
      <c r="A19404" s="3" t="s">
        <v>35581</v>
      </c>
      <c r="B19404" s="3" t="s">
        <v>16114</v>
      </c>
      <c r="C19404" s="5" t="s">
        <v>614</v>
      </c>
      <c r="D19404" s="3" t="s">
        <v>206</v>
      </c>
      <c r="E19404" s="3" t="s">
        <v>100</v>
      </c>
      <c r="F19404" s="7">
        <v>46120.3878647181</v>
      </c>
      <c r="G19404" s="3" t="s">
        <v>12936</v>
      </c>
    </row>
    <row r="19405">
      <c r="A19405" s="3" t="s">
        <v>35582</v>
      </c>
      <c r="B19405" s="3" t="s">
        <v>16114</v>
      </c>
      <c r="C19405" s="5" t="s">
        <v>206</v>
      </c>
      <c r="D19405" s="3" t="s">
        <v>68</v>
      </c>
      <c r="E19405" s="3" t="s">
        <v>100</v>
      </c>
      <c r="F19405" s="7">
        <v>46120.391336940316</v>
      </c>
      <c r="G19405" s="3" t="s">
        <v>12939</v>
      </c>
    </row>
    <row r="19406">
      <c r="A19406" s="3" t="s">
        <v>35583</v>
      </c>
      <c r="B19406" s="3" t="s">
        <v>16120</v>
      </c>
      <c r="C19406" s="5" t="s">
        <v>45</v>
      </c>
      <c r="D19406" s="3" t="s">
        <v>221</v>
      </c>
      <c r="E19406" s="3" t="s">
        <v>366</v>
      </c>
      <c r="F19406" s="7">
        <v>46120.45209511906</v>
      </c>
      <c r="G19406" s="3" t="s">
        <v>14214</v>
      </c>
    </row>
    <row r="19407">
      <c r="A19407" s="3" t="s">
        <v>35584</v>
      </c>
      <c r="B19407" s="3" t="s">
        <v>16120</v>
      </c>
      <c r="C19407" s="5" t="s">
        <v>221</v>
      </c>
      <c r="D19407" s="3" t="s">
        <v>614</v>
      </c>
      <c r="E19407" s="3" t="s">
        <v>118</v>
      </c>
      <c r="F19407" s="7">
        <v>46120.455567341276</v>
      </c>
      <c r="G19407" s="3" t="s">
        <v>14217</v>
      </c>
    </row>
    <row r="19408">
      <c r="A19408" s="3" t="s">
        <v>35585</v>
      </c>
      <c r="B19408" s="3" t="s">
        <v>16120</v>
      </c>
      <c r="C19408" s="5" t="s">
        <v>614</v>
      </c>
      <c r="D19408" s="3" t="s">
        <v>206</v>
      </c>
      <c r="E19408" s="3" t="s">
        <v>100</v>
      </c>
      <c r="F19408" s="7">
        <v>46120.4590395635</v>
      </c>
      <c r="G19408" s="3" t="s">
        <v>14220</v>
      </c>
    </row>
    <row r="19409">
      <c r="A19409" s="3" t="s">
        <v>35586</v>
      </c>
      <c r="B19409" s="3" t="s">
        <v>16120</v>
      </c>
      <c r="C19409" s="5" t="s">
        <v>206</v>
      </c>
      <c r="D19409" s="3" t="s">
        <v>68</v>
      </c>
      <c r="E19409" s="3" t="s">
        <v>100</v>
      </c>
      <c r="F19409" s="7">
        <v>46120.46251178572</v>
      </c>
      <c r="G19409" s="3" t="s">
        <v>14222</v>
      </c>
    </row>
    <row r="19410">
      <c r="A19410" s="3" t="s">
        <v>35587</v>
      </c>
      <c r="B19410" s="3" t="s">
        <v>16122</v>
      </c>
      <c r="C19410" s="5" t="s">
        <v>45</v>
      </c>
      <c r="D19410" s="3" t="s">
        <v>221</v>
      </c>
      <c r="E19410" s="3" t="s">
        <v>544</v>
      </c>
      <c r="F19410" s="7">
        <v>46120.52326996448</v>
      </c>
      <c r="G19410" s="3" t="s">
        <v>18553</v>
      </c>
    </row>
    <row r="19411">
      <c r="A19411" s="3" t="s">
        <v>35588</v>
      </c>
      <c r="B19411" s="3" t="s">
        <v>16122</v>
      </c>
      <c r="C19411" s="5" t="s">
        <v>221</v>
      </c>
      <c r="D19411" s="3" t="s">
        <v>195</v>
      </c>
      <c r="E19411" s="3" t="s">
        <v>544</v>
      </c>
      <c r="F19411" s="7">
        <v>46120.526742186696</v>
      </c>
      <c r="G19411" s="3" t="s">
        <v>35589</v>
      </c>
    </row>
    <row r="19412">
      <c r="A19412" s="3" t="s">
        <v>35590</v>
      </c>
      <c r="B19412" s="3" t="s">
        <v>16125</v>
      </c>
      <c r="C19412" s="5" t="s">
        <v>45</v>
      </c>
      <c r="D19412" s="3" t="s">
        <v>221</v>
      </c>
      <c r="E19412" s="3" t="s">
        <v>123</v>
      </c>
      <c r="F19412" s="7">
        <v>46120.59444480989</v>
      </c>
      <c r="G19412" s="3" t="s">
        <v>8379</v>
      </c>
    </row>
    <row r="19413">
      <c r="A19413" s="3" t="s">
        <v>35591</v>
      </c>
      <c r="B19413" s="3" t="s">
        <v>16125</v>
      </c>
      <c r="C19413" s="5" t="s">
        <v>221</v>
      </c>
      <c r="D19413" s="3" t="s">
        <v>614</v>
      </c>
      <c r="E19413" s="3" t="s">
        <v>118</v>
      </c>
      <c r="F19413" s="7">
        <v>46120.59791703211</v>
      </c>
      <c r="G19413" s="3" t="s">
        <v>8382</v>
      </c>
    </row>
    <row r="19414">
      <c r="A19414" s="3" t="s">
        <v>35592</v>
      </c>
      <c r="B19414" s="3" t="s">
        <v>16125</v>
      </c>
      <c r="C19414" s="5" t="s">
        <v>614</v>
      </c>
      <c r="D19414" s="3" t="s">
        <v>206</v>
      </c>
      <c r="E19414" s="3" t="s">
        <v>100</v>
      </c>
      <c r="F19414" s="7">
        <v>46120.601389254334</v>
      </c>
      <c r="G19414" s="3" t="s">
        <v>8385</v>
      </c>
    </row>
    <row r="19415">
      <c r="A19415" s="3" t="s">
        <v>35593</v>
      </c>
      <c r="B19415" s="3" t="s">
        <v>16125</v>
      </c>
      <c r="C19415" s="5" t="s">
        <v>206</v>
      </c>
      <c r="D19415" s="3" t="s">
        <v>68</v>
      </c>
      <c r="E19415" s="3" t="s">
        <v>100</v>
      </c>
      <c r="F19415" s="7">
        <v>46120.60486147655</v>
      </c>
      <c r="G19415" s="3" t="s">
        <v>8388</v>
      </c>
    </row>
    <row r="19416">
      <c r="A19416" s="3" t="s">
        <v>35594</v>
      </c>
      <c r="B19416" s="3" t="s">
        <v>16129</v>
      </c>
      <c r="C19416" s="5" t="s">
        <v>45</v>
      </c>
      <c r="D19416" s="3" t="s">
        <v>221</v>
      </c>
      <c r="E19416" s="3" t="s">
        <v>507</v>
      </c>
      <c r="F19416" s="7">
        <v>46120.66561965531</v>
      </c>
      <c r="G19416" s="3" t="s">
        <v>12644</v>
      </c>
    </row>
    <row r="19417">
      <c r="A19417" s="3" t="s">
        <v>35595</v>
      </c>
      <c r="B19417" s="3" t="s">
        <v>16129</v>
      </c>
      <c r="C19417" s="5" t="s">
        <v>221</v>
      </c>
      <c r="D19417" s="3" t="s">
        <v>195</v>
      </c>
      <c r="E19417" s="3" t="s">
        <v>507</v>
      </c>
      <c r="F19417" s="7">
        <v>46120.66909187753</v>
      </c>
      <c r="G19417" s="3" t="s">
        <v>35596</v>
      </c>
    </row>
    <row r="19418">
      <c r="A19418" s="3" t="s">
        <v>35597</v>
      </c>
      <c r="B19418" s="3" t="s">
        <v>16132</v>
      </c>
      <c r="C19418" s="5" t="s">
        <v>45</v>
      </c>
      <c r="D19418" s="3" t="s">
        <v>221</v>
      </c>
      <c r="E19418" s="3" t="s">
        <v>411</v>
      </c>
      <c r="F19418" s="7">
        <v>46120.73679450072</v>
      </c>
      <c r="G19418" s="3" t="s">
        <v>17747</v>
      </c>
    </row>
    <row r="19419">
      <c r="A19419" s="3" t="s">
        <v>35598</v>
      </c>
      <c r="B19419" s="3" t="s">
        <v>16132</v>
      </c>
      <c r="C19419" s="5" t="s">
        <v>221</v>
      </c>
      <c r="D19419" s="3" t="s">
        <v>614</v>
      </c>
      <c r="E19419" s="3" t="s">
        <v>118</v>
      </c>
      <c r="F19419" s="7">
        <v>46120.74026672294</v>
      </c>
      <c r="G19419" s="3" t="s">
        <v>17750</v>
      </c>
    </row>
    <row r="19420">
      <c r="A19420" s="3" t="s">
        <v>35599</v>
      </c>
      <c r="B19420" s="3" t="s">
        <v>16132</v>
      </c>
      <c r="C19420" s="5" t="s">
        <v>614</v>
      </c>
      <c r="D19420" s="3" t="s">
        <v>206</v>
      </c>
      <c r="E19420" s="3" t="s">
        <v>100</v>
      </c>
      <c r="F19420" s="7">
        <v>46120.743738945166</v>
      </c>
      <c r="G19420" s="3" t="s">
        <v>17752</v>
      </c>
    </row>
    <row r="19421">
      <c r="A19421" s="3" t="s">
        <v>35600</v>
      </c>
      <c r="B19421" s="3" t="s">
        <v>16132</v>
      </c>
      <c r="C19421" s="5" t="s">
        <v>206</v>
      </c>
      <c r="D19421" s="3" t="s">
        <v>68</v>
      </c>
      <c r="E19421" s="3" t="s">
        <v>100</v>
      </c>
      <c r="F19421" s="7">
        <v>46120.747211167385</v>
      </c>
      <c r="G19421" s="3" t="s">
        <v>17755</v>
      </c>
    </row>
    <row r="19422">
      <c r="A19422" s="3" t="s">
        <v>35601</v>
      </c>
      <c r="B19422" s="3" t="s">
        <v>16135</v>
      </c>
      <c r="C19422" s="5" t="s">
        <v>45</v>
      </c>
      <c r="D19422" s="3" t="s">
        <v>221</v>
      </c>
      <c r="E19422" s="3" t="s">
        <v>789</v>
      </c>
      <c r="F19422" s="7">
        <v>46120.80796934614</v>
      </c>
      <c r="G19422" s="3" t="s">
        <v>14363</v>
      </c>
    </row>
    <row r="19423">
      <c r="A19423" s="3" t="s">
        <v>35602</v>
      </c>
      <c r="B19423" s="3" t="s">
        <v>16135</v>
      </c>
      <c r="C19423" s="5" t="s">
        <v>221</v>
      </c>
      <c r="D19423" s="3" t="s">
        <v>614</v>
      </c>
      <c r="E19423" s="3" t="s">
        <v>118</v>
      </c>
      <c r="F19423" s="7">
        <v>46120.81144156836</v>
      </c>
      <c r="G19423" s="3" t="s">
        <v>14365</v>
      </c>
    </row>
    <row r="19424">
      <c r="A19424" s="3" t="s">
        <v>35603</v>
      </c>
      <c r="B19424" s="3" t="s">
        <v>16135</v>
      </c>
      <c r="C19424" s="5" t="s">
        <v>614</v>
      </c>
      <c r="D19424" s="3" t="s">
        <v>206</v>
      </c>
      <c r="E19424" s="3" t="s">
        <v>100</v>
      </c>
      <c r="F19424" s="7">
        <v>46120.814913790586</v>
      </c>
      <c r="G19424" s="3" t="s">
        <v>14368</v>
      </c>
    </row>
    <row r="19425">
      <c r="A19425" s="3" t="s">
        <v>35604</v>
      </c>
      <c r="B19425" s="3" t="s">
        <v>16135</v>
      </c>
      <c r="C19425" s="5" t="s">
        <v>206</v>
      </c>
      <c r="D19425" s="3" t="s">
        <v>68</v>
      </c>
      <c r="E19425" s="3" t="s">
        <v>100</v>
      </c>
      <c r="F19425" s="7">
        <v>46120.818386012805</v>
      </c>
      <c r="G19425" s="3" t="s">
        <v>14371</v>
      </c>
    </row>
    <row r="19426">
      <c r="A19426" s="3" t="s">
        <v>35605</v>
      </c>
      <c r="B19426" s="3" t="s">
        <v>16140</v>
      </c>
      <c r="C19426" s="5" t="s">
        <v>45</v>
      </c>
      <c r="D19426" s="3" t="s">
        <v>221</v>
      </c>
      <c r="E19426" s="3" t="s">
        <v>669</v>
      </c>
      <c r="F19426" s="7">
        <v>46120.879144191545</v>
      </c>
      <c r="G19426" s="3" t="s">
        <v>21032</v>
      </c>
    </row>
    <row r="19427">
      <c r="A19427" s="3" t="s">
        <v>35606</v>
      </c>
      <c r="B19427" s="3" t="s">
        <v>16140</v>
      </c>
      <c r="C19427" s="5" t="s">
        <v>221</v>
      </c>
      <c r="D19427" s="3" t="s">
        <v>614</v>
      </c>
      <c r="E19427" s="3" t="s">
        <v>118</v>
      </c>
      <c r="F19427" s="7">
        <v>46120.882616413764</v>
      </c>
      <c r="G19427" s="3" t="s">
        <v>21034</v>
      </c>
    </row>
    <row r="19428">
      <c r="A19428" s="3" t="s">
        <v>35607</v>
      </c>
      <c r="B19428" s="3" t="s">
        <v>16140</v>
      </c>
      <c r="C19428" s="5" t="s">
        <v>614</v>
      </c>
      <c r="D19428" s="3" t="s">
        <v>206</v>
      </c>
      <c r="E19428" s="3" t="s">
        <v>100</v>
      </c>
      <c r="F19428" s="7">
        <v>46120.88608863599</v>
      </c>
      <c r="G19428" s="3" t="s">
        <v>21037</v>
      </c>
    </row>
    <row r="19429">
      <c r="A19429" s="3" t="s">
        <v>35608</v>
      </c>
      <c r="B19429" s="3" t="s">
        <v>16140</v>
      </c>
      <c r="C19429" s="5" t="s">
        <v>206</v>
      </c>
      <c r="D19429" s="3" t="s">
        <v>68</v>
      </c>
      <c r="E19429" s="3" t="s">
        <v>100</v>
      </c>
      <c r="F19429" s="7">
        <v>46120.88956085821</v>
      </c>
      <c r="G19429" s="3" t="s">
        <v>21040</v>
      </c>
    </row>
    <row r="19430">
      <c r="A19430" s="3" t="s">
        <v>35609</v>
      </c>
      <c r="B19430" s="3" t="s">
        <v>16143</v>
      </c>
      <c r="C19430" s="5" t="s">
        <v>45</v>
      </c>
      <c r="D19430" s="3" t="s">
        <v>221</v>
      </c>
      <c r="E19430" s="3" t="s">
        <v>612</v>
      </c>
      <c r="F19430" s="7">
        <v>46120.950319036965</v>
      </c>
      <c r="G19430" s="3" t="s">
        <v>21937</v>
      </c>
    </row>
    <row r="19431">
      <c r="A19431" s="3" t="s">
        <v>35610</v>
      </c>
      <c r="B19431" s="3" t="s">
        <v>16143</v>
      </c>
      <c r="C19431" s="5" t="s">
        <v>221</v>
      </c>
      <c r="D19431" s="3" t="s">
        <v>614</v>
      </c>
      <c r="E19431" s="3" t="s">
        <v>118</v>
      </c>
      <c r="F19431" s="7">
        <v>46120.953791259184</v>
      </c>
      <c r="G19431" s="3" t="s">
        <v>21940</v>
      </c>
    </row>
    <row r="19432">
      <c r="A19432" s="3" t="s">
        <v>35611</v>
      </c>
      <c r="B19432" s="3" t="s">
        <v>16143</v>
      </c>
      <c r="C19432" s="5" t="s">
        <v>614</v>
      </c>
      <c r="D19432" s="3" t="s">
        <v>206</v>
      </c>
      <c r="E19432" s="3" t="s">
        <v>100</v>
      </c>
      <c r="F19432" s="7">
        <v>46120.95726348141</v>
      </c>
      <c r="G19432" s="3" t="s">
        <v>21942</v>
      </c>
    </row>
    <row r="19433">
      <c r="A19433" s="3" t="s">
        <v>35612</v>
      </c>
      <c r="B19433" s="3" t="s">
        <v>16143</v>
      </c>
      <c r="C19433" s="5" t="s">
        <v>206</v>
      </c>
      <c r="D19433" s="3" t="s">
        <v>68</v>
      </c>
      <c r="E19433" s="3" t="s">
        <v>100</v>
      </c>
      <c r="F19433" s="7">
        <v>46120.96073570363</v>
      </c>
      <c r="G19433" s="3" t="s">
        <v>21945</v>
      </c>
    </row>
    <row r="19434">
      <c r="A19434" s="3" t="s">
        <v>35613</v>
      </c>
      <c r="B19434" s="3" t="s">
        <v>16146</v>
      </c>
      <c r="C19434" s="5" t="s">
        <v>45</v>
      </c>
      <c r="D19434" s="3" t="s">
        <v>221</v>
      </c>
      <c r="E19434" s="3" t="s">
        <v>1001</v>
      </c>
      <c r="F19434" s="7">
        <v>46121.021493882385</v>
      </c>
      <c r="G19434" s="3" t="s">
        <v>34976</v>
      </c>
    </row>
    <row r="19435">
      <c r="A19435" s="3" t="s">
        <v>35614</v>
      </c>
      <c r="B19435" s="3" t="s">
        <v>16146</v>
      </c>
      <c r="C19435" s="5" t="s">
        <v>221</v>
      </c>
      <c r="D19435" s="3" t="s">
        <v>614</v>
      </c>
      <c r="E19435" s="3" t="s">
        <v>118</v>
      </c>
      <c r="F19435" s="7">
        <v>46121.024966104604</v>
      </c>
      <c r="G19435" s="3" t="s">
        <v>34978</v>
      </c>
    </row>
    <row r="19436">
      <c r="A19436" s="3" t="s">
        <v>35615</v>
      </c>
      <c r="B19436" s="3" t="s">
        <v>16146</v>
      </c>
      <c r="C19436" s="5" t="s">
        <v>614</v>
      </c>
      <c r="D19436" s="3" t="s">
        <v>206</v>
      </c>
      <c r="E19436" s="3" t="s">
        <v>100</v>
      </c>
      <c r="F19436" s="7">
        <v>46121.02843832683</v>
      </c>
      <c r="G19436" s="3" t="s">
        <v>34980</v>
      </c>
    </row>
    <row r="19437">
      <c r="A19437" s="3" t="s">
        <v>35616</v>
      </c>
      <c r="B19437" s="3" t="s">
        <v>16146</v>
      </c>
      <c r="C19437" s="5" t="s">
        <v>206</v>
      </c>
      <c r="D19437" s="3" t="s">
        <v>68</v>
      </c>
      <c r="E19437" s="3" t="s">
        <v>100</v>
      </c>
      <c r="F19437" s="7">
        <v>46121.03191054905</v>
      </c>
      <c r="G19437" s="3" t="s">
        <v>34982</v>
      </c>
    </row>
    <row r="19438">
      <c r="A19438" s="3" t="s">
        <v>35617</v>
      </c>
      <c r="B19438" s="3" t="s">
        <v>16149</v>
      </c>
      <c r="C19438" s="5" t="s">
        <v>45</v>
      </c>
      <c r="D19438" s="3" t="s">
        <v>221</v>
      </c>
      <c r="E19438" s="3" t="s">
        <v>903</v>
      </c>
      <c r="F19438" s="7">
        <v>46121.0926687278</v>
      </c>
      <c r="G19438" s="3" t="s">
        <v>14456</v>
      </c>
    </row>
    <row r="19439">
      <c r="A19439" s="3" t="s">
        <v>35618</v>
      </c>
      <c r="B19439" s="3" t="s">
        <v>16149</v>
      </c>
      <c r="C19439" s="5" t="s">
        <v>221</v>
      </c>
      <c r="D19439" s="3" t="s">
        <v>614</v>
      </c>
      <c r="E19439" s="3" t="s">
        <v>118</v>
      </c>
      <c r="F19439" s="7">
        <v>46121.096140950016</v>
      </c>
      <c r="G19439" s="3" t="s">
        <v>14458</v>
      </c>
    </row>
    <row r="19440">
      <c r="A19440" s="3" t="s">
        <v>35619</v>
      </c>
      <c r="B19440" s="3" t="s">
        <v>16149</v>
      </c>
      <c r="C19440" s="5" t="s">
        <v>614</v>
      </c>
      <c r="D19440" s="3" t="s">
        <v>206</v>
      </c>
      <c r="E19440" s="3" t="s">
        <v>100</v>
      </c>
      <c r="F19440" s="7">
        <v>46121.09961317224</v>
      </c>
      <c r="G19440" s="3" t="s">
        <v>14461</v>
      </c>
    </row>
    <row r="19441">
      <c r="A19441" s="3" t="s">
        <v>35620</v>
      </c>
      <c r="B19441" s="3" t="s">
        <v>16149</v>
      </c>
      <c r="C19441" s="5" t="s">
        <v>206</v>
      </c>
      <c r="D19441" s="3" t="s">
        <v>68</v>
      </c>
      <c r="E19441" s="3" t="s">
        <v>100</v>
      </c>
      <c r="F19441" s="7">
        <v>46121.10308539446</v>
      </c>
      <c r="G19441" s="3" t="s">
        <v>14464</v>
      </c>
    </row>
    <row r="19442">
      <c r="A19442" s="3" t="s">
        <v>35621</v>
      </c>
      <c r="B19442" s="3" t="s">
        <v>16152</v>
      </c>
      <c r="C19442" s="5" t="s">
        <v>45</v>
      </c>
      <c r="D19442" s="3" t="s">
        <v>221</v>
      </c>
      <c r="E19442" s="3" t="s">
        <v>145</v>
      </c>
      <c r="F19442" s="7">
        <v>46121.16384357321</v>
      </c>
      <c r="G19442" s="3" t="s">
        <v>14527</v>
      </c>
    </row>
    <row r="19443">
      <c r="A19443" s="3" t="s">
        <v>35622</v>
      </c>
      <c r="B19443" s="3" t="s">
        <v>16152</v>
      </c>
      <c r="C19443" s="5" t="s">
        <v>221</v>
      </c>
      <c r="D19443" s="3" t="s">
        <v>614</v>
      </c>
      <c r="E19443" s="3" t="s">
        <v>118</v>
      </c>
      <c r="F19443" s="7">
        <v>46121.16731579543</v>
      </c>
      <c r="G19443" s="3" t="s">
        <v>14529</v>
      </c>
    </row>
    <row r="19444">
      <c r="A19444" s="3" t="s">
        <v>35623</v>
      </c>
      <c r="B19444" s="3" t="s">
        <v>16152</v>
      </c>
      <c r="C19444" s="5" t="s">
        <v>614</v>
      </c>
      <c r="D19444" s="3" t="s">
        <v>206</v>
      </c>
      <c r="E19444" s="3" t="s">
        <v>100</v>
      </c>
      <c r="F19444" s="7">
        <v>46121.170788017655</v>
      </c>
      <c r="G19444" s="3" t="s">
        <v>14532</v>
      </c>
    </row>
    <row r="19445">
      <c r="A19445" s="3" t="s">
        <v>35624</v>
      </c>
      <c r="B19445" s="3" t="s">
        <v>16152</v>
      </c>
      <c r="C19445" s="5" t="s">
        <v>206</v>
      </c>
      <c r="D19445" s="3" t="s">
        <v>68</v>
      </c>
      <c r="E19445" s="3" t="s">
        <v>100</v>
      </c>
      <c r="F19445" s="7">
        <v>46121.17426023987</v>
      </c>
      <c r="G19445" s="3" t="s">
        <v>14535</v>
      </c>
    </row>
    <row r="19446">
      <c r="A19446" s="3" t="s">
        <v>35625</v>
      </c>
      <c r="B19446" s="3" t="s">
        <v>16155</v>
      </c>
      <c r="C19446" s="5" t="s">
        <v>45</v>
      </c>
      <c r="D19446" s="3" t="s">
        <v>221</v>
      </c>
      <c r="E19446" s="3" t="s">
        <v>694</v>
      </c>
      <c r="F19446" s="7">
        <v>46121.23501841863</v>
      </c>
      <c r="G19446" s="3" t="s">
        <v>35626</v>
      </c>
    </row>
    <row r="19447">
      <c r="A19447" s="3" t="s">
        <v>35627</v>
      </c>
      <c r="B19447" s="3" t="s">
        <v>16155</v>
      </c>
      <c r="C19447" s="5" t="s">
        <v>221</v>
      </c>
      <c r="D19447" s="3" t="s">
        <v>614</v>
      </c>
      <c r="E19447" s="3" t="s">
        <v>118</v>
      </c>
      <c r="F19447" s="7">
        <v>46121.23849064085</v>
      </c>
      <c r="G19447" s="3" t="s">
        <v>35628</v>
      </c>
    </row>
    <row r="19448">
      <c r="A19448" s="3" t="s">
        <v>35629</v>
      </c>
      <c r="B19448" s="3" t="s">
        <v>16155</v>
      </c>
      <c r="C19448" s="5" t="s">
        <v>614</v>
      </c>
      <c r="D19448" s="3" t="s">
        <v>206</v>
      </c>
      <c r="E19448" s="3" t="s">
        <v>100</v>
      </c>
      <c r="F19448" s="7">
        <v>46121.241962863074</v>
      </c>
      <c r="G19448" s="3" t="s">
        <v>35630</v>
      </c>
    </row>
    <row r="19449">
      <c r="A19449" s="3" t="s">
        <v>35631</v>
      </c>
      <c r="B19449" s="3" t="s">
        <v>16155</v>
      </c>
      <c r="C19449" s="5" t="s">
        <v>206</v>
      </c>
      <c r="D19449" s="3" t="s">
        <v>68</v>
      </c>
      <c r="E19449" s="3" t="s">
        <v>100</v>
      </c>
      <c r="F19449" s="7">
        <v>46121.24543508529</v>
      </c>
      <c r="G19449" s="3" t="s">
        <v>35632</v>
      </c>
    </row>
    <row r="19450">
      <c r="A19450" s="3" t="s">
        <v>35633</v>
      </c>
      <c r="B19450" s="3" t="s">
        <v>16159</v>
      </c>
      <c r="C19450" s="5" t="s">
        <v>45</v>
      </c>
      <c r="D19450" s="3" t="s">
        <v>221</v>
      </c>
      <c r="E19450" s="3" t="s">
        <v>949</v>
      </c>
      <c r="F19450" s="7">
        <v>46121.30619326404</v>
      </c>
      <c r="G19450" s="3" t="s">
        <v>14538</v>
      </c>
    </row>
    <row r="19451">
      <c r="A19451" s="3" t="s">
        <v>35634</v>
      </c>
      <c r="B19451" s="3" t="s">
        <v>16159</v>
      </c>
      <c r="C19451" s="5" t="s">
        <v>221</v>
      </c>
      <c r="D19451" s="3" t="s">
        <v>614</v>
      </c>
      <c r="E19451" s="3" t="s">
        <v>118</v>
      </c>
      <c r="F19451" s="7">
        <v>46121.30966548626</v>
      </c>
      <c r="G19451" s="3" t="s">
        <v>14541</v>
      </c>
    </row>
    <row r="19452">
      <c r="A19452" s="3" t="s">
        <v>35635</v>
      </c>
      <c r="B19452" s="3" t="s">
        <v>16159</v>
      </c>
      <c r="C19452" s="5" t="s">
        <v>614</v>
      </c>
      <c r="D19452" s="3" t="s">
        <v>206</v>
      </c>
      <c r="E19452" s="3" t="s">
        <v>100</v>
      </c>
      <c r="F19452" s="7">
        <v>46121.31313770849</v>
      </c>
      <c r="G19452" s="3" t="s">
        <v>14544</v>
      </c>
    </row>
    <row r="19453">
      <c r="A19453" s="3" t="s">
        <v>35636</v>
      </c>
      <c r="B19453" s="3" t="s">
        <v>16159</v>
      </c>
      <c r="C19453" s="5" t="s">
        <v>206</v>
      </c>
      <c r="D19453" s="3" t="s">
        <v>68</v>
      </c>
      <c r="E19453" s="3" t="s">
        <v>100</v>
      </c>
      <c r="F19453" s="7">
        <v>46121.316609930705</v>
      </c>
      <c r="G19453" s="3" t="s">
        <v>14546</v>
      </c>
    </row>
    <row r="19454">
      <c r="A19454" s="3" t="s">
        <v>35637</v>
      </c>
      <c r="B19454" s="3" t="s">
        <v>16163</v>
      </c>
      <c r="C19454" s="5" t="s">
        <v>45</v>
      </c>
      <c r="D19454" s="3" t="s">
        <v>221</v>
      </c>
      <c r="E19454" s="3" t="s">
        <v>1028</v>
      </c>
      <c r="F19454" s="7">
        <v>46121.37736810945</v>
      </c>
      <c r="G19454" s="3" t="s">
        <v>17773</v>
      </c>
    </row>
    <row r="19455">
      <c r="A19455" s="3" t="s">
        <v>35638</v>
      </c>
      <c r="B19455" s="3" t="s">
        <v>16163</v>
      </c>
      <c r="C19455" s="5" t="s">
        <v>221</v>
      </c>
      <c r="D19455" s="3" t="s">
        <v>614</v>
      </c>
      <c r="E19455" s="3" t="s">
        <v>118</v>
      </c>
      <c r="F19455" s="7">
        <v>46121.38084033167</v>
      </c>
      <c r="G19455" s="3" t="s">
        <v>17776</v>
      </c>
    </row>
    <row r="19456">
      <c r="A19456" s="3" t="s">
        <v>35639</v>
      </c>
      <c r="B19456" s="3" t="s">
        <v>16163</v>
      </c>
      <c r="C19456" s="5" t="s">
        <v>614</v>
      </c>
      <c r="D19456" s="3" t="s">
        <v>206</v>
      </c>
      <c r="E19456" s="3" t="s">
        <v>100</v>
      </c>
      <c r="F19456" s="7">
        <v>46121.3843125539</v>
      </c>
      <c r="G19456" s="3" t="s">
        <v>17779</v>
      </c>
    </row>
    <row r="19457">
      <c r="A19457" s="3" t="s">
        <v>35640</v>
      </c>
      <c r="B19457" s="3" t="s">
        <v>16163</v>
      </c>
      <c r="C19457" s="5" t="s">
        <v>206</v>
      </c>
      <c r="D19457" s="3" t="s">
        <v>68</v>
      </c>
      <c r="E19457" s="3" t="s">
        <v>100</v>
      </c>
      <c r="F19457" s="7">
        <v>46121.38778477612</v>
      </c>
      <c r="G19457" s="3" t="s">
        <v>17782</v>
      </c>
    </row>
    <row r="19458">
      <c r="A19458" s="3" t="s">
        <v>35641</v>
      </c>
      <c r="B19458" s="3" t="s">
        <v>16166</v>
      </c>
      <c r="C19458" s="5" t="s">
        <v>45</v>
      </c>
      <c r="D19458" s="3" t="s">
        <v>221</v>
      </c>
      <c r="E19458" s="3" t="s">
        <v>148</v>
      </c>
      <c r="F19458" s="7">
        <v>46121.44854295487</v>
      </c>
      <c r="G19458" s="3" t="s">
        <v>11009</v>
      </c>
    </row>
    <row r="19459">
      <c r="A19459" s="3" t="s">
        <v>35642</v>
      </c>
      <c r="B19459" s="3" t="s">
        <v>16166</v>
      </c>
      <c r="C19459" s="5" t="s">
        <v>221</v>
      </c>
      <c r="D19459" s="3" t="s">
        <v>614</v>
      </c>
      <c r="E19459" s="3" t="s">
        <v>118</v>
      </c>
      <c r="F19459" s="7">
        <v>46121.45201517709</v>
      </c>
      <c r="G19459" s="3" t="s">
        <v>11012</v>
      </c>
    </row>
    <row r="19460">
      <c r="A19460" s="3" t="s">
        <v>35643</v>
      </c>
      <c r="B19460" s="3" t="s">
        <v>16166</v>
      </c>
      <c r="C19460" s="5" t="s">
        <v>614</v>
      </c>
      <c r="D19460" s="3" t="s">
        <v>206</v>
      </c>
      <c r="E19460" s="3" t="s">
        <v>100</v>
      </c>
      <c r="F19460" s="7">
        <v>46121.45548739932</v>
      </c>
      <c r="G19460" s="3" t="s">
        <v>11014</v>
      </c>
    </row>
    <row r="19461">
      <c r="A19461" s="3" t="s">
        <v>35644</v>
      </c>
      <c r="B19461" s="3" t="s">
        <v>16166</v>
      </c>
      <c r="C19461" s="5" t="s">
        <v>206</v>
      </c>
      <c r="D19461" s="3" t="s">
        <v>68</v>
      </c>
      <c r="E19461" s="3" t="s">
        <v>100</v>
      </c>
      <c r="F19461" s="7">
        <v>46121.45895962154</v>
      </c>
      <c r="G19461" s="3" t="s">
        <v>11017</v>
      </c>
    </row>
    <row r="19462">
      <c r="A19462" s="3" t="s">
        <v>35645</v>
      </c>
      <c r="B19462" s="3" t="s">
        <v>16169</v>
      </c>
      <c r="C19462" s="5" t="s">
        <v>45</v>
      </c>
      <c r="D19462" s="3" t="s">
        <v>221</v>
      </c>
      <c r="E19462" s="3" t="s">
        <v>612</v>
      </c>
      <c r="F19462" s="7">
        <v>46121.51971780029</v>
      </c>
      <c r="G19462" s="3" t="s">
        <v>21937</v>
      </c>
    </row>
    <row r="19463">
      <c r="A19463" s="3" t="s">
        <v>35646</v>
      </c>
      <c r="B19463" s="3" t="s">
        <v>16169</v>
      </c>
      <c r="C19463" s="5" t="s">
        <v>221</v>
      </c>
      <c r="D19463" s="3" t="s">
        <v>614</v>
      </c>
      <c r="E19463" s="3" t="s">
        <v>118</v>
      </c>
      <c r="F19463" s="7">
        <v>46121.52319002251</v>
      </c>
      <c r="G19463" s="3" t="s">
        <v>21940</v>
      </c>
    </row>
    <row r="19464">
      <c r="A19464" s="3" t="s">
        <v>35647</v>
      </c>
      <c r="B19464" s="3" t="s">
        <v>16169</v>
      </c>
      <c r="C19464" s="5" t="s">
        <v>614</v>
      </c>
      <c r="D19464" s="3" t="s">
        <v>206</v>
      </c>
      <c r="E19464" s="3" t="s">
        <v>100</v>
      </c>
      <c r="F19464" s="7">
        <v>46121.52666224474</v>
      </c>
      <c r="G19464" s="3" t="s">
        <v>21942</v>
      </c>
    </row>
    <row r="19465">
      <c r="A19465" s="3" t="s">
        <v>35648</v>
      </c>
      <c r="B19465" s="3" t="s">
        <v>16169</v>
      </c>
      <c r="C19465" s="5" t="s">
        <v>206</v>
      </c>
      <c r="D19465" s="3" t="s">
        <v>68</v>
      </c>
      <c r="E19465" s="3" t="s">
        <v>100</v>
      </c>
      <c r="F19465" s="7">
        <v>46121.53013446696</v>
      </c>
      <c r="G19465" s="3" t="s">
        <v>21945</v>
      </c>
    </row>
    <row r="19466">
      <c r="A19466" s="3" t="s">
        <v>35649</v>
      </c>
      <c r="B19466" s="3" t="s">
        <v>16173</v>
      </c>
      <c r="C19466" s="5" t="s">
        <v>45</v>
      </c>
      <c r="D19466" s="3" t="s">
        <v>221</v>
      </c>
      <c r="E19466" s="3" t="s">
        <v>462</v>
      </c>
      <c r="F19466" s="7">
        <v>46121.5908926457</v>
      </c>
      <c r="G19466" s="3" t="s">
        <v>13864</v>
      </c>
    </row>
    <row r="19467">
      <c r="A19467" s="3" t="s">
        <v>35650</v>
      </c>
      <c r="B19467" s="3" t="s">
        <v>16173</v>
      </c>
      <c r="C19467" s="5" t="s">
        <v>221</v>
      </c>
      <c r="D19467" s="3" t="s">
        <v>614</v>
      </c>
      <c r="E19467" s="3" t="s">
        <v>118</v>
      </c>
      <c r="F19467" s="7">
        <v>46121.59436486792</v>
      </c>
      <c r="G19467" s="3" t="s">
        <v>23985</v>
      </c>
    </row>
    <row r="19468">
      <c r="A19468" s="3" t="s">
        <v>35651</v>
      </c>
      <c r="B19468" s="3" t="s">
        <v>16173</v>
      </c>
      <c r="C19468" s="5" t="s">
        <v>614</v>
      </c>
      <c r="D19468" s="3" t="s">
        <v>206</v>
      </c>
      <c r="E19468" s="3" t="s">
        <v>100</v>
      </c>
      <c r="F19468" s="7">
        <v>46121.59783709014</v>
      </c>
      <c r="G19468" s="3" t="s">
        <v>23987</v>
      </c>
    </row>
    <row r="19469">
      <c r="A19469" s="3" t="s">
        <v>35652</v>
      </c>
      <c r="B19469" s="3" t="s">
        <v>16173</v>
      </c>
      <c r="C19469" s="5" t="s">
        <v>206</v>
      </c>
      <c r="D19469" s="3" t="s">
        <v>68</v>
      </c>
      <c r="E19469" s="3" t="s">
        <v>100</v>
      </c>
      <c r="F19469" s="7">
        <v>46121.60130931236</v>
      </c>
      <c r="G19469" s="3" t="s">
        <v>23989</v>
      </c>
    </row>
    <row r="19470">
      <c r="A19470" s="3" t="s">
        <v>35653</v>
      </c>
      <c r="B19470" s="3" t="s">
        <v>16177</v>
      </c>
      <c r="C19470" s="5" t="s">
        <v>45</v>
      </c>
      <c r="D19470" s="3" t="s">
        <v>221</v>
      </c>
      <c r="E19470" s="3" t="s">
        <v>581</v>
      </c>
      <c r="F19470" s="7">
        <v>46121.66206749112</v>
      </c>
      <c r="G19470" s="3" t="s">
        <v>14587</v>
      </c>
    </row>
    <row r="19471">
      <c r="A19471" s="3" t="s">
        <v>35654</v>
      </c>
      <c r="B19471" s="3" t="s">
        <v>16177</v>
      </c>
      <c r="C19471" s="5" t="s">
        <v>221</v>
      </c>
      <c r="D19471" s="3" t="s">
        <v>614</v>
      </c>
      <c r="E19471" s="3" t="s">
        <v>118</v>
      </c>
      <c r="F19471" s="7">
        <v>46121.665539713336</v>
      </c>
      <c r="G19471" s="3" t="s">
        <v>14590</v>
      </c>
    </row>
    <row r="19472">
      <c r="A19472" s="3" t="s">
        <v>35655</v>
      </c>
      <c r="B19472" s="3" t="s">
        <v>16177</v>
      </c>
      <c r="C19472" s="5" t="s">
        <v>614</v>
      </c>
      <c r="D19472" s="3" t="s">
        <v>206</v>
      </c>
      <c r="E19472" s="3" t="s">
        <v>100</v>
      </c>
      <c r="F19472" s="7">
        <v>46121.66901193556</v>
      </c>
      <c r="G19472" s="3" t="s">
        <v>14593</v>
      </c>
    </row>
    <row r="19473">
      <c r="A19473" s="3" t="s">
        <v>35656</v>
      </c>
      <c r="B19473" s="3" t="s">
        <v>16177</v>
      </c>
      <c r="C19473" s="5" t="s">
        <v>206</v>
      </c>
      <c r="D19473" s="3" t="s">
        <v>68</v>
      </c>
      <c r="E19473" s="3" t="s">
        <v>100</v>
      </c>
      <c r="F19473" s="7">
        <v>46121.67248415778</v>
      </c>
      <c r="G19473" s="3" t="s">
        <v>14595</v>
      </c>
    </row>
    <row r="19474">
      <c r="A19474" s="3" t="s">
        <v>35657</v>
      </c>
      <c r="B19474" s="3" t="s">
        <v>16180</v>
      </c>
      <c r="C19474" s="5" t="s">
        <v>45</v>
      </c>
      <c r="D19474" s="3" t="s">
        <v>221</v>
      </c>
      <c r="E19474" s="3" t="s">
        <v>424</v>
      </c>
      <c r="F19474" s="7">
        <v>46121.73324233654</v>
      </c>
      <c r="G19474" s="3" t="s">
        <v>20084</v>
      </c>
    </row>
    <row r="19475">
      <c r="A19475" s="3" t="s">
        <v>35658</v>
      </c>
      <c r="B19475" s="3" t="s">
        <v>16180</v>
      </c>
      <c r="C19475" s="5" t="s">
        <v>221</v>
      </c>
      <c r="D19475" s="3" t="s">
        <v>614</v>
      </c>
      <c r="E19475" s="3" t="s">
        <v>118</v>
      </c>
      <c r="F19475" s="7">
        <v>46121.736714558756</v>
      </c>
      <c r="G19475" s="3" t="s">
        <v>28162</v>
      </c>
    </row>
    <row r="19476">
      <c r="A19476" s="3" t="s">
        <v>35659</v>
      </c>
      <c r="B19476" s="3" t="s">
        <v>16180</v>
      </c>
      <c r="C19476" s="5" t="s">
        <v>614</v>
      </c>
      <c r="D19476" s="3" t="s">
        <v>206</v>
      </c>
      <c r="E19476" s="3" t="s">
        <v>100</v>
      </c>
      <c r="F19476" s="7">
        <v>46121.74018678098</v>
      </c>
      <c r="G19476" s="3" t="s">
        <v>28164</v>
      </c>
    </row>
    <row r="19477">
      <c r="A19477" s="3" t="s">
        <v>35660</v>
      </c>
      <c r="B19477" s="3" t="s">
        <v>16180</v>
      </c>
      <c r="C19477" s="5" t="s">
        <v>206</v>
      </c>
      <c r="D19477" s="3" t="s">
        <v>68</v>
      </c>
      <c r="E19477" s="3" t="s">
        <v>100</v>
      </c>
      <c r="F19477" s="7">
        <v>46121.7436590032</v>
      </c>
      <c r="G19477" s="3" t="s">
        <v>28166</v>
      </c>
    </row>
    <row r="19478">
      <c r="A19478" s="3" t="s">
        <v>35661</v>
      </c>
      <c r="B19478" s="3" t="s">
        <v>16183</v>
      </c>
      <c r="C19478" s="5" t="s">
        <v>45</v>
      </c>
      <c r="D19478" s="3" t="s">
        <v>221</v>
      </c>
      <c r="E19478" s="3" t="s">
        <v>383</v>
      </c>
      <c r="F19478" s="7">
        <v>46121.80441718195</v>
      </c>
      <c r="G19478" s="3" t="s">
        <v>24798</v>
      </c>
    </row>
    <row r="19479">
      <c r="A19479" s="3" t="s">
        <v>35662</v>
      </c>
      <c r="B19479" s="3" t="s">
        <v>16183</v>
      </c>
      <c r="C19479" s="5" t="s">
        <v>221</v>
      </c>
      <c r="D19479" s="3" t="s">
        <v>614</v>
      </c>
      <c r="E19479" s="3" t="s">
        <v>118</v>
      </c>
      <c r="F19479" s="7">
        <v>46121.80788940417</v>
      </c>
      <c r="G19479" s="3" t="s">
        <v>24800</v>
      </c>
    </row>
    <row r="19480">
      <c r="A19480" s="3" t="s">
        <v>35663</v>
      </c>
      <c r="B19480" s="3" t="s">
        <v>16183</v>
      </c>
      <c r="C19480" s="5" t="s">
        <v>614</v>
      </c>
      <c r="D19480" s="3" t="s">
        <v>206</v>
      </c>
      <c r="E19480" s="3" t="s">
        <v>100</v>
      </c>
      <c r="F19480" s="7">
        <v>46121.811361626395</v>
      </c>
      <c r="G19480" s="3" t="s">
        <v>24802</v>
      </c>
    </row>
    <row r="19481">
      <c r="A19481" s="3" t="s">
        <v>35664</v>
      </c>
      <c r="B19481" s="3" t="s">
        <v>16183</v>
      </c>
      <c r="C19481" s="5" t="s">
        <v>206</v>
      </c>
      <c r="D19481" s="3" t="s">
        <v>68</v>
      </c>
      <c r="E19481" s="3" t="s">
        <v>100</v>
      </c>
      <c r="F19481" s="7">
        <v>46121.81483384861</v>
      </c>
      <c r="G19481" s="3" t="s">
        <v>24804</v>
      </c>
    </row>
    <row r="19482">
      <c r="A19482" s="3" t="s">
        <v>35665</v>
      </c>
      <c r="B19482" s="3" t="s">
        <v>16187</v>
      </c>
      <c r="C19482" s="5" t="s">
        <v>45</v>
      </c>
      <c r="D19482" s="3" t="s">
        <v>221</v>
      </c>
      <c r="E19482" s="3" t="s">
        <v>193</v>
      </c>
      <c r="F19482" s="7">
        <v>46121.87559202736</v>
      </c>
      <c r="G19482" s="3" t="s">
        <v>8729</v>
      </c>
    </row>
    <row r="19483">
      <c r="A19483" s="3" t="s">
        <v>35666</v>
      </c>
      <c r="B19483" s="3" t="s">
        <v>16187</v>
      </c>
      <c r="C19483" s="5" t="s">
        <v>221</v>
      </c>
      <c r="D19483" s="3" t="s">
        <v>614</v>
      </c>
      <c r="E19483" s="3" t="s">
        <v>118</v>
      </c>
      <c r="F19483" s="7">
        <v>46121.87906424958</v>
      </c>
      <c r="G19483" s="3" t="s">
        <v>25830</v>
      </c>
    </row>
    <row r="19484">
      <c r="A19484" s="3" t="s">
        <v>35667</v>
      </c>
      <c r="B19484" s="3" t="s">
        <v>16187</v>
      </c>
      <c r="C19484" s="5" t="s">
        <v>614</v>
      </c>
      <c r="D19484" s="3" t="s">
        <v>206</v>
      </c>
      <c r="E19484" s="3" t="s">
        <v>100</v>
      </c>
      <c r="F19484" s="7">
        <v>46121.88253647181</v>
      </c>
      <c r="G19484" s="3" t="s">
        <v>25832</v>
      </c>
    </row>
    <row r="19485">
      <c r="A19485" s="3" t="s">
        <v>35668</v>
      </c>
      <c r="B19485" s="3" t="s">
        <v>16187</v>
      </c>
      <c r="C19485" s="5" t="s">
        <v>206</v>
      </c>
      <c r="D19485" s="3" t="s">
        <v>68</v>
      </c>
      <c r="E19485" s="3" t="s">
        <v>100</v>
      </c>
      <c r="F19485" s="7">
        <v>46121.886008694026</v>
      </c>
      <c r="G19485" s="3" t="s">
        <v>25834</v>
      </c>
    </row>
    <row r="19486">
      <c r="A19486" s="3" t="s">
        <v>35669</v>
      </c>
      <c r="B19486" s="3" t="s">
        <v>16189</v>
      </c>
      <c r="C19486" s="5" t="s">
        <v>45</v>
      </c>
      <c r="D19486" s="3" t="s">
        <v>221</v>
      </c>
      <c r="E19486" s="3" t="s">
        <v>600</v>
      </c>
      <c r="F19486" s="7">
        <v>46121.94676687278</v>
      </c>
      <c r="G19486" s="3" t="s">
        <v>29555</v>
      </c>
    </row>
    <row r="19487">
      <c r="A19487" s="3" t="s">
        <v>35670</v>
      </c>
      <c r="B19487" s="3" t="s">
        <v>16189</v>
      </c>
      <c r="C19487" s="5" t="s">
        <v>221</v>
      </c>
      <c r="D19487" s="3" t="s">
        <v>614</v>
      </c>
      <c r="E19487" s="3" t="s">
        <v>118</v>
      </c>
      <c r="F19487" s="7">
        <v>46121.950239095</v>
      </c>
      <c r="G19487" s="3" t="s">
        <v>29557</v>
      </c>
    </row>
    <row r="19488">
      <c r="A19488" s="3" t="s">
        <v>35671</v>
      </c>
      <c r="B19488" s="3" t="s">
        <v>16189</v>
      </c>
      <c r="C19488" s="5" t="s">
        <v>614</v>
      </c>
      <c r="D19488" s="3" t="s">
        <v>206</v>
      </c>
      <c r="E19488" s="3" t="s">
        <v>100</v>
      </c>
      <c r="F19488" s="7">
        <v>46121.95371131723</v>
      </c>
      <c r="G19488" s="3" t="s">
        <v>29559</v>
      </c>
    </row>
    <row r="19489">
      <c r="A19489" s="3" t="s">
        <v>35672</v>
      </c>
      <c r="B19489" s="3" t="s">
        <v>16189</v>
      </c>
      <c r="C19489" s="5" t="s">
        <v>206</v>
      </c>
      <c r="D19489" s="3" t="s">
        <v>68</v>
      </c>
      <c r="E19489" s="3" t="s">
        <v>100</v>
      </c>
      <c r="F19489" s="7">
        <v>46121.957183539445</v>
      </c>
      <c r="G19489" s="3" t="s">
        <v>29561</v>
      </c>
    </row>
    <row r="19490">
      <c r="A19490" s="3" t="s">
        <v>35673</v>
      </c>
      <c r="B19490" s="3" t="s">
        <v>16194</v>
      </c>
      <c r="C19490" s="5" t="s">
        <v>45</v>
      </c>
      <c r="D19490" s="3" t="s">
        <v>221</v>
      </c>
      <c r="E19490" s="3" t="s">
        <v>763</v>
      </c>
      <c r="F19490" s="7">
        <v>46122.01794171819</v>
      </c>
      <c r="G19490" s="3" t="s">
        <v>35674</v>
      </c>
    </row>
    <row r="19491">
      <c r="A19491" s="3" t="s">
        <v>35675</v>
      </c>
      <c r="B19491" s="3" t="s">
        <v>16194</v>
      </c>
      <c r="C19491" s="5" t="s">
        <v>221</v>
      </c>
      <c r="D19491" s="3" t="s">
        <v>614</v>
      </c>
      <c r="E19491" s="3" t="s">
        <v>118</v>
      </c>
      <c r="F19491" s="7">
        <v>46122.02141394041</v>
      </c>
      <c r="G19491" s="3" t="s">
        <v>35676</v>
      </c>
    </row>
    <row r="19492">
      <c r="A19492" s="3" t="s">
        <v>35677</v>
      </c>
      <c r="B19492" s="3" t="s">
        <v>16194</v>
      </c>
      <c r="C19492" s="5" t="s">
        <v>614</v>
      </c>
      <c r="D19492" s="3" t="s">
        <v>206</v>
      </c>
      <c r="E19492" s="3" t="s">
        <v>100</v>
      </c>
      <c r="F19492" s="7">
        <v>46122.02488616264</v>
      </c>
      <c r="G19492" s="3" t="s">
        <v>35678</v>
      </c>
    </row>
    <row r="19493">
      <c r="A19493" s="3" t="s">
        <v>35679</v>
      </c>
      <c r="B19493" s="3" t="s">
        <v>16194</v>
      </c>
      <c r="C19493" s="5" t="s">
        <v>206</v>
      </c>
      <c r="D19493" s="3" t="s">
        <v>68</v>
      </c>
      <c r="E19493" s="3" t="s">
        <v>100</v>
      </c>
      <c r="F19493" s="7">
        <v>46122.02835838486</v>
      </c>
      <c r="G19493" s="3" t="s">
        <v>35680</v>
      </c>
    </row>
    <row r="19494">
      <c r="A19494" s="3" t="s">
        <v>35681</v>
      </c>
      <c r="B19494" s="3" t="s">
        <v>16197</v>
      </c>
      <c r="C19494" s="5" t="s">
        <v>45</v>
      </c>
      <c r="D19494" s="3" t="s">
        <v>221</v>
      </c>
      <c r="E19494" s="3" t="s">
        <v>219</v>
      </c>
      <c r="F19494" s="7">
        <v>46122.089116563606</v>
      </c>
      <c r="G19494" s="3" t="s">
        <v>32165</v>
      </c>
    </row>
    <row r="19495">
      <c r="A19495" s="3" t="s">
        <v>35682</v>
      </c>
      <c r="B19495" s="3" t="s">
        <v>16197</v>
      </c>
      <c r="C19495" s="5" t="s">
        <v>221</v>
      </c>
      <c r="D19495" s="3" t="s">
        <v>614</v>
      </c>
      <c r="E19495" s="3" t="s">
        <v>118</v>
      </c>
      <c r="F19495" s="7">
        <v>46122.092588785825</v>
      </c>
      <c r="G19495" s="3" t="s">
        <v>32167</v>
      </c>
    </row>
    <row r="19496">
      <c r="A19496" s="3" t="s">
        <v>35683</v>
      </c>
      <c r="B19496" s="3" t="s">
        <v>16197</v>
      </c>
      <c r="C19496" s="5" t="s">
        <v>614</v>
      </c>
      <c r="D19496" s="3" t="s">
        <v>206</v>
      </c>
      <c r="E19496" s="3" t="s">
        <v>100</v>
      </c>
      <c r="F19496" s="7">
        <v>46122.09606100805</v>
      </c>
      <c r="G19496" s="3" t="s">
        <v>32169</v>
      </c>
    </row>
    <row r="19497">
      <c r="A19497" s="3" t="s">
        <v>35684</v>
      </c>
      <c r="B19497" s="3" t="s">
        <v>16197</v>
      </c>
      <c r="C19497" s="5" t="s">
        <v>206</v>
      </c>
      <c r="D19497" s="3" t="s">
        <v>68</v>
      </c>
      <c r="E19497" s="3" t="s">
        <v>100</v>
      </c>
      <c r="F19497" s="7">
        <v>46122.09953323027</v>
      </c>
      <c r="G19497" s="3" t="s">
        <v>32171</v>
      </c>
    </row>
    <row r="19498">
      <c r="A19498" s="3" t="s">
        <v>35685</v>
      </c>
      <c r="B19498" s="3" t="s">
        <v>16200</v>
      </c>
      <c r="C19498" s="5" t="s">
        <v>45</v>
      </c>
      <c r="D19498" s="3" t="s">
        <v>221</v>
      </c>
      <c r="E19498" s="3" t="s">
        <v>519</v>
      </c>
      <c r="F19498" s="7">
        <v>46122.160291409025</v>
      </c>
      <c r="G19498" s="3" t="s">
        <v>17810</v>
      </c>
    </row>
    <row r="19499">
      <c r="A19499" s="3" t="s">
        <v>35686</v>
      </c>
      <c r="B19499" s="3" t="s">
        <v>16200</v>
      </c>
      <c r="C19499" s="5" t="s">
        <v>221</v>
      </c>
      <c r="D19499" s="3" t="s">
        <v>614</v>
      </c>
      <c r="E19499" s="3" t="s">
        <v>118</v>
      </c>
      <c r="F19499" s="7">
        <v>46122.163763631244</v>
      </c>
      <c r="G19499" s="3" t="s">
        <v>17813</v>
      </c>
    </row>
    <row r="19500">
      <c r="A19500" s="3" t="s">
        <v>35687</v>
      </c>
      <c r="B19500" s="3" t="s">
        <v>16200</v>
      </c>
      <c r="C19500" s="5" t="s">
        <v>614</v>
      </c>
      <c r="D19500" s="3" t="s">
        <v>206</v>
      </c>
      <c r="E19500" s="3" t="s">
        <v>100</v>
      </c>
      <c r="F19500" s="7">
        <v>46122.16723585347</v>
      </c>
      <c r="G19500" s="3" t="s">
        <v>17816</v>
      </c>
    </row>
    <row r="19501">
      <c r="A19501" s="3" t="s">
        <v>35688</v>
      </c>
      <c r="B19501" s="3" t="s">
        <v>16200</v>
      </c>
      <c r="C19501" s="5" t="s">
        <v>206</v>
      </c>
      <c r="D19501" s="3" t="s">
        <v>68</v>
      </c>
      <c r="E19501" s="3" t="s">
        <v>100</v>
      </c>
      <c r="F19501" s="7">
        <v>46122.17070807569</v>
      </c>
      <c r="G19501" s="3" t="s">
        <v>17819</v>
      </c>
    </row>
    <row r="19502">
      <c r="A19502" s="3" t="s">
        <v>35689</v>
      </c>
      <c r="B19502" s="3" t="s">
        <v>16204</v>
      </c>
      <c r="C19502" s="5" t="s">
        <v>45</v>
      </c>
      <c r="D19502" s="3" t="s">
        <v>221</v>
      </c>
      <c r="E19502" s="3" t="s">
        <v>793</v>
      </c>
      <c r="F19502" s="7">
        <v>46122.23146625444</v>
      </c>
      <c r="G19502" s="3" t="s">
        <v>9616</v>
      </c>
    </row>
    <row r="19503">
      <c r="A19503" s="3" t="s">
        <v>35690</v>
      </c>
      <c r="B19503" s="3" t="s">
        <v>16204</v>
      </c>
      <c r="C19503" s="5" t="s">
        <v>221</v>
      </c>
      <c r="D19503" s="3" t="s">
        <v>614</v>
      </c>
      <c r="E19503" s="3" t="s">
        <v>118</v>
      </c>
      <c r="F19503" s="7">
        <v>46122.23493847666</v>
      </c>
      <c r="G19503" s="3" t="s">
        <v>9619</v>
      </c>
    </row>
    <row r="19504">
      <c r="A19504" s="3" t="s">
        <v>35691</v>
      </c>
      <c r="B19504" s="3" t="s">
        <v>16204</v>
      </c>
      <c r="C19504" s="5" t="s">
        <v>614</v>
      </c>
      <c r="D19504" s="3" t="s">
        <v>206</v>
      </c>
      <c r="E19504" s="3" t="s">
        <v>100</v>
      </c>
      <c r="F19504" s="7">
        <v>46122.23841069888</v>
      </c>
      <c r="G19504" s="3" t="s">
        <v>9622</v>
      </c>
    </row>
    <row r="19505">
      <c r="A19505" s="3" t="s">
        <v>35692</v>
      </c>
      <c r="B19505" s="3" t="s">
        <v>16204</v>
      </c>
      <c r="C19505" s="5" t="s">
        <v>206</v>
      </c>
      <c r="D19505" s="3" t="s">
        <v>68</v>
      </c>
      <c r="E19505" s="3" t="s">
        <v>100</v>
      </c>
      <c r="F19505" s="7">
        <v>46122.2418829211</v>
      </c>
      <c r="G19505" s="3" t="s">
        <v>9625</v>
      </c>
    </row>
    <row r="19506">
      <c r="A19506" s="3" t="s">
        <v>35693</v>
      </c>
      <c r="B19506" s="3" t="s">
        <v>16208</v>
      </c>
      <c r="C19506" s="5" t="s">
        <v>45</v>
      </c>
      <c r="D19506" s="3" t="s">
        <v>221</v>
      </c>
      <c r="E19506" s="3" t="s">
        <v>202</v>
      </c>
      <c r="F19506" s="7">
        <v>46122.30264109985</v>
      </c>
      <c r="G19506" s="3" t="s">
        <v>34787</v>
      </c>
    </row>
    <row r="19507">
      <c r="A19507" s="3" t="s">
        <v>35694</v>
      </c>
      <c r="B19507" s="3" t="s">
        <v>16208</v>
      </c>
      <c r="C19507" s="5" t="s">
        <v>221</v>
      </c>
      <c r="D19507" s="3" t="s">
        <v>614</v>
      </c>
      <c r="E19507" s="3" t="s">
        <v>118</v>
      </c>
      <c r="F19507" s="7">
        <v>46122.30611332207</v>
      </c>
      <c r="G19507" s="3" t="s">
        <v>34789</v>
      </c>
    </row>
    <row r="19508">
      <c r="A19508" s="3" t="s">
        <v>35695</v>
      </c>
      <c r="B19508" s="3" t="s">
        <v>16208</v>
      </c>
      <c r="C19508" s="5" t="s">
        <v>614</v>
      </c>
      <c r="D19508" s="3" t="s">
        <v>206</v>
      </c>
      <c r="E19508" s="3" t="s">
        <v>100</v>
      </c>
      <c r="F19508" s="7">
        <v>46122.309585544295</v>
      </c>
      <c r="G19508" s="3" t="s">
        <v>34791</v>
      </c>
    </row>
    <row r="19509">
      <c r="A19509" s="3" t="s">
        <v>35696</v>
      </c>
      <c r="B19509" s="3" t="s">
        <v>16208</v>
      </c>
      <c r="C19509" s="5" t="s">
        <v>206</v>
      </c>
      <c r="D19509" s="3" t="s">
        <v>68</v>
      </c>
      <c r="E19509" s="3" t="s">
        <v>100</v>
      </c>
      <c r="F19509" s="7">
        <v>46122.313057766514</v>
      </c>
      <c r="G19509" s="3" t="s">
        <v>34793</v>
      </c>
    </row>
    <row r="19510">
      <c r="A19510" s="3" t="s">
        <v>35697</v>
      </c>
      <c r="B19510" s="3" t="s">
        <v>16211</v>
      </c>
      <c r="C19510" s="5" t="s">
        <v>45</v>
      </c>
      <c r="D19510" s="3" t="s">
        <v>221</v>
      </c>
      <c r="E19510" s="3" t="s">
        <v>601</v>
      </c>
      <c r="F19510" s="7">
        <v>46122.37381594527</v>
      </c>
      <c r="G19510" s="3" t="s">
        <v>10467</v>
      </c>
    </row>
    <row r="19511">
      <c r="A19511" s="3" t="s">
        <v>35698</v>
      </c>
      <c r="B19511" s="3" t="s">
        <v>16211</v>
      </c>
      <c r="C19511" s="5" t="s">
        <v>221</v>
      </c>
      <c r="D19511" s="3" t="s">
        <v>614</v>
      </c>
      <c r="E19511" s="3" t="s">
        <v>118</v>
      </c>
      <c r="F19511" s="7">
        <v>46122.37728816749</v>
      </c>
      <c r="G19511" s="3" t="s">
        <v>10470</v>
      </c>
    </row>
    <row r="19512">
      <c r="A19512" s="3" t="s">
        <v>35699</v>
      </c>
      <c r="B19512" s="3" t="s">
        <v>16211</v>
      </c>
      <c r="C19512" s="5" t="s">
        <v>614</v>
      </c>
      <c r="D19512" s="3" t="s">
        <v>206</v>
      </c>
      <c r="E19512" s="3" t="s">
        <v>100</v>
      </c>
      <c r="F19512" s="7">
        <v>46122.380760389715</v>
      </c>
      <c r="G19512" s="3" t="s">
        <v>10473</v>
      </c>
    </row>
    <row r="19513">
      <c r="A19513" s="3" t="s">
        <v>35700</v>
      </c>
      <c r="B19513" s="3" t="s">
        <v>16211</v>
      </c>
      <c r="C19513" s="5" t="s">
        <v>206</v>
      </c>
      <c r="D19513" s="3" t="s">
        <v>68</v>
      </c>
      <c r="E19513" s="3" t="s">
        <v>100</v>
      </c>
      <c r="F19513" s="7">
        <v>46122.384232611934</v>
      </c>
      <c r="G19513" s="3" t="s">
        <v>10475</v>
      </c>
    </row>
    <row r="19514">
      <c r="A19514" s="3" t="s">
        <v>35701</v>
      </c>
      <c r="B19514" s="3" t="s">
        <v>16214</v>
      </c>
      <c r="C19514" s="5" t="s">
        <v>45</v>
      </c>
      <c r="D19514" s="3" t="s">
        <v>221</v>
      </c>
      <c r="E19514" s="3" t="s">
        <v>527</v>
      </c>
      <c r="F19514" s="7">
        <v>46122.44499079068</v>
      </c>
      <c r="G19514" s="3" t="s">
        <v>11756</v>
      </c>
    </row>
    <row r="19515">
      <c r="A19515" s="3" t="s">
        <v>35702</v>
      </c>
      <c r="B19515" s="3" t="s">
        <v>16214</v>
      </c>
      <c r="C19515" s="5" t="s">
        <v>221</v>
      </c>
      <c r="D19515" s="3" t="s">
        <v>614</v>
      </c>
      <c r="E19515" s="3" t="s">
        <v>118</v>
      </c>
      <c r="F19515" s="7">
        <v>46122.4484630129</v>
      </c>
      <c r="G19515" s="3" t="s">
        <v>11759</v>
      </c>
    </row>
    <row r="19516">
      <c r="A19516" s="3" t="s">
        <v>35703</v>
      </c>
      <c r="B19516" s="3" t="s">
        <v>16214</v>
      </c>
      <c r="C19516" s="5" t="s">
        <v>614</v>
      </c>
      <c r="D19516" s="3" t="s">
        <v>206</v>
      </c>
      <c r="E19516" s="3" t="s">
        <v>100</v>
      </c>
      <c r="F19516" s="7">
        <v>46122.45193523513</v>
      </c>
      <c r="G19516" s="3" t="s">
        <v>11762</v>
      </c>
    </row>
    <row r="19517">
      <c r="A19517" s="3" t="s">
        <v>35704</v>
      </c>
      <c r="B19517" s="3" t="s">
        <v>16214</v>
      </c>
      <c r="C19517" s="5" t="s">
        <v>206</v>
      </c>
      <c r="D19517" s="3" t="s">
        <v>68</v>
      </c>
      <c r="E19517" s="3" t="s">
        <v>100</v>
      </c>
      <c r="F19517" s="7">
        <v>46122.455407457346</v>
      </c>
      <c r="G19517" s="3" t="s">
        <v>11765</v>
      </c>
    </row>
    <row r="19518">
      <c r="A19518" s="3" t="s">
        <v>35705</v>
      </c>
      <c r="B19518" s="3" t="s">
        <v>16217</v>
      </c>
      <c r="C19518" s="5" t="s">
        <v>45</v>
      </c>
      <c r="D19518" s="3" t="s">
        <v>221</v>
      </c>
      <c r="E19518" s="3" t="s">
        <v>359</v>
      </c>
      <c r="F19518" s="7">
        <v>46122.516165636094</v>
      </c>
      <c r="G19518" s="3" t="s">
        <v>14148</v>
      </c>
    </row>
    <row r="19519">
      <c r="A19519" s="3" t="s">
        <v>35706</v>
      </c>
      <c r="B19519" s="3" t="s">
        <v>16217</v>
      </c>
      <c r="C19519" s="5" t="s">
        <v>221</v>
      </c>
      <c r="D19519" s="3" t="s">
        <v>614</v>
      </c>
      <c r="E19519" s="3" t="s">
        <v>118</v>
      </c>
      <c r="F19519" s="7">
        <v>46122.51963785831</v>
      </c>
      <c r="G19519" s="3" t="s">
        <v>14150</v>
      </c>
    </row>
    <row r="19520">
      <c r="A19520" s="3" t="s">
        <v>35707</v>
      </c>
      <c r="B19520" s="3" t="s">
        <v>16217</v>
      </c>
      <c r="C19520" s="5" t="s">
        <v>614</v>
      </c>
      <c r="D19520" s="3" t="s">
        <v>206</v>
      </c>
      <c r="E19520" s="3" t="s">
        <v>100</v>
      </c>
      <c r="F19520" s="7">
        <v>46122.52311008054</v>
      </c>
      <c r="G19520" s="3" t="s">
        <v>14153</v>
      </c>
    </row>
    <row r="19521">
      <c r="A19521" s="3" t="s">
        <v>35708</v>
      </c>
      <c r="B19521" s="3" t="s">
        <v>16217</v>
      </c>
      <c r="C19521" s="5" t="s">
        <v>206</v>
      </c>
      <c r="D19521" s="3" t="s">
        <v>68</v>
      </c>
      <c r="E19521" s="3" t="s">
        <v>100</v>
      </c>
      <c r="F19521" s="7">
        <v>46122.52658230276</v>
      </c>
      <c r="G19521" s="3" t="s">
        <v>14156</v>
      </c>
    </row>
    <row r="19522">
      <c r="A19522" s="3" t="s">
        <v>35709</v>
      </c>
      <c r="B19522" s="3" t="s">
        <v>16222</v>
      </c>
      <c r="C19522" s="5" t="s">
        <v>45</v>
      </c>
      <c r="D19522" s="3" t="s">
        <v>221</v>
      </c>
      <c r="E19522" s="3" t="s">
        <v>725</v>
      </c>
      <c r="F19522" s="7">
        <v>46122.587340481514</v>
      </c>
      <c r="G19522" s="3" t="s">
        <v>14062</v>
      </c>
    </row>
    <row r="19523">
      <c r="A19523" s="3" t="s">
        <v>35710</v>
      </c>
      <c r="B19523" s="3" t="s">
        <v>16222</v>
      </c>
      <c r="C19523" s="5" t="s">
        <v>221</v>
      </c>
      <c r="D19523" s="3" t="s">
        <v>614</v>
      </c>
      <c r="E19523" s="3" t="s">
        <v>118</v>
      </c>
      <c r="F19523" s="7">
        <v>46122.59081270373</v>
      </c>
      <c r="G19523" s="3" t="s">
        <v>14065</v>
      </c>
    </row>
    <row r="19524">
      <c r="A19524" s="3" t="s">
        <v>35711</v>
      </c>
      <c r="B19524" s="3" t="s">
        <v>16222</v>
      </c>
      <c r="C19524" s="5" t="s">
        <v>614</v>
      </c>
      <c r="D19524" s="3" t="s">
        <v>206</v>
      </c>
      <c r="E19524" s="3" t="s">
        <v>100</v>
      </c>
      <c r="F19524" s="7">
        <v>46122.59428492596</v>
      </c>
      <c r="G19524" s="3" t="s">
        <v>14068</v>
      </c>
    </row>
    <row r="19525">
      <c r="A19525" s="3" t="s">
        <v>35712</v>
      </c>
      <c r="B19525" s="3" t="s">
        <v>16222</v>
      </c>
      <c r="C19525" s="5" t="s">
        <v>206</v>
      </c>
      <c r="D19525" s="3" t="s">
        <v>68</v>
      </c>
      <c r="E19525" s="3" t="s">
        <v>100</v>
      </c>
      <c r="F19525" s="7">
        <v>46122.59775714818</v>
      </c>
      <c r="G19525" s="3" t="s">
        <v>14070</v>
      </c>
    </row>
    <row r="19526">
      <c r="A19526" s="3" t="s">
        <v>35713</v>
      </c>
      <c r="B19526" s="3" t="s">
        <v>16224</v>
      </c>
      <c r="C19526" s="5" t="s">
        <v>45</v>
      </c>
      <c r="D19526" s="3" t="s">
        <v>221</v>
      </c>
      <c r="E19526" s="3" t="s">
        <v>488</v>
      </c>
      <c r="F19526" s="7">
        <v>46122.65851532693</v>
      </c>
      <c r="G19526" s="3" t="s">
        <v>21166</v>
      </c>
    </row>
    <row r="19527">
      <c r="A19527" s="3" t="s">
        <v>35714</v>
      </c>
      <c r="B19527" s="3" t="s">
        <v>16224</v>
      </c>
      <c r="C19527" s="5" t="s">
        <v>221</v>
      </c>
      <c r="D19527" s="3" t="s">
        <v>614</v>
      </c>
      <c r="E19527" s="3" t="s">
        <v>118</v>
      </c>
      <c r="F19527" s="7">
        <v>46122.66198754915</v>
      </c>
      <c r="G19527" s="3" t="s">
        <v>21169</v>
      </c>
    </row>
    <row r="19528">
      <c r="A19528" s="3" t="s">
        <v>35715</v>
      </c>
      <c r="B19528" s="3" t="s">
        <v>16224</v>
      </c>
      <c r="C19528" s="5" t="s">
        <v>614</v>
      </c>
      <c r="D19528" s="3" t="s">
        <v>206</v>
      </c>
      <c r="E19528" s="3" t="s">
        <v>100</v>
      </c>
      <c r="F19528" s="7">
        <v>46122.66545977138</v>
      </c>
      <c r="G19528" s="3" t="s">
        <v>21171</v>
      </c>
    </row>
    <row r="19529">
      <c r="A19529" s="3" t="s">
        <v>35716</v>
      </c>
      <c r="B19529" s="3" t="s">
        <v>16224</v>
      </c>
      <c r="C19529" s="5" t="s">
        <v>206</v>
      </c>
      <c r="D19529" s="3" t="s">
        <v>68</v>
      </c>
      <c r="E19529" s="3" t="s">
        <v>100</v>
      </c>
      <c r="F19529" s="7">
        <v>46122.6689319936</v>
      </c>
      <c r="G19529" s="3" t="s">
        <v>21174</v>
      </c>
    </row>
    <row r="19530">
      <c r="A19530" s="3" t="s">
        <v>35717</v>
      </c>
      <c r="B19530" s="3" t="s">
        <v>16226</v>
      </c>
      <c r="C19530" s="5" t="s">
        <v>45</v>
      </c>
      <c r="D19530" s="3" t="s">
        <v>221</v>
      </c>
      <c r="E19530" s="3" t="s">
        <v>929</v>
      </c>
      <c r="F19530" s="7">
        <v>46122.72969017234</v>
      </c>
      <c r="G19530" s="3" t="s">
        <v>32881</v>
      </c>
    </row>
    <row r="19531">
      <c r="A19531" s="3" t="s">
        <v>35718</v>
      </c>
      <c r="B19531" s="3" t="s">
        <v>16226</v>
      </c>
      <c r="C19531" s="5" t="s">
        <v>221</v>
      </c>
      <c r="D19531" s="3" t="s">
        <v>614</v>
      </c>
      <c r="E19531" s="3" t="s">
        <v>118</v>
      </c>
      <c r="F19531" s="7">
        <v>46122.73316239456</v>
      </c>
      <c r="G19531" s="3" t="s">
        <v>32883</v>
      </c>
    </row>
    <row r="19532">
      <c r="A19532" s="3" t="s">
        <v>35719</v>
      </c>
      <c r="B19532" s="3" t="s">
        <v>16226</v>
      </c>
      <c r="C19532" s="5" t="s">
        <v>614</v>
      </c>
      <c r="D19532" s="3" t="s">
        <v>206</v>
      </c>
      <c r="E19532" s="3" t="s">
        <v>100</v>
      </c>
      <c r="F19532" s="7">
        <v>46122.736634616784</v>
      </c>
      <c r="G19532" s="3" t="s">
        <v>32885</v>
      </c>
    </row>
    <row r="19533">
      <c r="A19533" s="3" t="s">
        <v>35720</v>
      </c>
      <c r="B19533" s="3" t="s">
        <v>16226</v>
      </c>
      <c r="C19533" s="5" t="s">
        <v>206</v>
      </c>
      <c r="D19533" s="3" t="s">
        <v>68</v>
      </c>
      <c r="E19533" s="3" t="s">
        <v>100</v>
      </c>
      <c r="F19533" s="7">
        <v>46122.740106839</v>
      </c>
      <c r="G19533" s="3" t="s">
        <v>32887</v>
      </c>
    </row>
    <row r="19534">
      <c r="A19534" s="3" t="s">
        <v>35721</v>
      </c>
      <c r="B19534" s="3" t="s">
        <v>16228</v>
      </c>
      <c r="C19534" s="5" t="s">
        <v>45</v>
      </c>
      <c r="D19534" s="3" t="s">
        <v>221</v>
      </c>
      <c r="E19534" s="3" t="s">
        <v>911</v>
      </c>
      <c r="F19534" s="7">
        <v>46122.80086501776</v>
      </c>
      <c r="G19534" s="3" t="s">
        <v>28535</v>
      </c>
    </row>
    <row r="19535">
      <c r="A19535" s="3" t="s">
        <v>35722</v>
      </c>
      <c r="B19535" s="3" t="s">
        <v>16228</v>
      </c>
      <c r="C19535" s="5" t="s">
        <v>221</v>
      </c>
      <c r="D19535" s="3" t="s">
        <v>614</v>
      </c>
      <c r="E19535" s="3" t="s">
        <v>118</v>
      </c>
      <c r="F19535" s="7">
        <v>46122.80433723998</v>
      </c>
      <c r="G19535" s="3" t="s">
        <v>28537</v>
      </c>
    </row>
    <row r="19536">
      <c r="A19536" s="3" t="s">
        <v>35723</v>
      </c>
      <c r="B19536" s="3" t="s">
        <v>16228</v>
      </c>
      <c r="C19536" s="5" t="s">
        <v>614</v>
      </c>
      <c r="D19536" s="3" t="s">
        <v>206</v>
      </c>
      <c r="E19536" s="3" t="s">
        <v>100</v>
      </c>
      <c r="F19536" s="7">
        <v>46122.8078094622</v>
      </c>
      <c r="G19536" s="3" t="s">
        <v>28539</v>
      </c>
    </row>
    <row r="19537">
      <c r="A19537" s="3" t="s">
        <v>35724</v>
      </c>
      <c r="B19537" s="3" t="s">
        <v>16228</v>
      </c>
      <c r="C19537" s="5" t="s">
        <v>206</v>
      </c>
      <c r="D19537" s="3" t="s">
        <v>68</v>
      </c>
      <c r="E19537" s="3" t="s">
        <v>100</v>
      </c>
      <c r="F19537" s="7">
        <v>46122.81128168442</v>
      </c>
      <c r="G19537" s="3" t="s">
        <v>28541</v>
      </c>
    </row>
    <row r="19538">
      <c r="A19538" s="3" t="s">
        <v>35725</v>
      </c>
      <c r="B19538" s="3" t="s">
        <v>16230</v>
      </c>
      <c r="C19538" s="5" t="s">
        <v>45</v>
      </c>
      <c r="D19538" s="3" t="s">
        <v>221</v>
      </c>
      <c r="E19538" s="3" t="s">
        <v>864</v>
      </c>
      <c r="F19538" s="7">
        <v>46122.87203986318</v>
      </c>
      <c r="G19538" s="3" t="s">
        <v>14609</v>
      </c>
    </row>
    <row r="19539">
      <c r="A19539" s="3" t="s">
        <v>35726</v>
      </c>
      <c r="B19539" s="3" t="s">
        <v>16230</v>
      </c>
      <c r="C19539" s="5" t="s">
        <v>221</v>
      </c>
      <c r="D19539" s="3" t="s">
        <v>614</v>
      </c>
      <c r="E19539" s="3" t="s">
        <v>118</v>
      </c>
      <c r="F19539" s="7">
        <v>46122.8755120854</v>
      </c>
      <c r="G19539" s="3" t="s">
        <v>14612</v>
      </c>
    </row>
    <row r="19540">
      <c r="A19540" s="3" t="s">
        <v>35727</v>
      </c>
      <c r="B19540" s="3" t="s">
        <v>16230</v>
      </c>
      <c r="C19540" s="5" t="s">
        <v>614</v>
      </c>
      <c r="D19540" s="3" t="s">
        <v>206</v>
      </c>
      <c r="E19540" s="3" t="s">
        <v>100</v>
      </c>
      <c r="F19540" s="7">
        <v>46122.87898430762</v>
      </c>
      <c r="G19540" s="3" t="s">
        <v>14615</v>
      </c>
    </row>
    <row r="19541">
      <c r="A19541" s="3" t="s">
        <v>35728</v>
      </c>
      <c r="B19541" s="3" t="s">
        <v>16230</v>
      </c>
      <c r="C19541" s="5" t="s">
        <v>206</v>
      </c>
      <c r="D19541" s="3" t="s">
        <v>68</v>
      </c>
      <c r="E19541" s="3" t="s">
        <v>100</v>
      </c>
      <c r="F19541" s="7">
        <v>46122.88245652984</v>
      </c>
      <c r="G19541" s="3" t="s">
        <v>14618</v>
      </c>
    </row>
    <row r="19542">
      <c r="A19542" s="3" t="s">
        <v>35729</v>
      </c>
      <c r="B19542" s="3" t="s">
        <v>16232</v>
      </c>
      <c r="C19542" s="5" t="s">
        <v>45</v>
      </c>
      <c r="D19542" s="3" t="s">
        <v>221</v>
      </c>
      <c r="E19542" s="3" t="s">
        <v>1021</v>
      </c>
      <c r="F19542" s="7">
        <v>46122.94321470859</v>
      </c>
      <c r="G19542" s="3" t="s">
        <v>2770</v>
      </c>
    </row>
    <row r="19543">
      <c r="A19543" s="3" t="s">
        <v>35730</v>
      </c>
      <c r="B19543" s="3" t="s">
        <v>16232</v>
      </c>
      <c r="C19543" s="5" t="s">
        <v>221</v>
      </c>
      <c r="D19543" s="3" t="s">
        <v>181</v>
      </c>
      <c r="E19543" s="3" t="s">
        <v>118</v>
      </c>
      <c r="F19543" s="7">
        <v>46122.94668693081</v>
      </c>
      <c r="G19543" s="3" t="s">
        <v>2774</v>
      </c>
    </row>
    <row r="19544">
      <c r="A19544" s="3" t="s">
        <v>35731</v>
      </c>
      <c r="B19544" s="3" t="s">
        <v>16234</v>
      </c>
      <c r="C19544" s="5" t="s">
        <v>45</v>
      </c>
      <c r="D19544" s="3" t="s">
        <v>221</v>
      </c>
      <c r="E19544" s="3" t="s">
        <v>175</v>
      </c>
      <c r="F19544" s="7">
        <v>46123.014389554</v>
      </c>
      <c r="G19544" s="3" t="s">
        <v>14629</v>
      </c>
    </row>
    <row r="19545">
      <c r="A19545" s="3" t="s">
        <v>35732</v>
      </c>
      <c r="B19545" s="3" t="s">
        <v>16234</v>
      </c>
      <c r="C19545" s="5" t="s">
        <v>221</v>
      </c>
      <c r="D19545" s="3" t="s">
        <v>614</v>
      </c>
      <c r="E19545" s="3" t="s">
        <v>118</v>
      </c>
      <c r="F19545" s="7">
        <v>46123.01786177622</v>
      </c>
      <c r="G19545" s="3" t="s">
        <v>14632</v>
      </c>
    </row>
    <row r="19546">
      <c r="A19546" s="3" t="s">
        <v>35733</v>
      </c>
      <c r="B19546" s="3" t="s">
        <v>16234</v>
      </c>
      <c r="C19546" s="5" t="s">
        <v>614</v>
      </c>
      <c r="D19546" s="3" t="s">
        <v>206</v>
      </c>
      <c r="E19546" s="3" t="s">
        <v>100</v>
      </c>
      <c r="F19546" s="7">
        <v>46123.02133399845</v>
      </c>
      <c r="G19546" s="3" t="s">
        <v>14634</v>
      </c>
    </row>
    <row r="19547">
      <c r="A19547" s="3" t="s">
        <v>35734</v>
      </c>
      <c r="B19547" s="3" t="s">
        <v>16234</v>
      </c>
      <c r="C19547" s="5" t="s">
        <v>206</v>
      </c>
      <c r="D19547" s="3" t="s">
        <v>68</v>
      </c>
      <c r="E19547" s="3" t="s">
        <v>100</v>
      </c>
      <c r="F19547" s="7">
        <v>46123.02480622067</v>
      </c>
      <c r="G19547" s="3" t="s">
        <v>14637</v>
      </c>
    </row>
    <row r="19548">
      <c r="A19548" s="3" t="s">
        <v>35735</v>
      </c>
      <c r="B19548" s="3" t="s">
        <v>16237</v>
      </c>
      <c r="C19548" s="5" t="s">
        <v>45</v>
      </c>
      <c r="D19548" s="3" t="s">
        <v>221</v>
      </c>
      <c r="E19548" s="3" t="s">
        <v>685</v>
      </c>
      <c r="F19548" s="7">
        <v>46123.08556439942</v>
      </c>
      <c r="G19548" s="3" t="s">
        <v>6374</v>
      </c>
    </row>
    <row r="19549">
      <c r="A19549" s="3" t="s">
        <v>35736</v>
      </c>
      <c r="B19549" s="3" t="s">
        <v>16237</v>
      </c>
      <c r="C19549" s="5" t="s">
        <v>221</v>
      </c>
      <c r="D19549" s="3" t="s">
        <v>614</v>
      </c>
      <c r="E19549" s="3" t="s">
        <v>118</v>
      </c>
      <c r="F19549" s="7">
        <v>46123.08903662164</v>
      </c>
      <c r="G19549" s="3" t="s">
        <v>6456</v>
      </c>
    </row>
    <row r="19550">
      <c r="A19550" s="3" t="s">
        <v>35737</v>
      </c>
      <c r="B19550" s="3" t="s">
        <v>16237</v>
      </c>
      <c r="C19550" s="5" t="s">
        <v>614</v>
      </c>
      <c r="D19550" s="3" t="s">
        <v>206</v>
      </c>
      <c r="E19550" s="3" t="s">
        <v>100</v>
      </c>
      <c r="F19550" s="7">
        <v>46123.09250884387</v>
      </c>
      <c r="G19550" s="3" t="s">
        <v>6458</v>
      </c>
    </row>
    <row r="19551">
      <c r="A19551" s="3" t="s">
        <v>35738</v>
      </c>
      <c r="B19551" s="3" t="s">
        <v>16237</v>
      </c>
      <c r="C19551" s="5" t="s">
        <v>206</v>
      </c>
      <c r="D19551" s="3" t="s">
        <v>68</v>
      </c>
      <c r="E19551" s="3" t="s">
        <v>100</v>
      </c>
      <c r="F19551" s="7">
        <v>46123.095981066086</v>
      </c>
      <c r="G19551" s="3" t="s">
        <v>6461</v>
      </c>
    </row>
    <row r="19552">
      <c r="A19552" s="3" t="s">
        <v>35739</v>
      </c>
      <c r="B19552" s="3" t="s">
        <v>16240</v>
      </c>
      <c r="C19552" s="5" t="s">
        <v>45</v>
      </c>
      <c r="D19552" s="3" t="s">
        <v>221</v>
      </c>
      <c r="E19552" s="3" t="s">
        <v>263</v>
      </c>
      <c r="F19552" s="7">
        <v>46123.156739244834</v>
      </c>
      <c r="G19552" s="3" t="s">
        <v>9096</v>
      </c>
    </row>
    <row r="19553">
      <c r="A19553" s="3" t="s">
        <v>35740</v>
      </c>
      <c r="B19553" s="3" t="s">
        <v>16240</v>
      </c>
      <c r="C19553" s="5" t="s">
        <v>221</v>
      </c>
      <c r="D19553" s="3" t="s">
        <v>614</v>
      </c>
      <c r="E19553" s="3" t="s">
        <v>118</v>
      </c>
      <c r="F19553" s="7">
        <v>46123.16021146705</v>
      </c>
      <c r="G19553" s="3" t="s">
        <v>9099</v>
      </c>
    </row>
    <row r="19554">
      <c r="A19554" s="3" t="s">
        <v>35741</v>
      </c>
      <c r="B19554" s="3" t="s">
        <v>16240</v>
      </c>
      <c r="C19554" s="5" t="s">
        <v>614</v>
      </c>
      <c r="D19554" s="3" t="s">
        <v>206</v>
      </c>
      <c r="E19554" s="3" t="s">
        <v>100</v>
      </c>
      <c r="F19554" s="7">
        <v>46123.16368368928</v>
      </c>
      <c r="G19554" s="3" t="s">
        <v>9102</v>
      </c>
    </row>
    <row r="19555">
      <c r="A19555" s="3" t="s">
        <v>35742</v>
      </c>
      <c r="B19555" s="3" t="s">
        <v>16240</v>
      </c>
      <c r="C19555" s="5" t="s">
        <v>206</v>
      </c>
      <c r="D19555" s="3" t="s">
        <v>68</v>
      </c>
      <c r="E19555" s="3" t="s">
        <v>100</v>
      </c>
      <c r="F19555" s="7">
        <v>46123.1671559115</v>
      </c>
      <c r="G19555" s="3" t="s">
        <v>9105</v>
      </c>
    </row>
    <row r="19556">
      <c r="A19556" s="3" t="s">
        <v>35743</v>
      </c>
      <c r="B19556" s="3" t="s">
        <v>16243</v>
      </c>
      <c r="C19556" s="5" t="s">
        <v>45</v>
      </c>
      <c r="D19556" s="3" t="s">
        <v>221</v>
      </c>
      <c r="E19556" s="3" t="s">
        <v>830</v>
      </c>
      <c r="F19556" s="7">
        <v>46123.22791409025</v>
      </c>
      <c r="G19556" s="3" t="s">
        <v>8805</v>
      </c>
    </row>
    <row r="19557">
      <c r="A19557" s="3" t="s">
        <v>35744</v>
      </c>
      <c r="B19557" s="3" t="s">
        <v>16243</v>
      </c>
      <c r="C19557" s="5" t="s">
        <v>221</v>
      </c>
      <c r="D19557" s="3" t="s">
        <v>195</v>
      </c>
      <c r="E19557" s="3" t="s">
        <v>830</v>
      </c>
      <c r="F19557" s="7">
        <v>46123.231386312465</v>
      </c>
      <c r="G19557" s="3" t="s">
        <v>35745</v>
      </c>
    </row>
    <row r="19558">
      <c r="A19558" s="3" t="s">
        <v>35746</v>
      </c>
      <c r="B19558" s="3" t="s">
        <v>16246</v>
      </c>
      <c r="C19558" s="5" t="s">
        <v>45</v>
      </c>
      <c r="D19558" s="3" t="s">
        <v>221</v>
      </c>
      <c r="E19558" s="3" t="s">
        <v>652</v>
      </c>
      <c r="F19558" s="7">
        <v>46123.299088935666</v>
      </c>
      <c r="G19558" s="3" t="s">
        <v>14641</v>
      </c>
    </row>
    <row r="19559">
      <c r="A19559" s="3" t="s">
        <v>35747</v>
      </c>
      <c r="B19559" s="3" t="s">
        <v>16246</v>
      </c>
      <c r="C19559" s="5" t="s">
        <v>221</v>
      </c>
      <c r="D19559" s="3" t="s">
        <v>614</v>
      </c>
      <c r="E19559" s="3" t="s">
        <v>118</v>
      </c>
      <c r="F19559" s="7">
        <v>46123.302561157885</v>
      </c>
      <c r="G19559" s="3" t="s">
        <v>14644</v>
      </c>
    </row>
    <row r="19560">
      <c r="A19560" s="3" t="s">
        <v>35748</v>
      </c>
      <c r="B19560" s="3" t="s">
        <v>16246</v>
      </c>
      <c r="C19560" s="5" t="s">
        <v>614</v>
      </c>
      <c r="D19560" s="3" t="s">
        <v>206</v>
      </c>
      <c r="E19560" s="3" t="s">
        <v>100</v>
      </c>
      <c r="F19560" s="7">
        <v>46123.30603338011</v>
      </c>
      <c r="G19560" s="3" t="s">
        <v>14646</v>
      </c>
    </row>
    <row r="19561">
      <c r="A19561" s="3" t="s">
        <v>35749</v>
      </c>
      <c r="B19561" s="3" t="s">
        <v>16246</v>
      </c>
      <c r="C19561" s="5" t="s">
        <v>206</v>
      </c>
      <c r="D19561" s="3" t="s">
        <v>68</v>
      </c>
      <c r="E19561" s="3" t="s">
        <v>100</v>
      </c>
      <c r="F19561" s="7">
        <v>46123.30950560233</v>
      </c>
      <c r="G19561" s="3" t="s">
        <v>14649</v>
      </c>
    </row>
    <row r="19562">
      <c r="A19562" s="3" t="s">
        <v>35750</v>
      </c>
      <c r="B19562" s="3" t="s">
        <v>16250</v>
      </c>
      <c r="C19562" s="5" t="s">
        <v>45</v>
      </c>
      <c r="D19562" s="3" t="s">
        <v>221</v>
      </c>
      <c r="E19562" s="3" t="s">
        <v>243</v>
      </c>
      <c r="F19562" s="7">
        <v>46123.370263781086</v>
      </c>
      <c r="G19562" s="3" t="s">
        <v>14656</v>
      </c>
    </row>
    <row r="19563">
      <c r="A19563" s="3" t="s">
        <v>35751</v>
      </c>
      <c r="B19563" s="3" t="s">
        <v>16250</v>
      </c>
      <c r="C19563" s="5" t="s">
        <v>221</v>
      </c>
      <c r="D19563" s="3" t="s">
        <v>614</v>
      </c>
      <c r="E19563" s="3" t="s">
        <v>118</v>
      </c>
      <c r="F19563" s="7">
        <v>46123.373736003305</v>
      </c>
      <c r="G19563" s="3" t="s">
        <v>14659</v>
      </c>
    </row>
    <row r="19564">
      <c r="A19564" s="3" t="s">
        <v>35752</v>
      </c>
      <c r="B19564" s="3" t="s">
        <v>16250</v>
      </c>
      <c r="C19564" s="5" t="s">
        <v>614</v>
      </c>
      <c r="D19564" s="3" t="s">
        <v>206</v>
      </c>
      <c r="E19564" s="3" t="s">
        <v>100</v>
      </c>
      <c r="F19564" s="7">
        <v>46123.37720822553</v>
      </c>
      <c r="G19564" s="3" t="s">
        <v>14662</v>
      </c>
    </row>
    <row r="19565">
      <c r="A19565" s="3" t="s">
        <v>35753</v>
      </c>
      <c r="B19565" s="3" t="s">
        <v>16250</v>
      </c>
      <c r="C19565" s="5" t="s">
        <v>206</v>
      </c>
      <c r="D19565" s="3" t="s">
        <v>68</v>
      </c>
      <c r="E19565" s="3" t="s">
        <v>100</v>
      </c>
      <c r="F19565" s="7">
        <v>46123.38068044775</v>
      </c>
      <c r="G19565" s="3" t="s">
        <v>14665</v>
      </c>
    </row>
    <row r="19566">
      <c r="A19566" s="3" t="s">
        <v>35754</v>
      </c>
      <c r="B19566" s="3" t="s">
        <v>16254</v>
      </c>
      <c r="C19566" s="5" t="s">
        <v>45</v>
      </c>
      <c r="D19566" s="3" t="s">
        <v>221</v>
      </c>
      <c r="E19566" s="3" t="s">
        <v>348</v>
      </c>
      <c r="F19566" s="7">
        <v>46123.44143862649</v>
      </c>
      <c r="G19566" s="3" t="s">
        <v>14790</v>
      </c>
    </row>
    <row r="19567">
      <c r="A19567" s="3" t="s">
        <v>35755</v>
      </c>
      <c r="B19567" s="3" t="s">
        <v>16254</v>
      </c>
      <c r="C19567" s="5" t="s">
        <v>221</v>
      </c>
      <c r="D19567" s="3" t="s">
        <v>614</v>
      </c>
      <c r="E19567" s="3" t="s">
        <v>118</v>
      </c>
      <c r="F19567" s="7">
        <v>46123.44491084871</v>
      </c>
      <c r="G19567" s="3" t="s">
        <v>14793</v>
      </c>
    </row>
    <row r="19568">
      <c r="A19568" s="3" t="s">
        <v>35756</v>
      </c>
      <c r="B19568" s="3" t="s">
        <v>16254</v>
      </c>
      <c r="C19568" s="5" t="s">
        <v>614</v>
      </c>
      <c r="D19568" s="3" t="s">
        <v>206</v>
      </c>
      <c r="E19568" s="3" t="s">
        <v>100</v>
      </c>
      <c r="F19568" s="7">
        <v>46123.448383070936</v>
      </c>
      <c r="G19568" s="3" t="s">
        <v>14796</v>
      </c>
    </row>
    <row r="19569">
      <c r="A19569" s="3" t="s">
        <v>35757</v>
      </c>
      <c r="B19569" s="3" t="s">
        <v>16254</v>
      </c>
      <c r="C19569" s="5" t="s">
        <v>206</v>
      </c>
      <c r="D19569" s="3" t="s">
        <v>68</v>
      </c>
      <c r="E19569" s="3" t="s">
        <v>100</v>
      </c>
      <c r="F19569" s="7">
        <v>46123.451855293155</v>
      </c>
      <c r="G19569" s="3" t="s">
        <v>14799</v>
      </c>
    </row>
    <row r="19570">
      <c r="A19570" s="3" t="s">
        <v>35758</v>
      </c>
      <c r="B19570" s="3" t="s">
        <v>16256</v>
      </c>
      <c r="C19570" s="5" t="s">
        <v>45</v>
      </c>
      <c r="D19570" s="3" t="s">
        <v>221</v>
      </c>
      <c r="E19570" s="3" t="s">
        <v>908</v>
      </c>
      <c r="F19570" s="7">
        <v>46123.51261347191</v>
      </c>
      <c r="G19570" s="3" t="s">
        <v>12142</v>
      </c>
    </row>
    <row r="19571">
      <c r="A19571" s="3" t="s">
        <v>35759</v>
      </c>
      <c r="B19571" s="3" t="s">
        <v>16256</v>
      </c>
      <c r="C19571" s="5" t="s">
        <v>221</v>
      </c>
      <c r="D19571" s="3" t="s">
        <v>614</v>
      </c>
      <c r="E19571" s="3" t="s">
        <v>118</v>
      </c>
      <c r="F19571" s="7">
        <v>46123.51608569413</v>
      </c>
      <c r="G19571" s="3" t="s">
        <v>12145</v>
      </c>
    </row>
    <row r="19572">
      <c r="A19572" s="3" t="s">
        <v>35760</v>
      </c>
      <c r="B19572" s="3" t="s">
        <v>16256</v>
      </c>
      <c r="C19572" s="5" t="s">
        <v>614</v>
      </c>
      <c r="D19572" s="3" t="s">
        <v>206</v>
      </c>
      <c r="E19572" s="3" t="s">
        <v>100</v>
      </c>
      <c r="F19572" s="7">
        <v>46123.519557916356</v>
      </c>
      <c r="G19572" s="3" t="s">
        <v>12148</v>
      </c>
    </row>
    <row r="19573">
      <c r="A19573" s="3" t="s">
        <v>35761</v>
      </c>
      <c r="B19573" s="3" t="s">
        <v>16256</v>
      </c>
      <c r="C19573" s="5" t="s">
        <v>206</v>
      </c>
      <c r="D19573" s="3" t="s">
        <v>68</v>
      </c>
      <c r="E19573" s="3" t="s">
        <v>100</v>
      </c>
      <c r="F19573" s="7">
        <v>46123.523030138575</v>
      </c>
      <c r="G19573" s="3" t="s">
        <v>12151</v>
      </c>
    </row>
    <row r="19574">
      <c r="A19574" s="3" t="s">
        <v>35762</v>
      </c>
      <c r="B19574" s="3" t="s">
        <v>16260</v>
      </c>
      <c r="C19574" s="5" t="s">
        <v>45</v>
      </c>
      <c r="D19574" s="3" t="s">
        <v>221</v>
      </c>
      <c r="E19574" s="3" t="s">
        <v>722</v>
      </c>
      <c r="F19574" s="7">
        <v>46123.58378831732</v>
      </c>
      <c r="G19574" s="3" t="s">
        <v>14802</v>
      </c>
    </row>
    <row r="19575">
      <c r="A19575" s="3" t="s">
        <v>35763</v>
      </c>
      <c r="B19575" s="3" t="s">
        <v>16260</v>
      </c>
      <c r="C19575" s="5" t="s">
        <v>221</v>
      </c>
      <c r="D19575" s="3" t="s">
        <v>614</v>
      </c>
      <c r="E19575" s="3" t="s">
        <v>118</v>
      </c>
      <c r="F19575" s="7">
        <v>46123.58726053954</v>
      </c>
      <c r="G19575" s="3" t="s">
        <v>14804</v>
      </c>
    </row>
    <row r="19576">
      <c r="A19576" s="3" t="s">
        <v>35764</v>
      </c>
      <c r="B19576" s="3" t="s">
        <v>16260</v>
      </c>
      <c r="C19576" s="5" t="s">
        <v>614</v>
      </c>
      <c r="D19576" s="3" t="s">
        <v>206</v>
      </c>
      <c r="E19576" s="3" t="s">
        <v>100</v>
      </c>
      <c r="F19576" s="7">
        <v>46123.59073276177</v>
      </c>
      <c r="G19576" s="3" t="s">
        <v>14807</v>
      </c>
    </row>
    <row r="19577">
      <c r="A19577" s="3" t="s">
        <v>35765</v>
      </c>
      <c r="B19577" s="3" t="s">
        <v>16260</v>
      </c>
      <c r="C19577" s="5" t="s">
        <v>206</v>
      </c>
      <c r="D19577" s="3" t="s">
        <v>68</v>
      </c>
      <c r="E19577" s="3" t="s">
        <v>100</v>
      </c>
      <c r="F19577" s="7">
        <v>46123.59420498399</v>
      </c>
      <c r="G19577" s="3" t="s">
        <v>14810</v>
      </c>
    </row>
    <row r="19578">
      <c r="A19578" s="3" t="s">
        <v>35766</v>
      </c>
      <c r="B19578" s="3" t="s">
        <v>16264</v>
      </c>
      <c r="C19578" s="5" t="s">
        <v>45</v>
      </c>
      <c r="D19578" s="3" t="s">
        <v>221</v>
      </c>
      <c r="E19578" s="3" t="s">
        <v>488</v>
      </c>
      <c r="F19578" s="7">
        <v>46123.65496316274</v>
      </c>
      <c r="G19578" s="3" t="s">
        <v>5732</v>
      </c>
    </row>
    <row r="19579">
      <c r="A19579" s="3" t="s">
        <v>35767</v>
      </c>
      <c r="B19579" s="3" t="s">
        <v>16264</v>
      </c>
      <c r="C19579" s="5" t="s">
        <v>221</v>
      </c>
      <c r="D19579" s="3" t="s">
        <v>614</v>
      </c>
      <c r="E19579" s="3" t="s">
        <v>118</v>
      </c>
      <c r="F19579" s="7">
        <v>46123.65843538496</v>
      </c>
      <c r="G19579" s="3" t="s">
        <v>5735</v>
      </c>
    </row>
    <row r="19580">
      <c r="A19580" s="3" t="s">
        <v>35768</v>
      </c>
      <c r="B19580" s="3" t="s">
        <v>16264</v>
      </c>
      <c r="C19580" s="5" t="s">
        <v>614</v>
      </c>
      <c r="D19580" s="3" t="s">
        <v>206</v>
      </c>
      <c r="E19580" s="3" t="s">
        <v>100</v>
      </c>
      <c r="F19580" s="7">
        <v>46123.66190760719</v>
      </c>
      <c r="G19580" s="3" t="s">
        <v>5738</v>
      </c>
    </row>
    <row r="19581">
      <c r="A19581" s="3" t="s">
        <v>35769</v>
      </c>
      <c r="B19581" s="3" t="s">
        <v>16264</v>
      </c>
      <c r="C19581" s="5" t="s">
        <v>206</v>
      </c>
      <c r="D19581" s="3" t="s">
        <v>68</v>
      </c>
      <c r="E19581" s="3" t="s">
        <v>100</v>
      </c>
      <c r="F19581" s="7">
        <v>46123.66537982941</v>
      </c>
      <c r="G19581" s="3" t="s">
        <v>5741</v>
      </c>
    </row>
    <row r="19582">
      <c r="A19582" s="3" t="s">
        <v>35770</v>
      </c>
      <c r="B19582" s="3" t="s">
        <v>16266</v>
      </c>
      <c r="C19582" s="5" t="s">
        <v>45</v>
      </c>
      <c r="D19582" s="3" t="s">
        <v>221</v>
      </c>
      <c r="E19582" s="3" t="s">
        <v>137</v>
      </c>
      <c r="F19582" s="7">
        <v>46123.726138008155</v>
      </c>
      <c r="G19582" s="3" t="s">
        <v>6097</v>
      </c>
    </row>
    <row r="19583">
      <c r="A19583" s="3" t="s">
        <v>35771</v>
      </c>
      <c r="B19583" s="3" t="s">
        <v>16266</v>
      </c>
      <c r="C19583" s="5" t="s">
        <v>221</v>
      </c>
      <c r="D19583" s="3" t="s">
        <v>181</v>
      </c>
      <c r="E19583" s="3" t="s">
        <v>118</v>
      </c>
      <c r="F19583" s="7">
        <v>46123.72961023037</v>
      </c>
      <c r="G19583" s="3" t="s">
        <v>35772</v>
      </c>
    </row>
    <row r="19584">
      <c r="A19584" s="3" t="s">
        <v>35773</v>
      </c>
      <c r="B19584" s="3" t="s">
        <v>16268</v>
      </c>
      <c r="C19584" s="5" t="s">
        <v>45</v>
      </c>
      <c r="D19584" s="3" t="s">
        <v>221</v>
      </c>
      <c r="E19584" s="3" t="s">
        <v>689</v>
      </c>
      <c r="F19584" s="7">
        <v>46123.797312853574</v>
      </c>
      <c r="G19584" s="3" t="s">
        <v>13859</v>
      </c>
    </row>
    <row r="19585">
      <c r="A19585" s="3" t="s">
        <v>35774</v>
      </c>
      <c r="B19585" s="3" t="s">
        <v>16268</v>
      </c>
      <c r="C19585" s="5" t="s">
        <v>221</v>
      </c>
      <c r="D19585" s="3" t="s">
        <v>614</v>
      </c>
      <c r="E19585" s="3" t="s">
        <v>118</v>
      </c>
      <c r="F19585" s="7">
        <v>46123.80078507579</v>
      </c>
      <c r="G19585" s="3" t="s">
        <v>22295</v>
      </c>
    </row>
    <row r="19586">
      <c r="A19586" s="3" t="s">
        <v>35775</v>
      </c>
      <c r="B19586" s="3" t="s">
        <v>16268</v>
      </c>
      <c r="C19586" s="5" t="s">
        <v>614</v>
      </c>
      <c r="D19586" s="3" t="s">
        <v>206</v>
      </c>
      <c r="E19586" s="3" t="s">
        <v>100</v>
      </c>
      <c r="F19586" s="7">
        <v>46123.80425729802</v>
      </c>
      <c r="G19586" s="3" t="s">
        <v>22298</v>
      </c>
    </row>
    <row r="19587">
      <c r="A19587" s="3" t="s">
        <v>35776</v>
      </c>
      <c r="B19587" s="3" t="s">
        <v>16268</v>
      </c>
      <c r="C19587" s="5" t="s">
        <v>206</v>
      </c>
      <c r="D19587" s="3" t="s">
        <v>68</v>
      </c>
      <c r="E19587" s="3" t="s">
        <v>100</v>
      </c>
      <c r="F19587" s="7">
        <v>46123.80772952024</v>
      </c>
      <c r="G19587" s="3" t="s">
        <v>22301</v>
      </c>
    </row>
    <row r="19588">
      <c r="A19588" s="3" t="s">
        <v>35777</v>
      </c>
      <c r="B19588" s="3" t="s">
        <v>16272</v>
      </c>
      <c r="C19588" s="5" t="s">
        <v>45</v>
      </c>
      <c r="D19588" s="3" t="s">
        <v>221</v>
      </c>
      <c r="E19588" s="3" t="s">
        <v>650</v>
      </c>
      <c r="F19588" s="7">
        <v>46123.86848769898</v>
      </c>
      <c r="G19588" s="3" t="s">
        <v>26976</v>
      </c>
    </row>
    <row r="19589">
      <c r="A19589" s="3" t="s">
        <v>35778</v>
      </c>
      <c r="B19589" s="3" t="s">
        <v>16272</v>
      </c>
      <c r="C19589" s="5" t="s">
        <v>221</v>
      </c>
      <c r="D19589" s="3" t="s">
        <v>614</v>
      </c>
      <c r="E19589" s="3" t="s">
        <v>118</v>
      </c>
      <c r="F19589" s="7">
        <v>46123.8719599212</v>
      </c>
      <c r="G19589" s="3" t="s">
        <v>26978</v>
      </c>
    </row>
    <row r="19590">
      <c r="A19590" s="3" t="s">
        <v>35779</v>
      </c>
      <c r="B19590" s="3" t="s">
        <v>16272</v>
      </c>
      <c r="C19590" s="5" t="s">
        <v>614</v>
      </c>
      <c r="D19590" s="3" t="s">
        <v>206</v>
      </c>
      <c r="E19590" s="3" t="s">
        <v>100</v>
      </c>
      <c r="F19590" s="7">
        <v>46123.875432143424</v>
      </c>
      <c r="G19590" s="3" t="s">
        <v>26980</v>
      </c>
    </row>
    <row r="19591">
      <c r="A19591" s="3" t="s">
        <v>35780</v>
      </c>
      <c r="B19591" s="3" t="s">
        <v>16272</v>
      </c>
      <c r="C19591" s="5" t="s">
        <v>206</v>
      </c>
      <c r="D19591" s="3" t="s">
        <v>68</v>
      </c>
      <c r="E19591" s="3" t="s">
        <v>100</v>
      </c>
      <c r="F19591" s="7">
        <v>46123.87890436564</v>
      </c>
      <c r="G19591" s="3" t="s">
        <v>26982</v>
      </c>
    </row>
    <row r="19592">
      <c r="A19592" s="3" t="s">
        <v>35781</v>
      </c>
      <c r="B19592" s="3" t="s">
        <v>16276</v>
      </c>
      <c r="C19592" s="5" t="s">
        <v>45</v>
      </c>
      <c r="D19592" s="3" t="s">
        <v>221</v>
      </c>
      <c r="E19592" s="3" t="s">
        <v>911</v>
      </c>
      <c r="F19592" s="7">
        <v>46123.9396625444</v>
      </c>
      <c r="G19592" s="3" t="s">
        <v>28535</v>
      </c>
    </row>
    <row r="19593">
      <c r="A19593" s="3" t="s">
        <v>35782</v>
      </c>
      <c r="B19593" s="3" t="s">
        <v>16276</v>
      </c>
      <c r="C19593" s="5" t="s">
        <v>221</v>
      </c>
      <c r="D19593" s="3" t="s">
        <v>614</v>
      </c>
      <c r="E19593" s="3" t="s">
        <v>118</v>
      </c>
      <c r="F19593" s="7">
        <v>46123.94313476662</v>
      </c>
      <c r="G19593" s="3" t="s">
        <v>28537</v>
      </c>
    </row>
    <row r="19594">
      <c r="A19594" s="3" t="s">
        <v>35783</v>
      </c>
      <c r="B19594" s="3" t="s">
        <v>16276</v>
      </c>
      <c r="C19594" s="5" t="s">
        <v>614</v>
      </c>
      <c r="D19594" s="3" t="s">
        <v>206</v>
      </c>
      <c r="E19594" s="3" t="s">
        <v>100</v>
      </c>
      <c r="F19594" s="7">
        <v>46123.946606988844</v>
      </c>
      <c r="G19594" s="3" t="s">
        <v>28539</v>
      </c>
    </row>
    <row r="19595">
      <c r="A19595" s="3" t="s">
        <v>35784</v>
      </c>
      <c r="B19595" s="3" t="s">
        <v>16276</v>
      </c>
      <c r="C19595" s="5" t="s">
        <v>206</v>
      </c>
      <c r="D19595" s="3" t="s">
        <v>68</v>
      </c>
      <c r="E19595" s="3" t="s">
        <v>100</v>
      </c>
      <c r="F19595" s="7">
        <v>46123.95007921106</v>
      </c>
      <c r="G19595" s="3" t="s">
        <v>28541</v>
      </c>
    </row>
    <row r="19596">
      <c r="A19596" s="3" t="s">
        <v>35785</v>
      </c>
      <c r="B19596" s="3" t="s">
        <v>16279</v>
      </c>
      <c r="C19596" s="5" t="s">
        <v>45</v>
      </c>
      <c r="D19596" s="3" t="s">
        <v>221</v>
      </c>
      <c r="E19596" s="3" t="s">
        <v>280</v>
      </c>
      <c r="F19596" s="7">
        <v>46124.01083738982</v>
      </c>
      <c r="G19596" s="3" t="s">
        <v>14724</v>
      </c>
    </row>
    <row r="19597">
      <c r="A19597" s="3" t="s">
        <v>35786</v>
      </c>
      <c r="B19597" s="3" t="s">
        <v>16279</v>
      </c>
      <c r="C19597" s="5" t="s">
        <v>221</v>
      </c>
      <c r="D19597" s="3" t="s">
        <v>614</v>
      </c>
      <c r="E19597" s="3" t="s">
        <v>118</v>
      </c>
      <c r="F19597" s="7">
        <v>46124.01430961204</v>
      </c>
      <c r="G19597" s="3" t="s">
        <v>14727</v>
      </c>
    </row>
    <row r="19598">
      <c r="A19598" s="3" t="s">
        <v>35787</v>
      </c>
      <c r="B19598" s="3" t="s">
        <v>16279</v>
      </c>
      <c r="C19598" s="5" t="s">
        <v>614</v>
      </c>
      <c r="D19598" s="3" t="s">
        <v>206</v>
      </c>
      <c r="E19598" s="3" t="s">
        <v>100</v>
      </c>
      <c r="F19598" s="7">
        <v>46124.01778183426</v>
      </c>
      <c r="G19598" s="3" t="s">
        <v>14729</v>
      </c>
    </row>
    <row r="19599">
      <c r="A19599" s="3" t="s">
        <v>35788</v>
      </c>
      <c r="B19599" s="3" t="s">
        <v>16279</v>
      </c>
      <c r="C19599" s="5" t="s">
        <v>206</v>
      </c>
      <c r="D19599" s="3" t="s">
        <v>68</v>
      </c>
      <c r="E19599" s="3" t="s">
        <v>100</v>
      </c>
      <c r="F19599" s="7">
        <v>46124.02125405648</v>
      </c>
      <c r="G19599" s="3" t="s">
        <v>14732</v>
      </c>
    </row>
    <row r="19600">
      <c r="A19600" s="3" t="s">
        <v>35789</v>
      </c>
      <c r="B19600" s="3" t="s">
        <v>16282</v>
      </c>
      <c r="C19600" s="5" t="s">
        <v>45</v>
      </c>
      <c r="D19600" s="3" t="s">
        <v>221</v>
      </c>
      <c r="E19600" s="3" t="s">
        <v>541</v>
      </c>
      <c r="F19600" s="7">
        <v>46124.08201223523</v>
      </c>
      <c r="G19600" s="3" t="s">
        <v>11524</v>
      </c>
    </row>
    <row r="19601">
      <c r="A19601" s="3" t="s">
        <v>35790</v>
      </c>
      <c r="B19601" s="3" t="s">
        <v>16282</v>
      </c>
      <c r="C19601" s="5" t="s">
        <v>221</v>
      </c>
      <c r="D19601" s="3" t="s">
        <v>195</v>
      </c>
      <c r="E19601" s="3" t="s">
        <v>541</v>
      </c>
      <c r="F19601" s="7">
        <v>46124.08548445745</v>
      </c>
      <c r="G19601" s="3" t="s">
        <v>35791</v>
      </c>
    </row>
    <row r="19602">
      <c r="A19602" s="3" t="s">
        <v>35792</v>
      </c>
      <c r="B19602" s="3" t="s">
        <v>16285</v>
      </c>
      <c r="C19602" s="5" t="s">
        <v>45</v>
      </c>
      <c r="D19602" s="3" t="s">
        <v>221</v>
      </c>
      <c r="E19602" s="3" t="s">
        <v>1008</v>
      </c>
      <c r="F19602" s="7">
        <v>46124.15318708064</v>
      </c>
      <c r="G19602" s="3" t="s">
        <v>14898</v>
      </c>
    </row>
    <row r="19603">
      <c r="A19603" s="3" t="s">
        <v>35793</v>
      </c>
      <c r="B19603" s="3" t="s">
        <v>16285</v>
      </c>
      <c r="C19603" s="5" t="s">
        <v>221</v>
      </c>
      <c r="D19603" s="3" t="s">
        <v>614</v>
      </c>
      <c r="E19603" s="3" t="s">
        <v>118</v>
      </c>
      <c r="F19603" s="7">
        <v>46124.15665930286</v>
      </c>
      <c r="G19603" s="3" t="s">
        <v>14900</v>
      </c>
    </row>
    <row r="19604">
      <c r="A19604" s="3" t="s">
        <v>35794</v>
      </c>
      <c r="B19604" s="3" t="s">
        <v>16285</v>
      </c>
      <c r="C19604" s="5" t="s">
        <v>614</v>
      </c>
      <c r="D19604" s="3" t="s">
        <v>206</v>
      </c>
      <c r="E19604" s="3" t="s">
        <v>100</v>
      </c>
      <c r="F19604" s="7">
        <v>46124.16013152509</v>
      </c>
      <c r="G19604" s="3" t="s">
        <v>14903</v>
      </c>
    </row>
    <row r="19605">
      <c r="A19605" s="3" t="s">
        <v>35795</v>
      </c>
      <c r="B19605" s="3" t="s">
        <v>16285</v>
      </c>
      <c r="C19605" s="5" t="s">
        <v>206</v>
      </c>
      <c r="D19605" s="3" t="s">
        <v>68</v>
      </c>
      <c r="E19605" s="3" t="s">
        <v>100</v>
      </c>
      <c r="F19605" s="7">
        <v>46124.16360374731</v>
      </c>
      <c r="G19605" s="3" t="s">
        <v>14906</v>
      </c>
    </row>
    <row r="19606">
      <c r="A19606" s="3" t="s">
        <v>35796</v>
      </c>
      <c r="B19606" s="3" t="s">
        <v>16288</v>
      </c>
      <c r="C19606" s="5" t="s">
        <v>45</v>
      </c>
      <c r="D19606" s="3" t="s">
        <v>221</v>
      </c>
      <c r="E19606" s="3" t="s">
        <v>137</v>
      </c>
      <c r="F19606" s="7">
        <v>46124.22436192606</v>
      </c>
      <c r="G19606" s="3" t="s">
        <v>6097</v>
      </c>
    </row>
    <row r="19607">
      <c r="A19607" s="3" t="s">
        <v>35797</v>
      </c>
      <c r="B19607" s="3" t="s">
        <v>16288</v>
      </c>
      <c r="C19607" s="5" t="s">
        <v>221</v>
      </c>
      <c r="D19607" s="3" t="s">
        <v>614</v>
      </c>
      <c r="E19607" s="3" t="s">
        <v>118</v>
      </c>
      <c r="F19607" s="7">
        <v>46124.22783414828</v>
      </c>
      <c r="G19607" s="3" t="s">
        <v>6100</v>
      </c>
    </row>
    <row r="19608">
      <c r="A19608" s="3" t="s">
        <v>35798</v>
      </c>
      <c r="B19608" s="3" t="s">
        <v>16288</v>
      </c>
      <c r="C19608" s="5" t="s">
        <v>614</v>
      </c>
      <c r="D19608" s="3" t="s">
        <v>206</v>
      </c>
      <c r="E19608" s="3" t="s">
        <v>100</v>
      </c>
      <c r="F19608" s="7">
        <v>46124.23130637051</v>
      </c>
      <c r="G19608" s="3" t="s">
        <v>6103</v>
      </c>
    </row>
    <row r="19609">
      <c r="A19609" s="3" t="s">
        <v>35799</v>
      </c>
      <c r="B19609" s="3" t="s">
        <v>16288</v>
      </c>
      <c r="C19609" s="5" t="s">
        <v>206</v>
      </c>
      <c r="D19609" s="3" t="s">
        <v>68</v>
      </c>
      <c r="E19609" s="3" t="s">
        <v>100</v>
      </c>
      <c r="F19609" s="7">
        <v>46124.23477859273</v>
      </c>
      <c r="G19609" s="3" t="s">
        <v>6106</v>
      </c>
    </row>
    <row r="19610">
      <c r="A19610" s="3" t="s">
        <v>35800</v>
      </c>
      <c r="B19610" s="3" t="s">
        <v>16291</v>
      </c>
      <c r="C19610" s="5" t="s">
        <v>45</v>
      </c>
      <c r="D19610" s="3" t="s">
        <v>221</v>
      </c>
      <c r="E19610" s="3" t="s">
        <v>380</v>
      </c>
      <c r="F19610" s="7">
        <v>46124.295536771475</v>
      </c>
      <c r="G19610" s="3" t="s">
        <v>14920</v>
      </c>
    </row>
    <row r="19611">
      <c r="A19611" s="3" t="s">
        <v>35801</v>
      </c>
      <c r="B19611" s="3" t="s">
        <v>16291</v>
      </c>
      <c r="C19611" s="5" t="s">
        <v>221</v>
      </c>
      <c r="D19611" s="3" t="s">
        <v>614</v>
      </c>
      <c r="E19611" s="3" t="s">
        <v>118</v>
      </c>
      <c r="F19611" s="7">
        <v>46124.299008993694</v>
      </c>
      <c r="G19611" s="3" t="s">
        <v>14923</v>
      </c>
    </row>
    <row r="19612">
      <c r="A19612" s="3" t="s">
        <v>35802</v>
      </c>
      <c r="B19612" s="3" t="s">
        <v>16291</v>
      </c>
      <c r="C19612" s="5" t="s">
        <v>614</v>
      </c>
      <c r="D19612" s="3" t="s">
        <v>206</v>
      </c>
      <c r="E19612" s="3" t="s">
        <v>100</v>
      </c>
      <c r="F19612" s="7">
        <v>46124.30248121592</v>
      </c>
      <c r="G19612" s="3" t="s">
        <v>14926</v>
      </c>
    </row>
    <row r="19613">
      <c r="A19613" s="3" t="s">
        <v>35803</v>
      </c>
      <c r="B19613" s="3" t="s">
        <v>16291</v>
      </c>
      <c r="C19613" s="5" t="s">
        <v>206</v>
      </c>
      <c r="D19613" s="3" t="s">
        <v>68</v>
      </c>
      <c r="E19613" s="3" t="s">
        <v>100</v>
      </c>
      <c r="F19613" s="7">
        <v>46124.30595343814</v>
      </c>
      <c r="G19613" s="3" t="s">
        <v>14928</v>
      </c>
    </row>
    <row r="19614">
      <c r="A19614" s="3" t="s">
        <v>35804</v>
      </c>
      <c r="B19614" s="3" t="s">
        <v>16293</v>
      </c>
      <c r="C19614" s="5" t="s">
        <v>45</v>
      </c>
      <c r="D19614" s="3" t="s">
        <v>221</v>
      </c>
      <c r="E19614" s="3" t="s">
        <v>609</v>
      </c>
      <c r="F19614" s="7">
        <v>46124.36671161689</v>
      </c>
      <c r="G19614" s="3" t="s">
        <v>14955</v>
      </c>
    </row>
    <row r="19615">
      <c r="A19615" s="3" t="s">
        <v>35805</v>
      </c>
      <c r="B19615" s="3" t="s">
        <v>16293</v>
      </c>
      <c r="C19615" s="5" t="s">
        <v>221</v>
      </c>
      <c r="D19615" s="3" t="s">
        <v>614</v>
      </c>
      <c r="E19615" s="3" t="s">
        <v>118</v>
      </c>
      <c r="F19615" s="7">
        <v>46124.370183839106</v>
      </c>
      <c r="G19615" s="3" t="s">
        <v>14958</v>
      </c>
    </row>
    <row r="19616">
      <c r="A19616" s="3" t="s">
        <v>35806</v>
      </c>
      <c r="B19616" s="3" t="s">
        <v>16293</v>
      </c>
      <c r="C19616" s="5" t="s">
        <v>614</v>
      </c>
      <c r="D19616" s="3" t="s">
        <v>206</v>
      </c>
      <c r="E19616" s="3" t="s">
        <v>100</v>
      </c>
      <c r="F19616" s="7">
        <v>46124.37365606133</v>
      </c>
      <c r="G19616" s="3" t="s">
        <v>14961</v>
      </c>
    </row>
    <row r="19617">
      <c r="A19617" s="3" t="s">
        <v>35807</v>
      </c>
      <c r="B19617" s="3" t="s">
        <v>16293</v>
      </c>
      <c r="C19617" s="5" t="s">
        <v>206</v>
      </c>
      <c r="D19617" s="3" t="s">
        <v>68</v>
      </c>
      <c r="E19617" s="3" t="s">
        <v>100</v>
      </c>
      <c r="F19617" s="7">
        <v>46124.37712828355</v>
      </c>
      <c r="G19617" s="3" t="s">
        <v>14964</v>
      </c>
    </row>
    <row r="19618">
      <c r="A19618" s="3" t="s">
        <v>35808</v>
      </c>
      <c r="B19618" s="3" t="s">
        <v>16295</v>
      </c>
      <c r="C19618" s="5" t="s">
        <v>45</v>
      </c>
      <c r="D19618" s="3" t="s">
        <v>221</v>
      </c>
      <c r="E19618" s="3" t="s">
        <v>987</v>
      </c>
      <c r="F19618" s="7">
        <v>46124.43788646231</v>
      </c>
      <c r="G19618" s="3" t="s">
        <v>5810</v>
      </c>
    </row>
    <row r="19619">
      <c r="A19619" s="3" t="s">
        <v>35809</v>
      </c>
      <c r="B19619" s="3" t="s">
        <v>16295</v>
      </c>
      <c r="C19619" s="5" t="s">
        <v>221</v>
      </c>
      <c r="D19619" s="3" t="s">
        <v>181</v>
      </c>
      <c r="E19619" s="3" t="s">
        <v>118</v>
      </c>
      <c r="F19619" s="7">
        <v>46124.441358684526</v>
      </c>
      <c r="G19619" s="3" t="s">
        <v>35810</v>
      </c>
    </row>
    <row r="19620">
      <c r="A19620" s="3" t="s">
        <v>35811</v>
      </c>
      <c r="B19620" s="3" t="s">
        <v>16298</v>
      </c>
      <c r="C19620" s="5" t="s">
        <v>45</v>
      </c>
      <c r="D19620" s="3" t="s">
        <v>221</v>
      </c>
      <c r="E19620" s="3" t="s">
        <v>307</v>
      </c>
      <c r="F19620" s="7">
        <v>46124.50906130773</v>
      </c>
      <c r="G19620" s="3" t="s">
        <v>27573</v>
      </c>
    </row>
    <row r="19621">
      <c r="A19621" s="3" t="s">
        <v>35812</v>
      </c>
      <c r="B19621" s="3" t="s">
        <v>16298</v>
      </c>
      <c r="C19621" s="5" t="s">
        <v>221</v>
      </c>
      <c r="D19621" s="3" t="s">
        <v>614</v>
      </c>
      <c r="E19621" s="3" t="s">
        <v>118</v>
      </c>
      <c r="F19621" s="7">
        <v>46124.512533529945</v>
      </c>
      <c r="G19621" s="3" t="s">
        <v>27575</v>
      </c>
    </row>
    <row r="19622">
      <c r="A19622" s="3" t="s">
        <v>35813</v>
      </c>
      <c r="B19622" s="3" t="s">
        <v>16298</v>
      </c>
      <c r="C19622" s="5" t="s">
        <v>614</v>
      </c>
      <c r="D19622" s="3" t="s">
        <v>206</v>
      </c>
      <c r="E19622" s="3" t="s">
        <v>100</v>
      </c>
      <c r="F19622" s="7">
        <v>46124.51600575217</v>
      </c>
      <c r="G19622" s="3" t="s">
        <v>27577</v>
      </c>
    </row>
    <row r="19623">
      <c r="A19623" s="3" t="s">
        <v>35814</v>
      </c>
      <c r="B19623" s="3" t="s">
        <v>16298</v>
      </c>
      <c r="C19623" s="5" t="s">
        <v>206</v>
      </c>
      <c r="D19623" s="3" t="s">
        <v>68</v>
      </c>
      <c r="E19623" s="3" t="s">
        <v>100</v>
      </c>
      <c r="F19623" s="7">
        <v>46124.51947797439</v>
      </c>
      <c r="G19623" s="3" t="s">
        <v>27579</v>
      </c>
    </row>
    <row r="19624">
      <c r="A19624" s="3" t="s">
        <v>35815</v>
      </c>
      <c r="B19624" s="3" t="s">
        <v>16301</v>
      </c>
      <c r="C19624" s="5" t="s">
        <v>45</v>
      </c>
      <c r="D19624" s="3" t="s">
        <v>221</v>
      </c>
      <c r="E19624" s="3" t="s">
        <v>344</v>
      </c>
      <c r="F19624" s="7">
        <v>46124.58023615313</v>
      </c>
      <c r="G19624" s="3" t="s">
        <v>14975</v>
      </c>
    </row>
    <row r="19625">
      <c r="A19625" s="3" t="s">
        <v>35816</v>
      </c>
      <c r="B19625" s="3" t="s">
        <v>16301</v>
      </c>
      <c r="C19625" s="5" t="s">
        <v>221</v>
      </c>
      <c r="D19625" s="3" t="s">
        <v>614</v>
      </c>
      <c r="E19625" s="3" t="s">
        <v>118</v>
      </c>
      <c r="F19625" s="7">
        <v>46124.58370837535</v>
      </c>
      <c r="G19625" s="3" t="s">
        <v>14978</v>
      </c>
    </row>
    <row r="19626">
      <c r="A19626" s="3" t="s">
        <v>35817</v>
      </c>
      <c r="B19626" s="3" t="s">
        <v>16301</v>
      </c>
      <c r="C19626" s="5" t="s">
        <v>614</v>
      </c>
      <c r="D19626" s="3" t="s">
        <v>206</v>
      </c>
      <c r="E19626" s="3" t="s">
        <v>100</v>
      </c>
      <c r="F19626" s="7">
        <v>46124.58718059758</v>
      </c>
      <c r="G19626" s="3" t="s">
        <v>14981</v>
      </c>
    </row>
    <row r="19627">
      <c r="A19627" s="3" t="s">
        <v>35818</v>
      </c>
      <c r="B19627" s="3" t="s">
        <v>16301</v>
      </c>
      <c r="C19627" s="5" t="s">
        <v>206</v>
      </c>
      <c r="D19627" s="3" t="s">
        <v>68</v>
      </c>
      <c r="E19627" s="3" t="s">
        <v>100</v>
      </c>
      <c r="F19627" s="7">
        <v>46124.590652819796</v>
      </c>
      <c r="G19627" s="3" t="s">
        <v>14983</v>
      </c>
    </row>
    <row r="19628">
      <c r="A19628" s="3" t="s">
        <v>35819</v>
      </c>
      <c r="B19628" s="3" t="s">
        <v>16304</v>
      </c>
      <c r="C19628" s="5" t="s">
        <v>45</v>
      </c>
      <c r="D19628" s="3" t="s">
        <v>221</v>
      </c>
      <c r="E19628" s="3" t="s">
        <v>593</v>
      </c>
      <c r="F19628" s="7">
        <v>46124.65141099855</v>
      </c>
      <c r="G19628" s="3" t="s">
        <v>15029</v>
      </c>
    </row>
    <row r="19629">
      <c r="A19629" s="3" t="s">
        <v>35820</v>
      </c>
      <c r="B19629" s="3" t="s">
        <v>16304</v>
      </c>
      <c r="C19629" s="5" t="s">
        <v>221</v>
      </c>
      <c r="D19629" s="3" t="s">
        <v>614</v>
      </c>
      <c r="E19629" s="3" t="s">
        <v>118</v>
      </c>
      <c r="F19629" s="7">
        <v>46124.65488322077</v>
      </c>
      <c r="G19629" s="3" t="s">
        <v>15031</v>
      </c>
    </row>
    <row r="19630">
      <c r="A19630" s="3" t="s">
        <v>35821</v>
      </c>
      <c r="B19630" s="3" t="s">
        <v>16304</v>
      </c>
      <c r="C19630" s="5" t="s">
        <v>614</v>
      </c>
      <c r="D19630" s="3" t="s">
        <v>206</v>
      </c>
      <c r="E19630" s="3" t="s">
        <v>100</v>
      </c>
      <c r="F19630" s="7">
        <v>46124.658355442996</v>
      </c>
      <c r="G19630" s="3" t="s">
        <v>15034</v>
      </c>
    </row>
    <row r="19631">
      <c r="A19631" s="3" t="s">
        <v>35822</v>
      </c>
      <c r="B19631" s="3" t="s">
        <v>16304</v>
      </c>
      <c r="C19631" s="5" t="s">
        <v>206</v>
      </c>
      <c r="D19631" s="3" t="s">
        <v>68</v>
      </c>
      <c r="E19631" s="3" t="s">
        <v>100</v>
      </c>
      <c r="F19631" s="7">
        <v>46124.661827665215</v>
      </c>
      <c r="G19631" s="3" t="s">
        <v>15037</v>
      </c>
    </row>
    <row r="19632">
      <c r="A19632" s="3" t="s">
        <v>35823</v>
      </c>
      <c r="B19632" s="3" t="s">
        <v>16307</v>
      </c>
      <c r="C19632" s="5" t="s">
        <v>45</v>
      </c>
      <c r="D19632" s="3" t="s">
        <v>221</v>
      </c>
      <c r="E19632" s="3" t="s">
        <v>939</v>
      </c>
      <c r="F19632" s="7">
        <v>46124.72258584397</v>
      </c>
      <c r="G19632" s="3" t="s">
        <v>13032</v>
      </c>
    </row>
    <row r="19633">
      <c r="A19633" s="3" t="s">
        <v>35824</v>
      </c>
      <c r="B19633" s="3" t="s">
        <v>16307</v>
      </c>
      <c r="C19633" s="5" t="s">
        <v>221</v>
      </c>
      <c r="D19633" s="3" t="s">
        <v>614</v>
      </c>
      <c r="E19633" s="3" t="s">
        <v>118</v>
      </c>
      <c r="F19633" s="7">
        <v>46124.72605806619</v>
      </c>
      <c r="G19633" s="3" t="s">
        <v>26882</v>
      </c>
    </row>
    <row r="19634">
      <c r="A19634" s="3" t="s">
        <v>35825</v>
      </c>
      <c r="B19634" s="3" t="s">
        <v>16307</v>
      </c>
      <c r="C19634" s="5" t="s">
        <v>614</v>
      </c>
      <c r="D19634" s="3" t="s">
        <v>206</v>
      </c>
      <c r="E19634" s="3" t="s">
        <v>100</v>
      </c>
      <c r="F19634" s="7">
        <v>46124.729530288416</v>
      </c>
      <c r="G19634" s="3" t="s">
        <v>26884</v>
      </c>
    </row>
    <row r="19635">
      <c r="A19635" s="3" t="s">
        <v>35826</v>
      </c>
      <c r="B19635" s="3" t="s">
        <v>16307</v>
      </c>
      <c r="C19635" s="5" t="s">
        <v>206</v>
      </c>
      <c r="D19635" s="3" t="s">
        <v>68</v>
      </c>
      <c r="E19635" s="3" t="s">
        <v>100</v>
      </c>
      <c r="F19635" s="7">
        <v>46124.733002510635</v>
      </c>
      <c r="G19635" s="3" t="s">
        <v>26886</v>
      </c>
    </row>
    <row r="19636">
      <c r="A19636" s="3" t="s">
        <v>35827</v>
      </c>
      <c r="B19636" s="3" t="s">
        <v>16310</v>
      </c>
      <c r="C19636" s="5" t="s">
        <v>45</v>
      </c>
      <c r="D19636" s="3" t="s">
        <v>221</v>
      </c>
      <c r="E19636" s="3" t="s">
        <v>751</v>
      </c>
      <c r="F19636" s="7">
        <v>46124.79376068938</v>
      </c>
      <c r="G19636" s="3" t="s">
        <v>14340</v>
      </c>
    </row>
    <row r="19637">
      <c r="A19637" s="3" t="s">
        <v>35828</v>
      </c>
      <c r="B19637" s="3" t="s">
        <v>16310</v>
      </c>
      <c r="C19637" s="5" t="s">
        <v>221</v>
      </c>
      <c r="D19637" s="3" t="s">
        <v>614</v>
      </c>
      <c r="E19637" s="3" t="s">
        <v>118</v>
      </c>
      <c r="F19637" s="7">
        <v>46124.7972329116</v>
      </c>
      <c r="G19637" s="3" t="s">
        <v>14343</v>
      </c>
    </row>
    <row r="19638">
      <c r="A19638" s="3" t="s">
        <v>35829</v>
      </c>
      <c r="B19638" s="3" t="s">
        <v>16310</v>
      </c>
      <c r="C19638" s="5" t="s">
        <v>614</v>
      </c>
      <c r="D19638" s="3" t="s">
        <v>206</v>
      </c>
      <c r="E19638" s="3" t="s">
        <v>100</v>
      </c>
      <c r="F19638" s="7">
        <v>46124.80070513383</v>
      </c>
      <c r="G19638" s="3" t="s">
        <v>14346</v>
      </c>
    </row>
    <row r="19639">
      <c r="A19639" s="3" t="s">
        <v>35830</v>
      </c>
      <c r="B19639" s="3" t="s">
        <v>16310</v>
      </c>
      <c r="C19639" s="5" t="s">
        <v>206</v>
      </c>
      <c r="D19639" s="3" t="s">
        <v>68</v>
      </c>
      <c r="E19639" s="3" t="s">
        <v>100</v>
      </c>
      <c r="F19639" s="7">
        <v>46124.80417735605</v>
      </c>
      <c r="G19639" s="3" t="s">
        <v>14348</v>
      </c>
    </row>
    <row r="19640">
      <c r="A19640" s="3" t="s">
        <v>35831</v>
      </c>
      <c r="B19640" s="3" t="s">
        <v>16315</v>
      </c>
      <c r="C19640" s="5" t="s">
        <v>45</v>
      </c>
      <c r="D19640" s="3" t="s">
        <v>221</v>
      </c>
      <c r="E19640" s="3" t="s">
        <v>903</v>
      </c>
      <c r="F19640" s="7">
        <v>46124.864935534795</v>
      </c>
      <c r="G19640" s="3" t="s">
        <v>16933</v>
      </c>
    </row>
    <row r="19641">
      <c r="A19641" s="3" t="s">
        <v>35832</v>
      </c>
      <c r="B19641" s="3" t="s">
        <v>16315</v>
      </c>
      <c r="C19641" s="5" t="s">
        <v>221</v>
      </c>
      <c r="D19641" s="3" t="s">
        <v>181</v>
      </c>
      <c r="E19641" s="3" t="s">
        <v>118</v>
      </c>
      <c r="F19641" s="7">
        <v>46124.868407757014</v>
      </c>
      <c r="G19641" s="3" t="s">
        <v>35833</v>
      </c>
    </row>
    <row r="19642">
      <c r="A19642" s="3" t="s">
        <v>35834</v>
      </c>
      <c r="B19642" s="3" t="s">
        <v>16317</v>
      </c>
      <c r="C19642" s="5" t="s">
        <v>45</v>
      </c>
      <c r="D19642" s="3" t="s">
        <v>221</v>
      </c>
      <c r="E19642" s="3" t="s">
        <v>493</v>
      </c>
      <c r="F19642" s="7">
        <v>46124.936110380215</v>
      </c>
      <c r="G19642" s="3" t="s">
        <v>10822</v>
      </c>
    </row>
    <row r="19643">
      <c r="A19643" s="3" t="s">
        <v>35835</v>
      </c>
      <c r="B19643" s="3" t="s">
        <v>16317</v>
      </c>
      <c r="C19643" s="5" t="s">
        <v>221</v>
      </c>
      <c r="D19643" s="3" t="s">
        <v>614</v>
      </c>
      <c r="E19643" s="3" t="s">
        <v>118</v>
      </c>
      <c r="F19643" s="7">
        <v>46124.939582602434</v>
      </c>
      <c r="G19643" s="3" t="s">
        <v>10824</v>
      </c>
    </row>
    <row r="19644">
      <c r="A19644" s="3" t="s">
        <v>35836</v>
      </c>
      <c r="B19644" s="3" t="s">
        <v>16317</v>
      </c>
      <c r="C19644" s="5" t="s">
        <v>614</v>
      </c>
      <c r="D19644" s="3" t="s">
        <v>206</v>
      </c>
      <c r="E19644" s="3" t="s">
        <v>100</v>
      </c>
      <c r="F19644" s="7">
        <v>46124.94305482466</v>
      </c>
      <c r="G19644" s="3" t="s">
        <v>10827</v>
      </c>
    </row>
    <row r="19645">
      <c r="A19645" s="3" t="s">
        <v>35837</v>
      </c>
      <c r="B19645" s="3" t="s">
        <v>16317</v>
      </c>
      <c r="C19645" s="5" t="s">
        <v>206</v>
      </c>
      <c r="D19645" s="3" t="s">
        <v>68</v>
      </c>
      <c r="E19645" s="3" t="s">
        <v>100</v>
      </c>
      <c r="F19645" s="7">
        <v>46124.94652704688</v>
      </c>
      <c r="G19645" s="3" t="s">
        <v>10830</v>
      </c>
    </row>
    <row r="19646">
      <c r="A19646" s="3" t="s">
        <v>35838</v>
      </c>
      <c r="B19646" s="3" t="s">
        <v>16319</v>
      </c>
      <c r="C19646" s="5" t="s">
        <v>45</v>
      </c>
      <c r="D19646" s="3" t="s">
        <v>221</v>
      </c>
      <c r="E19646" s="3" t="s">
        <v>352</v>
      </c>
      <c r="F19646" s="7">
        <v>46125.00728522563</v>
      </c>
      <c r="G19646" s="3" t="s">
        <v>4500</v>
      </c>
    </row>
    <row r="19647">
      <c r="A19647" s="3" t="s">
        <v>35839</v>
      </c>
      <c r="B19647" s="3" t="s">
        <v>16319</v>
      </c>
      <c r="C19647" s="5" t="s">
        <v>221</v>
      </c>
      <c r="D19647" s="3" t="s">
        <v>614</v>
      </c>
      <c r="E19647" s="3" t="s">
        <v>118</v>
      </c>
      <c r="F19647" s="7">
        <v>46125.010757447846</v>
      </c>
      <c r="G19647" s="3" t="s">
        <v>4503</v>
      </c>
    </row>
    <row r="19648">
      <c r="A19648" s="3" t="s">
        <v>35840</v>
      </c>
      <c r="B19648" s="3" t="s">
        <v>16319</v>
      </c>
      <c r="C19648" s="5" t="s">
        <v>614</v>
      </c>
      <c r="D19648" s="3" t="s">
        <v>206</v>
      </c>
      <c r="E19648" s="3" t="s">
        <v>100</v>
      </c>
      <c r="F19648" s="7">
        <v>46125.01422967007</v>
      </c>
      <c r="G19648" s="3" t="s">
        <v>4506</v>
      </c>
    </row>
    <row r="19649">
      <c r="A19649" s="3" t="s">
        <v>35841</v>
      </c>
      <c r="B19649" s="3" t="s">
        <v>16319</v>
      </c>
      <c r="C19649" s="5" t="s">
        <v>206</v>
      </c>
      <c r="D19649" s="3" t="s">
        <v>68</v>
      </c>
      <c r="E19649" s="3" t="s">
        <v>100</v>
      </c>
      <c r="F19649" s="7">
        <v>46125.01770189229</v>
      </c>
      <c r="G19649" s="3" t="s">
        <v>4509</v>
      </c>
    </row>
    <row r="19650">
      <c r="A19650" s="3" t="s">
        <v>35842</v>
      </c>
      <c r="B19650" s="3" t="s">
        <v>16321</v>
      </c>
      <c r="C19650" s="5" t="s">
        <v>45</v>
      </c>
      <c r="D19650" s="3" t="s">
        <v>221</v>
      </c>
      <c r="E19650" s="3" t="s">
        <v>519</v>
      </c>
      <c r="F19650" s="7">
        <v>46125.07846007104</v>
      </c>
      <c r="G19650" s="3" t="s">
        <v>15077</v>
      </c>
    </row>
    <row r="19651">
      <c r="A19651" s="3" t="s">
        <v>35843</v>
      </c>
      <c r="B19651" s="3" t="s">
        <v>16321</v>
      </c>
      <c r="C19651" s="5" t="s">
        <v>221</v>
      </c>
      <c r="D19651" s="3" t="s">
        <v>614</v>
      </c>
      <c r="E19651" s="3" t="s">
        <v>118</v>
      </c>
      <c r="F19651" s="7">
        <v>46125.08193229326</v>
      </c>
      <c r="G19651" s="3" t="s">
        <v>15079</v>
      </c>
    </row>
    <row r="19652">
      <c r="A19652" s="3" t="s">
        <v>35844</v>
      </c>
      <c r="B19652" s="3" t="s">
        <v>16321</v>
      </c>
      <c r="C19652" s="5" t="s">
        <v>614</v>
      </c>
      <c r="D19652" s="3" t="s">
        <v>206</v>
      </c>
      <c r="E19652" s="3" t="s">
        <v>100</v>
      </c>
      <c r="F19652" s="7">
        <v>46125.085404515485</v>
      </c>
      <c r="G19652" s="3" t="s">
        <v>15082</v>
      </c>
    </row>
    <row r="19653">
      <c r="A19653" s="3" t="s">
        <v>35845</v>
      </c>
      <c r="B19653" s="3" t="s">
        <v>16321</v>
      </c>
      <c r="C19653" s="5" t="s">
        <v>206</v>
      </c>
      <c r="D19653" s="3" t="s">
        <v>68</v>
      </c>
      <c r="E19653" s="3" t="s">
        <v>100</v>
      </c>
      <c r="F19653" s="7">
        <v>46125.088876737704</v>
      </c>
      <c r="G19653" s="3" t="s">
        <v>15085</v>
      </c>
    </row>
    <row r="19654">
      <c r="A19654" s="3" t="s">
        <v>35846</v>
      </c>
      <c r="B19654" s="3" t="s">
        <v>16323</v>
      </c>
      <c r="C19654" s="5" t="s">
        <v>45</v>
      </c>
      <c r="D19654" s="3" t="s">
        <v>221</v>
      </c>
      <c r="E19654" s="3" t="s">
        <v>449</v>
      </c>
      <c r="F19654" s="7">
        <v>46125.14963491646</v>
      </c>
      <c r="G19654" s="3" t="s">
        <v>15093</v>
      </c>
    </row>
    <row r="19655">
      <c r="A19655" s="3" t="s">
        <v>35847</v>
      </c>
      <c r="B19655" s="3" t="s">
        <v>16323</v>
      </c>
      <c r="C19655" s="5" t="s">
        <v>221</v>
      </c>
      <c r="D19655" s="3" t="s">
        <v>614</v>
      </c>
      <c r="E19655" s="3" t="s">
        <v>118</v>
      </c>
      <c r="F19655" s="7">
        <v>46125.15310713868</v>
      </c>
      <c r="G19655" s="3" t="s">
        <v>15095</v>
      </c>
    </row>
    <row r="19656">
      <c r="A19656" s="3" t="s">
        <v>35848</v>
      </c>
      <c r="B19656" s="3" t="s">
        <v>16323</v>
      </c>
      <c r="C19656" s="5" t="s">
        <v>614</v>
      </c>
      <c r="D19656" s="3" t="s">
        <v>206</v>
      </c>
      <c r="E19656" s="3" t="s">
        <v>100</v>
      </c>
      <c r="F19656" s="7">
        <v>46125.156579360904</v>
      </c>
      <c r="G19656" s="3" t="s">
        <v>15098</v>
      </c>
    </row>
    <row r="19657">
      <c r="A19657" s="3" t="s">
        <v>35849</v>
      </c>
      <c r="B19657" s="3" t="s">
        <v>16323</v>
      </c>
      <c r="C19657" s="5" t="s">
        <v>206</v>
      </c>
      <c r="D19657" s="3" t="s">
        <v>68</v>
      </c>
      <c r="E19657" s="3" t="s">
        <v>100</v>
      </c>
      <c r="F19657" s="7">
        <v>46125.16005158312</v>
      </c>
      <c r="G19657" s="3" t="s">
        <v>15101</v>
      </c>
    </row>
    <row r="19658">
      <c r="A19658" s="3" t="s">
        <v>35850</v>
      </c>
      <c r="B19658" s="3" t="s">
        <v>16327</v>
      </c>
      <c r="C19658" s="5" t="s">
        <v>45</v>
      </c>
      <c r="D19658" s="3" t="s">
        <v>221</v>
      </c>
      <c r="E19658" s="3" t="s">
        <v>665</v>
      </c>
      <c r="F19658" s="7">
        <v>46125.22080976187</v>
      </c>
      <c r="G19658" s="3" t="s">
        <v>15107</v>
      </c>
    </row>
    <row r="19659">
      <c r="A19659" s="3" t="s">
        <v>35851</v>
      </c>
      <c r="B19659" s="3" t="s">
        <v>16327</v>
      </c>
      <c r="C19659" s="5" t="s">
        <v>221</v>
      </c>
      <c r="D19659" s="3" t="s">
        <v>614</v>
      </c>
      <c r="E19659" s="3" t="s">
        <v>118</v>
      </c>
      <c r="F19659" s="7">
        <v>46125.22428198409</v>
      </c>
      <c r="G19659" s="3" t="s">
        <v>15110</v>
      </c>
    </row>
    <row r="19660">
      <c r="A19660" s="3" t="s">
        <v>35852</v>
      </c>
      <c r="B19660" s="3" t="s">
        <v>16327</v>
      </c>
      <c r="C19660" s="5" t="s">
        <v>614</v>
      </c>
      <c r="D19660" s="3" t="s">
        <v>206</v>
      </c>
      <c r="E19660" s="3" t="s">
        <v>100</v>
      </c>
      <c r="F19660" s="7">
        <v>46125.22775420632</v>
      </c>
      <c r="G19660" s="3" t="s">
        <v>15113</v>
      </c>
    </row>
    <row r="19661">
      <c r="A19661" s="3" t="s">
        <v>35853</v>
      </c>
      <c r="B19661" s="3" t="s">
        <v>16327</v>
      </c>
      <c r="C19661" s="5" t="s">
        <v>206</v>
      </c>
      <c r="D19661" s="3" t="s">
        <v>68</v>
      </c>
      <c r="E19661" s="3" t="s">
        <v>100</v>
      </c>
      <c r="F19661" s="7">
        <v>46125.231226428536</v>
      </c>
      <c r="G19661" s="3" t="s">
        <v>15116</v>
      </c>
    </row>
    <row r="19662">
      <c r="A19662" s="3" t="s">
        <v>35854</v>
      </c>
      <c r="B19662" s="3" t="s">
        <v>16331</v>
      </c>
      <c r="C19662" s="5" t="s">
        <v>45</v>
      </c>
      <c r="D19662" s="3" t="s">
        <v>221</v>
      </c>
      <c r="E19662" s="3" t="s">
        <v>841</v>
      </c>
      <c r="F19662" s="7">
        <v>46125.291984607284</v>
      </c>
      <c r="G19662" s="3" t="s">
        <v>13404</v>
      </c>
    </row>
    <row r="19663">
      <c r="A19663" s="3" t="s">
        <v>35855</v>
      </c>
      <c r="B19663" s="3" t="s">
        <v>16331</v>
      </c>
      <c r="C19663" s="5" t="s">
        <v>221</v>
      </c>
      <c r="D19663" s="3" t="s">
        <v>614</v>
      </c>
      <c r="E19663" s="3" t="s">
        <v>118</v>
      </c>
      <c r="F19663" s="7">
        <v>46125.2954568295</v>
      </c>
      <c r="G19663" s="3" t="s">
        <v>13407</v>
      </c>
    </row>
    <row r="19664">
      <c r="A19664" s="3" t="s">
        <v>35856</v>
      </c>
      <c r="B19664" s="3" t="s">
        <v>16331</v>
      </c>
      <c r="C19664" s="5" t="s">
        <v>614</v>
      </c>
      <c r="D19664" s="3" t="s">
        <v>206</v>
      </c>
      <c r="E19664" s="3" t="s">
        <v>100</v>
      </c>
      <c r="F19664" s="7">
        <v>46125.29892905173</v>
      </c>
      <c r="G19664" s="3" t="s">
        <v>13409</v>
      </c>
    </row>
    <row r="19665">
      <c r="A19665" s="3" t="s">
        <v>35857</v>
      </c>
      <c r="B19665" s="3" t="s">
        <v>16331</v>
      </c>
      <c r="C19665" s="5" t="s">
        <v>206</v>
      </c>
      <c r="D19665" s="3" t="s">
        <v>68</v>
      </c>
      <c r="E19665" s="3" t="s">
        <v>100</v>
      </c>
      <c r="F19665" s="7">
        <v>46125.30240127395</v>
      </c>
      <c r="G19665" s="3" t="s">
        <v>13412</v>
      </c>
    </row>
    <row r="19666">
      <c r="A19666" s="3" t="s">
        <v>35858</v>
      </c>
      <c r="B19666" s="3" t="s">
        <v>16334</v>
      </c>
      <c r="C19666" s="5" t="s">
        <v>45</v>
      </c>
      <c r="D19666" s="3" t="s">
        <v>221</v>
      </c>
      <c r="E19666" s="3" t="s">
        <v>727</v>
      </c>
      <c r="F19666" s="7">
        <v>46125.3631594527</v>
      </c>
      <c r="G19666" s="3" t="s">
        <v>15221</v>
      </c>
    </row>
    <row r="19667">
      <c r="A19667" s="3" t="s">
        <v>35859</v>
      </c>
      <c r="B19667" s="3" t="s">
        <v>16334</v>
      </c>
      <c r="C19667" s="5" t="s">
        <v>221</v>
      </c>
      <c r="D19667" s="3" t="s">
        <v>614</v>
      </c>
      <c r="E19667" s="3" t="s">
        <v>118</v>
      </c>
      <c r="F19667" s="7">
        <v>46125.36663167492</v>
      </c>
      <c r="G19667" s="3" t="s">
        <v>15224</v>
      </c>
    </row>
    <row r="19668">
      <c r="A19668" s="3" t="s">
        <v>35860</v>
      </c>
      <c r="B19668" s="3" t="s">
        <v>16334</v>
      </c>
      <c r="C19668" s="5" t="s">
        <v>614</v>
      </c>
      <c r="D19668" s="3" t="s">
        <v>206</v>
      </c>
      <c r="E19668" s="3" t="s">
        <v>100</v>
      </c>
      <c r="F19668" s="7">
        <v>46125.37010389715</v>
      </c>
      <c r="G19668" s="3" t="s">
        <v>15228</v>
      </c>
    </row>
    <row r="19669">
      <c r="A19669" s="3" t="s">
        <v>35861</v>
      </c>
      <c r="B19669" s="3" t="s">
        <v>16334</v>
      </c>
      <c r="C19669" s="5" t="s">
        <v>206</v>
      </c>
      <c r="D19669" s="3" t="s">
        <v>68</v>
      </c>
      <c r="E19669" s="3" t="s">
        <v>100</v>
      </c>
      <c r="F19669" s="7">
        <v>46125.37357611937</v>
      </c>
      <c r="G19669" s="3" t="s">
        <v>15231</v>
      </c>
    </row>
    <row r="19670">
      <c r="A19670" s="3" t="s">
        <v>35862</v>
      </c>
      <c r="B19670" s="3" t="s">
        <v>16336</v>
      </c>
      <c r="C19670" s="5" t="s">
        <v>45</v>
      </c>
      <c r="D19670" s="3" t="s">
        <v>221</v>
      </c>
      <c r="E19670" s="3" t="s">
        <v>987</v>
      </c>
      <c r="F19670" s="7">
        <v>46125.434334298116</v>
      </c>
      <c r="G19670" s="3" t="s">
        <v>5810</v>
      </c>
    </row>
    <row r="19671">
      <c r="A19671" s="3" t="s">
        <v>35863</v>
      </c>
      <c r="B19671" s="3" t="s">
        <v>16336</v>
      </c>
      <c r="C19671" s="5" t="s">
        <v>221</v>
      </c>
      <c r="D19671" s="3" t="s">
        <v>614</v>
      </c>
      <c r="E19671" s="3" t="s">
        <v>118</v>
      </c>
      <c r="F19671" s="7">
        <v>46125.437806520335</v>
      </c>
      <c r="G19671" s="3" t="s">
        <v>5813</v>
      </c>
    </row>
    <row r="19672">
      <c r="A19672" s="3" t="s">
        <v>35864</v>
      </c>
      <c r="B19672" s="3" t="s">
        <v>16336</v>
      </c>
      <c r="C19672" s="5" t="s">
        <v>614</v>
      </c>
      <c r="D19672" s="3" t="s">
        <v>206</v>
      </c>
      <c r="E19672" s="3" t="s">
        <v>100</v>
      </c>
      <c r="F19672" s="7">
        <v>46125.44127874256</v>
      </c>
      <c r="G19672" s="3" t="s">
        <v>5815</v>
      </c>
    </row>
    <row r="19673">
      <c r="A19673" s="3" t="s">
        <v>35865</v>
      </c>
      <c r="B19673" s="3" t="s">
        <v>16336</v>
      </c>
      <c r="C19673" s="5" t="s">
        <v>206</v>
      </c>
      <c r="D19673" s="3" t="s">
        <v>68</v>
      </c>
      <c r="E19673" s="3" t="s">
        <v>100</v>
      </c>
      <c r="F19673" s="7">
        <v>46125.44475096478</v>
      </c>
      <c r="G19673" s="3" t="s">
        <v>5818</v>
      </c>
    </row>
    <row r="19674">
      <c r="A19674" s="3" t="s">
        <v>35866</v>
      </c>
      <c r="B19674" s="3" t="s">
        <v>16339</v>
      </c>
      <c r="C19674" s="5" t="s">
        <v>45</v>
      </c>
      <c r="D19674" s="3" t="s">
        <v>221</v>
      </c>
      <c r="E19674" s="3" t="s">
        <v>472</v>
      </c>
      <c r="F19674" s="7">
        <v>46125.50550914353</v>
      </c>
      <c r="G19674" s="3" t="s">
        <v>14875</v>
      </c>
    </row>
    <row r="19675">
      <c r="A19675" s="3" t="s">
        <v>35867</v>
      </c>
      <c r="B19675" s="3" t="s">
        <v>16339</v>
      </c>
      <c r="C19675" s="5" t="s">
        <v>221</v>
      </c>
      <c r="D19675" s="3" t="s">
        <v>614</v>
      </c>
      <c r="E19675" s="3" t="s">
        <v>118</v>
      </c>
      <c r="F19675" s="7">
        <v>46125.50898136575</v>
      </c>
      <c r="G19675" s="3" t="s">
        <v>14878</v>
      </c>
    </row>
    <row r="19676">
      <c r="A19676" s="3" t="s">
        <v>35868</v>
      </c>
      <c r="B19676" s="3" t="s">
        <v>16339</v>
      </c>
      <c r="C19676" s="5" t="s">
        <v>614</v>
      </c>
      <c r="D19676" s="3" t="s">
        <v>206</v>
      </c>
      <c r="E19676" s="3" t="s">
        <v>100</v>
      </c>
      <c r="F19676" s="7">
        <v>46125.51245358797</v>
      </c>
      <c r="G19676" s="3" t="s">
        <v>14881</v>
      </c>
    </row>
    <row r="19677">
      <c r="A19677" s="3" t="s">
        <v>35869</v>
      </c>
      <c r="B19677" s="3" t="s">
        <v>16339</v>
      </c>
      <c r="C19677" s="5" t="s">
        <v>206</v>
      </c>
      <c r="D19677" s="3" t="s">
        <v>68</v>
      </c>
      <c r="E19677" s="3" t="s">
        <v>100</v>
      </c>
      <c r="F19677" s="7">
        <v>46125.51592581019</v>
      </c>
      <c r="G19677" s="3" t="s">
        <v>14884</v>
      </c>
    </row>
    <row r="19678">
      <c r="A19678" s="3" t="s">
        <v>35870</v>
      </c>
      <c r="B19678" s="3" t="s">
        <v>16343</v>
      </c>
      <c r="C19678" s="5" t="s">
        <v>45</v>
      </c>
      <c r="D19678" s="3" t="s">
        <v>221</v>
      </c>
      <c r="E19678" s="3" t="s">
        <v>189</v>
      </c>
      <c r="F19678" s="7">
        <v>46125.57668398895</v>
      </c>
      <c r="G19678" s="3" t="s">
        <v>32992</v>
      </c>
    </row>
    <row r="19679">
      <c r="A19679" s="3" t="s">
        <v>35871</v>
      </c>
      <c r="B19679" s="3" t="s">
        <v>16343</v>
      </c>
      <c r="C19679" s="5" t="s">
        <v>221</v>
      </c>
      <c r="D19679" s="3" t="s">
        <v>614</v>
      </c>
      <c r="E19679" s="3" t="s">
        <v>118</v>
      </c>
      <c r="F19679" s="7">
        <v>46125.58015621117</v>
      </c>
      <c r="G19679" s="3" t="s">
        <v>32994</v>
      </c>
    </row>
    <row r="19680">
      <c r="A19680" s="3" t="s">
        <v>35872</v>
      </c>
      <c r="B19680" s="3" t="s">
        <v>16343</v>
      </c>
      <c r="C19680" s="5" t="s">
        <v>614</v>
      </c>
      <c r="D19680" s="3" t="s">
        <v>206</v>
      </c>
      <c r="E19680" s="3" t="s">
        <v>100</v>
      </c>
      <c r="F19680" s="7">
        <v>46125.58362843339</v>
      </c>
      <c r="G19680" s="3" t="s">
        <v>32996</v>
      </c>
    </row>
    <row r="19681">
      <c r="A19681" s="3" t="s">
        <v>35873</v>
      </c>
      <c r="B19681" s="3" t="s">
        <v>16343</v>
      </c>
      <c r="C19681" s="5" t="s">
        <v>206</v>
      </c>
      <c r="D19681" s="3" t="s">
        <v>68</v>
      </c>
      <c r="E19681" s="3" t="s">
        <v>100</v>
      </c>
      <c r="F19681" s="7">
        <v>46125.58710065561</v>
      </c>
      <c r="G19681" s="3" t="s">
        <v>32998</v>
      </c>
    </row>
    <row r="19682">
      <c r="A19682" s="3" t="s">
        <v>35874</v>
      </c>
      <c r="B19682" s="3" t="s">
        <v>16346</v>
      </c>
      <c r="C19682" s="5" t="s">
        <v>45</v>
      </c>
      <c r="D19682" s="3" t="s">
        <v>221</v>
      </c>
      <c r="E19682" s="3" t="s">
        <v>313</v>
      </c>
      <c r="F19682" s="7">
        <v>46125.64785883437</v>
      </c>
      <c r="G19682" s="3" t="s">
        <v>35875</v>
      </c>
    </row>
    <row r="19683">
      <c r="A19683" s="3" t="s">
        <v>35876</v>
      </c>
      <c r="B19683" s="3" t="s">
        <v>16346</v>
      </c>
      <c r="C19683" s="5" t="s">
        <v>221</v>
      </c>
      <c r="D19683" s="3" t="s">
        <v>614</v>
      </c>
      <c r="E19683" s="3" t="s">
        <v>118</v>
      </c>
      <c r="F19683" s="7">
        <v>46125.651331056586</v>
      </c>
      <c r="G19683" s="3" t="s">
        <v>35877</v>
      </c>
    </row>
    <row r="19684">
      <c r="A19684" s="3" t="s">
        <v>35878</v>
      </c>
      <c r="B19684" s="3" t="s">
        <v>16346</v>
      </c>
      <c r="C19684" s="5" t="s">
        <v>614</v>
      </c>
      <c r="D19684" s="3" t="s">
        <v>206</v>
      </c>
      <c r="E19684" s="3" t="s">
        <v>100</v>
      </c>
      <c r="F19684" s="7">
        <v>46125.65480327881</v>
      </c>
      <c r="G19684" s="3" t="s">
        <v>35879</v>
      </c>
    </row>
    <row r="19685">
      <c r="A19685" s="3" t="s">
        <v>35880</v>
      </c>
      <c r="B19685" s="3" t="s">
        <v>16346</v>
      </c>
      <c r="C19685" s="5" t="s">
        <v>206</v>
      </c>
      <c r="D19685" s="3" t="s">
        <v>68</v>
      </c>
      <c r="E19685" s="3" t="s">
        <v>100</v>
      </c>
      <c r="F19685" s="7">
        <v>46125.65827550103</v>
      </c>
      <c r="G19685" s="3" t="s">
        <v>35881</v>
      </c>
    </row>
    <row r="19686">
      <c r="A19686" s="3" t="s">
        <v>35882</v>
      </c>
      <c r="B19686" s="3" t="s">
        <v>16349</v>
      </c>
      <c r="C19686" s="5" t="s">
        <v>45</v>
      </c>
      <c r="D19686" s="3" t="s">
        <v>221</v>
      </c>
      <c r="E19686" s="3" t="s">
        <v>453</v>
      </c>
      <c r="F19686" s="7">
        <v>46125.71903367977</v>
      </c>
      <c r="G19686" s="3" t="s">
        <v>8181</v>
      </c>
    </row>
    <row r="19687">
      <c r="A19687" s="3" t="s">
        <v>35883</v>
      </c>
      <c r="B19687" s="3" t="s">
        <v>16349</v>
      </c>
      <c r="C19687" s="5" t="s">
        <v>221</v>
      </c>
      <c r="D19687" s="3" t="s">
        <v>614</v>
      </c>
      <c r="E19687" s="3" t="s">
        <v>118</v>
      </c>
      <c r="F19687" s="7">
        <v>46125.72250590199</v>
      </c>
      <c r="G19687" s="3" t="s">
        <v>11205</v>
      </c>
    </row>
    <row r="19688">
      <c r="A19688" s="3" t="s">
        <v>35884</v>
      </c>
      <c r="B19688" s="3" t="s">
        <v>16349</v>
      </c>
      <c r="C19688" s="5" t="s">
        <v>614</v>
      </c>
      <c r="D19688" s="3" t="s">
        <v>206</v>
      </c>
      <c r="E19688" s="3" t="s">
        <v>100</v>
      </c>
      <c r="F19688" s="7">
        <v>46125.72597812422</v>
      </c>
      <c r="G19688" s="3" t="s">
        <v>11208</v>
      </c>
    </row>
    <row r="19689">
      <c r="A19689" s="3" t="s">
        <v>35885</v>
      </c>
      <c r="B19689" s="3" t="s">
        <v>16349</v>
      </c>
      <c r="C19689" s="5" t="s">
        <v>206</v>
      </c>
      <c r="D19689" s="3" t="s">
        <v>68</v>
      </c>
      <c r="E19689" s="3" t="s">
        <v>100</v>
      </c>
      <c r="F19689" s="7">
        <v>46125.729450346436</v>
      </c>
      <c r="G19689" s="3" t="s">
        <v>11211</v>
      </c>
    </row>
    <row r="19690">
      <c r="A19690" s="3" t="s">
        <v>35886</v>
      </c>
      <c r="B19690" s="3" t="s">
        <v>16353</v>
      </c>
      <c r="C19690" s="5" t="s">
        <v>45</v>
      </c>
      <c r="D19690" s="3" t="s">
        <v>221</v>
      </c>
      <c r="E19690" s="3" t="s">
        <v>356</v>
      </c>
      <c r="F19690" s="7">
        <v>46125.79020852519</v>
      </c>
      <c r="G19690" s="3" t="s">
        <v>13585</v>
      </c>
    </row>
    <row r="19691">
      <c r="A19691" s="3" t="s">
        <v>35887</v>
      </c>
      <c r="B19691" s="3" t="s">
        <v>16353</v>
      </c>
      <c r="C19691" s="5" t="s">
        <v>221</v>
      </c>
      <c r="D19691" s="3" t="s">
        <v>614</v>
      </c>
      <c r="E19691" s="3" t="s">
        <v>118</v>
      </c>
      <c r="F19691" s="7">
        <v>46125.79368074741</v>
      </c>
      <c r="G19691" s="3" t="s">
        <v>13587</v>
      </c>
    </row>
    <row r="19692">
      <c r="A19692" s="3" t="s">
        <v>35888</v>
      </c>
      <c r="B19692" s="3" t="s">
        <v>16353</v>
      </c>
      <c r="C19692" s="5" t="s">
        <v>614</v>
      </c>
      <c r="D19692" s="3" t="s">
        <v>206</v>
      </c>
      <c r="E19692" s="3" t="s">
        <v>100</v>
      </c>
      <c r="F19692" s="7">
        <v>46125.79715296964</v>
      </c>
      <c r="G19692" s="3" t="s">
        <v>13590</v>
      </c>
    </row>
    <row r="19693">
      <c r="A19693" s="3" t="s">
        <v>35889</v>
      </c>
      <c r="B19693" s="3" t="s">
        <v>16353</v>
      </c>
      <c r="C19693" s="5" t="s">
        <v>206</v>
      </c>
      <c r="D19693" s="3" t="s">
        <v>68</v>
      </c>
      <c r="E19693" s="3" t="s">
        <v>100</v>
      </c>
      <c r="F19693" s="7">
        <v>46125.800625191856</v>
      </c>
      <c r="G19693" s="3" t="s">
        <v>13593</v>
      </c>
    </row>
    <row r="19694">
      <c r="A19694" s="3" t="s">
        <v>35890</v>
      </c>
      <c r="B19694" s="3" t="s">
        <v>16357</v>
      </c>
      <c r="C19694" s="5" t="s">
        <v>45</v>
      </c>
      <c r="D19694" s="3" t="s">
        <v>221</v>
      </c>
      <c r="E19694" s="3" t="s">
        <v>987</v>
      </c>
      <c r="F19694" s="7">
        <v>46125.86138337061</v>
      </c>
      <c r="G19694" s="3" t="s">
        <v>5810</v>
      </c>
    </row>
    <row r="19695">
      <c r="A19695" s="3" t="s">
        <v>35891</v>
      </c>
      <c r="B19695" s="3" t="s">
        <v>16357</v>
      </c>
      <c r="C19695" s="5" t="s">
        <v>221</v>
      </c>
      <c r="D19695" s="3" t="s">
        <v>614</v>
      </c>
      <c r="E19695" s="3" t="s">
        <v>118</v>
      </c>
      <c r="F19695" s="7">
        <v>46125.86485559283</v>
      </c>
      <c r="G19695" s="3" t="s">
        <v>5813</v>
      </c>
    </row>
    <row r="19696">
      <c r="A19696" s="3" t="s">
        <v>35892</v>
      </c>
      <c r="B19696" s="3" t="s">
        <v>16357</v>
      </c>
      <c r="C19696" s="5" t="s">
        <v>614</v>
      </c>
      <c r="D19696" s="3" t="s">
        <v>206</v>
      </c>
      <c r="E19696" s="3" t="s">
        <v>100</v>
      </c>
      <c r="F19696" s="7">
        <v>46125.86832781506</v>
      </c>
      <c r="G19696" s="3" t="s">
        <v>5815</v>
      </c>
    </row>
    <row r="19697">
      <c r="A19697" s="3" t="s">
        <v>35893</v>
      </c>
      <c r="B19697" s="3" t="s">
        <v>16357</v>
      </c>
      <c r="C19697" s="5" t="s">
        <v>206</v>
      </c>
      <c r="D19697" s="3" t="s">
        <v>68</v>
      </c>
      <c r="E19697" s="3" t="s">
        <v>100</v>
      </c>
      <c r="F19697" s="7">
        <v>46125.871800037276</v>
      </c>
      <c r="G19697" s="3" t="s">
        <v>5818</v>
      </c>
    </row>
    <row r="19698">
      <c r="A19698" s="3" t="s">
        <v>35894</v>
      </c>
      <c r="B19698" s="3" t="s">
        <v>16360</v>
      </c>
      <c r="C19698" s="5" t="s">
        <v>45</v>
      </c>
      <c r="D19698" s="3" t="s">
        <v>221</v>
      </c>
      <c r="E19698" s="3" t="s">
        <v>186</v>
      </c>
      <c r="F19698" s="7">
        <v>46125.93255821602</v>
      </c>
      <c r="G19698" s="3" t="s">
        <v>25401</v>
      </c>
    </row>
    <row r="19699">
      <c r="A19699" s="3" t="s">
        <v>35895</v>
      </c>
      <c r="B19699" s="3" t="s">
        <v>16360</v>
      </c>
      <c r="C19699" s="5" t="s">
        <v>221</v>
      </c>
      <c r="D19699" s="3" t="s">
        <v>614</v>
      </c>
      <c r="E19699" s="3" t="s">
        <v>118</v>
      </c>
      <c r="F19699" s="7">
        <v>46125.93603043824</v>
      </c>
      <c r="G19699" s="3" t="s">
        <v>25403</v>
      </c>
    </row>
    <row r="19700">
      <c r="A19700" s="3" t="s">
        <v>35896</v>
      </c>
      <c r="B19700" s="3" t="s">
        <v>16360</v>
      </c>
      <c r="C19700" s="5" t="s">
        <v>614</v>
      </c>
      <c r="D19700" s="3" t="s">
        <v>206</v>
      </c>
      <c r="E19700" s="3" t="s">
        <v>100</v>
      </c>
      <c r="F19700" s="7">
        <v>46125.93950266047</v>
      </c>
      <c r="G19700" s="3" t="s">
        <v>25405</v>
      </c>
    </row>
    <row r="19701">
      <c r="A19701" s="3" t="s">
        <v>35897</v>
      </c>
      <c r="B19701" s="3" t="s">
        <v>16360</v>
      </c>
      <c r="C19701" s="5" t="s">
        <v>206</v>
      </c>
      <c r="D19701" s="3" t="s">
        <v>68</v>
      </c>
      <c r="E19701" s="3" t="s">
        <v>100</v>
      </c>
      <c r="F19701" s="7">
        <v>46125.94297488269</v>
      </c>
      <c r="G19701" s="3" t="s">
        <v>25407</v>
      </c>
    </row>
    <row r="19702">
      <c r="A19702" s="3" t="s">
        <v>35898</v>
      </c>
      <c r="B19702" s="3" t="s">
        <v>16362</v>
      </c>
      <c r="C19702" s="5" t="s">
        <v>45</v>
      </c>
      <c r="D19702" s="3" t="s">
        <v>221</v>
      </c>
      <c r="E19702" s="3" t="s">
        <v>366</v>
      </c>
      <c r="F19702" s="7">
        <v>46126.003733061436</v>
      </c>
      <c r="G19702" s="3" t="s">
        <v>17283</v>
      </c>
    </row>
    <row r="19703">
      <c r="A19703" s="3" t="s">
        <v>35899</v>
      </c>
      <c r="B19703" s="3" t="s">
        <v>16362</v>
      </c>
      <c r="C19703" s="5" t="s">
        <v>221</v>
      </c>
      <c r="D19703" s="3" t="s">
        <v>614</v>
      </c>
      <c r="E19703" s="3" t="s">
        <v>118</v>
      </c>
      <c r="F19703" s="7">
        <v>46126.007205283655</v>
      </c>
      <c r="G19703" s="3" t="s">
        <v>17285</v>
      </c>
    </row>
    <row r="19704">
      <c r="A19704" s="3" t="s">
        <v>35900</v>
      </c>
      <c r="B19704" s="3" t="s">
        <v>16362</v>
      </c>
      <c r="C19704" s="5" t="s">
        <v>614</v>
      </c>
      <c r="D19704" s="3" t="s">
        <v>206</v>
      </c>
      <c r="E19704" s="3" t="s">
        <v>100</v>
      </c>
      <c r="F19704" s="7">
        <v>46126.01067750588</v>
      </c>
      <c r="G19704" s="3" t="s">
        <v>17288</v>
      </c>
    </row>
    <row r="19705">
      <c r="A19705" s="3" t="s">
        <v>35901</v>
      </c>
      <c r="B19705" s="3" t="s">
        <v>16362</v>
      </c>
      <c r="C19705" s="5" t="s">
        <v>206</v>
      </c>
      <c r="D19705" s="3" t="s">
        <v>68</v>
      </c>
      <c r="E19705" s="3" t="s">
        <v>100</v>
      </c>
      <c r="F19705" s="7">
        <v>46126.0141497281</v>
      </c>
      <c r="G19705" s="3" t="s">
        <v>17291</v>
      </c>
    </row>
    <row r="19706">
      <c r="A19706" s="3" t="s">
        <v>35902</v>
      </c>
      <c r="B19706" s="3" t="s">
        <v>16365</v>
      </c>
      <c r="C19706" s="5" t="s">
        <v>45</v>
      </c>
      <c r="D19706" s="3" t="s">
        <v>221</v>
      </c>
      <c r="E19706" s="3" t="s">
        <v>778</v>
      </c>
      <c r="F19706" s="7">
        <v>46126.074907906856</v>
      </c>
      <c r="G19706" s="3" t="s">
        <v>19906</v>
      </c>
    </row>
    <row r="19707">
      <c r="A19707" s="3" t="s">
        <v>35903</v>
      </c>
      <c r="B19707" s="3" t="s">
        <v>16365</v>
      </c>
      <c r="C19707" s="5" t="s">
        <v>221</v>
      </c>
      <c r="D19707" s="3" t="s">
        <v>614</v>
      </c>
      <c r="E19707" s="3" t="s">
        <v>118</v>
      </c>
      <c r="F19707" s="7">
        <v>46126.078380129075</v>
      </c>
      <c r="G19707" s="3" t="s">
        <v>19908</v>
      </c>
    </row>
    <row r="19708">
      <c r="A19708" s="3" t="s">
        <v>35904</v>
      </c>
      <c r="B19708" s="3" t="s">
        <v>16365</v>
      </c>
      <c r="C19708" s="5" t="s">
        <v>614</v>
      </c>
      <c r="D19708" s="3" t="s">
        <v>206</v>
      </c>
      <c r="E19708" s="3" t="s">
        <v>100</v>
      </c>
      <c r="F19708" s="7">
        <v>46126.0818523513</v>
      </c>
      <c r="G19708" s="3" t="s">
        <v>19911</v>
      </c>
    </row>
    <row r="19709">
      <c r="A19709" s="3" t="s">
        <v>35905</v>
      </c>
      <c r="B19709" s="3" t="s">
        <v>16365</v>
      </c>
      <c r="C19709" s="5" t="s">
        <v>206</v>
      </c>
      <c r="D19709" s="3" t="s">
        <v>68</v>
      </c>
      <c r="E19709" s="3" t="s">
        <v>100</v>
      </c>
      <c r="F19709" s="7">
        <v>46126.08532457352</v>
      </c>
      <c r="G19709" s="3" t="s">
        <v>19914</v>
      </c>
    </row>
    <row r="19710">
      <c r="A19710" s="3" t="s">
        <v>35906</v>
      </c>
      <c r="B19710" s="3" t="s">
        <v>16368</v>
      </c>
      <c r="C19710" s="5" t="s">
        <v>45</v>
      </c>
      <c r="D19710" s="3" t="s">
        <v>221</v>
      </c>
      <c r="E19710" s="3" t="s">
        <v>330</v>
      </c>
      <c r="F19710" s="7">
        <v>46126.14608275227</v>
      </c>
      <c r="G19710" s="3" t="s">
        <v>34746</v>
      </c>
    </row>
    <row r="19711">
      <c r="A19711" s="3" t="s">
        <v>35907</v>
      </c>
      <c r="B19711" s="3" t="s">
        <v>16368</v>
      </c>
      <c r="C19711" s="5" t="s">
        <v>221</v>
      </c>
      <c r="D19711" s="3" t="s">
        <v>181</v>
      </c>
      <c r="E19711" s="3" t="s">
        <v>118</v>
      </c>
      <c r="F19711" s="7">
        <v>46126.14955497449</v>
      </c>
      <c r="G19711" s="3" t="s">
        <v>35908</v>
      </c>
    </row>
    <row r="19712">
      <c r="A19712" s="3" t="s">
        <v>35909</v>
      </c>
      <c r="B19712" s="3" t="s">
        <v>16372</v>
      </c>
      <c r="C19712" s="5" t="s">
        <v>45</v>
      </c>
      <c r="D19712" s="3" t="s">
        <v>221</v>
      </c>
      <c r="E19712" s="3" t="s">
        <v>546</v>
      </c>
      <c r="F19712" s="7">
        <v>46126.21725759768</v>
      </c>
      <c r="G19712" s="3" t="s">
        <v>8676</v>
      </c>
    </row>
    <row r="19713">
      <c r="A19713" s="3" t="s">
        <v>35910</v>
      </c>
      <c r="B19713" s="3" t="s">
        <v>16372</v>
      </c>
      <c r="C19713" s="5" t="s">
        <v>221</v>
      </c>
      <c r="D19713" s="3" t="s">
        <v>614</v>
      </c>
      <c r="E19713" s="3" t="s">
        <v>118</v>
      </c>
      <c r="F19713" s="7">
        <v>46126.2207298199</v>
      </c>
      <c r="G19713" s="3" t="s">
        <v>8679</v>
      </c>
    </row>
    <row r="19714">
      <c r="A19714" s="3" t="s">
        <v>35911</v>
      </c>
      <c r="B19714" s="3" t="s">
        <v>16372</v>
      </c>
      <c r="C19714" s="5" t="s">
        <v>614</v>
      </c>
      <c r="D19714" s="3" t="s">
        <v>206</v>
      </c>
      <c r="E19714" s="3" t="s">
        <v>100</v>
      </c>
      <c r="F19714" s="7">
        <v>46126.224202042125</v>
      </c>
      <c r="G19714" s="3" t="s">
        <v>8682</v>
      </c>
    </row>
    <row r="19715">
      <c r="A19715" s="3" t="s">
        <v>35912</v>
      </c>
      <c r="B19715" s="3" t="s">
        <v>16372</v>
      </c>
      <c r="C19715" s="5" t="s">
        <v>206</v>
      </c>
      <c r="D19715" s="3" t="s">
        <v>68</v>
      </c>
      <c r="E19715" s="3" t="s">
        <v>100</v>
      </c>
      <c r="F19715" s="7">
        <v>46126.227674264344</v>
      </c>
      <c r="G19715" s="3" t="s">
        <v>8685</v>
      </c>
    </row>
    <row r="19716">
      <c r="A19716" s="3" t="s">
        <v>35913</v>
      </c>
      <c r="B19716" s="3" t="s">
        <v>16376</v>
      </c>
      <c r="C19716" s="5" t="s">
        <v>45</v>
      </c>
      <c r="D19716" s="3" t="s">
        <v>221</v>
      </c>
      <c r="E19716" s="3" t="s">
        <v>908</v>
      </c>
      <c r="F19716" s="7">
        <v>46126.2884324431</v>
      </c>
      <c r="G19716" s="3" t="s">
        <v>12142</v>
      </c>
    </row>
    <row r="19717">
      <c r="A19717" s="3" t="s">
        <v>35914</v>
      </c>
      <c r="B19717" s="3" t="s">
        <v>16376</v>
      </c>
      <c r="C19717" s="5" t="s">
        <v>221</v>
      </c>
      <c r="D19717" s="3" t="s">
        <v>614</v>
      </c>
      <c r="E19717" s="3" t="s">
        <v>118</v>
      </c>
      <c r="F19717" s="7">
        <v>46126.29190466532</v>
      </c>
      <c r="G19717" s="3" t="s">
        <v>12145</v>
      </c>
    </row>
    <row r="19718">
      <c r="A19718" s="3" t="s">
        <v>35915</v>
      </c>
      <c r="B19718" s="3" t="s">
        <v>16376</v>
      </c>
      <c r="C19718" s="5" t="s">
        <v>614</v>
      </c>
      <c r="D19718" s="3" t="s">
        <v>206</v>
      </c>
      <c r="E19718" s="3" t="s">
        <v>100</v>
      </c>
      <c r="F19718" s="7">
        <v>46126.295376887545</v>
      </c>
      <c r="G19718" s="3" t="s">
        <v>12148</v>
      </c>
    </row>
    <row r="19719">
      <c r="A19719" s="3" t="s">
        <v>35916</v>
      </c>
      <c r="B19719" s="3" t="s">
        <v>16376</v>
      </c>
      <c r="C19719" s="5" t="s">
        <v>206</v>
      </c>
      <c r="D19719" s="3" t="s">
        <v>68</v>
      </c>
      <c r="E19719" s="3" t="s">
        <v>100</v>
      </c>
      <c r="F19719" s="7">
        <v>46126.298849109764</v>
      </c>
      <c r="G19719" s="3" t="s">
        <v>12151</v>
      </c>
    </row>
    <row r="19720">
      <c r="A19720" s="3" t="s">
        <v>35917</v>
      </c>
      <c r="B19720" s="3" t="s">
        <v>16379</v>
      </c>
      <c r="C19720" s="5" t="s">
        <v>45</v>
      </c>
      <c r="D19720" s="3" t="s">
        <v>221</v>
      </c>
      <c r="E19720" s="3" t="s">
        <v>162</v>
      </c>
      <c r="F19720" s="7">
        <v>46126.35960728851</v>
      </c>
      <c r="G19720" s="3" t="s">
        <v>15265</v>
      </c>
    </row>
    <row r="19721">
      <c r="A19721" s="3" t="s">
        <v>35918</v>
      </c>
      <c r="B19721" s="3" t="s">
        <v>16379</v>
      </c>
      <c r="C19721" s="5" t="s">
        <v>221</v>
      </c>
      <c r="D19721" s="3" t="s">
        <v>614</v>
      </c>
      <c r="E19721" s="3" t="s">
        <v>118</v>
      </c>
      <c r="F19721" s="7">
        <v>46126.36307951073</v>
      </c>
      <c r="G19721" s="3" t="s">
        <v>15268</v>
      </c>
    </row>
    <row r="19722">
      <c r="A19722" s="3" t="s">
        <v>35919</v>
      </c>
      <c r="B19722" s="3" t="s">
        <v>16379</v>
      </c>
      <c r="C19722" s="5" t="s">
        <v>614</v>
      </c>
      <c r="D19722" s="3" t="s">
        <v>206</v>
      </c>
      <c r="E19722" s="3" t="s">
        <v>100</v>
      </c>
      <c r="F19722" s="7">
        <v>46126.36655173296</v>
      </c>
      <c r="G19722" s="3" t="s">
        <v>15272</v>
      </c>
    </row>
    <row r="19723">
      <c r="A19723" s="3" t="s">
        <v>35920</v>
      </c>
      <c r="B19723" s="3" t="s">
        <v>16379</v>
      </c>
      <c r="C19723" s="5" t="s">
        <v>206</v>
      </c>
      <c r="D19723" s="3" t="s">
        <v>68</v>
      </c>
      <c r="E19723" s="3" t="s">
        <v>100</v>
      </c>
      <c r="F19723" s="7">
        <v>46126.370023955176</v>
      </c>
      <c r="G19723" s="3" t="s">
        <v>15275</v>
      </c>
    </row>
    <row r="19724">
      <c r="A19724" s="3" t="s">
        <v>35921</v>
      </c>
      <c r="B19724" s="3" t="s">
        <v>16382</v>
      </c>
      <c r="C19724" s="5" t="s">
        <v>45</v>
      </c>
      <c r="D19724" s="3" t="s">
        <v>221</v>
      </c>
      <c r="E19724" s="3" t="s">
        <v>619</v>
      </c>
      <c r="F19724" s="7">
        <v>46126.430782133924</v>
      </c>
      <c r="G19724" s="3" t="s">
        <v>19675</v>
      </c>
    </row>
    <row r="19725">
      <c r="A19725" s="3" t="s">
        <v>35922</v>
      </c>
      <c r="B19725" s="3" t="s">
        <v>16382</v>
      </c>
      <c r="C19725" s="5" t="s">
        <v>221</v>
      </c>
      <c r="D19725" s="3" t="s">
        <v>614</v>
      </c>
      <c r="E19725" s="3" t="s">
        <v>118</v>
      </c>
      <c r="F19725" s="7">
        <v>46126.43425435614</v>
      </c>
      <c r="G19725" s="3" t="s">
        <v>19678</v>
      </c>
    </row>
    <row r="19726">
      <c r="A19726" s="3" t="s">
        <v>35923</v>
      </c>
      <c r="B19726" s="3" t="s">
        <v>16382</v>
      </c>
      <c r="C19726" s="5" t="s">
        <v>614</v>
      </c>
      <c r="D19726" s="3" t="s">
        <v>206</v>
      </c>
      <c r="E19726" s="3" t="s">
        <v>100</v>
      </c>
      <c r="F19726" s="7">
        <v>46126.43772657837</v>
      </c>
      <c r="G19726" s="3" t="s">
        <v>19681</v>
      </c>
    </row>
    <row r="19727">
      <c r="A19727" s="3" t="s">
        <v>35924</v>
      </c>
      <c r="B19727" s="3" t="s">
        <v>16382</v>
      </c>
      <c r="C19727" s="5" t="s">
        <v>206</v>
      </c>
      <c r="D19727" s="3" t="s">
        <v>68</v>
      </c>
      <c r="E19727" s="3" t="s">
        <v>100</v>
      </c>
      <c r="F19727" s="7">
        <v>46126.44119880059</v>
      </c>
      <c r="G19727" s="3" t="s">
        <v>19684</v>
      </c>
    </row>
    <row r="19728">
      <c r="A19728" s="3" t="s">
        <v>35925</v>
      </c>
      <c r="B19728" s="3" t="s">
        <v>16386</v>
      </c>
      <c r="C19728" s="5" t="s">
        <v>45</v>
      </c>
      <c r="D19728" s="3" t="s">
        <v>221</v>
      </c>
      <c r="E19728" s="3" t="s">
        <v>475</v>
      </c>
      <c r="F19728" s="7">
        <v>46126.501956979344</v>
      </c>
      <c r="G19728" s="3" t="s">
        <v>17197</v>
      </c>
    </row>
    <row r="19729">
      <c r="A19729" s="3" t="s">
        <v>35926</v>
      </c>
      <c r="B19729" s="3" t="s">
        <v>16386</v>
      </c>
      <c r="C19729" s="5" t="s">
        <v>221</v>
      </c>
      <c r="D19729" s="3" t="s">
        <v>181</v>
      </c>
      <c r="E19729" s="3" t="s">
        <v>118</v>
      </c>
      <c r="F19729" s="7">
        <v>46126.50542920156</v>
      </c>
      <c r="G19729" s="3" t="s">
        <v>35927</v>
      </c>
    </row>
    <row r="19730">
      <c r="A19730" s="3" t="s">
        <v>35928</v>
      </c>
      <c r="B19730" s="3" t="s">
        <v>16390</v>
      </c>
      <c r="C19730" s="5" t="s">
        <v>45</v>
      </c>
      <c r="D19730" s="3" t="s">
        <v>221</v>
      </c>
      <c r="E19730" s="3" t="s">
        <v>990</v>
      </c>
      <c r="F19730" s="7">
        <v>46126.573131824756</v>
      </c>
      <c r="G19730" s="3" t="s">
        <v>13803</v>
      </c>
    </row>
    <row r="19731">
      <c r="A19731" s="3" t="s">
        <v>35929</v>
      </c>
      <c r="B19731" s="3" t="s">
        <v>16390</v>
      </c>
      <c r="C19731" s="5" t="s">
        <v>221</v>
      </c>
      <c r="D19731" s="3" t="s">
        <v>614</v>
      </c>
      <c r="E19731" s="3" t="s">
        <v>118</v>
      </c>
      <c r="F19731" s="7">
        <v>46126.576604046975</v>
      </c>
      <c r="G19731" s="3" t="s">
        <v>13805</v>
      </c>
    </row>
    <row r="19732">
      <c r="A19732" s="3" t="s">
        <v>35930</v>
      </c>
      <c r="B19732" s="3" t="s">
        <v>16390</v>
      </c>
      <c r="C19732" s="5" t="s">
        <v>614</v>
      </c>
      <c r="D19732" s="3" t="s">
        <v>206</v>
      </c>
      <c r="E19732" s="3" t="s">
        <v>100</v>
      </c>
      <c r="F19732" s="7">
        <v>46126.5800762692</v>
      </c>
      <c r="G19732" s="3" t="s">
        <v>13808</v>
      </c>
    </row>
    <row r="19733">
      <c r="A19733" s="3" t="s">
        <v>35931</v>
      </c>
      <c r="B19733" s="3" t="s">
        <v>16390</v>
      </c>
      <c r="C19733" s="5" t="s">
        <v>206</v>
      </c>
      <c r="D19733" s="3" t="s">
        <v>68</v>
      </c>
      <c r="E19733" s="3" t="s">
        <v>100</v>
      </c>
      <c r="F19733" s="7">
        <v>46126.58354849142</v>
      </c>
      <c r="G19733" s="3" t="s">
        <v>13811</v>
      </c>
    </row>
    <row r="19734">
      <c r="A19734" s="3" t="s">
        <v>35932</v>
      </c>
      <c r="B19734" s="3" t="s">
        <v>16393</v>
      </c>
      <c r="C19734" s="5" t="s">
        <v>45</v>
      </c>
      <c r="D19734" s="3" t="s">
        <v>221</v>
      </c>
      <c r="E19734" s="3" t="s">
        <v>373</v>
      </c>
      <c r="F19734" s="7">
        <v>46126.64430667017</v>
      </c>
      <c r="G19734" s="3" t="s">
        <v>15279</v>
      </c>
    </row>
    <row r="19735">
      <c r="A19735" s="3" t="s">
        <v>35933</v>
      </c>
      <c r="B19735" s="3" t="s">
        <v>16393</v>
      </c>
      <c r="C19735" s="5" t="s">
        <v>221</v>
      </c>
      <c r="D19735" s="3" t="s">
        <v>614</v>
      </c>
      <c r="E19735" s="3" t="s">
        <v>118</v>
      </c>
      <c r="F19735" s="7">
        <v>46126.64777889239</v>
      </c>
      <c r="G19735" s="3" t="s">
        <v>15281</v>
      </c>
    </row>
    <row r="19736">
      <c r="A19736" s="3" t="s">
        <v>35934</v>
      </c>
      <c r="B19736" s="3" t="s">
        <v>16393</v>
      </c>
      <c r="C19736" s="5" t="s">
        <v>614</v>
      </c>
      <c r="D19736" s="3" t="s">
        <v>206</v>
      </c>
      <c r="E19736" s="3" t="s">
        <v>100</v>
      </c>
      <c r="F19736" s="7">
        <v>46126.651251114614</v>
      </c>
      <c r="G19736" s="3" t="s">
        <v>15284</v>
      </c>
    </row>
    <row r="19737">
      <c r="A19737" s="3" t="s">
        <v>35935</v>
      </c>
      <c r="B19737" s="3" t="s">
        <v>16393</v>
      </c>
      <c r="C19737" s="5" t="s">
        <v>206</v>
      </c>
      <c r="D19737" s="3" t="s">
        <v>68</v>
      </c>
      <c r="E19737" s="3" t="s">
        <v>100</v>
      </c>
      <c r="F19737" s="7">
        <v>46126.65472333683</v>
      </c>
      <c r="G19737" s="3" t="s">
        <v>15287</v>
      </c>
    </row>
    <row r="19738">
      <c r="A19738" s="3" t="s">
        <v>35936</v>
      </c>
      <c r="B19738" s="3" t="s">
        <v>16395</v>
      </c>
      <c r="C19738" s="5" t="s">
        <v>45</v>
      </c>
      <c r="D19738" s="3" t="s">
        <v>221</v>
      </c>
      <c r="E19738" s="3" t="s">
        <v>449</v>
      </c>
      <c r="F19738" s="7">
        <v>46126.71548151559</v>
      </c>
      <c r="G19738" s="3" t="s">
        <v>17598</v>
      </c>
    </row>
    <row r="19739">
      <c r="A19739" s="3" t="s">
        <v>35937</v>
      </c>
      <c r="B19739" s="3" t="s">
        <v>16395</v>
      </c>
      <c r="C19739" s="5" t="s">
        <v>221</v>
      </c>
      <c r="D19739" s="3" t="s">
        <v>614</v>
      </c>
      <c r="E19739" s="3" t="s">
        <v>118</v>
      </c>
      <c r="F19739" s="7">
        <v>46126.71895373781</v>
      </c>
      <c r="G19739" s="3" t="s">
        <v>17601</v>
      </c>
    </row>
    <row r="19740">
      <c r="A19740" s="3" t="s">
        <v>35938</v>
      </c>
      <c r="B19740" s="3" t="s">
        <v>16395</v>
      </c>
      <c r="C19740" s="5" t="s">
        <v>614</v>
      </c>
      <c r="D19740" s="3" t="s">
        <v>206</v>
      </c>
      <c r="E19740" s="3" t="s">
        <v>100</v>
      </c>
      <c r="F19740" s="7">
        <v>46126.72242596003</v>
      </c>
      <c r="G19740" s="3" t="s">
        <v>17604</v>
      </c>
    </row>
    <row r="19741">
      <c r="A19741" s="3" t="s">
        <v>35939</v>
      </c>
      <c r="B19741" s="3" t="s">
        <v>16395</v>
      </c>
      <c r="C19741" s="5" t="s">
        <v>206</v>
      </c>
      <c r="D19741" s="3" t="s">
        <v>68</v>
      </c>
      <c r="E19741" s="3" t="s">
        <v>100</v>
      </c>
      <c r="F19741" s="7">
        <v>46126.72589818225</v>
      </c>
      <c r="G19741" s="3" t="s">
        <v>17607</v>
      </c>
    </row>
    <row r="19742">
      <c r="A19742" s="3" t="s">
        <v>35940</v>
      </c>
      <c r="B19742" s="3" t="s">
        <v>16397</v>
      </c>
      <c r="C19742" s="5" t="s">
        <v>45</v>
      </c>
      <c r="D19742" s="3" t="s">
        <v>221</v>
      </c>
      <c r="E19742" s="3" t="s">
        <v>756</v>
      </c>
      <c r="F19742" s="7">
        <v>46126.78665636101</v>
      </c>
      <c r="G19742" s="3" t="s">
        <v>15252</v>
      </c>
    </row>
    <row r="19743">
      <c r="A19743" s="3" t="s">
        <v>35941</v>
      </c>
      <c r="B19743" s="3" t="s">
        <v>16397</v>
      </c>
      <c r="C19743" s="5" t="s">
        <v>221</v>
      </c>
      <c r="D19743" s="3" t="s">
        <v>614</v>
      </c>
      <c r="E19743" s="3" t="s">
        <v>118</v>
      </c>
      <c r="F19743" s="7">
        <v>46126.79012858323</v>
      </c>
      <c r="G19743" s="3" t="s">
        <v>15256</v>
      </c>
    </row>
    <row r="19744">
      <c r="A19744" s="3" t="s">
        <v>35942</v>
      </c>
      <c r="B19744" s="3" t="s">
        <v>16397</v>
      </c>
      <c r="C19744" s="5" t="s">
        <v>614</v>
      </c>
      <c r="D19744" s="3" t="s">
        <v>206</v>
      </c>
      <c r="E19744" s="3" t="s">
        <v>100</v>
      </c>
      <c r="F19744" s="7">
        <v>46126.79360080545</v>
      </c>
      <c r="G19744" s="3" t="s">
        <v>15259</v>
      </c>
    </row>
    <row r="19745">
      <c r="A19745" s="3" t="s">
        <v>35943</v>
      </c>
      <c r="B19745" s="3" t="s">
        <v>16397</v>
      </c>
      <c r="C19745" s="5" t="s">
        <v>206</v>
      </c>
      <c r="D19745" s="3" t="s">
        <v>68</v>
      </c>
      <c r="E19745" s="3" t="s">
        <v>100</v>
      </c>
      <c r="F19745" s="7">
        <v>46126.79707302767</v>
      </c>
      <c r="G19745" s="3" t="s">
        <v>15262</v>
      </c>
    </row>
    <row r="19746">
      <c r="A19746" s="3" t="s">
        <v>35944</v>
      </c>
      <c r="B19746" s="3" t="s">
        <v>16400</v>
      </c>
      <c r="C19746" s="5" t="s">
        <v>45</v>
      </c>
      <c r="D19746" s="3" t="s">
        <v>221</v>
      </c>
      <c r="E19746" s="3" t="s">
        <v>657</v>
      </c>
      <c r="F19746" s="7">
        <v>46126.85783120641</v>
      </c>
      <c r="G19746" s="3" t="s">
        <v>13925</v>
      </c>
    </row>
    <row r="19747">
      <c r="A19747" s="3" t="s">
        <v>35945</v>
      </c>
      <c r="B19747" s="3" t="s">
        <v>16400</v>
      </c>
      <c r="C19747" s="5" t="s">
        <v>221</v>
      </c>
      <c r="D19747" s="3" t="s">
        <v>614</v>
      </c>
      <c r="E19747" s="3" t="s">
        <v>118</v>
      </c>
      <c r="F19747" s="7">
        <v>46126.86130342863</v>
      </c>
      <c r="G19747" s="3" t="s">
        <v>13928</v>
      </c>
    </row>
    <row r="19748">
      <c r="A19748" s="3" t="s">
        <v>35946</v>
      </c>
      <c r="B19748" s="3" t="s">
        <v>16400</v>
      </c>
      <c r="C19748" s="5" t="s">
        <v>614</v>
      </c>
      <c r="D19748" s="3" t="s">
        <v>206</v>
      </c>
      <c r="E19748" s="3" t="s">
        <v>100</v>
      </c>
      <c r="F19748" s="7">
        <v>46126.86477565086</v>
      </c>
      <c r="G19748" s="3" t="s">
        <v>13930</v>
      </c>
    </row>
    <row r="19749">
      <c r="A19749" s="3" t="s">
        <v>35947</v>
      </c>
      <c r="B19749" s="3" t="s">
        <v>16400</v>
      </c>
      <c r="C19749" s="5" t="s">
        <v>206</v>
      </c>
      <c r="D19749" s="3" t="s">
        <v>68</v>
      </c>
      <c r="E19749" s="3" t="s">
        <v>100</v>
      </c>
      <c r="F19749" s="7">
        <v>46126.86824787308</v>
      </c>
      <c r="G19749" s="3" t="s">
        <v>13933</v>
      </c>
    </row>
    <row r="19750">
      <c r="A19750" s="3" t="s">
        <v>35948</v>
      </c>
      <c r="B19750" s="3" t="s">
        <v>16402</v>
      </c>
      <c r="C19750" s="5" t="s">
        <v>45</v>
      </c>
      <c r="D19750" s="3" t="s">
        <v>221</v>
      </c>
      <c r="E19750" s="3" t="s">
        <v>475</v>
      </c>
      <c r="F19750" s="7">
        <v>46126.92900605183</v>
      </c>
      <c r="G19750" s="3" t="s">
        <v>17197</v>
      </c>
    </row>
    <row r="19751">
      <c r="A19751" s="3" t="s">
        <v>35949</v>
      </c>
      <c r="B19751" s="3" t="s">
        <v>16402</v>
      </c>
      <c r="C19751" s="5" t="s">
        <v>221</v>
      </c>
      <c r="D19751" s="3" t="s">
        <v>614</v>
      </c>
      <c r="E19751" s="3" t="s">
        <v>118</v>
      </c>
      <c r="F19751" s="7">
        <v>46126.93247827405</v>
      </c>
      <c r="G19751" s="3" t="s">
        <v>17199</v>
      </c>
    </row>
    <row r="19752">
      <c r="A19752" s="3" t="s">
        <v>35950</v>
      </c>
      <c r="B19752" s="3" t="s">
        <v>16402</v>
      </c>
      <c r="C19752" s="5" t="s">
        <v>614</v>
      </c>
      <c r="D19752" s="3" t="s">
        <v>206</v>
      </c>
      <c r="E19752" s="3" t="s">
        <v>100</v>
      </c>
      <c r="F19752" s="7">
        <v>46126.93595049628</v>
      </c>
      <c r="G19752" s="3" t="s">
        <v>17202</v>
      </c>
    </row>
    <row r="19753">
      <c r="A19753" s="3" t="s">
        <v>35951</v>
      </c>
      <c r="B19753" s="3" t="s">
        <v>16402</v>
      </c>
      <c r="C19753" s="5" t="s">
        <v>206</v>
      </c>
      <c r="D19753" s="3" t="s">
        <v>68</v>
      </c>
      <c r="E19753" s="3" t="s">
        <v>100</v>
      </c>
      <c r="F19753" s="7">
        <v>46126.9394227185</v>
      </c>
      <c r="G19753" s="3" t="s">
        <v>17205</v>
      </c>
    </row>
    <row r="19754">
      <c r="A19754" s="3" t="s">
        <v>35952</v>
      </c>
      <c r="B19754" s="3" t="s">
        <v>16404</v>
      </c>
      <c r="C19754" s="5" t="s">
        <v>45</v>
      </c>
      <c r="D19754" s="3" t="s">
        <v>221</v>
      </c>
      <c r="E19754" s="3" t="s">
        <v>400</v>
      </c>
      <c r="F19754" s="7">
        <v>46127.00018089725</v>
      </c>
      <c r="G19754" s="3" t="s">
        <v>26846</v>
      </c>
    </row>
    <row r="19755">
      <c r="A19755" s="3" t="s">
        <v>35953</v>
      </c>
      <c r="B19755" s="3" t="s">
        <v>16404</v>
      </c>
      <c r="C19755" s="5" t="s">
        <v>221</v>
      </c>
      <c r="D19755" s="3" t="s">
        <v>614</v>
      </c>
      <c r="E19755" s="3" t="s">
        <v>118</v>
      </c>
      <c r="F19755" s="7">
        <v>46127.00365311947</v>
      </c>
      <c r="G19755" s="3" t="s">
        <v>29677</v>
      </c>
    </row>
    <row r="19756">
      <c r="A19756" s="3" t="s">
        <v>35954</v>
      </c>
      <c r="B19756" s="3" t="s">
        <v>16404</v>
      </c>
      <c r="C19756" s="5" t="s">
        <v>614</v>
      </c>
      <c r="D19756" s="3" t="s">
        <v>206</v>
      </c>
      <c r="E19756" s="3" t="s">
        <v>100</v>
      </c>
      <c r="F19756" s="7">
        <v>46127.0071253417</v>
      </c>
      <c r="G19756" s="3" t="s">
        <v>29679</v>
      </c>
    </row>
    <row r="19757">
      <c r="A19757" s="3" t="s">
        <v>35955</v>
      </c>
      <c r="B19757" s="3" t="s">
        <v>16404</v>
      </c>
      <c r="C19757" s="5" t="s">
        <v>206</v>
      </c>
      <c r="D19757" s="3" t="s">
        <v>68</v>
      </c>
      <c r="E19757" s="3" t="s">
        <v>100</v>
      </c>
      <c r="F19757" s="7">
        <v>46127.010597563916</v>
      </c>
      <c r="G19757" s="3" t="s">
        <v>29681</v>
      </c>
    </row>
    <row r="19758">
      <c r="A19758" s="3" t="s">
        <v>35956</v>
      </c>
      <c r="B19758" s="3" t="s">
        <v>16406</v>
      </c>
      <c r="C19758" s="5" t="s">
        <v>45</v>
      </c>
      <c r="D19758" s="3" t="s">
        <v>221</v>
      </c>
      <c r="E19758" s="3" t="s">
        <v>1040</v>
      </c>
      <c r="F19758" s="7">
        <v>46127.071355742664</v>
      </c>
      <c r="G19758" s="3" t="s">
        <v>25704</v>
      </c>
    </row>
    <row r="19759">
      <c r="A19759" s="3" t="s">
        <v>35957</v>
      </c>
      <c r="B19759" s="3" t="s">
        <v>16406</v>
      </c>
      <c r="C19759" s="5" t="s">
        <v>221</v>
      </c>
      <c r="D19759" s="3" t="s">
        <v>614</v>
      </c>
      <c r="E19759" s="3" t="s">
        <v>118</v>
      </c>
      <c r="F19759" s="7">
        <v>46127.07482796488</v>
      </c>
      <c r="G19759" s="3" t="s">
        <v>25706</v>
      </c>
    </row>
    <row r="19760">
      <c r="A19760" s="3" t="s">
        <v>35958</v>
      </c>
      <c r="B19760" s="3" t="s">
        <v>16406</v>
      </c>
      <c r="C19760" s="5" t="s">
        <v>614</v>
      </c>
      <c r="D19760" s="3" t="s">
        <v>206</v>
      </c>
      <c r="E19760" s="3" t="s">
        <v>100</v>
      </c>
      <c r="F19760" s="7">
        <v>46127.07830018711</v>
      </c>
      <c r="G19760" s="3" t="s">
        <v>25708</v>
      </c>
    </row>
    <row r="19761">
      <c r="A19761" s="3" t="s">
        <v>35959</v>
      </c>
      <c r="B19761" s="3" t="s">
        <v>16406</v>
      </c>
      <c r="C19761" s="5" t="s">
        <v>206</v>
      </c>
      <c r="D19761" s="3" t="s">
        <v>68</v>
      </c>
      <c r="E19761" s="3" t="s">
        <v>100</v>
      </c>
      <c r="F19761" s="7">
        <v>46127.08177240933</v>
      </c>
      <c r="G19761" s="3" t="s">
        <v>25710</v>
      </c>
    </row>
    <row r="19762">
      <c r="A19762" s="3" t="s">
        <v>35960</v>
      </c>
      <c r="B19762" s="3" t="s">
        <v>16408</v>
      </c>
      <c r="C19762" s="5" t="s">
        <v>45</v>
      </c>
      <c r="D19762" s="3" t="s">
        <v>221</v>
      </c>
      <c r="E19762" s="3" t="s">
        <v>830</v>
      </c>
      <c r="F19762" s="7">
        <v>46127.14253058808</v>
      </c>
      <c r="G19762" s="3" t="s">
        <v>26188</v>
      </c>
    </row>
    <row r="19763">
      <c r="A19763" s="3" t="s">
        <v>35961</v>
      </c>
      <c r="B19763" s="3" t="s">
        <v>16408</v>
      </c>
      <c r="C19763" s="5" t="s">
        <v>221</v>
      </c>
      <c r="D19763" s="3" t="s">
        <v>614</v>
      </c>
      <c r="E19763" s="3" t="s">
        <v>118</v>
      </c>
      <c r="F19763" s="7">
        <v>46127.146002810296</v>
      </c>
      <c r="G19763" s="3" t="s">
        <v>26190</v>
      </c>
    </row>
    <row r="19764">
      <c r="A19764" s="3" t="s">
        <v>35962</v>
      </c>
      <c r="B19764" s="3" t="s">
        <v>16408</v>
      </c>
      <c r="C19764" s="5" t="s">
        <v>614</v>
      </c>
      <c r="D19764" s="3" t="s">
        <v>206</v>
      </c>
      <c r="E19764" s="3" t="s">
        <v>100</v>
      </c>
      <c r="F19764" s="7">
        <v>46127.14947503252</v>
      </c>
      <c r="G19764" s="3" t="s">
        <v>26192</v>
      </c>
    </row>
    <row r="19765">
      <c r="A19765" s="3" t="s">
        <v>35963</v>
      </c>
      <c r="B19765" s="3" t="s">
        <v>16408</v>
      </c>
      <c r="C19765" s="5" t="s">
        <v>206</v>
      </c>
      <c r="D19765" s="3" t="s">
        <v>68</v>
      </c>
      <c r="E19765" s="3" t="s">
        <v>100</v>
      </c>
      <c r="F19765" s="7">
        <v>46127.15294725474</v>
      </c>
      <c r="G19765" s="3" t="s">
        <v>26194</v>
      </c>
    </row>
    <row r="19766">
      <c r="A19766" s="3" t="s">
        <v>35964</v>
      </c>
      <c r="B19766" s="3" t="s">
        <v>16411</v>
      </c>
      <c r="C19766" s="5" t="s">
        <v>45</v>
      </c>
      <c r="D19766" s="3" t="s">
        <v>221</v>
      </c>
      <c r="E19766" s="3" t="s">
        <v>419</v>
      </c>
      <c r="F19766" s="7">
        <v>46127.213705433496</v>
      </c>
      <c r="G19766" s="3" t="s">
        <v>15290</v>
      </c>
    </row>
    <row r="19767">
      <c r="A19767" s="3" t="s">
        <v>35965</v>
      </c>
      <c r="B19767" s="3" t="s">
        <v>16411</v>
      </c>
      <c r="C19767" s="5" t="s">
        <v>221</v>
      </c>
      <c r="D19767" s="3" t="s">
        <v>614</v>
      </c>
      <c r="E19767" s="3" t="s">
        <v>118</v>
      </c>
      <c r="F19767" s="7">
        <v>46127.217177655715</v>
      </c>
      <c r="G19767" s="3" t="s">
        <v>15293</v>
      </c>
    </row>
    <row r="19768">
      <c r="A19768" s="3" t="s">
        <v>35966</v>
      </c>
      <c r="B19768" s="3" t="s">
        <v>16411</v>
      </c>
      <c r="C19768" s="5" t="s">
        <v>614</v>
      </c>
      <c r="D19768" s="3" t="s">
        <v>206</v>
      </c>
      <c r="E19768" s="3" t="s">
        <v>100</v>
      </c>
      <c r="F19768" s="7">
        <v>46127.22064987794</v>
      </c>
      <c r="G19768" s="3" t="s">
        <v>15295</v>
      </c>
    </row>
    <row r="19769">
      <c r="A19769" s="3" t="s">
        <v>35967</v>
      </c>
      <c r="B19769" s="3" t="s">
        <v>16411</v>
      </c>
      <c r="C19769" s="5" t="s">
        <v>206</v>
      </c>
      <c r="D19769" s="3" t="s">
        <v>68</v>
      </c>
      <c r="E19769" s="3" t="s">
        <v>100</v>
      </c>
      <c r="F19769" s="7">
        <v>46127.22412210016</v>
      </c>
      <c r="G19769" s="3" t="s">
        <v>15298</v>
      </c>
    </row>
    <row r="19770">
      <c r="A19770" s="3" t="s">
        <v>35968</v>
      </c>
      <c r="B19770" s="3" t="s">
        <v>16415</v>
      </c>
      <c r="C19770" s="5" t="s">
        <v>45</v>
      </c>
      <c r="D19770" s="3" t="s">
        <v>221</v>
      </c>
      <c r="E19770" s="3" t="s">
        <v>652</v>
      </c>
      <c r="F19770" s="7">
        <v>46127.28488027891</v>
      </c>
      <c r="G19770" s="3" t="s">
        <v>35969</v>
      </c>
    </row>
    <row r="19771">
      <c r="A19771" s="3" t="s">
        <v>35970</v>
      </c>
      <c r="B19771" s="3" t="s">
        <v>16415</v>
      </c>
      <c r="C19771" s="5" t="s">
        <v>221</v>
      </c>
      <c r="D19771" s="3" t="s">
        <v>614</v>
      </c>
      <c r="E19771" s="3" t="s">
        <v>118</v>
      </c>
      <c r="F19771" s="7">
        <v>46127.28835250113</v>
      </c>
      <c r="G19771" s="3" t="s">
        <v>35971</v>
      </c>
    </row>
    <row r="19772">
      <c r="A19772" s="3" t="s">
        <v>35972</v>
      </c>
      <c r="B19772" s="3" t="s">
        <v>16415</v>
      </c>
      <c r="C19772" s="5" t="s">
        <v>614</v>
      </c>
      <c r="D19772" s="3" t="s">
        <v>206</v>
      </c>
      <c r="E19772" s="3" t="s">
        <v>100</v>
      </c>
      <c r="F19772" s="7">
        <v>46127.291824723354</v>
      </c>
      <c r="G19772" s="3" t="s">
        <v>35973</v>
      </c>
    </row>
    <row r="19773">
      <c r="A19773" s="3" t="s">
        <v>35974</v>
      </c>
      <c r="B19773" s="3" t="s">
        <v>16415</v>
      </c>
      <c r="C19773" s="5" t="s">
        <v>206</v>
      </c>
      <c r="D19773" s="3" t="s">
        <v>68</v>
      </c>
      <c r="E19773" s="3" t="s">
        <v>100</v>
      </c>
      <c r="F19773" s="7">
        <v>46127.29529694557</v>
      </c>
      <c r="G19773" s="3" t="s">
        <v>35975</v>
      </c>
    </row>
    <row r="19774">
      <c r="A19774" s="3" t="s">
        <v>35976</v>
      </c>
      <c r="B19774" s="3" t="s">
        <v>16419</v>
      </c>
      <c r="C19774" s="5" t="s">
        <v>45</v>
      </c>
      <c r="D19774" s="3" t="s">
        <v>221</v>
      </c>
      <c r="E19774" s="3" t="s">
        <v>455</v>
      </c>
      <c r="F19774" s="7">
        <v>46127.35605512432</v>
      </c>
      <c r="G19774" s="3" t="s">
        <v>15308</v>
      </c>
    </row>
    <row r="19775">
      <c r="A19775" s="3" t="s">
        <v>35977</v>
      </c>
      <c r="B19775" s="3" t="s">
        <v>16419</v>
      </c>
      <c r="C19775" s="5" t="s">
        <v>221</v>
      </c>
      <c r="D19775" s="3" t="s">
        <v>614</v>
      </c>
      <c r="E19775" s="3" t="s">
        <v>118</v>
      </c>
      <c r="F19775" s="7">
        <v>46127.35952734654</v>
      </c>
      <c r="G19775" s="3" t="s">
        <v>15311</v>
      </c>
    </row>
    <row r="19776">
      <c r="A19776" s="3" t="s">
        <v>35978</v>
      </c>
      <c r="B19776" s="3" t="s">
        <v>16419</v>
      </c>
      <c r="C19776" s="5" t="s">
        <v>614</v>
      </c>
      <c r="D19776" s="3" t="s">
        <v>206</v>
      </c>
      <c r="E19776" s="3" t="s">
        <v>100</v>
      </c>
      <c r="F19776" s="7">
        <v>46127.362999568766</v>
      </c>
      <c r="G19776" s="3" t="s">
        <v>15314</v>
      </c>
    </row>
    <row r="19777">
      <c r="A19777" s="3" t="s">
        <v>35979</v>
      </c>
      <c r="B19777" s="3" t="s">
        <v>16419</v>
      </c>
      <c r="C19777" s="5" t="s">
        <v>206</v>
      </c>
      <c r="D19777" s="3" t="s">
        <v>68</v>
      </c>
      <c r="E19777" s="3" t="s">
        <v>100</v>
      </c>
      <c r="F19777" s="7">
        <v>46127.366471790985</v>
      </c>
      <c r="G19777" s="3" t="s">
        <v>15317</v>
      </c>
    </row>
    <row r="19778">
      <c r="A19778" s="3" t="s">
        <v>35980</v>
      </c>
      <c r="B19778" s="3" t="s">
        <v>16422</v>
      </c>
      <c r="C19778" s="5" t="s">
        <v>45</v>
      </c>
      <c r="D19778" s="3" t="s">
        <v>221</v>
      </c>
      <c r="E19778" s="3" t="s">
        <v>778</v>
      </c>
      <c r="F19778" s="7">
        <v>46127.42722996974</v>
      </c>
      <c r="G19778" s="3" t="s">
        <v>19906</v>
      </c>
    </row>
    <row r="19779">
      <c r="A19779" s="3" t="s">
        <v>35981</v>
      </c>
      <c r="B19779" s="3" t="s">
        <v>16422</v>
      </c>
      <c r="C19779" s="5" t="s">
        <v>221</v>
      </c>
      <c r="D19779" s="3" t="s">
        <v>181</v>
      </c>
      <c r="E19779" s="3" t="s">
        <v>118</v>
      </c>
      <c r="F19779" s="7">
        <v>46127.43070219196</v>
      </c>
      <c r="G19779" s="3" t="s">
        <v>35982</v>
      </c>
    </row>
    <row r="19780">
      <c r="A19780" s="3" t="s">
        <v>35983</v>
      </c>
      <c r="B19780" s="3" t="s">
        <v>16425</v>
      </c>
      <c r="C19780" s="5" t="s">
        <v>45</v>
      </c>
      <c r="D19780" s="3" t="s">
        <v>221</v>
      </c>
      <c r="E19780" s="3" t="s">
        <v>627</v>
      </c>
      <c r="F19780" s="7">
        <v>46127.49840481515</v>
      </c>
      <c r="G19780" s="3" t="s">
        <v>32575</v>
      </c>
    </row>
    <row r="19781">
      <c r="A19781" s="3" t="s">
        <v>35984</v>
      </c>
      <c r="B19781" s="3" t="s">
        <v>16425</v>
      </c>
      <c r="C19781" s="5" t="s">
        <v>221</v>
      </c>
      <c r="D19781" s="3" t="s">
        <v>614</v>
      </c>
      <c r="E19781" s="3" t="s">
        <v>118</v>
      </c>
      <c r="F19781" s="7">
        <v>46127.50187703737</v>
      </c>
      <c r="G19781" s="3" t="s">
        <v>32577</v>
      </c>
    </row>
    <row r="19782">
      <c r="A19782" s="3" t="s">
        <v>35985</v>
      </c>
      <c r="B19782" s="3" t="s">
        <v>16425</v>
      </c>
      <c r="C19782" s="5" t="s">
        <v>614</v>
      </c>
      <c r="D19782" s="3" t="s">
        <v>206</v>
      </c>
      <c r="E19782" s="3" t="s">
        <v>100</v>
      </c>
      <c r="F19782" s="7">
        <v>46127.5053492596</v>
      </c>
      <c r="G19782" s="3" t="s">
        <v>32579</v>
      </c>
    </row>
    <row r="19783">
      <c r="A19783" s="3" t="s">
        <v>35986</v>
      </c>
      <c r="B19783" s="3" t="s">
        <v>16425</v>
      </c>
      <c r="C19783" s="5" t="s">
        <v>206</v>
      </c>
      <c r="D19783" s="3" t="s">
        <v>68</v>
      </c>
      <c r="E19783" s="3" t="s">
        <v>100</v>
      </c>
      <c r="F19783" s="7">
        <v>46127.50882148182</v>
      </c>
      <c r="G19783" s="3" t="s">
        <v>32581</v>
      </c>
    </row>
    <row r="19784">
      <c r="A19784" s="3" t="s">
        <v>35987</v>
      </c>
      <c r="B19784" s="3" t="s">
        <v>16430</v>
      </c>
      <c r="C19784" s="5" t="s">
        <v>45</v>
      </c>
      <c r="D19784" s="3" t="s">
        <v>221</v>
      </c>
      <c r="E19784" s="3" t="s">
        <v>1030</v>
      </c>
      <c r="F19784" s="7">
        <v>46127.569579660565</v>
      </c>
      <c r="G19784" s="3" t="s">
        <v>11508</v>
      </c>
    </row>
    <row r="19785">
      <c r="A19785" s="3" t="s">
        <v>35988</v>
      </c>
      <c r="B19785" s="3" t="s">
        <v>16430</v>
      </c>
      <c r="C19785" s="5" t="s">
        <v>221</v>
      </c>
      <c r="D19785" s="3" t="s">
        <v>614</v>
      </c>
      <c r="E19785" s="3" t="s">
        <v>118</v>
      </c>
      <c r="F19785" s="7">
        <v>46127.573051882784</v>
      </c>
      <c r="G19785" s="3" t="s">
        <v>11511</v>
      </c>
    </row>
    <row r="19786">
      <c r="A19786" s="3" t="s">
        <v>35989</v>
      </c>
      <c r="B19786" s="3" t="s">
        <v>16430</v>
      </c>
      <c r="C19786" s="5" t="s">
        <v>614</v>
      </c>
      <c r="D19786" s="3" t="s">
        <v>206</v>
      </c>
      <c r="E19786" s="3" t="s">
        <v>100</v>
      </c>
      <c r="F19786" s="7">
        <v>46127.57652410501</v>
      </c>
      <c r="G19786" s="3" t="s">
        <v>11513</v>
      </c>
    </row>
    <row r="19787">
      <c r="A19787" s="3" t="s">
        <v>35990</v>
      </c>
      <c r="B19787" s="3" t="s">
        <v>16430</v>
      </c>
      <c r="C19787" s="5" t="s">
        <v>206</v>
      </c>
      <c r="D19787" s="3" t="s">
        <v>68</v>
      </c>
      <c r="E19787" s="3" t="s">
        <v>100</v>
      </c>
      <c r="F19787" s="7">
        <v>46127.57999632723</v>
      </c>
      <c r="G19787" s="3" t="s">
        <v>11516</v>
      </c>
    </row>
    <row r="19788">
      <c r="A19788" s="3" t="s">
        <v>35991</v>
      </c>
      <c r="B19788" s="3" t="s">
        <v>16433</v>
      </c>
      <c r="C19788" s="5" t="s">
        <v>45</v>
      </c>
      <c r="D19788" s="3" t="s">
        <v>221</v>
      </c>
      <c r="E19788" s="3" t="s">
        <v>183</v>
      </c>
      <c r="F19788" s="7">
        <v>46127.640754505985</v>
      </c>
      <c r="G19788" s="3" t="s">
        <v>9408</v>
      </c>
    </row>
    <row r="19789">
      <c r="A19789" s="3" t="s">
        <v>35992</v>
      </c>
      <c r="B19789" s="3" t="s">
        <v>16433</v>
      </c>
      <c r="C19789" s="5" t="s">
        <v>221</v>
      </c>
      <c r="D19789" s="3" t="s">
        <v>614</v>
      </c>
      <c r="E19789" s="3" t="s">
        <v>118</v>
      </c>
      <c r="F19789" s="7">
        <v>46127.644226728204</v>
      </c>
      <c r="G19789" s="3" t="s">
        <v>9411</v>
      </c>
    </row>
    <row r="19790">
      <c r="A19790" s="3" t="s">
        <v>35993</v>
      </c>
      <c r="B19790" s="3" t="s">
        <v>16433</v>
      </c>
      <c r="C19790" s="5" t="s">
        <v>614</v>
      </c>
      <c r="D19790" s="3" t="s">
        <v>206</v>
      </c>
      <c r="E19790" s="3" t="s">
        <v>100</v>
      </c>
      <c r="F19790" s="7">
        <v>46127.64769895043</v>
      </c>
      <c r="G19790" s="3" t="s">
        <v>9414</v>
      </c>
    </row>
    <row r="19791">
      <c r="A19791" s="3" t="s">
        <v>35994</v>
      </c>
      <c r="B19791" s="3" t="s">
        <v>16433</v>
      </c>
      <c r="C19791" s="5" t="s">
        <v>206</v>
      </c>
      <c r="D19791" s="3" t="s">
        <v>68</v>
      </c>
      <c r="E19791" s="3" t="s">
        <v>100</v>
      </c>
      <c r="F19791" s="7">
        <v>46127.65117117265</v>
      </c>
      <c r="G19791" s="3" t="s">
        <v>9417</v>
      </c>
    </row>
    <row r="19792">
      <c r="A19792" s="3" t="s">
        <v>35995</v>
      </c>
      <c r="B19792" s="3" t="s">
        <v>16436</v>
      </c>
      <c r="C19792" s="5" t="s">
        <v>45</v>
      </c>
      <c r="D19792" s="3" t="s">
        <v>221</v>
      </c>
      <c r="E19792" s="3" t="s">
        <v>395</v>
      </c>
      <c r="F19792" s="7">
        <v>46127.7119293514</v>
      </c>
      <c r="G19792" s="3" t="s">
        <v>10092</v>
      </c>
    </row>
    <row r="19793">
      <c r="A19793" s="3" t="s">
        <v>35996</v>
      </c>
      <c r="B19793" s="3" t="s">
        <v>16436</v>
      </c>
      <c r="C19793" s="5" t="s">
        <v>221</v>
      </c>
      <c r="D19793" s="3" t="s">
        <v>195</v>
      </c>
      <c r="E19793" s="3" t="s">
        <v>395</v>
      </c>
      <c r="F19793" s="7">
        <v>46127.715401573616</v>
      </c>
      <c r="G19793" s="3" t="s">
        <v>35997</v>
      </c>
    </row>
    <row r="19794">
      <c r="A19794" s="3" t="s">
        <v>35998</v>
      </c>
      <c r="B19794" s="3" t="s">
        <v>16439</v>
      </c>
      <c r="C19794" s="5" t="s">
        <v>45</v>
      </c>
      <c r="D19794" s="3" t="s">
        <v>221</v>
      </c>
      <c r="E19794" s="3" t="s">
        <v>920</v>
      </c>
      <c r="F19794" s="7">
        <v>46127.78310419681</v>
      </c>
      <c r="G19794" s="3" t="s">
        <v>19613</v>
      </c>
    </row>
    <row r="19795">
      <c r="A19795" s="3" t="s">
        <v>35999</v>
      </c>
      <c r="B19795" s="3" t="s">
        <v>16439</v>
      </c>
      <c r="C19795" s="5" t="s">
        <v>221</v>
      </c>
      <c r="D19795" s="3" t="s">
        <v>614</v>
      </c>
      <c r="E19795" s="3" t="s">
        <v>118</v>
      </c>
      <c r="F19795" s="7">
        <v>46127.78657641903</v>
      </c>
      <c r="G19795" s="3" t="s">
        <v>19616</v>
      </c>
    </row>
    <row r="19796">
      <c r="A19796" s="3" t="s">
        <v>36000</v>
      </c>
      <c r="B19796" s="3" t="s">
        <v>16439</v>
      </c>
      <c r="C19796" s="5" t="s">
        <v>614</v>
      </c>
      <c r="D19796" s="3" t="s">
        <v>206</v>
      </c>
      <c r="E19796" s="3" t="s">
        <v>100</v>
      </c>
      <c r="F19796" s="7">
        <v>46127.790048641255</v>
      </c>
      <c r="G19796" s="3" t="s">
        <v>19619</v>
      </c>
    </row>
    <row r="19797">
      <c r="A19797" s="3" t="s">
        <v>36001</v>
      </c>
      <c r="B19797" s="3" t="s">
        <v>16439</v>
      </c>
      <c r="C19797" s="5" t="s">
        <v>206</v>
      </c>
      <c r="D19797" s="3" t="s">
        <v>68</v>
      </c>
      <c r="E19797" s="3" t="s">
        <v>100</v>
      </c>
      <c r="F19797" s="7">
        <v>46127.79352086347</v>
      </c>
      <c r="G19797" s="3" t="s">
        <v>19622</v>
      </c>
    </row>
    <row r="19798">
      <c r="A19798" s="3" t="s">
        <v>36002</v>
      </c>
      <c r="B19798" s="3" t="s">
        <v>16442</v>
      </c>
      <c r="C19798" s="5" t="s">
        <v>45</v>
      </c>
      <c r="D19798" s="3" t="s">
        <v>221</v>
      </c>
      <c r="E19798" s="3" t="s">
        <v>735</v>
      </c>
      <c r="F19798" s="7">
        <v>46127.85427904223</v>
      </c>
      <c r="G19798" s="3" t="s">
        <v>12383</v>
      </c>
    </row>
    <row r="19799">
      <c r="A19799" s="3" t="s">
        <v>36003</v>
      </c>
      <c r="B19799" s="3" t="s">
        <v>16442</v>
      </c>
      <c r="C19799" s="5" t="s">
        <v>221</v>
      </c>
      <c r="D19799" s="3" t="s">
        <v>614</v>
      </c>
      <c r="E19799" s="3" t="s">
        <v>118</v>
      </c>
      <c r="F19799" s="7">
        <v>46127.85775126445</v>
      </c>
      <c r="G19799" s="3" t="s">
        <v>12385</v>
      </c>
    </row>
    <row r="19800">
      <c r="A19800" s="3" t="s">
        <v>36004</v>
      </c>
      <c r="B19800" s="3" t="s">
        <v>16442</v>
      </c>
      <c r="C19800" s="5" t="s">
        <v>614</v>
      </c>
      <c r="D19800" s="3" t="s">
        <v>206</v>
      </c>
      <c r="E19800" s="3" t="s">
        <v>100</v>
      </c>
      <c r="F19800" s="7">
        <v>46127.861223486674</v>
      </c>
      <c r="G19800" s="3" t="s">
        <v>12388</v>
      </c>
    </row>
    <row r="19801">
      <c r="A19801" s="3" t="s">
        <v>36005</v>
      </c>
      <c r="B19801" s="3" t="s">
        <v>16442</v>
      </c>
      <c r="C19801" s="5" t="s">
        <v>206</v>
      </c>
      <c r="D19801" s="3" t="s">
        <v>68</v>
      </c>
      <c r="E19801" s="3" t="s">
        <v>100</v>
      </c>
      <c r="F19801" s="7">
        <v>46127.86469570889</v>
      </c>
      <c r="G19801" s="3" t="s">
        <v>12391</v>
      </c>
    </row>
    <row r="19802">
      <c r="A19802" s="3" t="s">
        <v>36006</v>
      </c>
      <c r="B19802" s="3" t="s">
        <v>16443</v>
      </c>
      <c r="C19802" s="5" t="s">
        <v>45</v>
      </c>
      <c r="D19802" s="3" t="s">
        <v>221</v>
      </c>
      <c r="E19802" s="3" t="s">
        <v>615</v>
      </c>
      <c r="F19802" s="7">
        <v>46127.92545388765</v>
      </c>
      <c r="G19802" s="3" t="s">
        <v>13057</v>
      </c>
    </row>
    <row r="19803">
      <c r="A19803" s="3" t="s">
        <v>36007</v>
      </c>
      <c r="B19803" s="3" t="s">
        <v>16443</v>
      </c>
      <c r="C19803" s="5" t="s">
        <v>221</v>
      </c>
      <c r="D19803" s="3" t="s">
        <v>614</v>
      </c>
      <c r="E19803" s="3" t="s">
        <v>118</v>
      </c>
      <c r="F19803" s="7">
        <v>46127.92892610987</v>
      </c>
      <c r="G19803" s="3" t="s">
        <v>13061</v>
      </c>
    </row>
    <row r="19804">
      <c r="A19804" s="3" t="s">
        <v>36008</v>
      </c>
      <c r="B19804" s="3" t="s">
        <v>16443</v>
      </c>
      <c r="C19804" s="5" t="s">
        <v>614</v>
      </c>
      <c r="D19804" s="3" t="s">
        <v>206</v>
      </c>
      <c r="E19804" s="3" t="s">
        <v>100</v>
      </c>
      <c r="F19804" s="7">
        <v>46127.932398332094</v>
      </c>
      <c r="G19804" s="3" t="s">
        <v>13064</v>
      </c>
    </row>
    <row r="19805">
      <c r="A19805" s="3" t="s">
        <v>36009</v>
      </c>
      <c r="B19805" s="3" t="s">
        <v>16443</v>
      </c>
      <c r="C19805" s="5" t="s">
        <v>206</v>
      </c>
      <c r="D19805" s="3" t="s">
        <v>68</v>
      </c>
      <c r="E19805" s="3" t="s">
        <v>100</v>
      </c>
      <c r="F19805" s="7">
        <v>46127.93587055431</v>
      </c>
      <c r="G19805" s="3" t="s">
        <v>13068</v>
      </c>
    </row>
    <row r="19806">
      <c r="A19806" s="3" t="s">
        <v>36010</v>
      </c>
      <c r="B19806" s="3" t="s">
        <v>16445</v>
      </c>
      <c r="C19806" s="5" t="s">
        <v>45</v>
      </c>
      <c r="D19806" s="3" t="s">
        <v>221</v>
      </c>
      <c r="E19806" s="3" t="s">
        <v>911</v>
      </c>
      <c r="F19806" s="7">
        <v>46127.99662873306</v>
      </c>
      <c r="G19806" s="3" t="s">
        <v>28535</v>
      </c>
    </row>
    <row r="19807">
      <c r="A19807" s="3" t="s">
        <v>36011</v>
      </c>
      <c r="B19807" s="3" t="s">
        <v>16445</v>
      </c>
      <c r="C19807" s="5" t="s">
        <v>221</v>
      </c>
      <c r="D19807" s="3" t="s">
        <v>614</v>
      </c>
      <c r="E19807" s="3" t="s">
        <v>118</v>
      </c>
      <c r="F19807" s="7">
        <v>46128.00010095528</v>
      </c>
      <c r="G19807" s="3" t="s">
        <v>28537</v>
      </c>
    </row>
    <row r="19808">
      <c r="A19808" s="3" t="s">
        <v>36012</v>
      </c>
      <c r="B19808" s="3" t="s">
        <v>16445</v>
      </c>
      <c r="C19808" s="5" t="s">
        <v>614</v>
      </c>
      <c r="D19808" s="3" t="s">
        <v>206</v>
      </c>
      <c r="E19808" s="3" t="s">
        <v>100</v>
      </c>
      <c r="F19808" s="7">
        <v>46128.003573177506</v>
      </c>
      <c r="G19808" s="3" t="s">
        <v>28539</v>
      </c>
    </row>
    <row r="19809">
      <c r="A19809" s="3" t="s">
        <v>36013</v>
      </c>
      <c r="B19809" s="3" t="s">
        <v>16445</v>
      </c>
      <c r="C19809" s="5" t="s">
        <v>206</v>
      </c>
      <c r="D19809" s="3" t="s">
        <v>68</v>
      </c>
      <c r="E19809" s="3" t="s">
        <v>100</v>
      </c>
      <c r="F19809" s="7">
        <v>46128.007045399725</v>
      </c>
      <c r="G19809" s="3" t="s">
        <v>28541</v>
      </c>
    </row>
    <row r="19810">
      <c r="A19810" s="3" t="s">
        <v>36014</v>
      </c>
      <c r="B19810" s="3" t="s">
        <v>16448</v>
      </c>
      <c r="C19810" s="5" t="s">
        <v>45</v>
      </c>
      <c r="D19810" s="3" t="s">
        <v>221</v>
      </c>
      <c r="E19810" s="3" t="s">
        <v>296</v>
      </c>
      <c r="F19810" s="7">
        <v>46128.06780357847</v>
      </c>
      <c r="G19810" s="3" t="s">
        <v>15327</v>
      </c>
    </row>
    <row r="19811">
      <c r="A19811" s="3" t="s">
        <v>36015</v>
      </c>
      <c r="B19811" s="3" t="s">
        <v>16448</v>
      </c>
      <c r="C19811" s="5" t="s">
        <v>221</v>
      </c>
      <c r="D19811" s="3" t="s">
        <v>614</v>
      </c>
      <c r="E19811" s="3" t="s">
        <v>118</v>
      </c>
      <c r="F19811" s="7">
        <v>46128.07127580069</v>
      </c>
      <c r="G19811" s="3" t="s">
        <v>15330</v>
      </c>
    </row>
    <row r="19812">
      <c r="A19812" s="3" t="s">
        <v>36016</v>
      </c>
      <c r="B19812" s="3" t="s">
        <v>16448</v>
      </c>
      <c r="C19812" s="5" t="s">
        <v>614</v>
      </c>
      <c r="D19812" s="3" t="s">
        <v>206</v>
      </c>
      <c r="E19812" s="3" t="s">
        <v>100</v>
      </c>
      <c r="F19812" s="7">
        <v>46128.07474802292</v>
      </c>
      <c r="G19812" s="3" t="s">
        <v>15333</v>
      </c>
    </row>
    <row r="19813">
      <c r="A19813" s="3" t="s">
        <v>36017</v>
      </c>
      <c r="B19813" s="3" t="s">
        <v>16448</v>
      </c>
      <c r="C19813" s="5" t="s">
        <v>206</v>
      </c>
      <c r="D19813" s="3" t="s">
        <v>68</v>
      </c>
      <c r="E19813" s="3" t="s">
        <v>100</v>
      </c>
      <c r="F19813" s="7">
        <v>46128.07822024514</v>
      </c>
      <c r="G19813" s="3" t="s">
        <v>15336</v>
      </c>
    </row>
    <row r="19814">
      <c r="A19814" s="3" t="s">
        <v>36018</v>
      </c>
      <c r="B19814" s="3" t="s">
        <v>16450</v>
      </c>
      <c r="C19814" s="5" t="s">
        <v>45</v>
      </c>
      <c r="D19814" s="3" t="s">
        <v>221</v>
      </c>
      <c r="E19814" s="3" t="s">
        <v>523</v>
      </c>
      <c r="F19814" s="7">
        <v>46128.13897842389</v>
      </c>
      <c r="G19814" s="3" t="s">
        <v>6625</v>
      </c>
    </row>
    <row r="19815">
      <c r="A19815" s="3" t="s">
        <v>36019</v>
      </c>
      <c r="B19815" s="3" t="s">
        <v>16450</v>
      </c>
      <c r="C19815" s="5" t="s">
        <v>221</v>
      </c>
      <c r="D19815" s="3" t="s">
        <v>614</v>
      </c>
      <c r="E19815" s="3" t="s">
        <v>118</v>
      </c>
      <c r="F19815" s="7">
        <v>46128.14245064611</v>
      </c>
      <c r="G19815" s="3" t="s">
        <v>6628</v>
      </c>
    </row>
    <row r="19816">
      <c r="A19816" s="3" t="s">
        <v>36020</v>
      </c>
      <c r="B19816" s="3" t="s">
        <v>16450</v>
      </c>
      <c r="C19816" s="5" t="s">
        <v>614</v>
      </c>
      <c r="D19816" s="3" t="s">
        <v>206</v>
      </c>
      <c r="E19816" s="3" t="s">
        <v>100</v>
      </c>
      <c r="F19816" s="7">
        <v>46128.14592286834</v>
      </c>
      <c r="G19816" s="3" t="s">
        <v>6631</v>
      </c>
    </row>
    <row r="19817">
      <c r="A19817" s="3" t="s">
        <v>36021</v>
      </c>
      <c r="B19817" s="3" t="s">
        <v>16450</v>
      </c>
      <c r="C19817" s="5" t="s">
        <v>206</v>
      </c>
      <c r="D19817" s="3" t="s">
        <v>68</v>
      </c>
      <c r="E19817" s="3" t="s">
        <v>100</v>
      </c>
      <c r="F19817" s="7">
        <v>46128.14939509056</v>
      </c>
      <c r="G19817" s="3" t="s">
        <v>6634</v>
      </c>
    </row>
    <row r="19818">
      <c r="A19818" s="3" t="s">
        <v>36022</v>
      </c>
      <c r="B19818" s="3" t="s">
        <v>16453</v>
      </c>
      <c r="C19818" s="5" t="s">
        <v>45</v>
      </c>
      <c r="D19818" s="3" t="s">
        <v>221</v>
      </c>
      <c r="E19818" s="3" t="s">
        <v>272</v>
      </c>
      <c r="F19818" s="7">
        <v>46128.210153269305</v>
      </c>
      <c r="G19818" s="3" t="s">
        <v>10364</v>
      </c>
    </row>
    <row r="19819">
      <c r="A19819" s="3" t="s">
        <v>36023</v>
      </c>
      <c r="B19819" s="3" t="s">
        <v>16453</v>
      </c>
      <c r="C19819" s="5" t="s">
        <v>221</v>
      </c>
      <c r="D19819" s="3" t="s">
        <v>614</v>
      </c>
      <c r="E19819" s="3" t="s">
        <v>118</v>
      </c>
      <c r="F19819" s="7">
        <v>46128.213625491524</v>
      </c>
      <c r="G19819" s="3" t="s">
        <v>10366</v>
      </c>
    </row>
    <row r="19820">
      <c r="A19820" s="3" t="s">
        <v>36024</v>
      </c>
      <c r="B19820" s="3" t="s">
        <v>16453</v>
      </c>
      <c r="C19820" s="5" t="s">
        <v>614</v>
      </c>
      <c r="D19820" s="3" t="s">
        <v>206</v>
      </c>
      <c r="E19820" s="3" t="s">
        <v>100</v>
      </c>
      <c r="F19820" s="7">
        <v>46128.21709771375</v>
      </c>
      <c r="G19820" s="3" t="s">
        <v>10369</v>
      </c>
    </row>
    <row r="19821">
      <c r="A19821" s="3" t="s">
        <v>36025</v>
      </c>
      <c r="B19821" s="3" t="s">
        <v>16453</v>
      </c>
      <c r="C19821" s="5" t="s">
        <v>206</v>
      </c>
      <c r="D19821" s="3" t="s">
        <v>68</v>
      </c>
      <c r="E19821" s="3" t="s">
        <v>100</v>
      </c>
      <c r="F19821" s="7">
        <v>46128.22056993597</v>
      </c>
      <c r="G19821" s="3" t="s">
        <v>10372</v>
      </c>
    </row>
    <row r="19822">
      <c r="A19822" s="3" t="s">
        <v>36026</v>
      </c>
      <c r="B19822" s="3" t="s">
        <v>16455</v>
      </c>
      <c r="C19822" s="5" t="s">
        <v>45</v>
      </c>
      <c r="D19822" s="3" t="s">
        <v>221</v>
      </c>
      <c r="E19822" s="3" t="s">
        <v>565</v>
      </c>
      <c r="F19822" s="7">
        <v>46128.28132811472</v>
      </c>
      <c r="G19822" s="3" t="s">
        <v>18654</v>
      </c>
    </row>
    <row r="19823">
      <c r="A19823" s="3" t="s">
        <v>36027</v>
      </c>
      <c r="B19823" s="3" t="s">
        <v>16455</v>
      </c>
      <c r="C19823" s="5" t="s">
        <v>221</v>
      </c>
      <c r="D19823" s="3" t="s">
        <v>614</v>
      </c>
      <c r="E19823" s="3" t="s">
        <v>118</v>
      </c>
      <c r="F19823" s="7">
        <v>46128.284800336936</v>
      </c>
      <c r="G19823" s="3" t="s">
        <v>18657</v>
      </c>
    </row>
    <row r="19824">
      <c r="A19824" s="3" t="s">
        <v>36028</v>
      </c>
      <c r="B19824" s="3" t="s">
        <v>16455</v>
      </c>
      <c r="C19824" s="5" t="s">
        <v>614</v>
      </c>
      <c r="D19824" s="3" t="s">
        <v>206</v>
      </c>
      <c r="E19824" s="3" t="s">
        <v>100</v>
      </c>
      <c r="F19824" s="7">
        <v>46128.28827255916</v>
      </c>
      <c r="G19824" s="3" t="s">
        <v>18660</v>
      </c>
    </row>
    <row r="19825">
      <c r="A19825" s="3" t="s">
        <v>36029</v>
      </c>
      <c r="B19825" s="3" t="s">
        <v>16455</v>
      </c>
      <c r="C19825" s="5" t="s">
        <v>206</v>
      </c>
      <c r="D19825" s="3" t="s">
        <v>68</v>
      </c>
      <c r="E19825" s="3" t="s">
        <v>100</v>
      </c>
      <c r="F19825" s="7">
        <v>46128.29174478138</v>
      </c>
      <c r="G19825" s="3" t="s">
        <v>18663</v>
      </c>
    </row>
    <row r="19826">
      <c r="A19826" s="3" t="s">
        <v>36030</v>
      </c>
      <c r="B19826" s="3" t="s">
        <v>16457</v>
      </c>
      <c r="C19826" s="5" t="s">
        <v>45</v>
      </c>
      <c r="D19826" s="3" t="s">
        <v>221</v>
      </c>
      <c r="E19826" s="3" t="s">
        <v>507</v>
      </c>
      <c r="F19826" s="7">
        <v>46128.35250296014</v>
      </c>
      <c r="G19826" s="3" t="s">
        <v>10645</v>
      </c>
    </row>
    <row r="19827">
      <c r="A19827" s="3" t="s">
        <v>36031</v>
      </c>
      <c r="B19827" s="3" t="s">
        <v>16457</v>
      </c>
      <c r="C19827" s="5" t="s">
        <v>221</v>
      </c>
      <c r="D19827" s="3" t="s">
        <v>614</v>
      </c>
      <c r="E19827" s="3" t="s">
        <v>118</v>
      </c>
      <c r="F19827" s="7">
        <v>46128.355975182356</v>
      </c>
      <c r="G19827" s="3" t="s">
        <v>10648</v>
      </c>
    </row>
    <row r="19828">
      <c r="A19828" s="3" t="s">
        <v>36032</v>
      </c>
      <c r="B19828" s="3" t="s">
        <v>16457</v>
      </c>
      <c r="C19828" s="5" t="s">
        <v>614</v>
      </c>
      <c r="D19828" s="3" t="s">
        <v>206</v>
      </c>
      <c r="E19828" s="3" t="s">
        <v>100</v>
      </c>
      <c r="F19828" s="7">
        <v>46128.35944740458</v>
      </c>
      <c r="G19828" s="3" t="s">
        <v>10651</v>
      </c>
    </row>
    <row r="19829">
      <c r="A19829" s="3" t="s">
        <v>36033</v>
      </c>
      <c r="B19829" s="3" t="s">
        <v>16457</v>
      </c>
      <c r="C19829" s="5" t="s">
        <v>206</v>
      </c>
      <c r="D19829" s="3" t="s">
        <v>68</v>
      </c>
      <c r="E19829" s="3" t="s">
        <v>100</v>
      </c>
      <c r="F19829" s="7">
        <v>46128.3629196268</v>
      </c>
      <c r="G19829" s="3" t="s">
        <v>10653</v>
      </c>
    </row>
    <row r="19830">
      <c r="A19830" s="3" t="s">
        <v>36034</v>
      </c>
      <c r="B19830" s="3" t="s">
        <v>16459</v>
      </c>
      <c r="C19830" s="5" t="s">
        <v>45</v>
      </c>
      <c r="D19830" s="3" t="s">
        <v>221</v>
      </c>
      <c r="E19830" s="3" t="s">
        <v>498</v>
      </c>
      <c r="F19830" s="7">
        <v>46128.42367780555</v>
      </c>
      <c r="G19830" s="3" t="s">
        <v>10547</v>
      </c>
    </row>
    <row r="19831">
      <c r="A19831" s="3" t="s">
        <v>36035</v>
      </c>
      <c r="B19831" s="3" t="s">
        <v>16459</v>
      </c>
      <c r="C19831" s="5" t="s">
        <v>221</v>
      </c>
      <c r="D19831" s="3" t="s">
        <v>181</v>
      </c>
      <c r="E19831" s="3" t="s">
        <v>118</v>
      </c>
      <c r="F19831" s="7">
        <v>46128.42715002777</v>
      </c>
      <c r="G19831" s="3" t="s">
        <v>36036</v>
      </c>
    </row>
    <row r="19832">
      <c r="A19832" s="3" t="s">
        <v>36037</v>
      </c>
      <c r="B19832" s="3" t="s">
        <v>16461</v>
      </c>
      <c r="C19832" s="5" t="s">
        <v>45</v>
      </c>
      <c r="D19832" s="3" t="s">
        <v>221</v>
      </c>
      <c r="E19832" s="3" t="s">
        <v>655</v>
      </c>
      <c r="F19832" s="7">
        <v>46128.49485265096</v>
      </c>
      <c r="G19832" s="3" t="s">
        <v>14328</v>
      </c>
    </row>
    <row r="19833">
      <c r="A19833" s="3" t="s">
        <v>36038</v>
      </c>
      <c r="B19833" s="3" t="s">
        <v>16461</v>
      </c>
      <c r="C19833" s="5" t="s">
        <v>221</v>
      </c>
      <c r="D19833" s="3" t="s">
        <v>195</v>
      </c>
      <c r="E19833" s="3" t="s">
        <v>655</v>
      </c>
      <c r="F19833" s="7">
        <v>46128.49832487318</v>
      </c>
      <c r="G19833" s="3" t="s">
        <v>36039</v>
      </c>
    </row>
    <row r="19834">
      <c r="A19834" s="3" t="s">
        <v>36040</v>
      </c>
      <c r="B19834" s="3" t="s">
        <v>16465</v>
      </c>
      <c r="C19834" s="5" t="s">
        <v>45</v>
      </c>
      <c r="D19834" s="3" t="s">
        <v>221</v>
      </c>
      <c r="E19834" s="3" t="s">
        <v>883</v>
      </c>
      <c r="F19834" s="7">
        <v>46128.56602749638</v>
      </c>
      <c r="G19834" s="3" t="s">
        <v>15361</v>
      </c>
    </row>
    <row r="19835">
      <c r="A19835" s="3" t="s">
        <v>36041</v>
      </c>
      <c r="B19835" s="3" t="s">
        <v>16465</v>
      </c>
      <c r="C19835" s="5" t="s">
        <v>221</v>
      </c>
      <c r="D19835" s="3" t="s">
        <v>614</v>
      </c>
      <c r="E19835" s="3" t="s">
        <v>118</v>
      </c>
      <c r="F19835" s="7">
        <v>46128.5694997186</v>
      </c>
      <c r="G19835" s="3" t="s">
        <v>15363</v>
      </c>
    </row>
    <row r="19836">
      <c r="A19836" s="3" t="s">
        <v>36042</v>
      </c>
      <c r="B19836" s="3" t="s">
        <v>16465</v>
      </c>
      <c r="C19836" s="5" t="s">
        <v>614</v>
      </c>
      <c r="D19836" s="3" t="s">
        <v>206</v>
      </c>
      <c r="E19836" s="3" t="s">
        <v>100</v>
      </c>
      <c r="F19836" s="7">
        <v>46128.57297194083</v>
      </c>
      <c r="G19836" s="3" t="s">
        <v>15366</v>
      </c>
    </row>
    <row r="19837">
      <c r="A19837" s="3" t="s">
        <v>36043</v>
      </c>
      <c r="B19837" s="3" t="s">
        <v>16465</v>
      </c>
      <c r="C19837" s="5" t="s">
        <v>206</v>
      </c>
      <c r="D19837" s="3" t="s">
        <v>68</v>
      </c>
      <c r="E19837" s="3" t="s">
        <v>100</v>
      </c>
      <c r="F19837" s="7">
        <v>46128.576444163045</v>
      </c>
      <c r="G19837" s="3" t="s">
        <v>15369</v>
      </c>
    </row>
    <row r="19838">
      <c r="A19838" s="3" t="s">
        <v>36044</v>
      </c>
      <c r="B19838" s="3" t="s">
        <v>16469</v>
      </c>
      <c r="C19838" s="5" t="s">
        <v>45</v>
      </c>
      <c r="D19838" s="3" t="s">
        <v>221</v>
      </c>
      <c r="E19838" s="3" t="s">
        <v>722</v>
      </c>
      <c r="F19838" s="7">
        <v>46128.63720234179</v>
      </c>
      <c r="G19838" s="3" t="s">
        <v>21862</v>
      </c>
    </row>
    <row r="19839">
      <c r="A19839" s="3" t="s">
        <v>36045</v>
      </c>
      <c r="B19839" s="3" t="s">
        <v>16469</v>
      </c>
      <c r="C19839" s="5" t="s">
        <v>221</v>
      </c>
      <c r="D19839" s="3" t="s">
        <v>614</v>
      </c>
      <c r="E19839" s="3" t="s">
        <v>118</v>
      </c>
      <c r="F19839" s="7">
        <v>46128.64067456401</v>
      </c>
      <c r="G19839" s="3" t="s">
        <v>21865</v>
      </c>
    </row>
    <row r="19840">
      <c r="A19840" s="3" t="s">
        <v>36046</v>
      </c>
      <c r="B19840" s="3" t="s">
        <v>16469</v>
      </c>
      <c r="C19840" s="5" t="s">
        <v>614</v>
      </c>
      <c r="D19840" s="3" t="s">
        <v>206</v>
      </c>
      <c r="E19840" s="3" t="s">
        <v>100</v>
      </c>
      <c r="F19840" s="7">
        <v>46128.64414678624</v>
      </c>
      <c r="G19840" s="3" t="s">
        <v>21868</v>
      </c>
    </row>
    <row r="19841">
      <c r="A19841" s="3" t="s">
        <v>36047</v>
      </c>
      <c r="B19841" s="3" t="s">
        <v>16469</v>
      </c>
      <c r="C19841" s="5" t="s">
        <v>206</v>
      </c>
      <c r="D19841" s="3" t="s">
        <v>68</v>
      </c>
      <c r="E19841" s="3" t="s">
        <v>100</v>
      </c>
      <c r="F19841" s="7">
        <v>46128.64761900846</v>
      </c>
      <c r="G19841" s="3" t="s">
        <v>21871</v>
      </c>
    </row>
    <row r="19842">
      <c r="A19842" s="3" t="s">
        <v>36048</v>
      </c>
      <c r="B19842" s="3" t="s">
        <v>16472</v>
      </c>
      <c r="C19842" s="5" t="s">
        <v>45</v>
      </c>
      <c r="D19842" s="3" t="s">
        <v>221</v>
      </c>
      <c r="E19842" s="3" t="s">
        <v>559</v>
      </c>
      <c r="F19842" s="7">
        <v>46128.708377187206</v>
      </c>
      <c r="G19842" s="3" t="s">
        <v>15383</v>
      </c>
    </row>
    <row r="19843">
      <c r="A19843" s="3" t="s">
        <v>36049</v>
      </c>
      <c r="B19843" s="3" t="s">
        <v>16472</v>
      </c>
      <c r="C19843" s="5" t="s">
        <v>221</v>
      </c>
      <c r="D19843" s="3" t="s">
        <v>614</v>
      </c>
      <c r="E19843" s="3" t="s">
        <v>118</v>
      </c>
      <c r="F19843" s="7">
        <v>46128.711849409425</v>
      </c>
      <c r="G19843" s="3" t="s">
        <v>15385</v>
      </c>
    </row>
    <row r="19844">
      <c r="A19844" s="3" t="s">
        <v>36050</v>
      </c>
      <c r="B19844" s="3" t="s">
        <v>16472</v>
      </c>
      <c r="C19844" s="5" t="s">
        <v>614</v>
      </c>
      <c r="D19844" s="3" t="s">
        <v>206</v>
      </c>
      <c r="E19844" s="3" t="s">
        <v>100</v>
      </c>
      <c r="F19844" s="7">
        <v>46128.71532163165</v>
      </c>
      <c r="G19844" s="3" t="s">
        <v>15388</v>
      </c>
    </row>
    <row r="19845">
      <c r="A19845" s="3" t="s">
        <v>36051</v>
      </c>
      <c r="B19845" s="3" t="s">
        <v>16472</v>
      </c>
      <c r="C19845" s="5" t="s">
        <v>206</v>
      </c>
      <c r="D19845" s="3" t="s">
        <v>68</v>
      </c>
      <c r="E19845" s="3" t="s">
        <v>100</v>
      </c>
      <c r="F19845" s="7">
        <v>46128.71879385387</v>
      </c>
      <c r="G19845" s="3" t="s">
        <v>15391</v>
      </c>
    </row>
    <row r="19846">
      <c r="A19846" s="3" t="s">
        <v>36052</v>
      </c>
      <c r="B19846" s="3" t="s">
        <v>16474</v>
      </c>
      <c r="C19846" s="5" t="s">
        <v>45</v>
      </c>
      <c r="D19846" s="3" t="s">
        <v>221</v>
      </c>
      <c r="E19846" s="3" t="s">
        <v>650</v>
      </c>
      <c r="F19846" s="7">
        <v>46128.779552032625</v>
      </c>
      <c r="G19846" s="3" t="s">
        <v>26976</v>
      </c>
    </row>
    <row r="19847">
      <c r="A19847" s="3" t="s">
        <v>36053</v>
      </c>
      <c r="B19847" s="3" t="s">
        <v>16474</v>
      </c>
      <c r="C19847" s="5" t="s">
        <v>221</v>
      </c>
      <c r="D19847" s="3" t="s">
        <v>614</v>
      </c>
      <c r="E19847" s="3" t="s">
        <v>118</v>
      </c>
      <c r="F19847" s="7">
        <v>46128.783024254844</v>
      </c>
      <c r="G19847" s="3" t="s">
        <v>26978</v>
      </c>
    </row>
    <row r="19848">
      <c r="A19848" s="3" t="s">
        <v>36054</v>
      </c>
      <c r="B19848" s="3" t="s">
        <v>16474</v>
      </c>
      <c r="C19848" s="5" t="s">
        <v>614</v>
      </c>
      <c r="D19848" s="3" t="s">
        <v>206</v>
      </c>
      <c r="E19848" s="3" t="s">
        <v>100</v>
      </c>
      <c r="F19848" s="7">
        <v>46128.78649647707</v>
      </c>
      <c r="G19848" s="3" t="s">
        <v>26980</v>
      </c>
    </row>
    <row r="19849">
      <c r="A19849" s="3" t="s">
        <v>36055</v>
      </c>
      <c r="B19849" s="3" t="s">
        <v>16474</v>
      </c>
      <c r="C19849" s="5" t="s">
        <v>206</v>
      </c>
      <c r="D19849" s="3" t="s">
        <v>68</v>
      </c>
      <c r="E19849" s="3" t="s">
        <v>100</v>
      </c>
      <c r="F19849" s="7">
        <v>46128.78996869929</v>
      </c>
      <c r="G19849" s="3" t="s">
        <v>26982</v>
      </c>
    </row>
    <row r="19850">
      <c r="A19850" s="3" t="s">
        <v>36056</v>
      </c>
      <c r="B19850" s="3" t="s">
        <v>16476</v>
      </c>
      <c r="C19850" s="5" t="s">
        <v>45</v>
      </c>
      <c r="D19850" s="3" t="s">
        <v>221</v>
      </c>
      <c r="E19850" s="3" t="s">
        <v>669</v>
      </c>
      <c r="F19850" s="7">
        <v>46128.850726878045</v>
      </c>
      <c r="G19850" s="3" t="s">
        <v>21032</v>
      </c>
    </row>
    <row r="19851">
      <c r="A19851" s="3" t="s">
        <v>36057</v>
      </c>
      <c r="B19851" s="3" t="s">
        <v>16476</v>
      </c>
      <c r="C19851" s="5" t="s">
        <v>221</v>
      </c>
      <c r="D19851" s="3" t="s">
        <v>614</v>
      </c>
      <c r="E19851" s="3" t="s">
        <v>118</v>
      </c>
      <c r="F19851" s="7">
        <v>46128.854199100264</v>
      </c>
      <c r="G19851" s="3" t="s">
        <v>21034</v>
      </c>
    </row>
    <row r="19852">
      <c r="A19852" s="3" t="s">
        <v>36058</v>
      </c>
      <c r="B19852" s="3" t="s">
        <v>16476</v>
      </c>
      <c r="C19852" s="5" t="s">
        <v>614</v>
      </c>
      <c r="D19852" s="3" t="s">
        <v>206</v>
      </c>
      <c r="E19852" s="3" t="s">
        <v>100</v>
      </c>
      <c r="F19852" s="7">
        <v>46128.85767132249</v>
      </c>
      <c r="G19852" s="3" t="s">
        <v>21037</v>
      </c>
    </row>
    <row r="19853">
      <c r="A19853" s="3" t="s">
        <v>36059</v>
      </c>
      <c r="B19853" s="3" t="s">
        <v>16476</v>
      </c>
      <c r="C19853" s="5" t="s">
        <v>206</v>
      </c>
      <c r="D19853" s="3" t="s">
        <v>68</v>
      </c>
      <c r="E19853" s="3" t="s">
        <v>100</v>
      </c>
      <c r="F19853" s="7">
        <v>46128.86114354471</v>
      </c>
      <c r="G19853" s="3" t="s">
        <v>21040</v>
      </c>
    </row>
    <row r="19854">
      <c r="A19854" s="3" t="s">
        <v>36060</v>
      </c>
      <c r="B19854" s="3" t="s">
        <v>16478</v>
      </c>
      <c r="C19854" s="5" t="s">
        <v>45</v>
      </c>
      <c r="D19854" s="3" t="s">
        <v>221</v>
      </c>
      <c r="E19854" s="3" t="s">
        <v>519</v>
      </c>
      <c r="F19854" s="7">
        <v>46128.92190172345</v>
      </c>
      <c r="G19854" s="3" t="s">
        <v>16431</v>
      </c>
    </row>
    <row r="19855">
      <c r="A19855" s="3" t="s">
        <v>36061</v>
      </c>
      <c r="B19855" s="3" t="s">
        <v>16478</v>
      </c>
      <c r="C19855" s="5" t="s">
        <v>221</v>
      </c>
      <c r="D19855" s="3" t="s">
        <v>614</v>
      </c>
      <c r="E19855" s="3" t="s">
        <v>118</v>
      </c>
      <c r="F19855" s="7">
        <v>46128.92537394567</v>
      </c>
      <c r="G19855" s="3" t="s">
        <v>16434</v>
      </c>
    </row>
    <row r="19856">
      <c r="A19856" s="3" t="s">
        <v>36062</v>
      </c>
      <c r="B19856" s="3" t="s">
        <v>16478</v>
      </c>
      <c r="C19856" s="5" t="s">
        <v>614</v>
      </c>
      <c r="D19856" s="3" t="s">
        <v>206</v>
      </c>
      <c r="E19856" s="3" t="s">
        <v>100</v>
      </c>
      <c r="F19856" s="7">
        <v>46128.928846167895</v>
      </c>
      <c r="G19856" s="3" t="s">
        <v>16437</v>
      </c>
    </row>
    <row r="19857">
      <c r="A19857" s="3" t="s">
        <v>36063</v>
      </c>
      <c r="B19857" s="3" t="s">
        <v>16478</v>
      </c>
      <c r="C19857" s="5" t="s">
        <v>206</v>
      </c>
      <c r="D19857" s="3" t="s">
        <v>68</v>
      </c>
      <c r="E19857" s="3" t="s">
        <v>100</v>
      </c>
      <c r="F19857" s="7">
        <v>46128.932318390114</v>
      </c>
      <c r="G19857" s="3" t="s">
        <v>16440</v>
      </c>
    </row>
    <row r="19858">
      <c r="A19858" s="3" t="s">
        <v>36064</v>
      </c>
      <c r="B19858" s="3" t="s">
        <v>16481</v>
      </c>
      <c r="C19858" s="5" t="s">
        <v>45</v>
      </c>
      <c r="D19858" s="3" t="s">
        <v>221</v>
      </c>
      <c r="E19858" s="3" t="s">
        <v>302</v>
      </c>
      <c r="F19858" s="7">
        <v>46128.99307656887</v>
      </c>
      <c r="G19858" s="3" t="s">
        <v>18347</v>
      </c>
    </row>
    <row r="19859">
      <c r="A19859" s="3" t="s">
        <v>36065</v>
      </c>
      <c r="B19859" s="3" t="s">
        <v>16481</v>
      </c>
      <c r="C19859" s="5" t="s">
        <v>221</v>
      </c>
      <c r="D19859" s="3" t="s">
        <v>614</v>
      </c>
      <c r="E19859" s="3" t="s">
        <v>118</v>
      </c>
      <c r="F19859" s="7">
        <v>46128.99654879109</v>
      </c>
      <c r="G19859" s="3" t="s">
        <v>18350</v>
      </c>
    </row>
    <row r="19860">
      <c r="A19860" s="3" t="s">
        <v>36066</v>
      </c>
      <c r="B19860" s="3" t="s">
        <v>16481</v>
      </c>
      <c r="C19860" s="5" t="s">
        <v>614</v>
      </c>
      <c r="D19860" s="3" t="s">
        <v>206</v>
      </c>
      <c r="E19860" s="3" t="s">
        <v>100</v>
      </c>
      <c r="F19860" s="7">
        <v>46129.000021013315</v>
      </c>
      <c r="G19860" s="3" t="s">
        <v>18353</v>
      </c>
    </row>
    <row r="19861">
      <c r="A19861" s="3" t="s">
        <v>36067</v>
      </c>
      <c r="B19861" s="3" t="s">
        <v>16481</v>
      </c>
      <c r="C19861" s="5" t="s">
        <v>206</v>
      </c>
      <c r="D19861" s="3" t="s">
        <v>68</v>
      </c>
      <c r="E19861" s="3" t="s">
        <v>100</v>
      </c>
      <c r="F19861" s="7">
        <v>46129.003493235534</v>
      </c>
      <c r="G19861" s="3" t="s">
        <v>18355</v>
      </c>
    </row>
    <row r="19862">
      <c r="A19862" s="3" t="s">
        <v>36068</v>
      </c>
      <c r="B19862" s="3" t="s">
        <v>16484</v>
      </c>
      <c r="C19862" s="5" t="s">
        <v>45</v>
      </c>
      <c r="D19862" s="3" t="s">
        <v>221</v>
      </c>
      <c r="E19862" s="3" t="s">
        <v>819</v>
      </c>
      <c r="F19862" s="7">
        <v>46129.06425141429</v>
      </c>
      <c r="G19862" s="3" t="s">
        <v>17970</v>
      </c>
    </row>
    <row r="19863">
      <c r="A19863" s="3" t="s">
        <v>36069</v>
      </c>
      <c r="B19863" s="3" t="s">
        <v>16484</v>
      </c>
      <c r="C19863" s="5" t="s">
        <v>221</v>
      </c>
      <c r="D19863" s="3" t="s">
        <v>614</v>
      </c>
      <c r="E19863" s="3" t="s">
        <v>118</v>
      </c>
      <c r="F19863" s="7">
        <v>46129.06772363651</v>
      </c>
      <c r="G19863" s="3" t="s">
        <v>19775</v>
      </c>
    </row>
    <row r="19864">
      <c r="A19864" s="3" t="s">
        <v>36070</v>
      </c>
      <c r="B19864" s="3" t="s">
        <v>16484</v>
      </c>
      <c r="C19864" s="5" t="s">
        <v>614</v>
      </c>
      <c r="D19864" s="3" t="s">
        <v>206</v>
      </c>
      <c r="E19864" s="3" t="s">
        <v>100</v>
      </c>
      <c r="F19864" s="7">
        <v>46129.071195858734</v>
      </c>
      <c r="G19864" s="3" t="s">
        <v>19778</v>
      </c>
    </row>
    <row r="19865">
      <c r="A19865" s="3" t="s">
        <v>36071</v>
      </c>
      <c r="B19865" s="3" t="s">
        <v>16484</v>
      </c>
      <c r="C19865" s="5" t="s">
        <v>206</v>
      </c>
      <c r="D19865" s="3" t="s">
        <v>68</v>
      </c>
      <c r="E19865" s="3" t="s">
        <v>100</v>
      </c>
      <c r="F19865" s="7">
        <v>46129.07466808095</v>
      </c>
      <c r="G19865" s="3" t="s">
        <v>19781</v>
      </c>
    </row>
    <row r="19866">
      <c r="A19866" s="3" t="s">
        <v>36072</v>
      </c>
      <c r="B19866" s="3" t="s">
        <v>16488</v>
      </c>
      <c r="C19866" s="5" t="s">
        <v>45</v>
      </c>
      <c r="D19866" s="3" t="s">
        <v>221</v>
      </c>
      <c r="E19866" s="3" t="s">
        <v>388</v>
      </c>
      <c r="F19866" s="7">
        <v>46129.1354262597</v>
      </c>
      <c r="G19866" s="3" t="s">
        <v>6300</v>
      </c>
    </row>
    <row r="19867">
      <c r="A19867" s="3" t="s">
        <v>36073</v>
      </c>
      <c r="B19867" s="3" t="s">
        <v>16488</v>
      </c>
      <c r="C19867" s="5" t="s">
        <v>221</v>
      </c>
      <c r="D19867" s="3" t="s">
        <v>181</v>
      </c>
      <c r="E19867" s="3" t="s">
        <v>118</v>
      </c>
      <c r="F19867" s="7">
        <v>46129.13889848192</v>
      </c>
      <c r="G19867" s="3" t="s">
        <v>34570</v>
      </c>
    </row>
    <row r="19868">
      <c r="A19868" s="3" t="s">
        <v>36074</v>
      </c>
      <c r="B19868" s="3" t="s">
        <v>16491</v>
      </c>
      <c r="C19868" s="5" t="s">
        <v>45</v>
      </c>
      <c r="D19868" s="3" t="s">
        <v>221</v>
      </c>
      <c r="E19868" s="3" t="s">
        <v>826</v>
      </c>
      <c r="F19868" s="7">
        <v>46129.206601105114</v>
      </c>
      <c r="G19868" s="3" t="s">
        <v>17294</v>
      </c>
    </row>
    <row r="19869">
      <c r="A19869" s="3" t="s">
        <v>36075</v>
      </c>
      <c r="B19869" s="3" t="s">
        <v>16491</v>
      </c>
      <c r="C19869" s="5" t="s">
        <v>221</v>
      </c>
      <c r="D19869" s="3" t="s">
        <v>614</v>
      </c>
      <c r="E19869" s="3" t="s">
        <v>118</v>
      </c>
      <c r="F19869" s="7">
        <v>46129.21007332733</v>
      </c>
      <c r="G19869" s="3" t="s">
        <v>17296</v>
      </c>
    </row>
    <row r="19870">
      <c r="A19870" s="3" t="s">
        <v>36076</v>
      </c>
      <c r="B19870" s="3" t="s">
        <v>16491</v>
      </c>
      <c r="C19870" s="5" t="s">
        <v>614</v>
      </c>
      <c r="D19870" s="3" t="s">
        <v>206</v>
      </c>
      <c r="E19870" s="3" t="s">
        <v>100</v>
      </c>
      <c r="F19870" s="7">
        <v>46129.21354554956</v>
      </c>
      <c r="G19870" s="3" t="s">
        <v>17299</v>
      </c>
    </row>
    <row r="19871">
      <c r="A19871" s="3" t="s">
        <v>36077</v>
      </c>
      <c r="B19871" s="3" t="s">
        <v>16491</v>
      </c>
      <c r="C19871" s="5" t="s">
        <v>206</v>
      </c>
      <c r="D19871" s="3" t="s">
        <v>68</v>
      </c>
      <c r="E19871" s="3" t="s">
        <v>100</v>
      </c>
      <c r="F19871" s="7">
        <v>46129.21701777178</v>
      </c>
      <c r="G19871" s="3" t="s">
        <v>17302</v>
      </c>
    </row>
    <row r="19872">
      <c r="A19872" s="3" t="s">
        <v>36078</v>
      </c>
      <c r="B19872" s="3" t="s">
        <v>16493</v>
      </c>
      <c r="C19872" s="5" t="s">
        <v>45</v>
      </c>
      <c r="D19872" s="3" t="s">
        <v>221</v>
      </c>
      <c r="E19872" s="3" t="s">
        <v>148</v>
      </c>
      <c r="F19872" s="7">
        <v>46129.27777595053</v>
      </c>
      <c r="G19872" s="3" t="s">
        <v>15394</v>
      </c>
    </row>
    <row r="19873">
      <c r="A19873" s="3" t="s">
        <v>36079</v>
      </c>
      <c r="B19873" s="3" t="s">
        <v>16493</v>
      </c>
      <c r="C19873" s="5" t="s">
        <v>221</v>
      </c>
      <c r="D19873" s="3" t="s">
        <v>614</v>
      </c>
      <c r="E19873" s="3" t="s">
        <v>118</v>
      </c>
      <c r="F19873" s="7">
        <v>46129.28124817275</v>
      </c>
      <c r="G19873" s="3" t="s">
        <v>15397</v>
      </c>
    </row>
    <row r="19874">
      <c r="A19874" s="3" t="s">
        <v>36080</v>
      </c>
      <c r="B19874" s="3" t="s">
        <v>16493</v>
      </c>
      <c r="C19874" s="5" t="s">
        <v>614</v>
      </c>
      <c r="D19874" s="3" t="s">
        <v>206</v>
      </c>
      <c r="E19874" s="3" t="s">
        <v>100</v>
      </c>
      <c r="F19874" s="7">
        <v>46129.28472039498</v>
      </c>
      <c r="G19874" s="3" t="s">
        <v>15399</v>
      </c>
    </row>
    <row r="19875">
      <c r="A19875" s="3" t="s">
        <v>36081</v>
      </c>
      <c r="B19875" s="3" t="s">
        <v>16493</v>
      </c>
      <c r="C19875" s="5" t="s">
        <v>206</v>
      </c>
      <c r="D19875" s="3" t="s">
        <v>68</v>
      </c>
      <c r="E19875" s="3" t="s">
        <v>100</v>
      </c>
      <c r="F19875" s="7">
        <v>46129.2881926172</v>
      </c>
      <c r="G19875" s="3" t="s">
        <v>15402</v>
      </c>
    </row>
    <row r="19876">
      <c r="A19876" s="3" t="s">
        <v>36082</v>
      </c>
      <c r="B19876" s="3" t="s">
        <v>16497</v>
      </c>
      <c r="C19876" s="5" t="s">
        <v>45</v>
      </c>
      <c r="D19876" s="3" t="s">
        <v>221</v>
      </c>
      <c r="E19876" s="3" t="s">
        <v>1026</v>
      </c>
      <c r="F19876" s="7">
        <v>46129.348950795946</v>
      </c>
      <c r="G19876" s="3" t="s">
        <v>8568</v>
      </c>
    </row>
    <row r="19877">
      <c r="A19877" s="3" t="s">
        <v>36083</v>
      </c>
      <c r="B19877" s="3" t="s">
        <v>16497</v>
      </c>
      <c r="C19877" s="5" t="s">
        <v>221</v>
      </c>
      <c r="D19877" s="3" t="s">
        <v>614</v>
      </c>
      <c r="E19877" s="3" t="s">
        <v>118</v>
      </c>
      <c r="F19877" s="7">
        <v>46129.352423018165</v>
      </c>
      <c r="G19877" s="3" t="s">
        <v>8571</v>
      </c>
    </row>
    <row r="19878">
      <c r="A19878" s="3" t="s">
        <v>36084</v>
      </c>
      <c r="B19878" s="3" t="s">
        <v>16497</v>
      </c>
      <c r="C19878" s="5" t="s">
        <v>614</v>
      </c>
      <c r="D19878" s="3" t="s">
        <v>206</v>
      </c>
      <c r="E19878" s="3" t="s">
        <v>100</v>
      </c>
      <c r="F19878" s="7">
        <v>46129.35589524039</v>
      </c>
      <c r="G19878" s="3" t="s">
        <v>8574</v>
      </c>
    </row>
    <row r="19879">
      <c r="A19879" s="3" t="s">
        <v>36085</v>
      </c>
      <c r="B19879" s="3" t="s">
        <v>16497</v>
      </c>
      <c r="C19879" s="5" t="s">
        <v>206</v>
      </c>
      <c r="D19879" s="3" t="s">
        <v>68</v>
      </c>
      <c r="E19879" s="3" t="s">
        <v>100</v>
      </c>
      <c r="F19879" s="7">
        <v>46129.35936746261</v>
      </c>
      <c r="G19879" s="3" t="s">
        <v>8577</v>
      </c>
    </row>
    <row r="19880">
      <c r="A19880" s="3" t="s">
        <v>36086</v>
      </c>
      <c r="B19880" s="3" t="s">
        <v>16500</v>
      </c>
      <c r="C19880" s="5" t="s">
        <v>45</v>
      </c>
      <c r="D19880" s="3" t="s">
        <v>221</v>
      </c>
      <c r="E19880" s="3" t="s">
        <v>488</v>
      </c>
      <c r="F19880" s="7">
        <v>46129.42012564136</v>
      </c>
      <c r="G19880" s="3" t="s">
        <v>15405</v>
      </c>
    </row>
    <row r="19881">
      <c r="A19881" s="3" t="s">
        <v>36087</v>
      </c>
      <c r="B19881" s="3" t="s">
        <v>16500</v>
      </c>
      <c r="C19881" s="5" t="s">
        <v>221</v>
      </c>
      <c r="D19881" s="3" t="s">
        <v>614</v>
      </c>
      <c r="E19881" s="3" t="s">
        <v>118</v>
      </c>
      <c r="F19881" s="7">
        <v>46129.42359786358</v>
      </c>
      <c r="G19881" s="3" t="s">
        <v>15408</v>
      </c>
    </row>
    <row r="19882">
      <c r="A19882" s="3" t="s">
        <v>36088</v>
      </c>
      <c r="B19882" s="3" t="s">
        <v>16500</v>
      </c>
      <c r="C19882" s="5" t="s">
        <v>614</v>
      </c>
      <c r="D19882" s="3" t="s">
        <v>206</v>
      </c>
      <c r="E19882" s="3" t="s">
        <v>100</v>
      </c>
      <c r="F19882" s="7">
        <v>46129.4270700858</v>
      </c>
      <c r="G19882" s="3" t="s">
        <v>15411</v>
      </c>
    </row>
    <row r="19883">
      <c r="A19883" s="3" t="s">
        <v>36089</v>
      </c>
      <c r="B19883" s="3" t="s">
        <v>16500</v>
      </c>
      <c r="C19883" s="5" t="s">
        <v>206</v>
      </c>
      <c r="D19883" s="3" t="s">
        <v>68</v>
      </c>
      <c r="E19883" s="3" t="s">
        <v>100</v>
      </c>
      <c r="F19883" s="7">
        <v>46129.43054230802</v>
      </c>
      <c r="G19883" s="3" t="s">
        <v>15413</v>
      </c>
    </row>
    <row r="19884">
      <c r="A19884" s="3" t="s">
        <v>36090</v>
      </c>
      <c r="B19884" s="3" t="s">
        <v>16503</v>
      </c>
      <c r="C19884" s="5" t="s">
        <v>45</v>
      </c>
      <c r="D19884" s="3" t="s">
        <v>221</v>
      </c>
      <c r="E19884" s="3" t="s">
        <v>682</v>
      </c>
      <c r="F19884" s="7">
        <v>46129.49130048678</v>
      </c>
      <c r="G19884" s="3" t="s">
        <v>15439</v>
      </c>
    </row>
    <row r="19885">
      <c r="A19885" s="3" t="s">
        <v>36091</v>
      </c>
      <c r="B19885" s="3" t="s">
        <v>16503</v>
      </c>
      <c r="C19885" s="5" t="s">
        <v>221</v>
      </c>
      <c r="D19885" s="3" t="s">
        <v>614</v>
      </c>
      <c r="E19885" s="3" t="s">
        <v>118</v>
      </c>
      <c r="F19885" s="7">
        <v>46129.494772709</v>
      </c>
      <c r="G19885" s="3" t="s">
        <v>15441</v>
      </c>
    </row>
    <row r="19886">
      <c r="A19886" s="3" t="s">
        <v>36092</v>
      </c>
      <c r="B19886" s="3" t="s">
        <v>16503</v>
      </c>
      <c r="C19886" s="5" t="s">
        <v>614</v>
      </c>
      <c r="D19886" s="3" t="s">
        <v>206</v>
      </c>
      <c r="E19886" s="3" t="s">
        <v>100</v>
      </c>
      <c r="F19886" s="7">
        <v>46129.49824493122</v>
      </c>
      <c r="G19886" s="3" t="s">
        <v>15444</v>
      </c>
    </row>
    <row r="19887">
      <c r="A19887" s="3" t="s">
        <v>36093</v>
      </c>
      <c r="B19887" s="3" t="s">
        <v>16503</v>
      </c>
      <c r="C19887" s="5" t="s">
        <v>206</v>
      </c>
      <c r="D19887" s="3" t="s">
        <v>68</v>
      </c>
      <c r="E19887" s="3" t="s">
        <v>100</v>
      </c>
      <c r="F19887" s="7">
        <v>46129.50171715344</v>
      </c>
      <c r="G19887" s="3" t="s">
        <v>15447</v>
      </c>
    </row>
    <row r="19888">
      <c r="A19888" s="3" t="s">
        <v>36094</v>
      </c>
      <c r="B19888" s="3" t="s">
        <v>16506</v>
      </c>
      <c r="C19888" s="5" t="s">
        <v>45</v>
      </c>
      <c r="D19888" s="3" t="s">
        <v>221</v>
      </c>
      <c r="E19888" s="3" t="s">
        <v>272</v>
      </c>
      <c r="F19888" s="7">
        <v>46129.56247533219</v>
      </c>
      <c r="G19888" s="3" t="s">
        <v>15457</v>
      </c>
    </row>
    <row r="19889">
      <c r="A19889" s="3" t="s">
        <v>36095</v>
      </c>
      <c r="B19889" s="3" t="s">
        <v>16506</v>
      </c>
      <c r="C19889" s="5" t="s">
        <v>221</v>
      </c>
      <c r="D19889" s="3" t="s">
        <v>614</v>
      </c>
      <c r="E19889" s="3" t="s">
        <v>118</v>
      </c>
      <c r="F19889" s="7">
        <v>46129.56594755441</v>
      </c>
      <c r="G19889" s="3" t="s">
        <v>15460</v>
      </c>
    </row>
    <row r="19890">
      <c r="A19890" s="3" t="s">
        <v>36096</v>
      </c>
      <c r="B19890" s="3" t="s">
        <v>16506</v>
      </c>
      <c r="C19890" s="5" t="s">
        <v>614</v>
      </c>
      <c r="D19890" s="3" t="s">
        <v>206</v>
      </c>
      <c r="E19890" s="3" t="s">
        <v>100</v>
      </c>
      <c r="F19890" s="7">
        <v>46129.569419776635</v>
      </c>
      <c r="G19890" s="3" t="s">
        <v>15463</v>
      </c>
    </row>
    <row r="19891">
      <c r="A19891" s="3" t="s">
        <v>36097</v>
      </c>
      <c r="B19891" s="3" t="s">
        <v>16506</v>
      </c>
      <c r="C19891" s="5" t="s">
        <v>206</v>
      </c>
      <c r="D19891" s="3" t="s">
        <v>68</v>
      </c>
      <c r="E19891" s="3" t="s">
        <v>100</v>
      </c>
      <c r="F19891" s="7">
        <v>46129.572891998854</v>
      </c>
      <c r="G19891" s="3" t="s">
        <v>15466</v>
      </c>
    </row>
    <row r="19892">
      <c r="A19892" s="3" t="s">
        <v>36098</v>
      </c>
      <c r="B19892" s="3" t="s">
        <v>16510</v>
      </c>
      <c r="C19892" s="5" t="s">
        <v>45</v>
      </c>
      <c r="D19892" s="3" t="s">
        <v>221</v>
      </c>
      <c r="E19892" s="3" t="s">
        <v>186</v>
      </c>
      <c r="F19892" s="7">
        <v>46129.6336501776</v>
      </c>
      <c r="G19892" s="3" t="s">
        <v>18792</v>
      </c>
    </row>
    <row r="19893">
      <c r="A19893" s="3" t="s">
        <v>36099</v>
      </c>
      <c r="B19893" s="3" t="s">
        <v>16510</v>
      </c>
      <c r="C19893" s="5" t="s">
        <v>221</v>
      </c>
      <c r="D19893" s="3" t="s">
        <v>614</v>
      </c>
      <c r="E19893" s="3" t="s">
        <v>118</v>
      </c>
      <c r="F19893" s="7">
        <v>46129.63712239982</v>
      </c>
      <c r="G19893" s="3" t="s">
        <v>18795</v>
      </c>
    </row>
    <row r="19894">
      <c r="A19894" s="3" t="s">
        <v>36100</v>
      </c>
      <c r="B19894" s="3" t="s">
        <v>16510</v>
      </c>
      <c r="C19894" s="5" t="s">
        <v>614</v>
      </c>
      <c r="D19894" s="3" t="s">
        <v>206</v>
      </c>
      <c r="E19894" s="3" t="s">
        <v>100</v>
      </c>
      <c r="F19894" s="7">
        <v>46129.64059462205</v>
      </c>
      <c r="G19894" s="3" t="s">
        <v>18798</v>
      </c>
    </row>
    <row r="19895">
      <c r="A19895" s="3" t="s">
        <v>36101</v>
      </c>
      <c r="B19895" s="3" t="s">
        <v>16510</v>
      </c>
      <c r="C19895" s="5" t="s">
        <v>206</v>
      </c>
      <c r="D19895" s="3" t="s">
        <v>68</v>
      </c>
      <c r="E19895" s="3" t="s">
        <v>100</v>
      </c>
      <c r="F19895" s="7">
        <v>46129.64406684427</v>
      </c>
      <c r="G19895" s="3" t="s">
        <v>18801</v>
      </c>
    </row>
    <row r="19896">
      <c r="A19896" s="3" t="s">
        <v>36102</v>
      </c>
      <c r="B19896" s="3" t="s">
        <v>16514</v>
      </c>
      <c r="C19896" s="5" t="s">
        <v>45</v>
      </c>
      <c r="D19896" s="3" t="s">
        <v>221</v>
      </c>
      <c r="E19896" s="3" t="s">
        <v>466</v>
      </c>
      <c r="F19896" s="7">
        <v>46129.70482502302</v>
      </c>
      <c r="G19896" s="3" t="s">
        <v>6717</v>
      </c>
    </row>
    <row r="19897">
      <c r="A19897" s="3" t="s">
        <v>36103</v>
      </c>
      <c r="B19897" s="3" t="s">
        <v>16514</v>
      </c>
      <c r="C19897" s="5" t="s">
        <v>221</v>
      </c>
      <c r="D19897" s="3" t="s">
        <v>614</v>
      </c>
      <c r="E19897" s="3" t="s">
        <v>118</v>
      </c>
      <c r="F19897" s="7">
        <v>46129.70829724524</v>
      </c>
      <c r="G19897" s="3" t="s">
        <v>6719</v>
      </c>
    </row>
    <row r="19898">
      <c r="A19898" s="3" t="s">
        <v>36104</v>
      </c>
      <c r="B19898" s="3" t="s">
        <v>16514</v>
      </c>
      <c r="C19898" s="5" t="s">
        <v>614</v>
      </c>
      <c r="D19898" s="3" t="s">
        <v>206</v>
      </c>
      <c r="E19898" s="3" t="s">
        <v>100</v>
      </c>
      <c r="F19898" s="7">
        <v>46129.71176946747</v>
      </c>
      <c r="G19898" s="3" t="s">
        <v>6722</v>
      </c>
    </row>
    <row r="19899">
      <c r="A19899" s="3" t="s">
        <v>36105</v>
      </c>
      <c r="B19899" s="3" t="s">
        <v>16514</v>
      </c>
      <c r="C19899" s="5" t="s">
        <v>206</v>
      </c>
      <c r="D19899" s="3" t="s">
        <v>68</v>
      </c>
      <c r="E19899" s="3" t="s">
        <v>100</v>
      </c>
      <c r="F19899" s="7">
        <v>46129.715241689686</v>
      </c>
      <c r="G19899" s="3" t="s">
        <v>6724</v>
      </c>
    </row>
    <row r="19900">
      <c r="A19900" s="3" t="s">
        <v>36106</v>
      </c>
      <c r="B19900" s="3" t="s">
        <v>16517</v>
      </c>
      <c r="C19900" s="5" t="s">
        <v>45</v>
      </c>
      <c r="D19900" s="3" t="s">
        <v>221</v>
      </c>
      <c r="E19900" s="3" t="s">
        <v>934</v>
      </c>
      <c r="F19900" s="7">
        <v>46129.775999868434</v>
      </c>
      <c r="G19900" s="3" t="s">
        <v>9558</v>
      </c>
    </row>
    <row r="19901">
      <c r="A19901" s="3" t="s">
        <v>36107</v>
      </c>
      <c r="B19901" s="3" t="s">
        <v>16517</v>
      </c>
      <c r="C19901" s="5" t="s">
        <v>221</v>
      </c>
      <c r="D19901" s="3" t="s">
        <v>181</v>
      </c>
      <c r="E19901" s="3" t="s">
        <v>118</v>
      </c>
      <c r="F19901" s="7">
        <v>46129.77947209065</v>
      </c>
      <c r="G19901" s="3" t="s">
        <v>36108</v>
      </c>
    </row>
    <row r="19902">
      <c r="A19902" s="3" t="s">
        <v>36109</v>
      </c>
      <c r="B19902" s="3" t="s">
        <v>16520</v>
      </c>
      <c r="C19902" s="5" t="s">
        <v>45</v>
      </c>
      <c r="D19902" s="3" t="s">
        <v>221</v>
      </c>
      <c r="E19902" s="3" t="s">
        <v>430</v>
      </c>
      <c r="F19902" s="7">
        <v>46129.84717471385</v>
      </c>
      <c r="G19902" s="3" t="s">
        <v>15509</v>
      </c>
    </row>
    <row r="19903">
      <c r="A19903" s="3" t="s">
        <v>36110</v>
      </c>
      <c r="B19903" s="3" t="s">
        <v>16520</v>
      </c>
      <c r="C19903" s="5" t="s">
        <v>221</v>
      </c>
      <c r="D19903" s="3" t="s">
        <v>614</v>
      </c>
      <c r="E19903" s="3" t="s">
        <v>118</v>
      </c>
      <c r="F19903" s="7">
        <v>46129.850646936065</v>
      </c>
      <c r="G19903" s="3" t="s">
        <v>15512</v>
      </c>
    </row>
    <row r="19904">
      <c r="A19904" s="3" t="s">
        <v>36111</v>
      </c>
      <c r="B19904" s="3" t="s">
        <v>16520</v>
      </c>
      <c r="C19904" s="5" t="s">
        <v>614</v>
      </c>
      <c r="D19904" s="3" t="s">
        <v>206</v>
      </c>
      <c r="E19904" s="3" t="s">
        <v>100</v>
      </c>
      <c r="F19904" s="7">
        <v>46129.85411915829</v>
      </c>
      <c r="G19904" s="3" t="s">
        <v>15515</v>
      </c>
    </row>
    <row r="19905">
      <c r="A19905" s="3" t="s">
        <v>36112</v>
      </c>
      <c r="B19905" s="3" t="s">
        <v>16520</v>
      </c>
      <c r="C19905" s="5" t="s">
        <v>206</v>
      </c>
      <c r="D19905" s="3" t="s">
        <v>68</v>
      </c>
      <c r="E19905" s="3" t="s">
        <v>100</v>
      </c>
      <c r="F19905" s="7">
        <v>46129.85759138051</v>
      </c>
      <c r="G19905" s="3" t="s">
        <v>15517</v>
      </c>
    </row>
    <row r="19906">
      <c r="A19906" s="3" t="s">
        <v>36113</v>
      </c>
      <c r="B19906" s="3" t="s">
        <v>16525</v>
      </c>
      <c r="C19906" s="5" t="s">
        <v>45</v>
      </c>
      <c r="D19906" s="3" t="s">
        <v>221</v>
      </c>
      <c r="E19906" s="3" t="s">
        <v>864</v>
      </c>
      <c r="F19906" s="7">
        <v>46129.918349559266</v>
      </c>
      <c r="G19906" s="3" t="s">
        <v>22918</v>
      </c>
    </row>
    <row r="19907">
      <c r="A19907" s="3" t="s">
        <v>36114</v>
      </c>
      <c r="B19907" s="3" t="s">
        <v>16525</v>
      </c>
      <c r="C19907" s="5" t="s">
        <v>221</v>
      </c>
      <c r="D19907" s="3" t="s">
        <v>614</v>
      </c>
      <c r="E19907" s="3" t="s">
        <v>118</v>
      </c>
      <c r="F19907" s="7">
        <v>46129.921821781485</v>
      </c>
      <c r="G19907" s="3" t="s">
        <v>22921</v>
      </c>
    </row>
    <row r="19908">
      <c r="A19908" s="3" t="s">
        <v>36115</v>
      </c>
      <c r="B19908" s="3" t="s">
        <v>16525</v>
      </c>
      <c r="C19908" s="5" t="s">
        <v>614</v>
      </c>
      <c r="D19908" s="3" t="s">
        <v>206</v>
      </c>
      <c r="E19908" s="3" t="s">
        <v>100</v>
      </c>
      <c r="F19908" s="7">
        <v>46129.92529400371</v>
      </c>
      <c r="G19908" s="3" t="s">
        <v>22924</v>
      </c>
    </row>
    <row r="19909">
      <c r="A19909" s="3" t="s">
        <v>36116</v>
      </c>
      <c r="B19909" s="3" t="s">
        <v>16525</v>
      </c>
      <c r="C19909" s="5" t="s">
        <v>206</v>
      </c>
      <c r="D19909" s="3" t="s">
        <v>68</v>
      </c>
      <c r="E19909" s="3" t="s">
        <v>100</v>
      </c>
      <c r="F19909" s="7">
        <v>46129.92876622593</v>
      </c>
      <c r="G19909" s="3" t="s">
        <v>22927</v>
      </c>
    </row>
    <row r="19910">
      <c r="A19910" s="3" t="s">
        <v>36117</v>
      </c>
      <c r="B19910" s="3" t="s">
        <v>16528</v>
      </c>
      <c r="C19910" s="5" t="s">
        <v>45</v>
      </c>
      <c r="D19910" s="3" t="s">
        <v>221</v>
      </c>
      <c r="E19910" s="3" t="s">
        <v>449</v>
      </c>
      <c r="F19910" s="7">
        <v>46129.989524404686</v>
      </c>
      <c r="G19910" s="3" t="s">
        <v>17598</v>
      </c>
    </row>
    <row r="19911">
      <c r="A19911" s="3" t="s">
        <v>36118</v>
      </c>
      <c r="B19911" s="3" t="s">
        <v>16528</v>
      </c>
      <c r="C19911" s="5" t="s">
        <v>221</v>
      </c>
      <c r="D19911" s="3" t="s">
        <v>614</v>
      </c>
      <c r="E19911" s="3" t="s">
        <v>118</v>
      </c>
      <c r="F19911" s="7">
        <v>46129.992996626905</v>
      </c>
      <c r="G19911" s="3" t="s">
        <v>17601</v>
      </c>
    </row>
    <row r="19912">
      <c r="A19912" s="3" t="s">
        <v>36119</v>
      </c>
      <c r="B19912" s="3" t="s">
        <v>16528</v>
      </c>
      <c r="C19912" s="5" t="s">
        <v>614</v>
      </c>
      <c r="D19912" s="3" t="s">
        <v>206</v>
      </c>
      <c r="E19912" s="3" t="s">
        <v>100</v>
      </c>
      <c r="F19912" s="7">
        <v>46129.99646884913</v>
      </c>
      <c r="G19912" s="3" t="s">
        <v>17604</v>
      </c>
    </row>
    <row r="19913">
      <c r="A19913" s="3" t="s">
        <v>36120</v>
      </c>
      <c r="B19913" s="3" t="s">
        <v>16528</v>
      </c>
      <c r="C19913" s="5" t="s">
        <v>206</v>
      </c>
      <c r="D19913" s="3" t="s">
        <v>68</v>
      </c>
      <c r="E19913" s="3" t="s">
        <v>100</v>
      </c>
      <c r="F19913" s="7">
        <v>46129.99994107135</v>
      </c>
      <c r="G19913" s="3" t="s">
        <v>17607</v>
      </c>
    </row>
    <row r="19914">
      <c r="A19914" s="3" t="s">
        <v>36121</v>
      </c>
      <c r="B19914" s="3" t="s">
        <v>16531</v>
      </c>
      <c r="C19914" s="5" t="s">
        <v>45</v>
      </c>
      <c r="D19914" s="3" t="s">
        <v>221</v>
      </c>
      <c r="E19914" s="3" t="s">
        <v>627</v>
      </c>
      <c r="F19914" s="7">
        <v>46130.06069925009</v>
      </c>
      <c r="G19914" s="3" t="s">
        <v>32575</v>
      </c>
    </row>
    <row r="19915">
      <c r="A19915" s="3" t="s">
        <v>36122</v>
      </c>
      <c r="B19915" s="3" t="s">
        <v>16531</v>
      </c>
      <c r="C19915" s="5" t="s">
        <v>221</v>
      </c>
      <c r="D19915" s="3" t="s">
        <v>614</v>
      </c>
      <c r="E19915" s="3" t="s">
        <v>118</v>
      </c>
      <c r="F19915" s="7">
        <v>46130.06417147231</v>
      </c>
      <c r="G19915" s="3" t="s">
        <v>32577</v>
      </c>
    </row>
    <row r="19916">
      <c r="A19916" s="3" t="s">
        <v>36123</v>
      </c>
      <c r="B19916" s="3" t="s">
        <v>16531</v>
      </c>
      <c r="C19916" s="5" t="s">
        <v>614</v>
      </c>
      <c r="D19916" s="3" t="s">
        <v>206</v>
      </c>
      <c r="E19916" s="3" t="s">
        <v>100</v>
      </c>
      <c r="F19916" s="7">
        <v>46130.067643694536</v>
      </c>
      <c r="G19916" s="3" t="s">
        <v>32579</v>
      </c>
    </row>
    <row r="19917">
      <c r="A19917" s="3" t="s">
        <v>36124</v>
      </c>
      <c r="B19917" s="3" t="s">
        <v>16531</v>
      </c>
      <c r="C19917" s="5" t="s">
        <v>206</v>
      </c>
      <c r="D19917" s="3" t="s">
        <v>68</v>
      </c>
      <c r="E19917" s="3" t="s">
        <v>100</v>
      </c>
      <c r="F19917" s="7">
        <v>46130.071115916755</v>
      </c>
      <c r="G19917" s="3" t="s">
        <v>32581</v>
      </c>
    </row>
    <row r="19918">
      <c r="A19918" s="3" t="s">
        <v>36125</v>
      </c>
      <c r="B19918" s="3" t="s">
        <v>16533</v>
      </c>
      <c r="C19918" s="5" t="s">
        <v>45</v>
      </c>
      <c r="D19918" s="3" t="s">
        <v>221</v>
      </c>
      <c r="E19918" s="3" t="s">
        <v>612</v>
      </c>
      <c r="F19918" s="7">
        <v>46130.13187409551</v>
      </c>
      <c r="G19918" s="3" t="s">
        <v>23549</v>
      </c>
    </row>
    <row r="19919">
      <c r="A19919" s="3" t="s">
        <v>36126</v>
      </c>
      <c r="B19919" s="3" t="s">
        <v>16533</v>
      </c>
      <c r="C19919" s="5" t="s">
        <v>221</v>
      </c>
      <c r="D19919" s="3" t="s">
        <v>614</v>
      </c>
      <c r="E19919" s="3" t="s">
        <v>118</v>
      </c>
      <c r="F19919" s="7">
        <v>46130.13534631773</v>
      </c>
      <c r="G19919" s="3" t="s">
        <v>23552</v>
      </c>
    </row>
    <row r="19920">
      <c r="A19920" s="3" t="s">
        <v>36127</v>
      </c>
      <c r="B19920" s="3" t="s">
        <v>16533</v>
      </c>
      <c r="C19920" s="5" t="s">
        <v>614</v>
      </c>
      <c r="D19920" s="3" t="s">
        <v>206</v>
      </c>
      <c r="E19920" s="3" t="s">
        <v>100</v>
      </c>
      <c r="F19920" s="7">
        <v>46130.138818539956</v>
      </c>
      <c r="G19920" s="3" t="s">
        <v>23555</v>
      </c>
    </row>
    <row r="19921">
      <c r="A19921" s="3" t="s">
        <v>36128</v>
      </c>
      <c r="B19921" s="3" t="s">
        <v>16533</v>
      </c>
      <c r="C19921" s="5" t="s">
        <v>206</v>
      </c>
      <c r="D19921" s="3" t="s">
        <v>68</v>
      </c>
      <c r="E19921" s="3" t="s">
        <v>100</v>
      </c>
      <c r="F19921" s="7">
        <v>46130.142290762175</v>
      </c>
      <c r="G19921" s="3" t="s">
        <v>23559</v>
      </c>
    </row>
    <row r="19922">
      <c r="A19922" s="3" t="s">
        <v>36129</v>
      </c>
      <c r="B19922" s="3" t="s">
        <v>16536</v>
      </c>
      <c r="C19922" s="5" t="s">
        <v>45</v>
      </c>
      <c r="D19922" s="3" t="s">
        <v>221</v>
      </c>
      <c r="E19922" s="3" t="s">
        <v>805</v>
      </c>
      <c r="F19922" s="7">
        <v>46130.20304894093</v>
      </c>
      <c r="G19922" s="3" t="s">
        <v>15531</v>
      </c>
    </row>
    <row r="19923">
      <c r="A19923" s="3" t="s">
        <v>36130</v>
      </c>
      <c r="B19923" s="3" t="s">
        <v>16536</v>
      </c>
      <c r="C19923" s="5" t="s">
        <v>221</v>
      </c>
      <c r="D19923" s="3" t="s">
        <v>614</v>
      </c>
      <c r="E19923" s="3" t="s">
        <v>118</v>
      </c>
      <c r="F19923" s="7">
        <v>46130.20652116315</v>
      </c>
      <c r="G19923" s="3" t="s">
        <v>15534</v>
      </c>
    </row>
    <row r="19924">
      <c r="A19924" s="3" t="s">
        <v>36131</v>
      </c>
      <c r="B19924" s="3" t="s">
        <v>16536</v>
      </c>
      <c r="C19924" s="5" t="s">
        <v>614</v>
      </c>
      <c r="D19924" s="3" t="s">
        <v>206</v>
      </c>
      <c r="E19924" s="3" t="s">
        <v>100</v>
      </c>
      <c r="F19924" s="7">
        <v>46130.209993385375</v>
      </c>
      <c r="G19924" s="3" t="s">
        <v>15537</v>
      </c>
    </row>
    <row r="19925">
      <c r="A19925" s="3" t="s">
        <v>36132</v>
      </c>
      <c r="B19925" s="3" t="s">
        <v>16536</v>
      </c>
      <c r="C19925" s="5" t="s">
        <v>206</v>
      </c>
      <c r="D19925" s="3" t="s">
        <v>68</v>
      </c>
      <c r="E19925" s="3" t="s">
        <v>100</v>
      </c>
      <c r="F19925" s="7">
        <v>46130.213465607594</v>
      </c>
      <c r="G19925" s="3" t="s">
        <v>15540</v>
      </c>
    </row>
    <row r="19926">
      <c r="A19926" s="3" t="s">
        <v>36133</v>
      </c>
      <c r="B19926" s="3" t="s">
        <v>16538</v>
      </c>
      <c r="C19926" s="5" t="s">
        <v>45</v>
      </c>
      <c r="D19926" s="3" t="s">
        <v>221</v>
      </c>
      <c r="E19926" s="3" t="s">
        <v>219</v>
      </c>
      <c r="F19926" s="7">
        <v>46130.27422378634</v>
      </c>
      <c r="G19926" s="3" t="s">
        <v>32165</v>
      </c>
    </row>
    <row r="19927">
      <c r="A19927" s="3" t="s">
        <v>36134</v>
      </c>
      <c r="B19927" s="3" t="s">
        <v>16538</v>
      </c>
      <c r="C19927" s="5" t="s">
        <v>221</v>
      </c>
      <c r="D19927" s="3" t="s">
        <v>614</v>
      </c>
      <c r="E19927" s="3" t="s">
        <v>118</v>
      </c>
      <c r="F19927" s="7">
        <v>46130.27769600856</v>
      </c>
      <c r="G19927" s="3" t="s">
        <v>32167</v>
      </c>
    </row>
    <row r="19928">
      <c r="A19928" s="3" t="s">
        <v>36135</v>
      </c>
      <c r="B19928" s="3" t="s">
        <v>16538</v>
      </c>
      <c r="C19928" s="5" t="s">
        <v>614</v>
      </c>
      <c r="D19928" s="3" t="s">
        <v>206</v>
      </c>
      <c r="E19928" s="3" t="s">
        <v>100</v>
      </c>
      <c r="F19928" s="7">
        <v>46130.28116823079</v>
      </c>
      <c r="G19928" s="3" t="s">
        <v>32169</v>
      </c>
    </row>
    <row r="19929">
      <c r="A19929" s="3" t="s">
        <v>36136</v>
      </c>
      <c r="B19929" s="3" t="s">
        <v>16538</v>
      </c>
      <c r="C19929" s="5" t="s">
        <v>206</v>
      </c>
      <c r="D19929" s="3" t="s">
        <v>68</v>
      </c>
      <c r="E19929" s="3" t="s">
        <v>100</v>
      </c>
      <c r="F19929" s="7">
        <v>46130.28464045301</v>
      </c>
      <c r="G19929" s="3" t="s">
        <v>32171</v>
      </c>
    </row>
    <row r="19930">
      <c r="A19930" s="3" t="s">
        <v>36137</v>
      </c>
      <c r="B19930" s="3" t="s">
        <v>16541</v>
      </c>
      <c r="C19930" s="5" t="s">
        <v>45</v>
      </c>
      <c r="D19930" s="3" t="s">
        <v>221</v>
      </c>
      <c r="E19930" s="3" t="s">
        <v>710</v>
      </c>
      <c r="F19930" s="7">
        <v>46130.345398631755</v>
      </c>
      <c r="G19930" s="3" t="s">
        <v>2770</v>
      </c>
    </row>
    <row r="19931">
      <c r="A19931" s="3" t="s">
        <v>36138</v>
      </c>
      <c r="B19931" s="3" t="s">
        <v>16541</v>
      </c>
      <c r="C19931" s="5" t="s">
        <v>221</v>
      </c>
      <c r="D19931" s="3" t="s">
        <v>195</v>
      </c>
      <c r="E19931" s="3" t="s">
        <v>710</v>
      </c>
      <c r="F19931" s="7">
        <v>46130.34887085397</v>
      </c>
      <c r="G19931" s="3" t="s">
        <v>3055</v>
      </c>
    </row>
    <row r="19932">
      <c r="A19932" s="3" t="s">
        <v>36139</v>
      </c>
      <c r="B19932" s="3" t="s">
        <v>16545</v>
      </c>
      <c r="C19932" s="5" t="s">
        <v>45</v>
      </c>
      <c r="D19932" s="3" t="s">
        <v>221</v>
      </c>
      <c r="E19932" s="3" t="s">
        <v>208</v>
      </c>
      <c r="F19932" s="7">
        <v>46130.416573477174</v>
      </c>
      <c r="G19932" s="3" t="s">
        <v>15583</v>
      </c>
    </row>
    <row r="19933">
      <c r="A19933" s="3" t="s">
        <v>36140</v>
      </c>
      <c r="B19933" s="3" t="s">
        <v>16545</v>
      </c>
      <c r="C19933" s="5" t="s">
        <v>221</v>
      </c>
      <c r="D19933" s="3" t="s">
        <v>614</v>
      </c>
      <c r="E19933" s="3" t="s">
        <v>118</v>
      </c>
      <c r="F19933" s="7">
        <v>46130.42004569939</v>
      </c>
      <c r="G19933" s="3" t="s">
        <v>15586</v>
      </c>
    </row>
    <row r="19934">
      <c r="A19934" s="3" t="s">
        <v>36141</v>
      </c>
      <c r="B19934" s="3" t="s">
        <v>16545</v>
      </c>
      <c r="C19934" s="5" t="s">
        <v>614</v>
      </c>
      <c r="D19934" s="3" t="s">
        <v>206</v>
      </c>
      <c r="E19934" s="3" t="s">
        <v>100</v>
      </c>
      <c r="F19934" s="7">
        <v>46130.42351792162</v>
      </c>
      <c r="G19934" s="3" t="s">
        <v>15589</v>
      </c>
    </row>
    <row r="19935">
      <c r="A19935" s="3" t="s">
        <v>36142</v>
      </c>
      <c r="B19935" s="3" t="s">
        <v>16545</v>
      </c>
      <c r="C19935" s="5" t="s">
        <v>206</v>
      </c>
      <c r="D19935" s="3" t="s">
        <v>68</v>
      </c>
      <c r="E19935" s="3" t="s">
        <v>100</v>
      </c>
      <c r="F19935" s="7">
        <v>46130.42699014384</v>
      </c>
      <c r="G19935" s="3" t="s">
        <v>15592</v>
      </c>
    </row>
    <row r="19936">
      <c r="A19936" s="3" t="s">
        <v>36143</v>
      </c>
      <c r="B19936" s="3" t="s">
        <v>16549</v>
      </c>
      <c r="C19936" s="5" t="s">
        <v>45</v>
      </c>
      <c r="D19936" s="3" t="s">
        <v>221</v>
      </c>
      <c r="E19936" s="3" t="s">
        <v>479</v>
      </c>
      <c r="F19936" s="7">
        <v>46130.48774832259</v>
      </c>
      <c r="G19936" s="3" t="s">
        <v>15606</v>
      </c>
    </row>
    <row r="19937">
      <c r="A19937" s="3" t="s">
        <v>36144</v>
      </c>
      <c r="B19937" s="3" t="s">
        <v>16549</v>
      </c>
      <c r="C19937" s="5" t="s">
        <v>221</v>
      </c>
      <c r="D19937" s="3" t="s">
        <v>614</v>
      </c>
      <c r="E19937" s="3" t="s">
        <v>118</v>
      </c>
      <c r="F19937" s="7">
        <v>46130.491220544805</v>
      </c>
      <c r="G19937" s="3" t="s">
        <v>15609</v>
      </c>
    </row>
    <row r="19938">
      <c r="A19938" s="3" t="s">
        <v>36145</v>
      </c>
      <c r="B19938" s="3" t="s">
        <v>16549</v>
      </c>
      <c r="C19938" s="5" t="s">
        <v>614</v>
      </c>
      <c r="D19938" s="3" t="s">
        <v>206</v>
      </c>
      <c r="E19938" s="3" t="s">
        <v>100</v>
      </c>
      <c r="F19938" s="7">
        <v>46130.49469276703</v>
      </c>
      <c r="G19938" s="3" t="s">
        <v>15612</v>
      </c>
    </row>
    <row r="19939">
      <c r="A19939" s="3" t="s">
        <v>36146</v>
      </c>
      <c r="B19939" s="3" t="s">
        <v>16549</v>
      </c>
      <c r="C19939" s="5" t="s">
        <v>206</v>
      </c>
      <c r="D19939" s="3" t="s">
        <v>68</v>
      </c>
      <c r="E19939" s="3" t="s">
        <v>100</v>
      </c>
      <c r="F19939" s="7">
        <v>46130.49816498925</v>
      </c>
      <c r="G19939" s="3" t="s">
        <v>15615</v>
      </c>
    </row>
    <row r="19940">
      <c r="A19940" s="3" t="s">
        <v>36147</v>
      </c>
      <c r="B19940" s="3" t="s">
        <v>16551</v>
      </c>
      <c r="C19940" s="5" t="s">
        <v>45</v>
      </c>
      <c r="D19940" s="3" t="s">
        <v>221</v>
      </c>
      <c r="E19940" s="3" t="s">
        <v>600</v>
      </c>
      <c r="F19940" s="7">
        <v>46130.558923168</v>
      </c>
      <c r="G19940" s="3" t="s">
        <v>29555</v>
      </c>
    </row>
    <row r="19941">
      <c r="A19941" s="3" t="s">
        <v>36148</v>
      </c>
      <c r="B19941" s="3" t="s">
        <v>16551</v>
      </c>
      <c r="C19941" s="5" t="s">
        <v>221</v>
      </c>
      <c r="D19941" s="3" t="s">
        <v>614</v>
      </c>
      <c r="E19941" s="3" t="s">
        <v>118</v>
      </c>
      <c r="F19941" s="7">
        <v>46130.56239539022</v>
      </c>
      <c r="G19941" s="3" t="s">
        <v>29557</v>
      </c>
    </row>
    <row r="19942">
      <c r="A19942" s="3" t="s">
        <v>36149</v>
      </c>
      <c r="B19942" s="3" t="s">
        <v>16551</v>
      </c>
      <c r="C19942" s="5" t="s">
        <v>614</v>
      </c>
      <c r="D19942" s="3" t="s">
        <v>206</v>
      </c>
      <c r="E19942" s="3" t="s">
        <v>100</v>
      </c>
      <c r="F19942" s="7">
        <v>46130.565867612444</v>
      </c>
      <c r="G19942" s="3" t="s">
        <v>29559</v>
      </c>
    </row>
    <row r="19943">
      <c r="A19943" s="3" t="s">
        <v>36150</v>
      </c>
      <c r="B19943" s="3" t="s">
        <v>16551</v>
      </c>
      <c r="C19943" s="5" t="s">
        <v>206</v>
      </c>
      <c r="D19943" s="3" t="s">
        <v>68</v>
      </c>
      <c r="E19943" s="3" t="s">
        <v>100</v>
      </c>
      <c r="F19943" s="7">
        <v>46130.56933983466</v>
      </c>
      <c r="G19943" s="3" t="s">
        <v>29561</v>
      </c>
    </row>
    <row r="19944">
      <c r="A19944" s="3" t="s">
        <v>36151</v>
      </c>
      <c r="B19944" s="3" t="s">
        <v>16553</v>
      </c>
      <c r="C19944" s="5" t="s">
        <v>45</v>
      </c>
      <c r="D19944" s="3" t="s">
        <v>221</v>
      </c>
      <c r="E19944" s="3" t="s">
        <v>530</v>
      </c>
      <c r="F19944" s="7">
        <v>46130.63009801342</v>
      </c>
      <c r="G19944" s="3" t="s">
        <v>13189</v>
      </c>
    </row>
    <row r="19945">
      <c r="A19945" s="3" t="s">
        <v>36152</v>
      </c>
      <c r="B19945" s="3" t="s">
        <v>16553</v>
      </c>
      <c r="C19945" s="5" t="s">
        <v>221</v>
      </c>
      <c r="D19945" s="3" t="s">
        <v>614</v>
      </c>
      <c r="E19945" s="3" t="s">
        <v>118</v>
      </c>
      <c r="F19945" s="7">
        <v>46130.63357023564</v>
      </c>
      <c r="G19945" s="3" t="s">
        <v>13193</v>
      </c>
    </row>
    <row r="19946">
      <c r="A19946" s="3" t="s">
        <v>36153</v>
      </c>
      <c r="B19946" s="3" t="s">
        <v>16553</v>
      </c>
      <c r="C19946" s="5" t="s">
        <v>614</v>
      </c>
      <c r="D19946" s="3" t="s">
        <v>206</v>
      </c>
      <c r="E19946" s="3" t="s">
        <v>100</v>
      </c>
      <c r="F19946" s="7">
        <v>46130.63704245786</v>
      </c>
      <c r="G19946" s="3" t="s">
        <v>13197</v>
      </c>
    </row>
    <row r="19947">
      <c r="A19947" s="3" t="s">
        <v>36154</v>
      </c>
      <c r="B19947" s="3" t="s">
        <v>16553</v>
      </c>
      <c r="C19947" s="5" t="s">
        <v>206</v>
      </c>
      <c r="D19947" s="3" t="s">
        <v>68</v>
      </c>
      <c r="E19947" s="3" t="s">
        <v>100</v>
      </c>
      <c r="F19947" s="7">
        <v>46130.64051468008</v>
      </c>
      <c r="G19947" s="3" t="s">
        <v>13200</v>
      </c>
    </row>
    <row r="19948">
      <c r="A19948" s="3" t="s">
        <v>36155</v>
      </c>
      <c r="B19948" s="3" t="s">
        <v>16555</v>
      </c>
      <c r="C19948" s="5" t="s">
        <v>45</v>
      </c>
      <c r="D19948" s="3" t="s">
        <v>221</v>
      </c>
      <c r="E19948" s="3" t="s">
        <v>953</v>
      </c>
      <c r="F19948" s="7">
        <v>46130.70127285883</v>
      </c>
      <c r="G19948" s="3" t="s">
        <v>15672</v>
      </c>
    </row>
    <row r="19949">
      <c r="A19949" s="3" t="s">
        <v>36156</v>
      </c>
      <c r="B19949" s="3" t="s">
        <v>16555</v>
      </c>
      <c r="C19949" s="5" t="s">
        <v>221</v>
      </c>
      <c r="D19949" s="3" t="s">
        <v>614</v>
      </c>
      <c r="E19949" s="3" t="s">
        <v>118</v>
      </c>
      <c r="F19949" s="7">
        <v>46130.70474508105</v>
      </c>
      <c r="G19949" s="3" t="s">
        <v>15675</v>
      </c>
    </row>
    <row r="19950">
      <c r="A19950" s="3" t="s">
        <v>36157</v>
      </c>
      <c r="B19950" s="3" t="s">
        <v>16555</v>
      </c>
      <c r="C19950" s="5" t="s">
        <v>614</v>
      </c>
      <c r="D19950" s="3" t="s">
        <v>206</v>
      </c>
      <c r="E19950" s="3" t="s">
        <v>100</v>
      </c>
      <c r="F19950" s="7">
        <v>46130.708217303276</v>
      </c>
      <c r="G19950" s="3" t="s">
        <v>15677</v>
      </c>
    </row>
    <row r="19951">
      <c r="A19951" s="3" t="s">
        <v>36158</v>
      </c>
      <c r="B19951" s="3" t="s">
        <v>16555</v>
      </c>
      <c r="C19951" s="5" t="s">
        <v>206</v>
      </c>
      <c r="D19951" s="3" t="s">
        <v>68</v>
      </c>
      <c r="E19951" s="3" t="s">
        <v>100</v>
      </c>
      <c r="F19951" s="7">
        <v>46130.711689525495</v>
      </c>
      <c r="G19951" s="3" t="s">
        <v>15680</v>
      </c>
    </row>
    <row r="19952">
      <c r="A19952" s="3" t="s">
        <v>36159</v>
      </c>
      <c r="B19952" s="3" t="s">
        <v>16557</v>
      </c>
      <c r="C19952" s="5" t="s">
        <v>45</v>
      </c>
      <c r="D19952" s="3" t="s">
        <v>221</v>
      </c>
      <c r="E19952" s="3" t="s">
        <v>763</v>
      </c>
      <c r="F19952" s="7">
        <v>46130.77244770424</v>
      </c>
      <c r="G19952" s="3" t="s">
        <v>11096</v>
      </c>
    </row>
    <row r="19953">
      <c r="A19953" s="3" t="s">
        <v>36160</v>
      </c>
      <c r="B19953" s="3" t="s">
        <v>16557</v>
      </c>
      <c r="C19953" s="5" t="s">
        <v>221</v>
      </c>
      <c r="D19953" s="3" t="s">
        <v>614</v>
      </c>
      <c r="E19953" s="3" t="s">
        <v>118</v>
      </c>
      <c r="F19953" s="7">
        <v>46130.77591992646</v>
      </c>
      <c r="G19953" s="3" t="s">
        <v>11099</v>
      </c>
    </row>
    <row r="19954">
      <c r="A19954" s="3" t="s">
        <v>36161</v>
      </c>
      <c r="B19954" s="3" t="s">
        <v>16557</v>
      </c>
      <c r="C19954" s="5" t="s">
        <v>614</v>
      </c>
      <c r="D19954" s="3" t="s">
        <v>206</v>
      </c>
      <c r="E19954" s="3" t="s">
        <v>100</v>
      </c>
      <c r="F19954" s="7">
        <v>46130.77939214869</v>
      </c>
      <c r="G19954" s="3" t="s">
        <v>11101</v>
      </c>
    </row>
    <row r="19955">
      <c r="A19955" s="3" t="s">
        <v>36162</v>
      </c>
      <c r="B19955" s="3" t="s">
        <v>16557</v>
      </c>
      <c r="C19955" s="5" t="s">
        <v>206</v>
      </c>
      <c r="D19955" s="3" t="s">
        <v>68</v>
      </c>
      <c r="E19955" s="3" t="s">
        <v>100</v>
      </c>
      <c r="F19955" s="7">
        <v>46130.78286437091</v>
      </c>
      <c r="G19955" s="3" t="s">
        <v>11105</v>
      </c>
    </row>
    <row r="19956">
      <c r="A19956" s="3" t="s">
        <v>36163</v>
      </c>
      <c r="B19956" s="3" t="s">
        <v>16561</v>
      </c>
      <c r="C19956" s="5" t="s">
        <v>45</v>
      </c>
      <c r="D19956" s="3" t="s">
        <v>221</v>
      </c>
      <c r="E19956" s="3" t="s">
        <v>546</v>
      </c>
      <c r="F19956" s="7">
        <v>46130.84362254966</v>
      </c>
      <c r="G19956" s="3" t="s">
        <v>13423</v>
      </c>
    </row>
    <row r="19957">
      <c r="A19957" s="3" t="s">
        <v>36164</v>
      </c>
      <c r="B19957" s="3" t="s">
        <v>16561</v>
      </c>
      <c r="C19957" s="5" t="s">
        <v>221</v>
      </c>
      <c r="D19957" s="3" t="s">
        <v>614</v>
      </c>
      <c r="E19957" s="3" t="s">
        <v>118</v>
      </c>
      <c r="F19957" s="7">
        <v>46130.84709477188</v>
      </c>
      <c r="G19957" s="3" t="s">
        <v>13425</v>
      </c>
    </row>
    <row r="19958">
      <c r="A19958" s="3" t="s">
        <v>36165</v>
      </c>
      <c r="B19958" s="3" t="s">
        <v>16561</v>
      </c>
      <c r="C19958" s="5" t="s">
        <v>614</v>
      </c>
      <c r="D19958" s="3" t="s">
        <v>206</v>
      </c>
      <c r="E19958" s="3" t="s">
        <v>100</v>
      </c>
      <c r="F19958" s="7">
        <v>46130.85056699411</v>
      </c>
      <c r="G19958" s="3" t="s">
        <v>13428</v>
      </c>
    </row>
    <row r="19959">
      <c r="A19959" s="3" t="s">
        <v>36166</v>
      </c>
      <c r="B19959" s="3" t="s">
        <v>16561</v>
      </c>
      <c r="C19959" s="5" t="s">
        <v>206</v>
      </c>
      <c r="D19959" s="3" t="s">
        <v>68</v>
      </c>
      <c r="E19959" s="3" t="s">
        <v>100</v>
      </c>
      <c r="F19959" s="7">
        <v>46130.85403921633</v>
      </c>
      <c r="G19959" s="3" t="s">
        <v>13431</v>
      </c>
    </row>
    <row r="19960">
      <c r="A19960" s="3" t="s">
        <v>36167</v>
      </c>
      <c r="B19960" s="3" t="s">
        <v>16564</v>
      </c>
      <c r="C19960" s="5" t="s">
        <v>45</v>
      </c>
      <c r="D19960" s="3" t="s">
        <v>221</v>
      </c>
      <c r="E19960" s="3" t="s">
        <v>130</v>
      </c>
      <c r="F19960" s="7">
        <v>46130.914797395075</v>
      </c>
      <c r="G19960" s="3" t="s">
        <v>9020</v>
      </c>
    </row>
    <row r="19961">
      <c r="A19961" s="3" t="s">
        <v>36168</v>
      </c>
      <c r="B19961" s="3" t="s">
        <v>16564</v>
      </c>
      <c r="C19961" s="5" t="s">
        <v>221</v>
      </c>
      <c r="D19961" s="3" t="s">
        <v>614</v>
      </c>
      <c r="E19961" s="3" t="s">
        <v>118</v>
      </c>
      <c r="F19961" s="7">
        <v>46130.918269617294</v>
      </c>
      <c r="G19961" s="3" t="s">
        <v>9023</v>
      </c>
    </row>
    <row r="19962">
      <c r="A19962" s="3" t="s">
        <v>36169</v>
      </c>
      <c r="B19962" s="3" t="s">
        <v>16564</v>
      </c>
      <c r="C19962" s="5" t="s">
        <v>614</v>
      </c>
      <c r="D19962" s="3" t="s">
        <v>206</v>
      </c>
      <c r="E19962" s="3" t="s">
        <v>100</v>
      </c>
      <c r="F19962" s="7">
        <v>46130.92174183952</v>
      </c>
      <c r="G19962" s="3" t="s">
        <v>9026</v>
      </c>
    </row>
    <row r="19963">
      <c r="A19963" s="3" t="s">
        <v>36170</v>
      </c>
      <c r="B19963" s="3" t="s">
        <v>16564</v>
      </c>
      <c r="C19963" s="5" t="s">
        <v>206</v>
      </c>
      <c r="D19963" s="3" t="s">
        <v>68</v>
      </c>
      <c r="E19963" s="3" t="s">
        <v>100</v>
      </c>
      <c r="F19963" s="7">
        <v>46130.92521406174</v>
      </c>
      <c r="G19963" s="3" t="s">
        <v>9029</v>
      </c>
    </row>
    <row r="19964">
      <c r="A19964" s="3" t="s">
        <v>36171</v>
      </c>
      <c r="B19964" s="3" t="s">
        <v>16567</v>
      </c>
      <c r="C19964" s="5" t="s">
        <v>45</v>
      </c>
      <c r="D19964" s="3" t="s">
        <v>221</v>
      </c>
      <c r="E19964" s="3" t="s">
        <v>243</v>
      </c>
      <c r="F19964" s="7">
        <v>46130.985972240494</v>
      </c>
      <c r="G19964" s="3" t="s">
        <v>19035</v>
      </c>
    </row>
    <row r="19965">
      <c r="A19965" s="3" t="s">
        <v>36172</v>
      </c>
      <c r="B19965" s="3" t="s">
        <v>16567</v>
      </c>
      <c r="C19965" s="5" t="s">
        <v>221</v>
      </c>
      <c r="D19965" s="3" t="s">
        <v>614</v>
      </c>
      <c r="E19965" s="3" t="s">
        <v>118</v>
      </c>
      <c r="F19965" s="7">
        <v>46130.98944446271</v>
      </c>
      <c r="G19965" s="3" t="s">
        <v>19038</v>
      </c>
    </row>
    <row r="19966">
      <c r="A19966" s="3" t="s">
        <v>36173</v>
      </c>
      <c r="B19966" s="3" t="s">
        <v>16567</v>
      </c>
      <c r="C19966" s="5" t="s">
        <v>614</v>
      </c>
      <c r="D19966" s="3" t="s">
        <v>206</v>
      </c>
      <c r="E19966" s="3" t="s">
        <v>100</v>
      </c>
      <c r="F19966" s="7">
        <v>46130.99291668494</v>
      </c>
      <c r="G19966" s="3" t="s">
        <v>19041</v>
      </c>
    </row>
    <row r="19967">
      <c r="A19967" s="3" t="s">
        <v>36174</v>
      </c>
      <c r="B19967" s="3" t="s">
        <v>16567</v>
      </c>
      <c r="C19967" s="5" t="s">
        <v>206</v>
      </c>
      <c r="D19967" s="3" t="s">
        <v>68</v>
      </c>
      <c r="E19967" s="3" t="s">
        <v>100</v>
      </c>
      <c r="F19967" s="7">
        <v>46130.99638890716</v>
      </c>
      <c r="G19967" s="3" t="s">
        <v>19044</v>
      </c>
    </row>
    <row r="19968">
      <c r="A19968" s="3" t="s">
        <v>36175</v>
      </c>
      <c r="B19968" s="3" t="s">
        <v>16571</v>
      </c>
      <c r="C19968" s="5" t="s">
        <v>45</v>
      </c>
      <c r="D19968" s="3" t="s">
        <v>221</v>
      </c>
      <c r="E19968" s="3" t="s">
        <v>547</v>
      </c>
      <c r="F19968" s="7">
        <v>46131.05714708591</v>
      </c>
      <c r="G19968" s="3" t="s">
        <v>15723</v>
      </c>
    </row>
    <row r="19969">
      <c r="A19969" s="3" t="s">
        <v>36176</v>
      </c>
      <c r="B19969" s="3" t="s">
        <v>16571</v>
      </c>
      <c r="C19969" s="5" t="s">
        <v>221</v>
      </c>
      <c r="D19969" s="3" t="s">
        <v>614</v>
      </c>
      <c r="E19969" s="3" t="s">
        <v>118</v>
      </c>
      <c r="F19969" s="7">
        <v>46131.060619308126</v>
      </c>
      <c r="G19969" s="3" t="s">
        <v>15726</v>
      </c>
    </row>
    <row r="19970">
      <c r="A19970" s="3" t="s">
        <v>36177</v>
      </c>
      <c r="B19970" s="3" t="s">
        <v>16571</v>
      </c>
      <c r="C19970" s="5" t="s">
        <v>614</v>
      </c>
      <c r="D19970" s="3" t="s">
        <v>206</v>
      </c>
      <c r="E19970" s="3" t="s">
        <v>100</v>
      </c>
      <c r="F19970" s="7">
        <v>46131.06409153035</v>
      </c>
      <c r="G19970" s="3" t="s">
        <v>15728</v>
      </c>
    </row>
    <row r="19971">
      <c r="A19971" s="3" t="s">
        <v>36178</v>
      </c>
      <c r="B19971" s="3" t="s">
        <v>16571</v>
      </c>
      <c r="C19971" s="5" t="s">
        <v>206</v>
      </c>
      <c r="D19971" s="3" t="s">
        <v>68</v>
      </c>
      <c r="E19971" s="3" t="s">
        <v>100</v>
      </c>
      <c r="F19971" s="7">
        <v>46131.06756375257</v>
      </c>
      <c r="G19971" s="3" t="s">
        <v>15731</v>
      </c>
    </row>
    <row r="19972">
      <c r="A19972" s="3" t="s">
        <v>36179</v>
      </c>
      <c r="B19972" s="3" t="s">
        <v>16575</v>
      </c>
      <c r="C19972" s="5" t="s">
        <v>45</v>
      </c>
      <c r="D19972" s="3" t="s">
        <v>221</v>
      </c>
      <c r="E19972" s="3" t="s">
        <v>159</v>
      </c>
      <c r="F19972" s="7">
        <v>46131.128321931326</v>
      </c>
      <c r="G19972" s="3" t="s">
        <v>12820</v>
      </c>
    </row>
    <row r="19973">
      <c r="A19973" s="3" t="s">
        <v>36180</v>
      </c>
      <c r="B19973" s="3" t="s">
        <v>16575</v>
      </c>
      <c r="C19973" s="5" t="s">
        <v>221</v>
      </c>
      <c r="D19973" s="3" t="s">
        <v>614</v>
      </c>
      <c r="E19973" s="3" t="s">
        <v>118</v>
      </c>
      <c r="F19973" s="7">
        <v>46131.131794153545</v>
      </c>
      <c r="G19973" s="3" t="s">
        <v>25584</v>
      </c>
    </row>
    <row r="19974">
      <c r="A19974" s="3" t="s">
        <v>36181</v>
      </c>
      <c r="B19974" s="3" t="s">
        <v>16575</v>
      </c>
      <c r="C19974" s="5" t="s">
        <v>614</v>
      </c>
      <c r="D19974" s="3" t="s">
        <v>206</v>
      </c>
      <c r="E19974" s="3" t="s">
        <v>100</v>
      </c>
      <c r="F19974" s="7">
        <v>46131.13526637577</v>
      </c>
      <c r="G19974" s="3" t="s">
        <v>25586</v>
      </c>
    </row>
    <row r="19975">
      <c r="A19975" s="3" t="s">
        <v>36182</v>
      </c>
      <c r="B19975" s="3" t="s">
        <v>16575</v>
      </c>
      <c r="C19975" s="5" t="s">
        <v>206</v>
      </c>
      <c r="D19975" s="3" t="s">
        <v>68</v>
      </c>
      <c r="E19975" s="3" t="s">
        <v>100</v>
      </c>
      <c r="F19975" s="7">
        <v>46131.13873859799</v>
      </c>
      <c r="G19975" s="3" t="s">
        <v>25588</v>
      </c>
    </row>
    <row r="19976">
      <c r="A19976" s="3" t="s">
        <v>36183</v>
      </c>
      <c r="B19976" s="3" t="s">
        <v>16578</v>
      </c>
      <c r="C19976" s="5" t="s">
        <v>45</v>
      </c>
      <c r="D19976" s="3" t="s">
        <v>221</v>
      </c>
      <c r="E19976" s="3" t="s">
        <v>1049</v>
      </c>
      <c r="F19976" s="7">
        <v>46131.19949677673</v>
      </c>
      <c r="G19976" s="3" t="s">
        <v>15806</v>
      </c>
    </row>
    <row r="19977">
      <c r="A19977" s="3" t="s">
        <v>36184</v>
      </c>
      <c r="B19977" s="3" t="s">
        <v>16578</v>
      </c>
      <c r="C19977" s="5" t="s">
        <v>221</v>
      </c>
      <c r="D19977" s="3" t="s">
        <v>614</v>
      </c>
      <c r="E19977" s="3" t="s">
        <v>118</v>
      </c>
      <c r="F19977" s="7">
        <v>46131.20296899895</v>
      </c>
      <c r="G19977" s="3" t="s">
        <v>15809</v>
      </c>
    </row>
    <row r="19978">
      <c r="A19978" s="3" t="s">
        <v>36185</v>
      </c>
      <c r="B19978" s="3" t="s">
        <v>16578</v>
      </c>
      <c r="C19978" s="5" t="s">
        <v>614</v>
      </c>
      <c r="D19978" s="3" t="s">
        <v>206</v>
      </c>
      <c r="E19978" s="3" t="s">
        <v>100</v>
      </c>
      <c r="F19978" s="7">
        <v>46131.20644122118</v>
      </c>
      <c r="G19978" s="3" t="s">
        <v>15812</v>
      </c>
    </row>
    <row r="19979">
      <c r="A19979" s="3" t="s">
        <v>36186</v>
      </c>
      <c r="B19979" s="3" t="s">
        <v>16578</v>
      </c>
      <c r="C19979" s="5" t="s">
        <v>206</v>
      </c>
      <c r="D19979" s="3" t="s">
        <v>68</v>
      </c>
      <c r="E19979" s="3" t="s">
        <v>100</v>
      </c>
      <c r="F19979" s="7">
        <v>46131.209913443396</v>
      </c>
      <c r="G19979" s="3" t="s">
        <v>15815</v>
      </c>
    </row>
    <row r="19980">
      <c r="A19980" s="3" t="s">
        <v>36187</v>
      </c>
      <c r="B19980" s="3" t="s">
        <v>16581</v>
      </c>
      <c r="C19980" s="5" t="s">
        <v>45</v>
      </c>
      <c r="D19980" s="3" t="s">
        <v>221</v>
      </c>
      <c r="E19980" s="3" t="s">
        <v>883</v>
      </c>
      <c r="F19980" s="7">
        <v>46131.27067162215</v>
      </c>
      <c r="G19980" s="3" t="s">
        <v>31231</v>
      </c>
    </row>
    <row r="19981">
      <c r="A19981" s="3" t="s">
        <v>36188</v>
      </c>
      <c r="B19981" s="3" t="s">
        <v>16581</v>
      </c>
      <c r="C19981" s="5" t="s">
        <v>221</v>
      </c>
      <c r="D19981" s="3" t="s">
        <v>614</v>
      </c>
      <c r="E19981" s="3" t="s">
        <v>118</v>
      </c>
      <c r="F19981" s="7">
        <v>46131.27414384437</v>
      </c>
      <c r="G19981" s="3" t="s">
        <v>31233</v>
      </c>
    </row>
    <row r="19982">
      <c r="A19982" s="3" t="s">
        <v>36189</v>
      </c>
      <c r="B19982" s="3" t="s">
        <v>16581</v>
      </c>
      <c r="C19982" s="5" t="s">
        <v>614</v>
      </c>
      <c r="D19982" s="3" t="s">
        <v>206</v>
      </c>
      <c r="E19982" s="3" t="s">
        <v>100</v>
      </c>
      <c r="F19982" s="7">
        <v>46131.277616066596</v>
      </c>
      <c r="G19982" s="3" t="s">
        <v>31235</v>
      </c>
    </row>
    <row r="19983">
      <c r="A19983" s="3" t="s">
        <v>36190</v>
      </c>
      <c r="B19983" s="3" t="s">
        <v>16581</v>
      </c>
      <c r="C19983" s="5" t="s">
        <v>206</v>
      </c>
      <c r="D19983" s="3" t="s">
        <v>68</v>
      </c>
      <c r="E19983" s="3" t="s">
        <v>100</v>
      </c>
      <c r="F19983" s="7">
        <v>46131.281088288815</v>
      </c>
      <c r="G19983" s="3" t="s">
        <v>31237</v>
      </c>
    </row>
    <row r="19984">
      <c r="A19984" s="3" t="s">
        <v>36191</v>
      </c>
      <c r="B19984" s="3" t="s">
        <v>16585</v>
      </c>
      <c r="C19984" s="5" t="s">
        <v>45</v>
      </c>
      <c r="D19984" s="3" t="s">
        <v>221</v>
      </c>
      <c r="E19984" s="3" t="s">
        <v>895</v>
      </c>
      <c r="F19984" s="7">
        <v>46131.34184646757</v>
      </c>
      <c r="G19984" s="3" t="s">
        <v>18940</v>
      </c>
    </row>
    <row r="19985">
      <c r="A19985" s="3" t="s">
        <v>36192</v>
      </c>
      <c r="B19985" s="3" t="s">
        <v>16585</v>
      </c>
      <c r="C19985" s="5" t="s">
        <v>221</v>
      </c>
      <c r="D19985" s="3" t="s">
        <v>614</v>
      </c>
      <c r="E19985" s="3" t="s">
        <v>118</v>
      </c>
      <c r="F19985" s="7">
        <v>46131.34531868979</v>
      </c>
      <c r="G19985" s="3" t="s">
        <v>18942</v>
      </c>
    </row>
    <row r="19986">
      <c r="A19986" s="3" t="s">
        <v>36193</v>
      </c>
      <c r="B19986" s="3" t="s">
        <v>16585</v>
      </c>
      <c r="C19986" s="5" t="s">
        <v>614</v>
      </c>
      <c r="D19986" s="3" t="s">
        <v>206</v>
      </c>
      <c r="E19986" s="3" t="s">
        <v>100</v>
      </c>
      <c r="F19986" s="7">
        <v>46131.348790912016</v>
      </c>
      <c r="G19986" s="3" t="s">
        <v>18945</v>
      </c>
    </row>
    <row r="19987">
      <c r="A19987" s="3" t="s">
        <v>36194</v>
      </c>
      <c r="B19987" s="3" t="s">
        <v>16585</v>
      </c>
      <c r="C19987" s="5" t="s">
        <v>206</v>
      </c>
      <c r="D19987" s="3" t="s">
        <v>68</v>
      </c>
      <c r="E19987" s="3" t="s">
        <v>100</v>
      </c>
      <c r="F19987" s="7">
        <v>46131.352263134235</v>
      </c>
      <c r="G19987" s="3" t="s">
        <v>18948</v>
      </c>
    </row>
    <row r="19988">
      <c r="A19988" s="3" t="s">
        <v>36195</v>
      </c>
      <c r="B19988" s="3" t="s">
        <v>16589</v>
      </c>
      <c r="C19988" s="5" t="s">
        <v>45</v>
      </c>
      <c r="D19988" s="3" t="s">
        <v>221</v>
      </c>
      <c r="E19988" s="3" t="s">
        <v>591</v>
      </c>
      <c r="F19988" s="7">
        <v>46131.41302131298</v>
      </c>
      <c r="G19988" s="3" t="s">
        <v>13973</v>
      </c>
    </row>
    <row r="19989">
      <c r="A19989" s="3" t="s">
        <v>36196</v>
      </c>
      <c r="B19989" s="3" t="s">
        <v>16589</v>
      </c>
      <c r="C19989" s="5" t="s">
        <v>221</v>
      </c>
      <c r="D19989" s="3" t="s">
        <v>195</v>
      </c>
      <c r="E19989" s="3" t="s">
        <v>591</v>
      </c>
      <c r="F19989" s="7">
        <v>46131.4164935352</v>
      </c>
      <c r="G19989" s="3" t="s">
        <v>36197</v>
      </c>
    </row>
    <row r="19990">
      <c r="A19990" s="3" t="s">
        <v>36198</v>
      </c>
      <c r="B19990" s="3" t="s">
        <v>16591</v>
      </c>
      <c r="C19990" s="5" t="s">
        <v>45</v>
      </c>
      <c r="D19990" s="3" t="s">
        <v>221</v>
      </c>
      <c r="E19990" s="3" t="s">
        <v>299</v>
      </c>
      <c r="F19990" s="7">
        <v>46131.484196158395</v>
      </c>
      <c r="G19990" s="3" t="s">
        <v>31690</v>
      </c>
    </row>
    <row r="19991">
      <c r="A19991" s="3" t="s">
        <v>36199</v>
      </c>
      <c r="B19991" s="3" t="s">
        <v>16591</v>
      </c>
      <c r="C19991" s="5" t="s">
        <v>221</v>
      </c>
      <c r="D19991" s="3" t="s">
        <v>195</v>
      </c>
      <c r="E19991" s="3" t="s">
        <v>299</v>
      </c>
      <c r="F19991" s="7">
        <v>46131.487668380614</v>
      </c>
      <c r="G19991" s="3" t="s">
        <v>36200</v>
      </c>
    </row>
    <row r="19992">
      <c r="A19992" s="3" t="s">
        <v>36201</v>
      </c>
      <c r="B19992" s="3" t="s">
        <v>16593</v>
      </c>
      <c r="C19992" s="5" t="s">
        <v>45</v>
      </c>
      <c r="D19992" s="3" t="s">
        <v>221</v>
      </c>
      <c r="E19992" s="3" t="s">
        <v>496</v>
      </c>
      <c r="F19992" s="7">
        <v>46131.555371003815</v>
      </c>
      <c r="G19992" s="3" t="s">
        <v>24833</v>
      </c>
    </row>
    <row r="19993">
      <c r="A19993" s="3" t="s">
        <v>36202</v>
      </c>
      <c r="B19993" s="3" t="s">
        <v>16593</v>
      </c>
      <c r="C19993" s="5" t="s">
        <v>221</v>
      </c>
      <c r="D19993" s="3" t="s">
        <v>614</v>
      </c>
      <c r="E19993" s="3" t="s">
        <v>118</v>
      </c>
      <c r="F19993" s="7">
        <v>46131.558843226034</v>
      </c>
      <c r="G19993" s="3" t="s">
        <v>24835</v>
      </c>
    </row>
    <row r="19994">
      <c r="A19994" s="3" t="s">
        <v>36203</v>
      </c>
      <c r="B19994" s="3" t="s">
        <v>16593</v>
      </c>
      <c r="C19994" s="5" t="s">
        <v>614</v>
      </c>
      <c r="D19994" s="3" t="s">
        <v>206</v>
      </c>
      <c r="E19994" s="3" t="s">
        <v>100</v>
      </c>
      <c r="F19994" s="7">
        <v>46131.56231544826</v>
      </c>
      <c r="G19994" s="3" t="s">
        <v>24837</v>
      </c>
    </row>
    <row r="19995">
      <c r="A19995" s="3" t="s">
        <v>36204</v>
      </c>
      <c r="B19995" s="3" t="s">
        <v>16593</v>
      </c>
      <c r="C19995" s="5" t="s">
        <v>206</v>
      </c>
      <c r="D19995" s="3" t="s">
        <v>68</v>
      </c>
      <c r="E19995" s="3" t="s">
        <v>100</v>
      </c>
      <c r="F19995" s="7">
        <v>46131.56578767048</v>
      </c>
      <c r="G19995" s="3" t="s">
        <v>24839</v>
      </c>
    </row>
    <row r="19996">
      <c r="A19996" s="3" t="s">
        <v>36205</v>
      </c>
      <c r="B19996" s="3" t="s">
        <v>16595</v>
      </c>
      <c r="C19996" s="5" t="s">
        <v>45</v>
      </c>
      <c r="D19996" s="3" t="s">
        <v>221</v>
      </c>
      <c r="E19996" s="3" t="s">
        <v>920</v>
      </c>
      <c r="F19996" s="7">
        <v>46131.62654584923</v>
      </c>
      <c r="G19996" s="3" t="s">
        <v>15866</v>
      </c>
    </row>
    <row r="19997">
      <c r="A19997" s="3" t="s">
        <v>36206</v>
      </c>
      <c r="B19997" s="3" t="s">
        <v>16595</v>
      </c>
      <c r="C19997" s="5" t="s">
        <v>221</v>
      </c>
      <c r="D19997" s="3" t="s">
        <v>614</v>
      </c>
      <c r="E19997" s="3" t="s">
        <v>118</v>
      </c>
      <c r="F19997" s="7">
        <v>46131.630018071446</v>
      </c>
      <c r="G19997" s="3" t="s">
        <v>15869</v>
      </c>
    </row>
    <row r="19998">
      <c r="A19998" s="3" t="s">
        <v>36207</v>
      </c>
      <c r="B19998" s="3" t="s">
        <v>16595</v>
      </c>
      <c r="C19998" s="5" t="s">
        <v>614</v>
      </c>
      <c r="D19998" s="3" t="s">
        <v>206</v>
      </c>
      <c r="E19998" s="3" t="s">
        <v>100</v>
      </c>
      <c r="F19998" s="7">
        <v>46131.63349029367</v>
      </c>
      <c r="G19998" s="3" t="s">
        <v>15872</v>
      </c>
    </row>
    <row r="19999">
      <c r="A19999" s="3" t="s">
        <v>36208</v>
      </c>
      <c r="B19999" s="3" t="s">
        <v>16595</v>
      </c>
      <c r="C19999" s="5" t="s">
        <v>206</v>
      </c>
      <c r="D19999" s="3" t="s">
        <v>68</v>
      </c>
      <c r="E19999" s="3" t="s">
        <v>100</v>
      </c>
      <c r="F19999" s="7">
        <v>46131.63696251589</v>
      </c>
      <c r="G19999" s="3" t="s">
        <v>15874</v>
      </c>
    </row>
    <row r="20000">
      <c r="A20000" s="3" t="s">
        <v>36209</v>
      </c>
      <c r="B20000" s="3" t="s">
        <v>16598</v>
      </c>
      <c r="C20000" s="5" t="s">
        <v>45</v>
      </c>
      <c r="D20000" s="3" t="s">
        <v>221</v>
      </c>
      <c r="E20000" s="3" t="s">
        <v>1001</v>
      </c>
      <c r="F20000" s="7">
        <v>46131.69772069464</v>
      </c>
      <c r="G20000" s="3" t="s">
        <v>34976</v>
      </c>
    </row>
    <row r="20001">
      <c r="A20001" s="3" t="s">
        <v>36210</v>
      </c>
      <c r="B20001" s="3" t="s">
        <v>16598</v>
      </c>
      <c r="C20001" s="5" t="s">
        <v>221</v>
      </c>
      <c r="D20001" s="3" t="s">
        <v>614</v>
      </c>
      <c r="E20001" s="3" t="s">
        <v>118</v>
      </c>
      <c r="F20001" s="7">
        <v>46131.70119291686</v>
      </c>
      <c r="G20001" s="3" t="s">
        <v>34978</v>
      </c>
    </row>
    <row r="20002">
      <c r="A20002" s="3" t="s">
        <v>36211</v>
      </c>
      <c r="B20002" s="3" t="s">
        <v>16598</v>
      </c>
      <c r="C20002" s="5" t="s">
        <v>614</v>
      </c>
      <c r="D20002" s="3" t="s">
        <v>206</v>
      </c>
      <c r="E20002" s="3" t="s">
        <v>100</v>
      </c>
      <c r="F20002" s="7">
        <v>46131.704665139085</v>
      </c>
      <c r="G20002" s="3" t="s">
        <v>34980</v>
      </c>
    </row>
    <row r="20003">
      <c r="A20003" s="3" t="s">
        <v>36212</v>
      </c>
      <c r="B20003" s="3" t="s">
        <v>16598</v>
      </c>
      <c r="C20003" s="5" t="s">
        <v>206</v>
      </c>
      <c r="D20003" s="3" t="s">
        <v>68</v>
      </c>
      <c r="E20003" s="3" t="s">
        <v>100</v>
      </c>
      <c r="F20003" s="7">
        <v>46131.708137361304</v>
      </c>
      <c r="G20003" s="3" t="s">
        <v>34982</v>
      </c>
    </row>
    <row r="20004">
      <c r="A20004" s="3" t="s">
        <v>36213</v>
      </c>
      <c r="B20004" s="3" t="s">
        <v>16602</v>
      </c>
      <c r="C20004" s="5" t="s">
        <v>45</v>
      </c>
      <c r="D20004" s="3" t="s">
        <v>221</v>
      </c>
      <c r="E20004" s="3" t="s">
        <v>202</v>
      </c>
      <c r="F20004" s="7">
        <v>46131.76889554006</v>
      </c>
      <c r="G20004" s="3" t="s">
        <v>13608</v>
      </c>
    </row>
    <row r="20005">
      <c r="A20005" s="3" t="s">
        <v>36214</v>
      </c>
      <c r="B20005" s="3" t="s">
        <v>16602</v>
      </c>
      <c r="C20005" s="5" t="s">
        <v>221</v>
      </c>
      <c r="D20005" s="3" t="s">
        <v>614</v>
      </c>
      <c r="E20005" s="3" t="s">
        <v>118</v>
      </c>
      <c r="F20005" s="7">
        <v>46131.77236776228</v>
      </c>
      <c r="G20005" s="3" t="s">
        <v>13611</v>
      </c>
    </row>
    <row r="20006">
      <c r="A20006" s="3" t="s">
        <v>36215</v>
      </c>
      <c r="B20006" s="3" t="s">
        <v>16602</v>
      </c>
      <c r="C20006" s="5" t="s">
        <v>614</v>
      </c>
      <c r="D20006" s="3" t="s">
        <v>206</v>
      </c>
      <c r="E20006" s="3" t="s">
        <v>100</v>
      </c>
      <c r="F20006" s="7">
        <v>46131.775839984504</v>
      </c>
      <c r="G20006" s="3" t="s">
        <v>13614</v>
      </c>
    </row>
    <row r="20007">
      <c r="A20007" s="3" t="s">
        <v>36216</v>
      </c>
      <c r="B20007" s="3" t="s">
        <v>16602</v>
      </c>
      <c r="C20007" s="5" t="s">
        <v>206</v>
      </c>
      <c r="D20007" s="3" t="s">
        <v>68</v>
      </c>
      <c r="E20007" s="3" t="s">
        <v>100</v>
      </c>
      <c r="F20007" s="7">
        <v>46131.77931220672</v>
      </c>
      <c r="G20007" s="3" t="s">
        <v>13617</v>
      </c>
    </row>
    <row r="20008">
      <c r="A20008" s="3" t="s">
        <v>36217</v>
      </c>
      <c r="B20008" s="3" t="s">
        <v>16605</v>
      </c>
      <c r="C20008" s="5" t="s">
        <v>45</v>
      </c>
      <c r="D20008" s="3" t="s">
        <v>221</v>
      </c>
      <c r="E20008" s="3" t="s">
        <v>406</v>
      </c>
      <c r="F20008" s="7">
        <v>46131.84007038548</v>
      </c>
      <c r="G20008" s="3" t="s">
        <v>18917</v>
      </c>
    </row>
    <row r="20009">
      <c r="A20009" s="3" t="s">
        <v>36218</v>
      </c>
      <c r="B20009" s="3" t="s">
        <v>16605</v>
      </c>
      <c r="C20009" s="5" t="s">
        <v>221</v>
      </c>
      <c r="D20009" s="3" t="s">
        <v>181</v>
      </c>
      <c r="E20009" s="3" t="s">
        <v>118</v>
      </c>
      <c r="F20009" s="7">
        <v>46131.8435426077</v>
      </c>
      <c r="G20009" s="3" t="s">
        <v>36219</v>
      </c>
    </row>
    <row r="20010">
      <c r="A20010" s="3" t="s">
        <v>36220</v>
      </c>
      <c r="B20010" s="3" t="s">
        <v>16608</v>
      </c>
      <c r="C20010" s="5" t="s">
        <v>45</v>
      </c>
      <c r="D20010" s="3" t="s">
        <v>221</v>
      </c>
      <c r="E20010" s="3" t="s">
        <v>947</v>
      </c>
      <c r="F20010" s="7">
        <v>46131.911245230884</v>
      </c>
      <c r="G20010" s="3" t="s">
        <v>19702</v>
      </c>
    </row>
    <row r="20011">
      <c r="A20011" s="3" t="s">
        <v>36221</v>
      </c>
      <c r="B20011" s="3" t="s">
        <v>16608</v>
      </c>
      <c r="C20011" s="5" t="s">
        <v>221</v>
      </c>
      <c r="D20011" s="3" t="s">
        <v>614</v>
      </c>
      <c r="E20011" s="3" t="s">
        <v>118</v>
      </c>
      <c r="F20011" s="7">
        <v>46131.9147174531</v>
      </c>
      <c r="G20011" s="3" t="s">
        <v>19705</v>
      </c>
    </row>
    <row r="20012">
      <c r="A20012" s="3" t="s">
        <v>36222</v>
      </c>
      <c r="B20012" s="3" t="s">
        <v>16608</v>
      </c>
      <c r="C20012" s="5" t="s">
        <v>614</v>
      </c>
      <c r="D20012" s="3" t="s">
        <v>206</v>
      </c>
      <c r="E20012" s="3" t="s">
        <v>100</v>
      </c>
      <c r="F20012" s="7">
        <v>46131.91818967533</v>
      </c>
      <c r="G20012" s="3" t="s">
        <v>19707</v>
      </c>
    </row>
    <row r="20013">
      <c r="A20013" s="3" t="s">
        <v>36223</v>
      </c>
      <c r="B20013" s="3" t="s">
        <v>16608</v>
      </c>
      <c r="C20013" s="5" t="s">
        <v>206</v>
      </c>
      <c r="D20013" s="3" t="s">
        <v>68</v>
      </c>
      <c r="E20013" s="3" t="s">
        <v>100</v>
      </c>
      <c r="F20013" s="7">
        <v>46131.92166189755</v>
      </c>
      <c r="G20013" s="3" t="s">
        <v>19710</v>
      </c>
    </row>
    <row r="20014">
      <c r="A20014" s="3" t="s">
        <v>36224</v>
      </c>
      <c r="B20014" s="3" t="s">
        <v>16611</v>
      </c>
      <c r="C20014" s="5" t="s">
        <v>45</v>
      </c>
      <c r="D20014" s="3" t="s">
        <v>221</v>
      </c>
      <c r="E20014" s="3" t="s">
        <v>848</v>
      </c>
      <c r="F20014" s="7">
        <v>46131.9824200763</v>
      </c>
      <c r="G20014" s="3" t="s">
        <v>24247</v>
      </c>
    </row>
    <row r="20015">
      <c r="A20015" s="3" t="s">
        <v>36225</v>
      </c>
      <c r="B20015" s="3" t="s">
        <v>16611</v>
      </c>
      <c r="C20015" s="5" t="s">
        <v>221</v>
      </c>
      <c r="D20015" s="3" t="s">
        <v>614</v>
      </c>
      <c r="E20015" s="3" t="s">
        <v>118</v>
      </c>
      <c r="F20015" s="7">
        <v>46131.98589229852</v>
      </c>
      <c r="G20015" s="3" t="s">
        <v>24249</v>
      </c>
    </row>
    <row r="20016">
      <c r="A20016" s="3" t="s">
        <v>36226</v>
      </c>
      <c r="B20016" s="3" t="s">
        <v>16611</v>
      </c>
      <c r="C20016" s="5" t="s">
        <v>614</v>
      </c>
      <c r="D20016" s="3" t="s">
        <v>206</v>
      </c>
      <c r="E20016" s="3" t="s">
        <v>100</v>
      </c>
      <c r="F20016" s="7">
        <v>46131.98936452075</v>
      </c>
      <c r="G20016" s="3" t="s">
        <v>24251</v>
      </c>
    </row>
    <row r="20017">
      <c r="A20017" s="3" t="s">
        <v>36227</v>
      </c>
      <c r="B20017" s="3" t="s">
        <v>16611</v>
      </c>
      <c r="C20017" s="5" t="s">
        <v>206</v>
      </c>
      <c r="D20017" s="3" t="s">
        <v>68</v>
      </c>
      <c r="E20017" s="3" t="s">
        <v>100</v>
      </c>
      <c r="F20017" s="7">
        <v>46131.99283674297</v>
      </c>
      <c r="G20017" s="3" t="s">
        <v>24253</v>
      </c>
    </row>
    <row r="20018">
      <c r="A20018" s="3" t="s">
        <v>36228</v>
      </c>
      <c r="B20018" s="3" t="s">
        <v>16613</v>
      </c>
      <c r="C20018" s="5" t="s">
        <v>45</v>
      </c>
      <c r="D20018" s="3" t="s">
        <v>221</v>
      </c>
      <c r="E20018" s="3" t="s">
        <v>579</v>
      </c>
      <c r="F20018" s="7">
        <v>46132.053594921716</v>
      </c>
      <c r="G20018" s="3" t="s">
        <v>8349</v>
      </c>
    </row>
    <row r="20019">
      <c r="A20019" s="3" t="s">
        <v>36229</v>
      </c>
      <c r="B20019" s="3" t="s">
        <v>16613</v>
      </c>
      <c r="C20019" s="5" t="s">
        <v>221</v>
      </c>
      <c r="D20019" s="3" t="s">
        <v>181</v>
      </c>
      <c r="E20019" s="3" t="s">
        <v>118</v>
      </c>
      <c r="F20019" s="7">
        <v>46132.057067143935</v>
      </c>
      <c r="G20019" s="3" t="s">
        <v>36230</v>
      </c>
    </row>
    <row r="20020">
      <c r="A20020" s="3" t="s">
        <v>36231</v>
      </c>
      <c r="B20020" s="3" t="s">
        <v>16615</v>
      </c>
      <c r="C20020" s="5" t="s">
        <v>45</v>
      </c>
      <c r="D20020" s="3" t="s">
        <v>221</v>
      </c>
      <c r="E20020" s="3" t="s">
        <v>800</v>
      </c>
      <c r="F20020" s="7">
        <v>46132.124769767135</v>
      </c>
      <c r="G20020" s="3" t="s">
        <v>14390</v>
      </c>
    </row>
    <row r="20021">
      <c r="A20021" s="3" t="s">
        <v>36232</v>
      </c>
      <c r="B20021" s="3" t="s">
        <v>16615</v>
      </c>
      <c r="C20021" s="5" t="s">
        <v>221</v>
      </c>
      <c r="D20021" s="3" t="s">
        <v>614</v>
      </c>
      <c r="E20021" s="3" t="s">
        <v>118</v>
      </c>
      <c r="F20021" s="7">
        <v>46132.128241989354</v>
      </c>
      <c r="G20021" s="3" t="s">
        <v>14392</v>
      </c>
    </row>
    <row r="20022">
      <c r="A20022" s="3" t="s">
        <v>36233</v>
      </c>
      <c r="B20022" s="3" t="s">
        <v>16615</v>
      </c>
      <c r="C20022" s="5" t="s">
        <v>614</v>
      </c>
      <c r="D20022" s="3" t="s">
        <v>206</v>
      </c>
      <c r="E20022" s="3" t="s">
        <v>100</v>
      </c>
      <c r="F20022" s="7">
        <v>46132.13171421158</v>
      </c>
      <c r="G20022" s="3" t="s">
        <v>14395</v>
      </c>
    </row>
    <row r="20023">
      <c r="A20023" s="3" t="s">
        <v>36234</v>
      </c>
      <c r="B20023" s="3" t="s">
        <v>16615</v>
      </c>
      <c r="C20023" s="5" t="s">
        <v>206</v>
      </c>
      <c r="D20023" s="3" t="s">
        <v>68</v>
      </c>
      <c r="E20023" s="3" t="s">
        <v>100</v>
      </c>
      <c r="F20023" s="7">
        <v>46132.1351864338</v>
      </c>
      <c r="G20023" s="3" t="s">
        <v>14398</v>
      </c>
    </row>
    <row r="20024">
      <c r="A20024" s="3" t="s">
        <v>36235</v>
      </c>
      <c r="B20024" s="3" t="s">
        <v>16617</v>
      </c>
      <c r="C20024" s="5" t="s">
        <v>45</v>
      </c>
      <c r="D20024" s="3" t="s">
        <v>221</v>
      </c>
      <c r="E20024" s="3" t="s">
        <v>689</v>
      </c>
      <c r="F20024" s="7">
        <v>46132.19594461255</v>
      </c>
      <c r="G20024" s="3" t="s">
        <v>15888</v>
      </c>
    </row>
    <row r="20025">
      <c r="A20025" s="3" t="s">
        <v>36236</v>
      </c>
      <c r="B20025" s="3" t="s">
        <v>16617</v>
      </c>
      <c r="C20025" s="5" t="s">
        <v>221</v>
      </c>
      <c r="D20025" s="3" t="s">
        <v>614</v>
      </c>
      <c r="E20025" s="3" t="s">
        <v>118</v>
      </c>
      <c r="F20025" s="7">
        <v>46132.19941683477</v>
      </c>
      <c r="G20025" s="3" t="s">
        <v>15891</v>
      </c>
    </row>
    <row r="20026">
      <c r="A20026" s="3" t="s">
        <v>36237</v>
      </c>
      <c r="B20026" s="3" t="s">
        <v>16617</v>
      </c>
      <c r="C20026" s="5" t="s">
        <v>614</v>
      </c>
      <c r="D20026" s="3" t="s">
        <v>206</v>
      </c>
      <c r="E20026" s="3" t="s">
        <v>100</v>
      </c>
      <c r="F20026" s="7">
        <v>46132.20288905699</v>
      </c>
      <c r="G20026" s="3" t="s">
        <v>15894</v>
      </c>
    </row>
    <row r="20027">
      <c r="A20027" s="3" t="s">
        <v>36238</v>
      </c>
      <c r="B20027" s="3" t="s">
        <v>16617</v>
      </c>
      <c r="C20027" s="5" t="s">
        <v>206</v>
      </c>
      <c r="D20027" s="3" t="s">
        <v>68</v>
      </c>
      <c r="E20027" s="3" t="s">
        <v>100</v>
      </c>
      <c r="F20027" s="7">
        <v>46132.20636127921</v>
      </c>
      <c r="G20027" s="3" t="s">
        <v>15897</v>
      </c>
    </row>
    <row r="20028">
      <c r="A20028" s="3" t="s">
        <v>36239</v>
      </c>
      <c r="B20028" s="3" t="s">
        <v>16620</v>
      </c>
      <c r="C20028" s="5" t="s">
        <v>45</v>
      </c>
      <c r="D20028" s="3" t="s">
        <v>221</v>
      </c>
      <c r="E20028" s="3" t="s">
        <v>524</v>
      </c>
      <c r="F20028" s="7">
        <v>46132.26711945797</v>
      </c>
      <c r="G20028" s="3" t="s">
        <v>16009</v>
      </c>
    </row>
    <row r="20029">
      <c r="A20029" s="3" t="s">
        <v>36240</v>
      </c>
      <c r="B20029" s="3" t="s">
        <v>16620</v>
      </c>
      <c r="C20029" s="5" t="s">
        <v>221</v>
      </c>
      <c r="D20029" s="3" t="s">
        <v>614</v>
      </c>
      <c r="E20029" s="3" t="s">
        <v>118</v>
      </c>
      <c r="F20029" s="7">
        <v>46132.270591680186</v>
      </c>
      <c r="G20029" s="3" t="s">
        <v>16012</v>
      </c>
    </row>
    <row r="20030">
      <c r="A20030" s="3" t="s">
        <v>36241</v>
      </c>
      <c r="B20030" s="3" t="s">
        <v>16620</v>
      </c>
      <c r="C20030" s="5" t="s">
        <v>614</v>
      </c>
      <c r="D20030" s="3" t="s">
        <v>206</v>
      </c>
      <c r="E20030" s="3" t="s">
        <v>100</v>
      </c>
      <c r="F20030" s="7">
        <v>46132.27406390241</v>
      </c>
      <c r="G20030" s="3" t="s">
        <v>16015</v>
      </c>
    </row>
    <row r="20031">
      <c r="A20031" s="3" t="s">
        <v>36242</v>
      </c>
      <c r="B20031" s="3" t="s">
        <v>16620</v>
      </c>
      <c r="C20031" s="5" t="s">
        <v>206</v>
      </c>
      <c r="D20031" s="3" t="s">
        <v>68</v>
      </c>
      <c r="E20031" s="3" t="s">
        <v>100</v>
      </c>
      <c r="F20031" s="7">
        <v>46132.27753612463</v>
      </c>
      <c r="G20031" s="3" t="s">
        <v>16017</v>
      </c>
    </row>
    <row r="20032">
      <c r="A20032" s="3" t="s">
        <v>36243</v>
      </c>
      <c r="B20032" s="3" t="s">
        <v>16624</v>
      </c>
      <c r="C20032" s="5" t="s">
        <v>45</v>
      </c>
      <c r="D20032" s="3" t="s">
        <v>221</v>
      </c>
      <c r="E20032" s="3" t="s">
        <v>911</v>
      </c>
      <c r="F20032" s="7">
        <v>46132.33829430337</v>
      </c>
      <c r="G20032" s="3" t="s">
        <v>16201</v>
      </c>
    </row>
    <row r="20033">
      <c r="A20033" s="3" t="s">
        <v>36244</v>
      </c>
      <c r="B20033" s="3" t="s">
        <v>16624</v>
      </c>
      <c r="C20033" s="5" t="s">
        <v>221</v>
      </c>
      <c r="D20033" s="3" t="s">
        <v>614</v>
      </c>
      <c r="E20033" s="3" t="s">
        <v>118</v>
      </c>
      <c r="F20033" s="7">
        <v>46132.34176652559</v>
      </c>
      <c r="G20033" s="3" t="s">
        <v>16203</v>
      </c>
    </row>
    <row r="20034">
      <c r="A20034" s="3" t="s">
        <v>36245</v>
      </c>
      <c r="B20034" s="3" t="s">
        <v>16624</v>
      </c>
      <c r="C20034" s="5" t="s">
        <v>614</v>
      </c>
      <c r="D20034" s="3" t="s">
        <v>206</v>
      </c>
      <c r="E20034" s="3" t="s">
        <v>100</v>
      </c>
      <c r="F20034" s="7">
        <v>46132.34523874782</v>
      </c>
      <c r="G20034" s="3" t="s">
        <v>16206</v>
      </c>
    </row>
    <row r="20035">
      <c r="A20035" s="3" t="s">
        <v>36246</v>
      </c>
      <c r="B20035" s="3" t="s">
        <v>16624</v>
      </c>
      <c r="C20035" s="5" t="s">
        <v>206</v>
      </c>
      <c r="D20035" s="3" t="s">
        <v>68</v>
      </c>
      <c r="E20035" s="3" t="s">
        <v>100</v>
      </c>
      <c r="F20035" s="7">
        <v>46132.348710970036</v>
      </c>
      <c r="G20035" s="3" t="s">
        <v>16209</v>
      </c>
    </row>
    <row r="20036">
      <c r="A20036" s="3" t="s">
        <v>36247</v>
      </c>
      <c r="B20036" s="3" t="s">
        <v>16627</v>
      </c>
      <c r="C20036" s="5" t="s">
        <v>45</v>
      </c>
      <c r="D20036" s="3" t="s">
        <v>221</v>
      </c>
      <c r="E20036" s="3" t="s">
        <v>406</v>
      </c>
      <c r="F20036" s="7">
        <v>46132.40946914879</v>
      </c>
      <c r="G20036" s="3" t="s">
        <v>36248</v>
      </c>
    </row>
    <row r="20037">
      <c r="A20037" s="3" t="s">
        <v>36249</v>
      </c>
      <c r="B20037" s="3" t="s">
        <v>16627</v>
      </c>
      <c r="C20037" s="5" t="s">
        <v>221</v>
      </c>
      <c r="D20037" s="3" t="s">
        <v>181</v>
      </c>
      <c r="E20037" s="3" t="s">
        <v>118</v>
      </c>
      <c r="F20037" s="7">
        <v>46132.41294137101</v>
      </c>
      <c r="G20037" s="3" t="s">
        <v>36250</v>
      </c>
    </row>
    <row r="20038">
      <c r="A20038" s="3" t="s">
        <v>36251</v>
      </c>
      <c r="B20038" s="3" t="s">
        <v>16630</v>
      </c>
      <c r="C20038" s="5" t="s">
        <v>45</v>
      </c>
      <c r="D20038" s="3" t="s">
        <v>221</v>
      </c>
      <c r="E20038" s="3" t="s">
        <v>650</v>
      </c>
      <c r="F20038" s="7">
        <v>46132.48064399421</v>
      </c>
      <c r="G20038" s="3" t="s">
        <v>26976</v>
      </c>
    </row>
    <row r="20039">
      <c r="A20039" s="3" t="s">
        <v>36252</v>
      </c>
      <c r="B20039" s="3" t="s">
        <v>16630</v>
      </c>
      <c r="C20039" s="5" t="s">
        <v>221</v>
      </c>
      <c r="D20039" s="3" t="s">
        <v>614</v>
      </c>
      <c r="E20039" s="3" t="s">
        <v>118</v>
      </c>
      <c r="F20039" s="7">
        <v>46132.48411621643</v>
      </c>
      <c r="G20039" s="3" t="s">
        <v>26978</v>
      </c>
    </row>
    <row r="20040">
      <c r="A20040" s="3" t="s">
        <v>36253</v>
      </c>
      <c r="B20040" s="3" t="s">
        <v>16630</v>
      </c>
      <c r="C20040" s="5" t="s">
        <v>614</v>
      </c>
      <c r="D20040" s="3" t="s">
        <v>206</v>
      </c>
      <c r="E20040" s="3" t="s">
        <v>100</v>
      </c>
      <c r="F20040" s="7">
        <v>46132.48758843866</v>
      </c>
      <c r="G20040" s="3" t="s">
        <v>26980</v>
      </c>
    </row>
    <row r="20041">
      <c r="A20041" s="3" t="s">
        <v>36254</v>
      </c>
      <c r="B20041" s="3" t="s">
        <v>16630</v>
      </c>
      <c r="C20041" s="5" t="s">
        <v>206</v>
      </c>
      <c r="D20041" s="3" t="s">
        <v>68</v>
      </c>
      <c r="E20041" s="3" t="s">
        <v>100</v>
      </c>
      <c r="F20041" s="7">
        <v>46132.491060660876</v>
      </c>
      <c r="G20041" s="3" t="s">
        <v>26982</v>
      </c>
    </row>
    <row r="20042">
      <c r="A20042" s="3" t="s">
        <v>36255</v>
      </c>
      <c r="B20042" s="3" t="s">
        <v>16633</v>
      </c>
      <c r="C20042" s="5" t="s">
        <v>45</v>
      </c>
      <c r="D20042" s="3" t="s">
        <v>221</v>
      </c>
      <c r="E20042" s="3" t="s">
        <v>535</v>
      </c>
      <c r="F20042" s="7">
        <v>46132.55181883962</v>
      </c>
      <c r="G20042" s="3" t="s">
        <v>13014</v>
      </c>
    </row>
    <row r="20043">
      <c r="A20043" s="3" t="s">
        <v>36256</v>
      </c>
      <c r="B20043" s="3" t="s">
        <v>16633</v>
      </c>
      <c r="C20043" s="5" t="s">
        <v>221</v>
      </c>
      <c r="D20043" s="3" t="s">
        <v>614</v>
      </c>
      <c r="E20043" s="3" t="s">
        <v>118</v>
      </c>
      <c r="F20043" s="7">
        <v>46132.55529106184</v>
      </c>
      <c r="G20043" s="3" t="s">
        <v>13017</v>
      </c>
    </row>
    <row r="20044">
      <c r="A20044" s="3" t="s">
        <v>36257</v>
      </c>
      <c r="B20044" s="3" t="s">
        <v>16633</v>
      </c>
      <c r="C20044" s="5" t="s">
        <v>614</v>
      </c>
      <c r="D20044" s="3" t="s">
        <v>206</v>
      </c>
      <c r="E20044" s="3" t="s">
        <v>100</v>
      </c>
      <c r="F20044" s="7">
        <v>46132.55876328407</v>
      </c>
      <c r="G20044" s="3" t="s">
        <v>13020</v>
      </c>
    </row>
    <row r="20045">
      <c r="A20045" s="3" t="s">
        <v>36258</v>
      </c>
      <c r="B20045" s="3" t="s">
        <v>16633</v>
      </c>
      <c r="C20045" s="5" t="s">
        <v>206</v>
      </c>
      <c r="D20045" s="3" t="s">
        <v>68</v>
      </c>
      <c r="E20045" s="3" t="s">
        <v>100</v>
      </c>
      <c r="F20045" s="7">
        <v>46132.56223550629</v>
      </c>
      <c r="G20045" s="3" t="s">
        <v>13024</v>
      </c>
    </row>
    <row r="20046">
      <c r="A20046" s="3" t="s">
        <v>36259</v>
      </c>
      <c r="B20046" s="3" t="s">
        <v>16637</v>
      </c>
      <c r="C20046" s="5" t="s">
        <v>45</v>
      </c>
      <c r="D20046" s="3" t="s">
        <v>221</v>
      </c>
      <c r="E20046" s="3" t="s">
        <v>282</v>
      </c>
      <c r="F20046" s="7">
        <v>46132.622993685036</v>
      </c>
      <c r="G20046" s="3" t="s">
        <v>16020</v>
      </c>
    </row>
    <row r="20047">
      <c r="A20047" s="3" t="s">
        <v>36260</v>
      </c>
      <c r="B20047" s="3" t="s">
        <v>16637</v>
      </c>
      <c r="C20047" s="5" t="s">
        <v>221</v>
      </c>
      <c r="D20047" s="3" t="s">
        <v>614</v>
      </c>
      <c r="E20047" s="3" t="s">
        <v>118</v>
      </c>
      <c r="F20047" s="7">
        <v>46132.626465907255</v>
      </c>
      <c r="G20047" s="3" t="s">
        <v>16023</v>
      </c>
    </row>
    <row r="20048">
      <c r="A20048" s="3" t="s">
        <v>36261</v>
      </c>
      <c r="B20048" s="3" t="s">
        <v>16637</v>
      </c>
      <c r="C20048" s="5" t="s">
        <v>614</v>
      </c>
      <c r="D20048" s="3" t="s">
        <v>206</v>
      </c>
      <c r="E20048" s="3" t="s">
        <v>100</v>
      </c>
      <c r="F20048" s="7">
        <v>46132.62993812948</v>
      </c>
      <c r="G20048" s="3" t="s">
        <v>16026</v>
      </c>
    </row>
    <row r="20049">
      <c r="A20049" s="3" t="s">
        <v>36262</v>
      </c>
      <c r="B20049" s="3" t="s">
        <v>16637</v>
      </c>
      <c r="C20049" s="5" t="s">
        <v>206</v>
      </c>
      <c r="D20049" s="3" t="s">
        <v>68</v>
      </c>
      <c r="E20049" s="3" t="s">
        <v>100</v>
      </c>
      <c r="F20049" s="7">
        <v>46132.6334103517</v>
      </c>
      <c r="G20049" s="3" t="s">
        <v>16029</v>
      </c>
    </row>
    <row r="20050">
      <c r="A20050" s="3" t="s">
        <v>36263</v>
      </c>
      <c r="B20050" s="3" t="s">
        <v>16641</v>
      </c>
      <c r="C20050" s="5" t="s">
        <v>45</v>
      </c>
      <c r="D20050" s="3" t="s">
        <v>221</v>
      </c>
      <c r="E20050" s="3" t="s">
        <v>488</v>
      </c>
      <c r="F20050" s="7">
        <v>46132.694168530455</v>
      </c>
      <c r="G20050" s="3" t="s">
        <v>15970</v>
      </c>
    </row>
    <row r="20051">
      <c r="A20051" s="3" t="s">
        <v>36264</v>
      </c>
      <c r="B20051" s="3" t="s">
        <v>16641</v>
      </c>
      <c r="C20051" s="5" t="s">
        <v>221</v>
      </c>
      <c r="D20051" s="3" t="s">
        <v>181</v>
      </c>
      <c r="E20051" s="3" t="s">
        <v>118</v>
      </c>
      <c r="F20051" s="7">
        <v>46132.697640752674</v>
      </c>
      <c r="G20051" s="3" t="s">
        <v>36265</v>
      </c>
    </row>
    <row r="20052">
      <c r="A20052" s="3" t="s">
        <v>36266</v>
      </c>
      <c r="B20052" s="3" t="s">
        <v>16643</v>
      </c>
      <c r="C20052" s="5" t="s">
        <v>45</v>
      </c>
      <c r="D20052" s="3" t="s">
        <v>221</v>
      </c>
      <c r="E20052" s="3" t="s">
        <v>767</v>
      </c>
      <c r="F20052" s="7">
        <v>46132.76534337587</v>
      </c>
      <c r="G20052" s="3" t="s">
        <v>27110</v>
      </c>
    </row>
    <row r="20053">
      <c r="A20053" s="3" t="s">
        <v>36267</v>
      </c>
      <c r="B20053" s="3" t="s">
        <v>16643</v>
      </c>
      <c r="C20053" s="5" t="s">
        <v>221</v>
      </c>
      <c r="D20053" s="3" t="s">
        <v>614</v>
      </c>
      <c r="E20053" s="3" t="s">
        <v>118</v>
      </c>
      <c r="F20053" s="7">
        <v>46132.76881559809</v>
      </c>
      <c r="G20053" s="3" t="s">
        <v>27112</v>
      </c>
    </row>
    <row r="20054">
      <c r="A20054" s="3" t="s">
        <v>36268</v>
      </c>
      <c r="B20054" s="3" t="s">
        <v>16643</v>
      </c>
      <c r="C20054" s="5" t="s">
        <v>614</v>
      </c>
      <c r="D20054" s="3" t="s">
        <v>206</v>
      </c>
      <c r="E20054" s="3" t="s">
        <v>100</v>
      </c>
      <c r="F20054" s="7">
        <v>46132.77228782031</v>
      </c>
      <c r="G20054" s="3" t="s">
        <v>27114</v>
      </c>
    </row>
    <row r="20055">
      <c r="A20055" s="3" t="s">
        <v>36269</v>
      </c>
      <c r="B20055" s="3" t="s">
        <v>16643</v>
      </c>
      <c r="C20055" s="5" t="s">
        <v>206</v>
      </c>
      <c r="D20055" s="3" t="s">
        <v>68</v>
      </c>
      <c r="E20055" s="3" t="s">
        <v>100</v>
      </c>
      <c r="F20055" s="7">
        <v>46132.77576004253</v>
      </c>
      <c r="G20055" s="3" t="s">
        <v>27116</v>
      </c>
    </row>
    <row r="20056">
      <c r="A20056" s="3" t="s">
        <v>36270</v>
      </c>
      <c r="B20056" s="3" t="s">
        <v>16646</v>
      </c>
      <c r="C20056" s="5" t="s">
        <v>45</v>
      </c>
      <c r="D20056" s="3" t="s">
        <v>221</v>
      </c>
      <c r="E20056" s="3" t="s">
        <v>436</v>
      </c>
      <c r="F20056" s="7">
        <v>46132.83651822128</v>
      </c>
      <c r="G20056" s="3" t="s">
        <v>7732</v>
      </c>
    </row>
    <row r="20057">
      <c r="A20057" s="3" t="s">
        <v>36271</v>
      </c>
      <c r="B20057" s="3" t="s">
        <v>16646</v>
      </c>
      <c r="C20057" s="5" t="s">
        <v>221</v>
      </c>
      <c r="D20057" s="3" t="s">
        <v>614</v>
      </c>
      <c r="E20057" s="3" t="s">
        <v>118</v>
      </c>
      <c r="F20057" s="7">
        <v>46132.8399904435</v>
      </c>
      <c r="G20057" s="3" t="s">
        <v>7735</v>
      </c>
    </row>
    <row r="20058">
      <c r="A20058" s="3" t="s">
        <v>36272</v>
      </c>
      <c r="B20058" s="3" t="s">
        <v>16646</v>
      </c>
      <c r="C20058" s="5" t="s">
        <v>614</v>
      </c>
      <c r="D20058" s="3" t="s">
        <v>206</v>
      </c>
      <c r="E20058" s="3" t="s">
        <v>100</v>
      </c>
      <c r="F20058" s="7">
        <v>46132.843462665725</v>
      </c>
      <c r="G20058" s="3" t="s">
        <v>7738</v>
      </c>
    </row>
    <row r="20059">
      <c r="A20059" s="3" t="s">
        <v>36273</v>
      </c>
      <c r="B20059" s="3" t="s">
        <v>16646</v>
      </c>
      <c r="C20059" s="5" t="s">
        <v>206</v>
      </c>
      <c r="D20059" s="3" t="s">
        <v>68</v>
      </c>
      <c r="E20059" s="3" t="s">
        <v>100</v>
      </c>
      <c r="F20059" s="7">
        <v>46132.846934887944</v>
      </c>
      <c r="G20059" s="3" t="s">
        <v>7741</v>
      </c>
    </row>
    <row r="20060">
      <c r="A20060" s="3" t="s">
        <v>36274</v>
      </c>
      <c r="B20060" s="3" t="s">
        <v>16650</v>
      </c>
      <c r="C20060" s="5" t="s">
        <v>45</v>
      </c>
      <c r="D20060" s="3" t="s">
        <v>221</v>
      </c>
      <c r="E20060" s="3" t="s">
        <v>377</v>
      </c>
      <c r="F20060" s="7">
        <v>46132.9076930667</v>
      </c>
      <c r="G20060" s="3" t="s">
        <v>3318</v>
      </c>
    </row>
    <row r="20061">
      <c r="A20061" s="3" t="s">
        <v>36275</v>
      </c>
      <c r="B20061" s="3" t="s">
        <v>16650</v>
      </c>
      <c r="C20061" s="5" t="s">
        <v>221</v>
      </c>
      <c r="D20061" s="3" t="s">
        <v>181</v>
      </c>
      <c r="E20061" s="3" t="s">
        <v>118</v>
      </c>
      <c r="F20061" s="7">
        <v>46132.91116528892</v>
      </c>
      <c r="G20061" s="3" t="s">
        <v>36276</v>
      </c>
    </row>
    <row r="20062">
      <c r="A20062" s="3" t="s">
        <v>36277</v>
      </c>
      <c r="B20062" s="3" t="s">
        <v>16652</v>
      </c>
      <c r="C20062" s="5" t="s">
        <v>45</v>
      </c>
      <c r="D20062" s="3" t="s">
        <v>221</v>
      </c>
      <c r="E20062" s="3" t="s">
        <v>260</v>
      </c>
      <c r="F20062" s="7">
        <v>46132.97886791212</v>
      </c>
      <c r="G20062" s="3" t="s">
        <v>12042</v>
      </c>
    </row>
    <row r="20063">
      <c r="A20063" s="3" t="s">
        <v>36278</v>
      </c>
      <c r="B20063" s="3" t="s">
        <v>16652</v>
      </c>
      <c r="C20063" s="5" t="s">
        <v>221</v>
      </c>
      <c r="D20063" s="3" t="s">
        <v>614</v>
      </c>
      <c r="E20063" s="3" t="s">
        <v>118</v>
      </c>
      <c r="F20063" s="7">
        <v>46132.98234013434</v>
      </c>
      <c r="G20063" s="3" t="s">
        <v>12045</v>
      </c>
    </row>
    <row r="20064">
      <c r="A20064" s="3" t="s">
        <v>36279</v>
      </c>
      <c r="B20064" s="3" t="s">
        <v>16652</v>
      </c>
      <c r="C20064" s="5" t="s">
        <v>614</v>
      </c>
      <c r="D20064" s="3" t="s">
        <v>206</v>
      </c>
      <c r="E20064" s="3" t="s">
        <v>100</v>
      </c>
      <c r="F20064" s="7">
        <v>46132.985812356565</v>
      </c>
      <c r="G20064" s="3" t="s">
        <v>12048</v>
      </c>
    </row>
    <row r="20065">
      <c r="A20065" s="3" t="s">
        <v>36280</v>
      </c>
      <c r="B20065" s="3" t="s">
        <v>16652</v>
      </c>
      <c r="C20065" s="5" t="s">
        <v>206</v>
      </c>
      <c r="D20065" s="3" t="s">
        <v>68</v>
      </c>
      <c r="E20065" s="3" t="s">
        <v>100</v>
      </c>
      <c r="F20065" s="7">
        <v>46132.98928457878</v>
      </c>
      <c r="G20065" s="3" t="s">
        <v>12051</v>
      </c>
    </row>
    <row r="20066">
      <c r="A20066" s="3" t="s">
        <v>36281</v>
      </c>
      <c r="B20066" s="3" t="s">
        <v>16657</v>
      </c>
      <c r="C20066" s="5" t="s">
        <v>45</v>
      </c>
      <c r="D20066" s="3" t="s">
        <v>221</v>
      </c>
      <c r="E20066" s="3" t="s">
        <v>682</v>
      </c>
      <c r="F20066" s="7">
        <v>46133.050042757524</v>
      </c>
      <c r="G20066" s="3" t="s">
        <v>28298</v>
      </c>
    </row>
    <row r="20067">
      <c r="A20067" s="3" t="s">
        <v>36282</v>
      </c>
      <c r="B20067" s="3" t="s">
        <v>16657</v>
      </c>
      <c r="C20067" s="5" t="s">
        <v>221</v>
      </c>
      <c r="D20067" s="3" t="s">
        <v>614</v>
      </c>
      <c r="E20067" s="3" t="s">
        <v>118</v>
      </c>
      <c r="F20067" s="7">
        <v>46133.05351497974</v>
      </c>
      <c r="G20067" s="3" t="s">
        <v>28300</v>
      </c>
    </row>
    <row r="20068">
      <c r="A20068" s="3" t="s">
        <v>36283</v>
      </c>
      <c r="B20068" s="3" t="s">
        <v>16657</v>
      </c>
      <c r="C20068" s="5" t="s">
        <v>614</v>
      </c>
      <c r="D20068" s="3" t="s">
        <v>206</v>
      </c>
      <c r="E20068" s="3" t="s">
        <v>100</v>
      </c>
      <c r="F20068" s="7">
        <v>46133.05698720197</v>
      </c>
      <c r="G20068" s="3" t="s">
        <v>28302</v>
      </c>
    </row>
    <row r="20069">
      <c r="A20069" s="3" t="s">
        <v>36284</v>
      </c>
      <c r="B20069" s="3" t="s">
        <v>16657</v>
      </c>
      <c r="C20069" s="5" t="s">
        <v>206</v>
      </c>
      <c r="D20069" s="3" t="s">
        <v>68</v>
      </c>
      <c r="E20069" s="3" t="s">
        <v>100</v>
      </c>
      <c r="F20069" s="7">
        <v>46133.06045942419</v>
      </c>
      <c r="G20069" s="3" t="s">
        <v>28304</v>
      </c>
    </row>
    <row r="20070">
      <c r="A20070" s="3" t="s">
        <v>36285</v>
      </c>
      <c r="B20070" s="3" t="s">
        <v>16660</v>
      </c>
      <c r="C20070" s="5" t="s">
        <v>45</v>
      </c>
      <c r="D20070" s="3" t="s">
        <v>221</v>
      </c>
      <c r="E20070" s="3" t="s">
        <v>488</v>
      </c>
      <c r="F20070" s="7">
        <v>46133.121217602944</v>
      </c>
      <c r="G20070" s="3" t="s">
        <v>15970</v>
      </c>
    </row>
    <row r="20071">
      <c r="A20071" s="3" t="s">
        <v>36286</v>
      </c>
      <c r="B20071" s="3" t="s">
        <v>16660</v>
      </c>
      <c r="C20071" s="5" t="s">
        <v>221</v>
      </c>
      <c r="D20071" s="3" t="s">
        <v>614</v>
      </c>
      <c r="E20071" s="3" t="s">
        <v>118</v>
      </c>
      <c r="F20071" s="7">
        <v>46133.12468982516</v>
      </c>
      <c r="G20071" s="3" t="s">
        <v>17307</v>
      </c>
    </row>
    <row r="20072">
      <c r="A20072" s="3" t="s">
        <v>36287</v>
      </c>
      <c r="B20072" s="3" t="s">
        <v>16660</v>
      </c>
      <c r="C20072" s="5" t="s">
        <v>614</v>
      </c>
      <c r="D20072" s="3" t="s">
        <v>206</v>
      </c>
      <c r="E20072" s="3" t="s">
        <v>100</v>
      </c>
      <c r="F20072" s="7">
        <v>46133.12816204739</v>
      </c>
      <c r="G20072" s="3" t="s">
        <v>17310</v>
      </c>
    </row>
    <row r="20073">
      <c r="A20073" s="3" t="s">
        <v>36288</v>
      </c>
      <c r="B20073" s="3" t="s">
        <v>16660</v>
      </c>
      <c r="C20073" s="5" t="s">
        <v>206</v>
      </c>
      <c r="D20073" s="3" t="s">
        <v>68</v>
      </c>
      <c r="E20073" s="3" t="s">
        <v>100</v>
      </c>
      <c r="F20073" s="7">
        <v>46133.13163426961</v>
      </c>
      <c r="G20073" s="3" t="s">
        <v>17312</v>
      </c>
    </row>
    <row r="20074">
      <c r="A20074" s="3" t="s">
        <v>36289</v>
      </c>
      <c r="B20074" s="3" t="s">
        <v>16663</v>
      </c>
      <c r="C20074" s="5" t="s">
        <v>45</v>
      </c>
      <c r="D20074" s="3" t="s">
        <v>221</v>
      </c>
      <c r="E20074" s="3" t="s">
        <v>395</v>
      </c>
      <c r="F20074" s="7">
        <v>46133.19239244836</v>
      </c>
      <c r="G20074" s="3" t="s">
        <v>29322</v>
      </c>
    </row>
    <row r="20075">
      <c r="A20075" s="3" t="s">
        <v>36290</v>
      </c>
      <c r="B20075" s="3" t="s">
        <v>16663</v>
      </c>
      <c r="C20075" s="5" t="s">
        <v>221</v>
      </c>
      <c r="D20075" s="3" t="s">
        <v>614</v>
      </c>
      <c r="E20075" s="3" t="s">
        <v>118</v>
      </c>
      <c r="F20075" s="7">
        <v>46133.19586467058</v>
      </c>
      <c r="G20075" s="3" t="s">
        <v>29324</v>
      </c>
    </row>
    <row r="20076">
      <c r="A20076" s="3" t="s">
        <v>36291</v>
      </c>
      <c r="B20076" s="3" t="s">
        <v>16663</v>
      </c>
      <c r="C20076" s="5" t="s">
        <v>614</v>
      </c>
      <c r="D20076" s="3" t="s">
        <v>206</v>
      </c>
      <c r="E20076" s="3" t="s">
        <v>100</v>
      </c>
      <c r="F20076" s="7">
        <v>46133.19933689281</v>
      </c>
      <c r="G20076" s="3" t="s">
        <v>29326</v>
      </c>
    </row>
    <row r="20077">
      <c r="A20077" s="3" t="s">
        <v>36292</v>
      </c>
      <c r="B20077" s="3" t="s">
        <v>16663</v>
      </c>
      <c r="C20077" s="5" t="s">
        <v>206</v>
      </c>
      <c r="D20077" s="3" t="s">
        <v>68</v>
      </c>
      <c r="E20077" s="3" t="s">
        <v>100</v>
      </c>
      <c r="F20077" s="7">
        <v>46133.20280911503</v>
      </c>
      <c r="G20077" s="3" t="s">
        <v>29328</v>
      </c>
    </row>
    <row r="20078">
      <c r="A20078" s="3" t="s">
        <v>36293</v>
      </c>
      <c r="B20078" s="3" t="s">
        <v>16666</v>
      </c>
      <c r="C20078" s="5" t="s">
        <v>45</v>
      </c>
      <c r="D20078" s="3" t="s">
        <v>221</v>
      </c>
      <c r="E20078" s="3" t="s">
        <v>189</v>
      </c>
      <c r="F20078" s="7">
        <v>46133.263567293776</v>
      </c>
      <c r="G20078" s="3" t="s">
        <v>8912</v>
      </c>
    </row>
    <row r="20079">
      <c r="A20079" s="3" t="s">
        <v>36294</v>
      </c>
      <c r="B20079" s="3" t="s">
        <v>16666</v>
      </c>
      <c r="C20079" s="5" t="s">
        <v>221</v>
      </c>
      <c r="D20079" s="3" t="s">
        <v>614</v>
      </c>
      <c r="E20079" s="3" t="s">
        <v>118</v>
      </c>
      <c r="F20079" s="7">
        <v>46133.267039515995</v>
      </c>
      <c r="G20079" s="3" t="s">
        <v>8915</v>
      </c>
    </row>
    <row r="20080">
      <c r="A20080" s="3" t="s">
        <v>36295</v>
      </c>
      <c r="B20080" s="3" t="s">
        <v>16666</v>
      </c>
      <c r="C20080" s="5" t="s">
        <v>614</v>
      </c>
      <c r="D20080" s="3" t="s">
        <v>206</v>
      </c>
      <c r="E20080" s="3" t="s">
        <v>100</v>
      </c>
      <c r="F20080" s="7">
        <v>46133.27051173822</v>
      </c>
      <c r="G20080" s="3" t="s">
        <v>8918</v>
      </c>
    </row>
    <row r="20081">
      <c r="A20081" s="3" t="s">
        <v>36296</v>
      </c>
      <c r="B20081" s="3" t="s">
        <v>16666</v>
      </c>
      <c r="C20081" s="5" t="s">
        <v>206</v>
      </c>
      <c r="D20081" s="3" t="s">
        <v>68</v>
      </c>
      <c r="E20081" s="3" t="s">
        <v>100</v>
      </c>
      <c r="F20081" s="7">
        <v>46133.27398396044</v>
      </c>
      <c r="G20081" s="3" t="s">
        <v>8921</v>
      </c>
    </row>
    <row r="20082">
      <c r="A20082" s="3" t="s">
        <v>36297</v>
      </c>
      <c r="B20082" s="3" t="s">
        <v>16670</v>
      </c>
      <c r="C20082" s="5" t="s">
        <v>45</v>
      </c>
      <c r="D20082" s="3" t="s">
        <v>221</v>
      </c>
      <c r="E20082" s="3" t="s">
        <v>767</v>
      </c>
      <c r="F20082" s="7">
        <v>46133.33474213919</v>
      </c>
      <c r="G20082" s="3" t="s">
        <v>16055</v>
      </c>
    </row>
    <row r="20083">
      <c r="A20083" s="3" t="s">
        <v>36298</v>
      </c>
      <c r="B20083" s="3" t="s">
        <v>16670</v>
      </c>
      <c r="C20083" s="5" t="s">
        <v>221</v>
      </c>
      <c r="D20083" s="3" t="s">
        <v>614</v>
      </c>
      <c r="E20083" s="3" t="s">
        <v>118</v>
      </c>
      <c r="F20083" s="7">
        <v>46133.33821436141</v>
      </c>
      <c r="G20083" s="3" t="s">
        <v>16057</v>
      </c>
    </row>
    <row r="20084">
      <c r="A20084" s="3" t="s">
        <v>36299</v>
      </c>
      <c r="B20084" s="3" t="s">
        <v>16670</v>
      </c>
      <c r="C20084" s="5" t="s">
        <v>614</v>
      </c>
      <c r="D20084" s="3" t="s">
        <v>206</v>
      </c>
      <c r="E20084" s="3" t="s">
        <v>100</v>
      </c>
      <c r="F20084" s="7">
        <v>46133.34168658363</v>
      </c>
      <c r="G20084" s="3" t="s">
        <v>16060</v>
      </c>
    </row>
    <row r="20085">
      <c r="A20085" s="3" t="s">
        <v>36300</v>
      </c>
      <c r="B20085" s="3" t="s">
        <v>16670</v>
      </c>
      <c r="C20085" s="5" t="s">
        <v>206</v>
      </c>
      <c r="D20085" s="3" t="s">
        <v>68</v>
      </c>
      <c r="E20085" s="3" t="s">
        <v>100</v>
      </c>
      <c r="F20085" s="7">
        <v>46133.34515880585</v>
      </c>
      <c r="G20085" s="3" t="s">
        <v>16063</v>
      </c>
    </row>
    <row r="20086">
      <c r="A20086" s="3" t="s">
        <v>36301</v>
      </c>
      <c r="B20086" s="3" t="s">
        <v>16674</v>
      </c>
      <c r="C20086" s="5" t="s">
        <v>45</v>
      </c>
      <c r="D20086" s="3" t="s">
        <v>221</v>
      </c>
      <c r="E20086" s="3" t="s">
        <v>168</v>
      </c>
      <c r="F20086" s="7">
        <v>46133.40591698461</v>
      </c>
      <c r="G20086" s="3" t="s">
        <v>16121</v>
      </c>
    </row>
    <row r="20087">
      <c r="A20087" s="3" t="s">
        <v>36302</v>
      </c>
      <c r="B20087" s="3" t="s">
        <v>16674</v>
      </c>
      <c r="C20087" s="5" t="s">
        <v>221</v>
      </c>
      <c r="D20087" s="3" t="s">
        <v>614</v>
      </c>
      <c r="E20087" s="3" t="s">
        <v>118</v>
      </c>
      <c r="F20087" s="7">
        <v>46133.40938920683</v>
      </c>
      <c r="G20087" s="3" t="s">
        <v>16124</v>
      </c>
    </row>
    <row r="20088">
      <c r="A20088" s="3" t="s">
        <v>36303</v>
      </c>
      <c r="B20088" s="3" t="s">
        <v>16674</v>
      </c>
      <c r="C20088" s="5" t="s">
        <v>614</v>
      </c>
      <c r="D20088" s="3" t="s">
        <v>206</v>
      </c>
      <c r="E20088" s="3" t="s">
        <v>100</v>
      </c>
      <c r="F20088" s="7">
        <v>46133.41286142905</v>
      </c>
      <c r="G20088" s="3" t="s">
        <v>16127</v>
      </c>
    </row>
    <row r="20089">
      <c r="A20089" s="3" t="s">
        <v>36304</v>
      </c>
      <c r="B20089" s="3" t="s">
        <v>16674</v>
      </c>
      <c r="C20089" s="5" t="s">
        <v>206</v>
      </c>
      <c r="D20089" s="3" t="s">
        <v>68</v>
      </c>
      <c r="E20089" s="3" t="s">
        <v>100</v>
      </c>
      <c r="F20089" s="7">
        <v>46133.41633365127</v>
      </c>
      <c r="G20089" s="3" t="s">
        <v>16130</v>
      </c>
    </row>
    <row r="20090">
      <c r="A20090" s="3" t="s">
        <v>36305</v>
      </c>
      <c r="B20090" s="3" t="s">
        <v>16677</v>
      </c>
      <c r="C20090" s="5" t="s">
        <v>45</v>
      </c>
      <c r="D20090" s="3" t="s">
        <v>221</v>
      </c>
      <c r="E20090" s="3" t="s">
        <v>906</v>
      </c>
      <c r="F20090" s="7">
        <v>46133.47709183002</v>
      </c>
      <c r="G20090" s="3" t="s">
        <v>16133</v>
      </c>
    </row>
    <row r="20091">
      <c r="A20091" s="3" t="s">
        <v>36306</v>
      </c>
      <c r="B20091" s="3" t="s">
        <v>16677</v>
      </c>
      <c r="C20091" s="5" t="s">
        <v>221</v>
      </c>
      <c r="D20091" s="3" t="s">
        <v>614</v>
      </c>
      <c r="E20091" s="3" t="s">
        <v>118</v>
      </c>
      <c r="F20091" s="7">
        <v>46133.48056405224</v>
      </c>
      <c r="G20091" s="3" t="s">
        <v>16136</v>
      </c>
    </row>
    <row r="20092">
      <c r="A20092" s="3" t="s">
        <v>36307</v>
      </c>
      <c r="B20092" s="3" t="s">
        <v>16677</v>
      </c>
      <c r="C20092" s="5" t="s">
        <v>614</v>
      </c>
      <c r="D20092" s="3" t="s">
        <v>206</v>
      </c>
      <c r="E20092" s="3" t="s">
        <v>100</v>
      </c>
      <c r="F20092" s="7">
        <v>46133.484036274465</v>
      </c>
      <c r="G20092" s="3" t="s">
        <v>16138</v>
      </c>
    </row>
    <row r="20093">
      <c r="A20093" s="3" t="s">
        <v>36308</v>
      </c>
      <c r="B20093" s="3" t="s">
        <v>16677</v>
      </c>
      <c r="C20093" s="5" t="s">
        <v>206</v>
      </c>
      <c r="D20093" s="3" t="s">
        <v>68</v>
      </c>
      <c r="E20093" s="3" t="s">
        <v>100</v>
      </c>
      <c r="F20093" s="7">
        <v>46133.487508496684</v>
      </c>
      <c r="G20093" s="3" t="s">
        <v>16141</v>
      </c>
    </row>
    <row r="20094">
      <c r="A20094" s="3" t="s">
        <v>36309</v>
      </c>
      <c r="B20094" s="3" t="s">
        <v>16680</v>
      </c>
      <c r="C20094" s="5" t="s">
        <v>45</v>
      </c>
      <c r="D20094" s="3" t="s">
        <v>221</v>
      </c>
      <c r="E20094" s="3" t="s">
        <v>406</v>
      </c>
      <c r="F20094" s="7">
        <v>46133.54826667543</v>
      </c>
      <c r="G20094" s="3" t="s">
        <v>36248</v>
      </c>
    </row>
    <row r="20095">
      <c r="A20095" s="3" t="s">
        <v>36310</v>
      </c>
      <c r="B20095" s="3" t="s">
        <v>16680</v>
      </c>
      <c r="C20095" s="5" t="s">
        <v>221</v>
      </c>
      <c r="D20095" s="3" t="s">
        <v>614</v>
      </c>
      <c r="E20095" s="3" t="s">
        <v>118</v>
      </c>
      <c r="F20095" s="7">
        <v>46133.55173889765</v>
      </c>
      <c r="G20095" s="3" t="s">
        <v>36311</v>
      </c>
    </row>
    <row r="20096">
      <c r="A20096" s="3" t="s">
        <v>36312</v>
      </c>
      <c r="B20096" s="3" t="s">
        <v>16680</v>
      </c>
      <c r="C20096" s="5" t="s">
        <v>614</v>
      </c>
      <c r="D20096" s="3" t="s">
        <v>206</v>
      </c>
      <c r="E20096" s="3" t="s">
        <v>100</v>
      </c>
      <c r="F20096" s="7">
        <v>46133.55521111988</v>
      </c>
      <c r="G20096" s="3" t="s">
        <v>36313</v>
      </c>
    </row>
    <row r="20097">
      <c r="A20097" s="3" t="s">
        <v>36314</v>
      </c>
      <c r="B20097" s="3" t="s">
        <v>16680</v>
      </c>
      <c r="C20097" s="5" t="s">
        <v>206</v>
      </c>
      <c r="D20097" s="3" t="s">
        <v>68</v>
      </c>
      <c r="E20097" s="3" t="s">
        <v>100</v>
      </c>
      <c r="F20097" s="7">
        <v>46133.5586833421</v>
      </c>
      <c r="G20097" s="3" t="s">
        <v>36315</v>
      </c>
    </row>
    <row r="20098">
      <c r="A20098" s="3" t="s">
        <v>36316</v>
      </c>
      <c r="B20098" s="3" t="s">
        <v>16684</v>
      </c>
      <c r="C20098" s="5" t="s">
        <v>45</v>
      </c>
      <c r="D20098" s="3" t="s">
        <v>221</v>
      </c>
      <c r="E20098" s="3" t="s">
        <v>1037</v>
      </c>
      <c r="F20098" s="7">
        <v>46133.61944152085</v>
      </c>
      <c r="G20098" s="3" t="s">
        <v>16156</v>
      </c>
    </row>
    <row r="20099">
      <c r="A20099" s="3" t="s">
        <v>36317</v>
      </c>
      <c r="B20099" s="3" t="s">
        <v>16684</v>
      </c>
      <c r="C20099" s="5" t="s">
        <v>221</v>
      </c>
      <c r="D20099" s="3" t="s">
        <v>614</v>
      </c>
      <c r="E20099" s="3" t="s">
        <v>118</v>
      </c>
      <c r="F20099" s="7">
        <v>46133.62291374307</v>
      </c>
      <c r="G20099" s="3" t="s">
        <v>16158</v>
      </c>
    </row>
    <row r="20100">
      <c r="A20100" s="3" t="s">
        <v>36318</v>
      </c>
      <c r="B20100" s="3" t="s">
        <v>16684</v>
      </c>
      <c r="C20100" s="5" t="s">
        <v>614</v>
      </c>
      <c r="D20100" s="3" t="s">
        <v>206</v>
      </c>
      <c r="E20100" s="3" t="s">
        <v>100</v>
      </c>
      <c r="F20100" s="7">
        <v>46133.6263859653</v>
      </c>
      <c r="G20100" s="3" t="s">
        <v>16161</v>
      </c>
    </row>
    <row r="20101">
      <c r="A20101" s="3" t="s">
        <v>36319</v>
      </c>
      <c r="B20101" s="3" t="s">
        <v>16684</v>
      </c>
      <c r="C20101" s="5" t="s">
        <v>206</v>
      </c>
      <c r="D20101" s="3" t="s">
        <v>68</v>
      </c>
      <c r="E20101" s="3" t="s">
        <v>100</v>
      </c>
      <c r="F20101" s="7">
        <v>46133.629858187516</v>
      </c>
      <c r="G20101" s="3" t="s">
        <v>16164</v>
      </c>
    </row>
    <row r="20102">
      <c r="A20102" s="3" t="s">
        <v>36320</v>
      </c>
      <c r="B20102" s="3" t="s">
        <v>16687</v>
      </c>
      <c r="C20102" s="5" t="s">
        <v>45</v>
      </c>
      <c r="D20102" s="3" t="s">
        <v>221</v>
      </c>
      <c r="E20102" s="3" t="s">
        <v>895</v>
      </c>
      <c r="F20102" s="7">
        <v>46133.690616366264</v>
      </c>
      <c r="G20102" s="3" t="s">
        <v>16244</v>
      </c>
    </row>
    <row r="20103">
      <c r="A20103" s="3" t="s">
        <v>36321</v>
      </c>
      <c r="B20103" s="3" t="s">
        <v>16687</v>
      </c>
      <c r="C20103" s="5" t="s">
        <v>221</v>
      </c>
      <c r="D20103" s="3" t="s">
        <v>614</v>
      </c>
      <c r="E20103" s="3" t="s">
        <v>118</v>
      </c>
      <c r="F20103" s="7">
        <v>46133.69408858848</v>
      </c>
      <c r="G20103" s="3" t="s">
        <v>16247</v>
      </c>
    </row>
    <row r="20104">
      <c r="A20104" s="3" t="s">
        <v>36322</v>
      </c>
      <c r="B20104" s="3" t="s">
        <v>16687</v>
      </c>
      <c r="C20104" s="5" t="s">
        <v>614</v>
      </c>
      <c r="D20104" s="3" t="s">
        <v>206</v>
      </c>
      <c r="E20104" s="3" t="s">
        <v>100</v>
      </c>
      <c r="F20104" s="7">
        <v>46133.69756081071</v>
      </c>
      <c r="G20104" s="3" t="s">
        <v>16249</v>
      </c>
    </row>
    <row r="20105">
      <c r="A20105" s="3" t="s">
        <v>36323</v>
      </c>
      <c r="B20105" s="3" t="s">
        <v>16687</v>
      </c>
      <c r="C20105" s="5" t="s">
        <v>206</v>
      </c>
      <c r="D20105" s="3" t="s">
        <v>68</v>
      </c>
      <c r="E20105" s="3" t="s">
        <v>100</v>
      </c>
      <c r="F20105" s="7">
        <v>46133.70103303293</v>
      </c>
      <c r="G20105" s="3" t="s">
        <v>16252</v>
      </c>
    </row>
    <row r="20106">
      <c r="A20106" s="3" t="s">
        <v>36324</v>
      </c>
      <c r="B20106" s="3" t="s">
        <v>16690</v>
      </c>
      <c r="C20106" s="5" t="s">
        <v>45</v>
      </c>
      <c r="D20106" s="3" t="s">
        <v>221</v>
      </c>
      <c r="E20106" s="3" t="s">
        <v>247</v>
      </c>
      <c r="F20106" s="7">
        <v>46133.76179121168</v>
      </c>
      <c r="G20106" s="3" t="s">
        <v>16280</v>
      </c>
    </row>
    <row r="20107">
      <c r="A20107" s="3" t="s">
        <v>36325</v>
      </c>
      <c r="B20107" s="3" t="s">
        <v>16690</v>
      </c>
      <c r="C20107" s="5" t="s">
        <v>221</v>
      </c>
      <c r="D20107" s="3" t="s">
        <v>614</v>
      </c>
      <c r="E20107" s="3" t="s">
        <v>118</v>
      </c>
      <c r="F20107" s="7">
        <v>46133.765263433896</v>
      </c>
      <c r="G20107" s="3" t="s">
        <v>16283</v>
      </c>
    </row>
    <row r="20108">
      <c r="A20108" s="3" t="s">
        <v>36326</v>
      </c>
      <c r="B20108" s="3" t="s">
        <v>16690</v>
      </c>
      <c r="C20108" s="5" t="s">
        <v>614</v>
      </c>
      <c r="D20108" s="3" t="s">
        <v>206</v>
      </c>
      <c r="E20108" s="3" t="s">
        <v>100</v>
      </c>
      <c r="F20108" s="7">
        <v>46133.76873565612</v>
      </c>
      <c r="G20108" s="3" t="s">
        <v>16286</v>
      </c>
    </row>
    <row r="20109">
      <c r="A20109" s="3" t="s">
        <v>36327</v>
      </c>
      <c r="B20109" s="3" t="s">
        <v>16690</v>
      </c>
      <c r="C20109" s="5" t="s">
        <v>206</v>
      </c>
      <c r="D20109" s="3" t="s">
        <v>68</v>
      </c>
      <c r="E20109" s="3" t="s">
        <v>100</v>
      </c>
      <c r="F20109" s="7">
        <v>46133.77220787834</v>
      </c>
      <c r="G20109" s="3" t="s">
        <v>16289</v>
      </c>
    </row>
    <row r="20110">
      <c r="A20110" s="3" t="s">
        <v>36328</v>
      </c>
      <c r="B20110" s="3" t="s">
        <v>16693</v>
      </c>
      <c r="C20110" s="5" t="s">
        <v>45</v>
      </c>
      <c r="D20110" s="3" t="s">
        <v>221</v>
      </c>
      <c r="E20110" s="3" t="s">
        <v>424</v>
      </c>
      <c r="F20110" s="7">
        <v>46133.832966057096</v>
      </c>
      <c r="G20110" s="3" t="s">
        <v>16324</v>
      </c>
    </row>
    <row r="20111">
      <c r="A20111" s="3" t="s">
        <v>36329</v>
      </c>
      <c r="B20111" s="3" t="s">
        <v>16693</v>
      </c>
      <c r="C20111" s="5" t="s">
        <v>221</v>
      </c>
      <c r="D20111" s="3" t="s">
        <v>614</v>
      </c>
      <c r="E20111" s="3" t="s">
        <v>118</v>
      </c>
      <c r="F20111" s="7">
        <v>46133.836438279315</v>
      </c>
      <c r="G20111" s="3" t="s">
        <v>16326</v>
      </c>
    </row>
    <row r="20112">
      <c r="A20112" s="3" t="s">
        <v>36330</v>
      </c>
      <c r="B20112" s="3" t="s">
        <v>16693</v>
      </c>
      <c r="C20112" s="5" t="s">
        <v>614</v>
      </c>
      <c r="D20112" s="3" t="s">
        <v>206</v>
      </c>
      <c r="E20112" s="3" t="s">
        <v>100</v>
      </c>
      <c r="F20112" s="7">
        <v>46133.83991050154</v>
      </c>
      <c r="G20112" s="3" t="s">
        <v>16329</v>
      </c>
    </row>
    <row r="20113">
      <c r="A20113" s="3" t="s">
        <v>36331</v>
      </c>
      <c r="B20113" s="3" t="s">
        <v>16693</v>
      </c>
      <c r="C20113" s="5" t="s">
        <v>206</v>
      </c>
      <c r="D20113" s="3" t="s">
        <v>68</v>
      </c>
      <c r="E20113" s="3" t="s">
        <v>100</v>
      </c>
      <c r="F20113" s="7">
        <v>46133.84338272376</v>
      </c>
      <c r="G20113" s="3" t="s">
        <v>16332</v>
      </c>
    </row>
    <row r="20114">
      <c r="A20114" s="3" t="s">
        <v>36332</v>
      </c>
      <c r="B20114" s="3" t="s">
        <v>16695</v>
      </c>
      <c r="C20114" s="5" t="s">
        <v>45</v>
      </c>
      <c r="D20114" s="3" t="s">
        <v>221</v>
      </c>
      <c r="E20114" s="3" t="s">
        <v>505</v>
      </c>
      <c r="F20114" s="7">
        <v>46133.90414090251</v>
      </c>
      <c r="G20114" s="3" t="s">
        <v>27484</v>
      </c>
    </row>
    <row r="20115">
      <c r="A20115" s="3" t="s">
        <v>36333</v>
      </c>
      <c r="B20115" s="3" t="s">
        <v>16695</v>
      </c>
      <c r="C20115" s="5" t="s">
        <v>221</v>
      </c>
      <c r="D20115" s="3" t="s">
        <v>614</v>
      </c>
      <c r="E20115" s="3" t="s">
        <v>118</v>
      </c>
      <c r="F20115" s="7">
        <v>46133.90761312473</v>
      </c>
      <c r="G20115" s="3" t="s">
        <v>27486</v>
      </c>
    </row>
    <row r="20116">
      <c r="A20116" s="3" t="s">
        <v>36334</v>
      </c>
      <c r="B20116" s="3" t="s">
        <v>16695</v>
      </c>
      <c r="C20116" s="5" t="s">
        <v>614</v>
      </c>
      <c r="D20116" s="3" t="s">
        <v>206</v>
      </c>
      <c r="E20116" s="3" t="s">
        <v>100</v>
      </c>
      <c r="F20116" s="7">
        <v>46133.911085346954</v>
      </c>
      <c r="G20116" s="3" t="s">
        <v>27488</v>
      </c>
    </row>
    <row r="20117">
      <c r="A20117" s="3" t="s">
        <v>36335</v>
      </c>
      <c r="B20117" s="3" t="s">
        <v>16695</v>
      </c>
      <c r="C20117" s="5" t="s">
        <v>206</v>
      </c>
      <c r="D20117" s="3" t="s">
        <v>68</v>
      </c>
      <c r="E20117" s="3" t="s">
        <v>100</v>
      </c>
      <c r="F20117" s="7">
        <v>46133.91455756917</v>
      </c>
      <c r="G20117" s="3" t="s">
        <v>27490</v>
      </c>
    </row>
    <row r="20118">
      <c r="A20118" s="3" t="s">
        <v>36336</v>
      </c>
      <c r="B20118" s="3" t="s">
        <v>16697</v>
      </c>
      <c r="C20118" s="5" t="s">
        <v>45</v>
      </c>
      <c r="D20118" s="3" t="s">
        <v>221</v>
      </c>
      <c r="E20118" s="3" t="s">
        <v>767</v>
      </c>
      <c r="F20118" s="7">
        <v>46133.97531574793</v>
      </c>
      <c r="G20118" s="3" t="s">
        <v>18636</v>
      </c>
    </row>
    <row r="20119">
      <c r="A20119" s="3" t="s">
        <v>36337</v>
      </c>
      <c r="B20119" s="3" t="s">
        <v>16697</v>
      </c>
      <c r="C20119" s="5" t="s">
        <v>221</v>
      </c>
      <c r="D20119" s="3" t="s">
        <v>195</v>
      </c>
      <c r="E20119" s="3" t="s">
        <v>767</v>
      </c>
      <c r="F20119" s="7">
        <v>46133.97878797015</v>
      </c>
      <c r="G20119" s="3" t="s">
        <v>36338</v>
      </c>
    </row>
    <row r="20120">
      <c r="A20120" s="3" t="s">
        <v>36339</v>
      </c>
      <c r="B20120" s="3" t="s">
        <v>16699</v>
      </c>
      <c r="C20120" s="5" t="s">
        <v>45</v>
      </c>
      <c r="D20120" s="3" t="s">
        <v>221</v>
      </c>
      <c r="E20120" s="3" t="s">
        <v>272</v>
      </c>
      <c r="F20120" s="7">
        <v>46134.04649059334</v>
      </c>
      <c r="G20120" s="3" t="s">
        <v>17315</v>
      </c>
    </row>
    <row r="20121">
      <c r="A20121" s="3" t="s">
        <v>36340</v>
      </c>
      <c r="B20121" s="3" t="s">
        <v>16699</v>
      </c>
      <c r="C20121" s="5" t="s">
        <v>221</v>
      </c>
      <c r="D20121" s="3" t="s">
        <v>614</v>
      </c>
      <c r="E20121" s="3" t="s">
        <v>118</v>
      </c>
      <c r="F20121" s="7">
        <v>46134.04996281556</v>
      </c>
      <c r="G20121" s="3" t="s">
        <v>18909</v>
      </c>
    </row>
    <row r="20122">
      <c r="A20122" s="3" t="s">
        <v>36341</v>
      </c>
      <c r="B20122" s="3" t="s">
        <v>16699</v>
      </c>
      <c r="C20122" s="5" t="s">
        <v>614</v>
      </c>
      <c r="D20122" s="3" t="s">
        <v>206</v>
      </c>
      <c r="E20122" s="3" t="s">
        <v>100</v>
      </c>
      <c r="F20122" s="7">
        <v>46134.053435037786</v>
      </c>
      <c r="G20122" s="3" t="s">
        <v>18911</v>
      </c>
    </row>
    <row r="20123">
      <c r="A20123" s="3" t="s">
        <v>36342</v>
      </c>
      <c r="B20123" s="3" t="s">
        <v>16699</v>
      </c>
      <c r="C20123" s="5" t="s">
        <v>206</v>
      </c>
      <c r="D20123" s="3" t="s">
        <v>68</v>
      </c>
      <c r="E20123" s="3" t="s">
        <v>100</v>
      </c>
      <c r="F20123" s="7">
        <v>46134.056907260005</v>
      </c>
      <c r="G20123" s="3" t="s">
        <v>18914</v>
      </c>
    </row>
    <row r="20124">
      <c r="A20124" s="3" t="s">
        <v>36343</v>
      </c>
      <c r="B20124" s="3" t="s">
        <v>16703</v>
      </c>
      <c r="C20124" s="5" t="s">
        <v>45</v>
      </c>
      <c r="D20124" s="3" t="s">
        <v>221</v>
      </c>
      <c r="E20124" s="3" t="s">
        <v>466</v>
      </c>
      <c r="F20124" s="7">
        <v>46134.11766543876</v>
      </c>
      <c r="G20124" s="3" t="s">
        <v>2770</v>
      </c>
    </row>
    <row r="20125">
      <c r="A20125" s="3" t="s">
        <v>36344</v>
      </c>
      <c r="B20125" s="3" t="s">
        <v>16703</v>
      </c>
      <c r="C20125" s="5" t="s">
        <v>221</v>
      </c>
      <c r="D20125" s="3" t="s">
        <v>181</v>
      </c>
      <c r="E20125" s="3" t="s">
        <v>118</v>
      </c>
      <c r="F20125" s="7">
        <v>46134.12113766098</v>
      </c>
      <c r="G20125" s="3" t="s">
        <v>2774</v>
      </c>
    </row>
    <row r="20126">
      <c r="A20126" s="3" t="s">
        <v>36345</v>
      </c>
      <c r="B20126" s="3" t="s">
        <v>16706</v>
      </c>
      <c r="C20126" s="5" t="s">
        <v>45</v>
      </c>
      <c r="D20126" s="3" t="s">
        <v>221</v>
      </c>
      <c r="E20126" s="3" t="s">
        <v>734</v>
      </c>
      <c r="F20126" s="7">
        <v>46134.188840284165</v>
      </c>
      <c r="G20126" s="3" t="s">
        <v>16338</v>
      </c>
    </row>
    <row r="20127">
      <c r="A20127" s="3" t="s">
        <v>36346</v>
      </c>
      <c r="B20127" s="3" t="s">
        <v>16706</v>
      </c>
      <c r="C20127" s="5" t="s">
        <v>221</v>
      </c>
      <c r="D20127" s="3" t="s">
        <v>614</v>
      </c>
      <c r="E20127" s="3" t="s">
        <v>118</v>
      </c>
      <c r="F20127" s="7">
        <v>46134.192312506384</v>
      </c>
      <c r="G20127" s="3" t="s">
        <v>16341</v>
      </c>
    </row>
    <row r="20128">
      <c r="A20128" s="3" t="s">
        <v>36347</v>
      </c>
      <c r="B20128" s="3" t="s">
        <v>16706</v>
      </c>
      <c r="C20128" s="5" t="s">
        <v>614</v>
      </c>
      <c r="D20128" s="3" t="s">
        <v>206</v>
      </c>
      <c r="E20128" s="3" t="s">
        <v>100</v>
      </c>
      <c r="F20128" s="7">
        <v>46134.19578472861</v>
      </c>
      <c r="G20128" s="3" t="s">
        <v>16344</v>
      </c>
    </row>
    <row r="20129">
      <c r="A20129" s="3" t="s">
        <v>36348</v>
      </c>
      <c r="B20129" s="3" t="s">
        <v>16706</v>
      </c>
      <c r="C20129" s="5" t="s">
        <v>206</v>
      </c>
      <c r="D20129" s="3" t="s">
        <v>68</v>
      </c>
      <c r="E20129" s="3" t="s">
        <v>100</v>
      </c>
      <c r="F20129" s="7">
        <v>46134.19925695083</v>
      </c>
      <c r="G20129" s="3" t="s">
        <v>16347</v>
      </c>
    </row>
    <row r="20130">
      <c r="A20130" s="3" t="s">
        <v>36349</v>
      </c>
      <c r="B20130" s="3" t="s">
        <v>16710</v>
      </c>
      <c r="C20130" s="5" t="s">
        <v>45</v>
      </c>
      <c r="D20130" s="3" t="s">
        <v>221</v>
      </c>
      <c r="E20130" s="3" t="s">
        <v>926</v>
      </c>
      <c r="F20130" s="7">
        <v>46134.260015129585</v>
      </c>
      <c r="G20130" s="3" t="s">
        <v>14859</v>
      </c>
    </row>
    <row r="20131">
      <c r="A20131" s="3" t="s">
        <v>36350</v>
      </c>
      <c r="B20131" s="3" t="s">
        <v>16710</v>
      </c>
      <c r="C20131" s="5" t="s">
        <v>221</v>
      </c>
      <c r="D20131" s="3" t="s">
        <v>614</v>
      </c>
      <c r="E20131" s="3" t="s">
        <v>118</v>
      </c>
      <c r="F20131" s="7">
        <v>46134.2634873518</v>
      </c>
      <c r="G20131" s="3" t="s">
        <v>14861</v>
      </c>
    </row>
    <row r="20132">
      <c r="A20132" s="3" t="s">
        <v>36351</v>
      </c>
      <c r="B20132" s="3" t="s">
        <v>16710</v>
      </c>
      <c r="C20132" s="5" t="s">
        <v>614</v>
      </c>
      <c r="D20132" s="3" t="s">
        <v>206</v>
      </c>
      <c r="E20132" s="3" t="s">
        <v>100</v>
      </c>
      <c r="F20132" s="7">
        <v>46134.26695957403</v>
      </c>
      <c r="G20132" s="3" t="s">
        <v>14864</v>
      </c>
    </row>
    <row r="20133">
      <c r="A20133" s="3" t="s">
        <v>36352</v>
      </c>
      <c r="B20133" s="3" t="s">
        <v>16710</v>
      </c>
      <c r="C20133" s="5" t="s">
        <v>206</v>
      </c>
      <c r="D20133" s="3" t="s">
        <v>68</v>
      </c>
      <c r="E20133" s="3" t="s">
        <v>100</v>
      </c>
      <c r="F20133" s="7">
        <v>46134.27043179625</v>
      </c>
      <c r="G20133" s="3" t="s">
        <v>14867</v>
      </c>
    </row>
    <row r="20134">
      <c r="A20134" s="3" t="s">
        <v>36353</v>
      </c>
      <c r="B20134" s="3" t="s">
        <v>16713</v>
      </c>
      <c r="C20134" s="5" t="s">
        <v>45</v>
      </c>
      <c r="D20134" s="3" t="s">
        <v>221</v>
      </c>
      <c r="E20134" s="3" t="s">
        <v>189</v>
      </c>
      <c r="F20134" s="7">
        <v>46134.331189975004</v>
      </c>
      <c r="G20134" s="3" t="s">
        <v>2770</v>
      </c>
    </row>
    <row r="20135">
      <c r="A20135" s="3" t="s">
        <v>36354</v>
      </c>
      <c r="B20135" s="3" t="s">
        <v>16713</v>
      </c>
      <c r="C20135" s="5" t="s">
        <v>221</v>
      </c>
      <c r="D20135" s="3" t="s">
        <v>181</v>
      </c>
      <c r="E20135" s="3" t="s">
        <v>118</v>
      </c>
      <c r="F20135" s="7">
        <v>46134.33466219722</v>
      </c>
      <c r="G20135" s="3" t="s">
        <v>2774</v>
      </c>
    </row>
    <row r="20136">
      <c r="A20136" s="3" t="s">
        <v>36355</v>
      </c>
      <c r="B20136" s="3" t="s">
        <v>16716</v>
      </c>
      <c r="C20136" s="5" t="s">
        <v>45</v>
      </c>
      <c r="D20136" s="3" t="s">
        <v>221</v>
      </c>
      <c r="E20136" s="3" t="s">
        <v>319</v>
      </c>
      <c r="F20136" s="7">
        <v>46134.40236482042</v>
      </c>
      <c r="G20136" s="3" t="s">
        <v>14018</v>
      </c>
    </row>
    <row r="20137">
      <c r="A20137" s="3" t="s">
        <v>36356</v>
      </c>
      <c r="B20137" s="3" t="s">
        <v>16716</v>
      </c>
      <c r="C20137" s="5" t="s">
        <v>221</v>
      </c>
      <c r="D20137" s="3" t="s">
        <v>614</v>
      </c>
      <c r="E20137" s="3" t="s">
        <v>118</v>
      </c>
      <c r="F20137" s="7">
        <v>46134.405837042636</v>
      </c>
      <c r="G20137" s="3" t="s">
        <v>14021</v>
      </c>
    </row>
    <row r="20138">
      <c r="A20138" s="3" t="s">
        <v>36357</v>
      </c>
      <c r="B20138" s="3" t="s">
        <v>16716</v>
      </c>
      <c r="C20138" s="5" t="s">
        <v>614</v>
      </c>
      <c r="D20138" s="3" t="s">
        <v>206</v>
      </c>
      <c r="E20138" s="3" t="s">
        <v>100</v>
      </c>
      <c r="F20138" s="7">
        <v>46134.40930926486</v>
      </c>
      <c r="G20138" s="3" t="s">
        <v>14024</v>
      </c>
    </row>
    <row r="20139">
      <c r="A20139" s="3" t="s">
        <v>36358</v>
      </c>
      <c r="B20139" s="3" t="s">
        <v>16716</v>
      </c>
      <c r="C20139" s="5" t="s">
        <v>206</v>
      </c>
      <c r="D20139" s="3" t="s">
        <v>68</v>
      </c>
      <c r="E20139" s="3" t="s">
        <v>100</v>
      </c>
      <c r="F20139" s="7">
        <v>46134.41278148708</v>
      </c>
      <c r="G20139" s="3" t="s">
        <v>14026</v>
      </c>
    </row>
    <row r="20140">
      <c r="A20140" s="3" t="s">
        <v>36359</v>
      </c>
      <c r="B20140" s="3" t="s">
        <v>16719</v>
      </c>
      <c r="C20140" s="5" t="s">
        <v>45</v>
      </c>
      <c r="D20140" s="3" t="s">
        <v>221</v>
      </c>
      <c r="E20140" s="3" t="s">
        <v>662</v>
      </c>
      <c r="F20140" s="7">
        <v>46134.47353966583</v>
      </c>
      <c r="G20140" s="3" t="s">
        <v>16350</v>
      </c>
    </row>
    <row r="20141">
      <c r="A20141" s="3" t="s">
        <v>36360</v>
      </c>
      <c r="B20141" s="3" t="s">
        <v>16719</v>
      </c>
      <c r="C20141" s="5" t="s">
        <v>221</v>
      </c>
      <c r="D20141" s="3" t="s">
        <v>614</v>
      </c>
      <c r="E20141" s="3" t="s">
        <v>118</v>
      </c>
      <c r="F20141" s="7">
        <v>46134.47701188805</v>
      </c>
      <c r="G20141" s="3" t="s">
        <v>16352</v>
      </c>
    </row>
    <row r="20142">
      <c r="A20142" s="3" t="s">
        <v>36361</v>
      </c>
      <c r="B20142" s="3" t="s">
        <v>16719</v>
      </c>
      <c r="C20142" s="5" t="s">
        <v>614</v>
      </c>
      <c r="D20142" s="3" t="s">
        <v>206</v>
      </c>
      <c r="E20142" s="3" t="s">
        <v>100</v>
      </c>
      <c r="F20142" s="7">
        <v>46134.480484110274</v>
      </c>
      <c r="G20142" s="3" t="s">
        <v>16355</v>
      </c>
    </row>
    <row r="20143">
      <c r="A20143" s="3" t="s">
        <v>36362</v>
      </c>
      <c r="B20143" s="3" t="s">
        <v>16719</v>
      </c>
      <c r="C20143" s="5" t="s">
        <v>206</v>
      </c>
      <c r="D20143" s="3" t="s">
        <v>68</v>
      </c>
      <c r="E20143" s="3" t="s">
        <v>100</v>
      </c>
      <c r="F20143" s="7">
        <v>46134.48395633249</v>
      </c>
      <c r="G20143" s="3" t="s">
        <v>16358</v>
      </c>
    </row>
    <row r="20144">
      <c r="A20144" s="3" t="s">
        <v>36363</v>
      </c>
      <c r="B20144" s="3" t="s">
        <v>16722</v>
      </c>
      <c r="C20144" s="5" t="s">
        <v>45</v>
      </c>
      <c r="D20144" s="3" t="s">
        <v>221</v>
      </c>
      <c r="E20144" s="3" t="s">
        <v>424</v>
      </c>
      <c r="F20144" s="7">
        <v>46134.54471451125</v>
      </c>
      <c r="G20144" s="3" t="s">
        <v>25568</v>
      </c>
    </row>
    <row r="20145">
      <c r="A20145" s="3" t="s">
        <v>36364</v>
      </c>
      <c r="B20145" s="3" t="s">
        <v>16722</v>
      </c>
      <c r="C20145" s="5" t="s">
        <v>221</v>
      </c>
      <c r="D20145" s="3" t="s">
        <v>614</v>
      </c>
      <c r="E20145" s="3" t="s">
        <v>118</v>
      </c>
      <c r="F20145" s="7">
        <v>46134.54818673347</v>
      </c>
      <c r="G20145" s="3" t="s">
        <v>25570</v>
      </c>
    </row>
    <row r="20146">
      <c r="A20146" s="3" t="s">
        <v>36365</v>
      </c>
      <c r="B20146" s="3" t="s">
        <v>16722</v>
      </c>
      <c r="C20146" s="5" t="s">
        <v>614</v>
      </c>
      <c r="D20146" s="3" t="s">
        <v>206</v>
      </c>
      <c r="E20146" s="3" t="s">
        <v>100</v>
      </c>
      <c r="F20146" s="7">
        <v>46134.551658955694</v>
      </c>
      <c r="G20146" s="3" t="s">
        <v>25572</v>
      </c>
    </row>
    <row r="20147">
      <c r="A20147" s="3" t="s">
        <v>36366</v>
      </c>
      <c r="B20147" s="3" t="s">
        <v>16722</v>
      </c>
      <c r="C20147" s="5" t="s">
        <v>206</v>
      </c>
      <c r="D20147" s="3" t="s">
        <v>68</v>
      </c>
      <c r="E20147" s="3" t="s">
        <v>100</v>
      </c>
      <c r="F20147" s="7">
        <v>46134.55513117791</v>
      </c>
      <c r="G20147" s="3" t="s">
        <v>25574</v>
      </c>
    </row>
    <row r="20148">
      <c r="A20148" s="3" t="s">
        <v>36367</v>
      </c>
      <c r="B20148" s="3" t="s">
        <v>16726</v>
      </c>
      <c r="C20148" s="5" t="s">
        <v>45</v>
      </c>
      <c r="D20148" s="3" t="s">
        <v>221</v>
      </c>
      <c r="E20148" s="3" t="s">
        <v>574</v>
      </c>
      <c r="F20148" s="7">
        <v>46134.61588935666</v>
      </c>
      <c r="G20148" s="3" t="s">
        <v>20811</v>
      </c>
    </row>
    <row r="20149">
      <c r="A20149" s="3" t="s">
        <v>36368</v>
      </c>
      <c r="B20149" s="3" t="s">
        <v>16726</v>
      </c>
      <c r="C20149" s="5" t="s">
        <v>221</v>
      </c>
      <c r="D20149" s="3" t="s">
        <v>614</v>
      </c>
      <c r="E20149" s="3" t="s">
        <v>118</v>
      </c>
      <c r="F20149" s="7">
        <v>46134.61936157888</v>
      </c>
      <c r="G20149" s="3" t="s">
        <v>20814</v>
      </c>
    </row>
    <row r="20150">
      <c r="A20150" s="3" t="s">
        <v>36369</v>
      </c>
      <c r="B20150" s="3" t="s">
        <v>16726</v>
      </c>
      <c r="C20150" s="5" t="s">
        <v>614</v>
      </c>
      <c r="D20150" s="3" t="s">
        <v>206</v>
      </c>
      <c r="E20150" s="3" t="s">
        <v>100</v>
      </c>
      <c r="F20150" s="7">
        <v>46134.622833801106</v>
      </c>
      <c r="G20150" s="3" t="s">
        <v>20817</v>
      </c>
    </row>
    <row r="20151">
      <c r="A20151" s="3" t="s">
        <v>36370</v>
      </c>
      <c r="B20151" s="3" t="s">
        <v>16726</v>
      </c>
      <c r="C20151" s="5" t="s">
        <v>206</v>
      </c>
      <c r="D20151" s="3" t="s">
        <v>68</v>
      </c>
      <c r="E20151" s="3" t="s">
        <v>100</v>
      </c>
      <c r="F20151" s="7">
        <v>46134.626306023325</v>
      </c>
      <c r="G20151" s="3" t="s">
        <v>20820</v>
      </c>
    </row>
    <row r="20152">
      <c r="A20152" s="3" t="s">
        <v>36371</v>
      </c>
      <c r="B20152" s="3" t="s">
        <v>16730</v>
      </c>
      <c r="C20152" s="5" t="s">
        <v>45</v>
      </c>
      <c r="D20152" s="3" t="s">
        <v>221</v>
      </c>
      <c r="E20152" s="3" t="s">
        <v>886</v>
      </c>
      <c r="F20152" s="7">
        <v>46134.68706420207</v>
      </c>
      <c r="G20152" s="3" t="s">
        <v>14269</v>
      </c>
    </row>
    <row r="20153">
      <c r="A20153" s="3" t="s">
        <v>36372</v>
      </c>
      <c r="B20153" s="3" t="s">
        <v>16730</v>
      </c>
      <c r="C20153" s="5" t="s">
        <v>221</v>
      </c>
      <c r="D20153" s="3" t="s">
        <v>181</v>
      </c>
      <c r="E20153" s="3" t="s">
        <v>118</v>
      </c>
      <c r="F20153" s="7">
        <v>46134.69053642429</v>
      </c>
      <c r="G20153" s="3" t="s">
        <v>36373</v>
      </c>
    </row>
    <row r="20154">
      <c r="A20154" s="3" t="s">
        <v>36374</v>
      </c>
      <c r="B20154" s="3" t="s">
        <v>16734</v>
      </c>
      <c r="C20154" s="5" t="s">
        <v>45</v>
      </c>
      <c r="D20154" s="3" t="s">
        <v>221</v>
      </c>
      <c r="E20154" s="3" t="s">
        <v>442</v>
      </c>
      <c r="F20154" s="7">
        <v>46134.75823904749</v>
      </c>
      <c r="G20154" s="3" t="s">
        <v>16480</v>
      </c>
    </row>
    <row r="20155">
      <c r="A20155" s="3" t="s">
        <v>36375</v>
      </c>
      <c r="B20155" s="3" t="s">
        <v>16734</v>
      </c>
      <c r="C20155" s="5" t="s">
        <v>221</v>
      </c>
      <c r="D20155" s="3" t="s">
        <v>614</v>
      </c>
      <c r="E20155" s="3" t="s">
        <v>118</v>
      </c>
      <c r="F20155" s="7">
        <v>46134.76171126971</v>
      </c>
      <c r="G20155" s="3" t="s">
        <v>16483</v>
      </c>
    </row>
    <row r="20156">
      <c r="A20156" s="3" t="s">
        <v>36376</v>
      </c>
      <c r="B20156" s="3" t="s">
        <v>16734</v>
      </c>
      <c r="C20156" s="5" t="s">
        <v>614</v>
      </c>
      <c r="D20156" s="3" t="s">
        <v>206</v>
      </c>
      <c r="E20156" s="3" t="s">
        <v>100</v>
      </c>
      <c r="F20156" s="7">
        <v>46134.76518349194</v>
      </c>
      <c r="G20156" s="3" t="s">
        <v>16486</v>
      </c>
    </row>
    <row r="20157">
      <c r="A20157" s="3" t="s">
        <v>36377</v>
      </c>
      <c r="B20157" s="3" t="s">
        <v>16734</v>
      </c>
      <c r="C20157" s="5" t="s">
        <v>206</v>
      </c>
      <c r="D20157" s="3" t="s">
        <v>68</v>
      </c>
      <c r="E20157" s="3" t="s">
        <v>100</v>
      </c>
      <c r="F20157" s="7">
        <v>46134.76865571416</v>
      </c>
      <c r="G20157" s="3" t="s">
        <v>16489</v>
      </c>
    </row>
    <row r="20158">
      <c r="A20158" s="3" t="s">
        <v>36378</v>
      </c>
      <c r="B20158" s="3" t="s">
        <v>16736</v>
      </c>
      <c r="C20158" s="5" t="s">
        <v>45</v>
      </c>
      <c r="D20158" s="3" t="s">
        <v>221</v>
      </c>
      <c r="E20158" s="3" t="s">
        <v>722</v>
      </c>
      <c r="F20158" s="7">
        <v>46134.82941389291</v>
      </c>
      <c r="G20158" s="3" t="s">
        <v>16539</v>
      </c>
    </row>
    <row r="20159">
      <c r="A20159" s="3" t="s">
        <v>36379</v>
      </c>
      <c r="B20159" s="3" t="s">
        <v>16736</v>
      </c>
      <c r="C20159" s="5" t="s">
        <v>221</v>
      </c>
      <c r="D20159" s="3" t="s">
        <v>614</v>
      </c>
      <c r="E20159" s="3" t="s">
        <v>118</v>
      </c>
      <c r="F20159" s="7">
        <v>46134.83288611513</v>
      </c>
      <c r="G20159" s="3" t="s">
        <v>16542</v>
      </c>
    </row>
    <row r="20160">
      <c r="A20160" s="3" t="s">
        <v>36380</v>
      </c>
      <c r="B20160" s="3" t="s">
        <v>16736</v>
      </c>
      <c r="C20160" s="5" t="s">
        <v>614</v>
      </c>
      <c r="D20160" s="3" t="s">
        <v>206</v>
      </c>
      <c r="E20160" s="3" t="s">
        <v>100</v>
      </c>
      <c r="F20160" s="7">
        <v>46134.83635833736</v>
      </c>
      <c r="G20160" s="3" t="s">
        <v>16544</v>
      </c>
    </row>
    <row r="20161">
      <c r="A20161" s="3" t="s">
        <v>36381</v>
      </c>
      <c r="B20161" s="3" t="s">
        <v>16736</v>
      </c>
      <c r="C20161" s="5" t="s">
        <v>206</v>
      </c>
      <c r="D20161" s="3" t="s">
        <v>68</v>
      </c>
      <c r="E20161" s="3" t="s">
        <v>100</v>
      </c>
      <c r="F20161" s="7">
        <v>46134.83983055958</v>
      </c>
      <c r="G20161" s="3" t="s">
        <v>16547</v>
      </c>
    </row>
    <row r="20162">
      <c r="A20162" s="3" t="s">
        <v>36382</v>
      </c>
      <c r="B20162" s="3" t="s">
        <v>16738</v>
      </c>
      <c r="C20162" s="5" t="s">
        <v>45</v>
      </c>
      <c r="D20162" s="3" t="s">
        <v>221</v>
      </c>
      <c r="E20162" s="3" t="s">
        <v>230</v>
      </c>
      <c r="F20162" s="7">
        <v>46134.90058873832</v>
      </c>
      <c r="G20162" s="3" t="s">
        <v>16653</v>
      </c>
    </row>
    <row r="20163">
      <c r="A20163" s="3" t="s">
        <v>36383</v>
      </c>
      <c r="B20163" s="3" t="s">
        <v>16738</v>
      </c>
      <c r="C20163" s="5" t="s">
        <v>221</v>
      </c>
      <c r="D20163" s="3" t="s">
        <v>614</v>
      </c>
      <c r="E20163" s="3" t="s">
        <v>118</v>
      </c>
      <c r="F20163" s="7">
        <v>46134.904060960536</v>
      </c>
      <c r="G20163" s="3" t="s">
        <v>16655</v>
      </c>
    </row>
    <row r="20164">
      <c r="A20164" s="3" t="s">
        <v>36384</v>
      </c>
      <c r="B20164" s="3" t="s">
        <v>16738</v>
      </c>
      <c r="C20164" s="5" t="s">
        <v>614</v>
      </c>
      <c r="D20164" s="3" t="s">
        <v>206</v>
      </c>
      <c r="E20164" s="3" t="s">
        <v>100</v>
      </c>
      <c r="F20164" s="7">
        <v>46134.90753318276</v>
      </c>
      <c r="G20164" s="3" t="s">
        <v>16658</v>
      </c>
    </row>
    <row r="20165">
      <c r="A20165" s="3" t="s">
        <v>36385</v>
      </c>
      <c r="B20165" s="3" t="s">
        <v>16738</v>
      </c>
      <c r="C20165" s="5" t="s">
        <v>206</v>
      </c>
      <c r="D20165" s="3" t="s">
        <v>68</v>
      </c>
      <c r="E20165" s="3" t="s">
        <v>100</v>
      </c>
      <c r="F20165" s="7">
        <v>46134.91100540498</v>
      </c>
      <c r="G20165" s="3" t="s">
        <v>16661</v>
      </c>
    </row>
    <row r="20166">
      <c r="A20166" s="3" t="s">
        <v>36386</v>
      </c>
      <c r="B20166" s="3" t="s">
        <v>16740</v>
      </c>
      <c r="C20166" s="5" t="s">
        <v>45</v>
      </c>
      <c r="D20166" s="3" t="s">
        <v>221</v>
      </c>
      <c r="E20166" s="3" t="s">
        <v>600</v>
      </c>
      <c r="F20166" s="7">
        <v>46134.97176358374</v>
      </c>
      <c r="G20166" s="3" t="s">
        <v>29555</v>
      </c>
    </row>
    <row r="20167">
      <c r="A20167" s="3" t="s">
        <v>36387</v>
      </c>
      <c r="B20167" s="3" t="s">
        <v>16740</v>
      </c>
      <c r="C20167" s="5" t="s">
        <v>221</v>
      </c>
      <c r="D20167" s="3" t="s">
        <v>614</v>
      </c>
      <c r="E20167" s="3" t="s">
        <v>118</v>
      </c>
      <c r="F20167" s="7">
        <v>46134.975235805956</v>
      </c>
      <c r="G20167" s="3" t="s">
        <v>29557</v>
      </c>
    </row>
    <row r="20168">
      <c r="A20168" s="3" t="s">
        <v>36388</v>
      </c>
      <c r="B20168" s="3" t="s">
        <v>16740</v>
      </c>
      <c r="C20168" s="5" t="s">
        <v>614</v>
      </c>
      <c r="D20168" s="3" t="s">
        <v>206</v>
      </c>
      <c r="E20168" s="3" t="s">
        <v>100</v>
      </c>
      <c r="F20168" s="7">
        <v>46134.97870802818</v>
      </c>
      <c r="G20168" s="3" t="s">
        <v>29559</v>
      </c>
    </row>
    <row r="20169">
      <c r="A20169" s="3" t="s">
        <v>36389</v>
      </c>
      <c r="B20169" s="3" t="s">
        <v>16740</v>
      </c>
      <c r="C20169" s="5" t="s">
        <v>206</v>
      </c>
      <c r="D20169" s="3" t="s">
        <v>68</v>
      </c>
      <c r="E20169" s="3" t="s">
        <v>100</v>
      </c>
      <c r="F20169" s="7">
        <v>46134.9821802504</v>
      </c>
      <c r="G20169" s="3" t="s">
        <v>29561</v>
      </c>
    </row>
    <row r="20170">
      <c r="A20170" s="3" t="s">
        <v>36390</v>
      </c>
      <c r="B20170" s="3" t="s">
        <v>16743</v>
      </c>
      <c r="C20170" s="5" t="s">
        <v>45</v>
      </c>
      <c r="D20170" s="3" t="s">
        <v>221</v>
      </c>
      <c r="E20170" s="3" t="s">
        <v>848</v>
      </c>
      <c r="F20170" s="7">
        <v>46135.04293842915</v>
      </c>
      <c r="G20170" s="3" t="s">
        <v>2770</v>
      </c>
    </row>
    <row r="20171">
      <c r="A20171" s="3" t="s">
        <v>36391</v>
      </c>
      <c r="B20171" s="3" t="s">
        <v>16743</v>
      </c>
      <c r="C20171" s="5" t="s">
        <v>221</v>
      </c>
      <c r="D20171" s="3" t="s">
        <v>181</v>
      </c>
      <c r="E20171" s="3" t="s">
        <v>118</v>
      </c>
      <c r="F20171" s="7">
        <v>46135.04641065137</v>
      </c>
      <c r="G20171" s="3" t="s">
        <v>2774</v>
      </c>
    </row>
    <row r="20172">
      <c r="A20172" s="3" t="s">
        <v>36392</v>
      </c>
      <c r="B20172" s="3" t="s">
        <v>16745</v>
      </c>
      <c r="C20172" s="5" t="s">
        <v>45</v>
      </c>
      <c r="D20172" s="3" t="s">
        <v>221</v>
      </c>
      <c r="E20172" s="3" t="s">
        <v>965</v>
      </c>
      <c r="F20172" s="7">
        <v>46135.11411327457</v>
      </c>
      <c r="G20172" s="3" t="s">
        <v>21804</v>
      </c>
    </row>
    <row r="20173">
      <c r="A20173" s="3" t="s">
        <v>36393</v>
      </c>
      <c r="B20173" s="3" t="s">
        <v>16745</v>
      </c>
      <c r="C20173" s="5" t="s">
        <v>221</v>
      </c>
      <c r="D20173" s="3" t="s">
        <v>614</v>
      </c>
      <c r="E20173" s="3" t="s">
        <v>118</v>
      </c>
      <c r="F20173" s="7">
        <v>46135.11758549679</v>
      </c>
      <c r="G20173" s="3" t="s">
        <v>21807</v>
      </c>
    </row>
    <row r="20174">
      <c r="A20174" s="3" t="s">
        <v>36394</v>
      </c>
      <c r="B20174" s="3" t="s">
        <v>16745</v>
      </c>
      <c r="C20174" s="5" t="s">
        <v>614</v>
      </c>
      <c r="D20174" s="3" t="s">
        <v>206</v>
      </c>
      <c r="E20174" s="3" t="s">
        <v>100</v>
      </c>
      <c r="F20174" s="7">
        <v>46135.121057719014</v>
      </c>
      <c r="G20174" s="3" t="s">
        <v>21810</v>
      </c>
    </row>
    <row r="20175">
      <c r="A20175" s="3" t="s">
        <v>36395</v>
      </c>
      <c r="B20175" s="3" t="s">
        <v>16745</v>
      </c>
      <c r="C20175" s="5" t="s">
        <v>206</v>
      </c>
      <c r="D20175" s="3" t="s">
        <v>68</v>
      </c>
      <c r="E20175" s="3" t="s">
        <v>100</v>
      </c>
      <c r="F20175" s="7">
        <v>46135.12452994123</v>
      </c>
      <c r="G20175" s="3" t="s">
        <v>21813</v>
      </c>
    </row>
    <row r="20176">
      <c r="A20176" s="3" t="s">
        <v>36396</v>
      </c>
      <c r="B20176" s="3" t="s">
        <v>16747</v>
      </c>
      <c r="C20176" s="5" t="s">
        <v>45</v>
      </c>
      <c r="D20176" s="3" t="s">
        <v>221</v>
      </c>
      <c r="E20176" s="3" t="s">
        <v>404</v>
      </c>
      <c r="F20176" s="7">
        <v>46135.18528811998</v>
      </c>
      <c r="G20176" s="3" t="s">
        <v>31742</v>
      </c>
    </row>
    <row r="20177">
      <c r="A20177" s="3" t="s">
        <v>36397</v>
      </c>
      <c r="B20177" s="3" t="s">
        <v>16747</v>
      </c>
      <c r="C20177" s="5" t="s">
        <v>221</v>
      </c>
      <c r="D20177" s="3" t="s">
        <v>614</v>
      </c>
      <c r="E20177" s="3" t="s">
        <v>118</v>
      </c>
      <c r="F20177" s="7">
        <v>46135.1887603422</v>
      </c>
      <c r="G20177" s="3" t="s">
        <v>31744</v>
      </c>
    </row>
    <row r="20178">
      <c r="A20178" s="3" t="s">
        <v>36398</v>
      </c>
      <c r="B20178" s="3" t="s">
        <v>16747</v>
      </c>
      <c r="C20178" s="5" t="s">
        <v>614</v>
      </c>
      <c r="D20178" s="3" t="s">
        <v>206</v>
      </c>
      <c r="E20178" s="3" t="s">
        <v>100</v>
      </c>
      <c r="F20178" s="7">
        <v>46135.19223256443</v>
      </c>
      <c r="G20178" s="3" t="s">
        <v>31746</v>
      </c>
    </row>
    <row r="20179">
      <c r="A20179" s="3" t="s">
        <v>36399</v>
      </c>
      <c r="B20179" s="3" t="s">
        <v>16747</v>
      </c>
      <c r="C20179" s="5" t="s">
        <v>206</v>
      </c>
      <c r="D20179" s="3" t="s">
        <v>68</v>
      </c>
      <c r="E20179" s="3" t="s">
        <v>100</v>
      </c>
      <c r="F20179" s="7">
        <v>46135.195704786645</v>
      </c>
      <c r="G20179" s="3" t="s">
        <v>31748</v>
      </c>
    </row>
    <row r="20180">
      <c r="A20180" s="3" t="s">
        <v>36400</v>
      </c>
      <c r="B20180" s="3" t="s">
        <v>16749</v>
      </c>
      <c r="C20180" s="5" t="s">
        <v>45</v>
      </c>
      <c r="D20180" s="3" t="s">
        <v>221</v>
      </c>
      <c r="E20180" s="3" t="s">
        <v>575</v>
      </c>
      <c r="F20180" s="7">
        <v>46135.2564629654</v>
      </c>
      <c r="G20180" s="3" t="s">
        <v>11373</v>
      </c>
    </row>
    <row r="20181">
      <c r="A20181" s="3" t="s">
        <v>36401</v>
      </c>
      <c r="B20181" s="3" t="s">
        <v>16749</v>
      </c>
      <c r="C20181" s="5" t="s">
        <v>221</v>
      </c>
      <c r="D20181" s="3" t="s">
        <v>614</v>
      </c>
      <c r="E20181" s="3" t="s">
        <v>118</v>
      </c>
      <c r="F20181" s="7">
        <v>46135.25993518762</v>
      </c>
      <c r="G20181" s="3" t="s">
        <v>11376</v>
      </c>
    </row>
    <row r="20182">
      <c r="A20182" s="3" t="s">
        <v>36402</v>
      </c>
      <c r="B20182" s="3" t="s">
        <v>16749</v>
      </c>
      <c r="C20182" s="5" t="s">
        <v>614</v>
      </c>
      <c r="D20182" s="3" t="s">
        <v>206</v>
      </c>
      <c r="E20182" s="3" t="s">
        <v>100</v>
      </c>
      <c r="F20182" s="7">
        <v>46135.263407409846</v>
      </c>
      <c r="G20182" s="3" t="s">
        <v>11378</v>
      </c>
    </row>
    <row r="20183">
      <c r="A20183" s="3" t="s">
        <v>36403</v>
      </c>
      <c r="B20183" s="3" t="s">
        <v>16749</v>
      </c>
      <c r="C20183" s="5" t="s">
        <v>206</v>
      </c>
      <c r="D20183" s="3" t="s">
        <v>68</v>
      </c>
      <c r="E20183" s="3" t="s">
        <v>100</v>
      </c>
      <c r="F20183" s="7">
        <v>46135.266879632065</v>
      </c>
      <c r="G20183" s="3" t="s">
        <v>11381</v>
      </c>
    </row>
    <row r="20184">
      <c r="A20184" s="3" t="s">
        <v>36404</v>
      </c>
      <c r="B20184" s="3" t="s">
        <v>16751</v>
      </c>
      <c r="C20184" s="5" t="s">
        <v>45</v>
      </c>
      <c r="D20184" s="3" t="s">
        <v>221</v>
      </c>
      <c r="E20184" s="3" t="s">
        <v>123</v>
      </c>
      <c r="F20184" s="7">
        <v>46135.327637810806</v>
      </c>
      <c r="G20184" s="3" t="s">
        <v>2770</v>
      </c>
    </row>
    <row r="20185">
      <c r="A20185" s="3" t="s">
        <v>36405</v>
      </c>
      <c r="B20185" s="3" t="s">
        <v>16751</v>
      </c>
      <c r="C20185" s="5" t="s">
        <v>221</v>
      </c>
      <c r="D20185" s="3" t="s">
        <v>181</v>
      </c>
      <c r="E20185" s="3" t="s">
        <v>118</v>
      </c>
      <c r="F20185" s="7">
        <v>46135.331110033025</v>
      </c>
      <c r="G20185" s="3" t="s">
        <v>2774</v>
      </c>
    </row>
    <row r="20186">
      <c r="A20186" s="3" t="s">
        <v>36406</v>
      </c>
      <c r="B20186" s="3" t="s">
        <v>16754</v>
      </c>
      <c r="C20186" s="5" t="s">
        <v>45</v>
      </c>
      <c r="D20186" s="3" t="s">
        <v>221</v>
      </c>
      <c r="E20186" s="3" t="s">
        <v>650</v>
      </c>
      <c r="F20186" s="7">
        <v>46135.398812656225</v>
      </c>
      <c r="G20186" s="3" t="s">
        <v>12915</v>
      </c>
    </row>
    <row r="20187">
      <c r="A20187" s="3" t="s">
        <v>36407</v>
      </c>
      <c r="B20187" s="3" t="s">
        <v>16754</v>
      </c>
      <c r="C20187" s="5" t="s">
        <v>221</v>
      </c>
      <c r="D20187" s="3" t="s">
        <v>614</v>
      </c>
      <c r="E20187" s="3" t="s">
        <v>118</v>
      </c>
      <c r="F20187" s="7">
        <v>46135.402284878444</v>
      </c>
      <c r="G20187" s="3" t="s">
        <v>12918</v>
      </c>
    </row>
    <row r="20188">
      <c r="A20188" s="3" t="s">
        <v>36408</v>
      </c>
      <c r="B20188" s="3" t="s">
        <v>16754</v>
      </c>
      <c r="C20188" s="5" t="s">
        <v>614</v>
      </c>
      <c r="D20188" s="3" t="s">
        <v>206</v>
      </c>
      <c r="E20188" s="3" t="s">
        <v>100</v>
      </c>
      <c r="F20188" s="7">
        <v>46135.40575710067</v>
      </c>
      <c r="G20188" s="3" t="s">
        <v>12922</v>
      </c>
    </row>
    <row r="20189">
      <c r="A20189" s="3" t="s">
        <v>36409</v>
      </c>
      <c r="B20189" s="3" t="s">
        <v>16754</v>
      </c>
      <c r="C20189" s="5" t="s">
        <v>206</v>
      </c>
      <c r="D20189" s="3" t="s">
        <v>68</v>
      </c>
      <c r="E20189" s="3" t="s">
        <v>100</v>
      </c>
      <c r="F20189" s="7">
        <v>46135.40922932289</v>
      </c>
      <c r="G20189" s="3" t="s">
        <v>12925</v>
      </c>
    </row>
    <row r="20190">
      <c r="A20190" s="3" t="s">
        <v>36410</v>
      </c>
      <c r="B20190" s="3" t="s">
        <v>16757</v>
      </c>
      <c r="C20190" s="5" t="s">
        <v>45</v>
      </c>
      <c r="D20190" s="3" t="s">
        <v>221</v>
      </c>
      <c r="E20190" s="3" t="s">
        <v>481</v>
      </c>
      <c r="F20190" s="7">
        <v>46135.469987501645</v>
      </c>
      <c r="G20190" s="3" t="s">
        <v>16664</v>
      </c>
    </row>
    <row r="20191">
      <c r="A20191" s="3" t="s">
        <v>36411</v>
      </c>
      <c r="B20191" s="3" t="s">
        <v>16757</v>
      </c>
      <c r="C20191" s="5" t="s">
        <v>221</v>
      </c>
      <c r="D20191" s="3" t="s">
        <v>614</v>
      </c>
      <c r="E20191" s="3" t="s">
        <v>118</v>
      </c>
      <c r="F20191" s="7">
        <v>46135.473459723864</v>
      </c>
      <c r="G20191" s="3" t="s">
        <v>16667</v>
      </c>
    </row>
    <row r="20192">
      <c r="A20192" s="3" t="s">
        <v>36412</v>
      </c>
      <c r="B20192" s="3" t="s">
        <v>16757</v>
      </c>
      <c r="C20192" s="5" t="s">
        <v>614</v>
      </c>
      <c r="D20192" s="3" t="s">
        <v>206</v>
      </c>
      <c r="E20192" s="3" t="s">
        <v>100</v>
      </c>
      <c r="F20192" s="7">
        <v>46135.47693194609</v>
      </c>
      <c r="G20192" s="3" t="s">
        <v>16669</v>
      </c>
    </row>
    <row r="20193">
      <c r="A20193" s="3" t="s">
        <v>36413</v>
      </c>
      <c r="B20193" s="3" t="s">
        <v>16757</v>
      </c>
      <c r="C20193" s="5" t="s">
        <v>206</v>
      </c>
      <c r="D20193" s="3" t="s">
        <v>68</v>
      </c>
      <c r="E20193" s="3" t="s">
        <v>100</v>
      </c>
      <c r="F20193" s="7">
        <v>46135.48040416831</v>
      </c>
      <c r="G20193" s="3" t="s">
        <v>16672</v>
      </c>
    </row>
    <row r="20194">
      <c r="A20194" s="3" t="s">
        <v>36414</v>
      </c>
      <c r="B20194" s="3" t="s">
        <v>16760</v>
      </c>
      <c r="C20194" s="5" t="s">
        <v>45</v>
      </c>
      <c r="D20194" s="3" t="s">
        <v>221</v>
      </c>
      <c r="E20194" s="3" t="s">
        <v>344</v>
      </c>
      <c r="F20194" s="7">
        <v>46135.54116234706</v>
      </c>
      <c r="G20194" s="3" t="s">
        <v>16892</v>
      </c>
    </row>
    <row r="20195">
      <c r="A20195" s="3" t="s">
        <v>36415</v>
      </c>
      <c r="B20195" s="3" t="s">
        <v>16760</v>
      </c>
      <c r="C20195" s="5" t="s">
        <v>221</v>
      </c>
      <c r="D20195" s="3" t="s">
        <v>614</v>
      </c>
      <c r="E20195" s="3" t="s">
        <v>118</v>
      </c>
      <c r="F20195" s="7">
        <v>46135.544634569276</v>
      </c>
      <c r="G20195" s="3" t="s">
        <v>16895</v>
      </c>
    </row>
    <row r="20196">
      <c r="A20196" s="3" t="s">
        <v>36416</v>
      </c>
      <c r="B20196" s="3" t="s">
        <v>16760</v>
      </c>
      <c r="C20196" s="5" t="s">
        <v>614</v>
      </c>
      <c r="D20196" s="3" t="s">
        <v>206</v>
      </c>
      <c r="E20196" s="3" t="s">
        <v>100</v>
      </c>
      <c r="F20196" s="7">
        <v>46135.5481067915</v>
      </c>
      <c r="G20196" s="3" t="s">
        <v>16897</v>
      </c>
    </row>
    <row r="20197">
      <c r="A20197" s="3" t="s">
        <v>36417</v>
      </c>
      <c r="B20197" s="3" t="s">
        <v>16760</v>
      </c>
      <c r="C20197" s="5" t="s">
        <v>206</v>
      </c>
      <c r="D20197" s="3" t="s">
        <v>68</v>
      </c>
      <c r="E20197" s="3" t="s">
        <v>100</v>
      </c>
      <c r="F20197" s="7">
        <v>46135.55157901372</v>
      </c>
      <c r="G20197" s="3" t="s">
        <v>16900</v>
      </c>
    </row>
    <row r="20198">
      <c r="A20198" s="3" t="s">
        <v>36418</v>
      </c>
      <c r="B20198" s="3" t="s">
        <v>16764</v>
      </c>
      <c r="C20198" s="5" t="s">
        <v>45</v>
      </c>
      <c r="D20198" s="3" t="s">
        <v>221</v>
      </c>
      <c r="E20198" s="3" t="s">
        <v>953</v>
      </c>
      <c r="F20198" s="7">
        <v>46135.61233719247</v>
      </c>
      <c r="G20198" s="3" t="s">
        <v>19658</v>
      </c>
    </row>
    <row r="20199">
      <c r="A20199" s="3" t="s">
        <v>36419</v>
      </c>
      <c r="B20199" s="3" t="s">
        <v>16764</v>
      </c>
      <c r="C20199" s="5" t="s">
        <v>221</v>
      </c>
      <c r="D20199" s="3" t="s">
        <v>614</v>
      </c>
      <c r="E20199" s="3" t="s">
        <v>118</v>
      </c>
      <c r="F20199" s="7">
        <v>46135.61580941469</v>
      </c>
      <c r="G20199" s="3" t="s">
        <v>19661</v>
      </c>
    </row>
    <row r="20200">
      <c r="A20200" s="3" t="s">
        <v>36420</v>
      </c>
      <c r="B20200" s="3" t="s">
        <v>16764</v>
      </c>
      <c r="C20200" s="5" t="s">
        <v>614</v>
      </c>
      <c r="D20200" s="3" t="s">
        <v>206</v>
      </c>
      <c r="E20200" s="3" t="s">
        <v>100</v>
      </c>
      <c r="F20200" s="7">
        <v>46135.619281636915</v>
      </c>
      <c r="G20200" s="3" t="s">
        <v>19664</v>
      </c>
    </row>
    <row r="20201">
      <c r="A20201" s="3" t="s">
        <v>36421</v>
      </c>
      <c r="B20201" s="3" t="s">
        <v>16764</v>
      </c>
      <c r="C20201" s="5" t="s">
        <v>206</v>
      </c>
      <c r="D20201" s="3" t="s">
        <v>68</v>
      </c>
      <c r="E20201" s="3" t="s">
        <v>100</v>
      </c>
      <c r="F20201" s="7">
        <v>46135.622753859134</v>
      </c>
      <c r="G20201" s="3" t="s">
        <v>19667</v>
      </c>
    </row>
    <row r="20202">
      <c r="A20202" s="3" t="s">
        <v>36422</v>
      </c>
      <c r="B20202" s="3" t="s">
        <v>16767</v>
      </c>
      <c r="C20202" s="5" t="s">
        <v>45</v>
      </c>
      <c r="D20202" s="3" t="s">
        <v>221</v>
      </c>
      <c r="E20202" s="3" t="s">
        <v>276</v>
      </c>
      <c r="F20202" s="7">
        <v>46135.68351203789</v>
      </c>
      <c r="G20202" s="3" t="s">
        <v>10430</v>
      </c>
    </row>
    <row r="20203">
      <c r="A20203" s="3" t="s">
        <v>36423</v>
      </c>
      <c r="B20203" s="3" t="s">
        <v>16767</v>
      </c>
      <c r="C20203" s="5" t="s">
        <v>221</v>
      </c>
      <c r="D20203" s="3" t="s">
        <v>614</v>
      </c>
      <c r="E20203" s="3" t="s">
        <v>118</v>
      </c>
      <c r="F20203" s="7">
        <v>46135.68698426011</v>
      </c>
      <c r="G20203" s="3" t="s">
        <v>10433</v>
      </c>
    </row>
    <row r="20204">
      <c r="A20204" s="3" t="s">
        <v>36424</v>
      </c>
      <c r="B20204" s="3" t="s">
        <v>16767</v>
      </c>
      <c r="C20204" s="5" t="s">
        <v>614</v>
      </c>
      <c r="D20204" s="3" t="s">
        <v>206</v>
      </c>
      <c r="E20204" s="3" t="s">
        <v>100</v>
      </c>
      <c r="F20204" s="7">
        <v>46135.690456482334</v>
      </c>
      <c r="G20204" s="3" t="s">
        <v>10436</v>
      </c>
    </row>
    <row r="20205">
      <c r="A20205" s="3" t="s">
        <v>36425</v>
      </c>
      <c r="B20205" s="3" t="s">
        <v>16767</v>
      </c>
      <c r="C20205" s="5" t="s">
        <v>206</v>
      </c>
      <c r="D20205" s="3" t="s">
        <v>68</v>
      </c>
      <c r="E20205" s="3" t="s">
        <v>100</v>
      </c>
      <c r="F20205" s="7">
        <v>46135.69392870455</v>
      </c>
      <c r="G20205" s="3" t="s">
        <v>10439</v>
      </c>
    </row>
    <row r="20206">
      <c r="A20206" s="3" t="s">
        <v>36426</v>
      </c>
      <c r="B20206" s="3" t="s">
        <v>16771</v>
      </c>
      <c r="C20206" s="5" t="s">
        <v>45</v>
      </c>
      <c r="D20206" s="3" t="s">
        <v>221</v>
      </c>
      <c r="E20206" s="3" t="s">
        <v>916</v>
      </c>
      <c r="F20206" s="7">
        <v>46135.7546868833</v>
      </c>
      <c r="G20206" s="3" t="s">
        <v>14433</v>
      </c>
    </row>
    <row r="20207">
      <c r="A20207" s="3" t="s">
        <v>36427</v>
      </c>
      <c r="B20207" s="3" t="s">
        <v>16771</v>
      </c>
      <c r="C20207" s="5" t="s">
        <v>221</v>
      </c>
      <c r="D20207" s="3" t="s">
        <v>195</v>
      </c>
      <c r="E20207" s="3" t="s">
        <v>916</v>
      </c>
      <c r="F20207" s="7">
        <v>46135.75815910552</v>
      </c>
      <c r="G20207" s="3" t="s">
        <v>36428</v>
      </c>
    </row>
    <row r="20208">
      <c r="A20208" s="3" t="s">
        <v>36429</v>
      </c>
      <c r="B20208" s="3" t="s">
        <v>16774</v>
      </c>
      <c r="C20208" s="5" t="s">
        <v>45</v>
      </c>
      <c r="D20208" s="3" t="s">
        <v>221</v>
      </c>
      <c r="E20208" s="3" t="s">
        <v>296</v>
      </c>
      <c r="F20208" s="7">
        <v>46135.825861728714</v>
      </c>
      <c r="G20208" s="3" t="s">
        <v>18572</v>
      </c>
    </row>
    <row r="20209">
      <c r="A20209" s="3" t="s">
        <v>36430</v>
      </c>
      <c r="B20209" s="3" t="s">
        <v>16774</v>
      </c>
      <c r="C20209" s="5" t="s">
        <v>221</v>
      </c>
      <c r="D20209" s="3" t="s">
        <v>195</v>
      </c>
      <c r="E20209" s="3" t="s">
        <v>296</v>
      </c>
      <c r="F20209" s="7">
        <v>46135.82933395093</v>
      </c>
      <c r="G20209" s="3" t="s">
        <v>36431</v>
      </c>
    </row>
    <row r="20210">
      <c r="A20210" s="3" t="s">
        <v>36432</v>
      </c>
      <c r="B20210" s="3" t="s">
        <v>16777</v>
      </c>
      <c r="C20210" s="5" t="s">
        <v>45</v>
      </c>
      <c r="D20210" s="3" t="s">
        <v>221</v>
      </c>
      <c r="E20210" s="3" t="s">
        <v>725</v>
      </c>
      <c r="F20210" s="7">
        <v>46135.89703657413</v>
      </c>
      <c r="G20210" s="3" t="s">
        <v>16700</v>
      </c>
    </row>
    <row r="20211">
      <c r="A20211" s="3" t="s">
        <v>36433</v>
      </c>
      <c r="B20211" s="3" t="s">
        <v>16777</v>
      </c>
      <c r="C20211" s="5" t="s">
        <v>221</v>
      </c>
      <c r="D20211" s="3" t="s">
        <v>614</v>
      </c>
      <c r="E20211" s="3" t="s">
        <v>118</v>
      </c>
      <c r="F20211" s="7">
        <v>46135.90050879635</v>
      </c>
      <c r="G20211" s="3" t="s">
        <v>16702</v>
      </c>
    </row>
    <row r="20212">
      <c r="A20212" s="3" t="s">
        <v>36434</v>
      </c>
      <c r="B20212" s="3" t="s">
        <v>16777</v>
      </c>
      <c r="C20212" s="5" t="s">
        <v>614</v>
      </c>
      <c r="D20212" s="3" t="s">
        <v>206</v>
      </c>
      <c r="E20212" s="3" t="s">
        <v>100</v>
      </c>
      <c r="F20212" s="7">
        <v>46135.90398101858</v>
      </c>
      <c r="G20212" s="3" t="s">
        <v>16705</v>
      </c>
    </row>
    <row r="20213">
      <c r="A20213" s="3" t="s">
        <v>36435</v>
      </c>
      <c r="B20213" s="3" t="s">
        <v>16777</v>
      </c>
      <c r="C20213" s="5" t="s">
        <v>206</v>
      </c>
      <c r="D20213" s="3" t="s">
        <v>68</v>
      </c>
      <c r="E20213" s="3" t="s">
        <v>100</v>
      </c>
      <c r="F20213" s="7">
        <v>46135.9074532408</v>
      </c>
      <c r="G20213" s="3" t="s">
        <v>16708</v>
      </c>
    </row>
    <row r="20214">
      <c r="A20214" s="3" t="s">
        <v>36436</v>
      </c>
      <c r="B20214" s="3" t="s">
        <v>16780</v>
      </c>
      <c r="C20214" s="5" t="s">
        <v>45</v>
      </c>
      <c r="D20214" s="3" t="s">
        <v>221</v>
      </c>
      <c r="E20214" s="3" t="s">
        <v>546</v>
      </c>
      <c r="F20214" s="7">
        <v>46135.96821141955</v>
      </c>
      <c r="G20214" s="3" t="s">
        <v>16852</v>
      </c>
    </row>
    <row r="20215">
      <c r="A20215" s="3" t="s">
        <v>36437</v>
      </c>
      <c r="B20215" s="3" t="s">
        <v>16780</v>
      </c>
      <c r="C20215" s="5" t="s">
        <v>221</v>
      </c>
      <c r="D20215" s="3" t="s">
        <v>614</v>
      </c>
      <c r="E20215" s="3" t="s">
        <v>118</v>
      </c>
      <c r="F20215" s="7">
        <v>46135.97168364177</v>
      </c>
      <c r="G20215" s="3" t="s">
        <v>16855</v>
      </c>
    </row>
    <row r="20216">
      <c r="A20216" s="3" t="s">
        <v>36438</v>
      </c>
      <c r="B20216" s="3" t="s">
        <v>16780</v>
      </c>
      <c r="C20216" s="5" t="s">
        <v>614</v>
      </c>
      <c r="D20216" s="3" t="s">
        <v>206</v>
      </c>
      <c r="E20216" s="3" t="s">
        <v>100</v>
      </c>
      <c r="F20216" s="7">
        <v>46135.975155864</v>
      </c>
      <c r="G20216" s="3" t="s">
        <v>16857</v>
      </c>
    </row>
    <row r="20217">
      <c r="A20217" s="3" t="s">
        <v>36439</v>
      </c>
      <c r="B20217" s="3" t="s">
        <v>16780</v>
      </c>
      <c r="C20217" s="5" t="s">
        <v>206</v>
      </c>
      <c r="D20217" s="3" t="s">
        <v>68</v>
      </c>
      <c r="E20217" s="3" t="s">
        <v>100</v>
      </c>
      <c r="F20217" s="7">
        <v>46135.97862808622</v>
      </c>
      <c r="G20217" s="3" t="s">
        <v>16860</v>
      </c>
    </row>
    <row r="20218">
      <c r="A20218" s="3" t="s">
        <v>36440</v>
      </c>
      <c r="B20218" s="3" t="s">
        <v>16785</v>
      </c>
      <c r="C20218" s="5" t="s">
        <v>45</v>
      </c>
      <c r="D20218" s="3" t="s">
        <v>221</v>
      </c>
      <c r="E20218" s="3" t="s">
        <v>860</v>
      </c>
      <c r="F20218" s="7">
        <v>46136.03938626496</v>
      </c>
      <c r="G20218" s="3" t="s">
        <v>16863</v>
      </c>
    </row>
    <row r="20219">
      <c r="A20219" s="3" t="s">
        <v>36441</v>
      </c>
      <c r="B20219" s="3" t="s">
        <v>16785</v>
      </c>
      <c r="C20219" s="5" t="s">
        <v>221</v>
      </c>
      <c r="D20219" s="3" t="s">
        <v>614</v>
      </c>
      <c r="E20219" s="3" t="s">
        <v>118</v>
      </c>
      <c r="F20219" s="7">
        <v>46136.04285848718</v>
      </c>
      <c r="G20219" s="3" t="s">
        <v>16866</v>
      </c>
    </row>
    <row r="20220">
      <c r="A20220" s="3" t="s">
        <v>36442</v>
      </c>
      <c r="B20220" s="3" t="s">
        <v>16785</v>
      </c>
      <c r="C20220" s="5" t="s">
        <v>614</v>
      </c>
      <c r="D20220" s="3" t="s">
        <v>206</v>
      </c>
      <c r="E20220" s="3" t="s">
        <v>100</v>
      </c>
      <c r="F20220" s="7">
        <v>46136.0463307094</v>
      </c>
      <c r="G20220" s="3" t="s">
        <v>16869</v>
      </c>
    </row>
    <row r="20221">
      <c r="A20221" s="3" t="s">
        <v>36443</v>
      </c>
      <c r="B20221" s="3" t="s">
        <v>16785</v>
      </c>
      <c r="C20221" s="5" t="s">
        <v>206</v>
      </c>
      <c r="D20221" s="3" t="s">
        <v>68</v>
      </c>
      <c r="E20221" s="3" t="s">
        <v>100</v>
      </c>
      <c r="F20221" s="7">
        <v>46136.04980293162</v>
      </c>
      <c r="G20221" s="3" t="s">
        <v>16871</v>
      </c>
    </row>
    <row r="20222">
      <c r="A20222" s="3" t="s">
        <v>36444</v>
      </c>
      <c r="B20222" s="3" t="s">
        <v>16788</v>
      </c>
      <c r="C20222" s="5" t="s">
        <v>45</v>
      </c>
      <c r="D20222" s="3" t="s">
        <v>221</v>
      </c>
      <c r="E20222" s="3" t="s">
        <v>929</v>
      </c>
      <c r="F20222" s="7">
        <v>46136.11056111038</v>
      </c>
      <c r="G20222" s="3" t="s">
        <v>32881</v>
      </c>
    </row>
    <row r="20223">
      <c r="A20223" s="3" t="s">
        <v>36445</v>
      </c>
      <c r="B20223" s="3" t="s">
        <v>16788</v>
      </c>
      <c r="C20223" s="5" t="s">
        <v>221</v>
      </c>
      <c r="D20223" s="3" t="s">
        <v>614</v>
      </c>
      <c r="E20223" s="3" t="s">
        <v>118</v>
      </c>
      <c r="F20223" s="7">
        <v>46136.1140333326</v>
      </c>
      <c r="G20223" s="3" t="s">
        <v>32883</v>
      </c>
    </row>
    <row r="20224">
      <c r="A20224" s="3" t="s">
        <v>36446</v>
      </c>
      <c r="B20224" s="3" t="s">
        <v>16788</v>
      </c>
      <c r="C20224" s="5" t="s">
        <v>614</v>
      </c>
      <c r="D20224" s="3" t="s">
        <v>206</v>
      </c>
      <c r="E20224" s="3" t="s">
        <v>100</v>
      </c>
      <c r="F20224" s="7">
        <v>46136.11750555482</v>
      </c>
      <c r="G20224" s="3" t="s">
        <v>32885</v>
      </c>
    </row>
    <row r="20225">
      <c r="A20225" s="3" t="s">
        <v>36447</v>
      </c>
      <c r="B20225" s="3" t="s">
        <v>16788</v>
      </c>
      <c r="C20225" s="5" t="s">
        <v>206</v>
      </c>
      <c r="D20225" s="3" t="s">
        <v>68</v>
      </c>
      <c r="E20225" s="3" t="s">
        <v>100</v>
      </c>
      <c r="F20225" s="7">
        <v>46136.12097777704</v>
      </c>
      <c r="G20225" s="3" t="s">
        <v>32887</v>
      </c>
    </row>
    <row r="20226">
      <c r="A20226" s="3" t="s">
        <v>36448</v>
      </c>
      <c r="B20226" s="3" t="s">
        <v>16792</v>
      </c>
      <c r="C20226" s="5" t="s">
        <v>45</v>
      </c>
      <c r="D20226" s="3" t="s">
        <v>221</v>
      </c>
      <c r="E20226" s="3" t="s">
        <v>272</v>
      </c>
      <c r="F20226" s="7">
        <v>46136.1817359558</v>
      </c>
      <c r="G20226" s="3" t="s">
        <v>17021</v>
      </c>
    </row>
    <row r="20227">
      <c r="A20227" s="3" t="s">
        <v>36449</v>
      </c>
      <c r="B20227" s="3" t="s">
        <v>16792</v>
      </c>
      <c r="C20227" s="5" t="s">
        <v>221</v>
      </c>
      <c r="D20227" s="3" t="s">
        <v>614</v>
      </c>
      <c r="E20227" s="3" t="s">
        <v>118</v>
      </c>
      <c r="F20227" s="7">
        <v>46136.185208178016</v>
      </c>
      <c r="G20227" s="3" t="s">
        <v>17024</v>
      </c>
    </row>
    <row r="20228">
      <c r="A20228" s="3" t="s">
        <v>36450</v>
      </c>
      <c r="B20228" s="3" t="s">
        <v>16792</v>
      </c>
      <c r="C20228" s="5" t="s">
        <v>614</v>
      </c>
      <c r="D20228" s="3" t="s">
        <v>206</v>
      </c>
      <c r="E20228" s="3" t="s">
        <v>100</v>
      </c>
      <c r="F20228" s="7">
        <v>46136.18868040024</v>
      </c>
      <c r="G20228" s="3" t="s">
        <v>17026</v>
      </c>
    </row>
    <row r="20229">
      <c r="A20229" s="3" t="s">
        <v>36451</v>
      </c>
      <c r="B20229" s="3" t="s">
        <v>16792</v>
      </c>
      <c r="C20229" s="5" t="s">
        <v>206</v>
      </c>
      <c r="D20229" s="3" t="s">
        <v>68</v>
      </c>
      <c r="E20229" s="3" t="s">
        <v>100</v>
      </c>
      <c r="F20229" s="7">
        <v>46136.19215262246</v>
      </c>
      <c r="G20229" s="3" t="s">
        <v>17029</v>
      </c>
    </row>
    <row r="20230">
      <c r="A20230" s="3" t="s">
        <v>36452</v>
      </c>
      <c r="B20230" s="3" t="s">
        <v>16796</v>
      </c>
      <c r="C20230" s="5" t="s">
        <v>45</v>
      </c>
      <c r="D20230" s="3" t="s">
        <v>221</v>
      </c>
      <c r="E20230" s="3" t="s">
        <v>934</v>
      </c>
      <c r="F20230" s="7">
        <v>46136.25291080121</v>
      </c>
      <c r="G20230" s="3" t="s">
        <v>33896</v>
      </c>
    </row>
    <row r="20231">
      <c r="A20231" s="3" t="s">
        <v>36453</v>
      </c>
      <c r="B20231" s="3" t="s">
        <v>16796</v>
      </c>
      <c r="C20231" s="5" t="s">
        <v>221</v>
      </c>
      <c r="D20231" s="3" t="s">
        <v>614</v>
      </c>
      <c r="E20231" s="3" t="s">
        <v>118</v>
      </c>
      <c r="F20231" s="7">
        <v>46136.25638302343</v>
      </c>
      <c r="G20231" s="3" t="s">
        <v>33898</v>
      </c>
    </row>
    <row r="20232">
      <c r="A20232" s="3" t="s">
        <v>36454</v>
      </c>
      <c r="B20232" s="3" t="s">
        <v>16796</v>
      </c>
      <c r="C20232" s="5" t="s">
        <v>614</v>
      </c>
      <c r="D20232" s="3" t="s">
        <v>206</v>
      </c>
      <c r="E20232" s="3" t="s">
        <v>100</v>
      </c>
      <c r="F20232" s="7">
        <v>46136.259855245655</v>
      </c>
      <c r="G20232" s="3" t="s">
        <v>33900</v>
      </c>
    </row>
    <row r="20233">
      <c r="A20233" s="3" t="s">
        <v>36455</v>
      </c>
      <c r="B20233" s="3" t="s">
        <v>16796</v>
      </c>
      <c r="C20233" s="5" t="s">
        <v>206</v>
      </c>
      <c r="D20233" s="3" t="s">
        <v>68</v>
      </c>
      <c r="E20233" s="3" t="s">
        <v>100</v>
      </c>
      <c r="F20233" s="7">
        <v>46136.263327467874</v>
      </c>
      <c r="G20233" s="3" t="s">
        <v>33902</v>
      </c>
    </row>
    <row r="20234">
      <c r="A20234" s="3" t="s">
        <v>36456</v>
      </c>
      <c r="B20234" s="3" t="s">
        <v>16799</v>
      </c>
      <c r="C20234" s="5" t="s">
        <v>45</v>
      </c>
      <c r="D20234" s="3" t="s">
        <v>221</v>
      </c>
      <c r="E20234" s="3" t="s">
        <v>505</v>
      </c>
      <c r="F20234" s="7">
        <v>46136.32408564662</v>
      </c>
      <c r="G20234" s="3" t="s">
        <v>17047</v>
      </c>
    </row>
    <row r="20235">
      <c r="A20235" s="3" t="s">
        <v>36457</v>
      </c>
      <c r="B20235" s="3" t="s">
        <v>16799</v>
      </c>
      <c r="C20235" s="5" t="s">
        <v>221</v>
      </c>
      <c r="D20235" s="3" t="s">
        <v>181</v>
      </c>
      <c r="E20235" s="3" t="s">
        <v>118</v>
      </c>
      <c r="F20235" s="7">
        <v>46136.32755786884</v>
      </c>
      <c r="G20235" s="3" t="s">
        <v>36458</v>
      </c>
    </row>
    <row r="20236">
      <c r="A20236" s="3" t="s">
        <v>36459</v>
      </c>
      <c r="B20236" s="3" t="s">
        <v>16802</v>
      </c>
      <c r="C20236" s="5" t="s">
        <v>45</v>
      </c>
      <c r="D20236" s="3" t="s">
        <v>221</v>
      </c>
      <c r="E20236" s="3" t="s">
        <v>731</v>
      </c>
      <c r="F20236" s="7">
        <v>46136.39526049204</v>
      </c>
      <c r="G20236" s="3" t="s">
        <v>2770</v>
      </c>
    </row>
    <row r="20237">
      <c r="A20237" s="3" t="s">
        <v>36460</v>
      </c>
      <c r="B20237" s="3" t="s">
        <v>16802</v>
      </c>
      <c r="C20237" s="5" t="s">
        <v>221</v>
      </c>
      <c r="D20237" s="3" t="s">
        <v>195</v>
      </c>
      <c r="E20237" s="3" t="s">
        <v>731</v>
      </c>
      <c r="F20237" s="7">
        <v>46136.39873271426</v>
      </c>
      <c r="G20237" s="3" t="s">
        <v>3055</v>
      </c>
    </row>
    <row r="20238">
      <c r="A20238" s="3" t="s">
        <v>36461</v>
      </c>
      <c r="B20238" s="3" t="s">
        <v>16805</v>
      </c>
      <c r="C20238" s="5" t="s">
        <v>45</v>
      </c>
      <c r="D20238" s="3" t="s">
        <v>221</v>
      </c>
      <c r="E20238" s="3" t="s">
        <v>886</v>
      </c>
      <c r="F20238" s="7">
        <v>46136.466435337454</v>
      </c>
      <c r="G20238" s="3" t="s">
        <v>19602</v>
      </c>
    </row>
    <row r="20239">
      <c r="A20239" s="3" t="s">
        <v>36462</v>
      </c>
      <c r="B20239" s="3" t="s">
        <v>16805</v>
      </c>
      <c r="C20239" s="5" t="s">
        <v>221</v>
      </c>
      <c r="D20239" s="3" t="s">
        <v>614</v>
      </c>
      <c r="E20239" s="3" t="s">
        <v>118</v>
      </c>
      <c r="F20239" s="7">
        <v>46136.46990755967</v>
      </c>
      <c r="G20239" s="3" t="s">
        <v>19605</v>
      </c>
    </row>
    <row r="20240">
      <c r="A20240" s="3" t="s">
        <v>36463</v>
      </c>
      <c r="B20240" s="3" t="s">
        <v>16805</v>
      </c>
      <c r="C20240" s="5" t="s">
        <v>614</v>
      </c>
      <c r="D20240" s="3" t="s">
        <v>206</v>
      </c>
      <c r="E20240" s="3" t="s">
        <v>100</v>
      </c>
      <c r="F20240" s="7">
        <v>46136.4733797819</v>
      </c>
      <c r="G20240" s="3" t="s">
        <v>19607</v>
      </c>
    </row>
    <row r="20241">
      <c r="A20241" s="3" t="s">
        <v>36464</v>
      </c>
      <c r="B20241" s="3" t="s">
        <v>16805</v>
      </c>
      <c r="C20241" s="5" t="s">
        <v>206</v>
      </c>
      <c r="D20241" s="3" t="s">
        <v>68</v>
      </c>
      <c r="E20241" s="3" t="s">
        <v>100</v>
      </c>
      <c r="F20241" s="7">
        <v>46136.47685200412</v>
      </c>
      <c r="G20241" s="3" t="s">
        <v>19610</v>
      </c>
    </row>
    <row r="20242">
      <c r="A20242" s="3" t="s">
        <v>36465</v>
      </c>
      <c r="B20242" s="3" t="s">
        <v>16810</v>
      </c>
      <c r="C20242" s="5" t="s">
        <v>45</v>
      </c>
      <c r="D20242" s="3" t="s">
        <v>221</v>
      </c>
      <c r="E20242" s="3" t="s">
        <v>253</v>
      </c>
      <c r="F20242" s="7">
        <v>46136.537610182866</v>
      </c>
      <c r="G20242" s="3" t="s">
        <v>10781</v>
      </c>
    </row>
    <row r="20243">
      <c r="A20243" s="3" t="s">
        <v>36466</v>
      </c>
      <c r="B20243" s="3" t="s">
        <v>16810</v>
      </c>
      <c r="C20243" s="5" t="s">
        <v>221</v>
      </c>
      <c r="D20243" s="3" t="s">
        <v>614</v>
      </c>
      <c r="E20243" s="3" t="s">
        <v>118</v>
      </c>
      <c r="F20243" s="7">
        <v>46136.541082405085</v>
      </c>
      <c r="G20243" s="3" t="s">
        <v>10784</v>
      </c>
    </row>
    <row r="20244">
      <c r="A20244" s="3" t="s">
        <v>36467</v>
      </c>
      <c r="B20244" s="3" t="s">
        <v>16810</v>
      </c>
      <c r="C20244" s="5" t="s">
        <v>614</v>
      </c>
      <c r="D20244" s="3" t="s">
        <v>206</v>
      </c>
      <c r="E20244" s="3" t="s">
        <v>100</v>
      </c>
      <c r="F20244" s="7">
        <v>46136.54455462731</v>
      </c>
      <c r="G20244" s="3" t="s">
        <v>10786</v>
      </c>
    </row>
    <row r="20245">
      <c r="A20245" s="3" t="s">
        <v>36468</v>
      </c>
      <c r="B20245" s="3" t="s">
        <v>16810</v>
      </c>
      <c r="C20245" s="5" t="s">
        <v>206</v>
      </c>
      <c r="D20245" s="3" t="s">
        <v>68</v>
      </c>
      <c r="E20245" s="3" t="s">
        <v>100</v>
      </c>
      <c r="F20245" s="7">
        <v>46136.54802684953</v>
      </c>
      <c r="G20245" s="3" t="s">
        <v>10789</v>
      </c>
    </row>
    <row r="20246">
      <c r="A20246" s="3" t="s">
        <v>36469</v>
      </c>
      <c r="B20246" s="3" t="s">
        <v>16813</v>
      </c>
      <c r="C20246" s="5" t="s">
        <v>45</v>
      </c>
      <c r="D20246" s="3" t="s">
        <v>221</v>
      </c>
      <c r="E20246" s="3" t="s">
        <v>468</v>
      </c>
      <c r="F20246" s="7">
        <v>46136.608785028286</v>
      </c>
      <c r="G20246" s="3" t="s">
        <v>17085</v>
      </c>
    </row>
    <row r="20247">
      <c r="A20247" s="3" t="s">
        <v>36470</v>
      </c>
      <c r="B20247" s="3" t="s">
        <v>16813</v>
      </c>
      <c r="C20247" s="5" t="s">
        <v>221</v>
      </c>
      <c r="D20247" s="3" t="s">
        <v>614</v>
      </c>
      <c r="E20247" s="3" t="s">
        <v>118</v>
      </c>
      <c r="F20247" s="7">
        <v>46136.612257250505</v>
      </c>
      <c r="G20247" s="3" t="s">
        <v>17088</v>
      </c>
    </row>
    <row r="20248">
      <c r="A20248" s="3" t="s">
        <v>36471</v>
      </c>
      <c r="B20248" s="3" t="s">
        <v>16813</v>
      </c>
      <c r="C20248" s="5" t="s">
        <v>614</v>
      </c>
      <c r="D20248" s="3" t="s">
        <v>206</v>
      </c>
      <c r="E20248" s="3" t="s">
        <v>100</v>
      </c>
      <c r="F20248" s="7">
        <v>46136.61572947273</v>
      </c>
      <c r="G20248" s="3" t="s">
        <v>17091</v>
      </c>
    </row>
    <row r="20249">
      <c r="A20249" s="3" t="s">
        <v>36472</v>
      </c>
      <c r="B20249" s="3" t="s">
        <v>16813</v>
      </c>
      <c r="C20249" s="5" t="s">
        <v>206</v>
      </c>
      <c r="D20249" s="3" t="s">
        <v>68</v>
      </c>
      <c r="E20249" s="3" t="s">
        <v>100</v>
      </c>
      <c r="F20249" s="7">
        <v>46136.61920169495</v>
      </c>
      <c r="G20249" s="3" t="s">
        <v>17093</v>
      </c>
    </row>
    <row r="20250">
      <c r="A20250" s="3" t="s">
        <v>36473</v>
      </c>
      <c r="B20250" s="3" t="s">
        <v>16816</v>
      </c>
      <c r="C20250" s="5" t="s">
        <v>45</v>
      </c>
      <c r="D20250" s="3" t="s">
        <v>221</v>
      </c>
      <c r="E20250" s="3" t="s">
        <v>352</v>
      </c>
      <c r="F20250" s="7">
        <v>46136.6799598737</v>
      </c>
      <c r="G20250" s="3" t="s">
        <v>19713</v>
      </c>
    </row>
    <row r="20251">
      <c r="A20251" s="3" t="s">
        <v>36474</v>
      </c>
      <c r="B20251" s="3" t="s">
        <v>16816</v>
      </c>
      <c r="C20251" s="5" t="s">
        <v>221</v>
      </c>
      <c r="D20251" s="3" t="s">
        <v>614</v>
      </c>
      <c r="E20251" s="3" t="s">
        <v>118</v>
      </c>
      <c r="F20251" s="7">
        <v>46136.68343209592</v>
      </c>
      <c r="G20251" s="3" t="s">
        <v>19716</v>
      </c>
    </row>
    <row r="20252">
      <c r="A20252" s="3" t="s">
        <v>36475</v>
      </c>
      <c r="B20252" s="3" t="s">
        <v>16816</v>
      </c>
      <c r="C20252" s="5" t="s">
        <v>614</v>
      </c>
      <c r="D20252" s="3" t="s">
        <v>206</v>
      </c>
      <c r="E20252" s="3" t="s">
        <v>100</v>
      </c>
      <c r="F20252" s="7">
        <v>46136.68690431814</v>
      </c>
      <c r="G20252" s="3" t="s">
        <v>19719</v>
      </c>
    </row>
    <row r="20253">
      <c r="A20253" s="3" t="s">
        <v>36476</v>
      </c>
      <c r="B20253" s="3" t="s">
        <v>16816</v>
      </c>
      <c r="C20253" s="5" t="s">
        <v>206</v>
      </c>
      <c r="D20253" s="3" t="s">
        <v>68</v>
      </c>
      <c r="E20253" s="3" t="s">
        <v>100</v>
      </c>
      <c r="F20253" s="7">
        <v>46136.69037654036</v>
      </c>
      <c r="G20253" s="3" t="s">
        <v>19722</v>
      </c>
    </row>
    <row r="20254">
      <c r="A20254" s="3" t="s">
        <v>36477</v>
      </c>
      <c r="B20254" s="3" t="s">
        <v>16819</v>
      </c>
      <c r="C20254" s="5" t="s">
        <v>45</v>
      </c>
      <c r="D20254" s="3" t="s">
        <v>221</v>
      </c>
      <c r="E20254" s="3" t="s">
        <v>472</v>
      </c>
      <c r="F20254" s="7">
        <v>46136.75113471911</v>
      </c>
      <c r="G20254" s="3" t="s">
        <v>14875</v>
      </c>
    </row>
    <row r="20255">
      <c r="A20255" s="3" t="s">
        <v>36478</v>
      </c>
      <c r="B20255" s="3" t="s">
        <v>16819</v>
      </c>
      <c r="C20255" s="5" t="s">
        <v>221</v>
      </c>
      <c r="D20255" s="3" t="s">
        <v>195</v>
      </c>
      <c r="E20255" s="3" t="s">
        <v>472</v>
      </c>
      <c r="F20255" s="7">
        <v>46136.75460694133</v>
      </c>
      <c r="G20255" s="3" t="s">
        <v>36479</v>
      </c>
    </row>
    <row r="20256">
      <c r="A20256" s="3" t="s">
        <v>36480</v>
      </c>
      <c r="B20256" s="3" t="s">
        <v>16823</v>
      </c>
      <c r="C20256" s="5" t="s">
        <v>45</v>
      </c>
      <c r="D20256" s="3" t="s">
        <v>221</v>
      </c>
      <c r="E20256" s="3" t="s">
        <v>685</v>
      </c>
      <c r="F20256" s="7">
        <v>46136.82230956453</v>
      </c>
      <c r="G20256" s="3" t="s">
        <v>17114</v>
      </c>
    </row>
    <row r="20257">
      <c r="A20257" s="3" t="s">
        <v>36481</v>
      </c>
      <c r="B20257" s="3" t="s">
        <v>16823</v>
      </c>
      <c r="C20257" s="5" t="s">
        <v>221</v>
      </c>
      <c r="D20257" s="3" t="s">
        <v>614</v>
      </c>
      <c r="E20257" s="3" t="s">
        <v>118</v>
      </c>
      <c r="F20257" s="7">
        <v>46136.82578178675</v>
      </c>
      <c r="G20257" s="3" t="s">
        <v>17117</v>
      </c>
    </row>
    <row r="20258">
      <c r="A20258" s="3" t="s">
        <v>36482</v>
      </c>
      <c r="B20258" s="3" t="s">
        <v>16823</v>
      </c>
      <c r="C20258" s="5" t="s">
        <v>614</v>
      </c>
      <c r="D20258" s="3" t="s">
        <v>206</v>
      </c>
      <c r="E20258" s="3" t="s">
        <v>100</v>
      </c>
      <c r="F20258" s="7">
        <v>46136.829254008975</v>
      </c>
      <c r="G20258" s="3" t="s">
        <v>17120</v>
      </c>
    </row>
    <row r="20259">
      <c r="A20259" s="3" t="s">
        <v>36483</v>
      </c>
      <c r="B20259" s="3" t="s">
        <v>16823</v>
      </c>
      <c r="C20259" s="5" t="s">
        <v>206</v>
      </c>
      <c r="D20259" s="3" t="s">
        <v>68</v>
      </c>
      <c r="E20259" s="3" t="s">
        <v>100</v>
      </c>
      <c r="F20259" s="7">
        <v>46136.832726231194</v>
      </c>
      <c r="G20259" s="3" t="s">
        <v>17123</v>
      </c>
    </row>
    <row r="20260">
      <c r="A20260" s="3" t="s">
        <v>36484</v>
      </c>
      <c r="B20260" s="3" t="s">
        <v>16827</v>
      </c>
      <c r="C20260" s="5" t="s">
        <v>45</v>
      </c>
      <c r="D20260" s="3" t="s">
        <v>221</v>
      </c>
      <c r="E20260" s="3" t="s">
        <v>691</v>
      </c>
      <c r="F20260" s="7">
        <v>46136.89348440994</v>
      </c>
      <c r="G20260" s="3" t="s">
        <v>33538</v>
      </c>
    </row>
    <row r="20261">
      <c r="A20261" s="3" t="s">
        <v>36485</v>
      </c>
      <c r="B20261" s="3" t="s">
        <v>16827</v>
      </c>
      <c r="C20261" s="5" t="s">
        <v>221</v>
      </c>
      <c r="D20261" s="3" t="s">
        <v>614</v>
      </c>
      <c r="E20261" s="3" t="s">
        <v>118</v>
      </c>
      <c r="F20261" s="7">
        <v>46136.89695663216</v>
      </c>
      <c r="G20261" s="3" t="s">
        <v>33540</v>
      </c>
    </row>
    <row r="20262">
      <c r="A20262" s="3" t="s">
        <v>36486</v>
      </c>
      <c r="B20262" s="3" t="s">
        <v>16827</v>
      </c>
      <c r="C20262" s="5" t="s">
        <v>614</v>
      </c>
      <c r="D20262" s="3" t="s">
        <v>206</v>
      </c>
      <c r="E20262" s="3" t="s">
        <v>100</v>
      </c>
      <c r="F20262" s="7">
        <v>46136.90042885439</v>
      </c>
      <c r="G20262" s="3" t="s">
        <v>33542</v>
      </c>
    </row>
    <row r="20263">
      <c r="A20263" s="3" t="s">
        <v>36487</v>
      </c>
      <c r="B20263" s="3" t="s">
        <v>16827</v>
      </c>
      <c r="C20263" s="5" t="s">
        <v>206</v>
      </c>
      <c r="D20263" s="3" t="s">
        <v>68</v>
      </c>
      <c r="E20263" s="3" t="s">
        <v>100</v>
      </c>
      <c r="F20263" s="7">
        <v>46136.90390107661</v>
      </c>
      <c r="G20263" s="3" t="s">
        <v>33544</v>
      </c>
    </row>
    <row r="20264">
      <c r="A20264" s="3" t="s">
        <v>36488</v>
      </c>
      <c r="B20264" s="3" t="s">
        <v>16830</v>
      </c>
      <c r="C20264" s="5" t="s">
        <v>45</v>
      </c>
      <c r="D20264" s="3" t="s">
        <v>221</v>
      </c>
      <c r="E20264" s="3" t="s">
        <v>731</v>
      </c>
      <c r="F20264" s="7">
        <v>46136.964659255354</v>
      </c>
      <c r="G20264" s="3" t="s">
        <v>17125</v>
      </c>
    </row>
    <row r="20265">
      <c r="A20265" s="3" t="s">
        <v>36489</v>
      </c>
      <c r="B20265" s="3" t="s">
        <v>16830</v>
      </c>
      <c r="C20265" s="5" t="s">
        <v>221</v>
      </c>
      <c r="D20265" s="3" t="s">
        <v>614</v>
      </c>
      <c r="E20265" s="3" t="s">
        <v>118</v>
      </c>
      <c r="F20265" s="7">
        <v>46136.96813147757</v>
      </c>
      <c r="G20265" s="3" t="s">
        <v>17128</v>
      </c>
    </row>
    <row r="20266">
      <c r="A20266" s="3" t="s">
        <v>36490</v>
      </c>
      <c r="B20266" s="3" t="s">
        <v>16830</v>
      </c>
      <c r="C20266" s="5" t="s">
        <v>614</v>
      </c>
      <c r="D20266" s="3" t="s">
        <v>206</v>
      </c>
      <c r="E20266" s="3" t="s">
        <v>100</v>
      </c>
      <c r="F20266" s="7">
        <v>46136.9716036998</v>
      </c>
      <c r="G20266" s="3" t="s">
        <v>17131</v>
      </c>
    </row>
    <row r="20267">
      <c r="A20267" s="3" t="s">
        <v>36491</v>
      </c>
      <c r="B20267" s="3" t="s">
        <v>16830</v>
      </c>
      <c r="C20267" s="5" t="s">
        <v>206</v>
      </c>
      <c r="D20267" s="3" t="s">
        <v>68</v>
      </c>
      <c r="E20267" s="3" t="s">
        <v>100</v>
      </c>
      <c r="F20267" s="7">
        <v>46136.97507592202</v>
      </c>
      <c r="G20267" s="3" t="s">
        <v>17134</v>
      </c>
    </row>
    <row r="20268">
      <c r="A20268" s="3" t="s">
        <v>36492</v>
      </c>
      <c r="B20268" s="3" t="s">
        <v>16834</v>
      </c>
      <c r="C20268" s="5" t="s">
        <v>45</v>
      </c>
      <c r="D20268" s="3" t="s">
        <v>221</v>
      </c>
      <c r="E20268" s="3" t="s">
        <v>652</v>
      </c>
      <c r="F20268" s="7">
        <v>46137.035834100774</v>
      </c>
      <c r="G20268" s="3" t="s">
        <v>15349</v>
      </c>
    </row>
    <row r="20269">
      <c r="A20269" s="3" t="s">
        <v>36493</v>
      </c>
      <c r="B20269" s="3" t="s">
        <v>16834</v>
      </c>
      <c r="C20269" s="5" t="s">
        <v>221</v>
      </c>
      <c r="D20269" s="3" t="s">
        <v>614</v>
      </c>
      <c r="E20269" s="3" t="s">
        <v>118</v>
      </c>
      <c r="F20269" s="7">
        <v>46137.03930632299</v>
      </c>
      <c r="G20269" s="3" t="s">
        <v>15352</v>
      </c>
    </row>
    <row r="20270">
      <c r="A20270" s="3" t="s">
        <v>36494</v>
      </c>
      <c r="B20270" s="3" t="s">
        <v>16834</v>
      </c>
      <c r="C20270" s="5" t="s">
        <v>614</v>
      </c>
      <c r="D20270" s="3" t="s">
        <v>206</v>
      </c>
      <c r="E20270" s="3" t="s">
        <v>100</v>
      </c>
      <c r="F20270" s="7">
        <v>46137.04277854522</v>
      </c>
      <c r="G20270" s="3" t="s">
        <v>15355</v>
      </c>
    </row>
    <row r="20271">
      <c r="A20271" s="3" t="s">
        <v>36495</v>
      </c>
      <c r="B20271" s="3" t="s">
        <v>16834</v>
      </c>
      <c r="C20271" s="5" t="s">
        <v>206</v>
      </c>
      <c r="D20271" s="3" t="s">
        <v>68</v>
      </c>
      <c r="E20271" s="3" t="s">
        <v>100</v>
      </c>
      <c r="F20271" s="7">
        <v>46137.04625076744</v>
      </c>
      <c r="G20271" s="3" t="s">
        <v>15358</v>
      </c>
    </row>
    <row r="20272">
      <c r="A20272" s="3" t="s">
        <v>36496</v>
      </c>
      <c r="B20272" s="3" t="s">
        <v>16838</v>
      </c>
      <c r="C20272" s="5" t="s">
        <v>45</v>
      </c>
      <c r="D20272" s="3" t="s">
        <v>221</v>
      </c>
      <c r="E20272" s="3" t="s">
        <v>811</v>
      </c>
      <c r="F20272" s="7">
        <v>46137.107008946194</v>
      </c>
      <c r="G20272" s="3" t="s">
        <v>17137</v>
      </c>
    </row>
    <row r="20273">
      <c r="A20273" s="3" t="s">
        <v>36497</v>
      </c>
      <c r="B20273" s="3" t="s">
        <v>16838</v>
      </c>
      <c r="C20273" s="5" t="s">
        <v>221</v>
      </c>
      <c r="D20273" s="3" t="s">
        <v>614</v>
      </c>
      <c r="E20273" s="3" t="s">
        <v>118</v>
      </c>
      <c r="F20273" s="7">
        <v>46137.11048116841</v>
      </c>
      <c r="G20273" s="3" t="s">
        <v>17139</v>
      </c>
    </row>
    <row r="20274">
      <c r="A20274" s="3" t="s">
        <v>36498</v>
      </c>
      <c r="B20274" s="3" t="s">
        <v>16838</v>
      </c>
      <c r="C20274" s="5" t="s">
        <v>614</v>
      </c>
      <c r="D20274" s="3" t="s">
        <v>206</v>
      </c>
      <c r="E20274" s="3" t="s">
        <v>100</v>
      </c>
      <c r="F20274" s="7">
        <v>46137.11395339064</v>
      </c>
      <c r="G20274" s="3" t="s">
        <v>17142</v>
      </c>
    </row>
    <row r="20275">
      <c r="A20275" s="3" t="s">
        <v>36499</v>
      </c>
      <c r="B20275" s="3" t="s">
        <v>16838</v>
      </c>
      <c r="C20275" s="5" t="s">
        <v>206</v>
      </c>
      <c r="D20275" s="3" t="s">
        <v>68</v>
      </c>
      <c r="E20275" s="3" t="s">
        <v>100</v>
      </c>
      <c r="F20275" s="7">
        <v>46137.11742561286</v>
      </c>
      <c r="G20275" s="3" t="s">
        <v>17145</v>
      </c>
    </row>
    <row r="20276">
      <c r="A20276" s="3" t="s">
        <v>36500</v>
      </c>
      <c r="B20276" s="3" t="s">
        <v>16841</v>
      </c>
      <c r="C20276" s="5" t="s">
        <v>45</v>
      </c>
      <c r="D20276" s="3" t="s">
        <v>221</v>
      </c>
      <c r="E20276" s="3" t="s">
        <v>479</v>
      </c>
      <c r="F20276" s="7">
        <v>46137.1781837916</v>
      </c>
      <c r="G20276" s="3" t="s">
        <v>17536</v>
      </c>
    </row>
    <row r="20277">
      <c r="A20277" s="3" t="s">
        <v>36501</v>
      </c>
      <c r="B20277" s="3" t="s">
        <v>16841</v>
      </c>
      <c r="C20277" s="5" t="s">
        <v>221</v>
      </c>
      <c r="D20277" s="3" t="s">
        <v>614</v>
      </c>
      <c r="E20277" s="3" t="s">
        <v>118</v>
      </c>
      <c r="F20277" s="7">
        <v>46137.18165601382</v>
      </c>
      <c r="G20277" s="3" t="s">
        <v>17539</v>
      </c>
    </row>
    <row r="20278">
      <c r="A20278" s="3" t="s">
        <v>36502</v>
      </c>
      <c r="B20278" s="3" t="s">
        <v>16841</v>
      </c>
      <c r="C20278" s="5" t="s">
        <v>614</v>
      </c>
      <c r="D20278" s="3" t="s">
        <v>206</v>
      </c>
      <c r="E20278" s="3" t="s">
        <v>100</v>
      </c>
      <c r="F20278" s="7">
        <v>46137.185128236044</v>
      </c>
      <c r="G20278" s="3" t="s">
        <v>17542</v>
      </c>
    </row>
    <row r="20279">
      <c r="A20279" s="3" t="s">
        <v>36503</v>
      </c>
      <c r="B20279" s="3" t="s">
        <v>16841</v>
      </c>
      <c r="C20279" s="5" t="s">
        <v>206</v>
      </c>
      <c r="D20279" s="3" t="s">
        <v>68</v>
      </c>
      <c r="E20279" s="3" t="s">
        <v>100</v>
      </c>
      <c r="F20279" s="7">
        <v>46137.18860045826</v>
      </c>
      <c r="G20279" s="3" t="s">
        <v>17544</v>
      </c>
    </row>
    <row r="20280">
      <c r="A20280" s="3" t="s">
        <v>36504</v>
      </c>
      <c r="B20280" s="3" t="s">
        <v>16844</v>
      </c>
      <c r="C20280" s="5" t="s">
        <v>45</v>
      </c>
      <c r="D20280" s="3" t="s">
        <v>221</v>
      </c>
      <c r="E20280" s="3" t="s">
        <v>541</v>
      </c>
      <c r="F20280" s="7">
        <v>46137.24935863702</v>
      </c>
      <c r="G20280" s="3" t="s">
        <v>11524</v>
      </c>
    </row>
    <row r="20281">
      <c r="A20281" s="3" t="s">
        <v>36505</v>
      </c>
      <c r="B20281" s="3" t="s">
        <v>16844</v>
      </c>
      <c r="C20281" s="5" t="s">
        <v>221</v>
      </c>
      <c r="D20281" s="3" t="s">
        <v>614</v>
      </c>
      <c r="E20281" s="3" t="s">
        <v>118</v>
      </c>
      <c r="F20281" s="7">
        <v>46137.25283085924</v>
      </c>
      <c r="G20281" s="3" t="s">
        <v>11527</v>
      </c>
    </row>
    <row r="20282">
      <c r="A20282" s="3" t="s">
        <v>36506</v>
      </c>
      <c r="B20282" s="3" t="s">
        <v>16844</v>
      </c>
      <c r="C20282" s="5" t="s">
        <v>614</v>
      </c>
      <c r="D20282" s="3" t="s">
        <v>206</v>
      </c>
      <c r="E20282" s="3" t="s">
        <v>100</v>
      </c>
      <c r="F20282" s="7">
        <v>46137.25630308146</v>
      </c>
      <c r="G20282" s="3" t="s">
        <v>11530</v>
      </c>
    </row>
    <row r="20283">
      <c r="A20283" s="3" t="s">
        <v>36507</v>
      </c>
      <c r="B20283" s="3" t="s">
        <v>16844</v>
      </c>
      <c r="C20283" s="5" t="s">
        <v>206</v>
      </c>
      <c r="D20283" s="3" t="s">
        <v>68</v>
      </c>
      <c r="E20283" s="3" t="s">
        <v>100</v>
      </c>
      <c r="F20283" s="7">
        <v>46137.25977530368</v>
      </c>
      <c r="G20283" s="3" t="s">
        <v>11533</v>
      </c>
    </row>
    <row r="20284">
      <c r="A20284" s="3" t="s">
        <v>36508</v>
      </c>
      <c r="B20284" s="3" t="s">
        <v>16846</v>
      </c>
      <c r="C20284" s="5" t="s">
        <v>45</v>
      </c>
      <c r="D20284" s="3" t="s">
        <v>221</v>
      </c>
      <c r="E20284" s="3" t="s">
        <v>230</v>
      </c>
      <c r="F20284" s="7">
        <v>46137.32053348244</v>
      </c>
      <c r="G20284" s="3" t="s">
        <v>28782</v>
      </c>
    </row>
    <row r="20285">
      <c r="A20285" s="3" t="s">
        <v>36509</v>
      </c>
      <c r="B20285" s="3" t="s">
        <v>16846</v>
      </c>
      <c r="C20285" s="5" t="s">
        <v>221</v>
      </c>
      <c r="D20285" s="3" t="s">
        <v>614</v>
      </c>
      <c r="E20285" s="3" t="s">
        <v>118</v>
      </c>
      <c r="F20285" s="7">
        <v>46137.32400570466</v>
      </c>
      <c r="G20285" s="3" t="s">
        <v>28784</v>
      </c>
    </row>
    <row r="20286">
      <c r="A20286" s="3" t="s">
        <v>36510</v>
      </c>
      <c r="B20286" s="3" t="s">
        <v>16846</v>
      </c>
      <c r="C20286" s="5" t="s">
        <v>614</v>
      </c>
      <c r="D20286" s="3" t="s">
        <v>206</v>
      </c>
      <c r="E20286" s="3" t="s">
        <v>100</v>
      </c>
      <c r="F20286" s="7">
        <v>46137.32747792688</v>
      </c>
      <c r="G20286" s="3" t="s">
        <v>28786</v>
      </c>
    </row>
    <row r="20287">
      <c r="A20287" s="3" t="s">
        <v>36511</v>
      </c>
      <c r="B20287" s="3" t="s">
        <v>16846</v>
      </c>
      <c r="C20287" s="5" t="s">
        <v>206</v>
      </c>
      <c r="D20287" s="3" t="s">
        <v>68</v>
      </c>
      <c r="E20287" s="3" t="s">
        <v>100</v>
      </c>
      <c r="F20287" s="7">
        <v>46137.3309501491</v>
      </c>
      <c r="G20287" s="3" t="s">
        <v>28788</v>
      </c>
    </row>
    <row r="20288">
      <c r="A20288" s="3" t="s">
        <v>36512</v>
      </c>
      <c r="B20288" s="3" t="s">
        <v>16849</v>
      </c>
      <c r="C20288" s="5" t="s">
        <v>45</v>
      </c>
      <c r="D20288" s="3" t="s">
        <v>221</v>
      </c>
      <c r="E20288" s="3" t="s">
        <v>481</v>
      </c>
      <c r="F20288" s="7">
        <v>46137.39170832785</v>
      </c>
      <c r="G20288" s="3" t="s">
        <v>18085</v>
      </c>
    </row>
    <row r="20289">
      <c r="A20289" s="3" t="s">
        <v>36513</v>
      </c>
      <c r="B20289" s="3" t="s">
        <v>16849</v>
      </c>
      <c r="C20289" s="5" t="s">
        <v>221</v>
      </c>
      <c r="D20289" s="3" t="s">
        <v>614</v>
      </c>
      <c r="E20289" s="3" t="s">
        <v>118</v>
      </c>
      <c r="F20289" s="7">
        <v>46137.39518055007</v>
      </c>
      <c r="G20289" s="3" t="s">
        <v>18088</v>
      </c>
    </row>
    <row r="20290">
      <c r="A20290" s="3" t="s">
        <v>36514</v>
      </c>
      <c r="B20290" s="3" t="s">
        <v>16849</v>
      </c>
      <c r="C20290" s="5" t="s">
        <v>614</v>
      </c>
      <c r="D20290" s="3" t="s">
        <v>206</v>
      </c>
      <c r="E20290" s="3" t="s">
        <v>100</v>
      </c>
      <c r="F20290" s="7">
        <v>46137.398652772295</v>
      </c>
      <c r="G20290" s="3" t="s">
        <v>18091</v>
      </c>
    </row>
    <row r="20291">
      <c r="A20291" s="3" t="s">
        <v>36515</v>
      </c>
      <c r="B20291" s="3" t="s">
        <v>16849</v>
      </c>
      <c r="C20291" s="5" t="s">
        <v>206</v>
      </c>
      <c r="D20291" s="3" t="s">
        <v>68</v>
      </c>
      <c r="E20291" s="3" t="s">
        <v>100</v>
      </c>
      <c r="F20291" s="7">
        <v>46137.402124994514</v>
      </c>
      <c r="G20291" s="3" t="s">
        <v>18093</v>
      </c>
    </row>
    <row r="20292">
      <c r="A20292" s="3" t="s">
        <v>36516</v>
      </c>
      <c r="B20292" s="3" t="s">
        <v>16851</v>
      </c>
      <c r="C20292" s="5" t="s">
        <v>45</v>
      </c>
      <c r="D20292" s="3" t="s">
        <v>221</v>
      </c>
      <c r="E20292" s="3" t="s">
        <v>539</v>
      </c>
      <c r="F20292" s="7">
        <v>46137.46288317326</v>
      </c>
      <c r="G20292" s="3" t="s">
        <v>10291</v>
      </c>
    </row>
    <row r="20293">
      <c r="A20293" s="3" t="s">
        <v>36517</v>
      </c>
      <c r="B20293" s="3" t="s">
        <v>16851</v>
      </c>
      <c r="C20293" s="5" t="s">
        <v>221</v>
      </c>
      <c r="D20293" s="3" t="s">
        <v>614</v>
      </c>
      <c r="E20293" s="3" t="s">
        <v>118</v>
      </c>
      <c r="F20293" s="7">
        <v>46137.46635539548</v>
      </c>
      <c r="G20293" s="3" t="s">
        <v>10294</v>
      </c>
    </row>
    <row r="20294">
      <c r="A20294" s="3" t="s">
        <v>36518</v>
      </c>
      <c r="B20294" s="3" t="s">
        <v>16851</v>
      </c>
      <c r="C20294" s="5" t="s">
        <v>614</v>
      </c>
      <c r="D20294" s="3" t="s">
        <v>206</v>
      </c>
      <c r="E20294" s="3" t="s">
        <v>100</v>
      </c>
      <c r="F20294" s="7">
        <v>46137.46982761771</v>
      </c>
      <c r="G20294" s="3" t="s">
        <v>10296</v>
      </c>
    </row>
    <row r="20295">
      <c r="A20295" s="3" t="s">
        <v>36519</v>
      </c>
      <c r="B20295" s="3" t="s">
        <v>16851</v>
      </c>
      <c r="C20295" s="5" t="s">
        <v>206</v>
      </c>
      <c r="D20295" s="3" t="s">
        <v>68</v>
      </c>
      <c r="E20295" s="3" t="s">
        <v>100</v>
      </c>
      <c r="F20295" s="7">
        <v>46137.47329983993</v>
      </c>
      <c r="G20295" s="3" t="s">
        <v>10299</v>
      </c>
    </row>
    <row r="20296">
      <c r="A20296" s="3" t="s">
        <v>36520</v>
      </c>
      <c r="B20296" s="3" t="s">
        <v>16854</v>
      </c>
      <c r="C20296" s="5" t="s">
        <v>45</v>
      </c>
      <c r="D20296" s="3" t="s">
        <v>221</v>
      </c>
      <c r="E20296" s="3" t="s">
        <v>175</v>
      </c>
      <c r="F20296" s="7">
        <v>46137.53405801868</v>
      </c>
      <c r="G20296" s="3" t="s">
        <v>22543</v>
      </c>
    </row>
    <row r="20297">
      <c r="A20297" s="3" t="s">
        <v>36521</v>
      </c>
      <c r="B20297" s="3" t="s">
        <v>16854</v>
      </c>
      <c r="C20297" s="5" t="s">
        <v>221</v>
      </c>
      <c r="D20297" s="3" t="s">
        <v>614</v>
      </c>
      <c r="E20297" s="3" t="s">
        <v>118</v>
      </c>
      <c r="F20297" s="7">
        <v>46137.5375302409</v>
      </c>
      <c r="G20297" s="3" t="s">
        <v>22546</v>
      </c>
    </row>
    <row r="20298">
      <c r="A20298" s="3" t="s">
        <v>36522</v>
      </c>
      <c r="B20298" s="3" t="s">
        <v>16854</v>
      </c>
      <c r="C20298" s="5" t="s">
        <v>614</v>
      </c>
      <c r="D20298" s="3" t="s">
        <v>206</v>
      </c>
      <c r="E20298" s="3" t="s">
        <v>100</v>
      </c>
      <c r="F20298" s="7">
        <v>46137.54100246313</v>
      </c>
      <c r="G20298" s="3" t="s">
        <v>22549</v>
      </c>
    </row>
    <row r="20299">
      <c r="A20299" s="3" t="s">
        <v>36523</v>
      </c>
      <c r="B20299" s="3" t="s">
        <v>16854</v>
      </c>
      <c r="C20299" s="5" t="s">
        <v>206</v>
      </c>
      <c r="D20299" s="3" t="s">
        <v>68</v>
      </c>
      <c r="E20299" s="3" t="s">
        <v>100</v>
      </c>
      <c r="F20299" s="7">
        <v>46137.544474685346</v>
      </c>
      <c r="G20299" s="3" t="s">
        <v>22552</v>
      </c>
    </row>
    <row r="20300">
      <c r="A20300" s="3" t="s">
        <v>36524</v>
      </c>
      <c r="B20300" s="3" t="s">
        <v>16858</v>
      </c>
      <c r="C20300" s="5" t="s">
        <v>45</v>
      </c>
      <c r="D20300" s="3" t="s">
        <v>221</v>
      </c>
      <c r="E20300" s="3" t="s">
        <v>587</v>
      </c>
      <c r="F20300" s="7">
        <v>46137.605232864094</v>
      </c>
      <c r="G20300" s="3" t="s">
        <v>11640</v>
      </c>
    </row>
    <row r="20301">
      <c r="A20301" s="3" t="s">
        <v>36525</v>
      </c>
      <c r="B20301" s="3" t="s">
        <v>16858</v>
      </c>
      <c r="C20301" s="5" t="s">
        <v>221</v>
      </c>
      <c r="D20301" s="3" t="s">
        <v>614</v>
      </c>
      <c r="E20301" s="3" t="s">
        <v>118</v>
      </c>
      <c r="F20301" s="7">
        <v>46137.60870508631</v>
      </c>
      <c r="G20301" s="3" t="s">
        <v>11643</v>
      </c>
    </row>
    <row r="20302">
      <c r="A20302" s="3" t="s">
        <v>36526</v>
      </c>
      <c r="B20302" s="3" t="s">
        <v>16858</v>
      </c>
      <c r="C20302" s="5" t="s">
        <v>614</v>
      </c>
      <c r="D20302" s="3" t="s">
        <v>206</v>
      </c>
      <c r="E20302" s="3" t="s">
        <v>100</v>
      </c>
      <c r="F20302" s="7">
        <v>46137.61217730854</v>
      </c>
      <c r="G20302" s="3" t="s">
        <v>11647</v>
      </c>
    </row>
    <row r="20303">
      <c r="A20303" s="3" t="s">
        <v>36527</v>
      </c>
      <c r="B20303" s="3" t="s">
        <v>16858</v>
      </c>
      <c r="C20303" s="5" t="s">
        <v>206</v>
      </c>
      <c r="D20303" s="3" t="s">
        <v>68</v>
      </c>
      <c r="E20303" s="3" t="s">
        <v>100</v>
      </c>
      <c r="F20303" s="7">
        <v>46137.61564953076</v>
      </c>
      <c r="G20303" s="3" t="s">
        <v>11650</v>
      </c>
    </row>
    <row r="20304">
      <c r="A20304" s="3" t="s">
        <v>36528</v>
      </c>
      <c r="B20304" s="3" t="s">
        <v>16862</v>
      </c>
      <c r="C20304" s="5" t="s">
        <v>45</v>
      </c>
      <c r="D20304" s="3" t="s">
        <v>221</v>
      </c>
      <c r="E20304" s="3" t="s">
        <v>462</v>
      </c>
      <c r="F20304" s="7">
        <v>46137.67640770951</v>
      </c>
      <c r="G20304" s="3" t="s">
        <v>13864</v>
      </c>
    </row>
    <row r="20305">
      <c r="A20305" s="3" t="s">
        <v>36529</v>
      </c>
      <c r="B20305" s="3" t="s">
        <v>16862</v>
      </c>
      <c r="C20305" s="5" t="s">
        <v>221</v>
      </c>
      <c r="D20305" s="3" t="s">
        <v>614</v>
      </c>
      <c r="E20305" s="3" t="s">
        <v>118</v>
      </c>
      <c r="F20305" s="7">
        <v>46137.679879931726</v>
      </c>
      <c r="G20305" s="3" t="s">
        <v>23985</v>
      </c>
    </row>
    <row r="20306">
      <c r="A20306" s="3" t="s">
        <v>36530</v>
      </c>
      <c r="B20306" s="3" t="s">
        <v>16862</v>
      </c>
      <c r="C20306" s="5" t="s">
        <v>614</v>
      </c>
      <c r="D20306" s="3" t="s">
        <v>206</v>
      </c>
      <c r="E20306" s="3" t="s">
        <v>100</v>
      </c>
      <c r="F20306" s="7">
        <v>46137.68335215395</v>
      </c>
      <c r="G20306" s="3" t="s">
        <v>23987</v>
      </c>
    </row>
    <row r="20307">
      <c r="A20307" s="3" t="s">
        <v>36531</v>
      </c>
      <c r="B20307" s="3" t="s">
        <v>16862</v>
      </c>
      <c r="C20307" s="5" t="s">
        <v>206</v>
      </c>
      <c r="D20307" s="3" t="s">
        <v>68</v>
      </c>
      <c r="E20307" s="3" t="s">
        <v>100</v>
      </c>
      <c r="F20307" s="7">
        <v>46137.68682437617</v>
      </c>
      <c r="G20307" s="3" t="s">
        <v>23989</v>
      </c>
    </row>
    <row r="20308">
      <c r="A20308" s="3" t="s">
        <v>36532</v>
      </c>
      <c r="B20308" s="3" t="s">
        <v>16865</v>
      </c>
      <c r="C20308" s="5" t="s">
        <v>45</v>
      </c>
      <c r="D20308" s="3" t="s">
        <v>221</v>
      </c>
      <c r="E20308" s="3" t="s">
        <v>215</v>
      </c>
      <c r="F20308" s="7">
        <v>46137.747582554926</v>
      </c>
      <c r="G20308" s="3" t="s">
        <v>6857</v>
      </c>
    </row>
    <row r="20309">
      <c r="A20309" s="3" t="s">
        <v>36533</v>
      </c>
      <c r="B20309" s="3" t="s">
        <v>16865</v>
      </c>
      <c r="C20309" s="5" t="s">
        <v>221</v>
      </c>
      <c r="D20309" s="3" t="s">
        <v>614</v>
      </c>
      <c r="E20309" s="3" t="s">
        <v>118</v>
      </c>
      <c r="F20309" s="7">
        <v>46137.751054777145</v>
      </c>
      <c r="G20309" s="3" t="s">
        <v>6859</v>
      </c>
    </row>
    <row r="20310">
      <c r="A20310" s="3" t="s">
        <v>36534</v>
      </c>
      <c r="B20310" s="3" t="s">
        <v>16865</v>
      </c>
      <c r="C20310" s="5" t="s">
        <v>614</v>
      </c>
      <c r="D20310" s="3" t="s">
        <v>206</v>
      </c>
      <c r="E20310" s="3" t="s">
        <v>100</v>
      </c>
      <c r="F20310" s="7">
        <v>46137.75452699937</v>
      </c>
      <c r="G20310" s="3" t="s">
        <v>6862</v>
      </c>
    </row>
    <row r="20311">
      <c r="A20311" s="3" t="s">
        <v>36535</v>
      </c>
      <c r="B20311" s="3" t="s">
        <v>16865</v>
      </c>
      <c r="C20311" s="5" t="s">
        <v>206</v>
      </c>
      <c r="D20311" s="3" t="s">
        <v>68</v>
      </c>
      <c r="E20311" s="3" t="s">
        <v>100</v>
      </c>
      <c r="F20311" s="7">
        <v>46137.75799922159</v>
      </c>
      <c r="G20311" s="3" t="s">
        <v>6865</v>
      </c>
    </row>
    <row r="20312">
      <c r="A20312" s="3" t="s">
        <v>36536</v>
      </c>
      <c r="B20312" s="3" t="s">
        <v>16868</v>
      </c>
      <c r="C20312" s="5" t="s">
        <v>45</v>
      </c>
      <c r="D20312" s="3" t="s">
        <v>221</v>
      </c>
      <c r="E20312" s="3" t="s">
        <v>168</v>
      </c>
      <c r="F20312" s="7">
        <v>46137.818757400346</v>
      </c>
      <c r="G20312" s="3" t="s">
        <v>36537</v>
      </c>
    </row>
    <row r="20313">
      <c r="A20313" s="3" t="s">
        <v>36538</v>
      </c>
      <c r="B20313" s="3" t="s">
        <v>16868</v>
      </c>
      <c r="C20313" s="5" t="s">
        <v>221</v>
      </c>
      <c r="D20313" s="3" t="s">
        <v>181</v>
      </c>
      <c r="E20313" s="3" t="s">
        <v>118</v>
      </c>
      <c r="F20313" s="7">
        <v>46137.822229622565</v>
      </c>
      <c r="G20313" s="3" t="s">
        <v>36539</v>
      </c>
    </row>
    <row r="20314">
      <c r="A20314" s="3" t="s">
        <v>36540</v>
      </c>
      <c r="B20314" s="3" t="s">
        <v>16872</v>
      </c>
      <c r="C20314" s="5" t="s">
        <v>45</v>
      </c>
      <c r="D20314" s="3" t="s">
        <v>221</v>
      </c>
      <c r="E20314" s="3" t="s">
        <v>488</v>
      </c>
      <c r="F20314" s="7">
        <v>46137.88993224575</v>
      </c>
      <c r="G20314" s="3" t="s">
        <v>15861</v>
      </c>
    </row>
    <row r="20315">
      <c r="A20315" s="3" t="s">
        <v>36541</v>
      </c>
      <c r="B20315" s="3" t="s">
        <v>16872</v>
      </c>
      <c r="C20315" s="5" t="s">
        <v>221</v>
      </c>
      <c r="D20315" s="3" t="s">
        <v>614</v>
      </c>
      <c r="E20315" s="3" t="s">
        <v>118</v>
      </c>
      <c r="F20315" s="7">
        <v>46137.89340446797</v>
      </c>
      <c r="G20315" s="3" t="s">
        <v>26218</v>
      </c>
    </row>
    <row r="20316">
      <c r="A20316" s="3" t="s">
        <v>36542</v>
      </c>
      <c r="B20316" s="3" t="s">
        <v>16872</v>
      </c>
      <c r="C20316" s="5" t="s">
        <v>614</v>
      </c>
      <c r="D20316" s="3" t="s">
        <v>206</v>
      </c>
      <c r="E20316" s="3" t="s">
        <v>100</v>
      </c>
      <c r="F20316" s="7">
        <v>46137.896876690196</v>
      </c>
      <c r="G20316" s="3" t="s">
        <v>26220</v>
      </c>
    </row>
    <row r="20317">
      <c r="A20317" s="3" t="s">
        <v>36543</v>
      </c>
      <c r="B20317" s="3" t="s">
        <v>16872</v>
      </c>
      <c r="C20317" s="5" t="s">
        <v>206</v>
      </c>
      <c r="D20317" s="3" t="s">
        <v>68</v>
      </c>
      <c r="E20317" s="3" t="s">
        <v>100</v>
      </c>
      <c r="F20317" s="7">
        <v>46137.900348912415</v>
      </c>
      <c r="G20317" s="3" t="s">
        <v>26222</v>
      </c>
    </row>
    <row r="20318">
      <c r="A20318" s="3" t="s">
        <v>36544</v>
      </c>
      <c r="B20318" s="3" t="s">
        <v>16874</v>
      </c>
      <c r="C20318" s="5" t="s">
        <v>45</v>
      </c>
      <c r="D20318" s="3" t="s">
        <v>221</v>
      </c>
      <c r="E20318" s="3" t="s">
        <v>168</v>
      </c>
      <c r="F20318" s="7">
        <v>46137.96110709117</v>
      </c>
      <c r="G20318" s="3" t="s">
        <v>36537</v>
      </c>
    </row>
    <row r="20319">
      <c r="A20319" s="3" t="s">
        <v>36545</v>
      </c>
      <c r="B20319" s="3" t="s">
        <v>16874</v>
      </c>
      <c r="C20319" s="5" t="s">
        <v>221</v>
      </c>
      <c r="D20319" s="3" t="s">
        <v>614</v>
      </c>
      <c r="E20319" s="3" t="s">
        <v>118</v>
      </c>
      <c r="F20319" s="7">
        <v>46137.96457931339</v>
      </c>
      <c r="G20319" s="3" t="s">
        <v>36546</v>
      </c>
    </row>
    <row r="20320">
      <c r="A20320" s="3" t="s">
        <v>36547</v>
      </c>
      <c r="B20320" s="3" t="s">
        <v>16874</v>
      </c>
      <c r="C20320" s="5" t="s">
        <v>614</v>
      </c>
      <c r="D20320" s="3" t="s">
        <v>206</v>
      </c>
      <c r="E20320" s="3" t="s">
        <v>100</v>
      </c>
      <c r="F20320" s="7">
        <v>46137.968051535616</v>
      </c>
      <c r="G20320" s="3" t="s">
        <v>36548</v>
      </c>
    </row>
    <row r="20321">
      <c r="A20321" s="3" t="s">
        <v>36549</v>
      </c>
      <c r="B20321" s="3" t="s">
        <v>16874</v>
      </c>
      <c r="C20321" s="5" t="s">
        <v>206</v>
      </c>
      <c r="D20321" s="3" t="s">
        <v>68</v>
      </c>
      <c r="E20321" s="3" t="s">
        <v>100</v>
      </c>
      <c r="F20321" s="7">
        <v>46137.971523757835</v>
      </c>
      <c r="G20321" s="3" t="s">
        <v>36550</v>
      </c>
    </row>
    <row r="20322">
      <c r="A20322" s="3" t="s">
        <v>36551</v>
      </c>
      <c r="B20322" s="3" t="s">
        <v>16876</v>
      </c>
      <c r="C20322" s="5" t="s">
        <v>45</v>
      </c>
      <c r="D20322" s="3" t="s">
        <v>221</v>
      </c>
      <c r="E20322" s="3" t="s">
        <v>727</v>
      </c>
      <c r="F20322" s="7">
        <v>46138.03228193658</v>
      </c>
      <c r="G20322" s="3" t="s">
        <v>19835</v>
      </c>
    </row>
    <row r="20323">
      <c r="A20323" s="3" t="s">
        <v>36552</v>
      </c>
      <c r="B20323" s="3" t="s">
        <v>16876</v>
      </c>
      <c r="C20323" s="5" t="s">
        <v>221</v>
      </c>
      <c r="D20323" s="3" t="s">
        <v>614</v>
      </c>
      <c r="E20323" s="3" t="s">
        <v>118</v>
      </c>
      <c r="F20323" s="7">
        <v>46138.0357541588</v>
      </c>
      <c r="G20323" s="3" t="s">
        <v>19837</v>
      </c>
    </row>
    <row r="20324">
      <c r="A20324" s="3" t="s">
        <v>36553</v>
      </c>
      <c r="B20324" s="3" t="s">
        <v>16876</v>
      </c>
      <c r="C20324" s="5" t="s">
        <v>614</v>
      </c>
      <c r="D20324" s="3" t="s">
        <v>206</v>
      </c>
      <c r="E20324" s="3" t="s">
        <v>100</v>
      </c>
      <c r="F20324" s="7">
        <v>46138.03922638103</v>
      </c>
      <c r="G20324" s="3" t="s">
        <v>19840</v>
      </c>
    </row>
    <row r="20325">
      <c r="A20325" s="3" t="s">
        <v>36554</v>
      </c>
      <c r="B20325" s="3" t="s">
        <v>16876</v>
      </c>
      <c r="C20325" s="5" t="s">
        <v>206</v>
      </c>
      <c r="D20325" s="3" t="s">
        <v>68</v>
      </c>
      <c r="E20325" s="3" t="s">
        <v>100</v>
      </c>
      <c r="F20325" s="7">
        <v>46138.04269860325</v>
      </c>
      <c r="G20325" s="3" t="s">
        <v>19843</v>
      </c>
    </row>
    <row r="20326">
      <c r="A20326" s="3" t="s">
        <v>36555</v>
      </c>
      <c r="B20326" s="3" t="s">
        <v>16879</v>
      </c>
      <c r="C20326" s="5" t="s">
        <v>45</v>
      </c>
      <c r="D20326" s="3" t="s">
        <v>221</v>
      </c>
      <c r="E20326" s="3" t="s">
        <v>505</v>
      </c>
      <c r="F20326" s="7">
        <v>46138.103456782</v>
      </c>
      <c r="G20326" s="3" t="s">
        <v>27484</v>
      </c>
    </row>
    <row r="20327">
      <c r="A20327" s="3" t="s">
        <v>36556</v>
      </c>
      <c r="B20327" s="3" t="s">
        <v>16879</v>
      </c>
      <c r="C20327" s="5" t="s">
        <v>221</v>
      </c>
      <c r="D20327" s="3" t="s">
        <v>614</v>
      </c>
      <c r="E20327" s="3" t="s">
        <v>118</v>
      </c>
      <c r="F20327" s="7">
        <v>46138.10692900422</v>
      </c>
      <c r="G20327" s="3" t="s">
        <v>27486</v>
      </c>
    </row>
    <row r="20328">
      <c r="A20328" s="3" t="s">
        <v>36557</v>
      </c>
      <c r="B20328" s="3" t="s">
        <v>16879</v>
      </c>
      <c r="C20328" s="5" t="s">
        <v>614</v>
      </c>
      <c r="D20328" s="3" t="s">
        <v>206</v>
      </c>
      <c r="E20328" s="3" t="s">
        <v>100</v>
      </c>
      <c r="F20328" s="7">
        <v>46138.11040122645</v>
      </c>
      <c r="G20328" s="3" t="s">
        <v>27488</v>
      </c>
    </row>
    <row r="20329">
      <c r="A20329" s="3" t="s">
        <v>36558</v>
      </c>
      <c r="B20329" s="3" t="s">
        <v>16879</v>
      </c>
      <c r="C20329" s="5" t="s">
        <v>206</v>
      </c>
      <c r="D20329" s="3" t="s">
        <v>68</v>
      </c>
      <c r="E20329" s="3" t="s">
        <v>100</v>
      </c>
      <c r="F20329" s="7">
        <v>46138.11387344867</v>
      </c>
      <c r="G20329" s="3" t="s">
        <v>27490</v>
      </c>
    </row>
    <row r="20330">
      <c r="A20330" s="3" t="s">
        <v>36559</v>
      </c>
      <c r="B20330" s="3" t="s">
        <v>16882</v>
      </c>
      <c r="C20330" s="5" t="s">
        <v>45</v>
      </c>
      <c r="D20330" s="3" t="s">
        <v>221</v>
      </c>
      <c r="E20330" s="3" t="s">
        <v>773</v>
      </c>
      <c r="F20330" s="7">
        <v>46138.174631627415</v>
      </c>
      <c r="G20330" s="3" t="s">
        <v>26693</v>
      </c>
    </row>
    <row r="20331">
      <c r="A20331" s="3" t="s">
        <v>36560</v>
      </c>
      <c r="B20331" s="3" t="s">
        <v>16882</v>
      </c>
      <c r="C20331" s="5" t="s">
        <v>221</v>
      </c>
      <c r="D20331" s="3" t="s">
        <v>614</v>
      </c>
      <c r="E20331" s="3" t="s">
        <v>118</v>
      </c>
      <c r="F20331" s="7">
        <v>46138.178103849634</v>
      </c>
      <c r="G20331" s="3" t="s">
        <v>26695</v>
      </c>
    </row>
    <row r="20332">
      <c r="A20332" s="3" t="s">
        <v>36561</v>
      </c>
      <c r="B20332" s="3" t="s">
        <v>16882</v>
      </c>
      <c r="C20332" s="5" t="s">
        <v>614</v>
      </c>
      <c r="D20332" s="3" t="s">
        <v>206</v>
      </c>
      <c r="E20332" s="3" t="s">
        <v>100</v>
      </c>
      <c r="F20332" s="7">
        <v>46138.18157607186</v>
      </c>
      <c r="G20332" s="3" t="s">
        <v>26697</v>
      </c>
    </row>
    <row r="20333">
      <c r="A20333" s="3" t="s">
        <v>36562</v>
      </c>
      <c r="B20333" s="3" t="s">
        <v>16882</v>
      </c>
      <c r="C20333" s="5" t="s">
        <v>206</v>
      </c>
      <c r="D20333" s="3" t="s">
        <v>68</v>
      </c>
      <c r="E20333" s="3" t="s">
        <v>100</v>
      </c>
      <c r="F20333" s="7">
        <v>46138.18504829408</v>
      </c>
      <c r="G20333" s="3" t="s">
        <v>26699</v>
      </c>
    </row>
    <row r="20334">
      <c r="A20334" s="3" t="s">
        <v>36563</v>
      </c>
      <c r="B20334" s="3" t="s">
        <v>16885</v>
      </c>
      <c r="C20334" s="5" t="s">
        <v>45</v>
      </c>
      <c r="D20334" s="3" t="s">
        <v>221</v>
      </c>
      <c r="E20334" s="3" t="s">
        <v>1028</v>
      </c>
      <c r="F20334" s="7">
        <v>46138.245806472834</v>
      </c>
      <c r="G20334" s="3" t="s">
        <v>17174</v>
      </c>
    </row>
    <row r="20335">
      <c r="A20335" s="3" t="s">
        <v>36564</v>
      </c>
      <c r="B20335" s="3" t="s">
        <v>16885</v>
      </c>
      <c r="C20335" s="5" t="s">
        <v>221</v>
      </c>
      <c r="D20335" s="3" t="s">
        <v>614</v>
      </c>
      <c r="E20335" s="3" t="s">
        <v>118</v>
      </c>
      <c r="F20335" s="7">
        <v>46138.24927869505</v>
      </c>
      <c r="G20335" s="3" t="s">
        <v>17177</v>
      </c>
    </row>
    <row r="20336">
      <c r="A20336" s="3" t="s">
        <v>36565</v>
      </c>
      <c r="B20336" s="3" t="s">
        <v>16885</v>
      </c>
      <c r="C20336" s="5" t="s">
        <v>614</v>
      </c>
      <c r="D20336" s="3" t="s">
        <v>206</v>
      </c>
      <c r="E20336" s="3" t="s">
        <v>100</v>
      </c>
      <c r="F20336" s="7">
        <v>46138.25275091728</v>
      </c>
      <c r="G20336" s="3" t="s">
        <v>17180</v>
      </c>
    </row>
    <row r="20337">
      <c r="A20337" s="3" t="s">
        <v>36566</v>
      </c>
      <c r="B20337" s="3" t="s">
        <v>16885</v>
      </c>
      <c r="C20337" s="5" t="s">
        <v>206</v>
      </c>
      <c r="D20337" s="3" t="s">
        <v>68</v>
      </c>
      <c r="E20337" s="3" t="s">
        <v>100</v>
      </c>
      <c r="F20337" s="7">
        <v>46138.2562231395</v>
      </c>
      <c r="G20337" s="3" t="s">
        <v>17182</v>
      </c>
    </row>
    <row r="20338">
      <c r="A20338" s="3" t="s">
        <v>36567</v>
      </c>
      <c r="B20338" s="3" t="s">
        <v>16888</v>
      </c>
      <c r="C20338" s="5" t="s">
        <v>45</v>
      </c>
      <c r="D20338" s="3" t="s">
        <v>221</v>
      </c>
      <c r="E20338" s="3" t="s">
        <v>302</v>
      </c>
      <c r="F20338" s="7">
        <v>46138.31698131824</v>
      </c>
      <c r="G20338" s="3" t="s">
        <v>9090</v>
      </c>
    </row>
    <row r="20339">
      <c r="A20339" s="3" t="s">
        <v>36568</v>
      </c>
      <c r="B20339" s="3" t="s">
        <v>16888</v>
      </c>
      <c r="C20339" s="5" t="s">
        <v>221</v>
      </c>
      <c r="D20339" s="3" t="s">
        <v>614</v>
      </c>
      <c r="E20339" s="3" t="s">
        <v>118</v>
      </c>
      <c r="F20339" s="7">
        <v>46138.32045354046</v>
      </c>
      <c r="G20339" s="3" t="s">
        <v>36569</v>
      </c>
    </row>
    <row r="20340">
      <c r="A20340" s="3" t="s">
        <v>36570</v>
      </c>
      <c r="B20340" s="3" t="s">
        <v>16888</v>
      </c>
      <c r="C20340" s="5" t="s">
        <v>614</v>
      </c>
      <c r="D20340" s="3" t="s">
        <v>206</v>
      </c>
      <c r="E20340" s="3" t="s">
        <v>100</v>
      </c>
      <c r="F20340" s="7">
        <v>46138.323925762685</v>
      </c>
      <c r="G20340" s="3" t="s">
        <v>36571</v>
      </c>
    </row>
    <row r="20341">
      <c r="A20341" s="3" t="s">
        <v>36572</v>
      </c>
      <c r="B20341" s="3" t="s">
        <v>16888</v>
      </c>
      <c r="C20341" s="5" t="s">
        <v>206</v>
      </c>
      <c r="D20341" s="3" t="s">
        <v>68</v>
      </c>
      <c r="E20341" s="3" t="s">
        <v>100</v>
      </c>
      <c r="F20341" s="7">
        <v>46138.327397984904</v>
      </c>
      <c r="G20341" s="3" t="s">
        <v>36573</v>
      </c>
    </row>
    <row r="20342">
      <c r="A20342" s="3" t="s">
        <v>36574</v>
      </c>
      <c r="B20342" s="3" t="s">
        <v>16891</v>
      </c>
      <c r="C20342" s="5" t="s">
        <v>45</v>
      </c>
      <c r="D20342" s="3" t="s">
        <v>221</v>
      </c>
      <c r="E20342" s="3" t="s">
        <v>751</v>
      </c>
      <c r="F20342" s="7">
        <v>46138.38815616366</v>
      </c>
      <c r="G20342" s="3" t="s">
        <v>17559</v>
      </c>
    </row>
    <row r="20343">
      <c r="A20343" s="3" t="s">
        <v>36575</v>
      </c>
      <c r="B20343" s="3" t="s">
        <v>16891</v>
      </c>
      <c r="C20343" s="5" t="s">
        <v>221</v>
      </c>
      <c r="D20343" s="3" t="s">
        <v>195</v>
      </c>
      <c r="E20343" s="3" t="s">
        <v>751</v>
      </c>
      <c r="F20343" s="7">
        <v>46138.39162838588</v>
      </c>
      <c r="G20343" s="3" t="s">
        <v>36576</v>
      </c>
    </row>
    <row r="20344">
      <c r="A20344" s="3" t="s">
        <v>36577</v>
      </c>
      <c r="B20344" s="3" t="s">
        <v>16894</v>
      </c>
      <c r="C20344" s="5" t="s">
        <v>45</v>
      </c>
      <c r="D20344" s="3" t="s">
        <v>221</v>
      </c>
      <c r="E20344" s="3" t="s">
        <v>1008</v>
      </c>
      <c r="F20344" s="7">
        <v>46138.45933100908</v>
      </c>
      <c r="G20344" s="3" t="s">
        <v>15618</v>
      </c>
    </row>
    <row r="20345">
      <c r="A20345" s="3" t="s">
        <v>36578</v>
      </c>
      <c r="B20345" s="3" t="s">
        <v>16894</v>
      </c>
      <c r="C20345" s="5" t="s">
        <v>221</v>
      </c>
      <c r="D20345" s="3" t="s">
        <v>614</v>
      </c>
      <c r="E20345" s="3" t="s">
        <v>118</v>
      </c>
      <c r="F20345" s="7">
        <v>46138.4628032313</v>
      </c>
      <c r="G20345" s="3" t="s">
        <v>15620</v>
      </c>
    </row>
    <row r="20346">
      <c r="A20346" s="3" t="s">
        <v>36579</v>
      </c>
      <c r="B20346" s="3" t="s">
        <v>16894</v>
      </c>
      <c r="C20346" s="5" t="s">
        <v>614</v>
      </c>
      <c r="D20346" s="3" t="s">
        <v>206</v>
      </c>
      <c r="E20346" s="3" t="s">
        <v>100</v>
      </c>
      <c r="F20346" s="7">
        <v>46138.466275453524</v>
      </c>
      <c r="G20346" s="3" t="s">
        <v>15623</v>
      </c>
    </row>
    <row r="20347">
      <c r="A20347" s="3" t="s">
        <v>36580</v>
      </c>
      <c r="B20347" s="3" t="s">
        <v>16894</v>
      </c>
      <c r="C20347" s="5" t="s">
        <v>206</v>
      </c>
      <c r="D20347" s="3" t="s">
        <v>68</v>
      </c>
      <c r="E20347" s="3" t="s">
        <v>100</v>
      </c>
      <c r="F20347" s="7">
        <v>46138.46974767574</v>
      </c>
      <c r="G20347" s="3" t="s">
        <v>15626</v>
      </c>
    </row>
    <row r="20348">
      <c r="A20348" s="3" t="s">
        <v>36581</v>
      </c>
      <c r="B20348" s="3" t="s">
        <v>16898</v>
      </c>
      <c r="C20348" s="5" t="s">
        <v>45</v>
      </c>
      <c r="D20348" s="3" t="s">
        <v>221</v>
      </c>
      <c r="E20348" s="3" t="s">
        <v>527</v>
      </c>
      <c r="F20348" s="7">
        <v>46138.53050585449</v>
      </c>
      <c r="G20348" s="3" t="s">
        <v>25632</v>
      </c>
    </row>
    <row r="20349">
      <c r="A20349" s="3" t="s">
        <v>36582</v>
      </c>
      <c r="B20349" s="3" t="s">
        <v>16898</v>
      </c>
      <c r="C20349" s="5" t="s">
        <v>221</v>
      </c>
      <c r="D20349" s="3" t="s">
        <v>614</v>
      </c>
      <c r="E20349" s="3" t="s">
        <v>118</v>
      </c>
      <c r="F20349" s="7">
        <v>46138.53397807671</v>
      </c>
      <c r="G20349" s="3" t="s">
        <v>25634</v>
      </c>
    </row>
    <row r="20350">
      <c r="A20350" s="3" t="s">
        <v>36583</v>
      </c>
      <c r="B20350" s="3" t="s">
        <v>16898</v>
      </c>
      <c r="C20350" s="5" t="s">
        <v>614</v>
      </c>
      <c r="D20350" s="3" t="s">
        <v>206</v>
      </c>
      <c r="E20350" s="3" t="s">
        <v>100</v>
      </c>
      <c r="F20350" s="7">
        <v>46138.537450298936</v>
      </c>
      <c r="G20350" s="3" t="s">
        <v>25636</v>
      </c>
    </row>
    <row r="20351">
      <c r="A20351" s="3" t="s">
        <v>36584</v>
      </c>
      <c r="B20351" s="3" t="s">
        <v>16898</v>
      </c>
      <c r="C20351" s="5" t="s">
        <v>206</v>
      </c>
      <c r="D20351" s="3" t="s">
        <v>68</v>
      </c>
      <c r="E20351" s="3" t="s">
        <v>100</v>
      </c>
      <c r="F20351" s="7">
        <v>46138.540922521155</v>
      </c>
      <c r="G20351" s="3" t="s">
        <v>25638</v>
      </c>
    </row>
    <row r="20352">
      <c r="A20352" s="3" t="s">
        <v>36585</v>
      </c>
      <c r="B20352" s="3" t="s">
        <v>16902</v>
      </c>
      <c r="C20352" s="5" t="s">
        <v>45</v>
      </c>
      <c r="D20352" s="3" t="s">
        <v>221</v>
      </c>
      <c r="E20352" s="3" t="s">
        <v>479</v>
      </c>
      <c r="F20352" s="7">
        <v>46138.6016806999</v>
      </c>
      <c r="G20352" s="3" t="s">
        <v>17185</v>
      </c>
    </row>
    <row r="20353">
      <c r="A20353" s="3" t="s">
        <v>36586</v>
      </c>
      <c r="B20353" s="3" t="s">
        <v>16902</v>
      </c>
      <c r="C20353" s="5" t="s">
        <v>221</v>
      </c>
      <c r="D20353" s="3" t="s">
        <v>614</v>
      </c>
      <c r="E20353" s="3" t="s">
        <v>118</v>
      </c>
      <c r="F20353" s="7">
        <v>46138.60515292212</v>
      </c>
      <c r="G20353" s="3" t="s">
        <v>17188</v>
      </c>
    </row>
    <row r="20354">
      <c r="A20354" s="3" t="s">
        <v>36587</v>
      </c>
      <c r="B20354" s="3" t="s">
        <v>16902</v>
      </c>
      <c r="C20354" s="5" t="s">
        <v>614</v>
      </c>
      <c r="D20354" s="3" t="s">
        <v>206</v>
      </c>
      <c r="E20354" s="3" t="s">
        <v>100</v>
      </c>
      <c r="F20354" s="7">
        <v>46138.60862514435</v>
      </c>
      <c r="G20354" s="3" t="s">
        <v>17191</v>
      </c>
    </row>
    <row r="20355">
      <c r="A20355" s="3" t="s">
        <v>36588</v>
      </c>
      <c r="B20355" s="3" t="s">
        <v>16902</v>
      </c>
      <c r="C20355" s="5" t="s">
        <v>206</v>
      </c>
      <c r="D20355" s="3" t="s">
        <v>68</v>
      </c>
      <c r="E20355" s="3" t="s">
        <v>100</v>
      </c>
      <c r="F20355" s="7">
        <v>46138.61209736657</v>
      </c>
      <c r="G20355" s="3" t="s">
        <v>17194</v>
      </c>
    </row>
    <row r="20356">
      <c r="A20356" s="3" t="s">
        <v>36589</v>
      </c>
      <c r="B20356" s="3" t="s">
        <v>16904</v>
      </c>
      <c r="C20356" s="5" t="s">
        <v>45</v>
      </c>
      <c r="D20356" s="3" t="s">
        <v>221</v>
      </c>
      <c r="E20356" s="3" t="s">
        <v>363</v>
      </c>
      <c r="F20356" s="7">
        <v>46138.67285554532</v>
      </c>
      <c r="G20356" s="3" t="s">
        <v>8198</v>
      </c>
    </row>
    <row r="20357">
      <c r="A20357" s="3" t="s">
        <v>36590</v>
      </c>
      <c r="B20357" s="3" t="s">
        <v>16904</v>
      </c>
      <c r="C20357" s="5" t="s">
        <v>221</v>
      </c>
      <c r="D20357" s="3" t="s">
        <v>195</v>
      </c>
      <c r="E20357" s="3" t="s">
        <v>363</v>
      </c>
      <c r="F20357" s="7">
        <v>46138.67632776754</v>
      </c>
      <c r="G20357" s="3" t="s">
        <v>36591</v>
      </c>
    </row>
    <row r="20358">
      <c r="A20358" s="3" t="s">
        <v>36592</v>
      </c>
      <c r="B20358" s="3" t="s">
        <v>16906</v>
      </c>
      <c r="C20358" s="5" t="s">
        <v>45</v>
      </c>
      <c r="D20358" s="3" t="s">
        <v>221</v>
      </c>
      <c r="E20358" s="3" t="s">
        <v>455</v>
      </c>
      <c r="F20358" s="7">
        <v>46138.744030390735</v>
      </c>
      <c r="G20358" s="3" t="s">
        <v>15694</v>
      </c>
    </row>
    <row r="20359">
      <c r="A20359" s="3" t="s">
        <v>36593</v>
      </c>
      <c r="B20359" s="3" t="s">
        <v>16906</v>
      </c>
      <c r="C20359" s="5" t="s">
        <v>221</v>
      </c>
      <c r="D20359" s="3" t="s">
        <v>181</v>
      </c>
      <c r="E20359" s="3" t="s">
        <v>118</v>
      </c>
      <c r="F20359" s="7">
        <v>46138.747502612954</v>
      </c>
      <c r="G20359" s="3" t="s">
        <v>36594</v>
      </c>
    </row>
    <row r="20360">
      <c r="A20360" s="3" t="s">
        <v>36595</v>
      </c>
      <c r="B20360" s="3" t="s">
        <v>16909</v>
      </c>
      <c r="C20360" s="5" t="s">
        <v>45</v>
      </c>
      <c r="D20360" s="3" t="s">
        <v>221</v>
      </c>
      <c r="E20360" s="3" t="s">
        <v>916</v>
      </c>
      <c r="F20360" s="7">
        <v>46138.81520523615</v>
      </c>
      <c r="G20360" s="3" t="s">
        <v>8332</v>
      </c>
    </row>
    <row r="20361">
      <c r="A20361" s="3" t="s">
        <v>36596</v>
      </c>
      <c r="B20361" s="3" t="s">
        <v>16909</v>
      </c>
      <c r="C20361" s="5" t="s">
        <v>221</v>
      </c>
      <c r="D20361" s="3" t="s">
        <v>181</v>
      </c>
      <c r="E20361" s="3" t="s">
        <v>118</v>
      </c>
      <c r="F20361" s="7">
        <v>46138.81867745837</v>
      </c>
      <c r="G20361" s="3" t="s">
        <v>33644</v>
      </c>
    </row>
    <row r="20362">
      <c r="A20362" s="3" t="s">
        <v>36597</v>
      </c>
      <c r="B20362" s="3" t="s">
        <v>16911</v>
      </c>
      <c r="C20362" s="5" t="s">
        <v>45</v>
      </c>
      <c r="D20362" s="3" t="s">
        <v>221</v>
      </c>
      <c r="E20362" s="3" t="s">
        <v>171</v>
      </c>
      <c r="F20362" s="7">
        <v>46138.88638008157</v>
      </c>
      <c r="G20362" s="3" t="s">
        <v>13962</v>
      </c>
    </row>
    <row r="20363">
      <c r="A20363" s="3" t="s">
        <v>36598</v>
      </c>
      <c r="B20363" s="3" t="s">
        <v>16911</v>
      </c>
      <c r="C20363" s="5" t="s">
        <v>221</v>
      </c>
      <c r="D20363" s="3" t="s">
        <v>614</v>
      </c>
      <c r="E20363" s="3" t="s">
        <v>118</v>
      </c>
      <c r="F20363" s="7">
        <v>46138.889852303786</v>
      </c>
      <c r="G20363" s="3" t="s">
        <v>13965</v>
      </c>
    </row>
    <row r="20364">
      <c r="A20364" s="3" t="s">
        <v>36599</v>
      </c>
      <c r="B20364" s="3" t="s">
        <v>16911</v>
      </c>
      <c r="C20364" s="5" t="s">
        <v>614</v>
      </c>
      <c r="D20364" s="3" t="s">
        <v>206</v>
      </c>
      <c r="E20364" s="3" t="s">
        <v>100</v>
      </c>
      <c r="F20364" s="7">
        <v>46138.89332452601</v>
      </c>
      <c r="G20364" s="3" t="s">
        <v>13968</v>
      </c>
    </row>
    <row r="20365">
      <c r="A20365" s="3" t="s">
        <v>36600</v>
      </c>
      <c r="B20365" s="3" t="s">
        <v>16911</v>
      </c>
      <c r="C20365" s="5" t="s">
        <v>206</v>
      </c>
      <c r="D20365" s="3" t="s">
        <v>68</v>
      </c>
      <c r="E20365" s="3" t="s">
        <v>100</v>
      </c>
      <c r="F20365" s="7">
        <v>46138.89679674823</v>
      </c>
      <c r="G20365" s="3" t="s">
        <v>13970</v>
      </c>
    </row>
    <row r="20366">
      <c r="A20366" s="3" t="s">
        <v>36601</v>
      </c>
      <c r="B20366" s="3" t="s">
        <v>16913</v>
      </c>
      <c r="C20366" s="5" t="s">
        <v>45</v>
      </c>
      <c r="D20366" s="3" t="s">
        <v>221</v>
      </c>
      <c r="E20366" s="3" t="s">
        <v>694</v>
      </c>
      <c r="F20366" s="7">
        <v>46138.95755492699</v>
      </c>
      <c r="G20366" s="3" t="s">
        <v>35626</v>
      </c>
    </row>
    <row r="20367">
      <c r="A20367" s="3" t="s">
        <v>36602</v>
      </c>
      <c r="B20367" s="3" t="s">
        <v>16913</v>
      </c>
      <c r="C20367" s="5" t="s">
        <v>221</v>
      </c>
      <c r="D20367" s="3" t="s">
        <v>614</v>
      </c>
      <c r="E20367" s="3" t="s">
        <v>118</v>
      </c>
      <c r="F20367" s="7">
        <v>46138.961027149206</v>
      </c>
      <c r="G20367" s="3" t="s">
        <v>35628</v>
      </c>
    </row>
    <row r="20368">
      <c r="A20368" s="3" t="s">
        <v>36603</v>
      </c>
      <c r="B20368" s="3" t="s">
        <v>16913</v>
      </c>
      <c r="C20368" s="5" t="s">
        <v>614</v>
      </c>
      <c r="D20368" s="3" t="s">
        <v>206</v>
      </c>
      <c r="E20368" s="3" t="s">
        <v>100</v>
      </c>
      <c r="F20368" s="7">
        <v>46138.96449937143</v>
      </c>
      <c r="G20368" s="3" t="s">
        <v>35630</v>
      </c>
    </row>
    <row r="20369">
      <c r="A20369" s="3" t="s">
        <v>36604</v>
      </c>
      <c r="B20369" s="3" t="s">
        <v>16913</v>
      </c>
      <c r="C20369" s="5" t="s">
        <v>206</v>
      </c>
      <c r="D20369" s="3" t="s">
        <v>68</v>
      </c>
      <c r="E20369" s="3" t="s">
        <v>100</v>
      </c>
      <c r="F20369" s="7">
        <v>46138.96797159365</v>
      </c>
      <c r="G20369" s="3" t="s">
        <v>35632</v>
      </c>
    </row>
    <row r="20370">
      <c r="A20370" s="3" t="s">
        <v>36605</v>
      </c>
      <c r="B20370" s="3" t="s">
        <v>16915</v>
      </c>
      <c r="C20370" s="5" t="s">
        <v>45</v>
      </c>
      <c r="D20370" s="3" t="s">
        <v>221</v>
      </c>
      <c r="E20370" s="3" t="s">
        <v>383</v>
      </c>
      <c r="F20370" s="7">
        <v>46139.02872977239</v>
      </c>
      <c r="G20370" s="3" t="s">
        <v>5774</v>
      </c>
    </row>
    <row r="20371">
      <c r="A20371" s="3" t="s">
        <v>36606</v>
      </c>
      <c r="B20371" s="3" t="s">
        <v>16915</v>
      </c>
      <c r="C20371" s="5" t="s">
        <v>221</v>
      </c>
      <c r="D20371" s="3" t="s">
        <v>614</v>
      </c>
      <c r="E20371" s="3" t="s">
        <v>118</v>
      </c>
      <c r="F20371" s="7">
        <v>46139.03220199461</v>
      </c>
      <c r="G20371" s="3" t="s">
        <v>5777</v>
      </c>
    </row>
    <row r="20372">
      <c r="A20372" s="3" t="s">
        <v>36607</v>
      </c>
      <c r="B20372" s="3" t="s">
        <v>16915</v>
      </c>
      <c r="C20372" s="5" t="s">
        <v>614</v>
      </c>
      <c r="D20372" s="3" t="s">
        <v>206</v>
      </c>
      <c r="E20372" s="3" t="s">
        <v>100</v>
      </c>
      <c r="F20372" s="7">
        <v>46139.03567421684</v>
      </c>
      <c r="G20372" s="3" t="s">
        <v>5780</v>
      </c>
    </row>
    <row r="20373">
      <c r="A20373" s="3" t="s">
        <v>36608</v>
      </c>
      <c r="B20373" s="3" t="s">
        <v>16915</v>
      </c>
      <c r="C20373" s="5" t="s">
        <v>206</v>
      </c>
      <c r="D20373" s="3" t="s">
        <v>68</v>
      </c>
      <c r="E20373" s="3" t="s">
        <v>100</v>
      </c>
      <c r="F20373" s="7">
        <v>46139.039146439056</v>
      </c>
      <c r="G20373" s="3" t="s">
        <v>5783</v>
      </c>
    </row>
    <row r="20374">
      <c r="A20374" s="3" t="s">
        <v>36609</v>
      </c>
      <c r="B20374" s="3" t="s">
        <v>16917</v>
      </c>
      <c r="C20374" s="5" t="s">
        <v>45</v>
      </c>
      <c r="D20374" s="3" t="s">
        <v>221</v>
      </c>
      <c r="E20374" s="3" t="s">
        <v>961</v>
      </c>
      <c r="F20374" s="7">
        <v>46139.09990461781</v>
      </c>
      <c r="G20374" s="3" t="s">
        <v>15491</v>
      </c>
    </row>
    <row r="20375">
      <c r="A20375" s="3" t="s">
        <v>36610</v>
      </c>
      <c r="B20375" s="3" t="s">
        <v>16917</v>
      </c>
      <c r="C20375" s="5" t="s">
        <v>221</v>
      </c>
      <c r="D20375" s="3" t="s">
        <v>614</v>
      </c>
      <c r="E20375" s="3" t="s">
        <v>118</v>
      </c>
      <c r="F20375" s="7">
        <v>46139.10337684003</v>
      </c>
      <c r="G20375" s="3" t="s">
        <v>15493</v>
      </c>
    </row>
    <row r="20376">
      <c r="A20376" s="3" t="s">
        <v>36611</v>
      </c>
      <c r="B20376" s="3" t="s">
        <v>16917</v>
      </c>
      <c r="C20376" s="5" t="s">
        <v>614</v>
      </c>
      <c r="D20376" s="3" t="s">
        <v>206</v>
      </c>
      <c r="E20376" s="3" t="s">
        <v>100</v>
      </c>
      <c r="F20376" s="7">
        <v>46139.10684906226</v>
      </c>
      <c r="G20376" s="3" t="s">
        <v>15496</v>
      </c>
    </row>
    <row r="20377">
      <c r="A20377" s="3" t="s">
        <v>36612</v>
      </c>
      <c r="B20377" s="3" t="s">
        <v>16917</v>
      </c>
      <c r="C20377" s="5" t="s">
        <v>206</v>
      </c>
      <c r="D20377" s="3" t="s">
        <v>68</v>
      </c>
      <c r="E20377" s="3" t="s">
        <v>100</v>
      </c>
      <c r="F20377" s="7">
        <v>46139.110321284476</v>
      </c>
      <c r="G20377" s="3" t="s">
        <v>15499</v>
      </c>
    </row>
    <row r="20378">
      <c r="A20378" s="3" t="s">
        <v>36613</v>
      </c>
      <c r="B20378" s="3" t="s">
        <v>16921</v>
      </c>
      <c r="C20378" s="5" t="s">
        <v>45</v>
      </c>
      <c r="D20378" s="3" t="s">
        <v>221</v>
      </c>
      <c r="E20378" s="3" t="s">
        <v>853</v>
      </c>
      <c r="F20378" s="7">
        <v>46139.17107946323</v>
      </c>
      <c r="G20378" s="3" t="s">
        <v>9188</v>
      </c>
    </row>
    <row r="20379">
      <c r="A20379" s="3" t="s">
        <v>36614</v>
      </c>
      <c r="B20379" s="3" t="s">
        <v>16921</v>
      </c>
      <c r="C20379" s="5" t="s">
        <v>221</v>
      </c>
      <c r="D20379" s="3" t="s">
        <v>614</v>
      </c>
      <c r="E20379" s="3" t="s">
        <v>118</v>
      </c>
      <c r="F20379" s="7">
        <v>46139.17455168545</v>
      </c>
      <c r="G20379" s="3" t="s">
        <v>9191</v>
      </c>
    </row>
    <row r="20380">
      <c r="A20380" s="3" t="s">
        <v>36615</v>
      </c>
      <c r="B20380" s="3" t="s">
        <v>16921</v>
      </c>
      <c r="C20380" s="5" t="s">
        <v>614</v>
      </c>
      <c r="D20380" s="3" t="s">
        <v>206</v>
      </c>
      <c r="E20380" s="3" t="s">
        <v>100</v>
      </c>
      <c r="F20380" s="7">
        <v>46139.178023907676</v>
      </c>
      <c r="G20380" s="3" t="s">
        <v>9194</v>
      </c>
    </row>
    <row r="20381">
      <c r="A20381" s="3" t="s">
        <v>36616</v>
      </c>
      <c r="B20381" s="3" t="s">
        <v>16921</v>
      </c>
      <c r="C20381" s="5" t="s">
        <v>206</v>
      </c>
      <c r="D20381" s="3" t="s">
        <v>68</v>
      </c>
      <c r="E20381" s="3" t="s">
        <v>100</v>
      </c>
      <c r="F20381" s="7">
        <v>46139.181496129895</v>
      </c>
      <c r="G20381" s="3" t="s">
        <v>9196</v>
      </c>
    </row>
    <row r="20382">
      <c r="A20382" s="3" t="s">
        <v>36617</v>
      </c>
      <c r="B20382" s="3" t="s">
        <v>16925</v>
      </c>
      <c r="C20382" s="5" t="s">
        <v>45</v>
      </c>
      <c r="D20382" s="3" t="s">
        <v>221</v>
      </c>
      <c r="E20382" s="3" t="s">
        <v>123</v>
      </c>
      <c r="F20382" s="7">
        <v>46139.24225430864</v>
      </c>
      <c r="G20382" s="3" t="s">
        <v>2770</v>
      </c>
    </row>
    <row r="20383">
      <c r="A20383" s="3" t="s">
        <v>36618</v>
      </c>
      <c r="B20383" s="3" t="s">
        <v>16925</v>
      </c>
      <c r="C20383" s="5" t="s">
        <v>221</v>
      </c>
      <c r="D20383" s="3" t="s">
        <v>181</v>
      </c>
      <c r="E20383" s="3" t="s">
        <v>118</v>
      </c>
      <c r="F20383" s="7">
        <v>46139.24572653086</v>
      </c>
      <c r="G20383" s="3" t="s">
        <v>2774</v>
      </c>
    </row>
    <row r="20384">
      <c r="A20384" s="3" t="s">
        <v>36619</v>
      </c>
      <c r="B20384" s="3" t="s">
        <v>16928</v>
      </c>
      <c r="C20384" s="5" t="s">
        <v>45</v>
      </c>
      <c r="D20384" s="3" t="s">
        <v>221</v>
      </c>
      <c r="E20384" s="3" t="s">
        <v>870</v>
      </c>
      <c r="F20384" s="7">
        <v>46139.313429154055</v>
      </c>
      <c r="G20384" s="3" t="s">
        <v>22223</v>
      </c>
    </row>
    <row r="20385">
      <c r="A20385" s="3" t="s">
        <v>36620</v>
      </c>
      <c r="B20385" s="3" t="s">
        <v>16928</v>
      </c>
      <c r="C20385" s="5" t="s">
        <v>221</v>
      </c>
      <c r="D20385" s="3" t="s">
        <v>614</v>
      </c>
      <c r="E20385" s="3" t="s">
        <v>118</v>
      </c>
      <c r="F20385" s="7">
        <v>46139.316901376274</v>
      </c>
      <c r="G20385" s="3" t="s">
        <v>22226</v>
      </c>
    </row>
    <row r="20386">
      <c r="A20386" s="3" t="s">
        <v>36621</v>
      </c>
      <c r="B20386" s="3" t="s">
        <v>16928</v>
      </c>
      <c r="C20386" s="5" t="s">
        <v>614</v>
      </c>
      <c r="D20386" s="3" t="s">
        <v>206</v>
      </c>
      <c r="E20386" s="3" t="s">
        <v>100</v>
      </c>
      <c r="F20386" s="7">
        <v>46139.3203735985</v>
      </c>
      <c r="G20386" s="3" t="s">
        <v>22229</v>
      </c>
    </row>
    <row r="20387">
      <c r="A20387" s="3" t="s">
        <v>36622</v>
      </c>
      <c r="B20387" s="3" t="s">
        <v>16928</v>
      </c>
      <c r="C20387" s="5" t="s">
        <v>206</v>
      </c>
      <c r="D20387" s="3" t="s">
        <v>68</v>
      </c>
      <c r="E20387" s="3" t="s">
        <v>100</v>
      </c>
      <c r="F20387" s="7">
        <v>46139.32384582072</v>
      </c>
      <c r="G20387" s="3" t="s">
        <v>22232</v>
      </c>
    </row>
    <row r="20388">
      <c r="A20388" s="3" t="s">
        <v>36623</v>
      </c>
      <c r="B20388" s="3" t="s">
        <v>16930</v>
      </c>
      <c r="C20388" s="5" t="s">
        <v>45</v>
      </c>
      <c r="D20388" s="3" t="s">
        <v>221</v>
      </c>
      <c r="E20388" s="3" t="s">
        <v>819</v>
      </c>
      <c r="F20388" s="7">
        <v>46139.384603999475</v>
      </c>
      <c r="G20388" s="3" t="s">
        <v>17970</v>
      </c>
    </row>
    <row r="20389">
      <c r="A20389" s="3" t="s">
        <v>36624</v>
      </c>
      <c r="B20389" s="3" t="s">
        <v>16930</v>
      </c>
      <c r="C20389" s="5" t="s">
        <v>221</v>
      </c>
      <c r="D20389" s="3" t="s">
        <v>614</v>
      </c>
      <c r="E20389" s="3" t="s">
        <v>118</v>
      </c>
      <c r="F20389" s="7">
        <v>46139.388076221694</v>
      </c>
      <c r="G20389" s="3" t="s">
        <v>19775</v>
      </c>
    </row>
    <row r="20390">
      <c r="A20390" s="3" t="s">
        <v>36625</v>
      </c>
      <c r="B20390" s="3" t="s">
        <v>16930</v>
      </c>
      <c r="C20390" s="5" t="s">
        <v>614</v>
      </c>
      <c r="D20390" s="3" t="s">
        <v>206</v>
      </c>
      <c r="E20390" s="3" t="s">
        <v>100</v>
      </c>
      <c r="F20390" s="7">
        <v>46139.39154844392</v>
      </c>
      <c r="G20390" s="3" t="s">
        <v>19778</v>
      </c>
    </row>
    <row r="20391">
      <c r="A20391" s="3" t="s">
        <v>36626</v>
      </c>
      <c r="B20391" s="3" t="s">
        <v>16930</v>
      </c>
      <c r="C20391" s="5" t="s">
        <v>206</v>
      </c>
      <c r="D20391" s="3" t="s">
        <v>68</v>
      </c>
      <c r="E20391" s="3" t="s">
        <v>100</v>
      </c>
      <c r="F20391" s="7">
        <v>46139.39502066614</v>
      </c>
      <c r="G20391" s="3" t="s">
        <v>19781</v>
      </c>
    </row>
    <row r="20392">
      <c r="A20392" s="3" t="s">
        <v>36627</v>
      </c>
      <c r="B20392" s="3" t="s">
        <v>16932</v>
      </c>
      <c r="C20392" s="5" t="s">
        <v>45</v>
      </c>
      <c r="D20392" s="3" t="s">
        <v>221</v>
      </c>
      <c r="E20392" s="3" t="s">
        <v>591</v>
      </c>
      <c r="F20392" s="7">
        <v>46139.45577884489</v>
      </c>
      <c r="G20392" s="3" t="s">
        <v>23230</v>
      </c>
    </row>
    <row r="20393">
      <c r="A20393" s="3" t="s">
        <v>36628</v>
      </c>
      <c r="B20393" s="3" t="s">
        <v>16932</v>
      </c>
      <c r="C20393" s="5" t="s">
        <v>221</v>
      </c>
      <c r="D20393" s="3" t="s">
        <v>614</v>
      </c>
      <c r="E20393" s="3" t="s">
        <v>118</v>
      </c>
      <c r="F20393" s="7">
        <v>46139.45925106711</v>
      </c>
      <c r="G20393" s="3" t="s">
        <v>23233</v>
      </c>
    </row>
    <row r="20394">
      <c r="A20394" s="3" t="s">
        <v>36629</v>
      </c>
      <c r="B20394" s="3" t="s">
        <v>16932</v>
      </c>
      <c r="C20394" s="5" t="s">
        <v>614</v>
      </c>
      <c r="D20394" s="3" t="s">
        <v>206</v>
      </c>
      <c r="E20394" s="3" t="s">
        <v>100</v>
      </c>
      <c r="F20394" s="7">
        <v>46139.46272328933</v>
      </c>
      <c r="G20394" s="3" t="s">
        <v>23236</v>
      </c>
    </row>
    <row r="20395">
      <c r="A20395" s="3" t="s">
        <v>36630</v>
      </c>
      <c r="B20395" s="3" t="s">
        <v>16932</v>
      </c>
      <c r="C20395" s="5" t="s">
        <v>206</v>
      </c>
      <c r="D20395" s="3" t="s">
        <v>68</v>
      </c>
      <c r="E20395" s="3" t="s">
        <v>100</v>
      </c>
      <c r="F20395" s="7">
        <v>46139.46619551155</v>
      </c>
      <c r="G20395" s="3" t="s">
        <v>23239</v>
      </c>
    </row>
    <row r="20396">
      <c r="A20396" s="3" t="s">
        <v>36631</v>
      </c>
      <c r="B20396" s="3" t="s">
        <v>16936</v>
      </c>
      <c r="C20396" s="5" t="s">
        <v>45</v>
      </c>
      <c r="D20396" s="3" t="s">
        <v>221</v>
      </c>
      <c r="E20396" s="3" t="s">
        <v>269</v>
      </c>
      <c r="F20396" s="7">
        <v>46139.5269536903</v>
      </c>
      <c r="G20396" s="3" t="s">
        <v>7615</v>
      </c>
    </row>
    <row r="20397">
      <c r="A20397" s="3" t="s">
        <v>36632</v>
      </c>
      <c r="B20397" s="3" t="s">
        <v>16936</v>
      </c>
      <c r="C20397" s="5" t="s">
        <v>221</v>
      </c>
      <c r="D20397" s="3" t="s">
        <v>614</v>
      </c>
      <c r="E20397" s="3" t="s">
        <v>118</v>
      </c>
      <c r="F20397" s="7">
        <v>46139.53042591252</v>
      </c>
      <c r="G20397" s="3" t="s">
        <v>7618</v>
      </c>
    </row>
    <row r="20398">
      <c r="A20398" s="3" t="s">
        <v>36633</v>
      </c>
      <c r="B20398" s="3" t="s">
        <v>16936</v>
      </c>
      <c r="C20398" s="5" t="s">
        <v>614</v>
      </c>
      <c r="D20398" s="3" t="s">
        <v>206</v>
      </c>
      <c r="E20398" s="3" t="s">
        <v>100</v>
      </c>
      <c r="F20398" s="7">
        <v>46139.533898134745</v>
      </c>
      <c r="G20398" s="3" t="s">
        <v>7621</v>
      </c>
    </row>
    <row r="20399">
      <c r="A20399" s="3" t="s">
        <v>36634</v>
      </c>
      <c r="B20399" s="3" t="s">
        <v>16936</v>
      </c>
      <c r="C20399" s="5" t="s">
        <v>206</v>
      </c>
      <c r="D20399" s="3" t="s">
        <v>68</v>
      </c>
      <c r="E20399" s="3" t="s">
        <v>100</v>
      </c>
      <c r="F20399" s="7">
        <v>46139.537370356964</v>
      </c>
      <c r="G20399" s="3" t="s">
        <v>7624</v>
      </c>
    </row>
    <row r="20400">
      <c r="A20400" s="3" t="s">
        <v>36635</v>
      </c>
      <c r="B20400" s="3" t="s">
        <v>16940</v>
      </c>
      <c r="C20400" s="5" t="s">
        <v>45</v>
      </c>
      <c r="D20400" s="3" t="s">
        <v>221</v>
      </c>
      <c r="E20400" s="3" t="s">
        <v>767</v>
      </c>
      <c r="F20400" s="7">
        <v>46139.59812853572</v>
      </c>
      <c r="G20400" s="3" t="s">
        <v>29889</v>
      </c>
    </row>
    <row r="20401">
      <c r="A20401" s="3" t="s">
        <v>36636</v>
      </c>
      <c r="B20401" s="3" t="s">
        <v>16940</v>
      </c>
      <c r="C20401" s="5" t="s">
        <v>221</v>
      </c>
      <c r="D20401" s="3" t="s">
        <v>614</v>
      </c>
      <c r="E20401" s="3" t="s">
        <v>118</v>
      </c>
      <c r="F20401" s="7">
        <v>46139.60160075794</v>
      </c>
      <c r="G20401" s="3" t="s">
        <v>29891</v>
      </c>
    </row>
    <row r="20402">
      <c r="A20402" s="3" t="s">
        <v>36637</v>
      </c>
      <c r="B20402" s="3" t="s">
        <v>16940</v>
      </c>
      <c r="C20402" s="5" t="s">
        <v>614</v>
      </c>
      <c r="D20402" s="3" t="s">
        <v>206</v>
      </c>
      <c r="E20402" s="3" t="s">
        <v>100</v>
      </c>
      <c r="F20402" s="7">
        <v>46139.605072980165</v>
      </c>
      <c r="G20402" s="3" t="s">
        <v>29893</v>
      </c>
    </row>
    <row r="20403">
      <c r="A20403" s="3" t="s">
        <v>36638</v>
      </c>
      <c r="B20403" s="3" t="s">
        <v>16940</v>
      </c>
      <c r="C20403" s="5" t="s">
        <v>206</v>
      </c>
      <c r="D20403" s="3" t="s">
        <v>68</v>
      </c>
      <c r="E20403" s="3" t="s">
        <v>100</v>
      </c>
      <c r="F20403" s="7">
        <v>46139.60854520238</v>
      </c>
      <c r="G20403" s="3" t="s">
        <v>29895</v>
      </c>
    </row>
    <row r="20404">
      <c r="A20404" s="3" t="s">
        <v>36639</v>
      </c>
      <c r="B20404" s="3" t="s">
        <v>16943</v>
      </c>
      <c r="C20404" s="5" t="s">
        <v>45</v>
      </c>
      <c r="D20404" s="3" t="s">
        <v>221</v>
      </c>
      <c r="E20404" s="3" t="s">
        <v>765</v>
      </c>
      <c r="F20404" s="7">
        <v>46139.66930338113</v>
      </c>
      <c r="G20404" s="3" t="s">
        <v>29444</v>
      </c>
    </row>
    <row r="20405">
      <c r="A20405" s="3" t="s">
        <v>36640</v>
      </c>
      <c r="B20405" s="3" t="s">
        <v>16943</v>
      </c>
      <c r="C20405" s="5" t="s">
        <v>221</v>
      </c>
      <c r="D20405" s="3" t="s">
        <v>614</v>
      </c>
      <c r="E20405" s="3" t="s">
        <v>118</v>
      </c>
      <c r="F20405" s="7">
        <v>46139.67277560335</v>
      </c>
      <c r="G20405" s="3" t="s">
        <v>36641</v>
      </c>
    </row>
    <row r="20406">
      <c r="A20406" s="3" t="s">
        <v>36642</v>
      </c>
      <c r="B20406" s="3" t="s">
        <v>16943</v>
      </c>
      <c r="C20406" s="5" t="s">
        <v>614</v>
      </c>
      <c r="D20406" s="3" t="s">
        <v>206</v>
      </c>
      <c r="E20406" s="3" t="s">
        <v>100</v>
      </c>
      <c r="F20406" s="7">
        <v>46139.67624782558</v>
      </c>
      <c r="G20406" s="3" t="s">
        <v>36643</v>
      </c>
    </row>
    <row r="20407">
      <c r="A20407" s="3" t="s">
        <v>36644</v>
      </c>
      <c r="B20407" s="3" t="s">
        <v>16943</v>
      </c>
      <c r="C20407" s="5" t="s">
        <v>206</v>
      </c>
      <c r="D20407" s="3" t="s">
        <v>68</v>
      </c>
      <c r="E20407" s="3" t="s">
        <v>100</v>
      </c>
      <c r="F20407" s="7">
        <v>46139.679720047796</v>
      </c>
      <c r="G20407" s="3" t="s">
        <v>36645</v>
      </c>
    </row>
    <row r="20408">
      <c r="A20408" s="3" t="s">
        <v>36646</v>
      </c>
      <c r="B20408" s="3" t="s">
        <v>16946</v>
      </c>
      <c r="C20408" s="5" t="s">
        <v>45</v>
      </c>
      <c r="D20408" s="3" t="s">
        <v>221</v>
      </c>
      <c r="E20408" s="3" t="s">
        <v>395</v>
      </c>
      <c r="F20408" s="7">
        <v>46139.740478226544</v>
      </c>
      <c r="G20408" s="3" t="s">
        <v>29322</v>
      </c>
    </row>
    <row r="20409">
      <c r="A20409" s="3" t="s">
        <v>36647</v>
      </c>
      <c r="B20409" s="3" t="s">
        <v>16946</v>
      </c>
      <c r="C20409" s="5" t="s">
        <v>221</v>
      </c>
      <c r="D20409" s="3" t="s">
        <v>614</v>
      </c>
      <c r="E20409" s="3" t="s">
        <v>118</v>
      </c>
      <c r="F20409" s="7">
        <v>46139.74395044876</v>
      </c>
      <c r="G20409" s="3" t="s">
        <v>29324</v>
      </c>
    </row>
    <row r="20410">
      <c r="A20410" s="3" t="s">
        <v>36648</v>
      </c>
      <c r="B20410" s="3" t="s">
        <v>16946</v>
      </c>
      <c r="C20410" s="5" t="s">
        <v>614</v>
      </c>
      <c r="D20410" s="3" t="s">
        <v>206</v>
      </c>
      <c r="E20410" s="3" t="s">
        <v>100</v>
      </c>
      <c r="F20410" s="7">
        <v>46139.74742267099</v>
      </c>
      <c r="G20410" s="3" t="s">
        <v>29326</v>
      </c>
    </row>
    <row r="20411">
      <c r="A20411" s="3" t="s">
        <v>36649</v>
      </c>
      <c r="B20411" s="3" t="s">
        <v>16946</v>
      </c>
      <c r="C20411" s="5" t="s">
        <v>206</v>
      </c>
      <c r="D20411" s="3" t="s">
        <v>68</v>
      </c>
      <c r="E20411" s="3" t="s">
        <v>100</v>
      </c>
      <c r="F20411" s="7">
        <v>46139.75089489321</v>
      </c>
      <c r="G20411" s="3" t="s">
        <v>29328</v>
      </c>
    </row>
    <row r="20412">
      <c r="A20412" s="3" t="s">
        <v>36650</v>
      </c>
      <c r="B20412" s="3" t="s">
        <v>16950</v>
      </c>
      <c r="C20412" s="5" t="s">
        <v>45</v>
      </c>
      <c r="D20412" s="3" t="s">
        <v>221</v>
      </c>
      <c r="E20412" s="3" t="s">
        <v>344</v>
      </c>
      <c r="F20412" s="7">
        <v>46139.81165307196</v>
      </c>
      <c r="G20412" s="3" t="s">
        <v>17230</v>
      </c>
    </row>
    <row r="20413">
      <c r="A20413" s="3" t="s">
        <v>36651</v>
      </c>
      <c r="B20413" s="3" t="s">
        <v>16950</v>
      </c>
      <c r="C20413" s="5" t="s">
        <v>221</v>
      </c>
      <c r="D20413" s="3" t="s">
        <v>614</v>
      </c>
      <c r="E20413" s="3" t="s">
        <v>118</v>
      </c>
      <c r="F20413" s="7">
        <v>46139.81512529418</v>
      </c>
      <c r="G20413" s="3" t="s">
        <v>17233</v>
      </c>
    </row>
    <row r="20414">
      <c r="A20414" s="3" t="s">
        <v>36652</v>
      </c>
      <c r="B20414" s="3" t="s">
        <v>16950</v>
      </c>
      <c r="C20414" s="5" t="s">
        <v>614</v>
      </c>
      <c r="D20414" s="3" t="s">
        <v>206</v>
      </c>
      <c r="E20414" s="3" t="s">
        <v>100</v>
      </c>
      <c r="F20414" s="7">
        <v>46139.81859751641</v>
      </c>
      <c r="G20414" s="3" t="s">
        <v>17236</v>
      </c>
    </row>
    <row r="20415">
      <c r="A20415" s="3" t="s">
        <v>36653</v>
      </c>
      <c r="B20415" s="3" t="s">
        <v>16950</v>
      </c>
      <c r="C20415" s="5" t="s">
        <v>206</v>
      </c>
      <c r="D20415" s="3" t="s">
        <v>68</v>
      </c>
      <c r="E20415" s="3" t="s">
        <v>100</v>
      </c>
      <c r="F20415" s="7">
        <v>46139.82206973863</v>
      </c>
      <c r="G20415" s="3" t="s">
        <v>17238</v>
      </c>
    </row>
    <row r="20416">
      <c r="A20416" s="3" t="s">
        <v>36654</v>
      </c>
      <c r="B20416" s="3" t="s">
        <v>16954</v>
      </c>
      <c r="C20416" s="5" t="s">
        <v>45</v>
      </c>
      <c r="D20416" s="3" t="s">
        <v>221</v>
      </c>
      <c r="E20416" s="3" t="s">
        <v>883</v>
      </c>
      <c r="F20416" s="7">
        <v>46139.882827917376</v>
      </c>
      <c r="G20416" s="3" t="s">
        <v>22356</v>
      </c>
    </row>
    <row r="20417">
      <c r="A20417" s="3" t="s">
        <v>36655</v>
      </c>
      <c r="B20417" s="3" t="s">
        <v>16954</v>
      </c>
      <c r="C20417" s="5" t="s">
        <v>221</v>
      </c>
      <c r="D20417" s="3" t="s">
        <v>614</v>
      </c>
      <c r="E20417" s="3" t="s">
        <v>118</v>
      </c>
      <c r="F20417" s="7">
        <v>46139.886300139595</v>
      </c>
      <c r="G20417" s="3" t="s">
        <v>22359</v>
      </c>
    </row>
    <row r="20418">
      <c r="A20418" s="3" t="s">
        <v>36656</v>
      </c>
      <c r="B20418" s="3" t="s">
        <v>16954</v>
      </c>
      <c r="C20418" s="5" t="s">
        <v>614</v>
      </c>
      <c r="D20418" s="3" t="s">
        <v>206</v>
      </c>
      <c r="E20418" s="3" t="s">
        <v>100</v>
      </c>
      <c r="F20418" s="7">
        <v>46139.88977236182</v>
      </c>
      <c r="G20418" s="3" t="s">
        <v>22362</v>
      </c>
    </row>
    <row r="20419">
      <c r="A20419" s="3" t="s">
        <v>36657</v>
      </c>
      <c r="B20419" s="3" t="s">
        <v>16954</v>
      </c>
      <c r="C20419" s="5" t="s">
        <v>206</v>
      </c>
      <c r="D20419" s="3" t="s">
        <v>68</v>
      </c>
      <c r="E20419" s="3" t="s">
        <v>100</v>
      </c>
      <c r="F20419" s="7">
        <v>46139.89324458404</v>
      </c>
      <c r="G20419" s="3" t="s">
        <v>22365</v>
      </c>
    </row>
    <row r="20420">
      <c r="A20420" s="3" t="s">
        <v>36658</v>
      </c>
      <c r="B20420" s="3" t="s">
        <v>16957</v>
      </c>
      <c r="C20420" s="5" t="s">
        <v>45</v>
      </c>
      <c r="D20420" s="3" t="s">
        <v>221</v>
      </c>
      <c r="E20420" s="3" t="s">
        <v>969</v>
      </c>
      <c r="F20420" s="7">
        <v>46139.95400276279</v>
      </c>
      <c r="G20420" s="3" t="s">
        <v>16789</v>
      </c>
    </row>
    <row r="20421">
      <c r="A20421" s="3" t="s">
        <v>36659</v>
      </c>
      <c r="B20421" s="3" t="s">
        <v>16957</v>
      </c>
      <c r="C20421" s="5" t="s">
        <v>221</v>
      </c>
      <c r="D20421" s="3" t="s">
        <v>614</v>
      </c>
      <c r="E20421" s="3" t="s">
        <v>118</v>
      </c>
      <c r="F20421" s="7">
        <v>46139.95747498501</v>
      </c>
      <c r="G20421" s="3" t="s">
        <v>16791</v>
      </c>
    </row>
    <row r="20422">
      <c r="A20422" s="3" t="s">
        <v>36660</v>
      </c>
      <c r="B20422" s="3" t="s">
        <v>16957</v>
      </c>
      <c r="C20422" s="5" t="s">
        <v>614</v>
      </c>
      <c r="D20422" s="3" t="s">
        <v>206</v>
      </c>
      <c r="E20422" s="3" t="s">
        <v>100</v>
      </c>
      <c r="F20422" s="7">
        <v>46139.96094720723</v>
      </c>
      <c r="G20422" s="3" t="s">
        <v>16794</v>
      </c>
    </row>
    <row r="20423">
      <c r="A20423" s="3" t="s">
        <v>36661</v>
      </c>
      <c r="B20423" s="3" t="s">
        <v>16957</v>
      </c>
      <c r="C20423" s="5" t="s">
        <v>206</v>
      </c>
      <c r="D20423" s="3" t="s">
        <v>68</v>
      </c>
      <c r="E20423" s="3" t="s">
        <v>100</v>
      </c>
      <c r="F20423" s="7">
        <v>46139.96441942945</v>
      </c>
      <c r="G20423" s="3" t="s">
        <v>16797</v>
      </c>
    </row>
    <row r="20424">
      <c r="A20424" s="3" t="s">
        <v>36662</v>
      </c>
      <c r="B20424" s="3" t="s">
        <v>16960</v>
      </c>
      <c r="C20424" s="5" t="s">
        <v>45</v>
      </c>
      <c r="D20424" s="3" t="s">
        <v>221</v>
      </c>
      <c r="E20424" s="3" t="s">
        <v>848</v>
      </c>
      <c r="F20424" s="7">
        <v>46140.02517760821</v>
      </c>
      <c r="G20424" s="3" t="s">
        <v>17208</v>
      </c>
    </row>
    <row r="20425">
      <c r="A20425" s="3" t="s">
        <v>36663</v>
      </c>
      <c r="B20425" s="3" t="s">
        <v>16960</v>
      </c>
      <c r="C20425" s="5" t="s">
        <v>221</v>
      </c>
      <c r="D20425" s="3" t="s">
        <v>614</v>
      </c>
      <c r="E20425" s="3" t="s">
        <v>118</v>
      </c>
      <c r="F20425" s="7">
        <v>46140.02864983043</v>
      </c>
      <c r="G20425" s="3" t="s">
        <v>17211</v>
      </c>
    </row>
    <row r="20426">
      <c r="A20426" s="3" t="s">
        <v>36664</v>
      </c>
      <c r="B20426" s="3" t="s">
        <v>16960</v>
      </c>
      <c r="C20426" s="5" t="s">
        <v>614</v>
      </c>
      <c r="D20426" s="3" t="s">
        <v>206</v>
      </c>
      <c r="E20426" s="3" t="s">
        <v>100</v>
      </c>
      <c r="F20426" s="7">
        <v>46140.03212205265</v>
      </c>
      <c r="G20426" s="3" t="s">
        <v>17213</v>
      </c>
    </row>
    <row r="20427">
      <c r="A20427" s="3" t="s">
        <v>36665</v>
      </c>
      <c r="B20427" s="3" t="s">
        <v>16960</v>
      </c>
      <c r="C20427" s="5" t="s">
        <v>206</v>
      </c>
      <c r="D20427" s="3" t="s">
        <v>68</v>
      </c>
      <c r="E20427" s="3" t="s">
        <v>100</v>
      </c>
      <c r="F20427" s="7">
        <v>46140.03559427487</v>
      </c>
      <c r="G20427" s="3" t="s">
        <v>17216</v>
      </c>
    </row>
    <row r="20428">
      <c r="A20428" s="3" t="s">
        <v>36666</v>
      </c>
      <c r="B20428" s="3" t="s">
        <v>16963</v>
      </c>
      <c r="C20428" s="5" t="s">
        <v>45</v>
      </c>
      <c r="D20428" s="3" t="s">
        <v>221</v>
      </c>
      <c r="E20428" s="3" t="s">
        <v>1021</v>
      </c>
      <c r="F20428" s="7">
        <v>46140.09635245363</v>
      </c>
      <c r="G20428" s="3" t="s">
        <v>17241</v>
      </c>
    </row>
    <row r="20429">
      <c r="A20429" s="3" t="s">
        <v>36667</v>
      </c>
      <c r="B20429" s="3" t="s">
        <v>16963</v>
      </c>
      <c r="C20429" s="5" t="s">
        <v>221</v>
      </c>
      <c r="D20429" s="3" t="s">
        <v>614</v>
      </c>
      <c r="E20429" s="3" t="s">
        <v>118</v>
      </c>
      <c r="F20429" s="7">
        <v>46140.099824675846</v>
      </c>
      <c r="G20429" s="3" t="s">
        <v>17244</v>
      </c>
    </row>
    <row r="20430">
      <c r="A20430" s="3" t="s">
        <v>36668</v>
      </c>
      <c r="B20430" s="3" t="s">
        <v>16963</v>
      </c>
      <c r="C20430" s="5" t="s">
        <v>614</v>
      </c>
      <c r="D20430" s="3" t="s">
        <v>206</v>
      </c>
      <c r="E20430" s="3" t="s">
        <v>100</v>
      </c>
      <c r="F20430" s="7">
        <v>46140.10329689807</v>
      </c>
      <c r="G20430" s="3" t="s">
        <v>17247</v>
      </c>
    </row>
    <row r="20431">
      <c r="A20431" s="3" t="s">
        <v>36669</v>
      </c>
      <c r="B20431" s="3" t="s">
        <v>16963</v>
      </c>
      <c r="C20431" s="5" t="s">
        <v>206</v>
      </c>
      <c r="D20431" s="3" t="s">
        <v>68</v>
      </c>
      <c r="E20431" s="3" t="s">
        <v>100</v>
      </c>
      <c r="F20431" s="7">
        <v>46140.10676912029</v>
      </c>
      <c r="G20431" s="3" t="s">
        <v>17250</v>
      </c>
    </row>
    <row r="20432">
      <c r="A20432" s="3" t="s">
        <v>36670</v>
      </c>
      <c r="B20432" s="3" t="s">
        <v>16966</v>
      </c>
      <c r="C20432" s="5" t="s">
        <v>45</v>
      </c>
      <c r="D20432" s="3" t="s">
        <v>221</v>
      </c>
      <c r="E20432" s="3" t="s">
        <v>369</v>
      </c>
      <c r="F20432" s="7">
        <v>46140.16752729903</v>
      </c>
      <c r="G20432" s="3" t="s">
        <v>14758</v>
      </c>
    </row>
    <row r="20433">
      <c r="A20433" s="3" t="s">
        <v>36671</v>
      </c>
      <c r="B20433" s="3" t="s">
        <v>16966</v>
      </c>
      <c r="C20433" s="5" t="s">
        <v>221</v>
      </c>
      <c r="D20433" s="3" t="s">
        <v>614</v>
      </c>
      <c r="E20433" s="3" t="s">
        <v>118</v>
      </c>
      <c r="F20433" s="7">
        <v>46140.17099952125</v>
      </c>
      <c r="G20433" s="3" t="s">
        <v>14761</v>
      </c>
    </row>
    <row r="20434">
      <c r="A20434" s="3" t="s">
        <v>36672</v>
      </c>
      <c r="B20434" s="3" t="s">
        <v>16966</v>
      </c>
      <c r="C20434" s="5" t="s">
        <v>614</v>
      </c>
      <c r="D20434" s="3" t="s">
        <v>206</v>
      </c>
      <c r="E20434" s="3" t="s">
        <v>100</v>
      </c>
      <c r="F20434" s="7">
        <v>46140.17447174348</v>
      </c>
      <c r="G20434" s="3" t="s">
        <v>14763</v>
      </c>
    </row>
    <row r="20435">
      <c r="A20435" s="3" t="s">
        <v>36673</v>
      </c>
      <c r="B20435" s="3" t="s">
        <v>16966</v>
      </c>
      <c r="C20435" s="5" t="s">
        <v>206</v>
      </c>
      <c r="D20435" s="3" t="s">
        <v>68</v>
      </c>
      <c r="E20435" s="3" t="s">
        <v>100</v>
      </c>
      <c r="F20435" s="7">
        <v>46140.1779439657</v>
      </c>
      <c r="G20435" s="3" t="s">
        <v>14766</v>
      </c>
    </row>
    <row r="20436">
      <c r="A20436" s="3" t="s">
        <v>36674</v>
      </c>
      <c r="B20436" s="3" t="s">
        <v>16971</v>
      </c>
      <c r="C20436" s="5" t="s">
        <v>45</v>
      </c>
      <c r="D20436" s="3" t="s">
        <v>221</v>
      </c>
      <c r="E20436" s="3" t="s">
        <v>1037</v>
      </c>
      <c r="F20436" s="7">
        <v>46140.23870214445</v>
      </c>
      <c r="G20436" s="3" t="s">
        <v>17074</v>
      </c>
    </row>
    <row r="20437">
      <c r="A20437" s="3" t="s">
        <v>36675</v>
      </c>
      <c r="B20437" s="3" t="s">
        <v>16971</v>
      </c>
      <c r="C20437" s="5" t="s">
        <v>221</v>
      </c>
      <c r="D20437" s="3" t="s">
        <v>614</v>
      </c>
      <c r="E20437" s="3" t="s">
        <v>118</v>
      </c>
      <c r="F20437" s="7">
        <v>46140.24217436667</v>
      </c>
      <c r="G20437" s="3" t="s">
        <v>17077</v>
      </c>
    </row>
    <row r="20438">
      <c r="A20438" s="3" t="s">
        <v>36676</v>
      </c>
      <c r="B20438" s="3" t="s">
        <v>16971</v>
      </c>
      <c r="C20438" s="5" t="s">
        <v>614</v>
      </c>
      <c r="D20438" s="3" t="s">
        <v>206</v>
      </c>
      <c r="E20438" s="3" t="s">
        <v>100</v>
      </c>
      <c r="F20438" s="7">
        <v>46140.2456465889</v>
      </c>
      <c r="G20438" s="3" t="s">
        <v>17080</v>
      </c>
    </row>
    <row r="20439">
      <c r="A20439" s="3" t="s">
        <v>36677</v>
      </c>
      <c r="B20439" s="3" t="s">
        <v>16971</v>
      </c>
      <c r="C20439" s="5" t="s">
        <v>206</v>
      </c>
      <c r="D20439" s="3" t="s">
        <v>68</v>
      </c>
      <c r="E20439" s="3" t="s">
        <v>100</v>
      </c>
      <c r="F20439" s="7">
        <v>46140.249118811116</v>
      </c>
      <c r="G20439" s="3" t="s">
        <v>17082</v>
      </c>
    </row>
    <row r="20440">
      <c r="A20440" s="3" t="s">
        <v>36678</v>
      </c>
      <c r="B20440" s="3" t="s">
        <v>16973</v>
      </c>
      <c r="C20440" s="5" t="s">
        <v>45</v>
      </c>
      <c r="D20440" s="3" t="s">
        <v>221</v>
      </c>
      <c r="E20440" s="3" t="s">
        <v>961</v>
      </c>
      <c r="F20440" s="7">
        <v>46140.30987698987</v>
      </c>
      <c r="G20440" s="3" t="s">
        <v>17321</v>
      </c>
    </row>
    <row r="20441">
      <c r="A20441" s="3" t="s">
        <v>36679</v>
      </c>
      <c r="B20441" s="3" t="s">
        <v>16973</v>
      </c>
      <c r="C20441" s="5" t="s">
        <v>221</v>
      </c>
      <c r="D20441" s="3" t="s">
        <v>614</v>
      </c>
      <c r="E20441" s="3" t="s">
        <v>118</v>
      </c>
      <c r="F20441" s="7">
        <v>46140.31334921209</v>
      </c>
      <c r="G20441" s="3" t="s">
        <v>17324</v>
      </c>
    </row>
    <row r="20442">
      <c r="A20442" s="3" t="s">
        <v>36680</v>
      </c>
      <c r="B20442" s="3" t="s">
        <v>16973</v>
      </c>
      <c r="C20442" s="5" t="s">
        <v>614</v>
      </c>
      <c r="D20442" s="3" t="s">
        <v>206</v>
      </c>
      <c r="E20442" s="3" t="s">
        <v>100</v>
      </c>
      <c r="F20442" s="7">
        <v>46140.31682143432</v>
      </c>
      <c r="G20442" s="3" t="s">
        <v>17327</v>
      </c>
    </row>
    <row r="20443">
      <c r="A20443" s="3" t="s">
        <v>36681</v>
      </c>
      <c r="B20443" s="3" t="s">
        <v>16973</v>
      </c>
      <c r="C20443" s="5" t="s">
        <v>206</v>
      </c>
      <c r="D20443" s="3" t="s">
        <v>68</v>
      </c>
      <c r="E20443" s="3" t="s">
        <v>100</v>
      </c>
      <c r="F20443" s="7">
        <v>46140.320293656536</v>
      </c>
      <c r="G20443" s="3" t="s">
        <v>17329</v>
      </c>
    </row>
    <row r="20444">
      <c r="A20444" s="3" t="s">
        <v>36682</v>
      </c>
      <c r="B20444" s="3" t="s">
        <v>16975</v>
      </c>
      <c r="C20444" s="5" t="s">
        <v>45</v>
      </c>
      <c r="D20444" s="3" t="s">
        <v>221</v>
      </c>
      <c r="E20444" s="3" t="s">
        <v>870</v>
      </c>
      <c r="F20444" s="7">
        <v>46140.381051835284</v>
      </c>
      <c r="G20444" s="3" t="s">
        <v>17355</v>
      </c>
    </row>
    <row r="20445">
      <c r="A20445" s="3" t="s">
        <v>36683</v>
      </c>
      <c r="B20445" s="3" t="s">
        <v>16975</v>
      </c>
      <c r="C20445" s="5" t="s">
        <v>221</v>
      </c>
      <c r="D20445" s="3" t="s">
        <v>614</v>
      </c>
      <c r="E20445" s="3" t="s">
        <v>118</v>
      </c>
      <c r="F20445" s="7">
        <v>46140.3845240575</v>
      </c>
      <c r="G20445" s="3" t="s">
        <v>17357</v>
      </c>
    </row>
    <row r="20446">
      <c r="A20446" s="3" t="s">
        <v>36684</v>
      </c>
      <c r="B20446" s="3" t="s">
        <v>16975</v>
      </c>
      <c r="C20446" s="5" t="s">
        <v>614</v>
      </c>
      <c r="D20446" s="3" t="s">
        <v>206</v>
      </c>
      <c r="E20446" s="3" t="s">
        <v>100</v>
      </c>
      <c r="F20446" s="7">
        <v>46140.38799627973</v>
      </c>
      <c r="G20446" s="3" t="s">
        <v>17360</v>
      </c>
    </row>
    <row r="20447">
      <c r="A20447" s="3" t="s">
        <v>36685</v>
      </c>
      <c r="B20447" s="3" t="s">
        <v>16975</v>
      </c>
      <c r="C20447" s="5" t="s">
        <v>206</v>
      </c>
      <c r="D20447" s="3" t="s">
        <v>68</v>
      </c>
      <c r="E20447" s="3" t="s">
        <v>100</v>
      </c>
      <c r="F20447" s="7">
        <v>46140.39146850195</v>
      </c>
      <c r="G20447" s="3" t="s">
        <v>17363</v>
      </c>
    </row>
    <row r="20448">
      <c r="A20448" s="3" t="s">
        <v>36686</v>
      </c>
      <c r="B20448" s="3" t="s">
        <v>16977</v>
      </c>
      <c r="C20448" s="5" t="s">
        <v>45</v>
      </c>
      <c r="D20448" s="3" t="s">
        <v>221</v>
      </c>
      <c r="E20448" s="3" t="s">
        <v>250</v>
      </c>
      <c r="F20448" s="7">
        <v>46140.452226680696</v>
      </c>
      <c r="G20448" s="3" t="s">
        <v>14421</v>
      </c>
    </row>
    <row r="20449">
      <c r="A20449" s="3" t="s">
        <v>36687</v>
      </c>
      <c r="B20449" s="3" t="s">
        <v>16977</v>
      </c>
      <c r="C20449" s="5" t="s">
        <v>221</v>
      </c>
      <c r="D20449" s="3" t="s">
        <v>614</v>
      </c>
      <c r="E20449" s="3" t="s">
        <v>118</v>
      </c>
      <c r="F20449" s="7">
        <v>46140.455698902915</v>
      </c>
      <c r="G20449" s="3" t="s">
        <v>14424</v>
      </c>
    </row>
    <row r="20450">
      <c r="A20450" s="3" t="s">
        <v>36688</v>
      </c>
      <c r="B20450" s="3" t="s">
        <v>16977</v>
      </c>
      <c r="C20450" s="5" t="s">
        <v>614</v>
      </c>
      <c r="D20450" s="3" t="s">
        <v>206</v>
      </c>
      <c r="E20450" s="3" t="s">
        <v>100</v>
      </c>
      <c r="F20450" s="7">
        <v>46140.45917112514</v>
      </c>
      <c r="G20450" s="3" t="s">
        <v>14427</v>
      </c>
    </row>
    <row r="20451">
      <c r="A20451" s="3" t="s">
        <v>36689</v>
      </c>
      <c r="B20451" s="3" t="s">
        <v>16977</v>
      </c>
      <c r="C20451" s="5" t="s">
        <v>206</v>
      </c>
      <c r="D20451" s="3" t="s">
        <v>68</v>
      </c>
      <c r="E20451" s="3" t="s">
        <v>100</v>
      </c>
      <c r="F20451" s="7">
        <v>46140.46264334736</v>
      </c>
      <c r="G20451" s="3" t="s">
        <v>14430</v>
      </c>
    </row>
    <row r="20452">
      <c r="A20452" s="3" t="s">
        <v>36690</v>
      </c>
      <c r="B20452" s="3" t="s">
        <v>16979</v>
      </c>
      <c r="C20452" s="5" t="s">
        <v>45</v>
      </c>
      <c r="D20452" s="3" t="s">
        <v>221</v>
      </c>
      <c r="E20452" s="3" t="s">
        <v>536</v>
      </c>
      <c r="F20452" s="7">
        <v>46140.523401526116</v>
      </c>
      <c r="G20452" s="3" t="s">
        <v>16504</v>
      </c>
    </row>
    <row r="20453">
      <c r="A20453" s="3" t="s">
        <v>36691</v>
      </c>
      <c r="B20453" s="3" t="s">
        <v>16979</v>
      </c>
      <c r="C20453" s="5" t="s">
        <v>221</v>
      </c>
      <c r="D20453" s="3" t="s">
        <v>195</v>
      </c>
      <c r="E20453" s="3" t="s">
        <v>536</v>
      </c>
      <c r="F20453" s="7">
        <v>46140.526873748335</v>
      </c>
      <c r="G20453" s="3" t="s">
        <v>36692</v>
      </c>
    </row>
    <row r="20454">
      <c r="A20454" s="3" t="s">
        <v>36693</v>
      </c>
      <c r="B20454" s="3" t="s">
        <v>16982</v>
      </c>
      <c r="C20454" s="5" t="s">
        <v>45</v>
      </c>
      <c r="D20454" s="3" t="s">
        <v>221</v>
      </c>
      <c r="E20454" s="3" t="s">
        <v>822</v>
      </c>
      <c r="F20454" s="7">
        <v>46140.59457637153</v>
      </c>
      <c r="G20454" s="3" t="s">
        <v>10611</v>
      </c>
    </row>
    <row r="20455">
      <c r="A20455" s="3" t="s">
        <v>36694</v>
      </c>
      <c r="B20455" s="3" t="s">
        <v>16982</v>
      </c>
      <c r="C20455" s="5" t="s">
        <v>221</v>
      </c>
      <c r="D20455" s="3" t="s">
        <v>181</v>
      </c>
      <c r="E20455" s="3" t="s">
        <v>118</v>
      </c>
      <c r="F20455" s="7">
        <v>46140.59804859375</v>
      </c>
      <c r="G20455" s="3" t="s">
        <v>14815</v>
      </c>
    </row>
    <row r="20456">
      <c r="A20456" s="3" t="s">
        <v>36695</v>
      </c>
      <c r="B20456" s="3" t="s">
        <v>16985</v>
      </c>
      <c r="C20456" s="5" t="s">
        <v>45</v>
      </c>
      <c r="D20456" s="3" t="s">
        <v>221</v>
      </c>
      <c r="E20456" s="3" t="s">
        <v>669</v>
      </c>
      <c r="F20456" s="7">
        <v>46140.66575121694</v>
      </c>
      <c r="G20456" s="3" t="s">
        <v>21032</v>
      </c>
    </row>
    <row r="20457">
      <c r="A20457" s="3" t="s">
        <v>36696</v>
      </c>
      <c r="B20457" s="3" t="s">
        <v>16985</v>
      </c>
      <c r="C20457" s="5" t="s">
        <v>221</v>
      </c>
      <c r="D20457" s="3" t="s">
        <v>614</v>
      </c>
      <c r="E20457" s="3" t="s">
        <v>118</v>
      </c>
      <c r="F20457" s="7">
        <v>46140.66922343916</v>
      </c>
      <c r="G20457" s="3" t="s">
        <v>21034</v>
      </c>
    </row>
    <row r="20458">
      <c r="A20458" s="3" t="s">
        <v>36697</v>
      </c>
      <c r="B20458" s="3" t="s">
        <v>16985</v>
      </c>
      <c r="C20458" s="5" t="s">
        <v>614</v>
      </c>
      <c r="D20458" s="3" t="s">
        <v>206</v>
      </c>
      <c r="E20458" s="3" t="s">
        <v>100</v>
      </c>
      <c r="F20458" s="7">
        <v>46140.672695661386</v>
      </c>
      <c r="G20458" s="3" t="s">
        <v>21037</v>
      </c>
    </row>
    <row r="20459">
      <c r="A20459" s="3" t="s">
        <v>36698</v>
      </c>
      <c r="B20459" s="3" t="s">
        <v>16985</v>
      </c>
      <c r="C20459" s="5" t="s">
        <v>206</v>
      </c>
      <c r="D20459" s="3" t="s">
        <v>68</v>
      </c>
      <c r="E20459" s="3" t="s">
        <v>100</v>
      </c>
      <c r="F20459" s="7">
        <v>46140.676167883605</v>
      </c>
      <c r="G20459" s="3" t="s">
        <v>21040</v>
      </c>
    </row>
    <row r="20460">
      <c r="A20460" s="3" t="s">
        <v>36699</v>
      </c>
      <c r="B20460" s="3" t="s">
        <v>16989</v>
      </c>
      <c r="C20460" s="5" t="s">
        <v>45</v>
      </c>
      <c r="D20460" s="3" t="s">
        <v>221</v>
      </c>
      <c r="E20460" s="3" t="s">
        <v>280</v>
      </c>
      <c r="F20460" s="7">
        <v>46140.73692606236</v>
      </c>
      <c r="G20460" s="3" t="s">
        <v>17376</v>
      </c>
    </row>
    <row r="20461">
      <c r="A20461" s="3" t="s">
        <v>36700</v>
      </c>
      <c r="B20461" s="3" t="s">
        <v>16989</v>
      </c>
      <c r="C20461" s="5" t="s">
        <v>221</v>
      </c>
      <c r="D20461" s="3" t="s">
        <v>614</v>
      </c>
      <c r="E20461" s="3" t="s">
        <v>118</v>
      </c>
      <c r="F20461" s="7">
        <v>46140.74039828458</v>
      </c>
      <c r="G20461" s="3" t="s">
        <v>17379</v>
      </c>
    </row>
    <row r="20462">
      <c r="A20462" s="3" t="s">
        <v>36701</v>
      </c>
      <c r="B20462" s="3" t="s">
        <v>16989</v>
      </c>
      <c r="C20462" s="5" t="s">
        <v>614</v>
      </c>
      <c r="D20462" s="3" t="s">
        <v>206</v>
      </c>
      <c r="E20462" s="3" t="s">
        <v>100</v>
      </c>
      <c r="F20462" s="7">
        <v>46140.743870506805</v>
      </c>
      <c r="G20462" s="3" t="s">
        <v>17382</v>
      </c>
    </row>
    <row r="20463">
      <c r="A20463" s="3" t="s">
        <v>36702</v>
      </c>
      <c r="B20463" s="3" t="s">
        <v>16989</v>
      </c>
      <c r="C20463" s="5" t="s">
        <v>206</v>
      </c>
      <c r="D20463" s="3" t="s">
        <v>68</v>
      </c>
      <c r="E20463" s="3" t="s">
        <v>100</v>
      </c>
      <c r="F20463" s="7">
        <v>46140.747342729024</v>
      </c>
      <c r="G20463" s="3" t="s">
        <v>17385</v>
      </c>
    </row>
    <row r="20464">
      <c r="A20464" s="3" t="s">
        <v>36703</v>
      </c>
      <c r="B20464" s="3" t="s">
        <v>16993</v>
      </c>
      <c r="C20464" s="5" t="s">
        <v>45</v>
      </c>
      <c r="D20464" s="3" t="s">
        <v>221</v>
      </c>
      <c r="E20464" s="3" t="s">
        <v>937</v>
      </c>
      <c r="F20464" s="7">
        <v>46140.80810090777</v>
      </c>
      <c r="G20464" s="3" t="s">
        <v>24427</v>
      </c>
    </row>
    <row r="20465">
      <c r="A20465" s="3" t="s">
        <v>36704</v>
      </c>
      <c r="B20465" s="3" t="s">
        <v>16993</v>
      </c>
      <c r="C20465" s="5" t="s">
        <v>221</v>
      </c>
      <c r="D20465" s="3" t="s">
        <v>614</v>
      </c>
      <c r="E20465" s="3" t="s">
        <v>118</v>
      </c>
      <c r="F20465" s="7">
        <v>46140.81157312999</v>
      </c>
      <c r="G20465" s="3" t="s">
        <v>24429</v>
      </c>
    </row>
    <row r="20466">
      <c r="A20466" s="3" t="s">
        <v>36705</v>
      </c>
      <c r="B20466" s="3" t="s">
        <v>16993</v>
      </c>
      <c r="C20466" s="5" t="s">
        <v>614</v>
      </c>
      <c r="D20466" s="3" t="s">
        <v>206</v>
      </c>
      <c r="E20466" s="3" t="s">
        <v>100</v>
      </c>
      <c r="F20466" s="7">
        <v>46140.81504535222</v>
      </c>
      <c r="G20466" s="3" t="s">
        <v>24431</v>
      </c>
    </row>
    <row r="20467">
      <c r="A20467" s="3" t="s">
        <v>36706</v>
      </c>
      <c r="B20467" s="3" t="s">
        <v>16993</v>
      </c>
      <c r="C20467" s="5" t="s">
        <v>206</v>
      </c>
      <c r="D20467" s="3" t="s">
        <v>68</v>
      </c>
      <c r="E20467" s="3" t="s">
        <v>100</v>
      </c>
      <c r="F20467" s="7">
        <v>46140.81851757444</v>
      </c>
      <c r="G20467" s="3" t="s">
        <v>24433</v>
      </c>
    </row>
    <row r="20468">
      <c r="A20468" s="3" t="s">
        <v>36707</v>
      </c>
      <c r="B20468" s="3" t="s">
        <v>16996</v>
      </c>
      <c r="C20468" s="5" t="s">
        <v>45</v>
      </c>
      <c r="D20468" s="3" t="s">
        <v>221</v>
      </c>
      <c r="E20468" s="3" t="s">
        <v>591</v>
      </c>
      <c r="F20468" s="7">
        <v>46140.879275753185</v>
      </c>
      <c r="G20468" s="3" t="s">
        <v>23230</v>
      </c>
    </row>
    <row r="20469">
      <c r="A20469" s="3" t="s">
        <v>36708</v>
      </c>
      <c r="B20469" s="3" t="s">
        <v>16996</v>
      </c>
      <c r="C20469" s="5" t="s">
        <v>221</v>
      </c>
      <c r="D20469" s="3" t="s">
        <v>181</v>
      </c>
      <c r="E20469" s="3" t="s">
        <v>118</v>
      </c>
      <c r="F20469" s="7">
        <v>46140.8827479754</v>
      </c>
      <c r="G20469" s="3" t="s">
        <v>36709</v>
      </c>
    </row>
    <row r="20470">
      <c r="A20470" s="3" t="s">
        <v>36710</v>
      </c>
      <c r="B20470" s="3" t="s">
        <v>16999</v>
      </c>
      <c r="C20470" s="5" t="s">
        <v>45</v>
      </c>
      <c r="D20470" s="3" t="s">
        <v>221</v>
      </c>
      <c r="E20470" s="3" t="s">
        <v>926</v>
      </c>
      <c r="F20470" s="7">
        <v>46140.950450598604</v>
      </c>
      <c r="G20470" s="3" t="s">
        <v>17388</v>
      </c>
    </row>
    <row r="20471">
      <c r="A20471" s="3" t="s">
        <v>36711</v>
      </c>
      <c r="B20471" s="3" t="s">
        <v>16999</v>
      </c>
      <c r="C20471" s="5" t="s">
        <v>221</v>
      </c>
      <c r="D20471" s="3" t="s">
        <v>614</v>
      </c>
      <c r="E20471" s="3" t="s">
        <v>118</v>
      </c>
      <c r="F20471" s="7">
        <v>46140.95392282082</v>
      </c>
      <c r="G20471" s="3" t="s">
        <v>17391</v>
      </c>
    </row>
    <row r="20472">
      <c r="A20472" s="3" t="s">
        <v>36712</v>
      </c>
      <c r="B20472" s="3" t="s">
        <v>16999</v>
      </c>
      <c r="C20472" s="5" t="s">
        <v>614</v>
      </c>
      <c r="D20472" s="3" t="s">
        <v>206</v>
      </c>
      <c r="E20472" s="3" t="s">
        <v>100</v>
      </c>
      <c r="F20472" s="7">
        <v>46140.95739504305</v>
      </c>
      <c r="G20472" s="3" t="s">
        <v>17393</v>
      </c>
    </row>
    <row r="20473">
      <c r="A20473" s="3" t="s">
        <v>36713</v>
      </c>
      <c r="B20473" s="3" t="s">
        <v>16999</v>
      </c>
      <c r="C20473" s="5" t="s">
        <v>206</v>
      </c>
      <c r="D20473" s="3" t="s">
        <v>68</v>
      </c>
      <c r="E20473" s="3" t="s">
        <v>100</v>
      </c>
      <c r="F20473" s="7">
        <v>46140.96086726527</v>
      </c>
      <c r="G20473" s="3" t="s">
        <v>17396</v>
      </c>
    </row>
    <row r="20474">
      <c r="A20474" s="3" t="s">
        <v>36714</v>
      </c>
      <c r="B20474" s="3" t="s">
        <v>17002</v>
      </c>
      <c r="C20474" s="5" t="s">
        <v>45</v>
      </c>
      <c r="D20474" s="3" t="s">
        <v>221</v>
      </c>
      <c r="E20474" s="3" t="s">
        <v>247</v>
      </c>
      <c r="F20474" s="7">
        <v>46141.02162544402</v>
      </c>
      <c r="G20474" s="3" t="s">
        <v>17443</v>
      </c>
    </row>
    <row r="20475">
      <c r="A20475" s="3" t="s">
        <v>36715</v>
      </c>
      <c r="B20475" s="3" t="s">
        <v>17002</v>
      </c>
      <c r="C20475" s="5" t="s">
        <v>221</v>
      </c>
      <c r="D20475" s="3" t="s">
        <v>614</v>
      </c>
      <c r="E20475" s="3" t="s">
        <v>118</v>
      </c>
      <c r="F20475" s="7">
        <v>46141.025097666236</v>
      </c>
      <c r="G20475" s="3" t="s">
        <v>17446</v>
      </c>
    </row>
    <row r="20476">
      <c r="A20476" s="3" t="s">
        <v>36716</v>
      </c>
      <c r="B20476" s="3" t="s">
        <v>17002</v>
      </c>
      <c r="C20476" s="5" t="s">
        <v>614</v>
      </c>
      <c r="D20476" s="3" t="s">
        <v>206</v>
      </c>
      <c r="E20476" s="3" t="s">
        <v>100</v>
      </c>
      <c r="F20476" s="7">
        <v>46141.02856988846</v>
      </c>
      <c r="G20476" s="3" t="s">
        <v>17449</v>
      </c>
    </row>
    <row r="20477">
      <c r="A20477" s="3" t="s">
        <v>36717</v>
      </c>
      <c r="B20477" s="3" t="s">
        <v>17002</v>
      </c>
      <c r="C20477" s="5" t="s">
        <v>206</v>
      </c>
      <c r="D20477" s="3" t="s">
        <v>68</v>
      </c>
      <c r="E20477" s="3" t="s">
        <v>100</v>
      </c>
      <c r="F20477" s="7">
        <v>46141.03204211068</v>
      </c>
      <c r="G20477" s="3" t="s">
        <v>17452</v>
      </c>
    </row>
    <row r="20478">
      <c r="A20478" s="3" t="s">
        <v>36718</v>
      </c>
      <c r="B20478" s="3" t="s">
        <v>17004</v>
      </c>
      <c r="C20478" s="5" t="s">
        <v>45</v>
      </c>
      <c r="D20478" s="3" t="s">
        <v>221</v>
      </c>
      <c r="E20478" s="3" t="s">
        <v>643</v>
      </c>
      <c r="F20478" s="7">
        <v>46141.09280028943</v>
      </c>
      <c r="G20478" s="3" t="s">
        <v>10975</v>
      </c>
    </row>
    <row r="20479">
      <c r="A20479" s="3" t="s">
        <v>36719</v>
      </c>
      <c r="B20479" s="3" t="s">
        <v>17004</v>
      </c>
      <c r="C20479" s="5" t="s">
        <v>221</v>
      </c>
      <c r="D20479" s="3" t="s">
        <v>614</v>
      </c>
      <c r="E20479" s="3" t="s">
        <v>118</v>
      </c>
      <c r="F20479" s="7">
        <v>46141.09627251165</v>
      </c>
      <c r="G20479" s="3" t="s">
        <v>10978</v>
      </c>
    </row>
    <row r="20480">
      <c r="A20480" s="3" t="s">
        <v>36720</v>
      </c>
      <c r="B20480" s="3" t="s">
        <v>17004</v>
      </c>
      <c r="C20480" s="5" t="s">
        <v>614</v>
      </c>
      <c r="D20480" s="3" t="s">
        <v>206</v>
      </c>
      <c r="E20480" s="3" t="s">
        <v>100</v>
      </c>
      <c r="F20480" s="7">
        <v>46141.099744733874</v>
      </c>
      <c r="G20480" s="3" t="s">
        <v>10981</v>
      </c>
    </row>
    <row r="20481">
      <c r="A20481" s="3" t="s">
        <v>36721</v>
      </c>
      <c r="B20481" s="3" t="s">
        <v>17004</v>
      </c>
      <c r="C20481" s="5" t="s">
        <v>206</v>
      </c>
      <c r="D20481" s="3" t="s">
        <v>68</v>
      </c>
      <c r="E20481" s="3" t="s">
        <v>100</v>
      </c>
      <c r="F20481" s="7">
        <v>46141.10321695609</v>
      </c>
      <c r="G20481" s="3" t="s">
        <v>10984</v>
      </c>
    </row>
    <row r="20482">
      <c r="A20482" s="3" t="s">
        <v>36722</v>
      </c>
      <c r="B20482" s="3" t="s">
        <v>17007</v>
      </c>
      <c r="C20482" s="5" t="s">
        <v>45</v>
      </c>
      <c r="D20482" s="3" t="s">
        <v>221</v>
      </c>
      <c r="E20482" s="3" t="s">
        <v>713</v>
      </c>
      <c r="F20482" s="7">
        <v>46141.16397513485</v>
      </c>
      <c r="G20482" s="3" t="s">
        <v>14158</v>
      </c>
    </row>
    <row r="20483">
      <c r="A20483" s="3" t="s">
        <v>36723</v>
      </c>
      <c r="B20483" s="3" t="s">
        <v>17007</v>
      </c>
      <c r="C20483" s="5" t="s">
        <v>221</v>
      </c>
      <c r="D20483" s="3" t="s">
        <v>614</v>
      </c>
      <c r="E20483" s="3" t="s">
        <v>118</v>
      </c>
      <c r="F20483" s="7">
        <v>46141.16744735707</v>
      </c>
      <c r="G20483" s="3" t="s">
        <v>14161</v>
      </c>
    </row>
    <row r="20484">
      <c r="A20484" s="3" t="s">
        <v>36724</v>
      </c>
      <c r="B20484" s="3" t="s">
        <v>17007</v>
      </c>
      <c r="C20484" s="5" t="s">
        <v>614</v>
      </c>
      <c r="D20484" s="3" t="s">
        <v>206</v>
      </c>
      <c r="E20484" s="3" t="s">
        <v>100</v>
      </c>
      <c r="F20484" s="7">
        <v>46141.170919579294</v>
      </c>
      <c r="G20484" s="3" t="s">
        <v>14164</v>
      </c>
    </row>
    <row r="20485">
      <c r="A20485" s="3" t="s">
        <v>36725</v>
      </c>
      <c r="B20485" s="3" t="s">
        <v>17007</v>
      </c>
      <c r="C20485" s="5" t="s">
        <v>206</v>
      </c>
      <c r="D20485" s="3" t="s">
        <v>68</v>
      </c>
      <c r="E20485" s="3" t="s">
        <v>100</v>
      </c>
      <c r="F20485" s="7">
        <v>46141.17439180151</v>
      </c>
      <c r="G20485" s="3" t="s">
        <v>14167</v>
      </c>
    </row>
    <row r="20486">
      <c r="A20486" s="3" t="s">
        <v>36726</v>
      </c>
      <c r="B20486" s="3" t="s">
        <v>17009</v>
      </c>
      <c r="C20486" s="5" t="s">
        <v>45</v>
      </c>
      <c r="D20486" s="3" t="s">
        <v>221</v>
      </c>
      <c r="E20486" s="3" t="s">
        <v>366</v>
      </c>
      <c r="F20486" s="7">
        <v>46141.23514998027</v>
      </c>
      <c r="G20486" s="3" t="s">
        <v>2770</v>
      </c>
    </row>
    <row r="20487">
      <c r="A20487" s="3" t="s">
        <v>36727</v>
      </c>
      <c r="B20487" s="3" t="s">
        <v>17009</v>
      </c>
      <c r="C20487" s="5" t="s">
        <v>221</v>
      </c>
      <c r="D20487" s="3" t="s">
        <v>195</v>
      </c>
      <c r="E20487" s="3" t="s">
        <v>366</v>
      </c>
      <c r="F20487" s="7">
        <v>46141.23862220249</v>
      </c>
      <c r="G20487" s="3" t="s">
        <v>3055</v>
      </c>
    </row>
    <row r="20488">
      <c r="A20488" s="3" t="s">
        <v>36728</v>
      </c>
      <c r="B20488" s="3" t="s">
        <v>17011</v>
      </c>
      <c r="C20488" s="5" t="s">
        <v>45</v>
      </c>
      <c r="D20488" s="3" t="s">
        <v>221</v>
      </c>
      <c r="E20488" s="3" t="s">
        <v>344</v>
      </c>
      <c r="F20488" s="7">
        <v>46141.30632482567</v>
      </c>
      <c r="G20488" s="3" t="s">
        <v>17431</v>
      </c>
    </row>
    <row r="20489">
      <c r="A20489" s="3" t="s">
        <v>36729</v>
      </c>
      <c r="B20489" s="3" t="s">
        <v>17011</v>
      </c>
      <c r="C20489" s="5" t="s">
        <v>221</v>
      </c>
      <c r="D20489" s="3" t="s">
        <v>614</v>
      </c>
      <c r="E20489" s="3" t="s">
        <v>118</v>
      </c>
      <c r="F20489" s="7">
        <v>46141.30979704789</v>
      </c>
      <c r="G20489" s="3" t="s">
        <v>17435</v>
      </c>
    </row>
    <row r="20490">
      <c r="A20490" s="3" t="s">
        <v>36730</v>
      </c>
      <c r="B20490" s="3" t="s">
        <v>17011</v>
      </c>
      <c r="C20490" s="5" t="s">
        <v>614</v>
      </c>
      <c r="D20490" s="3" t="s">
        <v>206</v>
      </c>
      <c r="E20490" s="3" t="s">
        <v>100</v>
      </c>
      <c r="F20490" s="7">
        <v>46141.31326927012</v>
      </c>
      <c r="G20490" s="3" t="s">
        <v>17438</v>
      </c>
    </row>
    <row r="20491">
      <c r="A20491" s="3" t="s">
        <v>36731</v>
      </c>
      <c r="B20491" s="3" t="s">
        <v>17011</v>
      </c>
      <c r="C20491" s="5" t="s">
        <v>206</v>
      </c>
      <c r="D20491" s="3" t="s">
        <v>68</v>
      </c>
      <c r="E20491" s="3" t="s">
        <v>100</v>
      </c>
      <c r="F20491" s="7">
        <v>46141.31674149234</v>
      </c>
      <c r="G20491" s="3" t="s">
        <v>17440</v>
      </c>
    </row>
    <row r="20492">
      <c r="A20492" s="3" t="s">
        <v>36732</v>
      </c>
      <c r="B20492" s="3" t="s">
        <v>17013</v>
      </c>
      <c r="C20492" s="5" t="s">
        <v>45</v>
      </c>
      <c r="D20492" s="3" t="s">
        <v>221</v>
      </c>
      <c r="E20492" s="3" t="s">
        <v>765</v>
      </c>
      <c r="F20492" s="7">
        <v>46141.37749967109</v>
      </c>
      <c r="G20492" s="3" t="s">
        <v>17462</v>
      </c>
    </row>
    <row r="20493">
      <c r="A20493" s="3" t="s">
        <v>36733</v>
      </c>
      <c r="B20493" s="3" t="s">
        <v>17013</v>
      </c>
      <c r="C20493" s="5" t="s">
        <v>221</v>
      </c>
      <c r="D20493" s="3" t="s">
        <v>614</v>
      </c>
      <c r="E20493" s="3" t="s">
        <v>118</v>
      </c>
      <c r="F20493" s="7">
        <v>46141.38097189331</v>
      </c>
      <c r="G20493" s="3" t="s">
        <v>17465</v>
      </c>
    </row>
    <row r="20494">
      <c r="A20494" s="3" t="s">
        <v>36734</v>
      </c>
      <c r="B20494" s="3" t="s">
        <v>17013</v>
      </c>
      <c r="C20494" s="5" t="s">
        <v>614</v>
      </c>
      <c r="D20494" s="3" t="s">
        <v>206</v>
      </c>
      <c r="E20494" s="3" t="s">
        <v>100</v>
      </c>
      <c r="F20494" s="7">
        <v>46141.38444411554</v>
      </c>
      <c r="G20494" s="3" t="s">
        <v>17468</v>
      </c>
    </row>
    <row r="20495">
      <c r="A20495" s="3" t="s">
        <v>36735</v>
      </c>
      <c r="B20495" s="3" t="s">
        <v>17013</v>
      </c>
      <c r="C20495" s="5" t="s">
        <v>206</v>
      </c>
      <c r="D20495" s="3" t="s">
        <v>68</v>
      </c>
      <c r="E20495" s="3" t="s">
        <v>100</v>
      </c>
      <c r="F20495" s="7">
        <v>46141.38791633776</v>
      </c>
      <c r="G20495" s="3" t="s">
        <v>17470</v>
      </c>
    </row>
    <row r="20496">
      <c r="A20496" s="3" t="s">
        <v>36736</v>
      </c>
      <c r="B20496" s="3" t="s">
        <v>17015</v>
      </c>
      <c r="C20496" s="5" t="s">
        <v>45</v>
      </c>
      <c r="D20496" s="3" t="s">
        <v>221</v>
      </c>
      <c r="E20496" s="3" t="s">
        <v>826</v>
      </c>
      <c r="F20496" s="7">
        <v>46141.44867451651</v>
      </c>
      <c r="G20496" s="3" t="s">
        <v>17473</v>
      </c>
    </row>
    <row r="20497">
      <c r="A20497" s="3" t="s">
        <v>36737</v>
      </c>
      <c r="B20497" s="3" t="s">
        <v>17015</v>
      </c>
      <c r="C20497" s="5" t="s">
        <v>221</v>
      </c>
      <c r="D20497" s="3" t="s">
        <v>614</v>
      </c>
      <c r="E20497" s="3" t="s">
        <v>118</v>
      </c>
      <c r="F20497" s="7">
        <v>46141.45214673873</v>
      </c>
      <c r="G20497" s="3" t="s">
        <v>17476</v>
      </c>
    </row>
    <row r="20498">
      <c r="A20498" s="3" t="s">
        <v>36738</v>
      </c>
      <c r="B20498" s="3" t="s">
        <v>17015</v>
      </c>
      <c r="C20498" s="5" t="s">
        <v>614</v>
      </c>
      <c r="D20498" s="3" t="s">
        <v>206</v>
      </c>
      <c r="E20498" s="3" t="s">
        <v>100</v>
      </c>
      <c r="F20498" s="7">
        <v>46141.45561896096</v>
      </c>
      <c r="G20498" s="3" t="s">
        <v>17479</v>
      </c>
    </row>
    <row r="20499">
      <c r="A20499" s="3" t="s">
        <v>36739</v>
      </c>
      <c r="B20499" s="3" t="s">
        <v>17015</v>
      </c>
      <c r="C20499" s="5" t="s">
        <v>206</v>
      </c>
      <c r="D20499" s="3" t="s">
        <v>68</v>
      </c>
      <c r="E20499" s="3" t="s">
        <v>100</v>
      </c>
      <c r="F20499" s="7">
        <v>46141.45909118318</v>
      </c>
      <c r="G20499" s="3" t="s">
        <v>17482</v>
      </c>
    </row>
    <row r="20500">
      <c r="A20500" s="3" t="s">
        <v>36740</v>
      </c>
      <c r="B20500" s="3" t="s">
        <v>17018</v>
      </c>
      <c r="C20500" s="5" t="s">
        <v>45</v>
      </c>
      <c r="D20500" s="3" t="s">
        <v>221</v>
      </c>
      <c r="E20500" s="3" t="s">
        <v>276</v>
      </c>
      <c r="F20500" s="7">
        <v>46141.519849361925</v>
      </c>
      <c r="G20500" s="3" t="s">
        <v>17547</v>
      </c>
    </row>
    <row r="20501">
      <c r="A20501" s="3" t="s">
        <v>36741</v>
      </c>
      <c r="B20501" s="3" t="s">
        <v>17018</v>
      </c>
      <c r="C20501" s="5" t="s">
        <v>221</v>
      </c>
      <c r="D20501" s="3" t="s">
        <v>614</v>
      </c>
      <c r="E20501" s="3" t="s">
        <v>118</v>
      </c>
      <c r="F20501" s="7">
        <v>46141.52332158414</v>
      </c>
      <c r="G20501" s="3" t="s">
        <v>17550</v>
      </c>
    </row>
    <row r="20502">
      <c r="A20502" s="3" t="s">
        <v>36742</v>
      </c>
      <c r="B20502" s="3" t="s">
        <v>17018</v>
      </c>
      <c r="C20502" s="5" t="s">
        <v>614</v>
      </c>
      <c r="D20502" s="3" t="s">
        <v>206</v>
      </c>
      <c r="E20502" s="3" t="s">
        <v>100</v>
      </c>
      <c r="F20502" s="7">
        <v>46141.52679380637</v>
      </c>
      <c r="G20502" s="3" t="s">
        <v>17553</v>
      </c>
    </row>
    <row r="20503">
      <c r="A20503" s="3" t="s">
        <v>36743</v>
      </c>
      <c r="B20503" s="3" t="s">
        <v>17018</v>
      </c>
      <c r="C20503" s="5" t="s">
        <v>206</v>
      </c>
      <c r="D20503" s="3" t="s">
        <v>68</v>
      </c>
      <c r="E20503" s="3" t="s">
        <v>100</v>
      </c>
      <c r="F20503" s="7">
        <v>46141.53026602859</v>
      </c>
      <c r="G20503" s="3" t="s">
        <v>17556</v>
      </c>
    </row>
    <row r="20504">
      <c r="A20504" s="3" t="s">
        <v>36744</v>
      </c>
      <c r="B20504" s="3" t="s">
        <v>17020</v>
      </c>
      <c r="C20504" s="5" t="s">
        <v>45</v>
      </c>
      <c r="D20504" s="3" t="s">
        <v>221</v>
      </c>
      <c r="E20504" s="3" t="s">
        <v>593</v>
      </c>
      <c r="F20504" s="7">
        <v>46141.59102420734</v>
      </c>
      <c r="G20504" s="3" t="s">
        <v>15595</v>
      </c>
    </row>
    <row r="20505">
      <c r="A20505" s="3" t="s">
        <v>36745</v>
      </c>
      <c r="B20505" s="3" t="s">
        <v>17020</v>
      </c>
      <c r="C20505" s="5" t="s">
        <v>221</v>
      </c>
      <c r="D20505" s="3" t="s">
        <v>614</v>
      </c>
      <c r="E20505" s="3" t="s">
        <v>118</v>
      </c>
      <c r="F20505" s="7">
        <v>46141.594496429556</v>
      </c>
      <c r="G20505" s="3" t="s">
        <v>15598</v>
      </c>
    </row>
    <row r="20506">
      <c r="A20506" s="3" t="s">
        <v>36746</v>
      </c>
      <c r="B20506" s="3" t="s">
        <v>17020</v>
      </c>
      <c r="C20506" s="5" t="s">
        <v>614</v>
      </c>
      <c r="D20506" s="3" t="s">
        <v>206</v>
      </c>
      <c r="E20506" s="3" t="s">
        <v>100</v>
      </c>
      <c r="F20506" s="7">
        <v>46141.59796865178</v>
      </c>
      <c r="G20506" s="3" t="s">
        <v>15600</v>
      </c>
    </row>
    <row r="20507">
      <c r="A20507" s="3" t="s">
        <v>36747</v>
      </c>
      <c r="B20507" s="3" t="s">
        <v>17020</v>
      </c>
      <c r="C20507" s="5" t="s">
        <v>206</v>
      </c>
      <c r="D20507" s="3" t="s">
        <v>68</v>
      </c>
      <c r="E20507" s="3" t="s">
        <v>100</v>
      </c>
      <c r="F20507" s="7">
        <v>46141.601440874</v>
      </c>
      <c r="G20507" s="3" t="s">
        <v>15603</v>
      </c>
    </row>
    <row r="20508">
      <c r="A20508" s="3" t="s">
        <v>36748</v>
      </c>
      <c r="B20508" s="3" t="s">
        <v>17023</v>
      </c>
      <c r="C20508" s="5" t="s">
        <v>45</v>
      </c>
      <c r="D20508" s="3" t="s">
        <v>221</v>
      </c>
      <c r="E20508" s="3" t="s">
        <v>363</v>
      </c>
      <c r="F20508" s="7">
        <v>46141.66219905276</v>
      </c>
      <c r="G20508" s="3" t="s">
        <v>26072</v>
      </c>
    </row>
    <row r="20509">
      <c r="A20509" s="3" t="s">
        <v>36749</v>
      </c>
      <c r="B20509" s="3" t="s">
        <v>17023</v>
      </c>
      <c r="C20509" s="5" t="s">
        <v>221</v>
      </c>
      <c r="D20509" s="3" t="s">
        <v>614</v>
      </c>
      <c r="E20509" s="3" t="s">
        <v>118</v>
      </c>
      <c r="F20509" s="7">
        <v>46141.665671274975</v>
      </c>
      <c r="G20509" s="3" t="s">
        <v>26074</v>
      </c>
    </row>
    <row r="20510">
      <c r="A20510" s="3" t="s">
        <v>36750</v>
      </c>
      <c r="B20510" s="3" t="s">
        <v>17023</v>
      </c>
      <c r="C20510" s="5" t="s">
        <v>614</v>
      </c>
      <c r="D20510" s="3" t="s">
        <v>206</v>
      </c>
      <c r="E20510" s="3" t="s">
        <v>100</v>
      </c>
      <c r="F20510" s="7">
        <v>46141.6691434972</v>
      </c>
      <c r="G20510" s="3" t="s">
        <v>26076</v>
      </c>
    </row>
    <row r="20511">
      <c r="A20511" s="3" t="s">
        <v>36751</v>
      </c>
      <c r="B20511" s="3" t="s">
        <v>17023</v>
      </c>
      <c r="C20511" s="5" t="s">
        <v>206</v>
      </c>
      <c r="D20511" s="3" t="s">
        <v>68</v>
      </c>
      <c r="E20511" s="3" t="s">
        <v>100</v>
      </c>
      <c r="F20511" s="7">
        <v>46141.67261571942</v>
      </c>
      <c r="G20511" s="3" t="s">
        <v>26078</v>
      </c>
    </row>
    <row r="20512">
      <c r="A20512" s="3" t="s">
        <v>36752</v>
      </c>
      <c r="B20512" s="3" t="s">
        <v>17028</v>
      </c>
      <c r="C20512" s="5" t="s">
        <v>45</v>
      </c>
      <c r="D20512" s="3" t="s">
        <v>221</v>
      </c>
      <c r="E20512" s="3" t="s">
        <v>953</v>
      </c>
      <c r="F20512" s="7">
        <v>46141.73337389817</v>
      </c>
      <c r="G20512" s="3" t="s">
        <v>19658</v>
      </c>
    </row>
    <row r="20513">
      <c r="A20513" s="3" t="s">
        <v>36753</v>
      </c>
      <c r="B20513" s="3" t="s">
        <v>17028</v>
      </c>
      <c r="C20513" s="5" t="s">
        <v>221</v>
      </c>
      <c r="D20513" s="3" t="s">
        <v>614</v>
      </c>
      <c r="E20513" s="3" t="s">
        <v>118</v>
      </c>
      <c r="F20513" s="7">
        <v>46141.73684612039</v>
      </c>
      <c r="G20513" s="3" t="s">
        <v>19661</v>
      </c>
    </row>
    <row r="20514">
      <c r="A20514" s="3" t="s">
        <v>36754</v>
      </c>
      <c r="B20514" s="3" t="s">
        <v>17028</v>
      </c>
      <c r="C20514" s="5" t="s">
        <v>614</v>
      </c>
      <c r="D20514" s="3" t="s">
        <v>206</v>
      </c>
      <c r="E20514" s="3" t="s">
        <v>100</v>
      </c>
      <c r="F20514" s="7">
        <v>46141.740318342614</v>
      </c>
      <c r="G20514" s="3" t="s">
        <v>19664</v>
      </c>
    </row>
    <row r="20515">
      <c r="A20515" s="3" t="s">
        <v>36755</v>
      </c>
      <c r="B20515" s="3" t="s">
        <v>17028</v>
      </c>
      <c r="C20515" s="5" t="s">
        <v>206</v>
      </c>
      <c r="D20515" s="3" t="s">
        <v>68</v>
      </c>
      <c r="E20515" s="3" t="s">
        <v>100</v>
      </c>
      <c r="F20515" s="7">
        <v>46141.74379056483</v>
      </c>
      <c r="G20515" s="3" t="s">
        <v>19667</v>
      </c>
    </row>
    <row r="20516">
      <c r="A20516" s="3" t="s">
        <v>36756</v>
      </c>
      <c r="B20516" s="3" t="s">
        <v>17031</v>
      </c>
      <c r="C20516" s="5" t="s">
        <v>45</v>
      </c>
      <c r="D20516" s="3" t="s">
        <v>221</v>
      </c>
      <c r="E20516" s="3" t="s">
        <v>811</v>
      </c>
      <c r="F20516" s="7">
        <v>46141.80454874358</v>
      </c>
      <c r="G20516" s="3" t="s">
        <v>27132</v>
      </c>
    </row>
    <row r="20517">
      <c r="A20517" s="3" t="s">
        <v>36757</v>
      </c>
      <c r="B20517" s="3" t="s">
        <v>17031</v>
      </c>
      <c r="C20517" s="5" t="s">
        <v>221</v>
      </c>
      <c r="D20517" s="3" t="s">
        <v>614</v>
      </c>
      <c r="E20517" s="3" t="s">
        <v>118</v>
      </c>
      <c r="F20517" s="7">
        <v>46141.8080209658</v>
      </c>
      <c r="G20517" s="3" t="s">
        <v>27134</v>
      </c>
    </row>
    <row r="20518">
      <c r="A20518" s="3" t="s">
        <v>36758</v>
      </c>
      <c r="B20518" s="3" t="s">
        <v>17031</v>
      </c>
      <c r="C20518" s="5" t="s">
        <v>614</v>
      </c>
      <c r="D20518" s="3" t="s">
        <v>206</v>
      </c>
      <c r="E20518" s="3" t="s">
        <v>100</v>
      </c>
      <c r="F20518" s="7">
        <v>46141.811493188026</v>
      </c>
      <c r="G20518" s="3" t="s">
        <v>27136</v>
      </c>
    </row>
    <row r="20519">
      <c r="A20519" s="3" t="s">
        <v>36759</v>
      </c>
      <c r="B20519" s="3" t="s">
        <v>17031</v>
      </c>
      <c r="C20519" s="5" t="s">
        <v>206</v>
      </c>
      <c r="D20519" s="3" t="s">
        <v>68</v>
      </c>
      <c r="E20519" s="3" t="s">
        <v>100</v>
      </c>
      <c r="F20519" s="7">
        <v>46141.814965410245</v>
      </c>
      <c r="G20519" s="3" t="s">
        <v>27138</v>
      </c>
    </row>
    <row r="20520">
      <c r="A20520" s="3" t="s">
        <v>36760</v>
      </c>
      <c r="B20520" s="3" t="s">
        <v>17033</v>
      </c>
      <c r="C20520" s="5" t="s">
        <v>45</v>
      </c>
      <c r="D20520" s="3" t="s">
        <v>221</v>
      </c>
      <c r="E20520" s="3" t="s">
        <v>848</v>
      </c>
      <c r="F20520" s="7">
        <v>46141.875723589</v>
      </c>
      <c r="G20520" s="3" t="s">
        <v>28992</v>
      </c>
    </row>
    <row r="20521">
      <c r="A20521" s="3" t="s">
        <v>36761</v>
      </c>
      <c r="B20521" s="3" t="s">
        <v>17033</v>
      </c>
      <c r="C20521" s="5" t="s">
        <v>221</v>
      </c>
      <c r="D20521" s="3" t="s">
        <v>614</v>
      </c>
      <c r="E20521" s="3" t="s">
        <v>118</v>
      </c>
      <c r="F20521" s="7">
        <v>46141.87919581122</v>
      </c>
      <c r="G20521" s="3" t="s">
        <v>28994</v>
      </c>
    </row>
    <row r="20522">
      <c r="A20522" s="3" t="s">
        <v>36762</v>
      </c>
      <c r="B20522" s="3" t="s">
        <v>17033</v>
      </c>
      <c r="C20522" s="5" t="s">
        <v>614</v>
      </c>
      <c r="D20522" s="3" t="s">
        <v>206</v>
      </c>
      <c r="E20522" s="3" t="s">
        <v>100</v>
      </c>
      <c r="F20522" s="7">
        <v>46141.882668033446</v>
      </c>
      <c r="G20522" s="3" t="s">
        <v>28996</v>
      </c>
    </row>
    <row r="20523">
      <c r="A20523" s="3" t="s">
        <v>36763</v>
      </c>
      <c r="B20523" s="3" t="s">
        <v>17033</v>
      </c>
      <c r="C20523" s="5" t="s">
        <v>206</v>
      </c>
      <c r="D20523" s="3" t="s">
        <v>68</v>
      </c>
      <c r="E20523" s="3" t="s">
        <v>100</v>
      </c>
      <c r="F20523" s="7">
        <v>46141.886140255665</v>
      </c>
      <c r="G20523" s="3" t="s">
        <v>28998</v>
      </c>
    </row>
    <row r="20524">
      <c r="A20524" s="3" t="s">
        <v>36764</v>
      </c>
      <c r="B20524" s="3" t="s">
        <v>17035</v>
      </c>
      <c r="C20524" s="5" t="s">
        <v>45</v>
      </c>
      <c r="D20524" s="3" t="s">
        <v>221</v>
      </c>
      <c r="E20524" s="3" t="s">
        <v>344</v>
      </c>
      <c r="F20524" s="7">
        <v>46141.94689843441</v>
      </c>
      <c r="G20524" s="3" t="s">
        <v>18976</v>
      </c>
    </row>
    <row r="20525">
      <c r="A20525" s="3" t="s">
        <v>36765</v>
      </c>
      <c r="B20525" s="3" t="s">
        <v>17035</v>
      </c>
      <c r="C20525" s="5" t="s">
        <v>221</v>
      </c>
      <c r="D20525" s="3" t="s">
        <v>614</v>
      </c>
      <c r="E20525" s="3" t="s">
        <v>118</v>
      </c>
      <c r="F20525" s="7">
        <v>46141.95037065663</v>
      </c>
      <c r="G20525" s="3" t="s">
        <v>18980</v>
      </c>
    </row>
    <row r="20526">
      <c r="A20526" s="3" t="s">
        <v>36766</v>
      </c>
      <c r="B20526" s="3" t="s">
        <v>17035</v>
      </c>
      <c r="C20526" s="5" t="s">
        <v>614</v>
      </c>
      <c r="D20526" s="3" t="s">
        <v>206</v>
      </c>
      <c r="E20526" s="3" t="s">
        <v>100</v>
      </c>
      <c r="F20526" s="7">
        <v>46141.95384287886</v>
      </c>
      <c r="G20526" s="3" t="s">
        <v>18983</v>
      </c>
    </row>
    <row r="20527">
      <c r="A20527" s="3" t="s">
        <v>36767</v>
      </c>
      <c r="B20527" s="3" t="s">
        <v>17035</v>
      </c>
      <c r="C20527" s="5" t="s">
        <v>206</v>
      </c>
      <c r="D20527" s="3" t="s">
        <v>68</v>
      </c>
      <c r="E20527" s="3" t="s">
        <v>100</v>
      </c>
      <c r="F20527" s="7">
        <v>46141.95731510108</v>
      </c>
      <c r="G20527" s="3" t="s">
        <v>18986</v>
      </c>
    </row>
    <row r="20528">
      <c r="A20528" s="3" t="s">
        <v>36768</v>
      </c>
      <c r="B20528" s="3" t="s">
        <v>17038</v>
      </c>
      <c r="C20528" s="5" t="s">
        <v>45</v>
      </c>
      <c r="D20528" s="3" t="s">
        <v>221</v>
      </c>
      <c r="E20528" s="3" t="s">
        <v>682</v>
      </c>
      <c r="F20528" s="7">
        <v>46142.018073279825</v>
      </c>
      <c r="G20528" s="3" t="s">
        <v>17609</v>
      </c>
    </row>
    <row r="20529">
      <c r="A20529" s="3" t="s">
        <v>36769</v>
      </c>
      <c r="B20529" s="3" t="s">
        <v>17038</v>
      </c>
      <c r="C20529" s="5" t="s">
        <v>221</v>
      </c>
      <c r="D20529" s="3" t="s">
        <v>614</v>
      </c>
      <c r="E20529" s="3" t="s">
        <v>118</v>
      </c>
      <c r="F20529" s="7">
        <v>46142.021545502044</v>
      </c>
      <c r="G20529" s="3" t="s">
        <v>17612</v>
      </c>
    </row>
    <row r="20530">
      <c r="A20530" s="3" t="s">
        <v>36770</v>
      </c>
      <c r="B20530" s="3" t="s">
        <v>17038</v>
      </c>
      <c r="C20530" s="5" t="s">
        <v>614</v>
      </c>
      <c r="D20530" s="3" t="s">
        <v>206</v>
      </c>
      <c r="E20530" s="3" t="s">
        <v>100</v>
      </c>
      <c r="F20530" s="7">
        <v>46142.02501772427</v>
      </c>
      <c r="G20530" s="3" t="s">
        <v>17615</v>
      </c>
    </row>
    <row r="20531">
      <c r="A20531" s="3" t="s">
        <v>36771</v>
      </c>
      <c r="B20531" s="3" t="s">
        <v>17038</v>
      </c>
      <c r="C20531" s="5" t="s">
        <v>206</v>
      </c>
      <c r="D20531" s="3" t="s">
        <v>68</v>
      </c>
      <c r="E20531" s="3" t="s">
        <v>100</v>
      </c>
      <c r="F20531" s="7">
        <v>46142.02848994649</v>
      </c>
      <c r="G20531" s="3" t="s">
        <v>17618</v>
      </c>
    </row>
    <row r="20532">
      <c r="A20532" s="3" t="s">
        <v>36772</v>
      </c>
      <c r="B20532" s="3" t="s">
        <v>17043</v>
      </c>
      <c r="C20532" s="5" t="s">
        <v>45</v>
      </c>
      <c r="D20532" s="3" t="s">
        <v>221</v>
      </c>
      <c r="E20532" s="3" t="s">
        <v>269</v>
      </c>
      <c r="F20532" s="7">
        <v>46142.089248125245</v>
      </c>
      <c r="G20532" s="3" t="s">
        <v>12983</v>
      </c>
    </row>
    <row r="20533">
      <c r="A20533" s="3" t="s">
        <v>36773</v>
      </c>
      <c r="B20533" s="3" t="s">
        <v>17043</v>
      </c>
      <c r="C20533" s="5" t="s">
        <v>221</v>
      </c>
      <c r="D20533" s="3" t="s">
        <v>614</v>
      </c>
      <c r="E20533" s="3" t="s">
        <v>118</v>
      </c>
      <c r="F20533" s="7">
        <v>46142.092720347464</v>
      </c>
      <c r="G20533" s="3" t="s">
        <v>14998</v>
      </c>
    </row>
    <row r="20534">
      <c r="A20534" s="3" t="s">
        <v>36774</v>
      </c>
      <c r="B20534" s="3" t="s">
        <v>17043</v>
      </c>
      <c r="C20534" s="5" t="s">
        <v>614</v>
      </c>
      <c r="D20534" s="3" t="s">
        <v>206</v>
      </c>
      <c r="E20534" s="3" t="s">
        <v>100</v>
      </c>
      <c r="F20534" s="7">
        <v>46142.09619256969</v>
      </c>
      <c r="G20534" s="3" t="s">
        <v>15001</v>
      </c>
    </row>
    <row r="20535">
      <c r="A20535" s="3" t="s">
        <v>36775</v>
      </c>
      <c r="B20535" s="3" t="s">
        <v>17043</v>
      </c>
      <c r="C20535" s="5" t="s">
        <v>206</v>
      </c>
      <c r="D20535" s="3" t="s">
        <v>68</v>
      </c>
      <c r="E20535" s="3" t="s">
        <v>100</v>
      </c>
      <c r="F20535" s="7">
        <v>46142.09966479191</v>
      </c>
      <c r="G20535" s="3" t="s">
        <v>15004</v>
      </c>
    </row>
    <row r="20536">
      <c r="A20536" s="3" t="s">
        <v>36776</v>
      </c>
      <c r="B20536" s="3" t="s">
        <v>17046</v>
      </c>
      <c r="C20536" s="5" t="s">
        <v>45</v>
      </c>
      <c r="D20536" s="3" t="s">
        <v>221</v>
      </c>
      <c r="E20536" s="3" t="s">
        <v>557</v>
      </c>
      <c r="F20536" s="7">
        <v>46142.160422970665</v>
      </c>
      <c r="G20536" s="3" t="s">
        <v>21489</v>
      </c>
    </row>
    <row r="20537">
      <c r="A20537" s="3" t="s">
        <v>36777</v>
      </c>
      <c r="B20537" s="3" t="s">
        <v>17046</v>
      </c>
      <c r="C20537" s="5" t="s">
        <v>221</v>
      </c>
      <c r="D20537" s="3" t="s">
        <v>614</v>
      </c>
      <c r="E20537" s="3" t="s">
        <v>118</v>
      </c>
      <c r="F20537" s="7">
        <v>46142.16389519288</v>
      </c>
      <c r="G20537" s="3" t="s">
        <v>21492</v>
      </c>
    </row>
    <row r="20538">
      <c r="A20538" s="3" t="s">
        <v>36778</v>
      </c>
      <c r="B20538" s="3" t="s">
        <v>17046</v>
      </c>
      <c r="C20538" s="5" t="s">
        <v>614</v>
      </c>
      <c r="D20538" s="3" t="s">
        <v>206</v>
      </c>
      <c r="E20538" s="3" t="s">
        <v>100</v>
      </c>
      <c r="F20538" s="7">
        <v>46142.16736741511</v>
      </c>
      <c r="G20538" s="3" t="s">
        <v>21495</v>
      </c>
    </row>
    <row r="20539">
      <c r="A20539" s="3" t="s">
        <v>36779</v>
      </c>
      <c r="B20539" s="3" t="s">
        <v>17046</v>
      </c>
      <c r="C20539" s="5" t="s">
        <v>206</v>
      </c>
      <c r="D20539" s="3" t="s">
        <v>68</v>
      </c>
      <c r="E20539" s="3" t="s">
        <v>100</v>
      </c>
      <c r="F20539" s="7">
        <v>46142.17083963733</v>
      </c>
      <c r="G20539" s="3" t="s">
        <v>21498</v>
      </c>
    </row>
    <row r="20540">
      <c r="A20540" s="3" t="s">
        <v>36780</v>
      </c>
      <c r="B20540" s="3" t="s">
        <v>17049</v>
      </c>
      <c r="C20540" s="5" t="s">
        <v>45</v>
      </c>
      <c r="D20540" s="3" t="s">
        <v>221</v>
      </c>
      <c r="E20540" s="3" t="s">
        <v>419</v>
      </c>
      <c r="F20540" s="7">
        <v>46142.23159781607</v>
      </c>
      <c r="G20540" s="3" t="s">
        <v>16066</v>
      </c>
    </row>
    <row r="20541">
      <c r="A20541" s="3" t="s">
        <v>36781</v>
      </c>
      <c r="B20541" s="3" t="s">
        <v>17049</v>
      </c>
      <c r="C20541" s="5" t="s">
        <v>221</v>
      </c>
      <c r="D20541" s="3" t="s">
        <v>614</v>
      </c>
      <c r="E20541" s="3" t="s">
        <v>118</v>
      </c>
      <c r="F20541" s="7">
        <v>46142.23507003829</v>
      </c>
      <c r="G20541" s="3" t="s">
        <v>16069</v>
      </c>
    </row>
    <row r="20542">
      <c r="A20542" s="3" t="s">
        <v>36782</v>
      </c>
      <c r="B20542" s="3" t="s">
        <v>17049</v>
      </c>
      <c r="C20542" s="5" t="s">
        <v>614</v>
      </c>
      <c r="D20542" s="3" t="s">
        <v>206</v>
      </c>
      <c r="E20542" s="3" t="s">
        <v>100</v>
      </c>
      <c r="F20542" s="7">
        <v>46142.238542260515</v>
      </c>
      <c r="G20542" s="3" t="s">
        <v>16072</v>
      </c>
    </row>
    <row r="20543">
      <c r="A20543" s="3" t="s">
        <v>36783</v>
      </c>
      <c r="B20543" s="3" t="s">
        <v>17049</v>
      </c>
      <c r="C20543" s="5" t="s">
        <v>206</v>
      </c>
      <c r="D20543" s="3" t="s">
        <v>68</v>
      </c>
      <c r="E20543" s="3" t="s">
        <v>100</v>
      </c>
      <c r="F20543" s="7">
        <v>46142.242014482734</v>
      </c>
      <c r="G20543" s="3" t="s">
        <v>16074</v>
      </c>
    </row>
    <row r="20544">
      <c r="A20544" s="3" t="s">
        <v>36784</v>
      </c>
      <c r="B20544" s="3" t="s">
        <v>17052</v>
      </c>
      <c r="C20544" s="5" t="s">
        <v>45</v>
      </c>
      <c r="D20544" s="3" t="s">
        <v>221</v>
      </c>
      <c r="E20544" s="3" t="s">
        <v>943</v>
      </c>
      <c r="F20544" s="7">
        <v>46142.30277266149</v>
      </c>
      <c r="G20544" s="3" t="s">
        <v>28850</v>
      </c>
    </row>
    <row r="20545">
      <c r="A20545" s="3" t="s">
        <v>36785</v>
      </c>
      <c r="B20545" s="3" t="s">
        <v>17052</v>
      </c>
      <c r="C20545" s="5" t="s">
        <v>221</v>
      </c>
      <c r="D20545" s="3" t="s">
        <v>614</v>
      </c>
      <c r="E20545" s="3" t="s">
        <v>118</v>
      </c>
      <c r="F20545" s="7">
        <v>46142.30624488371</v>
      </c>
      <c r="G20545" s="3" t="s">
        <v>28852</v>
      </c>
    </row>
    <row r="20546">
      <c r="A20546" s="3" t="s">
        <v>36786</v>
      </c>
      <c r="B20546" s="3" t="s">
        <v>17052</v>
      </c>
      <c r="C20546" s="5" t="s">
        <v>614</v>
      </c>
      <c r="D20546" s="3" t="s">
        <v>206</v>
      </c>
      <c r="E20546" s="3" t="s">
        <v>100</v>
      </c>
      <c r="F20546" s="7">
        <v>46142.309717105934</v>
      </c>
      <c r="G20546" s="3" t="s">
        <v>28854</v>
      </c>
    </row>
    <row r="20547">
      <c r="A20547" s="3" t="s">
        <v>36787</v>
      </c>
      <c r="B20547" s="3" t="s">
        <v>17052</v>
      </c>
      <c r="C20547" s="5" t="s">
        <v>206</v>
      </c>
      <c r="D20547" s="3" t="s">
        <v>68</v>
      </c>
      <c r="E20547" s="3" t="s">
        <v>100</v>
      </c>
      <c r="F20547" s="7">
        <v>46142.31318932815</v>
      </c>
      <c r="G20547" s="3" t="s">
        <v>28856</v>
      </c>
    </row>
    <row r="20548">
      <c r="A20548" s="3" t="s">
        <v>36788</v>
      </c>
      <c r="B20548" s="3" t="s">
        <v>17056</v>
      </c>
      <c r="C20548" s="5" t="s">
        <v>45</v>
      </c>
      <c r="D20548" s="3" t="s">
        <v>221</v>
      </c>
      <c r="E20548" s="3" t="s">
        <v>510</v>
      </c>
      <c r="F20548" s="7">
        <v>46142.37394750691</v>
      </c>
      <c r="G20548" s="3" t="s">
        <v>18016</v>
      </c>
    </row>
    <row r="20549">
      <c r="A20549" s="3" t="s">
        <v>36789</v>
      </c>
      <c r="B20549" s="3" t="s">
        <v>17056</v>
      </c>
      <c r="C20549" s="5" t="s">
        <v>221</v>
      </c>
      <c r="D20549" s="3" t="s">
        <v>614</v>
      </c>
      <c r="E20549" s="3" t="s">
        <v>118</v>
      </c>
      <c r="F20549" s="7">
        <v>46142.37741972913</v>
      </c>
      <c r="G20549" s="3" t="s">
        <v>18018</v>
      </c>
    </row>
    <row r="20550">
      <c r="A20550" s="3" t="s">
        <v>36790</v>
      </c>
      <c r="B20550" s="3" t="s">
        <v>17056</v>
      </c>
      <c r="C20550" s="5" t="s">
        <v>614</v>
      </c>
      <c r="D20550" s="3" t="s">
        <v>206</v>
      </c>
      <c r="E20550" s="3" t="s">
        <v>100</v>
      </c>
      <c r="F20550" s="7">
        <v>46142.380891951354</v>
      </c>
      <c r="G20550" s="3" t="s">
        <v>18022</v>
      </c>
    </row>
    <row r="20551">
      <c r="A20551" s="3" t="s">
        <v>36791</v>
      </c>
      <c r="B20551" s="3" t="s">
        <v>17056</v>
      </c>
      <c r="C20551" s="5" t="s">
        <v>206</v>
      </c>
      <c r="D20551" s="3" t="s">
        <v>68</v>
      </c>
      <c r="E20551" s="3" t="s">
        <v>100</v>
      </c>
      <c r="F20551" s="7">
        <v>46142.38436417357</v>
      </c>
      <c r="G20551" s="3" t="s">
        <v>18025</v>
      </c>
    </row>
    <row r="20552">
      <c r="A20552" s="3" t="s">
        <v>36792</v>
      </c>
      <c r="B20552" s="3" t="s">
        <v>17060</v>
      </c>
      <c r="C20552" s="5" t="s">
        <v>45</v>
      </c>
      <c r="D20552" s="3" t="s">
        <v>221</v>
      </c>
      <c r="E20552" s="3" t="s">
        <v>512</v>
      </c>
      <c r="F20552" s="7">
        <v>46142.44512235232</v>
      </c>
      <c r="G20552" s="3" t="s">
        <v>12100</v>
      </c>
    </row>
    <row r="20553">
      <c r="A20553" s="3" t="s">
        <v>36793</v>
      </c>
      <c r="B20553" s="3" t="s">
        <v>17060</v>
      </c>
      <c r="C20553" s="5" t="s">
        <v>221</v>
      </c>
      <c r="D20553" s="3" t="s">
        <v>614</v>
      </c>
      <c r="E20553" s="3" t="s">
        <v>118</v>
      </c>
      <c r="F20553" s="7">
        <v>46142.44859457454</v>
      </c>
      <c r="G20553" s="3" t="s">
        <v>12992</v>
      </c>
    </row>
    <row r="20554">
      <c r="A20554" s="3" t="s">
        <v>36794</v>
      </c>
      <c r="B20554" s="3" t="s">
        <v>17060</v>
      </c>
      <c r="C20554" s="5" t="s">
        <v>614</v>
      </c>
      <c r="D20554" s="3" t="s">
        <v>206</v>
      </c>
      <c r="E20554" s="3" t="s">
        <v>100</v>
      </c>
      <c r="F20554" s="7">
        <v>46142.452066796766</v>
      </c>
      <c r="G20554" s="3" t="s">
        <v>12995</v>
      </c>
    </row>
    <row r="20555">
      <c r="A20555" s="3" t="s">
        <v>36795</v>
      </c>
      <c r="B20555" s="3" t="s">
        <v>17060</v>
      </c>
      <c r="C20555" s="5" t="s">
        <v>206</v>
      </c>
      <c r="D20555" s="3" t="s">
        <v>68</v>
      </c>
      <c r="E20555" s="3" t="s">
        <v>100</v>
      </c>
      <c r="F20555" s="7">
        <v>46142.455539018985</v>
      </c>
      <c r="G20555" s="3" t="s">
        <v>12998</v>
      </c>
    </row>
    <row r="20556">
      <c r="A20556" s="3" t="s">
        <v>36796</v>
      </c>
      <c r="B20556" s="3" t="s">
        <v>17063</v>
      </c>
      <c r="C20556" s="5" t="s">
        <v>45</v>
      </c>
      <c r="D20556" s="3" t="s">
        <v>221</v>
      </c>
      <c r="E20556" s="3" t="s">
        <v>419</v>
      </c>
      <c r="F20556" s="7">
        <v>46142.51629719773</v>
      </c>
      <c r="G20556" s="3" t="s">
        <v>19553</v>
      </c>
    </row>
    <row r="20557">
      <c r="A20557" s="3" t="s">
        <v>36797</v>
      </c>
      <c r="B20557" s="3" t="s">
        <v>17063</v>
      </c>
      <c r="C20557" s="5" t="s">
        <v>221</v>
      </c>
      <c r="D20557" s="3" t="s">
        <v>614</v>
      </c>
      <c r="E20557" s="3" t="s">
        <v>118</v>
      </c>
      <c r="F20557" s="7">
        <v>46142.51976941995</v>
      </c>
      <c r="G20557" s="3" t="s">
        <v>19556</v>
      </c>
    </row>
    <row r="20558">
      <c r="A20558" s="3" t="s">
        <v>36798</v>
      </c>
      <c r="B20558" s="3" t="s">
        <v>17063</v>
      </c>
      <c r="C20558" s="5" t="s">
        <v>614</v>
      </c>
      <c r="D20558" s="3" t="s">
        <v>206</v>
      </c>
      <c r="E20558" s="3" t="s">
        <v>100</v>
      </c>
      <c r="F20558" s="7">
        <v>46142.52324164218</v>
      </c>
      <c r="G20558" s="3" t="s">
        <v>19559</v>
      </c>
    </row>
    <row r="20559">
      <c r="A20559" s="3" t="s">
        <v>36799</v>
      </c>
      <c r="B20559" s="3" t="s">
        <v>17063</v>
      </c>
      <c r="C20559" s="5" t="s">
        <v>206</v>
      </c>
      <c r="D20559" s="3" t="s">
        <v>68</v>
      </c>
      <c r="E20559" s="3" t="s">
        <v>100</v>
      </c>
      <c r="F20559" s="7">
        <v>46142.5267138644</v>
      </c>
      <c r="G20559" s="3" t="s">
        <v>19561</v>
      </c>
    </row>
    <row r="20560">
      <c r="A20560" s="3" t="s">
        <v>36800</v>
      </c>
      <c r="B20560" s="3" t="s">
        <v>17066</v>
      </c>
      <c r="C20560" s="5" t="s">
        <v>45</v>
      </c>
      <c r="D20560" s="3" t="s">
        <v>221</v>
      </c>
      <c r="E20560" s="3" t="s">
        <v>202</v>
      </c>
      <c r="F20560" s="7">
        <v>46142.58747204315</v>
      </c>
      <c r="G20560" s="3" t="s">
        <v>17644</v>
      </c>
    </row>
    <row r="20561">
      <c r="A20561" s="3" t="s">
        <v>36801</v>
      </c>
      <c r="B20561" s="3" t="s">
        <v>17066</v>
      </c>
      <c r="C20561" s="5" t="s">
        <v>221</v>
      </c>
      <c r="D20561" s="3" t="s">
        <v>614</v>
      </c>
      <c r="E20561" s="3" t="s">
        <v>118</v>
      </c>
      <c r="F20561" s="7">
        <v>46142.59094426537</v>
      </c>
      <c r="G20561" s="3" t="s">
        <v>17646</v>
      </c>
    </row>
    <row r="20562">
      <c r="A20562" s="3" t="s">
        <v>36802</v>
      </c>
      <c r="B20562" s="3" t="s">
        <v>17066</v>
      </c>
      <c r="C20562" s="5" t="s">
        <v>614</v>
      </c>
      <c r="D20562" s="3" t="s">
        <v>206</v>
      </c>
      <c r="E20562" s="3" t="s">
        <v>100</v>
      </c>
      <c r="F20562" s="7">
        <v>46142.5944164876</v>
      </c>
      <c r="G20562" s="3" t="s">
        <v>17648</v>
      </c>
    </row>
    <row r="20563">
      <c r="A20563" s="3" t="s">
        <v>36803</v>
      </c>
      <c r="B20563" s="3" t="s">
        <v>17066</v>
      </c>
      <c r="C20563" s="5" t="s">
        <v>206</v>
      </c>
      <c r="D20563" s="3" t="s">
        <v>68</v>
      </c>
      <c r="E20563" s="3" t="s">
        <v>100</v>
      </c>
      <c r="F20563" s="7">
        <v>46142.59788870982</v>
      </c>
      <c r="G20563" s="3" t="s">
        <v>17651</v>
      </c>
    </row>
    <row r="20564">
      <c r="A20564" s="3" t="s">
        <v>36804</v>
      </c>
      <c r="B20564" s="3" t="s">
        <v>17069</v>
      </c>
      <c r="C20564" s="5" t="s">
        <v>45</v>
      </c>
      <c r="D20564" s="3" t="s">
        <v>221</v>
      </c>
      <c r="E20564" s="3" t="s">
        <v>247</v>
      </c>
      <c r="F20564" s="7">
        <v>46142.658646888565</v>
      </c>
      <c r="G20564" s="3" t="s">
        <v>2770</v>
      </c>
    </row>
    <row r="20565">
      <c r="A20565" s="3" t="s">
        <v>36805</v>
      </c>
      <c r="B20565" s="3" t="s">
        <v>17069</v>
      </c>
      <c r="C20565" s="5" t="s">
        <v>221</v>
      </c>
      <c r="D20565" s="3" t="s">
        <v>181</v>
      </c>
      <c r="E20565" s="3" t="s">
        <v>118</v>
      </c>
      <c r="F20565" s="7">
        <v>46142.662119110784</v>
      </c>
      <c r="G20565" s="3" t="s">
        <v>2774</v>
      </c>
    </row>
    <row r="20566">
      <c r="A20566" s="3" t="s">
        <v>36806</v>
      </c>
      <c r="B20566" s="3" t="s">
        <v>17071</v>
      </c>
      <c r="C20566" s="5" t="s">
        <v>45</v>
      </c>
      <c r="D20566" s="3" t="s">
        <v>221</v>
      </c>
      <c r="E20566" s="3" t="s">
        <v>734</v>
      </c>
      <c r="F20566" s="7">
        <v>46142.72982173398</v>
      </c>
      <c r="G20566" s="3" t="s">
        <v>31099</v>
      </c>
    </row>
    <row r="20567">
      <c r="A20567" s="3" t="s">
        <v>36807</v>
      </c>
      <c r="B20567" s="3" t="s">
        <v>17071</v>
      </c>
      <c r="C20567" s="5" t="s">
        <v>221</v>
      </c>
      <c r="D20567" s="3" t="s">
        <v>614</v>
      </c>
      <c r="E20567" s="3" t="s">
        <v>118</v>
      </c>
      <c r="F20567" s="7">
        <v>46142.7332939562</v>
      </c>
      <c r="G20567" s="3" t="s">
        <v>36808</v>
      </c>
    </row>
    <row r="20568">
      <c r="A20568" s="3" t="s">
        <v>36809</v>
      </c>
      <c r="B20568" s="3" t="s">
        <v>17071</v>
      </c>
      <c r="C20568" s="5" t="s">
        <v>614</v>
      </c>
      <c r="D20568" s="3" t="s">
        <v>206</v>
      </c>
      <c r="E20568" s="3" t="s">
        <v>100</v>
      </c>
      <c r="F20568" s="7">
        <v>46142.73676617842</v>
      </c>
      <c r="G20568" s="3" t="s">
        <v>36810</v>
      </c>
    </row>
    <row r="20569">
      <c r="A20569" s="3" t="s">
        <v>36811</v>
      </c>
      <c r="B20569" s="3" t="s">
        <v>17071</v>
      </c>
      <c r="C20569" s="5" t="s">
        <v>206</v>
      </c>
      <c r="D20569" s="3" t="s">
        <v>68</v>
      </c>
      <c r="E20569" s="3" t="s">
        <v>100</v>
      </c>
      <c r="F20569" s="7">
        <v>46142.74023840064</v>
      </c>
      <c r="G20569" s="3" t="s">
        <v>36812</v>
      </c>
    </row>
    <row r="20570">
      <c r="A20570" s="3" t="s">
        <v>36813</v>
      </c>
      <c r="B20570" s="3" t="s">
        <v>17073</v>
      </c>
      <c r="C20570" s="5" t="s">
        <v>45</v>
      </c>
      <c r="D20570" s="3" t="s">
        <v>221</v>
      </c>
      <c r="E20570" s="3" t="s">
        <v>481</v>
      </c>
      <c r="F20570" s="7">
        <v>46142.8009965794</v>
      </c>
      <c r="G20570" s="3" t="s">
        <v>19394</v>
      </c>
    </row>
    <row r="20571">
      <c r="A20571" s="3" t="s">
        <v>36814</v>
      </c>
      <c r="B20571" s="3" t="s">
        <v>17073</v>
      </c>
      <c r="C20571" s="5" t="s">
        <v>221</v>
      </c>
      <c r="D20571" s="3" t="s">
        <v>614</v>
      </c>
      <c r="E20571" s="3" t="s">
        <v>118</v>
      </c>
      <c r="F20571" s="7">
        <v>46142.804468801616</v>
      </c>
      <c r="G20571" s="3" t="s">
        <v>19397</v>
      </c>
    </row>
    <row r="20572">
      <c r="A20572" s="3" t="s">
        <v>36815</v>
      </c>
      <c r="B20572" s="3" t="s">
        <v>17073</v>
      </c>
      <c r="C20572" s="5" t="s">
        <v>614</v>
      </c>
      <c r="D20572" s="3" t="s">
        <v>206</v>
      </c>
      <c r="E20572" s="3" t="s">
        <v>100</v>
      </c>
      <c r="F20572" s="7">
        <v>46142.80794102384</v>
      </c>
      <c r="G20572" s="3" t="s">
        <v>19400</v>
      </c>
    </row>
    <row r="20573">
      <c r="A20573" s="3" t="s">
        <v>36816</v>
      </c>
      <c r="B20573" s="3" t="s">
        <v>17073</v>
      </c>
      <c r="C20573" s="5" t="s">
        <v>206</v>
      </c>
      <c r="D20573" s="3" t="s">
        <v>68</v>
      </c>
      <c r="E20573" s="3" t="s">
        <v>100</v>
      </c>
      <c r="F20573" s="7">
        <v>46142.81141324606</v>
      </c>
      <c r="G20573" s="3" t="s">
        <v>19403</v>
      </c>
    </row>
    <row r="20574">
      <c r="A20574" s="3" t="s">
        <v>36817</v>
      </c>
      <c r="B20574" s="3" t="s">
        <v>17076</v>
      </c>
      <c r="C20574" s="5" t="s">
        <v>45</v>
      </c>
      <c r="D20574" s="3" t="s">
        <v>221</v>
      </c>
      <c r="E20574" s="3" t="s">
        <v>1021</v>
      </c>
      <c r="F20574" s="7">
        <v>46142.87217142481</v>
      </c>
      <c r="G20574" s="3" t="s">
        <v>17401</v>
      </c>
    </row>
    <row r="20575">
      <c r="A20575" s="3" t="s">
        <v>36818</v>
      </c>
      <c r="B20575" s="3" t="s">
        <v>17076</v>
      </c>
      <c r="C20575" s="5" t="s">
        <v>221</v>
      </c>
      <c r="D20575" s="3" t="s">
        <v>614</v>
      </c>
      <c r="E20575" s="3" t="s">
        <v>118</v>
      </c>
      <c r="F20575" s="7">
        <v>46142.87564364703</v>
      </c>
      <c r="G20575" s="3" t="s">
        <v>17404</v>
      </c>
    </row>
    <row r="20576">
      <c r="A20576" s="3" t="s">
        <v>36819</v>
      </c>
      <c r="B20576" s="3" t="s">
        <v>17076</v>
      </c>
      <c r="C20576" s="5" t="s">
        <v>614</v>
      </c>
      <c r="D20576" s="3" t="s">
        <v>206</v>
      </c>
      <c r="E20576" s="3" t="s">
        <v>100</v>
      </c>
      <c r="F20576" s="7">
        <v>46142.879115869255</v>
      </c>
      <c r="G20576" s="3" t="s">
        <v>17407</v>
      </c>
    </row>
    <row r="20577">
      <c r="A20577" s="3" t="s">
        <v>36820</v>
      </c>
      <c r="B20577" s="3" t="s">
        <v>17076</v>
      </c>
      <c r="C20577" s="5" t="s">
        <v>206</v>
      </c>
      <c r="D20577" s="3" t="s">
        <v>68</v>
      </c>
      <c r="E20577" s="3" t="s">
        <v>100</v>
      </c>
      <c r="F20577" s="7">
        <v>46142.882588091474</v>
      </c>
      <c r="G20577" s="3" t="s">
        <v>17410</v>
      </c>
    </row>
    <row r="20578">
      <c r="A20578" s="3" t="s">
        <v>36821</v>
      </c>
      <c r="B20578" s="3" t="s">
        <v>17079</v>
      </c>
      <c r="C20578" s="5" t="s">
        <v>45</v>
      </c>
      <c r="D20578" s="3" t="s">
        <v>221</v>
      </c>
      <c r="E20578" s="3" t="s">
        <v>239</v>
      </c>
      <c r="F20578" s="7">
        <v>46142.94334627022</v>
      </c>
      <c r="G20578" s="3" t="s">
        <v>9256</v>
      </c>
    </row>
    <row r="20579">
      <c r="A20579" s="3" t="s">
        <v>36822</v>
      </c>
      <c r="B20579" s="3" t="s">
        <v>17079</v>
      </c>
      <c r="C20579" s="5" t="s">
        <v>221</v>
      </c>
      <c r="D20579" s="3" t="s">
        <v>614</v>
      </c>
      <c r="E20579" s="3" t="s">
        <v>118</v>
      </c>
      <c r="F20579" s="7">
        <v>46142.94681849244</v>
      </c>
      <c r="G20579" s="3" t="s">
        <v>9259</v>
      </c>
    </row>
    <row r="20580">
      <c r="A20580" s="3" t="s">
        <v>36823</v>
      </c>
      <c r="B20580" s="3" t="s">
        <v>17079</v>
      </c>
      <c r="C20580" s="5" t="s">
        <v>614</v>
      </c>
      <c r="D20580" s="3" t="s">
        <v>206</v>
      </c>
      <c r="E20580" s="3" t="s">
        <v>100</v>
      </c>
      <c r="F20580" s="7">
        <v>46142.95029071467</v>
      </c>
      <c r="G20580" s="3" t="s">
        <v>9261</v>
      </c>
    </row>
    <row r="20581">
      <c r="A20581" s="3" t="s">
        <v>36824</v>
      </c>
      <c r="B20581" s="3" t="s">
        <v>17079</v>
      </c>
      <c r="C20581" s="5" t="s">
        <v>206</v>
      </c>
      <c r="D20581" s="3" t="s">
        <v>68</v>
      </c>
      <c r="E20581" s="3" t="s">
        <v>100</v>
      </c>
      <c r="F20581" s="7">
        <v>46142.953762936886</v>
      </c>
      <c r="G20581" s="3" t="s">
        <v>9264</v>
      </c>
    </row>
    <row r="20582">
      <c r="A20582" s="3" t="s">
        <v>36825</v>
      </c>
      <c r="B20582" s="3" t="s">
        <v>17084</v>
      </c>
      <c r="C20582" s="5" t="s">
        <v>45</v>
      </c>
      <c r="D20582" s="3" t="s">
        <v>221</v>
      </c>
      <c r="E20582" s="3" t="s">
        <v>987</v>
      </c>
      <c r="F20582" s="7">
        <v>46143.01452111564</v>
      </c>
      <c r="G20582" s="3" t="s">
        <v>11926</v>
      </c>
    </row>
    <row r="20583">
      <c r="A20583" s="3" t="s">
        <v>36826</v>
      </c>
      <c r="B20583" s="3" t="s">
        <v>17084</v>
      </c>
      <c r="C20583" s="5" t="s">
        <v>221</v>
      </c>
      <c r="D20583" s="3" t="s">
        <v>614</v>
      </c>
      <c r="E20583" s="3" t="s">
        <v>118</v>
      </c>
      <c r="F20583" s="7">
        <v>46143.01799333786</v>
      </c>
      <c r="G20583" s="3" t="s">
        <v>11929</v>
      </c>
    </row>
    <row r="20584">
      <c r="A20584" s="3" t="s">
        <v>36827</v>
      </c>
      <c r="B20584" s="3" t="s">
        <v>17084</v>
      </c>
      <c r="C20584" s="5" t="s">
        <v>614</v>
      </c>
      <c r="D20584" s="3" t="s">
        <v>206</v>
      </c>
      <c r="E20584" s="3" t="s">
        <v>100</v>
      </c>
      <c r="F20584" s="7">
        <v>46143.02146556009</v>
      </c>
      <c r="G20584" s="3" t="s">
        <v>11932</v>
      </c>
    </row>
    <row r="20585">
      <c r="A20585" s="3" t="s">
        <v>36828</v>
      </c>
      <c r="B20585" s="3" t="s">
        <v>17084</v>
      </c>
      <c r="C20585" s="5" t="s">
        <v>206</v>
      </c>
      <c r="D20585" s="3" t="s">
        <v>68</v>
      </c>
      <c r="E20585" s="3" t="s">
        <v>100</v>
      </c>
      <c r="F20585" s="7">
        <v>46143.024937782306</v>
      </c>
      <c r="G20585" s="3" t="s">
        <v>11935</v>
      </c>
    </row>
    <row r="20586">
      <c r="A20586" s="3" t="s">
        <v>36829</v>
      </c>
      <c r="B20586" s="3" t="s">
        <v>17087</v>
      </c>
      <c r="C20586" s="5" t="s">
        <v>45</v>
      </c>
      <c r="D20586" s="3" t="s">
        <v>221</v>
      </c>
      <c r="E20586" s="3" t="s">
        <v>411</v>
      </c>
      <c r="F20586" s="7">
        <v>46143.085695961054</v>
      </c>
      <c r="G20586" s="3" t="s">
        <v>17747</v>
      </c>
    </row>
    <row r="20587">
      <c r="A20587" s="3" t="s">
        <v>36830</v>
      </c>
      <c r="B20587" s="3" t="s">
        <v>17087</v>
      </c>
      <c r="C20587" s="5" t="s">
        <v>221</v>
      </c>
      <c r="D20587" s="3" t="s">
        <v>614</v>
      </c>
      <c r="E20587" s="3" t="s">
        <v>118</v>
      </c>
      <c r="F20587" s="7">
        <v>46143.08916818327</v>
      </c>
      <c r="G20587" s="3" t="s">
        <v>17750</v>
      </c>
    </row>
    <row r="20588">
      <c r="A20588" s="3" t="s">
        <v>36831</v>
      </c>
      <c r="B20588" s="3" t="s">
        <v>17087</v>
      </c>
      <c r="C20588" s="5" t="s">
        <v>614</v>
      </c>
      <c r="D20588" s="3" t="s">
        <v>206</v>
      </c>
      <c r="E20588" s="3" t="s">
        <v>100</v>
      </c>
      <c r="F20588" s="7">
        <v>46143.0926404055</v>
      </c>
      <c r="G20588" s="3" t="s">
        <v>17752</v>
      </c>
    </row>
    <row r="20589">
      <c r="A20589" s="3" t="s">
        <v>36832</v>
      </c>
      <c r="B20589" s="3" t="s">
        <v>17087</v>
      </c>
      <c r="C20589" s="5" t="s">
        <v>206</v>
      </c>
      <c r="D20589" s="3" t="s">
        <v>68</v>
      </c>
      <c r="E20589" s="3" t="s">
        <v>100</v>
      </c>
      <c r="F20589" s="7">
        <v>46143.09611262772</v>
      </c>
      <c r="G20589" s="3" t="s">
        <v>17755</v>
      </c>
    </row>
    <row r="20590">
      <c r="A20590" s="3" t="s">
        <v>36833</v>
      </c>
      <c r="B20590" s="3" t="s">
        <v>17090</v>
      </c>
      <c r="C20590" s="5" t="s">
        <v>45</v>
      </c>
      <c r="D20590" s="3" t="s">
        <v>221</v>
      </c>
      <c r="E20590" s="3" t="s">
        <v>388</v>
      </c>
      <c r="F20590" s="7">
        <v>46143.156870806466</v>
      </c>
      <c r="G20590" s="3" t="s">
        <v>6300</v>
      </c>
    </row>
    <row r="20591">
      <c r="A20591" s="3" t="s">
        <v>36834</v>
      </c>
      <c r="B20591" s="3" t="s">
        <v>17090</v>
      </c>
      <c r="C20591" s="5" t="s">
        <v>221</v>
      </c>
      <c r="D20591" s="3" t="s">
        <v>614</v>
      </c>
      <c r="E20591" s="3" t="s">
        <v>118</v>
      </c>
      <c r="F20591" s="7">
        <v>46143.160343028685</v>
      </c>
      <c r="G20591" s="3" t="s">
        <v>6303</v>
      </c>
    </row>
    <row r="20592">
      <c r="A20592" s="3" t="s">
        <v>36835</v>
      </c>
      <c r="B20592" s="3" t="s">
        <v>17090</v>
      </c>
      <c r="C20592" s="5" t="s">
        <v>614</v>
      </c>
      <c r="D20592" s="3" t="s">
        <v>206</v>
      </c>
      <c r="E20592" s="3" t="s">
        <v>100</v>
      </c>
      <c r="F20592" s="7">
        <v>46143.16381525091</v>
      </c>
      <c r="G20592" s="3" t="s">
        <v>6305</v>
      </c>
    </row>
    <row r="20593">
      <c r="A20593" s="3" t="s">
        <v>36836</v>
      </c>
      <c r="B20593" s="3" t="s">
        <v>17090</v>
      </c>
      <c r="C20593" s="5" t="s">
        <v>206</v>
      </c>
      <c r="D20593" s="3" t="s">
        <v>68</v>
      </c>
      <c r="E20593" s="3" t="s">
        <v>100</v>
      </c>
      <c r="F20593" s="7">
        <v>46143.16728747313</v>
      </c>
      <c r="G20593" s="3" t="s">
        <v>6308</v>
      </c>
    </row>
    <row r="20594">
      <c r="A20594" s="3" t="s">
        <v>36837</v>
      </c>
      <c r="B20594" s="3" t="s">
        <v>17095</v>
      </c>
      <c r="C20594" s="5" t="s">
        <v>45</v>
      </c>
      <c r="D20594" s="3" t="s">
        <v>221</v>
      </c>
      <c r="E20594" s="3" t="s">
        <v>751</v>
      </c>
      <c r="F20594" s="7">
        <v>46143.228045651886</v>
      </c>
      <c r="G20594" s="3" t="s">
        <v>14340</v>
      </c>
    </row>
    <row r="20595">
      <c r="A20595" s="3" t="s">
        <v>36838</v>
      </c>
      <c r="B20595" s="3" t="s">
        <v>17095</v>
      </c>
      <c r="C20595" s="5" t="s">
        <v>221</v>
      </c>
      <c r="D20595" s="3" t="s">
        <v>614</v>
      </c>
      <c r="E20595" s="3" t="s">
        <v>118</v>
      </c>
      <c r="F20595" s="7">
        <v>46143.231517874105</v>
      </c>
      <c r="G20595" s="3" t="s">
        <v>14343</v>
      </c>
    </row>
    <row r="20596">
      <c r="A20596" s="3" t="s">
        <v>36839</v>
      </c>
      <c r="B20596" s="3" t="s">
        <v>17095</v>
      </c>
      <c r="C20596" s="5" t="s">
        <v>614</v>
      </c>
      <c r="D20596" s="3" t="s">
        <v>206</v>
      </c>
      <c r="E20596" s="3" t="s">
        <v>100</v>
      </c>
      <c r="F20596" s="7">
        <v>46143.23499009633</v>
      </c>
      <c r="G20596" s="3" t="s">
        <v>14346</v>
      </c>
    </row>
    <row r="20597">
      <c r="A20597" s="3" t="s">
        <v>36840</v>
      </c>
      <c r="B20597" s="3" t="s">
        <v>17095</v>
      </c>
      <c r="C20597" s="5" t="s">
        <v>206</v>
      </c>
      <c r="D20597" s="3" t="s">
        <v>68</v>
      </c>
      <c r="E20597" s="3" t="s">
        <v>100</v>
      </c>
      <c r="F20597" s="7">
        <v>46143.23846231855</v>
      </c>
      <c r="G20597" s="3" t="s">
        <v>14348</v>
      </c>
    </row>
    <row r="20598">
      <c r="A20598" s="3" t="s">
        <v>36841</v>
      </c>
      <c r="B20598" s="3" t="s">
        <v>17097</v>
      </c>
      <c r="C20598" s="5" t="s">
        <v>45</v>
      </c>
      <c r="D20598" s="3" t="s">
        <v>221</v>
      </c>
      <c r="E20598" s="3" t="s">
        <v>404</v>
      </c>
      <c r="F20598" s="7">
        <v>46143.299220497305</v>
      </c>
      <c r="G20598" s="3" t="s">
        <v>5623</v>
      </c>
    </row>
    <row r="20599">
      <c r="A20599" s="3" t="s">
        <v>36842</v>
      </c>
      <c r="B20599" s="3" t="s">
        <v>17097</v>
      </c>
      <c r="C20599" s="5" t="s">
        <v>221</v>
      </c>
      <c r="D20599" s="3" t="s">
        <v>614</v>
      </c>
      <c r="E20599" s="3" t="s">
        <v>118</v>
      </c>
      <c r="F20599" s="7">
        <v>46143.302692719524</v>
      </c>
      <c r="G20599" s="3" t="s">
        <v>7199</v>
      </c>
    </row>
    <row r="20600">
      <c r="A20600" s="3" t="s">
        <v>36843</v>
      </c>
      <c r="B20600" s="3" t="s">
        <v>17097</v>
      </c>
      <c r="C20600" s="5" t="s">
        <v>614</v>
      </c>
      <c r="D20600" s="3" t="s">
        <v>206</v>
      </c>
      <c r="E20600" s="3" t="s">
        <v>100</v>
      </c>
      <c r="F20600" s="7">
        <v>46143.30616494175</v>
      </c>
      <c r="G20600" s="3" t="s">
        <v>7201</v>
      </c>
    </row>
    <row r="20601">
      <c r="A20601" s="3" t="s">
        <v>36844</v>
      </c>
      <c r="B20601" s="3" t="s">
        <v>17097</v>
      </c>
      <c r="C20601" s="5" t="s">
        <v>206</v>
      </c>
      <c r="D20601" s="3" t="s">
        <v>68</v>
      </c>
      <c r="E20601" s="3" t="s">
        <v>100</v>
      </c>
      <c r="F20601" s="7">
        <v>46143.30963716397</v>
      </c>
      <c r="G20601" s="3" t="s">
        <v>7204</v>
      </c>
    </row>
    <row r="20602">
      <c r="A20602" s="3" t="s">
        <v>36845</v>
      </c>
      <c r="B20602" s="3" t="s">
        <v>17099</v>
      </c>
      <c r="C20602" s="5" t="s">
        <v>45</v>
      </c>
      <c r="D20602" s="3" t="s">
        <v>221</v>
      </c>
      <c r="E20602" s="3" t="s">
        <v>344</v>
      </c>
      <c r="F20602" s="7">
        <v>46143.37039534271</v>
      </c>
      <c r="G20602" s="3" t="s">
        <v>18976</v>
      </c>
    </row>
    <row r="20603">
      <c r="A20603" s="3" t="s">
        <v>36846</v>
      </c>
      <c r="B20603" s="3" t="s">
        <v>17099</v>
      </c>
      <c r="C20603" s="5" t="s">
        <v>221</v>
      </c>
      <c r="D20603" s="3" t="s">
        <v>181</v>
      </c>
      <c r="E20603" s="3" t="s">
        <v>118</v>
      </c>
      <c r="F20603" s="7">
        <v>46143.37386756493</v>
      </c>
      <c r="G20603" s="3" t="s">
        <v>36847</v>
      </c>
    </row>
    <row r="20604">
      <c r="A20604" s="3" t="s">
        <v>36848</v>
      </c>
      <c r="B20604" s="3" t="s">
        <v>17101</v>
      </c>
      <c r="C20604" s="5" t="s">
        <v>45</v>
      </c>
      <c r="D20604" s="3" t="s">
        <v>221</v>
      </c>
      <c r="E20604" s="3" t="s">
        <v>922</v>
      </c>
      <c r="F20604" s="7">
        <v>46143.44157018813</v>
      </c>
      <c r="G20604" s="3" t="s">
        <v>15629</v>
      </c>
    </row>
    <row r="20605">
      <c r="A20605" s="3" t="s">
        <v>36849</v>
      </c>
      <c r="B20605" s="3" t="s">
        <v>17101</v>
      </c>
      <c r="C20605" s="5" t="s">
        <v>221</v>
      </c>
      <c r="D20605" s="3" t="s">
        <v>614</v>
      </c>
      <c r="E20605" s="3" t="s">
        <v>118</v>
      </c>
      <c r="F20605" s="7">
        <v>46143.44504241035</v>
      </c>
      <c r="G20605" s="3" t="s">
        <v>15632</v>
      </c>
    </row>
    <row r="20606">
      <c r="A20606" s="3" t="s">
        <v>36850</v>
      </c>
      <c r="B20606" s="3" t="s">
        <v>17101</v>
      </c>
      <c r="C20606" s="5" t="s">
        <v>614</v>
      </c>
      <c r="D20606" s="3" t="s">
        <v>206</v>
      </c>
      <c r="E20606" s="3" t="s">
        <v>100</v>
      </c>
      <c r="F20606" s="7">
        <v>46143.448514632575</v>
      </c>
      <c r="G20606" s="3" t="s">
        <v>15634</v>
      </c>
    </row>
    <row r="20607">
      <c r="A20607" s="3" t="s">
        <v>36851</v>
      </c>
      <c r="B20607" s="3" t="s">
        <v>17101</v>
      </c>
      <c r="C20607" s="5" t="s">
        <v>206</v>
      </c>
      <c r="D20607" s="3" t="s">
        <v>68</v>
      </c>
      <c r="E20607" s="3" t="s">
        <v>100</v>
      </c>
      <c r="F20607" s="7">
        <v>46143.451986854794</v>
      </c>
      <c r="G20607" s="3" t="s">
        <v>15637</v>
      </c>
    </row>
    <row r="20608">
      <c r="A20608" s="3" t="s">
        <v>36852</v>
      </c>
      <c r="B20608" s="3" t="s">
        <v>17103</v>
      </c>
      <c r="C20608" s="5" t="s">
        <v>45</v>
      </c>
      <c r="D20608" s="3" t="s">
        <v>221</v>
      </c>
      <c r="E20608" s="3" t="s">
        <v>947</v>
      </c>
      <c r="F20608" s="7">
        <v>46143.51274503355</v>
      </c>
      <c r="G20608" s="3" t="s">
        <v>2770</v>
      </c>
    </row>
    <row r="20609">
      <c r="A20609" s="3" t="s">
        <v>36853</v>
      </c>
      <c r="B20609" s="3" t="s">
        <v>17103</v>
      </c>
      <c r="C20609" s="5" t="s">
        <v>221</v>
      </c>
      <c r="D20609" s="3" t="s">
        <v>181</v>
      </c>
      <c r="E20609" s="3" t="s">
        <v>118</v>
      </c>
      <c r="F20609" s="7">
        <v>46143.51621725577</v>
      </c>
      <c r="G20609" s="3" t="s">
        <v>2774</v>
      </c>
    </row>
    <row r="20610">
      <c r="A20610" s="3" t="s">
        <v>36854</v>
      </c>
      <c r="B20610" s="3" t="s">
        <v>17106</v>
      </c>
      <c r="C20610" s="5" t="s">
        <v>45</v>
      </c>
      <c r="D20610" s="3" t="s">
        <v>221</v>
      </c>
      <c r="E20610" s="3" t="s">
        <v>619</v>
      </c>
      <c r="F20610" s="7">
        <v>46143.58391987896</v>
      </c>
      <c r="G20610" s="3" t="s">
        <v>19675</v>
      </c>
    </row>
    <row r="20611">
      <c r="A20611" s="3" t="s">
        <v>36855</v>
      </c>
      <c r="B20611" s="3" t="s">
        <v>17106</v>
      </c>
      <c r="C20611" s="5" t="s">
        <v>221</v>
      </c>
      <c r="D20611" s="3" t="s">
        <v>614</v>
      </c>
      <c r="E20611" s="3" t="s">
        <v>118</v>
      </c>
      <c r="F20611" s="7">
        <v>46143.58739210118</v>
      </c>
      <c r="G20611" s="3" t="s">
        <v>19678</v>
      </c>
    </row>
    <row r="20612">
      <c r="A20612" s="3" t="s">
        <v>36856</v>
      </c>
      <c r="B20612" s="3" t="s">
        <v>17106</v>
      </c>
      <c r="C20612" s="5" t="s">
        <v>614</v>
      </c>
      <c r="D20612" s="3" t="s">
        <v>206</v>
      </c>
      <c r="E20612" s="3" t="s">
        <v>100</v>
      </c>
      <c r="F20612" s="7">
        <v>46143.59086432341</v>
      </c>
      <c r="G20612" s="3" t="s">
        <v>19681</v>
      </c>
    </row>
    <row r="20613">
      <c r="A20613" s="3" t="s">
        <v>36857</v>
      </c>
      <c r="B20613" s="3" t="s">
        <v>17106</v>
      </c>
      <c r="C20613" s="5" t="s">
        <v>206</v>
      </c>
      <c r="D20613" s="3" t="s">
        <v>68</v>
      </c>
      <c r="E20613" s="3" t="s">
        <v>100</v>
      </c>
      <c r="F20613" s="7">
        <v>46143.594336545626</v>
      </c>
      <c r="G20613" s="3" t="s">
        <v>19684</v>
      </c>
    </row>
    <row r="20614">
      <c r="A20614" s="3" t="s">
        <v>36858</v>
      </c>
      <c r="B20614" s="3" t="s">
        <v>17108</v>
      </c>
      <c r="C20614" s="5" t="s">
        <v>45</v>
      </c>
      <c r="D20614" s="3" t="s">
        <v>221</v>
      </c>
      <c r="E20614" s="3" t="s">
        <v>141</v>
      </c>
      <c r="F20614" s="7">
        <v>46143.655094724374</v>
      </c>
      <c r="G20614" s="3" t="s">
        <v>26601</v>
      </c>
    </row>
    <row r="20615">
      <c r="A20615" s="3" t="s">
        <v>36859</v>
      </c>
      <c r="B20615" s="3" t="s">
        <v>17108</v>
      </c>
      <c r="C20615" s="5" t="s">
        <v>221</v>
      </c>
      <c r="D20615" s="3" t="s">
        <v>614</v>
      </c>
      <c r="E20615" s="3" t="s">
        <v>118</v>
      </c>
      <c r="F20615" s="7">
        <v>46143.65856694659</v>
      </c>
      <c r="G20615" s="3" t="s">
        <v>26603</v>
      </c>
    </row>
    <row r="20616">
      <c r="A20616" s="3" t="s">
        <v>36860</v>
      </c>
      <c r="B20616" s="3" t="s">
        <v>17108</v>
      </c>
      <c r="C20616" s="5" t="s">
        <v>614</v>
      </c>
      <c r="D20616" s="3" t="s">
        <v>206</v>
      </c>
      <c r="E20616" s="3" t="s">
        <v>100</v>
      </c>
      <c r="F20616" s="7">
        <v>46143.66203916882</v>
      </c>
      <c r="G20616" s="3" t="s">
        <v>26605</v>
      </c>
    </row>
    <row r="20617">
      <c r="A20617" s="3" t="s">
        <v>36861</v>
      </c>
      <c r="B20617" s="3" t="s">
        <v>17108</v>
      </c>
      <c r="C20617" s="5" t="s">
        <v>206</v>
      </c>
      <c r="D20617" s="3" t="s">
        <v>68</v>
      </c>
      <c r="E20617" s="3" t="s">
        <v>100</v>
      </c>
      <c r="F20617" s="7">
        <v>46143.66551139104</v>
      </c>
      <c r="G20617" s="3" t="s">
        <v>26607</v>
      </c>
    </row>
    <row r="20618">
      <c r="A20618" s="3" t="s">
        <v>36862</v>
      </c>
      <c r="B20618" s="3" t="s">
        <v>17110</v>
      </c>
      <c r="C20618" s="5" t="s">
        <v>45</v>
      </c>
      <c r="D20618" s="3" t="s">
        <v>221</v>
      </c>
      <c r="E20618" s="3" t="s">
        <v>135</v>
      </c>
      <c r="F20618" s="7">
        <v>46143.726269569794</v>
      </c>
      <c r="G20618" s="3" t="s">
        <v>17654</v>
      </c>
    </row>
    <row r="20619">
      <c r="A20619" s="3" t="s">
        <v>36863</v>
      </c>
      <c r="B20619" s="3" t="s">
        <v>17110</v>
      </c>
      <c r="C20619" s="5" t="s">
        <v>221</v>
      </c>
      <c r="D20619" s="3" t="s">
        <v>614</v>
      </c>
      <c r="E20619" s="3" t="s">
        <v>118</v>
      </c>
      <c r="F20619" s="7">
        <v>46143.72974179201</v>
      </c>
      <c r="G20619" s="3" t="s">
        <v>17657</v>
      </c>
    </row>
    <row r="20620">
      <c r="A20620" s="3" t="s">
        <v>36864</v>
      </c>
      <c r="B20620" s="3" t="s">
        <v>17110</v>
      </c>
      <c r="C20620" s="5" t="s">
        <v>614</v>
      </c>
      <c r="D20620" s="3" t="s">
        <v>206</v>
      </c>
      <c r="E20620" s="3" t="s">
        <v>100</v>
      </c>
      <c r="F20620" s="7">
        <v>46143.73321401424</v>
      </c>
      <c r="G20620" s="3" t="s">
        <v>17660</v>
      </c>
    </row>
    <row r="20621">
      <c r="A20621" s="3" t="s">
        <v>36865</v>
      </c>
      <c r="B20621" s="3" t="s">
        <v>17110</v>
      </c>
      <c r="C20621" s="5" t="s">
        <v>206</v>
      </c>
      <c r="D20621" s="3" t="s">
        <v>68</v>
      </c>
      <c r="E20621" s="3" t="s">
        <v>100</v>
      </c>
      <c r="F20621" s="7">
        <v>46143.73668623646</v>
      </c>
      <c r="G20621" s="3" t="s">
        <v>17663</v>
      </c>
    </row>
    <row r="20622">
      <c r="A20622" s="3" t="s">
        <v>36866</v>
      </c>
      <c r="B20622" s="3" t="s">
        <v>17113</v>
      </c>
      <c r="C20622" s="5" t="s">
        <v>45</v>
      </c>
      <c r="D20622" s="3" t="s">
        <v>221</v>
      </c>
      <c r="E20622" s="3" t="s">
        <v>565</v>
      </c>
      <c r="F20622" s="7">
        <v>46143.797444415206</v>
      </c>
      <c r="G20622" s="3" t="s">
        <v>17687</v>
      </c>
    </row>
    <row r="20623">
      <c r="A20623" s="3" t="s">
        <v>36867</v>
      </c>
      <c r="B20623" s="3" t="s">
        <v>17113</v>
      </c>
      <c r="C20623" s="5" t="s">
        <v>221</v>
      </c>
      <c r="D20623" s="3" t="s">
        <v>614</v>
      </c>
      <c r="E20623" s="3" t="s">
        <v>118</v>
      </c>
      <c r="F20623" s="7">
        <v>46143.800916637425</v>
      </c>
      <c r="G20623" s="3" t="s">
        <v>17690</v>
      </c>
    </row>
    <row r="20624">
      <c r="A20624" s="3" t="s">
        <v>36868</v>
      </c>
      <c r="B20624" s="3" t="s">
        <v>17113</v>
      </c>
      <c r="C20624" s="5" t="s">
        <v>614</v>
      </c>
      <c r="D20624" s="3" t="s">
        <v>206</v>
      </c>
      <c r="E20624" s="3" t="s">
        <v>100</v>
      </c>
      <c r="F20624" s="7">
        <v>46143.80438885965</v>
      </c>
      <c r="G20624" s="3" t="s">
        <v>17693</v>
      </c>
    </row>
    <row r="20625">
      <c r="A20625" s="3" t="s">
        <v>36869</v>
      </c>
      <c r="B20625" s="3" t="s">
        <v>17113</v>
      </c>
      <c r="C20625" s="5" t="s">
        <v>206</v>
      </c>
      <c r="D20625" s="3" t="s">
        <v>68</v>
      </c>
      <c r="E20625" s="3" t="s">
        <v>100</v>
      </c>
      <c r="F20625" s="7">
        <v>46143.80786108187</v>
      </c>
      <c r="G20625" s="3" t="s">
        <v>17696</v>
      </c>
    </row>
    <row r="20626">
      <c r="A20626" s="3" t="s">
        <v>36870</v>
      </c>
      <c r="B20626" s="3" t="s">
        <v>17116</v>
      </c>
      <c r="C20626" s="5" t="s">
        <v>45</v>
      </c>
      <c r="D20626" s="3" t="s">
        <v>221</v>
      </c>
      <c r="E20626" s="3" t="s">
        <v>826</v>
      </c>
      <c r="F20626" s="7">
        <v>46143.86861926062</v>
      </c>
      <c r="G20626" s="3" t="s">
        <v>29621</v>
      </c>
    </row>
    <row r="20627">
      <c r="A20627" s="3" t="s">
        <v>36871</v>
      </c>
      <c r="B20627" s="3" t="s">
        <v>17116</v>
      </c>
      <c r="C20627" s="5" t="s">
        <v>221</v>
      </c>
      <c r="D20627" s="3" t="s">
        <v>614</v>
      </c>
      <c r="E20627" s="3" t="s">
        <v>118</v>
      </c>
      <c r="F20627" s="7">
        <v>46143.87209148284</v>
      </c>
      <c r="G20627" s="3" t="s">
        <v>29623</v>
      </c>
    </row>
    <row r="20628">
      <c r="A20628" s="3" t="s">
        <v>36872</v>
      </c>
      <c r="B20628" s="3" t="s">
        <v>17116</v>
      </c>
      <c r="C20628" s="5" t="s">
        <v>614</v>
      </c>
      <c r="D20628" s="3" t="s">
        <v>206</v>
      </c>
      <c r="E20628" s="3" t="s">
        <v>100</v>
      </c>
      <c r="F20628" s="7">
        <v>46143.87556370506</v>
      </c>
      <c r="G20628" s="3" t="s">
        <v>29625</v>
      </c>
    </row>
    <row r="20629">
      <c r="A20629" s="3" t="s">
        <v>36873</v>
      </c>
      <c r="B20629" s="3" t="s">
        <v>17116</v>
      </c>
      <c r="C20629" s="5" t="s">
        <v>206</v>
      </c>
      <c r="D20629" s="3" t="s">
        <v>68</v>
      </c>
      <c r="E20629" s="3" t="s">
        <v>100</v>
      </c>
      <c r="F20629" s="7">
        <v>46143.87903592728</v>
      </c>
      <c r="G20629" s="3" t="s">
        <v>29627</v>
      </c>
    </row>
    <row r="20630">
      <c r="A20630" s="3" t="s">
        <v>36874</v>
      </c>
      <c r="B20630" s="3" t="s">
        <v>17119</v>
      </c>
      <c r="C20630" s="5" t="s">
        <v>45</v>
      </c>
      <c r="D20630" s="3" t="s">
        <v>221</v>
      </c>
      <c r="E20630" s="3" t="s">
        <v>280</v>
      </c>
      <c r="F20630" s="7">
        <v>46143.93979410604</v>
      </c>
      <c r="G20630" s="3" t="s">
        <v>18421</v>
      </c>
    </row>
    <row r="20631">
      <c r="A20631" s="3" t="s">
        <v>36875</v>
      </c>
      <c r="B20631" s="3" t="s">
        <v>17119</v>
      </c>
      <c r="C20631" s="5" t="s">
        <v>221</v>
      </c>
      <c r="D20631" s="3" t="s">
        <v>614</v>
      </c>
      <c r="E20631" s="3" t="s">
        <v>118</v>
      </c>
      <c r="F20631" s="7">
        <v>46143.94326632826</v>
      </c>
      <c r="G20631" s="3" t="s">
        <v>18424</v>
      </c>
    </row>
    <row r="20632">
      <c r="A20632" s="3" t="s">
        <v>36876</v>
      </c>
      <c r="B20632" s="3" t="s">
        <v>17119</v>
      </c>
      <c r="C20632" s="5" t="s">
        <v>614</v>
      </c>
      <c r="D20632" s="3" t="s">
        <v>206</v>
      </c>
      <c r="E20632" s="3" t="s">
        <v>100</v>
      </c>
      <c r="F20632" s="7">
        <v>46143.94673855048</v>
      </c>
      <c r="G20632" s="3" t="s">
        <v>18427</v>
      </c>
    </row>
    <row r="20633">
      <c r="A20633" s="3" t="s">
        <v>36877</v>
      </c>
      <c r="B20633" s="3" t="s">
        <v>17119</v>
      </c>
      <c r="C20633" s="5" t="s">
        <v>206</v>
      </c>
      <c r="D20633" s="3" t="s">
        <v>68</v>
      </c>
      <c r="E20633" s="3" t="s">
        <v>100</v>
      </c>
      <c r="F20633" s="7">
        <v>46143.9502107727</v>
      </c>
      <c r="G20633" s="3" t="s">
        <v>18430</v>
      </c>
    </row>
    <row r="20634">
      <c r="A20634" s="3" t="s">
        <v>36878</v>
      </c>
      <c r="B20634" s="3" t="s">
        <v>17122</v>
      </c>
      <c r="C20634" s="5" t="s">
        <v>45</v>
      </c>
      <c r="D20634" s="3" t="s">
        <v>221</v>
      </c>
      <c r="E20634" s="3" t="s">
        <v>658</v>
      </c>
      <c r="F20634" s="7">
        <v>46144.01096895145</v>
      </c>
      <c r="G20634" s="3" t="s">
        <v>29424</v>
      </c>
    </row>
    <row r="20635">
      <c r="A20635" s="3" t="s">
        <v>36879</v>
      </c>
      <c r="B20635" s="3" t="s">
        <v>17122</v>
      </c>
      <c r="C20635" s="5" t="s">
        <v>221</v>
      </c>
      <c r="D20635" s="3" t="s">
        <v>614</v>
      </c>
      <c r="E20635" s="3" t="s">
        <v>118</v>
      </c>
      <c r="F20635" s="7">
        <v>46144.01444117367</v>
      </c>
      <c r="G20635" s="3" t="s">
        <v>29426</v>
      </c>
    </row>
    <row r="20636">
      <c r="A20636" s="3" t="s">
        <v>36880</v>
      </c>
      <c r="B20636" s="3" t="s">
        <v>17122</v>
      </c>
      <c r="C20636" s="5" t="s">
        <v>614</v>
      </c>
      <c r="D20636" s="3" t="s">
        <v>206</v>
      </c>
      <c r="E20636" s="3" t="s">
        <v>100</v>
      </c>
      <c r="F20636" s="7">
        <v>46144.017913395895</v>
      </c>
      <c r="G20636" s="3" t="s">
        <v>29428</v>
      </c>
    </row>
    <row r="20637">
      <c r="A20637" s="3" t="s">
        <v>36881</v>
      </c>
      <c r="B20637" s="3" t="s">
        <v>17122</v>
      </c>
      <c r="C20637" s="5" t="s">
        <v>206</v>
      </c>
      <c r="D20637" s="3" t="s">
        <v>68</v>
      </c>
      <c r="E20637" s="3" t="s">
        <v>100</v>
      </c>
      <c r="F20637" s="7">
        <v>46144.021385618114</v>
      </c>
      <c r="G20637" s="3" t="s">
        <v>29430</v>
      </c>
    </row>
    <row r="20638">
      <c r="A20638" s="3" t="s">
        <v>36882</v>
      </c>
      <c r="B20638" s="3" t="s">
        <v>17126</v>
      </c>
      <c r="C20638" s="5" t="s">
        <v>45</v>
      </c>
      <c r="D20638" s="3" t="s">
        <v>221</v>
      </c>
      <c r="E20638" s="3" t="s">
        <v>650</v>
      </c>
      <c r="F20638" s="7">
        <v>46144.08214379686</v>
      </c>
      <c r="G20638" s="3" t="s">
        <v>17706</v>
      </c>
    </row>
    <row r="20639">
      <c r="A20639" s="3" t="s">
        <v>36883</v>
      </c>
      <c r="B20639" s="3" t="s">
        <v>17126</v>
      </c>
      <c r="C20639" s="5" t="s">
        <v>221</v>
      </c>
      <c r="D20639" s="3" t="s">
        <v>614</v>
      </c>
      <c r="E20639" s="3" t="s">
        <v>118</v>
      </c>
      <c r="F20639" s="7">
        <v>46144.08561601908</v>
      </c>
      <c r="G20639" s="3" t="s">
        <v>17709</v>
      </c>
    </row>
    <row r="20640">
      <c r="A20640" s="3" t="s">
        <v>36884</v>
      </c>
      <c r="B20640" s="3" t="s">
        <v>17126</v>
      </c>
      <c r="C20640" s="5" t="s">
        <v>614</v>
      </c>
      <c r="D20640" s="3" t="s">
        <v>206</v>
      </c>
      <c r="E20640" s="3" t="s">
        <v>100</v>
      </c>
      <c r="F20640" s="7">
        <v>46144.08908824131</v>
      </c>
      <c r="G20640" s="3" t="s">
        <v>17712</v>
      </c>
    </row>
    <row r="20641">
      <c r="A20641" s="3" t="s">
        <v>36885</v>
      </c>
      <c r="B20641" s="3" t="s">
        <v>17126</v>
      </c>
      <c r="C20641" s="5" t="s">
        <v>206</v>
      </c>
      <c r="D20641" s="3" t="s">
        <v>68</v>
      </c>
      <c r="E20641" s="3" t="s">
        <v>100</v>
      </c>
      <c r="F20641" s="7">
        <v>46144.09256046353</v>
      </c>
      <c r="G20641" s="3" t="s">
        <v>17715</v>
      </c>
    </row>
    <row r="20642">
      <c r="A20642" s="3" t="s">
        <v>36886</v>
      </c>
      <c r="B20642" s="3" t="s">
        <v>17130</v>
      </c>
      <c r="C20642" s="5" t="s">
        <v>45</v>
      </c>
      <c r="D20642" s="3" t="s">
        <v>221</v>
      </c>
      <c r="E20642" s="3" t="s">
        <v>665</v>
      </c>
      <c r="F20642" s="7">
        <v>46144.15331864228</v>
      </c>
      <c r="G20642" s="3" t="s">
        <v>15975</v>
      </c>
    </row>
    <row r="20643">
      <c r="A20643" s="3" t="s">
        <v>36887</v>
      </c>
      <c r="B20643" s="3" t="s">
        <v>17130</v>
      </c>
      <c r="C20643" s="5" t="s">
        <v>221</v>
      </c>
      <c r="D20643" s="3" t="s">
        <v>614</v>
      </c>
      <c r="E20643" s="3" t="s">
        <v>118</v>
      </c>
      <c r="F20643" s="7">
        <v>46144.1567908645</v>
      </c>
      <c r="G20643" s="3" t="s">
        <v>15978</v>
      </c>
    </row>
    <row r="20644">
      <c r="A20644" s="3" t="s">
        <v>36888</v>
      </c>
      <c r="B20644" s="3" t="s">
        <v>17130</v>
      </c>
      <c r="C20644" s="5" t="s">
        <v>614</v>
      </c>
      <c r="D20644" s="3" t="s">
        <v>206</v>
      </c>
      <c r="E20644" s="3" t="s">
        <v>100</v>
      </c>
      <c r="F20644" s="7">
        <v>46144.16026308673</v>
      </c>
      <c r="G20644" s="3" t="s">
        <v>15981</v>
      </c>
    </row>
    <row r="20645">
      <c r="A20645" s="3" t="s">
        <v>36889</v>
      </c>
      <c r="B20645" s="3" t="s">
        <v>17130</v>
      </c>
      <c r="C20645" s="5" t="s">
        <v>206</v>
      </c>
      <c r="D20645" s="3" t="s">
        <v>68</v>
      </c>
      <c r="E20645" s="3" t="s">
        <v>100</v>
      </c>
      <c r="F20645" s="7">
        <v>46144.163735308946</v>
      </c>
      <c r="G20645" s="3" t="s">
        <v>15984</v>
      </c>
    </row>
    <row r="20646">
      <c r="A20646" s="3" t="s">
        <v>36890</v>
      </c>
      <c r="B20646" s="3" t="s">
        <v>17133</v>
      </c>
      <c r="C20646" s="5" t="s">
        <v>45</v>
      </c>
      <c r="D20646" s="3" t="s">
        <v>221</v>
      </c>
      <c r="E20646" s="3" t="s">
        <v>616</v>
      </c>
      <c r="F20646" s="7">
        <v>46144.224493487694</v>
      </c>
      <c r="G20646" s="3" t="s">
        <v>17724</v>
      </c>
    </row>
    <row r="20647">
      <c r="A20647" s="3" t="s">
        <v>36891</v>
      </c>
      <c r="B20647" s="3" t="s">
        <v>17133</v>
      </c>
      <c r="C20647" s="5" t="s">
        <v>221</v>
      </c>
      <c r="D20647" s="3" t="s">
        <v>614</v>
      </c>
      <c r="E20647" s="3" t="s">
        <v>118</v>
      </c>
      <c r="F20647" s="7">
        <v>46144.22796570991</v>
      </c>
      <c r="G20647" s="3" t="s">
        <v>17727</v>
      </c>
    </row>
    <row r="20648">
      <c r="A20648" s="3" t="s">
        <v>36892</v>
      </c>
      <c r="B20648" s="3" t="s">
        <v>17133</v>
      </c>
      <c r="C20648" s="5" t="s">
        <v>614</v>
      </c>
      <c r="D20648" s="3" t="s">
        <v>206</v>
      </c>
      <c r="E20648" s="3" t="s">
        <v>100</v>
      </c>
      <c r="F20648" s="7">
        <v>46144.23143793214</v>
      </c>
      <c r="G20648" s="3" t="s">
        <v>17730</v>
      </c>
    </row>
    <row r="20649">
      <c r="A20649" s="3" t="s">
        <v>36893</v>
      </c>
      <c r="B20649" s="3" t="s">
        <v>17133</v>
      </c>
      <c r="C20649" s="5" t="s">
        <v>206</v>
      </c>
      <c r="D20649" s="3" t="s">
        <v>68</v>
      </c>
      <c r="E20649" s="3" t="s">
        <v>100</v>
      </c>
      <c r="F20649" s="7">
        <v>46144.23491015436</v>
      </c>
      <c r="G20649" s="3" t="s">
        <v>17733</v>
      </c>
    </row>
    <row r="20650">
      <c r="A20650" s="3" t="s">
        <v>36894</v>
      </c>
      <c r="B20650" s="3" t="s">
        <v>17136</v>
      </c>
      <c r="C20650" s="5" t="s">
        <v>45</v>
      </c>
      <c r="D20650" s="3" t="s">
        <v>221</v>
      </c>
      <c r="E20650" s="3" t="s">
        <v>596</v>
      </c>
      <c r="F20650" s="7">
        <v>46144.29566833311</v>
      </c>
      <c r="G20650" s="3" t="s">
        <v>12875</v>
      </c>
    </row>
    <row r="20651">
      <c r="A20651" s="3" t="s">
        <v>36895</v>
      </c>
      <c r="B20651" s="3" t="s">
        <v>17136</v>
      </c>
      <c r="C20651" s="5" t="s">
        <v>221</v>
      </c>
      <c r="D20651" s="3" t="s">
        <v>195</v>
      </c>
      <c r="E20651" s="3" t="s">
        <v>596</v>
      </c>
      <c r="F20651" s="7">
        <v>46144.299140555326</v>
      </c>
      <c r="G20651" s="3" t="s">
        <v>32901</v>
      </c>
    </row>
    <row r="20652">
      <c r="A20652" s="3" t="s">
        <v>36896</v>
      </c>
      <c r="B20652" s="3" t="s">
        <v>17140</v>
      </c>
      <c r="C20652" s="5" t="s">
        <v>45</v>
      </c>
      <c r="D20652" s="3" t="s">
        <v>221</v>
      </c>
      <c r="E20652" s="3" t="s">
        <v>466</v>
      </c>
      <c r="F20652" s="7">
        <v>46144.366843178526</v>
      </c>
      <c r="G20652" s="3" t="s">
        <v>17735</v>
      </c>
    </row>
    <row r="20653">
      <c r="A20653" s="3" t="s">
        <v>36897</v>
      </c>
      <c r="B20653" s="3" t="s">
        <v>17140</v>
      </c>
      <c r="C20653" s="5" t="s">
        <v>221</v>
      </c>
      <c r="D20653" s="3" t="s">
        <v>614</v>
      </c>
      <c r="E20653" s="3" t="s">
        <v>118</v>
      </c>
      <c r="F20653" s="7">
        <v>46144.370315400745</v>
      </c>
      <c r="G20653" s="3" t="s">
        <v>17738</v>
      </c>
    </row>
    <row r="20654">
      <c r="A20654" s="3" t="s">
        <v>36898</v>
      </c>
      <c r="B20654" s="3" t="s">
        <v>17140</v>
      </c>
      <c r="C20654" s="5" t="s">
        <v>614</v>
      </c>
      <c r="D20654" s="3" t="s">
        <v>206</v>
      </c>
      <c r="E20654" s="3" t="s">
        <v>100</v>
      </c>
      <c r="F20654" s="7">
        <v>46144.37378762297</v>
      </c>
      <c r="G20654" s="3" t="s">
        <v>17741</v>
      </c>
    </row>
    <row r="20655">
      <c r="A20655" s="3" t="s">
        <v>36899</v>
      </c>
      <c r="B20655" s="3" t="s">
        <v>17140</v>
      </c>
      <c r="C20655" s="5" t="s">
        <v>206</v>
      </c>
      <c r="D20655" s="3" t="s">
        <v>68</v>
      </c>
      <c r="E20655" s="3" t="s">
        <v>100</v>
      </c>
      <c r="F20655" s="7">
        <v>46144.37725984519</v>
      </c>
      <c r="G20655" s="3" t="s">
        <v>17744</v>
      </c>
    </row>
    <row r="20656">
      <c r="A20656" s="3" t="s">
        <v>36900</v>
      </c>
      <c r="B20656" s="3" t="s">
        <v>17144</v>
      </c>
      <c r="C20656" s="5" t="s">
        <v>45</v>
      </c>
      <c r="D20656" s="3" t="s">
        <v>221</v>
      </c>
      <c r="E20656" s="3" t="s">
        <v>685</v>
      </c>
      <c r="F20656" s="7">
        <v>46144.438018023946</v>
      </c>
      <c r="G20656" s="3" t="s">
        <v>17252</v>
      </c>
    </row>
    <row r="20657">
      <c r="A20657" s="3" t="s">
        <v>36901</v>
      </c>
      <c r="B20657" s="3" t="s">
        <v>17144</v>
      </c>
      <c r="C20657" s="5" t="s">
        <v>221</v>
      </c>
      <c r="D20657" s="3" t="s">
        <v>181</v>
      </c>
      <c r="E20657" s="3" t="s">
        <v>118</v>
      </c>
      <c r="F20657" s="7">
        <v>46144.441490246165</v>
      </c>
      <c r="G20657" s="3" t="s">
        <v>36902</v>
      </c>
    </row>
    <row r="20658">
      <c r="A20658" s="3" t="s">
        <v>36903</v>
      </c>
      <c r="B20658" s="3" t="s">
        <v>17147</v>
      </c>
      <c r="C20658" s="5" t="s">
        <v>45</v>
      </c>
      <c r="D20658" s="3" t="s">
        <v>221</v>
      </c>
      <c r="E20658" s="3" t="s">
        <v>765</v>
      </c>
      <c r="F20658" s="7">
        <v>46144.50919286935</v>
      </c>
      <c r="G20658" s="3" t="s">
        <v>22769</v>
      </c>
    </row>
    <row r="20659">
      <c r="A20659" s="3" t="s">
        <v>36904</v>
      </c>
      <c r="B20659" s="3" t="s">
        <v>17147</v>
      </c>
      <c r="C20659" s="5" t="s">
        <v>221</v>
      </c>
      <c r="D20659" s="3" t="s">
        <v>614</v>
      </c>
      <c r="E20659" s="3" t="s">
        <v>118</v>
      </c>
      <c r="F20659" s="7">
        <v>46144.51266509157</v>
      </c>
      <c r="G20659" s="3" t="s">
        <v>22772</v>
      </c>
    </row>
    <row r="20660">
      <c r="A20660" s="3" t="s">
        <v>36905</v>
      </c>
      <c r="B20660" s="3" t="s">
        <v>17147</v>
      </c>
      <c r="C20660" s="5" t="s">
        <v>614</v>
      </c>
      <c r="D20660" s="3" t="s">
        <v>206</v>
      </c>
      <c r="E20660" s="3" t="s">
        <v>100</v>
      </c>
      <c r="F20660" s="7">
        <v>46144.516137313796</v>
      </c>
      <c r="G20660" s="3" t="s">
        <v>22775</v>
      </c>
    </row>
    <row r="20661">
      <c r="A20661" s="3" t="s">
        <v>36906</v>
      </c>
      <c r="B20661" s="3" t="s">
        <v>17147</v>
      </c>
      <c r="C20661" s="5" t="s">
        <v>206</v>
      </c>
      <c r="D20661" s="3" t="s">
        <v>68</v>
      </c>
      <c r="E20661" s="3" t="s">
        <v>100</v>
      </c>
      <c r="F20661" s="7">
        <v>46144.519609536015</v>
      </c>
      <c r="G20661" s="3" t="s">
        <v>22778</v>
      </c>
    </row>
    <row r="20662">
      <c r="A20662" s="3" t="s">
        <v>36907</v>
      </c>
      <c r="B20662" s="3" t="s">
        <v>17150</v>
      </c>
      <c r="C20662" s="5" t="s">
        <v>45</v>
      </c>
      <c r="D20662" s="3" t="s">
        <v>221</v>
      </c>
      <c r="E20662" s="3" t="s">
        <v>559</v>
      </c>
      <c r="F20662" s="7">
        <v>46144.58036771477</v>
      </c>
      <c r="G20662" s="3" t="s">
        <v>21143</v>
      </c>
    </row>
    <row r="20663">
      <c r="A20663" s="3" t="s">
        <v>36908</v>
      </c>
      <c r="B20663" s="3" t="s">
        <v>17150</v>
      </c>
      <c r="C20663" s="5" t="s">
        <v>221</v>
      </c>
      <c r="D20663" s="3" t="s">
        <v>614</v>
      </c>
      <c r="E20663" s="3" t="s">
        <v>118</v>
      </c>
      <c r="F20663" s="7">
        <v>46144.58383993699</v>
      </c>
      <c r="G20663" s="3" t="s">
        <v>21146</v>
      </c>
    </row>
    <row r="20664">
      <c r="A20664" s="3" t="s">
        <v>36909</v>
      </c>
      <c r="B20664" s="3" t="s">
        <v>17150</v>
      </c>
      <c r="C20664" s="5" t="s">
        <v>614</v>
      </c>
      <c r="D20664" s="3" t="s">
        <v>206</v>
      </c>
      <c r="E20664" s="3" t="s">
        <v>100</v>
      </c>
      <c r="F20664" s="7">
        <v>46144.587312159216</v>
      </c>
      <c r="G20664" s="3" t="s">
        <v>21149</v>
      </c>
    </row>
    <row r="20665">
      <c r="A20665" s="3" t="s">
        <v>36910</v>
      </c>
      <c r="B20665" s="3" t="s">
        <v>17150</v>
      </c>
      <c r="C20665" s="5" t="s">
        <v>206</v>
      </c>
      <c r="D20665" s="3" t="s">
        <v>68</v>
      </c>
      <c r="E20665" s="3" t="s">
        <v>100</v>
      </c>
      <c r="F20665" s="7">
        <v>46144.590784381435</v>
      </c>
      <c r="G20665" s="3" t="s">
        <v>21151</v>
      </c>
    </row>
    <row r="20666">
      <c r="A20666" s="3" t="s">
        <v>36911</v>
      </c>
      <c r="B20666" s="3" t="s">
        <v>17154</v>
      </c>
      <c r="C20666" s="5" t="s">
        <v>45</v>
      </c>
      <c r="D20666" s="3" t="s">
        <v>221</v>
      </c>
      <c r="E20666" s="3" t="s">
        <v>702</v>
      </c>
      <c r="F20666" s="7">
        <v>46144.65154256019</v>
      </c>
      <c r="G20666" s="3" t="s">
        <v>34229</v>
      </c>
    </row>
    <row r="20667">
      <c r="A20667" s="3" t="s">
        <v>36912</v>
      </c>
      <c r="B20667" s="3" t="s">
        <v>17154</v>
      </c>
      <c r="C20667" s="5" t="s">
        <v>221</v>
      </c>
      <c r="D20667" s="3" t="s">
        <v>614</v>
      </c>
      <c r="E20667" s="3" t="s">
        <v>118</v>
      </c>
      <c r="F20667" s="7">
        <v>46144.65501478241</v>
      </c>
      <c r="G20667" s="3" t="s">
        <v>34231</v>
      </c>
    </row>
    <row r="20668">
      <c r="A20668" s="3" t="s">
        <v>36913</v>
      </c>
      <c r="B20668" s="3" t="s">
        <v>17154</v>
      </c>
      <c r="C20668" s="5" t="s">
        <v>614</v>
      </c>
      <c r="D20668" s="3" t="s">
        <v>206</v>
      </c>
      <c r="E20668" s="3" t="s">
        <v>100</v>
      </c>
      <c r="F20668" s="7">
        <v>46144.658487004635</v>
      </c>
      <c r="G20668" s="3" t="s">
        <v>34233</v>
      </c>
    </row>
    <row r="20669">
      <c r="A20669" s="3" t="s">
        <v>36914</v>
      </c>
      <c r="B20669" s="3" t="s">
        <v>17154</v>
      </c>
      <c r="C20669" s="5" t="s">
        <v>206</v>
      </c>
      <c r="D20669" s="3" t="s">
        <v>68</v>
      </c>
      <c r="E20669" s="3" t="s">
        <v>100</v>
      </c>
      <c r="F20669" s="7">
        <v>46144.661959226854</v>
      </c>
      <c r="G20669" s="3" t="s">
        <v>34235</v>
      </c>
    </row>
    <row r="20670">
      <c r="A20670" s="3" t="s">
        <v>36915</v>
      </c>
      <c r="B20670" s="3" t="s">
        <v>17158</v>
      </c>
      <c r="C20670" s="5" t="s">
        <v>45</v>
      </c>
      <c r="D20670" s="3" t="s">
        <v>221</v>
      </c>
      <c r="E20670" s="3" t="s">
        <v>845</v>
      </c>
      <c r="F20670" s="7">
        <v>46144.7227174056</v>
      </c>
      <c r="G20670" s="3" t="s">
        <v>9015</v>
      </c>
    </row>
    <row r="20671">
      <c r="A20671" s="3" t="s">
        <v>36916</v>
      </c>
      <c r="B20671" s="3" t="s">
        <v>17158</v>
      </c>
      <c r="C20671" s="5" t="s">
        <v>221</v>
      </c>
      <c r="D20671" s="3" t="s">
        <v>181</v>
      </c>
      <c r="E20671" s="3" t="s">
        <v>118</v>
      </c>
      <c r="F20671" s="7">
        <v>46144.72618962782</v>
      </c>
      <c r="G20671" s="3" t="s">
        <v>36917</v>
      </c>
    </row>
    <row r="20672">
      <c r="A20672" s="3" t="s">
        <v>36918</v>
      </c>
      <c r="B20672" s="3" t="s">
        <v>17160</v>
      </c>
      <c r="C20672" s="5" t="s">
        <v>45</v>
      </c>
      <c r="D20672" s="3" t="s">
        <v>221</v>
      </c>
      <c r="E20672" s="3" t="s">
        <v>943</v>
      </c>
      <c r="F20672" s="7">
        <v>46144.793892251015</v>
      </c>
      <c r="G20672" s="3" t="s">
        <v>9609</v>
      </c>
    </row>
    <row r="20673">
      <c r="A20673" s="3" t="s">
        <v>36919</v>
      </c>
      <c r="B20673" s="3" t="s">
        <v>17160</v>
      </c>
      <c r="C20673" s="5" t="s">
        <v>221</v>
      </c>
      <c r="D20673" s="3" t="s">
        <v>614</v>
      </c>
      <c r="E20673" s="3" t="s">
        <v>118</v>
      </c>
      <c r="F20673" s="7">
        <v>46144.797364473234</v>
      </c>
      <c r="G20673" s="3" t="s">
        <v>17622</v>
      </c>
    </row>
    <row r="20674">
      <c r="A20674" s="3" t="s">
        <v>36920</v>
      </c>
      <c r="B20674" s="3" t="s">
        <v>17160</v>
      </c>
      <c r="C20674" s="5" t="s">
        <v>614</v>
      </c>
      <c r="D20674" s="3" t="s">
        <v>206</v>
      </c>
      <c r="E20674" s="3" t="s">
        <v>100</v>
      </c>
      <c r="F20674" s="7">
        <v>46144.80083669546</v>
      </c>
      <c r="G20674" s="3" t="s">
        <v>17625</v>
      </c>
    </row>
    <row r="20675">
      <c r="A20675" s="3" t="s">
        <v>36921</v>
      </c>
      <c r="B20675" s="3" t="s">
        <v>17160</v>
      </c>
      <c r="C20675" s="5" t="s">
        <v>206</v>
      </c>
      <c r="D20675" s="3" t="s">
        <v>68</v>
      </c>
      <c r="E20675" s="3" t="s">
        <v>100</v>
      </c>
      <c r="F20675" s="7">
        <v>46144.80430891768</v>
      </c>
      <c r="G20675" s="3" t="s">
        <v>17628</v>
      </c>
    </row>
    <row r="20676">
      <c r="A20676" s="3" t="s">
        <v>36922</v>
      </c>
      <c r="B20676" s="3" t="s">
        <v>17162</v>
      </c>
      <c r="C20676" s="5" t="s">
        <v>45</v>
      </c>
      <c r="D20676" s="3" t="s">
        <v>221</v>
      </c>
      <c r="E20676" s="3" t="s">
        <v>587</v>
      </c>
      <c r="F20676" s="7">
        <v>46144.865067096434</v>
      </c>
      <c r="G20676" s="3" t="s">
        <v>17758</v>
      </c>
    </row>
    <row r="20677">
      <c r="A20677" s="3" t="s">
        <v>36923</v>
      </c>
      <c r="B20677" s="3" t="s">
        <v>17162</v>
      </c>
      <c r="C20677" s="5" t="s">
        <v>221</v>
      </c>
      <c r="D20677" s="3" t="s">
        <v>614</v>
      </c>
      <c r="E20677" s="3" t="s">
        <v>118</v>
      </c>
      <c r="F20677" s="7">
        <v>46144.86853931865</v>
      </c>
      <c r="G20677" s="3" t="s">
        <v>17761</v>
      </c>
    </row>
    <row r="20678">
      <c r="A20678" s="3" t="s">
        <v>36924</v>
      </c>
      <c r="B20678" s="3" t="s">
        <v>17162</v>
      </c>
      <c r="C20678" s="5" t="s">
        <v>614</v>
      </c>
      <c r="D20678" s="3" t="s">
        <v>206</v>
      </c>
      <c r="E20678" s="3" t="s">
        <v>100</v>
      </c>
      <c r="F20678" s="7">
        <v>46144.87201154088</v>
      </c>
      <c r="G20678" s="3" t="s">
        <v>17764</v>
      </c>
    </row>
    <row r="20679">
      <c r="A20679" s="3" t="s">
        <v>36925</v>
      </c>
      <c r="B20679" s="3" t="s">
        <v>17162</v>
      </c>
      <c r="C20679" s="5" t="s">
        <v>206</v>
      </c>
      <c r="D20679" s="3" t="s">
        <v>68</v>
      </c>
      <c r="E20679" s="3" t="s">
        <v>100</v>
      </c>
      <c r="F20679" s="7">
        <v>46144.8754837631</v>
      </c>
      <c r="G20679" s="3" t="s">
        <v>17767</v>
      </c>
    </row>
    <row r="20680">
      <c r="A20680" s="3" t="s">
        <v>36926</v>
      </c>
      <c r="B20680" s="3" t="s">
        <v>17164</v>
      </c>
      <c r="C20680" s="5" t="s">
        <v>45</v>
      </c>
      <c r="D20680" s="3" t="s">
        <v>221</v>
      </c>
      <c r="E20680" s="3" t="s">
        <v>886</v>
      </c>
      <c r="F20680" s="7">
        <v>46144.93624194185</v>
      </c>
      <c r="G20680" s="3" t="s">
        <v>17785</v>
      </c>
    </row>
    <row r="20681">
      <c r="A20681" s="3" t="s">
        <v>36927</v>
      </c>
      <c r="B20681" s="3" t="s">
        <v>17164</v>
      </c>
      <c r="C20681" s="5" t="s">
        <v>221</v>
      </c>
      <c r="D20681" s="3" t="s">
        <v>614</v>
      </c>
      <c r="E20681" s="3" t="s">
        <v>118</v>
      </c>
      <c r="F20681" s="7">
        <v>46144.939714164066</v>
      </c>
      <c r="G20681" s="3" t="s">
        <v>17788</v>
      </c>
    </row>
    <row r="20682">
      <c r="A20682" s="3" t="s">
        <v>36928</v>
      </c>
      <c r="B20682" s="3" t="s">
        <v>17164</v>
      </c>
      <c r="C20682" s="5" t="s">
        <v>614</v>
      </c>
      <c r="D20682" s="3" t="s">
        <v>206</v>
      </c>
      <c r="E20682" s="3" t="s">
        <v>100</v>
      </c>
      <c r="F20682" s="7">
        <v>46144.94318638629</v>
      </c>
      <c r="G20682" s="3" t="s">
        <v>17791</v>
      </c>
    </row>
    <row r="20683">
      <c r="A20683" s="3" t="s">
        <v>36929</v>
      </c>
      <c r="B20683" s="3" t="s">
        <v>17164</v>
      </c>
      <c r="C20683" s="5" t="s">
        <v>206</v>
      </c>
      <c r="D20683" s="3" t="s">
        <v>68</v>
      </c>
      <c r="E20683" s="3" t="s">
        <v>100</v>
      </c>
      <c r="F20683" s="7">
        <v>46144.94665860851</v>
      </c>
      <c r="G20683" s="3" t="s">
        <v>17793</v>
      </c>
    </row>
    <row r="20684">
      <c r="A20684" s="3" t="s">
        <v>36930</v>
      </c>
      <c r="B20684" s="3" t="s">
        <v>17166</v>
      </c>
      <c r="C20684" s="5" t="s">
        <v>45</v>
      </c>
      <c r="D20684" s="3" t="s">
        <v>221</v>
      </c>
      <c r="E20684" s="3" t="s">
        <v>202</v>
      </c>
      <c r="F20684" s="7">
        <v>46145.00741678726</v>
      </c>
      <c r="G20684" s="3" t="s">
        <v>18235</v>
      </c>
    </row>
    <row r="20685">
      <c r="A20685" s="3" t="s">
        <v>36931</v>
      </c>
      <c r="B20685" s="3" t="s">
        <v>17166</v>
      </c>
      <c r="C20685" s="5" t="s">
        <v>221</v>
      </c>
      <c r="D20685" s="3" t="s">
        <v>614</v>
      </c>
      <c r="E20685" s="3" t="s">
        <v>118</v>
      </c>
      <c r="F20685" s="7">
        <v>46145.01088900948</v>
      </c>
      <c r="G20685" s="3" t="s">
        <v>18238</v>
      </c>
    </row>
    <row r="20686">
      <c r="A20686" s="3" t="s">
        <v>36932</v>
      </c>
      <c r="B20686" s="3" t="s">
        <v>17166</v>
      </c>
      <c r="C20686" s="5" t="s">
        <v>614</v>
      </c>
      <c r="D20686" s="3" t="s">
        <v>206</v>
      </c>
      <c r="E20686" s="3" t="s">
        <v>100</v>
      </c>
      <c r="F20686" s="7">
        <v>46145.014361231704</v>
      </c>
      <c r="G20686" s="3" t="s">
        <v>18241</v>
      </c>
    </row>
    <row r="20687">
      <c r="A20687" s="3" t="s">
        <v>36933</v>
      </c>
      <c r="B20687" s="3" t="s">
        <v>17166</v>
      </c>
      <c r="C20687" s="5" t="s">
        <v>206</v>
      </c>
      <c r="D20687" s="3" t="s">
        <v>68</v>
      </c>
      <c r="E20687" s="3" t="s">
        <v>100</v>
      </c>
      <c r="F20687" s="7">
        <v>46145.01783345392</v>
      </c>
      <c r="G20687" s="3" t="s">
        <v>18243</v>
      </c>
    </row>
    <row r="20688">
      <c r="A20688" s="3" t="s">
        <v>36934</v>
      </c>
      <c r="B20688" s="3" t="s">
        <v>17168</v>
      </c>
      <c r="C20688" s="5" t="s">
        <v>45</v>
      </c>
      <c r="D20688" s="3" t="s">
        <v>221</v>
      </c>
      <c r="E20688" s="3" t="s">
        <v>455</v>
      </c>
      <c r="F20688" s="7">
        <v>46145.07859163268</v>
      </c>
      <c r="G20688" s="3" t="s">
        <v>16568</v>
      </c>
    </row>
    <row r="20689">
      <c r="A20689" s="3" t="s">
        <v>36935</v>
      </c>
      <c r="B20689" s="3" t="s">
        <v>17168</v>
      </c>
      <c r="C20689" s="5" t="s">
        <v>221</v>
      </c>
      <c r="D20689" s="3" t="s">
        <v>614</v>
      </c>
      <c r="E20689" s="3" t="s">
        <v>118</v>
      </c>
      <c r="F20689" s="7">
        <v>46145.0820638549</v>
      </c>
      <c r="G20689" s="3" t="s">
        <v>16570</v>
      </c>
    </row>
    <row r="20690">
      <c r="A20690" s="3" t="s">
        <v>36936</v>
      </c>
      <c r="B20690" s="3" t="s">
        <v>17168</v>
      </c>
      <c r="C20690" s="5" t="s">
        <v>614</v>
      </c>
      <c r="D20690" s="3" t="s">
        <v>206</v>
      </c>
      <c r="E20690" s="3" t="s">
        <v>100</v>
      </c>
      <c r="F20690" s="7">
        <v>46145.085536077124</v>
      </c>
      <c r="G20690" s="3" t="s">
        <v>16573</v>
      </c>
    </row>
    <row r="20691">
      <c r="A20691" s="3" t="s">
        <v>36937</v>
      </c>
      <c r="B20691" s="3" t="s">
        <v>17168</v>
      </c>
      <c r="C20691" s="5" t="s">
        <v>206</v>
      </c>
      <c r="D20691" s="3" t="s">
        <v>68</v>
      </c>
      <c r="E20691" s="3" t="s">
        <v>100</v>
      </c>
      <c r="F20691" s="7">
        <v>46145.08900829934</v>
      </c>
      <c r="G20691" s="3" t="s">
        <v>16576</v>
      </c>
    </row>
    <row r="20692">
      <c r="A20692" s="3" t="s">
        <v>36938</v>
      </c>
      <c r="B20692" s="3" t="s">
        <v>17170</v>
      </c>
      <c r="C20692" s="5" t="s">
        <v>45</v>
      </c>
      <c r="D20692" s="3" t="s">
        <v>221</v>
      </c>
      <c r="E20692" s="3" t="s">
        <v>969</v>
      </c>
      <c r="F20692" s="7">
        <v>46145.1497664781</v>
      </c>
      <c r="G20692" s="3" t="s">
        <v>17854</v>
      </c>
    </row>
    <row r="20693">
      <c r="A20693" s="3" t="s">
        <v>36939</v>
      </c>
      <c r="B20693" s="3" t="s">
        <v>17170</v>
      </c>
      <c r="C20693" s="5" t="s">
        <v>221</v>
      </c>
      <c r="D20693" s="3" t="s">
        <v>614</v>
      </c>
      <c r="E20693" s="3" t="s">
        <v>118</v>
      </c>
      <c r="F20693" s="7">
        <v>46145.15323870032</v>
      </c>
      <c r="G20693" s="3" t="s">
        <v>17857</v>
      </c>
    </row>
    <row r="20694">
      <c r="A20694" s="3" t="s">
        <v>36940</v>
      </c>
      <c r="B20694" s="3" t="s">
        <v>17170</v>
      </c>
      <c r="C20694" s="5" t="s">
        <v>614</v>
      </c>
      <c r="D20694" s="3" t="s">
        <v>206</v>
      </c>
      <c r="E20694" s="3" t="s">
        <v>100</v>
      </c>
      <c r="F20694" s="7">
        <v>46145.15671092254</v>
      </c>
      <c r="G20694" s="3" t="s">
        <v>17860</v>
      </c>
    </row>
    <row r="20695">
      <c r="A20695" s="3" t="s">
        <v>36941</v>
      </c>
      <c r="B20695" s="3" t="s">
        <v>17170</v>
      </c>
      <c r="C20695" s="5" t="s">
        <v>206</v>
      </c>
      <c r="D20695" s="3" t="s">
        <v>68</v>
      </c>
      <c r="E20695" s="3" t="s">
        <v>100</v>
      </c>
      <c r="F20695" s="7">
        <v>46145.16018314476</v>
      </c>
      <c r="G20695" s="3" t="s">
        <v>17863</v>
      </c>
    </row>
    <row r="20696">
      <c r="A20696" s="3" t="s">
        <v>36942</v>
      </c>
      <c r="B20696" s="3" t="s">
        <v>17173</v>
      </c>
      <c r="C20696" s="5" t="s">
        <v>45</v>
      </c>
      <c r="D20696" s="3" t="s">
        <v>221</v>
      </c>
      <c r="E20696" s="3" t="s">
        <v>493</v>
      </c>
      <c r="F20696" s="7">
        <v>46145.2209413235</v>
      </c>
      <c r="G20696" s="3" t="s">
        <v>17911</v>
      </c>
    </row>
    <row r="20697">
      <c r="A20697" s="3" t="s">
        <v>36943</v>
      </c>
      <c r="B20697" s="3" t="s">
        <v>17173</v>
      </c>
      <c r="C20697" s="5" t="s">
        <v>221</v>
      </c>
      <c r="D20697" s="3" t="s">
        <v>614</v>
      </c>
      <c r="E20697" s="3" t="s">
        <v>118</v>
      </c>
      <c r="F20697" s="7">
        <v>46145.22441354572</v>
      </c>
      <c r="G20697" s="3" t="s">
        <v>17914</v>
      </c>
    </row>
    <row r="20698">
      <c r="A20698" s="3" t="s">
        <v>36944</v>
      </c>
      <c r="B20698" s="3" t="s">
        <v>17173</v>
      </c>
      <c r="C20698" s="5" t="s">
        <v>614</v>
      </c>
      <c r="D20698" s="3" t="s">
        <v>206</v>
      </c>
      <c r="E20698" s="3" t="s">
        <v>100</v>
      </c>
      <c r="F20698" s="7">
        <v>46145.22788576795</v>
      </c>
      <c r="G20698" s="3" t="s">
        <v>17917</v>
      </c>
    </row>
    <row r="20699">
      <c r="A20699" s="3" t="s">
        <v>36945</v>
      </c>
      <c r="B20699" s="3" t="s">
        <v>17173</v>
      </c>
      <c r="C20699" s="5" t="s">
        <v>206</v>
      </c>
      <c r="D20699" s="3" t="s">
        <v>68</v>
      </c>
      <c r="E20699" s="3" t="s">
        <v>100</v>
      </c>
      <c r="F20699" s="7">
        <v>46145.23135799017</v>
      </c>
      <c r="G20699" s="3" t="s">
        <v>17920</v>
      </c>
    </row>
    <row r="20700">
      <c r="A20700" s="3" t="s">
        <v>36946</v>
      </c>
      <c r="B20700" s="3" t="s">
        <v>17176</v>
      </c>
      <c r="C20700" s="5" t="s">
        <v>45</v>
      </c>
      <c r="D20700" s="3" t="s">
        <v>221</v>
      </c>
      <c r="E20700" s="3" t="s">
        <v>650</v>
      </c>
      <c r="F20700" s="7">
        <v>46145.29211616892</v>
      </c>
      <c r="G20700" s="3" t="s">
        <v>18929</v>
      </c>
    </row>
    <row r="20701">
      <c r="A20701" s="3" t="s">
        <v>36947</v>
      </c>
      <c r="B20701" s="3" t="s">
        <v>17176</v>
      </c>
      <c r="C20701" s="5" t="s">
        <v>221</v>
      </c>
      <c r="D20701" s="3" t="s">
        <v>614</v>
      </c>
      <c r="E20701" s="3" t="s">
        <v>118</v>
      </c>
      <c r="F20701" s="7">
        <v>46145.29558839114</v>
      </c>
      <c r="G20701" s="3" t="s">
        <v>18931</v>
      </c>
    </row>
    <row r="20702">
      <c r="A20702" s="3" t="s">
        <v>36948</v>
      </c>
      <c r="B20702" s="3" t="s">
        <v>17176</v>
      </c>
      <c r="C20702" s="5" t="s">
        <v>614</v>
      </c>
      <c r="D20702" s="3" t="s">
        <v>206</v>
      </c>
      <c r="E20702" s="3" t="s">
        <v>100</v>
      </c>
      <c r="F20702" s="7">
        <v>46145.29906061337</v>
      </c>
      <c r="G20702" s="3" t="s">
        <v>18934</v>
      </c>
    </row>
    <row r="20703">
      <c r="A20703" s="3" t="s">
        <v>36949</v>
      </c>
      <c r="B20703" s="3" t="s">
        <v>17176</v>
      </c>
      <c r="C20703" s="5" t="s">
        <v>206</v>
      </c>
      <c r="D20703" s="3" t="s">
        <v>68</v>
      </c>
      <c r="E20703" s="3" t="s">
        <v>100</v>
      </c>
      <c r="F20703" s="7">
        <v>46145.30253283559</v>
      </c>
      <c r="G20703" s="3" t="s">
        <v>18937</v>
      </c>
    </row>
    <row r="20704">
      <c r="A20704" s="3" t="s">
        <v>36950</v>
      </c>
      <c r="B20704" s="3" t="s">
        <v>17179</v>
      </c>
      <c r="C20704" s="5" t="s">
        <v>45</v>
      </c>
      <c r="D20704" s="3" t="s">
        <v>221</v>
      </c>
      <c r="E20704" s="3" t="s">
        <v>202</v>
      </c>
      <c r="F20704" s="7">
        <v>46145.363291014335</v>
      </c>
      <c r="G20704" s="3" t="s">
        <v>18235</v>
      </c>
    </row>
    <row r="20705">
      <c r="A20705" s="3" t="s">
        <v>36951</v>
      </c>
      <c r="B20705" s="3" t="s">
        <v>17179</v>
      </c>
      <c r="C20705" s="5" t="s">
        <v>221</v>
      </c>
      <c r="D20705" s="3" t="s">
        <v>614</v>
      </c>
      <c r="E20705" s="3" t="s">
        <v>118</v>
      </c>
      <c r="F20705" s="7">
        <v>46145.366763236554</v>
      </c>
      <c r="G20705" s="3" t="s">
        <v>18238</v>
      </c>
    </row>
    <row r="20706">
      <c r="A20706" s="3" t="s">
        <v>36952</v>
      </c>
      <c r="B20706" s="3" t="s">
        <v>17179</v>
      </c>
      <c r="C20706" s="5" t="s">
        <v>614</v>
      </c>
      <c r="D20706" s="3" t="s">
        <v>206</v>
      </c>
      <c r="E20706" s="3" t="s">
        <v>100</v>
      </c>
      <c r="F20706" s="7">
        <v>46145.37023545878</v>
      </c>
      <c r="G20706" s="3" t="s">
        <v>18241</v>
      </c>
    </row>
    <row r="20707">
      <c r="A20707" s="3" t="s">
        <v>36953</v>
      </c>
      <c r="B20707" s="3" t="s">
        <v>17179</v>
      </c>
      <c r="C20707" s="5" t="s">
        <v>206</v>
      </c>
      <c r="D20707" s="3" t="s">
        <v>68</v>
      </c>
      <c r="E20707" s="3" t="s">
        <v>100</v>
      </c>
      <c r="F20707" s="7">
        <v>46145.373707681</v>
      </c>
      <c r="G20707" s="3" t="s">
        <v>18243</v>
      </c>
    </row>
    <row r="20708">
      <c r="A20708" s="3" t="s">
        <v>36954</v>
      </c>
      <c r="B20708" s="3" t="s">
        <v>17183</v>
      </c>
      <c r="C20708" s="5" t="s">
        <v>45</v>
      </c>
      <c r="D20708" s="3" t="s">
        <v>221</v>
      </c>
      <c r="E20708" s="3" t="s">
        <v>204</v>
      </c>
      <c r="F20708" s="7">
        <v>46145.434465859755</v>
      </c>
      <c r="G20708" s="3" t="s">
        <v>12238</v>
      </c>
    </row>
    <row r="20709">
      <c r="A20709" s="3" t="s">
        <v>36955</v>
      </c>
      <c r="B20709" s="3" t="s">
        <v>17183</v>
      </c>
      <c r="C20709" s="5" t="s">
        <v>221</v>
      </c>
      <c r="D20709" s="3" t="s">
        <v>614</v>
      </c>
      <c r="E20709" s="3" t="s">
        <v>118</v>
      </c>
      <c r="F20709" s="7">
        <v>46145.437938081974</v>
      </c>
      <c r="G20709" s="3" t="s">
        <v>12242</v>
      </c>
    </row>
    <row r="20710">
      <c r="A20710" s="3" t="s">
        <v>36956</v>
      </c>
      <c r="B20710" s="3" t="s">
        <v>17183</v>
      </c>
      <c r="C20710" s="5" t="s">
        <v>614</v>
      </c>
      <c r="D20710" s="3" t="s">
        <v>206</v>
      </c>
      <c r="E20710" s="3" t="s">
        <v>100</v>
      </c>
      <c r="F20710" s="7">
        <v>46145.4414103042</v>
      </c>
      <c r="G20710" s="3" t="s">
        <v>12245</v>
      </c>
    </row>
    <row r="20711">
      <c r="A20711" s="3" t="s">
        <v>36957</v>
      </c>
      <c r="B20711" s="3" t="s">
        <v>17183</v>
      </c>
      <c r="C20711" s="5" t="s">
        <v>206</v>
      </c>
      <c r="D20711" s="3" t="s">
        <v>68</v>
      </c>
      <c r="E20711" s="3" t="s">
        <v>100</v>
      </c>
      <c r="F20711" s="7">
        <v>46145.44488252642</v>
      </c>
      <c r="G20711" s="3" t="s">
        <v>12248</v>
      </c>
    </row>
    <row r="20712">
      <c r="A20712" s="3" t="s">
        <v>36958</v>
      </c>
      <c r="B20712" s="3" t="s">
        <v>17187</v>
      </c>
      <c r="C20712" s="5" t="s">
        <v>45</v>
      </c>
      <c r="D20712" s="3" t="s">
        <v>221</v>
      </c>
      <c r="E20712" s="3" t="s">
        <v>193</v>
      </c>
      <c r="F20712" s="7">
        <v>46145.50564070517</v>
      </c>
      <c r="G20712" s="3" t="s">
        <v>16190</v>
      </c>
    </row>
    <row r="20713">
      <c r="A20713" s="3" t="s">
        <v>36959</v>
      </c>
      <c r="B20713" s="3" t="s">
        <v>17187</v>
      </c>
      <c r="C20713" s="5" t="s">
        <v>221</v>
      </c>
      <c r="D20713" s="3" t="s">
        <v>614</v>
      </c>
      <c r="E20713" s="3" t="s">
        <v>118</v>
      </c>
      <c r="F20713" s="7">
        <v>46145.509112927386</v>
      </c>
      <c r="G20713" s="3" t="s">
        <v>16192</v>
      </c>
    </row>
    <row r="20714">
      <c r="A20714" s="3" t="s">
        <v>36960</v>
      </c>
      <c r="B20714" s="3" t="s">
        <v>17187</v>
      </c>
      <c r="C20714" s="5" t="s">
        <v>614</v>
      </c>
      <c r="D20714" s="3" t="s">
        <v>206</v>
      </c>
      <c r="E20714" s="3" t="s">
        <v>100</v>
      </c>
      <c r="F20714" s="7">
        <v>46145.51258514961</v>
      </c>
      <c r="G20714" s="3" t="s">
        <v>16195</v>
      </c>
    </row>
    <row r="20715">
      <c r="A20715" s="3" t="s">
        <v>36961</v>
      </c>
      <c r="B20715" s="3" t="s">
        <v>17187</v>
      </c>
      <c r="C20715" s="5" t="s">
        <v>206</v>
      </c>
      <c r="D20715" s="3" t="s">
        <v>68</v>
      </c>
      <c r="E20715" s="3" t="s">
        <v>100</v>
      </c>
      <c r="F20715" s="7">
        <v>46145.51605737183</v>
      </c>
      <c r="G20715" s="3" t="s">
        <v>16198</v>
      </c>
    </row>
    <row r="20716">
      <c r="A20716" s="3" t="s">
        <v>36962</v>
      </c>
      <c r="B20716" s="3" t="s">
        <v>17190</v>
      </c>
      <c r="C20716" s="5" t="s">
        <v>45</v>
      </c>
      <c r="D20716" s="3" t="s">
        <v>221</v>
      </c>
      <c r="E20716" s="3" t="s">
        <v>388</v>
      </c>
      <c r="F20716" s="7">
        <v>46145.57681555059</v>
      </c>
      <c r="G20716" s="3" t="s">
        <v>6300</v>
      </c>
    </row>
    <row r="20717">
      <c r="A20717" s="3" t="s">
        <v>36963</v>
      </c>
      <c r="B20717" s="3" t="s">
        <v>17190</v>
      </c>
      <c r="C20717" s="5" t="s">
        <v>221</v>
      </c>
      <c r="D20717" s="3" t="s">
        <v>614</v>
      </c>
      <c r="E20717" s="3" t="s">
        <v>118</v>
      </c>
      <c r="F20717" s="7">
        <v>46145.580287772806</v>
      </c>
      <c r="G20717" s="3" t="s">
        <v>6303</v>
      </c>
    </row>
    <row r="20718">
      <c r="A20718" s="3" t="s">
        <v>36964</v>
      </c>
      <c r="B20718" s="3" t="s">
        <v>17190</v>
      </c>
      <c r="C20718" s="5" t="s">
        <v>614</v>
      </c>
      <c r="D20718" s="3" t="s">
        <v>206</v>
      </c>
      <c r="E20718" s="3" t="s">
        <v>100</v>
      </c>
      <c r="F20718" s="7">
        <v>46145.58375999503</v>
      </c>
      <c r="G20718" s="3" t="s">
        <v>6305</v>
      </c>
    </row>
    <row r="20719">
      <c r="A20719" s="3" t="s">
        <v>36965</v>
      </c>
      <c r="B20719" s="3" t="s">
        <v>17190</v>
      </c>
      <c r="C20719" s="5" t="s">
        <v>206</v>
      </c>
      <c r="D20719" s="3" t="s">
        <v>68</v>
      </c>
      <c r="E20719" s="3" t="s">
        <v>100</v>
      </c>
      <c r="F20719" s="7">
        <v>46145.58723221725</v>
      </c>
      <c r="G20719" s="3" t="s">
        <v>6308</v>
      </c>
    </row>
    <row r="20720">
      <c r="A20720" s="3" t="s">
        <v>36966</v>
      </c>
      <c r="B20720" s="3" t="s">
        <v>17193</v>
      </c>
      <c r="C20720" s="5" t="s">
        <v>45</v>
      </c>
      <c r="D20720" s="3" t="s">
        <v>221</v>
      </c>
      <c r="E20720" s="3" t="s">
        <v>929</v>
      </c>
      <c r="F20720" s="7">
        <v>46145.64799039599</v>
      </c>
      <c r="G20720" s="3" t="s">
        <v>5200</v>
      </c>
    </row>
    <row r="20721">
      <c r="A20721" s="3" t="s">
        <v>36967</v>
      </c>
      <c r="B20721" s="3" t="s">
        <v>17193</v>
      </c>
      <c r="C20721" s="5" t="s">
        <v>221</v>
      </c>
      <c r="D20721" s="3" t="s">
        <v>614</v>
      </c>
      <c r="E20721" s="3" t="s">
        <v>118</v>
      </c>
      <c r="F20721" s="7">
        <v>46145.65146261821</v>
      </c>
      <c r="G20721" s="3" t="s">
        <v>5202</v>
      </c>
    </row>
    <row r="20722">
      <c r="A20722" s="3" t="s">
        <v>36968</v>
      </c>
      <c r="B20722" s="3" t="s">
        <v>17193</v>
      </c>
      <c r="C20722" s="5" t="s">
        <v>614</v>
      </c>
      <c r="D20722" s="3" t="s">
        <v>206</v>
      </c>
      <c r="E20722" s="3" t="s">
        <v>100</v>
      </c>
      <c r="F20722" s="7">
        <v>46145.65493484044</v>
      </c>
      <c r="G20722" s="3" t="s">
        <v>5204</v>
      </c>
    </row>
    <row r="20723">
      <c r="A20723" s="3" t="s">
        <v>36969</v>
      </c>
      <c r="B20723" s="3" t="s">
        <v>17193</v>
      </c>
      <c r="C20723" s="5" t="s">
        <v>206</v>
      </c>
      <c r="D20723" s="3" t="s">
        <v>68</v>
      </c>
      <c r="E20723" s="3" t="s">
        <v>100</v>
      </c>
      <c r="F20723" s="7">
        <v>46145.658407062656</v>
      </c>
      <c r="G20723" s="3" t="s">
        <v>5206</v>
      </c>
    </row>
    <row r="20724">
      <c r="A20724" s="3" t="s">
        <v>36970</v>
      </c>
      <c r="B20724" s="3" t="s">
        <v>17196</v>
      </c>
      <c r="C20724" s="5" t="s">
        <v>45</v>
      </c>
      <c r="D20724" s="3" t="s">
        <v>221</v>
      </c>
      <c r="E20724" s="3" t="s">
        <v>694</v>
      </c>
      <c r="F20724" s="7">
        <v>46145.71916524141</v>
      </c>
      <c r="G20724" s="3" t="s">
        <v>35626</v>
      </c>
    </row>
    <row r="20725">
      <c r="A20725" s="3" t="s">
        <v>36971</v>
      </c>
      <c r="B20725" s="3" t="s">
        <v>17196</v>
      </c>
      <c r="C20725" s="5" t="s">
        <v>221</v>
      </c>
      <c r="D20725" s="3" t="s">
        <v>614</v>
      </c>
      <c r="E20725" s="3" t="s">
        <v>118</v>
      </c>
      <c r="F20725" s="7">
        <v>46145.72263746363</v>
      </c>
      <c r="G20725" s="3" t="s">
        <v>35628</v>
      </c>
    </row>
    <row r="20726">
      <c r="A20726" s="3" t="s">
        <v>36972</v>
      </c>
      <c r="B20726" s="3" t="s">
        <v>17196</v>
      </c>
      <c r="C20726" s="5" t="s">
        <v>614</v>
      </c>
      <c r="D20726" s="3" t="s">
        <v>206</v>
      </c>
      <c r="E20726" s="3" t="s">
        <v>100</v>
      </c>
      <c r="F20726" s="7">
        <v>46145.72610968586</v>
      </c>
      <c r="G20726" s="3" t="s">
        <v>35630</v>
      </c>
    </row>
    <row r="20727">
      <c r="A20727" s="3" t="s">
        <v>36973</v>
      </c>
      <c r="B20727" s="3" t="s">
        <v>17196</v>
      </c>
      <c r="C20727" s="5" t="s">
        <v>206</v>
      </c>
      <c r="D20727" s="3" t="s">
        <v>68</v>
      </c>
      <c r="E20727" s="3" t="s">
        <v>100</v>
      </c>
      <c r="F20727" s="7">
        <v>46145.729581908075</v>
      </c>
      <c r="G20727" s="3" t="s">
        <v>35632</v>
      </c>
    </row>
    <row r="20728">
      <c r="A20728" s="3" t="s">
        <v>36974</v>
      </c>
      <c r="B20728" s="3" t="s">
        <v>17200</v>
      </c>
      <c r="C20728" s="5" t="s">
        <v>45</v>
      </c>
      <c r="D20728" s="3" t="s">
        <v>221</v>
      </c>
      <c r="E20728" s="3" t="s">
        <v>341</v>
      </c>
      <c r="F20728" s="7">
        <v>46145.79034008683</v>
      </c>
      <c r="G20728" s="3" t="s">
        <v>17975</v>
      </c>
    </row>
    <row r="20729">
      <c r="A20729" s="3" t="s">
        <v>36975</v>
      </c>
      <c r="B20729" s="3" t="s">
        <v>17200</v>
      </c>
      <c r="C20729" s="5" t="s">
        <v>221</v>
      </c>
      <c r="D20729" s="3" t="s">
        <v>614</v>
      </c>
      <c r="E20729" s="3" t="s">
        <v>118</v>
      </c>
      <c r="F20729" s="7">
        <v>46145.79381230905</v>
      </c>
      <c r="G20729" s="3" t="s">
        <v>17978</v>
      </c>
    </row>
    <row r="20730">
      <c r="A20730" s="3" t="s">
        <v>36976</v>
      </c>
      <c r="B20730" s="3" t="s">
        <v>17200</v>
      </c>
      <c r="C20730" s="5" t="s">
        <v>614</v>
      </c>
      <c r="D20730" s="3" t="s">
        <v>206</v>
      </c>
      <c r="E20730" s="3" t="s">
        <v>100</v>
      </c>
      <c r="F20730" s="7">
        <v>46145.797284531276</v>
      </c>
      <c r="G20730" s="3" t="s">
        <v>17981</v>
      </c>
    </row>
    <row r="20731">
      <c r="A20731" s="3" t="s">
        <v>36977</v>
      </c>
      <c r="B20731" s="3" t="s">
        <v>17200</v>
      </c>
      <c r="C20731" s="5" t="s">
        <v>206</v>
      </c>
      <c r="D20731" s="3" t="s">
        <v>68</v>
      </c>
      <c r="E20731" s="3" t="s">
        <v>100</v>
      </c>
      <c r="F20731" s="7">
        <v>46145.800756753495</v>
      </c>
      <c r="G20731" s="3" t="s">
        <v>17983</v>
      </c>
    </row>
    <row r="20732">
      <c r="A20732" s="3" t="s">
        <v>36978</v>
      </c>
      <c r="B20732" s="3" t="s">
        <v>17204</v>
      </c>
      <c r="C20732" s="5" t="s">
        <v>45</v>
      </c>
      <c r="D20732" s="3" t="s">
        <v>221</v>
      </c>
      <c r="E20732" s="3" t="s">
        <v>848</v>
      </c>
      <c r="F20732" s="7">
        <v>46145.86151493224</v>
      </c>
      <c r="G20732" s="3" t="s">
        <v>17998</v>
      </c>
    </row>
    <row r="20733">
      <c r="A20733" s="3" t="s">
        <v>36979</v>
      </c>
      <c r="B20733" s="3" t="s">
        <v>17204</v>
      </c>
      <c r="C20733" s="5" t="s">
        <v>221</v>
      </c>
      <c r="D20733" s="3" t="s">
        <v>614</v>
      </c>
      <c r="E20733" s="3" t="s">
        <v>118</v>
      </c>
      <c r="F20733" s="7">
        <v>46145.86498715446</v>
      </c>
      <c r="G20733" s="3" t="s">
        <v>18001</v>
      </c>
    </row>
    <row r="20734">
      <c r="A20734" s="3" t="s">
        <v>36980</v>
      </c>
      <c r="B20734" s="3" t="s">
        <v>17204</v>
      </c>
      <c r="C20734" s="5" t="s">
        <v>614</v>
      </c>
      <c r="D20734" s="3" t="s">
        <v>206</v>
      </c>
      <c r="E20734" s="3" t="s">
        <v>100</v>
      </c>
      <c r="F20734" s="7">
        <v>46145.86845937669</v>
      </c>
      <c r="G20734" s="3" t="s">
        <v>18003</v>
      </c>
    </row>
    <row r="20735">
      <c r="A20735" s="3" t="s">
        <v>36981</v>
      </c>
      <c r="B20735" s="3" t="s">
        <v>17204</v>
      </c>
      <c r="C20735" s="5" t="s">
        <v>206</v>
      </c>
      <c r="D20735" s="3" t="s">
        <v>68</v>
      </c>
      <c r="E20735" s="3" t="s">
        <v>100</v>
      </c>
      <c r="F20735" s="7">
        <v>46145.87193159891</v>
      </c>
      <c r="G20735" s="3" t="s">
        <v>18006</v>
      </c>
    </row>
    <row r="20736">
      <c r="A20736" s="3" t="s">
        <v>36982</v>
      </c>
      <c r="B20736" s="3" t="s">
        <v>17207</v>
      </c>
      <c r="C20736" s="5" t="s">
        <v>45</v>
      </c>
      <c r="D20736" s="3" t="s">
        <v>221</v>
      </c>
      <c r="E20736" s="3" t="s">
        <v>708</v>
      </c>
      <c r="F20736" s="7">
        <v>46145.932689777655</v>
      </c>
      <c r="G20736" s="3" t="s">
        <v>34527</v>
      </c>
    </row>
    <row r="20737">
      <c r="A20737" s="3" t="s">
        <v>36983</v>
      </c>
      <c r="B20737" s="3" t="s">
        <v>17207</v>
      </c>
      <c r="C20737" s="5" t="s">
        <v>221</v>
      </c>
      <c r="D20737" s="3" t="s">
        <v>614</v>
      </c>
      <c r="E20737" s="3" t="s">
        <v>118</v>
      </c>
      <c r="F20737" s="7">
        <v>46145.936161999874</v>
      </c>
      <c r="G20737" s="3" t="s">
        <v>34529</v>
      </c>
    </row>
    <row r="20738">
      <c r="A20738" s="3" t="s">
        <v>36984</v>
      </c>
      <c r="B20738" s="3" t="s">
        <v>17207</v>
      </c>
      <c r="C20738" s="5" t="s">
        <v>614</v>
      </c>
      <c r="D20738" s="3" t="s">
        <v>206</v>
      </c>
      <c r="E20738" s="3" t="s">
        <v>100</v>
      </c>
      <c r="F20738" s="7">
        <v>46145.9396342221</v>
      </c>
      <c r="G20738" s="3" t="s">
        <v>34531</v>
      </c>
    </row>
    <row r="20739">
      <c r="A20739" s="3" t="s">
        <v>36985</v>
      </c>
      <c r="B20739" s="3" t="s">
        <v>17207</v>
      </c>
      <c r="C20739" s="5" t="s">
        <v>206</v>
      </c>
      <c r="D20739" s="3" t="s">
        <v>68</v>
      </c>
      <c r="E20739" s="3" t="s">
        <v>100</v>
      </c>
      <c r="F20739" s="7">
        <v>46145.94310644432</v>
      </c>
      <c r="G20739" s="3" t="s">
        <v>34533</v>
      </c>
    </row>
    <row r="20740">
      <c r="A20740" s="3" t="s">
        <v>36986</v>
      </c>
      <c r="B20740" s="3" t="s">
        <v>17210</v>
      </c>
      <c r="C20740" s="5" t="s">
        <v>45</v>
      </c>
      <c r="D20740" s="3" t="s">
        <v>221</v>
      </c>
      <c r="E20740" s="3" t="s">
        <v>527</v>
      </c>
      <c r="F20740" s="7">
        <v>46146.003864623075</v>
      </c>
      <c r="G20740" s="3" t="s">
        <v>18040</v>
      </c>
    </row>
    <row r="20741">
      <c r="A20741" s="3" t="s">
        <v>36987</v>
      </c>
      <c r="B20741" s="3" t="s">
        <v>17210</v>
      </c>
      <c r="C20741" s="5" t="s">
        <v>221</v>
      </c>
      <c r="D20741" s="3" t="s">
        <v>614</v>
      </c>
      <c r="E20741" s="3" t="s">
        <v>118</v>
      </c>
      <c r="F20741" s="7">
        <v>46146.007336845294</v>
      </c>
      <c r="G20741" s="3" t="s">
        <v>18042</v>
      </c>
    </row>
    <row r="20742">
      <c r="A20742" s="3" t="s">
        <v>36988</v>
      </c>
      <c r="B20742" s="3" t="s">
        <v>17210</v>
      </c>
      <c r="C20742" s="5" t="s">
        <v>614</v>
      </c>
      <c r="D20742" s="3" t="s">
        <v>206</v>
      </c>
      <c r="E20742" s="3" t="s">
        <v>100</v>
      </c>
      <c r="F20742" s="7">
        <v>46146.01080906752</v>
      </c>
      <c r="G20742" s="3" t="s">
        <v>18045</v>
      </c>
    </row>
    <row r="20743">
      <c r="A20743" s="3" t="s">
        <v>36989</v>
      </c>
      <c r="B20743" s="3" t="s">
        <v>17210</v>
      </c>
      <c r="C20743" s="5" t="s">
        <v>206</v>
      </c>
      <c r="D20743" s="3" t="s">
        <v>68</v>
      </c>
      <c r="E20743" s="3" t="s">
        <v>100</v>
      </c>
      <c r="F20743" s="7">
        <v>46146.01428128974</v>
      </c>
      <c r="G20743" s="3" t="s">
        <v>18048</v>
      </c>
    </row>
    <row r="20744">
      <c r="A20744" s="3" t="s">
        <v>36990</v>
      </c>
      <c r="B20744" s="3" t="s">
        <v>17215</v>
      </c>
      <c r="C20744" s="5" t="s">
        <v>45</v>
      </c>
      <c r="D20744" s="3" t="s">
        <v>221</v>
      </c>
      <c r="E20744" s="3" t="s">
        <v>746</v>
      </c>
      <c r="F20744" s="7">
        <v>46146.07503946849</v>
      </c>
      <c r="G20744" s="3" t="s">
        <v>18069</v>
      </c>
    </row>
    <row r="20745">
      <c r="A20745" s="3" t="s">
        <v>36991</v>
      </c>
      <c r="B20745" s="3" t="s">
        <v>17215</v>
      </c>
      <c r="C20745" s="5" t="s">
        <v>221</v>
      </c>
      <c r="D20745" s="3" t="s">
        <v>614</v>
      </c>
      <c r="E20745" s="3" t="s">
        <v>118</v>
      </c>
      <c r="F20745" s="7">
        <v>46146.07851169071</v>
      </c>
      <c r="G20745" s="3" t="s">
        <v>18072</v>
      </c>
    </row>
    <row r="20746">
      <c r="A20746" s="3" t="s">
        <v>36992</v>
      </c>
      <c r="B20746" s="3" t="s">
        <v>17215</v>
      </c>
      <c r="C20746" s="5" t="s">
        <v>614</v>
      </c>
      <c r="D20746" s="3" t="s">
        <v>206</v>
      </c>
      <c r="E20746" s="3" t="s">
        <v>100</v>
      </c>
      <c r="F20746" s="7">
        <v>46146.08198391293</v>
      </c>
      <c r="G20746" s="3" t="s">
        <v>18075</v>
      </c>
    </row>
    <row r="20747">
      <c r="A20747" s="3" t="s">
        <v>36993</v>
      </c>
      <c r="B20747" s="3" t="s">
        <v>17215</v>
      </c>
      <c r="C20747" s="5" t="s">
        <v>206</v>
      </c>
      <c r="D20747" s="3" t="s">
        <v>68</v>
      </c>
      <c r="E20747" s="3" t="s">
        <v>100</v>
      </c>
      <c r="F20747" s="7">
        <v>46146.08545613515</v>
      </c>
      <c r="G20747" s="3" t="s">
        <v>18077</v>
      </c>
    </row>
    <row r="20748">
      <c r="A20748" s="3" t="s">
        <v>36994</v>
      </c>
      <c r="B20748" s="3" t="s">
        <v>17218</v>
      </c>
      <c r="C20748" s="5" t="s">
        <v>45</v>
      </c>
      <c r="D20748" s="3" t="s">
        <v>221</v>
      </c>
      <c r="E20748" s="3" t="s">
        <v>202</v>
      </c>
      <c r="F20748" s="7">
        <v>46146.1462143139</v>
      </c>
      <c r="G20748" s="3" t="s">
        <v>26136</v>
      </c>
    </row>
    <row r="20749">
      <c r="A20749" s="3" t="s">
        <v>36995</v>
      </c>
      <c r="B20749" s="3" t="s">
        <v>17218</v>
      </c>
      <c r="C20749" s="5" t="s">
        <v>221</v>
      </c>
      <c r="D20749" s="3" t="s">
        <v>614</v>
      </c>
      <c r="E20749" s="3" t="s">
        <v>118</v>
      </c>
      <c r="F20749" s="7">
        <v>46146.14968653612</v>
      </c>
      <c r="G20749" s="3" t="s">
        <v>26138</v>
      </c>
    </row>
    <row r="20750">
      <c r="A20750" s="3" t="s">
        <v>36996</v>
      </c>
      <c r="B20750" s="3" t="s">
        <v>17218</v>
      </c>
      <c r="C20750" s="5" t="s">
        <v>614</v>
      </c>
      <c r="D20750" s="3" t="s">
        <v>206</v>
      </c>
      <c r="E20750" s="3" t="s">
        <v>100</v>
      </c>
      <c r="F20750" s="7">
        <v>46146.153158758345</v>
      </c>
      <c r="G20750" s="3" t="s">
        <v>26140</v>
      </c>
    </row>
    <row r="20751">
      <c r="A20751" s="3" t="s">
        <v>36997</v>
      </c>
      <c r="B20751" s="3" t="s">
        <v>17218</v>
      </c>
      <c r="C20751" s="5" t="s">
        <v>206</v>
      </c>
      <c r="D20751" s="3" t="s">
        <v>68</v>
      </c>
      <c r="E20751" s="3" t="s">
        <v>100</v>
      </c>
      <c r="F20751" s="7">
        <v>46146.156630980564</v>
      </c>
      <c r="G20751" s="3" t="s">
        <v>26142</v>
      </c>
    </row>
    <row r="20752">
      <c r="A20752" s="3" t="s">
        <v>36998</v>
      </c>
      <c r="B20752" s="3" t="s">
        <v>17221</v>
      </c>
      <c r="C20752" s="5" t="s">
        <v>45</v>
      </c>
      <c r="D20752" s="3" t="s">
        <v>221</v>
      </c>
      <c r="E20752" s="3" t="s">
        <v>816</v>
      </c>
      <c r="F20752" s="7">
        <v>46146.21738915932</v>
      </c>
      <c r="G20752" s="3" t="s">
        <v>15152</v>
      </c>
    </row>
    <row r="20753">
      <c r="A20753" s="3" t="s">
        <v>36999</v>
      </c>
      <c r="B20753" s="3" t="s">
        <v>17221</v>
      </c>
      <c r="C20753" s="5" t="s">
        <v>221</v>
      </c>
      <c r="D20753" s="3" t="s">
        <v>614</v>
      </c>
      <c r="E20753" s="3" t="s">
        <v>118</v>
      </c>
      <c r="F20753" s="7">
        <v>46146.22086138154</v>
      </c>
      <c r="G20753" s="3" t="s">
        <v>15155</v>
      </c>
    </row>
    <row r="20754">
      <c r="A20754" s="3" t="s">
        <v>37000</v>
      </c>
      <c r="B20754" s="3" t="s">
        <v>17221</v>
      </c>
      <c r="C20754" s="5" t="s">
        <v>614</v>
      </c>
      <c r="D20754" s="3" t="s">
        <v>206</v>
      </c>
      <c r="E20754" s="3" t="s">
        <v>100</v>
      </c>
      <c r="F20754" s="7">
        <v>46146.224333603765</v>
      </c>
      <c r="G20754" s="3" t="s">
        <v>15157</v>
      </c>
    </row>
    <row r="20755">
      <c r="A20755" s="3" t="s">
        <v>37001</v>
      </c>
      <c r="B20755" s="3" t="s">
        <v>17221</v>
      </c>
      <c r="C20755" s="5" t="s">
        <v>206</v>
      </c>
      <c r="D20755" s="3" t="s">
        <v>68</v>
      </c>
      <c r="E20755" s="3" t="s">
        <v>100</v>
      </c>
      <c r="F20755" s="7">
        <v>46146.22780582598</v>
      </c>
      <c r="G20755" s="3" t="s">
        <v>15160</v>
      </c>
    </row>
    <row r="20756">
      <c r="A20756" s="3" t="s">
        <v>37002</v>
      </c>
      <c r="B20756" s="3" t="s">
        <v>17224</v>
      </c>
      <c r="C20756" s="5" t="s">
        <v>45</v>
      </c>
      <c r="D20756" s="3" t="s">
        <v>221</v>
      </c>
      <c r="E20756" s="3" t="s">
        <v>949</v>
      </c>
      <c r="F20756" s="7">
        <v>46146.28856400474</v>
      </c>
      <c r="G20756" s="3" t="s">
        <v>37003</v>
      </c>
    </row>
    <row r="20757">
      <c r="A20757" s="3" t="s">
        <v>37004</v>
      </c>
      <c r="B20757" s="3" t="s">
        <v>17224</v>
      </c>
      <c r="C20757" s="5" t="s">
        <v>221</v>
      </c>
      <c r="D20757" s="3" t="s">
        <v>614</v>
      </c>
      <c r="E20757" s="3" t="s">
        <v>118</v>
      </c>
      <c r="F20757" s="7">
        <v>46146.29203622696</v>
      </c>
      <c r="G20757" s="3" t="s">
        <v>37005</v>
      </c>
    </row>
    <row r="20758">
      <c r="A20758" s="3" t="s">
        <v>37006</v>
      </c>
      <c r="B20758" s="3" t="s">
        <v>17224</v>
      </c>
      <c r="C20758" s="5" t="s">
        <v>614</v>
      </c>
      <c r="D20758" s="3" t="s">
        <v>206</v>
      </c>
      <c r="E20758" s="3" t="s">
        <v>100</v>
      </c>
      <c r="F20758" s="7">
        <v>46146.295508449184</v>
      </c>
      <c r="G20758" s="3" t="s">
        <v>37007</v>
      </c>
    </row>
    <row r="20759">
      <c r="A20759" s="3" t="s">
        <v>37008</v>
      </c>
      <c r="B20759" s="3" t="s">
        <v>17224</v>
      </c>
      <c r="C20759" s="5" t="s">
        <v>206</v>
      </c>
      <c r="D20759" s="3" t="s">
        <v>68</v>
      </c>
      <c r="E20759" s="3" t="s">
        <v>100</v>
      </c>
      <c r="F20759" s="7">
        <v>46146.2989806714</v>
      </c>
      <c r="G20759" s="3" t="s">
        <v>37009</v>
      </c>
    </row>
    <row r="20760">
      <c r="A20760" s="3" t="s">
        <v>37010</v>
      </c>
      <c r="B20760" s="3" t="s">
        <v>17229</v>
      </c>
      <c r="C20760" s="5" t="s">
        <v>45</v>
      </c>
      <c r="D20760" s="3" t="s">
        <v>221</v>
      </c>
      <c r="E20760" s="3" t="s">
        <v>276</v>
      </c>
      <c r="F20760" s="7">
        <v>46146.359738850144</v>
      </c>
      <c r="G20760" s="3" t="s">
        <v>19647</v>
      </c>
    </row>
    <row r="20761">
      <c r="A20761" s="3" t="s">
        <v>37011</v>
      </c>
      <c r="B20761" s="3" t="s">
        <v>17229</v>
      </c>
      <c r="C20761" s="5" t="s">
        <v>221</v>
      </c>
      <c r="D20761" s="3" t="s">
        <v>614</v>
      </c>
      <c r="E20761" s="3" t="s">
        <v>118</v>
      </c>
      <c r="F20761" s="7">
        <v>46146.36321107236</v>
      </c>
      <c r="G20761" s="3" t="s">
        <v>19650</v>
      </c>
    </row>
    <row r="20762">
      <c r="A20762" s="3" t="s">
        <v>37012</v>
      </c>
      <c r="B20762" s="3" t="s">
        <v>17229</v>
      </c>
      <c r="C20762" s="5" t="s">
        <v>614</v>
      </c>
      <c r="D20762" s="3" t="s">
        <v>206</v>
      </c>
      <c r="E20762" s="3" t="s">
        <v>100</v>
      </c>
      <c r="F20762" s="7">
        <v>46146.36668329459</v>
      </c>
      <c r="G20762" s="3" t="s">
        <v>19653</v>
      </c>
    </row>
    <row r="20763">
      <c r="A20763" s="3" t="s">
        <v>37013</v>
      </c>
      <c r="B20763" s="3" t="s">
        <v>17229</v>
      </c>
      <c r="C20763" s="5" t="s">
        <v>206</v>
      </c>
      <c r="D20763" s="3" t="s">
        <v>68</v>
      </c>
      <c r="E20763" s="3" t="s">
        <v>100</v>
      </c>
      <c r="F20763" s="7">
        <v>46146.37015551681</v>
      </c>
      <c r="G20763" s="3" t="s">
        <v>19656</v>
      </c>
    </row>
    <row r="20764">
      <c r="A20764" s="3" t="s">
        <v>37014</v>
      </c>
      <c r="B20764" s="3" t="s">
        <v>17232</v>
      </c>
      <c r="C20764" s="5" t="s">
        <v>45</v>
      </c>
      <c r="D20764" s="3" t="s">
        <v>221</v>
      </c>
      <c r="E20764" s="3" t="s">
        <v>536</v>
      </c>
      <c r="F20764" s="7">
        <v>46146.43091369556</v>
      </c>
      <c r="G20764" s="3" t="s">
        <v>28250</v>
      </c>
    </row>
    <row r="20765">
      <c r="A20765" s="3" t="s">
        <v>37015</v>
      </c>
      <c r="B20765" s="3" t="s">
        <v>17232</v>
      </c>
      <c r="C20765" s="5" t="s">
        <v>221</v>
      </c>
      <c r="D20765" s="3" t="s">
        <v>614</v>
      </c>
      <c r="E20765" s="3" t="s">
        <v>118</v>
      </c>
      <c r="F20765" s="7">
        <v>46146.43438591778</v>
      </c>
      <c r="G20765" s="3" t="s">
        <v>37016</v>
      </c>
    </row>
    <row r="20766">
      <c r="A20766" s="3" t="s">
        <v>37017</v>
      </c>
      <c r="B20766" s="3" t="s">
        <v>17232</v>
      </c>
      <c r="C20766" s="5" t="s">
        <v>614</v>
      </c>
      <c r="D20766" s="3" t="s">
        <v>206</v>
      </c>
      <c r="E20766" s="3" t="s">
        <v>100</v>
      </c>
      <c r="F20766" s="7">
        <v>46146.43785814001</v>
      </c>
      <c r="G20766" s="3" t="s">
        <v>37018</v>
      </c>
    </row>
    <row r="20767">
      <c r="A20767" s="3" t="s">
        <v>37019</v>
      </c>
      <c r="B20767" s="3" t="s">
        <v>17232</v>
      </c>
      <c r="C20767" s="5" t="s">
        <v>206</v>
      </c>
      <c r="D20767" s="3" t="s">
        <v>68</v>
      </c>
      <c r="E20767" s="3" t="s">
        <v>100</v>
      </c>
      <c r="F20767" s="7">
        <v>46146.44133036223</v>
      </c>
      <c r="G20767" s="3" t="s">
        <v>37020</v>
      </c>
    </row>
    <row r="20768">
      <c r="A20768" s="3" t="s">
        <v>37021</v>
      </c>
      <c r="B20768" s="3" t="s">
        <v>17235</v>
      </c>
      <c r="C20768" s="5" t="s">
        <v>45</v>
      </c>
      <c r="D20768" s="3" t="s">
        <v>221</v>
      </c>
      <c r="E20768" s="3" t="s">
        <v>717</v>
      </c>
      <c r="F20768" s="7">
        <v>46146.50208854098</v>
      </c>
      <c r="G20768" s="3" t="s">
        <v>35012</v>
      </c>
    </row>
    <row r="20769">
      <c r="A20769" s="3" t="s">
        <v>37022</v>
      </c>
      <c r="B20769" s="3" t="s">
        <v>17235</v>
      </c>
      <c r="C20769" s="5" t="s">
        <v>221</v>
      </c>
      <c r="D20769" s="3" t="s">
        <v>181</v>
      </c>
      <c r="E20769" s="3" t="s">
        <v>118</v>
      </c>
      <c r="F20769" s="7">
        <v>46146.5055607632</v>
      </c>
      <c r="G20769" s="3" t="s">
        <v>35014</v>
      </c>
    </row>
    <row r="20770">
      <c r="A20770" s="3" t="s">
        <v>37023</v>
      </c>
      <c r="B20770" s="3" t="s">
        <v>17239</v>
      </c>
      <c r="C20770" s="5" t="s">
        <v>45</v>
      </c>
      <c r="D20770" s="3" t="s">
        <v>221</v>
      </c>
      <c r="E20770" s="3" t="s">
        <v>466</v>
      </c>
      <c r="F20770" s="7">
        <v>46146.573263386395</v>
      </c>
      <c r="G20770" s="3" t="s">
        <v>19281</v>
      </c>
    </row>
    <row r="20771">
      <c r="A20771" s="3" t="s">
        <v>37024</v>
      </c>
      <c r="B20771" s="3" t="s">
        <v>17239</v>
      </c>
      <c r="C20771" s="5" t="s">
        <v>221</v>
      </c>
      <c r="D20771" s="3" t="s">
        <v>614</v>
      </c>
      <c r="E20771" s="3" t="s">
        <v>118</v>
      </c>
      <c r="F20771" s="7">
        <v>46146.576735608614</v>
      </c>
      <c r="G20771" s="3" t="s">
        <v>19284</v>
      </c>
    </row>
    <row r="20772">
      <c r="A20772" s="3" t="s">
        <v>37025</v>
      </c>
      <c r="B20772" s="3" t="s">
        <v>17239</v>
      </c>
      <c r="C20772" s="5" t="s">
        <v>614</v>
      </c>
      <c r="D20772" s="3" t="s">
        <v>206</v>
      </c>
      <c r="E20772" s="3" t="s">
        <v>100</v>
      </c>
      <c r="F20772" s="7">
        <v>46146.58020783084</v>
      </c>
      <c r="G20772" s="3" t="s">
        <v>19286</v>
      </c>
    </row>
    <row r="20773">
      <c r="A20773" s="3" t="s">
        <v>37026</v>
      </c>
      <c r="B20773" s="3" t="s">
        <v>17239</v>
      </c>
      <c r="C20773" s="5" t="s">
        <v>206</v>
      </c>
      <c r="D20773" s="3" t="s">
        <v>68</v>
      </c>
      <c r="E20773" s="3" t="s">
        <v>100</v>
      </c>
      <c r="F20773" s="7">
        <v>46146.58368005306</v>
      </c>
      <c r="G20773" s="3" t="s">
        <v>19289</v>
      </c>
    </row>
    <row r="20774">
      <c r="A20774" s="3" t="s">
        <v>37027</v>
      </c>
      <c r="B20774" s="3" t="s">
        <v>17242</v>
      </c>
      <c r="C20774" s="5" t="s">
        <v>45</v>
      </c>
      <c r="D20774" s="3" t="s">
        <v>221</v>
      </c>
      <c r="E20774" s="3" t="s">
        <v>913</v>
      </c>
      <c r="F20774" s="7">
        <v>46146.64443823181</v>
      </c>
      <c r="G20774" s="3" t="s">
        <v>16811</v>
      </c>
    </row>
    <row r="20775">
      <c r="A20775" s="3" t="s">
        <v>37028</v>
      </c>
      <c r="B20775" s="3" t="s">
        <v>17242</v>
      </c>
      <c r="C20775" s="5" t="s">
        <v>221</v>
      </c>
      <c r="D20775" s="3" t="s">
        <v>614</v>
      </c>
      <c r="E20775" s="3" t="s">
        <v>118</v>
      </c>
      <c r="F20775" s="7">
        <v>46146.64791045403</v>
      </c>
      <c r="G20775" s="3" t="s">
        <v>16814</v>
      </c>
    </row>
    <row r="20776">
      <c r="A20776" s="3" t="s">
        <v>37029</v>
      </c>
      <c r="B20776" s="3" t="s">
        <v>17242</v>
      </c>
      <c r="C20776" s="5" t="s">
        <v>614</v>
      </c>
      <c r="D20776" s="3" t="s">
        <v>206</v>
      </c>
      <c r="E20776" s="3" t="s">
        <v>100</v>
      </c>
      <c r="F20776" s="7">
        <v>46146.65138267625</v>
      </c>
      <c r="G20776" s="3" t="s">
        <v>16817</v>
      </c>
    </row>
    <row r="20777">
      <c r="A20777" s="3" t="s">
        <v>37030</v>
      </c>
      <c r="B20777" s="3" t="s">
        <v>17242</v>
      </c>
      <c r="C20777" s="5" t="s">
        <v>206</v>
      </c>
      <c r="D20777" s="3" t="s">
        <v>68</v>
      </c>
      <c r="E20777" s="3" t="s">
        <v>100</v>
      </c>
      <c r="F20777" s="7">
        <v>46146.65485489847</v>
      </c>
      <c r="G20777" s="3" t="s">
        <v>16820</v>
      </c>
    </row>
    <row r="20778">
      <c r="A20778" s="3" t="s">
        <v>37031</v>
      </c>
      <c r="B20778" s="3" t="s">
        <v>17246</v>
      </c>
      <c r="C20778" s="5" t="s">
        <v>45</v>
      </c>
      <c r="D20778" s="3" t="s">
        <v>221</v>
      </c>
      <c r="E20778" s="3" t="s">
        <v>727</v>
      </c>
      <c r="F20778" s="7">
        <v>46146.71561307723</v>
      </c>
      <c r="G20778" s="3" t="s">
        <v>2770</v>
      </c>
    </row>
    <row r="20779">
      <c r="A20779" s="3" t="s">
        <v>37032</v>
      </c>
      <c r="B20779" s="3" t="s">
        <v>17246</v>
      </c>
      <c r="C20779" s="5" t="s">
        <v>221</v>
      </c>
      <c r="D20779" s="3" t="s">
        <v>181</v>
      </c>
      <c r="E20779" s="3" t="s">
        <v>118</v>
      </c>
      <c r="F20779" s="7">
        <v>46146.719085299446</v>
      </c>
      <c r="G20779" s="3" t="s">
        <v>2774</v>
      </c>
    </row>
    <row r="20780">
      <c r="A20780" s="3" t="s">
        <v>37033</v>
      </c>
      <c r="B20780" s="3" t="s">
        <v>17249</v>
      </c>
      <c r="C20780" s="5" t="s">
        <v>45</v>
      </c>
      <c r="D20780" s="3" t="s">
        <v>221</v>
      </c>
      <c r="E20780" s="3" t="s">
        <v>752</v>
      </c>
      <c r="F20780" s="7">
        <v>46146.78678792264</v>
      </c>
      <c r="G20780" s="3" t="s">
        <v>18151</v>
      </c>
    </row>
    <row r="20781">
      <c r="A20781" s="3" t="s">
        <v>37034</v>
      </c>
      <c r="B20781" s="3" t="s">
        <v>17249</v>
      </c>
      <c r="C20781" s="5" t="s">
        <v>221</v>
      </c>
      <c r="D20781" s="3" t="s">
        <v>614</v>
      </c>
      <c r="E20781" s="3" t="s">
        <v>118</v>
      </c>
      <c r="F20781" s="7">
        <v>46146.79026014486</v>
      </c>
      <c r="G20781" s="3" t="s">
        <v>18154</v>
      </c>
    </row>
    <row r="20782">
      <c r="A20782" s="3" t="s">
        <v>37035</v>
      </c>
      <c r="B20782" s="3" t="s">
        <v>17249</v>
      </c>
      <c r="C20782" s="5" t="s">
        <v>614</v>
      </c>
      <c r="D20782" s="3" t="s">
        <v>206</v>
      </c>
      <c r="E20782" s="3" t="s">
        <v>100</v>
      </c>
      <c r="F20782" s="7">
        <v>46146.793732367085</v>
      </c>
      <c r="G20782" s="3" t="s">
        <v>18157</v>
      </c>
    </row>
    <row r="20783">
      <c r="A20783" s="3" t="s">
        <v>37036</v>
      </c>
      <c r="B20783" s="3" t="s">
        <v>17249</v>
      </c>
      <c r="C20783" s="5" t="s">
        <v>206</v>
      </c>
      <c r="D20783" s="3" t="s">
        <v>68</v>
      </c>
      <c r="E20783" s="3" t="s">
        <v>100</v>
      </c>
      <c r="F20783" s="7">
        <v>46146.797204589304</v>
      </c>
      <c r="G20783" s="3" t="s">
        <v>18160</v>
      </c>
    </row>
    <row r="20784">
      <c r="A20784" s="3" t="s">
        <v>37037</v>
      </c>
      <c r="B20784" s="3" t="s">
        <v>17253</v>
      </c>
      <c r="C20784" s="5" t="s">
        <v>45</v>
      </c>
      <c r="D20784" s="3" t="s">
        <v>221</v>
      </c>
      <c r="E20784" s="3" t="s">
        <v>236</v>
      </c>
      <c r="F20784" s="7">
        <v>46146.85796276805</v>
      </c>
      <c r="G20784" s="3" t="s">
        <v>26381</v>
      </c>
    </row>
    <row r="20785">
      <c r="A20785" s="3" t="s">
        <v>37038</v>
      </c>
      <c r="B20785" s="3" t="s">
        <v>17253</v>
      </c>
      <c r="C20785" s="5" t="s">
        <v>221</v>
      </c>
      <c r="D20785" s="3" t="s">
        <v>614</v>
      </c>
      <c r="E20785" s="3" t="s">
        <v>118</v>
      </c>
      <c r="F20785" s="7">
        <v>46146.86143499027</v>
      </c>
      <c r="G20785" s="3" t="s">
        <v>26383</v>
      </c>
    </row>
    <row r="20786">
      <c r="A20786" s="3" t="s">
        <v>37039</v>
      </c>
      <c r="B20786" s="3" t="s">
        <v>17253</v>
      </c>
      <c r="C20786" s="5" t="s">
        <v>614</v>
      </c>
      <c r="D20786" s="3" t="s">
        <v>206</v>
      </c>
      <c r="E20786" s="3" t="s">
        <v>100</v>
      </c>
      <c r="F20786" s="7">
        <v>46146.8649072125</v>
      </c>
      <c r="G20786" s="3" t="s">
        <v>26385</v>
      </c>
    </row>
    <row r="20787">
      <c r="A20787" s="3" t="s">
        <v>37040</v>
      </c>
      <c r="B20787" s="3" t="s">
        <v>17253</v>
      </c>
      <c r="C20787" s="5" t="s">
        <v>206</v>
      </c>
      <c r="D20787" s="3" t="s">
        <v>68</v>
      </c>
      <c r="E20787" s="3" t="s">
        <v>100</v>
      </c>
      <c r="F20787" s="7">
        <v>46146.868379434716</v>
      </c>
      <c r="G20787" s="3" t="s">
        <v>26387</v>
      </c>
    </row>
    <row r="20788">
      <c r="A20788" s="3" t="s">
        <v>37041</v>
      </c>
      <c r="B20788" s="3" t="s">
        <v>17257</v>
      </c>
      <c r="C20788" s="5" t="s">
        <v>45</v>
      </c>
      <c r="D20788" s="3" t="s">
        <v>221</v>
      </c>
      <c r="E20788" s="3" t="s">
        <v>322</v>
      </c>
      <c r="F20788" s="7">
        <v>46146.92913761347</v>
      </c>
      <c r="G20788" s="3" t="s">
        <v>26456</v>
      </c>
    </row>
    <row r="20789">
      <c r="A20789" s="3" t="s">
        <v>37042</v>
      </c>
      <c r="B20789" s="3" t="s">
        <v>17257</v>
      </c>
      <c r="C20789" s="5" t="s">
        <v>221</v>
      </c>
      <c r="D20789" s="3" t="s">
        <v>614</v>
      </c>
      <c r="E20789" s="3" t="s">
        <v>118</v>
      </c>
      <c r="F20789" s="7">
        <v>46146.93260983569</v>
      </c>
      <c r="G20789" s="3" t="s">
        <v>26458</v>
      </c>
    </row>
    <row r="20790">
      <c r="A20790" s="3" t="s">
        <v>37043</v>
      </c>
      <c r="B20790" s="3" t="s">
        <v>17257</v>
      </c>
      <c r="C20790" s="5" t="s">
        <v>614</v>
      </c>
      <c r="D20790" s="3" t="s">
        <v>206</v>
      </c>
      <c r="E20790" s="3" t="s">
        <v>100</v>
      </c>
      <c r="F20790" s="7">
        <v>46146.93608205792</v>
      </c>
      <c r="G20790" s="3" t="s">
        <v>26460</v>
      </c>
    </row>
    <row r="20791">
      <c r="A20791" s="3" t="s">
        <v>37044</v>
      </c>
      <c r="B20791" s="3" t="s">
        <v>17257</v>
      </c>
      <c r="C20791" s="5" t="s">
        <v>206</v>
      </c>
      <c r="D20791" s="3" t="s">
        <v>68</v>
      </c>
      <c r="E20791" s="3" t="s">
        <v>100</v>
      </c>
      <c r="F20791" s="7">
        <v>46146.939554280136</v>
      </c>
      <c r="G20791" s="3" t="s">
        <v>26462</v>
      </c>
    </row>
    <row r="20792">
      <c r="A20792" s="3" t="s">
        <v>37045</v>
      </c>
      <c r="B20792" s="3" t="s">
        <v>17262</v>
      </c>
      <c r="C20792" s="5" t="s">
        <v>45</v>
      </c>
      <c r="D20792" s="3" t="s">
        <v>221</v>
      </c>
      <c r="E20792" s="3" t="s">
        <v>650</v>
      </c>
      <c r="F20792" s="7">
        <v>46147.000312458884</v>
      </c>
      <c r="G20792" s="3" t="s">
        <v>18929</v>
      </c>
    </row>
    <row r="20793">
      <c r="A20793" s="3" t="s">
        <v>37046</v>
      </c>
      <c r="B20793" s="3" t="s">
        <v>17262</v>
      </c>
      <c r="C20793" s="5" t="s">
        <v>221</v>
      </c>
      <c r="D20793" s="3" t="s">
        <v>614</v>
      </c>
      <c r="E20793" s="3" t="s">
        <v>118</v>
      </c>
      <c r="F20793" s="7">
        <v>46147.0037846811</v>
      </c>
      <c r="G20793" s="3" t="s">
        <v>18931</v>
      </c>
    </row>
    <row r="20794">
      <c r="A20794" s="3" t="s">
        <v>37047</v>
      </c>
      <c r="B20794" s="3" t="s">
        <v>17262</v>
      </c>
      <c r="C20794" s="5" t="s">
        <v>614</v>
      </c>
      <c r="D20794" s="3" t="s">
        <v>206</v>
      </c>
      <c r="E20794" s="3" t="s">
        <v>100</v>
      </c>
      <c r="F20794" s="7">
        <v>46147.00725690333</v>
      </c>
      <c r="G20794" s="3" t="s">
        <v>18934</v>
      </c>
    </row>
    <row r="20795">
      <c r="A20795" s="3" t="s">
        <v>37048</v>
      </c>
      <c r="B20795" s="3" t="s">
        <v>17262</v>
      </c>
      <c r="C20795" s="5" t="s">
        <v>206</v>
      </c>
      <c r="D20795" s="3" t="s">
        <v>68</v>
      </c>
      <c r="E20795" s="3" t="s">
        <v>100</v>
      </c>
      <c r="F20795" s="7">
        <v>46147.01072912555</v>
      </c>
      <c r="G20795" s="3" t="s">
        <v>18937</v>
      </c>
    </row>
    <row r="20796">
      <c r="A20796" s="3" t="s">
        <v>37049</v>
      </c>
      <c r="B20796" s="3" t="s">
        <v>17264</v>
      </c>
      <c r="C20796" s="5" t="s">
        <v>45</v>
      </c>
      <c r="D20796" s="3" t="s">
        <v>221</v>
      </c>
      <c r="E20796" s="3" t="s">
        <v>468</v>
      </c>
      <c r="F20796" s="7">
        <v>46147.071487304296</v>
      </c>
      <c r="G20796" s="3" t="s">
        <v>17873</v>
      </c>
    </row>
    <row r="20797">
      <c r="A20797" s="3" t="s">
        <v>37050</v>
      </c>
      <c r="B20797" s="3" t="s">
        <v>17264</v>
      </c>
      <c r="C20797" s="5" t="s">
        <v>221</v>
      </c>
      <c r="D20797" s="3" t="s">
        <v>614</v>
      </c>
      <c r="E20797" s="3" t="s">
        <v>118</v>
      </c>
      <c r="F20797" s="7">
        <v>46147.074959526515</v>
      </c>
      <c r="G20797" s="3" t="s">
        <v>17876</v>
      </c>
    </row>
    <row r="20798">
      <c r="A20798" s="3" t="s">
        <v>37051</v>
      </c>
      <c r="B20798" s="3" t="s">
        <v>17264</v>
      </c>
      <c r="C20798" s="5" t="s">
        <v>614</v>
      </c>
      <c r="D20798" s="3" t="s">
        <v>206</v>
      </c>
      <c r="E20798" s="3" t="s">
        <v>100</v>
      </c>
      <c r="F20798" s="7">
        <v>46147.07843174874</v>
      </c>
      <c r="G20798" s="3" t="s">
        <v>17878</v>
      </c>
    </row>
    <row r="20799">
      <c r="A20799" s="3" t="s">
        <v>37052</v>
      </c>
      <c r="B20799" s="3" t="s">
        <v>17264</v>
      </c>
      <c r="C20799" s="5" t="s">
        <v>206</v>
      </c>
      <c r="D20799" s="3" t="s">
        <v>68</v>
      </c>
      <c r="E20799" s="3" t="s">
        <v>100</v>
      </c>
      <c r="F20799" s="7">
        <v>46147.08190397096</v>
      </c>
      <c r="G20799" s="3" t="s">
        <v>17881</v>
      </c>
    </row>
    <row r="20800">
      <c r="A20800" s="3" t="s">
        <v>37053</v>
      </c>
      <c r="B20800" s="3" t="s">
        <v>17265</v>
      </c>
      <c r="C20800" s="5" t="s">
        <v>45</v>
      </c>
      <c r="D20800" s="3" t="s">
        <v>221</v>
      </c>
      <c r="E20800" s="3" t="s">
        <v>947</v>
      </c>
      <c r="F20800" s="7">
        <v>46147.142662149716</v>
      </c>
      <c r="G20800" s="3" t="s">
        <v>2770</v>
      </c>
    </row>
    <row r="20801">
      <c r="A20801" s="3" t="s">
        <v>37054</v>
      </c>
      <c r="B20801" s="3" t="s">
        <v>17265</v>
      </c>
      <c r="C20801" s="5" t="s">
        <v>221</v>
      </c>
      <c r="D20801" s="3" t="s">
        <v>181</v>
      </c>
      <c r="E20801" s="3" t="s">
        <v>118</v>
      </c>
      <c r="F20801" s="7">
        <v>46147.146134371935</v>
      </c>
      <c r="G20801" s="3" t="s">
        <v>2774</v>
      </c>
    </row>
    <row r="20802">
      <c r="A20802" s="3" t="s">
        <v>37055</v>
      </c>
      <c r="B20802" s="3" t="s">
        <v>17267</v>
      </c>
      <c r="C20802" s="5" t="s">
        <v>45</v>
      </c>
      <c r="D20802" s="3" t="s">
        <v>221</v>
      </c>
      <c r="E20802" s="3" t="s">
        <v>1040</v>
      </c>
      <c r="F20802" s="7">
        <v>46147.21383699513</v>
      </c>
      <c r="G20802" s="3" t="s">
        <v>18196</v>
      </c>
    </row>
    <row r="20803">
      <c r="A20803" s="3" t="s">
        <v>37056</v>
      </c>
      <c r="B20803" s="3" t="s">
        <v>17267</v>
      </c>
      <c r="C20803" s="5" t="s">
        <v>221</v>
      </c>
      <c r="D20803" s="3" t="s">
        <v>614</v>
      </c>
      <c r="E20803" s="3" t="s">
        <v>118</v>
      </c>
      <c r="F20803" s="7">
        <v>46147.21730921735</v>
      </c>
      <c r="G20803" s="3" t="s">
        <v>18199</v>
      </c>
    </row>
    <row r="20804">
      <c r="A20804" s="3" t="s">
        <v>37057</v>
      </c>
      <c r="B20804" s="3" t="s">
        <v>17267</v>
      </c>
      <c r="C20804" s="5" t="s">
        <v>614</v>
      </c>
      <c r="D20804" s="3" t="s">
        <v>206</v>
      </c>
      <c r="E20804" s="3" t="s">
        <v>100</v>
      </c>
      <c r="F20804" s="7">
        <v>46147.22078143957</v>
      </c>
      <c r="G20804" s="3" t="s">
        <v>18202</v>
      </c>
    </row>
    <row r="20805">
      <c r="A20805" s="3" t="s">
        <v>37058</v>
      </c>
      <c r="B20805" s="3" t="s">
        <v>17267</v>
      </c>
      <c r="C20805" s="5" t="s">
        <v>206</v>
      </c>
      <c r="D20805" s="3" t="s">
        <v>68</v>
      </c>
      <c r="E20805" s="3" t="s">
        <v>100</v>
      </c>
      <c r="F20805" s="7">
        <v>46147.22425366179</v>
      </c>
      <c r="G20805" s="3" t="s">
        <v>18204</v>
      </c>
    </row>
    <row r="20806">
      <c r="A20806" s="3" t="s">
        <v>37059</v>
      </c>
      <c r="B20806" s="3" t="s">
        <v>17269</v>
      </c>
      <c r="C20806" s="5" t="s">
        <v>45</v>
      </c>
      <c r="D20806" s="3" t="s">
        <v>221</v>
      </c>
      <c r="E20806" s="3" t="s">
        <v>877</v>
      </c>
      <c r="F20806" s="7">
        <v>46147.28501184054</v>
      </c>
      <c r="G20806" s="3" t="s">
        <v>14747</v>
      </c>
    </row>
    <row r="20807">
      <c r="A20807" s="3" t="s">
        <v>37060</v>
      </c>
      <c r="B20807" s="3" t="s">
        <v>17269</v>
      </c>
      <c r="C20807" s="5" t="s">
        <v>221</v>
      </c>
      <c r="D20807" s="3" t="s">
        <v>614</v>
      </c>
      <c r="E20807" s="3" t="s">
        <v>118</v>
      </c>
      <c r="F20807" s="7">
        <v>46147.28848406276</v>
      </c>
      <c r="G20807" s="3" t="s">
        <v>14749</v>
      </c>
    </row>
    <row r="20808">
      <c r="A20808" s="3" t="s">
        <v>37061</v>
      </c>
      <c r="B20808" s="3" t="s">
        <v>17269</v>
      </c>
      <c r="C20808" s="5" t="s">
        <v>614</v>
      </c>
      <c r="D20808" s="3" t="s">
        <v>206</v>
      </c>
      <c r="E20808" s="3" t="s">
        <v>100</v>
      </c>
      <c r="F20808" s="7">
        <v>46147.291956284986</v>
      </c>
      <c r="G20808" s="3" t="s">
        <v>14752</v>
      </c>
    </row>
    <row r="20809">
      <c r="A20809" s="3" t="s">
        <v>37062</v>
      </c>
      <c r="B20809" s="3" t="s">
        <v>17269</v>
      </c>
      <c r="C20809" s="5" t="s">
        <v>206</v>
      </c>
      <c r="D20809" s="3" t="s">
        <v>68</v>
      </c>
      <c r="E20809" s="3" t="s">
        <v>100</v>
      </c>
      <c r="F20809" s="7">
        <v>46147.295428507205</v>
      </c>
      <c r="G20809" s="3" t="s">
        <v>14755</v>
      </c>
    </row>
    <row r="20810">
      <c r="A20810" s="3" t="s">
        <v>37063</v>
      </c>
      <c r="B20810" s="3" t="s">
        <v>17272</v>
      </c>
      <c r="C20810" s="5" t="s">
        <v>45</v>
      </c>
      <c r="D20810" s="3" t="s">
        <v>221</v>
      </c>
      <c r="E20810" s="3" t="s">
        <v>632</v>
      </c>
      <c r="F20810" s="7">
        <v>46147.35618668596</v>
      </c>
      <c r="G20810" s="3" t="s">
        <v>14886</v>
      </c>
    </row>
    <row r="20811">
      <c r="A20811" s="3" t="s">
        <v>37064</v>
      </c>
      <c r="B20811" s="3" t="s">
        <v>17272</v>
      </c>
      <c r="C20811" s="5" t="s">
        <v>221</v>
      </c>
      <c r="D20811" s="3" t="s">
        <v>614</v>
      </c>
      <c r="E20811" s="3" t="s">
        <v>118</v>
      </c>
      <c r="F20811" s="7">
        <v>46147.35965890818</v>
      </c>
      <c r="G20811" s="3" t="s">
        <v>14889</v>
      </c>
    </row>
    <row r="20812">
      <c r="A20812" s="3" t="s">
        <v>37065</v>
      </c>
      <c r="B20812" s="3" t="s">
        <v>17272</v>
      </c>
      <c r="C20812" s="5" t="s">
        <v>614</v>
      </c>
      <c r="D20812" s="3" t="s">
        <v>206</v>
      </c>
      <c r="E20812" s="3" t="s">
        <v>100</v>
      </c>
      <c r="F20812" s="7">
        <v>46147.363131130405</v>
      </c>
      <c r="G20812" s="3" t="s">
        <v>14892</v>
      </c>
    </row>
    <row r="20813">
      <c r="A20813" s="3" t="s">
        <v>37066</v>
      </c>
      <c r="B20813" s="3" t="s">
        <v>17272</v>
      </c>
      <c r="C20813" s="5" t="s">
        <v>206</v>
      </c>
      <c r="D20813" s="3" t="s">
        <v>68</v>
      </c>
      <c r="E20813" s="3" t="s">
        <v>100</v>
      </c>
      <c r="F20813" s="7">
        <v>46147.366603352624</v>
      </c>
      <c r="G20813" s="3" t="s">
        <v>14895</v>
      </c>
    </row>
    <row r="20814">
      <c r="A20814" s="3" t="s">
        <v>37067</v>
      </c>
      <c r="B20814" s="3" t="s">
        <v>17276</v>
      </c>
      <c r="C20814" s="5" t="s">
        <v>45</v>
      </c>
      <c r="D20814" s="3" t="s">
        <v>221</v>
      </c>
      <c r="E20814" s="3" t="s">
        <v>535</v>
      </c>
      <c r="F20814" s="7">
        <v>46147.42736153138</v>
      </c>
      <c r="G20814" s="3" t="s">
        <v>13014</v>
      </c>
    </row>
    <row r="20815">
      <c r="A20815" s="3" t="s">
        <v>37068</v>
      </c>
      <c r="B20815" s="3" t="s">
        <v>17276</v>
      </c>
      <c r="C20815" s="5" t="s">
        <v>221</v>
      </c>
      <c r="D20815" s="3" t="s">
        <v>614</v>
      </c>
      <c r="E20815" s="3" t="s">
        <v>118</v>
      </c>
      <c r="F20815" s="7">
        <v>46147.4308337536</v>
      </c>
      <c r="G20815" s="3" t="s">
        <v>13017</v>
      </c>
    </row>
    <row r="20816">
      <c r="A20816" s="3" t="s">
        <v>37069</v>
      </c>
      <c r="B20816" s="3" t="s">
        <v>17276</v>
      </c>
      <c r="C20816" s="5" t="s">
        <v>614</v>
      </c>
      <c r="D20816" s="3" t="s">
        <v>206</v>
      </c>
      <c r="E20816" s="3" t="s">
        <v>100</v>
      </c>
      <c r="F20816" s="7">
        <v>46147.434305975825</v>
      </c>
      <c r="G20816" s="3" t="s">
        <v>13020</v>
      </c>
    </row>
    <row r="20817">
      <c r="A20817" s="3" t="s">
        <v>37070</v>
      </c>
      <c r="B20817" s="3" t="s">
        <v>17276</v>
      </c>
      <c r="C20817" s="5" t="s">
        <v>206</v>
      </c>
      <c r="D20817" s="3" t="s">
        <v>68</v>
      </c>
      <c r="E20817" s="3" t="s">
        <v>100</v>
      </c>
      <c r="F20817" s="7">
        <v>46147.437778198044</v>
      </c>
      <c r="G20817" s="3" t="s">
        <v>13024</v>
      </c>
    </row>
    <row r="20818">
      <c r="A20818" s="3" t="s">
        <v>37071</v>
      </c>
      <c r="B20818" s="3" t="s">
        <v>17279</v>
      </c>
      <c r="C20818" s="5" t="s">
        <v>45</v>
      </c>
      <c r="D20818" s="3" t="s">
        <v>221</v>
      </c>
      <c r="E20818" s="3" t="s">
        <v>793</v>
      </c>
      <c r="F20818" s="7">
        <v>46147.498536376785</v>
      </c>
      <c r="G20818" s="3" t="s">
        <v>9616</v>
      </c>
    </row>
    <row r="20819">
      <c r="A20819" s="3" t="s">
        <v>37072</v>
      </c>
      <c r="B20819" s="3" t="s">
        <v>17279</v>
      </c>
      <c r="C20819" s="5" t="s">
        <v>221</v>
      </c>
      <c r="D20819" s="3" t="s">
        <v>614</v>
      </c>
      <c r="E20819" s="3" t="s">
        <v>118</v>
      </c>
      <c r="F20819" s="7">
        <v>46147.502008599</v>
      </c>
      <c r="G20819" s="3" t="s">
        <v>9619</v>
      </c>
    </row>
    <row r="20820">
      <c r="A20820" s="3" t="s">
        <v>37073</v>
      </c>
      <c r="B20820" s="3" t="s">
        <v>17279</v>
      </c>
      <c r="C20820" s="5" t="s">
        <v>614</v>
      </c>
      <c r="D20820" s="3" t="s">
        <v>206</v>
      </c>
      <c r="E20820" s="3" t="s">
        <v>100</v>
      </c>
      <c r="F20820" s="7">
        <v>46147.50548082123</v>
      </c>
      <c r="G20820" s="3" t="s">
        <v>9622</v>
      </c>
    </row>
    <row r="20821">
      <c r="A20821" s="3" t="s">
        <v>37074</v>
      </c>
      <c r="B20821" s="3" t="s">
        <v>17279</v>
      </c>
      <c r="C20821" s="5" t="s">
        <v>206</v>
      </c>
      <c r="D20821" s="3" t="s">
        <v>68</v>
      </c>
      <c r="E20821" s="3" t="s">
        <v>100</v>
      </c>
      <c r="F20821" s="7">
        <v>46147.50895304345</v>
      </c>
      <c r="G20821" s="3" t="s">
        <v>9625</v>
      </c>
    </row>
    <row r="20822">
      <c r="A20822" s="3" t="s">
        <v>37075</v>
      </c>
      <c r="B20822" s="3" t="s">
        <v>17282</v>
      </c>
      <c r="C20822" s="5" t="s">
        <v>45</v>
      </c>
      <c r="D20822" s="3" t="s">
        <v>221</v>
      </c>
      <c r="E20822" s="3" t="s">
        <v>419</v>
      </c>
      <c r="F20822" s="7">
        <v>46147.569711222204</v>
      </c>
      <c r="G20822" s="3" t="s">
        <v>18268</v>
      </c>
    </row>
    <row r="20823">
      <c r="A20823" s="3" t="s">
        <v>37076</v>
      </c>
      <c r="B20823" s="3" t="s">
        <v>17282</v>
      </c>
      <c r="C20823" s="5" t="s">
        <v>221</v>
      </c>
      <c r="D20823" s="3" t="s">
        <v>614</v>
      </c>
      <c r="E20823" s="3" t="s">
        <v>118</v>
      </c>
      <c r="F20823" s="7">
        <v>46147.57318344442</v>
      </c>
      <c r="G20823" s="3" t="s">
        <v>18271</v>
      </c>
    </row>
    <row r="20824">
      <c r="A20824" s="3" t="s">
        <v>37077</v>
      </c>
      <c r="B20824" s="3" t="s">
        <v>17282</v>
      </c>
      <c r="C20824" s="5" t="s">
        <v>614</v>
      </c>
      <c r="D20824" s="3" t="s">
        <v>206</v>
      </c>
      <c r="E20824" s="3" t="s">
        <v>100</v>
      </c>
      <c r="F20824" s="7">
        <v>46147.57665566665</v>
      </c>
      <c r="G20824" s="3" t="s">
        <v>18274</v>
      </c>
    </row>
    <row r="20825">
      <c r="A20825" s="3" t="s">
        <v>37078</v>
      </c>
      <c r="B20825" s="3" t="s">
        <v>17282</v>
      </c>
      <c r="C20825" s="5" t="s">
        <v>206</v>
      </c>
      <c r="D20825" s="3" t="s">
        <v>68</v>
      </c>
      <c r="E20825" s="3" t="s">
        <v>100</v>
      </c>
      <c r="F20825" s="7">
        <v>46147.58012788887</v>
      </c>
      <c r="G20825" s="3" t="s">
        <v>18276</v>
      </c>
    </row>
    <row r="20826">
      <c r="A20826" s="3" t="s">
        <v>37079</v>
      </c>
      <c r="B20826" s="3" t="s">
        <v>17287</v>
      </c>
      <c r="C20826" s="5" t="s">
        <v>45</v>
      </c>
      <c r="D20826" s="3" t="s">
        <v>221</v>
      </c>
      <c r="E20826" s="3" t="s">
        <v>632</v>
      </c>
      <c r="F20826" s="7">
        <v>46147.640886067624</v>
      </c>
      <c r="G20826" s="3" t="s">
        <v>14886</v>
      </c>
    </row>
    <row r="20827">
      <c r="A20827" s="3" t="s">
        <v>37080</v>
      </c>
      <c r="B20827" s="3" t="s">
        <v>17287</v>
      </c>
      <c r="C20827" s="5" t="s">
        <v>221</v>
      </c>
      <c r="D20827" s="3" t="s">
        <v>614</v>
      </c>
      <c r="E20827" s="3" t="s">
        <v>118</v>
      </c>
      <c r="F20827" s="7">
        <v>46147.64435828984</v>
      </c>
      <c r="G20827" s="3" t="s">
        <v>14889</v>
      </c>
    </row>
    <row r="20828">
      <c r="A20828" s="3" t="s">
        <v>37081</v>
      </c>
      <c r="B20828" s="3" t="s">
        <v>17287</v>
      </c>
      <c r="C20828" s="5" t="s">
        <v>614</v>
      </c>
      <c r="D20828" s="3" t="s">
        <v>206</v>
      </c>
      <c r="E20828" s="3" t="s">
        <v>100</v>
      </c>
      <c r="F20828" s="7">
        <v>46147.64783051207</v>
      </c>
      <c r="G20828" s="3" t="s">
        <v>14892</v>
      </c>
    </row>
    <row r="20829">
      <c r="A20829" s="3" t="s">
        <v>37082</v>
      </c>
      <c r="B20829" s="3" t="s">
        <v>17287</v>
      </c>
      <c r="C20829" s="5" t="s">
        <v>206</v>
      </c>
      <c r="D20829" s="3" t="s">
        <v>68</v>
      </c>
      <c r="E20829" s="3" t="s">
        <v>100</v>
      </c>
      <c r="F20829" s="7">
        <v>46147.65130273429</v>
      </c>
      <c r="G20829" s="3" t="s">
        <v>14895</v>
      </c>
    </row>
    <row r="20830">
      <c r="A20830" s="3" t="s">
        <v>37083</v>
      </c>
      <c r="B20830" s="3" t="s">
        <v>17290</v>
      </c>
      <c r="C20830" s="5" t="s">
        <v>45</v>
      </c>
      <c r="D20830" s="3" t="s">
        <v>221</v>
      </c>
      <c r="E20830" s="3" t="s">
        <v>290</v>
      </c>
      <c r="F20830" s="7">
        <v>46147.712060913036</v>
      </c>
      <c r="G20830" s="3" t="s">
        <v>33282</v>
      </c>
    </row>
    <row r="20831">
      <c r="A20831" s="3" t="s">
        <v>37084</v>
      </c>
      <c r="B20831" s="3" t="s">
        <v>17290</v>
      </c>
      <c r="C20831" s="5" t="s">
        <v>221</v>
      </c>
      <c r="D20831" s="3" t="s">
        <v>614</v>
      </c>
      <c r="E20831" s="3" t="s">
        <v>118</v>
      </c>
      <c r="F20831" s="7">
        <v>46147.715533135255</v>
      </c>
      <c r="G20831" s="3" t="s">
        <v>33284</v>
      </c>
    </row>
    <row r="20832">
      <c r="A20832" s="3" t="s">
        <v>37085</v>
      </c>
      <c r="B20832" s="3" t="s">
        <v>17290</v>
      </c>
      <c r="C20832" s="5" t="s">
        <v>614</v>
      </c>
      <c r="D20832" s="3" t="s">
        <v>206</v>
      </c>
      <c r="E20832" s="3" t="s">
        <v>100</v>
      </c>
      <c r="F20832" s="7">
        <v>46147.71900535748</v>
      </c>
      <c r="G20832" s="3" t="s">
        <v>33286</v>
      </c>
    </row>
    <row r="20833">
      <c r="A20833" s="3" t="s">
        <v>37086</v>
      </c>
      <c r="B20833" s="3" t="s">
        <v>17290</v>
      </c>
      <c r="C20833" s="5" t="s">
        <v>206</v>
      </c>
      <c r="D20833" s="3" t="s">
        <v>68</v>
      </c>
      <c r="E20833" s="3" t="s">
        <v>100</v>
      </c>
      <c r="F20833" s="7">
        <v>46147.7224775797</v>
      </c>
      <c r="G20833" s="3" t="s">
        <v>33288</v>
      </c>
    </row>
    <row r="20834">
      <c r="A20834" s="3" t="s">
        <v>37087</v>
      </c>
      <c r="B20834" s="3" t="s">
        <v>17293</v>
      </c>
      <c r="C20834" s="5" t="s">
        <v>45</v>
      </c>
      <c r="D20834" s="3" t="s">
        <v>221</v>
      </c>
      <c r="E20834" s="3" t="s">
        <v>391</v>
      </c>
      <c r="F20834" s="7">
        <v>46147.78323575845</v>
      </c>
      <c r="G20834" s="3" t="s">
        <v>27715</v>
      </c>
    </row>
    <row r="20835">
      <c r="A20835" s="3" t="s">
        <v>37088</v>
      </c>
      <c r="B20835" s="3" t="s">
        <v>17293</v>
      </c>
      <c r="C20835" s="5" t="s">
        <v>221</v>
      </c>
      <c r="D20835" s="3" t="s">
        <v>614</v>
      </c>
      <c r="E20835" s="3" t="s">
        <v>118</v>
      </c>
      <c r="F20835" s="7">
        <v>46147.78670798067</v>
      </c>
      <c r="G20835" s="3" t="s">
        <v>27717</v>
      </c>
    </row>
    <row r="20836">
      <c r="A20836" s="3" t="s">
        <v>37089</v>
      </c>
      <c r="B20836" s="3" t="s">
        <v>17293</v>
      </c>
      <c r="C20836" s="5" t="s">
        <v>614</v>
      </c>
      <c r="D20836" s="3" t="s">
        <v>206</v>
      </c>
      <c r="E20836" s="3" t="s">
        <v>100</v>
      </c>
      <c r="F20836" s="7">
        <v>46147.790180202894</v>
      </c>
      <c r="G20836" s="3" t="s">
        <v>27719</v>
      </c>
    </row>
    <row r="20837">
      <c r="A20837" s="3" t="s">
        <v>37090</v>
      </c>
      <c r="B20837" s="3" t="s">
        <v>17293</v>
      </c>
      <c r="C20837" s="5" t="s">
        <v>206</v>
      </c>
      <c r="D20837" s="3" t="s">
        <v>68</v>
      </c>
      <c r="E20837" s="3" t="s">
        <v>100</v>
      </c>
      <c r="F20837" s="7">
        <v>46147.79365242511</v>
      </c>
      <c r="G20837" s="3" t="s">
        <v>27721</v>
      </c>
    </row>
    <row r="20838">
      <c r="A20838" s="3" t="s">
        <v>37091</v>
      </c>
      <c r="B20838" s="3" t="s">
        <v>17297</v>
      </c>
      <c r="C20838" s="5" t="s">
        <v>45</v>
      </c>
      <c r="D20838" s="3" t="s">
        <v>221</v>
      </c>
      <c r="E20838" s="3" t="s">
        <v>1001</v>
      </c>
      <c r="F20838" s="7">
        <v>46147.85441060387</v>
      </c>
      <c r="G20838" s="3" t="s">
        <v>11821</v>
      </c>
    </row>
    <row r="20839">
      <c r="A20839" s="3" t="s">
        <v>37092</v>
      </c>
      <c r="B20839" s="3" t="s">
        <v>17297</v>
      </c>
      <c r="C20839" s="5" t="s">
        <v>221</v>
      </c>
      <c r="D20839" s="3" t="s">
        <v>614</v>
      </c>
      <c r="E20839" s="3" t="s">
        <v>118</v>
      </c>
      <c r="F20839" s="7">
        <v>46147.85788282609</v>
      </c>
      <c r="G20839" s="3" t="s">
        <v>11825</v>
      </c>
    </row>
    <row r="20840">
      <c r="A20840" s="3" t="s">
        <v>37093</v>
      </c>
      <c r="B20840" s="3" t="s">
        <v>17297</v>
      </c>
      <c r="C20840" s="5" t="s">
        <v>614</v>
      </c>
      <c r="D20840" s="3" t="s">
        <v>206</v>
      </c>
      <c r="E20840" s="3" t="s">
        <v>100</v>
      </c>
      <c r="F20840" s="7">
        <v>46147.86135504831</v>
      </c>
      <c r="G20840" s="3" t="s">
        <v>11828</v>
      </c>
    </row>
    <row r="20841">
      <c r="A20841" s="3" t="s">
        <v>37094</v>
      </c>
      <c r="B20841" s="3" t="s">
        <v>17297</v>
      </c>
      <c r="C20841" s="5" t="s">
        <v>206</v>
      </c>
      <c r="D20841" s="3" t="s">
        <v>68</v>
      </c>
      <c r="E20841" s="3" t="s">
        <v>100</v>
      </c>
      <c r="F20841" s="7">
        <v>46147.86482727053</v>
      </c>
      <c r="G20841" s="3" t="s">
        <v>11831</v>
      </c>
    </row>
    <row r="20842">
      <c r="A20842" s="3" t="s">
        <v>37095</v>
      </c>
      <c r="B20842" s="3" t="s">
        <v>17301</v>
      </c>
      <c r="C20842" s="5" t="s">
        <v>45</v>
      </c>
      <c r="D20842" s="3" t="s">
        <v>221</v>
      </c>
      <c r="E20842" s="3" t="s">
        <v>778</v>
      </c>
      <c r="F20842" s="7">
        <v>46147.92558544928</v>
      </c>
      <c r="G20842" s="3" t="s">
        <v>19906</v>
      </c>
    </row>
    <row r="20843">
      <c r="A20843" s="3" t="s">
        <v>37096</v>
      </c>
      <c r="B20843" s="3" t="s">
        <v>17301</v>
      </c>
      <c r="C20843" s="5" t="s">
        <v>221</v>
      </c>
      <c r="D20843" s="3" t="s">
        <v>614</v>
      </c>
      <c r="E20843" s="3" t="s">
        <v>118</v>
      </c>
      <c r="F20843" s="7">
        <v>46147.9290576715</v>
      </c>
      <c r="G20843" s="3" t="s">
        <v>19908</v>
      </c>
    </row>
    <row r="20844">
      <c r="A20844" s="3" t="s">
        <v>37097</v>
      </c>
      <c r="B20844" s="3" t="s">
        <v>17301</v>
      </c>
      <c r="C20844" s="5" t="s">
        <v>614</v>
      </c>
      <c r="D20844" s="3" t="s">
        <v>206</v>
      </c>
      <c r="E20844" s="3" t="s">
        <v>100</v>
      </c>
      <c r="F20844" s="7">
        <v>46147.932529893726</v>
      </c>
      <c r="G20844" s="3" t="s">
        <v>19911</v>
      </c>
    </row>
    <row r="20845">
      <c r="A20845" s="3" t="s">
        <v>37098</v>
      </c>
      <c r="B20845" s="3" t="s">
        <v>17301</v>
      </c>
      <c r="C20845" s="5" t="s">
        <v>206</v>
      </c>
      <c r="D20845" s="3" t="s">
        <v>68</v>
      </c>
      <c r="E20845" s="3" t="s">
        <v>100</v>
      </c>
      <c r="F20845" s="7">
        <v>46147.936002115945</v>
      </c>
      <c r="G20845" s="3" t="s">
        <v>19914</v>
      </c>
    </row>
    <row r="20846">
      <c r="A20846" s="3" t="s">
        <v>37099</v>
      </c>
      <c r="B20846" s="3" t="s">
        <v>17304</v>
      </c>
      <c r="C20846" s="5" t="s">
        <v>45</v>
      </c>
      <c r="D20846" s="3" t="s">
        <v>221</v>
      </c>
      <c r="E20846" s="3" t="s">
        <v>269</v>
      </c>
      <c r="F20846" s="7">
        <v>46147.99676029469</v>
      </c>
      <c r="G20846" s="3" t="s">
        <v>18316</v>
      </c>
    </row>
    <row r="20847">
      <c r="A20847" s="3" t="s">
        <v>37100</v>
      </c>
      <c r="B20847" s="3" t="s">
        <v>17304</v>
      </c>
      <c r="C20847" s="5" t="s">
        <v>221</v>
      </c>
      <c r="D20847" s="3" t="s">
        <v>614</v>
      </c>
      <c r="E20847" s="3" t="s">
        <v>118</v>
      </c>
      <c r="F20847" s="7">
        <v>46148.00023251691</v>
      </c>
      <c r="G20847" s="3" t="s">
        <v>18318</v>
      </c>
    </row>
    <row r="20848">
      <c r="A20848" s="3" t="s">
        <v>37101</v>
      </c>
      <c r="B20848" s="3" t="s">
        <v>17304</v>
      </c>
      <c r="C20848" s="5" t="s">
        <v>614</v>
      </c>
      <c r="D20848" s="3" t="s">
        <v>206</v>
      </c>
      <c r="E20848" s="3" t="s">
        <v>100</v>
      </c>
      <c r="F20848" s="7">
        <v>46148.00370473914</v>
      </c>
      <c r="G20848" s="3" t="s">
        <v>18320</v>
      </c>
    </row>
    <row r="20849">
      <c r="A20849" s="3" t="s">
        <v>37102</v>
      </c>
      <c r="B20849" s="3" t="s">
        <v>17304</v>
      </c>
      <c r="C20849" s="5" t="s">
        <v>206</v>
      </c>
      <c r="D20849" s="3" t="s">
        <v>68</v>
      </c>
      <c r="E20849" s="3" t="s">
        <v>100</v>
      </c>
      <c r="F20849" s="7">
        <v>46148.00717696136</v>
      </c>
      <c r="G20849" s="3" t="s">
        <v>18322</v>
      </c>
    </row>
    <row r="20850">
      <c r="A20850" s="3" t="s">
        <v>37103</v>
      </c>
      <c r="B20850" s="3" t="s">
        <v>17306</v>
      </c>
      <c r="C20850" s="5" t="s">
        <v>45</v>
      </c>
      <c r="D20850" s="3" t="s">
        <v>221</v>
      </c>
      <c r="E20850" s="3" t="s">
        <v>391</v>
      </c>
      <c r="F20850" s="7">
        <v>46148.06793514011</v>
      </c>
      <c r="G20850" s="3" t="s">
        <v>27715</v>
      </c>
    </row>
    <row r="20851">
      <c r="A20851" s="3" t="s">
        <v>37104</v>
      </c>
      <c r="B20851" s="3" t="s">
        <v>17306</v>
      </c>
      <c r="C20851" s="5" t="s">
        <v>221</v>
      </c>
      <c r="D20851" s="3" t="s">
        <v>614</v>
      </c>
      <c r="E20851" s="3" t="s">
        <v>118</v>
      </c>
      <c r="F20851" s="7">
        <v>46148.07140736233</v>
      </c>
      <c r="G20851" s="3" t="s">
        <v>27717</v>
      </c>
    </row>
    <row r="20852">
      <c r="A20852" s="3" t="s">
        <v>37105</v>
      </c>
      <c r="B20852" s="3" t="s">
        <v>17306</v>
      </c>
      <c r="C20852" s="5" t="s">
        <v>614</v>
      </c>
      <c r="D20852" s="3" t="s">
        <v>206</v>
      </c>
      <c r="E20852" s="3" t="s">
        <v>100</v>
      </c>
      <c r="F20852" s="7">
        <v>46148.07487958456</v>
      </c>
      <c r="G20852" s="3" t="s">
        <v>27719</v>
      </c>
    </row>
    <row r="20853">
      <c r="A20853" s="3" t="s">
        <v>37106</v>
      </c>
      <c r="B20853" s="3" t="s">
        <v>17306</v>
      </c>
      <c r="C20853" s="5" t="s">
        <v>206</v>
      </c>
      <c r="D20853" s="3" t="s">
        <v>68</v>
      </c>
      <c r="E20853" s="3" t="s">
        <v>100</v>
      </c>
      <c r="F20853" s="7">
        <v>46148.07835180678</v>
      </c>
      <c r="G20853" s="3" t="s">
        <v>27721</v>
      </c>
    </row>
    <row r="20854">
      <c r="A20854" s="3" t="s">
        <v>37107</v>
      </c>
      <c r="B20854" s="3" t="s">
        <v>17309</v>
      </c>
      <c r="C20854" s="5" t="s">
        <v>45</v>
      </c>
      <c r="D20854" s="3" t="s">
        <v>221</v>
      </c>
      <c r="E20854" s="3" t="s">
        <v>404</v>
      </c>
      <c r="F20854" s="7">
        <v>46148.13910998553</v>
      </c>
      <c r="G20854" s="3" t="s">
        <v>18358</v>
      </c>
    </row>
    <row r="20855">
      <c r="A20855" s="3" t="s">
        <v>37108</v>
      </c>
      <c r="B20855" s="3" t="s">
        <v>17309</v>
      </c>
      <c r="C20855" s="5" t="s">
        <v>221</v>
      </c>
      <c r="D20855" s="3" t="s">
        <v>614</v>
      </c>
      <c r="E20855" s="3" t="s">
        <v>118</v>
      </c>
      <c r="F20855" s="7">
        <v>46148.14258220775</v>
      </c>
      <c r="G20855" s="3" t="s">
        <v>18361</v>
      </c>
    </row>
    <row r="20856">
      <c r="A20856" s="3" t="s">
        <v>37109</v>
      </c>
      <c r="B20856" s="3" t="s">
        <v>17309</v>
      </c>
      <c r="C20856" s="5" t="s">
        <v>614</v>
      </c>
      <c r="D20856" s="3" t="s">
        <v>206</v>
      </c>
      <c r="E20856" s="3" t="s">
        <v>100</v>
      </c>
      <c r="F20856" s="7">
        <v>46148.14605442998</v>
      </c>
      <c r="G20856" s="3" t="s">
        <v>18364</v>
      </c>
    </row>
    <row r="20857">
      <c r="A20857" s="3" t="s">
        <v>37110</v>
      </c>
      <c r="B20857" s="3" t="s">
        <v>17309</v>
      </c>
      <c r="C20857" s="5" t="s">
        <v>206</v>
      </c>
      <c r="D20857" s="3" t="s">
        <v>68</v>
      </c>
      <c r="E20857" s="3" t="s">
        <v>100</v>
      </c>
      <c r="F20857" s="7">
        <v>46148.149526652196</v>
      </c>
      <c r="G20857" s="3" t="s">
        <v>18366</v>
      </c>
    </row>
    <row r="20858">
      <c r="A20858" s="3" t="s">
        <v>37111</v>
      </c>
      <c r="B20858" s="3" t="s">
        <v>17314</v>
      </c>
      <c r="C20858" s="5" t="s">
        <v>45</v>
      </c>
      <c r="D20858" s="3" t="s">
        <v>221</v>
      </c>
      <c r="E20858" s="3" t="s">
        <v>253</v>
      </c>
      <c r="F20858" s="7">
        <v>46148.21028483094</v>
      </c>
      <c r="G20858" s="3" t="s">
        <v>10781</v>
      </c>
    </row>
    <row r="20859">
      <c r="A20859" s="3" t="s">
        <v>37112</v>
      </c>
      <c r="B20859" s="3" t="s">
        <v>17314</v>
      </c>
      <c r="C20859" s="5" t="s">
        <v>221</v>
      </c>
      <c r="D20859" s="3" t="s">
        <v>614</v>
      </c>
      <c r="E20859" s="3" t="s">
        <v>118</v>
      </c>
      <c r="F20859" s="7">
        <v>46148.213757053156</v>
      </c>
      <c r="G20859" s="3" t="s">
        <v>10784</v>
      </c>
    </row>
    <row r="20860">
      <c r="A20860" s="3" t="s">
        <v>37113</v>
      </c>
      <c r="B20860" s="3" t="s">
        <v>17314</v>
      </c>
      <c r="C20860" s="5" t="s">
        <v>614</v>
      </c>
      <c r="D20860" s="3" t="s">
        <v>206</v>
      </c>
      <c r="E20860" s="3" t="s">
        <v>100</v>
      </c>
      <c r="F20860" s="7">
        <v>46148.21722927538</v>
      </c>
      <c r="G20860" s="3" t="s">
        <v>10786</v>
      </c>
    </row>
    <row r="20861">
      <c r="A20861" s="3" t="s">
        <v>37114</v>
      </c>
      <c r="B20861" s="3" t="s">
        <v>17314</v>
      </c>
      <c r="C20861" s="5" t="s">
        <v>206</v>
      </c>
      <c r="D20861" s="3" t="s">
        <v>68</v>
      </c>
      <c r="E20861" s="3" t="s">
        <v>100</v>
      </c>
      <c r="F20861" s="7">
        <v>46148.2207014976</v>
      </c>
      <c r="G20861" s="3" t="s">
        <v>10789</v>
      </c>
    </row>
    <row r="20862">
      <c r="A20862" s="3" t="s">
        <v>37115</v>
      </c>
      <c r="B20862" s="3" t="s">
        <v>17317</v>
      </c>
      <c r="C20862" s="5" t="s">
        <v>45</v>
      </c>
      <c r="D20862" s="3" t="s">
        <v>221</v>
      </c>
      <c r="E20862" s="3" t="s">
        <v>961</v>
      </c>
      <c r="F20862" s="7">
        <v>46148.28145967636</v>
      </c>
      <c r="G20862" s="3" t="s">
        <v>33008</v>
      </c>
    </row>
    <row r="20863">
      <c r="A20863" s="3" t="s">
        <v>37116</v>
      </c>
      <c r="B20863" s="3" t="s">
        <v>17317</v>
      </c>
      <c r="C20863" s="5" t="s">
        <v>221</v>
      </c>
      <c r="D20863" s="3" t="s">
        <v>614</v>
      </c>
      <c r="E20863" s="3" t="s">
        <v>118</v>
      </c>
      <c r="F20863" s="7">
        <v>46148.284931898575</v>
      </c>
      <c r="G20863" s="3" t="s">
        <v>37117</v>
      </c>
    </row>
    <row r="20864">
      <c r="A20864" s="3" t="s">
        <v>37118</v>
      </c>
      <c r="B20864" s="3" t="s">
        <v>17317</v>
      </c>
      <c r="C20864" s="5" t="s">
        <v>614</v>
      </c>
      <c r="D20864" s="3" t="s">
        <v>206</v>
      </c>
      <c r="E20864" s="3" t="s">
        <v>100</v>
      </c>
      <c r="F20864" s="7">
        <v>46148.2884041208</v>
      </c>
      <c r="G20864" s="3" t="s">
        <v>37119</v>
      </c>
    </row>
    <row r="20865">
      <c r="A20865" s="3" t="s">
        <v>37120</v>
      </c>
      <c r="B20865" s="3" t="s">
        <v>17317</v>
      </c>
      <c r="C20865" s="5" t="s">
        <v>206</v>
      </c>
      <c r="D20865" s="3" t="s">
        <v>68</v>
      </c>
      <c r="E20865" s="3" t="s">
        <v>100</v>
      </c>
      <c r="F20865" s="7">
        <v>46148.29187634302</v>
      </c>
      <c r="G20865" s="3" t="s">
        <v>37121</v>
      </c>
    </row>
    <row r="20866">
      <c r="A20866" s="3" t="s">
        <v>37122</v>
      </c>
      <c r="B20866" s="3" t="s">
        <v>17320</v>
      </c>
      <c r="C20866" s="5" t="s">
        <v>45</v>
      </c>
      <c r="D20866" s="3" t="s">
        <v>221</v>
      </c>
      <c r="E20866" s="3" t="s">
        <v>886</v>
      </c>
      <c r="F20866" s="7">
        <v>46148.35263452177</v>
      </c>
      <c r="G20866" s="3" t="s">
        <v>21646</v>
      </c>
    </row>
    <row r="20867">
      <c r="A20867" s="3" t="s">
        <v>37123</v>
      </c>
      <c r="B20867" s="3" t="s">
        <v>17320</v>
      </c>
      <c r="C20867" s="5" t="s">
        <v>221</v>
      </c>
      <c r="D20867" s="3" t="s">
        <v>614</v>
      </c>
      <c r="E20867" s="3" t="s">
        <v>118</v>
      </c>
      <c r="F20867" s="7">
        <v>46148.35610674399</v>
      </c>
      <c r="G20867" s="3" t="s">
        <v>21649</v>
      </c>
    </row>
    <row r="20868">
      <c r="A20868" s="3" t="s">
        <v>37124</v>
      </c>
      <c r="B20868" s="3" t="s">
        <v>17320</v>
      </c>
      <c r="C20868" s="5" t="s">
        <v>614</v>
      </c>
      <c r="D20868" s="3" t="s">
        <v>206</v>
      </c>
      <c r="E20868" s="3" t="s">
        <v>100</v>
      </c>
      <c r="F20868" s="7">
        <v>46148.359578966214</v>
      </c>
      <c r="G20868" s="3" t="s">
        <v>21652</v>
      </c>
    </row>
    <row r="20869">
      <c r="A20869" s="3" t="s">
        <v>37125</v>
      </c>
      <c r="B20869" s="3" t="s">
        <v>17320</v>
      </c>
      <c r="C20869" s="5" t="s">
        <v>206</v>
      </c>
      <c r="D20869" s="3" t="s">
        <v>68</v>
      </c>
      <c r="E20869" s="3" t="s">
        <v>100</v>
      </c>
      <c r="F20869" s="7">
        <v>46148.36305118843</v>
      </c>
      <c r="G20869" s="3" t="s">
        <v>21655</v>
      </c>
    </row>
    <row r="20870">
      <c r="A20870" s="3" t="s">
        <v>37126</v>
      </c>
      <c r="B20870" s="3" t="s">
        <v>17323</v>
      </c>
      <c r="C20870" s="5" t="s">
        <v>45</v>
      </c>
      <c r="D20870" s="3" t="s">
        <v>221</v>
      </c>
      <c r="E20870" s="3" t="s">
        <v>601</v>
      </c>
      <c r="F20870" s="7">
        <v>46148.42380936719</v>
      </c>
      <c r="G20870" s="3" t="s">
        <v>21981</v>
      </c>
    </row>
    <row r="20871">
      <c r="A20871" s="3" t="s">
        <v>37127</v>
      </c>
      <c r="B20871" s="3" t="s">
        <v>17323</v>
      </c>
      <c r="C20871" s="5" t="s">
        <v>221</v>
      </c>
      <c r="D20871" s="3" t="s">
        <v>614</v>
      </c>
      <c r="E20871" s="3" t="s">
        <v>118</v>
      </c>
      <c r="F20871" s="7">
        <v>46148.42728158941</v>
      </c>
      <c r="G20871" s="3" t="s">
        <v>21984</v>
      </c>
    </row>
    <row r="20872">
      <c r="A20872" s="3" t="s">
        <v>37128</v>
      </c>
      <c r="B20872" s="3" t="s">
        <v>17323</v>
      </c>
      <c r="C20872" s="5" t="s">
        <v>614</v>
      </c>
      <c r="D20872" s="3" t="s">
        <v>206</v>
      </c>
      <c r="E20872" s="3" t="s">
        <v>100</v>
      </c>
      <c r="F20872" s="7">
        <v>46148.43075381163</v>
      </c>
      <c r="G20872" s="3" t="s">
        <v>21987</v>
      </c>
    </row>
    <row r="20873">
      <c r="A20873" s="3" t="s">
        <v>37129</v>
      </c>
      <c r="B20873" s="3" t="s">
        <v>17323</v>
      </c>
      <c r="C20873" s="5" t="s">
        <v>206</v>
      </c>
      <c r="D20873" s="3" t="s">
        <v>68</v>
      </c>
      <c r="E20873" s="3" t="s">
        <v>100</v>
      </c>
      <c r="F20873" s="7">
        <v>46148.43422603385</v>
      </c>
      <c r="G20873" s="3" t="s">
        <v>21990</v>
      </c>
    </row>
    <row r="20874">
      <c r="A20874" s="3" t="s">
        <v>37130</v>
      </c>
      <c r="B20874" s="3" t="s">
        <v>17326</v>
      </c>
      <c r="C20874" s="5" t="s">
        <v>45</v>
      </c>
      <c r="D20874" s="3" t="s">
        <v>221</v>
      </c>
      <c r="E20874" s="3" t="s">
        <v>926</v>
      </c>
      <c r="F20874" s="7">
        <v>46148.4949842126</v>
      </c>
      <c r="G20874" s="3" t="s">
        <v>26711</v>
      </c>
    </row>
    <row r="20875">
      <c r="A20875" s="3" t="s">
        <v>37131</v>
      </c>
      <c r="B20875" s="3" t="s">
        <v>17326</v>
      </c>
      <c r="C20875" s="5" t="s">
        <v>221</v>
      </c>
      <c r="D20875" s="3" t="s">
        <v>614</v>
      </c>
      <c r="E20875" s="3" t="s">
        <v>118</v>
      </c>
      <c r="F20875" s="7">
        <v>46148.49845643482</v>
      </c>
      <c r="G20875" s="3" t="s">
        <v>26713</v>
      </c>
    </row>
    <row r="20876">
      <c r="A20876" s="3" t="s">
        <v>37132</v>
      </c>
      <c r="B20876" s="3" t="s">
        <v>17326</v>
      </c>
      <c r="C20876" s="5" t="s">
        <v>614</v>
      </c>
      <c r="D20876" s="3" t="s">
        <v>206</v>
      </c>
      <c r="E20876" s="3" t="s">
        <v>100</v>
      </c>
      <c r="F20876" s="7">
        <v>46148.501928657046</v>
      </c>
      <c r="G20876" s="3" t="s">
        <v>26715</v>
      </c>
    </row>
    <row r="20877">
      <c r="A20877" s="3" t="s">
        <v>37133</v>
      </c>
      <c r="B20877" s="3" t="s">
        <v>17326</v>
      </c>
      <c r="C20877" s="5" t="s">
        <v>206</v>
      </c>
      <c r="D20877" s="3" t="s">
        <v>68</v>
      </c>
      <c r="E20877" s="3" t="s">
        <v>100</v>
      </c>
      <c r="F20877" s="7">
        <v>46148.505400879265</v>
      </c>
      <c r="G20877" s="3" t="s">
        <v>26717</v>
      </c>
    </row>
    <row r="20878">
      <c r="A20878" s="3" t="s">
        <v>37134</v>
      </c>
      <c r="B20878" s="3" t="s">
        <v>17330</v>
      </c>
      <c r="C20878" s="5" t="s">
        <v>45</v>
      </c>
      <c r="D20878" s="3" t="s">
        <v>221</v>
      </c>
      <c r="E20878" s="3" t="s">
        <v>505</v>
      </c>
      <c r="F20878" s="7">
        <v>46148.56615905802</v>
      </c>
      <c r="G20878" s="3" t="s">
        <v>17047</v>
      </c>
    </row>
    <row r="20879">
      <c r="A20879" s="3" t="s">
        <v>37135</v>
      </c>
      <c r="B20879" s="3" t="s">
        <v>17330</v>
      </c>
      <c r="C20879" s="5" t="s">
        <v>221</v>
      </c>
      <c r="D20879" s="3" t="s">
        <v>614</v>
      </c>
      <c r="E20879" s="3" t="s">
        <v>118</v>
      </c>
      <c r="F20879" s="7">
        <v>46148.56963128024</v>
      </c>
      <c r="G20879" s="3" t="s">
        <v>17050</v>
      </c>
    </row>
    <row r="20880">
      <c r="A20880" s="3" t="s">
        <v>37136</v>
      </c>
      <c r="B20880" s="3" t="s">
        <v>17330</v>
      </c>
      <c r="C20880" s="5" t="s">
        <v>614</v>
      </c>
      <c r="D20880" s="3" t="s">
        <v>206</v>
      </c>
      <c r="E20880" s="3" t="s">
        <v>100</v>
      </c>
      <c r="F20880" s="7">
        <v>46148.573103502466</v>
      </c>
      <c r="G20880" s="3" t="s">
        <v>17053</v>
      </c>
    </row>
    <row r="20881">
      <c r="A20881" s="3" t="s">
        <v>37137</v>
      </c>
      <c r="B20881" s="3" t="s">
        <v>17330</v>
      </c>
      <c r="C20881" s="5" t="s">
        <v>206</v>
      </c>
      <c r="D20881" s="3" t="s">
        <v>68</v>
      </c>
      <c r="E20881" s="3" t="s">
        <v>100</v>
      </c>
      <c r="F20881" s="7">
        <v>46148.576575724685</v>
      </c>
      <c r="G20881" s="3" t="s">
        <v>17055</v>
      </c>
    </row>
    <row r="20882">
      <c r="A20882" s="3" t="s">
        <v>37138</v>
      </c>
      <c r="B20882" s="3" t="s">
        <v>17333</v>
      </c>
      <c r="C20882" s="5" t="s">
        <v>45</v>
      </c>
      <c r="D20882" s="3" t="s">
        <v>221</v>
      </c>
      <c r="E20882" s="3" t="s">
        <v>366</v>
      </c>
      <c r="F20882" s="7">
        <v>46148.637333903425</v>
      </c>
      <c r="G20882" s="3" t="s">
        <v>18369</v>
      </c>
    </row>
    <row r="20883">
      <c r="A20883" s="3" t="s">
        <v>37139</v>
      </c>
      <c r="B20883" s="3" t="s">
        <v>17333</v>
      </c>
      <c r="C20883" s="5" t="s">
        <v>221</v>
      </c>
      <c r="D20883" s="3" t="s">
        <v>614</v>
      </c>
      <c r="E20883" s="3" t="s">
        <v>118</v>
      </c>
      <c r="F20883" s="7">
        <v>46148.640806125644</v>
      </c>
      <c r="G20883" s="3" t="s">
        <v>18372</v>
      </c>
    </row>
    <row r="20884">
      <c r="A20884" s="3" t="s">
        <v>37140</v>
      </c>
      <c r="B20884" s="3" t="s">
        <v>17333</v>
      </c>
      <c r="C20884" s="5" t="s">
        <v>614</v>
      </c>
      <c r="D20884" s="3" t="s">
        <v>206</v>
      </c>
      <c r="E20884" s="3" t="s">
        <v>100</v>
      </c>
      <c r="F20884" s="7">
        <v>46148.64427834787</v>
      </c>
      <c r="G20884" s="3" t="s">
        <v>18375</v>
      </c>
    </row>
    <row r="20885">
      <c r="A20885" s="3" t="s">
        <v>37141</v>
      </c>
      <c r="B20885" s="3" t="s">
        <v>17333</v>
      </c>
      <c r="C20885" s="5" t="s">
        <v>206</v>
      </c>
      <c r="D20885" s="3" t="s">
        <v>68</v>
      </c>
      <c r="E20885" s="3" t="s">
        <v>100</v>
      </c>
      <c r="F20885" s="7">
        <v>46148.64775057009</v>
      </c>
      <c r="G20885" s="3" t="s">
        <v>18378</v>
      </c>
    </row>
    <row r="20886">
      <c r="A20886" s="3" t="s">
        <v>37142</v>
      </c>
      <c r="B20886" s="3" t="s">
        <v>17337</v>
      </c>
      <c r="C20886" s="5" t="s">
        <v>45</v>
      </c>
      <c r="D20886" s="3" t="s">
        <v>221</v>
      </c>
      <c r="E20886" s="3" t="s">
        <v>247</v>
      </c>
      <c r="F20886" s="7">
        <v>46148.708508748845</v>
      </c>
      <c r="G20886" s="3" t="s">
        <v>18451</v>
      </c>
    </row>
    <row r="20887">
      <c r="A20887" s="3" t="s">
        <v>37143</v>
      </c>
      <c r="B20887" s="3" t="s">
        <v>17337</v>
      </c>
      <c r="C20887" s="5" t="s">
        <v>221</v>
      </c>
      <c r="D20887" s="3" t="s">
        <v>614</v>
      </c>
      <c r="E20887" s="3" t="s">
        <v>118</v>
      </c>
      <c r="F20887" s="7">
        <v>46148.711980971064</v>
      </c>
      <c r="G20887" s="3" t="s">
        <v>18454</v>
      </c>
    </row>
    <row r="20888">
      <c r="A20888" s="3" t="s">
        <v>37144</v>
      </c>
      <c r="B20888" s="3" t="s">
        <v>17337</v>
      </c>
      <c r="C20888" s="5" t="s">
        <v>614</v>
      </c>
      <c r="D20888" s="3" t="s">
        <v>206</v>
      </c>
      <c r="E20888" s="3" t="s">
        <v>100</v>
      </c>
      <c r="F20888" s="7">
        <v>46148.71545319329</v>
      </c>
      <c r="G20888" s="3" t="s">
        <v>18456</v>
      </c>
    </row>
    <row r="20889">
      <c r="A20889" s="3" t="s">
        <v>37145</v>
      </c>
      <c r="B20889" s="3" t="s">
        <v>17337</v>
      </c>
      <c r="C20889" s="5" t="s">
        <v>206</v>
      </c>
      <c r="D20889" s="3" t="s">
        <v>68</v>
      </c>
      <c r="E20889" s="3" t="s">
        <v>100</v>
      </c>
      <c r="F20889" s="7">
        <v>46148.71892541551</v>
      </c>
      <c r="G20889" s="3" t="s">
        <v>18459</v>
      </c>
    </row>
    <row r="20890">
      <c r="A20890" s="3" t="s">
        <v>37146</v>
      </c>
      <c r="B20890" s="3" t="s">
        <v>17340</v>
      </c>
      <c r="C20890" s="5" t="s">
        <v>45</v>
      </c>
      <c r="D20890" s="3" t="s">
        <v>221</v>
      </c>
      <c r="E20890" s="3" t="s">
        <v>676</v>
      </c>
      <c r="F20890" s="7">
        <v>46148.779683594264</v>
      </c>
      <c r="G20890" s="3" t="s">
        <v>14735</v>
      </c>
    </row>
    <row r="20891">
      <c r="A20891" s="3" t="s">
        <v>37147</v>
      </c>
      <c r="B20891" s="3" t="s">
        <v>17340</v>
      </c>
      <c r="C20891" s="5" t="s">
        <v>221</v>
      </c>
      <c r="D20891" s="3" t="s">
        <v>614</v>
      </c>
      <c r="E20891" s="3" t="s">
        <v>118</v>
      </c>
      <c r="F20891" s="7">
        <v>46148.78315581648</v>
      </c>
      <c r="G20891" s="3" t="s">
        <v>14738</v>
      </c>
    </row>
    <row r="20892">
      <c r="A20892" s="3" t="s">
        <v>37148</v>
      </c>
      <c r="B20892" s="3" t="s">
        <v>17340</v>
      </c>
      <c r="C20892" s="5" t="s">
        <v>614</v>
      </c>
      <c r="D20892" s="3" t="s">
        <v>206</v>
      </c>
      <c r="E20892" s="3" t="s">
        <v>100</v>
      </c>
      <c r="F20892" s="7">
        <v>46148.78662803871</v>
      </c>
      <c r="G20892" s="3" t="s">
        <v>14741</v>
      </c>
    </row>
    <row r="20893">
      <c r="A20893" s="3" t="s">
        <v>37149</v>
      </c>
      <c r="B20893" s="3" t="s">
        <v>17340</v>
      </c>
      <c r="C20893" s="5" t="s">
        <v>206</v>
      </c>
      <c r="D20893" s="3" t="s">
        <v>68</v>
      </c>
      <c r="E20893" s="3" t="s">
        <v>100</v>
      </c>
      <c r="F20893" s="7">
        <v>46148.79010026093</v>
      </c>
      <c r="G20893" s="3" t="s">
        <v>14744</v>
      </c>
    </row>
    <row r="20894">
      <c r="A20894" s="3" t="s">
        <v>37150</v>
      </c>
      <c r="B20894" s="3" t="s">
        <v>17344</v>
      </c>
      <c r="C20894" s="5" t="s">
        <v>45</v>
      </c>
      <c r="D20894" s="3" t="s">
        <v>221</v>
      </c>
      <c r="E20894" s="3" t="s">
        <v>976</v>
      </c>
      <c r="F20894" s="7">
        <v>46148.85085843968</v>
      </c>
      <c r="G20894" s="3" t="s">
        <v>31595</v>
      </c>
    </row>
    <row r="20895">
      <c r="A20895" s="3" t="s">
        <v>37151</v>
      </c>
      <c r="B20895" s="3" t="s">
        <v>17344</v>
      </c>
      <c r="C20895" s="5" t="s">
        <v>221</v>
      </c>
      <c r="D20895" s="3" t="s">
        <v>614</v>
      </c>
      <c r="E20895" s="3" t="s">
        <v>118</v>
      </c>
      <c r="F20895" s="7">
        <v>46148.854330661896</v>
      </c>
      <c r="G20895" s="3" t="s">
        <v>32295</v>
      </c>
    </row>
    <row r="20896">
      <c r="A20896" s="3" t="s">
        <v>37152</v>
      </c>
      <c r="B20896" s="3" t="s">
        <v>17344</v>
      </c>
      <c r="C20896" s="5" t="s">
        <v>614</v>
      </c>
      <c r="D20896" s="3" t="s">
        <v>206</v>
      </c>
      <c r="E20896" s="3" t="s">
        <v>100</v>
      </c>
      <c r="F20896" s="7">
        <v>46148.85780288412</v>
      </c>
      <c r="G20896" s="3" t="s">
        <v>32297</v>
      </c>
    </row>
    <row r="20897">
      <c r="A20897" s="3" t="s">
        <v>37153</v>
      </c>
      <c r="B20897" s="3" t="s">
        <v>17344</v>
      </c>
      <c r="C20897" s="5" t="s">
        <v>206</v>
      </c>
      <c r="D20897" s="3" t="s">
        <v>68</v>
      </c>
      <c r="E20897" s="3" t="s">
        <v>100</v>
      </c>
      <c r="F20897" s="7">
        <v>46148.86127510634</v>
      </c>
      <c r="G20897" s="3" t="s">
        <v>32299</v>
      </c>
    </row>
    <row r="20898">
      <c r="A20898" s="3" t="s">
        <v>37154</v>
      </c>
      <c r="B20898" s="3" t="s">
        <v>17348</v>
      </c>
      <c r="C20898" s="5" t="s">
        <v>45</v>
      </c>
      <c r="D20898" s="3" t="s">
        <v>221</v>
      </c>
      <c r="E20898" s="3" t="s">
        <v>226</v>
      </c>
      <c r="F20898" s="7">
        <v>46148.92203328509</v>
      </c>
      <c r="G20898" s="3" t="s">
        <v>18462</v>
      </c>
    </row>
    <row r="20899">
      <c r="A20899" s="3" t="s">
        <v>37155</v>
      </c>
      <c r="B20899" s="3" t="s">
        <v>17348</v>
      </c>
      <c r="C20899" s="5" t="s">
        <v>221</v>
      </c>
      <c r="D20899" s="3" t="s">
        <v>614</v>
      </c>
      <c r="E20899" s="3" t="s">
        <v>118</v>
      </c>
      <c r="F20899" s="7">
        <v>46148.92550550731</v>
      </c>
      <c r="G20899" s="3" t="s">
        <v>18465</v>
      </c>
    </row>
    <row r="20900">
      <c r="A20900" s="3" t="s">
        <v>37156</v>
      </c>
      <c r="B20900" s="3" t="s">
        <v>17348</v>
      </c>
      <c r="C20900" s="5" t="s">
        <v>614</v>
      </c>
      <c r="D20900" s="3" t="s">
        <v>206</v>
      </c>
      <c r="E20900" s="3" t="s">
        <v>100</v>
      </c>
      <c r="F20900" s="7">
        <v>46148.928977729534</v>
      </c>
      <c r="G20900" s="3" t="s">
        <v>18468</v>
      </c>
    </row>
    <row r="20901">
      <c r="A20901" s="3" t="s">
        <v>37157</v>
      </c>
      <c r="B20901" s="3" t="s">
        <v>17348</v>
      </c>
      <c r="C20901" s="5" t="s">
        <v>206</v>
      </c>
      <c r="D20901" s="3" t="s">
        <v>68</v>
      </c>
      <c r="E20901" s="3" t="s">
        <v>100</v>
      </c>
      <c r="F20901" s="7">
        <v>46148.93244995175</v>
      </c>
      <c r="G20901" s="3" t="s">
        <v>18471</v>
      </c>
    </row>
    <row r="20902">
      <c r="A20902" s="3" t="s">
        <v>37158</v>
      </c>
      <c r="B20902" s="3" t="s">
        <v>17351</v>
      </c>
      <c r="C20902" s="5" t="s">
        <v>45</v>
      </c>
      <c r="D20902" s="3" t="s">
        <v>221</v>
      </c>
      <c r="E20902" s="3" t="s">
        <v>908</v>
      </c>
      <c r="F20902" s="7">
        <v>46148.99320813051</v>
      </c>
      <c r="G20902" s="3" t="s">
        <v>12142</v>
      </c>
    </row>
    <row r="20903">
      <c r="A20903" s="3" t="s">
        <v>37159</v>
      </c>
      <c r="B20903" s="3" t="s">
        <v>17351</v>
      </c>
      <c r="C20903" s="5" t="s">
        <v>221</v>
      </c>
      <c r="D20903" s="3" t="s">
        <v>614</v>
      </c>
      <c r="E20903" s="3" t="s">
        <v>118</v>
      </c>
      <c r="F20903" s="7">
        <v>46148.99668035273</v>
      </c>
      <c r="G20903" s="3" t="s">
        <v>12145</v>
      </c>
    </row>
    <row r="20904">
      <c r="A20904" s="3" t="s">
        <v>37160</v>
      </c>
      <c r="B20904" s="3" t="s">
        <v>17351</v>
      </c>
      <c r="C20904" s="5" t="s">
        <v>614</v>
      </c>
      <c r="D20904" s="3" t="s">
        <v>206</v>
      </c>
      <c r="E20904" s="3" t="s">
        <v>100</v>
      </c>
      <c r="F20904" s="7">
        <v>46149.000152574954</v>
      </c>
      <c r="G20904" s="3" t="s">
        <v>12148</v>
      </c>
    </row>
    <row r="20905">
      <c r="A20905" s="3" t="s">
        <v>37161</v>
      </c>
      <c r="B20905" s="3" t="s">
        <v>17351</v>
      </c>
      <c r="C20905" s="5" t="s">
        <v>206</v>
      </c>
      <c r="D20905" s="3" t="s">
        <v>68</v>
      </c>
      <c r="E20905" s="3" t="s">
        <v>100</v>
      </c>
      <c r="F20905" s="7">
        <v>46149.00362479717</v>
      </c>
      <c r="G20905" s="3" t="s">
        <v>12151</v>
      </c>
    </row>
    <row r="20906">
      <c r="A20906" s="3" t="s">
        <v>37162</v>
      </c>
      <c r="B20906" s="3" t="s">
        <v>17354</v>
      </c>
      <c r="C20906" s="5" t="s">
        <v>45</v>
      </c>
      <c r="D20906" s="3" t="s">
        <v>221</v>
      </c>
      <c r="E20906" s="3" t="s">
        <v>629</v>
      </c>
      <c r="F20906" s="7">
        <v>46149.06438297592</v>
      </c>
      <c r="G20906" s="3" t="s">
        <v>16955</v>
      </c>
    </row>
    <row r="20907">
      <c r="A20907" s="3" t="s">
        <v>37163</v>
      </c>
      <c r="B20907" s="3" t="s">
        <v>17354</v>
      </c>
      <c r="C20907" s="5" t="s">
        <v>221</v>
      </c>
      <c r="D20907" s="3" t="s">
        <v>614</v>
      </c>
      <c r="E20907" s="3" t="s">
        <v>118</v>
      </c>
      <c r="F20907" s="7">
        <v>46149.06785519814</v>
      </c>
      <c r="G20907" s="3" t="s">
        <v>27739</v>
      </c>
    </row>
    <row r="20908">
      <c r="A20908" s="3" t="s">
        <v>37164</v>
      </c>
      <c r="B20908" s="3" t="s">
        <v>17354</v>
      </c>
      <c r="C20908" s="5" t="s">
        <v>614</v>
      </c>
      <c r="D20908" s="3" t="s">
        <v>206</v>
      </c>
      <c r="E20908" s="3" t="s">
        <v>100</v>
      </c>
      <c r="F20908" s="7">
        <v>46149.071327420366</v>
      </c>
      <c r="G20908" s="3" t="s">
        <v>27741</v>
      </c>
    </row>
    <row r="20909">
      <c r="A20909" s="3" t="s">
        <v>37165</v>
      </c>
      <c r="B20909" s="3" t="s">
        <v>17354</v>
      </c>
      <c r="C20909" s="5" t="s">
        <v>206</v>
      </c>
      <c r="D20909" s="3" t="s">
        <v>68</v>
      </c>
      <c r="E20909" s="3" t="s">
        <v>100</v>
      </c>
      <c r="F20909" s="7">
        <v>46149.074799642585</v>
      </c>
      <c r="G20909" s="3" t="s">
        <v>27743</v>
      </c>
    </row>
    <row r="20910">
      <c r="A20910" s="3" t="s">
        <v>37166</v>
      </c>
      <c r="B20910" s="3" t="s">
        <v>17358</v>
      </c>
      <c r="C20910" s="5" t="s">
        <v>45</v>
      </c>
      <c r="D20910" s="3" t="s">
        <v>221</v>
      </c>
      <c r="E20910" s="3" t="s">
        <v>523</v>
      </c>
      <c r="F20910" s="7">
        <v>46149.13555782133</v>
      </c>
      <c r="G20910" s="3" t="s">
        <v>18507</v>
      </c>
    </row>
    <row r="20911">
      <c r="A20911" s="3" t="s">
        <v>37167</v>
      </c>
      <c r="B20911" s="3" t="s">
        <v>17358</v>
      </c>
      <c r="C20911" s="5" t="s">
        <v>221</v>
      </c>
      <c r="D20911" s="3" t="s">
        <v>614</v>
      </c>
      <c r="E20911" s="3" t="s">
        <v>118</v>
      </c>
      <c r="F20911" s="7">
        <v>46149.13903004355</v>
      </c>
      <c r="G20911" s="3" t="s">
        <v>18510</v>
      </c>
    </row>
    <row r="20912">
      <c r="A20912" s="3" t="s">
        <v>37168</v>
      </c>
      <c r="B20912" s="3" t="s">
        <v>17358</v>
      </c>
      <c r="C20912" s="5" t="s">
        <v>614</v>
      </c>
      <c r="D20912" s="3" t="s">
        <v>206</v>
      </c>
      <c r="E20912" s="3" t="s">
        <v>100</v>
      </c>
      <c r="F20912" s="7">
        <v>46149.14250226578</v>
      </c>
      <c r="G20912" s="3" t="s">
        <v>18513</v>
      </c>
    </row>
    <row r="20913">
      <c r="A20913" s="3" t="s">
        <v>37169</v>
      </c>
      <c r="B20913" s="3" t="s">
        <v>17358</v>
      </c>
      <c r="C20913" s="5" t="s">
        <v>206</v>
      </c>
      <c r="D20913" s="3" t="s">
        <v>68</v>
      </c>
      <c r="E20913" s="3" t="s">
        <v>100</v>
      </c>
      <c r="F20913" s="7">
        <v>46149.145974488</v>
      </c>
      <c r="G20913" s="3" t="s">
        <v>18516</v>
      </c>
    </row>
    <row r="20914">
      <c r="A20914" s="3" t="s">
        <v>37170</v>
      </c>
      <c r="B20914" s="3" t="s">
        <v>17362</v>
      </c>
      <c r="C20914" s="5" t="s">
        <v>45</v>
      </c>
      <c r="D20914" s="3" t="s">
        <v>221</v>
      </c>
      <c r="E20914" s="3" t="s">
        <v>848</v>
      </c>
      <c r="F20914" s="7">
        <v>46149.20673266675</v>
      </c>
      <c r="G20914" s="3" t="s">
        <v>32129</v>
      </c>
    </row>
    <row r="20915">
      <c r="A20915" s="3" t="s">
        <v>37171</v>
      </c>
      <c r="B20915" s="3" t="s">
        <v>17362</v>
      </c>
      <c r="C20915" s="5" t="s">
        <v>221</v>
      </c>
      <c r="D20915" s="3" t="s">
        <v>614</v>
      </c>
      <c r="E20915" s="3" t="s">
        <v>118</v>
      </c>
      <c r="F20915" s="7">
        <v>46149.21020488897</v>
      </c>
      <c r="G20915" s="3" t="s">
        <v>32131</v>
      </c>
    </row>
    <row r="20916">
      <c r="A20916" s="3" t="s">
        <v>37172</v>
      </c>
      <c r="B20916" s="3" t="s">
        <v>17362</v>
      </c>
      <c r="C20916" s="5" t="s">
        <v>614</v>
      </c>
      <c r="D20916" s="3" t="s">
        <v>206</v>
      </c>
      <c r="E20916" s="3" t="s">
        <v>100</v>
      </c>
      <c r="F20916" s="7">
        <v>46149.2136771112</v>
      </c>
      <c r="G20916" s="3" t="s">
        <v>32133</v>
      </c>
    </row>
    <row r="20917">
      <c r="A20917" s="3" t="s">
        <v>37173</v>
      </c>
      <c r="B20917" s="3" t="s">
        <v>17362</v>
      </c>
      <c r="C20917" s="5" t="s">
        <v>206</v>
      </c>
      <c r="D20917" s="3" t="s">
        <v>68</v>
      </c>
      <c r="E20917" s="3" t="s">
        <v>100</v>
      </c>
      <c r="F20917" s="7">
        <v>46149.21714933342</v>
      </c>
      <c r="G20917" s="3" t="s">
        <v>32135</v>
      </c>
    </row>
    <row r="20918">
      <c r="A20918" s="3" t="s">
        <v>37174</v>
      </c>
      <c r="B20918" s="3" t="s">
        <v>17365</v>
      </c>
      <c r="C20918" s="5" t="s">
        <v>45</v>
      </c>
      <c r="D20918" s="3" t="s">
        <v>221</v>
      </c>
      <c r="E20918" s="3" t="s">
        <v>468</v>
      </c>
      <c r="F20918" s="7">
        <v>46149.27790751217</v>
      </c>
      <c r="G20918" s="3" t="s">
        <v>18163</v>
      </c>
    </row>
    <row r="20919">
      <c r="A20919" s="3" t="s">
        <v>37175</v>
      </c>
      <c r="B20919" s="3" t="s">
        <v>17365</v>
      </c>
      <c r="C20919" s="5" t="s">
        <v>221</v>
      </c>
      <c r="D20919" s="3" t="s">
        <v>181</v>
      </c>
      <c r="E20919" s="3" t="s">
        <v>118</v>
      </c>
      <c r="F20919" s="7">
        <v>46149.28137973439</v>
      </c>
      <c r="G20919" s="3" t="s">
        <v>37176</v>
      </c>
    </row>
    <row r="20920">
      <c r="A20920" s="3" t="s">
        <v>37177</v>
      </c>
      <c r="B20920" s="3" t="s">
        <v>17367</v>
      </c>
      <c r="C20920" s="5" t="s">
        <v>45</v>
      </c>
      <c r="D20920" s="3" t="s">
        <v>221</v>
      </c>
      <c r="E20920" s="3" t="s">
        <v>637</v>
      </c>
      <c r="F20920" s="7">
        <v>46149.34908235758</v>
      </c>
      <c r="G20920" s="3" t="s">
        <v>23915</v>
      </c>
    </row>
    <row r="20921">
      <c r="A20921" s="3" t="s">
        <v>37178</v>
      </c>
      <c r="B20921" s="3" t="s">
        <v>17367</v>
      </c>
      <c r="C20921" s="5" t="s">
        <v>221</v>
      </c>
      <c r="D20921" s="3" t="s">
        <v>614</v>
      </c>
      <c r="E20921" s="3" t="s">
        <v>118</v>
      </c>
      <c r="F20921" s="7">
        <v>46149.3525545798</v>
      </c>
      <c r="G20921" s="3" t="s">
        <v>23917</v>
      </c>
    </row>
    <row r="20922">
      <c r="A20922" s="3" t="s">
        <v>37179</v>
      </c>
      <c r="B20922" s="3" t="s">
        <v>17367</v>
      </c>
      <c r="C20922" s="5" t="s">
        <v>614</v>
      </c>
      <c r="D20922" s="3" t="s">
        <v>206</v>
      </c>
      <c r="E20922" s="3" t="s">
        <v>100</v>
      </c>
      <c r="F20922" s="7">
        <v>46149.35602680202</v>
      </c>
      <c r="G20922" s="3" t="s">
        <v>23919</v>
      </c>
    </row>
    <row r="20923">
      <c r="A20923" s="3" t="s">
        <v>37180</v>
      </c>
      <c r="B20923" s="3" t="s">
        <v>17367</v>
      </c>
      <c r="C20923" s="5" t="s">
        <v>206</v>
      </c>
      <c r="D20923" s="3" t="s">
        <v>68</v>
      </c>
      <c r="E20923" s="3" t="s">
        <v>100</v>
      </c>
      <c r="F20923" s="7">
        <v>46149.35949902424</v>
      </c>
      <c r="G20923" s="3" t="s">
        <v>23921</v>
      </c>
    </row>
    <row r="20924">
      <c r="A20924" s="3" t="s">
        <v>37181</v>
      </c>
      <c r="B20924" s="3" t="s">
        <v>17370</v>
      </c>
      <c r="C20924" s="5" t="s">
        <v>45</v>
      </c>
      <c r="D20924" s="3" t="s">
        <v>221</v>
      </c>
      <c r="E20924" s="3" t="s">
        <v>694</v>
      </c>
      <c r="F20924" s="7">
        <v>46149.420257203</v>
      </c>
      <c r="G20924" s="3" t="s">
        <v>13712</v>
      </c>
    </row>
    <row r="20925">
      <c r="A20925" s="3" t="s">
        <v>37182</v>
      </c>
      <c r="B20925" s="3" t="s">
        <v>17370</v>
      </c>
      <c r="C20925" s="5" t="s">
        <v>221</v>
      </c>
      <c r="D20925" s="3" t="s">
        <v>614</v>
      </c>
      <c r="E20925" s="3" t="s">
        <v>118</v>
      </c>
      <c r="F20925" s="7">
        <v>46149.423729425216</v>
      </c>
      <c r="G20925" s="3" t="s">
        <v>13715</v>
      </c>
    </row>
    <row r="20926">
      <c r="A20926" s="3" t="s">
        <v>37183</v>
      </c>
      <c r="B20926" s="3" t="s">
        <v>17370</v>
      </c>
      <c r="C20926" s="5" t="s">
        <v>614</v>
      </c>
      <c r="D20926" s="3" t="s">
        <v>206</v>
      </c>
      <c r="E20926" s="3" t="s">
        <v>100</v>
      </c>
      <c r="F20926" s="7">
        <v>46149.42720164744</v>
      </c>
      <c r="G20926" s="3" t="s">
        <v>13717</v>
      </c>
    </row>
    <row r="20927">
      <c r="A20927" s="3" t="s">
        <v>37184</v>
      </c>
      <c r="B20927" s="3" t="s">
        <v>17370</v>
      </c>
      <c r="C20927" s="5" t="s">
        <v>206</v>
      </c>
      <c r="D20927" s="3" t="s">
        <v>68</v>
      </c>
      <c r="E20927" s="3" t="s">
        <v>100</v>
      </c>
      <c r="F20927" s="7">
        <v>46149.43067386966</v>
      </c>
      <c r="G20927" s="3" t="s">
        <v>13720</v>
      </c>
    </row>
    <row r="20928">
      <c r="A20928" s="3" t="s">
        <v>37185</v>
      </c>
      <c r="B20928" s="3" t="s">
        <v>17374</v>
      </c>
      <c r="C20928" s="5" t="s">
        <v>45</v>
      </c>
      <c r="D20928" s="3" t="s">
        <v>221</v>
      </c>
      <c r="E20928" s="3" t="s">
        <v>830</v>
      </c>
      <c r="F20928" s="7">
        <v>46149.49143204841</v>
      </c>
      <c r="G20928" s="3" t="s">
        <v>8805</v>
      </c>
    </row>
    <row r="20929">
      <c r="A20929" s="3" t="s">
        <v>37186</v>
      </c>
      <c r="B20929" s="3" t="s">
        <v>17374</v>
      </c>
      <c r="C20929" s="5" t="s">
        <v>221</v>
      </c>
      <c r="D20929" s="3" t="s">
        <v>614</v>
      </c>
      <c r="E20929" s="3" t="s">
        <v>118</v>
      </c>
      <c r="F20929" s="7">
        <v>46149.49490427063</v>
      </c>
      <c r="G20929" s="3" t="s">
        <v>8808</v>
      </c>
    </row>
    <row r="20930">
      <c r="A20930" s="3" t="s">
        <v>37187</v>
      </c>
      <c r="B20930" s="3" t="s">
        <v>17374</v>
      </c>
      <c r="C20930" s="5" t="s">
        <v>614</v>
      </c>
      <c r="D20930" s="3" t="s">
        <v>206</v>
      </c>
      <c r="E20930" s="3" t="s">
        <v>100</v>
      </c>
      <c r="F20930" s="7">
        <v>46149.498376492855</v>
      </c>
      <c r="G20930" s="3" t="s">
        <v>8811</v>
      </c>
    </row>
    <row r="20931">
      <c r="A20931" s="3" t="s">
        <v>37188</v>
      </c>
      <c r="B20931" s="3" t="s">
        <v>17374</v>
      </c>
      <c r="C20931" s="5" t="s">
        <v>206</v>
      </c>
      <c r="D20931" s="3" t="s">
        <v>68</v>
      </c>
      <c r="E20931" s="3" t="s">
        <v>100</v>
      </c>
      <c r="F20931" s="7">
        <v>46149.501848715074</v>
      </c>
      <c r="G20931" s="3" t="s">
        <v>8813</v>
      </c>
    </row>
    <row r="20932">
      <c r="A20932" s="3" t="s">
        <v>37189</v>
      </c>
      <c r="B20932" s="3" t="s">
        <v>17378</v>
      </c>
      <c r="C20932" s="5" t="s">
        <v>45</v>
      </c>
      <c r="D20932" s="3" t="s">
        <v>221</v>
      </c>
      <c r="E20932" s="3" t="s">
        <v>895</v>
      </c>
      <c r="F20932" s="7">
        <v>46149.56260689383</v>
      </c>
      <c r="G20932" s="3" t="s">
        <v>17058</v>
      </c>
    </row>
    <row r="20933">
      <c r="A20933" s="3" t="s">
        <v>37190</v>
      </c>
      <c r="B20933" s="3" t="s">
        <v>17378</v>
      </c>
      <c r="C20933" s="5" t="s">
        <v>221</v>
      </c>
      <c r="D20933" s="3" t="s">
        <v>614</v>
      </c>
      <c r="E20933" s="3" t="s">
        <v>118</v>
      </c>
      <c r="F20933" s="7">
        <v>46149.56607911605</v>
      </c>
      <c r="G20933" s="3" t="s">
        <v>17061</v>
      </c>
    </row>
    <row r="20934">
      <c r="A20934" s="3" t="s">
        <v>37191</v>
      </c>
      <c r="B20934" s="3" t="s">
        <v>17378</v>
      </c>
      <c r="C20934" s="5" t="s">
        <v>614</v>
      </c>
      <c r="D20934" s="3" t="s">
        <v>206</v>
      </c>
      <c r="E20934" s="3" t="s">
        <v>100</v>
      </c>
      <c r="F20934" s="7">
        <v>46149.569551338274</v>
      </c>
      <c r="G20934" s="3" t="s">
        <v>17064</v>
      </c>
    </row>
    <row r="20935">
      <c r="A20935" s="3" t="s">
        <v>37192</v>
      </c>
      <c r="B20935" s="3" t="s">
        <v>17378</v>
      </c>
      <c r="C20935" s="5" t="s">
        <v>206</v>
      </c>
      <c r="D20935" s="3" t="s">
        <v>68</v>
      </c>
      <c r="E20935" s="3" t="s">
        <v>100</v>
      </c>
      <c r="F20935" s="7">
        <v>46149.57302356049</v>
      </c>
      <c r="G20935" s="3" t="s">
        <v>17067</v>
      </c>
    </row>
    <row r="20936">
      <c r="A20936" s="3" t="s">
        <v>37193</v>
      </c>
      <c r="B20936" s="3" t="s">
        <v>17381</v>
      </c>
      <c r="C20936" s="5" t="s">
        <v>45</v>
      </c>
      <c r="D20936" s="3" t="s">
        <v>221</v>
      </c>
      <c r="E20936" s="3" t="s">
        <v>742</v>
      </c>
      <c r="F20936" s="7">
        <v>46149.63378173924</v>
      </c>
      <c r="G20936" s="3" t="s">
        <v>29330</v>
      </c>
    </row>
    <row r="20937">
      <c r="A20937" s="3" t="s">
        <v>37194</v>
      </c>
      <c r="B20937" s="3" t="s">
        <v>17381</v>
      </c>
      <c r="C20937" s="5" t="s">
        <v>221</v>
      </c>
      <c r="D20937" s="3" t="s">
        <v>614</v>
      </c>
      <c r="E20937" s="3" t="s">
        <v>118</v>
      </c>
      <c r="F20937" s="7">
        <v>46149.63725396146</v>
      </c>
      <c r="G20937" s="3" t="s">
        <v>29332</v>
      </c>
    </row>
    <row r="20938">
      <c r="A20938" s="3" t="s">
        <v>37195</v>
      </c>
      <c r="B20938" s="3" t="s">
        <v>17381</v>
      </c>
      <c r="C20938" s="5" t="s">
        <v>614</v>
      </c>
      <c r="D20938" s="3" t="s">
        <v>206</v>
      </c>
      <c r="E20938" s="3" t="s">
        <v>100</v>
      </c>
      <c r="F20938" s="7">
        <v>46149.64072618369</v>
      </c>
      <c r="G20938" s="3" t="s">
        <v>29334</v>
      </c>
    </row>
    <row r="20939">
      <c r="A20939" s="3" t="s">
        <v>37196</v>
      </c>
      <c r="B20939" s="3" t="s">
        <v>17381</v>
      </c>
      <c r="C20939" s="5" t="s">
        <v>206</v>
      </c>
      <c r="D20939" s="3" t="s">
        <v>68</v>
      </c>
      <c r="E20939" s="3" t="s">
        <v>100</v>
      </c>
      <c r="F20939" s="7">
        <v>46149.644198405906</v>
      </c>
      <c r="G20939" s="3" t="s">
        <v>29336</v>
      </c>
    </row>
    <row r="20940">
      <c r="A20940" s="3" t="s">
        <v>37197</v>
      </c>
      <c r="B20940" s="3" t="s">
        <v>17384</v>
      </c>
      <c r="C20940" s="5" t="s">
        <v>45</v>
      </c>
      <c r="D20940" s="3" t="s">
        <v>221</v>
      </c>
      <c r="E20940" s="3" t="s">
        <v>600</v>
      </c>
      <c r="F20940" s="7">
        <v>46149.70495658466</v>
      </c>
      <c r="G20940" s="3" t="s">
        <v>29555</v>
      </c>
    </row>
    <row r="20941">
      <c r="A20941" s="3" t="s">
        <v>37198</v>
      </c>
      <c r="B20941" s="3" t="s">
        <v>17384</v>
      </c>
      <c r="C20941" s="5" t="s">
        <v>221</v>
      </c>
      <c r="D20941" s="3" t="s">
        <v>614</v>
      </c>
      <c r="E20941" s="3" t="s">
        <v>118</v>
      </c>
      <c r="F20941" s="7">
        <v>46149.70842880688</v>
      </c>
      <c r="G20941" s="3" t="s">
        <v>29557</v>
      </c>
    </row>
    <row r="20942">
      <c r="A20942" s="3" t="s">
        <v>37199</v>
      </c>
      <c r="B20942" s="3" t="s">
        <v>17384</v>
      </c>
      <c r="C20942" s="5" t="s">
        <v>614</v>
      </c>
      <c r="D20942" s="3" t="s">
        <v>206</v>
      </c>
      <c r="E20942" s="3" t="s">
        <v>100</v>
      </c>
      <c r="F20942" s="7">
        <v>46149.711901029106</v>
      </c>
      <c r="G20942" s="3" t="s">
        <v>29559</v>
      </c>
    </row>
    <row r="20943">
      <c r="A20943" s="3" t="s">
        <v>37200</v>
      </c>
      <c r="B20943" s="3" t="s">
        <v>17384</v>
      </c>
      <c r="C20943" s="5" t="s">
        <v>206</v>
      </c>
      <c r="D20943" s="3" t="s">
        <v>68</v>
      </c>
      <c r="E20943" s="3" t="s">
        <v>100</v>
      </c>
      <c r="F20943" s="7">
        <v>46149.715373251325</v>
      </c>
      <c r="G20943" s="3" t="s">
        <v>29561</v>
      </c>
    </row>
    <row r="20944">
      <c r="A20944" s="3" t="s">
        <v>37201</v>
      </c>
      <c r="B20944" s="3" t="s">
        <v>17387</v>
      </c>
      <c r="C20944" s="5" t="s">
        <v>45</v>
      </c>
      <c r="D20944" s="3" t="s">
        <v>221</v>
      </c>
      <c r="E20944" s="3" t="s">
        <v>591</v>
      </c>
      <c r="F20944" s="7">
        <v>46149.77613143007</v>
      </c>
      <c r="G20944" s="3" t="s">
        <v>23230</v>
      </c>
    </row>
    <row r="20945">
      <c r="A20945" s="3" t="s">
        <v>37202</v>
      </c>
      <c r="B20945" s="3" t="s">
        <v>17387</v>
      </c>
      <c r="C20945" s="5" t="s">
        <v>221</v>
      </c>
      <c r="D20945" s="3" t="s">
        <v>195</v>
      </c>
      <c r="E20945" s="3" t="s">
        <v>591</v>
      </c>
      <c r="F20945" s="7">
        <v>46149.77960365229</v>
      </c>
      <c r="G20945" s="3" t="s">
        <v>37203</v>
      </c>
    </row>
    <row r="20946">
      <c r="A20946" s="3" t="s">
        <v>37204</v>
      </c>
      <c r="B20946" s="3" t="s">
        <v>17390</v>
      </c>
      <c r="C20946" s="5" t="s">
        <v>45</v>
      </c>
      <c r="D20946" s="3" t="s">
        <v>221</v>
      </c>
      <c r="E20946" s="3" t="s">
        <v>363</v>
      </c>
      <c r="F20946" s="7">
        <v>46149.847306275486</v>
      </c>
      <c r="G20946" s="3" t="s">
        <v>26072</v>
      </c>
    </row>
    <row r="20947">
      <c r="A20947" s="3" t="s">
        <v>37205</v>
      </c>
      <c r="B20947" s="3" t="s">
        <v>17390</v>
      </c>
      <c r="C20947" s="5" t="s">
        <v>221</v>
      </c>
      <c r="D20947" s="3" t="s">
        <v>614</v>
      </c>
      <c r="E20947" s="3" t="s">
        <v>118</v>
      </c>
      <c r="F20947" s="7">
        <v>46149.850778497705</v>
      </c>
      <c r="G20947" s="3" t="s">
        <v>26074</v>
      </c>
    </row>
    <row r="20948">
      <c r="A20948" s="3" t="s">
        <v>37206</v>
      </c>
      <c r="B20948" s="3" t="s">
        <v>17390</v>
      </c>
      <c r="C20948" s="5" t="s">
        <v>614</v>
      </c>
      <c r="D20948" s="3" t="s">
        <v>206</v>
      </c>
      <c r="E20948" s="3" t="s">
        <v>100</v>
      </c>
      <c r="F20948" s="7">
        <v>46149.85425071993</v>
      </c>
      <c r="G20948" s="3" t="s">
        <v>26076</v>
      </c>
    </row>
    <row r="20949">
      <c r="A20949" s="3" t="s">
        <v>37207</v>
      </c>
      <c r="B20949" s="3" t="s">
        <v>17390</v>
      </c>
      <c r="C20949" s="5" t="s">
        <v>206</v>
      </c>
      <c r="D20949" s="3" t="s">
        <v>68</v>
      </c>
      <c r="E20949" s="3" t="s">
        <v>100</v>
      </c>
      <c r="F20949" s="7">
        <v>46149.85772294215</v>
      </c>
      <c r="G20949" s="3" t="s">
        <v>26078</v>
      </c>
    </row>
    <row r="20950">
      <c r="A20950" s="3" t="s">
        <v>37208</v>
      </c>
      <c r="B20950" s="3" t="s">
        <v>17394</v>
      </c>
      <c r="C20950" s="5" t="s">
        <v>45</v>
      </c>
      <c r="D20950" s="3" t="s">
        <v>221</v>
      </c>
      <c r="E20950" s="3" t="s">
        <v>496</v>
      </c>
      <c r="F20950" s="7">
        <v>46149.918481120905</v>
      </c>
      <c r="G20950" s="3" t="s">
        <v>24833</v>
      </c>
    </row>
    <row r="20951">
      <c r="A20951" s="3" t="s">
        <v>37209</v>
      </c>
      <c r="B20951" s="3" t="s">
        <v>17394</v>
      </c>
      <c r="C20951" s="5" t="s">
        <v>221</v>
      </c>
      <c r="D20951" s="3" t="s">
        <v>614</v>
      </c>
      <c r="E20951" s="3" t="s">
        <v>118</v>
      </c>
      <c r="F20951" s="7">
        <v>46149.921953343124</v>
      </c>
      <c r="G20951" s="3" t="s">
        <v>24835</v>
      </c>
    </row>
    <row r="20952">
      <c r="A20952" s="3" t="s">
        <v>37210</v>
      </c>
      <c r="B20952" s="3" t="s">
        <v>17394</v>
      </c>
      <c r="C20952" s="5" t="s">
        <v>614</v>
      </c>
      <c r="D20952" s="3" t="s">
        <v>206</v>
      </c>
      <c r="E20952" s="3" t="s">
        <v>100</v>
      </c>
      <c r="F20952" s="7">
        <v>46149.92542556535</v>
      </c>
      <c r="G20952" s="3" t="s">
        <v>24837</v>
      </c>
    </row>
    <row r="20953">
      <c r="A20953" s="3" t="s">
        <v>37211</v>
      </c>
      <c r="B20953" s="3" t="s">
        <v>17394</v>
      </c>
      <c r="C20953" s="5" t="s">
        <v>206</v>
      </c>
      <c r="D20953" s="3" t="s">
        <v>68</v>
      </c>
      <c r="E20953" s="3" t="s">
        <v>100</v>
      </c>
      <c r="F20953" s="7">
        <v>46149.92889778757</v>
      </c>
      <c r="G20953" s="3" t="s">
        <v>24839</v>
      </c>
    </row>
    <row r="20954">
      <c r="A20954" s="3" t="s">
        <v>37212</v>
      </c>
      <c r="B20954" s="3" t="s">
        <v>17398</v>
      </c>
      <c r="C20954" s="5" t="s">
        <v>45</v>
      </c>
      <c r="D20954" s="3" t="s">
        <v>221</v>
      </c>
      <c r="E20954" s="3" t="s">
        <v>208</v>
      </c>
      <c r="F20954" s="7">
        <v>46149.98965596632</v>
      </c>
      <c r="G20954" s="3" t="s">
        <v>19961</v>
      </c>
    </row>
    <row r="20955">
      <c r="A20955" s="3" t="s">
        <v>37213</v>
      </c>
      <c r="B20955" s="3" t="s">
        <v>17398</v>
      </c>
      <c r="C20955" s="5" t="s">
        <v>221</v>
      </c>
      <c r="D20955" s="3" t="s">
        <v>614</v>
      </c>
      <c r="E20955" s="3" t="s">
        <v>118</v>
      </c>
      <c r="F20955" s="7">
        <v>46149.99312818854</v>
      </c>
      <c r="G20955" s="3" t="s">
        <v>19964</v>
      </c>
    </row>
    <row r="20956">
      <c r="A20956" s="3" t="s">
        <v>37214</v>
      </c>
      <c r="B20956" s="3" t="s">
        <v>17398</v>
      </c>
      <c r="C20956" s="5" t="s">
        <v>614</v>
      </c>
      <c r="D20956" s="3" t="s">
        <v>206</v>
      </c>
      <c r="E20956" s="3" t="s">
        <v>100</v>
      </c>
      <c r="F20956" s="7">
        <v>46149.99660041076</v>
      </c>
      <c r="G20956" s="3" t="s">
        <v>19966</v>
      </c>
    </row>
    <row r="20957">
      <c r="A20957" s="3" t="s">
        <v>37215</v>
      </c>
      <c r="B20957" s="3" t="s">
        <v>17398</v>
      </c>
      <c r="C20957" s="5" t="s">
        <v>206</v>
      </c>
      <c r="D20957" s="3" t="s">
        <v>68</v>
      </c>
      <c r="E20957" s="3" t="s">
        <v>100</v>
      </c>
      <c r="F20957" s="7">
        <v>46150.00007263298</v>
      </c>
      <c r="G20957" s="3" t="s">
        <v>19969</v>
      </c>
    </row>
    <row r="20958">
      <c r="A20958" s="3" t="s">
        <v>37216</v>
      </c>
      <c r="B20958" s="3" t="s">
        <v>17399</v>
      </c>
      <c r="C20958" s="5" t="s">
        <v>45</v>
      </c>
      <c r="D20958" s="3" t="s">
        <v>221</v>
      </c>
      <c r="E20958" s="3" t="s">
        <v>949</v>
      </c>
      <c r="F20958" s="7">
        <v>46150.06083081173</v>
      </c>
      <c r="G20958" s="3" t="s">
        <v>37003</v>
      </c>
    </row>
    <row r="20959">
      <c r="A20959" s="3" t="s">
        <v>37217</v>
      </c>
      <c r="B20959" s="3" t="s">
        <v>17399</v>
      </c>
      <c r="C20959" s="5" t="s">
        <v>221</v>
      </c>
      <c r="D20959" s="3" t="s">
        <v>614</v>
      </c>
      <c r="E20959" s="3" t="s">
        <v>118</v>
      </c>
      <c r="F20959" s="7">
        <v>46150.06430303395</v>
      </c>
      <c r="G20959" s="3" t="s">
        <v>37005</v>
      </c>
    </row>
    <row r="20960">
      <c r="A20960" s="3" t="s">
        <v>37218</v>
      </c>
      <c r="B20960" s="3" t="s">
        <v>17399</v>
      </c>
      <c r="C20960" s="5" t="s">
        <v>614</v>
      </c>
      <c r="D20960" s="3" t="s">
        <v>206</v>
      </c>
      <c r="E20960" s="3" t="s">
        <v>100</v>
      </c>
      <c r="F20960" s="7">
        <v>46150.067775256175</v>
      </c>
      <c r="G20960" s="3" t="s">
        <v>37007</v>
      </c>
    </row>
    <row r="20961">
      <c r="A20961" s="3" t="s">
        <v>37219</v>
      </c>
      <c r="B20961" s="3" t="s">
        <v>17399</v>
      </c>
      <c r="C20961" s="5" t="s">
        <v>206</v>
      </c>
      <c r="D20961" s="3" t="s">
        <v>68</v>
      </c>
      <c r="E20961" s="3" t="s">
        <v>100</v>
      </c>
      <c r="F20961" s="7">
        <v>46150.071247478394</v>
      </c>
      <c r="G20961" s="3" t="s">
        <v>37009</v>
      </c>
    </row>
    <row r="20962">
      <c r="A20962" s="3" t="s">
        <v>37220</v>
      </c>
      <c r="B20962" s="3" t="s">
        <v>17400</v>
      </c>
      <c r="C20962" s="5" t="s">
        <v>45</v>
      </c>
      <c r="D20962" s="3" t="s">
        <v>221</v>
      </c>
      <c r="E20962" s="3" t="s">
        <v>908</v>
      </c>
      <c r="F20962" s="7">
        <v>46150.13200565715</v>
      </c>
      <c r="G20962" s="3" t="s">
        <v>12142</v>
      </c>
    </row>
    <row r="20963">
      <c r="A20963" s="3" t="s">
        <v>37221</v>
      </c>
      <c r="B20963" s="3" t="s">
        <v>17400</v>
      </c>
      <c r="C20963" s="5" t="s">
        <v>221</v>
      </c>
      <c r="D20963" s="3" t="s">
        <v>614</v>
      </c>
      <c r="E20963" s="3" t="s">
        <v>118</v>
      </c>
      <c r="F20963" s="7">
        <v>46150.13547787937</v>
      </c>
      <c r="G20963" s="3" t="s">
        <v>12145</v>
      </c>
    </row>
    <row r="20964">
      <c r="A20964" s="3" t="s">
        <v>37222</v>
      </c>
      <c r="B20964" s="3" t="s">
        <v>17400</v>
      </c>
      <c r="C20964" s="5" t="s">
        <v>614</v>
      </c>
      <c r="D20964" s="3" t="s">
        <v>206</v>
      </c>
      <c r="E20964" s="3" t="s">
        <v>100</v>
      </c>
      <c r="F20964" s="7">
        <v>46150.138950101595</v>
      </c>
      <c r="G20964" s="3" t="s">
        <v>12148</v>
      </c>
    </row>
    <row r="20965">
      <c r="A20965" s="3" t="s">
        <v>37223</v>
      </c>
      <c r="B20965" s="3" t="s">
        <v>17400</v>
      </c>
      <c r="C20965" s="5" t="s">
        <v>206</v>
      </c>
      <c r="D20965" s="3" t="s">
        <v>68</v>
      </c>
      <c r="E20965" s="3" t="s">
        <v>100</v>
      </c>
      <c r="F20965" s="7">
        <v>46150.142422323814</v>
      </c>
      <c r="G20965" s="3" t="s">
        <v>12151</v>
      </c>
    </row>
    <row r="20966">
      <c r="A20966" s="3" t="s">
        <v>37224</v>
      </c>
      <c r="B20966" s="3" t="s">
        <v>17403</v>
      </c>
      <c r="C20966" s="5" t="s">
        <v>45</v>
      </c>
      <c r="D20966" s="3" t="s">
        <v>221</v>
      </c>
      <c r="E20966" s="3" t="s">
        <v>643</v>
      </c>
      <c r="F20966" s="7">
        <v>46150.20318050256</v>
      </c>
      <c r="G20966" s="3" t="s">
        <v>10975</v>
      </c>
    </row>
    <row r="20967">
      <c r="A20967" s="3" t="s">
        <v>37225</v>
      </c>
      <c r="B20967" s="3" t="s">
        <v>17403</v>
      </c>
      <c r="C20967" s="5" t="s">
        <v>221</v>
      </c>
      <c r="D20967" s="3" t="s">
        <v>614</v>
      </c>
      <c r="E20967" s="3" t="s">
        <v>118</v>
      </c>
      <c r="F20967" s="7">
        <v>46150.20665272478</v>
      </c>
      <c r="G20967" s="3" t="s">
        <v>10978</v>
      </c>
    </row>
    <row r="20968">
      <c r="A20968" s="3" t="s">
        <v>37226</v>
      </c>
      <c r="B20968" s="3" t="s">
        <v>17403</v>
      </c>
      <c r="C20968" s="5" t="s">
        <v>614</v>
      </c>
      <c r="D20968" s="3" t="s">
        <v>206</v>
      </c>
      <c r="E20968" s="3" t="s">
        <v>100</v>
      </c>
      <c r="F20968" s="7">
        <v>46150.21012494701</v>
      </c>
      <c r="G20968" s="3" t="s">
        <v>10981</v>
      </c>
    </row>
    <row r="20969">
      <c r="A20969" s="3" t="s">
        <v>37227</v>
      </c>
      <c r="B20969" s="3" t="s">
        <v>17403</v>
      </c>
      <c r="C20969" s="5" t="s">
        <v>206</v>
      </c>
      <c r="D20969" s="3" t="s">
        <v>68</v>
      </c>
      <c r="E20969" s="3" t="s">
        <v>100</v>
      </c>
      <c r="F20969" s="7">
        <v>46150.213597169226</v>
      </c>
      <c r="G20969" s="3" t="s">
        <v>10984</v>
      </c>
    </row>
    <row r="20970">
      <c r="A20970" s="3" t="s">
        <v>37228</v>
      </c>
      <c r="B20970" s="3" t="s">
        <v>17406</v>
      </c>
      <c r="C20970" s="5" t="s">
        <v>45</v>
      </c>
      <c r="D20970" s="3" t="s">
        <v>221</v>
      </c>
      <c r="E20970" s="3" t="s">
        <v>1021</v>
      </c>
      <c r="F20970" s="7">
        <v>46150.274355347974</v>
      </c>
      <c r="G20970" s="3" t="s">
        <v>17401</v>
      </c>
    </row>
    <row r="20971">
      <c r="A20971" s="3" t="s">
        <v>37229</v>
      </c>
      <c r="B20971" s="3" t="s">
        <v>17406</v>
      </c>
      <c r="C20971" s="5" t="s">
        <v>221</v>
      </c>
      <c r="D20971" s="3" t="s">
        <v>614</v>
      </c>
      <c r="E20971" s="3" t="s">
        <v>118</v>
      </c>
      <c r="F20971" s="7">
        <v>46150.27782757019</v>
      </c>
      <c r="G20971" s="3" t="s">
        <v>17404</v>
      </c>
    </row>
    <row r="20972">
      <c r="A20972" s="3" t="s">
        <v>37230</v>
      </c>
      <c r="B20972" s="3" t="s">
        <v>17406</v>
      </c>
      <c r="C20972" s="5" t="s">
        <v>614</v>
      </c>
      <c r="D20972" s="3" t="s">
        <v>206</v>
      </c>
      <c r="E20972" s="3" t="s">
        <v>100</v>
      </c>
      <c r="F20972" s="7">
        <v>46150.28129979242</v>
      </c>
      <c r="G20972" s="3" t="s">
        <v>17407</v>
      </c>
    </row>
    <row r="20973">
      <c r="A20973" s="3" t="s">
        <v>37231</v>
      </c>
      <c r="B20973" s="3" t="s">
        <v>17406</v>
      </c>
      <c r="C20973" s="5" t="s">
        <v>206</v>
      </c>
      <c r="D20973" s="3" t="s">
        <v>68</v>
      </c>
      <c r="E20973" s="3" t="s">
        <v>100</v>
      </c>
      <c r="F20973" s="7">
        <v>46150.28477201464</v>
      </c>
      <c r="G20973" s="3" t="s">
        <v>17410</v>
      </c>
    </row>
    <row r="20974">
      <c r="A20974" s="3" t="s">
        <v>37232</v>
      </c>
      <c r="B20974" s="3" t="s">
        <v>17409</v>
      </c>
      <c r="C20974" s="5" t="s">
        <v>45</v>
      </c>
      <c r="D20974" s="3" t="s">
        <v>221</v>
      </c>
      <c r="E20974" s="3" t="s">
        <v>629</v>
      </c>
      <c r="F20974" s="7">
        <v>46150.345530193394</v>
      </c>
      <c r="G20974" s="3" t="s">
        <v>16955</v>
      </c>
    </row>
    <row r="20975">
      <c r="A20975" s="3" t="s">
        <v>37233</v>
      </c>
      <c r="B20975" s="3" t="s">
        <v>17409</v>
      </c>
      <c r="C20975" s="5" t="s">
        <v>221</v>
      </c>
      <c r="D20975" s="3" t="s">
        <v>614</v>
      </c>
      <c r="E20975" s="3" t="s">
        <v>118</v>
      </c>
      <c r="F20975" s="7">
        <v>46150.34900241561</v>
      </c>
      <c r="G20975" s="3" t="s">
        <v>27739</v>
      </c>
    </row>
    <row r="20976">
      <c r="A20976" s="3" t="s">
        <v>37234</v>
      </c>
      <c r="B20976" s="3" t="s">
        <v>17409</v>
      </c>
      <c r="C20976" s="5" t="s">
        <v>614</v>
      </c>
      <c r="D20976" s="3" t="s">
        <v>206</v>
      </c>
      <c r="E20976" s="3" t="s">
        <v>100</v>
      </c>
      <c r="F20976" s="7">
        <v>46150.35247463784</v>
      </c>
      <c r="G20976" s="3" t="s">
        <v>27741</v>
      </c>
    </row>
    <row r="20977">
      <c r="A20977" s="3" t="s">
        <v>37235</v>
      </c>
      <c r="B20977" s="3" t="s">
        <v>17409</v>
      </c>
      <c r="C20977" s="5" t="s">
        <v>206</v>
      </c>
      <c r="D20977" s="3" t="s">
        <v>68</v>
      </c>
      <c r="E20977" s="3" t="s">
        <v>100</v>
      </c>
      <c r="F20977" s="7">
        <v>46150.35594686006</v>
      </c>
      <c r="G20977" s="3" t="s">
        <v>27743</v>
      </c>
    </row>
    <row r="20978">
      <c r="A20978" s="3" t="s">
        <v>37236</v>
      </c>
      <c r="B20978" s="3" t="s">
        <v>17412</v>
      </c>
      <c r="C20978" s="5" t="s">
        <v>45</v>
      </c>
      <c r="D20978" s="3" t="s">
        <v>221</v>
      </c>
      <c r="E20978" s="3" t="s">
        <v>330</v>
      </c>
      <c r="F20978" s="7">
        <v>46150.41670503881</v>
      </c>
      <c r="G20978" s="3" t="s">
        <v>34746</v>
      </c>
    </row>
    <row r="20979">
      <c r="A20979" s="3" t="s">
        <v>37237</v>
      </c>
      <c r="B20979" s="3" t="s">
        <v>17412</v>
      </c>
      <c r="C20979" s="5" t="s">
        <v>221</v>
      </c>
      <c r="D20979" s="3" t="s">
        <v>614</v>
      </c>
      <c r="E20979" s="3" t="s">
        <v>118</v>
      </c>
      <c r="F20979" s="7">
        <v>46150.42017726103</v>
      </c>
      <c r="G20979" s="3" t="s">
        <v>34748</v>
      </c>
    </row>
    <row r="20980">
      <c r="A20980" s="3" t="s">
        <v>37238</v>
      </c>
      <c r="B20980" s="3" t="s">
        <v>17412</v>
      </c>
      <c r="C20980" s="5" t="s">
        <v>614</v>
      </c>
      <c r="D20980" s="3" t="s">
        <v>206</v>
      </c>
      <c r="E20980" s="3" t="s">
        <v>100</v>
      </c>
      <c r="F20980" s="7">
        <v>46150.42364948326</v>
      </c>
      <c r="G20980" s="3" t="s">
        <v>34750</v>
      </c>
    </row>
    <row r="20981">
      <c r="A20981" s="3" t="s">
        <v>37239</v>
      </c>
      <c r="B20981" s="3" t="s">
        <v>17412</v>
      </c>
      <c r="C20981" s="5" t="s">
        <v>206</v>
      </c>
      <c r="D20981" s="3" t="s">
        <v>68</v>
      </c>
      <c r="E20981" s="3" t="s">
        <v>100</v>
      </c>
      <c r="F20981" s="7">
        <v>46150.42712170548</v>
      </c>
      <c r="G20981" s="3" t="s">
        <v>34752</v>
      </c>
    </row>
    <row r="20982">
      <c r="A20982" s="3" t="s">
        <v>37240</v>
      </c>
      <c r="B20982" s="3" t="s">
        <v>17417</v>
      </c>
      <c r="C20982" s="5" t="s">
        <v>45</v>
      </c>
      <c r="D20982" s="3" t="s">
        <v>221</v>
      </c>
      <c r="E20982" s="3" t="s">
        <v>430</v>
      </c>
      <c r="F20982" s="7">
        <v>46150.48787988422</v>
      </c>
      <c r="G20982" s="3" t="s">
        <v>19424</v>
      </c>
    </row>
    <row r="20983">
      <c r="A20983" s="3" t="s">
        <v>37241</v>
      </c>
      <c r="B20983" s="3" t="s">
        <v>17417</v>
      </c>
      <c r="C20983" s="5" t="s">
        <v>221</v>
      </c>
      <c r="D20983" s="3" t="s">
        <v>614</v>
      </c>
      <c r="E20983" s="3" t="s">
        <v>118</v>
      </c>
      <c r="F20983" s="7">
        <v>46150.49135210644</v>
      </c>
      <c r="G20983" s="3" t="s">
        <v>19427</v>
      </c>
    </row>
    <row r="20984">
      <c r="A20984" s="3" t="s">
        <v>37242</v>
      </c>
      <c r="B20984" s="3" t="s">
        <v>17417</v>
      </c>
      <c r="C20984" s="5" t="s">
        <v>614</v>
      </c>
      <c r="D20984" s="3" t="s">
        <v>206</v>
      </c>
      <c r="E20984" s="3" t="s">
        <v>100</v>
      </c>
      <c r="F20984" s="7">
        <v>46150.49482432866</v>
      </c>
      <c r="G20984" s="3" t="s">
        <v>19430</v>
      </c>
    </row>
    <row r="20985">
      <c r="A20985" s="3" t="s">
        <v>37243</v>
      </c>
      <c r="B20985" s="3" t="s">
        <v>17417</v>
      </c>
      <c r="C20985" s="5" t="s">
        <v>206</v>
      </c>
      <c r="D20985" s="3" t="s">
        <v>68</v>
      </c>
      <c r="E20985" s="3" t="s">
        <v>100</v>
      </c>
      <c r="F20985" s="7">
        <v>46150.49829655088</v>
      </c>
      <c r="G20985" s="3" t="s">
        <v>19432</v>
      </c>
    </row>
    <row r="20986">
      <c r="A20986" s="3" t="s">
        <v>37244</v>
      </c>
      <c r="B20986" s="3" t="s">
        <v>17420</v>
      </c>
      <c r="C20986" s="5" t="s">
        <v>45</v>
      </c>
      <c r="D20986" s="3" t="s">
        <v>221</v>
      </c>
      <c r="E20986" s="3" t="s">
        <v>293</v>
      </c>
      <c r="F20986" s="7">
        <v>46150.55905472964</v>
      </c>
      <c r="G20986" s="3" t="s">
        <v>2746</v>
      </c>
    </row>
    <row r="20987">
      <c r="A20987" s="3" t="s">
        <v>37245</v>
      </c>
      <c r="B20987" s="3" t="s">
        <v>17420</v>
      </c>
      <c r="C20987" s="5" t="s">
        <v>221</v>
      </c>
      <c r="D20987" s="3" t="s">
        <v>614</v>
      </c>
      <c r="E20987" s="3" t="s">
        <v>118</v>
      </c>
      <c r="F20987" s="7">
        <v>46150.56252695186</v>
      </c>
      <c r="G20987" s="3" t="s">
        <v>2749</v>
      </c>
    </row>
    <row r="20988">
      <c r="A20988" s="3" t="s">
        <v>37246</v>
      </c>
      <c r="B20988" s="3" t="s">
        <v>17420</v>
      </c>
      <c r="C20988" s="5" t="s">
        <v>614</v>
      </c>
      <c r="D20988" s="3" t="s">
        <v>206</v>
      </c>
      <c r="E20988" s="3" t="s">
        <v>100</v>
      </c>
      <c r="F20988" s="7">
        <v>46150.56599917408</v>
      </c>
      <c r="G20988" s="3" t="s">
        <v>2752</v>
      </c>
    </row>
    <row r="20989">
      <c r="A20989" s="3" t="s">
        <v>37247</v>
      </c>
      <c r="B20989" s="3" t="s">
        <v>17420</v>
      </c>
      <c r="C20989" s="5" t="s">
        <v>206</v>
      </c>
      <c r="D20989" s="3" t="s">
        <v>68</v>
      </c>
      <c r="E20989" s="3" t="s">
        <v>100</v>
      </c>
      <c r="F20989" s="7">
        <v>46150.5694713963</v>
      </c>
      <c r="G20989" s="3" t="s">
        <v>2755</v>
      </c>
    </row>
    <row r="20990">
      <c r="A20990" s="3" t="s">
        <v>37248</v>
      </c>
      <c r="B20990" s="3" t="s">
        <v>17423</v>
      </c>
      <c r="C20990" s="5" t="s">
        <v>45</v>
      </c>
      <c r="D20990" s="3" t="s">
        <v>221</v>
      </c>
      <c r="E20990" s="3" t="s">
        <v>505</v>
      </c>
      <c r="F20990" s="7">
        <v>46150.63022957506</v>
      </c>
      <c r="G20990" s="3" t="s">
        <v>2770</v>
      </c>
    </row>
    <row r="20991">
      <c r="A20991" s="3" t="s">
        <v>37249</v>
      </c>
      <c r="B20991" s="3" t="s">
        <v>17423</v>
      </c>
      <c r="C20991" s="5" t="s">
        <v>221</v>
      </c>
      <c r="D20991" s="3" t="s">
        <v>181</v>
      </c>
      <c r="E20991" s="3" t="s">
        <v>118</v>
      </c>
      <c r="F20991" s="7">
        <v>46150.63370179728</v>
      </c>
      <c r="G20991" s="3" t="s">
        <v>2774</v>
      </c>
    </row>
    <row r="20992">
      <c r="A20992" s="3" t="s">
        <v>37250</v>
      </c>
      <c r="B20992" s="3" t="s">
        <v>17425</v>
      </c>
      <c r="C20992" s="5" t="s">
        <v>45</v>
      </c>
      <c r="D20992" s="3" t="s">
        <v>221</v>
      </c>
      <c r="E20992" s="3" t="s">
        <v>481</v>
      </c>
      <c r="F20992" s="7">
        <v>46150.70140442047</v>
      </c>
      <c r="G20992" s="3" t="s">
        <v>2758</v>
      </c>
    </row>
    <row r="20993">
      <c r="A20993" s="3" t="s">
        <v>37251</v>
      </c>
      <c r="B20993" s="3" t="s">
        <v>17425</v>
      </c>
      <c r="C20993" s="5" t="s">
        <v>221</v>
      </c>
      <c r="D20993" s="3" t="s">
        <v>614</v>
      </c>
      <c r="E20993" s="3" t="s">
        <v>118</v>
      </c>
      <c r="F20993" s="7">
        <v>46150.70487664269</v>
      </c>
      <c r="G20993" s="3" t="s">
        <v>2762</v>
      </c>
    </row>
    <row r="20994">
      <c r="A20994" s="3" t="s">
        <v>37252</v>
      </c>
      <c r="B20994" s="3" t="s">
        <v>17425</v>
      </c>
      <c r="C20994" s="5" t="s">
        <v>614</v>
      </c>
      <c r="D20994" s="3" t="s">
        <v>206</v>
      </c>
      <c r="E20994" s="3" t="s">
        <v>100</v>
      </c>
      <c r="F20994" s="7">
        <v>46150.708348864915</v>
      </c>
      <c r="G20994" s="3" t="s">
        <v>2765</v>
      </c>
    </row>
    <row r="20995">
      <c r="A20995" s="3" t="s">
        <v>37253</v>
      </c>
      <c r="B20995" s="3" t="s">
        <v>17425</v>
      </c>
      <c r="C20995" s="5" t="s">
        <v>206</v>
      </c>
      <c r="D20995" s="3" t="s">
        <v>68</v>
      </c>
      <c r="E20995" s="3" t="s">
        <v>100</v>
      </c>
      <c r="F20995" s="7">
        <v>46150.711821087134</v>
      </c>
      <c r="G20995" s="3" t="s">
        <v>2767</v>
      </c>
    </row>
    <row r="20996">
      <c r="A20996" s="3" t="s">
        <v>37254</v>
      </c>
      <c r="B20996" s="3" t="s">
        <v>17427</v>
      </c>
      <c r="C20996" s="5" t="s">
        <v>45</v>
      </c>
      <c r="D20996" s="3" t="s">
        <v>221</v>
      </c>
      <c r="E20996" s="3" t="s">
        <v>547</v>
      </c>
      <c r="F20996" s="7">
        <v>46150.77257926588</v>
      </c>
      <c r="G20996" s="3" t="s">
        <v>20096</v>
      </c>
    </row>
    <row r="20997">
      <c r="A20997" s="3" t="s">
        <v>37255</v>
      </c>
      <c r="B20997" s="3" t="s">
        <v>17427</v>
      </c>
      <c r="C20997" s="5" t="s">
        <v>221</v>
      </c>
      <c r="D20997" s="3" t="s">
        <v>614</v>
      </c>
      <c r="E20997" s="3" t="s">
        <v>118</v>
      </c>
      <c r="F20997" s="7">
        <v>46150.7760514881</v>
      </c>
      <c r="G20997" s="3" t="s">
        <v>20098</v>
      </c>
    </row>
    <row r="20998">
      <c r="A20998" s="3" t="s">
        <v>37256</v>
      </c>
      <c r="B20998" s="3" t="s">
        <v>17427</v>
      </c>
      <c r="C20998" s="5" t="s">
        <v>614</v>
      </c>
      <c r="D20998" s="3" t="s">
        <v>206</v>
      </c>
      <c r="E20998" s="3" t="s">
        <v>100</v>
      </c>
      <c r="F20998" s="7">
        <v>46150.77952371033</v>
      </c>
      <c r="G20998" s="3" t="s">
        <v>20101</v>
      </c>
    </row>
    <row r="20999">
      <c r="A20999" s="3" t="s">
        <v>37257</v>
      </c>
      <c r="B20999" s="3" t="s">
        <v>17427</v>
      </c>
      <c r="C20999" s="5" t="s">
        <v>206</v>
      </c>
      <c r="D20999" s="3" t="s">
        <v>68</v>
      </c>
      <c r="E20999" s="3" t="s">
        <v>100</v>
      </c>
      <c r="F20999" s="7">
        <v>46150.782995932546</v>
      </c>
      <c r="G20999" s="3" t="s">
        <v>20104</v>
      </c>
    </row>
    <row r="21000">
      <c r="A21000" s="3" t="s">
        <v>37258</v>
      </c>
      <c r="B21000" s="3" t="s">
        <v>17430</v>
      </c>
      <c r="C21000" s="5" t="s">
        <v>45</v>
      </c>
      <c r="D21000" s="3" t="s">
        <v>221</v>
      </c>
      <c r="E21000" s="3" t="s">
        <v>698</v>
      </c>
      <c r="F21000" s="7">
        <v>46150.8437541113</v>
      </c>
      <c r="G21000" s="3" t="s">
        <v>2781</v>
      </c>
    </row>
    <row r="21001">
      <c r="A21001" s="3" t="s">
        <v>37259</v>
      </c>
      <c r="B21001" s="3" t="s">
        <v>17430</v>
      </c>
      <c r="C21001" s="5" t="s">
        <v>221</v>
      </c>
      <c r="D21001" s="3" t="s">
        <v>614</v>
      </c>
      <c r="E21001" s="3" t="s">
        <v>118</v>
      </c>
      <c r="F21001" s="7">
        <v>46150.84722633352</v>
      </c>
      <c r="G21001" s="3" t="s">
        <v>2784</v>
      </c>
    </row>
    <row r="21002">
      <c r="A21002" s="3" t="s">
        <v>37260</v>
      </c>
      <c r="B21002" s="3" t="s">
        <v>17430</v>
      </c>
      <c r="C21002" s="5" t="s">
        <v>614</v>
      </c>
      <c r="D21002" s="3" t="s">
        <v>206</v>
      </c>
      <c r="E21002" s="3" t="s">
        <v>100</v>
      </c>
      <c r="F21002" s="7">
        <v>46150.85069855575</v>
      </c>
      <c r="G21002" s="3" t="s">
        <v>2787</v>
      </c>
    </row>
    <row r="21003">
      <c r="A21003" s="3" t="s">
        <v>37261</v>
      </c>
      <c r="B21003" s="3" t="s">
        <v>17430</v>
      </c>
      <c r="C21003" s="5" t="s">
        <v>206</v>
      </c>
      <c r="D21003" s="3" t="s">
        <v>68</v>
      </c>
      <c r="E21003" s="3" t="s">
        <v>100</v>
      </c>
      <c r="F21003" s="7">
        <v>46150.854170777966</v>
      </c>
      <c r="G21003" s="3" t="s">
        <v>2790</v>
      </c>
    </row>
    <row r="21004">
      <c r="A21004" s="3" t="s">
        <v>37262</v>
      </c>
      <c r="B21004" s="3" t="s">
        <v>17433</v>
      </c>
      <c r="C21004" s="5" t="s">
        <v>45</v>
      </c>
      <c r="D21004" s="3" t="s">
        <v>221</v>
      </c>
      <c r="E21004" s="3" t="s">
        <v>535</v>
      </c>
      <c r="F21004" s="7">
        <v>46150.914928956714</v>
      </c>
      <c r="G21004" s="3" t="s">
        <v>13014</v>
      </c>
    </row>
    <row r="21005">
      <c r="A21005" s="3" t="s">
        <v>37263</v>
      </c>
      <c r="B21005" s="3" t="s">
        <v>17433</v>
      </c>
      <c r="C21005" s="5" t="s">
        <v>221</v>
      </c>
      <c r="D21005" s="3" t="s">
        <v>195</v>
      </c>
      <c r="E21005" s="3" t="s">
        <v>535</v>
      </c>
      <c r="F21005" s="7">
        <v>46150.91840117893</v>
      </c>
      <c r="G21005" s="3" t="s">
        <v>37264</v>
      </c>
    </row>
    <row r="21006">
      <c r="A21006" s="3" t="s">
        <v>37265</v>
      </c>
      <c r="B21006" s="3" t="s">
        <v>17434</v>
      </c>
      <c r="C21006" s="5" t="s">
        <v>45</v>
      </c>
      <c r="D21006" s="3" t="s">
        <v>221</v>
      </c>
      <c r="E21006" s="3" t="s">
        <v>488</v>
      </c>
      <c r="F21006" s="7">
        <v>46150.986103802126</v>
      </c>
      <c r="G21006" s="3" t="s">
        <v>2793</v>
      </c>
    </row>
    <row r="21007">
      <c r="A21007" s="3" t="s">
        <v>37266</v>
      </c>
      <c r="B21007" s="3" t="s">
        <v>17434</v>
      </c>
      <c r="C21007" s="5" t="s">
        <v>221</v>
      </c>
      <c r="D21007" s="3" t="s">
        <v>614</v>
      </c>
      <c r="E21007" s="3" t="s">
        <v>118</v>
      </c>
      <c r="F21007" s="7">
        <v>46150.989576024345</v>
      </c>
      <c r="G21007" s="3" t="s">
        <v>2796</v>
      </c>
    </row>
    <row r="21008">
      <c r="A21008" s="3" t="s">
        <v>37267</v>
      </c>
      <c r="B21008" s="3" t="s">
        <v>17434</v>
      </c>
      <c r="C21008" s="5" t="s">
        <v>614</v>
      </c>
      <c r="D21008" s="3" t="s">
        <v>206</v>
      </c>
      <c r="E21008" s="3" t="s">
        <v>100</v>
      </c>
      <c r="F21008" s="7">
        <v>46150.99304824657</v>
      </c>
      <c r="G21008" s="3" t="s">
        <v>2799</v>
      </c>
    </row>
    <row r="21009">
      <c r="A21009" s="3" t="s">
        <v>37268</v>
      </c>
      <c r="B21009" s="3" t="s">
        <v>17434</v>
      </c>
      <c r="C21009" s="5" t="s">
        <v>206</v>
      </c>
      <c r="D21009" s="3" t="s">
        <v>68</v>
      </c>
      <c r="E21009" s="3" t="s">
        <v>100</v>
      </c>
      <c r="F21009" s="7">
        <v>46150.99652046879</v>
      </c>
      <c r="G21009" s="3" t="s">
        <v>2801</v>
      </c>
    </row>
    <row r="21010">
      <c r="A21010" s="3" t="s">
        <v>37269</v>
      </c>
      <c r="B21010" s="3" t="s">
        <v>17437</v>
      </c>
      <c r="C21010" s="5" t="s">
        <v>45</v>
      </c>
      <c r="D21010" s="3" t="s">
        <v>221</v>
      </c>
      <c r="E21010" s="3" t="s">
        <v>302</v>
      </c>
      <c r="F21010" s="7">
        <v>46151.057278647546</v>
      </c>
      <c r="G21010" s="3" t="s">
        <v>2808</v>
      </c>
    </row>
    <row r="21011">
      <c r="A21011" s="3" t="s">
        <v>37270</v>
      </c>
      <c r="B21011" s="3" t="s">
        <v>17437</v>
      </c>
      <c r="C21011" s="5" t="s">
        <v>221</v>
      </c>
      <c r="D21011" s="3" t="s">
        <v>614</v>
      </c>
      <c r="E21011" s="3" t="s">
        <v>118</v>
      </c>
      <c r="F21011" s="7">
        <v>46151.060750869765</v>
      </c>
      <c r="G21011" s="3" t="s">
        <v>2811</v>
      </c>
    </row>
    <row r="21012">
      <c r="A21012" s="3" t="s">
        <v>37271</v>
      </c>
      <c r="B21012" s="3" t="s">
        <v>17437</v>
      </c>
      <c r="C21012" s="5" t="s">
        <v>614</v>
      </c>
      <c r="D21012" s="3" t="s">
        <v>206</v>
      </c>
      <c r="E21012" s="3" t="s">
        <v>100</v>
      </c>
      <c r="F21012" s="7">
        <v>46151.06422309199</v>
      </c>
      <c r="G21012" s="3" t="s">
        <v>2814</v>
      </c>
    </row>
    <row r="21013">
      <c r="A21013" s="3" t="s">
        <v>37272</v>
      </c>
      <c r="B21013" s="3" t="s">
        <v>17437</v>
      </c>
      <c r="C21013" s="5" t="s">
        <v>206</v>
      </c>
      <c r="D21013" s="3" t="s">
        <v>68</v>
      </c>
      <c r="E21013" s="3" t="s">
        <v>100</v>
      </c>
      <c r="F21013" s="7">
        <v>46151.06769531421</v>
      </c>
      <c r="G21013" s="3" t="s">
        <v>2817</v>
      </c>
    </row>
    <row r="21014">
      <c r="A21014" s="3" t="s">
        <v>37273</v>
      </c>
      <c r="B21014" s="3" t="s">
        <v>17441</v>
      </c>
      <c r="C21014" s="5" t="s">
        <v>45</v>
      </c>
      <c r="D21014" s="3" t="s">
        <v>221</v>
      </c>
      <c r="E21014" s="3" t="s">
        <v>559</v>
      </c>
      <c r="F21014" s="7">
        <v>46151.128453492965</v>
      </c>
      <c r="G21014" s="3" t="s">
        <v>2820</v>
      </c>
    </row>
    <row r="21015">
      <c r="A21015" s="3" t="s">
        <v>37274</v>
      </c>
      <c r="B21015" s="3" t="s">
        <v>17441</v>
      </c>
      <c r="C21015" s="5" t="s">
        <v>221</v>
      </c>
      <c r="D21015" s="3" t="s">
        <v>614</v>
      </c>
      <c r="E21015" s="3" t="s">
        <v>118</v>
      </c>
      <c r="F21015" s="7">
        <v>46151.131925715184</v>
      </c>
      <c r="G21015" s="3" t="s">
        <v>2823</v>
      </c>
    </row>
    <row r="21016">
      <c r="A21016" s="3" t="s">
        <v>37275</v>
      </c>
      <c r="B21016" s="3" t="s">
        <v>17441</v>
      </c>
      <c r="C21016" s="5" t="s">
        <v>614</v>
      </c>
      <c r="D21016" s="3" t="s">
        <v>206</v>
      </c>
      <c r="E21016" s="3" t="s">
        <v>100</v>
      </c>
      <c r="F21016" s="7">
        <v>46151.13539793741</v>
      </c>
      <c r="G21016" s="3" t="s">
        <v>2826</v>
      </c>
    </row>
    <row r="21017">
      <c r="A21017" s="3" t="s">
        <v>37276</v>
      </c>
      <c r="B21017" s="3" t="s">
        <v>17441</v>
      </c>
      <c r="C21017" s="5" t="s">
        <v>206</v>
      </c>
      <c r="D21017" s="3" t="s">
        <v>68</v>
      </c>
      <c r="E21017" s="3" t="s">
        <v>100</v>
      </c>
      <c r="F21017" s="7">
        <v>46151.13887015963</v>
      </c>
      <c r="G21017" s="3" t="s">
        <v>2829</v>
      </c>
    </row>
    <row r="21018">
      <c r="A21018" s="3" t="s">
        <v>37277</v>
      </c>
      <c r="B21018" s="3" t="s">
        <v>17445</v>
      </c>
      <c r="C21018" s="5" t="s">
        <v>45</v>
      </c>
      <c r="D21018" s="3" t="s">
        <v>221</v>
      </c>
      <c r="E21018" s="3" t="s">
        <v>934</v>
      </c>
      <c r="F21018" s="7">
        <v>46151.19962833837</v>
      </c>
      <c r="G21018" s="3" t="s">
        <v>33896</v>
      </c>
    </row>
    <row r="21019">
      <c r="A21019" s="3" t="s">
        <v>37278</v>
      </c>
      <c r="B21019" s="3" t="s">
        <v>17445</v>
      </c>
      <c r="C21019" s="5" t="s">
        <v>221</v>
      </c>
      <c r="D21019" s="3" t="s">
        <v>614</v>
      </c>
      <c r="E21019" s="3" t="s">
        <v>118</v>
      </c>
      <c r="F21019" s="7">
        <v>46151.20310056059</v>
      </c>
      <c r="G21019" s="3" t="s">
        <v>33898</v>
      </c>
    </row>
    <row r="21020">
      <c r="A21020" s="3" t="s">
        <v>37279</v>
      </c>
      <c r="B21020" s="3" t="s">
        <v>17445</v>
      </c>
      <c r="C21020" s="5" t="s">
        <v>614</v>
      </c>
      <c r="D21020" s="3" t="s">
        <v>206</v>
      </c>
      <c r="E21020" s="3" t="s">
        <v>100</v>
      </c>
      <c r="F21020" s="7">
        <v>46151.206572782816</v>
      </c>
      <c r="G21020" s="3" t="s">
        <v>33900</v>
      </c>
    </row>
    <row r="21021">
      <c r="A21021" s="3" t="s">
        <v>37280</v>
      </c>
      <c r="B21021" s="3" t="s">
        <v>17445</v>
      </c>
      <c r="C21021" s="5" t="s">
        <v>206</v>
      </c>
      <c r="D21021" s="3" t="s">
        <v>68</v>
      </c>
      <c r="E21021" s="3" t="s">
        <v>100</v>
      </c>
      <c r="F21021" s="7">
        <v>46151.210045005035</v>
      </c>
      <c r="G21021" s="3" t="s">
        <v>33902</v>
      </c>
    </row>
    <row r="21022">
      <c r="A21022" s="3" t="s">
        <v>37281</v>
      </c>
      <c r="B21022" s="3" t="s">
        <v>17448</v>
      </c>
      <c r="C21022" s="5" t="s">
        <v>45</v>
      </c>
      <c r="D21022" s="3" t="s">
        <v>221</v>
      </c>
      <c r="E21022" s="3" t="s">
        <v>373</v>
      </c>
      <c r="F21022" s="7">
        <v>46151.27080318379</v>
      </c>
      <c r="G21022" s="3" t="s">
        <v>15279</v>
      </c>
    </row>
    <row r="21023">
      <c r="A21023" s="3" t="s">
        <v>37282</v>
      </c>
      <c r="B21023" s="3" t="s">
        <v>17448</v>
      </c>
      <c r="C21023" s="5" t="s">
        <v>221</v>
      </c>
      <c r="D21023" s="3" t="s">
        <v>195</v>
      </c>
      <c r="E21023" s="3" t="s">
        <v>373</v>
      </c>
      <c r="F21023" s="7">
        <v>46151.27427540601</v>
      </c>
      <c r="G21023" s="3" t="s">
        <v>37283</v>
      </c>
    </row>
    <row r="21024">
      <c r="A21024" s="3" t="s">
        <v>37284</v>
      </c>
      <c r="B21024" s="3" t="s">
        <v>17451</v>
      </c>
      <c r="C21024" s="5" t="s">
        <v>45</v>
      </c>
      <c r="D21024" s="3" t="s">
        <v>221</v>
      </c>
      <c r="E21024" s="3" t="s">
        <v>643</v>
      </c>
      <c r="F21024" s="7">
        <v>46151.3419780292</v>
      </c>
      <c r="G21024" s="3" t="s">
        <v>10975</v>
      </c>
    </row>
    <row r="21025">
      <c r="A21025" s="3" t="s">
        <v>37285</v>
      </c>
      <c r="B21025" s="3" t="s">
        <v>17451</v>
      </c>
      <c r="C21025" s="5" t="s">
        <v>221</v>
      </c>
      <c r="D21025" s="3" t="s">
        <v>614</v>
      </c>
      <c r="E21025" s="3" t="s">
        <v>118</v>
      </c>
      <c r="F21025" s="7">
        <v>46151.34545025142</v>
      </c>
      <c r="G21025" s="3" t="s">
        <v>10978</v>
      </c>
    </row>
    <row r="21026">
      <c r="A21026" s="3" t="s">
        <v>37286</v>
      </c>
      <c r="B21026" s="3" t="s">
        <v>17451</v>
      </c>
      <c r="C21026" s="5" t="s">
        <v>614</v>
      </c>
      <c r="D21026" s="3" t="s">
        <v>206</v>
      </c>
      <c r="E21026" s="3" t="s">
        <v>100</v>
      </c>
      <c r="F21026" s="7">
        <v>46151.34892247365</v>
      </c>
      <c r="G21026" s="3" t="s">
        <v>10981</v>
      </c>
    </row>
    <row r="21027">
      <c r="A21027" s="3" t="s">
        <v>37287</v>
      </c>
      <c r="B21027" s="3" t="s">
        <v>17451</v>
      </c>
      <c r="C21027" s="5" t="s">
        <v>206</v>
      </c>
      <c r="D21027" s="3" t="s">
        <v>68</v>
      </c>
      <c r="E21027" s="3" t="s">
        <v>100</v>
      </c>
      <c r="F21027" s="7">
        <v>46151.35239469587</v>
      </c>
      <c r="G21027" s="3" t="s">
        <v>10984</v>
      </c>
    </row>
    <row r="21028">
      <c r="A21028" s="3" t="s">
        <v>37288</v>
      </c>
      <c r="B21028" s="3" t="s">
        <v>17454</v>
      </c>
      <c r="C21028" s="5" t="s">
        <v>45</v>
      </c>
      <c r="D21028" s="3" t="s">
        <v>221</v>
      </c>
      <c r="E21028" s="3" t="s">
        <v>710</v>
      </c>
      <c r="F21028" s="7">
        <v>46151.41315287462</v>
      </c>
      <c r="G21028" s="3" t="s">
        <v>2831</v>
      </c>
    </row>
    <row r="21029">
      <c r="A21029" s="3" t="s">
        <v>37289</v>
      </c>
      <c r="B21029" s="3" t="s">
        <v>17454</v>
      </c>
      <c r="C21029" s="5" t="s">
        <v>221</v>
      </c>
      <c r="D21029" s="3" t="s">
        <v>614</v>
      </c>
      <c r="E21029" s="3" t="s">
        <v>118</v>
      </c>
      <c r="F21029" s="7">
        <v>46151.41662509684</v>
      </c>
      <c r="G21029" s="3" t="s">
        <v>2834</v>
      </c>
    </row>
    <row r="21030">
      <c r="A21030" s="3" t="s">
        <v>37290</v>
      </c>
      <c r="B21030" s="3" t="s">
        <v>17454</v>
      </c>
      <c r="C21030" s="5" t="s">
        <v>614</v>
      </c>
      <c r="D21030" s="3" t="s">
        <v>206</v>
      </c>
      <c r="E21030" s="3" t="s">
        <v>100</v>
      </c>
      <c r="F21030" s="7">
        <v>46151.42009731907</v>
      </c>
      <c r="G21030" s="3" t="s">
        <v>2837</v>
      </c>
    </row>
    <row r="21031">
      <c r="A21031" s="3" t="s">
        <v>37291</v>
      </c>
      <c r="B21031" s="3" t="s">
        <v>17454</v>
      </c>
      <c r="C21031" s="5" t="s">
        <v>206</v>
      </c>
      <c r="D21031" s="3" t="s">
        <v>68</v>
      </c>
      <c r="E21031" s="3" t="s">
        <v>100</v>
      </c>
      <c r="F21031" s="7">
        <v>46151.423569541286</v>
      </c>
      <c r="G21031" s="3" t="s">
        <v>2840</v>
      </c>
    </row>
    <row r="21032">
      <c r="A21032" s="3" t="s">
        <v>37292</v>
      </c>
      <c r="B21032" s="3" t="s">
        <v>17457</v>
      </c>
      <c r="C21032" s="5" t="s">
        <v>45</v>
      </c>
      <c r="D21032" s="3" t="s">
        <v>221</v>
      </c>
      <c r="E21032" s="3" t="s">
        <v>341</v>
      </c>
      <c r="F21032" s="7">
        <v>46151.484327720034</v>
      </c>
      <c r="G21032" s="3" t="s">
        <v>18610</v>
      </c>
    </row>
    <row r="21033">
      <c r="A21033" s="3" t="s">
        <v>37293</v>
      </c>
      <c r="B21033" s="3" t="s">
        <v>17457</v>
      </c>
      <c r="C21033" s="5" t="s">
        <v>221</v>
      </c>
      <c r="D21033" s="3" t="s">
        <v>614</v>
      </c>
      <c r="E21033" s="3" t="s">
        <v>118</v>
      </c>
      <c r="F21033" s="7">
        <v>46151.48779994225</v>
      </c>
      <c r="G21033" s="3" t="s">
        <v>18612</v>
      </c>
    </row>
    <row r="21034">
      <c r="A21034" s="3" t="s">
        <v>37294</v>
      </c>
      <c r="B21034" s="3" t="s">
        <v>17457</v>
      </c>
      <c r="C21034" s="5" t="s">
        <v>614</v>
      </c>
      <c r="D21034" s="3" t="s">
        <v>206</v>
      </c>
      <c r="E21034" s="3" t="s">
        <v>100</v>
      </c>
      <c r="F21034" s="7">
        <v>46151.49127216448</v>
      </c>
      <c r="G21034" s="3" t="s">
        <v>18615</v>
      </c>
    </row>
    <row r="21035">
      <c r="A21035" s="3" t="s">
        <v>37295</v>
      </c>
      <c r="B21035" s="3" t="s">
        <v>17457</v>
      </c>
      <c r="C21035" s="5" t="s">
        <v>206</v>
      </c>
      <c r="D21035" s="3" t="s">
        <v>68</v>
      </c>
      <c r="E21035" s="3" t="s">
        <v>100</v>
      </c>
      <c r="F21035" s="7">
        <v>46151.4947443867</v>
      </c>
      <c r="G21035" s="3" t="s">
        <v>18618</v>
      </c>
    </row>
    <row r="21036">
      <c r="A21036" s="3" t="s">
        <v>37296</v>
      </c>
      <c r="B21036" s="3" t="s">
        <v>17459</v>
      </c>
      <c r="C21036" s="5" t="s">
        <v>45</v>
      </c>
      <c r="D21036" s="3" t="s">
        <v>221</v>
      </c>
      <c r="E21036" s="3" t="s">
        <v>596</v>
      </c>
      <c r="F21036" s="7">
        <v>46151.555502565454</v>
      </c>
      <c r="G21036" s="3" t="s">
        <v>12875</v>
      </c>
    </row>
    <row r="21037">
      <c r="A21037" s="3" t="s">
        <v>37297</v>
      </c>
      <c r="B21037" s="3" t="s">
        <v>17459</v>
      </c>
      <c r="C21037" s="5" t="s">
        <v>221</v>
      </c>
      <c r="D21037" s="3" t="s">
        <v>614</v>
      </c>
      <c r="E21037" s="3" t="s">
        <v>118</v>
      </c>
      <c r="F21037" s="7">
        <v>46151.55897478767</v>
      </c>
      <c r="G21037" s="3" t="s">
        <v>12878</v>
      </c>
    </row>
    <row r="21038">
      <c r="A21038" s="3" t="s">
        <v>37298</v>
      </c>
      <c r="B21038" s="3" t="s">
        <v>17459</v>
      </c>
      <c r="C21038" s="5" t="s">
        <v>614</v>
      </c>
      <c r="D21038" s="3" t="s">
        <v>206</v>
      </c>
      <c r="E21038" s="3" t="s">
        <v>100</v>
      </c>
      <c r="F21038" s="7">
        <v>46151.5624470099</v>
      </c>
      <c r="G21038" s="3" t="s">
        <v>12881</v>
      </c>
    </row>
    <row r="21039">
      <c r="A21039" s="3" t="s">
        <v>37299</v>
      </c>
      <c r="B21039" s="3" t="s">
        <v>17459</v>
      </c>
      <c r="C21039" s="5" t="s">
        <v>206</v>
      </c>
      <c r="D21039" s="3" t="s">
        <v>68</v>
      </c>
      <c r="E21039" s="3" t="s">
        <v>100</v>
      </c>
      <c r="F21039" s="7">
        <v>46151.56591923212</v>
      </c>
      <c r="G21039" s="3" t="s">
        <v>12885</v>
      </c>
    </row>
    <row r="21040">
      <c r="A21040" s="3" t="s">
        <v>37300</v>
      </c>
      <c r="B21040" s="3" t="s">
        <v>17461</v>
      </c>
      <c r="C21040" s="5" t="s">
        <v>45</v>
      </c>
      <c r="D21040" s="3" t="s">
        <v>221</v>
      </c>
      <c r="E21040" s="3" t="s">
        <v>239</v>
      </c>
      <c r="F21040" s="7">
        <v>46151.62667741086</v>
      </c>
      <c r="G21040" s="3" t="s">
        <v>2854</v>
      </c>
    </row>
    <row r="21041">
      <c r="A21041" s="3" t="s">
        <v>37301</v>
      </c>
      <c r="B21041" s="3" t="s">
        <v>17461</v>
      </c>
      <c r="C21041" s="5" t="s">
        <v>221</v>
      </c>
      <c r="D21041" s="3" t="s">
        <v>614</v>
      </c>
      <c r="E21041" s="3" t="s">
        <v>118</v>
      </c>
      <c r="F21041" s="7">
        <v>46151.63014963308</v>
      </c>
      <c r="G21041" s="3" t="s">
        <v>2857</v>
      </c>
    </row>
    <row r="21042">
      <c r="A21042" s="3" t="s">
        <v>37302</v>
      </c>
      <c r="B21042" s="3" t="s">
        <v>17461</v>
      </c>
      <c r="C21042" s="5" t="s">
        <v>614</v>
      </c>
      <c r="D21042" s="3" t="s">
        <v>206</v>
      </c>
      <c r="E21042" s="3" t="s">
        <v>100</v>
      </c>
      <c r="F21042" s="7">
        <v>46151.633621855304</v>
      </c>
      <c r="G21042" s="3" t="s">
        <v>2860</v>
      </c>
    </row>
    <row r="21043">
      <c r="A21043" s="3" t="s">
        <v>37303</v>
      </c>
      <c r="B21043" s="3" t="s">
        <v>17461</v>
      </c>
      <c r="C21043" s="5" t="s">
        <v>206</v>
      </c>
      <c r="D21043" s="3" t="s">
        <v>68</v>
      </c>
      <c r="E21043" s="3" t="s">
        <v>100</v>
      </c>
      <c r="F21043" s="7">
        <v>46151.63709407752</v>
      </c>
      <c r="G21043" s="3" t="s">
        <v>2863</v>
      </c>
    </row>
    <row r="21044">
      <c r="A21044" s="3" t="s">
        <v>37304</v>
      </c>
      <c r="B21044" s="3" t="s">
        <v>17464</v>
      </c>
      <c r="C21044" s="5" t="s">
        <v>45</v>
      </c>
      <c r="D21044" s="3" t="s">
        <v>221</v>
      </c>
      <c r="E21044" s="3" t="s">
        <v>440</v>
      </c>
      <c r="F21044" s="7">
        <v>46151.69785225628</v>
      </c>
      <c r="G21044" s="3" t="s">
        <v>17843</v>
      </c>
    </row>
    <row r="21045">
      <c r="A21045" s="3" t="s">
        <v>37305</v>
      </c>
      <c r="B21045" s="3" t="s">
        <v>17464</v>
      </c>
      <c r="C21045" s="5" t="s">
        <v>221</v>
      </c>
      <c r="D21045" s="3" t="s">
        <v>614</v>
      </c>
      <c r="E21045" s="3" t="s">
        <v>118</v>
      </c>
      <c r="F21045" s="7">
        <v>46151.7013244785</v>
      </c>
      <c r="G21045" s="3" t="s">
        <v>17846</v>
      </c>
    </row>
    <row r="21046">
      <c r="A21046" s="3" t="s">
        <v>37306</v>
      </c>
      <c r="B21046" s="3" t="s">
        <v>17464</v>
      </c>
      <c r="C21046" s="5" t="s">
        <v>614</v>
      </c>
      <c r="D21046" s="3" t="s">
        <v>206</v>
      </c>
      <c r="E21046" s="3" t="s">
        <v>100</v>
      </c>
      <c r="F21046" s="7">
        <v>46151.704796700724</v>
      </c>
      <c r="G21046" s="3" t="s">
        <v>17849</v>
      </c>
    </row>
    <row r="21047">
      <c r="A21047" s="3" t="s">
        <v>37307</v>
      </c>
      <c r="B21047" s="3" t="s">
        <v>17464</v>
      </c>
      <c r="C21047" s="5" t="s">
        <v>206</v>
      </c>
      <c r="D21047" s="3" t="s">
        <v>68</v>
      </c>
      <c r="E21047" s="3" t="s">
        <v>100</v>
      </c>
      <c r="F21047" s="7">
        <v>46151.70826892294</v>
      </c>
      <c r="G21047" s="3" t="s">
        <v>17851</v>
      </c>
    </row>
    <row r="21048">
      <c r="A21048" s="3" t="s">
        <v>37308</v>
      </c>
      <c r="B21048" s="3" t="s">
        <v>17467</v>
      </c>
      <c r="C21048" s="5" t="s">
        <v>45</v>
      </c>
      <c r="D21048" s="3" t="s">
        <v>221</v>
      </c>
      <c r="E21048" s="3" t="s">
        <v>442</v>
      </c>
      <c r="F21048" s="7">
        <v>46151.7690271017</v>
      </c>
      <c r="G21048" s="3" t="s">
        <v>17036</v>
      </c>
    </row>
    <row r="21049">
      <c r="A21049" s="3" t="s">
        <v>37309</v>
      </c>
      <c r="B21049" s="3" t="s">
        <v>17467</v>
      </c>
      <c r="C21049" s="5" t="s">
        <v>221</v>
      </c>
      <c r="D21049" s="3" t="s">
        <v>614</v>
      </c>
      <c r="E21049" s="3" t="s">
        <v>118</v>
      </c>
      <c r="F21049" s="7">
        <v>46151.77249932392</v>
      </c>
      <c r="G21049" s="3" t="s">
        <v>17039</v>
      </c>
    </row>
    <row r="21050">
      <c r="A21050" s="3" t="s">
        <v>37310</v>
      </c>
      <c r="B21050" s="3" t="s">
        <v>17467</v>
      </c>
      <c r="C21050" s="5" t="s">
        <v>614</v>
      </c>
      <c r="D21050" s="3" t="s">
        <v>206</v>
      </c>
      <c r="E21050" s="3" t="s">
        <v>100</v>
      </c>
      <c r="F21050" s="7">
        <v>46151.77597154614</v>
      </c>
      <c r="G21050" s="3" t="s">
        <v>17041</v>
      </c>
    </row>
    <row r="21051">
      <c r="A21051" s="3" t="s">
        <v>37311</v>
      </c>
      <c r="B21051" s="3" t="s">
        <v>17467</v>
      </c>
      <c r="C21051" s="5" t="s">
        <v>206</v>
      </c>
      <c r="D21051" s="3" t="s">
        <v>68</v>
      </c>
      <c r="E21051" s="3" t="s">
        <v>100</v>
      </c>
      <c r="F21051" s="7">
        <v>46151.77944376836</v>
      </c>
      <c r="G21051" s="3" t="s">
        <v>17044</v>
      </c>
    </row>
    <row r="21052">
      <c r="A21052" s="3" t="s">
        <v>37312</v>
      </c>
      <c r="B21052" s="3" t="s">
        <v>17471</v>
      </c>
      <c r="C21052" s="5" t="s">
        <v>45</v>
      </c>
      <c r="D21052" s="3" t="s">
        <v>221</v>
      </c>
      <c r="E21052" s="3" t="s">
        <v>770</v>
      </c>
      <c r="F21052" s="7">
        <v>46151.84020194711</v>
      </c>
      <c r="G21052" s="3" t="s">
        <v>8987</v>
      </c>
    </row>
    <row r="21053">
      <c r="A21053" s="3" t="s">
        <v>37313</v>
      </c>
      <c r="B21053" s="3" t="s">
        <v>17471</v>
      </c>
      <c r="C21053" s="5" t="s">
        <v>221</v>
      </c>
      <c r="D21053" s="3" t="s">
        <v>614</v>
      </c>
      <c r="E21053" s="3" t="s">
        <v>118</v>
      </c>
      <c r="F21053" s="7">
        <v>46151.84367416933</v>
      </c>
      <c r="G21053" s="3" t="s">
        <v>8990</v>
      </c>
    </row>
    <row r="21054">
      <c r="A21054" s="3" t="s">
        <v>37314</v>
      </c>
      <c r="B21054" s="3" t="s">
        <v>17471</v>
      </c>
      <c r="C21054" s="5" t="s">
        <v>614</v>
      </c>
      <c r="D21054" s="3" t="s">
        <v>206</v>
      </c>
      <c r="E21054" s="3" t="s">
        <v>100</v>
      </c>
      <c r="F21054" s="7">
        <v>46151.847146391556</v>
      </c>
      <c r="G21054" s="3" t="s">
        <v>8993</v>
      </c>
    </row>
    <row r="21055">
      <c r="A21055" s="3" t="s">
        <v>37315</v>
      </c>
      <c r="B21055" s="3" t="s">
        <v>17471</v>
      </c>
      <c r="C21055" s="5" t="s">
        <v>206</v>
      </c>
      <c r="D21055" s="3" t="s">
        <v>68</v>
      </c>
      <c r="E21055" s="3" t="s">
        <v>100</v>
      </c>
      <c r="F21055" s="7">
        <v>46151.850618613775</v>
      </c>
      <c r="G21055" s="3" t="s">
        <v>8996</v>
      </c>
    </row>
    <row r="21056">
      <c r="A21056" s="3" t="s">
        <v>37316</v>
      </c>
      <c r="B21056" s="3" t="s">
        <v>17475</v>
      </c>
      <c r="C21056" s="5" t="s">
        <v>45</v>
      </c>
      <c r="D21056" s="3" t="s">
        <v>221</v>
      </c>
      <c r="E21056" s="3" t="s">
        <v>845</v>
      </c>
      <c r="F21056" s="7">
        <v>46151.91137679252</v>
      </c>
      <c r="G21056" s="3" t="s">
        <v>9015</v>
      </c>
    </row>
    <row r="21057">
      <c r="A21057" s="3" t="s">
        <v>37317</v>
      </c>
      <c r="B21057" s="3" t="s">
        <v>17475</v>
      </c>
      <c r="C21057" s="5" t="s">
        <v>221</v>
      </c>
      <c r="D21057" s="3" t="s">
        <v>614</v>
      </c>
      <c r="E21057" s="3" t="s">
        <v>118</v>
      </c>
      <c r="F21057" s="7">
        <v>46151.91484901474</v>
      </c>
      <c r="G21057" s="3" t="s">
        <v>17580</v>
      </c>
    </row>
    <row r="21058">
      <c r="A21058" s="3" t="s">
        <v>37318</v>
      </c>
      <c r="B21058" s="3" t="s">
        <v>17475</v>
      </c>
      <c r="C21058" s="5" t="s">
        <v>614</v>
      </c>
      <c r="D21058" s="3" t="s">
        <v>206</v>
      </c>
      <c r="E21058" s="3" t="s">
        <v>100</v>
      </c>
      <c r="F21058" s="7">
        <v>46151.91832123697</v>
      </c>
      <c r="G21058" s="3" t="s">
        <v>17583</v>
      </c>
    </row>
    <row r="21059">
      <c r="A21059" s="3" t="s">
        <v>37319</v>
      </c>
      <c r="B21059" s="3" t="s">
        <v>17475</v>
      </c>
      <c r="C21059" s="5" t="s">
        <v>206</v>
      </c>
      <c r="D21059" s="3" t="s">
        <v>68</v>
      </c>
      <c r="E21059" s="3" t="s">
        <v>100</v>
      </c>
      <c r="F21059" s="7">
        <v>46151.92179345919</v>
      </c>
      <c r="G21059" s="3" t="s">
        <v>17586</v>
      </c>
    </row>
    <row r="21060">
      <c r="A21060" s="3" t="s">
        <v>37320</v>
      </c>
      <c r="B21060" s="3" t="s">
        <v>17478</v>
      </c>
      <c r="C21060" s="5" t="s">
        <v>45</v>
      </c>
      <c r="D21060" s="3" t="s">
        <v>221</v>
      </c>
      <c r="E21060" s="3" t="s">
        <v>366</v>
      </c>
      <c r="F21060" s="7">
        <v>46151.98255163794</v>
      </c>
      <c r="G21060" s="3" t="s">
        <v>27999</v>
      </c>
    </row>
    <row r="21061">
      <c r="A21061" s="3" t="s">
        <v>37321</v>
      </c>
      <c r="B21061" s="3" t="s">
        <v>17478</v>
      </c>
      <c r="C21061" s="5" t="s">
        <v>221</v>
      </c>
      <c r="D21061" s="3" t="s">
        <v>614</v>
      </c>
      <c r="E21061" s="3" t="s">
        <v>118</v>
      </c>
      <c r="F21061" s="7">
        <v>46151.98602386016</v>
      </c>
      <c r="G21061" s="3" t="s">
        <v>28001</v>
      </c>
    </row>
    <row r="21062">
      <c r="A21062" s="3" t="s">
        <v>37322</v>
      </c>
      <c r="B21062" s="3" t="s">
        <v>17478</v>
      </c>
      <c r="C21062" s="5" t="s">
        <v>614</v>
      </c>
      <c r="D21062" s="3" t="s">
        <v>206</v>
      </c>
      <c r="E21062" s="3" t="s">
        <v>100</v>
      </c>
      <c r="F21062" s="7">
        <v>46151.98949608239</v>
      </c>
      <c r="G21062" s="3" t="s">
        <v>28003</v>
      </c>
    </row>
    <row r="21063">
      <c r="A21063" s="3" t="s">
        <v>37323</v>
      </c>
      <c r="B21063" s="3" t="s">
        <v>17478</v>
      </c>
      <c r="C21063" s="5" t="s">
        <v>206</v>
      </c>
      <c r="D21063" s="3" t="s">
        <v>68</v>
      </c>
      <c r="E21063" s="3" t="s">
        <v>100</v>
      </c>
      <c r="F21063" s="7">
        <v>46151.99296830461</v>
      </c>
      <c r="G21063" s="3" t="s">
        <v>28005</v>
      </c>
    </row>
    <row r="21064">
      <c r="A21064" s="3" t="s">
        <v>37324</v>
      </c>
      <c r="B21064" s="3" t="s">
        <v>17481</v>
      </c>
      <c r="C21064" s="5" t="s">
        <v>45</v>
      </c>
      <c r="D21064" s="3" t="s">
        <v>221</v>
      </c>
      <c r="E21064" s="3" t="s">
        <v>544</v>
      </c>
      <c r="F21064" s="7">
        <v>46152.053726483355</v>
      </c>
      <c r="G21064" s="3" t="s">
        <v>18553</v>
      </c>
    </row>
    <row r="21065">
      <c r="A21065" s="3" t="s">
        <v>37325</v>
      </c>
      <c r="B21065" s="3" t="s">
        <v>17481</v>
      </c>
      <c r="C21065" s="5" t="s">
        <v>221</v>
      </c>
      <c r="D21065" s="3" t="s">
        <v>614</v>
      </c>
      <c r="E21065" s="3" t="s">
        <v>118</v>
      </c>
      <c r="F21065" s="7">
        <v>46152.057198705574</v>
      </c>
      <c r="G21065" s="3" t="s">
        <v>18556</v>
      </c>
    </row>
    <row r="21066">
      <c r="A21066" s="3" t="s">
        <v>37326</v>
      </c>
      <c r="B21066" s="3" t="s">
        <v>17481</v>
      </c>
      <c r="C21066" s="5" t="s">
        <v>614</v>
      </c>
      <c r="D21066" s="3" t="s">
        <v>206</v>
      </c>
      <c r="E21066" s="3" t="s">
        <v>100</v>
      </c>
      <c r="F21066" s="7">
        <v>46152.0606709278</v>
      </c>
      <c r="G21066" s="3" t="s">
        <v>18559</v>
      </c>
    </row>
    <row r="21067">
      <c r="A21067" s="3" t="s">
        <v>37327</v>
      </c>
      <c r="B21067" s="3" t="s">
        <v>17481</v>
      </c>
      <c r="C21067" s="5" t="s">
        <v>206</v>
      </c>
      <c r="D21067" s="3" t="s">
        <v>68</v>
      </c>
      <c r="E21067" s="3" t="s">
        <v>100</v>
      </c>
      <c r="F21067" s="7">
        <v>46152.06414315002</v>
      </c>
      <c r="G21067" s="3" t="s">
        <v>18562</v>
      </c>
    </row>
    <row r="21068">
      <c r="A21068" s="3" t="s">
        <v>37328</v>
      </c>
      <c r="B21068" s="3" t="s">
        <v>17485</v>
      </c>
      <c r="C21068" s="5" t="s">
        <v>45</v>
      </c>
      <c r="D21068" s="3" t="s">
        <v>221</v>
      </c>
      <c r="E21068" s="3" t="s">
        <v>913</v>
      </c>
      <c r="F21068" s="7">
        <v>46152.12490132877</v>
      </c>
      <c r="G21068" s="3" t="s">
        <v>16811</v>
      </c>
    </row>
    <row r="21069">
      <c r="A21069" s="3" t="s">
        <v>37329</v>
      </c>
      <c r="B21069" s="3" t="s">
        <v>17485</v>
      </c>
      <c r="C21069" s="5" t="s">
        <v>221</v>
      </c>
      <c r="D21069" s="3" t="s">
        <v>614</v>
      </c>
      <c r="E21069" s="3" t="s">
        <v>118</v>
      </c>
      <c r="F21069" s="7">
        <v>46152.128373550986</v>
      </c>
      <c r="G21069" s="3" t="s">
        <v>16814</v>
      </c>
    </row>
    <row r="21070">
      <c r="A21070" s="3" t="s">
        <v>37330</v>
      </c>
      <c r="B21070" s="3" t="s">
        <v>17485</v>
      </c>
      <c r="C21070" s="5" t="s">
        <v>614</v>
      </c>
      <c r="D21070" s="3" t="s">
        <v>206</v>
      </c>
      <c r="E21070" s="3" t="s">
        <v>100</v>
      </c>
      <c r="F21070" s="7">
        <v>46152.13184577321</v>
      </c>
      <c r="G21070" s="3" t="s">
        <v>16817</v>
      </c>
    </row>
    <row r="21071">
      <c r="A21071" s="3" t="s">
        <v>37331</v>
      </c>
      <c r="B21071" s="3" t="s">
        <v>17485</v>
      </c>
      <c r="C21071" s="5" t="s">
        <v>206</v>
      </c>
      <c r="D21071" s="3" t="s">
        <v>68</v>
      </c>
      <c r="E21071" s="3" t="s">
        <v>100</v>
      </c>
      <c r="F21071" s="7">
        <v>46152.13531799543</v>
      </c>
      <c r="G21071" s="3" t="s">
        <v>16820</v>
      </c>
    </row>
    <row r="21072">
      <c r="A21072" s="3" t="s">
        <v>37332</v>
      </c>
      <c r="B21072" s="3" t="s">
        <v>17489</v>
      </c>
      <c r="C21072" s="5" t="s">
        <v>45</v>
      </c>
      <c r="D21072" s="3" t="s">
        <v>221</v>
      </c>
      <c r="E21072" s="3" t="s">
        <v>145</v>
      </c>
      <c r="F21072" s="7">
        <v>46152.19607617419</v>
      </c>
      <c r="G21072" s="3" t="s">
        <v>14549</v>
      </c>
    </row>
    <row r="21073">
      <c r="A21073" s="3" t="s">
        <v>37333</v>
      </c>
      <c r="B21073" s="3" t="s">
        <v>17489</v>
      </c>
      <c r="C21073" s="5" t="s">
        <v>221</v>
      </c>
      <c r="D21073" s="3" t="s">
        <v>614</v>
      </c>
      <c r="E21073" s="3" t="s">
        <v>118</v>
      </c>
      <c r="F21073" s="7">
        <v>46152.199548396406</v>
      </c>
      <c r="G21073" s="3" t="s">
        <v>14552</v>
      </c>
    </row>
    <row r="21074">
      <c r="A21074" s="3" t="s">
        <v>37334</v>
      </c>
      <c r="B21074" s="3" t="s">
        <v>17489</v>
      </c>
      <c r="C21074" s="5" t="s">
        <v>614</v>
      </c>
      <c r="D21074" s="3" t="s">
        <v>206</v>
      </c>
      <c r="E21074" s="3" t="s">
        <v>100</v>
      </c>
      <c r="F21074" s="7">
        <v>46152.20302061863</v>
      </c>
      <c r="G21074" s="3" t="s">
        <v>14555</v>
      </c>
    </row>
    <row r="21075">
      <c r="A21075" s="3" t="s">
        <v>37335</v>
      </c>
      <c r="B21075" s="3" t="s">
        <v>17489</v>
      </c>
      <c r="C21075" s="5" t="s">
        <v>206</v>
      </c>
      <c r="D21075" s="3" t="s">
        <v>68</v>
      </c>
      <c r="E21075" s="3" t="s">
        <v>100</v>
      </c>
      <c r="F21075" s="7">
        <v>46152.20649284085</v>
      </c>
      <c r="G21075" s="3" t="s">
        <v>14558</v>
      </c>
    </row>
    <row r="21076">
      <c r="A21076" s="3" t="s">
        <v>37336</v>
      </c>
      <c r="B21076" s="3" t="s">
        <v>17492</v>
      </c>
      <c r="C21076" s="5" t="s">
        <v>45</v>
      </c>
      <c r="D21076" s="3" t="s">
        <v>221</v>
      </c>
      <c r="E21076" s="3" t="s">
        <v>130</v>
      </c>
      <c r="F21076" s="7">
        <v>46152.267251019606</v>
      </c>
      <c r="G21076" s="3" t="s">
        <v>2866</v>
      </c>
    </row>
    <row r="21077">
      <c r="A21077" s="3" t="s">
        <v>37337</v>
      </c>
      <c r="B21077" s="3" t="s">
        <v>17492</v>
      </c>
      <c r="C21077" s="5" t="s">
        <v>221</v>
      </c>
      <c r="D21077" s="3" t="s">
        <v>614</v>
      </c>
      <c r="E21077" s="3" t="s">
        <v>118</v>
      </c>
      <c r="F21077" s="7">
        <v>46152.270723241825</v>
      </c>
      <c r="G21077" s="3" t="s">
        <v>2869</v>
      </c>
    </row>
    <row r="21078">
      <c r="A21078" s="3" t="s">
        <v>37338</v>
      </c>
      <c r="B21078" s="3" t="s">
        <v>17492</v>
      </c>
      <c r="C21078" s="5" t="s">
        <v>614</v>
      </c>
      <c r="D21078" s="3" t="s">
        <v>206</v>
      </c>
      <c r="E21078" s="3" t="s">
        <v>100</v>
      </c>
      <c r="F21078" s="7">
        <v>46152.27419546405</v>
      </c>
      <c r="G21078" s="3" t="s">
        <v>2872</v>
      </c>
    </row>
    <row r="21079">
      <c r="A21079" s="3" t="s">
        <v>37339</v>
      </c>
      <c r="B21079" s="3" t="s">
        <v>17492</v>
      </c>
      <c r="C21079" s="5" t="s">
        <v>206</v>
      </c>
      <c r="D21079" s="3" t="s">
        <v>68</v>
      </c>
      <c r="E21079" s="3" t="s">
        <v>100</v>
      </c>
      <c r="F21079" s="7">
        <v>46152.27766768627</v>
      </c>
      <c r="G21079" s="3" t="s">
        <v>2875</v>
      </c>
    </row>
    <row r="21080">
      <c r="A21080" s="3" t="s">
        <v>37340</v>
      </c>
      <c r="B21080" s="3" t="s">
        <v>17495</v>
      </c>
      <c r="C21080" s="5" t="s">
        <v>45</v>
      </c>
      <c r="D21080" s="3" t="s">
        <v>221</v>
      </c>
      <c r="E21080" s="3" t="s">
        <v>708</v>
      </c>
      <c r="F21080" s="7">
        <v>46152.33842586501</v>
      </c>
      <c r="G21080" s="3" t="s">
        <v>34527</v>
      </c>
    </row>
    <row r="21081">
      <c r="A21081" s="3" t="s">
        <v>37341</v>
      </c>
      <c r="B21081" s="3" t="s">
        <v>17495</v>
      </c>
      <c r="C21081" s="5" t="s">
        <v>221</v>
      </c>
      <c r="D21081" s="3" t="s">
        <v>614</v>
      </c>
      <c r="E21081" s="3" t="s">
        <v>118</v>
      </c>
      <c r="F21081" s="7">
        <v>46152.34189808723</v>
      </c>
      <c r="G21081" s="3" t="s">
        <v>34529</v>
      </c>
    </row>
    <row r="21082">
      <c r="A21082" s="3" t="s">
        <v>37342</v>
      </c>
      <c r="B21082" s="3" t="s">
        <v>17495</v>
      </c>
      <c r="C21082" s="5" t="s">
        <v>614</v>
      </c>
      <c r="D21082" s="3" t="s">
        <v>206</v>
      </c>
      <c r="E21082" s="3" t="s">
        <v>100</v>
      </c>
      <c r="F21082" s="7">
        <v>46152.34537030946</v>
      </c>
      <c r="G21082" s="3" t="s">
        <v>34531</v>
      </c>
    </row>
    <row r="21083">
      <c r="A21083" s="3" t="s">
        <v>37343</v>
      </c>
      <c r="B21083" s="3" t="s">
        <v>17495</v>
      </c>
      <c r="C21083" s="5" t="s">
        <v>206</v>
      </c>
      <c r="D21083" s="3" t="s">
        <v>68</v>
      </c>
      <c r="E21083" s="3" t="s">
        <v>100</v>
      </c>
      <c r="F21083" s="7">
        <v>46152.348842531675</v>
      </c>
      <c r="G21083" s="3" t="s">
        <v>34533</v>
      </c>
    </row>
    <row r="21084">
      <c r="A21084" s="3" t="s">
        <v>37344</v>
      </c>
      <c r="B21084" s="3" t="s">
        <v>17497</v>
      </c>
      <c r="C21084" s="5" t="s">
        <v>45</v>
      </c>
      <c r="D21084" s="3" t="s">
        <v>221</v>
      </c>
      <c r="E21084" s="3" t="s">
        <v>805</v>
      </c>
      <c r="F21084" s="7">
        <v>46152.40960071043</v>
      </c>
      <c r="G21084" s="3" t="s">
        <v>30273</v>
      </c>
    </row>
    <row r="21085">
      <c r="A21085" s="3" t="s">
        <v>37345</v>
      </c>
      <c r="B21085" s="3" t="s">
        <v>17497</v>
      </c>
      <c r="C21085" s="5" t="s">
        <v>221</v>
      </c>
      <c r="D21085" s="3" t="s">
        <v>614</v>
      </c>
      <c r="E21085" s="3" t="s">
        <v>118</v>
      </c>
      <c r="F21085" s="7">
        <v>46152.41307293265</v>
      </c>
      <c r="G21085" s="3" t="s">
        <v>30275</v>
      </c>
    </row>
    <row r="21086">
      <c r="A21086" s="3" t="s">
        <v>37346</v>
      </c>
      <c r="B21086" s="3" t="s">
        <v>17497</v>
      </c>
      <c r="C21086" s="5" t="s">
        <v>614</v>
      </c>
      <c r="D21086" s="3" t="s">
        <v>206</v>
      </c>
      <c r="E21086" s="3" t="s">
        <v>100</v>
      </c>
      <c r="F21086" s="7">
        <v>46152.416545154876</v>
      </c>
      <c r="G21086" s="3" t="s">
        <v>30277</v>
      </c>
    </row>
    <row r="21087">
      <c r="A21087" s="3" t="s">
        <v>37347</v>
      </c>
      <c r="B21087" s="3" t="s">
        <v>17497</v>
      </c>
      <c r="C21087" s="5" t="s">
        <v>206</v>
      </c>
      <c r="D21087" s="3" t="s">
        <v>68</v>
      </c>
      <c r="E21087" s="3" t="s">
        <v>100</v>
      </c>
      <c r="F21087" s="7">
        <v>46152.420017377095</v>
      </c>
      <c r="G21087" s="3" t="s">
        <v>30279</v>
      </c>
    </row>
    <row r="21088">
      <c r="A21088" s="3" t="s">
        <v>37348</v>
      </c>
      <c r="B21088" s="3" t="s">
        <v>17500</v>
      </c>
      <c r="C21088" s="5" t="s">
        <v>45</v>
      </c>
      <c r="D21088" s="3" t="s">
        <v>221</v>
      </c>
      <c r="E21088" s="3" t="s">
        <v>449</v>
      </c>
      <c r="F21088" s="7">
        <v>46152.48077555584</v>
      </c>
      <c r="G21088" s="3" t="s">
        <v>17598</v>
      </c>
    </row>
    <row r="21089">
      <c r="A21089" s="3" t="s">
        <v>37349</v>
      </c>
      <c r="B21089" s="3" t="s">
        <v>17500</v>
      </c>
      <c r="C21089" s="5" t="s">
        <v>221</v>
      </c>
      <c r="D21089" s="3" t="s">
        <v>614</v>
      </c>
      <c r="E21089" s="3" t="s">
        <v>118</v>
      </c>
      <c r="F21089" s="7">
        <v>46152.48424777806</v>
      </c>
      <c r="G21089" s="3" t="s">
        <v>17601</v>
      </c>
    </row>
    <row r="21090">
      <c r="A21090" s="3" t="s">
        <v>37350</v>
      </c>
      <c r="B21090" s="3" t="s">
        <v>17500</v>
      </c>
      <c r="C21090" s="5" t="s">
        <v>614</v>
      </c>
      <c r="D21090" s="3" t="s">
        <v>206</v>
      </c>
      <c r="E21090" s="3" t="s">
        <v>100</v>
      </c>
      <c r="F21090" s="7">
        <v>46152.48772000029</v>
      </c>
      <c r="G21090" s="3" t="s">
        <v>17604</v>
      </c>
    </row>
    <row r="21091">
      <c r="A21091" s="3" t="s">
        <v>37351</v>
      </c>
      <c r="B21091" s="3" t="s">
        <v>17500</v>
      </c>
      <c r="C21091" s="5" t="s">
        <v>206</v>
      </c>
      <c r="D21091" s="3" t="s">
        <v>68</v>
      </c>
      <c r="E21091" s="3" t="s">
        <v>100</v>
      </c>
      <c r="F21091" s="7">
        <v>46152.49119222251</v>
      </c>
      <c r="G21091" s="3" t="s">
        <v>17607</v>
      </c>
    </row>
    <row r="21092">
      <c r="A21092" s="3" t="s">
        <v>37352</v>
      </c>
      <c r="B21092" s="3" t="s">
        <v>17502</v>
      </c>
      <c r="C21092" s="5" t="s">
        <v>45</v>
      </c>
      <c r="D21092" s="3" t="s">
        <v>221</v>
      </c>
      <c r="E21092" s="3" t="s">
        <v>669</v>
      </c>
      <c r="F21092" s="7">
        <v>46152.55195040126</v>
      </c>
      <c r="G21092" s="3" t="s">
        <v>4996</v>
      </c>
    </row>
    <row r="21093">
      <c r="A21093" s="3" t="s">
        <v>37353</v>
      </c>
      <c r="B21093" s="3" t="s">
        <v>17502</v>
      </c>
      <c r="C21093" s="5" t="s">
        <v>221</v>
      </c>
      <c r="D21093" s="3" t="s">
        <v>614</v>
      </c>
      <c r="E21093" s="3" t="s">
        <v>118</v>
      </c>
      <c r="F21093" s="7">
        <v>46152.55542262348</v>
      </c>
      <c r="G21093" s="3" t="s">
        <v>4999</v>
      </c>
    </row>
    <row r="21094">
      <c r="A21094" s="3" t="s">
        <v>37354</v>
      </c>
      <c r="B21094" s="3" t="s">
        <v>17502</v>
      </c>
      <c r="C21094" s="5" t="s">
        <v>614</v>
      </c>
      <c r="D21094" s="3" t="s">
        <v>206</v>
      </c>
      <c r="E21094" s="3" t="s">
        <v>100</v>
      </c>
      <c r="F21094" s="7">
        <v>46152.55889484571</v>
      </c>
      <c r="G21094" s="3" t="s">
        <v>5002</v>
      </c>
    </row>
    <row r="21095">
      <c r="A21095" s="3" t="s">
        <v>37355</v>
      </c>
      <c r="B21095" s="3" t="s">
        <v>17502</v>
      </c>
      <c r="C21095" s="5" t="s">
        <v>206</v>
      </c>
      <c r="D21095" s="3" t="s">
        <v>68</v>
      </c>
      <c r="E21095" s="3" t="s">
        <v>100</v>
      </c>
      <c r="F21095" s="7">
        <v>46152.56236706793</v>
      </c>
      <c r="G21095" s="3" t="s">
        <v>5004</v>
      </c>
    </row>
    <row r="21096">
      <c r="A21096" s="3" t="s">
        <v>37356</v>
      </c>
      <c r="B21096" s="3" t="s">
        <v>17505</v>
      </c>
      <c r="C21096" s="5" t="s">
        <v>45</v>
      </c>
      <c r="D21096" s="3" t="s">
        <v>221</v>
      </c>
      <c r="E21096" s="3" t="s">
        <v>290</v>
      </c>
      <c r="F21096" s="7">
        <v>46152.623125246675</v>
      </c>
      <c r="G21096" s="3" t="s">
        <v>33282</v>
      </c>
    </row>
    <row r="21097">
      <c r="A21097" s="3" t="s">
        <v>37357</v>
      </c>
      <c r="B21097" s="3" t="s">
        <v>17505</v>
      </c>
      <c r="C21097" s="5" t="s">
        <v>221</v>
      </c>
      <c r="D21097" s="3" t="s">
        <v>195</v>
      </c>
      <c r="E21097" s="3" t="s">
        <v>290</v>
      </c>
      <c r="F21097" s="7">
        <v>46152.626597468894</v>
      </c>
      <c r="G21097" s="3" t="s">
        <v>37358</v>
      </c>
    </row>
    <row r="21098">
      <c r="A21098" s="3" t="s">
        <v>37359</v>
      </c>
      <c r="B21098" s="3" t="s">
        <v>17508</v>
      </c>
      <c r="C21098" s="5" t="s">
        <v>45</v>
      </c>
      <c r="D21098" s="3" t="s">
        <v>221</v>
      </c>
      <c r="E21098" s="3" t="s">
        <v>256</v>
      </c>
      <c r="F21098" s="7">
        <v>46152.694300092095</v>
      </c>
      <c r="G21098" s="3" t="s">
        <v>25813</v>
      </c>
    </row>
    <row r="21099">
      <c r="A21099" s="3" t="s">
        <v>37360</v>
      </c>
      <c r="B21099" s="3" t="s">
        <v>17508</v>
      </c>
      <c r="C21099" s="5" t="s">
        <v>221</v>
      </c>
      <c r="D21099" s="3" t="s">
        <v>614</v>
      </c>
      <c r="E21099" s="3" t="s">
        <v>118</v>
      </c>
      <c r="F21099" s="7">
        <v>46152.69777231431</v>
      </c>
      <c r="G21099" s="3" t="s">
        <v>27432</v>
      </c>
    </row>
    <row r="21100">
      <c r="A21100" s="3" t="s">
        <v>37361</v>
      </c>
      <c r="B21100" s="3" t="s">
        <v>17508</v>
      </c>
      <c r="C21100" s="5" t="s">
        <v>614</v>
      </c>
      <c r="D21100" s="3" t="s">
        <v>206</v>
      </c>
      <c r="E21100" s="3" t="s">
        <v>100</v>
      </c>
      <c r="F21100" s="7">
        <v>46152.70124453654</v>
      </c>
      <c r="G21100" s="3" t="s">
        <v>27434</v>
      </c>
    </row>
    <row r="21101">
      <c r="A21101" s="3" t="s">
        <v>37362</v>
      </c>
      <c r="B21101" s="3" t="s">
        <v>17508</v>
      </c>
      <c r="C21101" s="5" t="s">
        <v>206</v>
      </c>
      <c r="D21101" s="3" t="s">
        <v>68</v>
      </c>
      <c r="E21101" s="3" t="s">
        <v>100</v>
      </c>
      <c r="F21101" s="7">
        <v>46152.70471675876</v>
      </c>
      <c r="G21101" s="3" t="s">
        <v>27436</v>
      </c>
    </row>
    <row r="21102">
      <c r="A21102" s="3" t="s">
        <v>37363</v>
      </c>
      <c r="B21102" s="3" t="s">
        <v>17513</v>
      </c>
      <c r="C21102" s="5" t="s">
        <v>45</v>
      </c>
      <c r="D21102" s="3" t="s">
        <v>221</v>
      </c>
      <c r="E21102" s="3" t="s">
        <v>527</v>
      </c>
      <c r="F21102" s="7">
        <v>46152.76547493751</v>
      </c>
      <c r="G21102" s="3" t="s">
        <v>30023</v>
      </c>
    </row>
    <row r="21103">
      <c r="A21103" s="3" t="s">
        <v>37364</v>
      </c>
      <c r="B21103" s="3" t="s">
        <v>17513</v>
      </c>
      <c r="C21103" s="5" t="s">
        <v>221</v>
      </c>
      <c r="D21103" s="3" t="s">
        <v>614</v>
      </c>
      <c r="E21103" s="3" t="s">
        <v>118</v>
      </c>
      <c r="F21103" s="7">
        <v>46152.768947159726</v>
      </c>
      <c r="G21103" s="3" t="s">
        <v>30025</v>
      </c>
    </row>
    <row r="21104">
      <c r="A21104" s="3" t="s">
        <v>37365</v>
      </c>
      <c r="B21104" s="3" t="s">
        <v>17513</v>
      </c>
      <c r="C21104" s="5" t="s">
        <v>614</v>
      </c>
      <c r="D21104" s="3" t="s">
        <v>206</v>
      </c>
      <c r="E21104" s="3" t="s">
        <v>100</v>
      </c>
      <c r="F21104" s="7">
        <v>46152.77241938195</v>
      </c>
      <c r="G21104" s="3" t="s">
        <v>30027</v>
      </c>
    </row>
    <row r="21105">
      <c r="A21105" s="3" t="s">
        <v>37366</v>
      </c>
      <c r="B21105" s="3" t="s">
        <v>17513</v>
      </c>
      <c r="C21105" s="5" t="s">
        <v>206</v>
      </c>
      <c r="D21105" s="3" t="s">
        <v>68</v>
      </c>
      <c r="E21105" s="3" t="s">
        <v>100</v>
      </c>
      <c r="F21105" s="7">
        <v>46152.77589160417</v>
      </c>
      <c r="G21105" s="3" t="s">
        <v>30029</v>
      </c>
    </row>
    <row r="21106">
      <c r="A21106" s="3" t="s">
        <v>37367</v>
      </c>
      <c r="B21106" s="3" t="s">
        <v>17516</v>
      </c>
      <c r="C21106" s="5" t="s">
        <v>45</v>
      </c>
      <c r="D21106" s="3" t="s">
        <v>221</v>
      </c>
      <c r="E21106" s="3" t="s">
        <v>756</v>
      </c>
      <c r="F21106" s="7">
        <v>46152.83664978292</v>
      </c>
      <c r="G21106" s="3" t="s">
        <v>16675</v>
      </c>
    </row>
    <row r="21107">
      <c r="A21107" s="3" t="s">
        <v>37368</v>
      </c>
      <c r="B21107" s="3" t="s">
        <v>17516</v>
      </c>
      <c r="C21107" s="5" t="s">
        <v>221</v>
      </c>
      <c r="D21107" s="3" t="s">
        <v>614</v>
      </c>
      <c r="E21107" s="3" t="s">
        <v>118</v>
      </c>
      <c r="F21107" s="7">
        <v>46152.84012200514</v>
      </c>
      <c r="G21107" s="3" t="s">
        <v>16678</v>
      </c>
    </row>
    <row r="21108">
      <c r="A21108" s="3" t="s">
        <v>37369</v>
      </c>
      <c r="B21108" s="3" t="s">
        <v>17516</v>
      </c>
      <c r="C21108" s="5" t="s">
        <v>614</v>
      </c>
      <c r="D21108" s="3" t="s">
        <v>206</v>
      </c>
      <c r="E21108" s="3" t="s">
        <v>100</v>
      </c>
      <c r="F21108" s="7">
        <v>46152.843594227365</v>
      </c>
      <c r="G21108" s="3" t="s">
        <v>16681</v>
      </c>
    </row>
    <row r="21109">
      <c r="A21109" s="3" t="s">
        <v>37370</v>
      </c>
      <c r="B21109" s="3" t="s">
        <v>17516</v>
      </c>
      <c r="C21109" s="5" t="s">
        <v>206</v>
      </c>
      <c r="D21109" s="3" t="s">
        <v>68</v>
      </c>
      <c r="E21109" s="3" t="s">
        <v>100</v>
      </c>
      <c r="F21109" s="7">
        <v>46152.84706644958</v>
      </c>
      <c r="G21109" s="3" t="s">
        <v>16683</v>
      </c>
    </row>
    <row r="21110">
      <c r="A21110" s="3" t="s">
        <v>37371</v>
      </c>
      <c r="B21110" s="3" t="s">
        <v>17519</v>
      </c>
      <c r="C21110" s="5" t="s">
        <v>45</v>
      </c>
      <c r="D21110" s="3" t="s">
        <v>221</v>
      </c>
      <c r="E21110" s="3" t="s">
        <v>622</v>
      </c>
      <c r="F21110" s="7">
        <v>46152.90782462834</v>
      </c>
      <c r="G21110" s="3" t="s">
        <v>4124</v>
      </c>
    </row>
    <row r="21111">
      <c r="A21111" s="3" t="s">
        <v>37372</v>
      </c>
      <c r="B21111" s="3" t="s">
        <v>17519</v>
      </c>
      <c r="C21111" s="5" t="s">
        <v>221</v>
      </c>
      <c r="D21111" s="3" t="s">
        <v>614</v>
      </c>
      <c r="E21111" s="3" t="s">
        <v>118</v>
      </c>
      <c r="F21111" s="7">
        <v>46152.91129685056</v>
      </c>
      <c r="G21111" s="3" t="s">
        <v>4127</v>
      </c>
    </row>
    <row r="21112">
      <c r="A21112" s="3" t="s">
        <v>37373</v>
      </c>
      <c r="B21112" s="3" t="s">
        <v>17519</v>
      </c>
      <c r="C21112" s="5" t="s">
        <v>614</v>
      </c>
      <c r="D21112" s="3" t="s">
        <v>206</v>
      </c>
      <c r="E21112" s="3" t="s">
        <v>100</v>
      </c>
      <c r="F21112" s="7">
        <v>46152.914769072784</v>
      </c>
      <c r="G21112" s="3" t="s">
        <v>4130</v>
      </c>
    </row>
    <row r="21113">
      <c r="A21113" s="3" t="s">
        <v>37374</v>
      </c>
      <c r="B21113" s="3" t="s">
        <v>17519</v>
      </c>
      <c r="C21113" s="5" t="s">
        <v>206</v>
      </c>
      <c r="D21113" s="3" t="s">
        <v>68</v>
      </c>
      <c r="E21113" s="3" t="s">
        <v>100</v>
      </c>
      <c r="F21113" s="7">
        <v>46152.918241295</v>
      </c>
      <c r="G21113" s="3" t="s">
        <v>4133</v>
      </c>
    </row>
    <row r="21114">
      <c r="A21114" s="3" t="s">
        <v>37375</v>
      </c>
      <c r="B21114" s="3" t="s">
        <v>17522</v>
      </c>
      <c r="C21114" s="5" t="s">
        <v>45</v>
      </c>
      <c r="D21114" s="3" t="s">
        <v>221</v>
      </c>
      <c r="E21114" s="3" t="s">
        <v>366</v>
      </c>
      <c r="F21114" s="7">
        <v>46152.97899947375</v>
      </c>
      <c r="G21114" s="3" t="s">
        <v>2878</v>
      </c>
    </row>
    <row r="21115">
      <c r="A21115" s="3" t="s">
        <v>37376</v>
      </c>
      <c r="B21115" s="3" t="s">
        <v>17522</v>
      </c>
      <c r="C21115" s="5" t="s">
        <v>221</v>
      </c>
      <c r="D21115" s="3" t="s">
        <v>614</v>
      </c>
      <c r="E21115" s="3" t="s">
        <v>118</v>
      </c>
      <c r="F21115" s="7">
        <v>46152.98247169597</v>
      </c>
      <c r="G21115" s="3" t="s">
        <v>2881</v>
      </c>
    </row>
    <row r="21116">
      <c r="A21116" s="3" t="s">
        <v>37377</v>
      </c>
      <c r="B21116" s="3" t="s">
        <v>17522</v>
      </c>
      <c r="C21116" s="5" t="s">
        <v>614</v>
      </c>
      <c r="D21116" s="3" t="s">
        <v>206</v>
      </c>
      <c r="E21116" s="3" t="s">
        <v>100</v>
      </c>
      <c r="F21116" s="7">
        <v>46152.9859439182</v>
      </c>
      <c r="G21116" s="3" t="s">
        <v>2884</v>
      </c>
    </row>
    <row r="21117">
      <c r="A21117" s="3" t="s">
        <v>37378</v>
      </c>
      <c r="B21117" s="3" t="s">
        <v>17522</v>
      </c>
      <c r="C21117" s="5" t="s">
        <v>206</v>
      </c>
      <c r="D21117" s="3" t="s">
        <v>68</v>
      </c>
      <c r="E21117" s="3" t="s">
        <v>100</v>
      </c>
      <c r="F21117" s="7">
        <v>46152.989416140415</v>
      </c>
      <c r="G21117" s="3" t="s">
        <v>2887</v>
      </c>
    </row>
    <row r="21118">
      <c r="A21118" s="3" t="s">
        <v>37379</v>
      </c>
      <c r="B21118" s="3" t="s">
        <v>17526</v>
      </c>
      <c r="C21118" s="5" t="s">
        <v>45</v>
      </c>
      <c r="D21118" s="3" t="s">
        <v>221</v>
      </c>
      <c r="E21118" s="3" t="s">
        <v>665</v>
      </c>
      <c r="F21118" s="7">
        <v>46153.05017431916</v>
      </c>
      <c r="G21118" s="3" t="s">
        <v>26268</v>
      </c>
    </row>
    <row r="21119">
      <c r="A21119" s="3" t="s">
        <v>37380</v>
      </c>
      <c r="B21119" s="3" t="s">
        <v>17526</v>
      </c>
      <c r="C21119" s="5" t="s">
        <v>221</v>
      </c>
      <c r="D21119" s="3" t="s">
        <v>614</v>
      </c>
      <c r="E21119" s="3" t="s">
        <v>118</v>
      </c>
      <c r="F21119" s="7">
        <v>46153.05364654138</v>
      </c>
      <c r="G21119" s="3" t="s">
        <v>26270</v>
      </c>
    </row>
    <row r="21120">
      <c r="A21120" s="3" t="s">
        <v>37381</v>
      </c>
      <c r="B21120" s="3" t="s">
        <v>17526</v>
      </c>
      <c r="C21120" s="5" t="s">
        <v>614</v>
      </c>
      <c r="D21120" s="3" t="s">
        <v>206</v>
      </c>
      <c r="E21120" s="3" t="s">
        <v>100</v>
      </c>
      <c r="F21120" s="7">
        <v>46153.05711876361</v>
      </c>
      <c r="G21120" s="3" t="s">
        <v>26272</v>
      </c>
    </row>
    <row r="21121">
      <c r="A21121" s="3" t="s">
        <v>37382</v>
      </c>
      <c r="B21121" s="3" t="s">
        <v>17526</v>
      </c>
      <c r="C21121" s="5" t="s">
        <v>206</v>
      </c>
      <c r="D21121" s="3" t="s">
        <v>68</v>
      </c>
      <c r="E21121" s="3" t="s">
        <v>100</v>
      </c>
      <c r="F21121" s="7">
        <v>46153.06059098583</v>
      </c>
      <c r="G21121" s="3" t="s">
        <v>26274</v>
      </c>
    </row>
    <row r="21122">
      <c r="A21122" s="3" t="s">
        <v>37383</v>
      </c>
      <c r="B21122" s="3" t="s">
        <v>17528</v>
      </c>
      <c r="C21122" s="5" t="s">
        <v>45</v>
      </c>
      <c r="D21122" s="3" t="s">
        <v>221</v>
      </c>
      <c r="E21122" s="3" t="s">
        <v>145</v>
      </c>
      <c r="F21122" s="7">
        <v>46153.12134916458</v>
      </c>
      <c r="G21122" s="3" t="s">
        <v>14549</v>
      </c>
    </row>
    <row r="21123">
      <c r="A21123" s="3" t="s">
        <v>37384</v>
      </c>
      <c r="B21123" s="3" t="s">
        <v>17528</v>
      </c>
      <c r="C21123" s="5" t="s">
        <v>221</v>
      </c>
      <c r="D21123" s="3" t="s">
        <v>614</v>
      </c>
      <c r="E21123" s="3" t="s">
        <v>118</v>
      </c>
      <c r="F21123" s="7">
        <v>46153.1248213868</v>
      </c>
      <c r="G21123" s="3" t="s">
        <v>14552</v>
      </c>
    </row>
    <row r="21124">
      <c r="A21124" s="3" t="s">
        <v>37385</v>
      </c>
      <c r="B21124" s="3" t="s">
        <v>17528</v>
      </c>
      <c r="C21124" s="5" t="s">
        <v>614</v>
      </c>
      <c r="D21124" s="3" t="s">
        <v>206</v>
      </c>
      <c r="E21124" s="3" t="s">
        <v>100</v>
      </c>
      <c r="F21124" s="7">
        <v>46153.12829360903</v>
      </c>
      <c r="G21124" s="3" t="s">
        <v>14555</v>
      </c>
    </row>
    <row r="21125">
      <c r="A21125" s="3" t="s">
        <v>37386</v>
      </c>
      <c r="B21125" s="3" t="s">
        <v>17528</v>
      </c>
      <c r="C21125" s="5" t="s">
        <v>206</v>
      </c>
      <c r="D21125" s="3" t="s">
        <v>68</v>
      </c>
      <c r="E21125" s="3" t="s">
        <v>100</v>
      </c>
      <c r="F21125" s="7">
        <v>46153.13176583125</v>
      </c>
      <c r="G21125" s="3" t="s">
        <v>14558</v>
      </c>
    </row>
    <row r="21126">
      <c r="A21126" s="3" t="s">
        <v>37387</v>
      </c>
      <c r="B21126" s="3" t="s">
        <v>17530</v>
      </c>
      <c r="C21126" s="5" t="s">
        <v>45</v>
      </c>
      <c r="D21126" s="3" t="s">
        <v>221</v>
      </c>
      <c r="E21126" s="3" t="s">
        <v>183</v>
      </c>
      <c r="F21126" s="7">
        <v>46153.192524009995</v>
      </c>
      <c r="G21126" s="3" t="s">
        <v>10442</v>
      </c>
    </row>
    <row r="21127">
      <c r="A21127" s="3" t="s">
        <v>37388</v>
      </c>
      <c r="B21127" s="3" t="s">
        <v>17530</v>
      </c>
      <c r="C21127" s="5" t="s">
        <v>221</v>
      </c>
      <c r="D21127" s="3" t="s">
        <v>614</v>
      </c>
      <c r="E21127" s="3" t="s">
        <v>118</v>
      </c>
      <c r="F21127" s="7">
        <v>46153.195996232214</v>
      </c>
      <c r="G21127" s="3" t="s">
        <v>10444</v>
      </c>
    </row>
    <row r="21128">
      <c r="A21128" s="3" t="s">
        <v>37389</v>
      </c>
      <c r="B21128" s="3" t="s">
        <v>17530</v>
      </c>
      <c r="C21128" s="5" t="s">
        <v>614</v>
      </c>
      <c r="D21128" s="3" t="s">
        <v>206</v>
      </c>
      <c r="E21128" s="3" t="s">
        <v>100</v>
      </c>
      <c r="F21128" s="7">
        <v>46153.19946845444</v>
      </c>
      <c r="G21128" s="3" t="s">
        <v>10447</v>
      </c>
    </row>
    <row r="21129">
      <c r="A21129" s="3" t="s">
        <v>37390</v>
      </c>
      <c r="B21129" s="3" t="s">
        <v>17530</v>
      </c>
      <c r="C21129" s="5" t="s">
        <v>206</v>
      </c>
      <c r="D21129" s="3" t="s">
        <v>68</v>
      </c>
      <c r="E21129" s="3" t="s">
        <v>100</v>
      </c>
      <c r="F21129" s="7">
        <v>46153.20294067666</v>
      </c>
      <c r="G21129" s="3" t="s">
        <v>10450</v>
      </c>
    </row>
    <row r="21130">
      <c r="A21130" s="3" t="s">
        <v>37391</v>
      </c>
      <c r="B21130" s="3" t="s">
        <v>17533</v>
      </c>
      <c r="C21130" s="5" t="s">
        <v>45</v>
      </c>
      <c r="D21130" s="3" t="s">
        <v>221</v>
      </c>
      <c r="E21130" s="3" t="s">
        <v>987</v>
      </c>
      <c r="F21130" s="7">
        <v>46153.26369885541</v>
      </c>
      <c r="G21130" s="3" t="s">
        <v>2893</v>
      </c>
    </row>
    <row r="21131">
      <c r="A21131" s="3" t="s">
        <v>37392</v>
      </c>
      <c r="B21131" s="3" t="s">
        <v>17533</v>
      </c>
      <c r="C21131" s="5" t="s">
        <v>221</v>
      </c>
      <c r="D21131" s="3" t="s">
        <v>614</v>
      </c>
      <c r="E21131" s="3" t="s">
        <v>118</v>
      </c>
      <c r="F21131" s="7">
        <v>46153.26717107763</v>
      </c>
      <c r="G21131" s="3" t="s">
        <v>2896</v>
      </c>
    </row>
    <row r="21132">
      <c r="A21132" s="3" t="s">
        <v>37393</v>
      </c>
      <c r="B21132" s="3" t="s">
        <v>17533</v>
      </c>
      <c r="C21132" s="5" t="s">
        <v>614</v>
      </c>
      <c r="D21132" s="3" t="s">
        <v>206</v>
      </c>
      <c r="E21132" s="3" t="s">
        <v>100</v>
      </c>
      <c r="F21132" s="7">
        <v>46153.27064329985</v>
      </c>
      <c r="G21132" s="3" t="s">
        <v>2899</v>
      </c>
    </row>
    <row r="21133">
      <c r="A21133" s="3" t="s">
        <v>37394</v>
      </c>
      <c r="B21133" s="3" t="s">
        <v>17533</v>
      </c>
      <c r="C21133" s="5" t="s">
        <v>206</v>
      </c>
      <c r="D21133" s="3" t="s">
        <v>68</v>
      </c>
      <c r="E21133" s="3" t="s">
        <v>100</v>
      </c>
      <c r="F21133" s="7">
        <v>46153.27411552207</v>
      </c>
      <c r="G21133" s="3" t="s">
        <v>2902</v>
      </c>
    </row>
    <row r="21134">
      <c r="A21134" s="3" t="s">
        <v>37395</v>
      </c>
      <c r="B21134" s="3" t="s">
        <v>17535</v>
      </c>
      <c r="C21134" s="5" t="s">
        <v>45</v>
      </c>
      <c r="D21134" s="3" t="s">
        <v>221</v>
      </c>
      <c r="E21134" s="3" t="s">
        <v>1011</v>
      </c>
      <c r="F21134" s="7">
        <v>46153.33487370083</v>
      </c>
      <c r="G21134" s="3" t="s">
        <v>33066</v>
      </c>
    </row>
    <row r="21135">
      <c r="A21135" s="3" t="s">
        <v>37396</v>
      </c>
      <c r="B21135" s="3" t="s">
        <v>17535</v>
      </c>
      <c r="C21135" s="5" t="s">
        <v>221</v>
      </c>
      <c r="D21135" s="3" t="s">
        <v>614</v>
      </c>
      <c r="E21135" s="3" t="s">
        <v>118</v>
      </c>
      <c r="F21135" s="7">
        <v>46153.338345923046</v>
      </c>
      <c r="G21135" s="3" t="s">
        <v>33068</v>
      </c>
    </row>
    <row r="21136">
      <c r="A21136" s="3" t="s">
        <v>37397</v>
      </c>
      <c r="B21136" s="3" t="s">
        <v>17535</v>
      </c>
      <c r="C21136" s="5" t="s">
        <v>614</v>
      </c>
      <c r="D21136" s="3" t="s">
        <v>206</v>
      </c>
      <c r="E21136" s="3" t="s">
        <v>100</v>
      </c>
      <c r="F21136" s="7">
        <v>46153.34181814527</v>
      </c>
      <c r="G21136" s="3" t="s">
        <v>33070</v>
      </c>
    </row>
    <row r="21137">
      <c r="A21137" s="3" t="s">
        <v>37398</v>
      </c>
      <c r="B21137" s="3" t="s">
        <v>17535</v>
      </c>
      <c r="C21137" s="5" t="s">
        <v>206</v>
      </c>
      <c r="D21137" s="3" t="s">
        <v>68</v>
      </c>
      <c r="E21137" s="3" t="s">
        <v>100</v>
      </c>
      <c r="F21137" s="7">
        <v>46153.34529036749</v>
      </c>
      <c r="G21137" s="3" t="s">
        <v>33072</v>
      </c>
    </row>
    <row r="21138">
      <c r="A21138" s="3" t="s">
        <v>37399</v>
      </c>
      <c r="B21138" s="3" t="s">
        <v>17538</v>
      </c>
      <c r="C21138" s="5" t="s">
        <v>45</v>
      </c>
      <c r="D21138" s="3" t="s">
        <v>221</v>
      </c>
      <c r="E21138" s="3" t="s">
        <v>747</v>
      </c>
      <c r="F21138" s="7">
        <v>46153.40604854625</v>
      </c>
      <c r="G21138" s="3" t="s">
        <v>2905</v>
      </c>
    </row>
    <row r="21139">
      <c r="A21139" s="3" t="s">
        <v>37400</v>
      </c>
      <c r="B21139" s="3" t="s">
        <v>17538</v>
      </c>
      <c r="C21139" s="5" t="s">
        <v>221</v>
      </c>
      <c r="D21139" s="3" t="s">
        <v>614</v>
      </c>
      <c r="E21139" s="3" t="s">
        <v>118</v>
      </c>
      <c r="F21139" s="7">
        <v>46153.409520768466</v>
      </c>
      <c r="G21139" s="3" t="s">
        <v>2908</v>
      </c>
    </row>
    <row r="21140">
      <c r="A21140" s="3" t="s">
        <v>37401</v>
      </c>
      <c r="B21140" s="3" t="s">
        <v>17538</v>
      </c>
      <c r="C21140" s="5" t="s">
        <v>614</v>
      </c>
      <c r="D21140" s="3" t="s">
        <v>206</v>
      </c>
      <c r="E21140" s="3" t="s">
        <v>100</v>
      </c>
      <c r="F21140" s="7">
        <v>46153.41299299069</v>
      </c>
      <c r="G21140" s="3" t="s">
        <v>2911</v>
      </c>
    </row>
    <row r="21141">
      <c r="A21141" s="3" t="s">
        <v>37402</v>
      </c>
      <c r="B21141" s="3" t="s">
        <v>17538</v>
      </c>
      <c r="C21141" s="5" t="s">
        <v>206</v>
      </c>
      <c r="D21141" s="3" t="s">
        <v>68</v>
      </c>
      <c r="E21141" s="3" t="s">
        <v>100</v>
      </c>
      <c r="F21141" s="7">
        <v>46153.41646521291</v>
      </c>
      <c r="G21141" s="3" t="s">
        <v>2914</v>
      </c>
    </row>
    <row r="21142">
      <c r="A21142" s="3" t="s">
        <v>37403</v>
      </c>
      <c r="B21142" s="3" t="s">
        <v>17541</v>
      </c>
      <c r="C21142" s="5" t="s">
        <v>45</v>
      </c>
      <c r="D21142" s="3" t="s">
        <v>221</v>
      </c>
      <c r="E21142" s="3" t="s">
        <v>219</v>
      </c>
      <c r="F21142" s="7">
        <v>46153.47722339165</v>
      </c>
      <c r="G21142" s="3" t="s">
        <v>10743</v>
      </c>
    </row>
    <row r="21143">
      <c r="A21143" s="3" t="s">
        <v>37404</v>
      </c>
      <c r="B21143" s="3" t="s">
        <v>17541</v>
      </c>
      <c r="C21143" s="5" t="s">
        <v>221</v>
      </c>
      <c r="D21143" s="3" t="s">
        <v>614</v>
      </c>
      <c r="E21143" s="3" t="s">
        <v>118</v>
      </c>
      <c r="F21143" s="7">
        <v>46153.48069561387</v>
      </c>
      <c r="G21143" s="3" t="s">
        <v>10746</v>
      </c>
    </row>
    <row r="21144">
      <c r="A21144" s="3" t="s">
        <v>37405</v>
      </c>
      <c r="B21144" s="3" t="s">
        <v>17541</v>
      </c>
      <c r="C21144" s="5" t="s">
        <v>614</v>
      </c>
      <c r="D21144" s="3" t="s">
        <v>206</v>
      </c>
      <c r="E21144" s="3" t="s">
        <v>100</v>
      </c>
      <c r="F21144" s="7">
        <v>46153.4841678361</v>
      </c>
      <c r="G21144" s="3" t="s">
        <v>10749</v>
      </c>
    </row>
    <row r="21145">
      <c r="A21145" s="3" t="s">
        <v>37406</v>
      </c>
      <c r="B21145" s="3" t="s">
        <v>17541</v>
      </c>
      <c r="C21145" s="5" t="s">
        <v>206</v>
      </c>
      <c r="D21145" s="3" t="s">
        <v>68</v>
      </c>
      <c r="E21145" s="3" t="s">
        <v>100</v>
      </c>
      <c r="F21145" s="7">
        <v>46153.487640058316</v>
      </c>
      <c r="G21145" s="3" t="s">
        <v>10751</v>
      </c>
    </row>
    <row r="21146">
      <c r="A21146" s="3" t="s">
        <v>37407</v>
      </c>
      <c r="B21146" s="3" t="s">
        <v>17545</v>
      </c>
      <c r="C21146" s="5" t="s">
        <v>45</v>
      </c>
      <c r="D21146" s="3" t="s">
        <v>221</v>
      </c>
      <c r="E21146" s="3" t="s">
        <v>1049</v>
      </c>
      <c r="F21146" s="7">
        <v>46153.54839823707</v>
      </c>
      <c r="G21146" s="3" t="s">
        <v>16980</v>
      </c>
    </row>
    <row r="21147">
      <c r="A21147" s="3" t="s">
        <v>37408</v>
      </c>
      <c r="B21147" s="3" t="s">
        <v>17545</v>
      </c>
      <c r="C21147" s="5" t="s">
        <v>221</v>
      </c>
      <c r="D21147" s="3" t="s">
        <v>614</v>
      </c>
      <c r="E21147" s="3" t="s">
        <v>118</v>
      </c>
      <c r="F21147" s="7">
        <v>46153.55187045929</v>
      </c>
      <c r="G21147" s="3" t="s">
        <v>20304</v>
      </c>
    </row>
    <row r="21148">
      <c r="A21148" s="3" t="s">
        <v>37409</v>
      </c>
      <c r="B21148" s="3" t="s">
        <v>17545</v>
      </c>
      <c r="C21148" s="5" t="s">
        <v>614</v>
      </c>
      <c r="D21148" s="3" t="s">
        <v>206</v>
      </c>
      <c r="E21148" s="3" t="s">
        <v>100</v>
      </c>
      <c r="F21148" s="7">
        <v>46153.55534268152</v>
      </c>
      <c r="G21148" s="3" t="s">
        <v>20307</v>
      </c>
    </row>
    <row r="21149">
      <c r="A21149" s="3" t="s">
        <v>37410</v>
      </c>
      <c r="B21149" s="3" t="s">
        <v>17545</v>
      </c>
      <c r="C21149" s="5" t="s">
        <v>206</v>
      </c>
      <c r="D21149" s="3" t="s">
        <v>68</v>
      </c>
      <c r="E21149" s="3" t="s">
        <v>100</v>
      </c>
      <c r="F21149" s="7">
        <v>46153.558814903736</v>
      </c>
      <c r="G21149" s="3" t="s">
        <v>20310</v>
      </c>
    </row>
    <row r="21150">
      <c r="A21150" s="3" t="s">
        <v>37411</v>
      </c>
      <c r="B21150" s="3" t="s">
        <v>17548</v>
      </c>
      <c r="C21150" s="5" t="s">
        <v>45</v>
      </c>
      <c r="D21150" s="3" t="s">
        <v>221</v>
      </c>
      <c r="E21150" s="3" t="s">
        <v>961</v>
      </c>
      <c r="F21150" s="7">
        <v>46153.61957308249</v>
      </c>
      <c r="G21150" s="3" t="s">
        <v>19583</v>
      </c>
    </row>
    <row r="21151">
      <c r="A21151" s="3" t="s">
        <v>37412</v>
      </c>
      <c r="B21151" s="3" t="s">
        <v>17548</v>
      </c>
      <c r="C21151" s="5" t="s">
        <v>221</v>
      </c>
      <c r="D21151" s="3" t="s">
        <v>614</v>
      </c>
      <c r="E21151" s="3" t="s">
        <v>118</v>
      </c>
      <c r="F21151" s="7">
        <v>46153.62304530471</v>
      </c>
      <c r="G21151" s="3" t="s">
        <v>19586</v>
      </c>
    </row>
    <row r="21152">
      <c r="A21152" s="3" t="s">
        <v>37413</v>
      </c>
      <c r="B21152" s="3" t="s">
        <v>17548</v>
      </c>
      <c r="C21152" s="5" t="s">
        <v>614</v>
      </c>
      <c r="D21152" s="3" t="s">
        <v>206</v>
      </c>
      <c r="E21152" s="3" t="s">
        <v>100</v>
      </c>
      <c r="F21152" s="7">
        <v>46153.62651752694</v>
      </c>
      <c r="G21152" s="3" t="s">
        <v>19589</v>
      </c>
    </row>
    <row r="21153">
      <c r="A21153" s="3" t="s">
        <v>37414</v>
      </c>
      <c r="B21153" s="3" t="s">
        <v>17548</v>
      </c>
      <c r="C21153" s="5" t="s">
        <v>206</v>
      </c>
      <c r="D21153" s="3" t="s">
        <v>68</v>
      </c>
      <c r="E21153" s="3" t="s">
        <v>100</v>
      </c>
      <c r="F21153" s="7">
        <v>46153.629989749155</v>
      </c>
      <c r="G21153" s="3" t="s">
        <v>19591</v>
      </c>
    </row>
    <row r="21154">
      <c r="A21154" s="3" t="s">
        <v>37415</v>
      </c>
      <c r="B21154" s="3" t="s">
        <v>17552</v>
      </c>
      <c r="C21154" s="5" t="s">
        <v>45</v>
      </c>
      <c r="D21154" s="3" t="s">
        <v>221</v>
      </c>
      <c r="E21154" s="3" t="s">
        <v>424</v>
      </c>
      <c r="F21154" s="7">
        <v>46153.6907479279</v>
      </c>
      <c r="G21154" s="3" t="s">
        <v>2916</v>
      </c>
    </row>
    <row r="21155">
      <c r="A21155" s="3" t="s">
        <v>37416</v>
      </c>
      <c r="B21155" s="3" t="s">
        <v>17552</v>
      </c>
      <c r="C21155" s="5" t="s">
        <v>221</v>
      </c>
      <c r="D21155" s="3" t="s">
        <v>614</v>
      </c>
      <c r="E21155" s="3" t="s">
        <v>118</v>
      </c>
      <c r="F21155" s="7">
        <v>46153.69422015012</v>
      </c>
      <c r="G21155" s="3" t="s">
        <v>2919</v>
      </c>
    </row>
    <row r="21156">
      <c r="A21156" s="3" t="s">
        <v>37417</v>
      </c>
      <c r="B21156" s="3" t="s">
        <v>17552</v>
      </c>
      <c r="C21156" s="5" t="s">
        <v>614</v>
      </c>
      <c r="D21156" s="3" t="s">
        <v>206</v>
      </c>
      <c r="E21156" s="3" t="s">
        <v>100</v>
      </c>
      <c r="F21156" s="7">
        <v>46153.69769237235</v>
      </c>
      <c r="G21156" s="3" t="s">
        <v>2923</v>
      </c>
    </row>
    <row r="21157">
      <c r="A21157" s="3" t="s">
        <v>37418</v>
      </c>
      <c r="B21157" s="3" t="s">
        <v>17552</v>
      </c>
      <c r="C21157" s="5" t="s">
        <v>206</v>
      </c>
      <c r="D21157" s="3" t="s">
        <v>68</v>
      </c>
      <c r="E21157" s="3" t="s">
        <v>100</v>
      </c>
      <c r="F21157" s="7">
        <v>46153.70116459457</v>
      </c>
      <c r="G21157" s="3" t="s">
        <v>2926</v>
      </c>
    </row>
    <row r="21158">
      <c r="A21158" s="3" t="s">
        <v>37419</v>
      </c>
      <c r="B21158" s="3" t="s">
        <v>17555</v>
      </c>
      <c r="C21158" s="5" t="s">
        <v>45</v>
      </c>
      <c r="D21158" s="3" t="s">
        <v>221</v>
      </c>
      <c r="E21158" s="3" t="s">
        <v>455</v>
      </c>
      <c r="F21158" s="7">
        <v>46153.761922773316</v>
      </c>
      <c r="G21158" s="3" t="s">
        <v>2929</v>
      </c>
    </row>
    <row r="21159">
      <c r="A21159" s="3" t="s">
        <v>37420</v>
      </c>
      <c r="B21159" s="3" t="s">
        <v>17555</v>
      </c>
      <c r="C21159" s="5" t="s">
        <v>221</v>
      </c>
      <c r="D21159" s="3" t="s">
        <v>614</v>
      </c>
      <c r="E21159" s="3" t="s">
        <v>118</v>
      </c>
      <c r="F21159" s="7">
        <v>46153.765394995535</v>
      </c>
      <c r="G21159" s="3" t="s">
        <v>2931</v>
      </c>
    </row>
    <row r="21160">
      <c r="A21160" s="3" t="s">
        <v>37421</v>
      </c>
      <c r="B21160" s="3" t="s">
        <v>17555</v>
      </c>
      <c r="C21160" s="5" t="s">
        <v>614</v>
      </c>
      <c r="D21160" s="3" t="s">
        <v>206</v>
      </c>
      <c r="E21160" s="3" t="s">
        <v>100</v>
      </c>
      <c r="F21160" s="7">
        <v>46153.76886721776</v>
      </c>
      <c r="G21160" s="3" t="s">
        <v>2934</v>
      </c>
    </row>
    <row r="21161">
      <c r="A21161" s="3" t="s">
        <v>37422</v>
      </c>
      <c r="B21161" s="3" t="s">
        <v>17555</v>
      </c>
      <c r="C21161" s="5" t="s">
        <v>206</v>
      </c>
      <c r="D21161" s="3" t="s">
        <v>68</v>
      </c>
      <c r="E21161" s="3" t="s">
        <v>100</v>
      </c>
      <c r="F21161" s="7">
        <v>46153.77233943998</v>
      </c>
      <c r="G21161" s="3" t="s">
        <v>2937</v>
      </c>
    </row>
    <row r="21162">
      <c r="A21162" s="3" t="s">
        <v>37423</v>
      </c>
      <c r="B21162" s="3" t="s">
        <v>17558</v>
      </c>
      <c r="C21162" s="5" t="s">
        <v>45</v>
      </c>
      <c r="D21162" s="3" t="s">
        <v>221</v>
      </c>
      <c r="E21162" s="3" t="s">
        <v>685</v>
      </c>
      <c r="F21162" s="7">
        <v>46153.833097618735</v>
      </c>
      <c r="G21162" s="3" t="s">
        <v>17252</v>
      </c>
    </row>
    <row r="21163">
      <c r="A21163" s="3" t="s">
        <v>37424</v>
      </c>
      <c r="B21163" s="3" t="s">
        <v>17558</v>
      </c>
      <c r="C21163" s="5" t="s">
        <v>221</v>
      </c>
      <c r="D21163" s="3" t="s">
        <v>614</v>
      </c>
      <c r="E21163" s="3" t="s">
        <v>118</v>
      </c>
      <c r="F21163" s="7">
        <v>46153.836569840954</v>
      </c>
      <c r="G21163" s="3" t="s">
        <v>17255</v>
      </c>
    </row>
    <row r="21164">
      <c r="A21164" s="3" t="s">
        <v>37425</v>
      </c>
      <c r="B21164" s="3" t="s">
        <v>17558</v>
      </c>
      <c r="C21164" s="5" t="s">
        <v>614</v>
      </c>
      <c r="D21164" s="3" t="s">
        <v>206</v>
      </c>
      <c r="E21164" s="3" t="s">
        <v>100</v>
      </c>
      <c r="F21164" s="7">
        <v>46153.84004206318</v>
      </c>
      <c r="G21164" s="3" t="s">
        <v>17258</v>
      </c>
    </row>
    <row r="21165">
      <c r="A21165" s="3" t="s">
        <v>37426</v>
      </c>
      <c r="B21165" s="3" t="s">
        <v>17558</v>
      </c>
      <c r="C21165" s="5" t="s">
        <v>206</v>
      </c>
      <c r="D21165" s="3" t="s">
        <v>68</v>
      </c>
      <c r="E21165" s="3" t="s">
        <v>100</v>
      </c>
      <c r="F21165" s="7">
        <v>46153.8435142854</v>
      </c>
      <c r="G21165" s="3" t="s">
        <v>17260</v>
      </c>
    </row>
    <row r="21166">
      <c r="A21166" s="3" t="s">
        <v>37427</v>
      </c>
      <c r="B21166" s="3" t="s">
        <v>17561</v>
      </c>
      <c r="C21166" s="5" t="s">
        <v>45</v>
      </c>
      <c r="D21166" s="3" t="s">
        <v>221</v>
      </c>
      <c r="E21166" s="3" t="s">
        <v>398</v>
      </c>
      <c r="F21166" s="7">
        <v>46153.90427246415</v>
      </c>
      <c r="G21166" s="3" t="s">
        <v>24173</v>
      </c>
    </row>
    <row r="21167">
      <c r="A21167" s="3" t="s">
        <v>37428</v>
      </c>
      <c r="B21167" s="3" t="s">
        <v>17561</v>
      </c>
      <c r="C21167" s="5" t="s">
        <v>221</v>
      </c>
      <c r="D21167" s="3" t="s">
        <v>614</v>
      </c>
      <c r="E21167" s="3" t="s">
        <v>118</v>
      </c>
      <c r="F21167" s="7">
        <v>46153.90774468637</v>
      </c>
      <c r="G21167" s="3" t="s">
        <v>24175</v>
      </c>
    </row>
    <row r="21168">
      <c r="A21168" s="3" t="s">
        <v>37429</v>
      </c>
      <c r="B21168" s="3" t="s">
        <v>17561</v>
      </c>
      <c r="C21168" s="5" t="s">
        <v>614</v>
      </c>
      <c r="D21168" s="3" t="s">
        <v>206</v>
      </c>
      <c r="E21168" s="3" t="s">
        <v>100</v>
      </c>
      <c r="F21168" s="7">
        <v>46153.91121690859</v>
      </c>
      <c r="G21168" s="3" t="s">
        <v>24177</v>
      </c>
    </row>
    <row r="21169">
      <c r="A21169" s="3" t="s">
        <v>37430</v>
      </c>
      <c r="B21169" s="3" t="s">
        <v>17561</v>
      </c>
      <c r="C21169" s="5" t="s">
        <v>206</v>
      </c>
      <c r="D21169" s="3" t="s">
        <v>68</v>
      </c>
      <c r="E21169" s="3" t="s">
        <v>100</v>
      </c>
      <c r="F21169" s="7">
        <v>46153.91468913081</v>
      </c>
      <c r="G21169" s="3" t="s">
        <v>24179</v>
      </c>
    </row>
    <row r="21170">
      <c r="A21170" s="3" t="s">
        <v>37431</v>
      </c>
      <c r="B21170" s="3" t="s">
        <v>17564</v>
      </c>
      <c r="C21170" s="5" t="s">
        <v>45</v>
      </c>
      <c r="D21170" s="3" t="s">
        <v>221</v>
      </c>
      <c r="E21170" s="3" t="s">
        <v>704</v>
      </c>
      <c r="F21170" s="7">
        <v>46153.97544730956</v>
      </c>
      <c r="G21170" s="3" t="s">
        <v>2944</v>
      </c>
    </row>
    <row r="21171">
      <c r="A21171" s="3" t="s">
        <v>37432</v>
      </c>
      <c r="B21171" s="3" t="s">
        <v>17564</v>
      </c>
      <c r="C21171" s="5" t="s">
        <v>221</v>
      </c>
      <c r="D21171" s="3" t="s">
        <v>614</v>
      </c>
      <c r="E21171" s="3" t="s">
        <v>118</v>
      </c>
      <c r="F21171" s="7">
        <v>46153.97891953178</v>
      </c>
      <c r="G21171" s="3" t="s">
        <v>2948</v>
      </c>
    </row>
    <row r="21172">
      <c r="A21172" s="3" t="s">
        <v>37433</v>
      </c>
      <c r="B21172" s="3" t="s">
        <v>17564</v>
      </c>
      <c r="C21172" s="5" t="s">
        <v>614</v>
      </c>
      <c r="D21172" s="3" t="s">
        <v>206</v>
      </c>
      <c r="E21172" s="3" t="s">
        <v>100</v>
      </c>
      <c r="F21172" s="7">
        <v>46153.982391754005</v>
      </c>
      <c r="G21172" s="3" t="s">
        <v>2950</v>
      </c>
    </row>
    <row r="21173">
      <c r="A21173" s="3" t="s">
        <v>37434</v>
      </c>
      <c r="B21173" s="3" t="s">
        <v>17564</v>
      </c>
      <c r="C21173" s="5" t="s">
        <v>206</v>
      </c>
      <c r="D21173" s="3" t="s">
        <v>68</v>
      </c>
      <c r="E21173" s="3" t="s">
        <v>100</v>
      </c>
      <c r="F21173" s="7">
        <v>46153.985863976224</v>
      </c>
      <c r="G21173" s="3" t="s">
        <v>2953</v>
      </c>
    </row>
    <row r="21174">
      <c r="A21174" s="3" t="s">
        <v>37435</v>
      </c>
      <c r="B21174" s="3" t="s">
        <v>17568</v>
      </c>
      <c r="C21174" s="5" t="s">
        <v>45</v>
      </c>
      <c r="D21174" s="3" t="s">
        <v>221</v>
      </c>
      <c r="E21174" s="3" t="s">
        <v>260</v>
      </c>
      <c r="F21174" s="7">
        <v>46154.04662215498</v>
      </c>
      <c r="G21174" s="3" t="s">
        <v>2956</v>
      </c>
    </row>
    <row r="21175">
      <c r="A21175" s="3" t="s">
        <v>37436</v>
      </c>
      <c r="B21175" s="3" t="s">
        <v>17568</v>
      </c>
      <c r="C21175" s="5" t="s">
        <v>221</v>
      </c>
      <c r="D21175" s="3" t="s">
        <v>614</v>
      </c>
      <c r="E21175" s="3" t="s">
        <v>118</v>
      </c>
      <c r="F21175" s="7">
        <v>46154.0500943772</v>
      </c>
      <c r="G21175" s="3" t="s">
        <v>2959</v>
      </c>
    </row>
    <row r="21176">
      <c r="A21176" s="3" t="s">
        <v>37437</v>
      </c>
      <c r="B21176" s="3" t="s">
        <v>17568</v>
      </c>
      <c r="C21176" s="5" t="s">
        <v>614</v>
      </c>
      <c r="D21176" s="3" t="s">
        <v>206</v>
      </c>
      <c r="E21176" s="3" t="s">
        <v>100</v>
      </c>
      <c r="F21176" s="7">
        <v>46154.053566599425</v>
      </c>
      <c r="G21176" s="3" t="s">
        <v>2962</v>
      </c>
    </row>
    <row r="21177">
      <c r="A21177" s="3" t="s">
        <v>37438</v>
      </c>
      <c r="B21177" s="3" t="s">
        <v>17568</v>
      </c>
      <c r="C21177" s="5" t="s">
        <v>206</v>
      </c>
      <c r="D21177" s="3" t="s">
        <v>68</v>
      </c>
      <c r="E21177" s="3" t="s">
        <v>100</v>
      </c>
      <c r="F21177" s="7">
        <v>46154.057038821644</v>
      </c>
      <c r="G21177" s="3" t="s">
        <v>2965</v>
      </c>
    </row>
    <row r="21178">
      <c r="A21178" s="3" t="s">
        <v>37439</v>
      </c>
      <c r="B21178" s="3" t="s">
        <v>17570</v>
      </c>
      <c r="C21178" s="5" t="s">
        <v>45</v>
      </c>
      <c r="D21178" s="3" t="s">
        <v>221</v>
      </c>
      <c r="E21178" s="3" t="s">
        <v>591</v>
      </c>
      <c r="F21178" s="7">
        <v>46154.11779700039</v>
      </c>
      <c r="G21178" s="3" t="s">
        <v>23230</v>
      </c>
    </row>
    <row r="21179">
      <c r="A21179" s="3" t="s">
        <v>37440</v>
      </c>
      <c r="B21179" s="3" t="s">
        <v>17570</v>
      </c>
      <c r="C21179" s="5" t="s">
        <v>221</v>
      </c>
      <c r="D21179" s="3" t="s">
        <v>195</v>
      </c>
      <c r="E21179" s="3" t="s">
        <v>591</v>
      </c>
      <c r="F21179" s="7">
        <v>46154.12126922261</v>
      </c>
      <c r="G21179" s="3" t="s">
        <v>37203</v>
      </c>
    </row>
    <row r="21180">
      <c r="A21180" s="3" t="s">
        <v>37441</v>
      </c>
      <c r="B21180" s="3" t="s">
        <v>17572</v>
      </c>
      <c r="C21180" s="5" t="s">
        <v>45</v>
      </c>
      <c r="D21180" s="3" t="s">
        <v>221</v>
      </c>
      <c r="E21180" s="3" t="s">
        <v>860</v>
      </c>
      <c r="F21180" s="7">
        <v>46154.188971845804</v>
      </c>
      <c r="G21180" s="3" t="s">
        <v>28914</v>
      </c>
    </row>
    <row r="21181">
      <c r="A21181" s="3" t="s">
        <v>37442</v>
      </c>
      <c r="B21181" s="3" t="s">
        <v>17572</v>
      </c>
      <c r="C21181" s="5" t="s">
        <v>221</v>
      </c>
      <c r="D21181" s="3" t="s">
        <v>614</v>
      </c>
      <c r="E21181" s="3" t="s">
        <v>118</v>
      </c>
      <c r="F21181" s="7">
        <v>46154.19244406802</v>
      </c>
      <c r="G21181" s="3" t="s">
        <v>28916</v>
      </c>
    </row>
    <row r="21182">
      <c r="A21182" s="3" t="s">
        <v>37443</v>
      </c>
      <c r="B21182" s="3" t="s">
        <v>17572</v>
      </c>
      <c r="C21182" s="5" t="s">
        <v>614</v>
      </c>
      <c r="D21182" s="3" t="s">
        <v>206</v>
      </c>
      <c r="E21182" s="3" t="s">
        <v>100</v>
      </c>
      <c r="F21182" s="7">
        <v>46154.19591629025</v>
      </c>
      <c r="G21182" s="3" t="s">
        <v>28918</v>
      </c>
    </row>
    <row r="21183">
      <c r="A21183" s="3" t="s">
        <v>37444</v>
      </c>
      <c r="B21183" s="3" t="s">
        <v>17572</v>
      </c>
      <c r="C21183" s="5" t="s">
        <v>206</v>
      </c>
      <c r="D21183" s="3" t="s">
        <v>68</v>
      </c>
      <c r="E21183" s="3" t="s">
        <v>100</v>
      </c>
      <c r="F21183" s="7">
        <v>46154.19938851247</v>
      </c>
      <c r="G21183" s="3" t="s">
        <v>28920</v>
      </c>
    </row>
    <row r="21184">
      <c r="A21184" s="3" t="s">
        <v>37445</v>
      </c>
      <c r="B21184" s="3" t="s">
        <v>17575</v>
      </c>
      <c r="C21184" s="5" t="s">
        <v>45</v>
      </c>
      <c r="D21184" s="3" t="s">
        <v>221</v>
      </c>
      <c r="E21184" s="3" t="s">
        <v>612</v>
      </c>
      <c r="F21184" s="7">
        <v>46154.260146691224</v>
      </c>
      <c r="G21184" s="3" t="s">
        <v>2968</v>
      </c>
    </row>
    <row r="21185">
      <c r="A21185" s="3" t="s">
        <v>37446</v>
      </c>
      <c r="B21185" s="3" t="s">
        <v>17575</v>
      </c>
      <c r="C21185" s="5" t="s">
        <v>221</v>
      </c>
      <c r="D21185" s="3" t="s">
        <v>614</v>
      </c>
      <c r="E21185" s="3" t="s">
        <v>118</v>
      </c>
      <c r="F21185" s="7">
        <v>46154.26361891344</v>
      </c>
      <c r="G21185" s="3" t="s">
        <v>2971</v>
      </c>
    </row>
    <row r="21186">
      <c r="A21186" s="3" t="s">
        <v>37447</v>
      </c>
      <c r="B21186" s="3" t="s">
        <v>17575</v>
      </c>
      <c r="C21186" s="5" t="s">
        <v>614</v>
      </c>
      <c r="D21186" s="3" t="s">
        <v>206</v>
      </c>
      <c r="E21186" s="3" t="s">
        <v>100</v>
      </c>
      <c r="F21186" s="7">
        <v>46154.26709113567</v>
      </c>
      <c r="G21186" s="3" t="s">
        <v>2974</v>
      </c>
    </row>
    <row r="21187">
      <c r="A21187" s="3" t="s">
        <v>37448</v>
      </c>
      <c r="B21187" s="3" t="s">
        <v>17575</v>
      </c>
      <c r="C21187" s="5" t="s">
        <v>206</v>
      </c>
      <c r="D21187" s="3" t="s">
        <v>68</v>
      </c>
      <c r="E21187" s="3" t="s">
        <v>100</v>
      </c>
      <c r="F21187" s="7">
        <v>46154.27056335789</v>
      </c>
      <c r="G21187" s="3" t="s">
        <v>2976</v>
      </c>
    </row>
    <row r="21188">
      <c r="A21188" s="3" t="s">
        <v>37449</v>
      </c>
      <c r="B21188" s="3" t="s">
        <v>17577</v>
      </c>
      <c r="C21188" s="5" t="s">
        <v>45</v>
      </c>
      <c r="D21188" s="3" t="s">
        <v>221</v>
      </c>
      <c r="E21188" s="3" t="s">
        <v>546</v>
      </c>
      <c r="F21188" s="7">
        <v>46154.331321536636</v>
      </c>
      <c r="G21188" s="3" t="s">
        <v>16961</v>
      </c>
    </row>
    <row r="21189">
      <c r="A21189" s="3" t="s">
        <v>37450</v>
      </c>
      <c r="B21189" s="3" t="s">
        <v>17577</v>
      </c>
      <c r="C21189" s="5" t="s">
        <v>221</v>
      </c>
      <c r="D21189" s="3" t="s">
        <v>614</v>
      </c>
      <c r="E21189" s="3" t="s">
        <v>118</v>
      </c>
      <c r="F21189" s="7">
        <v>46154.334793758855</v>
      </c>
      <c r="G21189" s="3" t="s">
        <v>16964</v>
      </c>
    </row>
    <row r="21190">
      <c r="A21190" s="3" t="s">
        <v>37451</v>
      </c>
      <c r="B21190" s="3" t="s">
        <v>17577</v>
      </c>
      <c r="C21190" s="5" t="s">
        <v>614</v>
      </c>
      <c r="D21190" s="3" t="s">
        <v>206</v>
      </c>
      <c r="E21190" s="3" t="s">
        <v>100</v>
      </c>
      <c r="F21190" s="7">
        <v>46154.33826598108</v>
      </c>
      <c r="G21190" s="3" t="s">
        <v>16967</v>
      </c>
    </row>
    <row r="21191">
      <c r="A21191" s="3" t="s">
        <v>37452</v>
      </c>
      <c r="B21191" s="3" t="s">
        <v>17577</v>
      </c>
      <c r="C21191" s="5" t="s">
        <v>206</v>
      </c>
      <c r="D21191" s="3" t="s">
        <v>68</v>
      </c>
      <c r="E21191" s="3" t="s">
        <v>100</v>
      </c>
      <c r="F21191" s="7">
        <v>46154.3417382033</v>
      </c>
      <c r="G21191" s="3" t="s">
        <v>16969</v>
      </c>
    </row>
    <row r="21192">
      <c r="A21192" s="3" t="s">
        <v>37453</v>
      </c>
      <c r="B21192" s="3" t="s">
        <v>17579</v>
      </c>
      <c r="C21192" s="5" t="s">
        <v>45</v>
      </c>
      <c r="D21192" s="3" t="s">
        <v>221</v>
      </c>
      <c r="E21192" s="3" t="s">
        <v>479</v>
      </c>
      <c r="F21192" s="7">
        <v>46154.402496382056</v>
      </c>
      <c r="G21192" s="3" t="s">
        <v>37454</v>
      </c>
    </row>
    <row r="21193">
      <c r="A21193" s="3" t="s">
        <v>37455</v>
      </c>
      <c r="B21193" s="3" t="s">
        <v>17579</v>
      </c>
      <c r="C21193" s="5" t="s">
        <v>221</v>
      </c>
      <c r="D21193" s="3" t="s">
        <v>614</v>
      </c>
      <c r="E21193" s="3" t="s">
        <v>118</v>
      </c>
      <c r="F21193" s="7">
        <v>46154.405968604275</v>
      </c>
      <c r="G21193" s="3" t="s">
        <v>37456</v>
      </c>
    </row>
    <row r="21194">
      <c r="A21194" s="3" t="s">
        <v>37457</v>
      </c>
      <c r="B21194" s="3" t="s">
        <v>17579</v>
      </c>
      <c r="C21194" s="5" t="s">
        <v>614</v>
      </c>
      <c r="D21194" s="3" t="s">
        <v>206</v>
      </c>
      <c r="E21194" s="3" t="s">
        <v>100</v>
      </c>
      <c r="F21194" s="7">
        <v>46154.4094408265</v>
      </c>
      <c r="G21194" s="3" t="s">
        <v>37458</v>
      </c>
    </row>
    <row r="21195">
      <c r="A21195" s="3" t="s">
        <v>37459</v>
      </c>
      <c r="B21195" s="3" t="s">
        <v>17579</v>
      </c>
      <c r="C21195" s="5" t="s">
        <v>206</v>
      </c>
      <c r="D21195" s="3" t="s">
        <v>68</v>
      </c>
      <c r="E21195" s="3" t="s">
        <v>100</v>
      </c>
      <c r="F21195" s="7">
        <v>46154.41291304872</v>
      </c>
      <c r="G21195" s="3" t="s">
        <v>37460</v>
      </c>
    </row>
    <row r="21196">
      <c r="A21196" s="3" t="s">
        <v>37461</v>
      </c>
      <c r="B21196" s="3" t="s">
        <v>17582</v>
      </c>
      <c r="C21196" s="5" t="s">
        <v>45</v>
      </c>
      <c r="D21196" s="3" t="s">
        <v>221</v>
      </c>
      <c r="E21196" s="3" t="s">
        <v>310</v>
      </c>
      <c r="F21196" s="7">
        <v>46154.47367122747</v>
      </c>
      <c r="G21196" s="3" t="s">
        <v>11547</v>
      </c>
    </row>
    <row r="21197">
      <c r="A21197" s="3" t="s">
        <v>37462</v>
      </c>
      <c r="B21197" s="3" t="s">
        <v>17582</v>
      </c>
      <c r="C21197" s="5" t="s">
        <v>221</v>
      </c>
      <c r="D21197" s="3" t="s">
        <v>614</v>
      </c>
      <c r="E21197" s="3" t="s">
        <v>118</v>
      </c>
      <c r="F21197" s="7">
        <v>46154.47714344969</v>
      </c>
      <c r="G21197" s="3" t="s">
        <v>11550</v>
      </c>
    </row>
    <row r="21198">
      <c r="A21198" s="3" t="s">
        <v>37463</v>
      </c>
      <c r="B21198" s="3" t="s">
        <v>17582</v>
      </c>
      <c r="C21198" s="5" t="s">
        <v>614</v>
      </c>
      <c r="D21198" s="3" t="s">
        <v>206</v>
      </c>
      <c r="E21198" s="3" t="s">
        <v>100</v>
      </c>
      <c r="F21198" s="7">
        <v>46154.48061567191</v>
      </c>
      <c r="G21198" s="3" t="s">
        <v>11553</v>
      </c>
    </row>
    <row r="21199">
      <c r="A21199" s="3" t="s">
        <v>37464</v>
      </c>
      <c r="B21199" s="3" t="s">
        <v>17582</v>
      </c>
      <c r="C21199" s="5" t="s">
        <v>206</v>
      </c>
      <c r="D21199" s="3" t="s">
        <v>68</v>
      </c>
      <c r="E21199" s="3" t="s">
        <v>100</v>
      </c>
      <c r="F21199" s="7">
        <v>46154.48408789413</v>
      </c>
      <c r="G21199" s="3" t="s">
        <v>11557</v>
      </c>
    </row>
    <row r="21200">
      <c r="A21200" s="3" t="s">
        <v>37465</v>
      </c>
      <c r="B21200" s="3" t="s">
        <v>17585</v>
      </c>
      <c r="C21200" s="5" t="s">
        <v>45</v>
      </c>
      <c r="D21200" s="3" t="s">
        <v>221</v>
      </c>
      <c r="E21200" s="3" t="s">
        <v>616</v>
      </c>
      <c r="F21200" s="7">
        <v>46154.54484607289</v>
      </c>
      <c r="G21200" s="3" t="s">
        <v>21020</v>
      </c>
    </row>
    <row r="21201">
      <c r="A21201" s="3" t="s">
        <v>37466</v>
      </c>
      <c r="B21201" s="3" t="s">
        <v>17585</v>
      </c>
      <c r="C21201" s="5" t="s">
        <v>221</v>
      </c>
      <c r="D21201" s="3" t="s">
        <v>614</v>
      </c>
      <c r="E21201" s="3" t="s">
        <v>118</v>
      </c>
      <c r="F21201" s="7">
        <v>46154.54831829511</v>
      </c>
      <c r="G21201" s="3" t="s">
        <v>21023</v>
      </c>
    </row>
    <row r="21202">
      <c r="A21202" s="3" t="s">
        <v>37467</v>
      </c>
      <c r="B21202" s="3" t="s">
        <v>17585</v>
      </c>
      <c r="C21202" s="5" t="s">
        <v>614</v>
      </c>
      <c r="D21202" s="3" t="s">
        <v>206</v>
      </c>
      <c r="E21202" s="3" t="s">
        <v>100</v>
      </c>
      <c r="F21202" s="7">
        <v>46154.55179051733</v>
      </c>
      <c r="G21202" s="3" t="s">
        <v>21026</v>
      </c>
    </row>
    <row r="21203">
      <c r="A21203" s="3" t="s">
        <v>37468</v>
      </c>
      <c r="B21203" s="3" t="s">
        <v>17585</v>
      </c>
      <c r="C21203" s="5" t="s">
        <v>206</v>
      </c>
      <c r="D21203" s="3" t="s">
        <v>68</v>
      </c>
      <c r="E21203" s="3" t="s">
        <v>100</v>
      </c>
      <c r="F21203" s="7">
        <v>46154.55526273955</v>
      </c>
      <c r="G21203" s="3" t="s">
        <v>21029</v>
      </c>
    </row>
    <row r="21204">
      <c r="A21204" s="3" t="s">
        <v>37469</v>
      </c>
      <c r="B21204" s="3" t="s">
        <v>17588</v>
      </c>
      <c r="C21204" s="5" t="s">
        <v>45</v>
      </c>
      <c r="D21204" s="3" t="s">
        <v>221</v>
      </c>
      <c r="E21204" s="3" t="s">
        <v>135</v>
      </c>
      <c r="F21204" s="7">
        <v>46154.61602091829</v>
      </c>
      <c r="G21204" s="3" t="s">
        <v>37470</v>
      </c>
    </row>
    <row r="21205">
      <c r="A21205" s="3" t="s">
        <v>37471</v>
      </c>
      <c r="B21205" s="3" t="s">
        <v>17588</v>
      </c>
      <c r="C21205" s="5" t="s">
        <v>221</v>
      </c>
      <c r="D21205" s="3" t="s">
        <v>614</v>
      </c>
      <c r="E21205" s="3" t="s">
        <v>118</v>
      </c>
      <c r="F21205" s="7">
        <v>46154.61949314051</v>
      </c>
      <c r="G21205" s="3" t="s">
        <v>37472</v>
      </c>
    </row>
    <row r="21206">
      <c r="A21206" s="3" t="s">
        <v>37473</v>
      </c>
      <c r="B21206" s="3" t="s">
        <v>17588</v>
      </c>
      <c r="C21206" s="5" t="s">
        <v>614</v>
      </c>
      <c r="D21206" s="3" t="s">
        <v>206</v>
      </c>
      <c r="E21206" s="3" t="s">
        <v>100</v>
      </c>
      <c r="F21206" s="7">
        <v>46154.62296536274</v>
      </c>
      <c r="G21206" s="3" t="s">
        <v>37474</v>
      </c>
    </row>
    <row r="21207">
      <c r="A21207" s="3" t="s">
        <v>37475</v>
      </c>
      <c r="B21207" s="3" t="s">
        <v>17588</v>
      </c>
      <c r="C21207" s="5" t="s">
        <v>206</v>
      </c>
      <c r="D21207" s="3" t="s">
        <v>68</v>
      </c>
      <c r="E21207" s="3" t="s">
        <v>100</v>
      </c>
      <c r="F21207" s="7">
        <v>46154.62643758496</v>
      </c>
      <c r="G21207" s="3" t="s">
        <v>37476</v>
      </c>
    </row>
    <row r="21208">
      <c r="A21208" s="3" t="s">
        <v>37477</v>
      </c>
      <c r="B21208" s="3" t="s">
        <v>17590</v>
      </c>
      <c r="C21208" s="5" t="s">
        <v>45</v>
      </c>
      <c r="D21208" s="3" t="s">
        <v>221</v>
      </c>
      <c r="E21208" s="3" t="s">
        <v>253</v>
      </c>
      <c r="F21208" s="7">
        <v>46154.68719576371</v>
      </c>
      <c r="G21208" s="3" t="s">
        <v>12214</v>
      </c>
    </row>
    <row r="21209">
      <c r="A21209" s="3" t="s">
        <v>37478</v>
      </c>
      <c r="B21209" s="3" t="s">
        <v>17590</v>
      </c>
      <c r="C21209" s="5" t="s">
        <v>221</v>
      </c>
      <c r="D21209" s="3" t="s">
        <v>614</v>
      </c>
      <c r="E21209" s="3" t="s">
        <v>118</v>
      </c>
      <c r="F21209" s="7">
        <v>46154.69066798593</v>
      </c>
      <c r="G21209" s="3" t="s">
        <v>12217</v>
      </c>
    </row>
    <row r="21210">
      <c r="A21210" s="3" t="s">
        <v>37479</v>
      </c>
      <c r="B21210" s="3" t="s">
        <v>17590</v>
      </c>
      <c r="C21210" s="5" t="s">
        <v>614</v>
      </c>
      <c r="D21210" s="3" t="s">
        <v>206</v>
      </c>
      <c r="E21210" s="3" t="s">
        <v>100</v>
      </c>
      <c r="F21210" s="7">
        <v>46154.69414020816</v>
      </c>
      <c r="G21210" s="3" t="s">
        <v>12220</v>
      </c>
    </row>
    <row r="21211">
      <c r="A21211" s="3" t="s">
        <v>37480</v>
      </c>
      <c r="B21211" s="3" t="s">
        <v>17590</v>
      </c>
      <c r="C21211" s="5" t="s">
        <v>206</v>
      </c>
      <c r="D21211" s="3" t="s">
        <v>68</v>
      </c>
      <c r="E21211" s="3" t="s">
        <v>100</v>
      </c>
      <c r="F21211" s="7">
        <v>46154.69761243038</v>
      </c>
      <c r="G21211" s="3" t="s">
        <v>12223</v>
      </c>
    </row>
    <row r="21212">
      <c r="A21212" s="3" t="s">
        <v>37481</v>
      </c>
      <c r="B21212" s="3" t="s">
        <v>17593</v>
      </c>
      <c r="C21212" s="5" t="s">
        <v>45</v>
      </c>
      <c r="D21212" s="3" t="s">
        <v>221</v>
      </c>
      <c r="E21212" s="3" t="s">
        <v>678</v>
      </c>
      <c r="F21212" s="7">
        <v>46154.75837060913</v>
      </c>
      <c r="G21212" s="3" t="s">
        <v>8229</v>
      </c>
    </row>
    <row r="21213">
      <c r="A21213" s="3" t="s">
        <v>37482</v>
      </c>
      <c r="B21213" s="3" t="s">
        <v>17593</v>
      </c>
      <c r="C21213" s="5" t="s">
        <v>221</v>
      </c>
      <c r="D21213" s="3" t="s">
        <v>614</v>
      </c>
      <c r="E21213" s="3" t="s">
        <v>118</v>
      </c>
      <c r="F21213" s="7">
        <v>46154.76184283135</v>
      </c>
      <c r="G21213" s="3" t="s">
        <v>8231</v>
      </c>
    </row>
    <row r="21214">
      <c r="A21214" s="3" t="s">
        <v>37483</v>
      </c>
      <c r="B21214" s="3" t="s">
        <v>17593</v>
      </c>
      <c r="C21214" s="5" t="s">
        <v>614</v>
      </c>
      <c r="D21214" s="3" t="s">
        <v>206</v>
      </c>
      <c r="E21214" s="3" t="s">
        <v>100</v>
      </c>
      <c r="F21214" s="7">
        <v>46154.76531505358</v>
      </c>
      <c r="G21214" s="3" t="s">
        <v>8234</v>
      </c>
    </row>
    <row r="21215">
      <c r="A21215" s="3" t="s">
        <v>37484</v>
      </c>
      <c r="B21215" s="3" t="s">
        <v>17593</v>
      </c>
      <c r="C21215" s="5" t="s">
        <v>206</v>
      </c>
      <c r="D21215" s="3" t="s">
        <v>68</v>
      </c>
      <c r="E21215" s="3" t="s">
        <v>100</v>
      </c>
      <c r="F21215" s="7">
        <v>46154.768787275796</v>
      </c>
      <c r="G21215" s="3" t="s">
        <v>8237</v>
      </c>
    </row>
    <row r="21216">
      <c r="A21216" s="3" t="s">
        <v>37485</v>
      </c>
      <c r="B21216" s="3" t="s">
        <v>17597</v>
      </c>
      <c r="C21216" s="5" t="s">
        <v>45</v>
      </c>
      <c r="D21216" s="3" t="s">
        <v>221</v>
      </c>
      <c r="E21216" s="3" t="s">
        <v>168</v>
      </c>
      <c r="F21216" s="7">
        <v>46154.829545454544</v>
      </c>
      <c r="G21216" s="3" t="s">
        <v>36537</v>
      </c>
    </row>
    <row r="21217">
      <c r="A21217" s="3" t="s">
        <v>37486</v>
      </c>
      <c r="B21217" s="3" t="s">
        <v>17597</v>
      </c>
      <c r="C21217" s="5" t="s">
        <v>221</v>
      </c>
      <c r="D21217" s="3" t="s">
        <v>614</v>
      </c>
      <c r="E21217" s="3" t="s">
        <v>118</v>
      </c>
      <c r="F21217" s="7">
        <v>46154.83301767676</v>
      </c>
      <c r="G21217" s="3" t="s">
        <v>36546</v>
      </c>
    </row>
    <row r="21218">
      <c r="A21218" s="3" t="s">
        <v>37487</v>
      </c>
      <c r="B21218" s="3" t="s">
        <v>17597</v>
      </c>
      <c r="C21218" s="5" t="s">
        <v>614</v>
      </c>
      <c r="D21218" s="3" t="s">
        <v>206</v>
      </c>
      <c r="E21218" s="3" t="s">
        <v>100</v>
      </c>
      <c r="F21218" s="7">
        <v>46154.83648989899</v>
      </c>
      <c r="G21218" s="3" t="s">
        <v>36548</v>
      </c>
    </row>
    <row r="21219">
      <c r="A21219" s="3" t="s">
        <v>37488</v>
      </c>
      <c r="B21219" s="3" t="s">
        <v>17597</v>
      </c>
      <c r="C21219" s="5" t="s">
        <v>206</v>
      </c>
      <c r="D21219" s="3" t="s">
        <v>68</v>
      </c>
      <c r="E21219" s="3" t="s">
        <v>100</v>
      </c>
      <c r="F21219" s="7">
        <v>46154.83996212121</v>
      </c>
      <c r="G21219" s="3" t="s">
        <v>36550</v>
      </c>
    </row>
    <row r="21220">
      <c r="A21220" s="3" t="s">
        <v>37489</v>
      </c>
      <c r="B21220" s="3" t="s">
        <v>17600</v>
      </c>
      <c r="C21220" s="5" t="s">
        <v>45</v>
      </c>
      <c r="D21220" s="3" t="s">
        <v>221</v>
      </c>
      <c r="E21220" s="3" t="s">
        <v>965</v>
      </c>
      <c r="F21220" s="7">
        <v>46154.90072029996</v>
      </c>
      <c r="G21220" s="3" t="s">
        <v>21804</v>
      </c>
    </row>
    <row r="21221">
      <c r="A21221" s="3" t="s">
        <v>37490</v>
      </c>
      <c r="B21221" s="3" t="s">
        <v>17600</v>
      </c>
      <c r="C21221" s="5" t="s">
        <v>221</v>
      </c>
      <c r="D21221" s="3" t="s">
        <v>614</v>
      </c>
      <c r="E21221" s="3" t="s">
        <v>118</v>
      </c>
      <c r="F21221" s="7">
        <v>46154.904192522175</v>
      </c>
      <c r="G21221" s="3" t="s">
        <v>21807</v>
      </c>
    </row>
    <row r="21222">
      <c r="A21222" s="3" t="s">
        <v>37491</v>
      </c>
      <c r="B21222" s="3" t="s">
        <v>17600</v>
      </c>
      <c r="C21222" s="5" t="s">
        <v>614</v>
      </c>
      <c r="D21222" s="3" t="s">
        <v>206</v>
      </c>
      <c r="E21222" s="3" t="s">
        <v>100</v>
      </c>
      <c r="F21222" s="7">
        <v>46154.9076647444</v>
      </c>
      <c r="G21222" s="3" t="s">
        <v>21810</v>
      </c>
    </row>
    <row r="21223">
      <c r="A21223" s="3" t="s">
        <v>37492</v>
      </c>
      <c r="B21223" s="3" t="s">
        <v>17600</v>
      </c>
      <c r="C21223" s="5" t="s">
        <v>206</v>
      </c>
      <c r="D21223" s="3" t="s">
        <v>68</v>
      </c>
      <c r="E21223" s="3" t="s">
        <v>100</v>
      </c>
      <c r="F21223" s="7">
        <v>46154.91113696662</v>
      </c>
      <c r="G21223" s="3" t="s">
        <v>21813</v>
      </c>
    </row>
    <row r="21224">
      <c r="A21224" s="3" t="s">
        <v>37493</v>
      </c>
      <c r="B21224" s="3" t="s">
        <v>17603</v>
      </c>
      <c r="C21224" s="5" t="s">
        <v>45</v>
      </c>
      <c r="D21224" s="3" t="s">
        <v>221</v>
      </c>
      <c r="E21224" s="3" t="s">
        <v>380</v>
      </c>
      <c r="F21224" s="7">
        <v>46154.971895145376</v>
      </c>
      <c r="G21224" s="3" t="s">
        <v>16711</v>
      </c>
    </row>
    <row r="21225">
      <c r="A21225" s="3" t="s">
        <v>37494</v>
      </c>
      <c r="B21225" s="3" t="s">
        <v>17603</v>
      </c>
      <c r="C21225" s="5" t="s">
        <v>221</v>
      </c>
      <c r="D21225" s="3" t="s">
        <v>614</v>
      </c>
      <c r="E21225" s="3" t="s">
        <v>118</v>
      </c>
      <c r="F21225" s="7">
        <v>46154.975367367595</v>
      </c>
      <c r="G21225" s="3" t="s">
        <v>16714</v>
      </c>
    </row>
    <row r="21226">
      <c r="A21226" s="3" t="s">
        <v>37495</v>
      </c>
      <c r="B21226" s="3" t="s">
        <v>17603</v>
      </c>
      <c r="C21226" s="5" t="s">
        <v>614</v>
      </c>
      <c r="D21226" s="3" t="s">
        <v>206</v>
      </c>
      <c r="E21226" s="3" t="s">
        <v>100</v>
      </c>
      <c r="F21226" s="7">
        <v>46154.97883958982</v>
      </c>
      <c r="G21226" s="3" t="s">
        <v>16717</v>
      </c>
    </row>
    <row r="21227">
      <c r="A21227" s="3" t="s">
        <v>37496</v>
      </c>
      <c r="B21227" s="3" t="s">
        <v>17603</v>
      </c>
      <c r="C21227" s="5" t="s">
        <v>206</v>
      </c>
      <c r="D21227" s="3" t="s">
        <v>68</v>
      </c>
      <c r="E21227" s="3" t="s">
        <v>100</v>
      </c>
      <c r="F21227" s="7">
        <v>46154.98231181204</v>
      </c>
      <c r="G21227" s="3" t="s">
        <v>16720</v>
      </c>
    </row>
    <row r="21228">
      <c r="A21228" s="3" t="s">
        <v>37497</v>
      </c>
      <c r="B21228" s="3" t="s">
        <v>17606</v>
      </c>
      <c r="C21228" s="5" t="s">
        <v>45</v>
      </c>
      <c r="D21228" s="3" t="s">
        <v>221</v>
      </c>
      <c r="E21228" s="3" t="s">
        <v>616</v>
      </c>
      <c r="F21228" s="7">
        <v>46155.04306999079</v>
      </c>
      <c r="G21228" s="3" t="s">
        <v>21020</v>
      </c>
    </row>
    <row r="21229">
      <c r="A21229" s="3" t="s">
        <v>37498</v>
      </c>
      <c r="B21229" s="3" t="s">
        <v>17606</v>
      </c>
      <c r="C21229" s="5" t="s">
        <v>221</v>
      </c>
      <c r="D21229" s="3" t="s">
        <v>614</v>
      </c>
      <c r="E21229" s="3" t="s">
        <v>118</v>
      </c>
      <c r="F21229" s="7">
        <v>46155.04654221301</v>
      </c>
      <c r="G21229" s="3" t="s">
        <v>21023</v>
      </c>
    </row>
    <row r="21230">
      <c r="A21230" s="3" t="s">
        <v>37499</v>
      </c>
      <c r="B21230" s="3" t="s">
        <v>17606</v>
      </c>
      <c r="C21230" s="5" t="s">
        <v>614</v>
      </c>
      <c r="D21230" s="3" t="s">
        <v>206</v>
      </c>
      <c r="E21230" s="3" t="s">
        <v>100</v>
      </c>
      <c r="F21230" s="7">
        <v>46155.05001443523</v>
      </c>
      <c r="G21230" s="3" t="s">
        <v>21026</v>
      </c>
    </row>
    <row r="21231">
      <c r="A21231" s="3" t="s">
        <v>37500</v>
      </c>
      <c r="B21231" s="3" t="s">
        <v>17606</v>
      </c>
      <c r="C21231" s="5" t="s">
        <v>206</v>
      </c>
      <c r="D21231" s="3" t="s">
        <v>68</v>
      </c>
      <c r="E21231" s="3" t="s">
        <v>100</v>
      </c>
      <c r="F21231" s="7">
        <v>46155.05348665745</v>
      </c>
      <c r="G21231" s="3" t="s">
        <v>21029</v>
      </c>
    </row>
    <row r="21232">
      <c r="A21232" s="3" t="s">
        <v>37501</v>
      </c>
      <c r="B21232" s="3" t="s">
        <v>17610</v>
      </c>
      <c r="C21232" s="5" t="s">
        <v>45</v>
      </c>
      <c r="D21232" s="3" t="s">
        <v>221</v>
      </c>
      <c r="E21232" s="3" t="s">
        <v>767</v>
      </c>
      <c r="F21232" s="7">
        <v>46155.1142448362</v>
      </c>
      <c r="G21232" s="3" t="s">
        <v>29889</v>
      </c>
    </row>
    <row r="21233">
      <c r="A21233" s="3" t="s">
        <v>37502</v>
      </c>
      <c r="B21233" s="3" t="s">
        <v>17610</v>
      </c>
      <c r="C21233" s="5" t="s">
        <v>221</v>
      </c>
      <c r="D21233" s="3" t="s">
        <v>614</v>
      </c>
      <c r="E21233" s="3" t="s">
        <v>118</v>
      </c>
      <c r="F21233" s="7">
        <v>46155.11771705842</v>
      </c>
      <c r="G21233" s="3" t="s">
        <v>29891</v>
      </c>
    </row>
    <row r="21234">
      <c r="A21234" s="3" t="s">
        <v>37503</v>
      </c>
      <c r="B21234" s="3" t="s">
        <v>17610</v>
      </c>
      <c r="C21234" s="5" t="s">
        <v>614</v>
      </c>
      <c r="D21234" s="3" t="s">
        <v>206</v>
      </c>
      <c r="E21234" s="3" t="s">
        <v>100</v>
      </c>
      <c r="F21234" s="7">
        <v>46155.121189280646</v>
      </c>
      <c r="G21234" s="3" t="s">
        <v>29893</v>
      </c>
    </row>
    <row r="21235">
      <c r="A21235" s="3" t="s">
        <v>37504</v>
      </c>
      <c r="B21235" s="3" t="s">
        <v>17610</v>
      </c>
      <c r="C21235" s="5" t="s">
        <v>206</v>
      </c>
      <c r="D21235" s="3" t="s">
        <v>68</v>
      </c>
      <c r="E21235" s="3" t="s">
        <v>100</v>
      </c>
      <c r="F21235" s="7">
        <v>46155.124661502865</v>
      </c>
      <c r="G21235" s="3" t="s">
        <v>29895</v>
      </c>
    </row>
    <row r="21236">
      <c r="A21236" s="3" t="s">
        <v>37505</v>
      </c>
      <c r="B21236" s="3" t="s">
        <v>17614</v>
      </c>
      <c r="C21236" s="5" t="s">
        <v>45</v>
      </c>
      <c r="D21236" s="3" t="s">
        <v>221</v>
      </c>
      <c r="E21236" s="3" t="s">
        <v>559</v>
      </c>
      <c r="F21236" s="7">
        <v>46155.18541968162</v>
      </c>
      <c r="G21236" s="3" t="s">
        <v>21207</v>
      </c>
    </row>
    <row r="21237">
      <c r="A21237" s="3" t="s">
        <v>37506</v>
      </c>
      <c r="B21237" s="3" t="s">
        <v>17614</v>
      </c>
      <c r="C21237" s="5" t="s">
        <v>221</v>
      </c>
      <c r="D21237" s="3" t="s">
        <v>614</v>
      </c>
      <c r="E21237" s="3" t="s">
        <v>118</v>
      </c>
      <c r="F21237" s="7">
        <v>46155.18889190384</v>
      </c>
      <c r="G21237" s="3" t="s">
        <v>21210</v>
      </c>
    </row>
    <row r="21238">
      <c r="A21238" s="3" t="s">
        <v>37507</v>
      </c>
      <c r="B21238" s="3" t="s">
        <v>17614</v>
      </c>
      <c r="C21238" s="5" t="s">
        <v>614</v>
      </c>
      <c r="D21238" s="3" t="s">
        <v>206</v>
      </c>
      <c r="E21238" s="3" t="s">
        <v>100</v>
      </c>
      <c r="F21238" s="7">
        <v>46155.192364126066</v>
      </c>
      <c r="G21238" s="3" t="s">
        <v>21213</v>
      </c>
    </row>
    <row r="21239">
      <c r="A21239" s="3" t="s">
        <v>37508</v>
      </c>
      <c r="B21239" s="3" t="s">
        <v>17614</v>
      </c>
      <c r="C21239" s="5" t="s">
        <v>206</v>
      </c>
      <c r="D21239" s="3" t="s">
        <v>68</v>
      </c>
      <c r="E21239" s="3" t="s">
        <v>100</v>
      </c>
      <c r="F21239" s="7">
        <v>46155.195836348285</v>
      </c>
      <c r="G21239" s="3" t="s">
        <v>21215</v>
      </c>
    </row>
    <row r="21240">
      <c r="A21240" s="3" t="s">
        <v>37509</v>
      </c>
      <c r="B21240" s="3" t="s">
        <v>17617</v>
      </c>
      <c r="C21240" s="5" t="s">
        <v>45</v>
      </c>
      <c r="D21240" s="3" t="s">
        <v>221</v>
      </c>
      <c r="E21240" s="3" t="s">
        <v>233</v>
      </c>
      <c r="F21240" s="7">
        <v>46155.25659452704</v>
      </c>
      <c r="G21240" s="3" t="s">
        <v>37510</v>
      </c>
    </row>
    <row r="21241">
      <c r="A21241" s="3" t="s">
        <v>37511</v>
      </c>
      <c r="B21241" s="3" t="s">
        <v>17617</v>
      </c>
      <c r="C21241" s="5" t="s">
        <v>221</v>
      </c>
      <c r="D21241" s="3" t="s">
        <v>614</v>
      </c>
      <c r="E21241" s="3" t="s">
        <v>118</v>
      </c>
      <c r="F21241" s="7">
        <v>46155.26006674926</v>
      </c>
      <c r="G21241" s="3" t="s">
        <v>37512</v>
      </c>
    </row>
    <row r="21242">
      <c r="A21242" s="3" t="s">
        <v>37513</v>
      </c>
      <c r="B21242" s="3" t="s">
        <v>17617</v>
      </c>
      <c r="C21242" s="5" t="s">
        <v>614</v>
      </c>
      <c r="D21242" s="3" t="s">
        <v>206</v>
      </c>
      <c r="E21242" s="3" t="s">
        <v>100</v>
      </c>
      <c r="F21242" s="7">
        <v>46155.263538971485</v>
      </c>
      <c r="G21242" s="3" t="s">
        <v>37514</v>
      </c>
    </row>
    <row r="21243">
      <c r="A21243" s="3" t="s">
        <v>37515</v>
      </c>
      <c r="B21243" s="3" t="s">
        <v>17617</v>
      </c>
      <c r="C21243" s="5" t="s">
        <v>206</v>
      </c>
      <c r="D21243" s="3" t="s">
        <v>68</v>
      </c>
      <c r="E21243" s="3" t="s">
        <v>100</v>
      </c>
      <c r="F21243" s="7">
        <v>46155.267011193704</v>
      </c>
      <c r="G21243" s="3" t="s">
        <v>37516</v>
      </c>
    </row>
    <row r="21244">
      <c r="A21244" s="3" t="s">
        <v>37517</v>
      </c>
      <c r="B21244" s="3" t="s">
        <v>17620</v>
      </c>
      <c r="C21244" s="5" t="s">
        <v>45</v>
      </c>
      <c r="D21244" s="3" t="s">
        <v>221</v>
      </c>
      <c r="E21244" s="3" t="s">
        <v>609</v>
      </c>
      <c r="F21244" s="7">
        <v>46155.327769372445</v>
      </c>
      <c r="G21244" s="3" t="s">
        <v>19148</v>
      </c>
    </row>
    <row r="21245">
      <c r="A21245" s="3" t="s">
        <v>37518</v>
      </c>
      <c r="B21245" s="3" t="s">
        <v>17620</v>
      </c>
      <c r="C21245" s="5" t="s">
        <v>221</v>
      </c>
      <c r="D21245" s="3" t="s">
        <v>614</v>
      </c>
      <c r="E21245" s="3" t="s">
        <v>118</v>
      </c>
      <c r="F21245" s="7">
        <v>46155.331241594664</v>
      </c>
      <c r="G21245" s="3" t="s">
        <v>19151</v>
      </c>
    </row>
    <row r="21246">
      <c r="A21246" s="3" t="s">
        <v>37519</v>
      </c>
      <c r="B21246" s="3" t="s">
        <v>17620</v>
      </c>
      <c r="C21246" s="5" t="s">
        <v>614</v>
      </c>
      <c r="D21246" s="3" t="s">
        <v>206</v>
      </c>
      <c r="E21246" s="3" t="s">
        <v>100</v>
      </c>
      <c r="F21246" s="7">
        <v>46155.33471381689</v>
      </c>
      <c r="G21246" s="3" t="s">
        <v>19153</v>
      </c>
    </row>
    <row r="21247">
      <c r="A21247" s="3" t="s">
        <v>37520</v>
      </c>
      <c r="B21247" s="3" t="s">
        <v>17620</v>
      </c>
      <c r="C21247" s="5" t="s">
        <v>206</v>
      </c>
      <c r="D21247" s="3" t="s">
        <v>68</v>
      </c>
      <c r="E21247" s="3" t="s">
        <v>100</v>
      </c>
      <c r="F21247" s="7">
        <v>46155.33818603911</v>
      </c>
      <c r="G21247" s="3" t="s">
        <v>19156</v>
      </c>
    </row>
    <row r="21248">
      <c r="A21248" s="3" t="s">
        <v>37521</v>
      </c>
      <c r="B21248" s="3" t="s">
        <v>17624</v>
      </c>
      <c r="C21248" s="5" t="s">
        <v>45</v>
      </c>
      <c r="D21248" s="3" t="s">
        <v>221</v>
      </c>
      <c r="E21248" s="3" t="s">
        <v>689</v>
      </c>
      <c r="F21248" s="7">
        <v>46155.398944217864</v>
      </c>
      <c r="G21248" s="3" t="s">
        <v>19050</v>
      </c>
    </row>
    <row r="21249">
      <c r="A21249" s="3" t="s">
        <v>37522</v>
      </c>
      <c r="B21249" s="3" t="s">
        <v>17624</v>
      </c>
      <c r="C21249" s="5" t="s">
        <v>221</v>
      </c>
      <c r="D21249" s="3" t="s">
        <v>181</v>
      </c>
      <c r="E21249" s="3" t="s">
        <v>118</v>
      </c>
      <c r="F21249" s="7">
        <v>46155.40241644008</v>
      </c>
      <c r="G21249" s="3" t="s">
        <v>37523</v>
      </c>
    </row>
    <row r="21250">
      <c r="A21250" s="3" t="s">
        <v>37524</v>
      </c>
      <c r="B21250" s="3" t="s">
        <v>17627</v>
      </c>
      <c r="C21250" s="5" t="s">
        <v>45</v>
      </c>
      <c r="D21250" s="3" t="s">
        <v>221</v>
      </c>
      <c r="E21250" s="3" t="s">
        <v>145</v>
      </c>
      <c r="F21250" s="7">
        <v>46155.47011906328</v>
      </c>
      <c r="G21250" s="3" t="s">
        <v>14549</v>
      </c>
    </row>
    <row r="21251">
      <c r="A21251" s="3" t="s">
        <v>37525</v>
      </c>
      <c r="B21251" s="3" t="s">
        <v>17627</v>
      </c>
      <c r="C21251" s="5" t="s">
        <v>221</v>
      </c>
      <c r="D21251" s="3" t="s">
        <v>195</v>
      </c>
      <c r="E21251" s="3" t="s">
        <v>145</v>
      </c>
      <c r="F21251" s="7">
        <v>46155.473591285496</v>
      </c>
      <c r="G21251" s="3" t="s">
        <v>37526</v>
      </c>
    </row>
    <row r="21252">
      <c r="A21252" s="3" t="s">
        <v>37527</v>
      </c>
      <c r="B21252" s="3" t="s">
        <v>17630</v>
      </c>
      <c r="C21252" s="5" t="s">
        <v>45</v>
      </c>
      <c r="D21252" s="3" t="s">
        <v>221</v>
      </c>
      <c r="E21252" s="3" t="s">
        <v>947</v>
      </c>
      <c r="F21252" s="7">
        <v>46155.5412939087</v>
      </c>
      <c r="G21252" s="3" t="s">
        <v>2979</v>
      </c>
    </row>
    <row r="21253">
      <c r="A21253" s="3" t="s">
        <v>37528</v>
      </c>
      <c r="B21253" s="3" t="s">
        <v>17630</v>
      </c>
      <c r="C21253" s="5" t="s">
        <v>221</v>
      </c>
      <c r="D21253" s="3" t="s">
        <v>614</v>
      </c>
      <c r="E21253" s="3" t="s">
        <v>118</v>
      </c>
      <c r="F21253" s="7">
        <v>46155.544766130915</v>
      </c>
      <c r="G21253" s="3" t="s">
        <v>2982</v>
      </c>
    </row>
    <row r="21254">
      <c r="A21254" s="3" t="s">
        <v>37529</v>
      </c>
      <c r="B21254" s="3" t="s">
        <v>17630</v>
      </c>
      <c r="C21254" s="5" t="s">
        <v>614</v>
      </c>
      <c r="D21254" s="3" t="s">
        <v>206</v>
      </c>
      <c r="E21254" s="3" t="s">
        <v>100</v>
      </c>
      <c r="F21254" s="7">
        <v>46155.54823835314</v>
      </c>
      <c r="G21254" s="3" t="s">
        <v>2985</v>
      </c>
    </row>
    <row r="21255">
      <c r="A21255" s="3" t="s">
        <v>37530</v>
      </c>
      <c r="B21255" s="3" t="s">
        <v>17630</v>
      </c>
      <c r="C21255" s="5" t="s">
        <v>206</v>
      </c>
      <c r="D21255" s="3" t="s">
        <v>68</v>
      </c>
      <c r="E21255" s="3" t="s">
        <v>100</v>
      </c>
      <c r="F21255" s="7">
        <v>46155.55171057536</v>
      </c>
      <c r="G21255" s="3" t="s">
        <v>2988</v>
      </c>
    </row>
    <row r="21256">
      <c r="A21256" s="3" t="s">
        <v>37531</v>
      </c>
      <c r="B21256" s="3" t="s">
        <v>17632</v>
      </c>
      <c r="C21256" s="5" t="s">
        <v>45</v>
      </c>
      <c r="D21256" s="3" t="s">
        <v>221</v>
      </c>
      <c r="E21256" s="3" t="s">
        <v>496</v>
      </c>
      <c r="F21256" s="7">
        <v>46155.61246875411</v>
      </c>
      <c r="G21256" s="3" t="s">
        <v>13996</v>
      </c>
    </row>
    <row r="21257">
      <c r="A21257" s="3" t="s">
        <v>37532</v>
      </c>
      <c r="B21257" s="3" t="s">
        <v>17632</v>
      </c>
      <c r="C21257" s="5" t="s">
        <v>221</v>
      </c>
      <c r="D21257" s="3" t="s">
        <v>614</v>
      </c>
      <c r="E21257" s="3" t="s">
        <v>118</v>
      </c>
      <c r="F21257" s="7">
        <v>46155.61594097633</v>
      </c>
      <c r="G21257" s="3" t="s">
        <v>13998</v>
      </c>
    </row>
    <row r="21258">
      <c r="A21258" s="3" t="s">
        <v>37533</v>
      </c>
      <c r="B21258" s="3" t="s">
        <v>17632</v>
      </c>
      <c r="C21258" s="5" t="s">
        <v>614</v>
      </c>
      <c r="D21258" s="3" t="s">
        <v>206</v>
      </c>
      <c r="E21258" s="3" t="s">
        <v>100</v>
      </c>
      <c r="F21258" s="7">
        <v>46155.619413198554</v>
      </c>
      <c r="G21258" s="3" t="s">
        <v>14001</v>
      </c>
    </row>
    <row r="21259">
      <c r="A21259" s="3" t="s">
        <v>37534</v>
      </c>
      <c r="B21259" s="3" t="s">
        <v>17632</v>
      </c>
      <c r="C21259" s="5" t="s">
        <v>206</v>
      </c>
      <c r="D21259" s="3" t="s">
        <v>68</v>
      </c>
      <c r="E21259" s="3" t="s">
        <v>100</v>
      </c>
      <c r="F21259" s="7">
        <v>46155.62288542077</v>
      </c>
      <c r="G21259" s="3" t="s">
        <v>14004</v>
      </c>
    </row>
    <row r="21260">
      <c r="A21260" s="3" t="s">
        <v>37535</v>
      </c>
      <c r="B21260" s="3" t="s">
        <v>17635</v>
      </c>
      <c r="C21260" s="5" t="s">
        <v>45</v>
      </c>
      <c r="D21260" s="3" t="s">
        <v>221</v>
      </c>
      <c r="E21260" s="3" t="s">
        <v>993</v>
      </c>
      <c r="F21260" s="7">
        <v>46155.68364359953</v>
      </c>
      <c r="G21260" s="3" t="s">
        <v>12582</v>
      </c>
    </row>
    <row r="21261">
      <c r="A21261" s="3" t="s">
        <v>37536</v>
      </c>
      <c r="B21261" s="3" t="s">
        <v>17635</v>
      </c>
      <c r="C21261" s="5" t="s">
        <v>221</v>
      </c>
      <c r="D21261" s="3" t="s">
        <v>614</v>
      </c>
      <c r="E21261" s="3" t="s">
        <v>118</v>
      </c>
      <c r="F21261" s="7">
        <v>46155.68711582175</v>
      </c>
      <c r="G21261" s="3" t="s">
        <v>12585</v>
      </c>
    </row>
    <row r="21262">
      <c r="A21262" s="3" t="s">
        <v>37537</v>
      </c>
      <c r="B21262" s="3" t="s">
        <v>17635</v>
      </c>
      <c r="C21262" s="5" t="s">
        <v>614</v>
      </c>
      <c r="D21262" s="3" t="s">
        <v>206</v>
      </c>
      <c r="E21262" s="3" t="s">
        <v>100</v>
      </c>
      <c r="F21262" s="7">
        <v>46155.69058804397</v>
      </c>
      <c r="G21262" s="3" t="s">
        <v>12588</v>
      </c>
    </row>
    <row r="21263">
      <c r="A21263" s="3" t="s">
        <v>37538</v>
      </c>
      <c r="B21263" s="3" t="s">
        <v>17635</v>
      </c>
      <c r="C21263" s="5" t="s">
        <v>206</v>
      </c>
      <c r="D21263" s="3" t="s">
        <v>68</v>
      </c>
      <c r="E21263" s="3" t="s">
        <v>100</v>
      </c>
      <c r="F21263" s="7">
        <v>46155.69406026619</v>
      </c>
      <c r="G21263" s="3" t="s">
        <v>12591</v>
      </c>
    </row>
    <row r="21264">
      <c r="A21264" s="3" t="s">
        <v>37539</v>
      </c>
      <c r="B21264" s="3" t="s">
        <v>17637</v>
      </c>
      <c r="C21264" s="5" t="s">
        <v>45</v>
      </c>
      <c r="D21264" s="3" t="s">
        <v>221</v>
      </c>
      <c r="E21264" s="3" t="s">
        <v>643</v>
      </c>
      <c r="F21264" s="7">
        <v>46155.75481844493</v>
      </c>
      <c r="G21264" s="3" t="s">
        <v>10975</v>
      </c>
    </row>
    <row r="21265">
      <c r="A21265" s="3" t="s">
        <v>37540</v>
      </c>
      <c r="B21265" s="3" t="s">
        <v>17637</v>
      </c>
      <c r="C21265" s="5" t="s">
        <v>221</v>
      </c>
      <c r="D21265" s="3" t="s">
        <v>614</v>
      </c>
      <c r="E21265" s="3" t="s">
        <v>118</v>
      </c>
      <c r="F21265" s="7">
        <v>46155.75829066715</v>
      </c>
      <c r="G21265" s="3" t="s">
        <v>10978</v>
      </c>
    </row>
    <row r="21266">
      <c r="A21266" s="3" t="s">
        <v>37541</v>
      </c>
      <c r="B21266" s="3" t="s">
        <v>17637</v>
      </c>
      <c r="C21266" s="5" t="s">
        <v>614</v>
      </c>
      <c r="D21266" s="3" t="s">
        <v>206</v>
      </c>
      <c r="E21266" s="3" t="s">
        <v>100</v>
      </c>
      <c r="F21266" s="7">
        <v>46155.76176288938</v>
      </c>
      <c r="G21266" s="3" t="s">
        <v>10981</v>
      </c>
    </row>
    <row r="21267">
      <c r="A21267" s="3" t="s">
        <v>37542</v>
      </c>
      <c r="B21267" s="3" t="s">
        <v>17637</v>
      </c>
      <c r="C21267" s="5" t="s">
        <v>206</v>
      </c>
      <c r="D21267" s="3" t="s">
        <v>68</v>
      </c>
      <c r="E21267" s="3" t="s">
        <v>100</v>
      </c>
      <c r="F21267" s="7">
        <v>46155.7652351116</v>
      </c>
      <c r="G21267" s="3" t="s">
        <v>10984</v>
      </c>
    </row>
    <row r="21268">
      <c r="A21268" s="3" t="s">
        <v>37543</v>
      </c>
      <c r="B21268" s="3" t="s">
        <v>17640</v>
      </c>
      <c r="C21268" s="5" t="s">
        <v>45</v>
      </c>
      <c r="D21268" s="3" t="s">
        <v>221</v>
      </c>
      <c r="E21268" s="3" t="s">
        <v>561</v>
      </c>
      <c r="F21268" s="7">
        <v>46155.82599329035</v>
      </c>
      <c r="G21268" s="3" t="s">
        <v>37544</v>
      </c>
    </row>
    <row r="21269">
      <c r="A21269" s="3" t="s">
        <v>37545</v>
      </c>
      <c r="B21269" s="3" t="s">
        <v>17640</v>
      </c>
      <c r="C21269" s="5" t="s">
        <v>221</v>
      </c>
      <c r="D21269" s="3" t="s">
        <v>614</v>
      </c>
      <c r="E21269" s="3" t="s">
        <v>118</v>
      </c>
      <c r="F21269" s="7">
        <v>46155.82946551257</v>
      </c>
      <c r="G21269" s="3" t="s">
        <v>37546</v>
      </c>
    </row>
    <row r="21270">
      <c r="A21270" s="3" t="s">
        <v>37547</v>
      </c>
      <c r="B21270" s="3" t="s">
        <v>17640</v>
      </c>
      <c r="C21270" s="5" t="s">
        <v>614</v>
      </c>
      <c r="D21270" s="3" t="s">
        <v>206</v>
      </c>
      <c r="E21270" s="3" t="s">
        <v>100</v>
      </c>
      <c r="F21270" s="7">
        <v>46155.8329377348</v>
      </c>
      <c r="G21270" s="3" t="s">
        <v>37548</v>
      </c>
    </row>
    <row r="21271">
      <c r="A21271" s="3" t="s">
        <v>37549</v>
      </c>
      <c r="B21271" s="3" t="s">
        <v>17640</v>
      </c>
      <c r="C21271" s="5" t="s">
        <v>206</v>
      </c>
      <c r="D21271" s="3" t="s">
        <v>68</v>
      </c>
      <c r="E21271" s="3" t="s">
        <v>100</v>
      </c>
      <c r="F21271" s="7">
        <v>46155.83640995702</v>
      </c>
      <c r="G21271" s="3" t="s">
        <v>37550</v>
      </c>
    </row>
    <row r="21272">
      <c r="A21272" s="3" t="s">
        <v>37551</v>
      </c>
      <c r="B21272" s="3" t="s">
        <v>17643</v>
      </c>
      <c r="C21272" s="5" t="s">
        <v>45</v>
      </c>
      <c r="D21272" s="3" t="s">
        <v>221</v>
      </c>
      <c r="E21272" s="3" t="s">
        <v>524</v>
      </c>
      <c r="F21272" s="7">
        <v>46155.89716813577</v>
      </c>
      <c r="G21272" s="3" t="s">
        <v>17503</v>
      </c>
    </row>
    <row r="21273">
      <c r="A21273" s="3" t="s">
        <v>37552</v>
      </c>
      <c r="B21273" s="3" t="s">
        <v>17643</v>
      </c>
      <c r="C21273" s="5" t="s">
        <v>221</v>
      </c>
      <c r="D21273" s="3" t="s">
        <v>614</v>
      </c>
      <c r="E21273" s="3" t="s">
        <v>118</v>
      </c>
      <c r="F21273" s="7">
        <v>46155.90064035799</v>
      </c>
      <c r="G21273" s="3" t="s">
        <v>17506</v>
      </c>
    </row>
    <row r="21274">
      <c r="A21274" s="3" t="s">
        <v>37553</v>
      </c>
      <c r="B21274" s="3" t="s">
        <v>17643</v>
      </c>
      <c r="C21274" s="5" t="s">
        <v>614</v>
      </c>
      <c r="D21274" s="3" t="s">
        <v>206</v>
      </c>
      <c r="E21274" s="3" t="s">
        <v>100</v>
      </c>
      <c r="F21274" s="7">
        <v>46155.90411258022</v>
      </c>
      <c r="G21274" s="3" t="s">
        <v>17509</v>
      </c>
    </row>
    <row r="21275">
      <c r="A21275" s="3" t="s">
        <v>37554</v>
      </c>
      <c r="B21275" s="3" t="s">
        <v>17643</v>
      </c>
      <c r="C21275" s="5" t="s">
        <v>206</v>
      </c>
      <c r="D21275" s="3" t="s">
        <v>68</v>
      </c>
      <c r="E21275" s="3" t="s">
        <v>100</v>
      </c>
      <c r="F21275" s="7">
        <v>46155.90758480244</v>
      </c>
      <c r="G21275" s="3" t="s">
        <v>17511</v>
      </c>
    </row>
    <row r="21276">
      <c r="A21276" s="3" t="s">
        <v>37555</v>
      </c>
      <c r="B21276" s="3" t="s">
        <v>17649</v>
      </c>
      <c r="C21276" s="5" t="s">
        <v>45</v>
      </c>
      <c r="D21276" s="3" t="s">
        <v>221</v>
      </c>
      <c r="E21276" s="3" t="s">
        <v>615</v>
      </c>
      <c r="F21276" s="7">
        <v>46155.968342981185</v>
      </c>
      <c r="G21276" s="3" t="s">
        <v>2991</v>
      </c>
    </row>
    <row r="21277">
      <c r="A21277" s="3" t="s">
        <v>37556</v>
      </c>
      <c r="B21277" s="3" t="s">
        <v>17649</v>
      </c>
      <c r="C21277" s="5" t="s">
        <v>221</v>
      </c>
      <c r="D21277" s="3" t="s">
        <v>614</v>
      </c>
      <c r="E21277" s="3" t="s">
        <v>118</v>
      </c>
      <c r="F21277" s="7">
        <v>46155.971815203404</v>
      </c>
      <c r="G21277" s="3" t="s">
        <v>2994</v>
      </c>
    </row>
    <row r="21278">
      <c r="A21278" s="3" t="s">
        <v>37557</v>
      </c>
      <c r="B21278" s="3" t="s">
        <v>17649</v>
      </c>
      <c r="C21278" s="5" t="s">
        <v>614</v>
      </c>
      <c r="D21278" s="3" t="s">
        <v>206</v>
      </c>
      <c r="E21278" s="3" t="s">
        <v>100</v>
      </c>
      <c r="F21278" s="7">
        <v>46155.97528742563</v>
      </c>
      <c r="G21278" s="3" t="s">
        <v>2996</v>
      </c>
    </row>
    <row r="21279">
      <c r="A21279" s="3" t="s">
        <v>37558</v>
      </c>
      <c r="B21279" s="3" t="s">
        <v>17649</v>
      </c>
      <c r="C21279" s="5" t="s">
        <v>206</v>
      </c>
      <c r="D21279" s="3" t="s">
        <v>68</v>
      </c>
      <c r="E21279" s="3" t="s">
        <v>100</v>
      </c>
      <c r="F21279" s="7">
        <v>46155.97875964785</v>
      </c>
      <c r="G21279" s="3" t="s">
        <v>2999</v>
      </c>
    </row>
    <row r="21280">
      <c r="A21280" s="3" t="s">
        <v>37559</v>
      </c>
      <c r="B21280" s="3" t="s">
        <v>17653</v>
      </c>
      <c r="C21280" s="5" t="s">
        <v>45</v>
      </c>
      <c r="D21280" s="3" t="s">
        <v>221</v>
      </c>
      <c r="E21280" s="3" t="s">
        <v>916</v>
      </c>
      <c r="F21280" s="7">
        <v>46156.0395178266</v>
      </c>
      <c r="G21280" s="3" t="s">
        <v>14433</v>
      </c>
    </row>
    <row r="21281">
      <c r="A21281" s="3" t="s">
        <v>37560</v>
      </c>
      <c r="B21281" s="3" t="s">
        <v>17653</v>
      </c>
      <c r="C21281" s="5" t="s">
        <v>221</v>
      </c>
      <c r="D21281" s="3" t="s">
        <v>614</v>
      </c>
      <c r="E21281" s="3" t="s">
        <v>118</v>
      </c>
      <c r="F21281" s="7">
        <v>46156.042990048816</v>
      </c>
      <c r="G21281" s="3" t="s">
        <v>14436</v>
      </c>
    </row>
    <row r="21282">
      <c r="A21282" s="3" t="s">
        <v>37561</v>
      </c>
      <c r="B21282" s="3" t="s">
        <v>17653</v>
      </c>
      <c r="C21282" s="5" t="s">
        <v>614</v>
      </c>
      <c r="D21282" s="3" t="s">
        <v>206</v>
      </c>
      <c r="E21282" s="3" t="s">
        <v>100</v>
      </c>
      <c r="F21282" s="7">
        <v>46156.04646227104</v>
      </c>
      <c r="G21282" s="3" t="s">
        <v>14439</v>
      </c>
    </row>
    <row r="21283">
      <c r="A21283" s="3" t="s">
        <v>37562</v>
      </c>
      <c r="B21283" s="3" t="s">
        <v>17653</v>
      </c>
      <c r="C21283" s="5" t="s">
        <v>206</v>
      </c>
      <c r="D21283" s="3" t="s">
        <v>68</v>
      </c>
      <c r="E21283" s="3" t="s">
        <v>100</v>
      </c>
      <c r="F21283" s="7">
        <v>46156.04993449326</v>
      </c>
      <c r="G21283" s="3" t="s">
        <v>14442</v>
      </c>
    </row>
    <row r="21284">
      <c r="A21284" s="3" t="s">
        <v>37563</v>
      </c>
      <c r="B21284" s="3" t="s">
        <v>17655</v>
      </c>
      <c r="C21284" s="5" t="s">
        <v>45</v>
      </c>
      <c r="D21284" s="3" t="s">
        <v>221</v>
      </c>
      <c r="E21284" s="3" t="s">
        <v>319</v>
      </c>
      <c r="F21284" s="7">
        <v>46156.11069267202</v>
      </c>
      <c r="G21284" s="3" t="s">
        <v>3006</v>
      </c>
    </row>
    <row r="21285">
      <c r="A21285" s="3" t="s">
        <v>37564</v>
      </c>
      <c r="B21285" s="3" t="s">
        <v>17655</v>
      </c>
      <c r="C21285" s="5" t="s">
        <v>221</v>
      </c>
      <c r="D21285" s="3" t="s">
        <v>614</v>
      </c>
      <c r="E21285" s="3" t="s">
        <v>118</v>
      </c>
      <c r="F21285" s="7">
        <v>46156.114164894236</v>
      </c>
      <c r="G21285" s="3" t="s">
        <v>3009</v>
      </c>
    </row>
    <row r="21286">
      <c r="A21286" s="3" t="s">
        <v>37565</v>
      </c>
      <c r="B21286" s="3" t="s">
        <v>17655</v>
      </c>
      <c r="C21286" s="5" t="s">
        <v>614</v>
      </c>
      <c r="D21286" s="3" t="s">
        <v>206</v>
      </c>
      <c r="E21286" s="3" t="s">
        <v>100</v>
      </c>
      <c r="F21286" s="7">
        <v>46156.11763711646</v>
      </c>
      <c r="G21286" s="3" t="s">
        <v>3012</v>
      </c>
    </row>
    <row r="21287">
      <c r="A21287" s="3" t="s">
        <v>37566</v>
      </c>
      <c r="B21287" s="3" t="s">
        <v>17655</v>
      </c>
      <c r="C21287" s="5" t="s">
        <v>206</v>
      </c>
      <c r="D21287" s="3" t="s">
        <v>68</v>
      </c>
      <c r="E21287" s="3" t="s">
        <v>100</v>
      </c>
      <c r="F21287" s="7">
        <v>46156.12110933868</v>
      </c>
      <c r="G21287" s="3" t="s">
        <v>3015</v>
      </c>
    </row>
    <row r="21288">
      <c r="A21288" s="3" t="s">
        <v>37567</v>
      </c>
      <c r="B21288" s="3" t="s">
        <v>17659</v>
      </c>
      <c r="C21288" s="5" t="s">
        <v>45</v>
      </c>
      <c r="D21288" s="3" t="s">
        <v>221</v>
      </c>
      <c r="E21288" s="3" t="s">
        <v>243</v>
      </c>
      <c r="F21288" s="7">
        <v>46156.18186751743</v>
      </c>
      <c r="G21288" s="3" t="s">
        <v>3018</v>
      </c>
    </row>
    <row r="21289">
      <c r="A21289" s="3" t="s">
        <v>37568</v>
      </c>
      <c r="B21289" s="3" t="s">
        <v>17659</v>
      </c>
      <c r="C21289" s="5" t="s">
        <v>221</v>
      </c>
      <c r="D21289" s="3" t="s">
        <v>614</v>
      </c>
      <c r="E21289" s="3" t="s">
        <v>118</v>
      </c>
      <c r="F21289" s="7">
        <v>46156.18533973965</v>
      </c>
      <c r="G21289" s="3" t="s">
        <v>3021</v>
      </c>
    </row>
    <row r="21290">
      <c r="A21290" s="3" t="s">
        <v>37569</v>
      </c>
      <c r="B21290" s="3" t="s">
        <v>17659</v>
      </c>
      <c r="C21290" s="5" t="s">
        <v>614</v>
      </c>
      <c r="D21290" s="3" t="s">
        <v>206</v>
      </c>
      <c r="E21290" s="3" t="s">
        <v>100</v>
      </c>
      <c r="F21290" s="7">
        <v>46156.188811961874</v>
      </c>
      <c r="G21290" s="3" t="s">
        <v>3024</v>
      </c>
    </row>
    <row r="21291">
      <c r="A21291" s="3" t="s">
        <v>37570</v>
      </c>
      <c r="B21291" s="3" t="s">
        <v>17659</v>
      </c>
      <c r="C21291" s="5" t="s">
        <v>206</v>
      </c>
      <c r="D21291" s="3" t="s">
        <v>68</v>
      </c>
      <c r="E21291" s="3" t="s">
        <v>100</v>
      </c>
      <c r="F21291" s="7">
        <v>46156.19228418409</v>
      </c>
      <c r="G21291" s="3" t="s">
        <v>3027</v>
      </c>
    </row>
    <row r="21292">
      <c r="A21292" s="3" t="s">
        <v>37571</v>
      </c>
      <c r="B21292" s="3" t="s">
        <v>17662</v>
      </c>
      <c r="C21292" s="5" t="s">
        <v>45</v>
      </c>
      <c r="D21292" s="3" t="s">
        <v>221</v>
      </c>
      <c r="E21292" s="3" t="s">
        <v>751</v>
      </c>
      <c r="F21292" s="7">
        <v>46156.25304236284</v>
      </c>
      <c r="G21292" s="3" t="s">
        <v>14340</v>
      </c>
    </row>
    <row r="21293">
      <c r="A21293" s="3" t="s">
        <v>37572</v>
      </c>
      <c r="B21293" s="3" t="s">
        <v>17662</v>
      </c>
      <c r="C21293" s="5" t="s">
        <v>221</v>
      </c>
      <c r="D21293" s="3" t="s">
        <v>614</v>
      </c>
      <c r="E21293" s="3" t="s">
        <v>118</v>
      </c>
      <c r="F21293" s="7">
        <v>46156.25651458506</v>
      </c>
      <c r="G21293" s="3" t="s">
        <v>14343</v>
      </c>
    </row>
    <row r="21294">
      <c r="A21294" s="3" t="s">
        <v>37573</v>
      </c>
      <c r="B21294" s="3" t="s">
        <v>17662</v>
      </c>
      <c r="C21294" s="5" t="s">
        <v>614</v>
      </c>
      <c r="D21294" s="3" t="s">
        <v>206</v>
      </c>
      <c r="E21294" s="3" t="s">
        <v>100</v>
      </c>
      <c r="F21294" s="7">
        <v>46156.25998680729</v>
      </c>
      <c r="G21294" s="3" t="s">
        <v>14346</v>
      </c>
    </row>
    <row r="21295">
      <c r="A21295" s="3" t="s">
        <v>37574</v>
      </c>
      <c r="B21295" s="3" t="s">
        <v>17662</v>
      </c>
      <c r="C21295" s="5" t="s">
        <v>206</v>
      </c>
      <c r="D21295" s="3" t="s">
        <v>68</v>
      </c>
      <c r="E21295" s="3" t="s">
        <v>100</v>
      </c>
      <c r="F21295" s="7">
        <v>46156.263459029506</v>
      </c>
      <c r="G21295" s="3" t="s">
        <v>14348</v>
      </c>
    </row>
    <row r="21296">
      <c r="A21296" s="3" t="s">
        <v>37575</v>
      </c>
      <c r="B21296" s="3" t="s">
        <v>17665</v>
      </c>
      <c r="C21296" s="5" t="s">
        <v>45</v>
      </c>
      <c r="D21296" s="3" t="s">
        <v>221</v>
      </c>
      <c r="E21296" s="3" t="s">
        <v>148</v>
      </c>
      <c r="F21296" s="7">
        <v>46156.32421720826</v>
      </c>
      <c r="G21296" s="3" t="s">
        <v>16269</v>
      </c>
    </row>
    <row r="21297">
      <c r="A21297" s="3" t="s">
        <v>37576</v>
      </c>
      <c r="B21297" s="3" t="s">
        <v>17665</v>
      </c>
      <c r="C21297" s="5" t="s">
        <v>221</v>
      </c>
      <c r="D21297" s="3" t="s">
        <v>614</v>
      </c>
      <c r="E21297" s="3" t="s">
        <v>118</v>
      </c>
      <c r="F21297" s="7">
        <v>46156.32768943048</v>
      </c>
      <c r="G21297" s="3" t="s">
        <v>16271</v>
      </c>
    </row>
    <row r="21298">
      <c r="A21298" s="3" t="s">
        <v>37577</v>
      </c>
      <c r="B21298" s="3" t="s">
        <v>17665</v>
      </c>
      <c r="C21298" s="5" t="s">
        <v>614</v>
      </c>
      <c r="D21298" s="3" t="s">
        <v>206</v>
      </c>
      <c r="E21298" s="3" t="s">
        <v>100</v>
      </c>
      <c r="F21298" s="7">
        <v>46156.331161652706</v>
      </c>
      <c r="G21298" s="3" t="s">
        <v>16274</v>
      </c>
    </row>
    <row r="21299">
      <c r="A21299" s="3" t="s">
        <v>37578</v>
      </c>
      <c r="B21299" s="3" t="s">
        <v>17665</v>
      </c>
      <c r="C21299" s="5" t="s">
        <v>206</v>
      </c>
      <c r="D21299" s="3" t="s">
        <v>68</v>
      </c>
      <c r="E21299" s="3" t="s">
        <v>100</v>
      </c>
      <c r="F21299" s="7">
        <v>46156.334633874925</v>
      </c>
      <c r="G21299" s="3" t="s">
        <v>16277</v>
      </c>
    </row>
    <row r="21300">
      <c r="A21300" s="3" t="s">
        <v>37579</v>
      </c>
      <c r="B21300" s="3" t="s">
        <v>17667</v>
      </c>
      <c r="C21300" s="5" t="s">
        <v>45</v>
      </c>
      <c r="D21300" s="3" t="s">
        <v>221</v>
      </c>
      <c r="E21300" s="3" t="s">
        <v>1026</v>
      </c>
      <c r="F21300" s="7">
        <v>46156.39539205368</v>
      </c>
      <c r="G21300" s="3" t="s">
        <v>2770</v>
      </c>
    </row>
    <row r="21301">
      <c r="A21301" s="3" t="s">
        <v>37580</v>
      </c>
      <c r="B21301" s="3" t="s">
        <v>17667</v>
      </c>
      <c r="C21301" s="5" t="s">
        <v>221</v>
      </c>
      <c r="D21301" s="3" t="s">
        <v>181</v>
      </c>
      <c r="E21301" s="3" t="s">
        <v>118</v>
      </c>
      <c r="F21301" s="7">
        <v>46156.3988642759</v>
      </c>
      <c r="G21301" s="3" t="s">
        <v>2774</v>
      </c>
    </row>
    <row r="21302">
      <c r="A21302" s="3" t="s">
        <v>37581</v>
      </c>
      <c r="B21302" s="3" t="s">
        <v>17669</v>
      </c>
      <c r="C21302" s="5" t="s">
        <v>45</v>
      </c>
      <c r="D21302" s="3" t="s">
        <v>221</v>
      </c>
      <c r="E21302" s="3" t="s">
        <v>800</v>
      </c>
      <c r="F21302" s="7">
        <v>46156.466566899086</v>
      </c>
      <c r="G21302" s="3" t="s">
        <v>3030</v>
      </c>
    </row>
    <row r="21303">
      <c r="A21303" s="3" t="s">
        <v>37582</v>
      </c>
      <c r="B21303" s="3" t="s">
        <v>17669</v>
      </c>
      <c r="C21303" s="5" t="s">
        <v>221</v>
      </c>
      <c r="D21303" s="3" t="s">
        <v>614</v>
      </c>
      <c r="E21303" s="3" t="s">
        <v>118</v>
      </c>
      <c r="F21303" s="7">
        <v>46156.470039121305</v>
      </c>
      <c r="G21303" s="3" t="s">
        <v>3033</v>
      </c>
    </row>
    <row r="21304">
      <c r="A21304" s="3" t="s">
        <v>37583</v>
      </c>
      <c r="B21304" s="3" t="s">
        <v>17669</v>
      </c>
      <c r="C21304" s="5" t="s">
        <v>614</v>
      </c>
      <c r="D21304" s="3" t="s">
        <v>206</v>
      </c>
      <c r="E21304" s="3" t="s">
        <v>100</v>
      </c>
      <c r="F21304" s="7">
        <v>46156.47351134353</v>
      </c>
      <c r="G21304" s="3" t="s">
        <v>3036</v>
      </c>
    </row>
    <row r="21305">
      <c r="A21305" s="3" t="s">
        <v>37584</v>
      </c>
      <c r="B21305" s="3" t="s">
        <v>17669</v>
      </c>
      <c r="C21305" s="5" t="s">
        <v>206</v>
      </c>
      <c r="D21305" s="3" t="s">
        <v>68</v>
      </c>
      <c r="E21305" s="3" t="s">
        <v>100</v>
      </c>
      <c r="F21305" s="7">
        <v>46156.47698356575</v>
      </c>
      <c r="G21305" s="3" t="s">
        <v>3039</v>
      </c>
    </row>
    <row r="21306">
      <c r="A21306" s="3" t="s">
        <v>37585</v>
      </c>
      <c r="B21306" s="3" t="s">
        <v>17672</v>
      </c>
      <c r="C21306" s="5" t="s">
        <v>45</v>
      </c>
      <c r="D21306" s="3" t="s">
        <v>221</v>
      </c>
      <c r="E21306" s="3" t="s">
        <v>900</v>
      </c>
      <c r="F21306" s="7">
        <v>46156.537741744505</v>
      </c>
      <c r="G21306" s="3" t="s">
        <v>12713</v>
      </c>
    </row>
    <row r="21307">
      <c r="A21307" s="3" t="s">
        <v>37586</v>
      </c>
      <c r="B21307" s="3" t="s">
        <v>17672</v>
      </c>
      <c r="C21307" s="5" t="s">
        <v>221</v>
      </c>
      <c r="D21307" s="3" t="s">
        <v>614</v>
      </c>
      <c r="E21307" s="3" t="s">
        <v>118</v>
      </c>
      <c r="F21307" s="7">
        <v>46156.541213966724</v>
      </c>
      <c r="G21307" s="3" t="s">
        <v>12716</v>
      </c>
    </row>
    <row r="21308">
      <c r="A21308" s="3" t="s">
        <v>37587</v>
      </c>
      <c r="B21308" s="3" t="s">
        <v>17672</v>
      </c>
      <c r="C21308" s="5" t="s">
        <v>614</v>
      </c>
      <c r="D21308" s="3" t="s">
        <v>206</v>
      </c>
      <c r="E21308" s="3" t="s">
        <v>100</v>
      </c>
      <c r="F21308" s="7">
        <v>46156.54468618895</v>
      </c>
      <c r="G21308" s="3" t="s">
        <v>12718</v>
      </c>
    </row>
    <row r="21309">
      <c r="A21309" s="3" t="s">
        <v>37588</v>
      </c>
      <c r="B21309" s="3" t="s">
        <v>17672</v>
      </c>
      <c r="C21309" s="5" t="s">
        <v>206</v>
      </c>
      <c r="D21309" s="3" t="s">
        <v>68</v>
      </c>
      <c r="E21309" s="3" t="s">
        <v>100</v>
      </c>
      <c r="F21309" s="7">
        <v>46156.54815841117</v>
      </c>
      <c r="G21309" s="3" t="s">
        <v>12721</v>
      </c>
    </row>
    <row r="21310">
      <c r="A21310" s="3" t="s">
        <v>37589</v>
      </c>
      <c r="B21310" s="3" t="s">
        <v>17674</v>
      </c>
      <c r="C21310" s="5" t="s">
        <v>45</v>
      </c>
      <c r="D21310" s="3" t="s">
        <v>221</v>
      </c>
      <c r="E21310" s="3" t="s">
        <v>162</v>
      </c>
      <c r="F21310" s="7">
        <v>46156.608916589925</v>
      </c>
      <c r="G21310" s="3" t="s">
        <v>3042</v>
      </c>
    </row>
    <row r="21311">
      <c r="A21311" s="3" t="s">
        <v>37590</v>
      </c>
      <c r="B21311" s="3" t="s">
        <v>17674</v>
      </c>
      <c r="C21311" s="5" t="s">
        <v>221</v>
      </c>
      <c r="D21311" s="3" t="s">
        <v>614</v>
      </c>
      <c r="E21311" s="3" t="s">
        <v>118</v>
      </c>
      <c r="F21311" s="7">
        <v>46156.612388812144</v>
      </c>
      <c r="G21311" s="3" t="s">
        <v>3045</v>
      </c>
    </row>
    <row r="21312">
      <c r="A21312" s="3" t="s">
        <v>37591</v>
      </c>
      <c r="B21312" s="3" t="s">
        <v>17674</v>
      </c>
      <c r="C21312" s="5" t="s">
        <v>614</v>
      </c>
      <c r="D21312" s="3" t="s">
        <v>206</v>
      </c>
      <c r="E21312" s="3" t="s">
        <v>100</v>
      </c>
      <c r="F21312" s="7">
        <v>46156.61586103437</v>
      </c>
      <c r="G21312" s="3" t="s">
        <v>3048</v>
      </c>
    </row>
    <row r="21313">
      <c r="A21313" s="3" t="s">
        <v>37592</v>
      </c>
      <c r="B21313" s="3" t="s">
        <v>17674</v>
      </c>
      <c r="C21313" s="5" t="s">
        <v>206</v>
      </c>
      <c r="D21313" s="3" t="s">
        <v>68</v>
      </c>
      <c r="E21313" s="3" t="s">
        <v>100</v>
      </c>
      <c r="F21313" s="7">
        <v>46156.61933325659</v>
      </c>
      <c r="G21313" s="3" t="s">
        <v>3051</v>
      </c>
    </row>
    <row r="21314">
      <c r="A21314" s="3" t="s">
        <v>37593</v>
      </c>
      <c r="B21314" s="3" t="s">
        <v>17676</v>
      </c>
      <c r="C21314" s="5" t="s">
        <v>45</v>
      </c>
      <c r="D21314" s="3" t="s">
        <v>221</v>
      </c>
      <c r="E21314" s="3" t="s">
        <v>934</v>
      </c>
      <c r="F21314" s="7">
        <v>46156.68009143534</v>
      </c>
      <c r="G21314" s="3" t="s">
        <v>33896</v>
      </c>
    </row>
    <row r="21315">
      <c r="A21315" s="3" t="s">
        <v>37594</v>
      </c>
      <c r="B21315" s="3" t="s">
        <v>17676</v>
      </c>
      <c r="C21315" s="5" t="s">
        <v>221</v>
      </c>
      <c r="D21315" s="3" t="s">
        <v>614</v>
      </c>
      <c r="E21315" s="3" t="s">
        <v>118</v>
      </c>
      <c r="F21315" s="7">
        <v>46156.683563657556</v>
      </c>
      <c r="G21315" s="3" t="s">
        <v>33898</v>
      </c>
    </row>
    <row r="21316">
      <c r="A21316" s="3" t="s">
        <v>37595</v>
      </c>
      <c r="B21316" s="3" t="s">
        <v>17676</v>
      </c>
      <c r="C21316" s="5" t="s">
        <v>614</v>
      </c>
      <c r="D21316" s="3" t="s">
        <v>206</v>
      </c>
      <c r="E21316" s="3" t="s">
        <v>100</v>
      </c>
      <c r="F21316" s="7">
        <v>46156.68703587978</v>
      </c>
      <c r="G21316" s="3" t="s">
        <v>33900</v>
      </c>
    </row>
    <row r="21317">
      <c r="A21317" s="3" t="s">
        <v>37596</v>
      </c>
      <c r="B21317" s="3" t="s">
        <v>17676</v>
      </c>
      <c r="C21317" s="5" t="s">
        <v>206</v>
      </c>
      <c r="D21317" s="3" t="s">
        <v>68</v>
      </c>
      <c r="E21317" s="3" t="s">
        <v>100</v>
      </c>
      <c r="F21317" s="7">
        <v>46156.690508102</v>
      </c>
      <c r="G21317" s="3" t="s">
        <v>33902</v>
      </c>
    </row>
    <row r="21318">
      <c r="A21318" s="3" t="s">
        <v>37597</v>
      </c>
      <c r="B21318" s="3" t="s">
        <v>17678</v>
      </c>
      <c r="C21318" s="5" t="s">
        <v>45</v>
      </c>
      <c r="D21318" s="3" t="s">
        <v>221</v>
      </c>
      <c r="E21318" s="3" t="s">
        <v>713</v>
      </c>
      <c r="F21318" s="7">
        <v>46156.75126628075</v>
      </c>
      <c r="G21318" s="3" t="s">
        <v>19876</v>
      </c>
    </row>
    <row r="21319">
      <c r="A21319" s="3" t="s">
        <v>37598</v>
      </c>
      <c r="B21319" s="3" t="s">
        <v>17678</v>
      </c>
      <c r="C21319" s="5" t="s">
        <v>221</v>
      </c>
      <c r="D21319" s="3" t="s">
        <v>614</v>
      </c>
      <c r="E21319" s="3" t="s">
        <v>118</v>
      </c>
      <c r="F21319" s="7">
        <v>46156.75473850297</v>
      </c>
      <c r="G21319" s="3" t="s">
        <v>19879</v>
      </c>
    </row>
    <row r="21320">
      <c r="A21320" s="3" t="s">
        <v>37599</v>
      </c>
      <c r="B21320" s="3" t="s">
        <v>17678</v>
      </c>
      <c r="C21320" s="5" t="s">
        <v>614</v>
      </c>
      <c r="D21320" s="3" t="s">
        <v>206</v>
      </c>
      <c r="E21320" s="3" t="s">
        <v>100</v>
      </c>
      <c r="F21320" s="7">
        <v>46156.758210725195</v>
      </c>
      <c r="G21320" s="3" t="s">
        <v>19881</v>
      </c>
    </row>
    <row r="21321">
      <c r="A21321" s="3" t="s">
        <v>37600</v>
      </c>
      <c r="B21321" s="3" t="s">
        <v>17678</v>
      </c>
      <c r="C21321" s="5" t="s">
        <v>206</v>
      </c>
      <c r="D21321" s="3" t="s">
        <v>68</v>
      </c>
      <c r="E21321" s="3" t="s">
        <v>100</v>
      </c>
      <c r="F21321" s="7">
        <v>46156.761682947414</v>
      </c>
      <c r="G21321" s="3" t="s">
        <v>19884</v>
      </c>
    </row>
    <row r="21322">
      <c r="A21322" s="3" t="s">
        <v>37601</v>
      </c>
      <c r="B21322" s="3" t="s">
        <v>17680</v>
      </c>
      <c r="C21322" s="5" t="s">
        <v>45</v>
      </c>
      <c r="D21322" s="3" t="s">
        <v>221</v>
      </c>
      <c r="E21322" s="3" t="s">
        <v>822</v>
      </c>
      <c r="F21322" s="7">
        <v>46156.82244112617</v>
      </c>
      <c r="G21322" s="3" t="s">
        <v>10611</v>
      </c>
    </row>
    <row r="21323">
      <c r="A21323" s="3" t="s">
        <v>37602</v>
      </c>
      <c r="B21323" s="3" t="s">
        <v>17680</v>
      </c>
      <c r="C21323" s="5" t="s">
        <v>221</v>
      </c>
      <c r="D21323" s="3" t="s">
        <v>614</v>
      </c>
      <c r="E21323" s="3" t="s">
        <v>118</v>
      </c>
      <c r="F21323" s="7">
        <v>46156.82591334839</v>
      </c>
      <c r="G21323" s="3" t="s">
        <v>10614</v>
      </c>
    </row>
    <row r="21324">
      <c r="A21324" s="3" t="s">
        <v>37603</v>
      </c>
      <c r="B21324" s="3" t="s">
        <v>17680</v>
      </c>
      <c r="C21324" s="5" t="s">
        <v>614</v>
      </c>
      <c r="D21324" s="3" t="s">
        <v>206</v>
      </c>
      <c r="E21324" s="3" t="s">
        <v>100</v>
      </c>
      <c r="F21324" s="7">
        <v>46156.829385570614</v>
      </c>
      <c r="G21324" s="3" t="s">
        <v>10617</v>
      </c>
    </row>
    <row r="21325">
      <c r="A21325" s="3" t="s">
        <v>37604</v>
      </c>
      <c r="B21325" s="3" t="s">
        <v>17680</v>
      </c>
      <c r="C21325" s="5" t="s">
        <v>206</v>
      </c>
      <c r="D21325" s="3" t="s">
        <v>68</v>
      </c>
      <c r="E21325" s="3" t="s">
        <v>100</v>
      </c>
      <c r="F21325" s="7">
        <v>46156.83285779283</v>
      </c>
      <c r="G21325" s="3" t="s">
        <v>10620</v>
      </c>
    </row>
    <row r="21326">
      <c r="A21326" s="3" t="s">
        <v>37605</v>
      </c>
      <c r="B21326" s="3" t="s">
        <v>17683</v>
      </c>
      <c r="C21326" s="5" t="s">
        <v>45</v>
      </c>
      <c r="D21326" s="3" t="s">
        <v>221</v>
      </c>
      <c r="E21326" s="3" t="s">
        <v>524</v>
      </c>
      <c r="F21326" s="7">
        <v>46156.89361597158</v>
      </c>
      <c r="G21326" s="3" t="s">
        <v>17503</v>
      </c>
    </row>
    <row r="21327">
      <c r="A21327" s="3" t="s">
        <v>37606</v>
      </c>
      <c r="B21327" s="3" t="s">
        <v>17683</v>
      </c>
      <c r="C21327" s="5" t="s">
        <v>221</v>
      </c>
      <c r="D21327" s="3" t="s">
        <v>181</v>
      </c>
      <c r="E21327" s="3" t="s">
        <v>118</v>
      </c>
      <c r="F21327" s="7">
        <v>46156.8970881938</v>
      </c>
      <c r="G21327" s="3" t="s">
        <v>20322</v>
      </c>
    </row>
    <row r="21328">
      <c r="A21328" s="3" t="s">
        <v>37607</v>
      </c>
      <c r="B21328" s="3" t="s">
        <v>17685</v>
      </c>
      <c r="C21328" s="5" t="s">
        <v>45</v>
      </c>
      <c r="D21328" s="3" t="s">
        <v>221</v>
      </c>
      <c r="E21328" s="3" t="s">
        <v>561</v>
      </c>
      <c r="F21328" s="7">
        <v>46156.96479081699</v>
      </c>
      <c r="G21328" s="3" t="s">
        <v>10525</v>
      </c>
    </row>
    <row r="21329">
      <c r="A21329" s="3" t="s">
        <v>37608</v>
      </c>
      <c r="B21329" s="3" t="s">
        <v>17685</v>
      </c>
      <c r="C21329" s="5" t="s">
        <v>221</v>
      </c>
      <c r="D21329" s="3" t="s">
        <v>614</v>
      </c>
      <c r="E21329" s="3" t="s">
        <v>118</v>
      </c>
      <c r="F21329" s="7">
        <v>46156.96826303921</v>
      </c>
      <c r="G21329" s="3" t="s">
        <v>10527</v>
      </c>
    </row>
    <row r="21330">
      <c r="A21330" s="3" t="s">
        <v>37609</v>
      </c>
      <c r="B21330" s="3" t="s">
        <v>17685</v>
      </c>
      <c r="C21330" s="5" t="s">
        <v>614</v>
      </c>
      <c r="D21330" s="3" t="s">
        <v>206</v>
      </c>
      <c r="E21330" s="3" t="s">
        <v>100</v>
      </c>
      <c r="F21330" s="7">
        <v>46156.97173526144</v>
      </c>
      <c r="G21330" s="3" t="s">
        <v>10530</v>
      </c>
    </row>
    <row r="21331">
      <c r="A21331" s="3" t="s">
        <v>37610</v>
      </c>
      <c r="B21331" s="3" t="s">
        <v>17685</v>
      </c>
      <c r="C21331" s="5" t="s">
        <v>206</v>
      </c>
      <c r="D21331" s="3" t="s">
        <v>68</v>
      </c>
      <c r="E21331" s="3" t="s">
        <v>100</v>
      </c>
      <c r="F21331" s="7">
        <v>46156.97520748366</v>
      </c>
      <c r="G21331" s="3" t="s">
        <v>10533</v>
      </c>
    </row>
    <row r="21332">
      <c r="A21332" s="3" t="s">
        <v>37611</v>
      </c>
      <c r="B21332" s="3" t="s">
        <v>17686</v>
      </c>
      <c r="C21332" s="5" t="s">
        <v>45</v>
      </c>
      <c r="D21332" s="3" t="s">
        <v>221</v>
      </c>
      <c r="E21332" s="3" t="s">
        <v>186</v>
      </c>
      <c r="F21332" s="7">
        <v>46157.03596566241</v>
      </c>
      <c r="G21332" s="3" t="s">
        <v>3058</v>
      </c>
    </row>
    <row r="21333">
      <c r="A21333" s="3" t="s">
        <v>37612</v>
      </c>
      <c r="B21333" s="3" t="s">
        <v>17686</v>
      </c>
      <c r="C21333" s="5" t="s">
        <v>221</v>
      </c>
      <c r="D21333" s="3" t="s">
        <v>614</v>
      </c>
      <c r="E21333" s="3" t="s">
        <v>118</v>
      </c>
      <c r="F21333" s="7">
        <v>46157.03943788463</v>
      </c>
      <c r="G21333" s="3" t="s">
        <v>3061</v>
      </c>
    </row>
    <row r="21334">
      <c r="A21334" s="3" t="s">
        <v>37613</v>
      </c>
      <c r="B21334" s="3" t="s">
        <v>17686</v>
      </c>
      <c r="C21334" s="5" t="s">
        <v>614</v>
      </c>
      <c r="D21334" s="3" t="s">
        <v>206</v>
      </c>
      <c r="E21334" s="3" t="s">
        <v>100</v>
      </c>
      <c r="F21334" s="7">
        <v>46157.04291010686</v>
      </c>
      <c r="G21334" s="3" t="s">
        <v>3064</v>
      </c>
    </row>
    <row r="21335">
      <c r="A21335" s="3" t="s">
        <v>37614</v>
      </c>
      <c r="B21335" s="3" t="s">
        <v>17686</v>
      </c>
      <c r="C21335" s="5" t="s">
        <v>206</v>
      </c>
      <c r="D21335" s="3" t="s">
        <v>68</v>
      </c>
      <c r="E21335" s="3" t="s">
        <v>100</v>
      </c>
      <c r="F21335" s="7">
        <v>46157.04638232908</v>
      </c>
      <c r="G21335" s="3" t="s">
        <v>3067</v>
      </c>
    </row>
    <row r="21336">
      <c r="A21336" s="3" t="s">
        <v>37615</v>
      </c>
      <c r="B21336" s="3" t="s">
        <v>17688</v>
      </c>
      <c r="C21336" s="5" t="s">
        <v>45</v>
      </c>
      <c r="D21336" s="3" t="s">
        <v>221</v>
      </c>
      <c r="E21336" s="3" t="s">
        <v>993</v>
      </c>
      <c r="F21336" s="7">
        <v>46157.107140507826</v>
      </c>
      <c r="G21336" s="3" t="s">
        <v>21414</v>
      </c>
    </row>
    <row r="21337">
      <c r="A21337" s="3" t="s">
        <v>37616</v>
      </c>
      <c r="B21337" s="3" t="s">
        <v>17688</v>
      </c>
      <c r="C21337" s="5" t="s">
        <v>221</v>
      </c>
      <c r="D21337" s="3" t="s">
        <v>614</v>
      </c>
      <c r="E21337" s="3" t="s">
        <v>118</v>
      </c>
      <c r="F21337" s="7">
        <v>46157.110612730045</v>
      </c>
      <c r="G21337" s="3" t="s">
        <v>21417</v>
      </c>
    </row>
    <row r="21338">
      <c r="A21338" s="3" t="s">
        <v>37617</v>
      </c>
      <c r="B21338" s="3" t="s">
        <v>17688</v>
      </c>
      <c r="C21338" s="5" t="s">
        <v>614</v>
      </c>
      <c r="D21338" s="3" t="s">
        <v>206</v>
      </c>
      <c r="E21338" s="3" t="s">
        <v>100</v>
      </c>
      <c r="F21338" s="7">
        <v>46157.11408495227</v>
      </c>
      <c r="G21338" s="3" t="s">
        <v>21420</v>
      </c>
    </row>
    <row r="21339">
      <c r="A21339" s="3" t="s">
        <v>37618</v>
      </c>
      <c r="B21339" s="3" t="s">
        <v>17688</v>
      </c>
      <c r="C21339" s="5" t="s">
        <v>206</v>
      </c>
      <c r="D21339" s="3" t="s">
        <v>68</v>
      </c>
      <c r="E21339" s="3" t="s">
        <v>100</v>
      </c>
      <c r="F21339" s="7">
        <v>46157.11755717449</v>
      </c>
      <c r="G21339" s="3" t="s">
        <v>21422</v>
      </c>
    </row>
    <row r="21340">
      <c r="A21340" s="3" t="s">
        <v>37619</v>
      </c>
      <c r="B21340" s="3" t="s">
        <v>17692</v>
      </c>
      <c r="C21340" s="5" t="s">
        <v>45</v>
      </c>
      <c r="D21340" s="3" t="s">
        <v>221</v>
      </c>
      <c r="E21340" s="3" t="s">
        <v>475</v>
      </c>
      <c r="F21340" s="7">
        <v>46157.17831535324</v>
      </c>
      <c r="G21340" s="3" t="s">
        <v>2770</v>
      </c>
    </row>
    <row r="21341">
      <c r="A21341" s="3" t="s">
        <v>37620</v>
      </c>
      <c r="B21341" s="3" t="s">
        <v>17692</v>
      </c>
      <c r="C21341" s="5" t="s">
        <v>221</v>
      </c>
      <c r="D21341" s="3" t="s">
        <v>181</v>
      </c>
      <c r="E21341" s="3" t="s">
        <v>118</v>
      </c>
      <c r="F21341" s="7">
        <v>46157.18178757546</v>
      </c>
      <c r="G21341" s="3" t="s">
        <v>2774</v>
      </c>
    </row>
    <row r="21342">
      <c r="A21342" s="3" t="s">
        <v>37621</v>
      </c>
      <c r="B21342" s="3" t="s">
        <v>17695</v>
      </c>
      <c r="C21342" s="5" t="s">
        <v>45</v>
      </c>
      <c r="D21342" s="3" t="s">
        <v>221</v>
      </c>
      <c r="E21342" s="3" t="s">
        <v>299</v>
      </c>
      <c r="F21342" s="7">
        <v>46157.24949019866</v>
      </c>
      <c r="G21342" s="3" t="s">
        <v>22130</v>
      </c>
    </row>
    <row r="21343">
      <c r="A21343" s="3" t="s">
        <v>37622</v>
      </c>
      <c r="B21343" s="3" t="s">
        <v>17695</v>
      </c>
      <c r="C21343" s="5" t="s">
        <v>221</v>
      </c>
      <c r="D21343" s="3" t="s">
        <v>614</v>
      </c>
      <c r="E21343" s="3" t="s">
        <v>118</v>
      </c>
      <c r="F21343" s="7">
        <v>46157.25296242088</v>
      </c>
      <c r="G21343" s="3" t="s">
        <v>22133</v>
      </c>
    </row>
    <row r="21344">
      <c r="A21344" s="3" t="s">
        <v>37623</v>
      </c>
      <c r="B21344" s="3" t="s">
        <v>17695</v>
      </c>
      <c r="C21344" s="5" t="s">
        <v>614</v>
      </c>
      <c r="D21344" s="3" t="s">
        <v>206</v>
      </c>
      <c r="E21344" s="3" t="s">
        <v>100</v>
      </c>
      <c r="F21344" s="7">
        <v>46157.2564346431</v>
      </c>
      <c r="G21344" s="3" t="s">
        <v>22135</v>
      </c>
    </row>
    <row r="21345">
      <c r="A21345" s="3" t="s">
        <v>37624</v>
      </c>
      <c r="B21345" s="3" t="s">
        <v>17695</v>
      </c>
      <c r="C21345" s="5" t="s">
        <v>206</v>
      </c>
      <c r="D21345" s="3" t="s">
        <v>68</v>
      </c>
      <c r="E21345" s="3" t="s">
        <v>100</v>
      </c>
      <c r="F21345" s="7">
        <v>46157.25990686532</v>
      </c>
      <c r="G21345" s="3" t="s">
        <v>22138</v>
      </c>
    </row>
    <row r="21346">
      <c r="A21346" s="3" t="s">
        <v>37625</v>
      </c>
      <c r="B21346" s="3" t="s">
        <v>17698</v>
      </c>
      <c r="C21346" s="5" t="s">
        <v>45</v>
      </c>
      <c r="D21346" s="3" t="s">
        <v>221</v>
      </c>
      <c r="E21346" s="3" t="s">
        <v>126</v>
      </c>
      <c r="F21346" s="7">
        <v>46157.32066504407</v>
      </c>
      <c r="G21346" s="3" t="s">
        <v>7056</v>
      </c>
    </row>
    <row r="21347">
      <c r="A21347" s="3" t="s">
        <v>37626</v>
      </c>
      <c r="B21347" s="3" t="s">
        <v>17698</v>
      </c>
      <c r="C21347" s="5" t="s">
        <v>221</v>
      </c>
      <c r="D21347" s="3" t="s">
        <v>614</v>
      </c>
      <c r="E21347" s="3" t="s">
        <v>118</v>
      </c>
      <c r="F21347" s="7">
        <v>46157.32413726629</v>
      </c>
      <c r="G21347" s="3" t="s">
        <v>7059</v>
      </c>
    </row>
    <row r="21348">
      <c r="A21348" s="3" t="s">
        <v>37627</v>
      </c>
      <c r="B21348" s="3" t="s">
        <v>17698</v>
      </c>
      <c r="C21348" s="5" t="s">
        <v>614</v>
      </c>
      <c r="D21348" s="3" t="s">
        <v>206</v>
      </c>
      <c r="E21348" s="3" t="s">
        <v>100</v>
      </c>
      <c r="F21348" s="7">
        <v>46157.327609488515</v>
      </c>
      <c r="G21348" s="3" t="s">
        <v>7062</v>
      </c>
    </row>
    <row r="21349">
      <c r="A21349" s="3" t="s">
        <v>37628</v>
      </c>
      <c r="B21349" s="3" t="s">
        <v>17698</v>
      </c>
      <c r="C21349" s="5" t="s">
        <v>206</v>
      </c>
      <c r="D21349" s="3" t="s">
        <v>68</v>
      </c>
      <c r="E21349" s="3" t="s">
        <v>100</v>
      </c>
      <c r="F21349" s="7">
        <v>46157.331081710734</v>
      </c>
      <c r="G21349" s="3" t="s">
        <v>7064</v>
      </c>
    </row>
    <row r="21350">
      <c r="A21350" s="3" t="s">
        <v>37629</v>
      </c>
      <c r="B21350" s="3" t="s">
        <v>17700</v>
      </c>
      <c r="C21350" s="5" t="s">
        <v>45</v>
      </c>
      <c r="D21350" s="3" t="s">
        <v>221</v>
      </c>
      <c r="E21350" s="3" t="s">
        <v>819</v>
      </c>
      <c r="F21350" s="7">
        <v>46157.39183988948</v>
      </c>
      <c r="G21350" s="3" t="s">
        <v>17970</v>
      </c>
    </row>
    <row r="21351">
      <c r="A21351" s="3" t="s">
        <v>37630</v>
      </c>
      <c r="B21351" s="3" t="s">
        <v>17700</v>
      </c>
      <c r="C21351" s="5" t="s">
        <v>221</v>
      </c>
      <c r="D21351" s="3" t="s">
        <v>614</v>
      </c>
      <c r="E21351" s="3" t="s">
        <v>118</v>
      </c>
      <c r="F21351" s="7">
        <v>46157.3953121117</v>
      </c>
      <c r="G21351" s="3" t="s">
        <v>19775</v>
      </c>
    </row>
    <row r="21352">
      <c r="A21352" s="3" t="s">
        <v>37631</v>
      </c>
      <c r="B21352" s="3" t="s">
        <v>17700</v>
      </c>
      <c r="C21352" s="5" t="s">
        <v>614</v>
      </c>
      <c r="D21352" s="3" t="s">
        <v>206</v>
      </c>
      <c r="E21352" s="3" t="s">
        <v>100</v>
      </c>
      <c r="F21352" s="7">
        <v>46157.39878433393</v>
      </c>
      <c r="G21352" s="3" t="s">
        <v>19778</v>
      </c>
    </row>
    <row r="21353">
      <c r="A21353" s="3" t="s">
        <v>37632</v>
      </c>
      <c r="B21353" s="3" t="s">
        <v>17700</v>
      </c>
      <c r="C21353" s="5" t="s">
        <v>206</v>
      </c>
      <c r="D21353" s="3" t="s">
        <v>68</v>
      </c>
      <c r="E21353" s="3" t="s">
        <v>100</v>
      </c>
      <c r="F21353" s="7">
        <v>46157.402256556146</v>
      </c>
      <c r="G21353" s="3" t="s">
        <v>19781</v>
      </c>
    </row>
    <row r="21354">
      <c r="A21354" s="3" t="s">
        <v>37633</v>
      </c>
      <c r="B21354" s="3" t="s">
        <v>17702</v>
      </c>
      <c r="C21354" s="5" t="s">
        <v>45</v>
      </c>
      <c r="D21354" s="3" t="s">
        <v>221</v>
      </c>
      <c r="E21354" s="3" t="s">
        <v>682</v>
      </c>
      <c r="F21354" s="7">
        <v>46157.4630147349</v>
      </c>
      <c r="G21354" s="3" t="s">
        <v>31599</v>
      </c>
    </row>
    <row r="21355">
      <c r="A21355" s="3" t="s">
        <v>37634</v>
      </c>
      <c r="B21355" s="3" t="s">
        <v>17702</v>
      </c>
      <c r="C21355" s="5" t="s">
        <v>221</v>
      </c>
      <c r="D21355" s="3" t="s">
        <v>614</v>
      </c>
      <c r="E21355" s="3" t="s">
        <v>118</v>
      </c>
      <c r="F21355" s="7">
        <v>46157.46648695712</v>
      </c>
      <c r="G21355" s="3" t="s">
        <v>37635</v>
      </c>
    </row>
    <row r="21356">
      <c r="A21356" s="3" t="s">
        <v>37636</v>
      </c>
      <c r="B21356" s="3" t="s">
        <v>17702</v>
      </c>
      <c r="C21356" s="5" t="s">
        <v>614</v>
      </c>
      <c r="D21356" s="3" t="s">
        <v>206</v>
      </c>
      <c r="E21356" s="3" t="s">
        <v>100</v>
      </c>
      <c r="F21356" s="7">
        <v>46157.46995917935</v>
      </c>
      <c r="G21356" s="3" t="s">
        <v>37637</v>
      </c>
    </row>
    <row r="21357">
      <c r="A21357" s="3" t="s">
        <v>37638</v>
      </c>
      <c r="B21357" s="3" t="s">
        <v>17702</v>
      </c>
      <c r="C21357" s="5" t="s">
        <v>206</v>
      </c>
      <c r="D21357" s="3" t="s">
        <v>68</v>
      </c>
      <c r="E21357" s="3" t="s">
        <v>100</v>
      </c>
      <c r="F21357" s="7">
        <v>46157.473431401566</v>
      </c>
      <c r="G21357" s="3" t="s">
        <v>37639</v>
      </c>
    </row>
    <row r="21358">
      <c r="A21358" s="3" t="s">
        <v>37640</v>
      </c>
      <c r="B21358" s="3" t="s">
        <v>17705</v>
      </c>
      <c r="C21358" s="5" t="s">
        <v>45</v>
      </c>
      <c r="D21358" s="3" t="s">
        <v>221</v>
      </c>
      <c r="E21358" s="3" t="s">
        <v>584</v>
      </c>
      <c r="F21358" s="7">
        <v>46157.53418958032</v>
      </c>
      <c r="G21358" s="3" t="s">
        <v>3099</v>
      </c>
    </row>
    <row r="21359">
      <c r="A21359" s="3" t="s">
        <v>37641</v>
      </c>
      <c r="B21359" s="3" t="s">
        <v>17705</v>
      </c>
      <c r="C21359" s="5" t="s">
        <v>221</v>
      </c>
      <c r="D21359" s="3" t="s">
        <v>614</v>
      </c>
      <c r="E21359" s="3" t="s">
        <v>118</v>
      </c>
      <c r="F21359" s="7">
        <v>46157.53766180254</v>
      </c>
      <c r="G21359" s="3" t="s">
        <v>3102</v>
      </c>
    </row>
    <row r="21360">
      <c r="A21360" s="3" t="s">
        <v>37642</v>
      </c>
      <c r="B21360" s="3" t="s">
        <v>17705</v>
      </c>
      <c r="C21360" s="5" t="s">
        <v>614</v>
      </c>
      <c r="D21360" s="3" t="s">
        <v>206</v>
      </c>
      <c r="E21360" s="3" t="s">
        <v>100</v>
      </c>
      <c r="F21360" s="7">
        <v>46157.54113402477</v>
      </c>
      <c r="G21360" s="3" t="s">
        <v>3105</v>
      </c>
    </row>
    <row r="21361">
      <c r="A21361" s="3" t="s">
        <v>37643</v>
      </c>
      <c r="B21361" s="3" t="s">
        <v>17705</v>
      </c>
      <c r="C21361" s="5" t="s">
        <v>206</v>
      </c>
      <c r="D21361" s="3" t="s">
        <v>68</v>
      </c>
      <c r="E21361" s="3" t="s">
        <v>100</v>
      </c>
      <c r="F21361" s="7">
        <v>46157.544606246985</v>
      </c>
      <c r="G21361" s="3" t="s">
        <v>3108</v>
      </c>
    </row>
    <row r="21362">
      <c r="A21362" s="3" t="s">
        <v>37644</v>
      </c>
      <c r="B21362" s="3" t="s">
        <v>17708</v>
      </c>
      <c r="C21362" s="5" t="s">
        <v>45</v>
      </c>
      <c r="D21362" s="3" t="s">
        <v>221</v>
      </c>
      <c r="E21362" s="3" t="s">
        <v>579</v>
      </c>
      <c r="F21362" s="7">
        <v>46157.605364425726</v>
      </c>
      <c r="G21362" s="3" t="s">
        <v>9146</v>
      </c>
    </row>
    <row r="21363">
      <c r="A21363" s="3" t="s">
        <v>37645</v>
      </c>
      <c r="B21363" s="3" t="s">
        <v>17708</v>
      </c>
      <c r="C21363" s="5" t="s">
        <v>221</v>
      </c>
      <c r="D21363" s="3" t="s">
        <v>614</v>
      </c>
      <c r="E21363" s="3" t="s">
        <v>118</v>
      </c>
      <c r="F21363" s="7">
        <v>46157.608836647945</v>
      </c>
      <c r="G21363" s="3" t="s">
        <v>9149</v>
      </c>
    </row>
    <row r="21364">
      <c r="A21364" s="3" t="s">
        <v>37646</v>
      </c>
      <c r="B21364" s="3" t="s">
        <v>17708</v>
      </c>
      <c r="C21364" s="5" t="s">
        <v>614</v>
      </c>
      <c r="D21364" s="3" t="s">
        <v>206</v>
      </c>
      <c r="E21364" s="3" t="s">
        <v>100</v>
      </c>
      <c r="F21364" s="7">
        <v>46157.61230887017</v>
      </c>
      <c r="G21364" s="3" t="s">
        <v>9151</v>
      </c>
    </row>
    <row r="21365">
      <c r="A21365" s="3" t="s">
        <v>37647</v>
      </c>
      <c r="B21365" s="3" t="s">
        <v>17708</v>
      </c>
      <c r="C21365" s="5" t="s">
        <v>206</v>
      </c>
      <c r="D21365" s="3" t="s">
        <v>68</v>
      </c>
      <c r="E21365" s="3" t="s">
        <v>100</v>
      </c>
      <c r="F21365" s="7">
        <v>46157.61578109239</v>
      </c>
      <c r="G21365" s="3" t="s">
        <v>9154</v>
      </c>
    </row>
    <row r="21366">
      <c r="A21366" s="3" t="s">
        <v>37648</v>
      </c>
      <c r="B21366" s="3" t="s">
        <v>17711</v>
      </c>
      <c r="C21366" s="5" t="s">
        <v>45</v>
      </c>
      <c r="D21366" s="3" t="s">
        <v>221</v>
      </c>
      <c r="E21366" s="3" t="s">
        <v>535</v>
      </c>
      <c r="F21366" s="7">
        <v>46157.676539271146</v>
      </c>
      <c r="G21366" s="3" t="s">
        <v>13014</v>
      </c>
    </row>
    <row r="21367">
      <c r="A21367" s="3" t="s">
        <v>37649</v>
      </c>
      <c r="B21367" s="3" t="s">
        <v>17711</v>
      </c>
      <c r="C21367" s="5" t="s">
        <v>221</v>
      </c>
      <c r="D21367" s="3" t="s">
        <v>181</v>
      </c>
      <c r="E21367" s="3" t="s">
        <v>118</v>
      </c>
      <c r="F21367" s="7">
        <v>46157.680011493365</v>
      </c>
      <c r="G21367" s="3" t="s">
        <v>14298</v>
      </c>
    </row>
    <row r="21368">
      <c r="A21368" s="3" t="s">
        <v>37650</v>
      </c>
      <c r="B21368" s="3" t="s">
        <v>17714</v>
      </c>
      <c r="C21368" s="5" t="s">
        <v>45</v>
      </c>
      <c r="D21368" s="3" t="s">
        <v>221</v>
      </c>
      <c r="E21368" s="3" t="s">
        <v>691</v>
      </c>
      <c r="F21368" s="7">
        <v>46157.747714116565</v>
      </c>
      <c r="G21368" s="3" t="s">
        <v>9244</v>
      </c>
    </row>
    <row r="21369">
      <c r="A21369" s="3" t="s">
        <v>37651</v>
      </c>
      <c r="B21369" s="3" t="s">
        <v>17714</v>
      </c>
      <c r="C21369" s="5" t="s">
        <v>221</v>
      </c>
      <c r="D21369" s="3" t="s">
        <v>614</v>
      </c>
      <c r="E21369" s="3" t="s">
        <v>118</v>
      </c>
      <c r="F21369" s="7">
        <v>46157.751186338784</v>
      </c>
      <c r="G21369" s="3" t="s">
        <v>9247</v>
      </c>
    </row>
    <row r="21370">
      <c r="A21370" s="3" t="s">
        <v>37652</v>
      </c>
      <c r="B21370" s="3" t="s">
        <v>17714</v>
      </c>
      <c r="C21370" s="5" t="s">
        <v>614</v>
      </c>
      <c r="D21370" s="3" t="s">
        <v>206</v>
      </c>
      <c r="E21370" s="3" t="s">
        <v>100</v>
      </c>
      <c r="F21370" s="7">
        <v>46157.75465856101</v>
      </c>
      <c r="G21370" s="3" t="s">
        <v>9250</v>
      </c>
    </row>
    <row r="21371">
      <c r="A21371" s="3" t="s">
        <v>37653</v>
      </c>
      <c r="B21371" s="3" t="s">
        <v>17714</v>
      </c>
      <c r="C21371" s="5" t="s">
        <v>206</v>
      </c>
      <c r="D21371" s="3" t="s">
        <v>68</v>
      </c>
      <c r="E21371" s="3" t="s">
        <v>100</v>
      </c>
      <c r="F21371" s="7">
        <v>46157.75813078323</v>
      </c>
      <c r="G21371" s="3" t="s">
        <v>9253</v>
      </c>
    </row>
    <row r="21372">
      <c r="A21372" s="3" t="s">
        <v>37654</v>
      </c>
      <c r="B21372" s="3" t="s">
        <v>17717</v>
      </c>
      <c r="C21372" s="5" t="s">
        <v>45</v>
      </c>
      <c r="D21372" s="3" t="s">
        <v>221</v>
      </c>
      <c r="E21372" s="3" t="s">
        <v>336</v>
      </c>
      <c r="F21372" s="7">
        <v>46157.81888896198</v>
      </c>
      <c r="G21372" s="3" t="s">
        <v>5707</v>
      </c>
    </row>
    <row r="21373">
      <c r="A21373" s="3" t="s">
        <v>37655</v>
      </c>
      <c r="B21373" s="3" t="s">
        <v>17717</v>
      </c>
      <c r="C21373" s="5" t="s">
        <v>221</v>
      </c>
      <c r="D21373" s="3" t="s">
        <v>614</v>
      </c>
      <c r="E21373" s="3" t="s">
        <v>118</v>
      </c>
      <c r="F21373" s="7">
        <v>46157.8223611842</v>
      </c>
      <c r="G21373" s="3" t="s">
        <v>5710</v>
      </c>
    </row>
    <row r="21374">
      <c r="A21374" s="3" t="s">
        <v>37656</v>
      </c>
      <c r="B21374" s="3" t="s">
        <v>17717</v>
      </c>
      <c r="C21374" s="5" t="s">
        <v>614</v>
      </c>
      <c r="D21374" s="3" t="s">
        <v>206</v>
      </c>
      <c r="E21374" s="3" t="s">
        <v>100</v>
      </c>
      <c r="F21374" s="7">
        <v>46157.82583340642</v>
      </c>
      <c r="G21374" s="3" t="s">
        <v>5713</v>
      </c>
    </row>
    <row r="21375">
      <c r="A21375" s="3" t="s">
        <v>37657</v>
      </c>
      <c r="B21375" s="3" t="s">
        <v>17717</v>
      </c>
      <c r="C21375" s="5" t="s">
        <v>206</v>
      </c>
      <c r="D21375" s="3" t="s">
        <v>68</v>
      </c>
      <c r="E21375" s="3" t="s">
        <v>100</v>
      </c>
      <c r="F21375" s="7">
        <v>46157.82930562864</v>
      </c>
      <c r="G21375" s="3" t="s">
        <v>5716</v>
      </c>
    </row>
    <row r="21376">
      <c r="A21376" s="3" t="s">
        <v>37658</v>
      </c>
      <c r="B21376" s="3" t="s">
        <v>17720</v>
      </c>
      <c r="C21376" s="5" t="s">
        <v>45</v>
      </c>
      <c r="D21376" s="3" t="s">
        <v>221</v>
      </c>
      <c r="E21376" s="3" t="s">
        <v>841</v>
      </c>
      <c r="F21376" s="7">
        <v>46157.89006380739</v>
      </c>
      <c r="G21376" s="3" t="s">
        <v>22899</v>
      </c>
    </row>
    <row r="21377">
      <c r="A21377" s="3" t="s">
        <v>37659</v>
      </c>
      <c r="B21377" s="3" t="s">
        <v>17720</v>
      </c>
      <c r="C21377" s="5" t="s">
        <v>221</v>
      </c>
      <c r="D21377" s="3" t="s">
        <v>614</v>
      </c>
      <c r="E21377" s="3" t="s">
        <v>118</v>
      </c>
      <c r="F21377" s="7">
        <v>46157.89353602961</v>
      </c>
      <c r="G21377" s="3" t="s">
        <v>22902</v>
      </c>
    </row>
    <row r="21378">
      <c r="A21378" s="3" t="s">
        <v>37660</v>
      </c>
      <c r="B21378" s="3" t="s">
        <v>17720</v>
      </c>
      <c r="C21378" s="5" t="s">
        <v>614</v>
      </c>
      <c r="D21378" s="3" t="s">
        <v>206</v>
      </c>
      <c r="E21378" s="3" t="s">
        <v>100</v>
      </c>
      <c r="F21378" s="7">
        <v>46157.897008251835</v>
      </c>
      <c r="G21378" s="3" t="s">
        <v>22905</v>
      </c>
    </row>
    <row r="21379">
      <c r="A21379" s="3" t="s">
        <v>37661</v>
      </c>
      <c r="B21379" s="3" t="s">
        <v>17720</v>
      </c>
      <c r="C21379" s="5" t="s">
        <v>206</v>
      </c>
      <c r="D21379" s="3" t="s">
        <v>68</v>
      </c>
      <c r="E21379" s="3" t="s">
        <v>100</v>
      </c>
      <c r="F21379" s="7">
        <v>46157.900480474054</v>
      </c>
      <c r="G21379" s="3" t="s">
        <v>22908</v>
      </c>
    </row>
    <row r="21380">
      <c r="A21380" s="3" t="s">
        <v>37662</v>
      </c>
      <c r="B21380" s="3" t="s">
        <v>17722</v>
      </c>
      <c r="C21380" s="5" t="s">
        <v>45</v>
      </c>
      <c r="D21380" s="3" t="s">
        <v>221</v>
      </c>
      <c r="E21380" s="3" t="s">
        <v>263</v>
      </c>
      <c r="F21380" s="7">
        <v>46157.96123865281</v>
      </c>
      <c r="G21380" s="3" t="s">
        <v>3111</v>
      </c>
    </row>
    <row r="21381">
      <c r="A21381" s="3" t="s">
        <v>37663</v>
      </c>
      <c r="B21381" s="3" t="s">
        <v>17722</v>
      </c>
      <c r="C21381" s="5" t="s">
        <v>221</v>
      </c>
      <c r="D21381" s="3" t="s">
        <v>614</v>
      </c>
      <c r="E21381" s="3" t="s">
        <v>118</v>
      </c>
      <c r="F21381" s="7">
        <v>46157.96471087503</v>
      </c>
      <c r="G21381" s="3" t="s">
        <v>3114</v>
      </c>
    </row>
    <row r="21382">
      <c r="A21382" s="3" t="s">
        <v>37664</v>
      </c>
      <c r="B21382" s="3" t="s">
        <v>17722</v>
      </c>
      <c r="C21382" s="5" t="s">
        <v>614</v>
      </c>
      <c r="D21382" s="3" t="s">
        <v>206</v>
      </c>
      <c r="E21382" s="3" t="s">
        <v>100</v>
      </c>
      <c r="F21382" s="7">
        <v>46157.968183097255</v>
      </c>
      <c r="G21382" s="3" t="s">
        <v>3117</v>
      </c>
    </row>
    <row r="21383">
      <c r="A21383" s="3" t="s">
        <v>37665</v>
      </c>
      <c r="B21383" s="3" t="s">
        <v>17722</v>
      </c>
      <c r="C21383" s="5" t="s">
        <v>206</v>
      </c>
      <c r="D21383" s="3" t="s">
        <v>68</v>
      </c>
      <c r="E21383" s="3" t="s">
        <v>100</v>
      </c>
      <c r="F21383" s="7">
        <v>46157.971655319474</v>
      </c>
      <c r="G21383" s="3" t="s">
        <v>3120</v>
      </c>
    </row>
    <row r="21384">
      <c r="A21384" s="3" t="s">
        <v>37666</v>
      </c>
      <c r="B21384" s="3" t="s">
        <v>17725</v>
      </c>
      <c r="C21384" s="5" t="s">
        <v>45</v>
      </c>
      <c r="D21384" s="3" t="s">
        <v>221</v>
      </c>
      <c r="E21384" s="3" t="s">
        <v>299</v>
      </c>
      <c r="F21384" s="7">
        <v>46158.03241349822</v>
      </c>
      <c r="G21384" s="3" t="s">
        <v>3127</v>
      </c>
    </row>
    <row r="21385">
      <c r="A21385" s="3" t="s">
        <v>37667</v>
      </c>
      <c r="B21385" s="3" t="s">
        <v>17725</v>
      </c>
      <c r="C21385" s="5" t="s">
        <v>221</v>
      </c>
      <c r="D21385" s="3" t="s">
        <v>614</v>
      </c>
      <c r="E21385" s="3" t="s">
        <v>118</v>
      </c>
      <c r="F21385" s="7">
        <v>46158.03588572044</v>
      </c>
      <c r="G21385" s="3" t="s">
        <v>3130</v>
      </c>
    </row>
    <row r="21386">
      <c r="A21386" s="3" t="s">
        <v>37668</v>
      </c>
      <c r="B21386" s="3" t="s">
        <v>17725</v>
      </c>
      <c r="C21386" s="5" t="s">
        <v>614</v>
      </c>
      <c r="D21386" s="3" t="s">
        <v>206</v>
      </c>
      <c r="E21386" s="3" t="s">
        <v>100</v>
      </c>
      <c r="F21386" s="7">
        <v>46158.03935794267</v>
      </c>
      <c r="G21386" s="3" t="s">
        <v>3133</v>
      </c>
    </row>
    <row r="21387">
      <c r="A21387" s="3" t="s">
        <v>37669</v>
      </c>
      <c r="B21387" s="3" t="s">
        <v>17725</v>
      </c>
      <c r="C21387" s="5" t="s">
        <v>206</v>
      </c>
      <c r="D21387" s="3" t="s">
        <v>68</v>
      </c>
      <c r="E21387" s="3" t="s">
        <v>100</v>
      </c>
      <c r="F21387" s="7">
        <v>46158.042830164886</v>
      </c>
      <c r="G21387" s="3" t="s">
        <v>3136</v>
      </c>
    </row>
    <row r="21388">
      <c r="A21388" s="3" t="s">
        <v>37670</v>
      </c>
      <c r="B21388" s="3" t="s">
        <v>17729</v>
      </c>
      <c r="C21388" s="5" t="s">
        <v>45</v>
      </c>
      <c r="D21388" s="3" t="s">
        <v>221</v>
      </c>
      <c r="E21388" s="3" t="s">
        <v>773</v>
      </c>
      <c r="F21388" s="7">
        <v>46158.103588343634</v>
      </c>
      <c r="G21388" s="3" t="s">
        <v>37671</v>
      </c>
    </row>
    <row r="21389">
      <c r="A21389" s="3" t="s">
        <v>37672</v>
      </c>
      <c r="B21389" s="3" t="s">
        <v>17729</v>
      </c>
      <c r="C21389" s="5" t="s">
        <v>221</v>
      </c>
      <c r="D21389" s="3" t="s">
        <v>614</v>
      </c>
      <c r="E21389" s="3" t="s">
        <v>118</v>
      </c>
      <c r="F21389" s="7">
        <v>46158.10706056585</v>
      </c>
      <c r="G21389" s="3" t="s">
        <v>37673</v>
      </c>
    </row>
    <row r="21390">
      <c r="A21390" s="3" t="s">
        <v>37674</v>
      </c>
      <c r="B21390" s="3" t="s">
        <v>17729</v>
      </c>
      <c r="C21390" s="5" t="s">
        <v>614</v>
      </c>
      <c r="D21390" s="3" t="s">
        <v>206</v>
      </c>
      <c r="E21390" s="3" t="s">
        <v>100</v>
      </c>
      <c r="F21390" s="7">
        <v>46158.11053278808</v>
      </c>
      <c r="G21390" s="3" t="s">
        <v>37675</v>
      </c>
    </row>
    <row r="21391">
      <c r="A21391" s="3" t="s">
        <v>37676</v>
      </c>
      <c r="B21391" s="3" t="s">
        <v>17729</v>
      </c>
      <c r="C21391" s="5" t="s">
        <v>206</v>
      </c>
      <c r="D21391" s="3" t="s">
        <v>68</v>
      </c>
      <c r="E21391" s="3" t="s">
        <v>100</v>
      </c>
      <c r="F21391" s="7">
        <v>46158.1140050103</v>
      </c>
      <c r="G21391" s="3" t="s">
        <v>37677</v>
      </c>
    </row>
    <row r="21392">
      <c r="A21392" s="3" t="s">
        <v>37678</v>
      </c>
      <c r="B21392" s="3" t="s">
        <v>17732</v>
      </c>
      <c r="C21392" s="5" t="s">
        <v>45</v>
      </c>
      <c r="D21392" s="3" t="s">
        <v>221</v>
      </c>
      <c r="E21392" s="3" t="s">
        <v>247</v>
      </c>
      <c r="F21392" s="7">
        <v>46158.174763189054</v>
      </c>
      <c r="G21392" s="3" t="s">
        <v>19475</v>
      </c>
    </row>
    <row r="21393">
      <c r="A21393" s="3" t="s">
        <v>37679</v>
      </c>
      <c r="B21393" s="3" t="s">
        <v>17732</v>
      </c>
      <c r="C21393" s="5" t="s">
        <v>221</v>
      </c>
      <c r="D21393" s="3" t="s">
        <v>614</v>
      </c>
      <c r="E21393" s="3" t="s">
        <v>118</v>
      </c>
      <c r="F21393" s="7">
        <v>46158.17823541127</v>
      </c>
      <c r="G21393" s="3" t="s">
        <v>19478</v>
      </c>
    </row>
    <row r="21394">
      <c r="A21394" s="3" t="s">
        <v>37680</v>
      </c>
      <c r="B21394" s="3" t="s">
        <v>17732</v>
      </c>
      <c r="C21394" s="5" t="s">
        <v>614</v>
      </c>
      <c r="D21394" s="3" t="s">
        <v>206</v>
      </c>
      <c r="E21394" s="3" t="s">
        <v>100</v>
      </c>
      <c r="F21394" s="7">
        <v>46158.1817076335</v>
      </c>
      <c r="G21394" s="3" t="s">
        <v>19481</v>
      </c>
    </row>
    <row r="21395">
      <c r="A21395" s="3" t="s">
        <v>37681</v>
      </c>
      <c r="B21395" s="3" t="s">
        <v>17732</v>
      </c>
      <c r="C21395" s="5" t="s">
        <v>206</v>
      </c>
      <c r="D21395" s="3" t="s">
        <v>68</v>
      </c>
      <c r="E21395" s="3" t="s">
        <v>100</v>
      </c>
      <c r="F21395" s="7">
        <v>46158.18517985572</v>
      </c>
      <c r="G21395" s="3" t="s">
        <v>19483</v>
      </c>
    </row>
    <row r="21396">
      <c r="A21396" s="3" t="s">
        <v>37682</v>
      </c>
      <c r="B21396" s="3" t="s">
        <v>17736</v>
      </c>
      <c r="C21396" s="5" t="s">
        <v>45</v>
      </c>
      <c r="D21396" s="3" t="s">
        <v>221</v>
      </c>
      <c r="E21396" s="3" t="s">
        <v>496</v>
      </c>
      <c r="F21396" s="7">
        <v>46158.245938034466</v>
      </c>
      <c r="G21396" s="3" t="s">
        <v>3164</v>
      </c>
    </row>
    <row r="21397">
      <c r="A21397" s="3" t="s">
        <v>37683</v>
      </c>
      <c r="B21397" s="3" t="s">
        <v>17736</v>
      </c>
      <c r="C21397" s="5" t="s">
        <v>221</v>
      </c>
      <c r="D21397" s="3" t="s">
        <v>614</v>
      </c>
      <c r="E21397" s="3" t="s">
        <v>118</v>
      </c>
      <c r="F21397" s="7">
        <v>46158.249410256685</v>
      </c>
      <c r="G21397" s="3" t="s">
        <v>3167</v>
      </c>
    </row>
    <row r="21398">
      <c r="A21398" s="3" t="s">
        <v>37684</v>
      </c>
      <c r="B21398" s="3" t="s">
        <v>17736</v>
      </c>
      <c r="C21398" s="5" t="s">
        <v>614</v>
      </c>
      <c r="D21398" s="3" t="s">
        <v>206</v>
      </c>
      <c r="E21398" s="3" t="s">
        <v>100</v>
      </c>
      <c r="F21398" s="7">
        <v>46158.25288247891</v>
      </c>
      <c r="G21398" s="3" t="s">
        <v>3170</v>
      </c>
    </row>
    <row r="21399">
      <c r="A21399" s="3" t="s">
        <v>37685</v>
      </c>
      <c r="B21399" s="3" t="s">
        <v>17736</v>
      </c>
      <c r="C21399" s="5" t="s">
        <v>206</v>
      </c>
      <c r="D21399" s="3" t="s">
        <v>68</v>
      </c>
      <c r="E21399" s="3" t="s">
        <v>100</v>
      </c>
      <c r="F21399" s="7">
        <v>46158.25635470113</v>
      </c>
      <c r="G21399" s="3" t="s">
        <v>3172</v>
      </c>
    </row>
    <row r="21400">
      <c r="A21400" s="3" t="s">
        <v>37686</v>
      </c>
      <c r="B21400" s="3" t="s">
        <v>17740</v>
      </c>
      <c r="C21400" s="5" t="s">
        <v>45</v>
      </c>
      <c r="D21400" s="3" t="s">
        <v>221</v>
      </c>
      <c r="E21400" s="3" t="s">
        <v>162</v>
      </c>
      <c r="F21400" s="7">
        <v>46158.31711287988</v>
      </c>
      <c r="G21400" s="3" t="s">
        <v>5999</v>
      </c>
    </row>
    <row r="21401">
      <c r="A21401" s="3" t="s">
        <v>37687</v>
      </c>
      <c r="B21401" s="3" t="s">
        <v>17740</v>
      </c>
      <c r="C21401" s="5" t="s">
        <v>221</v>
      </c>
      <c r="D21401" s="3" t="s">
        <v>614</v>
      </c>
      <c r="E21401" s="3" t="s">
        <v>118</v>
      </c>
      <c r="F21401" s="7">
        <v>46158.3205851021</v>
      </c>
      <c r="G21401" s="3" t="s">
        <v>6001</v>
      </c>
    </row>
    <row r="21402">
      <c r="A21402" s="3" t="s">
        <v>37688</v>
      </c>
      <c r="B21402" s="3" t="s">
        <v>17740</v>
      </c>
      <c r="C21402" s="5" t="s">
        <v>614</v>
      </c>
      <c r="D21402" s="3" t="s">
        <v>206</v>
      </c>
      <c r="E21402" s="3" t="s">
        <v>100</v>
      </c>
      <c r="F21402" s="7">
        <v>46158.324057324324</v>
      </c>
      <c r="G21402" s="3" t="s">
        <v>6004</v>
      </c>
    </row>
    <row r="21403">
      <c r="A21403" s="3" t="s">
        <v>37689</v>
      </c>
      <c r="B21403" s="3" t="s">
        <v>17740</v>
      </c>
      <c r="C21403" s="5" t="s">
        <v>206</v>
      </c>
      <c r="D21403" s="3" t="s">
        <v>68</v>
      </c>
      <c r="E21403" s="3" t="s">
        <v>100</v>
      </c>
      <c r="F21403" s="7">
        <v>46158.32752954654</v>
      </c>
      <c r="G21403" s="3" t="s">
        <v>6007</v>
      </c>
    </row>
    <row r="21404">
      <c r="A21404" s="3" t="s">
        <v>37690</v>
      </c>
      <c r="B21404" s="3" t="s">
        <v>17743</v>
      </c>
      <c r="C21404" s="5" t="s">
        <v>45</v>
      </c>
      <c r="D21404" s="3" t="s">
        <v>221</v>
      </c>
      <c r="E21404" s="3" t="s">
        <v>1011</v>
      </c>
      <c r="F21404" s="7">
        <v>46158.3882877253</v>
      </c>
      <c r="G21404" s="3" t="s">
        <v>33066</v>
      </c>
    </row>
    <row r="21405">
      <c r="A21405" s="3" t="s">
        <v>37691</v>
      </c>
      <c r="B21405" s="3" t="s">
        <v>17743</v>
      </c>
      <c r="C21405" s="5" t="s">
        <v>221</v>
      </c>
      <c r="D21405" s="3" t="s">
        <v>181</v>
      </c>
      <c r="E21405" s="3" t="s">
        <v>118</v>
      </c>
      <c r="F21405" s="7">
        <v>46158.39175994752</v>
      </c>
      <c r="G21405" s="3" t="s">
        <v>37692</v>
      </c>
    </row>
    <row r="21406">
      <c r="A21406" s="3" t="s">
        <v>37693</v>
      </c>
      <c r="B21406" s="3" t="s">
        <v>17746</v>
      </c>
      <c r="C21406" s="5" t="s">
        <v>45</v>
      </c>
      <c r="D21406" s="3" t="s">
        <v>221</v>
      </c>
      <c r="E21406" s="3" t="s">
        <v>411</v>
      </c>
      <c r="F21406" s="7">
        <v>46158.45946257071</v>
      </c>
      <c r="G21406" s="3" t="s">
        <v>18951</v>
      </c>
    </row>
    <row r="21407">
      <c r="A21407" s="3" t="s">
        <v>37694</v>
      </c>
      <c r="B21407" s="3" t="s">
        <v>17746</v>
      </c>
      <c r="C21407" s="5" t="s">
        <v>221</v>
      </c>
      <c r="D21407" s="3" t="s">
        <v>614</v>
      </c>
      <c r="E21407" s="3" t="s">
        <v>118</v>
      </c>
      <c r="F21407" s="7">
        <v>46158.46293479293</v>
      </c>
      <c r="G21407" s="3" t="s">
        <v>18954</v>
      </c>
    </row>
    <row r="21408">
      <c r="A21408" s="3" t="s">
        <v>37695</v>
      </c>
      <c r="B21408" s="3" t="s">
        <v>17746</v>
      </c>
      <c r="C21408" s="5" t="s">
        <v>614</v>
      </c>
      <c r="D21408" s="3" t="s">
        <v>206</v>
      </c>
      <c r="E21408" s="3" t="s">
        <v>100</v>
      </c>
      <c r="F21408" s="7">
        <v>46158.466407015156</v>
      </c>
      <c r="G21408" s="3" t="s">
        <v>18956</v>
      </c>
    </row>
    <row r="21409">
      <c r="A21409" s="3" t="s">
        <v>37696</v>
      </c>
      <c r="B21409" s="3" t="s">
        <v>17746</v>
      </c>
      <c r="C21409" s="5" t="s">
        <v>206</v>
      </c>
      <c r="D21409" s="3" t="s">
        <v>68</v>
      </c>
      <c r="E21409" s="3" t="s">
        <v>100</v>
      </c>
      <c r="F21409" s="7">
        <v>46158.469879237375</v>
      </c>
      <c r="G21409" s="3" t="s">
        <v>18959</v>
      </c>
    </row>
    <row r="21410">
      <c r="A21410" s="3" t="s">
        <v>37697</v>
      </c>
      <c r="B21410" s="3" t="s">
        <v>17749</v>
      </c>
      <c r="C21410" s="5" t="s">
        <v>45</v>
      </c>
      <c r="D21410" s="3" t="s">
        <v>221</v>
      </c>
      <c r="E21410" s="3" t="s">
        <v>841</v>
      </c>
      <c r="F21410" s="7">
        <v>46158.53063741612</v>
      </c>
      <c r="G21410" s="3" t="s">
        <v>3175</v>
      </c>
    </row>
    <row r="21411">
      <c r="A21411" s="3" t="s">
        <v>37698</v>
      </c>
      <c r="B21411" s="3" t="s">
        <v>17749</v>
      </c>
      <c r="C21411" s="5" t="s">
        <v>221</v>
      </c>
      <c r="D21411" s="3" t="s">
        <v>614</v>
      </c>
      <c r="E21411" s="3" t="s">
        <v>118</v>
      </c>
      <c r="F21411" s="7">
        <v>46158.53410963834</v>
      </c>
      <c r="G21411" s="3" t="s">
        <v>3178</v>
      </c>
    </row>
    <row r="21412">
      <c r="A21412" s="3" t="s">
        <v>37699</v>
      </c>
      <c r="B21412" s="3" t="s">
        <v>17749</v>
      </c>
      <c r="C21412" s="5" t="s">
        <v>614</v>
      </c>
      <c r="D21412" s="3" t="s">
        <v>206</v>
      </c>
      <c r="E21412" s="3" t="s">
        <v>100</v>
      </c>
      <c r="F21412" s="7">
        <v>46158.53758186057</v>
      </c>
      <c r="G21412" s="3" t="s">
        <v>3181</v>
      </c>
    </row>
    <row r="21413">
      <c r="A21413" s="3" t="s">
        <v>37700</v>
      </c>
      <c r="B21413" s="3" t="s">
        <v>17749</v>
      </c>
      <c r="C21413" s="5" t="s">
        <v>206</v>
      </c>
      <c r="D21413" s="3" t="s">
        <v>68</v>
      </c>
      <c r="E21413" s="3" t="s">
        <v>100</v>
      </c>
      <c r="F21413" s="7">
        <v>46158.54105408279</v>
      </c>
      <c r="G21413" s="3" t="s">
        <v>3184</v>
      </c>
    </row>
    <row r="21414">
      <c r="A21414" s="3" t="s">
        <v>37701</v>
      </c>
      <c r="B21414" s="3" t="s">
        <v>17753</v>
      </c>
      <c r="C21414" s="5" t="s">
        <v>45</v>
      </c>
      <c r="D21414" s="3" t="s">
        <v>221</v>
      </c>
      <c r="E21414" s="3" t="s">
        <v>816</v>
      </c>
      <c r="F21414" s="7">
        <v>46158.60181226154</v>
      </c>
      <c r="G21414" s="3" t="s">
        <v>3187</v>
      </c>
    </row>
    <row r="21415">
      <c r="A21415" s="3" t="s">
        <v>37702</v>
      </c>
      <c r="B21415" s="3" t="s">
        <v>17753</v>
      </c>
      <c r="C21415" s="5" t="s">
        <v>221</v>
      </c>
      <c r="D21415" s="3" t="s">
        <v>614</v>
      </c>
      <c r="E21415" s="3" t="s">
        <v>118</v>
      </c>
      <c r="F21415" s="7">
        <v>46158.60528448376</v>
      </c>
      <c r="G21415" s="3" t="s">
        <v>3190</v>
      </c>
    </row>
    <row r="21416">
      <c r="A21416" s="3" t="s">
        <v>37703</v>
      </c>
      <c r="B21416" s="3" t="s">
        <v>17753</v>
      </c>
      <c r="C21416" s="5" t="s">
        <v>614</v>
      </c>
      <c r="D21416" s="3" t="s">
        <v>206</v>
      </c>
      <c r="E21416" s="3" t="s">
        <v>100</v>
      </c>
      <c r="F21416" s="7">
        <v>46158.60875670599</v>
      </c>
      <c r="G21416" s="3" t="s">
        <v>3193</v>
      </c>
    </row>
    <row r="21417">
      <c r="A21417" s="3" t="s">
        <v>37704</v>
      </c>
      <c r="B21417" s="3" t="s">
        <v>17753</v>
      </c>
      <c r="C21417" s="5" t="s">
        <v>206</v>
      </c>
      <c r="D21417" s="3" t="s">
        <v>68</v>
      </c>
      <c r="E21417" s="3" t="s">
        <v>100</v>
      </c>
      <c r="F21417" s="7">
        <v>46158.61222892821</v>
      </c>
      <c r="G21417" s="3" t="s">
        <v>3196</v>
      </c>
    </row>
    <row r="21418">
      <c r="A21418" s="3" t="s">
        <v>37705</v>
      </c>
      <c r="B21418" s="3" t="s">
        <v>17756</v>
      </c>
      <c r="C21418" s="5" t="s">
        <v>45</v>
      </c>
      <c r="D21418" s="3" t="s">
        <v>221</v>
      </c>
      <c r="E21418" s="3" t="s">
        <v>515</v>
      </c>
      <c r="F21418" s="7">
        <v>46158.67298710696</v>
      </c>
      <c r="G21418" s="3" t="s">
        <v>3199</v>
      </c>
    </row>
    <row r="21419">
      <c r="A21419" s="3" t="s">
        <v>37706</v>
      </c>
      <c r="B21419" s="3" t="s">
        <v>17756</v>
      </c>
      <c r="C21419" s="5" t="s">
        <v>221</v>
      </c>
      <c r="D21419" s="3" t="s">
        <v>614</v>
      </c>
      <c r="E21419" s="3" t="s">
        <v>118</v>
      </c>
      <c r="F21419" s="7">
        <v>46158.67645932918</v>
      </c>
      <c r="G21419" s="3" t="s">
        <v>3202</v>
      </c>
    </row>
    <row r="21420">
      <c r="A21420" s="3" t="s">
        <v>37707</v>
      </c>
      <c r="B21420" s="3" t="s">
        <v>17756</v>
      </c>
      <c r="C21420" s="5" t="s">
        <v>614</v>
      </c>
      <c r="D21420" s="3" t="s">
        <v>206</v>
      </c>
      <c r="E21420" s="3" t="s">
        <v>100</v>
      </c>
      <c r="F21420" s="7">
        <v>46158.67993155141</v>
      </c>
      <c r="G21420" s="3" t="s">
        <v>3204</v>
      </c>
    </row>
    <row r="21421">
      <c r="A21421" s="3" t="s">
        <v>37708</v>
      </c>
      <c r="B21421" s="3" t="s">
        <v>17756</v>
      </c>
      <c r="C21421" s="5" t="s">
        <v>206</v>
      </c>
      <c r="D21421" s="3" t="s">
        <v>68</v>
      </c>
      <c r="E21421" s="3" t="s">
        <v>100</v>
      </c>
      <c r="F21421" s="7">
        <v>46158.683403773626</v>
      </c>
      <c r="G21421" s="3" t="s">
        <v>3207</v>
      </c>
    </row>
    <row r="21422">
      <c r="A21422" s="3" t="s">
        <v>37709</v>
      </c>
      <c r="B21422" s="3" t="s">
        <v>17760</v>
      </c>
      <c r="C21422" s="5" t="s">
        <v>45</v>
      </c>
      <c r="D21422" s="3" t="s">
        <v>221</v>
      </c>
      <c r="E21422" s="3" t="s">
        <v>193</v>
      </c>
      <c r="F21422" s="7">
        <v>46158.74416195237</v>
      </c>
      <c r="G21422" s="3" t="s">
        <v>3210</v>
      </c>
    </row>
    <row r="21423">
      <c r="A21423" s="3" t="s">
        <v>37710</v>
      </c>
      <c r="B21423" s="3" t="s">
        <v>17760</v>
      </c>
      <c r="C21423" s="5" t="s">
        <v>221</v>
      </c>
      <c r="D21423" s="3" t="s">
        <v>614</v>
      </c>
      <c r="E21423" s="3" t="s">
        <v>118</v>
      </c>
      <c r="F21423" s="7">
        <v>46158.747634174586</v>
      </c>
      <c r="G21423" s="3" t="s">
        <v>3213</v>
      </c>
    </row>
    <row r="21424">
      <c r="A21424" s="3" t="s">
        <v>37711</v>
      </c>
      <c r="B21424" s="3" t="s">
        <v>17760</v>
      </c>
      <c r="C21424" s="5" t="s">
        <v>614</v>
      </c>
      <c r="D21424" s="3" t="s">
        <v>206</v>
      </c>
      <c r="E21424" s="3" t="s">
        <v>100</v>
      </c>
      <c r="F21424" s="7">
        <v>46158.75110639681</v>
      </c>
      <c r="G21424" s="3" t="s">
        <v>3215</v>
      </c>
    </row>
    <row r="21425">
      <c r="A21425" s="3" t="s">
        <v>37712</v>
      </c>
      <c r="B21425" s="3" t="s">
        <v>17760</v>
      </c>
      <c r="C21425" s="5" t="s">
        <v>206</v>
      </c>
      <c r="D21425" s="3" t="s">
        <v>68</v>
      </c>
      <c r="E21425" s="3" t="s">
        <v>100</v>
      </c>
      <c r="F21425" s="7">
        <v>46158.75457861903</v>
      </c>
      <c r="G21425" s="3" t="s">
        <v>3218</v>
      </c>
    </row>
    <row r="21426">
      <c r="A21426" s="3" t="s">
        <v>37713</v>
      </c>
      <c r="B21426" s="3" t="s">
        <v>17763</v>
      </c>
      <c r="C21426" s="5" t="s">
        <v>45</v>
      </c>
      <c r="D21426" s="3" t="s">
        <v>221</v>
      </c>
      <c r="E21426" s="3" t="s">
        <v>468</v>
      </c>
      <c r="F21426" s="7">
        <v>46158.81533679779</v>
      </c>
      <c r="G21426" s="3" t="s">
        <v>17873</v>
      </c>
    </row>
    <row r="21427">
      <c r="A21427" s="3" t="s">
        <v>37714</v>
      </c>
      <c r="B21427" s="3" t="s">
        <v>17763</v>
      </c>
      <c r="C21427" s="5" t="s">
        <v>221</v>
      </c>
      <c r="D21427" s="3" t="s">
        <v>614</v>
      </c>
      <c r="E21427" s="3" t="s">
        <v>118</v>
      </c>
      <c r="F21427" s="7">
        <v>46158.818809020006</v>
      </c>
      <c r="G21427" s="3" t="s">
        <v>17876</v>
      </c>
    </row>
    <row r="21428">
      <c r="A21428" s="3" t="s">
        <v>37715</v>
      </c>
      <c r="B21428" s="3" t="s">
        <v>17763</v>
      </c>
      <c r="C21428" s="5" t="s">
        <v>614</v>
      </c>
      <c r="D21428" s="3" t="s">
        <v>206</v>
      </c>
      <c r="E21428" s="3" t="s">
        <v>100</v>
      </c>
      <c r="F21428" s="7">
        <v>46158.82228124223</v>
      </c>
      <c r="G21428" s="3" t="s">
        <v>17878</v>
      </c>
    </row>
    <row r="21429">
      <c r="A21429" s="3" t="s">
        <v>37716</v>
      </c>
      <c r="B21429" s="3" t="s">
        <v>17763</v>
      </c>
      <c r="C21429" s="5" t="s">
        <v>206</v>
      </c>
      <c r="D21429" s="3" t="s">
        <v>68</v>
      </c>
      <c r="E21429" s="3" t="s">
        <v>100</v>
      </c>
      <c r="F21429" s="7">
        <v>46158.82575346445</v>
      </c>
      <c r="G21429" s="3" t="s">
        <v>17881</v>
      </c>
    </row>
    <row r="21430">
      <c r="A21430" s="3" t="s">
        <v>37717</v>
      </c>
      <c r="B21430" s="3" t="s">
        <v>17766</v>
      </c>
      <c r="C21430" s="5" t="s">
        <v>45</v>
      </c>
      <c r="D21430" s="3" t="s">
        <v>221</v>
      </c>
      <c r="E21430" s="3" t="s">
        <v>344</v>
      </c>
      <c r="F21430" s="7">
        <v>46158.886511643206</v>
      </c>
      <c r="G21430" s="3" t="s">
        <v>18976</v>
      </c>
    </row>
    <row r="21431">
      <c r="A21431" s="3" t="s">
        <v>37718</v>
      </c>
      <c r="B21431" s="3" t="s">
        <v>17766</v>
      </c>
      <c r="C21431" s="5" t="s">
        <v>221</v>
      </c>
      <c r="D21431" s="3" t="s">
        <v>614</v>
      </c>
      <c r="E21431" s="3" t="s">
        <v>118</v>
      </c>
      <c r="F21431" s="7">
        <v>46158.889983865425</v>
      </c>
      <c r="G21431" s="3" t="s">
        <v>18980</v>
      </c>
    </row>
    <row r="21432">
      <c r="A21432" s="3" t="s">
        <v>37719</v>
      </c>
      <c r="B21432" s="3" t="s">
        <v>17766</v>
      </c>
      <c r="C21432" s="5" t="s">
        <v>614</v>
      </c>
      <c r="D21432" s="3" t="s">
        <v>206</v>
      </c>
      <c r="E21432" s="3" t="s">
        <v>100</v>
      </c>
      <c r="F21432" s="7">
        <v>46158.89345608765</v>
      </c>
      <c r="G21432" s="3" t="s">
        <v>18983</v>
      </c>
    </row>
    <row r="21433">
      <c r="A21433" s="3" t="s">
        <v>37720</v>
      </c>
      <c r="B21433" s="3" t="s">
        <v>17766</v>
      </c>
      <c r="C21433" s="5" t="s">
        <v>206</v>
      </c>
      <c r="D21433" s="3" t="s">
        <v>68</v>
      </c>
      <c r="E21433" s="3" t="s">
        <v>100</v>
      </c>
      <c r="F21433" s="7">
        <v>46158.89692830987</v>
      </c>
      <c r="G21433" s="3" t="s">
        <v>18986</v>
      </c>
    </row>
    <row r="21434">
      <c r="A21434" s="3" t="s">
        <v>37721</v>
      </c>
      <c r="B21434" s="3" t="s">
        <v>17769</v>
      </c>
      <c r="C21434" s="5" t="s">
        <v>45</v>
      </c>
      <c r="D21434" s="3" t="s">
        <v>221</v>
      </c>
      <c r="E21434" s="3" t="s">
        <v>645</v>
      </c>
      <c r="F21434" s="7">
        <v>46158.95768648862</v>
      </c>
      <c r="G21434" s="3" t="s">
        <v>8627</v>
      </c>
    </row>
    <row r="21435">
      <c r="A21435" s="3" t="s">
        <v>37722</v>
      </c>
      <c r="B21435" s="3" t="s">
        <v>17769</v>
      </c>
      <c r="C21435" s="5" t="s">
        <v>221</v>
      </c>
      <c r="D21435" s="3" t="s">
        <v>614</v>
      </c>
      <c r="E21435" s="3" t="s">
        <v>118</v>
      </c>
      <c r="F21435" s="7">
        <v>46158.96115871084</v>
      </c>
      <c r="G21435" s="3" t="s">
        <v>8630</v>
      </c>
    </row>
    <row r="21436">
      <c r="A21436" s="3" t="s">
        <v>37723</v>
      </c>
      <c r="B21436" s="3" t="s">
        <v>17769</v>
      </c>
      <c r="C21436" s="5" t="s">
        <v>614</v>
      </c>
      <c r="D21436" s="3" t="s">
        <v>206</v>
      </c>
      <c r="E21436" s="3" t="s">
        <v>100</v>
      </c>
      <c r="F21436" s="7">
        <v>46158.964630933064</v>
      </c>
      <c r="G21436" s="3" t="s">
        <v>8633</v>
      </c>
    </row>
    <row r="21437">
      <c r="A21437" s="3" t="s">
        <v>37724</v>
      </c>
      <c r="B21437" s="3" t="s">
        <v>17769</v>
      </c>
      <c r="C21437" s="5" t="s">
        <v>206</v>
      </c>
      <c r="D21437" s="3" t="s">
        <v>68</v>
      </c>
      <c r="E21437" s="3" t="s">
        <v>100</v>
      </c>
      <c r="F21437" s="7">
        <v>46158.96810315528</v>
      </c>
      <c r="G21437" s="3" t="s">
        <v>8636</v>
      </c>
    </row>
    <row r="21438">
      <c r="A21438" s="3" t="s">
        <v>37725</v>
      </c>
      <c r="B21438" s="3" t="s">
        <v>17771</v>
      </c>
      <c r="C21438" s="5" t="s">
        <v>45</v>
      </c>
      <c r="D21438" s="3" t="s">
        <v>221</v>
      </c>
      <c r="E21438" s="3" t="s">
        <v>725</v>
      </c>
      <c r="F21438" s="7">
        <v>46159.02886133403</v>
      </c>
      <c r="G21438" s="3" t="s">
        <v>20003</v>
      </c>
    </row>
    <row r="21439">
      <c r="A21439" s="3" t="s">
        <v>37726</v>
      </c>
      <c r="B21439" s="3" t="s">
        <v>17771</v>
      </c>
      <c r="C21439" s="5" t="s">
        <v>221</v>
      </c>
      <c r="D21439" s="3" t="s">
        <v>614</v>
      </c>
      <c r="E21439" s="3" t="s">
        <v>118</v>
      </c>
      <c r="F21439" s="7">
        <v>46159.03233355625</v>
      </c>
      <c r="G21439" s="3" t="s">
        <v>20006</v>
      </c>
    </row>
    <row r="21440">
      <c r="A21440" s="3" t="s">
        <v>37727</v>
      </c>
      <c r="B21440" s="3" t="s">
        <v>17771</v>
      </c>
      <c r="C21440" s="5" t="s">
        <v>614</v>
      </c>
      <c r="D21440" s="3" t="s">
        <v>206</v>
      </c>
      <c r="E21440" s="3" t="s">
        <v>100</v>
      </c>
      <c r="F21440" s="7">
        <v>46159.035805778476</v>
      </c>
      <c r="G21440" s="3" t="s">
        <v>20009</v>
      </c>
    </row>
    <row r="21441">
      <c r="A21441" s="3" t="s">
        <v>37728</v>
      </c>
      <c r="B21441" s="3" t="s">
        <v>17771</v>
      </c>
      <c r="C21441" s="5" t="s">
        <v>206</v>
      </c>
      <c r="D21441" s="3" t="s">
        <v>68</v>
      </c>
      <c r="E21441" s="3" t="s">
        <v>100</v>
      </c>
      <c r="F21441" s="7">
        <v>46159.039278000695</v>
      </c>
      <c r="G21441" s="3" t="s">
        <v>20011</v>
      </c>
    </row>
    <row r="21442">
      <c r="A21442" s="3" t="s">
        <v>37729</v>
      </c>
      <c r="B21442" s="3" t="s">
        <v>17774</v>
      </c>
      <c r="C21442" s="5" t="s">
        <v>45</v>
      </c>
      <c r="D21442" s="3" t="s">
        <v>221</v>
      </c>
      <c r="E21442" s="3" t="s">
        <v>333</v>
      </c>
      <c r="F21442" s="7">
        <v>46159.10003617945</v>
      </c>
      <c r="G21442" s="3" t="s">
        <v>3221</v>
      </c>
    </row>
    <row r="21443">
      <c r="A21443" s="3" t="s">
        <v>37730</v>
      </c>
      <c r="B21443" s="3" t="s">
        <v>17774</v>
      </c>
      <c r="C21443" s="5" t="s">
        <v>221</v>
      </c>
      <c r="D21443" s="3" t="s">
        <v>614</v>
      </c>
      <c r="E21443" s="3" t="s">
        <v>118</v>
      </c>
      <c r="F21443" s="7">
        <v>46159.10350840167</v>
      </c>
      <c r="G21443" s="3" t="s">
        <v>3224</v>
      </c>
    </row>
    <row r="21444">
      <c r="A21444" s="3" t="s">
        <v>37731</v>
      </c>
      <c r="B21444" s="3" t="s">
        <v>17774</v>
      </c>
      <c r="C21444" s="5" t="s">
        <v>614</v>
      </c>
      <c r="D21444" s="3" t="s">
        <v>206</v>
      </c>
      <c r="E21444" s="3" t="s">
        <v>100</v>
      </c>
      <c r="F21444" s="7">
        <v>46159.106980623896</v>
      </c>
      <c r="G21444" s="3" t="s">
        <v>3227</v>
      </c>
    </row>
    <row r="21445">
      <c r="A21445" s="3" t="s">
        <v>37732</v>
      </c>
      <c r="B21445" s="3" t="s">
        <v>17774</v>
      </c>
      <c r="C21445" s="5" t="s">
        <v>206</v>
      </c>
      <c r="D21445" s="3" t="s">
        <v>68</v>
      </c>
      <c r="E21445" s="3" t="s">
        <v>100</v>
      </c>
      <c r="F21445" s="7">
        <v>46159.110452846115</v>
      </c>
      <c r="G21445" s="3" t="s">
        <v>3230</v>
      </c>
    </row>
    <row r="21446">
      <c r="A21446" s="3" t="s">
        <v>37733</v>
      </c>
      <c r="B21446" s="3" t="s">
        <v>17778</v>
      </c>
      <c r="C21446" s="5" t="s">
        <v>45</v>
      </c>
      <c r="D21446" s="3" t="s">
        <v>221</v>
      </c>
      <c r="E21446" s="3" t="s">
        <v>993</v>
      </c>
      <c r="F21446" s="7">
        <v>46159.17121102486</v>
      </c>
      <c r="G21446" s="3" t="s">
        <v>3236</v>
      </c>
    </row>
    <row r="21447">
      <c r="A21447" s="3" t="s">
        <v>37734</v>
      </c>
      <c r="B21447" s="3" t="s">
        <v>17778</v>
      </c>
      <c r="C21447" s="5" t="s">
        <v>221</v>
      </c>
      <c r="D21447" s="3" t="s">
        <v>614</v>
      </c>
      <c r="E21447" s="3" t="s">
        <v>118</v>
      </c>
      <c r="F21447" s="7">
        <v>46159.17468324708</v>
      </c>
      <c r="G21447" s="3" t="s">
        <v>3239</v>
      </c>
    </row>
    <row r="21448">
      <c r="A21448" s="3" t="s">
        <v>37735</v>
      </c>
      <c r="B21448" s="3" t="s">
        <v>17778</v>
      </c>
      <c r="C21448" s="5" t="s">
        <v>614</v>
      </c>
      <c r="D21448" s="3" t="s">
        <v>206</v>
      </c>
      <c r="E21448" s="3" t="s">
        <v>100</v>
      </c>
      <c r="F21448" s="7">
        <v>46159.17815546931</v>
      </c>
      <c r="G21448" s="3" t="s">
        <v>3242</v>
      </c>
    </row>
    <row r="21449">
      <c r="A21449" s="3" t="s">
        <v>37736</v>
      </c>
      <c r="B21449" s="3" t="s">
        <v>17778</v>
      </c>
      <c r="C21449" s="5" t="s">
        <v>206</v>
      </c>
      <c r="D21449" s="3" t="s">
        <v>68</v>
      </c>
      <c r="E21449" s="3" t="s">
        <v>100</v>
      </c>
      <c r="F21449" s="7">
        <v>46159.18162769153</v>
      </c>
      <c r="G21449" s="3" t="s">
        <v>3245</v>
      </c>
    </row>
    <row r="21450">
      <c r="A21450" s="3" t="s">
        <v>37737</v>
      </c>
      <c r="B21450" s="3" t="s">
        <v>17781</v>
      </c>
      <c r="C21450" s="5" t="s">
        <v>45</v>
      </c>
      <c r="D21450" s="3" t="s">
        <v>221</v>
      </c>
      <c r="E21450" s="3" t="s">
        <v>713</v>
      </c>
      <c r="F21450" s="7">
        <v>46159.242385870275</v>
      </c>
      <c r="G21450" s="3" t="s">
        <v>3248</v>
      </c>
    </row>
    <row r="21451">
      <c r="A21451" s="3" t="s">
        <v>37738</v>
      </c>
      <c r="B21451" s="3" t="s">
        <v>17781</v>
      </c>
      <c r="C21451" s="5" t="s">
        <v>221</v>
      </c>
      <c r="D21451" s="3" t="s">
        <v>614</v>
      </c>
      <c r="E21451" s="3" t="s">
        <v>118</v>
      </c>
      <c r="F21451" s="7">
        <v>46159.245858092494</v>
      </c>
      <c r="G21451" s="3" t="s">
        <v>3251</v>
      </c>
    </row>
    <row r="21452">
      <c r="A21452" s="3" t="s">
        <v>37739</v>
      </c>
      <c r="B21452" s="3" t="s">
        <v>17781</v>
      </c>
      <c r="C21452" s="5" t="s">
        <v>614</v>
      </c>
      <c r="D21452" s="3" t="s">
        <v>206</v>
      </c>
      <c r="E21452" s="3" t="s">
        <v>100</v>
      </c>
      <c r="F21452" s="7">
        <v>46159.24933031472</v>
      </c>
      <c r="G21452" s="3" t="s">
        <v>3254</v>
      </c>
    </row>
    <row r="21453">
      <c r="A21453" s="3" t="s">
        <v>37740</v>
      </c>
      <c r="B21453" s="3" t="s">
        <v>17781</v>
      </c>
      <c r="C21453" s="5" t="s">
        <v>206</v>
      </c>
      <c r="D21453" s="3" t="s">
        <v>68</v>
      </c>
      <c r="E21453" s="3" t="s">
        <v>100</v>
      </c>
      <c r="F21453" s="7">
        <v>46159.25280253694</v>
      </c>
      <c r="G21453" s="3" t="s">
        <v>3257</v>
      </c>
    </row>
    <row r="21454">
      <c r="A21454" s="3" t="s">
        <v>37741</v>
      </c>
      <c r="B21454" s="3" t="s">
        <v>17784</v>
      </c>
      <c r="C21454" s="5" t="s">
        <v>45</v>
      </c>
      <c r="D21454" s="3" t="s">
        <v>221</v>
      </c>
      <c r="E21454" s="3" t="s">
        <v>554</v>
      </c>
      <c r="F21454" s="7">
        <v>46159.313560715695</v>
      </c>
      <c r="G21454" s="3" t="s">
        <v>13340</v>
      </c>
    </row>
    <row r="21455">
      <c r="A21455" s="3" t="s">
        <v>37742</v>
      </c>
      <c r="B21455" s="3" t="s">
        <v>17784</v>
      </c>
      <c r="C21455" s="5" t="s">
        <v>221</v>
      </c>
      <c r="D21455" s="3" t="s">
        <v>614</v>
      </c>
      <c r="E21455" s="3" t="s">
        <v>118</v>
      </c>
      <c r="F21455" s="7">
        <v>46159.31703293791</v>
      </c>
      <c r="G21455" s="3" t="s">
        <v>13344</v>
      </c>
    </row>
    <row r="21456">
      <c r="A21456" s="3" t="s">
        <v>37743</v>
      </c>
      <c r="B21456" s="3" t="s">
        <v>17784</v>
      </c>
      <c r="C21456" s="5" t="s">
        <v>614</v>
      </c>
      <c r="D21456" s="3" t="s">
        <v>206</v>
      </c>
      <c r="E21456" s="3" t="s">
        <v>100</v>
      </c>
      <c r="F21456" s="7">
        <v>46159.32050516014</v>
      </c>
      <c r="G21456" s="3" t="s">
        <v>13347</v>
      </c>
    </row>
    <row r="21457">
      <c r="A21457" s="3" t="s">
        <v>37744</v>
      </c>
      <c r="B21457" s="3" t="s">
        <v>17784</v>
      </c>
      <c r="C21457" s="5" t="s">
        <v>206</v>
      </c>
      <c r="D21457" s="3" t="s">
        <v>68</v>
      </c>
      <c r="E21457" s="3" t="s">
        <v>100</v>
      </c>
      <c r="F21457" s="7">
        <v>46159.32397738236</v>
      </c>
      <c r="G21457" s="3" t="s">
        <v>13352</v>
      </c>
    </row>
    <row r="21458">
      <c r="A21458" s="3" t="s">
        <v>37745</v>
      </c>
      <c r="B21458" s="3" t="s">
        <v>17787</v>
      </c>
      <c r="C21458" s="5" t="s">
        <v>45</v>
      </c>
      <c r="D21458" s="3" t="s">
        <v>221</v>
      </c>
      <c r="E21458" s="3" t="s">
        <v>906</v>
      </c>
      <c r="F21458" s="7">
        <v>46159.38473556111</v>
      </c>
      <c r="G21458" s="3" t="s">
        <v>29369</v>
      </c>
    </row>
    <row r="21459">
      <c r="A21459" s="3" t="s">
        <v>37746</v>
      </c>
      <c r="B21459" s="3" t="s">
        <v>17787</v>
      </c>
      <c r="C21459" s="5" t="s">
        <v>221</v>
      </c>
      <c r="D21459" s="3" t="s">
        <v>614</v>
      </c>
      <c r="E21459" s="3" t="s">
        <v>118</v>
      </c>
      <c r="F21459" s="7">
        <v>46159.388207783326</v>
      </c>
      <c r="G21459" s="3" t="s">
        <v>29371</v>
      </c>
    </row>
    <row r="21460">
      <c r="A21460" s="3" t="s">
        <v>37747</v>
      </c>
      <c r="B21460" s="3" t="s">
        <v>17787</v>
      </c>
      <c r="C21460" s="5" t="s">
        <v>614</v>
      </c>
      <c r="D21460" s="3" t="s">
        <v>206</v>
      </c>
      <c r="E21460" s="3" t="s">
        <v>100</v>
      </c>
      <c r="F21460" s="7">
        <v>46159.39168000555</v>
      </c>
      <c r="G21460" s="3" t="s">
        <v>29373</v>
      </c>
    </row>
    <row r="21461">
      <c r="A21461" s="3" t="s">
        <v>37748</v>
      </c>
      <c r="B21461" s="3" t="s">
        <v>17787</v>
      </c>
      <c r="C21461" s="5" t="s">
        <v>206</v>
      </c>
      <c r="D21461" s="3" t="s">
        <v>68</v>
      </c>
      <c r="E21461" s="3" t="s">
        <v>100</v>
      </c>
      <c r="F21461" s="7">
        <v>46159.39515222777</v>
      </c>
      <c r="G21461" s="3" t="s">
        <v>29375</v>
      </c>
    </row>
    <row r="21462">
      <c r="A21462" s="3" t="s">
        <v>37749</v>
      </c>
      <c r="B21462" s="3" t="s">
        <v>17790</v>
      </c>
      <c r="C21462" s="5" t="s">
        <v>45</v>
      </c>
      <c r="D21462" s="3" t="s">
        <v>221</v>
      </c>
      <c r="E21462" s="3" t="s">
        <v>731</v>
      </c>
      <c r="F21462" s="7">
        <v>46159.45591040652</v>
      </c>
      <c r="G21462" s="3" t="s">
        <v>17592</v>
      </c>
    </row>
    <row r="21463">
      <c r="A21463" s="3" t="s">
        <v>37750</v>
      </c>
      <c r="B21463" s="3" t="s">
        <v>17790</v>
      </c>
      <c r="C21463" s="5" t="s">
        <v>221</v>
      </c>
      <c r="D21463" s="3" t="s">
        <v>614</v>
      </c>
      <c r="E21463" s="3" t="s">
        <v>118</v>
      </c>
      <c r="F21463" s="7">
        <v>46159.45938262874</v>
      </c>
      <c r="G21463" s="3" t="s">
        <v>19466</v>
      </c>
    </row>
    <row r="21464">
      <c r="A21464" s="3" t="s">
        <v>37751</v>
      </c>
      <c r="B21464" s="3" t="s">
        <v>17790</v>
      </c>
      <c r="C21464" s="5" t="s">
        <v>614</v>
      </c>
      <c r="D21464" s="3" t="s">
        <v>206</v>
      </c>
      <c r="E21464" s="3" t="s">
        <v>100</v>
      </c>
      <c r="F21464" s="7">
        <v>46159.462854850965</v>
      </c>
      <c r="G21464" s="3" t="s">
        <v>19469</v>
      </c>
    </row>
    <row r="21465">
      <c r="A21465" s="3" t="s">
        <v>37752</v>
      </c>
      <c r="B21465" s="3" t="s">
        <v>17790</v>
      </c>
      <c r="C21465" s="5" t="s">
        <v>206</v>
      </c>
      <c r="D21465" s="3" t="s">
        <v>68</v>
      </c>
      <c r="E21465" s="3" t="s">
        <v>100</v>
      </c>
      <c r="F21465" s="7">
        <v>46159.46632707318</v>
      </c>
      <c r="G21465" s="3" t="s">
        <v>19472</v>
      </c>
    </row>
    <row r="21466">
      <c r="A21466" s="3" t="s">
        <v>37753</v>
      </c>
      <c r="B21466" s="3" t="s">
        <v>17795</v>
      </c>
      <c r="C21466" s="5" t="s">
        <v>45</v>
      </c>
      <c r="D21466" s="3" t="s">
        <v>221</v>
      </c>
      <c r="E21466" s="3" t="s">
        <v>290</v>
      </c>
      <c r="F21466" s="7">
        <v>46159.52708525194</v>
      </c>
      <c r="G21466" s="3" t="s">
        <v>33282</v>
      </c>
    </row>
    <row r="21467">
      <c r="A21467" s="3" t="s">
        <v>37754</v>
      </c>
      <c r="B21467" s="3" t="s">
        <v>17795</v>
      </c>
      <c r="C21467" s="5" t="s">
        <v>221</v>
      </c>
      <c r="D21467" s="3" t="s">
        <v>614</v>
      </c>
      <c r="E21467" s="3" t="s">
        <v>118</v>
      </c>
      <c r="F21467" s="7">
        <v>46159.53055747416</v>
      </c>
      <c r="G21467" s="3" t="s">
        <v>33284</v>
      </c>
    </row>
    <row r="21468">
      <c r="A21468" s="3" t="s">
        <v>37755</v>
      </c>
      <c r="B21468" s="3" t="s">
        <v>17795</v>
      </c>
      <c r="C21468" s="5" t="s">
        <v>614</v>
      </c>
      <c r="D21468" s="3" t="s">
        <v>206</v>
      </c>
      <c r="E21468" s="3" t="s">
        <v>100</v>
      </c>
      <c r="F21468" s="7">
        <v>46159.534029696384</v>
      </c>
      <c r="G21468" s="3" t="s">
        <v>33286</v>
      </c>
    </row>
    <row r="21469">
      <c r="A21469" s="3" t="s">
        <v>37756</v>
      </c>
      <c r="B21469" s="3" t="s">
        <v>17795</v>
      </c>
      <c r="C21469" s="5" t="s">
        <v>206</v>
      </c>
      <c r="D21469" s="3" t="s">
        <v>68</v>
      </c>
      <c r="E21469" s="3" t="s">
        <v>100</v>
      </c>
      <c r="F21469" s="7">
        <v>46159.5375019186</v>
      </c>
      <c r="G21469" s="3" t="s">
        <v>33288</v>
      </c>
    </row>
    <row r="21470">
      <c r="A21470" s="3" t="s">
        <v>37757</v>
      </c>
      <c r="B21470" s="3" t="s">
        <v>17797</v>
      </c>
      <c r="C21470" s="5" t="s">
        <v>45</v>
      </c>
      <c r="D21470" s="3" t="s">
        <v>221</v>
      </c>
      <c r="E21470" s="3" t="s">
        <v>263</v>
      </c>
      <c r="F21470" s="7">
        <v>46159.59826009736</v>
      </c>
      <c r="G21470" s="3" t="s">
        <v>4287</v>
      </c>
    </row>
    <row r="21471">
      <c r="A21471" s="3" t="s">
        <v>37758</v>
      </c>
      <c r="B21471" s="3" t="s">
        <v>17797</v>
      </c>
      <c r="C21471" s="5" t="s">
        <v>221</v>
      </c>
      <c r="D21471" s="3" t="s">
        <v>614</v>
      </c>
      <c r="E21471" s="3" t="s">
        <v>118</v>
      </c>
      <c r="F21471" s="7">
        <v>46159.60173231958</v>
      </c>
      <c r="G21471" s="3" t="s">
        <v>4290</v>
      </c>
    </row>
    <row r="21472">
      <c r="A21472" s="3" t="s">
        <v>37759</v>
      </c>
      <c r="B21472" s="3" t="s">
        <v>17797</v>
      </c>
      <c r="C21472" s="5" t="s">
        <v>614</v>
      </c>
      <c r="D21472" s="3" t="s">
        <v>206</v>
      </c>
      <c r="E21472" s="3" t="s">
        <v>100</v>
      </c>
      <c r="F21472" s="7">
        <v>46159.605204541804</v>
      </c>
      <c r="G21472" s="3" t="s">
        <v>4293</v>
      </c>
    </row>
    <row r="21473">
      <c r="A21473" s="3" t="s">
        <v>37760</v>
      </c>
      <c r="B21473" s="3" t="s">
        <v>17797</v>
      </c>
      <c r="C21473" s="5" t="s">
        <v>206</v>
      </c>
      <c r="D21473" s="3" t="s">
        <v>68</v>
      </c>
      <c r="E21473" s="3" t="s">
        <v>100</v>
      </c>
      <c r="F21473" s="7">
        <v>46159.60867676402</v>
      </c>
      <c r="G21473" s="3" t="s">
        <v>4296</v>
      </c>
    </row>
    <row r="21474">
      <c r="A21474" s="3" t="s">
        <v>37761</v>
      </c>
      <c r="B21474" s="3" t="s">
        <v>17799</v>
      </c>
      <c r="C21474" s="5" t="s">
        <v>45</v>
      </c>
      <c r="D21474" s="3" t="s">
        <v>221</v>
      </c>
      <c r="E21474" s="3" t="s">
        <v>990</v>
      </c>
      <c r="F21474" s="7">
        <v>46159.66943494276</v>
      </c>
      <c r="G21474" s="3" t="s">
        <v>13803</v>
      </c>
    </row>
    <row r="21475">
      <c r="A21475" s="3" t="s">
        <v>37762</v>
      </c>
      <c r="B21475" s="3" t="s">
        <v>17799</v>
      </c>
      <c r="C21475" s="5" t="s">
        <v>221</v>
      </c>
      <c r="D21475" s="3" t="s">
        <v>614</v>
      </c>
      <c r="E21475" s="3" t="s">
        <v>118</v>
      </c>
      <c r="F21475" s="7">
        <v>46159.67290716498</v>
      </c>
      <c r="G21475" s="3" t="s">
        <v>13805</v>
      </c>
    </row>
    <row r="21476">
      <c r="A21476" s="3" t="s">
        <v>37763</v>
      </c>
      <c r="B21476" s="3" t="s">
        <v>17799</v>
      </c>
      <c r="C21476" s="5" t="s">
        <v>614</v>
      </c>
      <c r="D21476" s="3" t="s">
        <v>206</v>
      </c>
      <c r="E21476" s="3" t="s">
        <v>100</v>
      </c>
      <c r="F21476" s="7">
        <v>46159.67637938721</v>
      </c>
      <c r="G21476" s="3" t="s">
        <v>13808</v>
      </c>
    </row>
    <row r="21477">
      <c r="A21477" s="3" t="s">
        <v>37764</v>
      </c>
      <c r="B21477" s="3" t="s">
        <v>17799</v>
      </c>
      <c r="C21477" s="5" t="s">
        <v>206</v>
      </c>
      <c r="D21477" s="3" t="s">
        <v>68</v>
      </c>
      <c r="E21477" s="3" t="s">
        <v>100</v>
      </c>
      <c r="F21477" s="7">
        <v>46159.67985160943</v>
      </c>
      <c r="G21477" s="3" t="s">
        <v>13811</v>
      </c>
    </row>
    <row r="21478">
      <c r="A21478" s="3" t="s">
        <v>37765</v>
      </c>
      <c r="B21478" s="3" t="s">
        <v>17801</v>
      </c>
      <c r="C21478" s="5" t="s">
        <v>45</v>
      </c>
      <c r="D21478" s="3" t="s">
        <v>221</v>
      </c>
      <c r="E21478" s="3" t="s">
        <v>845</v>
      </c>
      <c r="F21478" s="7">
        <v>46159.74060978818</v>
      </c>
      <c r="G21478" s="3" t="s">
        <v>3260</v>
      </c>
    </row>
    <row r="21479">
      <c r="A21479" s="3" t="s">
        <v>37766</v>
      </c>
      <c r="B21479" s="3" t="s">
        <v>17801</v>
      </c>
      <c r="C21479" s="5" t="s">
        <v>221</v>
      </c>
      <c r="D21479" s="3" t="s">
        <v>614</v>
      </c>
      <c r="E21479" s="3" t="s">
        <v>118</v>
      </c>
      <c r="F21479" s="7">
        <v>46159.7440820104</v>
      </c>
      <c r="G21479" s="3" t="s">
        <v>3263</v>
      </c>
    </row>
    <row r="21480">
      <c r="A21480" s="3" t="s">
        <v>37767</v>
      </c>
      <c r="B21480" s="3" t="s">
        <v>17801</v>
      </c>
      <c r="C21480" s="5" t="s">
        <v>614</v>
      </c>
      <c r="D21480" s="3" t="s">
        <v>206</v>
      </c>
      <c r="E21480" s="3" t="s">
        <v>100</v>
      </c>
      <c r="F21480" s="7">
        <v>46159.74755423263</v>
      </c>
      <c r="G21480" s="3" t="s">
        <v>3266</v>
      </c>
    </row>
    <row r="21481">
      <c r="A21481" s="3" t="s">
        <v>37768</v>
      </c>
      <c r="B21481" s="3" t="s">
        <v>17801</v>
      </c>
      <c r="C21481" s="5" t="s">
        <v>206</v>
      </c>
      <c r="D21481" s="3" t="s">
        <v>68</v>
      </c>
      <c r="E21481" s="3" t="s">
        <v>100</v>
      </c>
      <c r="F21481" s="7">
        <v>46159.75102645485</v>
      </c>
      <c r="G21481" s="3" t="s">
        <v>3268</v>
      </c>
    </row>
    <row r="21482">
      <c r="A21482" s="3" t="s">
        <v>37769</v>
      </c>
      <c r="B21482" s="3" t="s">
        <v>17803</v>
      </c>
      <c r="C21482" s="5" t="s">
        <v>45</v>
      </c>
      <c r="D21482" s="3" t="s">
        <v>221</v>
      </c>
      <c r="E21482" s="3" t="s">
        <v>591</v>
      </c>
      <c r="F21482" s="7">
        <v>46159.8117846336</v>
      </c>
      <c r="G21482" s="3" t="s">
        <v>23230</v>
      </c>
    </row>
    <row r="21483">
      <c r="A21483" s="3" t="s">
        <v>37770</v>
      </c>
      <c r="B21483" s="3" t="s">
        <v>17803</v>
      </c>
      <c r="C21483" s="5" t="s">
        <v>221</v>
      </c>
      <c r="D21483" s="3" t="s">
        <v>181</v>
      </c>
      <c r="E21483" s="3" t="s">
        <v>118</v>
      </c>
      <c r="F21483" s="7">
        <v>46159.81525685582</v>
      </c>
      <c r="G21483" s="3" t="s">
        <v>36709</v>
      </c>
    </row>
    <row r="21484">
      <c r="A21484" s="3" t="s">
        <v>37771</v>
      </c>
      <c r="B21484" s="3" t="s">
        <v>17806</v>
      </c>
      <c r="C21484" s="5" t="s">
        <v>45</v>
      </c>
      <c r="D21484" s="3" t="s">
        <v>221</v>
      </c>
      <c r="E21484" s="3" t="s">
        <v>313</v>
      </c>
      <c r="F21484" s="7">
        <v>46159.882959479015</v>
      </c>
      <c r="G21484" s="3" t="s">
        <v>16212</v>
      </c>
    </row>
    <row r="21485">
      <c r="A21485" s="3" t="s">
        <v>37772</v>
      </c>
      <c r="B21485" s="3" t="s">
        <v>17806</v>
      </c>
      <c r="C21485" s="5" t="s">
        <v>221</v>
      </c>
      <c r="D21485" s="3" t="s">
        <v>614</v>
      </c>
      <c r="E21485" s="3" t="s">
        <v>118</v>
      </c>
      <c r="F21485" s="7">
        <v>46159.886431701234</v>
      </c>
      <c r="G21485" s="3" t="s">
        <v>16215</v>
      </c>
    </row>
    <row r="21486">
      <c r="A21486" s="3" t="s">
        <v>37773</v>
      </c>
      <c r="B21486" s="3" t="s">
        <v>17806</v>
      </c>
      <c r="C21486" s="5" t="s">
        <v>614</v>
      </c>
      <c r="D21486" s="3" t="s">
        <v>206</v>
      </c>
      <c r="E21486" s="3" t="s">
        <v>100</v>
      </c>
      <c r="F21486" s="7">
        <v>46159.88990392346</v>
      </c>
      <c r="G21486" s="3" t="s">
        <v>16218</v>
      </c>
    </row>
    <row r="21487">
      <c r="A21487" s="3" t="s">
        <v>37774</v>
      </c>
      <c r="B21487" s="3" t="s">
        <v>17806</v>
      </c>
      <c r="C21487" s="5" t="s">
        <v>206</v>
      </c>
      <c r="D21487" s="3" t="s">
        <v>68</v>
      </c>
      <c r="E21487" s="3" t="s">
        <v>100</v>
      </c>
      <c r="F21487" s="7">
        <v>46159.89337614568</v>
      </c>
      <c r="G21487" s="3" t="s">
        <v>16220</v>
      </c>
    </row>
    <row r="21488">
      <c r="A21488" s="3" t="s">
        <v>37775</v>
      </c>
      <c r="B21488" s="3" t="s">
        <v>17808</v>
      </c>
      <c r="C21488" s="5" t="s">
        <v>45</v>
      </c>
      <c r="D21488" s="3" t="s">
        <v>221</v>
      </c>
      <c r="E21488" s="3" t="s">
        <v>853</v>
      </c>
      <c r="F21488" s="7">
        <v>46159.95413432443</v>
      </c>
      <c r="G21488" s="3" t="s">
        <v>3271</v>
      </c>
    </row>
    <row r="21489">
      <c r="A21489" s="3" t="s">
        <v>37776</v>
      </c>
      <c r="B21489" s="3" t="s">
        <v>17808</v>
      </c>
      <c r="C21489" s="5" t="s">
        <v>221</v>
      </c>
      <c r="D21489" s="3" t="s">
        <v>614</v>
      </c>
      <c r="E21489" s="3" t="s">
        <v>118</v>
      </c>
      <c r="F21489" s="7">
        <v>46159.957606546646</v>
      </c>
      <c r="G21489" s="3" t="s">
        <v>3274</v>
      </c>
    </row>
    <row r="21490">
      <c r="A21490" s="3" t="s">
        <v>37777</v>
      </c>
      <c r="B21490" s="3" t="s">
        <v>17808</v>
      </c>
      <c r="C21490" s="5" t="s">
        <v>614</v>
      </c>
      <c r="D21490" s="3" t="s">
        <v>206</v>
      </c>
      <c r="E21490" s="3" t="s">
        <v>100</v>
      </c>
      <c r="F21490" s="7">
        <v>46159.96107876887</v>
      </c>
      <c r="G21490" s="3" t="s">
        <v>3277</v>
      </c>
    </row>
    <row r="21491">
      <c r="A21491" s="3" t="s">
        <v>37778</v>
      </c>
      <c r="B21491" s="3" t="s">
        <v>17808</v>
      </c>
      <c r="C21491" s="5" t="s">
        <v>206</v>
      </c>
      <c r="D21491" s="3" t="s">
        <v>68</v>
      </c>
      <c r="E21491" s="3" t="s">
        <v>100</v>
      </c>
      <c r="F21491" s="7">
        <v>46159.96455099109</v>
      </c>
      <c r="G21491" s="3" t="s">
        <v>3279</v>
      </c>
    </row>
    <row r="21492">
      <c r="A21492" s="3" t="s">
        <v>37779</v>
      </c>
      <c r="B21492" s="3" t="s">
        <v>17811</v>
      </c>
      <c r="C21492" s="5" t="s">
        <v>45</v>
      </c>
      <c r="D21492" s="3" t="s">
        <v>221</v>
      </c>
      <c r="E21492" s="3" t="s">
        <v>864</v>
      </c>
      <c r="F21492" s="7">
        <v>46160.02530916985</v>
      </c>
      <c r="G21492" s="3" t="s">
        <v>3282</v>
      </c>
    </row>
    <row r="21493">
      <c r="A21493" s="3" t="s">
        <v>37780</v>
      </c>
      <c r="B21493" s="3" t="s">
        <v>17811</v>
      </c>
      <c r="C21493" s="5" t="s">
        <v>221</v>
      </c>
      <c r="D21493" s="3" t="s">
        <v>614</v>
      </c>
      <c r="E21493" s="3" t="s">
        <v>118</v>
      </c>
      <c r="F21493" s="7">
        <v>46160.028781392066</v>
      </c>
      <c r="G21493" s="3" t="s">
        <v>3285</v>
      </c>
    </row>
    <row r="21494">
      <c r="A21494" s="3" t="s">
        <v>37781</v>
      </c>
      <c r="B21494" s="3" t="s">
        <v>17811</v>
      </c>
      <c r="C21494" s="5" t="s">
        <v>614</v>
      </c>
      <c r="D21494" s="3" t="s">
        <v>206</v>
      </c>
      <c r="E21494" s="3" t="s">
        <v>100</v>
      </c>
      <c r="F21494" s="7">
        <v>46160.03225361429</v>
      </c>
      <c r="G21494" s="3" t="s">
        <v>3288</v>
      </c>
    </row>
    <row r="21495">
      <c r="A21495" s="3" t="s">
        <v>37782</v>
      </c>
      <c r="B21495" s="3" t="s">
        <v>17811</v>
      </c>
      <c r="C21495" s="5" t="s">
        <v>206</v>
      </c>
      <c r="D21495" s="3" t="s">
        <v>68</v>
      </c>
      <c r="E21495" s="3" t="s">
        <v>100</v>
      </c>
      <c r="F21495" s="7">
        <v>46160.03572583651</v>
      </c>
      <c r="G21495" s="3" t="s">
        <v>3291</v>
      </c>
    </row>
    <row r="21496">
      <c r="A21496" s="3" t="s">
        <v>37783</v>
      </c>
      <c r="B21496" s="3" t="s">
        <v>17815</v>
      </c>
      <c r="C21496" s="5" t="s">
        <v>45</v>
      </c>
      <c r="D21496" s="3" t="s">
        <v>221</v>
      </c>
      <c r="E21496" s="3" t="s">
        <v>186</v>
      </c>
      <c r="F21496" s="7">
        <v>46160.09648401526</v>
      </c>
      <c r="G21496" s="3" t="s">
        <v>4922</v>
      </c>
    </row>
    <row r="21497">
      <c r="A21497" s="3" t="s">
        <v>37784</v>
      </c>
      <c r="B21497" s="3" t="s">
        <v>17815</v>
      </c>
      <c r="C21497" s="5" t="s">
        <v>221</v>
      </c>
      <c r="D21497" s="3" t="s">
        <v>614</v>
      </c>
      <c r="E21497" s="3" t="s">
        <v>118</v>
      </c>
      <c r="F21497" s="7">
        <v>46160.09995623748</v>
      </c>
      <c r="G21497" s="3" t="s">
        <v>4925</v>
      </c>
    </row>
    <row r="21498">
      <c r="A21498" s="3" t="s">
        <v>37785</v>
      </c>
      <c r="B21498" s="3" t="s">
        <v>17815</v>
      </c>
      <c r="C21498" s="5" t="s">
        <v>614</v>
      </c>
      <c r="D21498" s="3" t="s">
        <v>206</v>
      </c>
      <c r="E21498" s="3" t="s">
        <v>100</v>
      </c>
      <c r="F21498" s="7">
        <v>46160.103428459704</v>
      </c>
      <c r="G21498" s="3" t="s">
        <v>4928</v>
      </c>
    </row>
    <row r="21499">
      <c r="A21499" s="3" t="s">
        <v>37786</v>
      </c>
      <c r="B21499" s="3" t="s">
        <v>17815</v>
      </c>
      <c r="C21499" s="5" t="s">
        <v>206</v>
      </c>
      <c r="D21499" s="3" t="s">
        <v>68</v>
      </c>
      <c r="E21499" s="3" t="s">
        <v>100</v>
      </c>
      <c r="F21499" s="7">
        <v>46160.10690068192</v>
      </c>
      <c r="G21499" s="3" t="s">
        <v>4931</v>
      </c>
    </row>
    <row r="21500">
      <c r="A21500" s="3" t="s">
        <v>37787</v>
      </c>
      <c r="B21500" s="3" t="s">
        <v>17818</v>
      </c>
      <c r="C21500" s="5" t="s">
        <v>45</v>
      </c>
      <c r="D21500" s="3" t="s">
        <v>221</v>
      </c>
      <c r="E21500" s="3" t="s">
        <v>860</v>
      </c>
      <c r="F21500" s="7">
        <v>46160.16765886067</v>
      </c>
      <c r="G21500" s="3" t="s">
        <v>21874</v>
      </c>
    </row>
    <row r="21501">
      <c r="A21501" s="3" t="s">
        <v>37788</v>
      </c>
      <c r="B21501" s="3" t="s">
        <v>17818</v>
      </c>
      <c r="C21501" s="5" t="s">
        <v>221</v>
      </c>
      <c r="D21501" s="3" t="s">
        <v>614</v>
      </c>
      <c r="E21501" s="3" t="s">
        <v>118</v>
      </c>
      <c r="F21501" s="7">
        <v>46160.17113108289</v>
      </c>
      <c r="G21501" s="3" t="s">
        <v>21876</v>
      </c>
    </row>
    <row r="21502">
      <c r="A21502" s="3" t="s">
        <v>37789</v>
      </c>
      <c r="B21502" s="3" t="s">
        <v>17818</v>
      </c>
      <c r="C21502" s="5" t="s">
        <v>614</v>
      </c>
      <c r="D21502" s="3" t="s">
        <v>206</v>
      </c>
      <c r="E21502" s="3" t="s">
        <v>100</v>
      </c>
      <c r="F21502" s="7">
        <v>46160.17460330512</v>
      </c>
      <c r="G21502" s="3" t="s">
        <v>21879</v>
      </c>
    </row>
    <row r="21503">
      <c r="A21503" s="3" t="s">
        <v>37790</v>
      </c>
      <c r="B21503" s="3" t="s">
        <v>17818</v>
      </c>
      <c r="C21503" s="5" t="s">
        <v>206</v>
      </c>
      <c r="D21503" s="3" t="s">
        <v>68</v>
      </c>
      <c r="E21503" s="3" t="s">
        <v>100</v>
      </c>
      <c r="F21503" s="7">
        <v>46160.178075527336</v>
      </c>
      <c r="G21503" s="3" t="s">
        <v>21882</v>
      </c>
    </row>
    <row r="21504">
      <c r="A21504" s="3" t="s">
        <v>37791</v>
      </c>
      <c r="B21504" s="3" t="s">
        <v>17821</v>
      </c>
      <c r="C21504" s="5" t="s">
        <v>45</v>
      </c>
      <c r="D21504" s="3" t="s">
        <v>221</v>
      </c>
      <c r="E21504" s="3" t="s">
        <v>678</v>
      </c>
      <c r="F21504" s="7">
        <v>46160.23883370609</v>
      </c>
      <c r="G21504" s="3" t="s">
        <v>8229</v>
      </c>
    </row>
    <row r="21505">
      <c r="A21505" s="3" t="s">
        <v>37792</v>
      </c>
      <c r="B21505" s="3" t="s">
        <v>17821</v>
      </c>
      <c r="C21505" s="5" t="s">
        <v>221</v>
      </c>
      <c r="D21505" s="3" t="s">
        <v>614</v>
      </c>
      <c r="E21505" s="3" t="s">
        <v>118</v>
      </c>
      <c r="F21505" s="7">
        <v>46160.24230592831</v>
      </c>
      <c r="G21505" s="3" t="s">
        <v>8231</v>
      </c>
    </row>
    <row r="21506">
      <c r="A21506" s="3" t="s">
        <v>37793</v>
      </c>
      <c r="B21506" s="3" t="s">
        <v>17821</v>
      </c>
      <c r="C21506" s="5" t="s">
        <v>614</v>
      </c>
      <c r="D21506" s="3" t="s">
        <v>206</v>
      </c>
      <c r="E21506" s="3" t="s">
        <v>100</v>
      </c>
      <c r="F21506" s="7">
        <v>46160.245778150536</v>
      </c>
      <c r="G21506" s="3" t="s">
        <v>8234</v>
      </c>
    </row>
    <row r="21507">
      <c r="A21507" s="3" t="s">
        <v>37794</v>
      </c>
      <c r="B21507" s="3" t="s">
        <v>17821</v>
      </c>
      <c r="C21507" s="5" t="s">
        <v>206</v>
      </c>
      <c r="D21507" s="3" t="s">
        <v>68</v>
      </c>
      <c r="E21507" s="3" t="s">
        <v>100</v>
      </c>
      <c r="F21507" s="7">
        <v>46160.249250372755</v>
      </c>
      <c r="G21507" s="3" t="s">
        <v>8237</v>
      </c>
    </row>
    <row r="21508">
      <c r="A21508" s="3" t="s">
        <v>37795</v>
      </c>
      <c r="B21508" s="3" t="s">
        <v>17830</v>
      </c>
      <c r="C21508" s="5" t="s">
        <v>45</v>
      </c>
      <c r="D21508" s="3" t="s">
        <v>221</v>
      </c>
      <c r="E21508" s="3" t="s">
        <v>208</v>
      </c>
      <c r="F21508" s="7">
        <v>46160.3100085515</v>
      </c>
      <c r="G21508" s="3" t="s">
        <v>19961</v>
      </c>
    </row>
    <row r="21509">
      <c r="A21509" s="3" t="s">
        <v>37796</v>
      </c>
      <c r="B21509" s="3" t="s">
        <v>17830</v>
      </c>
      <c r="C21509" s="5" t="s">
        <v>221</v>
      </c>
      <c r="D21509" s="3" t="s">
        <v>614</v>
      </c>
      <c r="E21509" s="3" t="s">
        <v>118</v>
      </c>
      <c r="F21509" s="7">
        <v>46160.31348077372</v>
      </c>
      <c r="G21509" s="3" t="s">
        <v>19964</v>
      </c>
    </row>
    <row r="21510">
      <c r="A21510" s="3" t="s">
        <v>37797</v>
      </c>
      <c r="B21510" s="3" t="s">
        <v>17830</v>
      </c>
      <c r="C21510" s="5" t="s">
        <v>614</v>
      </c>
      <c r="D21510" s="3" t="s">
        <v>206</v>
      </c>
      <c r="E21510" s="3" t="s">
        <v>100</v>
      </c>
      <c r="F21510" s="7">
        <v>46160.31695299595</v>
      </c>
      <c r="G21510" s="3" t="s">
        <v>19966</v>
      </c>
    </row>
    <row r="21511">
      <c r="A21511" s="3" t="s">
        <v>37798</v>
      </c>
      <c r="B21511" s="3" t="s">
        <v>17830</v>
      </c>
      <c r="C21511" s="5" t="s">
        <v>206</v>
      </c>
      <c r="D21511" s="3" t="s">
        <v>68</v>
      </c>
      <c r="E21511" s="3" t="s">
        <v>100</v>
      </c>
      <c r="F21511" s="7">
        <v>46160.32042521817</v>
      </c>
      <c r="G21511" s="3" t="s">
        <v>19969</v>
      </c>
    </row>
    <row r="21512">
      <c r="A21512" s="3" t="s">
        <v>37799</v>
      </c>
      <c r="B21512" s="3" t="s">
        <v>17833</v>
      </c>
      <c r="C21512" s="5" t="s">
        <v>45</v>
      </c>
      <c r="D21512" s="3" t="s">
        <v>221</v>
      </c>
      <c r="E21512" s="3" t="s">
        <v>377</v>
      </c>
      <c r="F21512" s="7">
        <v>46160.381183396916</v>
      </c>
      <c r="G21512" s="3" t="s">
        <v>22255</v>
      </c>
    </row>
    <row r="21513">
      <c r="A21513" s="3" t="s">
        <v>37800</v>
      </c>
      <c r="B21513" s="3" t="s">
        <v>17833</v>
      </c>
      <c r="C21513" s="5" t="s">
        <v>221</v>
      </c>
      <c r="D21513" s="3" t="s">
        <v>614</v>
      </c>
      <c r="E21513" s="3" t="s">
        <v>118</v>
      </c>
      <c r="F21513" s="7">
        <v>46160.384655619135</v>
      </c>
      <c r="G21513" s="3" t="s">
        <v>22258</v>
      </c>
    </row>
    <row r="21514">
      <c r="A21514" s="3" t="s">
        <v>37801</v>
      </c>
      <c r="B21514" s="3" t="s">
        <v>17833</v>
      </c>
      <c r="C21514" s="5" t="s">
        <v>614</v>
      </c>
      <c r="D21514" s="3" t="s">
        <v>206</v>
      </c>
      <c r="E21514" s="3" t="s">
        <v>100</v>
      </c>
      <c r="F21514" s="7">
        <v>46160.38812784136</v>
      </c>
      <c r="G21514" s="3" t="s">
        <v>22260</v>
      </c>
    </row>
    <row r="21515">
      <c r="A21515" s="3" t="s">
        <v>37802</v>
      </c>
      <c r="B21515" s="3" t="s">
        <v>17833</v>
      </c>
      <c r="C21515" s="5" t="s">
        <v>206</v>
      </c>
      <c r="D21515" s="3" t="s">
        <v>68</v>
      </c>
      <c r="E21515" s="3" t="s">
        <v>100</v>
      </c>
      <c r="F21515" s="7">
        <v>46160.39160006358</v>
      </c>
      <c r="G21515" s="3" t="s">
        <v>22263</v>
      </c>
    </row>
    <row r="21516">
      <c r="A21516" s="3" t="s">
        <v>37803</v>
      </c>
      <c r="B21516" s="3" t="s">
        <v>17836</v>
      </c>
      <c r="C21516" s="5" t="s">
        <v>45</v>
      </c>
      <c r="D21516" s="3" t="s">
        <v>221</v>
      </c>
      <c r="E21516" s="3" t="s">
        <v>519</v>
      </c>
      <c r="F21516" s="7">
        <v>46160.452358242335</v>
      </c>
      <c r="G21516" s="3" t="s">
        <v>3294</v>
      </c>
    </row>
    <row r="21517">
      <c r="A21517" s="3" t="s">
        <v>37804</v>
      </c>
      <c r="B21517" s="3" t="s">
        <v>17836</v>
      </c>
      <c r="C21517" s="5" t="s">
        <v>221</v>
      </c>
      <c r="D21517" s="3" t="s">
        <v>614</v>
      </c>
      <c r="E21517" s="3" t="s">
        <v>118</v>
      </c>
      <c r="F21517" s="7">
        <v>46160.455830464554</v>
      </c>
      <c r="G21517" s="3" t="s">
        <v>3297</v>
      </c>
    </row>
    <row r="21518">
      <c r="A21518" s="3" t="s">
        <v>37805</v>
      </c>
      <c r="B21518" s="3" t="s">
        <v>17836</v>
      </c>
      <c r="C21518" s="5" t="s">
        <v>614</v>
      </c>
      <c r="D21518" s="3" t="s">
        <v>206</v>
      </c>
      <c r="E21518" s="3" t="s">
        <v>100</v>
      </c>
      <c r="F21518" s="7">
        <v>46160.45930268678</v>
      </c>
      <c r="G21518" s="3" t="s">
        <v>3300</v>
      </c>
    </row>
    <row r="21519">
      <c r="A21519" s="3" t="s">
        <v>37806</v>
      </c>
      <c r="B21519" s="3" t="s">
        <v>17836</v>
      </c>
      <c r="C21519" s="5" t="s">
        <v>206</v>
      </c>
      <c r="D21519" s="3" t="s">
        <v>68</v>
      </c>
      <c r="E21519" s="3" t="s">
        <v>100</v>
      </c>
      <c r="F21519" s="7">
        <v>46160.462774909</v>
      </c>
      <c r="G21519" s="3" t="s">
        <v>3303</v>
      </c>
    </row>
    <row r="21520">
      <c r="A21520" s="3" t="s">
        <v>37807</v>
      </c>
      <c r="B21520" s="3" t="s">
        <v>17839</v>
      </c>
      <c r="C21520" s="5" t="s">
        <v>45</v>
      </c>
      <c r="D21520" s="3" t="s">
        <v>221</v>
      </c>
      <c r="E21520" s="3" t="s">
        <v>204</v>
      </c>
      <c r="F21520" s="7">
        <v>46160.52353308775</v>
      </c>
      <c r="G21520" s="3" t="s">
        <v>25355</v>
      </c>
    </row>
    <row r="21521">
      <c r="A21521" s="3" t="s">
        <v>37808</v>
      </c>
      <c r="B21521" s="3" t="s">
        <v>17839</v>
      </c>
      <c r="C21521" s="5" t="s">
        <v>221</v>
      </c>
      <c r="D21521" s="3" t="s">
        <v>614</v>
      </c>
      <c r="E21521" s="3" t="s">
        <v>118</v>
      </c>
      <c r="F21521" s="7">
        <v>46160.52700530997</v>
      </c>
      <c r="G21521" s="3" t="s">
        <v>25357</v>
      </c>
    </row>
    <row r="21522">
      <c r="A21522" s="3" t="s">
        <v>37809</v>
      </c>
      <c r="B21522" s="3" t="s">
        <v>17839</v>
      </c>
      <c r="C21522" s="5" t="s">
        <v>614</v>
      </c>
      <c r="D21522" s="3" t="s">
        <v>206</v>
      </c>
      <c r="E21522" s="3" t="s">
        <v>100</v>
      </c>
      <c r="F21522" s="7">
        <v>46160.53047753219</v>
      </c>
      <c r="G21522" s="3" t="s">
        <v>25359</v>
      </c>
    </row>
    <row r="21523">
      <c r="A21523" s="3" t="s">
        <v>37810</v>
      </c>
      <c r="B21523" s="3" t="s">
        <v>17839</v>
      </c>
      <c r="C21523" s="5" t="s">
        <v>206</v>
      </c>
      <c r="D21523" s="3" t="s">
        <v>68</v>
      </c>
      <c r="E21523" s="3" t="s">
        <v>100</v>
      </c>
      <c r="F21523" s="7">
        <v>46160.53394975441</v>
      </c>
      <c r="G21523" s="3" t="s">
        <v>25361</v>
      </c>
    </row>
    <row r="21524">
      <c r="A21524" s="3" t="s">
        <v>37811</v>
      </c>
      <c r="B21524" s="3" t="s">
        <v>17842</v>
      </c>
      <c r="C21524" s="5" t="s">
        <v>45</v>
      </c>
      <c r="D21524" s="3" t="s">
        <v>221</v>
      </c>
      <c r="E21524" s="3" t="s">
        <v>468</v>
      </c>
      <c r="F21524" s="7">
        <v>46160.59470793316</v>
      </c>
      <c r="G21524" s="3" t="s">
        <v>18163</v>
      </c>
    </row>
    <row r="21525">
      <c r="A21525" s="3" t="s">
        <v>37812</v>
      </c>
      <c r="B21525" s="3" t="s">
        <v>17842</v>
      </c>
      <c r="C21525" s="5" t="s">
        <v>221</v>
      </c>
      <c r="D21525" s="3" t="s">
        <v>195</v>
      </c>
      <c r="E21525" s="3" t="s">
        <v>468</v>
      </c>
      <c r="F21525" s="7">
        <v>46160.59818015538</v>
      </c>
      <c r="G21525" s="3" t="s">
        <v>37813</v>
      </c>
    </row>
    <row r="21526">
      <c r="A21526" s="3" t="s">
        <v>37814</v>
      </c>
      <c r="B21526" s="3" t="s">
        <v>17845</v>
      </c>
      <c r="C21526" s="5" t="s">
        <v>45</v>
      </c>
      <c r="D21526" s="3" t="s">
        <v>221</v>
      </c>
      <c r="E21526" s="3" t="s">
        <v>922</v>
      </c>
      <c r="F21526" s="7">
        <v>46160.66588277858</v>
      </c>
      <c r="G21526" s="3" t="s">
        <v>15629</v>
      </c>
    </row>
    <row r="21527">
      <c r="A21527" s="3" t="s">
        <v>37815</v>
      </c>
      <c r="B21527" s="3" t="s">
        <v>17845</v>
      </c>
      <c r="C21527" s="5" t="s">
        <v>221</v>
      </c>
      <c r="D21527" s="3" t="s">
        <v>614</v>
      </c>
      <c r="E21527" s="3" t="s">
        <v>118</v>
      </c>
      <c r="F21527" s="7">
        <v>46160.6693550008</v>
      </c>
      <c r="G21527" s="3" t="s">
        <v>15632</v>
      </c>
    </row>
    <row r="21528">
      <c r="A21528" s="3" t="s">
        <v>37816</v>
      </c>
      <c r="B21528" s="3" t="s">
        <v>17845</v>
      </c>
      <c r="C21528" s="5" t="s">
        <v>614</v>
      </c>
      <c r="D21528" s="3" t="s">
        <v>206</v>
      </c>
      <c r="E21528" s="3" t="s">
        <v>100</v>
      </c>
      <c r="F21528" s="7">
        <v>46160.672827223025</v>
      </c>
      <c r="G21528" s="3" t="s">
        <v>15634</v>
      </c>
    </row>
    <row r="21529">
      <c r="A21529" s="3" t="s">
        <v>37817</v>
      </c>
      <c r="B21529" s="3" t="s">
        <v>17845</v>
      </c>
      <c r="C21529" s="5" t="s">
        <v>206</v>
      </c>
      <c r="D21529" s="3" t="s">
        <v>68</v>
      </c>
      <c r="E21529" s="3" t="s">
        <v>100</v>
      </c>
      <c r="F21529" s="7">
        <v>46160.676299445244</v>
      </c>
      <c r="G21529" s="3" t="s">
        <v>15637</v>
      </c>
    </row>
    <row r="21530">
      <c r="A21530" s="3" t="s">
        <v>37818</v>
      </c>
      <c r="B21530" s="3" t="s">
        <v>17848</v>
      </c>
      <c r="C21530" s="5" t="s">
        <v>45</v>
      </c>
      <c r="D21530" s="3" t="s">
        <v>221</v>
      </c>
      <c r="E21530" s="3" t="s">
        <v>596</v>
      </c>
      <c r="F21530" s="7">
        <v>46160.737057624</v>
      </c>
      <c r="G21530" s="3" t="s">
        <v>3306</v>
      </c>
    </row>
    <row r="21531">
      <c r="A21531" s="3" t="s">
        <v>37819</v>
      </c>
      <c r="B21531" s="3" t="s">
        <v>17848</v>
      </c>
      <c r="C21531" s="5" t="s">
        <v>221</v>
      </c>
      <c r="D21531" s="3" t="s">
        <v>614</v>
      </c>
      <c r="E21531" s="3" t="s">
        <v>118</v>
      </c>
      <c r="F21531" s="7">
        <v>46160.74052984622</v>
      </c>
      <c r="G21531" s="3" t="s">
        <v>3309</v>
      </c>
    </row>
    <row r="21532">
      <c r="A21532" s="3" t="s">
        <v>37820</v>
      </c>
      <c r="B21532" s="3" t="s">
        <v>17848</v>
      </c>
      <c r="C21532" s="5" t="s">
        <v>614</v>
      </c>
      <c r="D21532" s="3" t="s">
        <v>206</v>
      </c>
      <c r="E21532" s="3" t="s">
        <v>100</v>
      </c>
      <c r="F21532" s="7">
        <v>46160.744002068444</v>
      </c>
      <c r="G21532" s="3" t="s">
        <v>3312</v>
      </c>
    </row>
    <row r="21533">
      <c r="A21533" s="3" t="s">
        <v>37821</v>
      </c>
      <c r="B21533" s="3" t="s">
        <v>17848</v>
      </c>
      <c r="C21533" s="5" t="s">
        <v>206</v>
      </c>
      <c r="D21533" s="3" t="s">
        <v>68</v>
      </c>
      <c r="E21533" s="3" t="s">
        <v>100</v>
      </c>
      <c r="F21533" s="7">
        <v>46160.74747429066</v>
      </c>
      <c r="G21533" s="3" t="s">
        <v>3315</v>
      </c>
    </row>
    <row r="21534">
      <c r="A21534" s="3" t="s">
        <v>37822</v>
      </c>
      <c r="B21534" s="3" t="s">
        <v>17852</v>
      </c>
      <c r="C21534" s="5" t="s">
        <v>45</v>
      </c>
      <c r="D21534" s="3" t="s">
        <v>221</v>
      </c>
      <c r="E21534" s="3" t="s">
        <v>287</v>
      </c>
      <c r="F21534" s="7">
        <v>46160.808232469404</v>
      </c>
      <c r="G21534" s="3" t="s">
        <v>3337</v>
      </c>
    </row>
    <row r="21535">
      <c r="A21535" s="3" t="s">
        <v>37823</v>
      </c>
      <c r="B21535" s="3" t="s">
        <v>17852</v>
      </c>
      <c r="C21535" s="5" t="s">
        <v>221</v>
      </c>
      <c r="D21535" s="3" t="s">
        <v>614</v>
      </c>
      <c r="E21535" s="3" t="s">
        <v>118</v>
      </c>
      <c r="F21535" s="7">
        <v>46160.81170469162</v>
      </c>
      <c r="G21535" s="3" t="s">
        <v>3340</v>
      </c>
    </row>
    <row r="21536">
      <c r="A21536" s="3" t="s">
        <v>37824</v>
      </c>
      <c r="B21536" s="3" t="s">
        <v>17852</v>
      </c>
      <c r="C21536" s="5" t="s">
        <v>614</v>
      </c>
      <c r="D21536" s="3" t="s">
        <v>206</v>
      </c>
      <c r="E21536" s="3" t="s">
        <v>100</v>
      </c>
      <c r="F21536" s="7">
        <v>46160.81517691385</v>
      </c>
      <c r="G21536" s="3" t="s">
        <v>3343</v>
      </c>
    </row>
    <row r="21537">
      <c r="A21537" s="3" t="s">
        <v>37825</v>
      </c>
      <c r="B21537" s="3" t="s">
        <v>17852</v>
      </c>
      <c r="C21537" s="5" t="s">
        <v>206</v>
      </c>
      <c r="D21537" s="3" t="s">
        <v>68</v>
      </c>
      <c r="E21537" s="3" t="s">
        <v>100</v>
      </c>
      <c r="F21537" s="7">
        <v>46160.81864913607</v>
      </c>
      <c r="G21537" s="3" t="s">
        <v>3345</v>
      </c>
    </row>
    <row r="21538">
      <c r="A21538" s="3" t="s">
        <v>37826</v>
      </c>
      <c r="B21538" s="3" t="s">
        <v>17855</v>
      </c>
      <c r="C21538" s="5" t="s">
        <v>45</v>
      </c>
      <c r="D21538" s="3" t="s">
        <v>221</v>
      </c>
      <c r="E21538" s="3" t="s">
        <v>731</v>
      </c>
      <c r="F21538" s="7">
        <v>46160.879407314824</v>
      </c>
      <c r="G21538" s="3" t="s">
        <v>17592</v>
      </c>
    </row>
    <row r="21539">
      <c r="A21539" s="3" t="s">
        <v>37827</v>
      </c>
      <c r="B21539" s="3" t="s">
        <v>17855</v>
      </c>
      <c r="C21539" s="5" t="s">
        <v>221</v>
      </c>
      <c r="D21539" s="3" t="s">
        <v>614</v>
      </c>
      <c r="E21539" s="3" t="s">
        <v>118</v>
      </c>
      <c r="F21539" s="7">
        <v>46160.88287953704</v>
      </c>
      <c r="G21539" s="3" t="s">
        <v>19466</v>
      </c>
    </row>
    <row r="21540">
      <c r="A21540" s="3" t="s">
        <v>37828</v>
      </c>
      <c r="B21540" s="3" t="s">
        <v>17855</v>
      </c>
      <c r="C21540" s="5" t="s">
        <v>614</v>
      </c>
      <c r="D21540" s="3" t="s">
        <v>206</v>
      </c>
      <c r="E21540" s="3" t="s">
        <v>100</v>
      </c>
      <c r="F21540" s="7">
        <v>46160.88635175927</v>
      </c>
      <c r="G21540" s="3" t="s">
        <v>19469</v>
      </c>
    </row>
    <row r="21541">
      <c r="A21541" s="3" t="s">
        <v>37829</v>
      </c>
      <c r="B21541" s="3" t="s">
        <v>17855</v>
      </c>
      <c r="C21541" s="5" t="s">
        <v>206</v>
      </c>
      <c r="D21541" s="3" t="s">
        <v>68</v>
      </c>
      <c r="E21541" s="3" t="s">
        <v>100</v>
      </c>
      <c r="F21541" s="7">
        <v>46160.88982398149</v>
      </c>
      <c r="G21541" s="3" t="s">
        <v>19472</v>
      </c>
    </row>
    <row r="21542">
      <c r="A21542" s="3" t="s">
        <v>37830</v>
      </c>
      <c r="B21542" s="3" t="s">
        <v>17859</v>
      </c>
      <c r="C21542" s="5" t="s">
        <v>45</v>
      </c>
      <c r="D21542" s="3" t="s">
        <v>221</v>
      </c>
      <c r="E21542" s="3" t="s">
        <v>640</v>
      </c>
      <c r="F21542" s="7">
        <v>46160.95058216024</v>
      </c>
      <c r="G21542" s="3" t="s">
        <v>7639</v>
      </c>
    </row>
    <row r="21543">
      <c r="A21543" s="3" t="s">
        <v>37831</v>
      </c>
      <c r="B21543" s="3" t="s">
        <v>17859</v>
      </c>
      <c r="C21543" s="5" t="s">
        <v>221</v>
      </c>
      <c r="D21543" s="3" t="s">
        <v>181</v>
      </c>
      <c r="E21543" s="3" t="s">
        <v>118</v>
      </c>
      <c r="F21543" s="7">
        <v>46160.95405438246</v>
      </c>
      <c r="G21543" s="3" t="s">
        <v>37832</v>
      </c>
    </row>
    <row r="21544">
      <c r="A21544" s="3" t="s">
        <v>37833</v>
      </c>
      <c r="B21544" s="3" t="s">
        <v>17862</v>
      </c>
      <c r="C21544" s="5" t="s">
        <v>45</v>
      </c>
      <c r="D21544" s="3" t="s">
        <v>221</v>
      </c>
      <c r="E21544" s="3" t="s">
        <v>162</v>
      </c>
      <c r="F21544" s="7">
        <v>46161.021757005656</v>
      </c>
      <c r="G21544" s="3" t="s">
        <v>3348</v>
      </c>
    </row>
    <row r="21545">
      <c r="A21545" s="3" t="s">
        <v>37834</v>
      </c>
      <c r="B21545" s="3" t="s">
        <v>17862</v>
      </c>
      <c r="C21545" s="5" t="s">
        <v>221</v>
      </c>
      <c r="D21545" s="3" t="s">
        <v>614</v>
      </c>
      <c r="E21545" s="3" t="s">
        <v>118</v>
      </c>
      <c r="F21545" s="7">
        <v>46161.025229227875</v>
      </c>
      <c r="G21545" s="3" t="s">
        <v>3351</v>
      </c>
    </row>
    <row r="21546">
      <c r="A21546" s="3" t="s">
        <v>37835</v>
      </c>
      <c r="B21546" s="3" t="s">
        <v>17862</v>
      </c>
      <c r="C21546" s="5" t="s">
        <v>614</v>
      </c>
      <c r="D21546" s="3" t="s">
        <v>206</v>
      </c>
      <c r="E21546" s="3" t="s">
        <v>100</v>
      </c>
      <c r="F21546" s="7">
        <v>46161.0287014501</v>
      </c>
      <c r="G21546" s="3" t="s">
        <v>3353</v>
      </c>
    </row>
    <row r="21547">
      <c r="A21547" s="3" t="s">
        <v>37836</v>
      </c>
      <c r="B21547" s="3" t="s">
        <v>17862</v>
      </c>
      <c r="C21547" s="5" t="s">
        <v>206</v>
      </c>
      <c r="D21547" s="3" t="s">
        <v>68</v>
      </c>
      <c r="E21547" s="3" t="s">
        <v>100</v>
      </c>
      <c r="F21547" s="7">
        <v>46161.03217367232</v>
      </c>
      <c r="G21547" s="3" t="s">
        <v>3356</v>
      </c>
    </row>
    <row r="21548">
      <c r="A21548" s="3" t="s">
        <v>37837</v>
      </c>
      <c r="B21548" s="3" t="s">
        <v>17866</v>
      </c>
      <c r="C21548" s="5" t="s">
        <v>45</v>
      </c>
      <c r="D21548" s="3" t="s">
        <v>221</v>
      </c>
      <c r="E21548" s="3" t="s">
        <v>616</v>
      </c>
      <c r="F21548" s="7">
        <v>46161.09293185107</v>
      </c>
      <c r="G21548" s="3" t="s">
        <v>21020</v>
      </c>
    </row>
    <row r="21549">
      <c r="A21549" s="3" t="s">
        <v>37838</v>
      </c>
      <c r="B21549" s="3" t="s">
        <v>17866</v>
      </c>
      <c r="C21549" s="5" t="s">
        <v>221</v>
      </c>
      <c r="D21549" s="3" t="s">
        <v>614</v>
      </c>
      <c r="E21549" s="3" t="s">
        <v>118</v>
      </c>
      <c r="F21549" s="7">
        <v>46161.09640407329</v>
      </c>
      <c r="G21549" s="3" t="s">
        <v>21023</v>
      </c>
    </row>
    <row r="21550">
      <c r="A21550" s="3" t="s">
        <v>37839</v>
      </c>
      <c r="B21550" s="3" t="s">
        <v>17866</v>
      </c>
      <c r="C21550" s="5" t="s">
        <v>614</v>
      </c>
      <c r="D21550" s="3" t="s">
        <v>206</v>
      </c>
      <c r="E21550" s="3" t="s">
        <v>100</v>
      </c>
      <c r="F21550" s="7">
        <v>46161.09987629551</v>
      </c>
      <c r="G21550" s="3" t="s">
        <v>21026</v>
      </c>
    </row>
    <row r="21551">
      <c r="A21551" s="3" t="s">
        <v>37840</v>
      </c>
      <c r="B21551" s="3" t="s">
        <v>17866</v>
      </c>
      <c r="C21551" s="5" t="s">
        <v>206</v>
      </c>
      <c r="D21551" s="3" t="s">
        <v>68</v>
      </c>
      <c r="E21551" s="3" t="s">
        <v>100</v>
      </c>
      <c r="F21551" s="7">
        <v>46161.10334851773</v>
      </c>
      <c r="G21551" s="3" t="s">
        <v>21029</v>
      </c>
    </row>
    <row r="21552">
      <c r="A21552" s="3" t="s">
        <v>37841</v>
      </c>
      <c r="B21552" s="3" t="s">
        <v>17868</v>
      </c>
      <c r="C21552" s="5" t="s">
        <v>45</v>
      </c>
      <c r="D21552" s="3" t="s">
        <v>221</v>
      </c>
      <c r="E21552" s="3" t="s">
        <v>920</v>
      </c>
      <c r="F21552" s="7">
        <v>46161.16410669649</v>
      </c>
      <c r="G21552" s="3" t="s">
        <v>24853</v>
      </c>
    </row>
    <row r="21553">
      <c r="A21553" s="3" t="s">
        <v>37842</v>
      </c>
      <c r="B21553" s="3" t="s">
        <v>17868</v>
      </c>
      <c r="C21553" s="5" t="s">
        <v>221</v>
      </c>
      <c r="D21553" s="3" t="s">
        <v>614</v>
      </c>
      <c r="E21553" s="3" t="s">
        <v>118</v>
      </c>
      <c r="F21553" s="7">
        <v>46161.16757891871</v>
      </c>
      <c r="G21553" s="3" t="s">
        <v>24855</v>
      </c>
    </row>
    <row r="21554">
      <c r="A21554" s="3" t="s">
        <v>37843</v>
      </c>
      <c r="B21554" s="3" t="s">
        <v>17868</v>
      </c>
      <c r="C21554" s="5" t="s">
        <v>614</v>
      </c>
      <c r="D21554" s="3" t="s">
        <v>206</v>
      </c>
      <c r="E21554" s="3" t="s">
        <v>100</v>
      </c>
      <c r="F21554" s="7">
        <v>46161.17105114093</v>
      </c>
      <c r="G21554" s="3" t="s">
        <v>24857</v>
      </c>
    </row>
    <row r="21555">
      <c r="A21555" s="3" t="s">
        <v>37844</v>
      </c>
      <c r="B21555" s="3" t="s">
        <v>17868</v>
      </c>
      <c r="C21555" s="5" t="s">
        <v>206</v>
      </c>
      <c r="D21555" s="3" t="s">
        <v>68</v>
      </c>
      <c r="E21555" s="3" t="s">
        <v>100</v>
      </c>
      <c r="F21555" s="7">
        <v>46161.17452336315</v>
      </c>
      <c r="G21555" s="3" t="s">
        <v>24859</v>
      </c>
    </row>
    <row r="21556">
      <c r="A21556" s="3" t="s">
        <v>37845</v>
      </c>
      <c r="B21556" s="3" t="s">
        <v>17870</v>
      </c>
      <c r="C21556" s="5" t="s">
        <v>45</v>
      </c>
      <c r="D21556" s="3" t="s">
        <v>221</v>
      </c>
      <c r="E21556" s="3" t="s">
        <v>953</v>
      </c>
      <c r="F21556" s="7">
        <v>46161.2352815419</v>
      </c>
      <c r="G21556" s="3" t="s">
        <v>19658</v>
      </c>
    </row>
    <row r="21557">
      <c r="A21557" s="3" t="s">
        <v>37846</v>
      </c>
      <c r="B21557" s="3" t="s">
        <v>17870</v>
      </c>
      <c r="C21557" s="5" t="s">
        <v>221</v>
      </c>
      <c r="D21557" s="3" t="s">
        <v>614</v>
      </c>
      <c r="E21557" s="3" t="s">
        <v>118</v>
      </c>
      <c r="F21557" s="7">
        <v>46161.23875376412</v>
      </c>
      <c r="G21557" s="3" t="s">
        <v>19661</v>
      </c>
    </row>
    <row r="21558">
      <c r="A21558" s="3" t="s">
        <v>37847</v>
      </c>
      <c r="B21558" s="3" t="s">
        <v>17870</v>
      </c>
      <c r="C21558" s="5" t="s">
        <v>614</v>
      </c>
      <c r="D21558" s="3" t="s">
        <v>206</v>
      </c>
      <c r="E21558" s="3" t="s">
        <v>100</v>
      </c>
      <c r="F21558" s="7">
        <v>46161.242225986345</v>
      </c>
      <c r="G21558" s="3" t="s">
        <v>19664</v>
      </c>
    </row>
    <row r="21559">
      <c r="A21559" s="3" t="s">
        <v>37848</v>
      </c>
      <c r="B21559" s="3" t="s">
        <v>17870</v>
      </c>
      <c r="C21559" s="5" t="s">
        <v>206</v>
      </c>
      <c r="D21559" s="3" t="s">
        <v>68</v>
      </c>
      <c r="E21559" s="3" t="s">
        <v>100</v>
      </c>
      <c r="F21559" s="7">
        <v>46161.245698208564</v>
      </c>
      <c r="G21559" s="3" t="s">
        <v>19667</v>
      </c>
    </row>
    <row r="21560">
      <c r="A21560" s="3" t="s">
        <v>37849</v>
      </c>
      <c r="B21560" s="3" t="s">
        <v>17872</v>
      </c>
      <c r="C21560" s="5" t="s">
        <v>45</v>
      </c>
      <c r="D21560" s="3" t="s">
        <v>221</v>
      </c>
      <c r="E21560" s="3" t="s">
        <v>156</v>
      </c>
      <c r="F21560" s="7">
        <v>46161.30645638731</v>
      </c>
      <c r="G21560" s="3" t="s">
        <v>12088</v>
      </c>
    </row>
    <row r="21561">
      <c r="A21561" s="3" t="s">
        <v>37850</v>
      </c>
      <c r="B21561" s="3" t="s">
        <v>17872</v>
      </c>
      <c r="C21561" s="5" t="s">
        <v>221</v>
      </c>
      <c r="D21561" s="3" t="s">
        <v>181</v>
      </c>
      <c r="E21561" s="3" t="s">
        <v>118</v>
      </c>
      <c r="F21561" s="7">
        <v>46161.30992860953</v>
      </c>
      <c r="G21561" s="3" t="s">
        <v>37851</v>
      </c>
    </row>
    <row r="21562">
      <c r="A21562" s="3" t="s">
        <v>37852</v>
      </c>
      <c r="B21562" s="3" t="s">
        <v>17875</v>
      </c>
      <c r="C21562" s="5" t="s">
        <v>45</v>
      </c>
      <c r="D21562" s="3" t="s">
        <v>221</v>
      </c>
      <c r="E21562" s="3" t="s">
        <v>183</v>
      </c>
      <c r="F21562" s="7">
        <v>46161.37763123273</v>
      </c>
      <c r="G21562" s="3" t="s">
        <v>3359</v>
      </c>
    </row>
    <row r="21563">
      <c r="A21563" s="3" t="s">
        <v>37853</v>
      </c>
      <c r="B21563" s="3" t="s">
        <v>17875</v>
      </c>
      <c r="C21563" s="5" t="s">
        <v>221</v>
      </c>
      <c r="D21563" s="3" t="s">
        <v>614</v>
      </c>
      <c r="E21563" s="3" t="s">
        <v>118</v>
      </c>
      <c r="F21563" s="7">
        <v>46161.38110345495</v>
      </c>
      <c r="G21563" s="3" t="s">
        <v>3362</v>
      </c>
    </row>
    <row r="21564">
      <c r="A21564" s="3" t="s">
        <v>37854</v>
      </c>
      <c r="B21564" s="3" t="s">
        <v>17875</v>
      </c>
      <c r="C21564" s="5" t="s">
        <v>614</v>
      </c>
      <c r="D21564" s="3" t="s">
        <v>206</v>
      </c>
      <c r="E21564" s="3" t="s">
        <v>100</v>
      </c>
      <c r="F21564" s="7">
        <v>46161.38457567718</v>
      </c>
      <c r="G21564" s="3" t="s">
        <v>3365</v>
      </c>
    </row>
    <row r="21565">
      <c r="A21565" s="3" t="s">
        <v>37855</v>
      </c>
      <c r="B21565" s="3" t="s">
        <v>17875</v>
      </c>
      <c r="C21565" s="5" t="s">
        <v>206</v>
      </c>
      <c r="D21565" s="3" t="s">
        <v>68</v>
      </c>
      <c r="E21565" s="3" t="s">
        <v>100</v>
      </c>
      <c r="F21565" s="7">
        <v>46161.388047899396</v>
      </c>
      <c r="G21565" s="3" t="s">
        <v>3368</v>
      </c>
    </row>
    <row r="21566">
      <c r="A21566" s="3" t="s">
        <v>37856</v>
      </c>
      <c r="B21566" s="3" t="s">
        <v>17880</v>
      </c>
      <c r="C21566" s="5" t="s">
        <v>45</v>
      </c>
      <c r="D21566" s="3" t="s">
        <v>221</v>
      </c>
      <c r="E21566" s="3" t="s">
        <v>796</v>
      </c>
      <c r="F21566" s="7">
        <v>46161.448806078144</v>
      </c>
      <c r="G21566" s="3" t="s">
        <v>27019</v>
      </c>
    </row>
    <row r="21567">
      <c r="A21567" s="3" t="s">
        <v>37857</v>
      </c>
      <c r="B21567" s="3" t="s">
        <v>17880</v>
      </c>
      <c r="C21567" s="5" t="s">
        <v>221</v>
      </c>
      <c r="D21567" s="3" t="s">
        <v>614</v>
      </c>
      <c r="E21567" s="3" t="s">
        <v>118</v>
      </c>
      <c r="F21567" s="7">
        <v>46161.45227830036</v>
      </c>
      <c r="G21567" s="3" t="s">
        <v>37858</v>
      </c>
    </row>
    <row r="21568">
      <c r="A21568" s="3" t="s">
        <v>37859</v>
      </c>
      <c r="B21568" s="3" t="s">
        <v>17880</v>
      </c>
      <c r="C21568" s="5" t="s">
        <v>614</v>
      </c>
      <c r="D21568" s="3" t="s">
        <v>206</v>
      </c>
      <c r="E21568" s="3" t="s">
        <v>100</v>
      </c>
      <c r="F21568" s="7">
        <v>46161.45575052259</v>
      </c>
      <c r="G21568" s="3" t="s">
        <v>37860</v>
      </c>
    </row>
    <row r="21569">
      <c r="A21569" s="3" t="s">
        <v>37861</v>
      </c>
      <c r="B21569" s="3" t="s">
        <v>17880</v>
      </c>
      <c r="C21569" s="5" t="s">
        <v>206</v>
      </c>
      <c r="D21569" s="3" t="s">
        <v>68</v>
      </c>
      <c r="E21569" s="3" t="s">
        <v>100</v>
      </c>
      <c r="F21569" s="7">
        <v>46161.45922274481</v>
      </c>
      <c r="G21569" s="3" t="s">
        <v>37862</v>
      </c>
    </row>
    <row r="21570">
      <c r="A21570" s="3" t="s">
        <v>37863</v>
      </c>
      <c r="B21570" s="3" t="s">
        <v>17883</v>
      </c>
      <c r="C21570" s="5" t="s">
        <v>45</v>
      </c>
      <c r="D21570" s="3" t="s">
        <v>221</v>
      </c>
      <c r="E21570" s="3" t="s">
        <v>516</v>
      </c>
      <c r="F21570" s="7">
        <v>46161.51998092356</v>
      </c>
      <c r="G21570" s="3" t="s">
        <v>15182</v>
      </c>
    </row>
    <row r="21571">
      <c r="A21571" s="3" t="s">
        <v>37864</v>
      </c>
      <c r="B21571" s="3" t="s">
        <v>17883</v>
      </c>
      <c r="C21571" s="5" t="s">
        <v>221</v>
      </c>
      <c r="D21571" s="3" t="s">
        <v>614</v>
      </c>
      <c r="E21571" s="3" t="s">
        <v>118</v>
      </c>
      <c r="F21571" s="7">
        <v>46161.523453145775</v>
      </c>
      <c r="G21571" s="3" t="s">
        <v>15185</v>
      </c>
    </row>
    <row r="21572">
      <c r="A21572" s="3" t="s">
        <v>37865</v>
      </c>
      <c r="B21572" s="3" t="s">
        <v>17883</v>
      </c>
      <c r="C21572" s="5" t="s">
        <v>614</v>
      </c>
      <c r="D21572" s="3" t="s">
        <v>206</v>
      </c>
      <c r="E21572" s="3" t="s">
        <v>100</v>
      </c>
      <c r="F21572" s="7">
        <v>46161.526925368</v>
      </c>
      <c r="G21572" s="3" t="s">
        <v>15189</v>
      </c>
    </row>
    <row r="21573">
      <c r="A21573" s="3" t="s">
        <v>37866</v>
      </c>
      <c r="B21573" s="3" t="s">
        <v>17883</v>
      </c>
      <c r="C21573" s="5" t="s">
        <v>206</v>
      </c>
      <c r="D21573" s="3" t="s">
        <v>68</v>
      </c>
      <c r="E21573" s="3" t="s">
        <v>100</v>
      </c>
      <c r="F21573" s="7">
        <v>46161.53039759022</v>
      </c>
      <c r="G21573" s="3" t="s">
        <v>15192</v>
      </c>
    </row>
    <row r="21574">
      <c r="A21574" s="3" t="s">
        <v>37867</v>
      </c>
      <c r="B21574" s="3" t="s">
        <v>17885</v>
      </c>
      <c r="C21574" s="5" t="s">
        <v>45</v>
      </c>
      <c r="D21574" s="3" t="s">
        <v>221</v>
      </c>
      <c r="E21574" s="3" t="s">
        <v>348</v>
      </c>
      <c r="F21574" s="7">
        <v>46161.591155768976</v>
      </c>
      <c r="G21574" s="3" t="s">
        <v>29510</v>
      </c>
    </row>
    <row r="21575">
      <c r="A21575" s="3" t="s">
        <v>37868</v>
      </c>
      <c r="B21575" s="3" t="s">
        <v>17885</v>
      </c>
      <c r="C21575" s="5" t="s">
        <v>221</v>
      </c>
      <c r="D21575" s="3" t="s">
        <v>614</v>
      </c>
      <c r="E21575" s="3" t="s">
        <v>118</v>
      </c>
      <c r="F21575" s="7">
        <v>46161.594627991195</v>
      </c>
      <c r="G21575" s="3" t="s">
        <v>31608</v>
      </c>
    </row>
    <row r="21576">
      <c r="A21576" s="3" t="s">
        <v>37869</v>
      </c>
      <c r="B21576" s="3" t="s">
        <v>17885</v>
      </c>
      <c r="C21576" s="5" t="s">
        <v>614</v>
      </c>
      <c r="D21576" s="3" t="s">
        <v>206</v>
      </c>
      <c r="E21576" s="3" t="s">
        <v>100</v>
      </c>
      <c r="F21576" s="7">
        <v>46161.59810021342</v>
      </c>
      <c r="G21576" s="3" t="s">
        <v>31610</v>
      </c>
    </row>
    <row r="21577">
      <c r="A21577" s="3" t="s">
        <v>37870</v>
      </c>
      <c r="B21577" s="3" t="s">
        <v>17885</v>
      </c>
      <c r="C21577" s="5" t="s">
        <v>206</v>
      </c>
      <c r="D21577" s="3" t="s">
        <v>68</v>
      </c>
      <c r="E21577" s="3" t="s">
        <v>100</v>
      </c>
      <c r="F21577" s="7">
        <v>46161.60157243564</v>
      </c>
      <c r="G21577" s="3" t="s">
        <v>31612</v>
      </c>
    </row>
    <row r="21578">
      <c r="A21578" s="3" t="s">
        <v>37871</v>
      </c>
      <c r="B21578" s="3" t="s">
        <v>17887</v>
      </c>
      <c r="C21578" s="5" t="s">
        <v>45</v>
      </c>
      <c r="D21578" s="3" t="s">
        <v>221</v>
      </c>
      <c r="E21578" s="3" t="s">
        <v>336</v>
      </c>
      <c r="F21578" s="7">
        <v>46161.66233061439</v>
      </c>
      <c r="G21578" s="3" t="s">
        <v>2770</v>
      </c>
    </row>
    <row r="21579">
      <c r="A21579" s="3" t="s">
        <v>37872</v>
      </c>
      <c r="B21579" s="3" t="s">
        <v>17887</v>
      </c>
      <c r="C21579" s="5" t="s">
        <v>221</v>
      </c>
      <c r="D21579" s="3" t="s">
        <v>181</v>
      </c>
      <c r="E21579" s="3" t="s">
        <v>118</v>
      </c>
      <c r="F21579" s="7">
        <v>46161.66580283661</v>
      </c>
      <c r="G21579" s="3" t="s">
        <v>2774</v>
      </c>
    </row>
    <row r="21580">
      <c r="A21580" s="3" t="s">
        <v>37873</v>
      </c>
      <c r="B21580" s="3" t="s">
        <v>17889</v>
      </c>
      <c r="C21580" s="5" t="s">
        <v>45</v>
      </c>
      <c r="D21580" s="3" t="s">
        <v>221</v>
      </c>
      <c r="E21580" s="3" t="s">
        <v>126</v>
      </c>
      <c r="F21580" s="7">
        <v>46161.7335054598</v>
      </c>
      <c r="G21580" s="3" t="s">
        <v>2770</v>
      </c>
    </row>
    <row r="21581">
      <c r="A21581" s="3" t="s">
        <v>37874</v>
      </c>
      <c r="B21581" s="3" t="s">
        <v>17889</v>
      </c>
      <c r="C21581" s="5" t="s">
        <v>221</v>
      </c>
      <c r="D21581" s="3" t="s">
        <v>195</v>
      </c>
      <c r="E21581" s="3" t="s">
        <v>126</v>
      </c>
      <c r="F21581" s="7">
        <v>46161.73697768202</v>
      </c>
      <c r="G21581" s="3" t="s">
        <v>3055</v>
      </c>
    </row>
    <row r="21582">
      <c r="A21582" s="3" t="s">
        <v>37875</v>
      </c>
      <c r="B21582" s="3" t="s">
        <v>17891</v>
      </c>
      <c r="C21582" s="5" t="s">
        <v>45</v>
      </c>
      <c r="D21582" s="3" t="s">
        <v>221</v>
      </c>
      <c r="E21582" s="3" t="s">
        <v>1021</v>
      </c>
      <c r="F21582" s="7">
        <v>46161.80468030522</v>
      </c>
      <c r="G21582" s="3" t="s">
        <v>17401</v>
      </c>
    </row>
    <row r="21583">
      <c r="A21583" s="3" t="s">
        <v>37876</v>
      </c>
      <c r="B21583" s="3" t="s">
        <v>17891</v>
      </c>
      <c r="C21583" s="5" t="s">
        <v>221</v>
      </c>
      <c r="D21583" s="3" t="s">
        <v>614</v>
      </c>
      <c r="E21583" s="3" t="s">
        <v>118</v>
      </c>
      <c r="F21583" s="7">
        <v>46161.80815252744</v>
      </c>
      <c r="G21583" s="3" t="s">
        <v>17404</v>
      </c>
    </row>
    <row r="21584">
      <c r="A21584" s="3" t="s">
        <v>37877</v>
      </c>
      <c r="B21584" s="3" t="s">
        <v>17891</v>
      </c>
      <c r="C21584" s="5" t="s">
        <v>614</v>
      </c>
      <c r="D21584" s="3" t="s">
        <v>206</v>
      </c>
      <c r="E21584" s="3" t="s">
        <v>100</v>
      </c>
      <c r="F21584" s="7">
        <v>46161.811624749665</v>
      </c>
      <c r="G21584" s="3" t="s">
        <v>17407</v>
      </c>
    </row>
    <row r="21585">
      <c r="A21585" s="3" t="s">
        <v>37878</v>
      </c>
      <c r="B21585" s="3" t="s">
        <v>17891</v>
      </c>
      <c r="C21585" s="5" t="s">
        <v>206</v>
      </c>
      <c r="D21585" s="3" t="s">
        <v>68</v>
      </c>
      <c r="E21585" s="3" t="s">
        <v>100</v>
      </c>
      <c r="F21585" s="7">
        <v>46161.815096971884</v>
      </c>
      <c r="G21585" s="3" t="s">
        <v>17410</v>
      </c>
    </row>
    <row r="21586">
      <c r="A21586" s="3" t="s">
        <v>37879</v>
      </c>
      <c r="B21586" s="3" t="s">
        <v>17894</v>
      </c>
      <c r="C21586" s="5" t="s">
        <v>45</v>
      </c>
      <c r="D21586" s="3" t="s">
        <v>221</v>
      </c>
      <c r="E21586" s="3" t="s">
        <v>998</v>
      </c>
      <c r="F21586" s="7">
        <v>46161.87585515064</v>
      </c>
      <c r="G21586" s="3" t="s">
        <v>20453</v>
      </c>
    </row>
    <row r="21587">
      <c r="A21587" s="3" t="s">
        <v>37880</v>
      </c>
      <c r="B21587" s="3" t="s">
        <v>17894</v>
      </c>
      <c r="C21587" s="5" t="s">
        <v>221</v>
      </c>
      <c r="D21587" s="3" t="s">
        <v>181</v>
      </c>
      <c r="E21587" s="3" t="s">
        <v>118</v>
      </c>
      <c r="F21587" s="7">
        <v>46161.87932737286</v>
      </c>
      <c r="G21587" s="3" t="s">
        <v>37881</v>
      </c>
    </row>
    <row r="21588">
      <c r="A21588" s="3" t="s">
        <v>37882</v>
      </c>
      <c r="B21588" s="3" t="s">
        <v>17898</v>
      </c>
      <c r="C21588" s="5" t="s">
        <v>45</v>
      </c>
      <c r="D21588" s="3" t="s">
        <v>221</v>
      </c>
      <c r="E21588" s="3" t="s">
        <v>510</v>
      </c>
      <c r="F21588" s="7">
        <v>46161.947029996045</v>
      </c>
      <c r="G21588" s="3" t="s">
        <v>3371</v>
      </c>
    </row>
    <row r="21589">
      <c r="A21589" s="3" t="s">
        <v>37883</v>
      </c>
      <c r="B21589" s="3" t="s">
        <v>17898</v>
      </c>
      <c r="C21589" s="5" t="s">
        <v>221</v>
      </c>
      <c r="D21589" s="3" t="s">
        <v>614</v>
      </c>
      <c r="E21589" s="3" t="s">
        <v>118</v>
      </c>
      <c r="F21589" s="7">
        <v>46161.950502218264</v>
      </c>
      <c r="G21589" s="3" t="s">
        <v>3374</v>
      </c>
    </row>
    <row r="21590">
      <c r="A21590" s="3" t="s">
        <v>37884</v>
      </c>
      <c r="B21590" s="3" t="s">
        <v>17898</v>
      </c>
      <c r="C21590" s="5" t="s">
        <v>614</v>
      </c>
      <c r="D21590" s="3" t="s">
        <v>206</v>
      </c>
      <c r="E21590" s="3" t="s">
        <v>100</v>
      </c>
      <c r="F21590" s="7">
        <v>46161.95397444049</v>
      </c>
      <c r="G21590" s="3" t="s">
        <v>3377</v>
      </c>
    </row>
    <row r="21591">
      <c r="A21591" s="3" t="s">
        <v>37885</v>
      </c>
      <c r="B21591" s="3" t="s">
        <v>17898</v>
      </c>
      <c r="C21591" s="5" t="s">
        <v>206</v>
      </c>
      <c r="D21591" s="3" t="s">
        <v>68</v>
      </c>
      <c r="E21591" s="3" t="s">
        <v>100</v>
      </c>
      <c r="F21591" s="7">
        <v>46161.95744666271</v>
      </c>
      <c r="G21591" s="3" t="s">
        <v>3380</v>
      </c>
    </row>
    <row r="21592">
      <c r="A21592" s="3" t="s">
        <v>37886</v>
      </c>
      <c r="B21592" s="3" t="s">
        <v>17902</v>
      </c>
      <c r="C21592" s="5" t="s">
        <v>45</v>
      </c>
      <c r="D21592" s="3" t="s">
        <v>221</v>
      </c>
      <c r="E21592" s="3" t="s">
        <v>710</v>
      </c>
      <c r="F21592" s="7">
        <v>46162.018204841464</v>
      </c>
      <c r="G21592" s="3" t="s">
        <v>10623</v>
      </c>
    </row>
    <row r="21593">
      <c r="A21593" s="3" t="s">
        <v>37887</v>
      </c>
      <c r="B21593" s="3" t="s">
        <v>17902</v>
      </c>
      <c r="C21593" s="5" t="s">
        <v>221</v>
      </c>
      <c r="D21593" s="3" t="s">
        <v>614</v>
      </c>
      <c r="E21593" s="3" t="s">
        <v>118</v>
      </c>
      <c r="F21593" s="7">
        <v>46162.02167706368</v>
      </c>
      <c r="G21593" s="3" t="s">
        <v>10625</v>
      </c>
    </row>
    <row r="21594">
      <c r="A21594" s="3" t="s">
        <v>37888</v>
      </c>
      <c r="B21594" s="3" t="s">
        <v>17902</v>
      </c>
      <c r="C21594" s="5" t="s">
        <v>614</v>
      </c>
      <c r="D21594" s="3" t="s">
        <v>206</v>
      </c>
      <c r="E21594" s="3" t="s">
        <v>100</v>
      </c>
      <c r="F21594" s="7">
        <v>46162.02514928591</v>
      </c>
      <c r="G21594" s="3" t="s">
        <v>10628</v>
      </c>
    </row>
    <row r="21595">
      <c r="A21595" s="3" t="s">
        <v>37889</v>
      </c>
      <c r="B21595" s="3" t="s">
        <v>17902</v>
      </c>
      <c r="C21595" s="5" t="s">
        <v>206</v>
      </c>
      <c r="D21595" s="3" t="s">
        <v>68</v>
      </c>
      <c r="E21595" s="3" t="s">
        <v>100</v>
      </c>
      <c r="F21595" s="7">
        <v>46162.02862150813</v>
      </c>
      <c r="G21595" s="3" t="s">
        <v>10631</v>
      </c>
    </row>
    <row r="21596">
      <c r="A21596" s="3" t="s">
        <v>37890</v>
      </c>
      <c r="B21596" s="3" t="s">
        <v>17904</v>
      </c>
      <c r="C21596" s="5" t="s">
        <v>45</v>
      </c>
      <c r="D21596" s="3" t="s">
        <v>221</v>
      </c>
      <c r="E21596" s="3" t="s">
        <v>584</v>
      </c>
      <c r="F21596" s="7">
        <v>46162.089379686884</v>
      </c>
      <c r="G21596" s="3" t="s">
        <v>11745</v>
      </c>
    </row>
    <row r="21597">
      <c r="A21597" s="3" t="s">
        <v>37891</v>
      </c>
      <c r="B21597" s="3" t="s">
        <v>17904</v>
      </c>
      <c r="C21597" s="5" t="s">
        <v>221</v>
      </c>
      <c r="D21597" s="3" t="s">
        <v>614</v>
      </c>
      <c r="E21597" s="3" t="s">
        <v>118</v>
      </c>
      <c r="F21597" s="7">
        <v>46162.0928519091</v>
      </c>
      <c r="G21597" s="3" t="s">
        <v>11748</v>
      </c>
    </row>
    <row r="21598">
      <c r="A21598" s="3" t="s">
        <v>37892</v>
      </c>
      <c r="B21598" s="3" t="s">
        <v>17904</v>
      </c>
      <c r="C21598" s="5" t="s">
        <v>614</v>
      </c>
      <c r="D21598" s="3" t="s">
        <v>206</v>
      </c>
      <c r="E21598" s="3" t="s">
        <v>100</v>
      </c>
      <c r="F21598" s="7">
        <v>46162.09632413133</v>
      </c>
      <c r="G21598" s="3" t="s">
        <v>11751</v>
      </c>
    </row>
    <row r="21599">
      <c r="A21599" s="3" t="s">
        <v>37893</v>
      </c>
      <c r="B21599" s="3" t="s">
        <v>17904</v>
      </c>
      <c r="C21599" s="5" t="s">
        <v>206</v>
      </c>
      <c r="D21599" s="3" t="s">
        <v>68</v>
      </c>
      <c r="E21599" s="3" t="s">
        <v>100</v>
      </c>
      <c r="F21599" s="7">
        <v>46162.09979635355</v>
      </c>
      <c r="G21599" s="3" t="s">
        <v>11754</v>
      </c>
    </row>
    <row r="21600">
      <c r="A21600" s="3" t="s">
        <v>37894</v>
      </c>
      <c r="B21600" s="3" t="s">
        <v>17906</v>
      </c>
      <c r="C21600" s="5" t="s">
        <v>45</v>
      </c>
      <c r="D21600" s="3" t="s">
        <v>221</v>
      </c>
      <c r="E21600" s="3" t="s">
        <v>1011</v>
      </c>
      <c r="F21600" s="7">
        <v>46162.1605545323</v>
      </c>
      <c r="G21600" s="3" t="s">
        <v>33066</v>
      </c>
    </row>
    <row r="21601">
      <c r="A21601" s="3" t="s">
        <v>37895</v>
      </c>
      <c r="B21601" s="3" t="s">
        <v>17906</v>
      </c>
      <c r="C21601" s="5" t="s">
        <v>221</v>
      </c>
      <c r="D21601" s="3" t="s">
        <v>614</v>
      </c>
      <c r="E21601" s="3" t="s">
        <v>118</v>
      </c>
      <c r="F21601" s="7">
        <v>46162.164026754515</v>
      </c>
      <c r="G21601" s="3" t="s">
        <v>33068</v>
      </c>
    </row>
    <row r="21602">
      <c r="A21602" s="3" t="s">
        <v>37896</v>
      </c>
      <c r="B21602" s="3" t="s">
        <v>17906</v>
      </c>
      <c r="C21602" s="5" t="s">
        <v>614</v>
      </c>
      <c r="D21602" s="3" t="s">
        <v>206</v>
      </c>
      <c r="E21602" s="3" t="s">
        <v>100</v>
      </c>
      <c r="F21602" s="7">
        <v>46162.16749897674</v>
      </c>
      <c r="G21602" s="3" t="s">
        <v>33070</v>
      </c>
    </row>
    <row r="21603">
      <c r="A21603" s="3" t="s">
        <v>37897</v>
      </c>
      <c r="B21603" s="3" t="s">
        <v>17906</v>
      </c>
      <c r="C21603" s="5" t="s">
        <v>206</v>
      </c>
      <c r="D21603" s="3" t="s">
        <v>68</v>
      </c>
      <c r="E21603" s="3" t="s">
        <v>100</v>
      </c>
      <c r="F21603" s="7">
        <v>46162.17097119896</v>
      </c>
      <c r="G21603" s="3" t="s">
        <v>33072</v>
      </c>
    </row>
    <row r="21604">
      <c r="A21604" s="3" t="s">
        <v>37898</v>
      </c>
      <c r="B21604" s="3" t="s">
        <v>17908</v>
      </c>
      <c r="C21604" s="5" t="s">
        <v>45</v>
      </c>
      <c r="D21604" s="3" t="s">
        <v>221</v>
      </c>
      <c r="E21604" s="3" t="s">
        <v>763</v>
      </c>
      <c r="F21604" s="7">
        <v>46162.23172937771</v>
      </c>
      <c r="G21604" s="3" t="s">
        <v>3383</v>
      </c>
    </row>
    <row r="21605">
      <c r="A21605" s="3" t="s">
        <v>37899</v>
      </c>
      <c r="B21605" s="3" t="s">
        <v>17908</v>
      </c>
      <c r="C21605" s="5" t="s">
        <v>221</v>
      </c>
      <c r="D21605" s="3" t="s">
        <v>614</v>
      </c>
      <c r="E21605" s="3" t="s">
        <v>118</v>
      </c>
      <c r="F21605" s="7">
        <v>46162.23520159993</v>
      </c>
      <c r="G21605" s="3" t="s">
        <v>3386</v>
      </c>
    </row>
    <row r="21606">
      <c r="A21606" s="3" t="s">
        <v>37900</v>
      </c>
      <c r="B21606" s="3" t="s">
        <v>17908</v>
      </c>
      <c r="C21606" s="5" t="s">
        <v>614</v>
      </c>
      <c r="D21606" s="3" t="s">
        <v>206</v>
      </c>
      <c r="E21606" s="3" t="s">
        <v>100</v>
      </c>
      <c r="F21606" s="7">
        <v>46162.238673822154</v>
      </c>
      <c r="G21606" s="3" t="s">
        <v>3389</v>
      </c>
    </row>
    <row r="21607">
      <c r="A21607" s="3" t="s">
        <v>37901</v>
      </c>
      <c r="B21607" s="3" t="s">
        <v>17908</v>
      </c>
      <c r="C21607" s="5" t="s">
        <v>206</v>
      </c>
      <c r="D21607" s="3" t="s">
        <v>68</v>
      </c>
      <c r="E21607" s="3" t="s">
        <v>100</v>
      </c>
      <c r="F21607" s="7">
        <v>46162.24214604437</v>
      </c>
      <c r="G21607" s="3" t="s">
        <v>3392</v>
      </c>
    </row>
    <row r="21608">
      <c r="A21608" s="3" t="s">
        <v>37902</v>
      </c>
      <c r="B21608" s="3" t="s">
        <v>17910</v>
      </c>
      <c r="C21608" s="5" t="s">
        <v>45</v>
      </c>
      <c r="D21608" s="3" t="s">
        <v>221</v>
      </c>
      <c r="E21608" s="3" t="s">
        <v>524</v>
      </c>
      <c r="F21608" s="7">
        <v>46162.30290422313</v>
      </c>
      <c r="G21608" s="3" t="s">
        <v>17503</v>
      </c>
    </row>
    <row r="21609">
      <c r="A21609" s="3" t="s">
        <v>37903</v>
      </c>
      <c r="B21609" s="3" t="s">
        <v>17910</v>
      </c>
      <c r="C21609" s="5" t="s">
        <v>221</v>
      </c>
      <c r="D21609" s="3" t="s">
        <v>614</v>
      </c>
      <c r="E21609" s="3" t="s">
        <v>118</v>
      </c>
      <c r="F21609" s="7">
        <v>46162.30637644535</v>
      </c>
      <c r="G21609" s="3" t="s">
        <v>17506</v>
      </c>
    </row>
    <row r="21610">
      <c r="A21610" s="3" t="s">
        <v>37904</v>
      </c>
      <c r="B21610" s="3" t="s">
        <v>17910</v>
      </c>
      <c r="C21610" s="5" t="s">
        <v>614</v>
      </c>
      <c r="D21610" s="3" t="s">
        <v>206</v>
      </c>
      <c r="E21610" s="3" t="s">
        <v>100</v>
      </c>
      <c r="F21610" s="7">
        <v>46162.30984866757</v>
      </c>
      <c r="G21610" s="3" t="s">
        <v>17509</v>
      </c>
    </row>
    <row r="21611">
      <c r="A21611" s="3" t="s">
        <v>37905</v>
      </c>
      <c r="B21611" s="3" t="s">
        <v>17910</v>
      </c>
      <c r="C21611" s="5" t="s">
        <v>206</v>
      </c>
      <c r="D21611" s="3" t="s">
        <v>68</v>
      </c>
      <c r="E21611" s="3" t="s">
        <v>100</v>
      </c>
      <c r="F21611" s="7">
        <v>46162.31332088979</v>
      </c>
      <c r="G21611" s="3" t="s">
        <v>17511</v>
      </c>
    </row>
    <row r="21612">
      <c r="A21612" s="3" t="s">
        <v>37906</v>
      </c>
      <c r="B21612" s="3" t="s">
        <v>17913</v>
      </c>
      <c r="C21612" s="5" t="s">
        <v>45</v>
      </c>
      <c r="D21612" s="3" t="s">
        <v>221</v>
      </c>
      <c r="E21612" s="3" t="s">
        <v>969</v>
      </c>
      <c r="F21612" s="7">
        <v>46162.37407906854</v>
      </c>
      <c r="G21612" s="3" t="s">
        <v>29444</v>
      </c>
    </row>
    <row r="21613">
      <c r="A21613" s="3" t="s">
        <v>37907</v>
      </c>
      <c r="B21613" s="3" t="s">
        <v>17913</v>
      </c>
      <c r="C21613" s="5" t="s">
        <v>221</v>
      </c>
      <c r="D21613" s="3" t="s">
        <v>614</v>
      </c>
      <c r="E21613" s="3" t="s">
        <v>118</v>
      </c>
      <c r="F21613" s="7">
        <v>46162.37755129076</v>
      </c>
      <c r="G21613" s="3" t="s">
        <v>36641</v>
      </c>
    </row>
    <row r="21614">
      <c r="A21614" s="3" t="s">
        <v>37908</v>
      </c>
      <c r="B21614" s="3" t="s">
        <v>17913</v>
      </c>
      <c r="C21614" s="5" t="s">
        <v>614</v>
      </c>
      <c r="D21614" s="3" t="s">
        <v>206</v>
      </c>
      <c r="E21614" s="3" t="s">
        <v>100</v>
      </c>
      <c r="F21614" s="7">
        <v>46162.381023512986</v>
      </c>
      <c r="G21614" s="3" t="s">
        <v>36643</v>
      </c>
    </row>
    <row r="21615">
      <c r="A21615" s="3" t="s">
        <v>37909</v>
      </c>
      <c r="B21615" s="3" t="s">
        <v>17913</v>
      </c>
      <c r="C21615" s="5" t="s">
        <v>206</v>
      </c>
      <c r="D21615" s="3" t="s">
        <v>68</v>
      </c>
      <c r="E21615" s="3" t="s">
        <v>100</v>
      </c>
      <c r="F21615" s="7">
        <v>46162.384495735205</v>
      </c>
      <c r="G21615" s="3" t="s">
        <v>36645</v>
      </c>
    </row>
    <row r="21616">
      <c r="A21616" s="3" t="s">
        <v>37910</v>
      </c>
      <c r="B21616" s="3" t="s">
        <v>17916</v>
      </c>
      <c r="C21616" s="5" t="s">
        <v>45</v>
      </c>
      <c r="D21616" s="3" t="s">
        <v>221</v>
      </c>
      <c r="E21616" s="3" t="s">
        <v>208</v>
      </c>
      <c r="F21616" s="7">
        <v>46162.44525391395</v>
      </c>
      <c r="G21616" s="3" t="s">
        <v>19961</v>
      </c>
    </row>
    <row r="21617">
      <c r="A21617" s="3" t="s">
        <v>37911</v>
      </c>
      <c r="B21617" s="3" t="s">
        <v>17916</v>
      </c>
      <c r="C21617" s="5" t="s">
        <v>221</v>
      </c>
      <c r="D21617" s="3" t="s">
        <v>181</v>
      </c>
      <c r="E21617" s="3" t="s">
        <v>118</v>
      </c>
      <c r="F21617" s="7">
        <v>46162.44872613617</v>
      </c>
      <c r="G21617" s="3" t="s">
        <v>37912</v>
      </c>
    </row>
    <row r="21618">
      <c r="A21618" s="3" t="s">
        <v>37913</v>
      </c>
      <c r="B21618" s="3" t="s">
        <v>17919</v>
      </c>
      <c r="C21618" s="5" t="s">
        <v>45</v>
      </c>
      <c r="D21618" s="3" t="s">
        <v>221</v>
      </c>
      <c r="E21618" s="3" t="s">
        <v>440</v>
      </c>
      <c r="F21618" s="7">
        <v>46162.51642875937</v>
      </c>
      <c r="G21618" s="3" t="s">
        <v>17843</v>
      </c>
    </row>
    <row r="21619">
      <c r="A21619" s="3" t="s">
        <v>37914</v>
      </c>
      <c r="B21619" s="3" t="s">
        <v>17919</v>
      </c>
      <c r="C21619" s="5" t="s">
        <v>221</v>
      </c>
      <c r="D21619" s="3" t="s">
        <v>614</v>
      </c>
      <c r="E21619" s="3" t="s">
        <v>118</v>
      </c>
      <c r="F21619" s="7">
        <v>46162.51990098159</v>
      </c>
      <c r="G21619" s="3" t="s">
        <v>17846</v>
      </c>
    </row>
    <row r="21620">
      <c r="A21620" s="3" t="s">
        <v>37915</v>
      </c>
      <c r="B21620" s="3" t="s">
        <v>17919</v>
      </c>
      <c r="C21620" s="5" t="s">
        <v>614</v>
      </c>
      <c r="D21620" s="3" t="s">
        <v>206</v>
      </c>
      <c r="E21620" s="3" t="s">
        <v>100</v>
      </c>
      <c r="F21620" s="7">
        <v>46162.52337320382</v>
      </c>
      <c r="G21620" s="3" t="s">
        <v>17849</v>
      </c>
    </row>
    <row r="21621">
      <c r="A21621" s="3" t="s">
        <v>37916</v>
      </c>
      <c r="B21621" s="3" t="s">
        <v>17919</v>
      </c>
      <c r="C21621" s="5" t="s">
        <v>206</v>
      </c>
      <c r="D21621" s="3" t="s">
        <v>68</v>
      </c>
      <c r="E21621" s="3" t="s">
        <v>100</v>
      </c>
      <c r="F21621" s="7">
        <v>46162.52684542604</v>
      </c>
      <c r="G21621" s="3" t="s">
        <v>17851</v>
      </c>
    </row>
    <row r="21622">
      <c r="A21622" s="3" t="s">
        <v>37917</v>
      </c>
      <c r="B21622" s="3" t="s">
        <v>17922</v>
      </c>
      <c r="C21622" s="5" t="s">
        <v>45</v>
      </c>
      <c r="D21622" s="3" t="s">
        <v>221</v>
      </c>
      <c r="E21622" s="3" t="s">
        <v>593</v>
      </c>
      <c r="F21622" s="7">
        <v>46162.58760360479</v>
      </c>
      <c r="G21622" s="3" t="s">
        <v>15595</v>
      </c>
    </row>
    <row r="21623">
      <c r="A21623" s="3" t="s">
        <v>37918</v>
      </c>
      <c r="B21623" s="3" t="s">
        <v>17922</v>
      </c>
      <c r="C21623" s="5" t="s">
        <v>221</v>
      </c>
      <c r="D21623" s="3" t="s">
        <v>614</v>
      </c>
      <c r="E21623" s="3" t="s">
        <v>118</v>
      </c>
      <c r="F21623" s="7">
        <v>46162.59107582701</v>
      </c>
      <c r="G21623" s="3" t="s">
        <v>15598</v>
      </c>
    </row>
    <row r="21624">
      <c r="A21624" s="3" t="s">
        <v>37919</v>
      </c>
      <c r="B21624" s="3" t="s">
        <v>17922</v>
      </c>
      <c r="C21624" s="5" t="s">
        <v>614</v>
      </c>
      <c r="D21624" s="3" t="s">
        <v>206</v>
      </c>
      <c r="E21624" s="3" t="s">
        <v>100</v>
      </c>
      <c r="F21624" s="7">
        <v>46162.59454804924</v>
      </c>
      <c r="G21624" s="3" t="s">
        <v>15600</v>
      </c>
    </row>
    <row r="21625">
      <c r="A21625" s="3" t="s">
        <v>37920</v>
      </c>
      <c r="B21625" s="3" t="s">
        <v>17922</v>
      </c>
      <c r="C21625" s="5" t="s">
        <v>206</v>
      </c>
      <c r="D21625" s="3" t="s">
        <v>68</v>
      </c>
      <c r="E21625" s="3" t="s">
        <v>100</v>
      </c>
      <c r="F21625" s="7">
        <v>46162.598020271456</v>
      </c>
      <c r="G21625" s="3" t="s">
        <v>15603</v>
      </c>
    </row>
    <row r="21626">
      <c r="A21626" s="3" t="s">
        <v>37921</v>
      </c>
      <c r="B21626" s="3" t="s">
        <v>17925</v>
      </c>
      <c r="C21626" s="5" t="s">
        <v>45</v>
      </c>
      <c r="D21626" s="3" t="s">
        <v>221</v>
      </c>
      <c r="E21626" s="3" t="s">
        <v>640</v>
      </c>
      <c r="F21626" s="7">
        <v>46162.6587784502</v>
      </c>
      <c r="G21626" s="3" t="s">
        <v>11214</v>
      </c>
    </row>
    <row r="21627">
      <c r="A21627" s="3" t="s">
        <v>37922</v>
      </c>
      <c r="B21627" s="3" t="s">
        <v>17925</v>
      </c>
      <c r="C21627" s="5" t="s">
        <v>221</v>
      </c>
      <c r="D21627" s="3" t="s">
        <v>195</v>
      </c>
      <c r="E21627" s="3" t="s">
        <v>640</v>
      </c>
      <c r="F21627" s="7">
        <v>46162.662250672416</v>
      </c>
      <c r="G21627" s="3" t="s">
        <v>37923</v>
      </c>
    </row>
    <row r="21628">
      <c r="A21628" s="3" t="s">
        <v>37924</v>
      </c>
      <c r="B21628" s="3" t="s">
        <v>17928</v>
      </c>
      <c r="C21628" s="5" t="s">
        <v>45</v>
      </c>
      <c r="D21628" s="3" t="s">
        <v>221</v>
      </c>
      <c r="E21628" s="3" t="s">
        <v>319</v>
      </c>
      <c r="F21628" s="7">
        <v>46162.72995329562</v>
      </c>
      <c r="G21628" s="3" t="s">
        <v>30145</v>
      </c>
    </row>
    <row r="21629">
      <c r="A21629" s="3" t="s">
        <v>37925</v>
      </c>
      <c r="B21629" s="3" t="s">
        <v>17928</v>
      </c>
      <c r="C21629" s="5" t="s">
        <v>221</v>
      </c>
      <c r="D21629" s="3" t="s">
        <v>614</v>
      </c>
      <c r="E21629" s="3" t="s">
        <v>118</v>
      </c>
      <c r="F21629" s="7">
        <v>46162.733425517836</v>
      </c>
      <c r="G21629" s="3" t="s">
        <v>30147</v>
      </c>
    </row>
    <row r="21630">
      <c r="A21630" s="3" t="s">
        <v>37926</v>
      </c>
      <c r="B21630" s="3" t="s">
        <v>17928</v>
      </c>
      <c r="C21630" s="5" t="s">
        <v>614</v>
      </c>
      <c r="D21630" s="3" t="s">
        <v>206</v>
      </c>
      <c r="E21630" s="3" t="s">
        <v>100</v>
      </c>
      <c r="F21630" s="7">
        <v>46162.73689774006</v>
      </c>
      <c r="G21630" s="3" t="s">
        <v>30149</v>
      </c>
    </row>
    <row r="21631">
      <c r="A21631" s="3" t="s">
        <v>37927</v>
      </c>
      <c r="B21631" s="3" t="s">
        <v>17928</v>
      </c>
      <c r="C21631" s="5" t="s">
        <v>206</v>
      </c>
      <c r="D21631" s="3" t="s">
        <v>68</v>
      </c>
      <c r="E21631" s="3" t="s">
        <v>100</v>
      </c>
      <c r="F21631" s="7">
        <v>46162.74036996228</v>
      </c>
      <c r="G21631" s="3" t="s">
        <v>30151</v>
      </c>
    </row>
    <row r="21632">
      <c r="A21632" s="3" t="s">
        <v>37928</v>
      </c>
      <c r="B21632" s="3" t="s">
        <v>17931</v>
      </c>
      <c r="C21632" s="5" t="s">
        <v>45</v>
      </c>
      <c r="D21632" s="3" t="s">
        <v>221</v>
      </c>
      <c r="E21632" s="3" t="s">
        <v>230</v>
      </c>
      <c r="F21632" s="7">
        <v>46162.80112814103</v>
      </c>
      <c r="G21632" s="3" t="s">
        <v>28782</v>
      </c>
    </row>
    <row r="21633">
      <c r="A21633" s="3" t="s">
        <v>37929</v>
      </c>
      <c r="B21633" s="3" t="s">
        <v>17931</v>
      </c>
      <c r="C21633" s="5" t="s">
        <v>221</v>
      </c>
      <c r="D21633" s="3" t="s">
        <v>614</v>
      </c>
      <c r="E21633" s="3" t="s">
        <v>118</v>
      </c>
      <c r="F21633" s="7">
        <v>46162.80460036325</v>
      </c>
      <c r="G21633" s="3" t="s">
        <v>28784</v>
      </c>
    </row>
    <row r="21634">
      <c r="A21634" s="3" t="s">
        <v>37930</v>
      </c>
      <c r="B21634" s="3" t="s">
        <v>17931</v>
      </c>
      <c r="C21634" s="5" t="s">
        <v>614</v>
      </c>
      <c r="D21634" s="3" t="s">
        <v>206</v>
      </c>
      <c r="E21634" s="3" t="s">
        <v>100</v>
      </c>
      <c r="F21634" s="7">
        <v>46162.808072585474</v>
      </c>
      <c r="G21634" s="3" t="s">
        <v>28786</v>
      </c>
    </row>
    <row r="21635">
      <c r="A21635" s="3" t="s">
        <v>37931</v>
      </c>
      <c r="B21635" s="3" t="s">
        <v>17931</v>
      </c>
      <c r="C21635" s="5" t="s">
        <v>206</v>
      </c>
      <c r="D21635" s="3" t="s">
        <v>68</v>
      </c>
      <c r="E21635" s="3" t="s">
        <v>100</v>
      </c>
      <c r="F21635" s="7">
        <v>46162.81154480769</v>
      </c>
      <c r="G21635" s="3" t="s">
        <v>28788</v>
      </c>
    </row>
    <row r="21636">
      <c r="A21636" s="3" t="s">
        <v>37932</v>
      </c>
      <c r="B21636" s="3" t="s">
        <v>17934</v>
      </c>
      <c r="C21636" s="5" t="s">
        <v>45</v>
      </c>
      <c r="D21636" s="3" t="s">
        <v>221</v>
      </c>
      <c r="E21636" s="3" t="s">
        <v>631</v>
      </c>
      <c r="F21636" s="7">
        <v>46162.87230298645</v>
      </c>
      <c r="G21636" s="3" t="s">
        <v>3407</v>
      </c>
    </row>
    <row r="21637">
      <c r="A21637" s="3" t="s">
        <v>37933</v>
      </c>
      <c r="B21637" s="3" t="s">
        <v>17934</v>
      </c>
      <c r="C21637" s="5" t="s">
        <v>221</v>
      </c>
      <c r="D21637" s="3" t="s">
        <v>614</v>
      </c>
      <c r="E21637" s="3" t="s">
        <v>118</v>
      </c>
      <c r="F21637" s="7">
        <v>46162.87577520867</v>
      </c>
      <c r="G21637" s="3" t="s">
        <v>3410</v>
      </c>
    </row>
    <row r="21638">
      <c r="A21638" s="3" t="s">
        <v>37934</v>
      </c>
      <c r="B21638" s="3" t="s">
        <v>17934</v>
      </c>
      <c r="C21638" s="5" t="s">
        <v>614</v>
      </c>
      <c r="D21638" s="3" t="s">
        <v>206</v>
      </c>
      <c r="E21638" s="3" t="s">
        <v>100</v>
      </c>
      <c r="F21638" s="7">
        <v>46162.879247430894</v>
      </c>
      <c r="G21638" s="3" t="s">
        <v>3413</v>
      </c>
    </row>
    <row r="21639">
      <c r="A21639" s="3" t="s">
        <v>37935</v>
      </c>
      <c r="B21639" s="3" t="s">
        <v>17934</v>
      </c>
      <c r="C21639" s="5" t="s">
        <v>206</v>
      </c>
      <c r="D21639" s="3" t="s">
        <v>68</v>
      </c>
      <c r="E21639" s="3" t="s">
        <v>100</v>
      </c>
      <c r="F21639" s="7">
        <v>46162.88271965311</v>
      </c>
      <c r="G21639" s="3" t="s">
        <v>3416</v>
      </c>
    </row>
    <row r="21640">
      <c r="A21640" s="3" t="s">
        <v>37936</v>
      </c>
      <c r="B21640" s="3" t="s">
        <v>17937</v>
      </c>
      <c r="C21640" s="5" t="s">
        <v>45</v>
      </c>
      <c r="D21640" s="3" t="s">
        <v>221</v>
      </c>
      <c r="E21640" s="3" t="s">
        <v>805</v>
      </c>
      <c r="F21640" s="7">
        <v>46162.94347783186</v>
      </c>
      <c r="G21640" s="3" t="s">
        <v>30273</v>
      </c>
    </row>
    <row r="21641">
      <c r="A21641" s="3" t="s">
        <v>37937</v>
      </c>
      <c r="B21641" s="3" t="s">
        <v>17937</v>
      </c>
      <c r="C21641" s="5" t="s">
        <v>221</v>
      </c>
      <c r="D21641" s="3" t="s">
        <v>195</v>
      </c>
      <c r="E21641" s="3" t="s">
        <v>805</v>
      </c>
      <c r="F21641" s="7">
        <v>46162.94695005408</v>
      </c>
      <c r="G21641" s="3" t="s">
        <v>37938</v>
      </c>
    </row>
    <row r="21642">
      <c r="A21642" s="3" t="s">
        <v>37939</v>
      </c>
      <c r="B21642" s="3" t="s">
        <v>17941</v>
      </c>
      <c r="C21642" s="5" t="s">
        <v>45</v>
      </c>
      <c r="D21642" s="3" t="s">
        <v>221</v>
      </c>
      <c r="E21642" s="3" t="s">
        <v>515</v>
      </c>
      <c r="F21642" s="7">
        <v>46163.01465267728</v>
      </c>
      <c r="G21642" s="3" t="s">
        <v>16986</v>
      </c>
    </row>
    <row r="21643">
      <c r="A21643" s="3" t="s">
        <v>37940</v>
      </c>
      <c r="B21643" s="3" t="s">
        <v>17941</v>
      </c>
      <c r="C21643" s="5" t="s">
        <v>221</v>
      </c>
      <c r="D21643" s="3" t="s">
        <v>614</v>
      </c>
      <c r="E21643" s="3" t="s">
        <v>118</v>
      </c>
      <c r="F21643" s="7">
        <v>46163.0181248995</v>
      </c>
      <c r="G21643" s="3" t="s">
        <v>16988</v>
      </c>
    </row>
    <row r="21644">
      <c r="A21644" s="3" t="s">
        <v>37941</v>
      </c>
      <c r="B21644" s="3" t="s">
        <v>17941</v>
      </c>
      <c r="C21644" s="5" t="s">
        <v>614</v>
      </c>
      <c r="D21644" s="3" t="s">
        <v>206</v>
      </c>
      <c r="E21644" s="3" t="s">
        <v>100</v>
      </c>
      <c r="F21644" s="7">
        <v>46163.021597121726</v>
      </c>
      <c r="G21644" s="3" t="s">
        <v>16991</v>
      </c>
    </row>
    <row r="21645">
      <c r="A21645" s="3" t="s">
        <v>37942</v>
      </c>
      <c r="B21645" s="3" t="s">
        <v>17941</v>
      </c>
      <c r="C21645" s="5" t="s">
        <v>206</v>
      </c>
      <c r="D21645" s="3" t="s">
        <v>68</v>
      </c>
      <c r="E21645" s="3" t="s">
        <v>100</v>
      </c>
      <c r="F21645" s="7">
        <v>46163.025069343945</v>
      </c>
      <c r="G21645" s="3" t="s">
        <v>16994</v>
      </c>
    </row>
    <row r="21646">
      <c r="A21646" s="3" t="s">
        <v>37943</v>
      </c>
      <c r="B21646" s="3" t="s">
        <v>17945</v>
      </c>
      <c r="C21646" s="5" t="s">
        <v>45</v>
      </c>
      <c r="D21646" s="3" t="s">
        <v>221</v>
      </c>
      <c r="E21646" s="3" t="s">
        <v>460</v>
      </c>
      <c r="F21646" s="7">
        <v>46163.085827522686</v>
      </c>
      <c r="G21646" s="3" t="s">
        <v>19991</v>
      </c>
    </row>
    <row r="21647">
      <c r="A21647" s="3" t="s">
        <v>37944</v>
      </c>
      <c r="B21647" s="3" t="s">
        <v>17945</v>
      </c>
      <c r="C21647" s="5" t="s">
        <v>221</v>
      </c>
      <c r="D21647" s="3" t="s">
        <v>614</v>
      </c>
      <c r="E21647" s="3" t="s">
        <v>118</v>
      </c>
      <c r="F21647" s="7">
        <v>46163.089299744905</v>
      </c>
      <c r="G21647" s="3" t="s">
        <v>19994</v>
      </c>
    </row>
    <row r="21648">
      <c r="A21648" s="3" t="s">
        <v>37945</v>
      </c>
      <c r="B21648" s="3" t="s">
        <v>17945</v>
      </c>
      <c r="C21648" s="5" t="s">
        <v>614</v>
      </c>
      <c r="D21648" s="3" t="s">
        <v>206</v>
      </c>
      <c r="E21648" s="3" t="s">
        <v>100</v>
      </c>
      <c r="F21648" s="7">
        <v>46163.09277196713</v>
      </c>
      <c r="G21648" s="3" t="s">
        <v>19997</v>
      </c>
    </row>
    <row r="21649">
      <c r="A21649" s="3" t="s">
        <v>37946</v>
      </c>
      <c r="B21649" s="3" t="s">
        <v>17945</v>
      </c>
      <c r="C21649" s="5" t="s">
        <v>206</v>
      </c>
      <c r="D21649" s="3" t="s">
        <v>68</v>
      </c>
      <c r="E21649" s="3" t="s">
        <v>100</v>
      </c>
      <c r="F21649" s="7">
        <v>46163.09624418935</v>
      </c>
      <c r="G21649" s="3" t="s">
        <v>20000</v>
      </c>
    </row>
    <row r="21650">
      <c r="A21650" s="3" t="s">
        <v>37947</v>
      </c>
      <c r="B21650" s="3" t="s">
        <v>17946</v>
      </c>
      <c r="C21650" s="5" t="s">
        <v>45</v>
      </c>
      <c r="D21650" s="3" t="s">
        <v>221</v>
      </c>
      <c r="E21650" s="3" t="s">
        <v>316</v>
      </c>
      <c r="F21650" s="7">
        <v>46163.157002368105</v>
      </c>
      <c r="G21650" s="3" t="s">
        <v>13595</v>
      </c>
    </row>
    <row r="21651">
      <c r="A21651" s="3" t="s">
        <v>37948</v>
      </c>
      <c r="B21651" s="3" t="s">
        <v>17946</v>
      </c>
      <c r="C21651" s="5" t="s">
        <v>221</v>
      </c>
      <c r="D21651" s="3" t="s">
        <v>181</v>
      </c>
      <c r="E21651" s="3" t="s">
        <v>118</v>
      </c>
      <c r="F21651" s="7">
        <v>46163.160474590324</v>
      </c>
      <c r="G21651" s="3" t="s">
        <v>37949</v>
      </c>
    </row>
    <row r="21652">
      <c r="A21652" s="3" t="s">
        <v>37950</v>
      </c>
      <c r="B21652" s="3" t="s">
        <v>17949</v>
      </c>
      <c r="C21652" s="5" t="s">
        <v>45</v>
      </c>
      <c r="D21652" s="3" t="s">
        <v>221</v>
      </c>
      <c r="E21652" s="3" t="s">
        <v>356</v>
      </c>
      <c r="F21652" s="7">
        <v>46163.228177213525</v>
      </c>
      <c r="G21652" s="3" t="s">
        <v>15126</v>
      </c>
    </row>
    <row r="21653">
      <c r="A21653" s="3" t="s">
        <v>37951</v>
      </c>
      <c r="B21653" s="3" t="s">
        <v>17949</v>
      </c>
      <c r="C21653" s="5" t="s">
        <v>221</v>
      </c>
      <c r="D21653" s="3" t="s">
        <v>614</v>
      </c>
      <c r="E21653" s="3" t="s">
        <v>118</v>
      </c>
      <c r="F21653" s="7">
        <v>46163.231649435744</v>
      </c>
      <c r="G21653" s="3" t="s">
        <v>15129</v>
      </c>
    </row>
    <row r="21654">
      <c r="A21654" s="3" t="s">
        <v>37952</v>
      </c>
      <c r="B21654" s="3" t="s">
        <v>17949</v>
      </c>
      <c r="C21654" s="5" t="s">
        <v>614</v>
      </c>
      <c r="D21654" s="3" t="s">
        <v>206</v>
      </c>
      <c r="E21654" s="3" t="s">
        <v>100</v>
      </c>
      <c r="F21654" s="7">
        <v>46163.23512165797</v>
      </c>
      <c r="G21654" s="3" t="s">
        <v>15131</v>
      </c>
    </row>
    <row r="21655">
      <c r="A21655" s="3" t="s">
        <v>37953</v>
      </c>
      <c r="B21655" s="3" t="s">
        <v>17949</v>
      </c>
      <c r="C21655" s="5" t="s">
        <v>206</v>
      </c>
      <c r="D21655" s="3" t="s">
        <v>68</v>
      </c>
      <c r="E21655" s="3" t="s">
        <v>100</v>
      </c>
      <c r="F21655" s="7">
        <v>46163.23859388019</v>
      </c>
      <c r="G21655" s="3" t="s">
        <v>15134</v>
      </c>
    </row>
    <row r="21656">
      <c r="A21656" s="3" t="s">
        <v>37954</v>
      </c>
      <c r="B21656" s="3" t="s">
        <v>17953</v>
      </c>
      <c r="C21656" s="5" t="s">
        <v>45</v>
      </c>
      <c r="D21656" s="3" t="s">
        <v>221</v>
      </c>
      <c r="E21656" s="3" t="s">
        <v>778</v>
      </c>
      <c r="F21656" s="7">
        <v>46163.29935205894</v>
      </c>
      <c r="G21656" s="3" t="s">
        <v>26464</v>
      </c>
    </row>
    <row r="21657">
      <c r="A21657" s="3" t="s">
        <v>37955</v>
      </c>
      <c r="B21657" s="3" t="s">
        <v>17953</v>
      </c>
      <c r="C21657" s="5" t="s">
        <v>221</v>
      </c>
      <c r="D21657" s="3" t="s">
        <v>614</v>
      </c>
      <c r="E21657" s="3" t="s">
        <v>118</v>
      </c>
      <c r="F21657" s="7">
        <v>46163.302824281156</v>
      </c>
      <c r="G21657" s="3" t="s">
        <v>26466</v>
      </c>
    </row>
    <row r="21658">
      <c r="A21658" s="3" t="s">
        <v>37956</v>
      </c>
      <c r="B21658" s="3" t="s">
        <v>17953</v>
      </c>
      <c r="C21658" s="5" t="s">
        <v>614</v>
      </c>
      <c r="D21658" s="3" t="s">
        <v>206</v>
      </c>
      <c r="E21658" s="3" t="s">
        <v>100</v>
      </c>
      <c r="F21658" s="7">
        <v>46163.30629650338</v>
      </c>
      <c r="G21658" s="3" t="s">
        <v>26468</v>
      </c>
    </row>
    <row r="21659">
      <c r="A21659" s="3" t="s">
        <v>37957</v>
      </c>
      <c r="B21659" s="3" t="s">
        <v>17953</v>
      </c>
      <c r="C21659" s="5" t="s">
        <v>206</v>
      </c>
      <c r="D21659" s="3" t="s">
        <v>68</v>
      </c>
      <c r="E21659" s="3" t="s">
        <v>100</v>
      </c>
      <c r="F21659" s="7">
        <v>46163.3097687256</v>
      </c>
      <c r="G21659" s="3" t="s">
        <v>26470</v>
      </c>
    </row>
    <row r="21660">
      <c r="A21660" s="3" t="s">
        <v>37958</v>
      </c>
      <c r="B21660" s="3" t="s">
        <v>17957</v>
      </c>
      <c r="C21660" s="5" t="s">
        <v>45</v>
      </c>
      <c r="D21660" s="3" t="s">
        <v>221</v>
      </c>
      <c r="E21660" s="3" t="s">
        <v>333</v>
      </c>
      <c r="F21660" s="7">
        <v>46163.37052690435</v>
      </c>
      <c r="G21660" s="3" t="s">
        <v>3807</v>
      </c>
    </row>
    <row r="21661">
      <c r="A21661" s="3" t="s">
        <v>37959</v>
      </c>
      <c r="B21661" s="3" t="s">
        <v>17957</v>
      </c>
      <c r="C21661" s="5" t="s">
        <v>221</v>
      </c>
      <c r="D21661" s="3" t="s">
        <v>614</v>
      </c>
      <c r="E21661" s="3" t="s">
        <v>118</v>
      </c>
      <c r="F21661" s="7">
        <v>46163.37399912657</v>
      </c>
      <c r="G21661" s="3" t="s">
        <v>3810</v>
      </c>
    </row>
    <row r="21662">
      <c r="A21662" s="3" t="s">
        <v>37960</v>
      </c>
      <c r="B21662" s="3" t="s">
        <v>17957</v>
      </c>
      <c r="C21662" s="5" t="s">
        <v>614</v>
      </c>
      <c r="D21662" s="3" t="s">
        <v>206</v>
      </c>
      <c r="E21662" s="3" t="s">
        <v>100</v>
      </c>
      <c r="F21662" s="7">
        <v>46163.377471348795</v>
      </c>
      <c r="G21662" s="3" t="s">
        <v>3812</v>
      </c>
    </row>
    <row r="21663">
      <c r="A21663" s="3" t="s">
        <v>37961</v>
      </c>
      <c r="B21663" s="3" t="s">
        <v>17957</v>
      </c>
      <c r="C21663" s="5" t="s">
        <v>206</v>
      </c>
      <c r="D21663" s="3" t="s">
        <v>68</v>
      </c>
      <c r="E21663" s="3" t="s">
        <v>100</v>
      </c>
      <c r="F21663" s="7">
        <v>46163.38094357101</v>
      </c>
      <c r="G21663" s="3" t="s">
        <v>3815</v>
      </c>
    </row>
    <row r="21664">
      <c r="A21664" s="3" t="s">
        <v>37962</v>
      </c>
      <c r="B21664" s="3" t="s">
        <v>17960</v>
      </c>
      <c r="C21664" s="5" t="s">
        <v>45</v>
      </c>
      <c r="D21664" s="3" t="s">
        <v>221</v>
      </c>
      <c r="E21664" s="3" t="s">
        <v>263</v>
      </c>
      <c r="F21664" s="7">
        <v>46163.44170174977</v>
      </c>
      <c r="G21664" s="3" t="s">
        <v>4287</v>
      </c>
    </row>
    <row r="21665">
      <c r="A21665" s="3" t="s">
        <v>37963</v>
      </c>
      <c r="B21665" s="3" t="s">
        <v>17960</v>
      </c>
      <c r="C21665" s="5" t="s">
        <v>221</v>
      </c>
      <c r="D21665" s="3" t="s">
        <v>614</v>
      </c>
      <c r="E21665" s="3" t="s">
        <v>118</v>
      </c>
      <c r="F21665" s="7">
        <v>46163.44517397199</v>
      </c>
      <c r="G21665" s="3" t="s">
        <v>4290</v>
      </c>
    </row>
    <row r="21666">
      <c r="A21666" s="3" t="s">
        <v>37964</v>
      </c>
      <c r="B21666" s="3" t="s">
        <v>17960</v>
      </c>
      <c r="C21666" s="5" t="s">
        <v>614</v>
      </c>
      <c r="D21666" s="3" t="s">
        <v>206</v>
      </c>
      <c r="E21666" s="3" t="s">
        <v>100</v>
      </c>
      <c r="F21666" s="7">
        <v>46163.448646194214</v>
      </c>
      <c r="G21666" s="3" t="s">
        <v>4293</v>
      </c>
    </row>
    <row r="21667">
      <c r="A21667" s="3" t="s">
        <v>37965</v>
      </c>
      <c r="B21667" s="3" t="s">
        <v>17960</v>
      </c>
      <c r="C21667" s="5" t="s">
        <v>206</v>
      </c>
      <c r="D21667" s="3" t="s">
        <v>68</v>
      </c>
      <c r="E21667" s="3" t="s">
        <v>100</v>
      </c>
      <c r="F21667" s="7">
        <v>46163.45211841643</v>
      </c>
      <c r="G21667" s="3" t="s">
        <v>4296</v>
      </c>
    </row>
    <row r="21668">
      <c r="A21668" s="3" t="s">
        <v>37966</v>
      </c>
      <c r="B21668" s="3" t="s">
        <v>17963</v>
      </c>
      <c r="C21668" s="5" t="s">
        <v>45</v>
      </c>
      <c r="D21668" s="3" t="s">
        <v>221</v>
      </c>
      <c r="E21668" s="3" t="s">
        <v>466</v>
      </c>
      <c r="F21668" s="7">
        <v>46163.51287659518</v>
      </c>
      <c r="G21668" s="3" t="s">
        <v>19281</v>
      </c>
    </row>
    <row r="21669">
      <c r="A21669" s="3" t="s">
        <v>37967</v>
      </c>
      <c r="B21669" s="3" t="s">
        <v>17963</v>
      </c>
      <c r="C21669" s="5" t="s">
        <v>221</v>
      </c>
      <c r="D21669" s="3" t="s">
        <v>614</v>
      </c>
      <c r="E21669" s="3" t="s">
        <v>118</v>
      </c>
      <c r="F21669" s="7">
        <v>46163.5163488174</v>
      </c>
      <c r="G21669" s="3" t="s">
        <v>19284</v>
      </c>
    </row>
    <row r="21670">
      <c r="A21670" s="3" t="s">
        <v>37968</v>
      </c>
      <c r="B21670" s="3" t="s">
        <v>17963</v>
      </c>
      <c r="C21670" s="5" t="s">
        <v>614</v>
      </c>
      <c r="D21670" s="3" t="s">
        <v>206</v>
      </c>
      <c r="E21670" s="3" t="s">
        <v>100</v>
      </c>
      <c r="F21670" s="7">
        <v>46163.51982103963</v>
      </c>
      <c r="G21670" s="3" t="s">
        <v>19286</v>
      </c>
    </row>
    <row r="21671">
      <c r="A21671" s="3" t="s">
        <v>37969</v>
      </c>
      <c r="B21671" s="3" t="s">
        <v>17963</v>
      </c>
      <c r="C21671" s="5" t="s">
        <v>206</v>
      </c>
      <c r="D21671" s="3" t="s">
        <v>68</v>
      </c>
      <c r="E21671" s="3" t="s">
        <v>100</v>
      </c>
      <c r="F21671" s="7">
        <v>46163.523293261846</v>
      </c>
      <c r="G21671" s="3" t="s">
        <v>19289</v>
      </c>
    </row>
    <row r="21672">
      <c r="A21672" s="3" t="s">
        <v>37970</v>
      </c>
      <c r="B21672" s="3" t="s">
        <v>17966</v>
      </c>
      <c r="C21672" s="5" t="s">
        <v>45</v>
      </c>
      <c r="D21672" s="3" t="s">
        <v>221</v>
      </c>
      <c r="E21672" s="3" t="s">
        <v>344</v>
      </c>
      <c r="F21672" s="7">
        <v>46163.58405144059</v>
      </c>
      <c r="G21672" s="3" t="s">
        <v>24607</v>
      </c>
    </row>
    <row r="21673">
      <c r="A21673" s="3" t="s">
        <v>37971</v>
      </c>
      <c r="B21673" s="3" t="s">
        <v>17966</v>
      </c>
      <c r="C21673" s="5" t="s">
        <v>221</v>
      </c>
      <c r="D21673" s="3" t="s">
        <v>614</v>
      </c>
      <c r="E21673" s="3" t="s">
        <v>118</v>
      </c>
      <c r="F21673" s="7">
        <v>46163.58752366281</v>
      </c>
      <c r="G21673" s="3" t="s">
        <v>24609</v>
      </c>
    </row>
    <row r="21674">
      <c r="A21674" s="3" t="s">
        <v>37972</v>
      </c>
      <c r="B21674" s="3" t="s">
        <v>17966</v>
      </c>
      <c r="C21674" s="5" t="s">
        <v>614</v>
      </c>
      <c r="D21674" s="3" t="s">
        <v>206</v>
      </c>
      <c r="E21674" s="3" t="s">
        <v>100</v>
      </c>
      <c r="F21674" s="7">
        <v>46163.59099588504</v>
      </c>
      <c r="G21674" s="3" t="s">
        <v>24611</v>
      </c>
    </row>
    <row r="21675">
      <c r="A21675" s="3" t="s">
        <v>37973</v>
      </c>
      <c r="B21675" s="3" t="s">
        <v>17966</v>
      </c>
      <c r="C21675" s="5" t="s">
        <v>206</v>
      </c>
      <c r="D21675" s="3" t="s">
        <v>68</v>
      </c>
      <c r="E21675" s="3" t="s">
        <v>100</v>
      </c>
      <c r="F21675" s="7">
        <v>46163.59446810726</v>
      </c>
      <c r="G21675" s="3" t="s">
        <v>24613</v>
      </c>
    </row>
    <row r="21676">
      <c r="A21676" s="3" t="s">
        <v>37974</v>
      </c>
      <c r="B21676" s="3" t="s">
        <v>17969</v>
      </c>
      <c r="C21676" s="5" t="s">
        <v>45</v>
      </c>
      <c r="D21676" s="3" t="s">
        <v>221</v>
      </c>
      <c r="E21676" s="3" t="s">
        <v>424</v>
      </c>
      <c r="F21676" s="7">
        <v>46163.65522628601</v>
      </c>
      <c r="G21676" s="3" t="s">
        <v>3073</v>
      </c>
    </row>
    <row r="21677">
      <c r="A21677" s="3" t="s">
        <v>37975</v>
      </c>
      <c r="B21677" s="3" t="s">
        <v>17969</v>
      </c>
      <c r="C21677" s="5" t="s">
        <v>221</v>
      </c>
      <c r="D21677" s="3" t="s">
        <v>614</v>
      </c>
      <c r="E21677" s="3" t="s">
        <v>118</v>
      </c>
      <c r="F21677" s="7">
        <v>46163.65869850823</v>
      </c>
      <c r="G21677" s="3" t="s">
        <v>3076</v>
      </c>
    </row>
    <row r="21678">
      <c r="A21678" s="3" t="s">
        <v>37976</v>
      </c>
      <c r="B21678" s="3" t="s">
        <v>17969</v>
      </c>
      <c r="C21678" s="5" t="s">
        <v>614</v>
      </c>
      <c r="D21678" s="3" t="s">
        <v>206</v>
      </c>
      <c r="E21678" s="3" t="s">
        <v>100</v>
      </c>
      <c r="F21678" s="7">
        <v>46163.66217073046</v>
      </c>
      <c r="G21678" s="3" t="s">
        <v>3078</v>
      </c>
    </row>
    <row r="21679">
      <c r="A21679" s="3" t="s">
        <v>37977</v>
      </c>
      <c r="B21679" s="3" t="s">
        <v>17969</v>
      </c>
      <c r="C21679" s="5" t="s">
        <v>206</v>
      </c>
      <c r="D21679" s="3" t="s">
        <v>68</v>
      </c>
      <c r="E21679" s="3" t="s">
        <v>100</v>
      </c>
      <c r="F21679" s="7">
        <v>46163.66564295268</v>
      </c>
      <c r="G21679" s="3" t="s">
        <v>3081</v>
      </c>
    </row>
    <row r="21680">
      <c r="A21680" s="3" t="s">
        <v>37978</v>
      </c>
      <c r="B21680" s="3" t="s">
        <v>17972</v>
      </c>
      <c r="C21680" s="5" t="s">
        <v>45</v>
      </c>
      <c r="D21680" s="3" t="s">
        <v>221</v>
      </c>
      <c r="E21680" s="3" t="s">
        <v>175</v>
      </c>
      <c r="F21680" s="7">
        <v>46163.72640113143</v>
      </c>
      <c r="G21680" s="3" t="s">
        <v>3418</v>
      </c>
    </row>
    <row r="21681">
      <c r="A21681" s="3" t="s">
        <v>37979</v>
      </c>
      <c r="B21681" s="3" t="s">
        <v>17972</v>
      </c>
      <c r="C21681" s="5" t="s">
        <v>221</v>
      </c>
      <c r="D21681" s="3" t="s">
        <v>614</v>
      </c>
      <c r="E21681" s="3" t="s">
        <v>118</v>
      </c>
      <c r="F21681" s="7">
        <v>46163.72987335365</v>
      </c>
      <c r="G21681" s="3" t="s">
        <v>3421</v>
      </c>
    </row>
    <row r="21682">
      <c r="A21682" s="3" t="s">
        <v>37980</v>
      </c>
      <c r="B21682" s="3" t="s">
        <v>17972</v>
      </c>
      <c r="C21682" s="5" t="s">
        <v>614</v>
      </c>
      <c r="D21682" s="3" t="s">
        <v>206</v>
      </c>
      <c r="E21682" s="3" t="s">
        <v>100</v>
      </c>
      <c r="F21682" s="7">
        <v>46163.73334557588</v>
      </c>
      <c r="G21682" s="3" t="s">
        <v>3424</v>
      </c>
    </row>
    <row r="21683">
      <c r="A21683" s="3" t="s">
        <v>37981</v>
      </c>
      <c r="B21683" s="3" t="s">
        <v>17972</v>
      </c>
      <c r="C21683" s="5" t="s">
        <v>206</v>
      </c>
      <c r="D21683" s="3" t="s">
        <v>68</v>
      </c>
      <c r="E21683" s="3" t="s">
        <v>100</v>
      </c>
      <c r="F21683" s="7">
        <v>46163.7368177981</v>
      </c>
      <c r="G21683" s="3" t="s">
        <v>3427</v>
      </c>
    </row>
    <row r="21684">
      <c r="A21684" s="3" t="s">
        <v>37982</v>
      </c>
      <c r="B21684" s="3" t="s">
        <v>17976</v>
      </c>
      <c r="C21684" s="5" t="s">
        <v>45</v>
      </c>
      <c r="D21684" s="3" t="s">
        <v>221</v>
      </c>
      <c r="E21684" s="3" t="s">
        <v>713</v>
      </c>
      <c r="F21684" s="7">
        <v>46163.79757597684</v>
      </c>
      <c r="G21684" s="3" t="s">
        <v>12106</v>
      </c>
    </row>
    <row r="21685">
      <c r="A21685" s="3" t="s">
        <v>37983</v>
      </c>
      <c r="B21685" s="3" t="s">
        <v>17976</v>
      </c>
      <c r="C21685" s="5" t="s">
        <v>221</v>
      </c>
      <c r="D21685" s="3" t="s">
        <v>614</v>
      </c>
      <c r="E21685" s="3" t="s">
        <v>118</v>
      </c>
      <c r="F21685" s="7">
        <v>46163.80104819906</v>
      </c>
      <c r="G21685" s="3" t="s">
        <v>20622</v>
      </c>
    </row>
    <row r="21686">
      <c r="A21686" s="3" t="s">
        <v>37984</v>
      </c>
      <c r="B21686" s="3" t="s">
        <v>17976</v>
      </c>
      <c r="C21686" s="5" t="s">
        <v>614</v>
      </c>
      <c r="D21686" s="3" t="s">
        <v>206</v>
      </c>
      <c r="E21686" s="3" t="s">
        <v>100</v>
      </c>
      <c r="F21686" s="7">
        <v>46163.80452042128</v>
      </c>
      <c r="G21686" s="3" t="s">
        <v>20625</v>
      </c>
    </row>
    <row r="21687">
      <c r="A21687" s="3" t="s">
        <v>37985</v>
      </c>
      <c r="B21687" s="3" t="s">
        <v>17976</v>
      </c>
      <c r="C21687" s="5" t="s">
        <v>206</v>
      </c>
      <c r="D21687" s="3" t="s">
        <v>68</v>
      </c>
      <c r="E21687" s="3" t="s">
        <v>100</v>
      </c>
      <c r="F21687" s="7">
        <v>46163.8079926435</v>
      </c>
      <c r="G21687" s="3" t="s">
        <v>20627</v>
      </c>
    </row>
    <row r="21688">
      <c r="A21688" s="3" t="s">
        <v>37986</v>
      </c>
      <c r="B21688" s="3" t="s">
        <v>17980</v>
      </c>
      <c r="C21688" s="5" t="s">
        <v>45</v>
      </c>
      <c r="D21688" s="3" t="s">
        <v>221</v>
      </c>
      <c r="E21688" s="3" t="s">
        <v>713</v>
      </c>
      <c r="F21688" s="7">
        <v>46163.86875082226</v>
      </c>
      <c r="G21688" s="3" t="s">
        <v>12106</v>
      </c>
    </row>
    <row r="21689">
      <c r="A21689" s="3" t="s">
        <v>37987</v>
      </c>
      <c r="B21689" s="3" t="s">
        <v>17980</v>
      </c>
      <c r="C21689" s="5" t="s">
        <v>221</v>
      </c>
      <c r="D21689" s="3" t="s">
        <v>614</v>
      </c>
      <c r="E21689" s="3" t="s">
        <v>118</v>
      </c>
      <c r="F21689" s="7">
        <v>46163.87222304448</v>
      </c>
      <c r="G21689" s="3" t="s">
        <v>20622</v>
      </c>
    </row>
    <row r="21690">
      <c r="A21690" s="3" t="s">
        <v>37988</v>
      </c>
      <c r="B21690" s="3" t="s">
        <v>17980</v>
      </c>
      <c r="C21690" s="5" t="s">
        <v>614</v>
      </c>
      <c r="D21690" s="3" t="s">
        <v>206</v>
      </c>
      <c r="E21690" s="3" t="s">
        <v>100</v>
      </c>
      <c r="F21690" s="7">
        <v>46163.8756952667</v>
      </c>
      <c r="G21690" s="3" t="s">
        <v>20625</v>
      </c>
    </row>
    <row r="21691">
      <c r="A21691" s="3" t="s">
        <v>37989</v>
      </c>
      <c r="B21691" s="3" t="s">
        <v>17980</v>
      </c>
      <c r="C21691" s="5" t="s">
        <v>206</v>
      </c>
      <c r="D21691" s="3" t="s">
        <v>68</v>
      </c>
      <c r="E21691" s="3" t="s">
        <v>100</v>
      </c>
      <c r="F21691" s="7">
        <v>46163.87916748892</v>
      </c>
      <c r="G21691" s="3" t="s">
        <v>20627</v>
      </c>
    </row>
    <row r="21692">
      <c r="A21692" s="3" t="s">
        <v>37990</v>
      </c>
      <c r="B21692" s="3" t="s">
        <v>17984</v>
      </c>
      <c r="C21692" s="5" t="s">
        <v>45</v>
      </c>
      <c r="D21692" s="3" t="s">
        <v>221</v>
      </c>
      <c r="E21692" s="3" t="s">
        <v>1049</v>
      </c>
      <c r="F21692" s="7">
        <v>46163.93992566768</v>
      </c>
      <c r="G21692" s="3" t="s">
        <v>2770</v>
      </c>
    </row>
    <row r="21693">
      <c r="A21693" s="3" t="s">
        <v>37991</v>
      </c>
      <c r="B21693" s="3" t="s">
        <v>17984</v>
      </c>
      <c r="C21693" s="5" t="s">
        <v>221</v>
      </c>
      <c r="D21693" s="3" t="s">
        <v>195</v>
      </c>
      <c r="E21693" s="3" t="s">
        <v>1049</v>
      </c>
      <c r="F21693" s="7">
        <v>46163.943397889896</v>
      </c>
      <c r="G21693" s="3" t="s">
        <v>3055</v>
      </c>
    </row>
    <row r="21694">
      <c r="A21694" s="3" t="s">
        <v>37992</v>
      </c>
      <c r="B21694" s="3" t="s">
        <v>17988</v>
      </c>
      <c r="C21694" s="5" t="s">
        <v>45</v>
      </c>
      <c r="D21694" s="3" t="s">
        <v>221</v>
      </c>
      <c r="E21694" s="3" t="s">
        <v>816</v>
      </c>
      <c r="F21694" s="7">
        <v>46164.01110051309</v>
      </c>
      <c r="G21694" s="3" t="s">
        <v>3621</v>
      </c>
    </row>
    <row r="21695">
      <c r="A21695" s="3" t="s">
        <v>37993</v>
      </c>
      <c r="B21695" s="3" t="s">
        <v>17988</v>
      </c>
      <c r="C21695" s="5" t="s">
        <v>221</v>
      </c>
      <c r="D21695" s="3" t="s">
        <v>614</v>
      </c>
      <c r="E21695" s="3" t="s">
        <v>118</v>
      </c>
      <c r="F21695" s="7">
        <v>46164.01457273531</v>
      </c>
      <c r="G21695" s="3" t="s">
        <v>3623</v>
      </c>
    </row>
    <row r="21696">
      <c r="A21696" s="3" t="s">
        <v>37994</v>
      </c>
      <c r="B21696" s="3" t="s">
        <v>17988</v>
      </c>
      <c r="C21696" s="5" t="s">
        <v>614</v>
      </c>
      <c r="D21696" s="3" t="s">
        <v>206</v>
      </c>
      <c r="E21696" s="3" t="s">
        <v>100</v>
      </c>
      <c r="F21696" s="7">
        <v>46164.018044957535</v>
      </c>
      <c r="G21696" s="3" t="s">
        <v>3626</v>
      </c>
    </row>
    <row r="21697">
      <c r="A21697" s="3" t="s">
        <v>37995</v>
      </c>
      <c r="B21697" s="3" t="s">
        <v>17988</v>
      </c>
      <c r="C21697" s="5" t="s">
        <v>206</v>
      </c>
      <c r="D21697" s="3" t="s">
        <v>68</v>
      </c>
      <c r="E21697" s="3" t="s">
        <v>100</v>
      </c>
      <c r="F21697" s="7">
        <v>46164.02151717975</v>
      </c>
      <c r="G21697" s="3" t="s">
        <v>3629</v>
      </c>
    </row>
    <row r="21698">
      <c r="A21698" s="3" t="s">
        <v>37996</v>
      </c>
      <c r="B21698" s="3" t="s">
        <v>17991</v>
      </c>
      <c r="C21698" s="5" t="s">
        <v>45</v>
      </c>
      <c r="D21698" s="3" t="s">
        <v>221</v>
      </c>
      <c r="E21698" s="3" t="s">
        <v>224</v>
      </c>
      <c r="F21698" s="7">
        <v>46164.0822753585</v>
      </c>
      <c r="G21698" s="3" t="s">
        <v>15998</v>
      </c>
    </row>
    <row r="21699">
      <c r="A21699" s="3" t="s">
        <v>37997</v>
      </c>
      <c r="B21699" s="3" t="s">
        <v>17991</v>
      </c>
      <c r="C21699" s="5" t="s">
        <v>221</v>
      </c>
      <c r="D21699" s="3" t="s">
        <v>614</v>
      </c>
      <c r="E21699" s="3" t="s">
        <v>118</v>
      </c>
      <c r="F21699" s="7">
        <v>46164.08574758072</v>
      </c>
      <c r="G21699" s="3" t="s">
        <v>16001</v>
      </c>
    </row>
    <row r="21700">
      <c r="A21700" s="3" t="s">
        <v>37998</v>
      </c>
      <c r="B21700" s="3" t="s">
        <v>17991</v>
      </c>
      <c r="C21700" s="5" t="s">
        <v>614</v>
      </c>
      <c r="D21700" s="3" t="s">
        <v>206</v>
      </c>
      <c r="E21700" s="3" t="s">
        <v>100</v>
      </c>
      <c r="F21700" s="7">
        <v>46164.08921980295</v>
      </c>
      <c r="G21700" s="3" t="s">
        <v>16003</v>
      </c>
    </row>
    <row r="21701">
      <c r="A21701" s="3" t="s">
        <v>37999</v>
      </c>
      <c r="B21701" s="3" t="s">
        <v>17991</v>
      </c>
      <c r="C21701" s="5" t="s">
        <v>206</v>
      </c>
      <c r="D21701" s="3" t="s">
        <v>68</v>
      </c>
      <c r="E21701" s="3" t="s">
        <v>100</v>
      </c>
      <c r="F21701" s="7">
        <v>46164.092692025166</v>
      </c>
      <c r="G21701" s="3" t="s">
        <v>16006</v>
      </c>
    </row>
    <row r="21702">
      <c r="A21702" s="3" t="s">
        <v>38000</v>
      </c>
      <c r="B21702" s="3" t="s">
        <v>17994</v>
      </c>
      <c r="C21702" s="5" t="s">
        <v>45</v>
      </c>
      <c r="D21702" s="3" t="s">
        <v>221</v>
      </c>
      <c r="E21702" s="3" t="s">
        <v>430</v>
      </c>
      <c r="F21702" s="7">
        <v>46164.15345020392</v>
      </c>
      <c r="G21702" s="3" t="s">
        <v>22064</v>
      </c>
    </row>
    <row r="21703">
      <c r="A21703" s="3" t="s">
        <v>38001</v>
      </c>
      <c r="B21703" s="3" t="s">
        <v>17994</v>
      </c>
      <c r="C21703" s="5" t="s">
        <v>221</v>
      </c>
      <c r="D21703" s="3" t="s">
        <v>614</v>
      </c>
      <c r="E21703" s="3" t="s">
        <v>118</v>
      </c>
      <c r="F21703" s="7">
        <v>46164.15692242614</v>
      </c>
      <c r="G21703" s="3" t="s">
        <v>22067</v>
      </c>
    </row>
    <row r="21704">
      <c r="A21704" s="3" t="s">
        <v>38002</v>
      </c>
      <c r="B21704" s="3" t="s">
        <v>17994</v>
      </c>
      <c r="C21704" s="5" t="s">
        <v>614</v>
      </c>
      <c r="D21704" s="3" t="s">
        <v>206</v>
      </c>
      <c r="E21704" s="3" t="s">
        <v>100</v>
      </c>
      <c r="F21704" s="7">
        <v>46164.16039464837</v>
      </c>
      <c r="G21704" s="3" t="s">
        <v>22069</v>
      </c>
    </row>
    <row r="21705">
      <c r="A21705" s="3" t="s">
        <v>38003</v>
      </c>
      <c r="B21705" s="3" t="s">
        <v>17994</v>
      </c>
      <c r="C21705" s="5" t="s">
        <v>206</v>
      </c>
      <c r="D21705" s="3" t="s">
        <v>68</v>
      </c>
      <c r="E21705" s="3" t="s">
        <v>100</v>
      </c>
      <c r="F21705" s="7">
        <v>46164.163866870585</v>
      </c>
      <c r="G21705" s="3" t="s">
        <v>22072</v>
      </c>
    </row>
    <row r="21706">
      <c r="A21706" s="3" t="s">
        <v>38004</v>
      </c>
      <c r="B21706" s="3" t="s">
        <v>17997</v>
      </c>
      <c r="C21706" s="5" t="s">
        <v>45</v>
      </c>
      <c r="D21706" s="3" t="s">
        <v>221</v>
      </c>
      <c r="E21706" s="3" t="s">
        <v>208</v>
      </c>
      <c r="F21706" s="7">
        <v>46164.22462504933</v>
      </c>
      <c r="G21706" s="3" t="s">
        <v>19961</v>
      </c>
    </row>
    <row r="21707">
      <c r="A21707" s="3" t="s">
        <v>38005</v>
      </c>
      <c r="B21707" s="3" t="s">
        <v>17997</v>
      </c>
      <c r="C21707" s="5" t="s">
        <v>221</v>
      </c>
      <c r="D21707" s="3" t="s">
        <v>614</v>
      </c>
      <c r="E21707" s="3" t="s">
        <v>118</v>
      </c>
      <c r="F21707" s="7">
        <v>46164.22809727155</v>
      </c>
      <c r="G21707" s="3" t="s">
        <v>19964</v>
      </c>
    </row>
    <row r="21708">
      <c r="A21708" s="3" t="s">
        <v>38006</v>
      </c>
      <c r="B21708" s="3" t="s">
        <v>17997</v>
      </c>
      <c r="C21708" s="5" t="s">
        <v>614</v>
      </c>
      <c r="D21708" s="3" t="s">
        <v>206</v>
      </c>
      <c r="E21708" s="3" t="s">
        <v>100</v>
      </c>
      <c r="F21708" s="7">
        <v>46164.23156949378</v>
      </c>
      <c r="G21708" s="3" t="s">
        <v>19966</v>
      </c>
    </row>
    <row r="21709">
      <c r="A21709" s="3" t="s">
        <v>38007</v>
      </c>
      <c r="B21709" s="3" t="s">
        <v>17997</v>
      </c>
      <c r="C21709" s="5" t="s">
        <v>206</v>
      </c>
      <c r="D21709" s="3" t="s">
        <v>68</v>
      </c>
      <c r="E21709" s="3" t="s">
        <v>100</v>
      </c>
      <c r="F21709" s="7">
        <v>46164.235041716</v>
      </c>
      <c r="G21709" s="3" t="s">
        <v>19969</v>
      </c>
    </row>
    <row r="21710">
      <c r="A21710" s="3" t="s">
        <v>38008</v>
      </c>
      <c r="B21710" s="3" t="s">
        <v>18000</v>
      </c>
      <c r="C21710" s="5" t="s">
        <v>45</v>
      </c>
      <c r="D21710" s="3" t="s">
        <v>221</v>
      </c>
      <c r="E21710" s="3" t="s">
        <v>519</v>
      </c>
      <c r="F21710" s="7">
        <v>46164.295799894746</v>
      </c>
      <c r="G21710" s="3" t="s">
        <v>11373</v>
      </c>
    </row>
    <row r="21711">
      <c r="A21711" s="3" t="s">
        <v>38009</v>
      </c>
      <c r="B21711" s="3" t="s">
        <v>18000</v>
      </c>
      <c r="C21711" s="5" t="s">
        <v>221</v>
      </c>
      <c r="D21711" s="3" t="s">
        <v>614</v>
      </c>
      <c r="E21711" s="3" t="s">
        <v>118</v>
      </c>
      <c r="F21711" s="7">
        <v>46164.299272116965</v>
      </c>
      <c r="G21711" s="3" t="s">
        <v>11376</v>
      </c>
    </row>
    <row r="21712">
      <c r="A21712" s="3" t="s">
        <v>38010</v>
      </c>
      <c r="B21712" s="3" t="s">
        <v>18000</v>
      </c>
      <c r="C21712" s="5" t="s">
        <v>614</v>
      </c>
      <c r="D21712" s="3" t="s">
        <v>206</v>
      </c>
      <c r="E21712" s="3" t="s">
        <v>100</v>
      </c>
      <c r="F21712" s="7">
        <v>46164.30274433919</v>
      </c>
      <c r="G21712" s="3" t="s">
        <v>11378</v>
      </c>
    </row>
    <row r="21713">
      <c r="A21713" s="3" t="s">
        <v>38011</v>
      </c>
      <c r="B21713" s="3" t="s">
        <v>18000</v>
      </c>
      <c r="C21713" s="5" t="s">
        <v>206</v>
      </c>
      <c r="D21713" s="3" t="s">
        <v>68</v>
      </c>
      <c r="E21713" s="3" t="s">
        <v>100</v>
      </c>
      <c r="F21713" s="7">
        <v>46164.30621656141</v>
      </c>
      <c r="G21713" s="3" t="s">
        <v>11381</v>
      </c>
    </row>
    <row r="21714">
      <c r="A21714" s="3" t="s">
        <v>38012</v>
      </c>
      <c r="B21714" s="3" t="s">
        <v>18005</v>
      </c>
      <c r="C21714" s="5" t="s">
        <v>45</v>
      </c>
      <c r="D21714" s="3" t="s">
        <v>221</v>
      </c>
      <c r="E21714" s="3" t="s">
        <v>596</v>
      </c>
      <c r="F21714" s="7">
        <v>46164.366974740165</v>
      </c>
      <c r="G21714" s="3" t="s">
        <v>5338</v>
      </c>
    </row>
    <row r="21715">
      <c r="A21715" s="3" t="s">
        <v>38013</v>
      </c>
      <c r="B21715" s="3" t="s">
        <v>18005</v>
      </c>
      <c r="C21715" s="5" t="s">
        <v>221</v>
      </c>
      <c r="D21715" s="3" t="s">
        <v>614</v>
      </c>
      <c r="E21715" s="3" t="s">
        <v>118</v>
      </c>
      <c r="F21715" s="7">
        <v>46164.370446962384</v>
      </c>
      <c r="G21715" s="3" t="s">
        <v>5341</v>
      </c>
    </row>
    <row r="21716">
      <c r="A21716" s="3" t="s">
        <v>38014</v>
      </c>
      <c r="B21716" s="3" t="s">
        <v>18005</v>
      </c>
      <c r="C21716" s="5" t="s">
        <v>614</v>
      </c>
      <c r="D21716" s="3" t="s">
        <v>206</v>
      </c>
      <c r="E21716" s="3" t="s">
        <v>100</v>
      </c>
      <c r="F21716" s="7">
        <v>46164.37391918461</v>
      </c>
      <c r="G21716" s="3" t="s">
        <v>5343</v>
      </c>
    </row>
    <row r="21717">
      <c r="A21717" s="3" t="s">
        <v>38015</v>
      </c>
      <c r="B21717" s="3" t="s">
        <v>18005</v>
      </c>
      <c r="C21717" s="5" t="s">
        <v>206</v>
      </c>
      <c r="D21717" s="3" t="s">
        <v>68</v>
      </c>
      <c r="E21717" s="3" t="s">
        <v>100</v>
      </c>
      <c r="F21717" s="7">
        <v>46164.37739140683</v>
      </c>
      <c r="G21717" s="3" t="s">
        <v>5346</v>
      </c>
    </row>
    <row r="21718">
      <c r="A21718" s="3" t="s">
        <v>38016</v>
      </c>
      <c r="B21718" s="3" t="s">
        <v>18008</v>
      </c>
      <c r="C21718" s="5" t="s">
        <v>45</v>
      </c>
      <c r="D21718" s="3" t="s">
        <v>221</v>
      </c>
      <c r="E21718" s="3" t="s">
        <v>785</v>
      </c>
      <c r="F21718" s="7">
        <v>46164.43814958558</v>
      </c>
      <c r="G21718" s="3" t="s">
        <v>14779</v>
      </c>
    </row>
    <row r="21719">
      <c r="A21719" s="3" t="s">
        <v>38017</v>
      </c>
      <c r="B21719" s="3" t="s">
        <v>18008</v>
      </c>
      <c r="C21719" s="5" t="s">
        <v>221</v>
      </c>
      <c r="D21719" s="3" t="s">
        <v>614</v>
      </c>
      <c r="E21719" s="3" t="s">
        <v>118</v>
      </c>
      <c r="F21719" s="7">
        <v>46164.4416218078</v>
      </c>
      <c r="G21719" s="3" t="s">
        <v>14782</v>
      </c>
    </row>
    <row r="21720">
      <c r="A21720" s="3" t="s">
        <v>38018</v>
      </c>
      <c r="B21720" s="3" t="s">
        <v>18008</v>
      </c>
      <c r="C21720" s="5" t="s">
        <v>614</v>
      </c>
      <c r="D21720" s="3" t="s">
        <v>206</v>
      </c>
      <c r="E21720" s="3" t="s">
        <v>100</v>
      </c>
      <c r="F21720" s="7">
        <v>46164.44509403002</v>
      </c>
      <c r="G21720" s="3" t="s">
        <v>14785</v>
      </c>
    </row>
    <row r="21721">
      <c r="A21721" s="3" t="s">
        <v>38019</v>
      </c>
      <c r="B21721" s="3" t="s">
        <v>18008</v>
      </c>
      <c r="C21721" s="5" t="s">
        <v>206</v>
      </c>
      <c r="D21721" s="3" t="s">
        <v>68</v>
      </c>
      <c r="E21721" s="3" t="s">
        <v>100</v>
      </c>
      <c r="F21721" s="7">
        <v>46164.44856625224</v>
      </c>
      <c r="G21721" s="3" t="s">
        <v>14787</v>
      </c>
    </row>
    <row r="21722">
      <c r="A21722" s="3" t="s">
        <v>38020</v>
      </c>
      <c r="B21722" s="3" t="s">
        <v>18010</v>
      </c>
      <c r="C21722" s="5" t="s">
        <v>45</v>
      </c>
      <c r="D21722" s="3" t="s">
        <v>221</v>
      </c>
      <c r="E21722" s="3" t="s">
        <v>947</v>
      </c>
      <c r="F21722" s="7">
        <v>46164.50932443099</v>
      </c>
      <c r="G21722" s="3" t="s">
        <v>21032</v>
      </c>
    </row>
    <row r="21723">
      <c r="A21723" s="3" t="s">
        <v>38021</v>
      </c>
      <c r="B21723" s="3" t="s">
        <v>18010</v>
      </c>
      <c r="C21723" s="5" t="s">
        <v>221</v>
      </c>
      <c r="D21723" s="3" t="s">
        <v>614</v>
      </c>
      <c r="E21723" s="3" t="s">
        <v>118</v>
      </c>
      <c r="F21723" s="7">
        <v>46164.51279665321</v>
      </c>
      <c r="G21723" s="3" t="s">
        <v>21034</v>
      </c>
    </row>
    <row r="21724">
      <c r="A21724" s="3" t="s">
        <v>38022</v>
      </c>
      <c r="B21724" s="3" t="s">
        <v>18010</v>
      </c>
      <c r="C21724" s="5" t="s">
        <v>614</v>
      </c>
      <c r="D21724" s="3" t="s">
        <v>206</v>
      </c>
      <c r="E21724" s="3" t="s">
        <v>100</v>
      </c>
      <c r="F21724" s="7">
        <v>46164.516268875435</v>
      </c>
      <c r="G21724" s="3" t="s">
        <v>21037</v>
      </c>
    </row>
    <row r="21725">
      <c r="A21725" s="3" t="s">
        <v>38023</v>
      </c>
      <c r="B21725" s="3" t="s">
        <v>18010</v>
      </c>
      <c r="C21725" s="5" t="s">
        <v>206</v>
      </c>
      <c r="D21725" s="3" t="s">
        <v>68</v>
      </c>
      <c r="E21725" s="3" t="s">
        <v>100</v>
      </c>
      <c r="F21725" s="7">
        <v>46164.519741097654</v>
      </c>
      <c r="G21725" s="3" t="s">
        <v>21040</v>
      </c>
    </row>
    <row r="21726">
      <c r="A21726" s="3" t="s">
        <v>38024</v>
      </c>
      <c r="B21726" s="3" t="s">
        <v>18012</v>
      </c>
      <c r="C21726" s="5" t="s">
        <v>45</v>
      </c>
      <c r="D21726" s="3" t="s">
        <v>221</v>
      </c>
      <c r="E21726" s="3" t="s">
        <v>665</v>
      </c>
      <c r="F21726" s="7">
        <v>46164.58049927641</v>
      </c>
      <c r="G21726" s="3" t="s">
        <v>3430</v>
      </c>
    </row>
    <row r="21727">
      <c r="A21727" s="3" t="s">
        <v>38025</v>
      </c>
      <c r="B21727" s="3" t="s">
        <v>18012</v>
      </c>
      <c r="C21727" s="5" t="s">
        <v>221</v>
      </c>
      <c r="D21727" s="3" t="s">
        <v>614</v>
      </c>
      <c r="E21727" s="3" t="s">
        <v>118</v>
      </c>
      <c r="F21727" s="7">
        <v>46164.58397149863</v>
      </c>
      <c r="G21727" s="3" t="s">
        <v>3433</v>
      </c>
    </row>
    <row r="21728">
      <c r="A21728" s="3" t="s">
        <v>38026</v>
      </c>
      <c r="B21728" s="3" t="s">
        <v>18012</v>
      </c>
      <c r="C21728" s="5" t="s">
        <v>614</v>
      </c>
      <c r="D21728" s="3" t="s">
        <v>206</v>
      </c>
      <c r="E21728" s="3" t="s">
        <v>100</v>
      </c>
      <c r="F21728" s="7">
        <v>46164.587443720855</v>
      </c>
      <c r="G21728" s="3" t="s">
        <v>3436</v>
      </c>
    </row>
    <row r="21729">
      <c r="A21729" s="3" t="s">
        <v>38027</v>
      </c>
      <c r="B21729" s="3" t="s">
        <v>18012</v>
      </c>
      <c r="C21729" s="5" t="s">
        <v>206</v>
      </c>
      <c r="D21729" s="3" t="s">
        <v>68</v>
      </c>
      <c r="E21729" s="3" t="s">
        <v>100</v>
      </c>
      <c r="F21729" s="7">
        <v>46164.590915943074</v>
      </c>
      <c r="G21729" s="3" t="s">
        <v>3439</v>
      </c>
    </row>
    <row r="21730">
      <c r="A21730" s="3" t="s">
        <v>38028</v>
      </c>
      <c r="B21730" s="3" t="s">
        <v>18014</v>
      </c>
      <c r="C21730" s="5" t="s">
        <v>45</v>
      </c>
      <c r="D21730" s="3" t="s">
        <v>221</v>
      </c>
      <c r="E21730" s="3" t="s">
        <v>913</v>
      </c>
      <c r="F21730" s="7">
        <v>46164.65167412182</v>
      </c>
      <c r="G21730" s="3" t="s">
        <v>16811</v>
      </c>
    </row>
    <row r="21731">
      <c r="A21731" s="3" t="s">
        <v>38029</v>
      </c>
      <c r="B21731" s="3" t="s">
        <v>18014</v>
      </c>
      <c r="C21731" s="5" t="s">
        <v>221</v>
      </c>
      <c r="D21731" s="3" t="s">
        <v>614</v>
      </c>
      <c r="E21731" s="3" t="s">
        <v>118</v>
      </c>
      <c r="F21731" s="7">
        <v>46164.65514634404</v>
      </c>
      <c r="G21731" s="3" t="s">
        <v>16814</v>
      </c>
    </row>
    <row r="21732">
      <c r="A21732" s="3" t="s">
        <v>38030</v>
      </c>
      <c r="B21732" s="3" t="s">
        <v>18014</v>
      </c>
      <c r="C21732" s="5" t="s">
        <v>614</v>
      </c>
      <c r="D21732" s="3" t="s">
        <v>206</v>
      </c>
      <c r="E21732" s="3" t="s">
        <v>100</v>
      </c>
      <c r="F21732" s="7">
        <v>46164.65861856627</v>
      </c>
      <c r="G21732" s="3" t="s">
        <v>16817</v>
      </c>
    </row>
    <row r="21733">
      <c r="A21733" s="3" t="s">
        <v>38031</v>
      </c>
      <c r="B21733" s="3" t="s">
        <v>18014</v>
      </c>
      <c r="C21733" s="5" t="s">
        <v>206</v>
      </c>
      <c r="D21733" s="3" t="s">
        <v>68</v>
      </c>
      <c r="E21733" s="3" t="s">
        <v>100</v>
      </c>
      <c r="F21733" s="7">
        <v>46164.662090788486</v>
      </c>
      <c r="G21733" s="3" t="s">
        <v>16820</v>
      </c>
    </row>
    <row r="21734">
      <c r="A21734" s="3" t="s">
        <v>38032</v>
      </c>
      <c r="B21734" s="3" t="s">
        <v>18019</v>
      </c>
      <c r="C21734" s="5" t="s">
        <v>45</v>
      </c>
      <c r="D21734" s="3" t="s">
        <v>221</v>
      </c>
      <c r="E21734" s="3" t="s">
        <v>830</v>
      </c>
      <c r="F21734" s="7">
        <v>46164.722848967234</v>
      </c>
      <c r="G21734" s="3" t="s">
        <v>2770</v>
      </c>
    </row>
    <row r="21735">
      <c r="A21735" s="3" t="s">
        <v>38033</v>
      </c>
      <c r="B21735" s="3" t="s">
        <v>18019</v>
      </c>
      <c r="C21735" s="5" t="s">
        <v>221</v>
      </c>
      <c r="D21735" s="3" t="s">
        <v>195</v>
      </c>
      <c r="E21735" s="3" t="s">
        <v>830</v>
      </c>
      <c r="F21735" s="7">
        <v>46164.72632118945</v>
      </c>
      <c r="G21735" s="3" t="s">
        <v>3055</v>
      </c>
    </row>
    <row r="21736">
      <c r="A21736" s="3" t="s">
        <v>38034</v>
      </c>
      <c r="B21736" s="3" t="s">
        <v>18021</v>
      </c>
      <c r="C21736" s="5" t="s">
        <v>45</v>
      </c>
      <c r="D21736" s="3" t="s">
        <v>221</v>
      </c>
      <c r="E21736" s="3" t="s">
        <v>765</v>
      </c>
      <c r="F21736" s="7">
        <v>46164.794023812654</v>
      </c>
      <c r="G21736" s="3" t="s">
        <v>3453</v>
      </c>
    </row>
    <row r="21737">
      <c r="A21737" s="3" t="s">
        <v>38035</v>
      </c>
      <c r="B21737" s="3" t="s">
        <v>18021</v>
      </c>
      <c r="C21737" s="5" t="s">
        <v>221</v>
      </c>
      <c r="D21737" s="3" t="s">
        <v>614</v>
      </c>
      <c r="E21737" s="3" t="s">
        <v>118</v>
      </c>
      <c r="F21737" s="7">
        <v>46164.79749603487</v>
      </c>
      <c r="G21737" s="3" t="s">
        <v>3456</v>
      </c>
    </row>
    <row r="21738">
      <c r="A21738" s="3" t="s">
        <v>38036</v>
      </c>
      <c r="B21738" s="3" t="s">
        <v>18021</v>
      </c>
      <c r="C21738" s="5" t="s">
        <v>614</v>
      </c>
      <c r="D21738" s="3" t="s">
        <v>206</v>
      </c>
      <c r="E21738" s="3" t="s">
        <v>100</v>
      </c>
      <c r="F21738" s="7">
        <v>46164.8009682571</v>
      </c>
      <c r="G21738" s="3" t="s">
        <v>3459</v>
      </c>
    </row>
    <row r="21739">
      <c r="A21739" s="3" t="s">
        <v>38037</v>
      </c>
      <c r="B21739" s="3" t="s">
        <v>18021</v>
      </c>
      <c r="C21739" s="5" t="s">
        <v>206</v>
      </c>
      <c r="D21739" s="3" t="s">
        <v>68</v>
      </c>
      <c r="E21739" s="3" t="s">
        <v>100</v>
      </c>
      <c r="F21739" s="7">
        <v>46164.80444047932</v>
      </c>
      <c r="G21739" s="3" t="s">
        <v>3462</v>
      </c>
    </row>
    <row r="21740">
      <c r="A21740" s="3" t="s">
        <v>38038</v>
      </c>
      <c r="B21740" s="3" t="s">
        <v>18024</v>
      </c>
      <c r="C21740" s="5" t="s">
        <v>45</v>
      </c>
      <c r="D21740" s="3" t="s">
        <v>221</v>
      </c>
      <c r="E21740" s="3" t="s">
        <v>616</v>
      </c>
      <c r="F21740" s="7">
        <v>46164.86519865807</v>
      </c>
      <c r="G21740" s="3" t="s">
        <v>21020</v>
      </c>
    </row>
    <row r="21741">
      <c r="A21741" s="3" t="s">
        <v>38039</v>
      </c>
      <c r="B21741" s="3" t="s">
        <v>18024</v>
      </c>
      <c r="C21741" s="5" t="s">
        <v>221</v>
      </c>
      <c r="D21741" s="3" t="s">
        <v>614</v>
      </c>
      <c r="E21741" s="3" t="s">
        <v>118</v>
      </c>
      <c r="F21741" s="7">
        <v>46164.86867088029</v>
      </c>
      <c r="G21741" s="3" t="s">
        <v>21023</v>
      </c>
    </row>
    <row r="21742">
      <c r="A21742" s="3" t="s">
        <v>38040</v>
      </c>
      <c r="B21742" s="3" t="s">
        <v>18024</v>
      </c>
      <c r="C21742" s="5" t="s">
        <v>614</v>
      </c>
      <c r="D21742" s="3" t="s">
        <v>206</v>
      </c>
      <c r="E21742" s="3" t="s">
        <v>100</v>
      </c>
      <c r="F21742" s="7">
        <v>46164.87214310252</v>
      </c>
      <c r="G21742" s="3" t="s">
        <v>21026</v>
      </c>
    </row>
    <row r="21743">
      <c r="A21743" s="3" t="s">
        <v>38041</v>
      </c>
      <c r="B21743" s="3" t="s">
        <v>18024</v>
      </c>
      <c r="C21743" s="5" t="s">
        <v>206</v>
      </c>
      <c r="D21743" s="3" t="s">
        <v>68</v>
      </c>
      <c r="E21743" s="3" t="s">
        <v>100</v>
      </c>
      <c r="F21743" s="7">
        <v>46164.87561532474</v>
      </c>
      <c r="G21743" s="3" t="s">
        <v>21029</v>
      </c>
    </row>
    <row r="21744">
      <c r="A21744" s="3" t="s">
        <v>38042</v>
      </c>
      <c r="B21744" s="3" t="s">
        <v>18027</v>
      </c>
      <c r="C21744" s="5" t="s">
        <v>45</v>
      </c>
      <c r="D21744" s="3" t="s">
        <v>221</v>
      </c>
      <c r="E21744" s="3" t="s">
        <v>1037</v>
      </c>
      <c r="F21744" s="7">
        <v>46164.93637350348</v>
      </c>
      <c r="G21744" s="3" t="s">
        <v>18399</v>
      </c>
    </row>
    <row r="21745">
      <c r="A21745" s="3" t="s">
        <v>38043</v>
      </c>
      <c r="B21745" s="3" t="s">
        <v>18027</v>
      </c>
      <c r="C21745" s="5" t="s">
        <v>221</v>
      </c>
      <c r="D21745" s="3" t="s">
        <v>614</v>
      </c>
      <c r="E21745" s="3" t="s">
        <v>118</v>
      </c>
      <c r="F21745" s="7">
        <v>46164.9398457257</v>
      </c>
      <c r="G21745" s="3" t="s">
        <v>21378</v>
      </c>
    </row>
    <row r="21746">
      <c r="A21746" s="3" t="s">
        <v>38044</v>
      </c>
      <c r="B21746" s="3" t="s">
        <v>18027</v>
      </c>
      <c r="C21746" s="5" t="s">
        <v>614</v>
      </c>
      <c r="D21746" s="3" t="s">
        <v>206</v>
      </c>
      <c r="E21746" s="3" t="s">
        <v>100</v>
      </c>
      <c r="F21746" s="7">
        <v>46164.943317947924</v>
      </c>
      <c r="G21746" s="3" t="s">
        <v>21381</v>
      </c>
    </row>
    <row r="21747">
      <c r="A21747" s="3" t="s">
        <v>38045</v>
      </c>
      <c r="B21747" s="3" t="s">
        <v>18027</v>
      </c>
      <c r="C21747" s="5" t="s">
        <v>206</v>
      </c>
      <c r="D21747" s="3" t="s">
        <v>68</v>
      </c>
      <c r="E21747" s="3" t="s">
        <v>100</v>
      </c>
      <c r="F21747" s="7">
        <v>46164.94679017014</v>
      </c>
      <c r="G21747" s="3" t="s">
        <v>21383</v>
      </c>
    </row>
    <row r="21748">
      <c r="A21748" s="3" t="s">
        <v>38046</v>
      </c>
      <c r="B21748" s="3" t="s">
        <v>18030</v>
      </c>
      <c r="C21748" s="5" t="s">
        <v>45</v>
      </c>
      <c r="D21748" s="3" t="s">
        <v>221</v>
      </c>
      <c r="E21748" s="3" t="s">
        <v>593</v>
      </c>
      <c r="F21748" s="7">
        <v>46165.0075483489</v>
      </c>
      <c r="G21748" s="3" t="s">
        <v>15829</v>
      </c>
    </row>
    <row r="21749">
      <c r="A21749" s="3" t="s">
        <v>38047</v>
      </c>
      <c r="B21749" s="3" t="s">
        <v>18030</v>
      </c>
      <c r="C21749" s="5" t="s">
        <v>221</v>
      </c>
      <c r="D21749" s="3" t="s">
        <v>614</v>
      </c>
      <c r="E21749" s="3" t="s">
        <v>118</v>
      </c>
      <c r="F21749" s="7">
        <v>46165.01102057112</v>
      </c>
      <c r="G21749" s="3" t="s">
        <v>17368</v>
      </c>
    </row>
    <row r="21750">
      <c r="A21750" s="3" t="s">
        <v>38048</v>
      </c>
      <c r="B21750" s="3" t="s">
        <v>18030</v>
      </c>
      <c r="C21750" s="5" t="s">
        <v>614</v>
      </c>
      <c r="D21750" s="3" t="s">
        <v>206</v>
      </c>
      <c r="E21750" s="3" t="s">
        <v>100</v>
      </c>
      <c r="F21750" s="7">
        <v>46165.01449279334</v>
      </c>
      <c r="G21750" s="3" t="s">
        <v>17371</v>
      </c>
    </row>
    <row r="21751">
      <c r="A21751" s="3" t="s">
        <v>38049</v>
      </c>
      <c r="B21751" s="3" t="s">
        <v>18030</v>
      </c>
      <c r="C21751" s="5" t="s">
        <v>206</v>
      </c>
      <c r="D21751" s="3" t="s">
        <v>68</v>
      </c>
      <c r="E21751" s="3" t="s">
        <v>100</v>
      </c>
      <c r="F21751" s="7">
        <v>46165.01796501556</v>
      </c>
      <c r="G21751" s="3" t="s">
        <v>17373</v>
      </c>
    </row>
    <row r="21752">
      <c r="A21752" s="3" t="s">
        <v>38050</v>
      </c>
      <c r="B21752" s="3" t="s">
        <v>18033</v>
      </c>
      <c r="C21752" s="5" t="s">
        <v>45</v>
      </c>
      <c r="D21752" s="3" t="s">
        <v>221</v>
      </c>
      <c r="E21752" s="3" t="s">
        <v>708</v>
      </c>
      <c r="F21752" s="7">
        <v>46165.07872319432</v>
      </c>
      <c r="G21752" s="3" t="s">
        <v>34527</v>
      </c>
    </row>
    <row r="21753">
      <c r="A21753" s="3" t="s">
        <v>38051</v>
      </c>
      <c r="B21753" s="3" t="s">
        <v>18033</v>
      </c>
      <c r="C21753" s="5" t="s">
        <v>221</v>
      </c>
      <c r="D21753" s="3" t="s">
        <v>614</v>
      </c>
      <c r="E21753" s="3" t="s">
        <v>118</v>
      </c>
      <c r="F21753" s="7">
        <v>46165.08219541654</v>
      </c>
      <c r="G21753" s="3" t="s">
        <v>34529</v>
      </c>
    </row>
    <row r="21754">
      <c r="A21754" s="3" t="s">
        <v>38052</v>
      </c>
      <c r="B21754" s="3" t="s">
        <v>18033</v>
      </c>
      <c r="C21754" s="5" t="s">
        <v>614</v>
      </c>
      <c r="D21754" s="3" t="s">
        <v>206</v>
      </c>
      <c r="E21754" s="3" t="s">
        <v>100</v>
      </c>
      <c r="F21754" s="7">
        <v>46165.08566763876</v>
      </c>
      <c r="G21754" s="3" t="s">
        <v>34531</v>
      </c>
    </row>
    <row r="21755">
      <c r="A21755" s="3" t="s">
        <v>38053</v>
      </c>
      <c r="B21755" s="3" t="s">
        <v>18033</v>
      </c>
      <c r="C21755" s="5" t="s">
        <v>206</v>
      </c>
      <c r="D21755" s="3" t="s">
        <v>68</v>
      </c>
      <c r="E21755" s="3" t="s">
        <v>100</v>
      </c>
      <c r="F21755" s="7">
        <v>46165.08913986098</v>
      </c>
      <c r="G21755" s="3" t="s">
        <v>34533</v>
      </c>
    </row>
    <row r="21756">
      <c r="A21756" s="3" t="s">
        <v>38054</v>
      </c>
      <c r="B21756" s="3" t="s">
        <v>18036</v>
      </c>
      <c r="C21756" s="5" t="s">
        <v>45</v>
      </c>
      <c r="D21756" s="3" t="s">
        <v>221</v>
      </c>
      <c r="E21756" s="3" t="s">
        <v>1008</v>
      </c>
      <c r="F21756" s="7">
        <v>46165.14989803973</v>
      </c>
      <c r="G21756" s="3" t="s">
        <v>3464</v>
      </c>
    </row>
    <row r="21757">
      <c r="A21757" s="3" t="s">
        <v>38055</v>
      </c>
      <c r="B21757" s="3" t="s">
        <v>18036</v>
      </c>
      <c r="C21757" s="5" t="s">
        <v>221</v>
      </c>
      <c r="D21757" s="3" t="s">
        <v>614</v>
      </c>
      <c r="E21757" s="3" t="s">
        <v>118</v>
      </c>
      <c r="F21757" s="7">
        <v>46165.15337026195</v>
      </c>
      <c r="G21757" s="3" t="s">
        <v>3467</v>
      </c>
    </row>
    <row r="21758">
      <c r="A21758" s="3" t="s">
        <v>38056</v>
      </c>
      <c r="B21758" s="3" t="s">
        <v>18036</v>
      </c>
      <c r="C21758" s="5" t="s">
        <v>614</v>
      </c>
      <c r="D21758" s="3" t="s">
        <v>206</v>
      </c>
      <c r="E21758" s="3" t="s">
        <v>100</v>
      </c>
      <c r="F21758" s="7">
        <v>46165.156842484175</v>
      </c>
      <c r="G21758" s="3" t="s">
        <v>3470</v>
      </c>
    </row>
    <row r="21759">
      <c r="A21759" s="3" t="s">
        <v>38057</v>
      </c>
      <c r="B21759" s="3" t="s">
        <v>18036</v>
      </c>
      <c r="C21759" s="5" t="s">
        <v>206</v>
      </c>
      <c r="D21759" s="3" t="s">
        <v>68</v>
      </c>
      <c r="E21759" s="3" t="s">
        <v>100</v>
      </c>
      <c r="F21759" s="7">
        <v>46165.160314706394</v>
      </c>
      <c r="G21759" s="3" t="s">
        <v>3473</v>
      </c>
    </row>
    <row r="21760">
      <c r="A21760" s="3" t="s">
        <v>38058</v>
      </c>
      <c r="B21760" s="3" t="s">
        <v>18039</v>
      </c>
      <c r="C21760" s="5" t="s">
        <v>45</v>
      </c>
      <c r="D21760" s="3" t="s">
        <v>221</v>
      </c>
      <c r="E21760" s="3" t="s">
        <v>263</v>
      </c>
      <c r="F21760" s="7">
        <v>46165.22107288514</v>
      </c>
      <c r="G21760" s="3" t="s">
        <v>16409</v>
      </c>
    </row>
    <row r="21761">
      <c r="A21761" s="3" t="s">
        <v>38059</v>
      </c>
      <c r="B21761" s="3" t="s">
        <v>18039</v>
      </c>
      <c r="C21761" s="5" t="s">
        <v>221</v>
      </c>
      <c r="D21761" s="3" t="s">
        <v>614</v>
      </c>
      <c r="E21761" s="3" t="s">
        <v>118</v>
      </c>
      <c r="F21761" s="7">
        <v>46165.22454510736</v>
      </c>
      <c r="G21761" s="3" t="s">
        <v>16412</v>
      </c>
    </row>
    <row r="21762">
      <c r="A21762" s="3" t="s">
        <v>38060</v>
      </c>
      <c r="B21762" s="3" t="s">
        <v>18039</v>
      </c>
      <c r="C21762" s="5" t="s">
        <v>614</v>
      </c>
      <c r="D21762" s="3" t="s">
        <v>206</v>
      </c>
      <c r="E21762" s="3" t="s">
        <v>100</v>
      </c>
      <c r="F21762" s="7">
        <v>46165.22801732959</v>
      </c>
      <c r="G21762" s="3" t="s">
        <v>16414</v>
      </c>
    </row>
    <row r="21763">
      <c r="A21763" s="3" t="s">
        <v>38061</v>
      </c>
      <c r="B21763" s="3" t="s">
        <v>18039</v>
      </c>
      <c r="C21763" s="5" t="s">
        <v>206</v>
      </c>
      <c r="D21763" s="3" t="s">
        <v>68</v>
      </c>
      <c r="E21763" s="3" t="s">
        <v>100</v>
      </c>
      <c r="F21763" s="7">
        <v>46165.23148955181</v>
      </c>
      <c r="G21763" s="3" t="s">
        <v>16417</v>
      </c>
    </row>
    <row r="21764">
      <c r="A21764" s="3" t="s">
        <v>38062</v>
      </c>
      <c r="B21764" s="3" t="s">
        <v>18043</v>
      </c>
      <c r="C21764" s="5" t="s">
        <v>45</v>
      </c>
      <c r="D21764" s="3" t="s">
        <v>221</v>
      </c>
      <c r="E21764" s="3" t="s">
        <v>747</v>
      </c>
      <c r="F21764" s="7">
        <v>46165.29224773056</v>
      </c>
      <c r="G21764" s="3" t="s">
        <v>4758</v>
      </c>
    </row>
    <row r="21765">
      <c r="A21765" s="3" t="s">
        <v>38063</v>
      </c>
      <c r="B21765" s="3" t="s">
        <v>18043</v>
      </c>
      <c r="C21765" s="5" t="s">
        <v>221</v>
      </c>
      <c r="D21765" s="3" t="s">
        <v>614</v>
      </c>
      <c r="E21765" s="3" t="s">
        <v>118</v>
      </c>
      <c r="F21765" s="7">
        <v>46165.29571995278</v>
      </c>
      <c r="G21765" s="3" t="s">
        <v>4761</v>
      </c>
    </row>
    <row r="21766">
      <c r="A21766" s="3" t="s">
        <v>38064</v>
      </c>
      <c r="B21766" s="3" t="s">
        <v>18043</v>
      </c>
      <c r="C21766" s="5" t="s">
        <v>614</v>
      </c>
      <c r="D21766" s="3" t="s">
        <v>206</v>
      </c>
      <c r="E21766" s="3" t="s">
        <v>100</v>
      </c>
      <c r="F21766" s="7">
        <v>46165.29919217501</v>
      </c>
      <c r="G21766" s="3" t="s">
        <v>4764</v>
      </c>
    </row>
    <row r="21767">
      <c r="A21767" s="3" t="s">
        <v>38065</v>
      </c>
      <c r="B21767" s="3" t="s">
        <v>18043</v>
      </c>
      <c r="C21767" s="5" t="s">
        <v>206</v>
      </c>
      <c r="D21767" s="3" t="s">
        <v>68</v>
      </c>
      <c r="E21767" s="3" t="s">
        <v>100</v>
      </c>
      <c r="F21767" s="7">
        <v>46165.302664397226</v>
      </c>
      <c r="G21767" s="3" t="s">
        <v>4767</v>
      </c>
    </row>
    <row r="21768">
      <c r="A21768" s="3" t="s">
        <v>38066</v>
      </c>
      <c r="B21768" s="3" t="s">
        <v>18047</v>
      </c>
      <c r="C21768" s="5" t="s">
        <v>45</v>
      </c>
      <c r="D21768" s="3" t="s">
        <v>221</v>
      </c>
      <c r="E21768" s="3" t="s">
        <v>870</v>
      </c>
      <c r="F21768" s="7">
        <v>46165.363422575974</v>
      </c>
      <c r="G21768" s="3" t="s">
        <v>38067</v>
      </c>
    </row>
    <row r="21769">
      <c r="A21769" s="3" t="s">
        <v>38068</v>
      </c>
      <c r="B21769" s="3" t="s">
        <v>18047</v>
      </c>
      <c r="C21769" s="5" t="s">
        <v>221</v>
      </c>
      <c r="D21769" s="3" t="s">
        <v>614</v>
      </c>
      <c r="E21769" s="3" t="s">
        <v>118</v>
      </c>
      <c r="F21769" s="7">
        <v>46165.36689479819</v>
      </c>
      <c r="G21769" s="3" t="s">
        <v>38069</v>
      </c>
    </row>
    <row r="21770">
      <c r="A21770" s="3" t="s">
        <v>38070</v>
      </c>
      <c r="B21770" s="3" t="s">
        <v>18047</v>
      </c>
      <c r="C21770" s="5" t="s">
        <v>614</v>
      </c>
      <c r="D21770" s="3" t="s">
        <v>206</v>
      </c>
      <c r="E21770" s="3" t="s">
        <v>100</v>
      </c>
      <c r="F21770" s="7">
        <v>46165.37036702042</v>
      </c>
      <c r="G21770" s="3" t="s">
        <v>38071</v>
      </c>
    </row>
    <row r="21771">
      <c r="A21771" s="3" t="s">
        <v>38072</v>
      </c>
      <c r="B21771" s="3" t="s">
        <v>18047</v>
      </c>
      <c r="C21771" s="5" t="s">
        <v>206</v>
      </c>
      <c r="D21771" s="3" t="s">
        <v>68</v>
      </c>
      <c r="E21771" s="3" t="s">
        <v>100</v>
      </c>
      <c r="F21771" s="7">
        <v>46165.37383924264</v>
      </c>
      <c r="G21771" s="3" t="s">
        <v>38073</v>
      </c>
    </row>
    <row r="21772">
      <c r="A21772" s="3" t="s">
        <v>38074</v>
      </c>
      <c r="B21772" s="3" t="s">
        <v>18050</v>
      </c>
      <c r="C21772" s="5" t="s">
        <v>45</v>
      </c>
      <c r="D21772" s="3" t="s">
        <v>221</v>
      </c>
      <c r="E21772" s="3" t="s">
        <v>574</v>
      </c>
      <c r="F21772" s="7">
        <v>46165.43459742139</v>
      </c>
      <c r="G21772" s="3" t="s">
        <v>3476</v>
      </c>
    </row>
    <row r="21773">
      <c r="A21773" s="3" t="s">
        <v>38075</v>
      </c>
      <c r="B21773" s="3" t="s">
        <v>18050</v>
      </c>
      <c r="C21773" s="5" t="s">
        <v>221</v>
      </c>
      <c r="D21773" s="3" t="s">
        <v>614</v>
      </c>
      <c r="E21773" s="3" t="s">
        <v>118</v>
      </c>
      <c r="F21773" s="7">
        <v>46165.438069643606</v>
      </c>
      <c r="G21773" s="3" t="s">
        <v>3479</v>
      </c>
    </row>
    <row r="21774">
      <c r="A21774" s="3" t="s">
        <v>38076</v>
      </c>
      <c r="B21774" s="3" t="s">
        <v>18050</v>
      </c>
      <c r="C21774" s="5" t="s">
        <v>614</v>
      </c>
      <c r="D21774" s="3" t="s">
        <v>206</v>
      </c>
      <c r="E21774" s="3" t="s">
        <v>100</v>
      </c>
      <c r="F21774" s="7">
        <v>46165.44154186583</v>
      </c>
      <c r="G21774" s="3" t="s">
        <v>3482</v>
      </c>
    </row>
    <row r="21775">
      <c r="A21775" s="3" t="s">
        <v>38077</v>
      </c>
      <c r="B21775" s="3" t="s">
        <v>18050</v>
      </c>
      <c r="C21775" s="5" t="s">
        <v>206</v>
      </c>
      <c r="D21775" s="3" t="s">
        <v>68</v>
      </c>
      <c r="E21775" s="3" t="s">
        <v>100</v>
      </c>
      <c r="F21775" s="7">
        <v>46165.44501408805</v>
      </c>
      <c r="G21775" s="3" t="s">
        <v>3485</v>
      </c>
    </row>
    <row r="21776">
      <c r="A21776" s="3" t="s">
        <v>38078</v>
      </c>
      <c r="B21776" s="3" t="s">
        <v>18054</v>
      </c>
      <c r="C21776" s="5" t="s">
        <v>45</v>
      </c>
      <c r="D21776" s="3" t="s">
        <v>221</v>
      </c>
      <c r="E21776" s="3" t="s">
        <v>575</v>
      </c>
      <c r="F21776" s="7">
        <v>46165.505772266806</v>
      </c>
      <c r="G21776" s="3" t="s">
        <v>3488</v>
      </c>
    </row>
    <row r="21777">
      <c r="A21777" s="3" t="s">
        <v>38079</v>
      </c>
      <c r="B21777" s="3" t="s">
        <v>18054</v>
      </c>
      <c r="C21777" s="5" t="s">
        <v>221</v>
      </c>
      <c r="D21777" s="3" t="s">
        <v>614</v>
      </c>
      <c r="E21777" s="3" t="s">
        <v>118</v>
      </c>
      <c r="F21777" s="7">
        <v>46165.509244489025</v>
      </c>
      <c r="G21777" s="3" t="s">
        <v>3491</v>
      </c>
    </row>
    <row r="21778">
      <c r="A21778" s="3" t="s">
        <v>38080</v>
      </c>
      <c r="B21778" s="3" t="s">
        <v>18054</v>
      </c>
      <c r="C21778" s="5" t="s">
        <v>614</v>
      </c>
      <c r="D21778" s="3" t="s">
        <v>206</v>
      </c>
      <c r="E21778" s="3" t="s">
        <v>100</v>
      </c>
      <c r="F21778" s="7">
        <v>46165.51271671125</v>
      </c>
      <c r="G21778" s="3" t="s">
        <v>3494</v>
      </c>
    </row>
    <row r="21779">
      <c r="A21779" s="3" t="s">
        <v>38081</v>
      </c>
      <c r="B21779" s="3" t="s">
        <v>18054</v>
      </c>
      <c r="C21779" s="5" t="s">
        <v>206</v>
      </c>
      <c r="D21779" s="3" t="s">
        <v>68</v>
      </c>
      <c r="E21779" s="3" t="s">
        <v>100</v>
      </c>
      <c r="F21779" s="7">
        <v>46165.51618893347</v>
      </c>
      <c r="G21779" s="3" t="s">
        <v>3496</v>
      </c>
    </row>
    <row r="21780">
      <c r="A21780" s="3" t="s">
        <v>38082</v>
      </c>
      <c r="B21780" s="3" t="s">
        <v>18058</v>
      </c>
      <c r="C21780" s="5" t="s">
        <v>45</v>
      </c>
      <c r="D21780" s="3" t="s">
        <v>221</v>
      </c>
      <c r="E21780" s="3" t="s">
        <v>313</v>
      </c>
      <c r="F21780" s="7">
        <v>46165.576947112226</v>
      </c>
      <c r="G21780" s="3" t="s">
        <v>3499</v>
      </c>
    </row>
    <row r="21781">
      <c r="A21781" s="3" t="s">
        <v>38083</v>
      </c>
      <c r="B21781" s="3" t="s">
        <v>18058</v>
      </c>
      <c r="C21781" s="5" t="s">
        <v>221</v>
      </c>
      <c r="D21781" s="3" t="s">
        <v>614</v>
      </c>
      <c r="E21781" s="3" t="s">
        <v>118</v>
      </c>
      <c r="F21781" s="7">
        <v>46165.580419334445</v>
      </c>
      <c r="G21781" s="3" t="s">
        <v>3502</v>
      </c>
    </row>
    <row r="21782">
      <c r="A21782" s="3" t="s">
        <v>38084</v>
      </c>
      <c r="B21782" s="3" t="s">
        <v>18058</v>
      </c>
      <c r="C21782" s="5" t="s">
        <v>614</v>
      </c>
      <c r="D21782" s="3" t="s">
        <v>206</v>
      </c>
      <c r="E21782" s="3" t="s">
        <v>100</v>
      </c>
      <c r="F21782" s="7">
        <v>46165.58389155667</v>
      </c>
      <c r="G21782" s="3" t="s">
        <v>3505</v>
      </c>
    </row>
    <row r="21783">
      <c r="A21783" s="3" t="s">
        <v>38085</v>
      </c>
      <c r="B21783" s="3" t="s">
        <v>18058</v>
      </c>
      <c r="C21783" s="5" t="s">
        <v>206</v>
      </c>
      <c r="D21783" s="3" t="s">
        <v>68</v>
      </c>
      <c r="E21783" s="3" t="s">
        <v>100</v>
      </c>
      <c r="F21783" s="7">
        <v>46165.58736377889</v>
      </c>
      <c r="G21783" s="3" t="s">
        <v>3508</v>
      </c>
    </row>
    <row r="21784">
      <c r="A21784" s="3" t="s">
        <v>38086</v>
      </c>
      <c r="B21784" s="3" t="s">
        <v>18061</v>
      </c>
      <c r="C21784" s="5" t="s">
        <v>45</v>
      </c>
      <c r="D21784" s="3" t="s">
        <v>221</v>
      </c>
      <c r="E21784" s="3" t="s">
        <v>137</v>
      </c>
      <c r="F21784" s="7">
        <v>46165.64812195763</v>
      </c>
      <c r="G21784" s="3" t="s">
        <v>3511</v>
      </c>
    </row>
    <row r="21785">
      <c r="A21785" s="3" t="s">
        <v>38087</v>
      </c>
      <c r="B21785" s="3" t="s">
        <v>18061</v>
      </c>
      <c r="C21785" s="5" t="s">
        <v>221</v>
      </c>
      <c r="D21785" s="3" t="s">
        <v>614</v>
      </c>
      <c r="E21785" s="3" t="s">
        <v>118</v>
      </c>
      <c r="F21785" s="7">
        <v>46165.65159417985</v>
      </c>
      <c r="G21785" s="3" t="s">
        <v>3514</v>
      </c>
    </row>
    <row r="21786">
      <c r="A21786" s="3" t="s">
        <v>38088</v>
      </c>
      <c r="B21786" s="3" t="s">
        <v>18061</v>
      </c>
      <c r="C21786" s="5" t="s">
        <v>614</v>
      </c>
      <c r="D21786" s="3" t="s">
        <v>206</v>
      </c>
      <c r="E21786" s="3" t="s">
        <v>100</v>
      </c>
      <c r="F21786" s="7">
        <v>46165.655066402076</v>
      </c>
      <c r="G21786" s="3" t="s">
        <v>3517</v>
      </c>
    </row>
    <row r="21787">
      <c r="A21787" s="3" t="s">
        <v>38089</v>
      </c>
      <c r="B21787" s="3" t="s">
        <v>18061</v>
      </c>
      <c r="C21787" s="5" t="s">
        <v>206</v>
      </c>
      <c r="D21787" s="3" t="s">
        <v>68</v>
      </c>
      <c r="E21787" s="3" t="s">
        <v>100</v>
      </c>
      <c r="F21787" s="7">
        <v>46165.658538624295</v>
      </c>
      <c r="G21787" s="3" t="s">
        <v>3520</v>
      </c>
    </row>
    <row r="21788">
      <c r="A21788" s="3" t="s">
        <v>38090</v>
      </c>
      <c r="B21788" s="3" t="s">
        <v>18063</v>
      </c>
      <c r="C21788" s="5" t="s">
        <v>45</v>
      </c>
      <c r="D21788" s="3" t="s">
        <v>221</v>
      </c>
      <c r="E21788" s="3" t="s">
        <v>373</v>
      </c>
      <c r="F21788" s="7">
        <v>46165.71929680305</v>
      </c>
      <c r="G21788" s="3" t="s">
        <v>15279</v>
      </c>
    </row>
    <row r="21789">
      <c r="A21789" s="3" t="s">
        <v>38091</v>
      </c>
      <c r="B21789" s="3" t="s">
        <v>18063</v>
      </c>
      <c r="C21789" s="5" t="s">
        <v>221</v>
      </c>
      <c r="D21789" s="3" t="s">
        <v>195</v>
      </c>
      <c r="E21789" s="3" t="s">
        <v>373</v>
      </c>
      <c r="F21789" s="7">
        <v>46165.72276902527</v>
      </c>
      <c r="G21789" s="3" t="s">
        <v>37283</v>
      </c>
    </row>
    <row r="21790">
      <c r="A21790" s="3" t="s">
        <v>38092</v>
      </c>
      <c r="B21790" s="3" t="s">
        <v>18065</v>
      </c>
      <c r="C21790" s="5" t="s">
        <v>45</v>
      </c>
      <c r="D21790" s="3" t="s">
        <v>221</v>
      </c>
      <c r="E21790" s="3" t="s">
        <v>1008</v>
      </c>
      <c r="F21790" s="7">
        <v>46165.79047164846</v>
      </c>
      <c r="G21790" s="3" t="s">
        <v>19713</v>
      </c>
    </row>
    <row r="21791">
      <c r="A21791" s="3" t="s">
        <v>38093</v>
      </c>
      <c r="B21791" s="3" t="s">
        <v>18065</v>
      </c>
      <c r="C21791" s="5" t="s">
        <v>221</v>
      </c>
      <c r="D21791" s="3" t="s">
        <v>614</v>
      </c>
      <c r="E21791" s="3" t="s">
        <v>118</v>
      </c>
      <c r="F21791" s="7">
        <v>46165.79394387068</v>
      </c>
      <c r="G21791" s="3" t="s">
        <v>19716</v>
      </c>
    </row>
    <row r="21792">
      <c r="A21792" s="3" t="s">
        <v>38094</v>
      </c>
      <c r="B21792" s="3" t="s">
        <v>18065</v>
      </c>
      <c r="C21792" s="5" t="s">
        <v>614</v>
      </c>
      <c r="D21792" s="3" t="s">
        <v>206</v>
      </c>
      <c r="E21792" s="3" t="s">
        <v>100</v>
      </c>
      <c r="F21792" s="7">
        <v>46165.79741609291</v>
      </c>
      <c r="G21792" s="3" t="s">
        <v>19719</v>
      </c>
    </row>
    <row r="21793">
      <c r="A21793" s="3" t="s">
        <v>38095</v>
      </c>
      <c r="B21793" s="3" t="s">
        <v>18065</v>
      </c>
      <c r="C21793" s="5" t="s">
        <v>206</v>
      </c>
      <c r="D21793" s="3" t="s">
        <v>68</v>
      </c>
      <c r="E21793" s="3" t="s">
        <v>100</v>
      </c>
      <c r="F21793" s="7">
        <v>46165.80088831513</v>
      </c>
      <c r="G21793" s="3" t="s">
        <v>19722</v>
      </c>
    </row>
    <row r="21794">
      <c r="A21794" s="3" t="s">
        <v>38096</v>
      </c>
      <c r="B21794" s="3" t="s">
        <v>18068</v>
      </c>
      <c r="C21794" s="5" t="s">
        <v>45</v>
      </c>
      <c r="D21794" s="3" t="s">
        <v>221</v>
      </c>
      <c r="E21794" s="3" t="s">
        <v>900</v>
      </c>
      <c r="F21794" s="7">
        <v>46165.86164649388</v>
      </c>
      <c r="G21794" s="3" t="s">
        <v>3523</v>
      </c>
    </row>
    <row r="21795">
      <c r="A21795" s="3" t="s">
        <v>38097</v>
      </c>
      <c r="B21795" s="3" t="s">
        <v>18068</v>
      </c>
      <c r="C21795" s="5" t="s">
        <v>221</v>
      </c>
      <c r="D21795" s="3" t="s">
        <v>614</v>
      </c>
      <c r="E21795" s="3" t="s">
        <v>118</v>
      </c>
      <c r="F21795" s="7">
        <v>46165.8651187161</v>
      </c>
      <c r="G21795" s="3" t="s">
        <v>3526</v>
      </c>
    </row>
    <row r="21796">
      <c r="A21796" s="3" t="s">
        <v>38098</v>
      </c>
      <c r="B21796" s="3" t="s">
        <v>18068</v>
      </c>
      <c r="C21796" s="5" t="s">
        <v>614</v>
      </c>
      <c r="D21796" s="3" t="s">
        <v>206</v>
      </c>
      <c r="E21796" s="3" t="s">
        <v>100</v>
      </c>
      <c r="F21796" s="7">
        <v>46165.86859093833</v>
      </c>
      <c r="G21796" s="3" t="s">
        <v>3528</v>
      </c>
    </row>
    <row r="21797">
      <c r="A21797" s="3" t="s">
        <v>38099</v>
      </c>
      <c r="B21797" s="3" t="s">
        <v>18068</v>
      </c>
      <c r="C21797" s="5" t="s">
        <v>206</v>
      </c>
      <c r="D21797" s="3" t="s">
        <v>68</v>
      </c>
      <c r="E21797" s="3" t="s">
        <v>100</v>
      </c>
      <c r="F21797" s="7">
        <v>46165.87206316055</v>
      </c>
      <c r="G21797" s="3" t="s">
        <v>3531</v>
      </c>
    </row>
    <row r="21798">
      <c r="A21798" s="3" t="s">
        <v>38100</v>
      </c>
      <c r="B21798" s="3" t="s">
        <v>18071</v>
      </c>
      <c r="C21798" s="5" t="s">
        <v>45</v>
      </c>
      <c r="D21798" s="3" t="s">
        <v>221</v>
      </c>
      <c r="E21798" s="3" t="s">
        <v>640</v>
      </c>
      <c r="F21798" s="7">
        <v>46165.932821339295</v>
      </c>
      <c r="G21798" s="3" t="s">
        <v>11214</v>
      </c>
    </row>
    <row r="21799">
      <c r="A21799" s="3" t="s">
        <v>38101</v>
      </c>
      <c r="B21799" s="3" t="s">
        <v>18071</v>
      </c>
      <c r="C21799" s="5" t="s">
        <v>221</v>
      </c>
      <c r="D21799" s="3" t="s">
        <v>614</v>
      </c>
      <c r="E21799" s="3" t="s">
        <v>118</v>
      </c>
      <c r="F21799" s="7">
        <v>46165.93629356151</v>
      </c>
      <c r="G21799" s="3" t="s">
        <v>11216</v>
      </c>
    </row>
    <row r="21800">
      <c r="A21800" s="3" t="s">
        <v>38102</v>
      </c>
      <c r="B21800" s="3" t="s">
        <v>18071</v>
      </c>
      <c r="C21800" s="5" t="s">
        <v>614</v>
      </c>
      <c r="D21800" s="3" t="s">
        <v>206</v>
      </c>
      <c r="E21800" s="3" t="s">
        <v>100</v>
      </c>
      <c r="F21800" s="7">
        <v>46165.93976578374</v>
      </c>
      <c r="G21800" s="3" t="s">
        <v>11218</v>
      </c>
    </row>
    <row r="21801">
      <c r="A21801" s="3" t="s">
        <v>38103</v>
      </c>
      <c r="B21801" s="3" t="s">
        <v>18071</v>
      </c>
      <c r="C21801" s="5" t="s">
        <v>206</v>
      </c>
      <c r="D21801" s="3" t="s">
        <v>68</v>
      </c>
      <c r="E21801" s="3" t="s">
        <v>100</v>
      </c>
      <c r="F21801" s="7">
        <v>46165.94323800596</v>
      </c>
      <c r="G21801" s="3" t="s">
        <v>11221</v>
      </c>
    </row>
    <row r="21802">
      <c r="A21802" s="3" t="s">
        <v>38104</v>
      </c>
      <c r="B21802" s="3" t="s">
        <v>18074</v>
      </c>
      <c r="C21802" s="5" t="s">
        <v>45</v>
      </c>
      <c r="D21802" s="3" t="s">
        <v>221</v>
      </c>
      <c r="E21802" s="3" t="s">
        <v>601</v>
      </c>
      <c r="F21802" s="7">
        <v>46166.003996184714</v>
      </c>
      <c r="G21802" s="3" t="s">
        <v>3534</v>
      </c>
    </row>
    <row r="21803">
      <c r="A21803" s="3" t="s">
        <v>38105</v>
      </c>
      <c r="B21803" s="3" t="s">
        <v>18074</v>
      </c>
      <c r="C21803" s="5" t="s">
        <v>221</v>
      </c>
      <c r="D21803" s="3" t="s">
        <v>614</v>
      </c>
      <c r="E21803" s="3" t="s">
        <v>118</v>
      </c>
      <c r="F21803" s="7">
        <v>46166.00746840693</v>
      </c>
      <c r="G21803" s="3" t="s">
        <v>3537</v>
      </c>
    </row>
    <row r="21804">
      <c r="A21804" s="3" t="s">
        <v>38106</v>
      </c>
      <c r="B21804" s="3" t="s">
        <v>18074</v>
      </c>
      <c r="C21804" s="5" t="s">
        <v>614</v>
      </c>
      <c r="D21804" s="3" t="s">
        <v>206</v>
      </c>
      <c r="E21804" s="3" t="s">
        <v>100</v>
      </c>
      <c r="F21804" s="7">
        <v>46166.01094062916</v>
      </c>
      <c r="G21804" s="3" t="s">
        <v>3540</v>
      </c>
    </row>
    <row r="21805">
      <c r="A21805" s="3" t="s">
        <v>38107</v>
      </c>
      <c r="B21805" s="3" t="s">
        <v>18074</v>
      </c>
      <c r="C21805" s="5" t="s">
        <v>206</v>
      </c>
      <c r="D21805" s="3" t="s">
        <v>68</v>
      </c>
      <c r="E21805" s="3" t="s">
        <v>100</v>
      </c>
      <c r="F21805" s="7">
        <v>46166.01441285138</v>
      </c>
      <c r="G21805" s="3" t="s">
        <v>3543</v>
      </c>
    </row>
    <row r="21806">
      <c r="A21806" s="3" t="s">
        <v>38108</v>
      </c>
      <c r="B21806" s="3" t="s">
        <v>18078</v>
      </c>
      <c r="C21806" s="5" t="s">
        <v>45</v>
      </c>
      <c r="D21806" s="3" t="s">
        <v>221</v>
      </c>
      <c r="E21806" s="3" t="s">
        <v>260</v>
      </c>
      <c r="F21806" s="7">
        <v>46166.07517103012</v>
      </c>
      <c r="G21806" s="3" t="s">
        <v>4895</v>
      </c>
    </row>
    <row r="21807">
      <c r="A21807" s="3" t="s">
        <v>38109</v>
      </c>
      <c r="B21807" s="3" t="s">
        <v>18078</v>
      </c>
      <c r="C21807" s="5" t="s">
        <v>221</v>
      </c>
      <c r="D21807" s="3" t="s">
        <v>614</v>
      </c>
      <c r="E21807" s="3" t="s">
        <v>118</v>
      </c>
      <c r="F21807" s="7">
        <v>46166.07864325234</v>
      </c>
      <c r="G21807" s="3" t="s">
        <v>4898</v>
      </c>
    </row>
    <row r="21808">
      <c r="A21808" s="3" t="s">
        <v>38110</v>
      </c>
      <c r="B21808" s="3" t="s">
        <v>18078</v>
      </c>
      <c r="C21808" s="5" t="s">
        <v>614</v>
      </c>
      <c r="D21808" s="3" t="s">
        <v>206</v>
      </c>
      <c r="E21808" s="3" t="s">
        <v>100</v>
      </c>
      <c r="F21808" s="7">
        <v>46166.082115474564</v>
      </c>
      <c r="G21808" s="3" t="s">
        <v>4900</v>
      </c>
    </row>
    <row r="21809">
      <c r="A21809" s="3" t="s">
        <v>38111</v>
      </c>
      <c r="B21809" s="3" t="s">
        <v>18078</v>
      </c>
      <c r="C21809" s="5" t="s">
        <v>206</v>
      </c>
      <c r="D21809" s="3" t="s">
        <v>68</v>
      </c>
      <c r="E21809" s="3" t="s">
        <v>100</v>
      </c>
      <c r="F21809" s="7">
        <v>46166.08558769678</v>
      </c>
      <c r="G21809" s="3" t="s">
        <v>4903</v>
      </c>
    </row>
    <row r="21810">
      <c r="A21810" s="3" t="s">
        <v>38112</v>
      </c>
      <c r="B21810" s="3" t="s">
        <v>18080</v>
      </c>
      <c r="C21810" s="5" t="s">
        <v>45</v>
      </c>
      <c r="D21810" s="3" t="s">
        <v>221</v>
      </c>
      <c r="E21810" s="3" t="s">
        <v>722</v>
      </c>
      <c r="F21810" s="7">
        <v>46166.14634587554</v>
      </c>
      <c r="G21810" s="3" t="s">
        <v>28491</v>
      </c>
    </row>
    <row r="21811">
      <c r="A21811" s="3" t="s">
        <v>38113</v>
      </c>
      <c r="B21811" s="3" t="s">
        <v>18080</v>
      </c>
      <c r="C21811" s="5" t="s">
        <v>221</v>
      </c>
      <c r="D21811" s="3" t="s">
        <v>195</v>
      </c>
      <c r="E21811" s="3" t="s">
        <v>722</v>
      </c>
      <c r="F21811" s="7">
        <v>46166.14981809776</v>
      </c>
      <c r="G21811" s="3" t="s">
        <v>38114</v>
      </c>
    </row>
    <row r="21812">
      <c r="A21812" s="3" t="s">
        <v>38115</v>
      </c>
      <c r="B21812" s="3" t="s">
        <v>18084</v>
      </c>
      <c r="C21812" s="5" t="s">
        <v>45</v>
      </c>
      <c r="D21812" s="3" t="s">
        <v>221</v>
      </c>
      <c r="E21812" s="3" t="s">
        <v>565</v>
      </c>
      <c r="F21812" s="7">
        <v>46166.21752072096</v>
      </c>
      <c r="G21812" s="3" t="s">
        <v>18129</v>
      </c>
    </row>
    <row r="21813">
      <c r="A21813" s="3" t="s">
        <v>38116</v>
      </c>
      <c r="B21813" s="3" t="s">
        <v>18084</v>
      </c>
      <c r="C21813" s="5" t="s">
        <v>221</v>
      </c>
      <c r="D21813" s="3" t="s">
        <v>614</v>
      </c>
      <c r="E21813" s="3" t="s">
        <v>118</v>
      </c>
      <c r="F21813" s="7">
        <v>46166.22099294318</v>
      </c>
      <c r="G21813" s="3" t="s">
        <v>18132</v>
      </c>
    </row>
    <row r="21814">
      <c r="A21814" s="3" t="s">
        <v>38117</v>
      </c>
      <c r="B21814" s="3" t="s">
        <v>18084</v>
      </c>
      <c r="C21814" s="5" t="s">
        <v>614</v>
      </c>
      <c r="D21814" s="3" t="s">
        <v>206</v>
      </c>
      <c r="E21814" s="3" t="s">
        <v>100</v>
      </c>
      <c r="F21814" s="7">
        <v>46166.224465165404</v>
      </c>
      <c r="G21814" s="3" t="s">
        <v>18135</v>
      </c>
    </row>
    <row r="21815">
      <c r="A21815" s="3" t="s">
        <v>38118</v>
      </c>
      <c r="B21815" s="3" t="s">
        <v>18084</v>
      </c>
      <c r="C21815" s="5" t="s">
        <v>206</v>
      </c>
      <c r="D21815" s="3" t="s">
        <v>68</v>
      </c>
      <c r="E21815" s="3" t="s">
        <v>100</v>
      </c>
      <c r="F21815" s="7">
        <v>46166.22793738762</v>
      </c>
      <c r="G21815" s="3" t="s">
        <v>18137</v>
      </c>
    </row>
    <row r="21816">
      <c r="A21816" s="3" t="s">
        <v>38119</v>
      </c>
      <c r="B21816" s="3" t="s">
        <v>18087</v>
      </c>
      <c r="C21816" s="5" t="s">
        <v>45</v>
      </c>
      <c r="D21816" s="3" t="s">
        <v>221</v>
      </c>
      <c r="E21816" s="3" t="s">
        <v>202</v>
      </c>
      <c r="F21816" s="7">
        <v>46166.28869556637</v>
      </c>
      <c r="G21816" s="3" t="s">
        <v>3545</v>
      </c>
    </row>
    <row r="21817">
      <c r="A21817" s="3" t="s">
        <v>38120</v>
      </c>
      <c r="B21817" s="3" t="s">
        <v>18087</v>
      </c>
      <c r="C21817" s="5" t="s">
        <v>221</v>
      </c>
      <c r="D21817" s="3" t="s">
        <v>614</v>
      </c>
      <c r="E21817" s="3" t="s">
        <v>118</v>
      </c>
      <c r="F21817" s="7">
        <v>46166.29216778859</v>
      </c>
      <c r="G21817" s="3" t="s">
        <v>3548</v>
      </c>
    </row>
    <row r="21818">
      <c r="A21818" s="3" t="s">
        <v>38121</v>
      </c>
      <c r="B21818" s="3" t="s">
        <v>18087</v>
      </c>
      <c r="C21818" s="5" t="s">
        <v>614</v>
      </c>
      <c r="D21818" s="3" t="s">
        <v>206</v>
      </c>
      <c r="E21818" s="3" t="s">
        <v>100</v>
      </c>
      <c r="F21818" s="7">
        <v>46166.295640010816</v>
      </c>
      <c r="G21818" s="3" t="s">
        <v>3551</v>
      </c>
    </row>
    <row r="21819">
      <c r="A21819" s="3" t="s">
        <v>38122</v>
      </c>
      <c r="B21819" s="3" t="s">
        <v>18087</v>
      </c>
      <c r="C21819" s="5" t="s">
        <v>206</v>
      </c>
      <c r="D21819" s="3" t="s">
        <v>68</v>
      </c>
      <c r="E21819" s="3" t="s">
        <v>100</v>
      </c>
      <c r="F21819" s="7">
        <v>46166.299112233035</v>
      </c>
      <c r="G21819" s="3" t="s">
        <v>3554</v>
      </c>
    </row>
    <row r="21820">
      <c r="A21820" s="3" t="s">
        <v>38123</v>
      </c>
      <c r="B21820" s="3" t="s">
        <v>18090</v>
      </c>
      <c r="C21820" s="5" t="s">
        <v>45</v>
      </c>
      <c r="D21820" s="3" t="s">
        <v>221</v>
      </c>
      <c r="E21820" s="3" t="s">
        <v>685</v>
      </c>
      <c r="F21820" s="7">
        <v>46166.35987041178</v>
      </c>
      <c r="G21820" s="3" t="s">
        <v>3557</v>
      </c>
    </row>
    <row r="21821">
      <c r="A21821" s="3" t="s">
        <v>38124</v>
      </c>
      <c r="B21821" s="3" t="s">
        <v>18090</v>
      </c>
      <c r="C21821" s="5" t="s">
        <v>221</v>
      </c>
      <c r="D21821" s="3" t="s">
        <v>614</v>
      </c>
      <c r="E21821" s="3" t="s">
        <v>118</v>
      </c>
      <c r="F21821" s="7">
        <v>46166.363342634</v>
      </c>
      <c r="G21821" s="3" t="s">
        <v>3562</v>
      </c>
    </row>
    <row r="21822">
      <c r="A21822" s="3" t="s">
        <v>38125</v>
      </c>
      <c r="B21822" s="3" t="s">
        <v>18090</v>
      </c>
      <c r="C21822" s="5" t="s">
        <v>614</v>
      </c>
      <c r="D21822" s="3" t="s">
        <v>206</v>
      </c>
      <c r="E21822" s="3" t="s">
        <v>100</v>
      </c>
      <c r="F21822" s="7">
        <v>46166.36681485623</v>
      </c>
      <c r="G21822" s="3" t="s">
        <v>3564</v>
      </c>
    </row>
    <row r="21823">
      <c r="A21823" s="3" t="s">
        <v>38126</v>
      </c>
      <c r="B21823" s="3" t="s">
        <v>18090</v>
      </c>
      <c r="C21823" s="5" t="s">
        <v>206</v>
      </c>
      <c r="D21823" s="3" t="s">
        <v>68</v>
      </c>
      <c r="E21823" s="3" t="s">
        <v>100</v>
      </c>
      <c r="F21823" s="7">
        <v>46166.37028707845</v>
      </c>
      <c r="G21823" s="3" t="s">
        <v>3567</v>
      </c>
    </row>
    <row r="21824">
      <c r="A21824" s="3" t="s">
        <v>38127</v>
      </c>
      <c r="B21824" s="3" t="s">
        <v>18095</v>
      </c>
      <c r="C21824" s="5" t="s">
        <v>45</v>
      </c>
      <c r="D21824" s="3" t="s">
        <v>221</v>
      </c>
      <c r="E21824" s="3" t="s">
        <v>559</v>
      </c>
      <c r="F21824" s="7">
        <v>46166.4310452572</v>
      </c>
      <c r="G21824" s="3" t="s">
        <v>4101</v>
      </c>
    </row>
    <row r="21825">
      <c r="A21825" s="3" t="s">
        <v>38128</v>
      </c>
      <c r="B21825" s="3" t="s">
        <v>18095</v>
      </c>
      <c r="C21825" s="5" t="s">
        <v>221</v>
      </c>
      <c r="D21825" s="3" t="s">
        <v>614</v>
      </c>
      <c r="E21825" s="3" t="s">
        <v>118</v>
      </c>
      <c r="F21825" s="7">
        <v>46166.43451747942</v>
      </c>
      <c r="G21825" s="3" t="s">
        <v>4104</v>
      </c>
    </row>
    <row r="21826">
      <c r="A21826" s="3" t="s">
        <v>38129</v>
      </c>
      <c r="B21826" s="3" t="s">
        <v>18095</v>
      </c>
      <c r="C21826" s="5" t="s">
        <v>614</v>
      </c>
      <c r="D21826" s="3" t="s">
        <v>206</v>
      </c>
      <c r="E21826" s="3" t="s">
        <v>100</v>
      </c>
      <c r="F21826" s="7">
        <v>46166.43798970165</v>
      </c>
      <c r="G21826" s="3" t="s">
        <v>4107</v>
      </c>
    </row>
    <row r="21827">
      <c r="A21827" s="3" t="s">
        <v>38130</v>
      </c>
      <c r="B21827" s="3" t="s">
        <v>18095</v>
      </c>
      <c r="C21827" s="5" t="s">
        <v>206</v>
      </c>
      <c r="D21827" s="3" t="s">
        <v>68</v>
      </c>
      <c r="E21827" s="3" t="s">
        <v>100</v>
      </c>
      <c r="F21827" s="7">
        <v>46166.44146192387</v>
      </c>
      <c r="G21827" s="3" t="s">
        <v>4110</v>
      </c>
    </row>
    <row r="21828">
      <c r="A21828" s="3" t="s">
        <v>38131</v>
      </c>
      <c r="B21828" s="3" t="s">
        <v>18098</v>
      </c>
      <c r="C21828" s="5" t="s">
        <v>45</v>
      </c>
      <c r="D21828" s="3" t="s">
        <v>221</v>
      </c>
      <c r="E21828" s="3" t="s">
        <v>398</v>
      </c>
      <c r="F21828" s="7">
        <v>46166.502220102615</v>
      </c>
      <c r="G21828" s="3" t="s">
        <v>3570</v>
      </c>
    </row>
    <row r="21829">
      <c r="A21829" s="3" t="s">
        <v>38132</v>
      </c>
      <c r="B21829" s="3" t="s">
        <v>18098</v>
      </c>
      <c r="C21829" s="5" t="s">
        <v>221</v>
      </c>
      <c r="D21829" s="3" t="s">
        <v>614</v>
      </c>
      <c r="E21829" s="3" t="s">
        <v>118</v>
      </c>
      <c r="F21829" s="7">
        <v>46166.505692324834</v>
      </c>
      <c r="G21829" s="3" t="s">
        <v>3573</v>
      </c>
    </row>
    <row r="21830">
      <c r="A21830" s="3" t="s">
        <v>38133</v>
      </c>
      <c r="B21830" s="3" t="s">
        <v>18098</v>
      </c>
      <c r="C21830" s="5" t="s">
        <v>614</v>
      </c>
      <c r="D21830" s="3" t="s">
        <v>206</v>
      </c>
      <c r="E21830" s="3" t="s">
        <v>100</v>
      </c>
      <c r="F21830" s="7">
        <v>46166.50916454706</v>
      </c>
      <c r="G21830" s="3" t="s">
        <v>3576</v>
      </c>
    </row>
    <row r="21831">
      <c r="A21831" s="3" t="s">
        <v>38134</v>
      </c>
      <c r="B21831" s="3" t="s">
        <v>18098</v>
      </c>
      <c r="C21831" s="5" t="s">
        <v>206</v>
      </c>
      <c r="D21831" s="3" t="s">
        <v>68</v>
      </c>
      <c r="E21831" s="3" t="s">
        <v>100</v>
      </c>
      <c r="F21831" s="7">
        <v>46166.51263676928</v>
      </c>
      <c r="G21831" s="3" t="s">
        <v>3579</v>
      </c>
    </row>
    <row r="21832">
      <c r="A21832" s="3" t="s">
        <v>38135</v>
      </c>
      <c r="B21832" s="3" t="s">
        <v>18101</v>
      </c>
      <c r="C21832" s="5" t="s">
        <v>45</v>
      </c>
      <c r="D21832" s="3" t="s">
        <v>221</v>
      </c>
      <c r="E21832" s="3" t="s">
        <v>130</v>
      </c>
      <c r="F21832" s="7">
        <v>46166.57339494803</v>
      </c>
      <c r="G21832" s="3" t="s">
        <v>4330</v>
      </c>
    </row>
    <row r="21833">
      <c r="A21833" s="3" t="s">
        <v>38136</v>
      </c>
      <c r="B21833" s="3" t="s">
        <v>18101</v>
      </c>
      <c r="C21833" s="5" t="s">
        <v>221</v>
      </c>
      <c r="D21833" s="3" t="s">
        <v>181</v>
      </c>
      <c r="E21833" s="3" t="s">
        <v>118</v>
      </c>
      <c r="F21833" s="7">
        <v>46166.576867170246</v>
      </c>
      <c r="G21833" s="3" t="s">
        <v>38137</v>
      </c>
    </row>
    <row r="21834">
      <c r="A21834" s="3" t="s">
        <v>38138</v>
      </c>
      <c r="B21834" s="3" t="s">
        <v>18104</v>
      </c>
      <c r="C21834" s="5" t="s">
        <v>45</v>
      </c>
      <c r="D21834" s="3" t="s">
        <v>221</v>
      </c>
      <c r="E21834" s="3" t="s">
        <v>773</v>
      </c>
      <c r="F21834" s="7">
        <v>46166.64456979345</v>
      </c>
      <c r="G21834" s="3" t="s">
        <v>2770</v>
      </c>
    </row>
    <row r="21835">
      <c r="A21835" s="3" t="s">
        <v>38139</v>
      </c>
      <c r="B21835" s="3" t="s">
        <v>18104</v>
      </c>
      <c r="C21835" s="5" t="s">
        <v>221</v>
      </c>
      <c r="D21835" s="3" t="s">
        <v>181</v>
      </c>
      <c r="E21835" s="3" t="s">
        <v>118</v>
      </c>
      <c r="F21835" s="7">
        <v>46166.648042015666</v>
      </c>
      <c r="G21835" s="3" t="s">
        <v>2774</v>
      </c>
    </row>
    <row r="21836">
      <c r="A21836" s="3" t="s">
        <v>38140</v>
      </c>
      <c r="B21836" s="3" t="s">
        <v>18107</v>
      </c>
      <c r="C21836" s="5" t="s">
        <v>45</v>
      </c>
      <c r="D21836" s="3" t="s">
        <v>221</v>
      </c>
      <c r="E21836" s="3" t="s">
        <v>665</v>
      </c>
      <c r="F21836" s="7">
        <v>46166.71574463887</v>
      </c>
      <c r="G21836" s="3" t="s">
        <v>18767</v>
      </c>
    </row>
    <row r="21837">
      <c r="A21837" s="3" t="s">
        <v>38141</v>
      </c>
      <c r="B21837" s="3" t="s">
        <v>18107</v>
      </c>
      <c r="C21837" s="5" t="s">
        <v>221</v>
      </c>
      <c r="D21837" s="3" t="s">
        <v>614</v>
      </c>
      <c r="E21837" s="3" t="s">
        <v>118</v>
      </c>
      <c r="F21837" s="7">
        <v>46166.719216861085</v>
      </c>
      <c r="G21837" s="3" t="s">
        <v>18769</v>
      </c>
    </row>
    <row r="21838">
      <c r="A21838" s="3" t="s">
        <v>38142</v>
      </c>
      <c r="B21838" s="3" t="s">
        <v>18107</v>
      </c>
      <c r="C21838" s="5" t="s">
        <v>614</v>
      </c>
      <c r="D21838" s="3" t="s">
        <v>206</v>
      </c>
      <c r="E21838" s="3" t="s">
        <v>100</v>
      </c>
      <c r="F21838" s="7">
        <v>46166.72268908331</v>
      </c>
      <c r="G21838" s="3" t="s">
        <v>18772</v>
      </c>
    </row>
    <row r="21839">
      <c r="A21839" s="3" t="s">
        <v>38143</v>
      </c>
      <c r="B21839" s="3" t="s">
        <v>18107</v>
      </c>
      <c r="C21839" s="5" t="s">
        <v>206</v>
      </c>
      <c r="D21839" s="3" t="s">
        <v>68</v>
      </c>
      <c r="E21839" s="3" t="s">
        <v>100</v>
      </c>
      <c r="F21839" s="7">
        <v>46166.72616130553</v>
      </c>
      <c r="G21839" s="3" t="s">
        <v>18775</v>
      </c>
    </row>
    <row r="21840">
      <c r="A21840" s="3" t="s">
        <v>38144</v>
      </c>
      <c r="B21840" s="3" t="s">
        <v>18110</v>
      </c>
      <c r="C21840" s="5" t="s">
        <v>45</v>
      </c>
      <c r="D21840" s="3" t="s">
        <v>221</v>
      </c>
      <c r="E21840" s="3" t="s">
        <v>296</v>
      </c>
      <c r="F21840" s="7">
        <v>46166.78691948427</v>
      </c>
      <c r="G21840" s="3" t="s">
        <v>18572</v>
      </c>
    </row>
    <row r="21841">
      <c r="A21841" s="3" t="s">
        <v>38145</v>
      </c>
      <c r="B21841" s="3" t="s">
        <v>18110</v>
      </c>
      <c r="C21841" s="5" t="s">
        <v>221</v>
      </c>
      <c r="D21841" s="3" t="s">
        <v>614</v>
      </c>
      <c r="E21841" s="3" t="s">
        <v>118</v>
      </c>
      <c r="F21841" s="7">
        <v>46166.79039170649</v>
      </c>
      <c r="G21841" s="3" t="s">
        <v>18575</v>
      </c>
    </row>
    <row r="21842">
      <c r="A21842" s="3" t="s">
        <v>38146</v>
      </c>
      <c r="B21842" s="3" t="s">
        <v>18110</v>
      </c>
      <c r="C21842" s="5" t="s">
        <v>614</v>
      </c>
      <c r="D21842" s="3" t="s">
        <v>206</v>
      </c>
      <c r="E21842" s="3" t="s">
        <v>100</v>
      </c>
      <c r="F21842" s="7">
        <v>46166.79386392872</v>
      </c>
      <c r="G21842" s="3" t="s">
        <v>18578</v>
      </c>
    </row>
    <row r="21843">
      <c r="A21843" s="3" t="s">
        <v>38147</v>
      </c>
      <c r="B21843" s="3" t="s">
        <v>18110</v>
      </c>
      <c r="C21843" s="5" t="s">
        <v>206</v>
      </c>
      <c r="D21843" s="3" t="s">
        <v>68</v>
      </c>
      <c r="E21843" s="3" t="s">
        <v>100</v>
      </c>
      <c r="F21843" s="7">
        <v>46166.797336150936</v>
      </c>
      <c r="G21843" s="3" t="s">
        <v>18581</v>
      </c>
    </row>
    <row r="21844">
      <c r="A21844" s="3" t="s">
        <v>38148</v>
      </c>
      <c r="B21844" s="3" t="s">
        <v>18113</v>
      </c>
      <c r="C21844" s="5" t="s">
        <v>45</v>
      </c>
      <c r="D21844" s="3" t="s">
        <v>221</v>
      </c>
      <c r="E21844" s="3" t="s">
        <v>581</v>
      </c>
      <c r="F21844" s="7">
        <v>46166.85809432969</v>
      </c>
      <c r="G21844" s="3" t="s">
        <v>28310</v>
      </c>
    </row>
    <row r="21845">
      <c r="A21845" s="3" t="s">
        <v>38149</v>
      </c>
      <c r="B21845" s="3" t="s">
        <v>18113</v>
      </c>
      <c r="C21845" s="5" t="s">
        <v>221</v>
      </c>
      <c r="D21845" s="3" t="s">
        <v>614</v>
      </c>
      <c r="E21845" s="3" t="s">
        <v>118</v>
      </c>
      <c r="F21845" s="7">
        <v>46166.86156655191</v>
      </c>
      <c r="G21845" s="3" t="s">
        <v>30346</v>
      </c>
    </row>
    <row r="21846">
      <c r="A21846" s="3" t="s">
        <v>38150</v>
      </c>
      <c r="B21846" s="3" t="s">
        <v>18113</v>
      </c>
      <c r="C21846" s="5" t="s">
        <v>614</v>
      </c>
      <c r="D21846" s="3" t="s">
        <v>206</v>
      </c>
      <c r="E21846" s="3" t="s">
        <v>100</v>
      </c>
      <c r="F21846" s="7">
        <v>46166.865038774136</v>
      </c>
      <c r="G21846" s="3" t="s">
        <v>30348</v>
      </c>
    </row>
    <row r="21847">
      <c r="A21847" s="3" t="s">
        <v>38151</v>
      </c>
      <c r="B21847" s="3" t="s">
        <v>18113</v>
      </c>
      <c r="C21847" s="5" t="s">
        <v>206</v>
      </c>
      <c r="D21847" s="3" t="s">
        <v>68</v>
      </c>
      <c r="E21847" s="3" t="s">
        <v>100</v>
      </c>
      <c r="F21847" s="7">
        <v>46166.868510996355</v>
      </c>
      <c r="G21847" s="3" t="s">
        <v>30350</v>
      </c>
    </row>
    <row r="21848">
      <c r="A21848" s="3" t="s">
        <v>38152</v>
      </c>
      <c r="B21848" s="3" t="s">
        <v>18117</v>
      </c>
      <c r="C21848" s="5" t="s">
        <v>45</v>
      </c>
      <c r="D21848" s="3" t="s">
        <v>221</v>
      </c>
      <c r="E21848" s="3" t="s">
        <v>1008</v>
      </c>
      <c r="F21848" s="7">
        <v>46166.92926917511</v>
      </c>
      <c r="G21848" s="3" t="s">
        <v>3594</v>
      </c>
    </row>
    <row r="21849">
      <c r="A21849" s="3" t="s">
        <v>38153</v>
      </c>
      <c r="B21849" s="3" t="s">
        <v>18117</v>
      </c>
      <c r="C21849" s="5" t="s">
        <v>221</v>
      </c>
      <c r="D21849" s="3" t="s">
        <v>614</v>
      </c>
      <c r="E21849" s="3" t="s">
        <v>118</v>
      </c>
      <c r="F21849" s="7">
        <v>46166.93274139733</v>
      </c>
      <c r="G21849" s="3" t="s">
        <v>3597</v>
      </c>
    </row>
    <row r="21850">
      <c r="A21850" s="3" t="s">
        <v>38154</v>
      </c>
      <c r="B21850" s="3" t="s">
        <v>18117</v>
      </c>
      <c r="C21850" s="5" t="s">
        <v>614</v>
      </c>
      <c r="D21850" s="3" t="s">
        <v>206</v>
      </c>
      <c r="E21850" s="3" t="s">
        <v>100</v>
      </c>
      <c r="F21850" s="7">
        <v>46166.936213619556</v>
      </c>
      <c r="G21850" s="3" t="s">
        <v>3600</v>
      </c>
    </row>
    <row r="21851">
      <c r="A21851" s="3" t="s">
        <v>38155</v>
      </c>
      <c r="B21851" s="3" t="s">
        <v>18117</v>
      </c>
      <c r="C21851" s="5" t="s">
        <v>206</v>
      </c>
      <c r="D21851" s="3" t="s">
        <v>68</v>
      </c>
      <c r="E21851" s="3" t="s">
        <v>100</v>
      </c>
      <c r="F21851" s="7">
        <v>46166.939685841775</v>
      </c>
      <c r="G21851" s="3" t="s">
        <v>3603</v>
      </c>
    </row>
    <row r="21852">
      <c r="A21852" s="3" t="s">
        <v>38156</v>
      </c>
      <c r="B21852" s="3" t="s">
        <v>18120</v>
      </c>
      <c r="C21852" s="5" t="s">
        <v>45</v>
      </c>
      <c r="D21852" s="3" t="s">
        <v>221</v>
      </c>
      <c r="E21852" s="3" t="s">
        <v>468</v>
      </c>
      <c r="F21852" s="7">
        <v>46167.00044402052</v>
      </c>
      <c r="G21852" s="3" t="s">
        <v>18163</v>
      </c>
    </row>
    <row r="21853">
      <c r="A21853" s="3" t="s">
        <v>38157</v>
      </c>
      <c r="B21853" s="3" t="s">
        <v>18120</v>
      </c>
      <c r="C21853" s="5" t="s">
        <v>221</v>
      </c>
      <c r="D21853" s="3" t="s">
        <v>614</v>
      </c>
      <c r="E21853" s="3" t="s">
        <v>118</v>
      </c>
      <c r="F21853" s="7">
        <v>46167.00391624274</v>
      </c>
      <c r="G21853" s="3" t="s">
        <v>18165</v>
      </c>
    </row>
    <row r="21854">
      <c r="A21854" s="3" t="s">
        <v>38158</v>
      </c>
      <c r="B21854" s="3" t="s">
        <v>18120</v>
      </c>
      <c r="C21854" s="5" t="s">
        <v>614</v>
      </c>
      <c r="D21854" s="3" t="s">
        <v>206</v>
      </c>
      <c r="E21854" s="3" t="s">
        <v>100</v>
      </c>
      <c r="F21854" s="7">
        <v>46167.00738846497</v>
      </c>
      <c r="G21854" s="3" t="s">
        <v>18168</v>
      </c>
    </row>
    <row r="21855">
      <c r="A21855" s="3" t="s">
        <v>38159</v>
      </c>
      <c r="B21855" s="3" t="s">
        <v>18120</v>
      </c>
      <c r="C21855" s="5" t="s">
        <v>206</v>
      </c>
      <c r="D21855" s="3" t="s">
        <v>68</v>
      </c>
      <c r="E21855" s="3" t="s">
        <v>100</v>
      </c>
      <c r="F21855" s="7">
        <v>46167.01086068719</v>
      </c>
      <c r="G21855" s="3" t="s">
        <v>18171</v>
      </c>
    </row>
    <row r="21856">
      <c r="A21856" s="3" t="s">
        <v>38160</v>
      </c>
      <c r="B21856" s="3" t="s">
        <v>18124</v>
      </c>
      <c r="C21856" s="5" t="s">
        <v>45</v>
      </c>
      <c r="D21856" s="3" t="s">
        <v>221</v>
      </c>
      <c r="E21856" s="3" t="s">
        <v>662</v>
      </c>
      <c r="F21856" s="7">
        <v>46167.071618865935</v>
      </c>
      <c r="G21856" s="3" t="s">
        <v>19303</v>
      </c>
    </row>
    <row r="21857">
      <c r="A21857" s="3" t="s">
        <v>38161</v>
      </c>
      <c r="B21857" s="3" t="s">
        <v>18124</v>
      </c>
      <c r="C21857" s="5" t="s">
        <v>221</v>
      </c>
      <c r="D21857" s="3" t="s">
        <v>614</v>
      </c>
      <c r="E21857" s="3" t="s">
        <v>118</v>
      </c>
      <c r="F21857" s="7">
        <v>46167.075091088154</v>
      </c>
      <c r="G21857" s="3" t="s">
        <v>19306</v>
      </c>
    </row>
    <row r="21858">
      <c r="A21858" s="3" t="s">
        <v>38162</v>
      </c>
      <c r="B21858" s="3" t="s">
        <v>18124</v>
      </c>
      <c r="C21858" s="5" t="s">
        <v>614</v>
      </c>
      <c r="D21858" s="3" t="s">
        <v>206</v>
      </c>
      <c r="E21858" s="3" t="s">
        <v>100</v>
      </c>
      <c r="F21858" s="7">
        <v>46167.07856331038</v>
      </c>
      <c r="G21858" s="3" t="s">
        <v>19309</v>
      </c>
    </row>
    <row r="21859">
      <c r="A21859" s="3" t="s">
        <v>38163</v>
      </c>
      <c r="B21859" s="3" t="s">
        <v>18124</v>
      </c>
      <c r="C21859" s="5" t="s">
        <v>206</v>
      </c>
      <c r="D21859" s="3" t="s">
        <v>68</v>
      </c>
      <c r="E21859" s="3" t="s">
        <v>100</v>
      </c>
      <c r="F21859" s="7">
        <v>46167.0820355326</v>
      </c>
      <c r="G21859" s="3" t="s">
        <v>19312</v>
      </c>
    </row>
    <row r="21860">
      <c r="A21860" s="3" t="s">
        <v>38164</v>
      </c>
      <c r="B21860" s="3" t="s">
        <v>18128</v>
      </c>
      <c r="C21860" s="5" t="s">
        <v>45</v>
      </c>
      <c r="D21860" s="3" t="s">
        <v>221</v>
      </c>
      <c r="E21860" s="3" t="s">
        <v>569</v>
      </c>
      <c r="F21860" s="7">
        <v>46167.142793711355</v>
      </c>
      <c r="G21860" s="3" t="s">
        <v>3605</v>
      </c>
    </row>
    <row r="21861">
      <c r="A21861" s="3" t="s">
        <v>38165</v>
      </c>
      <c r="B21861" s="3" t="s">
        <v>18128</v>
      </c>
      <c r="C21861" s="5" t="s">
        <v>221</v>
      </c>
      <c r="D21861" s="3" t="s">
        <v>614</v>
      </c>
      <c r="E21861" s="3" t="s">
        <v>118</v>
      </c>
      <c r="F21861" s="7">
        <v>46167.146265933574</v>
      </c>
      <c r="G21861" s="3" t="s">
        <v>3608</v>
      </c>
    </row>
    <row r="21862">
      <c r="A21862" s="3" t="s">
        <v>38166</v>
      </c>
      <c r="B21862" s="3" t="s">
        <v>18128</v>
      </c>
      <c r="C21862" s="5" t="s">
        <v>614</v>
      </c>
      <c r="D21862" s="3" t="s">
        <v>206</v>
      </c>
      <c r="E21862" s="3" t="s">
        <v>100</v>
      </c>
      <c r="F21862" s="7">
        <v>46167.1497381558</v>
      </c>
      <c r="G21862" s="3" t="s">
        <v>3611</v>
      </c>
    </row>
    <row r="21863">
      <c r="A21863" s="3" t="s">
        <v>38167</v>
      </c>
      <c r="B21863" s="3" t="s">
        <v>18128</v>
      </c>
      <c r="C21863" s="5" t="s">
        <v>206</v>
      </c>
      <c r="D21863" s="3" t="s">
        <v>68</v>
      </c>
      <c r="E21863" s="3" t="s">
        <v>100</v>
      </c>
      <c r="F21863" s="7">
        <v>46167.15321037802</v>
      </c>
      <c r="G21863" s="3" t="s">
        <v>3614</v>
      </c>
    </row>
    <row r="21864">
      <c r="A21864" s="3" t="s">
        <v>38168</v>
      </c>
      <c r="B21864" s="3" t="s">
        <v>18131</v>
      </c>
      <c r="C21864" s="5" t="s">
        <v>45</v>
      </c>
      <c r="D21864" s="3" t="s">
        <v>221</v>
      </c>
      <c r="E21864" s="3" t="s">
        <v>224</v>
      </c>
      <c r="F21864" s="7">
        <v>46167.21396855677</v>
      </c>
      <c r="G21864" s="3" t="s">
        <v>15998</v>
      </c>
    </row>
    <row r="21865">
      <c r="A21865" s="3" t="s">
        <v>38169</v>
      </c>
      <c r="B21865" s="3" t="s">
        <v>18131</v>
      </c>
      <c r="C21865" s="5" t="s">
        <v>221</v>
      </c>
      <c r="D21865" s="3" t="s">
        <v>614</v>
      </c>
      <c r="E21865" s="3" t="s">
        <v>118</v>
      </c>
      <c r="F21865" s="7">
        <v>46167.217440778986</v>
      </c>
      <c r="G21865" s="3" t="s">
        <v>16001</v>
      </c>
    </row>
    <row r="21866">
      <c r="A21866" s="3" t="s">
        <v>38170</v>
      </c>
      <c r="B21866" s="3" t="s">
        <v>18131</v>
      </c>
      <c r="C21866" s="5" t="s">
        <v>614</v>
      </c>
      <c r="D21866" s="3" t="s">
        <v>206</v>
      </c>
      <c r="E21866" s="3" t="s">
        <v>100</v>
      </c>
      <c r="F21866" s="7">
        <v>46167.22091300121</v>
      </c>
      <c r="G21866" s="3" t="s">
        <v>16003</v>
      </c>
    </row>
    <row r="21867">
      <c r="A21867" s="3" t="s">
        <v>38171</v>
      </c>
      <c r="B21867" s="3" t="s">
        <v>18131</v>
      </c>
      <c r="C21867" s="5" t="s">
        <v>206</v>
      </c>
      <c r="D21867" s="3" t="s">
        <v>68</v>
      </c>
      <c r="E21867" s="3" t="s">
        <v>100</v>
      </c>
      <c r="F21867" s="7">
        <v>46167.22438522343</v>
      </c>
      <c r="G21867" s="3" t="s">
        <v>16006</v>
      </c>
    </row>
    <row r="21868">
      <c r="A21868" s="3" t="s">
        <v>38172</v>
      </c>
      <c r="B21868" s="3" t="s">
        <v>18134</v>
      </c>
      <c r="C21868" s="5" t="s">
        <v>45</v>
      </c>
      <c r="D21868" s="3" t="s">
        <v>221</v>
      </c>
      <c r="E21868" s="3" t="s">
        <v>632</v>
      </c>
      <c r="F21868" s="7">
        <v>46167.28514340218</v>
      </c>
      <c r="G21868" s="3" t="s">
        <v>14886</v>
      </c>
    </row>
    <row r="21869">
      <c r="A21869" s="3" t="s">
        <v>38173</v>
      </c>
      <c r="B21869" s="3" t="s">
        <v>18134</v>
      </c>
      <c r="C21869" s="5" t="s">
        <v>221</v>
      </c>
      <c r="D21869" s="3" t="s">
        <v>614</v>
      </c>
      <c r="E21869" s="3" t="s">
        <v>118</v>
      </c>
      <c r="F21869" s="7">
        <v>46167.2886156244</v>
      </c>
      <c r="G21869" s="3" t="s">
        <v>14889</v>
      </c>
    </row>
    <row r="21870">
      <c r="A21870" s="3" t="s">
        <v>38174</v>
      </c>
      <c r="B21870" s="3" t="s">
        <v>18134</v>
      </c>
      <c r="C21870" s="5" t="s">
        <v>614</v>
      </c>
      <c r="D21870" s="3" t="s">
        <v>206</v>
      </c>
      <c r="E21870" s="3" t="s">
        <v>100</v>
      </c>
      <c r="F21870" s="7">
        <v>46167.292087846625</v>
      </c>
      <c r="G21870" s="3" t="s">
        <v>14892</v>
      </c>
    </row>
    <row r="21871">
      <c r="A21871" s="3" t="s">
        <v>38175</v>
      </c>
      <c r="B21871" s="3" t="s">
        <v>18134</v>
      </c>
      <c r="C21871" s="5" t="s">
        <v>206</v>
      </c>
      <c r="D21871" s="3" t="s">
        <v>68</v>
      </c>
      <c r="E21871" s="3" t="s">
        <v>100</v>
      </c>
      <c r="F21871" s="7">
        <v>46167.295560068844</v>
      </c>
      <c r="G21871" s="3" t="s">
        <v>14895</v>
      </c>
    </row>
    <row r="21872">
      <c r="A21872" s="3" t="s">
        <v>38176</v>
      </c>
      <c r="B21872" s="3" t="s">
        <v>18138</v>
      </c>
      <c r="C21872" s="5" t="s">
        <v>45</v>
      </c>
      <c r="D21872" s="3" t="s">
        <v>221</v>
      </c>
      <c r="E21872" s="3" t="s">
        <v>224</v>
      </c>
      <c r="F21872" s="7">
        <v>46167.3563182476</v>
      </c>
      <c r="G21872" s="3" t="s">
        <v>15998</v>
      </c>
    </row>
    <row r="21873">
      <c r="A21873" s="3" t="s">
        <v>38177</v>
      </c>
      <c r="B21873" s="3" t="s">
        <v>18138</v>
      </c>
      <c r="C21873" s="5" t="s">
        <v>221</v>
      </c>
      <c r="D21873" s="3" t="s">
        <v>614</v>
      </c>
      <c r="E21873" s="3" t="s">
        <v>118</v>
      </c>
      <c r="F21873" s="7">
        <v>46167.35979046982</v>
      </c>
      <c r="G21873" s="3" t="s">
        <v>16001</v>
      </c>
    </row>
    <row r="21874">
      <c r="A21874" s="3" t="s">
        <v>38178</v>
      </c>
      <c r="B21874" s="3" t="s">
        <v>18138</v>
      </c>
      <c r="C21874" s="5" t="s">
        <v>614</v>
      </c>
      <c r="D21874" s="3" t="s">
        <v>206</v>
      </c>
      <c r="E21874" s="3" t="s">
        <v>100</v>
      </c>
      <c r="F21874" s="7">
        <v>46167.363262692044</v>
      </c>
      <c r="G21874" s="3" t="s">
        <v>16003</v>
      </c>
    </row>
    <row r="21875">
      <c r="A21875" s="3" t="s">
        <v>38179</v>
      </c>
      <c r="B21875" s="3" t="s">
        <v>18138</v>
      </c>
      <c r="C21875" s="5" t="s">
        <v>206</v>
      </c>
      <c r="D21875" s="3" t="s">
        <v>68</v>
      </c>
      <c r="E21875" s="3" t="s">
        <v>100</v>
      </c>
      <c r="F21875" s="7">
        <v>46167.36673491426</v>
      </c>
      <c r="G21875" s="3" t="s">
        <v>16006</v>
      </c>
    </row>
    <row r="21876">
      <c r="A21876" s="3" t="s">
        <v>38180</v>
      </c>
      <c r="B21876" s="3" t="s">
        <v>18141</v>
      </c>
      <c r="C21876" s="5" t="s">
        <v>45</v>
      </c>
      <c r="D21876" s="3" t="s">
        <v>221</v>
      </c>
      <c r="E21876" s="3" t="s">
        <v>742</v>
      </c>
      <c r="F21876" s="7">
        <v>46167.42749309301</v>
      </c>
      <c r="G21876" s="3" t="s">
        <v>12542</v>
      </c>
    </row>
    <row r="21877">
      <c r="A21877" s="3" t="s">
        <v>38181</v>
      </c>
      <c r="B21877" s="3" t="s">
        <v>18141</v>
      </c>
      <c r="C21877" s="5" t="s">
        <v>221</v>
      </c>
      <c r="D21877" s="3" t="s">
        <v>614</v>
      </c>
      <c r="E21877" s="3" t="s">
        <v>118</v>
      </c>
      <c r="F21877" s="7">
        <v>46167.43096531523</v>
      </c>
      <c r="G21877" s="3" t="s">
        <v>12545</v>
      </c>
    </row>
    <row r="21878">
      <c r="A21878" s="3" t="s">
        <v>38182</v>
      </c>
      <c r="B21878" s="3" t="s">
        <v>18141</v>
      </c>
      <c r="C21878" s="5" t="s">
        <v>614</v>
      </c>
      <c r="D21878" s="3" t="s">
        <v>206</v>
      </c>
      <c r="E21878" s="3" t="s">
        <v>100</v>
      </c>
      <c r="F21878" s="7">
        <v>46167.43443753746</v>
      </c>
      <c r="G21878" s="3" t="s">
        <v>12549</v>
      </c>
    </row>
    <row r="21879">
      <c r="A21879" s="3" t="s">
        <v>38183</v>
      </c>
      <c r="B21879" s="3" t="s">
        <v>18141</v>
      </c>
      <c r="C21879" s="5" t="s">
        <v>206</v>
      </c>
      <c r="D21879" s="3" t="s">
        <v>68</v>
      </c>
      <c r="E21879" s="3" t="s">
        <v>100</v>
      </c>
      <c r="F21879" s="7">
        <v>46167.437909759676</v>
      </c>
      <c r="G21879" s="3" t="s">
        <v>12552</v>
      </c>
    </row>
    <row r="21880">
      <c r="A21880" s="3" t="s">
        <v>38184</v>
      </c>
      <c r="B21880" s="3" t="s">
        <v>18145</v>
      </c>
      <c r="C21880" s="5" t="s">
        <v>45</v>
      </c>
      <c r="D21880" s="3" t="s">
        <v>221</v>
      </c>
      <c r="E21880" s="3" t="s">
        <v>539</v>
      </c>
      <c r="F21880" s="7">
        <v>46167.498667938424</v>
      </c>
      <c r="G21880" s="3" t="s">
        <v>10291</v>
      </c>
    </row>
    <row r="21881">
      <c r="A21881" s="3" t="s">
        <v>38185</v>
      </c>
      <c r="B21881" s="3" t="s">
        <v>18145</v>
      </c>
      <c r="C21881" s="5" t="s">
        <v>221</v>
      </c>
      <c r="D21881" s="3" t="s">
        <v>614</v>
      </c>
      <c r="E21881" s="3" t="s">
        <v>118</v>
      </c>
      <c r="F21881" s="7">
        <v>46167.50214016064</v>
      </c>
      <c r="G21881" s="3" t="s">
        <v>10294</v>
      </c>
    </row>
    <row r="21882">
      <c r="A21882" s="3" t="s">
        <v>38186</v>
      </c>
      <c r="B21882" s="3" t="s">
        <v>18145</v>
      </c>
      <c r="C21882" s="5" t="s">
        <v>614</v>
      </c>
      <c r="D21882" s="3" t="s">
        <v>206</v>
      </c>
      <c r="E21882" s="3" t="s">
        <v>100</v>
      </c>
      <c r="F21882" s="7">
        <v>46167.50561238287</v>
      </c>
      <c r="G21882" s="3" t="s">
        <v>10296</v>
      </c>
    </row>
    <row r="21883">
      <c r="A21883" s="3" t="s">
        <v>38187</v>
      </c>
      <c r="B21883" s="3" t="s">
        <v>18145</v>
      </c>
      <c r="C21883" s="5" t="s">
        <v>206</v>
      </c>
      <c r="D21883" s="3" t="s">
        <v>68</v>
      </c>
      <c r="E21883" s="3" t="s">
        <v>100</v>
      </c>
      <c r="F21883" s="7">
        <v>46167.50908460509</v>
      </c>
      <c r="G21883" s="3" t="s">
        <v>10299</v>
      </c>
    </row>
    <row r="21884">
      <c r="A21884" s="3" t="s">
        <v>38188</v>
      </c>
      <c r="B21884" s="3" t="s">
        <v>18148</v>
      </c>
      <c r="C21884" s="5" t="s">
        <v>45</v>
      </c>
      <c r="D21884" s="3" t="s">
        <v>221</v>
      </c>
      <c r="E21884" s="3" t="s">
        <v>515</v>
      </c>
      <c r="F21884" s="7">
        <v>46167.56984278384</v>
      </c>
      <c r="G21884" s="3" t="s">
        <v>2770</v>
      </c>
    </row>
    <row r="21885">
      <c r="A21885" s="3" t="s">
        <v>38189</v>
      </c>
      <c r="B21885" s="3" t="s">
        <v>18148</v>
      </c>
      <c r="C21885" s="5" t="s">
        <v>221</v>
      </c>
      <c r="D21885" s="3" t="s">
        <v>181</v>
      </c>
      <c r="E21885" s="3" t="s">
        <v>118</v>
      </c>
      <c r="F21885" s="7">
        <v>46167.57331500606</v>
      </c>
      <c r="G21885" s="3" t="s">
        <v>2774</v>
      </c>
    </row>
    <row r="21886">
      <c r="A21886" s="3" t="s">
        <v>38190</v>
      </c>
      <c r="B21886" s="3" t="s">
        <v>18152</v>
      </c>
      <c r="C21886" s="5" t="s">
        <v>45</v>
      </c>
      <c r="D21886" s="3" t="s">
        <v>221</v>
      </c>
      <c r="E21886" s="3" t="s">
        <v>326</v>
      </c>
      <c r="F21886" s="7">
        <v>46167.641017629256</v>
      </c>
      <c r="G21886" s="3" t="s">
        <v>18415</v>
      </c>
    </row>
    <row r="21887">
      <c r="A21887" s="3" t="s">
        <v>38191</v>
      </c>
      <c r="B21887" s="3" t="s">
        <v>18152</v>
      </c>
      <c r="C21887" s="5" t="s">
        <v>221</v>
      </c>
      <c r="D21887" s="3" t="s">
        <v>614</v>
      </c>
      <c r="E21887" s="3" t="s">
        <v>118</v>
      </c>
      <c r="F21887" s="7">
        <v>46167.644489851475</v>
      </c>
      <c r="G21887" s="3" t="s">
        <v>22698</v>
      </c>
    </row>
    <row r="21888">
      <c r="A21888" s="3" t="s">
        <v>38192</v>
      </c>
      <c r="B21888" s="3" t="s">
        <v>18152</v>
      </c>
      <c r="C21888" s="5" t="s">
        <v>614</v>
      </c>
      <c r="D21888" s="3" t="s">
        <v>206</v>
      </c>
      <c r="E21888" s="3" t="s">
        <v>100</v>
      </c>
      <c r="F21888" s="7">
        <v>46167.6479620737</v>
      </c>
      <c r="G21888" s="3" t="s">
        <v>22701</v>
      </c>
    </row>
    <row r="21889">
      <c r="A21889" s="3" t="s">
        <v>38193</v>
      </c>
      <c r="B21889" s="3" t="s">
        <v>18152</v>
      </c>
      <c r="C21889" s="5" t="s">
        <v>206</v>
      </c>
      <c r="D21889" s="3" t="s">
        <v>68</v>
      </c>
      <c r="E21889" s="3" t="s">
        <v>100</v>
      </c>
      <c r="F21889" s="7">
        <v>46167.65143429592</v>
      </c>
      <c r="G21889" s="3" t="s">
        <v>22703</v>
      </c>
    </row>
    <row r="21890">
      <c r="A21890" s="3" t="s">
        <v>38194</v>
      </c>
      <c r="B21890" s="3" t="s">
        <v>18156</v>
      </c>
      <c r="C21890" s="5" t="s">
        <v>45</v>
      </c>
      <c r="D21890" s="3" t="s">
        <v>221</v>
      </c>
      <c r="E21890" s="3" t="s">
        <v>296</v>
      </c>
      <c r="F21890" s="7">
        <v>46167.71219247467</v>
      </c>
      <c r="G21890" s="3" t="s">
        <v>18572</v>
      </c>
    </row>
    <row r="21891">
      <c r="A21891" s="3" t="s">
        <v>38195</v>
      </c>
      <c r="B21891" s="3" t="s">
        <v>18156</v>
      </c>
      <c r="C21891" s="5" t="s">
        <v>221</v>
      </c>
      <c r="D21891" s="3" t="s">
        <v>614</v>
      </c>
      <c r="E21891" s="3" t="s">
        <v>118</v>
      </c>
      <c r="F21891" s="7">
        <v>46167.71566469689</v>
      </c>
      <c r="G21891" s="3" t="s">
        <v>18575</v>
      </c>
    </row>
    <row r="21892">
      <c r="A21892" s="3" t="s">
        <v>38196</v>
      </c>
      <c r="B21892" s="3" t="s">
        <v>18156</v>
      </c>
      <c r="C21892" s="5" t="s">
        <v>614</v>
      </c>
      <c r="D21892" s="3" t="s">
        <v>206</v>
      </c>
      <c r="E21892" s="3" t="s">
        <v>100</v>
      </c>
      <c r="F21892" s="7">
        <v>46167.71913691911</v>
      </c>
      <c r="G21892" s="3" t="s">
        <v>18578</v>
      </c>
    </row>
    <row r="21893">
      <c r="A21893" s="3" t="s">
        <v>38197</v>
      </c>
      <c r="B21893" s="3" t="s">
        <v>18156</v>
      </c>
      <c r="C21893" s="5" t="s">
        <v>206</v>
      </c>
      <c r="D21893" s="3" t="s">
        <v>68</v>
      </c>
      <c r="E21893" s="3" t="s">
        <v>100</v>
      </c>
      <c r="F21893" s="7">
        <v>46167.72260914133</v>
      </c>
      <c r="G21893" s="3" t="s">
        <v>18581</v>
      </c>
    </row>
    <row r="21894">
      <c r="A21894" s="3" t="s">
        <v>38198</v>
      </c>
      <c r="B21894" s="3" t="s">
        <v>18159</v>
      </c>
      <c r="C21894" s="5" t="s">
        <v>45</v>
      </c>
      <c r="D21894" s="3" t="s">
        <v>221</v>
      </c>
      <c r="E21894" s="3" t="s">
        <v>398</v>
      </c>
      <c r="F21894" s="7">
        <v>46167.78336732009</v>
      </c>
      <c r="G21894" s="3" t="s">
        <v>9943</v>
      </c>
    </row>
    <row r="21895">
      <c r="A21895" s="3" t="s">
        <v>38199</v>
      </c>
      <c r="B21895" s="3" t="s">
        <v>18159</v>
      </c>
      <c r="C21895" s="5" t="s">
        <v>221</v>
      </c>
      <c r="D21895" s="3" t="s">
        <v>614</v>
      </c>
      <c r="E21895" s="3" t="s">
        <v>118</v>
      </c>
      <c r="F21895" s="7">
        <v>46167.78683954231</v>
      </c>
      <c r="G21895" s="3" t="s">
        <v>9946</v>
      </c>
    </row>
    <row r="21896">
      <c r="A21896" s="3" t="s">
        <v>38200</v>
      </c>
      <c r="B21896" s="3" t="s">
        <v>18159</v>
      </c>
      <c r="C21896" s="5" t="s">
        <v>614</v>
      </c>
      <c r="D21896" s="3" t="s">
        <v>206</v>
      </c>
      <c r="E21896" s="3" t="s">
        <v>100</v>
      </c>
      <c r="F21896" s="7">
        <v>46167.79031176453</v>
      </c>
      <c r="G21896" s="3" t="s">
        <v>9949</v>
      </c>
    </row>
    <row r="21897">
      <c r="A21897" s="3" t="s">
        <v>38201</v>
      </c>
      <c r="B21897" s="3" t="s">
        <v>18159</v>
      </c>
      <c r="C21897" s="5" t="s">
        <v>206</v>
      </c>
      <c r="D21897" s="3" t="s">
        <v>68</v>
      </c>
      <c r="E21897" s="3" t="s">
        <v>100</v>
      </c>
      <c r="F21897" s="7">
        <v>46167.79378398675</v>
      </c>
      <c r="G21897" s="3" t="s">
        <v>9953</v>
      </c>
    </row>
    <row r="21898">
      <c r="A21898" s="3" t="s">
        <v>38202</v>
      </c>
      <c r="B21898" s="3" t="s">
        <v>18162</v>
      </c>
      <c r="C21898" s="5" t="s">
        <v>45</v>
      </c>
      <c r="D21898" s="3" t="s">
        <v>221</v>
      </c>
      <c r="E21898" s="3" t="s">
        <v>1008</v>
      </c>
      <c r="F21898" s="7">
        <v>46167.85454216551</v>
      </c>
      <c r="G21898" s="3" t="s">
        <v>14478</v>
      </c>
    </row>
    <row r="21899">
      <c r="A21899" s="3" t="s">
        <v>38203</v>
      </c>
      <c r="B21899" s="3" t="s">
        <v>18162</v>
      </c>
      <c r="C21899" s="5" t="s">
        <v>221</v>
      </c>
      <c r="D21899" s="3" t="s">
        <v>614</v>
      </c>
      <c r="E21899" s="3" t="s">
        <v>118</v>
      </c>
      <c r="F21899" s="7">
        <v>46167.858014387726</v>
      </c>
      <c r="G21899" s="3" t="s">
        <v>14481</v>
      </c>
    </row>
    <row r="21900">
      <c r="A21900" s="3" t="s">
        <v>38204</v>
      </c>
      <c r="B21900" s="3" t="s">
        <v>18162</v>
      </c>
      <c r="C21900" s="5" t="s">
        <v>614</v>
      </c>
      <c r="D21900" s="3" t="s">
        <v>206</v>
      </c>
      <c r="E21900" s="3" t="s">
        <v>100</v>
      </c>
      <c r="F21900" s="7">
        <v>46167.86148660995</v>
      </c>
      <c r="G21900" s="3" t="s">
        <v>14484</v>
      </c>
    </row>
    <row r="21901">
      <c r="A21901" s="3" t="s">
        <v>38205</v>
      </c>
      <c r="B21901" s="3" t="s">
        <v>18162</v>
      </c>
      <c r="C21901" s="5" t="s">
        <v>206</v>
      </c>
      <c r="D21901" s="3" t="s">
        <v>68</v>
      </c>
      <c r="E21901" s="3" t="s">
        <v>100</v>
      </c>
      <c r="F21901" s="7">
        <v>46167.86495883217</v>
      </c>
      <c r="G21901" s="3" t="s">
        <v>14487</v>
      </c>
    </row>
    <row r="21902">
      <c r="A21902" s="3" t="s">
        <v>38206</v>
      </c>
      <c r="B21902" s="3" t="s">
        <v>18166</v>
      </c>
      <c r="C21902" s="5" t="s">
        <v>45</v>
      </c>
      <c r="D21902" s="3" t="s">
        <v>221</v>
      </c>
      <c r="E21902" s="3" t="s">
        <v>388</v>
      </c>
      <c r="F21902" s="7">
        <v>46167.92571701091</v>
      </c>
      <c r="G21902" s="3" t="s">
        <v>24147</v>
      </c>
    </row>
    <row r="21903">
      <c r="A21903" s="3" t="s">
        <v>38207</v>
      </c>
      <c r="B21903" s="3" t="s">
        <v>18166</v>
      </c>
      <c r="C21903" s="5" t="s">
        <v>221</v>
      </c>
      <c r="D21903" s="3" t="s">
        <v>181</v>
      </c>
      <c r="E21903" s="3" t="s">
        <v>118</v>
      </c>
      <c r="F21903" s="7">
        <v>46167.92918923313</v>
      </c>
      <c r="G21903" s="3" t="s">
        <v>38208</v>
      </c>
    </row>
    <row r="21904">
      <c r="A21904" s="3" t="s">
        <v>38209</v>
      </c>
      <c r="B21904" s="3" t="s">
        <v>18170</v>
      </c>
      <c r="C21904" s="5" t="s">
        <v>45</v>
      </c>
      <c r="D21904" s="3" t="s">
        <v>221</v>
      </c>
      <c r="E21904" s="3" t="s">
        <v>547</v>
      </c>
      <c r="F21904" s="7">
        <v>46167.99689185633</v>
      </c>
      <c r="G21904" s="3" t="s">
        <v>3632</v>
      </c>
    </row>
    <row r="21905">
      <c r="A21905" s="3" t="s">
        <v>38210</v>
      </c>
      <c r="B21905" s="3" t="s">
        <v>18170</v>
      </c>
      <c r="C21905" s="5" t="s">
        <v>221</v>
      </c>
      <c r="D21905" s="3" t="s">
        <v>614</v>
      </c>
      <c r="E21905" s="3" t="s">
        <v>118</v>
      </c>
      <c r="F21905" s="7">
        <v>46168.00036407855</v>
      </c>
      <c r="G21905" s="3" t="s">
        <v>3635</v>
      </c>
    </row>
    <row r="21906">
      <c r="A21906" s="3" t="s">
        <v>38211</v>
      </c>
      <c r="B21906" s="3" t="s">
        <v>18170</v>
      </c>
      <c r="C21906" s="5" t="s">
        <v>614</v>
      </c>
      <c r="D21906" s="3" t="s">
        <v>206</v>
      </c>
      <c r="E21906" s="3" t="s">
        <v>100</v>
      </c>
      <c r="F21906" s="7">
        <v>46168.00383630078</v>
      </c>
      <c r="G21906" s="3" t="s">
        <v>3638</v>
      </c>
    </row>
    <row r="21907">
      <c r="A21907" s="3" t="s">
        <v>38212</v>
      </c>
      <c r="B21907" s="3" t="s">
        <v>18170</v>
      </c>
      <c r="C21907" s="5" t="s">
        <v>206</v>
      </c>
      <c r="D21907" s="3" t="s">
        <v>68</v>
      </c>
      <c r="E21907" s="3" t="s">
        <v>100</v>
      </c>
      <c r="F21907" s="7">
        <v>46168.007308522996</v>
      </c>
      <c r="G21907" s="3" t="s">
        <v>3641</v>
      </c>
    </row>
    <row r="21908">
      <c r="A21908" s="3" t="s">
        <v>38213</v>
      </c>
      <c r="B21908" s="3" t="s">
        <v>18173</v>
      </c>
      <c r="C21908" s="5" t="s">
        <v>45</v>
      </c>
      <c r="D21908" s="3" t="s">
        <v>221</v>
      </c>
      <c r="E21908" s="3" t="s">
        <v>344</v>
      </c>
      <c r="F21908" s="7">
        <v>46168.06806670175</v>
      </c>
      <c r="G21908" s="3" t="s">
        <v>3644</v>
      </c>
    </row>
    <row r="21909">
      <c r="A21909" s="3" t="s">
        <v>38214</v>
      </c>
      <c r="B21909" s="3" t="s">
        <v>18173</v>
      </c>
      <c r="C21909" s="5" t="s">
        <v>221</v>
      </c>
      <c r="D21909" s="3" t="s">
        <v>614</v>
      </c>
      <c r="E21909" s="3" t="s">
        <v>118</v>
      </c>
      <c r="F21909" s="7">
        <v>46168.07153892397</v>
      </c>
      <c r="G21909" s="3" t="s">
        <v>3647</v>
      </c>
    </row>
    <row r="21910">
      <c r="A21910" s="3" t="s">
        <v>38215</v>
      </c>
      <c r="B21910" s="3" t="s">
        <v>18173</v>
      </c>
      <c r="C21910" s="5" t="s">
        <v>614</v>
      </c>
      <c r="D21910" s="3" t="s">
        <v>206</v>
      </c>
      <c r="E21910" s="3" t="s">
        <v>100</v>
      </c>
      <c r="F21910" s="7">
        <v>46168.0750111462</v>
      </c>
      <c r="G21910" s="3" t="s">
        <v>3650</v>
      </c>
    </row>
    <row r="21911">
      <c r="A21911" s="3" t="s">
        <v>38216</v>
      </c>
      <c r="B21911" s="3" t="s">
        <v>18173</v>
      </c>
      <c r="C21911" s="5" t="s">
        <v>206</v>
      </c>
      <c r="D21911" s="3" t="s">
        <v>68</v>
      </c>
      <c r="E21911" s="3" t="s">
        <v>100</v>
      </c>
      <c r="F21911" s="7">
        <v>46168.078483368416</v>
      </c>
      <c r="G21911" s="3" t="s">
        <v>3653</v>
      </c>
    </row>
    <row r="21912">
      <c r="A21912" s="3" t="s">
        <v>38217</v>
      </c>
      <c r="B21912" s="3" t="s">
        <v>18177</v>
      </c>
      <c r="C21912" s="5" t="s">
        <v>45</v>
      </c>
      <c r="D21912" s="3" t="s">
        <v>221</v>
      </c>
      <c r="E21912" s="3" t="s">
        <v>953</v>
      </c>
      <c r="F21912" s="7">
        <v>46168.139241547164</v>
      </c>
      <c r="G21912" s="3" t="s">
        <v>19658</v>
      </c>
    </row>
    <row r="21913">
      <c r="A21913" s="3" t="s">
        <v>38218</v>
      </c>
      <c r="B21913" s="3" t="s">
        <v>18177</v>
      </c>
      <c r="C21913" s="5" t="s">
        <v>221</v>
      </c>
      <c r="D21913" s="3" t="s">
        <v>614</v>
      </c>
      <c r="E21913" s="3" t="s">
        <v>118</v>
      </c>
      <c r="F21913" s="7">
        <v>46168.14271376938</v>
      </c>
      <c r="G21913" s="3" t="s">
        <v>19661</v>
      </c>
    </row>
    <row r="21914">
      <c r="A21914" s="3" t="s">
        <v>38219</v>
      </c>
      <c r="B21914" s="3" t="s">
        <v>18177</v>
      </c>
      <c r="C21914" s="5" t="s">
        <v>614</v>
      </c>
      <c r="D21914" s="3" t="s">
        <v>206</v>
      </c>
      <c r="E21914" s="3" t="s">
        <v>100</v>
      </c>
      <c r="F21914" s="7">
        <v>46168.14618599161</v>
      </c>
      <c r="G21914" s="3" t="s">
        <v>19664</v>
      </c>
    </row>
    <row r="21915">
      <c r="A21915" s="3" t="s">
        <v>38220</v>
      </c>
      <c r="B21915" s="3" t="s">
        <v>18177</v>
      </c>
      <c r="C21915" s="5" t="s">
        <v>206</v>
      </c>
      <c r="D21915" s="3" t="s">
        <v>68</v>
      </c>
      <c r="E21915" s="3" t="s">
        <v>100</v>
      </c>
      <c r="F21915" s="7">
        <v>46168.14965821383</v>
      </c>
      <c r="G21915" s="3" t="s">
        <v>19667</v>
      </c>
    </row>
    <row r="21916">
      <c r="A21916" s="3" t="s">
        <v>38221</v>
      </c>
      <c r="B21916" s="3" t="s">
        <v>18181</v>
      </c>
      <c r="C21916" s="5" t="s">
        <v>45</v>
      </c>
      <c r="D21916" s="3" t="s">
        <v>221</v>
      </c>
      <c r="E21916" s="3" t="s">
        <v>694</v>
      </c>
      <c r="F21916" s="7">
        <v>46168.210416392576</v>
      </c>
      <c r="G21916" s="3" t="s">
        <v>3667</v>
      </c>
    </row>
    <row r="21917">
      <c r="A21917" s="3" t="s">
        <v>38222</v>
      </c>
      <c r="B21917" s="3" t="s">
        <v>18181</v>
      </c>
      <c r="C21917" s="5" t="s">
        <v>221</v>
      </c>
      <c r="D21917" s="3" t="s">
        <v>614</v>
      </c>
      <c r="E21917" s="3" t="s">
        <v>118</v>
      </c>
      <c r="F21917" s="7">
        <v>46168.213888614795</v>
      </c>
      <c r="G21917" s="3" t="s">
        <v>3670</v>
      </c>
    </row>
    <row r="21918">
      <c r="A21918" s="3" t="s">
        <v>38223</v>
      </c>
      <c r="B21918" s="3" t="s">
        <v>18181</v>
      </c>
      <c r="C21918" s="5" t="s">
        <v>614</v>
      </c>
      <c r="D21918" s="3" t="s">
        <v>206</v>
      </c>
      <c r="E21918" s="3" t="s">
        <v>100</v>
      </c>
      <c r="F21918" s="7">
        <v>46168.21736083702</v>
      </c>
      <c r="G21918" s="3" t="s">
        <v>3673</v>
      </c>
    </row>
    <row r="21919">
      <c r="A21919" s="3" t="s">
        <v>38224</v>
      </c>
      <c r="B21919" s="3" t="s">
        <v>18181</v>
      </c>
      <c r="C21919" s="5" t="s">
        <v>206</v>
      </c>
      <c r="D21919" s="3" t="s">
        <v>68</v>
      </c>
      <c r="E21919" s="3" t="s">
        <v>100</v>
      </c>
      <c r="F21919" s="7">
        <v>46168.22083305924</v>
      </c>
      <c r="G21919" s="3" t="s">
        <v>3676</v>
      </c>
    </row>
    <row r="21920">
      <c r="A21920" s="3" t="s">
        <v>38225</v>
      </c>
      <c r="B21920" s="3" t="s">
        <v>18184</v>
      </c>
      <c r="C21920" s="5" t="s">
        <v>45</v>
      </c>
      <c r="D21920" s="3" t="s">
        <v>221</v>
      </c>
      <c r="E21920" s="3" t="s">
        <v>341</v>
      </c>
      <c r="F21920" s="7">
        <v>46168.281591237996</v>
      </c>
      <c r="G21920" s="3" t="s">
        <v>3696</v>
      </c>
    </row>
    <row r="21921">
      <c r="A21921" s="3" t="s">
        <v>38226</v>
      </c>
      <c r="B21921" s="3" t="s">
        <v>18184</v>
      </c>
      <c r="C21921" s="5" t="s">
        <v>221</v>
      </c>
      <c r="D21921" s="3" t="s">
        <v>614</v>
      </c>
      <c r="E21921" s="3" t="s">
        <v>118</v>
      </c>
      <c r="F21921" s="7">
        <v>46168.285063460215</v>
      </c>
      <c r="G21921" s="3" t="s">
        <v>3699</v>
      </c>
    </row>
    <row r="21922">
      <c r="A21922" s="3" t="s">
        <v>38227</v>
      </c>
      <c r="B21922" s="3" t="s">
        <v>18184</v>
      </c>
      <c r="C21922" s="5" t="s">
        <v>614</v>
      </c>
      <c r="D21922" s="3" t="s">
        <v>206</v>
      </c>
      <c r="E21922" s="3" t="s">
        <v>100</v>
      </c>
      <c r="F21922" s="7">
        <v>46168.28853568244</v>
      </c>
      <c r="G21922" s="3" t="s">
        <v>3702</v>
      </c>
    </row>
    <row r="21923">
      <c r="A21923" s="3" t="s">
        <v>38228</v>
      </c>
      <c r="B21923" s="3" t="s">
        <v>18184</v>
      </c>
      <c r="C21923" s="5" t="s">
        <v>206</v>
      </c>
      <c r="D21923" s="3" t="s">
        <v>68</v>
      </c>
      <c r="E21923" s="3" t="s">
        <v>100</v>
      </c>
      <c r="F21923" s="7">
        <v>46168.29200790466</v>
      </c>
      <c r="G21923" s="3" t="s">
        <v>3705</v>
      </c>
    </row>
    <row r="21924">
      <c r="A21924" s="3" t="s">
        <v>38229</v>
      </c>
      <c r="B21924" s="3" t="s">
        <v>18187</v>
      </c>
      <c r="C21924" s="5" t="s">
        <v>45</v>
      </c>
      <c r="D21924" s="3" t="s">
        <v>221</v>
      </c>
      <c r="E21924" s="3" t="s">
        <v>250</v>
      </c>
      <c r="F21924" s="7">
        <v>46168.35276608341</v>
      </c>
      <c r="G21924" s="3" t="s">
        <v>14421</v>
      </c>
    </row>
    <row r="21925">
      <c r="A21925" s="3" t="s">
        <v>38230</v>
      </c>
      <c r="B21925" s="3" t="s">
        <v>18187</v>
      </c>
      <c r="C21925" s="5" t="s">
        <v>221</v>
      </c>
      <c r="D21925" s="3" t="s">
        <v>614</v>
      </c>
      <c r="E21925" s="3" t="s">
        <v>118</v>
      </c>
      <c r="F21925" s="7">
        <v>46168.35623830563</v>
      </c>
      <c r="G21925" s="3" t="s">
        <v>14424</v>
      </c>
    </row>
    <row r="21926">
      <c r="A21926" s="3" t="s">
        <v>38231</v>
      </c>
      <c r="B21926" s="3" t="s">
        <v>18187</v>
      </c>
      <c r="C21926" s="5" t="s">
        <v>614</v>
      </c>
      <c r="D21926" s="3" t="s">
        <v>206</v>
      </c>
      <c r="E21926" s="3" t="s">
        <v>100</v>
      </c>
      <c r="F21926" s="7">
        <v>46168.35971052785</v>
      </c>
      <c r="G21926" s="3" t="s">
        <v>14427</v>
      </c>
    </row>
    <row r="21927">
      <c r="A21927" s="3" t="s">
        <v>38232</v>
      </c>
      <c r="B21927" s="3" t="s">
        <v>18187</v>
      </c>
      <c r="C21927" s="5" t="s">
        <v>206</v>
      </c>
      <c r="D21927" s="3" t="s">
        <v>68</v>
      </c>
      <c r="E21927" s="3" t="s">
        <v>100</v>
      </c>
      <c r="F21927" s="7">
        <v>46168.36318275007</v>
      </c>
      <c r="G21927" s="3" t="s">
        <v>14430</v>
      </c>
    </row>
    <row r="21928">
      <c r="A21928" s="3" t="s">
        <v>38233</v>
      </c>
      <c r="B21928" s="3" t="s">
        <v>18191</v>
      </c>
      <c r="C21928" s="5" t="s">
        <v>45</v>
      </c>
      <c r="D21928" s="3" t="s">
        <v>221</v>
      </c>
      <c r="E21928" s="3" t="s">
        <v>189</v>
      </c>
      <c r="F21928" s="7">
        <v>46168.42394092882</v>
      </c>
      <c r="G21928" s="3" t="s">
        <v>2770</v>
      </c>
    </row>
    <row r="21929">
      <c r="A21929" s="3" t="s">
        <v>38234</v>
      </c>
      <c r="B21929" s="3" t="s">
        <v>18191</v>
      </c>
      <c r="C21929" s="5" t="s">
        <v>221</v>
      </c>
      <c r="D21929" s="3" t="s">
        <v>195</v>
      </c>
      <c r="E21929" s="3" t="s">
        <v>189</v>
      </c>
      <c r="F21929" s="7">
        <v>46168.42741315104</v>
      </c>
      <c r="G21929" s="3" t="s">
        <v>3055</v>
      </c>
    </row>
    <row r="21930">
      <c r="A21930" s="3" t="s">
        <v>38235</v>
      </c>
      <c r="B21930" s="3" t="s">
        <v>18194</v>
      </c>
      <c r="C21930" s="5" t="s">
        <v>45</v>
      </c>
      <c r="D21930" s="3" t="s">
        <v>221</v>
      </c>
      <c r="E21930" s="3" t="s">
        <v>987</v>
      </c>
      <c r="F21930" s="7">
        <v>46168.49511577424</v>
      </c>
      <c r="G21930" s="3" t="s">
        <v>4078</v>
      </c>
    </row>
    <row r="21931">
      <c r="A21931" s="3" t="s">
        <v>38236</v>
      </c>
      <c r="B21931" s="3" t="s">
        <v>18194</v>
      </c>
      <c r="C21931" s="5" t="s">
        <v>221</v>
      </c>
      <c r="D21931" s="3" t="s">
        <v>614</v>
      </c>
      <c r="E21931" s="3" t="s">
        <v>118</v>
      </c>
      <c r="F21931" s="7">
        <v>46168.49858799646</v>
      </c>
      <c r="G21931" s="3" t="s">
        <v>4080</v>
      </c>
    </row>
    <row r="21932">
      <c r="A21932" s="3" t="s">
        <v>38237</v>
      </c>
      <c r="B21932" s="3" t="s">
        <v>18194</v>
      </c>
      <c r="C21932" s="5" t="s">
        <v>614</v>
      </c>
      <c r="D21932" s="3" t="s">
        <v>206</v>
      </c>
      <c r="E21932" s="3" t="s">
        <v>100</v>
      </c>
      <c r="F21932" s="7">
        <v>46168.502060218685</v>
      </c>
      <c r="G21932" s="3" t="s">
        <v>4083</v>
      </c>
    </row>
    <row r="21933">
      <c r="A21933" s="3" t="s">
        <v>38238</v>
      </c>
      <c r="B21933" s="3" t="s">
        <v>18194</v>
      </c>
      <c r="C21933" s="5" t="s">
        <v>206</v>
      </c>
      <c r="D21933" s="3" t="s">
        <v>68</v>
      </c>
      <c r="E21933" s="3" t="s">
        <v>100</v>
      </c>
      <c r="F21933" s="7">
        <v>46168.505532440904</v>
      </c>
      <c r="G21933" s="3" t="s">
        <v>4086</v>
      </c>
    </row>
    <row r="21934">
      <c r="A21934" s="3" t="s">
        <v>38239</v>
      </c>
      <c r="B21934" s="3" t="s">
        <v>18198</v>
      </c>
      <c r="C21934" s="5" t="s">
        <v>45</v>
      </c>
      <c r="D21934" s="3" t="s">
        <v>221</v>
      </c>
      <c r="E21934" s="3" t="s">
        <v>819</v>
      </c>
      <c r="F21934" s="7">
        <v>46168.56629061966</v>
      </c>
      <c r="G21934" s="3" t="s">
        <v>17970</v>
      </c>
    </row>
    <row r="21935">
      <c r="A21935" s="3" t="s">
        <v>38240</v>
      </c>
      <c r="B21935" s="3" t="s">
        <v>18198</v>
      </c>
      <c r="C21935" s="5" t="s">
        <v>221</v>
      </c>
      <c r="D21935" s="3" t="s">
        <v>614</v>
      </c>
      <c r="E21935" s="3" t="s">
        <v>118</v>
      </c>
      <c r="F21935" s="7">
        <v>46168.56976284188</v>
      </c>
      <c r="G21935" s="3" t="s">
        <v>19775</v>
      </c>
    </row>
    <row r="21936">
      <c r="A21936" s="3" t="s">
        <v>38241</v>
      </c>
      <c r="B21936" s="3" t="s">
        <v>18198</v>
      </c>
      <c r="C21936" s="5" t="s">
        <v>614</v>
      </c>
      <c r="D21936" s="3" t="s">
        <v>206</v>
      </c>
      <c r="E21936" s="3" t="s">
        <v>100</v>
      </c>
      <c r="F21936" s="7">
        <v>46168.573235064105</v>
      </c>
      <c r="G21936" s="3" t="s">
        <v>19778</v>
      </c>
    </row>
    <row r="21937">
      <c r="A21937" s="3" t="s">
        <v>38242</v>
      </c>
      <c r="B21937" s="3" t="s">
        <v>18198</v>
      </c>
      <c r="C21937" s="5" t="s">
        <v>206</v>
      </c>
      <c r="D21937" s="3" t="s">
        <v>68</v>
      </c>
      <c r="E21937" s="3" t="s">
        <v>100</v>
      </c>
      <c r="F21937" s="7">
        <v>46168.576707286324</v>
      </c>
      <c r="G21937" s="3" t="s">
        <v>19781</v>
      </c>
    </row>
    <row r="21938">
      <c r="A21938" s="3" t="s">
        <v>38243</v>
      </c>
      <c r="B21938" s="3" t="s">
        <v>18201</v>
      </c>
      <c r="C21938" s="5" t="s">
        <v>45</v>
      </c>
      <c r="D21938" s="3" t="s">
        <v>221</v>
      </c>
      <c r="E21938" s="3" t="s">
        <v>544</v>
      </c>
      <c r="F21938" s="7">
        <v>46168.637465465064</v>
      </c>
      <c r="G21938" s="3" t="s">
        <v>3707</v>
      </c>
    </row>
    <row r="21939">
      <c r="A21939" s="3" t="s">
        <v>38244</v>
      </c>
      <c r="B21939" s="3" t="s">
        <v>18201</v>
      </c>
      <c r="C21939" s="5" t="s">
        <v>221</v>
      </c>
      <c r="D21939" s="3" t="s">
        <v>614</v>
      </c>
      <c r="E21939" s="3" t="s">
        <v>118</v>
      </c>
      <c r="F21939" s="7">
        <v>46168.64093768728</v>
      </c>
      <c r="G21939" s="3" t="s">
        <v>3710</v>
      </c>
    </row>
    <row r="21940">
      <c r="A21940" s="3" t="s">
        <v>38245</v>
      </c>
      <c r="B21940" s="3" t="s">
        <v>18201</v>
      </c>
      <c r="C21940" s="5" t="s">
        <v>614</v>
      </c>
      <c r="D21940" s="3" t="s">
        <v>206</v>
      </c>
      <c r="E21940" s="3" t="s">
        <v>100</v>
      </c>
      <c r="F21940" s="7">
        <v>46168.64440990951</v>
      </c>
      <c r="G21940" s="3" t="s">
        <v>3713</v>
      </c>
    </row>
    <row r="21941">
      <c r="A21941" s="3" t="s">
        <v>38246</v>
      </c>
      <c r="B21941" s="3" t="s">
        <v>18201</v>
      </c>
      <c r="C21941" s="5" t="s">
        <v>206</v>
      </c>
      <c r="D21941" s="3" t="s">
        <v>68</v>
      </c>
      <c r="E21941" s="3" t="s">
        <v>100</v>
      </c>
      <c r="F21941" s="7">
        <v>46168.64788213173</v>
      </c>
      <c r="G21941" s="3" t="s">
        <v>3716</v>
      </c>
    </row>
    <row r="21942">
      <c r="A21942" s="3" t="s">
        <v>38247</v>
      </c>
      <c r="B21942" s="3" t="s">
        <v>18205</v>
      </c>
      <c r="C21942" s="5" t="s">
        <v>45</v>
      </c>
      <c r="D21942" s="3" t="s">
        <v>221</v>
      </c>
      <c r="E21942" s="3" t="s">
        <v>266</v>
      </c>
      <c r="F21942" s="7">
        <v>46168.708640310484</v>
      </c>
      <c r="G21942" s="3" t="s">
        <v>4342</v>
      </c>
    </row>
    <row r="21943">
      <c r="A21943" s="3" t="s">
        <v>38248</v>
      </c>
      <c r="B21943" s="3" t="s">
        <v>18205</v>
      </c>
      <c r="C21943" s="5" t="s">
        <v>221</v>
      </c>
      <c r="D21943" s="3" t="s">
        <v>614</v>
      </c>
      <c r="E21943" s="3" t="s">
        <v>118</v>
      </c>
      <c r="F21943" s="7">
        <v>46168.7121125327</v>
      </c>
      <c r="G21943" s="3" t="s">
        <v>4345</v>
      </c>
    </row>
    <row r="21944">
      <c r="A21944" s="3" t="s">
        <v>38249</v>
      </c>
      <c r="B21944" s="3" t="s">
        <v>18205</v>
      </c>
      <c r="C21944" s="5" t="s">
        <v>614</v>
      </c>
      <c r="D21944" s="3" t="s">
        <v>206</v>
      </c>
      <c r="E21944" s="3" t="s">
        <v>100</v>
      </c>
      <c r="F21944" s="7">
        <v>46168.71558475493</v>
      </c>
      <c r="G21944" s="3" t="s">
        <v>4348</v>
      </c>
    </row>
    <row r="21945">
      <c r="A21945" s="3" t="s">
        <v>38250</v>
      </c>
      <c r="B21945" s="3" t="s">
        <v>18205</v>
      </c>
      <c r="C21945" s="5" t="s">
        <v>206</v>
      </c>
      <c r="D21945" s="3" t="s">
        <v>68</v>
      </c>
      <c r="E21945" s="3" t="s">
        <v>100</v>
      </c>
      <c r="F21945" s="7">
        <v>46168.71905697715</v>
      </c>
      <c r="G21945" s="3" t="s">
        <v>4350</v>
      </c>
    </row>
    <row r="21946">
      <c r="A21946" s="3" t="s">
        <v>38251</v>
      </c>
      <c r="B21946" s="3" t="s">
        <v>18207</v>
      </c>
      <c r="C21946" s="5" t="s">
        <v>45</v>
      </c>
      <c r="D21946" s="3" t="s">
        <v>221</v>
      </c>
      <c r="E21946" s="3" t="s">
        <v>937</v>
      </c>
      <c r="F21946" s="7">
        <v>46168.779815155896</v>
      </c>
      <c r="G21946" s="3" t="s">
        <v>9437</v>
      </c>
    </row>
    <row r="21947">
      <c r="A21947" s="3" t="s">
        <v>38252</v>
      </c>
      <c r="B21947" s="3" t="s">
        <v>18207</v>
      </c>
      <c r="C21947" s="5" t="s">
        <v>221</v>
      </c>
      <c r="D21947" s="3" t="s">
        <v>614</v>
      </c>
      <c r="E21947" s="3" t="s">
        <v>118</v>
      </c>
      <c r="F21947" s="7">
        <v>46168.783287378115</v>
      </c>
      <c r="G21947" s="3" t="s">
        <v>9440</v>
      </c>
    </row>
    <row r="21948">
      <c r="A21948" s="3" t="s">
        <v>38253</v>
      </c>
      <c r="B21948" s="3" t="s">
        <v>18207</v>
      </c>
      <c r="C21948" s="5" t="s">
        <v>614</v>
      </c>
      <c r="D21948" s="3" t="s">
        <v>206</v>
      </c>
      <c r="E21948" s="3" t="s">
        <v>100</v>
      </c>
      <c r="F21948" s="7">
        <v>46168.78675960034</v>
      </c>
      <c r="G21948" s="3" t="s">
        <v>9442</v>
      </c>
    </row>
    <row r="21949">
      <c r="A21949" s="3" t="s">
        <v>38254</v>
      </c>
      <c r="B21949" s="3" t="s">
        <v>18207</v>
      </c>
      <c r="C21949" s="5" t="s">
        <v>206</v>
      </c>
      <c r="D21949" s="3" t="s">
        <v>68</v>
      </c>
      <c r="E21949" s="3" t="s">
        <v>100</v>
      </c>
      <c r="F21949" s="7">
        <v>46168.79023182256</v>
      </c>
      <c r="G21949" s="3" t="s">
        <v>9445</v>
      </c>
    </row>
    <row r="21950">
      <c r="A21950" s="3" t="s">
        <v>38255</v>
      </c>
      <c r="B21950" s="3" t="s">
        <v>18212</v>
      </c>
      <c r="C21950" s="5" t="s">
        <v>45</v>
      </c>
      <c r="D21950" s="3" t="s">
        <v>221</v>
      </c>
      <c r="E21950" s="3" t="s">
        <v>307</v>
      </c>
      <c r="F21950" s="7">
        <v>46168.850990001316</v>
      </c>
      <c r="G21950" s="3" t="s">
        <v>2770</v>
      </c>
    </row>
    <row r="21951">
      <c r="A21951" s="3" t="s">
        <v>38256</v>
      </c>
      <c r="B21951" s="3" t="s">
        <v>18212</v>
      </c>
      <c r="C21951" s="5" t="s">
        <v>221</v>
      </c>
      <c r="D21951" s="3" t="s">
        <v>195</v>
      </c>
      <c r="E21951" s="3" t="s">
        <v>307</v>
      </c>
      <c r="F21951" s="7">
        <v>46168.854462223535</v>
      </c>
      <c r="G21951" s="3" t="s">
        <v>3055</v>
      </c>
    </row>
    <row r="21952">
      <c r="A21952" s="3" t="s">
        <v>38257</v>
      </c>
      <c r="B21952" s="3" t="s">
        <v>18215</v>
      </c>
      <c r="C21952" s="5" t="s">
        <v>45</v>
      </c>
      <c r="D21952" s="3" t="s">
        <v>221</v>
      </c>
      <c r="E21952" s="3" t="s">
        <v>175</v>
      </c>
      <c r="F21952" s="7">
        <v>46168.92216484673</v>
      </c>
      <c r="G21952" s="3" t="s">
        <v>12657</v>
      </c>
    </row>
    <row r="21953">
      <c r="A21953" s="3" t="s">
        <v>38258</v>
      </c>
      <c r="B21953" s="3" t="s">
        <v>18215</v>
      </c>
      <c r="C21953" s="5" t="s">
        <v>221</v>
      </c>
      <c r="D21953" s="3" t="s">
        <v>195</v>
      </c>
      <c r="E21953" s="3" t="s">
        <v>175</v>
      </c>
      <c r="F21953" s="7">
        <v>46168.92563706895</v>
      </c>
      <c r="G21953" s="3" t="s">
        <v>38259</v>
      </c>
    </row>
    <row r="21954">
      <c r="A21954" s="3" t="s">
        <v>38260</v>
      </c>
      <c r="B21954" s="3" t="s">
        <v>18218</v>
      </c>
      <c r="C21954" s="5" t="s">
        <v>45</v>
      </c>
      <c r="D21954" s="3" t="s">
        <v>221</v>
      </c>
      <c r="E21954" s="3" t="s">
        <v>841</v>
      </c>
      <c r="F21954" s="7">
        <v>46168.99333969215</v>
      </c>
      <c r="G21954" s="3" t="s">
        <v>4823</v>
      </c>
    </row>
    <row r="21955">
      <c r="A21955" s="3" t="s">
        <v>38261</v>
      </c>
      <c r="B21955" s="3" t="s">
        <v>18218</v>
      </c>
      <c r="C21955" s="5" t="s">
        <v>221</v>
      </c>
      <c r="D21955" s="3" t="s">
        <v>614</v>
      </c>
      <c r="E21955" s="3" t="s">
        <v>118</v>
      </c>
      <c r="F21955" s="7">
        <v>46168.99681191437</v>
      </c>
      <c r="G21955" s="3" t="s">
        <v>4826</v>
      </c>
    </row>
    <row r="21956">
      <c r="A21956" s="3" t="s">
        <v>38262</v>
      </c>
      <c r="B21956" s="3" t="s">
        <v>18218</v>
      </c>
      <c r="C21956" s="5" t="s">
        <v>614</v>
      </c>
      <c r="D21956" s="3" t="s">
        <v>206</v>
      </c>
      <c r="E21956" s="3" t="s">
        <v>100</v>
      </c>
      <c r="F21956" s="7">
        <v>46169.00028413659</v>
      </c>
      <c r="G21956" s="3" t="s">
        <v>4829</v>
      </c>
    </row>
    <row r="21957">
      <c r="A21957" s="3" t="s">
        <v>38263</v>
      </c>
      <c r="B21957" s="3" t="s">
        <v>18218</v>
      </c>
      <c r="C21957" s="5" t="s">
        <v>206</v>
      </c>
      <c r="D21957" s="3" t="s">
        <v>68</v>
      </c>
      <c r="E21957" s="3" t="s">
        <v>100</v>
      </c>
      <c r="F21957" s="7">
        <v>46169.00375635881</v>
      </c>
      <c r="G21957" s="3" t="s">
        <v>4832</v>
      </c>
    </row>
    <row r="21958">
      <c r="A21958" s="3" t="s">
        <v>38264</v>
      </c>
      <c r="B21958" s="3" t="s">
        <v>18220</v>
      </c>
      <c r="C21958" s="5" t="s">
        <v>45</v>
      </c>
      <c r="D21958" s="3" t="s">
        <v>221</v>
      </c>
      <c r="E21958" s="3" t="s">
        <v>137</v>
      </c>
      <c r="F21958" s="7">
        <v>46169.06451453755</v>
      </c>
      <c r="G21958" s="3" t="s">
        <v>4054</v>
      </c>
    </row>
    <row r="21959">
      <c r="A21959" s="3" t="s">
        <v>38265</v>
      </c>
      <c r="B21959" s="3" t="s">
        <v>18220</v>
      </c>
      <c r="C21959" s="5" t="s">
        <v>221</v>
      </c>
      <c r="D21959" s="3" t="s">
        <v>614</v>
      </c>
      <c r="E21959" s="3" t="s">
        <v>118</v>
      </c>
      <c r="F21959" s="7">
        <v>46169.06798675977</v>
      </c>
      <c r="G21959" s="3" t="s">
        <v>4057</v>
      </c>
    </row>
    <row r="21960">
      <c r="A21960" s="3" t="s">
        <v>38266</v>
      </c>
      <c r="B21960" s="3" t="s">
        <v>18220</v>
      </c>
      <c r="C21960" s="5" t="s">
        <v>614</v>
      </c>
      <c r="D21960" s="3" t="s">
        <v>206</v>
      </c>
      <c r="E21960" s="3" t="s">
        <v>100</v>
      </c>
      <c r="F21960" s="7">
        <v>46169.071458982</v>
      </c>
      <c r="G21960" s="3" t="s">
        <v>4060</v>
      </c>
    </row>
    <row r="21961">
      <c r="A21961" s="3" t="s">
        <v>38267</v>
      </c>
      <c r="B21961" s="3" t="s">
        <v>18220</v>
      </c>
      <c r="C21961" s="5" t="s">
        <v>206</v>
      </c>
      <c r="D21961" s="3" t="s">
        <v>68</v>
      </c>
      <c r="E21961" s="3" t="s">
        <v>100</v>
      </c>
      <c r="F21961" s="7">
        <v>46169.07493120422</v>
      </c>
      <c r="G21961" s="3" t="s">
        <v>4063</v>
      </c>
    </row>
    <row r="21962">
      <c r="A21962" s="3" t="s">
        <v>38268</v>
      </c>
      <c r="B21962" s="3" t="s">
        <v>18222</v>
      </c>
      <c r="C21962" s="5" t="s">
        <v>45</v>
      </c>
      <c r="D21962" s="3" t="s">
        <v>221</v>
      </c>
      <c r="E21962" s="3" t="s">
        <v>391</v>
      </c>
      <c r="F21962" s="7">
        <v>46169.13568938297</v>
      </c>
      <c r="G21962" s="3" t="s">
        <v>16778</v>
      </c>
    </row>
    <row r="21963">
      <c r="A21963" s="3" t="s">
        <v>38269</v>
      </c>
      <c r="B21963" s="3" t="s">
        <v>18222</v>
      </c>
      <c r="C21963" s="5" t="s">
        <v>221</v>
      </c>
      <c r="D21963" s="3" t="s">
        <v>614</v>
      </c>
      <c r="E21963" s="3" t="s">
        <v>118</v>
      </c>
      <c r="F21963" s="7">
        <v>46169.13916160519</v>
      </c>
      <c r="G21963" s="3" t="s">
        <v>16781</v>
      </c>
    </row>
    <row r="21964">
      <c r="A21964" s="3" t="s">
        <v>38270</v>
      </c>
      <c r="B21964" s="3" t="s">
        <v>18222</v>
      </c>
      <c r="C21964" s="5" t="s">
        <v>614</v>
      </c>
      <c r="D21964" s="3" t="s">
        <v>206</v>
      </c>
      <c r="E21964" s="3" t="s">
        <v>100</v>
      </c>
      <c r="F21964" s="7">
        <v>46169.14263382742</v>
      </c>
      <c r="G21964" s="3" t="s">
        <v>16783</v>
      </c>
    </row>
    <row r="21965">
      <c r="A21965" s="3" t="s">
        <v>38271</v>
      </c>
      <c r="B21965" s="3" t="s">
        <v>18222</v>
      </c>
      <c r="C21965" s="5" t="s">
        <v>206</v>
      </c>
      <c r="D21965" s="3" t="s">
        <v>68</v>
      </c>
      <c r="E21965" s="3" t="s">
        <v>100</v>
      </c>
      <c r="F21965" s="7">
        <v>46169.14610604964</v>
      </c>
      <c r="G21965" s="3" t="s">
        <v>16786</v>
      </c>
    </row>
    <row r="21966">
      <c r="A21966" s="3" t="s">
        <v>38272</v>
      </c>
      <c r="B21966" s="3" t="s">
        <v>18224</v>
      </c>
      <c r="C21966" s="5" t="s">
        <v>45</v>
      </c>
      <c r="D21966" s="3" t="s">
        <v>221</v>
      </c>
      <c r="E21966" s="3" t="s">
        <v>189</v>
      </c>
      <c r="F21966" s="7">
        <v>46169.20686422839</v>
      </c>
      <c r="G21966" s="3" t="s">
        <v>3737</v>
      </c>
    </row>
    <row r="21967">
      <c r="A21967" s="3" t="s">
        <v>38273</v>
      </c>
      <c r="B21967" s="3" t="s">
        <v>18224</v>
      </c>
      <c r="C21967" s="5" t="s">
        <v>221</v>
      </c>
      <c r="D21967" s="3" t="s">
        <v>614</v>
      </c>
      <c r="E21967" s="3" t="s">
        <v>118</v>
      </c>
      <c r="F21967" s="7">
        <v>46169.21033645061</v>
      </c>
      <c r="G21967" s="3" t="s">
        <v>3740</v>
      </c>
    </row>
    <row r="21968">
      <c r="A21968" s="3" t="s">
        <v>38274</v>
      </c>
      <c r="B21968" s="3" t="s">
        <v>18224</v>
      </c>
      <c r="C21968" s="5" t="s">
        <v>614</v>
      </c>
      <c r="D21968" s="3" t="s">
        <v>206</v>
      </c>
      <c r="E21968" s="3" t="s">
        <v>100</v>
      </c>
      <c r="F21968" s="7">
        <v>46169.21380867284</v>
      </c>
      <c r="G21968" s="3" t="s">
        <v>3743</v>
      </c>
    </row>
    <row r="21969">
      <c r="A21969" s="3" t="s">
        <v>38275</v>
      </c>
      <c r="B21969" s="3" t="s">
        <v>18224</v>
      </c>
      <c r="C21969" s="5" t="s">
        <v>206</v>
      </c>
      <c r="D21969" s="3" t="s">
        <v>68</v>
      </c>
      <c r="E21969" s="3" t="s">
        <v>100</v>
      </c>
      <c r="F21969" s="7">
        <v>46169.217280895056</v>
      </c>
      <c r="G21969" s="3" t="s">
        <v>3745</v>
      </c>
    </row>
    <row r="21970">
      <c r="A21970" s="3" t="s">
        <v>38276</v>
      </c>
      <c r="B21970" s="3" t="s">
        <v>18226</v>
      </c>
      <c r="C21970" s="5" t="s">
        <v>45</v>
      </c>
      <c r="D21970" s="3" t="s">
        <v>221</v>
      </c>
      <c r="E21970" s="3" t="s">
        <v>600</v>
      </c>
      <c r="F21970" s="7">
        <v>46169.278039073804</v>
      </c>
      <c r="G21970" s="3" t="s">
        <v>29555</v>
      </c>
    </row>
    <row r="21971">
      <c r="A21971" s="3" t="s">
        <v>38277</v>
      </c>
      <c r="B21971" s="3" t="s">
        <v>18226</v>
      </c>
      <c r="C21971" s="5" t="s">
        <v>221</v>
      </c>
      <c r="D21971" s="3" t="s">
        <v>614</v>
      </c>
      <c r="E21971" s="3" t="s">
        <v>118</v>
      </c>
      <c r="F21971" s="7">
        <v>46169.28151129602</v>
      </c>
      <c r="G21971" s="3" t="s">
        <v>29557</v>
      </c>
    </row>
    <row r="21972">
      <c r="A21972" s="3" t="s">
        <v>38278</v>
      </c>
      <c r="B21972" s="3" t="s">
        <v>18226</v>
      </c>
      <c r="C21972" s="5" t="s">
        <v>614</v>
      </c>
      <c r="D21972" s="3" t="s">
        <v>206</v>
      </c>
      <c r="E21972" s="3" t="s">
        <v>100</v>
      </c>
      <c r="F21972" s="7">
        <v>46169.28498351825</v>
      </c>
      <c r="G21972" s="3" t="s">
        <v>29559</v>
      </c>
    </row>
    <row r="21973">
      <c r="A21973" s="3" t="s">
        <v>38279</v>
      </c>
      <c r="B21973" s="3" t="s">
        <v>18226</v>
      </c>
      <c r="C21973" s="5" t="s">
        <v>206</v>
      </c>
      <c r="D21973" s="3" t="s">
        <v>68</v>
      </c>
      <c r="E21973" s="3" t="s">
        <v>100</v>
      </c>
      <c r="F21973" s="7">
        <v>46169.28845574047</v>
      </c>
      <c r="G21973" s="3" t="s">
        <v>29561</v>
      </c>
    </row>
    <row r="21974">
      <c r="A21974" s="3" t="s">
        <v>38280</v>
      </c>
      <c r="B21974" s="3" t="s">
        <v>18228</v>
      </c>
      <c r="C21974" s="5" t="s">
        <v>45</v>
      </c>
      <c r="D21974" s="3" t="s">
        <v>221</v>
      </c>
      <c r="E21974" s="3" t="s">
        <v>527</v>
      </c>
      <c r="F21974" s="7">
        <v>46169.34921391922</v>
      </c>
      <c r="G21974" s="3" t="s">
        <v>30023</v>
      </c>
    </row>
    <row r="21975">
      <c r="A21975" s="3" t="s">
        <v>38281</v>
      </c>
      <c r="B21975" s="3" t="s">
        <v>18228</v>
      </c>
      <c r="C21975" s="5" t="s">
        <v>221</v>
      </c>
      <c r="D21975" s="3" t="s">
        <v>614</v>
      </c>
      <c r="E21975" s="3" t="s">
        <v>118</v>
      </c>
      <c r="F21975" s="7">
        <v>46169.352686141436</v>
      </c>
      <c r="G21975" s="3" t="s">
        <v>30025</v>
      </c>
    </row>
    <row r="21976">
      <c r="A21976" s="3" t="s">
        <v>38282</v>
      </c>
      <c r="B21976" s="3" t="s">
        <v>18228</v>
      </c>
      <c r="C21976" s="5" t="s">
        <v>614</v>
      </c>
      <c r="D21976" s="3" t="s">
        <v>206</v>
      </c>
      <c r="E21976" s="3" t="s">
        <v>100</v>
      </c>
      <c r="F21976" s="7">
        <v>46169.35615836366</v>
      </c>
      <c r="G21976" s="3" t="s">
        <v>30027</v>
      </c>
    </row>
    <row r="21977">
      <c r="A21977" s="3" t="s">
        <v>38283</v>
      </c>
      <c r="B21977" s="3" t="s">
        <v>18228</v>
      </c>
      <c r="C21977" s="5" t="s">
        <v>206</v>
      </c>
      <c r="D21977" s="3" t="s">
        <v>68</v>
      </c>
      <c r="E21977" s="3" t="s">
        <v>100</v>
      </c>
      <c r="F21977" s="7">
        <v>46169.35963058588</v>
      </c>
      <c r="G21977" s="3" t="s">
        <v>30029</v>
      </c>
    </row>
    <row r="21978">
      <c r="A21978" s="3" t="s">
        <v>38284</v>
      </c>
      <c r="B21978" s="3" t="s">
        <v>18230</v>
      </c>
      <c r="C21978" s="5" t="s">
        <v>45</v>
      </c>
      <c r="D21978" s="3" t="s">
        <v>221</v>
      </c>
      <c r="E21978" s="3" t="s">
        <v>830</v>
      </c>
      <c r="F21978" s="7">
        <v>46169.420388764636</v>
      </c>
      <c r="G21978" s="3" t="s">
        <v>3748</v>
      </c>
    </row>
    <row r="21979">
      <c r="A21979" s="3" t="s">
        <v>38285</v>
      </c>
      <c r="B21979" s="3" t="s">
        <v>18230</v>
      </c>
      <c r="C21979" s="5" t="s">
        <v>221</v>
      </c>
      <c r="D21979" s="3" t="s">
        <v>614</v>
      </c>
      <c r="E21979" s="3" t="s">
        <v>118</v>
      </c>
      <c r="F21979" s="7">
        <v>46169.423860986855</v>
      </c>
      <c r="G21979" s="3" t="s">
        <v>3751</v>
      </c>
    </row>
    <row r="21980">
      <c r="A21980" s="3" t="s">
        <v>38286</v>
      </c>
      <c r="B21980" s="3" t="s">
        <v>18230</v>
      </c>
      <c r="C21980" s="5" t="s">
        <v>614</v>
      </c>
      <c r="D21980" s="3" t="s">
        <v>206</v>
      </c>
      <c r="E21980" s="3" t="s">
        <v>100</v>
      </c>
      <c r="F21980" s="7">
        <v>46169.42733320908</v>
      </c>
      <c r="G21980" s="3" t="s">
        <v>3754</v>
      </c>
    </row>
    <row r="21981">
      <c r="A21981" s="3" t="s">
        <v>38287</v>
      </c>
      <c r="B21981" s="3" t="s">
        <v>18230</v>
      </c>
      <c r="C21981" s="5" t="s">
        <v>206</v>
      </c>
      <c r="D21981" s="3" t="s">
        <v>68</v>
      </c>
      <c r="E21981" s="3" t="s">
        <v>100</v>
      </c>
      <c r="F21981" s="7">
        <v>46169.4308054313</v>
      </c>
      <c r="G21981" s="3" t="s">
        <v>3757</v>
      </c>
    </row>
    <row r="21982">
      <c r="A21982" s="3" t="s">
        <v>38288</v>
      </c>
      <c r="B21982" s="3" t="s">
        <v>18232</v>
      </c>
      <c r="C21982" s="5" t="s">
        <v>45</v>
      </c>
      <c r="D21982" s="3" t="s">
        <v>221</v>
      </c>
      <c r="E21982" s="3" t="s">
        <v>533</v>
      </c>
      <c r="F21982" s="7">
        <v>46169.49156361005</v>
      </c>
      <c r="G21982" s="3" t="s">
        <v>3760</v>
      </c>
    </row>
    <row r="21983">
      <c r="A21983" s="3" t="s">
        <v>38289</v>
      </c>
      <c r="B21983" s="3" t="s">
        <v>18232</v>
      </c>
      <c r="C21983" s="5" t="s">
        <v>221</v>
      </c>
      <c r="D21983" s="3" t="s">
        <v>614</v>
      </c>
      <c r="E21983" s="3" t="s">
        <v>118</v>
      </c>
      <c r="F21983" s="7">
        <v>46169.49503583227</v>
      </c>
      <c r="G21983" s="3" t="s">
        <v>3763</v>
      </c>
    </row>
    <row r="21984">
      <c r="A21984" s="3" t="s">
        <v>38290</v>
      </c>
      <c r="B21984" s="3" t="s">
        <v>18232</v>
      </c>
      <c r="C21984" s="5" t="s">
        <v>614</v>
      </c>
      <c r="D21984" s="3" t="s">
        <v>206</v>
      </c>
      <c r="E21984" s="3" t="s">
        <v>100</v>
      </c>
      <c r="F21984" s="7">
        <v>46169.498508054494</v>
      </c>
      <c r="G21984" s="3" t="s">
        <v>3766</v>
      </c>
    </row>
    <row r="21985">
      <c r="A21985" s="3" t="s">
        <v>38291</v>
      </c>
      <c r="B21985" s="3" t="s">
        <v>18232</v>
      </c>
      <c r="C21985" s="5" t="s">
        <v>206</v>
      </c>
      <c r="D21985" s="3" t="s">
        <v>68</v>
      </c>
      <c r="E21985" s="3" t="s">
        <v>100</v>
      </c>
      <c r="F21985" s="7">
        <v>46169.50198027671</v>
      </c>
      <c r="G21985" s="3" t="s">
        <v>3769</v>
      </c>
    </row>
    <row r="21986">
      <c r="A21986" s="3" t="s">
        <v>38292</v>
      </c>
      <c r="B21986" s="3" t="s">
        <v>18234</v>
      </c>
      <c r="C21986" s="5" t="s">
        <v>45</v>
      </c>
      <c r="D21986" s="3" t="s">
        <v>221</v>
      </c>
      <c r="E21986" s="3" t="s">
        <v>162</v>
      </c>
      <c r="F21986" s="7">
        <v>46169.56273845546</v>
      </c>
      <c r="G21986" s="3" t="s">
        <v>7459</v>
      </c>
    </row>
    <row r="21987">
      <c r="A21987" s="3" t="s">
        <v>38293</v>
      </c>
      <c r="B21987" s="3" t="s">
        <v>18234</v>
      </c>
      <c r="C21987" s="5" t="s">
        <v>221</v>
      </c>
      <c r="D21987" s="3" t="s">
        <v>614</v>
      </c>
      <c r="E21987" s="3" t="s">
        <v>118</v>
      </c>
      <c r="F21987" s="7">
        <v>46169.56621067768</v>
      </c>
      <c r="G21987" s="3" t="s">
        <v>14771</v>
      </c>
    </row>
    <row r="21988">
      <c r="A21988" s="3" t="s">
        <v>38294</v>
      </c>
      <c r="B21988" s="3" t="s">
        <v>18234</v>
      </c>
      <c r="C21988" s="5" t="s">
        <v>614</v>
      </c>
      <c r="D21988" s="3" t="s">
        <v>206</v>
      </c>
      <c r="E21988" s="3" t="s">
        <v>100</v>
      </c>
      <c r="F21988" s="7">
        <v>46169.569682899906</v>
      </c>
      <c r="G21988" s="3" t="s">
        <v>14773</v>
      </c>
    </row>
    <row r="21989">
      <c r="A21989" s="3" t="s">
        <v>38295</v>
      </c>
      <c r="B21989" s="3" t="s">
        <v>18234</v>
      </c>
      <c r="C21989" s="5" t="s">
        <v>206</v>
      </c>
      <c r="D21989" s="3" t="s">
        <v>68</v>
      </c>
      <c r="E21989" s="3" t="s">
        <v>100</v>
      </c>
      <c r="F21989" s="7">
        <v>46169.573155122125</v>
      </c>
      <c r="G21989" s="3" t="s">
        <v>14776</v>
      </c>
    </row>
    <row r="21990">
      <c r="A21990" s="3" t="s">
        <v>38296</v>
      </c>
      <c r="B21990" s="3" t="s">
        <v>18237</v>
      </c>
      <c r="C21990" s="5" t="s">
        <v>45</v>
      </c>
      <c r="D21990" s="3" t="s">
        <v>221</v>
      </c>
      <c r="E21990" s="3" t="s">
        <v>419</v>
      </c>
      <c r="F21990" s="7">
        <v>46169.63391330088</v>
      </c>
      <c r="G21990" s="3" t="s">
        <v>18380</v>
      </c>
    </row>
    <row r="21991">
      <c r="A21991" s="3" t="s">
        <v>38297</v>
      </c>
      <c r="B21991" s="3" t="s">
        <v>18237</v>
      </c>
      <c r="C21991" s="5" t="s">
        <v>221</v>
      </c>
      <c r="D21991" s="3" t="s">
        <v>614</v>
      </c>
      <c r="E21991" s="3" t="s">
        <v>118</v>
      </c>
      <c r="F21991" s="7">
        <v>46169.6373855231</v>
      </c>
      <c r="G21991" s="3" t="s">
        <v>18383</v>
      </c>
    </row>
    <row r="21992">
      <c r="A21992" s="3" t="s">
        <v>38298</v>
      </c>
      <c r="B21992" s="3" t="s">
        <v>18237</v>
      </c>
      <c r="C21992" s="5" t="s">
        <v>614</v>
      </c>
      <c r="D21992" s="3" t="s">
        <v>206</v>
      </c>
      <c r="E21992" s="3" t="s">
        <v>100</v>
      </c>
      <c r="F21992" s="7">
        <v>46169.640857745326</v>
      </c>
      <c r="G21992" s="3" t="s">
        <v>18386</v>
      </c>
    </row>
    <row r="21993">
      <c r="A21993" s="3" t="s">
        <v>38299</v>
      </c>
      <c r="B21993" s="3" t="s">
        <v>18237</v>
      </c>
      <c r="C21993" s="5" t="s">
        <v>206</v>
      </c>
      <c r="D21993" s="3" t="s">
        <v>68</v>
      </c>
      <c r="E21993" s="3" t="s">
        <v>100</v>
      </c>
      <c r="F21993" s="7">
        <v>46169.644329967545</v>
      </c>
      <c r="G21993" s="3" t="s">
        <v>18389</v>
      </c>
    </row>
    <row r="21994">
      <c r="A21994" s="3" t="s">
        <v>38300</v>
      </c>
      <c r="B21994" s="3" t="s">
        <v>18240</v>
      </c>
      <c r="C21994" s="5" t="s">
        <v>45</v>
      </c>
      <c r="D21994" s="3" t="s">
        <v>221</v>
      </c>
      <c r="E21994" s="3" t="s">
        <v>1034</v>
      </c>
      <c r="F21994" s="7">
        <v>46169.7050881463</v>
      </c>
      <c r="G21994" s="3" t="s">
        <v>3771</v>
      </c>
    </row>
    <row r="21995">
      <c r="A21995" s="3" t="s">
        <v>38301</v>
      </c>
      <c r="B21995" s="3" t="s">
        <v>18240</v>
      </c>
      <c r="C21995" s="5" t="s">
        <v>221</v>
      </c>
      <c r="D21995" s="3" t="s">
        <v>614</v>
      </c>
      <c r="E21995" s="3" t="s">
        <v>118</v>
      </c>
      <c r="F21995" s="7">
        <v>46169.70856036852</v>
      </c>
      <c r="G21995" s="3" t="s">
        <v>3774</v>
      </c>
    </row>
    <row r="21996">
      <c r="A21996" s="3" t="s">
        <v>38302</v>
      </c>
      <c r="B21996" s="3" t="s">
        <v>18240</v>
      </c>
      <c r="C21996" s="5" t="s">
        <v>614</v>
      </c>
      <c r="D21996" s="3" t="s">
        <v>206</v>
      </c>
      <c r="E21996" s="3" t="s">
        <v>100</v>
      </c>
      <c r="F21996" s="7">
        <v>46169.712032590745</v>
      </c>
      <c r="G21996" s="3" t="s">
        <v>3777</v>
      </c>
    </row>
    <row r="21997">
      <c r="A21997" s="3" t="s">
        <v>38303</v>
      </c>
      <c r="B21997" s="3" t="s">
        <v>18240</v>
      </c>
      <c r="C21997" s="5" t="s">
        <v>206</v>
      </c>
      <c r="D21997" s="3" t="s">
        <v>68</v>
      </c>
      <c r="E21997" s="3" t="s">
        <v>100</v>
      </c>
      <c r="F21997" s="7">
        <v>46169.715504812964</v>
      </c>
      <c r="G21997" s="3" t="s">
        <v>3780</v>
      </c>
    </row>
    <row r="21998">
      <c r="A21998" s="3" t="s">
        <v>38304</v>
      </c>
      <c r="B21998" s="3" t="s">
        <v>18245</v>
      </c>
      <c r="C21998" s="5" t="s">
        <v>45</v>
      </c>
      <c r="D21998" s="3" t="s">
        <v>221</v>
      </c>
      <c r="E21998" s="3" t="s">
        <v>581</v>
      </c>
      <c r="F21998" s="7">
        <v>46169.776262991705</v>
      </c>
      <c r="G21998" s="3" t="s">
        <v>28310</v>
      </c>
    </row>
    <row r="21999">
      <c r="A21999" s="3" t="s">
        <v>38305</v>
      </c>
      <c r="B21999" s="3" t="s">
        <v>18245</v>
      </c>
      <c r="C21999" s="5" t="s">
        <v>221</v>
      </c>
      <c r="D21999" s="3" t="s">
        <v>614</v>
      </c>
      <c r="E21999" s="3" t="s">
        <v>118</v>
      </c>
      <c r="F21999" s="7">
        <v>46169.779735213924</v>
      </c>
      <c r="G21999" s="3" t="s">
        <v>30346</v>
      </c>
    </row>
    <row r="22000">
      <c r="A22000" s="3" t="s">
        <v>38306</v>
      </c>
      <c r="B22000" s="3" t="s">
        <v>18245</v>
      </c>
      <c r="C22000" s="5" t="s">
        <v>614</v>
      </c>
      <c r="D22000" s="3" t="s">
        <v>206</v>
      </c>
      <c r="E22000" s="3" t="s">
        <v>100</v>
      </c>
      <c r="F22000" s="7">
        <v>46169.78320743615</v>
      </c>
      <c r="G22000" s="3" t="s">
        <v>30348</v>
      </c>
    </row>
    <row r="22001">
      <c r="A22001" s="3" t="s">
        <v>38307</v>
      </c>
      <c r="B22001" s="3" t="s">
        <v>18245</v>
      </c>
      <c r="C22001" s="5" t="s">
        <v>206</v>
      </c>
      <c r="D22001" s="3" t="s">
        <v>68</v>
      </c>
      <c r="E22001" s="3" t="s">
        <v>100</v>
      </c>
      <c r="F22001" s="7">
        <v>46169.78667965837</v>
      </c>
      <c r="G22001" s="3" t="s">
        <v>30350</v>
      </c>
    </row>
    <row r="22002">
      <c r="A22002" s="3" t="s">
        <v>38308</v>
      </c>
      <c r="B22002" s="3" t="s">
        <v>18248</v>
      </c>
      <c r="C22002" s="5" t="s">
        <v>45</v>
      </c>
      <c r="D22002" s="3" t="s">
        <v>221</v>
      </c>
      <c r="E22002" s="3" t="s">
        <v>662</v>
      </c>
      <c r="F22002" s="7">
        <v>46169.847437837125</v>
      </c>
      <c r="G22002" s="3" t="s">
        <v>3783</v>
      </c>
    </row>
    <row r="22003">
      <c r="A22003" s="3" t="s">
        <v>38309</v>
      </c>
      <c r="B22003" s="3" t="s">
        <v>18248</v>
      </c>
      <c r="C22003" s="5" t="s">
        <v>221</v>
      </c>
      <c r="D22003" s="3" t="s">
        <v>614</v>
      </c>
      <c r="E22003" s="3" t="s">
        <v>118</v>
      </c>
      <c r="F22003" s="7">
        <v>46169.850910059344</v>
      </c>
      <c r="G22003" s="3" t="s">
        <v>3786</v>
      </c>
    </row>
    <row r="22004">
      <c r="A22004" s="3" t="s">
        <v>38310</v>
      </c>
      <c r="B22004" s="3" t="s">
        <v>18248</v>
      </c>
      <c r="C22004" s="5" t="s">
        <v>614</v>
      </c>
      <c r="D22004" s="3" t="s">
        <v>206</v>
      </c>
      <c r="E22004" s="3" t="s">
        <v>100</v>
      </c>
      <c r="F22004" s="7">
        <v>46169.85438228157</v>
      </c>
      <c r="G22004" s="3" t="s">
        <v>3789</v>
      </c>
    </row>
    <row r="22005">
      <c r="A22005" s="3" t="s">
        <v>38311</v>
      </c>
      <c r="B22005" s="3" t="s">
        <v>18248</v>
      </c>
      <c r="C22005" s="5" t="s">
        <v>206</v>
      </c>
      <c r="D22005" s="3" t="s">
        <v>68</v>
      </c>
      <c r="E22005" s="3" t="s">
        <v>100</v>
      </c>
      <c r="F22005" s="7">
        <v>46169.85785450379</v>
      </c>
      <c r="G22005" s="3" t="s">
        <v>3792</v>
      </c>
    </row>
    <row r="22006">
      <c r="A22006" s="3" t="s">
        <v>38312</v>
      </c>
      <c r="B22006" s="3" t="s">
        <v>18251</v>
      </c>
      <c r="C22006" s="5" t="s">
        <v>45</v>
      </c>
      <c r="D22006" s="3" t="s">
        <v>221</v>
      </c>
      <c r="E22006" s="3" t="s">
        <v>605</v>
      </c>
      <c r="F22006" s="7">
        <v>46169.91861268254</v>
      </c>
      <c r="G22006" s="3" t="s">
        <v>3795</v>
      </c>
    </row>
    <row r="22007">
      <c r="A22007" s="3" t="s">
        <v>38313</v>
      </c>
      <c r="B22007" s="3" t="s">
        <v>18251</v>
      </c>
      <c r="C22007" s="5" t="s">
        <v>221</v>
      </c>
      <c r="D22007" s="3" t="s">
        <v>614</v>
      </c>
      <c r="E22007" s="3" t="s">
        <v>118</v>
      </c>
      <c r="F22007" s="7">
        <v>46169.922084904756</v>
      </c>
      <c r="G22007" s="3" t="s">
        <v>3798</v>
      </c>
    </row>
    <row r="22008">
      <c r="A22008" s="3" t="s">
        <v>38314</v>
      </c>
      <c r="B22008" s="3" t="s">
        <v>18251</v>
      </c>
      <c r="C22008" s="5" t="s">
        <v>614</v>
      </c>
      <c r="D22008" s="3" t="s">
        <v>206</v>
      </c>
      <c r="E22008" s="3" t="s">
        <v>100</v>
      </c>
      <c r="F22008" s="7">
        <v>46169.92555712698</v>
      </c>
      <c r="G22008" s="3" t="s">
        <v>3801</v>
      </c>
    </row>
    <row r="22009">
      <c r="A22009" s="3" t="s">
        <v>38315</v>
      </c>
      <c r="B22009" s="3" t="s">
        <v>18251</v>
      </c>
      <c r="C22009" s="5" t="s">
        <v>206</v>
      </c>
      <c r="D22009" s="3" t="s">
        <v>68</v>
      </c>
      <c r="E22009" s="3" t="s">
        <v>100</v>
      </c>
      <c r="F22009" s="7">
        <v>46169.9290293492</v>
      </c>
      <c r="G22009" s="3" t="s">
        <v>3804</v>
      </c>
    </row>
    <row r="22010">
      <c r="A22010" s="3" t="s">
        <v>38316</v>
      </c>
      <c r="B22010" s="3" t="s">
        <v>18255</v>
      </c>
      <c r="C22010" s="5" t="s">
        <v>45</v>
      </c>
      <c r="D22010" s="3" t="s">
        <v>221</v>
      </c>
      <c r="E22010" s="3" t="s">
        <v>587</v>
      </c>
      <c r="F22010" s="7">
        <v>46169.98978752796</v>
      </c>
      <c r="G22010" s="3" t="s">
        <v>17822</v>
      </c>
    </row>
    <row r="22011">
      <c r="A22011" s="3" t="s">
        <v>38317</v>
      </c>
      <c r="B22011" s="3" t="s">
        <v>18255</v>
      </c>
      <c r="C22011" s="5" t="s">
        <v>221</v>
      </c>
      <c r="D22011" s="3" t="s">
        <v>614</v>
      </c>
      <c r="E22011" s="3" t="s">
        <v>118</v>
      </c>
      <c r="F22011" s="7">
        <v>46169.993259750176</v>
      </c>
      <c r="G22011" s="3" t="s">
        <v>17824</v>
      </c>
    </row>
    <row r="22012">
      <c r="A22012" s="3" t="s">
        <v>38318</v>
      </c>
      <c r="B22012" s="3" t="s">
        <v>18255</v>
      </c>
      <c r="C22012" s="5" t="s">
        <v>614</v>
      </c>
      <c r="D22012" s="3" t="s">
        <v>206</v>
      </c>
      <c r="E22012" s="3" t="s">
        <v>100</v>
      </c>
      <c r="F22012" s="7">
        <v>46169.9967319724</v>
      </c>
      <c r="G22012" s="3" t="s">
        <v>17826</v>
      </c>
    </row>
    <row r="22013">
      <c r="A22013" s="3" t="s">
        <v>38319</v>
      </c>
      <c r="B22013" s="3" t="s">
        <v>18255</v>
      </c>
      <c r="C22013" s="5" t="s">
        <v>206</v>
      </c>
      <c r="D22013" s="3" t="s">
        <v>68</v>
      </c>
      <c r="E22013" s="3" t="s">
        <v>100</v>
      </c>
      <c r="F22013" s="7">
        <v>46170.00020419462</v>
      </c>
      <c r="G22013" s="3" t="s">
        <v>17828</v>
      </c>
    </row>
    <row r="22014">
      <c r="A22014" s="3" t="s">
        <v>38320</v>
      </c>
      <c r="B22014" s="3" t="s">
        <v>18259</v>
      </c>
      <c r="C22014" s="5" t="s">
        <v>45</v>
      </c>
      <c r="D22014" s="3" t="s">
        <v>221</v>
      </c>
      <c r="E22014" s="3" t="s">
        <v>591</v>
      </c>
      <c r="F22014" s="7">
        <v>46170.06096237337</v>
      </c>
      <c r="G22014" s="3" t="s">
        <v>23230</v>
      </c>
    </row>
    <row r="22015">
      <c r="A22015" s="3" t="s">
        <v>38321</v>
      </c>
      <c r="B22015" s="3" t="s">
        <v>18259</v>
      </c>
      <c r="C22015" s="5" t="s">
        <v>221</v>
      </c>
      <c r="D22015" s="3" t="s">
        <v>614</v>
      </c>
      <c r="E22015" s="3" t="s">
        <v>118</v>
      </c>
      <c r="F22015" s="7">
        <v>46170.06443459559</v>
      </c>
      <c r="G22015" s="3" t="s">
        <v>23233</v>
      </c>
    </row>
    <row r="22016">
      <c r="A22016" s="3" t="s">
        <v>38322</v>
      </c>
      <c r="B22016" s="3" t="s">
        <v>18259</v>
      </c>
      <c r="C22016" s="5" t="s">
        <v>614</v>
      </c>
      <c r="D22016" s="3" t="s">
        <v>206</v>
      </c>
      <c r="E22016" s="3" t="s">
        <v>100</v>
      </c>
      <c r="F22016" s="7">
        <v>46170.067906817814</v>
      </c>
      <c r="G22016" s="3" t="s">
        <v>23236</v>
      </c>
    </row>
    <row r="22017">
      <c r="A22017" s="3" t="s">
        <v>38323</v>
      </c>
      <c r="B22017" s="3" t="s">
        <v>18259</v>
      </c>
      <c r="C22017" s="5" t="s">
        <v>206</v>
      </c>
      <c r="D22017" s="3" t="s">
        <v>68</v>
      </c>
      <c r="E22017" s="3" t="s">
        <v>100</v>
      </c>
      <c r="F22017" s="7">
        <v>46170.07137904003</v>
      </c>
      <c r="G22017" s="3" t="s">
        <v>23239</v>
      </c>
    </row>
    <row r="22018">
      <c r="A22018" s="3" t="s">
        <v>38324</v>
      </c>
      <c r="B22018" s="3" t="s">
        <v>18262</v>
      </c>
      <c r="C22018" s="5" t="s">
        <v>45</v>
      </c>
      <c r="D22018" s="3" t="s">
        <v>221</v>
      </c>
      <c r="E22018" s="3" t="s">
        <v>609</v>
      </c>
      <c r="F22018" s="7">
        <v>46170.13213721879</v>
      </c>
      <c r="G22018" s="3" t="s">
        <v>3818</v>
      </c>
    </row>
    <row r="22019">
      <c r="A22019" s="3" t="s">
        <v>38325</v>
      </c>
      <c r="B22019" s="3" t="s">
        <v>18262</v>
      </c>
      <c r="C22019" s="5" t="s">
        <v>221</v>
      </c>
      <c r="D22019" s="3" t="s">
        <v>614</v>
      </c>
      <c r="E22019" s="3" t="s">
        <v>118</v>
      </c>
      <c r="F22019" s="7">
        <v>46170.13560944101</v>
      </c>
      <c r="G22019" s="3" t="s">
        <v>3821</v>
      </c>
    </row>
    <row r="22020">
      <c r="A22020" s="3" t="s">
        <v>38326</v>
      </c>
      <c r="B22020" s="3" t="s">
        <v>18262</v>
      </c>
      <c r="C22020" s="5" t="s">
        <v>614</v>
      </c>
      <c r="D22020" s="3" t="s">
        <v>206</v>
      </c>
      <c r="E22020" s="3" t="s">
        <v>100</v>
      </c>
      <c r="F22020" s="7">
        <v>46170.139081663234</v>
      </c>
      <c r="G22020" s="3" t="s">
        <v>3824</v>
      </c>
    </row>
    <row r="22021">
      <c r="A22021" s="3" t="s">
        <v>38327</v>
      </c>
      <c r="B22021" s="3" t="s">
        <v>18262</v>
      </c>
      <c r="C22021" s="5" t="s">
        <v>206</v>
      </c>
      <c r="D22021" s="3" t="s">
        <v>68</v>
      </c>
      <c r="E22021" s="3" t="s">
        <v>100</v>
      </c>
      <c r="F22021" s="7">
        <v>46170.14255388545</v>
      </c>
      <c r="G22021" s="3" t="s">
        <v>3827</v>
      </c>
    </row>
    <row r="22022">
      <c r="A22022" s="3" t="s">
        <v>38328</v>
      </c>
      <c r="B22022" s="3" t="s">
        <v>18266</v>
      </c>
      <c r="C22022" s="5" t="s">
        <v>45</v>
      </c>
      <c r="D22022" s="3" t="s">
        <v>221</v>
      </c>
      <c r="E22022" s="3" t="s">
        <v>247</v>
      </c>
      <c r="F22022" s="7">
        <v>46170.2033120642</v>
      </c>
      <c r="G22022" s="3" t="s">
        <v>3834</v>
      </c>
    </row>
    <row r="22023">
      <c r="A22023" s="3" t="s">
        <v>38329</v>
      </c>
      <c r="B22023" s="3" t="s">
        <v>18266</v>
      </c>
      <c r="C22023" s="5" t="s">
        <v>221</v>
      </c>
      <c r="D22023" s="3" t="s">
        <v>614</v>
      </c>
      <c r="E22023" s="3" t="s">
        <v>118</v>
      </c>
      <c r="F22023" s="7">
        <v>46170.20678428642</v>
      </c>
      <c r="G22023" s="3" t="s">
        <v>3837</v>
      </c>
    </row>
    <row r="22024">
      <c r="A22024" s="3" t="s">
        <v>38330</v>
      </c>
      <c r="B22024" s="3" t="s">
        <v>18266</v>
      </c>
      <c r="C22024" s="5" t="s">
        <v>614</v>
      </c>
      <c r="D22024" s="3" t="s">
        <v>206</v>
      </c>
      <c r="E22024" s="3" t="s">
        <v>100</v>
      </c>
      <c r="F22024" s="7">
        <v>46170.210256508646</v>
      </c>
      <c r="G22024" s="3" t="s">
        <v>3840</v>
      </c>
    </row>
    <row r="22025">
      <c r="A22025" s="3" t="s">
        <v>38331</v>
      </c>
      <c r="B22025" s="3" t="s">
        <v>18266</v>
      </c>
      <c r="C22025" s="5" t="s">
        <v>206</v>
      </c>
      <c r="D22025" s="3" t="s">
        <v>68</v>
      </c>
      <c r="E22025" s="3" t="s">
        <v>100</v>
      </c>
      <c r="F22025" s="7">
        <v>46170.213728730865</v>
      </c>
      <c r="G22025" s="3" t="s">
        <v>3843</v>
      </c>
    </row>
    <row r="22026">
      <c r="A22026" s="3" t="s">
        <v>38332</v>
      </c>
      <c r="B22026" s="3" t="s">
        <v>18270</v>
      </c>
      <c r="C22026" s="5" t="s">
        <v>45</v>
      </c>
      <c r="D22026" s="3" t="s">
        <v>221</v>
      </c>
      <c r="E22026" s="3" t="s">
        <v>694</v>
      </c>
      <c r="F22026" s="7">
        <v>46170.27448690961</v>
      </c>
      <c r="G22026" s="3" t="s">
        <v>21154</v>
      </c>
    </row>
    <row r="22027">
      <c r="A22027" s="3" t="s">
        <v>38333</v>
      </c>
      <c r="B22027" s="3" t="s">
        <v>18270</v>
      </c>
      <c r="C22027" s="5" t="s">
        <v>221</v>
      </c>
      <c r="D22027" s="3" t="s">
        <v>181</v>
      </c>
      <c r="E22027" s="3" t="s">
        <v>118</v>
      </c>
      <c r="F22027" s="7">
        <v>46170.27795913183</v>
      </c>
      <c r="G22027" s="3" t="s">
        <v>38334</v>
      </c>
    </row>
    <row r="22028">
      <c r="A22028" s="3" t="s">
        <v>38335</v>
      </c>
      <c r="B22028" s="3" t="s">
        <v>18273</v>
      </c>
      <c r="C22028" s="5" t="s">
        <v>45</v>
      </c>
      <c r="D22028" s="3" t="s">
        <v>221</v>
      </c>
      <c r="E22028" s="3" t="s">
        <v>512</v>
      </c>
      <c r="F22028" s="7">
        <v>46170.34566175503</v>
      </c>
      <c r="G22028" s="3" t="s">
        <v>13840</v>
      </c>
    </row>
    <row r="22029">
      <c r="A22029" s="3" t="s">
        <v>38336</v>
      </c>
      <c r="B22029" s="3" t="s">
        <v>18273</v>
      </c>
      <c r="C22029" s="5" t="s">
        <v>221</v>
      </c>
      <c r="D22029" s="3" t="s">
        <v>614</v>
      </c>
      <c r="E22029" s="3" t="s">
        <v>118</v>
      </c>
      <c r="F22029" s="7">
        <v>46170.34913397725</v>
      </c>
      <c r="G22029" s="3" t="s">
        <v>13843</v>
      </c>
    </row>
    <row r="22030">
      <c r="A22030" s="3" t="s">
        <v>38337</v>
      </c>
      <c r="B22030" s="3" t="s">
        <v>18273</v>
      </c>
      <c r="C22030" s="5" t="s">
        <v>614</v>
      </c>
      <c r="D22030" s="3" t="s">
        <v>206</v>
      </c>
      <c r="E22030" s="3" t="s">
        <v>100</v>
      </c>
      <c r="F22030" s="7">
        <v>46170.35260619948</v>
      </c>
      <c r="G22030" s="3" t="s">
        <v>13846</v>
      </c>
    </row>
    <row r="22031">
      <c r="A22031" s="3" t="s">
        <v>38338</v>
      </c>
      <c r="B22031" s="3" t="s">
        <v>18273</v>
      </c>
      <c r="C22031" s="5" t="s">
        <v>206</v>
      </c>
      <c r="D22031" s="3" t="s">
        <v>68</v>
      </c>
      <c r="E22031" s="3" t="s">
        <v>100</v>
      </c>
      <c r="F22031" s="7">
        <v>46170.3560784217</v>
      </c>
      <c r="G22031" s="3" t="s">
        <v>13848</v>
      </c>
    </row>
    <row r="22032">
      <c r="A22032" s="3" t="s">
        <v>38339</v>
      </c>
      <c r="B22032" s="3" t="s">
        <v>18277</v>
      </c>
      <c r="C22032" s="5" t="s">
        <v>45</v>
      </c>
      <c r="D22032" s="3" t="s">
        <v>221</v>
      </c>
      <c r="E22032" s="3" t="s">
        <v>130</v>
      </c>
      <c r="F22032" s="7">
        <v>46170.416836600445</v>
      </c>
      <c r="G22032" s="3" t="s">
        <v>4330</v>
      </c>
    </row>
    <row r="22033">
      <c r="A22033" s="3" t="s">
        <v>38340</v>
      </c>
      <c r="B22033" s="3" t="s">
        <v>18277</v>
      </c>
      <c r="C22033" s="5" t="s">
        <v>221</v>
      </c>
      <c r="D22033" s="3" t="s">
        <v>614</v>
      </c>
      <c r="E22033" s="3" t="s">
        <v>118</v>
      </c>
      <c r="F22033" s="7">
        <v>46170.420308822664</v>
      </c>
      <c r="G22033" s="3" t="s">
        <v>4333</v>
      </c>
    </row>
    <row r="22034">
      <c r="A22034" s="3" t="s">
        <v>38341</v>
      </c>
      <c r="B22034" s="3" t="s">
        <v>18277</v>
      </c>
      <c r="C22034" s="5" t="s">
        <v>614</v>
      </c>
      <c r="D22034" s="3" t="s">
        <v>206</v>
      </c>
      <c r="E22034" s="3" t="s">
        <v>100</v>
      </c>
      <c r="F22034" s="7">
        <v>46170.42378104489</v>
      </c>
      <c r="G22034" s="3" t="s">
        <v>4336</v>
      </c>
    </row>
    <row r="22035">
      <c r="A22035" s="3" t="s">
        <v>38342</v>
      </c>
      <c r="B22035" s="3" t="s">
        <v>18277</v>
      </c>
      <c r="C22035" s="5" t="s">
        <v>206</v>
      </c>
      <c r="D22035" s="3" t="s">
        <v>68</v>
      </c>
      <c r="E22035" s="3" t="s">
        <v>100</v>
      </c>
      <c r="F22035" s="7">
        <v>46170.42725326711</v>
      </c>
      <c r="G22035" s="3" t="s">
        <v>4339</v>
      </c>
    </row>
    <row r="22036">
      <c r="A22036" s="3" t="s">
        <v>38343</v>
      </c>
      <c r="B22036" s="3" t="s">
        <v>18281</v>
      </c>
      <c r="C22036" s="5" t="s">
        <v>45</v>
      </c>
      <c r="D22036" s="3" t="s">
        <v>221</v>
      </c>
      <c r="E22036" s="3" t="s">
        <v>197</v>
      </c>
      <c r="F22036" s="7">
        <v>46170.48801144586</v>
      </c>
      <c r="G22036" s="3" t="s">
        <v>29295</v>
      </c>
    </row>
    <row r="22037">
      <c r="A22037" s="3" t="s">
        <v>38344</v>
      </c>
      <c r="B22037" s="3" t="s">
        <v>18281</v>
      </c>
      <c r="C22037" s="5" t="s">
        <v>221</v>
      </c>
      <c r="D22037" s="3" t="s">
        <v>614</v>
      </c>
      <c r="E22037" s="3" t="s">
        <v>118</v>
      </c>
      <c r="F22037" s="7">
        <v>46170.49148366808</v>
      </c>
      <c r="G22037" s="3" t="s">
        <v>29297</v>
      </c>
    </row>
    <row r="22038">
      <c r="A22038" s="3" t="s">
        <v>38345</v>
      </c>
      <c r="B22038" s="3" t="s">
        <v>18281</v>
      </c>
      <c r="C22038" s="5" t="s">
        <v>614</v>
      </c>
      <c r="D22038" s="3" t="s">
        <v>206</v>
      </c>
      <c r="E22038" s="3" t="s">
        <v>100</v>
      </c>
      <c r="F22038" s="7">
        <v>46170.4949558903</v>
      </c>
      <c r="G22038" s="3" t="s">
        <v>29299</v>
      </c>
    </row>
    <row r="22039">
      <c r="A22039" s="3" t="s">
        <v>38346</v>
      </c>
      <c r="B22039" s="3" t="s">
        <v>18281</v>
      </c>
      <c r="C22039" s="5" t="s">
        <v>206</v>
      </c>
      <c r="D22039" s="3" t="s">
        <v>68</v>
      </c>
      <c r="E22039" s="3" t="s">
        <v>100</v>
      </c>
      <c r="F22039" s="7">
        <v>46170.49842811252</v>
      </c>
      <c r="G22039" s="3" t="s">
        <v>29301</v>
      </c>
    </row>
    <row r="22040">
      <c r="A22040" s="3" t="s">
        <v>38347</v>
      </c>
      <c r="B22040" s="3" t="s">
        <v>18284</v>
      </c>
      <c r="C22040" s="5" t="s">
        <v>45</v>
      </c>
      <c r="D22040" s="3" t="s">
        <v>221</v>
      </c>
      <c r="E22040" s="3" t="s">
        <v>785</v>
      </c>
      <c r="F22040" s="7">
        <v>46170.55918629128</v>
      </c>
      <c r="G22040" s="3" t="s">
        <v>14779</v>
      </c>
    </row>
    <row r="22041">
      <c r="A22041" s="3" t="s">
        <v>38348</v>
      </c>
      <c r="B22041" s="3" t="s">
        <v>18284</v>
      </c>
      <c r="C22041" s="5" t="s">
        <v>221</v>
      </c>
      <c r="D22041" s="3" t="s">
        <v>614</v>
      </c>
      <c r="E22041" s="3" t="s">
        <v>118</v>
      </c>
      <c r="F22041" s="7">
        <v>46170.562658513496</v>
      </c>
      <c r="G22041" s="3" t="s">
        <v>14782</v>
      </c>
    </row>
    <row r="22042">
      <c r="A22042" s="3" t="s">
        <v>38349</v>
      </c>
      <c r="B22042" s="3" t="s">
        <v>18284</v>
      </c>
      <c r="C22042" s="5" t="s">
        <v>614</v>
      </c>
      <c r="D22042" s="3" t="s">
        <v>206</v>
      </c>
      <c r="E22042" s="3" t="s">
        <v>100</v>
      </c>
      <c r="F22042" s="7">
        <v>46170.56613073572</v>
      </c>
      <c r="G22042" s="3" t="s">
        <v>14785</v>
      </c>
    </row>
    <row r="22043">
      <c r="A22043" s="3" t="s">
        <v>38350</v>
      </c>
      <c r="B22043" s="3" t="s">
        <v>18284</v>
      </c>
      <c r="C22043" s="5" t="s">
        <v>206</v>
      </c>
      <c r="D22043" s="3" t="s">
        <v>68</v>
      </c>
      <c r="E22043" s="3" t="s">
        <v>100</v>
      </c>
      <c r="F22043" s="7">
        <v>46170.56960295794</v>
      </c>
      <c r="G22043" s="3" t="s">
        <v>14787</v>
      </c>
    </row>
    <row r="22044">
      <c r="A22044" s="3" t="s">
        <v>38351</v>
      </c>
      <c r="B22044" s="3" t="s">
        <v>18287</v>
      </c>
      <c r="C22044" s="5" t="s">
        <v>45</v>
      </c>
      <c r="D22044" s="3" t="s">
        <v>221</v>
      </c>
      <c r="E22044" s="3" t="s">
        <v>789</v>
      </c>
      <c r="F22044" s="7">
        <v>46170.63036113669</v>
      </c>
      <c r="G22044" s="3" t="s">
        <v>38352</v>
      </c>
    </row>
    <row r="22045">
      <c r="A22045" s="3" t="s">
        <v>38353</v>
      </c>
      <c r="B22045" s="3" t="s">
        <v>18287</v>
      </c>
      <c r="C22045" s="5" t="s">
        <v>221</v>
      </c>
      <c r="D22045" s="3" t="s">
        <v>614</v>
      </c>
      <c r="E22045" s="3" t="s">
        <v>118</v>
      </c>
      <c r="F22045" s="7">
        <v>46170.63383335891</v>
      </c>
      <c r="G22045" s="3" t="s">
        <v>38354</v>
      </c>
    </row>
    <row r="22046">
      <c r="A22046" s="3" t="s">
        <v>38355</v>
      </c>
      <c r="B22046" s="3" t="s">
        <v>18287</v>
      </c>
      <c r="C22046" s="5" t="s">
        <v>614</v>
      </c>
      <c r="D22046" s="3" t="s">
        <v>206</v>
      </c>
      <c r="E22046" s="3" t="s">
        <v>100</v>
      </c>
      <c r="F22046" s="7">
        <v>46170.637305581135</v>
      </c>
      <c r="G22046" s="3" t="s">
        <v>38356</v>
      </c>
    </row>
    <row r="22047">
      <c r="A22047" s="3" t="s">
        <v>38357</v>
      </c>
      <c r="B22047" s="3" t="s">
        <v>18287</v>
      </c>
      <c r="C22047" s="5" t="s">
        <v>206</v>
      </c>
      <c r="D22047" s="3" t="s">
        <v>68</v>
      </c>
      <c r="E22047" s="3" t="s">
        <v>100</v>
      </c>
      <c r="F22047" s="7">
        <v>46170.64077780335</v>
      </c>
      <c r="G22047" s="3" t="s">
        <v>38358</v>
      </c>
    </row>
    <row r="22048">
      <c r="A22048" s="3" t="s">
        <v>38359</v>
      </c>
      <c r="B22048" s="3" t="s">
        <v>18290</v>
      </c>
      <c r="C22048" s="5" t="s">
        <v>45</v>
      </c>
      <c r="D22048" s="3" t="s">
        <v>221</v>
      </c>
      <c r="E22048" s="3" t="s">
        <v>900</v>
      </c>
      <c r="F22048" s="7">
        <v>46170.7015359821</v>
      </c>
      <c r="G22048" s="3" t="s">
        <v>5927</v>
      </c>
    </row>
    <row r="22049">
      <c r="A22049" s="3" t="s">
        <v>38360</v>
      </c>
      <c r="B22049" s="3" t="s">
        <v>18290</v>
      </c>
      <c r="C22049" s="5" t="s">
        <v>221</v>
      </c>
      <c r="D22049" s="3" t="s">
        <v>614</v>
      </c>
      <c r="E22049" s="3" t="s">
        <v>118</v>
      </c>
      <c r="F22049" s="7">
        <v>46170.70500820432</v>
      </c>
      <c r="G22049" s="3" t="s">
        <v>5930</v>
      </c>
    </row>
    <row r="22050">
      <c r="A22050" s="3" t="s">
        <v>38361</v>
      </c>
      <c r="B22050" s="3" t="s">
        <v>18290</v>
      </c>
      <c r="C22050" s="5" t="s">
        <v>614</v>
      </c>
      <c r="D22050" s="3" t="s">
        <v>206</v>
      </c>
      <c r="E22050" s="3" t="s">
        <v>100</v>
      </c>
      <c r="F22050" s="7">
        <v>46170.70848042655</v>
      </c>
      <c r="G22050" s="3" t="s">
        <v>5932</v>
      </c>
    </row>
    <row r="22051">
      <c r="A22051" s="3" t="s">
        <v>38362</v>
      </c>
      <c r="B22051" s="3" t="s">
        <v>18290</v>
      </c>
      <c r="C22051" s="5" t="s">
        <v>206</v>
      </c>
      <c r="D22051" s="3" t="s">
        <v>68</v>
      </c>
      <c r="E22051" s="3" t="s">
        <v>100</v>
      </c>
      <c r="F22051" s="7">
        <v>46170.711952648766</v>
      </c>
      <c r="G22051" s="3" t="s">
        <v>5935</v>
      </c>
    </row>
    <row r="22052">
      <c r="A22052" s="3" t="s">
        <v>38363</v>
      </c>
      <c r="B22052" s="3" t="s">
        <v>18293</v>
      </c>
      <c r="C22052" s="5" t="s">
        <v>45</v>
      </c>
      <c r="D22052" s="3" t="s">
        <v>221</v>
      </c>
      <c r="E22052" s="3" t="s">
        <v>151</v>
      </c>
      <c r="F22052" s="7">
        <v>46170.77271082752</v>
      </c>
      <c r="G22052" s="3" t="s">
        <v>3845</v>
      </c>
    </row>
    <row r="22053">
      <c r="A22053" s="3" t="s">
        <v>38364</v>
      </c>
      <c r="B22053" s="3" t="s">
        <v>18293</v>
      </c>
      <c r="C22053" s="5" t="s">
        <v>221</v>
      </c>
      <c r="D22053" s="3" t="s">
        <v>614</v>
      </c>
      <c r="E22053" s="3" t="s">
        <v>118</v>
      </c>
      <c r="F22053" s="7">
        <v>46170.77618304974</v>
      </c>
      <c r="G22053" s="3" t="s">
        <v>3848</v>
      </c>
    </row>
    <row r="22054">
      <c r="A22054" s="3" t="s">
        <v>38365</v>
      </c>
      <c r="B22054" s="3" t="s">
        <v>18293</v>
      </c>
      <c r="C22054" s="5" t="s">
        <v>614</v>
      </c>
      <c r="D22054" s="3" t="s">
        <v>206</v>
      </c>
      <c r="E22054" s="3" t="s">
        <v>100</v>
      </c>
      <c r="F22054" s="7">
        <v>46170.77965527197</v>
      </c>
      <c r="G22054" s="3" t="s">
        <v>3851</v>
      </c>
    </row>
    <row r="22055">
      <c r="A22055" s="3" t="s">
        <v>38366</v>
      </c>
      <c r="B22055" s="3" t="s">
        <v>18293</v>
      </c>
      <c r="C22055" s="5" t="s">
        <v>206</v>
      </c>
      <c r="D22055" s="3" t="s">
        <v>68</v>
      </c>
      <c r="E22055" s="3" t="s">
        <v>100</v>
      </c>
      <c r="F22055" s="7">
        <v>46170.783127494185</v>
      </c>
      <c r="G22055" s="3" t="s">
        <v>3854</v>
      </c>
    </row>
    <row r="22056">
      <c r="A22056" s="3" t="s">
        <v>38367</v>
      </c>
      <c r="B22056" s="3" t="s">
        <v>18295</v>
      </c>
      <c r="C22056" s="5" t="s">
        <v>45</v>
      </c>
      <c r="D22056" s="3" t="s">
        <v>221</v>
      </c>
      <c r="E22056" s="3" t="s">
        <v>189</v>
      </c>
      <c r="F22056" s="7">
        <v>46170.84388567294</v>
      </c>
      <c r="G22056" s="3" t="s">
        <v>21283</v>
      </c>
    </row>
    <row r="22057">
      <c r="A22057" s="3" t="s">
        <v>38368</v>
      </c>
      <c r="B22057" s="3" t="s">
        <v>18295</v>
      </c>
      <c r="C22057" s="5" t="s">
        <v>221</v>
      </c>
      <c r="D22057" s="3" t="s">
        <v>614</v>
      </c>
      <c r="E22057" s="3" t="s">
        <v>118</v>
      </c>
      <c r="F22057" s="7">
        <v>46170.84735789516</v>
      </c>
      <c r="G22057" s="3" t="s">
        <v>21286</v>
      </c>
    </row>
    <row r="22058">
      <c r="A22058" s="3" t="s">
        <v>38369</v>
      </c>
      <c r="B22058" s="3" t="s">
        <v>18295</v>
      </c>
      <c r="C22058" s="5" t="s">
        <v>614</v>
      </c>
      <c r="D22058" s="3" t="s">
        <v>206</v>
      </c>
      <c r="E22058" s="3" t="s">
        <v>100</v>
      </c>
      <c r="F22058" s="7">
        <v>46170.850830117386</v>
      </c>
      <c r="G22058" s="3" t="s">
        <v>21288</v>
      </c>
    </row>
    <row r="22059">
      <c r="A22059" s="3" t="s">
        <v>38370</v>
      </c>
      <c r="B22059" s="3" t="s">
        <v>18295</v>
      </c>
      <c r="C22059" s="5" t="s">
        <v>206</v>
      </c>
      <c r="D22059" s="3" t="s">
        <v>68</v>
      </c>
      <c r="E22059" s="3" t="s">
        <v>100</v>
      </c>
      <c r="F22059" s="7">
        <v>46170.854302339605</v>
      </c>
      <c r="G22059" s="3" t="s">
        <v>21291</v>
      </c>
    </row>
    <row r="22060">
      <c r="A22060" s="3" t="s">
        <v>38371</v>
      </c>
      <c r="B22060" s="3" t="s">
        <v>18297</v>
      </c>
      <c r="C22060" s="5" t="s">
        <v>45</v>
      </c>
      <c r="D22060" s="3" t="s">
        <v>221</v>
      </c>
      <c r="E22060" s="3" t="s">
        <v>1028</v>
      </c>
      <c r="F22060" s="7">
        <v>46170.915060518346</v>
      </c>
      <c r="G22060" s="3" t="s">
        <v>20408</v>
      </c>
    </row>
    <row r="22061">
      <c r="A22061" s="3" t="s">
        <v>38372</v>
      </c>
      <c r="B22061" s="3" t="s">
        <v>18297</v>
      </c>
      <c r="C22061" s="5" t="s">
        <v>221</v>
      </c>
      <c r="D22061" s="3" t="s">
        <v>614</v>
      </c>
      <c r="E22061" s="3" t="s">
        <v>118</v>
      </c>
      <c r="F22061" s="7">
        <v>46170.918532740565</v>
      </c>
      <c r="G22061" s="3" t="s">
        <v>20411</v>
      </c>
    </row>
    <row r="22062">
      <c r="A22062" s="3" t="s">
        <v>38373</v>
      </c>
      <c r="B22062" s="3" t="s">
        <v>18297</v>
      </c>
      <c r="C22062" s="5" t="s">
        <v>614</v>
      </c>
      <c r="D22062" s="3" t="s">
        <v>206</v>
      </c>
      <c r="E22062" s="3" t="s">
        <v>100</v>
      </c>
      <c r="F22062" s="7">
        <v>46170.92200496279</v>
      </c>
      <c r="G22062" s="3" t="s">
        <v>20413</v>
      </c>
    </row>
    <row r="22063">
      <c r="A22063" s="3" t="s">
        <v>38374</v>
      </c>
      <c r="B22063" s="3" t="s">
        <v>18297</v>
      </c>
      <c r="C22063" s="5" t="s">
        <v>206</v>
      </c>
      <c r="D22063" s="3" t="s">
        <v>68</v>
      </c>
      <c r="E22063" s="3" t="s">
        <v>100</v>
      </c>
      <c r="F22063" s="7">
        <v>46170.92547718501</v>
      </c>
      <c r="G22063" s="3" t="s">
        <v>20416</v>
      </c>
    </row>
    <row r="22064">
      <c r="A22064" s="3" t="s">
        <v>38375</v>
      </c>
      <c r="B22064" s="3" t="s">
        <v>18299</v>
      </c>
      <c r="C22064" s="5" t="s">
        <v>45</v>
      </c>
      <c r="D22064" s="3" t="s">
        <v>221</v>
      </c>
      <c r="E22064" s="3" t="s">
        <v>455</v>
      </c>
      <c r="F22064" s="7">
        <v>46170.986235363765</v>
      </c>
      <c r="G22064" s="3" t="s">
        <v>5393</v>
      </c>
    </row>
    <row r="22065">
      <c r="A22065" s="3" t="s">
        <v>38376</v>
      </c>
      <c r="B22065" s="3" t="s">
        <v>18299</v>
      </c>
      <c r="C22065" s="5" t="s">
        <v>221</v>
      </c>
      <c r="D22065" s="3" t="s">
        <v>614</v>
      </c>
      <c r="E22065" s="3" t="s">
        <v>118</v>
      </c>
      <c r="F22065" s="7">
        <v>46170.989707585984</v>
      </c>
      <c r="G22065" s="3" t="s">
        <v>5396</v>
      </c>
    </row>
    <row r="22066">
      <c r="A22066" s="3" t="s">
        <v>38377</v>
      </c>
      <c r="B22066" s="3" t="s">
        <v>18299</v>
      </c>
      <c r="C22066" s="5" t="s">
        <v>614</v>
      </c>
      <c r="D22066" s="3" t="s">
        <v>206</v>
      </c>
      <c r="E22066" s="3" t="s">
        <v>100</v>
      </c>
      <c r="F22066" s="7">
        <v>46170.99317980821</v>
      </c>
      <c r="G22066" s="3" t="s">
        <v>5399</v>
      </c>
    </row>
    <row r="22067">
      <c r="A22067" s="3" t="s">
        <v>38378</v>
      </c>
      <c r="B22067" s="3" t="s">
        <v>18299</v>
      </c>
      <c r="C22067" s="5" t="s">
        <v>206</v>
      </c>
      <c r="D22067" s="3" t="s">
        <v>68</v>
      </c>
      <c r="E22067" s="3" t="s">
        <v>100</v>
      </c>
      <c r="F22067" s="7">
        <v>46170.99665203043</v>
      </c>
      <c r="G22067" s="3" t="s">
        <v>5402</v>
      </c>
    </row>
    <row r="22068">
      <c r="A22068" s="3" t="s">
        <v>38379</v>
      </c>
      <c r="B22068" s="3" t="s">
        <v>18301</v>
      </c>
      <c r="C22068" s="5" t="s">
        <v>45</v>
      </c>
      <c r="D22068" s="3" t="s">
        <v>221</v>
      </c>
      <c r="E22068" s="3" t="s">
        <v>290</v>
      </c>
      <c r="F22068" s="7">
        <v>46171.057410209185</v>
      </c>
      <c r="G22068" s="3" t="s">
        <v>33282</v>
      </c>
    </row>
    <row r="22069">
      <c r="A22069" s="3" t="s">
        <v>38380</v>
      </c>
      <c r="B22069" s="3" t="s">
        <v>18301</v>
      </c>
      <c r="C22069" s="5" t="s">
        <v>221</v>
      </c>
      <c r="D22069" s="3" t="s">
        <v>614</v>
      </c>
      <c r="E22069" s="3" t="s">
        <v>118</v>
      </c>
      <c r="F22069" s="7">
        <v>46171.060882431404</v>
      </c>
      <c r="G22069" s="3" t="s">
        <v>33284</v>
      </c>
    </row>
    <row r="22070">
      <c r="A22070" s="3" t="s">
        <v>38381</v>
      </c>
      <c r="B22070" s="3" t="s">
        <v>18301</v>
      </c>
      <c r="C22070" s="5" t="s">
        <v>614</v>
      </c>
      <c r="D22070" s="3" t="s">
        <v>206</v>
      </c>
      <c r="E22070" s="3" t="s">
        <v>100</v>
      </c>
      <c r="F22070" s="7">
        <v>46171.06435465363</v>
      </c>
      <c r="G22070" s="3" t="s">
        <v>33286</v>
      </c>
    </row>
    <row r="22071">
      <c r="A22071" s="3" t="s">
        <v>38382</v>
      </c>
      <c r="B22071" s="3" t="s">
        <v>18301</v>
      </c>
      <c r="C22071" s="5" t="s">
        <v>206</v>
      </c>
      <c r="D22071" s="3" t="s">
        <v>68</v>
      </c>
      <c r="E22071" s="3" t="s">
        <v>100</v>
      </c>
      <c r="F22071" s="7">
        <v>46171.06782687585</v>
      </c>
      <c r="G22071" s="3" t="s">
        <v>33288</v>
      </c>
    </row>
    <row r="22072">
      <c r="A22072" s="3" t="s">
        <v>38383</v>
      </c>
      <c r="B22072" s="3" t="s">
        <v>18303</v>
      </c>
      <c r="C22072" s="5" t="s">
        <v>45</v>
      </c>
      <c r="D22072" s="3" t="s">
        <v>221</v>
      </c>
      <c r="E22072" s="3" t="s">
        <v>359</v>
      </c>
      <c r="F22072" s="7">
        <v>46171.1285850546</v>
      </c>
      <c r="G22072" s="3" t="s">
        <v>3857</v>
      </c>
    </row>
    <row r="22073">
      <c r="A22073" s="3" t="s">
        <v>38384</v>
      </c>
      <c r="B22073" s="3" t="s">
        <v>18303</v>
      </c>
      <c r="C22073" s="5" t="s">
        <v>221</v>
      </c>
      <c r="D22073" s="3" t="s">
        <v>614</v>
      </c>
      <c r="E22073" s="3" t="s">
        <v>118</v>
      </c>
      <c r="F22073" s="7">
        <v>46171.132057276816</v>
      </c>
      <c r="G22073" s="3" t="s">
        <v>3860</v>
      </c>
    </row>
    <row r="22074">
      <c r="A22074" s="3" t="s">
        <v>38385</v>
      </c>
      <c r="B22074" s="3" t="s">
        <v>18303</v>
      </c>
      <c r="C22074" s="5" t="s">
        <v>614</v>
      </c>
      <c r="D22074" s="3" t="s">
        <v>206</v>
      </c>
      <c r="E22074" s="3" t="s">
        <v>100</v>
      </c>
      <c r="F22074" s="7">
        <v>46171.13552949904</v>
      </c>
      <c r="G22074" s="3" t="s">
        <v>3863</v>
      </c>
    </row>
    <row r="22075">
      <c r="A22075" s="3" t="s">
        <v>38386</v>
      </c>
      <c r="B22075" s="3" t="s">
        <v>18303</v>
      </c>
      <c r="C22075" s="5" t="s">
        <v>206</v>
      </c>
      <c r="D22075" s="3" t="s">
        <v>68</v>
      </c>
      <c r="E22075" s="3" t="s">
        <v>100</v>
      </c>
      <c r="F22075" s="7">
        <v>46171.13900172126</v>
      </c>
      <c r="G22075" s="3" t="s">
        <v>3865</v>
      </c>
    </row>
    <row r="22076">
      <c r="A22076" s="3" t="s">
        <v>38387</v>
      </c>
      <c r="B22076" s="3" t="s">
        <v>18306</v>
      </c>
      <c r="C22076" s="5" t="s">
        <v>45</v>
      </c>
      <c r="D22076" s="3" t="s">
        <v>221</v>
      </c>
      <c r="E22076" s="3" t="s">
        <v>943</v>
      </c>
      <c r="F22076" s="7">
        <v>46171.19975990001</v>
      </c>
      <c r="G22076" s="3" t="s">
        <v>3868</v>
      </c>
    </row>
    <row r="22077">
      <c r="A22077" s="3" t="s">
        <v>38388</v>
      </c>
      <c r="B22077" s="3" t="s">
        <v>18306</v>
      </c>
      <c r="C22077" s="5" t="s">
        <v>221</v>
      </c>
      <c r="D22077" s="3" t="s">
        <v>614</v>
      </c>
      <c r="E22077" s="3" t="s">
        <v>118</v>
      </c>
      <c r="F22077" s="7">
        <v>46171.20323212223</v>
      </c>
      <c r="G22077" s="3" t="s">
        <v>3871</v>
      </c>
    </row>
    <row r="22078">
      <c r="A22078" s="3" t="s">
        <v>38389</v>
      </c>
      <c r="B22078" s="3" t="s">
        <v>18306</v>
      </c>
      <c r="C22078" s="5" t="s">
        <v>614</v>
      </c>
      <c r="D22078" s="3" t="s">
        <v>206</v>
      </c>
      <c r="E22078" s="3" t="s">
        <v>100</v>
      </c>
      <c r="F22078" s="7">
        <v>46171.206704344455</v>
      </c>
      <c r="G22078" s="3" t="s">
        <v>3874</v>
      </c>
    </row>
    <row r="22079">
      <c r="A22079" s="3" t="s">
        <v>38390</v>
      </c>
      <c r="B22079" s="3" t="s">
        <v>18306</v>
      </c>
      <c r="C22079" s="5" t="s">
        <v>206</v>
      </c>
      <c r="D22079" s="3" t="s">
        <v>68</v>
      </c>
      <c r="E22079" s="3" t="s">
        <v>100</v>
      </c>
      <c r="F22079" s="7">
        <v>46171.210176566674</v>
      </c>
      <c r="G22079" s="3" t="s">
        <v>3877</v>
      </c>
    </row>
    <row r="22080">
      <c r="A22080" s="3" t="s">
        <v>38391</v>
      </c>
      <c r="B22080" s="3" t="s">
        <v>18308</v>
      </c>
      <c r="C22080" s="5" t="s">
        <v>45</v>
      </c>
      <c r="D22080" s="3" t="s">
        <v>221</v>
      </c>
      <c r="E22080" s="3" t="s">
        <v>505</v>
      </c>
      <c r="F22080" s="7">
        <v>46171.27093474543</v>
      </c>
      <c r="G22080" s="3" t="s">
        <v>3911</v>
      </c>
    </row>
    <row r="22081">
      <c r="A22081" s="3" t="s">
        <v>38392</v>
      </c>
      <c r="B22081" s="3" t="s">
        <v>18308</v>
      </c>
      <c r="C22081" s="5" t="s">
        <v>221</v>
      </c>
      <c r="D22081" s="3" t="s">
        <v>614</v>
      </c>
      <c r="E22081" s="3" t="s">
        <v>118</v>
      </c>
      <c r="F22081" s="7">
        <v>46171.27440696765</v>
      </c>
      <c r="G22081" s="3" t="s">
        <v>3914</v>
      </c>
    </row>
    <row r="22082">
      <c r="A22082" s="3" t="s">
        <v>38393</v>
      </c>
      <c r="B22082" s="3" t="s">
        <v>18308</v>
      </c>
      <c r="C22082" s="5" t="s">
        <v>614</v>
      </c>
      <c r="D22082" s="3" t="s">
        <v>206</v>
      </c>
      <c r="E22082" s="3" t="s">
        <v>100</v>
      </c>
      <c r="F22082" s="7">
        <v>46171.277879189875</v>
      </c>
      <c r="G22082" s="3" t="s">
        <v>3917</v>
      </c>
    </row>
    <row r="22083">
      <c r="A22083" s="3" t="s">
        <v>38394</v>
      </c>
      <c r="B22083" s="3" t="s">
        <v>18308</v>
      </c>
      <c r="C22083" s="5" t="s">
        <v>206</v>
      </c>
      <c r="D22083" s="3" t="s">
        <v>68</v>
      </c>
      <c r="E22083" s="3" t="s">
        <v>100</v>
      </c>
      <c r="F22083" s="7">
        <v>46171.28135141209</v>
      </c>
      <c r="G22083" s="3" t="s">
        <v>3920</v>
      </c>
    </row>
    <row r="22084">
      <c r="A22084" s="3" t="s">
        <v>38395</v>
      </c>
      <c r="B22084" s="3" t="s">
        <v>18310</v>
      </c>
      <c r="C22084" s="5" t="s">
        <v>45</v>
      </c>
      <c r="D22084" s="3" t="s">
        <v>221</v>
      </c>
      <c r="E22084" s="3" t="s">
        <v>266</v>
      </c>
      <c r="F22084" s="7">
        <v>46171.34210959084</v>
      </c>
      <c r="G22084" s="3" t="s">
        <v>4342</v>
      </c>
    </row>
    <row r="22085">
      <c r="A22085" s="3" t="s">
        <v>38396</v>
      </c>
      <c r="B22085" s="3" t="s">
        <v>18310</v>
      </c>
      <c r="C22085" s="5" t="s">
        <v>221</v>
      </c>
      <c r="D22085" s="3" t="s">
        <v>181</v>
      </c>
      <c r="E22085" s="3" t="s">
        <v>118</v>
      </c>
      <c r="F22085" s="7">
        <v>46171.34558181306</v>
      </c>
      <c r="G22085" s="3" t="s">
        <v>38397</v>
      </c>
    </row>
    <row r="22086">
      <c r="A22086" s="3" t="s">
        <v>38398</v>
      </c>
      <c r="B22086" s="3" t="s">
        <v>18312</v>
      </c>
      <c r="C22086" s="5" t="s">
        <v>45</v>
      </c>
      <c r="D22086" s="3" t="s">
        <v>221</v>
      </c>
      <c r="E22086" s="3" t="s">
        <v>629</v>
      </c>
      <c r="F22086" s="7">
        <v>46171.413284436254</v>
      </c>
      <c r="G22086" s="3" t="s">
        <v>16955</v>
      </c>
    </row>
    <row r="22087">
      <c r="A22087" s="3" t="s">
        <v>38399</v>
      </c>
      <c r="B22087" s="3" t="s">
        <v>18312</v>
      </c>
      <c r="C22087" s="5" t="s">
        <v>221</v>
      </c>
      <c r="D22087" s="3" t="s">
        <v>614</v>
      </c>
      <c r="E22087" s="3" t="s">
        <v>118</v>
      </c>
      <c r="F22087" s="7">
        <v>46171.41675665847</v>
      </c>
      <c r="G22087" s="3" t="s">
        <v>27739</v>
      </c>
    </row>
    <row r="22088">
      <c r="A22088" s="3" t="s">
        <v>38400</v>
      </c>
      <c r="B22088" s="3" t="s">
        <v>18312</v>
      </c>
      <c r="C22088" s="5" t="s">
        <v>614</v>
      </c>
      <c r="D22088" s="3" t="s">
        <v>206</v>
      </c>
      <c r="E22088" s="3" t="s">
        <v>100</v>
      </c>
      <c r="F22088" s="7">
        <v>46171.4202288807</v>
      </c>
      <c r="G22088" s="3" t="s">
        <v>27741</v>
      </c>
    </row>
    <row r="22089">
      <c r="A22089" s="3" t="s">
        <v>38401</v>
      </c>
      <c r="B22089" s="3" t="s">
        <v>18312</v>
      </c>
      <c r="C22089" s="5" t="s">
        <v>206</v>
      </c>
      <c r="D22089" s="3" t="s">
        <v>68</v>
      </c>
      <c r="E22089" s="3" t="s">
        <v>100</v>
      </c>
      <c r="F22089" s="7">
        <v>46171.42370110292</v>
      </c>
      <c r="G22089" s="3" t="s">
        <v>27743</v>
      </c>
    </row>
    <row r="22090">
      <c r="A22090" s="3" t="s">
        <v>38402</v>
      </c>
      <c r="B22090" s="3" t="s">
        <v>18315</v>
      </c>
      <c r="C22090" s="5" t="s">
        <v>45</v>
      </c>
      <c r="D22090" s="3" t="s">
        <v>221</v>
      </c>
      <c r="E22090" s="3" t="s">
        <v>380</v>
      </c>
      <c r="F22090" s="7">
        <v>46171.48445928167</v>
      </c>
      <c r="G22090" s="3" t="s">
        <v>16711</v>
      </c>
    </row>
    <row r="22091">
      <c r="A22091" s="3" t="s">
        <v>38403</v>
      </c>
      <c r="B22091" s="3" t="s">
        <v>18315</v>
      </c>
      <c r="C22091" s="5" t="s">
        <v>221</v>
      </c>
      <c r="D22091" s="3" t="s">
        <v>614</v>
      </c>
      <c r="E22091" s="3" t="s">
        <v>118</v>
      </c>
      <c r="F22091" s="7">
        <v>46171.48793150389</v>
      </c>
      <c r="G22091" s="3" t="s">
        <v>16714</v>
      </c>
    </row>
    <row r="22092">
      <c r="A22092" s="3" t="s">
        <v>38404</v>
      </c>
      <c r="B22092" s="3" t="s">
        <v>18315</v>
      </c>
      <c r="C22092" s="5" t="s">
        <v>614</v>
      </c>
      <c r="D22092" s="3" t="s">
        <v>206</v>
      </c>
      <c r="E22092" s="3" t="s">
        <v>100</v>
      </c>
      <c r="F22092" s="7">
        <v>46171.49140372612</v>
      </c>
      <c r="G22092" s="3" t="s">
        <v>16717</v>
      </c>
    </row>
    <row r="22093">
      <c r="A22093" s="3" t="s">
        <v>38405</v>
      </c>
      <c r="B22093" s="3" t="s">
        <v>18315</v>
      </c>
      <c r="C22093" s="5" t="s">
        <v>206</v>
      </c>
      <c r="D22093" s="3" t="s">
        <v>68</v>
      </c>
      <c r="E22093" s="3" t="s">
        <v>100</v>
      </c>
      <c r="F22093" s="7">
        <v>46171.49487594834</v>
      </c>
      <c r="G22093" s="3" t="s">
        <v>16720</v>
      </c>
    </row>
    <row r="22094">
      <c r="A22094" s="3" t="s">
        <v>38406</v>
      </c>
      <c r="B22094" s="3" t="s">
        <v>18324</v>
      </c>
      <c r="C22094" s="5" t="s">
        <v>45</v>
      </c>
      <c r="D22094" s="3" t="s">
        <v>221</v>
      </c>
      <c r="E22094" s="3" t="s">
        <v>900</v>
      </c>
      <c r="F22094" s="7">
        <v>46171.555634127086</v>
      </c>
      <c r="G22094" s="3" t="s">
        <v>3922</v>
      </c>
    </row>
    <row r="22095">
      <c r="A22095" s="3" t="s">
        <v>38407</v>
      </c>
      <c r="B22095" s="3" t="s">
        <v>18324</v>
      </c>
      <c r="C22095" s="5" t="s">
        <v>221</v>
      </c>
      <c r="D22095" s="3" t="s">
        <v>614</v>
      </c>
      <c r="E22095" s="3" t="s">
        <v>118</v>
      </c>
      <c r="F22095" s="7">
        <v>46171.559106349305</v>
      </c>
      <c r="G22095" s="3" t="s">
        <v>3925</v>
      </c>
    </row>
    <row r="22096">
      <c r="A22096" s="3" t="s">
        <v>38408</v>
      </c>
      <c r="B22096" s="3" t="s">
        <v>18324</v>
      </c>
      <c r="C22096" s="5" t="s">
        <v>614</v>
      </c>
      <c r="D22096" s="3" t="s">
        <v>206</v>
      </c>
      <c r="E22096" s="3" t="s">
        <v>100</v>
      </c>
      <c r="F22096" s="7">
        <v>46171.56257857153</v>
      </c>
      <c r="G22096" s="3" t="s">
        <v>3928</v>
      </c>
    </row>
    <row r="22097">
      <c r="A22097" s="3" t="s">
        <v>38409</v>
      </c>
      <c r="B22097" s="3" t="s">
        <v>18324</v>
      </c>
      <c r="C22097" s="5" t="s">
        <v>206</v>
      </c>
      <c r="D22097" s="3" t="s">
        <v>68</v>
      </c>
      <c r="E22097" s="3" t="s">
        <v>100</v>
      </c>
      <c r="F22097" s="7">
        <v>46171.56605079375</v>
      </c>
      <c r="G22097" s="3" t="s">
        <v>3931</v>
      </c>
    </row>
    <row r="22098">
      <c r="A22098" s="3" t="s">
        <v>38410</v>
      </c>
      <c r="B22098" s="3" t="s">
        <v>18327</v>
      </c>
      <c r="C22098" s="5" t="s">
        <v>45</v>
      </c>
      <c r="D22098" s="3" t="s">
        <v>221</v>
      </c>
      <c r="E22098" s="3" t="s">
        <v>400</v>
      </c>
      <c r="F22098" s="7">
        <v>46171.6268089725</v>
      </c>
      <c r="G22098" s="3" t="s">
        <v>26846</v>
      </c>
    </row>
    <row r="22099">
      <c r="A22099" s="3" t="s">
        <v>38411</v>
      </c>
      <c r="B22099" s="3" t="s">
        <v>18327</v>
      </c>
      <c r="C22099" s="5" t="s">
        <v>221</v>
      </c>
      <c r="D22099" s="3" t="s">
        <v>181</v>
      </c>
      <c r="E22099" s="3" t="s">
        <v>118</v>
      </c>
      <c r="F22099" s="7">
        <v>46171.63028119472</v>
      </c>
      <c r="G22099" s="3" t="s">
        <v>26848</v>
      </c>
    </row>
    <row r="22100">
      <c r="A22100" s="3" t="s">
        <v>38412</v>
      </c>
      <c r="B22100" s="3" t="s">
        <v>18331</v>
      </c>
      <c r="C22100" s="5" t="s">
        <v>45</v>
      </c>
      <c r="D22100" s="3" t="s">
        <v>221</v>
      </c>
      <c r="E22100" s="3" t="s">
        <v>864</v>
      </c>
      <c r="F22100" s="7">
        <v>46171.69798381792</v>
      </c>
      <c r="G22100" s="3" t="s">
        <v>3679</v>
      </c>
    </row>
    <row r="22101">
      <c r="A22101" s="3" t="s">
        <v>38413</v>
      </c>
      <c r="B22101" s="3" t="s">
        <v>18331</v>
      </c>
      <c r="C22101" s="5" t="s">
        <v>221</v>
      </c>
      <c r="D22101" s="3" t="s">
        <v>614</v>
      </c>
      <c r="E22101" s="3" t="s">
        <v>118</v>
      </c>
      <c r="F22101" s="7">
        <v>46171.70145604014</v>
      </c>
      <c r="G22101" s="3" t="s">
        <v>3682</v>
      </c>
    </row>
    <row r="22102">
      <c r="A22102" s="3" t="s">
        <v>38414</v>
      </c>
      <c r="B22102" s="3" t="s">
        <v>18331</v>
      </c>
      <c r="C22102" s="5" t="s">
        <v>614</v>
      </c>
      <c r="D22102" s="3" t="s">
        <v>206</v>
      </c>
      <c r="E22102" s="3" t="s">
        <v>100</v>
      </c>
      <c r="F22102" s="7">
        <v>46171.70492826236</v>
      </c>
      <c r="G22102" s="3" t="s">
        <v>3685</v>
      </c>
    </row>
    <row r="22103">
      <c r="A22103" s="3" t="s">
        <v>38415</v>
      </c>
      <c r="B22103" s="3" t="s">
        <v>18331</v>
      </c>
      <c r="C22103" s="5" t="s">
        <v>206</v>
      </c>
      <c r="D22103" s="3" t="s">
        <v>68</v>
      </c>
      <c r="E22103" s="3" t="s">
        <v>100</v>
      </c>
      <c r="F22103" s="7">
        <v>46171.70840048458</v>
      </c>
      <c r="G22103" s="3" t="s">
        <v>3688</v>
      </c>
    </row>
    <row r="22104">
      <c r="A22104" s="3" t="s">
        <v>38416</v>
      </c>
      <c r="B22104" s="3" t="s">
        <v>18335</v>
      </c>
      <c r="C22104" s="5" t="s">
        <v>45</v>
      </c>
      <c r="D22104" s="3" t="s">
        <v>221</v>
      </c>
      <c r="E22104" s="3" t="s">
        <v>957</v>
      </c>
      <c r="F22104" s="7">
        <v>46171.76915866333</v>
      </c>
      <c r="G22104" s="3" t="s">
        <v>12191</v>
      </c>
    </row>
    <row r="22105">
      <c r="A22105" s="3" t="s">
        <v>38417</v>
      </c>
      <c r="B22105" s="3" t="s">
        <v>18335</v>
      </c>
      <c r="C22105" s="5" t="s">
        <v>221</v>
      </c>
      <c r="D22105" s="3" t="s">
        <v>614</v>
      </c>
      <c r="E22105" s="3" t="s">
        <v>118</v>
      </c>
      <c r="F22105" s="7">
        <v>46171.77263088555</v>
      </c>
      <c r="G22105" s="3" t="s">
        <v>12194</v>
      </c>
    </row>
    <row r="22106">
      <c r="A22106" s="3" t="s">
        <v>38418</v>
      </c>
      <c r="B22106" s="3" t="s">
        <v>18335</v>
      </c>
      <c r="C22106" s="5" t="s">
        <v>614</v>
      </c>
      <c r="D22106" s="3" t="s">
        <v>206</v>
      </c>
      <c r="E22106" s="3" t="s">
        <v>100</v>
      </c>
      <c r="F22106" s="7">
        <v>46171.776103107775</v>
      </c>
      <c r="G22106" s="3" t="s">
        <v>12197</v>
      </c>
    </row>
    <row r="22107">
      <c r="A22107" s="3" t="s">
        <v>38419</v>
      </c>
      <c r="B22107" s="3" t="s">
        <v>18335</v>
      </c>
      <c r="C22107" s="5" t="s">
        <v>206</v>
      </c>
      <c r="D22107" s="3" t="s">
        <v>68</v>
      </c>
      <c r="E22107" s="3" t="s">
        <v>100</v>
      </c>
      <c r="F22107" s="7">
        <v>46171.779575329994</v>
      </c>
      <c r="G22107" s="3" t="s">
        <v>12200</v>
      </c>
    </row>
    <row r="22108">
      <c r="A22108" s="3" t="s">
        <v>38420</v>
      </c>
      <c r="B22108" s="3" t="s">
        <v>18338</v>
      </c>
      <c r="C22108" s="5" t="s">
        <v>45</v>
      </c>
      <c r="D22108" s="3" t="s">
        <v>221</v>
      </c>
      <c r="E22108" s="3" t="s">
        <v>830</v>
      </c>
      <c r="F22108" s="7">
        <v>46171.84033350874</v>
      </c>
      <c r="G22108" s="3" t="s">
        <v>21641</v>
      </c>
    </row>
    <row r="22109">
      <c r="A22109" s="3" t="s">
        <v>38421</v>
      </c>
      <c r="B22109" s="3" t="s">
        <v>18338</v>
      </c>
      <c r="C22109" s="5" t="s">
        <v>221</v>
      </c>
      <c r="D22109" s="3" t="s">
        <v>614</v>
      </c>
      <c r="E22109" s="3" t="s">
        <v>118</v>
      </c>
      <c r="F22109" s="7">
        <v>46171.84380573096</v>
      </c>
      <c r="G22109" s="3" t="s">
        <v>31498</v>
      </c>
    </row>
    <row r="22110">
      <c r="A22110" s="3" t="s">
        <v>38422</v>
      </c>
      <c r="B22110" s="3" t="s">
        <v>18338</v>
      </c>
      <c r="C22110" s="5" t="s">
        <v>614</v>
      </c>
      <c r="D22110" s="3" t="s">
        <v>206</v>
      </c>
      <c r="E22110" s="3" t="s">
        <v>100</v>
      </c>
      <c r="F22110" s="7">
        <v>46171.84727795319</v>
      </c>
      <c r="G22110" s="3" t="s">
        <v>31500</v>
      </c>
    </row>
    <row r="22111">
      <c r="A22111" s="3" t="s">
        <v>38423</v>
      </c>
      <c r="B22111" s="3" t="s">
        <v>18338</v>
      </c>
      <c r="C22111" s="5" t="s">
        <v>206</v>
      </c>
      <c r="D22111" s="3" t="s">
        <v>68</v>
      </c>
      <c r="E22111" s="3" t="s">
        <v>100</v>
      </c>
      <c r="F22111" s="7">
        <v>46171.85075017541</v>
      </c>
      <c r="G22111" s="3" t="s">
        <v>31502</v>
      </c>
    </row>
    <row r="22112">
      <c r="A22112" s="3" t="s">
        <v>38424</v>
      </c>
      <c r="B22112" s="3" t="s">
        <v>18342</v>
      </c>
      <c r="C22112" s="5" t="s">
        <v>45</v>
      </c>
      <c r="D22112" s="3" t="s">
        <v>221</v>
      </c>
      <c r="E22112" s="3" t="s">
        <v>596</v>
      </c>
      <c r="F22112" s="7">
        <v>46171.91150835416</v>
      </c>
      <c r="G22112" s="3" t="s">
        <v>5338</v>
      </c>
    </row>
    <row r="22113">
      <c r="A22113" s="3" t="s">
        <v>38425</v>
      </c>
      <c r="B22113" s="3" t="s">
        <v>18342</v>
      </c>
      <c r="C22113" s="5" t="s">
        <v>221</v>
      </c>
      <c r="D22113" s="3" t="s">
        <v>614</v>
      </c>
      <c r="E22113" s="3" t="s">
        <v>118</v>
      </c>
      <c r="F22113" s="7">
        <v>46171.91498057638</v>
      </c>
      <c r="G22113" s="3" t="s">
        <v>5341</v>
      </c>
    </row>
    <row r="22114">
      <c r="A22114" s="3" t="s">
        <v>38426</v>
      </c>
      <c r="B22114" s="3" t="s">
        <v>18342</v>
      </c>
      <c r="C22114" s="5" t="s">
        <v>614</v>
      </c>
      <c r="D22114" s="3" t="s">
        <v>206</v>
      </c>
      <c r="E22114" s="3" t="s">
        <v>100</v>
      </c>
      <c r="F22114" s="7">
        <v>46171.91845279861</v>
      </c>
      <c r="G22114" s="3" t="s">
        <v>5343</v>
      </c>
    </row>
    <row r="22115">
      <c r="A22115" s="3" t="s">
        <v>38427</v>
      </c>
      <c r="B22115" s="3" t="s">
        <v>18342</v>
      </c>
      <c r="C22115" s="5" t="s">
        <v>206</v>
      </c>
      <c r="D22115" s="3" t="s">
        <v>68</v>
      </c>
      <c r="E22115" s="3" t="s">
        <v>100</v>
      </c>
      <c r="F22115" s="7">
        <v>46171.921925020826</v>
      </c>
      <c r="G22115" s="3" t="s">
        <v>5346</v>
      </c>
    </row>
    <row r="22116">
      <c r="A22116" s="3" t="s">
        <v>38428</v>
      </c>
      <c r="B22116" s="3" t="s">
        <v>18346</v>
      </c>
      <c r="C22116" s="5" t="s">
        <v>45</v>
      </c>
      <c r="D22116" s="3" t="s">
        <v>221</v>
      </c>
      <c r="E22116" s="3" t="s">
        <v>208</v>
      </c>
      <c r="F22116" s="7">
        <v>46171.98268319958</v>
      </c>
      <c r="G22116" s="3" t="s">
        <v>19961</v>
      </c>
    </row>
    <row r="22117">
      <c r="A22117" s="3" t="s">
        <v>38429</v>
      </c>
      <c r="B22117" s="3" t="s">
        <v>18346</v>
      </c>
      <c r="C22117" s="5" t="s">
        <v>221</v>
      </c>
      <c r="D22117" s="3" t="s">
        <v>614</v>
      </c>
      <c r="E22117" s="3" t="s">
        <v>118</v>
      </c>
      <c r="F22117" s="7">
        <v>46171.9861554218</v>
      </c>
      <c r="G22117" s="3" t="s">
        <v>19964</v>
      </c>
    </row>
    <row r="22118">
      <c r="A22118" s="3" t="s">
        <v>38430</v>
      </c>
      <c r="B22118" s="3" t="s">
        <v>18346</v>
      </c>
      <c r="C22118" s="5" t="s">
        <v>614</v>
      </c>
      <c r="D22118" s="3" t="s">
        <v>206</v>
      </c>
      <c r="E22118" s="3" t="s">
        <v>100</v>
      </c>
      <c r="F22118" s="7">
        <v>46171.98962764403</v>
      </c>
      <c r="G22118" s="3" t="s">
        <v>19966</v>
      </c>
    </row>
    <row r="22119">
      <c r="A22119" s="3" t="s">
        <v>38431</v>
      </c>
      <c r="B22119" s="3" t="s">
        <v>18346</v>
      </c>
      <c r="C22119" s="5" t="s">
        <v>206</v>
      </c>
      <c r="D22119" s="3" t="s">
        <v>68</v>
      </c>
      <c r="E22119" s="3" t="s">
        <v>100</v>
      </c>
      <c r="F22119" s="7">
        <v>46171.993099866246</v>
      </c>
      <c r="G22119" s="3" t="s">
        <v>19969</v>
      </c>
    </row>
    <row r="22120">
      <c r="A22120" s="3" t="s">
        <v>38432</v>
      </c>
      <c r="B22120" s="3" t="s">
        <v>18349</v>
      </c>
      <c r="C22120" s="5" t="s">
        <v>45</v>
      </c>
      <c r="D22120" s="3" t="s">
        <v>221</v>
      </c>
      <c r="E22120" s="3" t="s">
        <v>841</v>
      </c>
      <c r="F22120" s="7">
        <v>46172.05385804499</v>
      </c>
      <c r="G22120" s="3" t="s">
        <v>11577</v>
      </c>
    </row>
    <row r="22121">
      <c r="A22121" s="3" t="s">
        <v>38433</v>
      </c>
      <c r="B22121" s="3" t="s">
        <v>18349</v>
      </c>
      <c r="C22121" s="5" t="s">
        <v>221</v>
      </c>
      <c r="D22121" s="3" t="s">
        <v>614</v>
      </c>
      <c r="E22121" s="3" t="s">
        <v>118</v>
      </c>
      <c r="F22121" s="7">
        <v>46172.057330267206</v>
      </c>
      <c r="G22121" s="3" t="s">
        <v>11580</v>
      </c>
    </row>
    <row r="22122">
      <c r="A22122" s="3" t="s">
        <v>38434</v>
      </c>
      <c r="B22122" s="3" t="s">
        <v>18349</v>
      </c>
      <c r="C22122" s="5" t="s">
        <v>614</v>
      </c>
      <c r="D22122" s="3" t="s">
        <v>206</v>
      </c>
      <c r="E22122" s="3" t="s">
        <v>100</v>
      </c>
      <c r="F22122" s="7">
        <v>46172.06080248943</v>
      </c>
      <c r="G22122" s="3" t="s">
        <v>11583</v>
      </c>
    </row>
    <row r="22123">
      <c r="A22123" s="3" t="s">
        <v>38435</v>
      </c>
      <c r="B22123" s="3" t="s">
        <v>18349</v>
      </c>
      <c r="C22123" s="5" t="s">
        <v>206</v>
      </c>
      <c r="D22123" s="3" t="s">
        <v>68</v>
      </c>
      <c r="E22123" s="3" t="s">
        <v>100</v>
      </c>
      <c r="F22123" s="7">
        <v>46172.06427471165</v>
      </c>
      <c r="G22123" s="3" t="s">
        <v>11585</v>
      </c>
    </row>
    <row r="22124">
      <c r="A22124" s="3" t="s">
        <v>38436</v>
      </c>
      <c r="B22124" s="3" t="s">
        <v>18352</v>
      </c>
      <c r="C22124" s="5" t="s">
        <v>45</v>
      </c>
      <c r="D22124" s="3" t="s">
        <v>221</v>
      </c>
      <c r="E22124" s="3" t="s">
        <v>669</v>
      </c>
      <c r="F22124" s="7">
        <v>46172.125032890406</v>
      </c>
      <c r="G22124" s="3" t="s">
        <v>3934</v>
      </c>
    </row>
    <row r="22125">
      <c r="A22125" s="3" t="s">
        <v>38437</v>
      </c>
      <c r="B22125" s="3" t="s">
        <v>18352</v>
      </c>
      <c r="C22125" s="5" t="s">
        <v>221</v>
      </c>
      <c r="D22125" s="3" t="s">
        <v>614</v>
      </c>
      <c r="E22125" s="3" t="s">
        <v>118</v>
      </c>
      <c r="F22125" s="7">
        <v>46172.128505112625</v>
      </c>
      <c r="G22125" s="3" t="s">
        <v>3937</v>
      </c>
    </row>
    <row r="22126">
      <c r="A22126" s="3" t="s">
        <v>38438</v>
      </c>
      <c r="B22126" s="3" t="s">
        <v>18352</v>
      </c>
      <c r="C22126" s="5" t="s">
        <v>614</v>
      </c>
      <c r="D22126" s="3" t="s">
        <v>206</v>
      </c>
      <c r="E22126" s="3" t="s">
        <v>100</v>
      </c>
      <c r="F22126" s="7">
        <v>46172.13197733485</v>
      </c>
      <c r="G22126" s="3" t="s">
        <v>3940</v>
      </c>
    </row>
    <row r="22127">
      <c r="A22127" s="3" t="s">
        <v>38439</v>
      </c>
      <c r="B22127" s="3" t="s">
        <v>18352</v>
      </c>
      <c r="C22127" s="5" t="s">
        <v>206</v>
      </c>
      <c r="D22127" s="3" t="s">
        <v>68</v>
      </c>
      <c r="E22127" s="3" t="s">
        <v>100</v>
      </c>
      <c r="F22127" s="7">
        <v>46172.13544955707</v>
      </c>
      <c r="G22127" s="3" t="s">
        <v>3942</v>
      </c>
    </row>
    <row r="22128">
      <c r="A22128" s="3" t="s">
        <v>38440</v>
      </c>
      <c r="B22128" s="3" t="s">
        <v>18357</v>
      </c>
      <c r="C22128" s="5" t="s">
        <v>45</v>
      </c>
      <c r="D22128" s="3" t="s">
        <v>221</v>
      </c>
      <c r="E22128" s="3" t="s">
        <v>816</v>
      </c>
      <c r="F22128" s="7">
        <v>46172.196207735826</v>
      </c>
      <c r="G22128" s="3" t="s">
        <v>3945</v>
      </c>
    </row>
    <row r="22129">
      <c r="A22129" s="3" t="s">
        <v>38441</v>
      </c>
      <c r="B22129" s="3" t="s">
        <v>18357</v>
      </c>
      <c r="C22129" s="5" t="s">
        <v>221</v>
      </c>
      <c r="D22129" s="3" t="s">
        <v>614</v>
      </c>
      <c r="E22129" s="3" t="s">
        <v>118</v>
      </c>
      <c r="F22129" s="7">
        <v>46172.199679958045</v>
      </c>
      <c r="G22129" s="3" t="s">
        <v>3948</v>
      </c>
    </row>
    <row r="22130">
      <c r="A22130" s="3" t="s">
        <v>38442</v>
      </c>
      <c r="B22130" s="3" t="s">
        <v>18357</v>
      </c>
      <c r="C22130" s="5" t="s">
        <v>614</v>
      </c>
      <c r="D22130" s="3" t="s">
        <v>206</v>
      </c>
      <c r="E22130" s="3" t="s">
        <v>100</v>
      </c>
      <c r="F22130" s="7">
        <v>46172.20315218027</v>
      </c>
      <c r="G22130" s="3" t="s">
        <v>3951</v>
      </c>
    </row>
    <row r="22131">
      <c r="A22131" s="3" t="s">
        <v>38443</v>
      </c>
      <c r="B22131" s="3" t="s">
        <v>18357</v>
      </c>
      <c r="C22131" s="5" t="s">
        <v>206</v>
      </c>
      <c r="D22131" s="3" t="s">
        <v>68</v>
      </c>
      <c r="E22131" s="3" t="s">
        <v>100</v>
      </c>
      <c r="F22131" s="7">
        <v>46172.20662440249</v>
      </c>
      <c r="G22131" s="3" t="s">
        <v>3953</v>
      </c>
    </row>
    <row r="22132">
      <c r="A22132" s="3" t="s">
        <v>38444</v>
      </c>
      <c r="B22132" s="3" t="s">
        <v>18360</v>
      </c>
      <c r="C22132" s="5" t="s">
        <v>45</v>
      </c>
      <c r="D22132" s="3" t="s">
        <v>221</v>
      </c>
      <c r="E22132" s="3" t="s">
        <v>990</v>
      </c>
      <c r="F22132" s="7">
        <v>46172.26738258124</v>
      </c>
      <c r="G22132" s="3" t="s">
        <v>13803</v>
      </c>
    </row>
    <row r="22133">
      <c r="A22133" s="3" t="s">
        <v>38445</v>
      </c>
      <c r="B22133" s="3" t="s">
        <v>18360</v>
      </c>
      <c r="C22133" s="5" t="s">
        <v>221</v>
      </c>
      <c r="D22133" s="3" t="s">
        <v>614</v>
      </c>
      <c r="E22133" s="3" t="s">
        <v>118</v>
      </c>
      <c r="F22133" s="7">
        <v>46172.27085480346</v>
      </c>
      <c r="G22133" s="3" t="s">
        <v>13805</v>
      </c>
    </row>
    <row r="22134">
      <c r="A22134" s="3" t="s">
        <v>38446</v>
      </c>
      <c r="B22134" s="3" t="s">
        <v>18360</v>
      </c>
      <c r="C22134" s="5" t="s">
        <v>614</v>
      </c>
      <c r="D22134" s="3" t="s">
        <v>206</v>
      </c>
      <c r="E22134" s="3" t="s">
        <v>100</v>
      </c>
      <c r="F22134" s="7">
        <v>46172.27432702568</v>
      </c>
      <c r="G22134" s="3" t="s">
        <v>13808</v>
      </c>
    </row>
    <row r="22135">
      <c r="A22135" s="3" t="s">
        <v>38447</v>
      </c>
      <c r="B22135" s="3" t="s">
        <v>18360</v>
      </c>
      <c r="C22135" s="5" t="s">
        <v>206</v>
      </c>
      <c r="D22135" s="3" t="s">
        <v>68</v>
      </c>
      <c r="E22135" s="3" t="s">
        <v>100</v>
      </c>
      <c r="F22135" s="7">
        <v>46172.2777992479</v>
      </c>
      <c r="G22135" s="3" t="s">
        <v>13811</v>
      </c>
    </row>
    <row r="22136">
      <c r="A22136" s="3" t="s">
        <v>38448</v>
      </c>
      <c r="B22136" s="3" t="s">
        <v>18363</v>
      </c>
      <c r="C22136" s="5" t="s">
        <v>45</v>
      </c>
      <c r="D22136" s="3" t="s">
        <v>221</v>
      </c>
      <c r="E22136" s="3" t="s">
        <v>436</v>
      </c>
      <c r="F22136" s="7">
        <v>46172.33855742665</v>
      </c>
      <c r="G22136" s="3" t="s">
        <v>7732</v>
      </c>
    </row>
    <row r="22137">
      <c r="A22137" s="3" t="s">
        <v>38449</v>
      </c>
      <c r="B22137" s="3" t="s">
        <v>18363</v>
      </c>
      <c r="C22137" s="5" t="s">
        <v>221</v>
      </c>
      <c r="D22137" s="3" t="s">
        <v>614</v>
      </c>
      <c r="E22137" s="3" t="s">
        <v>118</v>
      </c>
      <c r="F22137" s="7">
        <v>46172.34202964887</v>
      </c>
      <c r="G22137" s="3" t="s">
        <v>7735</v>
      </c>
    </row>
    <row r="22138">
      <c r="A22138" s="3" t="s">
        <v>38450</v>
      </c>
      <c r="B22138" s="3" t="s">
        <v>18363</v>
      </c>
      <c r="C22138" s="5" t="s">
        <v>614</v>
      </c>
      <c r="D22138" s="3" t="s">
        <v>206</v>
      </c>
      <c r="E22138" s="3" t="s">
        <v>100</v>
      </c>
      <c r="F22138" s="7">
        <v>46172.345501871096</v>
      </c>
      <c r="G22138" s="3" t="s">
        <v>7738</v>
      </c>
    </row>
    <row r="22139">
      <c r="A22139" s="3" t="s">
        <v>38451</v>
      </c>
      <c r="B22139" s="3" t="s">
        <v>18363</v>
      </c>
      <c r="C22139" s="5" t="s">
        <v>206</v>
      </c>
      <c r="D22139" s="3" t="s">
        <v>68</v>
      </c>
      <c r="E22139" s="3" t="s">
        <v>100</v>
      </c>
      <c r="F22139" s="7">
        <v>46172.348974093315</v>
      </c>
      <c r="G22139" s="3" t="s">
        <v>7741</v>
      </c>
    </row>
    <row r="22140">
      <c r="A22140" s="3" t="s">
        <v>38452</v>
      </c>
      <c r="B22140" s="3" t="s">
        <v>18367</v>
      </c>
      <c r="C22140" s="5" t="s">
        <v>45</v>
      </c>
      <c r="D22140" s="3" t="s">
        <v>221</v>
      </c>
      <c r="E22140" s="3" t="s">
        <v>725</v>
      </c>
      <c r="F22140" s="7">
        <v>46172.40973227207</v>
      </c>
      <c r="G22140" s="3" t="s">
        <v>20003</v>
      </c>
    </row>
    <row r="22141">
      <c r="A22141" s="3" t="s">
        <v>38453</v>
      </c>
      <c r="B22141" s="3" t="s">
        <v>18367</v>
      </c>
      <c r="C22141" s="5" t="s">
        <v>221</v>
      </c>
      <c r="D22141" s="3" t="s">
        <v>614</v>
      </c>
      <c r="E22141" s="3" t="s">
        <v>118</v>
      </c>
      <c r="F22141" s="7">
        <v>46172.41320449429</v>
      </c>
      <c r="G22141" s="3" t="s">
        <v>20006</v>
      </c>
    </row>
    <row r="22142">
      <c r="A22142" s="3" t="s">
        <v>38454</v>
      </c>
      <c r="B22142" s="3" t="s">
        <v>18367</v>
      </c>
      <c r="C22142" s="5" t="s">
        <v>614</v>
      </c>
      <c r="D22142" s="3" t="s">
        <v>206</v>
      </c>
      <c r="E22142" s="3" t="s">
        <v>100</v>
      </c>
      <c r="F22142" s="7">
        <v>46172.416676716515</v>
      </c>
      <c r="G22142" s="3" t="s">
        <v>20009</v>
      </c>
    </row>
    <row r="22143">
      <c r="A22143" s="3" t="s">
        <v>38455</v>
      </c>
      <c r="B22143" s="3" t="s">
        <v>18367</v>
      </c>
      <c r="C22143" s="5" t="s">
        <v>206</v>
      </c>
      <c r="D22143" s="3" t="s">
        <v>68</v>
      </c>
      <c r="E22143" s="3" t="s">
        <v>100</v>
      </c>
      <c r="F22143" s="7">
        <v>46172.420148938734</v>
      </c>
      <c r="G22143" s="3" t="s">
        <v>20011</v>
      </c>
    </row>
    <row r="22144">
      <c r="A22144" s="3" t="s">
        <v>38456</v>
      </c>
      <c r="B22144" s="3" t="s">
        <v>18371</v>
      </c>
      <c r="C22144" s="5" t="s">
        <v>45</v>
      </c>
      <c r="D22144" s="3" t="s">
        <v>221</v>
      </c>
      <c r="E22144" s="3" t="s">
        <v>637</v>
      </c>
      <c r="F22144" s="7">
        <v>46172.48090711748</v>
      </c>
      <c r="G22144" s="3" t="s">
        <v>3960</v>
      </c>
    </row>
    <row r="22145">
      <c r="A22145" s="3" t="s">
        <v>38457</v>
      </c>
      <c r="B22145" s="3" t="s">
        <v>18371</v>
      </c>
      <c r="C22145" s="5" t="s">
        <v>221</v>
      </c>
      <c r="D22145" s="3" t="s">
        <v>614</v>
      </c>
      <c r="E22145" s="3" t="s">
        <v>118</v>
      </c>
      <c r="F22145" s="7">
        <v>46172.4843793397</v>
      </c>
      <c r="G22145" s="3" t="s">
        <v>3963</v>
      </c>
    </row>
    <row r="22146">
      <c r="A22146" s="3" t="s">
        <v>38458</v>
      </c>
      <c r="B22146" s="3" t="s">
        <v>18371</v>
      </c>
      <c r="C22146" s="5" t="s">
        <v>614</v>
      </c>
      <c r="D22146" s="3" t="s">
        <v>206</v>
      </c>
      <c r="E22146" s="3" t="s">
        <v>100</v>
      </c>
      <c r="F22146" s="7">
        <v>46172.48785156193</v>
      </c>
      <c r="G22146" s="3" t="s">
        <v>3966</v>
      </c>
    </row>
    <row r="22147">
      <c r="A22147" s="3" t="s">
        <v>38459</v>
      </c>
      <c r="B22147" s="3" t="s">
        <v>18371</v>
      </c>
      <c r="C22147" s="5" t="s">
        <v>206</v>
      </c>
      <c r="D22147" s="3" t="s">
        <v>68</v>
      </c>
      <c r="E22147" s="3" t="s">
        <v>100</v>
      </c>
      <c r="F22147" s="7">
        <v>46172.49132378415</v>
      </c>
      <c r="G22147" s="3" t="s">
        <v>3969</v>
      </c>
    </row>
    <row r="22148">
      <c r="A22148" s="3" t="s">
        <v>38460</v>
      </c>
      <c r="B22148" s="3" t="s">
        <v>18374</v>
      </c>
      <c r="C22148" s="5" t="s">
        <v>45</v>
      </c>
      <c r="D22148" s="3" t="s">
        <v>221</v>
      </c>
      <c r="E22148" s="3" t="s">
        <v>395</v>
      </c>
      <c r="F22148" s="7">
        <v>46172.552081962895</v>
      </c>
      <c r="G22148" s="3" t="s">
        <v>29322</v>
      </c>
    </row>
    <row r="22149">
      <c r="A22149" s="3" t="s">
        <v>38461</v>
      </c>
      <c r="B22149" s="3" t="s">
        <v>18374</v>
      </c>
      <c r="C22149" s="5" t="s">
        <v>221</v>
      </c>
      <c r="D22149" s="3" t="s">
        <v>614</v>
      </c>
      <c r="E22149" s="3" t="s">
        <v>118</v>
      </c>
      <c r="F22149" s="7">
        <v>46172.55555418511</v>
      </c>
      <c r="G22149" s="3" t="s">
        <v>29324</v>
      </c>
    </row>
    <row r="22150">
      <c r="A22150" s="3" t="s">
        <v>38462</v>
      </c>
      <c r="B22150" s="3" t="s">
        <v>18374</v>
      </c>
      <c r="C22150" s="5" t="s">
        <v>614</v>
      </c>
      <c r="D22150" s="3" t="s">
        <v>206</v>
      </c>
      <c r="E22150" s="3" t="s">
        <v>100</v>
      </c>
      <c r="F22150" s="7">
        <v>46172.55902640734</v>
      </c>
      <c r="G22150" s="3" t="s">
        <v>29326</v>
      </c>
    </row>
    <row r="22151">
      <c r="A22151" s="3" t="s">
        <v>38463</v>
      </c>
      <c r="B22151" s="3" t="s">
        <v>18374</v>
      </c>
      <c r="C22151" s="5" t="s">
        <v>206</v>
      </c>
      <c r="D22151" s="3" t="s">
        <v>68</v>
      </c>
      <c r="E22151" s="3" t="s">
        <v>100</v>
      </c>
      <c r="F22151" s="7">
        <v>46172.56249862956</v>
      </c>
      <c r="G22151" s="3" t="s">
        <v>29328</v>
      </c>
    </row>
    <row r="22152">
      <c r="A22152" s="3" t="s">
        <v>38464</v>
      </c>
      <c r="B22152" s="3" t="s">
        <v>18377</v>
      </c>
      <c r="C22152" s="5" t="s">
        <v>45</v>
      </c>
      <c r="D22152" s="3" t="s">
        <v>221</v>
      </c>
      <c r="E22152" s="3" t="s">
        <v>348</v>
      </c>
      <c r="F22152" s="7">
        <v>46172.623256808314</v>
      </c>
      <c r="G22152" s="3" t="s">
        <v>29510</v>
      </c>
    </row>
    <row r="22153">
      <c r="A22153" s="3" t="s">
        <v>38465</v>
      </c>
      <c r="B22153" s="3" t="s">
        <v>18377</v>
      </c>
      <c r="C22153" s="5" t="s">
        <v>221</v>
      </c>
      <c r="D22153" s="3" t="s">
        <v>614</v>
      </c>
      <c r="E22153" s="3" t="s">
        <v>118</v>
      </c>
      <c r="F22153" s="7">
        <v>46172.62672903053</v>
      </c>
      <c r="G22153" s="3" t="s">
        <v>31608</v>
      </c>
    </row>
    <row r="22154">
      <c r="A22154" s="3" t="s">
        <v>38466</v>
      </c>
      <c r="B22154" s="3" t="s">
        <v>18377</v>
      </c>
      <c r="C22154" s="5" t="s">
        <v>614</v>
      </c>
      <c r="D22154" s="3" t="s">
        <v>206</v>
      </c>
      <c r="E22154" s="3" t="s">
        <v>100</v>
      </c>
      <c r="F22154" s="7">
        <v>46172.63020125276</v>
      </c>
      <c r="G22154" s="3" t="s">
        <v>31610</v>
      </c>
    </row>
    <row r="22155">
      <c r="A22155" s="3" t="s">
        <v>38467</v>
      </c>
      <c r="B22155" s="3" t="s">
        <v>18377</v>
      </c>
      <c r="C22155" s="5" t="s">
        <v>206</v>
      </c>
      <c r="D22155" s="3" t="s">
        <v>68</v>
      </c>
      <c r="E22155" s="3" t="s">
        <v>100</v>
      </c>
      <c r="F22155" s="7">
        <v>46172.63367347498</v>
      </c>
      <c r="G22155" s="3" t="s">
        <v>31612</v>
      </c>
    </row>
    <row r="22156">
      <c r="A22156" s="3" t="s">
        <v>38468</v>
      </c>
      <c r="B22156" s="3" t="s">
        <v>18381</v>
      </c>
      <c r="C22156" s="5" t="s">
        <v>45</v>
      </c>
      <c r="D22156" s="3" t="s">
        <v>221</v>
      </c>
      <c r="E22156" s="3" t="s">
        <v>123</v>
      </c>
      <c r="F22156" s="7">
        <v>46172.69443165373</v>
      </c>
      <c r="G22156" s="3" t="s">
        <v>3972</v>
      </c>
    </row>
    <row r="22157">
      <c r="A22157" s="3" t="s">
        <v>38469</v>
      </c>
      <c r="B22157" s="3" t="s">
        <v>18381</v>
      </c>
      <c r="C22157" s="5" t="s">
        <v>221</v>
      </c>
      <c r="D22157" s="3" t="s">
        <v>614</v>
      </c>
      <c r="E22157" s="3" t="s">
        <v>118</v>
      </c>
      <c r="F22157" s="7">
        <v>46172.697903875945</v>
      </c>
      <c r="G22157" s="3" t="s">
        <v>3975</v>
      </c>
    </row>
    <row r="22158">
      <c r="A22158" s="3" t="s">
        <v>38470</v>
      </c>
      <c r="B22158" s="3" t="s">
        <v>18381</v>
      </c>
      <c r="C22158" s="5" t="s">
        <v>614</v>
      </c>
      <c r="D22158" s="3" t="s">
        <v>206</v>
      </c>
      <c r="E22158" s="3" t="s">
        <v>100</v>
      </c>
      <c r="F22158" s="7">
        <v>46172.70137609817</v>
      </c>
      <c r="G22158" s="3" t="s">
        <v>3978</v>
      </c>
    </row>
    <row r="22159">
      <c r="A22159" s="3" t="s">
        <v>38471</v>
      </c>
      <c r="B22159" s="3" t="s">
        <v>18381</v>
      </c>
      <c r="C22159" s="5" t="s">
        <v>206</v>
      </c>
      <c r="D22159" s="3" t="s">
        <v>68</v>
      </c>
      <c r="E22159" s="3" t="s">
        <v>100</v>
      </c>
      <c r="F22159" s="7">
        <v>46172.70484832039</v>
      </c>
      <c r="G22159" s="3" t="s">
        <v>3981</v>
      </c>
    </row>
    <row r="22160">
      <c r="A22160" s="3" t="s">
        <v>38472</v>
      </c>
      <c r="B22160" s="3" t="s">
        <v>18385</v>
      </c>
      <c r="C22160" s="5" t="s">
        <v>45</v>
      </c>
      <c r="D22160" s="3" t="s">
        <v>221</v>
      </c>
      <c r="E22160" s="3" t="s">
        <v>990</v>
      </c>
      <c r="F22160" s="7">
        <v>46172.76560649914</v>
      </c>
      <c r="G22160" s="3" t="s">
        <v>24055</v>
      </c>
    </row>
    <row r="22161">
      <c r="A22161" s="3" t="s">
        <v>38473</v>
      </c>
      <c r="B22161" s="3" t="s">
        <v>18385</v>
      </c>
      <c r="C22161" s="5" t="s">
        <v>221</v>
      </c>
      <c r="D22161" s="3" t="s">
        <v>614</v>
      </c>
      <c r="E22161" s="3" t="s">
        <v>118</v>
      </c>
      <c r="F22161" s="7">
        <v>46172.76907872136</v>
      </c>
      <c r="G22161" s="3" t="s">
        <v>24057</v>
      </c>
    </row>
    <row r="22162">
      <c r="A22162" s="3" t="s">
        <v>38474</v>
      </c>
      <c r="B22162" s="3" t="s">
        <v>18385</v>
      </c>
      <c r="C22162" s="5" t="s">
        <v>614</v>
      </c>
      <c r="D22162" s="3" t="s">
        <v>206</v>
      </c>
      <c r="E22162" s="3" t="s">
        <v>100</v>
      </c>
      <c r="F22162" s="7">
        <v>46172.772550943584</v>
      </c>
      <c r="G22162" s="3" t="s">
        <v>24059</v>
      </c>
    </row>
    <row r="22163">
      <c r="A22163" s="3" t="s">
        <v>38475</v>
      </c>
      <c r="B22163" s="3" t="s">
        <v>18385</v>
      </c>
      <c r="C22163" s="5" t="s">
        <v>206</v>
      </c>
      <c r="D22163" s="3" t="s">
        <v>68</v>
      </c>
      <c r="E22163" s="3" t="s">
        <v>100</v>
      </c>
      <c r="F22163" s="7">
        <v>46172.7760231658</v>
      </c>
      <c r="G22163" s="3" t="s">
        <v>24061</v>
      </c>
    </row>
    <row r="22164">
      <c r="A22164" s="3" t="s">
        <v>38476</v>
      </c>
      <c r="B22164" s="3" t="s">
        <v>18388</v>
      </c>
      <c r="C22164" s="5" t="s">
        <v>45</v>
      </c>
      <c r="D22164" s="3" t="s">
        <v>221</v>
      </c>
      <c r="E22164" s="3" t="s">
        <v>496</v>
      </c>
      <c r="F22164" s="7">
        <v>46172.83678134456</v>
      </c>
      <c r="G22164" s="3" t="s">
        <v>23394</v>
      </c>
    </row>
    <row r="22165">
      <c r="A22165" s="3" t="s">
        <v>38477</v>
      </c>
      <c r="B22165" s="3" t="s">
        <v>18388</v>
      </c>
      <c r="C22165" s="5" t="s">
        <v>221</v>
      </c>
      <c r="D22165" s="3" t="s">
        <v>614</v>
      </c>
      <c r="E22165" s="3" t="s">
        <v>118</v>
      </c>
      <c r="F22165" s="7">
        <v>46172.84025356678</v>
      </c>
      <c r="G22165" s="3" t="s">
        <v>23396</v>
      </c>
    </row>
    <row r="22166">
      <c r="A22166" s="3" t="s">
        <v>38478</v>
      </c>
      <c r="B22166" s="3" t="s">
        <v>18388</v>
      </c>
      <c r="C22166" s="5" t="s">
        <v>614</v>
      </c>
      <c r="D22166" s="3" t="s">
        <v>206</v>
      </c>
      <c r="E22166" s="3" t="s">
        <v>100</v>
      </c>
      <c r="F22166" s="7">
        <v>46172.843725789004</v>
      </c>
      <c r="G22166" s="3" t="s">
        <v>23399</v>
      </c>
    </row>
    <row r="22167">
      <c r="A22167" s="3" t="s">
        <v>38479</v>
      </c>
      <c r="B22167" s="3" t="s">
        <v>18388</v>
      </c>
      <c r="C22167" s="5" t="s">
        <v>206</v>
      </c>
      <c r="D22167" s="3" t="s">
        <v>68</v>
      </c>
      <c r="E22167" s="3" t="s">
        <v>100</v>
      </c>
      <c r="F22167" s="7">
        <v>46172.84719801122</v>
      </c>
      <c r="G22167" s="3" t="s">
        <v>23402</v>
      </c>
    </row>
    <row r="22168">
      <c r="A22168" s="3" t="s">
        <v>38480</v>
      </c>
      <c r="B22168" s="3" t="s">
        <v>18391</v>
      </c>
      <c r="C22168" s="5" t="s">
        <v>45</v>
      </c>
      <c r="D22168" s="3" t="s">
        <v>221</v>
      </c>
      <c r="E22168" s="3" t="s">
        <v>272</v>
      </c>
      <c r="F22168" s="7">
        <v>46172.90795618998</v>
      </c>
      <c r="G22168" s="3" t="s">
        <v>20575</v>
      </c>
    </row>
    <row r="22169">
      <c r="A22169" s="3" t="s">
        <v>38481</v>
      </c>
      <c r="B22169" s="3" t="s">
        <v>18391</v>
      </c>
      <c r="C22169" s="5" t="s">
        <v>221</v>
      </c>
      <c r="D22169" s="3" t="s">
        <v>181</v>
      </c>
      <c r="E22169" s="3" t="s">
        <v>118</v>
      </c>
      <c r="F22169" s="7">
        <v>46172.9114284122</v>
      </c>
      <c r="G22169" s="3" t="s">
        <v>38482</v>
      </c>
    </row>
    <row r="22170">
      <c r="A22170" s="3" t="s">
        <v>38483</v>
      </c>
      <c r="B22170" s="3" t="s">
        <v>18393</v>
      </c>
      <c r="C22170" s="5" t="s">
        <v>45</v>
      </c>
      <c r="D22170" s="3" t="s">
        <v>221</v>
      </c>
      <c r="E22170" s="3" t="s">
        <v>713</v>
      </c>
      <c r="F22170" s="7">
        <v>46172.97913103538</v>
      </c>
      <c r="G22170" s="3" t="s">
        <v>12106</v>
      </c>
    </row>
    <row r="22171">
      <c r="A22171" s="3" t="s">
        <v>38484</v>
      </c>
      <c r="B22171" s="3" t="s">
        <v>18393</v>
      </c>
      <c r="C22171" s="5" t="s">
        <v>221</v>
      </c>
      <c r="D22171" s="3" t="s">
        <v>181</v>
      </c>
      <c r="E22171" s="3" t="s">
        <v>118</v>
      </c>
      <c r="F22171" s="7">
        <v>46172.9826032576</v>
      </c>
      <c r="G22171" s="3" t="s">
        <v>23901</v>
      </c>
    </row>
    <row r="22172">
      <c r="A22172" s="3" t="s">
        <v>38485</v>
      </c>
      <c r="B22172" s="3" t="s">
        <v>18396</v>
      </c>
      <c r="C22172" s="5" t="s">
        <v>45</v>
      </c>
      <c r="D22172" s="3" t="s">
        <v>221</v>
      </c>
      <c r="E22172" s="3" t="s">
        <v>211</v>
      </c>
      <c r="F22172" s="7">
        <v>46173.0503058808</v>
      </c>
      <c r="G22172" s="3" t="s">
        <v>5696</v>
      </c>
    </row>
    <row r="22173">
      <c r="A22173" s="3" t="s">
        <v>38486</v>
      </c>
      <c r="B22173" s="3" t="s">
        <v>18396</v>
      </c>
      <c r="C22173" s="5" t="s">
        <v>221</v>
      </c>
      <c r="D22173" s="3" t="s">
        <v>181</v>
      </c>
      <c r="E22173" s="3" t="s">
        <v>118</v>
      </c>
      <c r="F22173" s="7">
        <v>46173.05377810302</v>
      </c>
      <c r="G22173" s="3" t="s">
        <v>24294</v>
      </c>
    </row>
    <row r="22174">
      <c r="A22174" s="3" t="s">
        <v>38487</v>
      </c>
      <c r="B22174" s="3" t="s">
        <v>18398</v>
      </c>
      <c r="C22174" s="5" t="s">
        <v>45</v>
      </c>
      <c r="D22174" s="3" t="s">
        <v>221</v>
      </c>
      <c r="E22174" s="3" t="s">
        <v>151</v>
      </c>
      <c r="F22174" s="7">
        <v>46173.12148072622</v>
      </c>
      <c r="G22174" s="3" t="s">
        <v>30795</v>
      </c>
    </row>
    <row r="22175">
      <c r="A22175" s="3" t="s">
        <v>38488</v>
      </c>
      <c r="B22175" s="3" t="s">
        <v>18398</v>
      </c>
      <c r="C22175" s="5" t="s">
        <v>221</v>
      </c>
      <c r="D22175" s="3" t="s">
        <v>614</v>
      </c>
      <c r="E22175" s="3" t="s">
        <v>118</v>
      </c>
      <c r="F22175" s="7">
        <v>46173.12495294844</v>
      </c>
      <c r="G22175" s="3" t="s">
        <v>30797</v>
      </c>
    </row>
    <row r="22176">
      <c r="A22176" s="3" t="s">
        <v>38489</v>
      </c>
      <c r="B22176" s="3" t="s">
        <v>18398</v>
      </c>
      <c r="C22176" s="5" t="s">
        <v>614</v>
      </c>
      <c r="D22176" s="3" t="s">
        <v>206</v>
      </c>
      <c r="E22176" s="3" t="s">
        <v>100</v>
      </c>
      <c r="F22176" s="7">
        <v>46173.12842517067</v>
      </c>
      <c r="G22176" s="3" t="s">
        <v>30799</v>
      </c>
    </row>
    <row r="22177">
      <c r="A22177" s="3" t="s">
        <v>38490</v>
      </c>
      <c r="B22177" s="3" t="s">
        <v>18398</v>
      </c>
      <c r="C22177" s="5" t="s">
        <v>206</v>
      </c>
      <c r="D22177" s="3" t="s">
        <v>68</v>
      </c>
      <c r="E22177" s="3" t="s">
        <v>100</v>
      </c>
      <c r="F22177" s="7">
        <v>46173.13189739289</v>
      </c>
      <c r="G22177" s="3" t="s">
        <v>30801</v>
      </c>
    </row>
    <row r="22178">
      <c r="A22178" s="3" t="s">
        <v>38491</v>
      </c>
      <c r="B22178" s="3" t="s">
        <v>18401</v>
      </c>
      <c r="C22178" s="5" t="s">
        <v>45</v>
      </c>
      <c r="D22178" s="3" t="s">
        <v>221</v>
      </c>
      <c r="E22178" s="3" t="s">
        <v>316</v>
      </c>
      <c r="F22178" s="7">
        <v>46173.192655571635</v>
      </c>
      <c r="G22178" s="3" t="s">
        <v>13595</v>
      </c>
    </row>
    <row r="22179">
      <c r="A22179" s="3" t="s">
        <v>38492</v>
      </c>
      <c r="B22179" s="3" t="s">
        <v>18401</v>
      </c>
      <c r="C22179" s="5" t="s">
        <v>221</v>
      </c>
      <c r="D22179" s="3" t="s">
        <v>614</v>
      </c>
      <c r="E22179" s="3" t="s">
        <v>118</v>
      </c>
      <c r="F22179" s="7">
        <v>46173.19612779385</v>
      </c>
      <c r="G22179" s="3" t="s">
        <v>13598</v>
      </c>
    </row>
    <row r="22180">
      <c r="A22180" s="3" t="s">
        <v>38493</v>
      </c>
      <c r="B22180" s="3" t="s">
        <v>18401</v>
      </c>
      <c r="C22180" s="5" t="s">
        <v>614</v>
      </c>
      <c r="D22180" s="3" t="s">
        <v>206</v>
      </c>
      <c r="E22180" s="3" t="s">
        <v>100</v>
      </c>
      <c r="F22180" s="7">
        <v>46173.19960001608</v>
      </c>
      <c r="G22180" s="3" t="s">
        <v>13602</v>
      </c>
    </row>
    <row r="22181">
      <c r="A22181" s="3" t="s">
        <v>38494</v>
      </c>
      <c r="B22181" s="3" t="s">
        <v>18401</v>
      </c>
      <c r="C22181" s="5" t="s">
        <v>206</v>
      </c>
      <c r="D22181" s="3" t="s">
        <v>68</v>
      </c>
      <c r="E22181" s="3" t="s">
        <v>100</v>
      </c>
      <c r="F22181" s="7">
        <v>46173.2030722383</v>
      </c>
      <c r="G22181" s="3" t="s">
        <v>13605</v>
      </c>
    </row>
    <row r="22182">
      <c r="A22182" s="3" t="s">
        <v>38495</v>
      </c>
      <c r="B22182" s="3" t="s">
        <v>18404</v>
      </c>
      <c r="C22182" s="5" t="s">
        <v>45</v>
      </c>
      <c r="D22182" s="3" t="s">
        <v>221</v>
      </c>
      <c r="E22182" s="3" t="s">
        <v>527</v>
      </c>
      <c r="F22182" s="7">
        <v>46173.26383041705</v>
      </c>
      <c r="G22182" s="3" t="s">
        <v>30023</v>
      </c>
    </row>
    <row r="22183">
      <c r="A22183" s="3" t="s">
        <v>38496</v>
      </c>
      <c r="B22183" s="3" t="s">
        <v>18404</v>
      </c>
      <c r="C22183" s="5" t="s">
        <v>221</v>
      </c>
      <c r="D22183" s="3" t="s">
        <v>181</v>
      </c>
      <c r="E22183" s="3" t="s">
        <v>118</v>
      </c>
      <c r="F22183" s="7">
        <v>46173.267302639266</v>
      </c>
      <c r="G22183" s="3" t="s">
        <v>30282</v>
      </c>
    </row>
    <row r="22184">
      <c r="A22184" s="3" t="s">
        <v>38497</v>
      </c>
      <c r="B22184" s="3" t="s">
        <v>18408</v>
      </c>
      <c r="C22184" s="5" t="s">
        <v>45</v>
      </c>
      <c r="D22184" s="3" t="s">
        <v>221</v>
      </c>
      <c r="E22184" s="3" t="s">
        <v>546</v>
      </c>
      <c r="F22184" s="7">
        <v>46173.33500526247</v>
      </c>
      <c r="G22184" s="3" t="s">
        <v>21622</v>
      </c>
    </row>
    <row r="22185">
      <c r="A22185" s="3" t="s">
        <v>38498</v>
      </c>
      <c r="B22185" s="3" t="s">
        <v>18408</v>
      </c>
      <c r="C22185" s="5" t="s">
        <v>221</v>
      </c>
      <c r="D22185" s="3" t="s">
        <v>614</v>
      </c>
      <c r="E22185" s="3" t="s">
        <v>118</v>
      </c>
      <c r="F22185" s="7">
        <v>46173.338477484685</v>
      </c>
      <c r="G22185" s="3" t="s">
        <v>21624</v>
      </c>
    </row>
    <row r="22186">
      <c r="A22186" s="3" t="s">
        <v>38499</v>
      </c>
      <c r="B22186" s="3" t="s">
        <v>18408</v>
      </c>
      <c r="C22186" s="5" t="s">
        <v>614</v>
      </c>
      <c r="D22186" s="3" t="s">
        <v>206</v>
      </c>
      <c r="E22186" s="3" t="s">
        <v>100</v>
      </c>
      <c r="F22186" s="7">
        <v>46173.34194970691</v>
      </c>
      <c r="G22186" s="3" t="s">
        <v>21627</v>
      </c>
    </row>
    <row r="22187">
      <c r="A22187" s="3" t="s">
        <v>38500</v>
      </c>
      <c r="B22187" s="3" t="s">
        <v>18408</v>
      </c>
      <c r="C22187" s="5" t="s">
        <v>206</v>
      </c>
      <c r="D22187" s="3" t="s">
        <v>68</v>
      </c>
      <c r="E22187" s="3" t="s">
        <v>100</v>
      </c>
      <c r="F22187" s="7">
        <v>46173.34542192913</v>
      </c>
      <c r="G22187" s="3" t="s">
        <v>21630</v>
      </c>
    </row>
    <row r="22188">
      <c r="A22188" s="3" t="s">
        <v>38501</v>
      </c>
      <c r="B22188" s="3" t="s">
        <v>18413</v>
      </c>
      <c r="C22188" s="5" t="s">
        <v>45</v>
      </c>
      <c r="D22188" s="3" t="s">
        <v>221</v>
      </c>
      <c r="E22188" s="3" t="s">
        <v>436</v>
      </c>
      <c r="F22188" s="7">
        <v>46173.40618010788</v>
      </c>
      <c r="G22188" s="3" t="s">
        <v>10379</v>
      </c>
    </row>
    <row r="22189">
      <c r="A22189" s="3" t="s">
        <v>38502</v>
      </c>
      <c r="B22189" s="3" t="s">
        <v>18413</v>
      </c>
      <c r="C22189" s="5" t="s">
        <v>221</v>
      </c>
      <c r="D22189" s="3" t="s">
        <v>614</v>
      </c>
      <c r="E22189" s="3" t="s">
        <v>118</v>
      </c>
      <c r="F22189" s="7">
        <v>46173.4096523301</v>
      </c>
      <c r="G22189" s="3" t="s">
        <v>10383</v>
      </c>
    </row>
    <row r="22190">
      <c r="A22190" s="3" t="s">
        <v>38503</v>
      </c>
      <c r="B22190" s="3" t="s">
        <v>18413</v>
      </c>
      <c r="C22190" s="5" t="s">
        <v>614</v>
      </c>
      <c r="D22190" s="3" t="s">
        <v>206</v>
      </c>
      <c r="E22190" s="3" t="s">
        <v>100</v>
      </c>
      <c r="F22190" s="7">
        <v>46173.413124552324</v>
      </c>
      <c r="G22190" s="3" t="s">
        <v>10386</v>
      </c>
    </row>
    <row r="22191">
      <c r="A22191" s="3" t="s">
        <v>38504</v>
      </c>
      <c r="B22191" s="3" t="s">
        <v>18413</v>
      </c>
      <c r="C22191" s="5" t="s">
        <v>206</v>
      </c>
      <c r="D22191" s="3" t="s">
        <v>68</v>
      </c>
      <c r="E22191" s="3" t="s">
        <v>100</v>
      </c>
      <c r="F22191" s="7">
        <v>46173.41659677454</v>
      </c>
      <c r="G22191" s="3" t="s">
        <v>10390</v>
      </c>
    </row>
    <row r="22192">
      <c r="A22192" s="3" t="s">
        <v>38505</v>
      </c>
      <c r="B22192" s="3" t="s">
        <v>18416</v>
      </c>
      <c r="C22192" s="5" t="s">
        <v>45</v>
      </c>
      <c r="D22192" s="3" t="s">
        <v>221</v>
      </c>
      <c r="E22192" s="3" t="s">
        <v>175</v>
      </c>
      <c r="F22192" s="7">
        <v>46173.47735495329</v>
      </c>
      <c r="G22192" s="3" t="s">
        <v>4448</v>
      </c>
    </row>
    <row r="22193">
      <c r="A22193" s="3" t="s">
        <v>38506</v>
      </c>
      <c r="B22193" s="3" t="s">
        <v>18416</v>
      </c>
      <c r="C22193" s="5" t="s">
        <v>221</v>
      </c>
      <c r="D22193" s="3" t="s">
        <v>614</v>
      </c>
      <c r="E22193" s="3" t="s">
        <v>118</v>
      </c>
      <c r="F22193" s="7">
        <v>46173.48082717551</v>
      </c>
      <c r="G22193" s="3" t="s">
        <v>4451</v>
      </c>
    </row>
    <row r="22194">
      <c r="A22194" s="3" t="s">
        <v>38507</v>
      </c>
      <c r="B22194" s="3" t="s">
        <v>18416</v>
      </c>
      <c r="C22194" s="5" t="s">
        <v>614</v>
      </c>
      <c r="D22194" s="3" t="s">
        <v>206</v>
      </c>
      <c r="E22194" s="3" t="s">
        <v>100</v>
      </c>
      <c r="F22194" s="7">
        <v>46173.484299397736</v>
      </c>
      <c r="G22194" s="3" t="s">
        <v>4454</v>
      </c>
    </row>
    <row r="22195">
      <c r="A22195" s="3" t="s">
        <v>38508</v>
      </c>
      <c r="B22195" s="3" t="s">
        <v>18416</v>
      </c>
      <c r="C22195" s="5" t="s">
        <v>206</v>
      </c>
      <c r="D22195" s="3" t="s">
        <v>68</v>
      </c>
      <c r="E22195" s="3" t="s">
        <v>100</v>
      </c>
      <c r="F22195" s="7">
        <v>46173.487771619955</v>
      </c>
      <c r="G22195" s="3" t="s">
        <v>4457</v>
      </c>
    </row>
    <row r="22196">
      <c r="A22196" s="3" t="s">
        <v>38509</v>
      </c>
      <c r="B22196" s="3" t="s">
        <v>18418</v>
      </c>
      <c r="C22196" s="5" t="s">
        <v>45</v>
      </c>
      <c r="D22196" s="3" t="s">
        <v>221</v>
      </c>
      <c r="E22196" s="3" t="s">
        <v>400</v>
      </c>
      <c r="F22196" s="7">
        <v>46173.54852979871</v>
      </c>
      <c r="G22196" s="3" t="s">
        <v>11180</v>
      </c>
    </row>
    <row r="22197">
      <c r="A22197" s="3" t="s">
        <v>38510</v>
      </c>
      <c r="B22197" s="3" t="s">
        <v>18418</v>
      </c>
      <c r="C22197" s="5" t="s">
        <v>221</v>
      </c>
      <c r="D22197" s="3" t="s">
        <v>614</v>
      </c>
      <c r="E22197" s="3" t="s">
        <v>118</v>
      </c>
      <c r="F22197" s="7">
        <v>46173.55200202093</v>
      </c>
      <c r="G22197" s="3" t="s">
        <v>11183</v>
      </c>
    </row>
    <row r="22198">
      <c r="A22198" s="3" t="s">
        <v>38511</v>
      </c>
      <c r="B22198" s="3" t="s">
        <v>18418</v>
      </c>
      <c r="C22198" s="5" t="s">
        <v>614</v>
      </c>
      <c r="D22198" s="3" t="s">
        <v>206</v>
      </c>
      <c r="E22198" s="3" t="s">
        <v>100</v>
      </c>
      <c r="F22198" s="7">
        <v>46173.555474243156</v>
      </c>
      <c r="G22198" s="3" t="s">
        <v>11186</v>
      </c>
    </row>
    <row r="22199">
      <c r="A22199" s="3" t="s">
        <v>38512</v>
      </c>
      <c r="B22199" s="3" t="s">
        <v>18418</v>
      </c>
      <c r="C22199" s="5" t="s">
        <v>206</v>
      </c>
      <c r="D22199" s="3" t="s">
        <v>68</v>
      </c>
      <c r="E22199" s="3" t="s">
        <v>100</v>
      </c>
      <c r="F22199" s="7">
        <v>46173.558946465375</v>
      </c>
      <c r="G22199" s="3" t="s">
        <v>11189</v>
      </c>
    </row>
    <row r="22200">
      <c r="A22200" s="3" t="s">
        <v>38513</v>
      </c>
      <c r="B22200" s="3" t="s">
        <v>18422</v>
      </c>
      <c r="C22200" s="5" t="s">
        <v>45</v>
      </c>
      <c r="D22200" s="3" t="s">
        <v>221</v>
      </c>
      <c r="E22200" s="3" t="s">
        <v>424</v>
      </c>
      <c r="F22200" s="7">
        <v>46173.61970464412</v>
      </c>
      <c r="G22200" s="3" t="s">
        <v>3984</v>
      </c>
    </row>
    <row r="22201">
      <c r="A22201" s="3" t="s">
        <v>38514</v>
      </c>
      <c r="B22201" s="3" t="s">
        <v>18422</v>
      </c>
      <c r="C22201" s="5" t="s">
        <v>221</v>
      </c>
      <c r="D22201" s="3" t="s">
        <v>614</v>
      </c>
      <c r="E22201" s="3" t="s">
        <v>118</v>
      </c>
      <c r="F22201" s="7">
        <v>46173.62317686634</v>
      </c>
      <c r="G22201" s="3" t="s">
        <v>3987</v>
      </c>
    </row>
    <row r="22202">
      <c r="A22202" s="3" t="s">
        <v>38515</v>
      </c>
      <c r="B22202" s="3" t="s">
        <v>18422</v>
      </c>
      <c r="C22202" s="5" t="s">
        <v>614</v>
      </c>
      <c r="D22202" s="3" t="s">
        <v>206</v>
      </c>
      <c r="E22202" s="3" t="s">
        <v>100</v>
      </c>
      <c r="F22202" s="7">
        <v>46173.62664908857</v>
      </c>
      <c r="G22202" s="3" t="s">
        <v>3990</v>
      </c>
    </row>
    <row r="22203">
      <c r="A22203" s="3" t="s">
        <v>38516</v>
      </c>
      <c r="B22203" s="3" t="s">
        <v>18422</v>
      </c>
      <c r="C22203" s="5" t="s">
        <v>206</v>
      </c>
      <c r="D22203" s="3" t="s">
        <v>68</v>
      </c>
      <c r="E22203" s="3" t="s">
        <v>100</v>
      </c>
      <c r="F22203" s="7">
        <v>46173.63012131079</v>
      </c>
      <c r="G22203" s="3" t="s">
        <v>3993</v>
      </c>
    </row>
    <row r="22204">
      <c r="A22204" s="3" t="s">
        <v>38517</v>
      </c>
      <c r="B22204" s="3" t="s">
        <v>18426</v>
      </c>
      <c r="C22204" s="5" t="s">
        <v>45</v>
      </c>
      <c r="D22204" s="3" t="s">
        <v>221</v>
      </c>
      <c r="E22204" s="3" t="s">
        <v>319</v>
      </c>
      <c r="F22204" s="7">
        <v>46173.690879489535</v>
      </c>
      <c r="G22204" s="3" t="s">
        <v>30145</v>
      </c>
    </row>
    <row r="22205">
      <c r="A22205" s="3" t="s">
        <v>38518</v>
      </c>
      <c r="B22205" s="3" t="s">
        <v>18426</v>
      </c>
      <c r="C22205" s="5" t="s">
        <v>221</v>
      </c>
      <c r="D22205" s="3" t="s">
        <v>614</v>
      </c>
      <c r="E22205" s="3" t="s">
        <v>118</v>
      </c>
      <c r="F22205" s="7">
        <v>46173.694351711754</v>
      </c>
      <c r="G22205" s="3" t="s">
        <v>30147</v>
      </c>
    </row>
    <row r="22206">
      <c r="A22206" s="3" t="s">
        <v>38519</v>
      </c>
      <c r="B22206" s="3" t="s">
        <v>18426</v>
      </c>
      <c r="C22206" s="5" t="s">
        <v>614</v>
      </c>
      <c r="D22206" s="3" t="s">
        <v>206</v>
      </c>
      <c r="E22206" s="3" t="s">
        <v>100</v>
      </c>
      <c r="F22206" s="7">
        <v>46173.69782393398</v>
      </c>
      <c r="G22206" s="3" t="s">
        <v>30149</v>
      </c>
    </row>
    <row r="22207">
      <c r="A22207" s="3" t="s">
        <v>38520</v>
      </c>
      <c r="B22207" s="3" t="s">
        <v>18426</v>
      </c>
      <c r="C22207" s="5" t="s">
        <v>206</v>
      </c>
      <c r="D22207" s="3" t="s">
        <v>68</v>
      </c>
      <c r="E22207" s="3" t="s">
        <v>100</v>
      </c>
      <c r="F22207" s="7">
        <v>46173.7012961562</v>
      </c>
      <c r="G22207" s="3" t="s">
        <v>30151</v>
      </c>
    </row>
    <row r="22208">
      <c r="A22208" s="3" t="s">
        <v>38521</v>
      </c>
      <c r="B22208" s="3" t="s">
        <v>18429</v>
      </c>
      <c r="C22208" s="5" t="s">
        <v>45</v>
      </c>
      <c r="D22208" s="3" t="s">
        <v>221</v>
      </c>
      <c r="E22208" s="3" t="s">
        <v>377</v>
      </c>
      <c r="F22208" s="7">
        <v>46173.762054334955</v>
      </c>
      <c r="G22208" s="3" t="s">
        <v>22255</v>
      </c>
    </row>
    <row r="22209">
      <c r="A22209" s="3" t="s">
        <v>38522</v>
      </c>
      <c r="B22209" s="3" t="s">
        <v>18429</v>
      </c>
      <c r="C22209" s="5" t="s">
        <v>221</v>
      </c>
      <c r="D22209" s="3" t="s">
        <v>614</v>
      </c>
      <c r="E22209" s="3" t="s">
        <v>118</v>
      </c>
      <c r="F22209" s="7">
        <v>46173.765526557174</v>
      </c>
      <c r="G22209" s="3" t="s">
        <v>22258</v>
      </c>
    </row>
    <row r="22210">
      <c r="A22210" s="3" t="s">
        <v>38523</v>
      </c>
      <c r="B22210" s="3" t="s">
        <v>18429</v>
      </c>
      <c r="C22210" s="5" t="s">
        <v>614</v>
      </c>
      <c r="D22210" s="3" t="s">
        <v>206</v>
      </c>
      <c r="E22210" s="3" t="s">
        <v>100</v>
      </c>
      <c r="F22210" s="7">
        <v>46173.7689987794</v>
      </c>
      <c r="G22210" s="3" t="s">
        <v>22260</v>
      </c>
    </row>
    <row r="22211">
      <c r="A22211" s="3" t="s">
        <v>38524</v>
      </c>
      <c r="B22211" s="3" t="s">
        <v>18429</v>
      </c>
      <c r="C22211" s="5" t="s">
        <v>206</v>
      </c>
      <c r="D22211" s="3" t="s">
        <v>68</v>
      </c>
      <c r="E22211" s="3" t="s">
        <v>100</v>
      </c>
      <c r="F22211" s="7">
        <v>46173.77247100162</v>
      </c>
      <c r="G22211" s="3" t="s">
        <v>22263</v>
      </c>
    </row>
    <row r="22212">
      <c r="A22212" s="3" t="s">
        <v>38525</v>
      </c>
      <c r="B22212" s="3" t="s">
        <v>18432</v>
      </c>
      <c r="C22212" s="5" t="s">
        <v>45</v>
      </c>
      <c r="D22212" s="3" t="s">
        <v>221</v>
      </c>
      <c r="E22212" s="3" t="s">
        <v>561</v>
      </c>
      <c r="F22212" s="7">
        <v>46173.83322918037</v>
      </c>
      <c r="G22212" s="3" t="s">
        <v>3996</v>
      </c>
    </row>
    <row r="22213">
      <c r="A22213" s="3" t="s">
        <v>38526</v>
      </c>
      <c r="B22213" s="3" t="s">
        <v>18432</v>
      </c>
      <c r="C22213" s="5" t="s">
        <v>221</v>
      </c>
      <c r="D22213" s="3" t="s">
        <v>614</v>
      </c>
      <c r="E22213" s="3" t="s">
        <v>118</v>
      </c>
      <c r="F22213" s="7">
        <v>46173.836701402586</v>
      </c>
      <c r="G22213" s="3" t="s">
        <v>3999</v>
      </c>
    </row>
    <row r="22214">
      <c r="A22214" s="3" t="s">
        <v>38527</v>
      </c>
      <c r="B22214" s="3" t="s">
        <v>18432</v>
      </c>
      <c r="C22214" s="5" t="s">
        <v>614</v>
      </c>
      <c r="D22214" s="3" t="s">
        <v>206</v>
      </c>
      <c r="E22214" s="3" t="s">
        <v>100</v>
      </c>
      <c r="F22214" s="7">
        <v>46173.84017362481</v>
      </c>
      <c r="G22214" s="3" t="s">
        <v>4002</v>
      </c>
    </row>
    <row r="22215">
      <c r="A22215" s="3" t="s">
        <v>38528</v>
      </c>
      <c r="B22215" s="3" t="s">
        <v>18432</v>
      </c>
      <c r="C22215" s="5" t="s">
        <v>206</v>
      </c>
      <c r="D22215" s="3" t="s">
        <v>68</v>
      </c>
      <c r="E22215" s="3" t="s">
        <v>100</v>
      </c>
      <c r="F22215" s="7">
        <v>46173.84364584703</v>
      </c>
      <c r="G22215" s="3" t="s">
        <v>4005</v>
      </c>
    </row>
    <row r="22216">
      <c r="A22216" s="3" t="s">
        <v>38529</v>
      </c>
      <c r="B22216" s="3" t="s">
        <v>18435</v>
      </c>
      <c r="C22216" s="5" t="s">
        <v>45</v>
      </c>
      <c r="D22216" s="3" t="s">
        <v>221</v>
      </c>
      <c r="E22216" s="3" t="s">
        <v>838</v>
      </c>
      <c r="F22216" s="7">
        <v>46173.90440402578</v>
      </c>
      <c r="G22216" s="3" t="s">
        <v>25660</v>
      </c>
    </row>
    <row r="22217">
      <c r="A22217" s="3" t="s">
        <v>38530</v>
      </c>
      <c r="B22217" s="3" t="s">
        <v>18435</v>
      </c>
      <c r="C22217" s="5" t="s">
        <v>221</v>
      </c>
      <c r="D22217" s="3" t="s">
        <v>614</v>
      </c>
      <c r="E22217" s="3" t="s">
        <v>118</v>
      </c>
      <c r="F22217" s="7">
        <v>46173.907876248</v>
      </c>
      <c r="G22217" s="3" t="s">
        <v>25662</v>
      </c>
    </row>
    <row r="22218">
      <c r="A22218" s="3" t="s">
        <v>38531</v>
      </c>
      <c r="B22218" s="3" t="s">
        <v>18435</v>
      </c>
      <c r="C22218" s="5" t="s">
        <v>614</v>
      </c>
      <c r="D22218" s="3" t="s">
        <v>206</v>
      </c>
      <c r="E22218" s="3" t="s">
        <v>100</v>
      </c>
      <c r="F22218" s="7">
        <v>46173.911348470225</v>
      </c>
      <c r="G22218" s="3" t="s">
        <v>25664</v>
      </c>
    </row>
    <row r="22219">
      <c r="A22219" s="3" t="s">
        <v>38532</v>
      </c>
      <c r="B22219" s="3" t="s">
        <v>18435</v>
      </c>
      <c r="C22219" s="5" t="s">
        <v>206</v>
      </c>
      <c r="D22219" s="3" t="s">
        <v>68</v>
      </c>
      <c r="E22219" s="3" t="s">
        <v>100</v>
      </c>
      <c r="F22219" s="7">
        <v>46173.914820692444</v>
      </c>
      <c r="G22219" s="3" t="s">
        <v>25666</v>
      </c>
    </row>
    <row r="22220">
      <c r="A22220" s="3" t="s">
        <v>38533</v>
      </c>
      <c r="B22220" s="3" t="s">
        <v>18437</v>
      </c>
      <c r="C22220" s="5" t="s">
        <v>45</v>
      </c>
      <c r="D22220" s="3" t="s">
        <v>221</v>
      </c>
      <c r="E22220" s="3" t="s">
        <v>165</v>
      </c>
      <c r="F22220" s="7">
        <v>46173.9755788712</v>
      </c>
      <c r="G22220" s="3" t="s">
        <v>24623</v>
      </c>
    </row>
    <row r="22221">
      <c r="A22221" s="3" t="s">
        <v>38534</v>
      </c>
      <c r="B22221" s="3" t="s">
        <v>18437</v>
      </c>
      <c r="C22221" s="5" t="s">
        <v>221</v>
      </c>
      <c r="D22221" s="3" t="s">
        <v>614</v>
      </c>
      <c r="E22221" s="3" t="s">
        <v>118</v>
      </c>
      <c r="F22221" s="7">
        <v>46173.97905109342</v>
      </c>
      <c r="G22221" s="3" t="s">
        <v>24625</v>
      </c>
    </row>
    <row r="22222">
      <c r="A22222" s="3" t="s">
        <v>38535</v>
      </c>
      <c r="B22222" s="3" t="s">
        <v>18437</v>
      </c>
      <c r="C22222" s="5" t="s">
        <v>614</v>
      </c>
      <c r="D22222" s="3" t="s">
        <v>206</v>
      </c>
      <c r="E22222" s="3" t="s">
        <v>100</v>
      </c>
      <c r="F22222" s="7">
        <v>46173.982523315644</v>
      </c>
      <c r="G22222" s="3" t="s">
        <v>24627</v>
      </c>
    </row>
    <row r="22223">
      <c r="A22223" s="3" t="s">
        <v>38536</v>
      </c>
      <c r="B22223" s="3" t="s">
        <v>18437</v>
      </c>
      <c r="C22223" s="5" t="s">
        <v>206</v>
      </c>
      <c r="D22223" s="3" t="s">
        <v>68</v>
      </c>
      <c r="E22223" s="3" t="s">
        <v>100</v>
      </c>
      <c r="F22223" s="7">
        <v>46173.98599553786</v>
      </c>
      <c r="G22223" s="3" t="s">
        <v>24629</v>
      </c>
    </row>
    <row r="22224">
      <c r="A22224" s="3" t="s">
        <v>38537</v>
      </c>
      <c r="B22224" s="3" t="s">
        <v>18439</v>
      </c>
      <c r="C22224" s="5" t="s">
        <v>45</v>
      </c>
      <c r="D22224" s="3" t="s">
        <v>221</v>
      </c>
      <c r="E22224" s="3" t="s">
        <v>269</v>
      </c>
      <c r="F22224" s="7">
        <v>46174.04675371662</v>
      </c>
      <c r="G22224" s="3" t="s">
        <v>19670</v>
      </c>
    </row>
    <row r="22225">
      <c r="A22225" s="3" t="s">
        <v>38538</v>
      </c>
      <c r="B22225" s="3" t="s">
        <v>18439</v>
      </c>
      <c r="C22225" s="5" t="s">
        <v>221</v>
      </c>
      <c r="D22225" s="3" t="s">
        <v>614</v>
      </c>
      <c r="E22225" s="3" t="s">
        <v>118</v>
      </c>
      <c r="F22225" s="7">
        <v>46174.05022593884</v>
      </c>
      <c r="G22225" s="3" t="s">
        <v>21518</v>
      </c>
    </row>
    <row r="22226">
      <c r="A22226" s="3" t="s">
        <v>38539</v>
      </c>
      <c r="B22226" s="3" t="s">
        <v>18439</v>
      </c>
      <c r="C22226" s="5" t="s">
        <v>614</v>
      </c>
      <c r="D22226" s="3" t="s">
        <v>206</v>
      </c>
      <c r="E22226" s="3" t="s">
        <v>100</v>
      </c>
      <c r="F22226" s="7">
        <v>46174.053698161064</v>
      </c>
      <c r="G22226" s="3" t="s">
        <v>21521</v>
      </c>
    </row>
    <row r="22227">
      <c r="A22227" s="3" t="s">
        <v>38540</v>
      </c>
      <c r="B22227" s="3" t="s">
        <v>18439</v>
      </c>
      <c r="C22227" s="5" t="s">
        <v>206</v>
      </c>
      <c r="D22227" s="3" t="s">
        <v>68</v>
      </c>
      <c r="E22227" s="3" t="s">
        <v>100</v>
      </c>
      <c r="F22227" s="7">
        <v>46174.05717038328</v>
      </c>
      <c r="G22227" s="3" t="s">
        <v>21524</v>
      </c>
    </row>
    <row r="22228">
      <c r="A22228" s="3" t="s">
        <v>38541</v>
      </c>
      <c r="B22228" s="3" t="s">
        <v>18443</v>
      </c>
      <c r="C22228" s="5" t="s">
        <v>45</v>
      </c>
      <c r="D22228" s="3" t="s">
        <v>221</v>
      </c>
      <c r="E22228" s="3" t="s">
        <v>310</v>
      </c>
      <c r="F22228" s="7">
        <v>46174.117928562024</v>
      </c>
      <c r="G22228" s="3" t="s">
        <v>11547</v>
      </c>
    </row>
    <row r="22229">
      <c r="A22229" s="3" t="s">
        <v>38542</v>
      </c>
      <c r="B22229" s="3" t="s">
        <v>18443</v>
      </c>
      <c r="C22229" s="5" t="s">
        <v>221</v>
      </c>
      <c r="D22229" s="3" t="s">
        <v>614</v>
      </c>
      <c r="E22229" s="3" t="s">
        <v>118</v>
      </c>
      <c r="F22229" s="7">
        <v>46174.12140078424</v>
      </c>
      <c r="G22229" s="3" t="s">
        <v>11550</v>
      </c>
    </row>
    <row r="22230">
      <c r="A22230" s="3" t="s">
        <v>38543</v>
      </c>
      <c r="B22230" s="3" t="s">
        <v>18443</v>
      </c>
      <c r="C22230" s="5" t="s">
        <v>614</v>
      </c>
      <c r="D22230" s="3" t="s">
        <v>206</v>
      </c>
      <c r="E22230" s="3" t="s">
        <v>100</v>
      </c>
      <c r="F22230" s="7">
        <v>46174.12487300647</v>
      </c>
      <c r="G22230" s="3" t="s">
        <v>11553</v>
      </c>
    </row>
    <row r="22231">
      <c r="A22231" s="3" t="s">
        <v>38544</v>
      </c>
      <c r="B22231" s="3" t="s">
        <v>18443</v>
      </c>
      <c r="C22231" s="5" t="s">
        <v>206</v>
      </c>
      <c r="D22231" s="3" t="s">
        <v>68</v>
      </c>
      <c r="E22231" s="3" t="s">
        <v>100</v>
      </c>
      <c r="F22231" s="7">
        <v>46174.12834522869</v>
      </c>
      <c r="G22231" s="3" t="s">
        <v>11557</v>
      </c>
    </row>
    <row r="22232">
      <c r="A22232" s="3" t="s">
        <v>38545</v>
      </c>
      <c r="B22232" s="3" t="s">
        <v>18447</v>
      </c>
      <c r="C22232" s="5" t="s">
        <v>45</v>
      </c>
      <c r="D22232" s="3" t="s">
        <v>221</v>
      </c>
      <c r="E22232" s="3" t="s">
        <v>1028</v>
      </c>
      <c r="F22232" s="7">
        <v>46174.18910340744</v>
      </c>
      <c r="G22232" s="3" t="s">
        <v>4007</v>
      </c>
    </row>
    <row r="22233">
      <c r="A22233" s="3" t="s">
        <v>38546</v>
      </c>
      <c r="B22233" s="3" t="s">
        <v>18447</v>
      </c>
      <c r="C22233" s="5" t="s">
        <v>221</v>
      </c>
      <c r="D22233" s="3" t="s">
        <v>614</v>
      </c>
      <c r="E22233" s="3" t="s">
        <v>118</v>
      </c>
      <c r="F22233" s="7">
        <v>46174.19257562966</v>
      </c>
      <c r="G22233" s="3" t="s">
        <v>4010</v>
      </c>
    </row>
    <row r="22234">
      <c r="A22234" s="3" t="s">
        <v>38547</v>
      </c>
      <c r="B22234" s="3" t="s">
        <v>18447</v>
      </c>
      <c r="C22234" s="5" t="s">
        <v>614</v>
      </c>
      <c r="D22234" s="3" t="s">
        <v>206</v>
      </c>
      <c r="E22234" s="3" t="s">
        <v>100</v>
      </c>
      <c r="F22234" s="7">
        <v>46174.19604785189</v>
      </c>
      <c r="G22234" s="3" t="s">
        <v>4013</v>
      </c>
    </row>
    <row r="22235">
      <c r="A22235" s="3" t="s">
        <v>38548</v>
      </c>
      <c r="B22235" s="3" t="s">
        <v>18447</v>
      </c>
      <c r="C22235" s="5" t="s">
        <v>206</v>
      </c>
      <c r="D22235" s="3" t="s">
        <v>68</v>
      </c>
      <c r="E22235" s="3" t="s">
        <v>100</v>
      </c>
      <c r="F22235" s="7">
        <v>46174.19952007411</v>
      </c>
      <c r="G22235" s="3" t="s">
        <v>4016</v>
      </c>
    </row>
    <row r="22236">
      <c r="A22236" s="3" t="s">
        <v>38549</v>
      </c>
      <c r="B22236" s="3" t="s">
        <v>18450</v>
      </c>
      <c r="C22236" s="5" t="s">
        <v>45</v>
      </c>
      <c r="D22236" s="3" t="s">
        <v>221</v>
      </c>
      <c r="E22236" s="3" t="s">
        <v>650</v>
      </c>
      <c r="F22236" s="7">
        <v>46174.26027825286</v>
      </c>
      <c r="G22236" s="3" t="s">
        <v>19453</v>
      </c>
    </row>
    <row r="22237">
      <c r="A22237" s="3" t="s">
        <v>38550</v>
      </c>
      <c r="B22237" s="3" t="s">
        <v>18450</v>
      </c>
      <c r="C22237" s="5" t="s">
        <v>221</v>
      </c>
      <c r="D22237" s="3" t="s">
        <v>614</v>
      </c>
      <c r="E22237" s="3" t="s">
        <v>118</v>
      </c>
      <c r="F22237" s="7">
        <v>46174.26375047508</v>
      </c>
      <c r="G22237" s="3" t="s">
        <v>19456</v>
      </c>
    </row>
    <row r="22238">
      <c r="A22238" s="3" t="s">
        <v>38551</v>
      </c>
      <c r="B22238" s="3" t="s">
        <v>18450</v>
      </c>
      <c r="C22238" s="5" t="s">
        <v>614</v>
      </c>
      <c r="D22238" s="3" t="s">
        <v>206</v>
      </c>
      <c r="E22238" s="3" t="s">
        <v>100</v>
      </c>
      <c r="F22238" s="7">
        <v>46174.26722269731</v>
      </c>
      <c r="G22238" s="3" t="s">
        <v>19459</v>
      </c>
    </row>
    <row r="22239">
      <c r="A22239" s="3" t="s">
        <v>38552</v>
      </c>
      <c r="B22239" s="3" t="s">
        <v>18450</v>
      </c>
      <c r="C22239" s="5" t="s">
        <v>206</v>
      </c>
      <c r="D22239" s="3" t="s">
        <v>68</v>
      </c>
      <c r="E22239" s="3" t="s">
        <v>100</v>
      </c>
      <c r="F22239" s="7">
        <v>46174.27069491953</v>
      </c>
      <c r="G22239" s="3" t="s">
        <v>19462</v>
      </c>
    </row>
    <row r="22240">
      <c r="A22240" s="3" t="s">
        <v>38553</v>
      </c>
      <c r="B22240" s="3" t="s">
        <v>18453</v>
      </c>
      <c r="C22240" s="5" t="s">
        <v>45</v>
      </c>
      <c r="D22240" s="3" t="s">
        <v>221</v>
      </c>
      <c r="E22240" s="3" t="s">
        <v>123</v>
      </c>
      <c r="F22240" s="7">
        <v>46174.331453098275</v>
      </c>
      <c r="G22240" s="3" t="s">
        <v>7866</v>
      </c>
    </row>
    <row r="22241">
      <c r="A22241" s="3" t="s">
        <v>38554</v>
      </c>
      <c r="B22241" s="3" t="s">
        <v>18453</v>
      </c>
      <c r="C22241" s="5" t="s">
        <v>221</v>
      </c>
      <c r="D22241" s="3" t="s">
        <v>614</v>
      </c>
      <c r="E22241" s="3" t="s">
        <v>118</v>
      </c>
      <c r="F22241" s="7">
        <v>46174.334925320494</v>
      </c>
      <c r="G22241" s="3" t="s">
        <v>7869</v>
      </c>
    </row>
    <row r="22242">
      <c r="A22242" s="3" t="s">
        <v>38555</v>
      </c>
      <c r="B22242" s="3" t="s">
        <v>18453</v>
      </c>
      <c r="C22242" s="5" t="s">
        <v>614</v>
      </c>
      <c r="D22242" s="3" t="s">
        <v>206</v>
      </c>
      <c r="E22242" s="3" t="s">
        <v>100</v>
      </c>
      <c r="F22242" s="7">
        <v>46174.33839754272</v>
      </c>
      <c r="G22242" s="3" t="s">
        <v>7871</v>
      </c>
    </row>
    <row r="22243">
      <c r="A22243" s="3" t="s">
        <v>38556</v>
      </c>
      <c r="B22243" s="3" t="s">
        <v>18453</v>
      </c>
      <c r="C22243" s="5" t="s">
        <v>206</v>
      </c>
      <c r="D22243" s="3" t="s">
        <v>68</v>
      </c>
      <c r="E22243" s="3" t="s">
        <v>100</v>
      </c>
      <c r="F22243" s="7">
        <v>46174.34186976494</v>
      </c>
      <c r="G22243" s="3" t="s">
        <v>7874</v>
      </c>
    </row>
    <row r="22244">
      <c r="A22244" s="3" t="s">
        <v>38557</v>
      </c>
      <c r="B22244" s="3" t="s">
        <v>18457</v>
      </c>
      <c r="C22244" s="5" t="s">
        <v>45</v>
      </c>
      <c r="D22244" s="3" t="s">
        <v>221</v>
      </c>
      <c r="E22244" s="3" t="s">
        <v>631</v>
      </c>
      <c r="F22244" s="7">
        <v>46174.40262794369</v>
      </c>
      <c r="G22244" s="3" t="s">
        <v>3442</v>
      </c>
    </row>
    <row r="22245">
      <c r="A22245" s="3" t="s">
        <v>38558</v>
      </c>
      <c r="B22245" s="3" t="s">
        <v>18457</v>
      </c>
      <c r="C22245" s="5" t="s">
        <v>221</v>
      </c>
      <c r="D22245" s="3" t="s">
        <v>614</v>
      </c>
      <c r="E22245" s="3" t="s">
        <v>118</v>
      </c>
      <c r="F22245" s="7">
        <v>46174.40610016591</v>
      </c>
      <c r="G22245" s="3" t="s">
        <v>3445</v>
      </c>
    </row>
    <row r="22246">
      <c r="A22246" s="3" t="s">
        <v>38559</v>
      </c>
      <c r="B22246" s="3" t="s">
        <v>18457</v>
      </c>
      <c r="C22246" s="5" t="s">
        <v>614</v>
      </c>
      <c r="D22246" s="3" t="s">
        <v>206</v>
      </c>
      <c r="E22246" s="3" t="s">
        <v>100</v>
      </c>
      <c r="F22246" s="7">
        <v>46174.40957238813</v>
      </c>
      <c r="G22246" s="3" t="s">
        <v>3447</v>
      </c>
    </row>
    <row r="22247">
      <c r="A22247" s="3" t="s">
        <v>38560</v>
      </c>
      <c r="B22247" s="3" t="s">
        <v>18457</v>
      </c>
      <c r="C22247" s="5" t="s">
        <v>206</v>
      </c>
      <c r="D22247" s="3" t="s">
        <v>68</v>
      </c>
      <c r="E22247" s="3" t="s">
        <v>100</v>
      </c>
      <c r="F22247" s="7">
        <v>46174.41304461035</v>
      </c>
      <c r="G22247" s="3" t="s">
        <v>3450</v>
      </c>
    </row>
    <row r="22248">
      <c r="A22248" s="3" t="s">
        <v>38561</v>
      </c>
      <c r="B22248" s="3" t="s">
        <v>18460</v>
      </c>
      <c r="C22248" s="5" t="s">
        <v>45</v>
      </c>
      <c r="D22248" s="3" t="s">
        <v>221</v>
      </c>
      <c r="E22248" s="3" t="s">
        <v>449</v>
      </c>
      <c r="F22248" s="7">
        <v>46174.47380278911</v>
      </c>
      <c r="G22248" s="3" t="s">
        <v>17598</v>
      </c>
    </row>
    <row r="22249">
      <c r="A22249" s="3" t="s">
        <v>38562</v>
      </c>
      <c r="B22249" s="3" t="s">
        <v>18460</v>
      </c>
      <c r="C22249" s="5" t="s">
        <v>221</v>
      </c>
      <c r="D22249" s="3" t="s">
        <v>614</v>
      </c>
      <c r="E22249" s="3" t="s">
        <v>118</v>
      </c>
      <c r="F22249" s="7">
        <v>46174.477275011326</v>
      </c>
      <c r="G22249" s="3" t="s">
        <v>17601</v>
      </c>
    </row>
    <row r="22250">
      <c r="A22250" s="3" t="s">
        <v>38563</v>
      </c>
      <c r="B22250" s="3" t="s">
        <v>18460</v>
      </c>
      <c r="C22250" s="5" t="s">
        <v>614</v>
      </c>
      <c r="D22250" s="3" t="s">
        <v>206</v>
      </c>
      <c r="E22250" s="3" t="s">
        <v>100</v>
      </c>
      <c r="F22250" s="7">
        <v>46174.48074723355</v>
      </c>
      <c r="G22250" s="3" t="s">
        <v>17604</v>
      </c>
    </row>
    <row r="22251">
      <c r="A22251" s="3" t="s">
        <v>38564</v>
      </c>
      <c r="B22251" s="3" t="s">
        <v>18460</v>
      </c>
      <c r="C22251" s="5" t="s">
        <v>206</v>
      </c>
      <c r="D22251" s="3" t="s">
        <v>68</v>
      </c>
      <c r="E22251" s="3" t="s">
        <v>100</v>
      </c>
      <c r="F22251" s="7">
        <v>46174.48421945577</v>
      </c>
      <c r="G22251" s="3" t="s">
        <v>17607</v>
      </c>
    </row>
    <row r="22252">
      <c r="A22252" s="3" t="s">
        <v>38565</v>
      </c>
      <c r="B22252" s="3" t="s">
        <v>18463</v>
      </c>
      <c r="C22252" s="5" t="s">
        <v>45</v>
      </c>
      <c r="D22252" s="3" t="s">
        <v>221</v>
      </c>
      <c r="E22252" s="3" t="s">
        <v>419</v>
      </c>
      <c r="F22252" s="7">
        <v>46174.54497763452</v>
      </c>
      <c r="G22252" s="3" t="s">
        <v>18380</v>
      </c>
    </row>
    <row r="22253">
      <c r="A22253" s="3" t="s">
        <v>38566</v>
      </c>
      <c r="B22253" s="3" t="s">
        <v>18463</v>
      </c>
      <c r="C22253" s="5" t="s">
        <v>221</v>
      </c>
      <c r="D22253" s="3" t="s">
        <v>614</v>
      </c>
      <c r="E22253" s="3" t="s">
        <v>118</v>
      </c>
      <c r="F22253" s="7">
        <v>46174.54844985674</v>
      </c>
      <c r="G22253" s="3" t="s">
        <v>18383</v>
      </c>
    </row>
    <row r="22254">
      <c r="A22254" s="3" t="s">
        <v>38567</v>
      </c>
      <c r="B22254" s="3" t="s">
        <v>18463</v>
      </c>
      <c r="C22254" s="5" t="s">
        <v>614</v>
      </c>
      <c r="D22254" s="3" t="s">
        <v>206</v>
      </c>
      <c r="E22254" s="3" t="s">
        <v>100</v>
      </c>
      <c r="F22254" s="7">
        <v>46174.551922078965</v>
      </c>
      <c r="G22254" s="3" t="s">
        <v>18386</v>
      </c>
    </row>
    <row r="22255">
      <c r="A22255" s="3" t="s">
        <v>38568</v>
      </c>
      <c r="B22255" s="3" t="s">
        <v>18463</v>
      </c>
      <c r="C22255" s="5" t="s">
        <v>206</v>
      </c>
      <c r="D22255" s="3" t="s">
        <v>68</v>
      </c>
      <c r="E22255" s="3" t="s">
        <v>100</v>
      </c>
      <c r="F22255" s="7">
        <v>46174.555394301184</v>
      </c>
      <c r="G22255" s="3" t="s">
        <v>18389</v>
      </c>
    </row>
    <row r="22256">
      <c r="A22256" s="3" t="s">
        <v>38569</v>
      </c>
      <c r="B22256" s="3" t="s">
        <v>18467</v>
      </c>
      <c r="C22256" s="5" t="s">
        <v>45</v>
      </c>
      <c r="D22256" s="3" t="s">
        <v>221</v>
      </c>
      <c r="E22256" s="3" t="s">
        <v>344</v>
      </c>
      <c r="F22256" s="7">
        <v>46174.61615247993</v>
      </c>
      <c r="G22256" s="3" t="s">
        <v>8734</v>
      </c>
    </row>
    <row r="22257">
      <c r="A22257" s="3" t="s">
        <v>38570</v>
      </c>
      <c r="B22257" s="3" t="s">
        <v>18467</v>
      </c>
      <c r="C22257" s="5" t="s">
        <v>221</v>
      </c>
      <c r="D22257" s="3" t="s">
        <v>614</v>
      </c>
      <c r="E22257" s="3" t="s">
        <v>118</v>
      </c>
      <c r="F22257" s="7">
        <v>46174.61962470215</v>
      </c>
      <c r="G22257" s="3" t="s">
        <v>8737</v>
      </c>
    </row>
    <row r="22258">
      <c r="A22258" s="3" t="s">
        <v>38571</v>
      </c>
      <c r="B22258" s="3" t="s">
        <v>18467</v>
      </c>
      <c r="C22258" s="5" t="s">
        <v>614</v>
      </c>
      <c r="D22258" s="3" t="s">
        <v>206</v>
      </c>
      <c r="E22258" s="3" t="s">
        <v>100</v>
      </c>
      <c r="F22258" s="7">
        <v>46174.62309692438</v>
      </c>
      <c r="G22258" s="3" t="s">
        <v>8740</v>
      </c>
    </row>
    <row r="22259">
      <c r="A22259" s="3" t="s">
        <v>38572</v>
      </c>
      <c r="B22259" s="3" t="s">
        <v>18467</v>
      </c>
      <c r="C22259" s="5" t="s">
        <v>206</v>
      </c>
      <c r="D22259" s="3" t="s">
        <v>68</v>
      </c>
      <c r="E22259" s="3" t="s">
        <v>100</v>
      </c>
      <c r="F22259" s="7">
        <v>46174.626569146596</v>
      </c>
      <c r="G22259" s="3" t="s">
        <v>8743</v>
      </c>
    </row>
    <row r="22260">
      <c r="A22260" s="3" t="s">
        <v>38573</v>
      </c>
      <c r="B22260" s="3" t="s">
        <v>18470</v>
      </c>
      <c r="C22260" s="5" t="s">
        <v>45</v>
      </c>
      <c r="D22260" s="3" t="s">
        <v>221</v>
      </c>
      <c r="E22260" s="3" t="s">
        <v>972</v>
      </c>
      <c r="F22260" s="7">
        <v>46174.68732732535</v>
      </c>
      <c r="G22260" s="3" t="s">
        <v>4019</v>
      </c>
    </row>
    <row r="22261">
      <c r="A22261" s="3" t="s">
        <v>38574</v>
      </c>
      <c r="B22261" s="3" t="s">
        <v>18470</v>
      </c>
      <c r="C22261" s="5" t="s">
        <v>221</v>
      </c>
      <c r="D22261" s="3" t="s">
        <v>614</v>
      </c>
      <c r="E22261" s="3" t="s">
        <v>118</v>
      </c>
      <c r="F22261" s="7">
        <v>46174.69079954757</v>
      </c>
      <c r="G22261" s="3" t="s">
        <v>4022</v>
      </c>
    </row>
    <row r="22262">
      <c r="A22262" s="3" t="s">
        <v>38575</v>
      </c>
      <c r="B22262" s="3" t="s">
        <v>18470</v>
      </c>
      <c r="C22262" s="5" t="s">
        <v>614</v>
      </c>
      <c r="D22262" s="3" t="s">
        <v>206</v>
      </c>
      <c r="E22262" s="3" t="s">
        <v>100</v>
      </c>
      <c r="F22262" s="7">
        <v>46174.6942717698</v>
      </c>
      <c r="G22262" s="3" t="s">
        <v>4025</v>
      </c>
    </row>
    <row r="22263">
      <c r="A22263" s="3" t="s">
        <v>38576</v>
      </c>
      <c r="B22263" s="3" t="s">
        <v>18470</v>
      </c>
      <c r="C22263" s="5" t="s">
        <v>206</v>
      </c>
      <c r="D22263" s="3" t="s">
        <v>68</v>
      </c>
      <c r="E22263" s="3" t="s">
        <v>100</v>
      </c>
      <c r="F22263" s="7">
        <v>46174.697743992016</v>
      </c>
      <c r="G22263" s="3" t="s">
        <v>4028</v>
      </c>
    </row>
    <row r="22264">
      <c r="A22264" s="3" t="s">
        <v>38577</v>
      </c>
      <c r="B22264" s="3" t="s">
        <v>18474</v>
      </c>
      <c r="C22264" s="5" t="s">
        <v>45</v>
      </c>
      <c r="D22264" s="3" t="s">
        <v>221</v>
      </c>
      <c r="E22264" s="3" t="s">
        <v>953</v>
      </c>
      <c r="F22264" s="7">
        <v>46174.758502170764</v>
      </c>
      <c r="G22264" s="3" t="s">
        <v>19658</v>
      </c>
    </row>
    <row r="22265">
      <c r="A22265" s="3" t="s">
        <v>38578</v>
      </c>
      <c r="B22265" s="3" t="s">
        <v>18474</v>
      </c>
      <c r="C22265" s="5" t="s">
        <v>221</v>
      </c>
      <c r="D22265" s="3" t="s">
        <v>614</v>
      </c>
      <c r="E22265" s="3" t="s">
        <v>118</v>
      </c>
      <c r="F22265" s="7">
        <v>46174.76197439298</v>
      </c>
      <c r="G22265" s="3" t="s">
        <v>19661</v>
      </c>
    </row>
    <row r="22266">
      <c r="A22266" s="3" t="s">
        <v>38579</v>
      </c>
      <c r="B22266" s="3" t="s">
        <v>18474</v>
      </c>
      <c r="C22266" s="5" t="s">
        <v>614</v>
      </c>
      <c r="D22266" s="3" t="s">
        <v>206</v>
      </c>
      <c r="E22266" s="3" t="s">
        <v>100</v>
      </c>
      <c r="F22266" s="7">
        <v>46174.76544661521</v>
      </c>
      <c r="G22266" s="3" t="s">
        <v>19664</v>
      </c>
    </row>
    <row r="22267">
      <c r="A22267" s="3" t="s">
        <v>38580</v>
      </c>
      <c r="B22267" s="3" t="s">
        <v>18474</v>
      </c>
      <c r="C22267" s="5" t="s">
        <v>206</v>
      </c>
      <c r="D22267" s="3" t="s">
        <v>68</v>
      </c>
      <c r="E22267" s="3" t="s">
        <v>100</v>
      </c>
      <c r="F22267" s="7">
        <v>46174.76891883743</v>
      </c>
      <c r="G22267" s="3" t="s">
        <v>19667</v>
      </c>
    </row>
    <row r="22268">
      <c r="A22268" s="3" t="s">
        <v>38581</v>
      </c>
      <c r="B22268" s="3" t="s">
        <v>18478</v>
      </c>
      <c r="C22268" s="5" t="s">
        <v>45</v>
      </c>
      <c r="D22268" s="3" t="s">
        <v>221</v>
      </c>
      <c r="E22268" s="3" t="s">
        <v>536</v>
      </c>
      <c r="F22268" s="7">
        <v>46174.829677016176</v>
      </c>
      <c r="G22268" s="3" t="s">
        <v>16504</v>
      </c>
    </row>
    <row r="22269">
      <c r="A22269" s="3" t="s">
        <v>38582</v>
      </c>
      <c r="B22269" s="3" t="s">
        <v>18478</v>
      </c>
      <c r="C22269" s="5" t="s">
        <v>221</v>
      </c>
      <c r="D22269" s="3" t="s">
        <v>181</v>
      </c>
      <c r="E22269" s="3" t="s">
        <v>118</v>
      </c>
      <c r="F22269" s="7">
        <v>46174.833149238395</v>
      </c>
      <c r="G22269" s="3" t="s">
        <v>16507</v>
      </c>
    </row>
    <row r="22270">
      <c r="A22270" s="3" t="s">
        <v>38583</v>
      </c>
      <c r="B22270" s="3" t="s">
        <v>18481</v>
      </c>
      <c r="C22270" s="5" t="s">
        <v>45</v>
      </c>
      <c r="D22270" s="3" t="s">
        <v>221</v>
      </c>
      <c r="E22270" s="3" t="s">
        <v>380</v>
      </c>
      <c r="F22270" s="7">
        <v>46174.900851861596</v>
      </c>
      <c r="G22270" s="3" t="s">
        <v>16711</v>
      </c>
    </row>
    <row r="22271">
      <c r="A22271" s="3" t="s">
        <v>38584</v>
      </c>
      <c r="B22271" s="3" t="s">
        <v>18481</v>
      </c>
      <c r="C22271" s="5" t="s">
        <v>221</v>
      </c>
      <c r="D22271" s="3" t="s">
        <v>614</v>
      </c>
      <c r="E22271" s="3" t="s">
        <v>118</v>
      </c>
      <c r="F22271" s="7">
        <v>46174.904324083815</v>
      </c>
      <c r="G22271" s="3" t="s">
        <v>16714</v>
      </c>
    </row>
    <row r="22272">
      <c r="A22272" s="3" t="s">
        <v>38585</v>
      </c>
      <c r="B22272" s="3" t="s">
        <v>18481</v>
      </c>
      <c r="C22272" s="5" t="s">
        <v>614</v>
      </c>
      <c r="D22272" s="3" t="s">
        <v>206</v>
      </c>
      <c r="E22272" s="3" t="s">
        <v>100</v>
      </c>
      <c r="F22272" s="7">
        <v>46174.90779630604</v>
      </c>
      <c r="G22272" s="3" t="s">
        <v>16717</v>
      </c>
    </row>
    <row r="22273">
      <c r="A22273" s="3" t="s">
        <v>38586</v>
      </c>
      <c r="B22273" s="3" t="s">
        <v>18481</v>
      </c>
      <c r="C22273" s="5" t="s">
        <v>206</v>
      </c>
      <c r="D22273" s="3" t="s">
        <v>68</v>
      </c>
      <c r="E22273" s="3" t="s">
        <v>100</v>
      </c>
      <c r="F22273" s="7">
        <v>46174.91126852826</v>
      </c>
      <c r="G22273" s="3" t="s">
        <v>16720</v>
      </c>
    </row>
    <row r="22274">
      <c r="A22274" s="3" t="s">
        <v>38587</v>
      </c>
      <c r="B22274" s="3" t="s">
        <v>18484</v>
      </c>
      <c r="C22274" s="5" t="s">
        <v>45</v>
      </c>
      <c r="D22274" s="3" t="s">
        <v>221</v>
      </c>
      <c r="E22274" s="3" t="s">
        <v>466</v>
      </c>
      <c r="F22274" s="7">
        <v>46174.97202670701</v>
      </c>
      <c r="G22274" s="3" t="s">
        <v>22571</v>
      </c>
    </row>
    <row r="22275">
      <c r="A22275" s="3" t="s">
        <v>38588</v>
      </c>
      <c r="B22275" s="3" t="s">
        <v>18484</v>
      </c>
      <c r="C22275" s="5" t="s">
        <v>221</v>
      </c>
      <c r="D22275" s="3" t="s">
        <v>614</v>
      </c>
      <c r="E22275" s="3" t="s">
        <v>118</v>
      </c>
      <c r="F22275" s="7">
        <v>46174.97549892923</v>
      </c>
      <c r="G22275" s="3" t="s">
        <v>22574</v>
      </c>
    </row>
    <row r="22276">
      <c r="A22276" s="3" t="s">
        <v>38589</v>
      </c>
      <c r="B22276" s="3" t="s">
        <v>18484</v>
      </c>
      <c r="C22276" s="5" t="s">
        <v>614</v>
      </c>
      <c r="D22276" s="3" t="s">
        <v>206</v>
      </c>
      <c r="E22276" s="3" t="s">
        <v>100</v>
      </c>
      <c r="F22276" s="7">
        <v>46174.97897115145</v>
      </c>
      <c r="G22276" s="3" t="s">
        <v>22577</v>
      </c>
    </row>
    <row r="22277">
      <c r="A22277" s="3" t="s">
        <v>38590</v>
      </c>
      <c r="B22277" s="3" t="s">
        <v>18484</v>
      </c>
      <c r="C22277" s="5" t="s">
        <v>206</v>
      </c>
      <c r="D22277" s="3" t="s">
        <v>68</v>
      </c>
      <c r="E22277" s="3" t="s">
        <v>100</v>
      </c>
      <c r="F22277" s="7">
        <v>46174.98244337367</v>
      </c>
      <c r="G22277" s="3" t="s">
        <v>22580</v>
      </c>
    </row>
    <row r="22278">
      <c r="A22278" s="3" t="s">
        <v>38591</v>
      </c>
      <c r="B22278" s="3" t="s">
        <v>18488</v>
      </c>
      <c r="C22278" s="5" t="s">
        <v>45</v>
      </c>
      <c r="D22278" s="3" t="s">
        <v>221</v>
      </c>
      <c r="E22278" s="3" t="s">
        <v>333</v>
      </c>
      <c r="F22278" s="7">
        <v>46175.04320155242</v>
      </c>
      <c r="G22278" s="3" t="s">
        <v>3807</v>
      </c>
    </row>
    <row r="22279">
      <c r="A22279" s="3" t="s">
        <v>38592</v>
      </c>
      <c r="B22279" s="3" t="s">
        <v>18488</v>
      </c>
      <c r="C22279" s="5" t="s">
        <v>221</v>
      </c>
      <c r="D22279" s="3" t="s">
        <v>614</v>
      </c>
      <c r="E22279" s="3" t="s">
        <v>118</v>
      </c>
      <c r="F22279" s="7">
        <v>46175.04667377464</v>
      </c>
      <c r="G22279" s="3" t="s">
        <v>3810</v>
      </c>
    </row>
    <row r="22280">
      <c r="A22280" s="3" t="s">
        <v>38593</v>
      </c>
      <c r="B22280" s="3" t="s">
        <v>18488</v>
      </c>
      <c r="C22280" s="5" t="s">
        <v>614</v>
      </c>
      <c r="D22280" s="3" t="s">
        <v>206</v>
      </c>
      <c r="E22280" s="3" t="s">
        <v>100</v>
      </c>
      <c r="F22280" s="7">
        <v>46175.050145996865</v>
      </c>
      <c r="G22280" s="3" t="s">
        <v>3812</v>
      </c>
    </row>
    <row r="22281">
      <c r="A22281" s="3" t="s">
        <v>38594</v>
      </c>
      <c r="B22281" s="3" t="s">
        <v>18488</v>
      </c>
      <c r="C22281" s="5" t="s">
        <v>206</v>
      </c>
      <c r="D22281" s="3" t="s">
        <v>68</v>
      </c>
      <c r="E22281" s="3" t="s">
        <v>100</v>
      </c>
      <c r="F22281" s="7">
        <v>46175.053618219084</v>
      </c>
      <c r="G22281" s="3" t="s">
        <v>3815</v>
      </c>
    </row>
    <row r="22282">
      <c r="A22282" s="3" t="s">
        <v>38595</v>
      </c>
      <c r="B22282" s="3" t="s">
        <v>18492</v>
      </c>
      <c r="C22282" s="5" t="s">
        <v>45</v>
      </c>
      <c r="D22282" s="3" t="s">
        <v>221</v>
      </c>
      <c r="E22282" s="3" t="s">
        <v>130</v>
      </c>
      <c r="F22282" s="7">
        <v>46175.11437639784</v>
      </c>
      <c r="G22282" s="3" t="s">
        <v>12671</v>
      </c>
    </row>
    <row r="22283">
      <c r="A22283" s="3" t="s">
        <v>38596</v>
      </c>
      <c r="B22283" s="3" t="s">
        <v>18492</v>
      </c>
      <c r="C22283" s="5" t="s">
        <v>221</v>
      </c>
      <c r="D22283" s="3" t="s">
        <v>614</v>
      </c>
      <c r="E22283" s="3" t="s">
        <v>118</v>
      </c>
      <c r="F22283" s="7">
        <v>46175.11784862006</v>
      </c>
      <c r="G22283" s="3" t="s">
        <v>12674</v>
      </c>
    </row>
    <row r="22284">
      <c r="A22284" s="3" t="s">
        <v>38597</v>
      </c>
      <c r="B22284" s="3" t="s">
        <v>18492</v>
      </c>
      <c r="C22284" s="5" t="s">
        <v>614</v>
      </c>
      <c r="D22284" s="3" t="s">
        <v>206</v>
      </c>
      <c r="E22284" s="3" t="s">
        <v>100</v>
      </c>
      <c r="F22284" s="7">
        <v>46175.121320842285</v>
      </c>
      <c r="G22284" s="3" t="s">
        <v>12677</v>
      </c>
    </row>
    <row r="22285">
      <c r="A22285" s="3" t="s">
        <v>38598</v>
      </c>
      <c r="B22285" s="3" t="s">
        <v>18492</v>
      </c>
      <c r="C22285" s="5" t="s">
        <v>206</v>
      </c>
      <c r="D22285" s="3" t="s">
        <v>68</v>
      </c>
      <c r="E22285" s="3" t="s">
        <v>100</v>
      </c>
      <c r="F22285" s="7">
        <v>46175.124793064504</v>
      </c>
      <c r="G22285" s="3" t="s">
        <v>12680</v>
      </c>
    </row>
    <row r="22286">
      <c r="A22286" s="3" t="s">
        <v>38599</v>
      </c>
      <c r="B22286" s="3" t="s">
        <v>18495</v>
      </c>
      <c r="C22286" s="5" t="s">
        <v>45</v>
      </c>
      <c r="D22286" s="3" t="s">
        <v>221</v>
      </c>
      <c r="E22286" s="3" t="s">
        <v>619</v>
      </c>
      <c r="F22286" s="7">
        <v>46175.18555124326</v>
      </c>
      <c r="G22286" s="3" t="s">
        <v>27802</v>
      </c>
    </row>
    <row r="22287">
      <c r="A22287" s="3" t="s">
        <v>38600</v>
      </c>
      <c r="B22287" s="3" t="s">
        <v>18495</v>
      </c>
      <c r="C22287" s="5" t="s">
        <v>221</v>
      </c>
      <c r="D22287" s="3" t="s">
        <v>614</v>
      </c>
      <c r="E22287" s="3" t="s">
        <v>118</v>
      </c>
      <c r="F22287" s="7">
        <v>46175.18902346548</v>
      </c>
      <c r="G22287" s="3" t="s">
        <v>27804</v>
      </c>
    </row>
    <row r="22288">
      <c r="A22288" s="3" t="s">
        <v>38601</v>
      </c>
      <c r="B22288" s="3" t="s">
        <v>18495</v>
      </c>
      <c r="C22288" s="5" t="s">
        <v>614</v>
      </c>
      <c r="D22288" s="3" t="s">
        <v>206</v>
      </c>
      <c r="E22288" s="3" t="s">
        <v>100</v>
      </c>
      <c r="F22288" s="7">
        <v>46175.192495687705</v>
      </c>
      <c r="G22288" s="3" t="s">
        <v>27806</v>
      </c>
    </row>
    <row r="22289">
      <c r="A22289" s="3" t="s">
        <v>38602</v>
      </c>
      <c r="B22289" s="3" t="s">
        <v>18495</v>
      </c>
      <c r="C22289" s="5" t="s">
        <v>206</v>
      </c>
      <c r="D22289" s="3" t="s">
        <v>68</v>
      </c>
      <c r="E22289" s="3" t="s">
        <v>100</v>
      </c>
      <c r="F22289" s="7">
        <v>46175.195967909924</v>
      </c>
      <c r="G22289" s="3" t="s">
        <v>27808</v>
      </c>
    </row>
    <row r="22290">
      <c r="A22290" s="3" t="s">
        <v>38603</v>
      </c>
      <c r="B22290" s="3" t="s">
        <v>18498</v>
      </c>
      <c r="C22290" s="5" t="s">
        <v>45</v>
      </c>
      <c r="D22290" s="3" t="s">
        <v>221</v>
      </c>
      <c r="E22290" s="3" t="s">
        <v>669</v>
      </c>
      <c r="F22290" s="7">
        <v>46175.256726088664</v>
      </c>
      <c r="G22290" s="3" t="s">
        <v>5707</v>
      </c>
    </row>
    <row r="22291">
      <c r="A22291" s="3" t="s">
        <v>38604</v>
      </c>
      <c r="B22291" s="3" t="s">
        <v>18498</v>
      </c>
      <c r="C22291" s="5" t="s">
        <v>221</v>
      </c>
      <c r="D22291" s="3" t="s">
        <v>614</v>
      </c>
      <c r="E22291" s="3" t="s">
        <v>118</v>
      </c>
      <c r="F22291" s="7">
        <v>46175.26019831088</v>
      </c>
      <c r="G22291" s="3" t="s">
        <v>5710</v>
      </c>
    </row>
    <row r="22292">
      <c r="A22292" s="3" t="s">
        <v>38605</v>
      </c>
      <c r="B22292" s="3" t="s">
        <v>18498</v>
      </c>
      <c r="C22292" s="5" t="s">
        <v>614</v>
      </c>
      <c r="D22292" s="3" t="s">
        <v>206</v>
      </c>
      <c r="E22292" s="3" t="s">
        <v>100</v>
      </c>
      <c r="F22292" s="7">
        <v>46175.26367053311</v>
      </c>
      <c r="G22292" s="3" t="s">
        <v>5713</v>
      </c>
    </row>
    <row r="22293">
      <c r="A22293" s="3" t="s">
        <v>38606</v>
      </c>
      <c r="B22293" s="3" t="s">
        <v>18498</v>
      </c>
      <c r="C22293" s="5" t="s">
        <v>206</v>
      </c>
      <c r="D22293" s="3" t="s">
        <v>68</v>
      </c>
      <c r="E22293" s="3" t="s">
        <v>100</v>
      </c>
      <c r="F22293" s="7">
        <v>46175.26714275533</v>
      </c>
      <c r="G22293" s="3" t="s">
        <v>5716</v>
      </c>
    </row>
    <row r="22294">
      <c r="A22294" s="3" t="s">
        <v>38607</v>
      </c>
      <c r="B22294" s="3" t="s">
        <v>18501</v>
      </c>
      <c r="C22294" s="5" t="s">
        <v>45</v>
      </c>
      <c r="D22294" s="3" t="s">
        <v>221</v>
      </c>
      <c r="E22294" s="3" t="s">
        <v>957</v>
      </c>
      <c r="F22294" s="7">
        <v>46175.327900934084</v>
      </c>
      <c r="G22294" s="3" t="s">
        <v>12781</v>
      </c>
    </row>
    <row r="22295">
      <c r="A22295" s="3" t="s">
        <v>38608</v>
      </c>
      <c r="B22295" s="3" t="s">
        <v>18501</v>
      </c>
      <c r="C22295" s="5" t="s">
        <v>221</v>
      </c>
      <c r="D22295" s="3" t="s">
        <v>614</v>
      </c>
      <c r="E22295" s="3" t="s">
        <v>118</v>
      </c>
      <c r="F22295" s="7">
        <v>46175.3313731563</v>
      </c>
      <c r="G22295" s="3" t="s">
        <v>12784</v>
      </c>
    </row>
    <row r="22296">
      <c r="A22296" s="3" t="s">
        <v>38609</v>
      </c>
      <c r="B22296" s="3" t="s">
        <v>18501</v>
      </c>
      <c r="C22296" s="5" t="s">
        <v>614</v>
      </c>
      <c r="D22296" s="3" t="s">
        <v>206</v>
      </c>
      <c r="E22296" s="3" t="s">
        <v>100</v>
      </c>
      <c r="F22296" s="7">
        <v>46175.33484537853</v>
      </c>
      <c r="G22296" s="3" t="s">
        <v>12787</v>
      </c>
    </row>
    <row r="22297">
      <c r="A22297" s="3" t="s">
        <v>38610</v>
      </c>
      <c r="B22297" s="3" t="s">
        <v>18501</v>
      </c>
      <c r="C22297" s="5" t="s">
        <v>206</v>
      </c>
      <c r="D22297" s="3" t="s">
        <v>68</v>
      </c>
      <c r="E22297" s="3" t="s">
        <v>100</v>
      </c>
      <c r="F22297" s="7">
        <v>46175.33831760075</v>
      </c>
      <c r="G22297" s="3" t="s">
        <v>12790</v>
      </c>
    </row>
    <row r="22298">
      <c r="A22298" s="3" t="s">
        <v>38611</v>
      </c>
      <c r="B22298" s="3" t="s">
        <v>18505</v>
      </c>
      <c r="C22298" s="5" t="s">
        <v>45</v>
      </c>
      <c r="D22298" s="3" t="s">
        <v>221</v>
      </c>
      <c r="E22298" s="3" t="s">
        <v>575</v>
      </c>
      <c r="F22298" s="7">
        <v>46175.3990757795</v>
      </c>
      <c r="G22298" s="3" t="s">
        <v>5810</v>
      </c>
    </row>
    <row r="22299">
      <c r="A22299" s="3" t="s">
        <v>38612</v>
      </c>
      <c r="B22299" s="3" t="s">
        <v>18505</v>
      </c>
      <c r="C22299" s="5" t="s">
        <v>221</v>
      </c>
      <c r="D22299" s="3" t="s">
        <v>614</v>
      </c>
      <c r="E22299" s="3" t="s">
        <v>118</v>
      </c>
      <c r="F22299" s="7">
        <v>46175.40254800172</v>
      </c>
      <c r="G22299" s="3" t="s">
        <v>5813</v>
      </c>
    </row>
    <row r="22300">
      <c r="A22300" s="3" t="s">
        <v>38613</v>
      </c>
      <c r="B22300" s="3" t="s">
        <v>18505</v>
      </c>
      <c r="C22300" s="5" t="s">
        <v>614</v>
      </c>
      <c r="D22300" s="3" t="s">
        <v>206</v>
      </c>
      <c r="E22300" s="3" t="s">
        <v>100</v>
      </c>
      <c r="F22300" s="7">
        <v>46175.40602022395</v>
      </c>
      <c r="G22300" s="3" t="s">
        <v>5815</v>
      </c>
    </row>
    <row r="22301">
      <c r="A22301" s="3" t="s">
        <v>38614</v>
      </c>
      <c r="B22301" s="3" t="s">
        <v>18505</v>
      </c>
      <c r="C22301" s="5" t="s">
        <v>206</v>
      </c>
      <c r="D22301" s="3" t="s">
        <v>68</v>
      </c>
      <c r="E22301" s="3" t="s">
        <v>100</v>
      </c>
      <c r="F22301" s="7">
        <v>46175.40949244617</v>
      </c>
      <c r="G22301" s="3" t="s">
        <v>5818</v>
      </c>
    </row>
    <row r="22302">
      <c r="A22302" s="3" t="s">
        <v>38615</v>
      </c>
      <c r="B22302" s="3" t="s">
        <v>18508</v>
      </c>
      <c r="C22302" s="5" t="s">
        <v>45</v>
      </c>
      <c r="D22302" s="3" t="s">
        <v>221</v>
      </c>
      <c r="E22302" s="3" t="s">
        <v>937</v>
      </c>
      <c r="F22302" s="7">
        <v>46175.470250624916</v>
      </c>
      <c r="G22302" s="3" t="s">
        <v>4043</v>
      </c>
    </row>
    <row r="22303">
      <c r="A22303" s="3" t="s">
        <v>38616</v>
      </c>
      <c r="B22303" s="3" t="s">
        <v>18508</v>
      </c>
      <c r="C22303" s="5" t="s">
        <v>221</v>
      </c>
      <c r="D22303" s="3" t="s">
        <v>614</v>
      </c>
      <c r="E22303" s="3" t="s">
        <v>118</v>
      </c>
      <c r="F22303" s="7">
        <v>46175.473722847135</v>
      </c>
      <c r="G22303" s="3" t="s">
        <v>4046</v>
      </c>
    </row>
    <row r="22304">
      <c r="A22304" s="3" t="s">
        <v>38617</v>
      </c>
      <c r="B22304" s="3" t="s">
        <v>18508</v>
      </c>
      <c r="C22304" s="5" t="s">
        <v>614</v>
      </c>
      <c r="D22304" s="3" t="s">
        <v>206</v>
      </c>
      <c r="E22304" s="3" t="s">
        <v>100</v>
      </c>
      <c r="F22304" s="7">
        <v>46175.47719506936</v>
      </c>
      <c r="G22304" s="3" t="s">
        <v>4049</v>
      </c>
    </row>
    <row r="22305">
      <c r="A22305" s="3" t="s">
        <v>38618</v>
      </c>
      <c r="B22305" s="3" t="s">
        <v>18508</v>
      </c>
      <c r="C22305" s="5" t="s">
        <v>206</v>
      </c>
      <c r="D22305" s="3" t="s">
        <v>68</v>
      </c>
      <c r="E22305" s="3" t="s">
        <v>100</v>
      </c>
      <c r="F22305" s="7">
        <v>46175.48066729158</v>
      </c>
      <c r="G22305" s="3" t="s">
        <v>4051</v>
      </c>
    </row>
    <row r="22306">
      <c r="A22306" s="3" t="s">
        <v>38619</v>
      </c>
      <c r="B22306" s="3" t="s">
        <v>18512</v>
      </c>
      <c r="C22306" s="5" t="s">
        <v>45</v>
      </c>
      <c r="D22306" s="3" t="s">
        <v>221</v>
      </c>
      <c r="E22306" s="3" t="s">
        <v>1040</v>
      </c>
      <c r="F22306" s="7">
        <v>46175.54142547033</v>
      </c>
      <c r="G22306" s="3" t="s">
        <v>30101</v>
      </c>
    </row>
    <row r="22307">
      <c r="A22307" s="3" t="s">
        <v>38620</v>
      </c>
      <c r="B22307" s="3" t="s">
        <v>18512</v>
      </c>
      <c r="C22307" s="5" t="s">
        <v>221</v>
      </c>
      <c r="D22307" s="3" t="s">
        <v>614</v>
      </c>
      <c r="E22307" s="3" t="s">
        <v>118</v>
      </c>
      <c r="F22307" s="7">
        <v>46175.54489769255</v>
      </c>
      <c r="G22307" s="3" t="s">
        <v>34800</v>
      </c>
    </row>
    <row r="22308">
      <c r="A22308" s="3" t="s">
        <v>38621</v>
      </c>
      <c r="B22308" s="3" t="s">
        <v>18512</v>
      </c>
      <c r="C22308" s="5" t="s">
        <v>614</v>
      </c>
      <c r="D22308" s="3" t="s">
        <v>206</v>
      </c>
      <c r="E22308" s="3" t="s">
        <v>100</v>
      </c>
      <c r="F22308" s="7">
        <v>46175.54836991477</v>
      </c>
      <c r="G22308" s="3" t="s">
        <v>34802</v>
      </c>
    </row>
    <row r="22309">
      <c r="A22309" s="3" t="s">
        <v>38622</v>
      </c>
      <c r="B22309" s="3" t="s">
        <v>18512</v>
      </c>
      <c r="C22309" s="5" t="s">
        <v>206</v>
      </c>
      <c r="D22309" s="3" t="s">
        <v>68</v>
      </c>
      <c r="E22309" s="3" t="s">
        <v>100</v>
      </c>
      <c r="F22309" s="7">
        <v>46175.55184213699</v>
      </c>
      <c r="G22309" s="3" t="s">
        <v>34804</v>
      </c>
    </row>
    <row r="22310">
      <c r="A22310" s="3" t="s">
        <v>38623</v>
      </c>
      <c r="B22310" s="3" t="s">
        <v>18515</v>
      </c>
      <c r="C22310" s="5" t="s">
        <v>45</v>
      </c>
      <c r="D22310" s="3" t="s">
        <v>221</v>
      </c>
      <c r="E22310" s="3" t="s">
        <v>760</v>
      </c>
      <c r="F22310" s="7">
        <v>46175.61260031575</v>
      </c>
      <c r="G22310" s="3" t="s">
        <v>4089</v>
      </c>
    </row>
    <row r="22311">
      <c r="A22311" s="3" t="s">
        <v>38624</v>
      </c>
      <c r="B22311" s="3" t="s">
        <v>18515</v>
      </c>
      <c r="C22311" s="5" t="s">
        <v>221</v>
      </c>
      <c r="D22311" s="3" t="s">
        <v>614</v>
      </c>
      <c r="E22311" s="3" t="s">
        <v>118</v>
      </c>
      <c r="F22311" s="7">
        <v>46175.61607253797</v>
      </c>
      <c r="G22311" s="3" t="s">
        <v>4092</v>
      </c>
    </row>
    <row r="22312">
      <c r="A22312" s="3" t="s">
        <v>38625</v>
      </c>
      <c r="B22312" s="3" t="s">
        <v>18515</v>
      </c>
      <c r="C22312" s="5" t="s">
        <v>614</v>
      </c>
      <c r="D22312" s="3" t="s">
        <v>206</v>
      </c>
      <c r="E22312" s="3" t="s">
        <v>100</v>
      </c>
      <c r="F22312" s="7">
        <v>46175.61954476019</v>
      </c>
      <c r="G22312" s="3" t="s">
        <v>4095</v>
      </c>
    </row>
    <row r="22313">
      <c r="A22313" s="3" t="s">
        <v>38626</v>
      </c>
      <c r="B22313" s="3" t="s">
        <v>18515</v>
      </c>
      <c r="C22313" s="5" t="s">
        <v>206</v>
      </c>
      <c r="D22313" s="3" t="s">
        <v>68</v>
      </c>
      <c r="E22313" s="3" t="s">
        <v>100</v>
      </c>
      <c r="F22313" s="7">
        <v>46175.62301698241</v>
      </c>
      <c r="G22313" s="3" t="s">
        <v>4098</v>
      </c>
    </row>
    <row r="22314">
      <c r="A22314" s="3" t="s">
        <v>38627</v>
      </c>
      <c r="B22314" s="3" t="s">
        <v>18518</v>
      </c>
      <c r="C22314" s="5" t="s">
        <v>45</v>
      </c>
      <c r="D22314" s="3" t="s">
        <v>221</v>
      </c>
      <c r="E22314" s="3" t="s">
        <v>419</v>
      </c>
      <c r="F22314" s="7">
        <v>46175.68377516116</v>
      </c>
      <c r="G22314" s="3" t="s">
        <v>18380</v>
      </c>
    </row>
    <row r="22315">
      <c r="A22315" s="3" t="s">
        <v>38628</v>
      </c>
      <c r="B22315" s="3" t="s">
        <v>18518</v>
      </c>
      <c r="C22315" s="5" t="s">
        <v>221</v>
      </c>
      <c r="D22315" s="3" t="s">
        <v>614</v>
      </c>
      <c r="E22315" s="3" t="s">
        <v>118</v>
      </c>
      <c r="F22315" s="7">
        <v>46175.68724738338</v>
      </c>
      <c r="G22315" s="3" t="s">
        <v>18383</v>
      </c>
    </row>
    <row r="22316">
      <c r="A22316" s="3" t="s">
        <v>38629</v>
      </c>
      <c r="B22316" s="3" t="s">
        <v>18518</v>
      </c>
      <c r="C22316" s="5" t="s">
        <v>614</v>
      </c>
      <c r="D22316" s="3" t="s">
        <v>206</v>
      </c>
      <c r="E22316" s="3" t="s">
        <v>100</v>
      </c>
      <c r="F22316" s="7">
        <v>46175.690719605605</v>
      </c>
      <c r="G22316" s="3" t="s">
        <v>18386</v>
      </c>
    </row>
    <row r="22317">
      <c r="A22317" s="3" t="s">
        <v>38630</v>
      </c>
      <c r="B22317" s="3" t="s">
        <v>18518</v>
      </c>
      <c r="C22317" s="5" t="s">
        <v>206</v>
      </c>
      <c r="D22317" s="3" t="s">
        <v>68</v>
      </c>
      <c r="E22317" s="3" t="s">
        <v>100</v>
      </c>
      <c r="F22317" s="7">
        <v>46175.694191827824</v>
      </c>
      <c r="G22317" s="3" t="s">
        <v>18389</v>
      </c>
    </row>
    <row r="22318">
      <c r="A22318" s="3" t="s">
        <v>38631</v>
      </c>
      <c r="B22318" s="3" t="s">
        <v>18520</v>
      </c>
      <c r="C22318" s="5" t="s">
        <v>45</v>
      </c>
      <c r="D22318" s="3" t="s">
        <v>221</v>
      </c>
      <c r="E22318" s="3" t="s">
        <v>682</v>
      </c>
      <c r="F22318" s="7">
        <v>46175.75495000657</v>
      </c>
      <c r="G22318" s="3" t="s">
        <v>20510</v>
      </c>
    </row>
    <row r="22319">
      <c r="A22319" s="3" t="s">
        <v>38632</v>
      </c>
      <c r="B22319" s="3" t="s">
        <v>18520</v>
      </c>
      <c r="C22319" s="5" t="s">
        <v>221</v>
      </c>
      <c r="D22319" s="3" t="s">
        <v>614</v>
      </c>
      <c r="E22319" s="3" t="s">
        <v>118</v>
      </c>
      <c r="F22319" s="7">
        <v>46175.75842222879</v>
      </c>
      <c r="G22319" s="3" t="s">
        <v>20513</v>
      </c>
    </row>
    <row r="22320">
      <c r="A22320" s="3" t="s">
        <v>38633</v>
      </c>
      <c r="B22320" s="3" t="s">
        <v>18520</v>
      </c>
      <c r="C22320" s="5" t="s">
        <v>614</v>
      </c>
      <c r="D22320" s="3" t="s">
        <v>206</v>
      </c>
      <c r="E22320" s="3" t="s">
        <v>100</v>
      </c>
      <c r="F22320" s="7">
        <v>46175.76189445102</v>
      </c>
      <c r="G22320" s="3" t="s">
        <v>20516</v>
      </c>
    </row>
    <row r="22321">
      <c r="A22321" s="3" t="s">
        <v>38634</v>
      </c>
      <c r="B22321" s="3" t="s">
        <v>18520</v>
      </c>
      <c r="C22321" s="5" t="s">
        <v>206</v>
      </c>
      <c r="D22321" s="3" t="s">
        <v>68</v>
      </c>
      <c r="E22321" s="3" t="s">
        <v>100</v>
      </c>
      <c r="F22321" s="7">
        <v>46175.76536667324</v>
      </c>
      <c r="G22321" s="3" t="s">
        <v>20519</v>
      </c>
    </row>
    <row r="22322">
      <c r="A22322" s="3" t="s">
        <v>38635</v>
      </c>
      <c r="B22322" s="3" t="s">
        <v>18523</v>
      </c>
      <c r="C22322" s="5" t="s">
        <v>45</v>
      </c>
      <c r="D22322" s="3" t="s">
        <v>221</v>
      </c>
      <c r="E22322" s="3" t="s">
        <v>911</v>
      </c>
      <c r="F22322" s="7">
        <v>46175.82612485199</v>
      </c>
      <c r="G22322" s="3" t="s">
        <v>4113</v>
      </c>
    </row>
    <row r="22323">
      <c r="A22323" s="3" t="s">
        <v>38636</v>
      </c>
      <c r="B22323" s="3" t="s">
        <v>18523</v>
      </c>
      <c r="C22323" s="5" t="s">
        <v>221</v>
      </c>
      <c r="D22323" s="3" t="s">
        <v>614</v>
      </c>
      <c r="E22323" s="3" t="s">
        <v>118</v>
      </c>
      <c r="F22323" s="7">
        <v>46175.82959707421</v>
      </c>
      <c r="G22323" s="3" t="s">
        <v>4116</v>
      </c>
    </row>
    <row r="22324">
      <c r="A22324" s="3" t="s">
        <v>38637</v>
      </c>
      <c r="B22324" s="3" t="s">
        <v>18523</v>
      </c>
      <c r="C22324" s="5" t="s">
        <v>614</v>
      </c>
      <c r="D22324" s="3" t="s">
        <v>206</v>
      </c>
      <c r="E22324" s="3" t="s">
        <v>100</v>
      </c>
      <c r="F22324" s="7">
        <v>46175.83306929644</v>
      </c>
      <c r="G22324" s="3" t="s">
        <v>4119</v>
      </c>
    </row>
    <row r="22325">
      <c r="A22325" s="3" t="s">
        <v>38638</v>
      </c>
      <c r="B22325" s="3" t="s">
        <v>18523</v>
      </c>
      <c r="C22325" s="5" t="s">
        <v>206</v>
      </c>
      <c r="D22325" s="3" t="s">
        <v>68</v>
      </c>
      <c r="E22325" s="3" t="s">
        <v>100</v>
      </c>
      <c r="F22325" s="7">
        <v>46175.836541518656</v>
      </c>
      <c r="G22325" s="3" t="s">
        <v>4121</v>
      </c>
    </row>
    <row r="22326">
      <c r="A22326" s="3" t="s">
        <v>38639</v>
      </c>
      <c r="B22326" s="3" t="s">
        <v>18525</v>
      </c>
      <c r="C22326" s="5" t="s">
        <v>45</v>
      </c>
      <c r="D22326" s="3" t="s">
        <v>221</v>
      </c>
      <c r="E22326" s="3" t="s">
        <v>965</v>
      </c>
      <c r="F22326" s="7">
        <v>46175.897299697404</v>
      </c>
      <c r="G22326" s="3" t="s">
        <v>5008</v>
      </c>
    </row>
    <row r="22327">
      <c r="A22327" s="3" t="s">
        <v>38640</v>
      </c>
      <c r="B22327" s="3" t="s">
        <v>18525</v>
      </c>
      <c r="C22327" s="5" t="s">
        <v>221</v>
      </c>
      <c r="D22327" s="3" t="s">
        <v>614</v>
      </c>
      <c r="E22327" s="3" t="s">
        <v>118</v>
      </c>
      <c r="F22327" s="7">
        <v>46175.90077191962</v>
      </c>
      <c r="G22327" s="3" t="s">
        <v>5011</v>
      </c>
    </row>
    <row r="22328">
      <c r="A22328" s="3" t="s">
        <v>38641</v>
      </c>
      <c r="B22328" s="3" t="s">
        <v>18525</v>
      </c>
      <c r="C22328" s="5" t="s">
        <v>614</v>
      </c>
      <c r="D22328" s="3" t="s">
        <v>206</v>
      </c>
      <c r="E22328" s="3" t="s">
        <v>100</v>
      </c>
      <c r="F22328" s="7">
        <v>46175.90424414185</v>
      </c>
      <c r="G22328" s="3" t="s">
        <v>5014</v>
      </c>
    </row>
    <row r="22329">
      <c r="A22329" s="3" t="s">
        <v>38642</v>
      </c>
      <c r="B22329" s="3" t="s">
        <v>18525</v>
      </c>
      <c r="C22329" s="5" t="s">
        <v>206</v>
      </c>
      <c r="D22329" s="3" t="s">
        <v>68</v>
      </c>
      <c r="E22329" s="3" t="s">
        <v>100</v>
      </c>
      <c r="F22329" s="7">
        <v>46175.90771636407</v>
      </c>
      <c r="G22329" s="3" t="s">
        <v>5017</v>
      </c>
    </row>
    <row r="22330">
      <c r="A22330" s="3" t="s">
        <v>38643</v>
      </c>
      <c r="B22330" s="3" t="s">
        <v>18527</v>
      </c>
      <c r="C22330" s="5" t="s">
        <v>45</v>
      </c>
      <c r="D22330" s="3" t="s">
        <v>221</v>
      </c>
      <c r="E22330" s="3" t="s">
        <v>793</v>
      </c>
      <c r="F22330" s="7">
        <v>46175.96847454282</v>
      </c>
      <c r="G22330" s="3" t="s">
        <v>10738</v>
      </c>
    </row>
    <row r="22331">
      <c r="A22331" s="3" t="s">
        <v>38644</v>
      </c>
      <c r="B22331" s="3" t="s">
        <v>18527</v>
      </c>
      <c r="C22331" s="5" t="s">
        <v>221</v>
      </c>
      <c r="D22331" s="3" t="s">
        <v>614</v>
      </c>
      <c r="E22331" s="3" t="s">
        <v>118</v>
      </c>
      <c r="F22331" s="7">
        <v>46175.971946765036</v>
      </c>
      <c r="G22331" s="3" t="s">
        <v>26557</v>
      </c>
    </row>
    <row r="22332">
      <c r="A22332" s="3" t="s">
        <v>38645</v>
      </c>
      <c r="B22332" s="3" t="s">
        <v>18527</v>
      </c>
      <c r="C22332" s="5" t="s">
        <v>614</v>
      </c>
      <c r="D22332" s="3" t="s">
        <v>206</v>
      </c>
      <c r="E22332" s="3" t="s">
        <v>100</v>
      </c>
      <c r="F22332" s="7">
        <v>46175.97541898726</v>
      </c>
      <c r="G22332" s="3" t="s">
        <v>26559</v>
      </c>
    </row>
    <row r="22333">
      <c r="A22333" s="3" t="s">
        <v>38646</v>
      </c>
      <c r="B22333" s="3" t="s">
        <v>18527</v>
      </c>
      <c r="C22333" s="5" t="s">
        <v>206</v>
      </c>
      <c r="D22333" s="3" t="s">
        <v>68</v>
      </c>
      <c r="E22333" s="3" t="s">
        <v>100</v>
      </c>
      <c r="F22333" s="7">
        <v>46175.97889120948</v>
      </c>
      <c r="G22333" s="3" t="s">
        <v>26561</v>
      </c>
    </row>
    <row r="22334">
      <c r="A22334" s="3" t="s">
        <v>38647</v>
      </c>
      <c r="B22334" s="3" t="s">
        <v>18530</v>
      </c>
      <c r="C22334" s="5" t="s">
        <v>45</v>
      </c>
      <c r="D22334" s="3" t="s">
        <v>221</v>
      </c>
      <c r="E22334" s="3" t="s">
        <v>535</v>
      </c>
      <c r="F22334" s="7">
        <v>46176.039649388236</v>
      </c>
      <c r="G22334" s="3" t="s">
        <v>13014</v>
      </c>
    </row>
    <row r="22335">
      <c r="A22335" s="3" t="s">
        <v>38648</v>
      </c>
      <c r="B22335" s="3" t="s">
        <v>18530</v>
      </c>
      <c r="C22335" s="5" t="s">
        <v>221</v>
      </c>
      <c r="D22335" s="3" t="s">
        <v>614</v>
      </c>
      <c r="E22335" s="3" t="s">
        <v>118</v>
      </c>
      <c r="F22335" s="7">
        <v>46176.043121610455</v>
      </c>
      <c r="G22335" s="3" t="s">
        <v>13017</v>
      </c>
    </row>
    <row r="22336">
      <c r="A22336" s="3" t="s">
        <v>38649</v>
      </c>
      <c r="B22336" s="3" t="s">
        <v>18530</v>
      </c>
      <c r="C22336" s="5" t="s">
        <v>614</v>
      </c>
      <c r="D22336" s="3" t="s">
        <v>206</v>
      </c>
      <c r="E22336" s="3" t="s">
        <v>100</v>
      </c>
      <c r="F22336" s="7">
        <v>46176.04659383268</v>
      </c>
      <c r="G22336" s="3" t="s">
        <v>13020</v>
      </c>
    </row>
    <row r="22337">
      <c r="A22337" s="3" t="s">
        <v>38650</v>
      </c>
      <c r="B22337" s="3" t="s">
        <v>18530</v>
      </c>
      <c r="C22337" s="5" t="s">
        <v>206</v>
      </c>
      <c r="D22337" s="3" t="s">
        <v>68</v>
      </c>
      <c r="E22337" s="3" t="s">
        <v>100</v>
      </c>
      <c r="F22337" s="7">
        <v>46176.0500660549</v>
      </c>
      <c r="G22337" s="3" t="s">
        <v>13024</v>
      </c>
    </row>
    <row r="22338">
      <c r="A22338" s="3" t="s">
        <v>38651</v>
      </c>
      <c r="B22338" s="3" t="s">
        <v>18533</v>
      </c>
      <c r="C22338" s="5" t="s">
        <v>45</v>
      </c>
      <c r="D22338" s="3" t="s">
        <v>221</v>
      </c>
      <c r="E22338" s="3" t="s">
        <v>535</v>
      </c>
      <c r="F22338" s="7">
        <v>46176.11082423365</v>
      </c>
      <c r="G22338" s="3" t="s">
        <v>19950</v>
      </c>
    </row>
    <row r="22339">
      <c r="A22339" s="3" t="s">
        <v>38652</v>
      </c>
      <c r="B22339" s="3" t="s">
        <v>18533</v>
      </c>
      <c r="C22339" s="5" t="s">
        <v>221</v>
      </c>
      <c r="D22339" s="3" t="s">
        <v>614</v>
      </c>
      <c r="E22339" s="3" t="s">
        <v>118</v>
      </c>
      <c r="F22339" s="7">
        <v>46176.11429645587</v>
      </c>
      <c r="G22339" s="3" t="s">
        <v>19952</v>
      </c>
    </row>
    <row r="22340">
      <c r="A22340" s="3" t="s">
        <v>38653</v>
      </c>
      <c r="B22340" s="3" t="s">
        <v>18533</v>
      </c>
      <c r="C22340" s="5" t="s">
        <v>614</v>
      </c>
      <c r="D22340" s="3" t="s">
        <v>206</v>
      </c>
      <c r="E22340" s="3" t="s">
        <v>100</v>
      </c>
      <c r="F22340" s="7">
        <v>46176.117768678094</v>
      </c>
      <c r="G22340" s="3" t="s">
        <v>19955</v>
      </c>
    </row>
    <row r="22341">
      <c r="A22341" s="3" t="s">
        <v>38654</v>
      </c>
      <c r="B22341" s="3" t="s">
        <v>18533</v>
      </c>
      <c r="C22341" s="5" t="s">
        <v>206</v>
      </c>
      <c r="D22341" s="3" t="s">
        <v>68</v>
      </c>
      <c r="E22341" s="3" t="s">
        <v>100</v>
      </c>
      <c r="F22341" s="7">
        <v>46176.12124090031</v>
      </c>
      <c r="G22341" s="3" t="s">
        <v>19958</v>
      </c>
    </row>
    <row r="22342">
      <c r="A22342" s="3" t="s">
        <v>38655</v>
      </c>
      <c r="B22342" s="3" t="s">
        <v>18537</v>
      </c>
      <c r="C22342" s="5" t="s">
        <v>45</v>
      </c>
      <c r="D22342" s="3" t="s">
        <v>221</v>
      </c>
      <c r="E22342" s="3" t="s">
        <v>725</v>
      </c>
      <c r="F22342" s="7">
        <v>46176.18199907907</v>
      </c>
      <c r="G22342" s="3" t="s">
        <v>20003</v>
      </c>
    </row>
    <row r="22343">
      <c r="A22343" s="3" t="s">
        <v>38656</v>
      </c>
      <c r="B22343" s="3" t="s">
        <v>18537</v>
      </c>
      <c r="C22343" s="5" t="s">
        <v>221</v>
      </c>
      <c r="D22343" s="3" t="s">
        <v>614</v>
      </c>
      <c r="E22343" s="3" t="s">
        <v>118</v>
      </c>
      <c r="F22343" s="7">
        <v>46176.18547130129</v>
      </c>
      <c r="G22343" s="3" t="s">
        <v>20006</v>
      </c>
    </row>
    <row r="22344">
      <c r="A22344" s="3" t="s">
        <v>38657</v>
      </c>
      <c r="B22344" s="3" t="s">
        <v>18537</v>
      </c>
      <c r="C22344" s="5" t="s">
        <v>614</v>
      </c>
      <c r="D22344" s="3" t="s">
        <v>206</v>
      </c>
      <c r="E22344" s="3" t="s">
        <v>100</v>
      </c>
      <c r="F22344" s="7">
        <v>46176.18894352351</v>
      </c>
      <c r="G22344" s="3" t="s">
        <v>20009</v>
      </c>
    </row>
    <row r="22345">
      <c r="A22345" s="3" t="s">
        <v>38658</v>
      </c>
      <c r="B22345" s="3" t="s">
        <v>18537</v>
      </c>
      <c r="C22345" s="5" t="s">
        <v>206</v>
      </c>
      <c r="D22345" s="3" t="s">
        <v>68</v>
      </c>
      <c r="E22345" s="3" t="s">
        <v>100</v>
      </c>
      <c r="F22345" s="7">
        <v>46176.19241574573</v>
      </c>
      <c r="G22345" s="3" t="s">
        <v>20011</v>
      </c>
    </row>
    <row r="22346">
      <c r="A22346" s="3" t="s">
        <v>38659</v>
      </c>
      <c r="B22346" s="3" t="s">
        <v>18541</v>
      </c>
      <c r="C22346" s="5" t="s">
        <v>45</v>
      </c>
      <c r="D22346" s="3" t="s">
        <v>221</v>
      </c>
      <c r="E22346" s="3" t="s">
        <v>141</v>
      </c>
      <c r="F22346" s="7">
        <v>46176.25317392448</v>
      </c>
      <c r="G22346" s="3" t="s">
        <v>26601</v>
      </c>
    </row>
    <row r="22347">
      <c r="A22347" s="3" t="s">
        <v>38660</v>
      </c>
      <c r="B22347" s="3" t="s">
        <v>18541</v>
      </c>
      <c r="C22347" s="5" t="s">
        <v>221</v>
      </c>
      <c r="D22347" s="3" t="s">
        <v>614</v>
      </c>
      <c r="E22347" s="3" t="s">
        <v>118</v>
      </c>
      <c r="F22347" s="7">
        <v>46176.2566461467</v>
      </c>
      <c r="G22347" s="3" t="s">
        <v>26603</v>
      </c>
    </row>
    <row r="22348">
      <c r="A22348" s="3" t="s">
        <v>38661</v>
      </c>
      <c r="B22348" s="3" t="s">
        <v>18541</v>
      </c>
      <c r="C22348" s="5" t="s">
        <v>614</v>
      </c>
      <c r="D22348" s="3" t="s">
        <v>206</v>
      </c>
      <c r="E22348" s="3" t="s">
        <v>100</v>
      </c>
      <c r="F22348" s="7">
        <v>46176.260118368926</v>
      </c>
      <c r="G22348" s="3" t="s">
        <v>26605</v>
      </c>
    </row>
    <row r="22349">
      <c r="A22349" s="3" t="s">
        <v>38662</v>
      </c>
      <c r="B22349" s="3" t="s">
        <v>18541</v>
      </c>
      <c r="C22349" s="5" t="s">
        <v>206</v>
      </c>
      <c r="D22349" s="3" t="s">
        <v>68</v>
      </c>
      <c r="E22349" s="3" t="s">
        <v>100</v>
      </c>
      <c r="F22349" s="7">
        <v>46176.263590591145</v>
      </c>
      <c r="G22349" s="3" t="s">
        <v>26607</v>
      </c>
    </row>
    <row r="22350">
      <c r="A22350" s="3" t="s">
        <v>38663</v>
      </c>
      <c r="B22350" s="3" t="s">
        <v>18544</v>
      </c>
      <c r="C22350" s="5" t="s">
        <v>45</v>
      </c>
      <c r="D22350" s="3" t="s">
        <v>221</v>
      </c>
      <c r="E22350" s="3" t="s">
        <v>326</v>
      </c>
      <c r="F22350" s="7">
        <v>46176.3243487699</v>
      </c>
      <c r="G22350" s="3" t="s">
        <v>4136</v>
      </c>
    </row>
    <row r="22351">
      <c r="A22351" s="3" t="s">
        <v>38664</v>
      </c>
      <c r="B22351" s="3" t="s">
        <v>18544</v>
      </c>
      <c r="C22351" s="5" t="s">
        <v>221</v>
      </c>
      <c r="D22351" s="3" t="s">
        <v>614</v>
      </c>
      <c r="E22351" s="3" t="s">
        <v>118</v>
      </c>
      <c r="F22351" s="7">
        <v>46176.32782099212</v>
      </c>
      <c r="G22351" s="3" t="s">
        <v>4138</v>
      </c>
    </row>
    <row r="22352">
      <c r="A22352" s="3" t="s">
        <v>38665</v>
      </c>
      <c r="B22352" s="3" t="s">
        <v>18544</v>
      </c>
      <c r="C22352" s="5" t="s">
        <v>614</v>
      </c>
      <c r="D22352" s="3" t="s">
        <v>206</v>
      </c>
      <c r="E22352" s="3" t="s">
        <v>100</v>
      </c>
      <c r="F22352" s="7">
        <v>46176.331293214345</v>
      </c>
      <c r="G22352" s="3" t="s">
        <v>4141</v>
      </c>
    </row>
    <row r="22353">
      <c r="A22353" s="3" t="s">
        <v>38666</v>
      </c>
      <c r="B22353" s="3" t="s">
        <v>18544</v>
      </c>
      <c r="C22353" s="5" t="s">
        <v>206</v>
      </c>
      <c r="D22353" s="3" t="s">
        <v>68</v>
      </c>
      <c r="E22353" s="3" t="s">
        <v>100</v>
      </c>
      <c r="F22353" s="7">
        <v>46176.334765436564</v>
      </c>
      <c r="G22353" s="3" t="s">
        <v>4144</v>
      </c>
    </row>
    <row r="22354">
      <c r="A22354" s="3" t="s">
        <v>38667</v>
      </c>
      <c r="B22354" s="3" t="s">
        <v>18547</v>
      </c>
      <c r="C22354" s="5" t="s">
        <v>45</v>
      </c>
      <c r="D22354" s="3" t="s">
        <v>221</v>
      </c>
      <c r="E22354" s="3" t="s">
        <v>698</v>
      </c>
      <c r="F22354" s="7">
        <v>46176.395523615305</v>
      </c>
      <c r="G22354" s="3" t="s">
        <v>4736</v>
      </c>
    </row>
    <row r="22355">
      <c r="A22355" s="3" t="s">
        <v>38668</v>
      </c>
      <c r="B22355" s="3" t="s">
        <v>18547</v>
      </c>
      <c r="C22355" s="5" t="s">
        <v>221</v>
      </c>
      <c r="D22355" s="3" t="s">
        <v>614</v>
      </c>
      <c r="E22355" s="3" t="s">
        <v>118</v>
      </c>
      <c r="F22355" s="7">
        <v>46176.398995837524</v>
      </c>
      <c r="G22355" s="3" t="s">
        <v>4738</v>
      </c>
    </row>
    <row r="22356">
      <c r="A22356" s="3" t="s">
        <v>38669</v>
      </c>
      <c r="B22356" s="3" t="s">
        <v>18547</v>
      </c>
      <c r="C22356" s="5" t="s">
        <v>614</v>
      </c>
      <c r="D22356" s="3" t="s">
        <v>206</v>
      </c>
      <c r="E22356" s="3" t="s">
        <v>100</v>
      </c>
      <c r="F22356" s="7">
        <v>46176.40246805975</v>
      </c>
      <c r="G22356" s="3" t="s">
        <v>4741</v>
      </c>
    </row>
    <row r="22357">
      <c r="A22357" s="3" t="s">
        <v>38670</v>
      </c>
      <c r="B22357" s="3" t="s">
        <v>18547</v>
      </c>
      <c r="C22357" s="5" t="s">
        <v>206</v>
      </c>
      <c r="D22357" s="3" t="s">
        <v>68</v>
      </c>
      <c r="E22357" s="3" t="s">
        <v>100</v>
      </c>
      <c r="F22357" s="7">
        <v>46176.40594028197</v>
      </c>
      <c r="G22357" s="3" t="s">
        <v>4744</v>
      </c>
    </row>
    <row r="22358">
      <c r="A22358" s="3" t="s">
        <v>38671</v>
      </c>
      <c r="B22358" s="3" t="s">
        <v>18551</v>
      </c>
      <c r="C22358" s="5" t="s">
        <v>45</v>
      </c>
      <c r="D22358" s="3" t="s">
        <v>221</v>
      </c>
      <c r="E22358" s="3" t="s">
        <v>424</v>
      </c>
      <c r="F22358" s="7">
        <v>46176.466698460725</v>
      </c>
      <c r="G22358" s="3" t="s">
        <v>5848</v>
      </c>
    </row>
    <row r="22359">
      <c r="A22359" s="3" t="s">
        <v>38672</v>
      </c>
      <c r="B22359" s="3" t="s">
        <v>18551</v>
      </c>
      <c r="C22359" s="5" t="s">
        <v>221</v>
      </c>
      <c r="D22359" s="3" t="s">
        <v>614</v>
      </c>
      <c r="E22359" s="3" t="s">
        <v>118</v>
      </c>
      <c r="F22359" s="7">
        <v>46176.470170682944</v>
      </c>
      <c r="G22359" s="3" t="s">
        <v>5851</v>
      </c>
    </row>
    <row r="22360">
      <c r="A22360" s="3" t="s">
        <v>38673</v>
      </c>
      <c r="B22360" s="3" t="s">
        <v>18551</v>
      </c>
      <c r="C22360" s="5" t="s">
        <v>614</v>
      </c>
      <c r="D22360" s="3" t="s">
        <v>206</v>
      </c>
      <c r="E22360" s="3" t="s">
        <v>100</v>
      </c>
      <c r="F22360" s="7">
        <v>46176.47364290517</v>
      </c>
      <c r="G22360" s="3" t="s">
        <v>5854</v>
      </c>
    </row>
    <row r="22361">
      <c r="A22361" s="3" t="s">
        <v>38674</v>
      </c>
      <c r="B22361" s="3" t="s">
        <v>18551</v>
      </c>
      <c r="C22361" s="5" t="s">
        <v>206</v>
      </c>
      <c r="D22361" s="3" t="s">
        <v>68</v>
      </c>
      <c r="E22361" s="3" t="s">
        <v>100</v>
      </c>
      <c r="F22361" s="7">
        <v>46176.47711512739</v>
      </c>
      <c r="G22361" s="3" t="s">
        <v>5857</v>
      </c>
    </row>
    <row r="22362">
      <c r="A22362" s="3" t="s">
        <v>38675</v>
      </c>
      <c r="B22362" s="3" t="s">
        <v>18554</v>
      </c>
      <c r="C22362" s="5" t="s">
        <v>45</v>
      </c>
      <c r="D22362" s="3" t="s">
        <v>221</v>
      </c>
      <c r="E22362" s="3" t="s">
        <v>657</v>
      </c>
      <c r="F22362" s="7">
        <v>46176.537873306144</v>
      </c>
      <c r="G22362" s="3" t="s">
        <v>14040</v>
      </c>
    </row>
    <row r="22363">
      <c r="A22363" s="3" t="s">
        <v>38676</v>
      </c>
      <c r="B22363" s="3" t="s">
        <v>18554</v>
      </c>
      <c r="C22363" s="5" t="s">
        <v>221</v>
      </c>
      <c r="D22363" s="3" t="s">
        <v>614</v>
      </c>
      <c r="E22363" s="3" t="s">
        <v>118</v>
      </c>
      <c r="F22363" s="7">
        <v>46176.54134552836</v>
      </c>
      <c r="G22363" s="3" t="s">
        <v>14043</v>
      </c>
    </row>
    <row r="22364">
      <c r="A22364" s="3" t="s">
        <v>38677</v>
      </c>
      <c r="B22364" s="3" t="s">
        <v>18554</v>
      </c>
      <c r="C22364" s="5" t="s">
        <v>614</v>
      </c>
      <c r="D22364" s="3" t="s">
        <v>206</v>
      </c>
      <c r="E22364" s="3" t="s">
        <v>100</v>
      </c>
      <c r="F22364" s="7">
        <v>46176.54481775059</v>
      </c>
      <c r="G22364" s="3" t="s">
        <v>14046</v>
      </c>
    </row>
    <row r="22365">
      <c r="A22365" s="3" t="s">
        <v>38678</v>
      </c>
      <c r="B22365" s="3" t="s">
        <v>18554</v>
      </c>
      <c r="C22365" s="5" t="s">
        <v>206</v>
      </c>
      <c r="D22365" s="3" t="s">
        <v>68</v>
      </c>
      <c r="E22365" s="3" t="s">
        <v>100</v>
      </c>
      <c r="F22365" s="7">
        <v>46176.54828997281</v>
      </c>
      <c r="G22365" s="3" t="s">
        <v>14048</v>
      </c>
    </row>
    <row r="22366">
      <c r="A22366" s="3" t="s">
        <v>38679</v>
      </c>
      <c r="B22366" s="3" t="s">
        <v>18558</v>
      </c>
      <c r="C22366" s="5" t="s">
        <v>45</v>
      </c>
      <c r="D22366" s="3" t="s">
        <v>221</v>
      </c>
      <c r="E22366" s="3" t="s">
        <v>440</v>
      </c>
      <c r="F22366" s="7">
        <v>46176.60904815156</v>
      </c>
      <c r="G22366" s="3" t="s">
        <v>17843</v>
      </c>
    </row>
    <row r="22367">
      <c r="A22367" s="3" t="s">
        <v>38680</v>
      </c>
      <c r="B22367" s="3" t="s">
        <v>18558</v>
      </c>
      <c r="C22367" s="5" t="s">
        <v>221</v>
      </c>
      <c r="D22367" s="3" t="s">
        <v>614</v>
      </c>
      <c r="E22367" s="3" t="s">
        <v>118</v>
      </c>
      <c r="F22367" s="7">
        <v>46176.612520373776</v>
      </c>
      <c r="G22367" s="3" t="s">
        <v>17846</v>
      </c>
    </row>
    <row r="22368">
      <c r="A22368" s="3" t="s">
        <v>38681</v>
      </c>
      <c r="B22368" s="3" t="s">
        <v>18558</v>
      </c>
      <c r="C22368" s="5" t="s">
        <v>614</v>
      </c>
      <c r="D22368" s="3" t="s">
        <v>206</v>
      </c>
      <c r="E22368" s="3" t="s">
        <v>100</v>
      </c>
      <c r="F22368" s="7">
        <v>46176.615992596</v>
      </c>
      <c r="G22368" s="3" t="s">
        <v>17849</v>
      </c>
    </row>
    <row r="22369">
      <c r="A22369" s="3" t="s">
        <v>38682</v>
      </c>
      <c r="B22369" s="3" t="s">
        <v>18558</v>
      </c>
      <c r="C22369" s="5" t="s">
        <v>206</v>
      </c>
      <c r="D22369" s="3" t="s">
        <v>68</v>
      </c>
      <c r="E22369" s="3" t="s">
        <v>100</v>
      </c>
      <c r="F22369" s="7">
        <v>46176.61946481822</v>
      </c>
      <c r="G22369" s="3" t="s">
        <v>17851</v>
      </c>
    </row>
    <row r="22370">
      <c r="A22370" s="3" t="s">
        <v>38683</v>
      </c>
      <c r="B22370" s="3" t="s">
        <v>18561</v>
      </c>
      <c r="C22370" s="5" t="s">
        <v>45</v>
      </c>
      <c r="D22370" s="3" t="s">
        <v>221</v>
      </c>
      <c r="E22370" s="3" t="s">
        <v>430</v>
      </c>
      <c r="F22370" s="7">
        <v>46176.68022299697</v>
      </c>
      <c r="G22370" s="3" t="s">
        <v>4152</v>
      </c>
    </row>
    <row r="22371">
      <c r="A22371" s="3" t="s">
        <v>38684</v>
      </c>
      <c r="B22371" s="3" t="s">
        <v>18561</v>
      </c>
      <c r="C22371" s="5" t="s">
        <v>221</v>
      </c>
      <c r="D22371" s="3" t="s">
        <v>614</v>
      </c>
      <c r="E22371" s="3" t="s">
        <v>118</v>
      </c>
      <c r="F22371" s="7">
        <v>46176.68369521919</v>
      </c>
      <c r="G22371" s="3" t="s">
        <v>4155</v>
      </c>
    </row>
    <row r="22372">
      <c r="A22372" s="3" t="s">
        <v>38685</v>
      </c>
      <c r="B22372" s="3" t="s">
        <v>18561</v>
      </c>
      <c r="C22372" s="5" t="s">
        <v>614</v>
      </c>
      <c r="D22372" s="3" t="s">
        <v>206</v>
      </c>
      <c r="E22372" s="3" t="s">
        <v>100</v>
      </c>
      <c r="F22372" s="7">
        <v>46176.687167441414</v>
      </c>
      <c r="G22372" s="3" t="s">
        <v>4158</v>
      </c>
    </row>
    <row r="22373">
      <c r="A22373" s="3" t="s">
        <v>38686</v>
      </c>
      <c r="B22373" s="3" t="s">
        <v>18561</v>
      </c>
      <c r="C22373" s="5" t="s">
        <v>206</v>
      </c>
      <c r="D22373" s="3" t="s">
        <v>68</v>
      </c>
      <c r="E22373" s="3" t="s">
        <v>100</v>
      </c>
      <c r="F22373" s="7">
        <v>46176.69063966363</v>
      </c>
      <c r="G22373" s="3" t="s">
        <v>4161</v>
      </c>
    </row>
    <row r="22374">
      <c r="A22374" s="3" t="s">
        <v>38687</v>
      </c>
      <c r="B22374" s="3" t="s">
        <v>18564</v>
      </c>
      <c r="C22374" s="5" t="s">
        <v>45</v>
      </c>
      <c r="D22374" s="3" t="s">
        <v>221</v>
      </c>
      <c r="E22374" s="3" t="s">
        <v>310</v>
      </c>
      <c r="F22374" s="7">
        <v>46176.75139784239</v>
      </c>
      <c r="G22374" s="3" t="s">
        <v>11547</v>
      </c>
    </row>
    <row r="22375">
      <c r="A22375" s="3" t="s">
        <v>38688</v>
      </c>
      <c r="B22375" s="3" t="s">
        <v>18564</v>
      </c>
      <c r="C22375" s="5" t="s">
        <v>221</v>
      </c>
      <c r="D22375" s="3" t="s">
        <v>614</v>
      </c>
      <c r="E22375" s="3" t="s">
        <v>118</v>
      </c>
      <c r="F22375" s="7">
        <v>46176.75487006461</v>
      </c>
      <c r="G22375" s="3" t="s">
        <v>11550</v>
      </c>
    </row>
    <row r="22376">
      <c r="A22376" s="3" t="s">
        <v>38689</v>
      </c>
      <c r="B22376" s="3" t="s">
        <v>18564</v>
      </c>
      <c r="C22376" s="5" t="s">
        <v>614</v>
      </c>
      <c r="D22376" s="3" t="s">
        <v>206</v>
      </c>
      <c r="E22376" s="3" t="s">
        <v>100</v>
      </c>
      <c r="F22376" s="7">
        <v>46176.758342286834</v>
      </c>
      <c r="G22376" s="3" t="s">
        <v>11553</v>
      </c>
    </row>
    <row r="22377">
      <c r="A22377" s="3" t="s">
        <v>38690</v>
      </c>
      <c r="B22377" s="3" t="s">
        <v>18564</v>
      </c>
      <c r="C22377" s="5" t="s">
        <v>206</v>
      </c>
      <c r="D22377" s="3" t="s">
        <v>68</v>
      </c>
      <c r="E22377" s="3" t="s">
        <v>100</v>
      </c>
      <c r="F22377" s="7">
        <v>46176.76181450905</v>
      </c>
      <c r="G22377" s="3" t="s">
        <v>11557</v>
      </c>
    </row>
    <row r="22378">
      <c r="A22378" s="3" t="s">
        <v>38691</v>
      </c>
      <c r="B22378" s="3" t="s">
        <v>18566</v>
      </c>
      <c r="C22378" s="5" t="s">
        <v>45</v>
      </c>
      <c r="D22378" s="3" t="s">
        <v>221</v>
      </c>
      <c r="E22378" s="3" t="s">
        <v>598</v>
      </c>
      <c r="F22378" s="7">
        <v>46176.8225726878</v>
      </c>
      <c r="G22378" s="3" t="s">
        <v>4175</v>
      </c>
    </row>
    <row r="22379">
      <c r="A22379" s="3" t="s">
        <v>38692</v>
      </c>
      <c r="B22379" s="3" t="s">
        <v>18566</v>
      </c>
      <c r="C22379" s="5" t="s">
        <v>221</v>
      </c>
      <c r="D22379" s="3" t="s">
        <v>614</v>
      </c>
      <c r="E22379" s="3" t="s">
        <v>118</v>
      </c>
      <c r="F22379" s="7">
        <v>46176.82604491002</v>
      </c>
      <c r="G22379" s="3" t="s">
        <v>4178</v>
      </c>
    </row>
    <row r="22380">
      <c r="A22380" s="3" t="s">
        <v>38693</v>
      </c>
      <c r="B22380" s="3" t="s">
        <v>18566</v>
      </c>
      <c r="C22380" s="5" t="s">
        <v>614</v>
      </c>
      <c r="D22380" s="3" t="s">
        <v>206</v>
      </c>
      <c r="E22380" s="3" t="s">
        <v>100</v>
      </c>
      <c r="F22380" s="7">
        <v>46176.829517132246</v>
      </c>
      <c r="G22380" s="3" t="s">
        <v>4181</v>
      </c>
    </row>
    <row r="22381">
      <c r="A22381" s="3" t="s">
        <v>38694</v>
      </c>
      <c r="B22381" s="3" t="s">
        <v>18566</v>
      </c>
      <c r="C22381" s="5" t="s">
        <v>206</v>
      </c>
      <c r="D22381" s="3" t="s">
        <v>68</v>
      </c>
      <c r="E22381" s="3" t="s">
        <v>100</v>
      </c>
      <c r="F22381" s="7">
        <v>46176.832989354465</v>
      </c>
      <c r="G22381" s="3" t="s">
        <v>4184</v>
      </c>
    </row>
    <row r="22382">
      <c r="A22382" s="3" t="s">
        <v>38695</v>
      </c>
      <c r="B22382" s="3" t="s">
        <v>18568</v>
      </c>
      <c r="C22382" s="5" t="s">
        <v>45</v>
      </c>
      <c r="D22382" s="3" t="s">
        <v>221</v>
      </c>
      <c r="E22382" s="3" t="s">
        <v>442</v>
      </c>
      <c r="F22382" s="7">
        <v>46176.89374753321</v>
      </c>
      <c r="G22382" s="3" t="s">
        <v>17036</v>
      </c>
    </row>
    <row r="22383">
      <c r="A22383" s="3" t="s">
        <v>38696</v>
      </c>
      <c r="B22383" s="3" t="s">
        <v>18568</v>
      </c>
      <c r="C22383" s="5" t="s">
        <v>221</v>
      </c>
      <c r="D22383" s="3" t="s">
        <v>614</v>
      </c>
      <c r="E22383" s="3" t="s">
        <v>118</v>
      </c>
      <c r="F22383" s="7">
        <v>46176.89721975543</v>
      </c>
      <c r="G22383" s="3" t="s">
        <v>17039</v>
      </c>
    </row>
    <row r="22384">
      <c r="A22384" s="3" t="s">
        <v>38697</v>
      </c>
      <c r="B22384" s="3" t="s">
        <v>18568</v>
      </c>
      <c r="C22384" s="5" t="s">
        <v>614</v>
      </c>
      <c r="D22384" s="3" t="s">
        <v>206</v>
      </c>
      <c r="E22384" s="3" t="s">
        <v>100</v>
      </c>
      <c r="F22384" s="7">
        <v>46176.90069197766</v>
      </c>
      <c r="G22384" s="3" t="s">
        <v>17041</v>
      </c>
    </row>
    <row r="22385">
      <c r="A22385" s="3" t="s">
        <v>38698</v>
      </c>
      <c r="B22385" s="3" t="s">
        <v>18568</v>
      </c>
      <c r="C22385" s="5" t="s">
        <v>206</v>
      </c>
      <c r="D22385" s="3" t="s">
        <v>68</v>
      </c>
      <c r="E22385" s="3" t="s">
        <v>100</v>
      </c>
      <c r="F22385" s="7">
        <v>46176.90416419988</v>
      </c>
      <c r="G22385" s="3" t="s">
        <v>17044</v>
      </c>
    </row>
    <row r="22386">
      <c r="A22386" s="3" t="s">
        <v>38699</v>
      </c>
      <c r="B22386" s="3" t="s">
        <v>18570</v>
      </c>
      <c r="C22386" s="5" t="s">
        <v>45</v>
      </c>
      <c r="D22386" s="3" t="s">
        <v>221</v>
      </c>
      <c r="E22386" s="3" t="s">
        <v>293</v>
      </c>
      <c r="F22386" s="7">
        <v>46176.96492237863</v>
      </c>
      <c r="G22386" s="3" t="s">
        <v>6973</v>
      </c>
    </row>
    <row r="22387">
      <c r="A22387" s="3" t="s">
        <v>38700</v>
      </c>
      <c r="B22387" s="3" t="s">
        <v>18570</v>
      </c>
      <c r="C22387" s="5" t="s">
        <v>221</v>
      </c>
      <c r="D22387" s="3" t="s">
        <v>614</v>
      </c>
      <c r="E22387" s="3" t="s">
        <v>118</v>
      </c>
      <c r="F22387" s="7">
        <v>46176.96839460085</v>
      </c>
      <c r="G22387" s="3" t="s">
        <v>6976</v>
      </c>
    </row>
    <row r="22388">
      <c r="A22388" s="3" t="s">
        <v>38701</v>
      </c>
      <c r="B22388" s="3" t="s">
        <v>18570</v>
      </c>
      <c r="C22388" s="5" t="s">
        <v>614</v>
      </c>
      <c r="D22388" s="3" t="s">
        <v>206</v>
      </c>
      <c r="E22388" s="3" t="s">
        <v>100</v>
      </c>
      <c r="F22388" s="7">
        <v>46176.97186682308</v>
      </c>
      <c r="G22388" s="3" t="s">
        <v>6979</v>
      </c>
    </row>
    <row r="22389">
      <c r="A22389" s="3" t="s">
        <v>38702</v>
      </c>
      <c r="B22389" s="3" t="s">
        <v>18570</v>
      </c>
      <c r="C22389" s="5" t="s">
        <v>206</v>
      </c>
      <c r="D22389" s="3" t="s">
        <v>68</v>
      </c>
      <c r="E22389" s="3" t="s">
        <v>100</v>
      </c>
      <c r="F22389" s="7">
        <v>46176.9753390453</v>
      </c>
      <c r="G22389" s="3" t="s">
        <v>6982</v>
      </c>
    </row>
    <row r="22390">
      <c r="A22390" s="3" t="s">
        <v>38703</v>
      </c>
      <c r="B22390" s="3" t="s">
        <v>18574</v>
      </c>
      <c r="C22390" s="5" t="s">
        <v>45</v>
      </c>
      <c r="D22390" s="3" t="s">
        <v>221</v>
      </c>
      <c r="E22390" s="3" t="s">
        <v>151</v>
      </c>
      <c r="F22390" s="7">
        <v>46177.03609722405</v>
      </c>
      <c r="G22390" s="3" t="s">
        <v>30795</v>
      </c>
    </row>
    <row r="22391">
      <c r="A22391" s="3" t="s">
        <v>38704</v>
      </c>
      <c r="B22391" s="3" t="s">
        <v>18574</v>
      </c>
      <c r="C22391" s="5" t="s">
        <v>221</v>
      </c>
      <c r="D22391" s="3" t="s">
        <v>195</v>
      </c>
      <c r="E22391" s="3" t="s">
        <v>151</v>
      </c>
      <c r="F22391" s="7">
        <v>46177.03956944627</v>
      </c>
      <c r="G22391" s="3" t="s">
        <v>38705</v>
      </c>
    </row>
    <row r="22392">
      <c r="A22392" s="3" t="s">
        <v>38706</v>
      </c>
      <c r="B22392" s="3" t="s">
        <v>18577</v>
      </c>
      <c r="C22392" s="5" t="s">
        <v>45</v>
      </c>
      <c r="D22392" s="3" t="s">
        <v>221</v>
      </c>
      <c r="E22392" s="3" t="s">
        <v>226</v>
      </c>
      <c r="F22392" s="7">
        <v>46177.10727206946</v>
      </c>
      <c r="G22392" s="3" t="s">
        <v>21425</v>
      </c>
    </row>
    <row r="22393">
      <c r="A22393" s="3" t="s">
        <v>38707</v>
      </c>
      <c r="B22393" s="3" t="s">
        <v>18577</v>
      </c>
      <c r="C22393" s="5" t="s">
        <v>221</v>
      </c>
      <c r="D22393" s="3" t="s">
        <v>614</v>
      </c>
      <c r="E22393" s="3" t="s">
        <v>118</v>
      </c>
      <c r="F22393" s="7">
        <v>46177.11074429168</v>
      </c>
      <c r="G22393" s="3" t="s">
        <v>21428</v>
      </c>
    </row>
    <row r="22394">
      <c r="A22394" s="3" t="s">
        <v>38708</v>
      </c>
      <c r="B22394" s="3" t="s">
        <v>18577</v>
      </c>
      <c r="C22394" s="5" t="s">
        <v>614</v>
      </c>
      <c r="D22394" s="3" t="s">
        <v>206</v>
      </c>
      <c r="E22394" s="3" t="s">
        <v>100</v>
      </c>
      <c r="F22394" s="7">
        <v>46177.1142165139</v>
      </c>
      <c r="G22394" s="3" t="s">
        <v>21431</v>
      </c>
    </row>
    <row r="22395">
      <c r="A22395" s="3" t="s">
        <v>38709</v>
      </c>
      <c r="B22395" s="3" t="s">
        <v>18577</v>
      </c>
      <c r="C22395" s="5" t="s">
        <v>206</v>
      </c>
      <c r="D22395" s="3" t="s">
        <v>68</v>
      </c>
      <c r="E22395" s="3" t="s">
        <v>100</v>
      </c>
      <c r="F22395" s="7">
        <v>46177.11768873612</v>
      </c>
      <c r="G22395" s="3" t="s">
        <v>21434</v>
      </c>
    </row>
    <row r="22396">
      <c r="A22396" s="3" t="s">
        <v>38710</v>
      </c>
      <c r="B22396" s="3" t="s">
        <v>18580</v>
      </c>
      <c r="C22396" s="5" t="s">
        <v>45</v>
      </c>
      <c r="D22396" s="3" t="s">
        <v>221</v>
      </c>
      <c r="E22396" s="3" t="s">
        <v>619</v>
      </c>
      <c r="F22396" s="7">
        <v>46177.17844691488</v>
      </c>
      <c r="G22396" s="3" t="s">
        <v>4217</v>
      </c>
    </row>
    <row r="22397">
      <c r="A22397" s="3" t="s">
        <v>38711</v>
      </c>
      <c r="B22397" s="3" t="s">
        <v>18580</v>
      </c>
      <c r="C22397" s="5" t="s">
        <v>221</v>
      </c>
      <c r="D22397" s="3" t="s">
        <v>614</v>
      </c>
      <c r="E22397" s="3" t="s">
        <v>118</v>
      </c>
      <c r="F22397" s="7">
        <v>46177.181919137096</v>
      </c>
      <c r="G22397" s="3" t="s">
        <v>4220</v>
      </c>
    </row>
    <row r="22398">
      <c r="A22398" s="3" t="s">
        <v>38712</v>
      </c>
      <c r="B22398" s="3" t="s">
        <v>18580</v>
      </c>
      <c r="C22398" s="5" t="s">
        <v>614</v>
      </c>
      <c r="D22398" s="3" t="s">
        <v>206</v>
      </c>
      <c r="E22398" s="3" t="s">
        <v>100</v>
      </c>
      <c r="F22398" s="7">
        <v>46177.18539135932</v>
      </c>
      <c r="G22398" s="3" t="s">
        <v>4222</v>
      </c>
    </row>
    <row r="22399">
      <c r="A22399" s="3" t="s">
        <v>38713</v>
      </c>
      <c r="B22399" s="3" t="s">
        <v>18580</v>
      </c>
      <c r="C22399" s="5" t="s">
        <v>206</v>
      </c>
      <c r="D22399" s="3" t="s">
        <v>68</v>
      </c>
      <c r="E22399" s="3" t="s">
        <v>100</v>
      </c>
      <c r="F22399" s="7">
        <v>46177.18886358154</v>
      </c>
      <c r="G22399" s="3" t="s">
        <v>4225</v>
      </c>
    </row>
    <row r="22400">
      <c r="A22400" s="3" t="s">
        <v>38714</v>
      </c>
      <c r="B22400" s="3" t="s">
        <v>18583</v>
      </c>
      <c r="C22400" s="5" t="s">
        <v>45</v>
      </c>
      <c r="D22400" s="3" t="s">
        <v>221</v>
      </c>
      <c r="E22400" s="3" t="s">
        <v>204</v>
      </c>
      <c r="F22400" s="7">
        <v>46177.24962176029</v>
      </c>
      <c r="G22400" s="3" t="s">
        <v>4228</v>
      </c>
    </row>
    <row r="22401">
      <c r="A22401" s="3" t="s">
        <v>38715</v>
      </c>
      <c r="B22401" s="3" t="s">
        <v>18583</v>
      </c>
      <c r="C22401" s="5" t="s">
        <v>221</v>
      </c>
      <c r="D22401" s="3" t="s">
        <v>614</v>
      </c>
      <c r="E22401" s="3" t="s">
        <v>118</v>
      </c>
      <c r="F22401" s="7">
        <v>46177.25309398251</v>
      </c>
      <c r="G22401" s="3" t="s">
        <v>4231</v>
      </c>
    </row>
    <row r="22402">
      <c r="A22402" s="3" t="s">
        <v>38716</v>
      </c>
      <c r="B22402" s="3" t="s">
        <v>18583</v>
      </c>
      <c r="C22402" s="5" t="s">
        <v>614</v>
      </c>
      <c r="D22402" s="3" t="s">
        <v>206</v>
      </c>
      <c r="E22402" s="3" t="s">
        <v>100</v>
      </c>
      <c r="F22402" s="7">
        <v>46177.256566204735</v>
      </c>
      <c r="G22402" s="3" t="s">
        <v>4234</v>
      </c>
    </row>
    <row r="22403">
      <c r="A22403" s="3" t="s">
        <v>38717</v>
      </c>
      <c r="B22403" s="3" t="s">
        <v>18583</v>
      </c>
      <c r="C22403" s="5" t="s">
        <v>206</v>
      </c>
      <c r="D22403" s="3" t="s">
        <v>68</v>
      </c>
      <c r="E22403" s="3" t="s">
        <v>100</v>
      </c>
      <c r="F22403" s="7">
        <v>46177.26003842695</v>
      </c>
      <c r="G22403" s="3" t="s">
        <v>4237</v>
      </c>
    </row>
    <row r="22404">
      <c r="A22404" s="3" t="s">
        <v>38718</v>
      </c>
      <c r="B22404" s="3" t="s">
        <v>18585</v>
      </c>
      <c r="C22404" s="5" t="s">
        <v>45</v>
      </c>
      <c r="D22404" s="3" t="s">
        <v>221</v>
      </c>
      <c r="E22404" s="3" t="s">
        <v>652</v>
      </c>
      <c r="F22404" s="7">
        <v>46177.32079660571</v>
      </c>
      <c r="G22404" s="3" t="s">
        <v>4240</v>
      </c>
    </row>
    <row r="22405">
      <c r="A22405" s="3" t="s">
        <v>38719</v>
      </c>
      <c r="B22405" s="3" t="s">
        <v>18585</v>
      </c>
      <c r="C22405" s="5" t="s">
        <v>221</v>
      </c>
      <c r="D22405" s="3" t="s">
        <v>614</v>
      </c>
      <c r="E22405" s="3" t="s">
        <v>118</v>
      </c>
      <c r="F22405" s="7">
        <v>46177.32426882793</v>
      </c>
      <c r="G22405" s="3" t="s">
        <v>4243</v>
      </c>
    </row>
    <row r="22406">
      <c r="A22406" s="3" t="s">
        <v>38720</v>
      </c>
      <c r="B22406" s="3" t="s">
        <v>18585</v>
      </c>
      <c r="C22406" s="5" t="s">
        <v>614</v>
      </c>
      <c r="D22406" s="3" t="s">
        <v>206</v>
      </c>
      <c r="E22406" s="3" t="s">
        <v>100</v>
      </c>
      <c r="F22406" s="7">
        <v>46177.327741050154</v>
      </c>
      <c r="G22406" s="3" t="s">
        <v>4246</v>
      </c>
    </row>
    <row r="22407">
      <c r="A22407" s="3" t="s">
        <v>38721</v>
      </c>
      <c r="B22407" s="3" t="s">
        <v>18585</v>
      </c>
      <c r="C22407" s="5" t="s">
        <v>206</v>
      </c>
      <c r="D22407" s="3" t="s">
        <v>68</v>
      </c>
      <c r="E22407" s="3" t="s">
        <v>100</v>
      </c>
      <c r="F22407" s="7">
        <v>46177.33121327237</v>
      </c>
      <c r="G22407" s="3" t="s">
        <v>4249</v>
      </c>
    </row>
    <row r="22408">
      <c r="A22408" s="3" t="s">
        <v>38722</v>
      </c>
      <c r="B22408" s="3" t="s">
        <v>18588</v>
      </c>
      <c r="C22408" s="5" t="s">
        <v>45</v>
      </c>
      <c r="D22408" s="3" t="s">
        <v>221</v>
      </c>
      <c r="E22408" s="3" t="s">
        <v>629</v>
      </c>
      <c r="F22408" s="7">
        <v>46177.39197145112</v>
      </c>
      <c r="G22408" s="3" t="s">
        <v>16955</v>
      </c>
    </row>
    <row r="22409">
      <c r="A22409" s="3" t="s">
        <v>38723</v>
      </c>
      <c r="B22409" s="3" t="s">
        <v>18588</v>
      </c>
      <c r="C22409" s="5" t="s">
        <v>221</v>
      </c>
      <c r="D22409" s="3" t="s">
        <v>614</v>
      </c>
      <c r="E22409" s="3" t="s">
        <v>118</v>
      </c>
      <c r="F22409" s="7">
        <v>46177.39544367334</v>
      </c>
      <c r="G22409" s="3" t="s">
        <v>27739</v>
      </c>
    </row>
    <row r="22410">
      <c r="A22410" s="3" t="s">
        <v>38724</v>
      </c>
      <c r="B22410" s="3" t="s">
        <v>18588</v>
      </c>
      <c r="C22410" s="5" t="s">
        <v>614</v>
      </c>
      <c r="D22410" s="3" t="s">
        <v>206</v>
      </c>
      <c r="E22410" s="3" t="s">
        <v>100</v>
      </c>
      <c r="F22410" s="7">
        <v>46177.39891589557</v>
      </c>
      <c r="G22410" s="3" t="s">
        <v>27741</v>
      </c>
    </row>
    <row r="22411">
      <c r="A22411" s="3" t="s">
        <v>38725</v>
      </c>
      <c r="B22411" s="3" t="s">
        <v>18588</v>
      </c>
      <c r="C22411" s="5" t="s">
        <v>206</v>
      </c>
      <c r="D22411" s="3" t="s">
        <v>68</v>
      </c>
      <c r="E22411" s="3" t="s">
        <v>100</v>
      </c>
      <c r="F22411" s="7">
        <v>46177.402388117785</v>
      </c>
      <c r="G22411" s="3" t="s">
        <v>27743</v>
      </c>
    </row>
    <row r="22412">
      <c r="A22412" s="3" t="s">
        <v>38726</v>
      </c>
      <c r="B22412" s="3" t="s">
        <v>18590</v>
      </c>
      <c r="C22412" s="5" t="s">
        <v>45</v>
      </c>
      <c r="D22412" s="3" t="s">
        <v>221</v>
      </c>
      <c r="E22412" s="3" t="s">
        <v>601</v>
      </c>
      <c r="F22412" s="7">
        <v>46177.46314629654</v>
      </c>
      <c r="G22412" s="3" t="s">
        <v>10887</v>
      </c>
    </row>
    <row r="22413">
      <c r="A22413" s="3" t="s">
        <v>38727</v>
      </c>
      <c r="B22413" s="3" t="s">
        <v>18590</v>
      </c>
      <c r="C22413" s="5" t="s">
        <v>221</v>
      </c>
      <c r="D22413" s="3" t="s">
        <v>614</v>
      </c>
      <c r="E22413" s="3" t="s">
        <v>118</v>
      </c>
      <c r="F22413" s="7">
        <v>46177.46661851876</v>
      </c>
      <c r="G22413" s="3" t="s">
        <v>10890</v>
      </c>
    </row>
    <row r="22414">
      <c r="A22414" s="3" t="s">
        <v>38728</v>
      </c>
      <c r="B22414" s="3" t="s">
        <v>18590</v>
      </c>
      <c r="C22414" s="5" t="s">
        <v>614</v>
      </c>
      <c r="D22414" s="3" t="s">
        <v>206</v>
      </c>
      <c r="E22414" s="3" t="s">
        <v>100</v>
      </c>
      <c r="F22414" s="7">
        <v>46177.470090740986</v>
      </c>
      <c r="G22414" s="3" t="s">
        <v>10892</v>
      </c>
    </row>
    <row r="22415">
      <c r="A22415" s="3" t="s">
        <v>38729</v>
      </c>
      <c r="B22415" s="3" t="s">
        <v>18590</v>
      </c>
      <c r="C22415" s="5" t="s">
        <v>206</v>
      </c>
      <c r="D22415" s="3" t="s">
        <v>68</v>
      </c>
      <c r="E22415" s="3" t="s">
        <v>100</v>
      </c>
      <c r="F22415" s="7">
        <v>46177.473562963205</v>
      </c>
      <c r="G22415" s="3" t="s">
        <v>10895</v>
      </c>
    </row>
    <row r="22416">
      <c r="A22416" s="3" t="s">
        <v>38730</v>
      </c>
      <c r="B22416" s="3" t="s">
        <v>18593</v>
      </c>
      <c r="C22416" s="5" t="s">
        <v>45</v>
      </c>
      <c r="D22416" s="3" t="s">
        <v>221</v>
      </c>
      <c r="E22416" s="3" t="s">
        <v>785</v>
      </c>
      <c r="F22416" s="7">
        <v>46177.534321141946</v>
      </c>
      <c r="G22416" s="3" t="s">
        <v>14779</v>
      </c>
    </row>
    <row r="22417">
      <c r="A22417" s="3" t="s">
        <v>38731</v>
      </c>
      <c r="B22417" s="3" t="s">
        <v>18593</v>
      </c>
      <c r="C22417" s="5" t="s">
        <v>221</v>
      </c>
      <c r="D22417" s="3" t="s">
        <v>614</v>
      </c>
      <c r="E22417" s="3" t="s">
        <v>118</v>
      </c>
      <c r="F22417" s="7">
        <v>46177.537793364165</v>
      </c>
      <c r="G22417" s="3" t="s">
        <v>14782</v>
      </c>
    </row>
    <row r="22418">
      <c r="A22418" s="3" t="s">
        <v>38732</v>
      </c>
      <c r="B22418" s="3" t="s">
        <v>18593</v>
      </c>
      <c r="C22418" s="5" t="s">
        <v>614</v>
      </c>
      <c r="D22418" s="3" t="s">
        <v>206</v>
      </c>
      <c r="E22418" s="3" t="s">
        <v>100</v>
      </c>
      <c r="F22418" s="7">
        <v>46177.54126558639</v>
      </c>
      <c r="G22418" s="3" t="s">
        <v>14785</v>
      </c>
    </row>
    <row r="22419">
      <c r="A22419" s="3" t="s">
        <v>38733</v>
      </c>
      <c r="B22419" s="3" t="s">
        <v>18593</v>
      </c>
      <c r="C22419" s="5" t="s">
        <v>206</v>
      </c>
      <c r="D22419" s="3" t="s">
        <v>68</v>
      </c>
      <c r="E22419" s="3" t="s">
        <v>100</v>
      </c>
      <c r="F22419" s="7">
        <v>46177.54473780861</v>
      </c>
      <c r="G22419" s="3" t="s">
        <v>14787</v>
      </c>
    </row>
    <row r="22420">
      <c r="A22420" s="3" t="s">
        <v>38734</v>
      </c>
      <c r="B22420" s="3" t="s">
        <v>18596</v>
      </c>
      <c r="C22420" s="5" t="s">
        <v>45</v>
      </c>
      <c r="D22420" s="3" t="s">
        <v>221</v>
      </c>
      <c r="E22420" s="3" t="s">
        <v>230</v>
      </c>
      <c r="F22420" s="7">
        <v>46177.605495987365</v>
      </c>
      <c r="G22420" s="3" t="s">
        <v>28782</v>
      </c>
    </row>
    <row r="22421">
      <c r="A22421" s="3" t="s">
        <v>38735</v>
      </c>
      <c r="B22421" s="3" t="s">
        <v>18596</v>
      </c>
      <c r="C22421" s="5" t="s">
        <v>221</v>
      </c>
      <c r="D22421" s="3" t="s">
        <v>614</v>
      </c>
      <c r="E22421" s="3" t="s">
        <v>118</v>
      </c>
      <c r="F22421" s="7">
        <v>46177.608968209584</v>
      </c>
      <c r="G22421" s="3" t="s">
        <v>28784</v>
      </c>
    </row>
    <row r="22422">
      <c r="A22422" s="3" t="s">
        <v>38736</v>
      </c>
      <c r="B22422" s="3" t="s">
        <v>18596</v>
      </c>
      <c r="C22422" s="5" t="s">
        <v>614</v>
      </c>
      <c r="D22422" s="3" t="s">
        <v>206</v>
      </c>
      <c r="E22422" s="3" t="s">
        <v>100</v>
      </c>
      <c r="F22422" s="7">
        <v>46177.61244043181</v>
      </c>
      <c r="G22422" s="3" t="s">
        <v>28786</v>
      </c>
    </row>
    <row r="22423">
      <c r="A22423" s="3" t="s">
        <v>38737</v>
      </c>
      <c r="B22423" s="3" t="s">
        <v>18596</v>
      </c>
      <c r="C22423" s="5" t="s">
        <v>206</v>
      </c>
      <c r="D22423" s="3" t="s">
        <v>68</v>
      </c>
      <c r="E22423" s="3" t="s">
        <v>100</v>
      </c>
      <c r="F22423" s="7">
        <v>46177.61591265403</v>
      </c>
      <c r="G22423" s="3" t="s">
        <v>28788</v>
      </c>
    </row>
    <row r="22424">
      <c r="A22424" s="3" t="s">
        <v>38738</v>
      </c>
      <c r="B22424" s="3" t="s">
        <v>18600</v>
      </c>
      <c r="C22424" s="5" t="s">
        <v>45</v>
      </c>
      <c r="D22424" s="3" t="s">
        <v>221</v>
      </c>
      <c r="E22424" s="3" t="s">
        <v>475</v>
      </c>
      <c r="F22424" s="7">
        <v>46177.676670832785</v>
      </c>
      <c r="G22424" s="3" t="s">
        <v>4252</v>
      </c>
    </row>
    <row r="22425">
      <c r="A22425" s="3" t="s">
        <v>38739</v>
      </c>
      <c r="B22425" s="3" t="s">
        <v>18600</v>
      </c>
      <c r="C22425" s="5" t="s">
        <v>221</v>
      </c>
      <c r="D22425" s="3" t="s">
        <v>614</v>
      </c>
      <c r="E22425" s="3" t="s">
        <v>118</v>
      </c>
      <c r="F22425" s="7">
        <v>46177.680143055004</v>
      </c>
      <c r="G22425" s="3" t="s">
        <v>4255</v>
      </c>
    </row>
    <row r="22426">
      <c r="A22426" s="3" t="s">
        <v>38740</v>
      </c>
      <c r="B22426" s="3" t="s">
        <v>18600</v>
      </c>
      <c r="C22426" s="5" t="s">
        <v>614</v>
      </c>
      <c r="D22426" s="3" t="s">
        <v>206</v>
      </c>
      <c r="E22426" s="3" t="s">
        <v>100</v>
      </c>
      <c r="F22426" s="7">
        <v>46177.68361527723</v>
      </c>
      <c r="G22426" s="3" t="s">
        <v>4258</v>
      </c>
    </row>
    <row r="22427">
      <c r="A22427" s="3" t="s">
        <v>38741</v>
      </c>
      <c r="B22427" s="3" t="s">
        <v>18600</v>
      </c>
      <c r="C22427" s="5" t="s">
        <v>206</v>
      </c>
      <c r="D22427" s="3" t="s">
        <v>68</v>
      </c>
      <c r="E22427" s="3" t="s">
        <v>100</v>
      </c>
      <c r="F22427" s="7">
        <v>46177.68708749945</v>
      </c>
      <c r="G22427" s="3" t="s">
        <v>4261</v>
      </c>
    </row>
    <row r="22428">
      <c r="A22428" s="3" t="s">
        <v>38742</v>
      </c>
      <c r="B22428" s="3" t="s">
        <v>18603</v>
      </c>
      <c r="C22428" s="5" t="s">
        <v>45</v>
      </c>
      <c r="D22428" s="3" t="s">
        <v>221</v>
      </c>
      <c r="E22428" s="3" t="s">
        <v>789</v>
      </c>
      <c r="F22428" s="7">
        <v>46177.7478456782</v>
      </c>
      <c r="G22428" s="3" t="s">
        <v>38352</v>
      </c>
    </row>
    <row r="22429">
      <c r="A22429" s="3" t="s">
        <v>38743</v>
      </c>
      <c r="B22429" s="3" t="s">
        <v>18603</v>
      </c>
      <c r="C22429" s="5" t="s">
        <v>221</v>
      </c>
      <c r="D22429" s="3" t="s">
        <v>614</v>
      </c>
      <c r="E22429" s="3" t="s">
        <v>118</v>
      </c>
      <c r="F22429" s="7">
        <v>46177.751317900416</v>
      </c>
      <c r="G22429" s="3" t="s">
        <v>38354</v>
      </c>
    </row>
    <row r="22430">
      <c r="A22430" s="3" t="s">
        <v>38744</v>
      </c>
      <c r="B22430" s="3" t="s">
        <v>18603</v>
      </c>
      <c r="C22430" s="5" t="s">
        <v>614</v>
      </c>
      <c r="D22430" s="3" t="s">
        <v>206</v>
      </c>
      <c r="E22430" s="3" t="s">
        <v>100</v>
      </c>
      <c r="F22430" s="7">
        <v>46177.75479012264</v>
      </c>
      <c r="G22430" s="3" t="s">
        <v>38356</v>
      </c>
    </row>
    <row r="22431">
      <c r="A22431" s="3" t="s">
        <v>38745</v>
      </c>
      <c r="B22431" s="3" t="s">
        <v>18603</v>
      </c>
      <c r="C22431" s="5" t="s">
        <v>206</v>
      </c>
      <c r="D22431" s="3" t="s">
        <v>68</v>
      </c>
      <c r="E22431" s="3" t="s">
        <v>100</v>
      </c>
      <c r="F22431" s="7">
        <v>46177.75826234486</v>
      </c>
      <c r="G22431" s="3" t="s">
        <v>38358</v>
      </c>
    </row>
    <row r="22432">
      <c r="A22432" s="3" t="s">
        <v>38746</v>
      </c>
      <c r="B22432" s="3" t="s">
        <v>18605</v>
      </c>
      <c r="C22432" s="5" t="s">
        <v>45</v>
      </c>
      <c r="D22432" s="3" t="s">
        <v>221</v>
      </c>
      <c r="E22432" s="3" t="s">
        <v>233</v>
      </c>
      <c r="F22432" s="7">
        <v>46177.81902052361</v>
      </c>
      <c r="G22432" s="3" t="s">
        <v>19505</v>
      </c>
    </row>
    <row r="22433">
      <c r="A22433" s="3" t="s">
        <v>38747</v>
      </c>
      <c r="B22433" s="3" t="s">
        <v>18605</v>
      </c>
      <c r="C22433" s="5" t="s">
        <v>221</v>
      </c>
      <c r="D22433" s="3" t="s">
        <v>614</v>
      </c>
      <c r="E22433" s="3" t="s">
        <v>118</v>
      </c>
      <c r="F22433" s="7">
        <v>46177.82249274583</v>
      </c>
      <c r="G22433" s="3" t="s">
        <v>19507</v>
      </c>
    </row>
    <row r="22434">
      <c r="A22434" s="3" t="s">
        <v>38748</v>
      </c>
      <c r="B22434" s="3" t="s">
        <v>18605</v>
      </c>
      <c r="C22434" s="5" t="s">
        <v>614</v>
      </c>
      <c r="D22434" s="3" t="s">
        <v>206</v>
      </c>
      <c r="E22434" s="3" t="s">
        <v>100</v>
      </c>
      <c r="F22434" s="7">
        <v>46177.825964968055</v>
      </c>
      <c r="G22434" s="3" t="s">
        <v>19510</v>
      </c>
    </row>
    <row r="22435">
      <c r="A22435" s="3" t="s">
        <v>38749</v>
      </c>
      <c r="B22435" s="3" t="s">
        <v>18605</v>
      </c>
      <c r="C22435" s="5" t="s">
        <v>206</v>
      </c>
      <c r="D22435" s="3" t="s">
        <v>68</v>
      </c>
      <c r="E22435" s="3" t="s">
        <v>100</v>
      </c>
      <c r="F22435" s="7">
        <v>46177.829437190274</v>
      </c>
      <c r="G22435" s="3" t="s">
        <v>19513</v>
      </c>
    </row>
    <row r="22436">
      <c r="A22436" s="3" t="s">
        <v>38750</v>
      </c>
      <c r="B22436" s="3" t="s">
        <v>18607</v>
      </c>
      <c r="C22436" s="5" t="s">
        <v>45</v>
      </c>
      <c r="D22436" s="3" t="s">
        <v>221</v>
      </c>
      <c r="E22436" s="3" t="s">
        <v>239</v>
      </c>
      <c r="F22436" s="7">
        <v>46177.89019536903</v>
      </c>
      <c r="G22436" s="3" t="s">
        <v>12942</v>
      </c>
    </row>
    <row r="22437">
      <c r="A22437" s="3" t="s">
        <v>38751</v>
      </c>
      <c r="B22437" s="3" t="s">
        <v>18607</v>
      </c>
      <c r="C22437" s="5" t="s">
        <v>221</v>
      </c>
      <c r="D22437" s="3" t="s">
        <v>614</v>
      </c>
      <c r="E22437" s="3" t="s">
        <v>118</v>
      </c>
      <c r="F22437" s="7">
        <v>46177.89366759125</v>
      </c>
      <c r="G22437" s="3" t="s">
        <v>12946</v>
      </c>
    </row>
    <row r="22438">
      <c r="A22438" s="3" t="s">
        <v>38752</v>
      </c>
      <c r="B22438" s="3" t="s">
        <v>18607</v>
      </c>
      <c r="C22438" s="5" t="s">
        <v>614</v>
      </c>
      <c r="D22438" s="3" t="s">
        <v>206</v>
      </c>
      <c r="E22438" s="3" t="s">
        <v>100</v>
      </c>
      <c r="F22438" s="7">
        <v>46177.897139813474</v>
      </c>
      <c r="G22438" s="3" t="s">
        <v>12949</v>
      </c>
    </row>
    <row r="22439">
      <c r="A22439" s="3" t="s">
        <v>38753</v>
      </c>
      <c r="B22439" s="3" t="s">
        <v>18607</v>
      </c>
      <c r="C22439" s="5" t="s">
        <v>206</v>
      </c>
      <c r="D22439" s="3" t="s">
        <v>68</v>
      </c>
      <c r="E22439" s="3" t="s">
        <v>100</v>
      </c>
      <c r="F22439" s="7">
        <v>46177.90061203569</v>
      </c>
      <c r="G22439" s="3" t="s">
        <v>12952</v>
      </c>
    </row>
    <row r="22440">
      <c r="A22440" s="3" t="s">
        <v>38754</v>
      </c>
      <c r="B22440" s="3" t="s">
        <v>18609</v>
      </c>
      <c r="C22440" s="5" t="s">
        <v>45</v>
      </c>
      <c r="D22440" s="3" t="s">
        <v>221</v>
      </c>
      <c r="E22440" s="3" t="s">
        <v>380</v>
      </c>
      <c r="F22440" s="7">
        <v>46177.96137021444</v>
      </c>
      <c r="G22440" s="3" t="s">
        <v>18473</v>
      </c>
    </row>
    <row r="22441">
      <c r="A22441" s="3" t="s">
        <v>38755</v>
      </c>
      <c r="B22441" s="3" t="s">
        <v>18609</v>
      </c>
      <c r="C22441" s="5" t="s">
        <v>221</v>
      </c>
      <c r="D22441" s="3" t="s">
        <v>614</v>
      </c>
      <c r="E22441" s="3" t="s">
        <v>118</v>
      </c>
      <c r="F22441" s="7">
        <v>46177.96484243666</v>
      </c>
      <c r="G22441" s="3" t="s">
        <v>18476</v>
      </c>
    </row>
    <row r="22442">
      <c r="A22442" s="3" t="s">
        <v>38756</v>
      </c>
      <c r="B22442" s="3" t="s">
        <v>18609</v>
      </c>
      <c r="C22442" s="5" t="s">
        <v>614</v>
      </c>
      <c r="D22442" s="3" t="s">
        <v>206</v>
      </c>
      <c r="E22442" s="3" t="s">
        <v>100</v>
      </c>
      <c r="F22442" s="7">
        <v>46177.96831465889</v>
      </c>
      <c r="G22442" s="3" t="s">
        <v>18479</v>
      </c>
    </row>
    <row r="22443">
      <c r="A22443" s="3" t="s">
        <v>38757</v>
      </c>
      <c r="B22443" s="3" t="s">
        <v>18609</v>
      </c>
      <c r="C22443" s="5" t="s">
        <v>206</v>
      </c>
      <c r="D22443" s="3" t="s">
        <v>68</v>
      </c>
      <c r="E22443" s="3" t="s">
        <v>100</v>
      </c>
      <c r="F22443" s="7">
        <v>46177.971786881106</v>
      </c>
      <c r="G22443" s="3" t="s">
        <v>18482</v>
      </c>
    </row>
    <row r="22444">
      <c r="A22444" s="3" t="s">
        <v>38758</v>
      </c>
      <c r="B22444" s="3" t="s">
        <v>18613</v>
      </c>
      <c r="C22444" s="5" t="s">
        <v>45</v>
      </c>
      <c r="D22444" s="3" t="s">
        <v>221</v>
      </c>
      <c r="E22444" s="3" t="s">
        <v>1040</v>
      </c>
      <c r="F22444" s="7">
        <v>46178.032545059854</v>
      </c>
      <c r="G22444" s="3" t="s">
        <v>4264</v>
      </c>
    </row>
    <row r="22445">
      <c r="A22445" s="3" t="s">
        <v>38759</v>
      </c>
      <c r="B22445" s="3" t="s">
        <v>18613</v>
      </c>
      <c r="C22445" s="5" t="s">
        <v>221</v>
      </c>
      <c r="D22445" s="3" t="s">
        <v>614</v>
      </c>
      <c r="E22445" s="3" t="s">
        <v>118</v>
      </c>
      <c r="F22445" s="7">
        <v>46178.03601728207</v>
      </c>
      <c r="G22445" s="3" t="s">
        <v>4267</v>
      </c>
    </row>
    <row r="22446">
      <c r="A22446" s="3" t="s">
        <v>38760</v>
      </c>
      <c r="B22446" s="3" t="s">
        <v>18613</v>
      </c>
      <c r="C22446" s="5" t="s">
        <v>614</v>
      </c>
      <c r="D22446" s="3" t="s">
        <v>206</v>
      </c>
      <c r="E22446" s="3" t="s">
        <v>100</v>
      </c>
      <c r="F22446" s="7">
        <v>46178.0394895043</v>
      </c>
      <c r="G22446" s="3" t="s">
        <v>4270</v>
      </c>
    </row>
    <row r="22447">
      <c r="A22447" s="3" t="s">
        <v>38761</v>
      </c>
      <c r="B22447" s="3" t="s">
        <v>18613</v>
      </c>
      <c r="C22447" s="5" t="s">
        <v>206</v>
      </c>
      <c r="D22447" s="3" t="s">
        <v>68</v>
      </c>
      <c r="E22447" s="3" t="s">
        <v>100</v>
      </c>
      <c r="F22447" s="7">
        <v>46178.04296172652</v>
      </c>
      <c r="G22447" s="3" t="s">
        <v>4273</v>
      </c>
    </row>
    <row r="22448">
      <c r="A22448" s="3" t="s">
        <v>38762</v>
      </c>
      <c r="B22448" s="3" t="s">
        <v>18616</v>
      </c>
      <c r="C22448" s="5" t="s">
        <v>45</v>
      </c>
      <c r="D22448" s="3" t="s">
        <v>221</v>
      </c>
      <c r="E22448" s="3" t="s">
        <v>380</v>
      </c>
      <c r="F22448" s="7">
        <v>46178.10371990527</v>
      </c>
      <c r="G22448" s="3" t="s">
        <v>4276</v>
      </c>
    </row>
    <row r="22449">
      <c r="A22449" s="3" t="s">
        <v>38763</v>
      </c>
      <c r="B22449" s="3" t="s">
        <v>18616</v>
      </c>
      <c r="C22449" s="5" t="s">
        <v>221</v>
      </c>
      <c r="D22449" s="3" t="s">
        <v>614</v>
      </c>
      <c r="E22449" s="3" t="s">
        <v>118</v>
      </c>
      <c r="F22449" s="7">
        <v>46178.10719212749</v>
      </c>
      <c r="G22449" s="3" t="s">
        <v>4278</v>
      </c>
    </row>
    <row r="22450">
      <c r="A22450" s="3" t="s">
        <v>38764</v>
      </c>
      <c r="B22450" s="3" t="s">
        <v>18616</v>
      </c>
      <c r="C22450" s="5" t="s">
        <v>614</v>
      </c>
      <c r="D22450" s="3" t="s">
        <v>206</v>
      </c>
      <c r="E22450" s="3" t="s">
        <v>100</v>
      </c>
      <c r="F22450" s="7">
        <v>46178.11066434972</v>
      </c>
      <c r="G22450" s="3" t="s">
        <v>4281</v>
      </c>
    </row>
    <row r="22451">
      <c r="A22451" s="3" t="s">
        <v>38765</v>
      </c>
      <c r="B22451" s="3" t="s">
        <v>18616</v>
      </c>
      <c r="C22451" s="5" t="s">
        <v>206</v>
      </c>
      <c r="D22451" s="3" t="s">
        <v>68</v>
      </c>
      <c r="E22451" s="3" t="s">
        <v>100</v>
      </c>
      <c r="F22451" s="7">
        <v>46178.11413657194</v>
      </c>
      <c r="G22451" s="3" t="s">
        <v>4284</v>
      </c>
    </row>
    <row r="22452">
      <c r="A22452" s="3" t="s">
        <v>38766</v>
      </c>
      <c r="B22452" s="3" t="s">
        <v>18620</v>
      </c>
      <c r="C22452" s="5" t="s">
        <v>45</v>
      </c>
      <c r="D22452" s="3" t="s">
        <v>221</v>
      </c>
      <c r="E22452" s="3" t="s">
        <v>819</v>
      </c>
      <c r="F22452" s="7">
        <v>46178.17489475069</v>
      </c>
      <c r="G22452" s="3" t="s">
        <v>22189</v>
      </c>
    </row>
    <row r="22453">
      <c r="A22453" s="3" t="s">
        <v>38767</v>
      </c>
      <c r="B22453" s="3" t="s">
        <v>18620</v>
      </c>
      <c r="C22453" s="5" t="s">
        <v>221</v>
      </c>
      <c r="D22453" s="3" t="s">
        <v>614</v>
      </c>
      <c r="E22453" s="3" t="s">
        <v>118</v>
      </c>
      <c r="F22453" s="7">
        <v>46178.17836697291</v>
      </c>
      <c r="G22453" s="3" t="s">
        <v>22192</v>
      </c>
    </row>
    <row r="22454">
      <c r="A22454" s="3" t="s">
        <v>38768</v>
      </c>
      <c r="B22454" s="3" t="s">
        <v>18620</v>
      </c>
      <c r="C22454" s="5" t="s">
        <v>614</v>
      </c>
      <c r="D22454" s="3" t="s">
        <v>206</v>
      </c>
      <c r="E22454" s="3" t="s">
        <v>100</v>
      </c>
      <c r="F22454" s="7">
        <v>46178.18183919514</v>
      </c>
      <c r="G22454" s="3" t="s">
        <v>22195</v>
      </c>
    </row>
    <row r="22455">
      <c r="A22455" s="3" t="s">
        <v>38769</v>
      </c>
      <c r="B22455" s="3" t="s">
        <v>18620</v>
      </c>
      <c r="C22455" s="5" t="s">
        <v>206</v>
      </c>
      <c r="D22455" s="3" t="s">
        <v>68</v>
      </c>
      <c r="E22455" s="3" t="s">
        <v>100</v>
      </c>
      <c r="F22455" s="7">
        <v>46178.18531141736</v>
      </c>
      <c r="G22455" s="3" t="s">
        <v>22198</v>
      </c>
    </row>
    <row r="22456">
      <c r="A22456" s="3" t="s">
        <v>38770</v>
      </c>
      <c r="B22456" s="3" t="s">
        <v>18623</v>
      </c>
      <c r="C22456" s="5" t="s">
        <v>45</v>
      </c>
      <c r="D22456" s="3" t="s">
        <v>221</v>
      </c>
      <c r="E22456" s="3" t="s">
        <v>742</v>
      </c>
      <c r="F22456" s="7">
        <v>46178.2460695961</v>
      </c>
      <c r="G22456" s="3" t="s">
        <v>4307</v>
      </c>
    </row>
    <row r="22457">
      <c r="A22457" s="3" t="s">
        <v>38771</v>
      </c>
      <c r="B22457" s="3" t="s">
        <v>18623</v>
      </c>
      <c r="C22457" s="5" t="s">
        <v>221</v>
      </c>
      <c r="D22457" s="3" t="s">
        <v>614</v>
      </c>
      <c r="E22457" s="3" t="s">
        <v>118</v>
      </c>
      <c r="F22457" s="7">
        <v>46178.24954181832</v>
      </c>
      <c r="G22457" s="3" t="s">
        <v>4310</v>
      </c>
    </row>
    <row r="22458">
      <c r="A22458" s="3" t="s">
        <v>38772</v>
      </c>
      <c r="B22458" s="3" t="s">
        <v>18623</v>
      </c>
      <c r="C22458" s="5" t="s">
        <v>614</v>
      </c>
      <c r="D22458" s="3" t="s">
        <v>206</v>
      </c>
      <c r="E22458" s="3" t="s">
        <v>100</v>
      </c>
      <c r="F22458" s="7">
        <v>46178.25301404054</v>
      </c>
      <c r="G22458" s="3" t="s">
        <v>4313</v>
      </c>
    </row>
    <row r="22459">
      <c r="A22459" s="3" t="s">
        <v>38773</v>
      </c>
      <c r="B22459" s="3" t="s">
        <v>18623</v>
      </c>
      <c r="C22459" s="5" t="s">
        <v>206</v>
      </c>
      <c r="D22459" s="3" t="s">
        <v>68</v>
      </c>
      <c r="E22459" s="3" t="s">
        <v>100</v>
      </c>
      <c r="F22459" s="7">
        <v>46178.25648626276</v>
      </c>
      <c r="G22459" s="3" t="s">
        <v>4315</v>
      </c>
    </row>
    <row r="22460">
      <c r="A22460" s="3" t="s">
        <v>38774</v>
      </c>
      <c r="B22460" s="3" t="s">
        <v>18627</v>
      </c>
      <c r="C22460" s="5" t="s">
        <v>45</v>
      </c>
      <c r="D22460" s="3" t="s">
        <v>221</v>
      </c>
      <c r="E22460" s="3" t="s">
        <v>269</v>
      </c>
      <c r="F22460" s="7">
        <v>46178.31724444152</v>
      </c>
      <c r="G22460" s="3" t="s">
        <v>4318</v>
      </c>
    </row>
    <row r="22461">
      <c r="A22461" s="3" t="s">
        <v>38775</v>
      </c>
      <c r="B22461" s="3" t="s">
        <v>18627</v>
      </c>
      <c r="C22461" s="5" t="s">
        <v>221</v>
      </c>
      <c r="D22461" s="3" t="s">
        <v>614</v>
      </c>
      <c r="E22461" s="3" t="s">
        <v>118</v>
      </c>
      <c r="F22461" s="7">
        <v>46178.32071666374</v>
      </c>
      <c r="G22461" s="3" t="s">
        <v>4321</v>
      </c>
    </row>
    <row r="22462">
      <c r="A22462" s="3" t="s">
        <v>38776</v>
      </c>
      <c r="B22462" s="3" t="s">
        <v>18627</v>
      </c>
      <c r="C22462" s="5" t="s">
        <v>614</v>
      </c>
      <c r="D22462" s="3" t="s">
        <v>206</v>
      </c>
      <c r="E22462" s="3" t="s">
        <v>100</v>
      </c>
      <c r="F22462" s="7">
        <v>46178.32418888596</v>
      </c>
      <c r="G22462" s="3" t="s">
        <v>4324</v>
      </c>
    </row>
    <row r="22463">
      <c r="A22463" s="3" t="s">
        <v>38777</v>
      </c>
      <c r="B22463" s="3" t="s">
        <v>18627</v>
      </c>
      <c r="C22463" s="5" t="s">
        <v>206</v>
      </c>
      <c r="D22463" s="3" t="s">
        <v>68</v>
      </c>
      <c r="E22463" s="3" t="s">
        <v>100</v>
      </c>
      <c r="F22463" s="7">
        <v>46178.32766110818</v>
      </c>
      <c r="G22463" s="3" t="s">
        <v>4327</v>
      </c>
    </row>
    <row r="22464">
      <c r="A22464" s="3" t="s">
        <v>38778</v>
      </c>
      <c r="B22464" s="3" t="s">
        <v>18631</v>
      </c>
      <c r="C22464" s="5" t="s">
        <v>45</v>
      </c>
      <c r="D22464" s="3" t="s">
        <v>221</v>
      </c>
      <c r="E22464" s="3" t="s">
        <v>631</v>
      </c>
      <c r="F22464" s="7">
        <v>46178.38841928694</v>
      </c>
      <c r="G22464" s="3" t="s">
        <v>4193</v>
      </c>
    </row>
    <row r="22465">
      <c r="A22465" s="3" t="s">
        <v>38779</v>
      </c>
      <c r="B22465" s="3" t="s">
        <v>18631</v>
      </c>
      <c r="C22465" s="5" t="s">
        <v>221</v>
      </c>
      <c r="D22465" s="3" t="s">
        <v>614</v>
      </c>
      <c r="E22465" s="3" t="s">
        <v>118</v>
      </c>
      <c r="F22465" s="7">
        <v>46178.391891509156</v>
      </c>
      <c r="G22465" s="3" t="s">
        <v>4196</v>
      </c>
    </row>
    <row r="22466">
      <c r="A22466" s="3" t="s">
        <v>38780</v>
      </c>
      <c r="B22466" s="3" t="s">
        <v>18631</v>
      </c>
      <c r="C22466" s="5" t="s">
        <v>614</v>
      </c>
      <c r="D22466" s="3" t="s">
        <v>206</v>
      </c>
      <c r="E22466" s="3" t="s">
        <v>100</v>
      </c>
      <c r="F22466" s="7">
        <v>46178.39536373138</v>
      </c>
      <c r="G22466" s="3" t="s">
        <v>4199</v>
      </c>
    </row>
    <row r="22467">
      <c r="A22467" s="3" t="s">
        <v>38781</v>
      </c>
      <c r="B22467" s="3" t="s">
        <v>18631</v>
      </c>
      <c r="C22467" s="5" t="s">
        <v>206</v>
      </c>
      <c r="D22467" s="3" t="s">
        <v>68</v>
      </c>
      <c r="E22467" s="3" t="s">
        <v>100</v>
      </c>
      <c r="F22467" s="7">
        <v>46178.3988359536</v>
      </c>
      <c r="G22467" s="3" t="s">
        <v>4202</v>
      </c>
    </row>
    <row r="22468">
      <c r="A22468" s="3" t="s">
        <v>38782</v>
      </c>
      <c r="B22468" s="3" t="s">
        <v>18633</v>
      </c>
      <c r="C22468" s="5" t="s">
        <v>45</v>
      </c>
      <c r="D22468" s="3" t="s">
        <v>221</v>
      </c>
      <c r="E22468" s="3" t="s">
        <v>485</v>
      </c>
      <c r="F22468" s="7">
        <v>46178.45959413235</v>
      </c>
      <c r="G22468" s="3" t="s">
        <v>4364</v>
      </c>
    </row>
    <row r="22469">
      <c r="A22469" s="3" t="s">
        <v>38783</v>
      </c>
      <c r="B22469" s="3" t="s">
        <v>18633</v>
      </c>
      <c r="C22469" s="5" t="s">
        <v>221</v>
      </c>
      <c r="D22469" s="3" t="s">
        <v>614</v>
      </c>
      <c r="E22469" s="3" t="s">
        <v>118</v>
      </c>
      <c r="F22469" s="7">
        <v>46178.46306635457</v>
      </c>
      <c r="G22469" s="3" t="s">
        <v>4367</v>
      </c>
    </row>
    <row r="22470">
      <c r="A22470" s="3" t="s">
        <v>38784</v>
      </c>
      <c r="B22470" s="3" t="s">
        <v>18633</v>
      </c>
      <c r="C22470" s="5" t="s">
        <v>614</v>
      </c>
      <c r="D22470" s="3" t="s">
        <v>206</v>
      </c>
      <c r="E22470" s="3" t="s">
        <v>100</v>
      </c>
      <c r="F22470" s="7">
        <v>46178.466538576795</v>
      </c>
      <c r="G22470" s="3" t="s">
        <v>4370</v>
      </c>
    </row>
    <row r="22471">
      <c r="A22471" s="3" t="s">
        <v>38785</v>
      </c>
      <c r="B22471" s="3" t="s">
        <v>18633</v>
      </c>
      <c r="C22471" s="5" t="s">
        <v>206</v>
      </c>
      <c r="D22471" s="3" t="s">
        <v>68</v>
      </c>
      <c r="E22471" s="3" t="s">
        <v>100</v>
      </c>
      <c r="F22471" s="7">
        <v>46178.470010799014</v>
      </c>
      <c r="G22471" s="3" t="s">
        <v>4373</v>
      </c>
    </row>
    <row r="22472">
      <c r="A22472" s="3" t="s">
        <v>38786</v>
      </c>
      <c r="B22472" s="3" t="s">
        <v>18635</v>
      </c>
      <c r="C22472" s="5" t="s">
        <v>45</v>
      </c>
      <c r="D22472" s="3" t="s">
        <v>221</v>
      </c>
      <c r="E22472" s="3" t="s">
        <v>348</v>
      </c>
      <c r="F22472" s="7">
        <v>46178.53076897776</v>
      </c>
      <c r="G22472" s="3" t="s">
        <v>29510</v>
      </c>
    </row>
    <row r="22473">
      <c r="A22473" s="3" t="s">
        <v>38787</v>
      </c>
      <c r="B22473" s="3" t="s">
        <v>18635</v>
      </c>
      <c r="C22473" s="5" t="s">
        <v>221</v>
      </c>
      <c r="D22473" s="3" t="s">
        <v>614</v>
      </c>
      <c r="E22473" s="3" t="s">
        <v>118</v>
      </c>
      <c r="F22473" s="7">
        <v>46178.53424119998</v>
      </c>
      <c r="G22473" s="3" t="s">
        <v>31608</v>
      </c>
    </row>
    <row r="22474">
      <c r="A22474" s="3" t="s">
        <v>38788</v>
      </c>
      <c r="B22474" s="3" t="s">
        <v>18635</v>
      </c>
      <c r="C22474" s="5" t="s">
        <v>614</v>
      </c>
      <c r="D22474" s="3" t="s">
        <v>206</v>
      </c>
      <c r="E22474" s="3" t="s">
        <v>100</v>
      </c>
      <c r="F22474" s="7">
        <v>46178.53771342221</v>
      </c>
      <c r="G22474" s="3" t="s">
        <v>31610</v>
      </c>
    </row>
    <row r="22475">
      <c r="A22475" s="3" t="s">
        <v>38789</v>
      </c>
      <c r="B22475" s="3" t="s">
        <v>18635</v>
      </c>
      <c r="C22475" s="5" t="s">
        <v>206</v>
      </c>
      <c r="D22475" s="3" t="s">
        <v>68</v>
      </c>
      <c r="E22475" s="3" t="s">
        <v>100</v>
      </c>
      <c r="F22475" s="7">
        <v>46178.541185644426</v>
      </c>
      <c r="G22475" s="3" t="s">
        <v>31612</v>
      </c>
    </row>
    <row r="22476">
      <c r="A22476" s="3" t="s">
        <v>38790</v>
      </c>
      <c r="B22476" s="3" t="s">
        <v>18639</v>
      </c>
      <c r="C22476" s="5" t="s">
        <v>45</v>
      </c>
      <c r="D22476" s="3" t="s">
        <v>221</v>
      </c>
      <c r="E22476" s="3" t="s">
        <v>682</v>
      </c>
      <c r="F22476" s="7">
        <v>46178.60194382318</v>
      </c>
      <c r="G22476" s="3" t="s">
        <v>4394</v>
      </c>
    </row>
    <row r="22477">
      <c r="A22477" s="3" t="s">
        <v>38791</v>
      </c>
      <c r="B22477" s="3" t="s">
        <v>18639</v>
      </c>
      <c r="C22477" s="5" t="s">
        <v>221</v>
      </c>
      <c r="D22477" s="3" t="s">
        <v>614</v>
      </c>
      <c r="E22477" s="3" t="s">
        <v>118</v>
      </c>
      <c r="F22477" s="7">
        <v>46178.6054160454</v>
      </c>
      <c r="G22477" s="3" t="s">
        <v>4397</v>
      </c>
    </row>
    <row r="22478">
      <c r="A22478" s="3" t="s">
        <v>38792</v>
      </c>
      <c r="B22478" s="3" t="s">
        <v>18639</v>
      </c>
      <c r="C22478" s="5" t="s">
        <v>614</v>
      </c>
      <c r="D22478" s="3" t="s">
        <v>206</v>
      </c>
      <c r="E22478" s="3" t="s">
        <v>100</v>
      </c>
      <c r="F22478" s="7">
        <v>46178.60888826763</v>
      </c>
      <c r="G22478" s="3" t="s">
        <v>4400</v>
      </c>
    </row>
    <row r="22479">
      <c r="A22479" s="3" t="s">
        <v>38793</v>
      </c>
      <c r="B22479" s="3" t="s">
        <v>18639</v>
      </c>
      <c r="C22479" s="5" t="s">
        <v>206</v>
      </c>
      <c r="D22479" s="3" t="s">
        <v>68</v>
      </c>
      <c r="E22479" s="3" t="s">
        <v>100</v>
      </c>
      <c r="F22479" s="7">
        <v>46178.612360489846</v>
      </c>
      <c r="G22479" s="3" t="s">
        <v>4403</v>
      </c>
    </row>
    <row r="22480">
      <c r="A22480" s="3" t="s">
        <v>38794</v>
      </c>
      <c r="B22480" s="3" t="s">
        <v>18643</v>
      </c>
      <c r="C22480" s="5" t="s">
        <v>45</v>
      </c>
      <c r="D22480" s="3" t="s">
        <v>221</v>
      </c>
      <c r="E22480" s="3" t="s">
        <v>600</v>
      </c>
      <c r="F22480" s="7">
        <v>46178.673118668594</v>
      </c>
      <c r="G22480" s="3" t="s">
        <v>29555</v>
      </c>
    </row>
    <row r="22481">
      <c r="A22481" s="3" t="s">
        <v>38795</v>
      </c>
      <c r="B22481" s="3" t="s">
        <v>18643</v>
      </c>
      <c r="C22481" s="5" t="s">
        <v>221</v>
      </c>
      <c r="D22481" s="3" t="s">
        <v>614</v>
      </c>
      <c r="E22481" s="3" t="s">
        <v>118</v>
      </c>
      <c r="F22481" s="7">
        <v>46178.67659089081</v>
      </c>
      <c r="G22481" s="3" t="s">
        <v>29557</v>
      </c>
    </row>
    <row r="22482">
      <c r="A22482" s="3" t="s">
        <v>38796</v>
      </c>
      <c r="B22482" s="3" t="s">
        <v>18643</v>
      </c>
      <c r="C22482" s="5" t="s">
        <v>614</v>
      </c>
      <c r="D22482" s="3" t="s">
        <v>206</v>
      </c>
      <c r="E22482" s="3" t="s">
        <v>100</v>
      </c>
      <c r="F22482" s="7">
        <v>46178.68006311304</v>
      </c>
      <c r="G22482" s="3" t="s">
        <v>29559</v>
      </c>
    </row>
    <row r="22483">
      <c r="A22483" s="3" t="s">
        <v>38797</v>
      </c>
      <c r="B22483" s="3" t="s">
        <v>18643</v>
      </c>
      <c r="C22483" s="5" t="s">
        <v>206</v>
      </c>
      <c r="D22483" s="3" t="s">
        <v>68</v>
      </c>
      <c r="E22483" s="3" t="s">
        <v>100</v>
      </c>
      <c r="F22483" s="7">
        <v>46178.68353533526</v>
      </c>
      <c r="G22483" s="3" t="s">
        <v>29561</v>
      </c>
    </row>
    <row r="22484">
      <c r="A22484" s="3" t="s">
        <v>38798</v>
      </c>
      <c r="B22484" s="3" t="s">
        <v>18646</v>
      </c>
      <c r="C22484" s="5" t="s">
        <v>45</v>
      </c>
      <c r="D22484" s="3" t="s">
        <v>221</v>
      </c>
      <c r="E22484" s="3" t="s">
        <v>366</v>
      </c>
      <c r="F22484" s="7">
        <v>46178.744293514006</v>
      </c>
      <c r="G22484" s="3" t="s">
        <v>7447</v>
      </c>
    </row>
    <row r="22485">
      <c r="A22485" s="3" t="s">
        <v>38799</v>
      </c>
      <c r="B22485" s="3" t="s">
        <v>18646</v>
      </c>
      <c r="C22485" s="5" t="s">
        <v>221</v>
      </c>
      <c r="D22485" s="3" t="s">
        <v>614</v>
      </c>
      <c r="E22485" s="3" t="s">
        <v>118</v>
      </c>
      <c r="F22485" s="7">
        <v>46178.747765736225</v>
      </c>
      <c r="G22485" s="3" t="s">
        <v>7450</v>
      </c>
    </row>
    <row r="22486">
      <c r="A22486" s="3" t="s">
        <v>38800</v>
      </c>
      <c r="B22486" s="3" t="s">
        <v>18646</v>
      </c>
      <c r="C22486" s="5" t="s">
        <v>614</v>
      </c>
      <c r="D22486" s="3" t="s">
        <v>206</v>
      </c>
      <c r="E22486" s="3" t="s">
        <v>100</v>
      </c>
      <c r="F22486" s="7">
        <v>46178.75123795845</v>
      </c>
      <c r="G22486" s="3" t="s">
        <v>7453</v>
      </c>
    </row>
    <row r="22487">
      <c r="A22487" s="3" t="s">
        <v>38801</v>
      </c>
      <c r="B22487" s="3" t="s">
        <v>18646</v>
      </c>
      <c r="C22487" s="5" t="s">
        <v>206</v>
      </c>
      <c r="D22487" s="3" t="s">
        <v>68</v>
      </c>
      <c r="E22487" s="3" t="s">
        <v>100</v>
      </c>
      <c r="F22487" s="7">
        <v>46178.75471018067</v>
      </c>
      <c r="G22487" s="3" t="s">
        <v>7456</v>
      </c>
    </row>
    <row r="22488">
      <c r="A22488" s="3" t="s">
        <v>38802</v>
      </c>
      <c r="B22488" s="3" t="s">
        <v>18648</v>
      </c>
      <c r="C22488" s="5" t="s">
        <v>45</v>
      </c>
      <c r="D22488" s="3" t="s">
        <v>221</v>
      </c>
      <c r="E22488" s="3" t="s">
        <v>593</v>
      </c>
      <c r="F22488" s="7">
        <v>46178.815468359426</v>
      </c>
      <c r="G22488" s="3" t="s">
        <v>4406</v>
      </c>
    </row>
    <row r="22489">
      <c r="A22489" s="3" t="s">
        <v>38803</v>
      </c>
      <c r="B22489" s="3" t="s">
        <v>18648</v>
      </c>
      <c r="C22489" s="5" t="s">
        <v>221</v>
      </c>
      <c r="D22489" s="3" t="s">
        <v>614</v>
      </c>
      <c r="E22489" s="3" t="s">
        <v>118</v>
      </c>
      <c r="F22489" s="7">
        <v>46178.818940581645</v>
      </c>
      <c r="G22489" s="3" t="s">
        <v>4409</v>
      </c>
    </row>
    <row r="22490">
      <c r="A22490" s="3" t="s">
        <v>38804</v>
      </c>
      <c r="B22490" s="3" t="s">
        <v>18648</v>
      </c>
      <c r="C22490" s="5" t="s">
        <v>614</v>
      </c>
      <c r="D22490" s="3" t="s">
        <v>206</v>
      </c>
      <c r="E22490" s="3" t="s">
        <v>100</v>
      </c>
      <c r="F22490" s="7">
        <v>46178.82241280387</v>
      </c>
      <c r="G22490" s="3" t="s">
        <v>4412</v>
      </c>
    </row>
    <row r="22491">
      <c r="A22491" s="3" t="s">
        <v>38805</v>
      </c>
      <c r="B22491" s="3" t="s">
        <v>18648</v>
      </c>
      <c r="C22491" s="5" t="s">
        <v>206</v>
      </c>
      <c r="D22491" s="3" t="s">
        <v>68</v>
      </c>
      <c r="E22491" s="3" t="s">
        <v>100</v>
      </c>
      <c r="F22491" s="7">
        <v>46178.82588502609</v>
      </c>
      <c r="G22491" s="3" t="s">
        <v>4415</v>
      </c>
    </row>
    <row r="22492">
      <c r="A22492" s="3" t="s">
        <v>38806</v>
      </c>
      <c r="B22492" s="3" t="s">
        <v>18650</v>
      </c>
      <c r="C22492" s="5" t="s">
        <v>45</v>
      </c>
      <c r="D22492" s="3" t="s">
        <v>221</v>
      </c>
      <c r="E22492" s="3" t="s">
        <v>870</v>
      </c>
      <c r="F22492" s="7">
        <v>46178.88664320484</v>
      </c>
      <c r="G22492" s="3" t="s">
        <v>18901</v>
      </c>
    </row>
    <row r="22493">
      <c r="A22493" s="3" t="s">
        <v>38807</v>
      </c>
      <c r="B22493" s="3" t="s">
        <v>18650</v>
      </c>
      <c r="C22493" s="5" t="s">
        <v>221</v>
      </c>
      <c r="D22493" s="3" t="s">
        <v>614</v>
      </c>
      <c r="E22493" s="3" t="s">
        <v>118</v>
      </c>
      <c r="F22493" s="7">
        <v>46178.89011542706</v>
      </c>
      <c r="G22493" s="3" t="s">
        <v>19258</v>
      </c>
    </row>
    <row r="22494">
      <c r="A22494" s="3" t="s">
        <v>38808</v>
      </c>
      <c r="B22494" s="3" t="s">
        <v>18650</v>
      </c>
      <c r="C22494" s="5" t="s">
        <v>614</v>
      </c>
      <c r="D22494" s="3" t="s">
        <v>206</v>
      </c>
      <c r="E22494" s="3" t="s">
        <v>100</v>
      </c>
      <c r="F22494" s="7">
        <v>46178.89358764928</v>
      </c>
      <c r="G22494" s="3" t="s">
        <v>19261</v>
      </c>
    </row>
    <row r="22495">
      <c r="A22495" s="3" t="s">
        <v>38809</v>
      </c>
      <c r="B22495" s="3" t="s">
        <v>18650</v>
      </c>
      <c r="C22495" s="5" t="s">
        <v>206</v>
      </c>
      <c r="D22495" s="3" t="s">
        <v>68</v>
      </c>
      <c r="E22495" s="3" t="s">
        <v>100</v>
      </c>
      <c r="F22495" s="7">
        <v>46178.8970598715</v>
      </c>
      <c r="G22495" s="3" t="s">
        <v>19264</v>
      </c>
    </row>
    <row r="22496">
      <c r="A22496" s="3" t="s">
        <v>38810</v>
      </c>
      <c r="B22496" s="3" t="s">
        <v>18653</v>
      </c>
      <c r="C22496" s="5" t="s">
        <v>45</v>
      </c>
      <c r="D22496" s="3" t="s">
        <v>221</v>
      </c>
      <c r="E22496" s="3" t="s">
        <v>939</v>
      </c>
      <c r="F22496" s="7">
        <v>46178.95781805025</v>
      </c>
      <c r="G22496" s="3" t="s">
        <v>13032</v>
      </c>
    </row>
    <row r="22497">
      <c r="A22497" s="3" t="s">
        <v>38811</v>
      </c>
      <c r="B22497" s="3" t="s">
        <v>18653</v>
      </c>
      <c r="C22497" s="5" t="s">
        <v>221</v>
      </c>
      <c r="D22497" s="3" t="s">
        <v>614</v>
      </c>
      <c r="E22497" s="3" t="s">
        <v>118</v>
      </c>
      <c r="F22497" s="7">
        <v>46178.96129027247</v>
      </c>
      <c r="G22497" s="3" t="s">
        <v>26882</v>
      </c>
    </row>
    <row r="22498">
      <c r="A22498" s="3" t="s">
        <v>38812</v>
      </c>
      <c r="B22498" s="3" t="s">
        <v>18653</v>
      </c>
      <c r="C22498" s="5" t="s">
        <v>614</v>
      </c>
      <c r="D22498" s="3" t="s">
        <v>206</v>
      </c>
      <c r="E22498" s="3" t="s">
        <v>100</v>
      </c>
      <c r="F22498" s="7">
        <v>46178.964762494696</v>
      </c>
      <c r="G22498" s="3" t="s">
        <v>26884</v>
      </c>
    </row>
    <row r="22499">
      <c r="A22499" s="3" t="s">
        <v>38813</v>
      </c>
      <c r="B22499" s="3" t="s">
        <v>18653</v>
      </c>
      <c r="C22499" s="5" t="s">
        <v>206</v>
      </c>
      <c r="D22499" s="3" t="s">
        <v>68</v>
      </c>
      <c r="E22499" s="3" t="s">
        <v>100</v>
      </c>
      <c r="F22499" s="7">
        <v>46178.968234716915</v>
      </c>
      <c r="G22499" s="3" t="s">
        <v>26886</v>
      </c>
    </row>
    <row r="22500">
      <c r="A22500" s="3" t="s">
        <v>38814</v>
      </c>
      <c r="B22500" s="3" t="s">
        <v>18656</v>
      </c>
      <c r="C22500" s="5" t="s">
        <v>45</v>
      </c>
      <c r="D22500" s="3" t="s">
        <v>221</v>
      </c>
      <c r="E22500" s="3" t="s">
        <v>1040</v>
      </c>
      <c r="F22500" s="7">
        <v>46179.02899289567</v>
      </c>
      <c r="G22500" s="3" t="s">
        <v>4658</v>
      </c>
    </row>
    <row r="22501">
      <c r="A22501" s="3" t="s">
        <v>38815</v>
      </c>
      <c r="B22501" s="3" t="s">
        <v>18656</v>
      </c>
      <c r="C22501" s="5" t="s">
        <v>221</v>
      </c>
      <c r="D22501" s="3" t="s">
        <v>614</v>
      </c>
      <c r="E22501" s="3" t="s">
        <v>118</v>
      </c>
      <c r="F22501" s="7">
        <v>46179.03246511789</v>
      </c>
      <c r="G22501" s="3" t="s">
        <v>4661</v>
      </c>
    </row>
    <row r="22502">
      <c r="A22502" s="3" t="s">
        <v>38816</v>
      </c>
      <c r="B22502" s="3" t="s">
        <v>18656</v>
      </c>
      <c r="C22502" s="5" t="s">
        <v>614</v>
      </c>
      <c r="D22502" s="3" t="s">
        <v>206</v>
      </c>
      <c r="E22502" s="3" t="s">
        <v>100</v>
      </c>
      <c r="F22502" s="7">
        <v>46179.035937340115</v>
      </c>
      <c r="G22502" s="3" t="s">
        <v>4664</v>
      </c>
    </row>
    <row r="22503">
      <c r="A22503" s="3" t="s">
        <v>38817</v>
      </c>
      <c r="B22503" s="3" t="s">
        <v>18656</v>
      </c>
      <c r="C22503" s="5" t="s">
        <v>206</v>
      </c>
      <c r="D22503" s="3" t="s">
        <v>68</v>
      </c>
      <c r="E22503" s="3" t="s">
        <v>100</v>
      </c>
      <c r="F22503" s="7">
        <v>46179.039409562334</v>
      </c>
      <c r="G22503" s="3" t="s">
        <v>4667</v>
      </c>
    </row>
    <row r="22504">
      <c r="A22504" s="3" t="s">
        <v>38818</v>
      </c>
      <c r="B22504" s="3" t="s">
        <v>18659</v>
      </c>
      <c r="C22504" s="5" t="s">
        <v>45</v>
      </c>
      <c r="D22504" s="3" t="s">
        <v>221</v>
      </c>
      <c r="E22504" s="3" t="s">
        <v>488</v>
      </c>
      <c r="F22504" s="7">
        <v>46179.10016774108</v>
      </c>
      <c r="G22504" s="3" t="s">
        <v>21743</v>
      </c>
    </row>
    <row r="22505">
      <c r="A22505" s="3" t="s">
        <v>38819</v>
      </c>
      <c r="B22505" s="3" t="s">
        <v>18659</v>
      </c>
      <c r="C22505" s="5" t="s">
        <v>221</v>
      </c>
      <c r="D22505" s="3" t="s">
        <v>614</v>
      </c>
      <c r="E22505" s="3" t="s">
        <v>118</v>
      </c>
      <c r="F22505" s="7">
        <v>46179.1036399633</v>
      </c>
      <c r="G22505" s="3" t="s">
        <v>21746</v>
      </c>
    </row>
    <row r="22506">
      <c r="A22506" s="3" t="s">
        <v>38820</v>
      </c>
      <c r="B22506" s="3" t="s">
        <v>18659</v>
      </c>
      <c r="C22506" s="5" t="s">
        <v>614</v>
      </c>
      <c r="D22506" s="3" t="s">
        <v>206</v>
      </c>
      <c r="E22506" s="3" t="s">
        <v>100</v>
      </c>
      <c r="F22506" s="7">
        <v>46179.10711218553</v>
      </c>
      <c r="G22506" s="3" t="s">
        <v>21749</v>
      </c>
    </row>
    <row r="22507">
      <c r="A22507" s="3" t="s">
        <v>38821</v>
      </c>
      <c r="B22507" s="3" t="s">
        <v>18659</v>
      </c>
      <c r="C22507" s="5" t="s">
        <v>206</v>
      </c>
      <c r="D22507" s="3" t="s">
        <v>68</v>
      </c>
      <c r="E22507" s="3" t="s">
        <v>100</v>
      </c>
      <c r="F22507" s="7">
        <v>46179.11058440775</v>
      </c>
      <c r="G22507" s="3" t="s">
        <v>21752</v>
      </c>
    </row>
    <row r="22508">
      <c r="A22508" s="3" t="s">
        <v>38822</v>
      </c>
      <c r="B22508" s="3" t="s">
        <v>18662</v>
      </c>
      <c r="C22508" s="5" t="s">
        <v>45</v>
      </c>
      <c r="D22508" s="3" t="s">
        <v>221</v>
      </c>
      <c r="E22508" s="3" t="s">
        <v>922</v>
      </c>
      <c r="F22508" s="7">
        <v>46179.171342586495</v>
      </c>
      <c r="G22508" s="3" t="s">
        <v>15629</v>
      </c>
    </row>
    <row r="22509">
      <c r="A22509" s="3" t="s">
        <v>38823</v>
      </c>
      <c r="B22509" s="3" t="s">
        <v>18662</v>
      </c>
      <c r="C22509" s="5" t="s">
        <v>221</v>
      </c>
      <c r="D22509" s="3" t="s">
        <v>614</v>
      </c>
      <c r="E22509" s="3" t="s">
        <v>118</v>
      </c>
      <c r="F22509" s="7">
        <v>46179.17481480871</v>
      </c>
      <c r="G22509" s="3" t="s">
        <v>15632</v>
      </c>
    </row>
    <row r="22510">
      <c r="A22510" s="3" t="s">
        <v>38824</v>
      </c>
      <c r="B22510" s="3" t="s">
        <v>18662</v>
      </c>
      <c r="C22510" s="5" t="s">
        <v>614</v>
      </c>
      <c r="D22510" s="3" t="s">
        <v>206</v>
      </c>
      <c r="E22510" s="3" t="s">
        <v>100</v>
      </c>
      <c r="F22510" s="7">
        <v>46179.17828703094</v>
      </c>
      <c r="G22510" s="3" t="s">
        <v>15634</v>
      </c>
    </row>
    <row r="22511">
      <c r="A22511" s="3" t="s">
        <v>38825</v>
      </c>
      <c r="B22511" s="3" t="s">
        <v>18662</v>
      </c>
      <c r="C22511" s="5" t="s">
        <v>206</v>
      </c>
      <c r="D22511" s="3" t="s">
        <v>68</v>
      </c>
      <c r="E22511" s="3" t="s">
        <v>100</v>
      </c>
      <c r="F22511" s="7">
        <v>46179.18175925316</v>
      </c>
      <c r="G22511" s="3" t="s">
        <v>15637</v>
      </c>
    </row>
    <row r="22512">
      <c r="A22512" s="3" t="s">
        <v>38826</v>
      </c>
      <c r="B22512" s="3" t="s">
        <v>18665</v>
      </c>
      <c r="C22512" s="5" t="s">
        <v>45</v>
      </c>
      <c r="D22512" s="3" t="s">
        <v>221</v>
      </c>
      <c r="E22512" s="3" t="s">
        <v>302</v>
      </c>
      <c r="F22512" s="7">
        <v>46179.242517431914</v>
      </c>
      <c r="G22512" s="3" t="s">
        <v>3655</v>
      </c>
    </row>
    <row r="22513">
      <c r="A22513" s="3" t="s">
        <v>38827</v>
      </c>
      <c r="B22513" s="3" t="s">
        <v>18665</v>
      </c>
      <c r="C22513" s="5" t="s">
        <v>221</v>
      </c>
      <c r="D22513" s="3" t="s">
        <v>614</v>
      </c>
      <c r="E22513" s="3" t="s">
        <v>118</v>
      </c>
      <c r="F22513" s="7">
        <v>46179.24598965413</v>
      </c>
      <c r="G22513" s="3" t="s">
        <v>3658</v>
      </c>
    </row>
    <row r="22514">
      <c r="A22514" s="3" t="s">
        <v>38828</v>
      </c>
      <c r="B22514" s="3" t="s">
        <v>18665</v>
      </c>
      <c r="C22514" s="5" t="s">
        <v>614</v>
      </c>
      <c r="D22514" s="3" t="s">
        <v>206</v>
      </c>
      <c r="E22514" s="3" t="s">
        <v>100</v>
      </c>
      <c r="F22514" s="7">
        <v>46179.24946187636</v>
      </c>
      <c r="G22514" s="3" t="s">
        <v>3661</v>
      </c>
    </row>
    <row r="22515">
      <c r="A22515" s="3" t="s">
        <v>38829</v>
      </c>
      <c r="B22515" s="3" t="s">
        <v>18665</v>
      </c>
      <c r="C22515" s="5" t="s">
        <v>206</v>
      </c>
      <c r="D22515" s="3" t="s">
        <v>68</v>
      </c>
      <c r="E22515" s="3" t="s">
        <v>100</v>
      </c>
      <c r="F22515" s="7">
        <v>46179.25293409858</v>
      </c>
      <c r="G22515" s="3" t="s">
        <v>3664</v>
      </c>
    </row>
    <row r="22516">
      <c r="A22516" s="3" t="s">
        <v>38830</v>
      </c>
      <c r="B22516" s="3" t="s">
        <v>18667</v>
      </c>
      <c r="C22516" s="5" t="s">
        <v>45</v>
      </c>
      <c r="D22516" s="3" t="s">
        <v>221</v>
      </c>
      <c r="E22516" s="3" t="s">
        <v>239</v>
      </c>
      <c r="F22516" s="7">
        <v>46179.313692277334</v>
      </c>
      <c r="G22516" s="3" t="s">
        <v>4418</v>
      </c>
    </row>
    <row r="22517">
      <c r="A22517" s="3" t="s">
        <v>38831</v>
      </c>
      <c r="B22517" s="3" t="s">
        <v>18667</v>
      </c>
      <c r="C22517" s="5" t="s">
        <v>221</v>
      </c>
      <c r="D22517" s="3" t="s">
        <v>614</v>
      </c>
      <c r="E22517" s="3" t="s">
        <v>118</v>
      </c>
      <c r="F22517" s="7">
        <v>46179.31716449955</v>
      </c>
      <c r="G22517" s="3" t="s">
        <v>4421</v>
      </c>
    </row>
    <row r="22518">
      <c r="A22518" s="3" t="s">
        <v>38832</v>
      </c>
      <c r="B22518" s="3" t="s">
        <v>18667</v>
      </c>
      <c r="C22518" s="5" t="s">
        <v>614</v>
      </c>
      <c r="D22518" s="3" t="s">
        <v>206</v>
      </c>
      <c r="E22518" s="3" t="s">
        <v>100</v>
      </c>
      <c r="F22518" s="7">
        <v>46179.32063672178</v>
      </c>
      <c r="G22518" s="3" t="s">
        <v>4424</v>
      </c>
    </row>
    <row r="22519">
      <c r="A22519" s="3" t="s">
        <v>38833</v>
      </c>
      <c r="B22519" s="3" t="s">
        <v>18667</v>
      </c>
      <c r="C22519" s="5" t="s">
        <v>206</v>
      </c>
      <c r="D22519" s="3" t="s">
        <v>68</v>
      </c>
      <c r="E22519" s="3" t="s">
        <v>100</v>
      </c>
      <c r="F22519" s="7">
        <v>46179.324108944</v>
      </c>
      <c r="G22519" s="3" t="s">
        <v>4427</v>
      </c>
    </row>
    <row r="22520">
      <c r="A22520" s="3" t="s">
        <v>38834</v>
      </c>
      <c r="B22520" s="3" t="s">
        <v>18669</v>
      </c>
      <c r="C22520" s="5" t="s">
        <v>45</v>
      </c>
      <c r="D22520" s="3" t="s">
        <v>221</v>
      </c>
      <c r="E22520" s="3" t="s">
        <v>830</v>
      </c>
      <c r="F22520" s="7">
        <v>46179.38486712274</v>
      </c>
      <c r="G22520" s="3" t="s">
        <v>21641</v>
      </c>
    </row>
    <row r="22521">
      <c r="A22521" s="3" t="s">
        <v>38835</v>
      </c>
      <c r="B22521" s="3" t="s">
        <v>18669</v>
      </c>
      <c r="C22521" s="5" t="s">
        <v>221</v>
      </c>
      <c r="D22521" s="3" t="s">
        <v>614</v>
      </c>
      <c r="E22521" s="3" t="s">
        <v>118</v>
      </c>
      <c r="F22521" s="7">
        <v>46179.38833934496</v>
      </c>
      <c r="G22521" s="3" t="s">
        <v>31498</v>
      </c>
    </row>
    <row r="22522">
      <c r="A22522" s="3" t="s">
        <v>38836</v>
      </c>
      <c r="B22522" s="3" t="s">
        <v>18669</v>
      </c>
      <c r="C22522" s="5" t="s">
        <v>614</v>
      </c>
      <c r="D22522" s="3" t="s">
        <v>206</v>
      </c>
      <c r="E22522" s="3" t="s">
        <v>100</v>
      </c>
      <c r="F22522" s="7">
        <v>46179.391811567184</v>
      </c>
      <c r="G22522" s="3" t="s">
        <v>31500</v>
      </c>
    </row>
    <row r="22523">
      <c r="A22523" s="3" t="s">
        <v>38837</v>
      </c>
      <c r="B22523" s="3" t="s">
        <v>18669</v>
      </c>
      <c r="C22523" s="5" t="s">
        <v>206</v>
      </c>
      <c r="D22523" s="3" t="s">
        <v>68</v>
      </c>
      <c r="E22523" s="3" t="s">
        <v>100</v>
      </c>
      <c r="F22523" s="7">
        <v>46179.3952837894</v>
      </c>
      <c r="G22523" s="3" t="s">
        <v>31502</v>
      </c>
    </row>
    <row r="22524">
      <c r="A22524" s="3" t="s">
        <v>38838</v>
      </c>
      <c r="B22524" s="3" t="s">
        <v>18672</v>
      </c>
      <c r="C22524" s="5" t="s">
        <v>45</v>
      </c>
      <c r="D22524" s="3" t="s">
        <v>221</v>
      </c>
      <c r="E22524" s="3" t="s">
        <v>296</v>
      </c>
      <c r="F22524" s="7">
        <v>46179.45604196816</v>
      </c>
      <c r="G22524" s="3" t="s">
        <v>18572</v>
      </c>
    </row>
    <row r="22525">
      <c r="A22525" s="3" t="s">
        <v>38839</v>
      </c>
      <c r="B22525" s="3" t="s">
        <v>18672</v>
      </c>
      <c r="C22525" s="5" t="s">
        <v>221</v>
      </c>
      <c r="D22525" s="3" t="s">
        <v>181</v>
      </c>
      <c r="E22525" s="3" t="s">
        <v>118</v>
      </c>
      <c r="F22525" s="7">
        <v>46179.45951419038</v>
      </c>
      <c r="G22525" s="3" t="s">
        <v>38840</v>
      </c>
    </row>
    <row r="22526">
      <c r="A22526" s="3" t="s">
        <v>38841</v>
      </c>
      <c r="B22526" s="3" t="s">
        <v>18673</v>
      </c>
      <c r="C22526" s="5" t="s">
        <v>45</v>
      </c>
      <c r="D22526" s="3" t="s">
        <v>221</v>
      </c>
      <c r="E22526" s="3" t="s">
        <v>366</v>
      </c>
      <c r="F22526" s="7">
        <v>46179.52721681358</v>
      </c>
      <c r="G22526" s="3" t="s">
        <v>7447</v>
      </c>
    </row>
    <row r="22527">
      <c r="A22527" s="3" t="s">
        <v>38842</v>
      </c>
      <c r="B22527" s="3" t="s">
        <v>18673</v>
      </c>
      <c r="C22527" s="5" t="s">
        <v>221</v>
      </c>
      <c r="D22527" s="3" t="s">
        <v>614</v>
      </c>
      <c r="E22527" s="3" t="s">
        <v>118</v>
      </c>
      <c r="F22527" s="7">
        <v>46179.5306890358</v>
      </c>
      <c r="G22527" s="3" t="s">
        <v>7450</v>
      </c>
    </row>
    <row r="22528">
      <c r="A22528" s="3" t="s">
        <v>38843</v>
      </c>
      <c r="B22528" s="3" t="s">
        <v>18673</v>
      </c>
      <c r="C22528" s="5" t="s">
        <v>614</v>
      </c>
      <c r="D22528" s="3" t="s">
        <v>206</v>
      </c>
      <c r="E22528" s="3" t="s">
        <v>100</v>
      </c>
      <c r="F22528" s="7">
        <v>46179.53416125802</v>
      </c>
      <c r="G22528" s="3" t="s">
        <v>7453</v>
      </c>
    </row>
    <row r="22529">
      <c r="A22529" s="3" t="s">
        <v>38844</v>
      </c>
      <c r="B22529" s="3" t="s">
        <v>18673</v>
      </c>
      <c r="C22529" s="5" t="s">
        <v>206</v>
      </c>
      <c r="D22529" s="3" t="s">
        <v>68</v>
      </c>
      <c r="E22529" s="3" t="s">
        <v>100</v>
      </c>
      <c r="F22529" s="7">
        <v>46179.53763348024</v>
      </c>
      <c r="G22529" s="3" t="s">
        <v>7456</v>
      </c>
    </row>
    <row r="22530">
      <c r="A22530" s="3" t="s">
        <v>38845</v>
      </c>
      <c r="B22530" s="3" t="s">
        <v>18675</v>
      </c>
      <c r="C22530" s="5" t="s">
        <v>45</v>
      </c>
      <c r="D22530" s="3" t="s">
        <v>221</v>
      </c>
      <c r="E22530" s="3" t="s">
        <v>544</v>
      </c>
      <c r="F22530" s="7">
        <v>46179.59839165899</v>
      </c>
      <c r="G22530" s="3" t="s">
        <v>8097</v>
      </c>
    </row>
    <row r="22531">
      <c r="A22531" s="3" t="s">
        <v>38846</v>
      </c>
      <c r="B22531" s="3" t="s">
        <v>18675</v>
      </c>
      <c r="C22531" s="5" t="s">
        <v>221</v>
      </c>
      <c r="D22531" s="3" t="s">
        <v>181</v>
      </c>
      <c r="E22531" s="3" t="s">
        <v>118</v>
      </c>
      <c r="F22531" s="7">
        <v>46179.60186388121</v>
      </c>
      <c r="G22531" s="3" t="s">
        <v>38847</v>
      </c>
    </row>
    <row r="22532">
      <c r="A22532" s="3" t="s">
        <v>38848</v>
      </c>
      <c r="B22532" s="3" t="s">
        <v>18678</v>
      </c>
      <c r="C22532" s="5" t="s">
        <v>45</v>
      </c>
      <c r="D22532" s="3" t="s">
        <v>221</v>
      </c>
      <c r="E22532" s="3" t="s">
        <v>643</v>
      </c>
      <c r="F22532" s="7">
        <v>46179.6695665044</v>
      </c>
      <c r="G22532" s="3" t="s">
        <v>10975</v>
      </c>
    </row>
    <row r="22533">
      <c r="A22533" s="3" t="s">
        <v>38849</v>
      </c>
      <c r="B22533" s="3" t="s">
        <v>18678</v>
      </c>
      <c r="C22533" s="5" t="s">
        <v>221</v>
      </c>
      <c r="D22533" s="3" t="s">
        <v>181</v>
      </c>
      <c r="E22533" s="3" t="s">
        <v>118</v>
      </c>
      <c r="F22533" s="7">
        <v>46179.67303872662</v>
      </c>
      <c r="G22533" s="3" t="s">
        <v>11837</v>
      </c>
    </row>
    <row r="22534">
      <c r="A22534" s="3" t="s">
        <v>38850</v>
      </c>
      <c r="B22534" s="3" t="s">
        <v>18681</v>
      </c>
      <c r="C22534" s="5" t="s">
        <v>45</v>
      </c>
      <c r="D22534" s="3" t="s">
        <v>221</v>
      </c>
      <c r="E22534" s="3" t="s">
        <v>280</v>
      </c>
      <c r="F22534" s="7">
        <v>46179.74074134982</v>
      </c>
      <c r="G22534" s="3" t="s">
        <v>25287</v>
      </c>
    </row>
    <row r="22535">
      <c r="A22535" s="3" t="s">
        <v>38851</v>
      </c>
      <c r="B22535" s="3" t="s">
        <v>18681</v>
      </c>
      <c r="C22535" s="5" t="s">
        <v>221</v>
      </c>
      <c r="D22535" s="3" t="s">
        <v>614</v>
      </c>
      <c r="E22535" s="3" t="s">
        <v>118</v>
      </c>
      <c r="F22535" s="7">
        <v>46179.74421357204</v>
      </c>
      <c r="G22535" s="3" t="s">
        <v>25289</v>
      </c>
    </row>
    <row r="22536">
      <c r="A22536" s="3" t="s">
        <v>38852</v>
      </c>
      <c r="B22536" s="3" t="s">
        <v>18681</v>
      </c>
      <c r="C22536" s="5" t="s">
        <v>614</v>
      </c>
      <c r="D22536" s="3" t="s">
        <v>206</v>
      </c>
      <c r="E22536" s="3" t="s">
        <v>100</v>
      </c>
      <c r="F22536" s="7">
        <v>46179.74768579427</v>
      </c>
      <c r="G22536" s="3" t="s">
        <v>25291</v>
      </c>
    </row>
    <row r="22537">
      <c r="A22537" s="3" t="s">
        <v>38853</v>
      </c>
      <c r="B22537" s="3" t="s">
        <v>18681</v>
      </c>
      <c r="C22537" s="5" t="s">
        <v>206</v>
      </c>
      <c r="D22537" s="3" t="s">
        <v>68</v>
      </c>
      <c r="E22537" s="3" t="s">
        <v>100</v>
      </c>
      <c r="F22537" s="7">
        <v>46179.75115801649</v>
      </c>
      <c r="G22537" s="3" t="s">
        <v>25293</v>
      </c>
    </row>
    <row r="22538">
      <c r="A22538" s="3" t="s">
        <v>38854</v>
      </c>
      <c r="B22538" s="3" t="s">
        <v>18685</v>
      </c>
      <c r="C22538" s="5" t="s">
        <v>45</v>
      </c>
      <c r="D22538" s="3" t="s">
        <v>221</v>
      </c>
      <c r="E22538" s="3" t="s">
        <v>619</v>
      </c>
      <c r="F22538" s="7">
        <v>46179.811916195235</v>
      </c>
      <c r="G22538" s="3" t="s">
        <v>22282</v>
      </c>
    </row>
    <row r="22539">
      <c r="A22539" s="3" t="s">
        <v>38855</v>
      </c>
      <c r="B22539" s="3" t="s">
        <v>18685</v>
      </c>
      <c r="C22539" s="5" t="s">
        <v>221</v>
      </c>
      <c r="D22539" s="3" t="s">
        <v>614</v>
      </c>
      <c r="E22539" s="3" t="s">
        <v>118</v>
      </c>
      <c r="F22539" s="7">
        <v>46179.81538841745</v>
      </c>
      <c r="G22539" s="3" t="s">
        <v>22285</v>
      </c>
    </row>
    <row r="22540">
      <c r="A22540" s="3" t="s">
        <v>38856</v>
      </c>
      <c r="B22540" s="3" t="s">
        <v>18685</v>
      </c>
      <c r="C22540" s="5" t="s">
        <v>614</v>
      </c>
      <c r="D22540" s="3" t="s">
        <v>206</v>
      </c>
      <c r="E22540" s="3" t="s">
        <v>100</v>
      </c>
      <c r="F22540" s="7">
        <v>46179.81886063968</v>
      </c>
      <c r="G22540" s="3" t="s">
        <v>22288</v>
      </c>
    </row>
    <row r="22541">
      <c r="A22541" s="3" t="s">
        <v>38857</v>
      </c>
      <c r="B22541" s="3" t="s">
        <v>18685</v>
      </c>
      <c r="C22541" s="5" t="s">
        <v>206</v>
      </c>
      <c r="D22541" s="3" t="s">
        <v>68</v>
      </c>
      <c r="E22541" s="3" t="s">
        <v>100</v>
      </c>
      <c r="F22541" s="7">
        <v>46179.8223328619</v>
      </c>
      <c r="G22541" s="3" t="s">
        <v>22291</v>
      </c>
    </row>
    <row r="22542">
      <c r="A22542" s="3" t="s">
        <v>38858</v>
      </c>
      <c r="B22542" s="3" t="s">
        <v>18689</v>
      </c>
      <c r="C22542" s="5" t="s">
        <v>45</v>
      </c>
      <c r="D22542" s="3" t="s">
        <v>221</v>
      </c>
      <c r="E22542" s="3" t="s">
        <v>785</v>
      </c>
      <c r="F22542" s="7">
        <v>46179.88309104065</v>
      </c>
      <c r="G22542" s="3" t="s">
        <v>14779</v>
      </c>
    </row>
    <row r="22543">
      <c r="A22543" s="3" t="s">
        <v>38859</v>
      </c>
      <c r="B22543" s="3" t="s">
        <v>18689</v>
      </c>
      <c r="C22543" s="5" t="s">
        <v>221</v>
      </c>
      <c r="D22543" s="3" t="s">
        <v>614</v>
      </c>
      <c r="E22543" s="3" t="s">
        <v>118</v>
      </c>
      <c r="F22543" s="7">
        <v>46179.886563262866</v>
      </c>
      <c r="G22543" s="3" t="s">
        <v>14782</v>
      </c>
    </row>
    <row r="22544">
      <c r="A22544" s="3" t="s">
        <v>38860</v>
      </c>
      <c r="B22544" s="3" t="s">
        <v>18689</v>
      </c>
      <c r="C22544" s="5" t="s">
        <v>614</v>
      </c>
      <c r="D22544" s="3" t="s">
        <v>206</v>
      </c>
      <c r="E22544" s="3" t="s">
        <v>100</v>
      </c>
      <c r="F22544" s="7">
        <v>46179.89003548509</v>
      </c>
      <c r="G22544" s="3" t="s">
        <v>14785</v>
      </c>
    </row>
    <row r="22545">
      <c r="A22545" s="3" t="s">
        <v>38861</v>
      </c>
      <c r="B22545" s="3" t="s">
        <v>18689</v>
      </c>
      <c r="C22545" s="5" t="s">
        <v>206</v>
      </c>
      <c r="D22545" s="3" t="s">
        <v>68</v>
      </c>
      <c r="E22545" s="3" t="s">
        <v>100</v>
      </c>
      <c r="F22545" s="7">
        <v>46179.89350770731</v>
      </c>
      <c r="G22545" s="3" t="s">
        <v>14787</v>
      </c>
    </row>
    <row r="22546">
      <c r="A22546" s="3" t="s">
        <v>38862</v>
      </c>
      <c r="B22546" s="3" t="s">
        <v>18691</v>
      </c>
      <c r="C22546" s="5" t="s">
        <v>45</v>
      </c>
      <c r="D22546" s="3" t="s">
        <v>221</v>
      </c>
      <c r="E22546" s="3" t="s">
        <v>183</v>
      </c>
      <c r="F22546" s="7">
        <v>46179.95426588607</v>
      </c>
      <c r="G22546" s="3" t="s">
        <v>7627</v>
      </c>
    </row>
    <row r="22547">
      <c r="A22547" s="3" t="s">
        <v>38863</v>
      </c>
      <c r="B22547" s="3" t="s">
        <v>18691</v>
      </c>
      <c r="C22547" s="5" t="s">
        <v>221</v>
      </c>
      <c r="D22547" s="3" t="s">
        <v>614</v>
      </c>
      <c r="E22547" s="3" t="s">
        <v>118</v>
      </c>
      <c r="F22547" s="7">
        <v>46179.957738108285</v>
      </c>
      <c r="G22547" s="3" t="s">
        <v>8929</v>
      </c>
    </row>
    <row r="22548">
      <c r="A22548" s="3" t="s">
        <v>38864</v>
      </c>
      <c r="B22548" s="3" t="s">
        <v>18691</v>
      </c>
      <c r="C22548" s="5" t="s">
        <v>614</v>
      </c>
      <c r="D22548" s="3" t="s">
        <v>206</v>
      </c>
      <c r="E22548" s="3" t="s">
        <v>100</v>
      </c>
      <c r="F22548" s="7">
        <v>46179.96121033051</v>
      </c>
      <c r="G22548" s="3" t="s">
        <v>8932</v>
      </c>
    </row>
    <row r="22549">
      <c r="A22549" s="3" t="s">
        <v>38865</v>
      </c>
      <c r="B22549" s="3" t="s">
        <v>18691</v>
      </c>
      <c r="C22549" s="5" t="s">
        <v>206</v>
      </c>
      <c r="D22549" s="3" t="s">
        <v>68</v>
      </c>
      <c r="E22549" s="3" t="s">
        <v>100</v>
      </c>
      <c r="F22549" s="7">
        <v>46179.96468255273</v>
      </c>
      <c r="G22549" s="3" t="s">
        <v>8935</v>
      </c>
    </row>
    <row r="22550">
      <c r="A22550" s="3" t="s">
        <v>38866</v>
      </c>
      <c r="B22550" s="3" t="s">
        <v>18693</v>
      </c>
      <c r="C22550" s="5" t="s">
        <v>45</v>
      </c>
      <c r="D22550" s="3" t="s">
        <v>221</v>
      </c>
      <c r="E22550" s="3" t="s">
        <v>612</v>
      </c>
      <c r="F22550" s="7">
        <v>46180.025440731486</v>
      </c>
      <c r="G22550" s="3" t="s">
        <v>20187</v>
      </c>
    </row>
    <row r="22551">
      <c r="A22551" s="3" t="s">
        <v>38867</v>
      </c>
      <c r="B22551" s="3" t="s">
        <v>18693</v>
      </c>
      <c r="C22551" s="5" t="s">
        <v>221</v>
      </c>
      <c r="D22551" s="3" t="s">
        <v>614</v>
      </c>
      <c r="E22551" s="3" t="s">
        <v>118</v>
      </c>
      <c r="F22551" s="7">
        <v>46180.028912953705</v>
      </c>
      <c r="G22551" s="3" t="s">
        <v>20190</v>
      </c>
    </row>
    <row r="22552">
      <c r="A22552" s="3" t="s">
        <v>38868</v>
      </c>
      <c r="B22552" s="3" t="s">
        <v>18693</v>
      </c>
      <c r="C22552" s="5" t="s">
        <v>614</v>
      </c>
      <c r="D22552" s="3" t="s">
        <v>206</v>
      </c>
      <c r="E22552" s="3" t="s">
        <v>100</v>
      </c>
      <c r="F22552" s="7">
        <v>46180.03238517593</v>
      </c>
      <c r="G22552" s="3" t="s">
        <v>20193</v>
      </c>
    </row>
    <row r="22553">
      <c r="A22553" s="3" t="s">
        <v>38869</v>
      </c>
      <c r="B22553" s="3" t="s">
        <v>18693</v>
      </c>
      <c r="C22553" s="5" t="s">
        <v>206</v>
      </c>
      <c r="D22553" s="3" t="s">
        <v>68</v>
      </c>
      <c r="E22553" s="3" t="s">
        <v>100</v>
      </c>
      <c r="F22553" s="7">
        <v>46180.03585739815</v>
      </c>
      <c r="G22553" s="3" t="s">
        <v>20196</v>
      </c>
    </row>
    <row r="22554">
      <c r="A22554" s="3" t="s">
        <v>38870</v>
      </c>
      <c r="B22554" s="3" t="s">
        <v>18695</v>
      </c>
      <c r="C22554" s="5" t="s">
        <v>45</v>
      </c>
      <c r="D22554" s="3" t="s">
        <v>221</v>
      </c>
      <c r="E22554" s="3" t="s">
        <v>926</v>
      </c>
      <c r="F22554" s="7">
        <v>46180.09661557689</v>
      </c>
      <c r="G22554" s="3" t="s">
        <v>4430</v>
      </c>
    </row>
    <row r="22555">
      <c r="A22555" s="3" t="s">
        <v>38871</v>
      </c>
      <c r="B22555" s="3" t="s">
        <v>18695</v>
      </c>
      <c r="C22555" s="5" t="s">
        <v>221</v>
      </c>
      <c r="D22555" s="3" t="s">
        <v>614</v>
      </c>
      <c r="E22555" s="3" t="s">
        <v>118</v>
      </c>
      <c r="F22555" s="7">
        <v>46180.10008779911</v>
      </c>
      <c r="G22555" s="3" t="s">
        <v>4432</v>
      </c>
    </row>
    <row r="22556">
      <c r="A22556" s="3" t="s">
        <v>38872</v>
      </c>
      <c r="B22556" s="3" t="s">
        <v>18695</v>
      </c>
      <c r="C22556" s="5" t="s">
        <v>614</v>
      </c>
      <c r="D22556" s="3" t="s">
        <v>206</v>
      </c>
      <c r="E22556" s="3" t="s">
        <v>100</v>
      </c>
      <c r="F22556" s="7">
        <v>46180.103560021336</v>
      </c>
      <c r="G22556" s="3" t="s">
        <v>4435</v>
      </c>
    </row>
    <row r="22557">
      <c r="A22557" s="3" t="s">
        <v>38873</v>
      </c>
      <c r="B22557" s="3" t="s">
        <v>18695</v>
      </c>
      <c r="C22557" s="5" t="s">
        <v>206</v>
      </c>
      <c r="D22557" s="3" t="s">
        <v>68</v>
      </c>
      <c r="E22557" s="3" t="s">
        <v>100</v>
      </c>
      <c r="F22557" s="7">
        <v>46180.107032243555</v>
      </c>
      <c r="G22557" s="3" t="s">
        <v>4438</v>
      </c>
    </row>
    <row r="22558">
      <c r="A22558" s="3" t="s">
        <v>38874</v>
      </c>
      <c r="B22558" s="3" t="s">
        <v>18697</v>
      </c>
      <c r="C22558" s="5" t="s">
        <v>45</v>
      </c>
      <c r="D22558" s="3" t="s">
        <v>221</v>
      </c>
      <c r="E22558" s="3" t="s">
        <v>980</v>
      </c>
      <c r="F22558" s="7">
        <v>46180.16779042231</v>
      </c>
      <c r="G22558" s="3" t="s">
        <v>4489</v>
      </c>
    </row>
    <row r="22559">
      <c r="A22559" s="3" t="s">
        <v>38875</v>
      </c>
      <c r="B22559" s="3" t="s">
        <v>18697</v>
      </c>
      <c r="C22559" s="5" t="s">
        <v>221</v>
      </c>
      <c r="D22559" s="3" t="s">
        <v>614</v>
      </c>
      <c r="E22559" s="3" t="s">
        <v>118</v>
      </c>
      <c r="F22559" s="7">
        <v>46180.17126264453</v>
      </c>
      <c r="G22559" s="3" t="s">
        <v>4491</v>
      </c>
    </row>
    <row r="22560">
      <c r="A22560" s="3" t="s">
        <v>38876</v>
      </c>
      <c r="B22560" s="3" t="s">
        <v>18697</v>
      </c>
      <c r="C22560" s="5" t="s">
        <v>614</v>
      </c>
      <c r="D22560" s="3" t="s">
        <v>206</v>
      </c>
      <c r="E22560" s="3" t="s">
        <v>100</v>
      </c>
      <c r="F22560" s="7">
        <v>46180.174734866756</v>
      </c>
      <c r="G22560" s="3" t="s">
        <v>4494</v>
      </c>
    </row>
    <row r="22561">
      <c r="A22561" s="3" t="s">
        <v>38877</v>
      </c>
      <c r="B22561" s="3" t="s">
        <v>18697</v>
      </c>
      <c r="C22561" s="5" t="s">
        <v>206</v>
      </c>
      <c r="D22561" s="3" t="s">
        <v>68</v>
      </c>
      <c r="E22561" s="3" t="s">
        <v>100</v>
      </c>
      <c r="F22561" s="7">
        <v>46180.178207088975</v>
      </c>
      <c r="G22561" s="3" t="s">
        <v>4497</v>
      </c>
    </row>
    <row r="22562">
      <c r="A22562" s="3" t="s">
        <v>38878</v>
      </c>
      <c r="B22562" s="3" t="s">
        <v>18699</v>
      </c>
      <c r="C22562" s="5" t="s">
        <v>45</v>
      </c>
      <c r="D22562" s="3" t="s">
        <v>221</v>
      </c>
      <c r="E22562" s="3" t="s">
        <v>581</v>
      </c>
      <c r="F22562" s="7">
        <v>46180.23896526772</v>
      </c>
      <c r="G22562" s="3" t="s">
        <v>17219</v>
      </c>
    </row>
    <row r="22563">
      <c r="A22563" s="3" t="s">
        <v>38879</v>
      </c>
      <c r="B22563" s="3" t="s">
        <v>18699</v>
      </c>
      <c r="C22563" s="5" t="s">
        <v>221</v>
      </c>
      <c r="D22563" s="3" t="s">
        <v>614</v>
      </c>
      <c r="E22563" s="3" t="s">
        <v>118</v>
      </c>
      <c r="F22563" s="7">
        <v>46180.24243748994</v>
      </c>
      <c r="G22563" s="3" t="s">
        <v>17222</v>
      </c>
    </row>
    <row r="22564">
      <c r="A22564" s="3" t="s">
        <v>38880</v>
      </c>
      <c r="B22564" s="3" t="s">
        <v>18699</v>
      </c>
      <c r="C22564" s="5" t="s">
        <v>614</v>
      </c>
      <c r="D22564" s="3" t="s">
        <v>206</v>
      </c>
      <c r="E22564" s="3" t="s">
        <v>100</v>
      </c>
      <c r="F22564" s="7">
        <v>46180.24590971217</v>
      </c>
      <c r="G22564" s="3" t="s">
        <v>17225</v>
      </c>
    </row>
    <row r="22565">
      <c r="A22565" s="3" t="s">
        <v>38881</v>
      </c>
      <c r="B22565" s="3" t="s">
        <v>18699</v>
      </c>
      <c r="C22565" s="5" t="s">
        <v>206</v>
      </c>
      <c r="D22565" s="3" t="s">
        <v>68</v>
      </c>
      <c r="E22565" s="3" t="s">
        <v>100</v>
      </c>
      <c r="F22565" s="7">
        <v>46180.24938193439</v>
      </c>
      <c r="G22565" s="3" t="s">
        <v>17227</v>
      </c>
    </row>
    <row r="22566">
      <c r="A22566" s="3" t="s">
        <v>38882</v>
      </c>
      <c r="B22566" s="3" t="s">
        <v>18702</v>
      </c>
      <c r="C22566" s="5" t="s">
        <v>45</v>
      </c>
      <c r="D22566" s="3" t="s">
        <v>221</v>
      </c>
      <c r="E22566" s="3" t="s">
        <v>895</v>
      </c>
      <c r="F22566" s="7">
        <v>46180.31014011314</v>
      </c>
      <c r="G22566" s="3" t="s">
        <v>4515</v>
      </c>
    </row>
    <row r="22567">
      <c r="A22567" s="3" t="s">
        <v>38883</v>
      </c>
      <c r="B22567" s="3" t="s">
        <v>18702</v>
      </c>
      <c r="C22567" s="5" t="s">
        <v>221</v>
      </c>
      <c r="D22567" s="3" t="s">
        <v>614</v>
      </c>
      <c r="E22567" s="3" t="s">
        <v>118</v>
      </c>
      <c r="F22567" s="7">
        <v>46180.31361233536</v>
      </c>
      <c r="G22567" s="3" t="s">
        <v>4518</v>
      </c>
    </row>
    <row r="22568">
      <c r="A22568" s="3" t="s">
        <v>38884</v>
      </c>
      <c r="B22568" s="3" t="s">
        <v>18702</v>
      </c>
      <c r="C22568" s="5" t="s">
        <v>614</v>
      </c>
      <c r="D22568" s="3" t="s">
        <v>206</v>
      </c>
      <c r="E22568" s="3" t="s">
        <v>100</v>
      </c>
      <c r="F22568" s="7">
        <v>46180.31708455759</v>
      </c>
      <c r="G22568" s="3" t="s">
        <v>4521</v>
      </c>
    </row>
    <row r="22569">
      <c r="A22569" s="3" t="s">
        <v>38885</v>
      </c>
      <c r="B22569" s="3" t="s">
        <v>18702</v>
      </c>
      <c r="C22569" s="5" t="s">
        <v>206</v>
      </c>
      <c r="D22569" s="3" t="s">
        <v>68</v>
      </c>
      <c r="E22569" s="3" t="s">
        <v>100</v>
      </c>
      <c r="F22569" s="7">
        <v>46180.32055677981</v>
      </c>
      <c r="G22569" s="3" t="s">
        <v>4524</v>
      </c>
    </row>
    <row r="22570">
      <c r="A22570" s="3" t="s">
        <v>38886</v>
      </c>
      <c r="B22570" s="3" t="s">
        <v>18704</v>
      </c>
      <c r="C22570" s="5" t="s">
        <v>45</v>
      </c>
      <c r="D22570" s="3" t="s">
        <v>221</v>
      </c>
      <c r="E22570" s="3" t="s">
        <v>1001</v>
      </c>
      <c r="F22570" s="7">
        <v>46180.381314958555</v>
      </c>
      <c r="G22570" s="3" t="s">
        <v>4527</v>
      </c>
    </row>
    <row r="22571">
      <c r="A22571" s="3" t="s">
        <v>38887</v>
      </c>
      <c r="B22571" s="3" t="s">
        <v>18704</v>
      </c>
      <c r="C22571" s="5" t="s">
        <v>221</v>
      </c>
      <c r="D22571" s="3" t="s">
        <v>614</v>
      </c>
      <c r="E22571" s="3" t="s">
        <v>118</v>
      </c>
      <c r="F22571" s="7">
        <v>46180.384787180774</v>
      </c>
      <c r="G22571" s="3" t="s">
        <v>4530</v>
      </c>
    </row>
    <row r="22572">
      <c r="A22572" s="3" t="s">
        <v>38888</v>
      </c>
      <c r="B22572" s="3" t="s">
        <v>18704</v>
      </c>
      <c r="C22572" s="5" t="s">
        <v>614</v>
      </c>
      <c r="D22572" s="3" t="s">
        <v>206</v>
      </c>
      <c r="E22572" s="3" t="s">
        <v>100</v>
      </c>
      <c r="F22572" s="7">
        <v>46180.388259403</v>
      </c>
      <c r="G22572" s="3" t="s">
        <v>4533</v>
      </c>
    </row>
    <row r="22573">
      <c r="A22573" s="3" t="s">
        <v>38889</v>
      </c>
      <c r="B22573" s="3" t="s">
        <v>18704</v>
      </c>
      <c r="C22573" s="5" t="s">
        <v>206</v>
      </c>
      <c r="D22573" s="3" t="s">
        <v>68</v>
      </c>
      <c r="E22573" s="3" t="s">
        <v>100</v>
      </c>
      <c r="F22573" s="7">
        <v>46180.39173162522</v>
      </c>
      <c r="G22573" s="3" t="s">
        <v>4536</v>
      </c>
    </row>
    <row r="22574">
      <c r="A22574" s="3" t="s">
        <v>38890</v>
      </c>
      <c r="B22574" s="3" t="s">
        <v>18706</v>
      </c>
      <c r="C22574" s="5" t="s">
        <v>45</v>
      </c>
      <c r="D22574" s="3" t="s">
        <v>221</v>
      </c>
      <c r="E22574" s="3" t="s">
        <v>373</v>
      </c>
      <c r="F22574" s="7">
        <v>46180.452489803974</v>
      </c>
      <c r="G22574" s="3" t="s">
        <v>25231</v>
      </c>
    </row>
    <row r="22575">
      <c r="A22575" s="3" t="s">
        <v>38891</v>
      </c>
      <c r="B22575" s="3" t="s">
        <v>18706</v>
      </c>
      <c r="C22575" s="5" t="s">
        <v>221</v>
      </c>
      <c r="D22575" s="3" t="s">
        <v>614</v>
      </c>
      <c r="E22575" s="3" t="s">
        <v>118</v>
      </c>
      <c r="F22575" s="7">
        <v>46180.45596202619</v>
      </c>
      <c r="G22575" s="3" t="s">
        <v>25233</v>
      </c>
    </row>
    <row r="22576">
      <c r="A22576" s="3" t="s">
        <v>38892</v>
      </c>
      <c r="B22576" s="3" t="s">
        <v>18706</v>
      </c>
      <c r="C22576" s="5" t="s">
        <v>614</v>
      </c>
      <c r="D22576" s="3" t="s">
        <v>206</v>
      </c>
      <c r="E22576" s="3" t="s">
        <v>100</v>
      </c>
      <c r="F22576" s="7">
        <v>46180.45943424842</v>
      </c>
      <c r="G22576" s="3" t="s">
        <v>25235</v>
      </c>
    </row>
    <row r="22577">
      <c r="A22577" s="3" t="s">
        <v>38893</v>
      </c>
      <c r="B22577" s="3" t="s">
        <v>18706</v>
      </c>
      <c r="C22577" s="5" t="s">
        <v>206</v>
      </c>
      <c r="D22577" s="3" t="s">
        <v>68</v>
      </c>
      <c r="E22577" s="3" t="s">
        <v>100</v>
      </c>
      <c r="F22577" s="7">
        <v>46180.46290647064</v>
      </c>
      <c r="G22577" s="3" t="s">
        <v>25237</v>
      </c>
    </row>
    <row r="22578">
      <c r="A22578" s="3" t="s">
        <v>38894</v>
      </c>
      <c r="B22578" s="3" t="s">
        <v>18708</v>
      </c>
      <c r="C22578" s="5" t="s">
        <v>45</v>
      </c>
      <c r="D22578" s="3" t="s">
        <v>221</v>
      </c>
      <c r="E22578" s="3" t="s">
        <v>226</v>
      </c>
      <c r="F22578" s="7">
        <v>46180.52366464938</v>
      </c>
      <c r="G22578" s="3" t="s">
        <v>24027</v>
      </c>
    </row>
    <row r="22579">
      <c r="A22579" s="3" t="s">
        <v>38895</v>
      </c>
      <c r="B22579" s="3" t="s">
        <v>18708</v>
      </c>
      <c r="C22579" s="5" t="s">
        <v>221</v>
      </c>
      <c r="D22579" s="3" t="s">
        <v>614</v>
      </c>
      <c r="E22579" s="3" t="s">
        <v>118</v>
      </c>
      <c r="F22579" s="7">
        <v>46180.5271368716</v>
      </c>
      <c r="G22579" s="3" t="s">
        <v>24029</v>
      </c>
    </row>
    <row r="22580">
      <c r="A22580" s="3" t="s">
        <v>38896</v>
      </c>
      <c r="B22580" s="3" t="s">
        <v>18708</v>
      </c>
      <c r="C22580" s="5" t="s">
        <v>614</v>
      </c>
      <c r="D22580" s="3" t="s">
        <v>206</v>
      </c>
      <c r="E22580" s="3" t="s">
        <v>100</v>
      </c>
      <c r="F22580" s="7">
        <v>46180.530609093825</v>
      </c>
      <c r="G22580" s="3" t="s">
        <v>24031</v>
      </c>
    </row>
    <row r="22581">
      <c r="A22581" s="3" t="s">
        <v>38897</v>
      </c>
      <c r="B22581" s="3" t="s">
        <v>18708</v>
      </c>
      <c r="C22581" s="5" t="s">
        <v>206</v>
      </c>
      <c r="D22581" s="3" t="s">
        <v>68</v>
      </c>
      <c r="E22581" s="3" t="s">
        <v>100</v>
      </c>
      <c r="F22581" s="7">
        <v>46180.534081316044</v>
      </c>
      <c r="G22581" s="3" t="s">
        <v>24033</v>
      </c>
    </row>
    <row r="22582">
      <c r="A22582" s="3" t="s">
        <v>38898</v>
      </c>
      <c r="B22582" s="3" t="s">
        <v>18710</v>
      </c>
      <c r="C22582" s="5" t="s">
        <v>45</v>
      </c>
      <c r="D22582" s="3" t="s">
        <v>221</v>
      </c>
      <c r="E22582" s="3" t="s">
        <v>344</v>
      </c>
      <c r="F22582" s="7">
        <v>46180.5948394948</v>
      </c>
      <c r="G22582" s="3" t="s">
        <v>4551</v>
      </c>
    </row>
    <row r="22583">
      <c r="A22583" s="3" t="s">
        <v>38899</v>
      </c>
      <c r="B22583" s="3" t="s">
        <v>18710</v>
      </c>
      <c r="C22583" s="5" t="s">
        <v>221</v>
      </c>
      <c r="D22583" s="3" t="s">
        <v>614</v>
      </c>
      <c r="E22583" s="3" t="s">
        <v>118</v>
      </c>
      <c r="F22583" s="7">
        <v>46180.59831171702</v>
      </c>
      <c r="G22583" s="3" t="s">
        <v>4554</v>
      </c>
    </row>
    <row r="22584">
      <c r="A22584" s="3" t="s">
        <v>38900</v>
      </c>
      <c r="B22584" s="3" t="s">
        <v>18710</v>
      </c>
      <c r="C22584" s="5" t="s">
        <v>614</v>
      </c>
      <c r="D22584" s="3" t="s">
        <v>206</v>
      </c>
      <c r="E22584" s="3" t="s">
        <v>100</v>
      </c>
      <c r="F22584" s="7">
        <v>46180.601783939244</v>
      </c>
      <c r="G22584" s="3" t="s">
        <v>4556</v>
      </c>
    </row>
    <row r="22585">
      <c r="A22585" s="3" t="s">
        <v>38901</v>
      </c>
      <c r="B22585" s="3" t="s">
        <v>18710</v>
      </c>
      <c r="C22585" s="5" t="s">
        <v>206</v>
      </c>
      <c r="D22585" s="3" t="s">
        <v>68</v>
      </c>
      <c r="E22585" s="3" t="s">
        <v>100</v>
      </c>
      <c r="F22585" s="7">
        <v>46180.60525616146</v>
      </c>
      <c r="G22585" s="3" t="s">
        <v>4559</v>
      </c>
    </row>
    <row r="22586">
      <c r="A22586" s="3" t="s">
        <v>38902</v>
      </c>
      <c r="B22586" s="3" t="s">
        <v>18713</v>
      </c>
      <c r="C22586" s="5" t="s">
        <v>45</v>
      </c>
      <c r="D22586" s="3" t="s">
        <v>221</v>
      </c>
      <c r="E22586" s="3" t="s">
        <v>539</v>
      </c>
      <c r="F22586" s="7">
        <v>46180.66601434022</v>
      </c>
      <c r="G22586" s="3" t="s">
        <v>10291</v>
      </c>
    </row>
    <row r="22587">
      <c r="A22587" s="3" t="s">
        <v>38903</v>
      </c>
      <c r="B22587" s="3" t="s">
        <v>18713</v>
      </c>
      <c r="C22587" s="5" t="s">
        <v>221</v>
      </c>
      <c r="D22587" s="3" t="s">
        <v>181</v>
      </c>
      <c r="E22587" s="3" t="s">
        <v>118</v>
      </c>
      <c r="F22587" s="7">
        <v>46180.66948656244</v>
      </c>
      <c r="G22587" s="3" t="s">
        <v>29452</v>
      </c>
    </row>
    <row r="22588">
      <c r="A22588" s="3" t="s">
        <v>38904</v>
      </c>
      <c r="B22588" s="3" t="s">
        <v>18715</v>
      </c>
      <c r="C22588" s="5" t="s">
        <v>45</v>
      </c>
      <c r="D22588" s="3" t="s">
        <v>221</v>
      </c>
      <c r="E22588" s="3" t="s">
        <v>515</v>
      </c>
      <c r="F22588" s="7">
        <v>46180.73718918563</v>
      </c>
      <c r="G22588" s="3" t="s">
        <v>2770</v>
      </c>
    </row>
    <row r="22589">
      <c r="A22589" s="3" t="s">
        <v>38905</v>
      </c>
      <c r="B22589" s="3" t="s">
        <v>18715</v>
      </c>
      <c r="C22589" s="5" t="s">
        <v>221</v>
      </c>
      <c r="D22589" s="3" t="s">
        <v>181</v>
      </c>
      <c r="E22589" s="3" t="s">
        <v>118</v>
      </c>
      <c r="F22589" s="7">
        <v>46180.74066140785</v>
      </c>
      <c r="G22589" s="3" t="s">
        <v>2774</v>
      </c>
    </row>
    <row r="22590">
      <c r="A22590" s="3" t="s">
        <v>38906</v>
      </c>
      <c r="B22590" s="3" t="s">
        <v>18717</v>
      </c>
      <c r="C22590" s="5" t="s">
        <v>45</v>
      </c>
      <c r="D22590" s="3" t="s">
        <v>221</v>
      </c>
      <c r="E22590" s="3" t="s">
        <v>404</v>
      </c>
      <c r="F22590" s="7">
        <v>46180.80836403104</v>
      </c>
      <c r="G22590" s="3" t="s">
        <v>29899</v>
      </c>
    </row>
    <row r="22591">
      <c r="A22591" s="3" t="s">
        <v>38907</v>
      </c>
      <c r="B22591" s="3" t="s">
        <v>18717</v>
      </c>
      <c r="C22591" s="5" t="s">
        <v>221</v>
      </c>
      <c r="D22591" s="3" t="s">
        <v>181</v>
      </c>
      <c r="E22591" s="3" t="s">
        <v>118</v>
      </c>
      <c r="F22591" s="7">
        <v>46180.81183625326</v>
      </c>
      <c r="G22591" s="3" t="s">
        <v>38908</v>
      </c>
    </row>
    <row r="22592">
      <c r="A22592" s="3" t="s">
        <v>38909</v>
      </c>
      <c r="B22592" s="3" t="s">
        <v>18719</v>
      </c>
      <c r="C22592" s="5" t="s">
        <v>45</v>
      </c>
      <c r="D22592" s="3" t="s">
        <v>221</v>
      </c>
      <c r="E22592" s="3" t="s">
        <v>949</v>
      </c>
      <c r="F22592" s="7">
        <v>46180.87953887646</v>
      </c>
      <c r="G22592" s="3" t="s">
        <v>18542</v>
      </c>
    </row>
    <row r="22593">
      <c r="A22593" s="3" t="s">
        <v>38910</v>
      </c>
      <c r="B22593" s="3" t="s">
        <v>18719</v>
      </c>
      <c r="C22593" s="5" t="s">
        <v>221</v>
      </c>
      <c r="D22593" s="3" t="s">
        <v>181</v>
      </c>
      <c r="E22593" s="3" t="s">
        <v>118</v>
      </c>
      <c r="F22593" s="7">
        <v>46180.88301109868</v>
      </c>
      <c r="G22593" s="3" t="s">
        <v>38911</v>
      </c>
    </row>
    <row r="22594">
      <c r="A22594" s="3" t="s">
        <v>38912</v>
      </c>
      <c r="B22594" s="3" t="s">
        <v>18723</v>
      </c>
      <c r="C22594" s="5" t="s">
        <v>45</v>
      </c>
      <c r="D22594" s="3" t="s">
        <v>221</v>
      </c>
      <c r="E22594" s="3" t="s">
        <v>609</v>
      </c>
      <c r="F22594" s="7">
        <v>46180.950713721875</v>
      </c>
      <c r="G22594" s="3" t="s">
        <v>8332</v>
      </c>
    </row>
    <row r="22595">
      <c r="A22595" s="3" t="s">
        <v>38913</v>
      </c>
      <c r="B22595" s="3" t="s">
        <v>18723</v>
      </c>
      <c r="C22595" s="5" t="s">
        <v>221</v>
      </c>
      <c r="D22595" s="3" t="s">
        <v>614</v>
      </c>
      <c r="E22595" s="3" t="s">
        <v>118</v>
      </c>
      <c r="F22595" s="7">
        <v>46180.954185944094</v>
      </c>
      <c r="G22595" s="3" t="s">
        <v>8335</v>
      </c>
    </row>
    <row r="22596">
      <c r="A22596" s="3" t="s">
        <v>38914</v>
      </c>
      <c r="B22596" s="3" t="s">
        <v>18723</v>
      </c>
      <c r="C22596" s="5" t="s">
        <v>614</v>
      </c>
      <c r="D22596" s="3" t="s">
        <v>206</v>
      </c>
      <c r="E22596" s="3" t="s">
        <v>100</v>
      </c>
      <c r="F22596" s="7">
        <v>46180.95765816632</v>
      </c>
      <c r="G22596" s="3" t="s">
        <v>8338</v>
      </c>
    </row>
    <row r="22597">
      <c r="A22597" s="3" t="s">
        <v>38915</v>
      </c>
      <c r="B22597" s="3" t="s">
        <v>18723</v>
      </c>
      <c r="C22597" s="5" t="s">
        <v>206</v>
      </c>
      <c r="D22597" s="3" t="s">
        <v>68</v>
      </c>
      <c r="E22597" s="3" t="s">
        <v>100</v>
      </c>
      <c r="F22597" s="7">
        <v>46180.96113038854</v>
      </c>
      <c r="G22597" s="3" t="s">
        <v>8341</v>
      </c>
    </row>
    <row r="22598">
      <c r="A22598" s="3" t="s">
        <v>38916</v>
      </c>
      <c r="B22598" s="3" t="s">
        <v>18727</v>
      </c>
      <c r="C22598" s="5" t="s">
        <v>45</v>
      </c>
      <c r="D22598" s="3" t="s">
        <v>221</v>
      </c>
      <c r="E22598" s="3" t="s">
        <v>179</v>
      </c>
      <c r="F22598" s="7">
        <v>46181.02188856729</v>
      </c>
      <c r="G22598" s="3" t="s">
        <v>18828</v>
      </c>
    </row>
    <row r="22599">
      <c r="A22599" s="3" t="s">
        <v>38917</v>
      </c>
      <c r="B22599" s="3" t="s">
        <v>18727</v>
      </c>
      <c r="C22599" s="5" t="s">
        <v>221</v>
      </c>
      <c r="D22599" s="3" t="s">
        <v>181</v>
      </c>
      <c r="E22599" s="3" t="s">
        <v>118</v>
      </c>
      <c r="F22599" s="7">
        <v>46181.02536078951</v>
      </c>
      <c r="G22599" s="3" t="s">
        <v>28473</v>
      </c>
    </row>
    <row r="22600">
      <c r="A22600" s="3" t="s">
        <v>38918</v>
      </c>
      <c r="B22600" s="3" t="s">
        <v>18730</v>
      </c>
      <c r="C22600" s="5" t="s">
        <v>45</v>
      </c>
      <c r="D22600" s="3" t="s">
        <v>221</v>
      </c>
      <c r="E22600" s="3" t="s">
        <v>211</v>
      </c>
      <c r="F22600" s="7">
        <v>46181.09306341271</v>
      </c>
      <c r="G22600" s="3" t="s">
        <v>26815</v>
      </c>
    </row>
    <row r="22601">
      <c r="A22601" s="3" t="s">
        <v>38919</v>
      </c>
      <c r="B22601" s="3" t="s">
        <v>18730</v>
      </c>
      <c r="C22601" s="5" t="s">
        <v>221</v>
      </c>
      <c r="D22601" s="3" t="s">
        <v>181</v>
      </c>
      <c r="E22601" s="3" t="s">
        <v>118</v>
      </c>
      <c r="F22601" s="7">
        <v>46181.096535634926</v>
      </c>
      <c r="G22601" s="3" t="s">
        <v>38920</v>
      </c>
    </row>
    <row r="22602">
      <c r="A22602" s="3" t="s">
        <v>38921</v>
      </c>
      <c r="B22602" s="3" t="s">
        <v>18732</v>
      </c>
      <c r="C22602" s="5" t="s">
        <v>45</v>
      </c>
      <c r="D22602" s="3" t="s">
        <v>221</v>
      </c>
      <c r="E22602" s="3" t="s">
        <v>838</v>
      </c>
      <c r="F22602" s="7">
        <v>46181.16423825813</v>
      </c>
      <c r="G22602" s="3" t="s">
        <v>25660</v>
      </c>
    </row>
    <row r="22603">
      <c r="A22603" s="3" t="s">
        <v>38922</v>
      </c>
      <c r="B22603" s="3" t="s">
        <v>18732</v>
      </c>
      <c r="C22603" s="5" t="s">
        <v>221</v>
      </c>
      <c r="D22603" s="3" t="s">
        <v>614</v>
      </c>
      <c r="E22603" s="3" t="s">
        <v>118</v>
      </c>
      <c r="F22603" s="7">
        <v>46181.167710480346</v>
      </c>
      <c r="G22603" s="3" t="s">
        <v>25662</v>
      </c>
    </row>
    <row r="22604">
      <c r="A22604" s="3" t="s">
        <v>38923</v>
      </c>
      <c r="B22604" s="3" t="s">
        <v>18732</v>
      </c>
      <c r="C22604" s="5" t="s">
        <v>614</v>
      </c>
      <c r="D22604" s="3" t="s">
        <v>206</v>
      </c>
      <c r="E22604" s="3" t="s">
        <v>100</v>
      </c>
      <c r="F22604" s="7">
        <v>46181.17118270257</v>
      </c>
      <c r="G22604" s="3" t="s">
        <v>25664</v>
      </c>
    </row>
    <row r="22605">
      <c r="A22605" s="3" t="s">
        <v>38924</v>
      </c>
      <c r="B22605" s="3" t="s">
        <v>18732</v>
      </c>
      <c r="C22605" s="5" t="s">
        <v>206</v>
      </c>
      <c r="D22605" s="3" t="s">
        <v>68</v>
      </c>
      <c r="E22605" s="3" t="s">
        <v>100</v>
      </c>
      <c r="F22605" s="7">
        <v>46181.17465492479</v>
      </c>
      <c r="G22605" s="3" t="s">
        <v>25666</v>
      </c>
    </row>
    <row r="22606">
      <c r="A22606" s="3" t="s">
        <v>38925</v>
      </c>
      <c r="B22606" s="3" t="s">
        <v>18734</v>
      </c>
      <c r="C22606" s="5" t="s">
        <v>45</v>
      </c>
      <c r="D22606" s="3" t="s">
        <v>221</v>
      </c>
      <c r="E22606" s="3" t="s">
        <v>496</v>
      </c>
      <c r="F22606" s="7">
        <v>46181.23541310353</v>
      </c>
      <c r="G22606" s="3" t="s">
        <v>23394</v>
      </c>
    </row>
    <row r="22607">
      <c r="A22607" s="3" t="s">
        <v>38926</v>
      </c>
      <c r="B22607" s="3" t="s">
        <v>18734</v>
      </c>
      <c r="C22607" s="5" t="s">
        <v>221</v>
      </c>
      <c r="D22607" s="3" t="s">
        <v>614</v>
      </c>
      <c r="E22607" s="3" t="s">
        <v>118</v>
      </c>
      <c r="F22607" s="7">
        <v>46181.23888532575</v>
      </c>
      <c r="G22607" s="3" t="s">
        <v>23396</v>
      </c>
    </row>
    <row r="22608">
      <c r="A22608" s="3" t="s">
        <v>38927</v>
      </c>
      <c r="B22608" s="3" t="s">
        <v>18734</v>
      </c>
      <c r="C22608" s="5" t="s">
        <v>614</v>
      </c>
      <c r="D22608" s="3" t="s">
        <v>206</v>
      </c>
      <c r="E22608" s="3" t="s">
        <v>100</v>
      </c>
      <c r="F22608" s="7">
        <v>46181.24235754798</v>
      </c>
      <c r="G22608" s="3" t="s">
        <v>23399</v>
      </c>
    </row>
    <row r="22609">
      <c r="A22609" s="3" t="s">
        <v>38928</v>
      </c>
      <c r="B22609" s="3" t="s">
        <v>18734</v>
      </c>
      <c r="C22609" s="5" t="s">
        <v>206</v>
      </c>
      <c r="D22609" s="3" t="s">
        <v>68</v>
      </c>
      <c r="E22609" s="3" t="s">
        <v>100</v>
      </c>
      <c r="F22609" s="7">
        <v>46181.245829770196</v>
      </c>
      <c r="G22609" s="3" t="s">
        <v>23402</v>
      </c>
    </row>
    <row r="22610">
      <c r="A22610" s="3" t="s">
        <v>38929</v>
      </c>
      <c r="B22610" s="3" t="s">
        <v>18736</v>
      </c>
      <c r="C22610" s="5" t="s">
        <v>45</v>
      </c>
      <c r="D22610" s="3" t="s">
        <v>221</v>
      </c>
      <c r="E22610" s="3" t="s">
        <v>645</v>
      </c>
      <c r="F22610" s="7">
        <v>46181.30658794895</v>
      </c>
      <c r="G22610" s="3" t="s">
        <v>12630</v>
      </c>
    </row>
    <row r="22611">
      <c r="A22611" s="3" t="s">
        <v>38930</v>
      </c>
      <c r="B22611" s="3" t="s">
        <v>18736</v>
      </c>
      <c r="C22611" s="5" t="s">
        <v>221</v>
      </c>
      <c r="D22611" s="3" t="s">
        <v>614</v>
      </c>
      <c r="E22611" s="3" t="s">
        <v>118</v>
      </c>
      <c r="F22611" s="7">
        <v>46181.31006017117</v>
      </c>
      <c r="G22611" s="3" t="s">
        <v>12634</v>
      </c>
    </row>
    <row r="22612">
      <c r="A22612" s="3" t="s">
        <v>38931</v>
      </c>
      <c r="B22612" s="3" t="s">
        <v>18736</v>
      </c>
      <c r="C22612" s="5" t="s">
        <v>614</v>
      </c>
      <c r="D22612" s="3" t="s">
        <v>206</v>
      </c>
      <c r="E22612" s="3" t="s">
        <v>100</v>
      </c>
      <c r="F22612" s="7">
        <v>46181.3135323934</v>
      </c>
      <c r="G22612" s="3" t="s">
        <v>12637</v>
      </c>
    </row>
    <row r="22613">
      <c r="A22613" s="3" t="s">
        <v>38932</v>
      </c>
      <c r="B22613" s="3" t="s">
        <v>18736</v>
      </c>
      <c r="C22613" s="5" t="s">
        <v>206</v>
      </c>
      <c r="D22613" s="3" t="s">
        <v>68</v>
      </c>
      <c r="E22613" s="3" t="s">
        <v>100</v>
      </c>
      <c r="F22613" s="7">
        <v>46181.317004615616</v>
      </c>
      <c r="G22613" s="3" t="s">
        <v>12640</v>
      </c>
    </row>
    <row r="22614">
      <c r="A22614" s="3" t="s">
        <v>38933</v>
      </c>
      <c r="B22614" s="3" t="s">
        <v>18740</v>
      </c>
      <c r="C22614" s="5" t="s">
        <v>45</v>
      </c>
      <c r="D22614" s="3" t="s">
        <v>221</v>
      </c>
      <c r="E22614" s="3" t="s">
        <v>957</v>
      </c>
      <c r="F22614" s="7">
        <v>46181.37776279437</v>
      </c>
      <c r="G22614" s="3" t="s">
        <v>4562</v>
      </c>
    </row>
    <row r="22615">
      <c r="A22615" s="3" t="s">
        <v>38934</v>
      </c>
      <c r="B22615" s="3" t="s">
        <v>18740</v>
      </c>
      <c r="C22615" s="5" t="s">
        <v>221</v>
      </c>
      <c r="D22615" s="3" t="s">
        <v>614</v>
      </c>
      <c r="E22615" s="3" t="s">
        <v>118</v>
      </c>
      <c r="F22615" s="7">
        <v>46181.38123501659</v>
      </c>
      <c r="G22615" s="3" t="s">
        <v>4565</v>
      </c>
    </row>
    <row r="22616">
      <c r="A22616" s="3" t="s">
        <v>38935</v>
      </c>
      <c r="B22616" s="3" t="s">
        <v>18740</v>
      </c>
      <c r="C22616" s="5" t="s">
        <v>614</v>
      </c>
      <c r="D22616" s="3" t="s">
        <v>206</v>
      </c>
      <c r="E22616" s="3" t="s">
        <v>100</v>
      </c>
      <c r="F22616" s="7">
        <v>46181.384707238816</v>
      </c>
      <c r="G22616" s="3" t="s">
        <v>4568</v>
      </c>
    </row>
    <row r="22617">
      <c r="A22617" s="3" t="s">
        <v>38936</v>
      </c>
      <c r="B22617" s="3" t="s">
        <v>18740</v>
      </c>
      <c r="C22617" s="5" t="s">
        <v>206</v>
      </c>
      <c r="D22617" s="3" t="s">
        <v>68</v>
      </c>
      <c r="E22617" s="3" t="s">
        <v>100</v>
      </c>
      <c r="F22617" s="7">
        <v>46181.388179461035</v>
      </c>
      <c r="G22617" s="3" t="s">
        <v>4571</v>
      </c>
    </row>
    <row r="22618">
      <c r="A22618" s="3" t="s">
        <v>38937</v>
      </c>
      <c r="B22618" s="3" t="s">
        <v>18743</v>
      </c>
      <c r="C22618" s="5" t="s">
        <v>45</v>
      </c>
      <c r="D22618" s="3" t="s">
        <v>221</v>
      </c>
      <c r="E22618" s="3" t="s">
        <v>395</v>
      </c>
      <c r="F22618" s="7">
        <v>46181.44893763978</v>
      </c>
      <c r="G22618" s="3" t="s">
        <v>29322</v>
      </c>
    </row>
    <row r="22619">
      <c r="A22619" s="3" t="s">
        <v>38938</v>
      </c>
      <c r="B22619" s="3" t="s">
        <v>18743</v>
      </c>
      <c r="C22619" s="5" t="s">
        <v>221</v>
      </c>
      <c r="D22619" s="3" t="s">
        <v>614</v>
      </c>
      <c r="E22619" s="3" t="s">
        <v>118</v>
      </c>
      <c r="F22619" s="7">
        <v>46181.452409862</v>
      </c>
      <c r="G22619" s="3" t="s">
        <v>29324</v>
      </c>
    </row>
    <row r="22620">
      <c r="A22620" s="3" t="s">
        <v>38939</v>
      </c>
      <c r="B22620" s="3" t="s">
        <v>18743</v>
      </c>
      <c r="C22620" s="5" t="s">
        <v>614</v>
      </c>
      <c r="D22620" s="3" t="s">
        <v>206</v>
      </c>
      <c r="E22620" s="3" t="s">
        <v>100</v>
      </c>
      <c r="F22620" s="7">
        <v>46181.45588208423</v>
      </c>
      <c r="G22620" s="3" t="s">
        <v>29326</v>
      </c>
    </row>
    <row r="22621">
      <c r="A22621" s="3" t="s">
        <v>38940</v>
      </c>
      <c r="B22621" s="3" t="s">
        <v>18743</v>
      </c>
      <c r="C22621" s="5" t="s">
        <v>206</v>
      </c>
      <c r="D22621" s="3" t="s">
        <v>68</v>
      </c>
      <c r="E22621" s="3" t="s">
        <v>100</v>
      </c>
      <c r="F22621" s="7">
        <v>46181.45935430645</v>
      </c>
      <c r="G22621" s="3" t="s">
        <v>29328</v>
      </c>
    </row>
    <row r="22622">
      <c r="A22622" s="3" t="s">
        <v>38941</v>
      </c>
      <c r="B22622" s="3" t="s">
        <v>18746</v>
      </c>
      <c r="C22622" s="5" t="s">
        <v>45</v>
      </c>
      <c r="D22622" s="3" t="s">
        <v>221</v>
      </c>
      <c r="E22622" s="3" t="s">
        <v>1040</v>
      </c>
      <c r="F22622" s="7">
        <v>46181.520112485196</v>
      </c>
      <c r="G22622" s="3" t="s">
        <v>4600</v>
      </c>
    </row>
    <row r="22623">
      <c r="A22623" s="3" t="s">
        <v>38942</v>
      </c>
      <c r="B22623" s="3" t="s">
        <v>18746</v>
      </c>
      <c r="C22623" s="5" t="s">
        <v>221</v>
      </c>
      <c r="D22623" s="3" t="s">
        <v>614</v>
      </c>
      <c r="E22623" s="3" t="s">
        <v>118</v>
      </c>
      <c r="F22623" s="7">
        <v>46181.523584707415</v>
      </c>
      <c r="G22623" s="3" t="s">
        <v>4603</v>
      </c>
    </row>
    <row r="22624">
      <c r="A22624" s="3" t="s">
        <v>38943</v>
      </c>
      <c r="B22624" s="3" t="s">
        <v>18746</v>
      </c>
      <c r="C22624" s="5" t="s">
        <v>614</v>
      </c>
      <c r="D22624" s="3" t="s">
        <v>206</v>
      </c>
      <c r="E22624" s="3" t="s">
        <v>100</v>
      </c>
      <c r="F22624" s="7">
        <v>46181.52705692964</v>
      </c>
      <c r="G22624" s="3" t="s">
        <v>4606</v>
      </c>
    </row>
    <row r="22625">
      <c r="A22625" s="3" t="s">
        <v>38944</v>
      </c>
      <c r="B22625" s="3" t="s">
        <v>18746</v>
      </c>
      <c r="C22625" s="5" t="s">
        <v>206</v>
      </c>
      <c r="D22625" s="3" t="s">
        <v>68</v>
      </c>
      <c r="E22625" s="3" t="s">
        <v>100</v>
      </c>
      <c r="F22625" s="7">
        <v>46181.53052915186</v>
      </c>
      <c r="G22625" s="3" t="s">
        <v>4609</v>
      </c>
    </row>
    <row r="22626">
      <c r="A22626" s="3" t="s">
        <v>38945</v>
      </c>
      <c r="B22626" s="3" t="s">
        <v>18750</v>
      </c>
      <c r="C22626" s="5" t="s">
        <v>45</v>
      </c>
      <c r="D22626" s="3" t="s">
        <v>221</v>
      </c>
      <c r="E22626" s="3" t="s">
        <v>939</v>
      </c>
      <c r="F22626" s="7">
        <v>46181.591287330615</v>
      </c>
      <c r="G22626" s="3" t="s">
        <v>13032</v>
      </c>
    </row>
    <row r="22627">
      <c r="A22627" s="3" t="s">
        <v>38946</v>
      </c>
      <c r="B22627" s="3" t="s">
        <v>18750</v>
      </c>
      <c r="C22627" s="5" t="s">
        <v>221</v>
      </c>
      <c r="D22627" s="3" t="s">
        <v>614</v>
      </c>
      <c r="E22627" s="3" t="s">
        <v>118</v>
      </c>
      <c r="F22627" s="7">
        <v>46181.594759552834</v>
      </c>
      <c r="G22627" s="3" t="s">
        <v>26882</v>
      </c>
    </row>
    <row r="22628">
      <c r="A22628" s="3" t="s">
        <v>38947</v>
      </c>
      <c r="B22628" s="3" t="s">
        <v>18750</v>
      </c>
      <c r="C22628" s="5" t="s">
        <v>614</v>
      </c>
      <c r="D22628" s="3" t="s">
        <v>206</v>
      </c>
      <c r="E22628" s="3" t="s">
        <v>100</v>
      </c>
      <c r="F22628" s="7">
        <v>46181.59823177506</v>
      </c>
      <c r="G22628" s="3" t="s">
        <v>26884</v>
      </c>
    </row>
    <row r="22629">
      <c r="A22629" s="3" t="s">
        <v>38948</v>
      </c>
      <c r="B22629" s="3" t="s">
        <v>18750</v>
      </c>
      <c r="C22629" s="5" t="s">
        <v>206</v>
      </c>
      <c r="D22629" s="3" t="s">
        <v>68</v>
      </c>
      <c r="E22629" s="3" t="s">
        <v>100</v>
      </c>
      <c r="F22629" s="7">
        <v>46181.60170399728</v>
      </c>
      <c r="G22629" s="3" t="s">
        <v>26886</v>
      </c>
    </row>
    <row r="22630">
      <c r="A22630" s="3" t="s">
        <v>38949</v>
      </c>
      <c r="B22630" s="3" t="s">
        <v>18754</v>
      </c>
      <c r="C22630" s="5" t="s">
        <v>45</v>
      </c>
      <c r="D22630" s="3" t="s">
        <v>221</v>
      </c>
      <c r="E22630" s="3" t="s">
        <v>616</v>
      </c>
      <c r="F22630" s="7">
        <v>46181.66246217603</v>
      </c>
      <c r="G22630" s="3" t="s">
        <v>28750</v>
      </c>
    </row>
    <row r="22631">
      <c r="A22631" s="3" t="s">
        <v>38950</v>
      </c>
      <c r="B22631" s="3" t="s">
        <v>18754</v>
      </c>
      <c r="C22631" s="5" t="s">
        <v>221</v>
      </c>
      <c r="D22631" s="3" t="s">
        <v>614</v>
      </c>
      <c r="E22631" s="3" t="s">
        <v>118</v>
      </c>
      <c r="F22631" s="7">
        <v>46181.66593439825</v>
      </c>
      <c r="G22631" s="3" t="s">
        <v>28752</v>
      </c>
    </row>
    <row r="22632">
      <c r="A22632" s="3" t="s">
        <v>38951</v>
      </c>
      <c r="B22632" s="3" t="s">
        <v>18754</v>
      </c>
      <c r="C22632" s="5" t="s">
        <v>614</v>
      </c>
      <c r="D22632" s="3" t="s">
        <v>206</v>
      </c>
      <c r="E22632" s="3" t="s">
        <v>100</v>
      </c>
      <c r="F22632" s="7">
        <v>46181.66940662047</v>
      </c>
      <c r="G22632" s="3" t="s">
        <v>28754</v>
      </c>
    </row>
    <row r="22633">
      <c r="A22633" s="3" t="s">
        <v>38952</v>
      </c>
      <c r="B22633" s="3" t="s">
        <v>18754</v>
      </c>
      <c r="C22633" s="5" t="s">
        <v>206</v>
      </c>
      <c r="D22633" s="3" t="s">
        <v>68</v>
      </c>
      <c r="E22633" s="3" t="s">
        <v>100</v>
      </c>
      <c r="F22633" s="7">
        <v>46181.67287884269</v>
      </c>
      <c r="G22633" s="3" t="s">
        <v>28756</v>
      </c>
    </row>
    <row r="22634">
      <c r="A22634" s="3" t="s">
        <v>38953</v>
      </c>
      <c r="B22634" s="3" t="s">
        <v>18757</v>
      </c>
      <c r="C22634" s="5" t="s">
        <v>45</v>
      </c>
      <c r="D22634" s="3" t="s">
        <v>221</v>
      </c>
      <c r="E22634" s="3" t="s">
        <v>773</v>
      </c>
      <c r="F22634" s="7">
        <v>46181.73363702144</v>
      </c>
      <c r="G22634" s="3" t="s">
        <v>4635</v>
      </c>
    </row>
    <row r="22635">
      <c r="A22635" s="3" t="s">
        <v>38954</v>
      </c>
      <c r="B22635" s="3" t="s">
        <v>18757</v>
      </c>
      <c r="C22635" s="5" t="s">
        <v>221</v>
      </c>
      <c r="D22635" s="3" t="s">
        <v>614</v>
      </c>
      <c r="E22635" s="3" t="s">
        <v>118</v>
      </c>
      <c r="F22635" s="7">
        <v>46181.73710924366</v>
      </c>
      <c r="G22635" s="3" t="s">
        <v>4638</v>
      </c>
    </row>
    <row r="22636">
      <c r="A22636" s="3" t="s">
        <v>38955</v>
      </c>
      <c r="B22636" s="3" t="s">
        <v>18757</v>
      </c>
      <c r="C22636" s="5" t="s">
        <v>614</v>
      </c>
      <c r="D22636" s="3" t="s">
        <v>206</v>
      </c>
      <c r="E22636" s="3" t="s">
        <v>100</v>
      </c>
      <c r="F22636" s="7">
        <v>46181.740581465885</v>
      </c>
      <c r="G22636" s="3" t="s">
        <v>4641</v>
      </c>
    </row>
    <row r="22637">
      <c r="A22637" s="3" t="s">
        <v>38956</v>
      </c>
      <c r="B22637" s="3" t="s">
        <v>18757</v>
      </c>
      <c r="C22637" s="5" t="s">
        <v>206</v>
      </c>
      <c r="D22637" s="3" t="s">
        <v>68</v>
      </c>
      <c r="E22637" s="3" t="s">
        <v>100</v>
      </c>
      <c r="F22637" s="7">
        <v>46181.744053688104</v>
      </c>
      <c r="G22637" s="3" t="s">
        <v>4643</v>
      </c>
    </row>
    <row r="22638">
      <c r="A22638" s="3" t="s">
        <v>38957</v>
      </c>
      <c r="B22638" s="3" t="s">
        <v>18760</v>
      </c>
      <c r="C22638" s="5" t="s">
        <v>45</v>
      </c>
      <c r="D22638" s="3" t="s">
        <v>221</v>
      </c>
      <c r="E22638" s="3" t="s">
        <v>853</v>
      </c>
      <c r="F22638" s="7">
        <v>46181.80481186686</v>
      </c>
      <c r="G22638" s="3" t="s">
        <v>7488</v>
      </c>
    </row>
    <row r="22639">
      <c r="A22639" s="3" t="s">
        <v>38958</v>
      </c>
      <c r="B22639" s="3" t="s">
        <v>18760</v>
      </c>
      <c r="C22639" s="5" t="s">
        <v>221</v>
      </c>
      <c r="D22639" s="3" t="s">
        <v>614</v>
      </c>
      <c r="E22639" s="3" t="s">
        <v>118</v>
      </c>
      <c r="F22639" s="7">
        <v>46181.80828408908</v>
      </c>
      <c r="G22639" s="3" t="s">
        <v>7491</v>
      </c>
    </row>
    <row r="22640">
      <c r="A22640" s="3" t="s">
        <v>38959</v>
      </c>
      <c r="B22640" s="3" t="s">
        <v>18760</v>
      </c>
      <c r="C22640" s="5" t="s">
        <v>614</v>
      </c>
      <c r="D22640" s="3" t="s">
        <v>206</v>
      </c>
      <c r="E22640" s="3" t="s">
        <v>100</v>
      </c>
      <c r="F22640" s="7">
        <v>46181.811756311305</v>
      </c>
      <c r="G22640" s="3" t="s">
        <v>7494</v>
      </c>
    </row>
    <row r="22641">
      <c r="A22641" s="3" t="s">
        <v>38960</v>
      </c>
      <c r="B22641" s="3" t="s">
        <v>18760</v>
      </c>
      <c r="C22641" s="5" t="s">
        <v>206</v>
      </c>
      <c r="D22641" s="3" t="s">
        <v>68</v>
      </c>
      <c r="E22641" s="3" t="s">
        <v>100</v>
      </c>
      <c r="F22641" s="7">
        <v>46181.81522853352</v>
      </c>
      <c r="G22641" s="3" t="s">
        <v>7496</v>
      </c>
    </row>
    <row r="22642">
      <c r="A22642" s="3" t="s">
        <v>38961</v>
      </c>
      <c r="B22642" s="3" t="s">
        <v>18763</v>
      </c>
      <c r="C22642" s="5" t="s">
        <v>45</v>
      </c>
      <c r="D22642" s="3" t="s">
        <v>221</v>
      </c>
      <c r="E22642" s="3" t="s">
        <v>501</v>
      </c>
      <c r="F22642" s="7">
        <v>46181.87598671227</v>
      </c>
      <c r="G22642" s="3" t="s">
        <v>10306</v>
      </c>
    </row>
    <row r="22643">
      <c r="A22643" s="3" t="s">
        <v>38962</v>
      </c>
      <c r="B22643" s="3" t="s">
        <v>18763</v>
      </c>
      <c r="C22643" s="5" t="s">
        <v>221</v>
      </c>
      <c r="D22643" s="3" t="s">
        <v>614</v>
      </c>
      <c r="E22643" s="3" t="s">
        <v>118</v>
      </c>
      <c r="F22643" s="7">
        <v>46181.87945893449</v>
      </c>
      <c r="G22643" s="3" t="s">
        <v>10309</v>
      </c>
    </row>
    <row r="22644">
      <c r="A22644" s="3" t="s">
        <v>38963</v>
      </c>
      <c r="B22644" s="3" t="s">
        <v>18763</v>
      </c>
      <c r="C22644" s="5" t="s">
        <v>614</v>
      </c>
      <c r="D22644" s="3" t="s">
        <v>206</v>
      </c>
      <c r="E22644" s="3" t="s">
        <v>100</v>
      </c>
      <c r="F22644" s="7">
        <v>46181.88293115672</v>
      </c>
      <c r="G22644" s="3" t="s">
        <v>10312</v>
      </c>
    </row>
    <row r="22645">
      <c r="A22645" s="3" t="s">
        <v>38964</v>
      </c>
      <c r="B22645" s="3" t="s">
        <v>18763</v>
      </c>
      <c r="C22645" s="5" t="s">
        <v>206</v>
      </c>
      <c r="D22645" s="3" t="s">
        <v>68</v>
      </c>
      <c r="E22645" s="3" t="s">
        <v>100</v>
      </c>
      <c r="F22645" s="7">
        <v>46181.886403378936</v>
      </c>
      <c r="G22645" s="3" t="s">
        <v>10315</v>
      </c>
    </row>
    <row r="22646">
      <c r="A22646" s="3" t="s">
        <v>38965</v>
      </c>
      <c r="B22646" s="3" t="s">
        <v>18766</v>
      </c>
      <c r="C22646" s="5" t="s">
        <v>45</v>
      </c>
      <c r="D22646" s="3" t="s">
        <v>221</v>
      </c>
      <c r="E22646" s="3" t="s">
        <v>953</v>
      </c>
      <c r="F22646" s="7">
        <v>46181.947161557684</v>
      </c>
      <c r="G22646" s="3" t="s">
        <v>19658</v>
      </c>
    </row>
    <row r="22647">
      <c r="A22647" s="3" t="s">
        <v>38966</v>
      </c>
      <c r="B22647" s="3" t="s">
        <v>18766</v>
      </c>
      <c r="C22647" s="5" t="s">
        <v>221</v>
      </c>
      <c r="D22647" s="3" t="s">
        <v>614</v>
      </c>
      <c r="E22647" s="3" t="s">
        <v>118</v>
      </c>
      <c r="F22647" s="7">
        <v>46181.9506337799</v>
      </c>
      <c r="G22647" s="3" t="s">
        <v>19661</v>
      </c>
    </row>
    <row r="22648">
      <c r="A22648" s="3" t="s">
        <v>38967</v>
      </c>
      <c r="B22648" s="3" t="s">
        <v>18766</v>
      </c>
      <c r="C22648" s="5" t="s">
        <v>614</v>
      </c>
      <c r="D22648" s="3" t="s">
        <v>206</v>
      </c>
      <c r="E22648" s="3" t="s">
        <v>100</v>
      </c>
      <c r="F22648" s="7">
        <v>46181.95410600213</v>
      </c>
      <c r="G22648" s="3" t="s">
        <v>19664</v>
      </c>
    </row>
    <row r="22649">
      <c r="A22649" s="3" t="s">
        <v>38968</v>
      </c>
      <c r="B22649" s="3" t="s">
        <v>18766</v>
      </c>
      <c r="C22649" s="5" t="s">
        <v>206</v>
      </c>
      <c r="D22649" s="3" t="s">
        <v>68</v>
      </c>
      <c r="E22649" s="3" t="s">
        <v>100</v>
      </c>
      <c r="F22649" s="7">
        <v>46181.95757822435</v>
      </c>
      <c r="G22649" s="3" t="s">
        <v>19667</v>
      </c>
    </row>
    <row r="22650">
      <c r="A22650" s="3" t="s">
        <v>38969</v>
      </c>
      <c r="B22650" s="3" t="s">
        <v>18770</v>
      </c>
      <c r="C22650" s="5" t="s">
        <v>45</v>
      </c>
      <c r="D22650" s="3" t="s">
        <v>221</v>
      </c>
      <c r="E22650" s="3" t="s">
        <v>655</v>
      </c>
      <c r="F22650" s="7">
        <v>46182.0183364031</v>
      </c>
      <c r="G22650" s="3" t="s">
        <v>38970</v>
      </c>
    </row>
    <row r="22651">
      <c r="A22651" s="3" t="s">
        <v>38971</v>
      </c>
      <c r="B22651" s="3" t="s">
        <v>18770</v>
      </c>
      <c r="C22651" s="5" t="s">
        <v>221</v>
      </c>
      <c r="D22651" s="3" t="s">
        <v>614</v>
      </c>
      <c r="E22651" s="3" t="s">
        <v>118</v>
      </c>
      <c r="F22651" s="7">
        <v>46182.02180862532</v>
      </c>
      <c r="G22651" s="3" t="s">
        <v>38972</v>
      </c>
    </row>
    <row r="22652">
      <c r="A22652" s="3" t="s">
        <v>38973</v>
      </c>
      <c r="B22652" s="3" t="s">
        <v>18770</v>
      </c>
      <c r="C22652" s="5" t="s">
        <v>614</v>
      </c>
      <c r="D22652" s="3" t="s">
        <v>206</v>
      </c>
      <c r="E22652" s="3" t="s">
        <v>100</v>
      </c>
      <c r="F22652" s="7">
        <v>46182.02528084755</v>
      </c>
      <c r="G22652" s="3" t="s">
        <v>38974</v>
      </c>
    </row>
    <row r="22653">
      <c r="A22653" s="3" t="s">
        <v>38975</v>
      </c>
      <c r="B22653" s="3" t="s">
        <v>18770</v>
      </c>
      <c r="C22653" s="5" t="s">
        <v>206</v>
      </c>
      <c r="D22653" s="3" t="s">
        <v>68</v>
      </c>
      <c r="E22653" s="3" t="s">
        <v>100</v>
      </c>
      <c r="F22653" s="7">
        <v>46182.02875306977</v>
      </c>
      <c r="G22653" s="3" t="s">
        <v>38976</v>
      </c>
    </row>
    <row r="22654">
      <c r="A22654" s="3" t="s">
        <v>38977</v>
      </c>
      <c r="B22654" s="3" t="s">
        <v>18774</v>
      </c>
      <c r="C22654" s="5" t="s">
        <v>45</v>
      </c>
      <c r="D22654" s="3" t="s">
        <v>221</v>
      </c>
      <c r="E22654" s="3" t="s">
        <v>547</v>
      </c>
      <c r="F22654" s="7">
        <v>46182.089511248516</v>
      </c>
      <c r="G22654" s="3" t="s">
        <v>34012</v>
      </c>
    </row>
    <row r="22655">
      <c r="A22655" s="3" t="s">
        <v>38978</v>
      </c>
      <c r="B22655" s="3" t="s">
        <v>18774</v>
      </c>
      <c r="C22655" s="5" t="s">
        <v>221</v>
      </c>
      <c r="D22655" s="3" t="s">
        <v>614</v>
      </c>
      <c r="E22655" s="3" t="s">
        <v>118</v>
      </c>
      <c r="F22655" s="7">
        <v>46182.092983470735</v>
      </c>
      <c r="G22655" s="3" t="s">
        <v>34014</v>
      </c>
    </row>
    <row r="22656">
      <c r="A22656" s="3" t="s">
        <v>38979</v>
      </c>
      <c r="B22656" s="3" t="s">
        <v>18774</v>
      </c>
      <c r="C22656" s="5" t="s">
        <v>614</v>
      </c>
      <c r="D22656" s="3" t="s">
        <v>206</v>
      </c>
      <c r="E22656" s="3" t="s">
        <v>100</v>
      </c>
      <c r="F22656" s="7">
        <v>46182.09645569296</v>
      </c>
      <c r="G22656" s="3" t="s">
        <v>34016</v>
      </c>
    </row>
    <row r="22657">
      <c r="A22657" s="3" t="s">
        <v>38980</v>
      </c>
      <c r="B22657" s="3" t="s">
        <v>18774</v>
      </c>
      <c r="C22657" s="5" t="s">
        <v>206</v>
      </c>
      <c r="D22657" s="3" t="s">
        <v>68</v>
      </c>
      <c r="E22657" s="3" t="s">
        <v>100</v>
      </c>
      <c r="F22657" s="7">
        <v>46182.09992791518</v>
      </c>
      <c r="G22657" s="3" t="s">
        <v>34018</v>
      </c>
    </row>
    <row r="22658">
      <c r="A22658" s="3" t="s">
        <v>38981</v>
      </c>
      <c r="B22658" s="3" t="s">
        <v>18777</v>
      </c>
      <c r="C22658" s="5" t="s">
        <v>45</v>
      </c>
      <c r="D22658" s="3" t="s">
        <v>221</v>
      </c>
      <c r="E22658" s="3" t="s">
        <v>953</v>
      </c>
      <c r="F22658" s="7">
        <v>46182.16068609393</v>
      </c>
      <c r="G22658" s="3" t="s">
        <v>28862</v>
      </c>
    </row>
    <row r="22659">
      <c r="A22659" s="3" t="s">
        <v>38982</v>
      </c>
      <c r="B22659" s="3" t="s">
        <v>18777</v>
      </c>
      <c r="C22659" s="5" t="s">
        <v>221</v>
      </c>
      <c r="D22659" s="3" t="s">
        <v>614</v>
      </c>
      <c r="E22659" s="3" t="s">
        <v>118</v>
      </c>
      <c r="F22659" s="7">
        <v>46182.16415831615</v>
      </c>
      <c r="G22659" s="3" t="s">
        <v>28864</v>
      </c>
    </row>
    <row r="22660">
      <c r="A22660" s="3" t="s">
        <v>38983</v>
      </c>
      <c r="B22660" s="3" t="s">
        <v>18777</v>
      </c>
      <c r="C22660" s="5" t="s">
        <v>614</v>
      </c>
      <c r="D22660" s="3" t="s">
        <v>206</v>
      </c>
      <c r="E22660" s="3" t="s">
        <v>100</v>
      </c>
      <c r="F22660" s="7">
        <v>46182.16763053837</v>
      </c>
      <c r="G22660" s="3" t="s">
        <v>28866</v>
      </c>
    </row>
    <row r="22661">
      <c r="A22661" s="3" t="s">
        <v>38984</v>
      </c>
      <c r="B22661" s="3" t="s">
        <v>18777</v>
      </c>
      <c r="C22661" s="5" t="s">
        <v>206</v>
      </c>
      <c r="D22661" s="3" t="s">
        <v>68</v>
      </c>
      <c r="E22661" s="3" t="s">
        <v>100</v>
      </c>
      <c r="F22661" s="7">
        <v>46182.17110276059</v>
      </c>
      <c r="G22661" s="3" t="s">
        <v>28868</v>
      </c>
    </row>
    <row r="22662">
      <c r="A22662" s="3" t="s">
        <v>38985</v>
      </c>
      <c r="B22662" s="3" t="s">
        <v>18779</v>
      </c>
      <c r="C22662" s="5" t="s">
        <v>45</v>
      </c>
      <c r="D22662" s="3" t="s">
        <v>221</v>
      </c>
      <c r="E22662" s="3" t="s">
        <v>725</v>
      </c>
      <c r="F22662" s="7">
        <v>46182.23186093935</v>
      </c>
      <c r="G22662" s="3" t="s">
        <v>23150</v>
      </c>
    </row>
    <row r="22663">
      <c r="A22663" s="3" t="s">
        <v>38986</v>
      </c>
      <c r="B22663" s="3" t="s">
        <v>18779</v>
      </c>
      <c r="C22663" s="5" t="s">
        <v>221</v>
      </c>
      <c r="D22663" s="3" t="s">
        <v>614</v>
      </c>
      <c r="E22663" s="3" t="s">
        <v>118</v>
      </c>
      <c r="F22663" s="7">
        <v>46182.23533316157</v>
      </c>
      <c r="G22663" s="3" t="s">
        <v>23153</v>
      </c>
    </row>
    <row r="22664">
      <c r="A22664" s="3" t="s">
        <v>38987</v>
      </c>
      <c r="B22664" s="3" t="s">
        <v>18779</v>
      </c>
      <c r="C22664" s="5" t="s">
        <v>614</v>
      </c>
      <c r="D22664" s="3" t="s">
        <v>206</v>
      </c>
      <c r="E22664" s="3" t="s">
        <v>100</v>
      </c>
      <c r="F22664" s="7">
        <v>46182.23880538379</v>
      </c>
      <c r="G22664" s="3" t="s">
        <v>23155</v>
      </c>
    </row>
    <row r="22665">
      <c r="A22665" s="3" t="s">
        <v>38988</v>
      </c>
      <c r="B22665" s="3" t="s">
        <v>18779</v>
      </c>
      <c r="C22665" s="5" t="s">
        <v>206</v>
      </c>
      <c r="D22665" s="3" t="s">
        <v>68</v>
      </c>
      <c r="E22665" s="3" t="s">
        <v>100</v>
      </c>
      <c r="F22665" s="7">
        <v>46182.24227760601</v>
      </c>
      <c r="G22665" s="3" t="s">
        <v>23158</v>
      </c>
    </row>
    <row r="22666">
      <c r="A22666" s="3" t="s">
        <v>38989</v>
      </c>
      <c r="B22666" s="3" t="s">
        <v>18781</v>
      </c>
      <c r="C22666" s="5" t="s">
        <v>45</v>
      </c>
      <c r="D22666" s="3" t="s">
        <v>221</v>
      </c>
      <c r="E22666" s="3" t="s">
        <v>1049</v>
      </c>
      <c r="F22666" s="7">
        <v>46182.30303578477</v>
      </c>
      <c r="G22666" s="3" t="s">
        <v>4677</v>
      </c>
    </row>
    <row r="22667">
      <c r="A22667" s="3" t="s">
        <v>38990</v>
      </c>
      <c r="B22667" s="3" t="s">
        <v>18781</v>
      </c>
      <c r="C22667" s="5" t="s">
        <v>221</v>
      </c>
      <c r="D22667" s="3" t="s">
        <v>614</v>
      </c>
      <c r="E22667" s="3" t="s">
        <v>118</v>
      </c>
      <c r="F22667" s="7">
        <v>46182.30650800699</v>
      </c>
      <c r="G22667" s="3" t="s">
        <v>4680</v>
      </c>
    </row>
    <row r="22668">
      <c r="A22668" s="3" t="s">
        <v>38991</v>
      </c>
      <c r="B22668" s="3" t="s">
        <v>18781</v>
      </c>
      <c r="C22668" s="5" t="s">
        <v>614</v>
      </c>
      <c r="D22668" s="3" t="s">
        <v>206</v>
      </c>
      <c r="E22668" s="3" t="s">
        <v>100</v>
      </c>
      <c r="F22668" s="7">
        <v>46182.30998022921</v>
      </c>
      <c r="G22668" s="3" t="s">
        <v>4683</v>
      </c>
    </row>
    <row r="22669">
      <c r="A22669" s="3" t="s">
        <v>38992</v>
      </c>
      <c r="B22669" s="3" t="s">
        <v>18781</v>
      </c>
      <c r="C22669" s="5" t="s">
        <v>206</v>
      </c>
      <c r="D22669" s="3" t="s">
        <v>68</v>
      </c>
      <c r="E22669" s="3" t="s">
        <v>100</v>
      </c>
      <c r="F22669" s="7">
        <v>46182.31345245143</v>
      </c>
      <c r="G22669" s="3" t="s">
        <v>4686</v>
      </c>
    </row>
    <row r="22670">
      <c r="A22670" s="3" t="s">
        <v>38993</v>
      </c>
      <c r="B22670" s="3" t="s">
        <v>18784</v>
      </c>
      <c r="C22670" s="5" t="s">
        <v>45</v>
      </c>
      <c r="D22670" s="3" t="s">
        <v>221</v>
      </c>
      <c r="E22670" s="3" t="s">
        <v>446</v>
      </c>
      <c r="F22670" s="7">
        <v>46182.37421063017</v>
      </c>
      <c r="G22670" s="3" t="s">
        <v>14909</v>
      </c>
    </row>
    <row r="22671">
      <c r="A22671" s="3" t="s">
        <v>38994</v>
      </c>
      <c r="B22671" s="3" t="s">
        <v>18784</v>
      </c>
      <c r="C22671" s="5" t="s">
        <v>221</v>
      </c>
      <c r="D22671" s="3" t="s">
        <v>614</v>
      </c>
      <c r="E22671" s="3" t="s">
        <v>118</v>
      </c>
      <c r="F22671" s="7">
        <v>46182.37768285239</v>
      </c>
      <c r="G22671" s="3" t="s">
        <v>14912</v>
      </c>
    </row>
    <row r="22672">
      <c r="A22672" s="3" t="s">
        <v>38995</v>
      </c>
      <c r="B22672" s="3" t="s">
        <v>18784</v>
      </c>
      <c r="C22672" s="5" t="s">
        <v>614</v>
      </c>
      <c r="D22672" s="3" t="s">
        <v>206</v>
      </c>
      <c r="E22672" s="3" t="s">
        <v>100</v>
      </c>
      <c r="F22672" s="7">
        <v>46182.38115507462</v>
      </c>
      <c r="G22672" s="3" t="s">
        <v>14914</v>
      </c>
    </row>
    <row r="22673">
      <c r="A22673" s="3" t="s">
        <v>38996</v>
      </c>
      <c r="B22673" s="3" t="s">
        <v>18784</v>
      </c>
      <c r="C22673" s="5" t="s">
        <v>206</v>
      </c>
      <c r="D22673" s="3" t="s">
        <v>68</v>
      </c>
      <c r="E22673" s="3" t="s">
        <v>100</v>
      </c>
      <c r="F22673" s="7">
        <v>46182.38462729684</v>
      </c>
      <c r="G22673" s="3" t="s">
        <v>14917</v>
      </c>
    </row>
    <row r="22674">
      <c r="A22674" s="3" t="s">
        <v>38997</v>
      </c>
      <c r="B22674" s="3" t="s">
        <v>18786</v>
      </c>
      <c r="C22674" s="5" t="s">
        <v>45</v>
      </c>
      <c r="D22674" s="3" t="s">
        <v>221</v>
      </c>
      <c r="E22674" s="3" t="s">
        <v>269</v>
      </c>
      <c r="F22674" s="7">
        <v>46182.44538547559</v>
      </c>
      <c r="G22674" s="3" t="s">
        <v>6189</v>
      </c>
    </row>
    <row r="22675">
      <c r="A22675" s="3" t="s">
        <v>38998</v>
      </c>
      <c r="B22675" s="3" t="s">
        <v>18786</v>
      </c>
      <c r="C22675" s="5" t="s">
        <v>221</v>
      </c>
      <c r="D22675" s="3" t="s">
        <v>614</v>
      </c>
      <c r="E22675" s="3" t="s">
        <v>118</v>
      </c>
      <c r="F22675" s="7">
        <v>46182.44885769781</v>
      </c>
      <c r="G22675" s="3" t="s">
        <v>10455</v>
      </c>
    </row>
    <row r="22676">
      <c r="A22676" s="3" t="s">
        <v>38999</v>
      </c>
      <c r="B22676" s="3" t="s">
        <v>18786</v>
      </c>
      <c r="C22676" s="5" t="s">
        <v>614</v>
      </c>
      <c r="D22676" s="3" t="s">
        <v>206</v>
      </c>
      <c r="E22676" s="3" t="s">
        <v>100</v>
      </c>
      <c r="F22676" s="7">
        <v>46182.45232992004</v>
      </c>
      <c r="G22676" s="3" t="s">
        <v>10457</v>
      </c>
    </row>
    <row r="22677">
      <c r="A22677" s="3" t="s">
        <v>39000</v>
      </c>
      <c r="B22677" s="3" t="s">
        <v>18786</v>
      </c>
      <c r="C22677" s="5" t="s">
        <v>206</v>
      </c>
      <c r="D22677" s="3" t="s">
        <v>68</v>
      </c>
      <c r="E22677" s="3" t="s">
        <v>100</v>
      </c>
      <c r="F22677" s="7">
        <v>46182.455802142256</v>
      </c>
      <c r="G22677" s="3" t="s">
        <v>10460</v>
      </c>
    </row>
    <row r="22678">
      <c r="A22678" s="3" t="s">
        <v>39001</v>
      </c>
      <c r="B22678" s="3" t="s">
        <v>18788</v>
      </c>
      <c r="C22678" s="5" t="s">
        <v>45</v>
      </c>
      <c r="D22678" s="3" t="s">
        <v>221</v>
      </c>
      <c r="E22678" s="3" t="s">
        <v>516</v>
      </c>
      <c r="F22678" s="7">
        <v>46182.51656032101</v>
      </c>
      <c r="G22678" s="3" t="s">
        <v>15182</v>
      </c>
    </row>
    <row r="22679">
      <c r="A22679" s="3" t="s">
        <v>39002</v>
      </c>
      <c r="B22679" s="3" t="s">
        <v>18788</v>
      </c>
      <c r="C22679" s="5" t="s">
        <v>221</v>
      </c>
      <c r="D22679" s="3" t="s">
        <v>614</v>
      </c>
      <c r="E22679" s="3" t="s">
        <v>118</v>
      </c>
      <c r="F22679" s="7">
        <v>46182.52003254323</v>
      </c>
      <c r="G22679" s="3" t="s">
        <v>15185</v>
      </c>
    </row>
    <row r="22680">
      <c r="A22680" s="3" t="s">
        <v>39003</v>
      </c>
      <c r="B22680" s="3" t="s">
        <v>18788</v>
      </c>
      <c r="C22680" s="5" t="s">
        <v>614</v>
      </c>
      <c r="D22680" s="3" t="s">
        <v>206</v>
      </c>
      <c r="E22680" s="3" t="s">
        <v>100</v>
      </c>
      <c r="F22680" s="7">
        <v>46182.52350476546</v>
      </c>
      <c r="G22680" s="3" t="s">
        <v>15189</v>
      </c>
    </row>
    <row r="22681">
      <c r="A22681" s="3" t="s">
        <v>39004</v>
      </c>
      <c r="B22681" s="3" t="s">
        <v>18788</v>
      </c>
      <c r="C22681" s="5" t="s">
        <v>206</v>
      </c>
      <c r="D22681" s="3" t="s">
        <v>68</v>
      </c>
      <c r="E22681" s="3" t="s">
        <v>100</v>
      </c>
      <c r="F22681" s="7">
        <v>46182.526976987676</v>
      </c>
      <c r="G22681" s="3" t="s">
        <v>15192</v>
      </c>
    </row>
    <row r="22682">
      <c r="A22682" s="3" t="s">
        <v>39005</v>
      </c>
      <c r="B22682" s="3" t="s">
        <v>18791</v>
      </c>
      <c r="C22682" s="5" t="s">
        <v>45</v>
      </c>
      <c r="D22682" s="3" t="s">
        <v>221</v>
      </c>
      <c r="E22682" s="3" t="s">
        <v>541</v>
      </c>
      <c r="F22682" s="7">
        <v>46182.587735166424</v>
      </c>
      <c r="G22682" s="3" t="s">
        <v>16492</v>
      </c>
    </row>
    <row r="22683">
      <c r="A22683" s="3" t="s">
        <v>39006</v>
      </c>
      <c r="B22683" s="3" t="s">
        <v>18791</v>
      </c>
      <c r="C22683" s="5" t="s">
        <v>221</v>
      </c>
      <c r="D22683" s="3" t="s">
        <v>614</v>
      </c>
      <c r="E22683" s="3" t="s">
        <v>118</v>
      </c>
      <c r="F22683" s="7">
        <v>46182.59120738864</v>
      </c>
      <c r="G22683" s="3" t="s">
        <v>16495</v>
      </c>
    </row>
    <row r="22684">
      <c r="A22684" s="3" t="s">
        <v>39007</v>
      </c>
      <c r="B22684" s="3" t="s">
        <v>18791</v>
      </c>
      <c r="C22684" s="5" t="s">
        <v>614</v>
      </c>
      <c r="D22684" s="3" t="s">
        <v>206</v>
      </c>
      <c r="E22684" s="3" t="s">
        <v>100</v>
      </c>
      <c r="F22684" s="7">
        <v>46182.59467961087</v>
      </c>
      <c r="G22684" s="3" t="s">
        <v>16498</v>
      </c>
    </row>
    <row r="22685">
      <c r="A22685" s="3" t="s">
        <v>39008</v>
      </c>
      <c r="B22685" s="3" t="s">
        <v>18791</v>
      </c>
      <c r="C22685" s="5" t="s">
        <v>206</v>
      </c>
      <c r="D22685" s="3" t="s">
        <v>68</v>
      </c>
      <c r="E22685" s="3" t="s">
        <v>100</v>
      </c>
      <c r="F22685" s="7">
        <v>46182.59815183309</v>
      </c>
      <c r="G22685" s="3" t="s">
        <v>16501</v>
      </c>
    </row>
    <row r="22686">
      <c r="A22686" s="3" t="s">
        <v>39009</v>
      </c>
      <c r="B22686" s="3" t="s">
        <v>18794</v>
      </c>
      <c r="C22686" s="5" t="s">
        <v>45</v>
      </c>
      <c r="D22686" s="3" t="s">
        <v>221</v>
      </c>
      <c r="E22686" s="3" t="s">
        <v>266</v>
      </c>
      <c r="F22686" s="7">
        <v>46182.658910011836</v>
      </c>
      <c r="G22686" s="3" t="s">
        <v>4342</v>
      </c>
    </row>
    <row r="22687">
      <c r="A22687" s="3" t="s">
        <v>39010</v>
      </c>
      <c r="B22687" s="3" t="s">
        <v>18794</v>
      </c>
      <c r="C22687" s="5" t="s">
        <v>221</v>
      </c>
      <c r="D22687" s="3" t="s">
        <v>614</v>
      </c>
      <c r="E22687" s="3" t="s">
        <v>118</v>
      </c>
      <c r="F22687" s="7">
        <v>46182.662382234055</v>
      </c>
      <c r="G22687" s="3" t="s">
        <v>4345</v>
      </c>
    </row>
    <row r="22688">
      <c r="A22688" s="3" t="s">
        <v>39011</v>
      </c>
      <c r="B22688" s="3" t="s">
        <v>18794</v>
      </c>
      <c r="C22688" s="5" t="s">
        <v>614</v>
      </c>
      <c r="D22688" s="3" t="s">
        <v>206</v>
      </c>
      <c r="E22688" s="3" t="s">
        <v>100</v>
      </c>
      <c r="F22688" s="7">
        <v>46182.66585445628</v>
      </c>
      <c r="G22688" s="3" t="s">
        <v>4348</v>
      </c>
    </row>
    <row r="22689">
      <c r="A22689" s="3" t="s">
        <v>39012</v>
      </c>
      <c r="B22689" s="3" t="s">
        <v>18794</v>
      </c>
      <c r="C22689" s="5" t="s">
        <v>206</v>
      </c>
      <c r="D22689" s="3" t="s">
        <v>68</v>
      </c>
      <c r="E22689" s="3" t="s">
        <v>100</v>
      </c>
      <c r="F22689" s="7">
        <v>46182.6693266785</v>
      </c>
      <c r="G22689" s="3" t="s">
        <v>4350</v>
      </c>
    </row>
    <row r="22690">
      <c r="A22690" s="3" t="s">
        <v>39013</v>
      </c>
      <c r="B22690" s="3" t="s">
        <v>18797</v>
      </c>
      <c r="C22690" s="5" t="s">
        <v>45</v>
      </c>
      <c r="D22690" s="3" t="s">
        <v>221</v>
      </c>
      <c r="E22690" s="3" t="s">
        <v>208</v>
      </c>
      <c r="F22690" s="7">
        <v>46182.730084857256</v>
      </c>
      <c r="G22690" s="3" t="s">
        <v>19961</v>
      </c>
    </row>
    <row r="22691">
      <c r="A22691" s="3" t="s">
        <v>39014</v>
      </c>
      <c r="B22691" s="3" t="s">
        <v>18797</v>
      </c>
      <c r="C22691" s="5" t="s">
        <v>221</v>
      </c>
      <c r="D22691" s="3" t="s">
        <v>614</v>
      </c>
      <c r="E22691" s="3" t="s">
        <v>118</v>
      </c>
      <c r="F22691" s="7">
        <v>46182.733557079475</v>
      </c>
      <c r="G22691" s="3" t="s">
        <v>19964</v>
      </c>
    </row>
    <row r="22692">
      <c r="A22692" s="3" t="s">
        <v>39015</v>
      </c>
      <c r="B22692" s="3" t="s">
        <v>18797</v>
      </c>
      <c r="C22692" s="5" t="s">
        <v>614</v>
      </c>
      <c r="D22692" s="3" t="s">
        <v>206</v>
      </c>
      <c r="E22692" s="3" t="s">
        <v>100</v>
      </c>
      <c r="F22692" s="7">
        <v>46182.7370293017</v>
      </c>
      <c r="G22692" s="3" t="s">
        <v>19966</v>
      </c>
    </row>
    <row r="22693">
      <c r="A22693" s="3" t="s">
        <v>39016</v>
      </c>
      <c r="B22693" s="3" t="s">
        <v>18797</v>
      </c>
      <c r="C22693" s="5" t="s">
        <v>206</v>
      </c>
      <c r="D22693" s="3" t="s">
        <v>68</v>
      </c>
      <c r="E22693" s="3" t="s">
        <v>100</v>
      </c>
      <c r="F22693" s="7">
        <v>46182.74050152392</v>
      </c>
      <c r="G22693" s="3" t="s">
        <v>19969</v>
      </c>
    </row>
    <row r="22694">
      <c r="A22694" s="3" t="s">
        <v>39017</v>
      </c>
      <c r="B22694" s="3" t="s">
        <v>18800</v>
      </c>
      <c r="C22694" s="5" t="s">
        <v>45</v>
      </c>
      <c r="D22694" s="3" t="s">
        <v>221</v>
      </c>
      <c r="E22694" s="3" t="s">
        <v>440</v>
      </c>
      <c r="F22694" s="7">
        <v>46182.80125970267</v>
      </c>
      <c r="G22694" s="3" t="s">
        <v>18140</v>
      </c>
    </row>
    <row r="22695">
      <c r="A22695" s="3" t="s">
        <v>39018</v>
      </c>
      <c r="B22695" s="3" t="s">
        <v>18800</v>
      </c>
      <c r="C22695" s="5" t="s">
        <v>221</v>
      </c>
      <c r="D22695" s="3" t="s">
        <v>614</v>
      </c>
      <c r="E22695" s="3" t="s">
        <v>118</v>
      </c>
      <c r="F22695" s="7">
        <v>46182.80473192489</v>
      </c>
      <c r="G22695" s="3" t="s">
        <v>18143</v>
      </c>
    </row>
    <row r="22696">
      <c r="A22696" s="3" t="s">
        <v>39019</v>
      </c>
      <c r="B22696" s="3" t="s">
        <v>18800</v>
      </c>
      <c r="C22696" s="5" t="s">
        <v>614</v>
      </c>
      <c r="D22696" s="3" t="s">
        <v>206</v>
      </c>
      <c r="E22696" s="3" t="s">
        <v>100</v>
      </c>
      <c r="F22696" s="7">
        <v>46182.80820414711</v>
      </c>
      <c r="G22696" s="3" t="s">
        <v>18146</v>
      </c>
    </row>
    <row r="22697">
      <c r="A22697" s="3" t="s">
        <v>39020</v>
      </c>
      <c r="B22697" s="3" t="s">
        <v>18800</v>
      </c>
      <c r="C22697" s="5" t="s">
        <v>206</v>
      </c>
      <c r="D22697" s="3" t="s">
        <v>68</v>
      </c>
      <c r="E22697" s="3" t="s">
        <v>100</v>
      </c>
      <c r="F22697" s="7">
        <v>46182.81167636933</v>
      </c>
      <c r="G22697" s="3" t="s">
        <v>18149</v>
      </c>
    </row>
    <row r="22698">
      <c r="A22698" s="3" t="s">
        <v>39021</v>
      </c>
      <c r="B22698" s="3" t="s">
        <v>18803</v>
      </c>
      <c r="C22698" s="5" t="s">
        <v>45</v>
      </c>
      <c r="D22698" s="3" t="s">
        <v>221</v>
      </c>
      <c r="E22698" s="3" t="s">
        <v>652</v>
      </c>
      <c r="F22698" s="7">
        <v>46182.87243454808</v>
      </c>
      <c r="G22698" s="3" t="s">
        <v>6749</v>
      </c>
    </row>
    <row r="22699">
      <c r="A22699" s="3" t="s">
        <v>39022</v>
      </c>
      <c r="B22699" s="3" t="s">
        <v>18803</v>
      </c>
      <c r="C22699" s="5" t="s">
        <v>221</v>
      </c>
      <c r="D22699" s="3" t="s">
        <v>181</v>
      </c>
      <c r="E22699" s="3" t="s">
        <v>118</v>
      </c>
      <c r="F22699" s="7">
        <v>46182.8759067703</v>
      </c>
      <c r="G22699" s="3" t="s">
        <v>39023</v>
      </c>
    </row>
    <row r="22700">
      <c r="A22700" s="3" t="s">
        <v>39024</v>
      </c>
      <c r="B22700" s="3" t="s">
        <v>18805</v>
      </c>
      <c r="C22700" s="5" t="s">
        <v>45</v>
      </c>
      <c r="D22700" s="3" t="s">
        <v>221</v>
      </c>
      <c r="E22700" s="3" t="s">
        <v>848</v>
      </c>
      <c r="F22700" s="7">
        <v>46182.9436093935</v>
      </c>
      <c r="G22700" s="3" t="s">
        <v>32129</v>
      </c>
    </row>
    <row r="22701">
      <c r="A22701" s="3" t="s">
        <v>39025</v>
      </c>
      <c r="B22701" s="3" t="s">
        <v>18805</v>
      </c>
      <c r="C22701" s="5" t="s">
        <v>221</v>
      </c>
      <c r="D22701" s="3" t="s">
        <v>614</v>
      </c>
      <c r="E22701" s="3" t="s">
        <v>118</v>
      </c>
      <c r="F22701" s="7">
        <v>46182.94708161572</v>
      </c>
      <c r="G22701" s="3" t="s">
        <v>32131</v>
      </c>
    </row>
    <row r="22702">
      <c r="A22702" s="3" t="s">
        <v>39026</v>
      </c>
      <c r="B22702" s="3" t="s">
        <v>18805</v>
      </c>
      <c r="C22702" s="5" t="s">
        <v>614</v>
      </c>
      <c r="D22702" s="3" t="s">
        <v>206</v>
      </c>
      <c r="E22702" s="3" t="s">
        <v>100</v>
      </c>
      <c r="F22702" s="7">
        <v>46182.950553837945</v>
      </c>
      <c r="G22702" s="3" t="s">
        <v>32133</v>
      </c>
    </row>
    <row r="22703">
      <c r="A22703" s="3" t="s">
        <v>39027</v>
      </c>
      <c r="B22703" s="3" t="s">
        <v>18805</v>
      </c>
      <c r="C22703" s="5" t="s">
        <v>206</v>
      </c>
      <c r="D22703" s="3" t="s">
        <v>68</v>
      </c>
      <c r="E22703" s="3" t="s">
        <v>100</v>
      </c>
      <c r="F22703" s="7">
        <v>46182.954026060164</v>
      </c>
      <c r="G22703" s="3" t="s">
        <v>32135</v>
      </c>
    </row>
    <row r="22704">
      <c r="A22704" s="3" t="s">
        <v>39028</v>
      </c>
      <c r="B22704" s="3" t="s">
        <v>18808</v>
      </c>
      <c r="C22704" s="5" t="s">
        <v>45</v>
      </c>
      <c r="D22704" s="3" t="s">
        <v>221</v>
      </c>
      <c r="E22704" s="3" t="s">
        <v>845</v>
      </c>
      <c r="F22704" s="7">
        <v>46183.01478423892</v>
      </c>
      <c r="G22704" s="3" t="s">
        <v>21271</v>
      </c>
    </row>
    <row r="22705">
      <c r="A22705" s="3" t="s">
        <v>39029</v>
      </c>
      <c r="B22705" s="3" t="s">
        <v>18808</v>
      </c>
      <c r="C22705" s="5" t="s">
        <v>221</v>
      </c>
      <c r="D22705" s="3" t="s">
        <v>614</v>
      </c>
      <c r="E22705" s="3" t="s">
        <v>118</v>
      </c>
      <c r="F22705" s="7">
        <v>46183.01825646114</v>
      </c>
      <c r="G22705" s="3" t="s">
        <v>21274</v>
      </c>
    </row>
    <row r="22706">
      <c r="A22706" s="3" t="s">
        <v>39030</v>
      </c>
      <c r="B22706" s="3" t="s">
        <v>18808</v>
      </c>
      <c r="C22706" s="5" t="s">
        <v>614</v>
      </c>
      <c r="D22706" s="3" t="s">
        <v>206</v>
      </c>
      <c r="E22706" s="3" t="s">
        <v>100</v>
      </c>
      <c r="F22706" s="7">
        <v>46183.021728683365</v>
      </c>
      <c r="G22706" s="3" t="s">
        <v>21277</v>
      </c>
    </row>
    <row r="22707">
      <c r="A22707" s="3" t="s">
        <v>39031</v>
      </c>
      <c r="B22707" s="3" t="s">
        <v>18808</v>
      </c>
      <c r="C22707" s="5" t="s">
        <v>206</v>
      </c>
      <c r="D22707" s="3" t="s">
        <v>68</v>
      </c>
      <c r="E22707" s="3" t="s">
        <v>100</v>
      </c>
      <c r="F22707" s="7">
        <v>46183.025200905584</v>
      </c>
      <c r="G22707" s="3" t="s">
        <v>21280</v>
      </c>
    </row>
    <row r="22708">
      <c r="A22708" s="3" t="s">
        <v>39032</v>
      </c>
      <c r="B22708" s="3" t="s">
        <v>18813</v>
      </c>
      <c r="C22708" s="5" t="s">
        <v>45</v>
      </c>
      <c r="D22708" s="3" t="s">
        <v>221</v>
      </c>
      <c r="E22708" s="3" t="s">
        <v>877</v>
      </c>
      <c r="F22708" s="7">
        <v>46183.085959084325</v>
      </c>
      <c r="G22708" s="3" t="s">
        <v>14747</v>
      </c>
    </row>
    <row r="22709">
      <c r="A22709" s="3" t="s">
        <v>39033</v>
      </c>
      <c r="B22709" s="3" t="s">
        <v>18813</v>
      </c>
      <c r="C22709" s="5" t="s">
        <v>221</v>
      </c>
      <c r="D22709" s="3" t="s">
        <v>614</v>
      </c>
      <c r="E22709" s="3" t="s">
        <v>118</v>
      </c>
      <c r="F22709" s="7">
        <v>46183.089431306544</v>
      </c>
      <c r="G22709" s="3" t="s">
        <v>14749</v>
      </c>
    </row>
    <row r="22710">
      <c r="A22710" s="3" t="s">
        <v>39034</v>
      </c>
      <c r="B22710" s="3" t="s">
        <v>18813</v>
      </c>
      <c r="C22710" s="5" t="s">
        <v>614</v>
      </c>
      <c r="D22710" s="3" t="s">
        <v>206</v>
      </c>
      <c r="E22710" s="3" t="s">
        <v>100</v>
      </c>
      <c r="F22710" s="7">
        <v>46183.09290352877</v>
      </c>
      <c r="G22710" s="3" t="s">
        <v>14752</v>
      </c>
    </row>
    <row r="22711">
      <c r="A22711" s="3" t="s">
        <v>39035</v>
      </c>
      <c r="B22711" s="3" t="s">
        <v>18813</v>
      </c>
      <c r="C22711" s="5" t="s">
        <v>206</v>
      </c>
      <c r="D22711" s="3" t="s">
        <v>68</v>
      </c>
      <c r="E22711" s="3" t="s">
        <v>100</v>
      </c>
      <c r="F22711" s="7">
        <v>46183.09637575099</v>
      </c>
      <c r="G22711" s="3" t="s">
        <v>14755</v>
      </c>
    </row>
    <row r="22712">
      <c r="A22712" s="3" t="s">
        <v>39036</v>
      </c>
      <c r="B22712" s="3" t="s">
        <v>18816</v>
      </c>
      <c r="C22712" s="5" t="s">
        <v>45</v>
      </c>
      <c r="D22712" s="3" t="s">
        <v>221</v>
      </c>
      <c r="E22712" s="3" t="s">
        <v>250</v>
      </c>
      <c r="F22712" s="7">
        <v>46183.157133929744</v>
      </c>
      <c r="G22712" s="3" t="s">
        <v>14421</v>
      </c>
    </row>
    <row r="22713">
      <c r="A22713" s="3" t="s">
        <v>39037</v>
      </c>
      <c r="B22713" s="3" t="s">
        <v>18816</v>
      </c>
      <c r="C22713" s="5" t="s">
        <v>221</v>
      </c>
      <c r="D22713" s="3" t="s">
        <v>614</v>
      </c>
      <c r="E22713" s="3" t="s">
        <v>118</v>
      </c>
      <c r="F22713" s="7">
        <v>46183.16060615196</v>
      </c>
      <c r="G22713" s="3" t="s">
        <v>14424</v>
      </c>
    </row>
    <row r="22714">
      <c r="A22714" s="3" t="s">
        <v>39038</v>
      </c>
      <c r="B22714" s="3" t="s">
        <v>18816</v>
      </c>
      <c r="C22714" s="5" t="s">
        <v>614</v>
      </c>
      <c r="D22714" s="3" t="s">
        <v>206</v>
      </c>
      <c r="E22714" s="3" t="s">
        <v>100</v>
      </c>
      <c r="F22714" s="7">
        <v>46183.16407837419</v>
      </c>
      <c r="G22714" s="3" t="s">
        <v>14427</v>
      </c>
    </row>
    <row r="22715">
      <c r="A22715" s="3" t="s">
        <v>39039</v>
      </c>
      <c r="B22715" s="3" t="s">
        <v>18816</v>
      </c>
      <c r="C22715" s="5" t="s">
        <v>206</v>
      </c>
      <c r="D22715" s="3" t="s">
        <v>68</v>
      </c>
      <c r="E22715" s="3" t="s">
        <v>100</v>
      </c>
      <c r="F22715" s="7">
        <v>46183.16755059641</v>
      </c>
      <c r="G22715" s="3" t="s">
        <v>14430</v>
      </c>
    </row>
    <row r="22716">
      <c r="A22716" s="3" t="s">
        <v>39040</v>
      </c>
      <c r="B22716" s="3" t="s">
        <v>18818</v>
      </c>
      <c r="C22716" s="5" t="s">
        <v>45</v>
      </c>
      <c r="D22716" s="3" t="s">
        <v>221</v>
      </c>
      <c r="E22716" s="3" t="s">
        <v>565</v>
      </c>
      <c r="F22716" s="7">
        <v>46183.22830877516</v>
      </c>
      <c r="G22716" s="3" t="s">
        <v>18129</v>
      </c>
    </row>
    <row r="22717">
      <c r="A22717" s="3" t="s">
        <v>39041</v>
      </c>
      <c r="B22717" s="3" t="s">
        <v>18818</v>
      </c>
      <c r="C22717" s="5" t="s">
        <v>221</v>
      </c>
      <c r="D22717" s="3" t="s">
        <v>195</v>
      </c>
      <c r="E22717" s="3" t="s">
        <v>565</v>
      </c>
      <c r="F22717" s="7">
        <v>46183.231780997376</v>
      </c>
      <c r="G22717" s="3" t="s">
        <v>39042</v>
      </c>
    </row>
    <row r="22718">
      <c r="A22718" s="3" t="s">
        <v>39043</v>
      </c>
      <c r="B22718" s="3" t="s">
        <v>18820</v>
      </c>
      <c r="C22718" s="5" t="s">
        <v>45</v>
      </c>
      <c r="D22718" s="3" t="s">
        <v>221</v>
      </c>
      <c r="E22718" s="3" t="s">
        <v>1037</v>
      </c>
      <c r="F22718" s="7">
        <v>46183.299483620576</v>
      </c>
      <c r="G22718" s="3" t="s">
        <v>4689</v>
      </c>
    </row>
    <row r="22719">
      <c r="A22719" s="3" t="s">
        <v>39044</v>
      </c>
      <c r="B22719" s="3" t="s">
        <v>18820</v>
      </c>
      <c r="C22719" s="5" t="s">
        <v>221</v>
      </c>
      <c r="D22719" s="3" t="s">
        <v>614</v>
      </c>
      <c r="E22719" s="3" t="s">
        <v>118</v>
      </c>
      <c r="F22719" s="7">
        <v>46183.302955842795</v>
      </c>
      <c r="G22719" s="3" t="s">
        <v>4692</v>
      </c>
    </row>
    <row r="22720">
      <c r="A22720" s="3" t="s">
        <v>39045</v>
      </c>
      <c r="B22720" s="3" t="s">
        <v>18820</v>
      </c>
      <c r="C22720" s="5" t="s">
        <v>614</v>
      </c>
      <c r="D22720" s="3" t="s">
        <v>206</v>
      </c>
      <c r="E22720" s="3" t="s">
        <v>100</v>
      </c>
      <c r="F22720" s="7">
        <v>46183.30642806502</v>
      </c>
      <c r="G22720" s="3" t="s">
        <v>4695</v>
      </c>
    </row>
    <row r="22721">
      <c r="A22721" s="3" t="s">
        <v>39046</v>
      </c>
      <c r="B22721" s="3" t="s">
        <v>18820</v>
      </c>
      <c r="C22721" s="5" t="s">
        <v>206</v>
      </c>
      <c r="D22721" s="3" t="s">
        <v>68</v>
      </c>
      <c r="E22721" s="3" t="s">
        <v>100</v>
      </c>
      <c r="F22721" s="7">
        <v>46183.30990028724</v>
      </c>
      <c r="G22721" s="3" t="s">
        <v>4698</v>
      </c>
    </row>
    <row r="22722">
      <c r="A22722" s="3" t="s">
        <v>39047</v>
      </c>
      <c r="B22722" s="3" t="s">
        <v>18823</v>
      </c>
      <c r="C22722" s="5" t="s">
        <v>45</v>
      </c>
      <c r="D22722" s="3" t="s">
        <v>221</v>
      </c>
      <c r="E22722" s="3" t="s">
        <v>1008</v>
      </c>
      <c r="F22722" s="7">
        <v>46183.37065846599</v>
      </c>
      <c r="G22722" s="3" t="s">
        <v>2770</v>
      </c>
    </row>
    <row r="22723">
      <c r="A22723" s="3" t="s">
        <v>39048</v>
      </c>
      <c r="B22723" s="3" t="s">
        <v>18823</v>
      </c>
      <c r="C22723" s="5" t="s">
        <v>221</v>
      </c>
      <c r="D22723" s="3" t="s">
        <v>181</v>
      </c>
      <c r="E22723" s="3" t="s">
        <v>118</v>
      </c>
      <c r="F22723" s="7">
        <v>46183.37413068821</v>
      </c>
      <c r="G22723" s="3" t="s">
        <v>2774</v>
      </c>
    </row>
    <row r="22724">
      <c r="A22724" s="3" t="s">
        <v>39049</v>
      </c>
      <c r="B22724" s="3" t="s">
        <v>18825</v>
      </c>
      <c r="C22724" s="5" t="s">
        <v>45</v>
      </c>
      <c r="D22724" s="3" t="s">
        <v>221</v>
      </c>
      <c r="E22724" s="3" t="s">
        <v>527</v>
      </c>
      <c r="F22724" s="7">
        <v>46183.44183331141</v>
      </c>
      <c r="G22724" s="3" t="s">
        <v>19636</v>
      </c>
    </row>
    <row r="22725">
      <c r="A22725" s="3" t="s">
        <v>39050</v>
      </c>
      <c r="B22725" s="3" t="s">
        <v>18825</v>
      </c>
      <c r="C22725" s="5" t="s">
        <v>221</v>
      </c>
      <c r="D22725" s="3" t="s">
        <v>181</v>
      </c>
      <c r="E22725" s="3" t="s">
        <v>118</v>
      </c>
      <c r="F22725" s="7">
        <v>46183.44530553363</v>
      </c>
      <c r="G22725" s="3" t="s">
        <v>39051</v>
      </c>
    </row>
    <row r="22726">
      <c r="A22726" s="3" t="s">
        <v>39052</v>
      </c>
      <c r="B22726" s="3" t="s">
        <v>18827</v>
      </c>
      <c r="C22726" s="5" t="s">
        <v>45</v>
      </c>
      <c r="D22726" s="3" t="s">
        <v>221</v>
      </c>
      <c r="E22726" s="3" t="s">
        <v>395</v>
      </c>
      <c r="F22726" s="7">
        <v>46183.51300815681</v>
      </c>
      <c r="G22726" s="3" t="s">
        <v>29322</v>
      </c>
    </row>
    <row r="22727">
      <c r="A22727" s="3" t="s">
        <v>39053</v>
      </c>
      <c r="B22727" s="3" t="s">
        <v>18827</v>
      </c>
      <c r="C22727" s="5" t="s">
        <v>221</v>
      </c>
      <c r="D22727" s="3" t="s">
        <v>614</v>
      </c>
      <c r="E22727" s="3" t="s">
        <v>118</v>
      </c>
      <c r="F22727" s="7">
        <v>46183.51648037903</v>
      </c>
      <c r="G22727" s="3" t="s">
        <v>29324</v>
      </c>
    </row>
    <row r="22728">
      <c r="A22728" s="3" t="s">
        <v>39054</v>
      </c>
      <c r="B22728" s="3" t="s">
        <v>18827</v>
      </c>
      <c r="C22728" s="5" t="s">
        <v>614</v>
      </c>
      <c r="D22728" s="3" t="s">
        <v>206</v>
      </c>
      <c r="E22728" s="3" t="s">
        <v>100</v>
      </c>
      <c r="F22728" s="7">
        <v>46183.51995260126</v>
      </c>
      <c r="G22728" s="3" t="s">
        <v>29326</v>
      </c>
    </row>
    <row r="22729">
      <c r="A22729" s="3" t="s">
        <v>39055</v>
      </c>
      <c r="B22729" s="3" t="s">
        <v>18827</v>
      </c>
      <c r="C22729" s="5" t="s">
        <v>206</v>
      </c>
      <c r="D22729" s="3" t="s">
        <v>68</v>
      </c>
      <c r="E22729" s="3" t="s">
        <v>100</v>
      </c>
      <c r="F22729" s="7">
        <v>46183.52342482348</v>
      </c>
      <c r="G22729" s="3" t="s">
        <v>29328</v>
      </c>
    </row>
    <row r="22730">
      <c r="A22730" s="3" t="s">
        <v>39056</v>
      </c>
      <c r="B22730" s="3" t="s">
        <v>18830</v>
      </c>
      <c r="C22730" s="5" t="s">
        <v>45</v>
      </c>
      <c r="D22730" s="3" t="s">
        <v>221</v>
      </c>
      <c r="E22730" s="3" t="s">
        <v>151</v>
      </c>
      <c r="F22730" s="7">
        <v>46183.58418300223</v>
      </c>
      <c r="G22730" s="3" t="s">
        <v>5136</v>
      </c>
    </row>
    <row r="22731">
      <c r="A22731" s="3" t="s">
        <v>39057</v>
      </c>
      <c r="B22731" s="3" t="s">
        <v>18830</v>
      </c>
      <c r="C22731" s="5" t="s">
        <v>221</v>
      </c>
      <c r="D22731" s="3" t="s">
        <v>614</v>
      </c>
      <c r="E22731" s="3" t="s">
        <v>118</v>
      </c>
      <c r="F22731" s="7">
        <v>46183.58765522445</v>
      </c>
      <c r="G22731" s="3" t="s">
        <v>5139</v>
      </c>
    </row>
    <row r="22732">
      <c r="A22732" s="3" t="s">
        <v>39058</v>
      </c>
      <c r="B22732" s="3" t="s">
        <v>18830</v>
      </c>
      <c r="C22732" s="5" t="s">
        <v>614</v>
      </c>
      <c r="D22732" s="3" t="s">
        <v>206</v>
      </c>
      <c r="E22732" s="3" t="s">
        <v>100</v>
      </c>
      <c r="F22732" s="7">
        <v>46183.59112744668</v>
      </c>
      <c r="G22732" s="3" t="s">
        <v>5142</v>
      </c>
    </row>
    <row r="22733">
      <c r="A22733" s="3" t="s">
        <v>39059</v>
      </c>
      <c r="B22733" s="3" t="s">
        <v>18830</v>
      </c>
      <c r="C22733" s="5" t="s">
        <v>206</v>
      </c>
      <c r="D22733" s="3" t="s">
        <v>68</v>
      </c>
      <c r="E22733" s="3" t="s">
        <v>100</v>
      </c>
      <c r="F22733" s="7">
        <v>46183.5945996689</v>
      </c>
      <c r="G22733" s="3" t="s">
        <v>5145</v>
      </c>
    </row>
    <row r="22734">
      <c r="A22734" s="3" t="s">
        <v>39060</v>
      </c>
      <c r="B22734" s="3" t="s">
        <v>18835</v>
      </c>
      <c r="C22734" s="5" t="s">
        <v>45</v>
      </c>
      <c r="D22734" s="3" t="s">
        <v>221</v>
      </c>
      <c r="E22734" s="3" t="s">
        <v>669</v>
      </c>
      <c r="F22734" s="7">
        <v>46183.65535784765</v>
      </c>
      <c r="G22734" s="3" t="s">
        <v>4701</v>
      </c>
    </row>
    <row r="22735">
      <c r="A22735" s="3" t="s">
        <v>39061</v>
      </c>
      <c r="B22735" s="3" t="s">
        <v>18835</v>
      </c>
      <c r="C22735" s="5" t="s">
        <v>221</v>
      </c>
      <c r="D22735" s="3" t="s">
        <v>614</v>
      </c>
      <c r="E22735" s="3" t="s">
        <v>118</v>
      </c>
      <c r="F22735" s="7">
        <v>46183.65883006987</v>
      </c>
      <c r="G22735" s="3" t="s">
        <v>4704</v>
      </c>
    </row>
    <row r="22736">
      <c r="A22736" s="3" t="s">
        <v>39062</v>
      </c>
      <c r="B22736" s="3" t="s">
        <v>18835</v>
      </c>
      <c r="C22736" s="5" t="s">
        <v>614</v>
      </c>
      <c r="D22736" s="3" t="s">
        <v>206</v>
      </c>
      <c r="E22736" s="3" t="s">
        <v>100</v>
      </c>
      <c r="F22736" s="7">
        <v>46183.6623022921</v>
      </c>
      <c r="G22736" s="3" t="s">
        <v>4706</v>
      </c>
    </row>
    <row r="22737">
      <c r="A22737" s="3" t="s">
        <v>39063</v>
      </c>
      <c r="B22737" s="3" t="s">
        <v>18835</v>
      </c>
      <c r="C22737" s="5" t="s">
        <v>206</v>
      </c>
      <c r="D22737" s="3" t="s">
        <v>68</v>
      </c>
      <c r="E22737" s="3" t="s">
        <v>100</v>
      </c>
      <c r="F22737" s="7">
        <v>46183.66577451432</v>
      </c>
      <c r="G22737" s="3" t="s">
        <v>4709</v>
      </c>
    </row>
    <row r="22738">
      <c r="A22738" s="3" t="s">
        <v>39064</v>
      </c>
      <c r="B22738" s="3" t="s">
        <v>18838</v>
      </c>
      <c r="C22738" s="5" t="s">
        <v>45</v>
      </c>
      <c r="D22738" s="3" t="s">
        <v>221</v>
      </c>
      <c r="E22738" s="3" t="s">
        <v>694</v>
      </c>
      <c r="F22738" s="7">
        <v>46183.726532693065</v>
      </c>
      <c r="G22738" s="3" t="s">
        <v>21154</v>
      </c>
    </row>
    <row r="22739">
      <c r="A22739" s="3" t="s">
        <v>39065</v>
      </c>
      <c r="B22739" s="3" t="s">
        <v>18838</v>
      </c>
      <c r="C22739" s="5" t="s">
        <v>221</v>
      </c>
      <c r="D22739" s="3" t="s">
        <v>614</v>
      </c>
      <c r="E22739" s="3" t="s">
        <v>118</v>
      </c>
      <c r="F22739" s="7">
        <v>46183.730004915284</v>
      </c>
      <c r="G22739" s="3" t="s">
        <v>21157</v>
      </c>
    </row>
    <row r="22740">
      <c r="A22740" s="3" t="s">
        <v>39066</v>
      </c>
      <c r="B22740" s="3" t="s">
        <v>18838</v>
      </c>
      <c r="C22740" s="5" t="s">
        <v>614</v>
      </c>
      <c r="D22740" s="3" t="s">
        <v>206</v>
      </c>
      <c r="E22740" s="3" t="s">
        <v>100</v>
      </c>
      <c r="F22740" s="7">
        <v>46183.73347713751</v>
      </c>
      <c r="G22740" s="3" t="s">
        <v>21160</v>
      </c>
    </row>
    <row r="22741">
      <c r="A22741" s="3" t="s">
        <v>39067</v>
      </c>
      <c r="B22741" s="3" t="s">
        <v>18838</v>
      </c>
      <c r="C22741" s="5" t="s">
        <v>206</v>
      </c>
      <c r="D22741" s="3" t="s">
        <v>68</v>
      </c>
      <c r="E22741" s="3" t="s">
        <v>100</v>
      </c>
      <c r="F22741" s="7">
        <v>46183.73694935973</v>
      </c>
      <c r="G22741" s="3" t="s">
        <v>21163</v>
      </c>
    </row>
    <row r="22742">
      <c r="A22742" s="3" t="s">
        <v>39068</v>
      </c>
      <c r="B22742" s="3" t="s">
        <v>18840</v>
      </c>
      <c r="C22742" s="5" t="s">
        <v>45</v>
      </c>
      <c r="D22742" s="3" t="s">
        <v>221</v>
      </c>
      <c r="E22742" s="3" t="s">
        <v>183</v>
      </c>
      <c r="F22742" s="7">
        <v>46183.79770753848</v>
      </c>
      <c r="G22742" s="3" t="s">
        <v>7627</v>
      </c>
    </row>
    <row r="22743">
      <c r="A22743" s="3" t="s">
        <v>39069</v>
      </c>
      <c r="B22743" s="3" t="s">
        <v>18840</v>
      </c>
      <c r="C22743" s="5" t="s">
        <v>221</v>
      </c>
      <c r="D22743" s="3" t="s">
        <v>614</v>
      </c>
      <c r="E22743" s="3" t="s">
        <v>118</v>
      </c>
      <c r="F22743" s="7">
        <v>46183.801179760696</v>
      </c>
      <c r="G22743" s="3" t="s">
        <v>8929</v>
      </c>
    </row>
    <row r="22744">
      <c r="A22744" s="3" t="s">
        <v>39070</v>
      </c>
      <c r="B22744" s="3" t="s">
        <v>18840</v>
      </c>
      <c r="C22744" s="5" t="s">
        <v>614</v>
      </c>
      <c r="D22744" s="3" t="s">
        <v>206</v>
      </c>
      <c r="E22744" s="3" t="s">
        <v>100</v>
      </c>
      <c r="F22744" s="7">
        <v>46183.80465198292</v>
      </c>
      <c r="G22744" s="3" t="s">
        <v>8932</v>
      </c>
    </row>
    <row r="22745">
      <c r="A22745" s="3" t="s">
        <v>39071</v>
      </c>
      <c r="B22745" s="3" t="s">
        <v>18840</v>
      </c>
      <c r="C22745" s="5" t="s">
        <v>206</v>
      </c>
      <c r="D22745" s="3" t="s">
        <v>68</v>
      </c>
      <c r="E22745" s="3" t="s">
        <v>100</v>
      </c>
      <c r="F22745" s="7">
        <v>46183.80812420514</v>
      </c>
      <c r="G22745" s="3" t="s">
        <v>8935</v>
      </c>
    </row>
    <row r="22746">
      <c r="A22746" s="3" t="s">
        <v>39072</v>
      </c>
      <c r="B22746" s="3" t="s">
        <v>18842</v>
      </c>
      <c r="C22746" s="5" t="s">
        <v>45</v>
      </c>
      <c r="D22746" s="3" t="s">
        <v>221</v>
      </c>
      <c r="E22746" s="3" t="s">
        <v>939</v>
      </c>
      <c r="F22746" s="7">
        <v>46183.8688823839</v>
      </c>
      <c r="G22746" s="3" t="s">
        <v>13032</v>
      </c>
    </row>
    <row r="22747">
      <c r="A22747" s="3" t="s">
        <v>39073</v>
      </c>
      <c r="B22747" s="3" t="s">
        <v>18842</v>
      </c>
      <c r="C22747" s="5" t="s">
        <v>221</v>
      </c>
      <c r="D22747" s="3" t="s">
        <v>614</v>
      </c>
      <c r="E22747" s="3" t="s">
        <v>118</v>
      </c>
      <c r="F22747" s="7">
        <v>46183.872354606116</v>
      </c>
      <c r="G22747" s="3" t="s">
        <v>26882</v>
      </c>
    </row>
    <row r="22748">
      <c r="A22748" s="3" t="s">
        <v>39074</v>
      </c>
      <c r="B22748" s="3" t="s">
        <v>18842</v>
      </c>
      <c r="C22748" s="5" t="s">
        <v>614</v>
      </c>
      <c r="D22748" s="3" t="s">
        <v>206</v>
      </c>
      <c r="E22748" s="3" t="s">
        <v>100</v>
      </c>
      <c r="F22748" s="7">
        <v>46183.87582682834</v>
      </c>
      <c r="G22748" s="3" t="s">
        <v>26884</v>
      </c>
    </row>
    <row r="22749">
      <c r="A22749" s="3" t="s">
        <v>39075</v>
      </c>
      <c r="B22749" s="3" t="s">
        <v>18842</v>
      </c>
      <c r="C22749" s="5" t="s">
        <v>206</v>
      </c>
      <c r="D22749" s="3" t="s">
        <v>68</v>
      </c>
      <c r="E22749" s="3" t="s">
        <v>100</v>
      </c>
      <c r="F22749" s="7">
        <v>46183.87929905056</v>
      </c>
      <c r="G22749" s="3" t="s">
        <v>26886</v>
      </c>
    </row>
    <row r="22750">
      <c r="A22750" s="3" t="s">
        <v>39076</v>
      </c>
      <c r="B22750" s="3" t="s">
        <v>18844</v>
      </c>
      <c r="C22750" s="5" t="s">
        <v>45</v>
      </c>
      <c r="D22750" s="3" t="s">
        <v>221</v>
      </c>
      <c r="E22750" s="3" t="s">
        <v>579</v>
      </c>
      <c r="F22750" s="7">
        <v>46183.94005722931</v>
      </c>
      <c r="G22750" s="3" t="s">
        <v>4724</v>
      </c>
    </row>
    <row r="22751">
      <c r="A22751" s="3" t="s">
        <v>39077</v>
      </c>
      <c r="B22751" s="3" t="s">
        <v>18844</v>
      </c>
      <c r="C22751" s="5" t="s">
        <v>221</v>
      </c>
      <c r="D22751" s="3" t="s">
        <v>614</v>
      </c>
      <c r="E22751" s="3" t="s">
        <v>118</v>
      </c>
      <c r="F22751" s="7">
        <v>46183.94352945153</v>
      </c>
      <c r="G22751" s="3" t="s">
        <v>4727</v>
      </c>
    </row>
    <row r="22752">
      <c r="A22752" s="3" t="s">
        <v>39078</v>
      </c>
      <c r="B22752" s="3" t="s">
        <v>18844</v>
      </c>
      <c r="C22752" s="5" t="s">
        <v>614</v>
      </c>
      <c r="D22752" s="3" t="s">
        <v>206</v>
      </c>
      <c r="E22752" s="3" t="s">
        <v>100</v>
      </c>
      <c r="F22752" s="7">
        <v>46183.947001673754</v>
      </c>
      <c r="G22752" s="3" t="s">
        <v>4730</v>
      </c>
    </row>
    <row r="22753">
      <c r="A22753" s="3" t="s">
        <v>39079</v>
      </c>
      <c r="B22753" s="3" t="s">
        <v>18844</v>
      </c>
      <c r="C22753" s="5" t="s">
        <v>206</v>
      </c>
      <c r="D22753" s="3" t="s">
        <v>68</v>
      </c>
      <c r="E22753" s="3" t="s">
        <v>100</v>
      </c>
      <c r="F22753" s="7">
        <v>46183.95047389597</v>
      </c>
      <c r="G22753" s="3" t="s">
        <v>4733</v>
      </c>
    </row>
    <row r="22754">
      <c r="A22754" s="3" t="s">
        <v>39080</v>
      </c>
      <c r="B22754" s="3" t="s">
        <v>18847</v>
      </c>
      <c r="C22754" s="5" t="s">
        <v>45</v>
      </c>
      <c r="D22754" s="3" t="s">
        <v>221</v>
      </c>
      <c r="E22754" s="3" t="s">
        <v>411</v>
      </c>
      <c r="F22754" s="7">
        <v>46184.01123207472</v>
      </c>
      <c r="G22754" s="3" t="s">
        <v>4747</v>
      </c>
    </row>
    <row r="22755">
      <c r="A22755" s="3" t="s">
        <v>39081</v>
      </c>
      <c r="B22755" s="3" t="s">
        <v>18847</v>
      </c>
      <c r="C22755" s="5" t="s">
        <v>221</v>
      </c>
      <c r="D22755" s="3" t="s">
        <v>614</v>
      </c>
      <c r="E22755" s="3" t="s">
        <v>118</v>
      </c>
      <c r="F22755" s="7">
        <v>46184.01470429694</v>
      </c>
      <c r="G22755" s="3" t="s">
        <v>4750</v>
      </c>
    </row>
    <row r="22756">
      <c r="A22756" s="3" t="s">
        <v>39082</v>
      </c>
      <c r="B22756" s="3" t="s">
        <v>18847</v>
      </c>
      <c r="C22756" s="5" t="s">
        <v>614</v>
      </c>
      <c r="D22756" s="3" t="s">
        <v>206</v>
      </c>
      <c r="E22756" s="3" t="s">
        <v>100</v>
      </c>
      <c r="F22756" s="7">
        <v>46184.01817651917</v>
      </c>
      <c r="G22756" s="3" t="s">
        <v>4753</v>
      </c>
    </row>
    <row r="22757">
      <c r="A22757" s="3" t="s">
        <v>39083</v>
      </c>
      <c r="B22757" s="3" t="s">
        <v>18847</v>
      </c>
      <c r="C22757" s="5" t="s">
        <v>206</v>
      </c>
      <c r="D22757" s="3" t="s">
        <v>68</v>
      </c>
      <c r="E22757" s="3" t="s">
        <v>100</v>
      </c>
      <c r="F22757" s="7">
        <v>46184.021648741385</v>
      </c>
      <c r="G22757" s="3" t="s">
        <v>4755</v>
      </c>
    </row>
    <row r="22758">
      <c r="A22758" s="3" t="s">
        <v>39084</v>
      </c>
      <c r="B22758" s="3" t="s">
        <v>18851</v>
      </c>
      <c r="C22758" s="5" t="s">
        <v>45</v>
      </c>
      <c r="D22758" s="3" t="s">
        <v>221</v>
      </c>
      <c r="E22758" s="3" t="s">
        <v>913</v>
      </c>
      <c r="F22758" s="7">
        <v>46184.08240692014</v>
      </c>
      <c r="G22758" s="3" t="s">
        <v>16811</v>
      </c>
    </row>
    <row r="22759">
      <c r="A22759" s="3" t="s">
        <v>39085</v>
      </c>
      <c r="B22759" s="3" t="s">
        <v>18851</v>
      </c>
      <c r="C22759" s="5" t="s">
        <v>221</v>
      </c>
      <c r="D22759" s="3" t="s">
        <v>614</v>
      </c>
      <c r="E22759" s="3" t="s">
        <v>118</v>
      </c>
      <c r="F22759" s="7">
        <v>46184.08587914236</v>
      </c>
      <c r="G22759" s="3" t="s">
        <v>16814</v>
      </c>
    </row>
    <row r="22760">
      <c r="A22760" s="3" t="s">
        <v>39086</v>
      </c>
      <c r="B22760" s="3" t="s">
        <v>18851</v>
      </c>
      <c r="C22760" s="5" t="s">
        <v>614</v>
      </c>
      <c r="D22760" s="3" t="s">
        <v>206</v>
      </c>
      <c r="E22760" s="3" t="s">
        <v>100</v>
      </c>
      <c r="F22760" s="7">
        <v>46184.089351364586</v>
      </c>
      <c r="G22760" s="3" t="s">
        <v>16817</v>
      </c>
    </row>
    <row r="22761">
      <c r="A22761" s="3" t="s">
        <v>39087</v>
      </c>
      <c r="B22761" s="3" t="s">
        <v>18851</v>
      </c>
      <c r="C22761" s="5" t="s">
        <v>206</v>
      </c>
      <c r="D22761" s="3" t="s">
        <v>68</v>
      </c>
      <c r="E22761" s="3" t="s">
        <v>100</v>
      </c>
      <c r="F22761" s="7">
        <v>46184.092823586805</v>
      </c>
      <c r="G22761" s="3" t="s">
        <v>16820</v>
      </c>
    </row>
    <row r="22762">
      <c r="A22762" s="3" t="s">
        <v>39088</v>
      </c>
      <c r="B22762" s="3" t="s">
        <v>18854</v>
      </c>
      <c r="C22762" s="5" t="s">
        <v>45</v>
      </c>
      <c r="D22762" s="3" t="s">
        <v>221</v>
      </c>
      <c r="E22762" s="3" t="s">
        <v>260</v>
      </c>
      <c r="F22762" s="7">
        <v>46184.15358176556</v>
      </c>
      <c r="G22762" s="3" t="s">
        <v>4788</v>
      </c>
    </row>
    <row r="22763">
      <c r="A22763" s="3" t="s">
        <v>39089</v>
      </c>
      <c r="B22763" s="3" t="s">
        <v>18854</v>
      </c>
      <c r="C22763" s="5" t="s">
        <v>221</v>
      </c>
      <c r="D22763" s="3" t="s">
        <v>614</v>
      </c>
      <c r="E22763" s="3" t="s">
        <v>118</v>
      </c>
      <c r="F22763" s="7">
        <v>46184.15705398778</v>
      </c>
      <c r="G22763" s="3" t="s">
        <v>4791</v>
      </c>
    </row>
    <row r="22764">
      <c r="A22764" s="3" t="s">
        <v>39090</v>
      </c>
      <c r="B22764" s="3" t="s">
        <v>18854</v>
      </c>
      <c r="C22764" s="5" t="s">
        <v>614</v>
      </c>
      <c r="D22764" s="3" t="s">
        <v>206</v>
      </c>
      <c r="E22764" s="3" t="s">
        <v>100</v>
      </c>
      <c r="F22764" s="7">
        <v>46184.160526210006</v>
      </c>
      <c r="G22764" s="3" t="s">
        <v>4794</v>
      </c>
    </row>
    <row r="22765">
      <c r="A22765" s="3" t="s">
        <v>39091</v>
      </c>
      <c r="B22765" s="3" t="s">
        <v>18854</v>
      </c>
      <c r="C22765" s="5" t="s">
        <v>206</v>
      </c>
      <c r="D22765" s="3" t="s">
        <v>68</v>
      </c>
      <c r="E22765" s="3" t="s">
        <v>100</v>
      </c>
      <c r="F22765" s="7">
        <v>46184.163998432225</v>
      </c>
      <c r="G22765" s="3" t="s">
        <v>4797</v>
      </c>
    </row>
    <row r="22766">
      <c r="A22766" s="3" t="s">
        <v>39092</v>
      </c>
      <c r="B22766" s="3" t="s">
        <v>18857</v>
      </c>
      <c r="C22766" s="5" t="s">
        <v>45</v>
      </c>
      <c r="D22766" s="3" t="s">
        <v>221</v>
      </c>
      <c r="E22766" s="3" t="s">
        <v>527</v>
      </c>
      <c r="F22766" s="7">
        <v>46184.224756610965</v>
      </c>
      <c r="G22766" s="3" t="s">
        <v>30023</v>
      </c>
    </row>
    <row r="22767">
      <c r="A22767" s="3" t="s">
        <v>39093</v>
      </c>
      <c r="B22767" s="3" t="s">
        <v>18857</v>
      </c>
      <c r="C22767" s="5" t="s">
        <v>221</v>
      </c>
      <c r="D22767" s="3" t="s">
        <v>181</v>
      </c>
      <c r="E22767" s="3" t="s">
        <v>118</v>
      </c>
      <c r="F22767" s="7">
        <v>46184.228228833184</v>
      </c>
      <c r="G22767" s="3" t="s">
        <v>30282</v>
      </c>
    </row>
    <row r="22768">
      <c r="A22768" s="3" t="s">
        <v>39094</v>
      </c>
      <c r="B22768" s="3" t="s">
        <v>18859</v>
      </c>
      <c r="C22768" s="5" t="s">
        <v>45</v>
      </c>
      <c r="D22768" s="3" t="s">
        <v>221</v>
      </c>
      <c r="E22768" s="3" t="s">
        <v>609</v>
      </c>
      <c r="F22768" s="7">
        <v>46184.295931456385</v>
      </c>
      <c r="G22768" s="3" t="s">
        <v>8332</v>
      </c>
    </row>
    <row r="22769">
      <c r="A22769" s="3" t="s">
        <v>39095</v>
      </c>
      <c r="B22769" s="3" t="s">
        <v>18859</v>
      </c>
      <c r="C22769" s="5" t="s">
        <v>221</v>
      </c>
      <c r="D22769" s="3" t="s">
        <v>614</v>
      </c>
      <c r="E22769" s="3" t="s">
        <v>118</v>
      </c>
      <c r="F22769" s="7">
        <v>46184.299403678604</v>
      </c>
      <c r="G22769" s="3" t="s">
        <v>8335</v>
      </c>
    </row>
    <row r="22770">
      <c r="A22770" s="3" t="s">
        <v>39096</v>
      </c>
      <c r="B22770" s="3" t="s">
        <v>18859</v>
      </c>
      <c r="C22770" s="5" t="s">
        <v>614</v>
      </c>
      <c r="D22770" s="3" t="s">
        <v>206</v>
      </c>
      <c r="E22770" s="3" t="s">
        <v>100</v>
      </c>
      <c r="F22770" s="7">
        <v>46184.30287590083</v>
      </c>
      <c r="G22770" s="3" t="s">
        <v>8338</v>
      </c>
    </row>
    <row r="22771">
      <c r="A22771" s="3" t="s">
        <v>39097</v>
      </c>
      <c r="B22771" s="3" t="s">
        <v>18859</v>
      </c>
      <c r="C22771" s="5" t="s">
        <v>206</v>
      </c>
      <c r="D22771" s="3" t="s">
        <v>68</v>
      </c>
      <c r="E22771" s="3" t="s">
        <v>100</v>
      </c>
      <c r="F22771" s="7">
        <v>46184.30634812305</v>
      </c>
      <c r="G22771" s="3" t="s">
        <v>8341</v>
      </c>
    </row>
    <row r="22772">
      <c r="A22772" s="3" t="s">
        <v>39098</v>
      </c>
      <c r="B22772" s="3" t="s">
        <v>18862</v>
      </c>
      <c r="C22772" s="5" t="s">
        <v>45</v>
      </c>
      <c r="D22772" s="3" t="s">
        <v>221</v>
      </c>
      <c r="E22772" s="3" t="s">
        <v>488</v>
      </c>
      <c r="F22772" s="7">
        <v>46184.367106301805</v>
      </c>
      <c r="G22772" s="3" t="s">
        <v>6177</v>
      </c>
    </row>
    <row r="22773">
      <c r="A22773" s="3" t="s">
        <v>39099</v>
      </c>
      <c r="B22773" s="3" t="s">
        <v>18862</v>
      </c>
      <c r="C22773" s="5" t="s">
        <v>221</v>
      </c>
      <c r="D22773" s="3" t="s">
        <v>614</v>
      </c>
      <c r="E22773" s="3" t="s">
        <v>118</v>
      </c>
      <c r="F22773" s="7">
        <v>46184.37057852402</v>
      </c>
      <c r="G22773" s="3" t="s">
        <v>6180</v>
      </c>
    </row>
    <row r="22774">
      <c r="A22774" s="3" t="s">
        <v>39100</v>
      </c>
      <c r="B22774" s="3" t="s">
        <v>18862</v>
      </c>
      <c r="C22774" s="5" t="s">
        <v>614</v>
      </c>
      <c r="D22774" s="3" t="s">
        <v>206</v>
      </c>
      <c r="E22774" s="3" t="s">
        <v>100</v>
      </c>
      <c r="F22774" s="7">
        <v>46184.37405074625</v>
      </c>
      <c r="G22774" s="3" t="s">
        <v>6183</v>
      </c>
    </row>
    <row r="22775">
      <c r="A22775" s="3" t="s">
        <v>39101</v>
      </c>
      <c r="B22775" s="3" t="s">
        <v>18862</v>
      </c>
      <c r="C22775" s="5" t="s">
        <v>206</v>
      </c>
      <c r="D22775" s="3" t="s">
        <v>68</v>
      </c>
      <c r="E22775" s="3" t="s">
        <v>100</v>
      </c>
      <c r="F22775" s="7">
        <v>46184.37752296847</v>
      </c>
      <c r="G22775" s="3" t="s">
        <v>6186</v>
      </c>
    </row>
    <row r="22776">
      <c r="A22776" s="3" t="s">
        <v>39102</v>
      </c>
      <c r="B22776" s="3" t="s">
        <v>18864</v>
      </c>
      <c r="C22776" s="5" t="s">
        <v>45</v>
      </c>
      <c r="D22776" s="3" t="s">
        <v>221</v>
      </c>
      <c r="E22776" s="3" t="s">
        <v>937</v>
      </c>
      <c r="F22776" s="7">
        <v>46184.43828114722</v>
      </c>
      <c r="G22776" s="3" t="s">
        <v>4858</v>
      </c>
    </row>
    <row r="22777">
      <c r="A22777" s="3" t="s">
        <v>39103</v>
      </c>
      <c r="B22777" s="3" t="s">
        <v>18864</v>
      </c>
      <c r="C22777" s="5" t="s">
        <v>221</v>
      </c>
      <c r="D22777" s="3" t="s">
        <v>614</v>
      </c>
      <c r="E22777" s="3" t="s">
        <v>118</v>
      </c>
      <c r="F22777" s="7">
        <v>46184.441753369436</v>
      </c>
      <c r="G22777" s="3" t="s">
        <v>4861</v>
      </c>
    </row>
    <row r="22778">
      <c r="A22778" s="3" t="s">
        <v>39104</v>
      </c>
      <c r="B22778" s="3" t="s">
        <v>18864</v>
      </c>
      <c r="C22778" s="5" t="s">
        <v>614</v>
      </c>
      <c r="D22778" s="3" t="s">
        <v>206</v>
      </c>
      <c r="E22778" s="3" t="s">
        <v>100</v>
      </c>
      <c r="F22778" s="7">
        <v>46184.44522559166</v>
      </c>
      <c r="G22778" s="3" t="s">
        <v>4865</v>
      </c>
    </row>
    <row r="22779">
      <c r="A22779" s="3" t="s">
        <v>39105</v>
      </c>
      <c r="B22779" s="3" t="s">
        <v>18864</v>
      </c>
      <c r="C22779" s="5" t="s">
        <v>206</v>
      </c>
      <c r="D22779" s="3" t="s">
        <v>68</v>
      </c>
      <c r="E22779" s="3" t="s">
        <v>100</v>
      </c>
      <c r="F22779" s="7">
        <v>46184.44869781388</v>
      </c>
      <c r="G22779" s="3" t="s">
        <v>4868</v>
      </c>
    </row>
    <row r="22780">
      <c r="A22780" s="3" t="s">
        <v>39106</v>
      </c>
      <c r="B22780" s="3" t="s">
        <v>18866</v>
      </c>
      <c r="C22780" s="5" t="s">
        <v>45</v>
      </c>
      <c r="D22780" s="3" t="s">
        <v>221</v>
      </c>
      <c r="E22780" s="3" t="s">
        <v>883</v>
      </c>
      <c r="F22780" s="7">
        <v>46184.50945599263</v>
      </c>
      <c r="G22780" s="3" t="s">
        <v>4800</v>
      </c>
    </row>
    <row r="22781">
      <c r="A22781" s="3" t="s">
        <v>39107</v>
      </c>
      <c r="B22781" s="3" t="s">
        <v>18866</v>
      </c>
      <c r="C22781" s="5" t="s">
        <v>221</v>
      </c>
      <c r="D22781" s="3" t="s">
        <v>614</v>
      </c>
      <c r="E22781" s="3" t="s">
        <v>118</v>
      </c>
      <c r="F22781" s="7">
        <v>46184.51292821485</v>
      </c>
      <c r="G22781" s="3" t="s">
        <v>4803</v>
      </c>
    </row>
    <row r="22782">
      <c r="A22782" s="3" t="s">
        <v>39108</v>
      </c>
      <c r="B22782" s="3" t="s">
        <v>18866</v>
      </c>
      <c r="C22782" s="5" t="s">
        <v>614</v>
      </c>
      <c r="D22782" s="3" t="s">
        <v>206</v>
      </c>
      <c r="E22782" s="3" t="s">
        <v>100</v>
      </c>
      <c r="F22782" s="7">
        <v>46184.516400437074</v>
      </c>
      <c r="G22782" s="3" t="s">
        <v>4806</v>
      </c>
    </row>
    <row r="22783">
      <c r="A22783" s="3" t="s">
        <v>39109</v>
      </c>
      <c r="B22783" s="3" t="s">
        <v>18866</v>
      </c>
      <c r="C22783" s="5" t="s">
        <v>206</v>
      </c>
      <c r="D22783" s="3" t="s">
        <v>68</v>
      </c>
      <c r="E22783" s="3" t="s">
        <v>100</v>
      </c>
      <c r="F22783" s="7">
        <v>46184.51987265929</v>
      </c>
      <c r="G22783" s="3" t="s">
        <v>4809</v>
      </c>
    </row>
    <row r="22784">
      <c r="A22784" s="3" t="s">
        <v>39110</v>
      </c>
      <c r="B22784" s="3" t="s">
        <v>18868</v>
      </c>
      <c r="C22784" s="5" t="s">
        <v>45</v>
      </c>
      <c r="D22784" s="3" t="s">
        <v>221</v>
      </c>
      <c r="E22784" s="3" t="s">
        <v>682</v>
      </c>
      <c r="F22784" s="7">
        <v>46184.58063083805</v>
      </c>
      <c r="G22784" s="3" t="s">
        <v>18174</v>
      </c>
    </row>
    <row r="22785">
      <c r="A22785" s="3" t="s">
        <v>39111</v>
      </c>
      <c r="B22785" s="3" t="s">
        <v>18868</v>
      </c>
      <c r="C22785" s="5" t="s">
        <v>221</v>
      </c>
      <c r="D22785" s="3" t="s">
        <v>614</v>
      </c>
      <c r="E22785" s="3" t="s">
        <v>118</v>
      </c>
      <c r="F22785" s="7">
        <v>46184.58410306027</v>
      </c>
      <c r="G22785" s="3" t="s">
        <v>18176</v>
      </c>
    </row>
    <row r="22786">
      <c r="A22786" s="3" t="s">
        <v>39112</v>
      </c>
      <c r="B22786" s="3" t="s">
        <v>18868</v>
      </c>
      <c r="C22786" s="5" t="s">
        <v>614</v>
      </c>
      <c r="D22786" s="3" t="s">
        <v>206</v>
      </c>
      <c r="E22786" s="3" t="s">
        <v>100</v>
      </c>
      <c r="F22786" s="7">
        <v>46184.587575282494</v>
      </c>
      <c r="G22786" s="3" t="s">
        <v>18179</v>
      </c>
    </row>
    <row r="22787">
      <c r="A22787" s="3" t="s">
        <v>39113</v>
      </c>
      <c r="B22787" s="3" t="s">
        <v>18868</v>
      </c>
      <c r="C22787" s="5" t="s">
        <v>206</v>
      </c>
      <c r="D22787" s="3" t="s">
        <v>68</v>
      </c>
      <c r="E22787" s="3" t="s">
        <v>100</v>
      </c>
      <c r="F22787" s="7">
        <v>46184.59104750471</v>
      </c>
      <c r="G22787" s="3" t="s">
        <v>18182</v>
      </c>
    </row>
    <row r="22788">
      <c r="A22788" s="3" t="s">
        <v>39114</v>
      </c>
      <c r="B22788" s="3" t="s">
        <v>18871</v>
      </c>
      <c r="C22788" s="5" t="s">
        <v>45</v>
      </c>
      <c r="D22788" s="3" t="s">
        <v>221</v>
      </c>
      <c r="E22788" s="3" t="s">
        <v>665</v>
      </c>
      <c r="F22788" s="7">
        <v>46184.65180568346</v>
      </c>
      <c r="G22788" s="3" t="s">
        <v>14991</v>
      </c>
    </row>
    <row r="22789">
      <c r="A22789" s="3" t="s">
        <v>39115</v>
      </c>
      <c r="B22789" s="3" t="s">
        <v>18871</v>
      </c>
      <c r="C22789" s="5" t="s">
        <v>221</v>
      </c>
      <c r="D22789" s="3" t="s">
        <v>614</v>
      </c>
      <c r="E22789" s="3" t="s">
        <v>118</v>
      </c>
      <c r="F22789" s="7">
        <v>46184.65527790568</v>
      </c>
      <c r="G22789" s="3" t="s">
        <v>19172</v>
      </c>
    </row>
    <row r="22790">
      <c r="A22790" s="3" t="s">
        <v>39116</v>
      </c>
      <c r="B22790" s="3" t="s">
        <v>18871</v>
      </c>
      <c r="C22790" s="5" t="s">
        <v>614</v>
      </c>
      <c r="D22790" s="3" t="s">
        <v>206</v>
      </c>
      <c r="E22790" s="3" t="s">
        <v>100</v>
      </c>
      <c r="F22790" s="7">
        <v>46184.65875012791</v>
      </c>
      <c r="G22790" s="3" t="s">
        <v>19175</v>
      </c>
    </row>
    <row r="22791">
      <c r="A22791" s="3" t="s">
        <v>39117</v>
      </c>
      <c r="B22791" s="3" t="s">
        <v>18871</v>
      </c>
      <c r="C22791" s="5" t="s">
        <v>206</v>
      </c>
      <c r="D22791" s="3" t="s">
        <v>68</v>
      </c>
      <c r="E22791" s="3" t="s">
        <v>100</v>
      </c>
      <c r="F22791" s="7">
        <v>46184.662222350125</v>
      </c>
      <c r="G22791" s="3" t="s">
        <v>19178</v>
      </c>
    </row>
    <row r="22792">
      <c r="A22792" s="3" t="s">
        <v>39118</v>
      </c>
      <c r="B22792" s="3" t="s">
        <v>18874</v>
      </c>
      <c r="C22792" s="5" t="s">
        <v>45</v>
      </c>
      <c r="D22792" s="3" t="s">
        <v>221</v>
      </c>
      <c r="E22792" s="3" t="s">
        <v>310</v>
      </c>
      <c r="F22792" s="7">
        <v>46184.72298052887</v>
      </c>
      <c r="G22792" s="3" t="s">
        <v>12768</v>
      </c>
    </row>
    <row r="22793">
      <c r="A22793" s="3" t="s">
        <v>39119</v>
      </c>
      <c r="B22793" s="3" t="s">
        <v>18874</v>
      </c>
      <c r="C22793" s="5" t="s">
        <v>221</v>
      </c>
      <c r="D22793" s="3" t="s">
        <v>614</v>
      </c>
      <c r="E22793" s="3" t="s">
        <v>118</v>
      </c>
      <c r="F22793" s="7">
        <v>46184.72645275109</v>
      </c>
      <c r="G22793" s="3" t="s">
        <v>12771</v>
      </c>
    </row>
    <row r="22794">
      <c r="A22794" s="3" t="s">
        <v>39120</v>
      </c>
      <c r="B22794" s="3" t="s">
        <v>18874</v>
      </c>
      <c r="C22794" s="5" t="s">
        <v>614</v>
      </c>
      <c r="D22794" s="3" t="s">
        <v>206</v>
      </c>
      <c r="E22794" s="3" t="s">
        <v>100</v>
      </c>
      <c r="F22794" s="7">
        <v>46184.72992497332</v>
      </c>
      <c r="G22794" s="3" t="s">
        <v>12774</v>
      </c>
    </row>
    <row r="22795">
      <c r="A22795" s="3" t="s">
        <v>39121</v>
      </c>
      <c r="B22795" s="3" t="s">
        <v>18874</v>
      </c>
      <c r="C22795" s="5" t="s">
        <v>206</v>
      </c>
      <c r="D22795" s="3" t="s">
        <v>68</v>
      </c>
      <c r="E22795" s="3" t="s">
        <v>100</v>
      </c>
      <c r="F22795" s="7">
        <v>46184.73339719554</v>
      </c>
      <c r="G22795" s="3" t="s">
        <v>12778</v>
      </c>
    </row>
    <row r="22796">
      <c r="A22796" s="3" t="s">
        <v>39122</v>
      </c>
      <c r="B22796" s="3" t="s">
        <v>18881</v>
      </c>
      <c r="C22796" s="5" t="s">
        <v>45</v>
      </c>
      <c r="D22796" s="3" t="s">
        <v>221</v>
      </c>
      <c r="E22796" s="3" t="s">
        <v>307</v>
      </c>
      <c r="F22796" s="7">
        <v>46184.79415537429</v>
      </c>
      <c r="G22796" s="3" t="s">
        <v>4812</v>
      </c>
    </row>
    <row r="22797">
      <c r="A22797" s="3" t="s">
        <v>39123</v>
      </c>
      <c r="B22797" s="3" t="s">
        <v>18881</v>
      </c>
      <c r="C22797" s="5" t="s">
        <v>221</v>
      </c>
      <c r="D22797" s="3" t="s">
        <v>614</v>
      </c>
      <c r="E22797" s="3" t="s">
        <v>118</v>
      </c>
      <c r="F22797" s="7">
        <v>46184.79762759651</v>
      </c>
      <c r="G22797" s="3" t="s">
        <v>4814</v>
      </c>
    </row>
    <row r="22798">
      <c r="A22798" s="3" t="s">
        <v>39124</v>
      </c>
      <c r="B22798" s="3" t="s">
        <v>18881</v>
      </c>
      <c r="C22798" s="5" t="s">
        <v>614</v>
      </c>
      <c r="D22798" s="3" t="s">
        <v>206</v>
      </c>
      <c r="E22798" s="3" t="s">
        <v>100</v>
      </c>
      <c r="F22798" s="7">
        <v>46184.80109981874</v>
      </c>
      <c r="G22798" s="3" t="s">
        <v>4817</v>
      </c>
    </row>
    <row r="22799">
      <c r="A22799" s="3" t="s">
        <v>39125</v>
      </c>
      <c r="B22799" s="3" t="s">
        <v>18881</v>
      </c>
      <c r="C22799" s="5" t="s">
        <v>206</v>
      </c>
      <c r="D22799" s="3" t="s">
        <v>68</v>
      </c>
      <c r="E22799" s="3" t="s">
        <v>100</v>
      </c>
      <c r="F22799" s="7">
        <v>46184.80457204096</v>
      </c>
      <c r="G22799" s="3" t="s">
        <v>4820</v>
      </c>
    </row>
    <row r="22800">
      <c r="A22800" s="3" t="s">
        <v>39126</v>
      </c>
      <c r="B22800" s="3" t="s">
        <v>18884</v>
      </c>
      <c r="C22800" s="5" t="s">
        <v>45</v>
      </c>
      <c r="D22800" s="3" t="s">
        <v>221</v>
      </c>
      <c r="E22800" s="3" t="s">
        <v>260</v>
      </c>
      <c r="F22800" s="7">
        <v>46184.865330219705</v>
      </c>
      <c r="G22800" s="3" t="s">
        <v>7021</v>
      </c>
    </row>
    <row r="22801">
      <c r="A22801" s="3" t="s">
        <v>39127</v>
      </c>
      <c r="B22801" s="3" t="s">
        <v>18884</v>
      </c>
      <c r="C22801" s="5" t="s">
        <v>221</v>
      </c>
      <c r="D22801" s="3" t="s">
        <v>614</v>
      </c>
      <c r="E22801" s="3" t="s">
        <v>118</v>
      </c>
      <c r="F22801" s="7">
        <v>46184.868802441924</v>
      </c>
      <c r="G22801" s="3" t="s">
        <v>7024</v>
      </c>
    </row>
    <row r="22802">
      <c r="A22802" s="3" t="s">
        <v>39128</v>
      </c>
      <c r="B22802" s="3" t="s">
        <v>18884</v>
      </c>
      <c r="C22802" s="5" t="s">
        <v>614</v>
      </c>
      <c r="D22802" s="3" t="s">
        <v>206</v>
      </c>
      <c r="E22802" s="3" t="s">
        <v>100</v>
      </c>
      <c r="F22802" s="7">
        <v>46184.87227466415</v>
      </c>
      <c r="G22802" s="3" t="s">
        <v>7027</v>
      </c>
    </row>
    <row r="22803">
      <c r="A22803" s="3" t="s">
        <v>39129</v>
      </c>
      <c r="B22803" s="3" t="s">
        <v>18884</v>
      </c>
      <c r="C22803" s="5" t="s">
        <v>206</v>
      </c>
      <c r="D22803" s="3" t="s">
        <v>68</v>
      </c>
      <c r="E22803" s="3" t="s">
        <v>100</v>
      </c>
      <c r="F22803" s="7">
        <v>46184.87574688637</v>
      </c>
      <c r="G22803" s="3" t="s">
        <v>7030</v>
      </c>
    </row>
    <row r="22804">
      <c r="A22804" s="3" t="s">
        <v>39130</v>
      </c>
      <c r="B22804" s="3" t="s">
        <v>18886</v>
      </c>
      <c r="C22804" s="5" t="s">
        <v>45</v>
      </c>
      <c r="D22804" s="3" t="s">
        <v>221</v>
      </c>
      <c r="E22804" s="3" t="s">
        <v>916</v>
      </c>
      <c r="F22804" s="7">
        <v>46184.93650506512</v>
      </c>
      <c r="G22804" s="3" t="s">
        <v>2770</v>
      </c>
    </row>
    <row r="22805">
      <c r="A22805" s="3" t="s">
        <v>39131</v>
      </c>
      <c r="B22805" s="3" t="s">
        <v>18886</v>
      </c>
      <c r="C22805" s="5" t="s">
        <v>221</v>
      </c>
      <c r="D22805" s="3" t="s">
        <v>181</v>
      </c>
      <c r="E22805" s="3" t="s">
        <v>118</v>
      </c>
      <c r="F22805" s="7">
        <v>46184.93997728734</v>
      </c>
      <c r="G22805" s="3" t="s">
        <v>2774</v>
      </c>
    </row>
    <row r="22806">
      <c r="A22806" s="3" t="s">
        <v>39132</v>
      </c>
      <c r="B22806" s="3" t="s">
        <v>18888</v>
      </c>
      <c r="C22806" s="5" t="s">
        <v>45</v>
      </c>
      <c r="D22806" s="3" t="s">
        <v>221</v>
      </c>
      <c r="E22806" s="3" t="s">
        <v>848</v>
      </c>
      <c r="F22806" s="7">
        <v>46185.00767991054</v>
      </c>
      <c r="G22806" s="3" t="s">
        <v>32129</v>
      </c>
    </row>
    <row r="22807">
      <c r="A22807" s="3" t="s">
        <v>39133</v>
      </c>
      <c r="B22807" s="3" t="s">
        <v>18888</v>
      </c>
      <c r="C22807" s="5" t="s">
        <v>221</v>
      </c>
      <c r="D22807" s="3" t="s">
        <v>614</v>
      </c>
      <c r="E22807" s="3" t="s">
        <v>118</v>
      </c>
      <c r="F22807" s="7">
        <v>46185.011152132756</v>
      </c>
      <c r="G22807" s="3" t="s">
        <v>32131</v>
      </c>
    </row>
    <row r="22808">
      <c r="A22808" s="3" t="s">
        <v>39134</v>
      </c>
      <c r="B22808" s="3" t="s">
        <v>18888</v>
      </c>
      <c r="C22808" s="5" t="s">
        <v>614</v>
      </c>
      <c r="D22808" s="3" t="s">
        <v>206</v>
      </c>
      <c r="E22808" s="3" t="s">
        <v>100</v>
      </c>
      <c r="F22808" s="7">
        <v>46185.01462435498</v>
      </c>
      <c r="G22808" s="3" t="s">
        <v>32133</v>
      </c>
    </row>
    <row r="22809">
      <c r="A22809" s="3" t="s">
        <v>39135</v>
      </c>
      <c r="B22809" s="3" t="s">
        <v>18888</v>
      </c>
      <c r="C22809" s="5" t="s">
        <v>206</v>
      </c>
      <c r="D22809" s="3" t="s">
        <v>68</v>
      </c>
      <c r="E22809" s="3" t="s">
        <v>100</v>
      </c>
      <c r="F22809" s="7">
        <v>46185.0180965772</v>
      </c>
      <c r="G22809" s="3" t="s">
        <v>32135</v>
      </c>
    </row>
    <row r="22810">
      <c r="A22810" s="3" t="s">
        <v>39136</v>
      </c>
      <c r="B22810" s="3" t="s">
        <v>18890</v>
      </c>
      <c r="C22810" s="5" t="s">
        <v>45</v>
      </c>
      <c r="D22810" s="3" t="s">
        <v>221</v>
      </c>
      <c r="E22810" s="3" t="s">
        <v>773</v>
      </c>
      <c r="F22810" s="7">
        <v>46185.07885475595</v>
      </c>
      <c r="G22810" s="3" t="s">
        <v>24356</v>
      </c>
    </row>
    <row r="22811">
      <c r="A22811" s="3" t="s">
        <v>39137</v>
      </c>
      <c r="B22811" s="3" t="s">
        <v>18890</v>
      </c>
      <c r="C22811" s="5" t="s">
        <v>221</v>
      </c>
      <c r="D22811" s="3" t="s">
        <v>614</v>
      </c>
      <c r="E22811" s="3" t="s">
        <v>118</v>
      </c>
      <c r="F22811" s="7">
        <v>46185.08232697817</v>
      </c>
      <c r="G22811" s="3" t="s">
        <v>24358</v>
      </c>
    </row>
    <row r="22812">
      <c r="A22812" s="3" t="s">
        <v>39138</v>
      </c>
      <c r="B22812" s="3" t="s">
        <v>18890</v>
      </c>
      <c r="C22812" s="5" t="s">
        <v>614</v>
      </c>
      <c r="D22812" s="3" t="s">
        <v>206</v>
      </c>
      <c r="E22812" s="3" t="s">
        <v>100</v>
      </c>
      <c r="F22812" s="7">
        <v>46185.085799200395</v>
      </c>
      <c r="G22812" s="3" t="s">
        <v>24360</v>
      </c>
    </row>
    <row r="22813">
      <c r="A22813" s="3" t="s">
        <v>39139</v>
      </c>
      <c r="B22813" s="3" t="s">
        <v>18890</v>
      </c>
      <c r="C22813" s="5" t="s">
        <v>206</v>
      </c>
      <c r="D22813" s="3" t="s">
        <v>68</v>
      </c>
      <c r="E22813" s="3" t="s">
        <v>100</v>
      </c>
      <c r="F22813" s="7">
        <v>46185.089271422614</v>
      </c>
      <c r="G22813" s="3" t="s">
        <v>24362</v>
      </c>
    </row>
    <row r="22814">
      <c r="A22814" s="3" t="s">
        <v>39140</v>
      </c>
      <c r="B22814" s="3" t="s">
        <v>18892</v>
      </c>
      <c r="C22814" s="5" t="s">
        <v>45</v>
      </c>
      <c r="D22814" s="3" t="s">
        <v>221</v>
      </c>
      <c r="E22814" s="3" t="s">
        <v>609</v>
      </c>
      <c r="F22814" s="7">
        <v>46185.15002960136</v>
      </c>
      <c r="G22814" s="3" t="s">
        <v>8332</v>
      </c>
    </row>
    <row r="22815">
      <c r="A22815" s="3" t="s">
        <v>39141</v>
      </c>
      <c r="B22815" s="3" t="s">
        <v>18892</v>
      </c>
      <c r="C22815" s="5" t="s">
        <v>221</v>
      </c>
      <c r="D22815" s="3" t="s">
        <v>614</v>
      </c>
      <c r="E22815" s="3" t="s">
        <v>118</v>
      </c>
      <c r="F22815" s="7">
        <v>46185.15350182358</v>
      </c>
      <c r="G22815" s="3" t="s">
        <v>8335</v>
      </c>
    </row>
    <row r="22816">
      <c r="A22816" s="3" t="s">
        <v>39142</v>
      </c>
      <c r="B22816" s="3" t="s">
        <v>18892</v>
      </c>
      <c r="C22816" s="5" t="s">
        <v>614</v>
      </c>
      <c r="D22816" s="3" t="s">
        <v>206</v>
      </c>
      <c r="E22816" s="3" t="s">
        <v>100</v>
      </c>
      <c r="F22816" s="7">
        <v>46185.15697404581</v>
      </c>
      <c r="G22816" s="3" t="s">
        <v>8338</v>
      </c>
    </row>
    <row r="22817">
      <c r="A22817" s="3" t="s">
        <v>39143</v>
      </c>
      <c r="B22817" s="3" t="s">
        <v>18892</v>
      </c>
      <c r="C22817" s="5" t="s">
        <v>206</v>
      </c>
      <c r="D22817" s="3" t="s">
        <v>68</v>
      </c>
      <c r="E22817" s="3" t="s">
        <v>100</v>
      </c>
      <c r="F22817" s="7">
        <v>46185.160446268026</v>
      </c>
      <c r="G22817" s="3" t="s">
        <v>8341</v>
      </c>
    </row>
    <row r="22818">
      <c r="A22818" s="3" t="s">
        <v>39144</v>
      </c>
      <c r="B22818" s="3" t="s">
        <v>18893</v>
      </c>
      <c r="C22818" s="5" t="s">
        <v>45</v>
      </c>
      <c r="D22818" s="3" t="s">
        <v>221</v>
      </c>
      <c r="E22818" s="3" t="s">
        <v>793</v>
      </c>
      <c r="F22818" s="7">
        <v>46185.22120444678</v>
      </c>
      <c r="G22818" s="3" t="s">
        <v>4835</v>
      </c>
    </row>
    <row r="22819">
      <c r="A22819" s="3" t="s">
        <v>39145</v>
      </c>
      <c r="B22819" s="3" t="s">
        <v>18893</v>
      </c>
      <c r="C22819" s="5" t="s">
        <v>221</v>
      </c>
      <c r="D22819" s="3" t="s">
        <v>614</v>
      </c>
      <c r="E22819" s="3" t="s">
        <v>118</v>
      </c>
      <c r="F22819" s="7">
        <v>46185.224676669</v>
      </c>
      <c r="G22819" s="3" t="s">
        <v>4838</v>
      </c>
    </row>
    <row r="22820">
      <c r="A22820" s="3" t="s">
        <v>39146</v>
      </c>
      <c r="B22820" s="3" t="s">
        <v>18893</v>
      </c>
      <c r="C22820" s="5" t="s">
        <v>614</v>
      </c>
      <c r="D22820" s="3" t="s">
        <v>206</v>
      </c>
      <c r="E22820" s="3" t="s">
        <v>100</v>
      </c>
      <c r="F22820" s="7">
        <v>46185.22814889123</v>
      </c>
      <c r="G22820" s="3" t="s">
        <v>4841</v>
      </c>
    </row>
    <row r="22821">
      <c r="A22821" s="3" t="s">
        <v>39147</v>
      </c>
      <c r="B22821" s="3" t="s">
        <v>18893</v>
      </c>
      <c r="C22821" s="5" t="s">
        <v>206</v>
      </c>
      <c r="D22821" s="3" t="s">
        <v>68</v>
      </c>
      <c r="E22821" s="3" t="s">
        <v>100</v>
      </c>
      <c r="F22821" s="7">
        <v>46185.231621113446</v>
      </c>
      <c r="G22821" s="3" t="s">
        <v>4843</v>
      </c>
    </row>
    <row r="22822">
      <c r="A22822" s="3" t="s">
        <v>39148</v>
      </c>
      <c r="B22822" s="3" t="s">
        <v>18895</v>
      </c>
      <c r="C22822" s="5" t="s">
        <v>45</v>
      </c>
      <c r="D22822" s="3" t="s">
        <v>221</v>
      </c>
      <c r="E22822" s="3" t="s">
        <v>130</v>
      </c>
      <c r="F22822" s="7">
        <v>46185.2923792922</v>
      </c>
      <c r="G22822" s="3" t="s">
        <v>4846</v>
      </c>
    </row>
    <row r="22823">
      <c r="A22823" s="3" t="s">
        <v>39149</v>
      </c>
      <c r="B22823" s="3" t="s">
        <v>18895</v>
      </c>
      <c r="C22823" s="5" t="s">
        <v>221</v>
      </c>
      <c r="D22823" s="3" t="s">
        <v>614</v>
      </c>
      <c r="E22823" s="3" t="s">
        <v>118</v>
      </c>
      <c r="F22823" s="7">
        <v>46185.29585151442</v>
      </c>
      <c r="G22823" s="3" t="s">
        <v>4849</v>
      </c>
    </row>
    <row r="22824">
      <c r="A22824" s="3" t="s">
        <v>39150</v>
      </c>
      <c r="B22824" s="3" t="s">
        <v>18895</v>
      </c>
      <c r="C22824" s="5" t="s">
        <v>614</v>
      </c>
      <c r="D22824" s="3" t="s">
        <v>206</v>
      </c>
      <c r="E22824" s="3" t="s">
        <v>100</v>
      </c>
      <c r="F22824" s="7">
        <v>46185.299323736646</v>
      </c>
      <c r="G22824" s="3" t="s">
        <v>4852</v>
      </c>
    </row>
    <row r="22825">
      <c r="A22825" s="3" t="s">
        <v>39151</v>
      </c>
      <c r="B22825" s="3" t="s">
        <v>18895</v>
      </c>
      <c r="C22825" s="5" t="s">
        <v>206</v>
      </c>
      <c r="D22825" s="3" t="s">
        <v>68</v>
      </c>
      <c r="E22825" s="3" t="s">
        <v>100</v>
      </c>
      <c r="F22825" s="7">
        <v>46185.302795958865</v>
      </c>
      <c r="G22825" s="3" t="s">
        <v>4855</v>
      </c>
    </row>
    <row r="22826">
      <c r="A22826" s="3" t="s">
        <v>39152</v>
      </c>
      <c r="B22826" s="3" t="s">
        <v>18897</v>
      </c>
      <c r="C22826" s="5" t="s">
        <v>45</v>
      </c>
      <c r="D22826" s="3" t="s">
        <v>221</v>
      </c>
      <c r="E22826" s="3" t="s">
        <v>1049</v>
      </c>
      <c r="F22826" s="7">
        <v>46185.363554137606</v>
      </c>
      <c r="G22826" s="3" t="s">
        <v>22722</v>
      </c>
    </row>
    <row r="22827">
      <c r="A22827" s="3" t="s">
        <v>39153</v>
      </c>
      <c r="B22827" s="3" t="s">
        <v>18897</v>
      </c>
      <c r="C22827" s="5" t="s">
        <v>221</v>
      </c>
      <c r="D22827" s="3" t="s">
        <v>614</v>
      </c>
      <c r="E22827" s="3" t="s">
        <v>118</v>
      </c>
      <c r="F22827" s="7">
        <v>46185.367026359825</v>
      </c>
      <c r="G22827" s="3" t="s">
        <v>22724</v>
      </c>
    </row>
    <row r="22828">
      <c r="A22828" s="3" t="s">
        <v>39154</v>
      </c>
      <c r="B22828" s="3" t="s">
        <v>18897</v>
      </c>
      <c r="C22828" s="5" t="s">
        <v>614</v>
      </c>
      <c r="D22828" s="3" t="s">
        <v>206</v>
      </c>
      <c r="E22828" s="3" t="s">
        <v>100</v>
      </c>
      <c r="F22828" s="7">
        <v>46185.37049858205</v>
      </c>
      <c r="G22828" s="3" t="s">
        <v>22727</v>
      </c>
    </row>
    <row r="22829">
      <c r="A22829" s="3" t="s">
        <v>39155</v>
      </c>
      <c r="B22829" s="3" t="s">
        <v>18897</v>
      </c>
      <c r="C22829" s="5" t="s">
        <v>206</v>
      </c>
      <c r="D22829" s="3" t="s">
        <v>68</v>
      </c>
      <c r="E22829" s="3" t="s">
        <v>100</v>
      </c>
      <c r="F22829" s="7">
        <v>46185.37397080427</v>
      </c>
      <c r="G22829" s="3" t="s">
        <v>22730</v>
      </c>
    </row>
    <row r="22830">
      <c r="A22830" s="3" t="s">
        <v>39156</v>
      </c>
      <c r="B22830" s="3" t="s">
        <v>18900</v>
      </c>
      <c r="C22830" s="5" t="s">
        <v>45</v>
      </c>
      <c r="D22830" s="3" t="s">
        <v>221</v>
      </c>
      <c r="E22830" s="3" t="s">
        <v>156</v>
      </c>
      <c r="F22830" s="7">
        <v>46185.434728983026</v>
      </c>
      <c r="G22830" s="3" t="s">
        <v>16383</v>
      </c>
    </row>
    <row r="22831">
      <c r="A22831" s="3" t="s">
        <v>39157</v>
      </c>
      <c r="B22831" s="3" t="s">
        <v>18900</v>
      </c>
      <c r="C22831" s="5" t="s">
        <v>221</v>
      </c>
      <c r="D22831" s="3" t="s">
        <v>614</v>
      </c>
      <c r="E22831" s="3" t="s">
        <v>118</v>
      </c>
      <c r="F22831" s="7">
        <v>46185.438201205245</v>
      </c>
      <c r="G22831" s="3" t="s">
        <v>16385</v>
      </c>
    </row>
    <row r="22832">
      <c r="A22832" s="3" t="s">
        <v>39158</v>
      </c>
      <c r="B22832" s="3" t="s">
        <v>18900</v>
      </c>
      <c r="C22832" s="5" t="s">
        <v>614</v>
      </c>
      <c r="D22832" s="3" t="s">
        <v>206</v>
      </c>
      <c r="E22832" s="3" t="s">
        <v>100</v>
      </c>
      <c r="F22832" s="7">
        <v>46185.44167342747</v>
      </c>
      <c r="G22832" s="3" t="s">
        <v>16388</v>
      </c>
    </row>
    <row r="22833">
      <c r="A22833" s="3" t="s">
        <v>39159</v>
      </c>
      <c r="B22833" s="3" t="s">
        <v>18900</v>
      </c>
      <c r="C22833" s="5" t="s">
        <v>206</v>
      </c>
      <c r="D22833" s="3" t="s">
        <v>68</v>
      </c>
      <c r="E22833" s="3" t="s">
        <v>100</v>
      </c>
      <c r="F22833" s="7">
        <v>46185.44514564969</v>
      </c>
      <c r="G22833" s="3" t="s">
        <v>16391</v>
      </c>
    </row>
    <row r="22834">
      <c r="A22834" s="3" t="s">
        <v>39160</v>
      </c>
      <c r="B22834" s="3" t="s">
        <v>18903</v>
      </c>
      <c r="C22834" s="5" t="s">
        <v>45</v>
      </c>
      <c r="D22834" s="3" t="s">
        <v>221</v>
      </c>
      <c r="E22834" s="3" t="s">
        <v>266</v>
      </c>
      <c r="F22834" s="7">
        <v>46185.505903828445</v>
      </c>
      <c r="G22834" s="3" t="s">
        <v>9468</v>
      </c>
    </row>
    <row r="22835">
      <c r="A22835" s="3" t="s">
        <v>39161</v>
      </c>
      <c r="B22835" s="3" t="s">
        <v>18903</v>
      </c>
      <c r="C22835" s="5" t="s">
        <v>221</v>
      </c>
      <c r="D22835" s="3" t="s">
        <v>614</v>
      </c>
      <c r="E22835" s="3" t="s">
        <v>118</v>
      </c>
      <c r="F22835" s="7">
        <v>46185.509376050664</v>
      </c>
      <c r="G22835" s="3" t="s">
        <v>9472</v>
      </c>
    </row>
    <row r="22836">
      <c r="A22836" s="3" t="s">
        <v>39162</v>
      </c>
      <c r="B22836" s="3" t="s">
        <v>18903</v>
      </c>
      <c r="C22836" s="5" t="s">
        <v>614</v>
      </c>
      <c r="D22836" s="3" t="s">
        <v>206</v>
      </c>
      <c r="E22836" s="3" t="s">
        <v>100</v>
      </c>
      <c r="F22836" s="7">
        <v>46185.51284827289</v>
      </c>
      <c r="G22836" s="3" t="s">
        <v>9475</v>
      </c>
    </row>
    <row r="22837">
      <c r="A22837" s="3" t="s">
        <v>39163</v>
      </c>
      <c r="B22837" s="3" t="s">
        <v>18903</v>
      </c>
      <c r="C22837" s="5" t="s">
        <v>206</v>
      </c>
      <c r="D22837" s="3" t="s">
        <v>68</v>
      </c>
      <c r="E22837" s="3" t="s">
        <v>100</v>
      </c>
      <c r="F22837" s="7">
        <v>46185.51632049511</v>
      </c>
      <c r="G22837" s="3" t="s">
        <v>9478</v>
      </c>
    </row>
    <row r="22838">
      <c r="A22838" s="3" t="s">
        <v>39164</v>
      </c>
      <c r="B22838" s="3" t="s">
        <v>18906</v>
      </c>
      <c r="C22838" s="5" t="s">
        <v>45</v>
      </c>
      <c r="D22838" s="3" t="s">
        <v>221</v>
      </c>
      <c r="E22838" s="3" t="s">
        <v>313</v>
      </c>
      <c r="F22838" s="7">
        <v>46185.57707867386</v>
      </c>
      <c r="G22838" s="3" t="s">
        <v>5314</v>
      </c>
    </row>
    <row r="22839">
      <c r="A22839" s="3" t="s">
        <v>39165</v>
      </c>
      <c r="B22839" s="3" t="s">
        <v>18906</v>
      </c>
      <c r="C22839" s="5" t="s">
        <v>221</v>
      </c>
      <c r="D22839" s="3" t="s">
        <v>614</v>
      </c>
      <c r="E22839" s="3" t="s">
        <v>118</v>
      </c>
      <c r="F22839" s="7">
        <v>46185.58055089608</v>
      </c>
      <c r="G22839" s="3" t="s">
        <v>5317</v>
      </c>
    </row>
    <row r="22840">
      <c r="A22840" s="3" t="s">
        <v>39166</v>
      </c>
      <c r="B22840" s="3" t="s">
        <v>18906</v>
      </c>
      <c r="C22840" s="5" t="s">
        <v>614</v>
      </c>
      <c r="D22840" s="3" t="s">
        <v>206</v>
      </c>
      <c r="E22840" s="3" t="s">
        <v>100</v>
      </c>
      <c r="F22840" s="7">
        <v>46185.5840231183</v>
      </c>
      <c r="G22840" s="3" t="s">
        <v>5320</v>
      </c>
    </row>
    <row r="22841">
      <c r="A22841" s="3" t="s">
        <v>39167</v>
      </c>
      <c r="B22841" s="3" t="s">
        <v>18906</v>
      </c>
      <c r="C22841" s="5" t="s">
        <v>206</v>
      </c>
      <c r="D22841" s="3" t="s">
        <v>68</v>
      </c>
      <c r="E22841" s="3" t="s">
        <v>100</v>
      </c>
      <c r="F22841" s="7">
        <v>46185.58749534052</v>
      </c>
      <c r="G22841" s="3" t="s">
        <v>5323</v>
      </c>
    </row>
    <row r="22842">
      <c r="A22842" s="3" t="s">
        <v>39168</v>
      </c>
      <c r="B22842" s="3" t="s">
        <v>18908</v>
      </c>
      <c r="C22842" s="5" t="s">
        <v>45</v>
      </c>
      <c r="D22842" s="3" t="s">
        <v>221</v>
      </c>
      <c r="E22842" s="3" t="s">
        <v>559</v>
      </c>
      <c r="F22842" s="7">
        <v>46185.64825351927</v>
      </c>
      <c r="G22842" s="3" t="s">
        <v>4883</v>
      </c>
    </row>
    <row r="22843">
      <c r="A22843" s="3" t="s">
        <v>39169</v>
      </c>
      <c r="B22843" s="3" t="s">
        <v>18908</v>
      </c>
      <c r="C22843" s="5" t="s">
        <v>221</v>
      </c>
      <c r="D22843" s="3" t="s">
        <v>614</v>
      </c>
      <c r="E22843" s="3" t="s">
        <v>118</v>
      </c>
      <c r="F22843" s="7">
        <v>46185.65172574149</v>
      </c>
      <c r="G22843" s="3" t="s">
        <v>4886</v>
      </c>
    </row>
    <row r="22844">
      <c r="A22844" s="3" t="s">
        <v>39170</v>
      </c>
      <c r="B22844" s="3" t="s">
        <v>18908</v>
      </c>
      <c r="C22844" s="5" t="s">
        <v>614</v>
      </c>
      <c r="D22844" s="3" t="s">
        <v>206</v>
      </c>
      <c r="E22844" s="3" t="s">
        <v>100</v>
      </c>
      <c r="F22844" s="7">
        <v>46185.655197963715</v>
      </c>
      <c r="G22844" s="3" t="s">
        <v>4889</v>
      </c>
    </row>
    <row r="22845">
      <c r="A22845" s="3" t="s">
        <v>39171</v>
      </c>
      <c r="B22845" s="3" t="s">
        <v>18908</v>
      </c>
      <c r="C22845" s="5" t="s">
        <v>206</v>
      </c>
      <c r="D22845" s="3" t="s">
        <v>68</v>
      </c>
      <c r="E22845" s="3" t="s">
        <v>100</v>
      </c>
      <c r="F22845" s="7">
        <v>46185.658670185934</v>
      </c>
      <c r="G22845" s="3" t="s">
        <v>4892</v>
      </c>
    </row>
    <row r="22846">
      <c r="A22846" s="3" t="s">
        <v>39172</v>
      </c>
      <c r="B22846" s="3" t="s">
        <v>18912</v>
      </c>
      <c r="C22846" s="5" t="s">
        <v>45</v>
      </c>
      <c r="D22846" s="3" t="s">
        <v>221</v>
      </c>
      <c r="E22846" s="3" t="s">
        <v>598</v>
      </c>
      <c r="F22846" s="7">
        <v>46185.71942836469</v>
      </c>
      <c r="G22846" s="3" t="s">
        <v>30979</v>
      </c>
    </row>
    <row r="22847">
      <c r="A22847" s="3" t="s">
        <v>39173</v>
      </c>
      <c r="B22847" s="3" t="s">
        <v>18912</v>
      </c>
      <c r="C22847" s="5" t="s">
        <v>221</v>
      </c>
      <c r="D22847" s="3" t="s">
        <v>614</v>
      </c>
      <c r="E22847" s="3" t="s">
        <v>118</v>
      </c>
      <c r="F22847" s="7">
        <v>46185.72290058691</v>
      </c>
      <c r="G22847" s="3" t="s">
        <v>30981</v>
      </c>
    </row>
    <row r="22848">
      <c r="A22848" s="3" t="s">
        <v>39174</v>
      </c>
      <c r="B22848" s="3" t="s">
        <v>18912</v>
      </c>
      <c r="C22848" s="5" t="s">
        <v>614</v>
      </c>
      <c r="D22848" s="3" t="s">
        <v>206</v>
      </c>
      <c r="E22848" s="3" t="s">
        <v>100</v>
      </c>
      <c r="F22848" s="7">
        <v>46185.726372809135</v>
      </c>
      <c r="G22848" s="3" t="s">
        <v>30983</v>
      </c>
    </row>
    <row r="22849">
      <c r="A22849" s="3" t="s">
        <v>39175</v>
      </c>
      <c r="B22849" s="3" t="s">
        <v>18912</v>
      </c>
      <c r="C22849" s="5" t="s">
        <v>206</v>
      </c>
      <c r="D22849" s="3" t="s">
        <v>68</v>
      </c>
      <c r="E22849" s="3" t="s">
        <v>100</v>
      </c>
      <c r="F22849" s="7">
        <v>46185.729845031354</v>
      </c>
      <c r="G22849" s="3" t="s">
        <v>30985</v>
      </c>
    </row>
    <row r="22850">
      <c r="A22850" s="3" t="s">
        <v>39176</v>
      </c>
      <c r="B22850" s="3" t="s">
        <v>18915</v>
      </c>
      <c r="C22850" s="5" t="s">
        <v>45</v>
      </c>
      <c r="D22850" s="3" t="s">
        <v>221</v>
      </c>
      <c r="E22850" s="3" t="s">
        <v>713</v>
      </c>
      <c r="F22850" s="7">
        <v>46185.7906032101</v>
      </c>
      <c r="G22850" s="3" t="s">
        <v>12106</v>
      </c>
    </row>
    <row r="22851">
      <c r="A22851" s="3" t="s">
        <v>39177</v>
      </c>
      <c r="B22851" s="3" t="s">
        <v>18915</v>
      </c>
      <c r="C22851" s="5" t="s">
        <v>221</v>
      </c>
      <c r="D22851" s="3" t="s">
        <v>614</v>
      </c>
      <c r="E22851" s="3" t="s">
        <v>118</v>
      </c>
      <c r="F22851" s="7">
        <v>46185.79407543232</v>
      </c>
      <c r="G22851" s="3" t="s">
        <v>20622</v>
      </c>
    </row>
    <row r="22852">
      <c r="A22852" s="3" t="s">
        <v>39178</v>
      </c>
      <c r="B22852" s="3" t="s">
        <v>18915</v>
      </c>
      <c r="C22852" s="5" t="s">
        <v>614</v>
      </c>
      <c r="D22852" s="3" t="s">
        <v>206</v>
      </c>
      <c r="E22852" s="3" t="s">
        <v>100</v>
      </c>
      <c r="F22852" s="7">
        <v>46185.79754765455</v>
      </c>
      <c r="G22852" s="3" t="s">
        <v>20625</v>
      </c>
    </row>
    <row r="22853">
      <c r="A22853" s="3" t="s">
        <v>39179</v>
      </c>
      <c r="B22853" s="3" t="s">
        <v>18915</v>
      </c>
      <c r="C22853" s="5" t="s">
        <v>206</v>
      </c>
      <c r="D22853" s="3" t="s">
        <v>68</v>
      </c>
      <c r="E22853" s="3" t="s">
        <v>100</v>
      </c>
      <c r="F22853" s="7">
        <v>46185.801019876766</v>
      </c>
      <c r="G22853" s="3" t="s">
        <v>20627</v>
      </c>
    </row>
    <row r="22854">
      <c r="A22854" s="3" t="s">
        <v>39180</v>
      </c>
      <c r="B22854" s="3" t="s">
        <v>18918</v>
      </c>
      <c r="C22854" s="5" t="s">
        <v>45</v>
      </c>
      <c r="D22854" s="3" t="s">
        <v>221</v>
      </c>
      <c r="E22854" s="3" t="s">
        <v>130</v>
      </c>
      <c r="F22854" s="7">
        <v>46185.861778055514</v>
      </c>
      <c r="G22854" s="3" t="s">
        <v>20670</v>
      </c>
    </row>
    <row r="22855">
      <c r="A22855" s="3" t="s">
        <v>39181</v>
      </c>
      <c r="B22855" s="3" t="s">
        <v>18918</v>
      </c>
      <c r="C22855" s="5" t="s">
        <v>221</v>
      </c>
      <c r="D22855" s="3" t="s">
        <v>614</v>
      </c>
      <c r="E22855" s="3" t="s">
        <v>118</v>
      </c>
      <c r="F22855" s="7">
        <v>46185.86525027773</v>
      </c>
      <c r="G22855" s="3" t="s">
        <v>20672</v>
      </c>
    </row>
    <row r="22856">
      <c r="A22856" s="3" t="s">
        <v>39182</v>
      </c>
      <c r="B22856" s="3" t="s">
        <v>18918</v>
      </c>
      <c r="C22856" s="5" t="s">
        <v>614</v>
      </c>
      <c r="D22856" s="3" t="s">
        <v>206</v>
      </c>
      <c r="E22856" s="3" t="s">
        <v>100</v>
      </c>
      <c r="F22856" s="7">
        <v>46185.86872249996</v>
      </c>
      <c r="G22856" s="3" t="s">
        <v>20675</v>
      </c>
    </row>
    <row r="22857">
      <c r="A22857" s="3" t="s">
        <v>39183</v>
      </c>
      <c r="B22857" s="3" t="s">
        <v>18918</v>
      </c>
      <c r="C22857" s="5" t="s">
        <v>206</v>
      </c>
      <c r="D22857" s="3" t="s">
        <v>68</v>
      </c>
      <c r="E22857" s="3" t="s">
        <v>100</v>
      </c>
      <c r="F22857" s="7">
        <v>46185.87219472218</v>
      </c>
      <c r="G22857" s="3" t="s">
        <v>20678</v>
      </c>
    </row>
    <row r="22858">
      <c r="A22858" s="3" t="s">
        <v>39184</v>
      </c>
      <c r="B22858" s="3" t="s">
        <v>18922</v>
      </c>
      <c r="C22858" s="5" t="s">
        <v>45</v>
      </c>
      <c r="D22858" s="3" t="s">
        <v>221</v>
      </c>
      <c r="E22858" s="3" t="s">
        <v>645</v>
      </c>
      <c r="F22858" s="7">
        <v>46185.932952900934</v>
      </c>
      <c r="G22858" s="3" t="s">
        <v>4906</v>
      </c>
    </row>
    <row r="22859">
      <c r="A22859" s="3" t="s">
        <v>39185</v>
      </c>
      <c r="B22859" s="3" t="s">
        <v>18922</v>
      </c>
      <c r="C22859" s="5" t="s">
        <v>221</v>
      </c>
      <c r="D22859" s="3" t="s">
        <v>614</v>
      </c>
      <c r="E22859" s="3" t="s">
        <v>118</v>
      </c>
      <c r="F22859" s="7">
        <v>46185.93642512315</v>
      </c>
      <c r="G22859" s="3" t="s">
        <v>4910</v>
      </c>
    </row>
    <row r="22860">
      <c r="A22860" s="3" t="s">
        <v>39186</v>
      </c>
      <c r="B22860" s="3" t="s">
        <v>18922</v>
      </c>
      <c r="C22860" s="5" t="s">
        <v>614</v>
      </c>
      <c r="D22860" s="3" t="s">
        <v>206</v>
      </c>
      <c r="E22860" s="3" t="s">
        <v>100</v>
      </c>
      <c r="F22860" s="7">
        <v>46185.93989734538</v>
      </c>
      <c r="G22860" s="3" t="s">
        <v>4912</v>
      </c>
    </row>
    <row r="22861">
      <c r="A22861" s="3" t="s">
        <v>39187</v>
      </c>
      <c r="B22861" s="3" t="s">
        <v>18922</v>
      </c>
      <c r="C22861" s="5" t="s">
        <v>206</v>
      </c>
      <c r="D22861" s="3" t="s">
        <v>68</v>
      </c>
      <c r="E22861" s="3" t="s">
        <v>100</v>
      </c>
      <c r="F22861" s="7">
        <v>46185.9433695676</v>
      </c>
      <c r="G22861" s="3" t="s">
        <v>4915</v>
      </c>
    </row>
    <row r="22862">
      <c r="A22862" s="3" t="s">
        <v>39188</v>
      </c>
      <c r="B22862" s="3" t="s">
        <v>18925</v>
      </c>
      <c r="C22862" s="5" t="s">
        <v>45</v>
      </c>
      <c r="D22862" s="3" t="s">
        <v>221</v>
      </c>
      <c r="E22862" s="3" t="s">
        <v>609</v>
      </c>
      <c r="F22862" s="7">
        <v>46186.00412774635</v>
      </c>
      <c r="G22862" s="3" t="s">
        <v>8332</v>
      </c>
    </row>
    <row r="22863">
      <c r="A22863" s="3" t="s">
        <v>39189</v>
      </c>
      <c r="B22863" s="3" t="s">
        <v>18925</v>
      </c>
      <c r="C22863" s="5" t="s">
        <v>221</v>
      </c>
      <c r="D22863" s="3" t="s">
        <v>614</v>
      </c>
      <c r="E22863" s="3" t="s">
        <v>118</v>
      </c>
      <c r="F22863" s="7">
        <v>46186.00759996857</v>
      </c>
      <c r="G22863" s="3" t="s">
        <v>8335</v>
      </c>
    </row>
    <row r="22864">
      <c r="A22864" s="3" t="s">
        <v>39190</v>
      </c>
      <c r="B22864" s="3" t="s">
        <v>18925</v>
      </c>
      <c r="C22864" s="5" t="s">
        <v>614</v>
      </c>
      <c r="D22864" s="3" t="s">
        <v>206</v>
      </c>
      <c r="E22864" s="3" t="s">
        <v>100</v>
      </c>
      <c r="F22864" s="7">
        <v>46186.0110721908</v>
      </c>
      <c r="G22864" s="3" t="s">
        <v>8338</v>
      </c>
    </row>
    <row r="22865">
      <c r="A22865" s="3" t="s">
        <v>39191</v>
      </c>
      <c r="B22865" s="3" t="s">
        <v>18925</v>
      </c>
      <c r="C22865" s="5" t="s">
        <v>206</v>
      </c>
      <c r="D22865" s="3" t="s">
        <v>68</v>
      </c>
      <c r="E22865" s="3" t="s">
        <v>100</v>
      </c>
      <c r="F22865" s="7">
        <v>46186.01454441302</v>
      </c>
      <c r="G22865" s="3" t="s">
        <v>8341</v>
      </c>
    </row>
    <row r="22866">
      <c r="A22866" s="3" t="s">
        <v>39192</v>
      </c>
      <c r="B22866" s="3" t="s">
        <v>18928</v>
      </c>
      <c r="C22866" s="5" t="s">
        <v>45</v>
      </c>
      <c r="D22866" s="3" t="s">
        <v>221</v>
      </c>
      <c r="E22866" s="3" t="s">
        <v>224</v>
      </c>
      <c r="F22866" s="7">
        <v>46186.07530259176</v>
      </c>
      <c r="G22866" s="3" t="s">
        <v>15998</v>
      </c>
    </row>
    <row r="22867">
      <c r="A22867" s="3" t="s">
        <v>39193</v>
      </c>
      <c r="B22867" s="3" t="s">
        <v>18928</v>
      </c>
      <c r="C22867" s="5" t="s">
        <v>221</v>
      </c>
      <c r="D22867" s="3" t="s">
        <v>614</v>
      </c>
      <c r="E22867" s="3" t="s">
        <v>118</v>
      </c>
      <c r="F22867" s="7">
        <v>46186.07877481398</v>
      </c>
      <c r="G22867" s="3" t="s">
        <v>16001</v>
      </c>
    </row>
    <row r="22868">
      <c r="A22868" s="3" t="s">
        <v>39194</v>
      </c>
      <c r="B22868" s="3" t="s">
        <v>18928</v>
      </c>
      <c r="C22868" s="5" t="s">
        <v>614</v>
      </c>
      <c r="D22868" s="3" t="s">
        <v>206</v>
      </c>
      <c r="E22868" s="3" t="s">
        <v>100</v>
      </c>
      <c r="F22868" s="7">
        <v>46186.0822470362</v>
      </c>
      <c r="G22868" s="3" t="s">
        <v>16003</v>
      </c>
    </row>
    <row r="22869">
      <c r="A22869" s="3" t="s">
        <v>39195</v>
      </c>
      <c r="B22869" s="3" t="s">
        <v>18928</v>
      </c>
      <c r="C22869" s="5" t="s">
        <v>206</v>
      </c>
      <c r="D22869" s="3" t="s">
        <v>68</v>
      </c>
      <c r="E22869" s="3" t="s">
        <v>100</v>
      </c>
      <c r="F22869" s="7">
        <v>46186.08571925842</v>
      </c>
      <c r="G22869" s="3" t="s">
        <v>16006</v>
      </c>
    </row>
    <row r="22870">
      <c r="A22870" s="3" t="s">
        <v>39196</v>
      </c>
      <c r="B22870" s="3" t="s">
        <v>18932</v>
      </c>
      <c r="C22870" s="5" t="s">
        <v>45</v>
      </c>
      <c r="D22870" s="3" t="s">
        <v>221</v>
      </c>
      <c r="E22870" s="3" t="s">
        <v>533</v>
      </c>
      <c r="F22870" s="7">
        <v>46186.14647743718</v>
      </c>
      <c r="G22870" s="3" t="s">
        <v>22505</v>
      </c>
    </row>
    <row r="22871">
      <c r="A22871" s="3" t="s">
        <v>39197</v>
      </c>
      <c r="B22871" s="3" t="s">
        <v>18932</v>
      </c>
      <c r="C22871" s="5" t="s">
        <v>221</v>
      </c>
      <c r="D22871" s="3" t="s">
        <v>614</v>
      </c>
      <c r="E22871" s="3" t="s">
        <v>118</v>
      </c>
      <c r="F22871" s="7">
        <v>46186.1499496594</v>
      </c>
      <c r="G22871" s="3" t="s">
        <v>22508</v>
      </c>
    </row>
    <row r="22872">
      <c r="A22872" s="3" t="s">
        <v>39198</v>
      </c>
      <c r="B22872" s="3" t="s">
        <v>18932</v>
      </c>
      <c r="C22872" s="5" t="s">
        <v>614</v>
      </c>
      <c r="D22872" s="3" t="s">
        <v>206</v>
      </c>
      <c r="E22872" s="3" t="s">
        <v>100</v>
      </c>
      <c r="F22872" s="7">
        <v>46186.15342188162</v>
      </c>
      <c r="G22872" s="3" t="s">
        <v>22510</v>
      </c>
    </row>
    <row r="22873">
      <c r="A22873" s="3" t="s">
        <v>39199</v>
      </c>
      <c r="B22873" s="3" t="s">
        <v>18932</v>
      </c>
      <c r="C22873" s="5" t="s">
        <v>206</v>
      </c>
      <c r="D22873" s="3" t="s">
        <v>68</v>
      </c>
      <c r="E22873" s="3" t="s">
        <v>100</v>
      </c>
      <c r="F22873" s="7">
        <v>46186.15689410384</v>
      </c>
      <c r="G22873" s="3" t="s">
        <v>22513</v>
      </c>
    </row>
    <row r="22874">
      <c r="A22874" s="3" t="s">
        <v>39200</v>
      </c>
      <c r="B22874" s="3" t="s">
        <v>18936</v>
      </c>
      <c r="C22874" s="5" t="s">
        <v>45</v>
      </c>
      <c r="D22874" s="3" t="s">
        <v>221</v>
      </c>
      <c r="E22874" s="3" t="s">
        <v>395</v>
      </c>
      <c r="F22874" s="7">
        <v>46186.21765228259</v>
      </c>
      <c r="G22874" s="3" t="s">
        <v>29322</v>
      </c>
    </row>
    <row r="22875">
      <c r="A22875" s="3" t="s">
        <v>39201</v>
      </c>
      <c r="B22875" s="3" t="s">
        <v>18936</v>
      </c>
      <c r="C22875" s="5" t="s">
        <v>221</v>
      </c>
      <c r="D22875" s="3" t="s">
        <v>614</v>
      </c>
      <c r="E22875" s="3" t="s">
        <v>118</v>
      </c>
      <c r="F22875" s="7">
        <v>46186.22112450481</v>
      </c>
      <c r="G22875" s="3" t="s">
        <v>29324</v>
      </c>
    </row>
    <row r="22876">
      <c r="A22876" s="3" t="s">
        <v>39202</v>
      </c>
      <c r="B22876" s="3" t="s">
        <v>18936</v>
      </c>
      <c r="C22876" s="5" t="s">
        <v>614</v>
      </c>
      <c r="D22876" s="3" t="s">
        <v>206</v>
      </c>
      <c r="E22876" s="3" t="s">
        <v>100</v>
      </c>
      <c r="F22876" s="7">
        <v>46186.224596727036</v>
      </c>
      <c r="G22876" s="3" t="s">
        <v>29326</v>
      </c>
    </row>
    <row r="22877">
      <c r="A22877" s="3" t="s">
        <v>39203</v>
      </c>
      <c r="B22877" s="3" t="s">
        <v>18936</v>
      </c>
      <c r="C22877" s="5" t="s">
        <v>206</v>
      </c>
      <c r="D22877" s="3" t="s">
        <v>68</v>
      </c>
      <c r="E22877" s="3" t="s">
        <v>100</v>
      </c>
      <c r="F22877" s="7">
        <v>46186.228068949255</v>
      </c>
      <c r="G22877" s="3" t="s">
        <v>29328</v>
      </c>
    </row>
    <row r="22878">
      <c r="A22878" s="3" t="s">
        <v>39204</v>
      </c>
      <c r="B22878" s="3" t="s">
        <v>18939</v>
      </c>
      <c r="C22878" s="5" t="s">
        <v>45</v>
      </c>
      <c r="D22878" s="3" t="s">
        <v>221</v>
      </c>
      <c r="E22878" s="3" t="s">
        <v>627</v>
      </c>
      <c r="F22878" s="7">
        <v>46186.28882712801</v>
      </c>
      <c r="G22878" s="3" t="s">
        <v>15877</v>
      </c>
    </row>
    <row r="22879">
      <c r="A22879" s="3" t="s">
        <v>39205</v>
      </c>
      <c r="B22879" s="3" t="s">
        <v>18939</v>
      </c>
      <c r="C22879" s="5" t="s">
        <v>221</v>
      </c>
      <c r="D22879" s="3" t="s">
        <v>614</v>
      </c>
      <c r="E22879" s="3" t="s">
        <v>118</v>
      </c>
      <c r="F22879" s="7">
        <v>46186.29229935023</v>
      </c>
      <c r="G22879" s="3" t="s">
        <v>15880</v>
      </c>
    </row>
    <row r="22880">
      <c r="A22880" s="3" t="s">
        <v>39206</v>
      </c>
      <c r="B22880" s="3" t="s">
        <v>18939</v>
      </c>
      <c r="C22880" s="5" t="s">
        <v>614</v>
      </c>
      <c r="D22880" s="3" t="s">
        <v>206</v>
      </c>
      <c r="E22880" s="3" t="s">
        <v>100</v>
      </c>
      <c r="F22880" s="7">
        <v>46186.295771572455</v>
      </c>
      <c r="G22880" s="3" t="s">
        <v>15883</v>
      </c>
    </row>
    <row r="22881">
      <c r="A22881" s="3" t="s">
        <v>39207</v>
      </c>
      <c r="B22881" s="3" t="s">
        <v>18939</v>
      </c>
      <c r="C22881" s="5" t="s">
        <v>206</v>
      </c>
      <c r="D22881" s="3" t="s">
        <v>68</v>
      </c>
      <c r="E22881" s="3" t="s">
        <v>100</v>
      </c>
      <c r="F22881" s="7">
        <v>46186.299243794674</v>
      </c>
      <c r="G22881" s="3" t="s">
        <v>15886</v>
      </c>
    </row>
    <row r="22882">
      <c r="A22882" s="3" t="s">
        <v>39208</v>
      </c>
      <c r="B22882" s="3" t="s">
        <v>18943</v>
      </c>
      <c r="C22882" s="5" t="s">
        <v>45</v>
      </c>
      <c r="D22882" s="3" t="s">
        <v>221</v>
      </c>
      <c r="E22882" s="3" t="s">
        <v>643</v>
      </c>
      <c r="F22882" s="7">
        <v>46186.36000197342</v>
      </c>
      <c r="G22882" s="3" t="s">
        <v>10975</v>
      </c>
    </row>
    <row r="22883">
      <c r="A22883" s="3" t="s">
        <v>39209</v>
      </c>
      <c r="B22883" s="3" t="s">
        <v>18943</v>
      </c>
      <c r="C22883" s="5" t="s">
        <v>221</v>
      </c>
      <c r="D22883" s="3" t="s">
        <v>614</v>
      </c>
      <c r="E22883" s="3" t="s">
        <v>118</v>
      </c>
      <c r="F22883" s="7">
        <v>46186.36347419564</v>
      </c>
      <c r="G22883" s="3" t="s">
        <v>10978</v>
      </c>
    </row>
    <row r="22884">
      <c r="A22884" s="3" t="s">
        <v>39210</v>
      </c>
      <c r="B22884" s="3" t="s">
        <v>18943</v>
      </c>
      <c r="C22884" s="5" t="s">
        <v>614</v>
      </c>
      <c r="D22884" s="3" t="s">
        <v>206</v>
      </c>
      <c r="E22884" s="3" t="s">
        <v>100</v>
      </c>
      <c r="F22884" s="7">
        <v>46186.36694641787</v>
      </c>
      <c r="G22884" s="3" t="s">
        <v>10981</v>
      </c>
    </row>
    <row r="22885">
      <c r="A22885" s="3" t="s">
        <v>39211</v>
      </c>
      <c r="B22885" s="3" t="s">
        <v>18943</v>
      </c>
      <c r="C22885" s="5" t="s">
        <v>206</v>
      </c>
      <c r="D22885" s="3" t="s">
        <v>68</v>
      </c>
      <c r="E22885" s="3" t="s">
        <v>100</v>
      </c>
      <c r="F22885" s="7">
        <v>46186.37041864009</v>
      </c>
      <c r="G22885" s="3" t="s">
        <v>10984</v>
      </c>
    </row>
    <row r="22886">
      <c r="A22886" s="3" t="s">
        <v>39212</v>
      </c>
      <c r="B22886" s="3" t="s">
        <v>18947</v>
      </c>
      <c r="C22886" s="5" t="s">
        <v>45</v>
      </c>
      <c r="D22886" s="3" t="s">
        <v>221</v>
      </c>
      <c r="E22886" s="3" t="s">
        <v>987</v>
      </c>
      <c r="F22886" s="7">
        <v>46186.43117681884</v>
      </c>
      <c r="G22886" s="3" t="s">
        <v>4934</v>
      </c>
    </row>
    <row r="22887">
      <c r="A22887" s="3" t="s">
        <v>39213</v>
      </c>
      <c r="B22887" s="3" t="s">
        <v>18947</v>
      </c>
      <c r="C22887" s="5" t="s">
        <v>221</v>
      </c>
      <c r="D22887" s="3" t="s">
        <v>614</v>
      </c>
      <c r="E22887" s="3" t="s">
        <v>118</v>
      </c>
      <c r="F22887" s="7">
        <v>46186.43464904106</v>
      </c>
      <c r="G22887" s="3" t="s">
        <v>4937</v>
      </c>
    </row>
    <row r="22888">
      <c r="A22888" s="3" t="s">
        <v>39214</v>
      </c>
      <c r="B22888" s="3" t="s">
        <v>18947</v>
      </c>
      <c r="C22888" s="5" t="s">
        <v>614</v>
      </c>
      <c r="D22888" s="3" t="s">
        <v>206</v>
      </c>
      <c r="E22888" s="3" t="s">
        <v>100</v>
      </c>
      <c r="F22888" s="7">
        <v>46186.43812126329</v>
      </c>
      <c r="G22888" s="3" t="s">
        <v>4940</v>
      </c>
    </row>
    <row r="22889">
      <c r="A22889" s="3" t="s">
        <v>39215</v>
      </c>
      <c r="B22889" s="3" t="s">
        <v>18947</v>
      </c>
      <c r="C22889" s="5" t="s">
        <v>206</v>
      </c>
      <c r="D22889" s="3" t="s">
        <v>68</v>
      </c>
      <c r="E22889" s="3" t="s">
        <v>100</v>
      </c>
      <c r="F22889" s="7">
        <v>46186.441593485506</v>
      </c>
      <c r="G22889" s="3" t="s">
        <v>4943</v>
      </c>
    </row>
    <row r="22890">
      <c r="A22890" s="3" t="s">
        <v>39216</v>
      </c>
      <c r="B22890" s="3" t="s">
        <v>18950</v>
      </c>
      <c r="C22890" s="5" t="s">
        <v>45</v>
      </c>
      <c r="D22890" s="3" t="s">
        <v>221</v>
      </c>
      <c r="E22890" s="3" t="s">
        <v>141</v>
      </c>
      <c r="F22890" s="7">
        <v>46186.50235166425</v>
      </c>
      <c r="G22890" s="3" t="s">
        <v>16509</v>
      </c>
    </row>
    <row r="22891">
      <c r="A22891" s="3" t="s">
        <v>39217</v>
      </c>
      <c r="B22891" s="3" t="s">
        <v>18950</v>
      </c>
      <c r="C22891" s="5" t="s">
        <v>221</v>
      </c>
      <c r="D22891" s="3" t="s">
        <v>614</v>
      </c>
      <c r="E22891" s="3" t="s">
        <v>118</v>
      </c>
      <c r="F22891" s="7">
        <v>46186.505823886466</v>
      </c>
      <c r="G22891" s="3" t="s">
        <v>16512</v>
      </c>
    </row>
    <row r="22892">
      <c r="A22892" s="3" t="s">
        <v>39218</v>
      </c>
      <c r="B22892" s="3" t="s">
        <v>18950</v>
      </c>
      <c r="C22892" s="5" t="s">
        <v>614</v>
      </c>
      <c r="D22892" s="3" t="s">
        <v>206</v>
      </c>
      <c r="E22892" s="3" t="s">
        <v>100</v>
      </c>
      <c r="F22892" s="7">
        <v>46186.50929610869</v>
      </c>
      <c r="G22892" s="3" t="s">
        <v>16515</v>
      </c>
    </row>
    <row r="22893">
      <c r="A22893" s="3" t="s">
        <v>39219</v>
      </c>
      <c r="B22893" s="3" t="s">
        <v>18950</v>
      </c>
      <c r="C22893" s="5" t="s">
        <v>206</v>
      </c>
      <c r="D22893" s="3" t="s">
        <v>68</v>
      </c>
      <c r="E22893" s="3" t="s">
        <v>100</v>
      </c>
      <c r="F22893" s="7">
        <v>46186.51276833091</v>
      </c>
      <c r="G22893" s="3" t="s">
        <v>16518</v>
      </c>
    </row>
    <row r="22894">
      <c r="A22894" s="3" t="s">
        <v>39220</v>
      </c>
      <c r="B22894" s="3" t="s">
        <v>18953</v>
      </c>
      <c r="C22894" s="5" t="s">
        <v>45</v>
      </c>
      <c r="D22894" s="3" t="s">
        <v>221</v>
      </c>
      <c r="E22894" s="3" t="s">
        <v>1040</v>
      </c>
      <c r="F22894" s="7">
        <v>46186.57352650967</v>
      </c>
      <c r="G22894" s="3" t="s">
        <v>6985</v>
      </c>
    </row>
    <row r="22895">
      <c r="A22895" s="3" t="s">
        <v>39221</v>
      </c>
      <c r="B22895" s="3" t="s">
        <v>18953</v>
      </c>
      <c r="C22895" s="5" t="s">
        <v>221</v>
      </c>
      <c r="D22895" s="3" t="s">
        <v>614</v>
      </c>
      <c r="E22895" s="3" t="s">
        <v>118</v>
      </c>
      <c r="F22895" s="7">
        <v>46186.576998731885</v>
      </c>
      <c r="G22895" s="3" t="s">
        <v>6987</v>
      </c>
    </row>
    <row r="22896">
      <c r="A22896" s="3" t="s">
        <v>39222</v>
      </c>
      <c r="B22896" s="3" t="s">
        <v>18953</v>
      </c>
      <c r="C22896" s="5" t="s">
        <v>614</v>
      </c>
      <c r="D22896" s="3" t="s">
        <v>206</v>
      </c>
      <c r="E22896" s="3" t="s">
        <v>100</v>
      </c>
      <c r="F22896" s="7">
        <v>46186.58047095411</v>
      </c>
      <c r="G22896" s="3" t="s">
        <v>6990</v>
      </c>
    </row>
    <row r="22897">
      <c r="A22897" s="3" t="s">
        <v>39223</v>
      </c>
      <c r="B22897" s="3" t="s">
        <v>18953</v>
      </c>
      <c r="C22897" s="5" t="s">
        <v>206</v>
      </c>
      <c r="D22897" s="3" t="s">
        <v>68</v>
      </c>
      <c r="E22897" s="3" t="s">
        <v>100</v>
      </c>
      <c r="F22897" s="7">
        <v>46186.58394317633</v>
      </c>
      <c r="G22897" s="3" t="s">
        <v>6993</v>
      </c>
    </row>
    <row r="22898">
      <c r="A22898" s="3" t="s">
        <v>39224</v>
      </c>
      <c r="B22898" s="3" t="s">
        <v>18957</v>
      </c>
      <c r="C22898" s="5" t="s">
        <v>45</v>
      </c>
      <c r="D22898" s="3" t="s">
        <v>221</v>
      </c>
      <c r="E22898" s="3" t="s">
        <v>183</v>
      </c>
      <c r="F22898" s="7">
        <v>46186.644701355086</v>
      </c>
      <c r="G22898" s="3" t="s">
        <v>5171</v>
      </c>
    </row>
    <row r="22899">
      <c r="A22899" s="3" t="s">
        <v>39225</v>
      </c>
      <c r="B22899" s="3" t="s">
        <v>18957</v>
      </c>
      <c r="C22899" s="5" t="s">
        <v>221</v>
      </c>
      <c r="D22899" s="3" t="s">
        <v>614</v>
      </c>
      <c r="E22899" s="3" t="s">
        <v>118</v>
      </c>
      <c r="F22899" s="7">
        <v>46186.648173577305</v>
      </c>
      <c r="G22899" s="3" t="s">
        <v>12316</v>
      </c>
    </row>
    <row r="22900">
      <c r="A22900" s="3" t="s">
        <v>39226</v>
      </c>
      <c r="B22900" s="3" t="s">
        <v>18957</v>
      </c>
      <c r="C22900" s="5" t="s">
        <v>614</v>
      </c>
      <c r="D22900" s="3" t="s">
        <v>206</v>
      </c>
      <c r="E22900" s="3" t="s">
        <v>100</v>
      </c>
      <c r="F22900" s="7">
        <v>46186.65164579953</v>
      </c>
      <c r="G22900" s="3" t="s">
        <v>12319</v>
      </c>
    </row>
    <row r="22901">
      <c r="A22901" s="3" t="s">
        <v>39227</v>
      </c>
      <c r="B22901" s="3" t="s">
        <v>18957</v>
      </c>
      <c r="C22901" s="5" t="s">
        <v>206</v>
      </c>
      <c r="D22901" s="3" t="s">
        <v>68</v>
      </c>
      <c r="E22901" s="3" t="s">
        <v>100</v>
      </c>
      <c r="F22901" s="7">
        <v>46186.65511802175</v>
      </c>
      <c r="G22901" s="3" t="s">
        <v>12322</v>
      </c>
    </row>
    <row r="22902">
      <c r="A22902" s="3" t="s">
        <v>39228</v>
      </c>
      <c r="B22902" s="3" t="s">
        <v>18961</v>
      </c>
      <c r="C22902" s="5" t="s">
        <v>45</v>
      </c>
      <c r="D22902" s="3" t="s">
        <v>221</v>
      </c>
      <c r="E22902" s="3" t="s">
        <v>505</v>
      </c>
      <c r="F22902" s="7">
        <v>46186.7158762005</v>
      </c>
      <c r="G22902" s="3" t="s">
        <v>8315</v>
      </c>
    </row>
    <row r="22903">
      <c r="A22903" s="3" t="s">
        <v>39229</v>
      </c>
      <c r="B22903" s="3" t="s">
        <v>18961</v>
      </c>
      <c r="C22903" s="5" t="s">
        <v>221</v>
      </c>
      <c r="D22903" s="3" t="s">
        <v>614</v>
      </c>
      <c r="E22903" s="3" t="s">
        <v>118</v>
      </c>
      <c r="F22903" s="7">
        <v>46186.71934842272</v>
      </c>
      <c r="G22903" s="3" t="s">
        <v>8318</v>
      </c>
    </row>
    <row r="22904">
      <c r="A22904" s="3" t="s">
        <v>39230</v>
      </c>
      <c r="B22904" s="3" t="s">
        <v>18961</v>
      </c>
      <c r="C22904" s="5" t="s">
        <v>614</v>
      </c>
      <c r="D22904" s="3" t="s">
        <v>206</v>
      </c>
      <c r="E22904" s="3" t="s">
        <v>100</v>
      </c>
      <c r="F22904" s="7">
        <v>46186.72282064494</v>
      </c>
      <c r="G22904" s="3" t="s">
        <v>8321</v>
      </c>
    </row>
    <row r="22905">
      <c r="A22905" s="3" t="s">
        <v>39231</v>
      </c>
      <c r="B22905" s="3" t="s">
        <v>18961</v>
      </c>
      <c r="C22905" s="5" t="s">
        <v>206</v>
      </c>
      <c r="D22905" s="3" t="s">
        <v>68</v>
      </c>
      <c r="E22905" s="3" t="s">
        <v>100</v>
      </c>
      <c r="F22905" s="7">
        <v>46186.72629286716</v>
      </c>
      <c r="G22905" s="3" t="s">
        <v>8324</v>
      </c>
    </row>
    <row r="22906">
      <c r="A22906" s="3" t="s">
        <v>39232</v>
      </c>
      <c r="B22906" s="3" t="s">
        <v>18963</v>
      </c>
      <c r="C22906" s="5" t="s">
        <v>45</v>
      </c>
      <c r="D22906" s="3" t="s">
        <v>221</v>
      </c>
      <c r="E22906" s="3" t="s">
        <v>760</v>
      </c>
      <c r="F22906" s="7">
        <v>46186.78705104591</v>
      </c>
      <c r="G22906" s="3" t="s">
        <v>9096</v>
      </c>
    </row>
    <row r="22907">
      <c r="A22907" s="3" t="s">
        <v>39233</v>
      </c>
      <c r="B22907" s="3" t="s">
        <v>18963</v>
      </c>
      <c r="C22907" s="5" t="s">
        <v>221</v>
      </c>
      <c r="D22907" s="3" t="s">
        <v>181</v>
      </c>
      <c r="E22907" s="3" t="s">
        <v>118</v>
      </c>
      <c r="F22907" s="7">
        <v>46186.79052326813</v>
      </c>
      <c r="G22907" s="3" t="s">
        <v>28173</v>
      </c>
    </row>
    <row r="22908">
      <c r="A22908" s="3" t="s">
        <v>39234</v>
      </c>
      <c r="B22908" s="3" t="s">
        <v>18965</v>
      </c>
      <c r="C22908" s="5" t="s">
        <v>45</v>
      </c>
      <c r="D22908" s="3" t="s">
        <v>221</v>
      </c>
      <c r="E22908" s="3" t="s">
        <v>953</v>
      </c>
      <c r="F22908" s="7">
        <v>46186.85822589133</v>
      </c>
      <c r="G22908" s="3" t="s">
        <v>2770</v>
      </c>
    </row>
    <row r="22909">
      <c r="A22909" s="3" t="s">
        <v>39235</v>
      </c>
      <c r="B22909" s="3" t="s">
        <v>18965</v>
      </c>
      <c r="C22909" s="5" t="s">
        <v>221</v>
      </c>
      <c r="D22909" s="3" t="s">
        <v>181</v>
      </c>
      <c r="E22909" s="3" t="s">
        <v>118</v>
      </c>
      <c r="F22909" s="7">
        <v>46186.86169811355</v>
      </c>
      <c r="G22909" s="3" t="s">
        <v>2774</v>
      </c>
    </row>
    <row r="22910">
      <c r="A22910" s="3" t="s">
        <v>39236</v>
      </c>
      <c r="B22910" s="3" t="s">
        <v>18967</v>
      </c>
      <c r="C22910" s="5" t="s">
        <v>45</v>
      </c>
      <c r="D22910" s="3" t="s">
        <v>221</v>
      </c>
      <c r="E22910" s="3" t="s">
        <v>883</v>
      </c>
      <c r="F22910" s="7">
        <v>46186.92940073674</v>
      </c>
      <c r="G22910" s="3" t="s">
        <v>20609</v>
      </c>
    </row>
    <row r="22911">
      <c r="A22911" s="3" t="s">
        <v>39237</v>
      </c>
      <c r="B22911" s="3" t="s">
        <v>18967</v>
      </c>
      <c r="C22911" s="5" t="s">
        <v>221</v>
      </c>
      <c r="D22911" s="3" t="s">
        <v>614</v>
      </c>
      <c r="E22911" s="3" t="s">
        <v>118</v>
      </c>
      <c r="F22911" s="7">
        <v>46186.93287295896</v>
      </c>
      <c r="G22911" s="3" t="s">
        <v>20611</v>
      </c>
    </row>
    <row r="22912">
      <c r="A22912" s="3" t="s">
        <v>39238</v>
      </c>
      <c r="B22912" s="3" t="s">
        <v>18967</v>
      </c>
      <c r="C22912" s="5" t="s">
        <v>614</v>
      </c>
      <c r="D22912" s="3" t="s">
        <v>206</v>
      </c>
      <c r="E22912" s="3" t="s">
        <v>100</v>
      </c>
      <c r="F22912" s="7">
        <v>46186.93634518119</v>
      </c>
      <c r="G22912" s="3" t="s">
        <v>20614</v>
      </c>
    </row>
    <row r="22913">
      <c r="A22913" s="3" t="s">
        <v>39239</v>
      </c>
      <c r="B22913" s="3" t="s">
        <v>18967</v>
      </c>
      <c r="C22913" s="5" t="s">
        <v>206</v>
      </c>
      <c r="D22913" s="3" t="s">
        <v>68</v>
      </c>
      <c r="E22913" s="3" t="s">
        <v>100</v>
      </c>
      <c r="F22913" s="7">
        <v>46186.93981740341</v>
      </c>
      <c r="G22913" s="3" t="s">
        <v>20617</v>
      </c>
    </row>
    <row r="22914">
      <c r="A22914" s="3" t="s">
        <v>39240</v>
      </c>
      <c r="B22914" s="3" t="s">
        <v>18969</v>
      </c>
      <c r="C22914" s="5" t="s">
        <v>45</v>
      </c>
      <c r="D22914" s="3" t="s">
        <v>221</v>
      </c>
      <c r="E22914" s="3" t="s">
        <v>380</v>
      </c>
      <c r="F22914" s="7">
        <v>46187.000575582155</v>
      </c>
      <c r="G22914" s="3" t="s">
        <v>4588</v>
      </c>
    </row>
    <row r="22915">
      <c r="A22915" s="3" t="s">
        <v>39241</v>
      </c>
      <c r="B22915" s="3" t="s">
        <v>18969</v>
      </c>
      <c r="C22915" s="5" t="s">
        <v>221</v>
      </c>
      <c r="D22915" s="3" t="s">
        <v>614</v>
      </c>
      <c r="E22915" s="3" t="s">
        <v>118</v>
      </c>
      <c r="F22915" s="7">
        <v>46187.004047804374</v>
      </c>
      <c r="G22915" s="3" t="s">
        <v>4591</v>
      </c>
    </row>
    <row r="22916">
      <c r="A22916" s="3" t="s">
        <v>39242</v>
      </c>
      <c r="B22916" s="3" t="s">
        <v>18969</v>
      </c>
      <c r="C22916" s="5" t="s">
        <v>614</v>
      </c>
      <c r="D22916" s="3" t="s">
        <v>206</v>
      </c>
      <c r="E22916" s="3" t="s">
        <v>100</v>
      </c>
      <c r="F22916" s="7">
        <v>46187.0075200266</v>
      </c>
      <c r="G22916" s="3" t="s">
        <v>4594</v>
      </c>
    </row>
    <row r="22917">
      <c r="A22917" s="3" t="s">
        <v>39243</v>
      </c>
      <c r="B22917" s="3" t="s">
        <v>18969</v>
      </c>
      <c r="C22917" s="5" t="s">
        <v>206</v>
      </c>
      <c r="D22917" s="3" t="s">
        <v>68</v>
      </c>
      <c r="E22917" s="3" t="s">
        <v>100</v>
      </c>
      <c r="F22917" s="7">
        <v>46187.01099224882</v>
      </c>
      <c r="G22917" s="3" t="s">
        <v>4597</v>
      </c>
    </row>
    <row r="22918">
      <c r="A22918" s="3" t="s">
        <v>39244</v>
      </c>
      <c r="B22918" s="3" t="s">
        <v>18970</v>
      </c>
      <c r="C22918" s="5" t="s">
        <v>45</v>
      </c>
      <c r="D22918" s="3" t="s">
        <v>221</v>
      </c>
      <c r="E22918" s="3" t="s">
        <v>1026</v>
      </c>
      <c r="F22918" s="7">
        <v>46187.071750427574</v>
      </c>
      <c r="G22918" s="3" t="s">
        <v>2770</v>
      </c>
    </row>
    <row r="22919">
      <c r="A22919" s="3" t="s">
        <v>39245</v>
      </c>
      <c r="B22919" s="3" t="s">
        <v>18970</v>
      </c>
      <c r="C22919" s="5" t="s">
        <v>221</v>
      </c>
      <c r="D22919" s="3" t="s">
        <v>195</v>
      </c>
      <c r="E22919" s="3" t="s">
        <v>1026</v>
      </c>
      <c r="F22919" s="7">
        <v>46187.07522264979</v>
      </c>
      <c r="G22919" s="3" t="s">
        <v>3055</v>
      </c>
    </row>
    <row r="22920">
      <c r="A22920" s="3" t="s">
        <v>39246</v>
      </c>
      <c r="B22920" s="3" t="s">
        <v>18972</v>
      </c>
      <c r="C22920" s="5" t="s">
        <v>45</v>
      </c>
      <c r="D22920" s="3" t="s">
        <v>221</v>
      </c>
      <c r="E22920" s="3" t="s">
        <v>591</v>
      </c>
      <c r="F22920" s="7">
        <v>46187.142925272994</v>
      </c>
      <c r="G22920" s="3" t="s">
        <v>23230</v>
      </c>
    </row>
    <row r="22921">
      <c r="A22921" s="3" t="s">
        <v>39247</v>
      </c>
      <c r="B22921" s="3" t="s">
        <v>18972</v>
      </c>
      <c r="C22921" s="5" t="s">
        <v>221</v>
      </c>
      <c r="D22921" s="3" t="s">
        <v>614</v>
      </c>
      <c r="E22921" s="3" t="s">
        <v>118</v>
      </c>
      <c r="F22921" s="7">
        <v>46187.14639749521</v>
      </c>
      <c r="G22921" s="3" t="s">
        <v>23233</v>
      </c>
    </row>
    <row r="22922">
      <c r="A22922" s="3" t="s">
        <v>39248</v>
      </c>
      <c r="B22922" s="3" t="s">
        <v>18972</v>
      </c>
      <c r="C22922" s="5" t="s">
        <v>614</v>
      </c>
      <c r="D22922" s="3" t="s">
        <v>206</v>
      </c>
      <c r="E22922" s="3" t="s">
        <v>100</v>
      </c>
      <c r="F22922" s="7">
        <v>46187.14986971744</v>
      </c>
      <c r="G22922" s="3" t="s">
        <v>23236</v>
      </c>
    </row>
    <row r="22923">
      <c r="A22923" s="3" t="s">
        <v>39249</v>
      </c>
      <c r="B22923" s="3" t="s">
        <v>18972</v>
      </c>
      <c r="C22923" s="5" t="s">
        <v>206</v>
      </c>
      <c r="D22923" s="3" t="s">
        <v>68</v>
      </c>
      <c r="E22923" s="3" t="s">
        <v>100</v>
      </c>
      <c r="F22923" s="7">
        <v>46187.15334193966</v>
      </c>
      <c r="G22923" s="3" t="s">
        <v>23239</v>
      </c>
    </row>
    <row r="22924">
      <c r="A22924" s="3" t="s">
        <v>39250</v>
      </c>
      <c r="B22924" s="3" t="s">
        <v>18975</v>
      </c>
      <c r="C22924" s="5" t="s">
        <v>45</v>
      </c>
      <c r="D22924" s="3" t="s">
        <v>221</v>
      </c>
      <c r="E22924" s="3" t="s">
        <v>816</v>
      </c>
      <c r="F22924" s="7">
        <v>46187.2141001184</v>
      </c>
      <c r="G22924" s="3" t="s">
        <v>10173</v>
      </c>
    </row>
    <row r="22925">
      <c r="A22925" s="3" t="s">
        <v>39251</v>
      </c>
      <c r="B22925" s="3" t="s">
        <v>18975</v>
      </c>
      <c r="C22925" s="5" t="s">
        <v>221</v>
      </c>
      <c r="D22925" s="3" t="s">
        <v>614</v>
      </c>
      <c r="E22925" s="3" t="s">
        <v>118</v>
      </c>
      <c r="F22925" s="7">
        <v>46187.21757234062</v>
      </c>
      <c r="G22925" s="3" t="s">
        <v>14172</v>
      </c>
    </row>
    <row r="22926">
      <c r="A22926" s="3" t="s">
        <v>39252</v>
      </c>
      <c r="B22926" s="3" t="s">
        <v>18975</v>
      </c>
      <c r="C22926" s="5" t="s">
        <v>614</v>
      </c>
      <c r="D22926" s="3" t="s">
        <v>206</v>
      </c>
      <c r="E22926" s="3" t="s">
        <v>100</v>
      </c>
      <c r="F22926" s="7">
        <v>46187.221044562844</v>
      </c>
      <c r="G22926" s="3" t="s">
        <v>14175</v>
      </c>
    </row>
    <row r="22927">
      <c r="A22927" s="3" t="s">
        <v>39253</v>
      </c>
      <c r="B22927" s="3" t="s">
        <v>18975</v>
      </c>
      <c r="C22927" s="5" t="s">
        <v>206</v>
      </c>
      <c r="D22927" s="3" t="s">
        <v>68</v>
      </c>
      <c r="E22927" s="3" t="s">
        <v>100</v>
      </c>
      <c r="F22927" s="7">
        <v>46187.22451678506</v>
      </c>
      <c r="G22927" s="3" t="s">
        <v>14178</v>
      </c>
    </row>
    <row r="22928">
      <c r="A22928" s="3" t="s">
        <v>39254</v>
      </c>
      <c r="B22928" s="3" t="s">
        <v>18977</v>
      </c>
      <c r="C22928" s="5" t="s">
        <v>45</v>
      </c>
      <c r="D22928" s="3" t="s">
        <v>221</v>
      </c>
      <c r="E22928" s="3" t="s">
        <v>926</v>
      </c>
      <c r="F22928" s="7">
        <v>46187.28527496382</v>
      </c>
      <c r="G22928" s="3" t="s">
        <v>21815</v>
      </c>
    </row>
    <row r="22929">
      <c r="A22929" s="3" t="s">
        <v>39255</v>
      </c>
      <c r="B22929" s="3" t="s">
        <v>18977</v>
      </c>
      <c r="C22929" s="5" t="s">
        <v>221</v>
      </c>
      <c r="D22929" s="3" t="s">
        <v>614</v>
      </c>
      <c r="E22929" s="3" t="s">
        <v>118</v>
      </c>
      <c r="F22929" s="7">
        <v>46187.28874718604</v>
      </c>
      <c r="G22929" s="3" t="s">
        <v>24589</v>
      </c>
    </row>
    <row r="22930">
      <c r="A22930" s="3" t="s">
        <v>39256</v>
      </c>
      <c r="B22930" s="3" t="s">
        <v>18977</v>
      </c>
      <c r="C22930" s="5" t="s">
        <v>614</v>
      </c>
      <c r="D22930" s="3" t="s">
        <v>206</v>
      </c>
      <c r="E22930" s="3" t="s">
        <v>100</v>
      </c>
      <c r="F22930" s="7">
        <v>46187.292219408264</v>
      </c>
      <c r="G22930" s="3" t="s">
        <v>24591</v>
      </c>
    </row>
    <row r="22931">
      <c r="A22931" s="3" t="s">
        <v>39257</v>
      </c>
      <c r="B22931" s="3" t="s">
        <v>18977</v>
      </c>
      <c r="C22931" s="5" t="s">
        <v>206</v>
      </c>
      <c r="D22931" s="3" t="s">
        <v>68</v>
      </c>
      <c r="E22931" s="3" t="s">
        <v>100</v>
      </c>
      <c r="F22931" s="7">
        <v>46187.29569163048</v>
      </c>
      <c r="G22931" s="3" t="s">
        <v>24593</v>
      </c>
    </row>
    <row r="22932">
      <c r="A22932" s="3" t="s">
        <v>39258</v>
      </c>
      <c r="B22932" s="3" t="s">
        <v>18979</v>
      </c>
      <c r="C22932" s="5" t="s">
        <v>45</v>
      </c>
      <c r="D22932" s="3" t="s">
        <v>221</v>
      </c>
      <c r="E22932" s="3" t="s">
        <v>908</v>
      </c>
      <c r="F22932" s="7">
        <v>46187.35644980924</v>
      </c>
      <c r="G22932" s="3" t="s">
        <v>12142</v>
      </c>
    </row>
    <row r="22933">
      <c r="A22933" s="3" t="s">
        <v>39259</v>
      </c>
      <c r="B22933" s="3" t="s">
        <v>18979</v>
      </c>
      <c r="C22933" s="5" t="s">
        <v>221</v>
      </c>
      <c r="D22933" s="3" t="s">
        <v>614</v>
      </c>
      <c r="E22933" s="3" t="s">
        <v>118</v>
      </c>
      <c r="F22933" s="7">
        <v>46187.35992203146</v>
      </c>
      <c r="G22933" s="3" t="s">
        <v>12145</v>
      </c>
    </row>
    <row r="22934">
      <c r="A22934" s="3" t="s">
        <v>39260</v>
      </c>
      <c r="B22934" s="3" t="s">
        <v>18979</v>
      </c>
      <c r="C22934" s="5" t="s">
        <v>614</v>
      </c>
      <c r="D22934" s="3" t="s">
        <v>206</v>
      </c>
      <c r="E22934" s="3" t="s">
        <v>100</v>
      </c>
      <c r="F22934" s="7">
        <v>46187.36339425368</v>
      </c>
      <c r="G22934" s="3" t="s">
        <v>12148</v>
      </c>
    </row>
    <row r="22935">
      <c r="A22935" s="3" t="s">
        <v>39261</v>
      </c>
      <c r="B22935" s="3" t="s">
        <v>18979</v>
      </c>
      <c r="C22935" s="5" t="s">
        <v>206</v>
      </c>
      <c r="D22935" s="3" t="s">
        <v>68</v>
      </c>
      <c r="E22935" s="3" t="s">
        <v>100</v>
      </c>
      <c r="F22935" s="7">
        <v>46187.3668664759</v>
      </c>
      <c r="G22935" s="3" t="s">
        <v>12151</v>
      </c>
    </row>
    <row r="22936">
      <c r="A22936" s="3" t="s">
        <v>39262</v>
      </c>
      <c r="B22936" s="3" t="s">
        <v>18982</v>
      </c>
      <c r="C22936" s="5" t="s">
        <v>45</v>
      </c>
      <c r="D22936" s="3" t="s">
        <v>221</v>
      </c>
      <c r="E22936" s="3" t="s">
        <v>574</v>
      </c>
      <c r="F22936" s="7">
        <v>46187.42762465465</v>
      </c>
      <c r="G22936" s="3" t="s">
        <v>7476</v>
      </c>
    </row>
    <row r="22937">
      <c r="A22937" s="3" t="s">
        <v>39263</v>
      </c>
      <c r="B22937" s="3" t="s">
        <v>18982</v>
      </c>
      <c r="C22937" s="5" t="s">
        <v>221</v>
      </c>
      <c r="D22937" s="3" t="s">
        <v>614</v>
      </c>
      <c r="E22937" s="3" t="s">
        <v>118</v>
      </c>
      <c r="F22937" s="7">
        <v>46187.43109687687</v>
      </c>
      <c r="G22937" s="3" t="s">
        <v>7479</v>
      </c>
    </row>
    <row r="22938">
      <c r="A22938" s="3" t="s">
        <v>39264</v>
      </c>
      <c r="B22938" s="3" t="s">
        <v>18982</v>
      </c>
      <c r="C22938" s="5" t="s">
        <v>614</v>
      </c>
      <c r="D22938" s="3" t="s">
        <v>206</v>
      </c>
      <c r="E22938" s="3" t="s">
        <v>100</v>
      </c>
      <c r="F22938" s="7">
        <v>46187.434569099096</v>
      </c>
      <c r="G22938" s="3" t="s">
        <v>7482</v>
      </c>
    </row>
    <row r="22939">
      <c r="A22939" s="3" t="s">
        <v>39265</v>
      </c>
      <c r="B22939" s="3" t="s">
        <v>18982</v>
      </c>
      <c r="C22939" s="5" t="s">
        <v>206</v>
      </c>
      <c r="D22939" s="3" t="s">
        <v>68</v>
      </c>
      <c r="E22939" s="3" t="s">
        <v>100</v>
      </c>
      <c r="F22939" s="7">
        <v>46187.438041321315</v>
      </c>
      <c r="G22939" s="3" t="s">
        <v>7485</v>
      </c>
    </row>
    <row r="22940">
      <c r="A22940" s="3" t="s">
        <v>39266</v>
      </c>
      <c r="B22940" s="3" t="s">
        <v>18985</v>
      </c>
      <c r="C22940" s="5" t="s">
        <v>45</v>
      </c>
      <c r="D22940" s="3" t="s">
        <v>221</v>
      </c>
      <c r="E22940" s="3" t="s">
        <v>356</v>
      </c>
      <c r="F22940" s="7">
        <v>46187.49879950006</v>
      </c>
      <c r="G22940" s="3" t="s">
        <v>4985</v>
      </c>
    </row>
    <row r="22941">
      <c r="A22941" s="3" t="s">
        <v>39267</v>
      </c>
      <c r="B22941" s="3" t="s">
        <v>18985</v>
      </c>
      <c r="C22941" s="5" t="s">
        <v>221</v>
      </c>
      <c r="D22941" s="3" t="s">
        <v>614</v>
      </c>
      <c r="E22941" s="3" t="s">
        <v>118</v>
      </c>
      <c r="F22941" s="7">
        <v>46187.50227172228</v>
      </c>
      <c r="G22941" s="3" t="s">
        <v>4988</v>
      </c>
    </row>
    <row r="22942">
      <c r="A22942" s="3" t="s">
        <v>39268</v>
      </c>
      <c r="B22942" s="3" t="s">
        <v>18985</v>
      </c>
      <c r="C22942" s="5" t="s">
        <v>614</v>
      </c>
      <c r="D22942" s="3" t="s">
        <v>206</v>
      </c>
      <c r="E22942" s="3" t="s">
        <v>100</v>
      </c>
      <c r="F22942" s="7">
        <v>46187.50574394451</v>
      </c>
      <c r="G22942" s="3" t="s">
        <v>4990</v>
      </c>
    </row>
    <row r="22943">
      <c r="A22943" s="3" t="s">
        <v>39269</v>
      </c>
      <c r="B22943" s="3" t="s">
        <v>18985</v>
      </c>
      <c r="C22943" s="5" t="s">
        <v>206</v>
      </c>
      <c r="D22943" s="3" t="s">
        <v>68</v>
      </c>
      <c r="E22943" s="3" t="s">
        <v>100</v>
      </c>
      <c r="F22943" s="7">
        <v>46187.50921616673</v>
      </c>
      <c r="G22943" s="3" t="s">
        <v>4993</v>
      </c>
    </row>
    <row r="22944">
      <c r="A22944" s="3" t="s">
        <v>39270</v>
      </c>
      <c r="B22944" s="3" t="s">
        <v>18988</v>
      </c>
      <c r="C22944" s="5" t="s">
        <v>45</v>
      </c>
      <c r="D22944" s="3" t="s">
        <v>221</v>
      </c>
      <c r="E22944" s="3" t="s">
        <v>496</v>
      </c>
      <c r="F22944" s="7">
        <v>46187.56997434548</v>
      </c>
      <c r="G22944" s="3" t="s">
        <v>6022</v>
      </c>
    </row>
    <row r="22945">
      <c r="A22945" s="3" t="s">
        <v>39271</v>
      </c>
      <c r="B22945" s="3" t="s">
        <v>18988</v>
      </c>
      <c r="C22945" s="5" t="s">
        <v>221</v>
      </c>
      <c r="D22945" s="3" t="s">
        <v>614</v>
      </c>
      <c r="E22945" s="3" t="s">
        <v>118</v>
      </c>
      <c r="F22945" s="7">
        <v>46187.5734465677</v>
      </c>
      <c r="G22945" s="3" t="s">
        <v>6025</v>
      </c>
    </row>
    <row r="22946">
      <c r="A22946" s="3" t="s">
        <v>39272</v>
      </c>
      <c r="B22946" s="3" t="s">
        <v>18988</v>
      </c>
      <c r="C22946" s="5" t="s">
        <v>614</v>
      </c>
      <c r="D22946" s="3" t="s">
        <v>206</v>
      </c>
      <c r="E22946" s="3" t="s">
        <v>100</v>
      </c>
      <c r="F22946" s="7">
        <v>46187.57691878993</v>
      </c>
      <c r="G22946" s="3" t="s">
        <v>6027</v>
      </c>
    </row>
    <row r="22947">
      <c r="A22947" s="3" t="s">
        <v>39273</v>
      </c>
      <c r="B22947" s="3" t="s">
        <v>18988</v>
      </c>
      <c r="C22947" s="5" t="s">
        <v>206</v>
      </c>
      <c r="D22947" s="3" t="s">
        <v>68</v>
      </c>
      <c r="E22947" s="3" t="s">
        <v>100</v>
      </c>
      <c r="F22947" s="7">
        <v>46187.58039101215</v>
      </c>
      <c r="G22947" s="3" t="s">
        <v>6030</v>
      </c>
    </row>
    <row r="22948">
      <c r="A22948" s="3" t="s">
        <v>39274</v>
      </c>
      <c r="B22948" s="3" t="s">
        <v>18990</v>
      </c>
      <c r="C22948" s="5" t="s">
        <v>45</v>
      </c>
      <c r="D22948" s="3" t="s">
        <v>221</v>
      </c>
      <c r="E22948" s="3" t="s">
        <v>276</v>
      </c>
      <c r="F22948" s="7">
        <v>46187.641149190895</v>
      </c>
      <c r="G22948" s="3" t="s">
        <v>19702</v>
      </c>
    </row>
    <row r="22949">
      <c r="A22949" s="3" t="s">
        <v>39275</v>
      </c>
      <c r="B22949" s="3" t="s">
        <v>18990</v>
      </c>
      <c r="C22949" s="5" t="s">
        <v>221</v>
      </c>
      <c r="D22949" s="3" t="s">
        <v>614</v>
      </c>
      <c r="E22949" s="3" t="s">
        <v>118</v>
      </c>
      <c r="F22949" s="7">
        <v>46187.644621413114</v>
      </c>
      <c r="G22949" s="3" t="s">
        <v>19705</v>
      </c>
    </row>
    <row r="22950">
      <c r="A22950" s="3" t="s">
        <v>39276</v>
      </c>
      <c r="B22950" s="3" t="s">
        <v>18990</v>
      </c>
      <c r="C22950" s="5" t="s">
        <v>614</v>
      </c>
      <c r="D22950" s="3" t="s">
        <v>206</v>
      </c>
      <c r="E22950" s="3" t="s">
        <v>100</v>
      </c>
      <c r="F22950" s="7">
        <v>46187.64809363534</v>
      </c>
      <c r="G22950" s="3" t="s">
        <v>19707</v>
      </c>
    </row>
    <row r="22951">
      <c r="A22951" s="3" t="s">
        <v>39277</v>
      </c>
      <c r="B22951" s="3" t="s">
        <v>18990</v>
      </c>
      <c r="C22951" s="5" t="s">
        <v>206</v>
      </c>
      <c r="D22951" s="3" t="s">
        <v>68</v>
      </c>
      <c r="E22951" s="3" t="s">
        <v>100</v>
      </c>
      <c r="F22951" s="7">
        <v>46187.65156585756</v>
      </c>
      <c r="G22951" s="3" t="s">
        <v>19710</v>
      </c>
    </row>
    <row r="22952">
      <c r="A22952" s="3" t="s">
        <v>39278</v>
      </c>
      <c r="B22952" s="3" t="s">
        <v>18992</v>
      </c>
      <c r="C22952" s="5" t="s">
        <v>45</v>
      </c>
      <c r="D22952" s="3" t="s">
        <v>221</v>
      </c>
      <c r="E22952" s="3" t="s">
        <v>197</v>
      </c>
      <c r="F22952" s="7">
        <v>46187.71232403631</v>
      </c>
      <c r="G22952" s="3" t="s">
        <v>5031</v>
      </c>
    </row>
    <row r="22953">
      <c r="A22953" s="3" t="s">
        <v>39279</v>
      </c>
      <c r="B22953" s="3" t="s">
        <v>18992</v>
      </c>
      <c r="C22953" s="5" t="s">
        <v>221</v>
      </c>
      <c r="D22953" s="3" t="s">
        <v>614</v>
      </c>
      <c r="E22953" s="3" t="s">
        <v>118</v>
      </c>
      <c r="F22953" s="7">
        <v>46187.715796258526</v>
      </c>
      <c r="G22953" s="3" t="s">
        <v>5034</v>
      </c>
    </row>
    <row r="22954">
      <c r="A22954" s="3" t="s">
        <v>39280</v>
      </c>
      <c r="B22954" s="3" t="s">
        <v>18992</v>
      </c>
      <c r="C22954" s="5" t="s">
        <v>614</v>
      </c>
      <c r="D22954" s="3" t="s">
        <v>206</v>
      </c>
      <c r="E22954" s="3" t="s">
        <v>100</v>
      </c>
      <c r="F22954" s="7">
        <v>46187.71926848075</v>
      </c>
      <c r="G22954" s="3" t="s">
        <v>5037</v>
      </c>
    </row>
    <row r="22955">
      <c r="A22955" s="3" t="s">
        <v>39281</v>
      </c>
      <c r="B22955" s="3" t="s">
        <v>18992</v>
      </c>
      <c r="C22955" s="5" t="s">
        <v>206</v>
      </c>
      <c r="D22955" s="3" t="s">
        <v>68</v>
      </c>
      <c r="E22955" s="3" t="s">
        <v>100</v>
      </c>
      <c r="F22955" s="7">
        <v>46187.72274070297</v>
      </c>
      <c r="G22955" s="3" t="s">
        <v>5040</v>
      </c>
    </row>
    <row r="22956">
      <c r="A22956" s="3" t="s">
        <v>39282</v>
      </c>
      <c r="B22956" s="3" t="s">
        <v>18994</v>
      </c>
      <c r="C22956" s="5" t="s">
        <v>45</v>
      </c>
      <c r="D22956" s="3" t="s">
        <v>221</v>
      </c>
      <c r="E22956" s="3" t="s">
        <v>665</v>
      </c>
      <c r="F22956" s="7">
        <v>46187.78349888173</v>
      </c>
      <c r="G22956" s="3" t="s">
        <v>2770</v>
      </c>
    </row>
    <row r="22957">
      <c r="A22957" s="3" t="s">
        <v>39283</v>
      </c>
      <c r="B22957" s="3" t="s">
        <v>18994</v>
      </c>
      <c r="C22957" s="5" t="s">
        <v>221</v>
      </c>
      <c r="D22957" s="3" t="s">
        <v>195</v>
      </c>
      <c r="E22957" s="3" t="s">
        <v>665</v>
      </c>
      <c r="F22957" s="7">
        <v>46187.786971103946</v>
      </c>
      <c r="G22957" s="3" t="s">
        <v>3055</v>
      </c>
    </row>
    <row r="22958">
      <c r="A22958" s="3" t="s">
        <v>39284</v>
      </c>
      <c r="B22958" s="3" t="s">
        <v>18996</v>
      </c>
      <c r="C22958" s="5" t="s">
        <v>45</v>
      </c>
      <c r="D22958" s="3" t="s">
        <v>221</v>
      </c>
      <c r="E22958" s="3" t="s">
        <v>627</v>
      </c>
      <c r="F22958" s="7">
        <v>46187.85467372714</v>
      </c>
      <c r="G22958" s="3" t="s">
        <v>5055</v>
      </c>
    </row>
    <row r="22959">
      <c r="A22959" s="3" t="s">
        <v>39285</v>
      </c>
      <c r="B22959" s="3" t="s">
        <v>18996</v>
      </c>
      <c r="C22959" s="5" t="s">
        <v>221</v>
      </c>
      <c r="D22959" s="3" t="s">
        <v>614</v>
      </c>
      <c r="E22959" s="3" t="s">
        <v>118</v>
      </c>
      <c r="F22959" s="7">
        <v>46187.85814594936</v>
      </c>
      <c r="G22959" s="3" t="s">
        <v>5058</v>
      </c>
    </row>
    <row r="22960">
      <c r="A22960" s="3" t="s">
        <v>39286</v>
      </c>
      <c r="B22960" s="3" t="s">
        <v>18996</v>
      </c>
      <c r="C22960" s="5" t="s">
        <v>614</v>
      </c>
      <c r="D22960" s="3" t="s">
        <v>206</v>
      </c>
      <c r="E22960" s="3" t="s">
        <v>100</v>
      </c>
      <c r="F22960" s="7">
        <v>46187.861618171584</v>
      </c>
      <c r="G22960" s="3" t="s">
        <v>5060</v>
      </c>
    </row>
    <row r="22961">
      <c r="A22961" s="3" t="s">
        <v>39287</v>
      </c>
      <c r="B22961" s="3" t="s">
        <v>18996</v>
      </c>
      <c r="C22961" s="5" t="s">
        <v>206</v>
      </c>
      <c r="D22961" s="3" t="s">
        <v>68</v>
      </c>
      <c r="E22961" s="3" t="s">
        <v>100</v>
      </c>
      <c r="F22961" s="7">
        <v>46187.8650903938</v>
      </c>
      <c r="G22961" s="3" t="s">
        <v>5063</v>
      </c>
    </row>
    <row r="22962">
      <c r="A22962" s="3" t="s">
        <v>39288</v>
      </c>
      <c r="B22962" s="3" t="s">
        <v>18999</v>
      </c>
      <c r="C22962" s="5" t="s">
        <v>45</v>
      </c>
      <c r="D22962" s="3" t="s">
        <v>221</v>
      </c>
      <c r="E22962" s="3" t="s">
        <v>498</v>
      </c>
      <c r="F22962" s="7">
        <v>46187.92584857255</v>
      </c>
      <c r="G22962" s="3" t="s">
        <v>10547</v>
      </c>
    </row>
    <row r="22963">
      <c r="A22963" s="3" t="s">
        <v>39289</v>
      </c>
      <c r="B22963" s="3" t="s">
        <v>18999</v>
      </c>
      <c r="C22963" s="5" t="s">
        <v>221</v>
      </c>
      <c r="D22963" s="3" t="s">
        <v>614</v>
      </c>
      <c r="E22963" s="3" t="s">
        <v>118</v>
      </c>
      <c r="F22963" s="7">
        <v>46187.92932079477</v>
      </c>
      <c r="G22963" s="3" t="s">
        <v>10550</v>
      </c>
    </row>
    <row r="22964">
      <c r="A22964" s="3" t="s">
        <v>39290</v>
      </c>
      <c r="B22964" s="3" t="s">
        <v>18999</v>
      </c>
      <c r="C22964" s="5" t="s">
        <v>614</v>
      </c>
      <c r="D22964" s="3" t="s">
        <v>206</v>
      </c>
      <c r="E22964" s="3" t="s">
        <v>100</v>
      </c>
      <c r="F22964" s="7">
        <v>46187.932793017</v>
      </c>
      <c r="G22964" s="3" t="s">
        <v>10553</v>
      </c>
    </row>
    <row r="22965">
      <c r="A22965" s="3" t="s">
        <v>39291</v>
      </c>
      <c r="B22965" s="3" t="s">
        <v>18999</v>
      </c>
      <c r="C22965" s="5" t="s">
        <v>206</v>
      </c>
      <c r="D22965" s="3" t="s">
        <v>68</v>
      </c>
      <c r="E22965" s="3" t="s">
        <v>100</v>
      </c>
      <c r="F22965" s="7">
        <v>46187.936265239216</v>
      </c>
      <c r="G22965" s="3" t="s">
        <v>10555</v>
      </c>
    </row>
    <row r="22966">
      <c r="A22966" s="3" t="s">
        <v>39292</v>
      </c>
      <c r="B22966" s="3" t="s">
        <v>19001</v>
      </c>
      <c r="C22966" s="5" t="s">
        <v>45</v>
      </c>
      <c r="D22966" s="3" t="s">
        <v>221</v>
      </c>
      <c r="E22966" s="3" t="s">
        <v>1001</v>
      </c>
      <c r="F22966" s="7">
        <v>46187.99702341797</v>
      </c>
      <c r="G22966" s="3" t="s">
        <v>5685</v>
      </c>
    </row>
    <row r="22967">
      <c r="A22967" s="3" t="s">
        <v>39293</v>
      </c>
      <c r="B22967" s="3" t="s">
        <v>19001</v>
      </c>
      <c r="C22967" s="5" t="s">
        <v>221</v>
      </c>
      <c r="D22967" s="3" t="s">
        <v>181</v>
      </c>
      <c r="E22967" s="3" t="s">
        <v>118</v>
      </c>
      <c r="F22967" s="7">
        <v>46188.00049564019</v>
      </c>
      <c r="G22967" s="3" t="s">
        <v>6797</v>
      </c>
    </row>
    <row r="22968">
      <c r="A22968" s="3" t="s">
        <v>39294</v>
      </c>
      <c r="B22968" s="3" t="s">
        <v>19003</v>
      </c>
      <c r="C22968" s="5" t="s">
        <v>45</v>
      </c>
      <c r="D22968" s="3" t="s">
        <v>221</v>
      </c>
      <c r="E22968" s="3" t="s">
        <v>488</v>
      </c>
      <c r="F22968" s="7">
        <v>46188.06819826338</v>
      </c>
      <c r="G22968" s="3" t="s">
        <v>5066</v>
      </c>
    </row>
    <row r="22969">
      <c r="A22969" s="3" t="s">
        <v>39295</v>
      </c>
      <c r="B22969" s="3" t="s">
        <v>19003</v>
      </c>
      <c r="C22969" s="5" t="s">
        <v>221</v>
      </c>
      <c r="D22969" s="3" t="s">
        <v>614</v>
      </c>
      <c r="E22969" s="3" t="s">
        <v>118</v>
      </c>
      <c r="F22969" s="7">
        <v>46188.0716704856</v>
      </c>
      <c r="G22969" s="3" t="s">
        <v>5069</v>
      </c>
    </row>
    <row r="22970">
      <c r="A22970" s="3" t="s">
        <v>39296</v>
      </c>
      <c r="B22970" s="3" t="s">
        <v>19003</v>
      </c>
      <c r="C22970" s="5" t="s">
        <v>614</v>
      </c>
      <c r="D22970" s="3" t="s">
        <v>206</v>
      </c>
      <c r="E22970" s="3" t="s">
        <v>100</v>
      </c>
      <c r="F22970" s="7">
        <v>46188.07514270783</v>
      </c>
      <c r="G22970" s="3" t="s">
        <v>5072</v>
      </c>
    </row>
    <row r="22971">
      <c r="A22971" s="3" t="s">
        <v>39297</v>
      </c>
      <c r="B22971" s="3" t="s">
        <v>19003</v>
      </c>
      <c r="C22971" s="5" t="s">
        <v>206</v>
      </c>
      <c r="D22971" s="3" t="s">
        <v>68</v>
      </c>
      <c r="E22971" s="3" t="s">
        <v>100</v>
      </c>
      <c r="F22971" s="7">
        <v>46188.07861493005</v>
      </c>
      <c r="G22971" s="3" t="s">
        <v>5074</v>
      </c>
    </row>
    <row r="22972">
      <c r="A22972" s="3" t="s">
        <v>39298</v>
      </c>
      <c r="B22972" s="3" t="s">
        <v>19005</v>
      </c>
      <c r="C22972" s="5" t="s">
        <v>45</v>
      </c>
      <c r="D22972" s="3" t="s">
        <v>221</v>
      </c>
      <c r="E22972" s="3" t="s">
        <v>781</v>
      </c>
      <c r="F22972" s="7">
        <v>46188.139373108796</v>
      </c>
      <c r="G22972" s="3" t="s">
        <v>5077</v>
      </c>
    </row>
    <row r="22973">
      <c r="A22973" s="3" t="s">
        <v>39299</v>
      </c>
      <c r="B22973" s="3" t="s">
        <v>19005</v>
      </c>
      <c r="C22973" s="5" t="s">
        <v>221</v>
      </c>
      <c r="D22973" s="3" t="s">
        <v>614</v>
      </c>
      <c r="E22973" s="3" t="s">
        <v>118</v>
      </c>
      <c r="F22973" s="7">
        <v>46188.142845331015</v>
      </c>
      <c r="G22973" s="3" t="s">
        <v>5080</v>
      </c>
    </row>
    <row r="22974">
      <c r="A22974" s="3" t="s">
        <v>39300</v>
      </c>
      <c r="B22974" s="3" t="s">
        <v>19005</v>
      </c>
      <c r="C22974" s="5" t="s">
        <v>614</v>
      </c>
      <c r="D22974" s="3" t="s">
        <v>206</v>
      </c>
      <c r="E22974" s="3" t="s">
        <v>100</v>
      </c>
      <c r="F22974" s="7">
        <v>46188.14631755324</v>
      </c>
      <c r="G22974" s="3" t="s">
        <v>5083</v>
      </c>
    </row>
    <row r="22975">
      <c r="A22975" s="3" t="s">
        <v>39301</v>
      </c>
      <c r="B22975" s="3" t="s">
        <v>19005</v>
      </c>
      <c r="C22975" s="5" t="s">
        <v>206</v>
      </c>
      <c r="D22975" s="3" t="s">
        <v>68</v>
      </c>
      <c r="E22975" s="3" t="s">
        <v>100</v>
      </c>
      <c r="F22975" s="7">
        <v>46188.14978977546</v>
      </c>
      <c r="G22975" s="3" t="s">
        <v>5086</v>
      </c>
    </row>
    <row r="22976">
      <c r="A22976" s="3" t="s">
        <v>39302</v>
      </c>
      <c r="B22976" s="3" t="s">
        <v>19007</v>
      </c>
      <c r="C22976" s="5" t="s">
        <v>45</v>
      </c>
      <c r="D22976" s="3" t="s">
        <v>221</v>
      </c>
      <c r="E22976" s="3" t="s">
        <v>615</v>
      </c>
      <c r="F22976" s="7">
        <v>46188.210547954215</v>
      </c>
      <c r="G22976" s="3" t="s">
        <v>3395</v>
      </c>
    </row>
    <row r="22977">
      <c r="A22977" s="3" t="s">
        <v>39303</v>
      </c>
      <c r="B22977" s="3" t="s">
        <v>19007</v>
      </c>
      <c r="C22977" s="5" t="s">
        <v>221</v>
      </c>
      <c r="D22977" s="3" t="s">
        <v>614</v>
      </c>
      <c r="E22977" s="3" t="s">
        <v>118</v>
      </c>
      <c r="F22977" s="7">
        <v>46188.214020176434</v>
      </c>
      <c r="G22977" s="3" t="s">
        <v>3398</v>
      </c>
    </row>
    <row r="22978">
      <c r="A22978" s="3" t="s">
        <v>39304</v>
      </c>
      <c r="B22978" s="3" t="s">
        <v>19007</v>
      </c>
      <c r="C22978" s="5" t="s">
        <v>614</v>
      </c>
      <c r="D22978" s="3" t="s">
        <v>206</v>
      </c>
      <c r="E22978" s="3" t="s">
        <v>100</v>
      </c>
      <c r="F22978" s="7">
        <v>46188.21749239866</v>
      </c>
      <c r="G22978" s="3" t="s">
        <v>3401</v>
      </c>
    </row>
    <row r="22979">
      <c r="A22979" s="3" t="s">
        <v>39305</v>
      </c>
      <c r="B22979" s="3" t="s">
        <v>19007</v>
      </c>
      <c r="C22979" s="5" t="s">
        <v>206</v>
      </c>
      <c r="D22979" s="3" t="s">
        <v>68</v>
      </c>
      <c r="E22979" s="3" t="s">
        <v>100</v>
      </c>
      <c r="F22979" s="7">
        <v>46188.22096462088</v>
      </c>
      <c r="G22979" s="3" t="s">
        <v>3404</v>
      </c>
    </row>
    <row r="22980">
      <c r="A22980" s="3" t="s">
        <v>39306</v>
      </c>
      <c r="B22980" s="3" t="s">
        <v>19010</v>
      </c>
      <c r="C22980" s="5" t="s">
        <v>45</v>
      </c>
      <c r="D22980" s="3" t="s">
        <v>221</v>
      </c>
      <c r="E22980" s="3" t="s">
        <v>980</v>
      </c>
      <c r="F22980" s="7">
        <v>46188.281722799635</v>
      </c>
      <c r="G22980" s="3" t="s">
        <v>7307</v>
      </c>
    </row>
    <row r="22981">
      <c r="A22981" s="3" t="s">
        <v>39307</v>
      </c>
      <c r="B22981" s="3" t="s">
        <v>19010</v>
      </c>
      <c r="C22981" s="5" t="s">
        <v>221</v>
      </c>
      <c r="D22981" s="3" t="s">
        <v>614</v>
      </c>
      <c r="E22981" s="3" t="s">
        <v>118</v>
      </c>
      <c r="F22981" s="7">
        <v>46188.285195021854</v>
      </c>
      <c r="G22981" s="3" t="s">
        <v>7310</v>
      </c>
    </row>
    <row r="22982">
      <c r="A22982" s="3" t="s">
        <v>39308</v>
      </c>
      <c r="B22982" s="3" t="s">
        <v>19010</v>
      </c>
      <c r="C22982" s="5" t="s">
        <v>614</v>
      </c>
      <c r="D22982" s="3" t="s">
        <v>206</v>
      </c>
      <c r="E22982" s="3" t="s">
        <v>100</v>
      </c>
      <c r="F22982" s="7">
        <v>46188.28866724408</v>
      </c>
      <c r="G22982" s="3" t="s">
        <v>7313</v>
      </c>
    </row>
    <row r="22983">
      <c r="A22983" s="3" t="s">
        <v>39309</v>
      </c>
      <c r="B22983" s="3" t="s">
        <v>19010</v>
      </c>
      <c r="C22983" s="5" t="s">
        <v>206</v>
      </c>
      <c r="D22983" s="3" t="s">
        <v>68</v>
      </c>
      <c r="E22983" s="3" t="s">
        <v>100</v>
      </c>
      <c r="F22983" s="7">
        <v>46188.2921394663</v>
      </c>
      <c r="G22983" s="3" t="s">
        <v>7316</v>
      </c>
    </row>
    <row r="22984">
      <c r="A22984" s="3" t="s">
        <v>39310</v>
      </c>
      <c r="B22984" s="3" t="s">
        <v>19012</v>
      </c>
      <c r="C22984" s="5" t="s">
        <v>45</v>
      </c>
      <c r="D22984" s="3" t="s">
        <v>221</v>
      </c>
      <c r="E22984" s="3" t="s">
        <v>735</v>
      </c>
      <c r="F22984" s="7">
        <v>46188.35289764504</v>
      </c>
      <c r="G22984" s="3" t="s">
        <v>12383</v>
      </c>
    </row>
    <row r="22985">
      <c r="A22985" s="3" t="s">
        <v>39311</v>
      </c>
      <c r="B22985" s="3" t="s">
        <v>19012</v>
      </c>
      <c r="C22985" s="5" t="s">
        <v>221</v>
      </c>
      <c r="D22985" s="3" t="s">
        <v>614</v>
      </c>
      <c r="E22985" s="3" t="s">
        <v>118</v>
      </c>
      <c r="F22985" s="7">
        <v>46188.35636986726</v>
      </c>
      <c r="G22985" s="3" t="s">
        <v>12385</v>
      </c>
    </row>
    <row r="22986">
      <c r="A22986" s="3" t="s">
        <v>39312</v>
      </c>
      <c r="B22986" s="3" t="s">
        <v>19012</v>
      </c>
      <c r="C22986" s="5" t="s">
        <v>614</v>
      </c>
      <c r="D22986" s="3" t="s">
        <v>206</v>
      </c>
      <c r="E22986" s="3" t="s">
        <v>100</v>
      </c>
      <c r="F22986" s="7">
        <v>46188.359842089485</v>
      </c>
      <c r="G22986" s="3" t="s">
        <v>12388</v>
      </c>
    </row>
    <row r="22987">
      <c r="A22987" s="3" t="s">
        <v>39313</v>
      </c>
      <c r="B22987" s="3" t="s">
        <v>19012</v>
      </c>
      <c r="C22987" s="5" t="s">
        <v>206</v>
      </c>
      <c r="D22987" s="3" t="s">
        <v>68</v>
      </c>
      <c r="E22987" s="3" t="s">
        <v>100</v>
      </c>
      <c r="F22987" s="7">
        <v>46188.363314311704</v>
      </c>
      <c r="G22987" s="3" t="s">
        <v>12391</v>
      </c>
    </row>
    <row r="22988">
      <c r="A22988" s="3" t="s">
        <v>39314</v>
      </c>
      <c r="B22988" s="3" t="s">
        <v>19014</v>
      </c>
      <c r="C22988" s="5" t="s">
        <v>45</v>
      </c>
      <c r="D22988" s="3" t="s">
        <v>221</v>
      </c>
      <c r="E22988" s="3" t="s">
        <v>657</v>
      </c>
      <c r="F22988" s="7">
        <v>46188.42407249046</v>
      </c>
      <c r="G22988" s="3" t="s">
        <v>2770</v>
      </c>
    </row>
    <row r="22989">
      <c r="A22989" s="3" t="s">
        <v>39315</v>
      </c>
      <c r="B22989" s="3" t="s">
        <v>19014</v>
      </c>
      <c r="C22989" s="5" t="s">
        <v>221</v>
      </c>
      <c r="D22989" s="3" t="s">
        <v>181</v>
      </c>
      <c r="E22989" s="3" t="s">
        <v>118</v>
      </c>
      <c r="F22989" s="7">
        <v>46188.42754471268</v>
      </c>
      <c r="G22989" s="3" t="s">
        <v>2774</v>
      </c>
    </row>
    <row r="22990">
      <c r="A22990" s="3" t="s">
        <v>39316</v>
      </c>
      <c r="B22990" s="3" t="s">
        <v>19016</v>
      </c>
      <c r="C22990" s="5" t="s">
        <v>45</v>
      </c>
      <c r="D22990" s="3" t="s">
        <v>221</v>
      </c>
      <c r="E22990" s="3" t="s">
        <v>569</v>
      </c>
      <c r="F22990" s="7">
        <v>46188.49524733588</v>
      </c>
      <c r="G22990" s="3" t="s">
        <v>6510</v>
      </c>
    </row>
    <row r="22991">
      <c r="A22991" s="3" t="s">
        <v>39317</v>
      </c>
      <c r="B22991" s="3" t="s">
        <v>19016</v>
      </c>
      <c r="C22991" s="5" t="s">
        <v>221</v>
      </c>
      <c r="D22991" s="3" t="s">
        <v>614</v>
      </c>
      <c r="E22991" s="3" t="s">
        <v>118</v>
      </c>
      <c r="F22991" s="7">
        <v>46188.4987195581</v>
      </c>
      <c r="G22991" s="3" t="s">
        <v>6513</v>
      </c>
    </row>
    <row r="22992">
      <c r="A22992" s="3" t="s">
        <v>39318</v>
      </c>
      <c r="B22992" s="3" t="s">
        <v>19016</v>
      </c>
      <c r="C22992" s="5" t="s">
        <v>614</v>
      </c>
      <c r="D22992" s="3" t="s">
        <v>206</v>
      </c>
      <c r="E22992" s="3" t="s">
        <v>100</v>
      </c>
      <c r="F22992" s="7">
        <v>46188.502191780324</v>
      </c>
      <c r="G22992" s="3" t="s">
        <v>6516</v>
      </c>
    </row>
    <row r="22993">
      <c r="A22993" s="3" t="s">
        <v>39319</v>
      </c>
      <c r="B22993" s="3" t="s">
        <v>19016</v>
      </c>
      <c r="C22993" s="5" t="s">
        <v>206</v>
      </c>
      <c r="D22993" s="3" t="s">
        <v>68</v>
      </c>
      <c r="E22993" s="3" t="s">
        <v>100</v>
      </c>
      <c r="F22993" s="7">
        <v>46188.50566400254</v>
      </c>
      <c r="G22993" s="3" t="s">
        <v>6519</v>
      </c>
    </row>
    <row r="22994">
      <c r="A22994" s="3" t="s">
        <v>39320</v>
      </c>
      <c r="B22994" s="3" t="s">
        <v>19018</v>
      </c>
      <c r="C22994" s="5" t="s">
        <v>45</v>
      </c>
      <c r="D22994" s="3" t="s">
        <v>221</v>
      </c>
      <c r="E22994" s="3" t="s">
        <v>162</v>
      </c>
      <c r="F22994" s="7">
        <v>46188.56642218129</v>
      </c>
      <c r="G22994" s="3" t="s">
        <v>5101</v>
      </c>
    </row>
    <row r="22995">
      <c r="A22995" s="3" t="s">
        <v>39321</v>
      </c>
      <c r="B22995" s="3" t="s">
        <v>19018</v>
      </c>
      <c r="C22995" s="5" t="s">
        <v>221</v>
      </c>
      <c r="D22995" s="3" t="s">
        <v>614</v>
      </c>
      <c r="E22995" s="3" t="s">
        <v>118</v>
      </c>
      <c r="F22995" s="7">
        <v>46188.56989440351</v>
      </c>
      <c r="G22995" s="3" t="s">
        <v>5104</v>
      </c>
    </row>
    <row r="22996">
      <c r="A22996" s="3" t="s">
        <v>39322</v>
      </c>
      <c r="B22996" s="3" t="s">
        <v>19018</v>
      </c>
      <c r="C22996" s="5" t="s">
        <v>614</v>
      </c>
      <c r="D22996" s="3" t="s">
        <v>206</v>
      </c>
      <c r="E22996" s="3" t="s">
        <v>100</v>
      </c>
      <c r="F22996" s="7">
        <v>46188.57336662574</v>
      </c>
      <c r="G22996" s="3" t="s">
        <v>5107</v>
      </c>
    </row>
    <row r="22997">
      <c r="A22997" s="3" t="s">
        <v>39323</v>
      </c>
      <c r="B22997" s="3" t="s">
        <v>19018</v>
      </c>
      <c r="C22997" s="5" t="s">
        <v>206</v>
      </c>
      <c r="D22997" s="3" t="s">
        <v>68</v>
      </c>
      <c r="E22997" s="3" t="s">
        <v>100</v>
      </c>
      <c r="F22997" s="7">
        <v>46188.576838847956</v>
      </c>
      <c r="G22997" s="3" t="s">
        <v>5110</v>
      </c>
    </row>
    <row r="22998">
      <c r="A22998" s="3" t="s">
        <v>39324</v>
      </c>
      <c r="B22998" s="3" t="s">
        <v>19020</v>
      </c>
      <c r="C22998" s="5" t="s">
        <v>45</v>
      </c>
      <c r="D22998" s="3" t="s">
        <v>221</v>
      </c>
      <c r="E22998" s="3" t="s">
        <v>805</v>
      </c>
      <c r="F22998" s="7">
        <v>46188.6375970267</v>
      </c>
      <c r="G22998" s="3" t="s">
        <v>16619</v>
      </c>
    </row>
    <row r="22999">
      <c r="A22999" s="3" t="s">
        <v>39325</v>
      </c>
      <c r="B22999" s="3" t="s">
        <v>19020</v>
      </c>
      <c r="C22999" s="5" t="s">
        <v>221</v>
      </c>
      <c r="D22999" s="3" t="s">
        <v>614</v>
      </c>
      <c r="E22999" s="3" t="s">
        <v>118</v>
      </c>
      <c r="F22999" s="7">
        <v>46188.64106924892</v>
      </c>
      <c r="G22999" s="3" t="s">
        <v>16622</v>
      </c>
    </row>
    <row r="23000">
      <c r="A23000" s="3" t="s">
        <v>39326</v>
      </c>
      <c r="B23000" s="3" t="s">
        <v>19020</v>
      </c>
      <c r="C23000" s="5" t="s">
        <v>614</v>
      </c>
      <c r="D23000" s="3" t="s">
        <v>206</v>
      </c>
      <c r="E23000" s="3" t="s">
        <v>100</v>
      </c>
      <c r="F23000" s="7">
        <v>46188.64454147115</v>
      </c>
      <c r="G23000" s="3" t="s">
        <v>16625</v>
      </c>
    </row>
    <row r="23001">
      <c r="A23001" s="3" t="s">
        <v>39327</v>
      </c>
      <c r="B23001" s="3" t="s">
        <v>19020</v>
      </c>
      <c r="C23001" s="5" t="s">
        <v>206</v>
      </c>
      <c r="D23001" s="3" t="s">
        <v>68</v>
      </c>
      <c r="E23001" s="3" t="s">
        <v>100</v>
      </c>
      <c r="F23001" s="7">
        <v>46188.64801369337</v>
      </c>
      <c r="G23001" s="3" t="s">
        <v>16628</v>
      </c>
    </row>
    <row r="23002">
      <c r="A23002" s="3" t="s">
        <v>39328</v>
      </c>
      <c r="B23002" s="3" t="s">
        <v>19022</v>
      </c>
      <c r="C23002" s="5" t="s">
        <v>45</v>
      </c>
      <c r="D23002" s="3" t="s">
        <v>221</v>
      </c>
      <c r="E23002" s="3" t="s">
        <v>430</v>
      </c>
      <c r="F23002" s="7">
        <v>46188.70877187212</v>
      </c>
      <c r="G23002" s="3" t="s">
        <v>7009</v>
      </c>
    </row>
    <row r="23003">
      <c r="A23003" s="3" t="s">
        <v>39329</v>
      </c>
      <c r="B23003" s="3" t="s">
        <v>19022</v>
      </c>
      <c r="C23003" s="5" t="s">
        <v>221</v>
      </c>
      <c r="D23003" s="3" t="s">
        <v>614</v>
      </c>
      <c r="E23003" s="3" t="s">
        <v>118</v>
      </c>
      <c r="F23003" s="7">
        <v>46188.71224409434</v>
      </c>
      <c r="G23003" s="3" t="s">
        <v>7012</v>
      </c>
    </row>
    <row r="23004">
      <c r="A23004" s="3" t="s">
        <v>39330</v>
      </c>
      <c r="B23004" s="3" t="s">
        <v>19022</v>
      </c>
      <c r="C23004" s="5" t="s">
        <v>614</v>
      </c>
      <c r="D23004" s="3" t="s">
        <v>206</v>
      </c>
      <c r="E23004" s="3" t="s">
        <v>100</v>
      </c>
      <c r="F23004" s="7">
        <v>46188.71571631657</v>
      </c>
      <c r="G23004" s="3" t="s">
        <v>7015</v>
      </c>
    </row>
    <row r="23005">
      <c r="A23005" s="3" t="s">
        <v>39331</v>
      </c>
      <c r="B23005" s="3" t="s">
        <v>19022</v>
      </c>
      <c r="C23005" s="5" t="s">
        <v>206</v>
      </c>
      <c r="D23005" s="3" t="s">
        <v>68</v>
      </c>
      <c r="E23005" s="3" t="s">
        <v>100</v>
      </c>
      <c r="F23005" s="7">
        <v>46188.71918853879</v>
      </c>
      <c r="G23005" s="3" t="s">
        <v>7018</v>
      </c>
    </row>
    <row r="23006">
      <c r="A23006" s="3" t="s">
        <v>39332</v>
      </c>
      <c r="B23006" s="3" t="s">
        <v>19024</v>
      </c>
      <c r="C23006" s="5" t="s">
        <v>45</v>
      </c>
      <c r="D23006" s="3" t="s">
        <v>221</v>
      </c>
      <c r="E23006" s="3" t="s">
        <v>575</v>
      </c>
      <c r="F23006" s="7">
        <v>46188.779946717535</v>
      </c>
      <c r="G23006" s="3" t="s">
        <v>5810</v>
      </c>
    </row>
    <row r="23007">
      <c r="A23007" s="3" t="s">
        <v>39333</v>
      </c>
      <c r="B23007" s="3" t="s">
        <v>19024</v>
      </c>
      <c r="C23007" s="5" t="s">
        <v>221</v>
      </c>
      <c r="D23007" s="3" t="s">
        <v>614</v>
      </c>
      <c r="E23007" s="3" t="s">
        <v>118</v>
      </c>
      <c r="F23007" s="7">
        <v>46188.783418939754</v>
      </c>
      <c r="G23007" s="3" t="s">
        <v>5813</v>
      </c>
    </row>
    <row r="23008">
      <c r="A23008" s="3" t="s">
        <v>39334</v>
      </c>
      <c r="B23008" s="3" t="s">
        <v>19024</v>
      </c>
      <c r="C23008" s="5" t="s">
        <v>614</v>
      </c>
      <c r="D23008" s="3" t="s">
        <v>206</v>
      </c>
      <c r="E23008" s="3" t="s">
        <v>100</v>
      </c>
      <c r="F23008" s="7">
        <v>46188.78689116198</v>
      </c>
      <c r="G23008" s="3" t="s">
        <v>5815</v>
      </c>
    </row>
    <row r="23009">
      <c r="A23009" s="3" t="s">
        <v>39335</v>
      </c>
      <c r="B23009" s="3" t="s">
        <v>19024</v>
      </c>
      <c r="C23009" s="5" t="s">
        <v>206</v>
      </c>
      <c r="D23009" s="3" t="s">
        <v>68</v>
      </c>
      <c r="E23009" s="3" t="s">
        <v>100</v>
      </c>
      <c r="F23009" s="7">
        <v>46188.7903633842</v>
      </c>
      <c r="G23009" s="3" t="s">
        <v>5818</v>
      </c>
    </row>
    <row r="23010">
      <c r="A23010" s="3" t="s">
        <v>39336</v>
      </c>
      <c r="B23010" s="3" t="s">
        <v>19025</v>
      </c>
      <c r="C23010" s="5" t="s">
        <v>45</v>
      </c>
      <c r="D23010" s="3" t="s">
        <v>221</v>
      </c>
      <c r="E23010" s="3" t="s">
        <v>622</v>
      </c>
      <c r="F23010" s="7">
        <v>46188.85112156295</v>
      </c>
      <c r="G23010" s="3" t="s">
        <v>5938</v>
      </c>
    </row>
    <row r="23011">
      <c r="A23011" s="3" t="s">
        <v>39337</v>
      </c>
      <c r="B23011" s="3" t="s">
        <v>19025</v>
      </c>
      <c r="C23011" s="5" t="s">
        <v>221</v>
      </c>
      <c r="D23011" s="3" t="s">
        <v>614</v>
      </c>
      <c r="E23011" s="3" t="s">
        <v>118</v>
      </c>
      <c r="F23011" s="7">
        <v>46188.85459378517</v>
      </c>
      <c r="G23011" s="3" t="s">
        <v>5941</v>
      </c>
    </row>
    <row r="23012">
      <c r="A23012" s="3" t="s">
        <v>39338</v>
      </c>
      <c r="B23012" s="3" t="s">
        <v>19025</v>
      </c>
      <c r="C23012" s="5" t="s">
        <v>614</v>
      </c>
      <c r="D23012" s="3" t="s">
        <v>206</v>
      </c>
      <c r="E23012" s="3" t="s">
        <v>100</v>
      </c>
      <c r="F23012" s="7">
        <v>46188.85806600739</v>
      </c>
      <c r="G23012" s="3" t="s">
        <v>5944</v>
      </c>
    </row>
    <row r="23013">
      <c r="A23013" s="3" t="s">
        <v>39339</v>
      </c>
      <c r="B23013" s="3" t="s">
        <v>19025</v>
      </c>
      <c r="C23013" s="5" t="s">
        <v>206</v>
      </c>
      <c r="D23013" s="3" t="s">
        <v>68</v>
      </c>
      <c r="E23013" s="3" t="s">
        <v>100</v>
      </c>
      <c r="F23013" s="7">
        <v>46188.86153822961</v>
      </c>
      <c r="G23013" s="3" t="s">
        <v>5947</v>
      </c>
    </row>
    <row r="23014">
      <c r="A23014" s="3" t="s">
        <v>39340</v>
      </c>
      <c r="B23014" s="3" t="s">
        <v>19027</v>
      </c>
      <c r="C23014" s="5" t="s">
        <v>45</v>
      </c>
      <c r="D23014" s="3" t="s">
        <v>221</v>
      </c>
      <c r="E23014" s="3" t="s">
        <v>953</v>
      </c>
      <c r="F23014" s="7">
        <v>46188.92229640837</v>
      </c>
      <c r="G23014" s="3" t="s">
        <v>5113</v>
      </c>
    </row>
    <row r="23015">
      <c r="A23015" s="3" t="s">
        <v>39341</v>
      </c>
      <c r="B23015" s="3" t="s">
        <v>19027</v>
      </c>
      <c r="C23015" s="5" t="s">
        <v>221</v>
      </c>
      <c r="D23015" s="3" t="s">
        <v>614</v>
      </c>
      <c r="E23015" s="3" t="s">
        <v>118</v>
      </c>
      <c r="F23015" s="7">
        <v>46188.92576863059</v>
      </c>
      <c r="G23015" s="3" t="s">
        <v>5116</v>
      </c>
    </row>
    <row r="23016">
      <c r="A23016" s="3" t="s">
        <v>39342</v>
      </c>
      <c r="B23016" s="3" t="s">
        <v>19027</v>
      </c>
      <c r="C23016" s="5" t="s">
        <v>614</v>
      </c>
      <c r="D23016" s="3" t="s">
        <v>206</v>
      </c>
      <c r="E23016" s="3" t="s">
        <v>100</v>
      </c>
      <c r="F23016" s="7">
        <v>46188.92924085281</v>
      </c>
      <c r="G23016" s="3" t="s">
        <v>5119</v>
      </c>
    </row>
    <row r="23017">
      <c r="A23017" s="3" t="s">
        <v>39343</v>
      </c>
      <c r="B23017" s="3" t="s">
        <v>19027</v>
      </c>
      <c r="C23017" s="5" t="s">
        <v>206</v>
      </c>
      <c r="D23017" s="3" t="s">
        <v>68</v>
      </c>
      <c r="E23017" s="3" t="s">
        <v>100</v>
      </c>
      <c r="F23017" s="7">
        <v>46188.93271307503</v>
      </c>
      <c r="G23017" s="3" t="s">
        <v>5122</v>
      </c>
    </row>
    <row r="23018">
      <c r="A23018" s="3" t="s">
        <v>39344</v>
      </c>
      <c r="B23018" s="3" t="s">
        <v>19029</v>
      </c>
      <c r="C23018" s="5" t="s">
        <v>45</v>
      </c>
      <c r="D23018" s="3" t="s">
        <v>221</v>
      </c>
      <c r="E23018" s="3" t="s">
        <v>123</v>
      </c>
      <c r="F23018" s="7">
        <v>46188.99347125378</v>
      </c>
      <c r="G23018" s="3" t="s">
        <v>7866</v>
      </c>
    </row>
    <row r="23019">
      <c r="A23019" s="3" t="s">
        <v>39345</v>
      </c>
      <c r="B23019" s="3" t="s">
        <v>19029</v>
      </c>
      <c r="C23019" s="5" t="s">
        <v>221</v>
      </c>
      <c r="D23019" s="3" t="s">
        <v>614</v>
      </c>
      <c r="E23019" s="3" t="s">
        <v>118</v>
      </c>
      <c r="F23019" s="7">
        <v>46188.996943476</v>
      </c>
      <c r="G23019" s="3" t="s">
        <v>7869</v>
      </c>
    </row>
    <row r="23020">
      <c r="A23020" s="3" t="s">
        <v>39346</v>
      </c>
      <c r="B23020" s="3" t="s">
        <v>19029</v>
      </c>
      <c r="C23020" s="5" t="s">
        <v>614</v>
      </c>
      <c r="D23020" s="3" t="s">
        <v>206</v>
      </c>
      <c r="E23020" s="3" t="s">
        <v>100</v>
      </c>
      <c r="F23020" s="7">
        <v>46189.000415698225</v>
      </c>
      <c r="G23020" s="3" t="s">
        <v>7871</v>
      </c>
    </row>
    <row r="23021">
      <c r="A23021" s="3" t="s">
        <v>39347</v>
      </c>
      <c r="B23021" s="3" t="s">
        <v>19029</v>
      </c>
      <c r="C23021" s="5" t="s">
        <v>206</v>
      </c>
      <c r="D23021" s="3" t="s">
        <v>68</v>
      </c>
      <c r="E23021" s="3" t="s">
        <v>100</v>
      </c>
      <c r="F23021" s="7">
        <v>46189.003887920444</v>
      </c>
      <c r="G23021" s="3" t="s">
        <v>7874</v>
      </c>
    </row>
    <row r="23022">
      <c r="A23022" s="3" t="s">
        <v>39348</v>
      </c>
      <c r="B23022" s="3" t="s">
        <v>19032</v>
      </c>
      <c r="C23022" s="5" t="s">
        <v>45</v>
      </c>
      <c r="D23022" s="3" t="s">
        <v>221</v>
      </c>
      <c r="E23022" s="3" t="s">
        <v>1040</v>
      </c>
      <c r="F23022" s="7">
        <v>46189.06464609919</v>
      </c>
      <c r="G23022" s="3" t="s">
        <v>6985</v>
      </c>
    </row>
    <row r="23023">
      <c r="A23023" s="3" t="s">
        <v>39349</v>
      </c>
      <c r="B23023" s="3" t="s">
        <v>19032</v>
      </c>
      <c r="C23023" s="5" t="s">
        <v>221</v>
      </c>
      <c r="D23023" s="3" t="s">
        <v>614</v>
      </c>
      <c r="E23023" s="3" t="s">
        <v>118</v>
      </c>
      <c r="F23023" s="7">
        <v>46189.06811832141</v>
      </c>
      <c r="G23023" s="3" t="s">
        <v>6987</v>
      </c>
    </row>
    <row r="23024">
      <c r="A23024" s="3" t="s">
        <v>39350</v>
      </c>
      <c r="B23024" s="3" t="s">
        <v>19032</v>
      </c>
      <c r="C23024" s="5" t="s">
        <v>614</v>
      </c>
      <c r="D23024" s="3" t="s">
        <v>206</v>
      </c>
      <c r="E23024" s="3" t="s">
        <v>100</v>
      </c>
      <c r="F23024" s="7">
        <v>46189.07159054364</v>
      </c>
      <c r="G23024" s="3" t="s">
        <v>6990</v>
      </c>
    </row>
    <row r="23025">
      <c r="A23025" s="3" t="s">
        <v>39351</v>
      </c>
      <c r="B23025" s="3" t="s">
        <v>19032</v>
      </c>
      <c r="C23025" s="5" t="s">
        <v>206</v>
      </c>
      <c r="D23025" s="3" t="s">
        <v>68</v>
      </c>
      <c r="E23025" s="3" t="s">
        <v>100</v>
      </c>
      <c r="F23025" s="7">
        <v>46189.075062765856</v>
      </c>
      <c r="G23025" s="3" t="s">
        <v>6993</v>
      </c>
    </row>
    <row r="23026">
      <c r="A23026" s="3" t="s">
        <v>39352</v>
      </c>
      <c r="B23026" s="3" t="s">
        <v>19034</v>
      </c>
      <c r="C23026" s="5" t="s">
        <v>45</v>
      </c>
      <c r="D23026" s="3" t="s">
        <v>221</v>
      </c>
      <c r="E23026" s="3" t="s">
        <v>282</v>
      </c>
      <c r="F23026" s="7">
        <v>46189.13582094461</v>
      </c>
      <c r="G23026" s="3" t="s">
        <v>24051</v>
      </c>
    </row>
    <row r="23027">
      <c r="A23027" s="3" t="s">
        <v>39353</v>
      </c>
      <c r="B23027" s="3" t="s">
        <v>19034</v>
      </c>
      <c r="C23027" s="5" t="s">
        <v>221</v>
      </c>
      <c r="D23027" s="3" t="s">
        <v>614</v>
      </c>
      <c r="E23027" s="3" t="s">
        <v>118</v>
      </c>
      <c r="F23027" s="7">
        <v>46189.13929316683</v>
      </c>
      <c r="G23027" s="3" t="s">
        <v>25376</v>
      </c>
    </row>
    <row r="23028">
      <c r="A23028" s="3" t="s">
        <v>39354</v>
      </c>
      <c r="B23028" s="3" t="s">
        <v>19034</v>
      </c>
      <c r="C23028" s="5" t="s">
        <v>614</v>
      </c>
      <c r="D23028" s="3" t="s">
        <v>206</v>
      </c>
      <c r="E23028" s="3" t="s">
        <v>100</v>
      </c>
      <c r="F23028" s="7">
        <v>46189.14276538906</v>
      </c>
      <c r="G23028" s="3" t="s">
        <v>25378</v>
      </c>
    </row>
    <row r="23029">
      <c r="A23029" s="3" t="s">
        <v>39355</v>
      </c>
      <c r="B23029" s="3" t="s">
        <v>19034</v>
      </c>
      <c r="C23029" s="5" t="s">
        <v>206</v>
      </c>
      <c r="D23029" s="3" t="s">
        <v>68</v>
      </c>
      <c r="E23029" s="3" t="s">
        <v>100</v>
      </c>
      <c r="F23029" s="7">
        <v>46189.146237611276</v>
      </c>
      <c r="G23029" s="3" t="s">
        <v>25380</v>
      </c>
    </row>
    <row r="23030">
      <c r="A23030" s="3" t="s">
        <v>39356</v>
      </c>
      <c r="B23030" s="3" t="s">
        <v>19037</v>
      </c>
      <c r="C23030" s="5" t="s">
        <v>45</v>
      </c>
      <c r="D23030" s="3" t="s">
        <v>221</v>
      </c>
      <c r="E23030" s="3" t="s">
        <v>619</v>
      </c>
      <c r="F23030" s="7">
        <v>46189.206995790024</v>
      </c>
      <c r="G23030" s="3" t="s">
        <v>5125</v>
      </c>
    </row>
    <row r="23031">
      <c r="A23031" s="3" t="s">
        <v>39357</v>
      </c>
      <c r="B23031" s="3" t="s">
        <v>19037</v>
      </c>
      <c r="C23031" s="5" t="s">
        <v>221</v>
      </c>
      <c r="D23031" s="3" t="s">
        <v>614</v>
      </c>
      <c r="E23031" s="3" t="s">
        <v>118</v>
      </c>
      <c r="F23031" s="7">
        <v>46189.21046801224</v>
      </c>
      <c r="G23031" s="3" t="s">
        <v>5128</v>
      </c>
    </row>
    <row r="23032">
      <c r="A23032" s="3" t="s">
        <v>39358</v>
      </c>
      <c r="B23032" s="3" t="s">
        <v>19037</v>
      </c>
      <c r="C23032" s="5" t="s">
        <v>614</v>
      </c>
      <c r="D23032" s="3" t="s">
        <v>206</v>
      </c>
      <c r="E23032" s="3" t="s">
        <v>100</v>
      </c>
      <c r="F23032" s="7">
        <v>46189.21394023447</v>
      </c>
      <c r="G23032" s="3" t="s">
        <v>5131</v>
      </c>
    </row>
    <row r="23033">
      <c r="A23033" s="3" t="s">
        <v>39359</v>
      </c>
      <c r="B23033" s="3" t="s">
        <v>19037</v>
      </c>
      <c r="C23033" s="5" t="s">
        <v>206</v>
      </c>
      <c r="D23033" s="3" t="s">
        <v>68</v>
      </c>
      <c r="E23033" s="3" t="s">
        <v>100</v>
      </c>
      <c r="F23033" s="7">
        <v>46189.21741245669</v>
      </c>
      <c r="G23033" s="3" t="s">
        <v>5134</v>
      </c>
    </row>
    <row r="23034">
      <c r="A23034" s="3" t="s">
        <v>39360</v>
      </c>
      <c r="B23034" s="3" t="s">
        <v>19040</v>
      </c>
      <c r="C23034" s="5" t="s">
        <v>45</v>
      </c>
      <c r="D23034" s="3" t="s">
        <v>221</v>
      </c>
      <c r="E23034" s="3" t="s">
        <v>126</v>
      </c>
      <c r="F23034" s="7">
        <v>46189.278170635436</v>
      </c>
      <c r="G23034" s="3" t="s">
        <v>5148</v>
      </c>
    </row>
    <row r="23035">
      <c r="A23035" s="3" t="s">
        <v>39361</v>
      </c>
      <c r="B23035" s="3" t="s">
        <v>19040</v>
      </c>
      <c r="C23035" s="5" t="s">
        <v>221</v>
      </c>
      <c r="D23035" s="3" t="s">
        <v>614</v>
      </c>
      <c r="E23035" s="3" t="s">
        <v>118</v>
      </c>
      <c r="F23035" s="7">
        <v>46189.281642857655</v>
      </c>
      <c r="G23035" s="3" t="s">
        <v>5150</v>
      </c>
    </row>
    <row r="23036">
      <c r="A23036" s="3" t="s">
        <v>39362</v>
      </c>
      <c r="B23036" s="3" t="s">
        <v>19040</v>
      </c>
      <c r="C23036" s="5" t="s">
        <v>614</v>
      </c>
      <c r="D23036" s="3" t="s">
        <v>206</v>
      </c>
      <c r="E23036" s="3" t="s">
        <v>100</v>
      </c>
      <c r="F23036" s="7">
        <v>46189.28511507988</v>
      </c>
      <c r="G23036" s="3" t="s">
        <v>5153</v>
      </c>
    </row>
    <row r="23037">
      <c r="A23037" s="3" t="s">
        <v>39363</v>
      </c>
      <c r="B23037" s="3" t="s">
        <v>19040</v>
      </c>
      <c r="C23037" s="5" t="s">
        <v>206</v>
      </c>
      <c r="D23037" s="3" t="s">
        <v>68</v>
      </c>
      <c r="E23037" s="3" t="s">
        <v>100</v>
      </c>
      <c r="F23037" s="7">
        <v>46189.2885873021</v>
      </c>
      <c r="G23037" s="3" t="s">
        <v>5156</v>
      </c>
    </row>
    <row r="23038">
      <c r="A23038" s="3" t="s">
        <v>39364</v>
      </c>
      <c r="B23038" s="3" t="s">
        <v>19043</v>
      </c>
      <c r="C23038" s="5" t="s">
        <v>45</v>
      </c>
      <c r="D23038" s="3" t="s">
        <v>221</v>
      </c>
      <c r="E23038" s="3" t="s">
        <v>908</v>
      </c>
      <c r="F23038" s="7">
        <v>46189.349345480856</v>
      </c>
      <c r="G23038" s="3" t="s">
        <v>12142</v>
      </c>
    </row>
    <row r="23039">
      <c r="A23039" s="3" t="s">
        <v>39365</v>
      </c>
      <c r="B23039" s="3" t="s">
        <v>19043</v>
      </c>
      <c r="C23039" s="5" t="s">
        <v>221</v>
      </c>
      <c r="D23039" s="3" t="s">
        <v>614</v>
      </c>
      <c r="E23039" s="3" t="s">
        <v>118</v>
      </c>
      <c r="F23039" s="7">
        <v>46189.352817703075</v>
      </c>
      <c r="G23039" s="3" t="s">
        <v>12145</v>
      </c>
    </row>
    <row r="23040">
      <c r="A23040" s="3" t="s">
        <v>39366</v>
      </c>
      <c r="B23040" s="3" t="s">
        <v>19043</v>
      </c>
      <c r="C23040" s="5" t="s">
        <v>614</v>
      </c>
      <c r="D23040" s="3" t="s">
        <v>206</v>
      </c>
      <c r="E23040" s="3" t="s">
        <v>100</v>
      </c>
      <c r="F23040" s="7">
        <v>46189.3562899253</v>
      </c>
      <c r="G23040" s="3" t="s">
        <v>12148</v>
      </c>
    </row>
    <row r="23041">
      <c r="A23041" s="3" t="s">
        <v>39367</v>
      </c>
      <c r="B23041" s="3" t="s">
        <v>19043</v>
      </c>
      <c r="C23041" s="5" t="s">
        <v>206</v>
      </c>
      <c r="D23041" s="3" t="s">
        <v>68</v>
      </c>
      <c r="E23041" s="3" t="s">
        <v>100</v>
      </c>
      <c r="F23041" s="7">
        <v>46189.35976214752</v>
      </c>
      <c r="G23041" s="3" t="s">
        <v>12151</v>
      </c>
    </row>
    <row r="23042">
      <c r="A23042" s="3" t="s">
        <v>39368</v>
      </c>
      <c r="B23042" s="3" t="s">
        <v>19046</v>
      </c>
      <c r="C23042" s="5" t="s">
        <v>45</v>
      </c>
      <c r="D23042" s="3" t="s">
        <v>221</v>
      </c>
      <c r="E23042" s="3" t="s">
        <v>515</v>
      </c>
      <c r="F23042" s="7">
        <v>46189.420520326275</v>
      </c>
      <c r="G23042" s="3" t="s">
        <v>5159</v>
      </c>
    </row>
    <row r="23043">
      <c r="A23043" s="3" t="s">
        <v>39369</v>
      </c>
      <c r="B23043" s="3" t="s">
        <v>19046</v>
      </c>
      <c r="C23043" s="5" t="s">
        <v>221</v>
      </c>
      <c r="D23043" s="3" t="s">
        <v>614</v>
      </c>
      <c r="E23043" s="3" t="s">
        <v>118</v>
      </c>
      <c r="F23043" s="7">
        <v>46189.423992548494</v>
      </c>
      <c r="G23043" s="3" t="s">
        <v>5162</v>
      </c>
    </row>
    <row r="23044">
      <c r="A23044" s="3" t="s">
        <v>39370</v>
      </c>
      <c r="B23044" s="3" t="s">
        <v>19046</v>
      </c>
      <c r="C23044" s="5" t="s">
        <v>614</v>
      </c>
      <c r="D23044" s="3" t="s">
        <v>206</v>
      </c>
      <c r="E23044" s="3" t="s">
        <v>100</v>
      </c>
      <c r="F23044" s="7">
        <v>46189.42746477072</v>
      </c>
      <c r="G23044" s="3" t="s">
        <v>5165</v>
      </c>
    </row>
    <row r="23045">
      <c r="A23045" s="3" t="s">
        <v>39371</v>
      </c>
      <c r="B23045" s="3" t="s">
        <v>19046</v>
      </c>
      <c r="C23045" s="5" t="s">
        <v>206</v>
      </c>
      <c r="D23045" s="3" t="s">
        <v>68</v>
      </c>
      <c r="E23045" s="3" t="s">
        <v>100</v>
      </c>
      <c r="F23045" s="7">
        <v>46189.43093699294</v>
      </c>
      <c r="G23045" s="3" t="s">
        <v>5168</v>
      </c>
    </row>
    <row r="23046">
      <c r="A23046" s="3" t="s">
        <v>39372</v>
      </c>
      <c r="B23046" s="3" t="s">
        <v>19049</v>
      </c>
      <c r="C23046" s="5" t="s">
        <v>45</v>
      </c>
      <c r="D23046" s="3" t="s">
        <v>221</v>
      </c>
      <c r="E23046" s="3" t="s">
        <v>162</v>
      </c>
      <c r="F23046" s="7">
        <v>46189.49169517168</v>
      </c>
      <c r="G23046" s="3" t="s">
        <v>9146</v>
      </c>
    </row>
    <row r="23047">
      <c r="A23047" s="3" t="s">
        <v>39373</v>
      </c>
      <c r="B23047" s="3" t="s">
        <v>19049</v>
      </c>
      <c r="C23047" s="5" t="s">
        <v>221</v>
      </c>
      <c r="D23047" s="3" t="s">
        <v>614</v>
      </c>
      <c r="E23047" s="3" t="s">
        <v>118</v>
      </c>
      <c r="F23047" s="7">
        <v>46189.4951673939</v>
      </c>
      <c r="G23047" s="3" t="s">
        <v>9149</v>
      </c>
    </row>
    <row r="23048">
      <c r="A23048" s="3" t="s">
        <v>39374</v>
      </c>
      <c r="B23048" s="3" t="s">
        <v>19049</v>
      </c>
      <c r="C23048" s="5" t="s">
        <v>614</v>
      </c>
      <c r="D23048" s="3" t="s">
        <v>206</v>
      </c>
      <c r="E23048" s="3" t="s">
        <v>100</v>
      </c>
      <c r="F23048" s="7">
        <v>46189.498639616126</v>
      </c>
      <c r="G23048" s="3" t="s">
        <v>9151</v>
      </c>
    </row>
    <row r="23049">
      <c r="A23049" s="3" t="s">
        <v>39375</v>
      </c>
      <c r="B23049" s="3" t="s">
        <v>19049</v>
      </c>
      <c r="C23049" s="5" t="s">
        <v>206</v>
      </c>
      <c r="D23049" s="3" t="s">
        <v>68</v>
      </c>
      <c r="E23049" s="3" t="s">
        <v>100</v>
      </c>
      <c r="F23049" s="7">
        <v>46189.502111838345</v>
      </c>
      <c r="G23049" s="3" t="s">
        <v>9154</v>
      </c>
    </row>
    <row r="23050">
      <c r="A23050" s="3" t="s">
        <v>39376</v>
      </c>
      <c r="B23050" s="3" t="s">
        <v>19052</v>
      </c>
      <c r="C23050" s="5" t="s">
        <v>45</v>
      </c>
      <c r="D23050" s="3" t="s">
        <v>221</v>
      </c>
      <c r="E23050" s="3" t="s">
        <v>860</v>
      </c>
      <c r="F23050" s="7">
        <v>46189.5628700171</v>
      </c>
      <c r="G23050" s="3" t="s">
        <v>5177</v>
      </c>
    </row>
    <row r="23051">
      <c r="A23051" s="3" t="s">
        <v>39377</v>
      </c>
      <c r="B23051" s="3" t="s">
        <v>19052</v>
      </c>
      <c r="C23051" s="5" t="s">
        <v>221</v>
      </c>
      <c r="D23051" s="3" t="s">
        <v>614</v>
      </c>
      <c r="E23051" s="3" t="s">
        <v>118</v>
      </c>
      <c r="F23051" s="7">
        <v>46189.56634223932</v>
      </c>
      <c r="G23051" s="3" t="s">
        <v>5180</v>
      </c>
    </row>
    <row r="23052">
      <c r="A23052" s="3" t="s">
        <v>39378</v>
      </c>
      <c r="B23052" s="3" t="s">
        <v>19052</v>
      </c>
      <c r="C23052" s="5" t="s">
        <v>614</v>
      </c>
      <c r="D23052" s="3" t="s">
        <v>206</v>
      </c>
      <c r="E23052" s="3" t="s">
        <v>100</v>
      </c>
      <c r="F23052" s="7">
        <v>46189.569814461545</v>
      </c>
      <c r="G23052" s="3" t="s">
        <v>5183</v>
      </c>
    </row>
    <row r="23053">
      <c r="A23053" s="3" t="s">
        <v>39379</v>
      </c>
      <c r="B23053" s="3" t="s">
        <v>19052</v>
      </c>
      <c r="C23053" s="5" t="s">
        <v>206</v>
      </c>
      <c r="D23053" s="3" t="s">
        <v>68</v>
      </c>
      <c r="E23053" s="3" t="s">
        <v>100</v>
      </c>
      <c r="F23053" s="7">
        <v>46189.573286683764</v>
      </c>
      <c r="G23053" s="3" t="s">
        <v>5186</v>
      </c>
    </row>
    <row r="23054">
      <c r="A23054" s="3" t="s">
        <v>39380</v>
      </c>
      <c r="B23054" s="3" t="s">
        <v>19055</v>
      </c>
      <c r="C23054" s="5" t="s">
        <v>45</v>
      </c>
      <c r="D23054" s="3" t="s">
        <v>221</v>
      </c>
      <c r="E23054" s="3" t="s">
        <v>466</v>
      </c>
      <c r="F23054" s="7">
        <v>46189.63404486252</v>
      </c>
      <c r="G23054" s="3" t="s">
        <v>5221</v>
      </c>
    </row>
    <row r="23055">
      <c r="A23055" s="3" t="s">
        <v>39381</v>
      </c>
      <c r="B23055" s="3" t="s">
        <v>19055</v>
      </c>
      <c r="C23055" s="5" t="s">
        <v>221</v>
      </c>
      <c r="D23055" s="3" t="s">
        <v>614</v>
      </c>
      <c r="E23055" s="3" t="s">
        <v>118</v>
      </c>
      <c r="F23055" s="7">
        <v>46189.63751708474</v>
      </c>
      <c r="G23055" s="3" t="s">
        <v>5224</v>
      </c>
    </row>
    <row r="23056">
      <c r="A23056" s="3" t="s">
        <v>39382</v>
      </c>
      <c r="B23056" s="3" t="s">
        <v>19055</v>
      </c>
      <c r="C23056" s="5" t="s">
        <v>614</v>
      </c>
      <c r="D23056" s="3" t="s">
        <v>206</v>
      </c>
      <c r="E23056" s="3" t="s">
        <v>100</v>
      </c>
      <c r="F23056" s="7">
        <v>46189.640989306965</v>
      </c>
      <c r="G23056" s="3" t="s">
        <v>5226</v>
      </c>
    </row>
    <row r="23057">
      <c r="A23057" s="3" t="s">
        <v>39383</v>
      </c>
      <c r="B23057" s="3" t="s">
        <v>19055</v>
      </c>
      <c r="C23057" s="5" t="s">
        <v>206</v>
      </c>
      <c r="D23057" s="3" t="s">
        <v>68</v>
      </c>
      <c r="E23057" s="3" t="s">
        <v>100</v>
      </c>
      <c r="F23057" s="7">
        <v>46189.644461529184</v>
      </c>
      <c r="G23057" s="3" t="s">
        <v>5229</v>
      </c>
    </row>
    <row r="23058">
      <c r="A23058" s="3" t="s">
        <v>39384</v>
      </c>
      <c r="B23058" s="3" t="s">
        <v>19058</v>
      </c>
      <c r="C23058" s="5" t="s">
        <v>45</v>
      </c>
      <c r="D23058" s="3" t="s">
        <v>221</v>
      </c>
      <c r="E23058" s="3" t="s">
        <v>584</v>
      </c>
      <c r="F23058" s="7">
        <v>46189.70521970793</v>
      </c>
      <c r="G23058" s="3" t="s">
        <v>2770</v>
      </c>
    </row>
    <row r="23059">
      <c r="A23059" s="3" t="s">
        <v>39385</v>
      </c>
      <c r="B23059" s="3" t="s">
        <v>19058</v>
      </c>
      <c r="C23059" s="5" t="s">
        <v>221</v>
      </c>
      <c r="D23059" s="3" t="s">
        <v>181</v>
      </c>
      <c r="E23059" s="3" t="s">
        <v>118</v>
      </c>
      <c r="F23059" s="7">
        <v>46189.70869193015</v>
      </c>
      <c r="G23059" s="3" t="s">
        <v>2774</v>
      </c>
    </row>
    <row r="23060">
      <c r="A23060" s="3" t="s">
        <v>39386</v>
      </c>
      <c r="B23060" s="3" t="s">
        <v>19061</v>
      </c>
      <c r="C23060" s="5" t="s">
        <v>45</v>
      </c>
      <c r="D23060" s="3" t="s">
        <v>221</v>
      </c>
      <c r="E23060" s="3" t="s">
        <v>694</v>
      </c>
      <c r="F23060" s="7">
        <v>46189.776394553344</v>
      </c>
      <c r="G23060" s="3" t="s">
        <v>21154</v>
      </c>
    </row>
    <row r="23061">
      <c r="A23061" s="3" t="s">
        <v>39387</v>
      </c>
      <c r="B23061" s="3" t="s">
        <v>19061</v>
      </c>
      <c r="C23061" s="5" t="s">
        <v>221</v>
      </c>
      <c r="D23061" s="3" t="s">
        <v>614</v>
      </c>
      <c r="E23061" s="3" t="s">
        <v>118</v>
      </c>
      <c r="F23061" s="7">
        <v>46189.77986677556</v>
      </c>
      <c r="G23061" s="3" t="s">
        <v>21157</v>
      </c>
    </row>
    <row r="23062">
      <c r="A23062" s="3" t="s">
        <v>39388</v>
      </c>
      <c r="B23062" s="3" t="s">
        <v>19061</v>
      </c>
      <c r="C23062" s="5" t="s">
        <v>614</v>
      </c>
      <c r="D23062" s="3" t="s">
        <v>206</v>
      </c>
      <c r="E23062" s="3" t="s">
        <v>100</v>
      </c>
      <c r="F23062" s="7">
        <v>46189.78333899779</v>
      </c>
      <c r="G23062" s="3" t="s">
        <v>21160</v>
      </c>
    </row>
    <row r="23063">
      <c r="A23063" s="3" t="s">
        <v>39389</v>
      </c>
      <c r="B23063" s="3" t="s">
        <v>19061</v>
      </c>
      <c r="C23063" s="5" t="s">
        <v>206</v>
      </c>
      <c r="D23063" s="3" t="s">
        <v>68</v>
      </c>
      <c r="E23063" s="3" t="s">
        <v>100</v>
      </c>
      <c r="F23063" s="7">
        <v>46189.78681122001</v>
      </c>
      <c r="G23063" s="3" t="s">
        <v>21163</v>
      </c>
    </row>
    <row r="23064">
      <c r="A23064" s="3" t="s">
        <v>39390</v>
      </c>
      <c r="B23064" s="3" t="s">
        <v>19066</v>
      </c>
      <c r="C23064" s="5" t="s">
        <v>45</v>
      </c>
      <c r="D23064" s="3" t="s">
        <v>221</v>
      </c>
      <c r="E23064" s="3" t="s">
        <v>691</v>
      </c>
      <c r="F23064" s="7">
        <v>46189.847569398764</v>
      </c>
      <c r="G23064" s="3" t="s">
        <v>5244</v>
      </c>
    </row>
    <row r="23065">
      <c r="A23065" s="3" t="s">
        <v>39391</v>
      </c>
      <c r="B23065" s="3" t="s">
        <v>19066</v>
      </c>
      <c r="C23065" s="5" t="s">
        <v>221</v>
      </c>
      <c r="D23065" s="3" t="s">
        <v>614</v>
      </c>
      <c r="E23065" s="3" t="s">
        <v>118</v>
      </c>
      <c r="F23065" s="7">
        <v>46189.85104162098</v>
      </c>
      <c r="G23065" s="3" t="s">
        <v>5247</v>
      </c>
    </row>
    <row r="23066">
      <c r="A23066" s="3" t="s">
        <v>39392</v>
      </c>
      <c r="B23066" s="3" t="s">
        <v>19066</v>
      </c>
      <c r="C23066" s="5" t="s">
        <v>614</v>
      </c>
      <c r="D23066" s="3" t="s">
        <v>206</v>
      </c>
      <c r="E23066" s="3" t="s">
        <v>100</v>
      </c>
      <c r="F23066" s="7">
        <v>46189.85451384321</v>
      </c>
      <c r="G23066" s="3" t="s">
        <v>5250</v>
      </c>
    </row>
    <row r="23067">
      <c r="A23067" s="3" t="s">
        <v>39393</v>
      </c>
      <c r="B23067" s="3" t="s">
        <v>19066</v>
      </c>
      <c r="C23067" s="5" t="s">
        <v>206</v>
      </c>
      <c r="D23067" s="3" t="s">
        <v>68</v>
      </c>
      <c r="E23067" s="3" t="s">
        <v>100</v>
      </c>
      <c r="F23067" s="7">
        <v>46189.85798606543</v>
      </c>
      <c r="G23067" s="3" t="s">
        <v>5253</v>
      </c>
    </row>
    <row r="23068">
      <c r="A23068" s="3" t="s">
        <v>39394</v>
      </c>
      <c r="B23068" s="3" t="s">
        <v>19068</v>
      </c>
      <c r="C23068" s="5" t="s">
        <v>45</v>
      </c>
      <c r="D23068" s="3" t="s">
        <v>221</v>
      </c>
      <c r="E23068" s="3" t="s">
        <v>561</v>
      </c>
      <c r="F23068" s="7">
        <v>46189.918744244176</v>
      </c>
      <c r="G23068" s="3" t="s">
        <v>8850</v>
      </c>
    </row>
    <row r="23069">
      <c r="A23069" s="3" t="s">
        <v>39395</v>
      </c>
      <c r="B23069" s="3" t="s">
        <v>19068</v>
      </c>
      <c r="C23069" s="5" t="s">
        <v>221</v>
      </c>
      <c r="D23069" s="3" t="s">
        <v>614</v>
      </c>
      <c r="E23069" s="3" t="s">
        <v>118</v>
      </c>
      <c r="F23069" s="7">
        <v>46189.922216466395</v>
      </c>
      <c r="G23069" s="3" t="s">
        <v>8853</v>
      </c>
    </row>
    <row r="23070">
      <c r="A23070" s="3" t="s">
        <v>39396</v>
      </c>
      <c r="B23070" s="3" t="s">
        <v>19068</v>
      </c>
      <c r="C23070" s="5" t="s">
        <v>614</v>
      </c>
      <c r="D23070" s="3" t="s">
        <v>206</v>
      </c>
      <c r="E23070" s="3" t="s">
        <v>100</v>
      </c>
      <c r="F23070" s="7">
        <v>46189.92568868862</v>
      </c>
      <c r="G23070" s="3" t="s">
        <v>8856</v>
      </c>
    </row>
    <row r="23071">
      <c r="A23071" s="3" t="s">
        <v>39397</v>
      </c>
      <c r="B23071" s="3" t="s">
        <v>19068</v>
      </c>
      <c r="C23071" s="5" t="s">
        <v>206</v>
      </c>
      <c r="D23071" s="3" t="s">
        <v>68</v>
      </c>
      <c r="E23071" s="3" t="s">
        <v>100</v>
      </c>
      <c r="F23071" s="7">
        <v>46189.92916091084</v>
      </c>
      <c r="G23071" s="3" t="s">
        <v>8859</v>
      </c>
    </row>
    <row r="23072">
      <c r="A23072" s="3" t="s">
        <v>39398</v>
      </c>
      <c r="B23072" s="3" t="s">
        <v>19070</v>
      </c>
      <c r="C23072" s="5" t="s">
        <v>45</v>
      </c>
      <c r="D23072" s="3" t="s">
        <v>221</v>
      </c>
      <c r="E23072" s="3" t="s">
        <v>575</v>
      </c>
      <c r="F23072" s="7">
        <v>46189.98991908959</v>
      </c>
      <c r="G23072" s="3" t="s">
        <v>5810</v>
      </c>
    </row>
    <row r="23073">
      <c r="A23073" s="3" t="s">
        <v>39399</v>
      </c>
      <c r="B23073" s="3" t="s">
        <v>19070</v>
      </c>
      <c r="C23073" s="5" t="s">
        <v>221</v>
      </c>
      <c r="D23073" s="3" t="s">
        <v>614</v>
      </c>
      <c r="E23073" s="3" t="s">
        <v>118</v>
      </c>
      <c r="F23073" s="7">
        <v>46189.99339131181</v>
      </c>
      <c r="G23073" s="3" t="s">
        <v>5813</v>
      </c>
    </row>
    <row r="23074">
      <c r="A23074" s="3" t="s">
        <v>39400</v>
      </c>
      <c r="B23074" s="3" t="s">
        <v>19070</v>
      </c>
      <c r="C23074" s="5" t="s">
        <v>614</v>
      </c>
      <c r="D23074" s="3" t="s">
        <v>206</v>
      </c>
      <c r="E23074" s="3" t="s">
        <v>100</v>
      </c>
      <c r="F23074" s="7">
        <v>46189.996863534034</v>
      </c>
      <c r="G23074" s="3" t="s">
        <v>5815</v>
      </c>
    </row>
    <row r="23075">
      <c r="A23075" s="3" t="s">
        <v>39401</v>
      </c>
      <c r="B23075" s="3" t="s">
        <v>19070</v>
      </c>
      <c r="C23075" s="5" t="s">
        <v>206</v>
      </c>
      <c r="D23075" s="3" t="s">
        <v>68</v>
      </c>
      <c r="E23075" s="3" t="s">
        <v>100</v>
      </c>
      <c r="F23075" s="7">
        <v>46190.00033575625</v>
      </c>
      <c r="G23075" s="3" t="s">
        <v>5818</v>
      </c>
    </row>
    <row r="23076">
      <c r="A23076" s="3" t="s">
        <v>39402</v>
      </c>
      <c r="B23076" s="3" t="s">
        <v>19072</v>
      </c>
      <c r="C23076" s="5" t="s">
        <v>45</v>
      </c>
      <c r="D23076" s="3" t="s">
        <v>221</v>
      </c>
      <c r="E23076" s="3" t="s">
        <v>189</v>
      </c>
      <c r="F23076" s="7">
        <v>46190.06109393501</v>
      </c>
      <c r="G23076" s="3" t="s">
        <v>21283</v>
      </c>
    </row>
    <row r="23077">
      <c r="A23077" s="3" t="s">
        <v>39403</v>
      </c>
      <c r="B23077" s="3" t="s">
        <v>19072</v>
      </c>
      <c r="C23077" s="5" t="s">
        <v>221</v>
      </c>
      <c r="D23077" s="3" t="s">
        <v>614</v>
      </c>
      <c r="E23077" s="3" t="s">
        <v>118</v>
      </c>
      <c r="F23077" s="7">
        <v>46190.06456615723</v>
      </c>
      <c r="G23077" s="3" t="s">
        <v>21286</v>
      </c>
    </row>
    <row r="23078">
      <c r="A23078" s="3" t="s">
        <v>39404</v>
      </c>
      <c r="B23078" s="3" t="s">
        <v>19072</v>
      </c>
      <c r="C23078" s="5" t="s">
        <v>614</v>
      </c>
      <c r="D23078" s="3" t="s">
        <v>206</v>
      </c>
      <c r="E23078" s="3" t="s">
        <v>100</v>
      </c>
      <c r="F23078" s="7">
        <v>46190.06803837945</v>
      </c>
      <c r="G23078" s="3" t="s">
        <v>21288</v>
      </c>
    </row>
    <row r="23079">
      <c r="A23079" s="3" t="s">
        <v>39405</v>
      </c>
      <c r="B23079" s="3" t="s">
        <v>19072</v>
      </c>
      <c r="C23079" s="5" t="s">
        <v>206</v>
      </c>
      <c r="D23079" s="3" t="s">
        <v>68</v>
      </c>
      <c r="E23079" s="3" t="s">
        <v>100</v>
      </c>
      <c r="F23079" s="7">
        <v>46190.07151060167</v>
      </c>
      <c r="G23079" s="3" t="s">
        <v>21291</v>
      </c>
    </row>
    <row r="23080">
      <c r="A23080" s="3" t="s">
        <v>39406</v>
      </c>
      <c r="B23080" s="3" t="s">
        <v>19074</v>
      </c>
      <c r="C23080" s="5" t="s">
        <v>45</v>
      </c>
      <c r="D23080" s="3" t="s">
        <v>221</v>
      </c>
      <c r="E23080" s="3" t="s">
        <v>916</v>
      </c>
      <c r="F23080" s="7">
        <v>46190.13226878042</v>
      </c>
      <c r="G23080" s="3" t="s">
        <v>5268</v>
      </c>
    </row>
    <row r="23081">
      <c r="A23081" s="3" t="s">
        <v>39407</v>
      </c>
      <c r="B23081" s="3" t="s">
        <v>19074</v>
      </c>
      <c r="C23081" s="5" t="s">
        <v>221</v>
      </c>
      <c r="D23081" s="3" t="s">
        <v>614</v>
      </c>
      <c r="E23081" s="3" t="s">
        <v>118</v>
      </c>
      <c r="F23081" s="7">
        <v>46190.13574100264</v>
      </c>
      <c r="G23081" s="3" t="s">
        <v>5271</v>
      </c>
    </row>
    <row r="23082">
      <c r="A23082" s="3" t="s">
        <v>39408</v>
      </c>
      <c r="B23082" s="3" t="s">
        <v>19074</v>
      </c>
      <c r="C23082" s="5" t="s">
        <v>614</v>
      </c>
      <c r="D23082" s="3" t="s">
        <v>206</v>
      </c>
      <c r="E23082" s="3" t="s">
        <v>100</v>
      </c>
      <c r="F23082" s="7">
        <v>46190.139213224866</v>
      </c>
      <c r="G23082" s="3" t="s">
        <v>5274</v>
      </c>
    </row>
    <row r="23083">
      <c r="A23083" s="3" t="s">
        <v>39409</v>
      </c>
      <c r="B23083" s="3" t="s">
        <v>19074</v>
      </c>
      <c r="C23083" s="5" t="s">
        <v>206</v>
      </c>
      <c r="D23083" s="3" t="s">
        <v>68</v>
      </c>
      <c r="E23083" s="3" t="s">
        <v>100</v>
      </c>
      <c r="F23083" s="7">
        <v>46190.142685447085</v>
      </c>
      <c r="G23083" s="3" t="s">
        <v>5277</v>
      </c>
    </row>
    <row r="23084">
      <c r="A23084" s="3" t="s">
        <v>39410</v>
      </c>
      <c r="B23084" s="3" t="s">
        <v>19076</v>
      </c>
      <c r="C23084" s="5" t="s">
        <v>45</v>
      </c>
      <c r="D23084" s="3" t="s">
        <v>221</v>
      </c>
      <c r="E23084" s="3" t="s">
        <v>619</v>
      </c>
      <c r="F23084" s="7">
        <v>46190.20344362583</v>
      </c>
      <c r="G23084" s="3" t="s">
        <v>8794</v>
      </c>
    </row>
    <row r="23085">
      <c r="A23085" s="3" t="s">
        <v>39411</v>
      </c>
      <c r="B23085" s="3" t="s">
        <v>19076</v>
      </c>
      <c r="C23085" s="5" t="s">
        <v>221</v>
      </c>
      <c r="D23085" s="3" t="s">
        <v>614</v>
      </c>
      <c r="E23085" s="3" t="s">
        <v>118</v>
      </c>
      <c r="F23085" s="7">
        <v>46190.20691584805</v>
      </c>
      <c r="G23085" s="3" t="s">
        <v>8796</v>
      </c>
    </row>
    <row r="23086">
      <c r="A23086" s="3" t="s">
        <v>39412</v>
      </c>
      <c r="B23086" s="3" t="s">
        <v>19076</v>
      </c>
      <c r="C23086" s="5" t="s">
        <v>614</v>
      </c>
      <c r="D23086" s="3" t="s">
        <v>206</v>
      </c>
      <c r="E23086" s="3" t="s">
        <v>100</v>
      </c>
      <c r="F23086" s="7">
        <v>46190.21038807028</v>
      </c>
      <c r="G23086" s="3" t="s">
        <v>8799</v>
      </c>
    </row>
    <row r="23087">
      <c r="A23087" s="3" t="s">
        <v>39413</v>
      </c>
      <c r="B23087" s="3" t="s">
        <v>19076</v>
      </c>
      <c r="C23087" s="5" t="s">
        <v>206</v>
      </c>
      <c r="D23087" s="3" t="s">
        <v>68</v>
      </c>
      <c r="E23087" s="3" t="s">
        <v>100</v>
      </c>
      <c r="F23087" s="7">
        <v>46190.2138602925</v>
      </c>
      <c r="G23087" s="3" t="s">
        <v>8802</v>
      </c>
    </row>
    <row r="23088">
      <c r="A23088" s="3" t="s">
        <v>39414</v>
      </c>
      <c r="B23088" s="3" t="s">
        <v>19079</v>
      </c>
      <c r="C23088" s="5" t="s">
        <v>45</v>
      </c>
      <c r="D23088" s="3" t="s">
        <v>221</v>
      </c>
      <c r="E23088" s="3" t="s">
        <v>943</v>
      </c>
      <c r="F23088" s="7">
        <v>46190.27461847125</v>
      </c>
      <c r="G23088" s="3" t="s">
        <v>11214</v>
      </c>
    </row>
    <row r="23089">
      <c r="A23089" s="3" t="s">
        <v>39415</v>
      </c>
      <c r="B23089" s="3" t="s">
        <v>19079</v>
      </c>
      <c r="C23089" s="5" t="s">
        <v>221</v>
      </c>
      <c r="D23089" s="3" t="s">
        <v>614</v>
      </c>
      <c r="E23089" s="3" t="s">
        <v>118</v>
      </c>
      <c r="F23089" s="7">
        <v>46190.27809069347</v>
      </c>
      <c r="G23089" s="3" t="s">
        <v>11216</v>
      </c>
    </row>
    <row r="23090">
      <c r="A23090" s="3" t="s">
        <v>39416</v>
      </c>
      <c r="B23090" s="3" t="s">
        <v>19079</v>
      </c>
      <c r="C23090" s="5" t="s">
        <v>614</v>
      </c>
      <c r="D23090" s="3" t="s">
        <v>206</v>
      </c>
      <c r="E23090" s="3" t="s">
        <v>100</v>
      </c>
      <c r="F23090" s="7">
        <v>46190.2815629157</v>
      </c>
      <c r="G23090" s="3" t="s">
        <v>11218</v>
      </c>
    </row>
    <row r="23091">
      <c r="A23091" s="3" t="s">
        <v>39417</v>
      </c>
      <c r="B23091" s="3" t="s">
        <v>19079</v>
      </c>
      <c r="C23091" s="5" t="s">
        <v>206</v>
      </c>
      <c r="D23091" s="3" t="s">
        <v>68</v>
      </c>
      <c r="E23091" s="3" t="s">
        <v>100</v>
      </c>
      <c r="F23091" s="7">
        <v>46190.28503513792</v>
      </c>
      <c r="G23091" s="3" t="s">
        <v>11221</v>
      </c>
    </row>
    <row r="23092">
      <c r="A23092" s="3" t="s">
        <v>39418</v>
      </c>
      <c r="B23092" s="3" t="s">
        <v>19081</v>
      </c>
      <c r="C23092" s="5" t="s">
        <v>45</v>
      </c>
      <c r="D23092" s="3" t="s">
        <v>221</v>
      </c>
      <c r="E23092" s="3" t="s">
        <v>682</v>
      </c>
      <c r="F23092" s="7">
        <v>46190.34579331667</v>
      </c>
      <c r="G23092" s="3" t="s">
        <v>5280</v>
      </c>
    </row>
    <row r="23093">
      <c r="A23093" s="3" t="s">
        <v>39419</v>
      </c>
      <c r="B23093" s="3" t="s">
        <v>19081</v>
      </c>
      <c r="C23093" s="5" t="s">
        <v>221</v>
      </c>
      <c r="D23093" s="3" t="s">
        <v>614</v>
      </c>
      <c r="E23093" s="3" t="s">
        <v>118</v>
      </c>
      <c r="F23093" s="7">
        <v>46190.34926553889</v>
      </c>
      <c r="G23093" s="3" t="s">
        <v>5283</v>
      </c>
    </row>
    <row r="23094">
      <c r="A23094" s="3" t="s">
        <v>39420</v>
      </c>
      <c r="B23094" s="3" t="s">
        <v>19081</v>
      </c>
      <c r="C23094" s="5" t="s">
        <v>614</v>
      </c>
      <c r="D23094" s="3" t="s">
        <v>206</v>
      </c>
      <c r="E23094" s="3" t="s">
        <v>100</v>
      </c>
      <c r="F23094" s="7">
        <v>46190.35273776112</v>
      </c>
      <c r="G23094" s="3" t="s">
        <v>5286</v>
      </c>
    </row>
    <row r="23095">
      <c r="A23095" s="3" t="s">
        <v>39421</v>
      </c>
      <c r="B23095" s="3" t="s">
        <v>19081</v>
      </c>
      <c r="C23095" s="5" t="s">
        <v>206</v>
      </c>
      <c r="D23095" s="3" t="s">
        <v>68</v>
      </c>
      <c r="E23095" s="3" t="s">
        <v>100</v>
      </c>
      <c r="F23095" s="7">
        <v>46190.356209983336</v>
      </c>
      <c r="G23095" s="3" t="s">
        <v>5289</v>
      </c>
    </row>
    <row r="23096">
      <c r="A23096" s="3" t="s">
        <v>39422</v>
      </c>
      <c r="B23096" s="3" t="s">
        <v>19084</v>
      </c>
      <c r="C23096" s="5" t="s">
        <v>45</v>
      </c>
      <c r="D23096" s="3" t="s">
        <v>221</v>
      </c>
      <c r="E23096" s="3" t="s">
        <v>501</v>
      </c>
      <c r="F23096" s="7">
        <v>46190.41696816208</v>
      </c>
      <c r="G23096" s="3" t="s">
        <v>5291</v>
      </c>
    </row>
    <row r="23097">
      <c r="A23097" s="3" t="s">
        <v>39423</v>
      </c>
      <c r="B23097" s="3" t="s">
        <v>19084</v>
      </c>
      <c r="C23097" s="5" t="s">
        <v>221</v>
      </c>
      <c r="D23097" s="3" t="s">
        <v>614</v>
      </c>
      <c r="E23097" s="3" t="s">
        <v>118</v>
      </c>
      <c r="F23097" s="7">
        <v>46190.420440384296</v>
      </c>
      <c r="G23097" s="3" t="s">
        <v>5294</v>
      </c>
    </row>
    <row r="23098">
      <c r="A23098" s="3" t="s">
        <v>39424</v>
      </c>
      <c r="B23098" s="3" t="s">
        <v>19084</v>
      </c>
      <c r="C23098" s="5" t="s">
        <v>614</v>
      </c>
      <c r="D23098" s="3" t="s">
        <v>206</v>
      </c>
      <c r="E23098" s="3" t="s">
        <v>100</v>
      </c>
      <c r="F23098" s="7">
        <v>46190.42391260652</v>
      </c>
      <c r="G23098" s="3" t="s">
        <v>5297</v>
      </c>
    </row>
    <row r="23099">
      <c r="A23099" s="3" t="s">
        <v>39425</v>
      </c>
      <c r="B23099" s="3" t="s">
        <v>19084</v>
      </c>
      <c r="C23099" s="5" t="s">
        <v>206</v>
      </c>
      <c r="D23099" s="3" t="s">
        <v>68</v>
      </c>
      <c r="E23099" s="3" t="s">
        <v>100</v>
      </c>
      <c r="F23099" s="7">
        <v>46190.42738482874</v>
      </c>
      <c r="G23099" s="3" t="s">
        <v>5300</v>
      </c>
    </row>
    <row r="23100">
      <c r="A23100" s="3" t="s">
        <v>39426</v>
      </c>
      <c r="B23100" s="3" t="s">
        <v>19086</v>
      </c>
      <c r="C23100" s="5" t="s">
        <v>45</v>
      </c>
      <c r="D23100" s="3" t="s">
        <v>221</v>
      </c>
      <c r="E23100" s="3" t="s">
        <v>395</v>
      </c>
      <c r="F23100" s="7">
        <v>46190.4881430075</v>
      </c>
      <c r="G23100" s="3" t="s">
        <v>29322</v>
      </c>
    </row>
    <row r="23101">
      <c r="A23101" s="3" t="s">
        <v>39427</v>
      </c>
      <c r="B23101" s="3" t="s">
        <v>19086</v>
      </c>
      <c r="C23101" s="5" t="s">
        <v>221</v>
      </c>
      <c r="D23101" s="3" t="s">
        <v>614</v>
      </c>
      <c r="E23101" s="3" t="s">
        <v>118</v>
      </c>
      <c r="F23101" s="7">
        <v>46190.491615229716</v>
      </c>
      <c r="G23101" s="3" t="s">
        <v>29324</v>
      </c>
    </row>
    <row r="23102">
      <c r="A23102" s="3" t="s">
        <v>39428</v>
      </c>
      <c r="B23102" s="3" t="s">
        <v>19086</v>
      </c>
      <c r="C23102" s="5" t="s">
        <v>614</v>
      </c>
      <c r="D23102" s="3" t="s">
        <v>206</v>
      </c>
      <c r="E23102" s="3" t="s">
        <v>100</v>
      </c>
      <c r="F23102" s="7">
        <v>46190.49508745194</v>
      </c>
      <c r="G23102" s="3" t="s">
        <v>29326</v>
      </c>
    </row>
    <row r="23103">
      <c r="A23103" s="3" t="s">
        <v>39429</v>
      </c>
      <c r="B23103" s="3" t="s">
        <v>19086</v>
      </c>
      <c r="C23103" s="5" t="s">
        <v>206</v>
      </c>
      <c r="D23103" s="3" t="s">
        <v>68</v>
      </c>
      <c r="E23103" s="3" t="s">
        <v>100</v>
      </c>
      <c r="F23103" s="7">
        <v>46190.49855967416</v>
      </c>
      <c r="G23103" s="3" t="s">
        <v>29328</v>
      </c>
    </row>
    <row r="23104">
      <c r="A23104" s="3" t="s">
        <v>39430</v>
      </c>
      <c r="B23104" s="3" t="s">
        <v>19089</v>
      </c>
      <c r="C23104" s="5" t="s">
        <v>45</v>
      </c>
      <c r="D23104" s="3" t="s">
        <v>221</v>
      </c>
      <c r="E23104" s="3" t="s">
        <v>561</v>
      </c>
      <c r="F23104" s="7">
        <v>46190.559317852916</v>
      </c>
      <c r="G23104" s="3" t="s">
        <v>8850</v>
      </c>
    </row>
    <row r="23105">
      <c r="A23105" s="3" t="s">
        <v>39431</v>
      </c>
      <c r="B23105" s="3" t="s">
        <v>19089</v>
      </c>
      <c r="C23105" s="5" t="s">
        <v>221</v>
      </c>
      <c r="D23105" s="3" t="s">
        <v>614</v>
      </c>
      <c r="E23105" s="3" t="s">
        <v>118</v>
      </c>
      <c r="F23105" s="7">
        <v>46190.562790075135</v>
      </c>
      <c r="G23105" s="3" t="s">
        <v>8853</v>
      </c>
    </row>
    <row r="23106">
      <c r="A23106" s="3" t="s">
        <v>39432</v>
      </c>
      <c r="B23106" s="3" t="s">
        <v>19089</v>
      </c>
      <c r="C23106" s="5" t="s">
        <v>614</v>
      </c>
      <c r="D23106" s="3" t="s">
        <v>206</v>
      </c>
      <c r="E23106" s="3" t="s">
        <v>100</v>
      </c>
      <c r="F23106" s="7">
        <v>46190.56626229736</v>
      </c>
      <c r="G23106" s="3" t="s">
        <v>8856</v>
      </c>
    </row>
    <row r="23107">
      <c r="A23107" s="3" t="s">
        <v>39433</v>
      </c>
      <c r="B23107" s="3" t="s">
        <v>19089</v>
      </c>
      <c r="C23107" s="5" t="s">
        <v>206</v>
      </c>
      <c r="D23107" s="3" t="s">
        <v>68</v>
      </c>
      <c r="E23107" s="3" t="s">
        <v>100</v>
      </c>
      <c r="F23107" s="7">
        <v>46190.56973451958</v>
      </c>
      <c r="G23107" s="3" t="s">
        <v>8859</v>
      </c>
    </row>
    <row r="23108">
      <c r="A23108" s="3" t="s">
        <v>39434</v>
      </c>
      <c r="B23108" s="3" t="s">
        <v>19092</v>
      </c>
      <c r="C23108" s="5" t="s">
        <v>45</v>
      </c>
      <c r="D23108" s="3" t="s">
        <v>221</v>
      </c>
      <c r="E23108" s="3" t="s">
        <v>934</v>
      </c>
      <c r="F23108" s="7">
        <v>46190.63049269833</v>
      </c>
      <c r="G23108" s="3" t="s">
        <v>33896</v>
      </c>
    </row>
    <row r="23109">
      <c r="A23109" s="3" t="s">
        <v>39435</v>
      </c>
      <c r="B23109" s="3" t="s">
        <v>19092</v>
      </c>
      <c r="C23109" s="5" t="s">
        <v>221</v>
      </c>
      <c r="D23109" s="3" t="s">
        <v>614</v>
      </c>
      <c r="E23109" s="3" t="s">
        <v>118</v>
      </c>
      <c r="F23109" s="7">
        <v>46190.63396492055</v>
      </c>
      <c r="G23109" s="3" t="s">
        <v>33898</v>
      </c>
    </row>
    <row r="23110">
      <c r="A23110" s="3" t="s">
        <v>39436</v>
      </c>
      <c r="B23110" s="3" t="s">
        <v>19092</v>
      </c>
      <c r="C23110" s="5" t="s">
        <v>614</v>
      </c>
      <c r="D23110" s="3" t="s">
        <v>206</v>
      </c>
      <c r="E23110" s="3" t="s">
        <v>100</v>
      </c>
      <c r="F23110" s="7">
        <v>46190.637437142774</v>
      </c>
      <c r="G23110" s="3" t="s">
        <v>33900</v>
      </c>
    </row>
    <row r="23111">
      <c r="A23111" s="3" t="s">
        <v>39437</v>
      </c>
      <c r="B23111" s="3" t="s">
        <v>19092</v>
      </c>
      <c r="C23111" s="5" t="s">
        <v>206</v>
      </c>
      <c r="D23111" s="3" t="s">
        <v>68</v>
      </c>
      <c r="E23111" s="3" t="s">
        <v>100</v>
      </c>
      <c r="F23111" s="7">
        <v>46190.64090936499</v>
      </c>
      <c r="G23111" s="3" t="s">
        <v>33902</v>
      </c>
    </row>
    <row r="23112">
      <c r="A23112" s="3" t="s">
        <v>39438</v>
      </c>
      <c r="B23112" s="3" t="s">
        <v>19095</v>
      </c>
      <c r="C23112" s="5" t="s">
        <v>45</v>
      </c>
      <c r="D23112" s="3" t="s">
        <v>221</v>
      </c>
      <c r="E23112" s="3" t="s">
        <v>1028</v>
      </c>
      <c r="F23112" s="7">
        <v>46190.70166754374</v>
      </c>
      <c r="G23112" s="3" t="s">
        <v>6879</v>
      </c>
    </row>
    <row r="23113">
      <c r="A23113" s="3" t="s">
        <v>39439</v>
      </c>
      <c r="B23113" s="3" t="s">
        <v>19095</v>
      </c>
      <c r="C23113" s="5" t="s">
        <v>221</v>
      </c>
      <c r="D23113" s="3" t="s">
        <v>614</v>
      </c>
      <c r="E23113" s="3" t="s">
        <v>118</v>
      </c>
      <c r="F23113" s="7">
        <v>46190.70513976596</v>
      </c>
      <c r="G23113" s="3" t="s">
        <v>6882</v>
      </c>
    </row>
    <row r="23114">
      <c r="A23114" s="3" t="s">
        <v>39440</v>
      </c>
      <c r="B23114" s="3" t="s">
        <v>19095</v>
      </c>
      <c r="C23114" s="5" t="s">
        <v>614</v>
      </c>
      <c r="D23114" s="3" t="s">
        <v>206</v>
      </c>
      <c r="E23114" s="3" t="s">
        <v>100</v>
      </c>
      <c r="F23114" s="7">
        <v>46190.708611988186</v>
      </c>
      <c r="G23114" s="3" t="s">
        <v>6885</v>
      </c>
    </row>
    <row r="23115">
      <c r="A23115" s="3" t="s">
        <v>39441</v>
      </c>
      <c r="B23115" s="3" t="s">
        <v>19095</v>
      </c>
      <c r="C23115" s="5" t="s">
        <v>206</v>
      </c>
      <c r="D23115" s="3" t="s">
        <v>68</v>
      </c>
      <c r="E23115" s="3" t="s">
        <v>100</v>
      </c>
      <c r="F23115" s="7">
        <v>46190.712084210405</v>
      </c>
      <c r="G23115" s="3" t="s">
        <v>6888</v>
      </c>
    </row>
    <row r="23116">
      <c r="A23116" s="3" t="s">
        <v>39442</v>
      </c>
      <c r="B23116" s="3" t="s">
        <v>19098</v>
      </c>
      <c r="C23116" s="5" t="s">
        <v>45</v>
      </c>
      <c r="D23116" s="3" t="s">
        <v>221</v>
      </c>
      <c r="E23116" s="3" t="s">
        <v>307</v>
      </c>
      <c r="F23116" s="7">
        <v>46190.77284238916</v>
      </c>
      <c r="G23116" s="3" t="s">
        <v>31758</v>
      </c>
    </row>
    <row r="23117">
      <c r="A23117" s="3" t="s">
        <v>39443</v>
      </c>
      <c r="B23117" s="3" t="s">
        <v>19098</v>
      </c>
      <c r="C23117" s="5" t="s">
        <v>221</v>
      </c>
      <c r="D23117" s="3" t="s">
        <v>614</v>
      </c>
      <c r="E23117" s="3" t="s">
        <v>118</v>
      </c>
      <c r="F23117" s="7">
        <v>46190.77631461138</v>
      </c>
      <c r="G23117" s="3" t="s">
        <v>31760</v>
      </c>
    </row>
    <row r="23118">
      <c r="A23118" s="3" t="s">
        <v>39444</v>
      </c>
      <c r="B23118" s="3" t="s">
        <v>19098</v>
      </c>
      <c r="C23118" s="5" t="s">
        <v>614</v>
      </c>
      <c r="D23118" s="3" t="s">
        <v>206</v>
      </c>
      <c r="E23118" s="3" t="s">
        <v>100</v>
      </c>
      <c r="F23118" s="7">
        <v>46190.779786833606</v>
      </c>
      <c r="G23118" s="3" t="s">
        <v>31762</v>
      </c>
    </row>
    <row r="23119">
      <c r="A23119" s="3" t="s">
        <v>39445</v>
      </c>
      <c r="B23119" s="3" t="s">
        <v>19098</v>
      </c>
      <c r="C23119" s="5" t="s">
        <v>206</v>
      </c>
      <c r="D23119" s="3" t="s">
        <v>68</v>
      </c>
      <c r="E23119" s="3" t="s">
        <v>100</v>
      </c>
      <c r="F23119" s="7">
        <v>46190.783259055825</v>
      </c>
      <c r="G23119" s="3" t="s">
        <v>31764</v>
      </c>
    </row>
    <row r="23120">
      <c r="A23120" s="3" t="s">
        <v>39446</v>
      </c>
      <c r="B23120" s="3" t="s">
        <v>19100</v>
      </c>
      <c r="C23120" s="5" t="s">
        <v>45</v>
      </c>
      <c r="D23120" s="3" t="s">
        <v>221</v>
      </c>
      <c r="E23120" s="3" t="s">
        <v>404</v>
      </c>
      <c r="F23120" s="7">
        <v>46190.84401723457</v>
      </c>
      <c r="G23120" s="3" t="s">
        <v>19435</v>
      </c>
    </row>
    <row r="23121">
      <c r="A23121" s="3" t="s">
        <v>39447</v>
      </c>
      <c r="B23121" s="3" t="s">
        <v>19100</v>
      </c>
      <c r="C23121" s="5" t="s">
        <v>221</v>
      </c>
      <c r="D23121" s="3" t="s">
        <v>195</v>
      </c>
      <c r="E23121" s="3" t="s">
        <v>404</v>
      </c>
      <c r="F23121" s="7">
        <v>46190.84748945679</v>
      </c>
      <c r="G23121" s="3" t="s">
        <v>39448</v>
      </c>
    </row>
    <row r="23122">
      <c r="A23122" s="3" t="s">
        <v>39449</v>
      </c>
      <c r="B23122" s="3" t="s">
        <v>19102</v>
      </c>
      <c r="C23122" s="5" t="s">
        <v>45</v>
      </c>
      <c r="D23122" s="3" t="s">
        <v>221</v>
      </c>
      <c r="E23122" s="3" t="s">
        <v>336</v>
      </c>
      <c r="F23122" s="7">
        <v>46190.915192079985</v>
      </c>
      <c r="G23122" s="3" t="s">
        <v>5303</v>
      </c>
    </row>
    <row r="23123">
      <c r="A23123" s="3" t="s">
        <v>39450</v>
      </c>
      <c r="B23123" s="3" t="s">
        <v>19102</v>
      </c>
      <c r="C23123" s="5" t="s">
        <v>221</v>
      </c>
      <c r="D23123" s="3" t="s">
        <v>614</v>
      </c>
      <c r="E23123" s="3" t="s">
        <v>118</v>
      </c>
      <c r="F23123" s="7">
        <v>46190.918664302204</v>
      </c>
      <c r="G23123" s="3" t="s">
        <v>5305</v>
      </c>
    </row>
    <row r="23124">
      <c r="A23124" s="3" t="s">
        <v>39451</v>
      </c>
      <c r="B23124" s="3" t="s">
        <v>19102</v>
      </c>
      <c r="C23124" s="5" t="s">
        <v>614</v>
      </c>
      <c r="D23124" s="3" t="s">
        <v>206</v>
      </c>
      <c r="E23124" s="3" t="s">
        <v>100</v>
      </c>
      <c r="F23124" s="7">
        <v>46190.92213652443</v>
      </c>
      <c r="G23124" s="3" t="s">
        <v>5308</v>
      </c>
    </row>
    <row r="23125">
      <c r="A23125" s="3" t="s">
        <v>39452</v>
      </c>
      <c r="B23125" s="3" t="s">
        <v>19102</v>
      </c>
      <c r="C23125" s="5" t="s">
        <v>206</v>
      </c>
      <c r="D23125" s="3" t="s">
        <v>68</v>
      </c>
      <c r="E23125" s="3" t="s">
        <v>100</v>
      </c>
      <c r="F23125" s="7">
        <v>46190.92560874665</v>
      </c>
      <c r="G23125" s="3" t="s">
        <v>5311</v>
      </c>
    </row>
    <row r="23126">
      <c r="A23126" s="3" t="s">
        <v>39453</v>
      </c>
      <c r="B23126" s="3" t="s">
        <v>19104</v>
      </c>
      <c r="C23126" s="5" t="s">
        <v>45</v>
      </c>
      <c r="D23126" s="3" t="s">
        <v>221</v>
      </c>
      <c r="E23126" s="3" t="s">
        <v>293</v>
      </c>
      <c r="F23126" s="7">
        <v>46190.986366925405</v>
      </c>
      <c r="G23126" s="3" t="s">
        <v>5366</v>
      </c>
    </row>
    <row r="23127">
      <c r="A23127" s="3" t="s">
        <v>39454</v>
      </c>
      <c r="B23127" s="3" t="s">
        <v>19104</v>
      </c>
      <c r="C23127" s="5" t="s">
        <v>221</v>
      </c>
      <c r="D23127" s="3" t="s">
        <v>614</v>
      </c>
      <c r="E23127" s="3" t="s">
        <v>118</v>
      </c>
      <c r="F23127" s="7">
        <v>46190.98983914762</v>
      </c>
      <c r="G23127" s="3" t="s">
        <v>5369</v>
      </c>
    </row>
    <row r="23128">
      <c r="A23128" s="3" t="s">
        <v>39455</v>
      </c>
      <c r="B23128" s="3" t="s">
        <v>19104</v>
      </c>
      <c r="C23128" s="5" t="s">
        <v>614</v>
      </c>
      <c r="D23128" s="3" t="s">
        <v>206</v>
      </c>
      <c r="E23128" s="3" t="s">
        <v>100</v>
      </c>
      <c r="F23128" s="7">
        <v>46190.99331136985</v>
      </c>
      <c r="G23128" s="3" t="s">
        <v>5372</v>
      </c>
    </row>
    <row r="23129">
      <c r="A23129" s="3" t="s">
        <v>39456</v>
      </c>
      <c r="B23129" s="3" t="s">
        <v>19104</v>
      </c>
      <c r="C23129" s="5" t="s">
        <v>206</v>
      </c>
      <c r="D23129" s="3" t="s">
        <v>68</v>
      </c>
      <c r="E23129" s="3" t="s">
        <v>100</v>
      </c>
      <c r="F23129" s="7">
        <v>46190.99678359207</v>
      </c>
      <c r="G23129" s="3" t="s">
        <v>5374</v>
      </c>
    </row>
    <row r="23130">
      <c r="A23130" s="3" t="s">
        <v>39457</v>
      </c>
      <c r="B23130" s="3" t="s">
        <v>19107</v>
      </c>
      <c r="C23130" s="5" t="s">
        <v>45</v>
      </c>
      <c r="D23130" s="3" t="s">
        <v>221</v>
      </c>
      <c r="E23130" s="3" t="s">
        <v>145</v>
      </c>
      <c r="F23130" s="7">
        <v>46191.05754177082</v>
      </c>
      <c r="G23130" s="3" t="s">
        <v>14549</v>
      </c>
    </row>
    <row r="23131">
      <c r="A23131" s="3" t="s">
        <v>39458</v>
      </c>
      <c r="B23131" s="3" t="s">
        <v>19107</v>
      </c>
      <c r="C23131" s="5" t="s">
        <v>221</v>
      </c>
      <c r="D23131" s="3" t="s">
        <v>614</v>
      </c>
      <c r="E23131" s="3" t="s">
        <v>118</v>
      </c>
      <c r="F23131" s="7">
        <v>46191.061013993036</v>
      </c>
      <c r="G23131" s="3" t="s">
        <v>14552</v>
      </c>
    </row>
    <row r="23132">
      <c r="A23132" s="3" t="s">
        <v>39459</v>
      </c>
      <c r="B23132" s="3" t="s">
        <v>19107</v>
      </c>
      <c r="C23132" s="5" t="s">
        <v>614</v>
      </c>
      <c r="D23132" s="3" t="s">
        <v>206</v>
      </c>
      <c r="E23132" s="3" t="s">
        <v>100</v>
      </c>
      <c r="F23132" s="7">
        <v>46191.06448621526</v>
      </c>
      <c r="G23132" s="3" t="s">
        <v>14555</v>
      </c>
    </row>
    <row r="23133">
      <c r="A23133" s="3" t="s">
        <v>39460</v>
      </c>
      <c r="B23133" s="3" t="s">
        <v>19107</v>
      </c>
      <c r="C23133" s="5" t="s">
        <v>206</v>
      </c>
      <c r="D23133" s="3" t="s">
        <v>68</v>
      </c>
      <c r="E23133" s="3" t="s">
        <v>100</v>
      </c>
      <c r="F23133" s="7">
        <v>46191.06795843748</v>
      </c>
      <c r="G23133" s="3" t="s">
        <v>14558</v>
      </c>
    </row>
    <row r="23134">
      <c r="A23134" s="3" t="s">
        <v>39461</v>
      </c>
      <c r="B23134" s="3" t="s">
        <v>19109</v>
      </c>
      <c r="C23134" s="5" t="s">
        <v>45</v>
      </c>
      <c r="D23134" s="3" t="s">
        <v>221</v>
      </c>
      <c r="E23134" s="3" t="s">
        <v>913</v>
      </c>
      <c r="F23134" s="7">
        <v>46191.12871661623</v>
      </c>
      <c r="G23134" s="3" t="s">
        <v>16811</v>
      </c>
    </row>
    <row r="23135">
      <c r="A23135" s="3" t="s">
        <v>39462</v>
      </c>
      <c r="B23135" s="3" t="s">
        <v>19109</v>
      </c>
      <c r="C23135" s="5" t="s">
        <v>221</v>
      </c>
      <c r="D23135" s="3" t="s">
        <v>614</v>
      </c>
      <c r="E23135" s="3" t="s">
        <v>118</v>
      </c>
      <c r="F23135" s="7">
        <v>46191.13218883845</v>
      </c>
      <c r="G23135" s="3" t="s">
        <v>16814</v>
      </c>
    </row>
    <row r="23136">
      <c r="A23136" s="3" t="s">
        <v>39463</v>
      </c>
      <c r="B23136" s="3" t="s">
        <v>19109</v>
      </c>
      <c r="C23136" s="5" t="s">
        <v>614</v>
      </c>
      <c r="D23136" s="3" t="s">
        <v>206</v>
      </c>
      <c r="E23136" s="3" t="s">
        <v>100</v>
      </c>
      <c r="F23136" s="7">
        <v>46191.135661060674</v>
      </c>
      <c r="G23136" s="3" t="s">
        <v>16817</v>
      </c>
    </row>
    <row r="23137">
      <c r="A23137" s="3" t="s">
        <v>39464</v>
      </c>
      <c r="B23137" s="3" t="s">
        <v>19109</v>
      </c>
      <c r="C23137" s="5" t="s">
        <v>206</v>
      </c>
      <c r="D23137" s="3" t="s">
        <v>68</v>
      </c>
      <c r="E23137" s="3" t="s">
        <v>100</v>
      </c>
      <c r="F23137" s="7">
        <v>46191.13913328289</v>
      </c>
      <c r="G23137" s="3" t="s">
        <v>16820</v>
      </c>
    </row>
    <row r="23138">
      <c r="A23138" s="3" t="s">
        <v>39465</v>
      </c>
      <c r="B23138" s="3" t="s">
        <v>19112</v>
      </c>
      <c r="C23138" s="5" t="s">
        <v>45</v>
      </c>
      <c r="D23138" s="3" t="s">
        <v>221</v>
      </c>
      <c r="E23138" s="3" t="s">
        <v>993</v>
      </c>
      <c r="F23138" s="7">
        <v>46191.19989146165</v>
      </c>
      <c r="G23138" s="3" t="s">
        <v>21463</v>
      </c>
    </row>
    <row r="23139">
      <c r="A23139" s="3" t="s">
        <v>39466</v>
      </c>
      <c r="B23139" s="3" t="s">
        <v>19112</v>
      </c>
      <c r="C23139" s="5" t="s">
        <v>221</v>
      </c>
      <c r="D23139" s="3" t="s">
        <v>614</v>
      </c>
      <c r="E23139" s="3" t="s">
        <v>118</v>
      </c>
      <c r="F23139" s="7">
        <v>46191.20336368387</v>
      </c>
      <c r="G23139" s="3" t="s">
        <v>21466</v>
      </c>
    </row>
    <row r="23140">
      <c r="A23140" s="3" t="s">
        <v>39467</v>
      </c>
      <c r="B23140" s="3" t="s">
        <v>19112</v>
      </c>
      <c r="C23140" s="5" t="s">
        <v>614</v>
      </c>
      <c r="D23140" s="3" t="s">
        <v>206</v>
      </c>
      <c r="E23140" s="3" t="s">
        <v>100</v>
      </c>
      <c r="F23140" s="7">
        <v>46191.206835906094</v>
      </c>
      <c r="G23140" s="3" t="s">
        <v>21468</v>
      </c>
    </row>
    <row r="23141">
      <c r="A23141" s="3" t="s">
        <v>39468</v>
      </c>
      <c r="B23141" s="3" t="s">
        <v>19112</v>
      </c>
      <c r="C23141" s="5" t="s">
        <v>206</v>
      </c>
      <c r="D23141" s="3" t="s">
        <v>68</v>
      </c>
      <c r="E23141" s="3" t="s">
        <v>100</v>
      </c>
      <c r="F23141" s="7">
        <v>46191.21030812831</v>
      </c>
      <c r="G23141" s="3" t="s">
        <v>21471</v>
      </c>
    </row>
    <row r="23142">
      <c r="A23142" s="3" t="s">
        <v>39469</v>
      </c>
      <c r="B23142" s="3" t="s">
        <v>19113</v>
      </c>
      <c r="C23142" s="5" t="s">
        <v>45</v>
      </c>
      <c r="D23142" s="3" t="s">
        <v>221</v>
      </c>
      <c r="E23142" s="3" t="s">
        <v>616</v>
      </c>
      <c r="F23142" s="7">
        <v>46191.27106630706</v>
      </c>
      <c r="G23142" s="3" t="s">
        <v>5420</v>
      </c>
    </row>
    <row r="23143">
      <c r="A23143" s="3" t="s">
        <v>39470</v>
      </c>
      <c r="B23143" s="3" t="s">
        <v>19113</v>
      </c>
      <c r="C23143" s="5" t="s">
        <v>221</v>
      </c>
      <c r="D23143" s="3" t="s">
        <v>614</v>
      </c>
      <c r="E23143" s="3" t="s">
        <v>118</v>
      </c>
      <c r="F23143" s="7">
        <v>46191.27453852928</v>
      </c>
      <c r="G23143" s="3" t="s">
        <v>5422</v>
      </c>
    </row>
    <row r="23144">
      <c r="A23144" s="3" t="s">
        <v>39471</v>
      </c>
      <c r="B23144" s="3" t="s">
        <v>19113</v>
      </c>
      <c r="C23144" s="5" t="s">
        <v>614</v>
      </c>
      <c r="D23144" s="3" t="s">
        <v>206</v>
      </c>
      <c r="E23144" s="3" t="s">
        <v>100</v>
      </c>
      <c r="F23144" s="7">
        <v>46191.27801075151</v>
      </c>
      <c r="G23144" s="3" t="s">
        <v>5425</v>
      </c>
    </row>
    <row r="23145">
      <c r="A23145" s="3" t="s">
        <v>39472</v>
      </c>
      <c r="B23145" s="3" t="s">
        <v>19113</v>
      </c>
      <c r="C23145" s="5" t="s">
        <v>206</v>
      </c>
      <c r="D23145" s="3" t="s">
        <v>68</v>
      </c>
      <c r="E23145" s="3" t="s">
        <v>100</v>
      </c>
      <c r="F23145" s="7">
        <v>46191.281482973725</v>
      </c>
      <c r="G23145" s="3" t="s">
        <v>5428</v>
      </c>
    </row>
    <row r="23146">
      <c r="A23146" s="3" t="s">
        <v>39473</v>
      </c>
      <c r="B23146" s="3" t="s">
        <v>19115</v>
      </c>
      <c r="C23146" s="5" t="s">
        <v>45</v>
      </c>
      <c r="D23146" s="3" t="s">
        <v>221</v>
      </c>
      <c r="E23146" s="3" t="s">
        <v>269</v>
      </c>
      <c r="F23146" s="7">
        <v>46191.34224115247</v>
      </c>
      <c r="G23146" s="3" t="s">
        <v>5431</v>
      </c>
    </row>
    <row r="23147">
      <c r="A23147" s="3" t="s">
        <v>39474</v>
      </c>
      <c r="B23147" s="3" t="s">
        <v>19115</v>
      </c>
      <c r="C23147" s="5" t="s">
        <v>221</v>
      </c>
      <c r="D23147" s="3" t="s">
        <v>614</v>
      </c>
      <c r="E23147" s="3" t="s">
        <v>118</v>
      </c>
      <c r="F23147" s="7">
        <v>46191.34571337469</v>
      </c>
      <c r="G23147" s="3" t="s">
        <v>5434</v>
      </c>
    </row>
    <row r="23148">
      <c r="A23148" s="3" t="s">
        <v>39475</v>
      </c>
      <c r="B23148" s="3" t="s">
        <v>19115</v>
      </c>
      <c r="C23148" s="5" t="s">
        <v>614</v>
      </c>
      <c r="D23148" s="3" t="s">
        <v>206</v>
      </c>
      <c r="E23148" s="3" t="s">
        <v>100</v>
      </c>
      <c r="F23148" s="7">
        <v>46191.34918559692</v>
      </c>
      <c r="G23148" s="3" t="s">
        <v>5437</v>
      </c>
    </row>
    <row r="23149">
      <c r="A23149" s="3" t="s">
        <v>39476</v>
      </c>
      <c r="B23149" s="3" t="s">
        <v>19115</v>
      </c>
      <c r="C23149" s="5" t="s">
        <v>206</v>
      </c>
      <c r="D23149" s="3" t="s">
        <v>68</v>
      </c>
      <c r="E23149" s="3" t="s">
        <v>100</v>
      </c>
      <c r="F23149" s="7">
        <v>46191.35265781914</v>
      </c>
      <c r="G23149" s="3" t="s">
        <v>5440</v>
      </c>
    </row>
    <row r="23150">
      <c r="A23150" s="3" t="s">
        <v>39477</v>
      </c>
      <c r="B23150" s="3" t="s">
        <v>19117</v>
      </c>
      <c r="C23150" s="5" t="s">
        <v>45</v>
      </c>
      <c r="D23150" s="3" t="s">
        <v>221</v>
      </c>
      <c r="E23150" s="3" t="s">
        <v>524</v>
      </c>
      <c r="F23150" s="7">
        <v>46191.41341599789</v>
      </c>
      <c r="G23150" s="3" t="s">
        <v>22532</v>
      </c>
    </row>
    <row r="23151">
      <c r="A23151" s="3" t="s">
        <v>39478</v>
      </c>
      <c r="B23151" s="3" t="s">
        <v>19117</v>
      </c>
      <c r="C23151" s="5" t="s">
        <v>221</v>
      </c>
      <c r="D23151" s="3" t="s">
        <v>614</v>
      </c>
      <c r="E23151" s="3" t="s">
        <v>118</v>
      </c>
      <c r="F23151" s="7">
        <v>46191.41688822011</v>
      </c>
      <c r="G23151" s="3" t="s">
        <v>22534</v>
      </c>
    </row>
    <row r="23152">
      <c r="A23152" s="3" t="s">
        <v>39479</v>
      </c>
      <c r="B23152" s="3" t="s">
        <v>19117</v>
      </c>
      <c r="C23152" s="5" t="s">
        <v>614</v>
      </c>
      <c r="D23152" s="3" t="s">
        <v>206</v>
      </c>
      <c r="E23152" s="3" t="s">
        <v>100</v>
      </c>
      <c r="F23152" s="7">
        <v>46191.42036044234</v>
      </c>
      <c r="G23152" s="3" t="s">
        <v>22537</v>
      </c>
    </row>
    <row r="23153">
      <c r="A23153" s="3" t="s">
        <v>39480</v>
      </c>
      <c r="B23153" s="3" t="s">
        <v>19117</v>
      </c>
      <c r="C23153" s="5" t="s">
        <v>206</v>
      </c>
      <c r="D23153" s="3" t="s">
        <v>68</v>
      </c>
      <c r="E23153" s="3" t="s">
        <v>100</v>
      </c>
      <c r="F23153" s="7">
        <v>46191.42383266456</v>
      </c>
      <c r="G23153" s="3" t="s">
        <v>22540</v>
      </c>
    </row>
    <row r="23154">
      <c r="A23154" s="3" t="s">
        <v>39481</v>
      </c>
      <c r="B23154" s="3" t="s">
        <v>19119</v>
      </c>
      <c r="C23154" s="5" t="s">
        <v>45</v>
      </c>
      <c r="D23154" s="3" t="s">
        <v>221</v>
      </c>
      <c r="E23154" s="3" t="s">
        <v>643</v>
      </c>
      <c r="F23154" s="7">
        <v>46191.48459084331</v>
      </c>
      <c r="G23154" s="3" t="s">
        <v>24674</v>
      </c>
    </row>
    <row r="23155">
      <c r="A23155" s="3" t="s">
        <v>39482</v>
      </c>
      <c r="B23155" s="3" t="s">
        <v>19119</v>
      </c>
      <c r="C23155" s="5" t="s">
        <v>221</v>
      </c>
      <c r="D23155" s="3" t="s">
        <v>614</v>
      </c>
      <c r="E23155" s="3" t="s">
        <v>118</v>
      </c>
      <c r="F23155" s="7">
        <v>46191.48806306553</v>
      </c>
      <c r="G23155" s="3" t="s">
        <v>24676</v>
      </c>
    </row>
    <row r="23156">
      <c r="A23156" s="3" t="s">
        <v>39483</v>
      </c>
      <c r="B23156" s="3" t="s">
        <v>19119</v>
      </c>
      <c r="C23156" s="5" t="s">
        <v>614</v>
      </c>
      <c r="D23156" s="3" t="s">
        <v>206</v>
      </c>
      <c r="E23156" s="3" t="s">
        <v>100</v>
      </c>
      <c r="F23156" s="7">
        <v>46191.49153528776</v>
      </c>
      <c r="G23156" s="3" t="s">
        <v>24678</v>
      </c>
    </row>
    <row r="23157">
      <c r="A23157" s="3" t="s">
        <v>39484</v>
      </c>
      <c r="B23157" s="3" t="s">
        <v>19119</v>
      </c>
      <c r="C23157" s="5" t="s">
        <v>206</v>
      </c>
      <c r="D23157" s="3" t="s">
        <v>68</v>
      </c>
      <c r="E23157" s="3" t="s">
        <v>100</v>
      </c>
      <c r="F23157" s="7">
        <v>46191.49500750998</v>
      </c>
      <c r="G23157" s="3" t="s">
        <v>24680</v>
      </c>
    </row>
    <row r="23158">
      <c r="A23158" s="3" t="s">
        <v>39485</v>
      </c>
      <c r="B23158" s="3" t="s">
        <v>19122</v>
      </c>
      <c r="C23158" s="5" t="s">
        <v>45</v>
      </c>
      <c r="D23158" s="3" t="s">
        <v>221</v>
      </c>
      <c r="E23158" s="3" t="s">
        <v>501</v>
      </c>
      <c r="F23158" s="7">
        <v>46191.55576568872</v>
      </c>
      <c r="G23158" s="3" t="s">
        <v>24554</v>
      </c>
    </row>
    <row r="23159">
      <c r="A23159" s="3" t="s">
        <v>39486</v>
      </c>
      <c r="B23159" s="3" t="s">
        <v>19122</v>
      </c>
      <c r="C23159" s="5" t="s">
        <v>221</v>
      </c>
      <c r="D23159" s="3" t="s">
        <v>614</v>
      </c>
      <c r="E23159" s="3" t="s">
        <v>118</v>
      </c>
      <c r="F23159" s="7">
        <v>46191.55923791094</v>
      </c>
      <c r="G23159" s="3" t="s">
        <v>24556</v>
      </c>
    </row>
    <row r="23160">
      <c r="A23160" s="3" t="s">
        <v>39487</v>
      </c>
      <c r="B23160" s="3" t="s">
        <v>19122</v>
      </c>
      <c r="C23160" s="5" t="s">
        <v>614</v>
      </c>
      <c r="D23160" s="3" t="s">
        <v>206</v>
      </c>
      <c r="E23160" s="3" t="s">
        <v>100</v>
      </c>
      <c r="F23160" s="7">
        <v>46191.56271013316</v>
      </c>
      <c r="G23160" s="3" t="s">
        <v>24558</v>
      </c>
    </row>
    <row r="23161">
      <c r="A23161" s="3" t="s">
        <v>39488</v>
      </c>
      <c r="B23161" s="3" t="s">
        <v>19122</v>
      </c>
      <c r="C23161" s="5" t="s">
        <v>206</v>
      </c>
      <c r="D23161" s="3" t="s">
        <v>68</v>
      </c>
      <c r="E23161" s="3" t="s">
        <v>100</v>
      </c>
      <c r="F23161" s="7">
        <v>46191.56618235538</v>
      </c>
      <c r="G23161" s="3" t="s">
        <v>24560</v>
      </c>
    </row>
    <row r="23162">
      <c r="A23162" s="3" t="s">
        <v>39489</v>
      </c>
      <c r="B23162" s="3" t="s">
        <v>19124</v>
      </c>
      <c r="C23162" s="5" t="s">
        <v>45</v>
      </c>
      <c r="D23162" s="3" t="s">
        <v>221</v>
      </c>
      <c r="E23162" s="3" t="s">
        <v>949</v>
      </c>
      <c r="F23162" s="7">
        <v>46191.62694053414</v>
      </c>
      <c r="G23162" s="3" t="s">
        <v>18542</v>
      </c>
    </row>
    <row r="23163">
      <c r="A23163" s="3" t="s">
        <v>39490</v>
      </c>
      <c r="B23163" s="3" t="s">
        <v>19124</v>
      </c>
      <c r="C23163" s="5" t="s">
        <v>221</v>
      </c>
      <c r="D23163" s="3" t="s">
        <v>614</v>
      </c>
      <c r="E23163" s="3" t="s">
        <v>118</v>
      </c>
      <c r="F23163" s="7">
        <v>46191.630412756356</v>
      </c>
      <c r="G23163" s="3" t="s">
        <v>18545</v>
      </c>
    </row>
    <row r="23164">
      <c r="A23164" s="3" t="s">
        <v>39491</v>
      </c>
      <c r="B23164" s="3" t="s">
        <v>19124</v>
      </c>
      <c r="C23164" s="5" t="s">
        <v>614</v>
      </c>
      <c r="D23164" s="3" t="s">
        <v>206</v>
      </c>
      <c r="E23164" s="3" t="s">
        <v>100</v>
      </c>
      <c r="F23164" s="7">
        <v>46191.63388497858</v>
      </c>
      <c r="G23164" s="3" t="s">
        <v>18548</v>
      </c>
    </row>
    <row r="23165">
      <c r="A23165" s="3" t="s">
        <v>39492</v>
      </c>
      <c r="B23165" s="3" t="s">
        <v>19124</v>
      </c>
      <c r="C23165" s="5" t="s">
        <v>206</v>
      </c>
      <c r="D23165" s="3" t="s">
        <v>68</v>
      </c>
      <c r="E23165" s="3" t="s">
        <v>100</v>
      </c>
      <c r="F23165" s="7">
        <v>46191.6373572008</v>
      </c>
      <c r="G23165" s="3" t="s">
        <v>18550</v>
      </c>
    </row>
    <row r="23166">
      <c r="A23166" s="3" t="s">
        <v>39493</v>
      </c>
      <c r="B23166" s="3" t="s">
        <v>19127</v>
      </c>
      <c r="C23166" s="5" t="s">
        <v>45</v>
      </c>
      <c r="D23166" s="3" t="s">
        <v>221</v>
      </c>
      <c r="E23166" s="3" t="s">
        <v>557</v>
      </c>
      <c r="F23166" s="7">
        <v>46191.69811537956</v>
      </c>
      <c r="G23166" s="3" t="s">
        <v>2770</v>
      </c>
    </row>
    <row r="23167">
      <c r="A23167" s="3" t="s">
        <v>39494</v>
      </c>
      <c r="B23167" s="3" t="s">
        <v>19127</v>
      </c>
      <c r="C23167" s="5" t="s">
        <v>221</v>
      </c>
      <c r="D23167" s="3" t="s">
        <v>181</v>
      </c>
      <c r="E23167" s="3" t="s">
        <v>118</v>
      </c>
      <c r="F23167" s="7">
        <v>46191.701587601776</v>
      </c>
      <c r="G23167" s="3" t="s">
        <v>2774</v>
      </c>
    </row>
    <row r="23168">
      <c r="A23168" s="3" t="s">
        <v>39495</v>
      </c>
      <c r="B23168" s="3" t="s">
        <v>19130</v>
      </c>
      <c r="C23168" s="5" t="s">
        <v>45</v>
      </c>
      <c r="D23168" s="3" t="s">
        <v>221</v>
      </c>
      <c r="E23168" s="3" t="s">
        <v>877</v>
      </c>
      <c r="F23168" s="7">
        <v>46191.76929022497</v>
      </c>
      <c r="G23168" s="3" t="s">
        <v>28222</v>
      </c>
    </row>
    <row r="23169">
      <c r="A23169" s="3" t="s">
        <v>39496</v>
      </c>
      <c r="B23169" s="3" t="s">
        <v>19130</v>
      </c>
      <c r="C23169" s="5" t="s">
        <v>221</v>
      </c>
      <c r="D23169" s="3" t="s">
        <v>614</v>
      </c>
      <c r="E23169" s="3" t="s">
        <v>118</v>
      </c>
      <c r="F23169" s="7">
        <v>46191.77276244719</v>
      </c>
      <c r="G23169" s="3" t="s">
        <v>28224</v>
      </c>
    </row>
    <row r="23170">
      <c r="A23170" s="3" t="s">
        <v>39497</v>
      </c>
      <c r="B23170" s="3" t="s">
        <v>19130</v>
      </c>
      <c r="C23170" s="5" t="s">
        <v>614</v>
      </c>
      <c r="D23170" s="3" t="s">
        <v>206</v>
      </c>
      <c r="E23170" s="3" t="s">
        <v>100</v>
      </c>
      <c r="F23170" s="7">
        <v>46191.776234669414</v>
      </c>
      <c r="G23170" s="3" t="s">
        <v>28226</v>
      </c>
    </row>
    <row r="23171">
      <c r="A23171" s="3" t="s">
        <v>39498</v>
      </c>
      <c r="B23171" s="3" t="s">
        <v>19130</v>
      </c>
      <c r="C23171" s="5" t="s">
        <v>206</v>
      </c>
      <c r="D23171" s="3" t="s">
        <v>68</v>
      </c>
      <c r="E23171" s="3" t="s">
        <v>100</v>
      </c>
      <c r="F23171" s="7">
        <v>46191.77970689163</v>
      </c>
      <c r="G23171" s="3" t="s">
        <v>28228</v>
      </c>
    </row>
    <row r="23172">
      <c r="A23172" s="3" t="s">
        <v>39499</v>
      </c>
      <c r="B23172" s="3" t="s">
        <v>19133</v>
      </c>
      <c r="C23172" s="5" t="s">
        <v>45</v>
      </c>
      <c r="D23172" s="3" t="s">
        <v>221</v>
      </c>
      <c r="E23172" s="3" t="s">
        <v>414</v>
      </c>
      <c r="F23172" s="7">
        <v>46191.84046507038</v>
      </c>
      <c r="G23172" s="3" t="s">
        <v>5456</v>
      </c>
    </row>
    <row r="23173">
      <c r="A23173" s="3" t="s">
        <v>39500</v>
      </c>
      <c r="B23173" s="3" t="s">
        <v>19133</v>
      </c>
      <c r="C23173" s="5" t="s">
        <v>221</v>
      </c>
      <c r="D23173" s="3" t="s">
        <v>614</v>
      </c>
      <c r="E23173" s="3" t="s">
        <v>118</v>
      </c>
      <c r="F23173" s="7">
        <v>46191.8439372926</v>
      </c>
      <c r="G23173" s="3" t="s">
        <v>5459</v>
      </c>
    </row>
    <row r="23174">
      <c r="A23174" s="3" t="s">
        <v>39501</v>
      </c>
      <c r="B23174" s="3" t="s">
        <v>19133</v>
      </c>
      <c r="C23174" s="5" t="s">
        <v>614</v>
      </c>
      <c r="D23174" s="3" t="s">
        <v>206</v>
      </c>
      <c r="E23174" s="3" t="s">
        <v>100</v>
      </c>
      <c r="F23174" s="7">
        <v>46191.84740951483</v>
      </c>
      <c r="G23174" s="3" t="s">
        <v>5461</v>
      </c>
    </row>
    <row r="23175">
      <c r="A23175" s="3" t="s">
        <v>39502</v>
      </c>
      <c r="B23175" s="3" t="s">
        <v>19133</v>
      </c>
      <c r="C23175" s="5" t="s">
        <v>206</v>
      </c>
      <c r="D23175" s="3" t="s">
        <v>68</v>
      </c>
      <c r="E23175" s="3" t="s">
        <v>100</v>
      </c>
      <c r="F23175" s="7">
        <v>46191.850881737046</v>
      </c>
      <c r="G23175" s="3" t="s">
        <v>5464</v>
      </c>
    </row>
    <row r="23176">
      <c r="A23176" s="3" t="s">
        <v>39503</v>
      </c>
      <c r="B23176" s="3" t="s">
        <v>19137</v>
      </c>
      <c r="C23176" s="5" t="s">
        <v>45</v>
      </c>
      <c r="D23176" s="3" t="s">
        <v>221</v>
      </c>
      <c r="E23176" s="3" t="s">
        <v>742</v>
      </c>
      <c r="F23176" s="7">
        <v>46191.9116399158</v>
      </c>
      <c r="G23176" s="3" t="s">
        <v>4460</v>
      </c>
    </row>
    <row r="23177">
      <c r="A23177" s="3" t="s">
        <v>39504</v>
      </c>
      <c r="B23177" s="3" t="s">
        <v>19137</v>
      </c>
      <c r="C23177" s="5" t="s">
        <v>221</v>
      </c>
      <c r="D23177" s="3" t="s">
        <v>614</v>
      </c>
      <c r="E23177" s="3" t="s">
        <v>118</v>
      </c>
      <c r="F23177" s="7">
        <v>46191.91511213802</v>
      </c>
      <c r="G23177" s="3" t="s">
        <v>4463</v>
      </c>
    </row>
    <row r="23178">
      <c r="A23178" s="3" t="s">
        <v>39505</v>
      </c>
      <c r="B23178" s="3" t="s">
        <v>19137</v>
      </c>
      <c r="C23178" s="5" t="s">
        <v>614</v>
      </c>
      <c r="D23178" s="3" t="s">
        <v>206</v>
      </c>
      <c r="E23178" s="3" t="s">
        <v>100</v>
      </c>
      <c r="F23178" s="7">
        <v>46191.918584360246</v>
      </c>
      <c r="G23178" s="3" t="s">
        <v>4466</v>
      </c>
    </row>
    <row r="23179">
      <c r="A23179" s="3" t="s">
        <v>39506</v>
      </c>
      <c r="B23179" s="3" t="s">
        <v>19137</v>
      </c>
      <c r="C23179" s="5" t="s">
        <v>206</v>
      </c>
      <c r="D23179" s="3" t="s">
        <v>68</v>
      </c>
      <c r="E23179" s="3" t="s">
        <v>100</v>
      </c>
      <c r="F23179" s="7">
        <v>46191.922056582465</v>
      </c>
      <c r="G23179" s="3" t="s">
        <v>4469</v>
      </c>
    </row>
    <row r="23180">
      <c r="A23180" s="3" t="s">
        <v>39507</v>
      </c>
      <c r="B23180" s="3" t="s">
        <v>19141</v>
      </c>
      <c r="C23180" s="5" t="s">
        <v>45</v>
      </c>
      <c r="D23180" s="3" t="s">
        <v>221</v>
      </c>
      <c r="E23180" s="3" t="s">
        <v>1008</v>
      </c>
      <c r="F23180" s="7">
        <v>46191.98281476121</v>
      </c>
      <c r="G23180" s="3" t="s">
        <v>5479</v>
      </c>
    </row>
    <row r="23181">
      <c r="A23181" s="3" t="s">
        <v>39508</v>
      </c>
      <c r="B23181" s="3" t="s">
        <v>19141</v>
      </c>
      <c r="C23181" s="5" t="s">
        <v>221</v>
      </c>
      <c r="D23181" s="3" t="s">
        <v>614</v>
      </c>
      <c r="E23181" s="3" t="s">
        <v>118</v>
      </c>
      <c r="F23181" s="7">
        <v>46191.98628698343</v>
      </c>
      <c r="G23181" s="3" t="s">
        <v>5482</v>
      </c>
    </row>
    <row r="23182">
      <c r="A23182" s="3" t="s">
        <v>39509</v>
      </c>
      <c r="B23182" s="3" t="s">
        <v>19141</v>
      </c>
      <c r="C23182" s="5" t="s">
        <v>614</v>
      </c>
      <c r="D23182" s="3" t="s">
        <v>206</v>
      </c>
      <c r="E23182" s="3" t="s">
        <v>100</v>
      </c>
      <c r="F23182" s="7">
        <v>46191.98975920566</v>
      </c>
      <c r="G23182" s="3" t="s">
        <v>5484</v>
      </c>
    </row>
    <row r="23183">
      <c r="A23183" s="3" t="s">
        <v>39510</v>
      </c>
      <c r="B23183" s="3" t="s">
        <v>19141</v>
      </c>
      <c r="C23183" s="5" t="s">
        <v>206</v>
      </c>
      <c r="D23183" s="3" t="s">
        <v>68</v>
      </c>
      <c r="E23183" s="3" t="s">
        <v>100</v>
      </c>
      <c r="F23183" s="7">
        <v>46191.99323142788</v>
      </c>
      <c r="G23183" s="3" t="s">
        <v>5487</v>
      </c>
    </row>
    <row r="23184">
      <c r="A23184" s="3" t="s">
        <v>39511</v>
      </c>
      <c r="B23184" s="3" t="s">
        <v>19144</v>
      </c>
      <c r="C23184" s="5" t="s">
        <v>45</v>
      </c>
      <c r="D23184" s="3" t="s">
        <v>221</v>
      </c>
      <c r="E23184" s="3" t="s">
        <v>151</v>
      </c>
      <c r="F23184" s="7">
        <v>46192.053989606626</v>
      </c>
      <c r="G23184" s="3" t="s">
        <v>2770</v>
      </c>
    </row>
    <row r="23185">
      <c r="A23185" s="3" t="s">
        <v>39512</v>
      </c>
      <c r="B23185" s="3" t="s">
        <v>19144</v>
      </c>
      <c r="C23185" s="5" t="s">
        <v>221</v>
      </c>
      <c r="D23185" s="3" t="s">
        <v>181</v>
      </c>
      <c r="E23185" s="3" t="s">
        <v>118</v>
      </c>
      <c r="F23185" s="7">
        <v>46192.057461828845</v>
      </c>
      <c r="G23185" s="3" t="s">
        <v>2774</v>
      </c>
    </row>
    <row r="23186">
      <c r="A23186" s="3" t="s">
        <v>39513</v>
      </c>
      <c r="B23186" s="3" t="s">
        <v>19147</v>
      </c>
      <c r="C23186" s="5" t="s">
        <v>45</v>
      </c>
      <c r="D23186" s="3" t="s">
        <v>221</v>
      </c>
      <c r="E23186" s="3" t="s">
        <v>269</v>
      </c>
      <c r="F23186" s="7">
        <v>46192.125164452045</v>
      </c>
      <c r="G23186" s="3" t="s">
        <v>39514</v>
      </c>
    </row>
    <row r="23187">
      <c r="A23187" s="3" t="s">
        <v>39515</v>
      </c>
      <c r="B23187" s="3" t="s">
        <v>19147</v>
      </c>
      <c r="C23187" s="5" t="s">
        <v>221</v>
      </c>
      <c r="D23187" s="3" t="s">
        <v>614</v>
      </c>
      <c r="E23187" s="3" t="s">
        <v>118</v>
      </c>
      <c r="F23187" s="7">
        <v>46192.128636674264</v>
      </c>
      <c r="G23187" s="3" t="s">
        <v>39516</v>
      </c>
    </row>
    <row r="23188">
      <c r="A23188" s="3" t="s">
        <v>39517</v>
      </c>
      <c r="B23188" s="3" t="s">
        <v>19147</v>
      </c>
      <c r="C23188" s="5" t="s">
        <v>614</v>
      </c>
      <c r="D23188" s="3" t="s">
        <v>206</v>
      </c>
      <c r="E23188" s="3" t="s">
        <v>100</v>
      </c>
      <c r="F23188" s="7">
        <v>46192.13210889649</v>
      </c>
      <c r="G23188" s="3" t="s">
        <v>39518</v>
      </c>
    </row>
    <row r="23189">
      <c r="A23189" s="3" t="s">
        <v>39519</v>
      </c>
      <c r="B23189" s="3" t="s">
        <v>19147</v>
      </c>
      <c r="C23189" s="5" t="s">
        <v>206</v>
      </c>
      <c r="D23189" s="3" t="s">
        <v>68</v>
      </c>
      <c r="E23189" s="3" t="s">
        <v>100</v>
      </c>
      <c r="F23189" s="7">
        <v>46192.13558111871</v>
      </c>
      <c r="G23189" s="3" t="s">
        <v>39520</v>
      </c>
    </row>
    <row r="23190">
      <c r="A23190" s="3" t="s">
        <v>39521</v>
      </c>
      <c r="B23190" s="3" t="s">
        <v>19150</v>
      </c>
      <c r="C23190" s="5" t="s">
        <v>45</v>
      </c>
      <c r="D23190" s="3" t="s">
        <v>221</v>
      </c>
      <c r="E23190" s="3" t="s">
        <v>587</v>
      </c>
      <c r="F23190" s="7">
        <v>46192.19633929746</v>
      </c>
      <c r="G23190" s="3" t="s">
        <v>17822</v>
      </c>
    </row>
    <row r="23191">
      <c r="A23191" s="3" t="s">
        <v>39522</v>
      </c>
      <c r="B23191" s="3" t="s">
        <v>19150</v>
      </c>
      <c r="C23191" s="5" t="s">
        <v>221</v>
      </c>
      <c r="D23191" s="3" t="s">
        <v>614</v>
      </c>
      <c r="E23191" s="3" t="s">
        <v>118</v>
      </c>
      <c r="F23191" s="7">
        <v>46192.19981151968</v>
      </c>
      <c r="G23191" s="3" t="s">
        <v>17824</v>
      </c>
    </row>
    <row r="23192">
      <c r="A23192" s="3" t="s">
        <v>39523</v>
      </c>
      <c r="B23192" s="3" t="s">
        <v>19150</v>
      </c>
      <c r="C23192" s="5" t="s">
        <v>614</v>
      </c>
      <c r="D23192" s="3" t="s">
        <v>206</v>
      </c>
      <c r="E23192" s="3" t="s">
        <v>100</v>
      </c>
      <c r="F23192" s="7">
        <v>46192.2032837419</v>
      </c>
      <c r="G23192" s="3" t="s">
        <v>17826</v>
      </c>
    </row>
    <row r="23193">
      <c r="A23193" s="3" t="s">
        <v>39524</v>
      </c>
      <c r="B23193" s="3" t="s">
        <v>19150</v>
      </c>
      <c r="C23193" s="5" t="s">
        <v>206</v>
      </c>
      <c r="D23193" s="3" t="s">
        <v>68</v>
      </c>
      <c r="E23193" s="3" t="s">
        <v>100</v>
      </c>
      <c r="F23193" s="7">
        <v>46192.20675596412</v>
      </c>
      <c r="G23193" s="3" t="s">
        <v>17828</v>
      </c>
    </row>
    <row r="23194">
      <c r="A23194" s="3" t="s">
        <v>39525</v>
      </c>
      <c r="B23194" s="3" t="s">
        <v>19154</v>
      </c>
      <c r="C23194" s="5" t="s">
        <v>45</v>
      </c>
      <c r="D23194" s="3" t="s">
        <v>221</v>
      </c>
      <c r="E23194" s="3" t="s">
        <v>838</v>
      </c>
      <c r="F23194" s="7">
        <v>46192.26751414287</v>
      </c>
      <c r="G23194" s="3" t="s">
        <v>14225</v>
      </c>
    </row>
    <row r="23195">
      <c r="A23195" s="3" t="s">
        <v>39526</v>
      </c>
      <c r="B23195" s="3" t="s">
        <v>19154</v>
      </c>
      <c r="C23195" s="5" t="s">
        <v>221</v>
      </c>
      <c r="D23195" s="3" t="s">
        <v>614</v>
      </c>
      <c r="E23195" s="3" t="s">
        <v>118</v>
      </c>
      <c r="F23195" s="7">
        <v>46192.27098636509</v>
      </c>
      <c r="G23195" s="3" t="s">
        <v>14228</v>
      </c>
    </row>
    <row r="23196">
      <c r="A23196" s="3" t="s">
        <v>39527</v>
      </c>
      <c r="B23196" s="3" t="s">
        <v>19154</v>
      </c>
      <c r="C23196" s="5" t="s">
        <v>614</v>
      </c>
      <c r="D23196" s="3" t="s">
        <v>206</v>
      </c>
      <c r="E23196" s="3" t="s">
        <v>100</v>
      </c>
      <c r="F23196" s="7">
        <v>46192.274458587315</v>
      </c>
      <c r="G23196" s="3" t="s">
        <v>14231</v>
      </c>
    </row>
    <row r="23197">
      <c r="A23197" s="3" t="s">
        <v>39528</v>
      </c>
      <c r="B23197" s="3" t="s">
        <v>19154</v>
      </c>
      <c r="C23197" s="5" t="s">
        <v>206</v>
      </c>
      <c r="D23197" s="3" t="s">
        <v>68</v>
      </c>
      <c r="E23197" s="3" t="s">
        <v>100</v>
      </c>
      <c r="F23197" s="7">
        <v>46192.277930809534</v>
      </c>
      <c r="G23197" s="3" t="s">
        <v>14234</v>
      </c>
    </row>
    <row r="23198">
      <c r="A23198" s="3" t="s">
        <v>39529</v>
      </c>
      <c r="B23198" s="3" t="s">
        <v>19158</v>
      </c>
      <c r="C23198" s="5" t="s">
        <v>45</v>
      </c>
      <c r="D23198" s="3" t="s">
        <v>221</v>
      </c>
      <c r="E23198" s="3" t="s">
        <v>505</v>
      </c>
      <c r="F23198" s="7">
        <v>46192.33868898829</v>
      </c>
      <c r="G23198" s="3" t="s">
        <v>8315</v>
      </c>
    </row>
    <row r="23199">
      <c r="A23199" s="3" t="s">
        <v>39530</v>
      </c>
      <c r="B23199" s="3" t="s">
        <v>19158</v>
      </c>
      <c r="C23199" s="5" t="s">
        <v>221</v>
      </c>
      <c r="D23199" s="3" t="s">
        <v>614</v>
      </c>
      <c r="E23199" s="3" t="s">
        <v>118</v>
      </c>
      <c r="F23199" s="7">
        <v>46192.34216121051</v>
      </c>
      <c r="G23199" s="3" t="s">
        <v>8318</v>
      </c>
    </row>
    <row r="23200">
      <c r="A23200" s="3" t="s">
        <v>39531</v>
      </c>
      <c r="B23200" s="3" t="s">
        <v>19158</v>
      </c>
      <c r="C23200" s="5" t="s">
        <v>614</v>
      </c>
      <c r="D23200" s="3" t="s">
        <v>206</v>
      </c>
      <c r="E23200" s="3" t="s">
        <v>100</v>
      </c>
      <c r="F23200" s="7">
        <v>46192.345633432735</v>
      </c>
      <c r="G23200" s="3" t="s">
        <v>8321</v>
      </c>
    </row>
    <row r="23201">
      <c r="A23201" s="3" t="s">
        <v>39532</v>
      </c>
      <c r="B23201" s="3" t="s">
        <v>19158</v>
      </c>
      <c r="C23201" s="5" t="s">
        <v>206</v>
      </c>
      <c r="D23201" s="3" t="s">
        <v>68</v>
      </c>
      <c r="E23201" s="3" t="s">
        <v>100</v>
      </c>
      <c r="F23201" s="7">
        <v>46192.349105654954</v>
      </c>
      <c r="G23201" s="3" t="s">
        <v>8324</v>
      </c>
    </row>
    <row r="23202">
      <c r="A23202" s="3" t="s">
        <v>39533</v>
      </c>
      <c r="B23202" s="3" t="s">
        <v>19161</v>
      </c>
      <c r="C23202" s="5" t="s">
        <v>45</v>
      </c>
      <c r="D23202" s="3" t="s">
        <v>221</v>
      </c>
      <c r="E23202" s="3" t="s">
        <v>767</v>
      </c>
      <c r="F23202" s="7">
        <v>46192.4098638337</v>
      </c>
      <c r="G23202" s="3" t="s">
        <v>29889</v>
      </c>
    </row>
    <row r="23203">
      <c r="A23203" s="3" t="s">
        <v>39534</v>
      </c>
      <c r="B23203" s="3" t="s">
        <v>19161</v>
      </c>
      <c r="C23203" s="5" t="s">
        <v>221</v>
      </c>
      <c r="D23203" s="3" t="s">
        <v>614</v>
      </c>
      <c r="E23203" s="3" t="s">
        <v>118</v>
      </c>
      <c r="F23203" s="7">
        <v>46192.41333605592</v>
      </c>
      <c r="G23203" s="3" t="s">
        <v>29891</v>
      </c>
    </row>
    <row r="23204">
      <c r="A23204" s="3" t="s">
        <v>39535</v>
      </c>
      <c r="B23204" s="3" t="s">
        <v>19161</v>
      </c>
      <c r="C23204" s="5" t="s">
        <v>614</v>
      </c>
      <c r="D23204" s="3" t="s">
        <v>206</v>
      </c>
      <c r="E23204" s="3" t="s">
        <v>100</v>
      </c>
      <c r="F23204" s="7">
        <v>46192.41680827815</v>
      </c>
      <c r="G23204" s="3" t="s">
        <v>29893</v>
      </c>
    </row>
    <row r="23205">
      <c r="A23205" s="3" t="s">
        <v>39536</v>
      </c>
      <c r="B23205" s="3" t="s">
        <v>19161</v>
      </c>
      <c r="C23205" s="5" t="s">
        <v>206</v>
      </c>
      <c r="D23205" s="3" t="s">
        <v>68</v>
      </c>
      <c r="E23205" s="3" t="s">
        <v>100</v>
      </c>
      <c r="F23205" s="7">
        <v>46192.420280500366</v>
      </c>
      <c r="G23205" s="3" t="s">
        <v>29895</v>
      </c>
    </row>
    <row r="23206">
      <c r="A23206" s="3" t="s">
        <v>39537</v>
      </c>
      <c r="B23206" s="3" t="s">
        <v>19164</v>
      </c>
      <c r="C23206" s="5" t="s">
        <v>45</v>
      </c>
      <c r="D23206" s="3" t="s">
        <v>221</v>
      </c>
      <c r="E23206" s="3" t="s">
        <v>747</v>
      </c>
      <c r="F23206" s="7">
        <v>46192.481038679114</v>
      </c>
      <c r="G23206" s="3" t="s">
        <v>5490</v>
      </c>
    </row>
    <row r="23207">
      <c r="A23207" s="3" t="s">
        <v>39538</v>
      </c>
      <c r="B23207" s="3" t="s">
        <v>19164</v>
      </c>
      <c r="C23207" s="5" t="s">
        <v>221</v>
      </c>
      <c r="D23207" s="3" t="s">
        <v>614</v>
      </c>
      <c r="E23207" s="3" t="s">
        <v>118</v>
      </c>
      <c r="F23207" s="7">
        <v>46192.48451090133</v>
      </c>
      <c r="G23207" s="3" t="s">
        <v>5493</v>
      </c>
    </row>
    <row r="23208">
      <c r="A23208" s="3" t="s">
        <v>39539</v>
      </c>
      <c r="B23208" s="3" t="s">
        <v>19164</v>
      </c>
      <c r="C23208" s="5" t="s">
        <v>614</v>
      </c>
      <c r="D23208" s="3" t="s">
        <v>206</v>
      </c>
      <c r="E23208" s="3" t="s">
        <v>100</v>
      </c>
      <c r="F23208" s="7">
        <v>46192.48798312356</v>
      </c>
      <c r="G23208" s="3" t="s">
        <v>5496</v>
      </c>
    </row>
    <row r="23209">
      <c r="A23209" s="3" t="s">
        <v>39540</v>
      </c>
      <c r="B23209" s="3" t="s">
        <v>19164</v>
      </c>
      <c r="C23209" s="5" t="s">
        <v>206</v>
      </c>
      <c r="D23209" s="3" t="s">
        <v>68</v>
      </c>
      <c r="E23209" s="3" t="s">
        <v>100</v>
      </c>
      <c r="F23209" s="7">
        <v>46192.49145534578</v>
      </c>
      <c r="G23209" s="3" t="s">
        <v>5499</v>
      </c>
    </row>
    <row r="23210">
      <c r="A23210" s="3" t="s">
        <v>39541</v>
      </c>
      <c r="B23210" s="3" t="s">
        <v>19168</v>
      </c>
      <c r="C23210" s="5" t="s">
        <v>45</v>
      </c>
      <c r="D23210" s="3" t="s">
        <v>221</v>
      </c>
      <c r="E23210" s="3" t="s">
        <v>972</v>
      </c>
      <c r="F23210" s="7">
        <v>46192.552213524534</v>
      </c>
      <c r="G23210" s="3" t="s">
        <v>33669</v>
      </c>
    </row>
    <row r="23211">
      <c r="A23211" s="3" t="s">
        <v>39542</v>
      </c>
      <c r="B23211" s="3" t="s">
        <v>19168</v>
      </c>
      <c r="C23211" s="5" t="s">
        <v>221</v>
      </c>
      <c r="D23211" s="3" t="s">
        <v>614</v>
      </c>
      <c r="E23211" s="3" t="s">
        <v>118</v>
      </c>
      <c r="F23211" s="7">
        <v>46192.55568574675</v>
      </c>
      <c r="G23211" s="3" t="s">
        <v>34223</v>
      </c>
    </row>
    <row r="23212">
      <c r="A23212" s="3" t="s">
        <v>39543</v>
      </c>
      <c r="B23212" s="3" t="s">
        <v>19168</v>
      </c>
      <c r="C23212" s="5" t="s">
        <v>614</v>
      </c>
      <c r="D23212" s="3" t="s">
        <v>206</v>
      </c>
      <c r="E23212" s="3" t="s">
        <v>100</v>
      </c>
      <c r="F23212" s="7">
        <v>46192.55915796898</v>
      </c>
      <c r="G23212" s="3" t="s">
        <v>34225</v>
      </c>
    </row>
    <row r="23213">
      <c r="A23213" s="3" t="s">
        <v>39544</v>
      </c>
      <c r="B23213" s="3" t="s">
        <v>19168</v>
      </c>
      <c r="C23213" s="5" t="s">
        <v>206</v>
      </c>
      <c r="D23213" s="3" t="s">
        <v>68</v>
      </c>
      <c r="E23213" s="3" t="s">
        <v>100</v>
      </c>
      <c r="F23213" s="7">
        <v>46192.5626301912</v>
      </c>
      <c r="G23213" s="3" t="s">
        <v>34227</v>
      </c>
    </row>
    <row r="23214">
      <c r="A23214" s="3" t="s">
        <v>39545</v>
      </c>
      <c r="B23214" s="3" t="s">
        <v>19170</v>
      </c>
      <c r="C23214" s="5" t="s">
        <v>45</v>
      </c>
      <c r="D23214" s="3" t="s">
        <v>221</v>
      </c>
      <c r="E23214" s="3" t="s">
        <v>380</v>
      </c>
      <c r="F23214" s="7">
        <v>46192.62338836995</v>
      </c>
      <c r="G23214" s="3" t="s">
        <v>5209</v>
      </c>
    </row>
    <row r="23215">
      <c r="A23215" s="3" t="s">
        <v>39546</v>
      </c>
      <c r="B23215" s="3" t="s">
        <v>19170</v>
      </c>
      <c r="C23215" s="5" t="s">
        <v>221</v>
      </c>
      <c r="D23215" s="3" t="s">
        <v>195</v>
      </c>
      <c r="E23215" s="3" t="s">
        <v>380</v>
      </c>
      <c r="F23215" s="7">
        <v>46192.62686059217</v>
      </c>
      <c r="G23215" s="3" t="s">
        <v>39547</v>
      </c>
    </row>
    <row r="23216">
      <c r="A23216" s="3" t="s">
        <v>39548</v>
      </c>
      <c r="B23216" s="3" t="s">
        <v>19173</v>
      </c>
      <c r="C23216" s="5" t="s">
        <v>45</v>
      </c>
      <c r="D23216" s="3" t="s">
        <v>221</v>
      </c>
      <c r="E23216" s="3" t="s">
        <v>911</v>
      </c>
      <c r="F23216" s="7">
        <v>46192.69456321536</v>
      </c>
      <c r="G23216" s="3" t="s">
        <v>25261</v>
      </c>
    </row>
    <row r="23217">
      <c r="A23217" s="3" t="s">
        <v>39549</v>
      </c>
      <c r="B23217" s="3" t="s">
        <v>19173</v>
      </c>
      <c r="C23217" s="5" t="s">
        <v>221</v>
      </c>
      <c r="D23217" s="3" t="s">
        <v>614</v>
      </c>
      <c r="E23217" s="3" t="s">
        <v>118</v>
      </c>
      <c r="F23217" s="7">
        <v>46192.69803543758</v>
      </c>
      <c r="G23217" s="3" t="s">
        <v>25263</v>
      </c>
    </row>
    <row r="23218">
      <c r="A23218" s="3" t="s">
        <v>39550</v>
      </c>
      <c r="B23218" s="3" t="s">
        <v>19173</v>
      </c>
      <c r="C23218" s="5" t="s">
        <v>614</v>
      </c>
      <c r="D23218" s="3" t="s">
        <v>206</v>
      </c>
      <c r="E23218" s="3" t="s">
        <v>100</v>
      </c>
      <c r="F23218" s="7">
        <v>46192.7015076598</v>
      </c>
      <c r="G23218" s="3" t="s">
        <v>25265</v>
      </c>
    </row>
    <row r="23219">
      <c r="A23219" s="3" t="s">
        <v>39551</v>
      </c>
      <c r="B23219" s="3" t="s">
        <v>19173</v>
      </c>
      <c r="C23219" s="5" t="s">
        <v>206</v>
      </c>
      <c r="D23219" s="3" t="s">
        <v>68</v>
      </c>
      <c r="E23219" s="3" t="s">
        <v>100</v>
      </c>
      <c r="F23219" s="7">
        <v>46192.70497988202</v>
      </c>
      <c r="G23219" s="3" t="s">
        <v>25267</v>
      </c>
    </row>
    <row r="23220">
      <c r="A23220" s="3" t="s">
        <v>39552</v>
      </c>
      <c r="B23220" s="3" t="s">
        <v>19177</v>
      </c>
      <c r="C23220" s="5" t="s">
        <v>45</v>
      </c>
      <c r="D23220" s="3" t="s">
        <v>221</v>
      </c>
      <c r="E23220" s="3" t="s">
        <v>883</v>
      </c>
      <c r="F23220" s="7">
        <v>46192.76573806078</v>
      </c>
      <c r="G23220" s="3" t="s">
        <v>27407</v>
      </c>
    </row>
    <row r="23221">
      <c r="A23221" s="3" t="s">
        <v>39553</v>
      </c>
      <c r="B23221" s="3" t="s">
        <v>19177</v>
      </c>
      <c r="C23221" s="5" t="s">
        <v>221</v>
      </c>
      <c r="D23221" s="3" t="s">
        <v>181</v>
      </c>
      <c r="E23221" s="3" t="s">
        <v>118</v>
      </c>
      <c r="F23221" s="7">
        <v>46192.769210283</v>
      </c>
      <c r="G23221" s="3" t="s">
        <v>39554</v>
      </c>
    </row>
    <row r="23222">
      <c r="A23222" s="3" t="s">
        <v>39555</v>
      </c>
      <c r="B23222" s="3" t="s">
        <v>19180</v>
      </c>
      <c r="C23222" s="5" t="s">
        <v>45</v>
      </c>
      <c r="D23222" s="3" t="s">
        <v>221</v>
      </c>
      <c r="E23222" s="3" t="s">
        <v>322</v>
      </c>
      <c r="F23222" s="7">
        <v>46192.8369129062</v>
      </c>
      <c r="G23222" s="3" t="s">
        <v>5502</v>
      </c>
    </row>
    <row r="23223">
      <c r="A23223" s="3" t="s">
        <v>39556</v>
      </c>
      <c r="B23223" s="3" t="s">
        <v>19180</v>
      </c>
      <c r="C23223" s="5" t="s">
        <v>221</v>
      </c>
      <c r="D23223" s="3" t="s">
        <v>614</v>
      </c>
      <c r="E23223" s="3" t="s">
        <v>118</v>
      </c>
      <c r="F23223" s="7">
        <v>46192.84038512842</v>
      </c>
      <c r="G23223" s="3" t="s">
        <v>5505</v>
      </c>
    </row>
    <row r="23224">
      <c r="A23224" s="3" t="s">
        <v>39557</v>
      </c>
      <c r="B23224" s="3" t="s">
        <v>19180</v>
      </c>
      <c r="C23224" s="5" t="s">
        <v>614</v>
      </c>
      <c r="D23224" s="3" t="s">
        <v>206</v>
      </c>
      <c r="E23224" s="3" t="s">
        <v>100</v>
      </c>
      <c r="F23224" s="7">
        <v>46192.84385735064</v>
      </c>
      <c r="G23224" s="3" t="s">
        <v>5508</v>
      </c>
    </row>
    <row r="23225">
      <c r="A23225" s="3" t="s">
        <v>39558</v>
      </c>
      <c r="B23225" s="3" t="s">
        <v>19180</v>
      </c>
      <c r="C23225" s="5" t="s">
        <v>206</v>
      </c>
      <c r="D23225" s="3" t="s">
        <v>68</v>
      </c>
      <c r="E23225" s="3" t="s">
        <v>100</v>
      </c>
      <c r="F23225" s="7">
        <v>46192.84732957286</v>
      </c>
      <c r="G23225" s="3" t="s">
        <v>5511</v>
      </c>
    </row>
    <row r="23226">
      <c r="A23226" s="3" t="s">
        <v>39559</v>
      </c>
      <c r="B23226" s="3" t="s">
        <v>19182</v>
      </c>
      <c r="C23226" s="5" t="s">
        <v>45</v>
      </c>
      <c r="D23226" s="3" t="s">
        <v>221</v>
      </c>
      <c r="E23226" s="3" t="s">
        <v>395</v>
      </c>
      <c r="F23226" s="7">
        <v>46192.90808775161</v>
      </c>
      <c r="G23226" s="3" t="s">
        <v>29322</v>
      </c>
    </row>
    <row r="23227">
      <c r="A23227" s="3" t="s">
        <v>39560</v>
      </c>
      <c r="B23227" s="3" t="s">
        <v>19182</v>
      </c>
      <c r="C23227" s="5" t="s">
        <v>221</v>
      </c>
      <c r="D23227" s="3" t="s">
        <v>614</v>
      </c>
      <c r="E23227" s="3" t="s">
        <v>118</v>
      </c>
      <c r="F23227" s="7">
        <v>46192.91155997383</v>
      </c>
      <c r="G23227" s="3" t="s">
        <v>29324</v>
      </c>
    </row>
    <row r="23228">
      <c r="A23228" s="3" t="s">
        <v>39561</v>
      </c>
      <c r="B23228" s="3" t="s">
        <v>19182</v>
      </c>
      <c r="C23228" s="5" t="s">
        <v>614</v>
      </c>
      <c r="D23228" s="3" t="s">
        <v>206</v>
      </c>
      <c r="E23228" s="3" t="s">
        <v>100</v>
      </c>
      <c r="F23228" s="7">
        <v>46192.915032196055</v>
      </c>
      <c r="G23228" s="3" t="s">
        <v>29326</v>
      </c>
    </row>
    <row r="23229">
      <c r="A23229" s="3" t="s">
        <v>39562</v>
      </c>
      <c r="B23229" s="3" t="s">
        <v>19182</v>
      </c>
      <c r="C23229" s="5" t="s">
        <v>206</v>
      </c>
      <c r="D23229" s="3" t="s">
        <v>68</v>
      </c>
      <c r="E23229" s="3" t="s">
        <v>100</v>
      </c>
      <c r="F23229" s="7">
        <v>46192.918504418274</v>
      </c>
      <c r="G23229" s="3" t="s">
        <v>29328</v>
      </c>
    </row>
    <row r="23230">
      <c r="A23230" s="3" t="s">
        <v>39563</v>
      </c>
      <c r="B23230" s="3" t="s">
        <v>19184</v>
      </c>
      <c r="C23230" s="5" t="s">
        <v>45</v>
      </c>
      <c r="D23230" s="3" t="s">
        <v>221</v>
      </c>
      <c r="E23230" s="3" t="s">
        <v>466</v>
      </c>
      <c r="F23230" s="7">
        <v>46192.97926259702</v>
      </c>
      <c r="G23230" s="3" t="s">
        <v>22967</v>
      </c>
    </row>
    <row r="23231">
      <c r="A23231" s="3" t="s">
        <v>39564</v>
      </c>
      <c r="B23231" s="3" t="s">
        <v>19184</v>
      </c>
      <c r="C23231" s="5" t="s">
        <v>221</v>
      </c>
      <c r="D23231" s="3" t="s">
        <v>614</v>
      </c>
      <c r="E23231" s="3" t="s">
        <v>118</v>
      </c>
      <c r="F23231" s="7">
        <v>46192.98273481924</v>
      </c>
      <c r="G23231" s="3" t="s">
        <v>22970</v>
      </c>
    </row>
    <row r="23232">
      <c r="A23232" s="3" t="s">
        <v>39565</v>
      </c>
      <c r="B23232" s="3" t="s">
        <v>19184</v>
      </c>
      <c r="C23232" s="5" t="s">
        <v>614</v>
      </c>
      <c r="D23232" s="3" t="s">
        <v>206</v>
      </c>
      <c r="E23232" s="3" t="s">
        <v>100</v>
      </c>
      <c r="F23232" s="7">
        <v>46192.98620704147</v>
      </c>
      <c r="G23232" s="3" t="s">
        <v>22973</v>
      </c>
    </row>
    <row r="23233">
      <c r="A23233" s="3" t="s">
        <v>39566</v>
      </c>
      <c r="B23233" s="3" t="s">
        <v>19184</v>
      </c>
      <c r="C23233" s="5" t="s">
        <v>206</v>
      </c>
      <c r="D23233" s="3" t="s">
        <v>68</v>
      </c>
      <c r="E23233" s="3" t="s">
        <v>100</v>
      </c>
      <c r="F23233" s="7">
        <v>46192.98967926369</v>
      </c>
      <c r="G23233" s="3" t="s">
        <v>22976</v>
      </c>
    </row>
    <row r="23234">
      <c r="A23234" s="3" t="s">
        <v>39567</v>
      </c>
      <c r="B23234" s="3" t="s">
        <v>19186</v>
      </c>
      <c r="C23234" s="5" t="s">
        <v>45</v>
      </c>
      <c r="D23234" s="3" t="s">
        <v>221</v>
      </c>
      <c r="E23234" s="3" t="s">
        <v>276</v>
      </c>
      <c r="F23234" s="7">
        <v>46193.05043744244</v>
      </c>
      <c r="G23234" s="3" t="s">
        <v>5514</v>
      </c>
    </row>
    <row r="23235">
      <c r="A23235" s="3" t="s">
        <v>39568</v>
      </c>
      <c r="B23235" s="3" t="s">
        <v>19186</v>
      </c>
      <c r="C23235" s="5" t="s">
        <v>221</v>
      </c>
      <c r="D23235" s="3" t="s">
        <v>614</v>
      </c>
      <c r="E23235" s="3" t="s">
        <v>118</v>
      </c>
      <c r="F23235" s="7">
        <v>46193.05390966466</v>
      </c>
      <c r="G23235" s="3" t="s">
        <v>5517</v>
      </c>
    </row>
    <row r="23236">
      <c r="A23236" s="3" t="s">
        <v>39569</v>
      </c>
      <c r="B23236" s="3" t="s">
        <v>19186</v>
      </c>
      <c r="C23236" s="5" t="s">
        <v>614</v>
      </c>
      <c r="D23236" s="3" t="s">
        <v>206</v>
      </c>
      <c r="E23236" s="3" t="s">
        <v>100</v>
      </c>
      <c r="F23236" s="7">
        <v>46193.05738188689</v>
      </c>
      <c r="G23236" s="3" t="s">
        <v>5520</v>
      </c>
    </row>
    <row r="23237">
      <c r="A23237" s="3" t="s">
        <v>39570</v>
      </c>
      <c r="B23237" s="3" t="s">
        <v>19186</v>
      </c>
      <c r="C23237" s="5" t="s">
        <v>206</v>
      </c>
      <c r="D23237" s="3" t="s">
        <v>68</v>
      </c>
      <c r="E23237" s="3" t="s">
        <v>100</v>
      </c>
      <c r="F23237" s="7">
        <v>46193.060854109106</v>
      </c>
      <c r="G23237" s="3" t="s">
        <v>5523</v>
      </c>
    </row>
    <row r="23238">
      <c r="A23238" s="3" t="s">
        <v>39571</v>
      </c>
      <c r="B23238" s="3" t="s">
        <v>19188</v>
      </c>
      <c r="C23238" s="5" t="s">
        <v>45</v>
      </c>
      <c r="D23238" s="3" t="s">
        <v>221</v>
      </c>
      <c r="E23238" s="3" t="s">
        <v>708</v>
      </c>
      <c r="F23238" s="7">
        <v>46193.121612287854</v>
      </c>
      <c r="G23238" s="3" t="s">
        <v>18496</v>
      </c>
    </row>
    <row r="23239">
      <c r="A23239" s="3" t="s">
        <v>39572</v>
      </c>
      <c r="B23239" s="3" t="s">
        <v>19188</v>
      </c>
      <c r="C23239" s="5" t="s">
        <v>221</v>
      </c>
      <c r="D23239" s="3" t="s">
        <v>614</v>
      </c>
      <c r="E23239" s="3" t="s">
        <v>118</v>
      </c>
      <c r="F23239" s="7">
        <v>46193.12508451007</v>
      </c>
      <c r="G23239" s="3" t="s">
        <v>18499</v>
      </c>
    </row>
    <row r="23240">
      <c r="A23240" s="3" t="s">
        <v>39573</v>
      </c>
      <c r="B23240" s="3" t="s">
        <v>19188</v>
      </c>
      <c r="C23240" s="5" t="s">
        <v>614</v>
      </c>
      <c r="D23240" s="3" t="s">
        <v>206</v>
      </c>
      <c r="E23240" s="3" t="s">
        <v>100</v>
      </c>
      <c r="F23240" s="7">
        <v>46193.1285567323</v>
      </c>
      <c r="G23240" s="3" t="s">
        <v>18502</v>
      </c>
    </row>
    <row r="23241">
      <c r="A23241" s="3" t="s">
        <v>39574</v>
      </c>
      <c r="B23241" s="3" t="s">
        <v>19188</v>
      </c>
      <c r="C23241" s="5" t="s">
        <v>206</v>
      </c>
      <c r="D23241" s="3" t="s">
        <v>68</v>
      </c>
      <c r="E23241" s="3" t="s">
        <v>100</v>
      </c>
      <c r="F23241" s="7">
        <v>46193.13202895452</v>
      </c>
      <c r="G23241" s="3" t="s">
        <v>18504</v>
      </c>
    </row>
    <row r="23242">
      <c r="A23242" s="3" t="s">
        <v>39575</v>
      </c>
      <c r="B23242" s="3" t="s">
        <v>19191</v>
      </c>
      <c r="C23242" s="5" t="s">
        <v>45</v>
      </c>
      <c r="D23242" s="3" t="s">
        <v>221</v>
      </c>
      <c r="E23242" s="3" t="s">
        <v>226</v>
      </c>
      <c r="F23242" s="7">
        <v>46193.19278713327</v>
      </c>
      <c r="G23242" s="3" t="s">
        <v>5525</v>
      </c>
    </row>
    <row r="23243">
      <c r="A23243" s="3" t="s">
        <v>39576</v>
      </c>
      <c r="B23243" s="3" t="s">
        <v>19191</v>
      </c>
      <c r="C23243" s="5" t="s">
        <v>221</v>
      </c>
      <c r="D23243" s="3" t="s">
        <v>614</v>
      </c>
      <c r="E23243" s="3" t="s">
        <v>118</v>
      </c>
      <c r="F23243" s="7">
        <v>46193.196259355485</v>
      </c>
      <c r="G23243" s="3" t="s">
        <v>5528</v>
      </c>
    </row>
    <row r="23244">
      <c r="A23244" s="3" t="s">
        <v>39577</v>
      </c>
      <c r="B23244" s="3" t="s">
        <v>19191</v>
      </c>
      <c r="C23244" s="5" t="s">
        <v>614</v>
      </c>
      <c r="D23244" s="3" t="s">
        <v>206</v>
      </c>
      <c r="E23244" s="3" t="s">
        <v>100</v>
      </c>
      <c r="F23244" s="7">
        <v>46193.19973157771</v>
      </c>
      <c r="G23244" s="3" t="s">
        <v>5531</v>
      </c>
    </row>
    <row r="23245">
      <c r="A23245" s="3" t="s">
        <v>39578</v>
      </c>
      <c r="B23245" s="3" t="s">
        <v>19191</v>
      </c>
      <c r="C23245" s="5" t="s">
        <v>206</v>
      </c>
      <c r="D23245" s="3" t="s">
        <v>68</v>
      </c>
      <c r="E23245" s="3" t="s">
        <v>100</v>
      </c>
      <c r="F23245" s="7">
        <v>46193.20320379993</v>
      </c>
      <c r="G23245" s="3" t="s">
        <v>5534</v>
      </c>
    </row>
    <row r="23246">
      <c r="A23246" s="3" t="s">
        <v>39579</v>
      </c>
      <c r="B23246" s="3" t="s">
        <v>19193</v>
      </c>
      <c r="C23246" s="5" t="s">
        <v>45</v>
      </c>
      <c r="D23246" s="3" t="s">
        <v>221</v>
      </c>
      <c r="E23246" s="3" t="s">
        <v>758</v>
      </c>
      <c r="F23246" s="7">
        <v>46193.263961978686</v>
      </c>
      <c r="G23246" s="3" t="s">
        <v>5537</v>
      </c>
    </row>
    <row r="23247">
      <c r="A23247" s="3" t="s">
        <v>39580</v>
      </c>
      <c r="B23247" s="3" t="s">
        <v>19193</v>
      </c>
      <c r="C23247" s="5" t="s">
        <v>221</v>
      </c>
      <c r="D23247" s="3" t="s">
        <v>614</v>
      </c>
      <c r="E23247" s="3" t="s">
        <v>118</v>
      </c>
      <c r="F23247" s="7">
        <v>46193.267434200905</v>
      </c>
      <c r="G23247" s="3" t="s">
        <v>5539</v>
      </c>
    </row>
    <row r="23248">
      <c r="A23248" s="3" t="s">
        <v>39581</v>
      </c>
      <c r="B23248" s="3" t="s">
        <v>19193</v>
      </c>
      <c r="C23248" s="5" t="s">
        <v>614</v>
      </c>
      <c r="D23248" s="3" t="s">
        <v>206</v>
      </c>
      <c r="E23248" s="3" t="s">
        <v>100</v>
      </c>
      <c r="F23248" s="7">
        <v>46193.27090642313</v>
      </c>
      <c r="G23248" s="3" t="s">
        <v>5542</v>
      </c>
    </row>
    <row r="23249">
      <c r="A23249" s="3" t="s">
        <v>39582</v>
      </c>
      <c r="B23249" s="3" t="s">
        <v>19193</v>
      </c>
      <c r="C23249" s="5" t="s">
        <v>206</v>
      </c>
      <c r="D23249" s="3" t="s">
        <v>68</v>
      </c>
      <c r="E23249" s="3" t="s">
        <v>100</v>
      </c>
      <c r="F23249" s="7">
        <v>46193.27437864535</v>
      </c>
      <c r="G23249" s="3" t="s">
        <v>5545</v>
      </c>
    </row>
    <row r="23250">
      <c r="A23250" s="3" t="s">
        <v>39583</v>
      </c>
      <c r="B23250" s="3" t="s">
        <v>19195</v>
      </c>
      <c r="C23250" s="5" t="s">
        <v>45</v>
      </c>
      <c r="D23250" s="3" t="s">
        <v>221</v>
      </c>
      <c r="E23250" s="3" t="s">
        <v>366</v>
      </c>
      <c r="F23250" s="7">
        <v>46193.335136824106</v>
      </c>
      <c r="G23250" s="3" t="s">
        <v>14301</v>
      </c>
    </row>
    <row r="23251">
      <c r="A23251" s="3" t="s">
        <v>39584</v>
      </c>
      <c r="B23251" s="3" t="s">
        <v>19195</v>
      </c>
      <c r="C23251" s="5" t="s">
        <v>221</v>
      </c>
      <c r="D23251" s="3" t="s">
        <v>614</v>
      </c>
      <c r="E23251" s="3" t="s">
        <v>118</v>
      </c>
      <c r="F23251" s="7">
        <v>46193.338609046325</v>
      </c>
      <c r="G23251" s="3" t="s">
        <v>14304</v>
      </c>
    </row>
    <row r="23252">
      <c r="A23252" s="3" t="s">
        <v>39585</v>
      </c>
      <c r="B23252" s="3" t="s">
        <v>19195</v>
      </c>
      <c r="C23252" s="5" t="s">
        <v>614</v>
      </c>
      <c r="D23252" s="3" t="s">
        <v>206</v>
      </c>
      <c r="E23252" s="3" t="s">
        <v>100</v>
      </c>
      <c r="F23252" s="7">
        <v>46193.34208126855</v>
      </c>
      <c r="G23252" s="3" t="s">
        <v>14306</v>
      </c>
    </row>
    <row r="23253">
      <c r="A23253" s="3" t="s">
        <v>39586</v>
      </c>
      <c r="B23253" s="3" t="s">
        <v>19195</v>
      </c>
      <c r="C23253" s="5" t="s">
        <v>206</v>
      </c>
      <c r="D23253" s="3" t="s">
        <v>68</v>
      </c>
      <c r="E23253" s="3" t="s">
        <v>100</v>
      </c>
      <c r="F23253" s="7">
        <v>46193.34555349077</v>
      </c>
      <c r="G23253" s="3" t="s">
        <v>14309</v>
      </c>
    </row>
    <row r="23254">
      <c r="A23254" s="3" t="s">
        <v>39587</v>
      </c>
      <c r="B23254" s="3" t="s">
        <v>19197</v>
      </c>
      <c r="C23254" s="5" t="s">
        <v>45</v>
      </c>
      <c r="D23254" s="3" t="s">
        <v>221</v>
      </c>
      <c r="E23254" s="3" t="s">
        <v>165</v>
      </c>
      <c r="F23254" s="7">
        <v>46193.40631166951</v>
      </c>
      <c r="G23254" s="3" t="s">
        <v>24623</v>
      </c>
    </row>
    <row r="23255">
      <c r="A23255" s="3" t="s">
        <v>39588</v>
      </c>
      <c r="B23255" s="3" t="s">
        <v>19197</v>
      </c>
      <c r="C23255" s="5" t="s">
        <v>221</v>
      </c>
      <c r="D23255" s="3" t="s">
        <v>614</v>
      </c>
      <c r="E23255" s="3" t="s">
        <v>118</v>
      </c>
      <c r="F23255" s="7">
        <v>46193.40978389173</v>
      </c>
      <c r="G23255" s="3" t="s">
        <v>24625</v>
      </c>
    </row>
    <row r="23256">
      <c r="A23256" s="3" t="s">
        <v>39589</v>
      </c>
      <c r="B23256" s="3" t="s">
        <v>19197</v>
      </c>
      <c r="C23256" s="5" t="s">
        <v>614</v>
      </c>
      <c r="D23256" s="3" t="s">
        <v>206</v>
      </c>
      <c r="E23256" s="3" t="s">
        <v>100</v>
      </c>
      <c r="F23256" s="7">
        <v>46193.413256113956</v>
      </c>
      <c r="G23256" s="3" t="s">
        <v>24627</v>
      </c>
    </row>
    <row r="23257">
      <c r="A23257" s="3" t="s">
        <v>39590</v>
      </c>
      <c r="B23257" s="3" t="s">
        <v>19197</v>
      </c>
      <c r="C23257" s="5" t="s">
        <v>206</v>
      </c>
      <c r="D23257" s="3" t="s">
        <v>68</v>
      </c>
      <c r="E23257" s="3" t="s">
        <v>100</v>
      </c>
      <c r="F23257" s="7">
        <v>46193.416728336175</v>
      </c>
      <c r="G23257" s="3" t="s">
        <v>24629</v>
      </c>
    </row>
    <row r="23258">
      <c r="A23258" s="3" t="s">
        <v>39591</v>
      </c>
      <c r="B23258" s="3" t="s">
        <v>19199</v>
      </c>
      <c r="C23258" s="5" t="s">
        <v>45</v>
      </c>
      <c r="D23258" s="3" t="s">
        <v>221</v>
      </c>
      <c r="E23258" s="3" t="s">
        <v>493</v>
      </c>
      <c r="F23258" s="7">
        <v>46193.47748651493</v>
      </c>
      <c r="G23258" s="3" t="s">
        <v>20038</v>
      </c>
    </row>
    <row r="23259">
      <c r="A23259" s="3" t="s">
        <v>39592</v>
      </c>
      <c r="B23259" s="3" t="s">
        <v>19199</v>
      </c>
      <c r="C23259" s="5" t="s">
        <v>221</v>
      </c>
      <c r="D23259" s="3" t="s">
        <v>614</v>
      </c>
      <c r="E23259" s="3" t="s">
        <v>118</v>
      </c>
      <c r="F23259" s="7">
        <v>46193.48095873715</v>
      </c>
      <c r="G23259" s="3" t="s">
        <v>20041</v>
      </c>
    </row>
    <row r="23260">
      <c r="A23260" s="3" t="s">
        <v>39593</v>
      </c>
      <c r="B23260" s="3" t="s">
        <v>19199</v>
      </c>
      <c r="C23260" s="5" t="s">
        <v>614</v>
      </c>
      <c r="D23260" s="3" t="s">
        <v>206</v>
      </c>
      <c r="E23260" s="3" t="s">
        <v>100</v>
      </c>
      <c r="F23260" s="7">
        <v>46193.484430959375</v>
      </c>
      <c r="G23260" s="3" t="s">
        <v>20044</v>
      </c>
    </row>
    <row r="23261">
      <c r="A23261" s="3" t="s">
        <v>39594</v>
      </c>
      <c r="B23261" s="3" t="s">
        <v>19199</v>
      </c>
      <c r="C23261" s="5" t="s">
        <v>206</v>
      </c>
      <c r="D23261" s="3" t="s">
        <v>68</v>
      </c>
      <c r="E23261" s="3" t="s">
        <v>100</v>
      </c>
      <c r="F23261" s="7">
        <v>46193.487903181594</v>
      </c>
      <c r="G23261" s="3" t="s">
        <v>20047</v>
      </c>
    </row>
    <row r="23262">
      <c r="A23262" s="3" t="s">
        <v>39595</v>
      </c>
      <c r="B23262" s="3" t="s">
        <v>19201</v>
      </c>
      <c r="C23262" s="5" t="s">
        <v>45</v>
      </c>
      <c r="D23262" s="3" t="s">
        <v>221</v>
      </c>
      <c r="E23262" s="3" t="s">
        <v>747</v>
      </c>
      <c r="F23262" s="7">
        <v>46193.54866136034</v>
      </c>
      <c r="G23262" s="3" t="s">
        <v>10142</v>
      </c>
    </row>
    <row r="23263">
      <c r="A23263" s="3" t="s">
        <v>39596</v>
      </c>
      <c r="B23263" s="3" t="s">
        <v>19201</v>
      </c>
      <c r="C23263" s="5" t="s">
        <v>221</v>
      </c>
      <c r="D23263" s="3" t="s">
        <v>614</v>
      </c>
      <c r="E23263" s="3" t="s">
        <v>118</v>
      </c>
      <c r="F23263" s="7">
        <v>46193.55213358256</v>
      </c>
      <c r="G23263" s="3" t="s">
        <v>10145</v>
      </c>
    </row>
    <row r="23264">
      <c r="A23264" s="3" t="s">
        <v>39597</v>
      </c>
      <c r="B23264" s="3" t="s">
        <v>19201</v>
      </c>
      <c r="C23264" s="5" t="s">
        <v>614</v>
      </c>
      <c r="D23264" s="3" t="s">
        <v>206</v>
      </c>
      <c r="E23264" s="3" t="s">
        <v>100</v>
      </c>
      <c r="F23264" s="7">
        <v>46193.55560580479</v>
      </c>
      <c r="G23264" s="3" t="s">
        <v>10148</v>
      </c>
    </row>
    <row r="23265">
      <c r="A23265" s="3" t="s">
        <v>39598</v>
      </c>
      <c r="B23265" s="3" t="s">
        <v>19201</v>
      </c>
      <c r="C23265" s="5" t="s">
        <v>206</v>
      </c>
      <c r="D23265" s="3" t="s">
        <v>68</v>
      </c>
      <c r="E23265" s="3" t="s">
        <v>100</v>
      </c>
      <c r="F23265" s="7">
        <v>46193.55907802701</v>
      </c>
      <c r="G23265" s="3" t="s">
        <v>10151</v>
      </c>
    </row>
    <row r="23266">
      <c r="A23266" s="3" t="s">
        <v>39599</v>
      </c>
      <c r="B23266" s="3" t="s">
        <v>19204</v>
      </c>
      <c r="C23266" s="5" t="s">
        <v>45</v>
      </c>
      <c r="D23266" s="3" t="s">
        <v>221</v>
      </c>
      <c r="E23266" s="3" t="s">
        <v>272</v>
      </c>
      <c r="F23266" s="7">
        <v>46193.61983620576</v>
      </c>
      <c r="G23266" s="3" t="s">
        <v>20575</v>
      </c>
    </row>
    <row r="23267">
      <c r="A23267" s="3" t="s">
        <v>39600</v>
      </c>
      <c r="B23267" s="3" t="s">
        <v>19204</v>
      </c>
      <c r="C23267" s="5" t="s">
        <v>221</v>
      </c>
      <c r="D23267" s="3" t="s">
        <v>614</v>
      </c>
      <c r="E23267" s="3" t="s">
        <v>118</v>
      </c>
      <c r="F23267" s="7">
        <v>46193.62330842798</v>
      </c>
      <c r="G23267" s="3" t="s">
        <v>20578</v>
      </c>
    </row>
    <row r="23268">
      <c r="A23268" s="3" t="s">
        <v>39601</v>
      </c>
      <c r="B23268" s="3" t="s">
        <v>19204</v>
      </c>
      <c r="C23268" s="5" t="s">
        <v>614</v>
      </c>
      <c r="D23268" s="3" t="s">
        <v>206</v>
      </c>
      <c r="E23268" s="3" t="s">
        <v>100</v>
      </c>
      <c r="F23268" s="7">
        <v>46193.62678065021</v>
      </c>
      <c r="G23268" s="3" t="s">
        <v>20581</v>
      </c>
    </row>
    <row r="23269">
      <c r="A23269" s="3" t="s">
        <v>39602</v>
      </c>
      <c r="B23269" s="3" t="s">
        <v>19204</v>
      </c>
      <c r="C23269" s="5" t="s">
        <v>206</v>
      </c>
      <c r="D23269" s="3" t="s">
        <v>68</v>
      </c>
      <c r="E23269" s="3" t="s">
        <v>100</v>
      </c>
      <c r="F23269" s="7">
        <v>46193.630252872426</v>
      </c>
      <c r="G23269" s="3" t="s">
        <v>20583</v>
      </c>
    </row>
    <row r="23270">
      <c r="A23270" s="3" t="s">
        <v>39603</v>
      </c>
      <c r="B23270" s="3" t="s">
        <v>19206</v>
      </c>
      <c r="C23270" s="5" t="s">
        <v>45</v>
      </c>
      <c r="D23270" s="3" t="s">
        <v>221</v>
      </c>
      <c r="E23270" s="3" t="s">
        <v>722</v>
      </c>
      <c r="F23270" s="7">
        <v>46193.691011051174</v>
      </c>
      <c r="G23270" s="3" t="s">
        <v>28491</v>
      </c>
    </row>
    <row r="23271">
      <c r="A23271" s="3" t="s">
        <v>39604</v>
      </c>
      <c r="B23271" s="3" t="s">
        <v>19206</v>
      </c>
      <c r="C23271" s="5" t="s">
        <v>221</v>
      </c>
      <c r="D23271" s="3" t="s">
        <v>614</v>
      </c>
      <c r="E23271" s="3" t="s">
        <v>118</v>
      </c>
      <c r="F23271" s="7">
        <v>46193.69448327339</v>
      </c>
      <c r="G23271" s="3" t="s">
        <v>28493</v>
      </c>
    </row>
    <row r="23272">
      <c r="A23272" s="3" t="s">
        <v>39605</v>
      </c>
      <c r="B23272" s="3" t="s">
        <v>19206</v>
      </c>
      <c r="C23272" s="5" t="s">
        <v>614</v>
      </c>
      <c r="D23272" s="3" t="s">
        <v>206</v>
      </c>
      <c r="E23272" s="3" t="s">
        <v>100</v>
      </c>
      <c r="F23272" s="7">
        <v>46193.69795549562</v>
      </c>
      <c r="G23272" s="3" t="s">
        <v>28495</v>
      </c>
    </row>
    <row r="23273">
      <c r="A23273" s="3" t="s">
        <v>39606</v>
      </c>
      <c r="B23273" s="3" t="s">
        <v>19206</v>
      </c>
      <c r="C23273" s="5" t="s">
        <v>206</v>
      </c>
      <c r="D23273" s="3" t="s">
        <v>68</v>
      </c>
      <c r="E23273" s="3" t="s">
        <v>100</v>
      </c>
      <c r="F23273" s="7">
        <v>46193.70142771784</v>
      </c>
      <c r="G23273" s="3" t="s">
        <v>28497</v>
      </c>
    </row>
    <row r="23274">
      <c r="A23274" s="3" t="s">
        <v>39607</v>
      </c>
      <c r="B23274" s="3" t="s">
        <v>19208</v>
      </c>
      <c r="C23274" s="5" t="s">
        <v>45</v>
      </c>
      <c r="D23274" s="3" t="s">
        <v>221</v>
      </c>
      <c r="E23274" s="3" t="s">
        <v>521</v>
      </c>
      <c r="F23274" s="7">
        <v>46193.762185896594</v>
      </c>
      <c r="G23274" s="3" t="s">
        <v>19895</v>
      </c>
    </row>
    <row r="23275">
      <c r="A23275" s="3" t="s">
        <v>39608</v>
      </c>
      <c r="B23275" s="3" t="s">
        <v>19208</v>
      </c>
      <c r="C23275" s="5" t="s">
        <v>221</v>
      </c>
      <c r="D23275" s="3" t="s">
        <v>614</v>
      </c>
      <c r="E23275" s="3" t="s">
        <v>118</v>
      </c>
      <c r="F23275" s="7">
        <v>46193.76565811881</v>
      </c>
      <c r="G23275" s="3" t="s">
        <v>19897</v>
      </c>
    </row>
    <row r="23276">
      <c r="A23276" s="3" t="s">
        <v>39609</v>
      </c>
      <c r="B23276" s="3" t="s">
        <v>19208</v>
      </c>
      <c r="C23276" s="5" t="s">
        <v>614</v>
      </c>
      <c r="D23276" s="3" t="s">
        <v>206</v>
      </c>
      <c r="E23276" s="3" t="s">
        <v>100</v>
      </c>
      <c r="F23276" s="7">
        <v>46193.76913034104</v>
      </c>
      <c r="G23276" s="3" t="s">
        <v>19900</v>
      </c>
    </row>
    <row r="23277">
      <c r="A23277" s="3" t="s">
        <v>39610</v>
      </c>
      <c r="B23277" s="3" t="s">
        <v>19208</v>
      </c>
      <c r="C23277" s="5" t="s">
        <v>206</v>
      </c>
      <c r="D23277" s="3" t="s">
        <v>68</v>
      </c>
      <c r="E23277" s="3" t="s">
        <v>100</v>
      </c>
      <c r="F23277" s="7">
        <v>46193.77260256326</v>
      </c>
      <c r="G23277" s="3" t="s">
        <v>19903</v>
      </c>
    </row>
    <row r="23278">
      <c r="A23278" s="3" t="s">
        <v>39611</v>
      </c>
      <c r="B23278" s="3" t="s">
        <v>19210</v>
      </c>
      <c r="C23278" s="5" t="s">
        <v>45</v>
      </c>
      <c r="D23278" s="3" t="s">
        <v>221</v>
      </c>
      <c r="E23278" s="3" t="s">
        <v>453</v>
      </c>
      <c r="F23278" s="7">
        <v>46193.833360742</v>
      </c>
      <c r="G23278" s="3" t="s">
        <v>8181</v>
      </c>
    </row>
    <row r="23279">
      <c r="A23279" s="3" t="s">
        <v>39612</v>
      </c>
      <c r="B23279" s="3" t="s">
        <v>19210</v>
      </c>
      <c r="C23279" s="5" t="s">
        <v>221</v>
      </c>
      <c r="D23279" s="3" t="s">
        <v>614</v>
      </c>
      <c r="E23279" s="3" t="s">
        <v>118</v>
      </c>
      <c r="F23279" s="7">
        <v>46193.83683296422</v>
      </c>
      <c r="G23279" s="3" t="s">
        <v>11205</v>
      </c>
    </row>
    <row r="23280">
      <c r="A23280" s="3" t="s">
        <v>39613</v>
      </c>
      <c r="B23280" s="3" t="s">
        <v>19210</v>
      </c>
      <c r="C23280" s="5" t="s">
        <v>614</v>
      </c>
      <c r="D23280" s="3" t="s">
        <v>206</v>
      </c>
      <c r="E23280" s="3" t="s">
        <v>100</v>
      </c>
      <c r="F23280" s="7">
        <v>46193.840305186444</v>
      </c>
      <c r="G23280" s="3" t="s">
        <v>11208</v>
      </c>
    </row>
    <row r="23281">
      <c r="A23281" s="3" t="s">
        <v>39614</v>
      </c>
      <c r="B23281" s="3" t="s">
        <v>19210</v>
      </c>
      <c r="C23281" s="5" t="s">
        <v>206</v>
      </c>
      <c r="D23281" s="3" t="s">
        <v>68</v>
      </c>
      <c r="E23281" s="3" t="s">
        <v>100</v>
      </c>
      <c r="F23281" s="7">
        <v>46193.84377740866</v>
      </c>
      <c r="G23281" s="3" t="s">
        <v>11211</v>
      </c>
    </row>
    <row r="23282">
      <c r="A23282" s="3" t="s">
        <v>39615</v>
      </c>
      <c r="B23282" s="3" t="s">
        <v>19213</v>
      </c>
      <c r="C23282" s="5" t="s">
        <v>45</v>
      </c>
      <c r="D23282" s="3" t="s">
        <v>221</v>
      </c>
      <c r="E23282" s="3" t="s">
        <v>704</v>
      </c>
      <c r="F23282" s="7">
        <v>46193.90453558742</v>
      </c>
      <c r="G23282" s="3" t="s">
        <v>5043</v>
      </c>
    </row>
    <row r="23283">
      <c r="A23283" s="3" t="s">
        <v>39616</v>
      </c>
      <c r="B23283" s="3" t="s">
        <v>19213</v>
      </c>
      <c r="C23283" s="5" t="s">
        <v>221</v>
      </c>
      <c r="D23283" s="3" t="s">
        <v>614</v>
      </c>
      <c r="E23283" s="3" t="s">
        <v>118</v>
      </c>
      <c r="F23283" s="7">
        <v>46193.90800780964</v>
      </c>
      <c r="G23283" s="3" t="s">
        <v>5046</v>
      </c>
    </row>
    <row r="23284">
      <c r="A23284" s="3" t="s">
        <v>39617</v>
      </c>
      <c r="B23284" s="3" t="s">
        <v>19213</v>
      </c>
      <c r="C23284" s="5" t="s">
        <v>614</v>
      </c>
      <c r="D23284" s="3" t="s">
        <v>206</v>
      </c>
      <c r="E23284" s="3" t="s">
        <v>100</v>
      </c>
      <c r="F23284" s="7">
        <v>46193.911480031864</v>
      </c>
      <c r="G23284" s="3" t="s">
        <v>5049</v>
      </c>
    </row>
    <row r="23285">
      <c r="A23285" s="3" t="s">
        <v>39618</v>
      </c>
      <c r="B23285" s="3" t="s">
        <v>19213</v>
      </c>
      <c r="C23285" s="5" t="s">
        <v>206</v>
      </c>
      <c r="D23285" s="3" t="s">
        <v>68</v>
      </c>
      <c r="E23285" s="3" t="s">
        <v>100</v>
      </c>
      <c r="F23285" s="7">
        <v>46193.91495225408</v>
      </c>
      <c r="G23285" s="3" t="s">
        <v>5052</v>
      </c>
    </row>
    <row r="23286">
      <c r="A23286" s="3" t="s">
        <v>39619</v>
      </c>
      <c r="B23286" s="3" t="s">
        <v>19215</v>
      </c>
      <c r="C23286" s="5" t="s">
        <v>45</v>
      </c>
      <c r="D23286" s="3" t="s">
        <v>221</v>
      </c>
      <c r="E23286" s="3" t="s">
        <v>900</v>
      </c>
      <c r="F23286" s="7">
        <v>46193.97571043284</v>
      </c>
      <c r="G23286" s="3" t="s">
        <v>4164</v>
      </c>
    </row>
    <row r="23287">
      <c r="A23287" s="3" t="s">
        <v>39620</v>
      </c>
      <c r="B23287" s="3" t="s">
        <v>19215</v>
      </c>
      <c r="C23287" s="5" t="s">
        <v>221</v>
      </c>
      <c r="D23287" s="3" t="s">
        <v>614</v>
      </c>
      <c r="E23287" s="3" t="s">
        <v>118</v>
      </c>
      <c r="F23287" s="7">
        <v>46193.97918265506</v>
      </c>
      <c r="G23287" s="3" t="s">
        <v>4167</v>
      </c>
    </row>
    <row r="23288">
      <c r="A23288" s="3" t="s">
        <v>39621</v>
      </c>
      <c r="B23288" s="3" t="s">
        <v>19215</v>
      </c>
      <c r="C23288" s="5" t="s">
        <v>614</v>
      </c>
      <c r="D23288" s="3" t="s">
        <v>206</v>
      </c>
      <c r="E23288" s="3" t="s">
        <v>100</v>
      </c>
      <c r="F23288" s="7">
        <v>46193.98265487728</v>
      </c>
      <c r="G23288" s="3" t="s">
        <v>4169</v>
      </c>
    </row>
    <row r="23289">
      <c r="A23289" s="3" t="s">
        <v>39622</v>
      </c>
      <c r="B23289" s="3" t="s">
        <v>19215</v>
      </c>
      <c r="C23289" s="5" t="s">
        <v>206</v>
      </c>
      <c r="D23289" s="3" t="s">
        <v>68</v>
      </c>
      <c r="E23289" s="3" t="s">
        <v>100</v>
      </c>
      <c r="F23289" s="7">
        <v>46193.9861270995</v>
      </c>
      <c r="G23289" s="3" t="s">
        <v>4172</v>
      </c>
    </row>
    <row r="23290">
      <c r="A23290" s="3" t="s">
        <v>39623</v>
      </c>
      <c r="B23290" s="3" t="s">
        <v>19217</v>
      </c>
      <c r="C23290" s="5" t="s">
        <v>45</v>
      </c>
      <c r="D23290" s="3" t="s">
        <v>221</v>
      </c>
      <c r="E23290" s="3" t="s">
        <v>313</v>
      </c>
      <c r="F23290" s="7">
        <v>46194.04688527825</v>
      </c>
      <c r="G23290" s="3" t="s">
        <v>5314</v>
      </c>
    </row>
    <row r="23291">
      <c r="A23291" s="3" t="s">
        <v>39624</v>
      </c>
      <c r="B23291" s="3" t="s">
        <v>19217</v>
      </c>
      <c r="C23291" s="5" t="s">
        <v>221</v>
      </c>
      <c r="D23291" s="3" t="s">
        <v>614</v>
      </c>
      <c r="E23291" s="3" t="s">
        <v>118</v>
      </c>
      <c r="F23291" s="7">
        <v>46194.05035750047</v>
      </c>
      <c r="G23291" s="3" t="s">
        <v>5317</v>
      </c>
    </row>
    <row r="23292">
      <c r="A23292" s="3" t="s">
        <v>39625</v>
      </c>
      <c r="B23292" s="3" t="s">
        <v>19217</v>
      </c>
      <c r="C23292" s="5" t="s">
        <v>614</v>
      </c>
      <c r="D23292" s="3" t="s">
        <v>206</v>
      </c>
      <c r="E23292" s="3" t="s">
        <v>100</v>
      </c>
      <c r="F23292" s="7">
        <v>46194.053829722696</v>
      </c>
      <c r="G23292" s="3" t="s">
        <v>5320</v>
      </c>
    </row>
    <row r="23293">
      <c r="A23293" s="3" t="s">
        <v>39626</v>
      </c>
      <c r="B23293" s="3" t="s">
        <v>19217</v>
      </c>
      <c r="C23293" s="5" t="s">
        <v>206</v>
      </c>
      <c r="D23293" s="3" t="s">
        <v>68</v>
      </c>
      <c r="E23293" s="3" t="s">
        <v>100</v>
      </c>
      <c r="F23293" s="7">
        <v>46194.057301944915</v>
      </c>
      <c r="G23293" s="3" t="s">
        <v>5323</v>
      </c>
    </row>
    <row r="23294">
      <c r="A23294" s="3" t="s">
        <v>39627</v>
      </c>
      <c r="B23294" s="3" t="s">
        <v>19219</v>
      </c>
      <c r="C23294" s="5" t="s">
        <v>45</v>
      </c>
      <c r="D23294" s="3" t="s">
        <v>221</v>
      </c>
      <c r="E23294" s="3" t="s">
        <v>168</v>
      </c>
      <c r="F23294" s="7">
        <v>46194.11806012366</v>
      </c>
      <c r="G23294" s="3" t="s">
        <v>36537</v>
      </c>
    </row>
    <row r="23295">
      <c r="A23295" s="3" t="s">
        <v>39628</v>
      </c>
      <c r="B23295" s="3" t="s">
        <v>19219</v>
      </c>
      <c r="C23295" s="5" t="s">
        <v>221</v>
      </c>
      <c r="D23295" s="3" t="s">
        <v>614</v>
      </c>
      <c r="E23295" s="3" t="s">
        <v>118</v>
      </c>
      <c r="F23295" s="7">
        <v>46194.12153234588</v>
      </c>
      <c r="G23295" s="3" t="s">
        <v>36546</v>
      </c>
    </row>
    <row r="23296">
      <c r="A23296" s="3" t="s">
        <v>39629</v>
      </c>
      <c r="B23296" s="3" t="s">
        <v>19219</v>
      </c>
      <c r="C23296" s="5" t="s">
        <v>614</v>
      </c>
      <c r="D23296" s="3" t="s">
        <v>206</v>
      </c>
      <c r="E23296" s="3" t="s">
        <v>100</v>
      </c>
      <c r="F23296" s="7">
        <v>46194.12500456811</v>
      </c>
      <c r="G23296" s="3" t="s">
        <v>36548</v>
      </c>
    </row>
    <row r="23297">
      <c r="A23297" s="3" t="s">
        <v>39630</v>
      </c>
      <c r="B23297" s="3" t="s">
        <v>19219</v>
      </c>
      <c r="C23297" s="5" t="s">
        <v>206</v>
      </c>
      <c r="D23297" s="3" t="s">
        <v>68</v>
      </c>
      <c r="E23297" s="3" t="s">
        <v>100</v>
      </c>
      <c r="F23297" s="7">
        <v>46194.12847679033</v>
      </c>
      <c r="G23297" s="3" t="s">
        <v>36550</v>
      </c>
    </row>
    <row r="23298">
      <c r="A23298" s="3" t="s">
        <v>39631</v>
      </c>
      <c r="B23298" s="3" t="s">
        <v>19221</v>
      </c>
      <c r="C23298" s="5" t="s">
        <v>45</v>
      </c>
      <c r="D23298" s="3" t="s">
        <v>221</v>
      </c>
      <c r="E23298" s="3" t="s">
        <v>247</v>
      </c>
      <c r="F23298" s="7">
        <v>46194.18923496908</v>
      </c>
      <c r="G23298" s="3" t="s">
        <v>7284</v>
      </c>
    </row>
    <row r="23299">
      <c r="A23299" s="3" t="s">
        <v>39632</v>
      </c>
      <c r="B23299" s="3" t="s">
        <v>19221</v>
      </c>
      <c r="C23299" s="5" t="s">
        <v>221</v>
      </c>
      <c r="D23299" s="3" t="s">
        <v>614</v>
      </c>
      <c r="E23299" s="3" t="s">
        <v>118</v>
      </c>
      <c r="F23299" s="7">
        <v>46194.1927071913</v>
      </c>
      <c r="G23299" s="3" t="s">
        <v>7287</v>
      </c>
    </row>
    <row r="23300">
      <c r="A23300" s="3" t="s">
        <v>39633</v>
      </c>
      <c r="B23300" s="3" t="s">
        <v>19221</v>
      </c>
      <c r="C23300" s="5" t="s">
        <v>614</v>
      </c>
      <c r="D23300" s="3" t="s">
        <v>206</v>
      </c>
      <c r="E23300" s="3" t="s">
        <v>100</v>
      </c>
      <c r="F23300" s="7">
        <v>46194.19617941353</v>
      </c>
      <c r="G23300" s="3" t="s">
        <v>7290</v>
      </c>
    </row>
    <row r="23301">
      <c r="A23301" s="3" t="s">
        <v>39634</v>
      </c>
      <c r="B23301" s="3" t="s">
        <v>19221</v>
      </c>
      <c r="C23301" s="5" t="s">
        <v>206</v>
      </c>
      <c r="D23301" s="3" t="s">
        <v>68</v>
      </c>
      <c r="E23301" s="3" t="s">
        <v>100</v>
      </c>
      <c r="F23301" s="7">
        <v>46194.19965163575</v>
      </c>
      <c r="G23301" s="3" t="s">
        <v>7293</v>
      </c>
    </row>
    <row r="23302">
      <c r="A23302" s="3" t="s">
        <v>39635</v>
      </c>
      <c r="B23302" s="3" t="s">
        <v>19225</v>
      </c>
      <c r="C23302" s="5" t="s">
        <v>45</v>
      </c>
      <c r="D23302" s="3" t="s">
        <v>221</v>
      </c>
      <c r="E23302" s="3" t="s">
        <v>215</v>
      </c>
      <c r="F23302" s="7">
        <v>46194.260409814495</v>
      </c>
      <c r="G23302" s="3" t="s">
        <v>6857</v>
      </c>
    </row>
    <row r="23303">
      <c r="A23303" s="3" t="s">
        <v>39636</v>
      </c>
      <c r="B23303" s="3" t="s">
        <v>19225</v>
      </c>
      <c r="C23303" s="5" t="s">
        <v>221</v>
      </c>
      <c r="D23303" s="3" t="s">
        <v>614</v>
      </c>
      <c r="E23303" s="3" t="s">
        <v>118</v>
      </c>
      <c r="F23303" s="7">
        <v>46194.263882036714</v>
      </c>
      <c r="G23303" s="3" t="s">
        <v>6859</v>
      </c>
    </row>
    <row r="23304">
      <c r="A23304" s="3" t="s">
        <v>39637</v>
      </c>
      <c r="B23304" s="3" t="s">
        <v>19225</v>
      </c>
      <c r="C23304" s="5" t="s">
        <v>614</v>
      </c>
      <c r="D23304" s="3" t="s">
        <v>206</v>
      </c>
      <c r="E23304" s="3" t="s">
        <v>100</v>
      </c>
      <c r="F23304" s="7">
        <v>46194.26735425894</v>
      </c>
      <c r="G23304" s="3" t="s">
        <v>6862</v>
      </c>
    </row>
    <row r="23305">
      <c r="A23305" s="3" t="s">
        <v>39638</v>
      </c>
      <c r="B23305" s="3" t="s">
        <v>19225</v>
      </c>
      <c r="C23305" s="5" t="s">
        <v>206</v>
      </c>
      <c r="D23305" s="3" t="s">
        <v>68</v>
      </c>
      <c r="E23305" s="3" t="s">
        <v>100</v>
      </c>
      <c r="F23305" s="7">
        <v>46194.27082648116</v>
      </c>
      <c r="G23305" s="3" t="s">
        <v>6865</v>
      </c>
    </row>
    <row r="23306">
      <c r="A23306" s="3" t="s">
        <v>39639</v>
      </c>
      <c r="B23306" s="3" t="s">
        <v>19229</v>
      </c>
      <c r="C23306" s="5" t="s">
        <v>45</v>
      </c>
      <c r="D23306" s="3" t="s">
        <v>221</v>
      </c>
      <c r="E23306" s="3" t="s">
        <v>544</v>
      </c>
      <c r="F23306" s="7">
        <v>46194.33158465991</v>
      </c>
      <c r="G23306" s="3" t="s">
        <v>8327</v>
      </c>
    </row>
    <row r="23307">
      <c r="A23307" s="3" t="s">
        <v>39640</v>
      </c>
      <c r="B23307" s="3" t="s">
        <v>19229</v>
      </c>
      <c r="C23307" s="5" t="s">
        <v>221</v>
      </c>
      <c r="D23307" s="3" t="s">
        <v>614</v>
      </c>
      <c r="E23307" s="3" t="s">
        <v>118</v>
      </c>
      <c r="F23307" s="7">
        <v>46194.335056882126</v>
      </c>
      <c r="G23307" s="3" t="s">
        <v>10208</v>
      </c>
    </row>
    <row r="23308">
      <c r="A23308" s="3" t="s">
        <v>39641</v>
      </c>
      <c r="B23308" s="3" t="s">
        <v>19229</v>
      </c>
      <c r="C23308" s="5" t="s">
        <v>614</v>
      </c>
      <c r="D23308" s="3" t="s">
        <v>206</v>
      </c>
      <c r="E23308" s="3" t="s">
        <v>100</v>
      </c>
      <c r="F23308" s="7">
        <v>46194.33852910435</v>
      </c>
      <c r="G23308" s="3" t="s">
        <v>10211</v>
      </c>
    </row>
    <row r="23309">
      <c r="A23309" s="3" t="s">
        <v>39642</v>
      </c>
      <c r="B23309" s="3" t="s">
        <v>19229</v>
      </c>
      <c r="C23309" s="5" t="s">
        <v>206</v>
      </c>
      <c r="D23309" s="3" t="s">
        <v>68</v>
      </c>
      <c r="E23309" s="3" t="s">
        <v>100</v>
      </c>
      <c r="F23309" s="7">
        <v>46194.34200132657</v>
      </c>
      <c r="G23309" s="3" t="s">
        <v>10213</v>
      </c>
    </row>
    <row r="23310">
      <c r="A23310" s="3" t="s">
        <v>39643</v>
      </c>
      <c r="B23310" s="3" t="s">
        <v>19232</v>
      </c>
      <c r="C23310" s="5" t="s">
        <v>45</v>
      </c>
      <c r="D23310" s="3" t="s">
        <v>221</v>
      </c>
      <c r="E23310" s="3" t="s">
        <v>682</v>
      </c>
      <c r="F23310" s="7">
        <v>46194.40275950533</v>
      </c>
      <c r="G23310" s="3" t="s">
        <v>5377</v>
      </c>
    </row>
    <row r="23311">
      <c r="A23311" s="3" t="s">
        <v>39644</v>
      </c>
      <c r="B23311" s="3" t="s">
        <v>19232</v>
      </c>
      <c r="C23311" s="5" t="s">
        <v>221</v>
      </c>
      <c r="D23311" s="3" t="s">
        <v>614</v>
      </c>
      <c r="E23311" s="3" t="s">
        <v>118</v>
      </c>
      <c r="F23311" s="7">
        <v>46194.406231727546</v>
      </c>
      <c r="G23311" s="3" t="s">
        <v>5380</v>
      </c>
    </row>
    <row r="23312">
      <c r="A23312" s="3" t="s">
        <v>39645</v>
      </c>
      <c r="B23312" s="3" t="s">
        <v>19232</v>
      </c>
      <c r="C23312" s="5" t="s">
        <v>614</v>
      </c>
      <c r="D23312" s="3" t="s">
        <v>206</v>
      </c>
      <c r="E23312" s="3" t="s">
        <v>100</v>
      </c>
      <c r="F23312" s="7">
        <v>46194.40970394977</v>
      </c>
      <c r="G23312" s="3" t="s">
        <v>5383</v>
      </c>
    </row>
    <row r="23313">
      <c r="A23313" s="3" t="s">
        <v>39646</v>
      </c>
      <c r="B23313" s="3" t="s">
        <v>19232</v>
      </c>
      <c r="C23313" s="5" t="s">
        <v>206</v>
      </c>
      <c r="D23313" s="3" t="s">
        <v>68</v>
      </c>
      <c r="E23313" s="3" t="s">
        <v>100</v>
      </c>
      <c r="F23313" s="7">
        <v>46194.41317617199</v>
      </c>
      <c r="G23313" s="3" t="s">
        <v>5386</v>
      </c>
    </row>
    <row r="23314">
      <c r="A23314" s="3" t="s">
        <v>39647</v>
      </c>
      <c r="B23314" s="3" t="s">
        <v>19234</v>
      </c>
      <c r="C23314" s="5" t="s">
        <v>45</v>
      </c>
      <c r="D23314" s="3" t="s">
        <v>221</v>
      </c>
      <c r="E23314" s="3" t="s">
        <v>990</v>
      </c>
      <c r="F23314" s="7">
        <v>46194.473934350746</v>
      </c>
      <c r="G23314" s="3" t="s">
        <v>5548</v>
      </c>
    </row>
    <row r="23315">
      <c r="A23315" s="3" t="s">
        <v>39648</v>
      </c>
      <c r="B23315" s="3" t="s">
        <v>19234</v>
      </c>
      <c r="C23315" s="5" t="s">
        <v>221</v>
      </c>
      <c r="D23315" s="3" t="s">
        <v>614</v>
      </c>
      <c r="E23315" s="3" t="s">
        <v>118</v>
      </c>
      <c r="F23315" s="7">
        <v>46194.477406572965</v>
      </c>
      <c r="G23315" s="3" t="s">
        <v>5551</v>
      </c>
    </row>
    <row r="23316">
      <c r="A23316" s="3" t="s">
        <v>39649</v>
      </c>
      <c r="B23316" s="3" t="s">
        <v>19234</v>
      </c>
      <c r="C23316" s="5" t="s">
        <v>614</v>
      </c>
      <c r="D23316" s="3" t="s">
        <v>206</v>
      </c>
      <c r="E23316" s="3" t="s">
        <v>100</v>
      </c>
      <c r="F23316" s="7">
        <v>46194.48087879519</v>
      </c>
      <c r="G23316" s="3" t="s">
        <v>5554</v>
      </c>
    </row>
    <row r="23317">
      <c r="A23317" s="3" t="s">
        <v>39650</v>
      </c>
      <c r="B23317" s="3" t="s">
        <v>19234</v>
      </c>
      <c r="C23317" s="5" t="s">
        <v>206</v>
      </c>
      <c r="D23317" s="3" t="s">
        <v>68</v>
      </c>
      <c r="E23317" s="3" t="s">
        <v>100</v>
      </c>
      <c r="F23317" s="7">
        <v>46194.48435101741</v>
      </c>
      <c r="G23317" s="3" t="s">
        <v>5556</v>
      </c>
    </row>
    <row r="23318">
      <c r="A23318" s="3" t="s">
        <v>39651</v>
      </c>
      <c r="B23318" s="3" t="s">
        <v>19236</v>
      </c>
      <c r="C23318" s="5" t="s">
        <v>45</v>
      </c>
      <c r="D23318" s="3" t="s">
        <v>221</v>
      </c>
      <c r="E23318" s="3" t="s">
        <v>208</v>
      </c>
      <c r="F23318" s="7">
        <v>46194.54510919615</v>
      </c>
      <c r="G23318" s="3" t="s">
        <v>19961</v>
      </c>
    </row>
    <row r="23319">
      <c r="A23319" s="3" t="s">
        <v>39652</v>
      </c>
      <c r="B23319" s="3" t="s">
        <v>19236</v>
      </c>
      <c r="C23319" s="5" t="s">
        <v>221</v>
      </c>
      <c r="D23319" s="3" t="s">
        <v>181</v>
      </c>
      <c r="E23319" s="3" t="s">
        <v>118</v>
      </c>
      <c r="F23319" s="7">
        <v>46194.54858141837</v>
      </c>
      <c r="G23319" s="3" t="s">
        <v>37912</v>
      </c>
    </row>
    <row r="23320">
      <c r="A23320" s="3" t="s">
        <v>39653</v>
      </c>
      <c r="B23320" s="3" t="s">
        <v>19238</v>
      </c>
      <c r="C23320" s="5" t="s">
        <v>45</v>
      </c>
      <c r="D23320" s="3" t="s">
        <v>221</v>
      </c>
      <c r="E23320" s="3" t="s">
        <v>605</v>
      </c>
      <c r="F23320" s="7">
        <v>46194.61628404157</v>
      </c>
      <c r="G23320" s="3" t="s">
        <v>23169</v>
      </c>
    </row>
    <row r="23321">
      <c r="A23321" s="3" t="s">
        <v>39654</v>
      </c>
      <c r="B23321" s="3" t="s">
        <v>19238</v>
      </c>
      <c r="C23321" s="5" t="s">
        <v>221</v>
      </c>
      <c r="D23321" s="3" t="s">
        <v>614</v>
      </c>
      <c r="E23321" s="3" t="s">
        <v>118</v>
      </c>
      <c r="F23321" s="7">
        <v>46194.61975626379</v>
      </c>
      <c r="G23321" s="3" t="s">
        <v>23172</v>
      </c>
    </row>
    <row r="23322">
      <c r="A23322" s="3" t="s">
        <v>39655</v>
      </c>
      <c r="B23322" s="3" t="s">
        <v>19238</v>
      </c>
      <c r="C23322" s="5" t="s">
        <v>614</v>
      </c>
      <c r="D23322" s="3" t="s">
        <v>206</v>
      </c>
      <c r="E23322" s="3" t="s">
        <v>100</v>
      </c>
      <c r="F23322" s="7">
        <v>46194.623228486016</v>
      </c>
      <c r="G23322" s="3" t="s">
        <v>23175</v>
      </c>
    </row>
    <row r="23323">
      <c r="A23323" s="3" t="s">
        <v>39656</v>
      </c>
      <c r="B23323" s="3" t="s">
        <v>19238</v>
      </c>
      <c r="C23323" s="5" t="s">
        <v>206</v>
      </c>
      <c r="D23323" s="3" t="s">
        <v>68</v>
      </c>
      <c r="E23323" s="3" t="s">
        <v>100</v>
      </c>
      <c r="F23323" s="7">
        <v>46194.626700708235</v>
      </c>
      <c r="G23323" s="3" t="s">
        <v>23178</v>
      </c>
    </row>
    <row r="23324">
      <c r="A23324" s="3" t="s">
        <v>39657</v>
      </c>
      <c r="B23324" s="3" t="s">
        <v>19240</v>
      </c>
      <c r="C23324" s="5" t="s">
        <v>45</v>
      </c>
      <c r="D23324" s="3" t="s">
        <v>221</v>
      </c>
      <c r="E23324" s="3" t="s">
        <v>691</v>
      </c>
      <c r="F23324" s="7">
        <v>46194.68745888698</v>
      </c>
      <c r="G23324" s="3" t="s">
        <v>9343</v>
      </c>
    </row>
    <row r="23325">
      <c r="A23325" s="3" t="s">
        <v>39658</v>
      </c>
      <c r="B23325" s="3" t="s">
        <v>19240</v>
      </c>
      <c r="C23325" s="5" t="s">
        <v>221</v>
      </c>
      <c r="D23325" s="3" t="s">
        <v>614</v>
      </c>
      <c r="E23325" s="3" t="s">
        <v>118</v>
      </c>
      <c r="F23325" s="7">
        <v>46194.6909311092</v>
      </c>
      <c r="G23325" s="3" t="s">
        <v>9346</v>
      </c>
    </row>
    <row r="23326">
      <c r="A23326" s="3" t="s">
        <v>39659</v>
      </c>
      <c r="B23326" s="3" t="s">
        <v>19240</v>
      </c>
      <c r="C23326" s="5" t="s">
        <v>614</v>
      </c>
      <c r="D23326" s="3" t="s">
        <v>206</v>
      </c>
      <c r="E23326" s="3" t="s">
        <v>100</v>
      </c>
      <c r="F23326" s="7">
        <v>46194.69440333143</v>
      </c>
      <c r="G23326" s="3" t="s">
        <v>9349</v>
      </c>
    </row>
    <row r="23327">
      <c r="A23327" s="3" t="s">
        <v>39660</v>
      </c>
      <c r="B23327" s="3" t="s">
        <v>19240</v>
      </c>
      <c r="C23327" s="5" t="s">
        <v>206</v>
      </c>
      <c r="D23327" s="3" t="s">
        <v>68</v>
      </c>
      <c r="E23327" s="3" t="s">
        <v>100</v>
      </c>
      <c r="F23327" s="7">
        <v>46194.69787555365</v>
      </c>
      <c r="G23327" s="3" t="s">
        <v>9352</v>
      </c>
    </row>
    <row r="23328">
      <c r="A23328" s="3" t="s">
        <v>39661</v>
      </c>
      <c r="B23328" s="3" t="s">
        <v>19243</v>
      </c>
      <c r="C23328" s="5" t="s">
        <v>45</v>
      </c>
      <c r="D23328" s="3" t="s">
        <v>221</v>
      </c>
      <c r="E23328" s="3" t="s">
        <v>151</v>
      </c>
      <c r="F23328" s="7">
        <v>46194.7586337324</v>
      </c>
      <c r="G23328" s="3" t="s">
        <v>5559</v>
      </c>
    </row>
    <row r="23329">
      <c r="A23329" s="3" t="s">
        <v>39662</v>
      </c>
      <c r="B23329" s="3" t="s">
        <v>19243</v>
      </c>
      <c r="C23329" s="5" t="s">
        <v>221</v>
      </c>
      <c r="D23329" s="3" t="s">
        <v>614</v>
      </c>
      <c r="E23329" s="3" t="s">
        <v>118</v>
      </c>
      <c r="F23329" s="7">
        <v>46194.76210595462</v>
      </c>
      <c r="G23329" s="3" t="s">
        <v>5562</v>
      </c>
    </row>
    <row r="23330">
      <c r="A23330" s="3" t="s">
        <v>39663</v>
      </c>
      <c r="B23330" s="3" t="s">
        <v>19243</v>
      </c>
      <c r="C23330" s="5" t="s">
        <v>614</v>
      </c>
      <c r="D23330" s="3" t="s">
        <v>206</v>
      </c>
      <c r="E23330" s="3" t="s">
        <v>100</v>
      </c>
      <c r="F23330" s="7">
        <v>46194.76557817685</v>
      </c>
      <c r="G23330" s="3" t="s">
        <v>5565</v>
      </c>
    </row>
    <row r="23331">
      <c r="A23331" s="3" t="s">
        <v>39664</v>
      </c>
      <c r="B23331" s="3" t="s">
        <v>19243</v>
      </c>
      <c r="C23331" s="5" t="s">
        <v>206</v>
      </c>
      <c r="D23331" s="3" t="s">
        <v>68</v>
      </c>
      <c r="E23331" s="3" t="s">
        <v>100</v>
      </c>
      <c r="F23331" s="7">
        <v>46194.76905039907</v>
      </c>
      <c r="G23331" s="3" t="s">
        <v>5568</v>
      </c>
    </row>
    <row r="23332">
      <c r="A23332" s="3" t="s">
        <v>39665</v>
      </c>
      <c r="B23332" s="3" t="s">
        <v>19245</v>
      </c>
      <c r="C23332" s="5" t="s">
        <v>45</v>
      </c>
      <c r="D23332" s="3" t="s">
        <v>221</v>
      </c>
      <c r="E23332" s="3" t="s">
        <v>322</v>
      </c>
      <c r="F23332" s="7">
        <v>46194.829808577815</v>
      </c>
      <c r="G23332" s="3" t="s">
        <v>6498</v>
      </c>
    </row>
    <row r="23333">
      <c r="A23333" s="3" t="s">
        <v>39666</v>
      </c>
      <c r="B23333" s="3" t="s">
        <v>19245</v>
      </c>
      <c r="C23333" s="5" t="s">
        <v>221</v>
      </c>
      <c r="D23333" s="3" t="s">
        <v>614</v>
      </c>
      <c r="E23333" s="3" t="s">
        <v>118</v>
      </c>
      <c r="F23333" s="7">
        <v>46194.833280800034</v>
      </c>
      <c r="G23333" s="3" t="s">
        <v>6501</v>
      </c>
    </row>
    <row r="23334">
      <c r="A23334" s="3" t="s">
        <v>39667</v>
      </c>
      <c r="B23334" s="3" t="s">
        <v>19245</v>
      </c>
      <c r="C23334" s="5" t="s">
        <v>614</v>
      </c>
      <c r="D23334" s="3" t="s">
        <v>206</v>
      </c>
      <c r="E23334" s="3" t="s">
        <v>100</v>
      </c>
      <c r="F23334" s="7">
        <v>46194.83675302226</v>
      </c>
      <c r="G23334" s="3" t="s">
        <v>6504</v>
      </c>
    </row>
    <row r="23335">
      <c r="A23335" s="3" t="s">
        <v>39668</v>
      </c>
      <c r="B23335" s="3" t="s">
        <v>19245</v>
      </c>
      <c r="C23335" s="5" t="s">
        <v>206</v>
      </c>
      <c r="D23335" s="3" t="s">
        <v>68</v>
      </c>
      <c r="E23335" s="3" t="s">
        <v>100</v>
      </c>
      <c r="F23335" s="7">
        <v>46194.84022524448</v>
      </c>
      <c r="G23335" s="3" t="s">
        <v>6507</v>
      </c>
    </row>
    <row r="23336">
      <c r="A23336" s="3" t="s">
        <v>39669</v>
      </c>
      <c r="B23336" s="3" t="s">
        <v>19247</v>
      </c>
      <c r="C23336" s="5" t="s">
        <v>45</v>
      </c>
      <c r="D23336" s="3" t="s">
        <v>221</v>
      </c>
      <c r="E23336" s="3" t="s">
        <v>165</v>
      </c>
      <c r="F23336" s="7">
        <v>46194.900983423235</v>
      </c>
      <c r="G23336" s="3" t="s">
        <v>24623</v>
      </c>
    </row>
    <row r="23337">
      <c r="A23337" s="3" t="s">
        <v>39670</v>
      </c>
      <c r="B23337" s="3" t="s">
        <v>19247</v>
      </c>
      <c r="C23337" s="5" t="s">
        <v>221</v>
      </c>
      <c r="D23337" s="3" t="s">
        <v>195</v>
      </c>
      <c r="E23337" s="3" t="s">
        <v>165</v>
      </c>
      <c r="F23337" s="7">
        <v>46194.904455645454</v>
      </c>
      <c r="G23337" s="3" t="s">
        <v>39671</v>
      </c>
    </row>
    <row r="23338">
      <c r="A23338" s="3" t="s">
        <v>39672</v>
      </c>
      <c r="B23338" s="3" t="s">
        <v>19249</v>
      </c>
      <c r="C23338" s="5" t="s">
        <v>45</v>
      </c>
      <c r="D23338" s="3" t="s">
        <v>221</v>
      </c>
      <c r="E23338" s="3" t="s">
        <v>587</v>
      </c>
      <c r="F23338" s="7">
        <v>46194.97215826865</v>
      </c>
      <c r="G23338" s="3" t="s">
        <v>24498</v>
      </c>
    </row>
    <row r="23339">
      <c r="A23339" s="3" t="s">
        <v>39673</v>
      </c>
      <c r="B23339" s="3" t="s">
        <v>19249</v>
      </c>
      <c r="C23339" s="5" t="s">
        <v>221</v>
      </c>
      <c r="D23339" s="3" t="s">
        <v>614</v>
      </c>
      <c r="E23339" s="3" t="s">
        <v>118</v>
      </c>
      <c r="F23339" s="7">
        <v>46194.975630490866</v>
      </c>
      <c r="G23339" s="3" t="s">
        <v>24500</v>
      </c>
    </row>
    <row r="23340">
      <c r="A23340" s="3" t="s">
        <v>39674</v>
      </c>
      <c r="B23340" s="3" t="s">
        <v>19249</v>
      </c>
      <c r="C23340" s="5" t="s">
        <v>614</v>
      </c>
      <c r="D23340" s="3" t="s">
        <v>206</v>
      </c>
      <c r="E23340" s="3" t="s">
        <v>100</v>
      </c>
      <c r="F23340" s="7">
        <v>46194.97910271309</v>
      </c>
      <c r="G23340" s="3" t="s">
        <v>24502</v>
      </c>
    </row>
    <row r="23341">
      <c r="A23341" s="3" t="s">
        <v>39675</v>
      </c>
      <c r="B23341" s="3" t="s">
        <v>19249</v>
      </c>
      <c r="C23341" s="5" t="s">
        <v>206</v>
      </c>
      <c r="D23341" s="3" t="s">
        <v>68</v>
      </c>
      <c r="E23341" s="3" t="s">
        <v>100</v>
      </c>
      <c r="F23341" s="7">
        <v>46194.98257493531</v>
      </c>
      <c r="G23341" s="3" t="s">
        <v>24504</v>
      </c>
    </row>
    <row r="23342">
      <c r="A23342" s="3" t="s">
        <v>39676</v>
      </c>
      <c r="B23342" s="3" t="s">
        <v>19251</v>
      </c>
      <c r="C23342" s="5" t="s">
        <v>45</v>
      </c>
      <c r="D23342" s="3" t="s">
        <v>221</v>
      </c>
      <c r="E23342" s="3" t="s">
        <v>233</v>
      </c>
      <c r="F23342" s="7">
        <v>46195.04333311406</v>
      </c>
      <c r="G23342" s="3" t="s">
        <v>5631</v>
      </c>
    </row>
    <row r="23343">
      <c r="A23343" s="3" t="s">
        <v>39677</v>
      </c>
      <c r="B23343" s="3" t="s">
        <v>19251</v>
      </c>
      <c r="C23343" s="5" t="s">
        <v>221</v>
      </c>
      <c r="D23343" s="3" t="s">
        <v>614</v>
      </c>
      <c r="E23343" s="3" t="s">
        <v>118</v>
      </c>
      <c r="F23343" s="7">
        <v>46195.04680533628</v>
      </c>
      <c r="G23343" s="3" t="s">
        <v>5634</v>
      </c>
    </row>
    <row r="23344">
      <c r="A23344" s="3" t="s">
        <v>39678</v>
      </c>
      <c r="B23344" s="3" t="s">
        <v>19251</v>
      </c>
      <c r="C23344" s="5" t="s">
        <v>614</v>
      </c>
      <c r="D23344" s="3" t="s">
        <v>206</v>
      </c>
      <c r="E23344" s="3" t="s">
        <v>100</v>
      </c>
      <c r="F23344" s="7">
        <v>46195.050277558505</v>
      </c>
      <c r="G23344" s="3" t="s">
        <v>5636</v>
      </c>
    </row>
    <row r="23345">
      <c r="A23345" s="3" t="s">
        <v>39679</v>
      </c>
      <c r="B23345" s="3" t="s">
        <v>19251</v>
      </c>
      <c r="C23345" s="5" t="s">
        <v>206</v>
      </c>
      <c r="D23345" s="3" t="s">
        <v>68</v>
      </c>
      <c r="E23345" s="3" t="s">
        <v>100</v>
      </c>
      <c r="F23345" s="7">
        <v>46195.05374978072</v>
      </c>
      <c r="G23345" s="3" t="s">
        <v>5639</v>
      </c>
    </row>
    <row r="23346">
      <c r="A23346" s="3" t="s">
        <v>39680</v>
      </c>
      <c r="B23346" s="3" t="s">
        <v>19253</v>
      </c>
      <c r="C23346" s="5" t="s">
        <v>45</v>
      </c>
      <c r="D23346" s="3" t="s">
        <v>221</v>
      </c>
      <c r="E23346" s="3" t="s">
        <v>243</v>
      </c>
      <c r="F23346" s="7">
        <v>46195.11450795948</v>
      </c>
      <c r="G23346" s="3" t="s">
        <v>6637</v>
      </c>
    </row>
    <row r="23347">
      <c r="A23347" s="3" t="s">
        <v>39681</v>
      </c>
      <c r="B23347" s="3" t="s">
        <v>19253</v>
      </c>
      <c r="C23347" s="5" t="s">
        <v>221</v>
      </c>
      <c r="D23347" s="3" t="s">
        <v>614</v>
      </c>
      <c r="E23347" s="3" t="s">
        <v>118</v>
      </c>
      <c r="F23347" s="7">
        <v>46195.1179801817</v>
      </c>
      <c r="G23347" s="3" t="s">
        <v>6640</v>
      </c>
    </row>
    <row r="23348">
      <c r="A23348" s="3" t="s">
        <v>39682</v>
      </c>
      <c r="B23348" s="3" t="s">
        <v>19253</v>
      </c>
      <c r="C23348" s="5" t="s">
        <v>614</v>
      </c>
      <c r="D23348" s="3" t="s">
        <v>206</v>
      </c>
      <c r="E23348" s="3" t="s">
        <v>100</v>
      </c>
      <c r="F23348" s="7">
        <v>46195.121452403924</v>
      </c>
      <c r="G23348" s="3" t="s">
        <v>6642</v>
      </c>
    </row>
    <row r="23349">
      <c r="A23349" s="3" t="s">
        <v>39683</v>
      </c>
      <c r="B23349" s="3" t="s">
        <v>19253</v>
      </c>
      <c r="C23349" s="5" t="s">
        <v>206</v>
      </c>
      <c r="D23349" s="3" t="s">
        <v>68</v>
      </c>
      <c r="E23349" s="3" t="s">
        <v>100</v>
      </c>
      <c r="F23349" s="7">
        <v>46195.12492462614</v>
      </c>
      <c r="G23349" s="3" t="s">
        <v>6645</v>
      </c>
    </row>
    <row r="23350">
      <c r="A23350" s="3" t="s">
        <v>39684</v>
      </c>
      <c r="B23350" s="3" t="s">
        <v>19255</v>
      </c>
      <c r="C23350" s="5" t="s">
        <v>45</v>
      </c>
      <c r="D23350" s="3" t="s">
        <v>221</v>
      </c>
      <c r="E23350" s="3" t="s">
        <v>204</v>
      </c>
      <c r="F23350" s="7">
        <v>46195.18568280489</v>
      </c>
      <c r="G23350" s="3" t="s">
        <v>24654</v>
      </c>
    </row>
    <row r="23351">
      <c r="A23351" s="3" t="s">
        <v>39685</v>
      </c>
      <c r="B23351" s="3" t="s">
        <v>19255</v>
      </c>
      <c r="C23351" s="5" t="s">
        <v>221</v>
      </c>
      <c r="D23351" s="3" t="s">
        <v>614</v>
      </c>
      <c r="E23351" s="3" t="s">
        <v>118</v>
      </c>
      <c r="F23351" s="7">
        <v>46195.18915502711</v>
      </c>
      <c r="G23351" s="3" t="s">
        <v>27459</v>
      </c>
    </row>
    <row r="23352">
      <c r="A23352" s="3" t="s">
        <v>39686</v>
      </c>
      <c r="B23352" s="3" t="s">
        <v>19255</v>
      </c>
      <c r="C23352" s="5" t="s">
        <v>614</v>
      </c>
      <c r="D23352" s="3" t="s">
        <v>206</v>
      </c>
      <c r="E23352" s="3" t="s">
        <v>100</v>
      </c>
      <c r="F23352" s="7">
        <v>46195.19262724934</v>
      </c>
      <c r="G23352" s="3" t="s">
        <v>27461</v>
      </c>
    </row>
    <row r="23353">
      <c r="A23353" s="3" t="s">
        <v>39687</v>
      </c>
      <c r="B23353" s="3" t="s">
        <v>19255</v>
      </c>
      <c r="C23353" s="5" t="s">
        <v>206</v>
      </c>
      <c r="D23353" s="3" t="s">
        <v>68</v>
      </c>
      <c r="E23353" s="3" t="s">
        <v>100</v>
      </c>
      <c r="F23353" s="7">
        <v>46195.196099471555</v>
      </c>
      <c r="G23353" s="3" t="s">
        <v>27463</v>
      </c>
    </row>
    <row r="23354">
      <c r="A23354" s="3" t="s">
        <v>39688</v>
      </c>
      <c r="B23354" s="3" t="s">
        <v>19256</v>
      </c>
      <c r="C23354" s="5" t="s">
        <v>45</v>
      </c>
      <c r="D23354" s="3" t="s">
        <v>221</v>
      </c>
      <c r="E23354" s="3" t="s">
        <v>424</v>
      </c>
      <c r="F23354" s="7">
        <v>46195.2568576503</v>
      </c>
      <c r="G23354" s="3" t="s">
        <v>5744</v>
      </c>
    </row>
    <row r="23355">
      <c r="A23355" s="3" t="s">
        <v>39689</v>
      </c>
      <c r="B23355" s="3" t="s">
        <v>19256</v>
      </c>
      <c r="C23355" s="5" t="s">
        <v>221</v>
      </c>
      <c r="D23355" s="3" t="s">
        <v>614</v>
      </c>
      <c r="E23355" s="3" t="s">
        <v>118</v>
      </c>
      <c r="F23355" s="7">
        <v>46195.26032987252</v>
      </c>
      <c r="G23355" s="3" t="s">
        <v>5747</v>
      </c>
    </row>
    <row r="23356">
      <c r="A23356" s="3" t="s">
        <v>39690</v>
      </c>
      <c r="B23356" s="3" t="s">
        <v>19256</v>
      </c>
      <c r="C23356" s="5" t="s">
        <v>614</v>
      </c>
      <c r="D23356" s="3" t="s">
        <v>206</v>
      </c>
      <c r="E23356" s="3" t="s">
        <v>100</v>
      </c>
      <c r="F23356" s="7">
        <v>46195.26380209475</v>
      </c>
      <c r="G23356" s="3" t="s">
        <v>5750</v>
      </c>
    </row>
    <row r="23357">
      <c r="A23357" s="3" t="s">
        <v>39691</v>
      </c>
      <c r="B23357" s="3" t="s">
        <v>19256</v>
      </c>
      <c r="C23357" s="5" t="s">
        <v>206</v>
      </c>
      <c r="D23357" s="3" t="s">
        <v>68</v>
      </c>
      <c r="E23357" s="3" t="s">
        <v>100</v>
      </c>
      <c r="F23357" s="7">
        <v>46195.26727431697</v>
      </c>
      <c r="G23357" s="3" t="s">
        <v>5753</v>
      </c>
    </row>
    <row r="23358">
      <c r="A23358" s="3" t="s">
        <v>39692</v>
      </c>
      <c r="B23358" s="3" t="s">
        <v>19260</v>
      </c>
      <c r="C23358" s="5" t="s">
        <v>45</v>
      </c>
      <c r="D23358" s="3" t="s">
        <v>221</v>
      </c>
      <c r="E23358" s="3" t="s">
        <v>579</v>
      </c>
      <c r="F23358" s="7">
        <v>46195.32803249572</v>
      </c>
      <c r="G23358" s="3" t="s">
        <v>32601</v>
      </c>
    </row>
    <row r="23359">
      <c r="A23359" s="3" t="s">
        <v>39693</v>
      </c>
      <c r="B23359" s="3" t="s">
        <v>19260</v>
      </c>
      <c r="C23359" s="5" t="s">
        <v>221</v>
      </c>
      <c r="D23359" s="3" t="s">
        <v>614</v>
      </c>
      <c r="E23359" s="3" t="s">
        <v>118</v>
      </c>
      <c r="F23359" s="7">
        <v>46195.33150471794</v>
      </c>
      <c r="G23359" s="3" t="s">
        <v>39694</v>
      </c>
    </row>
    <row r="23360">
      <c r="A23360" s="3" t="s">
        <v>39695</v>
      </c>
      <c r="B23360" s="3" t="s">
        <v>19260</v>
      </c>
      <c r="C23360" s="5" t="s">
        <v>614</v>
      </c>
      <c r="D23360" s="3" t="s">
        <v>206</v>
      </c>
      <c r="E23360" s="3" t="s">
        <v>100</v>
      </c>
      <c r="F23360" s="7">
        <v>46195.33497694017</v>
      </c>
      <c r="G23360" s="3" t="s">
        <v>39696</v>
      </c>
    </row>
    <row r="23361">
      <c r="A23361" s="3" t="s">
        <v>39697</v>
      </c>
      <c r="B23361" s="3" t="s">
        <v>19260</v>
      </c>
      <c r="C23361" s="5" t="s">
        <v>206</v>
      </c>
      <c r="D23361" s="3" t="s">
        <v>68</v>
      </c>
      <c r="E23361" s="3" t="s">
        <v>100</v>
      </c>
      <c r="F23361" s="7">
        <v>46195.33844916239</v>
      </c>
      <c r="G23361" s="3" t="s">
        <v>39698</v>
      </c>
    </row>
    <row r="23362">
      <c r="A23362" s="3" t="s">
        <v>39699</v>
      </c>
      <c r="B23362" s="3" t="s">
        <v>19263</v>
      </c>
      <c r="C23362" s="5" t="s">
        <v>45</v>
      </c>
      <c r="D23362" s="3" t="s">
        <v>221</v>
      </c>
      <c r="E23362" s="3" t="s">
        <v>276</v>
      </c>
      <c r="F23362" s="7">
        <v>46195.399207341135</v>
      </c>
      <c r="G23362" s="3" t="s">
        <v>5833</v>
      </c>
    </row>
    <row r="23363">
      <c r="A23363" s="3" t="s">
        <v>39700</v>
      </c>
      <c r="B23363" s="3" t="s">
        <v>19263</v>
      </c>
      <c r="C23363" s="5" t="s">
        <v>221</v>
      </c>
      <c r="D23363" s="3" t="s">
        <v>614</v>
      </c>
      <c r="E23363" s="3" t="s">
        <v>118</v>
      </c>
      <c r="F23363" s="7">
        <v>46195.402679563354</v>
      </c>
      <c r="G23363" s="3" t="s">
        <v>5836</v>
      </c>
    </row>
    <row r="23364">
      <c r="A23364" s="3" t="s">
        <v>39701</v>
      </c>
      <c r="B23364" s="3" t="s">
        <v>19263</v>
      </c>
      <c r="C23364" s="5" t="s">
        <v>614</v>
      </c>
      <c r="D23364" s="3" t="s">
        <v>206</v>
      </c>
      <c r="E23364" s="3" t="s">
        <v>100</v>
      </c>
      <c r="F23364" s="7">
        <v>46195.40615178558</v>
      </c>
      <c r="G23364" s="3" t="s">
        <v>5839</v>
      </c>
    </row>
    <row r="23365">
      <c r="A23365" s="3" t="s">
        <v>39702</v>
      </c>
      <c r="B23365" s="3" t="s">
        <v>19263</v>
      </c>
      <c r="C23365" s="5" t="s">
        <v>206</v>
      </c>
      <c r="D23365" s="3" t="s">
        <v>68</v>
      </c>
      <c r="E23365" s="3" t="s">
        <v>100</v>
      </c>
      <c r="F23365" s="7">
        <v>46195.4096240078</v>
      </c>
      <c r="G23365" s="3" t="s">
        <v>5842</v>
      </c>
    </row>
    <row r="23366">
      <c r="A23366" s="3" t="s">
        <v>39703</v>
      </c>
      <c r="B23366" s="3" t="s">
        <v>19266</v>
      </c>
      <c r="C23366" s="5" t="s">
        <v>45</v>
      </c>
      <c r="D23366" s="3" t="s">
        <v>221</v>
      </c>
      <c r="E23366" s="3" t="s">
        <v>316</v>
      </c>
      <c r="F23366" s="7">
        <v>46195.47038218655</v>
      </c>
      <c r="G23366" s="3" t="s">
        <v>5755</v>
      </c>
    </row>
    <row r="23367">
      <c r="A23367" s="3" t="s">
        <v>39704</v>
      </c>
      <c r="B23367" s="3" t="s">
        <v>19266</v>
      </c>
      <c r="C23367" s="5" t="s">
        <v>221</v>
      </c>
      <c r="D23367" s="3" t="s">
        <v>614</v>
      </c>
      <c r="E23367" s="3" t="s">
        <v>118</v>
      </c>
      <c r="F23367" s="7">
        <v>46195.47385440877</v>
      </c>
      <c r="G23367" s="3" t="s">
        <v>5758</v>
      </c>
    </row>
    <row r="23368">
      <c r="A23368" s="3" t="s">
        <v>39705</v>
      </c>
      <c r="B23368" s="3" t="s">
        <v>19266</v>
      </c>
      <c r="C23368" s="5" t="s">
        <v>614</v>
      </c>
      <c r="D23368" s="3" t="s">
        <v>206</v>
      </c>
      <c r="E23368" s="3" t="s">
        <v>100</v>
      </c>
      <c r="F23368" s="7">
        <v>46195.47732663099</v>
      </c>
      <c r="G23368" s="3" t="s">
        <v>5761</v>
      </c>
    </row>
    <row r="23369">
      <c r="A23369" s="3" t="s">
        <v>39706</v>
      </c>
      <c r="B23369" s="3" t="s">
        <v>19266</v>
      </c>
      <c r="C23369" s="5" t="s">
        <v>206</v>
      </c>
      <c r="D23369" s="3" t="s">
        <v>68</v>
      </c>
      <c r="E23369" s="3" t="s">
        <v>100</v>
      </c>
      <c r="F23369" s="7">
        <v>46195.48079885321</v>
      </c>
      <c r="G23369" s="3" t="s">
        <v>5764</v>
      </c>
    </row>
    <row r="23370">
      <c r="A23370" s="3" t="s">
        <v>39707</v>
      </c>
      <c r="B23370" s="3" t="s">
        <v>19268</v>
      </c>
      <c r="C23370" s="5" t="s">
        <v>45</v>
      </c>
      <c r="D23370" s="3" t="s">
        <v>221</v>
      </c>
      <c r="E23370" s="3" t="s">
        <v>326</v>
      </c>
      <c r="F23370" s="7">
        <v>46195.54155703197</v>
      </c>
      <c r="G23370" s="3" t="s">
        <v>4476</v>
      </c>
    </row>
    <row r="23371">
      <c r="A23371" s="3" t="s">
        <v>39708</v>
      </c>
      <c r="B23371" s="3" t="s">
        <v>19268</v>
      </c>
      <c r="C23371" s="5" t="s">
        <v>221</v>
      </c>
      <c r="D23371" s="3" t="s">
        <v>614</v>
      </c>
      <c r="E23371" s="3" t="s">
        <v>118</v>
      </c>
      <c r="F23371" s="7">
        <v>46195.54502925419</v>
      </c>
      <c r="G23371" s="3" t="s">
        <v>4479</v>
      </c>
    </row>
    <row r="23372">
      <c r="A23372" s="3" t="s">
        <v>39709</v>
      </c>
      <c r="B23372" s="3" t="s">
        <v>19268</v>
      </c>
      <c r="C23372" s="5" t="s">
        <v>614</v>
      </c>
      <c r="D23372" s="3" t="s">
        <v>206</v>
      </c>
      <c r="E23372" s="3" t="s">
        <v>100</v>
      </c>
      <c r="F23372" s="7">
        <v>46195.54850147641</v>
      </c>
      <c r="G23372" s="3" t="s">
        <v>4482</v>
      </c>
    </row>
    <row r="23373">
      <c r="A23373" s="3" t="s">
        <v>39710</v>
      </c>
      <c r="B23373" s="3" t="s">
        <v>19268</v>
      </c>
      <c r="C23373" s="5" t="s">
        <v>206</v>
      </c>
      <c r="D23373" s="3" t="s">
        <v>68</v>
      </c>
      <c r="E23373" s="3" t="s">
        <v>100</v>
      </c>
      <c r="F23373" s="7">
        <v>46195.55197369863</v>
      </c>
      <c r="G23373" s="3" t="s">
        <v>4485</v>
      </c>
    </row>
    <row r="23374">
      <c r="A23374" s="3" t="s">
        <v>39711</v>
      </c>
      <c r="B23374" s="3" t="s">
        <v>19272</v>
      </c>
      <c r="C23374" s="5" t="s">
        <v>45</v>
      </c>
      <c r="D23374" s="3" t="s">
        <v>221</v>
      </c>
      <c r="E23374" s="3" t="s">
        <v>619</v>
      </c>
      <c r="F23374" s="7">
        <v>46195.61273187739</v>
      </c>
      <c r="G23374" s="3" t="s">
        <v>5786</v>
      </c>
    </row>
    <row r="23375">
      <c r="A23375" s="3" t="s">
        <v>39712</v>
      </c>
      <c r="B23375" s="3" t="s">
        <v>19272</v>
      </c>
      <c r="C23375" s="5" t="s">
        <v>221</v>
      </c>
      <c r="D23375" s="3" t="s">
        <v>614</v>
      </c>
      <c r="E23375" s="3" t="s">
        <v>118</v>
      </c>
      <c r="F23375" s="7">
        <v>46195.616204099606</v>
      </c>
      <c r="G23375" s="3" t="s">
        <v>5789</v>
      </c>
    </row>
    <row r="23376">
      <c r="A23376" s="3" t="s">
        <v>39713</v>
      </c>
      <c r="B23376" s="3" t="s">
        <v>19272</v>
      </c>
      <c r="C23376" s="5" t="s">
        <v>614</v>
      </c>
      <c r="D23376" s="3" t="s">
        <v>206</v>
      </c>
      <c r="E23376" s="3" t="s">
        <v>100</v>
      </c>
      <c r="F23376" s="7">
        <v>46195.61967632183</v>
      </c>
      <c r="G23376" s="3" t="s">
        <v>5792</v>
      </c>
    </row>
    <row r="23377">
      <c r="A23377" s="3" t="s">
        <v>39714</v>
      </c>
      <c r="B23377" s="3" t="s">
        <v>19272</v>
      </c>
      <c r="C23377" s="5" t="s">
        <v>206</v>
      </c>
      <c r="D23377" s="3" t="s">
        <v>68</v>
      </c>
      <c r="E23377" s="3" t="s">
        <v>100</v>
      </c>
      <c r="F23377" s="7">
        <v>46195.62314854405</v>
      </c>
      <c r="G23377" s="3" t="s">
        <v>5795</v>
      </c>
    </row>
    <row r="23378">
      <c r="A23378" s="3" t="s">
        <v>39715</v>
      </c>
      <c r="B23378" s="3" t="s">
        <v>19274</v>
      </c>
      <c r="C23378" s="5" t="s">
        <v>45</v>
      </c>
      <c r="D23378" s="3" t="s">
        <v>221</v>
      </c>
      <c r="E23378" s="3" t="s">
        <v>519</v>
      </c>
      <c r="F23378" s="7">
        <v>46195.68390672279</v>
      </c>
      <c r="G23378" s="3" t="s">
        <v>5798</v>
      </c>
    </row>
    <row r="23379">
      <c r="A23379" s="3" t="s">
        <v>39716</v>
      </c>
      <c r="B23379" s="3" t="s">
        <v>19274</v>
      </c>
      <c r="C23379" s="5" t="s">
        <v>221</v>
      </c>
      <c r="D23379" s="3" t="s">
        <v>614</v>
      </c>
      <c r="E23379" s="3" t="s">
        <v>118</v>
      </c>
      <c r="F23379" s="7">
        <v>46195.68737894501</v>
      </c>
      <c r="G23379" s="3" t="s">
        <v>5801</v>
      </c>
    </row>
    <row r="23380">
      <c r="A23380" s="3" t="s">
        <v>39717</v>
      </c>
      <c r="B23380" s="3" t="s">
        <v>19274</v>
      </c>
      <c r="C23380" s="5" t="s">
        <v>614</v>
      </c>
      <c r="D23380" s="3" t="s">
        <v>206</v>
      </c>
      <c r="E23380" s="3" t="s">
        <v>100</v>
      </c>
      <c r="F23380" s="7">
        <v>46195.69085116724</v>
      </c>
      <c r="G23380" s="3" t="s">
        <v>5803</v>
      </c>
    </row>
    <row r="23381">
      <c r="A23381" s="3" t="s">
        <v>39718</v>
      </c>
      <c r="B23381" s="3" t="s">
        <v>19274</v>
      </c>
      <c r="C23381" s="5" t="s">
        <v>206</v>
      </c>
      <c r="D23381" s="3" t="s">
        <v>68</v>
      </c>
      <c r="E23381" s="3" t="s">
        <v>100</v>
      </c>
      <c r="F23381" s="7">
        <v>46195.694323389456</v>
      </c>
      <c r="G23381" s="3" t="s">
        <v>5807</v>
      </c>
    </row>
    <row r="23382">
      <c r="A23382" s="3" t="s">
        <v>39719</v>
      </c>
      <c r="B23382" s="3" t="s">
        <v>19276</v>
      </c>
      <c r="C23382" s="5" t="s">
        <v>45</v>
      </c>
      <c r="D23382" s="3" t="s">
        <v>221</v>
      </c>
      <c r="E23382" s="3" t="s">
        <v>550</v>
      </c>
      <c r="F23382" s="7">
        <v>46195.75508156821</v>
      </c>
      <c r="G23382" s="3" t="s">
        <v>24324</v>
      </c>
    </row>
    <row r="23383">
      <c r="A23383" s="3" t="s">
        <v>39720</v>
      </c>
      <c r="B23383" s="3" t="s">
        <v>19276</v>
      </c>
      <c r="C23383" s="5" t="s">
        <v>221</v>
      </c>
      <c r="D23383" s="3" t="s">
        <v>195</v>
      </c>
      <c r="E23383" s="3" t="s">
        <v>550</v>
      </c>
      <c r="F23383" s="7">
        <v>46195.75855379043</v>
      </c>
      <c r="G23383" s="3" t="s">
        <v>39721</v>
      </c>
    </row>
    <row r="23384">
      <c r="A23384" s="3" t="s">
        <v>39722</v>
      </c>
      <c r="B23384" s="3" t="s">
        <v>19278</v>
      </c>
      <c r="C23384" s="5" t="s">
        <v>45</v>
      </c>
      <c r="D23384" s="3" t="s">
        <v>221</v>
      </c>
      <c r="E23384" s="3" t="s">
        <v>424</v>
      </c>
      <c r="F23384" s="7">
        <v>46195.82625641363</v>
      </c>
      <c r="G23384" s="3" t="s">
        <v>9305</v>
      </c>
    </row>
    <row r="23385">
      <c r="A23385" s="3" t="s">
        <v>39723</v>
      </c>
      <c r="B23385" s="3" t="s">
        <v>19278</v>
      </c>
      <c r="C23385" s="5" t="s">
        <v>221</v>
      </c>
      <c r="D23385" s="3" t="s">
        <v>614</v>
      </c>
      <c r="E23385" s="3" t="s">
        <v>118</v>
      </c>
      <c r="F23385" s="7">
        <v>46195.82972863585</v>
      </c>
      <c r="G23385" s="3" t="s">
        <v>9308</v>
      </c>
    </row>
    <row r="23386">
      <c r="A23386" s="3" t="s">
        <v>39724</v>
      </c>
      <c r="B23386" s="3" t="s">
        <v>19278</v>
      </c>
      <c r="C23386" s="5" t="s">
        <v>614</v>
      </c>
      <c r="D23386" s="3" t="s">
        <v>206</v>
      </c>
      <c r="E23386" s="3" t="s">
        <v>100</v>
      </c>
      <c r="F23386" s="7">
        <v>46195.83320085808</v>
      </c>
      <c r="G23386" s="3" t="s">
        <v>9311</v>
      </c>
    </row>
    <row r="23387">
      <c r="A23387" s="3" t="s">
        <v>39725</v>
      </c>
      <c r="B23387" s="3" t="s">
        <v>19278</v>
      </c>
      <c r="C23387" s="5" t="s">
        <v>206</v>
      </c>
      <c r="D23387" s="3" t="s">
        <v>68</v>
      </c>
      <c r="E23387" s="3" t="s">
        <v>100</v>
      </c>
      <c r="F23387" s="7">
        <v>46195.836673080295</v>
      </c>
      <c r="G23387" s="3" t="s">
        <v>9314</v>
      </c>
    </row>
    <row r="23388">
      <c r="A23388" s="3" t="s">
        <v>39726</v>
      </c>
      <c r="B23388" s="3" t="s">
        <v>19280</v>
      </c>
      <c r="C23388" s="5" t="s">
        <v>45</v>
      </c>
      <c r="D23388" s="3" t="s">
        <v>221</v>
      </c>
      <c r="E23388" s="3" t="s">
        <v>430</v>
      </c>
      <c r="F23388" s="7">
        <v>46195.89743125904</v>
      </c>
      <c r="G23388" s="3" t="s">
        <v>23242</v>
      </c>
    </row>
    <row r="23389">
      <c r="A23389" s="3" t="s">
        <v>39727</v>
      </c>
      <c r="B23389" s="3" t="s">
        <v>19280</v>
      </c>
      <c r="C23389" s="5" t="s">
        <v>221</v>
      </c>
      <c r="D23389" s="3" t="s">
        <v>614</v>
      </c>
      <c r="E23389" s="3" t="s">
        <v>118</v>
      </c>
      <c r="F23389" s="7">
        <v>46195.90090348126</v>
      </c>
      <c r="G23389" s="3" t="s">
        <v>23245</v>
      </c>
    </row>
    <row r="23390">
      <c r="A23390" s="3" t="s">
        <v>39728</v>
      </c>
      <c r="B23390" s="3" t="s">
        <v>19280</v>
      </c>
      <c r="C23390" s="5" t="s">
        <v>614</v>
      </c>
      <c r="D23390" s="3" t="s">
        <v>206</v>
      </c>
      <c r="E23390" s="3" t="s">
        <v>100</v>
      </c>
      <c r="F23390" s="7">
        <v>46195.90437570349</v>
      </c>
      <c r="G23390" s="3" t="s">
        <v>23248</v>
      </c>
    </row>
    <row r="23391">
      <c r="A23391" s="3" t="s">
        <v>39729</v>
      </c>
      <c r="B23391" s="3" t="s">
        <v>19280</v>
      </c>
      <c r="C23391" s="5" t="s">
        <v>206</v>
      </c>
      <c r="D23391" s="3" t="s">
        <v>68</v>
      </c>
      <c r="E23391" s="3" t="s">
        <v>100</v>
      </c>
      <c r="F23391" s="7">
        <v>46195.90784792571</v>
      </c>
      <c r="G23391" s="3" t="s">
        <v>23251</v>
      </c>
    </row>
    <row r="23392">
      <c r="A23392" s="3" t="s">
        <v>39730</v>
      </c>
      <c r="B23392" s="3" t="s">
        <v>19283</v>
      </c>
      <c r="C23392" s="5" t="s">
        <v>45</v>
      </c>
      <c r="D23392" s="3" t="s">
        <v>221</v>
      </c>
      <c r="E23392" s="3" t="s">
        <v>689</v>
      </c>
      <c r="F23392" s="7">
        <v>46195.968606104456</v>
      </c>
      <c r="G23392" s="3" t="s">
        <v>15945</v>
      </c>
    </row>
    <row r="23393">
      <c r="A23393" s="3" t="s">
        <v>39731</v>
      </c>
      <c r="B23393" s="3" t="s">
        <v>19283</v>
      </c>
      <c r="C23393" s="5" t="s">
        <v>221</v>
      </c>
      <c r="D23393" s="3" t="s">
        <v>614</v>
      </c>
      <c r="E23393" s="3" t="s">
        <v>118</v>
      </c>
      <c r="F23393" s="7">
        <v>46195.972078326675</v>
      </c>
      <c r="G23393" s="3" t="s">
        <v>16257</v>
      </c>
    </row>
    <row r="23394">
      <c r="A23394" s="3" t="s">
        <v>39732</v>
      </c>
      <c r="B23394" s="3" t="s">
        <v>19283</v>
      </c>
      <c r="C23394" s="5" t="s">
        <v>614</v>
      </c>
      <c r="D23394" s="3" t="s">
        <v>206</v>
      </c>
      <c r="E23394" s="3" t="s">
        <v>100</v>
      </c>
      <c r="F23394" s="7">
        <v>46195.9755505489</v>
      </c>
      <c r="G23394" s="3" t="s">
        <v>16259</v>
      </c>
    </row>
    <row r="23395">
      <c r="A23395" s="3" t="s">
        <v>39733</v>
      </c>
      <c r="B23395" s="3" t="s">
        <v>19283</v>
      </c>
      <c r="C23395" s="5" t="s">
        <v>206</v>
      </c>
      <c r="D23395" s="3" t="s">
        <v>68</v>
      </c>
      <c r="E23395" s="3" t="s">
        <v>100</v>
      </c>
      <c r="F23395" s="7">
        <v>46195.97902277112</v>
      </c>
      <c r="G23395" s="3" t="s">
        <v>16262</v>
      </c>
    </row>
    <row r="23396">
      <c r="A23396" s="3" t="s">
        <v>39734</v>
      </c>
      <c r="B23396" s="3" t="s">
        <v>19288</v>
      </c>
      <c r="C23396" s="5" t="s">
        <v>45</v>
      </c>
      <c r="D23396" s="3" t="s">
        <v>221</v>
      </c>
      <c r="E23396" s="3" t="s">
        <v>751</v>
      </c>
      <c r="F23396" s="7">
        <v>46196.039780949875</v>
      </c>
      <c r="G23396" s="3" t="s">
        <v>14340</v>
      </c>
    </row>
    <row r="23397">
      <c r="A23397" s="3" t="s">
        <v>39735</v>
      </c>
      <c r="B23397" s="3" t="s">
        <v>19288</v>
      </c>
      <c r="C23397" s="5" t="s">
        <v>221</v>
      </c>
      <c r="D23397" s="3" t="s">
        <v>614</v>
      </c>
      <c r="E23397" s="3" t="s">
        <v>118</v>
      </c>
      <c r="F23397" s="7">
        <v>46196.043253172094</v>
      </c>
      <c r="G23397" s="3" t="s">
        <v>14343</v>
      </c>
    </row>
    <row r="23398">
      <c r="A23398" s="3" t="s">
        <v>39736</v>
      </c>
      <c r="B23398" s="3" t="s">
        <v>19288</v>
      </c>
      <c r="C23398" s="5" t="s">
        <v>614</v>
      </c>
      <c r="D23398" s="3" t="s">
        <v>206</v>
      </c>
      <c r="E23398" s="3" t="s">
        <v>100</v>
      </c>
      <c r="F23398" s="7">
        <v>46196.04672539432</v>
      </c>
      <c r="G23398" s="3" t="s">
        <v>14346</v>
      </c>
    </row>
    <row r="23399">
      <c r="A23399" s="3" t="s">
        <v>39737</v>
      </c>
      <c r="B23399" s="3" t="s">
        <v>19288</v>
      </c>
      <c r="C23399" s="5" t="s">
        <v>206</v>
      </c>
      <c r="D23399" s="3" t="s">
        <v>68</v>
      </c>
      <c r="E23399" s="3" t="s">
        <v>100</v>
      </c>
      <c r="F23399" s="7">
        <v>46196.05019761654</v>
      </c>
      <c r="G23399" s="3" t="s">
        <v>14348</v>
      </c>
    </row>
    <row r="23400">
      <c r="A23400" s="3" t="s">
        <v>39738</v>
      </c>
      <c r="B23400" s="3" t="s">
        <v>19291</v>
      </c>
      <c r="C23400" s="5" t="s">
        <v>45</v>
      </c>
      <c r="D23400" s="3" t="s">
        <v>221</v>
      </c>
      <c r="E23400" s="3" t="s">
        <v>501</v>
      </c>
      <c r="F23400" s="7">
        <v>46196.11095579529</v>
      </c>
      <c r="G23400" s="3" t="s">
        <v>24554</v>
      </c>
    </row>
    <row r="23401">
      <c r="A23401" s="3" t="s">
        <v>39739</v>
      </c>
      <c r="B23401" s="3" t="s">
        <v>19291</v>
      </c>
      <c r="C23401" s="5" t="s">
        <v>221</v>
      </c>
      <c r="D23401" s="3" t="s">
        <v>195</v>
      </c>
      <c r="E23401" s="3" t="s">
        <v>501</v>
      </c>
      <c r="F23401" s="7">
        <v>46196.11442801751</v>
      </c>
      <c r="G23401" s="3" t="s">
        <v>39740</v>
      </c>
    </row>
    <row r="23402">
      <c r="A23402" s="3" t="s">
        <v>39741</v>
      </c>
      <c r="B23402" s="3" t="s">
        <v>19293</v>
      </c>
      <c r="C23402" s="5" t="s">
        <v>45</v>
      </c>
      <c r="D23402" s="3" t="s">
        <v>221</v>
      </c>
      <c r="E23402" s="3" t="s">
        <v>758</v>
      </c>
      <c r="F23402" s="7">
        <v>46196.1821306407</v>
      </c>
      <c r="G23402" s="3" t="s">
        <v>7272</v>
      </c>
    </row>
    <row r="23403">
      <c r="A23403" s="3" t="s">
        <v>39742</v>
      </c>
      <c r="B23403" s="3" t="s">
        <v>19293</v>
      </c>
      <c r="C23403" s="5" t="s">
        <v>221</v>
      </c>
      <c r="D23403" s="3" t="s">
        <v>614</v>
      </c>
      <c r="E23403" s="3" t="s">
        <v>118</v>
      </c>
      <c r="F23403" s="7">
        <v>46196.18560286292</v>
      </c>
      <c r="G23403" s="3" t="s">
        <v>7275</v>
      </c>
    </row>
    <row r="23404">
      <c r="A23404" s="3" t="s">
        <v>39743</v>
      </c>
      <c r="B23404" s="3" t="s">
        <v>19293</v>
      </c>
      <c r="C23404" s="5" t="s">
        <v>614</v>
      </c>
      <c r="D23404" s="3" t="s">
        <v>206</v>
      </c>
      <c r="E23404" s="3" t="s">
        <v>100</v>
      </c>
      <c r="F23404" s="7">
        <v>46196.189075085145</v>
      </c>
      <c r="G23404" s="3" t="s">
        <v>7278</v>
      </c>
    </row>
    <row r="23405">
      <c r="A23405" s="3" t="s">
        <v>39744</v>
      </c>
      <c r="B23405" s="3" t="s">
        <v>19293</v>
      </c>
      <c r="C23405" s="5" t="s">
        <v>206</v>
      </c>
      <c r="D23405" s="3" t="s">
        <v>68</v>
      </c>
      <c r="E23405" s="3" t="s">
        <v>100</v>
      </c>
      <c r="F23405" s="7">
        <v>46196.192547307364</v>
      </c>
      <c r="G23405" s="3" t="s">
        <v>7281</v>
      </c>
    </row>
    <row r="23406">
      <c r="A23406" s="3" t="s">
        <v>39745</v>
      </c>
      <c r="B23406" s="3" t="s">
        <v>19295</v>
      </c>
      <c r="C23406" s="5" t="s">
        <v>45</v>
      </c>
      <c r="D23406" s="3" t="s">
        <v>221</v>
      </c>
      <c r="E23406" s="3" t="s">
        <v>466</v>
      </c>
      <c r="F23406" s="7">
        <v>46196.25330548612</v>
      </c>
      <c r="G23406" s="3" t="s">
        <v>9004</v>
      </c>
    </row>
    <row r="23407">
      <c r="A23407" s="3" t="s">
        <v>39746</v>
      </c>
      <c r="B23407" s="3" t="s">
        <v>19295</v>
      </c>
      <c r="C23407" s="5" t="s">
        <v>221</v>
      </c>
      <c r="D23407" s="3" t="s">
        <v>614</v>
      </c>
      <c r="E23407" s="3" t="s">
        <v>118</v>
      </c>
      <c r="F23407" s="7">
        <v>46196.25677770834</v>
      </c>
      <c r="G23407" s="3" t="s">
        <v>9006</v>
      </c>
    </row>
    <row r="23408">
      <c r="A23408" s="3" t="s">
        <v>39747</v>
      </c>
      <c r="B23408" s="3" t="s">
        <v>19295</v>
      </c>
      <c r="C23408" s="5" t="s">
        <v>614</v>
      </c>
      <c r="D23408" s="3" t="s">
        <v>206</v>
      </c>
      <c r="E23408" s="3" t="s">
        <v>100</v>
      </c>
      <c r="F23408" s="7">
        <v>46196.260249930565</v>
      </c>
      <c r="G23408" s="3" t="s">
        <v>9009</v>
      </c>
    </row>
    <row r="23409">
      <c r="A23409" s="3" t="s">
        <v>39748</v>
      </c>
      <c r="B23409" s="3" t="s">
        <v>19295</v>
      </c>
      <c r="C23409" s="5" t="s">
        <v>206</v>
      </c>
      <c r="D23409" s="3" t="s">
        <v>68</v>
      </c>
      <c r="E23409" s="3" t="s">
        <v>100</v>
      </c>
      <c r="F23409" s="7">
        <v>46196.263722152784</v>
      </c>
      <c r="G23409" s="3" t="s">
        <v>9012</v>
      </c>
    </row>
    <row r="23410">
      <c r="A23410" s="3" t="s">
        <v>39749</v>
      </c>
      <c r="B23410" s="3" t="s">
        <v>19297</v>
      </c>
      <c r="C23410" s="5" t="s">
        <v>45</v>
      </c>
      <c r="D23410" s="3" t="s">
        <v>221</v>
      </c>
      <c r="E23410" s="3" t="s">
        <v>151</v>
      </c>
      <c r="F23410" s="7">
        <v>46196.32448033153</v>
      </c>
      <c r="G23410" s="3" t="s">
        <v>24901</v>
      </c>
    </row>
    <row r="23411">
      <c r="A23411" s="3" t="s">
        <v>39750</v>
      </c>
      <c r="B23411" s="3" t="s">
        <v>19297</v>
      </c>
      <c r="C23411" s="5" t="s">
        <v>221</v>
      </c>
      <c r="D23411" s="3" t="s">
        <v>614</v>
      </c>
      <c r="E23411" s="3" t="s">
        <v>118</v>
      </c>
      <c r="F23411" s="7">
        <v>46196.32795255375</v>
      </c>
      <c r="G23411" s="3" t="s">
        <v>25108</v>
      </c>
    </row>
    <row r="23412">
      <c r="A23412" s="3" t="s">
        <v>39751</v>
      </c>
      <c r="B23412" s="3" t="s">
        <v>19297</v>
      </c>
      <c r="C23412" s="5" t="s">
        <v>614</v>
      </c>
      <c r="D23412" s="3" t="s">
        <v>206</v>
      </c>
      <c r="E23412" s="3" t="s">
        <v>100</v>
      </c>
      <c r="F23412" s="7">
        <v>46196.33142477598</v>
      </c>
      <c r="G23412" s="3" t="s">
        <v>25110</v>
      </c>
    </row>
    <row r="23413">
      <c r="A23413" s="3" t="s">
        <v>39752</v>
      </c>
      <c r="B23413" s="3" t="s">
        <v>19297</v>
      </c>
      <c r="C23413" s="5" t="s">
        <v>206</v>
      </c>
      <c r="D23413" s="3" t="s">
        <v>68</v>
      </c>
      <c r="E23413" s="3" t="s">
        <v>100</v>
      </c>
      <c r="F23413" s="7">
        <v>46196.334896998196</v>
      </c>
      <c r="G23413" s="3" t="s">
        <v>25112</v>
      </c>
    </row>
    <row r="23414">
      <c r="A23414" s="3" t="s">
        <v>39753</v>
      </c>
      <c r="B23414" s="3" t="s">
        <v>19299</v>
      </c>
      <c r="C23414" s="5" t="s">
        <v>45</v>
      </c>
      <c r="D23414" s="3" t="s">
        <v>221</v>
      </c>
      <c r="E23414" s="3" t="s">
        <v>322</v>
      </c>
      <c r="F23414" s="7">
        <v>46196.395655176944</v>
      </c>
      <c r="G23414" s="3" t="s">
        <v>6498</v>
      </c>
    </row>
    <row r="23415">
      <c r="A23415" s="3" t="s">
        <v>39754</v>
      </c>
      <c r="B23415" s="3" t="s">
        <v>19299</v>
      </c>
      <c r="C23415" s="5" t="s">
        <v>221</v>
      </c>
      <c r="D23415" s="3" t="s">
        <v>181</v>
      </c>
      <c r="E23415" s="3" t="s">
        <v>118</v>
      </c>
      <c r="F23415" s="7">
        <v>46196.39912739916</v>
      </c>
      <c r="G23415" s="3" t="s">
        <v>39755</v>
      </c>
    </row>
    <row r="23416">
      <c r="A23416" s="3" t="s">
        <v>39756</v>
      </c>
      <c r="B23416" s="3" t="s">
        <v>19302</v>
      </c>
      <c r="C23416" s="5" t="s">
        <v>45</v>
      </c>
      <c r="D23416" s="3" t="s">
        <v>221</v>
      </c>
      <c r="E23416" s="3" t="s">
        <v>243</v>
      </c>
      <c r="F23416" s="7">
        <v>46196.466830022364</v>
      </c>
      <c r="G23416" s="3" t="s">
        <v>5860</v>
      </c>
    </row>
    <row r="23417">
      <c r="A23417" s="3" t="s">
        <v>39757</v>
      </c>
      <c r="B23417" s="3" t="s">
        <v>19302</v>
      </c>
      <c r="C23417" s="5" t="s">
        <v>221</v>
      </c>
      <c r="D23417" s="3" t="s">
        <v>614</v>
      </c>
      <c r="E23417" s="3" t="s">
        <v>118</v>
      </c>
      <c r="F23417" s="7">
        <v>46196.47030224458</v>
      </c>
      <c r="G23417" s="3" t="s">
        <v>5863</v>
      </c>
    </row>
    <row r="23418">
      <c r="A23418" s="3" t="s">
        <v>39758</v>
      </c>
      <c r="B23418" s="3" t="s">
        <v>19302</v>
      </c>
      <c r="C23418" s="5" t="s">
        <v>614</v>
      </c>
      <c r="D23418" s="3" t="s">
        <v>206</v>
      </c>
      <c r="E23418" s="3" t="s">
        <v>100</v>
      </c>
      <c r="F23418" s="7">
        <v>46196.47377446681</v>
      </c>
      <c r="G23418" s="3" t="s">
        <v>5866</v>
      </c>
    </row>
    <row r="23419">
      <c r="A23419" s="3" t="s">
        <v>39759</v>
      </c>
      <c r="B23419" s="3" t="s">
        <v>19302</v>
      </c>
      <c r="C23419" s="5" t="s">
        <v>206</v>
      </c>
      <c r="D23419" s="3" t="s">
        <v>68</v>
      </c>
      <c r="E23419" s="3" t="s">
        <v>100</v>
      </c>
      <c r="F23419" s="7">
        <v>46196.47724668903</v>
      </c>
      <c r="G23419" s="3" t="s">
        <v>5869</v>
      </c>
    </row>
    <row r="23420">
      <c r="A23420" s="3" t="s">
        <v>39760</v>
      </c>
      <c r="B23420" s="3" t="s">
        <v>19305</v>
      </c>
      <c r="C23420" s="5" t="s">
        <v>45</v>
      </c>
      <c r="D23420" s="3" t="s">
        <v>221</v>
      </c>
      <c r="E23420" s="3" t="s">
        <v>293</v>
      </c>
      <c r="F23420" s="7">
        <v>46196.538004867776</v>
      </c>
      <c r="G23420" s="3" t="s">
        <v>29247</v>
      </c>
    </row>
    <row r="23421">
      <c r="A23421" s="3" t="s">
        <v>39761</v>
      </c>
      <c r="B23421" s="3" t="s">
        <v>19305</v>
      </c>
      <c r="C23421" s="5" t="s">
        <v>221</v>
      </c>
      <c r="D23421" s="3" t="s">
        <v>614</v>
      </c>
      <c r="E23421" s="3" t="s">
        <v>118</v>
      </c>
      <c r="F23421" s="7">
        <v>46196.541477089995</v>
      </c>
      <c r="G23421" s="3" t="s">
        <v>29249</v>
      </c>
    </row>
    <row r="23422">
      <c r="A23422" s="3" t="s">
        <v>39762</v>
      </c>
      <c r="B23422" s="3" t="s">
        <v>19305</v>
      </c>
      <c r="C23422" s="5" t="s">
        <v>614</v>
      </c>
      <c r="D23422" s="3" t="s">
        <v>206</v>
      </c>
      <c r="E23422" s="3" t="s">
        <v>100</v>
      </c>
      <c r="F23422" s="7">
        <v>46196.54494931222</v>
      </c>
      <c r="G23422" s="3" t="s">
        <v>29251</v>
      </c>
    </row>
    <row r="23423">
      <c r="A23423" s="3" t="s">
        <v>39763</v>
      </c>
      <c r="B23423" s="3" t="s">
        <v>19305</v>
      </c>
      <c r="C23423" s="5" t="s">
        <v>206</v>
      </c>
      <c r="D23423" s="3" t="s">
        <v>68</v>
      </c>
      <c r="E23423" s="3" t="s">
        <v>100</v>
      </c>
      <c r="F23423" s="7">
        <v>46196.54842153444</v>
      </c>
      <c r="G23423" s="3" t="s">
        <v>29253</v>
      </c>
    </row>
    <row r="23424">
      <c r="A23424" s="3" t="s">
        <v>39764</v>
      </c>
      <c r="B23424" s="3" t="s">
        <v>19308</v>
      </c>
      <c r="C23424" s="5" t="s">
        <v>45</v>
      </c>
      <c r="D23424" s="3" t="s">
        <v>221</v>
      </c>
      <c r="E23424" s="3" t="s">
        <v>475</v>
      </c>
      <c r="F23424" s="7">
        <v>46196.609179713196</v>
      </c>
      <c r="G23424" s="3" t="s">
        <v>4574</v>
      </c>
    </row>
    <row r="23425">
      <c r="A23425" s="3" t="s">
        <v>39765</v>
      </c>
      <c r="B23425" s="3" t="s">
        <v>19308</v>
      </c>
      <c r="C23425" s="5" t="s">
        <v>221</v>
      </c>
      <c r="D23425" s="3" t="s">
        <v>181</v>
      </c>
      <c r="E23425" s="3" t="s">
        <v>118</v>
      </c>
      <c r="F23425" s="7">
        <v>46196.612651935415</v>
      </c>
      <c r="G23425" s="3" t="s">
        <v>26805</v>
      </c>
    </row>
    <row r="23426">
      <c r="A23426" s="3" t="s">
        <v>39766</v>
      </c>
      <c r="B23426" s="3" t="s">
        <v>19311</v>
      </c>
      <c r="C23426" s="5" t="s">
        <v>45</v>
      </c>
      <c r="D23426" s="3" t="s">
        <v>221</v>
      </c>
      <c r="E23426" s="3" t="s">
        <v>922</v>
      </c>
      <c r="F23426" s="7">
        <v>46196.68035455861</v>
      </c>
      <c r="G23426" s="3" t="s">
        <v>15629</v>
      </c>
    </row>
    <row r="23427">
      <c r="A23427" s="3" t="s">
        <v>39767</v>
      </c>
      <c r="B23427" s="3" t="s">
        <v>19311</v>
      </c>
      <c r="C23427" s="5" t="s">
        <v>221</v>
      </c>
      <c r="D23427" s="3" t="s">
        <v>614</v>
      </c>
      <c r="E23427" s="3" t="s">
        <v>118</v>
      </c>
      <c r="F23427" s="7">
        <v>46196.68382678083</v>
      </c>
      <c r="G23427" s="3" t="s">
        <v>15632</v>
      </c>
    </row>
    <row r="23428">
      <c r="A23428" s="3" t="s">
        <v>39768</v>
      </c>
      <c r="B23428" s="3" t="s">
        <v>19311</v>
      </c>
      <c r="C23428" s="5" t="s">
        <v>614</v>
      </c>
      <c r="D23428" s="3" t="s">
        <v>206</v>
      </c>
      <c r="E23428" s="3" t="s">
        <v>100</v>
      </c>
      <c r="F23428" s="7">
        <v>46196.68729900305</v>
      </c>
      <c r="G23428" s="3" t="s">
        <v>15634</v>
      </c>
    </row>
    <row r="23429">
      <c r="A23429" s="3" t="s">
        <v>39769</v>
      </c>
      <c r="B23429" s="3" t="s">
        <v>19311</v>
      </c>
      <c r="C23429" s="5" t="s">
        <v>206</v>
      </c>
      <c r="D23429" s="3" t="s">
        <v>68</v>
      </c>
      <c r="E23429" s="3" t="s">
        <v>100</v>
      </c>
      <c r="F23429" s="7">
        <v>46196.69077122527</v>
      </c>
      <c r="G23429" s="3" t="s">
        <v>15637</v>
      </c>
    </row>
    <row r="23430">
      <c r="A23430" s="3" t="s">
        <v>39770</v>
      </c>
      <c r="B23430" s="3" t="s">
        <v>19314</v>
      </c>
      <c r="C23430" s="5" t="s">
        <v>45</v>
      </c>
      <c r="D23430" s="3" t="s">
        <v>221</v>
      </c>
      <c r="E23430" s="3" t="s">
        <v>247</v>
      </c>
      <c r="F23430" s="7">
        <v>46196.75152940403</v>
      </c>
      <c r="G23430" s="3" t="s">
        <v>5872</v>
      </c>
    </row>
    <row r="23431">
      <c r="A23431" s="3" t="s">
        <v>39771</v>
      </c>
      <c r="B23431" s="3" t="s">
        <v>19314</v>
      </c>
      <c r="C23431" s="5" t="s">
        <v>221</v>
      </c>
      <c r="D23431" s="3" t="s">
        <v>614</v>
      </c>
      <c r="E23431" s="3" t="s">
        <v>118</v>
      </c>
      <c r="F23431" s="7">
        <v>46196.75500162625</v>
      </c>
      <c r="G23431" s="3" t="s">
        <v>5875</v>
      </c>
    </row>
    <row r="23432">
      <c r="A23432" s="3" t="s">
        <v>39772</v>
      </c>
      <c r="B23432" s="3" t="s">
        <v>19314</v>
      </c>
      <c r="C23432" s="5" t="s">
        <v>614</v>
      </c>
      <c r="D23432" s="3" t="s">
        <v>206</v>
      </c>
      <c r="E23432" s="3" t="s">
        <v>100</v>
      </c>
      <c r="F23432" s="7">
        <v>46196.75847384847</v>
      </c>
      <c r="G23432" s="3" t="s">
        <v>5878</v>
      </c>
    </row>
    <row r="23433">
      <c r="A23433" s="3" t="s">
        <v>39773</v>
      </c>
      <c r="B23433" s="3" t="s">
        <v>19314</v>
      </c>
      <c r="C23433" s="5" t="s">
        <v>206</v>
      </c>
      <c r="D23433" s="3" t="s">
        <v>68</v>
      </c>
      <c r="E23433" s="3" t="s">
        <v>100</v>
      </c>
      <c r="F23433" s="7">
        <v>46196.76194607069</v>
      </c>
      <c r="G23433" s="3" t="s">
        <v>5881</v>
      </c>
    </row>
    <row r="23434">
      <c r="A23434" s="3" t="s">
        <v>39774</v>
      </c>
      <c r="B23434" s="3" t="s">
        <v>19319</v>
      </c>
      <c r="C23434" s="5" t="s">
        <v>45</v>
      </c>
      <c r="D23434" s="3" t="s">
        <v>221</v>
      </c>
      <c r="E23434" s="3" t="s">
        <v>290</v>
      </c>
      <c r="F23434" s="7">
        <v>46196.82270424943</v>
      </c>
      <c r="G23434" s="3" t="s">
        <v>33282</v>
      </c>
    </row>
    <row r="23435">
      <c r="A23435" s="3" t="s">
        <v>39775</v>
      </c>
      <c r="B23435" s="3" t="s">
        <v>19319</v>
      </c>
      <c r="C23435" s="5" t="s">
        <v>221</v>
      </c>
      <c r="D23435" s="3" t="s">
        <v>614</v>
      </c>
      <c r="E23435" s="3" t="s">
        <v>118</v>
      </c>
      <c r="F23435" s="7">
        <v>46196.82617647165</v>
      </c>
      <c r="G23435" s="3" t="s">
        <v>33284</v>
      </c>
    </row>
    <row r="23436">
      <c r="A23436" s="3" t="s">
        <v>39776</v>
      </c>
      <c r="B23436" s="3" t="s">
        <v>19319</v>
      </c>
      <c r="C23436" s="5" t="s">
        <v>614</v>
      </c>
      <c r="D23436" s="3" t="s">
        <v>206</v>
      </c>
      <c r="E23436" s="3" t="s">
        <v>100</v>
      </c>
      <c r="F23436" s="7">
        <v>46196.82964869388</v>
      </c>
      <c r="G23436" s="3" t="s">
        <v>33286</v>
      </c>
    </row>
    <row r="23437">
      <c r="A23437" s="3" t="s">
        <v>39777</v>
      </c>
      <c r="B23437" s="3" t="s">
        <v>19319</v>
      </c>
      <c r="C23437" s="5" t="s">
        <v>206</v>
      </c>
      <c r="D23437" s="3" t="s">
        <v>68</v>
      </c>
      <c r="E23437" s="3" t="s">
        <v>100</v>
      </c>
      <c r="F23437" s="7">
        <v>46196.8331209161</v>
      </c>
      <c r="G23437" s="3" t="s">
        <v>33288</v>
      </c>
    </row>
    <row r="23438">
      <c r="A23438" s="3" t="s">
        <v>39778</v>
      </c>
      <c r="B23438" s="3" t="s">
        <v>19322</v>
      </c>
      <c r="C23438" s="5" t="s">
        <v>45</v>
      </c>
      <c r="D23438" s="3" t="s">
        <v>221</v>
      </c>
      <c r="E23438" s="3" t="s">
        <v>236</v>
      </c>
      <c r="F23438" s="7">
        <v>46196.89387909485</v>
      </c>
      <c r="G23438" s="3" t="s">
        <v>26381</v>
      </c>
    </row>
    <row r="23439">
      <c r="A23439" s="3" t="s">
        <v>39779</v>
      </c>
      <c r="B23439" s="3" t="s">
        <v>19322</v>
      </c>
      <c r="C23439" s="5" t="s">
        <v>221</v>
      </c>
      <c r="D23439" s="3" t="s">
        <v>614</v>
      </c>
      <c r="E23439" s="3" t="s">
        <v>118</v>
      </c>
      <c r="F23439" s="7">
        <v>46196.89735131707</v>
      </c>
      <c r="G23439" s="3" t="s">
        <v>26383</v>
      </c>
    </row>
    <row r="23440">
      <c r="A23440" s="3" t="s">
        <v>39780</v>
      </c>
      <c r="B23440" s="3" t="s">
        <v>19322</v>
      </c>
      <c r="C23440" s="5" t="s">
        <v>614</v>
      </c>
      <c r="D23440" s="3" t="s">
        <v>206</v>
      </c>
      <c r="E23440" s="3" t="s">
        <v>100</v>
      </c>
      <c r="F23440" s="7">
        <v>46196.9008235393</v>
      </c>
      <c r="G23440" s="3" t="s">
        <v>26385</v>
      </c>
    </row>
    <row r="23441">
      <c r="A23441" s="3" t="s">
        <v>39781</v>
      </c>
      <c r="B23441" s="3" t="s">
        <v>19322</v>
      </c>
      <c r="C23441" s="5" t="s">
        <v>206</v>
      </c>
      <c r="D23441" s="3" t="s">
        <v>68</v>
      </c>
      <c r="E23441" s="3" t="s">
        <v>100</v>
      </c>
      <c r="F23441" s="7">
        <v>46196.90429576152</v>
      </c>
      <c r="G23441" s="3" t="s">
        <v>26387</v>
      </c>
    </row>
    <row r="23442">
      <c r="A23442" s="3" t="s">
        <v>39782</v>
      </c>
      <c r="B23442" s="3" t="s">
        <v>19325</v>
      </c>
      <c r="C23442" s="5" t="s">
        <v>45</v>
      </c>
      <c r="D23442" s="3" t="s">
        <v>221</v>
      </c>
      <c r="E23442" s="3" t="s">
        <v>929</v>
      </c>
      <c r="F23442" s="7">
        <v>46196.96505394027</v>
      </c>
      <c r="G23442" s="3" t="s">
        <v>5884</v>
      </c>
    </row>
    <row r="23443">
      <c r="A23443" s="3" t="s">
        <v>39783</v>
      </c>
      <c r="B23443" s="3" t="s">
        <v>19325</v>
      </c>
      <c r="C23443" s="5" t="s">
        <v>221</v>
      </c>
      <c r="D23443" s="3" t="s">
        <v>614</v>
      </c>
      <c r="E23443" s="3" t="s">
        <v>118</v>
      </c>
      <c r="F23443" s="7">
        <v>46196.96852616249</v>
      </c>
      <c r="G23443" s="3" t="s">
        <v>5887</v>
      </c>
    </row>
    <row r="23444">
      <c r="A23444" s="3" t="s">
        <v>39784</v>
      </c>
      <c r="B23444" s="3" t="s">
        <v>19325</v>
      </c>
      <c r="C23444" s="5" t="s">
        <v>614</v>
      </c>
      <c r="D23444" s="3" t="s">
        <v>206</v>
      </c>
      <c r="E23444" s="3" t="s">
        <v>100</v>
      </c>
      <c r="F23444" s="7">
        <v>46196.97199838472</v>
      </c>
      <c r="G23444" s="3" t="s">
        <v>5889</v>
      </c>
    </row>
    <row r="23445">
      <c r="A23445" s="3" t="s">
        <v>39785</v>
      </c>
      <c r="B23445" s="3" t="s">
        <v>19325</v>
      </c>
      <c r="C23445" s="5" t="s">
        <v>206</v>
      </c>
      <c r="D23445" s="3" t="s">
        <v>68</v>
      </c>
      <c r="E23445" s="3" t="s">
        <v>100</v>
      </c>
      <c r="F23445" s="7">
        <v>46196.975470606936</v>
      </c>
      <c r="G23445" s="3" t="s">
        <v>5892</v>
      </c>
    </row>
    <row r="23446">
      <c r="A23446" s="3" t="s">
        <v>39786</v>
      </c>
      <c r="B23446" s="3" t="s">
        <v>19327</v>
      </c>
      <c r="C23446" s="5" t="s">
        <v>45</v>
      </c>
      <c r="D23446" s="3" t="s">
        <v>221</v>
      </c>
      <c r="E23446" s="3" t="s">
        <v>442</v>
      </c>
      <c r="F23446" s="7">
        <v>46197.036228785684</v>
      </c>
      <c r="G23446" s="3" t="s">
        <v>17036</v>
      </c>
    </row>
    <row r="23447">
      <c r="A23447" s="3" t="s">
        <v>39787</v>
      </c>
      <c r="B23447" s="3" t="s">
        <v>19327</v>
      </c>
      <c r="C23447" s="5" t="s">
        <v>221</v>
      </c>
      <c r="D23447" s="3" t="s">
        <v>195</v>
      </c>
      <c r="E23447" s="3" t="s">
        <v>442</v>
      </c>
      <c r="F23447" s="7">
        <v>46197.0397010079</v>
      </c>
      <c r="G23447" s="3" t="s">
        <v>21714</v>
      </c>
    </row>
    <row r="23448">
      <c r="A23448" s="3" t="s">
        <v>39788</v>
      </c>
      <c r="B23448" s="3" t="s">
        <v>19329</v>
      </c>
      <c r="C23448" s="5" t="s">
        <v>45</v>
      </c>
      <c r="D23448" s="3" t="s">
        <v>221</v>
      </c>
      <c r="E23448" s="3" t="s">
        <v>631</v>
      </c>
      <c r="F23448" s="7">
        <v>46197.1074036311</v>
      </c>
      <c r="G23448" s="3" t="s">
        <v>5915</v>
      </c>
    </row>
    <row r="23449">
      <c r="A23449" s="3" t="s">
        <v>39789</v>
      </c>
      <c r="B23449" s="3" t="s">
        <v>19329</v>
      </c>
      <c r="C23449" s="5" t="s">
        <v>221</v>
      </c>
      <c r="D23449" s="3" t="s">
        <v>614</v>
      </c>
      <c r="E23449" s="3" t="s">
        <v>118</v>
      </c>
      <c r="F23449" s="7">
        <v>46197.110875853316</v>
      </c>
      <c r="G23449" s="3" t="s">
        <v>5918</v>
      </c>
    </row>
    <row r="23450">
      <c r="A23450" s="3" t="s">
        <v>39790</v>
      </c>
      <c r="B23450" s="3" t="s">
        <v>19329</v>
      </c>
      <c r="C23450" s="5" t="s">
        <v>614</v>
      </c>
      <c r="D23450" s="3" t="s">
        <v>206</v>
      </c>
      <c r="E23450" s="3" t="s">
        <v>100</v>
      </c>
      <c r="F23450" s="7">
        <v>46197.11434807554</v>
      </c>
      <c r="G23450" s="3" t="s">
        <v>5921</v>
      </c>
    </row>
    <row r="23451">
      <c r="A23451" s="3" t="s">
        <v>39791</v>
      </c>
      <c r="B23451" s="3" t="s">
        <v>19329</v>
      </c>
      <c r="C23451" s="5" t="s">
        <v>206</v>
      </c>
      <c r="D23451" s="3" t="s">
        <v>68</v>
      </c>
      <c r="E23451" s="3" t="s">
        <v>100</v>
      </c>
      <c r="F23451" s="7">
        <v>46197.11782029776</v>
      </c>
      <c r="G23451" s="3" t="s">
        <v>5924</v>
      </c>
    </row>
    <row r="23452">
      <c r="A23452" s="3" t="s">
        <v>39792</v>
      </c>
      <c r="B23452" s="3" t="s">
        <v>19332</v>
      </c>
      <c r="C23452" s="5" t="s">
        <v>45</v>
      </c>
      <c r="D23452" s="3" t="s">
        <v>221</v>
      </c>
      <c r="E23452" s="3" t="s">
        <v>485</v>
      </c>
      <c r="F23452" s="7">
        <v>46197.178578476516</v>
      </c>
      <c r="G23452" s="3" t="s">
        <v>32165</v>
      </c>
    </row>
    <row r="23453">
      <c r="A23453" s="3" t="s">
        <v>39793</v>
      </c>
      <c r="B23453" s="3" t="s">
        <v>19332</v>
      </c>
      <c r="C23453" s="5" t="s">
        <v>221</v>
      </c>
      <c r="D23453" s="3" t="s">
        <v>614</v>
      </c>
      <c r="E23453" s="3" t="s">
        <v>118</v>
      </c>
      <c r="F23453" s="7">
        <v>46197.182050698735</v>
      </c>
      <c r="G23453" s="3" t="s">
        <v>32167</v>
      </c>
    </row>
    <row r="23454">
      <c r="A23454" s="3" t="s">
        <v>39794</v>
      </c>
      <c r="B23454" s="3" t="s">
        <v>19332</v>
      </c>
      <c r="C23454" s="5" t="s">
        <v>614</v>
      </c>
      <c r="D23454" s="3" t="s">
        <v>206</v>
      </c>
      <c r="E23454" s="3" t="s">
        <v>100</v>
      </c>
      <c r="F23454" s="7">
        <v>46197.18552292096</v>
      </c>
      <c r="G23454" s="3" t="s">
        <v>32169</v>
      </c>
    </row>
    <row r="23455">
      <c r="A23455" s="3" t="s">
        <v>39795</v>
      </c>
      <c r="B23455" s="3" t="s">
        <v>19332</v>
      </c>
      <c r="C23455" s="5" t="s">
        <v>206</v>
      </c>
      <c r="D23455" s="3" t="s">
        <v>68</v>
      </c>
      <c r="E23455" s="3" t="s">
        <v>100</v>
      </c>
      <c r="F23455" s="7">
        <v>46197.18899514318</v>
      </c>
      <c r="G23455" s="3" t="s">
        <v>32171</v>
      </c>
    </row>
    <row r="23456">
      <c r="A23456" s="3" t="s">
        <v>39796</v>
      </c>
      <c r="B23456" s="3" t="s">
        <v>19334</v>
      </c>
      <c r="C23456" s="5" t="s">
        <v>45</v>
      </c>
      <c r="D23456" s="3" t="s">
        <v>221</v>
      </c>
      <c r="E23456" s="3" t="s">
        <v>460</v>
      </c>
      <c r="F23456" s="7">
        <v>46197.24975332193</v>
      </c>
      <c r="G23456" s="3" t="s">
        <v>2770</v>
      </c>
    </row>
    <row r="23457">
      <c r="A23457" s="3" t="s">
        <v>39797</v>
      </c>
      <c r="B23457" s="3" t="s">
        <v>19334</v>
      </c>
      <c r="C23457" s="5" t="s">
        <v>221</v>
      </c>
      <c r="D23457" s="3" t="s">
        <v>195</v>
      </c>
      <c r="E23457" s="3" t="s">
        <v>460</v>
      </c>
      <c r="F23457" s="7">
        <v>46197.25322554415</v>
      </c>
      <c r="G23457" s="3" t="s">
        <v>3055</v>
      </c>
    </row>
    <row r="23458">
      <c r="A23458" s="3" t="s">
        <v>39798</v>
      </c>
      <c r="B23458" s="3" t="s">
        <v>19337</v>
      </c>
      <c r="C23458" s="5" t="s">
        <v>45</v>
      </c>
      <c r="D23458" s="3" t="s">
        <v>221</v>
      </c>
      <c r="E23458" s="3" t="s">
        <v>256</v>
      </c>
      <c r="F23458" s="7">
        <v>46197.32092816734</v>
      </c>
      <c r="G23458" s="3" t="s">
        <v>25813</v>
      </c>
    </row>
    <row r="23459">
      <c r="A23459" s="3" t="s">
        <v>39799</v>
      </c>
      <c r="B23459" s="3" t="s">
        <v>19337</v>
      </c>
      <c r="C23459" s="5" t="s">
        <v>221</v>
      </c>
      <c r="D23459" s="3" t="s">
        <v>614</v>
      </c>
      <c r="E23459" s="3" t="s">
        <v>118</v>
      </c>
      <c r="F23459" s="7">
        <v>46197.32440038956</v>
      </c>
      <c r="G23459" s="3" t="s">
        <v>27432</v>
      </c>
    </row>
    <row r="23460">
      <c r="A23460" s="3" t="s">
        <v>39800</v>
      </c>
      <c r="B23460" s="3" t="s">
        <v>19337</v>
      </c>
      <c r="C23460" s="5" t="s">
        <v>614</v>
      </c>
      <c r="D23460" s="3" t="s">
        <v>206</v>
      </c>
      <c r="E23460" s="3" t="s">
        <v>100</v>
      </c>
      <c r="F23460" s="7">
        <v>46197.327872611786</v>
      </c>
      <c r="G23460" s="3" t="s">
        <v>27434</v>
      </c>
    </row>
    <row r="23461">
      <c r="A23461" s="3" t="s">
        <v>39801</v>
      </c>
      <c r="B23461" s="3" t="s">
        <v>19337</v>
      </c>
      <c r="C23461" s="5" t="s">
        <v>206</v>
      </c>
      <c r="D23461" s="3" t="s">
        <v>68</v>
      </c>
      <c r="E23461" s="3" t="s">
        <v>100</v>
      </c>
      <c r="F23461" s="7">
        <v>46197.331344834005</v>
      </c>
      <c r="G23461" s="3" t="s">
        <v>27436</v>
      </c>
    </row>
    <row r="23462">
      <c r="A23462" s="3" t="s">
        <v>39802</v>
      </c>
      <c r="B23462" s="3" t="s">
        <v>19339</v>
      </c>
      <c r="C23462" s="5" t="s">
        <v>45</v>
      </c>
      <c r="D23462" s="3" t="s">
        <v>221</v>
      </c>
      <c r="E23462" s="3" t="s">
        <v>247</v>
      </c>
      <c r="F23462" s="7">
        <v>46197.39210301276</v>
      </c>
      <c r="G23462" s="3" t="s">
        <v>12956</v>
      </c>
    </row>
    <row r="23463">
      <c r="A23463" s="3" t="s">
        <v>39803</v>
      </c>
      <c r="B23463" s="3" t="s">
        <v>19339</v>
      </c>
      <c r="C23463" s="5" t="s">
        <v>221</v>
      </c>
      <c r="D23463" s="3" t="s">
        <v>614</v>
      </c>
      <c r="E23463" s="3" t="s">
        <v>118</v>
      </c>
      <c r="F23463" s="7">
        <v>46197.39557523498</v>
      </c>
      <c r="G23463" s="3" t="s">
        <v>12959</v>
      </c>
    </row>
    <row r="23464">
      <c r="A23464" s="3" t="s">
        <v>39804</v>
      </c>
      <c r="B23464" s="3" t="s">
        <v>19339</v>
      </c>
      <c r="C23464" s="5" t="s">
        <v>614</v>
      </c>
      <c r="D23464" s="3" t="s">
        <v>206</v>
      </c>
      <c r="E23464" s="3" t="s">
        <v>100</v>
      </c>
      <c r="F23464" s="7">
        <v>46197.399047457206</v>
      </c>
      <c r="G23464" s="3" t="s">
        <v>12962</v>
      </c>
    </row>
    <row r="23465">
      <c r="A23465" s="3" t="s">
        <v>39805</v>
      </c>
      <c r="B23465" s="3" t="s">
        <v>19339</v>
      </c>
      <c r="C23465" s="5" t="s">
        <v>206</v>
      </c>
      <c r="D23465" s="3" t="s">
        <v>68</v>
      </c>
      <c r="E23465" s="3" t="s">
        <v>100</v>
      </c>
      <c r="F23465" s="7">
        <v>46197.402519679425</v>
      </c>
      <c r="G23465" s="3" t="s">
        <v>12965</v>
      </c>
    </row>
    <row r="23466">
      <c r="A23466" s="3" t="s">
        <v>39806</v>
      </c>
      <c r="B23466" s="3" t="s">
        <v>19341</v>
      </c>
      <c r="C23466" s="5" t="s">
        <v>45</v>
      </c>
      <c r="D23466" s="3" t="s">
        <v>221</v>
      </c>
      <c r="E23466" s="3" t="s">
        <v>436</v>
      </c>
      <c r="F23466" s="7">
        <v>46197.46327785818</v>
      </c>
      <c r="G23466" s="3" t="s">
        <v>5973</v>
      </c>
    </row>
    <row r="23467">
      <c r="A23467" s="3" t="s">
        <v>39807</v>
      </c>
      <c r="B23467" s="3" t="s">
        <v>19341</v>
      </c>
      <c r="C23467" s="5" t="s">
        <v>221</v>
      </c>
      <c r="D23467" s="3" t="s">
        <v>614</v>
      </c>
      <c r="E23467" s="3" t="s">
        <v>118</v>
      </c>
      <c r="F23467" s="7">
        <v>46197.4667500804</v>
      </c>
      <c r="G23467" s="3" t="s">
        <v>5976</v>
      </c>
    </row>
    <row r="23468">
      <c r="A23468" s="3" t="s">
        <v>39808</v>
      </c>
      <c r="B23468" s="3" t="s">
        <v>19341</v>
      </c>
      <c r="C23468" s="5" t="s">
        <v>614</v>
      </c>
      <c r="D23468" s="3" t="s">
        <v>206</v>
      </c>
      <c r="E23468" s="3" t="s">
        <v>100</v>
      </c>
      <c r="F23468" s="7">
        <v>46197.470222302625</v>
      </c>
      <c r="G23468" s="3" t="s">
        <v>5979</v>
      </c>
    </row>
    <row r="23469">
      <c r="A23469" s="3" t="s">
        <v>39809</v>
      </c>
      <c r="B23469" s="3" t="s">
        <v>19341</v>
      </c>
      <c r="C23469" s="5" t="s">
        <v>206</v>
      </c>
      <c r="D23469" s="3" t="s">
        <v>68</v>
      </c>
      <c r="E23469" s="3" t="s">
        <v>100</v>
      </c>
      <c r="F23469" s="7">
        <v>46197.473694524844</v>
      </c>
      <c r="G23469" s="3" t="s">
        <v>5982</v>
      </c>
    </row>
    <row r="23470">
      <c r="A23470" s="3" t="s">
        <v>39810</v>
      </c>
      <c r="B23470" s="3" t="s">
        <v>19343</v>
      </c>
      <c r="C23470" s="5" t="s">
        <v>45</v>
      </c>
      <c r="D23470" s="3" t="s">
        <v>221</v>
      </c>
      <c r="E23470" s="3" t="s">
        <v>953</v>
      </c>
      <c r="F23470" s="7">
        <v>46197.534452703585</v>
      </c>
      <c r="G23470" s="3" t="s">
        <v>22804</v>
      </c>
    </row>
    <row r="23471">
      <c r="A23471" s="3" t="s">
        <v>39811</v>
      </c>
      <c r="B23471" s="3" t="s">
        <v>19343</v>
      </c>
      <c r="C23471" s="5" t="s">
        <v>221</v>
      </c>
      <c r="D23471" s="3" t="s">
        <v>614</v>
      </c>
      <c r="E23471" s="3" t="s">
        <v>118</v>
      </c>
      <c r="F23471" s="7">
        <v>46197.537924925804</v>
      </c>
      <c r="G23471" s="3" t="s">
        <v>22807</v>
      </c>
    </row>
    <row r="23472">
      <c r="A23472" s="3" t="s">
        <v>39812</v>
      </c>
      <c r="B23472" s="3" t="s">
        <v>19343</v>
      </c>
      <c r="C23472" s="5" t="s">
        <v>614</v>
      </c>
      <c r="D23472" s="3" t="s">
        <v>206</v>
      </c>
      <c r="E23472" s="3" t="s">
        <v>100</v>
      </c>
      <c r="F23472" s="7">
        <v>46197.54139714803</v>
      </c>
      <c r="G23472" s="3" t="s">
        <v>22810</v>
      </c>
    </row>
    <row r="23473">
      <c r="A23473" s="3" t="s">
        <v>39813</v>
      </c>
      <c r="B23473" s="3" t="s">
        <v>19343</v>
      </c>
      <c r="C23473" s="5" t="s">
        <v>206</v>
      </c>
      <c r="D23473" s="3" t="s">
        <v>68</v>
      </c>
      <c r="E23473" s="3" t="s">
        <v>100</v>
      </c>
      <c r="F23473" s="7">
        <v>46197.54486937025</v>
      </c>
      <c r="G23473" s="3" t="s">
        <v>22813</v>
      </c>
    </row>
    <row r="23474">
      <c r="A23474" s="3" t="s">
        <v>39814</v>
      </c>
      <c r="B23474" s="3" t="s">
        <v>19345</v>
      </c>
      <c r="C23474" s="5" t="s">
        <v>45</v>
      </c>
      <c r="D23474" s="3" t="s">
        <v>221</v>
      </c>
      <c r="E23474" s="3" t="s">
        <v>546</v>
      </c>
      <c r="F23474" s="7">
        <v>46197.605627549005</v>
      </c>
      <c r="G23474" s="3" t="s">
        <v>6033</v>
      </c>
    </row>
    <row r="23475">
      <c r="A23475" s="3" t="s">
        <v>39815</v>
      </c>
      <c r="B23475" s="3" t="s">
        <v>19345</v>
      </c>
      <c r="C23475" s="5" t="s">
        <v>221</v>
      </c>
      <c r="D23475" s="3" t="s">
        <v>614</v>
      </c>
      <c r="E23475" s="3" t="s">
        <v>118</v>
      </c>
      <c r="F23475" s="7">
        <v>46197.60909977122</v>
      </c>
      <c r="G23475" s="3" t="s">
        <v>6036</v>
      </c>
    </row>
    <row r="23476">
      <c r="A23476" s="3" t="s">
        <v>39816</v>
      </c>
      <c r="B23476" s="3" t="s">
        <v>19345</v>
      </c>
      <c r="C23476" s="5" t="s">
        <v>614</v>
      </c>
      <c r="D23476" s="3" t="s">
        <v>206</v>
      </c>
      <c r="E23476" s="3" t="s">
        <v>100</v>
      </c>
      <c r="F23476" s="7">
        <v>46197.61257199345</v>
      </c>
      <c r="G23476" s="3" t="s">
        <v>6039</v>
      </c>
    </row>
    <row r="23477">
      <c r="A23477" s="3" t="s">
        <v>39817</v>
      </c>
      <c r="B23477" s="3" t="s">
        <v>19345</v>
      </c>
      <c r="C23477" s="5" t="s">
        <v>206</v>
      </c>
      <c r="D23477" s="3" t="s">
        <v>68</v>
      </c>
      <c r="E23477" s="3" t="s">
        <v>100</v>
      </c>
      <c r="F23477" s="7">
        <v>46197.61604421567</v>
      </c>
      <c r="G23477" s="3" t="s">
        <v>6042</v>
      </c>
    </row>
    <row r="23478">
      <c r="A23478" s="3" t="s">
        <v>39818</v>
      </c>
      <c r="B23478" s="3" t="s">
        <v>19347</v>
      </c>
      <c r="C23478" s="5" t="s">
        <v>45</v>
      </c>
      <c r="D23478" s="3" t="s">
        <v>221</v>
      </c>
      <c r="E23478" s="3" t="s">
        <v>310</v>
      </c>
      <c r="F23478" s="7">
        <v>46197.67680239442</v>
      </c>
      <c r="G23478" s="3" t="s">
        <v>2770</v>
      </c>
    </row>
    <row r="23479">
      <c r="A23479" s="3" t="s">
        <v>39819</v>
      </c>
      <c r="B23479" s="3" t="s">
        <v>19347</v>
      </c>
      <c r="C23479" s="5" t="s">
        <v>221</v>
      </c>
      <c r="D23479" s="3" t="s">
        <v>181</v>
      </c>
      <c r="E23479" s="3" t="s">
        <v>118</v>
      </c>
      <c r="F23479" s="7">
        <v>46197.680274616636</v>
      </c>
      <c r="G23479" s="3" t="s">
        <v>2774</v>
      </c>
    </row>
    <row r="23480">
      <c r="A23480" s="3" t="s">
        <v>39820</v>
      </c>
      <c r="B23480" s="3" t="s">
        <v>19349</v>
      </c>
      <c r="C23480" s="5" t="s">
        <v>45</v>
      </c>
      <c r="D23480" s="3" t="s">
        <v>221</v>
      </c>
      <c r="E23480" s="3" t="s">
        <v>193</v>
      </c>
      <c r="F23480" s="7">
        <v>46197.74797723984</v>
      </c>
      <c r="G23480" s="3" t="s">
        <v>5961</v>
      </c>
    </row>
    <row r="23481">
      <c r="A23481" s="3" t="s">
        <v>39821</v>
      </c>
      <c r="B23481" s="3" t="s">
        <v>19349</v>
      </c>
      <c r="C23481" s="5" t="s">
        <v>221</v>
      </c>
      <c r="D23481" s="3" t="s">
        <v>614</v>
      </c>
      <c r="E23481" s="3" t="s">
        <v>118</v>
      </c>
      <c r="F23481" s="7">
        <v>46197.751449462055</v>
      </c>
      <c r="G23481" s="3" t="s">
        <v>5964</v>
      </c>
    </row>
    <row r="23482">
      <c r="A23482" s="3" t="s">
        <v>39822</v>
      </c>
      <c r="B23482" s="3" t="s">
        <v>19349</v>
      </c>
      <c r="C23482" s="5" t="s">
        <v>614</v>
      </c>
      <c r="D23482" s="3" t="s">
        <v>206</v>
      </c>
      <c r="E23482" s="3" t="s">
        <v>100</v>
      </c>
      <c r="F23482" s="7">
        <v>46197.75492168428</v>
      </c>
      <c r="G23482" s="3" t="s">
        <v>5967</v>
      </c>
    </row>
    <row r="23483">
      <c r="A23483" s="3" t="s">
        <v>39823</v>
      </c>
      <c r="B23483" s="3" t="s">
        <v>19349</v>
      </c>
      <c r="C23483" s="5" t="s">
        <v>206</v>
      </c>
      <c r="D23483" s="3" t="s">
        <v>68</v>
      </c>
      <c r="E23483" s="3" t="s">
        <v>100</v>
      </c>
      <c r="F23483" s="7">
        <v>46197.7583939065</v>
      </c>
      <c r="G23483" s="3" t="s">
        <v>5970</v>
      </c>
    </row>
    <row r="23484">
      <c r="A23484" s="3" t="s">
        <v>39824</v>
      </c>
      <c r="B23484" s="3" t="s">
        <v>19352</v>
      </c>
      <c r="C23484" s="5" t="s">
        <v>45</v>
      </c>
      <c r="D23484" s="3" t="s">
        <v>221</v>
      </c>
      <c r="E23484" s="3" t="s">
        <v>253</v>
      </c>
      <c r="F23484" s="7">
        <v>46197.81915208525</v>
      </c>
      <c r="G23484" s="3" t="s">
        <v>6046</v>
      </c>
    </row>
    <row r="23485">
      <c r="A23485" s="3" t="s">
        <v>39825</v>
      </c>
      <c r="B23485" s="3" t="s">
        <v>19352</v>
      </c>
      <c r="C23485" s="5" t="s">
        <v>221</v>
      </c>
      <c r="D23485" s="3" t="s">
        <v>614</v>
      </c>
      <c r="E23485" s="3" t="s">
        <v>118</v>
      </c>
      <c r="F23485" s="7">
        <v>46197.82262430747</v>
      </c>
      <c r="G23485" s="3" t="s">
        <v>6050</v>
      </c>
    </row>
    <row r="23486">
      <c r="A23486" s="3" t="s">
        <v>39826</v>
      </c>
      <c r="B23486" s="3" t="s">
        <v>19352</v>
      </c>
      <c r="C23486" s="5" t="s">
        <v>614</v>
      </c>
      <c r="D23486" s="3" t="s">
        <v>206</v>
      </c>
      <c r="E23486" s="3" t="s">
        <v>100</v>
      </c>
      <c r="F23486" s="7">
        <v>46197.826096529694</v>
      </c>
      <c r="G23486" s="3" t="s">
        <v>6053</v>
      </c>
    </row>
    <row r="23487">
      <c r="A23487" s="3" t="s">
        <v>39827</v>
      </c>
      <c r="B23487" s="3" t="s">
        <v>19352</v>
      </c>
      <c r="C23487" s="5" t="s">
        <v>206</v>
      </c>
      <c r="D23487" s="3" t="s">
        <v>68</v>
      </c>
      <c r="E23487" s="3" t="s">
        <v>100</v>
      </c>
      <c r="F23487" s="7">
        <v>46197.82956875191</v>
      </c>
      <c r="G23487" s="3" t="s">
        <v>6057</v>
      </c>
    </row>
    <row r="23488">
      <c r="A23488" s="3" t="s">
        <v>39828</v>
      </c>
      <c r="B23488" s="3" t="s">
        <v>19355</v>
      </c>
      <c r="C23488" s="5" t="s">
        <v>45</v>
      </c>
      <c r="D23488" s="3" t="s">
        <v>221</v>
      </c>
      <c r="E23488" s="3" t="s">
        <v>826</v>
      </c>
      <c r="F23488" s="7">
        <v>46197.89032693067</v>
      </c>
      <c r="G23488" s="3" t="s">
        <v>18440</v>
      </c>
    </row>
    <row r="23489">
      <c r="A23489" s="3" t="s">
        <v>39829</v>
      </c>
      <c r="B23489" s="3" t="s">
        <v>19355</v>
      </c>
      <c r="C23489" s="5" t="s">
        <v>221</v>
      </c>
      <c r="D23489" s="3" t="s">
        <v>614</v>
      </c>
      <c r="E23489" s="3" t="s">
        <v>118</v>
      </c>
      <c r="F23489" s="7">
        <v>46197.89379915289</v>
      </c>
      <c r="G23489" s="3" t="s">
        <v>18442</v>
      </c>
    </row>
    <row r="23490">
      <c r="A23490" s="3" t="s">
        <v>39830</v>
      </c>
      <c r="B23490" s="3" t="s">
        <v>19355</v>
      </c>
      <c r="C23490" s="5" t="s">
        <v>614</v>
      </c>
      <c r="D23490" s="3" t="s">
        <v>206</v>
      </c>
      <c r="E23490" s="3" t="s">
        <v>100</v>
      </c>
      <c r="F23490" s="7">
        <v>46197.89727137511</v>
      </c>
      <c r="G23490" s="3" t="s">
        <v>18445</v>
      </c>
    </row>
    <row r="23491">
      <c r="A23491" s="3" t="s">
        <v>39831</v>
      </c>
      <c r="B23491" s="3" t="s">
        <v>19355</v>
      </c>
      <c r="C23491" s="5" t="s">
        <v>206</v>
      </c>
      <c r="D23491" s="3" t="s">
        <v>68</v>
      </c>
      <c r="E23491" s="3" t="s">
        <v>100</v>
      </c>
      <c r="F23491" s="7">
        <v>46197.90074359733</v>
      </c>
      <c r="G23491" s="3" t="s">
        <v>18448</v>
      </c>
    </row>
    <row r="23492">
      <c r="A23492" s="3" t="s">
        <v>39832</v>
      </c>
      <c r="B23492" s="3" t="s">
        <v>19358</v>
      </c>
      <c r="C23492" s="5" t="s">
        <v>45</v>
      </c>
      <c r="D23492" s="3" t="s">
        <v>221</v>
      </c>
      <c r="E23492" s="3" t="s">
        <v>1034</v>
      </c>
      <c r="F23492" s="7">
        <v>46197.96150177608</v>
      </c>
      <c r="G23492" s="3" t="s">
        <v>30987</v>
      </c>
    </row>
    <row r="23493">
      <c r="A23493" s="3" t="s">
        <v>39833</v>
      </c>
      <c r="B23493" s="3" t="s">
        <v>19358</v>
      </c>
      <c r="C23493" s="5" t="s">
        <v>221</v>
      </c>
      <c r="D23493" s="3" t="s">
        <v>614</v>
      </c>
      <c r="E23493" s="3" t="s">
        <v>118</v>
      </c>
      <c r="F23493" s="7">
        <v>46197.9649739983</v>
      </c>
      <c r="G23493" s="3" t="s">
        <v>30989</v>
      </c>
    </row>
    <row r="23494">
      <c r="A23494" s="3" t="s">
        <v>39834</v>
      </c>
      <c r="B23494" s="3" t="s">
        <v>19358</v>
      </c>
      <c r="C23494" s="5" t="s">
        <v>614</v>
      </c>
      <c r="D23494" s="3" t="s">
        <v>206</v>
      </c>
      <c r="E23494" s="3" t="s">
        <v>100</v>
      </c>
      <c r="F23494" s="7">
        <v>46197.968446220526</v>
      </c>
      <c r="G23494" s="3" t="s">
        <v>30991</v>
      </c>
    </row>
    <row r="23495">
      <c r="A23495" s="3" t="s">
        <v>39835</v>
      </c>
      <c r="B23495" s="3" t="s">
        <v>19358</v>
      </c>
      <c r="C23495" s="5" t="s">
        <v>206</v>
      </c>
      <c r="D23495" s="3" t="s">
        <v>68</v>
      </c>
      <c r="E23495" s="3" t="s">
        <v>100</v>
      </c>
      <c r="F23495" s="7">
        <v>46197.971918442745</v>
      </c>
      <c r="G23495" s="3" t="s">
        <v>30993</v>
      </c>
    </row>
    <row r="23496">
      <c r="A23496" s="3" t="s">
        <v>39836</v>
      </c>
      <c r="B23496" s="3" t="s">
        <v>19363</v>
      </c>
      <c r="C23496" s="5" t="s">
        <v>45</v>
      </c>
      <c r="D23496" s="3" t="s">
        <v>221</v>
      </c>
      <c r="E23496" s="3" t="s">
        <v>920</v>
      </c>
      <c r="F23496" s="7">
        <v>46198.03267662149</v>
      </c>
      <c r="G23496" s="3" t="s">
        <v>24853</v>
      </c>
    </row>
    <row r="23497">
      <c r="A23497" s="3" t="s">
        <v>39837</v>
      </c>
      <c r="B23497" s="3" t="s">
        <v>19363</v>
      </c>
      <c r="C23497" s="5" t="s">
        <v>221</v>
      </c>
      <c r="D23497" s="3" t="s">
        <v>195</v>
      </c>
      <c r="E23497" s="3" t="s">
        <v>920</v>
      </c>
      <c r="F23497" s="7">
        <v>46198.03614884371</v>
      </c>
      <c r="G23497" s="3" t="s">
        <v>39838</v>
      </c>
    </row>
    <row r="23498">
      <c r="A23498" s="3" t="s">
        <v>39839</v>
      </c>
      <c r="B23498" s="3" t="s">
        <v>19365</v>
      </c>
      <c r="C23498" s="5" t="s">
        <v>45</v>
      </c>
      <c r="D23498" s="3" t="s">
        <v>221</v>
      </c>
      <c r="E23498" s="3" t="s">
        <v>953</v>
      </c>
      <c r="F23498" s="7">
        <v>46198.10385146691</v>
      </c>
      <c r="G23498" s="3" t="s">
        <v>22804</v>
      </c>
    </row>
    <row r="23499">
      <c r="A23499" s="3" t="s">
        <v>39840</v>
      </c>
      <c r="B23499" s="3" t="s">
        <v>19365</v>
      </c>
      <c r="C23499" s="5" t="s">
        <v>221</v>
      </c>
      <c r="D23499" s="3" t="s">
        <v>614</v>
      </c>
      <c r="E23499" s="3" t="s">
        <v>118</v>
      </c>
      <c r="F23499" s="7">
        <v>46198.10732368913</v>
      </c>
      <c r="G23499" s="3" t="s">
        <v>22807</v>
      </c>
    </row>
    <row r="23500">
      <c r="A23500" s="3" t="s">
        <v>39841</v>
      </c>
      <c r="B23500" s="3" t="s">
        <v>19365</v>
      </c>
      <c r="C23500" s="5" t="s">
        <v>614</v>
      </c>
      <c r="D23500" s="3" t="s">
        <v>206</v>
      </c>
      <c r="E23500" s="3" t="s">
        <v>100</v>
      </c>
      <c r="F23500" s="7">
        <v>46198.11079591136</v>
      </c>
      <c r="G23500" s="3" t="s">
        <v>22810</v>
      </c>
    </row>
    <row r="23501">
      <c r="A23501" s="3" t="s">
        <v>39842</v>
      </c>
      <c r="B23501" s="3" t="s">
        <v>19365</v>
      </c>
      <c r="C23501" s="5" t="s">
        <v>206</v>
      </c>
      <c r="D23501" s="3" t="s">
        <v>68</v>
      </c>
      <c r="E23501" s="3" t="s">
        <v>100</v>
      </c>
      <c r="F23501" s="7">
        <v>46198.11426813358</v>
      </c>
      <c r="G23501" s="3" t="s">
        <v>22813</v>
      </c>
    </row>
    <row r="23502">
      <c r="A23502" s="3" t="s">
        <v>39843</v>
      </c>
      <c r="B23502" s="3" t="s">
        <v>19367</v>
      </c>
      <c r="C23502" s="5" t="s">
        <v>45</v>
      </c>
      <c r="D23502" s="3" t="s">
        <v>221</v>
      </c>
      <c r="E23502" s="3" t="s">
        <v>533</v>
      </c>
      <c r="F23502" s="7">
        <v>46198.175026312325</v>
      </c>
      <c r="G23502" s="3" t="s">
        <v>22505</v>
      </c>
    </row>
    <row r="23503">
      <c r="A23503" s="3" t="s">
        <v>39844</v>
      </c>
      <c r="B23503" s="3" t="s">
        <v>19367</v>
      </c>
      <c r="C23503" s="5" t="s">
        <v>221</v>
      </c>
      <c r="D23503" s="3" t="s">
        <v>181</v>
      </c>
      <c r="E23503" s="3" t="s">
        <v>118</v>
      </c>
      <c r="F23503" s="7">
        <v>46198.178498534544</v>
      </c>
      <c r="G23503" s="3" t="s">
        <v>39845</v>
      </c>
    </row>
    <row r="23504">
      <c r="A23504" s="3" t="s">
        <v>39846</v>
      </c>
      <c r="B23504" s="3" t="s">
        <v>19369</v>
      </c>
      <c r="C23504" s="5" t="s">
        <v>45</v>
      </c>
      <c r="D23504" s="3" t="s">
        <v>221</v>
      </c>
      <c r="E23504" s="3" t="s">
        <v>717</v>
      </c>
      <c r="F23504" s="7">
        <v>46198.24620115774</v>
      </c>
      <c r="G23504" s="3" t="s">
        <v>35012</v>
      </c>
    </row>
    <row r="23505">
      <c r="A23505" s="3" t="s">
        <v>39847</v>
      </c>
      <c r="B23505" s="3" t="s">
        <v>19369</v>
      </c>
      <c r="C23505" s="5" t="s">
        <v>221</v>
      </c>
      <c r="D23505" s="3" t="s">
        <v>614</v>
      </c>
      <c r="E23505" s="3" t="s">
        <v>118</v>
      </c>
      <c r="F23505" s="7">
        <v>46198.249673379956</v>
      </c>
      <c r="G23505" s="3" t="s">
        <v>39848</v>
      </c>
    </row>
    <row r="23506">
      <c r="A23506" s="3" t="s">
        <v>39849</v>
      </c>
      <c r="B23506" s="3" t="s">
        <v>19369</v>
      </c>
      <c r="C23506" s="5" t="s">
        <v>614</v>
      </c>
      <c r="D23506" s="3" t="s">
        <v>206</v>
      </c>
      <c r="E23506" s="3" t="s">
        <v>100</v>
      </c>
      <c r="F23506" s="7">
        <v>46198.25314560218</v>
      </c>
      <c r="G23506" s="3" t="s">
        <v>39850</v>
      </c>
    </row>
    <row r="23507">
      <c r="A23507" s="3" t="s">
        <v>39851</v>
      </c>
      <c r="B23507" s="3" t="s">
        <v>19369</v>
      </c>
      <c r="C23507" s="5" t="s">
        <v>206</v>
      </c>
      <c r="D23507" s="3" t="s">
        <v>68</v>
      </c>
      <c r="E23507" s="3" t="s">
        <v>100</v>
      </c>
      <c r="F23507" s="7">
        <v>46198.2566178244</v>
      </c>
      <c r="G23507" s="3" t="s">
        <v>39852</v>
      </c>
    </row>
    <row r="23508">
      <c r="A23508" s="3" t="s">
        <v>39853</v>
      </c>
      <c r="B23508" s="3" t="s">
        <v>19371</v>
      </c>
      <c r="C23508" s="5" t="s">
        <v>45</v>
      </c>
      <c r="D23508" s="3" t="s">
        <v>221</v>
      </c>
      <c r="E23508" s="3" t="s">
        <v>751</v>
      </c>
      <c r="F23508" s="7">
        <v>46198.31737600316</v>
      </c>
      <c r="G23508" s="3" t="s">
        <v>17559</v>
      </c>
    </row>
    <row r="23509">
      <c r="A23509" s="3" t="s">
        <v>39854</v>
      </c>
      <c r="B23509" s="3" t="s">
        <v>19371</v>
      </c>
      <c r="C23509" s="5" t="s">
        <v>221</v>
      </c>
      <c r="D23509" s="3" t="s">
        <v>614</v>
      </c>
      <c r="E23509" s="3" t="s">
        <v>118</v>
      </c>
      <c r="F23509" s="7">
        <v>46198.320848225376</v>
      </c>
      <c r="G23509" s="3" t="s">
        <v>17562</v>
      </c>
    </row>
    <row r="23510">
      <c r="A23510" s="3" t="s">
        <v>39855</v>
      </c>
      <c r="B23510" s="3" t="s">
        <v>19371</v>
      </c>
      <c r="C23510" s="5" t="s">
        <v>614</v>
      </c>
      <c r="D23510" s="3" t="s">
        <v>206</v>
      </c>
      <c r="E23510" s="3" t="s">
        <v>100</v>
      </c>
      <c r="F23510" s="7">
        <v>46198.3243204476</v>
      </c>
      <c r="G23510" s="3" t="s">
        <v>17565</v>
      </c>
    </row>
    <row r="23511">
      <c r="A23511" s="3" t="s">
        <v>39856</v>
      </c>
      <c r="B23511" s="3" t="s">
        <v>19371</v>
      </c>
      <c r="C23511" s="5" t="s">
        <v>206</v>
      </c>
      <c r="D23511" s="3" t="s">
        <v>68</v>
      </c>
      <c r="E23511" s="3" t="s">
        <v>100</v>
      </c>
      <c r="F23511" s="7">
        <v>46198.32779266982</v>
      </c>
      <c r="G23511" s="3" t="s">
        <v>17567</v>
      </c>
    </row>
    <row r="23512">
      <c r="A23512" s="3" t="s">
        <v>39857</v>
      </c>
      <c r="B23512" s="3" t="s">
        <v>19375</v>
      </c>
      <c r="C23512" s="5" t="s">
        <v>45</v>
      </c>
      <c r="D23512" s="3" t="s">
        <v>221</v>
      </c>
      <c r="E23512" s="3" t="s">
        <v>440</v>
      </c>
      <c r="F23512" s="7">
        <v>46198.38855084857</v>
      </c>
      <c r="G23512" s="3" t="s">
        <v>6060</v>
      </c>
    </row>
    <row r="23513">
      <c r="A23513" s="3" t="s">
        <v>39858</v>
      </c>
      <c r="B23513" s="3" t="s">
        <v>19375</v>
      </c>
      <c r="C23513" s="5" t="s">
        <v>221</v>
      </c>
      <c r="D23513" s="3" t="s">
        <v>614</v>
      </c>
      <c r="E23513" s="3" t="s">
        <v>118</v>
      </c>
      <c r="F23513" s="7">
        <v>46198.39202307079</v>
      </c>
      <c r="G23513" s="3" t="s">
        <v>6063</v>
      </c>
    </row>
    <row r="23514">
      <c r="A23514" s="3" t="s">
        <v>39859</v>
      </c>
      <c r="B23514" s="3" t="s">
        <v>19375</v>
      </c>
      <c r="C23514" s="5" t="s">
        <v>614</v>
      </c>
      <c r="D23514" s="3" t="s">
        <v>206</v>
      </c>
      <c r="E23514" s="3" t="s">
        <v>100</v>
      </c>
      <c r="F23514" s="7">
        <v>46198.395495293014</v>
      </c>
      <c r="G23514" s="3" t="s">
        <v>6067</v>
      </c>
    </row>
    <row r="23515">
      <c r="A23515" s="3" t="s">
        <v>39860</v>
      </c>
      <c r="B23515" s="3" t="s">
        <v>19375</v>
      </c>
      <c r="C23515" s="5" t="s">
        <v>206</v>
      </c>
      <c r="D23515" s="3" t="s">
        <v>68</v>
      </c>
      <c r="E23515" s="3" t="s">
        <v>100</v>
      </c>
      <c r="F23515" s="7">
        <v>46198.39896751523</v>
      </c>
      <c r="G23515" s="3" t="s">
        <v>6070</v>
      </c>
    </row>
    <row r="23516">
      <c r="A23516" s="3" t="s">
        <v>39861</v>
      </c>
      <c r="B23516" s="3" t="s">
        <v>19379</v>
      </c>
      <c r="C23516" s="5" t="s">
        <v>45</v>
      </c>
      <c r="D23516" s="3" t="s">
        <v>221</v>
      </c>
      <c r="E23516" s="3" t="s">
        <v>1026</v>
      </c>
      <c r="F23516" s="7">
        <v>46198.45972569398</v>
      </c>
      <c r="G23516" s="3" t="s">
        <v>6145</v>
      </c>
    </row>
    <row r="23517">
      <c r="A23517" s="3" t="s">
        <v>39862</v>
      </c>
      <c r="B23517" s="3" t="s">
        <v>19379</v>
      </c>
      <c r="C23517" s="5" t="s">
        <v>221</v>
      </c>
      <c r="D23517" s="3" t="s">
        <v>614</v>
      </c>
      <c r="E23517" s="3" t="s">
        <v>118</v>
      </c>
      <c r="F23517" s="7">
        <v>46198.4631979162</v>
      </c>
      <c r="G23517" s="3" t="s">
        <v>6147</v>
      </c>
    </row>
    <row r="23518">
      <c r="A23518" s="3" t="s">
        <v>39863</v>
      </c>
      <c r="B23518" s="3" t="s">
        <v>19379</v>
      </c>
      <c r="C23518" s="5" t="s">
        <v>614</v>
      </c>
      <c r="D23518" s="3" t="s">
        <v>206</v>
      </c>
      <c r="E23518" s="3" t="s">
        <v>100</v>
      </c>
      <c r="F23518" s="7">
        <v>46198.46667013843</v>
      </c>
      <c r="G23518" s="3" t="s">
        <v>6149</v>
      </c>
    </row>
    <row r="23519">
      <c r="A23519" s="3" t="s">
        <v>39864</v>
      </c>
      <c r="B23519" s="3" t="s">
        <v>19379</v>
      </c>
      <c r="C23519" s="5" t="s">
        <v>206</v>
      </c>
      <c r="D23519" s="3" t="s">
        <v>68</v>
      </c>
      <c r="E23519" s="3" t="s">
        <v>100</v>
      </c>
      <c r="F23519" s="7">
        <v>46198.470142360646</v>
      </c>
      <c r="G23519" s="3" t="s">
        <v>6152</v>
      </c>
    </row>
    <row r="23520">
      <c r="A23520" s="3" t="s">
        <v>39865</v>
      </c>
      <c r="B23520" s="3" t="s">
        <v>19382</v>
      </c>
      <c r="C23520" s="5" t="s">
        <v>45</v>
      </c>
      <c r="D23520" s="3" t="s">
        <v>221</v>
      </c>
      <c r="E23520" s="3" t="s">
        <v>496</v>
      </c>
      <c r="F23520" s="7">
        <v>46198.5309005394</v>
      </c>
      <c r="G23520" s="3" t="s">
        <v>6166</v>
      </c>
    </row>
    <row r="23521">
      <c r="A23521" s="3" t="s">
        <v>39866</v>
      </c>
      <c r="B23521" s="3" t="s">
        <v>19382</v>
      </c>
      <c r="C23521" s="5" t="s">
        <v>221</v>
      </c>
      <c r="D23521" s="3" t="s">
        <v>614</v>
      </c>
      <c r="E23521" s="3" t="s">
        <v>118</v>
      </c>
      <c r="F23521" s="7">
        <v>46198.53437276162</v>
      </c>
      <c r="G23521" s="3" t="s">
        <v>6169</v>
      </c>
    </row>
    <row r="23522">
      <c r="A23522" s="3" t="s">
        <v>39867</v>
      </c>
      <c r="B23522" s="3" t="s">
        <v>19382</v>
      </c>
      <c r="C23522" s="5" t="s">
        <v>614</v>
      </c>
      <c r="D23522" s="3" t="s">
        <v>206</v>
      </c>
      <c r="E23522" s="3" t="s">
        <v>100</v>
      </c>
      <c r="F23522" s="7">
        <v>46198.537844983846</v>
      </c>
      <c r="G23522" s="3" t="s">
        <v>6171</v>
      </c>
    </row>
    <row r="23523">
      <c r="A23523" s="3" t="s">
        <v>39868</v>
      </c>
      <c r="B23523" s="3" t="s">
        <v>19382</v>
      </c>
      <c r="C23523" s="5" t="s">
        <v>206</v>
      </c>
      <c r="D23523" s="3" t="s">
        <v>68</v>
      </c>
      <c r="E23523" s="3" t="s">
        <v>100</v>
      </c>
      <c r="F23523" s="7">
        <v>46198.541317206065</v>
      </c>
      <c r="G23523" s="3" t="s">
        <v>6174</v>
      </c>
    </row>
    <row r="23524">
      <c r="A23524" s="3" t="s">
        <v>39869</v>
      </c>
      <c r="B23524" s="3" t="s">
        <v>19385</v>
      </c>
      <c r="C23524" s="5" t="s">
        <v>45</v>
      </c>
      <c r="D23524" s="3" t="s">
        <v>221</v>
      </c>
      <c r="E23524" s="3" t="s">
        <v>307</v>
      </c>
      <c r="F23524" s="7">
        <v>46198.60207538482</v>
      </c>
      <c r="G23524" s="3" t="s">
        <v>10964</v>
      </c>
    </row>
    <row r="23525">
      <c r="A23525" s="3" t="s">
        <v>39870</v>
      </c>
      <c r="B23525" s="3" t="s">
        <v>19385</v>
      </c>
      <c r="C23525" s="5" t="s">
        <v>221</v>
      </c>
      <c r="D23525" s="3" t="s">
        <v>614</v>
      </c>
      <c r="E23525" s="3" t="s">
        <v>118</v>
      </c>
      <c r="F23525" s="7">
        <v>46198.60554760704</v>
      </c>
      <c r="G23525" s="3" t="s">
        <v>10967</v>
      </c>
    </row>
    <row r="23526">
      <c r="A23526" s="3" t="s">
        <v>39871</v>
      </c>
      <c r="B23526" s="3" t="s">
        <v>19385</v>
      </c>
      <c r="C23526" s="5" t="s">
        <v>614</v>
      </c>
      <c r="D23526" s="3" t="s">
        <v>206</v>
      </c>
      <c r="E23526" s="3" t="s">
        <v>100</v>
      </c>
      <c r="F23526" s="7">
        <v>46198.609019829266</v>
      </c>
      <c r="G23526" s="3" t="s">
        <v>10970</v>
      </c>
    </row>
    <row r="23527">
      <c r="A23527" s="3" t="s">
        <v>39872</v>
      </c>
      <c r="B23527" s="3" t="s">
        <v>19385</v>
      </c>
      <c r="C23527" s="5" t="s">
        <v>206</v>
      </c>
      <c r="D23527" s="3" t="s">
        <v>68</v>
      </c>
      <c r="E23527" s="3" t="s">
        <v>100</v>
      </c>
      <c r="F23527" s="7">
        <v>46198.612492051485</v>
      </c>
      <c r="G23527" s="3" t="s">
        <v>10973</v>
      </c>
    </row>
    <row r="23528">
      <c r="A23528" s="3" t="s">
        <v>39873</v>
      </c>
      <c r="B23528" s="3" t="s">
        <v>19388</v>
      </c>
      <c r="C23528" s="5" t="s">
        <v>45</v>
      </c>
      <c r="D23528" s="3" t="s">
        <v>221</v>
      </c>
      <c r="E23528" s="3" t="s">
        <v>949</v>
      </c>
      <c r="F23528" s="7">
        <v>46198.673250230226</v>
      </c>
      <c r="G23528" s="3" t="s">
        <v>6195</v>
      </c>
    </row>
    <row r="23529">
      <c r="A23529" s="3" t="s">
        <v>39874</v>
      </c>
      <c r="B23529" s="3" t="s">
        <v>19388</v>
      </c>
      <c r="C23529" s="5" t="s">
        <v>221</v>
      </c>
      <c r="D23529" s="3" t="s">
        <v>614</v>
      </c>
      <c r="E23529" s="3" t="s">
        <v>118</v>
      </c>
      <c r="F23529" s="7">
        <v>46198.676722452445</v>
      </c>
      <c r="G23529" s="3" t="s">
        <v>6198</v>
      </c>
    </row>
    <row r="23530">
      <c r="A23530" s="3" t="s">
        <v>39875</v>
      </c>
      <c r="B23530" s="3" t="s">
        <v>19388</v>
      </c>
      <c r="C23530" s="5" t="s">
        <v>614</v>
      </c>
      <c r="D23530" s="3" t="s">
        <v>206</v>
      </c>
      <c r="E23530" s="3" t="s">
        <v>100</v>
      </c>
      <c r="F23530" s="7">
        <v>46198.68019467467</v>
      </c>
      <c r="G23530" s="3" t="s">
        <v>6201</v>
      </c>
    </row>
    <row r="23531">
      <c r="A23531" s="3" t="s">
        <v>39876</v>
      </c>
      <c r="B23531" s="3" t="s">
        <v>19388</v>
      </c>
      <c r="C23531" s="5" t="s">
        <v>206</v>
      </c>
      <c r="D23531" s="3" t="s">
        <v>68</v>
      </c>
      <c r="E23531" s="3" t="s">
        <v>100</v>
      </c>
      <c r="F23531" s="7">
        <v>46198.68366689689</v>
      </c>
      <c r="G23531" s="3" t="s">
        <v>6203</v>
      </c>
    </row>
    <row r="23532">
      <c r="A23532" s="3" t="s">
        <v>39877</v>
      </c>
      <c r="B23532" s="3" t="s">
        <v>19392</v>
      </c>
      <c r="C23532" s="5" t="s">
        <v>45</v>
      </c>
      <c r="D23532" s="3" t="s">
        <v>221</v>
      </c>
      <c r="E23532" s="3" t="s">
        <v>510</v>
      </c>
      <c r="F23532" s="7">
        <v>46198.744425075645</v>
      </c>
      <c r="G23532" s="3" t="s">
        <v>7931</v>
      </c>
    </row>
    <row r="23533">
      <c r="A23533" s="3" t="s">
        <v>39878</v>
      </c>
      <c r="B23533" s="3" t="s">
        <v>19392</v>
      </c>
      <c r="C23533" s="5" t="s">
        <v>221</v>
      </c>
      <c r="D23533" s="3" t="s">
        <v>614</v>
      </c>
      <c r="E23533" s="3" t="s">
        <v>118</v>
      </c>
      <c r="F23533" s="7">
        <v>46198.747897297864</v>
      </c>
      <c r="G23533" s="3" t="s">
        <v>7934</v>
      </c>
    </row>
    <row r="23534">
      <c r="A23534" s="3" t="s">
        <v>39879</v>
      </c>
      <c r="B23534" s="3" t="s">
        <v>19392</v>
      </c>
      <c r="C23534" s="5" t="s">
        <v>614</v>
      </c>
      <c r="D23534" s="3" t="s">
        <v>206</v>
      </c>
      <c r="E23534" s="3" t="s">
        <v>100</v>
      </c>
      <c r="F23534" s="7">
        <v>46198.75136952009</v>
      </c>
      <c r="G23534" s="3" t="s">
        <v>7936</v>
      </c>
    </row>
    <row r="23535">
      <c r="A23535" s="3" t="s">
        <v>39880</v>
      </c>
      <c r="B23535" s="3" t="s">
        <v>19392</v>
      </c>
      <c r="C23535" s="5" t="s">
        <v>206</v>
      </c>
      <c r="D23535" s="3" t="s">
        <v>68</v>
      </c>
      <c r="E23535" s="3" t="s">
        <v>100</v>
      </c>
      <c r="F23535" s="7">
        <v>46198.75484174231</v>
      </c>
      <c r="G23535" s="3" t="s">
        <v>7939</v>
      </c>
    </row>
    <row r="23536">
      <c r="A23536" s="3" t="s">
        <v>39881</v>
      </c>
      <c r="B23536" s="3" t="s">
        <v>19395</v>
      </c>
      <c r="C23536" s="5" t="s">
        <v>45</v>
      </c>
      <c r="D23536" s="3" t="s">
        <v>221</v>
      </c>
      <c r="E23536" s="3" t="s">
        <v>575</v>
      </c>
      <c r="F23536" s="7">
        <v>46198.815599921065</v>
      </c>
      <c r="G23536" s="3" t="s">
        <v>5810</v>
      </c>
    </row>
    <row r="23537">
      <c r="A23537" s="3" t="s">
        <v>39882</v>
      </c>
      <c r="B23537" s="3" t="s">
        <v>19395</v>
      </c>
      <c r="C23537" s="5" t="s">
        <v>221</v>
      </c>
      <c r="D23537" s="3" t="s">
        <v>614</v>
      </c>
      <c r="E23537" s="3" t="s">
        <v>118</v>
      </c>
      <c r="F23537" s="7">
        <v>46198.819072143284</v>
      </c>
      <c r="G23537" s="3" t="s">
        <v>5813</v>
      </c>
    </row>
    <row r="23538">
      <c r="A23538" s="3" t="s">
        <v>39883</v>
      </c>
      <c r="B23538" s="3" t="s">
        <v>19395</v>
      </c>
      <c r="C23538" s="5" t="s">
        <v>614</v>
      </c>
      <c r="D23538" s="3" t="s">
        <v>206</v>
      </c>
      <c r="E23538" s="3" t="s">
        <v>100</v>
      </c>
      <c r="F23538" s="7">
        <v>46198.82254436551</v>
      </c>
      <c r="G23538" s="3" t="s">
        <v>5815</v>
      </c>
    </row>
    <row r="23539">
      <c r="A23539" s="3" t="s">
        <v>39884</v>
      </c>
      <c r="B23539" s="3" t="s">
        <v>19395</v>
      </c>
      <c r="C23539" s="5" t="s">
        <v>206</v>
      </c>
      <c r="D23539" s="3" t="s">
        <v>68</v>
      </c>
      <c r="E23539" s="3" t="s">
        <v>100</v>
      </c>
      <c r="F23539" s="7">
        <v>46198.82601658773</v>
      </c>
      <c r="G23539" s="3" t="s">
        <v>5818</v>
      </c>
    </row>
    <row r="23540">
      <c r="A23540" s="3" t="s">
        <v>39885</v>
      </c>
      <c r="B23540" s="3" t="s">
        <v>19399</v>
      </c>
      <c r="C23540" s="5" t="s">
        <v>45</v>
      </c>
      <c r="D23540" s="3" t="s">
        <v>221</v>
      </c>
      <c r="E23540" s="3" t="s">
        <v>319</v>
      </c>
      <c r="F23540" s="7">
        <v>46198.88677476648</v>
      </c>
      <c r="G23540" s="3" t="s">
        <v>6155</v>
      </c>
    </row>
    <row r="23541">
      <c r="A23541" s="3" t="s">
        <v>39886</v>
      </c>
      <c r="B23541" s="3" t="s">
        <v>19399</v>
      </c>
      <c r="C23541" s="5" t="s">
        <v>221</v>
      </c>
      <c r="D23541" s="3" t="s">
        <v>614</v>
      </c>
      <c r="E23541" s="3" t="s">
        <v>118</v>
      </c>
      <c r="F23541" s="7">
        <v>46198.890246988696</v>
      </c>
      <c r="G23541" s="3" t="s">
        <v>6158</v>
      </c>
    </row>
    <row r="23542">
      <c r="A23542" s="3" t="s">
        <v>39887</v>
      </c>
      <c r="B23542" s="3" t="s">
        <v>19399</v>
      </c>
      <c r="C23542" s="5" t="s">
        <v>614</v>
      </c>
      <c r="D23542" s="3" t="s">
        <v>206</v>
      </c>
      <c r="E23542" s="3" t="s">
        <v>100</v>
      </c>
      <c r="F23542" s="7">
        <v>46198.89371921092</v>
      </c>
      <c r="G23542" s="3" t="s">
        <v>6160</v>
      </c>
    </row>
    <row r="23543">
      <c r="A23543" s="3" t="s">
        <v>39888</v>
      </c>
      <c r="B23543" s="3" t="s">
        <v>19399</v>
      </c>
      <c r="C23543" s="5" t="s">
        <v>206</v>
      </c>
      <c r="D23543" s="3" t="s">
        <v>68</v>
      </c>
      <c r="E23543" s="3" t="s">
        <v>100</v>
      </c>
      <c r="F23543" s="7">
        <v>46198.89719143314</v>
      </c>
      <c r="G23543" s="3" t="s">
        <v>6163</v>
      </c>
    </row>
    <row r="23544">
      <c r="A23544" s="3" t="s">
        <v>39889</v>
      </c>
      <c r="B23544" s="3" t="s">
        <v>19402</v>
      </c>
      <c r="C23544" s="5" t="s">
        <v>45</v>
      </c>
      <c r="D23544" s="3" t="s">
        <v>221</v>
      </c>
      <c r="E23544" s="3" t="s">
        <v>1040</v>
      </c>
      <c r="F23544" s="7">
        <v>46198.95794961189</v>
      </c>
      <c r="G23544" s="3" t="s">
        <v>6985</v>
      </c>
    </row>
    <row r="23545">
      <c r="A23545" s="3" t="s">
        <v>39890</v>
      </c>
      <c r="B23545" s="3" t="s">
        <v>19402</v>
      </c>
      <c r="C23545" s="5" t="s">
        <v>221</v>
      </c>
      <c r="D23545" s="3" t="s">
        <v>614</v>
      </c>
      <c r="E23545" s="3" t="s">
        <v>118</v>
      </c>
      <c r="F23545" s="7">
        <v>46198.96142183411</v>
      </c>
      <c r="G23545" s="3" t="s">
        <v>6987</v>
      </c>
    </row>
    <row r="23546">
      <c r="A23546" s="3" t="s">
        <v>39891</v>
      </c>
      <c r="B23546" s="3" t="s">
        <v>19402</v>
      </c>
      <c r="C23546" s="5" t="s">
        <v>614</v>
      </c>
      <c r="D23546" s="3" t="s">
        <v>206</v>
      </c>
      <c r="E23546" s="3" t="s">
        <v>100</v>
      </c>
      <c r="F23546" s="7">
        <v>46198.964894056335</v>
      </c>
      <c r="G23546" s="3" t="s">
        <v>6990</v>
      </c>
    </row>
    <row r="23547">
      <c r="A23547" s="3" t="s">
        <v>39892</v>
      </c>
      <c r="B23547" s="3" t="s">
        <v>19402</v>
      </c>
      <c r="C23547" s="5" t="s">
        <v>206</v>
      </c>
      <c r="D23547" s="3" t="s">
        <v>68</v>
      </c>
      <c r="E23547" s="3" t="s">
        <v>100</v>
      </c>
      <c r="F23547" s="7">
        <v>46198.968366278554</v>
      </c>
      <c r="G23547" s="3" t="s">
        <v>6993</v>
      </c>
    </row>
    <row r="23548">
      <c r="A23548" s="3" t="s">
        <v>39893</v>
      </c>
      <c r="B23548" s="3" t="s">
        <v>19405</v>
      </c>
      <c r="C23548" s="5" t="s">
        <v>45</v>
      </c>
      <c r="D23548" s="3" t="s">
        <v>221</v>
      </c>
      <c r="E23548" s="3" t="s">
        <v>943</v>
      </c>
      <c r="F23548" s="7">
        <v>46199.02912445731</v>
      </c>
      <c r="G23548" s="3" t="s">
        <v>6214</v>
      </c>
    </row>
    <row r="23549">
      <c r="A23549" s="3" t="s">
        <v>39894</v>
      </c>
      <c r="B23549" s="3" t="s">
        <v>19405</v>
      </c>
      <c r="C23549" s="5" t="s">
        <v>221</v>
      </c>
      <c r="D23549" s="3" t="s">
        <v>614</v>
      </c>
      <c r="E23549" s="3" t="s">
        <v>118</v>
      </c>
      <c r="F23549" s="7">
        <v>46199.03259667953</v>
      </c>
      <c r="G23549" s="3" t="s">
        <v>6219</v>
      </c>
    </row>
    <row r="23550">
      <c r="A23550" s="3" t="s">
        <v>39895</v>
      </c>
      <c r="B23550" s="3" t="s">
        <v>19405</v>
      </c>
      <c r="C23550" s="5" t="s">
        <v>614</v>
      </c>
      <c r="D23550" s="3" t="s">
        <v>206</v>
      </c>
      <c r="E23550" s="3" t="s">
        <v>100</v>
      </c>
      <c r="F23550" s="7">
        <v>46199.036068901754</v>
      </c>
      <c r="G23550" s="3" t="s">
        <v>6222</v>
      </c>
    </row>
    <row r="23551">
      <c r="A23551" s="3" t="s">
        <v>39896</v>
      </c>
      <c r="B23551" s="3" t="s">
        <v>19405</v>
      </c>
      <c r="C23551" s="5" t="s">
        <v>206</v>
      </c>
      <c r="D23551" s="3" t="s">
        <v>68</v>
      </c>
      <c r="E23551" s="3" t="s">
        <v>100</v>
      </c>
      <c r="F23551" s="7">
        <v>46199.03954112397</v>
      </c>
      <c r="G23551" s="3" t="s">
        <v>6224</v>
      </c>
    </row>
    <row r="23552">
      <c r="A23552" s="3" t="s">
        <v>39897</v>
      </c>
      <c r="B23552" s="3" t="s">
        <v>19407</v>
      </c>
      <c r="C23552" s="5" t="s">
        <v>45</v>
      </c>
      <c r="D23552" s="3" t="s">
        <v>221</v>
      </c>
      <c r="E23552" s="3" t="s">
        <v>226</v>
      </c>
      <c r="F23552" s="7">
        <v>46199.10029930272</v>
      </c>
      <c r="G23552" s="3" t="s">
        <v>6667</v>
      </c>
    </row>
    <row r="23553">
      <c r="A23553" s="3" t="s">
        <v>39898</v>
      </c>
      <c r="B23553" s="3" t="s">
        <v>19407</v>
      </c>
      <c r="C23553" s="5" t="s">
        <v>221</v>
      </c>
      <c r="D23553" s="3" t="s">
        <v>614</v>
      </c>
      <c r="E23553" s="3" t="s">
        <v>118</v>
      </c>
      <c r="F23553" s="7">
        <v>46199.10377152494</v>
      </c>
      <c r="G23553" s="3" t="s">
        <v>6670</v>
      </c>
    </row>
    <row r="23554">
      <c r="A23554" s="3" t="s">
        <v>39899</v>
      </c>
      <c r="B23554" s="3" t="s">
        <v>19407</v>
      </c>
      <c r="C23554" s="5" t="s">
        <v>614</v>
      </c>
      <c r="D23554" s="3" t="s">
        <v>206</v>
      </c>
      <c r="E23554" s="3" t="s">
        <v>100</v>
      </c>
      <c r="F23554" s="7">
        <v>46199.10724374717</v>
      </c>
      <c r="G23554" s="3" t="s">
        <v>6673</v>
      </c>
    </row>
    <row r="23555">
      <c r="A23555" s="3" t="s">
        <v>39900</v>
      </c>
      <c r="B23555" s="3" t="s">
        <v>19407</v>
      </c>
      <c r="C23555" s="5" t="s">
        <v>206</v>
      </c>
      <c r="D23555" s="3" t="s">
        <v>68</v>
      </c>
      <c r="E23555" s="3" t="s">
        <v>100</v>
      </c>
      <c r="F23555" s="7">
        <v>46199.110715969386</v>
      </c>
      <c r="G23555" s="3" t="s">
        <v>6676</v>
      </c>
    </row>
    <row r="23556">
      <c r="A23556" s="3" t="s">
        <v>39901</v>
      </c>
      <c r="B23556" s="3" t="s">
        <v>19410</v>
      </c>
      <c r="C23556" s="5" t="s">
        <v>45</v>
      </c>
      <c r="D23556" s="3" t="s">
        <v>221</v>
      </c>
      <c r="E23556" s="3" t="s">
        <v>920</v>
      </c>
      <c r="F23556" s="7">
        <v>46199.171474148134</v>
      </c>
      <c r="G23556" s="3" t="s">
        <v>24853</v>
      </c>
    </row>
    <row r="23557">
      <c r="A23557" s="3" t="s">
        <v>39902</v>
      </c>
      <c r="B23557" s="3" t="s">
        <v>19410</v>
      </c>
      <c r="C23557" s="5" t="s">
        <v>221</v>
      </c>
      <c r="D23557" s="3" t="s">
        <v>614</v>
      </c>
      <c r="E23557" s="3" t="s">
        <v>118</v>
      </c>
      <c r="F23557" s="7">
        <v>46199.17494637035</v>
      </c>
      <c r="G23557" s="3" t="s">
        <v>24855</v>
      </c>
    </row>
    <row r="23558">
      <c r="A23558" s="3" t="s">
        <v>39903</v>
      </c>
      <c r="B23558" s="3" t="s">
        <v>19410</v>
      </c>
      <c r="C23558" s="5" t="s">
        <v>614</v>
      </c>
      <c r="D23558" s="3" t="s">
        <v>206</v>
      </c>
      <c r="E23558" s="3" t="s">
        <v>100</v>
      </c>
      <c r="F23558" s="7">
        <v>46199.17841859258</v>
      </c>
      <c r="G23558" s="3" t="s">
        <v>24857</v>
      </c>
    </row>
    <row r="23559">
      <c r="A23559" s="3" t="s">
        <v>39904</v>
      </c>
      <c r="B23559" s="3" t="s">
        <v>19410</v>
      </c>
      <c r="C23559" s="5" t="s">
        <v>206</v>
      </c>
      <c r="D23559" s="3" t="s">
        <v>68</v>
      </c>
      <c r="E23559" s="3" t="s">
        <v>100</v>
      </c>
      <c r="F23559" s="7">
        <v>46199.1818908148</v>
      </c>
      <c r="G23559" s="3" t="s">
        <v>24859</v>
      </c>
    </row>
    <row r="23560">
      <c r="A23560" s="3" t="s">
        <v>39905</v>
      </c>
      <c r="B23560" s="3" t="s">
        <v>19412</v>
      </c>
      <c r="C23560" s="5" t="s">
        <v>45</v>
      </c>
      <c r="D23560" s="3" t="s">
        <v>221</v>
      </c>
      <c r="E23560" s="3" t="s">
        <v>208</v>
      </c>
      <c r="F23560" s="7">
        <v>46199.24264899355</v>
      </c>
      <c r="G23560" s="3" t="s">
        <v>19961</v>
      </c>
    </row>
    <row r="23561">
      <c r="A23561" s="3" t="s">
        <v>39906</v>
      </c>
      <c r="B23561" s="3" t="s">
        <v>19412</v>
      </c>
      <c r="C23561" s="5" t="s">
        <v>221</v>
      </c>
      <c r="D23561" s="3" t="s">
        <v>614</v>
      </c>
      <c r="E23561" s="3" t="s">
        <v>118</v>
      </c>
      <c r="F23561" s="7">
        <v>46199.24612121577</v>
      </c>
      <c r="G23561" s="3" t="s">
        <v>19964</v>
      </c>
    </row>
    <row r="23562">
      <c r="A23562" s="3" t="s">
        <v>39907</v>
      </c>
      <c r="B23562" s="3" t="s">
        <v>19412</v>
      </c>
      <c r="C23562" s="5" t="s">
        <v>614</v>
      </c>
      <c r="D23562" s="3" t="s">
        <v>206</v>
      </c>
      <c r="E23562" s="3" t="s">
        <v>100</v>
      </c>
      <c r="F23562" s="7">
        <v>46199.249593438</v>
      </c>
      <c r="G23562" s="3" t="s">
        <v>19966</v>
      </c>
    </row>
    <row r="23563">
      <c r="A23563" s="3" t="s">
        <v>39908</v>
      </c>
      <c r="B23563" s="3" t="s">
        <v>19412</v>
      </c>
      <c r="C23563" s="5" t="s">
        <v>206</v>
      </c>
      <c r="D23563" s="3" t="s">
        <v>68</v>
      </c>
      <c r="E23563" s="3" t="s">
        <v>100</v>
      </c>
      <c r="F23563" s="7">
        <v>46199.25306566022</v>
      </c>
      <c r="G23563" s="3" t="s">
        <v>19969</v>
      </c>
    </row>
    <row r="23564">
      <c r="A23564" s="3" t="s">
        <v>39909</v>
      </c>
      <c r="B23564" s="3" t="s">
        <v>19414</v>
      </c>
      <c r="C23564" s="5" t="s">
        <v>45</v>
      </c>
      <c r="D23564" s="3" t="s">
        <v>221</v>
      </c>
      <c r="E23564" s="3" t="s">
        <v>488</v>
      </c>
      <c r="F23564" s="7">
        <v>46199.313823838966</v>
      </c>
      <c r="G23564" s="3" t="s">
        <v>23497</v>
      </c>
    </row>
    <row r="23565">
      <c r="A23565" s="3" t="s">
        <v>39910</v>
      </c>
      <c r="B23565" s="3" t="s">
        <v>19414</v>
      </c>
      <c r="C23565" s="5" t="s">
        <v>221</v>
      </c>
      <c r="D23565" s="3" t="s">
        <v>614</v>
      </c>
      <c r="E23565" s="3" t="s">
        <v>118</v>
      </c>
      <c r="F23565" s="7">
        <v>46199.317296061185</v>
      </c>
      <c r="G23565" s="3" t="s">
        <v>23500</v>
      </c>
    </row>
    <row r="23566">
      <c r="A23566" s="3" t="s">
        <v>39911</v>
      </c>
      <c r="B23566" s="3" t="s">
        <v>19414</v>
      </c>
      <c r="C23566" s="5" t="s">
        <v>614</v>
      </c>
      <c r="D23566" s="3" t="s">
        <v>206</v>
      </c>
      <c r="E23566" s="3" t="s">
        <v>100</v>
      </c>
      <c r="F23566" s="7">
        <v>46199.32076828341</v>
      </c>
      <c r="G23566" s="3" t="s">
        <v>23503</v>
      </c>
    </row>
    <row r="23567">
      <c r="A23567" s="3" t="s">
        <v>39912</v>
      </c>
      <c r="B23567" s="3" t="s">
        <v>19414</v>
      </c>
      <c r="C23567" s="5" t="s">
        <v>206</v>
      </c>
      <c r="D23567" s="3" t="s">
        <v>68</v>
      </c>
      <c r="E23567" s="3" t="s">
        <v>100</v>
      </c>
      <c r="F23567" s="7">
        <v>46199.32424050563</v>
      </c>
      <c r="G23567" s="3" t="s">
        <v>23506</v>
      </c>
    </row>
    <row r="23568">
      <c r="A23568" s="3" t="s">
        <v>39913</v>
      </c>
      <c r="B23568" s="3" t="s">
        <v>19416</v>
      </c>
      <c r="C23568" s="5" t="s">
        <v>45</v>
      </c>
      <c r="D23568" s="3" t="s">
        <v>221</v>
      </c>
      <c r="E23568" s="3" t="s">
        <v>498</v>
      </c>
      <c r="F23568" s="7">
        <v>46199.38499868438</v>
      </c>
      <c r="G23568" s="3" t="s">
        <v>6243</v>
      </c>
    </row>
    <row r="23569">
      <c r="A23569" s="3" t="s">
        <v>39914</v>
      </c>
      <c r="B23569" s="3" t="s">
        <v>19416</v>
      </c>
      <c r="C23569" s="5" t="s">
        <v>221</v>
      </c>
      <c r="D23569" s="3" t="s">
        <v>614</v>
      </c>
      <c r="E23569" s="3" t="s">
        <v>118</v>
      </c>
      <c r="F23569" s="7">
        <v>46199.3884709066</v>
      </c>
      <c r="G23569" s="3" t="s">
        <v>6246</v>
      </c>
    </row>
    <row r="23570">
      <c r="A23570" s="3" t="s">
        <v>39915</v>
      </c>
      <c r="B23570" s="3" t="s">
        <v>19416</v>
      </c>
      <c r="C23570" s="5" t="s">
        <v>614</v>
      </c>
      <c r="D23570" s="3" t="s">
        <v>206</v>
      </c>
      <c r="E23570" s="3" t="s">
        <v>100</v>
      </c>
      <c r="F23570" s="7">
        <v>46199.39194312882</v>
      </c>
      <c r="G23570" s="3" t="s">
        <v>6248</v>
      </c>
    </row>
    <row r="23571">
      <c r="A23571" s="3" t="s">
        <v>39916</v>
      </c>
      <c r="B23571" s="3" t="s">
        <v>19416</v>
      </c>
      <c r="C23571" s="5" t="s">
        <v>206</v>
      </c>
      <c r="D23571" s="3" t="s">
        <v>68</v>
      </c>
      <c r="E23571" s="3" t="s">
        <v>100</v>
      </c>
      <c r="F23571" s="7">
        <v>46199.39541535104</v>
      </c>
      <c r="G23571" s="3" t="s">
        <v>6251</v>
      </c>
    </row>
    <row r="23572">
      <c r="A23572" s="3" t="s">
        <v>39917</v>
      </c>
      <c r="B23572" s="3" t="s">
        <v>19418</v>
      </c>
      <c r="C23572" s="5" t="s">
        <v>45</v>
      </c>
      <c r="D23572" s="3" t="s">
        <v>221</v>
      </c>
      <c r="E23572" s="3" t="s">
        <v>685</v>
      </c>
      <c r="F23572" s="7">
        <v>46199.4561735298</v>
      </c>
      <c r="G23572" s="3" t="s">
        <v>30683</v>
      </c>
    </row>
    <row r="23573">
      <c r="A23573" s="3" t="s">
        <v>39918</v>
      </c>
      <c r="B23573" s="3" t="s">
        <v>19418</v>
      </c>
      <c r="C23573" s="5" t="s">
        <v>221</v>
      </c>
      <c r="D23573" s="3" t="s">
        <v>195</v>
      </c>
      <c r="E23573" s="3" t="s">
        <v>685</v>
      </c>
      <c r="F23573" s="7">
        <v>46199.45964575202</v>
      </c>
      <c r="G23573" s="3" t="s">
        <v>39919</v>
      </c>
    </row>
    <row r="23574">
      <c r="A23574" s="3" t="s">
        <v>39920</v>
      </c>
      <c r="B23574" s="3" t="s">
        <v>19421</v>
      </c>
      <c r="C23574" s="5" t="s">
        <v>45</v>
      </c>
      <c r="D23574" s="3" t="s">
        <v>221</v>
      </c>
      <c r="E23574" s="3" t="s">
        <v>383</v>
      </c>
      <c r="F23574" s="7">
        <v>46199.52734837521</v>
      </c>
      <c r="G23574" s="3" t="s">
        <v>2770</v>
      </c>
    </row>
    <row r="23575">
      <c r="A23575" s="3" t="s">
        <v>39921</v>
      </c>
      <c r="B23575" s="3" t="s">
        <v>19421</v>
      </c>
      <c r="C23575" s="5" t="s">
        <v>221</v>
      </c>
      <c r="D23575" s="3" t="s">
        <v>181</v>
      </c>
      <c r="E23575" s="3" t="s">
        <v>118</v>
      </c>
      <c r="F23575" s="7">
        <v>46199.53082059743</v>
      </c>
      <c r="G23575" s="3" t="s">
        <v>2774</v>
      </c>
    </row>
    <row r="23576">
      <c r="A23576" s="3" t="s">
        <v>39922</v>
      </c>
      <c r="B23576" s="3" t="s">
        <v>19423</v>
      </c>
      <c r="C23576" s="5" t="s">
        <v>45</v>
      </c>
      <c r="D23576" s="3" t="s">
        <v>221</v>
      </c>
      <c r="E23576" s="3" t="s">
        <v>650</v>
      </c>
      <c r="F23576" s="7">
        <v>46199.59852322063</v>
      </c>
      <c r="G23576" s="3" t="s">
        <v>6254</v>
      </c>
    </row>
    <row r="23577">
      <c r="A23577" s="3" t="s">
        <v>39923</v>
      </c>
      <c r="B23577" s="3" t="s">
        <v>19423</v>
      </c>
      <c r="C23577" s="5" t="s">
        <v>221</v>
      </c>
      <c r="D23577" s="3" t="s">
        <v>614</v>
      </c>
      <c r="E23577" s="3" t="s">
        <v>118</v>
      </c>
      <c r="F23577" s="7">
        <v>46199.60199544285</v>
      </c>
      <c r="G23577" s="3" t="s">
        <v>6257</v>
      </c>
    </row>
    <row r="23578">
      <c r="A23578" s="3" t="s">
        <v>39924</v>
      </c>
      <c r="B23578" s="3" t="s">
        <v>19423</v>
      </c>
      <c r="C23578" s="5" t="s">
        <v>614</v>
      </c>
      <c r="D23578" s="3" t="s">
        <v>206</v>
      </c>
      <c r="E23578" s="3" t="s">
        <v>100</v>
      </c>
      <c r="F23578" s="7">
        <v>46199.605467665075</v>
      </c>
      <c r="G23578" s="3" t="s">
        <v>6260</v>
      </c>
    </row>
    <row r="23579">
      <c r="A23579" s="3" t="s">
        <v>39925</v>
      </c>
      <c r="B23579" s="3" t="s">
        <v>19423</v>
      </c>
      <c r="C23579" s="5" t="s">
        <v>206</v>
      </c>
      <c r="D23579" s="3" t="s">
        <v>68</v>
      </c>
      <c r="E23579" s="3" t="s">
        <v>100</v>
      </c>
      <c r="F23579" s="7">
        <v>46199.608939887294</v>
      </c>
      <c r="G23579" s="3" t="s">
        <v>6263</v>
      </c>
    </row>
    <row r="23580">
      <c r="A23580" s="3" t="s">
        <v>39926</v>
      </c>
      <c r="B23580" s="3" t="s">
        <v>19426</v>
      </c>
      <c r="C23580" s="5" t="s">
        <v>45</v>
      </c>
      <c r="D23580" s="3" t="s">
        <v>221</v>
      </c>
      <c r="E23580" s="3" t="s">
        <v>481</v>
      </c>
      <c r="F23580" s="7">
        <v>46199.66969806604</v>
      </c>
      <c r="G23580" s="3" t="s">
        <v>12848</v>
      </c>
    </row>
    <row r="23581">
      <c r="A23581" s="3" t="s">
        <v>39927</v>
      </c>
      <c r="B23581" s="3" t="s">
        <v>19426</v>
      </c>
      <c r="C23581" s="5" t="s">
        <v>221</v>
      </c>
      <c r="D23581" s="3" t="s">
        <v>614</v>
      </c>
      <c r="E23581" s="3" t="s">
        <v>118</v>
      </c>
      <c r="F23581" s="7">
        <v>46199.67317028826</v>
      </c>
      <c r="G23581" s="3" t="s">
        <v>12851</v>
      </c>
    </row>
    <row r="23582">
      <c r="A23582" s="3" t="s">
        <v>39928</v>
      </c>
      <c r="B23582" s="3" t="s">
        <v>19426</v>
      </c>
      <c r="C23582" s="5" t="s">
        <v>614</v>
      </c>
      <c r="D23582" s="3" t="s">
        <v>206</v>
      </c>
      <c r="E23582" s="3" t="s">
        <v>100</v>
      </c>
      <c r="F23582" s="7">
        <v>46199.67664251049</v>
      </c>
      <c r="G23582" s="3" t="s">
        <v>12854</v>
      </c>
    </row>
    <row r="23583">
      <c r="A23583" s="3" t="s">
        <v>39929</v>
      </c>
      <c r="B23583" s="3" t="s">
        <v>19426</v>
      </c>
      <c r="C23583" s="5" t="s">
        <v>206</v>
      </c>
      <c r="D23583" s="3" t="s">
        <v>68</v>
      </c>
      <c r="E23583" s="3" t="s">
        <v>100</v>
      </c>
      <c r="F23583" s="7">
        <v>46199.680114732706</v>
      </c>
      <c r="G23583" s="3" t="s">
        <v>12858</v>
      </c>
    </row>
    <row r="23584">
      <c r="A23584" s="3" t="s">
        <v>39930</v>
      </c>
      <c r="B23584" s="3" t="s">
        <v>19429</v>
      </c>
      <c r="C23584" s="5" t="s">
        <v>45</v>
      </c>
      <c r="D23584" s="3" t="s">
        <v>221</v>
      </c>
      <c r="E23584" s="3" t="s">
        <v>1011</v>
      </c>
      <c r="F23584" s="7">
        <v>46199.74087291146</v>
      </c>
      <c r="G23584" s="3" t="s">
        <v>33066</v>
      </c>
    </row>
    <row r="23585">
      <c r="A23585" s="3" t="s">
        <v>39931</v>
      </c>
      <c r="B23585" s="3" t="s">
        <v>19429</v>
      </c>
      <c r="C23585" s="5" t="s">
        <v>221</v>
      </c>
      <c r="D23585" s="3" t="s">
        <v>614</v>
      </c>
      <c r="E23585" s="3" t="s">
        <v>118</v>
      </c>
      <c r="F23585" s="7">
        <v>46199.74434513368</v>
      </c>
      <c r="G23585" s="3" t="s">
        <v>33068</v>
      </c>
    </row>
    <row r="23586">
      <c r="A23586" s="3" t="s">
        <v>39932</v>
      </c>
      <c r="B23586" s="3" t="s">
        <v>19429</v>
      </c>
      <c r="C23586" s="5" t="s">
        <v>614</v>
      </c>
      <c r="D23586" s="3" t="s">
        <v>206</v>
      </c>
      <c r="E23586" s="3" t="s">
        <v>100</v>
      </c>
      <c r="F23586" s="7">
        <v>46199.74781735591</v>
      </c>
      <c r="G23586" s="3" t="s">
        <v>33070</v>
      </c>
    </row>
    <row r="23587">
      <c r="A23587" s="3" t="s">
        <v>39933</v>
      </c>
      <c r="B23587" s="3" t="s">
        <v>19429</v>
      </c>
      <c r="C23587" s="5" t="s">
        <v>206</v>
      </c>
      <c r="D23587" s="3" t="s">
        <v>68</v>
      </c>
      <c r="E23587" s="3" t="s">
        <v>100</v>
      </c>
      <c r="F23587" s="7">
        <v>46199.751289578126</v>
      </c>
      <c r="G23587" s="3" t="s">
        <v>33072</v>
      </c>
    </row>
    <row r="23588">
      <c r="A23588" s="3" t="s">
        <v>39934</v>
      </c>
      <c r="B23588" s="3" t="s">
        <v>19433</v>
      </c>
      <c r="C23588" s="5" t="s">
        <v>45</v>
      </c>
      <c r="D23588" s="3" t="s">
        <v>221</v>
      </c>
      <c r="E23588" s="3" t="s">
        <v>735</v>
      </c>
      <c r="F23588" s="7">
        <v>46199.81204775687</v>
      </c>
      <c r="G23588" s="3" t="s">
        <v>12383</v>
      </c>
    </row>
    <row r="23589">
      <c r="A23589" s="3" t="s">
        <v>39935</v>
      </c>
      <c r="B23589" s="3" t="s">
        <v>19433</v>
      </c>
      <c r="C23589" s="5" t="s">
        <v>221</v>
      </c>
      <c r="D23589" s="3" t="s">
        <v>614</v>
      </c>
      <c r="E23589" s="3" t="s">
        <v>118</v>
      </c>
      <c r="F23589" s="7">
        <v>46199.815519979085</v>
      </c>
      <c r="G23589" s="3" t="s">
        <v>12385</v>
      </c>
    </row>
    <row r="23590">
      <c r="A23590" s="3" t="s">
        <v>39936</v>
      </c>
      <c r="B23590" s="3" t="s">
        <v>19433</v>
      </c>
      <c r="C23590" s="5" t="s">
        <v>614</v>
      </c>
      <c r="D23590" s="3" t="s">
        <v>206</v>
      </c>
      <c r="E23590" s="3" t="s">
        <v>100</v>
      </c>
      <c r="F23590" s="7">
        <v>46199.81899220131</v>
      </c>
      <c r="G23590" s="3" t="s">
        <v>12388</v>
      </c>
    </row>
    <row r="23591">
      <c r="A23591" s="3" t="s">
        <v>39937</v>
      </c>
      <c r="B23591" s="3" t="s">
        <v>19433</v>
      </c>
      <c r="C23591" s="5" t="s">
        <v>206</v>
      </c>
      <c r="D23591" s="3" t="s">
        <v>68</v>
      </c>
      <c r="E23591" s="3" t="s">
        <v>100</v>
      </c>
      <c r="F23591" s="7">
        <v>46199.82246442353</v>
      </c>
      <c r="G23591" s="3" t="s">
        <v>12391</v>
      </c>
    </row>
    <row r="23592">
      <c r="A23592" s="3" t="s">
        <v>39938</v>
      </c>
      <c r="B23592" s="3" t="s">
        <v>19436</v>
      </c>
      <c r="C23592" s="5" t="s">
        <v>45</v>
      </c>
      <c r="D23592" s="3" t="s">
        <v>221</v>
      </c>
      <c r="E23592" s="3" t="s">
        <v>299</v>
      </c>
      <c r="F23592" s="7">
        <v>46199.883222602286</v>
      </c>
      <c r="G23592" s="3" t="s">
        <v>19857</v>
      </c>
    </row>
    <row r="23593">
      <c r="A23593" s="3" t="s">
        <v>39939</v>
      </c>
      <c r="B23593" s="3" t="s">
        <v>19436</v>
      </c>
      <c r="C23593" s="5" t="s">
        <v>221</v>
      </c>
      <c r="D23593" s="3" t="s">
        <v>195</v>
      </c>
      <c r="E23593" s="3" t="s">
        <v>299</v>
      </c>
      <c r="F23593" s="7">
        <v>46199.886694824505</v>
      </c>
      <c r="G23593" s="3" t="s">
        <v>25581</v>
      </c>
    </row>
    <row r="23594">
      <c r="A23594" s="3" t="s">
        <v>39940</v>
      </c>
      <c r="B23594" s="3" t="s">
        <v>19440</v>
      </c>
      <c r="C23594" s="5" t="s">
        <v>45</v>
      </c>
      <c r="D23594" s="3" t="s">
        <v>221</v>
      </c>
      <c r="E23594" s="3" t="s">
        <v>446</v>
      </c>
      <c r="F23594" s="7">
        <v>46199.954397447706</v>
      </c>
      <c r="G23594" s="3" t="s">
        <v>6266</v>
      </c>
    </row>
    <row r="23595">
      <c r="A23595" s="3" t="s">
        <v>39941</v>
      </c>
      <c r="B23595" s="3" t="s">
        <v>19440</v>
      </c>
      <c r="C23595" s="5" t="s">
        <v>221</v>
      </c>
      <c r="D23595" s="3" t="s">
        <v>614</v>
      </c>
      <c r="E23595" s="3" t="s">
        <v>118</v>
      </c>
      <c r="F23595" s="7">
        <v>46199.957869669925</v>
      </c>
      <c r="G23595" s="3" t="s">
        <v>6269</v>
      </c>
    </row>
    <row r="23596">
      <c r="A23596" s="3" t="s">
        <v>39942</v>
      </c>
      <c r="B23596" s="3" t="s">
        <v>19440</v>
      </c>
      <c r="C23596" s="5" t="s">
        <v>614</v>
      </c>
      <c r="D23596" s="3" t="s">
        <v>206</v>
      </c>
      <c r="E23596" s="3" t="s">
        <v>100</v>
      </c>
      <c r="F23596" s="7">
        <v>46199.96134189215</v>
      </c>
      <c r="G23596" s="3" t="s">
        <v>6272</v>
      </c>
    </row>
    <row r="23597">
      <c r="A23597" s="3" t="s">
        <v>39943</v>
      </c>
      <c r="B23597" s="3" t="s">
        <v>19440</v>
      </c>
      <c r="C23597" s="5" t="s">
        <v>206</v>
      </c>
      <c r="D23597" s="3" t="s">
        <v>68</v>
      </c>
      <c r="E23597" s="3" t="s">
        <v>100</v>
      </c>
      <c r="F23597" s="7">
        <v>46199.96481411437</v>
      </c>
      <c r="G23597" s="3" t="s">
        <v>6275</v>
      </c>
    </row>
    <row r="23598">
      <c r="A23598" s="3" t="s">
        <v>39944</v>
      </c>
      <c r="B23598" s="3" t="s">
        <v>19445</v>
      </c>
      <c r="C23598" s="5" t="s">
        <v>45</v>
      </c>
      <c r="D23598" s="3" t="s">
        <v>221</v>
      </c>
      <c r="E23598" s="3" t="s">
        <v>239</v>
      </c>
      <c r="F23598" s="7">
        <v>46200.02557229312</v>
      </c>
      <c r="G23598" s="3" t="s">
        <v>4712</v>
      </c>
    </row>
    <row r="23599">
      <c r="A23599" s="3" t="s">
        <v>39945</v>
      </c>
      <c r="B23599" s="3" t="s">
        <v>19445</v>
      </c>
      <c r="C23599" s="5" t="s">
        <v>221</v>
      </c>
      <c r="D23599" s="3" t="s">
        <v>614</v>
      </c>
      <c r="E23599" s="3" t="s">
        <v>118</v>
      </c>
      <c r="F23599" s="7">
        <v>46200.02904451534</v>
      </c>
      <c r="G23599" s="3" t="s">
        <v>4715</v>
      </c>
    </row>
    <row r="23600">
      <c r="A23600" s="3" t="s">
        <v>39946</v>
      </c>
      <c r="B23600" s="3" t="s">
        <v>19445</v>
      </c>
      <c r="C23600" s="5" t="s">
        <v>614</v>
      </c>
      <c r="D23600" s="3" t="s">
        <v>206</v>
      </c>
      <c r="E23600" s="3" t="s">
        <v>100</v>
      </c>
      <c r="F23600" s="7">
        <v>46200.03251673756</v>
      </c>
      <c r="G23600" s="3" t="s">
        <v>4718</v>
      </c>
    </row>
    <row r="23601">
      <c r="A23601" s="3" t="s">
        <v>39947</v>
      </c>
      <c r="B23601" s="3" t="s">
        <v>19445</v>
      </c>
      <c r="C23601" s="5" t="s">
        <v>206</v>
      </c>
      <c r="D23601" s="3" t="s">
        <v>68</v>
      </c>
      <c r="E23601" s="3" t="s">
        <v>100</v>
      </c>
      <c r="F23601" s="7">
        <v>46200.03598895978</v>
      </c>
      <c r="G23601" s="3" t="s">
        <v>4721</v>
      </c>
    </row>
    <row r="23602">
      <c r="A23602" s="3" t="s">
        <v>39948</v>
      </c>
      <c r="B23602" s="3" t="s">
        <v>19447</v>
      </c>
      <c r="C23602" s="5" t="s">
        <v>45</v>
      </c>
      <c r="D23602" s="3" t="s">
        <v>221</v>
      </c>
      <c r="E23602" s="3" t="s">
        <v>366</v>
      </c>
      <c r="F23602" s="7">
        <v>46200.09674713853</v>
      </c>
      <c r="G23602" s="3" t="s">
        <v>6277</v>
      </c>
    </row>
    <row r="23603">
      <c r="A23603" s="3" t="s">
        <v>39949</v>
      </c>
      <c r="B23603" s="3" t="s">
        <v>19447</v>
      </c>
      <c r="C23603" s="5" t="s">
        <v>221</v>
      </c>
      <c r="D23603" s="3" t="s">
        <v>614</v>
      </c>
      <c r="E23603" s="3" t="s">
        <v>118</v>
      </c>
      <c r="F23603" s="7">
        <v>46200.10021936075</v>
      </c>
      <c r="G23603" s="3" t="s">
        <v>6280</v>
      </c>
    </row>
    <row r="23604">
      <c r="A23604" s="3" t="s">
        <v>39950</v>
      </c>
      <c r="B23604" s="3" t="s">
        <v>19447</v>
      </c>
      <c r="C23604" s="5" t="s">
        <v>614</v>
      </c>
      <c r="D23604" s="3" t="s">
        <v>206</v>
      </c>
      <c r="E23604" s="3" t="s">
        <v>100</v>
      </c>
      <c r="F23604" s="7">
        <v>46200.103691582975</v>
      </c>
      <c r="G23604" s="3" t="s">
        <v>6283</v>
      </c>
    </row>
    <row r="23605">
      <c r="A23605" s="3" t="s">
        <v>39951</v>
      </c>
      <c r="B23605" s="3" t="s">
        <v>19447</v>
      </c>
      <c r="C23605" s="5" t="s">
        <v>206</v>
      </c>
      <c r="D23605" s="3" t="s">
        <v>68</v>
      </c>
      <c r="E23605" s="3" t="s">
        <v>100</v>
      </c>
      <c r="F23605" s="7">
        <v>46200.107163805194</v>
      </c>
      <c r="G23605" s="3" t="s">
        <v>6286</v>
      </c>
    </row>
    <row r="23606">
      <c r="A23606" s="3" t="s">
        <v>39952</v>
      </c>
      <c r="B23606" s="3" t="s">
        <v>19449</v>
      </c>
      <c r="C23606" s="5" t="s">
        <v>45</v>
      </c>
      <c r="D23606" s="3" t="s">
        <v>221</v>
      </c>
      <c r="E23606" s="3" t="s">
        <v>546</v>
      </c>
      <c r="F23606" s="7">
        <v>46200.16792198395</v>
      </c>
      <c r="G23606" s="3" t="s">
        <v>8763</v>
      </c>
    </row>
    <row r="23607">
      <c r="A23607" s="3" t="s">
        <v>39953</v>
      </c>
      <c r="B23607" s="3" t="s">
        <v>19449</v>
      </c>
      <c r="C23607" s="5" t="s">
        <v>221</v>
      </c>
      <c r="D23607" s="3" t="s">
        <v>614</v>
      </c>
      <c r="E23607" s="3" t="s">
        <v>118</v>
      </c>
      <c r="F23607" s="7">
        <v>46200.17139420617</v>
      </c>
      <c r="G23607" s="3" t="s">
        <v>13100</v>
      </c>
    </row>
    <row r="23608">
      <c r="A23608" s="3" t="s">
        <v>39954</v>
      </c>
      <c r="B23608" s="3" t="s">
        <v>19449</v>
      </c>
      <c r="C23608" s="5" t="s">
        <v>614</v>
      </c>
      <c r="D23608" s="3" t="s">
        <v>206</v>
      </c>
      <c r="E23608" s="3" t="s">
        <v>100</v>
      </c>
      <c r="F23608" s="7">
        <v>46200.174866428395</v>
      </c>
      <c r="G23608" s="3" t="s">
        <v>13103</v>
      </c>
    </row>
    <row r="23609">
      <c r="A23609" s="3" t="s">
        <v>39955</v>
      </c>
      <c r="B23609" s="3" t="s">
        <v>19449</v>
      </c>
      <c r="C23609" s="5" t="s">
        <v>206</v>
      </c>
      <c r="D23609" s="3" t="s">
        <v>68</v>
      </c>
      <c r="E23609" s="3" t="s">
        <v>100</v>
      </c>
      <c r="F23609" s="7">
        <v>46200.178338650614</v>
      </c>
      <c r="G23609" s="3" t="s">
        <v>13107</v>
      </c>
    </row>
    <row r="23610">
      <c r="A23610" s="3" t="s">
        <v>39956</v>
      </c>
      <c r="B23610" s="3" t="s">
        <v>19451</v>
      </c>
      <c r="C23610" s="5" t="s">
        <v>45</v>
      </c>
      <c r="D23610" s="3" t="s">
        <v>221</v>
      </c>
      <c r="E23610" s="3" t="s">
        <v>652</v>
      </c>
      <c r="F23610" s="7">
        <v>46200.23909682936</v>
      </c>
      <c r="G23610" s="3" t="s">
        <v>7697</v>
      </c>
    </row>
    <row r="23611">
      <c r="A23611" s="3" t="s">
        <v>39957</v>
      </c>
      <c r="B23611" s="3" t="s">
        <v>19451</v>
      </c>
      <c r="C23611" s="5" t="s">
        <v>221</v>
      </c>
      <c r="D23611" s="3" t="s">
        <v>614</v>
      </c>
      <c r="E23611" s="3" t="s">
        <v>118</v>
      </c>
      <c r="F23611" s="7">
        <v>46200.24256905158</v>
      </c>
      <c r="G23611" s="3" t="s">
        <v>7700</v>
      </c>
    </row>
    <row r="23612">
      <c r="A23612" s="3" t="s">
        <v>39958</v>
      </c>
      <c r="B23612" s="3" t="s">
        <v>19451</v>
      </c>
      <c r="C23612" s="5" t="s">
        <v>614</v>
      </c>
      <c r="D23612" s="3" t="s">
        <v>206</v>
      </c>
      <c r="E23612" s="3" t="s">
        <v>100</v>
      </c>
      <c r="F23612" s="7">
        <v>46200.24604127381</v>
      </c>
      <c r="G23612" s="3" t="s">
        <v>7703</v>
      </c>
    </row>
    <row r="23613">
      <c r="A23613" s="3" t="s">
        <v>39959</v>
      </c>
      <c r="B23613" s="3" t="s">
        <v>19451</v>
      </c>
      <c r="C23613" s="5" t="s">
        <v>206</v>
      </c>
      <c r="D23613" s="3" t="s">
        <v>68</v>
      </c>
      <c r="E23613" s="3" t="s">
        <v>100</v>
      </c>
      <c r="F23613" s="7">
        <v>46200.249513496026</v>
      </c>
      <c r="G23613" s="3" t="s">
        <v>7706</v>
      </c>
    </row>
    <row r="23614">
      <c r="A23614" s="3" t="s">
        <v>39960</v>
      </c>
      <c r="B23614" s="3" t="s">
        <v>19455</v>
      </c>
      <c r="C23614" s="5" t="s">
        <v>45</v>
      </c>
      <c r="D23614" s="3" t="s">
        <v>221</v>
      </c>
      <c r="E23614" s="3" t="s">
        <v>233</v>
      </c>
      <c r="F23614" s="7">
        <v>46200.310271674774</v>
      </c>
      <c r="G23614" s="3" t="s">
        <v>6476</v>
      </c>
    </row>
    <row r="23615">
      <c r="A23615" s="3" t="s">
        <v>39961</v>
      </c>
      <c r="B23615" s="3" t="s">
        <v>19455</v>
      </c>
      <c r="C23615" s="5" t="s">
        <v>221</v>
      </c>
      <c r="D23615" s="3" t="s">
        <v>614</v>
      </c>
      <c r="E23615" s="3" t="s">
        <v>118</v>
      </c>
      <c r="F23615" s="7">
        <v>46200.31374389699</v>
      </c>
      <c r="G23615" s="3" t="s">
        <v>6479</v>
      </c>
    </row>
    <row r="23616">
      <c r="A23616" s="3" t="s">
        <v>39962</v>
      </c>
      <c r="B23616" s="3" t="s">
        <v>19455</v>
      </c>
      <c r="C23616" s="5" t="s">
        <v>614</v>
      </c>
      <c r="D23616" s="3" t="s">
        <v>206</v>
      </c>
      <c r="E23616" s="3" t="s">
        <v>100</v>
      </c>
      <c r="F23616" s="7">
        <v>46200.31721611922</v>
      </c>
      <c r="G23616" s="3" t="s">
        <v>6482</v>
      </c>
    </row>
    <row r="23617">
      <c r="A23617" s="3" t="s">
        <v>39963</v>
      </c>
      <c r="B23617" s="3" t="s">
        <v>19455</v>
      </c>
      <c r="C23617" s="5" t="s">
        <v>206</v>
      </c>
      <c r="D23617" s="3" t="s">
        <v>68</v>
      </c>
      <c r="E23617" s="3" t="s">
        <v>100</v>
      </c>
      <c r="F23617" s="7">
        <v>46200.32068834144</v>
      </c>
      <c r="G23617" s="3" t="s">
        <v>6485</v>
      </c>
    </row>
    <row r="23618">
      <c r="A23618" s="3" t="s">
        <v>39964</v>
      </c>
      <c r="B23618" s="3" t="s">
        <v>19458</v>
      </c>
      <c r="C23618" s="5" t="s">
        <v>45</v>
      </c>
      <c r="D23618" s="3" t="s">
        <v>221</v>
      </c>
      <c r="E23618" s="3" t="s">
        <v>302</v>
      </c>
      <c r="F23618" s="7">
        <v>46200.381446520194</v>
      </c>
      <c r="G23618" s="3" t="s">
        <v>6289</v>
      </c>
    </row>
    <row r="23619">
      <c r="A23619" s="3" t="s">
        <v>39965</v>
      </c>
      <c r="B23619" s="3" t="s">
        <v>19458</v>
      </c>
      <c r="C23619" s="5" t="s">
        <v>221</v>
      </c>
      <c r="D23619" s="3" t="s">
        <v>614</v>
      </c>
      <c r="E23619" s="3" t="s">
        <v>118</v>
      </c>
      <c r="F23619" s="7">
        <v>46200.38491874241</v>
      </c>
      <c r="G23619" s="3" t="s">
        <v>6292</v>
      </c>
    </row>
    <row r="23620">
      <c r="A23620" s="3" t="s">
        <v>39966</v>
      </c>
      <c r="B23620" s="3" t="s">
        <v>19458</v>
      </c>
      <c r="C23620" s="5" t="s">
        <v>614</v>
      </c>
      <c r="D23620" s="3" t="s">
        <v>206</v>
      </c>
      <c r="E23620" s="3" t="s">
        <v>100</v>
      </c>
      <c r="F23620" s="7">
        <v>46200.38839096464</v>
      </c>
      <c r="G23620" s="3" t="s">
        <v>6295</v>
      </c>
    </row>
    <row r="23621">
      <c r="A23621" s="3" t="s">
        <v>39967</v>
      </c>
      <c r="B23621" s="3" t="s">
        <v>19458</v>
      </c>
      <c r="C23621" s="5" t="s">
        <v>206</v>
      </c>
      <c r="D23621" s="3" t="s">
        <v>68</v>
      </c>
      <c r="E23621" s="3" t="s">
        <v>100</v>
      </c>
      <c r="F23621" s="7">
        <v>46200.39186318686</v>
      </c>
      <c r="G23621" s="3" t="s">
        <v>6298</v>
      </c>
    </row>
    <row r="23622">
      <c r="A23622" s="3" t="s">
        <v>39968</v>
      </c>
      <c r="B23622" s="3" t="s">
        <v>19461</v>
      </c>
      <c r="C23622" s="5" t="s">
        <v>45</v>
      </c>
      <c r="D23622" s="3" t="s">
        <v>221</v>
      </c>
      <c r="E23622" s="3" t="s">
        <v>601</v>
      </c>
      <c r="F23622" s="7">
        <v>46200.45262136561</v>
      </c>
      <c r="G23622" s="3" t="s">
        <v>10887</v>
      </c>
    </row>
    <row r="23623">
      <c r="A23623" s="3" t="s">
        <v>39969</v>
      </c>
      <c r="B23623" s="3" t="s">
        <v>19461</v>
      </c>
      <c r="C23623" s="5" t="s">
        <v>221</v>
      </c>
      <c r="D23623" s="3" t="s">
        <v>614</v>
      </c>
      <c r="E23623" s="3" t="s">
        <v>118</v>
      </c>
      <c r="F23623" s="7">
        <v>46200.45609358783</v>
      </c>
      <c r="G23623" s="3" t="s">
        <v>10890</v>
      </c>
    </row>
    <row r="23624">
      <c r="A23624" s="3" t="s">
        <v>39970</v>
      </c>
      <c r="B23624" s="3" t="s">
        <v>19461</v>
      </c>
      <c r="C23624" s="5" t="s">
        <v>614</v>
      </c>
      <c r="D23624" s="3" t="s">
        <v>206</v>
      </c>
      <c r="E23624" s="3" t="s">
        <v>100</v>
      </c>
      <c r="F23624" s="7">
        <v>46200.45956581006</v>
      </c>
      <c r="G23624" s="3" t="s">
        <v>10892</v>
      </c>
    </row>
    <row r="23625">
      <c r="A23625" s="3" t="s">
        <v>39971</v>
      </c>
      <c r="B23625" s="3" t="s">
        <v>19461</v>
      </c>
      <c r="C23625" s="5" t="s">
        <v>206</v>
      </c>
      <c r="D23625" s="3" t="s">
        <v>68</v>
      </c>
      <c r="E23625" s="3" t="s">
        <v>100</v>
      </c>
      <c r="F23625" s="7">
        <v>46200.46303803228</v>
      </c>
      <c r="G23625" s="3" t="s">
        <v>10895</v>
      </c>
    </row>
    <row r="23626">
      <c r="A23626" s="3" t="s">
        <v>39972</v>
      </c>
      <c r="B23626" s="3" t="s">
        <v>19464</v>
      </c>
      <c r="C23626" s="5" t="s">
        <v>45</v>
      </c>
      <c r="D23626" s="3" t="s">
        <v>221</v>
      </c>
      <c r="E23626" s="3" t="s">
        <v>949</v>
      </c>
      <c r="F23626" s="7">
        <v>46200.52379621102</v>
      </c>
      <c r="G23626" s="3" t="s">
        <v>30137</v>
      </c>
    </row>
    <row r="23627">
      <c r="A23627" s="3" t="s">
        <v>39973</v>
      </c>
      <c r="B23627" s="3" t="s">
        <v>19464</v>
      </c>
      <c r="C23627" s="5" t="s">
        <v>221</v>
      </c>
      <c r="D23627" s="3" t="s">
        <v>614</v>
      </c>
      <c r="E23627" s="3" t="s">
        <v>118</v>
      </c>
      <c r="F23627" s="7">
        <v>46200.52726843324</v>
      </c>
      <c r="G23627" s="3" t="s">
        <v>30458</v>
      </c>
    </row>
    <row r="23628">
      <c r="A23628" s="3" t="s">
        <v>39974</v>
      </c>
      <c r="B23628" s="3" t="s">
        <v>19464</v>
      </c>
      <c r="C23628" s="5" t="s">
        <v>614</v>
      </c>
      <c r="D23628" s="3" t="s">
        <v>206</v>
      </c>
      <c r="E23628" s="3" t="s">
        <v>100</v>
      </c>
      <c r="F23628" s="7">
        <v>46200.530740655464</v>
      </c>
      <c r="G23628" s="3" t="s">
        <v>30460</v>
      </c>
    </row>
    <row r="23629">
      <c r="A23629" s="3" t="s">
        <v>39975</v>
      </c>
      <c r="B23629" s="3" t="s">
        <v>19464</v>
      </c>
      <c r="C23629" s="5" t="s">
        <v>206</v>
      </c>
      <c r="D23629" s="3" t="s">
        <v>68</v>
      </c>
      <c r="E23629" s="3" t="s">
        <v>100</v>
      </c>
      <c r="F23629" s="7">
        <v>46200.53421287768</v>
      </c>
      <c r="G23629" s="3" t="s">
        <v>30462</v>
      </c>
    </row>
    <row r="23630">
      <c r="A23630" s="3" t="s">
        <v>39976</v>
      </c>
      <c r="B23630" s="3" t="s">
        <v>19467</v>
      </c>
      <c r="C23630" s="5" t="s">
        <v>45</v>
      </c>
      <c r="D23630" s="3" t="s">
        <v>221</v>
      </c>
      <c r="E23630" s="3" t="s">
        <v>939</v>
      </c>
      <c r="F23630" s="7">
        <v>46200.59497105644</v>
      </c>
      <c r="G23630" s="3" t="s">
        <v>13032</v>
      </c>
    </row>
    <row r="23631">
      <c r="A23631" s="3" t="s">
        <v>39977</v>
      </c>
      <c r="B23631" s="3" t="s">
        <v>19467</v>
      </c>
      <c r="C23631" s="5" t="s">
        <v>221</v>
      </c>
      <c r="D23631" s="3" t="s">
        <v>614</v>
      </c>
      <c r="E23631" s="3" t="s">
        <v>118</v>
      </c>
      <c r="F23631" s="7">
        <v>46200.59844327866</v>
      </c>
      <c r="G23631" s="3" t="s">
        <v>26882</v>
      </c>
    </row>
    <row r="23632">
      <c r="A23632" s="3" t="s">
        <v>39978</v>
      </c>
      <c r="B23632" s="3" t="s">
        <v>19467</v>
      </c>
      <c r="C23632" s="5" t="s">
        <v>614</v>
      </c>
      <c r="D23632" s="3" t="s">
        <v>206</v>
      </c>
      <c r="E23632" s="3" t="s">
        <v>100</v>
      </c>
      <c r="F23632" s="7">
        <v>46200.60191550088</v>
      </c>
      <c r="G23632" s="3" t="s">
        <v>26884</v>
      </c>
    </row>
    <row r="23633">
      <c r="A23633" s="3" t="s">
        <v>39979</v>
      </c>
      <c r="B23633" s="3" t="s">
        <v>19467</v>
      </c>
      <c r="C23633" s="5" t="s">
        <v>206</v>
      </c>
      <c r="D23633" s="3" t="s">
        <v>68</v>
      </c>
      <c r="E23633" s="3" t="s">
        <v>100</v>
      </c>
      <c r="F23633" s="7">
        <v>46200.6053877231</v>
      </c>
      <c r="G23633" s="3" t="s">
        <v>26886</v>
      </c>
    </row>
    <row r="23634">
      <c r="A23634" s="3" t="s">
        <v>39980</v>
      </c>
      <c r="B23634" s="3" t="s">
        <v>19471</v>
      </c>
      <c r="C23634" s="5" t="s">
        <v>45</v>
      </c>
      <c r="D23634" s="3" t="s">
        <v>221</v>
      </c>
      <c r="E23634" s="3" t="s">
        <v>934</v>
      </c>
      <c r="F23634" s="7">
        <v>46200.66614590185</v>
      </c>
      <c r="G23634" s="3" t="s">
        <v>33896</v>
      </c>
    </row>
    <row r="23635">
      <c r="A23635" s="3" t="s">
        <v>39981</v>
      </c>
      <c r="B23635" s="3" t="s">
        <v>19471</v>
      </c>
      <c r="C23635" s="5" t="s">
        <v>221</v>
      </c>
      <c r="D23635" s="3" t="s">
        <v>181</v>
      </c>
      <c r="E23635" s="3" t="s">
        <v>118</v>
      </c>
      <c r="F23635" s="7">
        <v>46200.66961812407</v>
      </c>
      <c r="G23635" s="3" t="s">
        <v>34377</v>
      </c>
    </row>
    <row r="23636">
      <c r="A23636" s="3" t="s">
        <v>39982</v>
      </c>
      <c r="B23636" s="3" t="s">
        <v>19474</v>
      </c>
      <c r="C23636" s="5" t="s">
        <v>45</v>
      </c>
      <c r="D23636" s="3" t="s">
        <v>221</v>
      </c>
      <c r="E23636" s="3" t="s">
        <v>943</v>
      </c>
      <c r="F23636" s="7">
        <v>46200.73732074727</v>
      </c>
      <c r="G23636" s="3" t="s">
        <v>7319</v>
      </c>
    </row>
    <row r="23637">
      <c r="A23637" s="3" t="s">
        <v>39983</v>
      </c>
      <c r="B23637" s="3" t="s">
        <v>19474</v>
      </c>
      <c r="C23637" s="5" t="s">
        <v>221</v>
      </c>
      <c r="D23637" s="3" t="s">
        <v>614</v>
      </c>
      <c r="E23637" s="3" t="s">
        <v>118</v>
      </c>
      <c r="F23637" s="7">
        <v>46200.74079296949</v>
      </c>
      <c r="G23637" s="3" t="s">
        <v>7322</v>
      </c>
    </row>
    <row r="23638">
      <c r="A23638" s="3" t="s">
        <v>39984</v>
      </c>
      <c r="B23638" s="3" t="s">
        <v>19474</v>
      </c>
      <c r="C23638" s="5" t="s">
        <v>614</v>
      </c>
      <c r="D23638" s="3" t="s">
        <v>206</v>
      </c>
      <c r="E23638" s="3" t="s">
        <v>100</v>
      </c>
      <c r="F23638" s="7">
        <v>46200.744265191715</v>
      </c>
      <c r="G23638" s="3" t="s">
        <v>7324</v>
      </c>
    </row>
    <row r="23639">
      <c r="A23639" s="3" t="s">
        <v>39985</v>
      </c>
      <c r="B23639" s="3" t="s">
        <v>19474</v>
      </c>
      <c r="C23639" s="5" t="s">
        <v>206</v>
      </c>
      <c r="D23639" s="3" t="s">
        <v>68</v>
      </c>
      <c r="E23639" s="3" t="s">
        <v>100</v>
      </c>
      <c r="F23639" s="7">
        <v>46200.747737413934</v>
      </c>
      <c r="G23639" s="3" t="s">
        <v>7327</v>
      </c>
    </row>
    <row r="23640">
      <c r="A23640" s="3" t="s">
        <v>39986</v>
      </c>
      <c r="B23640" s="3" t="s">
        <v>19477</v>
      </c>
      <c r="C23640" s="5" t="s">
        <v>45</v>
      </c>
      <c r="D23640" s="3" t="s">
        <v>221</v>
      </c>
      <c r="E23640" s="3" t="s">
        <v>424</v>
      </c>
      <c r="F23640" s="7">
        <v>46200.80849559268</v>
      </c>
      <c r="G23640" s="3" t="s">
        <v>6328</v>
      </c>
    </row>
    <row r="23641">
      <c r="A23641" s="3" t="s">
        <v>39987</v>
      </c>
      <c r="B23641" s="3" t="s">
        <v>19477</v>
      </c>
      <c r="C23641" s="5" t="s">
        <v>221</v>
      </c>
      <c r="D23641" s="3" t="s">
        <v>614</v>
      </c>
      <c r="E23641" s="3" t="s">
        <v>118</v>
      </c>
      <c r="F23641" s="7">
        <v>46200.8119678149</v>
      </c>
      <c r="G23641" s="3" t="s">
        <v>6331</v>
      </c>
    </row>
    <row r="23642">
      <c r="A23642" s="3" t="s">
        <v>39988</v>
      </c>
      <c r="B23642" s="3" t="s">
        <v>19477</v>
      </c>
      <c r="C23642" s="5" t="s">
        <v>614</v>
      </c>
      <c r="D23642" s="3" t="s">
        <v>206</v>
      </c>
      <c r="E23642" s="3" t="s">
        <v>100</v>
      </c>
      <c r="F23642" s="7">
        <v>46200.81544003713</v>
      </c>
      <c r="G23642" s="3" t="s">
        <v>6334</v>
      </c>
    </row>
    <row r="23643">
      <c r="A23643" s="3" t="s">
        <v>39989</v>
      </c>
      <c r="B23643" s="3" t="s">
        <v>19477</v>
      </c>
      <c r="C23643" s="5" t="s">
        <v>206</v>
      </c>
      <c r="D23643" s="3" t="s">
        <v>68</v>
      </c>
      <c r="E23643" s="3" t="s">
        <v>100</v>
      </c>
      <c r="F23643" s="7">
        <v>46200.81891225935</v>
      </c>
      <c r="G23643" s="3" t="s">
        <v>6337</v>
      </c>
    </row>
    <row r="23644">
      <c r="A23644" s="3" t="s">
        <v>39990</v>
      </c>
      <c r="B23644" s="3" t="s">
        <v>19480</v>
      </c>
      <c r="C23644" s="5" t="s">
        <v>45</v>
      </c>
      <c r="D23644" s="3" t="s">
        <v>221</v>
      </c>
      <c r="E23644" s="3" t="s">
        <v>330</v>
      </c>
      <c r="F23644" s="7">
        <v>46200.8796704381</v>
      </c>
      <c r="G23644" s="3" t="s">
        <v>34746</v>
      </c>
    </row>
    <row r="23645">
      <c r="A23645" s="3" t="s">
        <v>39991</v>
      </c>
      <c r="B23645" s="3" t="s">
        <v>19480</v>
      </c>
      <c r="C23645" s="5" t="s">
        <v>221</v>
      </c>
      <c r="D23645" s="3" t="s">
        <v>614</v>
      </c>
      <c r="E23645" s="3" t="s">
        <v>118</v>
      </c>
      <c r="F23645" s="7">
        <v>46200.88314266032</v>
      </c>
      <c r="G23645" s="3" t="s">
        <v>34748</v>
      </c>
    </row>
    <row r="23646">
      <c r="A23646" s="3" t="s">
        <v>39992</v>
      </c>
      <c r="B23646" s="3" t="s">
        <v>19480</v>
      </c>
      <c r="C23646" s="5" t="s">
        <v>614</v>
      </c>
      <c r="D23646" s="3" t="s">
        <v>206</v>
      </c>
      <c r="E23646" s="3" t="s">
        <v>100</v>
      </c>
      <c r="F23646" s="7">
        <v>46200.88661488255</v>
      </c>
      <c r="G23646" s="3" t="s">
        <v>34750</v>
      </c>
    </row>
    <row r="23647">
      <c r="A23647" s="3" t="s">
        <v>39993</v>
      </c>
      <c r="B23647" s="3" t="s">
        <v>19480</v>
      </c>
      <c r="C23647" s="5" t="s">
        <v>206</v>
      </c>
      <c r="D23647" s="3" t="s">
        <v>68</v>
      </c>
      <c r="E23647" s="3" t="s">
        <v>100</v>
      </c>
      <c r="F23647" s="7">
        <v>46200.890087104766</v>
      </c>
      <c r="G23647" s="3" t="s">
        <v>34752</v>
      </c>
    </row>
    <row r="23648">
      <c r="A23648" s="3" t="s">
        <v>39994</v>
      </c>
      <c r="B23648" s="3" t="s">
        <v>19484</v>
      </c>
      <c r="C23648" s="5" t="s">
        <v>45</v>
      </c>
      <c r="D23648" s="3" t="s">
        <v>221</v>
      </c>
      <c r="E23648" s="3" t="s">
        <v>348</v>
      </c>
      <c r="F23648" s="7">
        <v>46200.95084528351</v>
      </c>
      <c r="G23648" s="3" t="s">
        <v>19222</v>
      </c>
    </row>
    <row r="23649">
      <c r="A23649" s="3" t="s">
        <v>39995</v>
      </c>
      <c r="B23649" s="3" t="s">
        <v>19484</v>
      </c>
      <c r="C23649" s="5" t="s">
        <v>221</v>
      </c>
      <c r="D23649" s="3" t="s">
        <v>614</v>
      </c>
      <c r="E23649" s="3" t="s">
        <v>118</v>
      </c>
      <c r="F23649" s="7">
        <v>46200.954317505726</v>
      </c>
      <c r="G23649" s="3" t="s">
        <v>19224</v>
      </c>
    </row>
    <row r="23650">
      <c r="A23650" s="3" t="s">
        <v>39996</v>
      </c>
      <c r="B23650" s="3" t="s">
        <v>19484</v>
      </c>
      <c r="C23650" s="5" t="s">
        <v>614</v>
      </c>
      <c r="D23650" s="3" t="s">
        <v>206</v>
      </c>
      <c r="E23650" s="3" t="s">
        <v>100</v>
      </c>
      <c r="F23650" s="7">
        <v>46200.95778972795</v>
      </c>
      <c r="G23650" s="3" t="s">
        <v>19227</v>
      </c>
    </row>
    <row r="23651">
      <c r="A23651" s="3" t="s">
        <v>39997</v>
      </c>
      <c r="B23651" s="3" t="s">
        <v>19484</v>
      </c>
      <c r="C23651" s="5" t="s">
        <v>206</v>
      </c>
      <c r="D23651" s="3" t="s">
        <v>68</v>
      </c>
      <c r="E23651" s="3" t="s">
        <v>100</v>
      </c>
      <c r="F23651" s="7">
        <v>46200.96126195017</v>
      </c>
      <c r="G23651" s="3" t="s">
        <v>19230</v>
      </c>
    </row>
    <row r="23652">
      <c r="A23652" s="3" t="s">
        <v>39998</v>
      </c>
      <c r="B23652" s="3" t="s">
        <v>19487</v>
      </c>
      <c r="C23652" s="5" t="s">
        <v>45</v>
      </c>
      <c r="D23652" s="3" t="s">
        <v>221</v>
      </c>
      <c r="E23652" s="3" t="s">
        <v>665</v>
      </c>
      <c r="F23652" s="7">
        <v>46201.02202012893</v>
      </c>
      <c r="G23652" s="3" t="s">
        <v>6340</v>
      </c>
    </row>
    <row r="23653">
      <c r="A23653" s="3" t="s">
        <v>39999</v>
      </c>
      <c r="B23653" s="3" t="s">
        <v>19487</v>
      </c>
      <c r="C23653" s="5" t="s">
        <v>221</v>
      </c>
      <c r="D23653" s="3" t="s">
        <v>614</v>
      </c>
      <c r="E23653" s="3" t="s">
        <v>118</v>
      </c>
      <c r="F23653" s="7">
        <v>46201.025492351146</v>
      </c>
      <c r="G23653" s="3" t="s">
        <v>6342</v>
      </c>
    </row>
    <row r="23654">
      <c r="A23654" s="3" t="s">
        <v>40000</v>
      </c>
      <c r="B23654" s="3" t="s">
        <v>19487</v>
      </c>
      <c r="C23654" s="5" t="s">
        <v>614</v>
      </c>
      <c r="D23654" s="3" t="s">
        <v>206</v>
      </c>
      <c r="E23654" s="3" t="s">
        <v>100</v>
      </c>
      <c r="F23654" s="7">
        <v>46201.02896457337</v>
      </c>
      <c r="G23654" s="3" t="s">
        <v>6345</v>
      </c>
    </row>
    <row r="23655">
      <c r="A23655" s="3" t="s">
        <v>40001</v>
      </c>
      <c r="B23655" s="3" t="s">
        <v>19487</v>
      </c>
      <c r="C23655" s="5" t="s">
        <v>206</v>
      </c>
      <c r="D23655" s="3" t="s">
        <v>68</v>
      </c>
      <c r="E23655" s="3" t="s">
        <v>100</v>
      </c>
      <c r="F23655" s="7">
        <v>46201.03243679559</v>
      </c>
      <c r="G23655" s="3" t="s">
        <v>6348</v>
      </c>
    </row>
    <row r="23656">
      <c r="A23656" s="3" t="s">
        <v>40002</v>
      </c>
      <c r="B23656" s="3" t="s">
        <v>19491</v>
      </c>
      <c r="C23656" s="5" t="s">
        <v>45</v>
      </c>
      <c r="D23656" s="3" t="s">
        <v>221</v>
      </c>
      <c r="E23656" s="3" t="s">
        <v>256</v>
      </c>
      <c r="F23656" s="7">
        <v>46201.093194974346</v>
      </c>
      <c r="G23656" s="3" t="s">
        <v>25813</v>
      </c>
    </row>
    <row r="23657">
      <c r="A23657" s="3" t="s">
        <v>40003</v>
      </c>
      <c r="B23657" s="3" t="s">
        <v>19491</v>
      </c>
      <c r="C23657" s="5" t="s">
        <v>221</v>
      </c>
      <c r="D23657" s="3" t="s">
        <v>614</v>
      </c>
      <c r="E23657" s="3" t="s">
        <v>118</v>
      </c>
      <c r="F23657" s="7">
        <v>46201.096667196565</v>
      </c>
      <c r="G23657" s="3" t="s">
        <v>27432</v>
      </c>
    </row>
    <row r="23658">
      <c r="A23658" s="3" t="s">
        <v>40004</v>
      </c>
      <c r="B23658" s="3" t="s">
        <v>19491</v>
      </c>
      <c r="C23658" s="5" t="s">
        <v>614</v>
      </c>
      <c r="D23658" s="3" t="s">
        <v>206</v>
      </c>
      <c r="E23658" s="3" t="s">
        <v>100</v>
      </c>
      <c r="F23658" s="7">
        <v>46201.10013941879</v>
      </c>
      <c r="G23658" s="3" t="s">
        <v>27434</v>
      </c>
    </row>
    <row r="23659">
      <c r="A23659" s="3" t="s">
        <v>40005</v>
      </c>
      <c r="B23659" s="3" t="s">
        <v>19491</v>
      </c>
      <c r="C23659" s="5" t="s">
        <v>206</v>
      </c>
      <c r="D23659" s="3" t="s">
        <v>68</v>
      </c>
      <c r="E23659" s="3" t="s">
        <v>100</v>
      </c>
      <c r="F23659" s="7">
        <v>46201.10361164101</v>
      </c>
      <c r="G23659" s="3" t="s">
        <v>27436</v>
      </c>
    </row>
    <row r="23660">
      <c r="A23660" s="3" t="s">
        <v>40006</v>
      </c>
      <c r="B23660" s="3" t="s">
        <v>19495</v>
      </c>
      <c r="C23660" s="5" t="s">
        <v>45</v>
      </c>
      <c r="D23660" s="3" t="s">
        <v>221</v>
      </c>
      <c r="E23660" s="3" t="s">
        <v>141</v>
      </c>
      <c r="F23660" s="7">
        <v>46201.16436981976</v>
      </c>
      <c r="G23660" s="3" t="s">
        <v>6363</v>
      </c>
    </row>
    <row r="23661">
      <c r="A23661" s="3" t="s">
        <v>40007</v>
      </c>
      <c r="B23661" s="3" t="s">
        <v>19495</v>
      </c>
      <c r="C23661" s="5" t="s">
        <v>221</v>
      </c>
      <c r="D23661" s="3" t="s">
        <v>614</v>
      </c>
      <c r="E23661" s="3" t="s">
        <v>118</v>
      </c>
      <c r="F23661" s="7">
        <v>46201.16784204198</v>
      </c>
      <c r="G23661" s="3" t="s">
        <v>6365</v>
      </c>
    </row>
    <row r="23662">
      <c r="A23662" s="3" t="s">
        <v>40008</v>
      </c>
      <c r="B23662" s="3" t="s">
        <v>19495</v>
      </c>
      <c r="C23662" s="5" t="s">
        <v>614</v>
      </c>
      <c r="D23662" s="3" t="s">
        <v>206</v>
      </c>
      <c r="E23662" s="3" t="s">
        <v>100</v>
      </c>
      <c r="F23662" s="7">
        <v>46201.171314264204</v>
      </c>
      <c r="G23662" s="3" t="s">
        <v>6368</v>
      </c>
    </row>
    <row r="23663">
      <c r="A23663" s="3" t="s">
        <v>40009</v>
      </c>
      <c r="B23663" s="3" t="s">
        <v>19495</v>
      </c>
      <c r="C23663" s="5" t="s">
        <v>206</v>
      </c>
      <c r="D23663" s="3" t="s">
        <v>68</v>
      </c>
      <c r="E23663" s="3" t="s">
        <v>100</v>
      </c>
      <c r="F23663" s="7">
        <v>46201.17478648642</v>
      </c>
      <c r="G23663" s="3" t="s">
        <v>6371</v>
      </c>
    </row>
    <row r="23664">
      <c r="A23664" s="3" t="s">
        <v>40010</v>
      </c>
      <c r="B23664" s="3" t="s">
        <v>19498</v>
      </c>
      <c r="C23664" s="5" t="s">
        <v>45</v>
      </c>
      <c r="D23664" s="3" t="s">
        <v>221</v>
      </c>
      <c r="E23664" s="3" t="s">
        <v>388</v>
      </c>
      <c r="F23664" s="7">
        <v>46201.23554466517</v>
      </c>
      <c r="G23664" s="3" t="s">
        <v>6300</v>
      </c>
    </row>
    <row r="23665">
      <c r="A23665" s="3" t="s">
        <v>40011</v>
      </c>
      <c r="B23665" s="3" t="s">
        <v>19498</v>
      </c>
      <c r="C23665" s="5" t="s">
        <v>221</v>
      </c>
      <c r="D23665" s="3" t="s">
        <v>614</v>
      </c>
      <c r="E23665" s="3" t="s">
        <v>118</v>
      </c>
      <c r="F23665" s="7">
        <v>46201.23901688739</v>
      </c>
      <c r="G23665" s="3" t="s">
        <v>6303</v>
      </c>
    </row>
    <row r="23666">
      <c r="A23666" s="3" t="s">
        <v>40012</v>
      </c>
      <c r="B23666" s="3" t="s">
        <v>19498</v>
      </c>
      <c r="C23666" s="5" t="s">
        <v>614</v>
      </c>
      <c r="D23666" s="3" t="s">
        <v>206</v>
      </c>
      <c r="E23666" s="3" t="s">
        <v>100</v>
      </c>
      <c r="F23666" s="7">
        <v>46201.242489109616</v>
      </c>
      <c r="G23666" s="3" t="s">
        <v>6305</v>
      </c>
    </row>
    <row r="23667">
      <c r="A23667" s="3" t="s">
        <v>40013</v>
      </c>
      <c r="B23667" s="3" t="s">
        <v>19498</v>
      </c>
      <c r="C23667" s="5" t="s">
        <v>206</v>
      </c>
      <c r="D23667" s="3" t="s">
        <v>68</v>
      </c>
      <c r="E23667" s="3" t="s">
        <v>100</v>
      </c>
      <c r="F23667" s="7">
        <v>46201.245961331835</v>
      </c>
      <c r="G23667" s="3" t="s">
        <v>6308</v>
      </c>
    </row>
    <row r="23668">
      <c r="A23668" s="3" t="s">
        <v>40014</v>
      </c>
      <c r="B23668" s="3" t="s">
        <v>19500</v>
      </c>
      <c r="C23668" s="5" t="s">
        <v>45</v>
      </c>
      <c r="D23668" s="3" t="s">
        <v>221</v>
      </c>
      <c r="E23668" s="3" t="s">
        <v>1034</v>
      </c>
      <c r="F23668" s="7">
        <v>46201.30671951059</v>
      </c>
      <c r="G23668" s="3" t="s">
        <v>30987</v>
      </c>
    </row>
    <row r="23669">
      <c r="A23669" s="3" t="s">
        <v>40015</v>
      </c>
      <c r="B23669" s="3" t="s">
        <v>19500</v>
      </c>
      <c r="C23669" s="5" t="s">
        <v>221</v>
      </c>
      <c r="D23669" s="3" t="s">
        <v>181</v>
      </c>
      <c r="E23669" s="3" t="s">
        <v>118</v>
      </c>
      <c r="F23669" s="7">
        <v>46201.31019173281</v>
      </c>
      <c r="G23669" s="3" t="s">
        <v>40016</v>
      </c>
    </row>
    <row r="23670">
      <c r="A23670" s="3" t="s">
        <v>40017</v>
      </c>
      <c r="B23670" s="3" t="s">
        <v>19502</v>
      </c>
      <c r="C23670" s="5" t="s">
        <v>45</v>
      </c>
      <c r="D23670" s="3" t="s">
        <v>221</v>
      </c>
      <c r="E23670" s="3" t="s">
        <v>400</v>
      </c>
      <c r="F23670" s="7">
        <v>46201.377894356</v>
      </c>
      <c r="G23670" s="3" t="s">
        <v>6419</v>
      </c>
    </row>
    <row r="23671">
      <c r="A23671" s="3" t="s">
        <v>40018</v>
      </c>
      <c r="B23671" s="3" t="s">
        <v>19502</v>
      </c>
      <c r="C23671" s="5" t="s">
        <v>221</v>
      </c>
      <c r="D23671" s="3" t="s">
        <v>614</v>
      </c>
      <c r="E23671" s="3" t="s">
        <v>118</v>
      </c>
      <c r="F23671" s="7">
        <v>46201.38136657822</v>
      </c>
      <c r="G23671" s="3" t="s">
        <v>6422</v>
      </c>
    </row>
    <row r="23672">
      <c r="A23672" s="3" t="s">
        <v>40019</v>
      </c>
      <c r="B23672" s="3" t="s">
        <v>19502</v>
      </c>
      <c r="C23672" s="5" t="s">
        <v>614</v>
      </c>
      <c r="D23672" s="3" t="s">
        <v>206</v>
      </c>
      <c r="E23672" s="3" t="s">
        <v>100</v>
      </c>
      <c r="F23672" s="7">
        <v>46201.38483880045</v>
      </c>
      <c r="G23672" s="3" t="s">
        <v>6425</v>
      </c>
    </row>
    <row r="23673">
      <c r="A23673" s="3" t="s">
        <v>40020</v>
      </c>
      <c r="B23673" s="3" t="s">
        <v>19502</v>
      </c>
      <c r="C23673" s="5" t="s">
        <v>206</v>
      </c>
      <c r="D23673" s="3" t="s">
        <v>68</v>
      </c>
      <c r="E23673" s="3" t="s">
        <v>100</v>
      </c>
      <c r="F23673" s="7">
        <v>46201.38831102267</v>
      </c>
      <c r="G23673" s="3" t="s">
        <v>6427</v>
      </c>
    </row>
    <row r="23674">
      <c r="A23674" s="3" t="s">
        <v>40021</v>
      </c>
      <c r="B23674" s="3" t="s">
        <v>19504</v>
      </c>
      <c r="C23674" s="5" t="s">
        <v>45</v>
      </c>
      <c r="D23674" s="3" t="s">
        <v>221</v>
      </c>
      <c r="E23674" s="3" t="s">
        <v>290</v>
      </c>
      <c r="F23674" s="7">
        <v>46201.449069201415</v>
      </c>
      <c r="G23674" s="3" t="s">
        <v>16766</v>
      </c>
    </row>
    <row r="23675">
      <c r="A23675" s="3" t="s">
        <v>40022</v>
      </c>
      <c r="B23675" s="3" t="s">
        <v>19504</v>
      </c>
      <c r="C23675" s="5" t="s">
        <v>221</v>
      </c>
      <c r="D23675" s="3" t="s">
        <v>614</v>
      </c>
      <c r="E23675" s="3" t="s">
        <v>118</v>
      </c>
      <c r="F23675" s="7">
        <v>46201.452541423634</v>
      </c>
      <c r="G23675" s="3" t="s">
        <v>16769</v>
      </c>
    </row>
    <row r="23676">
      <c r="A23676" s="3" t="s">
        <v>40023</v>
      </c>
      <c r="B23676" s="3" t="s">
        <v>19504</v>
      </c>
      <c r="C23676" s="5" t="s">
        <v>614</v>
      </c>
      <c r="D23676" s="3" t="s">
        <v>206</v>
      </c>
      <c r="E23676" s="3" t="s">
        <v>100</v>
      </c>
      <c r="F23676" s="7">
        <v>46201.45601364586</v>
      </c>
      <c r="G23676" s="3" t="s">
        <v>16772</v>
      </c>
    </row>
    <row r="23677">
      <c r="A23677" s="3" t="s">
        <v>40024</v>
      </c>
      <c r="B23677" s="3" t="s">
        <v>19504</v>
      </c>
      <c r="C23677" s="5" t="s">
        <v>206</v>
      </c>
      <c r="D23677" s="3" t="s">
        <v>68</v>
      </c>
      <c r="E23677" s="3" t="s">
        <v>100</v>
      </c>
      <c r="F23677" s="7">
        <v>46201.45948586808</v>
      </c>
      <c r="G23677" s="3" t="s">
        <v>16775</v>
      </c>
    </row>
    <row r="23678">
      <c r="A23678" s="3" t="s">
        <v>40025</v>
      </c>
      <c r="B23678" s="3" t="s">
        <v>19508</v>
      </c>
      <c r="C23678" s="5" t="s">
        <v>45</v>
      </c>
      <c r="D23678" s="3" t="s">
        <v>221</v>
      </c>
      <c r="E23678" s="3" t="s">
        <v>631</v>
      </c>
      <c r="F23678" s="7">
        <v>46201.520244046835</v>
      </c>
      <c r="G23678" s="3" t="s">
        <v>8072</v>
      </c>
    </row>
    <row r="23679">
      <c r="A23679" s="3" t="s">
        <v>40026</v>
      </c>
      <c r="B23679" s="3" t="s">
        <v>19508</v>
      </c>
      <c r="C23679" s="5" t="s">
        <v>221</v>
      </c>
      <c r="D23679" s="3" t="s">
        <v>614</v>
      </c>
      <c r="E23679" s="3" t="s">
        <v>118</v>
      </c>
      <c r="F23679" s="7">
        <v>46201.523716269054</v>
      </c>
      <c r="G23679" s="3" t="s">
        <v>8076</v>
      </c>
    </row>
    <row r="23680">
      <c r="A23680" s="3" t="s">
        <v>40027</v>
      </c>
      <c r="B23680" s="3" t="s">
        <v>19508</v>
      </c>
      <c r="C23680" s="5" t="s">
        <v>614</v>
      </c>
      <c r="D23680" s="3" t="s">
        <v>206</v>
      </c>
      <c r="E23680" s="3" t="s">
        <v>100</v>
      </c>
      <c r="F23680" s="7">
        <v>46201.52718849128</v>
      </c>
      <c r="G23680" s="3" t="s">
        <v>8079</v>
      </c>
    </row>
    <row r="23681">
      <c r="A23681" s="3" t="s">
        <v>40028</v>
      </c>
      <c r="B23681" s="3" t="s">
        <v>19508</v>
      </c>
      <c r="C23681" s="5" t="s">
        <v>206</v>
      </c>
      <c r="D23681" s="3" t="s">
        <v>68</v>
      </c>
      <c r="E23681" s="3" t="s">
        <v>100</v>
      </c>
      <c r="F23681" s="7">
        <v>46201.5306607135</v>
      </c>
      <c r="G23681" s="3" t="s">
        <v>8082</v>
      </c>
    </row>
    <row r="23682">
      <c r="A23682" s="3" t="s">
        <v>40029</v>
      </c>
      <c r="B23682" s="3" t="s">
        <v>19512</v>
      </c>
      <c r="C23682" s="5" t="s">
        <v>45</v>
      </c>
      <c r="D23682" s="3" t="s">
        <v>221</v>
      </c>
      <c r="E23682" s="3" t="s">
        <v>682</v>
      </c>
      <c r="F23682" s="7">
        <v>46201.591418892254</v>
      </c>
      <c r="G23682" s="3" t="s">
        <v>6430</v>
      </c>
    </row>
    <row r="23683">
      <c r="A23683" s="3" t="s">
        <v>40030</v>
      </c>
      <c r="B23683" s="3" t="s">
        <v>19512</v>
      </c>
      <c r="C23683" s="5" t="s">
        <v>221</v>
      </c>
      <c r="D23683" s="3" t="s">
        <v>614</v>
      </c>
      <c r="E23683" s="3" t="s">
        <v>118</v>
      </c>
      <c r="F23683" s="7">
        <v>46201.59489111447</v>
      </c>
      <c r="G23683" s="3" t="s">
        <v>6433</v>
      </c>
    </row>
    <row r="23684">
      <c r="A23684" s="3" t="s">
        <v>40031</v>
      </c>
      <c r="B23684" s="3" t="s">
        <v>19512</v>
      </c>
      <c r="C23684" s="5" t="s">
        <v>614</v>
      </c>
      <c r="D23684" s="3" t="s">
        <v>206</v>
      </c>
      <c r="E23684" s="3" t="s">
        <v>100</v>
      </c>
      <c r="F23684" s="7">
        <v>46201.5983633367</v>
      </c>
      <c r="G23684" s="3" t="s">
        <v>6436</v>
      </c>
    </row>
    <row r="23685">
      <c r="A23685" s="3" t="s">
        <v>40032</v>
      </c>
      <c r="B23685" s="3" t="s">
        <v>19512</v>
      </c>
      <c r="C23685" s="5" t="s">
        <v>206</v>
      </c>
      <c r="D23685" s="3" t="s">
        <v>68</v>
      </c>
      <c r="E23685" s="3" t="s">
        <v>100</v>
      </c>
      <c r="F23685" s="7">
        <v>46201.60183555892</v>
      </c>
      <c r="G23685" s="3" t="s">
        <v>6439</v>
      </c>
    </row>
    <row r="23686">
      <c r="A23686" s="3" t="s">
        <v>40033</v>
      </c>
      <c r="B23686" s="3" t="s">
        <v>19515</v>
      </c>
      <c r="C23686" s="5" t="s">
        <v>45</v>
      </c>
      <c r="D23686" s="3" t="s">
        <v>221</v>
      </c>
      <c r="E23686" s="3" t="s">
        <v>678</v>
      </c>
      <c r="F23686" s="7">
        <v>46201.66259373766</v>
      </c>
      <c r="G23686" s="3" t="s">
        <v>8816</v>
      </c>
    </row>
    <row r="23687">
      <c r="A23687" s="3" t="s">
        <v>40034</v>
      </c>
      <c r="B23687" s="3" t="s">
        <v>19515</v>
      </c>
      <c r="C23687" s="5" t="s">
        <v>221</v>
      </c>
      <c r="D23687" s="3" t="s">
        <v>614</v>
      </c>
      <c r="E23687" s="3" t="s">
        <v>118</v>
      </c>
      <c r="F23687" s="7">
        <v>46201.66606595988</v>
      </c>
      <c r="G23687" s="3" t="s">
        <v>8819</v>
      </c>
    </row>
    <row r="23688">
      <c r="A23688" s="3" t="s">
        <v>40035</v>
      </c>
      <c r="B23688" s="3" t="s">
        <v>19515</v>
      </c>
      <c r="C23688" s="5" t="s">
        <v>614</v>
      </c>
      <c r="D23688" s="3" t="s">
        <v>206</v>
      </c>
      <c r="E23688" s="3" t="s">
        <v>100</v>
      </c>
      <c r="F23688" s="7">
        <v>46201.669538182105</v>
      </c>
      <c r="G23688" s="3" t="s">
        <v>8822</v>
      </c>
    </row>
    <row r="23689">
      <c r="A23689" s="3" t="s">
        <v>40036</v>
      </c>
      <c r="B23689" s="3" t="s">
        <v>19515</v>
      </c>
      <c r="C23689" s="5" t="s">
        <v>206</v>
      </c>
      <c r="D23689" s="3" t="s">
        <v>68</v>
      </c>
      <c r="E23689" s="3" t="s">
        <v>100</v>
      </c>
      <c r="F23689" s="7">
        <v>46201.67301040432</v>
      </c>
      <c r="G23689" s="3" t="s">
        <v>8825</v>
      </c>
    </row>
    <row r="23690">
      <c r="A23690" s="3" t="s">
        <v>40037</v>
      </c>
      <c r="B23690" s="3" t="s">
        <v>19517</v>
      </c>
      <c r="C23690" s="5" t="s">
        <v>45</v>
      </c>
      <c r="D23690" s="3" t="s">
        <v>221</v>
      </c>
      <c r="E23690" s="3" t="s">
        <v>468</v>
      </c>
      <c r="F23690" s="7">
        <v>46201.73376858308</v>
      </c>
      <c r="G23690" s="3" t="s">
        <v>6442</v>
      </c>
    </row>
    <row r="23691">
      <c r="A23691" s="3" t="s">
        <v>40038</v>
      </c>
      <c r="B23691" s="3" t="s">
        <v>19517</v>
      </c>
      <c r="C23691" s="5" t="s">
        <v>221</v>
      </c>
      <c r="D23691" s="3" t="s">
        <v>614</v>
      </c>
      <c r="E23691" s="3" t="s">
        <v>118</v>
      </c>
      <c r="F23691" s="7">
        <v>46201.7372408053</v>
      </c>
      <c r="G23691" s="3" t="s">
        <v>6445</v>
      </c>
    </row>
    <row r="23692">
      <c r="A23692" s="3" t="s">
        <v>40039</v>
      </c>
      <c r="B23692" s="3" t="s">
        <v>19517</v>
      </c>
      <c r="C23692" s="5" t="s">
        <v>614</v>
      </c>
      <c r="D23692" s="3" t="s">
        <v>206</v>
      </c>
      <c r="E23692" s="3" t="s">
        <v>100</v>
      </c>
      <c r="F23692" s="7">
        <v>46201.740713027524</v>
      </c>
      <c r="G23692" s="3" t="s">
        <v>6448</v>
      </c>
    </row>
    <row r="23693">
      <c r="A23693" s="3" t="s">
        <v>40040</v>
      </c>
      <c r="B23693" s="3" t="s">
        <v>19517</v>
      </c>
      <c r="C23693" s="5" t="s">
        <v>206</v>
      </c>
      <c r="D23693" s="3" t="s">
        <v>68</v>
      </c>
      <c r="E23693" s="3" t="s">
        <v>100</v>
      </c>
      <c r="F23693" s="7">
        <v>46201.74418524974</v>
      </c>
      <c r="G23693" s="3" t="s">
        <v>6451</v>
      </c>
    </row>
    <row r="23694">
      <c r="A23694" s="3" t="s">
        <v>40041</v>
      </c>
      <c r="B23694" s="3" t="s">
        <v>19519</v>
      </c>
      <c r="C23694" s="5" t="s">
        <v>45</v>
      </c>
      <c r="D23694" s="3" t="s">
        <v>221</v>
      </c>
      <c r="E23694" s="3" t="s">
        <v>1001</v>
      </c>
      <c r="F23694" s="7">
        <v>46201.8049434285</v>
      </c>
      <c r="G23694" s="3" t="s">
        <v>5685</v>
      </c>
    </row>
    <row r="23695">
      <c r="A23695" s="3" t="s">
        <v>40042</v>
      </c>
      <c r="B23695" s="3" t="s">
        <v>19519</v>
      </c>
      <c r="C23695" s="5" t="s">
        <v>221</v>
      </c>
      <c r="D23695" s="3" t="s">
        <v>614</v>
      </c>
      <c r="E23695" s="3" t="s">
        <v>118</v>
      </c>
      <c r="F23695" s="7">
        <v>46201.80841565072</v>
      </c>
      <c r="G23695" s="3" t="s">
        <v>5687</v>
      </c>
    </row>
    <row r="23696">
      <c r="A23696" s="3" t="s">
        <v>40043</v>
      </c>
      <c r="B23696" s="3" t="s">
        <v>19519</v>
      </c>
      <c r="C23696" s="5" t="s">
        <v>614</v>
      </c>
      <c r="D23696" s="3" t="s">
        <v>206</v>
      </c>
      <c r="E23696" s="3" t="s">
        <v>100</v>
      </c>
      <c r="F23696" s="7">
        <v>46201.811887872944</v>
      </c>
      <c r="G23696" s="3" t="s">
        <v>5690</v>
      </c>
    </row>
    <row r="23697">
      <c r="A23697" s="3" t="s">
        <v>40044</v>
      </c>
      <c r="B23697" s="3" t="s">
        <v>19519</v>
      </c>
      <c r="C23697" s="5" t="s">
        <v>206</v>
      </c>
      <c r="D23697" s="3" t="s">
        <v>68</v>
      </c>
      <c r="E23697" s="3" t="s">
        <v>100</v>
      </c>
      <c r="F23697" s="7">
        <v>46201.81536009516</v>
      </c>
      <c r="G23697" s="3" t="s">
        <v>5693</v>
      </c>
    </row>
    <row r="23698">
      <c r="A23698" s="3" t="s">
        <v>40045</v>
      </c>
      <c r="B23698" s="3" t="s">
        <v>19521</v>
      </c>
      <c r="C23698" s="5" t="s">
        <v>45</v>
      </c>
      <c r="D23698" s="3" t="s">
        <v>221</v>
      </c>
      <c r="E23698" s="3" t="s">
        <v>913</v>
      </c>
      <c r="F23698" s="7">
        <v>46201.87611827391</v>
      </c>
      <c r="G23698" s="3" t="s">
        <v>23958</v>
      </c>
    </row>
    <row r="23699">
      <c r="A23699" s="3" t="s">
        <v>40046</v>
      </c>
      <c r="B23699" s="3" t="s">
        <v>19521</v>
      </c>
      <c r="C23699" s="5" t="s">
        <v>221</v>
      </c>
      <c r="D23699" s="3" t="s">
        <v>614</v>
      </c>
      <c r="E23699" s="3" t="s">
        <v>118</v>
      </c>
      <c r="F23699" s="7">
        <v>46201.87959049613</v>
      </c>
      <c r="G23699" s="3" t="s">
        <v>23960</v>
      </c>
    </row>
    <row r="23700">
      <c r="A23700" s="3" t="s">
        <v>40047</v>
      </c>
      <c r="B23700" s="3" t="s">
        <v>19521</v>
      </c>
      <c r="C23700" s="5" t="s">
        <v>614</v>
      </c>
      <c r="D23700" s="3" t="s">
        <v>206</v>
      </c>
      <c r="E23700" s="3" t="s">
        <v>100</v>
      </c>
      <c r="F23700" s="7">
        <v>46201.883062718356</v>
      </c>
      <c r="G23700" s="3" t="s">
        <v>23962</v>
      </c>
    </row>
    <row r="23701">
      <c r="A23701" s="3" t="s">
        <v>40048</v>
      </c>
      <c r="B23701" s="3" t="s">
        <v>19521</v>
      </c>
      <c r="C23701" s="5" t="s">
        <v>206</v>
      </c>
      <c r="D23701" s="3" t="s">
        <v>68</v>
      </c>
      <c r="E23701" s="3" t="s">
        <v>100</v>
      </c>
      <c r="F23701" s="7">
        <v>46201.886534940575</v>
      </c>
      <c r="G23701" s="3" t="s">
        <v>23964</v>
      </c>
    </row>
    <row r="23702">
      <c r="A23702" s="3" t="s">
        <v>40049</v>
      </c>
      <c r="B23702" s="3" t="s">
        <v>19524</v>
      </c>
      <c r="C23702" s="5" t="s">
        <v>45</v>
      </c>
      <c r="D23702" s="3" t="s">
        <v>221</v>
      </c>
      <c r="E23702" s="3" t="s">
        <v>183</v>
      </c>
      <c r="F23702" s="7">
        <v>46201.94729311932</v>
      </c>
      <c r="G23702" s="3" t="s">
        <v>6464</v>
      </c>
    </row>
    <row r="23703">
      <c r="A23703" s="3" t="s">
        <v>40050</v>
      </c>
      <c r="B23703" s="3" t="s">
        <v>19524</v>
      </c>
      <c r="C23703" s="5" t="s">
        <v>221</v>
      </c>
      <c r="D23703" s="3" t="s">
        <v>614</v>
      </c>
      <c r="E23703" s="3" t="s">
        <v>118</v>
      </c>
      <c r="F23703" s="7">
        <v>46201.95076534154</v>
      </c>
      <c r="G23703" s="3" t="s">
        <v>6467</v>
      </c>
    </row>
    <row r="23704">
      <c r="A23704" s="3" t="s">
        <v>40051</v>
      </c>
      <c r="B23704" s="3" t="s">
        <v>19524</v>
      </c>
      <c r="C23704" s="5" t="s">
        <v>614</v>
      </c>
      <c r="D23704" s="3" t="s">
        <v>206</v>
      </c>
      <c r="E23704" s="3" t="s">
        <v>100</v>
      </c>
      <c r="F23704" s="7">
        <v>46201.95423756377</v>
      </c>
      <c r="G23704" s="3" t="s">
        <v>6470</v>
      </c>
    </row>
    <row r="23705">
      <c r="A23705" s="3" t="s">
        <v>40052</v>
      </c>
      <c r="B23705" s="3" t="s">
        <v>19524</v>
      </c>
      <c r="C23705" s="5" t="s">
        <v>206</v>
      </c>
      <c r="D23705" s="3" t="s">
        <v>68</v>
      </c>
      <c r="E23705" s="3" t="s">
        <v>100</v>
      </c>
      <c r="F23705" s="7">
        <v>46201.95770978599</v>
      </c>
      <c r="G23705" s="3" t="s">
        <v>6473</v>
      </c>
    </row>
    <row r="23706">
      <c r="A23706" s="3" t="s">
        <v>40053</v>
      </c>
      <c r="B23706" s="3" t="s">
        <v>19526</v>
      </c>
      <c r="C23706" s="5" t="s">
        <v>45</v>
      </c>
      <c r="D23706" s="3" t="s">
        <v>221</v>
      </c>
      <c r="E23706" s="3" t="s">
        <v>947</v>
      </c>
      <c r="F23706" s="7">
        <v>46202.01846796474</v>
      </c>
      <c r="G23706" s="3" t="s">
        <v>21032</v>
      </c>
    </row>
    <row r="23707">
      <c r="A23707" s="3" t="s">
        <v>40054</v>
      </c>
      <c r="B23707" s="3" t="s">
        <v>19526</v>
      </c>
      <c r="C23707" s="5" t="s">
        <v>221</v>
      </c>
      <c r="D23707" s="3" t="s">
        <v>181</v>
      </c>
      <c r="E23707" s="3" t="s">
        <v>118</v>
      </c>
      <c r="F23707" s="7">
        <v>46202.02194018696</v>
      </c>
      <c r="G23707" s="3" t="s">
        <v>40055</v>
      </c>
    </row>
    <row r="23708">
      <c r="A23708" s="3" t="s">
        <v>40056</v>
      </c>
      <c r="B23708" s="3" t="s">
        <v>19528</v>
      </c>
      <c r="C23708" s="5" t="s">
        <v>45</v>
      </c>
      <c r="D23708" s="3" t="s">
        <v>221</v>
      </c>
      <c r="E23708" s="3" t="s">
        <v>501</v>
      </c>
      <c r="F23708" s="7">
        <v>46202.089642810155</v>
      </c>
      <c r="G23708" s="3" t="s">
        <v>8139</v>
      </c>
    </row>
    <row r="23709">
      <c r="A23709" s="3" t="s">
        <v>40057</v>
      </c>
      <c r="B23709" s="3" t="s">
        <v>19528</v>
      </c>
      <c r="C23709" s="5" t="s">
        <v>221</v>
      </c>
      <c r="D23709" s="3" t="s">
        <v>614</v>
      </c>
      <c r="E23709" s="3" t="s">
        <v>118</v>
      </c>
      <c r="F23709" s="7">
        <v>46202.093115032374</v>
      </c>
      <c r="G23709" s="3" t="s">
        <v>8142</v>
      </c>
    </row>
    <row r="23710">
      <c r="A23710" s="3" t="s">
        <v>40058</v>
      </c>
      <c r="B23710" s="3" t="s">
        <v>19528</v>
      </c>
      <c r="C23710" s="5" t="s">
        <v>614</v>
      </c>
      <c r="D23710" s="3" t="s">
        <v>206</v>
      </c>
      <c r="E23710" s="3" t="s">
        <v>100</v>
      </c>
      <c r="F23710" s="7">
        <v>46202.0965872546</v>
      </c>
      <c r="G23710" s="3" t="s">
        <v>8145</v>
      </c>
    </row>
    <row r="23711">
      <c r="A23711" s="3" t="s">
        <v>40059</v>
      </c>
      <c r="B23711" s="3" t="s">
        <v>19528</v>
      </c>
      <c r="C23711" s="5" t="s">
        <v>206</v>
      </c>
      <c r="D23711" s="3" t="s">
        <v>68</v>
      </c>
      <c r="E23711" s="3" t="s">
        <v>100</v>
      </c>
      <c r="F23711" s="7">
        <v>46202.10005947682</v>
      </c>
      <c r="G23711" s="3" t="s">
        <v>8148</v>
      </c>
    </row>
    <row r="23712">
      <c r="A23712" s="3" t="s">
        <v>40060</v>
      </c>
      <c r="B23712" s="3" t="s">
        <v>19530</v>
      </c>
      <c r="C23712" s="5" t="s">
        <v>45</v>
      </c>
      <c r="D23712" s="3" t="s">
        <v>221</v>
      </c>
      <c r="E23712" s="3" t="s">
        <v>123</v>
      </c>
      <c r="F23712" s="7">
        <v>46202.16081765557</v>
      </c>
      <c r="G23712" s="3" t="s">
        <v>7866</v>
      </c>
    </row>
    <row r="23713">
      <c r="A23713" s="3" t="s">
        <v>40061</v>
      </c>
      <c r="B23713" s="3" t="s">
        <v>19530</v>
      </c>
      <c r="C23713" s="5" t="s">
        <v>221</v>
      </c>
      <c r="D23713" s="3" t="s">
        <v>614</v>
      </c>
      <c r="E23713" s="3" t="s">
        <v>118</v>
      </c>
      <c r="F23713" s="7">
        <v>46202.164289877786</v>
      </c>
      <c r="G23713" s="3" t="s">
        <v>7869</v>
      </c>
    </row>
    <row r="23714">
      <c r="A23714" s="3" t="s">
        <v>40062</v>
      </c>
      <c r="B23714" s="3" t="s">
        <v>19530</v>
      </c>
      <c r="C23714" s="5" t="s">
        <v>614</v>
      </c>
      <c r="D23714" s="3" t="s">
        <v>206</v>
      </c>
      <c r="E23714" s="3" t="s">
        <v>100</v>
      </c>
      <c r="F23714" s="7">
        <v>46202.16776210001</v>
      </c>
      <c r="G23714" s="3" t="s">
        <v>7871</v>
      </c>
    </row>
    <row r="23715">
      <c r="A23715" s="3" t="s">
        <v>40063</v>
      </c>
      <c r="B23715" s="3" t="s">
        <v>19530</v>
      </c>
      <c r="C23715" s="5" t="s">
        <v>206</v>
      </c>
      <c r="D23715" s="3" t="s">
        <v>68</v>
      </c>
      <c r="E23715" s="3" t="s">
        <v>100</v>
      </c>
      <c r="F23715" s="7">
        <v>46202.17123432223</v>
      </c>
      <c r="G23715" s="3" t="s">
        <v>7874</v>
      </c>
    </row>
    <row r="23716">
      <c r="A23716" s="3" t="s">
        <v>40064</v>
      </c>
      <c r="B23716" s="3" t="s">
        <v>19532</v>
      </c>
      <c r="C23716" s="5" t="s">
        <v>45</v>
      </c>
      <c r="D23716" s="3" t="s">
        <v>221</v>
      </c>
      <c r="E23716" s="3" t="s">
        <v>698</v>
      </c>
      <c r="F23716" s="7">
        <v>46202.23199250099</v>
      </c>
      <c r="G23716" s="3" t="s">
        <v>6488</v>
      </c>
    </row>
    <row r="23717">
      <c r="A23717" s="3" t="s">
        <v>40065</v>
      </c>
      <c r="B23717" s="3" t="s">
        <v>19532</v>
      </c>
      <c r="C23717" s="5" t="s">
        <v>221</v>
      </c>
      <c r="D23717" s="3" t="s">
        <v>614</v>
      </c>
      <c r="E23717" s="3" t="s">
        <v>118</v>
      </c>
      <c r="F23717" s="7">
        <v>46202.235464723206</v>
      </c>
      <c r="G23717" s="3" t="s">
        <v>6490</v>
      </c>
    </row>
    <row r="23718">
      <c r="A23718" s="3" t="s">
        <v>40066</v>
      </c>
      <c r="B23718" s="3" t="s">
        <v>19532</v>
      </c>
      <c r="C23718" s="5" t="s">
        <v>614</v>
      </c>
      <c r="D23718" s="3" t="s">
        <v>206</v>
      </c>
      <c r="E23718" s="3" t="s">
        <v>100</v>
      </c>
      <c r="F23718" s="7">
        <v>46202.23893694543</v>
      </c>
      <c r="G23718" s="3" t="s">
        <v>6493</v>
      </c>
    </row>
    <row r="23719">
      <c r="A23719" s="3" t="s">
        <v>40067</v>
      </c>
      <c r="B23719" s="3" t="s">
        <v>19532</v>
      </c>
      <c r="C23719" s="5" t="s">
        <v>206</v>
      </c>
      <c r="D23719" s="3" t="s">
        <v>68</v>
      </c>
      <c r="E23719" s="3" t="s">
        <v>100</v>
      </c>
      <c r="F23719" s="7">
        <v>46202.24240916765</v>
      </c>
      <c r="G23719" s="3" t="s">
        <v>6496</v>
      </c>
    </row>
    <row r="23720">
      <c r="A23720" s="3" t="s">
        <v>40068</v>
      </c>
      <c r="B23720" s="3" t="s">
        <v>19534</v>
      </c>
      <c r="C23720" s="5" t="s">
        <v>45</v>
      </c>
      <c r="D23720" s="3" t="s">
        <v>221</v>
      </c>
      <c r="E23720" s="3" t="s">
        <v>934</v>
      </c>
      <c r="F23720" s="7">
        <v>46202.3031673464</v>
      </c>
      <c r="G23720" s="3" t="s">
        <v>33896</v>
      </c>
    </row>
    <row r="23721">
      <c r="A23721" s="3" t="s">
        <v>40069</v>
      </c>
      <c r="B23721" s="3" t="s">
        <v>19534</v>
      </c>
      <c r="C23721" s="5" t="s">
        <v>221</v>
      </c>
      <c r="D23721" s="3" t="s">
        <v>614</v>
      </c>
      <c r="E23721" s="3" t="s">
        <v>118</v>
      </c>
      <c r="F23721" s="7">
        <v>46202.30663956862</v>
      </c>
      <c r="G23721" s="3" t="s">
        <v>33898</v>
      </c>
    </row>
    <row r="23722">
      <c r="A23722" s="3" t="s">
        <v>40070</v>
      </c>
      <c r="B23722" s="3" t="s">
        <v>19534</v>
      </c>
      <c r="C23722" s="5" t="s">
        <v>614</v>
      </c>
      <c r="D23722" s="3" t="s">
        <v>206</v>
      </c>
      <c r="E23722" s="3" t="s">
        <v>100</v>
      </c>
      <c r="F23722" s="7">
        <v>46202.310111790845</v>
      </c>
      <c r="G23722" s="3" t="s">
        <v>33900</v>
      </c>
    </row>
    <row r="23723">
      <c r="A23723" s="3" t="s">
        <v>40071</v>
      </c>
      <c r="B23723" s="3" t="s">
        <v>19534</v>
      </c>
      <c r="C23723" s="5" t="s">
        <v>206</v>
      </c>
      <c r="D23723" s="3" t="s">
        <v>68</v>
      </c>
      <c r="E23723" s="3" t="s">
        <v>100</v>
      </c>
      <c r="F23723" s="7">
        <v>46202.31358401306</v>
      </c>
      <c r="G23723" s="3" t="s">
        <v>33902</v>
      </c>
    </row>
    <row r="23724">
      <c r="A23724" s="3" t="s">
        <v>40072</v>
      </c>
      <c r="B23724" s="3" t="s">
        <v>19537</v>
      </c>
      <c r="C23724" s="5" t="s">
        <v>45</v>
      </c>
      <c r="D23724" s="3" t="s">
        <v>221</v>
      </c>
      <c r="E23724" s="3" t="s">
        <v>356</v>
      </c>
      <c r="F23724" s="7">
        <v>46202.37434219181</v>
      </c>
      <c r="G23724" s="3" t="s">
        <v>23421</v>
      </c>
    </row>
    <row r="23725">
      <c r="A23725" s="3" t="s">
        <v>40073</v>
      </c>
      <c r="B23725" s="3" t="s">
        <v>19537</v>
      </c>
      <c r="C23725" s="5" t="s">
        <v>221</v>
      </c>
      <c r="D23725" s="3" t="s">
        <v>614</v>
      </c>
      <c r="E23725" s="3" t="s">
        <v>118</v>
      </c>
      <c r="F23725" s="7">
        <v>46202.37781441403</v>
      </c>
      <c r="G23725" s="3" t="s">
        <v>24937</v>
      </c>
    </row>
    <row r="23726">
      <c r="A23726" s="3" t="s">
        <v>40074</v>
      </c>
      <c r="B23726" s="3" t="s">
        <v>19537</v>
      </c>
      <c r="C23726" s="5" t="s">
        <v>614</v>
      </c>
      <c r="D23726" s="3" t="s">
        <v>206</v>
      </c>
      <c r="E23726" s="3" t="s">
        <v>100</v>
      </c>
      <c r="F23726" s="7">
        <v>46202.38128663626</v>
      </c>
      <c r="G23726" s="3" t="s">
        <v>24939</v>
      </c>
    </row>
    <row r="23727">
      <c r="A23727" s="3" t="s">
        <v>40075</v>
      </c>
      <c r="B23727" s="3" t="s">
        <v>19537</v>
      </c>
      <c r="C23727" s="5" t="s">
        <v>206</v>
      </c>
      <c r="D23727" s="3" t="s">
        <v>68</v>
      </c>
      <c r="E23727" s="3" t="s">
        <v>100</v>
      </c>
      <c r="F23727" s="7">
        <v>46202.384758858476</v>
      </c>
      <c r="G23727" s="3" t="s">
        <v>24941</v>
      </c>
    </row>
    <row r="23728">
      <c r="A23728" s="3" t="s">
        <v>40076</v>
      </c>
      <c r="B23728" s="3" t="s">
        <v>19539</v>
      </c>
      <c r="C23728" s="5" t="s">
        <v>45</v>
      </c>
      <c r="D23728" s="3" t="s">
        <v>221</v>
      </c>
      <c r="E23728" s="3" t="s">
        <v>800</v>
      </c>
      <c r="F23728" s="7">
        <v>46202.44551703723</v>
      </c>
      <c r="G23728" s="3" t="s">
        <v>11640</v>
      </c>
    </row>
    <row r="23729">
      <c r="A23729" s="3" t="s">
        <v>40077</v>
      </c>
      <c r="B23729" s="3" t="s">
        <v>19539</v>
      </c>
      <c r="C23729" s="5" t="s">
        <v>221</v>
      </c>
      <c r="D23729" s="3" t="s">
        <v>614</v>
      </c>
      <c r="E23729" s="3" t="s">
        <v>118</v>
      </c>
      <c r="F23729" s="7">
        <v>46202.44898925945</v>
      </c>
      <c r="G23729" s="3" t="s">
        <v>11643</v>
      </c>
    </row>
    <row r="23730">
      <c r="A23730" s="3" t="s">
        <v>40078</v>
      </c>
      <c r="B23730" s="3" t="s">
        <v>19539</v>
      </c>
      <c r="C23730" s="5" t="s">
        <v>614</v>
      </c>
      <c r="D23730" s="3" t="s">
        <v>206</v>
      </c>
      <c r="E23730" s="3" t="s">
        <v>100</v>
      </c>
      <c r="F23730" s="7">
        <v>46202.45246148168</v>
      </c>
      <c r="G23730" s="3" t="s">
        <v>11647</v>
      </c>
    </row>
    <row r="23731">
      <c r="A23731" s="3" t="s">
        <v>40079</v>
      </c>
      <c r="B23731" s="3" t="s">
        <v>19539</v>
      </c>
      <c r="C23731" s="5" t="s">
        <v>206</v>
      </c>
      <c r="D23731" s="3" t="s">
        <v>68</v>
      </c>
      <c r="E23731" s="3" t="s">
        <v>100</v>
      </c>
      <c r="F23731" s="7">
        <v>46202.455933703895</v>
      </c>
      <c r="G23731" s="3" t="s">
        <v>11650</v>
      </c>
    </row>
    <row r="23732">
      <c r="A23732" s="3" t="s">
        <v>40080</v>
      </c>
      <c r="B23732" s="3" t="s">
        <v>19541</v>
      </c>
      <c r="C23732" s="5" t="s">
        <v>45</v>
      </c>
      <c r="D23732" s="3" t="s">
        <v>221</v>
      </c>
      <c r="E23732" s="3" t="s">
        <v>622</v>
      </c>
      <c r="F23732" s="7">
        <v>46202.51669188264</v>
      </c>
      <c r="G23732" s="3" t="s">
        <v>6522</v>
      </c>
    </row>
    <row r="23733">
      <c r="A23733" s="3" t="s">
        <v>40081</v>
      </c>
      <c r="B23733" s="3" t="s">
        <v>19541</v>
      </c>
      <c r="C23733" s="5" t="s">
        <v>221</v>
      </c>
      <c r="D23733" s="3" t="s">
        <v>614</v>
      </c>
      <c r="E23733" s="3" t="s">
        <v>118</v>
      </c>
      <c r="F23733" s="7">
        <v>46202.52016410486</v>
      </c>
      <c r="G23733" s="3" t="s">
        <v>6524</v>
      </c>
    </row>
    <row r="23734">
      <c r="A23734" s="3" t="s">
        <v>40082</v>
      </c>
      <c r="B23734" s="3" t="s">
        <v>19541</v>
      </c>
      <c r="C23734" s="5" t="s">
        <v>614</v>
      </c>
      <c r="D23734" s="3" t="s">
        <v>206</v>
      </c>
      <c r="E23734" s="3" t="s">
        <v>100</v>
      </c>
      <c r="F23734" s="7">
        <v>46202.52363632709</v>
      </c>
      <c r="G23734" s="3" t="s">
        <v>6527</v>
      </c>
    </row>
    <row r="23735">
      <c r="A23735" s="3" t="s">
        <v>40083</v>
      </c>
      <c r="B23735" s="3" t="s">
        <v>19541</v>
      </c>
      <c r="C23735" s="5" t="s">
        <v>206</v>
      </c>
      <c r="D23735" s="3" t="s">
        <v>68</v>
      </c>
      <c r="E23735" s="3" t="s">
        <v>100</v>
      </c>
      <c r="F23735" s="7">
        <v>46202.52710854931</v>
      </c>
      <c r="G23735" s="3" t="s">
        <v>6530</v>
      </c>
    </row>
    <row r="23736">
      <c r="A23736" s="3" t="s">
        <v>40084</v>
      </c>
      <c r="B23736" s="3" t="s">
        <v>19545</v>
      </c>
      <c r="C23736" s="5" t="s">
        <v>45</v>
      </c>
      <c r="D23736" s="3" t="s">
        <v>221</v>
      </c>
      <c r="E23736" s="3" t="s">
        <v>883</v>
      </c>
      <c r="F23736" s="7">
        <v>46202.587866728056</v>
      </c>
      <c r="G23736" s="3" t="s">
        <v>20609</v>
      </c>
    </row>
    <row r="23737">
      <c r="A23737" s="3" t="s">
        <v>40085</v>
      </c>
      <c r="B23737" s="3" t="s">
        <v>19545</v>
      </c>
      <c r="C23737" s="5" t="s">
        <v>221</v>
      </c>
      <c r="D23737" s="3" t="s">
        <v>614</v>
      </c>
      <c r="E23737" s="3" t="s">
        <v>118</v>
      </c>
      <c r="F23737" s="7">
        <v>46202.591338950275</v>
      </c>
      <c r="G23737" s="3" t="s">
        <v>20611</v>
      </c>
    </row>
    <row r="23738">
      <c r="A23738" s="3" t="s">
        <v>40086</v>
      </c>
      <c r="B23738" s="3" t="s">
        <v>19545</v>
      </c>
      <c r="C23738" s="5" t="s">
        <v>614</v>
      </c>
      <c r="D23738" s="3" t="s">
        <v>206</v>
      </c>
      <c r="E23738" s="3" t="s">
        <v>100</v>
      </c>
      <c r="F23738" s="7">
        <v>46202.5948111725</v>
      </c>
      <c r="G23738" s="3" t="s">
        <v>20614</v>
      </c>
    </row>
    <row r="23739">
      <c r="A23739" s="3" t="s">
        <v>40087</v>
      </c>
      <c r="B23739" s="3" t="s">
        <v>19545</v>
      </c>
      <c r="C23739" s="5" t="s">
        <v>206</v>
      </c>
      <c r="D23739" s="3" t="s">
        <v>68</v>
      </c>
      <c r="E23739" s="3" t="s">
        <v>100</v>
      </c>
      <c r="F23739" s="7">
        <v>46202.59828339472</v>
      </c>
      <c r="G23739" s="3" t="s">
        <v>20617</v>
      </c>
    </row>
    <row r="23740">
      <c r="A23740" s="3" t="s">
        <v>40088</v>
      </c>
      <c r="B23740" s="3" t="s">
        <v>19548</v>
      </c>
      <c r="C23740" s="5" t="s">
        <v>45</v>
      </c>
      <c r="D23740" s="3" t="s">
        <v>221</v>
      </c>
      <c r="E23740" s="3" t="s">
        <v>130</v>
      </c>
      <c r="F23740" s="7">
        <v>46202.659041573475</v>
      </c>
      <c r="G23740" s="3" t="s">
        <v>24943</v>
      </c>
    </row>
    <row r="23741">
      <c r="A23741" s="3" t="s">
        <v>40089</v>
      </c>
      <c r="B23741" s="3" t="s">
        <v>19548</v>
      </c>
      <c r="C23741" s="5" t="s">
        <v>221</v>
      </c>
      <c r="D23741" s="3" t="s">
        <v>614</v>
      </c>
      <c r="E23741" s="3" t="s">
        <v>118</v>
      </c>
      <c r="F23741" s="7">
        <v>46202.662513795694</v>
      </c>
      <c r="G23741" s="3" t="s">
        <v>24945</v>
      </c>
    </row>
    <row r="23742">
      <c r="A23742" s="3" t="s">
        <v>40090</v>
      </c>
      <c r="B23742" s="3" t="s">
        <v>19548</v>
      </c>
      <c r="C23742" s="5" t="s">
        <v>614</v>
      </c>
      <c r="D23742" s="3" t="s">
        <v>206</v>
      </c>
      <c r="E23742" s="3" t="s">
        <v>100</v>
      </c>
      <c r="F23742" s="7">
        <v>46202.66598601792</v>
      </c>
      <c r="G23742" s="3" t="s">
        <v>24947</v>
      </c>
    </row>
    <row r="23743">
      <c r="A23743" s="3" t="s">
        <v>40091</v>
      </c>
      <c r="B23743" s="3" t="s">
        <v>19548</v>
      </c>
      <c r="C23743" s="5" t="s">
        <v>206</v>
      </c>
      <c r="D23743" s="3" t="s">
        <v>68</v>
      </c>
      <c r="E23743" s="3" t="s">
        <v>100</v>
      </c>
      <c r="F23743" s="7">
        <v>46202.66945824014</v>
      </c>
      <c r="G23743" s="3" t="s">
        <v>24949</v>
      </c>
    </row>
    <row r="23744">
      <c r="A23744" s="3" t="s">
        <v>40092</v>
      </c>
      <c r="B23744" s="3" t="s">
        <v>19552</v>
      </c>
      <c r="C23744" s="5" t="s">
        <v>45</v>
      </c>
      <c r="D23744" s="3" t="s">
        <v>221</v>
      </c>
      <c r="E23744" s="3" t="s">
        <v>168</v>
      </c>
      <c r="F23744" s="7">
        <v>46202.730216418895</v>
      </c>
      <c r="G23744" s="3" t="s">
        <v>20479</v>
      </c>
    </row>
    <row r="23745">
      <c r="A23745" s="3" t="s">
        <v>40093</v>
      </c>
      <c r="B23745" s="3" t="s">
        <v>19552</v>
      </c>
      <c r="C23745" s="5" t="s">
        <v>221</v>
      </c>
      <c r="D23745" s="3" t="s">
        <v>181</v>
      </c>
      <c r="E23745" s="3" t="s">
        <v>118</v>
      </c>
      <c r="F23745" s="7">
        <v>46202.733688641114</v>
      </c>
      <c r="G23745" s="3" t="s">
        <v>40094</v>
      </c>
    </row>
    <row r="23746">
      <c r="A23746" s="3" t="s">
        <v>40095</v>
      </c>
      <c r="B23746" s="3" t="s">
        <v>19555</v>
      </c>
      <c r="C23746" s="5" t="s">
        <v>45</v>
      </c>
      <c r="D23746" s="3" t="s">
        <v>221</v>
      </c>
      <c r="E23746" s="3" t="s">
        <v>165</v>
      </c>
      <c r="F23746" s="7">
        <v>46202.8013912643</v>
      </c>
      <c r="G23746" s="3" t="s">
        <v>8240</v>
      </c>
    </row>
    <row r="23747">
      <c r="A23747" s="3" t="s">
        <v>40096</v>
      </c>
      <c r="B23747" s="3" t="s">
        <v>19555</v>
      </c>
      <c r="C23747" s="5" t="s">
        <v>221</v>
      </c>
      <c r="D23747" s="3" t="s">
        <v>614</v>
      </c>
      <c r="E23747" s="3" t="s">
        <v>118</v>
      </c>
      <c r="F23747" s="7">
        <v>46202.80486348652</v>
      </c>
      <c r="G23747" s="3" t="s">
        <v>8243</v>
      </c>
    </row>
    <row r="23748">
      <c r="A23748" s="3" t="s">
        <v>40097</v>
      </c>
      <c r="B23748" s="3" t="s">
        <v>19555</v>
      </c>
      <c r="C23748" s="5" t="s">
        <v>614</v>
      </c>
      <c r="D23748" s="3" t="s">
        <v>206</v>
      </c>
      <c r="E23748" s="3" t="s">
        <v>100</v>
      </c>
      <c r="F23748" s="7">
        <v>46202.808335708745</v>
      </c>
      <c r="G23748" s="3" t="s">
        <v>8246</v>
      </c>
    </row>
    <row r="23749">
      <c r="A23749" s="3" t="s">
        <v>40098</v>
      </c>
      <c r="B23749" s="3" t="s">
        <v>19555</v>
      </c>
      <c r="C23749" s="5" t="s">
        <v>206</v>
      </c>
      <c r="D23749" s="3" t="s">
        <v>68</v>
      </c>
      <c r="E23749" s="3" t="s">
        <v>100</v>
      </c>
      <c r="F23749" s="7">
        <v>46202.811807930964</v>
      </c>
      <c r="G23749" s="3" t="s">
        <v>8249</v>
      </c>
    </row>
    <row r="23750">
      <c r="A23750" s="3" t="s">
        <v>40099</v>
      </c>
      <c r="B23750" s="3" t="s">
        <v>19558</v>
      </c>
      <c r="C23750" s="5" t="s">
        <v>45</v>
      </c>
      <c r="D23750" s="3" t="s">
        <v>221</v>
      </c>
      <c r="E23750" s="3" t="s">
        <v>561</v>
      </c>
      <c r="F23750" s="7">
        <v>46202.87256610972</v>
      </c>
      <c r="G23750" s="3" t="s">
        <v>8850</v>
      </c>
    </row>
    <row r="23751">
      <c r="A23751" s="3" t="s">
        <v>40100</v>
      </c>
      <c r="B23751" s="3" t="s">
        <v>19558</v>
      </c>
      <c r="C23751" s="5" t="s">
        <v>221</v>
      </c>
      <c r="D23751" s="3" t="s">
        <v>614</v>
      </c>
      <c r="E23751" s="3" t="s">
        <v>118</v>
      </c>
      <c r="F23751" s="7">
        <v>46202.87603833194</v>
      </c>
      <c r="G23751" s="3" t="s">
        <v>8853</v>
      </c>
    </row>
    <row r="23752">
      <c r="A23752" s="3" t="s">
        <v>40101</v>
      </c>
      <c r="B23752" s="3" t="s">
        <v>19558</v>
      </c>
      <c r="C23752" s="5" t="s">
        <v>614</v>
      </c>
      <c r="D23752" s="3" t="s">
        <v>206</v>
      </c>
      <c r="E23752" s="3" t="s">
        <v>100</v>
      </c>
      <c r="F23752" s="7">
        <v>46202.879510554165</v>
      </c>
      <c r="G23752" s="3" t="s">
        <v>8856</v>
      </c>
    </row>
    <row r="23753">
      <c r="A23753" s="3" t="s">
        <v>40102</v>
      </c>
      <c r="B23753" s="3" t="s">
        <v>19558</v>
      </c>
      <c r="C23753" s="5" t="s">
        <v>206</v>
      </c>
      <c r="D23753" s="3" t="s">
        <v>68</v>
      </c>
      <c r="E23753" s="3" t="s">
        <v>100</v>
      </c>
      <c r="F23753" s="7">
        <v>46202.882982776384</v>
      </c>
      <c r="G23753" s="3" t="s">
        <v>8859</v>
      </c>
    </row>
    <row r="23754">
      <c r="A23754" s="3" t="s">
        <v>40103</v>
      </c>
      <c r="B23754" s="3" t="s">
        <v>19562</v>
      </c>
      <c r="C23754" s="5" t="s">
        <v>45</v>
      </c>
      <c r="D23754" s="3" t="s">
        <v>221</v>
      </c>
      <c r="E23754" s="3" t="s">
        <v>224</v>
      </c>
      <c r="F23754" s="7">
        <v>46202.94374095514</v>
      </c>
      <c r="G23754" s="3" t="s">
        <v>15998</v>
      </c>
    </row>
    <row r="23755">
      <c r="A23755" s="3" t="s">
        <v>40104</v>
      </c>
      <c r="B23755" s="3" t="s">
        <v>19562</v>
      </c>
      <c r="C23755" s="5" t="s">
        <v>221</v>
      </c>
      <c r="D23755" s="3" t="s">
        <v>614</v>
      </c>
      <c r="E23755" s="3" t="s">
        <v>118</v>
      </c>
      <c r="F23755" s="7">
        <v>46202.94721317736</v>
      </c>
      <c r="G23755" s="3" t="s">
        <v>16001</v>
      </c>
    </row>
    <row r="23756">
      <c r="A23756" s="3" t="s">
        <v>40105</v>
      </c>
      <c r="B23756" s="3" t="s">
        <v>19562</v>
      </c>
      <c r="C23756" s="5" t="s">
        <v>614</v>
      </c>
      <c r="D23756" s="3" t="s">
        <v>206</v>
      </c>
      <c r="E23756" s="3" t="s">
        <v>100</v>
      </c>
      <c r="F23756" s="7">
        <v>46202.950685399584</v>
      </c>
      <c r="G23756" s="3" t="s">
        <v>16003</v>
      </c>
    </row>
    <row r="23757">
      <c r="A23757" s="3" t="s">
        <v>40106</v>
      </c>
      <c r="B23757" s="3" t="s">
        <v>19562</v>
      </c>
      <c r="C23757" s="5" t="s">
        <v>206</v>
      </c>
      <c r="D23757" s="3" t="s">
        <v>68</v>
      </c>
      <c r="E23757" s="3" t="s">
        <v>100</v>
      </c>
      <c r="F23757" s="7">
        <v>46202.9541576218</v>
      </c>
      <c r="G23757" s="3" t="s">
        <v>16006</v>
      </c>
    </row>
    <row r="23758">
      <c r="A23758" s="3" t="s">
        <v>40107</v>
      </c>
      <c r="B23758" s="3" t="s">
        <v>19564</v>
      </c>
      <c r="C23758" s="5" t="s">
        <v>45</v>
      </c>
      <c r="D23758" s="3" t="s">
        <v>221</v>
      </c>
      <c r="E23758" s="3" t="s">
        <v>544</v>
      </c>
      <c r="F23758" s="7">
        <v>46203.01491580055</v>
      </c>
      <c r="G23758" s="3" t="s">
        <v>6533</v>
      </c>
    </row>
    <row r="23759">
      <c r="A23759" s="3" t="s">
        <v>40108</v>
      </c>
      <c r="B23759" s="3" t="s">
        <v>19564</v>
      </c>
      <c r="C23759" s="5" t="s">
        <v>221</v>
      </c>
      <c r="D23759" s="3" t="s">
        <v>614</v>
      </c>
      <c r="E23759" s="3" t="s">
        <v>118</v>
      </c>
      <c r="F23759" s="7">
        <v>46203.01838802277</v>
      </c>
      <c r="G23759" s="3" t="s">
        <v>6536</v>
      </c>
    </row>
    <row r="23760">
      <c r="A23760" s="3" t="s">
        <v>40109</v>
      </c>
      <c r="B23760" s="3" t="s">
        <v>19564</v>
      </c>
      <c r="C23760" s="5" t="s">
        <v>614</v>
      </c>
      <c r="D23760" s="3" t="s">
        <v>206</v>
      </c>
      <c r="E23760" s="3" t="s">
        <v>100</v>
      </c>
      <c r="F23760" s="7">
        <v>46203.021860245</v>
      </c>
      <c r="G23760" s="3" t="s">
        <v>6539</v>
      </c>
    </row>
    <row r="23761">
      <c r="A23761" s="3" t="s">
        <v>40110</v>
      </c>
      <c r="B23761" s="3" t="s">
        <v>19564</v>
      </c>
      <c r="C23761" s="5" t="s">
        <v>206</v>
      </c>
      <c r="D23761" s="3" t="s">
        <v>68</v>
      </c>
      <c r="E23761" s="3" t="s">
        <v>100</v>
      </c>
      <c r="F23761" s="7">
        <v>46203.025332467216</v>
      </c>
      <c r="G23761" s="3" t="s">
        <v>6542</v>
      </c>
    </row>
    <row r="23762">
      <c r="A23762" s="3" t="s">
        <v>40111</v>
      </c>
      <c r="B23762" s="3" t="s">
        <v>19567</v>
      </c>
      <c r="C23762" s="5" t="s">
        <v>45</v>
      </c>
      <c r="D23762" s="3" t="s">
        <v>221</v>
      </c>
      <c r="E23762" s="3" t="s">
        <v>640</v>
      </c>
      <c r="F23762" s="7">
        <v>46203.086090645964</v>
      </c>
      <c r="G23762" s="3" t="s">
        <v>6545</v>
      </c>
    </row>
    <row r="23763">
      <c r="A23763" s="3" t="s">
        <v>40112</v>
      </c>
      <c r="B23763" s="3" t="s">
        <v>19567</v>
      </c>
      <c r="C23763" s="5" t="s">
        <v>221</v>
      </c>
      <c r="D23763" s="3" t="s">
        <v>614</v>
      </c>
      <c r="E23763" s="3" t="s">
        <v>118</v>
      </c>
      <c r="F23763" s="7">
        <v>46203.08956286818</v>
      </c>
      <c r="G23763" s="3" t="s">
        <v>6548</v>
      </c>
    </row>
    <row r="23764">
      <c r="A23764" s="3" t="s">
        <v>40113</v>
      </c>
      <c r="B23764" s="3" t="s">
        <v>19567</v>
      </c>
      <c r="C23764" s="5" t="s">
        <v>614</v>
      </c>
      <c r="D23764" s="3" t="s">
        <v>206</v>
      </c>
      <c r="E23764" s="3" t="s">
        <v>100</v>
      </c>
      <c r="F23764" s="7">
        <v>46203.09303509041</v>
      </c>
      <c r="G23764" s="3" t="s">
        <v>6550</v>
      </c>
    </row>
    <row r="23765">
      <c r="A23765" s="3" t="s">
        <v>40114</v>
      </c>
      <c r="B23765" s="3" t="s">
        <v>19567</v>
      </c>
      <c r="C23765" s="5" t="s">
        <v>206</v>
      </c>
      <c r="D23765" s="3" t="s">
        <v>68</v>
      </c>
      <c r="E23765" s="3" t="s">
        <v>100</v>
      </c>
      <c r="F23765" s="7">
        <v>46203.09650731263</v>
      </c>
      <c r="G23765" s="3" t="s">
        <v>6553</v>
      </c>
    </row>
    <row r="23766">
      <c r="A23766" s="3" t="s">
        <v>40115</v>
      </c>
      <c r="B23766" s="3" t="s">
        <v>19569</v>
      </c>
      <c r="C23766" s="5" t="s">
        <v>45</v>
      </c>
      <c r="D23766" s="3" t="s">
        <v>221</v>
      </c>
      <c r="E23766" s="3" t="s">
        <v>702</v>
      </c>
      <c r="F23766" s="7">
        <v>46203.15726549138</v>
      </c>
      <c r="G23766" s="3" t="s">
        <v>34229</v>
      </c>
    </row>
    <row r="23767">
      <c r="A23767" s="3" t="s">
        <v>40116</v>
      </c>
      <c r="B23767" s="3" t="s">
        <v>19569</v>
      </c>
      <c r="C23767" s="5" t="s">
        <v>221</v>
      </c>
      <c r="D23767" s="3" t="s">
        <v>614</v>
      </c>
      <c r="E23767" s="3" t="s">
        <v>118</v>
      </c>
      <c r="F23767" s="7">
        <v>46203.1607377136</v>
      </c>
      <c r="G23767" s="3" t="s">
        <v>34231</v>
      </c>
    </row>
    <row r="23768">
      <c r="A23768" s="3" t="s">
        <v>40117</v>
      </c>
      <c r="B23768" s="3" t="s">
        <v>19569</v>
      </c>
      <c r="C23768" s="5" t="s">
        <v>614</v>
      </c>
      <c r="D23768" s="3" t="s">
        <v>206</v>
      </c>
      <c r="E23768" s="3" t="s">
        <v>100</v>
      </c>
      <c r="F23768" s="7">
        <v>46203.16420993583</v>
      </c>
      <c r="G23768" s="3" t="s">
        <v>34233</v>
      </c>
    </row>
    <row r="23769">
      <c r="A23769" s="3" t="s">
        <v>40118</v>
      </c>
      <c r="B23769" s="3" t="s">
        <v>19569</v>
      </c>
      <c r="C23769" s="5" t="s">
        <v>206</v>
      </c>
      <c r="D23769" s="3" t="s">
        <v>68</v>
      </c>
      <c r="E23769" s="3" t="s">
        <v>100</v>
      </c>
      <c r="F23769" s="7">
        <v>46203.16768215805</v>
      </c>
      <c r="G23769" s="3" t="s">
        <v>34235</v>
      </c>
    </row>
    <row r="23770">
      <c r="A23770" s="3" t="s">
        <v>40119</v>
      </c>
      <c r="B23770" s="3" t="s">
        <v>19571</v>
      </c>
      <c r="C23770" s="5" t="s">
        <v>45</v>
      </c>
      <c r="D23770" s="3" t="s">
        <v>221</v>
      </c>
      <c r="E23770" s="3" t="s">
        <v>502</v>
      </c>
      <c r="F23770" s="7">
        <v>46203.228440336796</v>
      </c>
      <c r="G23770" s="3" t="s">
        <v>6579</v>
      </c>
    </row>
    <row r="23771">
      <c r="A23771" s="3" t="s">
        <v>40120</v>
      </c>
      <c r="B23771" s="3" t="s">
        <v>19571</v>
      </c>
      <c r="C23771" s="5" t="s">
        <v>221</v>
      </c>
      <c r="D23771" s="3" t="s">
        <v>614</v>
      </c>
      <c r="E23771" s="3" t="s">
        <v>118</v>
      </c>
      <c r="F23771" s="7">
        <v>46203.231912559015</v>
      </c>
      <c r="G23771" s="3" t="s">
        <v>6582</v>
      </c>
    </row>
    <row r="23772">
      <c r="A23772" s="3" t="s">
        <v>40121</v>
      </c>
      <c r="B23772" s="3" t="s">
        <v>19571</v>
      </c>
      <c r="C23772" s="5" t="s">
        <v>614</v>
      </c>
      <c r="D23772" s="3" t="s">
        <v>206</v>
      </c>
      <c r="E23772" s="3" t="s">
        <v>100</v>
      </c>
      <c r="F23772" s="7">
        <v>46203.23538478124</v>
      </c>
      <c r="G23772" s="3" t="s">
        <v>6585</v>
      </c>
    </row>
    <row r="23773">
      <c r="A23773" s="3" t="s">
        <v>40122</v>
      </c>
      <c r="B23773" s="3" t="s">
        <v>19571</v>
      </c>
      <c r="C23773" s="5" t="s">
        <v>206</v>
      </c>
      <c r="D23773" s="3" t="s">
        <v>68</v>
      </c>
      <c r="E23773" s="3" t="s">
        <v>100</v>
      </c>
      <c r="F23773" s="7">
        <v>46203.23885700346</v>
      </c>
      <c r="G23773" s="3" t="s">
        <v>6588</v>
      </c>
    </row>
    <row r="23774">
      <c r="A23774" s="3" t="s">
        <v>40123</v>
      </c>
      <c r="B23774" s="3" t="s">
        <v>19573</v>
      </c>
      <c r="C23774" s="5" t="s">
        <v>45</v>
      </c>
      <c r="D23774" s="3" t="s">
        <v>221</v>
      </c>
      <c r="E23774" s="3" t="s">
        <v>998</v>
      </c>
      <c r="F23774" s="7">
        <v>46203.29961518221</v>
      </c>
      <c r="G23774" s="3" t="s">
        <v>20453</v>
      </c>
    </row>
    <row r="23775">
      <c r="A23775" s="3" t="s">
        <v>40124</v>
      </c>
      <c r="B23775" s="3" t="s">
        <v>19573</v>
      </c>
      <c r="C23775" s="5" t="s">
        <v>221</v>
      </c>
      <c r="D23775" s="3" t="s">
        <v>614</v>
      </c>
      <c r="E23775" s="3" t="s">
        <v>118</v>
      </c>
      <c r="F23775" s="7">
        <v>46203.30308740443</v>
      </c>
      <c r="G23775" s="3" t="s">
        <v>20456</v>
      </c>
    </row>
    <row r="23776">
      <c r="A23776" s="3" t="s">
        <v>40125</v>
      </c>
      <c r="B23776" s="3" t="s">
        <v>19573</v>
      </c>
      <c r="C23776" s="5" t="s">
        <v>614</v>
      </c>
      <c r="D23776" s="3" t="s">
        <v>206</v>
      </c>
      <c r="E23776" s="3" t="s">
        <v>100</v>
      </c>
      <c r="F23776" s="7">
        <v>46203.30655962665</v>
      </c>
      <c r="G23776" s="3" t="s">
        <v>20458</v>
      </c>
    </row>
    <row r="23777">
      <c r="A23777" s="3" t="s">
        <v>40126</v>
      </c>
      <c r="B23777" s="3" t="s">
        <v>19573</v>
      </c>
      <c r="C23777" s="5" t="s">
        <v>206</v>
      </c>
      <c r="D23777" s="3" t="s">
        <v>68</v>
      </c>
      <c r="E23777" s="3" t="s">
        <v>100</v>
      </c>
      <c r="F23777" s="7">
        <v>46203.31003184887</v>
      </c>
      <c r="G23777" s="3" t="s">
        <v>20461</v>
      </c>
    </row>
    <row r="23778">
      <c r="A23778" s="3" t="s">
        <v>40127</v>
      </c>
      <c r="B23778" s="3" t="s">
        <v>19575</v>
      </c>
      <c r="C23778" s="5" t="s">
        <v>45</v>
      </c>
      <c r="D23778" s="3" t="s">
        <v>221</v>
      </c>
      <c r="E23778" s="3" t="s">
        <v>920</v>
      </c>
      <c r="F23778" s="7">
        <v>46203.37079002763</v>
      </c>
      <c r="G23778" s="3" t="s">
        <v>24853</v>
      </c>
    </row>
    <row r="23779">
      <c r="A23779" s="3" t="s">
        <v>40128</v>
      </c>
      <c r="B23779" s="3" t="s">
        <v>19575</v>
      </c>
      <c r="C23779" s="5" t="s">
        <v>221</v>
      </c>
      <c r="D23779" s="3" t="s">
        <v>614</v>
      </c>
      <c r="E23779" s="3" t="s">
        <v>118</v>
      </c>
      <c r="F23779" s="7">
        <v>46203.37426224985</v>
      </c>
      <c r="G23779" s="3" t="s">
        <v>24855</v>
      </c>
    </row>
    <row r="23780">
      <c r="A23780" s="3" t="s">
        <v>40129</v>
      </c>
      <c r="B23780" s="3" t="s">
        <v>19575</v>
      </c>
      <c r="C23780" s="5" t="s">
        <v>614</v>
      </c>
      <c r="D23780" s="3" t="s">
        <v>206</v>
      </c>
      <c r="E23780" s="3" t="s">
        <v>100</v>
      </c>
      <c r="F23780" s="7">
        <v>46203.37773447207</v>
      </c>
      <c r="G23780" s="3" t="s">
        <v>24857</v>
      </c>
    </row>
    <row r="23781">
      <c r="A23781" s="3" t="s">
        <v>40130</v>
      </c>
      <c r="B23781" s="3" t="s">
        <v>19575</v>
      </c>
      <c r="C23781" s="5" t="s">
        <v>206</v>
      </c>
      <c r="D23781" s="3" t="s">
        <v>68</v>
      </c>
      <c r="E23781" s="3" t="s">
        <v>100</v>
      </c>
      <c r="F23781" s="7">
        <v>46203.38120669429</v>
      </c>
      <c r="G23781" s="3" t="s">
        <v>24859</v>
      </c>
    </row>
    <row r="23782">
      <c r="A23782" s="3" t="s">
        <v>40131</v>
      </c>
      <c r="B23782" s="3" t="s">
        <v>19577</v>
      </c>
      <c r="C23782" s="5" t="s">
        <v>45</v>
      </c>
      <c r="D23782" s="3" t="s">
        <v>221</v>
      </c>
      <c r="E23782" s="3" t="s">
        <v>406</v>
      </c>
      <c r="F23782" s="7">
        <v>46203.44196487304</v>
      </c>
      <c r="G23782" s="3" t="s">
        <v>36248</v>
      </c>
    </row>
    <row r="23783">
      <c r="A23783" s="3" t="s">
        <v>40132</v>
      </c>
      <c r="B23783" s="3" t="s">
        <v>19577</v>
      </c>
      <c r="C23783" s="5" t="s">
        <v>221</v>
      </c>
      <c r="D23783" s="3" t="s">
        <v>614</v>
      </c>
      <c r="E23783" s="3" t="s">
        <v>118</v>
      </c>
      <c r="F23783" s="7">
        <v>46203.44543709526</v>
      </c>
      <c r="G23783" s="3" t="s">
        <v>36311</v>
      </c>
    </row>
    <row r="23784">
      <c r="A23784" s="3" t="s">
        <v>40133</v>
      </c>
      <c r="B23784" s="3" t="s">
        <v>19577</v>
      </c>
      <c r="C23784" s="5" t="s">
        <v>614</v>
      </c>
      <c r="D23784" s="3" t="s">
        <v>206</v>
      </c>
      <c r="E23784" s="3" t="s">
        <v>100</v>
      </c>
      <c r="F23784" s="7">
        <v>46203.448909317485</v>
      </c>
      <c r="G23784" s="3" t="s">
        <v>36313</v>
      </c>
    </row>
    <row r="23785">
      <c r="A23785" s="3" t="s">
        <v>40134</v>
      </c>
      <c r="B23785" s="3" t="s">
        <v>19577</v>
      </c>
      <c r="C23785" s="5" t="s">
        <v>206</v>
      </c>
      <c r="D23785" s="3" t="s">
        <v>68</v>
      </c>
      <c r="E23785" s="3" t="s">
        <v>100</v>
      </c>
      <c r="F23785" s="7">
        <v>46203.452381539704</v>
      </c>
      <c r="G23785" s="3" t="s">
        <v>36315</v>
      </c>
    </row>
    <row r="23786">
      <c r="A23786" s="3" t="s">
        <v>40135</v>
      </c>
      <c r="B23786" s="3" t="s">
        <v>19580</v>
      </c>
      <c r="C23786" s="5" t="s">
        <v>45</v>
      </c>
      <c r="D23786" s="3" t="s">
        <v>221</v>
      </c>
      <c r="E23786" s="3" t="s">
        <v>296</v>
      </c>
      <c r="F23786" s="7">
        <v>46203.51313971845</v>
      </c>
      <c r="G23786" s="3" t="s">
        <v>18572</v>
      </c>
    </row>
    <row r="23787">
      <c r="A23787" s="3" t="s">
        <v>40136</v>
      </c>
      <c r="B23787" s="3" t="s">
        <v>19580</v>
      </c>
      <c r="C23787" s="5" t="s">
        <v>221</v>
      </c>
      <c r="D23787" s="3" t="s">
        <v>614</v>
      </c>
      <c r="E23787" s="3" t="s">
        <v>118</v>
      </c>
      <c r="F23787" s="7">
        <v>46203.51661194067</v>
      </c>
      <c r="G23787" s="3" t="s">
        <v>18575</v>
      </c>
    </row>
    <row r="23788">
      <c r="A23788" s="3" t="s">
        <v>40137</v>
      </c>
      <c r="B23788" s="3" t="s">
        <v>19580</v>
      </c>
      <c r="C23788" s="5" t="s">
        <v>614</v>
      </c>
      <c r="D23788" s="3" t="s">
        <v>206</v>
      </c>
      <c r="E23788" s="3" t="s">
        <v>100</v>
      </c>
      <c r="F23788" s="7">
        <v>46203.5200841629</v>
      </c>
      <c r="G23788" s="3" t="s">
        <v>18578</v>
      </c>
    </row>
    <row r="23789">
      <c r="A23789" s="3" t="s">
        <v>40138</v>
      </c>
      <c r="B23789" s="3" t="s">
        <v>19580</v>
      </c>
      <c r="C23789" s="5" t="s">
        <v>206</v>
      </c>
      <c r="D23789" s="3" t="s">
        <v>68</v>
      </c>
      <c r="E23789" s="3" t="s">
        <v>100</v>
      </c>
      <c r="F23789" s="7">
        <v>46203.52355638512</v>
      </c>
      <c r="G23789" s="3" t="s">
        <v>18581</v>
      </c>
    </row>
    <row r="23790">
      <c r="A23790" s="3" t="s">
        <v>40139</v>
      </c>
      <c r="B23790" s="3" t="s">
        <v>19582</v>
      </c>
      <c r="C23790" s="5" t="s">
        <v>45</v>
      </c>
      <c r="D23790" s="3" t="s">
        <v>221</v>
      </c>
      <c r="E23790" s="3" t="s">
        <v>502</v>
      </c>
      <c r="F23790" s="7">
        <v>46203.58431456387</v>
      </c>
      <c r="G23790" s="3" t="s">
        <v>25071</v>
      </c>
    </row>
    <row r="23791">
      <c r="A23791" s="3" t="s">
        <v>40140</v>
      </c>
      <c r="B23791" s="3" t="s">
        <v>19582</v>
      </c>
      <c r="C23791" s="5" t="s">
        <v>221</v>
      </c>
      <c r="D23791" s="3" t="s">
        <v>614</v>
      </c>
      <c r="E23791" s="3" t="s">
        <v>118</v>
      </c>
      <c r="F23791" s="7">
        <v>46203.58778678609</v>
      </c>
      <c r="G23791" s="3" t="s">
        <v>25073</v>
      </c>
    </row>
    <row r="23792">
      <c r="A23792" s="3" t="s">
        <v>40141</v>
      </c>
      <c r="B23792" s="3" t="s">
        <v>19582</v>
      </c>
      <c r="C23792" s="5" t="s">
        <v>614</v>
      </c>
      <c r="D23792" s="3" t="s">
        <v>206</v>
      </c>
      <c r="E23792" s="3" t="s">
        <v>100</v>
      </c>
      <c r="F23792" s="7">
        <v>46203.59125900832</v>
      </c>
      <c r="G23792" s="3" t="s">
        <v>25075</v>
      </c>
    </row>
    <row r="23793">
      <c r="A23793" s="3" t="s">
        <v>40142</v>
      </c>
      <c r="B23793" s="3" t="s">
        <v>19582</v>
      </c>
      <c r="C23793" s="5" t="s">
        <v>206</v>
      </c>
      <c r="D23793" s="3" t="s">
        <v>68</v>
      </c>
      <c r="E23793" s="3" t="s">
        <v>100</v>
      </c>
      <c r="F23793" s="7">
        <v>46203.594731230536</v>
      </c>
      <c r="G23793" s="3" t="s">
        <v>25077</v>
      </c>
    </row>
    <row r="23794">
      <c r="A23794" s="3" t="s">
        <v>40143</v>
      </c>
      <c r="B23794" s="3" t="s">
        <v>19585</v>
      </c>
      <c r="C23794" s="5" t="s">
        <v>45</v>
      </c>
      <c r="D23794" s="3" t="s">
        <v>221</v>
      </c>
      <c r="E23794" s="3" t="s">
        <v>197</v>
      </c>
      <c r="F23794" s="7">
        <v>46203.655489409284</v>
      </c>
      <c r="G23794" s="3" t="s">
        <v>5642</v>
      </c>
    </row>
    <row r="23795">
      <c r="A23795" s="3" t="s">
        <v>40144</v>
      </c>
      <c r="B23795" s="3" t="s">
        <v>19585</v>
      </c>
      <c r="C23795" s="5" t="s">
        <v>221</v>
      </c>
      <c r="D23795" s="3" t="s">
        <v>614</v>
      </c>
      <c r="E23795" s="3" t="s">
        <v>118</v>
      </c>
      <c r="F23795" s="7">
        <v>46203.6589616315</v>
      </c>
      <c r="G23795" s="3" t="s">
        <v>5645</v>
      </c>
    </row>
    <row r="23796">
      <c r="A23796" s="3" t="s">
        <v>40145</v>
      </c>
      <c r="B23796" s="3" t="s">
        <v>19585</v>
      </c>
      <c r="C23796" s="5" t="s">
        <v>614</v>
      </c>
      <c r="D23796" s="3" t="s">
        <v>206</v>
      </c>
      <c r="E23796" s="3" t="s">
        <v>100</v>
      </c>
      <c r="F23796" s="7">
        <v>46203.66243385373</v>
      </c>
      <c r="G23796" s="3" t="s">
        <v>5648</v>
      </c>
    </row>
    <row r="23797">
      <c r="A23797" s="3" t="s">
        <v>40146</v>
      </c>
      <c r="B23797" s="3" t="s">
        <v>19585</v>
      </c>
      <c r="C23797" s="5" t="s">
        <v>206</v>
      </c>
      <c r="D23797" s="3" t="s">
        <v>68</v>
      </c>
      <c r="E23797" s="3" t="s">
        <v>100</v>
      </c>
      <c r="F23797" s="7">
        <v>46203.66590607595</v>
      </c>
      <c r="G23797" s="3" t="s">
        <v>5651</v>
      </c>
    </row>
    <row r="23798">
      <c r="A23798" s="3" t="s">
        <v>40147</v>
      </c>
      <c r="B23798" s="3" t="s">
        <v>19588</v>
      </c>
      <c r="C23798" s="5" t="s">
        <v>45</v>
      </c>
      <c r="D23798" s="3" t="s">
        <v>221</v>
      </c>
      <c r="E23798" s="3" t="s">
        <v>256</v>
      </c>
      <c r="F23798" s="7">
        <v>46203.7266642547</v>
      </c>
      <c r="G23798" s="3" t="s">
        <v>25813</v>
      </c>
    </row>
    <row r="23799">
      <c r="A23799" s="3" t="s">
        <v>40148</v>
      </c>
      <c r="B23799" s="3" t="s">
        <v>19588</v>
      </c>
      <c r="C23799" s="5" t="s">
        <v>221</v>
      </c>
      <c r="D23799" s="3" t="s">
        <v>614</v>
      </c>
      <c r="E23799" s="3" t="s">
        <v>118</v>
      </c>
      <c r="F23799" s="7">
        <v>46203.730136476916</v>
      </c>
      <c r="G23799" s="3" t="s">
        <v>27432</v>
      </c>
    </row>
    <row r="23800">
      <c r="A23800" s="3" t="s">
        <v>40149</v>
      </c>
      <c r="B23800" s="3" t="s">
        <v>19588</v>
      </c>
      <c r="C23800" s="5" t="s">
        <v>614</v>
      </c>
      <c r="D23800" s="3" t="s">
        <v>206</v>
      </c>
      <c r="E23800" s="3" t="s">
        <v>100</v>
      </c>
      <c r="F23800" s="7">
        <v>46203.73360869914</v>
      </c>
      <c r="G23800" s="3" t="s">
        <v>27434</v>
      </c>
    </row>
    <row r="23801">
      <c r="A23801" s="3" t="s">
        <v>40150</v>
      </c>
      <c r="B23801" s="3" t="s">
        <v>19588</v>
      </c>
      <c r="C23801" s="5" t="s">
        <v>206</v>
      </c>
      <c r="D23801" s="3" t="s">
        <v>68</v>
      </c>
      <c r="E23801" s="3" t="s">
        <v>100</v>
      </c>
      <c r="F23801" s="7">
        <v>46203.73708092136</v>
      </c>
      <c r="G23801" s="3" t="s">
        <v>27436</v>
      </c>
    </row>
    <row r="23802">
      <c r="A23802" s="3" t="s">
        <v>40151</v>
      </c>
      <c r="B23802" s="3" t="s">
        <v>19592</v>
      </c>
      <c r="C23802" s="5" t="s">
        <v>45</v>
      </c>
      <c r="D23802" s="3" t="s">
        <v>221</v>
      </c>
      <c r="E23802" s="3" t="s">
        <v>713</v>
      </c>
      <c r="F23802" s="7">
        <v>46203.797839100116</v>
      </c>
      <c r="G23802" s="3" t="s">
        <v>12106</v>
      </c>
    </row>
    <row r="23803">
      <c r="A23803" s="3" t="s">
        <v>40152</v>
      </c>
      <c r="B23803" s="3" t="s">
        <v>19592</v>
      </c>
      <c r="C23803" s="5" t="s">
        <v>221</v>
      </c>
      <c r="D23803" s="3" t="s">
        <v>614</v>
      </c>
      <c r="E23803" s="3" t="s">
        <v>118</v>
      </c>
      <c r="F23803" s="7">
        <v>46203.801311322335</v>
      </c>
      <c r="G23803" s="3" t="s">
        <v>20622</v>
      </c>
    </row>
    <row r="23804">
      <c r="A23804" s="3" t="s">
        <v>40153</v>
      </c>
      <c r="B23804" s="3" t="s">
        <v>19592</v>
      </c>
      <c r="C23804" s="5" t="s">
        <v>614</v>
      </c>
      <c r="D23804" s="3" t="s">
        <v>206</v>
      </c>
      <c r="E23804" s="3" t="s">
        <v>100</v>
      </c>
      <c r="F23804" s="7">
        <v>46203.80478354456</v>
      </c>
      <c r="G23804" s="3" t="s">
        <v>20625</v>
      </c>
    </row>
    <row r="23805">
      <c r="A23805" s="3" t="s">
        <v>40154</v>
      </c>
      <c r="B23805" s="3" t="s">
        <v>19592</v>
      </c>
      <c r="C23805" s="5" t="s">
        <v>206</v>
      </c>
      <c r="D23805" s="3" t="s">
        <v>68</v>
      </c>
      <c r="E23805" s="3" t="s">
        <v>100</v>
      </c>
      <c r="F23805" s="7">
        <v>46203.80825576678</v>
      </c>
      <c r="G23805" s="3" t="s">
        <v>20627</v>
      </c>
    </row>
    <row r="23806">
      <c r="A23806" s="3" t="s">
        <v>40155</v>
      </c>
      <c r="B23806" s="3" t="s">
        <v>19594</v>
      </c>
      <c r="C23806" s="5" t="s">
        <v>45</v>
      </c>
      <c r="D23806" s="3" t="s">
        <v>221</v>
      </c>
      <c r="E23806" s="3" t="s">
        <v>722</v>
      </c>
      <c r="F23806" s="7">
        <v>46203.869013945536</v>
      </c>
      <c r="G23806" s="3" t="s">
        <v>6591</v>
      </c>
    </row>
    <row r="23807">
      <c r="A23807" s="3" t="s">
        <v>40156</v>
      </c>
      <c r="B23807" s="3" t="s">
        <v>19594</v>
      </c>
      <c r="C23807" s="5" t="s">
        <v>221</v>
      </c>
      <c r="D23807" s="3" t="s">
        <v>614</v>
      </c>
      <c r="E23807" s="3" t="s">
        <v>118</v>
      </c>
      <c r="F23807" s="7">
        <v>46203.872486167755</v>
      </c>
      <c r="G23807" s="3" t="s">
        <v>6594</v>
      </c>
    </row>
    <row r="23808">
      <c r="A23808" s="3" t="s">
        <v>40157</v>
      </c>
      <c r="B23808" s="3" t="s">
        <v>19594</v>
      </c>
      <c r="C23808" s="5" t="s">
        <v>614</v>
      </c>
      <c r="D23808" s="3" t="s">
        <v>206</v>
      </c>
      <c r="E23808" s="3" t="s">
        <v>100</v>
      </c>
      <c r="F23808" s="7">
        <v>46203.87595838998</v>
      </c>
      <c r="G23808" s="3" t="s">
        <v>6597</v>
      </c>
    </row>
    <row r="23809">
      <c r="A23809" s="3" t="s">
        <v>40158</v>
      </c>
      <c r="B23809" s="3" t="s">
        <v>19594</v>
      </c>
      <c r="C23809" s="5" t="s">
        <v>206</v>
      </c>
      <c r="D23809" s="3" t="s">
        <v>68</v>
      </c>
      <c r="E23809" s="3" t="s">
        <v>100</v>
      </c>
      <c r="F23809" s="7">
        <v>46203.8794306122</v>
      </c>
      <c r="G23809" s="3" t="s">
        <v>6599</v>
      </c>
    </row>
    <row r="23810">
      <c r="A23810" s="3" t="s">
        <v>40159</v>
      </c>
      <c r="B23810" s="3" t="s">
        <v>19597</v>
      </c>
      <c r="C23810" s="5" t="s">
        <v>45</v>
      </c>
      <c r="D23810" s="3" t="s">
        <v>221</v>
      </c>
      <c r="E23810" s="3" t="s">
        <v>546</v>
      </c>
      <c r="F23810" s="7">
        <v>46203.94018879094</v>
      </c>
      <c r="G23810" s="3" t="s">
        <v>6602</v>
      </c>
    </row>
    <row r="23811">
      <c r="A23811" s="3" t="s">
        <v>40160</v>
      </c>
      <c r="B23811" s="3" t="s">
        <v>19597</v>
      </c>
      <c r="C23811" s="5" t="s">
        <v>221</v>
      </c>
      <c r="D23811" s="3" t="s">
        <v>614</v>
      </c>
      <c r="E23811" s="3" t="s">
        <v>118</v>
      </c>
      <c r="F23811" s="7">
        <v>46203.94366101316</v>
      </c>
      <c r="G23811" s="3" t="s">
        <v>6605</v>
      </c>
    </row>
    <row r="23812">
      <c r="A23812" s="3" t="s">
        <v>40161</v>
      </c>
      <c r="B23812" s="3" t="s">
        <v>19597</v>
      </c>
      <c r="C23812" s="5" t="s">
        <v>614</v>
      </c>
      <c r="D23812" s="3" t="s">
        <v>206</v>
      </c>
      <c r="E23812" s="3" t="s">
        <v>100</v>
      </c>
      <c r="F23812" s="7">
        <v>46203.947133235386</v>
      </c>
      <c r="G23812" s="3" t="s">
        <v>6608</v>
      </c>
    </row>
    <row r="23813">
      <c r="A23813" s="3" t="s">
        <v>40162</v>
      </c>
      <c r="B23813" s="3" t="s">
        <v>19597</v>
      </c>
      <c r="C23813" s="5" t="s">
        <v>206</v>
      </c>
      <c r="D23813" s="3" t="s">
        <v>68</v>
      </c>
      <c r="E23813" s="3" t="s">
        <v>100</v>
      </c>
      <c r="F23813" s="7">
        <v>46203.950605457605</v>
      </c>
      <c r="G23813" s="3" t="s">
        <v>6611</v>
      </c>
    </row>
    <row r="23814">
      <c r="A23814" s="3" t="s">
        <v>40163</v>
      </c>
      <c r="B23814" s="3" t="s">
        <v>19599</v>
      </c>
      <c r="C23814" s="5" t="s">
        <v>45</v>
      </c>
      <c r="D23814" s="3" t="s">
        <v>221</v>
      </c>
      <c r="E23814" s="3" t="s">
        <v>841</v>
      </c>
      <c r="F23814" s="7">
        <v>46204.01136363636</v>
      </c>
      <c r="G23814" s="3" t="s">
        <v>6679</v>
      </c>
    </row>
    <row r="23815">
      <c r="A23815" s="3" t="s">
        <v>40164</v>
      </c>
      <c r="B23815" s="3" t="s">
        <v>19599</v>
      </c>
      <c r="C23815" s="5" t="s">
        <v>221</v>
      </c>
      <c r="D23815" s="3" t="s">
        <v>614</v>
      </c>
      <c r="E23815" s="3" t="s">
        <v>118</v>
      </c>
      <c r="F23815" s="7">
        <v>46204.01483585858</v>
      </c>
      <c r="G23815" s="3" t="s">
        <v>6681</v>
      </c>
    </row>
    <row r="23816">
      <c r="A23816" s="3" t="s">
        <v>40165</v>
      </c>
      <c r="B23816" s="3" t="s">
        <v>19599</v>
      </c>
      <c r="C23816" s="5" t="s">
        <v>614</v>
      </c>
      <c r="D23816" s="3" t="s">
        <v>206</v>
      </c>
      <c r="E23816" s="3" t="s">
        <v>100</v>
      </c>
      <c r="F23816" s="7">
        <v>46204.018308080806</v>
      </c>
      <c r="G23816" s="3" t="s">
        <v>6684</v>
      </c>
    </row>
    <row r="23817">
      <c r="A23817" s="3" t="s">
        <v>40166</v>
      </c>
      <c r="B23817" s="3" t="s">
        <v>19599</v>
      </c>
      <c r="C23817" s="5" t="s">
        <v>206</v>
      </c>
      <c r="D23817" s="3" t="s">
        <v>68</v>
      </c>
      <c r="E23817" s="3" t="s">
        <v>100</v>
      </c>
      <c r="F23817" s="7">
        <v>46204.021780303025</v>
      </c>
      <c r="G23817" s="3" t="s">
        <v>6687</v>
      </c>
    </row>
    <row r="23818">
      <c r="A23818" s="3" t="s">
        <v>40167</v>
      </c>
      <c r="B23818" s="3" t="s">
        <v>19601</v>
      </c>
      <c r="C23818" s="5" t="s">
        <v>45</v>
      </c>
      <c r="D23818" s="3" t="s">
        <v>221</v>
      </c>
      <c r="E23818" s="3" t="s">
        <v>631</v>
      </c>
      <c r="F23818" s="7">
        <v>46204.08253848178</v>
      </c>
      <c r="G23818" s="3" t="s">
        <v>8512</v>
      </c>
    </row>
    <row r="23819">
      <c r="A23819" s="3" t="s">
        <v>40168</v>
      </c>
      <c r="B23819" s="3" t="s">
        <v>19601</v>
      </c>
      <c r="C23819" s="5" t="s">
        <v>221</v>
      </c>
      <c r="D23819" s="3" t="s">
        <v>614</v>
      </c>
      <c r="E23819" s="3" t="s">
        <v>118</v>
      </c>
      <c r="F23819" s="7">
        <v>46204.086010704</v>
      </c>
      <c r="G23819" s="3" t="s">
        <v>8515</v>
      </c>
    </row>
    <row r="23820">
      <c r="A23820" s="3" t="s">
        <v>40169</v>
      </c>
      <c r="B23820" s="3" t="s">
        <v>19601</v>
      </c>
      <c r="C23820" s="5" t="s">
        <v>614</v>
      </c>
      <c r="D23820" s="3" t="s">
        <v>206</v>
      </c>
      <c r="E23820" s="3" t="s">
        <v>100</v>
      </c>
      <c r="F23820" s="7">
        <v>46204.089482926225</v>
      </c>
      <c r="G23820" s="3" t="s">
        <v>8517</v>
      </c>
    </row>
    <row r="23821">
      <c r="A23821" s="3" t="s">
        <v>40170</v>
      </c>
      <c r="B23821" s="3" t="s">
        <v>19601</v>
      </c>
      <c r="C23821" s="5" t="s">
        <v>206</v>
      </c>
      <c r="D23821" s="3" t="s">
        <v>68</v>
      </c>
      <c r="E23821" s="3" t="s">
        <v>100</v>
      </c>
      <c r="F23821" s="7">
        <v>46204.092955148444</v>
      </c>
      <c r="G23821" s="3" t="s">
        <v>8520</v>
      </c>
    </row>
    <row r="23822">
      <c r="A23822" s="3" t="s">
        <v>40171</v>
      </c>
      <c r="B23822" s="3" t="s">
        <v>19604</v>
      </c>
      <c r="C23822" s="5" t="s">
        <v>45</v>
      </c>
      <c r="D23822" s="3" t="s">
        <v>221</v>
      </c>
      <c r="E23822" s="3" t="s">
        <v>352</v>
      </c>
      <c r="F23822" s="7">
        <v>46204.15371332719</v>
      </c>
      <c r="G23822" s="3" t="s">
        <v>6737</v>
      </c>
    </row>
    <row r="23823">
      <c r="A23823" s="3" t="s">
        <v>40172</v>
      </c>
      <c r="B23823" s="3" t="s">
        <v>19604</v>
      </c>
      <c r="C23823" s="5" t="s">
        <v>221</v>
      </c>
      <c r="D23823" s="3" t="s">
        <v>614</v>
      </c>
      <c r="E23823" s="3" t="s">
        <v>118</v>
      </c>
      <c r="F23823" s="7">
        <v>46204.15718554941</v>
      </c>
      <c r="G23823" s="3" t="s">
        <v>6740</v>
      </c>
    </row>
    <row r="23824">
      <c r="A23824" s="3" t="s">
        <v>40173</v>
      </c>
      <c r="B23824" s="3" t="s">
        <v>19604</v>
      </c>
      <c r="C23824" s="5" t="s">
        <v>614</v>
      </c>
      <c r="D23824" s="3" t="s">
        <v>206</v>
      </c>
      <c r="E23824" s="3" t="s">
        <v>100</v>
      </c>
      <c r="F23824" s="7">
        <v>46204.16065777164</v>
      </c>
      <c r="G23824" s="3" t="s">
        <v>6743</v>
      </c>
    </row>
    <row r="23825">
      <c r="A23825" s="3" t="s">
        <v>40174</v>
      </c>
      <c r="B23825" s="3" t="s">
        <v>19604</v>
      </c>
      <c r="C23825" s="5" t="s">
        <v>206</v>
      </c>
      <c r="D23825" s="3" t="s">
        <v>68</v>
      </c>
      <c r="E23825" s="3" t="s">
        <v>100</v>
      </c>
      <c r="F23825" s="7">
        <v>46204.16412999386</v>
      </c>
      <c r="G23825" s="3" t="s">
        <v>6746</v>
      </c>
    </row>
    <row r="23826">
      <c r="A23826" s="3" t="s">
        <v>40175</v>
      </c>
      <c r="B23826" s="3" t="s">
        <v>19608</v>
      </c>
      <c r="C23826" s="5" t="s">
        <v>45</v>
      </c>
      <c r="D23826" s="3" t="s">
        <v>221</v>
      </c>
      <c r="E23826" s="3" t="s">
        <v>822</v>
      </c>
      <c r="F23826" s="7">
        <v>46204.224888172605</v>
      </c>
      <c r="G23826" s="3" t="s">
        <v>15659</v>
      </c>
    </row>
    <row r="23827">
      <c r="A23827" s="3" t="s">
        <v>40176</v>
      </c>
      <c r="B23827" s="3" t="s">
        <v>19608</v>
      </c>
      <c r="C23827" s="5" t="s">
        <v>221</v>
      </c>
      <c r="D23827" s="3" t="s">
        <v>614</v>
      </c>
      <c r="E23827" s="3" t="s">
        <v>118</v>
      </c>
      <c r="F23827" s="7">
        <v>46204.22836039482</v>
      </c>
      <c r="G23827" s="3" t="s">
        <v>15662</v>
      </c>
    </row>
    <row r="23828">
      <c r="A23828" s="3" t="s">
        <v>40177</v>
      </c>
      <c r="B23828" s="3" t="s">
        <v>19608</v>
      </c>
      <c r="C23828" s="5" t="s">
        <v>614</v>
      </c>
      <c r="D23828" s="3" t="s">
        <v>206</v>
      </c>
      <c r="E23828" s="3" t="s">
        <v>100</v>
      </c>
      <c r="F23828" s="7">
        <v>46204.23183261705</v>
      </c>
      <c r="G23828" s="3" t="s">
        <v>15665</v>
      </c>
    </row>
    <row r="23829">
      <c r="A23829" s="3" t="s">
        <v>40178</v>
      </c>
      <c r="B23829" s="3" t="s">
        <v>19608</v>
      </c>
      <c r="C23829" s="5" t="s">
        <v>206</v>
      </c>
      <c r="D23829" s="3" t="s">
        <v>68</v>
      </c>
      <c r="E23829" s="3" t="s">
        <v>100</v>
      </c>
      <c r="F23829" s="7">
        <v>46204.23530483927</v>
      </c>
      <c r="G23829" s="3" t="s">
        <v>15667</v>
      </c>
    </row>
    <row r="23830">
      <c r="A23830" s="3" t="s">
        <v>40179</v>
      </c>
      <c r="B23830" s="3" t="s">
        <v>19612</v>
      </c>
      <c r="C23830" s="5" t="s">
        <v>45</v>
      </c>
      <c r="D23830" s="3" t="s">
        <v>221</v>
      </c>
      <c r="E23830" s="3" t="s">
        <v>462</v>
      </c>
      <c r="F23830" s="7">
        <v>46204.296063018024</v>
      </c>
      <c r="G23830" s="3" t="s">
        <v>13864</v>
      </c>
    </row>
    <row r="23831">
      <c r="A23831" s="3" t="s">
        <v>40180</v>
      </c>
      <c r="B23831" s="3" t="s">
        <v>19612</v>
      </c>
      <c r="C23831" s="5" t="s">
        <v>221</v>
      </c>
      <c r="D23831" s="3" t="s">
        <v>614</v>
      </c>
      <c r="E23831" s="3" t="s">
        <v>118</v>
      </c>
      <c r="F23831" s="7">
        <v>46204.29953524024</v>
      </c>
      <c r="G23831" s="3" t="s">
        <v>23985</v>
      </c>
    </row>
    <row r="23832">
      <c r="A23832" s="3" t="s">
        <v>40181</v>
      </c>
      <c r="B23832" s="3" t="s">
        <v>19612</v>
      </c>
      <c r="C23832" s="5" t="s">
        <v>614</v>
      </c>
      <c r="D23832" s="3" t="s">
        <v>206</v>
      </c>
      <c r="E23832" s="3" t="s">
        <v>100</v>
      </c>
      <c r="F23832" s="7">
        <v>46204.30300746247</v>
      </c>
      <c r="G23832" s="3" t="s">
        <v>23987</v>
      </c>
    </row>
    <row r="23833">
      <c r="A23833" s="3" t="s">
        <v>40182</v>
      </c>
      <c r="B23833" s="3" t="s">
        <v>19612</v>
      </c>
      <c r="C23833" s="5" t="s">
        <v>206</v>
      </c>
      <c r="D23833" s="3" t="s">
        <v>68</v>
      </c>
      <c r="E23833" s="3" t="s">
        <v>100</v>
      </c>
      <c r="F23833" s="7">
        <v>46204.30647968469</v>
      </c>
      <c r="G23833" s="3" t="s">
        <v>23989</v>
      </c>
    </row>
    <row r="23834">
      <c r="A23834" s="3" t="s">
        <v>40183</v>
      </c>
      <c r="B23834" s="3" t="s">
        <v>19615</v>
      </c>
      <c r="C23834" s="5" t="s">
        <v>45</v>
      </c>
      <c r="D23834" s="3" t="s">
        <v>221</v>
      </c>
      <c r="E23834" s="3" t="s">
        <v>619</v>
      </c>
      <c r="F23834" s="7">
        <v>46204.36723786344</v>
      </c>
      <c r="G23834" s="3" t="s">
        <v>7164</v>
      </c>
    </row>
    <row r="23835">
      <c r="A23835" s="3" t="s">
        <v>40184</v>
      </c>
      <c r="B23835" s="3" t="s">
        <v>19615</v>
      </c>
      <c r="C23835" s="5" t="s">
        <v>221</v>
      </c>
      <c r="D23835" s="3" t="s">
        <v>614</v>
      </c>
      <c r="E23835" s="3" t="s">
        <v>118</v>
      </c>
      <c r="F23835" s="7">
        <v>46204.370710085655</v>
      </c>
      <c r="G23835" s="3" t="s">
        <v>7166</v>
      </c>
    </row>
    <row r="23836">
      <c r="A23836" s="3" t="s">
        <v>40185</v>
      </c>
      <c r="B23836" s="3" t="s">
        <v>19615</v>
      </c>
      <c r="C23836" s="5" t="s">
        <v>614</v>
      </c>
      <c r="D23836" s="3" t="s">
        <v>206</v>
      </c>
      <c r="E23836" s="3" t="s">
        <v>100</v>
      </c>
      <c r="F23836" s="7">
        <v>46204.37418230788</v>
      </c>
      <c r="G23836" s="3" t="s">
        <v>7169</v>
      </c>
    </row>
    <row r="23837">
      <c r="A23837" s="3" t="s">
        <v>40186</v>
      </c>
      <c r="B23837" s="3" t="s">
        <v>19615</v>
      </c>
      <c r="C23837" s="5" t="s">
        <v>206</v>
      </c>
      <c r="D23837" s="3" t="s">
        <v>68</v>
      </c>
      <c r="E23837" s="3" t="s">
        <v>100</v>
      </c>
      <c r="F23837" s="7">
        <v>46204.3776545301</v>
      </c>
      <c r="G23837" s="3" t="s">
        <v>7172</v>
      </c>
    </row>
    <row r="23838">
      <c r="A23838" s="3" t="s">
        <v>40187</v>
      </c>
      <c r="B23838" s="3" t="s">
        <v>19618</v>
      </c>
      <c r="C23838" s="5" t="s">
        <v>45</v>
      </c>
      <c r="D23838" s="3" t="s">
        <v>221</v>
      </c>
      <c r="E23838" s="3" t="s">
        <v>243</v>
      </c>
      <c r="F23838" s="7">
        <v>46204.43841270885</v>
      </c>
      <c r="G23838" s="3" t="s">
        <v>10415</v>
      </c>
    </row>
    <row r="23839">
      <c r="A23839" s="3" t="s">
        <v>40188</v>
      </c>
      <c r="B23839" s="3" t="s">
        <v>19618</v>
      </c>
      <c r="C23839" s="5" t="s">
        <v>221</v>
      </c>
      <c r="D23839" s="3" t="s">
        <v>614</v>
      </c>
      <c r="E23839" s="3" t="s">
        <v>118</v>
      </c>
      <c r="F23839" s="7">
        <v>46204.44188493107</v>
      </c>
      <c r="G23839" s="3" t="s">
        <v>10417</v>
      </c>
    </row>
    <row r="23840">
      <c r="A23840" s="3" t="s">
        <v>40189</v>
      </c>
      <c r="B23840" s="3" t="s">
        <v>19618</v>
      </c>
      <c r="C23840" s="5" t="s">
        <v>614</v>
      </c>
      <c r="D23840" s="3" t="s">
        <v>206</v>
      </c>
      <c r="E23840" s="3" t="s">
        <v>100</v>
      </c>
      <c r="F23840" s="7">
        <v>46204.445357153294</v>
      </c>
      <c r="G23840" s="3" t="s">
        <v>10420</v>
      </c>
    </row>
    <row r="23841">
      <c r="A23841" s="3" t="s">
        <v>40190</v>
      </c>
      <c r="B23841" s="3" t="s">
        <v>19618</v>
      </c>
      <c r="C23841" s="5" t="s">
        <v>206</v>
      </c>
      <c r="D23841" s="3" t="s">
        <v>68</v>
      </c>
      <c r="E23841" s="3" t="s">
        <v>100</v>
      </c>
      <c r="F23841" s="7">
        <v>46204.44882937551</v>
      </c>
      <c r="G23841" s="3" t="s">
        <v>10423</v>
      </c>
    </row>
    <row r="23842">
      <c r="A23842" s="3" t="s">
        <v>40191</v>
      </c>
      <c r="B23842" s="3" t="s">
        <v>19621</v>
      </c>
      <c r="C23842" s="5" t="s">
        <v>45</v>
      </c>
      <c r="D23842" s="3" t="s">
        <v>221</v>
      </c>
      <c r="E23842" s="3" t="s">
        <v>197</v>
      </c>
      <c r="F23842" s="7">
        <v>46204.50958755427</v>
      </c>
      <c r="G23842" s="3" t="s">
        <v>6761</v>
      </c>
    </row>
    <row r="23843">
      <c r="A23843" s="3" t="s">
        <v>40192</v>
      </c>
      <c r="B23843" s="3" t="s">
        <v>19621</v>
      </c>
      <c r="C23843" s="5" t="s">
        <v>221</v>
      </c>
      <c r="D23843" s="3" t="s">
        <v>614</v>
      </c>
      <c r="E23843" s="3" t="s">
        <v>118</v>
      </c>
      <c r="F23843" s="7">
        <v>46204.51305977649</v>
      </c>
      <c r="G23843" s="3" t="s">
        <v>6763</v>
      </c>
    </row>
    <row r="23844">
      <c r="A23844" s="3" t="s">
        <v>40193</v>
      </c>
      <c r="B23844" s="3" t="s">
        <v>19621</v>
      </c>
      <c r="C23844" s="5" t="s">
        <v>614</v>
      </c>
      <c r="D23844" s="3" t="s">
        <v>206</v>
      </c>
      <c r="E23844" s="3" t="s">
        <v>100</v>
      </c>
      <c r="F23844" s="7">
        <v>46204.51653199871</v>
      </c>
      <c r="G23844" s="3" t="s">
        <v>6766</v>
      </c>
    </row>
    <row r="23845">
      <c r="A23845" s="3" t="s">
        <v>40194</v>
      </c>
      <c r="B23845" s="3" t="s">
        <v>19621</v>
      </c>
      <c r="C23845" s="5" t="s">
        <v>206</v>
      </c>
      <c r="D23845" s="3" t="s">
        <v>68</v>
      </c>
      <c r="E23845" s="3" t="s">
        <v>100</v>
      </c>
      <c r="F23845" s="7">
        <v>46204.52000422093</v>
      </c>
      <c r="G23845" s="3" t="s">
        <v>6769</v>
      </c>
    </row>
    <row r="23846">
      <c r="A23846" s="3" t="s">
        <v>40195</v>
      </c>
      <c r="B23846" s="3" t="s">
        <v>19624</v>
      </c>
      <c r="C23846" s="5" t="s">
        <v>45</v>
      </c>
      <c r="D23846" s="3" t="s">
        <v>221</v>
      </c>
      <c r="E23846" s="3" t="s">
        <v>307</v>
      </c>
      <c r="F23846" s="7">
        <v>46204.58076239968</v>
      </c>
      <c r="G23846" s="3" t="s">
        <v>6772</v>
      </c>
    </row>
    <row r="23847">
      <c r="A23847" s="3" t="s">
        <v>40196</v>
      </c>
      <c r="B23847" s="3" t="s">
        <v>19624</v>
      </c>
      <c r="C23847" s="5" t="s">
        <v>221</v>
      </c>
      <c r="D23847" s="3" t="s">
        <v>614</v>
      </c>
      <c r="E23847" s="3" t="s">
        <v>118</v>
      </c>
      <c r="F23847" s="7">
        <v>46204.5842346219</v>
      </c>
      <c r="G23847" s="3" t="s">
        <v>6775</v>
      </c>
    </row>
    <row r="23848">
      <c r="A23848" s="3" t="s">
        <v>40197</v>
      </c>
      <c r="B23848" s="3" t="s">
        <v>19624</v>
      </c>
      <c r="C23848" s="5" t="s">
        <v>614</v>
      </c>
      <c r="D23848" s="3" t="s">
        <v>206</v>
      </c>
      <c r="E23848" s="3" t="s">
        <v>100</v>
      </c>
      <c r="F23848" s="7">
        <v>46204.587706844126</v>
      </c>
      <c r="G23848" s="3" t="s">
        <v>6778</v>
      </c>
    </row>
    <row r="23849">
      <c r="A23849" s="3" t="s">
        <v>40198</v>
      </c>
      <c r="B23849" s="3" t="s">
        <v>19624</v>
      </c>
      <c r="C23849" s="5" t="s">
        <v>206</v>
      </c>
      <c r="D23849" s="3" t="s">
        <v>68</v>
      </c>
      <c r="E23849" s="3" t="s">
        <v>100</v>
      </c>
      <c r="F23849" s="7">
        <v>46204.591179066345</v>
      </c>
      <c r="G23849" s="3" t="s">
        <v>6780</v>
      </c>
    </row>
    <row r="23850">
      <c r="A23850" s="3" t="s">
        <v>40199</v>
      </c>
      <c r="B23850" s="3" t="s">
        <v>19629</v>
      </c>
      <c r="C23850" s="5" t="s">
        <v>45</v>
      </c>
      <c r="D23850" s="3" t="s">
        <v>221</v>
      </c>
      <c r="E23850" s="3" t="s">
        <v>485</v>
      </c>
      <c r="F23850" s="7">
        <v>46204.65193724509</v>
      </c>
      <c r="G23850" s="3" t="s">
        <v>32165</v>
      </c>
    </row>
    <row r="23851">
      <c r="A23851" s="3" t="s">
        <v>40200</v>
      </c>
      <c r="B23851" s="3" t="s">
        <v>19629</v>
      </c>
      <c r="C23851" s="5" t="s">
        <v>221</v>
      </c>
      <c r="D23851" s="3" t="s">
        <v>614</v>
      </c>
      <c r="E23851" s="3" t="s">
        <v>118</v>
      </c>
      <c r="F23851" s="7">
        <v>46204.65540946731</v>
      </c>
      <c r="G23851" s="3" t="s">
        <v>32167</v>
      </c>
    </row>
    <row r="23852">
      <c r="A23852" s="3" t="s">
        <v>40201</v>
      </c>
      <c r="B23852" s="3" t="s">
        <v>19629</v>
      </c>
      <c r="C23852" s="5" t="s">
        <v>614</v>
      </c>
      <c r="D23852" s="3" t="s">
        <v>206</v>
      </c>
      <c r="E23852" s="3" t="s">
        <v>100</v>
      </c>
      <c r="F23852" s="7">
        <v>46204.65888168954</v>
      </c>
      <c r="G23852" s="3" t="s">
        <v>32169</v>
      </c>
    </row>
    <row r="23853">
      <c r="A23853" s="3" t="s">
        <v>40202</v>
      </c>
      <c r="B23853" s="3" t="s">
        <v>19629</v>
      </c>
      <c r="C23853" s="5" t="s">
        <v>206</v>
      </c>
      <c r="D23853" s="3" t="s">
        <v>68</v>
      </c>
      <c r="E23853" s="3" t="s">
        <v>100</v>
      </c>
      <c r="F23853" s="7">
        <v>46204.66235391176</v>
      </c>
      <c r="G23853" s="3" t="s">
        <v>32171</v>
      </c>
    </row>
    <row r="23854">
      <c r="A23854" s="3" t="s">
        <v>40203</v>
      </c>
      <c r="B23854" s="3" t="s">
        <v>19632</v>
      </c>
      <c r="C23854" s="5" t="s">
        <v>45</v>
      </c>
      <c r="D23854" s="3" t="s">
        <v>221</v>
      </c>
      <c r="E23854" s="3" t="s">
        <v>226</v>
      </c>
      <c r="F23854" s="7">
        <v>46204.72311209051</v>
      </c>
      <c r="G23854" s="3" t="s">
        <v>6667</v>
      </c>
    </row>
    <row r="23855">
      <c r="A23855" s="3" t="s">
        <v>40204</v>
      </c>
      <c r="B23855" s="3" t="s">
        <v>19632</v>
      </c>
      <c r="C23855" s="5" t="s">
        <v>221</v>
      </c>
      <c r="D23855" s="3" t="s">
        <v>181</v>
      </c>
      <c r="E23855" s="3" t="s">
        <v>118</v>
      </c>
      <c r="F23855" s="7">
        <v>46204.72658431273</v>
      </c>
      <c r="G23855" s="3" t="s">
        <v>25002</v>
      </c>
    </row>
    <row r="23856">
      <c r="A23856" s="3" t="s">
        <v>40205</v>
      </c>
      <c r="B23856" s="3" t="s">
        <v>19635</v>
      </c>
      <c r="C23856" s="5" t="s">
        <v>45</v>
      </c>
      <c r="D23856" s="3" t="s">
        <v>221</v>
      </c>
      <c r="E23856" s="3" t="s">
        <v>758</v>
      </c>
      <c r="F23856" s="7">
        <v>46204.79428693593</v>
      </c>
      <c r="G23856" s="3" t="s">
        <v>12929</v>
      </c>
    </row>
    <row r="23857">
      <c r="A23857" s="3" t="s">
        <v>40206</v>
      </c>
      <c r="B23857" s="3" t="s">
        <v>19635</v>
      </c>
      <c r="C23857" s="5" t="s">
        <v>221</v>
      </c>
      <c r="D23857" s="3" t="s">
        <v>614</v>
      </c>
      <c r="E23857" s="3" t="s">
        <v>118</v>
      </c>
      <c r="F23857" s="7">
        <v>46204.79775915815</v>
      </c>
      <c r="G23857" s="3" t="s">
        <v>12932</v>
      </c>
    </row>
    <row r="23858">
      <c r="A23858" s="3" t="s">
        <v>40207</v>
      </c>
      <c r="B23858" s="3" t="s">
        <v>19635</v>
      </c>
      <c r="C23858" s="5" t="s">
        <v>614</v>
      </c>
      <c r="D23858" s="3" t="s">
        <v>206</v>
      </c>
      <c r="E23858" s="3" t="s">
        <v>100</v>
      </c>
      <c r="F23858" s="7">
        <v>46204.80123138038</v>
      </c>
      <c r="G23858" s="3" t="s">
        <v>12936</v>
      </c>
    </row>
    <row r="23859">
      <c r="A23859" s="3" t="s">
        <v>40208</v>
      </c>
      <c r="B23859" s="3" t="s">
        <v>19635</v>
      </c>
      <c r="C23859" s="5" t="s">
        <v>206</v>
      </c>
      <c r="D23859" s="3" t="s">
        <v>68</v>
      </c>
      <c r="E23859" s="3" t="s">
        <v>100</v>
      </c>
      <c r="F23859" s="7">
        <v>46204.8047036026</v>
      </c>
      <c r="G23859" s="3" t="s">
        <v>12939</v>
      </c>
    </row>
    <row r="23860">
      <c r="A23860" s="3" t="s">
        <v>40209</v>
      </c>
      <c r="B23860" s="3" t="s">
        <v>19638</v>
      </c>
      <c r="C23860" s="5" t="s">
        <v>45</v>
      </c>
      <c r="D23860" s="3" t="s">
        <v>221</v>
      </c>
      <c r="E23860" s="3" t="s">
        <v>708</v>
      </c>
      <c r="F23860" s="7">
        <v>46204.86546178134</v>
      </c>
      <c r="G23860" s="3" t="s">
        <v>6815</v>
      </c>
    </row>
    <row r="23861">
      <c r="A23861" s="3" t="s">
        <v>40210</v>
      </c>
      <c r="B23861" s="3" t="s">
        <v>19638</v>
      </c>
      <c r="C23861" s="5" t="s">
        <v>221</v>
      </c>
      <c r="D23861" s="3" t="s">
        <v>614</v>
      </c>
      <c r="E23861" s="3" t="s">
        <v>118</v>
      </c>
      <c r="F23861" s="7">
        <v>46204.868934003556</v>
      </c>
      <c r="G23861" s="3" t="s">
        <v>6818</v>
      </c>
    </row>
    <row r="23862">
      <c r="A23862" s="3" t="s">
        <v>40211</v>
      </c>
      <c r="B23862" s="3" t="s">
        <v>19638</v>
      </c>
      <c r="C23862" s="5" t="s">
        <v>614</v>
      </c>
      <c r="D23862" s="3" t="s">
        <v>206</v>
      </c>
      <c r="E23862" s="3" t="s">
        <v>100</v>
      </c>
      <c r="F23862" s="7">
        <v>46204.87240622578</v>
      </c>
      <c r="G23862" s="3" t="s">
        <v>6821</v>
      </c>
    </row>
    <row r="23863">
      <c r="A23863" s="3" t="s">
        <v>40212</v>
      </c>
      <c r="B23863" s="3" t="s">
        <v>19638</v>
      </c>
      <c r="C23863" s="5" t="s">
        <v>206</v>
      </c>
      <c r="D23863" s="3" t="s">
        <v>68</v>
      </c>
      <c r="E23863" s="3" t="s">
        <v>100</v>
      </c>
      <c r="F23863" s="7">
        <v>46204.875878448</v>
      </c>
      <c r="G23863" s="3" t="s">
        <v>6824</v>
      </c>
    </row>
    <row r="23864">
      <c r="A23864" s="3" t="s">
        <v>40213</v>
      </c>
      <c r="B23864" s="3" t="s">
        <v>19642</v>
      </c>
      <c r="C23864" s="5" t="s">
        <v>45</v>
      </c>
      <c r="D23864" s="3" t="s">
        <v>221</v>
      </c>
      <c r="E23864" s="3" t="s">
        <v>430</v>
      </c>
      <c r="F23864" s="7">
        <v>46204.93663662676</v>
      </c>
      <c r="G23864" s="3" t="s">
        <v>6868</v>
      </c>
    </row>
    <row r="23865">
      <c r="A23865" s="3" t="s">
        <v>40214</v>
      </c>
      <c r="B23865" s="3" t="s">
        <v>19642</v>
      </c>
      <c r="C23865" s="5" t="s">
        <v>221</v>
      </c>
      <c r="D23865" s="3" t="s">
        <v>614</v>
      </c>
      <c r="E23865" s="3" t="s">
        <v>118</v>
      </c>
      <c r="F23865" s="7">
        <v>46204.940108848976</v>
      </c>
      <c r="G23865" s="3" t="s">
        <v>6871</v>
      </c>
    </row>
    <row r="23866">
      <c r="A23866" s="3" t="s">
        <v>40215</v>
      </c>
      <c r="B23866" s="3" t="s">
        <v>19642</v>
      </c>
      <c r="C23866" s="5" t="s">
        <v>614</v>
      </c>
      <c r="D23866" s="3" t="s">
        <v>206</v>
      </c>
      <c r="E23866" s="3" t="s">
        <v>100</v>
      </c>
      <c r="F23866" s="7">
        <v>46204.9435810712</v>
      </c>
      <c r="G23866" s="3" t="s">
        <v>6874</v>
      </c>
    </row>
    <row r="23867">
      <c r="A23867" s="3" t="s">
        <v>40216</v>
      </c>
      <c r="B23867" s="3" t="s">
        <v>19642</v>
      </c>
      <c r="C23867" s="5" t="s">
        <v>206</v>
      </c>
      <c r="D23867" s="3" t="s">
        <v>68</v>
      </c>
      <c r="E23867" s="3" t="s">
        <v>100</v>
      </c>
      <c r="F23867" s="7">
        <v>46204.94705329342</v>
      </c>
      <c r="G23867" s="3" t="s">
        <v>6877</v>
      </c>
    </row>
    <row r="23868">
      <c r="A23868" s="3" t="s">
        <v>40217</v>
      </c>
      <c r="B23868" s="3" t="s">
        <v>19646</v>
      </c>
      <c r="C23868" s="5" t="s">
        <v>45</v>
      </c>
      <c r="D23868" s="3" t="s">
        <v>221</v>
      </c>
      <c r="E23868" s="3" t="s">
        <v>650</v>
      </c>
      <c r="F23868" s="7">
        <v>46205.00781147218</v>
      </c>
      <c r="G23868" s="3" t="s">
        <v>25202</v>
      </c>
    </row>
    <row r="23869">
      <c r="A23869" s="3" t="s">
        <v>40218</v>
      </c>
      <c r="B23869" s="3" t="s">
        <v>19646</v>
      </c>
      <c r="C23869" s="5" t="s">
        <v>221</v>
      </c>
      <c r="D23869" s="3" t="s">
        <v>614</v>
      </c>
      <c r="E23869" s="3" t="s">
        <v>118</v>
      </c>
      <c r="F23869" s="7">
        <v>46205.011283694395</v>
      </c>
      <c r="G23869" s="3" t="s">
        <v>25204</v>
      </c>
    </row>
    <row r="23870">
      <c r="A23870" s="3" t="s">
        <v>40219</v>
      </c>
      <c r="B23870" s="3" t="s">
        <v>19646</v>
      </c>
      <c r="C23870" s="5" t="s">
        <v>614</v>
      </c>
      <c r="D23870" s="3" t="s">
        <v>206</v>
      </c>
      <c r="E23870" s="3" t="s">
        <v>100</v>
      </c>
      <c r="F23870" s="7">
        <v>46205.01475591662</v>
      </c>
      <c r="G23870" s="3" t="s">
        <v>25206</v>
      </c>
    </row>
    <row r="23871">
      <c r="A23871" s="3" t="s">
        <v>40220</v>
      </c>
      <c r="B23871" s="3" t="s">
        <v>19646</v>
      </c>
      <c r="C23871" s="5" t="s">
        <v>206</v>
      </c>
      <c r="D23871" s="3" t="s">
        <v>68</v>
      </c>
      <c r="E23871" s="3" t="s">
        <v>100</v>
      </c>
      <c r="F23871" s="7">
        <v>46205.01822813884</v>
      </c>
      <c r="G23871" s="3" t="s">
        <v>25208</v>
      </c>
    </row>
    <row r="23872">
      <c r="A23872" s="3" t="s">
        <v>40221</v>
      </c>
      <c r="B23872" s="3" t="s">
        <v>19649</v>
      </c>
      <c r="C23872" s="5" t="s">
        <v>45</v>
      </c>
      <c r="D23872" s="3" t="s">
        <v>221</v>
      </c>
      <c r="E23872" s="3" t="s">
        <v>561</v>
      </c>
      <c r="F23872" s="7">
        <v>46205.07898631759</v>
      </c>
      <c r="G23872" s="3" t="s">
        <v>16822</v>
      </c>
    </row>
    <row r="23873">
      <c r="A23873" s="3" t="s">
        <v>40222</v>
      </c>
      <c r="B23873" s="3" t="s">
        <v>19649</v>
      </c>
      <c r="C23873" s="5" t="s">
        <v>221</v>
      </c>
      <c r="D23873" s="3" t="s">
        <v>614</v>
      </c>
      <c r="E23873" s="3" t="s">
        <v>118</v>
      </c>
      <c r="F23873" s="7">
        <v>46205.08245853981</v>
      </c>
      <c r="G23873" s="3" t="s">
        <v>16825</v>
      </c>
    </row>
    <row r="23874">
      <c r="A23874" s="3" t="s">
        <v>40223</v>
      </c>
      <c r="B23874" s="3" t="s">
        <v>19649</v>
      </c>
      <c r="C23874" s="5" t="s">
        <v>614</v>
      </c>
      <c r="D23874" s="3" t="s">
        <v>206</v>
      </c>
      <c r="E23874" s="3" t="s">
        <v>100</v>
      </c>
      <c r="F23874" s="7">
        <v>46205.085930762034</v>
      </c>
      <c r="G23874" s="3" t="s">
        <v>16828</v>
      </c>
    </row>
    <row r="23875">
      <c r="A23875" s="3" t="s">
        <v>40224</v>
      </c>
      <c r="B23875" s="3" t="s">
        <v>19649</v>
      </c>
      <c r="C23875" s="5" t="s">
        <v>206</v>
      </c>
      <c r="D23875" s="3" t="s">
        <v>68</v>
      </c>
      <c r="E23875" s="3" t="s">
        <v>100</v>
      </c>
      <c r="F23875" s="7">
        <v>46205.08940298425</v>
      </c>
      <c r="G23875" s="3" t="s">
        <v>16831</v>
      </c>
    </row>
    <row r="23876">
      <c r="A23876" s="3" t="s">
        <v>40225</v>
      </c>
      <c r="B23876" s="3" t="s">
        <v>19652</v>
      </c>
      <c r="C23876" s="5" t="s">
        <v>45</v>
      </c>
      <c r="D23876" s="3" t="s">
        <v>221</v>
      </c>
      <c r="E23876" s="3" t="s">
        <v>219</v>
      </c>
      <c r="F23876" s="7">
        <v>46205.150161163</v>
      </c>
      <c r="G23876" s="3" t="s">
        <v>6942</v>
      </c>
    </row>
    <row r="23877">
      <c r="A23877" s="3" t="s">
        <v>40226</v>
      </c>
      <c r="B23877" s="3" t="s">
        <v>19652</v>
      </c>
      <c r="C23877" s="5" t="s">
        <v>221</v>
      </c>
      <c r="D23877" s="3" t="s">
        <v>614</v>
      </c>
      <c r="E23877" s="3" t="s">
        <v>118</v>
      </c>
      <c r="F23877" s="7">
        <v>46205.15363338522</v>
      </c>
      <c r="G23877" s="3" t="s">
        <v>6945</v>
      </c>
    </row>
    <row r="23878">
      <c r="A23878" s="3" t="s">
        <v>40227</v>
      </c>
      <c r="B23878" s="3" t="s">
        <v>19652</v>
      </c>
      <c r="C23878" s="5" t="s">
        <v>614</v>
      </c>
      <c r="D23878" s="3" t="s">
        <v>206</v>
      </c>
      <c r="E23878" s="3" t="s">
        <v>100</v>
      </c>
      <c r="F23878" s="7">
        <v>46205.157105607446</v>
      </c>
      <c r="G23878" s="3" t="s">
        <v>6948</v>
      </c>
    </row>
    <row r="23879">
      <c r="A23879" s="3" t="s">
        <v>40228</v>
      </c>
      <c r="B23879" s="3" t="s">
        <v>19652</v>
      </c>
      <c r="C23879" s="5" t="s">
        <v>206</v>
      </c>
      <c r="D23879" s="3" t="s">
        <v>68</v>
      </c>
      <c r="E23879" s="3" t="s">
        <v>100</v>
      </c>
      <c r="F23879" s="7">
        <v>46205.160577829665</v>
      </c>
      <c r="G23879" s="3" t="s">
        <v>6951</v>
      </c>
    </row>
    <row r="23880">
      <c r="A23880" s="3" t="s">
        <v>40229</v>
      </c>
      <c r="B23880" s="3" t="s">
        <v>19655</v>
      </c>
      <c r="C23880" s="5" t="s">
        <v>45</v>
      </c>
      <c r="D23880" s="3" t="s">
        <v>221</v>
      </c>
      <c r="E23880" s="3" t="s">
        <v>694</v>
      </c>
      <c r="F23880" s="7">
        <v>46205.22133600842</v>
      </c>
      <c r="G23880" s="3" t="s">
        <v>3719</v>
      </c>
    </row>
    <row r="23881">
      <c r="A23881" s="3" t="s">
        <v>40230</v>
      </c>
      <c r="B23881" s="3" t="s">
        <v>19655</v>
      </c>
      <c r="C23881" s="5" t="s">
        <v>221</v>
      </c>
      <c r="D23881" s="3" t="s">
        <v>195</v>
      </c>
      <c r="E23881" s="3" t="s">
        <v>694</v>
      </c>
      <c r="F23881" s="7">
        <v>46205.22480823064</v>
      </c>
      <c r="G23881" s="3" t="s">
        <v>40231</v>
      </c>
    </row>
    <row r="23882">
      <c r="A23882" s="3" t="s">
        <v>40232</v>
      </c>
      <c r="B23882" s="3" t="s">
        <v>19659</v>
      </c>
      <c r="C23882" s="5" t="s">
        <v>45</v>
      </c>
      <c r="D23882" s="3" t="s">
        <v>221</v>
      </c>
      <c r="E23882" s="3" t="s">
        <v>598</v>
      </c>
      <c r="F23882" s="7">
        <v>46205.29251085383</v>
      </c>
      <c r="G23882" s="3" t="s">
        <v>30979</v>
      </c>
    </row>
    <row r="23883">
      <c r="A23883" s="3" t="s">
        <v>40233</v>
      </c>
      <c r="B23883" s="3" t="s">
        <v>19659</v>
      </c>
      <c r="C23883" s="5" t="s">
        <v>221</v>
      </c>
      <c r="D23883" s="3" t="s">
        <v>614</v>
      </c>
      <c r="E23883" s="3" t="s">
        <v>118</v>
      </c>
      <c r="F23883" s="7">
        <v>46205.29598307605</v>
      </c>
      <c r="G23883" s="3" t="s">
        <v>30981</v>
      </c>
    </row>
    <row r="23884">
      <c r="A23884" s="3" t="s">
        <v>40234</v>
      </c>
      <c r="B23884" s="3" t="s">
        <v>19659</v>
      </c>
      <c r="C23884" s="5" t="s">
        <v>614</v>
      </c>
      <c r="D23884" s="3" t="s">
        <v>206</v>
      </c>
      <c r="E23884" s="3" t="s">
        <v>100</v>
      </c>
      <c r="F23884" s="7">
        <v>46205.29945529828</v>
      </c>
      <c r="G23884" s="3" t="s">
        <v>30983</v>
      </c>
    </row>
    <row r="23885">
      <c r="A23885" s="3" t="s">
        <v>40235</v>
      </c>
      <c r="B23885" s="3" t="s">
        <v>19659</v>
      </c>
      <c r="C23885" s="5" t="s">
        <v>206</v>
      </c>
      <c r="D23885" s="3" t="s">
        <v>68</v>
      </c>
      <c r="E23885" s="3" t="s">
        <v>100</v>
      </c>
      <c r="F23885" s="7">
        <v>46205.3029275205</v>
      </c>
      <c r="G23885" s="3" t="s">
        <v>30985</v>
      </c>
    </row>
    <row r="23886">
      <c r="A23886" s="3" t="s">
        <v>40236</v>
      </c>
      <c r="B23886" s="3" t="s">
        <v>19663</v>
      </c>
      <c r="C23886" s="5" t="s">
        <v>45</v>
      </c>
      <c r="D23886" s="3" t="s">
        <v>221</v>
      </c>
      <c r="E23886" s="3" t="s">
        <v>819</v>
      </c>
      <c r="F23886" s="7">
        <v>46205.363685699245</v>
      </c>
      <c r="G23886" s="3" t="s">
        <v>6954</v>
      </c>
    </row>
    <row r="23887">
      <c r="A23887" s="3" t="s">
        <v>40237</v>
      </c>
      <c r="B23887" s="3" t="s">
        <v>19663</v>
      </c>
      <c r="C23887" s="5" t="s">
        <v>221</v>
      </c>
      <c r="D23887" s="3" t="s">
        <v>614</v>
      </c>
      <c r="E23887" s="3" t="s">
        <v>118</v>
      </c>
      <c r="F23887" s="7">
        <v>46205.367157921464</v>
      </c>
      <c r="G23887" s="3" t="s">
        <v>6957</v>
      </c>
    </row>
    <row r="23888">
      <c r="A23888" s="3" t="s">
        <v>40238</v>
      </c>
      <c r="B23888" s="3" t="s">
        <v>19663</v>
      </c>
      <c r="C23888" s="5" t="s">
        <v>614</v>
      </c>
      <c r="D23888" s="3" t="s">
        <v>206</v>
      </c>
      <c r="E23888" s="3" t="s">
        <v>100</v>
      </c>
      <c r="F23888" s="7">
        <v>46205.37063014369</v>
      </c>
      <c r="G23888" s="3" t="s">
        <v>6959</v>
      </c>
    </row>
    <row r="23889">
      <c r="A23889" s="3" t="s">
        <v>40239</v>
      </c>
      <c r="B23889" s="3" t="s">
        <v>19663</v>
      </c>
      <c r="C23889" s="5" t="s">
        <v>206</v>
      </c>
      <c r="D23889" s="3" t="s">
        <v>68</v>
      </c>
      <c r="E23889" s="3" t="s">
        <v>100</v>
      </c>
      <c r="F23889" s="7">
        <v>46205.37410236591</v>
      </c>
      <c r="G23889" s="3" t="s">
        <v>6962</v>
      </c>
    </row>
    <row r="23890">
      <c r="A23890" s="3" t="s">
        <v>40240</v>
      </c>
      <c r="B23890" s="3" t="s">
        <v>19666</v>
      </c>
      <c r="C23890" s="5" t="s">
        <v>45</v>
      </c>
      <c r="D23890" s="3" t="s">
        <v>221</v>
      </c>
      <c r="E23890" s="3" t="s">
        <v>615</v>
      </c>
      <c r="F23890" s="7">
        <v>46205.434860544665</v>
      </c>
      <c r="G23890" s="3" t="s">
        <v>3395</v>
      </c>
    </row>
    <row r="23891">
      <c r="A23891" s="3" t="s">
        <v>40241</v>
      </c>
      <c r="B23891" s="3" t="s">
        <v>19666</v>
      </c>
      <c r="C23891" s="5" t="s">
        <v>221</v>
      </c>
      <c r="D23891" s="3" t="s">
        <v>614</v>
      </c>
      <c r="E23891" s="3" t="s">
        <v>118</v>
      </c>
      <c r="F23891" s="7">
        <v>46205.438332766884</v>
      </c>
      <c r="G23891" s="3" t="s">
        <v>3398</v>
      </c>
    </row>
    <row r="23892">
      <c r="A23892" s="3" t="s">
        <v>40242</v>
      </c>
      <c r="B23892" s="3" t="s">
        <v>19666</v>
      </c>
      <c r="C23892" s="5" t="s">
        <v>614</v>
      </c>
      <c r="D23892" s="3" t="s">
        <v>206</v>
      </c>
      <c r="E23892" s="3" t="s">
        <v>100</v>
      </c>
      <c r="F23892" s="7">
        <v>46205.44180498911</v>
      </c>
      <c r="G23892" s="3" t="s">
        <v>3401</v>
      </c>
    </row>
    <row r="23893">
      <c r="A23893" s="3" t="s">
        <v>40243</v>
      </c>
      <c r="B23893" s="3" t="s">
        <v>19666</v>
      </c>
      <c r="C23893" s="5" t="s">
        <v>206</v>
      </c>
      <c r="D23893" s="3" t="s">
        <v>68</v>
      </c>
      <c r="E23893" s="3" t="s">
        <v>100</v>
      </c>
      <c r="F23893" s="7">
        <v>46205.44527721133</v>
      </c>
      <c r="G23893" s="3" t="s">
        <v>3404</v>
      </c>
    </row>
    <row r="23894">
      <c r="A23894" s="3" t="s">
        <v>40244</v>
      </c>
      <c r="B23894" s="3" t="s">
        <v>19669</v>
      </c>
      <c r="C23894" s="5" t="s">
        <v>45</v>
      </c>
      <c r="D23894" s="3" t="s">
        <v>221</v>
      </c>
      <c r="E23894" s="3" t="s">
        <v>574</v>
      </c>
      <c r="F23894" s="7">
        <v>46205.50603539008</v>
      </c>
      <c r="G23894" s="3" t="s">
        <v>7044</v>
      </c>
    </row>
    <row r="23895">
      <c r="A23895" s="3" t="s">
        <v>40245</v>
      </c>
      <c r="B23895" s="3" t="s">
        <v>19669</v>
      </c>
      <c r="C23895" s="5" t="s">
        <v>221</v>
      </c>
      <c r="D23895" s="3" t="s">
        <v>614</v>
      </c>
      <c r="E23895" s="3" t="s">
        <v>118</v>
      </c>
      <c r="F23895" s="7">
        <v>46205.509507612296</v>
      </c>
      <c r="G23895" s="3" t="s">
        <v>7047</v>
      </c>
    </row>
    <row r="23896">
      <c r="A23896" s="3" t="s">
        <v>40246</v>
      </c>
      <c r="B23896" s="3" t="s">
        <v>19669</v>
      </c>
      <c r="C23896" s="5" t="s">
        <v>614</v>
      </c>
      <c r="D23896" s="3" t="s">
        <v>206</v>
      </c>
      <c r="E23896" s="3" t="s">
        <v>100</v>
      </c>
      <c r="F23896" s="7">
        <v>46205.51297983452</v>
      </c>
      <c r="G23896" s="3" t="s">
        <v>7050</v>
      </c>
    </row>
    <row r="23897">
      <c r="A23897" s="3" t="s">
        <v>40247</v>
      </c>
      <c r="B23897" s="3" t="s">
        <v>19669</v>
      </c>
      <c r="C23897" s="5" t="s">
        <v>206</v>
      </c>
      <c r="D23897" s="3" t="s">
        <v>68</v>
      </c>
      <c r="E23897" s="3" t="s">
        <v>100</v>
      </c>
      <c r="F23897" s="7">
        <v>46205.51645205674</v>
      </c>
      <c r="G23897" s="3" t="s">
        <v>7053</v>
      </c>
    </row>
    <row r="23898">
      <c r="A23898" s="3" t="s">
        <v>40248</v>
      </c>
      <c r="B23898" s="3" t="s">
        <v>19673</v>
      </c>
      <c r="C23898" s="5" t="s">
        <v>45</v>
      </c>
      <c r="D23898" s="3" t="s">
        <v>221</v>
      </c>
      <c r="E23898" s="3" t="s">
        <v>657</v>
      </c>
      <c r="F23898" s="7">
        <v>46205.57721023549</v>
      </c>
      <c r="G23898" s="3" t="s">
        <v>7075</v>
      </c>
    </row>
    <row r="23899">
      <c r="A23899" s="3" t="s">
        <v>40249</v>
      </c>
      <c r="B23899" s="3" t="s">
        <v>19673</v>
      </c>
      <c r="C23899" s="5" t="s">
        <v>221</v>
      </c>
      <c r="D23899" s="3" t="s">
        <v>614</v>
      </c>
      <c r="E23899" s="3" t="s">
        <v>118</v>
      </c>
      <c r="F23899" s="7">
        <v>46205.58068245771</v>
      </c>
      <c r="G23899" s="3" t="s">
        <v>7078</v>
      </c>
    </row>
    <row r="23900">
      <c r="A23900" s="3" t="s">
        <v>40250</v>
      </c>
      <c r="B23900" s="3" t="s">
        <v>19673</v>
      </c>
      <c r="C23900" s="5" t="s">
        <v>614</v>
      </c>
      <c r="D23900" s="3" t="s">
        <v>206</v>
      </c>
      <c r="E23900" s="3" t="s">
        <v>100</v>
      </c>
      <c r="F23900" s="7">
        <v>46205.584154679935</v>
      </c>
      <c r="G23900" s="3" t="s">
        <v>7081</v>
      </c>
    </row>
    <row r="23901">
      <c r="A23901" s="3" t="s">
        <v>40251</v>
      </c>
      <c r="B23901" s="3" t="s">
        <v>19673</v>
      </c>
      <c r="C23901" s="5" t="s">
        <v>206</v>
      </c>
      <c r="D23901" s="3" t="s">
        <v>68</v>
      </c>
      <c r="E23901" s="3" t="s">
        <v>100</v>
      </c>
      <c r="F23901" s="7">
        <v>46205.587626902154</v>
      </c>
      <c r="G23901" s="3" t="s">
        <v>7084</v>
      </c>
    </row>
    <row r="23902">
      <c r="A23902" s="3" t="s">
        <v>40252</v>
      </c>
      <c r="B23902" s="3" t="s">
        <v>19676</v>
      </c>
      <c r="C23902" s="5" t="s">
        <v>45</v>
      </c>
      <c r="D23902" s="3" t="s">
        <v>221</v>
      </c>
      <c r="E23902" s="3" t="s">
        <v>845</v>
      </c>
      <c r="F23902" s="7">
        <v>46205.64838508091</v>
      </c>
      <c r="G23902" s="3" t="s">
        <v>6317</v>
      </c>
    </row>
    <row r="23903">
      <c r="A23903" s="3" t="s">
        <v>40253</v>
      </c>
      <c r="B23903" s="3" t="s">
        <v>19676</v>
      </c>
      <c r="C23903" s="5" t="s">
        <v>221</v>
      </c>
      <c r="D23903" s="3" t="s">
        <v>614</v>
      </c>
      <c r="E23903" s="3" t="s">
        <v>118</v>
      </c>
      <c r="F23903" s="7">
        <v>46205.65185730313</v>
      </c>
      <c r="G23903" s="3" t="s">
        <v>6320</v>
      </c>
    </row>
    <row r="23904">
      <c r="A23904" s="3" t="s">
        <v>40254</v>
      </c>
      <c r="B23904" s="3" t="s">
        <v>19676</v>
      </c>
      <c r="C23904" s="5" t="s">
        <v>614</v>
      </c>
      <c r="D23904" s="3" t="s">
        <v>206</v>
      </c>
      <c r="E23904" s="3" t="s">
        <v>100</v>
      </c>
      <c r="F23904" s="7">
        <v>46205.655329525354</v>
      </c>
      <c r="G23904" s="3" t="s">
        <v>6322</v>
      </c>
    </row>
    <row r="23905">
      <c r="A23905" s="3" t="s">
        <v>40255</v>
      </c>
      <c r="B23905" s="3" t="s">
        <v>19676</v>
      </c>
      <c r="C23905" s="5" t="s">
        <v>206</v>
      </c>
      <c r="D23905" s="3" t="s">
        <v>68</v>
      </c>
      <c r="E23905" s="3" t="s">
        <v>100</v>
      </c>
      <c r="F23905" s="7">
        <v>46205.65880174757</v>
      </c>
      <c r="G23905" s="3" t="s">
        <v>6325</v>
      </c>
    </row>
    <row r="23906">
      <c r="A23906" s="3" t="s">
        <v>40256</v>
      </c>
      <c r="B23906" s="3" t="s">
        <v>19679</v>
      </c>
      <c r="C23906" s="5" t="s">
        <v>45</v>
      </c>
      <c r="D23906" s="3" t="s">
        <v>221</v>
      </c>
      <c r="E23906" s="3" t="s">
        <v>860</v>
      </c>
      <c r="F23906" s="7">
        <v>46205.71955992632</v>
      </c>
      <c r="G23906" s="3" t="s">
        <v>32881</v>
      </c>
    </row>
    <row r="23907">
      <c r="A23907" s="3" t="s">
        <v>40257</v>
      </c>
      <c r="B23907" s="3" t="s">
        <v>19679</v>
      </c>
      <c r="C23907" s="5" t="s">
        <v>221</v>
      </c>
      <c r="D23907" s="3" t="s">
        <v>614</v>
      </c>
      <c r="E23907" s="3" t="s">
        <v>118</v>
      </c>
      <c r="F23907" s="7">
        <v>46205.72303214854</v>
      </c>
      <c r="G23907" s="3" t="s">
        <v>32883</v>
      </c>
    </row>
    <row r="23908">
      <c r="A23908" s="3" t="s">
        <v>40258</v>
      </c>
      <c r="B23908" s="3" t="s">
        <v>19679</v>
      </c>
      <c r="C23908" s="5" t="s">
        <v>614</v>
      </c>
      <c r="D23908" s="3" t="s">
        <v>206</v>
      </c>
      <c r="E23908" s="3" t="s">
        <v>100</v>
      </c>
      <c r="F23908" s="7">
        <v>46205.72650437077</v>
      </c>
      <c r="G23908" s="3" t="s">
        <v>32885</v>
      </c>
    </row>
    <row r="23909">
      <c r="A23909" s="3" t="s">
        <v>40259</v>
      </c>
      <c r="B23909" s="3" t="s">
        <v>19679</v>
      </c>
      <c r="C23909" s="5" t="s">
        <v>206</v>
      </c>
      <c r="D23909" s="3" t="s">
        <v>68</v>
      </c>
      <c r="E23909" s="3" t="s">
        <v>100</v>
      </c>
      <c r="F23909" s="7">
        <v>46205.729976592986</v>
      </c>
      <c r="G23909" s="3" t="s">
        <v>32887</v>
      </c>
    </row>
    <row r="23910">
      <c r="A23910" s="3" t="s">
        <v>40260</v>
      </c>
      <c r="B23910" s="3" t="s">
        <v>19683</v>
      </c>
      <c r="C23910" s="5" t="s">
        <v>45</v>
      </c>
      <c r="D23910" s="3" t="s">
        <v>221</v>
      </c>
      <c r="E23910" s="3" t="s">
        <v>505</v>
      </c>
      <c r="F23910" s="7">
        <v>46205.790734771734</v>
      </c>
      <c r="G23910" s="3" t="s">
        <v>8315</v>
      </c>
    </row>
    <row r="23911">
      <c r="A23911" s="3" t="s">
        <v>40261</v>
      </c>
      <c r="B23911" s="3" t="s">
        <v>19683</v>
      </c>
      <c r="C23911" s="5" t="s">
        <v>221</v>
      </c>
      <c r="D23911" s="3" t="s">
        <v>614</v>
      </c>
      <c r="E23911" s="3" t="s">
        <v>118</v>
      </c>
      <c r="F23911" s="7">
        <v>46205.79420699395</v>
      </c>
      <c r="G23911" s="3" t="s">
        <v>8318</v>
      </c>
    </row>
    <row r="23912">
      <c r="A23912" s="3" t="s">
        <v>40262</v>
      </c>
      <c r="B23912" s="3" t="s">
        <v>19683</v>
      </c>
      <c r="C23912" s="5" t="s">
        <v>614</v>
      </c>
      <c r="D23912" s="3" t="s">
        <v>206</v>
      </c>
      <c r="E23912" s="3" t="s">
        <v>100</v>
      </c>
      <c r="F23912" s="7">
        <v>46205.79767921618</v>
      </c>
      <c r="G23912" s="3" t="s">
        <v>8321</v>
      </c>
    </row>
    <row r="23913">
      <c r="A23913" s="3" t="s">
        <v>40263</v>
      </c>
      <c r="B23913" s="3" t="s">
        <v>19683</v>
      </c>
      <c r="C23913" s="5" t="s">
        <v>206</v>
      </c>
      <c r="D23913" s="3" t="s">
        <v>68</v>
      </c>
      <c r="E23913" s="3" t="s">
        <v>100</v>
      </c>
      <c r="F23913" s="7">
        <v>46205.8011514384</v>
      </c>
      <c r="G23913" s="3" t="s">
        <v>8324</v>
      </c>
    </row>
    <row r="23914">
      <c r="A23914" s="3" t="s">
        <v>40264</v>
      </c>
      <c r="B23914" s="3" t="s">
        <v>19686</v>
      </c>
      <c r="C23914" s="5" t="s">
        <v>45</v>
      </c>
      <c r="D23914" s="3" t="s">
        <v>221</v>
      </c>
      <c r="E23914" s="3" t="s">
        <v>544</v>
      </c>
      <c r="F23914" s="7">
        <v>46205.86190961715</v>
      </c>
      <c r="G23914" s="3" t="s">
        <v>16043</v>
      </c>
    </row>
    <row r="23915">
      <c r="A23915" s="3" t="s">
        <v>40265</v>
      </c>
      <c r="B23915" s="3" t="s">
        <v>19686</v>
      </c>
      <c r="C23915" s="5" t="s">
        <v>221</v>
      </c>
      <c r="D23915" s="3" t="s">
        <v>614</v>
      </c>
      <c r="E23915" s="3" t="s">
        <v>118</v>
      </c>
      <c r="F23915" s="7">
        <v>46205.86538183937</v>
      </c>
      <c r="G23915" s="3" t="s">
        <v>16046</v>
      </c>
    </row>
    <row r="23916">
      <c r="A23916" s="3" t="s">
        <v>40266</v>
      </c>
      <c r="B23916" s="3" t="s">
        <v>19686</v>
      </c>
      <c r="C23916" s="5" t="s">
        <v>614</v>
      </c>
      <c r="D23916" s="3" t="s">
        <v>206</v>
      </c>
      <c r="E23916" s="3" t="s">
        <v>100</v>
      </c>
      <c r="F23916" s="7">
        <v>46205.8688540616</v>
      </c>
      <c r="G23916" s="3" t="s">
        <v>16049</v>
      </c>
    </row>
    <row r="23917">
      <c r="A23917" s="3" t="s">
        <v>40267</v>
      </c>
      <c r="B23917" s="3" t="s">
        <v>19686</v>
      </c>
      <c r="C23917" s="5" t="s">
        <v>206</v>
      </c>
      <c r="D23917" s="3" t="s">
        <v>68</v>
      </c>
      <c r="E23917" s="3" t="s">
        <v>100</v>
      </c>
      <c r="F23917" s="7">
        <v>46205.87232628382</v>
      </c>
      <c r="G23917" s="3" t="s">
        <v>16052</v>
      </c>
    </row>
    <row r="23918">
      <c r="A23918" s="3" t="s">
        <v>40268</v>
      </c>
      <c r="B23918" s="3" t="s">
        <v>19689</v>
      </c>
      <c r="C23918" s="5" t="s">
        <v>45</v>
      </c>
      <c r="D23918" s="3" t="s">
        <v>221</v>
      </c>
      <c r="E23918" s="3" t="s">
        <v>488</v>
      </c>
      <c r="F23918" s="7">
        <v>46205.93308446257</v>
      </c>
      <c r="G23918" s="3" t="s">
        <v>23497</v>
      </c>
    </row>
    <row r="23919">
      <c r="A23919" s="3" t="s">
        <v>40269</v>
      </c>
      <c r="B23919" s="3" t="s">
        <v>19689</v>
      </c>
      <c r="C23919" s="5" t="s">
        <v>221</v>
      </c>
      <c r="D23919" s="3" t="s">
        <v>614</v>
      </c>
      <c r="E23919" s="3" t="s">
        <v>118</v>
      </c>
      <c r="F23919" s="7">
        <v>46205.93655668479</v>
      </c>
      <c r="G23919" s="3" t="s">
        <v>23500</v>
      </c>
    </row>
    <row r="23920">
      <c r="A23920" s="3" t="s">
        <v>40270</v>
      </c>
      <c r="B23920" s="3" t="s">
        <v>19689</v>
      </c>
      <c r="C23920" s="5" t="s">
        <v>614</v>
      </c>
      <c r="D23920" s="3" t="s">
        <v>206</v>
      </c>
      <c r="E23920" s="3" t="s">
        <v>100</v>
      </c>
      <c r="F23920" s="7">
        <v>46205.94002890702</v>
      </c>
      <c r="G23920" s="3" t="s">
        <v>23503</v>
      </c>
    </row>
    <row r="23921">
      <c r="A23921" s="3" t="s">
        <v>40271</v>
      </c>
      <c r="B23921" s="3" t="s">
        <v>19689</v>
      </c>
      <c r="C23921" s="5" t="s">
        <v>206</v>
      </c>
      <c r="D23921" s="3" t="s">
        <v>68</v>
      </c>
      <c r="E23921" s="3" t="s">
        <v>100</v>
      </c>
      <c r="F23921" s="7">
        <v>46205.94350112924</v>
      </c>
      <c r="G23921" s="3" t="s">
        <v>23506</v>
      </c>
    </row>
    <row r="23922">
      <c r="A23922" s="3" t="s">
        <v>40272</v>
      </c>
      <c r="B23922" s="3" t="s">
        <v>19692</v>
      </c>
      <c r="C23922" s="5" t="s">
        <v>45</v>
      </c>
      <c r="D23922" s="3" t="s">
        <v>221</v>
      </c>
      <c r="E23922" s="3" t="s">
        <v>366</v>
      </c>
      <c r="F23922" s="7">
        <v>46206.00425930798</v>
      </c>
      <c r="G23922" s="3" t="s">
        <v>12422</v>
      </c>
    </row>
    <row r="23923">
      <c r="A23923" s="3" t="s">
        <v>40273</v>
      </c>
      <c r="B23923" s="3" t="s">
        <v>19692</v>
      </c>
      <c r="C23923" s="5" t="s">
        <v>221</v>
      </c>
      <c r="D23923" s="3" t="s">
        <v>614</v>
      </c>
      <c r="E23923" s="3" t="s">
        <v>118</v>
      </c>
      <c r="F23923" s="7">
        <v>46206.0077315302</v>
      </c>
      <c r="G23923" s="3" t="s">
        <v>12424</v>
      </c>
    </row>
    <row r="23924">
      <c r="A23924" s="3" t="s">
        <v>40274</v>
      </c>
      <c r="B23924" s="3" t="s">
        <v>19692</v>
      </c>
      <c r="C23924" s="5" t="s">
        <v>614</v>
      </c>
      <c r="D23924" s="3" t="s">
        <v>206</v>
      </c>
      <c r="E23924" s="3" t="s">
        <v>100</v>
      </c>
      <c r="F23924" s="7">
        <v>46206.01120375242</v>
      </c>
      <c r="G23924" s="3" t="s">
        <v>12427</v>
      </c>
    </row>
    <row r="23925">
      <c r="A23925" s="3" t="s">
        <v>40275</v>
      </c>
      <c r="B23925" s="3" t="s">
        <v>19692</v>
      </c>
      <c r="C23925" s="5" t="s">
        <v>206</v>
      </c>
      <c r="D23925" s="3" t="s">
        <v>68</v>
      </c>
      <c r="E23925" s="3" t="s">
        <v>100</v>
      </c>
      <c r="F23925" s="7">
        <v>46206.01467597464</v>
      </c>
      <c r="G23925" s="3" t="s">
        <v>12431</v>
      </c>
    </row>
    <row r="23926">
      <c r="A23926" s="3" t="s">
        <v>40276</v>
      </c>
      <c r="B23926" s="3" t="s">
        <v>19696</v>
      </c>
      <c r="C23926" s="5" t="s">
        <v>45</v>
      </c>
      <c r="D23926" s="3" t="s">
        <v>221</v>
      </c>
      <c r="E23926" s="3" t="s">
        <v>148</v>
      </c>
      <c r="F23926" s="7">
        <v>46206.0754341534</v>
      </c>
      <c r="G23926" s="3" t="s">
        <v>16269</v>
      </c>
    </row>
    <row r="23927">
      <c r="A23927" s="3" t="s">
        <v>40277</v>
      </c>
      <c r="B23927" s="3" t="s">
        <v>19696</v>
      </c>
      <c r="C23927" s="5" t="s">
        <v>221</v>
      </c>
      <c r="D23927" s="3" t="s">
        <v>614</v>
      </c>
      <c r="E23927" s="3" t="s">
        <v>118</v>
      </c>
      <c r="F23927" s="7">
        <v>46206.07890637562</v>
      </c>
      <c r="G23927" s="3" t="s">
        <v>16271</v>
      </c>
    </row>
    <row r="23928">
      <c r="A23928" s="3" t="s">
        <v>40278</v>
      </c>
      <c r="B23928" s="3" t="s">
        <v>19696</v>
      </c>
      <c r="C23928" s="5" t="s">
        <v>614</v>
      </c>
      <c r="D23928" s="3" t="s">
        <v>206</v>
      </c>
      <c r="E23928" s="3" t="s">
        <v>100</v>
      </c>
      <c r="F23928" s="7">
        <v>46206.08237859784</v>
      </c>
      <c r="G23928" s="3" t="s">
        <v>16274</v>
      </c>
    </row>
    <row r="23929">
      <c r="A23929" s="3" t="s">
        <v>40279</v>
      </c>
      <c r="B23929" s="3" t="s">
        <v>19696</v>
      </c>
      <c r="C23929" s="5" t="s">
        <v>206</v>
      </c>
      <c r="D23929" s="3" t="s">
        <v>68</v>
      </c>
      <c r="E23929" s="3" t="s">
        <v>100</v>
      </c>
      <c r="F23929" s="7">
        <v>46206.08585082006</v>
      </c>
      <c r="G23929" s="3" t="s">
        <v>16277</v>
      </c>
    </row>
    <row r="23930">
      <c r="A23930" s="3" t="s">
        <v>40280</v>
      </c>
      <c r="B23930" s="3" t="s">
        <v>19699</v>
      </c>
      <c r="C23930" s="5" t="s">
        <v>45</v>
      </c>
      <c r="D23930" s="3" t="s">
        <v>221</v>
      </c>
      <c r="E23930" s="3" t="s">
        <v>822</v>
      </c>
      <c r="F23930" s="7">
        <v>46206.14660899882</v>
      </c>
      <c r="G23930" s="3" t="s">
        <v>7141</v>
      </c>
    </row>
    <row r="23931">
      <c r="A23931" s="3" t="s">
        <v>40281</v>
      </c>
      <c r="B23931" s="3" t="s">
        <v>19699</v>
      </c>
      <c r="C23931" s="5" t="s">
        <v>221</v>
      </c>
      <c r="D23931" s="3" t="s">
        <v>614</v>
      </c>
      <c r="E23931" s="3" t="s">
        <v>118</v>
      </c>
      <c r="F23931" s="7">
        <v>46206.150081221036</v>
      </c>
      <c r="G23931" s="3" t="s">
        <v>7144</v>
      </c>
    </row>
    <row r="23932">
      <c r="A23932" s="3" t="s">
        <v>40282</v>
      </c>
      <c r="B23932" s="3" t="s">
        <v>19699</v>
      </c>
      <c r="C23932" s="5" t="s">
        <v>614</v>
      </c>
      <c r="D23932" s="3" t="s">
        <v>206</v>
      </c>
      <c r="E23932" s="3" t="s">
        <v>100</v>
      </c>
      <c r="F23932" s="7">
        <v>46206.15355344326</v>
      </c>
      <c r="G23932" s="3" t="s">
        <v>7147</v>
      </c>
    </row>
    <row r="23933">
      <c r="A23933" s="3" t="s">
        <v>40283</v>
      </c>
      <c r="B23933" s="3" t="s">
        <v>19699</v>
      </c>
      <c r="C23933" s="5" t="s">
        <v>206</v>
      </c>
      <c r="D23933" s="3" t="s">
        <v>68</v>
      </c>
      <c r="E23933" s="3" t="s">
        <v>100</v>
      </c>
      <c r="F23933" s="7">
        <v>46206.15702566548</v>
      </c>
      <c r="G23933" s="3" t="s">
        <v>7149</v>
      </c>
    </row>
    <row r="23934">
      <c r="A23934" s="3" t="s">
        <v>40284</v>
      </c>
      <c r="B23934" s="3" t="s">
        <v>19701</v>
      </c>
      <c r="C23934" s="5" t="s">
        <v>45</v>
      </c>
      <c r="D23934" s="3" t="s">
        <v>221</v>
      </c>
      <c r="E23934" s="3" t="s">
        <v>1043</v>
      </c>
      <c r="F23934" s="7">
        <v>46206.21778384423</v>
      </c>
      <c r="G23934" s="3" t="s">
        <v>11131</v>
      </c>
    </row>
    <row r="23935">
      <c r="A23935" s="3" t="s">
        <v>40285</v>
      </c>
      <c r="B23935" s="3" t="s">
        <v>19701</v>
      </c>
      <c r="C23935" s="5" t="s">
        <v>221</v>
      </c>
      <c r="D23935" s="3" t="s">
        <v>614</v>
      </c>
      <c r="E23935" s="3" t="s">
        <v>118</v>
      </c>
      <c r="F23935" s="7">
        <v>46206.22125606645</v>
      </c>
      <c r="G23935" s="3" t="s">
        <v>20971</v>
      </c>
    </row>
    <row r="23936">
      <c r="A23936" s="3" t="s">
        <v>40286</v>
      </c>
      <c r="B23936" s="3" t="s">
        <v>19701</v>
      </c>
      <c r="C23936" s="5" t="s">
        <v>614</v>
      </c>
      <c r="D23936" s="3" t="s">
        <v>206</v>
      </c>
      <c r="E23936" s="3" t="s">
        <v>100</v>
      </c>
      <c r="F23936" s="7">
        <v>46206.224728288675</v>
      </c>
      <c r="G23936" s="3" t="s">
        <v>20974</v>
      </c>
    </row>
    <row r="23937">
      <c r="A23937" s="3" t="s">
        <v>40287</v>
      </c>
      <c r="B23937" s="3" t="s">
        <v>19701</v>
      </c>
      <c r="C23937" s="5" t="s">
        <v>206</v>
      </c>
      <c r="D23937" s="3" t="s">
        <v>68</v>
      </c>
      <c r="E23937" s="3" t="s">
        <v>100</v>
      </c>
      <c r="F23937" s="7">
        <v>46206.228200510894</v>
      </c>
      <c r="G23937" s="3" t="s">
        <v>20976</v>
      </c>
    </row>
    <row r="23938">
      <c r="A23938" s="3" t="s">
        <v>40288</v>
      </c>
      <c r="B23938" s="3" t="s">
        <v>19704</v>
      </c>
      <c r="C23938" s="5" t="s">
        <v>45</v>
      </c>
      <c r="D23938" s="3" t="s">
        <v>221</v>
      </c>
      <c r="E23938" s="3" t="s">
        <v>760</v>
      </c>
      <c r="F23938" s="7">
        <v>46206.28895868964</v>
      </c>
      <c r="G23938" s="3" t="s">
        <v>9096</v>
      </c>
    </row>
    <row r="23939">
      <c r="A23939" s="3" t="s">
        <v>40289</v>
      </c>
      <c r="B23939" s="3" t="s">
        <v>19704</v>
      </c>
      <c r="C23939" s="5" t="s">
        <v>221</v>
      </c>
      <c r="D23939" s="3" t="s">
        <v>614</v>
      </c>
      <c r="E23939" s="3" t="s">
        <v>118</v>
      </c>
      <c r="F23939" s="7">
        <v>46206.29243091186</v>
      </c>
      <c r="G23939" s="3" t="s">
        <v>9099</v>
      </c>
    </row>
    <row r="23940">
      <c r="A23940" s="3" t="s">
        <v>40290</v>
      </c>
      <c r="B23940" s="3" t="s">
        <v>19704</v>
      </c>
      <c r="C23940" s="5" t="s">
        <v>614</v>
      </c>
      <c r="D23940" s="3" t="s">
        <v>206</v>
      </c>
      <c r="E23940" s="3" t="s">
        <v>100</v>
      </c>
      <c r="F23940" s="7">
        <v>46206.29590313409</v>
      </c>
      <c r="G23940" s="3" t="s">
        <v>9102</v>
      </c>
    </row>
    <row r="23941">
      <c r="A23941" s="3" t="s">
        <v>40291</v>
      </c>
      <c r="B23941" s="3" t="s">
        <v>19704</v>
      </c>
      <c r="C23941" s="5" t="s">
        <v>206</v>
      </c>
      <c r="D23941" s="3" t="s">
        <v>68</v>
      </c>
      <c r="E23941" s="3" t="s">
        <v>100</v>
      </c>
      <c r="F23941" s="7">
        <v>46206.299375356306</v>
      </c>
      <c r="G23941" s="3" t="s">
        <v>9105</v>
      </c>
    </row>
    <row r="23942">
      <c r="A23942" s="3" t="s">
        <v>40292</v>
      </c>
      <c r="B23942" s="3" t="s">
        <v>19708</v>
      </c>
      <c r="C23942" s="5" t="s">
        <v>45</v>
      </c>
      <c r="D23942" s="3" t="s">
        <v>221</v>
      </c>
      <c r="E23942" s="3" t="s">
        <v>1040</v>
      </c>
      <c r="F23942" s="7">
        <v>46206.36013353506</v>
      </c>
      <c r="G23942" s="3" t="s">
        <v>6985</v>
      </c>
    </row>
    <row r="23943">
      <c r="A23943" s="3" t="s">
        <v>40293</v>
      </c>
      <c r="B23943" s="3" t="s">
        <v>19708</v>
      </c>
      <c r="C23943" s="5" t="s">
        <v>221</v>
      </c>
      <c r="D23943" s="3" t="s">
        <v>614</v>
      </c>
      <c r="E23943" s="3" t="s">
        <v>118</v>
      </c>
      <c r="F23943" s="7">
        <v>46206.36360575728</v>
      </c>
      <c r="G23943" s="3" t="s">
        <v>6987</v>
      </c>
    </row>
    <row r="23944">
      <c r="A23944" s="3" t="s">
        <v>40294</v>
      </c>
      <c r="B23944" s="3" t="s">
        <v>19708</v>
      </c>
      <c r="C23944" s="5" t="s">
        <v>614</v>
      </c>
      <c r="D23944" s="3" t="s">
        <v>206</v>
      </c>
      <c r="E23944" s="3" t="s">
        <v>100</v>
      </c>
      <c r="F23944" s="7">
        <v>46206.36707797951</v>
      </c>
      <c r="G23944" s="3" t="s">
        <v>6990</v>
      </c>
    </row>
    <row r="23945">
      <c r="A23945" s="3" t="s">
        <v>40295</v>
      </c>
      <c r="B23945" s="3" t="s">
        <v>19708</v>
      </c>
      <c r="C23945" s="5" t="s">
        <v>206</v>
      </c>
      <c r="D23945" s="3" t="s">
        <v>68</v>
      </c>
      <c r="E23945" s="3" t="s">
        <v>100</v>
      </c>
      <c r="F23945" s="7">
        <v>46206.370550201726</v>
      </c>
      <c r="G23945" s="3" t="s">
        <v>6993</v>
      </c>
    </row>
    <row r="23946">
      <c r="A23946" s="3" t="s">
        <v>40296</v>
      </c>
      <c r="B23946" s="3" t="s">
        <v>19712</v>
      </c>
      <c r="C23946" s="5" t="s">
        <v>45</v>
      </c>
      <c r="D23946" s="3" t="s">
        <v>221</v>
      </c>
      <c r="E23946" s="3" t="s">
        <v>1043</v>
      </c>
      <c r="F23946" s="7">
        <v>46206.43130838047</v>
      </c>
      <c r="G23946" s="3" t="s">
        <v>7174</v>
      </c>
    </row>
    <row r="23947">
      <c r="A23947" s="3" t="s">
        <v>40297</v>
      </c>
      <c r="B23947" s="3" t="s">
        <v>19712</v>
      </c>
      <c r="C23947" s="5" t="s">
        <v>221</v>
      </c>
      <c r="D23947" s="3" t="s">
        <v>614</v>
      </c>
      <c r="E23947" s="3" t="s">
        <v>118</v>
      </c>
      <c r="F23947" s="7">
        <v>46206.43478060269</v>
      </c>
      <c r="G23947" s="3" t="s">
        <v>7177</v>
      </c>
    </row>
    <row r="23948">
      <c r="A23948" s="3" t="s">
        <v>40298</v>
      </c>
      <c r="B23948" s="3" t="s">
        <v>19712</v>
      </c>
      <c r="C23948" s="5" t="s">
        <v>614</v>
      </c>
      <c r="D23948" s="3" t="s">
        <v>206</v>
      </c>
      <c r="E23948" s="3" t="s">
        <v>100</v>
      </c>
      <c r="F23948" s="7">
        <v>46206.43825282492</v>
      </c>
      <c r="G23948" s="3" t="s">
        <v>7180</v>
      </c>
    </row>
    <row r="23949">
      <c r="A23949" s="3" t="s">
        <v>40299</v>
      </c>
      <c r="B23949" s="3" t="s">
        <v>19712</v>
      </c>
      <c r="C23949" s="5" t="s">
        <v>206</v>
      </c>
      <c r="D23949" s="3" t="s">
        <v>68</v>
      </c>
      <c r="E23949" s="3" t="s">
        <v>100</v>
      </c>
      <c r="F23949" s="7">
        <v>46206.44172504714</v>
      </c>
      <c r="G23949" s="3" t="s">
        <v>7182</v>
      </c>
    </row>
    <row r="23950">
      <c r="A23950" s="3" t="s">
        <v>40300</v>
      </c>
      <c r="B23950" s="3" t="s">
        <v>19715</v>
      </c>
      <c r="C23950" s="5" t="s">
        <v>45</v>
      </c>
      <c r="D23950" s="3" t="s">
        <v>221</v>
      </c>
      <c r="E23950" s="3" t="s">
        <v>505</v>
      </c>
      <c r="F23950" s="7">
        <v>46206.502483225886</v>
      </c>
      <c r="G23950" s="3" t="s">
        <v>27019</v>
      </c>
    </row>
    <row r="23951">
      <c r="A23951" s="3" t="s">
        <v>40301</v>
      </c>
      <c r="B23951" s="3" t="s">
        <v>19715</v>
      </c>
      <c r="C23951" s="5" t="s">
        <v>221</v>
      </c>
      <c r="D23951" s="3" t="s">
        <v>614</v>
      </c>
      <c r="E23951" s="3" t="s">
        <v>118</v>
      </c>
      <c r="F23951" s="7">
        <v>46206.505955448105</v>
      </c>
      <c r="G23951" s="3" t="s">
        <v>37858</v>
      </c>
    </row>
    <row r="23952">
      <c r="A23952" s="3" t="s">
        <v>40302</v>
      </c>
      <c r="B23952" s="3" t="s">
        <v>19715</v>
      </c>
      <c r="C23952" s="5" t="s">
        <v>614</v>
      </c>
      <c r="D23952" s="3" t="s">
        <v>206</v>
      </c>
      <c r="E23952" s="3" t="s">
        <v>100</v>
      </c>
      <c r="F23952" s="7">
        <v>46206.50942767033</v>
      </c>
      <c r="G23952" s="3" t="s">
        <v>37860</v>
      </c>
    </row>
    <row r="23953">
      <c r="A23953" s="3" t="s">
        <v>40303</v>
      </c>
      <c r="B23953" s="3" t="s">
        <v>19715</v>
      </c>
      <c r="C23953" s="5" t="s">
        <v>206</v>
      </c>
      <c r="D23953" s="3" t="s">
        <v>68</v>
      </c>
      <c r="E23953" s="3" t="s">
        <v>100</v>
      </c>
      <c r="F23953" s="7">
        <v>46206.51289989255</v>
      </c>
      <c r="G23953" s="3" t="s">
        <v>37862</v>
      </c>
    </row>
    <row r="23954">
      <c r="A23954" s="3" t="s">
        <v>40304</v>
      </c>
      <c r="B23954" s="3" t="s">
        <v>19718</v>
      </c>
      <c r="C23954" s="5" t="s">
        <v>45</v>
      </c>
      <c r="D23954" s="3" t="s">
        <v>221</v>
      </c>
      <c r="E23954" s="3" t="s">
        <v>550</v>
      </c>
      <c r="F23954" s="7">
        <v>46206.573658071306</v>
      </c>
      <c r="G23954" s="3" t="s">
        <v>29121</v>
      </c>
    </row>
    <row r="23955">
      <c r="A23955" s="3" t="s">
        <v>40305</v>
      </c>
      <c r="B23955" s="3" t="s">
        <v>19718</v>
      </c>
      <c r="C23955" s="5" t="s">
        <v>221</v>
      </c>
      <c r="D23955" s="3" t="s">
        <v>614</v>
      </c>
      <c r="E23955" s="3" t="s">
        <v>118</v>
      </c>
      <c r="F23955" s="7">
        <v>46206.577130293525</v>
      </c>
      <c r="G23955" s="3" t="s">
        <v>29123</v>
      </c>
    </row>
    <row r="23956">
      <c r="A23956" s="3" t="s">
        <v>40306</v>
      </c>
      <c r="B23956" s="3" t="s">
        <v>19718</v>
      </c>
      <c r="C23956" s="5" t="s">
        <v>614</v>
      </c>
      <c r="D23956" s="3" t="s">
        <v>206</v>
      </c>
      <c r="E23956" s="3" t="s">
        <v>100</v>
      </c>
      <c r="F23956" s="7">
        <v>46206.58060251575</v>
      </c>
      <c r="G23956" s="3" t="s">
        <v>29125</v>
      </c>
    </row>
    <row r="23957">
      <c r="A23957" s="3" t="s">
        <v>40307</v>
      </c>
      <c r="B23957" s="3" t="s">
        <v>19718</v>
      </c>
      <c r="C23957" s="5" t="s">
        <v>206</v>
      </c>
      <c r="D23957" s="3" t="s">
        <v>68</v>
      </c>
      <c r="E23957" s="3" t="s">
        <v>100</v>
      </c>
      <c r="F23957" s="7">
        <v>46206.58407473797</v>
      </c>
      <c r="G23957" s="3" t="s">
        <v>29127</v>
      </c>
    </row>
    <row r="23958">
      <c r="A23958" s="3" t="s">
        <v>40308</v>
      </c>
      <c r="B23958" s="3" t="s">
        <v>19721</v>
      </c>
      <c r="C23958" s="5" t="s">
        <v>45</v>
      </c>
      <c r="D23958" s="3" t="s">
        <v>221</v>
      </c>
      <c r="E23958" s="3" t="s">
        <v>770</v>
      </c>
      <c r="F23958" s="7">
        <v>46206.64483291672</v>
      </c>
      <c r="G23958" s="3" t="s">
        <v>21897</v>
      </c>
    </row>
    <row r="23959">
      <c r="A23959" s="3" t="s">
        <v>40309</v>
      </c>
      <c r="B23959" s="3" t="s">
        <v>19721</v>
      </c>
      <c r="C23959" s="5" t="s">
        <v>221</v>
      </c>
      <c r="D23959" s="3" t="s">
        <v>195</v>
      </c>
      <c r="E23959" s="3" t="s">
        <v>770</v>
      </c>
      <c r="F23959" s="7">
        <v>46206.64830513894</v>
      </c>
      <c r="G23959" s="3" t="s">
        <v>40310</v>
      </c>
    </row>
    <row r="23960">
      <c r="A23960" s="3" t="s">
        <v>40311</v>
      </c>
      <c r="B23960" s="3" t="s">
        <v>19724</v>
      </c>
      <c r="C23960" s="5" t="s">
        <v>45</v>
      </c>
      <c r="D23960" s="3" t="s">
        <v>221</v>
      </c>
      <c r="E23960" s="3" t="s">
        <v>472</v>
      </c>
      <c r="F23960" s="7">
        <v>46206.71600776213</v>
      </c>
      <c r="G23960" s="3" t="s">
        <v>24737</v>
      </c>
    </row>
    <row r="23961">
      <c r="A23961" s="3" t="s">
        <v>40312</v>
      </c>
      <c r="B23961" s="3" t="s">
        <v>19724</v>
      </c>
      <c r="C23961" s="5" t="s">
        <v>221</v>
      </c>
      <c r="D23961" s="3" t="s">
        <v>181</v>
      </c>
      <c r="E23961" s="3" t="s">
        <v>118</v>
      </c>
      <c r="F23961" s="7">
        <v>46206.71947998435</v>
      </c>
      <c r="G23961" s="3" t="s">
        <v>40313</v>
      </c>
    </row>
    <row r="23962">
      <c r="A23962" s="3" t="s">
        <v>40314</v>
      </c>
      <c r="B23962" s="3" t="s">
        <v>19727</v>
      </c>
      <c r="C23962" s="5" t="s">
        <v>45</v>
      </c>
      <c r="D23962" s="3" t="s">
        <v>221</v>
      </c>
      <c r="E23962" s="3" t="s">
        <v>586</v>
      </c>
      <c r="F23962" s="7">
        <v>46206.78718260755</v>
      </c>
      <c r="G23962" s="3" t="s">
        <v>19542</v>
      </c>
    </row>
    <row r="23963">
      <c r="A23963" s="3" t="s">
        <v>40315</v>
      </c>
      <c r="B23963" s="3" t="s">
        <v>19727</v>
      </c>
      <c r="C23963" s="5" t="s">
        <v>221</v>
      </c>
      <c r="D23963" s="3" t="s">
        <v>614</v>
      </c>
      <c r="E23963" s="3" t="s">
        <v>118</v>
      </c>
      <c r="F23963" s="7">
        <v>46206.79065482977</v>
      </c>
      <c r="G23963" s="3" t="s">
        <v>19544</v>
      </c>
    </row>
    <row r="23964">
      <c r="A23964" s="3" t="s">
        <v>40316</v>
      </c>
      <c r="B23964" s="3" t="s">
        <v>19727</v>
      </c>
      <c r="C23964" s="5" t="s">
        <v>614</v>
      </c>
      <c r="D23964" s="3" t="s">
        <v>206</v>
      </c>
      <c r="E23964" s="3" t="s">
        <v>100</v>
      </c>
      <c r="F23964" s="7">
        <v>46206.794127051995</v>
      </c>
      <c r="G23964" s="3" t="s">
        <v>19547</v>
      </c>
    </row>
    <row r="23965">
      <c r="A23965" s="3" t="s">
        <v>40317</v>
      </c>
      <c r="B23965" s="3" t="s">
        <v>19727</v>
      </c>
      <c r="C23965" s="5" t="s">
        <v>206</v>
      </c>
      <c r="D23965" s="3" t="s">
        <v>68</v>
      </c>
      <c r="E23965" s="3" t="s">
        <v>100</v>
      </c>
      <c r="F23965" s="7">
        <v>46206.797599274214</v>
      </c>
      <c r="G23965" s="3" t="s">
        <v>19550</v>
      </c>
    </row>
    <row r="23966">
      <c r="A23966" s="3" t="s">
        <v>40318</v>
      </c>
      <c r="B23966" s="3" t="s">
        <v>19729</v>
      </c>
      <c r="C23966" s="5" t="s">
        <v>45</v>
      </c>
      <c r="D23966" s="3" t="s">
        <v>221</v>
      </c>
      <c r="E23966" s="3" t="s">
        <v>524</v>
      </c>
      <c r="F23966" s="7">
        <v>46206.85835745296</v>
      </c>
      <c r="G23966" s="3" t="s">
        <v>7214</v>
      </c>
    </row>
    <row r="23967">
      <c r="A23967" s="3" t="s">
        <v>40319</v>
      </c>
      <c r="B23967" s="3" t="s">
        <v>19729</v>
      </c>
      <c r="C23967" s="5" t="s">
        <v>221</v>
      </c>
      <c r="D23967" s="3" t="s">
        <v>614</v>
      </c>
      <c r="E23967" s="3" t="s">
        <v>118</v>
      </c>
      <c r="F23967" s="7">
        <v>46206.86182967518</v>
      </c>
      <c r="G23967" s="3" t="s">
        <v>7217</v>
      </c>
    </row>
    <row r="23968">
      <c r="A23968" s="3" t="s">
        <v>40320</v>
      </c>
      <c r="B23968" s="3" t="s">
        <v>19729</v>
      </c>
      <c r="C23968" s="5" t="s">
        <v>614</v>
      </c>
      <c r="D23968" s="3" t="s">
        <v>206</v>
      </c>
      <c r="E23968" s="3" t="s">
        <v>100</v>
      </c>
      <c r="F23968" s="7">
        <v>46206.86530189741</v>
      </c>
      <c r="G23968" s="3" t="s">
        <v>7220</v>
      </c>
    </row>
    <row r="23969">
      <c r="A23969" s="3" t="s">
        <v>40321</v>
      </c>
      <c r="B23969" s="3" t="s">
        <v>19729</v>
      </c>
      <c r="C23969" s="5" t="s">
        <v>206</v>
      </c>
      <c r="D23969" s="3" t="s">
        <v>68</v>
      </c>
      <c r="E23969" s="3" t="s">
        <v>100</v>
      </c>
      <c r="F23969" s="7">
        <v>46206.868774119626</v>
      </c>
      <c r="G23969" s="3" t="s">
        <v>7223</v>
      </c>
    </row>
    <row r="23970">
      <c r="A23970" s="3" t="s">
        <v>40322</v>
      </c>
      <c r="B23970" s="3" t="s">
        <v>19731</v>
      </c>
      <c r="C23970" s="5" t="s">
        <v>45</v>
      </c>
      <c r="D23970" s="3" t="s">
        <v>221</v>
      </c>
      <c r="E23970" s="3" t="s">
        <v>627</v>
      </c>
      <c r="F23970" s="7">
        <v>46206.929532298374</v>
      </c>
      <c r="G23970" s="3" t="s">
        <v>5719</v>
      </c>
    </row>
    <row r="23971">
      <c r="A23971" s="3" t="s">
        <v>40323</v>
      </c>
      <c r="B23971" s="3" t="s">
        <v>19731</v>
      </c>
      <c r="C23971" s="5" t="s">
        <v>221</v>
      </c>
      <c r="D23971" s="3" t="s">
        <v>614</v>
      </c>
      <c r="E23971" s="3" t="s">
        <v>118</v>
      </c>
      <c r="F23971" s="7">
        <v>46206.93300452059</v>
      </c>
      <c r="G23971" s="3" t="s">
        <v>5723</v>
      </c>
    </row>
    <row r="23972">
      <c r="A23972" s="3" t="s">
        <v>40324</v>
      </c>
      <c r="B23972" s="3" t="s">
        <v>19731</v>
      </c>
      <c r="C23972" s="5" t="s">
        <v>614</v>
      </c>
      <c r="D23972" s="3" t="s">
        <v>206</v>
      </c>
      <c r="E23972" s="3" t="s">
        <v>100</v>
      </c>
      <c r="F23972" s="7">
        <v>46206.93647674282</v>
      </c>
      <c r="G23972" s="3" t="s">
        <v>5726</v>
      </c>
    </row>
    <row r="23973">
      <c r="A23973" s="3" t="s">
        <v>40325</v>
      </c>
      <c r="B23973" s="3" t="s">
        <v>19731</v>
      </c>
      <c r="C23973" s="5" t="s">
        <v>206</v>
      </c>
      <c r="D23973" s="3" t="s">
        <v>68</v>
      </c>
      <c r="E23973" s="3" t="s">
        <v>100</v>
      </c>
      <c r="F23973" s="7">
        <v>46206.93994896504</v>
      </c>
      <c r="G23973" s="3" t="s">
        <v>5729</v>
      </c>
    </row>
    <row r="23974">
      <c r="A23974" s="3" t="s">
        <v>40326</v>
      </c>
      <c r="B23974" s="3" t="s">
        <v>19733</v>
      </c>
      <c r="C23974" s="5" t="s">
        <v>45</v>
      </c>
      <c r="D23974" s="3" t="s">
        <v>221</v>
      </c>
      <c r="E23974" s="3" t="s">
        <v>816</v>
      </c>
      <c r="F23974" s="7">
        <v>46207.000707143794</v>
      </c>
      <c r="G23974" s="3" t="s">
        <v>7226</v>
      </c>
    </row>
    <row r="23975">
      <c r="A23975" s="3" t="s">
        <v>40327</v>
      </c>
      <c r="B23975" s="3" t="s">
        <v>19733</v>
      </c>
      <c r="C23975" s="5" t="s">
        <v>221</v>
      </c>
      <c r="D23975" s="3" t="s">
        <v>614</v>
      </c>
      <c r="E23975" s="3" t="s">
        <v>118</v>
      </c>
      <c r="F23975" s="7">
        <v>46207.00417936601</v>
      </c>
      <c r="G23975" s="3" t="s">
        <v>7229</v>
      </c>
    </row>
    <row r="23976">
      <c r="A23976" s="3" t="s">
        <v>40328</v>
      </c>
      <c r="B23976" s="3" t="s">
        <v>19733</v>
      </c>
      <c r="C23976" s="5" t="s">
        <v>614</v>
      </c>
      <c r="D23976" s="3" t="s">
        <v>206</v>
      </c>
      <c r="E23976" s="3" t="s">
        <v>100</v>
      </c>
      <c r="F23976" s="7">
        <v>46207.00765158824</v>
      </c>
      <c r="G23976" s="3" t="s">
        <v>7232</v>
      </c>
    </row>
    <row r="23977">
      <c r="A23977" s="3" t="s">
        <v>40329</v>
      </c>
      <c r="B23977" s="3" t="s">
        <v>19733</v>
      </c>
      <c r="C23977" s="5" t="s">
        <v>206</v>
      </c>
      <c r="D23977" s="3" t="s">
        <v>68</v>
      </c>
      <c r="E23977" s="3" t="s">
        <v>100</v>
      </c>
      <c r="F23977" s="7">
        <v>46207.01112381046</v>
      </c>
      <c r="G23977" s="3" t="s">
        <v>7235</v>
      </c>
    </row>
    <row r="23978">
      <c r="A23978" s="3" t="s">
        <v>40330</v>
      </c>
      <c r="B23978" s="3" t="s">
        <v>19735</v>
      </c>
      <c r="C23978" s="5" t="s">
        <v>45</v>
      </c>
      <c r="D23978" s="3" t="s">
        <v>221</v>
      </c>
      <c r="E23978" s="3" t="s">
        <v>449</v>
      </c>
      <c r="F23978" s="7">
        <v>46207.07188198921</v>
      </c>
      <c r="G23978" s="3" t="s">
        <v>17598</v>
      </c>
    </row>
    <row r="23979">
      <c r="A23979" s="3" t="s">
        <v>40331</v>
      </c>
      <c r="B23979" s="3" t="s">
        <v>19735</v>
      </c>
      <c r="C23979" s="5" t="s">
        <v>221</v>
      </c>
      <c r="D23979" s="3" t="s">
        <v>614</v>
      </c>
      <c r="E23979" s="3" t="s">
        <v>118</v>
      </c>
      <c r="F23979" s="7">
        <v>46207.07535421143</v>
      </c>
      <c r="G23979" s="3" t="s">
        <v>17601</v>
      </c>
    </row>
    <row r="23980">
      <c r="A23980" s="3" t="s">
        <v>40332</v>
      </c>
      <c r="B23980" s="3" t="s">
        <v>19735</v>
      </c>
      <c r="C23980" s="5" t="s">
        <v>614</v>
      </c>
      <c r="D23980" s="3" t="s">
        <v>206</v>
      </c>
      <c r="E23980" s="3" t="s">
        <v>100</v>
      </c>
      <c r="F23980" s="7">
        <v>46207.07882643366</v>
      </c>
      <c r="G23980" s="3" t="s">
        <v>17604</v>
      </c>
    </row>
    <row r="23981">
      <c r="A23981" s="3" t="s">
        <v>40333</v>
      </c>
      <c r="B23981" s="3" t="s">
        <v>19735</v>
      </c>
      <c r="C23981" s="5" t="s">
        <v>206</v>
      </c>
      <c r="D23981" s="3" t="s">
        <v>68</v>
      </c>
      <c r="E23981" s="3" t="s">
        <v>100</v>
      </c>
      <c r="F23981" s="7">
        <v>46207.08229865588</v>
      </c>
      <c r="G23981" s="3" t="s">
        <v>17607</v>
      </c>
    </row>
    <row r="23982">
      <c r="A23982" s="3" t="s">
        <v>40334</v>
      </c>
      <c r="B23982" s="3" t="s">
        <v>19737</v>
      </c>
      <c r="C23982" s="5" t="s">
        <v>45</v>
      </c>
      <c r="D23982" s="3" t="s">
        <v>221</v>
      </c>
      <c r="E23982" s="3" t="s">
        <v>1030</v>
      </c>
      <c r="F23982" s="7">
        <v>46207.14305683462</v>
      </c>
      <c r="G23982" s="3" t="s">
        <v>2770</v>
      </c>
    </row>
    <row r="23983">
      <c r="A23983" s="3" t="s">
        <v>40335</v>
      </c>
      <c r="B23983" s="3" t="s">
        <v>19737</v>
      </c>
      <c r="C23983" s="5" t="s">
        <v>221</v>
      </c>
      <c r="D23983" s="3" t="s">
        <v>181</v>
      </c>
      <c r="E23983" s="3" t="s">
        <v>118</v>
      </c>
      <c r="F23983" s="7">
        <v>46207.14652905684</v>
      </c>
      <c r="G23983" s="3" t="s">
        <v>2774</v>
      </c>
    </row>
    <row r="23984">
      <c r="A23984" s="3" t="s">
        <v>40336</v>
      </c>
      <c r="B23984" s="3" t="s">
        <v>19740</v>
      </c>
      <c r="C23984" s="5" t="s">
        <v>45</v>
      </c>
      <c r="D23984" s="3" t="s">
        <v>221</v>
      </c>
      <c r="E23984" s="3" t="s">
        <v>436</v>
      </c>
      <c r="F23984" s="7">
        <v>46207.21423168004</v>
      </c>
      <c r="G23984" s="3" t="s">
        <v>23658</v>
      </c>
    </row>
    <row r="23985">
      <c r="A23985" s="3" t="s">
        <v>40337</v>
      </c>
      <c r="B23985" s="3" t="s">
        <v>19740</v>
      </c>
      <c r="C23985" s="5" t="s">
        <v>221</v>
      </c>
      <c r="D23985" s="3" t="s">
        <v>614</v>
      </c>
      <c r="E23985" s="3" t="s">
        <v>118</v>
      </c>
      <c r="F23985" s="7">
        <v>46207.21770390226</v>
      </c>
      <c r="G23985" s="3" t="s">
        <v>40338</v>
      </c>
    </row>
    <row r="23986">
      <c r="A23986" s="3" t="s">
        <v>40339</v>
      </c>
      <c r="B23986" s="3" t="s">
        <v>19740</v>
      </c>
      <c r="C23986" s="5" t="s">
        <v>614</v>
      </c>
      <c r="D23986" s="3" t="s">
        <v>206</v>
      </c>
      <c r="E23986" s="3" t="s">
        <v>100</v>
      </c>
      <c r="F23986" s="7">
        <v>46207.22117612448</v>
      </c>
      <c r="G23986" s="3" t="s">
        <v>40340</v>
      </c>
    </row>
    <row r="23987">
      <c r="A23987" s="3" t="s">
        <v>40341</v>
      </c>
      <c r="B23987" s="3" t="s">
        <v>19740</v>
      </c>
      <c r="C23987" s="5" t="s">
        <v>206</v>
      </c>
      <c r="D23987" s="3" t="s">
        <v>68</v>
      </c>
      <c r="E23987" s="3" t="s">
        <v>100</v>
      </c>
      <c r="F23987" s="7">
        <v>46207.2246483467</v>
      </c>
      <c r="G23987" s="3" t="s">
        <v>40342</v>
      </c>
    </row>
    <row r="23988">
      <c r="A23988" s="3" t="s">
        <v>40343</v>
      </c>
      <c r="B23988" s="3" t="s">
        <v>19742</v>
      </c>
      <c r="C23988" s="5" t="s">
        <v>45</v>
      </c>
      <c r="D23988" s="3" t="s">
        <v>221</v>
      </c>
      <c r="E23988" s="3" t="s">
        <v>920</v>
      </c>
      <c r="F23988" s="7">
        <v>46207.28540652546</v>
      </c>
      <c r="G23988" s="3" t="s">
        <v>24853</v>
      </c>
    </row>
    <row r="23989">
      <c r="A23989" s="3" t="s">
        <v>40344</v>
      </c>
      <c r="B23989" s="3" t="s">
        <v>19742</v>
      </c>
      <c r="C23989" s="5" t="s">
        <v>221</v>
      </c>
      <c r="D23989" s="3" t="s">
        <v>614</v>
      </c>
      <c r="E23989" s="3" t="s">
        <v>118</v>
      </c>
      <c r="F23989" s="7">
        <v>46207.28887874768</v>
      </c>
      <c r="G23989" s="3" t="s">
        <v>24855</v>
      </c>
    </row>
    <row r="23990">
      <c r="A23990" s="3" t="s">
        <v>40345</v>
      </c>
      <c r="B23990" s="3" t="s">
        <v>19742</v>
      </c>
      <c r="C23990" s="5" t="s">
        <v>614</v>
      </c>
      <c r="D23990" s="3" t="s">
        <v>206</v>
      </c>
      <c r="E23990" s="3" t="s">
        <v>100</v>
      </c>
      <c r="F23990" s="7">
        <v>46207.2923509699</v>
      </c>
      <c r="G23990" s="3" t="s">
        <v>24857</v>
      </c>
    </row>
    <row r="23991">
      <c r="A23991" s="3" t="s">
        <v>40346</v>
      </c>
      <c r="B23991" s="3" t="s">
        <v>19742</v>
      </c>
      <c r="C23991" s="5" t="s">
        <v>206</v>
      </c>
      <c r="D23991" s="3" t="s">
        <v>68</v>
      </c>
      <c r="E23991" s="3" t="s">
        <v>100</v>
      </c>
      <c r="F23991" s="7">
        <v>46207.29582319212</v>
      </c>
      <c r="G23991" s="3" t="s">
        <v>24859</v>
      </c>
    </row>
    <row r="23992">
      <c r="A23992" s="3" t="s">
        <v>40347</v>
      </c>
      <c r="B23992" s="3" t="s">
        <v>19744</v>
      </c>
      <c r="C23992" s="5" t="s">
        <v>45</v>
      </c>
      <c r="D23992" s="3" t="s">
        <v>221</v>
      </c>
      <c r="E23992" s="3" t="s">
        <v>1026</v>
      </c>
      <c r="F23992" s="7">
        <v>46207.35658137087</v>
      </c>
      <c r="G23992" s="3" t="s">
        <v>19087</v>
      </c>
    </row>
    <row r="23993">
      <c r="A23993" s="3" t="s">
        <v>40348</v>
      </c>
      <c r="B23993" s="3" t="s">
        <v>19744</v>
      </c>
      <c r="C23993" s="5" t="s">
        <v>221</v>
      </c>
      <c r="D23993" s="3" t="s">
        <v>614</v>
      </c>
      <c r="E23993" s="3" t="s">
        <v>118</v>
      </c>
      <c r="F23993" s="7">
        <v>46207.36005359309</v>
      </c>
      <c r="G23993" s="3" t="s">
        <v>19090</v>
      </c>
    </row>
    <row r="23994">
      <c r="A23994" s="3" t="s">
        <v>40349</v>
      </c>
      <c r="B23994" s="3" t="s">
        <v>19744</v>
      </c>
      <c r="C23994" s="5" t="s">
        <v>614</v>
      </c>
      <c r="D23994" s="3" t="s">
        <v>206</v>
      </c>
      <c r="E23994" s="3" t="s">
        <v>100</v>
      </c>
      <c r="F23994" s="7">
        <v>46207.363525815315</v>
      </c>
      <c r="G23994" s="3" t="s">
        <v>19093</v>
      </c>
    </row>
    <row r="23995">
      <c r="A23995" s="3" t="s">
        <v>40350</v>
      </c>
      <c r="B23995" s="3" t="s">
        <v>19744</v>
      </c>
      <c r="C23995" s="5" t="s">
        <v>206</v>
      </c>
      <c r="D23995" s="3" t="s">
        <v>68</v>
      </c>
      <c r="E23995" s="3" t="s">
        <v>100</v>
      </c>
      <c r="F23995" s="7">
        <v>46207.366998037534</v>
      </c>
      <c r="G23995" s="3" t="s">
        <v>19096</v>
      </c>
    </row>
    <row r="23996">
      <c r="A23996" s="3" t="s">
        <v>40351</v>
      </c>
      <c r="B23996" s="3" t="s">
        <v>19745</v>
      </c>
      <c r="C23996" s="5" t="s">
        <v>45</v>
      </c>
      <c r="D23996" s="3" t="s">
        <v>221</v>
      </c>
      <c r="E23996" s="3" t="s">
        <v>591</v>
      </c>
      <c r="F23996" s="7">
        <v>46207.42775621628</v>
      </c>
      <c r="G23996" s="3" t="s">
        <v>13973</v>
      </c>
    </row>
    <row r="23997">
      <c r="A23997" s="3" t="s">
        <v>40352</v>
      </c>
      <c r="B23997" s="3" t="s">
        <v>19745</v>
      </c>
      <c r="C23997" s="5" t="s">
        <v>221</v>
      </c>
      <c r="D23997" s="3" t="s">
        <v>195</v>
      </c>
      <c r="E23997" s="3" t="s">
        <v>591</v>
      </c>
      <c r="F23997" s="7">
        <v>46207.4312284385</v>
      </c>
      <c r="G23997" s="3" t="s">
        <v>36197</v>
      </c>
    </row>
    <row r="23998">
      <c r="A23998" s="3" t="s">
        <v>40353</v>
      </c>
      <c r="B23998" s="3" t="s">
        <v>19747</v>
      </c>
      <c r="C23998" s="5" t="s">
        <v>45</v>
      </c>
      <c r="D23998" s="3" t="s">
        <v>221</v>
      </c>
      <c r="E23998" s="3" t="s">
        <v>793</v>
      </c>
      <c r="F23998" s="7">
        <v>46207.4989310617</v>
      </c>
      <c r="G23998" s="3" t="s">
        <v>24798</v>
      </c>
    </row>
    <row r="23999">
      <c r="A23999" s="3" t="s">
        <v>40354</v>
      </c>
      <c r="B23999" s="3" t="s">
        <v>19747</v>
      </c>
      <c r="C23999" s="5" t="s">
        <v>221</v>
      </c>
      <c r="D23999" s="3" t="s">
        <v>614</v>
      </c>
      <c r="E23999" s="3" t="s">
        <v>118</v>
      </c>
      <c r="F23999" s="7">
        <v>46207.50240328392</v>
      </c>
      <c r="G23999" s="3" t="s">
        <v>24800</v>
      </c>
    </row>
    <row r="24000">
      <c r="A24000" s="3" t="s">
        <v>40355</v>
      </c>
      <c r="B24000" s="3" t="s">
        <v>19747</v>
      </c>
      <c r="C24000" s="5" t="s">
        <v>614</v>
      </c>
      <c r="D24000" s="3" t="s">
        <v>206</v>
      </c>
      <c r="E24000" s="3" t="s">
        <v>100</v>
      </c>
      <c r="F24000" s="7">
        <v>46207.50587550615</v>
      </c>
      <c r="G24000" s="3" t="s">
        <v>24802</v>
      </c>
    </row>
    <row r="24001">
      <c r="A24001" s="3" t="s">
        <v>40356</v>
      </c>
      <c r="B24001" s="3" t="s">
        <v>19747</v>
      </c>
      <c r="C24001" s="5" t="s">
        <v>206</v>
      </c>
      <c r="D24001" s="3" t="s">
        <v>68</v>
      </c>
      <c r="E24001" s="3" t="s">
        <v>100</v>
      </c>
      <c r="F24001" s="7">
        <v>46207.509347728366</v>
      </c>
      <c r="G24001" s="3" t="s">
        <v>24804</v>
      </c>
    </row>
    <row r="24002">
      <c r="A24002" s="3" t="s">
        <v>40357</v>
      </c>
      <c r="B24002" s="3" t="s">
        <v>19749</v>
      </c>
      <c r="C24002" s="5" t="s">
        <v>45</v>
      </c>
      <c r="D24002" s="3" t="s">
        <v>221</v>
      </c>
      <c r="E24002" s="3" t="s">
        <v>591</v>
      </c>
      <c r="F24002" s="7">
        <v>46207.570105907114</v>
      </c>
      <c r="G24002" s="3" t="s">
        <v>13973</v>
      </c>
    </row>
    <row r="24003">
      <c r="A24003" s="3" t="s">
        <v>40358</v>
      </c>
      <c r="B24003" s="3" t="s">
        <v>19749</v>
      </c>
      <c r="C24003" s="5" t="s">
        <v>221</v>
      </c>
      <c r="D24003" s="3" t="s">
        <v>614</v>
      </c>
      <c r="E24003" s="3" t="s">
        <v>118</v>
      </c>
      <c r="F24003" s="7">
        <v>46207.57357812933</v>
      </c>
      <c r="G24003" s="3" t="s">
        <v>13976</v>
      </c>
    </row>
    <row r="24004">
      <c r="A24004" s="3" t="s">
        <v>40359</v>
      </c>
      <c r="B24004" s="3" t="s">
        <v>19749</v>
      </c>
      <c r="C24004" s="5" t="s">
        <v>614</v>
      </c>
      <c r="D24004" s="3" t="s">
        <v>206</v>
      </c>
      <c r="E24004" s="3" t="s">
        <v>100</v>
      </c>
      <c r="F24004" s="7">
        <v>46207.57705035156</v>
      </c>
      <c r="G24004" s="3" t="s">
        <v>13979</v>
      </c>
    </row>
    <row r="24005">
      <c r="A24005" s="3" t="s">
        <v>40360</v>
      </c>
      <c r="B24005" s="3" t="s">
        <v>19749</v>
      </c>
      <c r="C24005" s="5" t="s">
        <v>206</v>
      </c>
      <c r="D24005" s="3" t="s">
        <v>68</v>
      </c>
      <c r="E24005" s="3" t="s">
        <v>100</v>
      </c>
      <c r="F24005" s="7">
        <v>46207.58052257378</v>
      </c>
      <c r="G24005" s="3" t="s">
        <v>13982</v>
      </c>
    </row>
    <row r="24006">
      <c r="A24006" s="3" t="s">
        <v>40361</v>
      </c>
      <c r="B24006" s="3" t="s">
        <v>19751</v>
      </c>
      <c r="C24006" s="5" t="s">
        <v>45</v>
      </c>
      <c r="D24006" s="3" t="s">
        <v>221</v>
      </c>
      <c r="E24006" s="3" t="s">
        <v>561</v>
      </c>
      <c r="F24006" s="7">
        <v>46207.64128075253</v>
      </c>
      <c r="G24006" s="3" t="s">
        <v>7261</v>
      </c>
    </row>
    <row r="24007">
      <c r="A24007" s="3" t="s">
        <v>40362</v>
      </c>
      <c r="B24007" s="3" t="s">
        <v>19751</v>
      </c>
      <c r="C24007" s="5" t="s">
        <v>221</v>
      </c>
      <c r="D24007" s="3" t="s">
        <v>614</v>
      </c>
      <c r="E24007" s="3" t="s">
        <v>118</v>
      </c>
      <c r="F24007" s="7">
        <v>46207.644752974746</v>
      </c>
      <c r="G24007" s="3" t="s">
        <v>7264</v>
      </c>
    </row>
    <row r="24008">
      <c r="A24008" s="3" t="s">
        <v>40363</v>
      </c>
      <c r="B24008" s="3" t="s">
        <v>19751</v>
      </c>
      <c r="C24008" s="5" t="s">
        <v>614</v>
      </c>
      <c r="D24008" s="3" t="s">
        <v>206</v>
      </c>
      <c r="E24008" s="3" t="s">
        <v>100</v>
      </c>
      <c r="F24008" s="7">
        <v>46207.64822519697</v>
      </c>
      <c r="G24008" s="3" t="s">
        <v>7266</v>
      </c>
    </row>
    <row r="24009">
      <c r="A24009" s="3" t="s">
        <v>40364</v>
      </c>
      <c r="B24009" s="3" t="s">
        <v>19751</v>
      </c>
      <c r="C24009" s="5" t="s">
        <v>206</v>
      </c>
      <c r="D24009" s="3" t="s">
        <v>68</v>
      </c>
      <c r="E24009" s="3" t="s">
        <v>100</v>
      </c>
      <c r="F24009" s="7">
        <v>46207.65169741919</v>
      </c>
      <c r="G24009" s="3" t="s">
        <v>7269</v>
      </c>
    </row>
    <row r="24010">
      <c r="A24010" s="3" t="s">
        <v>40365</v>
      </c>
      <c r="B24010" s="3" t="s">
        <v>19753</v>
      </c>
      <c r="C24010" s="5" t="s">
        <v>45</v>
      </c>
      <c r="D24010" s="3" t="s">
        <v>221</v>
      </c>
      <c r="E24010" s="3" t="s">
        <v>475</v>
      </c>
      <c r="F24010" s="7">
        <v>46207.712455597946</v>
      </c>
      <c r="G24010" s="3" t="s">
        <v>4574</v>
      </c>
    </row>
    <row r="24011">
      <c r="A24011" s="3" t="s">
        <v>40366</v>
      </c>
      <c r="B24011" s="3" t="s">
        <v>19753</v>
      </c>
      <c r="C24011" s="5" t="s">
        <v>221</v>
      </c>
      <c r="D24011" s="3" t="s">
        <v>614</v>
      </c>
      <c r="E24011" s="3" t="s">
        <v>118</v>
      </c>
      <c r="F24011" s="7">
        <v>46207.715927820165</v>
      </c>
      <c r="G24011" s="3" t="s">
        <v>4576</v>
      </c>
    </row>
    <row r="24012">
      <c r="A24012" s="3" t="s">
        <v>40367</v>
      </c>
      <c r="B24012" s="3" t="s">
        <v>19753</v>
      </c>
      <c r="C24012" s="5" t="s">
        <v>614</v>
      </c>
      <c r="D24012" s="3" t="s">
        <v>206</v>
      </c>
      <c r="E24012" s="3" t="s">
        <v>100</v>
      </c>
      <c r="F24012" s="7">
        <v>46207.71940004239</v>
      </c>
      <c r="G24012" s="3" t="s">
        <v>4579</v>
      </c>
    </row>
    <row r="24013">
      <c r="A24013" s="3" t="s">
        <v>40368</v>
      </c>
      <c r="B24013" s="3" t="s">
        <v>19753</v>
      </c>
      <c r="C24013" s="5" t="s">
        <v>206</v>
      </c>
      <c r="D24013" s="3" t="s">
        <v>68</v>
      </c>
      <c r="E24013" s="3" t="s">
        <v>100</v>
      </c>
      <c r="F24013" s="7">
        <v>46207.72287226461</v>
      </c>
      <c r="G24013" s="3" t="s">
        <v>4582</v>
      </c>
    </row>
    <row r="24014">
      <c r="A24014" s="3" t="s">
        <v>40369</v>
      </c>
      <c r="B24014" s="3" t="s">
        <v>19755</v>
      </c>
      <c r="C24014" s="5" t="s">
        <v>45</v>
      </c>
      <c r="D24014" s="3" t="s">
        <v>221</v>
      </c>
      <c r="E24014" s="3" t="s">
        <v>1037</v>
      </c>
      <c r="F24014" s="7">
        <v>46207.783630443366</v>
      </c>
      <c r="G24014" s="3" t="s">
        <v>23181</v>
      </c>
    </row>
    <row r="24015">
      <c r="A24015" s="3" t="s">
        <v>40370</v>
      </c>
      <c r="B24015" s="3" t="s">
        <v>19755</v>
      </c>
      <c r="C24015" s="5" t="s">
        <v>221</v>
      </c>
      <c r="D24015" s="3" t="s">
        <v>614</v>
      </c>
      <c r="E24015" s="3" t="s">
        <v>118</v>
      </c>
      <c r="F24015" s="7">
        <v>46207.787102665585</v>
      </c>
      <c r="G24015" s="3" t="s">
        <v>40371</v>
      </c>
    </row>
    <row r="24016">
      <c r="A24016" s="3" t="s">
        <v>40372</v>
      </c>
      <c r="B24016" s="3" t="s">
        <v>19755</v>
      </c>
      <c r="C24016" s="5" t="s">
        <v>614</v>
      </c>
      <c r="D24016" s="3" t="s">
        <v>206</v>
      </c>
      <c r="E24016" s="3" t="s">
        <v>100</v>
      </c>
      <c r="F24016" s="7">
        <v>46207.79057488781</v>
      </c>
      <c r="G24016" s="3" t="s">
        <v>40373</v>
      </c>
    </row>
    <row r="24017">
      <c r="A24017" s="3" t="s">
        <v>40374</v>
      </c>
      <c r="B24017" s="3" t="s">
        <v>19755</v>
      </c>
      <c r="C24017" s="5" t="s">
        <v>206</v>
      </c>
      <c r="D24017" s="3" t="s">
        <v>68</v>
      </c>
      <c r="E24017" s="3" t="s">
        <v>100</v>
      </c>
      <c r="F24017" s="7">
        <v>46207.79404711003</v>
      </c>
      <c r="G24017" s="3" t="s">
        <v>40375</v>
      </c>
    </row>
    <row r="24018">
      <c r="A24018" s="3" t="s">
        <v>40376</v>
      </c>
      <c r="B24018" s="3" t="s">
        <v>19758</v>
      </c>
      <c r="C24018" s="5" t="s">
        <v>45</v>
      </c>
      <c r="D24018" s="3" t="s">
        <v>221</v>
      </c>
      <c r="E24018" s="3" t="s">
        <v>643</v>
      </c>
      <c r="F24018" s="7">
        <v>46207.85480528877</v>
      </c>
      <c r="G24018" s="3" t="s">
        <v>7330</v>
      </c>
    </row>
    <row r="24019">
      <c r="A24019" s="3" t="s">
        <v>40377</v>
      </c>
      <c r="B24019" s="3" t="s">
        <v>19758</v>
      </c>
      <c r="C24019" s="5" t="s">
        <v>221</v>
      </c>
      <c r="D24019" s="3" t="s">
        <v>614</v>
      </c>
      <c r="E24019" s="3" t="s">
        <v>118</v>
      </c>
      <c r="F24019" s="7">
        <v>46207.85827751099</v>
      </c>
      <c r="G24019" s="3" t="s">
        <v>7333</v>
      </c>
    </row>
    <row r="24020">
      <c r="A24020" s="3" t="s">
        <v>40378</v>
      </c>
      <c r="B24020" s="3" t="s">
        <v>19758</v>
      </c>
      <c r="C24020" s="5" t="s">
        <v>614</v>
      </c>
      <c r="D24020" s="3" t="s">
        <v>206</v>
      </c>
      <c r="E24020" s="3" t="s">
        <v>100</v>
      </c>
      <c r="F24020" s="7">
        <v>46207.861749733216</v>
      </c>
      <c r="G24020" s="3" t="s">
        <v>7336</v>
      </c>
    </row>
    <row r="24021">
      <c r="A24021" s="3" t="s">
        <v>40379</v>
      </c>
      <c r="B24021" s="3" t="s">
        <v>19758</v>
      </c>
      <c r="C24021" s="5" t="s">
        <v>206</v>
      </c>
      <c r="D24021" s="3" t="s">
        <v>68</v>
      </c>
      <c r="E24021" s="3" t="s">
        <v>100</v>
      </c>
      <c r="F24021" s="7">
        <v>46207.865221955435</v>
      </c>
      <c r="G24021" s="3" t="s">
        <v>7339</v>
      </c>
    </row>
    <row r="24022">
      <c r="A24022" s="3" t="s">
        <v>40380</v>
      </c>
      <c r="B24022" s="3" t="s">
        <v>19760</v>
      </c>
      <c r="C24022" s="5" t="s">
        <v>45</v>
      </c>
      <c r="D24022" s="3" t="s">
        <v>221</v>
      </c>
      <c r="E24022" s="3" t="s">
        <v>493</v>
      </c>
      <c r="F24022" s="7">
        <v>46207.92598013419</v>
      </c>
      <c r="G24022" s="3" t="s">
        <v>20038</v>
      </c>
    </row>
    <row r="24023">
      <c r="A24023" s="3" t="s">
        <v>40381</v>
      </c>
      <c r="B24023" s="3" t="s">
        <v>19760</v>
      </c>
      <c r="C24023" s="5" t="s">
        <v>221</v>
      </c>
      <c r="D24023" s="3" t="s">
        <v>181</v>
      </c>
      <c r="E24023" s="3" t="s">
        <v>118</v>
      </c>
      <c r="F24023" s="7">
        <v>46207.92945235641</v>
      </c>
      <c r="G24023" s="3" t="s">
        <v>29449</v>
      </c>
    </row>
    <row r="24024">
      <c r="A24024" s="3" t="s">
        <v>40382</v>
      </c>
      <c r="B24024" s="3" t="s">
        <v>19762</v>
      </c>
      <c r="C24024" s="5" t="s">
        <v>45</v>
      </c>
      <c r="D24024" s="3" t="s">
        <v>221</v>
      </c>
      <c r="E24024" s="3" t="s">
        <v>731</v>
      </c>
      <c r="F24024" s="7">
        <v>46207.9971549796</v>
      </c>
      <c r="G24024" s="3" t="s">
        <v>17592</v>
      </c>
    </row>
    <row r="24025">
      <c r="A24025" s="3" t="s">
        <v>40383</v>
      </c>
      <c r="B24025" s="3" t="s">
        <v>19762</v>
      </c>
      <c r="C24025" s="5" t="s">
        <v>221</v>
      </c>
      <c r="D24025" s="3" t="s">
        <v>614</v>
      </c>
      <c r="E24025" s="3" t="s">
        <v>118</v>
      </c>
      <c r="F24025" s="7">
        <v>46208.00062720182</v>
      </c>
      <c r="G24025" s="3" t="s">
        <v>19466</v>
      </c>
    </row>
    <row r="24026">
      <c r="A24026" s="3" t="s">
        <v>40384</v>
      </c>
      <c r="B24026" s="3" t="s">
        <v>19762</v>
      </c>
      <c r="C24026" s="5" t="s">
        <v>614</v>
      </c>
      <c r="D24026" s="3" t="s">
        <v>206</v>
      </c>
      <c r="E24026" s="3" t="s">
        <v>100</v>
      </c>
      <c r="F24026" s="7">
        <v>46208.00409942405</v>
      </c>
      <c r="G24026" s="3" t="s">
        <v>19469</v>
      </c>
    </row>
    <row r="24027">
      <c r="A24027" s="3" t="s">
        <v>40385</v>
      </c>
      <c r="B24027" s="3" t="s">
        <v>19762</v>
      </c>
      <c r="C24027" s="5" t="s">
        <v>206</v>
      </c>
      <c r="D24027" s="3" t="s">
        <v>68</v>
      </c>
      <c r="E24027" s="3" t="s">
        <v>100</v>
      </c>
      <c r="F24027" s="7">
        <v>46208.00757164627</v>
      </c>
      <c r="G24027" s="3" t="s">
        <v>19472</v>
      </c>
    </row>
    <row r="24028">
      <c r="A24028" s="3" t="s">
        <v>40386</v>
      </c>
      <c r="B24028" s="3" t="s">
        <v>19764</v>
      </c>
      <c r="C24028" s="5" t="s">
        <v>45</v>
      </c>
      <c r="D24028" s="3" t="s">
        <v>221</v>
      </c>
      <c r="E24028" s="3" t="s">
        <v>319</v>
      </c>
      <c r="F24028" s="7">
        <v>46208.06832982502</v>
      </c>
      <c r="G24028" s="3" t="s">
        <v>7354</v>
      </c>
    </row>
    <row r="24029">
      <c r="A24029" s="3" t="s">
        <v>40387</v>
      </c>
      <c r="B24029" s="3" t="s">
        <v>19764</v>
      </c>
      <c r="C24029" s="5" t="s">
        <v>221</v>
      </c>
      <c r="D24029" s="3" t="s">
        <v>614</v>
      </c>
      <c r="E24029" s="3" t="s">
        <v>118</v>
      </c>
      <c r="F24029" s="7">
        <v>46208.07180204724</v>
      </c>
      <c r="G24029" s="3" t="s">
        <v>7357</v>
      </c>
    </row>
    <row r="24030">
      <c r="A24030" s="3" t="s">
        <v>40388</v>
      </c>
      <c r="B24030" s="3" t="s">
        <v>19764</v>
      </c>
      <c r="C24030" s="5" t="s">
        <v>614</v>
      </c>
      <c r="D24030" s="3" t="s">
        <v>206</v>
      </c>
      <c r="E24030" s="3" t="s">
        <v>100</v>
      </c>
      <c r="F24030" s="7">
        <v>46208.07527426947</v>
      </c>
      <c r="G24030" s="3" t="s">
        <v>7359</v>
      </c>
    </row>
    <row r="24031">
      <c r="A24031" s="3" t="s">
        <v>40389</v>
      </c>
      <c r="B24031" s="3" t="s">
        <v>19764</v>
      </c>
      <c r="C24031" s="5" t="s">
        <v>206</v>
      </c>
      <c r="D24031" s="3" t="s">
        <v>68</v>
      </c>
      <c r="E24031" s="3" t="s">
        <v>100</v>
      </c>
      <c r="F24031" s="7">
        <v>46208.07874649169</v>
      </c>
      <c r="G24031" s="3" t="s">
        <v>7362</v>
      </c>
    </row>
    <row r="24032">
      <c r="A24032" s="3" t="s">
        <v>40390</v>
      </c>
      <c r="B24032" s="3" t="s">
        <v>19767</v>
      </c>
      <c r="C24032" s="5" t="s">
        <v>45</v>
      </c>
      <c r="D24032" s="3" t="s">
        <v>221</v>
      </c>
      <c r="E24032" s="3" t="s">
        <v>404</v>
      </c>
      <c r="F24032" s="7">
        <v>46208.139504670435</v>
      </c>
      <c r="G24032" s="3" t="s">
        <v>29899</v>
      </c>
    </row>
    <row r="24033">
      <c r="A24033" s="3" t="s">
        <v>40391</v>
      </c>
      <c r="B24033" s="3" t="s">
        <v>19767</v>
      </c>
      <c r="C24033" s="5" t="s">
        <v>221</v>
      </c>
      <c r="D24033" s="3" t="s">
        <v>614</v>
      </c>
      <c r="E24033" s="3" t="s">
        <v>118</v>
      </c>
      <c r="F24033" s="7">
        <v>46208.142976892654</v>
      </c>
      <c r="G24033" s="3" t="s">
        <v>29901</v>
      </c>
    </row>
    <row r="24034">
      <c r="A24034" s="3" t="s">
        <v>40392</v>
      </c>
      <c r="B24034" s="3" t="s">
        <v>19767</v>
      </c>
      <c r="C24034" s="5" t="s">
        <v>614</v>
      </c>
      <c r="D24034" s="3" t="s">
        <v>206</v>
      </c>
      <c r="E24034" s="3" t="s">
        <v>100</v>
      </c>
      <c r="F24034" s="7">
        <v>46208.14644911488</v>
      </c>
      <c r="G24034" s="3" t="s">
        <v>29903</v>
      </c>
    </row>
    <row r="24035">
      <c r="A24035" s="3" t="s">
        <v>40393</v>
      </c>
      <c r="B24035" s="3" t="s">
        <v>19767</v>
      </c>
      <c r="C24035" s="5" t="s">
        <v>206</v>
      </c>
      <c r="D24035" s="3" t="s">
        <v>68</v>
      </c>
      <c r="E24035" s="3" t="s">
        <v>100</v>
      </c>
      <c r="F24035" s="7">
        <v>46208.1499213371</v>
      </c>
      <c r="G24035" s="3" t="s">
        <v>29905</v>
      </c>
    </row>
    <row r="24036">
      <c r="A24036" s="3" t="s">
        <v>40394</v>
      </c>
      <c r="B24036" s="3" t="s">
        <v>19769</v>
      </c>
      <c r="C24036" s="5" t="s">
        <v>45</v>
      </c>
      <c r="D24036" s="3" t="s">
        <v>221</v>
      </c>
      <c r="E24036" s="3" t="s">
        <v>848</v>
      </c>
      <c r="F24036" s="7">
        <v>46208.210679515854</v>
      </c>
      <c r="G24036" s="3" t="s">
        <v>19315</v>
      </c>
    </row>
    <row r="24037">
      <c r="A24037" s="3" t="s">
        <v>40395</v>
      </c>
      <c r="B24037" s="3" t="s">
        <v>19769</v>
      </c>
      <c r="C24037" s="5" t="s">
        <v>221</v>
      </c>
      <c r="D24037" s="3" t="s">
        <v>614</v>
      </c>
      <c r="E24037" s="3" t="s">
        <v>118</v>
      </c>
      <c r="F24037" s="7">
        <v>46208.21415173807</v>
      </c>
      <c r="G24037" s="3" t="s">
        <v>19317</v>
      </c>
    </row>
    <row r="24038">
      <c r="A24038" s="3" t="s">
        <v>40396</v>
      </c>
      <c r="B24038" s="3" t="s">
        <v>19769</v>
      </c>
      <c r="C24038" s="5" t="s">
        <v>614</v>
      </c>
      <c r="D24038" s="3" t="s">
        <v>206</v>
      </c>
      <c r="E24038" s="3" t="s">
        <v>100</v>
      </c>
      <c r="F24038" s="7">
        <v>46208.2176239603</v>
      </c>
      <c r="G24038" s="3" t="s">
        <v>19320</v>
      </c>
    </row>
    <row r="24039">
      <c r="A24039" s="3" t="s">
        <v>40397</v>
      </c>
      <c r="B24039" s="3" t="s">
        <v>19769</v>
      </c>
      <c r="C24039" s="5" t="s">
        <v>206</v>
      </c>
      <c r="D24039" s="3" t="s">
        <v>68</v>
      </c>
      <c r="E24039" s="3" t="s">
        <v>100</v>
      </c>
      <c r="F24039" s="7">
        <v>46208.22109618252</v>
      </c>
      <c r="G24039" s="3" t="s">
        <v>19323</v>
      </c>
    </row>
    <row r="24040">
      <c r="A24040" s="3" t="s">
        <v>40398</v>
      </c>
      <c r="B24040" s="3" t="s">
        <v>19771</v>
      </c>
      <c r="C24040" s="5" t="s">
        <v>45</v>
      </c>
      <c r="D24040" s="3" t="s">
        <v>221</v>
      </c>
      <c r="E24040" s="3" t="s">
        <v>793</v>
      </c>
      <c r="F24040" s="7">
        <v>46208.28185436126</v>
      </c>
      <c r="G24040" s="3" t="s">
        <v>5774</v>
      </c>
    </row>
    <row r="24041">
      <c r="A24041" s="3" t="s">
        <v>40399</v>
      </c>
      <c r="B24041" s="3" t="s">
        <v>19771</v>
      </c>
      <c r="C24041" s="5" t="s">
        <v>221</v>
      </c>
      <c r="D24041" s="3" t="s">
        <v>614</v>
      </c>
      <c r="E24041" s="3" t="s">
        <v>118</v>
      </c>
      <c r="F24041" s="7">
        <v>46208.28532658348</v>
      </c>
      <c r="G24041" s="3" t="s">
        <v>5777</v>
      </c>
    </row>
    <row r="24042">
      <c r="A24042" s="3" t="s">
        <v>40400</v>
      </c>
      <c r="B24042" s="3" t="s">
        <v>19771</v>
      </c>
      <c r="C24042" s="5" t="s">
        <v>614</v>
      </c>
      <c r="D24042" s="3" t="s">
        <v>206</v>
      </c>
      <c r="E24042" s="3" t="s">
        <v>100</v>
      </c>
      <c r="F24042" s="7">
        <v>46208.288798805705</v>
      </c>
      <c r="G24042" s="3" t="s">
        <v>5780</v>
      </c>
    </row>
    <row r="24043">
      <c r="A24043" s="3" t="s">
        <v>40401</v>
      </c>
      <c r="B24043" s="3" t="s">
        <v>19771</v>
      </c>
      <c r="C24043" s="5" t="s">
        <v>206</v>
      </c>
      <c r="D24043" s="3" t="s">
        <v>68</v>
      </c>
      <c r="E24043" s="3" t="s">
        <v>100</v>
      </c>
      <c r="F24043" s="7">
        <v>46208.29227102792</v>
      </c>
      <c r="G24043" s="3" t="s">
        <v>5783</v>
      </c>
    </row>
    <row r="24044">
      <c r="A24044" s="3" t="s">
        <v>40402</v>
      </c>
      <c r="B24044" s="3" t="s">
        <v>19773</v>
      </c>
      <c r="C24044" s="5" t="s">
        <v>45</v>
      </c>
      <c r="D24044" s="3" t="s">
        <v>221</v>
      </c>
      <c r="E24044" s="3" t="s">
        <v>145</v>
      </c>
      <c r="F24044" s="7">
        <v>46208.35302920668</v>
      </c>
      <c r="G24044" s="3" t="s">
        <v>28483</v>
      </c>
    </row>
    <row r="24045">
      <c r="A24045" s="3" t="s">
        <v>40403</v>
      </c>
      <c r="B24045" s="3" t="s">
        <v>19773</v>
      </c>
      <c r="C24045" s="5" t="s">
        <v>221</v>
      </c>
      <c r="D24045" s="3" t="s">
        <v>614</v>
      </c>
      <c r="E24045" s="3" t="s">
        <v>118</v>
      </c>
      <c r="F24045" s="7">
        <v>46208.3565014289</v>
      </c>
      <c r="G24045" s="3" t="s">
        <v>28485</v>
      </c>
    </row>
    <row r="24046">
      <c r="A24046" s="3" t="s">
        <v>40404</v>
      </c>
      <c r="B24046" s="3" t="s">
        <v>19773</v>
      </c>
      <c r="C24046" s="5" t="s">
        <v>614</v>
      </c>
      <c r="D24046" s="3" t="s">
        <v>206</v>
      </c>
      <c r="E24046" s="3" t="s">
        <v>100</v>
      </c>
      <c r="F24046" s="7">
        <v>46208.359973651124</v>
      </c>
      <c r="G24046" s="3" t="s">
        <v>28487</v>
      </c>
    </row>
    <row r="24047">
      <c r="A24047" s="3" t="s">
        <v>40405</v>
      </c>
      <c r="B24047" s="3" t="s">
        <v>19773</v>
      </c>
      <c r="C24047" s="5" t="s">
        <v>206</v>
      </c>
      <c r="D24047" s="3" t="s">
        <v>68</v>
      </c>
      <c r="E24047" s="3" t="s">
        <v>100</v>
      </c>
      <c r="F24047" s="7">
        <v>46208.36344587334</v>
      </c>
      <c r="G24047" s="3" t="s">
        <v>28489</v>
      </c>
    </row>
    <row r="24048">
      <c r="A24048" s="3" t="s">
        <v>40406</v>
      </c>
      <c r="B24048" s="3" t="s">
        <v>19776</v>
      </c>
      <c r="C24048" s="5" t="s">
        <v>45</v>
      </c>
      <c r="D24048" s="3" t="s">
        <v>221</v>
      </c>
      <c r="E24048" s="3" t="s">
        <v>523</v>
      </c>
      <c r="F24048" s="7">
        <v>46208.4242040521</v>
      </c>
      <c r="G24048" s="3" t="s">
        <v>40407</v>
      </c>
    </row>
    <row r="24049">
      <c r="A24049" s="3" t="s">
        <v>40408</v>
      </c>
      <c r="B24049" s="3" t="s">
        <v>19776</v>
      </c>
      <c r="C24049" s="5" t="s">
        <v>221</v>
      </c>
      <c r="D24049" s="3" t="s">
        <v>614</v>
      </c>
      <c r="E24049" s="3" t="s">
        <v>118</v>
      </c>
      <c r="F24049" s="7">
        <v>46208.42767627432</v>
      </c>
      <c r="G24049" s="3" t="s">
        <v>40409</v>
      </c>
    </row>
    <row r="24050">
      <c r="A24050" s="3" t="s">
        <v>40410</v>
      </c>
      <c r="B24050" s="3" t="s">
        <v>19776</v>
      </c>
      <c r="C24050" s="5" t="s">
        <v>614</v>
      </c>
      <c r="D24050" s="3" t="s">
        <v>206</v>
      </c>
      <c r="E24050" s="3" t="s">
        <v>100</v>
      </c>
      <c r="F24050" s="7">
        <v>46208.431148496544</v>
      </c>
      <c r="G24050" s="3" t="s">
        <v>40411</v>
      </c>
    </row>
    <row r="24051">
      <c r="A24051" s="3" t="s">
        <v>40412</v>
      </c>
      <c r="B24051" s="3" t="s">
        <v>19776</v>
      </c>
      <c r="C24051" s="5" t="s">
        <v>206</v>
      </c>
      <c r="D24051" s="3" t="s">
        <v>68</v>
      </c>
      <c r="E24051" s="3" t="s">
        <v>100</v>
      </c>
      <c r="F24051" s="7">
        <v>46208.43462071876</v>
      </c>
      <c r="G24051" s="3" t="s">
        <v>40413</v>
      </c>
    </row>
    <row r="24052">
      <c r="A24052" s="3" t="s">
        <v>40414</v>
      </c>
      <c r="B24052" s="3" t="s">
        <v>19780</v>
      </c>
      <c r="C24052" s="5" t="s">
        <v>45</v>
      </c>
      <c r="D24052" s="3" t="s">
        <v>221</v>
      </c>
      <c r="E24052" s="3" t="s">
        <v>505</v>
      </c>
      <c r="F24052" s="7">
        <v>46208.49537889751</v>
      </c>
      <c r="G24052" s="3" t="s">
        <v>7365</v>
      </c>
    </row>
    <row r="24053">
      <c r="A24053" s="3" t="s">
        <v>40415</v>
      </c>
      <c r="B24053" s="3" t="s">
        <v>19780</v>
      </c>
      <c r="C24053" s="5" t="s">
        <v>221</v>
      </c>
      <c r="D24053" s="3" t="s">
        <v>614</v>
      </c>
      <c r="E24053" s="3" t="s">
        <v>118</v>
      </c>
      <c r="F24053" s="7">
        <v>46208.49885111973</v>
      </c>
      <c r="G24053" s="3" t="s">
        <v>7368</v>
      </c>
    </row>
    <row r="24054">
      <c r="A24054" s="3" t="s">
        <v>40416</v>
      </c>
      <c r="B24054" s="3" t="s">
        <v>19780</v>
      </c>
      <c r="C24054" s="5" t="s">
        <v>614</v>
      </c>
      <c r="D24054" s="3" t="s">
        <v>206</v>
      </c>
      <c r="E24054" s="3" t="s">
        <v>100</v>
      </c>
      <c r="F24054" s="7">
        <v>46208.502323341956</v>
      </c>
      <c r="G24054" s="3" t="s">
        <v>7371</v>
      </c>
    </row>
    <row r="24055">
      <c r="A24055" s="3" t="s">
        <v>40417</v>
      </c>
      <c r="B24055" s="3" t="s">
        <v>19780</v>
      </c>
      <c r="C24055" s="5" t="s">
        <v>206</v>
      </c>
      <c r="D24055" s="3" t="s">
        <v>68</v>
      </c>
      <c r="E24055" s="3" t="s">
        <v>100</v>
      </c>
      <c r="F24055" s="7">
        <v>46208.505795564175</v>
      </c>
      <c r="G24055" s="3" t="s">
        <v>7374</v>
      </c>
    </row>
    <row r="24056">
      <c r="A24056" s="3" t="s">
        <v>40418</v>
      </c>
      <c r="B24056" s="3" t="s">
        <v>19783</v>
      </c>
      <c r="C24056" s="5" t="s">
        <v>45</v>
      </c>
      <c r="D24056" s="3" t="s">
        <v>221</v>
      </c>
      <c r="E24056" s="3" t="s">
        <v>976</v>
      </c>
      <c r="F24056" s="7">
        <v>46208.56655374292</v>
      </c>
      <c r="G24056" s="3" t="s">
        <v>31595</v>
      </c>
    </row>
    <row r="24057">
      <c r="A24057" s="3" t="s">
        <v>40419</v>
      </c>
      <c r="B24057" s="3" t="s">
        <v>19783</v>
      </c>
      <c r="C24057" s="5" t="s">
        <v>221</v>
      </c>
      <c r="D24057" s="3" t="s">
        <v>614</v>
      </c>
      <c r="E24057" s="3" t="s">
        <v>118</v>
      </c>
      <c r="F24057" s="7">
        <v>46208.57002596514</v>
      </c>
      <c r="G24057" s="3" t="s">
        <v>32295</v>
      </c>
    </row>
    <row r="24058">
      <c r="A24058" s="3" t="s">
        <v>40420</v>
      </c>
      <c r="B24058" s="3" t="s">
        <v>19783</v>
      </c>
      <c r="C24058" s="5" t="s">
        <v>614</v>
      </c>
      <c r="D24058" s="3" t="s">
        <v>206</v>
      </c>
      <c r="E24058" s="3" t="s">
        <v>100</v>
      </c>
      <c r="F24058" s="7">
        <v>46208.57349818737</v>
      </c>
      <c r="G24058" s="3" t="s">
        <v>32297</v>
      </c>
    </row>
    <row r="24059">
      <c r="A24059" s="3" t="s">
        <v>40421</v>
      </c>
      <c r="B24059" s="3" t="s">
        <v>19783</v>
      </c>
      <c r="C24059" s="5" t="s">
        <v>206</v>
      </c>
      <c r="D24059" s="3" t="s">
        <v>68</v>
      </c>
      <c r="E24059" s="3" t="s">
        <v>100</v>
      </c>
      <c r="F24059" s="7">
        <v>46208.57697040959</v>
      </c>
      <c r="G24059" s="3" t="s">
        <v>32299</v>
      </c>
    </row>
    <row r="24060">
      <c r="A24060" s="3" t="s">
        <v>40422</v>
      </c>
      <c r="B24060" s="3" t="s">
        <v>19785</v>
      </c>
      <c r="C24060" s="5" t="s">
        <v>45</v>
      </c>
      <c r="D24060" s="3" t="s">
        <v>221</v>
      </c>
      <c r="E24060" s="3" t="s">
        <v>742</v>
      </c>
      <c r="F24060" s="7">
        <v>46208.63772858834</v>
      </c>
      <c r="G24060" s="3" t="s">
        <v>4460</v>
      </c>
    </row>
    <row r="24061">
      <c r="A24061" s="3" t="s">
        <v>40423</v>
      </c>
      <c r="B24061" s="3" t="s">
        <v>19785</v>
      </c>
      <c r="C24061" s="5" t="s">
        <v>221</v>
      </c>
      <c r="D24061" s="3" t="s">
        <v>614</v>
      </c>
      <c r="E24061" s="3" t="s">
        <v>118</v>
      </c>
      <c r="F24061" s="7">
        <v>46208.64120081056</v>
      </c>
      <c r="G24061" s="3" t="s">
        <v>4463</v>
      </c>
    </row>
    <row r="24062">
      <c r="A24062" s="3" t="s">
        <v>40424</v>
      </c>
      <c r="B24062" s="3" t="s">
        <v>19785</v>
      </c>
      <c r="C24062" s="5" t="s">
        <v>614</v>
      </c>
      <c r="D24062" s="3" t="s">
        <v>206</v>
      </c>
      <c r="E24062" s="3" t="s">
        <v>100</v>
      </c>
      <c r="F24062" s="7">
        <v>46208.64467303279</v>
      </c>
      <c r="G24062" s="3" t="s">
        <v>4466</v>
      </c>
    </row>
    <row r="24063">
      <c r="A24063" s="3" t="s">
        <v>40425</v>
      </c>
      <c r="B24063" s="3" t="s">
        <v>19785</v>
      </c>
      <c r="C24063" s="5" t="s">
        <v>206</v>
      </c>
      <c r="D24063" s="3" t="s">
        <v>68</v>
      </c>
      <c r="E24063" s="3" t="s">
        <v>100</v>
      </c>
      <c r="F24063" s="7">
        <v>46208.64814525501</v>
      </c>
      <c r="G24063" s="3" t="s">
        <v>4469</v>
      </c>
    </row>
    <row r="24064">
      <c r="A24064" s="3" t="s">
        <v>40426</v>
      </c>
      <c r="B24064" s="3" t="s">
        <v>19787</v>
      </c>
      <c r="C24064" s="5" t="s">
        <v>45</v>
      </c>
      <c r="D24064" s="3" t="s">
        <v>221</v>
      </c>
      <c r="E24064" s="3" t="s">
        <v>645</v>
      </c>
      <c r="F24064" s="7">
        <v>46208.708903433755</v>
      </c>
      <c r="G24064" s="3" t="s">
        <v>4957</v>
      </c>
    </row>
    <row r="24065">
      <c r="A24065" s="3" t="s">
        <v>40427</v>
      </c>
      <c r="B24065" s="3" t="s">
        <v>19787</v>
      </c>
      <c r="C24065" s="5" t="s">
        <v>221</v>
      </c>
      <c r="D24065" s="3" t="s">
        <v>181</v>
      </c>
      <c r="E24065" s="3" t="s">
        <v>118</v>
      </c>
      <c r="F24065" s="7">
        <v>46208.712375655974</v>
      </c>
      <c r="G24065" s="3" t="s">
        <v>40428</v>
      </c>
    </row>
    <row r="24066">
      <c r="A24066" s="3" t="s">
        <v>40429</v>
      </c>
      <c r="B24066" s="3" t="s">
        <v>19789</v>
      </c>
      <c r="C24066" s="5" t="s">
        <v>45</v>
      </c>
      <c r="D24066" s="3" t="s">
        <v>221</v>
      </c>
      <c r="E24066" s="3" t="s">
        <v>123</v>
      </c>
      <c r="F24066" s="7">
        <v>46208.78007827917</v>
      </c>
      <c r="G24066" s="3" t="s">
        <v>11423</v>
      </c>
    </row>
    <row r="24067">
      <c r="A24067" s="3" t="s">
        <v>40430</v>
      </c>
      <c r="B24067" s="3" t="s">
        <v>19789</v>
      </c>
      <c r="C24067" s="5" t="s">
        <v>221</v>
      </c>
      <c r="D24067" s="3" t="s">
        <v>614</v>
      </c>
      <c r="E24067" s="3" t="s">
        <v>118</v>
      </c>
      <c r="F24067" s="7">
        <v>46208.783550501386</v>
      </c>
      <c r="G24067" s="3" t="s">
        <v>11426</v>
      </c>
    </row>
    <row r="24068">
      <c r="A24068" s="3" t="s">
        <v>40431</v>
      </c>
      <c r="B24068" s="3" t="s">
        <v>19789</v>
      </c>
      <c r="C24068" s="5" t="s">
        <v>614</v>
      </c>
      <c r="D24068" s="3" t="s">
        <v>206</v>
      </c>
      <c r="E24068" s="3" t="s">
        <v>100</v>
      </c>
      <c r="F24068" s="7">
        <v>46208.78702272361</v>
      </c>
      <c r="G24068" s="3" t="s">
        <v>11429</v>
      </c>
    </row>
    <row r="24069">
      <c r="A24069" s="3" t="s">
        <v>40432</v>
      </c>
      <c r="B24069" s="3" t="s">
        <v>19789</v>
      </c>
      <c r="C24069" s="5" t="s">
        <v>206</v>
      </c>
      <c r="D24069" s="3" t="s">
        <v>68</v>
      </c>
      <c r="E24069" s="3" t="s">
        <v>100</v>
      </c>
      <c r="F24069" s="7">
        <v>46208.79049494583</v>
      </c>
      <c r="G24069" s="3" t="s">
        <v>11432</v>
      </c>
    </row>
    <row r="24070">
      <c r="A24070" s="3" t="s">
        <v>40433</v>
      </c>
      <c r="B24070" s="3" t="s">
        <v>19791</v>
      </c>
      <c r="C24070" s="5" t="s">
        <v>45</v>
      </c>
      <c r="D24070" s="3" t="s">
        <v>221</v>
      </c>
      <c r="E24070" s="3" t="s">
        <v>168</v>
      </c>
      <c r="F24070" s="7">
        <v>46208.85125312459</v>
      </c>
      <c r="G24070" s="3" t="s">
        <v>20479</v>
      </c>
    </row>
    <row r="24071">
      <c r="A24071" s="3" t="s">
        <v>40434</v>
      </c>
      <c r="B24071" s="3" t="s">
        <v>19791</v>
      </c>
      <c r="C24071" s="5" t="s">
        <v>221</v>
      </c>
      <c r="D24071" s="3" t="s">
        <v>614</v>
      </c>
      <c r="E24071" s="3" t="s">
        <v>118</v>
      </c>
      <c r="F24071" s="7">
        <v>46208.854725346806</v>
      </c>
      <c r="G24071" s="3" t="s">
        <v>20482</v>
      </c>
    </row>
    <row r="24072">
      <c r="A24072" s="3" t="s">
        <v>40435</v>
      </c>
      <c r="B24072" s="3" t="s">
        <v>19791</v>
      </c>
      <c r="C24072" s="5" t="s">
        <v>614</v>
      </c>
      <c r="D24072" s="3" t="s">
        <v>206</v>
      </c>
      <c r="E24072" s="3" t="s">
        <v>100</v>
      </c>
      <c r="F24072" s="7">
        <v>46208.85819756903</v>
      </c>
      <c r="G24072" s="3" t="s">
        <v>20485</v>
      </c>
    </row>
    <row r="24073">
      <c r="A24073" s="3" t="s">
        <v>40436</v>
      </c>
      <c r="B24073" s="3" t="s">
        <v>19791</v>
      </c>
      <c r="C24073" s="5" t="s">
        <v>206</v>
      </c>
      <c r="D24073" s="3" t="s">
        <v>68</v>
      </c>
      <c r="E24073" s="3" t="s">
        <v>100</v>
      </c>
      <c r="F24073" s="7">
        <v>46208.86166979125</v>
      </c>
      <c r="G24073" s="3" t="s">
        <v>20488</v>
      </c>
    </row>
    <row r="24074">
      <c r="A24074" s="3" t="s">
        <v>40437</v>
      </c>
      <c r="B24074" s="3" t="s">
        <v>19795</v>
      </c>
      <c r="C24074" s="5" t="s">
        <v>45</v>
      </c>
      <c r="D24074" s="3" t="s">
        <v>221</v>
      </c>
      <c r="E24074" s="3" t="s">
        <v>544</v>
      </c>
      <c r="F24074" s="7">
        <v>46208.92242797001</v>
      </c>
      <c r="G24074" s="3" t="s">
        <v>7377</v>
      </c>
    </row>
    <row r="24075">
      <c r="A24075" s="3" t="s">
        <v>40438</v>
      </c>
      <c r="B24075" s="3" t="s">
        <v>19795</v>
      </c>
      <c r="C24075" s="5" t="s">
        <v>221</v>
      </c>
      <c r="D24075" s="3" t="s">
        <v>614</v>
      </c>
      <c r="E24075" s="3" t="s">
        <v>118</v>
      </c>
      <c r="F24075" s="7">
        <v>46208.925900192226</v>
      </c>
      <c r="G24075" s="3" t="s">
        <v>7380</v>
      </c>
    </row>
    <row r="24076">
      <c r="A24076" s="3" t="s">
        <v>40439</v>
      </c>
      <c r="B24076" s="3" t="s">
        <v>19795</v>
      </c>
      <c r="C24076" s="5" t="s">
        <v>614</v>
      </c>
      <c r="D24076" s="3" t="s">
        <v>206</v>
      </c>
      <c r="E24076" s="3" t="s">
        <v>100</v>
      </c>
      <c r="F24076" s="7">
        <v>46208.92937241445</v>
      </c>
      <c r="G24076" s="3" t="s">
        <v>7382</v>
      </c>
    </row>
    <row r="24077">
      <c r="A24077" s="3" t="s">
        <v>40440</v>
      </c>
      <c r="B24077" s="3" t="s">
        <v>19795</v>
      </c>
      <c r="C24077" s="5" t="s">
        <v>206</v>
      </c>
      <c r="D24077" s="3" t="s">
        <v>68</v>
      </c>
      <c r="E24077" s="3" t="s">
        <v>100</v>
      </c>
      <c r="F24077" s="7">
        <v>46208.93284463667</v>
      </c>
      <c r="G24077" s="3" t="s">
        <v>7385</v>
      </c>
    </row>
    <row r="24078">
      <c r="A24078" s="3" t="s">
        <v>40441</v>
      </c>
      <c r="B24078" s="3" t="s">
        <v>19799</v>
      </c>
      <c r="C24078" s="5" t="s">
        <v>45</v>
      </c>
      <c r="D24078" s="3" t="s">
        <v>221</v>
      </c>
      <c r="E24078" s="3" t="s">
        <v>179</v>
      </c>
      <c r="F24078" s="7">
        <v>46208.99360281541</v>
      </c>
      <c r="G24078" s="3" t="s">
        <v>14445</v>
      </c>
    </row>
    <row r="24079">
      <c r="A24079" s="3" t="s">
        <v>40442</v>
      </c>
      <c r="B24079" s="3" t="s">
        <v>19799</v>
      </c>
      <c r="C24079" s="5" t="s">
        <v>221</v>
      </c>
      <c r="D24079" s="3" t="s">
        <v>614</v>
      </c>
      <c r="E24079" s="3" t="s">
        <v>118</v>
      </c>
      <c r="F24079" s="7">
        <v>46208.99707503763</v>
      </c>
      <c r="G24079" s="3" t="s">
        <v>14447</v>
      </c>
    </row>
    <row r="24080">
      <c r="A24080" s="3" t="s">
        <v>40443</v>
      </c>
      <c r="B24080" s="3" t="s">
        <v>19799</v>
      </c>
      <c r="C24080" s="5" t="s">
        <v>614</v>
      </c>
      <c r="D24080" s="3" t="s">
        <v>206</v>
      </c>
      <c r="E24080" s="3" t="s">
        <v>100</v>
      </c>
      <c r="F24080" s="7">
        <v>46209.00054725986</v>
      </c>
      <c r="G24080" s="3" t="s">
        <v>14450</v>
      </c>
    </row>
    <row r="24081">
      <c r="A24081" s="3" t="s">
        <v>40444</v>
      </c>
      <c r="B24081" s="3" t="s">
        <v>19799</v>
      </c>
      <c r="C24081" s="5" t="s">
        <v>206</v>
      </c>
      <c r="D24081" s="3" t="s">
        <v>68</v>
      </c>
      <c r="E24081" s="3" t="s">
        <v>100</v>
      </c>
      <c r="F24081" s="7">
        <v>46209.004019482076</v>
      </c>
      <c r="G24081" s="3" t="s">
        <v>14453</v>
      </c>
    </row>
    <row r="24082">
      <c r="A24082" s="3" t="s">
        <v>40445</v>
      </c>
      <c r="B24082" s="3" t="s">
        <v>19802</v>
      </c>
      <c r="C24082" s="5" t="s">
        <v>45</v>
      </c>
      <c r="D24082" s="3" t="s">
        <v>221</v>
      </c>
      <c r="E24082" s="3" t="s">
        <v>1026</v>
      </c>
      <c r="F24082" s="7">
        <v>46209.06477766083</v>
      </c>
      <c r="G24082" s="3" t="s">
        <v>7424</v>
      </c>
    </row>
    <row r="24083">
      <c r="A24083" s="3" t="s">
        <v>40446</v>
      </c>
      <c r="B24083" s="3" t="s">
        <v>19802</v>
      </c>
      <c r="C24083" s="5" t="s">
        <v>221</v>
      </c>
      <c r="D24083" s="3" t="s">
        <v>614</v>
      </c>
      <c r="E24083" s="3" t="s">
        <v>118</v>
      </c>
      <c r="F24083" s="7">
        <v>46209.06824988305</v>
      </c>
      <c r="G24083" s="3" t="s">
        <v>7427</v>
      </c>
    </row>
    <row r="24084">
      <c r="A24084" s="3" t="s">
        <v>40447</v>
      </c>
      <c r="B24084" s="3" t="s">
        <v>19802</v>
      </c>
      <c r="C24084" s="5" t="s">
        <v>614</v>
      </c>
      <c r="D24084" s="3" t="s">
        <v>206</v>
      </c>
      <c r="E24084" s="3" t="s">
        <v>100</v>
      </c>
      <c r="F24084" s="7">
        <v>46209.07172210528</v>
      </c>
      <c r="G24084" s="3" t="s">
        <v>7430</v>
      </c>
    </row>
    <row r="24085">
      <c r="A24085" s="3" t="s">
        <v>40448</v>
      </c>
      <c r="B24085" s="3" t="s">
        <v>19802</v>
      </c>
      <c r="C24085" s="5" t="s">
        <v>206</v>
      </c>
      <c r="D24085" s="3" t="s">
        <v>68</v>
      </c>
      <c r="E24085" s="3" t="s">
        <v>100</v>
      </c>
      <c r="F24085" s="7">
        <v>46209.075194327495</v>
      </c>
      <c r="G24085" s="3" t="s">
        <v>7433</v>
      </c>
    </row>
    <row r="24086">
      <c r="A24086" s="3" t="s">
        <v>40449</v>
      </c>
      <c r="B24086" s="3" t="s">
        <v>19806</v>
      </c>
      <c r="C24086" s="5" t="s">
        <v>45</v>
      </c>
      <c r="D24086" s="3" t="s">
        <v>221</v>
      </c>
      <c r="E24086" s="3" t="s">
        <v>922</v>
      </c>
      <c r="F24086" s="7">
        <v>46209.13595250625</v>
      </c>
      <c r="G24086" s="3" t="s">
        <v>15629</v>
      </c>
    </row>
    <row r="24087">
      <c r="A24087" s="3" t="s">
        <v>40450</v>
      </c>
      <c r="B24087" s="3" t="s">
        <v>19806</v>
      </c>
      <c r="C24087" s="5" t="s">
        <v>221</v>
      </c>
      <c r="D24087" s="3" t="s">
        <v>181</v>
      </c>
      <c r="E24087" s="3" t="s">
        <v>118</v>
      </c>
      <c r="F24087" s="7">
        <v>46209.13942472847</v>
      </c>
      <c r="G24087" s="3" t="s">
        <v>18528</v>
      </c>
    </row>
    <row r="24088">
      <c r="A24088" s="3" t="s">
        <v>40451</v>
      </c>
      <c r="B24088" s="3" t="s">
        <v>19808</v>
      </c>
      <c r="C24088" s="5" t="s">
        <v>45</v>
      </c>
      <c r="D24088" s="3" t="s">
        <v>221</v>
      </c>
      <c r="E24088" s="3" t="s">
        <v>510</v>
      </c>
      <c r="F24088" s="7">
        <v>46209.20712735166</v>
      </c>
      <c r="G24088" s="3" t="s">
        <v>7464</v>
      </c>
    </row>
    <row r="24089">
      <c r="A24089" s="3" t="s">
        <v>40452</v>
      </c>
      <c r="B24089" s="3" t="s">
        <v>19808</v>
      </c>
      <c r="C24089" s="5" t="s">
        <v>221</v>
      </c>
      <c r="D24089" s="3" t="s">
        <v>614</v>
      </c>
      <c r="E24089" s="3" t="s">
        <v>118</v>
      </c>
      <c r="F24089" s="7">
        <v>46209.21059957388</v>
      </c>
      <c r="G24089" s="3" t="s">
        <v>7467</v>
      </c>
    </row>
    <row r="24090">
      <c r="A24090" s="3" t="s">
        <v>40453</v>
      </c>
      <c r="B24090" s="3" t="s">
        <v>19808</v>
      </c>
      <c r="C24090" s="5" t="s">
        <v>614</v>
      </c>
      <c r="D24090" s="3" t="s">
        <v>206</v>
      </c>
      <c r="E24090" s="3" t="s">
        <v>100</v>
      </c>
      <c r="F24090" s="7">
        <v>46209.21407179611</v>
      </c>
      <c r="G24090" s="3" t="s">
        <v>7470</v>
      </c>
    </row>
    <row r="24091">
      <c r="A24091" s="3" t="s">
        <v>40454</v>
      </c>
      <c r="B24091" s="3" t="s">
        <v>19808</v>
      </c>
      <c r="C24091" s="5" t="s">
        <v>206</v>
      </c>
      <c r="D24091" s="3" t="s">
        <v>68</v>
      </c>
      <c r="E24091" s="3" t="s">
        <v>100</v>
      </c>
      <c r="F24091" s="7">
        <v>46209.21754401833</v>
      </c>
      <c r="G24091" s="3" t="s">
        <v>7473</v>
      </c>
    </row>
    <row r="24092">
      <c r="A24092" s="3" t="s">
        <v>40455</v>
      </c>
      <c r="B24092" s="3" t="s">
        <v>19811</v>
      </c>
      <c r="C24092" s="5" t="s">
        <v>45</v>
      </c>
      <c r="D24092" s="3" t="s">
        <v>221</v>
      </c>
      <c r="E24092" s="3" t="s">
        <v>130</v>
      </c>
      <c r="F24092" s="7">
        <v>46209.278302197075</v>
      </c>
      <c r="G24092" s="3" t="s">
        <v>7499</v>
      </c>
    </row>
    <row r="24093">
      <c r="A24093" s="3" t="s">
        <v>40456</v>
      </c>
      <c r="B24093" s="3" t="s">
        <v>19811</v>
      </c>
      <c r="C24093" s="5" t="s">
        <v>221</v>
      </c>
      <c r="D24093" s="3" t="s">
        <v>614</v>
      </c>
      <c r="E24093" s="3" t="s">
        <v>118</v>
      </c>
      <c r="F24093" s="7">
        <v>46209.281774419294</v>
      </c>
      <c r="G24093" s="3" t="s">
        <v>7502</v>
      </c>
    </row>
    <row r="24094">
      <c r="A24094" s="3" t="s">
        <v>40457</v>
      </c>
      <c r="B24094" s="3" t="s">
        <v>19811</v>
      </c>
      <c r="C24094" s="5" t="s">
        <v>614</v>
      </c>
      <c r="D24094" s="3" t="s">
        <v>206</v>
      </c>
      <c r="E24094" s="3" t="s">
        <v>100</v>
      </c>
      <c r="F24094" s="7">
        <v>46209.28524664152</v>
      </c>
      <c r="G24094" s="3" t="s">
        <v>7505</v>
      </c>
    </row>
    <row r="24095">
      <c r="A24095" s="3" t="s">
        <v>40458</v>
      </c>
      <c r="B24095" s="3" t="s">
        <v>19811</v>
      </c>
      <c r="C24095" s="5" t="s">
        <v>206</v>
      </c>
      <c r="D24095" s="3" t="s">
        <v>68</v>
      </c>
      <c r="E24095" s="3" t="s">
        <v>100</v>
      </c>
      <c r="F24095" s="7">
        <v>46209.28871886374</v>
      </c>
      <c r="G24095" s="3" t="s">
        <v>7508</v>
      </c>
    </row>
    <row r="24096">
      <c r="A24096" s="3" t="s">
        <v>40459</v>
      </c>
      <c r="B24096" s="3" t="s">
        <v>19813</v>
      </c>
      <c r="C24096" s="5" t="s">
        <v>45</v>
      </c>
      <c r="D24096" s="3" t="s">
        <v>221</v>
      </c>
      <c r="E24096" s="3" t="s">
        <v>488</v>
      </c>
      <c r="F24096" s="7">
        <v>46209.349477042495</v>
      </c>
      <c r="G24096" s="3" t="s">
        <v>9856</v>
      </c>
    </row>
    <row r="24097">
      <c r="A24097" s="3" t="s">
        <v>40460</v>
      </c>
      <c r="B24097" s="3" t="s">
        <v>19813</v>
      </c>
      <c r="C24097" s="5" t="s">
        <v>221</v>
      </c>
      <c r="D24097" s="3" t="s">
        <v>614</v>
      </c>
      <c r="E24097" s="3" t="s">
        <v>118</v>
      </c>
      <c r="F24097" s="7">
        <v>46209.352949264714</v>
      </c>
      <c r="G24097" s="3" t="s">
        <v>9859</v>
      </c>
    </row>
    <row r="24098">
      <c r="A24098" s="3" t="s">
        <v>40461</v>
      </c>
      <c r="B24098" s="3" t="s">
        <v>19813</v>
      </c>
      <c r="C24098" s="5" t="s">
        <v>614</v>
      </c>
      <c r="D24098" s="3" t="s">
        <v>206</v>
      </c>
      <c r="E24098" s="3" t="s">
        <v>100</v>
      </c>
      <c r="F24098" s="7">
        <v>46209.35642148694</v>
      </c>
      <c r="G24098" s="3" t="s">
        <v>9862</v>
      </c>
    </row>
    <row r="24099">
      <c r="A24099" s="3" t="s">
        <v>40462</v>
      </c>
      <c r="B24099" s="3" t="s">
        <v>19813</v>
      </c>
      <c r="C24099" s="5" t="s">
        <v>206</v>
      </c>
      <c r="D24099" s="3" t="s">
        <v>68</v>
      </c>
      <c r="E24099" s="3" t="s">
        <v>100</v>
      </c>
      <c r="F24099" s="7">
        <v>46209.35989370916</v>
      </c>
      <c r="G24099" s="3" t="s">
        <v>9866</v>
      </c>
    </row>
    <row r="24100">
      <c r="A24100" s="3" t="s">
        <v>40463</v>
      </c>
      <c r="B24100" s="3" t="s">
        <v>19815</v>
      </c>
      <c r="C24100" s="5" t="s">
        <v>45</v>
      </c>
      <c r="D24100" s="3" t="s">
        <v>221</v>
      </c>
      <c r="E24100" s="3" t="s">
        <v>263</v>
      </c>
      <c r="F24100" s="7">
        <v>46209.42065188791</v>
      </c>
      <c r="G24100" s="3" t="s">
        <v>7511</v>
      </c>
    </row>
    <row r="24101">
      <c r="A24101" s="3" t="s">
        <v>40464</v>
      </c>
      <c r="B24101" s="3" t="s">
        <v>19815</v>
      </c>
      <c r="C24101" s="5" t="s">
        <v>221</v>
      </c>
      <c r="D24101" s="3" t="s">
        <v>614</v>
      </c>
      <c r="E24101" s="3" t="s">
        <v>118</v>
      </c>
      <c r="F24101" s="7">
        <v>46209.424124110126</v>
      </c>
      <c r="G24101" s="3" t="s">
        <v>7514</v>
      </c>
    </row>
    <row r="24102">
      <c r="A24102" s="3" t="s">
        <v>40465</v>
      </c>
      <c r="B24102" s="3" t="s">
        <v>19815</v>
      </c>
      <c r="C24102" s="5" t="s">
        <v>614</v>
      </c>
      <c r="D24102" s="3" t="s">
        <v>206</v>
      </c>
      <c r="E24102" s="3" t="s">
        <v>100</v>
      </c>
      <c r="F24102" s="7">
        <v>46209.42759633235</v>
      </c>
      <c r="G24102" s="3" t="s">
        <v>7516</v>
      </c>
    </row>
    <row r="24103">
      <c r="A24103" s="3" t="s">
        <v>40466</v>
      </c>
      <c r="B24103" s="3" t="s">
        <v>19815</v>
      </c>
      <c r="C24103" s="5" t="s">
        <v>206</v>
      </c>
      <c r="D24103" s="3" t="s">
        <v>68</v>
      </c>
      <c r="E24103" s="3" t="s">
        <v>100</v>
      </c>
      <c r="F24103" s="7">
        <v>46209.43106855457</v>
      </c>
      <c r="G24103" s="3" t="s">
        <v>7519</v>
      </c>
    </row>
    <row r="24104">
      <c r="A24104" s="3" t="s">
        <v>40467</v>
      </c>
      <c r="B24104" s="3" t="s">
        <v>19817</v>
      </c>
      <c r="C24104" s="5" t="s">
        <v>45</v>
      </c>
      <c r="D24104" s="3" t="s">
        <v>221</v>
      </c>
      <c r="E24104" s="3" t="s">
        <v>746</v>
      </c>
      <c r="F24104" s="7">
        <v>46209.49182673332</v>
      </c>
      <c r="G24104" s="3" t="s">
        <v>18485</v>
      </c>
    </row>
    <row r="24105">
      <c r="A24105" s="3" t="s">
        <v>40468</v>
      </c>
      <c r="B24105" s="3" t="s">
        <v>19817</v>
      </c>
      <c r="C24105" s="5" t="s">
        <v>221</v>
      </c>
      <c r="D24105" s="3" t="s">
        <v>614</v>
      </c>
      <c r="E24105" s="3" t="s">
        <v>118</v>
      </c>
      <c r="F24105" s="7">
        <v>46209.49529895554</v>
      </c>
      <c r="G24105" s="3" t="s">
        <v>18487</v>
      </c>
    </row>
    <row r="24106">
      <c r="A24106" s="3" t="s">
        <v>40469</v>
      </c>
      <c r="B24106" s="3" t="s">
        <v>19817</v>
      </c>
      <c r="C24106" s="5" t="s">
        <v>614</v>
      </c>
      <c r="D24106" s="3" t="s">
        <v>206</v>
      </c>
      <c r="E24106" s="3" t="s">
        <v>100</v>
      </c>
      <c r="F24106" s="7">
        <v>46209.498771177765</v>
      </c>
      <c r="G24106" s="3" t="s">
        <v>18490</v>
      </c>
    </row>
    <row r="24107">
      <c r="A24107" s="3" t="s">
        <v>40470</v>
      </c>
      <c r="B24107" s="3" t="s">
        <v>19817</v>
      </c>
      <c r="C24107" s="5" t="s">
        <v>206</v>
      </c>
      <c r="D24107" s="3" t="s">
        <v>68</v>
      </c>
      <c r="E24107" s="3" t="s">
        <v>100</v>
      </c>
      <c r="F24107" s="7">
        <v>46209.502243399984</v>
      </c>
      <c r="G24107" s="3" t="s">
        <v>18493</v>
      </c>
    </row>
    <row r="24108">
      <c r="A24108" s="3" t="s">
        <v>40471</v>
      </c>
      <c r="B24108" s="3" t="s">
        <v>19819</v>
      </c>
      <c r="C24108" s="5" t="s">
        <v>45</v>
      </c>
      <c r="D24108" s="3" t="s">
        <v>221</v>
      </c>
      <c r="E24108" s="3" t="s">
        <v>722</v>
      </c>
      <c r="F24108" s="7">
        <v>46209.56300157874</v>
      </c>
      <c r="G24108" s="3" t="s">
        <v>8240</v>
      </c>
    </row>
    <row r="24109">
      <c r="A24109" s="3" t="s">
        <v>40472</v>
      </c>
      <c r="B24109" s="3" t="s">
        <v>19819</v>
      </c>
      <c r="C24109" s="5" t="s">
        <v>221</v>
      </c>
      <c r="D24109" s="3" t="s">
        <v>614</v>
      </c>
      <c r="E24109" s="3" t="s">
        <v>118</v>
      </c>
      <c r="F24109" s="7">
        <v>46209.56647380096</v>
      </c>
      <c r="G24109" s="3" t="s">
        <v>8243</v>
      </c>
    </row>
    <row r="24110">
      <c r="A24110" s="3" t="s">
        <v>40473</v>
      </c>
      <c r="B24110" s="3" t="s">
        <v>19819</v>
      </c>
      <c r="C24110" s="5" t="s">
        <v>614</v>
      </c>
      <c r="D24110" s="3" t="s">
        <v>206</v>
      </c>
      <c r="E24110" s="3" t="s">
        <v>100</v>
      </c>
      <c r="F24110" s="7">
        <v>46209.569946023184</v>
      </c>
      <c r="G24110" s="3" t="s">
        <v>8246</v>
      </c>
    </row>
    <row r="24111">
      <c r="A24111" s="3" t="s">
        <v>40474</v>
      </c>
      <c r="B24111" s="3" t="s">
        <v>19819</v>
      </c>
      <c r="C24111" s="5" t="s">
        <v>206</v>
      </c>
      <c r="D24111" s="3" t="s">
        <v>68</v>
      </c>
      <c r="E24111" s="3" t="s">
        <v>100</v>
      </c>
      <c r="F24111" s="7">
        <v>46209.5734182454</v>
      </c>
      <c r="G24111" s="3" t="s">
        <v>8249</v>
      </c>
    </row>
    <row r="24112">
      <c r="A24112" s="3" t="s">
        <v>40475</v>
      </c>
      <c r="B24112" s="3" t="s">
        <v>19821</v>
      </c>
      <c r="C24112" s="5" t="s">
        <v>45</v>
      </c>
      <c r="D24112" s="3" t="s">
        <v>221</v>
      </c>
      <c r="E24112" s="3" t="s">
        <v>765</v>
      </c>
      <c r="F24112" s="7">
        <v>46209.63417642415</v>
      </c>
      <c r="G24112" s="3" t="s">
        <v>8757</v>
      </c>
    </row>
    <row r="24113">
      <c r="A24113" s="3" t="s">
        <v>40476</v>
      </c>
      <c r="B24113" s="3" t="s">
        <v>19821</v>
      </c>
      <c r="C24113" s="5" t="s">
        <v>221</v>
      </c>
      <c r="D24113" s="3" t="s">
        <v>614</v>
      </c>
      <c r="E24113" s="3" t="s">
        <v>118</v>
      </c>
      <c r="F24113" s="7">
        <v>46209.63764864637</v>
      </c>
      <c r="G24113" s="3" t="s">
        <v>34270</v>
      </c>
    </row>
    <row r="24114">
      <c r="A24114" s="3" t="s">
        <v>40477</v>
      </c>
      <c r="B24114" s="3" t="s">
        <v>19821</v>
      </c>
      <c r="C24114" s="5" t="s">
        <v>614</v>
      </c>
      <c r="D24114" s="3" t="s">
        <v>206</v>
      </c>
      <c r="E24114" s="3" t="s">
        <v>100</v>
      </c>
      <c r="F24114" s="7">
        <v>46209.6411208686</v>
      </c>
      <c r="G24114" s="3" t="s">
        <v>34272</v>
      </c>
    </row>
    <row r="24115">
      <c r="A24115" s="3" t="s">
        <v>40478</v>
      </c>
      <c r="B24115" s="3" t="s">
        <v>19821</v>
      </c>
      <c r="C24115" s="5" t="s">
        <v>206</v>
      </c>
      <c r="D24115" s="3" t="s">
        <v>68</v>
      </c>
      <c r="E24115" s="3" t="s">
        <v>100</v>
      </c>
      <c r="F24115" s="7">
        <v>46209.644593090816</v>
      </c>
      <c r="G24115" s="3" t="s">
        <v>34274</v>
      </c>
    </row>
    <row r="24116">
      <c r="A24116" s="3" t="s">
        <v>40479</v>
      </c>
      <c r="B24116" s="3" t="s">
        <v>19824</v>
      </c>
      <c r="C24116" s="5" t="s">
        <v>45</v>
      </c>
      <c r="D24116" s="3" t="s">
        <v>221</v>
      </c>
      <c r="E24116" s="3" t="s">
        <v>123</v>
      </c>
      <c r="F24116" s="7">
        <v>46209.705351269564</v>
      </c>
      <c r="G24116" s="3" t="s">
        <v>7522</v>
      </c>
    </row>
    <row r="24117">
      <c r="A24117" s="3" t="s">
        <v>40480</v>
      </c>
      <c r="B24117" s="3" t="s">
        <v>19824</v>
      </c>
      <c r="C24117" s="5" t="s">
        <v>221</v>
      </c>
      <c r="D24117" s="3" t="s">
        <v>614</v>
      </c>
      <c r="E24117" s="3" t="s">
        <v>118</v>
      </c>
      <c r="F24117" s="7">
        <v>46209.70882349178</v>
      </c>
      <c r="G24117" s="3" t="s">
        <v>7525</v>
      </c>
    </row>
    <row r="24118">
      <c r="A24118" s="3" t="s">
        <v>40481</v>
      </c>
      <c r="B24118" s="3" t="s">
        <v>19824</v>
      </c>
      <c r="C24118" s="5" t="s">
        <v>614</v>
      </c>
      <c r="D24118" s="3" t="s">
        <v>206</v>
      </c>
      <c r="E24118" s="3" t="s">
        <v>100</v>
      </c>
      <c r="F24118" s="7">
        <v>46209.71229571401</v>
      </c>
      <c r="G24118" s="3" t="s">
        <v>7528</v>
      </c>
    </row>
    <row r="24119">
      <c r="A24119" s="3" t="s">
        <v>40482</v>
      </c>
      <c r="B24119" s="3" t="s">
        <v>19824</v>
      </c>
      <c r="C24119" s="5" t="s">
        <v>206</v>
      </c>
      <c r="D24119" s="3" t="s">
        <v>68</v>
      </c>
      <c r="E24119" s="3" t="s">
        <v>100</v>
      </c>
      <c r="F24119" s="7">
        <v>46209.71576793623</v>
      </c>
      <c r="G24119" s="3" t="s">
        <v>7531</v>
      </c>
    </row>
    <row r="24120">
      <c r="A24120" s="3" t="s">
        <v>40483</v>
      </c>
      <c r="B24120" s="3" t="s">
        <v>19826</v>
      </c>
      <c r="C24120" s="5" t="s">
        <v>45</v>
      </c>
      <c r="D24120" s="3" t="s">
        <v>221</v>
      </c>
      <c r="E24120" s="3" t="s">
        <v>1037</v>
      </c>
      <c r="F24120" s="7">
        <v>46209.77652611498</v>
      </c>
      <c r="G24120" s="3" t="s">
        <v>6568</v>
      </c>
    </row>
    <row r="24121">
      <c r="A24121" s="3" t="s">
        <v>40484</v>
      </c>
      <c r="B24121" s="3" t="s">
        <v>19826</v>
      </c>
      <c r="C24121" s="5" t="s">
        <v>221</v>
      </c>
      <c r="D24121" s="3" t="s">
        <v>195</v>
      </c>
      <c r="E24121" s="3" t="s">
        <v>1037</v>
      </c>
      <c r="F24121" s="7">
        <v>46209.7799983372</v>
      </c>
      <c r="G24121" s="3" t="s">
        <v>40485</v>
      </c>
    </row>
    <row r="24122">
      <c r="A24122" s="3" t="s">
        <v>40486</v>
      </c>
      <c r="B24122" s="3" t="s">
        <v>19828</v>
      </c>
      <c r="C24122" s="5" t="s">
        <v>45</v>
      </c>
      <c r="D24122" s="3" t="s">
        <v>221</v>
      </c>
      <c r="E24122" s="3" t="s">
        <v>466</v>
      </c>
      <c r="F24122" s="7">
        <v>46209.847700960396</v>
      </c>
      <c r="G24122" s="3" t="s">
        <v>7546</v>
      </c>
    </row>
    <row r="24123">
      <c r="A24123" s="3" t="s">
        <v>40487</v>
      </c>
      <c r="B24123" s="3" t="s">
        <v>19828</v>
      </c>
      <c r="C24123" s="5" t="s">
        <v>221</v>
      </c>
      <c r="D24123" s="3" t="s">
        <v>614</v>
      </c>
      <c r="E24123" s="3" t="s">
        <v>118</v>
      </c>
      <c r="F24123" s="7">
        <v>46209.851173182615</v>
      </c>
      <c r="G24123" s="3" t="s">
        <v>7549</v>
      </c>
    </row>
    <row r="24124">
      <c r="A24124" s="3" t="s">
        <v>40488</v>
      </c>
      <c r="B24124" s="3" t="s">
        <v>19828</v>
      </c>
      <c r="C24124" s="5" t="s">
        <v>614</v>
      </c>
      <c r="D24124" s="3" t="s">
        <v>206</v>
      </c>
      <c r="E24124" s="3" t="s">
        <v>100</v>
      </c>
      <c r="F24124" s="7">
        <v>46209.85464540484</v>
      </c>
      <c r="G24124" s="3" t="s">
        <v>7552</v>
      </c>
    </row>
    <row r="24125">
      <c r="A24125" s="3" t="s">
        <v>40489</v>
      </c>
      <c r="B24125" s="3" t="s">
        <v>19828</v>
      </c>
      <c r="C24125" s="5" t="s">
        <v>206</v>
      </c>
      <c r="D24125" s="3" t="s">
        <v>68</v>
      </c>
      <c r="E24125" s="3" t="s">
        <v>100</v>
      </c>
      <c r="F24125" s="7">
        <v>46209.85811762706</v>
      </c>
      <c r="G24125" s="3" t="s">
        <v>7555</v>
      </c>
    </row>
    <row r="24126">
      <c r="A24126" s="3" t="s">
        <v>40490</v>
      </c>
      <c r="B24126" s="3" t="s">
        <v>19830</v>
      </c>
      <c r="C24126" s="5" t="s">
        <v>45</v>
      </c>
      <c r="D24126" s="3" t="s">
        <v>221</v>
      </c>
      <c r="E24126" s="3" t="s">
        <v>544</v>
      </c>
      <c r="F24126" s="7">
        <v>46209.91887580581</v>
      </c>
      <c r="G24126" s="3" t="s">
        <v>25016</v>
      </c>
    </row>
    <row r="24127">
      <c r="A24127" s="3" t="s">
        <v>40491</v>
      </c>
      <c r="B24127" s="3" t="s">
        <v>19830</v>
      </c>
      <c r="C24127" s="5" t="s">
        <v>221</v>
      </c>
      <c r="D24127" s="3" t="s">
        <v>614</v>
      </c>
      <c r="E24127" s="3" t="s">
        <v>118</v>
      </c>
      <c r="F24127" s="7">
        <v>46209.92234802803</v>
      </c>
      <c r="G24127" s="3" t="s">
        <v>25247</v>
      </c>
    </row>
    <row r="24128">
      <c r="A24128" s="3" t="s">
        <v>40492</v>
      </c>
      <c r="B24128" s="3" t="s">
        <v>19830</v>
      </c>
      <c r="C24128" s="5" t="s">
        <v>614</v>
      </c>
      <c r="D24128" s="3" t="s">
        <v>206</v>
      </c>
      <c r="E24128" s="3" t="s">
        <v>100</v>
      </c>
      <c r="F24128" s="7">
        <v>46209.92582025025</v>
      </c>
      <c r="G24128" s="3" t="s">
        <v>25249</v>
      </c>
    </row>
    <row r="24129">
      <c r="A24129" s="3" t="s">
        <v>40493</v>
      </c>
      <c r="B24129" s="3" t="s">
        <v>19830</v>
      </c>
      <c r="C24129" s="5" t="s">
        <v>206</v>
      </c>
      <c r="D24129" s="3" t="s">
        <v>68</v>
      </c>
      <c r="E24129" s="3" t="s">
        <v>100</v>
      </c>
      <c r="F24129" s="7">
        <v>46209.92929247247</v>
      </c>
      <c r="G24129" s="3" t="s">
        <v>25251</v>
      </c>
    </row>
    <row r="24130">
      <c r="A24130" s="3" t="s">
        <v>40494</v>
      </c>
      <c r="B24130" s="3" t="s">
        <v>19832</v>
      </c>
      <c r="C24130" s="5" t="s">
        <v>45</v>
      </c>
      <c r="D24130" s="3" t="s">
        <v>221</v>
      </c>
      <c r="E24130" s="3" t="s">
        <v>805</v>
      </c>
      <c r="F24130" s="7">
        <v>46209.99005065123</v>
      </c>
      <c r="G24130" s="3" t="s">
        <v>2770</v>
      </c>
    </row>
    <row r="24131">
      <c r="A24131" s="3" t="s">
        <v>40495</v>
      </c>
      <c r="B24131" s="3" t="s">
        <v>19832</v>
      </c>
      <c r="C24131" s="5" t="s">
        <v>221</v>
      </c>
      <c r="D24131" s="3" t="s">
        <v>195</v>
      </c>
      <c r="E24131" s="3" t="s">
        <v>805</v>
      </c>
      <c r="F24131" s="7">
        <v>46209.99352287345</v>
      </c>
      <c r="G24131" s="3" t="s">
        <v>3055</v>
      </c>
    </row>
    <row r="24132">
      <c r="A24132" s="3" t="s">
        <v>40496</v>
      </c>
      <c r="B24132" s="3" t="s">
        <v>19834</v>
      </c>
      <c r="C24132" s="5" t="s">
        <v>45</v>
      </c>
      <c r="D24132" s="3" t="s">
        <v>221</v>
      </c>
      <c r="E24132" s="3" t="s">
        <v>751</v>
      </c>
      <c r="F24132" s="7">
        <v>46210.06122549665</v>
      </c>
      <c r="G24132" s="3" t="s">
        <v>7557</v>
      </c>
    </row>
    <row r="24133">
      <c r="A24133" s="3" t="s">
        <v>40497</v>
      </c>
      <c r="B24133" s="3" t="s">
        <v>19834</v>
      </c>
      <c r="C24133" s="5" t="s">
        <v>221</v>
      </c>
      <c r="D24133" s="3" t="s">
        <v>614</v>
      </c>
      <c r="E24133" s="3" t="s">
        <v>118</v>
      </c>
      <c r="F24133" s="7">
        <v>46210.064697718866</v>
      </c>
      <c r="G24133" s="3" t="s">
        <v>7560</v>
      </c>
    </row>
    <row r="24134">
      <c r="A24134" s="3" t="s">
        <v>40498</v>
      </c>
      <c r="B24134" s="3" t="s">
        <v>19834</v>
      </c>
      <c r="C24134" s="5" t="s">
        <v>614</v>
      </c>
      <c r="D24134" s="3" t="s">
        <v>206</v>
      </c>
      <c r="E24134" s="3" t="s">
        <v>100</v>
      </c>
      <c r="F24134" s="7">
        <v>46210.06816994109</v>
      </c>
      <c r="G24134" s="3" t="s">
        <v>7563</v>
      </c>
    </row>
    <row r="24135">
      <c r="A24135" s="3" t="s">
        <v>40499</v>
      </c>
      <c r="B24135" s="3" t="s">
        <v>19834</v>
      </c>
      <c r="C24135" s="5" t="s">
        <v>206</v>
      </c>
      <c r="D24135" s="3" t="s">
        <v>68</v>
      </c>
      <c r="E24135" s="3" t="s">
        <v>100</v>
      </c>
      <c r="F24135" s="7">
        <v>46210.07164216331</v>
      </c>
      <c r="G24135" s="3" t="s">
        <v>7566</v>
      </c>
    </row>
    <row r="24136">
      <c r="A24136" s="3" t="s">
        <v>40500</v>
      </c>
      <c r="B24136" s="3" t="s">
        <v>19838</v>
      </c>
      <c r="C24136" s="5" t="s">
        <v>45</v>
      </c>
      <c r="D24136" s="3" t="s">
        <v>221</v>
      </c>
      <c r="E24136" s="3" t="s">
        <v>554</v>
      </c>
      <c r="F24136" s="7">
        <v>46210.13240034205</v>
      </c>
      <c r="G24136" s="3" t="s">
        <v>7569</v>
      </c>
    </row>
    <row r="24137">
      <c r="A24137" s="3" t="s">
        <v>40501</v>
      </c>
      <c r="B24137" s="3" t="s">
        <v>19838</v>
      </c>
      <c r="C24137" s="5" t="s">
        <v>221</v>
      </c>
      <c r="D24137" s="3" t="s">
        <v>614</v>
      </c>
      <c r="E24137" s="3" t="s">
        <v>118</v>
      </c>
      <c r="F24137" s="7">
        <v>46210.13587256427</v>
      </c>
      <c r="G24137" s="3" t="s">
        <v>7572</v>
      </c>
    </row>
    <row r="24138">
      <c r="A24138" s="3" t="s">
        <v>40502</v>
      </c>
      <c r="B24138" s="3" t="s">
        <v>19838</v>
      </c>
      <c r="C24138" s="5" t="s">
        <v>614</v>
      </c>
      <c r="D24138" s="3" t="s">
        <v>206</v>
      </c>
      <c r="E24138" s="3" t="s">
        <v>100</v>
      </c>
      <c r="F24138" s="7">
        <v>46210.1393447865</v>
      </c>
      <c r="G24138" s="3" t="s">
        <v>7575</v>
      </c>
    </row>
    <row r="24139">
      <c r="A24139" s="3" t="s">
        <v>40503</v>
      </c>
      <c r="B24139" s="3" t="s">
        <v>19838</v>
      </c>
      <c r="C24139" s="5" t="s">
        <v>206</v>
      </c>
      <c r="D24139" s="3" t="s">
        <v>68</v>
      </c>
      <c r="E24139" s="3" t="s">
        <v>100</v>
      </c>
      <c r="F24139" s="7">
        <v>46210.14281700872</v>
      </c>
      <c r="G24139" s="3" t="s">
        <v>7578</v>
      </c>
    </row>
    <row r="24140">
      <c r="A24140" s="3" t="s">
        <v>40504</v>
      </c>
      <c r="B24140" s="3" t="s">
        <v>19842</v>
      </c>
      <c r="C24140" s="5" t="s">
        <v>45</v>
      </c>
      <c r="D24140" s="3" t="s">
        <v>221</v>
      </c>
      <c r="E24140" s="3" t="s">
        <v>366</v>
      </c>
      <c r="F24140" s="7">
        <v>46210.20357518747</v>
      </c>
      <c r="G24140" s="3" t="s">
        <v>12422</v>
      </c>
    </row>
    <row r="24141">
      <c r="A24141" s="3" t="s">
        <v>40505</v>
      </c>
      <c r="B24141" s="3" t="s">
        <v>19842</v>
      </c>
      <c r="C24141" s="5" t="s">
        <v>221</v>
      </c>
      <c r="D24141" s="3" t="s">
        <v>614</v>
      </c>
      <c r="E24141" s="3" t="s">
        <v>118</v>
      </c>
      <c r="F24141" s="7">
        <v>46210.20704740969</v>
      </c>
      <c r="G24141" s="3" t="s">
        <v>12424</v>
      </c>
    </row>
    <row r="24142">
      <c r="A24142" s="3" t="s">
        <v>40506</v>
      </c>
      <c r="B24142" s="3" t="s">
        <v>19842</v>
      </c>
      <c r="C24142" s="5" t="s">
        <v>614</v>
      </c>
      <c r="D24142" s="3" t="s">
        <v>206</v>
      </c>
      <c r="E24142" s="3" t="s">
        <v>100</v>
      </c>
      <c r="F24142" s="7">
        <v>46210.21051963192</v>
      </c>
      <c r="G24142" s="3" t="s">
        <v>12427</v>
      </c>
    </row>
    <row r="24143">
      <c r="A24143" s="3" t="s">
        <v>40507</v>
      </c>
      <c r="B24143" s="3" t="s">
        <v>19842</v>
      </c>
      <c r="C24143" s="5" t="s">
        <v>206</v>
      </c>
      <c r="D24143" s="3" t="s">
        <v>68</v>
      </c>
      <c r="E24143" s="3" t="s">
        <v>100</v>
      </c>
      <c r="F24143" s="7">
        <v>46210.213991854136</v>
      </c>
      <c r="G24143" s="3" t="s">
        <v>12431</v>
      </c>
    </row>
    <row r="24144">
      <c r="A24144" s="3" t="s">
        <v>40508</v>
      </c>
      <c r="B24144" s="3" t="s">
        <v>19845</v>
      </c>
      <c r="C24144" s="5" t="s">
        <v>45</v>
      </c>
      <c r="D24144" s="3" t="s">
        <v>221</v>
      </c>
      <c r="E24144" s="3" t="s">
        <v>698</v>
      </c>
      <c r="F24144" s="7">
        <v>46210.27475003289</v>
      </c>
      <c r="G24144" s="3" t="s">
        <v>13159</v>
      </c>
    </row>
    <row r="24145">
      <c r="A24145" s="3" t="s">
        <v>40509</v>
      </c>
      <c r="B24145" s="3" t="s">
        <v>19845</v>
      </c>
      <c r="C24145" s="5" t="s">
        <v>221</v>
      </c>
      <c r="D24145" s="3" t="s">
        <v>195</v>
      </c>
      <c r="E24145" s="3" t="s">
        <v>698</v>
      </c>
      <c r="F24145" s="7">
        <v>46210.27822225511</v>
      </c>
      <c r="G24145" s="3" t="s">
        <v>40510</v>
      </c>
    </row>
    <row r="24146">
      <c r="A24146" s="3" t="s">
        <v>40511</v>
      </c>
      <c r="B24146" s="3" t="s">
        <v>19848</v>
      </c>
      <c r="C24146" s="5" t="s">
        <v>45</v>
      </c>
      <c r="D24146" s="3" t="s">
        <v>221</v>
      </c>
      <c r="E24146" s="3" t="s">
        <v>652</v>
      </c>
      <c r="F24146" s="7">
        <v>46210.345924878304</v>
      </c>
      <c r="G24146" s="3" t="s">
        <v>7592</v>
      </c>
    </row>
    <row r="24147">
      <c r="A24147" s="3" t="s">
        <v>40512</v>
      </c>
      <c r="B24147" s="3" t="s">
        <v>19848</v>
      </c>
      <c r="C24147" s="5" t="s">
        <v>221</v>
      </c>
      <c r="D24147" s="3" t="s">
        <v>614</v>
      </c>
      <c r="E24147" s="3" t="s">
        <v>118</v>
      </c>
      <c r="F24147" s="7">
        <v>46210.34939710052</v>
      </c>
      <c r="G24147" s="3" t="s">
        <v>7595</v>
      </c>
    </row>
    <row r="24148">
      <c r="A24148" s="3" t="s">
        <v>40513</v>
      </c>
      <c r="B24148" s="3" t="s">
        <v>19848</v>
      </c>
      <c r="C24148" s="5" t="s">
        <v>614</v>
      </c>
      <c r="D24148" s="3" t="s">
        <v>206</v>
      </c>
      <c r="E24148" s="3" t="s">
        <v>100</v>
      </c>
      <c r="F24148" s="7">
        <v>46210.35286932275</v>
      </c>
      <c r="G24148" s="3" t="s">
        <v>7598</v>
      </c>
    </row>
    <row r="24149">
      <c r="A24149" s="3" t="s">
        <v>40514</v>
      </c>
      <c r="B24149" s="3" t="s">
        <v>19848</v>
      </c>
      <c r="C24149" s="5" t="s">
        <v>206</v>
      </c>
      <c r="D24149" s="3" t="s">
        <v>68</v>
      </c>
      <c r="E24149" s="3" t="s">
        <v>100</v>
      </c>
      <c r="F24149" s="7">
        <v>46210.35634154497</v>
      </c>
      <c r="G24149" s="3" t="s">
        <v>7600</v>
      </c>
    </row>
    <row r="24150">
      <c r="A24150" s="3" t="s">
        <v>40515</v>
      </c>
      <c r="B24150" s="3" t="s">
        <v>19852</v>
      </c>
      <c r="C24150" s="5" t="s">
        <v>45</v>
      </c>
      <c r="D24150" s="3" t="s">
        <v>221</v>
      </c>
      <c r="E24150" s="3" t="s">
        <v>587</v>
      </c>
      <c r="F24150" s="7">
        <v>46210.417099723716</v>
      </c>
      <c r="G24150" s="3" t="s">
        <v>2770</v>
      </c>
    </row>
    <row r="24151">
      <c r="A24151" s="3" t="s">
        <v>40516</v>
      </c>
      <c r="B24151" s="3" t="s">
        <v>19852</v>
      </c>
      <c r="C24151" s="5" t="s">
        <v>221</v>
      </c>
      <c r="D24151" s="3" t="s">
        <v>195</v>
      </c>
      <c r="E24151" s="3" t="s">
        <v>587</v>
      </c>
      <c r="F24151" s="7">
        <v>46210.420571945935</v>
      </c>
      <c r="G24151" s="3" t="s">
        <v>3055</v>
      </c>
    </row>
    <row r="24152">
      <c r="A24152" s="3" t="s">
        <v>40517</v>
      </c>
      <c r="B24152" s="3" t="s">
        <v>19856</v>
      </c>
      <c r="C24152" s="5" t="s">
        <v>45</v>
      </c>
      <c r="D24152" s="3" t="s">
        <v>221</v>
      </c>
      <c r="E24152" s="3" t="s">
        <v>669</v>
      </c>
      <c r="F24152" s="7">
        <v>46210.488274569136</v>
      </c>
      <c r="G24152" s="3" t="s">
        <v>7670</v>
      </c>
    </row>
    <row r="24153">
      <c r="A24153" s="3" t="s">
        <v>40518</v>
      </c>
      <c r="B24153" s="3" t="s">
        <v>19856</v>
      </c>
      <c r="C24153" s="5" t="s">
        <v>221</v>
      </c>
      <c r="D24153" s="3" t="s">
        <v>181</v>
      </c>
      <c r="E24153" s="3" t="s">
        <v>118</v>
      </c>
      <c r="F24153" s="7">
        <v>46210.491746791355</v>
      </c>
      <c r="G24153" s="3" t="s">
        <v>9061</v>
      </c>
    </row>
    <row r="24154">
      <c r="A24154" s="3" t="s">
        <v>40519</v>
      </c>
      <c r="B24154" s="3" t="s">
        <v>19859</v>
      </c>
      <c r="C24154" s="5" t="s">
        <v>45</v>
      </c>
      <c r="D24154" s="3" t="s">
        <v>221</v>
      </c>
      <c r="E24154" s="3" t="s">
        <v>442</v>
      </c>
      <c r="F24154" s="7">
        <v>46210.55944941455</v>
      </c>
      <c r="G24154" s="3" t="s">
        <v>26300</v>
      </c>
    </row>
    <row r="24155">
      <c r="A24155" s="3" t="s">
        <v>40520</v>
      </c>
      <c r="B24155" s="3" t="s">
        <v>19859</v>
      </c>
      <c r="C24155" s="5" t="s">
        <v>221</v>
      </c>
      <c r="D24155" s="3" t="s">
        <v>614</v>
      </c>
      <c r="E24155" s="3" t="s">
        <v>118</v>
      </c>
      <c r="F24155" s="7">
        <v>46210.56292163677</v>
      </c>
      <c r="G24155" s="3" t="s">
        <v>26302</v>
      </c>
    </row>
    <row r="24156">
      <c r="A24156" s="3" t="s">
        <v>40521</v>
      </c>
      <c r="B24156" s="3" t="s">
        <v>19859</v>
      </c>
      <c r="C24156" s="5" t="s">
        <v>614</v>
      </c>
      <c r="D24156" s="3" t="s">
        <v>206</v>
      </c>
      <c r="E24156" s="3" t="s">
        <v>100</v>
      </c>
      <c r="F24156" s="7">
        <v>46210.56639385899</v>
      </c>
      <c r="G24156" s="3" t="s">
        <v>26304</v>
      </c>
    </row>
    <row r="24157">
      <c r="A24157" s="3" t="s">
        <v>40522</v>
      </c>
      <c r="B24157" s="3" t="s">
        <v>19859</v>
      </c>
      <c r="C24157" s="5" t="s">
        <v>206</v>
      </c>
      <c r="D24157" s="3" t="s">
        <v>68</v>
      </c>
      <c r="E24157" s="3" t="s">
        <v>100</v>
      </c>
      <c r="F24157" s="7">
        <v>46210.56986608121</v>
      </c>
      <c r="G24157" s="3" t="s">
        <v>26306</v>
      </c>
    </row>
    <row r="24158">
      <c r="A24158" s="3" t="s">
        <v>40523</v>
      </c>
      <c r="B24158" s="3" t="s">
        <v>19862</v>
      </c>
      <c r="C24158" s="5" t="s">
        <v>45</v>
      </c>
      <c r="D24158" s="3" t="s">
        <v>221</v>
      </c>
      <c r="E24158" s="3" t="s">
        <v>922</v>
      </c>
      <c r="F24158" s="7">
        <v>46210.63062425996</v>
      </c>
      <c r="G24158" s="3" t="s">
        <v>15629</v>
      </c>
    </row>
    <row r="24159">
      <c r="A24159" s="3" t="s">
        <v>40524</v>
      </c>
      <c r="B24159" s="3" t="s">
        <v>19862</v>
      </c>
      <c r="C24159" s="5" t="s">
        <v>221</v>
      </c>
      <c r="D24159" s="3" t="s">
        <v>181</v>
      </c>
      <c r="E24159" s="3" t="s">
        <v>118</v>
      </c>
      <c r="F24159" s="7">
        <v>46210.63409648218</v>
      </c>
      <c r="G24159" s="3" t="s">
        <v>18528</v>
      </c>
    </row>
    <row r="24160">
      <c r="A24160" s="3" t="s">
        <v>40525</v>
      </c>
      <c r="B24160" s="3" t="s">
        <v>19865</v>
      </c>
      <c r="C24160" s="5" t="s">
        <v>45</v>
      </c>
      <c r="D24160" s="3" t="s">
        <v>221</v>
      </c>
      <c r="E24160" s="3" t="s">
        <v>250</v>
      </c>
      <c r="F24160" s="7">
        <v>46210.70179910538</v>
      </c>
      <c r="G24160" s="3" t="s">
        <v>14421</v>
      </c>
    </row>
    <row r="24161">
      <c r="A24161" s="3" t="s">
        <v>40526</v>
      </c>
      <c r="B24161" s="3" t="s">
        <v>19865</v>
      </c>
      <c r="C24161" s="5" t="s">
        <v>221</v>
      </c>
      <c r="D24161" s="3" t="s">
        <v>614</v>
      </c>
      <c r="E24161" s="3" t="s">
        <v>118</v>
      </c>
      <c r="F24161" s="7">
        <v>46210.7052713276</v>
      </c>
      <c r="G24161" s="3" t="s">
        <v>14424</v>
      </c>
    </row>
    <row r="24162">
      <c r="A24162" s="3" t="s">
        <v>40527</v>
      </c>
      <c r="B24162" s="3" t="s">
        <v>19865</v>
      </c>
      <c r="C24162" s="5" t="s">
        <v>614</v>
      </c>
      <c r="D24162" s="3" t="s">
        <v>206</v>
      </c>
      <c r="E24162" s="3" t="s">
        <v>100</v>
      </c>
      <c r="F24162" s="7">
        <v>46210.708743549825</v>
      </c>
      <c r="G24162" s="3" t="s">
        <v>14427</v>
      </c>
    </row>
    <row r="24163">
      <c r="A24163" s="3" t="s">
        <v>40528</v>
      </c>
      <c r="B24163" s="3" t="s">
        <v>19865</v>
      </c>
      <c r="C24163" s="5" t="s">
        <v>206</v>
      </c>
      <c r="D24163" s="3" t="s">
        <v>68</v>
      </c>
      <c r="E24163" s="3" t="s">
        <v>100</v>
      </c>
      <c r="F24163" s="7">
        <v>46210.712215772044</v>
      </c>
      <c r="G24163" s="3" t="s">
        <v>14430</v>
      </c>
    </row>
    <row r="24164">
      <c r="A24164" s="3" t="s">
        <v>40529</v>
      </c>
      <c r="B24164" s="3" t="s">
        <v>19868</v>
      </c>
      <c r="C24164" s="5" t="s">
        <v>45</v>
      </c>
      <c r="D24164" s="3" t="s">
        <v>221</v>
      </c>
      <c r="E24164" s="3" t="s">
        <v>130</v>
      </c>
      <c r="F24164" s="7">
        <v>46210.7729739508</v>
      </c>
      <c r="G24164" s="3" t="s">
        <v>8912</v>
      </c>
    </row>
    <row r="24165">
      <c r="A24165" s="3" t="s">
        <v>40530</v>
      </c>
      <c r="B24165" s="3" t="s">
        <v>19868</v>
      </c>
      <c r="C24165" s="5" t="s">
        <v>221</v>
      </c>
      <c r="D24165" s="3" t="s">
        <v>614</v>
      </c>
      <c r="E24165" s="3" t="s">
        <v>118</v>
      </c>
      <c r="F24165" s="7">
        <v>46210.77644617302</v>
      </c>
      <c r="G24165" s="3" t="s">
        <v>8915</v>
      </c>
    </row>
    <row r="24166">
      <c r="A24166" s="3" t="s">
        <v>40531</v>
      </c>
      <c r="B24166" s="3" t="s">
        <v>19868</v>
      </c>
      <c r="C24166" s="5" t="s">
        <v>614</v>
      </c>
      <c r="D24166" s="3" t="s">
        <v>206</v>
      </c>
      <c r="E24166" s="3" t="s">
        <v>100</v>
      </c>
      <c r="F24166" s="7">
        <v>46210.779918395245</v>
      </c>
      <c r="G24166" s="3" t="s">
        <v>8918</v>
      </c>
    </row>
    <row r="24167">
      <c r="A24167" s="3" t="s">
        <v>40532</v>
      </c>
      <c r="B24167" s="3" t="s">
        <v>19868</v>
      </c>
      <c r="C24167" s="5" t="s">
        <v>206</v>
      </c>
      <c r="D24167" s="3" t="s">
        <v>68</v>
      </c>
      <c r="E24167" s="3" t="s">
        <v>100</v>
      </c>
      <c r="F24167" s="7">
        <v>46210.783390617464</v>
      </c>
      <c r="G24167" s="3" t="s">
        <v>8921</v>
      </c>
    </row>
    <row r="24168">
      <c r="A24168" s="3" t="s">
        <v>40533</v>
      </c>
      <c r="B24168" s="3" t="s">
        <v>19871</v>
      </c>
      <c r="C24168" s="5" t="s">
        <v>45</v>
      </c>
      <c r="D24168" s="3" t="s">
        <v>221</v>
      </c>
      <c r="E24168" s="3" t="s">
        <v>949</v>
      </c>
      <c r="F24168" s="7">
        <v>46210.844148796205</v>
      </c>
      <c r="G24168" s="3" t="s">
        <v>7604</v>
      </c>
    </row>
    <row r="24169">
      <c r="A24169" s="3" t="s">
        <v>40534</v>
      </c>
      <c r="B24169" s="3" t="s">
        <v>19871</v>
      </c>
      <c r="C24169" s="5" t="s">
        <v>221</v>
      </c>
      <c r="D24169" s="3" t="s">
        <v>614</v>
      </c>
      <c r="E24169" s="3" t="s">
        <v>118</v>
      </c>
      <c r="F24169" s="7">
        <v>46210.84762101842</v>
      </c>
      <c r="G24169" s="3" t="s">
        <v>7606</v>
      </c>
    </row>
    <row r="24170">
      <c r="A24170" s="3" t="s">
        <v>40535</v>
      </c>
      <c r="B24170" s="3" t="s">
        <v>19871</v>
      </c>
      <c r="C24170" s="5" t="s">
        <v>614</v>
      </c>
      <c r="D24170" s="3" t="s">
        <v>206</v>
      </c>
      <c r="E24170" s="3" t="s">
        <v>100</v>
      </c>
      <c r="F24170" s="7">
        <v>46210.85109324065</v>
      </c>
      <c r="G24170" s="3" t="s">
        <v>7609</v>
      </c>
    </row>
    <row r="24171">
      <c r="A24171" s="3" t="s">
        <v>40536</v>
      </c>
      <c r="B24171" s="3" t="s">
        <v>19871</v>
      </c>
      <c r="C24171" s="5" t="s">
        <v>206</v>
      </c>
      <c r="D24171" s="3" t="s">
        <v>68</v>
      </c>
      <c r="E24171" s="3" t="s">
        <v>100</v>
      </c>
      <c r="F24171" s="7">
        <v>46210.85456546287</v>
      </c>
      <c r="G24171" s="3" t="s">
        <v>7612</v>
      </c>
    </row>
    <row r="24172">
      <c r="A24172" s="3" t="s">
        <v>40537</v>
      </c>
      <c r="B24172" s="3" t="s">
        <v>19873</v>
      </c>
      <c r="C24172" s="5" t="s">
        <v>45</v>
      </c>
      <c r="D24172" s="3" t="s">
        <v>221</v>
      </c>
      <c r="E24172" s="3" t="s">
        <v>789</v>
      </c>
      <c r="F24172" s="7">
        <v>46210.915323641624</v>
      </c>
      <c r="G24172" s="3" t="s">
        <v>20033</v>
      </c>
    </row>
    <row r="24173">
      <c r="A24173" s="3" t="s">
        <v>40538</v>
      </c>
      <c r="B24173" s="3" t="s">
        <v>19873</v>
      </c>
      <c r="C24173" s="5" t="s">
        <v>221</v>
      </c>
      <c r="D24173" s="3" t="s">
        <v>195</v>
      </c>
      <c r="E24173" s="3" t="s">
        <v>789</v>
      </c>
      <c r="F24173" s="7">
        <v>46210.91879586384</v>
      </c>
      <c r="G24173" s="3" t="s">
        <v>20036</v>
      </c>
    </row>
    <row r="24174">
      <c r="A24174" s="3" t="s">
        <v>40539</v>
      </c>
      <c r="B24174" s="3" t="s">
        <v>19875</v>
      </c>
      <c r="C24174" s="5" t="s">
        <v>45</v>
      </c>
      <c r="D24174" s="3" t="s">
        <v>221</v>
      </c>
      <c r="E24174" s="3" t="s">
        <v>830</v>
      </c>
      <c r="F24174" s="7">
        <v>46210.98649848704</v>
      </c>
      <c r="G24174" s="3" t="s">
        <v>21641</v>
      </c>
    </row>
    <row r="24175">
      <c r="A24175" s="3" t="s">
        <v>40540</v>
      </c>
      <c r="B24175" s="3" t="s">
        <v>19875</v>
      </c>
      <c r="C24175" s="5" t="s">
        <v>221</v>
      </c>
      <c r="D24175" s="3" t="s">
        <v>614</v>
      </c>
      <c r="E24175" s="3" t="s">
        <v>118</v>
      </c>
      <c r="F24175" s="7">
        <v>46210.989970709255</v>
      </c>
      <c r="G24175" s="3" t="s">
        <v>31498</v>
      </c>
    </row>
    <row r="24176">
      <c r="A24176" s="3" t="s">
        <v>40541</v>
      </c>
      <c r="B24176" s="3" t="s">
        <v>19875</v>
      </c>
      <c r="C24176" s="5" t="s">
        <v>614</v>
      </c>
      <c r="D24176" s="3" t="s">
        <v>206</v>
      </c>
      <c r="E24176" s="3" t="s">
        <v>100</v>
      </c>
      <c r="F24176" s="7">
        <v>46210.99344293148</v>
      </c>
      <c r="G24176" s="3" t="s">
        <v>31500</v>
      </c>
    </row>
    <row r="24177">
      <c r="A24177" s="3" t="s">
        <v>40542</v>
      </c>
      <c r="B24177" s="3" t="s">
        <v>19875</v>
      </c>
      <c r="C24177" s="5" t="s">
        <v>206</v>
      </c>
      <c r="D24177" s="3" t="s">
        <v>68</v>
      </c>
      <c r="E24177" s="3" t="s">
        <v>100</v>
      </c>
      <c r="F24177" s="7">
        <v>46210.9969151537</v>
      </c>
      <c r="G24177" s="3" t="s">
        <v>31502</v>
      </c>
    </row>
    <row r="24178">
      <c r="A24178" s="3" t="s">
        <v>40543</v>
      </c>
      <c r="B24178" s="3" t="s">
        <v>19878</v>
      </c>
      <c r="C24178" s="5" t="s">
        <v>45</v>
      </c>
      <c r="D24178" s="3" t="s">
        <v>221</v>
      </c>
      <c r="E24178" s="3" t="s">
        <v>550</v>
      </c>
      <c r="F24178" s="7">
        <v>46211.057673332456</v>
      </c>
      <c r="G24178" s="3" t="s">
        <v>7721</v>
      </c>
    </row>
    <row r="24179">
      <c r="A24179" s="3" t="s">
        <v>40544</v>
      </c>
      <c r="B24179" s="3" t="s">
        <v>19878</v>
      </c>
      <c r="C24179" s="5" t="s">
        <v>221</v>
      </c>
      <c r="D24179" s="3" t="s">
        <v>614</v>
      </c>
      <c r="E24179" s="3" t="s">
        <v>118</v>
      </c>
      <c r="F24179" s="7">
        <v>46211.061145554675</v>
      </c>
      <c r="G24179" s="3" t="s">
        <v>7724</v>
      </c>
    </row>
    <row r="24180">
      <c r="A24180" s="3" t="s">
        <v>40545</v>
      </c>
      <c r="B24180" s="3" t="s">
        <v>19878</v>
      </c>
      <c r="C24180" s="5" t="s">
        <v>614</v>
      </c>
      <c r="D24180" s="3" t="s">
        <v>206</v>
      </c>
      <c r="E24180" s="3" t="s">
        <v>100</v>
      </c>
      <c r="F24180" s="7">
        <v>46211.0646177769</v>
      </c>
      <c r="G24180" s="3" t="s">
        <v>7727</v>
      </c>
    </row>
    <row r="24181">
      <c r="A24181" s="3" t="s">
        <v>40546</v>
      </c>
      <c r="B24181" s="3" t="s">
        <v>19878</v>
      </c>
      <c r="C24181" s="5" t="s">
        <v>206</v>
      </c>
      <c r="D24181" s="3" t="s">
        <v>68</v>
      </c>
      <c r="E24181" s="3" t="s">
        <v>100</v>
      </c>
      <c r="F24181" s="7">
        <v>46211.06808999912</v>
      </c>
      <c r="G24181" s="3" t="s">
        <v>7730</v>
      </c>
    </row>
    <row r="24182">
      <c r="A24182" s="3" t="s">
        <v>40547</v>
      </c>
      <c r="B24182" s="3" t="s">
        <v>19883</v>
      </c>
      <c r="C24182" s="5" t="s">
        <v>45</v>
      </c>
      <c r="D24182" s="3" t="s">
        <v>221</v>
      </c>
      <c r="E24182" s="3" t="s">
        <v>949</v>
      </c>
      <c r="F24182" s="7">
        <v>46211.12884817787</v>
      </c>
      <c r="G24182" s="3" t="s">
        <v>8862</v>
      </c>
    </row>
    <row r="24183">
      <c r="A24183" s="3" t="s">
        <v>40548</v>
      </c>
      <c r="B24183" s="3" t="s">
        <v>19883</v>
      </c>
      <c r="C24183" s="5" t="s">
        <v>221</v>
      </c>
      <c r="D24183" s="3" t="s">
        <v>195</v>
      </c>
      <c r="E24183" s="3" t="s">
        <v>949</v>
      </c>
      <c r="F24183" s="7">
        <v>46211.13232040009</v>
      </c>
      <c r="G24183" s="3" t="s">
        <v>40549</v>
      </c>
    </row>
    <row r="24184">
      <c r="A24184" s="3" t="s">
        <v>40550</v>
      </c>
      <c r="B24184" s="3" t="s">
        <v>19886</v>
      </c>
      <c r="C24184" s="5" t="s">
        <v>45</v>
      </c>
      <c r="D24184" s="3" t="s">
        <v>221</v>
      </c>
      <c r="E24184" s="3" t="s">
        <v>908</v>
      </c>
      <c r="F24184" s="7">
        <v>46211.20002302329</v>
      </c>
      <c r="G24184" s="3" t="s">
        <v>12142</v>
      </c>
    </row>
    <row r="24185">
      <c r="A24185" s="3" t="s">
        <v>40551</v>
      </c>
      <c r="B24185" s="3" t="s">
        <v>19886</v>
      </c>
      <c r="C24185" s="5" t="s">
        <v>221</v>
      </c>
      <c r="D24185" s="3" t="s">
        <v>614</v>
      </c>
      <c r="E24185" s="3" t="s">
        <v>118</v>
      </c>
      <c r="F24185" s="7">
        <v>46211.20349524551</v>
      </c>
      <c r="G24185" s="3" t="s">
        <v>12145</v>
      </c>
    </row>
    <row r="24186">
      <c r="A24186" s="3" t="s">
        <v>40552</v>
      </c>
      <c r="B24186" s="3" t="s">
        <v>19886</v>
      </c>
      <c r="C24186" s="5" t="s">
        <v>614</v>
      </c>
      <c r="D24186" s="3" t="s">
        <v>206</v>
      </c>
      <c r="E24186" s="3" t="s">
        <v>100</v>
      </c>
      <c r="F24186" s="7">
        <v>46211.20696746773</v>
      </c>
      <c r="G24186" s="3" t="s">
        <v>12148</v>
      </c>
    </row>
    <row r="24187">
      <c r="A24187" s="3" t="s">
        <v>40553</v>
      </c>
      <c r="B24187" s="3" t="s">
        <v>19886</v>
      </c>
      <c r="C24187" s="5" t="s">
        <v>206</v>
      </c>
      <c r="D24187" s="3" t="s">
        <v>68</v>
      </c>
      <c r="E24187" s="3" t="s">
        <v>100</v>
      </c>
      <c r="F24187" s="7">
        <v>46211.21043968995</v>
      </c>
      <c r="G24187" s="3" t="s">
        <v>12151</v>
      </c>
    </row>
    <row r="24188">
      <c r="A24188" s="3" t="s">
        <v>40554</v>
      </c>
      <c r="B24188" s="3" t="s">
        <v>19888</v>
      </c>
      <c r="C24188" s="5" t="s">
        <v>45</v>
      </c>
      <c r="D24188" s="3" t="s">
        <v>221</v>
      </c>
      <c r="E24188" s="3" t="s">
        <v>911</v>
      </c>
      <c r="F24188" s="7">
        <v>46211.27119786869</v>
      </c>
      <c r="G24188" s="3" t="s">
        <v>25261</v>
      </c>
    </row>
    <row r="24189">
      <c r="A24189" s="3" t="s">
        <v>40555</v>
      </c>
      <c r="B24189" s="3" t="s">
        <v>19888</v>
      </c>
      <c r="C24189" s="5" t="s">
        <v>221</v>
      </c>
      <c r="D24189" s="3" t="s">
        <v>181</v>
      </c>
      <c r="E24189" s="3" t="s">
        <v>118</v>
      </c>
      <c r="F24189" s="7">
        <v>46211.27467009091</v>
      </c>
      <c r="G24189" s="3" t="s">
        <v>40556</v>
      </c>
    </row>
    <row r="24190">
      <c r="A24190" s="3" t="s">
        <v>40557</v>
      </c>
      <c r="B24190" s="3" t="s">
        <v>19890</v>
      </c>
      <c r="C24190" s="5" t="s">
        <v>45</v>
      </c>
      <c r="D24190" s="3" t="s">
        <v>221</v>
      </c>
      <c r="E24190" s="3" t="s">
        <v>652</v>
      </c>
      <c r="F24190" s="7">
        <v>46211.34237271411</v>
      </c>
      <c r="G24190" s="3" t="s">
        <v>11950</v>
      </c>
    </row>
    <row r="24191">
      <c r="A24191" s="3" t="s">
        <v>40558</v>
      </c>
      <c r="B24191" s="3" t="s">
        <v>19890</v>
      </c>
      <c r="C24191" s="5" t="s">
        <v>221</v>
      </c>
      <c r="D24191" s="3" t="s">
        <v>614</v>
      </c>
      <c r="E24191" s="3" t="s">
        <v>118</v>
      </c>
      <c r="F24191" s="7">
        <v>46211.34584493633</v>
      </c>
      <c r="G24191" s="3" t="s">
        <v>11953</v>
      </c>
    </row>
    <row r="24192">
      <c r="A24192" s="3" t="s">
        <v>40559</v>
      </c>
      <c r="B24192" s="3" t="s">
        <v>19890</v>
      </c>
      <c r="C24192" s="5" t="s">
        <v>614</v>
      </c>
      <c r="D24192" s="3" t="s">
        <v>206</v>
      </c>
      <c r="E24192" s="3" t="s">
        <v>100</v>
      </c>
      <c r="F24192" s="7">
        <v>46211.34931715856</v>
      </c>
      <c r="G24192" s="3" t="s">
        <v>11956</v>
      </c>
    </row>
    <row r="24193">
      <c r="A24193" s="3" t="s">
        <v>40560</v>
      </c>
      <c r="B24193" s="3" t="s">
        <v>19890</v>
      </c>
      <c r="C24193" s="5" t="s">
        <v>206</v>
      </c>
      <c r="D24193" s="3" t="s">
        <v>68</v>
      </c>
      <c r="E24193" s="3" t="s">
        <v>100</v>
      </c>
      <c r="F24193" s="7">
        <v>46211.35278938078</v>
      </c>
      <c r="G24193" s="3" t="s">
        <v>11959</v>
      </c>
    </row>
    <row r="24194">
      <c r="A24194" s="3" t="s">
        <v>40561</v>
      </c>
      <c r="B24194" s="3" t="s">
        <v>19892</v>
      </c>
      <c r="C24194" s="5" t="s">
        <v>45</v>
      </c>
      <c r="D24194" s="3" t="s">
        <v>221</v>
      </c>
      <c r="E24194" s="3" t="s">
        <v>694</v>
      </c>
      <c r="F24194" s="7">
        <v>46211.41354755953</v>
      </c>
      <c r="G24194" s="3" t="s">
        <v>21154</v>
      </c>
    </row>
    <row r="24195">
      <c r="A24195" s="3" t="s">
        <v>40562</v>
      </c>
      <c r="B24195" s="3" t="s">
        <v>19892</v>
      </c>
      <c r="C24195" s="5" t="s">
        <v>221</v>
      </c>
      <c r="D24195" s="3" t="s">
        <v>614</v>
      </c>
      <c r="E24195" s="3" t="s">
        <v>118</v>
      </c>
      <c r="F24195" s="7">
        <v>46211.41701978175</v>
      </c>
      <c r="G24195" s="3" t="s">
        <v>21157</v>
      </c>
    </row>
    <row r="24196">
      <c r="A24196" s="3" t="s">
        <v>40563</v>
      </c>
      <c r="B24196" s="3" t="s">
        <v>19892</v>
      </c>
      <c r="C24196" s="5" t="s">
        <v>614</v>
      </c>
      <c r="D24196" s="3" t="s">
        <v>206</v>
      </c>
      <c r="E24196" s="3" t="s">
        <v>100</v>
      </c>
      <c r="F24196" s="7">
        <v>46211.42049200398</v>
      </c>
      <c r="G24196" s="3" t="s">
        <v>21160</v>
      </c>
    </row>
    <row r="24197">
      <c r="A24197" s="3" t="s">
        <v>40564</v>
      </c>
      <c r="B24197" s="3" t="s">
        <v>19892</v>
      </c>
      <c r="C24197" s="5" t="s">
        <v>206</v>
      </c>
      <c r="D24197" s="3" t="s">
        <v>68</v>
      </c>
      <c r="E24197" s="3" t="s">
        <v>100</v>
      </c>
      <c r="F24197" s="7">
        <v>46211.4239642262</v>
      </c>
      <c r="G24197" s="3" t="s">
        <v>21163</v>
      </c>
    </row>
    <row r="24198">
      <c r="A24198" s="3" t="s">
        <v>40565</v>
      </c>
      <c r="B24198" s="3" t="s">
        <v>19894</v>
      </c>
      <c r="C24198" s="5" t="s">
        <v>45</v>
      </c>
      <c r="D24198" s="3" t="s">
        <v>221</v>
      </c>
      <c r="E24198" s="3" t="s">
        <v>860</v>
      </c>
      <c r="F24198" s="7">
        <v>46211.484722404944</v>
      </c>
      <c r="G24198" s="3" t="s">
        <v>32881</v>
      </c>
    </row>
    <row r="24199">
      <c r="A24199" s="3" t="s">
        <v>40566</v>
      </c>
      <c r="B24199" s="3" t="s">
        <v>19894</v>
      </c>
      <c r="C24199" s="5" t="s">
        <v>221</v>
      </c>
      <c r="D24199" s="3" t="s">
        <v>614</v>
      </c>
      <c r="E24199" s="3" t="s">
        <v>118</v>
      </c>
      <c r="F24199" s="7">
        <v>46211.48819462716</v>
      </c>
      <c r="G24199" s="3" t="s">
        <v>32883</v>
      </c>
    </row>
    <row r="24200">
      <c r="A24200" s="3" t="s">
        <v>40567</v>
      </c>
      <c r="B24200" s="3" t="s">
        <v>19894</v>
      </c>
      <c r="C24200" s="5" t="s">
        <v>614</v>
      </c>
      <c r="D24200" s="3" t="s">
        <v>206</v>
      </c>
      <c r="E24200" s="3" t="s">
        <v>100</v>
      </c>
      <c r="F24200" s="7">
        <v>46211.49166684939</v>
      </c>
      <c r="G24200" s="3" t="s">
        <v>32885</v>
      </c>
    </row>
    <row r="24201">
      <c r="A24201" s="3" t="s">
        <v>40568</v>
      </c>
      <c r="B24201" s="3" t="s">
        <v>19894</v>
      </c>
      <c r="C24201" s="5" t="s">
        <v>206</v>
      </c>
      <c r="D24201" s="3" t="s">
        <v>68</v>
      </c>
      <c r="E24201" s="3" t="s">
        <v>100</v>
      </c>
      <c r="F24201" s="7">
        <v>46211.49513907161</v>
      </c>
      <c r="G24201" s="3" t="s">
        <v>32887</v>
      </c>
    </row>
    <row r="24202">
      <c r="A24202" s="3" t="s">
        <v>40569</v>
      </c>
      <c r="B24202" s="3" t="s">
        <v>19899</v>
      </c>
      <c r="C24202" s="5" t="s">
        <v>45</v>
      </c>
      <c r="D24202" s="3" t="s">
        <v>221</v>
      </c>
      <c r="E24202" s="3" t="s">
        <v>524</v>
      </c>
      <c r="F24202" s="7">
        <v>46211.55589725036</v>
      </c>
      <c r="G24202" s="3" t="s">
        <v>11009</v>
      </c>
    </row>
    <row r="24203">
      <c r="A24203" s="3" t="s">
        <v>40570</v>
      </c>
      <c r="B24203" s="3" t="s">
        <v>19899</v>
      </c>
      <c r="C24203" s="5" t="s">
        <v>221</v>
      </c>
      <c r="D24203" s="3" t="s">
        <v>614</v>
      </c>
      <c r="E24203" s="3" t="s">
        <v>118</v>
      </c>
      <c r="F24203" s="7">
        <v>46211.559369472576</v>
      </c>
      <c r="G24203" s="3" t="s">
        <v>11012</v>
      </c>
    </row>
    <row r="24204">
      <c r="A24204" s="3" t="s">
        <v>40571</v>
      </c>
      <c r="B24204" s="3" t="s">
        <v>19899</v>
      </c>
      <c r="C24204" s="5" t="s">
        <v>614</v>
      </c>
      <c r="D24204" s="3" t="s">
        <v>206</v>
      </c>
      <c r="E24204" s="3" t="s">
        <v>100</v>
      </c>
      <c r="F24204" s="7">
        <v>46211.5628416948</v>
      </c>
      <c r="G24204" s="3" t="s">
        <v>11014</v>
      </c>
    </row>
    <row r="24205">
      <c r="A24205" s="3" t="s">
        <v>40572</v>
      </c>
      <c r="B24205" s="3" t="s">
        <v>19899</v>
      </c>
      <c r="C24205" s="5" t="s">
        <v>206</v>
      </c>
      <c r="D24205" s="3" t="s">
        <v>68</v>
      </c>
      <c r="E24205" s="3" t="s">
        <v>100</v>
      </c>
      <c r="F24205" s="7">
        <v>46211.56631391702</v>
      </c>
      <c r="G24205" s="3" t="s">
        <v>11017</v>
      </c>
    </row>
    <row r="24206">
      <c r="A24206" s="3" t="s">
        <v>40573</v>
      </c>
      <c r="B24206" s="3" t="s">
        <v>19902</v>
      </c>
      <c r="C24206" s="5" t="s">
        <v>45</v>
      </c>
      <c r="D24206" s="3" t="s">
        <v>221</v>
      </c>
      <c r="E24206" s="3" t="s">
        <v>1008</v>
      </c>
      <c r="F24206" s="7">
        <v>46211.62707209578</v>
      </c>
      <c r="G24206" s="3" t="s">
        <v>32419</v>
      </c>
    </row>
    <row r="24207">
      <c r="A24207" s="3" t="s">
        <v>40574</v>
      </c>
      <c r="B24207" s="3" t="s">
        <v>19902</v>
      </c>
      <c r="C24207" s="5" t="s">
        <v>221</v>
      </c>
      <c r="D24207" s="3" t="s">
        <v>614</v>
      </c>
      <c r="E24207" s="3" t="s">
        <v>118</v>
      </c>
      <c r="F24207" s="7">
        <v>46211.630544317995</v>
      </c>
      <c r="G24207" s="3" t="s">
        <v>34399</v>
      </c>
    </row>
    <row r="24208">
      <c r="A24208" s="3" t="s">
        <v>40575</v>
      </c>
      <c r="B24208" s="3" t="s">
        <v>19902</v>
      </c>
      <c r="C24208" s="5" t="s">
        <v>614</v>
      </c>
      <c r="D24208" s="3" t="s">
        <v>206</v>
      </c>
      <c r="E24208" s="3" t="s">
        <v>100</v>
      </c>
      <c r="F24208" s="7">
        <v>46211.63401654022</v>
      </c>
      <c r="G24208" s="3" t="s">
        <v>34401</v>
      </c>
    </row>
    <row r="24209">
      <c r="A24209" s="3" t="s">
        <v>40576</v>
      </c>
      <c r="B24209" s="3" t="s">
        <v>19902</v>
      </c>
      <c r="C24209" s="5" t="s">
        <v>206</v>
      </c>
      <c r="D24209" s="3" t="s">
        <v>68</v>
      </c>
      <c r="E24209" s="3" t="s">
        <v>100</v>
      </c>
      <c r="F24209" s="7">
        <v>46211.63748876244</v>
      </c>
      <c r="G24209" s="3" t="s">
        <v>34403</v>
      </c>
    </row>
    <row r="24210">
      <c r="A24210" s="3" t="s">
        <v>40577</v>
      </c>
      <c r="B24210" s="3" t="s">
        <v>19905</v>
      </c>
      <c r="C24210" s="5" t="s">
        <v>45</v>
      </c>
      <c r="D24210" s="3" t="s">
        <v>221</v>
      </c>
      <c r="E24210" s="3" t="s">
        <v>612</v>
      </c>
      <c r="F24210" s="7">
        <v>46211.69824694119</v>
      </c>
      <c r="G24210" s="3" t="s">
        <v>20187</v>
      </c>
    </row>
    <row r="24211">
      <c r="A24211" s="3" t="s">
        <v>40578</v>
      </c>
      <c r="B24211" s="3" t="s">
        <v>19905</v>
      </c>
      <c r="C24211" s="5" t="s">
        <v>221</v>
      </c>
      <c r="D24211" s="3" t="s">
        <v>614</v>
      </c>
      <c r="E24211" s="3" t="s">
        <v>118</v>
      </c>
      <c r="F24211" s="7">
        <v>46211.70171916341</v>
      </c>
      <c r="G24211" s="3" t="s">
        <v>20190</v>
      </c>
    </row>
    <row r="24212">
      <c r="A24212" s="3" t="s">
        <v>40579</v>
      </c>
      <c r="B24212" s="3" t="s">
        <v>19905</v>
      </c>
      <c r="C24212" s="5" t="s">
        <v>614</v>
      </c>
      <c r="D24212" s="3" t="s">
        <v>206</v>
      </c>
      <c r="E24212" s="3" t="s">
        <v>100</v>
      </c>
      <c r="F24212" s="7">
        <v>46211.705191385634</v>
      </c>
      <c r="G24212" s="3" t="s">
        <v>20193</v>
      </c>
    </row>
    <row r="24213">
      <c r="A24213" s="3" t="s">
        <v>40580</v>
      </c>
      <c r="B24213" s="3" t="s">
        <v>19905</v>
      </c>
      <c r="C24213" s="5" t="s">
        <v>206</v>
      </c>
      <c r="D24213" s="3" t="s">
        <v>68</v>
      </c>
      <c r="E24213" s="3" t="s">
        <v>100</v>
      </c>
      <c r="F24213" s="7">
        <v>46211.70866360785</v>
      </c>
      <c r="G24213" s="3" t="s">
        <v>20196</v>
      </c>
    </row>
    <row r="24214">
      <c r="A24214" s="3" t="s">
        <v>40581</v>
      </c>
      <c r="B24214" s="3" t="s">
        <v>19910</v>
      </c>
      <c r="C24214" s="5" t="s">
        <v>45</v>
      </c>
      <c r="D24214" s="3" t="s">
        <v>221</v>
      </c>
      <c r="E24214" s="3" t="s">
        <v>436</v>
      </c>
      <c r="F24214" s="7">
        <v>46211.7694217866</v>
      </c>
      <c r="G24214" s="3" t="s">
        <v>23658</v>
      </c>
    </row>
    <row r="24215">
      <c r="A24215" s="3" t="s">
        <v>40582</v>
      </c>
      <c r="B24215" s="3" t="s">
        <v>19910</v>
      </c>
      <c r="C24215" s="5" t="s">
        <v>221</v>
      </c>
      <c r="D24215" s="3" t="s">
        <v>614</v>
      </c>
      <c r="E24215" s="3" t="s">
        <v>118</v>
      </c>
      <c r="F24215" s="7">
        <v>46211.77289400882</v>
      </c>
      <c r="G24215" s="3" t="s">
        <v>40338</v>
      </c>
    </row>
    <row r="24216">
      <c r="A24216" s="3" t="s">
        <v>40583</v>
      </c>
      <c r="B24216" s="3" t="s">
        <v>19910</v>
      </c>
      <c r="C24216" s="5" t="s">
        <v>614</v>
      </c>
      <c r="D24216" s="3" t="s">
        <v>206</v>
      </c>
      <c r="E24216" s="3" t="s">
        <v>100</v>
      </c>
      <c r="F24216" s="7">
        <v>46211.776366231046</v>
      </c>
      <c r="G24216" s="3" t="s">
        <v>40340</v>
      </c>
    </row>
    <row r="24217">
      <c r="A24217" s="3" t="s">
        <v>40584</v>
      </c>
      <c r="B24217" s="3" t="s">
        <v>19910</v>
      </c>
      <c r="C24217" s="5" t="s">
        <v>206</v>
      </c>
      <c r="D24217" s="3" t="s">
        <v>68</v>
      </c>
      <c r="E24217" s="3" t="s">
        <v>100</v>
      </c>
      <c r="F24217" s="7">
        <v>46211.779838453265</v>
      </c>
      <c r="G24217" s="3" t="s">
        <v>40342</v>
      </c>
    </row>
    <row r="24218">
      <c r="A24218" s="3" t="s">
        <v>40585</v>
      </c>
      <c r="B24218" s="3" t="s">
        <v>19913</v>
      </c>
      <c r="C24218" s="5" t="s">
        <v>45</v>
      </c>
      <c r="D24218" s="3" t="s">
        <v>221</v>
      </c>
      <c r="E24218" s="3" t="s">
        <v>763</v>
      </c>
      <c r="F24218" s="7">
        <v>46211.84059663202</v>
      </c>
      <c r="G24218" s="3" t="s">
        <v>3690</v>
      </c>
    </row>
    <row r="24219">
      <c r="A24219" s="3" t="s">
        <v>40586</v>
      </c>
      <c r="B24219" s="3" t="s">
        <v>19913</v>
      </c>
      <c r="C24219" s="5" t="s">
        <v>221</v>
      </c>
      <c r="D24219" s="3" t="s">
        <v>614</v>
      </c>
      <c r="E24219" s="3" t="s">
        <v>118</v>
      </c>
      <c r="F24219" s="7">
        <v>46211.84406885424</v>
      </c>
      <c r="G24219" s="3" t="s">
        <v>9034</v>
      </c>
    </row>
    <row r="24220">
      <c r="A24220" s="3" t="s">
        <v>40587</v>
      </c>
      <c r="B24220" s="3" t="s">
        <v>19913</v>
      </c>
      <c r="C24220" s="5" t="s">
        <v>614</v>
      </c>
      <c r="D24220" s="3" t="s">
        <v>206</v>
      </c>
      <c r="E24220" s="3" t="s">
        <v>100</v>
      </c>
      <c r="F24220" s="7">
        <v>46211.847541076466</v>
      </c>
      <c r="G24220" s="3" t="s">
        <v>9037</v>
      </c>
    </row>
    <row r="24221">
      <c r="A24221" s="3" t="s">
        <v>40588</v>
      </c>
      <c r="B24221" s="3" t="s">
        <v>19913</v>
      </c>
      <c r="C24221" s="5" t="s">
        <v>206</v>
      </c>
      <c r="D24221" s="3" t="s">
        <v>68</v>
      </c>
      <c r="E24221" s="3" t="s">
        <v>100</v>
      </c>
      <c r="F24221" s="7">
        <v>46211.851013298685</v>
      </c>
      <c r="G24221" s="3" t="s">
        <v>9040</v>
      </c>
    </row>
    <row r="24222">
      <c r="A24222" s="3" t="s">
        <v>40589</v>
      </c>
      <c r="B24222" s="3" t="s">
        <v>19916</v>
      </c>
      <c r="C24222" s="5" t="s">
        <v>45</v>
      </c>
      <c r="D24222" s="3" t="s">
        <v>221</v>
      </c>
      <c r="E24222" s="3" t="s">
        <v>822</v>
      </c>
      <c r="F24222" s="7">
        <v>46211.91177147744</v>
      </c>
      <c r="G24222" s="3" t="s">
        <v>7388</v>
      </c>
    </row>
    <row r="24223">
      <c r="A24223" s="3" t="s">
        <v>40590</v>
      </c>
      <c r="B24223" s="3" t="s">
        <v>19916</v>
      </c>
      <c r="C24223" s="5" t="s">
        <v>221</v>
      </c>
      <c r="D24223" s="3" t="s">
        <v>614</v>
      </c>
      <c r="E24223" s="3" t="s">
        <v>118</v>
      </c>
      <c r="F24223" s="7">
        <v>46211.91524369966</v>
      </c>
      <c r="G24223" s="3" t="s">
        <v>25795</v>
      </c>
    </row>
    <row r="24224">
      <c r="A24224" s="3" t="s">
        <v>40591</v>
      </c>
      <c r="B24224" s="3" t="s">
        <v>19916</v>
      </c>
      <c r="C24224" s="5" t="s">
        <v>614</v>
      </c>
      <c r="D24224" s="3" t="s">
        <v>206</v>
      </c>
      <c r="E24224" s="3" t="s">
        <v>100</v>
      </c>
      <c r="F24224" s="7">
        <v>46211.918715921885</v>
      </c>
      <c r="G24224" s="3" t="s">
        <v>25797</v>
      </c>
    </row>
    <row r="24225">
      <c r="A24225" s="3" t="s">
        <v>40592</v>
      </c>
      <c r="B24225" s="3" t="s">
        <v>19916</v>
      </c>
      <c r="C24225" s="5" t="s">
        <v>206</v>
      </c>
      <c r="D24225" s="3" t="s">
        <v>68</v>
      </c>
      <c r="E24225" s="3" t="s">
        <v>100</v>
      </c>
      <c r="F24225" s="7">
        <v>46211.922188144104</v>
      </c>
      <c r="G24225" s="3" t="s">
        <v>25799</v>
      </c>
    </row>
    <row r="24226">
      <c r="A24226" s="3" t="s">
        <v>40593</v>
      </c>
      <c r="B24226" s="3" t="s">
        <v>19918</v>
      </c>
      <c r="C24226" s="5" t="s">
        <v>45</v>
      </c>
      <c r="D24226" s="3" t="s">
        <v>221</v>
      </c>
      <c r="E24226" s="3" t="s">
        <v>419</v>
      </c>
      <c r="F24226" s="7">
        <v>46211.982946322845</v>
      </c>
      <c r="G24226" s="3" t="s">
        <v>18380</v>
      </c>
    </row>
    <row r="24227">
      <c r="A24227" s="3" t="s">
        <v>40594</v>
      </c>
      <c r="B24227" s="3" t="s">
        <v>19918</v>
      </c>
      <c r="C24227" s="5" t="s">
        <v>221</v>
      </c>
      <c r="D24227" s="3" t="s">
        <v>614</v>
      </c>
      <c r="E24227" s="3" t="s">
        <v>118</v>
      </c>
      <c r="F24227" s="7">
        <v>46211.986418545064</v>
      </c>
      <c r="G24227" s="3" t="s">
        <v>18383</v>
      </c>
    </row>
    <row r="24228">
      <c r="A24228" s="3" t="s">
        <v>40595</v>
      </c>
      <c r="B24228" s="3" t="s">
        <v>19918</v>
      </c>
      <c r="C24228" s="5" t="s">
        <v>614</v>
      </c>
      <c r="D24228" s="3" t="s">
        <v>206</v>
      </c>
      <c r="E24228" s="3" t="s">
        <v>100</v>
      </c>
      <c r="F24228" s="7">
        <v>46211.98989076729</v>
      </c>
      <c r="G24228" s="3" t="s">
        <v>18386</v>
      </c>
    </row>
    <row r="24229">
      <c r="A24229" s="3" t="s">
        <v>40596</v>
      </c>
      <c r="B24229" s="3" t="s">
        <v>19918</v>
      </c>
      <c r="C24229" s="5" t="s">
        <v>206</v>
      </c>
      <c r="D24229" s="3" t="s">
        <v>68</v>
      </c>
      <c r="E24229" s="3" t="s">
        <v>100</v>
      </c>
      <c r="F24229" s="7">
        <v>46211.99336298951</v>
      </c>
      <c r="G24229" s="3" t="s">
        <v>18389</v>
      </c>
    </row>
    <row r="24230">
      <c r="A24230" s="3" t="s">
        <v>40597</v>
      </c>
      <c r="B24230" s="3" t="s">
        <v>19921</v>
      </c>
      <c r="C24230" s="5" t="s">
        <v>45</v>
      </c>
      <c r="D24230" s="3" t="s">
        <v>221</v>
      </c>
      <c r="E24230" s="3" t="s">
        <v>276</v>
      </c>
      <c r="F24230" s="7">
        <v>46212.054121168265</v>
      </c>
      <c r="G24230" s="3" t="s">
        <v>5833</v>
      </c>
    </row>
    <row r="24231">
      <c r="A24231" s="3" t="s">
        <v>40598</v>
      </c>
      <c r="B24231" s="3" t="s">
        <v>19921</v>
      </c>
      <c r="C24231" s="5" t="s">
        <v>221</v>
      </c>
      <c r="D24231" s="3" t="s">
        <v>614</v>
      </c>
      <c r="E24231" s="3" t="s">
        <v>118</v>
      </c>
      <c r="F24231" s="7">
        <v>46212.057593390484</v>
      </c>
      <c r="G24231" s="3" t="s">
        <v>5836</v>
      </c>
    </row>
    <row r="24232">
      <c r="A24232" s="3" t="s">
        <v>40599</v>
      </c>
      <c r="B24232" s="3" t="s">
        <v>19921</v>
      </c>
      <c r="C24232" s="5" t="s">
        <v>614</v>
      </c>
      <c r="D24232" s="3" t="s">
        <v>206</v>
      </c>
      <c r="E24232" s="3" t="s">
        <v>100</v>
      </c>
      <c r="F24232" s="7">
        <v>46212.06106561271</v>
      </c>
      <c r="G24232" s="3" t="s">
        <v>5839</v>
      </c>
    </row>
    <row r="24233">
      <c r="A24233" s="3" t="s">
        <v>40600</v>
      </c>
      <c r="B24233" s="3" t="s">
        <v>19921</v>
      </c>
      <c r="C24233" s="5" t="s">
        <v>206</v>
      </c>
      <c r="D24233" s="3" t="s">
        <v>68</v>
      </c>
      <c r="E24233" s="3" t="s">
        <v>100</v>
      </c>
      <c r="F24233" s="7">
        <v>46212.06453783493</v>
      </c>
      <c r="G24233" s="3" t="s">
        <v>5842</v>
      </c>
    </row>
    <row r="24234">
      <c r="A24234" s="3" t="s">
        <v>40601</v>
      </c>
      <c r="B24234" s="3" t="s">
        <v>19923</v>
      </c>
      <c r="C24234" s="5" t="s">
        <v>45</v>
      </c>
      <c r="D24234" s="3" t="s">
        <v>221</v>
      </c>
      <c r="E24234" s="3" t="s">
        <v>145</v>
      </c>
      <c r="F24234" s="7">
        <v>46212.125296013684</v>
      </c>
      <c r="G24234" s="3" t="s">
        <v>2770</v>
      </c>
    </row>
    <row r="24235">
      <c r="A24235" s="3" t="s">
        <v>40602</v>
      </c>
      <c r="B24235" s="3" t="s">
        <v>19923</v>
      </c>
      <c r="C24235" s="5" t="s">
        <v>221</v>
      </c>
      <c r="D24235" s="3" t="s">
        <v>181</v>
      </c>
      <c r="E24235" s="3" t="s">
        <v>118</v>
      </c>
      <c r="F24235" s="7">
        <v>46212.1287682359</v>
      </c>
      <c r="G24235" s="3" t="s">
        <v>2774</v>
      </c>
    </row>
    <row r="24236">
      <c r="A24236" s="3" t="s">
        <v>40603</v>
      </c>
      <c r="B24236" s="3" t="s">
        <v>19925</v>
      </c>
      <c r="C24236" s="5" t="s">
        <v>45</v>
      </c>
      <c r="D24236" s="3" t="s">
        <v>221</v>
      </c>
      <c r="E24236" s="3" t="s">
        <v>460</v>
      </c>
      <c r="F24236" s="7">
        <v>46212.1964708591</v>
      </c>
      <c r="G24236" s="3" t="s">
        <v>7744</v>
      </c>
    </row>
    <row r="24237">
      <c r="A24237" s="3" t="s">
        <v>40604</v>
      </c>
      <c r="B24237" s="3" t="s">
        <v>19925</v>
      </c>
      <c r="C24237" s="5" t="s">
        <v>221</v>
      </c>
      <c r="D24237" s="3" t="s">
        <v>614</v>
      </c>
      <c r="E24237" s="3" t="s">
        <v>118</v>
      </c>
      <c r="F24237" s="7">
        <v>46212.199943081316</v>
      </c>
      <c r="G24237" s="3" t="s">
        <v>7747</v>
      </c>
    </row>
    <row r="24238">
      <c r="A24238" s="3" t="s">
        <v>40605</v>
      </c>
      <c r="B24238" s="3" t="s">
        <v>19925</v>
      </c>
      <c r="C24238" s="5" t="s">
        <v>614</v>
      </c>
      <c r="D24238" s="3" t="s">
        <v>206</v>
      </c>
      <c r="E24238" s="3" t="s">
        <v>100</v>
      </c>
      <c r="F24238" s="7">
        <v>46212.20341530354</v>
      </c>
      <c r="G24238" s="3" t="s">
        <v>7750</v>
      </c>
    </row>
    <row r="24239">
      <c r="A24239" s="3" t="s">
        <v>40606</v>
      </c>
      <c r="B24239" s="3" t="s">
        <v>19925</v>
      </c>
      <c r="C24239" s="5" t="s">
        <v>206</v>
      </c>
      <c r="D24239" s="3" t="s">
        <v>68</v>
      </c>
      <c r="E24239" s="3" t="s">
        <v>100</v>
      </c>
      <c r="F24239" s="7">
        <v>46212.20688752576</v>
      </c>
      <c r="G24239" s="3" t="s">
        <v>7753</v>
      </c>
    </row>
    <row r="24240">
      <c r="A24240" s="3" t="s">
        <v>40607</v>
      </c>
      <c r="B24240" s="3" t="s">
        <v>19927</v>
      </c>
      <c r="C24240" s="5" t="s">
        <v>45</v>
      </c>
      <c r="D24240" s="3" t="s">
        <v>221</v>
      </c>
      <c r="E24240" s="3" t="s">
        <v>130</v>
      </c>
      <c r="F24240" s="7">
        <v>46212.26764570451</v>
      </c>
      <c r="G24240" s="3" t="s">
        <v>7798</v>
      </c>
    </row>
    <row r="24241">
      <c r="A24241" s="3" t="s">
        <v>40608</v>
      </c>
      <c r="B24241" s="3" t="s">
        <v>19927</v>
      </c>
      <c r="C24241" s="5" t="s">
        <v>221</v>
      </c>
      <c r="D24241" s="3" t="s">
        <v>614</v>
      </c>
      <c r="E24241" s="3" t="s">
        <v>118</v>
      </c>
      <c r="F24241" s="7">
        <v>46212.27111792673</v>
      </c>
      <c r="G24241" s="3" t="s">
        <v>7801</v>
      </c>
    </row>
    <row r="24242">
      <c r="A24242" s="3" t="s">
        <v>40609</v>
      </c>
      <c r="B24242" s="3" t="s">
        <v>19927</v>
      </c>
      <c r="C24242" s="5" t="s">
        <v>614</v>
      </c>
      <c r="D24242" s="3" t="s">
        <v>206</v>
      </c>
      <c r="E24242" s="3" t="s">
        <v>100</v>
      </c>
      <c r="F24242" s="7">
        <v>46212.274590148954</v>
      </c>
      <c r="G24242" s="3" t="s">
        <v>7804</v>
      </c>
    </row>
    <row r="24243">
      <c r="A24243" s="3" t="s">
        <v>40610</v>
      </c>
      <c r="B24243" s="3" t="s">
        <v>19927</v>
      </c>
      <c r="C24243" s="5" t="s">
        <v>206</v>
      </c>
      <c r="D24243" s="3" t="s">
        <v>68</v>
      </c>
      <c r="E24243" s="3" t="s">
        <v>100</v>
      </c>
      <c r="F24243" s="7">
        <v>46212.27806237117</v>
      </c>
      <c r="G24243" s="3" t="s">
        <v>7806</v>
      </c>
    </row>
    <row r="24244">
      <c r="A24244" s="3" t="s">
        <v>40611</v>
      </c>
      <c r="B24244" s="3" t="s">
        <v>19929</v>
      </c>
      <c r="C24244" s="5" t="s">
        <v>45</v>
      </c>
      <c r="D24244" s="3" t="s">
        <v>221</v>
      </c>
      <c r="E24244" s="3" t="s">
        <v>148</v>
      </c>
      <c r="F24244" s="7">
        <v>46212.33882054993</v>
      </c>
      <c r="G24244" s="3" t="s">
        <v>16269</v>
      </c>
    </row>
    <row r="24245">
      <c r="A24245" s="3" t="s">
        <v>40612</v>
      </c>
      <c r="B24245" s="3" t="s">
        <v>19929</v>
      </c>
      <c r="C24245" s="5" t="s">
        <v>221</v>
      </c>
      <c r="D24245" s="3" t="s">
        <v>614</v>
      </c>
      <c r="E24245" s="3" t="s">
        <v>118</v>
      </c>
      <c r="F24245" s="7">
        <v>46212.34229277215</v>
      </c>
      <c r="G24245" s="3" t="s">
        <v>16271</v>
      </c>
    </row>
    <row r="24246">
      <c r="A24246" s="3" t="s">
        <v>40613</v>
      </c>
      <c r="B24246" s="3" t="s">
        <v>19929</v>
      </c>
      <c r="C24246" s="5" t="s">
        <v>614</v>
      </c>
      <c r="D24246" s="3" t="s">
        <v>206</v>
      </c>
      <c r="E24246" s="3" t="s">
        <v>100</v>
      </c>
      <c r="F24246" s="7">
        <v>46212.345764994374</v>
      </c>
      <c r="G24246" s="3" t="s">
        <v>16274</v>
      </c>
    </row>
    <row r="24247">
      <c r="A24247" s="3" t="s">
        <v>40614</v>
      </c>
      <c r="B24247" s="3" t="s">
        <v>19929</v>
      </c>
      <c r="C24247" s="5" t="s">
        <v>206</v>
      </c>
      <c r="D24247" s="3" t="s">
        <v>68</v>
      </c>
      <c r="E24247" s="3" t="s">
        <v>100</v>
      </c>
      <c r="F24247" s="7">
        <v>46212.34923721659</v>
      </c>
      <c r="G24247" s="3" t="s">
        <v>16277</v>
      </c>
    </row>
    <row r="24248">
      <c r="A24248" s="3" t="s">
        <v>40615</v>
      </c>
      <c r="B24248" s="3" t="s">
        <v>19932</v>
      </c>
      <c r="C24248" s="5" t="s">
        <v>45</v>
      </c>
      <c r="D24248" s="3" t="s">
        <v>221</v>
      </c>
      <c r="E24248" s="3" t="s">
        <v>269</v>
      </c>
      <c r="F24248" s="7">
        <v>46212.40999539534</v>
      </c>
      <c r="G24248" s="3" t="s">
        <v>39514</v>
      </c>
    </row>
    <row r="24249">
      <c r="A24249" s="3" t="s">
        <v>40616</v>
      </c>
      <c r="B24249" s="3" t="s">
        <v>19932</v>
      </c>
      <c r="C24249" s="5" t="s">
        <v>221</v>
      </c>
      <c r="D24249" s="3" t="s">
        <v>614</v>
      </c>
      <c r="E24249" s="3" t="s">
        <v>118</v>
      </c>
      <c r="F24249" s="7">
        <v>46212.41346761756</v>
      </c>
      <c r="G24249" s="3" t="s">
        <v>39516</v>
      </c>
    </row>
    <row r="24250">
      <c r="A24250" s="3" t="s">
        <v>40617</v>
      </c>
      <c r="B24250" s="3" t="s">
        <v>19932</v>
      </c>
      <c r="C24250" s="5" t="s">
        <v>614</v>
      </c>
      <c r="D24250" s="3" t="s">
        <v>206</v>
      </c>
      <c r="E24250" s="3" t="s">
        <v>100</v>
      </c>
      <c r="F24250" s="7">
        <v>46212.416939839786</v>
      </c>
      <c r="G24250" s="3" t="s">
        <v>39518</v>
      </c>
    </row>
    <row r="24251">
      <c r="A24251" s="3" t="s">
        <v>40618</v>
      </c>
      <c r="B24251" s="3" t="s">
        <v>19932</v>
      </c>
      <c r="C24251" s="5" t="s">
        <v>206</v>
      </c>
      <c r="D24251" s="3" t="s">
        <v>68</v>
      </c>
      <c r="E24251" s="3" t="s">
        <v>100</v>
      </c>
      <c r="F24251" s="7">
        <v>46212.420412062005</v>
      </c>
      <c r="G24251" s="3" t="s">
        <v>39520</v>
      </c>
    </row>
    <row r="24252">
      <c r="A24252" s="3" t="s">
        <v>40619</v>
      </c>
      <c r="B24252" s="3" t="s">
        <v>19936</v>
      </c>
      <c r="C24252" s="5" t="s">
        <v>45</v>
      </c>
      <c r="D24252" s="3" t="s">
        <v>221</v>
      </c>
      <c r="E24252" s="3" t="s">
        <v>442</v>
      </c>
      <c r="F24252" s="7">
        <v>46212.48117024075</v>
      </c>
      <c r="G24252" s="3" t="s">
        <v>2770</v>
      </c>
    </row>
    <row r="24253">
      <c r="A24253" s="3" t="s">
        <v>40620</v>
      </c>
      <c r="B24253" s="3" t="s">
        <v>19936</v>
      </c>
      <c r="C24253" s="5" t="s">
        <v>221</v>
      </c>
      <c r="D24253" s="3" t="s">
        <v>181</v>
      </c>
      <c r="E24253" s="3" t="s">
        <v>118</v>
      </c>
      <c r="F24253" s="7">
        <v>46212.48464246297</v>
      </c>
      <c r="G24253" s="3" t="s">
        <v>2774</v>
      </c>
    </row>
    <row r="24254">
      <c r="A24254" s="3" t="s">
        <v>40621</v>
      </c>
      <c r="B24254" s="3" t="s">
        <v>19939</v>
      </c>
      <c r="C24254" s="5" t="s">
        <v>45</v>
      </c>
      <c r="D24254" s="3" t="s">
        <v>221</v>
      </c>
      <c r="E24254" s="3" t="s">
        <v>391</v>
      </c>
      <c r="F24254" s="7">
        <v>46212.55234508617</v>
      </c>
      <c r="G24254" s="3" t="s">
        <v>7852</v>
      </c>
    </row>
    <row r="24255">
      <c r="A24255" s="3" t="s">
        <v>40622</v>
      </c>
      <c r="B24255" s="3" t="s">
        <v>19939</v>
      </c>
      <c r="C24255" s="5" t="s">
        <v>221</v>
      </c>
      <c r="D24255" s="3" t="s">
        <v>614</v>
      </c>
      <c r="E24255" s="3" t="s">
        <v>118</v>
      </c>
      <c r="F24255" s="7">
        <v>46212.55581730839</v>
      </c>
      <c r="G24255" s="3" t="s">
        <v>7855</v>
      </c>
    </row>
    <row r="24256">
      <c r="A24256" s="3" t="s">
        <v>40623</v>
      </c>
      <c r="B24256" s="3" t="s">
        <v>19939</v>
      </c>
      <c r="C24256" s="5" t="s">
        <v>614</v>
      </c>
      <c r="D24256" s="3" t="s">
        <v>206</v>
      </c>
      <c r="E24256" s="3" t="s">
        <v>100</v>
      </c>
      <c r="F24256" s="7">
        <v>46212.55928953062</v>
      </c>
      <c r="G24256" s="3" t="s">
        <v>7860</v>
      </c>
    </row>
    <row r="24257">
      <c r="A24257" s="3" t="s">
        <v>40624</v>
      </c>
      <c r="B24257" s="3" t="s">
        <v>19939</v>
      </c>
      <c r="C24257" s="5" t="s">
        <v>206</v>
      </c>
      <c r="D24257" s="3" t="s">
        <v>68</v>
      </c>
      <c r="E24257" s="3" t="s">
        <v>100</v>
      </c>
      <c r="F24257" s="7">
        <v>46212.56276175284</v>
      </c>
      <c r="G24257" s="3" t="s">
        <v>7863</v>
      </c>
    </row>
    <row r="24258">
      <c r="A24258" s="3" t="s">
        <v>40625</v>
      </c>
      <c r="B24258" s="3" t="s">
        <v>19942</v>
      </c>
      <c r="C24258" s="5" t="s">
        <v>45</v>
      </c>
      <c r="D24258" s="3" t="s">
        <v>221</v>
      </c>
      <c r="E24258" s="3" t="s">
        <v>175</v>
      </c>
      <c r="F24258" s="7">
        <v>46212.623519931585</v>
      </c>
      <c r="G24258" s="3" t="s">
        <v>4448</v>
      </c>
    </row>
    <row r="24259">
      <c r="A24259" s="3" t="s">
        <v>40626</v>
      </c>
      <c r="B24259" s="3" t="s">
        <v>19942</v>
      </c>
      <c r="C24259" s="5" t="s">
        <v>221</v>
      </c>
      <c r="D24259" s="3" t="s">
        <v>614</v>
      </c>
      <c r="E24259" s="3" t="s">
        <v>118</v>
      </c>
      <c r="F24259" s="7">
        <v>46212.626992153804</v>
      </c>
      <c r="G24259" s="3" t="s">
        <v>4451</v>
      </c>
    </row>
    <row r="24260">
      <c r="A24260" s="3" t="s">
        <v>40627</v>
      </c>
      <c r="B24260" s="3" t="s">
        <v>19942</v>
      </c>
      <c r="C24260" s="5" t="s">
        <v>614</v>
      </c>
      <c r="D24260" s="3" t="s">
        <v>206</v>
      </c>
      <c r="E24260" s="3" t="s">
        <v>100</v>
      </c>
      <c r="F24260" s="7">
        <v>46212.63046437603</v>
      </c>
      <c r="G24260" s="3" t="s">
        <v>4454</v>
      </c>
    </row>
    <row r="24261">
      <c r="A24261" s="3" t="s">
        <v>40628</v>
      </c>
      <c r="B24261" s="3" t="s">
        <v>19942</v>
      </c>
      <c r="C24261" s="5" t="s">
        <v>206</v>
      </c>
      <c r="D24261" s="3" t="s">
        <v>68</v>
      </c>
      <c r="E24261" s="3" t="s">
        <v>100</v>
      </c>
      <c r="F24261" s="7">
        <v>46212.63393659825</v>
      </c>
      <c r="G24261" s="3" t="s">
        <v>4457</v>
      </c>
    </row>
    <row r="24262">
      <c r="A24262" s="3" t="s">
        <v>40629</v>
      </c>
      <c r="B24262" s="3" t="s">
        <v>19944</v>
      </c>
      <c r="C24262" s="5" t="s">
        <v>45</v>
      </c>
      <c r="D24262" s="3" t="s">
        <v>221</v>
      </c>
      <c r="E24262" s="3" t="s">
        <v>708</v>
      </c>
      <c r="F24262" s="7">
        <v>46212.694694777</v>
      </c>
      <c r="G24262" s="3" t="s">
        <v>9456</v>
      </c>
    </row>
    <row r="24263">
      <c r="A24263" s="3" t="s">
        <v>40630</v>
      </c>
      <c r="B24263" s="3" t="s">
        <v>19944</v>
      </c>
      <c r="C24263" s="5" t="s">
        <v>221</v>
      </c>
      <c r="D24263" s="3" t="s">
        <v>614</v>
      </c>
      <c r="E24263" s="3" t="s">
        <v>118</v>
      </c>
      <c r="F24263" s="7">
        <v>46212.69816699922</v>
      </c>
      <c r="G24263" s="3" t="s">
        <v>9460</v>
      </c>
    </row>
    <row r="24264">
      <c r="A24264" s="3" t="s">
        <v>40631</v>
      </c>
      <c r="B24264" s="3" t="s">
        <v>19944</v>
      </c>
      <c r="C24264" s="5" t="s">
        <v>614</v>
      </c>
      <c r="D24264" s="3" t="s">
        <v>206</v>
      </c>
      <c r="E24264" s="3" t="s">
        <v>100</v>
      </c>
      <c r="F24264" s="7">
        <v>46212.70163922144</v>
      </c>
      <c r="G24264" s="3" t="s">
        <v>9462</v>
      </c>
    </row>
    <row r="24265">
      <c r="A24265" s="3" t="s">
        <v>40632</v>
      </c>
      <c r="B24265" s="3" t="s">
        <v>19944</v>
      </c>
      <c r="C24265" s="5" t="s">
        <v>206</v>
      </c>
      <c r="D24265" s="3" t="s">
        <v>68</v>
      </c>
      <c r="E24265" s="3" t="s">
        <v>100</v>
      </c>
      <c r="F24265" s="7">
        <v>46212.70511144366</v>
      </c>
      <c r="G24265" s="3" t="s">
        <v>9465</v>
      </c>
    </row>
    <row r="24266">
      <c r="A24266" s="3" t="s">
        <v>40633</v>
      </c>
      <c r="B24266" s="3" t="s">
        <v>19947</v>
      </c>
      <c r="C24266" s="5" t="s">
        <v>45</v>
      </c>
      <c r="D24266" s="3" t="s">
        <v>221</v>
      </c>
      <c r="E24266" s="3" t="s">
        <v>424</v>
      </c>
      <c r="F24266" s="7">
        <v>46212.76586962242</v>
      </c>
      <c r="G24266" s="3" t="s">
        <v>7152</v>
      </c>
    </row>
    <row r="24267">
      <c r="A24267" s="3" t="s">
        <v>40634</v>
      </c>
      <c r="B24267" s="3" t="s">
        <v>19947</v>
      </c>
      <c r="C24267" s="5" t="s">
        <v>221</v>
      </c>
      <c r="D24267" s="3" t="s">
        <v>614</v>
      </c>
      <c r="E24267" s="3" t="s">
        <v>118</v>
      </c>
      <c r="F24267" s="7">
        <v>46212.769341844636</v>
      </c>
      <c r="G24267" s="3" t="s">
        <v>7155</v>
      </c>
    </row>
    <row r="24268">
      <c r="A24268" s="3" t="s">
        <v>40635</v>
      </c>
      <c r="B24268" s="3" t="s">
        <v>19947</v>
      </c>
      <c r="C24268" s="5" t="s">
        <v>614</v>
      </c>
      <c r="D24268" s="3" t="s">
        <v>206</v>
      </c>
      <c r="E24268" s="3" t="s">
        <v>100</v>
      </c>
      <c r="F24268" s="7">
        <v>46212.77281406686</v>
      </c>
      <c r="G24268" s="3" t="s">
        <v>7158</v>
      </c>
    </row>
    <row r="24269">
      <c r="A24269" s="3" t="s">
        <v>40636</v>
      </c>
      <c r="B24269" s="3" t="s">
        <v>19947</v>
      </c>
      <c r="C24269" s="5" t="s">
        <v>206</v>
      </c>
      <c r="D24269" s="3" t="s">
        <v>68</v>
      </c>
      <c r="E24269" s="3" t="s">
        <v>100</v>
      </c>
      <c r="F24269" s="7">
        <v>46212.77628628908</v>
      </c>
      <c r="G24269" s="3" t="s">
        <v>7161</v>
      </c>
    </row>
    <row r="24270">
      <c r="A24270" s="3" t="s">
        <v>40637</v>
      </c>
      <c r="B24270" s="3" t="s">
        <v>19949</v>
      </c>
      <c r="C24270" s="5" t="s">
        <v>45</v>
      </c>
      <c r="D24270" s="3" t="s">
        <v>221</v>
      </c>
      <c r="E24270" s="3" t="s">
        <v>363</v>
      </c>
      <c r="F24270" s="7">
        <v>46212.83704446783</v>
      </c>
      <c r="G24270" s="3" t="s">
        <v>26072</v>
      </c>
    </row>
    <row r="24271">
      <c r="A24271" s="3" t="s">
        <v>40638</v>
      </c>
      <c r="B24271" s="3" t="s">
        <v>19949</v>
      </c>
      <c r="C24271" s="5" t="s">
        <v>221</v>
      </c>
      <c r="D24271" s="3" t="s">
        <v>614</v>
      </c>
      <c r="E24271" s="3" t="s">
        <v>118</v>
      </c>
      <c r="F24271" s="7">
        <v>46212.84051669005</v>
      </c>
      <c r="G24271" s="3" t="s">
        <v>26074</v>
      </c>
    </row>
    <row r="24272">
      <c r="A24272" s="3" t="s">
        <v>40639</v>
      </c>
      <c r="B24272" s="3" t="s">
        <v>19949</v>
      </c>
      <c r="C24272" s="5" t="s">
        <v>614</v>
      </c>
      <c r="D24272" s="3" t="s">
        <v>206</v>
      </c>
      <c r="E24272" s="3" t="s">
        <v>100</v>
      </c>
      <c r="F24272" s="7">
        <v>46212.843988912275</v>
      </c>
      <c r="G24272" s="3" t="s">
        <v>26076</v>
      </c>
    </row>
    <row r="24273">
      <c r="A24273" s="3" t="s">
        <v>40640</v>
      </c>
      <c r="B24273" s="3" t="s">
        <v>19949</v>
      </c>
      <c r="C24273" s="5" t="s">
        <v>206</v>
      </c>
      <c r="D24273" s="3" t="s">
        <v>68</v>
      </c>
      <c r="E24273" s="3" t="s">
        <v>100</v>
      </c>
      <c r="F24273" s="7">
        <v>46212.847461134494</v>
      </c>
      <c r="G24273" s="3" t="s">
        <v>26078</v>
      </c>
    </row>
    <row r="24274">
      <c r="A24274" s="3" t="s">
        <v>40641</v>
      </c>
      <c r="B24274" s="3" t="s">
        <v>19953</v>
      </c>
      <c r="C24274" s="5" t="s">
        <v>45</v>
      </c>
      <c r="D24274" s="3" t="s">
        <v>221</v>
      </c>
      <c r="E24274" s="3" t="s">
        <v>162</v>
      </c>
      <c r="F24274" s="7">
        <v>46212.90821931324</v>
      </c>
      <c r="G24274" s="3" t="s">
        <v>7884</v>
      </c>
    </row>
    <row r="24275">
      <c r="A24275" s="3" t="s">
        <v>40642</v>
      </c>
      <c r="B24275" s="3" t="s">
        <v>19953</v>
      </c>
      <c r="C24275" s="5" t="s">
        <v>221</v>
      </c>
      <c r="D24275" s="3" t="s">
        <v>614</v>
      </c>
      <c r="E24275" s="3" t="s">
        <v>118</v>
      </c>
      <c r="F24275" s="7">
        <v>46212.91169153546</v>
      </c>
      <c r="G24275" s="3" t="s">
        <v>7887</v>
      </c>
    </row>
    <row r="24276">
      <c r="A24276" s="3" t="s">
        <v>40643</v>
      </c>
      <c r="B24276" s="3" t="s">
        <v>19953</v>
      </c>
      <c r="C24276" s="5" t="s">
        <v>614</v>
      </c>
      <c r="D24276" s="3" t="s">
        <v>206</v>
      </c>
      <c r="E24276" s="3" t="s">
        <v>100</v>
      </c>
      <c r="F24276" s="7">
        <v>46212.91516375769</v>
      </c>
      <c r="G24276" s="3" t="s">
        <v>7889</v>
      </c>
    </row>
    <row r="24277">
      <c r="A24277" s="3" t="s">
        <v>40644</v>
      </c>
      <c r="B24277" s="3" t="s">
        <v>19953</v>
      </c>
      <c r="C24277" s="5" t="s">
        <v>206</v>
      </c>
      <c r="D24277" s="3" t="s">
        <v>68</v>
      </c>
      <c r="E24277" s="3" t="s">
        <v>100</v>
      </c>
      <c r="F24277" s="7">
        <v>46212.918635979906</v>
      </c>
      <c r="G24277" s="3" t="s">
        <v>7892</v>
      </c>
    </row>
    <row r="24278">
      <c r="A24278" s="3" t="s">
        <v>40645</v>
      </c>
      <c r="B24278" s="3" t="s">
        <v>19957</v>
      </c>
      <c r="C24278" s="5" t="s">
        <v>45</v>
      </c>
      <c r="D24278" s="3" t="s">
        <v>221</v>
      </c>
      <c r="E24278" s="3" t="s">
        <v>616</v>
      </c>
      <c r="F24278" s="7">
        <v>46212.97939415866</v>
      </c>
      <c r="G24278" s="3" t="s">
        <v>16032</v>
      </c>
    </row>
    <row r="24279">
      <c r="A24279" s="3" t="s">
        <v>40646</v>
      </c>
      <c r="B24279" s="3" t="s">
        <v>19957</v>
      </c>
      <c r="C24279" s="5" t="s">
        <v>221</v>
      </c>
      <c r="D24279" s="3" t="s">
        <v>614</v>
      </c>
      <c r="E24279" s="3" t="s">
        <v>118</v>
      </c>
      <c r="F24279" s="7">
        <v>46212.98286638088</v>
      </c>
      <c r="G24279" s="3" t="s">
        <v>16035</v>
      </c>
    </row>
    <row r="24280">
      <c r="A24280" s="3" t="s">
        <v>40647</v>
      </c>
      <c r="B24280" s="3" t="s">
        <v>19957</v>
      </c>
      <c r="C24280" s="5" t="s">
        <v>614</v>
      </c>
      <c r="D24280" s="3" t="s">
        <v>206</v>
      </c>
      <c r="E24280" s="3" t="s">
        <v>100</v>
      </c>
      <c r="F24280" s="7">
        <v>46212.98633860311</v>
      </c>
      <c r="G24280" s="3" t="s">
        <v>16037</v>
      </c>
    </row>
    <row r="24281">
      <c r="A24281" s="3" t="s">
        <v>40648</v>
      </c>
      <c r="B24281" s="3" t="s">
        <v>19957</v>
      </c>
      <c r="C24281" s="5" t="s">
        <v>206</v>
      </c>
      <c r="D24281" s="3" t="s">
        <v>68</v>
      </c>
      <c r="E24281" s="3" t="s">
        <v>100</v>
      </c>
      <c r="F24281" s="7">
        <v>46212.989810825326</v>
      </c>
      <c r="G24281" s="3" t="s">
        <v>16040</v>
      </c>
    </row>
    <row r="24282">
      <c r="A24282" s="3" t="s">
        <v>40649</v>
      </c>
      <c r="B24282" s="3" t="s">
        <v>19960</v>
      </c>
      <c r="C24282" s="5" t="s">
        <v>45</v>
      </c>
      <c r="D24282" s="3" t="s">
        <v>221</v>
      </c>
      <c r="E24282" s="3" t="s">
        <v>243</v>
      </c>
      <c r="F24282" s="7">
        <v>46213.05056900408</v>
      </c>
      <c r="G24282" s="3" t="s">
        <v>11392</v>
      </c>
    </row>
    <row r="24283">
      <c r="A24283" s="3" t="s">
        <v>40650</v>
      </c>
      <c r="B24283" s="3" t="s">
        <v>19960</v>
      </c>
      <c r="C24283" s="5" t="s">
        <v>221</v>
      </c>
      <c r="D24283" s="3" t="s">
        <v>614</v>
      </c>
      <c r="E24283" s="3" t="s">
        <v>118</v>
      </c>
      <c r="F24283" s="7">
        <v>46213.0540412263</v>
      </c>
      <c r="G24283" s="3" t="s">
        <v>11394</v>
      </c>
    </row>
    <row r="24284">
      <c r="A24284" s="3" t="s">
        <v>40651</v>
      </c>
      <c r="B24284" s="3" t="s">
        <v>19960</v>
      </c>
      <c r="C24284" s="5" t="s">
        <v>614</v>
      </c>
      <c r="D24284" s="3" t="s">
        <v>206</v>
      </c>
      <c r="E24284" s="3" t="s">
        <v>100</v>
      </c>
      <c r="F24284" s="7">
        <v>46213.057513448526</v>
      </c>
      <c r="G24284" s="3" t="s">
        <v>11397</v>
      </c>
    </row>
    <row r="24285">
      <c r="A24285" s="3" t="s">
        <v>40652</v>
      </c>
      <c r="B24285" s="3" t="s">
        <v>19960</v>
      </c>
      <c r="C24285" s="5" t="s">
        <v>206</v>
      </c>
      <c r="D24285" s="3" t="s">
        <v>68</v>
      </c>
      <c r="E24285" s="3" t="s">
        <v>100</v>
      </c>
      <c r="F24285" s="7">
        <v>46213.060985670745</v>
      </c>
      <c r="G24285" s="3" t="s">
        <v>11400</v>
      </c>
    </row>
    <row r="24286">
      <c r="A24286" s="3" t="s">
        <v>40653</v>
      </c>
      <c r="B24286" s="3" t="s">
        <v>19963</v>
      </c>
      <c r="C24286" s="5" t="s">
        <v>45</v>
      </c>
      <c r="D24286" s="3" t="s">
        <v>221</v>
      </c>
      <c r="E24286" s="3" t="s">
        <v>186</v>
      </c>
      <c r="F24286" s="7">
        <v>46213.121743849486</v>
      </c>
      <c r="G24286" s="3" t="s">
        <v>4922</v>
      </c>
    </row>
    <row r="24287">
      <c r="A24287" s="3" t="s">
        <v>40654</v>
      </c>
      <c r="B24287" s="3" t="s">
        <v>19963</v>
      </c>
      <c r="C24287" s="5" t="s">
        <v>221</v>
      </c>
      <c r="D24287" s="3" t="s">
        <v>614</v>
      </c>
      <c r="E24287" s="3" t="s">
        <v>118</v>
      </c>
      <c r="F24287" s="7">
        <v>46213.125216071705</v>
      </c>
      <c r="G24287" s="3" t="s">
        <v>4925</v>
      </c>
    </row>
    <row r="24288">
      <c r="A24288" s="3" t="s">
        <v>40655</v>
      </c>
      <c r="B24288" s="3" t="s">
        <v>19963</v>
      </c>
      <c r="C24288" s="5" t="s">
        <v>614</v>
      </c>
      <c r="D24288" s="3" t="s">
        <v>206</v>
      </c>
      <c r="E24288" s="3" t="s">
        <v>100</v>
      </c>
      <c r="F24288" s="7">
        <v>46213.12868829393</v>
      </c>
      <c r="G24288" s="3" t="s">
        <v>4928</v>
      </c>
    </row>
    <row r="24289">
      <c r="A24289" s="3" t="s">
        <v>40656</v>
      </c>
      <c r="B24289" s="3" t="s">
        <v>19963</v>
      </c>
      <c r="C24289" s="5" t="s">
        <v>206</v>
      </c>
      <c r="D24289" s="3" t="s">
        <v>68</v>
      </c>
      <c r="E24289" s="3" t="s">
        <v>100</v>
      </c>
      <c r="F24289" s="7">
        <v>46213.13216051615</v>
      </c>
      <c r="G24289" s="3" t="s">
        <v>4931</v>
      </c>
    </row>
    <row r="24290">
      <c r="A24290" s="3" t="s">
        <v>40657</v>
      </c>
      <c r="B24290" s="3" t="s">
        <v>19967</v>
      </c>
      <c r="C24290" s="5" t="s">
        <v>45</v>
      </c>
      <c r="D24290" s="3" t="s">
        <v>221</v>
      </c>
      <c r="E24290" s="3" t="s">
        <v>672</v>
      </c>
      <c r="F24290" s="7">
        <v>46213.192918694906</v>
      </c>
      <c r="G24290" s="3" t="s">
        <v>7941</v>
      </c>
    </row>
    <row r="24291">
      <c r="A24291" s="3" t="s">
        <v>40658</v>
      </c>
      <c r="B24291" s="3" t="s">
        <v>19967</v>
      </c>
      <c r="C24291" s="5" t="s">
        <v>221</v>
      </c>
      <c r="D24291" s="3" t="s">
        <v>614</v>
      </c>
      <c r="E24291" s="3" t="s">
        <v>118</v>
      </c>
      <c r="F24291" s="7">
        <v>46213.196390917125</v>
      </c>
      <c r="G24291" s="3" t="s">
        <v>7944</v>
      </c>
    </row>
    <row r="24292">
      <c r="A24292" s="3" t="s">
        <v>40659</v>
      </c>
      <c r="B24292" s="3" t="s">
        <v>19967</v>
      </c>
      <c r="C24292" s="5" t="s">
        <v>614</v>
      </c>
      <c r="D24292" s="3" t="s">
        <v>206</v>
      </c>
      <c r="E24292" s="3" t="s">
        <v>100</v>
      </c>
      <c r="F24292" s="7">
        <v>46213.19986313935</v>
      </c>
      <c r="G24292" s="3" t="s">
        <v>7947</v>
      </c>
    </row>
    <row r="24293">
      <c r="A24293" s="3" t="s">
        <v>40660</v>
      </c>
      <c r="B24293" s="3" t="s">
        <v>19967</v>
      </c>
      <c r="C24293" s="5" t="s">
        <v>206</v>
      </c>
      <c r="D24293" s="3" t="s">
        <v>68</v>
      </c>
      <c r="E24293" s="3" t="s">
        <v>100</v>
      </c>
      <c r="F24293" s="7">
        <v>46213.20333536157</v>
      </c>
      <c r="G24293" s="3" t="s">
        <v>7950</v>
      </c>
    </row>
    <row r="24294">
      <c r="A24294" s="3" t="s">
        <v>40661</v>
      </c>
      <c r="B24294" s="3" t="s">
        <v>19971</v>
      </c>
      <c r="C24294" s="5" t="s">
        <v>45</v>
      </c>
      <c r="D24294" s="3" t="s">
        <v>221</v>
      </c>
      <c r="E24294" s="3" t="s">
        <v>333</v>
      </c>
      <c r="F24294" s="7">
        <v>46213.264093540325</v>
      </c>
      <c r="G24294" s="3" t="s">
        <v>21301</v>
      </c>
    </row>
    <row r="24295">
      <c r="A24295" s="3" t="s">
        <v>40662</v>
      </c>
      <c r="B24295" s="3" t="s">
        <v>19971</v>
      </c>
      <c r="C24295" s="5" t="s">
        <v>221</v>
      </c>
      <c r="D24295" s="3" t="s">
        <v>614</v>
      </c>
      <c r="E24295" s="3" t="s">
        <v>118</v>
      </c>
      <c r="F24295" s="7">
        <v>46213.267565762544</v>
      </c>
      <c r="G24295" s="3" t="s">
        <v>21304</v>
      </c>
    </row>
    <row r="24296">
      <c r="A24296" s="3" t="s">
        <v>40663</v>
      </c>
      <c r="B24296" s="3" t="s">
        <v>19971</v>
      </c>
      <c r="C24296" s="5" t="s">
        <v>614</v>
      </c>
      <c r="D24296" s="3" t="s">
        <v>206</v>
      </c>
      <c r="E24296" s="3" t="s">
        <v>100</v>
      </c>
      <c r="F24296" s="7">
        <v>46213.27103798477</v>
      </c>
      <c r="G24296" s="3" t="s">
        <v>21307</v>
      </c>
    </row>
    <row r="24297">
      <c r="A24297" s="3" t="s">
        <v>40664</v>
      </c>
      <c r="B24297" s="3" t="s">
        <v>19971</v>
      </c>
      <c r="C24297" s="5" t="s">
        <v>206</v>
      </c>
      <c r="D24297" s="3" t="s">
        <v>68</v>
      </c>
      <c r="E24297" s="3" t="s">
        <v>100</v>
      </c>
      <c r="F24297" s="7">
        <v>46213.27451020699</v>
      </c>
      <c r="G24297" s="3" t="s">
        <v>21310</v>
      </c>
    </row>
    <row r="24298">
      <c r="A24298" s="3" t="s">
        <v>40665</v>
      </c>
      <c r="B24298" s="3" t="s">
        <v>19974</v>
      </c>
      <c r="C24298" s="5" t="s">
        <v>45</v>
      </c>
      <c r="D24298" s="3" t="s">
        <v>221</v>
      </c>
      <c r="E24298" s="3" t="s">
        <v>785</v>
      </c>
      <c r="F24298" s="7">
        <v>46213.33526838574</v>
      </c>
      <c r="G24298" s="3" t="s">
        <v>14779</v>
      </c>
    </row>
    <row r="24299">
      <c r="A24299" s="3" t="s">
        <v>40666</v>
      </c>
      <c r="B24299" s="3" t="s">
        <v>19974</v>
      </c>
      <c r="C24299" s="5" t="s">
        <v>221</v>
      </c>
      <c r="D24299" s="3" t="s">
        <v>614</v>
      </c>
      <c r="E24299" s="3" t="s">
        <v>118</v>
      </c>
      <c r="F24299" s="7">
        <v>46213.33874060796</v>
      </c>
      <c r="G24299" s="3" t="s">
        <v>14782</v>
      </c>
    </row>
    <row r="24300">
      <c r="A24300" s="3" t="s">
        <v>40667</v>
      </c>
      <c r="B24300" s="3" t="s">
        <v>19974</v>
      </c>
      <c r="C24300" s="5" t="s">
        <v>614</v>
      </c>
      <c r="D24300" s="3" t="s">
        <v>206</v>
      </c>
      <c r="E24300" s="3" t="s">
        <v>100</v>
      </c>
      <c r="F24300" s="7">
        <v>46213.34221283018</v>
      </c>
      <c r="G24300" s="3" t="s">
        <v>14785</v>
      </c>
    </row>
    <row r="24301">
      <c r="A24301" s="3" t="s">
        <v>40668</v>
      </c>
      <c r="B24301" s="3" t="s">
        <v>19974</v>
      </c>
      <c r="C24301" s="5" t="s">
        <v>206</v>
      </c>
      <c r="D24301" s="3" t="s">
        <v>68</v>
      </c>
      <c r="E24301" s="3" t="s">
        <v>100</v>
      </c>
      <c r="F24301" s="7">
        <v>46213.3456850524</v>
      </c>
      <c r="G24301" s="3" t="s">
        <v>14787</v>
      </c>
    </row>
    <row r="24302">
      <c r="A24302" s="3" t="s">
        <v>40669</v>
      </c>
      <c r="B24302" s="3" t="s">
        <v>19977</v>
      </c>
      <c r="C24302" s="5" t="s">
        <v>45</v>
      </c>
      <c r="D24302" s="3" t="s">
        <v>221</v>
      </c>
      <c r="E24302" s="3" t="s">
        <v>280</v>
      </c>
      <c r="F24302" s="7">
        <v>46213.40644323115</v>
      </c>
      <c r="G24302" s="3" t="s">
        <v>7960</v>
      </c>
    </row>
    <row r="24303">
      <c r="A24303" s="3" t="s">
        <v>40670</v>
      </c>
      <c r="B24303" s="3" t="s">
        <v>19977</v>
      </c>
      <c r="C24303" s="5" t="s">
        <v>221</v>
      </c>
      <c r="D24303" s="3" t="s">
        <v>614</v>
      </c>
      <c r="E24303" s="3" t="s">
        <v>118</v>
      </c>
      <c r="F24303" s="7">
        <v>46213.40991545337</v>
      </c>
      <c r="G24303" s="3" t="s">
        <v>7963</v>
      </c>
    </row>
    <row r="24304">
      <c r="A24304" s="3" t="s">
        <v>40671</v>
      </c>
      <c r="B24304" s="3" t="s">
        <v>19977</v>
      </c>
      <c r="C24304" s="5" t="s">
        <v>614</v>
      </c>
      <c r="D24304" s="3" t="s">
        <v>206</v>
      </c>
      <c r="E24304" s="3" t="s">
        <v>100</v>
      </c>
      <c r="F24304" s="7">
        <v>46213.413387675595</v>
      </c>
      <c r="G24304" s="3" t="s">
        <v>7966</v>
      </c>
    </row>
    <row r="24305">
      <c r="A24305" s="3" t="s">
        <v>40672</v>
      </c>
      <c r="B24305" s="3" t="s">
        <v>19977</v>
      </c>
      <c r="C24305" s="5" t="s">
        <v>206</v>
      </c>
      <c r="D24305" s="3" t="s">
        <v>68</v>
      </c>
      <c r="E24305" s="3" t="s">
        <v>100</v>
      </c>
      <c r="F24305" s="7">
        <v>46213.416859897814</v>
      </c>
      <c r="G24305" s="3" t="s">
        <v>7969</v>
      </c>
    </row>
    <row r="24306">
      <c r="A24306" s="3" t="s">
        <v>40673</v>
      </c>
      <c r="B24306" s="3" t="s">
        <v>19981</v>
      </c>
      <c r="C24306" s="5" t="s">
        <v>45</v>
      </c>
      <c r="D24306" s="3" t="s">
        <v>221</v>
      </c>
      <c r="E24306" s="3" t="s">
        <v>584</v>
      </c>
      <c r="F24306" s="7">
        <v>46213.47761807657</v>
      </c>
      <c r="G24306" s="3" t="s">
        <v>2770</v>
      </c>
    </row>
    <row r="24307">
      <c r="A24307" s="3" t="s">
        <v>40674</v>
      </c>
      <c r="B24307" s="3" t="s">
        <v>19981</v>
      </c>
      <c r="C24307" s="5" t="s">
        <v>221</v>
      </c>
      <c r="D24307" s="3" t="s">
        <v>195</v>
      </c>
      <c r="E24307" s="3" t="s">
        <v>584</v>
      </c>
      <c r="F24307" s="7">
        <v>46213.48109029879</v>
      </c>
      <c r="G24307" s="3" t="s">
        <v>3055</v>
      </c>
    </row>
    <row r="24308">
      <c r="A24308" s="3" t="s">
        <v>40675</v>
      </c>
      <c r="B24308" s="3" t="s">
        <v>19983</v>
      </c>
      <c r="C24308" s="5" t="s">
        <v>45</v>
      </c>
      <c r="D24308" s="3" t="s">
        <v>221</v>
      </c>
      <c r="E24308" s="3" t="s">
        <v>359</v>
      </c>
      <c r="F24308" s="7">
        <v>46213.54879292198</v>
      </c>
      <c r="G24308" s="3" t="s">
        <v>5467</v>
      </c>
    </row>
    <row r="24309">
      <c r="A24309" s="3" t="s">
        <v>40676</v>
      </c>
      <c r="B24309" s="3" t="s">
        <v>19983</v>
      </c>
      <c r="C24309" s="5" t="s">
        <v>221</v>
      </c>
      <c r="D24309" s="3" t="s">
        <v>195</v>
      </c>
      <c r="E24309" s="3" t="s">
        <v>359</v>
      </c>
      <c r="F24309" s="7">
        <v>46213.5522651442</v>
      </c>
      <c r="G24309" s="3" t="s">
        <v>40677</v>
      </c>
    </row>
    <row r="24310">
      <c r="A24310" s="3" t="s">
        <v>40678</v>
      </c>
      <c r="B24310" s="3" t="s">
        <v>19986</v>
      </c>
      <c r="C24310" s="5" t="s">
        <v>45</v>
      </c>
      <c r="D24310" s="3" t="s">
        <v>221</v>
      </c>
      <c r="E24310" s="3" t="s">
        <v>505</v>
      </c>
      <c r="F24310" s="7">
        <v>46213.619967767394</v>
      </c>
      <c r="G24310" s="3" t="s">
        <v>7393</v>
      </c>
    </row>
    <row r="24311">
      <c r="A24311" s="3" t="s">
        <v>40679</v>
      </c>
      <c r="B24311" s="3" t="s">
        <v>19986</v>
      </c>
      <c r="C24311" s="5" t="s">
        <v>221</v>
      </c>
      <c r="D24311" s="3" t="s">
        <v>614</v>
      </c>
      <c r="E24311" s="3" t="s">
        <v>118</v>
      </c>
      <c r="F24311" s="7">
        <v>46213.62343998961</v>
      </c>
      <c r="G24311" s="3" t="s">
        <v>7396</v>
      </c>
    </row>
    <row r="24312">
      <c r="A24312" s="3" t="s">
        <v>40680</v>
      </c>
      <c r="B24312" s="3" t="s">
        <v>19986</v>
      </c>
      <c r="C24312" s="5" t="s">
        <v>614</v>
      </c>
      <c r="D24312" s="3" t="s">
        <v>206</v>
      </c>
      <c r="E24312" s="3" t="s">
        <v>100</v>
      </c>
      <c r="F24312" s="7">
        <v>46213.62691221184</v>
      </c>
      <c r="G24312" s="3" t="s">
        <v>7399</v>
      </c>
    </row>
    <row r="24313">
      <c r="A24313" s="3" t="s">
        <v>40681</v>
      </c>
      <c r="B24313" s="3" t="s">
        <v>19986</v>
      </c>
      <c r="C24313" s="5" t="s">
        <v>206</v>
      </c>
      <c r="D24313" s="3" t="s">
        <v>68</v>
      </c>
      <c r="E24313" s="3" t="s">
        <v>100</v>
      </c>
      <c r="F24313" s="7">
        <v>46213.63038443406</v>
      </c>
      <c r="G24313" s="3" t="s">
        <v>7402</v>
      </c>
    </row>
    <row r="24314">
      <c r="A24314" s="3" t="s">
        <v>40682</v>
      </c>
      <c r="B24314" s="3" t="s">
        <v>19988</v>
      </c>
      <c r="C24314" s="5" t="s">
        <v>45</v>
      </c>
      <c r="D24314" s="3" t="s">
        <v>221</v>
      </c>
      <c r="E24314" s="3" t="s">
        <v>742</v>
      </c>
      <c r="F24314" s="7">
        <v>46213.69114261281</v>
      </c>
      <c r="G24314" s="3" t="s">
        <v>16077</v>
      </c>
    </row>
    <row r="24315">
      <c r="A24315" s="3" t="s">
        <v>40683</v>
      </c>
      <c r="B24315" s="3" t="s">
        <v>19988</v>
      </c>
      <c r="C24315" s="5" t="s">
        <v>221</v>
      </c>
      <c r="D24315" s="3" t="s">
        <v>614</v>
      </c>
      <c r="E24315" s="3" t="s">
        <v>118</v>
      </c>
      <c r="F24315" s="7">
        <v>46213.69461483503</v>
      </c>
      <c r="G24315" s="3" t="s">
        <v>16080</v>
      </c>
    </row>
    <row r="24316">
      <c r="A24316" s="3" t="s">
        <v>40684</v>
      </c>
      <c r="B24316" s="3" t="s">
        <v>19988</v>
      </c>
      <c r="C24316" s="5" t="s">
        <v>614</v>
      </c>
      <c r="D24316" s="3" t="s">
        <v>206</v>
      </c>
      <c r="E24316" s="3" t="s">
        <v>100</v>
      </c>
      <c r="F24316" s="7">
        <v>46213.69808705726</v>
      </c>
      <c r="G24316" s="3" t="s">
        <v>16083</v>
      </c>
    </row>
    <row r="24317">
      <c r="A24317" s="3" t="s">
        <v>40685</v>
      </c>
      <c r="B24317" s="3" t="s">
        <v>19988</v>
      </c>
      <c r="C24317" s="5" t="s">
        <v>206</v>
      </c>
      <c r="D24317" s="3" t="s">
        <v>68</v>
      </c>
      <c r="E24317" s="3" t="s">
        <v>100</v>
      </c>
      <c r="F24317" s="7">
        <v>46213.70155927948</v>
      </c>
      <c r="G24317" s="3" t="s">
        <v>16086</v>
      </c>
    </row>
    <row r="24318">
      <c r="A24318" s="3" t="s">
        <v>40686</v>
      </c>
      <c r="B24318" s="3" t="s">
        <v>19990</v>
      </c>
      <c r="C24318" s="5" t="s">
        <v>45</v>
      </c>
      <c r="D24318" s="3" t="s">
        <v>221</v>
      </c>
      <c r="E24318" s="3" t="s">
        <v>533</v>
      </c>
      <c r="F24318" s="7">
        <v>46213.76231745823</v>
      </c>
      <c r="G24318" s="3" t="s">
        <v>6706</v>
      </c>
    </row>
    <row r="24319">
      <c r="A24319" s="3" t="s">
        <v>40687</v>
      </c>
      <c r="B24319" s="3" t="s">
        <v>19990</v>
      </c>
      <c r="C24319" s="5" t="s">
        <v>221</v>
      </c>
      <c r="D24319" s="3" t="s">
        <v>614</v>
      </c>
      <c r="E24319" s="3" t="s">
        <v>118</v>
      </c>
      <c r="F24319" s="7">
        <v>46213.76578968045</v>
      </c>
      <c r="G24319" s="3" t="s">
        <v>6708</v>
      </c>
    </row>
    <row r="24320">
      <c r="A24320" s="3" t="s">
        <v>40688</v>
      </c>
      <c r="B24320" s="3" t="s">
        <v>19990</v>
      </c>
      <c r="C24320" s="5" t="s">
        <v>614</v>
      </c>
      <c r="D24320" s="3" t="s">
        <v>206</v>
      </c>
      <c r="E24320" s="3" t="s">
        <v>100</v>
      </c>
      <c r="F24320" s="7">
        <v>46213.76926190268</v>
      </c>
      <c r="G24320" s="3" t="s">
        <v>6711</v>
      </c>
    </row>
    <row r="24321">
      <c r="A24321" s="3" t="s">
        <v>40689</v>
      </c>
      <c r="B24321" s="3" t="s">
        <v>19990</v>
      </c>
      <c r="C24321" s="5" t="s">
        <v>206</v>
      </c>
      <c r="D24321" s="3" t="s">
        <v>68</v>
      </c>
      <c r="E24321" s="3" t="s">
        <v>100</v>
      </c>
      <c r="F24321" s="7">
        <v>46213.7727341249</v>
      </c>
      <c r="G24321" s="3" t="s">
        <v>6713</v>
      </c>
    </row>
    <row r="24322">
      <c r="A24322" s="3" t="s">
        <v>40690</v>
      </c>
      <c r="B24322" s="3" t="s">
        <v>19992</v>
      </c>
      <c r="C24322" s="5" t="s">
        <v>45</v>
      </c>
      <c r="D24322" s="3" t="s">
        <v>221</v>
      </c>
      <c r="E24322" s="3" t="s">
        <v>527</v>
      </c>
      <c r="F24322" s="7">
        <v>46213.83349230364</v>
      </c>
      <c r="G24322" s="3" t="s">
        <v>30023</v>
      </c>
    </row>
    <row r="24323">
      <c r="A24323" s="3" t="s">
        <v>40691</v>
      </c>
      <c r="B24323" s="3" t="s">
        <v>19992</v>
      </c>
      <c r="C24323" s="5" t="s">
        <v>221</v>
      </c>
      <c r="D24323" s="3" t="s">
        <v>614</v>
      </c>
      <c r="E24323" s="3" t="s">
        <v>118</v>
      </c>
      <c r="F24323" s="7">
        <v>46213.83696452586</v>
      </c>
      <c r="G24323" s="3" t="s">
        <v>30025</v>
      </c>
    </row>
    <row r="24324">
      <c r="A24324" s="3" t="s">
        <v>40692</v>
      </c>
      <c r="B24324" s="3" t="s">
        <v>19992</v>
      </c>
      <c r="C24324" s="5" t="s">
        <v>614</v>
      </c>
      <c r="D24324" s="3" t="s">
        <v>206</v>
      </c>
      <c r="E24324" s="3" t="s">
        <v>100</v>
      </c>
      <c r="F24324" s="7">
        <v>46213.84043674808</v>
      </c>
      <c r="G24324" s="3" t="s">
        <v>30027</v>
      </c>
    </row>
    <row r="24325">
      <c r="A24325" s="3" t="s">
        <v>40693</v>
      </c>
      <c r="B24325" s="3" t="s">
        <v>19992</v>
      </c>
      <c r="C24325" s="5" t="s">
        <v>206</v>
      </c>
      <c r="D24325" s="3" t="s">
        <v>68</v>
      </c>
      <c r="E24325" s="3" t="s">
        <v>100</v>
      </c>
      <c r="F24325" s="7">
        <v>46213.8439089703</v>
      </c>
      <c r="G24325" s="3" t="s">
        <v>30029</v>
      </c>
    </row>
    <row r="24326">
      <c r="A24326" s="3" t="s">
        <v>40694</v>
      </c>
      <c r="B24326" s="3" t="s">
        <v>19996</v>
      </c>
      <c r="C24326" s="5" t="s">
        <v>45</v>
      </c>
      <c r="D24326" s="3" t="s">
        <v>221</v>
      </c>
      <c r="E24326" s="3" t="s">
        <v>632</v>
      </c>
      <c r="F24326" s="7">
        <v>46213.90466714906</v>
      </c>
      <c r="G24326" s="3" t="s">
        <v>14886</v>
      </c>
    </row>
    <row r="24327">
      <c r="A24327" s="3" t="s">
        <v>40695</v>
      </c>
      <c r="B24327" s="3" t="s">
        <v>19996</v>
      </c>
      <c r="C24327" s="5" t="s">
        <v>221</v>
      </c>
      <c r="D24327" s="3" t="s">
        <v>614</v>
      </c>
      <c r="E24327" s="3" t="s">
        <v>118</v>
      </c>
      <c r="F24327" s="7">
        <v>46213.90813937128</v>
      </c>
      <c r="G24327" s="3" t="s">
        <v>14889</v>
      </c>
    </row>
    <row r="24328">
      <c r="A24328" s="3" t="s">
        <v>40696</v>
      </c>
      <c r="B24328" s="3" t="s">
        <v>19996</v>
      </c>
      <c r="C24328" s="5" t="s">
        <v>614</v>
      </c>
      <c r="D24328" s="3" t="s">
        <v>206</v>
      </c>
      <c r="E24328" s="3" t="s">
        <v>100</v>
      </c>
      <c r="F24328" s="7">
        <v>46213.9116115935</v>
      </c>
      <c r="G24328" s="3" t="s">
        <v>14892</v>
      </c>
    </row>
    <row r="24329">
      <c r="A24329" s="3" t="s">
        <v>40697</v>
      </c>
      <c r="B24329" s="3" t="s">
        <v>19996</v>
      </c>
      <c r="C24329" s="5" t="s">
        <v>206</v>
      </c>
      <c r="D24329" s="3" t="s">
        <v>68</v>
      </c>
      <c r="E24329" s="3" t="s">
        <v>100</v>
      </c>
      <c r="F24329" s="7">
        <v>46213.91508381572</v>
      </c>
      <c r="G24329" s="3" t="s">
        <v>14895</v>
      </c>
    </row>
    <row r="24330">
      <c r="A24330" s="3" t="s">
        <v>40698</v>
      </c>
      <c r="B24330" s="3" t="s">
        <v>19999</v>
      </c>
      <c r="C24330" s="5" t="s">
        <v>45</v>
      </c>
      <c r="D24330" s="3" t="s">
        <v>221</v>
      </c>
      <c r="E24330" s="3" t="s">
        <v>747</v>
      </c>
      <c r="F24330" s="7">
        <v>46213.97584199447</v>
      </c>
      <c r="G24330" s="3" t="s">
        <v>10142</v>
      </c>
    </row>
    <row r="24331">
      <c r="A24331" s="3" t="s">
        <v>40699</v>
      </c>
      <c r="B24331" s="3" t="s">
        <v>19999</v>
      </c>
      <c r="C24331" s="5" t="s">
        <v>221</v>
      </c>
      <c r="D24331" s="3" t="s">
        <v>614</v>
      </c>
      <c r="E24331" s="3" t="s">
        <v>118</v>
      </c>
      <c r="F24331" s="7">
        <v>46213.97931421669</v>
      </c>
      <c r="G24331" s="3" t="s">
        <v>10145</v>
      </c>
    </row>
    <row r="24332">
      <c r="A24332" s="3" t="s">
        <v>40700</v>
      </c>
      <c r="B24332" s="3" t="s">
        <v>19999</v>
      </c>
      <c r="C24332" s="5" t="s">
        <v>614</v>
      </c>
      <c r="D24332" s="3" t="s">
        <v>206</v>
      </c>
      <c r="E24332" s="3" t="s">
        <v>100</v>
      </c>
      <c r="F24332" s="7">
        <v>46213.982786438915</v>
      </c>
      <c r="G24332" s="3" t="s">
        <v>10148</v>
      </c>
    </row>
    <row r="24333">
      <c r="A24333" s="3" t="s">
        <v>40701</v>
      </c>
      <c r="B24333" s="3" t="s">
        <v>19999</v>
      </c>
      <c r="C24333" s="5" t="s">
        <v>206</v>
      </c>
      <c r="D24333" s="3" t="s">
        <v>68</v>
      </c>
      <c r="E24333" s="3" t="s">
        <v>100</v>
      </c>
      <c r="F24333" s="7">
        <v>46213.986258661134</v>
      </c>
      <c r="G24333" s="3" t="s">
        <v>10151</v>
      </c>
    </row>
    <row r="24334">
      <c r="A24334" s="3" t="s">
        <v>40702</v>
      </c>
      <c r="B24334" s="3" t="s">
        <v>20002</v>
      </c>
      <c r="C24334" s="5" t="s">
        <v>45</v>
      </c>
      <c r="D24334" s="3" t="s">
        <v>221</v>
      </c>
      <c r="E24334" s="3" t="s">
        <v>400</v>
      </c>
      <c r="F24334" s="7">
        <v>46214.04701683989</v>
      </c>
      <c r="G24334" s="3" t="s">
        <v>23808</v>
      </c>
    </row>
    <row r="24335">
      <c r="A24335" s="3" t="s">
        <v>40703</v>
      </c>
      <c r="B24335" s="3" t="s">
        <v>20002</v>
      </c>
      <c r="C24335" s="5" t="s">
        <v>221</v>
      </c>
      <c r="D24335" s="3" t="s">
        <v>614</v>
      </c>
      <c r="E24335" s="3" t="s">
        <v>118</v>
      </c>
      <c r="F24335" s="7">
        <v>46214.05048906211</v>
      </c>
      <c r="G24335" s="3" t="s">
        <v>28155</v>
      </c>
    </row>
    <row r="24336">
      <c r="A24336" s="3" t="s">
        <v>40704</v>
      </c>
      <c r="B24336" s="3" t="s">
        <v>20002</v>
      </c>
      <c r="C24336" s="5" t="s">
        <v>614</v>
      </c>
      <c r="D24336" s="3" t="s">
        <v>206</v>
      </c>
      <c r="E24336" s="3" t="s">
        <v>100</v>
      </c>
      <c r="F24336" s="7">
        <v>46214.053961284335</v>
      </c>
      <c r="G24336" s="3" t="s">
        <v>28157</v>
      </c>
    </row>
    <row r="24337">
      <c r="A24337" s="3" t="s">
        <v>40705</v>
      </c>
      <c r="B24337" s="3" t="s">
        <v>20002</v>
      </c>
      <c r="C24337" s="5" t="s">
        <v>206</v>
      </c>
      <c r="D24337" s="3" t="s">
        <v>68</v>
      </c>
      <c r="E24337" s="3" t="s">
        <v>100</v>
      </c>
      <c r="F24337" s="7">
        <v>46214.057433506554</v>
      </c>
      <c r="G24337" s="3" t="s">
        <v>28159</v>
      </c>
    </row>
    <row r="24338">
      <c r="A24338" s="3" t="s">
        <v>40706</v>
      </c>
      <c r="B24338" s="3" t="s">
        <v>20005</v>
      </c>
      <c r="C24338" s="5" t="s">
        <v>45</v>
      </c>
      <c r="D24338" s="3" t="s">
        <v>221</v>
      </c>
      <c r="E24338" s="3" t="s">
        <v>341</v>
      </c>
      <c r="F24338" s="7">
        <v>46214.1181916853</v>
      </c>
      <c r="G24338" s="3" t="s">
        <v>28842</v>
      </c>
    </row>
    <row r="24339">
      <c r="A24339" s="3" t="s">
        <v>40707</v>
      </c>
      <c r="B24339" s="3" t="s">
        <v>20005</v>
      </c>
      <c r="C24339" s="5" t="s">
        <v>221</v>
      </c>
      <c r="D24339" s="3" t="s">
        <v>181</v>
      </c>
      <c r="E24339" s="3" t="s">
        <v>118</v>
      </c>
      <c r="F24339" s="7">
        <v>46214.12166390752</v>
      </c>
      <c r="G24339" s="3" t="s">
        <v>40708</v>
      </c>
    </row>
    <row r="24340">
      <c r="A24340" s="3" t="s">
        <v>40709</v>
      </c>
      <c r="B24340" s="3" t="s">
        <v>20008</v>
      </c>
      <c r="C24340" s="5" t="s">
        <v>45</v>
      </c>
      <c r="D24340" s="3" t="s">
        <v>221</v>
      </c>
      <c r="E24340" s="3" t="s">
        <v>725</v>
      </c>
      <c r="F24340" s="7">
        <v>46214.18936653072</v>
      </c>
      <c r="G24340" s="3" t="s">
        <v>7972</v>
      </c>
    </row>
    <row r="24341">
      <c r="A24341" s="3" t="s">
        <v>40710</v>
      </c>
      <c r="B24341" s="3" t="s">
        <v>20008</v>
      </c>
      <c r="C24341" s="5" t="s">
        <v>221</v>
      </c>
      <c r="D24341" s="3" t="s">
        <v>614</v>
      </c>
      <c r="E24341" s="3" t="s">
        <v>118</v>
      </c>
      <c r="F24341" s="7">
        <v>46214.19283875294</v>
      </c>
      <c r="G24341" s="3" t="s">
        <v>7974</v>
      </c>
    </row>
    <row r="24342">
      <c r="A24342" s="3" t="s">
        <v>40711</v>
      </c>
      <c r="B24342" s="3" t="s">
        <v>20008</v>
      </c>
      <c r="C24342" s="5" t="s">
        <v>614</v>
      </c>
      <c r="D24342" s="3" t="s">
        <v>206</v>
      </c>
      <c r="E24342" s="3" t="s">
        <v>100</v>
      </c>
      <c r="F24342" s="7">
        <v>46214.19631097517</v>
      </c>
      <c r="G24342" s="3" t="s">
        <v>7977</v>
      </c>
    </row>
    <row r="24343">
      <c r="A24343" s="3" t="s">
        <v>40712</v>
      </c>
      <c r="B24343" s="3" t="s">
        <v>20008</v>
      </c>
      <c r="C24343" s="5" t="s">
        <v>206</v>
      </c>
      <c r="D24343" s="3" t="s">
        <v>68</v>
      </c>
      <c r="E24343" s="3" t="s">
        <v>100</v>
      </c>
      <c r="F24343" s="7">
        <v>46214.199783197386</v>
      </c>
      <c r="G24343" s="3" t="s">
        <v>7980</v>
      </c>
    </row>
    <row r="24344">
      <c r="A24344" s="3" t="s">
        <v>40713</v>
      </c>
      <c r="B24344" s="3" t="s">
        <v>20013</v>
      </c>
      <c r="C24344" s="5" t="s">
        <v>45</v>
      </c>
      <c r="D24344" s="3" t="s">
        <v>221</v>
      </c>
      <c r="E24344" s="3" t="s">
        <v>600</v>
      </c>
      <c r="F24344" s="7">
        <v>46214.26054137613</v>
      </c>
      <c r="G24344" s="3" t="s">
        <v>29555</v>
      </c>
    </row>
    <row r="24345">
      <c r="A24345" s="3" t="s">
        <v>40714</v>
      </c>
      <c r="B24345" s="3" t="s">
        <v>20013</v>
      </c>
      <c r="C24345" s="5" t="s">
        <v>221</v>
      </c>
      <c r="D24345" s="3" t="s">
        <v>614</v>
      </c>
      <c r="E24345" s="3" t="s">
        <v>118</v>
      </c>
      <c r="F24345" s="7">
        <v>46214.264013598346</v>
      </c>
      <c r="G24345" s="3" t="s">
        <v>29557</v>
      </c>
    </row>
    <row r="24346">
      <c r="A24346" s="3" t="s">
        <v>40715</v>
      </c>
      <c r="B24346" s="3" t="s">
        <v>20013</v>
      </c>
      <c r="C24346" s="5" t="s">
        <v>614</v>
      </c>
      <c r="D24346" s="3" t="s">
        <v>206</v>
      </c>
      <c r="E24346" s="3" t="s">
        <v>100</v>
      </c>
      <c r="F24346" s="7">
        <v>46214.26748582057</v>
      </c>
      <c r="G24346" s="3" t="s">
        <v>29559</v>
      </c>
    </row>
    <row r="24347">
      <c r="A24347" s="3" t="s">
        <v>40716</v>
      </c>
      <c r="B24347" s="3" t="s">
        <v>20013</v>
      </c>
      <c r="C24347" s="5" t="s">
        <v>206</v>
      </c>
      <c r="D24347" s="3" t="s">
        <v>68</v>
      </c>
      <c r="E24347" s="3" t="s">
        <v>100</v>
      </c>
      <c r="F24347" s="7">
        <v>46214.27095804279</v>
      </c>
      <c r="G24347" s="3" t="s">
        <v>29561</v>
      </c>
    </row>
    <row r="24348">
      <c r="A24348" s="3" t="s">
        <v>40717</v>
      </c>
      <c r="B24348" s="3" t="s">
        <v>20015</v>
      </c>
      <c r="C24348" s="5" t="s">
        <v>45</v>
      </c>
      <c r="D24348" s="3" t="s">
        <v>221</v>
      </c>
      <c r="E24348" s="3" t="s">
        <v>1034</v>
      </c>
      <c r="F24348" s="7">
        <v>46214.331716221546</v>
      </c>
      <c r="G24348" s="3" t="s">
        <v>30987</v>
      </c>
    </row>
    <row r="24349">
      <c r="A24349" s="3" t="s">
        <v>40718</v>
      </c>
      <c r="B24349" s="3" t="s">
        <v>20015</v>
      </c>
      <c r="C24349" s="5" t="s">
        <v>221</v>
      </c>
      <c r="D24349" s="3" t="s">
        <v>614</v>
      </c>
      <c r="E24349" s="3" t="s">
        <v>118</v>
      </c>
      <c r="F24349" s="7">
        <v>46214.335188443765</v>
      </c>
      <c r="G24349" s="3" t="s">
        <v>30989</v>
      </c>
    </row>
    <row r="24350">
      <c r="A24350" s="3" t="s">
        <v>40719</v>
      </c>
      <c r="B24350" s="3" t="s">
        <v>20015</v>
      </c>
      <c r="C24350" s="5" t="s">
        <v>614</v>
      </c>
      <c r="D24350" s="3" t="s">
        <v>206</v>
      </c>
      <c r="E24350" s="3" t="s">
        <v>100</v>
      </c>
      <c r="F24350" s="7">
        <v>46214.33866066599</v>
      </c>
      <c r="G24350" s="3" t="s">
        <v>30991</v>
      </c>
    </row>
    <row r="24351">
      <c r="A24351" s="3" t="s">
        <v>40720</v>
      </c>
      <c r="B24351" s="3" t="s">
        <v>20015</v>
      </c>
      <c r="C24351" s="5" t="s">
        <v>206</v>
      </c>
      <c r="D24351" s="3" t="s">
        <v>68</v>
      </c>
      <c r="E24351" s="3" t="s">
        <v>100</v>
      </c>
      <c r="F24351" s="7">
        <v>46214.34213288821</v>
      </c>
      <c r="G24351" s="3" t="s">
        <v>30993</v>
      </c>
    </row>
    <row r="24352">
      <c r="A24352" s="3" t="s">
        <v>40721</v>
      </c>
      <c r="B24352" s="3" t="s">
        <v>20017</v>
      </c>
      <c r="C24352" s="5" t="s">
        <v>45</v>
      </c>
      <c r="D24352" s="3" t="s">
        <v>221</v>
      </c>
      <c r="E24352" s="3" t="s">
        <v>515</v>
      </c>
      <c r="F24352" s="7">
        <v>46214.402891066966</v>
      </c>
      <c r="G24352" s="3" t="s">
        <v>14243</v>
      </c>
    </row>
    <row r="24353">
      <c r="A24353" s="3" t="s">
        <v>40722</v>
      </c>
      <c r="B24353" s="3" t="s">
        <v>20017</v>
      </c>
      <c r="C24353" s="5" t="s">
        <v>221</v>
      </c>
      <c r="D24353" s="3" t="s">
        <v>614</v>
      </c>
      <c r="E24353" s="3" t="s">
        <v>118</v>
      </c>
      <c r="F24353" s="7">
        <v>46214.406363289185</v>
      </c>
      <c r="G24353" s="3" t="s">
        <v>14246</v>
      </c>
    </row>
    <row r="24354">
      <c r="A24354" s="3" t="s">
        <v>40723</v>
      </c>
      <c r="B24354" s="3" t="s">
        <v>20017</v>
      </c>
      <c r="C24354" s="5" t="s">
        <v>614</v>
      </c>
      <c r="D24354" s="3" t="s">
        <v>206</v>
      </c>
      <c r="E24354" s="3" t="s">
        <v>100</v>
      </c>
      <c r="F24354" s="7">
        <v>46214.40983551141</v>
      </c>
      <c r="G24354" s="3" t="s">
        <v>14249</v>
      </c>
    </row>
    <row r="24355">
      <c r="A24355" s="3" t="s">
        <v>40724</v>
      </c>
      <c r="B24355" s="3" t="s">
        <v>20017</v>
      </c>
      <c r="C24355" s="5" t="s">
        <v>206</v>
      </c>
      <c r="D24355" s="3" t="s">
        <v>68</v>
      </c>
      <c r="E24355" s="3" t="s">
        <v>100</v>
      </c>
      <c r="F24355" s="7">
        <v>46214.41330773363</v>
      </c>
      <c r="G24355" s="3" t="s">
        <v>14252</v>
      </c>
    </row>
    <row r="24356">
      <c r="A24356" s="3" t="s">
        <v>40725</v>
      </c>
      <c r="B24356" s="3" t="s">
        <v>20019</v>
      </c>
      <c r="C24356" s="5" t="s">
        <v>45</v>
      </c>
      <c r="D24356" s="3" t="s">
        <v>221</v>
      </c>
      <c r="E24356" s="3" t="s">
        <v>462</v>
      </c>
      <c r="F24356" s="7">
        <v>46214.47406591238</v>
      </c>
      <c r="G24356" s="3" t="s">
        <v>13864</v>
      </c>
    </row>
    <row r="24357">
      <c r="A24357" s="3" t="s">
        <v>40726</v>
      </c>
      <c r="B24357" s="3" t="s">
        <v>20019</v>
      </c>
      <c r="C24357" s="5" t="s">
        <v>221</v>
      </c>
      <c r="D24357" s="3" t="s">
        <v>614</v>
      </c>
      <c r="E24357" s="3" t="s">
        <v>118</v>
      </c>
      <c r="F24357" s="7">
        <v>46214.4775381346</v>
      </c>
      <c r="G24357" s="3" t="s">
        <v>23985</v>
      </c>
    </row>
    <row r="24358">
      <c r="A24358" s="3" t="s">
        <v>40727</v>
      </c>
      <c r="B24358" s="3" t="s">
        <v>20019</v>
      </c>
      <c r="C24358" s="5" t="s">
        <v>614</v>
      </c>
      <c r="D24358" s="3" t="s">
        <v>206</v>
      </c>
      <c r="E24358" s="3" t="s">
        <v>100</v>
      </c>
      <c r="F24358" s="7">
        <v>46214.48101035682</v>
      </c>
      <c r="G24358" s="3" t="s">
        <v>23987</v>
      </c>
    </row>
    <row r="24359">
      <c r="A24359" s="3" t="s">
        <v>40728</v>
      </c>
      <c r="B24359" s="3" t="s">
        <v>20019</v>
      </c>
      <c r="C24359" s="5" t="s">
        <v>206</v>
      </c>
      <c r="D24359" s="3" t="s">
        <v>68</v>
      </c>
      <c r="E24359" s="3" t="s">
        <v>100</v>
      </c>
      <c r="F24359" s="7">
        <v>46214.48448257904</v>
      </c>
      <c r="G24359" s="3" t="s">
        <v>23989</v>
      </c>
    </row>
    <row r="24360">
      <c r="A24360" s="3" t="s">
        <v>40729</v>
      </c>
      <c r="B24360" s="3" t="s">
        <v>20021</v>
      </c>
      <c r="C24360" s="5" t="s">
        <v>45</v>
      </c>
      <c r="D24360" s="3" t="s">
        <v>221</v>
      </c>
      <c r="E24360" s="3" t="s">
        <v>586</v>
      </c>
      <c r="F24360" s="7">
        <v>46214.54524075779</v>
      </c>
      <c r="G24360" s="3" t="s">
        <v>19542</v>
      </c>
    </row>
    <row r="24361">
      <c r="A24361" s="3" t="s">
        <v>40730</v>
      </c>
      <c r="B24361" s="3" t="s">
        <v>20021</v>
      </c>
      <c r="C24361" s="5" t="s">
        <v>221</v>
      </c>
      <c r="D24361" s="3" t="s">
        <v>614</v>
      </c>
      <c r="E24361" s="3" t="s">
        <v>118</v>
      </c>
      <c r="F24361" s="7">
        <v>46214.54871298001</v>
      </c>
      <c r="G24361" s="3" t="s">
        <v>19544</v>
      </c>
    </row>
    <row r="24362">
      <c r="A24362" s="3" t="s">
        <v>40731</v>
      </c>
      <c r="B24362" s="3" t="s">
        <v>20021</v>
      </c>
      <c r="C24362" s="5" t="s">
        <v>614</v>
      </c>
      <c r="D24362" s="3" t="s">
        <v>206</v>
      </c>
      <c r="E24362" s="3" t="s">
        <v>100</v>
      </c>
      <c r="F24362" s="7">
        <v>46214.552185202236</v>
      </c>
      <c r="G24362" s="3" t="s">
        <v>19547</v>
      </c>
    </row>
    <row r="24363">
      <c r="A24363" s="3" t="s">
        <v>40732</v>
      </c>
      <c r="B24363" s="3" t="s">
        <v>20021</v>
      </c>
      <c r="C24363" s="5" t="s">
        <v>206</v>
      </c>
      <c r="D24363" s="3" t="s">
        <v>68</v>
      </c>
      <c r="E24363" s="3" t="s">
        <v>100</v>
      </c>
      <c r="F24363" s="7">
        <v>46214.555657424455</v>
      </c>
      <c r="G24363" s="3" t="s">
        <v>19550</v>
      </c>
    </row>
    <row r="24364">
      <c r="A24364" s="3" t="s">
        <v>40733</v>
      </c>
      <c r="B24364" s="3" t="s">
        <v>20025</v>
      </c>
      <c r="C24364" s="5" t="s">
        <v>45</v>
      </c>
      <c r="D24364" s="3" t="s">
        <v>221</v>
      </c>
      <c r="E24364" s="3" t="s">
        <v>900</v>
      </c>
      <c r="F24364" s="7">
        <v>46214.61641560321</v>
      </c>
      <c r="G24364" s="3" t="s">
        <v>19846</v>
      </c>
    </row>
    <row r="24365">
      <c r="A24365" s="3" t="s">
        <v>40734</v>
      </c>
      <c r="B24365" s="3" t="s">
        <v>20025</v>
      </c>
      <c r="C24365" s="5" t="s">
        <v>221</v>
      </c>
      <c r="D24365" s="3" t="s">
        <v>181</v>
      </c>
      <c r="E24365" s="3" t="s">
        <v>118</v>
      </c>
      <c r="F24365" s="7">
        <v>46214.61988782543</v>
      </c>
      <c r="G24365" s="3" t="s">
        <v>40735</v>
      </c>
    </row>
    <row r="24366">
      <c r="A24366" s="3" t="s">
        <v>40736</v>
      </c>
      <c r="B24366" s="3" t="s">
        <v>20029</v>
      </c>
      <c r="C24366" s="5" t="s">
        <v>45</v>
      </c>
      <c r="D24366" s="3" t="s">
        <v>221</v>
      </c>
      <c r="E24366" s="3" t="s">
        <v>943</v>
      </c>
      <c r="F24366" s="7">
        <v>46214.68759044862</v>
      </c>
      <c r="G24366" s="3" t="s">
        <v>22474</v>
      </c>
    </row>
    <row r="24367">
      <c r="A24367" s="3" t="s">
        <v>40737</v>
      </c>
      <c r="B24367" s="3" t="s">
        <v>20029</v>
      </c>
      <c r="C24367" s="5" t="s">
        <v>221</v>
      </c>
      <c r="D24367" s="3" t="s">
        <v>614</v>
      </c>
      <c r="E24367" s="3" t="s">
        <v>118</v>
      </c>
      <c r="F24367" s="7">
        <v>46214.69106267084</v>
      </c>
      <c r="G24367" s="3" t="s">
        <v>22477</v>
      </c>
    </row>
    <row r="24368">
      <c r="A24368" s="3" t="s">
        <v>40738</v>
      </c>
      <c r="B24368" s="3" t="s">
        <v>20029</v>
      </c>
      <c r="C24368" s="5" t="s">
        <v>614</v>
      </c>
      <c r="D24368" s="3" t="s">
        <v>206</v>
      </c>
      <c r="E24368" s="3" t="s">
        <v>100</v>
      </c>
      <c r="F24368" s="7">
        <v>46214.69453489307</v>
      </c>
      <c r="G24368" s="3" t="s">
        <v>22480</v>
      </c>
    </row>
    <row r="24369">
      <c r="A24369" s="3" t="s">
        <v>40739</v>
      </c>
      <c r="B24369" s="3" t="s">
        <v>20029</v>
      </c>
      <c r="C24369" s="5" t="s">
        <v>206</v>
      </c>
      <c r="D24369" s="3" t="s">
        <v>68</v>
      </c>
      <c r="E24369" s="3" t="s">
        <v>100</v>
      </c>
      <c r="F24369" s="7">
        <v>46214.69800711529</v>
      </c>
      <c r="G24369" s="3" t="s">
        <v>22483</v>
      </c>
    </row>
    <row r="24370">
      <c r="A24370" s="3" t="s">
        <v>40740</v>
      </c>
      <c r="B24370" s="3" t="s">
        <v>20032</v>
      </c>
      <c r="C24370" s="5" t="s">
        <v>45</v>
      </c>
      <c r="D24370" s="3" t="s">
        <v>221</v>
      </c>
      <c r="E24370" s="3" t="s">
        <v>455</v>
      </c>
      <c r="F24370" s="7">
        <v>46214.758765294035</v>
      </c>
      <c r="G24370" s="3" t="s">
        <v>7983</v>
      </c>
    </row>
    <row r="24371">
      <c r="A24371" s="3" t="s">
        <v>40741</v>
      </c>
      <c r="B24371" s="3" t="s">
        <v>20032</v>
      </c>
      <c r="C24371" s="5" t="s">
        <v>221</v>
      </c>
      <c r="D24371" s="3" t="s">
        <v>614</v>
      </c>
      <c r="E24371" s="3" t="s">
        <v>118</v>
      </c>
      <c r="F24371" s="7">
        <v>46214.762237516254</v>
      </c>
      <c r="G24371" s="3" t="s">
        <v>7986</v>
      </c>
    </row>
    <row r="24372">
      <c r="A24372" s="3" t="s">
        <v>40742</v>
      </c>
      <c r="B24372" s="3" t="s">
        <v>20032</v>
      </c>
      <c r="C24372" s="5" t="s">
        <v>614</v>
      </c>
      <c r="D24372" s="3" t="s">
        <v>206</v>
      </c>
      <c r="E24372" s="3" t="s">
        <v>100</v>
      </c>
      <c r="F24372" s="7">
        <v>46214.76570973848</v>
      </c>
      <c r="G24372" s="3" t="s">
        <v>7988</v>
      </c>
    </row>
    <row r="24373">
      <c r="A24373" s="3" t="s">
        <v>40743</v>
      </c>
      <c r="B24373" s="3" t="s">
        <v>20032</v>
      </c>
      <c r="C24373" s="5" t="s">
        <v>206</v>
      </c>
      <c r="D24373" s="3" t="s">
        <v>68</v>
      </c>
      <c r="E24373" s="3" t="s">
        <v>100</v>
      </c>
      <c r="F24373" s="7">
        <v>46214.7691819607</v>
      </c>
      <c r="G24373" s="3" t="s">
        <v>7991</v>
      </c>
    </row>
    <row r="24374">
      <c r="A24374" s="3" t="s">
        <v>40744</v>
      </c>
      <c r="B24374" s="3" t="s">
        <v>20035</v>
      </c>
      <c r="C24374" s="5" t="s">
        <v>45</v>
      </c>
      <c r="D24374" s="3" t="s">
        <v>221</v>
      </c>
      <c r="E24374" s="3" t="s">
        <v>1001</v>
      </c>
      <c r="F24374" s="7">
        <v>46214.829940139454</v>
      </c>
      <c r="G24374" s="3" t="s">
        <v>5685</v>
      </c>
    </row>
    <row r="24375">
      <c r="A24375" s="3" t="s">
        <v>40745</v>
      </c>
      <c r="B24375" s="3" t="s">
        <v>20035</v>
      </c>
      <c r="C24375" s="5" t="s">
        <v>221</v>
      </c>
      <c r="D24375" s="3" t="s">
        <v>614</v>
      </c>
      <c r="E24375" s="3" t="s">
        <v>118</v>
      </c>
      <c r="F24375" s="7">
        <v>46214.83341236167</v>
      </c>
      <c r="G24375" s="3" t="s">
        <v>5687</v>
      </c>
    </row>
    <row r="24376">
      <c r="A24376" s="3" t="s">
        <v>40746</v>
      </c>
      <c r="B24376" s="3" t="s">
        <v>20035</v>
      </c>
      <c r="C24376" s="5" t="s">
        <v>614</v>
      </c>
      <c r="D24376" s="3" t="s">
        <v>206</v>
      </c>
      <c r="E24376" s="3" t="s">
        <v>100</v>
      </c>
      <c r="F24376" s="7">
        <v>46214.8368845839</v>
      </c>
      <c r="G24376" s="3" t="s">
        <v>5690</v>
      </c>
    </row>
    <row r="24377">
      <c r="A24377" s="3" t="s">
        <v>40747</v>
      </c>
      <c r="B24377" s="3" t="s">
        <v>20035</v>
      </c>
      <c r="C24377" s="5" t="s">
        <v>206</v>
      </c>
      <c r="D24377" s="3" t="s">
        <v>68</v>
      </c>
      <c r="E24377" s="3" t="s">
        <v>100</v>
      </c>
      <c r="F24377" s="7">
        <v>46214.84035680612</v>
      </c>
      <c r="G24377" s="3" t="s">
        <v>5693</v>
      </c>
    </row>
    <row r="24378">
      <c r="A24378" s="3" t="s">
        <v>40748</v>
      </c>
      <c r="B24378" s="3" t="s">
        <v>20039</v>
      </c>
      <c r="C24378" s="5" t="s">
        <v>45</v>
      </c>
      <c r="D24378" s="3" t="s">
        <v>221</v>
      </c>
      <c r="E24378" s="3" t="s">
        <v>491</v>
      </c>
      <c r="F24378" s="7">
        <v>46214.901114984874</v>
      </c>
      <c r="G24378" s="3" t="s">
        <v>9670</v>
      </c>
    </row>
    <row r="24379">
      <c r="A24379" s="3" t="s">
        <v>40749</v>
      </c>
      <c r="B24379" s="3" t="s">
        <v>20039</v>
      </c>
      <c r="C24379" s="5" t="s">
        <v>221</v>
      </c>
      <c r="D24379" s="3" t="s">
        <v>614</v>
      </c>
      <c r="E24379" s="3" t="s">
        <v>118</v>
      </c>
      <c r="F24379" s="7">
        <v>46214.90458720709</v>
      </c>
      <c r="G24379" s="3" t="s">
        <v>9674</v>
      </c>
    </row>
    <row r="24380">
      <c r="A24380" s="3" t="s">
        <v>40750</v>
      </c>
      <c r="B24380" s="3" t="s">
        <v>20039</v>
      </c>
      <c r="C24380" s="5" t="s">
        <v>614</v>
      </c>
      <c r="D24380" s="3" t="s">
        <v>206</v>
      </c>
      <c r="E24380" s="3" t="s">
        <v>100</v>
      </c>
      <c r="F24380" s="7">
        <v>46214.90805942932</v>
      </c>
      <c r="G24380" s="3" t="s">
        <v>9677</v>
      </c>
    </row>
    <row r="24381">
      <c r="A24381" s="3" t="s">
        <v>40751</v>
      </c>
      <c r="B24381" s="3" t="s">
        <v>20039</v>
      </c>
      <c r="C24381" s="5" t="s">
        <v>206</v>
      </c>
      <c r="D24381" s="3" t="s">
        <v>68</v>
      </c>
      <c r="E24381" s="3" t="s">
        <v>100</v>
      </c>
      <c r="F24381" s="7">
        <v>46214.91153165154</v>
      </c>
      <c r="G24381" s="3" t="s">
        <v>9680</v>
      </c>
    </row>
    <row r="24382">
      <c r="A24382" s="3" t="s">
        <v>40752</v>
      </c>
      <c r="B24382" s="3" t="s">
        <v>20042</v>
      </c>
      <c r="C24382" s="5" t="s">
        <v>45</v>
      </c>
      <c r="D24382" s="3" t="s">
        <v>221</v>
      </c>
      <c r="E24382" s="3" t="s">
        <v>156</v>
      </c>
      <c r="F24382" s="7">
        <v>46214.97228983028</v>
      </c>
      <c r="G24382" s="3" t="s">
        <v>8002</v>
      </c>
    </row>
    <row r="24383">
      <c r="A24383" s="3" t="s">
        <v>40753</v>
      </c>
      <c r="B24383" s="3" t="s">
        <v>20042</v>
      </c>
      <c r="C24383" s="5" t="s">
        <v>221</v>
      </c>
      <c r="D24383" s="3" t="s">
        <v>614</v>
      </c>
      <c r="E24383" s="3" t="s">
        <v>118</v>
      </c>
      <c r="F24383" s="7">
        <v>46214.9757620525</v>
      </c>
      <c r="G24383" s="3" t="s">
        <v>8005</v>
      </c>
    </row>
    <row r="24384">
      <c r="A24384" s="3" t="s">
        <v>40754</v>
      </c>
      <c r="B24384" s="3" t="s">
        <v>20042</v>
      </c>
      <c r="C24384" s="5" t="s">
        <v>614</v>
      </c>
      <c r="D24384" s="3" t="s">
        <v>206</v>
      </c>
      <c r="E24384" s="3" t="s">
        <v>100</v>
      </c>
      <c r="F24384" s="7">
        <v>46214.979234274724</v>
      </c>
      <c r="G24384" s="3" t="s">
        <v>8008</v>
      </c>
    </row>
    <row r="24385">
      <c r="A24385" s="3" t="s">
        <v>40755</v>
      </c>
      <c r="B24385" s="3" t="s">
        <v>20042</v>
      </c>
      <c r="C24385" s="5" t="s">
        <v>206</v>
      </c>
      <c r="D24385" s="3" t="s">
        <v>68</v>
      </c>
      <c r="E24385" s="3" t="s">
        <v>100</v>
      </c>
      <c r="F24385" s="7">
        <v>46214.98270649694</v>
      </c>
      <c r="G24385" s="3" t="s">
        <v>8011</v>
      </c>
    </row>
    <row r="24386">
      <c r="A24386" s="3" t="s">
        <v>40756</v>
      </c>
      <c r="B24386" s="3" t="s">
        <v>20046</v>
      </c>
      <c r="C24386" s="5" t="s">
        <v>45</v>
      </c>
      <c r="D24386" s="3" t="s">
        <v>221</v>
      </c>
      <c r="E24386" s="3" t="s">
        <v>1026</v>
      </c>
      <c r="F24386" s="7">
        <v>46215.0434646757</v>
      </c>
      <c r="G24386" s="3" t="s">
        <v>9015</v>
      </c>
    </row>
    <row r="24387">
      <c r="A24387" s="3" t="s">
        <v>40757</v>
      </c>
      <c r="B24387" s="3" t="s">
        <v>20046</v>
      </c>
      <c r="C24387" s="5" t="s">
        <v>221</v>
      </c>
      <c r="D24387" s="3" t="s">
        <v>614</v>
      </c>
      <c r="E24387" s="3" t="s">
        <v>118</v>
      </c>
      <c r="F24387" s="7">
        <v>46215.04693689792</v>
      </c>
      <c r="G24387" s="3" t="s">
        <v>17580</v>
      </c>
    </row>
    <row r="24388">
      <c r="A24388" s="3" t="s">
        <v>40758</v>
      </c>
      <c r="B24388" s="3" t="s">
        <v>20046</v>
      </c>
      <c r="C24388" s="5" t="s">
        <v>614</v>
      </c>
      <c r="D24388" s="3" t="s">
        <v>206</v>
      </c>
      <c r="E24388" s="3" t="s">
        <v>100</v>
      </c>
      <c r="F24388" s="7">
        <v>46215.050409120144</v>
      </c>
      <c r="G24388" s="3" t="s">
        <v>17583</v>
      </c>
    </row>
    <row r="24389">
      <c r="A24389" s="3" t="s">
        <v>40759</v>
      </c>
      <c r="B24389" s="3" t="s">
        <v>20046</v>
      </c>
      <c r="C24389" s="5" t="s">
        <v>206</v>
      </c>
      <c r="D24389" s="3" t="s">
        <v>68</v>
      </c>
      <c r="E24389" s="3" t="s">
        <v>100</v>
      </c>
      <c r="F24389" s="7">
        <v>46215.05388134236</v>
      </c>
      <c r="G24389" s="3" t="s">
        <v>17586</v>
      </c>
    </row>
    <row r="24390">
      <c r="A24390" s="3" t="s">
        <v>40760</v>
      </c>
      <c r="B24390" s="3" t="s">
        <v>20049</v>
      </c>
      <c r="C24390" s="5" t="s">
        <v>45</v>
      </c>
      <c r="D24390" s="3" t="s">
        <v>221</v>
      </c>
      <c r="E24390" s="3" t="s">
        <v>539</v>
      </c>
      <c r="F24390" s="7">
        <v>46215.11463952112</v>
      </c>
      <c r="G24390" s="3" t="s">
        <v>10291</v>
      </c>
    </row>
    <row r="24391">
      <c r="A24391" s="3" t="s">
        <v>40761</v>
      </c>
      <c r="B24391" s="3" t="s">
        <v>20049</v>
      </c>
      <c r="C24391" s="5" t="s">
        <v>221</v>
      </c>
      <c r="D24391" s="3" t="s">
        <v>614</v>
      </c>
      <c r="E24391" s="3" t="s">
        <v>118</v>
      </c>
      <c r="F24391" s="7">
        <v>46215.11811174334</v>
      </c>
      <c r="G24391" s="3" t="s">
        <v>10294</v>
      </c>
    </row>
    <row r="24392">
      <c r="A24392" s="3" t="s">
        <v>40762</v>
      </c>
      <c r="B24392" s="3" t="s">
        <v>20049</v>
      </c>
      <c r="C24392" s="5" t="s">
        <v>614</v>
      </c>
      <c r="D24392" s="3" t="s">
        <v>206</v>
      </c>
      <c r="E24392" s="3" t="s">
        <v>100</v>
      </c>
      <c r="F24392" s="7">
        <v>46215.12158396556</v>
      </c>
      <c r="G24392" s="3" t="s">
        <v>10296</v>
      </c>
    </row>
    <row r="24393">
      <c r="A24393" s="3" t="s">
        <v>40763</v>
      </c>
      <c r="B24393" s="3" t="s">
        <v>20049</v>
      </c>
      <c r="C24393" s="5" t="s">
        <v>206</v>
      </c>
      <c r="D24393" s="3" t="s">
        <v>68</v>
      </c>
      <c r="E24393" s="3" t="s">
        <v>100</v>
      </c>
      <c r="F24393" s="7">
        <v>46215.12505618778</v>
      </c>
      <c r="G24393" s="3" t="s">
        <v>10299</v>
      </c>
    </row>
    <row r="24394">
      <c r="A24394" s="3" t="s">
        <v>40764</v>
      </c>
      <c r="B24394" s="3" t="s">
        <v>20051</v>
      </c>
      <c r="C24394" s="5" t="s">
        <v>45</v>
      </c>
      <c r="D24394" s="3" t="s">
        <v>221</v>
      </c>
      <c r="E24394" s="3" t="s">
        <v>575</v>
      </c>
      <c r="F24394" s="7">
        <v>46215.18581436653</v>
      </c>
      <c r="G24394" s="3" t="s">
        <v>11926</v>
      </c>
    </row>
    <row r="24395">
      <c r="A24395" s="3" t="s">
        <v>40765</v>
      </c>
      <c r="B24395" s="3" t="s">
        <v>20051</v>
      </c>
      <c r="C24395" s="5" t="s">
        <v>221</v>
      </c>
      <c r="D24395" s="3" t="s">
        <v>614</v>
      </c>
      <c r="E24395" s="3" t="s">
        <v>118</v>
      </c>
      <c r="F24395" s="7">
        <v>46215.18928658875</v>
      </c>
      <c r="G24395" s="3" t="s">
        <v>11929</v>
      </c>
    </row>
    <row r="24396">
      <c r="A24396" s="3" t="s">
        <v>40766</v>
      </c>
      <c r="B24396" s="3" t="s">
        <v>20051</v>
      </c>
      <c r="C24396" s="5" t="s">
        <v>614</v>
      </c>
      <c r="D24396" s="3" t="s">
        <v>206</v>
      </c>
      <c r="E24396" s="3" t="s">
        <v>100</v>
      </c>
      <c r="F24396" s="7">
        <v>46215.192758810976</v>
      </c>
      <c r="G24396" s="3" t="s">
        <v>11932</v>
      </c>
    </row>
    <row r="24397">
      <c r="A24397" s="3" t="s">
        <v>40767</v>
      </c>
      <c r="B24397" s="3" t="s">
        <v>20051</v>
      </c>
      <c r="C24397" s="5" t="s">
        <v>206</v>
      </c>
      <c r="D24397" s="3" t="s">
        <v>68</v>
      </c>
      <c r="E24397" s="3" t="s">
        <v>100</v>
      </c>
      <c r="F24397" s="7">
        <v>46215.196231033195</v>
      </c>
      <c r="G24397" s="3" t="s">
        <v>11935</v>
      </c>
    </row>
    <row r="24398">
      <c r="A24398" s="3" t="s">
        <v>40768</v>
      </c>
      <c r="B24398" s="3" t="s">
        <v>20054</v>
      </c>
      <c r="C24398" s="5" t="s">
        <v>45</v>
      </c>
      <c r="D24398" s="3" t="s">
        <v>221</v>
      </c>
      <c r="E24398" s="3" t="s">
        <v>391</v>
      </c>
      <c r="F24398" s="7">
        <v>46215.25698921194</v>
      </c>
      <c r="G24398" s="3" t="s">
        <v>15842</v>
      </c>
    </row>
    <row r="24399">
      <c r="A24399" s="3" t="s">
        <v>40769</v>
      </c>
      <c r="B24399" s="3" t="s">
        <v>20054</v>
      </c>
      <c r="C24399" s="5" t="s">
        <v>221</v>
      </c>
      <c r="D24399" s="3" t="s">
        <v>181</v>
      </c>
      <c r="E24399" s="3" t="s">
        <v>118</v>
      </c>
      <c r="F24399" s="7">
        <v>46215.26046143416</v>
      </c>
      <c r="G24399" s="3" t="s">
        <v>40770</v>
      </c>
    </row>
    <row r="24400">
      <c r="A24400" s="3" t="s">
        <v>40771</v>
      </c>
      <c r="B24400" s="3" t="s">
        <v>20056</v>
      </c>
      <c r="C24400" s="5" t="s">
        <v>45</v>
      </c>
      <c r="D24400" s="3" t="s">
        <v>221</v>
      </c>
      <c r="E24400" s="3" t="s">
        <v>1037</v>
      </c>
      <c r="F24400" s="7">
        <v>46215.32816405736</v>
      </c>
      <c r="G24400" s="3" t="s">
        <v>6568</v>
      </c>
    </row>
    <row r="24401">
      <c r="A24401" s="3" t="s">
        <v>40772</v>
      </c>
      <c r="B24401" s="3" t="s">
        <v>20056</v>
      </c>
      <c r="C24401" s="5" t="s">
        <v>221</v>
      </c>
      <c r="D24401" s="3" t="s">
        <v>614</v>
      </c>
      <c r="E24401" s="3" t="s">
        <v>118</v>
      </c>
      <c r="F24401" s="7">
        <v>46215.33163627958</v>
      </c>
      <c r="G24401" s="3" t="s">
        <v>6570</v>
      </c>
    </row>
    <row r="24402">
      <c r="A24402" s="3" t="s">
        <v>40773</v>
      </c>
      <c r="B24402" s="3" t="s">
        <v>20056</v>
      </c>
      <c r="C24402" s="5" t="s">
        <v>614</v>
      </c>
      <c r="D24402" s="3" t="s">
        <v>206</v>
      </c>
      <c r="E24402" s="3" t="s">
        <v>100</v>
      </c>
      <c r="F24402" s="7">
        <v>46215.33510850181</v>
      </c>
      <c r="G24402" s="3" t="s">
        <v>6573</v>
      </c>
    </row>
    <row r="24403">
      <c r="A24403" s="3" t="s">
        <v>40774</v>
      </c>
      <c r="B24403" s="3" t="s">
        <v>20056</v>
      </c>
      <c r="C24403" s="5" t="s">
        <v>206</v>
      </c>
      <c r="D24403" s="3" t="s">
        <v>68</v>
      </c>
      <c r="E24403" s="3" t="s">
        <v>100</v>
      </c>
      <c r="F24403" s="7">
        <v>46215.33858072403</v>
      </c>
      <c r="G24403" s="3" t="s">
        <v>6576</v>
      </c>
    </row>
    <row r="24404">
      <c r="A24404" s="3" t="s">
        <v>40775</v>
      </c>
      <c r="B24404" s="3" t="s">
        <v>20058</v>
      </c>
      <c r="C24404" s="5" t="s">
        <v>45</v>
      </c>
      <c r="D24404" s="3" t="s">
        <v>221</v>
      </c>
      <c r="E24404" s="3" t="s">
        <v>290</v>
      </c>
      <c r="F24404" s="7">
        <v>46215.399338902775</v>
      </c>
      <c r="G24404" s="3" t="s">
        <v>8014</v>
      </c>
    </row>
    <row r="24405">
      <c r="A24405" s="3" t="s">
        <v>40776</v>
      </c>
      <c r="B24405" s="3" t="s">
        <v>20058</v>
      </c>
      <c r="C24405" s="5" t="s">
        <v>221</v>
      </c>
      <c r="D24405" s="3" t="s">
        <v>614</v>
      </c>
      <c r="E24405" s="3" t="s">
        <v>118</v>
      </c>
      <c r="F24405" s="7">
        <v>46215.40281112499</v>
      </c>
      <c r="G24405" s="3" t="s">
        <v>8017</v>
      </c>
    </row>
    <row r="24406">
      <c r="A24406" s="3" t="s">
        <v>40777</v>
      </c>
      <c r="B24406" s="3" t="s">
        <v>20058</v>
      </c>
      <c r="C24406" s="5" t="s">
        <v>614</v>
      </c>
      <c r="D24406" s="3" t="s">
        <v>206</v>
      </c>
      <c r="E24406" s="3" t="s">
        <v>100</v>
      </c>
      <c r="F24406" s="7">
        <v>46215.40628334722</v>
      </c>
      <c r="G24406" s="3" t="s">
        <v>8020</v>
      </c>
    </row>
    <row r="24407">
      <c r="A24407" s="3" t="s">
        <v>40778</v>
      </c>
      <c r="B24407" s="3" t="s">
        <v>20058</v>
      </c>
      <c r="C24407" s="5" t="s">
        <v>206</v>
      </c>
      <c r="D24407" s="3" t="s">
        <v>68</v>
      </c>
      <c r="E24407" s="3" t="s">
        <v>100</v>
      </c>
      <c r="F24407" s="7">
        <v>46215.40975556944</v>
      </c>
      <c r="G24407" s="3" t="s">
        <v>8024</v>
      </c>
    </row>
    <row r="24408">
      <c r="A24408" s="3" t="s">
        <v>40779</v>
      </c>
      <c r="B24408" s="3" t="s">
        <v>20060</v>
      </c>
      <c r="C24408" s="5" t="s">
        <v>45</v>
      </c>
      <c r="D24408" s="3" t="s">
        <v>221</v>
      </c>
      <c r="E24408" s="3" t="s">
        <v>830</v>
      </c>
      <c r="F24408" s="7">
        <v>46215.47051374819</v>
      </c>
      <c r="G24408" s="3" t="s">
        <v>10017</v>
      </c>
    </row>
    <row r="24409">
      <c r="A24409" s="3" t="s">
        <v>40780</v>
      </c>
      <c r="B24409" s="3" t="s">
        <v>20060</v>
      </c>
      <c r="C24409" s="5" t="s">
        <v>221</v>
      </c>
      <c r="D24409" s="3" t="s">
        <v>614</v>
      </c>
      <c r="E24409" s="3" t="s">
        <v>118</v>
      </c>
      <c r="F24409" s="7">
        <v>46215.473985970406</v>
      </c>
      <c r="G24409" s="3" t="s">
        <v>10020</v>
      </c>
    </row>
    <row r="24410">
      <c r="A24410" s="3" t="s">
        <v>40781</v>
      </c>
      <c r="B24410" s="3" t="s">
        <v>20060</v>
      </c>
      <c r="C24410" s="5" t="s">
        <v>614</v>
      </c>
      <c r="D24410" s="3" t="s">
        <v>206</v>
      </c>
      <c r="E24410" s="3" t="s">
        <v>100</v>
      </c>
      <c r="F24410" s="7">
        <v>46215.47745819263</v>
      </c>
      <c r="G24410" s="3" t="s">
        <v>10023</v>
      </c>
    </row>
    <row r="24411">
      <c r="A24411" s="3" t="s">
        <v>40782</v>
      </c>
      <c r="B24411" s="3" t="s">
        <v>20060</v>
      </c>
      <c r="C24411" s="5" t="s">
        <v>206</v>
      </c>
      <c r="D24411" s="3" t="s">
        <v>68</v>
      </c>
      <c r="E24411" s="3" t="s">
        <v>100</v>
      </c>
      <c r="F24411" s="7">
        <v>46215.48093041485</v>
      </c>
      <c r="G24411" s="3" t="s">
        <v>10027</v>
      </c>
    </row>
    <row r="24412">
      <c r="A24412" s="3" t="s">
        <v>40783</v>
      </c>
      <c r="B24412" s="3" t="s">
        <v>20062</v>
      </c>
      <c r="C24412" s="5" t="s">
        <v>45</v>
      </c>
      <c r="D24412" s="3" t="s">
        <v>221</v>
      </c>
      <c r="E24412" s="3" t="s">
        <v>260</v>
      </c>
      <c r="F24412" s="7">
        <v>46215.54168859361</v>
      </c>
      <c r="G24412" s="3" t="s">
        <v>7021</v>
      </c>
    </row>
    <row r="24413">
      <c r="A24413" s="3" t="s">
        <v>40784</v>
      </c>
      <c r="B24413" s="3" t="s">
        <v>20062</v>
      </c>
      <c r="C24413" s="5" t="s">
        <v>221</v>
      </c>
      <c r="D24413" s="3" t="s">
        <v>614</v>
      </c>
      <c r="E24413" s="3" t="s">
        <v>118</v>
      </c>
      <c r="F24413" s="7">
        <v>46215.545160815826</v>
      </c>
      <c r="G24413" s="3" t="s">
        <v>7024</v>
      </c>
    </row>
    <row r="24414">
      <c r="A24414" s="3" t="s">
        <v>40785</v>
      </c>
      <c r="B24414" s="3" t="s">
        <v>20062</v>
      </c>
      <c r="C24414" s="5" t="s">
        <v>614</v>
      </c>
      <c r="D24414" s="3" t="s">
        <v>206</v>
      </c>
      <c r="E24414" s="3" t="s">
        <v>100</v>
      </c>
      <c r="F24414" s="7">
        <v>46215.54863303805</v>
      </c>
      <c r="G24414" s="3" t="s">
        <v>7027</v>
      </c>
    </row>
    <row r="24415">
      <c r="A24415" s="3" t="s">
        <v>40786</v>
      </c>
      <c r="B24415" s="3" t="s">
        <v>20062</v>
      </c>
      <c r="C24415" s="5" t="s">
        <v>206</v>
      </c>
      <c r="D24415" s="3" t="s">
        <v>68</v>
      </c>
      <c r="E24415" s="3" t="s">
        <v>100</v>
      </c>
      <c r="F24415" s="7">
        <v>46215.55210526027</v>
      </c>
      <c r="G24415" s="3" t="s">
        <v>7030</v>
      </c>
    </row>
    <row r="24416">
      <c r="A24416" s="3" t="s">
        <v>40787</v>
      </c>
      <c r="B24416" s="3" t="s">
        <v>20064</v>
      </c>
      <c r="C24416" s="5" t="s">
        <v>45</v>
      </c>
      <c r="D24416" s="3" t="s">
        <v>221</v>
      </c>
      <c r="E24416" s="3" t="s">
        <v>689</v>
      </c>
      <c r="F24416" s="7">
        <v>46215.61286343902</v>
      </c>
      <c r="G24416" s="3" t="s">
        <v>15945</v>
      </c>
    </row>
    <row r="24417">
      <c r="A24417" s="3" t="s">
        <v>40788</v>
      </c>
      <c r="B24417" s="3" t="s">
        <v>20064</v>
      </c>
      <c r="C24417" s="5" t="s">
        <v>221</v>
      </c>
      <c r="D24417" s="3" t="s">
        <v>614</v>
      </c>
      <c r="E24417" s="3" t="s">
        <v>118</v>
      </c>
      <c r="F24417" s="7">
        <v>46215.61633566124</v>
      </c>
      <c r="G24417" s="3" t="s">
        <v>16257</v>
      </c>
    </row>
    <row r="24418">
      <c r="A24418" s="3" t="s">
        <v>40789</v>
      </c>
      <c r="B24418" s="3" t="s">
        <v>20064</v>
      </c>
      <c r="C24418" s="5" t="s">
        <v>614</v>
      </c>
      <c r="D24418" s="3" t="s">
        <v>206</v>
      </c>
      <c r="E24418" s="3" t="s">
        <v>100</v>
      </c>
      <c r="F24418" s="7">
        <v>46215.619807883464</v>
      </c>
      <c r="G24418" s="3" t="s">
        <v>16259</v>
      </c>
    </row>
    <row r="24419">
      <c r="A24419" s="3" t="s">
        <v>40790</v>
      </c>
      <c r="B24419" s="3" t="s">
        <v>20064</v>
      </c>
      <c r="C24419" s="5" t="s">
        <v>206</v>
      </c>
      <c r="D24419" s="3" t="s">
        <v>68</v>
      </c>
      <c r="E24419" s="3" t="s">
        <v>100</v>
      </c>
      <c r="F24419" s="7">
        <v>46215.62328010568</v>
      </c>
      <c r="G24419" s="3" t="s">
        <v>16262</v>
      </c>
    </row>
    <row r="24420">
      <c r="A24420" s="3" t="s">
        <v>40791</v>
      </c>
      <c r="B24420" s="3" t="s">
        <v>20066</v>
      </c>
      <c r="C24420" s="5" t="s">
        <v>45</v>
      </c>
      <c r="D24420" s="3" t="s">
        <v>221</v>
      </c>
      <c r="E24420" s="3" t="s">
        <v>430</v>
      </c>
      <c r="F24420" s="7">
        <v>46215.68403828443</v>
      </c>
      <c r="G24420" s="3" t="s">
        <v>7615</v>
      </c>
    </row>
    <row r="24421">
      <c r="A24421" s="3" t="s">
        <v>40792</v>
      </c>
      <c r="B24421" s="3" t="s">
        <v>20066</v>
      </c>
      <c r="C24421" s="5" t="s">
        <v>221</v>
      </c>
      <c r="D24421" s="3" t="s">
        <v>614</v>
      </c>
      <c r="E24421" s="3" t="s">
        <v>118</v>
      </c>
      <c r="F24421" s="7">
        <v>46215.68751050665</v>
      </c>
      <c r="G24421" s="3" t="s">
        <v>7618</v>
      </c>
    </row>
    <row r="24422">
      <c r="A24422" s="3" t="s">
        <v>40793</v>
      </c>
      <c r="B24422" s="3" t="s">
        <v>20066</v>
      </c>
      <c r="C24422" s="5" t="s">
        <v>614</v>
      </c>
      <c r="D24422" s="3" t="s">
        <v>206</v>
      </c>
      <c r="E24422" s="3" t="s">
        <v>100</v>
      </c>
      <c r="F24422" s="7">
        <v>46215.69098272888</v>
      </c>
      <c r="G24422" s="3" t="s">
        <v>7621</v>
      </c>
    </row>
    <row r="24423">
      <c r="A24423" s="3" t="s">
        <v>40794</v>
      </c>
      <c r="B24423" s="3" t="s">
        <v>20066</v>
      </c>
      <c r="C24423" s="5" t="s">
        <v>206</v>
      </c>
      <c r="D24423" s="3" t="s">
        <v>68</v>
      </c>
      <c r="E24423" s="3" t="s">
        <v>100</v>
      </c>
      <c r="F24423" s="7">
        <v>46215.694454951095</v>
      </c>
      <c r="G24423" s="3" t="s">
        <v>7624</v>
      </c>
    </row>
    <row r="24424">
      <c r="A24424" s="3" t="s">
        <v>40795</v>
      </c>
      <c r="B24424" s="3" t="s">
        <v>20069</v>
      </c>
      <c r="C24424" s="5" t="s">
        <v>45</v>
      </c>
      <c r="D24424" s="3" t="s">
        <v>221</v>
      </c>
      <c r="E24424" s="3" t="s">
        <v>313</v>
      </c>
      <c r="F24424" s="7">
        <v>46215.75521312985</v>
      </c>
      <c r="G24424" s="3" t="s">
        <v>5314</v>
      </c>
    </row>
    <row r="24425">
      <c r="A24425" s="3" t="s">
        <v>40796</v>
      </c>
      <c r="B24425" s="3" t="s">
        <v>20069</v>
      </c>
      <c r="C24425" s="5" t="s">
        <v>221</v>
      </c>
      <c r="D24425" s="3" t="s">
        <v>614</v>
      </c>
      <c r="E24425" s="3" t="s">
        <v>118</v>
      </c>
      <c r="F24425" s="7">
        <v>46215.75868535207</v>
      </c>
      <c r="G24425" s="3" t="s">
        <v>5317</v>
      </c>
    </row>
    <row r="24426">
      <c r="A24426" s="3" t="s">
        <v>40797</v>
      </c>
      <c r="B24426" s="3" t="s">
        <v>20069</v>
      </c>
      <c r="C24426" s="5" t="s">
        <v>614</v>
      </c>
      <c r="D24426" s="3" t="s">
        <v>206</v>
      </c>
      <c r="E24426" s="3" t="s">
        <v>100</v>
      </c>
      <c r="F24426" s="7">
        <v>46215.762157574296</v>
      </c>
      <c r="G24426" s="3" t="s">
        <v>5320</v>
      </c>
    </row>
    <row r="24427">
      <c r="A24427" s="3" t="s">
        <v>40798</v>
      </c>
      <c r="B24427" s="3" t="s">
        <v>20069</v>
      </c>
      <c r="C24427" s="5" t="s">
        <v>206</v>
      </c>
      <c r="D24427" s="3" t="s">
        <v>68</v>
      </c>
      <c r="E24427" s="3" t="s">
        <v>100</v>
      </c>
      <c r="F24427" s="7">
        <v>46215.765629796515</v>
      </c>
      <c r="G24427" s="3" t="s">
        <v>5323</v>
      </c>
    </row>
    <row r="24428">
      <c r="A24428" s="3" t="s">
        <v>40799</v>
      </c>
      <c r="B24428" s="3" t="s">
        <v>20071</v>
      </c>
      <c r="C24428" s="5" t="s">
        <v>45</v>
      </c>
      <c r="D24428" s="3" t="s">
        <v>221</v>
      </c>
      <c r="E24428" s="3" t="s">
        <v>886</v>
      </c>
      <c r="F24428" s="7">
        <v>46215.82638797526</v>
      </c>
      <c r="G24428" s="3" t="s">
        <v>2770</v>
      </c>
    </row>
    <row r="24429">
      <c r="A24429" s="3" t="s">
        <v>40800</v>
      </c>
      <c r="B24429" s="3" t="s">
        <v>20071</v>
      </c>
      <c r="C24429" s="5" t="s">
        <v>221</v>
      </c>
      <c r="D24429" s="3" t="s">
        <v>181</v>
      </c>
      <c r="E24429" s="3" t="s">
        <v>118</v>
      </c>
      <c r="F24429" s="7">
        <v>46215.82986019748</v>
      </c>
      <c r="G24429" s="3" t="s">
        <v>2774</v>
      </c>
    </row>
    <row r="24430">
      <c r="A24430" s="3" t="s">
        <v>40801</v>
      </c>
      <c r="B24430" s="3" t="s">
        <v>20074</v>
      </c>
      <c r="C24430" s="5" t="s">
        <v>45</v>
      </c>
      <c r="D24430" s="3" t="s">
        <v>221</v>
      </c>
      <c r="E24430" s="3" t="s">
        <v>391</v>
      </c>
      <c r="F24430" s="7">
        <v>46215.897562820675</v>
      </c>
      <c r="G24430" s="3" t="s">
        <v>15842</v>
      </c>
    </row>
    <row r="24431">
      <c r="A24431" s="3" t="s">
        <v>40802</v>
      </c>
      <c r="B24431" s="3" t="s">
        <v>20074</v>
      </c>
      <c r="C24431" s="5" t="s">
        <v>221</v>
      </c>
      <c r="D24431" s="3" t="s">
        <v>614</v>
      </c>
      <c r="E24431" s="3" t="s">
        <v>118</v>
      </c>
      <c r="F24431" s="7">
        <v>46215.901035042894</v>
      </c>
      <c r="G24431" s="3" t="s">
        <v>15845</v>
      </c>
    </row>
    <row r="24432">
      <c r="A24432" s="3" t="s">
        <v>40803</v>
      </c>
      <c r="B24432" s="3" t="s">
        <v>20074</v>
      </c>
      <c r="C24432" s="5" t="s">
        <v>614</v>
      </c>
      <c r="D24432" s="3" t="s">
        <v>206</v>
      </c>
      <c r="E24432" s="3" t="s">
        <v>100</v>
      </c>
      <c r="F24432" s="7">
        <v>46215.90450726512</v>
      </c>
      <c r="G24432" s="3" t="s">
        <v>15848</v>
      </c>
    </row>
    <row r="24433">
      <c r="A24433" s="3" t="s">
        <v>40804</v>
      </c>
      <c r="B24433" s="3" t="s">
        <v>20074</v>
      </c>
      <c r="C24433" s="5" t="s">
        <v>206</v>
      </c>
      <c r="D24433" s="3" t="s">
        <v>68</v>
      </c>
      <c r="E24433" s="3" t="s">
        <v>100</v>
      </c>
      <c r="F24433" s="7">
        <v>46215.90797948734</v>
      </c>
      <c r="G24433" s="3" t="s">
        <v>15850</v>
      </c>
    </row>
    <row r="24434">
      <c r="A24434" s="3" t="s">
        <v>40805</v>
      </c>
      <c r="B24434" s="3" t="s">
        <v>20077</v>
      </c>
      <c r="C24434" s="5" t="s">
        <v>45</v>
      </c>
      <c r="D24434" s="3" t="s">
        <v>221</v>
      </c>
      <c r="E24434" s="3" t="s">
        <v>742</v>
      </c>
      <c r="F24434" s="7">
        <v>46215.968737666095</v>
      </c>
      <c r="G24434" s="3" t="s">
        <v>8027</v>
      </c>
    </row>
    <row r="24435">
      <c r="A24435" s="3" t="s">
        <v>40806</v>
      </c>
      <c r="B24435" s="3" t="s">
        <v>20077</v>
      </c>
      <c r="C24435" s="5" t="s">
        <v>221</v>
      </c>
      <c r="D24435" s="3" t="s">
        <v>614</v>
      </c>
      <c r="E24435" s="3" t="s">
        <v>118</v>
      </c>
      <c r="F24435" s="7">
        <v>46215.972209888314</v>
      </c>
      <c r="G24435" s="3" t="s">
        <v>8030</v>
      </c>
    </row>
    <row r="24436">
      <c r="A24436" s="3" t="s">
        <v>40807</v>
      </c>
      <c r="B24436" s="3" t="s">
        <v>20077</v>
      </c>
      <c r="C24436" s="5" t="s">
        <v>614</v>
      </c>
      <c r="D24436" s="3" t="s">
        <v>206</v>
      </c>
      <c r="E24436" s="3" t="s">
        <v>100</v>
      </c>
      <c r="F24436" s="7">
        <v>46215.97568211054</v>
      </c>
      <c r="G24436" s="3" t="s">
        <v>8032</v>
      </c>
    </row>
    <row r="24437">
      <c r="A24437" s="3" t="s">
        <v>40808</v>
      </c>
      <c r="B24437" s="3" t="s">
        <v>20077</v>
      </c>
      <c r="C24437" s="5" t="s">
        <v>206</v>
      </c>
      <c r="D24437" s="3" t="s">
        <v>68</v>
      </c>
      <c r="E24437" s="3" t="s">
        <v>100</v>
      </c>
      <c r="F24437" s="7">
        <v>46215.97915433276</v>
      </c>
      <c r="G24437" s="3" t="s">
        <v>8035</v>
      </c>
    </row>
    <row r="24438">
      <c r="A24438" s="3" t="s">
        <v>40809</v>
      </c>
      <c r="B24438" s="3" t="s">
        <v>20080</v>
      </c>
      <c r="C24438" s="5" t="s">
        <v>45</v>
      </c>
      <c r="D24438" s="3" t="s">
        <v>221</v>
      </c>
      <c r="E24438" s="3" t="s">
        <v>864</v>
      </c>
      <c r="F24438" s="7">
        <v>46216.039912511515</v>
      </c>
      <c r="G24438" s="3" t="s">
        <v>13392</v>
      </c>
    </row>
    <row r="24439">
      <c r="A24439" s="3" t="s">
        <v>40810</v>
      </c>
      <c r="B24439" s="3" t="s">
        <v>20080</v>
      </c>
      <c r="C24439" s="5" t="s">
        <v>221</v>
      </c>
      <c r="D24439" s="3" t="s">
        <v>614</v>
      </c>
      <c r="E24439" s="3" t="s">
        <v>118</v>
      </c>
      <c r="F24439" s="7">
        <v>46216.04338473373</v>
      </c>
      <c r="G24439" s="3" t="s">
        <v>13395</v>
      </c>
    </row>
    <row r="24440">
      <c r="A24440" s="3" t="s">
        <v>40811</v>
      </c>
      <c r="B24440" s="3" t="s">
        <v>20080</v>
      </c>
      <c r="C24440" s="5" t="s">
        <v>614</v>
      </c>
      <c r="D24440" s="3" t="s">
        <v>206</v>
      </c>
      <c r="E24440" s="3" t="s">
        <v>100</v>
      </c>
      <c r="F24440" s="7">
        <v>46216.04685695596</v>
      </c>
      <c r="G24440" s="3" t="s">
        <v>13398</v>
      </c>
    </row>
    <row r="24441">
      <c r="A24441" s="3" t="s">
        <v>40812</v>
      </c>
      <c r="B24441" s="3" t="s">
        <v>20080</v>
      </c>
      <c r="C24441" s="5" t="s">
        <v>206</v>
      </c>
      <c r="D24441" s="3" t="s">
        <v>68</v>
      </c>
      <c r="E24441" s="3" t="s">
        <v>100</v>
      </c>
      <c r="F24441" s="7">
        <v>46216.05032917818</v>
      </c>
      <c r="G24441" s="3" t="s">
        <v>13401</v>
      </c>
    </row>
    <row r="24442">
      <c r="A24442" s="3" t="s">
        <v>40813</v>
      </c>
      <c r="B24442" s="3" t="s">
        <v>20083</v>
      </c>
      <c r="C24442" s="5" t="s">
        <v>45</v>
      </c>
      <c r="D24442" s="3" t="s">
        <v>221</v>
      </c>
      <c r="E24442" s="3" t="s">
        <v>627</v>
      </c>
      <c r="F24442" s="7">
        <v>46216.11108735692</v>
      </c>
      <c r="G24442" s="3" t="s">
        <v>8052</v>
      </c>
    </row>
    <row r="24443">
      <c r="A24443" s="3" t="s">
        <v>40814</v>
      </c>
      <c r="B24443" s="3" t="s">
        <v>20083</v>
      </c>
      <c r="C24443" s="5" t="s">
        <v>221</v>
      </c>
      <c r="D24443" s="3" t="s">
        <v>614</v>
      </c>
      <c r="E24443" s="3" t="s">
        <v>118</v>
      </c>
      <c r="F24443" s="7">
        <v>46216.11455957914</v>
      </c>
      <c r="G24443" s="3" t="s">
        <v>8055</v>
      </c>
    </row>
    <row r="24444">
      <c r="A24444" s="3" t="s">
        <v>40815</v>
      </c>
      <c r="B24444" s="3" t="s">
        <v>20083</v>
      </c>
      <c r="C24444" s="5" t="s">
        <v>614</v>
      </c>
      <c r="D24444" s="3" t="s">
        <v>206</v>
      </c>
      <c r="E24444" s="3" t="s">
        <v>100</v>
      </c>
      <c r="F24444" s="7">
        <v>46216.118031801365</v>
      </c>
      <c r="G24444" s="3" t="s">
        <v>8059</v>
      </c>
    </row>
    <row r="24445">
      <c r="A24445" s="3" t="s">
        <v>40816</v>
      </c>
      <c r="B24445" s="3" t="s">
        <v>20083</v>
      </c>
      <c r="C24445" s="5" t="s">
        <v>206</v>
      </c>
      <c r="D24445" s="3" t="s">
        <v>68</v>
      </c>
      <c r="E24445" s="3" t="s">
        <v>100</v>
      </c>
      <c r="F24445" s="7">
        <v>46216.121504023584</v>
      </c>
      <c r="G24445" s="3" t="s">
        <v>8062</v>
      </c>
    </row>
    <row r="24446">
      <c r="A24446" s="3" t="s">
        <v>40817</v>
      </c>
      <c r="B24446" s="3" t="s">
        <v>20086</v>
      </c>
      <c r="C24446" s="5" t="s">
        <v>45</v>
      </c>
      <c r="D24446" s="3" t="s">
        <v>221</v>
      </c>
      <c r="E24446" s="3" t="s">
        <v>455</v>
      </c>
      <c r="F24446" s="7">
        <v>46216.18226220234</v>
      </c>
      <c r="G24446" s="3" t="s">
        <v>10513</v>
      </c>
    </row>
    <row r="24447">
      <c r="A24447" s="3" t="s">
        <v>40818</v>
      </c>
      <c r="B24447" s="3" t="s">
        <v>20086</v>
      </c>
      <c r="C24447" s="5" t="s">
        <v>221</v>
      </c>
      <c r="D24447" s="3" t="s">
        <v>614</v>
      </c>
      <c r="E24447" s="3" t="s">
        <v>118</v>
      </c>
      <c r="F24447" s="7">
        <v>46216.18573442456</v>
      </c>
      <c r="G24447" s="3" t="s">
        <v>10516</v>
      </c>
    </row>
    <row r="24448">
      <c r="A24448" s="3" t="s">
        <v>40819</v>
      </c>
      <c r="B24448" s="3" t="s">
        <v>20086</v>
      </c>
      <c r="C24448" s="5" t="s">
        <v>614</v>
      </c>
      <c r="D24448" s="3" t="s">
        <v>206</v>
      </c>
      <c r="E24448" s="3" t="s">
        <v>100</v>
      </c>
      <c r="F24448" s="7">
        <v>46216.189206646784</v>
      </c>
      <c r="G24448" s="3" t="s">
        <v>10519</v>
      </c>
    </row>
    <row r="24449">
      <c r="A24449" s="3" t="s">
        <v>40820</v>
      </c>
      <c r="B24449" s="3" t="s">
        <v>20086</v>
      </c>
      <c r="C24449" s="5" t="s">
        <v>206</v>
      </c>
      <c r="D24449" s="3" t="s">
        <v>68</v>
      </c>
      <c r="E24449" s="3" t="s">
        <v>100</v>
      </c>
      <c r="F24449" s="7">
        <v>46216.192678869</v>
      </c>
      <c r="G24449" s="3" t="s">
        <v>10522</v>
      </c>
    </row>
    <row r="24450">
      <c r="A24450" s="3" t="s">
        <v>40821</v>
      </c>
      <c r="B24450" s="3" t="s">
        <v>20090</v>
      </c>
      <c r="C24450" s="5" t="s">
        <v>45</v>
      </c>
      <c r="D24450" s="3" t="s">
        <v>221</v>
      </c>
      <c r="E24450" s="3" t="s">
        <v>972</v>
      </c>
      <c r="F24450" s="7">
        <v>46216.25343704776</v>
      </c>
      <c r="G24450" s="3" t="s">
        <v>4946</v>
      </c>
    </row>
    <row r="24451">
      <c r="A24451" s="3" t="s">
        <v>40822</v>
      </c>
      <c r="B24451" s="3" t="s">
        <v>20090</v>
      </c>
      <c r="C24451" s="5" t="s">
        <v>221</v>
      </c>
      <c r="D24451" s="3" t="s">
        <v>614</v>
      </c>
      <c r="E24451" s="3" t="s">
        <v>118</v>
      </c>
      <c r="F24451" s="7">
        <v>46216.25690926998</v>
      </c>
      <c r="G24451" s="3" t="s">
        <v>4949</v>
      </c>
    </row>
    <row r="24452">
      <c r="A24452" s="3" t="s">
        <v>40823</v>
      </c>
      <c r="B24452" s="3" t="s">
        <v>20090</v>
      </c>
      <c r="C24452" s="5" t="s">
        <v>614</v>
      </c>
      <c r="D24452" s="3" t="s">
        <v>206</v>
      </c>
      <c r="E24452" s="3" t="s">
        <v>100</v>
      </c>
      <c r="F24452" s="7">
        <v>46216.260381492204</v>
      </c>
      <c r="G24452" s="3" t="s">
        <v>4952</v>
      </c>
    </row>
    <row r="24453">
      <c r="A24453" s="3" t="s">
        <v>40824</v>
      </c>
      <c r="B24453" s="3" t="s">
        <v>20090</v>
      </c>
      <c r="C24453" s="5" t="s">
        <v>206</v>
      </c>
      <c r="D24453" s="3" t="s">
        <v>68</v>
      </c>
      <c r="E24453" s="3" t="s">
        <v>100</v>
      </c>
      <c r="F24453" s="7">
        <v>46216.26385371442</v>
      </c>
      <c r="G24453" s="3" t="s">
        <v>4955</v>
      </c>
    </row>
    <row r="24454">
      <c r="A24454" s="3" t="s">
        <v>40825</v>
      </c>
      <c r="B24454" s="3" t="s">
        <v>20092</v>
      </c>
      <c r="C24454" s="5" t="s">
        <v>45</v>
      </c>
      <c r="D24454" s="3" t="s">
        <v>221</v>
      </c>
      <c r="E24454" s="3" t="s">
        <v>544</v>
      </c>
      <c r="F24454" s="7">
        <v>46216.32461189317</v>
      </c>
      <c r="G24454" s="3" t="s">
        <v>25016</v>
      </c>
    </row>
    <row r="24455">
      <c r="A24455" s="3" t="s">
        <v>40826</v>
      </c>
      <c r="B24455" s="3" t="s">
        <v>20092</v>
      </c>
      <c r="C24455" s="5" t="s">
        <v>221</v>
      </c>
      <c r="D24455" s="3" t="s">
        <v>614</v>
      </c>
      <c r="E24455" s="3" t="s">
        <v>118</v>
      </c>
      <c r="F24455" s="7">
        <v>46216.32808411539</v>
      </c>
      <c r="G24455" s="3" t="s">
        <v>25247</v>
      </c>
    </row>
    <row r="24456">
      <c r="A24456" s="3" t="s">
        <v>40827</v>
      </c>
      <c r="B24456" s="3" t="s">
        <v>20092</v>
      </c>
      <c r="C24456" s="5" t="s">
        <v>614</v>
      </c>
      <c r="D24456" s="3" t="s">
        <v>206</v>
      </c>
      <c r="E24456" s="3" t="s">
        <v>100</v>
      </c>
      <c r="F24456" s="7">
        <v>46216.331556337616</v>
      </c>
      <c r="G24456" s="3" t="s">
        <v>25249</v>
      </c>
    </row>
    <row r="24457">
      <c r="A24457" s="3" t="s">
        <v>40828</v>
      </c>
      <c r="B24457" s="3" t="s">
        <v>20092</v>
      </c>
      <c r="C24457" s="5" t="s">
        <v>206</v>
      </c>
      <c r="D24457" s="3" t="s">
        <v>68</v>
      </c>
      <c r="E24457" s="3" t="s">
        <v>100</v>
      </c>
      <c r="F24457" s="7">
        <v>46216.335028559835</v>
      </c>
      <c r="G24457" s="3" t="s">
        <v>25251</v>
      </c>
    </row>
    <row r="24458">
      <c r="A24458" s="3" t="s">
        <v>40829</v>
      </c>
      <c r="B24458" s="3" t="s">
        <v>20094</v>
      </c>
      <c r="C24458" s="5" t="s">
        <v>45</v>
      </c>
      <c r="D24458" s="3" t="s">
        <v>221</v>
      </c>
      <c r="E24458" s="3" t="s">
        <v>299</v>
      </c>
      <c r="F24458" s="7">
        <v>46216.39578673858</v>
      </c>
      <c r="G24458" s="3" t="s">
        <v>5673</v>
      </c>
    </row>
    <row r="24459">
      <c r="A24459" s="3" t="s">
        <v>40830</v>
      </c>
      <c r="B24459" s="3" t="s">
        <v>20094</v>
      </c>
      <c r="C24459" s="5" t="s">
        <v>221</v>
      </c>
      <c r="D24459" s="3" t="s">
        <v>614</v>
      </c>
      <c r="E24459" s="3" t="s">
        <v>118</v>
      </c>
      <c r="F24459" s="7">
        <v>46216.3992589608</v>
      </c>
      <c r="G24459" s="3" t="s">
        <v>5676</v>
      </c>
    </row>
    <row r="24460">
      <c r="A24460" s="3" t="s">
        <v>40831</v>
      </c>
      <c r="B24460" s="3" t="s">
        <v>20094</v>
      </c>
      <c r="C24460" s="5" t="s">
        <v>614</v>
      </c>
      <c r="D24460" s="3" t="s">
        <v>206</v>
      </c>
      <c r="E24460" s="3" t="s">
        <v>100</v>
      </c>
      <c r="F24460" s="7">
        <v>46216.40273118303</v>
      </c>
      <c r="G24460" s="3" t="s">
        <v>5679</v>
      </c>
    </row>
    <row r="24461">
      <c r="A24461" s="3" t="s">
        <v>40832</v>
      </c>
      <c r="B24461" s="3" t="s">
        <v>20094</v>
      </c>
      <c r="C24461" s="5" t="s">
        <v>206</v>
      </c>
      <c r="D24461" s="3" t="s">
        <v>68</v>
      </c>
      <c r="E24461" s="3" t="s">
        <v>100</v>
      </c>
      <c r="F24461" s="7">
        <v>46216.40620340525</v>
      </c>
      <c r="G24461" s="3" t="s">
        <v>5682</v>
      </c>
    </row>
    <row r="24462">
      <c r="A24462" s="3" t="s">
        <v>40833</v>
      </c>
      <c r="B24462" s="3" t="s">
        <v>20100</v>
      </c>
      <c r="C24462" s="5" t="s">
        <v>45</v>
      </c>
      <c r="D24462" s="3" t="s">
        <v>221</v>
      </c>
      <c r="E24462" s="3" t="s">
        <v>587</v>
      </c>
      <c r="F24462" s="7">
        <v>46216.466961584</v>
      </c>
      <c r="G24462" s="3" t="s">
        <v>8108</v>
      </c>
    </row>
    <row r="24463">
      <c r="A24463" s="3" t="s">
        <v>40834</v>
      </c>
      <c r="B24463" s="3" t="s">
        <v>20100</v>
      </c>
      <c r="C24463" s="5" t="s">
        <v>221</v>
      </c>
      <c r="D24463" s="3" t="s">
        <v>614</v>
      </c>
      <c r="E24463" s="3" t="s">
        <v>118</v>
      </c>
      <c r="F24463" s="7">
        <v>46216.47043380622</v>
      </c>
      <c r="G24463" s="3" t="s">
        <v>8111</v>
      </c>
    </row>
    <row r="24464">
      <c r="A24464" s="3" t="s">
        <v>40835</v>
      </c>
      <c r="B24464" s="3" t="s">
        <v>20100</v>
      </c>
      <c r="C24464" s="5" t="s">
        <v>614</v>
      </c>
      <c r="D24464" s="3" t="s">
        <v>206</v>
      </c>
      <c r="E24464" s="3" t="s">
        <v>100</v>
      </c>
      <c r="F24464" s="7">
        <v>46216.47390602845</v>
      </c>
      <c r="G24464" s="3" t="s">
        <v>8114</v>
      </c>
    </row>
    <row r="24465">
      <c r="A24465" s="3" t="s">
        <v>40836</v>
      </c>
      <c r="B24465" s="3" t="s">
        <v>20100</v>
      </c>
      <c r="C24465" s="5" t="s">
        <v>206</v>
      </c>
      <c r="D24465" s="3" t="s">
        <v>68</v>
      </c>
      <c r="E24465" s="3" t="s">
        <v>100</v>
      </c>
      <c r="F24465" s="7">
        <v>46216.47737825067</v>
      </c>
      <c r="G24465" s="3" t="s">
        <v>8117</v>
      </c>
    </row>
    <row r="24466">
      <c r="A24466" s="3" t="s">
        <v>40837</v>
      </c>
      <c r="B24466" s="3" t="s">
        <v>20103</v>
      </c>
      <c r="C24466" s="5" t="s">
        <v>45</v>
      </c>
      <c r="D24466" s="3" t="s">
        <v>221</v>
      </c>
      <c r="E24466" s="3" t="s">
        <v>165</v>
      </c>
      <c r="F24466" s="7">
        <v>46216.538136429415</v>
      </c>
      <c r="G24466" s="3" t="s">
        <v>8187</v>
      </c>
    </row>
    <row r="24467">
      <c r="A24467" s="3" t="s">
        <v>40838</v>
      </c>
      <c r="B24467" s="3" t="s">
        <v>20103</v>
      </c>
      <c r="C24467" s="5" t="s">
        <v>221</v>
      </c>
      <c r="D24467" s="3" t="s">
        <v>614</v>
      </c>
      <c r="E24467" s="3" t="s">
        <v>118</v>
      </c>
      <c r="F24467" s="7">
        <v>46216.541608651634</v>
      </c>
      <c r="G24467" s="3" t="s">
        <v>8190</v>
      </c>
    </row>
    <row r="24468">
      <c r="A24468" s="3" t="s">
        <v>40839</v>
      </c>
      <c r="B24468" s="3" t="s">
        <v>20103</v>
      </c>
      <c r="C24468" s="5" t="s">
        <v>614</v>
      </c>
      <c r="D24468" s="3" t="s">
        <v>206</v>
      </c>
      <c r="E24468" s="3" t="s">
        <v>100</v>
      </c>
      <c r="F24468" s="7">
        <v>46216.54508087386</v>
      </c>
      <c r="G24468" s="3" t="s">
        <v>8193</v>
      </c>
    </row>
    <row r="24469">
      <c r="A24469" s="3" t="s">
        <v>40840</v>
      </c>
      <c r="B24469" s="3" t="s">
        <v>20103</v>
      </c>
      <c r="C24469" s="5" t="s">
        <v>206</v>
      </c>
      <c r="D24469" s="3" t="s">
        <v>68</v>
      </c>
      <c r="E24469" s="3" t="s">
        <v>100</v>
      </c>
      <c r="F24469" s="7">
        <v>46216.54855309608</v>
      </c>
      <c r="G24469" s="3" t="s">
        <v>8196</v>
      </c>
    </row>
    <row r="24470">
      <c r="A24470" s="3" t="s">
        <v>40841</v>
      </c>
      <c r="B24470" s="3" t="s">
        <v>20106</v>
      </c>
      <c r="C24470" s="5" t="s">
        <v>45</v>
      </c>
      <c r="D24470" s="3" t="s">
        <v>221</v>
      </c>
      <c r="E24470" s="3" t="s">
        <v>725</v>
      </c>
      <c r="F24470" s="7">
        <v>46216.60931127483</v>
      </c>
      <c r="G24470" s="3" t="s">
        <v>24877</v>
      </c>
    </row>
    <row r="24471">
      <c r="A24471" s="3" t="s">
        <v>40842</v>
      </c>
      <c r="B24471" s="3" t="s">
        <v>20106</v>
      </c>
      <c r="C24471" s="5" t="s">
        <v>221</v>
      </c>
      <c r="D24471" s="3" t="s">
        <v>614</v>
      </c>
      <c r="E24471" s="3" t="s">
        <v>118</v>
      </c>
      <c r="F24471" s="7">
        <v>46216.61278349705</v>
      </c>
      <c r="G24471" s="3" t="s">
        <v>24879</v>
      </c>
    </row>
    <row r="24472">
      <c r="A24472" s="3" t="s">
        <v>40843</v>
      </c>
      <c r="B24472" s="3" t="s">
        <v>20106</v>
      </c>
      <c r="C24472" s="5" t="s">
        <v>614</v>
      </c>
      <c r="D24472" s="3" t="s">
        <v>206</v>
      </c>
      <c r="E24472" s="3" t="s">
        <v>100</v>
      </c>
      <c r="F24472" s="7">
        <v>46216.61625571927</v>
      </c>
      <c r="G24472" s="3" t="s">
        <v>24881</v>
      </c>
    </row>
    <row r="24473">
      <c r="A24473" s="3" t="s">
        <v>40844</v>
      </c>
      <c r="B24473" s="3" t="s">
        <v>20106</v>
      </c>
      <c r="C24473" s="5" t="s">
        <v>206</v>
      </c>
      <c r="D24473" s="3" t="s">
        <v>68</v>
      </c>
      <c r="E24473" s="3" t="s">
        <v>100</v>
      </c>
      <c r="F24473" s="7">
        <v>46216.61972794149</v>
      </c>
      <c r="G24473" s="3" t="s">
        <v>24883</v>
      </c>
    </row>
    <row r="24474">
      <c r="A24474" s="3" t="s">
        <v>40845</v>
      </c>
      <c r="B24474" s="3" t="s">
        <v>20108</v>
      </c>
      <c r="C24474" s="5" t="s">
        <v>45</v>
      </c>
      <c r="D24474" s="3" t="s">
        <v>221</v>
      </c>
      <c r="E24474" s="3" t="s">
        <v>870</v>
      </c>
      <c r="F24474" s="7">
        <v>46216.68048612025</v>
      </c>
      <c r="G24474" s="3" t="s">
        <v>8217</v>
      </c>
    </row>
    <row r="24475">
      <c r="A24475" s="3" t="s">
        <v>40846</v>
      </c>
      <c r="B24475" s="3" t="s">
        <v>20108</v>
      </c>
      <c r="C24475" s="5" t="s">
        <v>221</v>
      </c>
      <c r="D24475" s="3" t="s">
        <v>614</v>
      </c>
      <c r="E24475" s="3" t="s">
        <v>118</v>
      </c>
      <c r="F24475" s="7">
        <v>46216.683958342466</v>
      </c>
      <c r="G24475" s="3" t="s">
        <v>8220</v>
      </c>
    </row>
    <row r="24476">
      <c r="A24476" s="3" t="s">
        <v>40847</v>
      </c>
      <c r="B24476" s="3" t="s">
        <v>20108</v>
      </c>
      <c r="C24476" s="5" t="s">
        <v>614</v>
      </c>
      <c r="D24476" s="3" t="s">
        <v>206</v>
      </c>
      <c r="E24476" s="3" t="s">
        <v>100</v>
      </c>
      <c r="F24476" s="7">
        <v>46216.68743056469</v>
      </c>
      <c r="G24476" s="3" t="s">
        <v>8223</v>
      </c>
    </row>
    <row r="24477">
      <c r="A24477" s="3" t="s">
        <v>40848</v>
      </c>
      <c r="B24477" s="3" t="s">
        <v>20108</v>
      </c>
      <c r="C24477" s="5" t="s">
        <v>206</v>
      </c>
      <c r="D24477" s="3" t="s">
        <v>68</v>
      </c>
      <c r="E24477" s="3" t="s">
        <v>100</v>
      </c>
      <c r="F24477" s="7">
        <v>46216.69090278691</v>
      </c>
      <c r="G24477" s="3" t="s">
        <v>8226</v>
      </c>
    </row>
    <row r="24478">
      <c r="A24478" s="3" t="s">
        <v>40849</v>
      </c>
      <c r="B24478" s="3" t="s">
        <v>20111</v>
      </c>
      <c r="C24478" s="5" t="s">
        <v>45</v>
      </c>
      <c r="D24478" s="3" t="s">
        <v>221</v>
      </c>
      <c r="E24478" s="3" t="s">
        <v>202</v>
      </c>
      <c r="F24478" s="7">
        <v>46216.75166096566</v>
      </c>
      <c r="G24478" s="3" t="s">
        <v>22235</v>
      </c>
    </row>
    <row r="24479">
      <c r="A24479" s="3" t="s">
        <v>40850</v>
      </c>
      <c r="B24479" s="3" t="s">
        <v>20111</v>
      </c>
      <c r="C24479" s="5" t="s">
        <v>221</v>
      </c>
      <c r="D24479" s="3" t="s">
        <v>614</v>
      </c>
      <c r="E24479" s="3" t="s">
        <v>118</v>
      </c>
      <c r="F24479" s="7">
        <v>46216.75513318788</v>
      </c>
      <c r="G24479" s="3" t="s">
        <v>22238</v>
      </c>
    </row>
    <row r="24480">
      <c r="A24480" s="3" t="s">
        <v>40851</v>
      </c>
      <c r="B24480" s="3" t="s">
        <v>20111</v>
      </c>
      <c r="C24480" s="5" t="s">
        <v>614</v>
      </c>
      <c r="D24480" s="3" t="s">
        <v>206</v>
      </c>
      <c r="E24480" s="3" t="s">
        <v>100</v>
      </c>
      <c r="F24480" s="7">
        <v>46216.758605410105</v>
      </c>
      <c r="G24480" s="3" t="s">
        <v>22241</v>
      </c>
    </row>
    <row r="24481">
      <c r="A24481" s="3" t="s">
        <v>40852</v>
      </c>
      <c r="B24481" s="3" t="s">
        <v>20111</v>
      </c>
      <c r="C24481" s="5" t="s">
        <v>206</v>
      </c>
      <c r="D24481" s="3" t="s">
        <v>68</v>
      </c>
      <c r="E24481" s="3" t="s">
        <v>100</v>
      </c>
      <c r="F24481" s="7">
        <v>46216.762077632324</v>
      </c>
      <c r="G24481" s="3" t="s">
        <v>22244</v>
      </c>
    </row>
    <row r="24482">
      <c r="A24482" s="3" t="s">
        <v>40853</v>
      </c>
      <c r="B24482" s="3" t="s">
        <v>20113</v>
      </c>
      <c r="C24482" s="5" t="s">
        <v>45</v>
      </c>
      <c r="D24482" s="3" t="s">
        <v>221</v>
      </c>
      <c r="E24482" s="3" t="s">
        <v>1026</v>
      </c>
      <c r="F24482" s="7">
        <v>46216.82283581107</v>
      </c>
      <c r="G24482" s="3" t="s">
        <v>8252</v>
      </c>
    </row>
    <row r="24483">
      <c r="A24483" s="3" t="s">
        <v>40854</v>
      </c>
      <c r="B24483" s="3" t="s">
        <v>20113</v>
      </c>
      <c r="C24483" s="5" t="s">
        <v>221</v>
      </c>
      <c r="D24483" s="3" t="s">
        <v>614</v>
      </c>
      <c r="E24483" s="3" t="s">
        <v>118</v>
      </c>
      <c r="F24483" s="7">
        <v>46216.82630803329</v>
      </c>
      <c r="G24483" s="3" t="s">
        <v>8255</v>
      </c>
    </row>
    <row r="24484">
      <c r="A24484" s="3" t="s">
        <v>40855</v>
      </c>
      <c r="B24484" s="3" t="s">
        <v>20113</v>
      </c>
      <c r="C24484" s="5" t="s">
        <v>614</v>
      </c>
      <c r="D24484" s="3" t="s">
        <v>206</v>
      </c>
      <c r="E24484" s="3" t="s">
        <v>100</v>
      </c>
      <c r="F24484" s="7">
        <v>46216.82978025552</v>
      </c>
      <c r="G24484" s="3" t="s">
        <v>8257</v>
      </c>
    </row>
    <row r="24485">
      <c r="A24485" s="3" t="s">
        <v>40856</v>
      </c>
      <c r="B24485" s="3" t="s">
        <v>20113</v>
      </c>
      <c r="C24485" s="5" t="s">
        <v>206</v>
      </c>
      <c r="D24485" s="3" t="s">
        <v>68</v>
      </c>
      <c r="E24485" s="3" t="s">
        <v>100</v>
      </c>
      <c r="F24485" s="7">
        <v>46216.833252477736</v>
      </c>
      <c r="G24485" s="3" t="s">
        <v>8260</v>
      </c>
    </row>
    <row r="24486">
      <c r="A24486" s="3" t="s">
        <v>40857</v>
      </c>
      <c r="B24486" s="3" t="s">
        <v>20115</v>
      </c>
      <c r="C24486" s="5" t="s">
        <v>45</v>
      </c>
      <c r="D24486" s="3" t="s">
        <v>221</v>
      </c>
      <c r="E24486" s="3" t="s">
        <v>637</v>
      </c>
      <c r="F24486" s="7">
        <v>46216.89401065649</v>
      </c>
      <c r="G24486" s="3" t="s">
        <v>8065</v>
      </c>
    </row>
    <row r="24487">
      <c r="A24487" s="3" t="s">
        <v>40858</v>
      </c>
      <c r="B24487" s="3" t="s">
        <v>20115</v>
      </c>
      <c r="C24487" s="5" t="s">
        <v>221</v>
      </c>
      <c r="D24487" s="3" t="s">
        <v>195</v>
      </c>
      <c r="E24487" s="3" t="s">
        <v>637</v>
      </c>
      <c r="F24487" s="7">
        <v>46216.89748287871</v>
      </c>
      <c r="G24487" s="3" t="s">
        <v>40859</v>
      </c>
    </row>
    <row r="24488">
      <c r="A24488" s="3" t="s">
        <v>40860</v>
      </c>
      <c r="B24488" s="3" t="s">
        <v>20117</v>
      </c>
      <c r="C24488" s="5" t="s">
        <v>45</v>
      </c>
      <c r="D24488" s="3" t="s">
        <v>221</v>
      </c>
      <c r="E24488" s="3" t="s">
        <v>446</v>
      </c>
      <c r="F24488" s="7">
        <v>46216.965185501904</v>
      </c>
      <c r="G24488" s="3" t="s">
        <v>6408</v>
      </c>
    </row>
    <row r="24489">
      <c r="A24489" s="3" t="s">
        <v>40861</v>
      </c>
      <c r="B24489" s="3" t="s">
        <v>20117</v>
      </c>
      <c r="C24489" s="5" t="s">
        <v>221</v>
      </c>
      <c r="D24489" s="3" t="s">
        <v>614</v>
      </c>
      <c r="E24489" s="3" t="s">
        <v>118</v>
      </c>
      <c r="F24489" s="7">
        <v>46216.96865772412</v>
      </c>
      <c r="G24489" s="3" t="s">
        <v>6410</v>
      </c>
    </row>
    <row r="24490">
      <c r="A24490" s="3" t="s">
        <v>40862</v>
      </c>
      <c r="B24490" s="3" t="s">
        <v>20117</v>
      </c>
      <c r="C24490" s="5" t="s">
        <v>614</v>
      </c>
      <c r="D24490" s="3" t="s">
        <v>206</v>
      </c>
      <c r="E24490" s="3" t="s">
        <v>100</v>
      </c>
      <c r="F24490" s="7">
        <v>46216.97212994635</v>
      </c>
      <c r="G24490" s="3" t="s">
        <v>6413</v>
      </c>
    </row>
    <row r="24491">
      <c r="A24491" s="3" t="s">
        <v>40863</v>
      </c>
      <c r="B24491" s="3" t="s">
        <v>20117</v>
      </c>
      <c r="C24491" s="5" t="s">
        <v>206</v>
      </c>
      <c r="D24491" s="3" t="s">
        <v>68</v>
      </c>
      <c r="E24491" s="3" t="s">
        <v>100</v>
      </c>
      <c r="F24491" s="7">
        <v>46216.97560216857</v>
      </c>
      <c r="G24491" s="3" t="s">
        <v>6416</v>
      </c>
    </row>
    <row r="24492">
      <c r="A24492" s="3" t="s">
        <v>40864</v>
      </c>
      <c r="B24492" s="3" t="s">
        <v>20119</v>
      </c>
      <c r="C24492" s="5" t="s">
        <v>45</v>
      </c>
      <c r="D24492" s="3" t="s">
        <v>221</v>
      </c>
      <c r="E24492" s="3" t="s">
        <v>319</v>
      </c>
      <c r="F24492" s="7">
        <v>46217.036360347316</v>
      </c>
      <c r="G24492" s="3" t="s">
        <v>17638</v>
      </c>
    </row>
    <row r="24493">
      <c r="A24493" s="3" t="s">
        <v>40865</v>
      </c>
      <c r="B24493" s="3" t="s">
        <v>20119</v>
      </c>
      <c r="C24493" s="5" t="s">
        <v>221</v>
      </c>
      <c r="D24493" s="3" t="s">
        <v>614</v>
      </c>
      <c r="E24493" s="3" t="s">
        <v>118</v>
      </c>
      <c r="F24493" s="7">
        <v>46217.039832569535</v>
      </c>
      <c r="G24493" s="3" t="s">
        <v>20179</v>
      </c>
    </row>
    <row r="24494">
      <c r="A24494" s="3" t="s">
        <v>40866</v>
      </c>
      <c r="B24494" s="3" t="s">
        <v>20119</v>
      </c>
      <c r="C24494" s="5" t="s">
        <v>614</v>
      </c>
      <c r="D24494" s="3" t="s">
        <v>206</v>
      </c>
      <c r="E24494" s="3" t="s">
        <v>100</v>
      </c>
      <c r="F24494" s="7">
        <v>46217.04330479176</v>
      </c>
      <c r="G24494" s="3" t="s">
        <v>20182</v>
      </c>
    </row>
    <row r="24495">
      <c r="A24495" s="3" t="s">
        <v>40867</v>
      </c>
      <c r="B24495" s="3" t="s">
        <v>20119</v>
      </c>
      <c r="C24495" s="5" t="s">
        <v>206</v>
      </c>
      <c r="D24495" s="3" t="s">
        <v>68</v>
      </c>
      <c r="E24495" s="3" t="s">
        <v>100</v>
      </c>
      <c r="F24495" s="7">
        <v>46217.04677701398</v>
      </c>
      <c r="G24495" s="3" t="s">
        <v>20185</v>
      </c>
    </row>
    <row r="24496">
      <c r="A24496" s="3" t="s">
        <v>40868</v>
      </c>
      <c r="B24496" s="3" t="s">
        <v>20121</v>
      </c>
      <c r="C24496" s="5" t="s">
        <v>45</v>
      </c>
      <c r="D24496" s="3" t="s">
        <v>221</v>
      </c>
      <c r="E24496" s="3" t="s">
        <v>193</v>
      </c>
      <c r="F24496" s="7">
        <v>46217.107535192736</v>
      </c>
      <c r="G24496" s="3" t="s">
        <v>5961</v>
      </c>
    </row>
    <row r="24497">
      <c r="A24497" s="3" t="s">
        <v>40869</v>
      </c>
      <c r="B24497" s="3" t="s">
        <v>20121</v>
      </c>
      <c r="C24497" s="5" t="s">
        <v>221</v>
      </c>
      <c r="D24497" s="3" t="s">
        <v>614</v>
      </c>
      <c r="E24497" s="3" t="s">
        <v>118</v>
      </c>
      <c r="F24497" s="7">
        <v>46217.111007414955</v>
      </c>
      <c r="G24497" s="3" t="s">
        <v>5964</v>
      </c>
    </row>
    <row r="24498">
      <c r="A24498" s="3" t="s">
        <v>40870</v>
      </c>
      <c r="B24498" s="3" t="s">
        <v>20121</v>
      </c>
      <c r="C24498" s="5" t="s">
        <v>614</v>
      </c>
      <c r="D24498" s="3" t="s">
        <v>206</v>
      </c>
      <c r="E24498" s="3" t="s">
        <v>100</v>
      </c>
      <c r="F24498" s="7">
        <v>46217.11447963718</v>
      </c>
      <c r="G24498" s="3" t="s">
        <v>5967</v>
      </c>
    </row>
    <row r="24499">
      <c r="A24499" s="3" t="s">
        <v>40871</v>
      </c>
      <c r="B24499" s="3" t="s">
        <v>20121</v>
      </c>
      <c r="C24499" s="5" t="s">
        <v>206</v>
      </c>
      <c r="D24499" s="3" t="s">
        <v>68</v>
      </c>
      <c r="E24499" s="3" t="s">
        <v>100</v>
      </c>
      <c r="F24499" s="7">
        <v>46217.1179518594</v>
      </c>
      <c r="G24499" s="3" t="s">
        <v>5970</v>
      </c>
    </row>
    <row r="24500">
      <c r="A24500" s="3" t="s">
        <v>40872</v>
      </c>
      <c r="B24500" s="3" t="s">
        <v>20123</v>
      </c>
      <c r="C24500" s="5" t="s">
        <v>45</v>
      </c>
      <c r="D24500" s="3" t="s">
        <v>221</v>
      </c>
      <c r="E24500" s="3" t="s">
        <v>860</v>
      </c>
      <c r="F24500" s="7">
        <v>46217.178710038155</v>
      </c>
      <c r="G24500" s="3" t="s">
        <v>5200</v>
      </c>
    </row>
    <row r="24501">
      <c r="A24501" s="3" t="s">
        <v>40873</v>
      </c>
      <c r="B24501" s="3" t="s">
        <v>20123</v>
      </c>
      <c r="C24501" s="5" t="s">
        <v>221</v>
      </c>
      <c r="D24501" s="3" t="s">
        <v>614</v>
      </c>
      <c r="E24501" s="3" t="s">
        <v>118</v>
      </c>
      <c r="F24501" s="7">
        <v>46217.182182260374</v>
      </c>
      <c r="G24501" s="3" t="s">
        <v>5202</v>
      </c>
    </row>
    <row r="24502">
      <c r="A24502" s="3" t="s">
        <v>40874</v>
      </c>
      <c r="B24502" s="3" t="s">
        <v>20123</v>
      </c>
      <c r="C24502" s="5" t="s">
        <v>614</v>
      </c>
      <c r="D24502" s="3" t="s">
        <v>206</v>
      </c>
      <c r="E24502" s="3" t="s">
        <v>100</v>
      </c>
      <c r="F24502" s="7">
        <v>46217.1856544826</v>
      </c>
      <c r="G24502" s="3" t="s">
        <v>5204</v>
      </c>
    </row>
    <row r="24503">
      <c r="A24503" s="3" t="s">
        <v>40875</v>
      </c>
      <c r="B24503" s="3" t="s">
        <v>20123</v>
      </c>
      <c r="C24503" s="5" t="s">
        <v>206</v>
      </c>
      <c r="D24503" s="3" t="s">
        <v>68</v>
      </c>
      <c r="E24503" s="3" t="s">
        <v>100</v>
      </c>
      <c r="F24503" s="7">
        <v>46217.18912670482</v>
      </c>
      <c r="G24503" s="3" t="s">
        <v>5206</v>
      </c>
    </row>
    <row r="24504">
      <c r="A24504" s="3" t="s">
        <v>40876</v>
      </c>
      <c r="B24504" s="3" t="s">
        <v>20126</v>
      </c>
      <c r="C24504" s="5" t="s">
        <v>45</v>
      </c>
      <c r="D24504" s="3" t="s">
        <v>221</v>
      </c>
      <c r="E24504" s="3" t="s">
        <v>521</v>
      </c>
      <c r="F24504" s="7">
        <v>46217.24988488356</v>
      </c>
      <c r="G24504" s="3" t="s">
        <v>20491</v>
      </c>
    </row>
    <row r="24505">
      <c r="A24505" s="3" t="s">
        <v>40877</v>
      </c>
      <c r="B24505" s="3" t="s">
        <v>20126</v>
      </c>
      <c r="C24505" s="5" t="s">
        <v>221</v>
      </c>
      <c r="D24505" s="3" t="s">
        <v>614</v>
      </c>
      <c r="E24505" s="3" t="s">
        <v>118</v>
      </c>
      <c r="F24505" s="7">
        <v>46217.25335710578</v>
      </c>
      <c r="G24505" s="3" t="s">
        <v>20494</v>
      </c>
    </row>
    <row r="24506">
      <c r="A24506" s="3" t="s">
        <v>40878</v>
      </c>
      <c r="B24506" s="3" t="s">
        <v>20126</v>
      </c>
      <c r="C24506" s="5" t="s">
        <v>614</v>
      </c>
      <c r="D24506" s="3" t="s">
        <v>206</v>
      </c>
      <c r="E24506" s="3" t="s">
        <v>100</v>
      </c>
      <c r="F24506" s="7">
        <v>46217.256829328006</v>
      </c>
      <c r="G24506" s="3" t="s">
        <v>20497</v>
      </c>
    </row>
    <row r="24507">
      <c r="A24507" s="3" t="s">
        <v>40879</v>
      </c>
      <c r="B24507" s="3" t="s">
        <v>20126</v>
      </c>
      <c r="C24507" s="5" t="s">
        <v>206</v>
      </c>
      <c r="D24507" s="3" t="s">
        <v>68</v>
      </c>
      <c r="E24507" s="3" t="s">
        <v>100</v>
      </c>
      <c r="F24507" s="7">
        <v>46217.260301550225</v>
      </c>
      <c r="G24507" s="3" t="s">
        <v>20499</v>
      </c>
    </row>
    <row r="24508">
      <c r="A24508" s="3" t="s">
        <v>40880</v>
      </c>
      <c r="B24508" s="3" t="s">
        <v>20128</v>
      </c>
      <c r="C24508" s="5" t="s">
        <v>45</v>
      </c>
      <c r="D24508" s="3" t="s">
        <v>221</v>
      </c>
      <c r="E24508" s="3" t="s">
        <v>189</v>
      </c>
      <c r="F24508" s="7">
        <v>46217.32105972898</v>
      </c>
      <c r="G24508" s="3" t="s">
        <v>5902</v>
      </c>
    </row>
    <row r="24509">
      <c r="A24509" s="3" t="s">
        <v>40881</v>
      </c>
      <c r="B24509" s="3" t="s">
        <v>20128</v>
      </c>
      <c r="C24509" s="5" t="s">
        <v>221</v>
      </c>
      <c r="D24509" s="3" t="s">
        <v>614</v>
      </c>
      <c r="E24509" s="3" t="s">
        <v>118</v>
      </c>
      <c r="F24509" s="7">
        <v>46217.3245319512</v>
      </c>
      <c r="G24509" s="3" t="s">
        <v>5906</v>
      </c>
    </row>
    <row r="24510">
      <c r="A24510" s="3" t="s">
        <v>40882</v>
      </c>
      <c r="B24510" s="3" t="s">
        <v>20128</v>
      </c>
      <c r="C24510" s="5" t="s">
        <v>614</v>
      </c>
      <c r="D24510" s="3" t="s">
        <v>206</v>
      </c>
      <c r="E24510" s="3" t="s">
        <v>100</v>
      </c>
      <c r="F24510" s="7">
        <v>46217.328004173425</v>
      </c>
      <c r="G24510" s="3" t="s">
        <v>5909</v>
      </c>
    </row>
    <row r="24511">
      <c r="A24511" s="3" t="s">
        <v>40883</v>
      </c>
      <c r="B24511" s="3" t="s">
        <v>20128</v>
      </c>
      <c r="C24511" s="5" t="s">
        <v>206</v>
      </c>
      <c r="D24511" s="3" t="s">
        <v>68</v>
      </c>
      <c r="E24511" s="3" t="s">
        <v>100</v>
      </c>
      <c r="F24511" s="7">
        <v>46217.331476395644</v>
      </c>
      <c r="G24511" s="3" t="s">
        <v>5912</v>
      </c>
    </row>
    <row r="24512">
      <c r="A24512" s="3" t="s">
        <v>40884</v>
      </c>
      <c r="B24512" s="3" t="s">
        <v>20130</v>
      </c>
      <c r="C24512" s="5" t="s">
        <v>45</v>
      </c>
      <c r="D24512" s="3" t="s">
        <v>221</v>
      </c>
      <c r="E24512" s="3" t="s">
        <v>609</v>
      </c>
      <c r="F24512" s="7">
        <v>46217.3922345744</v>
      </c>
      <c r="G24512" s="3" t="s">
        <v>8332</v>
      </c>
    </row>
    <row r="24513">
      <c r="A24513" s="3" t="s">
        <v>40885</v>
      </c>
      <c r="B24513" s="3" t="s">
        <v>20130</v>
      </c>
      <c r="C24513" s="5" t="s">
        <v>221</v>
      </c>
      <c r="D24513" s="3" t="s">
        <v>181</v>
      </c>
      <c r="E24513" s="3" t="s">
        <v>118</v>
      </c>
      <c r="F24513" s="7">
        <v>46217.39570679662</v>
      </c>
      <c r="G24513" s="3" t="s">
        <v>33644</v>
      </c>
    </row>
    <row r="24514">
      <c r="A24514" s="3" t="s">
        <v>40886</v>
      </c>
      <c r="B24514" s="3" t="s">
        <v>20132</v>
      </c>
      <c r="C24514" s="5" t="s">
        <v>45</v>
      </c>
      <c r="D24514" s="3" t="s">
        <v>221</v>
      </c>
      <c r="E24514" s="3" t="s">
        <v>685</v>
      </c>
      <c r="F24514" s="7">
        <v>46217.46340941981</v>
      </c>
      <c r="G24514" s="3" t="s">
        <v>30683</v>
      </c>
    </row>
    <row r="24515">
      <c r="A24515" s="3" t="s">
        <v>40887</v>
      </c>
      <c r="B24515" s="3" t="s">
        <v>20132</v>
      </c>
      <c r="C24515" s="5" t="s">
        <v>221</v>
      </c>
      <c r="D24515" s="3" t="s">
        <v>614</v>
      </c>
      <c r="E24515" s="3" t="s">
        <v>118</v>
      </c>
      <c r="F24515" s="7">
        <v>46217.46688164203</v>
      </c>
      <c r="G24515" s="3" t="s">
        <v>30685</v>
      </c>
    </row>
    <row r="24516">
      <c r="A24516" s="3" t="s">
        <v>40888</v>
      </c>
      <c r="B24516" s="3" t="s">
        <v>20132</v>
      </c>
      <c r="C24516" s="5" t="s">
        <v>614</v>
      </c>
      <c r="D24516" s="3" t="s">
        <v>206</v>
      </c>
      <c r="E24516" s="3" t="s">
        <v>100</v>
      </c>
      <c r="F24516" s="7">
        <v>46217.47035386426</v>
      </c>
      <c r="G24516" s="3" t="s">
        <v>30687</v>
      </c>
    </row>
    <row r="24517">
      <c r="A24517" s="3" t="s">
        <v>40889</v>
      </c>
      <c r="B24517" s="3" t="s">
        <v>20132</v>
      </c>
      <c r="C24517" s="5" t="s">
        <v>206</v>
      </c>
      <c r="D24517" s="3" t="s">
        <v>68</v>
      </c>
      <c r="E24517" s="3" t="s">
        <v>100</v>
      </c>
      <c r="F24517" s="7">
        <v>46217.473826086476</v>
      </c>
      <c r="G24517" s="3" t="s">
        <v>30689</v>
      </c>
    </row>
    <row r="24518">
      <c r="A24518" s="3" t="s">
        <v>40890</v>
      </c>
      <c r="B24518" s="3" t="s">
        <v>20135</v>
      </c>
      <c r="C24518" s="5" t="s">
        <v>45</v>
      </c>
      <c r="D24518" s="3" t="s">
        <v>221</v>
      </c>
      <c r="E24518" s="3" t="s">
        <v>947</v>
      </c>
      <c r="F24518" s="7">
        <v>46217.534584265224</v>
      </c>
      <c r="G24518" s="3" t="s">
        <v>21032</v>
      </c>
    </row>
    <row r="24519">
      <c r="A24519" s="3" t="s">
        <v>40891</v>
      </c>
      <c r="B24519" s="3" t="s">
        <v>20135</v>
      </c>
      <c r="C24519" s="5" t="s">
        <v>221</v>
      </c>
      <c r="D24519" s="3" t="s">
        <v>614</v>
      </c>
      <c r="E24519" s="3" t="s">
        <v>118</v>
      </c>
      <c r="F24519" s="7">
        <v>46217.53805648744</v>
      </c>
      <c r="G24519" s="3" t="s">
        <v>21034</v>
      </c>
    </row>
    <row r="24520">
      <c r="A24520" s="3" t="s">
        <v>40892</v>
      </c>
      <c r="B24520" s="3" t="s">
        <v>20135</v>
      </c>
      <c r="C24520" s="5" t="s">
        <v>614</v>
      </c>
      <c r="D24520" s="3" t="s">
        <v>206</v>
      </c>
      <c r="E24520" s="3" t="s">
        <v>100</v>
      </c>
      <c r="F24520" s="7">
        <v>46217.54152870967</v>
      </c>
      <c r="G24520" s="3" t="s">
        <v>21037</v>
      </c>
    </row>
    <row r="24521">
      <c r="A24521" s="3" t="s">
        <v>40893</v>
      </c>
      <c r="B24521" s="3" t="s">
        <v>20135</v>
      </c>
      <c r="C24521" s="5" t="s">
        <v>206</v>
      </c>
      <c r="D24521" s="3" t="s">
        <v>68</v>
      </c>
      <c r="E24521" s="3" t="s">
        <v>100</v>
      </c>
      <c r="F24521" s="7">
        <v>46217.54500093189</v>
      </c>
      <c r="G24521" s="3" t="s">
        <v>21040</v>
      </c>
    </row>
    <row r="24522">
      <c r="A24522" s="3" t="s">
        <v>40894</v>
      </c>
      <c r="B24522" s="3" t="s">
        <v>20137</v>
      </c>
      <c r="C24522" s="5" t="s">
        <v>45</v>
      </c>
      <c r="D24522" s="3" t="s">
        <v>221</v>
      </c>
      <c r="E24522" s="3" t="s">
        <v>895</v>
      </c>
      <c r="F24522" s="7">
        <v>46217.605759110644</v>
      </c>
      <c r="G24522" s="3" t="s">
        <v>22403</v>
      </c>
    </row>
    <row r="24523">
      <c r="A24523" s="3" t="s">
        <v>40895</v>
      </c>
      <c r="B24523" s="3" t="s">
        <v>20137</v>
      </c>
      <c r="C24523" s="5" t="s">
        <v>221</v>
      </c>
      <c r="D24523" s="3" t="s">
        <v>195</v>
      </c>
      <c r="E24523" s="3" t="s">
        <v>895</v>
      </c>
      <c r="F24523" s="7">
        <v>46217.60923133286</v>
      </c>
      <c r="G24523" s="3" t="s">
        <v>40896</v>
      </c>
    </row>
    <row r="24524">
      <c r="A24524" s="3" t="s">
        <v>40897</v>
      </c>
      <c r="B24524" s="3" t="s">
        <v>20140</v>
      </c>
      <c r="C24524" s="5" t="s">
        <v>45</v>
      </c>
      <c r="D24524" s="3" t="s">
        <v>221</v>
      </c>
      <c r="E24524" s="3" t="s">
        <v>1043</v>
      </c>
      <c r="F24524" s="7">
        <v>46217.676933956056</v>
      </c>
      <c r="G24524" s="3" t="s">
        <v>24348</v>
      </c>
    </row>
    <row r="24525">
      <c r="A24525" s="3" t="s">
        <v>40898</v>
      </c>
      <c r="B24525" s="3" t="s">
        <v>20140</v>
      </c>
      <c r="C24525" s="5" t="s">
        <v>221</v>
      </c>
      <c r="D24525" s="3" t="s">
        <v>181</v>
      </c>
      <c r="E24525" s="3" t="s">
        <v>118</v>
      </c>
      <c r="F24525" s="7">
        <v>46217.680406178275</v>
      </c>
      <c r="G24525" s="3" t="s">
        <v>40899</v>
      </c>
    </row>
    <row r="24526">
      <c r="A24526" s="3" t="s">
        <v>40900</v>
      </c>
      <c r="B24526" s="3" t="s">
        <v>20142</v>
      </c>
      <c r="C24526" s="5" t="s">
        <v>45</v>
      </c>
      <c r="D24526" s="3" t="s">
        <v>221</v>
      </c>
      <c r="E24526" s="3" t="s">
        <v>1008</v>
      </c>
      <c r="F24526" s="7">
        <v>46217.74810880147</v>
      </c>
      <c r="G24526" s="3" t="s">
        <v>12252</v>
      </c>
    </row>
    <row r="24527">
      <c r="A24527" s="3" t="s">
        <v>40901</v>
      </c>
      <c r="B24527" s="3" t="s">
        <v>20142</v>
      </c>
      <c r="C24527" s="5" t="s">
        <v>221</v>
      </c>
      <c r="D24527" s="3" t="s">
        <v>614</v>
      </c>
      <c r="E24527" s="3" t="s">
        <v>118</v>
      </c>
      <c r="F24527" s="7">
        <v>46217.75158102369</v>
      </c>
      <c r="G24527" s="3" t="s">
        <v>12255</v>
      </c>
    </row>
    <row r="24528">
      <c r="A24528" s="3" t="s">
        <v>40902</v>
      </c>
      <c r="B24528" s="3" t="s">
        <v>20142</v>
      </c>
      <c r="C24528" s="5" t="s">
        <v>614</v>
      </c>
      <c r="D24528" s="3" t="s">
        <v>206</v>
      </c>
      <c r="E24528" s="3" t="s">
        <v>100</v>
      </c>
      <c r="F24528" s="7">
        <v>46217.75505324591</v>
      </c>
      <c r="G24528" s="3" t="s">
        <v>12259</v>
      </c>
    </row>
    <row r="24529">
      <c r="A24529" s="3" t="s">
        <v>40903</v>
      </c>
      <c r="B24529" s="3" t="s">
        <v>20142</v>
      </c>
      <c r="C24529" s="5" t="s">
        <v>206</v>
      </c>
      <c r="D24529" s="3" t="s">
        <v>68</v>
      </c>
      <c r="E24529" s="3" t="s">
        <v>100</v>
      </c>
      <c r="F24529" s="7">
        <v>46217.75852546813</v>
      </c>
      <c r="G24529" s="3" t="s">
        <v>12262</v>
      </c>
    </row>
    <row r="24530">
      <c r="A24530" s="3" t="s">
        <v>40904</v>
      </c>
      <c r="B24530" s="3" t="s">
        <v>20145</v>
      </c>
      <c r="C24530" s="5" t="s">
        <v>45</v>
      </c>
      <c r="D24530" s="3" t="s">
        <v>221</v>
      </c>
      <c r="E24530" s="3" t="s">
        <v>584</v>
      </c>
      <c r="F24530" s="7">
        <v>46217.81928364689</v>
      </c>
      <c r="G24530" s="3" t="s">
        <v>8262</v>
      </c>
    </row>
    <row r="24531">
      <c r="A24531" s="3" t="s">
        <v>40905</v>
      </c>
      <c r="B24531" s="3" t="s">
        <v>20145</v>
      </c>
      <c r="C24531" s="5" t="s">
        <v>221</v>
      </c>
      <c r="D24531" s="3" t="s">
        <v>614</v>
      </c>
      <c r="E24531" s="3" t="s">
        <v>118</v>
      </c>
      <c r="F24531" s="7">
        <v>46217.82275586911</v>
      </c>
      <c r="G24531" s="3" t="s">
        <v>8265</v>
      </c>
    </row>
    <row r="24532">
      <c r="A24532" s="3" t="s">
        <v>40906</v>
      </c>
      <c r="B24532" s="3" t="s">
        <v>20145</v>
      </c>
      <c r="C24532" s="5" t="s">
        <v>614</v>
      </c>
      <c r="D24532" s="3" t="s">
        <v>206</v>
      </c>
      <c r="E24532" s="3" t="s">
        <v>100</v>
      </c>
      <c r="F24532" s="7">
        <v>46217.82622809133</v>
      </c>
      <c r="G24532" s="3" t="s">
        <v>8268</v>
      </c>
    </row>
    <row r="24533">
      <c r="A24533" s="3" t="s">
        <v>40907</v>
      </c>
      <c r="B24533" s="3" t="s">
        <v>20145</v>
      </c>
      <c r="C24533" s="5" t="s">
        <v>206</v>
      </c>
      <c r="D24533" s="3" t="s">
        <v>68</v>
      </c>
      <c r="E24533" s="3" t="s">
        <v>100</v>
      </c>
      <c r="F24533" s="7">
        <v>46217.82970031355</v>
      </c>
      <c r="G24533" s="3" t="s">
        <v>8271</v>
      </c>
    </row>
    <row r="24534">
      <c r="A24534" s="3" t="s">
        <v>40908</v>
      </c>
      <c r="B24534" s="3" t="s">
        <v>20147</v>
      </c>
      <c r="C24534" s="5" t="s">
        <v>45</v>
      </c>
      <c r="D24534" s="3" t="s">
        <v>221</v>
      </c>
      <c r="E24534" s="3" t="s">
        <v>655</v>
      </c>
      <c r="F24534" s="7">
        <v>46217.8904584923</v>
      </c>
      <c r="G24534" s="3" t="s">
        <v>38970</v>
      </c>
    </row>
    <row r="24535">
      <c r="A24535" s="3" t="s">
        <v>40909</v>
      </c>
      <c r="B24535" s="3" t="s">
        <v>20147</v>
      </c>
      <c r="C24535" s="5" t="s">
        <v>221</v>
      </c>
      <c r="D24535" s="3" t="s">
        <v>181</v>
      </c>
      <c r="E24535" s="3" t="s">
        <v>118</v>
      </c>
      <c r="F24535" s="7">
        <v>46217.89393071452</v>
      </c>
      <c r="G24535" s="3" t="s">
        <v>40910</v>
      </c>
    </row>
    <row r="24536">
      <c r="A24536" s="3" t="s">
        <v>40911</v>
      </c>
      <c r="B24536" s="3" t="s">
        <v>20149</v>
      </c>
      <c r="C24536" s="5" t="s">
        <v>45</v>
      </c>
      <c r="D24536" s="3" t="s">
        <v>221</v>
      </c>
      <c r="E24536" s="3" t="s">
        <v>253</v>
      </c>
      <c r="F24536" s="7">
        <v>46217.96163333771</v>
      </c>
      <c r="G24536" s="3" t="s">
        <v>9956</v>
      </c>
    </row>
    <row r="24537">
      <c r="A24537" s="3" t="s">
        <v>40912</v>
      </c>
      <c r="B24537" s="3" t="s">
        <v>20149</v>
      </c>
      <c r="C24537" s="5" t="s">
        <v>221</v>
      </c>
      <c r="D24537" s="3" t="s">
        <v>614</v>
      </c>
      <c r="E24537" s="3" t="s">
        <v>118</v>
      </c>
      <c r="F24537" s="7">
        <v>46217.96510555993</v>
      </c>
      <c r="G24537" s="3" t="s">
        <v>9960</v>
      </c>
    </row>
    <row r="24538">
      <c r="A24538" s="3" t="s">
        <v>40913</v>
      </c>
      <c r="B24538" s="3" t="s">
        <v>20149</v>
      </c>
      <c r="C24538" s="5" t="s">
        <v>614</v>
      </c>
      <c r="D24538" s="3" t="s">
        <v>206</v>
      </c>
      <c r="E24538" s="3" t="s">
        <v>100</v>
      </c>
      <c r="F24538" s="7">
        <v>46217.96857778216</v>
      </c>
      <c r="G24538" s="3" t="s">
        <v>9963</v>
      </c>
    </row>
    <row r="24539">
      <c r="A24539" s="3" t="s">
        <v>40914</v>
      </c>
      <c r="B24539" s="3" t="s">
        <v>20149</v>
      </c>
      <c r="C24539" s="5" t="s">
        <v>206</v>
      </c>
      <c r="D24539" s="3" t="s">
        <v>68</v>
      </c>
      <c r="E24539" s="3" t="s">
        <v>100</v>
      </c>
      <c r="F24539" s="7">
        <v>46217.97205000438</v>
      </c>
      <c r="G24539" s="3" t="s">
        <v>9966</v>
      </c>
    </row>
    <row r="24540">
      <c r="A24540" s="3" t="s">
        <v>40915</v>
      </c>
      <c r="B24540" s="3" t="s">
        <v>20151</v>
      </c>
      <c r="C24540" s="5" t="s">
        <v>45</v>
      </c>
      <c r="D24540" s="3" t="s">
        <v>221</v>
      </c>
      <c r="E24540" s="3" t="s">
        <v>1028</v>
      </c>
      <c r="F24540" s="7">
        <v>46218.03280818313</v>
      </c>
      <c r="G24540" s="3" t="s">
        <v>6879</v>
      </c>
    </row>
    <row r="24541">
      <c r="A24541" s="3" t="s">
        <v>40916</v>
      </c>
      <c r="B24541" s="3" t="s">
        <v>20151</v>
      </c>
      <c r="C24541" s="5" t="s">
        <v>221</v>
      </c>
      <c r="D24541" s="3" t="s">
        <v>614</v>
      </c>
      <c r="E24541" s="3" t="s">
        <v>118</v>
      </c>
      <c r="F24541" s="7">
        <v>46218.03628040535</v>
      </c>
      <c r="G24541" s="3" t="s">
        <v>6882</v>
      </c>
    </row>
    <row r="24542">
      <c r="A24542" s="3" t="s">
        <v>40917</v>
      </c>
      <c r="B24542" s="3" t="s">
        <v>20151</v>
      </c>
      <c r="C24542" s="5" t="s">
        <v>614</v>
      </c>
      <c r="D24542" s="3" t="s">
        <v>206</v>
      </c>
      <c r="E24542" s="3" t="s">
        <v>100</v>
      </c>
      <c r="F24542" s="7">
        <v>46218.03975262758</v>
      </c>
      <c r="G24542" s="3" t="s">
        <v>6885</v>
      </c>
    </row>
    <row r="24543">
      <c r="A24543" s="3" t="s">
        <v>40918</v>
      </c>
      <c r="B24543" s="3" t="s">
        <v>20151</v>
      </c>
      <c r="C24543" s="5" t="s">
        <v>206</v>
      </c>
      <c r="D24543" s="3" t="s">
        <v>68</v>
      </c>
      <c r="E24543" s="3" t="s">
        <v>100</v>
      </c>
      <c r="F24543" s="7">
        <v>46218.0432248498</v>
      </c>
      <c r="G24543" s="3" t="s">
        <v>6888</v>
      </c>
    </row>
    <row r="24544">
      <c r="A24544" s="3" t="s">
        <v>40919</v>
      </c>
      <c r="B24544" s="3" t="s">
        <v>20154</v>
      </c>
      <c r="C24544" s="5" t="s">
        <v>45</v>
      </c>
      <c r="D24544" s="3" t="s">
        <v>221</v>
      </c>
      <c r="E24544" s="3" t="s">
        <v>822</v>
      </c>
      <c r="F24544" s="7">
        <v>46218.103983028544</v>
      </c>
      <c r="G24544" s="3" t="s">
        <v>7388</v>
      </c>
    </row>
    <row r="24545">
      <c r="A24545" s="3" t="s">
        <v>40920</v>
      </c>
      <c r="B24545" s="3" t="s">
        <v>20154</v>
      </c>
      <c r="C24545" s="5" t="s">
        <v>221</v>
      </c>
      <c r="D24545" s="3" t="s">
        <v>614</v>
      </c>
      <c r="E24545" s="3" t="s">
        <v>118</v>
      </c>
      <c r="F24545" s="7">
        <v>46218.10745525076</v>
      </c>
      <c r="G24545" s="3" t="s">
        <v>25795</v>
      </c>
    </row>
    <row r="24546">
      <c r="A24546" s="3" t="s">
        <v>40921</v>
      </c>
      <c r="B24546" s="3" t="s">
        <v>20154</v>
      </c>
      <c r="C24546" s="5" t="s">
        <v>614</v>
      </c>
      <c r="D24546" s="3" t="s">
        <v>206</v>
      </c>
      <c r="E24546" s="3" t="s">
        <v>100</v>
      </c>
      <c r="F24546" s="7">
        <v>46218.11092747299</v>
      </c>
      <c r="G24546" s="3" t="s">
        <v>25797</v>
      </c>
    </row>
    <row r="24547">
      <c r="A24547" s="3" t="s">
        <v>40922</v>
      </c>
      <c r="B24547" s="3" t="s">
        <v>20154</v>
      </c>
      <c r="C24547" s="5" t="s">
        <v>206</v>
      </c>
      <c r="D24547" s="3" t="s">
        <v>68</v>
      </c>
      <c r="E24547" s="3" t="s">
        <v>100</v>
      </c>
      <c r="F24547" s="7">
        <v>46218.11439969521</v>
      </c>
      <c r="G24547" s="3" t="s">
        <v>25799</v>
      </c>
    </row>
    <row r="24548">
      <c r="A24548" s="3" t="s">
        <v>40923</v>
      </c>
      <c r="B24548" s="3" t="s">
        <v>20156</v>
      </c>
      <c r="C24548" s="5" t="s">
        <v>45</v>
      </c>
      <c r="D24548" s="3" t="s">
        <v>221</v>
      </c>
      <c r="E24548" s="3" t="s">
        <v>253</v>
      </c>
      <c r="F24548" s="7">
        <v>46218.175157873964</v>
      </c>
      <c r="G24548" s="3" t="s">
        <v>9956</v>
      </c>
    </row>
    <row r="24549">
      <c r="A24549" s="3" t="s">
        <v>40924</v>
      </c>
      <c r="B24549" s="3" t="s">
        <v>20156</v>
      </c>
      <c r="C24549" s="5" t="s">
        <v>221</v>
      </c>
      <c r="D24549" s="3" t="s">
        <v>614</v>
      </c>
      <c r="E24549" s="3" t="s">
        <v>118</v>
      </c>
      <c r="F24549" s="7">
        <v>46218.17863009618</v>
      </c>
      <c r="G24549" s="3" t="s">
        <v>9960</v>
      </c>
    </row>
    <row r="24550">
      <c r="A24550" s="3" t="s">
        <v>40925</v>
      </c>
      <c r="B24550" s="3" t="s">
        <v>20156</v>
      </c>
      <c r="C24550" s="5" t="s">
        <v>614</v>
      </c>
      <c r="D24550" s="3" t="s">
        <v>206</v>
      </c>
      <c r="E24550" s="3" t="s">
        <v>100</v>
      </c>
      <c r="F24550" s="7">
        <v>46218.18210231841</v>
      </c>
      <c r="G24550" s="3" t="s">
        <v>9963</v>
      </c>
    </row>
    <row r="24551">
      <c r="A24551" s="3" t="s">
        <v>40926</v>
      </c>
      <c r="B24551" s="3" t="s">
        <v>20156</v>
      </c>
      <c r="C24551" s="5" t="s">
        <v>206</v>
      </c>
      <c r="D24551" s="3" t="s">
        <v>68</v>
      </c>
      <c r="E24551" s="3" t="s">
        <v>100</v>
      </c>
      <c r="F24551" s="7">
        <v>46218.18557454063</v>
      </c>
      <c r="G24551" s="3" t="s">
        <v>9966</v>
      </c>
    </row>
    <row r="24552">
      <c r="A24552" s="3" t="s">
        <v>40927</v>
      </c>
      <c r="B24552" s="3" t="s">
        <v>20158</v>
      </c>
      <c r="C24552" s="5" t="s">
        <v>45</v>
      </c>
      <c r="D24552" s="3" t="s">
        <v>221</v>
      </c>
      <c r="E24552" s="3" t="s">
        <v>727</v>
      </c>
      <c r="F24552" s="7">
        <v>46218.24633271938</v>
      </c>
      <c r="G24552" s="3" t="s">
        <v>8292</v>
      </c>
    </row>
    <row r="24553">
      <c r="A24553" s="3" t="s">
        <v>40928</v>
      </c>
      <c r="B24553" s="3" t="s">
        <v>20158</v>
      </c>
      <c r="C24553" s="5" t="s">
        <v>221</v>
      </c>
      <c r="D24553" s="3" t="s">
        <v>614</v>
      </c>
      <c r="E24553" s="3" t="s">
        <v>118</v>
      </c>
      <c r="F24553" s="7">
        <v>46218.249804941595</v>
      </c>
      <c r="G24553" s="3" t="s">
        <v>8294</v>
      </c>
    </row>
    <row r="24554">
      <c r="A24554" s="3" t="s">
        <v>40929</v>
      </c>
      <c r="B24554" s="3" t="s">
        <v>20158</v>
      </c>
      <c r="C24554" s="5" t="s">
        <v>614</v>
      </c>
      <c r="D24554" s="3" t="s">
        <v>206</v>
      </c>
      <c r="E24554" s="3" t="s">
        <v>100</v>
      </c>
      <c r="F24554" s="7">
        <v>46218.25327716382</v>
      </c>
      <c r="G24554" s="3" t="s">
        <v>8297</v>
      </c>
    </row>
    <row r="24555">
      <c r="A24555" s="3" t="s">
        <v>40930</v>
      </c>
      <c r="B24555" s="3" t="s">
        <v>20158</v>
      </c>
      <c r="C24555" s="5" t="s">
        <v>206</v>
      </c>
      <c r="D24555" s="3" t="s">
        <v>68</v>
      </c>
      <c r="E24555" s="3" t="s">
        <v>100</v>
      </c>
      <c r="F24555" s="7">
        <v>46218.25674938604</v>
      </c>
      <c r="G24555" s="3" t="s">
        <v>8300</v>
      </c>
    </row>
    <row r="24556">
      <c r="A24556" s="3" t="s">
        <v>40931</v>
      </c>
      <c r="B24556" s="3" t="s">
        <v>20160</v>
      </c>
      <c r="C24556" s="5" t="s">
        <v>45</v>
      </c>
      <c r="D24556" s="3" t="s">
        <v>221</v>
      </c>
      <c r="E24556" s="3" t="s">
        <v>717</v>
      </c>
      <c r="F24556" s="7">
        <v>46218.317507564796</v>
      </c>
      <c r="G24556" s="3" t="s">
        <v>35012</v>
      </c>
    </row>
    <row r="24557">
      <c r="A24557" s="3" t="s">
        <v>40932</v>
      </c>
      <c r="B24557" s="3" t="s">
        <v>20160</v>
      </c>
      <c r="C24557" s="5" t="s">
        <v>221</v>
      </c>
      <c r="D24557" s="3" t="s">
        <v>614</v>
      </c>
      <c r="E24557" s="3" t="s">
        <v>118</v>
      </c>
      <c r="F24557" s="7">
        <v>46218.320979787015</v>
      </c>
      <c r="G24557" s="3" t="s">
        <v>39848</v>
      </c>
    </row>
    <row r="24558">
      <c r="A24558" s="3" t="s">
        <v>40933</v>
      </c>
      <c r="B24558" s="3" t="s">
        <v>20160</v>
      </c>
      <c r="C24558" s="5" t="s">
        <v>614</v>
      </c>
      <c r="D24558" s="3" t="s">
        <v>206</v>
      </c>
      <c r="E24558" s="3" t="s">
        <v>100</v>
      </c>
      <c r="F24558" s="7">
        <v>46218.32445200924</v>
      </c>
      <c r="G24558" s="3" t="s">
        <v>39850</v>
      </c>
    </row>
    <row r="24559">
      <c r="A24559" s="3" t="s">
        <v>40934</v>
      </c>
      <c r="B24559" s="3" t="s">
        <v>20160</v>
      </c>
      <c r="C24559" s="5" t="s">
        <v>206</v>
      </c>
      <c r="D24559" s="3" t="s">
        <v>68</v>
      </c>
      <c r="E24559" s="3" t="s">
        <v>100</v>
      </c>
      <c r="F24559" s="7">
        <v>46218.32792423146</v>
      </c>
      <c r="G24559" s="3" t="s">
        <v>39852</v>
      </c>
    </row>
    <row r="24560">
      <c r="A24560" s="3" t="s">
        <v>40935</v>
      </c>
      <c r="B24560" s="3" t="s">
        <v>20162</v>
      </c>
      <c r="C24560" s="5" t="s">
        <v>45</v>
      </c>
      <c r="D24560" s="3" t="s">
        <v>221</v>
      </c>
      <c r="E24560" s="3" t="s">
        <v>735</v>
      </c>
      <c r="F24560" s="7">
        <v>46218.38868241021</v>
      </c>
      <c r="G24560" s="3" t="s">
        <v>12383</v>
      </c>
    </row>
    <row r="24561">
      <c r="A24561" s="3" t="s">
        <v>40936</v>
      </c>
      <c r="B24561" s="3" t="s">
        <v>20162</v>
      </c>
      <c r="C24561" s="5" t="s">
        <v>221</v>
      </c>
      <c r="D24561" s="3" t="s">
        <v>614</v>
      </c>
      <c r="E24561" s="3" t="s">
        <v>118</v>
      </c>
      <c r="F24561" s="7">
        <v>46218.39215463243</v>
      </c>
      <c r="G24561" s="3" t="s">
        <v>12385</v>
      </c>
    </row>
    <row r="24562">
      <c r="A24562" s="3" t="s">
        <v>40937</v>
      </c>
      <c r="B24562" s="3" t="s">
        <v>20162</v>
      </c>
      <c r="C24562" s="5" t="s">
        <v>614</v>
      </c>
      <c r="D24562" s="3" t="s">
        <v>206</v>
      </c>
      <c r="E24562" s="3" t="s">
        <v>100</v>
      </c>
      <c r="F24562" s="7">
        <v>46218.39562685465</v>
      </c>
      <c r="G24562" s="3" t="s">
        <v>12388</v>
      </c>
    </row>
    <row r="24563">
      <c r="A24563" s="3" t="s">
        <v>40938</v>
      </c>
      <c r="B24563" s="3" t="s">
        <v>20162</v>
      </c>
      <c r="C24563" s="5" t="s">
        <v>206</v>
      </c>
      <c r="D24563" s="3" t="s">
        <v>68</v>
      </c>
      <c r="E24563" s="3" t="s">
        <v>100</v>
      </c>
      <c r="F24563" s="7">
        <v>46218.39909907687</v>
      </c>
      <c r="G24563" s="3" t="s">
        <v>12391</v>
      </c>
    </row>
    <row r="24564">
      <c r="A24564" s="3" t="s">
        <v>40939</v>
      </c>
      <c r="B24564" s="3" t="s">
        <v>20165</v>
      </c>
      <c r="C24564" s="5" t="s">
        <v>45</v>
      </c>
      <c r="D24564" s="3" t="s">
        <v>221</v>
      </c>
      <c r="E24564" s="3" t="s">
        <v>637</v>
      </c>
      <c r="F24564" s="7">
        <v>46218.45985725562</v>
      </c>
      <c r="G24564" s="3" t="s">
        <v>8065</v>
      </c>
    </row>
    <row r="24565">
      <c r="A24565" s="3" t="s">
        <v>40940</v>
      </c>
      <c r="B24565" s="3" t="s">
        <v>20165</v>
      </c>
      <c r="C24565" s="5" t="s">
        <v>221</v>
      </c>
      <c r="D24565" s="3" t="s">
        <v>614</v>
      </c>
      <c r="E24565" s="3" t="s">
        <v>118</v>
      </c>
      <c r="F24565" s="7">
        <v>46218.46332947784</v>
      </c>
      <c r="G24565" s="3" t="s">
        <v>22215</v>
      </c>
    </row>
    <row r="24566">
      <c r="A24566" s="3" t="s">
        <v>40941</v>
      </c>
      <c r="B24566" s="3" t="s">
        <v>20165</v>
      </c>
      <c r="C24566" s="5" t="s">
        <v>614</v>
      </c>
      <c r="D24566" s="3" t="s">
        <v>206</v>
      </c>
      <c r="E24566" s="3" t="s">
        <v>100</v>
      </c>
      <c r="F24566" s="7">
        <v>46218.466801700066</v>
      </c>
      <c r="G24566" s="3" t="s">
        <v>22218</v>
      </c>
    </row>
    <row r="24567">
      <c r="A24567" s="3" t="s">
        <v>40942</v>
      </c>
      <c r="B24567" s="3" t="s">
        <v>20165</v>
      </c>
      <c r="C24567" s="5" t="s">
        <v>206</v>
      </c>
      <c r="D24567" s="3" t="s">
        <v>68</v>
      </c>
      <c r="E24567" s="3" t="s">
        <v>100</v>
      </c>
      <c r="F24567" s="7">
        <v>46218.470273922285</v>
      </c>
      <c r="G24567" s="3" t="s">
        <v>22220</v>
      </c>
    </row>
    <row r="24568">
      <c r="A24568" s="3" t="s">
        <v>40943</v>
      </c>
      <c r="B24568" s="3" t="s">
        <v>20167</v>
      </c>
      <c r="C24568" s="5" t="s">
        <v>45</v>
      </c>
      <c r="D24568" s="3" t="s">
        <v>221</v>
      </c>
      <c r="E24568" s="3" t="s">
        <v>870</v>
      </c>
      <c r="F24568" s="7">
        <v>46218.53103210104</v>
      </c>
      <c r="G24568" s="3" t="s">
        <v>8229</v>
      </c>
    </row>
    <row r="24569">
      <c r="A24569" s="3" t="s">
        <v>40944</v>
      </c>
      <c r="B24569" s="3" t="s">
        <v>20167</v>
      </c>
      <c r="C24569" s="5" t="s">
        <v>221</v>
      </c>
      <c r="D24569" s="3" t="s">
        <v>614</v>
      </c>
      <c r="E24569" s="3" t="s">
        <v>118</v>
      </c>
      <c r="F24569" s="7">
        <v>46218.53450432326</v>
      </c>
      <c r="G24569" s="3" t="s">
        <v>8231</v>
      </c>
    </row>
    <row r="24570">
      <c r="A24570" s="3" t="s">
        <v>40945</v>
      </c>
      <c r="B24570" s="3" t="s">
        <v>20167</v>
      </c>
      <c r="C24570" s="5" t="s">
        <v>614</v>
      </c>
      <c r="D24570" s="3" t="s">
        <v>206</v>
      </c>
      <c r="E24570" s="3" t="s">
        <v>100</v>
      </c>
      <c r="F24570" s="7">
        <v>46218.537976545485</v>
      </c>
      <c r="G24570" s="3" t="s">
        <v>8234</v>
      </c>
    </row>
    <row r="24571">
      <c r="A24571" s="3" t="s">
        <v>40946</v>
      </c>
      <c r="B24571" s="3" t="s">
        <v>20167</v>
      </c>
      <c r="C24571" s="5" t="s">
        <v>206</v>
      </c>
      <c r="D24571" s="3" t="s">
        <v>68</v>
      </c>
      <c r="E24571" s="3" t="s">
        <v>100</v>
      </c>
      <c r="F24571" s="7">
        <v>46218.541448767704</v>
      </c>
      <c r="G24571" s="3" t="s">
        <v>8237</v>
      </c>
    </row>
    <row r="24572">
      <c r="A24572" s="3" t="s">
        <v>40947</v>
      </c>
      <c r="B24572" s="3" t="s">
        <v>20169</v>
      </c>
      <c r="C24572" s="5" t="s">
        <v>45</v>
      </c>
      <c r="D24572" s="3" t="s">
        <v>221</v>
      </c>
      <c r="E24572" s="3" t="s">
        <v>162</v>
      </c>
      <c r="F24572" s="7">
        <v>46218.60220694645</v>
      </c>
      <c r="G24572" s="3" t="s">
        <v>24833</v>
      </c>
    </row>
    <row r="24573">
      <c r="A24573" s="3" t="s">
        <v>40948</v>
      </c>
      <c r="B24573" s="3" t="s">
        <v>20169</v>
      </c>
      <c r="C24573" s="5" t="s">
        <v>221</v>
      </c>
      <c r="D24573" s="3" t="s">
        <v>614</v>
      </c>
      <c r="E24573" s="3" t="s">
        <v>118</v>
      </c>
      <c r="F24573" s="7">
        <v>46218.60567916867</v>
      </c>
      <c r="G24573" s="3" t="s">
        <v>24835</v>
      </c>
    </row>
    <row r="24574">
      <c r="A24574" s="3" t="s">
        <v>40949</v>
      </c>
      <c r="B24574" s="3" t="s">
        <v>20169</v>
      </c>
      <c r="C24574" s="5" t="s">
        <v>614</v>
      </c>
      <c r="D24574" s="3" t="s">
        <v>206</v>
      </c>
      <c r="E24574" s="3" t="s">
        <v>100</v>
      </c>
      <c r="F24574" s="7">
        <v>46218.6091513909</v>
      </c>
      <c r="G24574" s="3" t="s">
        <v>24837</v>
      </c>
    </row>
    <row r="24575">
      <c r="A24575" s="3" t="s">
        <v>40950</v>
      </c>
      <c r="B24575" s="3" t="s">
        <v>20169</v>
      </c>
      <c r="C24575" s="5" t="s">
        <v>206</v>
      </c>
      <c r="D24575" s="3" t="s">
        <v>68</v>
      </c>
      <c r="E24575" s="3" t="s">
        <v>100</v>
      </c>
      <c r="F24575" s="7">
        <v>46218.61262361312</v>
      </c>
      <c r="G24575" s="3" t="s">
        <v>24839</v>
      </c>
    </row>
    <row r="24576">
      <c r="A24576" s="3" t="s">
        <v>40951</v>
      </c>
      <c r="B24576" s="3" t="s">
        <v>20171</v>
      </c>
      <c r="C24576" s="5" t="s">
        <v>45</v>
      </c>
      <c r="D24576" s="3" t="s">
        <v>221</v>
      </c>
      <c r="E24576" s="3" t="s">
        <v>202</v>
      </c>
      <c r="F24576" s="7">
        <v>46218.673381791865</v>
      </c>
      <c r="G24576" s="3" t="s">
        <v>22235</v>
      </c>
    </row>
    <row r="24577">
      <c r="A24577" s="3" t="s">
        <v>40952</v>
      </c>
      <c r="B24577" s="3" t="s">
        <v>20171</v>
      </c>
      <c r="C24577" s="5" t="s">
        <v>221</v>
      </c>
      <c r="D24577" s="3" t="s">
        <v>614</v>
      </c>
      <c r="E24577" s="3" t="s">
        <v>118</v>
      </c>
      <c r="F24577" s="7">
        <v>46218.676854014084</v>
      </c>
      <c r="G24577" s="3" t="s">
        <v>22238</v>
      </c>
    </row>
    <row r="24578">
      <c r="A24578" s="3" t="s">
        <v>40953</v>
      </c>
      <c r="B24578" s="3" t="s">
        <v>20171</v>
      </c>
      <c r="C24578" s="5" t="s">
        <v>614</v>
      </c>
      <c r="D24578" s="3" t="s">
        <v>206</v>
      </c>
      <c r="E24578" s="3" t="s">
        <v>100</v>
      </c>
      <c r="F24578" s="7">
        <v>46218.68032623631</v>
      </c>
      <c r="G24578" s="3" t="s">
        <v>22241</v>
      </c>
    </row>
    <row r="24579">
      <c r="A24579" s="3" t="s">
        <v>40954</v>
      </c>
      <c r="B24579" s="3" t="s">
        <v>20171</v>
      </c>
      <c r="C24579" s="5" t="s">
        <v>206</v>
      </c>
      <c r="D24579" s="3" t="s">
        <v>68</v>
      </c>
      <c r="E24579" s="3" t="s">
        <v>100</v>
      </c>
      <c r="F24579" s="7">
        <v>46218.68379845853</v>
      </c>
      <c r="G24579" s="3" t="s">
        <v>22244</v>
      </c>
    </row>
    <row r="24580">
      <c r="A24580" s="3" t="s">
        <v>40955</v>
      </c>
      <c r="B24580" s="3" t="s">
        <v>20173</v>
      </c>
      <c r="C24580" s="5" t="s">
        <v>45</v>
      </c>
      <c r="D24580" s="3" t="s">
        <v>221</v>
      </c>
      <c r="E24580" s="3" t="s">
        <v>524</v>
      </c>
      <c r="F24580" s="7">
        <v>46218.744556637284</v>
      </c>
      <c r="G24580" s="3" t="s">
        <v>8368</v>
      </c>
    </row>
    <row r="24581">
      <c r="A24581" s="3" t="s">
        <v>40956</v>
      </c>
      <c r="B24581" s="3" t="s">
        <v>20173</v>
      </c>
      <c r="C24581" s="5" t="s">
        <v>221</v>
      </c>
      <c r="D24581" s="3" t="s">
        <v>614</v>
      </c>
      <c r="E24581" s="3" t="s">
        <v>118</v>
      </c>
      <c r="F24581" s="7">
        <v>46218.7480288595</v>
      </c>
      <c r="G24581" s="3" t="s">
        <v>8371</v>
      </c>
    </row>
    <row r="24582">
      <c r="A24582" s="3" t="s">
        <v>40957</v>
      </c>
      <c r="B24582" s="3" t="s">
        <v>20173</v>
      </c>
      <c r="C24582" s="5" t="s">
        <v>614</v>
      </c>
      <c r="D24582" s="3" t="s">
        <v>206</v>
      </c>
      <c r="E24582" s="3" t="s">
        <v>100</v>
      </c>
      <c r="F24582" s="7">
        <v>46218.75150108173</v>
      </c>
      <c r="G24582" s="3" t="s">
        <v>8374</v>
      </c>
    </row>
    <row r="24583">
      <c r="A24583" s="3" t="s">
        <v>40958</v>
      </c>
      <c r="B24583" s="3" t="s">
        <v>20173</v>
      </c>
      <c r="C24583" s="5" t="s">
        <v>206</v>
      </c>
      <c r="D24583" s="3" t="s">
        <v>68</v>
      </c>
      <c r="E24583" s="3" t="s">
        <v>100</v>
      </c>
      <c r="F24583" s="7">
        <v>46218.75497330395</v>
      </c>
      <c r="G24583" s="3" t="s">
        <v>8377</v>
      </c>
    </row>
    <row r="24584">
      <c r="A24584" s="3" t="s">
        <v>40959</v>
      </c>
      <c r="B24584" s="3" t="s">
        <v>20176</v>
      </c>
      <c r="C24584" s="5" t="s">
        <v>45</v>
      </c>
      <c r="D24584" s="3" t="s">
        <v>221</v>
      </c>
      <c r="E24584" s="3" t="s">
        <v>491</v>
      </c>
      <c r="F24584" s="7">
        <v>46218.8157314827</v>
      </c>
      <c r="G24584" s="3" t="s">
        <v>9670</v>
      </c>
    </row>
    <row r="24585">
      <c r="A24585" s="3" t="s">
        <v>40960</v>
      </c>
      <c r="B24585" s="3" t="s">
        <v>20176</v>
      </c>
      <c r="C24585" s="5" t="s">
        <v>221</v>
      </c>
      <c r="D24585" s="3" t="s">
        <v>614</v>
      </c>
      <c r="E24585" s="3" t="s">
        <v>118</v>
      </c>
      <c r="F24585" s="7">
        <v>46218.819203704916</v>
      </c>
      <c r="G24585" s="3" t="s">
        <v>9674</v>
      </c>
    </row>
    <row r="24586">
      <c r="A24586" s="3" t="s">
        <v>40961</v>
      </c>
      <c r="B24586" s="3" t="s">
        <v>20176</v>
      </c>
      <c r="C24586" s="5" t="s">
        <v>614</v>
      </c>
      <c r="D24586" s="3" t="s">
        <v>206</v>
      </c>
      <c r="E24586" s="3" t="s">
        <v>100</v>
      </c>
      <c r="F24586" s="7">
        <v>46218.82267592714</v>
      </c>
      <c r="G24586" s="3" t="s">
        <v>9677</v>
      </c>
    </row>
    <row r="24587">
      <c r="A24587" s="3" t="s">
        <v>40962</v>
      </c>
      <c r="B24587" s="3" t="s">
        <v>20176</v>
      </c>
      <c r="C24587" s="5" t="s">
        <v>206</v>
      </c>
      <c r="D24587" s="3" t="s">
        <v>68</v>
      </c>
      <c r="E24587" s="3" t="s">
        <v>100</v>
      </c>
      <c r="F24587" s="7">
        <v>46218.82614814936</v>
      </c>
      <c r="G24587" s="3" t="s">
        <v>9680</v>
      </c>
    </row>
    <row r="24588">
      <c r="A24588" s="3" t="s">
        <v>40963</v>
      </c>
      <c r="B24588" s="3" t="s">
        <v>20178</v>
      </c>
      <c r="C24588" s="5" t="s">
        <v>45</v>
      </c>
      <c r="D24588" s="3" t="s">
        <v>221</v>
      </c>
      <c r="E24588" s="3" t="s">
        <v>419</v>
      </c>
      <c r="F24588" s="7">
        <v>46218.88690632811</v>
      </c>
      <c r="G24588" s="3" t="s">
        <v>18380</v>
      </c>
    </row>
    <row r="24589">
      <c r="A24589" s="3" t="s">
        <v>40964</v>
      </c>
      <c r="B24589" s="3" t="s">
        <v>20178</v>
      </c>
      <c r="C24589" s="5" t="s">
        <v>221</v>
      </c>
      <c r="D24589" s="3" t="s">
        <v>614</v>
      </c>
      <c r="E24589" s="3" t="s">
        <v>118</v>
      </c>
      <c r="F24589" s="7">
        <v>46218.89037855033</v>
      </c>
      <c r="G24589" s="3" t="s">
        <v>18383</v>
      </c>
    </row>
    <row r="24590">
      <c r="A24590" s="3" t="s">
        <v>40965</v>
      </c>
      <c r="B24590" s="3" t="s">
        <v>20178</v>
      </c>
      <c r="C24590" s="5" t="s">
        <v>614</v>
      </c>
      <c r="D24590" s="3" t="s">
        <v>206</v>
      </c>
      <c r="E24590" s="3" t="s">
        <v>100</v>
      </c>
      <c r="F24590" s="7">
        <v>46218.893850772554</v>
      </c>
      <c r="G24590" s="3" t="s">
        <v>18386</v>
      </c>
    </row>
    <row r="24591">
      <c r="A24591" s="3" t="s">
        <v>40966</v>
      </c>
      <c r="B24591" s="3" t="s">
        <v>20178</v>
      </c>
      <c r="C24591" s="5" t="s">
        <v>206</v>
      </c>
      <c r="D24591" s="3" t="s">
        <v>68</v>
      </c>
      <c r="E24591" s="3" t="s">
        <v>100</v>
      </c>
      <c r="F24591" s="7">
        <v>46218.89732299477</v>
      </c>
      <c r="G24591" s="3" t="s">
        <v>18389</v>
      </c>
    </row>
    <row r="24592">
      <c r="A24592" s="3" t="s">
        <v>40967</v>
      </c>
      <c r="B24592" s="3" t="s">
        <v>20181</v>
      </c>
      <c r="C24592" s="5" t="s">
        <v>45</v>
      </c>
      <c r="D24592" s="3" t="s">
        <v>221</v>
      </c>
      <c r="E24592" s="3" t="s">
        <v>430</v>
      </c>
      <c r="F24592" s="7">
        <v>46218.95808117353</v>
      </c>
      <c r="G24592" s="3" t="s">
        <v>12983</v>
      </c>
    </row>
    <row r="24593">
      <c r="A24593" s="3" t="s">
        <v>40968</v>
      </c>
      <c r="B24593" s="3" t="s">
        <v>20181</v>
      </c>
      <c r="C24593" s="5" t="s">
        <v>221</v>
      </c>
      <c r="D24593" s="3" t="s">
        <v>614</v>
      </c>
      <c r="E24593" s="3" t="s">
        <v>118</v>
      </c>
      <c r="F24593" s="7">
        <v>46218.96155339575</v>
      </c>
      <c r="G24593" s="3" t="s">
        <v>14998</v>
      </c>
    </row>
    <row r="24594">
      <c r="A24594" s="3" t="s">
        <v>40969</v>
      </c>
      <c r="B24594" s="3" t="s">
        <v>20181</v>
      </c>
      <c r="C24594" s="5" t="s">
        <v>614</v>
      </c>
      <c r="D24594" s="3" t="s">
        <v>206</v>
      </c>
      <c r="E24594" s="3" t="s">
        <v>100</v>
      </c>
      <c r="F24594" s="7">
        <v>46218.965025617974</v>
      </c>
      <c r="G24594" s="3" t="s">
        <v>15001</v>
      </c>
    </row>
    <row r="24595">
      <c r="A24595" s="3" t="s">
        <v>40970</v>
      </c>
      <c r="B24595" s="3" t="s">
        <v>20181</v>
      </c>
      <c r="C24595" s="5" t="s">
        <v>206</v>
      </c>
      <c r="D24595" s="3" t="s">
        <v>68</v>
      </c>
      <c r="E24595" s="3" t="s">
        <v>100</v>
      </c>
      <c r="F24595" s="7">
        <v>46218.96849784019</v>
      </c>
      <c r="G24595" s="3" t="s">
        <v>15004</v>
      </c>
    </row>
    <row r="24596">
      <c r="A24596" s="3" t="s">
        <v>40971</v>
      </c>
      <c r="B24596" s="3" t="s">
        <v>20184</v>
      </c>
      <c r="C24596" s="5" t="s">
        <v>45</v>
      </c>
      <c r="D24596" s="3" t="s">
        <v>221</v>
      </c>
      <c r="E24596" s="3" t="s">
        <v>848</v>
      </c>
      <c r="F24596" s="7">
        <v>46219.02925601895</v>
      </c>
      <c r="G24596" s="3" t="s">
        <v>8391</v>
      </c>
    </row>
    <row r="24597">
      <c r="A24597" s="3" t="s">
        <v>40972</v>
      </c>
      <c r="B24597" s="3" t="s">
        <v>20184</v>
      </c>
      <c r="C24597" s="5" t="s">
        <v>221</v>
      </c>
      <c r="D24597" s="3" t="s">
        <v>614</v>
      </c>
      <c r="E24597" s="3" t="s">
        <v>118</v>
      </c>
      <c r="F24597" s="7">
        <v>46219.03272824117</v>
      </c>
      <c r="G24597" s="3" t="s">
        <v>8394</v>
      </c>
    </row>
    <row r="24598">
      <c r="A24598" s="3" t="s">
        <v>40973</v>
      </c>
      <c r="B24598" s="3" t="s">
        <v>20184</v>
      </c>
      <c r="C24598" s="5" t="s">
        <v>614</v>
      </c>
      <c r="D24598" s="3" t="s">
        <v>206</v>
      </c>
      <c r="E24598" s="3" t="s">
        <v>100</v>
      </c>
      <c r="F24598" s="7">
        <v>46219.03620046339</v>
      </c>
      <c r="G24598" s="3" t="s">
        <v>8396</v>
      </c>
    </row>
    <row r="24599">
      <c r="A24599" s="3" t="s">
        <v>40974</v>
      </c>
      <c r="B24599" s="3" t="s">
        <v>20184</v>
      </c>
      <c r="C24599" s="5" t="s">
        <v>206</v>
      </c>
      <c r="D24599" s="3" t="s">
        <v>68</v>
      </c>
      <c r="E24599" s="3" t="s">
        <v>100</v>
      </c>
      <c r="F24599" s="7">
        <v>46219.03967268561</v>
      </c>
      <c r="G24599" s="3" t="s">
        <v>8399</v>
      </c>
    </row>
    <row r="24600">
      <c r="A24600" s="3" t="s">
        <v>40975</v>
      </c>
      <c r="B24600" s="3" t="s">
        <v>20188</v>
      </c>
      <c r="C24600" s="5" t="s">
        <v>45</v>
      </c>
      <c r="D24600" s="3" t="s">
        <v>221</v>
      </c>
      <c r="E24600" s="3" t="s">
        <v>322</v>
      </c>
      <c r="F24600" s="7">
        <v>46219.10043086435</v>
      </c>
      <c r="G24600" s="3" t="s">
        <v>6498</v>
      </c>
    </row>
    <row r="24601">
      <c r="A24601" s="3" t="s">
        <v>40976</v>
      </c>
      <c r="B24601" s="3" t="s">
        <v>20188</v>
      </c>
      <c r="C24601" s="5" t="s">
        <v>221</v>
      </c>
      <c r="D24601" s="3" t="s">
        <v>181</v>
      </c>
      <c r="E24601" s="3" t="s">
        <v>118</v>
      </c>
      <c r="F24601" s="7">
        <v>46219.10390308657</v>
      </c>
      <c r="G24601" s="3" t="s">
        <v>39755</v>
      </c>
    </row>
    <row r="24602">
      <c r="A24602" s="3" t="s">
        <v>40977</v>
      </c>
      <c r="B24602" s="3" t="s">
        <v>20192</v>
      </c>
      <c r="C24602" s="5" t="s">
        <v>45</v>
      </c>
      <c r="D24602" s="3" t="s">
        <v>221</v>
      </c>
      <c r="E24602" s="3" t="s">
        <v>770</v>
      </c>
      <c r="F24602" s="7">
        <v>46219.17160570977</v>
      </c>
      <c r="G24602" s="3" t="s">
        <v>8987</v>
      </c>
    </row>
    <row r="24603">
      <c r="A24603" s="3" t="s">
        <v>40978</v>
      </c>
      <c r="B24603" s="3" t="s">
        <v>20192</v>
      </c>
      <c r="C24603" s="5" t="s">
        <v>221</v>
      </c>
      <c r="D24603" s="3" t="s">
        <v>181</v>
      </c>
      <c r="E24603" s="3" t="s">
        <v>118</v>
      </c>
      <c r="F24603" s="7">
        <v>46219.17507793199</v>
      </c>
      <c r="G24603" s="3" t="s">
        <v>18082</v>
      </c>
    </row>
    <row r="24604">
      <c r="A24604" s="3" t="s">
        <v>40979</v>
      </c>
      <c r="B24604" s="3" t="s">
        <v>20195</v>
      </c>
      <c r="C24604" s="5" t="s">
        <v>45</v>
      </c>
      <c r="D24604" s="3" t="s">
        <v>221</v>
      </c>
      <c r="E24604" s="3" t="s">
        <v>1049</v>
      </c>
      <c r="F24604" s="7">
        <v>46219.24278055519</v>
      </c>
      <c r="G24604" s="3" t="s">
        <v>8402</v>
      </c>
    </row>
    <row r="24605">
      <c r="A24605" s="3" t="s">
        <v>40980</v>
      </c>
      <c r="B24605" s="3" t="s">
        <v>20195</v>
      </c>
      <c r="C24605" s="5" t="s">
        <v>221</v>
      </c>
      <c r="D24605" s="3" t="s">
        <v>614</v>
      </c>
      <c r="E24605" s="3" t="s">
        <v>118</v>
      </c>
      <c r="F24605" s="7">
        <v>46219.24625277741</v>
      </c>
      <c r="G24605" s="3" t="s">
        <v>8405</v>
      </c>
    </row>
    <row r="24606">
      <c r="A24606" s="3" t="s">
        <v>40981</v>
      </c>
      <c r="B24606" s="3" t="s">
        <v>20195</v>
      </c>
      <c r="C24606" s="5" t="s">
        <v>614</v>
      </c>
      <c r="D24606" s="3" t="s">
        <v>206</v>
      </c>
      <c r="E24606" s="3" t="s">
        <v>100</v>
      </c>
      <c r="F24606" s="7">
        <v>46219.24972499964</v>
      </c>
      <c r="G24606" s="3" t="s">
        <v>8408</v>
      </c>
    </row>
    <row r="24607">
      <c r="A24607" s="3" t="s">
        <v>40982</v>
      </c>
      <c r="B24607" s="3" t="s">
        <v>20195</v>
      </c>
      <c r="C24607" s="5" t="s">
        <v>206</v>
      </c>
      <c r="D24607" s="3" t="s">
        <v>68</v>
      </c>
      <c r="E24607" s="3" t="s">
        <v>100</v>
      </c>
      <c r="F24607" s="7">
        <v>46219.25319722186</v>
      </c>
      <c r="G24607" s="3" t="s">
        <v>8411</v>
      </c>
    </row>
    <row r="24608">
      <c r="A24608" s="3" t="s">
        <v>40983</v>
      </c>
      <c r="B24608" s="3" t="s">
        <v>20198</v>
      </c>
      <c r="C24608" s="5" t="s">
        <v>45</v>
      </c>
      <c r="D24608" s="3" t="s">
        <v>221</v>
      </c>
      <c r="E24608" s="3" t="s">
        <v>731</v>
      </c>
      <c r="F24608" s="7">
        <v>46219.313955400605</v>
      </c>
      <c r="G24608" s="3" t="s">
        <v>17592</v>
      </c>
    </row>
    <row r="24609">
      <c r="A24609" s="3" t="s">
        <v>40984</v>
      </c>
      <c r="B24609" s="3" t="s">
        <v>20198</v>
      </c>
      <c r="C24609" s="5" t="s">
        <v>221</v>
      </c>
      <c r="D24609" s="3" t="s">
        <v>614</v>
      </c>
      <c r="E24609" s="3" t="s">
        <v>118</v>
      </c>
      <c r="F24609" s="7">
        <v>46219.317427622824</v>
      </c>
      <c r="G24609" s="3" t="s">
        <v>19466</v>
      </c>
    </row>
    <row r="24610">
      <c r="A24610" s="3" t="s">
        <v>40985</v>
      </c>
      <c r="B24610" s="3" t="s">
        <v>20198</v>
      </c>
      <c r="C24610" s="5" t="s">
        <v>614</v>
      </c>
      <c r="D24610" s="3" t="s">
        <v>206</v>
      </c>
      <c r="E24610" s="3" t="s">
        <v>100</v>
      </c>
      <c r="F24610" s="7">
        <v>46219.32089984505</v>
      </c>
      <c r="G24610" s="3" t="s">
        <v>19469</v>
      </c>
    </row>
    <row r="24611">
      <c r="A24611" s="3" t="s">
        <v>40986</v>
      </c>
      <c r="B24611" s="3" t="s">
        <v>20198</v>
      </c>
      <c r="C24611" s="5" t="s">
        <v>206</v>
      </c>
      <c r="D24611" s="3" t="s">
        <v>68</v>
      </c>
      <c r="E24611" s="3" t="s">
        <v>100</v>
      </c>
      <c r="F24611" s="7">
        <v>46219.32437206727</v>
      </c>
      <c r="G24611" s="3" t="s">
        <v>19472</v>
      </c>
    </row>
    <row r="24612">
      <c r="A24612" s="3" t="s">
        <v>40987</v>
      </c>
      <c r="B24612" s="3" t="s">
        <v>20200</v>
      </c>
      <c r="C24612" s="5" t="s">
        <v>45</v>
      </c>
      <c r="D24612" s="3" t="s">
        <v>221</v>
      </c>
      <c r="E24612" s="3" t="s">
        <v>466</v>
      </c>
      <c r="F24612" s="7">
        <v>46219.38513024602</v>
      </c>
      <c r="G24612" s="3" t="s">
        <v>27299</v>
      </c>
    </row>
    <row r="24613">
      <c r="A24613" s="3" t="s">
        <v>40988</v>
      </c>
      <c r="B24613" s="3" t="s">
        <v>20200</v>
      </c>
      <c r="C24613" s="5" t="s">
        <v>221</v>
      </c>
      <c r="D24613" s="3" t="s">
        <v>181</v>
      </c>
      <c r="E24613" s="3" t="s">
        <v>118</v>
      </c>
      <c r="F24613" s="7">
        <v>46219.388602468236</v>
      </c>
      <c r="G24613" s="3" t="s">
        <v>40989</v>
      </c>
    </row>
    <row r="24614">
      <c r="A24614" s="3" t="s">
        <v>40990</v>
      </c>
      <c r="B24614" s="3" t="s">
        <v>20202</v>
      </c>
      <c r="C24614" s="5" t="s">
        <v>45</v>
      </c>
      <c r="D24614" s="3" t="s">
        <v>221</v>
      </c>
      <c r="E24614" s="3" t="s">
        <v>1037</v>
      </c>
      <c r="F24614" s="7">
        <v>46219.45630509144</v>
      </c>
      <c r="G24614" s="3" t="s">
        <v>8414</v>
      </c>
    </row>
    <row r="24615">
      <c r="A24615" s="3" t="s">
        <v>40991</v>
      </c>
      <c r="B24615" s="3" t="s">
        <v>20202</v>
      </c>
      <c r="C24615" s="5" t="s">
        <v>221</v>
      </c>
      <c r="D24615" s="3" t="s">
        <v>614</v>
      </c>
      <c r="E24615" s="3" t="s">
        <v>118</v>
      </c>
      <c r="F24615" s="7">
        <v>46219.459777313656</v>
      </c>
      <c r="G24615" s="3" t="s">
        <v>8416</v>
      </c>
    </row>
    <row r="24616">
      <c r="A24616" s="3" t="s">
        <v>40992</v>
      </c>
      <c r="B24616" s="3" t="s">
        <v>20202</v>
      </c>
      <c r="C24616" s="5" t="s">
        <v>614</v>
      </c>
      <c r="D24616" s="3" t="s">
        <v>206</v>
      </c>
      <c r="E24616" s="3" t="s">
        <v>100</v>
      </c>
      <c r="F24616" s="7">
        <v>46219.46324953588</v>
      </c>
      <c r="G24616" s="3" t="s">
        <v>8419</v>
      </c>
    </row>
    <row r="24617">
      <c r="A24617" s="3" t="s">
        <v>40993</v>
      </c>
      <c r="B24617" s="3" t="s">
        <v>20202</v>
      </c>
      <c r="C24617" s="5" t="s">
        <v>206</v>
      </c>
      <c r="D24617" s="3" t="s">
        <v>68</v>
      </c>
      <c r="E24617" s="3" t="s">
        <v>100</v>
      </c>
      <c r="F24617" s="7">
        <v>46219.4667217581</v>
      </c>
      <c r="G24617" s="3" t="s">
        <v>8422</v>
      </c>
    </row>
    <row r="24618">
      <c r="A24618" s="3" t="s">
        <v>40994</v>
      </c>
      <c r="B24618" s="3" t="s">
        <v>20205</v>
      </c>
      <c r="C24618" s="5" t="s">
        <v>45</v>
      </c>
      <c r="D24618" s="3" t="s">
        <v>221</v>
      </c>
      <c r="E24618" s="3" t="s">
        <v>841</v>
      </c>
      <c r="F24618" s="7">
        <v>46219.52747993685</v>
      </c>
      <c r="G24618" s="3" t="s">
        <v>10844</v>
      </c>
    </row>
    <row r="24619">
      <c r="A24619" s="3" t="s">
        <v>40995</v>
      </c>
      <c r="B24619" s="3" t="s">
        <v>20205</v>
      </c>
      <c r="C24619" s="5" t="s">
        <v>221</v>
      </c>
      <c r="D24619" s="3" t="s">
        <v>614</v>
      </c>
      <c r="E24619" s="3" t="s">
        <v>118</v>
      </c>
      <c r="F24619" s="7">
        <v>46219.53095215907</v>
      </c>
      <c r="G24619" s="3" t="s">
        <v>10847</v>
      </c>
    </row>
    <row r="24620">
      <c r="A24620" s="3" t="s">
        <v>40996</v>
      </c>
      <c r="B24620" s="3" t="s">
        <v>20205</v>
      </c>
      <c r="C24620" s="5" t="s">
        <v>614</v>
      </c>
      <c r="D24620" s="3" t="s">
        <v>206</v>
      </c>
      <c r="E24620" s="3" t="s">
        <v>100</v>
      </c>
      <c r="F24620" s="7">
        <v>46219.534424381294</v>
      </c>
      <c r="G24620" s="3" t="s">
        <v>10850</v>
      </c>
    </row>
    <row r="24621">
      <c r="A24621" s="3" t="s">
        <v>40997</v>
      </c>
      <c r="B24621" s="3" t="s">
        <v>20205</v>
      </c>
      <c r="C24621" s="5" t="s">
        <v>206</v>
      </c>
      <c r="D24621" s="3" t="s">
        <v>68</v>
      </c>
      <c r="E24621" s="3" t="s">
        <v>100</v>
      </c>
      <c r="F24621" s="7">
        <v>46219.53789660351</v>
      </c>
      <c r="G24621" s="3" t="s">
        <v>10853</v>
      </c>
    </row>
    <row r="24622">
      <c r="A24622" s="3" t="s">
        <v>40998</v>
      </c>
      <c r="B24622" s="3" t="s">
        <v>20207</v>
      </c>
      <c r="C24622" s="5" t="s">
        <v>45</v>
      </c>
      <c r="D24622" s="3" t="s">
        <v>221</v>
      </c>
      <c r="E24622" s="3" t="s">
        <v>165</v>
      </c>
      <c r="F24622" s="7">
        <v>46219.59865478226</v>
      </c>
      <c r="G24622" s="3" t="s">
        <v>8676</v>
      </c>
    </row>
    <row r="24623">
      <c r="A24623" s="3" t="s">
        <v>40999</v>
      </c>
      <c r="B24623" s="3" t="s">
        <v>20207</v>
      </c>
      <c r="C24623" s="5" t="s">
        <v>221</v>
      </c>
      <c r="D24623" s="3" t="s">
        <v>614</v>
      </c>
      <c r="E24623" s="3" t="s">
        <v>118</v>
      </c>
      <c r="F24623" s="7">
        <v>46219.60212700448</v>
      </c>
      <c r="G24623" s="3" t="s">
        <v>8679</v>
      </c>
    </row>
    <row r="24624">
      <c r="A24624" s="3" t="s">
        <v>41000</v>
      </c>
      <c r="B24624" s="3" t="s">
        <v>20207</v>
      </c>
      <c r="C24624" s="5" t="s">
        <v>614</v>
      </c>
      <c r="D24624" s="3" t="s">
        <v>206</v>
      </c>
      <c r="E24624" s="3" t="s">
        <v>100</v>
      </c>
      <c r="F24624" s="7">
        <v>46219.60559922671</v>
      </c>
      <c r="G24624" s="3" t="s">
        <v>8682</v>
      </c>
    </row>
    <row r="24625">
      <c r="A24625" s="3" t="s">
        <v>41001</v>
      </c>
      <c r="B24625" s="3" t="s">
        <v>20207</v>
      </c>
      <c r="C24625" s="5" t="s">
        <v>206</v>
      </c>
      <c r="D24625" s="3" t="s">
        <v>68</v>
      </c>
      <c r="E24625" s="3" t="s">
        <v>100</v>
      </c>
      <c r="F24625" s="7">
        <v>46219.609071448926</v>
      </c>
      <c r="G24625" s="3" t="s">
        <v>8685</v>
      </c>
    </row>
    <row r="24626">
      <c r="A24626" s="3" t="s">
        <v>41002</v>
      </c>
      <c r="B24626" s="3" t="s">
        <v>20209</v>
      </c>
      <c r="C24626" s="5" t="s">
        <v>45</v>
      </c>
      <c r="D24626" s="3" t="s">
        <v>221</v>
      </c>
      <c r="E24626" s="3" t="s">
        <v>811</v>
      </c>
      <c r="F24626" s="7">
        <v>46219.66982962768</v>
      </c>
      <c r="G24626" s="3" t="s">
        <v>8424</v>
      </c>
    </row>
    <row r="24627">
      <c r="A24627" s="3" t="s">
        <v>41003</v>
      </c>
      <c r="B24627" s="3" t="s">
        <v>20209</v>
      </c>
      <c r="C24627" s="5" t="s">
        <v>221</v>
      </c>
      <c r="D24627" s="3" t="s">
        <v>614</v>
      </c>
      <c r="E24627" s="3" t="s">
        <v>118</v>
      </c>
      <c r="F24627" s="7">
        <v>46219.6733018499</v>
      </c>
      <c r="G24627" s="3" t="s">
        <v>8427</v>
      </c>
    </row>
    <row r="24628">
      <c r="A24628" s="3" t="s">
        <v>41004</v>
      </c>
      <c r="B24628" s="3" t="s">
        <v>20209</v>
      </c>
      <c r="C24628" s="5" t="s">
        <v>614</v>
      </c>
      <c r="D24628" s="3" t="s">
        <v>206</v>
      </c>
      <c r="E24628" s="3" t="s">
        <v>100</v>
      </c>
      <c r="F24628" s="7">
        <v>46219.676774072126</v>
      </c>
      <c r="G24628" s="3" t="s">
        <v>8430</v>
      </c>
    </row>
    <row r="24629">
      <c r="A24629" s="3" t="s">
        <v>41005</v>
      </c>
      <c r="B24629" s="3" t="s">
        <v>20209</v>
      </c>
      <c r="C24629" s="5" t="s">
        <v>206</v>
      </c>
      <c r="D24629" s="3" t="s">
        <v>68</v>
      </c>
      <c r="E24629" s="3" t="s">
        <v>100</v>
      </c>
      <c r="F24629" s="7">
        <v>46219.680246294345</v>
      </c>
      <c r="G24629" s="3" t="s">
        <v>8433</v>
      </c>
    </row>
    <row r="24630">
      <c r="A24630" s="3" t="s">
        <v>41006</v>
      </c>
      <c r="B24630" s="3" t="s">
        <v>20211</v>
      </c>
      <c r="C24630" s="5" t="s">
        <v>45</v>
      </c>
      <c r="D24630" s="3" t="s">
        <v>221</v>
      </c>
      <c r="E24630" s="3" t="s">
        <v>256</v>
      </c>
      <c r="F24630" s="7">
        <v>46219.74100447309</v>
      </c>
      <c r="G24630" s="3" t="s">
        <v>25813</v>
      </c>
    </row>
    <row r="24631">
      <c r="A24631" s="3" t="s">
        <v>41007</v>
      </c>
      <c r="B24631" s="3" t="s">
        <v>20211</v>
      </c>
      <c r="C24631" s="5" t="s">
        <v>221</v>
      </c>
      <c r="D24631" s="3" t="s">
        <v>614</v>
      </c>
      <c r="E24631" s="3" t="s">
        <v>118</v>
      </c>
      <c r="F24631" s="7">
        <v>46219.74447669531</v>
      </c>
      <c r="G24631" s="3" t="s">
        <v>27432</v>
      </c>
    </row>
    <row r="24632">
      <c r="A24632" s="3" t="s">
        <v>41008</v>
      </c>
      <c r="B24632" s="3" t="s">
        <v>20211</v>
      </c>
      <c r="C24632" s="5" t="s">
        <v>614</v>
      </c>
      <c r="D24632" s="3" t="s">
        <v>206</v>
      </c>
      <c r="E24632" s="3" t="s">
        <v>100</v>
      </c>
      <c r="F24632" s="7">
        <v>46219.74794891754</v>
      </c>
      <c r="G24632" s="3" t="s">
        <v>27434</v>
      </c>
    </row>
    <row r="24633">
      <c r="A24633" s="3" t="s">
        <v>41009</v>
      </c>
      <c r="B24633" s="3" t="s">
        <v>20211</v>
      </c>
      <c r="C24633" s="5" t="s">
        <v>206</v>
      </c>
      <c r="D24633" s="3" t="s">
        <v>68</v>
      </c>
      <c r="E24633" s="3" t="s">
        <v>100</v>
      </c>
      <c r="F24633" s="7">
        <v>46219.75142113976</v>
      </c>
      <c r="G24633" s="3" t="s">
        <v>27436</v>
      </c>
    </row>
    <row r="24634">
      <c r="A24634" s="3" t="s">
        <v>41010</v>
      </c>
      <c r="B24634" s="3" t="s">
        <v>20213</v>
      </c>
      <c r="C24634" s="5" t="s">
        <v>45</v>
      </c>
      <c r="D24634" s="3" t="s">
        <v>221</v>
      </c>
      <c r="E24634" s="3" t="s">
        <v>805</v>
      </c>
      <c r="F24634" s="7">
        <v>46219.812179318506</v>
      </c>
      <c r="G24634" s="3" t="s">
        <v>8436</v>
      </c>
    </row>
    <row r="24635">
      <c r="A24635" s="3" t="s">
        <v>41011</v>
      </c>
      <c r="B24635" s="3" t="s">
        <v>20213</v>
      </c>
      <c r="C24635" s="5" t="s">
        <v>221</v>
      </c>
      <c r="D24635" s="3" t="s">
        <v>614</v>
      </c>
      <c r="E24635" s="3" t="s">
        <v>118</v>
      </c>
      <c r="F24635" s="7">
        <v>46219.815651540725</v>
      </c>
      <c r="G24635" s="3" t="s">
        <v>8439</v>
      </c>
    </row>
    <row r="24636">
      <c r="A24636" s="3" t="s">
        <v>41012</v>
      </c>
      <c r="B24636" s="3" t="s">
        <v>20213</v>
      </c>
      <c r="C24636" s="5" t="s">
        <v>614</v>
      </c>
      <c r="D24636" s="3" t="s">
        <v>206</v>
      </c>
      <c r="E24636" s="3" t="s">
        <v>100</v>
      </c>
      <c r="F24636" s="7">
        <v>46219.81912376295</v>
      </c>
      <c r="G24636" s="3" t="s">
        <v>8442</v>
      </c>
    </row>
    <row r="24637">
      <c r="A24637" s="3" t="s">
        <v>41013</v>
      </c>
      <c r="B24637" s="3" t="s">
        <v>20213</v>
      </c>
      <c r="C24637" s="5" t="s">
        <v>206</v>
      </c>
      <c r="D24637" s="3" t="s">
        <v>68</v>
      </c>
      <c r="E24637" s="3" t="s">
        <v>100</v>
      </c>
      <c r="F24637" s="7">
        <v>46219.82259598517</v>
      </c>
      <c r="G24637" s="3" t="s">
        <v>8444</v>
      </c>
    </row>
    <row r="24638">
      <c r="A24638" s="3" t="s">
        <v>41014</v>
      </c>
      <c r="B24638" s="3" t="s">
        <v>20217</v>
      </c>
      <c r="C24638" s="5" t="s">
        <v>45</v>
      </c>
      <c r="D24638" s="3" t="s">
        <v>221</v>
      </c>
      <c r="E24638" s="3" t="s">
        <v>239</v>
      </c>
      <c r="F24638" s="7">
        <v>46219.883354163925</v>
      </c>
      <c r="G24638" s="3" t="s">
        <v>4712</v>
      </c>
    </row>
    <row r="24639">
      <c r="A24639" s="3" t="s">
        <v>41015</v>
      </c>
      <c r="B24639" s="3" t="s">
        <v>20217</v>
      </c>
      <c r="C24639" s="5" t="s">
        <v>221</v>
      </c>
      <c r="D24639" s="3" t="s">
        <v>614</v>
      </c>
      <c r="E24639" s="3" t="s">
        <v>118</v>
      </c>
      <c r="F24639" s="7">
        <v>46219.886826386144</v>
      </c>
      <c r="G24639" s="3" t="s">
        <v>4715</v>
      </c>
    </row>
    <row r="24640">
      <c r="A24640" s="3" t="s">
        <v>41016</v>
      </c>
      <c r="B24640" s="3" t="s">
        <v>20217</v>
      </c>
      <c r="C24640" s="5" t="s">
        <v>614</v>
      </c>
      <c r="D24640" s="3" t="s">
        <v>206</v>
      </c>
      <c r="E24640" s="3" t="s">
        <v>100</v>
      </c>
      <c r="F24640" s="7">
        <v>46219.89029860837</v>
      </c>
      <c r="G24640" s="3" t="s">
        <v>4718</v>
      </c>
    </row>
    <row r="24641">
      <c r="A24641" s="3" t="s">
        <v>41017</v>
      </c>
      <c r="B24641" s="3" t="s">
        <v>20217</v>
      </c>
      <c r="C24641" s="5" t="s">
        <v>206</v>
      </c>
      <c r="D24641" s="3" t="s">
        <v>68</v>
      </c>
      <c r="E24641" s="3" t="s">
        <v>100</v>
      </c>
      <c r="F24641" s="7">
        <v>46219.89377083059</v>
      </c>
      <c r="G24641" s="3" t="s">
        <v>4721</v>
      </c>
    </row>
    <row r="24642">
      <c r="A24642" s="3" t="s">
        <v>41018</v>
      </c>
      <c r="B24642" s="3" t="s">
        <v>20219</v>
      </c>
      <c r="C24642" s="5" t="s">
        <v>45</v>
      </c>
      <c r="D24642" s="3" t="s">
        <v>221</v>
      </c>
      <c r="E24642" s="3" t="s">
        <v>510</v>
      </c>
      <c r="F24642" s="7">
        <v>46219.95452900934</v>
      </c>
      <c r="G24642" s="3" t="s">
        <v>16492</v>
      </c>
    </row>
    <row r="24643">
      <c r="A24643" s="3" t="s">
        <v>41019</v>
      </c>
      <c r="B24643" s="3" t="s">
        <v>20219</v>
      </c>
      <c r="C24643" s="5" t="s">
        <v>221</v>
      </c>
      <c r="D24643" s="3" t="s">
        <v>614</v>
      </c>
      <c r="E24643" s="3" t="s">
        <v>118</v>
      </c>
      <c r="F24643" s="7">
        <v>46219.95800123156</v>
      </c>
      <c r="G24643" s="3" t="s">
        <v>16495</v>
      </c>
    </row>
    <row r="24644">
      <c r="A24644" s="3" t="s">
        <v>41020</v>
      </c>
      <c r="B24644" s="3" t="s">
        <v>20219</v>
      </c>
      <c r="C24644" s="5" t="s">
        <v>614</v>
      </c>
      <c r="D24644" s="3" t="s">
        <v>206</v>
      </c>
      <c r="E24644" s="3" t="s">
        <v>100</v>
      </c>
      <c r="F24644" s="7">
        <v>46219.96147345378</v>
      </c>
      <c r="G24644" s="3" t="s">
        <v>16498</v>
      </c>
    </row>
    <row r="24645">
      <c r="A24645" s="3" t="s">
        <v>41021</v>
      </c>
      <c r="B24645" s="3" t="s">
        <v>20219</v>
      </c>
      <c r="C24645" s="5" t="s">
        <v>206</v>
      </c>
      <c r="D24645" s="3" t="s">
        <v>68</v>
      </c>
      <c r="E24645" s="3" t="s">
        <v>100</v>
      </c>
      <c r="F24645" s="7">
        <v>46219.964945676</v>
      </c>
      <c r="G24645" s="3" t="s">
        <v>16501</v>
      </c>
    </row>
    <row r="24646">
      <c r="A24646" s="3" t="s">
        <v>41022</v>
      </c>
      <c r="B24646" s="3" t="s">
        <v>20221</v>
      </c>
      <c r="C24646" s="5" t="s">
        <v>45</v>
      </c>
      <c r="D24646" s="3" t="s">
        <v>221</v>
      </c>
      <c r="E24646" s="3" t="s">
        <v>204</v>
      </c>
      <c r="F24646" s="7">
        <v>46220.02570385475</v>
      </c>
      <c r="G24646" s="3" t="s">
        <v>24654</v>
      </c>
    </row>
    <row r="24647">
      <c r="A24647" s="3" t="s">
        <v>41023</v>
      </c>
      <c r="B24647" s="3" t="s">
        <v>20221</v>
      </c>
      <c r="C24647" s="5" t="s">
        <v>221</v>
      </c>
      <c r="D24647" s="3" t="s">
        <v>614</v>
      </c>
      <c r="E24647" s="3" t="s">
        <v>118</v>
      </c>
      <c r="F24647" s="7">
        <v>46220.02917607697</v>
      </c>
      <c r="G24647" s="3" t="s">
        <v>27459</v>
      </c>
    </row>
    <row r="24648">
      <c r="A24648" s="3" t="s">
        <v>41024</v>
      </c>
      <c r="B24648" s="3" t="s">
        <v>20221</v>
      </c>
      <c r="C24648" s="5" t="s">
        <v>614</v>
      </c>
      <c r="D24648" s="3" t="s">
        <v>206</v>
      </c>
      <c r="E24648" s="3" t="s">
        <v>100</v>
      </c>
      <c r="F24648" s="7">
        <v>46220.032648299195</v>
      </c>
      <c r="G24648" s="3" t="s">
        <v>27461</v>
      </c>
    </row>
    <row r="24649">
      <c r="A24649" s="3" t="s">
        <v>41025</v>
      </c>
      <c r="B24649" s="3" t="s">
        <v>20221</v>
      </c>
      <c r="C24649" s="5" t="s">
        <v>206</v>
      </c>
      <c r="D24649" s="3" t="s">
        <v>68</v>
      </c>
      <c r="E24649" s="3" t="s">
        <v>100</v>
      </c>
      <c r="F24649" s="7">
        <v>46220.036120521414</v>
      </c>
      <c r="G24649" s="3" t="s">
        <v>27463</v>
      </c>
    </row>
    <row r="24650">
      <c r="A24650" s="3" t="s">
        <v>41026</v>
      </c>
      <c r="B24650" s="3" t="s">
        <v>20224</v>
      </c>
      <c r="C24650" s="5" t="s">
        <v>45</v>
      </c>
      <c r="D24650" s="3" t="s">
        <v>221</v>
      </c>
      <c r="E24650" s="3" t="s">
        <v>326</v>
      </c>
      <c r="F24650" s="7">
        <v>46220.09687870017</v>
      </c>
      <c r="G24650" s="3" t="s">
        <v>8447</v>
      </c>
    </row>
    <row r="24651">
      <c r="A24651" s="3" t="s">
        <v>41027</v>
      </c>
      <c r="B24651" s="3" t="s">
        <v>20224</v>
      </c>
      <c r="C24651" s="5" t="s">
        <v>221</v>
      </c>
      <c r="D24651" s="3" t="s">
        <v>614</v>
      </c>
      <c r="E24651" s="3" t="s">
        <v>118</v>
      </c>
      <c r="F24651" s="7">
        <v>46220.10035092239</v>
      </c>
      <c r="G24651" s="3" t="s">
        <v>8450</v>
      </c>
    </row>
    <row r="24652">
      <c r="A24652" s="3" t="s">
        <v>41028</v>
      </c>
      <c r="B24652" s="3" t="s">
        <v>20224</v>
      </c>
      <c r="C24652" s="5" t="s">
        <v>614</v>
      </c>
      <c r="D24652" s="3" t="s">
        <v>206</v>
      </c>
      <c r="E24652" s="3" t="s">
        <v>100</v>
      </c>
      <c r="F24652" s="7">
        <v>46220.103823144615</v>
      </c>
      <c r="G24652" s="3" t="s">
        <v>8453</v>
      </c>
    </row>
    <row r="24653">
      <c r="A24653" s="3" t="s">
        <v>41029</v>
      </c>
      <c r="B24653" s="3" t="s">
        <v>20224</v>
      </c>
      <c r="C24653" s="5" t="s">
        <v>206</v>
      </c>
      <c r="D24653" s="3" t="s">
        <v>68</v>
      </c>
      <c r="E24653" s="3" t="s">
        <v>100</v>
      </c>
      <c r="F24653" s="7">
        <v>46220.10729536683</v>
      </c>
      <c r="G24653" s="3" t="s">
        <v>8456</v>
      </c>
    </row>
    <row r="24654">
      <c r="A24654" s="3" t="s">
        <v>41030</v>
      </c>
      <c r="B24654" s="3" t="s">
        <v>20226</v>
      </c>
      <c r="C24654" s="5" t="s">
        <v>45</v>
      </c>
      <c r="D24654" s="3" t="s">
        <v>221</v>
      </c>
      <c r="E24654" s="3" t="s">
        <v>731</v>
      </c>
      <c r="F24654" s="7">
        <v>46220.16805354559</v>
      </c>
      <c r="G24654" s="3" t="s">
        <v>24197</v>
      </c>
    </row>
    <row r="24655">
      <c r="A24655" s="3" t="s">
        <v>41031</v>
      </c>
      <c r="B24655" s="3" t="s">
        <v>20226</v>
      </c>
      <c r="C24655" s="5" t="s">
        <v>221</v>
      </c>
      <c r="D24655" s="3" t="s">
        <v>181</v>
      </c>
      <c r="E24655" s="3" t="s">
        <v>118</v>
      </c>
      <c r="F24655" s="7">
        <v>46220.17152576781</v>
      </c>
      <c r="G24655" s="3" t="s">
        <v>30492</v>
      </c>
    </row>
    <row r="24656">
      <c r="A24656" s="3" t="s">
        <v>41032</v>
      </c>
      <c r="B24656" s="3" t="s">
        <v>20228</v>
      </c>
      <c r="C24656" s="5" t="s">
        <v>45</v>
      </c>
      <c r="D24656" s="3" t="s">
        <v>221</v>
      </c>
      <c r="E24656" s="3" t="s">
        <v>725</v>
      </c>
      <c r="F24656" s="7">
        <v>46220.239228390994</v>
      </c>
      <c r="G24656" s="3" t="s">
        <v>8379</v>
      </c>
    </row>
    <row r="24657">
      <c r="A24657" s="3" t="s">
        <v>41033</v>
      </c>
      <c r="B24657" s="3" t="s">
        <v>20228</v>
      </c>
      <c r="C24657" s="5" t="s">
        <v>221</v>
      </c>
      <c r="D24657" s="3" t="s">
        <v>614</v>
      </c>
      <c r="E24657" s="3" t="s">
        <v>118</v>
      </c>
      <c r="F24657" s="7">
        <v>46220.24270061321</v>
      </c>
      <c r="G24657" s="3" t="s">
        <v>8382</v>
      </c>
    </row>
    <row r="24658">
      <c r="A24658" s="3" t="s">
        <v>41034</v>
      </c>
      <c r="B24658" s="3" t="s">
        <v>20228</v>
      </c>
      <c r="C24658" s="5" t="s">
        <v>614</v>
      </c>
      <c r="D24658" s="3" t="s">
        <v>206</v>
      </c>
      <c r="E24658" s="3" t="s">
        <v>100</v>
      </c>
      <c r="F24658" s="7">
        <v>46220.24617283544</v>
      </c>
      <c r="G24658" s="3" t="s">
        <v>8385</v>
      </c>
    </row>
    <row r="24659">
      <c r="A24659" s="3" t="s">
        <v>41035</v>
      </c>
      <c r="B24659" s="3" t="s">
        <v>20228</v>
      </c>
      <c r="C24659" s="5" t="s">
        <v>206</v>
      </c>
      <c r="D24659" s="3" t="s">
        <v>68</v>
      </c>
      <c r="E24659" s="3" t="s">
        <v>100</v>
      </c>
      <c r="F24659" s="7">
        <v>46220.24964505766</v>
      </c>
      <c r="G24659" s="3" t="s">
        <v>8388</v>
      </c>
    </row>
    <row r="24660">
      <c r="A24660" s="3" t="s">
        <v>41036</v>
      </c>
      <c r="B24660" s="3" t="s">
        <v>20230</v>
      </c>
      <c r="C24660" s="5" t="s">
        <v>45</v>
      </c>
      <c r="D24660" s="3" t="s">
        <v>221</v>
      </c>
      <c r="E24660" s="3" t="s">
        <v>481</v>
      </c>
      <c r="F24660" s="7">
        <v>46220.31040323641</v>
      </c>
      <c r="G24660" s="3" t="s">
        <v>18738</v>
      </c>
    </row>
    <row r="24661">
      <c r="A24661" s="3" t="s">
        <v>41037</v>
      </c>
      <c r="B24661" s="3" t="s">
        <v>20230</v>
      </c>
      <c r="C24661" s="5" t="s">
        <v>221</v>
      </c>
      <c r="D24661" s="3" t="s">
        <v>614</v>
      </c>
      <c r="E24661" s="3" t="s">
        <v>118</v>
      </c>
      <c r="F24661" s="7">
        <v>46220.31387545863</v>
      </c>
      <c r="G24661" s="3" t="s">
        <v>20762</v>
      </c>
    </row>
    <row r="24662">
      <c r="A24662" s="3" t="s">
        <v>41038</v>
      </c>
      <c r="B24662" s="3" t="s">
        <v>20230</v>
      </c>
      <c r="C24662" s="5" t="s">
        <v>614</v>
      </c>
      <c r="D24662" s="3" t="s">
        <v>206</v>
      </c>
      <c r="E24662" s="3" t="s">
        <v>100</v>
      </c>
      <c r="F24662" s="7">
        <v>46220.31734768086</v>
      </c>
      <c r="G24662" s="3" t="s">
        <v>20764</v>
      </c>
    </row>
    <row r="24663">
      <c r="A24663" s="3" t="s">
        <v>41039</v>
      </c>
      <c r="B24663" s="3" t="s">
        <v>20230</v>
      </c>
      <c r="C24663" s="5" t="s">
        <v>206</v>
      </c>
      <c r="D24663" s="3" t="s">
        <v>68</v>
      </c>
      <c r="E24663" s="3" t="s">
        <v>100</v>
      </c>
      <c r="F24663" s="7">
        <v>46220.32081990308</v>
      </c>
      <c r="G24663" s="3" t="s">
        <v>20767</v>
      </c>
    </row>
    <row r="24664">
      <c r="A24664" s="3" t="s">
        <v>41040</v>
      </c>
      <c r="B24664" s="3" t="s">
        <v>20232</v>
      </c>
      <c r="C24664" s="5" t="s">
        <v>45</v>
      </c>
      <c r="D24664" s="3" t="s">
        <v>221</v>
      </c>
      <c r="E24664" s="3" t="s">
        <v>906</v>
      </c>
      <c r="F24664" s="7">
        <v>46220.38157808183</v>
      </c>
      <c r="G24664" s="3" t="s">
        <v>29369</v>
      </c>
    </row>
    <row r="24665">
      <c r="A24665" s="3" t="s">
        <v>41041</v>
      </c>
      <c r="B24665" s="3" t="s">
        <v>20232</v>
      </c>
      <c r="C24665" s="5" t="s">
        <v>221</v>
      </c>
      <c r="D24665" s="3" t="s">
        <v>181</v>
      </c>
      <c r="E24665" s="3" t="s">
        <v>118</v>
      </c>
      <c r="F24665" s="7">
        <v>46220.38505030405</v>
      </c>
      <c r="G24665" s="3" t="s">
        <v>41042</v>
      </c>
    </row>
    <row r="24666">
      <c r="A24666" s="3" t="s">
        <v>41043</v>
      </c>
      <c r="B24666" s="3" t="s">
        <v>20234</v>
      </c>
      <c r="C24666" s="5" t="s">
        <v>45</v>
      </c>
      <c r="D24666" s="3" t="s">
        <v>221</v>
      </c>
      <c r="E24666" s="3" t="s">
        <v>632</v>
      </c>
      <c r="F24666" s="7">
        <v>46220.452752927245</v>
      </c>
      <c r="G24666" s="3" t="s">
        <v>14886</v>
      </c>
    </row>
    <row r="24667">
      <c r="A24667" s="3" t="s">
        <v>41044</v>
      </c>
      <c r="B24667" s="3" t="s">
        <v>20234</v>
      </c>
      <c r="C24667" s="5" t="s">
        <v>221</v>
      </c>
      <c r="D24667" s="3" t="s">
        <v>614</v>
      </c>
      <c r="E24667" s="3" t="s">
        <v>118</v>
      </c>
      <c r="F24667" s="7">
        <v>46220.456225149464</v>
      </c>
      <c r="G24667" s="3" t="s">
        <v>14889</v>
      </c>
    </row>
    <row r="24668">
      <c r="A24668" s="3" t="s">
        <v>41045</v>
      </c>
      <c r="B24668" s="3" t="s">
        <v>20234</v>
      </c>
      <c r="C24668" s="5" t="s">
        <v>614</v>
      </c>
      <c r="D24668" s="3" t="s">
        <v>206</v>
      </c>
      <c r="E24668" s="3" t="s">
        <v>100</v>
      </c>
      <c r="F24668" s="7">
        <v>46220.45969737169</v>
      </c>
      <c r="G24668" s="3" t="s">
        <v>14892</v>
      </c>
    </row>
    <row r="24669">
      <c r="A24669" s="3" t="s">
        <v>41046</v>
      </c>
      <c r="B24669" s="3" t="s">
        <v>20234</v>
      </c>
      <c r="C24669" s="5" t="s">
        <v>206</v>
      </c>
      <c r="D24669" s="3" t="s">
        <v>68</v>
      </c>
      <c r="E24669" s="3" t="s">
        <v>100</v>
      </c>
      <c r="F24669" s="7">
        <v>46220.46316959391</v>
      </c>
      <c r="G24669" s="3" t="s">
        <v>14895</v>
      </c>
    </row>
    <row r="24670">
      <c r="A24670" s="3" t="s">
        <v>41047</v>
      </c>
      <c r="B24670" s="3" t="s">
        <v>20236</v>
      </c>
      <c r="C24670" s="5" t="s">
        <v>45</v>
      </c>
      <c r="D24670" s="3" t="s">
        <v>221</v>
      </c>
      <c r="E24670" s="3" t="s">
        <v>557</v>
      </c>
      <c r="F24670" s="7">
        <v>46220.52392777266</v>
      </c>
      <c r="G24670" s="3" t="s">
        <v>8478</v>
      </c>
    </row>
    <row r="24671">
      <c r="A24671" s="3" t="s">
        <v>41048</v>
      </c>
      <c r="B24671" s="3" t="s">
        <v>20236</v>
      </c>
      <c r="C24671" s="5" t="s">
        <v>221</v>
      </c>
      <c r="D24671" s="3" t="s">
        <v>614</v>
      </c>
      <c r="E24671" s="3" t="s">
        <v>118</v>
      </c>
      <c r="F24671" s="7">
        <v>46220.52739999488</v>
      </c>
      <c r="G24671" s="3" t="s">
        <v>8481</v>
      </c>
    </row>
    <row r="24672">
      <c r="A24672" s="3" t="s">
        <v>41049</v>
      </c>
      <c r="B24672" s="3" t="s">
        <v>20236</v>
      </c>
      <c r="C24672" s="5" t="s">
        <v>614</v>
      </c>
      <c r="D24672" s="3" t="s">
        <v>206</v>
      </c>
      <c r="E24672" s="3" t="s">
        <v>100</v>
      </c>
      <c r="F24672" s="7">
        <v>46220.5308722171</v>
      </c>
      <c r="G24672" s="3" t="s">
        <v>8484</v>
      </c>
    </row>
    <row r="24673">
      <c r="A24673" s="3" t="s">
        <v>41050</v>
      </c>
      <c r="B24673" s="3" t="s">
        <v>20236</v>
      </c>
      <c r="C24673" s="5" t="s">
        <v>206</v>
      </c>
      <c r="D24673" s="3" t="s">
        <v>68</v>
      </c>
      <c r="E24673" s="3" t="s">
        <v>100</v>
      </c>
      <c r="F24673" s="7">
        <v>46220.53434443932</v>
      </c>
      <c r="G24673" s="3" t="s">
        <v>8487</v>
      </c>
    </row>
    <row r="24674">
      <c r="A24674" s="3" t="s">
        <v>41051</v>
      </c>
      <c r="B24674" s="3" t="s">
        <v>20238</v>
      </c>
      <c r="C24674" s="5" t="s">
        <v>45</v>
      </c>
      <c r="D24674" s="3" t="s">
        <v>221</v>
      </c>
      <c r="E24674" s="3" t="s">
        <v>652</v>
      </c>
      <c r="F24674" s="7">
        <v>46220.59510261808</v>
      </c>
      <c r="G24674" s="3" t="s">
        <v>11950</v>
      </c>
    </row>
    <row r="24675">
      <c r="A24675" s="3" t="s">
        <v>41052</v>
      </c>
      <c r="B24675" s="3" t="s">
        <v>20238</v>
      </c>
      <c r="C24675" s="5" t="s">
        <v>221</v>
      </c>
      <c r="D24675" s="3" t="s">
        <v>614</v>
      </c>
      <c r="E24675" s="3" t="s">
        <v>118</v>
      </c>
      <c r="F24675" s="7">
        <v>46220.598574840296</v>
      </c>
      <c r="G24675" s="3" t="s">
        <v>11953</v>
      </c>
    </row>
    <row r="24676">
      <c r="A24676" s="3" t="s">
        <v>41053</v>
      </c>
      <c r="B24676" s="3" t="s">
        <v>20238</v>
      </c>
      <c r="C24676" s="5" t="s">
        <v>614</v>
      </c>
      <c r="D24676" s="3" t="s">
        <v>206</v>
      </c>
      <c r="E24676" s="3" t="s">
        <v>100</v>
      </c>
      <c r="F24676" s="7">
        <v>46220.60204706252</v>
      </c>
      <c r="G24676" s="3" t="s">
        <v>11956</v>
      </c>
    </row>
    <row r="24677">
      <c r="A24677" s="3" t="s">
        <v>41054</v>
      </c>
      <c r="B24677" s="3" t="s">
        <v>20238</v>
      </c>
      <c r="C24677" s="5" t="s">
        <v>206</v>
      </c>
      <c r="D24677" s="3" t="s">
        <v>68</v>
      </c>
      <c r="E24677" s="3" t="s">
        <v>100</v>
      </c>
      <c r="F24677" s="7">
        <v>46220.60551928474</v>
      </c>
      <c r="G24677" s="3" t="s">
        <v>11959</v>
      </c>
    </row>
    <row r="24678">
      <c r="A24678" s="3" t="s">
        <v>41055</v>
      </c>
      <c r="B24678" s="3" t="s">
        <v>20241</v>
      </c>
      <c r="C24678" s="5" t="s">
        <v>45</v>
      </c>
      <c r="D24678" s="3" t="s">
        <v>221</v>
      </c>
      <c r="E24678" s="3" t="s">
        <v>822</v>
      </c>
      <c r="F24678" s="7">
        <v>46220.66627746349</v>
      </c>
      <c r="G24678" s="3" t="s">
        <v>7388</v>
      </c>
    </row>
    <row r="24679">
      <c r="A24679" s="3" t="s">
        <v>41056</v>
      </c>
      <c r="B24679" s="3" t="s">
        <v>20241</v>
      </c>
      <c r="C24679" s="5" t="s">
        <v>221</v>
      </c>
      <c r="D24679" s="3" t="s">
        <v>614</v>
      </c>
      <c r="E24679" s="3" t="s">
        <v>118</v>
      </c>
      <c r="F24679" s="7">
        <v>46220.66974968571</v>
      </c>
      <c r="G24679" s="3" t="s">
        <v>25795</v>
      </c>
    </row>
    <row r="24680">
      <c r="A24680" s="3" t="s">
        <v>41057</v>
      </c>
      <c r="B24680" s="3" t="s">
        <v>20241</v>
      </c>
      <c r="C24680" s="5" t="s">
        <v>614</v>
      </c>
      <c r="D24680" s="3" t="s">
        <v>206</v>
      </c>
      <c r="E24680" s="3" t="s">
        <v>100</v>
      </c>
      <c r="F24680" s="7">
        <v>46220.673221907935</v>
      </c>
      <c r="G24680" s="3" t="s">
        <v>25797</v>
      </c>
    </row>
    <row r="24681">
      <c r="A24681" s="3" t="s">
        <v>41058</v>
      </c>
      <c r="B24681" s="3" t="s">
        <v>20241</v>
      </c>
      <c r="C24681" s="5" t="s">
        <v>206</v>
      </c>
      <c r="D24681" s="3" t="s">
        <v>68</v>
      </c>
      <c r="E24681" s="3" t="s">
        <v>100</v>
      </c>
      <c r="F24681" s="7">
        <v>46220.676694130154</v>
      </c>
      <c r="G24681" s="3" t="s">
        <v>25799</v>
      </c>
    </row>
    <row r="24682">
      <c r="A24682" s="3" t="s">
        <v>41059</v>
      </c>
      <c r="B24682" s="3" t="s">
        <v>20243</v>
      </c>
      <c r="C24682" s="5" t="s">
        <v>45</v>
      </c>
      <c r="D24682" s="3" t="s">
        <v>221</v>
      </c>
      <c r="E24682" s="3" t="s">
        <v>442</v>
      </c>
      <c r="F24682" s="7">
        <v>46220.7374523089</v>
      </c>
      <c r="G24682" s="3" t="s">
        <v>8489</v>
      </c>
    </row>
    <row r="24683">
      <c r="A24683" s="3" t="s">
        <v>41060</v>
      </c>
      <c r="B24683" s="3" t="s">
        <v>20243</v>
      </c>
      <c r="C24683" s="5" t="s">
        <v>221</v>
      </c>
      <c r="D24683" s="3" t="s">
        <v>614</v>
      </c>
      <c r="E24683" s="3" t="s">
        <v>118</v>
      </c>
      <c r="F24683" s="7">
        <v>46220.74092453112</v>
      </c>
      <c r="G24683" s="3" t="s">
        <v>8492</v>
      </c>
    </row>
    <row r="24684">
      <c r="A24684" s="3" t="s">
        <v>41061</v>
      </c>
      <c r="B24684" s="3" t="s">
        <v>20243</v>
      </c>
      <c r="C24684" s="5" t="s">
        <v>614</v>
      </c>
      <c r="D24684" s="3" t="s">
        <v>206</v>
      </c>
      <c r="E24684" s="3" t="s">
        <v>100</v>
      </c>
      <c r="F24684" s="7">
        <v>46220.74439675335</v>
      </c>
      <c r="G24684" s="3" t="s">
        <v>8495</v>
      </c>
    </row>
    <row r="24685">
      <c r="A24685" s="3" t="s">
        <v>41062</v>
      </c>
      <c r="B24685" s="3" t="s">
        <v>20243</v>
      </c>
      <c r="C24685" s="5" t="s">
        <v>206</v>
      </c>
      <c r="D24685" s="3" t="s">
        <v>68</v>
      </c>
      <c r="E24685" s="3" t="s">
        <v>100</v>
      </c>
      <c r="F24685" s="7">
        <v>46220.747868975566</v>
      </c>
      <c r="G24685" s="3" t="s">
        <v>8498</v>
      </c>
    </row>
    <row r="24686">
      <c r="A24686" s="3" t="s">
        <v>41063</v>
      </c>
      <c r="B24686" s="3" t="s">
        <v>20245</v>
      </c>
      <c r="C24686" s="5" t="s">
        <v>45</v>
      </c>
      <c r="D24686" s="3" t="s">
        <v>221</v>
      </c>
      <c r="E24686" s="3" t="s">
        <v>631</v>
      </c>
      <c r="F24686" s="7">
        <v>46220.80862715432</v>
      </c>
      <c r="G24686" s="3" t="s">
        <v>8501</v>
      </c>
    </row>
    <row r="24687">
      <c r="A24687" s="3" t="s">
        <v>41064</v>
      </c>
      <c r="B24687" s="3" t="s">
        <v>20245</v>
      </c>
      <c r="C24687" s="5" t="s">
        <v>221</v>
      </c>
      <c r="D24687" s="3" t="s">
        <v>614</v>
      </c>
      <c r="E24687" s="3" t="s">
        <v>118</v>
      </c>
      <c r="F24687" s="7">
        <v>46220.81209937654</v>
      </c>
      <c r="G24687" s="3" t="s">
        <v>8503</v>
      </c>
    </row>
    <row r="24688">
      <c r="A24688" s="3" t="s">
        <v>41065</v>
      </c>
      <c r="B24688" s="3" t="s">
        <v>20245</v>
      </c>
      <c r="C24688" s="5" t="s">
        <v>614</v>
      </c>
      <c r="D24688" s="3" t="s">
        <v>206</v>
      </c>
      <c r="E24688" s="3" t="s">
        <v>100</v>
      </c>
      <c r="F24688" s="7">
        <v>46220.81557159877</v>
      </c>
      <c r="G24688" s="3" t="s">
        <v>8506</v>
      </c>
    </row>
    <row r="24689">
      <c r="A24689" s="3" t="s">
        <v>41066</v>
      </c>
      <c r="B24689" s="3" t="s">
        <v>20245</v>
      </c>
      <c r="C24689" s="5" t="s">
        <v>206</v>
      </c>
      <c r="D24689" s="3" t="s">
        <v>68</v>
      </c>
      <c r="E24689" s="3" t="s">
        <v>100</v>
      </c>
      <c r="F24689" s="7">
        <v>46220.819043820986</v>
      </c>
      <c r="G24689" s="3" t="s">
        <v>8509</v>
      </c>
    </row>
    <row r="24690">
      <c r="A24690" s="3" t="s">
        <v>41067</v>
      </c>
      <c r="B24690" s="3" t="s">
        <v>20247</v>
      </c>
      <c r="C24690" s="5" t="s">
        <v>45</v>
      </c>
      <c r="D24690" s="3" t="s">
        <v>221</v>
      </c>
      <c r="E24690" s="3" t="s">
        <v>145</v>
      </c>
      <c r="F24690" s="7">
        <v>46220.879801999734</v>
      </c>
      <c r="G24690" s="3" t="s">
        <v>8523</v>
      </c>
    </row>
    <row r="24691">
      <c r="A24691" s="3" t="s">
        <v>41068</v>
      </c>
      <c r="B24691" s="3" t="s">
        <v>20247</v>
      </c>
      <c r="C24691" s="5" t="s">
        <v>221</v>
      </c>
      <c r="D24691" s="3" t="s">
        <v>614</v>
      </c>
      <c r="E24691" s="3" t="s">
        <v>118</v>
      </c>
      <c r="F24691" s="7">
        <v>46220.88327422195</v>
      </c>
      <c r="G24691" s="3" t="s">
        <v>8526</v>
      </c>
    </row>
    <row r="24692">
      <c r="A24692" s="3" t="s">
        <v>41069</v>
      </c>
      <c r="B24692" s="3" t="s">
        <v>20247</v>
      </c>
      <c r="C24692" s="5" t="s">
        <v>614</v>
      </c>
      <c r="D24692" s="3" t="s">
        <v>206</v>
      </c>
      <c r="E24692" s="3" t="s">
        <v>100</v>
      </c>
      <c r="F24692" s="7">
        <v>46220.88674644418</v>
      </c>
      <c r="G24692" s="3" t="s">
        <v>8529</v>
      </c>
    </row>
    <row r="24693">
      <c r="A24693" s="3" t="s">
        <v>41070</v>
      </c>
      <c r="B24693" s="3" t="s">
        <v>20247</v>
      </c>
      <c r="C24693" s="5" t="s">
        <v>206</v>
      </c>
      <c r="D24693" s="3" t="s">
        <v>68</v>
      </c>
      <c r="E24693" s="3" t="s">
        <v>100</v>
      </c>
      <c r="F24693" s="7">
        <v>46220.8902186664</v>
      </c>
      <c r="G24693" s="3" t="s">
        <v>8532</v>
      </c>
    </row>
    <row r="24694">
      <c r="A24694" s="3" t="s">
        <v>41071</v>
      </c>
      <c r="B24694" s="3" t="s">
        <v>20249</v>
      </c>
      <c r="C24694" s="5" t="s">
        <v>45</v>
      </c>
      <c r="D24694" s="3" t="s">
        <v>221</v>
      </c>
      <c r="E24694" s="3" t="s">
        <v>296</v>
      </c>
      <c r="F24694" s="7">
        <v>46220.950976845146</v>
      </c>
      <c r="G24694" s="3" t="s">
        <v>18572</v>
      </c>
    </row>
    <row r="24695">
      <c r="A24695" s="3" t="s">
        <v>41072</v>
      </c>
      <c r="B24695" s="3" t="s">
        <v>20249</v>
      </c>
      <c r="C24695" s="5" t="s">
        <v>221</v>
      </c>
      <c r="D24695" s="3" t="s">
        <v>181</v>
      </c>
      <c r="E24695" s="3" t="s">
        <v>118</v>
      </c>
      <c r="F24695" s="7">
        <v>46220.954449067365</v>
      </c>
      <c r="G24695" s="3" t="s">
        <v>38840</v>
      </c>
    </row>
    <row r="24696">
      <c r="A24696" s="3" t="s">
        <v>41073</v>
      </c>
      <c r="B24696" s="3" t="s">
        <v>20251</v>
      </c>
      <c r="C24696" s="5" t="s">
        <v>45</v>
      </c>
      <c r="D24696" s="3" t="s">
        <v>221</v>
      </c>
      <c r="E24696" s="3" t="s">
        <v>972</v>
      </c>
      <c r="F24696" s="7">
        <v>46221.022151690566</v>
      </c>
      <c r="G24696" s="3" t="s">
        <v>8557</v>
      </c>
    </row>
    <row r="24697">
      <c r="A24697" s="3" t="s">
        <v>41074</v>
      </c>
      <c r="B24697" s="3" t="s">
        <v>20251</v>
      </c>
      <c r="C24697" s="5" t="s">
        <v>221</v>
      </c>
      <c r="D24697" s="3" t="s">
        <v>614</v>
      </c>
      <c r="E24697" s="3" t="s">
        <v>118</v>
      </c>
      <c r="F24697" s="7">
        <v>46221.025623912785</v>
      </c>
      <c r="G24697" s="3" t="s">
        <v>8560</v>
      </c>
    </row>
    <row r="24698">
      <c r="A24698" s="3" t="s">
        <v>41075</v>
      </c>
      <c r="B24698" s="3" t="s">
        <v>20251</v>
      </c>
      <c r="C24698" s="5" t="s">
        <v>614</v>
      </c>
      <c r="D24698" s="3" t="s">
        <v>206</v>
      </c>
      <c r="E24698" s="3" t="s">
        <v>100</v>
      </c>
      <c r="F24698" s="7">
        <v>46221.02909613501</v>
      </c>
      <c r="G24698" s="3" t="s">
        <v>8563</v>
      </c>
    </row>
    <row r="24699">
      <c r="A24699" s="3" t="s">
        <v>41076</v>
      </c>
      <c r="B24699" s="3" t="s">
        <v>20251</v>
      </c>
      <c r="C24699" s="5" t="s">
        <v>206</v>
      </c>
      <c r="D24699" s="3" t="s">
        <v>68</v>
      </c>
      <c r="E24699" s="3" t="s">
        <v>100</v>
      </c>
      <c r="F24699" s="7">
        <v>46221.03256835723</v>
      </c>
      <c r="G24699" s="3" t="s">
        <v>8566</v>
      </c>
    </row>
    <row r="24700">
      <c r="A24700" s="3" t="s">
        <v>41077</v>
      </c>
      <c r="B24700" s="3" t="s">
        <v>20254</v>
      </c>
      <c r="C24700" s="5" t="s">
        <v>45</v>
      </c>
      <c r="D24700" s="3" t="s">
        <v>221</v>
      </c>
      <c r="E24700" s="3" t="s">
        <v>605</v>
      </c>
      <c r="F24700" s="7">
        <v>46221.09332653598</v>
      </c>
      <c r="G24700" s="3" t="s">
        <v>23169</v>
      </c>
    </row>
    <row r="24701">
      <c r="A24701" s="3" t="s">
        <v>41078</v>
      </c>
      <c r="B24701" s="3" t="s">
        <v>20254</v>
      </c>
      <c r="C24701" s="5" t="s">
        <v>221</v>
      </c>
      <c r="D24701" s="3" t="s">
        <v>614</v>
      </c>
      <c r="E24701" s="3" t="s">
        <v>118</v>
      </c>
      <c r="F24701" s="7">
        <v>46221.0967987582</v>
      </c>
      <c r="G24701" s="3" t="s">
        <v>23172</v>
      </c>
    </row>
    <row r="24702">
      <c r="A24702" s="3" t="s">
        <v>41079</v>
      </c>
      <c r="B24702" s="3" t="s">
        <v>20254</v>
      </c>
      <c r="C24702" s="5" t="s">
        <v>614</v>
      </c>
      <c r="D24702" s="3" t="s">
        <v>206</v>
      </c>
      <c r="E24702" s="3" t="s">
        <v>100</v>
      </c>
      <c r="F24702" s="7">
        <v>46221.10027098042</v>
      </c>
      <c r="G24702" s="3" t="s">
        <v>23175</v>
      </c>
    </row>
    <row r="24703">
      <c r="A24703" s="3" t="s">
        <v>41080</v>
      </c>
      <c r="B24703" s="3" t="s">
        <v>20254</v>
      </c>
      <c r="C24703" s="5" t="s">
        <v>206</v>
      </c>
      <c r="D24703" s="3" t="s">
        <v>68</v>
      </c>
      <c r="E24703" s="3" t="s">
        <v>100</v>
      </c>
      <c r="F24703" s="7">
        <v>46221.10374320264</v>
      </c>
      <c r="G24703" s="3" t="s">
        <v>23178</v>
      </c>
    </row>
    <row r="24704">
      <c r="A24704" s="3" t="s">
        <v>41081</v>
      </c>
      <c r="B24704" s="3" t="s">
        <v>20256</v>
      </c>
      <c r="C24704" s="5" t="s">
        <v>45</v>
      </c>
      <c r="D24704" s="3" t="s">
        <v>221</v>
      </c>
      <c r="E24704" s="3" t="s">
        <v>662</v>
      </c>
      <c r="F24704" s="7">
        <v>46221.16450138139</v>
      </c>
      <c r="G24704" s="3" t="s">
        <v>10467</v>
      </c>
    </row>
    <row r="24705">
      <c r="A24705" s="3" t="s">
        <v>41082</v>
      </c>
      <c r="B24705" s="3" t="s">
        <v>20256</v>
      </c>
      <c r="C24705" s="5" t="s">
        <v>221</v>
      </c>
      <c r="D24705" s="3" t="s">
        <v>614</v>
      </c>
      <c r="E24705" s="3" t="s">
        <v>118</v>
      </c>
      <c r="F24705" s="7">
        <v>46221.16797360361</v>
      </c>
      <c r="G24705" s="3" t="s">
        <v>10470</v>
      </c>
    </row>
    <row r="24706">
      <c r="A24706" s="3" t="s">
        <v>41083</v>
      </c>
      <c r="B24706" s="3" t="s">
        <v>20256</v>
      </c>
      <c r="C24706" s="5" t="s">
        <v>614</v>
      </c>
      <c r="D24706" s="3" t="s">
        <v>206</v>
      </c>
      <c r="E24706" s="3" t="s">
        <v>100</v>
      </c>
      <c r="F24706" s="7">
        <v>46221.171445825836</v>
      </c>
      <c r="G24706" s="3" t="s">
        <v>10473</v>
      </c>
    </row>
    <row r="24707">
      <c r="A24707" s="3" t="s">
        <v>41084</v>
      </c>
      <c r="B24707" s="3" t="s">
        <v>20256</v>
      </c>
      <c r="C24707" s="5" t="s">
        <v>206</v>
      </c>
      <c r="D24707" s="3" t="s">
        <v>68</v>
      </c>
      <c r="E24707" s="3" t="s">
        <v>100</v>
      </c>
      <c r="F24707" s="7">
        <v>46221.174918048055</v>
      </c>
      <c r="G24707" s="3" t="s">
        <v>10475</v>
      </c>
    </row>
    <row r="24708">
      <c r="A24708" s="3" t="s">
        <v>41085</v>
      </c>
      <c r="B24708" s="3" t="s">
        <v>20258</v>
      </c>
      <c r="C24708" s="5" t="s">
        <v>45</v>
      </c>
      <c r="D24708" s="3" t="s">
        <v>221</v>
      </c>
      <c r="E24708" s="3" t="s">
        <v>900</v>
      </c>
      <c r="F24708" s="7">
        <v>46221.23567622681</v>
      </c>
      <c r="G24708" s="3" t="s">
        <v>4164</v>
      </c>
    </row>
    <row r="24709">
      <c r="A24709" s="3" t="s">
        <v>41086</v>
      </c>
      <c r="B24709" s="3" t="s">
        <v>20258</v>
      </c>
      <c r="C24709" s="5" t="s">
        <v>221</v>
      </c>
      <c r="D24709" s="3" t="s">
        <v>195</v>
      </c>
      <c r="E24709" s="3" t="s">
        <v>900</v>
      </c>
      <c r="F24709" s="7">
        <v>46221.23914844903</v>
      </c>
      <c r="G24709" s="3" t="s">
        <v>41087</v>
      </c>
    </row>
    <row r="24710">
      <c r="A24710" s="3" t="s">
        <v>41088</v>
      </c>
      <c r="B24710" s="3" t="s">
        <v>20260</v>
      </c>
      <c r="C24710" s="5" t="s">
        <v>45</v>
      </c>
      <c r="D24710" s="3" t="s">
        <v>221</v>
      </c>
      <c r="E24710" s="3" t="s">
        <v>957</v>
      </c>
      <c r="F24710" s="7">
        <v>46221.30685107223</v>
      </c>
      <c r="G24710" s="3" t="s">
        <v>4612</v>
      </c>
    </row>
    <row r="24711">
      <c r="A24711" s="3" t="s">
        <v>41089</v>
      </c>
      <c r="B24711" s="3" t="s">
        <v>20260</v>
      </c>
      <c r="C24711" s="5" t="s">
        <v>221</v>
      </c>
      <c r="D24711" s="3" t="s">
        <v>614</v>
      </c>
      <c r="E24711" s="3" t="s">
        <v>118</v>
      </c>
      <c r="F24711" s="7">
        <v>46221.31032329445</v>
      </c>
      <c r="G24711" s="3" t="s">
        <v>4615</v>
      </c>
    </row>
    <row r="24712">
      <c r="A24712" s="3" t="s">
        <v>41090</v>
      </c>
      <c r="B24712" s="3" t="s">
        <v>20260</v>
      </c>
      <c r="C24712" s="5" t="s">
        <v>614</v>
      </c>
      <c r="D24712" s="3" t="s">
        <v>206</v>
      </c>
      <c r="E24712" s="3" t="s">
        <v>100</v>
      </c>
      <c r="F24712" s="7">
        <v>46221.313795516675</v>
      </c>
      <c r="G24712" s="3" t="s">
        <v>4617</v>
      </c>
    </row>
    <row r="24713">
      <c r="A24713" s="3" t="s">
        <v>41091</v>
      </c>
      <c r="B24713" s="3" t="s">
        <v>20260</v>
      </c>
      <c r="C24713" s="5" t="s">
        <v>206</v>
      </c>
      <c r="D24713" s="3" t="s">
        <v>68</v>
      </c>
      <c r="E24713" s="3" t="s">
        <v>100</v>
      </c>
      <c r="F24713" s="7">
        <v>46221.317267738894</v>
      </c>
      <c r="G24713" s="3" t="s">
        <v>4620</v>
      </c>
    </row>
    <row r="24714">
      <c r="A24714" s="3" t="s">
        <v>41092</v>
      </c>
      <c r="B24714" s="3" t="s">
        <v>20262</v>
      </c>
      <c r="C24714" s="5" t="s">
        <v>45</v>
      </c>
      <c r="D24714" s="3" t="s">
        <v>221</v>
      </c>
      <c r="E24714" s="3" t="s">
        <v>280</v>
      </c>
      <c r="F24714" s="7">
        <v>46221.378025917635</v>
      </c>
      <c r="G24714" s="3" t="s">
        <v>25091</v>
      </c>
    </row>
    <row r="24715">
      <c r="A24715" s="3" t="s">
        <v>41093</v>
      </c>
      <c r="B24715" s="3" t="s">
        <v>20262</v>
      </c>
      <c r="C24715" s="5" t="s">
        <v>221</v>
      </c>
      <c r="D24715" s="3" t="s">
        <v>614</v>
      </c>
      <c r="E24715" s="3" t="s">
        <v>118</v>
      </c>
      <c r="F24715" s="7">
        <v>46221.381498139854</v>
      </c>
      <c r="G24715" s="3" t="s">
        <v>25093</v>
      </c>
    </row>
    <row r="24716">
      <c r="A24716" s="3" t="s">
        <v>41094</v>
      </c>
      <c r="B24716" s="3" t="s">
        <v>20262</v>
      </c>
      <c r="C24716" s="5" t="s">
        <v>614</v>
      </c>
      <c r="D24716" s="3" t="s">
        <v>206</v>
      </c>
      <c r="E24716" s="3" t="s">
        <v>100</v>
      </c>
      <c r="F24716" s="7">
        <v>46221.38497036208</v>
      </c>
      <c r="G24716" s="3" t="s">
        <v>25095</v>
      </c>
    </row>
    <row r="24717">
      <c r="A24717" s="3" t="s">
        <v>41095</v>
      </c>
      <c r="B24717" s="3" t="s">
        <v>20262</v>
      </c>
      <c r="C24717" s="5" t="s">
        <v>206</v>
      </c>
      <c r="D24717" s="3" t="s">
        <v>68</v>
      </c>
      <c r="E24717" s="3" t="s">
        <v>100</v>
      </c>
      <c r="F24717" s="7">
        <v>46221.3884425843</v>
      </c>
      <c r="G24717" s="3" t="s">
        <v>25097</v>
      </c>
    </row>
    <row r="24718">
      <c r="A24718" s="3" t="s">
        <v>41096</v>
      </c>
      <c r="B24718" s="3" t="s">
        <v>20265</v>
      </c>
      <c r="C24718" s="5" t="s">
        <v>45</v>
      </c>
      <c r="D24718" s="3" t="s">
        <v>221</v>
      </c>
      <c r="E24718" s="3" t="s">
        <v>162</v>
      </c>
      <c r="F24718" s="7">
        <v>46221.449200763054</v>
      </c>
      <c r="G24718" s="3" t="s">
        <v>13996</v>
      </c>
    </row>
    <row r="24719">
      <c r="A24719" s="3" t="s">
        <v>41097</v>
      </c>
      <c r="B24719" s="3" t="s">
        <v>20265</v>
      </c>
      <c r="C24719" s="5" t="s">
        <v>221</v>
      </c>
      <c r="D24719" s="3" t="s">
        <v>614</v>
      </c>
      <c r="E24719" s="3" t="s">
        <v>118</v>
      </c>
      <c r="F24719" s="7">
        <v>46221.45267298527</v>
      </c>
      <c r="G24719" s="3" t="s">
        <v>13998</v>
      </c>
    </row>
    <row r="24720">
      <c r="A24720" s="3" t="s">
        <v>41098</v>
      </c>
      <c r="B24720" s="3" t="s">
        <v>20265</v>
      </c>
      <c r="C24720" s="5" t="s">
        <v>614</v>
      </c>
      <c r="D24720" s="3" t="s">
        <v>206</v>
      </c>
      <c r="E24720" s="3" t="s">
        <v>100</v>
      </c>
      <c r="F24720" s="7">
        <v>46221.4561452075</v>
      </c>
      <c r="G24720" s="3" t="s">
        <v>14001</v>
      </c>
    </row>
    <row r="24721">
      <c r="A24721" s="3" t="s">
        <v>41099</v>
      </c>
      <c r="B24721" s="3" t="s">
        <v>20265</v>
      </c>
      <c r="C24721" s="5" t="s">
        <v>206</v>
      </c>
      <c r="D24721" s="3" t="s">
        <v>68</v>
      </c>
      <c r="E24721" s="3" t="s">
        <v>100</v>
      </c>
      <c r="F24721" s="7">
        <v>46221.45961742972</v>
      </c>
      <c r="G24721" s="3" t="s">
        <v>14004</v>
      </c>
    </row>
    <row r="24722">
      <c r="A24722" s="3" t="s">
        <v>41100</v>
      </c>
      <c r="B24722" s="3" t="s">
        <v>20269</v>
      </c>
      <c r="C24722" s="5" t="s">
        <v>45</v>
      </c>
      <c r="D24722" s="3" t="s">
        <v>221</v>
      </c>
      <c r="E24722" s="3" t="s">
        <v>586</v>
      </c>
      <c r="F24722" s="7">
        <v>46221.520375608474</v>
      </c>
      <c r="G24722" s="3" t="s">
        <v>19542</v>
      </c>
    </row>
    <row r="24723">
      <c r="A24723" s="3" t="s">
        <v>41101</v>
      </c>
      <c r="B24723" s="3" t="s">
        <v>20269</v>
      </c>
      <c r="C24723" s="5" t="s">
        <v>221</v>
      </c>
      <c r="D24723" s="3" t="s">
        <v>614</v>
      </c>
      <c r="E24723" s="3" t="s">
        <v>118</v>
      </c>
      <c r="F24723" s="7">
        <v>46221.52384783069</v>
      </c>
      <c r="G24723" s="3" t="s">
        <v>19544</v>
      </c>
    </row>
    <row r="24724">
      <c r="A24724" s="3" t="s">
        <v>41102</v>
      </c>
      <c r="B24724" s="3" t="s">
        <v>20269</v>
      </c>
      <c r="C24724" s="5" t="s">
        <v>614</v>
      </c>
      <c r="D24724" s="3" t="s">
        <v>206</v>
      </c>
      <c r="E24724" s="3" t="s">
        <v>100</v>
      </c>
      <c r="F24724" s="7">
        <v>46221.52732005292</v>
      </c>
      <c r="G24724" s="3" t="s">
        <v>19547</v>
      </c>
    </row>
    <row r="24725">
      <c r="A24725" s="3" t="s">
        <v>41103</v>
      </c>
      <c r="B24725" s="3" t="s">
        <v>20269</v>
      </c>
      <c r="C24725" s="5" t="s">
        <v>206</v>
      </c>
      <c r="D24725" s="3" t="s">
        <v>68</v>
      </c>
      <c r="E24725" s="3" t="s">
        <v>100</v>
      </c>
      <c r="F24725" s="7">
        <v>46221.53079227514</v>
      </c>
      <c r="G24725" s="3" t="s">
        <v>19550</v>
      </c>
    </row>
    <row r="24726">
      <c r="A24726" s="3" t="s">
        <v>41104</v>
      </c>
      <c r="B24726" s="3" t="s">
        <v>20272</v>
      </c>
      <c r="C24726" s="5" t="s">
        <v>45</v>
      </c>
      <c r="D24726" s="3" t="s">
        <v>221</v>
      </c>
      <c r="E24726" s="3" t="s">
        <v>609</v>
      </c>
      <c r="F24726" s="7">
        <v>46221.591550453886</v>
      </c>
      <c r="G24726" s="3" t="s">
        <v>14433</v>
      </c>
    </row>
    <row r="24727">
      <c r="A24727" s="3" t="s">
        <v>41105</v>
      </c>
      <c r="B24727" s="3" t="s">
        <v>20272</v>
      </c>
      <c r="C24727" s="5" t="s">
        <v>221</v>
      </c>
      <c r="D24727" s="3" t="s">
        <v>614</v>
      </c>
      <c r="E24727" s="3" t="s">
        <v>118</v>
      </c>
      <c r="F24727" s="7">
        <v>46221.595022676105</v>
      </c>
      <c r="G24727" s="3" t="s">
        <v>14436</v>
      </c>
    </row>
    <row r="24728">
      <c r="A24728" s="3" t="s">
        <v>41106</v>
      </c>
      <c r="B24728" s="3" t="s">
        <v>20272</v>
      </c>
      <c r="C24728" s="5" t="s">
        <v>614</v>
      </c>
      <c r="D24728" s="3" t="s">
        <v>206</v>
      </c>
      <c r="E24728" s="3" t="s">
        <v>100</v>
      </c>
      <c r="F24728" s="7">
        <v>46221.59849489833</v>
      </c>
      <c r="G24728" s="3" t="s">
        <v>14439</v>
      </c>
    </row>
    <row r="24729">
      <c r="A24729" s="3" t="s">
        <v>41107</v>
      </c>
      <c r="B24729" s="3" t="s">
        <v>20272</v>
      </c>
      <c r="C24729" s="5" t="s">
        <v>206</v>
      </c>
      <c r="D24729" s="3" t="s">
        <v>68</v>
      </c>
      <c r="E24729" s="3" t="s">
        <v>100</v>
      </c>
      <c r="F24729" s="7">
        <v>46221.60196712055</v>
      </c>
      <c r="G24729" s="3" t="s">
        <v>14442</v>
      </c>
    </row>
    <row r="24730">
      <c r="A24730" s="3" t="s">
        <v>41108</v>
      </c>
      <c r="B24730" s="3" t="s">
        <v>20275</v>
      </c>
      <c r="C24730" s="5" t="s">
        <v>45</v>
      </c>
      <c r="D24730" s="3" t="s">
        <v>221</v>
      </c>
      <c r="E24730" s="3" t="s">
        <v>1034</v>
      </c>
      <c r="F24730" s="7">
        <v>46221.6627252993</v>
      </c>
      <c r="G24730" s="3" t="s">
        <v>30987</v>
      </c>
    </row>
    <row r="24731">
      <c r="A24731" s="3" t="s">
        <v>41109</v>
      </c>
      <c r="B24731" s="3" t="s">
        <v>20275</v>
      </c>
      <c r="C24731" s="5" t="s">
        <v>221</v>
      </c>
      <c r="D24731" s="3" t="s">
        <v>614</v>
      </c>
      <c r="E24731" s="3" t="s">
        <v>118</v>
      </c>
      <c r="F24731" s="7">
        <v>46221.66619752152</v>
      </c>
      <c r="G24731" s="3" t="s">
        <v>30989</v>
      </c>
    </row>
    <row r="24732">
      <c r="A24732" s="3" t="s">
        <v>41110</v>
      </c>
      <c r="B24732" s="3" t="s">
        <v>20275</v>
      </c>
      <c r="C24732" s="5" t="s">
        <v>614</v>
      </c>
      <c r="D24732" s="3" t="s">
        <v>206</v>
      </c>
      <c r="E24732" s="3" t="s">
        <v>100</v>
      </c>
      <c r="F24732" s="7">
        <v>46221.669669743744</v>
      </c>
      <c r="G24732" s="3" t="s">
        <v>30991</v>
      </c>
    </row>
    <row r="24733">
      <c r="A24733" s="3" t="s">
        <v>41111</v>
      </c>
      <c r="B24733" s="3" t="s">
        <v>20275</v>
      </c>
      <c r="C24733" s="5" t="s">
        <v>206</v>
      </c>
      <c r="D24733" s="3" t="s">
        <v>68</v>
      </c>
      <c r="E24733" s="3" t="s">
        <v>100</v>
      </c>
      <c r="F24733" s="7">
        <v>46221.67314196596</v>
      </c>
      <c r="G24733" s="3" t="s">
        <v>30993</v>
      </c>
    </row>
    <row r="24734">
      <c r="A24734" s="3" t="s">
        <v>41112</v>
      </c>
      <c r="B24734" s="3" t="s">
        <v>20279</v>
      </c>
      <c r="C24734" s="5" t="s">
        <v>45</v>
      </c>
      <c r="D24734" s="3" t="s">
        <v>221</v>
      </c>
      <c r="E24734" s="3" t="s">
        <v>446</v>
      </c>
      <c r="F24734" s="7">
        <v>46221.73390014472</v>
      </c>
      <c r="G24734" s="3" t="s">
        <v>6408</v>
      </c>
    </row>
    <row r="24735">
      <c r="A24735" s="3" t="s">
        <v>41113</v>
      </c>
      <c r="B24735" s="3" t="s">
        <v>20279</v>
      </c>
      <c r="C24735" s="5" t="s">
        <v>221</v>
      </c>
      <c r="D24735" s="3" t="s">
        <v>614</v>
      </c>
      <c r="E24735" s="3" t="s">
        <v>118</v>
      </c>
      <c r="F24735" s="7">
        <v>46221.73737236694</v>
      </c>
      <c r="G24735" s="3" t="s">
        <v>6410</v>
      </c>
    </row>
    <row r="24736">
      <c r="A24736" s="3" t="s">
        <v>41114</v>
      </c>
      <c r="B24736" s="3" t="s">
        <v>20279</v>
      </c>
      <c r="C24736" s="5" t="s">
        <v>614</v>
      </c>
      <c r="D24736" s="3" t="s">
        <v>206</v>
      </c>
      <c r="E24736" s="3" t="s">
        <v>100</v>
      </c>
      <c r="F24736" s="7">
        <v>46221.74084458916</v>
      </c>
      <c r="G24736" s="3" t="s">
        <v>6413</v>
      </c>
    </row>
    <row r="24737">
      <c r="A24737" s="3" t="s">
        <v>41115</v>
      </c>
      <c r="B24737" s="3" t="s">
        <v>20279</v>
      </c>
      <c r="C24737" s="5" t="s">
        <v>206</v>
      </c>
      <c r="D24737" s="3" t="s">
        <v>68</v>
      </c>
      <c r="E24737" s="3" t="s">
        <v>100</v>
      </c>
      <c r="F24737" s="7">
        <v>46221.74431681138</v>
      </c>
      <c r="G24737" s="3" t="s">
        <v>6416</v>
      </c>
    </row>
    <row r="24738">
      <c r="A24738" s="3" t="s">
        <v>41116</v>
      </c>
      <c r="B24738" s="3" t="s">
        <v>20283</v>
      </c>
      <c r="C24738" s="5" t="s">
        <v>45</v>
      </c>
      <c r="D24738" s="3" t="s">
        <v>221</v>
      </c>
      <c r="E24738" s="3" t="s">
        <v>219</v>
      </c>
      <c r="F24738" s="7">
        <v>46221.80507499013</v>
      </c>
      <c r="G24738" s="3" t="s">
        <v>24829</v>
      </c>
    </row>
    <row r="24739">
      <c r="A24739" s="3" t="s">
        <v>41117</v>
      </c>
      <c r="B24739" s="3" t="s">
        <v>20283</v>
      </c>
      <c r="C24739" s="5" t="s">
        <v>221</v>
      </c>
      <c r="D24739" s="3" t="s">
        <v>614</v>
      </c>
      <c r="E24739" s="3" t="s">
        <v>118</v>
      </c>
      <c r="F24739" s="7">
        <v>46221.80854721235</v>
      </c>
      <c r="G24739" s="3" t="s">
        <v>34204</v>
      </c>
    </row>
    <row r="24740">
      <c r="A24740" s="3" t="s">
        <v>41118</v>
      </c>
      <c r="B24740" s="3" t="s">
        <v>20283</v>
      </c>
      <c r="C24740" s="5" t="s">
        <v>614</v>
      </c>
      <c r="D24740" s="3" t="s">
        <v>206</v>
      </c>
      <c r="E24740" s="3" t="s">
        <v>100</v>
      </c>
      <c r="F24740" s="7">
        <v>46221.812019434576</v>
      </c>
      <c r="G24740" s="3" t="s">
        <v>34206</v>
      </c>
    </row>
    <row r="24741">
      <c r="A24741" s="3" t="s">
        <v>41119</v>
      </c>
      <c r="B24741" s="3" t="s">
        <v>20283</v>
      </c>
      <c r="C24741" s="5" t="s">
        <v>206</v>
      </c>
      <c r="D24741" s="3" t="s">
        <v>68</v>
      </c>
      <c r="E24741" s="3" t="s">
        <v>100</v>
      </c>
      <c r="F24741" s="7">
        <v>46221.815491656795</v>
      </c>
      <c r="G24741" s="3" t="s">
        <v>34208</v>
      </c>
    </row>
    <row r="24742">
      <c r="A24742" s="3" t="s">
        <v>41120</v>
      </c>
      <c r="B24742" s="3" t="s">
        <v>20286</v>
      </c>
      <c r="C24742" s="5" t="s">
        <v>45</v>
      </c>
      <c r="D24742" s="3" t="s">
        <v>221</v>
      </c>
      <c r="E24742" s="3" t="s">
        <v>756</v>
      </c>
      <c r="F24742" s="7">
        <v>46221.87624983554</v>
      </c>
      <c r="G24742" s="3" t="s">
        <v>17923</v>
      </c>
    </row>
    <row r="24743">
      <c r="A24743" s="3" t="s">
        <v>41121</v>
      </c>
      <c r="B24743" s="3" t="s">
        <v>20286</v>
      </c>
      <c r="C24743" s="5" t="s">
        <v>221</v>
      </c>
      <c r="D24743" s="3" t="s">
        <v>614</v>
      </c>
      <c r="E24743" s="3" t="s">
        <v>118</v>
      </c>
      <c r="F24743" s="7">
        <v>46221.87972205776</v>
      </c>
      <c r="G24743" s="3" t="s">
        <v>17926</v>
      </c>
    </row>
    <row r="24744">
      <c r="A24744" s="3" t="s">
        <v>41122</v>
      </c>
      <c r="B24744" s="3" t="s">
        <v>20286</v>
      </c>
      <c r="C24744" s="5" t="s">
        <v>614</v>
      </c>
      <c r="D24744" s="3" t="s">
        <v>206</v>
      </c>
      <c r="E24744" s="3" t="s">
        <v>100</v>
      </c>
      <c r="F24744" s="7">
        <v>46221.88319427999</v>
      </c>
      <c r="G24744" s="3" t="s">
        <v>17929</v>
      </c>
    </row>
    <row r="24745">
      <c r="A24745" s="3" t="s">
        <v>41123</v>
      </c>
      <c r="B24745" s="3" t="s">
        <v>20286</v>
      </c>
      <c r="C24745" s="5" t="s">
        <v>206</v>
      </c>
      <c r="D24745" s="3" t="s">
        <v>68</v>
      </c>
      <c r="E24745" s="3" t="s">
        <v>100</v>
      </c>
      <c r="F24745" s="7">
        <v>46221.88666650221</v>
      </c>
      <c r="G24745" s="3" t="s">
        <v>17932</v>
      </c>
    </row>
    <row r="24746">
      <c r="A24746" s="3" t="s">
        <v>41124</v>
      </c>
      <c r="B24746" s="3" t="s">
        <v>20288</v>
      </c>
      <c r="C24746" s="5" t="s">
        <v>45</v>
      </c>
      <c r="D24746" s="3" t="s">
        <v>221</v>
      </c>
      <c r="E24746" s="3" t="s">
        <v>544</v>
      </c>
      <c r="F24746" s="7">
        <v>46221.94742468096</v>
      </c>
      <c r="G24746" s="3" t="s">
        <v>25016</v>
      </c>
    </row>
    <row r="24747">
      <c r="A24747" s="3" t="s">
        <v>41125</v>
      </c>
      <c r="B24747" s="3" t="s">
        <v>20288</v>
      </c>
      <c r="C24747" s="5" t="s">
        <v>221</v>
      </c>
      <c r="D24747" s="3" t="s">
        <v>614</v>
      </c>
      <c r="E24747" s="3" t="s">
        <v>118</v>
      </c>
      <c r="F24747" s="7">
        <v>46221.95089690318</v>
      </c>
      <c r="G24747" s="3" t="s">
        <v>25247</v>
      </c>
    </row>
    <row r="24748">
      <c r="A24748" s="3" t="s">
        <v>41126</v>
      </c>
      <c r="B24748" s="3" t="s">
        <v>20288</v>
      </c>
      <c r="C24748" s="5" t="s">
        <v>614</v>
      </c>
      <c r="D24748" s="3" t="s">
        <v>206</v>
      </c>
      <c r="E24748" s="3" t="s">
        <v>100</v>
      </c>
      <c r="F24748" s="7">
        <v>46221.95436912541</v>
      </c>
      <c r="G24748" s="3" t="s">
        <v>25249</v>
      </c>
    </row>
    <row r="24749">
      <c r="A24749" s="3" t="s">
        <v>41127</v>
      </c>
      <c r="B24749" s="3" t="s">
        <v>20288</v>
      </c>
      <c r="C24749" s="5" t="s">
        <v>206</v>
      </c>
      <c r="D24749" s="3" t="s">
        <v>68</v>
      </c>
      <c r="E24749" s="3" t="s">
        <v>100</v>
      </c>
      <c r="F24749" s="7">
        <v>46221.95784134763</v>
      </c>
      <c r="G24749" s="3" t="s">
        <v>25251</v>
      </c>
    </row>
    <row r="24750">
      <c r="A24750" s="3" t="s">
        <v>41128</v>
      </c>
      <c r="B24750" s="3" t="s">
        <v>20291</v>
      </c>
      <c r="C24750" s="5" t="s">
        <v>45</v>
      </c>
      <c r="D24750" s="3" t="s">
        <v>221</v>
      </c>
      <c r="E24750" s="3" t="s">
        <v>336</v>
      </c>
      <c r="F24750" s="7">
        <v>46222.018599526375</v>
      </c>
      <c r="G24750" s="3" t="s">
        <v>41129</v>
      </c>
    </row>
    <row r="24751">
      <c r="A24751" s="3" t="s">
        <v>41130</v>
      </c>
      <c r="B24751" s="3" t="s">
        <v>20291</v>
      </c>
      <c r="C24751" s="5" t="s">
        <v>221</v>
      </c>
      <c r="D24751" s="3" t="s">
        <v>614</v>
      </c>
      <c r="E24751" s="3" t="s">
        <v>118</v>
      </c>
      <c r="F24751" s="7">
        <v>46222.02207174859</v>
      </c>
      <c r="G24751" s="3" t="s">
        <v>41131</v>
      </c>
    </row>
    <row r="24752">
      <c r="A24752" s="3" t="s">
        <v>41132</v>
      </c>
      <c r="B24752" s="3" t="s">
        <v>20291</v>
      </c>
      <c r="C24752" s="5" t="s">
        <v>614</v>
      </c>
      <c r="D24752" s="3" t="s">
        <v>206</v>
      </c>
      <c r="E24752" s="3" t="s">
        <v>100</v>
      </c>
      <c r="F24752" s="7">
        <v>46222.02554397082</v>
      </c>
      <c r="G24752" s="3" t="s">
        <v>41133</v>
      </c>
    </row>
    <row r="24753">
      <c r="A24753" s="3" t="s">
        <v>41134</v>
      </c>
      <c r="B24753" s="3" t="s">
        <v>20291</v>
      </c>
      <c r="C24753" s="5" t="s">
        <v>206</v>
      </c>
      <c r="D24753" s="3" t="s">
        <v>68</v>
      </c>
      <c r="E24753" s="3" t="s">
        <v>100</v>
      </c>
      <c r="F24753" s="7">
        <v>46222.02901619304</v>
      </c>
      <c r="G24753" s="3" t="s">
        <v>41135</v>
      </c>
    </row>
    <row r="24754">
      <c r="A24754" s="3" t="s">
        <v>41136</v>
      </c>
      <c r="B24754" s="3" t="s">
        <v>20293</v>
      </c>
      <c r="C24754" s="5" t="s">
        <v>45</v>
      </c>
      <c r="D24754" s="3" t="s">
        <v>221</v>
      </c>
      <c r="E24754" s="3" t="s">
        <v>591</v>
      </c>
      <c r="F24754" s="7">
        <v>46222.08977437179</v>
      </c>
      <c r="G24754" s="3" t="s">
        <v>8580</v>
      </c>
    </row>
    <row r="24755">
      <c r="A24755" s="3" t="s">
        <v>41137</v>
      </c>
      <c r="B24755" s="3" t="s">
        <v>20293</v>
      </c>
      <c r="C24755" s="5" t="s">
        <v>221</v>
      </c>
      <c r="D24755" s="3" t="s">
        <v>614</v>
      </c>
      <c r="E24755" s="3" t="s">
        <v>118</v>
      </c>
      <c r="F24755" s="7">
        <v>46222.093246594006</v>
      </c>
      <c r="G24755" s="3" t="s">
        <v>8583</v>
      </c>
    </row>
    <row r="24756">
      <c r="A24756" s="3" t="s">
        <v>41138</v>
      </c>
      <c r="B24756" s="3" t="s">
        <v>20293</v>
      </c>
      <c r="C24756" s="5" t="s">
        <v>614</v>
      </c>
      <c r="D24756" s="3" t="s">
        <v>206</v>
      </c>
      <c r="E24756" s="3" t="s">
        <v>100</v>
      </c>
      <c r="F24756" s="7">
        <v>46222.09671881623</v>
      </c>
      <c r="G24756" s="3" t="s">
        <v>8586</v>
      </c>
    </row>
    <row r="24757">
      <c r="A24757" s="3" t="s">
        <v>41139</v>
      </c>
      <c r="B24757" s="3" t="s">
        <v>20293</v>
      </c>
      <c r="C24757" s="5" t="s">
        <v>206</v>
      </c>
      <c r="D24757" s="3" t="s">
        <v>68</v>
      </c>
      <c r="E24757" s="3" t="s">
        <v>100</v>
      </c>
      <c r="F24757" s="7">
        <v>46222.10019103845</v>
      </c>
      <c r="G24757" s="3" t="s">
        <v>8589</v>
      </c>
    </row>
    <row r="24758">
      <c r="A24758" s="3" t="s">
        <v>41140</v>
      </c>
      <c r="B24758" s="3" t="s">
        <v>20296</v>
      </c>
      <c r="C24758" s="5" t="s">
        <v>45</v>
      </c>
      <c r="D24758" s="3" t="s">
        <v>221</v>
      </c>
      <c r="E24758" s="3" t="s">
        <v>980</v>
      </c>
      <c r="F24758" s="7">
        <v>46222.16094921721</v>
      </c>
      <c r="G24758" s="3" t="s">
        <v>9168</v>
      </c>
    </row>
    <row r="24759">
      <c r="A24759" s="3" t="s">
        <v>41141</v>
      </c>
      <c r="B24759" s="3" t="s">
        <v>20296</v>
      </c>
      <c r="C24759" s="5" t="s">
        <v>221</v>
      </c>
      <c r="D24759" s="3" t="s">
        <v>195</v>
      </c>
      <c r="E24759" s="3" t="s">
        <v>980</v>
      </c>
      <c r="F24759" s="7">
        <v>46222.164421439425</v>
      </c>
      <c r="G24759" s="3" t="s">
        <v>41142</v>
      </c>
    </row>
    <row r="24760">
      <c r="A24760" s="3" t="s">
        <v>41143</v>
      </c>
      <c r="B24760" s="3" t="s">
        <v>20300</v>
      </c>
      <c r="C24760" s="5" t="s">
        <v>45</v>
      </c>
      <c r="D24760" s="3" t="s">
        <v>221</v>
      </c>
      <c r="E24760" s="3" t="s">
        <v>765</v>
      </c>
      <c r="F24760" s="7">
        <v>46222.232124062626</v>
      </c>
      <c r="G24760" s="3" t="s">
        <v>11508</v>
      </c>
    </row>
    <row r="24761">
      <c r="A24761" s="3" t="s">
        <v>41144</v>
      </c>
      <c r="B24761" s="3" t="s">
        <v>20300</v>
      </c>
      <c r="C24761" s="5" t="s">
        <v>221</v>
      </c>
      <c r="D24761" s="3" t="s">
        <v>614</v>
      </c>
      <c r="E24761" s="3" t="s">
        <v>118</v>
      </c>
      <c r="F24761" s="7">
        <v>46222.235596284845</v>
      </c>
      <c r="G24761" s="3" t="s">
        <v>11511</v>
      </c>
    </row>
    <row r="24762">
      <c r="A24762" s="3" t="s">
        <v>41145</v>
      </c>
      <c r="B24762" s="3" t="s">
        <v>20300</v>
      </c>
      <c r="C24762" s="5" t="s">
        <v>614</v>
      </c>
      <c r="D24762" s="3" t="s">
        <v>206</v>
      </c>
      <c r="E24762" s="3" t="s">
        <v>100</v>
      </c>
      <c r="F24762" s="7">
        <v>46222.23906850707</v>
      </c>
      <c r="G24762" s="3" t="s">
        <v>11513</v>
      </c>
    </row>
    <row r="24763">
      <c r="A24763" s="3" t="s">
        <v>41146</v>
      </c>
      <c r="B24763" s="3" t="s">
        <v>20300</v>
      </c>
      <c r="C24763" s="5" t="s">
        <v>206</v>
      </c>
      <c r="D24763" s="3" t="s">
        <v>68</v>
      </c>
      <c r="E24763" s="3" t="s">
        <v>100</v>
      </c>
      <c r="F24763" s="7">
        <v>46222.24254072929</v>
      </c>
      <c r="G24763" s="3" t="s">
        <v>11516</v>
      </c>
    </row>
    <row r="24764">
      <c r="A24764" s="3" t="s">
        <v>41147</v>
      </c>
      <c r="B24764" s="3" t="s">
        <v>20302</v>
      </c>
      <c r="C24764" s="5" t="s">
        <v>45</v>
      </c>
      <c r="D24764" s="3" t="s">
        <v>221</v>
      </c>
      <c r="E24764" s="3" t="s">
        <v>510</v>
      </c>
      <c r="F24764" s="7">
        <v>46222.30329890803</v>
      </c>
      <c r="G24764" s="3" t="s">
        <v>8654</v>
      </c>
    </row>
    <row r="24765">
      <c r="A24765" s="3" t="s">
        <v>41148</v>
      </c>
      <c r="B24765" s="3" t="s">
        <v>20302</v>
      </c>
      <c r="C24765" s="5" t="s">
        <v>221</v>
      </c>
      <c r="D24765" s="3" t="s">
        <v>614</v>
      </c>
      <c r="E24765" s="3" t="s">
        <v>118</v>
      </c>
      <c r="F24765" s="7">
        <v>46222.30677113025</v>
      </c>
      <c r="G24765" s="3" t="s">
        <v>8657</v>
      </c>
    </row>
    <row r="24766">
      <c r="A24766" s="3" t="s">
        <v>41149</v>
      </c>
      <c r="B24766" s="3" t="s">
        <v>20302</v>
      </c>
      <c r="C24766" s="5" t="s">
        <v>614</v>
      </c>
      <c r="D24766" s="3" t="s">
        <v>206</v>
      </c>
      <c r="E24766" s="3" t="s">
        <v>100</v>
      </c>
      <c r="F24766" s="7">
        <v>46222.31024335248</v>
      </c>
      <c r="G24766" s="3" t="s">
        <v>8659</v>
      </c>
    </row>
    <row r="24767">
      <c r="A24767" s="3" t="s">
        <v>41150</v>
      </c>
      <c r="B24767" s="3" t="s">
        <v>20302</v>
      </c>
      <c r="C24767" s="5" t="s">
        <v>206</v>
      </c>
      <c r="D24767" s="3" t="s">
        <v>68</v>
      </c>
      <c r="E24767" s="3" t="s">
        <v>100</v>
      </c>
      <c r="F24767" s="7">
        <v>46222.313715574695</v>
      </c>
      <c r="G24767" s="3" t="s">
        <v>8662</v>
      </c>
    </row>
    <row r="24768">
      <c r="A24768" s="3" t="s">
        <v>41151</v>
      </c>
      <c r="B24768" s="3" t="s">
        <v>20306</v>
      </c>
      <c r="C24768" s="5" t="s">
        <v>45</v>
      </c>
      <c r="D24768" s="3" t="s">
        <v>221</v>
      </c>
      <c r="E24768" s="3" t="s">
        <v>310</v>
      </c>
      <c r="F24768" s="7">
        <v>46222.37447375345</v>
      </c>
      <c r="G24768" s="3" t="s">
        <v>8769</v>
      </c>
    </row>
    <row r="24769">
      <c r="A24769" s="3" t="s">
        <v>41152</v>
      </c>
      <c r="B24769" s="3" t="s">
        <v>20306</v>
      </c>
      <c r="C24769" s="5" t="s">
        <v>221</v>
      </c>
      <c r="D24769" s="3" t="s">
        <v>614</v>
      </c>
      <c r="E24769" s="3" t="s">
        <v>118</v>
      </c>
      <c r="F24769" s="7">
        <v>46222.37794597567</v>
      </c>
      <c r="G24769" s="3" t="s">
        <v>8772</v>
      </c>
    </row>
    <row r="24770">
      <c r="A24770" s="3" t="s">
        <v>41153</v>
      </c>
      <c r="B24770" s="3" t="s">
        <v>20306</v>
      </c>
      <c r="C24770" s="5" t="s">
        <v>614</v>
      </c>
      <c r="D24770" s="3" t="s">
        <v>206</v>
      </c>
      <c r="E24770" s="3" t="s">
        <v>100</v>
      </c>
      <c r="F24770" s="7">
        <v>46222.381418197896</v>
      </c>
      <c r="G24770" s="3" t="s">
        <v>8775</v>
      </c>
    </row>
    <row r="24771">
      <c r="A24771" s="3" t="s">
        <v>41154</v>
      </c>
      <c r="B24771" s="3" t="s">
        <v>20306</v>
      </c>
      <c r="C24771" s="5" t="s">
        <v>206</v>
      </c>
      <c r="D24771" s="3" t="s">
        <v>68</v>
      </c>
      <c r="E24771" s="3" t="s">
        <v>100</v>
      </c>
      <c r="F24771" s="7">
        <v>46222.384890420115</v>
      </c>
      <c r="G24771" s="3" t="s">
        <v>8778</v>
      </c>
    </row>
    <row r="24772">
      <c r="A24772" s="3" t="s">
        <v>41155</v>
      </c>
      <c r="B24772" s="3" t="s">
        <v>20309</v>
      </c>
      <c r="C24772" s="5" t="s">
        <v>45</v>
      </c>
      <c r="D24772" s="3" t="s">
        <v>221</v>
      </c>
      <c r="E24772" s="3" t="s">
        <v>1026</v>
      </c>
      <c r="F24772" s="7">
        <v>46222.44564859887</v>
      </c>
      <c r="G24772" s="3" t="s">
        <v>15734</v>
      </c>
    </row>
    <row r="24773">
      <c r="A24773" s="3" t="s">
        <v>41156</v>
      </c>
      <c r="B24773" s="3" t="s">
        <v>20309</v>
      </c>
      <c r="C24773" s="5" t="s">
        <v>221</v>
      </c>
      <c r="D24773" s="3" t="s">
        <v>614</v>
      </c>
      <c r="E24773" s="3" t="s">
        <v>118</v>
      </c>
      <c r="F24773" s="7">
        <v>46222.44912082109</v>
      </c>
      <c r="G24773" s="3" t="s">
        <v>15737</v>
      </c>
    </row>
    <row r="24774">
      <c r="A24774" s="3" t="s">
        <v>41157</v>
      </c>
      <c r="B24774" s="3" t="s">
        <v>20309</v>
      </c>
      <c r="C24774" s="5" t="s">
        <v>614</v>
      </c>
      <c r="D24774" s="3" t="s">
        <v>206</v>
      </c>
      <c r="E24774" s="3" t="s">
        <v>100</v>
      </c>
      <c r="F24774" s="7">
        <v>46222.452593043316</v>
      </c>
      <c r="G24774" s="3" t="s">
        <v>15740</v>
      </c>
    </row>
    <row r="24775">
      <c r="A24775" s="3" t="s">
        <v>41158</v>
      </c>
      <c r="B24775" s="3" t="s">
        <v>20309</v>
      </c>
      <c r="C24775" s="5" t="s">
        <v>206</v>
      </c>
      <c r="D24775" s="3" t="s">
        <v>68</v>
      </c>
      <c r="E24775" s="3" t="s">
        <v>100</v>
      </c>
      <c r="F24775" s="7">
        <v>46222.456065265535</v>
      </c>
      <c r="G24775" s="3" t="s">
        <v>15743</v>
      </c>
    </row>
    <row r="24776">
      <c r="A24776" s="3" t="s">
        <v>41159</v>
      </c>
      <c r="B24776" s="3" t="s">
        <v>20312</v>
      </c>
      <c r="C24776" s="5" t="s">
        <v>45</v>
      </c>
      <c r="D24776" s="3" t="s">
        <v>221</v>
      </c>
      <c r="E24776" s="3" t="s">
        <v>366</v>
      </c>
      <c r="F24776" s="7">
        <v>46222.51682344428</v>
      </c>
      <c r="G24776" s="3" t="s">
        <v>19792</v>
      </c>
    </row>
    <row r="24777">
      <c r="A24777" s="3" t="s">
        <v>41160</v>
      </c>
      <c r="B24777" s="3" t="s">
        <v>20312</v>
      </c>
      <c r="C24777" s="5" t="s">
        <v>221</v>
      </c>
      <c r="D24777" s="3" t="s">
        <v>614</v>
      </c>
      <c r="E24777" s="3" t="s">
        <v>118</v>
      </c>
      <c r="F24777" s="7">
        <v>46222.5202956665</v>
      </c>
      <c r="G24777" s="3" t="s">
        <v>19794</v>
      </c>
    </row>
    <row r="24778">
      <c r="A24778" s="3" t="s">
        <v>41161</v>
      </c>
      <c r="B24778" s="3" t="s">
        <v>20312</v>
      </c>
      <c r="C24778" s="5" t="s">
        <v>614</v>
      </c>
      <c r="D24778" s="3" t="s">
        <v>206</v>
      </c>
      <c r="E24778" s="3" t="s">
        <v>100</v>
      </c>
      <c r="F24778" s="7">
        <v>46222.52376788873</v>
      </c>
      <c r="G24778" s="3" t="s">
        <v>19797</v>
      </c>
    </row>
    <row r="24779">
      <c r="A24779" s="3" t="s">
        <v>41162</v>
      </c>
      <c r="B24779" s="3" t="s">
        <v>20312</v>
      </c>
      <c r="C24779" s="5" t="s">
        <v>206</v>
      </c>
      <c r="D24779" s="3" t="s">
        <v>68</v>
      </c>
      <c r="E24779" s="3" t="s">
        <v>100</v>
      </c>
      <c r="F24779" s="7">
        <v>46222.52724011095</v>
      </c>
      <c r="G24779" s="3" t="s">
        <v>19800</v>
      </c>
    </row>
    <row r="24780">
      <c r="A24780" s="3" t="s">
        <v>41163</v>
      </c>
      <c r="B24780" s="3" t="s">
        <v>20314</v>
      </c>
      <c r="C24780" s="5" t="s">
        <v>45</v>
      </c>
      <c r="D24780" s="3" t="s">
        <v>221</v>
      </c>
      <c r="E24780" s="3" t="s">
        <v>165</v>
      </c>
      <c r="F24780" s="7">
        <v>46222.587998289695</v>
      </c>
      <c r="G24780" s="3" t="s">
        <v>8676</v>
      </c>
    </row>
    <row r="24781">
      <c r="A24781" s="3" t="s">
        <v>41164</v>
      </c>
      <c r="B24781" s="3" t="s">
        <v>20314</v>
      </c>
      <c r="C24781" s="5" t="s">
        <v>221</v>
      </c>
      <c r="D24781" s="3" t="s">
        <v>181</v>
      </c>
      <c r="E24781" s="3" t="s">
        <v>118</v>
      </c>
      <c r="F24781" s="7">
        <v>46222.591470511914</v>
      </c>
      <c r="G24781" s="3" t="s">
        <v>34116</v>
      </c>
    </row>
    <row r="24782">
      <c r="A24782" s="3" t="s">
        <v>41165</v>
      </c>
      <c r="B24782" s="3" t="s">
        <v>20316</v>
      </c>
      <c r="C24782" s="5" t="s">
        <v>45</v>
      </c>
      <c r="D24782" s="3" t="s">
        <v>221</v>
      </c>
      <c r="E24782" s="3" t="s">
        <v>455</v>
      </c>
      <c r="F24782" s="7">
        <v>46222.659173135115</v>
      </c>
      <c r="G24782" s="3" t="s">
        <v>8827</v>
      </c>
    </row>
    <row r="24783">
      <c r="A24783" s="3" t="s">
        <v>41166</v>
      </c>
      <c r="B24783" s="3" t="s">
        <v>20316</v>
      </c>
      <c r="C24783" s="5" t="s">
        <v>221</v>
      </c>
      <c r="D24783" s="3" t="s">
        <v>614</v>
      </c>
      <c r="E24783" s="3" t="s">
        <v>118</v>
      </c>
      <c r="F24783" s="7">
        <v>46222.66264535733</v>
      </c>
      <c r="G24783" s="3" t="s">
        <v>8830</v>
      </c>
    </row>
    <row r="24784">
      <c r="A24784" s="3" t="s">
        <v>41167</v>
      </c>
      <c r="B24784" s="3" t="s">
        <v>20316</v>
      </c>
      <c r="C24784" s="5" t="s">
        <v>614</v>
      </c>
      <c r="D24784" s="3" t="s">
        <v>206</v>
      </c>
      <c r="E24784" s="3" t="s">
        <v>100</v>
      </c>
      <c r="F24784" s="7">
        <v>46222.66611757956</v>
      </c>
      <c r="G24784" s="3" t="s">
        <v>8833</v>
      </c>
    </row>
    <row r="24785">
      <c r="A24785" s="3" t="s">
        <v>41168</v>
      </c>
      <c r="B24785" s="3" t="s">
        <v>20316</v>
      </c>
      <c r="C24785" s="5" t="s">
        <v>206</v>
      </c>
      <c r="D24785" s="3" t="s">
        <v>68</v>
      </c>
      <c r="E24785" s="3" t="s">
        <v>100</v>
      </c>
      <c r="F24785" s="7">
        <v>46222.66958980178</v>
      </c>
      <c r="G24785" s="3" t="s">
        <v>8836</v>
      </c>
    </row>
    <row r="24786">
      <c r="A24786" s="3" t="s">
        <v>41169</v>
      </c>
      <c r="B24786" s="3" t="s">
        <v>20319</v>
      </c>
      <c r="C24786" s="5" t="s">
        <v>45</v>
      </c>
      <c r="D24786" s="3" t="s">
        <v>221</v>
      </c>
      <c r="E24786" s="3" t="s">
        <v>424</v>
      </c>
      <c r="F24786" s="7">
        <v>46222.73034798053</v>
      </c>
      <c r="G24786" s="3" t="s">
        <v>20858</v>
      </c>
    </row>
    <row r="24787">
      <c r="A24787" s="3" t="s">
        <v>41170</v>
      </c>
      <c r="B24787" s="3" t="s">
        <v>20319</v>
      </c>
      <c r="C24787" s="5" t="s">
        <v>221</v>
      </c>
      <c r="D24787" s="3" t="s">
        <v>614</v>
      </c>
      <c r="E24787" s="3" t="s">
        <v>118</v>
      </c>
      <c r="F24787" s="7">
        <v>46222.733820202746</v>
      </c>
      <c r="G24787" s="3" t="s">
        <v>21682</v>
      </c>
    </row>
    <row r="24788">
      <c r="A24788" s="3" t="s">
        <v>41171</v>
      </c>
      <c r="B24788" s="3" t="s">
        <v>20319</v>
      </c>
      <c r="C24788" s="5" t="s">
        <v>614</v>
      </c>
      <c r="D24788" s="3" t="s">
        <v>206</v>
      </c>
      <c r="E24788" s="3" t="s">
        <v>100</v>
      </c>
      <c r="F24788" s="7">
        <v>46222.73729242497</v>
      </c>
      <c r="G24788" s="3" t="s">
        <v>21685</v>
      </c>
    </row>
    <row r="24789">
      <c r="A24789" s="3" t="s">
        <v>41172</v>
      </c>
      <c r="B24789" s="3" t="s">
        <v>20319</v>
      </c>
      <c r="C24789" s="5" t="s">
        <v>206</v>
      </c>
      <c r="D24789" s="3" t="s">
        <v>68</v>
      </c>
      <c r="E24789" s="3" t="s">
        <v>100</v>
      </c>
      <c r="F24789" s="7">
        <v>46222.74076464719</v>
      </c>
      <c r="G24789" s="3" t="s">
        <v>21687</v>
      </c>
    </row>
    <row r="24790">
      <c r="A24790" s="3" t="s">
        <v>41173</v>
      </c>
      <c r="B24790" s="3" t="s">
        <v>20321</v>
      </c>
      <c r="C24790" s="5" t="s">
        <v>45</v>
      </c>
      <c r="D24790" s="3" t="s">
        <v>221</v>
      </c>
      <c r="E24790" s="3" t="s">
        <v>449</v>
      </c>
      <c r="F24790" s="7">
        <v>46222.80152282594</v>
      </c>
      <c r="G24790" s="3" t="s">
        <v>20264</v>
      </c>
    </row>
    <row r="24791">
      <c r="A24791" s="3" t="s">
        <v>41174</v>
      </c>
      <c r="B24791" s="3" t="s">
        <v>20321</v>
      </c>
      <c r="C24791" s="5" t="s">
        <v>221</v>
      </c>
      <c r="D24791" s="3" t="s">
        <v>614</v>
      </c>
      <c r="E24791" s="3" t="s">
        <v>118</v>
      </c>
      <c r="F24791" s="7">
        <v>46222.80499504816</v>
      </c>
      <c r="G24791" s="3" t="s">
        <v>20267</v>
      </c>
    </row>
    <row r="24792">
      <c r="A24792" s="3" t="s">
        <v>41175</v>
      </c>
      <c r="B24792" s="3" t="s">
        <v>20321</v>
      </c>
      <c r="C24792" s="5" t="s">
        <v>614</v>
      </c>
      <c r="D24792" s="3" t="s">
        <v>206</v>
      </c>
      <c r="E24792" s="3" t="s">
        <v>100</v>
      </c>
      <c r="F24792" s="7">
        <v>46222.808467270384</v>
      </c>
      <c r="G24792" s="3" t="s">
        <v>20270</v>
      </c>
    </row>
    <row r="24793">
      <c r="A24793" s="3" t="s">
        <v>41176</v>
      </c>
      <c r="B24793" s="3" t="s">
        <v>20321</v>
      </c>
      <c r="C24793" s="5" t="s">
        <v>206</v>
      </c>
      <c r="D24793" s="3" t="s">
        <v>68</v>
      </c>
      <c r="E24793" s="3" t="s">
        <v>100</v>
      </c>
      <c r="F24793" s="7">
        <v>46222.8119394926</v>
      </c>
      <c r="G24793" s="3" t="s">
        <v>20273</v>
      </c>
    </row>
    <row r="24794">
      <c r="A24794" s="3" t="s">
        <v>41177</v>
      </c>
      <c r="B24794" s="3" t="s">
        <v>20324</v>
      </c>
      <c r="C24794" s="5" t="s">
        <v>45</v>
      </c>
      <c r="D24794" s="3" t="s">
        <v>221</v>
      </c>
      <c r="E24794" s="3" t="s">
        <v>546</v>
      </c>
      <c r="F24794" s="7">
        <v>46222.87269767136</v>
      </c>
      <c r="G24794" s="3" t="s">
        <v>25632</v>
      </c>
    </row>
    <row r="24795">
      <c r="A24795" s="3" t="s">
        <v>41178</v>
      </c>
      <c r="B24795" s="3" t="s">
        <v>20324</v>
      </c>
      <c r="C24795" s="5" t="s">
        <v>221</v>
      </c>
      <c r="D24795" s="3" t="s">
        <v>614</v>
      </c>
      <c r="E24795" s="3" t="s">
        <v>118</v>
      </c>
      <c r="F24795" s="7">
        <v>46222.87616989358</v>
      </c>
      <c r="G24795" s="3" t="s">
        <v>25634</v>
      </c>
    </row>
    <row r="24796">
      <c r="A24796" s="3" t="s">
        <v>41179</v>
      </c>
      <c r="B24796" s="3" t="s">
        <v>20324</v>
      </c>
      <c r="C24796" s="5" t="s">
        <v>614</v>
      </c>
      <c r="D24796" s="3" t="s">
        <v>206</v>
      </c>
      <c r="E24796" s="3" t="s">
        <v>100</v>
      </c>
      <c r="F24796" s="7">
        <v>46222.879642115804</v>
      </c>
      <c r="G24796" s="3" t="s">
        <v>25636</v>
      </c>
    </row>
    <row r="24797">
      <c r="A24797" s="3" t="s">
        <v>41180</v>
      </c>
      <c r="B24797" s="3" t="s">
        <v>20324</v>
      </c>
      <c r="C24797" s="5" t="s">
        <v>206</v>
      </c>
      <c r="D24797" s="3" t="s">
        <v>68</v>
      </c>
      <c r="E24797" s="3" t="s">
        <v>100</v>
      </c>
      <c r="F24797" s="7">
        <v>46222.88311433802</v>
      </c>
      <c r="G24797" s="3" t="s">
        <v>25638</v>
      </c>
    </row>
    <row r="24798">
      <c r="A24798" s="3" t="s">
        <v>41181</v>
      </c>
      <c r="B24798" s="3" t="s">
        <v>20326</v>
      </c>
      <c r="C24798" s="5" t="s">
        <v>45</v>
      </c>
      <c r="D24798" s="3" t="s">
        <v>221</v>
      </c>
      <c r="E24798" s="3" t="s">
        <v>816</v>
      </c>
      <c r="F24798" s="7">
        <v>46222.94387251677</v>
      </c>
      <c r="G24798" s="3" t="s">
        <v>25512</v>
      </c>
    </row>
    <row r="24799">
      <c r="A24799" s="3" t="s">
        <v>41182</v>
      </c>
      <c r="B24799" s="3" t="s">
        <v>20326</v>
      </c>
      <c r="C24799" s="5" t="s">
        <v>221</v>
      </c>
      <c r="D24799" s="3" t="s">
        <v>614</v>
      </c>
      <c r="E24799" s="3" t="s">
        <v>118</v>
      </c>
      <c r="F24799" s="7">
        <v>46222.94734473899</v>
      </c>
      <c r="G24799" s="3" t="s">
        <v>25514</v>
      </c>
    </row>
    <row r="24800">
      <c r="A24800" s="3" t="s">
        <v>41183</v>
      </c>
      <c r="B24800" s="3" t="s">
        <v>20326</v>
      </c>
      <c r="C24800" s="5" t="s">
        <v>614</v>
      </c>
      <c r="D24800" s="3" t="s">
        <v>206</v>
      </c>
      <c r="E24800" s="3" t="s">
        <v>100</v>
      </c>
      <c r="F24800" s="7">
        <v>46222.950816961216</v>
      </c>
      <c r="G24800" s="3" t="s">
        <v>25516</v>
      </c>
    </row>
    <row r="24801">
      <c r="A24801" s="3" t="s">
        <v>41184</v>
      </c>
      <c r="B24801" s="3" t="s">
        <v>20326</v>
      </c>
      <c r="C24801" s="5" t="s">
        <v>206</v>
      </c>
      <c r="D24801" s="3" t="s">
        <v>68</v>
      </c>
      <c r="E24801" s="3" t="s">
        <v>100</v>
      </c>
      <c r="F24801" s="7">
        <v>46222.954289183435</v>
      </c>
      <c r="G24801" s="3" t="s">
        <v>25518</v>
      </c>
    </row>
    <row r="24802">
      <c r="A24802" s="3" t="s">
        <v>41185</v>
      </c>
      <c r="B24802" s="3" t="s">
        <v>20328</v>
      </c>
      <c r="C24802" s="5" t="s">
        <v>45</v>
      </c>
      <c r="D24802" s="3" t="s">
        <v>221</v>
      </c>
      <c r="E24802" s="3" t="s">
        <v>502</v>
      </c>
      <c r="F24802" s="7">
        <v>46223.01504736218</v>
      </c>
      <c r="G24802" s="3" t="s">
        <v>25071</v>
      </c>
    </row>
    <row r="24803">
      <c r="A24803" s="3" t="s">
        <v>41186</v>
      </c>
      <c r="B24803" s="3" t="s">
        <v>20328</v>
      </c>
      <c r="C24803" s="5" t="s">
        <v>221</v>
      </c>
      <c r="D24803" s="3" t="s">
        <v>614</v>
      </c>
      <c r="E24803" s="3" t="s">
        <v>118</v>
      </c>
      <c r="F24803" s="7">
        <v>46223.0185195844</v>
      </c>
      <c r="G24803" s="3" t="s">
        <v>25073</v>
      </c>
    </row>
    <row r="24804">
      <c r="A24804" s="3" t="s">
        <v>41187</v>
      </c>
      <c r="B24804" s="3" t="s">
        <v>20328</v>
      </c>
      <c r="C24804" s="5" t="s">
        <v>614</v>
      </c>
      <c r="D24804" s="3" t="s">
        <v>206</v>
      </c>
      <c r="E24804" s="3" t="s">
        <v>100</v>
      </c>
      <c r="F24804" s="7">
        <v>46223.02199180663</v>
      </c>
      <c r="G24804" s="3" t="s">
        <v>25075</v>
      </c>
    </row>
    <row r="24805">
      <c r="A24805" s="3" t="s">
        <v>41188</v>
      </c>
      <c r="B24805" s="3" t="s">
        <v>20328</v>
      </c>
      <c r="C24805" s="5" t="s">
        <v>206</v>
      </c>
      <c r="D24805" s="3" t="s">
        <v>68</v>
      </c>
      <c r="E24805" s="3" t="s">
        <v>100</v>
      </c>
      <c r="F24805" s="7">
        <v>46223.02546402885</v>
      </c>
      <c r="G24805" s="3" t="s">
        <v>25077</v>
      </c>
    </row>
    <row r="24806">
      <c r="A24806" s="3" t="s">
        <v>41189</v>
      </c>
      <c r="B24806" s="3" t="s">
        <v>20330</v>
      </c>
      <c r="C24806" s="5" t="s">
        <v>45</v>
      </c>
      <c r="D24806" s="3" t="s">
        <v>221</v>
      </c>
      <c r="E24806" s="3" t="s">
        <v>612</v>
      </c>
      <c r="F24806" s="7">
        <v>46223.0862222076</v>
      </c>
      <c r="G24806" s="3" t="s">
        <v>20187</v>
      </c>
    </row>
    <row r="24807">
      <c r="A24807" s="3" t="s">
        <v>41190</v>
      </c>
      <c r="B24807" s="3" t="s">
        <v>20330</v>
      </c>
      <c r="C24807" s="5" t="s">
        <v>221</v>
      </c>
      <c r="D24807" s="3" t="s">
        <v>181</v>
      </c>
      <c r="E24807" s="3" t="s">
        <v>118</v>
      </c>
      <c r="F24807" s="7">
        <v>46223.08969442982</v>
      </c>
      <c r="G24807" s="3" t="s">
        <v>23754</v>
      </c>
    </row>
    <row r="24808">
      <c r="A24808" s="3" t="s">
        <v>41191</v>
      </c>
      <c r="B24808" s="3" t="s">
        <v>20333</v>
      </c>
      <c r="C24808" s="5" t="s">
        <v>45</v>
      </c>
      <c r="D24808" s="3" t="s">
        <v>221</v>
      </c>
      <c r="E24808" s="3" t="s">
        <v>419</v>
      </c>
      <c r="F24808" s="7">
        <v>46223.157397053015</v>
      </c>
      <c r="G24808" s="3" t="s">
        <v>18380</v>
      </c>
    </row>
    <row r="24809">
      <c r="A24809" s="3" t="s">
        <v>41192</v>
      </c>
      <c r="B24809" s="3" t="s">
        <v>20333</v>
      </c>
      <c r="C24809" s="5" t="s">
        <v>221</v>
      </c>
      <c r="D24809" s="3" t="s">
        <v>614</v>
      </c>
      <c r="E24809" s="3" t="s">
        <v>118</v>
      </c>
      <c r="F24809" s="7">
        <v>46223.160869275234</v>
      </c>
      <c r="G24809" s="3" t="s">
        <v>18383</v>
      </c>
    </row>
    <row r="24810">
      <c r="A24810" s="3" t="s">
        <v>41193</v>
      </c>
      <c r="B24810" s="3" t="s">
        <v>20333</v>
      </c>
      <c r="C24810" s="5" t="s">
        <v>614</v>
      </c>
      <c r="D24810" s="3" t="s">
        <v>206</v>
      </c>
      <c r="E24810" s="3" t="s">
        <v>100</v>
      </c>
      <c r="F24810" s="7">
        <v>46223.16434149746</v>
      </c>
      <c r="G24810" s="3" t="s">
        <v>18386</v>
      </c>
    </row>
    <row r="24811">
      <c r="A24811" s="3" t="s">
        <v>41194</v>
      </c>
      <c r="B24811" s="3" t="s">
        <v>20333</v>
      </c>
      <c r="C24811" s="5" t="s">
        <v>206</v>
      </c>
      <c r="D24811" s="3" t="s">
        <v>68</v>
      </c>
      <c r="E24811" s="3" t="s">
        <v>100</v>
      </c>
      <c r="F24811" s="7">
        <v>46223.16781371968</v>
      </c>
      <c r="G24811" s="3" t="s">
        <v>18389</v>
      </c>
    </row>
    <row r="24812">
      <c r="A24812" s="3" t="s">
        <v>41195</v>
      </c>
      <c r="B24812" s="3" t="s">
        <v>20335</v>
      </c>
      <c r="C24812" s="5" t="s">
        <v>45</v>
      </c>
      <c r="D24812" s="3" t="s">
        <v>221</v>
      </c>
      <c r="E24812" s="3" t="s">
        <v>186</v>
      </c>
      <c r="F24812" s="7">
        <v>46223.22857189843</v>
      </c>
      <c r="G24812" s="3" t="s">
        <v>7413</v>
      </c>
    </row>
    <row r="24813">
      <c r="A24813" s="3" t="s">
        <v>41196</v>
      </c>
      <c r="B24813" s="3" t="s">
        <v>20335</v>
      </c>
      <c r="C24813" s="5" t="s">
        <v>221</v>
      </c>
      <c r="D24813" s="3" t="s">
        <v>614</v>
      </c>
      <c r="E24813" s="3" t="s">
        <v>118</v>
      </c>
      <c r="F24813" s="7">
        <v>46223.23204412065</v>
      </c>
      <c r="G24813" s="3" t="s">
        <v>7416</v>
      </c>
    </row>
    <row r="24814">
      <c r="A24814" s="3" t="s">
        <v>41197</v>
      </c>
      <c r="B24814" s="3" t="s">
        <v>20335</v>
      </c>
      <c r="C24814" s="5" t="s">
        <v>614</v>
      </c>
      <c r="D24814" s="3" t="s">
        <v>206</v>
      </c>
      <c r="E24814" s="3" t="s">
        <v>100</v>
      </c>
      <c r="F24814" s="7">
        <v>46223.23551634287</v>
      </c>
      <c r="G24814" s="3" t="s">
        <v>7418</v>
      </c>
    </row>
    <row r="24815">
      <c r="A24815" s="3" t="s">
        <v>41198</v>
      </c>
      <c r="B24815" s="3" t="s">
        <v>20335</v>
      </c>
      <c r="C24815" s="5" t="s">
        <v>206</v>
      </c>
      <c r="D24815" s="3" t="s">
        <v>68</v>
      </c>
      <c r="E24815" s="3" t="s">
        <v>100</v>
      </c>
      <c r="F24815" s="7">
        <v>46223.23898856509</v>
      </c>
      <c r="G24815" s="3" t="s">
        <v>7421</v>
      </c>
    </row>
    <row r="24816">
      <c r="A24816" s="3" t="s">
        <v>41199</v>
      </c>
      <c r="B24816" s="3" t="s">
        <v>20337</v>
      </c>
      <c r="C24816" s="5" t="s">
        <v>45</v>
      </c>
      <c r="D24816" s="3" t="s">
        <v>221</v>
      </c>
      <c r="E24816" s="3" t="s">
        <v>691</v>
      </c>
      <c r="F24816" s="7">
        <v>46223.29974674385</v>
      </c>
      <c r="G24816" s="3" t="s">
        <v>18208</v>
      </c>
    </row>
    <row r="24817">
      <c r="A24817" s="3" t="s">
        <v>41200</v>
      </c>
      <c r="B24817" s="3" t="s">
        <v>20337</v>
      </c>
      <c r="C24817" s="5" t="s">
        <v>221</v>
      </c>
      <c r="D24817" s="3" t="s">
        <v>181</v>
      </c>
      <c r="E24817" s="3" t="s">
        <v>118</v>
      </c>
      <c r="F24817" s="7">
        <v>46223.303218966066</v>
      </c>
      <c r="G24817" s="3" t="s">
        <v>41201</v>
      </c>
    </row>
    <row r="24818">
      <c r="A24818" s="3" t="s">
        <v>41202</v>
      </c>
      <c r="B24818" s="3" t="s">
        <v>20339</v>
      </c>
      <c r="C24818" s="5" t="s">
        <v>45</v>
      </c>
      <c r="D24818" s="3" t="s">
        <v>221</v>
      </c>
      <c r="E24818" s="3" t="s">
        <v>756</v>
      </c>
      <c r="F24818" s="7">
        <v>46223.37092158927</v>
      </c>
      <c r="G24818" s="3" t="s">
        <v>8839</v>
      </c>
    </row>
    <row r="24819">
      <c r="A24819" s="3" t="s">
        <v>41203</v>
      </c>
      <c r="B24819" s="3" t="s">
        <v>20339</v>
      </c>
      <c r="C24819" s="5" t="s">
        <v>221</v>
      </c>
      <c r="D24819" s="3" t="s">
        <v>614</v>
      </c>
      <c r="E24819" s="3" t="s">
        <v>118</v>
      </c>
      <c r="F24819" s="7">
        <v>46223.374393811486</v>
      </c>
      <c r="G24819" s="3" t="s">
        <v>8842</v>
      </c>
    </row>
    <row r="24820">
      <c r="A24820" s="3" t="s">
        <v>41204</v>
      </c>
      <c r="B24820" s="3" t="s">
        <v>20339</v>
      </c>
      <c r="C24820" s="5" t="s">
        <v>614</v>
      </c>
      <c r="D24820" s="3" t="s">
        <v>206</v>
      </c>
      <c r="E24820" s="3" t="s">
        <v>100</v>
      </c>
      <c r="F24820" s="7">
        <v>46223.37786603371</v>
      </c>
      <c r="G24820" s="3" t="s">
        <v>8845</v>
      </c>
    </row>
    <row r="24821">
      <c r="A24821" s="3" t="s">
        <v>41205</v>
      </c>
      <c r="B24821" s="3" t="s">
        <v>20339</v>
      </c>
      <c r="C24821" s="5" t="s">
        <v>206</v>
      </c>
      <c r="D24821" s="3" t="s">
        <v>68</v>
      </c>
      <c r="E24821" s="3" t="s">
        <v>100</v>
      </c>
      <c r="F24821" s="7">
        <v>46223.38133825593</v>
      </c>
      <c r="G24821" s="3" t="s">
        <v>8848</v>
      </c>
    </row>
    <row r="24822">
      <c r="A24822" s="3" t="s">
        <v>41206</v>
      </c>
      <c r="B24822" s="3" t="s">
        <v>20341</v>
      </c>
      <c r="C24822" s="5" t="s">
        <v>45</v>
      </c>
      <c r="D24822" s="3" t="s">
        <v>221</v>
      </c>
      <c r="E24822" s="3" t="s">
        <v>1040</v>
      </c>
      <c r="F24822" s="7">
        <v>46223.44209643467</v>
      </c>
      <c r="G24822" s="3" t="s">
        <v>6985</v>
      </c>
    </row>
    <row r="24823">
      <c r="A24823" s="3" t="s">
        <v>41207</v>
      </c>
      <c r="B24823" s="3" t="s">
        <v>20341</v>
      </c>
      <c r="C24823" s="5" t="s">
        <v>221</v>
      </c>
      <c r="D24823" s="3" t="s">
        <v>614</v>
      </c>
      <c r="E24823" s="3" t="s">
        <v>118</v>
      </c>
      <c r="F24823" s="7">
        <v>46223.44556865689</v>
      </c>
      <c r="G24823" s="3" t="s">
        <v>6987</v>
      </c>
    </row>
    <row r="24824">
      <c r="A24824" s="3" t="s">
        <v>41208</v>
      </c>
      <c r="B24824" s="3" t="s">
        <v>20341</v>
      </c>
      <c r="C24824" s="5" t="s">
        <v>614</v>
      </c>
      <c r="D24824" s="3" t="s">
        <v>206</v>
      </c>
      <c r="E24824" s="3" t="s">
        <v>100</v>
      </c>
      <c r="F24824" s="7">
        <v>46223.44904087912</v>
      </c>
      <c r="G24824" s="3" t="s">
        <v>6990</v>
      </c>
    </row>
    <row r="24825">
      <c r="A24825" s="3" t="s">
        <v>41209</v>
      </c>
      <c r="B24825" s="3" t="s">
        <v>20341</v>
      </c>
      <c r="C24825" s="5" t="s">
        <v>206</v>
      </c>
      <c r="D24825" s="3" t="s">
        <v>68</v>
      </c>
      <c r="E24825" s="3" t="s">
        <v>100</v>
      </c>
      <c r="F24825" s="7">
        <v>46223.452513101336</v>
      </c>
      <c r="G24825" s="3" t="s">
        <v>6993</v>
      </c>
    </row>
    <row r="24826">
      <c r="A24826" s="3" t="s">
        <v>41210</v>
      </c>
      <c r="B24826" s="3" t="s">
        <v>20343</v>
      </c>
      <c r="C24826" s="5" t="s">
        <v>45</v>
      </c>
      <c r="D24826" s="3" t="s">
        <v>221</v>
      </c>
      <c r="E24826" s="3" t="s">
        <v>819</v>
      </c>
      <c r="F24826" s="7">
        <v>46223.51327128009</v>
      </c>
      <c r="G24826" s="3" t="s">
        <v>13057</v>
      </c>
    </row>
    <row r="24827">
      <c r="A24827" s="3" t="s">
        <v>41211</v>
      </c>
      <c r="B24827" s="3" t="s">
        <v>20343</v>
      </c>
      <c r="C24827" s="5" t="s">
        <v>221</v>
      </c>
      <c r="D24827" s="3" t="s">
        <v>614</v>
      </c>
      <c r="E24827" s="3" t="s">
        <v>118</v>
      </c>
      <c r="F24827" s="7">
        <v>46223.51674350231</v>
      </c>
      <c r="G24827" s="3" t="s">
        <v>13061</v>
      </c>
    </row>
    <row r="24828">
      <c r="A24828" s="3" t="s">
        <v>41212</v>
      </c>
      <c r="B24828" s="3" t="s">
        <v>20343</v>
      </c>
      <c r="C24828" s="5" t="s">
        <v>614</v>
      </c>
      <c r="D24828" s="3" t="s">
        <v>206</v>
      </c>
      <c r="E24828" s="3" t="s">
        <v>100</v>
      </c>
      <c r="F24828" s="7">
        <v>46223.52021572454</v>
      </c>
      <c r="G24828" s="3" t="s">
        <v>13064</v>
      </c>
    </row>
    <row r="24829">
      <c r="A24829" s="3" t="s">
        <v>41213</v>
      </c>
      <c r="B24829" s="3" t="s">
        <v>20343</v>
      </c>
      <c r="C24829" s="5" t="s">
        <v>206</v>
      </c>
      <c r="D24829" s="3" t="s">
        <v>68</v>
      </c>
      <c r="E24829" s="3" t="s">
        <v>100</v>
      </c>
      <c r="F24829" s="7">
        <v>46223.523687946756</v>
      </c>
      <c r="G24829" s="3" t="s">
        <v>13068</v>
      </c>
    </row>
    <row r="24830">
      <c r="A24830" s="3" t="s">
        <v>41214</v>
      </c>
      <c r="B24830" s="3" t="s">
        <v>20345</v>
      </c>
      <c r="C24830" s="5" t="s">
        <v>45</v>
      </c>
      <c r="D24830" s="3" t="s">
        <v>221</v>
      </c>
      <c r="E24830" s="3" t="s">
        <v>472</v>
      </c>
      <c r="F24830" s="7">
        <v>46223.58444612551</v>
      </c>
      <c r="G24830" s="3" t="s">
        <v>14875</v>
      </c>
    </row>
    <row r="24831">
      <c r="A24831" s="3" t="s">
        <v>41215</v>
      </c>
      <c r="B24831" s="3" t="s">
        <v>20345</v>
      </c>
      <c r="C24831" s="5" t="s">
        <v>221</v>
      </c>
      <c r="D24831" s="3" t="s">
        <v>614</v>
      </c>
      <c r="E24831" s="3" t="s">
        <v>118</v>
      </c>
      <c r="F24831" s="7">
        <v>46223.58791834773</v>
      </c>
      <c r="G24831" s="3" t="s">
        <v>14878</v>
      </c>
    </row>
    <row r="24832">
      <c r="A24832" s="3" t="s">
        <v>41216</v>
      </c>
      <c r="B24832" s="3" t="s">
        <v>20345</v>
      </c>
      <c r="C24832" s="5" t="s">
        <v>614</v>
      </c>
      <c r="D24832" s="3" t="s">
        <v>206</v>
      </c>
      <c r="E24832" s="3" t="s">
        <v>100</v>
      </c>
      <c r="F24832" s="7">
        <v>46223.591390569956</v>
      </c>
      <c r="G24832" s="3" t="s">
        <v>14881</v>
      </c>
    </row>
    <row r="24833">
      <c r="A24833" s="3" t="s">
        <v>41217</v>
      </c>
      <c r="B24833" s="3" t="s">
        <v>20345</v>
      </c>
      <c r="C24833" s="5" t="s">
        <v>206</v>
      </c>
      <c r="D24833" s="3" t="s">
        <v>68</v>
      </c>
      <c r="E24833" s="3" t="s">
        <v>100</v>
      </c>
      <c r="F24833" s="7">
        <v>46223.594862792175</v>
      </c>
      <c r="G24833" s="3" t="s">
        <v>14884</v>
      </c>
    </row>
    <row r="24834">
      <c r="A24834" s="3" t="s">
        <v>41218</v>
      </c>
      <c r="B24834" s="3" t="s">
        <v>20348</v>
      </c>
      <c r="C24834" s="5" t="s">
        <v>45</v>
      </c>
      <c r="D24834" s="3" t="s">
        <v>221</v>
      </c>
      <c r="E24834" s="3" t="s">
        <v>586</v>
      </c>
      <c r="F24834" s="7">
        <v>46223.65562097092</v>
      </c>
      <c r="G24834" s="3" t="s">
        <v>19542</v>
      </c>
    </row>
    <row r="24835">
      <c r="A24835" s="3" t="s">
        <v>41219</v>
      </c>
      <c r="B24835" s="3" t="s">
        <v>20348</v>
      </c>
      <c r="C24835" s="5" t="s">
        <v>221</v>
      </c>
      <c r="D24835" s="3" t="s">
        <v>614</v>
      </c>
      <c r="E24835" s="3" t="s">
        <v>118</v>
      </c>
      <c r="F24835" s="7">
        <v>46223.65909319314</v>
      </c>
      <c r="G24835" s="3" t="s">
        <v>19544</v>
      </c>
    </row>
    <row r="24836">
      <c r="A24836" s="3" t="s">
        <v>41220</v>
      </c>
      <c r="B24836" s="3" t="s">
        <v>20348</v>
      </c>
      <c r="C24836" s="5" t="s">
        <v>614</v>
      </c>
      <c r="D24836" s="3" t="s">
        <v>206</v>
      </c>
      <c r="E24836" s="3" t="s">
        <v>100</v>
      </c>
      <c r="F24836" s="7">
        <v>46223.66256541537</v>
      </c>
      <c r="G24836" s="3" t="s">
        <v>19547</v>
      </c>
    </row>
    <row r="24837">
      <c r="A24837" s="3" t="s">
        <v>41221</v>
      </c>
      <c r="B24837" s="3" t="s">
        <v>20348</v>
      </c>
      <c r="C24837" s="5" t="s">
        <v>206</v>
      </c>
      <c r="D24837" s="3" t="s">
        <v>68</v>
      </c>
      <c r="E24837" s="3" t="s">
        <v>100</v>
      </c>
      <c r="F24837" s="7">
        <v>46223.66603763759</v>
      </c>
      <c r="G24837" s="3" t="s">
        <v>19550</v>
      </c>
    </row>
    <row r="24838">
      <c r="A24838" s="3" t="s">
        <v>41222</v>
      </c>
      <c r="B24838" s="3" t="s">
        <v>20350</v>
      </c>
      <c r="C24838" s="5" t="s">
        <v>45</v>
      </c>
      <c r="D24838" s="3" t="s">
        <v>221</v>
      </c>
      <c r="E24838" s="3" t="s">
        <v>877</v>
      </c>
      <c r="F24838" s="7">
        <v>46223.726795816336</v>
      </c>
      <c r="G24838" s="3" t="s">
        <v>8889</v>
      </c>
    </row>
    <row r="24839">
      <c r="A24839" s="3" t="s">
        <v>41223</v>
      </c>
      <c r="B24839" s="3" t="s">
        <v>20350</v>
      </c>
      <c r="C24839" s="5" t="s">
        <v>221</v>
      </c>
      <c r="D24839" s="3" t="s">
        <v>614</v>
      </c>
      <c r="E24839" s="3" t="s">
        <v>118</v>
      </c>
      <c r="F24839" s="7">
        <v>46223.730268038555</v>
      </c>
      <c r="G24839" s="3" t="s">
        <v>8892</v>
      </c>
    </row>
    <row r="24840">
      <c r="A24840" s="3" t="s">
        <v>41224</v>
      </c>
      <c r="B24840" s="3" t="s">
        <v>20350</v>
      </c>
      <c r="C24840" s="5" t="s">
        <v>614</v>
      </c>
      <c r="D24840" s="3" t="s">
        <v>206</v>
      </c>
      <c r="E24840" s="3" t="s">
        <v>100</v>
      </c>
      <c r="F24840" s="7">
        <v>46223.73374026078</v>
      </c>
      <c r="G24840" s="3" t="s">
        <v>8895</v>
      </c>
    </row>
    <row r="24841">
      <c r="A24841" s="3" t="s">
        <v>41225</v>
      </c>
      <c r="B24841" s="3" t="s">
        <v>20350</v>
      </c>
      <c r="C24841" s="5" t="s">
        <v>206</v>
      </c>
      <c r="D24841" s="3" t="s">
        <v>68</v>
      </c>
      <c r="E24841" s="3" t="s">
        <v>100</v>
      </c>
      <c r="F24841" s="7">
        <v>46223.737212483</v>
      </c>
      <c r="G24841" s="3" t="s">
        <v>8898</v>
      </c>
    </row>
    <row r="24842">
      <c r="A24842" s="3" t="s">
        <v>41226</v>
      </c>
      <c r="B24842" s="3" t="s">
        <v>20352</v>
      </c>
      <c r="C24842" s="5" t="s">
        <v>45</v>
      </c>
      <c r="D24842" s="3" t="s">
        <v>221</v>
      </c>
      <c r="E24842" s="3" t="s">
        <v>665</v>
      </c>
      <c r="F24842" s="7">
        <v>46223.797970661755</v>
      </c>
      <c r="G24842" s="3" t="s">
        <v>8901</v>
      </c>
    </row>
    <row r="24843">
      <c r="A24843" s="3" t="s">
        <v>41227</v>
      </c>
      <c r="B24843" s="3" t="s">
        <v>20352</v>
      </c>
      <c r="C24843" s="5" t="s">
        <v>221</v>
      </c>
      <c r="D24843" s="3" t="s">
        <v>614</v>
      </c>
      <c r="E24843" s="3" t="s">
        <v>118</v>
      </c>
      <c r="F24843" s="7">
        <v>46223.801442883974</v>
      </c>
      <c r="G24843" s="3" t="s">
        <v>8904</v>
      </c>
    </row>
    <row r="24844">
      <c r="A24844" s="3" t="s">
        <v>41228</v>
      </c>
      <c r="B24844" s="3" t="s">
        <v>20352</v>
      </c>
      <c r="C24844" s="5" t="s">
        <v>614</v>
      </c>
      <c r="D24844" s="3" t="s">
        <v>206</v>
      </c>
      <c r="E24844" s="3" t="s">
        <v>100</v>
      </c>
      <c r="F24844" s="7">
        <v>46223.8049151062</v>
      </c>
      <c r="G24844" s="3" t="s">
        <v>8907</v>
      </c>
    </row>
    <row r="24845">
      <c r="A24845" s="3" t="s">
        <v>41229</v>
      </c>
      <c r="B24845" s="3" t="s">
        <v>20352</v>
      </c>
      <c r="C24845" s="5" t="s">
        <v>206</v>
      </c>
      <c r="D24845" s="3" t="s">
        <v>68</v>
      </c>
      <c r="E24845" s="3" t="s">
        <v>100</v>
      </c>
      <c r="F24845" s="7">
        <v>46223.80838732842</v>
      </c>
      <c r="G24845" s="3" t="s">
        <v>8910</v>
      </c>
    </row>
    <row r="24846">
      <c r="A24846" s="3" t="s">
        <v>41230</v>
      </c>
      <c r="B24846" s="3" t="s">
        <v>20354</v>
      </c>
      <c r="C24846" s="5" t="s">
        <v>45</v>
      </c>
      <c r="D24846" s="3" t="s">
        <v>221</v>
      </c>
      <c r="E24846" s="3" t="s">
        <v>359</v>
      </c>
      <c r="F24846" s="7">
        <v>46223.86914550717</v>
      </c>
      <c r="G24846" s="3" t="s">
        <v>19372</v>
      </c>
    </row>
    <row r="24847">
      <c r="A24847" s="3" t="s">
        <v>41231</v>
      </c>
      <c r="B24847" s="3" t="s">
        <v>20354</v>
      </c>
      <c r="C24847" s="5" t="s">
        <v>221</v>
      </c>
      <c r="D24847" s="3" t="s">
        <v>614</v>
      </c>
      <c r="E24847" s="3" t="s">
        <v>118</v>
      </c>
      <c r="F24847" s="7">
        <v>46223.87261772939</v>
      </c>
      <c r="G24847" s="3" t="s">
        <v>19374</v>
      </c>
    </row>
    <row r="24848">
      <c r="A24848" s="3" t="s">
        <v>41232</v>
      </c>
      <c r="B24848" s="3" t="s">
        <v>20354</v>
      </c>
      <c r="C24848" s="5" t="s">
        <v>614</v>
      </c>
      <c r="D24848" s="3" t="s">
        <v>206</v>
      </c>
      <c r="E24848" s="3" t="s">
        <v>100</v>
      </c>
      <c r="F24848" s="7">
        <v>46223.87608995161</v>
      </c>
      <c r="G24848" s="3" t="s">
        <v>19377</v>
      </c>
    </row>
    <row r="24849">
      <c r="A24849" s="3" t="s">
        <v>41233</v>
      </c>
      <c r="B24849" s="3" t="s">
        <v>20354</v>
      </c>
      <c r="C24849" s="5" t="s">
        <v>206</v>
      </c>
      <c r="D24849" s="3" t="s">
        <v>68</v>
      </c>
      <c r="E24849" s="3" t="s">
        <v>100</v>
      </c>
      <c r="F24849" s="7">
        <v>46223.87956217383</v>
      </c>
      <c r="G24849" s="3" t="s">
        <v>19380</v>
      </c>
    </row>
    <row r="24850">
      <c r="A24850" s="3" t="s">
        <v>41234</v>
      </c>
      <c r="B24850" s="3" t="s">
        <v>20356</v>
      </c>
      <c r="C24850" s="5" t="s">
        <v>45</v>
      </c>
      <c r="D24850" s="3" t="s">
        <v>221</v>
      </c>
      <c r="E24850" s="3" t="s">
        <v>911</v>
      </c>
      <c r="F24850" s="7">
        <v>46223.94032035258</v>
      </c>
      <c r="G24850" s="3" t="s">
        <v>25261</v>
      </c>
    </row>
    <row r="24851">
      <c r="A24851" s="3" t="s">
        <v>41235</v>
      </c>
      <c r="B24851" s="3" t="s">
        <v>20356</v>
      </c>
      <c r="C24851" s="5" t="s">
        <v>221</v>
      </c>
      <c r="D24851" s="3" t="s">
        <v>614</v>
      </c>
      <c r="E24851" s="3" t="s">
        <v>118</v>
      </c>
      <c r="F24851" s="7">
        <v>46223.9437925748</v>
      </c>
      <c r="G24851" s="3" t="s">
        <v>25263</v>
      </c>
    </row>
    <row r="24852">
      <c r="A24852" s="3" t="s">
        <v>41236</v>
      </c>
      <c r="B24852" s="3" t="s">
        <v>20356</v>
      </c>
      <c r="C24852" s="5" t="s">
        <v>614</v>
      </c>
      <c r="D24852" s="3" t="s">
        <v>206</v>
      </c>
      <c r="E24852" s="3" t="s">
        <v>100</v>
      </c>
      <c r="F24852" s="7">
        <v>46223.947264797025</v>
      </c>
      <c r="G24852" s="3" t="s">
        <v>25265</v>
      </c>
    </row>
    <row r="24853">
      <c r="A24853" s="3" t="s">
        <v>41237</v>
      </c>
      <c r="B24853" s="3" t="s">
        <v>20356</v>
      </c>
      <c r="C24853" s="5" t="s">
        <v>206</v>
      </c>
      <c r="D24853" s="3" t="s">
        <v>68</v>
      </c>
      <c r="E24853" s="3" t="s">
        <v>100</v>
      </c>
      <c r="F24853" s="7">
        <v>46223.950737019244</v>
      </c>
      <c r="G24853" s="3" t="s">
        <v>25267</v>
      </c>
    </row>
    <row r="24854">
      <c r="A24854" s="3" t="s">
        <v>41238</v>
      </c>
      <c r="B24854" s="3" t="s">
        <v>20358</v>
      </c>
      <c r="C24854" s="5" t="s">
        <v>45</v>
      </c>
      <c r="D24854" s="3" t="s">
        <v>221</v>
      </c>
      <c r="E24854" s="3" t="s">
        <v>615</v>
      </c>
      <c r="F24854" s="7">
        <v>46224.011495198</v>
      </c>
      <c r="G24854" s="3" t="s">
        <v>3395</v>
      </c>
    </row>
    <row r="24855">
      <c r="A24855" s="3" t="s">
        <v>41239</v>
      </c>
      <c r="B24855" s="3" t="s">
        <v>20358</v>
      </c>
      <c r="C24855" s="5" t="s">
        <v>221</v>
      </c>
      <c r="D24855" s="3" t="s">
        <v>181</v>
      </c>
      <c r="E24855" s="3" t="s">
        <v>118</v>
      </c>
      <c r="F24855" s="7">
        <v>46224.01496742022</v>
      </c>
      <c r="G24855" s="3" t="s">
        <v>20794</v>
      </c>
    </row>
    <row r="24856">
      <c r="A24856" s="3" t="s">
        <v>41240</v>
      </c>
      <c r="B24856" s="3" t="s">
        <v>20360</v>
      </c>
      <c r="C24856" s="5" t="s">
        <v>45</v>
      </c>
      <c r="D24856" s="3" t="s">
        <v>221</v>
      </c>
      <c r="E24856" s="3" t="s">
        <v>302</v>
      </c>
      <c r="F24856" s="7">
        <v>46224.08267004341</v>
      </c>
      <c r="G24856" s="3" t="s">
        <v>9783</v>
      </c>
    </row>
    <row r="24857">
      <c r="A24857" s="3" t="s">
        <v>41241</v>
      </c>
      <c r="B24857" s="3" t="s">
        <v>20360</v>
      </c>
      <c r="C24857" s="5" t="s">
        <v>221</v>
      </c>
      <c r="D24857" s="3" t="s">
        <v>614</v>
      </c>
      <c r="E24857" s="3" t="s">
        <v>118</v>
      </c>
      <c r="F24857" s="7">
        <v>46224.08614226563</v>
      </c>
      <c r="G24857" s="3" t="s">
        <v>9786</v>
      </c>
    </row>
    <row r="24858">
      <c r="A24858" s="3" t="s">
        <v>41242</v>
      </c>
      <c r="B24858" s="3" t="s">
        <v>20360</v>
      </c>
      <c r="C24858" s="5" t="s">
        <v>614</v>
      </c>
      <c r="D24858" s="3" t="s">
        <v>206</v>
      </c>
      <c r="E24858" s="3" t="s">
        <v>100</v>
      </c>
      <c r="F24858" s="7">
        <v>46224.08961448786</v>
      </c>
      <c r="G24858" s="3" t="s">
        <v>9790</v>
      </c>
    </row>
    <row r="24859">
      <c r="A24859" s="3" t="s">
        <v>41243</v>
      </c>
      <c r="B24859" s="3" t="s">
        <v>20360</v>
      </c>
      <c r="C24859" s="5" t="s">
        <v>206</v>
      </c>
      <c r="D24859" s="3" t="s">
        <v>68</v>
      </c>
      <c r="E24859" s="3" t="s">
        <v>100</v>
      </c>
      <c r="F24859" s="7">
        <v>46224.093086710076</v>
      </c>
      <c r="G24859" s="3" t="s">
        <v>9793</v>
      </c>
    </row>
    <row r="24860">
      <c r="A24860" s="3" t="s">
        <v>41244</v>
      </c>
      <c r="B24860" s="3" t="s">
        <v>20362</v>
      </c>
      <c r="C24860" s="5" t="s">
        <v>45</v>
      </c>
      <c r="D24860" s="3" t="s">
        <v>221</v>
      </c>
      <c r="E24860" s="3" t="s">
        <v>466</v>
      </c>
      <c r="F24860" s="7">
        <v>46224.153844888824</v>
      </c>
      <c r="G24860" s="3" t="s">
        <v>10732</v>
      </c>
    </row>
    <row r="24861">
      <c r="A24861" s="3" t="s">
        <v>41245</v>
      </c>
      <c r="B24861" s="3" t="s">
        <v>20362</v>
      </c>
      <c r="C24861" s="5" t="s">
        <v>221</v>
      </c>
      <c r="D24861" s="3" t="s">
        <v>614</v>
      </c>
      <c r="E24861" s="3" t="s">
        <v>118</v>
      </c>
      <c r="F24861" s="7">
        <v>46224.15731711104</v>
      </c>
      <c r="G24861" s="3" t="s">
        <v>15471</v>
      </c>
    </row>
    <row r="24862">
      <c r="A24862" s="3" t="s">
        <v>41246</v>
      </c>
      <c r="B24862" s="3" t="s">
        <v>20362</v>
      </c>
      <c r="C24862" s="5" t="s">
        <v>614</v>
      </c>
      <c r="D24862" s="3" t="s">
        <v>206</v>
      </c>
      <c r="E24862" s="3" t="s">
        <v>100</v>
      </c>
      <c r="F24862" s="7">
        <v>46224.16078933327</v>
      </c>
      <c r="G24862" s="3" t="s">
        <v>15473</v>
      </c>
    </row>
    <row r="24863">
      <c r="A24863" s="3" t="s">
        <v>41247</v>
      </c>
      <c r="B24863" s="3" t="s">
        <v>20362</v>
      </c>
      <c r="C24863" s="5" t="s">
        <v>206</v>
      </c>
      <c r="D24863" s="3" t="s">
        <v>68</v>
      </c>
      <c r="E24863" s="3" t="s">
        <v>100</v>
      </c>
      <c r="F24863" s="7">
        <v>46224.16426155549</v>
      </c>
      <c r="G24863" s="3" t="s">
        <v>15476</v>
      </c>
    </row>
    <row r="24864">
      <c r="A24864" s="3" t="s">
        <v>41248</v>
      </c>
      <c r="B24864" s="3" t="s">
        <v>20364</v>
      </c>
      <c r="C24864" s="5" t="s">
        <v>45</v>
      </c>
      <c r="D24864" s="3" t="s">
        <v>221</v>
      </c>
      <c r="E24864" s="3" t="s">
        <v>805</v>
      </c>
      <c r="F24864" s="7">
        <v>46224.225019734244</v>
      </c>
      <c r="G24864" s="3" t="s">
        <v>26280</v>
      </c>
    </row>
    <row r="24865">
      <c r="A24865" s="3" t="s">
        <v>41249</v>
      </c>
      <c r="B24865" s="3" t="s">
        <v>20364</v>
      </c>
      <c r="C24865" s="5" t="s">
        <v>221</v>
      </c>
      <c r="D24865" s="3" t="s">
        <v>614</v>
      </c>
      <c r="E24865" s="3" t="s">
        <v>118</v>
      </c>
      <c r="F24865" s="7">
        <v>46224.22849195646</v>
      </c>
      <c r="G24865" s="3" t="s">
        <v>26282</v>
      </c>
    </row>
    <row r="24866">
      <c r="A24866" s="3" t="s">
        <v>41250</v>
      </c>
      <c r="B24866" s="3" t="s">
        <v>20364</v>
      </c>
      <c r="C24866" s="5" t="s">
        <v>614</v>
      </c>
      <c r="D24866" s="3" t="s">
        <v>206</v>
      </c>
      <c r="E24866" s="3" t="s">
        <v>100</v>
      </c>
      <c r="F24866" s="7">
        <v>46224.23196417869</v>
      </c>
      <c r="G24866" s="3" t="s">
        <v>26284</v>
      </c>
    </row>
    <row r="24867">
      <c r="A24867" s="3" t="s">
        <v>41251</v>
      </c>
      <c r="B24867" s="3" t="s">
        <v>20364</v>
      </c>
      <c r="C24867" s="5" t="s">
        <v>206</v>
      </c>
      <c r="D24867" s="3" t="s">
        <v>68</v>
      </c>
      <c r="E24867" s="3" t="s">
        <v>100</v>
      </c>
      <c r="F24867" s="7">
        <v>46224.23543640091</v>
      </c>
      <c r="G24867" s="3" t="s">
        <v>26286</v>
      </c>
    </row>
    <row r="24868">
      <c r="A24868" s="3" t="s">
        <v>41252</v>
      </c>
      <c r="B24868" s="3" t="s">
        <v>20366</v>
      </c>
      <c r="C24868" s="5" t="s">
        <v>45</v>
      </c>
      <c r="D24868" s="3" t="s">
        <v>221</v>
      </c>
      <c r="E24868" s="3" t="s">
        <v>593</v>
      </c>
      <c r="F24868" s="7">
        <v>46224.296194579656</v>
      </c>
      <c r="G24868" s="3" t="s">
        <v>31742</v>
      </c>
    </row>
    <row r="24869">
      <c r="A24869" s="3" t="s">
        <v>41253</v>
      </c>
      <c r="B24869" s="3" t="s">
        <v>20366</v>
      </c>
      <c r="C24869" s="5" t="s">
        <v>221</v>
      </c>
      <c r="D24869" s="3" t="s">
        <v>614</v>
      </c>
      <c r="E24869" s="3" t="s">
        <v>118</v>
      </c>
      <c r="F24869" s="7">
        <v>46224.299666801875</v>
      </c>
      <c r="G24869" s="3" t="s">
        <v>31744</v>
      </c>
    </row>
    <row r="24870">
      <c r="A24870" s="3" t="s">
        <v>41254</v>
      </c>
      <c r="B24870" s="3" t="s">
        <v>20366</v>
      </c>
      <c r="C24870" s="5" t="s">
        <v>614</v>
      </c>
      <c r="D24870" s="3" t="s">
        <v>206</v>
      </c>
      <c r="E24870" s="3" t="s">
        <v>100</v>
      </c>
      <c r="F24870" s="7">
        <v>46224.3031390241</v>
      </c>
      <c r="G24870" s="3" t="s">
        <v>31746</v>
      </c>
    </row>
    <row r="24871">
      <c r="A24871" s="3" t="s">
        <v>41255</v>
      </c>
      <c r="B24871" s="3" t="s">
        <v>20366</v>
      </c>
      <c r="C24871" s="5" t="s">
        <v>206</v>
      </c>
      <c r="D24871" s="3" t="s">
        <v>68</v>
      </c>
      <c r="E24871" s="3" t="s">
        <v>100</v>
      </c>
      <c r="F24871" s="7">
        <v>46224.30661124632</v>
      </c>
      <c r="G24871" s="3" t="s">
        <v>31748</v>
      </c>
    </row>
    <row r="24872">
      <c r="A24872" s="3" t="s">
        <v>41256</v>
      </c>
      <c r="B24872" s="3" t="s">
        <v>20368</v>
      </c>
      <c r="C24872" s="5" t="s">
        <v>45</v>
      </c>
      <c r="D24872" s="3" t="s">
        <v>221</v>
      </c>
      <c r="E24872" s="3" t="s">
        <v>747</v>
      </c>
      <c r="F24872" s="7">
        <v>46224.367369425076</v>
      </c>
      <c r="G24872" s="3" t="s">
        <v>10142</v>
      </c>
    </row>
    <row r="24873">
      <c r="A24873" s="3" t="s">
        <v>41257</v>
      </c>
      <c r="B24873" s="3" t="s">
        <v>20368</v>
      </c>
      <c r="C24873" s="5" t="s">
        <v>221</v>
      </c>
      <c r="D24873" s="3" t="s">
        <v>614</v>
      </c>
      <c r="E24873" s="3" t="s">
        <v>118</v>
      </c>
      <c r="F24873" s="7">
        <v>46224.370841647295</v>
      </c>
      <c r="G24873" s="3" t="s">
        <v>10145</v>
      </c>
    </row>
    <row r="24874">
      <c r="A24874" s="3" t="s">
        <v>41258</v>
      </c>
      <c r="B24874" s="3" t="s">
        <v>20368</v>
      </c>
      <c r="C24874" s="5" t="s">
        <v>614</v>
      </c>
      <c r="D24874" s="3" t="s">
        <v>206</v>
      </c>
      <c r="E24874" s="3" t="s">
        <v>100</v>
      </c>
      <c r="F24874" s="7">
        <v>46224.37431386952</v>
      </c>
      <c r="G24874" s="3" t="s">
        <v>10148</v>
      </c>
    </row>
    <row r="24875">
      <c r="A24875" s="3" t="s">
        <v>41259</v>
      </c>
      <c r="B24875" s="3" t="s">
        <v>20368</v>
      </c>
      <c r="C24875" s="5" t="s">
        <v>206</v>
      </c>
      <c r="D24875" s="3" t="s">
        <v>68</v>
      </c>
      <c r="E24875" s="3" t="s">
        <v>100</v>
      </c>
      <c r="F24875" s="7">
        <v>46224.37778609174</v>
      </c>
      <c r="G24875" s="3" t="s">
        <v>10151</v>
      </c>
    </row>
    <row r="24876">
      <c r="A24876" s="3" t="s">
        <v>41260</v>
      </c>
      <c r="B24876" s="3" t="s">
        <v>20371</v>
      </c>
      <c r="C24876" s="5" t="s">
        <v>45</v>
      </c>
      <c r="D24876" s="3" t="s">
        <v>221</v>
      </c>
      <c r="E24876" s="3" t="s">
        <v>883</v>
      </c>
      <c r="F24876" s="7">
        <v>46224.43854427049</v>
      </c>
      <c r="G24876" s="3" t="s">
        <v>20609</v>
      </c>
    </row>
    <row r="24877">
      <c r="A24877" s="3" t="s">
        <v>41261</v>
      </c>
      <c r="B24877" s="3" t="s">
        <v>20371</v>
      </c>
      <c r="C24877" s="5" t="s">
        <v>221</v>
      </c>
      <c r="D24877" s="3" t="s">
        <v>614</v>
      </c>
      <c r="E24877" s="3" t="s">
        <v>118</v>
      </c>
      <c r="F24877" s="7">
        <v>46224.44201649271</v>
      </c>
      <c r="G24877" s="3" t="s">
        <v>20611</v>
      </c>
    </row>
    <row r="24878">
      <c r="A24878" s="3" t="s">
        <v>41262</v>
      </c>
      <c r="B24878" s="3" t="s">
        <v>20371</v>
      </c>
      <c r="C24878" s="5" t="s">
        <v>614</v>
      </c>
      <c r="D24878" s="3" t="s">
        <v>206</v>
      </c>
      <c r="E24878" s="3" t="s">
        <v>100</v>
      </c>
      <c r="F24878" s="7">
        <v>46224.44548871493</v>
      </c>
      <c r="G24878" s="3" t="s">
        <v>20614</v>
      </c>
    </row>
    <row r="24879">
      <c r="A24879" s="3" t="s">
        <v>41263</v>
      </c>
      <c r="B24879" s="3" t="s">
        <v>20371</v>
      </c>
      <c r="C24879" s="5" t="s">
        <v>206</v>
      </c>
      <c r="D24879" s="3" t="s">
        <v>68</v>
      </c>
      <c r="E24879" s="3" t="s">
        <v>100</v>
      </c>
      <c r="F24879" s="7">
        <v>46224.44896093715</v>
      </c>
      <c r="G24879" s="3" t="s">
        <v>20617</v>
      </c>
    </row>
    <row r="24880">
      <c r="A24880" s="3" t="s">
        <v>41264</v>
      </c>
      <c r="B24880" s="3" t="s">
        <v>20373</v>
      </c>
      <c r="C24880" s="5" t="s">
        <v>45</v>
      </c>
      <c r="D24880" s="3" t="s">
        <v>221</v>
      </c>
      <c r="E24880" s="3" t="s">
        <v>643</v>
      </c>
      <c r="F24880" s="7">
        <v>46224.50971911591</v>
      </c>
      <c r="G24880" s="3" t="s">
        <v>8710</v>
      </c>
    </row>
    <row r="24881">
      <c r="A24881" s="3" t="s">
        <v>41265</v>
      </c>
      <c r="B24881" s="3" t="s">
        <v>20373</v>
      </c>
      <c r="C24881" s="5" t="s">
        <v>221</v>
      </c>
      <c r="D24881" s="3" t="s">
        <v>614</v>
      </c>
      <c r="E24881" s="3" t="s">
        <v>118</v>
      </c>
      <c r="F24881" s="7">
        <v>46224.51319133813</v>
      </c>
      <c r="G24881" s="3" t="s">
        <v>8713</v>
      </c>
    </row>
    <row r="24882">
      <c r="A24882" s="3" t="s">
        <v>41266</v>
      </c>
      <c r="B24882" s="3" t="s">
        <v>20373</v>
      </c>
      <c r="C24882" s="5" t="s">
        <v>614</v>
      </c>
      <c r="D24882" s="3" t="s">
        <v>206</v>
      </c>
      <c r="E24882" s="3" t="s">
        <v>100</v>
      </c>
      <c r="F24882" s="7">
        <v>46224.51666356035</v>
      </c>
      <c r="G24882" s="3" t="s">
        <v>8715</v>
      </c>
    </row>
    <row r="24883">
      <c r="A24883" s="3" t="s">
        <v>41267</v>
      </c>
      <c r="B24883" s="3" t="s">
        <v>20373</v>
      </c>
      <c r="C24883" s="5" t="s">
        <v>206</v>
      </c>
      <c r="D24883" s="3" t="s">
        <v>68</v>
      </c>
      <c r="E24883" s="3" t="s">
        <v>100</v>
      </c>
      <c r="F24883" s="7">
        <v>46224.52013578257</v>
      </c>
      <c r="G24883" s="3" t="s">
        <v>8718</v>
      </c>
    </row>
    <row r="24884">
      <c r="A24884" s="3" t="s">
        <v>41268</v>
      </c>
      <c r="B24884" s="3" t="s">
        <v>20375</v>
      </c>
      <c r="C24884" s="5" t="s">
        <v>45</v>
      </c>
      <c r="D24884" s="3" t="s">
        <v>221</v>
      </c>
      <c r="E24884" s="3" t="s">
        <v>559</v>
      </c>
      <c r="F24884" s="7">
        <v>46224.58089396131</v>
      </c>
      <c r="G24884" s="3" t="s">
        <v>5019</v>
      </c>
    </row>
    <row r="24885">
      <c r="A24885" s="3" t="s">
        <v>41269</v>
      </c>
      <c r="B24885" s="3" t="s">
        <v>20375</v>
      </c>
      <c r="C24885" s="5" t="s">
        <v>221</v>
      </c>
      <c r="D24885" s="3" t="s">
        <v>614</v>
      </c>
      <c r="E24885" s="3" t="s">
        <v>118</v>
      </c>
      <c r="F24885" s="7">
        <v>46224.58436618353</v>
      </c>
      <c r="G24885" s="3" t="s">
        <v>5022</v>
      </c>
    </row>
    <row r="24886">
      <c r="A24886" s="3" t="s">
        <v>41270</v>
      </c>
      <c r="B24886" s="3" t="s">
        <v>20375</v>
      </c>
      <c r="C24886" s="5" t="s">
        <v>614</v>
      </c>
      <c r="D24886" s="3" t="s">
        <v>206</v>
      </c>
      <c r="E24886" s="3" t="s">
        <v>100</v>
      </c>
      <c r="F24886" s="7">
        <v>46224.58783840576</v>
      </c>
      <c r="G24886" s="3" t="s">
        <v>5025</v>
      </c>
    </row>
    <row r="24887">
      <c r="A24887" s="3" t="s">
        <v>41271</v>
      </c>
      <c r="B24887" s="3" t="s">
        <v>20375</v>
      </c>
      <c r="C24887" s="5" t="s">
        <v>206</v>
      </c>
      <c r="D24887" s="3" t="s">
        <v>68</v>
      </c>
      <c r="E24887" s="3" t="s">
        <v>100</v>
      </c>
      <c r="F24887" s="7">
        <v>46224.59131062798</v>
      </c>
      <c r="G24887" s="3" t="s">
        <v>5028</v>
      </c>
    </row>
    <row r="24888">
      <c r="A24888" s="3" t="s">
        <v>41272</v>
      </c>
      <c r="B24888" s="3" t="s">
        <v>20377</v>
      </c>
      <c r="C24888" s="5" t="s">
        <v>45</v>
      </c>
      <c r="D24888" s="3" t="s">
        <v>221</v>
      </c>
      <c r="E24888" s="3" t="s">
        <v>498</v>
      </c>
      <c r="F24888" s="7">
        <v>46224.65206880673</v>
      </c>
      <c r="G24888" s="3" t="s">
        <v>23852</v>
      </c>
    </row>
    <row r="24889">
      <c r="A24889" s="3" t="s">
        <v>41273</v>
      </c>
      <c r="B24889" s="3" t="s">
        <v>20377</v>
      </c>
      <c r="C24889" s="5" t="s">
        <v>221</v>
      </c>
      <c r="D24889" s="3" t="s">
        <v>614</v>
      </c>
      <c r="E24889" s="3" t="s">
        <v>118</v>
      </c>
      <c r="F24889" s="7">
        <v>46224.65554102895</v>
      </c>
      <c r="G24889" s="3" t="s">
        <v>23854</v>
      </c>
    </row>
    <row r="24890">
      <c r="A24890" s="3" t="s">
        <v>41274</v>
      </c>
      <c r="B24890" s="3" t="s">
        <v>20377</v>
      </c>
      <c r="C24890" s="5" t="s">
        <v>614</v>
      </c>
      <c r="D24890" s="3" t="s">
        <v>206</v>
      </c>
      <c r="E24890" s="3" t="s">
        <v>100</v>
      </c>
      <c r="F24890" s="7">
        <v>46224.65901325118</v>
      </c>
      <c r="G24890" s="3" t="s">
        <v>23856</v>
      </c>
    </row>
    <row r="24891">
      <c r="A24891" s="3" t="s">
        <v>41275</v>
      </c>
      <c r="B24891" s="3" t="s">
        <v>20377</v>
      </c>
      <c r="C24891" s="5" t="s">
        <v>206</v>
      </c>
      <c r="D24891" s="3" t="s">
        <v>68</v>
      </c>
      <c r="E24891" s="3" t="s">
        <v>100</v>
      </c>
      <c r="F24891" s="7">
        <v>46224.6624854734</v>
      </c>
      <c r="G24891" s="3" t="s">
        <v>23858</v>
      </c>
    </row>
    <row r="24892">
      <c r="A24892" s="3" t="s">
        <v>41276</v>
      </c>
      <c r="B24892" s="3" t="s">
        <v>20379</v>
      </c>
      <c r="C24892" s="5" t="s">
        <v>45</v>
      </c>
      <c r="D24892" s="3" t="s">
        <v>221</v>
      </c>
      <c r="E24892" s="3" t="s">
        <v>224</v>
      </c>
      <c r="F24892" s="7">
        <v>46224.72324365215</v>
      </c>
      <c r="G24892" s="3" t="s">
        <v>21843</v>
      </c>
    </row>
    <row r="24893">
      <c r="A24893" s="3" t="s">
        <v>41277</v>
      </c>
      <c r="B24893" s="3" t="s">
        <v>20379</v>
      </c>
      <c r="C24893" s="5" t="s">
        <v>221</v>
      </c>
      <c r="D24893" s="3" t="s">
        <v>181</v>
      </c>
      <c r="E24893" s="3" t="s">
        <v>118</v>
      </c>
      <c r="F24893" s="7">
        <v>46224.72671587437</v>
      </c>
      <c r="G24893" s="3" t="s">
        <v>41278</v>
      </c>
    </row>
    <row r="24894">
      <c r="A24894" s="3" t="s">
        <v>41279</v>
      </c>
      <c r="B24894" s="3" t="s">
        <v>20381</v>
      </c>
      <c r="C24894" s="5" t="s">
        <v>45</v>
      </c>
      <c r="D24894" s="3" t="s">
        <v>221</v>
      </c>
      <c r="E24894" s="3" t="s">
        <v>535</v>
      </c>
      <c r="F24894" s="7">
        <v>46224.794418497564</v>
      </c>
      <c r="G24894" s="3" t="s">
        <v>8949</v>
      </c>
    </row>
    <row r="24895">
      <c r="A24895" s="3" t="s">
        <v>41280</v>
      </c>
      <c r="B24895" s="3" t="s">
        <v>20381</v>
      </c>
      <c r="C24895" s="5" t="s">
        <v>221</v>
      </c>
      <c r="D24895" s="3" t="s">
        <v>614</v>
      </c>
      <c r="E24895" s="3" t="s">
        <v>118</v>
      </c>
      <c r="F24895" s="7">
        <v>46224.79789071978</v>
      </c>
      <c r="G24895" s="3" t="s">
        <v>8952</v>
      </c>
    </row>
    <row r="24896">
      <c r="A24896" s="3" t="s">
        <v>41281</v>
      </c>
      <c r="B24896" s="3" t="s">
        <v>20381</v>
      </c>
      <c r="C24896" s="5" t="s">
        <v>614</v>
      </c>
      <c r="D24896" s="3" t="s">
        <v>206</v>
      </c>
      <c r="E24896" s="3" t="s">
        <v>100</v>
      </c>
      <c r="F24896" s="7">
        <v>46224.80136294201</v>
      </c>
      <c r="G24896" s="3" t="s">
        <v>8954</v>
      </c>
    </row>
    <row r="24897">
      <c r="A24897" s="3" t="s">
        <v>41282</v>
      </c>
      <c r="B24897" s="3" t="s">
        <v>20381</v>
      </c>
      <c r="C24897" s="5" t="s">
        <v>206</v>
      </c>
      <c r="D24897" s="3" t="s">
        <v>68</v>
      </c>
      <c r="E24897" s="3" t="s">
        <v>100</v>
      </c>
      <c r="F24897" s="7">
        <v>46224.80483516423</v>
      </c>
      <c r="G24897" s="3" t="s">
        <v>8957</v>
      </c>
    </row>
    <row r="24898">
      <c r="A24898" s="3" t="s">
        <v>41283</v>
      </c>
      <c r="B24898" s="3" t="s">
        <v>20384</v>
      </c>
      <c r="C24898" s="5" t="s">
        <v>45</v>
      </c>
      <c r="D24898" s="3" t="s">
        <v>221</v>
      </c>
      <c r="E24898" s="3" t="s">
        <v>498</v>
      </c>
      <c r="F24898" s="7">
        <v>46224.865593342976</v>
      </c>
      <c r="G24898" s="3" t="s">
        <v>8568</v>
      </c>
    </row>
    <row r="24899">
      <c r="A24899" s="3" t="s">
        <v>41284</v>
      </c>
      <c r="B24899" s="3" t="s">
        <v>20384</v>
      </c>
      <c r="C24899" s="5" t="s">
        <v>221</v>
      </c>
      <c r="D24899" s="3" t="s">
        <v>614</v>
      </c>
      <c r="E24899" s="3" t="s">
        <v>118</v>
      </c>
      <c r="F24899" s="7">
        <v>46224.869065565195</v>
      </c>
      <c r="G24899" s="3" t="s">
        <v>8571</v>
      </c>
    </row>
    <row r="24900">
      <c r="A24900" s="3" t="s">
        <v>41285</v>
      </c>
      <c r="B24900" s="3" t="s">
        <v>20384</v>
      </c>
      <c r="C24900" s="5" t="s">
        <v>614</v>
      </c>
      <c r="D24900" s="3" t="s">
        <v>206</v>
      </c>
      <c r="E24900" s="3" t="s">
        <v>100</v>
      </c>
      <c r="F24900" s="7">
        <v>46224.87253778742</v>
      </c>
      <c r="G24900" s="3" t="s">
        <v>8574</v>
      </c>
    </row>
    <row r="24901">
      <c r="A24901" s="3" t="s">
        <v>41286</v>
      </c>
      <c r="B24901" s="3" t="s">
        <v>20384</v>
      </c>
      <c r="C24901" s="5" t="s">
        <v>206</v>
      </c>
      <c r="D24901" s="3" t="s">
        <v>68</v>
      </c>
      <c r="E24901" s="3" t="s">
        <v>100</v>
      </c>
      <c r="F24901" s="7">
        <v>46224.87601000964</v>
      </c>
      <c r="G24901" s="3" t="s">
        <v>8577</v>
      </c>
    </row>
    <row r="24902">
      <c r="A24902" s="3" t="s">
        <v>41287</v>
      </c>
      <c r="B24902" s="3" t="s">
        <v>20386</v>
      </c>
      <c r="C24902" s="5" t="s">
        <v>45</v>
      </c>
      <c r="D24902" s="3" t="s">
        <v>221</v>
      </c>
      <c r="E24902" s="3" t="s">
        <v>826</v>
      </c>
      <c r="F24902" s="7">
        <v>46224.936768188396</v>
      </c>
      <c r="G24902" s="3" t="s">
        <v>8968</v>
      </c>
    </row>
    <row r="24903">
      <c r="A24903" s="3" t="s">
        <v>41288</v>
      </c>
      <c r="B24903" s="3" t="s">
        <v>20386</v>
      </c>
      <c r="C24903" s="5" t="s">
        <v>221</v>
      </c>
      <c r="D24903" s="3" t="s">
        <v>614</v>
      </c>
      <c r="E24903" s="3" t="s">
        <v>118</v>
      </c>
      <c r="F24903" s="7">
        <v>46224.940240410615</v>
      </c>
      <c r="G24903" s="3" t="s">
        <v>8971</v>
      </c>
    </row>
    <row r="24904">
      <c r="A24904" s="3" t="s">
        <v>41289</v>
      </c>
      <c r="B24904" s="3" t="s">
        <v>20386</v>
      </c>
      <c r="C24904" s="5" t="s">
        <v>614</v>
      </c>
      <c r="D24904" s="3" t="s">
        <v>206</v>
      </c>
      <c r="E24904" s="3" t="s">
        <v>100</v>
      </c>
      <c r="F24904" s="7">
        <v>46224.94371263284</v>
      </c>
      <c r="G24904" s="3" t="s">
        <v>8974</v>
      </c>
    </row>
    <row r="24905">
      <c r="A24905" s="3" t="s">
        <v>41290</v>
      </c>
      <c r="B24905" s="3" t="s">
        <v>20386</v>
      </c>
      <c r="C24905" s="5" t="s">
        <v>206</v>
      </c>
      <c r="D24905" s="3" t="s">
        <v>68</v>
      </c>
      <c r="E24905" s="3" t="s">
        <v>100</v>
      </c>
      <c r="F24905" s="7">
        <v>46224.94718485506</v>
      </c>
      <c r="G24905" s="3" t="s">
        <v>8977</v>
      </c>
    </row>
    <row r="24906">
      <c r="A24906" s="3" t="s">
        <v>41291</v>
      </c>
      <c r="B24906" s="3" t="s">
        <v>20388</v>
      </c>
      <c r="C24906" s="5" t="s">
        <v>45</v>
      </c>
      <c r="D24906" s="3" t="s">
        <v>221</v>
      </c>
      <c r="E24906" s="3" t="s">
        <v>557</v>
      </c>
      <c r="F24906" s="7">
        <v>46225.00794303381</v>
      </c>
      <c r="G24906" s="3" t="s">
        <v>10781</v>
      </c>
    </row>
    <row r="24907">
      <c r="A24907" s="3" t="s">
        <v>41292</v>
      </c>
      <c r="B24907" s="3" t="s">
        <v>20388</v>
      </c>
      <c r="C24907" s="5" t="s">
        <v>221</v>
      </c>
      <c r="D24907" s="3" t="s">
        <v>614</v>
      </c>
      <c r="E24907" s="3" t="s">
        <v>118</v>
      </c>
      <c r="F24907" s="7">
        <v>46225.01141525603</v>
      </c>
      <c r="G24907" s="3" t="s">
        <v>10784</v>
      </c>
    </row>
    <row r="24908">
      <c r="A24908" s="3" t="s">
        <v>41293</v>
      </c>
      <c r="B24908" s="3" t="s">
        <v>20388</v>
      </c>
      <c r="C24908" s="5" t="s">
        <v>614</v>
      </c>
      <c r="D24908" s="3" t="s">
        <v>206</v>
      </c>
      <c r="E24908" s="3" t="s">
        <v>100</v>
      </c>
      <c r="F24908" s="7">
        <v>46225.01488747825</v>
      </c>
      <c r="G24908" s="3" t="s">
        <v>10786</v>
      </c>
    </row>
    <row r="24909">
      <c r="A24909" s="3" t="s">
        <v>41294</v>
      </c>
      <c r="B24909" s="3" t="s">
        <v>20388</v>
      </c>
      <c r="C24909" s="5" t="s">
        <v>206</v>
      </c>
      <c r="D24909" s="3" t="s">
        <v>68</v>
      </c>
      <c r="E24909" s="3" t="s">
        <v>100</v>
      </c>
      <c r="F24909" s="7">
        <v>46225.01835970047</v>
      </c>
      <c r="G24909" s="3" t="s">
        <v>10789</v>
      </c>
    </row>
    <row r="24910">
      <c r="A24910" s="3" t="s">
        <v>41295</v>
      </c>
      <c r="B24910" s="3" t="s">
        <v>20390</v>
      </c>
      <c r="C24910" s="5" t="s">
        <v>45</v>
      </c>
      <c r="D24910" s="3" t="s">
        <v>221</v>
      </c>
      <c r="E24910" s="3" t="s">
        <v>767</v>
      </c>
      <c r="F24910" s="7">
        <v>46225.07911787922</v>
      </c>
      <c r="G24910" s="3" t="s">
        <v>29889</v>
      </c>
    </row>
    <row r="24911">
      <c r="A24911" s="3" t="s">
        <v>41296</v>
      </c>
      <c r="B24911" s="3" t="s">
        <v>20390</v>
      </c>
      <c r="C24911" s="5" t="s">
        <v>221</v>
      </c>
      <c r="D24911" s="3" t="s">
        <v>614</v>
      </c>
      <c r="E24911" s="3" t="s">
        <v>118</v>
      </c>
      <c r="F24911" s="7">
        <v>46225.08259010144</v>
      </c>
      <c r="G24911" s="3" t="s">
        <v>29891</v>
      </c>
    </row>
    <row r="24912">
      <c r="A24912" s="3" t="s">
        <v>41297</v>
      </c>
      <c r="B24912" s="3" t="s">
        <v>20390</v>
      </c>
      <c r="C24912" s="5" t="s">
        <v>614</v>
      </c>
      <c r="D24912" s="3" t="s">
        <v>206</v>
      </c>
      <c r="E24912" s="3" t="s">
        <v>100</v>
      </c>
      <c r="F24912" s="7">
        <v>46225.086062323666</v>
      </c>
      <c r="G24912" s="3" t="s">
        <v>29893</v>
      </c>
    </row>
    <row r="24913">
      <c r="A24913" s="3" t="s">
        <v>41298</v>
      </c>
      <c r="B24913" s="3" t="s">
        <v>20390</v>
      </c>
      <c r="C24913" s="5" t="s">
        <v>206</v>
      </c>
      <c r="D24913" s="3" t="s">
        <v>68</v>
      </c>
      <c r="E24913" s="3" t="s">
        <v>100</v>
      </c>
      <c r="F24913" s="7">
        <v>46225.089534545885</v>
      </c>
      <c r="G24913" s="3" t="s">
        <v>29895</v>
      </c>
    </row>
    <row r="24914">
      <c r="A24914" s="3" t="s">
        <v>41299</v>
      </c>
      <c r="B24914" s="3" t="s">
        <v>20392</v>
      </c>
      <c r="C24914" s="5" t="s">
        <v>45</v>
      </c>
      <c r="D24914" s="3" t="s">
        <v>221</v>
      </c>
      <c r="E24914" s="3" t="s">
        <v>789</v>
      </c>
      <c r="F24914" s="7">
        <v>46225.15029272464</v>
      </c>
      <c r="G24914" s="3" t="s">
        <v>20033</v>
      </c>
    </row>
    <row r="24915">
      <c r="A24915" s="3" t="s">
        <v>41300</v>
      </c>
      <c r="B24915" s="3" t="s">
        <v>20392</v>
      </c>
      <c r="C24915" s="5" t="s">
        <v>221</v>
      </c>
      <c r="D24915" s="3" t="s">
        <v>181</v>
      </c>
      <c r="E24915" s="3" t="s">
        <v>118</v>
      </c>
      <c r="F24915" s="7">
        <v>46225.15376494686</v>
      </c>
      <c r="G24915" s="3" t="s">
        <v>41301</v>
      </c>
    </row>
    <row r="24916">
      <c r="A24916" s="3" t="s">
        <v>41302</v>
      </c>
      <c r="B24916" s="3" t="s">
        <v>20394</v>
      </c>
      <c r="C24916" s="5" t="s">
        <v>45</v>
      </c>
      <c r="D24916" s="3" t="s">
        <v>221</v>
      </c>
      <c r="E24916" s="3" t="s">
        <v>953</v>
      </c>
      <c r="F24916" s="7">
        <v>46225.22146757006</v>
      </c>
      <c r="G24916" s="3" t="s">
        <v>22804</v>
      </c>
    </row>
    <row r="24917">
      <c r="A24917" s="3" t="s">
        <v>41303</v>
      </c>
      <c r="B24917" s="3" t="s">
        <v>20394</v>
      </c>
      <c r="C24917" s="5" t="s">
        <v>221</v>
      </c>
      <c r="D24917" s="3" t="s">
        <v>181</v>
      </c>
      <c r="E24917" s="3" t="s">
        <v>118</v>
      </c>
      <c r="F24917" s="7">
        <v>46225.22493979228</v>
      </c>
      <c r="G24917" s="3" t="s">
        <v>33787</v>
      </c>
    </row>
    <row r="24918">
      <c r="A24918" s="3" t="s">
        <v>41304</v>
      </c>
      <c r="B24918" s="3" t="s">
        <v>20396</v>
      </c>
      <c r="C24918" s="5" t="s">
        <v>45</v>
      </c>
      <c r="D24918" s="3" t="s">
        <v>221</v>
      </c>
      <c r="E24918" s="3" t="s">
        <v>189</v>
      </c>
      <c r="F24918" s="7">
        <v>46225.292642415465</v>
      </c>
      <c r="G24918" s="3" t="s">
        <v>9128</v>
      </c>
    </row>
    <row r="24919">
      <c r="A24919" s="3" t="s">
        <v>41305</v>
      </c>
      <c r="B24919" s="3" t="s">
        <v>20396</v>
      </c>
      <c r="C24919" s="5" t="s">
        <v>221</v>
      </c>
      <c r="D24919" s="3" t="s">
        <v>614</v>
      </c>
      <c r="E24919" s="3" t="s">
        <v>118</v>
      </c>
      <c r="F24919" s="7">
        <v>46225.296114637684</v>
      </c>
      <c r="G24919" s="3" t="s">
        <v>9131</v>
      </c>
    </row>
    <row r="24920">
      <c r="A24920" s="3" t="s">
        <v>41306</v>
      </c>
      <c r="B24920" s="3" t="s">
        <v>20396</v>
      </c>
      <c r="C24920" s="5" t="s">
        <v>614</v>
      </c>
      <c r="D24920" s="3" t="s">
        <v>206</v>
      </c>
      <c r="E24920" s="3" t="s">
        <v>100</v>
      </c>
      <c r="F24920" s="7">
        <v>46225.29958685991</v>
      </c>
      <c r="G24920" s="3" t="s">
        <v>9134</v>
      </c>
    </row>
    <row r="24921">
      <c r="A24921" s="3" t="s">
        <v>41307</v>
      </c>
      <c r="B24921" s="3" t="s">
        <v>20396</v>
      </c>
      <c r="C24921" s="5" t="s">
        <v>206</v>
      </c>
      <c r="D24921" s="3" t="s">
        <v>68</v>
      </c>
      <c r="E24921" s="3" t="s">
        <v>100</v>
      </c>
      <c r="F24921" s="7">
        <v>46225.30305908213</v>
      </c>
      <c r="G24921" s="3" t="s">
        <v>9137</v>
      </c>
    </row>
    <row r="24922">
      <c r="A24922" s="3" t="s">
        <v>41308</v>
      </c>
      <c r="B24922" s="3" t="s">
        <v>20399</v>
      </c>
      <c r="C24922" s="5" t="s">
        <v>45</v>
      </c>
      <c r="D24922" s="3" t="s">
        <v>221</v>
      </c>
      <c r="E24922" s="3" t="s">
        <v>424</v>
      </c>
      <c r="F24922" s="7">
        <v>46225.363817260884</v>
      </c>
      <c r="G24922" s="3" t="s">
        <v>9199</v>
      </c>
    </row>
    <row r="24923">
      <c r="A24923" s="3" t="s">
        <v>41309</v>
      </c>
      <c r="B24923" s="3" t="s">
        <v>20399</v>
      </c>
      <c r="C24923" s="5" t="s">
        <v>221</v>
      </c>
      <c r="D24923" s="3" t="s">
        <v>614</v>
      </c>
      <c r="E24923" s="3" t="s">
        <v>118</v>
      </c>
      <c r="F24923" s="7">
        <v>46225.3672894831</v>
      </c>
      <c r="G24923" s="3" t="s">
        <v>9202</v>
      </c>
    </row>
    <row r="24924">
      <c r="A24924" s="3" t="s">
        <v>41310</v>
      </c>
      <c r="B24924" s="3" t="s">
        <v>20399</v>
      </c>
      <c r="C24924" s="5" t="s">
        <v>614</v>
      </c>
      <c r="D24924" s="3" t="s">
        <v>206</v>
      </c>
      <c r="E24924" s="3" t="s">
        <v>100</v>
      </c>
      <c r="F24924" s="7">
        <v>46225.37076170533</v>
      </c>
      <c r="G24924" s="3" t="s">
        <v>9205</v>
      </c>
    </row>
    <row r="24925">
      <c r="A24925" s="3" t="s">
        <v>41311</v>
      </c>
      <c r="B24925" s="3" t="s">
        <v>20399</v>
      </c>
      <c r="C24925" s="5" t="s">
        <v>206</v>
      </c>
      <c r="D24925" s="3" t="s">
        <v>68</v>
      </c>
      <c r="E24925" s="3" t="s">
        <v>100</v>
      </c>
      <c r="F24925" s="7">
        <v>46225.37423392755</v>
      </c>
      <c r="G24925" s="3" t="s">
        <v>9208</v>
      </c>
    </row>
    <row r="24926">
      <c r="A24926" s="3" t="s">
        <v>41312</v>
      </c>
      <c r="B24926" s="3" t="s">
        <v>20404</v>
      </c>
      <c r="C24926" s="5" t="s">
        <v>45</v>
      </c>
      <c r="D24926" s="3" t="s">
        <v>221</v>
      </c>
      <c r="E24926" s="3" t="s">
        <v>310</v>
      </c>
      <c r="F24926" s="7">
        <v>46225.4349921063</v>
      </c>
      <c r="G24926" s="3" t="s">
        <v>10341</v>
      </c>
    </row>
    <row r="24927">
      <c r="A24927" s="3" t="s">
        <v>41313</v>
      </c>
      <c r="B24927" s="3" t="s">
        <v>20404</v>
      </c>
      <c r="C24927" s="5" t="s">
        <v>221</v>
      </c>
      <c r="D24927" s="3" t="s">
        <v>181</v>
      </c>
      <c r="E24927" s="3" t="s">
        <v>118</v>
      </c>
      <c r="F24927" s="7">
        <v>46225.438464328516</v>
      </c>
      <c r="G24927" s="3" t="s">
        <v>41314</v>
      </c>
    </row>
    <row r="24928">
      <c r="A24928" s="3" t="s">
        <v>41315</v>
      </c>
      <c r="B24928" s="3" t="s">
        <v>20407</v>
      </c>
      <c r="C24928" s="5" t="s">
        <v>45</v>
      </c>
      <c r="D24928" s="3" t="s">
        <v>221</v>
      </c>
      <c r="E24928" s="3" t="s">
        <v>976</v>
      </c>
      <c r="F24928" s="7">
        <v>46225.506166951716</v>
      </c>
      <c r="G24928" s="3" t="s">
        <v>31595</v>
      </c>
    </row>
    <row r="24929">
      <c r="A24929" s="3" t="s">
        <v>41316</v>
      </c>
      <c r="B24929" s="3" t="s">
        <v>20407</v>
      </c>
      <c r="C24929" s="5" t="s">
        <v>221</v>
      </c>
      <c r="D24929" s="3" t="s">
        <v>181</v>
      </c>
      <c r="E24929" s="3" t="s">
        <v>118</v>
      </c>
      <c r="F24929" s="7">
        <v>46225.509639173935</v>
      </c>
      <c r="G24929" s="3" t="s">
        <v>31597</v>
      </c>
    </row>
    <row r="24930">
      <c r="A24930" s="3" t="s">
        <v>41317</v>
      </c>
      <c r="B24930" s="3" t="s">
        <v>20410</v>
      </c>
      <c r="C24930" s="5" t="s">
        <v>45</v>
      </c>
      <c r="D24930" s="3" t="s">
        <v>221</v>
      </c>
      <c r="E24930" s="3" t="s">
        <v>395</v>
      </c>
      <c r="F24930" s="7">
        <v>46225.57734179713</v>
      </c>
      <c r="G24930" s="3" t="s">
        <v>29322</v>
      </c>
    </row>
    <row r="24931">
      <c r="A24931" s="3" t="s">
        <v>41318</v>
      </c>
      <c r="B24931" s="3" t="s">
        <v>20410</v>
      </c>
      <c r="C24931" s="5" t="s">
        <v>221</v>
      </c>
      <c r="D24931" s="3" t="s">
        <v>614</v>
      </c>
      <c r="E24931" s="3" t="s">
        <v>118</v>
      </c>
      <c r="F24931" s="7">
        <v>46225.58081401935</v>
      </c>
      <c r="G24931" s="3" t="s">
        <v>29324</v>
      </c>
    </row>
    <row r="24932">
      <c r="A24932" s="3" t="s">
        <v>41319</v>
      </c>
      <c r="B24932" s="3" t="s">
        <v>20410</v>
      </c>
      <c r="C24932" s="5" t="s">
        <v>614</v>
      </c>
      <c r="D24932" s="3" t="s">
        <v>206</v>
      </c>
      <c r="E24932" s="3" t="s">
        <v>100</v>
      </c>
      <c r="F24932" s="7">
        <v>46225.584286241574</v>
      </c>
      <c r="G24932" s="3" t="s">
        <v>29326</v>
      </c>
    </row>
    <row r="24933">
      <c r="A24933" s="3" t="s">
        <v>41320</v>
      </c>
      <c r="B24933" s="3" t="s">
        <v>20410</v>
      </c>
      <c r="C24933" s="5" t="s">
        <v>206</v>
      </c>
      <c r="D24933" s="3" t="s">
        <v>68</v>
      </c>
      <c r="E24933" s="3" t="s">
        <v>100</v>
      </c>
      <c r="F24933" s="7">
        <v>46225.58775846379</v>
      </c>
      <c r="G24933" s="3" t="s">
        <v>29328</v>
      </c>
    </row>
    <row r="24934">
      <c r="A24934" s="3" t="s">
        <v>41321</v>
      </c>
      <c r="B24934" s="3" t="s">
        <v>20414</v>
      </c>
      <c r="C24934" s="5" t="s">
        <v>45</v>
      </c>
      <c r="D24934" s="3" t="s">
        <v>221</v>
      </c>
      <c r="E24934" s="3" t="s">
        <v>990</v>
      </c>
      <c r="F24934" s="7">
        <v>46225.64851664255</v>
      </c>
      <c r="G24934" s="3" t="s">
        <v>41322</v>
      </c>
    </row>
    <row r="24935">
      <c r="A24935" s="3" t="s">
        <v>41323</v>
      </c>
      <c r="B24935" s="3" t="s">
        <v>20414</v>
      </c>
      <c r="C24935" s="5" t="s">
        <v>221</v>
      </c>
      <c r="D24935" s="3" t="s">
        <v>614</v>
      </c>
      <c r="E24935" s="3" t="s">
        <v>118</v>
      </c>
      <c r="F24935" s="7">
        <v>46225.65198886477</v>
      </c>
      <c r="G24935" s="3" t="s">
        <v>41324</v>
      </c>
    </row>
    <row r="24936">
      <c r="A24936" s="3" t="s">
        <v>41325</v>
      </c>
      <c r="B24936" s="3" t="s">
        <v>20414</v>
      </c>
      <c r="C24936" s="5" t="s">
        <v>614</v>
      </c>
      <c r="D24936" s="3" t="s">
        <v>206</v>
      </c>
      <c r="E24936" s="3" t="s">
        <v>100</v>
      </c>
      <c r="F24936" s="7">
        <v>46225.65546108699</v>
      </c>
      <c r="G24936" s="3" t="s">
        <v>41326</v>
      </c>
    </row>
    <row r="24937">
      <c r="A24937" s="3" t="s">
        <v>41327</v>
      </c>
      <c r="B24937" s="3" t="s">
        <v>20414</v>
      </c>
      <c r="C24937" s="5" t="s">
        <v>206</v>
      </c>
      <c r="D24937" s="3" t="s">
        <v>68</v>
      </c>
      <c r="E24937" s="3" t="s">
        <v>100</v>
      </c>
      <c r="F24937" s="7">
        <v>46225.65893330921</v>
      </c>
      <c r="G24937" s="3" t="s">
        <v>41328</v>
      </c>
    </row>
    <row r="24938">
      <c r="A24938" s="3" t="s">
        <v>41329</v>
      </c>
      <c r="B24938" s="3" t="s">
        <v>20418</v>
      </c>
      <c r="C24938" s="5" t="s">
        <v>45</v>
      </c>
      <c r="D24938" s="3" t="s">
        <v>221</v>
      </c>
      <c r="E24938" s="3" t="s">
        <v>1043</v>
      </c>
      <c r="F24938" s="7">
        <v>46225.71969148795</v>
      </c>
      <c r="G24938" s="3" t="s">
        <v>24348</v>
      </c>
    </row>
    <row r="24939">
      <c r="A24939" s="3" t="s">
        <v>41330</v>
      </c>
      <c r="B24939" s="3" t="s">
        <v>20418</v>
      </c>
      <c r="C24939" s="5" t="s">
        <v>221</v>
      </c>
      <c r="D24939" s="3" t="s">
        <v>614</v>
      </c>
      <c r="E24939" s="3" t="s">
        <v>118</v>
      </c>
      <c r="F24939" s="7">
        <v>46225.72316371017</v>
      </c>
      <c r="G24939" s="3" t="s">
        <v>24350</v>
      </c>
    </row>
    <row r="24940">
      <c r="A24940" s="3" t="s">
        <v>41331</v>
      </c>
      <c r="B24940" s="3" t="s">
        <v>20418</v>
      </c>
      <c r="C24940" s="5" t="s">
        <v>614</v>
      </c>
      <c r="D24940" s="3" t="s">
        <v>206</v>
      </c>
      <c r="E24940" s="3" t="s">
        <v>100</v>
      </c>
      <c r="F24940" s="7">
        <v>46225.7266359324</v>
      </c>
      <c r="G24940" s="3" t="s">
        <v>24352</v>
      </c>
    </row>
    <row r="24941">
      <c r="A24941" s="3" t="s">
        <v>41332</v>
      </c>
      <c r="B24941" s="3" t="s">
        <v>20418</v>
      </c>
      <c r="C24941" s="5" t="s">
        <v>206</v>
      </c>
      <c r="D24941" s="3" t="s">
        <v>68</v>
      </c>
      <c r="E24941" s="3" t="s">
        <v>100</v>
      </c>
      <c r="F24941" s="7">
        <v>46225.73010815462</v>
      </c>
      <c r="G24941" s="3" t="s">
        <v>24354</v>
      </c>
    </row>
    <row r="24942">
      <c r="A24942" s="3" t="s">
        <v>41333</v>
      </c>
      <c r="B24942" s="3" t="s">
        <v>20420</v>
      </c>
      <c r="C24942" s="5" t="s">
        <v>45</v>
      </c>
      <c r="D24942" s="3" t="s">
        <v>221</v>
      </c>
      <c r="E24942" s="3" t="s">
        <v>219</v>
      </c>
      <c r="F24942" s="7">
        <v>46225.79086633337</v>
      </c>
      <c r="G24942" s="3" t="s">
        <v>24829</v>
      </c>
    </row>
    <row r="24943">
      <c r="A24943" s="3" t="s">
        <v>41334</v>
      </c>
      <c r="B24943" s="3" t="s">
        <v>20420</v>
      </c>
      <c r="C24943" s="5" t="s">
        <v>221</v>
      </c>
      <c r="D24943" s="3" t="s">
        <v>195</v>
      </c>
      <c r="E24943" s="3" t="s">
        <v>219</v>
      </c>
      <c r="F24943" s="7">
        <v>46225.79433855559</v>
      </c>
      <c r="G24943" s="3" t="s">
        <v>24831</v>
      </c>
    </row>
    <row r="24944">
      <c r="A24944" s="3" t="s">
        <v>41335</v>
      </c>
      <c r="B24944" s="3" t="s">
        <v>20422</v>
      </c>
      <c r="C24944" s="5" t="s">
        <v>45</v>
      </c>
      <c r="D24944" s="3" t="s">
        <v>221</v>
      </c>
      <c r="E24944" s="3" t="s">
        <v>678</v>
      </c>
      <c r="F24944" s="7">
        <v>46225.86204117879</v>
      </c>
      <c r="G24944" s="3" t="s">
        <v>2770</v>
      </c>
    </row>
    <row r="24945">
      <c r="A24945" s="3" t="s">
        <v>41336</v>
      </c>
      <c r="B24945" s="3" t="s">
        <v>20422</v>
      </c>
      <c r="C24945" s="5" t="s">
        <v>221</v>
      </c>
      <c r="D24945" s="3" t="s">
        <v>195</v>
      </c>
      <c r="E24945" s="3" t="s">
        <v>678</v>
      </c>
      <c r="F24945" s="7">
        <v>46225.86551340101</v>
      </c>
      <c r="G24945" s="3" t="s">
        <v>3055</v>
      </c>
    </row>
    <row r="24946">
      <c r="A24946" s="3" t="s">
        <v>41337</v>
      </c>
      <c r="B24946" s="3" t="s">
        <v>20424</v>
      </c>
      <c r="C24946" s="5" t="s">
        <v>45</v>
      </c>
      <c r="D24946" s="3" t="s">
        <v>221</v>
      </c>
      <c r="E24946" s="3" t="s">
        <v>569</v>
      </c>
      <c r="F24946" s="7">
        <v>46225.933216024205</v>
      </c>
      <c r="G24946" s="3" t="s">
        <v>9211</v>
      </c>
    </row>
    <row r="24947">
      <c r="A24947" s="3" t="s">
        <v>41338</v>
      </c>
      <c r="B24947" s="3" t="s">
        <v>20424</v>
      </c>
      <c r="C24947" s="5" t="s">
        <v>221</v>
      </c>
      <c r="D24947" s="3" t="s">
        <v>614</v>
      </c>
      <c r="E24947" s="3" t="s">
        <v>118</v>
      </c>
      <c r="F24947" s="7">
        <v>46225.936688246424</v>
      </c>
      <c r="G24947" s="3" t="s">
        <v>9213</v>
      </c>
    </row>
    <row r="24948">
      <c r="A24948" s="3" t="s">
        <v>41339</v>
      </c>
      <c r="B24948" s="3" t="s">
        <v>20424</v>
      </c>
      <c r="C24948" s="5" t="s">
        <v>614</v>
      </c>
      <c r="D24948" s="3" t="s">
        <v>206</v>
      </c>
      <c r="E24948" s="3" t="s">
        <v>100</v>
      </c>
      <c r="F24948" s="7">
        <v>46225.94016046865</v>
      </c>
      <c r="G24948" s="3" t="s">
        <v>9216</v>
      </c>
    </row>
    <row r="24949">
      <c r="A24949" s="3" t="s">
        <v>41340</v>
      </c>
      <c r="B24949" s="3" t="s">
        <v>20424</v>
      </c>
      <c r="C24949" s="5" t="s">
        <v>206</v>
      </c>
      <c r="D24949" s="3" t="s">
        <v>68</v>
      </c>
      <c r="E24949" s="3" t="s">
        <v>100</v>
      </c>
      <c r="F24949" s="7">
        <v>46225.94363269087</v>
      </c>
      <c r="G24949" s="3" t="s">
        <v>9219</v>
      </c>
    </row>
    <row r="24950">
      <c r="A24950" s="3" t="s">
        <v>41341</v>
      </c>
      <c r="B24950" s="3" t="s">
        <v>20426</v>
      </c>
      <c r="C24950" s="5" t="s">
        <v>45</v>
      </c>
      <c r="D24950" s="3" t="s">
        <v>221</v>
      </c>
      <c r="E24950" s="3" t="s">
        <v>253</v>
      </c>
      <c r="F24950" s="7">
        <v>46226.00439086962</v>
      </c>
      <c r="G24950" s="3" t="s">
        <v>12875</v>
      </c>
    </row>
    <row r="24951">
      <c r="A24951" s="3" t="s">
        <v>41342</v>
      </c>
      <c r="B24951" s="3" t="s">
        <v>20426</v>
      </c>
      <c r="C24951" s="5" t="s">
        <v>221</v>
      </c>
      <c r="D24951" s="3" t="s">
        <v>614</v>
      </c>
      <c r="E24951" s="3" t="s">
        <v>118</v>
      </c>
      <c r="F24951" s="7">
        <v>46226.007863091836</v>
      </c>
      <c r="G24951" s="3" t="s">
        <v>12878</v>
      </c>
    </row>
    <row r="24952">
      <c r="A24952" s="3" t="s">
        <v>41343</v>
      </c>
      <c r="B24952" s="3" t="s">
        <v>20426</v>
      </c>
      <c r="C24952" s="5" t="s">
        <v>614</v>
      </c>
      <c r="D24952" s="3" t="s">
        <v>206</v>
      </c>
      <c r="E24952" s="3" t="s">
        <v>100</v>
      </c>
      <c r="F24952" s="7">
        <v>46226.01133531406</v>
      </c>
      <c r="G24952" s="3" t="s">
        <v>12881</v>
      </c>
    </row>
    <row r="24953">
      <c r="A24953" s="3" t="s">
        <v>41344</v>
      </c>
      <c r="B24953" s="3" t="s">
        <v>20426</v>
      </c>
      <c r="C24953" s="5" t="s">
        <v>206</v>
      </c>
      <c r="D24953" s="3" t="s">
        <v>68</v>
      </c>
      <c r="E24953" s="3" t="s">
        <v>100</v>
      </c>
      <c r="F24953" s="7">
        <v>46226.01480753628</v>
      </c>
      <c r="G24953" s="3" t="s">
        <v>12885</v>
      </c>
    </row>
    <row r="24954">
      <c r="A24954" s="3" t="s">
        <v>41345</v>
      </c>
      <c r="B24954" s="3" t="s">
        <v>20428</v>
      </c>
      <c r="C24954" s="5" t="s">
        <v>45</v>
      </c>
      <c r="D24954" s="3" t="s">
        <v>221</v>
      </c>
      <c r="E24954" s="3" t="s">
        <v>156</v>
      </c>
      <c r="F24954" s="7">
        <v>46226.07556571504</v>
      </c>
      <c r="G24954" s="3" t="s">
        <v>10430</v>
      </c>
    </row>
    <row r="24955">
      <c r="A24955" s="3" t="s">
        <v>41346</v>
      </c>
      <c r="B24955" s="3" t="s">
        <v>20428</v>
      </c>
      <c r="C24955" s="5" t="s">
        <v>221</v>
      </c>
      <c r="D24955" s="3" t="s">
        <v>614</v>
      </c>
      <c r="E24955" s="3" t="s">
        <v>118</v>
      </c>
      <c r="F24955" s="7">
        <v>46226.079037937256</v>
      </c>
      <c r="G24955" s="3" t="s">
        <v>10433</v>
      </c>
    </row>
    <row r="24956">
      <c r="A24956" s="3" t="s">
        <v>41347</v>
      </c>
      <c r="B24956" s="3" t="s">
        <v>20428</v>
      </c>
      <c r="C24956" s="5" t="s">
        <v>614</v>
      </c>
      <c r="D24956" s="3" t="s">
        <v>206</v>
      </c>
      <c r="E24956" s="3" t="s">
        <v>100</v>
      </c>
      <c r="F24956" s="7">
        <v>46226.08251015948</v>
      </c>
      <c r="G24956" s="3" t="s">
        <v>10436</v>
      </c>
    </row>
    <row r="24957">
      <c r="A24957" s="3" t="s">
        <v>41348</v>
      </c>
      <c r="B24957" s="3" t="s">
        <v>20428</v>
      </c>
      <c r="C24957" s="5" t="s">
        <v>206</v>
      </c>
      <c r="D24957" s="3" t="s">
        <v>68</v>
      </c>
      <c r="E24957" s="3" t="s">
        <v>100</v>
      </c>
      <c r="F24957" s="7">
        <v>46226.0859823817</v>
      </c>
      <c r="G24957" s="3" t="s">
        <v>10439</v>
      </c>
    </row>
    <row r="24958">
      <c r="A24958" s="3" t="s">
        <v>41349</v>
      </c>
      <c r="B24958" s="3" t="s">
        <v>20430</v>
      </c>
      <c r="C24958" s="5" t="s">
        <v>45</v>
      </c>
      <c r="D24958" s="3" t="s">
        <v>221</v>
      </c>
      <c r="E24958" s="3" t="s">
        <v>145</v>
      </c>
      <c r="F24958" s="7">
        <v>46226.14674056045</v>
      </c>
      <c r="G24958" s="3" t="s">
        <v>18347</v>
      </c>
    </row>
    <row r="24959">
      <c r="A24959" s="3" t="s">
        <v>41350</v>
      </c>
      <c r="B24959" s="3" t="s">
        <v>20430</v>
      </c>
      <c r="C24959" s="5" t="s">
        <v>221</v>
      </c>
      <c r="D24959" s="3" t="s">
        <v>614</v>
      </c>
      <c r="E24959" s="3" t="s">
        <v>118</v>
      </c>
      <c r="F24959" s="7">
        <v>46226.15021278267</v>
      </c>
      <c r="G24959" s="3" t="s">
        <v>18350</v>
      </c>
    </row>
    <row r="24960">
      <c r="A24960" s="3" t="s">
        <v>41351</v>
      </c>
      <c r="B24960" s="3" t="s">
        <v>20430</v>
      </c>
      <c r="C24960" s="5" t="s">
        <v>614</v>
      </c>
      <c r="D24960" s="3" t="s">
        <v>206</v>
      </c>
      <c r="E24960" s="3" t="s">
        <v>100</v>
      </c>
      <c r="F24960" s="7">
        <v>46226.153685004894</v>
      </c>
      <c r="G24960" s="3" t="s">
        <v>18353</v>
      </c>
    </row>
    <row r="24961">
      <c r="A24961" s="3" t="s">
        <v>41352</v>
      </c>
      <c r="B24961" s="3" t="s">
        <v>20430</v>
      </c>
      <c r="C24961" s="5" t="s">
        <v>206</v>
      </c>
      <c r="D24961" s="3" t="s">
        <v>68</v>
      </c>
      <c r="E24961" s="3" t="s">
        <v>100</v>
      </c>
      <c r="F24961" s="7">
        <v>46226.15715722711</v>
      </c>
      <c r="G24961" s="3" t="s">
        <v>18355</v>
      </c>
    </row>
    <row r="24962">
      <c r="A24962" s="3" t="s">
        <v>41353</v>
      </c>
      <c r="B24962" s="3" t="s">
        <v>20432</v>
      </c>
      <c r="C24962" s="5" t="s">
        <v>45</v>
      </c>
      <c r="D24962" s="3" t="s">
        <v>221</v>
      </c>
      <c r="E24962" s="3" t="s">
        <v>512</v>
      </c>
      <c r="F24962" s="7">
        <v>46226.21791540586</v>
      </c>
      <c r="G24962" s="3" t="s">
        <v>9278</v>
      </c>
    </row>
    <row r="24963">
      <c r="A24963" s="3" t="s">
        <v>41354</v>
      </c>
      <c r="B24963" s="3" t="s">
        <v>20432</v>
      </c>
      <c r="C24963" s="5" t="s">
        <v>221</v>
      </c>
      <c r="D24963" s="3" t="s">
        <v>614</v>
      </c>
      <c r="E24963" s="3" t="s">
        <v>118</v>
      </c>
      <c r="F24963" s="7">
        <v>46226.22138762808</v>
      </c>
      <c r="G24963" s="3" t="s">
        <v>9281</v>
      </c>
    </row>
    <row r="24964">
      <c r="A24964" s="3" t="s">
        <v>41355</v>
      </c>
      <c r="B24964" s="3" t="s">
        <v>20432</v>
      </c>
      <c r="C24964" s="5" t="s">
        <v>614</v>
      </c>
      <c r="D24964" s="3" t="s">
        <v>206</v>
      </c>
      <c r="E24964" s="3" t="s">
        <v>100</v>
      </c>
      <c r="F24964" s="7">
        <v>46226.22485985031</v>
      </c>
      <c r="G24964" s="3" t="s">
        <v>9284</v>
      </c>
    </row>
    <row r="24965">
      <c r="A24965" s="3" t="s">
        <v>41356</v>
      </c>
      <c r="B24965" s="3" t="s">
        <v>20432</v>
      </c>
      <c r="C24965" s="5" t="s">
        <v>206</v>
      </c>
      <c r="D24965" s="3" t="s">
        <v>68</v>
      </c>
      <c r="E24965" s="3" t="s">
        <v>100</v>
      </c>
      <c r="F24965" s="7">
        <v>46226.228332072526</v>
      </c>
      <c r="G24965" s="3" t="s">
        <v>9288</v>
      </c>
    </row>
    <row r="24966">
      <c r="A24966" s="3" t="s">
        <v>41357</v>
      </c>
      <c r="B24966" s="3" t="s">
        <v>20434</v>
      </c>
      <c r="C24966" s="5" t="s">
        <v>45</v>
      </c>
      <c r="D24966" s="3" t="s">
        <v>221</v>
      </c>
      <c r="E24966" s="3" t="s">
        <v>310</v>
      </c>
      <c r="F24966" s="7">
        <v>46226.28909025128</v>
      </c>
      <c r="G24966" s="3" t="s">
        <v>16111</v>
      </c>
    </row>
    <row r="24967">
      <c r="A24967" s="3" t="s">
        <v>41358</v>
      </c>
      <c r="B24967" s="3" t="s">
        <v>20434</v>
      </c>
      <c r="C24967" s="5" t="s">
        <v>221</v>
      </c>
      <c r="D24967" s="3" t="s">
        <v>614</v>
      </c>
      <c r="E24967" s="3" t="s">
        <v>118</v>
      </c>
      <c r="F24967" s="7">
        <v>46226.2925624735</v>
      </c>
      <c r="G24967" s="3" t="s">
        <v>16113</v>
      </c>
    </row>
    <row r="24968">
      <c r="A24968" s="3" t="s">
        <v>41359</v>
      </c>
      <c r="B24968" s="3" t="s">
        <v>20434</v>
      </c>
      <c r="C24968" s="5" t="s">
        <v>614</v>
      </c>
      <c r="D24968" s="3" t="s">
        <v>206</v>
      </c>
      <c r="E24968" s="3" t="s">
        <v>100</v>
      </c>
      <c r="F24968" s="7">
        <v>46226.296034695726</v>
      </c>
      <c r="G24968" s="3" t="s">
        <v>16116</v>
      </c>
    </row>
    <row r="24969">
      <c r="A24969" s="3" t="s">
        <v>41360</v>
      </c>
      <c r="B24969" s="3" t="s">
        <v>20434</v>
      </c>
      <c r="C24969" s="5" t="s">
        <v>206</v>
      </c>
      <c r="D24969" s="3" t="s">
        <v>68</v>
      </c>
      <c r="E24969" s="3" t="s">
        <v>100</v>
      </c>
      <c r="F24969" s="7">
        <v>46226.299506917945</v>
      </c>
      <c r="G24969" s="3" t="s">
        <v>16118</v>
      </c>
    </row>
    <row r="24970">
      <c r="A24970" s="3" t="s">
        <v>41361</v>
      </c>
      <c r="B24970" s="3" t="s">
        <v>20437</v>
      </c>
      <c r="C24970" s="5" t="s">
        <v>45</v>
      </c>
      <c r="D24970" s="3" t="s">
        <v>221</v>
      </c>
      <c r="E24970" s="3" t="s">
        <v>462</v>
      </c>
      <c r="F24970" s="7">
        <v>46226.3602650967</v>
      </c>
      <c r="G24970" s="3" t="s">
        <v>16089</v>
      </c>
    </row>
    <row r="24971">
      <c r="A24971" s="3" t="s">
        <v>41362</v>
      </c>
      <c r="B24971" s="3" t="s">
        <v>20437</v>
      </c>
      <c r="C24971" s="5" t="s">
        <v>221</v>
      </c>
      <c r="D24971" s="3" t="s">
        <v>614</v>
      </c>
      <c r="E24971" s="3" t="s">
        <v>118</v>
      </c>
      <c r="F24971" s="7">
        <v>46226.36373731892</v>
      </c>
      <c r="G24971" s="3" t="s">
        <v>16091</v>
      </c>
    </row>
    <row r="24972">
      <c r="A24972" s="3" t="s">
        <v>41363</v>
      </c>
      <c r="B24972" s="3" t="s">
        <v>20437</v>
      </c>
      <c r="C24972" s="5" t="s">
        <v>614</v>
      </c>
      <c r="D24972" s="3" t="s">
        <v>206</v>
      </c>
      <c r="E24972" s="3" t="s">
        <v>100</v>
      </c>
      <c r="F24972" s="7">
        <v>46226.367209541146</v>
      </c>
      <c r="G24972" s="3" t="s">
        <v>16094</v>
      </c>
    </row>
    <row r="24973">
      <c r="A24973" s="3" t="s">
        <v>41364</v>
      </c>
      <c r="B24973" s="3" t="s">
        <v>20437</v>
      </c>
      <c r="C24973" s="5" t="s">
        <v>206</v>
      </c>
      <c r="D24973" s="3" t="s">
        <v>68</v>
      </c>
      <c r="E24973" s="3" t="s">
        <v>100</v>
      </c>
      <c r="F24973" s="7">
        <v>46226.370681763365</v>
      </c>
      <c r="G24973" s="3" t="s">
        <v>16097</v>
      </c>
    </row>
    <row r="24974">
      <c r="A24974" s="3" t="s">
        <v>41365</v>
      </c>
      <c r="B24974" s="3" t="s">
        <v>20439</v>
      </c>
      <c r="C24974" s="5" t="s">
        <v>45</v>
      </c>
      <c r="D24974" s="3" t="s">
        <v>221</v>
      </c>
      <c r="E24974" s="3" t="s">
        <v>404</v>
      </c>
      <c r="F24974" s="7">
        <v>46226.431439942105</v>
      </c>
      <c r="G24974" s="3" t="s">
        <v>19435</v>
      </c>
    </row>
    <row r="24975">
      <c r="A24975" s="3" t="s">
        <v>41366</v>
      </c>
      <c r="B24975" s="3" t="s">
        <v>20439</v>
      </c>
      <c r="C24975" s="5" t="s">
        <v>221</v>
      </c>
      <c r="D24975" s="3" t="s">
        <v>181</v>
      </c>
      <c r="E24975" s="3" t="s">
        <v>118</v>
      </c>
      <c r="F24975" s="7">
        <v>46226.434912164324</v>
      </c>
      <c r="G24975" s="3" t="s">
        <v>41367</v>
      </c>
    </row>
    <row r="24976">
      <c r="A24976" s="3" t="s">
        <v>41368</v>
      </c>
      <c r="B24976" s="3" t="s">
        <v>20441</v>
      </c>
      <c r="C24976" s="5" t="s">
        <v>45</v>
      </c>
      <c r="D24976" s="3" t="s">
        <v>221</v>
      </c>
      <c r="E24976" s="3" t="s">
        <v>479</v>
      </c>
      <c r="F24976" s="7">
        <v>46226.502614787525</v>
      </c>
      <c r="G24976" s="3" t="s">
        <v>37454</v>
      </c>
    </row>
    <row r="24977">
      <c r="A24977" s="3" t="s">
        <v>41369</v>
      </c>
      <c r="B24977" s="3" t="s">
        <v>20441</v>
      </c>
      <c r="C24977" s="5" t="s">
        <v>221</v>
      </c>
      <c r="D24977" s="3" t="s">
        <v>614</v>
      </c>
      <c r="E24977" s="3" t="s">
        <v>118</v>
      </c>
      <c r="F24977" s="7">
        <v>46226.506087009744</v>
      </c>
      <c r="G24977" s="3" t="s">
        <v>37456</v>
      </c>
    </row>
    <row r="24978">
      <c r="A24978" s="3" t="s">
        <v>41370</v>
      </c>
      <c r="B24978" s="3" t="s">
        <v>20441</v>
      </c>
      <c r="C24978" s="5" t="s">
        <v>614</v>
      </c>
      <c r="D24978" s="3" t="s">
        <v>206</v>
      </c>
      <c r="E24978" s="3" t="s">
        <v>100</v>
      </c>
      <c r="F24978" s="7">
        <v>46226.50955923197</v>
      </c>
      <c r="G24978" s="3" t="s">
        <v>37458</v>
      </c>
    </row>
    <row r="24979">
      <c r="A24979" s="3" t="s">
        <v>41371</v>
      </c>
      <c r="B24979" s="3" t="s">
        <v>20441</v>
      </c>
      <c r="C24979" s="5" t="s">
        <v>206</v>
      </c>
      <c r="D24979" s="3" t="s">
        <v>68</v>
      </c>
      <c r="E24979" s="3" t="s">
        <v>100</v>
      </c>
      <c r="F24979" s="7">
        <v>46226.51303145419</v>
      </c>
      <c r="G24979" s="3" t="s">
        <v>37460</v>
      </c>
    </row>
    <row r="24980">
      <c r="A24980" s="3" t="s">
        <v>41372</v>
      </c>
      <c r="B24980" s="3" t="s">
        <v>20444</v>
      </c>
      <c r="C24980" s="5" t="s">
        <v>45</v>
      </c>
      <c r="D24980" s="3" t="s">
        <v>221</v>
      </c>
      <c r="E24980" s="3" t="s">
        <v>1001</v>
      </c>
      <c r="F24980" s="7">
        <v>46226.573789632945</v>
      </c>
      <c r="G24980" s="3" t="s">
        <v>5685</v>
      </c>
    </row>
    <row r="24981">
      <c r="A24981" s="3" t="s">
        <v>41373</v>
      </c>
      <c r="B24981" s="3" t="s">
        <v>20444</v>
      </c>
      <c r="C24981" s="5" t="s">
        <v>221</v>
      </c>
      <c r="D24981" s="3" t="s">
        <v>614</v>
      </c>
      <c r="E24981" s="3" t="s">
        <v>118</v>
      </c>
      <c r="F24981" s="7">
        <v>46226.577261855164</v>
      </c>
      <c r="G24981" s="3" t="s">
        <v>5687</v>
      </c>
    </row>
    <row r="24982">
      <c r="A24982" s="3" t="s">
        <v>41374</v>
      </c>
      <c r="B24982" s="3" t="s">
        <v>20444</v>
      </c>
      <c r="C24982" s="5" t="s">
        <v>614</v>
      </c>
      <c r="D24982" s="3" t="s">
        <v>206</v>
      </c>
      <c r="E24982" s="3" t="s">
        <v>100</v>
      </c>
      <c r="F24982" s="7">
        <v>46226.58073407739</v>
      </c>
      <c r="G24982" s="3" t="s">
        <v>5690</v>
      </c>
    </row>
    <row r="24983">
      <c r="A24983" s="3" t="s">
        <v>41375</v>
      </c>
      <c r="B24983" s="3" t="s">
        <v>20444</v>
      </c>
      <c r="C24983" s="5" t="s">
        <v>206</v>
      </c>
      <c r="D24983" s="3" t="s">
        <v>68</v>
      </c>
      <c r="E24983" s="3" t="s">
        <v>100</v>
      </c>
      <c r="F24983" s="7">
        <v>46226.58420629961</v>
      </c>
      <c r="G24983" s="3" t="s">
        <v>5693</v>
      </c>
    </row>
    <row r="24984">
      <c r="A24984" s="3" t="s">
        <v>41376</v>
      </c>
      <c r="B24984" s="3" t="s">
        <v>20447</v>
      </c>
      <c r="C24984" s="5" t="s">
        <v>45</v>
      </c>
      <c r="D24984" s="3" t="s">
        <v>221</v>
      </c>
      <c r="E24984" s="3" t="s">
        <v>870</v>
      </c>
      <c r="F24984" s="7">
        <v>46226.64496447836</v>
      </c>
      <c r="G24984" s="3" t="s">
        <v>8229</v>
      </c>
    </row>
    <row r="24985">
      <c r="A24985" s="3" t="s">
        <v>41377</v>
      </c>
      <c r="B24985" s="3" t="s">
        <v>20447</v>
      </c>
      <c r="C24985" s="5" t="s">
        <v>221</v>
      </c>
      <c r="D24985" s="3" t="s">
        <v>614</v>
      </c>
      <c r="E24985" s="3" t="s">
        <v>118</v>
      </c>
      <c r="F24985" s="7">
        <v>46226.648436700576</v>
      </c>
      <c r="G24985" s="3" t="s">
        <v>8231</v>
      </c>
    </row>
    <row r="24986">
      <c r="A24986" s="3" t="s">
        <v>41378</v>
      </c>
      <c r="B24986" s="3" t="s">
        <v>20447</v>
      </c>
      <c r="C24986" s="5" t="s">
        <v>614</v>
      </c>
      <c r="D24986" s="3" t="s">
        <v>206</v>
      </c>
      <c r="E24986" s="3" t="s">
        <v>100</v>
      </c>
      <c r="F24986" s="7">
        <v>46226.6519089228</v>
      </c>
      <c r="G24986" s="3" t="s">
        <v>8234</v>
      </c>
    </row>
    <row r="24987">
      <c r="A24987" s="3" t="s">
        <v>41379</v>
      </c>
      <c r="B24987" s="3" t="s">
        <v>20447</v>
      </c>
      <c r="C24987" s="5" t="s">
        <v>206</v>
      </c>
      <c r="D24987" s="3" t="s">
        <v>68</v>
      </c>
      <c r="E24987" s="3" t="s">
        <v>100</v>
      </c>
      <c r="F24987" s="7">
        <v>46226.65538114502</v>
      </c>
      <c r="G24987" s="3" t="s">
        <v>8237</v>
      </c>
    </row>
    <row r="24988">
      <c r="A24988" s="3" t="s">
        <v>41380</v>
      </c>
      <c r="B24988" s="3" t="s">
        <v>20452</v>
      </c>
      <c r="C24988" s="5" t="s">
        <v>45</v>
      </c>
      <c r="D24988" s="3" t="s">
        <v>221</v>
      </c>
      <c r="E24988" s="3" t="s">
        <v>341</v>
      </c>
      <c r="F24988" s="7">
        <v>46226.71613932377</v>
      </c>
      <c r="G24988" s="3" t="s">
        <v>10364</v>
      </c>
    </row>
    <row r="24989">
      <c r="A24989" s="3" t="s">
        <v>41381</v>
      </c>
      <c r="B24989" s="3" t="s">
        <v>20452</v>
      </c>
      <c r="C24989" s="5" t="s">
        <v>221</v>
      </c>
      <c r="D24989" s="3" t="s">
        <v>181</v>
      </c>
      <c r="E24989" s="3" t="s">
        <v>118</v>
      </c>
      <c r="F24989" s="7">
        <v>46226.71961154599</v>
      </c>
      <c r="G24989" s="3" t="s">
        <v>41382</v>
      </c>
    </row>
    <row r="24990">
      <c r="A24990" s="3" t="s">
        <v>41383</v>
      </c>
      <c r="B24990" s="3" t="s">
        <v>20454</v>
      </c>
      <c r="C24990" s="5" t="s">
        <v>45</v>
      </c>
      <c r="D24990" s="3" t="s">
        <v>221</v>
      </c>
      <c r="E24990" s="3" t="s">
        <v>307</v>
      </c>
      <c r="F24990" s="7">
        <v>46226.78731416919</v>
      </c>
      <c r="G24990" s="3" t="s">
        <v>24165</v>
      </c>
    </row>
    <row r="24991">
      <c r="A24991" s="3" t="s">
        <v>41384</v>
      </c>
      <c r="B24991" s="3" t="s">
        <v>20454</v>
      </c>
      <c r="C24991" s="5" t="s">
        <v>221</v>
      </c>
      <c r="D24991" s="3" t="s">
        <v>614</v>
      </c>
      <c r="E24991" s="3" t="s">
        <v>118</v>
      </c>
      <c r="F24991" s="7">
        <v>46226.79078639141</v>
      </c>
      <c r="G24991" s="3" t="s">
        <v>24167</v>
      </c>
    </row>
    <row r="24992">
      <c r="A24992" s="3" t="s">
        <v>41385</v>
      </c>
      <c r="B24992" s="3" t="s">
        <v>20454</v>
      </c>
      <c r="C24992" s="5" t="s">
        <v>614</v>
      </c>
      <c r="D24992" s="3" t="s">
        <v>206</v>
      </c>
      <c r="E24992" s="3" t="s">
        <v>100</v>
      </c>
      <c r="F24992" s="7">
        <v>46226.794258613634</v>
      </c>
      <c r="G24992" s="3" t="s">
        <v>24169</v>
      </c>
    </row>
    <row r="24993">
      <c r="A24993" s="3" t="s">
        <v>41386</v>
      </c>
      <c r="B24993" s="3" t="s">
        <v>20454</v>
      </c>
      <c r="C24993" s="5" t="s">
        <v>206</v>
      </c>
      <c r="D24993" s="3" t="s">
        <v>68</v>
      </c>
      <c r="E24993" s="3" t="s">
        <v>100</v>
      </c>
      <c r="F24993" s="7">
        <v>46226.79773083585</v>
      </c>
      <c r="G24993" s="3" t="s">
        <v>24171</v>
      </c>
    </row>
    <row r="24994">
      <c r="A24994" s="3" t="s">
        <v>41387</v>
      </c>
      <c r="B24994" s="3" t="s">
        <v>20459</v>
      </c>
      <c r="C24994" s="5" t="s">
        <v>45</v>
      </c>
      <c r="D24994" s="3" t="s">
        <v>221</v>
      </c>
      <c r="E24994" s="3" t="s">
        <v>356</v>
      </c>
      <c r="F24994" s="7">
        <v>46226.8584890146</v>
      </c>
      <c r="G24994" s="3" t="s">
        <v>8874</v>
      </c>
    </row>
    <row r="24995">
      <c r="A24995" s="3" t="s">
        <v>41388</v>
      </c>
      <c r="B24995" s="3" t="s">
        <v>20459</v>
      </c>
      <c r="C24995" s="5" t="s">
        <v>221</v>
      </c>
      <c r="D24995" s="3" t="s">
        <v>181</v>
      </c>
      <c r="E24995" s="3" t="s">
        <v>118</v>
      </c>
      <c r="F24995" s="7">
        <v>46226.86196123682</v>
      </c>
      <c r="G24995" s="3" t="s">
        <v>41389</v>
      </c>
    </row>
    <row r="24996">
      <c r="A24996" s="3" t="s">
        <v>41390</v>
      </c>
      <c r="B24996" s="3" t="s">
        <v>20463</v>
      </c>
      <c r="C24996" s="5" t="s">
        <v>45</v>
      </c>
      <c r="D24996" s="3" t="s">
        <v>221</v>
      </c>
      <c r="E24996" s="3" t="s">
        <v>224</v>
      </c>
      <c r="F24996" s="7">
        <v>46226.92966386001</v>
      </c>
      <c r="G24996" s="3" t="s">
        <v>15998</v>
      </c>
    </row>
    <row r="24997">
      <c r="A24997" s="3" t="s">
        <v>41391</v>
      </c>
      <c r="B24997" s="3" t="s">
        <v>20463</v>
      </c>
      <c r="C24997" s="5" t="s">
        <v>221</v>
      </c>
      <c r="D24997" s="3" t="s">
        <v>614</v>
      </c>
      <c r="E24997" s="3" t="s">
        <v>118</v>
      </c>
      <c r="F24997" s="7">
        <v>46226.93313608223</v>
      </c>
      <c r="G24997" s="3" t="s">
        <v>16001</v>
      </c>
    </row>
    <row r="24998">
      <c r="A24998" s="3" t="s">
        <v>41392</v>
      </c>
      <c r="B24998" s="3" t="s">
        <v>20463</v>
      </c>
      <c r="C24998" s="5" t="s">
        <v>614</v>
      </c>
      <c r="D24998" s="3" t="s">
        <v>206</v>
      </c>
      <c r="E24998" s="3" t="s">
        <v>100</v>
      </c>
      <c r="F24998" s="7">
        <v>46226.93660830446</v>
      </c>
      <c r="G24998" s="3" t="s">
        <v>16003</v>
      </c>
    </row>
    <row r="24999">
      <c r="A24999" s="3" t="s">
        <v>41393</v>
      </c>
      <c r="B24999" s="3" t="s">
        <v>20463</v>
      </c>
      <c r="C24999" s="5" t="s">
        <v>206</v>
      </c>
      <c r="D24999" s="3" t="s">
        <v>68</v>
      </c>
      <c r="E24999" s="3" t="s">
        <v>100</v>
      </c>
      <c r="F24999" s="7">
        <v>46226.94008052668</v>
      </c>
      <c r="G24999" s="3" t="s">
        <v>16006</v>
      </c>
    </row>
    <row r="25000">
      <c r="A25000" s="3" t="s">
        <v>41394</v>
      </c>
      <c r="B25000" s="3" t="s">
        <v>20464</v>
      </c>
      <c r="C25000" s="5" t="s">
        <v>45</v>
      </c>
      <c r="D25000" s="3" t="s">
        <v>221</v>
      </c>
      <c r="E25000" s="3" t="s">
        <v>665</v>
      </c>
      <c r="F25000" s="7">
        <v>46227.00083870543</v>
      </c>
      <c r="G25000" s="3" t="s">
        <v>8901</v>
      </c>
    </row>
    <row r="25001">
      <c r="A25001" s="3" t="s">
        <v>41395</v>
      </c>
      <c r="B25001" s="3" t="s">
        <v>20464</v>
      </c>
      <c r="C25001" s="5" t="s">
        <v>221</v>
      </c>
      <c r="D25001" s="3" t="s">
        <v>181</v>
      </c>
      <c r="E25001" s="3" t="s">
        <v>118</v>
      </c>
      <c r="F25001" s="7">
        <v>46227.00431092765</v>
      </c>
      <c r="G25001" s="3" t="s">
        <v>25341</v>
      </c>
    </row>
    <row r="25002">
      <c r="A25002" s="3" t="s">
        <v>41396</v>
      </c>
      <c r="B25002" s="3" t="s">
        <v>20466</v>
      </c>
      <c r="C25002" s="5" t="s">
        <v>45</v>
      </c>
      <c r="D25002" s="3" t="s">
        <v>221</v>
      </c>
      <c r="E25002" s="3" t="s">
        <v>282</v>
      </c>
      <c r="F25002" s="7">
        <v>46227.072013550845</v>
      </c>
      <c r="G25002" s="3" t="s">
        <v>9332</v>
      </c>
    </row>
    <row r="25003">
      <c r="A25003" s="3" t="s">
        <v>41397</v>
      </c>
      <c r="B25003" s="3" t="s">
        <v>20466</v>
      </c>
      <c r="C25003" s="5" t="s">
        <v>221</v>
      </c>
      <c r="D25003" s="3" t="s">
        <v>614</v>
      </c>
      <c r="E25003" s="3" t="s">
        <v>118</v>
      </c>
      <c r="F25003" s="7">
        <v>46227.075485773064</v>
      </c>
      <c r="G25003" s="3" t="s">
        <v>9335</v>
      </c>
    </row>
    <row r="25004">
      <c r="A25004" s="3" t="s">
        <v>41398</v>
      </c>
      <c r="B25004" s="3" t="s">
        <v>20466</v>
      </c>
      <c r="C25004" s="5" t="s">
        <v>614</v>
      </c>
      <c r="D25004" s="3" t="s">
        <v>206</v>
      </c>
      <c r="E25004" s="3" t="s">
        <v>100</v>
      </c>
      <c r="F25004" s="7">
        <v>46227.07895799529</v>
      </c>
      <c r="G25004" s="3" t="s">
        <v>9337</v>
      </c>
    </row>
    <row r="25005">
      <c r="A25005" s="3" t="s">
        <v>41399</v>
      </c>
      <c r="B25005" s="3" t="s">
        <v>20466</v>
      </c>
      <c r="C25005" s="5" t="s">
        <v>206</v>
      </c>
      <c r="D25005" s="3" t="s">
        <v>68</v>
      </c>
      <c r="E25005" s="3" t="s">
        <v>100</v>
      </c>
      <c r="F25005" s="7">
        <v>46227.08243021751</v>
      </c>
      <c r="G25005" s="3" t="s">
        <v>9340</v>
      </c>
    </row>
    <row r="25006">
      <c r="A25006" s="3" t="s">
        <v>41400</v>
      </c>
      <c r="B25006" s="3" t="s">
        <v>20469</v>
      </c>
      <c r="C25006" s="5" t="s">
        <v>45</v>
      </c>
      <c r="D25006" s="3" t="s">
        <v>221</v>
      </c>
      <c r="E25006" s="3" t="s">
        <v>591</v>
      </c>
      <c r="F25006" s="7">
        <v>46227.14318839626</v>
      </c>
      <c r="G25006" s="3" t="s">
        <v>11404</v>
      </c>
    </row>
    <row r="25007">
      <c r="A25007" s="3" t="s">
        <v>41401</v>
      </c>
      <c r="B25007" s="3" t="s">
        <v>20469</v>
      </c>
      <c r="C25007" s="5" t="s">
        <v>221</v>
      </c>
      <c r="D25007" s="3" t="s">
        <v>614</v>
      </c>
      <c r="E25007" s="3" t="s">
        <v>118</v>
      </c>
      <c r="F25007" s="7">
        <v>46227.14666061848</v>
      </c>
      <c r="G25007" s="3" t="s">
        <v>11407</v>
      </c>
    </row>
    <row r="25008">
      <c r="A25008" s="3" t="s">
        <v>41402</v>
      </c>
      <c r="B25008" s="3" t="s">
        <v>20469</v>
      </c>
      <c r="C25008" s="5" t="s">
        <v>614</v>
      </c>
      <c r="D25008" s="3" t="s">
        <v>206</v>
      </c>
      <c r="E25008" s="3" t="s">
        <v>100</v>
      </c>
      <c r="F25008" s="7">
        <v>46227.1501328407</v>
      </c>
      <c r="G25008" s="3" t="s">
        <v>11410</v>
      </c>
    </row>
    <row r="25009">
      <c r="A25009" s="3" t="s">
        <v>41403</v>
      </c>
      <c r="B25009" s="3" t="s">
        <v>20469</v>
      </c>
      <c r="C25009" s="5" t="s">
        <v>206</v>
      </c>
      <c r="D25009" s="3" t="s">
        <v>68</v>
      </c>
      <c r="E25009" s="3" t="s">
        <v>100</v>
      </c>
      <c r="F25009" s="7">
        <v>46227.15360506292</v>
      </c>
      <c r="G25009" s="3" t="s">
        <v>11413</v>
      </c>
    </row>
    <row r="25010">
      <c r="A25010" s="3" t="s">
        <v>41404</v>
      </c>
      <c r="B25010" s="3" t="s">
        <v>20471</v>
      </c>
      <c r="C25010" s="5" t="s">
        <v>45</v>
      </c>
      <c r="D25010" s="3" t="s">
        <v>221</v>
      </c>
      <c r="E25010" s="3" t="s">
        <v>466</v>
      </c>
      <c r="F25010" s="7">
        <v>46227.21436324168</v>
      </c>
      <c r="G25010" s="3" t="s">
        <v>9355</v>
      </c>
    </row>
    <row r="25011">
      <c r="A25011" s="3" t="s">
        <v>41405</v>
      </c>
      <c r="B25011" s="3" t="s">
        <v>20471</v>
      </c>
      <c r="C25011" s="5" t="s">
        <v>221</v>
      </c>
      <c r="D25011" s="3" t="s">
        <v>614</v>
      </c>
      <c r="E25011" s="3" t="s">
        <v>118</v>
      </c>
      <c r="F25011" s="7">
        <v>46227.217835463896</v>
      </c>
      <c r="G25011" s="3" t="s">
        <v>9358</v>
      </c>
    </row>
    <row r="25012">
      <c r="A25012" s="3" t="s">
        <v>41406</v>
      </c>
      <c r="B25012" s="3" t="s">
        <v>20471</v>
      </c>
      <c r="C25012" s="5" t="s">
        <v>614</v>
      </c>
      <c r="D25012" s="3" t="s">
        <v>206</v>
      </c>
      <c r="E25012" s="3" t="s">
        <v>100</v>
      </c>
      <c r="F25012" s="7">
        <v>46227.22130768612</v>
      </c>
      <c r="G25012" s="3" t="s">
        <v>9361</v>
      </c>
    </row>
    <row r="25013">
      <c r="A25013" s="3" t="s">
        <v>41407</v>
      </c>
      <c r="B25013" s="3" t="s">
        <v>20471</v>
      </c>
      <c r="C25013" s="5" t="s">
        <v>206</v>
      </c>
      <c r="D25013" s="3" t="s">
        <v>68</v>
      </c>
      <c r="E25013" s="3" t="s">
        <v>100</v>
      </c>
      <c r="F25013" s="7">
        <v>46227.22477990834</v>
      </c>
      <c r="G25013" s="3" t="s">
        <v>9363</v>
      </c>
    </row>
    <row r="25014">
      <c r="A25014" s="3" t="s">
        <v>41408</v>
      </c>
      <c r="B25014" s="3" t="s">
        <v>20473</v>
      </c>
      <c r="C25014" s="5" t="s">
        <v>45</v>
      </c>
      <c r="D25014" s="3" t="s">
        <v>221</v>
      </c>
      <c r="E25014" s="3" t="s">
        <v>296</v>
      </c>
      <c r="F25014" s="7">
        <v>46227.28553808709</v>
      </c>
      <c r="G25014" s="3" t="s">
        <v>18572</v>
      </c>
    </row>
    <row r="25015">
      <c r="A25015" s="3" t="s">
        <v>41409</v>
      </c>
      <c r="B25015" s="3" t="s">
        <v>20473</v>
      </c>
      <c r="C25015" s="5" t="s">
        <v>221</v>
      </c>
      <c r="D25015" s="3" t="s">
        <v>195</v>
      </c>
      <c r="E25015" s="3" t="s">
        <v>296</v>
      </c>
      <c r="F25015" s="7">
        <v>46227.28901030931</v>
      </c>
      <c r="G25015" s="3" t="s">
        <v>36431</v>
      </c>
    </row>
    <row r="25016">
      <c r="A25016" s="3" t="s">
        <v>41410</v>
      </c>
      <c r="B25016" s="3" t="s">
        <v>20475</v>
      </c>
      <c r="C25016" s="5" t="s">
        <v>45</v>
      </c>
      <c r="D25016" s="3" t="s">
        <v>221</v>
      </c>
      <c r="E25016" s="3" t="s">
        <v>908</v>
      </c>
      <c r="F25016" s="7">
        <v>46227.3567129325</v>
      </c>
      <c r="G25016" s="3" t="s">
        <v>12142</v>
      </c>
    </row>
    <row r="25017">
      <c r="A25017" s="3" t="s">
        <v>41411</v>
      </c>
      <c r="B25017" s="3" t="s">
        <v>20475</v>
      </c>
      <c r="C25017" s="5" t="s">
        <v>221</v>
      </c>
      <c r="D25017" s="3" t="s">
        <v>614</v>
      </c>
      <c r="E25017" s="3" t="s">
        <v>118</v>
      </c>
      <c r="F25017" s="7">
        <v>46227.36018515472</v>
      </c>
      <c r="G25017" s="3" t="s">
        <v>12145</v>
      </c>
    </row>
    <row r="25018">
      <c r="A25018" s="3" t="s">
        <v>41412</v>
      </c>
      <c r="B25018" s="3" t="s">
        <v>20475</v>
      </c>
      <c r="C25018" s="5" t="s">
        <v>614</v>
      </c>
      <c r="D25018" s="3" t="s">
        <v>206</v>
      </c>
      <c r="E25018" s="3" t="s">
        <v>100</v>
      </c>
      <c r="F25018" s="7">
        <v>46227.36365737695</v>
      </c>
      <c r="G25018" s="3" t="s">
        <v>12148</v>
      </c>
    </row>
    <row r="25019">
      <c r="A25019" s="3" t="s">
        <v>41413</v>
      </c>
      <c r="B25019" s="3" t="s">
        <v>20475</v>
      </c>
      <c r="C25019" s="5" t="s">
        <v>206</v>
      </c>
      <c r="D25019" s="3" t="s">
        <v>68</v>
      </c>
      <c r="E25019" s="3" t="s">
        <v>100</v>
      </c>
      <c r="F25019" s="7">
        <v>46227.367129599166</v>
      </c>
      <c r="G25019" s="3" t="s">
        <v>12151</v>
      </c>
    </row>
    <row r="25020">
      <c r="A25020" s="3" t="s">
        <v>41414</v>
      </c>
      <c r="B25020" s="3" t="s">
        <v>20477</v>
      </c>
      <c r="C25020" s="5" t="s">
        <v>45</v>
      </c>
      <c r="D25020" s="3" t="s">
        <v>221</v>
      </c>
      <c r="E25020" s="3" t="s">
        <v>449</v>
      </c>
      <c r="F25020" s="7">
        <v>46227.42788777792</v>
      </c>
      <c r="G25020" s="3" t="s">
        <v>9378</v>
      </c>
    </row>
    <row r="25021">
      <c r="A25021" s="3" t="s">
        <v>41415</v>
      </c>
      <c r="B25021" s="3" t="s">
        <v>20477</v>
      </c>
      <c r="C25021" s="5" t="s">
        <v>221</v>
      </c>
      <c r="D25021" s="3" t="s">
        <v>614</v>
      </c>
      <c r="E25021" s="3" t="s">
        <v>118</v>
      </c>
      <c r="F25021" s="7">
        <v>46227.43136000014</v>
      </c>
      <c r="G25021" s="3" t="s">
        <v>9380</v>
      </c>
    </row>
    <row r="25022">
      <c r="A25022" s="3" t="s">
        <v>41416</v>
      </c>
      <c r="B25022" s="3" t="s">
        <v>20477</v>
      </c>
      <c r="C25022" s="5" t="s">
        <v>614</v>
      </c>
      <c r="D25022" s="3" t="s">
        <v>206</v>
      </c>
      <c r="E25022" s="3" t="s">
        <v>100</v>
      </c>
      <c r="F25022" s="7">
        <v>46227.43483222237</v>
      </c>
      <c r="G25022" s="3" t="s">
        <v>9383</v>
      </c>
    </row>
    <row r="25023">
      <c r="A25023" s="3" t="s">
        <v>41417</v>
      </c>
      <c r="B25023" s="3" t="s">
        <v>20477</v>
      </c>
      <c r="C25023" s="5" t="s">
        <v>206</v>
      </c>
      <c r="D25023" s="3" t="s">
        <v>68</v>
      </c>
      <c r="E25023" s="3" t="s">
        <v>100</v>
      </c>
      <c r="F25023" s="7">
        <v>46227.438304444586</v>
      </c>
      <c r="G25023" s="3" t="s">
        <v>9386</v>
      </c>
    </row>
    <row r="25024">
      <c r="A25024" s="3" t="s">
        <v>41418</v>
      </c>
      <c r="B25024" s="3" t="s">
        <v>20480</v>
      </c>
      <c r="C25024" s="5" t="s">
        <v>45</v>
      </c>
      <c r="D25024" s="3" t="s">
        <v>221</v>
      </c>
      <c r="E25024" s="3" t="s">
        <v>202</v>
      </c>
      <c r="F25024" s="7">
        <v>46227.49906262334</v>
      </c>
      <c r="G25024" s="3" t="s">
        <v>22235</v>
      </c>
    </row>
    <row r="25025">
      <c r="A25025" s="3" t="s">
        <v>41419</v>
      </c>
      <c r="B25025" s="3" t="s">
        <v>20480</v>
      </c>
      <c r="C25025" s="5" t="s">
        <v>221</v>
      </c>
      <c r="D25025" s="3" t="s">
        <v>614</v>
      </c>
      <c r="E25025" s="3" t="s">
        <v>118</v>
      </c>
      <c r="F25025" s="7">
        <v>46227.50253484556</v>
      </c>
      <c r="G25025" s="3" t="s">
        <v>22238</v>
      </c>
    </row>
    <row r="25026">
      <c r="A25026" s="3" t="s">
        <v>41420</v>
      </c>
      <c r="B25026" s="3" t="s">
        <v>20480</v>
      </c>
      <c r="C25026" s="5" t="s">
        <v>614</v>
      </c>
      <c r="D25026" s="3" t="s">
        <v>206</v>
      </c>
      <c r="E25026" s="3" t="s">
        <v>100</v>
      </c>
      <c r="F25026" s="7">
        <v>46227.50600706779</v>
      </c>
      <c r="G25026" s="3" t="s">
        <v>22241</v>
      </c>
    </row>
    <row r="25027">
      <c r="A25027" s="3" t="s">
        <v>41421</v>
      </c>
      <c r="B25027" s="3" t="s">
        <v>20480</v>
      </c>
      <c r="C25027" s="5" t="s">
        <v>206</v>
      </c>
      <c r="D25027" s="3" t="s">
        <v>68</v>
      </c>
      <c r="E25027" s="3" t="s">
        <v>100</v>
      </c>
      <c r="F25027" s="7">
        <v>46227.509479290005</v>
      </c>
      <c r="G25027" s="3" t="s">
        <v>22244</v>
      </c>
    </row>
    <row r="25028">
      <c r="A25028" s="3" t="s">
        <v>41422</v>
      </c>
      <c r="B25028" s="3" t="s">
        <v>20483</v>
      </c>
      <c r="C25028" s="5" t="s">
        <v>45</v>
      </c>
      <c r="D25028" s="3" t="s">
        <v>221</v>
      </c>
      <c r="E25028" s="3" t="s">
        <v>637</v>
      </c>
      <c r="F25028" s="7">
        <v>46227.570237468746</v>
      </c>
      <c r="G25028" s="3" t="s">
        <v>8065</v>
      </c>
    </row>
    <row r="25029">
      <c r="A25029" s="3" t="s">
        <v>41423</v>
      </c>
      <c r="B25029" s="3" t="s">
        <v>20483</v>
      </c>
      <c r="C25029" s="5" t="s">
        <v>221</v>
      </c>
      <c r="D25029" s="3" t="s">
        <v>614</v>
      </c>
      <c r="E25029" s="3" t="s">
        <v>118</v>
      </c>
      <c r="F25029" s="7">
        <v>46227.573709690965</v>
      </c>
      <c r="G25029" s="3" t="s">
        <v>22215</v>
      </c>
    </row>
    <row r="25030">
      <c r="A25030" s="3" t="s">
        <v>41424</v>
      </c>
      <c r="B25030" s="3" t="s">
        <v>20483</v>
      </c>
      <c r="C25030" s="5" t="s">
        <v>614</v>
      </c>
      <c r="D25030" s="3" t="s">
        <v>206</v>
      </c>
      <c r="E25030" s="3" t="s">
        <v>100</v>
      </c>
      <c r="F25030" s="7">
        <v>46227.57718191319</v>
      </c>
      <c r="G25030" s="3" t="s">
        <v>22218</v>
      </c>
    </row>
    <row r="25031">
      <c r="A25031" s="3" t="s">
        <v>41425</v>
      </c>
      <c r="B25031" s="3" t="s">
        <v>20483</v>
      </c>
      <c r="C25031" s="5" t="s">
        <v>206</v>
      </c>
      <c r="D25031" s="3" t="s">
        <v>68</v>
      </c>
      <c r="E25031" s="3" t="s">
        <v>100</v>
      </c>
      <c r="F25031" s="7">
        <v>46227.58065413541</v>
      </c>
      <c r="G25031" s="3" t="s">
        <v>22220</v>
      </c>
    </row>
    <row r="25032">
      <c r="A25032" s="3" t="s">
        <v>41426</v>
      </c>
      <c r="B25032" s="3" t="s">
        <v>20487</v>
      </c>
      <c r="C25032" s="5" t="s">
        <v>45</v>
      </c>
      <c r="D25032" s="3" t="s">
        <v>221</v>
      </c>
      <c r="E25032" s="3" t="s">
        <v>449</v>
      </c>
      <c r="F25032" s="7">
        <v>46227.641412314166</v>
      </c>
      <c r="G25032" s="3" t="s">
        <v>9643</v>
      </c>
    </row>
    <row r="25033">
      <c r="A25033" s="3" t="s">
        <v>41427</v>
      </c>
      <c r="B25033" s="3" t="s">
        <v>20487</v>
      </c>
      <c r="C25033" s="5" t="s">
        <v>221</v>
      </c>
      <c r="D25033" s="3" t="s">
        <v>614</v>
      </c>
      <c r="E25033" s="3" t="s">
        <v>118</v>
      </c>
      <c r="F25033" s="7">
        <v>46227.644884536385</v>
      </c>
      <c r="G25033" s="3" t="s">
        <v>9646</v>
      </c>
    </row>
    <row r="25034">
      <c r="A25034" s="3" t="s">
        <v>41428</v>
      </c>
      <c r="B25034" s="3" t="s">
        <v>20487</v>
      </c>
      <c r="C25034" s="5" t="s">
        <v>614</v>
      </c>
      <c r="D25034" s="3" t="s">
        <v>206</v>
      </c>
      <c r="E25034" s="3" t="s">
        <v>100</v>
      </c>
      <c r="F25034" s="7">
        <v>46227.64835675861</v>
      </c>
      <c r="G25034" s="3" t="s">
        <v>9649</v>
      </c>
    </row>
    <row r="25035">
      <c r="A25035" s="3" t="s">
        <v>41429</v>
      </c>
      <c r="B25035" s="3" t="s">
        <v>20487</v>
      </c>
      <c r="C25035" s="5" t="s">
        <v>206</v>
      </c>
      <c r="D25035" s="3" t="s">
        <v>68</v>
      </c>
      <c r="E25035" s="3" t="s">
        <v>100</v>
      </c>
      <c r="F25035" s="7">
        <v>46227.65182898083</v>
      </c>
      <c r="G25035" s="3" t="s">
        <v>9653</v>
      </c>
    </row>
    <row r="25036">
      <c r="A25036" s="3" t="s">
        <v>41430</v>
      </c>
      <c r="B25036" s="3" t="s">
        <v>20490</v>
      </c>
      <c r="C25036" s="5" t="s">
        <v>45</v>
      </c>
      <c r="D25036" s="3" t="s">
        <v>221</v>
      </c>
      <c r="E25036" s="3" t="s">
        <v>1026</v>
      </c>
      <c r="F25036" s="7">
        <v>46227.712587159585</v>
      </c>
      <c r="G25036" s="3" t="s">
        <v>10805</v>
      </c>
    </row>
    <row r="25037">
      <c r="A25037" s="3" t="s">
        <v>41431</v>
      </c>
      <c r="B25037" s="3" t="s">
        <v>20490</v>
      </c>
      <c r="C25037" s="5" t="s">
        <v>221</v>
      </c>
      <c r="D25037" s="3" t="s">
        <v>614</v>
      </c>
      <c r="E25037" s="3" t="s">
        <v>118</v>
      </c>
      <c r="F25037" s="7">
        <v>46227.716059381804</v>
      </c>
      <c r="G25037" s="3" t="s">
        <v>25913</v>
      </c>
    </row>
    <row r="25038">
      <c r="A25038" s="3" t="s">
        <v>41432</v>
      </c>
      <c r="B25038" s="3" t="s">
        <v>20490</v>
      </c>
      <c r="C25038" s="5" t="s">
        <v>614</v>
      </c>
      <c r="D25038" s="3" t="s">
        <v>206</v>
      </c>
      <c r="E25038" s="3" t="s">
        <v>100</v>
      </c>
      <c r="F25038" s="7">
        <v>46227.71953160403</v>
      </c>
      <c r="G25038" s="3" t="s">
        <v>25915</v>
      </c>
    </row>
    <row r="25039">
      <c r="A25039" s="3" t="s">
        <v>41433</v>
      </c>
      <c r="B25039" s="3" t="s">
        <v>20490</v>
      </c>
      <c r="C25039" s="5" t="s">
        <v>206</v>
      </c>
      <c r="D25039" s="3" t="s">
        <v>68</v>
      </c>
      <c r="E25039" s="3" t="s">
        <v>100</v>
      </c>
      <c r="F25039" s="7">
        <v>46227.72300382625</v>
      </c>
      <c r="G25039" s="3" t="s">
        <v>25917</v>
      </c>
    </row>
    <row r="25040">
      <c r="A25040" s="3" t="s">
        <v>41434</v>
      </c>
      <c r="B25040" s="3" t="s">
        <v>20493</v>
      </c>
      <c r="C25040" s="5" t="s">
        <v>45</v>
      </c>
      <c r="D25040" s="3" t="s">
        <v>221</v>
      </c>
      <c r="E25040" s="3" t="s">
        <v>219</v>
      </c>
      <c r="F25040" s="7">
        <v>46227.783762005</v>
      </c>
      <c r="G25040" s="3" t="s">
        <v>24829</v>
      </c>
    </row>
    <row r="25041">
      <c r="A25041" s="3" t="s">
        <v>41435</v>
      </c>
      <c r="B25041" s="3" t="s">
        <v>20493</v>
      </c>
      <c r="C25041" s="5" t="s">
        <v>221</v>
      </c>
      <c r="D25041" s="3" t="s">
        <v>614</v>
      </c>
      <c r="E25041" s="3" t="s">
        <v>118</v>
      </c>
      <c r="F25041" s="7">
        <v>46227.78723422722</v>
      </c>
      <c r="G25041" s="3" t="s">
        <v>34204</v>
      </c>
    </row>
    <row r="25042">
      <c r="A25042" s="3" t="s">
        <v>41436</v>
      </c>
      <c r="B25042" s="3" t="s">
        <v>20493</v>
      </c>
      <c r="C25042" s="5" t="s">
        <v>614</v>
      </c>
      <c r="D25042" s="3" t="s">
        <v>206</v>
      </c>
      <c r="E25042" s="3" t="s">
        <v>100</v>
      </c>
      <c r="F25042" s="7">
        <v>46227.79070644944</v>
      </c>
      <c r="G25042" s="3" t="s">
        <v>34206</v>
      </c>
    </row>
    <row r="25043">
      <c r="A25043" s="3" t="s">
        <v>41437</v>
      </c>
      <c r="B25043" s="3" t="s">
        <v>20493</v>
      </c>
      <c r="C25043" s="5" t="s">
        <v>206</v>
      </c>
      <c r="D25043" s="3" t="s">
        <v>68</v>
      </c>
      <c r="E25043" s="3" t="s">
        <v>100</v>
      </c>
      <c r="F25043" s="7">
        <v>46227.79417867166</v>
      </c>
      <c r="G25043" s="3" t="s">
        <v>34208</v>
      </c>
    </row>
    <row r="25044">
      <c r="A25044" s="3" t="s">
        <v>41438</v>
      </c>
      <c r="B25044" s="3" t="s">
        <v>20496</v>
      </c>
      <c r="C25044" s="5" t="s">
        <v>45</v>
      </c>
      <c r="D25044" s="3" t="s">
        <v>221</v>
      </c>
      <c r="E25044" s="3" t="s">
        <v>903</v>
      </c>
      <c r="F25044" s="7">
        <v>46227.85493685041</v>
      </c>
      <c r="G25044" s="3" t="s">
        <v>16755</v>
      </c>
    </row>
    <row r="25045">
      <c r="A25045" s="3" t="s">
        <v>41439</v>
      </c>
      <c r="B25045" s="3" t="s">
        <v>20496</v>
      </c>
      <c r="C25045" s="5" t="s">
        <v>221</v>
      </c>
      <c r="D25045" s="3" t="s">
        <v>614</v>
      </c>
      <c r="E25045" s="3" t="s">
        <v>118</v>
      </c>
      <c r="F25045" s="7">
        <v>46227.85840907263</v>
      </c>
      <c r="G25045" s="3" t="s">
        <v>16758</v>
      </c>
    </row>
    <row r="25046">
      <c r="A25046" s="3" t="s">
        <v>41440</v>
      </c>
      <c r="B25046" s="3" t="s">
        <v>20496</v>
      </c>
      <c r="C25046" s="5" t="s">
        <v>614</v>
      </c>
      <c r="D25046" s="3" t="s">
        <v>206</v>
      </c>
      <c r="E25046" s="3" t="s">
        <v>100</v>
      </c>
      <c r="F25046" s="7">
        <v>46227.861881294855</v>
      </c>
      <c r="G25046" s="3" t="s">
        <v>16761</v>
      </c>
    </row>
    <row r="25047">
      <c r="A25047" s="3" t="s">
        <v>41441</v>
      </c>
      <c r="B25047" s="3" t="s">
        <v>20496</v>
      </c>
      <c r="C25047" s="5" t="s">
        <v>206</v>
      </c>
      <c r="D25047" s="3" t="s">
        <v>68</v>
      </c>
      <c r="E25047" s="3" t="s">
        <v>100</v>
      </c>
      <c r="F25047" s="7">
        <v>46227.865353517074</v>
      </c>
      <c r="G25047" s="3" t="s">
        <v>16763</v>
      </c>
    </row>
    <row r="25048">
      <c r="A25048" s="3" t="s">
        <v>41442</v>
      </c>
      <c r="B25048" s="3" t="s">
        <v>20501</v>
      </c>
      <c r="C25048" s="5" t="s">
        <v>45</v>
      </c>
      <c r="D25048" s="3" t="s">
        <v>221</v>
      </c>
      <c r="E25048" s="3" t="s">
        <v>419</v>
      </c>
      <c r="F25048" s="7">
        <v>46227.92611169583</v>
      </c>
      <c r="G25048" s="3" t="s">
        <v>18872</v>
      </c>
    </row>
    <row r="25049">
      <c r="A25049" s="3" t="s">
        <v>41443</v>
      </c>
      <c r="B25049" s="3" t="s">
        <v>20501</v>
      </c>
      <c r="C25049" s="5" t="s">
        <v>221</v>
      </c>
      <c r="D25049" s="3" t="s">
        <v>614</v>
      </c>
      <c r="E25049" s="3" t="s">
        <v>118</v>
      </c>
      <c r="F25049" s="7">
        <v>46227.92958391805</v>
      </c>
      <c r="G25049" s="3" t="s">
        <v>18875</v>
      </c>
    </row>
    <row r="25050">
      <c r="A25050" s="3" t="s">
        <v>41444</v>
      </c>
      <c r="B25050" s="3" t="s">
        <v>20501</v>
      </c>
      <c r="C25050" s="5" t="s">
        <v>614</v>
      </c>
      <c r="D25050" s="3" t="s">
        <v>206</v>
      </c>
      <c r="E25050" s="3" t="s">
        <v>100</v>
      </c>
      <c r="F25050" s="7">
        <v>46227.933056140275</v>
      </c>
      <c r="G25050" s="3" t="s">
        <v>18877</v>
      </c>
    </row>
    <row r="25051">
      <c r="A25051" s="3" t="s">
        <v>41445</v>
      </c>
      <c r="B25051" s="3" t="s">
        <v>20501</v>
      </c>
      <c r="C25051" s="5" t="s">
        <v>206</v>
      </c>
      <c r="D25051" s="3" t="s">
        <v>68</v>
      </c>
      <c r="E25051" s="3" t="s">
        <v>100</v>
      </c>
      <c r="F25051" s="7">
        <v>46227.936528362494</v>
      </c>
      <c r="G25051" s="3" t="s">
        <v>18879</v>
      </c>
    </row>
    <row r="25052">
      <c r="A25052" s="3" t="s">
        <v>41446</v>
      </c>
      <c r="B25052" s="3" t="s">
        <v>20503</v>
      </c>
      <c r="C25052" s="5" t="s">
        <v>45</v>
      </c>
      <c r="D25052" s="3" t="s">
        <v>221</v>
      </c>
      <c r="E25052" s="3" t="s">
        <v>929</v>
      </c>
      <c r="F25052" s="7">
        <v>46227.99728654124</v>
      </c>
      <c r="G25052" s="3" t="s">
        <v>20708</v>
      </c>
    </row>
    <row r="25053">
      <c r="A25053" s="3" t="s">
        <v>41447</v>
      </c>
      <c r="B25053" s="3" t="s">
        <v>20503</v>
      </c>
      <c r="C25053" s="5" t="s">
        <v>221</v>
      </c>
      <c r="D25053" s="3" t="s">
        <v>614</v>
      </c>
      <c r="E25053" s="3" t="s">
        <v>118</v>
      </c>
      <c r="F25053" s="7">
        <v>46228.00075876346</v>
      </c>
      <c r="G25053" s="3" t="s">
        <v>20711</v>
      </c>
    </row>
    <row r="25054">
      <c r="A25054" s="3" t="s">
        <v>41448</v>
      </c>
      <c r="B25054" s="3" t="s">
        <v>20503</v>
      </c>
      <c r="C25054" s="5" t="s">
        <v>614</v>
      </c>
      <c r="D25054" s="3" t="s">
        <v>206</v>
      </c>
      <c r="E25054" s="3" t="s">
        <v>100</v>
      </c>
      <c r="F25054" s="7">
        <v>46228.00423098569</v>
      </c>
      <c r="G25054" s="3" t="s">
        <v>20714</v>
      </c>
    </row>
    <row r="25055">
      <c r="A25055" s="3" t="s">
        <v>41449</v>
      </c>
      <c r="B25055" s="3" t="s">
        <v>20503</v>
      </c>
      <c r="C25055" s="5" t="s">
        <v>206</v>
      </c>
      <c r="D25055" s="3" t="s">
        <v>68</v>
      </c>
      <c r="E25055" s="3" t="s">
        <v>100</v>
      </c>
      <c r="F25055" s="7">
        <v>46228.007703207906</v>
      </c>
      <c r="G25055" s="3" t="s">
        <v>20717</v>
      </c>
    </row>
    <row r="25056">
      <c r="A25056" s="3" t="s">
        <v>41450</v>
      </c>
      <c r="B25056" s="3" t="s">
        <v>20505</v>
      </c>
      <c r="C25056" s="5" t="s">
        <v>45</v>
      </c>
      <c r="D25056" s="3" t="s">
        <v>221</v>
      </c>
      <c r="E25056" s="3" t="s">
        <v>468</v>
      </c>
      <c r="F25056" s="7">
        <v>46228.068461386654</v>
      </c>
      <c r="G25056" s="3" t="s">
        <v>9366</v>
      </c>
    </row>
    <row r="25057">
      <c r="A25057" s="3" t="s">
        <v>41451</v>
      </c>
      <c r="B25057" s="3" t="s">
        <v>20505</v>
      </c>
      <c r="C25057" s="5" t="s">
        <v>221</v>
      </c>
      <c r="D25057" s="3" t="s">
        <v>614</v>
      </c>
      <c r="E25057" s="3" t="s">
        <v>118</v>
      </c>
      <c r="F25057" s="7">
        <v>46228.07193360887</v>
      </c>
      <c r="G25057" s="3" t="s">
        <v>9369</v>
      </c>
    </row>
    <row r="25058">
      <c r="A25058" s="3" t="s">
        <v>41452</v>
      </c>
      <c r="B25058" s="3" t="s">
        <v>20505</v>
      </c>
      <c r="C25058" s="5" t="s">
        <v>614</v>
      </c>
      <c r="D25058" s="3" t="s">
        <v>206</v>
      </c>
      <c r="E25058" s="3" t="s">
        <v>100</v>
      </c>
      <c r="F25058" s="7">
        <v>46228.0754058311</v>
      </c>
      <c r="G25058" s="3" t="s">
        <v>9372</v>
      </c>
    </row>
    <row r="25059">
      <c r="A25059" s="3" t="s">
        <v>41453</v>
      </c>
      <c r="B25059" s="3" t="s">
        <v>20505</v>
      </c>
      <c r="C25059" s="5" t="s">
        <v>206</v>
      </c>
      <c r="D25059" s="3" t="s">
        <v>68</v>
      </c>
      <c r="E25059" s="3" t="s">
        <v>100</v>
      </c>
      <c r="F25059" s="7">
        <v>46228.07887805332</v>
      </c>
      <c r="G25059" s="3" t="s">
        <v>9375</v>
      </c>
    </row>
    <row r="25060">
      <c r="A25060" s="3" t="s">
        <v>41454</v>
      </c>
      <c r="B25060" s="3" t="s">
        <v>20507</v>
      </c>
      <c r="C25060" s="5" t="s">
        <v>45</v>
      </c>
      <c r="D25060" s="3" t="s">
        <v>221</v>
      </c>
      <c r="E25060" s="3" t="s">
        <v>539</v>
      </c>
      <c r="F25060" s="7">
        <v>46228.139636232074</v>
      </c>
      <c r="G25060" s="3" t="s">
        <v>10291</v>
      </c>
    </row>
    <row r="25061">
      <c r="A25061" s="3" t="s">
        <v>41455</v>
      </c>
      <c r="B25061" s="3" t="s">
        <v>20507</v>
      </c>
      <c r="C25061" s="5" t="s">
        <v>221</v>
      </c>
      <c r="D25061" s="3" t="s">
        <v>614</v>
      </c>
      <c r="E25061" s="3" t="s">
        <v>118</v>
      </c>
      <c r="F25061" s="7">
        <v>46228.14310845429</v>
      </c>
      <c r="G25061" s="3" t="s">
        <v>10294</v>
      </c>
    </row>
    <row r="25062">
      <c r="A25062" s="3" t="s">
        <v>41456</v>
      </c>
      <c r="B25062" s="3" t="s">
        <v>20507</v>
      </c>
      <c r="C25062" s="5" t="s">
        <v>614</v>
      </c>
      <c r="D25062" s="3" t="s">
        <v>206</v>
      </c>
      <c r="E25062" s="3" t="s">
        <v>100</v>
      </c>
      <c r="F25062" s="7">
        <v>46228.14658067652</v>
      </c>
      <c r="G25062" s="3" t="s">
        <v>10296</v>
      </c>
    </row>
    <row r="25063">
      <c r="A25063" s="3" t="s">
        <v>41457</v>
      </c>
      <c r="B25063" s="3" t="s">
        <v>20507</v>
      </c>
      <c r="C25063" s="5" t="s">
        <v>206</v>
      </c>
      <c r="D25063" s="3" t="s">
        <v>68</v>
      </c>
      <c r="E25063" s="3" t="s">
        <v>100</v>
      </c>
      <c r="F25063" s="7">
        <v>46228.15005289874</v>
      </c>
      <c r="G25063" s="3" t="s">
        <v>10299</v>
      </c>
    </row>
    <row r="25064">
      <c r="A25064" s="3" t="s">
        <v>41458</v>
      </c>
      <c r="B25064" s="3" t="s">
        <v>20509</v>
      </c>
      <c r="C25064" s="5" t="s">
        <v>45</v>
      </c>
      <c r="D25064" s="3" t="s">
        <v>221</v>
      </c>
      <c r="E25064" s="3" t="s">
        <v>1001</v>
      </c>
      <c r="F25064" s="7">
        <v>46228.21081107749</v>
      </c>
      <c r="G25064" s="3" t="s">
        <v>5685</v>
      </c>
    </row>
    <row r="25065">
      <c r="A25065" s="3" t="s">
        <v>41459</v>
      </c>
      <c r="B25065" s="3" t="s">
        <v>20509</v>
      </c>
      <c r="C25065" s="5" t="s">
        <v>221</v>
      </c>
      <c r="D25065" s="3" t="s">
        <v>614</v>
      </c>
      <c r="E25065" s="3" t="s">
        <v>118</v>
      </c>
      <c r="F25065" s="7">
        <v>46228.21428329971</v>
      </c>
      <c r="G25065" s="3" t="s">
        <v>5687</v>
      </c>
    </row>
    <row r="25066">
      <c r="A25066" s="3" t="s">
        <v>41460</v>
      </c>
      <c r="B25066" s="3" t="s">
        <v>20509</v>
      </c>
      <c r="C25066" s="5" t="s">
        <v>614</v>
      </c>
      <c r="D25066" s="3" t="s">
        <v>206</v>
      </c>
      <c r="E25066" s="3" t="s">
        <v>100</v>
      </c>
      <c r="F25066" s="7">
        <v>46228.21775552194</v>
      </c>
      <c r="G25066" s="3" t="s">
        <v>5690</v>
      </c>
    </row>
    <row r="25067">
      <c r="A25067" s="3" t="s">
        <v>41461</v>
      </c>
      <c r="B25067" s="3" t="s">
        <v>20509</v>
      </c>
      <c r="C25067" s="5" t="s">
        <v>206</v>
      </c>
      <c r="D25067" s="3" t="s">
        <v>68</v>
      </c>
      <c r="E25067" s="3" t="s">
        <v>100</v>
      </c>
      <c r="F25067" s="7">
        <v>46228.22122774416</v>
      </c>
      <c r="G25067" s="3" t="s">
        <v>5693</v>
      </c>
    </row>
    <row r="25068">
      <c r="A25068" s="3" t="s">
        <v>41462</v>
      </c>
      <c r="B25068" s="3" t="s">
        <v>20512</v>
      </c>
      <c r="C25068" s="5" t="s">
        <v>45</v>
      </c>
      <c r="D25068" s="3" t="s">
        <v>221</v>
      </c>
      <c r="E25068" s="3" t="s">
        <v>676</v>
      </c>
      <c r="F25068" s="7">
        <v>46228.2819859229</v>
      </c>
      <c r="G25068" s="3" t="s">
        <v>14735</v>
      </c>
    </row>
    <row r="25069">
      <c r="A25069" s="3" t="s">
        <v>41463</v>
      </c>
      <c r="B25069" s="3" t="s">
        <v>20512</v>
      </c>
      <c r="C25069" s="5" t="s">
        <v>221</v>
      </c>
      <c r="D25069" s="3" t="s">
        <v>614</v>
      </c>
      <c r="E25069" s="3" t="s">
        <v>118</v>
      </c>
      <c r="F25069" s="7">
        <v>46228.28545814512</v>
      </c>
      <c r="G25069" s="3" t="s">
        <v>14738</v>
      </c>
    </row>
    <row r="25070">
      <c r="A25070" s="3" t="s">
        <v>41464</v>
      </c>
      <c r="B25070" s="3" t="s">
        <v>20512</v>
      </c>
      <c r="C25070" s="5" t="s">
        <v>614</v>
      </c>
      <c r="D25070" s="3" t="s">
        <v>206</v>
      </c>
      <c r="E25070" s="3" t="s">
        <v>100</v>
      </c>
      <c r="F25070" s="7">
        <v>46228.288930367344</v>
      </c>
      <c r="G25070" s="3" t="s">
        <v>14741</v>
      </c>
    </row>
    <row r="25071">
      <c r="A25071" s="3" t="s">
        <v>41465</v>
      </c>
      <c r="B25071" s="3" t="s">
        <v>20512</v>
      </c>
      <c r="C25071" s="5" t="s">
        <v>206</v>
      </c>
      <c r="D25071" s="3" t="s">
        <v>68</v>
      </c>
      <c r="E25071" s="3" t="s">
        <v>100</v>
      </c>
      <c r="F25071" s="7">
        <v>46228.29240258956</v>
      </c>
      <c r="G25071" s="3" t="s">
        <v>14744</v>
      </c>
    </row>
    <row r="25072">
      <c r="A25072" s="3" t="s">
        <v>41466</v>
      </c>
      <c r="B25072" s="3" t="s">
        <v>20515</v>
      </c>
      <c r="C25072" s="5" t="s">
        <v>45</v>
      </c>
      <c r="D25072" s="3" t="s">
        <v>221</v>
      </c>
      <c r="E25072" s="3" t="s">
        <v>793</v>
      </c>
      <c r="F25072" s="7">
        <v>46228.35316076832</v>
      </c>
      <c r="G25072" s="3" t="s">
        <v>9484</v>
      </c>
    </row>
    <row r="25073">
      <c r="A25073" s="3" t="s">
        <v>41467</v>
      </c>
      <c r="B25073" s="3" t="s">
        <v>20515</v>
      </c>
      <c r="C25073" s="5" t="s">
        <v>221</v>
      </c>
      <c r="D25073" s="3" t="s">
        <v>614</v>
      </c>
      <c r="E25073" s="3" t="s">
        <v>118</v>
      </c>
      <c r="F25073" s="7">
        <v>46228.35663299054</v>
      </c>
      <c r="G25073" s="3" t="s">
        <v>9487</v>
      </c>
    </row>
    <row r="25074">
      <c r="A25074" s="3" t="s">
        <v>41468</v>
      </c>
      <c r="B25074" s="3" t="s">
        <v>20515</v>
      </c>
      <c r="C25074" s="5" t="s">
        <v>614</v>
      </c>
      <c r="D25074" s="3" t="s">
        <v>206</v>
      </c>
      <c r="E25074" s="3" t="s">
        <v>100</v>
      </c>
      <c r="F25074" s="7">
        <v>46228.36010521276</v>
      </c>
      <c r="G25074" s="3" t="s">
        <v>9489</v>
      </c>
    </row>
    <row r="25075">
      <c r="A25075" s="3" t="s">
        <v>41469</v>
      </c>
      <c r="B25075" s="3" t="s">
        <v>20515</v>
      </c>
      <c r="C25075" s="5" t="s">
        <v>206</v>
      </c>
      <c r="D25075" s="3" t="s">
        <v>68</v>
      </c>
      <c r="E25075" s="3" t="s">
        <v>100</v>
      </c>
      <c r="F25075" s="7">
        <v>46228.36357743498</v>
      </c>
      <c r="G25075" s="3" t="s">
        <v>9492</v>
      </c>
    </row>
    <row r="25076">
      <c r="A25076" s="3" t="s">
        <v>41470</v>
      </c>
      <c r="B25076" s="3" t="s">
        <v>20518</v>
      </c>
      <c r="C25076" s="5" t="s">
        <v>45</v>
      </c>
      <c r="D25076" s="3" t="s">
        <v>221</v>
      </c>
      <c r="E25076" s="3" t="s">
        <v>864</v>
      </c>
      <c r="F25076" s="7">
        <v>46228.42433561373</v>
      </c>
      <c r="G25076" s="3" t="s">
        <v>9506</v>
      </c>
    </row>
    <row r="25077">
      <c r="A25077" s="3" t="s">
        <v>41471</v>
      </c>
      <c r="B25077" s="3" t="s">
        <v>20518</v>
      </c>
      <c r="C25077" s="5" t="s">
        <v>221</v>
      </c>
      <c r="D25077" s="3" t="s">
        <v>614</v>
      </c>
      <c r="E25077" s="3" t="s">
        <v>118</v>
      </c>
      <c r="F25077" s="7">
        <v>46228.42780783595</v>
      </c>
      <c r="G25077" s="3" t="s">
        <v>9509</v>
      </c>
    </row>
    <row r="25078">
      <c r="A25078" s="3" t="s">
        <v>41472</v>
      </c>
      <c r="B25078" s="3" t="s">
        <v>20518</v>
      </c>
      <c r="C25078" s="5" t="s">
        <v>614</v>
      </c>
      <c r="D25078" s="3" t="s">
        <v>206</v>
      </c>
      <c r="E25078" s="3" t="s">
        <v>100</v>
      </c>
      <c r="F25078" s="7">
        <v>46228.431280058176</v>
      </c>
      <c r="G25078" s="3" t="s">
        <v>9512</v>
      </c>
    </row>
    <row r="25079">
      <c r="A25079" s="3" t="s">
        <v>41473</v>
      </c>
      <c r="B25079" s="3" t="s">
        <v>20518</v>
      </c>
      <c r="C25079" s="5" t="s">
        <v>206</v>
      </c>
      <c r="D25079" s="3" t="s">
        <v>68</v>
      </c>
      <c r="E25079" s="3" t="s">
        <v>100</v>
      </c>
      <c r="F25079" s="7">
        <v>46228.434752280395</v>
      </c>
      <c r="G25079" s="3" t="s">
        <v>9515</v>
      </c>
    </row>
    <row r="25080">
      <c r="A25080" s="3" t="s">
        <v>41474</v>
      </c>
      <c r="B25080" s="3" t="s">
        <v>20521</v>
      </c>
      <c r="C25080" s="5" t="s">
        <v>45</v>
      </c>
      <c r="D25080" s="3" t="s">
        <v>221</v>
      </c>
      <c r="E25080" s="3" t="s">
        <v>819</v>
      </c>
      <c r="F25080" s="7">
        <v>46228.49551045915</v>
      </c>
      <c r="G25080" s="3" t="s">
        <v>9536</v>
      </c>
    </row>
    <row r="25081">
      <c r="A25081" s="3" t="s">
        <v>41475</v>
      </c>
      <c r="B25081" s="3" t="s">
        <v>20521</v>
      </c>
      <c r="C25081" s="5" t="s">
        <v>221</v>
      </c>
      <c r="D25081" s="3" t="s">
        <v>614</v>
      </c>
      <c r="E25081" s="3" t="s">
        <v>118</v>
      </c>
      <c r="F25081" s="7">
        <v>46228.49898268137</v>
      </c>
      <c r="G25081" s="3" t="s">
        <v>9539</v>
      </c>
    </row>
    <row r="25082">
      <c r="A25082" s="3" t="s">
        <v>41476</v>
      </c>
      <c r="B25082" s="3" t="s">
        <v>20521</v>
      </c>
      <c r="C25082" s="5" t="s">
        <v>614</v>
      </c>
      <c r="D25082" s="3" t="s">
        <v>206</v>
      </c>
      <c r="E25082" s="3" t="s">
        <v>100</v>
      </c>
      <c r="F25082" s="7">
        <v>46228.502454903595</v>
      </c>
      <c r="G25082" s="3" t="s">
        <v>9542</v>
      </c>
    </row>
    <row r="25083">
      <c r="A25083" s="3" t="s">
        <v>41477</v>
      </c>
      <c r="B25083" s="3" t="s">
        <v>20521</v>
      </c>
      <c r="C25083" s="5" t="s">
        <v>206</v>
      </c>
      <c r="D25083" s="3" t="s">
        <v>68</v>
      </c>
      <c r="E25083" s="3" t="s">
        <v>100</v>
      </c>
      <c r="F25083" s="7">
        <v>46228.505927125814</v>
      </c>
      <c r="G25083" s="3" t="s">
        <v>9545</v>
      </c>
    </row>
    <row r="25084">
      <c r="A25084" s="3" t="s">
        <v>41478</v>
      </c>
      <c r="B25084" s="3" t="s">
        <v>20524</v>
      </c>
      <c r="C25084" s="5" t="s">
        <v>45</v>
      </c>
      <c r="D25084" s="3" t="s">
        <v>221</v>
      </c>
      <c r="E25084" s="3" t="s">
        <v>650</v>
      </c>
      <c r="F25084" s="7">
        <v>46228.56668530456</v>
      </c>
      <c r="G25084" s="3" t="s">
        <v>6690</v>
      </c>
    </row>
    <row r="25085">
      <c r="A25085" s="3" t="s">
        <v>41479</v>
      </c>
      <c r="B25085" s="3" t="s">
        <v>20524</v>
      </c>
      <c r="C25085" s="5" t="s">
        <v>221</v>
      </c>
      <c r="D25085" s="3" t="s">
        <v>614</v>
      </c>
      <c r="E25085" s="3" t="s">
        <v>118</v>
      </c>
      <c r="F25085" s="7">
        <v>46228.57015752678</v>
      </c>
      <c r="G25085" s="3" t="s">
        <v>6693</v>
      </c>
    </row>
    <row r="25086">
      <c r="A25086" s="3" t="s">
        <v>41480</v>
      </c>
      <c r="B25086" s="3" t="s">
        <v>20524</v>
      </c>
      <c r="C25086" s="5" t="s">
        <v>614</v>
      </c>
      <c r="D25086" s="3" t="s">
        <v>206</v>
      </c>
      <c r="E25086" s="3" t="s">
        <v>100</v>
      </c>
      <c r="F25086" s="7">
        <v>46228.57362974901</v>
      </c>
      <c r="G25086" s="3" t="s">
        <v>6696</v>
      </c>
    </row>
    <row r="25087">
      <c r="A25087" s="3" t="s">
        <v>41481</v>
      </c>
      <c r="B25087" s="3" t="s">
        <v>20524</v>
      </c>
      <c r="C25087" s="5" t="s">
        <v>206</v>
      </c>
      <c r="D25087" s="3" t="s">
        <v>68</v>
      </c>
      <c r="E25087" s="3" t="s">
        <v>100</v>
      </c>
      <c r="F25087" s="7">
        <v>46228.57710197123</v>
      </c>
      <c r="G25087" s="3" t="s">
        <v>6699</v>
      </c>
    </row>
    <row r="25088">
      <c r="A25088" s="3" t="s">
        <v>41482</v>
      </c>
      <c r="B25088" s="3" t="s">
        <v>20526</v>
      </c>
      <c r="C25088" s="5" t="s">
        <v>45</v>
      </c>
      <c r="D25088" s="3" t="s">
        <v>221</v>
      </c>
      <c r="E25088" s="3" t="s">
        <v>848</v>
      </c>
      <c r="F25088" s="7">
        <v>46228.63786014998</v>
      </c>
      <c r="G25088" s="3" t="s">
        <v>19950</v>
      </c>
    </row>
    <row r="25089">
      <c r="A25089" s="3" t="s">
        <v>41483</v>
      </c>
      <c r="B25089" s="3" t="s">
        <v>20526</v>
      </c>
      <c r="C25089" s="5" t="s">
        <v>221</v>
      </c>
      <c r="D25089" s="3" t="s">
        <v>614</v>
      </c>
      <c r="E25089" s="3" t="s">
        <v>118</v>
      </c>
      <c r="F25089" s="7">
        <v>46228.6413323722</v>
      </c>
      <c r="G25089" s="3" t="s">
        <v>19952</v>
      </c>
    </row>
    <row r="25090">
      <c r="A25090" s="3" t="s">
        <v>41484</v>
      </c>
      <c r="B25090" s="3" t="s">
        <v>20526</v>
      </c>
      <c r="C25090" s="5" t="s">
        <v>614</v>
      </c>
      <c r="D25090" s="3" t="s">
        <v>206</v>
      </c>
      <c r="E25090" s="3" t="s">
        <v>100</v>
      </c>
      <c r="F25090" s="7">
        <v>46228.64480459443</v>
      </c>
      <c r="G25090" s="3" t="s">
        <v>19955</v>
      </c>
    </row>
    <row r="25091">
      <c r="A25091" s="3" t="s">
        <v>41485</v>
      </c>
      <c r="B25091" s="3" t="s">
        <v>20526</v>
      </c>
      <c r="C25091" s="5" t="s">
        <v>206</v>
      </c>
      <c r="D25091" s="3" t="s">
        <v>68</v>
      </c>
      <c r="E25091" s="3" t="s">
        <v>100</v>
      </c>
      <c r="F25091" s="7">
        <v>46228.648276816646</v>
      </c>
      <c r="G25091" s="3" t="s">
        <v>19958</v>
      </c>
    </row>
    <row r="25092">
      <c r="A25092" s="3" t="s">
        <v>41486</v>
      </c>
      <c r="B25092" s="3" t="s">
        <v>20528</v>
      </c>
      <c r="C25092" s="5" t="s">
        <v>45</v>
      </c>
      <c r="D25092" s="3" t="s">
        <v>221</v>
      </c>
      <c r="E25092" s="3" t="s">
        <v>202</v>
      </c>
      <c r="F25092" s="7">
        <v>46228.70903499539</v>
      </c>
      <c r="G25092" s="3" t="s">
        <v>22235</v>
      </c>
    </row>
    <row r="25093">
      <c r="A25093" s="3" t="s">
        <v>41487</v>
      </c>
      <c r="B25093" s="3" t="s">
        <v>20528</v>
      </c>
      <c r="C25093" s="5" t="s">
        <v>221</v>
      </c>
      <c r="D25093" s="3" t="s">
        <v>614</v>
      </c>
      <c r="E25093" s="3" t="s">
        <v>118</v>
      </c>
      <c r="F25093" s="7">
        <v>46228.712507217606</v>
      </c>
      <c r="G25093" s="3" t="s">
        <v>22238</v>
      </c>
    </row>
    <row r="25094">
      <c r="A25094" s="3" t="s">
        <v>41488</v>
      </c>
      <c r="B25094" s="3" t="s">
        <v>20528</v>
      </c>
      <c r="C25094" s="5" t="s">
        <v>614</v>
      </c>
      <c r="D25094" s="3" t="s">
        <v>206</v>
      </c>
      <c r="E25094" s="3" t="s">
        <v>100</v>
      </c>
      <c r="F25094" s="7">
        <v>46228.71597943983</v>
      </c>
      <c r="G25094" s="3" t="s">
        <v>22241</v>
      </c>
    </row>
    <row r="25095">
      <c r="A25095" s="3" t="s">
        <v>41489</v>
      </c>
      <c r="B25095" s="3" t="s">
        <v>20528</v>
      </c>
      <c r="C25095" s="5" t="s">
        <v>206</v>
      </c>
      <c r="D25095" s="3" t="s">
        <v>68</v>
      </c>
      <c r="E25095" s="3" t="s">
        <v>100</v>
      </c>
      <c r="F25095" s="7">
        <v>46228.71945166205</v>
      </c>
      <c r="G25095" s="3" t="s">
        <v>22244</v>
      </c>
    </row>
    <row r="25096">
      <c r="A25096" s="3" t="s">
        <v>41490</v>
      </c>
      <c r="B25096" s="3" t="s">
        <v>20530</v>
      </c>
      <c r="C25096" s="5" t="s">
        <v>45</v>
      </c>
      <c r="D25096" s="3" t="s">
        <v>221</v>
      </c>
      <c r="E25096" s="3" t="s">
        <v>455</v>
      </c>
      <c r="F25096" s="7">
        <v>46228.78020984081</v>
      </c>
      <c r="G25096" s="3" t="s">
        <v>21489</v>
      </c>
    </row>
    <row r="25097">
      <c r="A25097" s="3" t="s">
        <v>41491</v>
      </c>
      <c r="B25097" s="3" t="s">
        <v>20530</v>
      </c>
      <c r="C25097" s="5" t="s">
        <v>221</v>
      </c>
      <c r="D25097" s="3" t="s">
        <v>614</v>
      </c>
      <c r="E25097" s="3" t="s">
        <v>118</v>
      </c>
      <c r="F25097" s="7">
        <v>46228.783682063025</v>
      </c>
      <c r="G25097" s="3" t="s">
        <v>21492</v>
      </c>
    </row>
    <row r="25098">
      <c r="A25098" s="3" t="s">
        <v>41492</v>
      </c>
      <c r="B25098" s="3" t="s">
        <v>20530</v>
      </c>
      <c r="C25098" s="5" t="s">
        <v>614</v>
      </c>
      <c r="D25098" s="3" t="s">
        <v>206</v>
      </c>
      <c r="E25098" s="3" t="s">
        <v>100</v>
      </c>
      <c r="F25098" s="7">
        <v>46228.78715428525</v>
      </c>
      <c r="G25098" s="3" t="s">
        <v>21495</v>
      </c>
    </row>
    <row r="25099">
      <c r="A25099" s="3" t="s">
        <v>41493</v>
      </c>
      <c r="B25099" s="3" t="s">
        <v>20530</v>
      </c>
      <c r="C25099" s="5" t="s">
        <v>206</v>
      </c>
      <c r="D25099" s="3" t="s">
        <v>68</v>
      </c>
      <c r="E25099" s="3" t="s">
        <v>100</v>
      </c>
      <c r="F25099" s="7">
        <v>46228.79062650747</v>
      </c>
      <c r="G25099" s="3" t="s">
        <v>21498</v>
      </c>
    </row>
    <row r="25100">
      <c r="A25100" s="3" t="s">
        <v>41494</v>
      </c>
      <c r="B25100" s="3" t="s">
        <v>20532</v>
      </c>
      <c r="C25100" s="5" t="s">
        <v>45</v>
      </c>
      <c r="D25100" s="3" t="s">
        <v>221</v>
      </c>
      <c r="E25100" s="3" t="s">
        <v>179</v>
      </c>
      <c r="F25100" s="7">
        <v>46228.851384686226</v>
      </c>
      <c r="G25100" s="3" t="s">
        <v>14445</v>
      </c>
    </row>
    <row r="25101">
      <c r="A25101" s="3" t="s">
        <v>41495</v>
      </c>
      <c r="B25101" s="3" t="s">
        <v>20532</v>
      </c>
      <c r="C25101" s="5" t="s">
        <v>221</v>
      </c>
      <c r="D25101" s="3" t="s">
        <v>614</v>
      </c>
      <c r="E25101" s="3" t="s">
        <v>118</v>
      </c>
      <c r="F25101" s="7">
        <v>46228.854856908445</v>
      </c>
      <c r="G25101" s="3" t="s">
        <v>14447</v>
      </c>
    </row>
    <row r="25102">
      <c r="A25102" s="3" t="s">
        <v>41496</v>
      </c>
      <c r="B25102" s="3" t="s">
        <v>20532</v>
      </c>
      <c r="C25102" s="5" t="s">
        <v>614</v>
      </c>
      <c r="D25102" s="3" t="s">
        <v>206</v>
      </c>
      <c r="E25102" s="3" t="s">
        <v>100</v>
      </c>
      <c r="F25102" s="7">
        <v>46228.85832913067</v>
      </c>
      <c r="G25102" s="3" t="s">
        <v>14450</v>
      </c>
    </row>
    <row r="25103">
      <c r="A25103" s="3" t="s">
        <v>41497</v>
      </c>
      <c r="B25103" s="3" t="s">
        <v>20532</v>
      </c>
      <c r="C25103" s="5" t="s">
        <v>206</v>
      </c>
      <c r="D25103" s="3" t="s">
        <v>68</v>
      </c>
      <c r="E25103" s="3" t="s">
        <v>100</v>
      </c>
      <c r="F25103" s="7">
        <v>46228.86180135289</v>
      </c>
      <c r="G25103" s="3" t="s">
        <v>14453</v>
      </c>
    </row>
    <row r="25104">
      <c r="A25104" s="3" t="s">
        <v>41498</v>
      </c>
      <c r="B25104" s="3" t="s">
        <v>20534</v>
      </c>
      <c r="C25104" s="5" t="s">
        <v>45</v>
      </c>
      <c r="D25104" s="3" t="s">
        <v>221</v>
      </c>
      <c r="E25104" s="3" t="s">
        <v>631</v>
      </c>
      <c r="F25104" s="7">
        <v>46228.92255953164</v>
      </c>
      <c r="G25104" s="3" t="s">
        <v>22614</v>
      </c>
    </row>
    <row r="25105">
      <c r="A25105" s="3" t="s">
        <v>41499</v>
      </c>
      <c r="B25105" s="3" t="s">
        <v>20534</v>
      </c>
      <c r="C25105" s="5" t="s">
        <v>221</v>
      </c>
      <c r="D25105" s="3" t="s">
        <v>614</v>
      </c>
      <c r="E25105" s="3" t="s">
        <v>118</v>
      </c>
      <c r="F25105" s="7">
        <v>46228.92603175386</v>
      </c>
      <c r="G25105" s="3" t="s">
        <v>22617</v>
      </c>
    </row>
    <row r="25106">
      <c r="A25106" s="3" t="s">
        <v>41500</v>
      </c>
      <c r="B25106" s="3" t="s">
        <v>20534</v>
      </c>
      <c r="C25106" s="5" t="s">
        <v>614</v>
      </c>
      <c r="D25106" s="3" t="s">
        <v>206</v>
      </c>
      <c r="E25106" s="3" t="s">
        <v>100</v>
      </c>
      <c r="F25106" s="7">
        <v>46228.929503976084</v>
      </c>
      <c r="G25106" s="3" t="s">
        <v>22620</v>
      </c>
    </row>
    <row r="25107">
      <c r="A25107" s="3" t="s">
        <v>41501</v>
      </c>
      <c r="B25107" s="3" t="s">
        <v>20534</v>
      </c>
      <c r="C25107" s="5" t="s">
        <v>206</v>
      </c>
      <c r="D25107" s="3" t="s">
        <v>68</v>
      </c>
      <c r="E25107" s="3" t="s">
        <v>100</v>
      </c>
      <c r="F25107" s="7">
        <v>46228.9329761983</v>
      </c>
      <c r="G25107" s="3" t="s">
        <v>22623</v>
      </c>
    </row>
    <row r="25108">
      <c r="A25108" s="3" t="s">
        <v>41502</v>
      </c>
      <c r="B25108" s="3" t="s">
        <v>20536</v>
      </c>
      <c r="C25108" s="5" t="s">
        <v>45</v>
      </c>
      <c r="D25108" s="3" t="s">
        <v>221</v>
      </c>
      <c r="E25108" s="3" t="s">
        <v>280</v>
      </c>
      <c r="F25108" s="7">
        <v>46228.99373437705</v>
      </c>
      <c r="G25108" s="3" t="s">
        <v>9629</v>
      </c>
    </row>
    <row r="25109">
      <c r="A25109" s="3" t="s">
        <v>41503</v>
      </c>
      <c r="B25109" s="3" t="s">
        <v>20536</v>
      </c>
      <c r="C25109" s="5" t="s">
        <v>221</v>
      </c>
      <c r="D25109" s="3" t="s">
        <v>614</v>
      </c>
      <c r="E25109" s="3" t="s">
        <v>118</v>
      </c>
      <c r="F25109" s="7">
        <v>46228.99720659927</v>
      </c>
      <c r="G25109" s="3" t="s">
        <v>9632</v>
      </c>
    </row>
    <row r="25110">
      <c r="A25110" s="3" t="s">
        <v>41504</v>
      </c>
      <c r="B25110" s="3" t="s">
        <v>20536</v>
      </c>
      <c r="C25110" s="5" t="s">
        <v>614</v>
      </c>
      <c r="D25110" s="3" t="s">
        <v>206</v>
      </c>
      <c r="E25110" s="3" t="s">
        <v>100</v>
      </c>
      <c r="F25110" s="7">
        <v>46229.000678821496</v>
      </c>
      <c r="G25110" s="3" t="s">
        <v>9636</v>
      </c>
    </row>
    <row r="25111">
      <c r="A25111" s="3" t="s">
        <v>41505</v>
      </c>
      <c r="B25111" s="3" t="s">
        <v>20536</v>
      </c>
      <c r="C25111" s="5" t="s">
        <v>206</v>
      </c>
      <c r="D25111" s="3" t="s">
        <v>68</v>
      </c>
      <c r="E25111" s="3" t="s">
        <v>100</v>
      </c>
      <c r="F25111" s="7">
        <v>46229.004151043715</v>
      </c>
      <c r="G25111" s="3" t="s">
        <v>9639</v>
      </c>
    </row>
    <row r="25112">
      <c r="A25112" s="3" t="s">
        <v>41506</v>
      </c>
      <c r="B25112" s="3" t="s">
        <v>20538</v>
      </c>
      <c r="C25112" s="5" t="s">
        <v>45</v>
      </c>
      <c r="D25112" s="3" t="s">
        <v>221</v>
      </c>
      <c r="E25112" s="3" t="s">
        <v>449</v>
      </c>
      <c r="F25112" s="7">
        <v>46229.06490922247</v>
      </c>
      <c r="G25112" s="3" t="s">
        <v>9996</v>
      </c>
    </row>
    <row r="25113">
      <c r="A25113" s="3" t="s">
        <v>41507</v>
      </c>
      <c r="B25113" s="3" t="s">
        <v>20538</v>
      </c>
      <c r="C25113" s="5" t="s">
        <v>221</v>
      </c>
      <c r="D25113" s="3" t="s">
        <v>614</v>
      </c>
      <c r="E25113" s="3" t="s">
        <v>118</v>
      </c>
      <c r="F25113" s="7">
        <v>46229.06838144469</v>
      </c>
      <c r="G25113" s="3" t="s">
        <v>12468</v>
      </c>
    </row>
    <row r="25114">
      <c r="A25114" s="3" t="s">
        <v>41508</v>
      </c>
      <c r="B25114" s="3" t="s">
        <v>20538</v>
      </c>
      <c r="C25114" s="5" t="s">
        <v>614</v>
      </c>
      <c r="D25114" s="3" t="s">
        <v>206</v>
      </c>
      <c r="E25114" s="3" t="s">
        <v>100</v>
      </c>
      <c r="F25114" s="7">
        <v>46229.071853666916</v>
      </c>
      <c r="G25114" s="3" t="s">
        <v>12471</v>
      </c>
    </row>
    <row r="25115">
      <c r="A25115" s="3" t="s">
        <v>41509</v>
      </c>
      <c r="B25115" s="3" t="s">
        <v>20538</v>
      </c>
      <c r="C25115" s="5" t="s">
        <v>206</v>
      </c>
      <c r="D25115" s="3" t="s">
        <v>68</v>
      </c>
      <c r="E25115" s="3" t="s">
        <v>100</v>
      </c>
      <c r="F25115" s="7">
        <v>46229.075325889135</v>
      </c>
      <c r="G25115" s="3" t="s">
        <v>12474</v>
      </c>
    </row>
    <row r="25116">
      <c r="A25116" s="3" t="s">
        <v>41510</v>
      </c>
      <c r="B25116" s="3" t="s">
        <v>20540</v>
      </c>
      <c r="C25116" s="5" t="s">
        <v>45</v>
      </c>
      <c r="D25116" s="3" t="s">
        <v>221</v>
      </c>
      <c r="E25116" s="3" t="s">
        <v>767</v>
      </c>
      <c r="F25116" s="7">
        <v>46229.13608406788</v>
      </c>
      <c r="G25116" s="3" t="s">
        <v>18636</v>
      </c>
    </row>
    <row r="25117">
      <c r="A25117" s="3" t="s">
        <v>41511</v>
      </c>
      <c r="B25117" s="3" t="s">
        <v>20540</v>
      </c>
      <c r="C25117" s="5" t="s">
        <v>221</v>
      </c>
      <c r="D25117" s="3" t="s">
        <v>614</v>
      </c>
      <c r="E25117" s="3" t="s">
        <v>118</v>
      </c>
      <c r="F25117" s="7">
        <v>46229.1395562901</v>
      </c>
      <c r="G25117" s="3" t="s">
        <v>18638</v>
      </c>
    </row>
    <row r="25118">
      <c r="A25118" s="3" t="s">
        <v>41512</v>
      </c>
      <c r="B25118" s="3" t="s">
        <v>20540</v>
      </c>
      <c r="C25118" s="5" t="s">
        <v>614</v>
      </c>
      <c r="D25118" s="3" t="s">
        <v>206</v>
      </c>
      <c r="E25118" s="3" t="s">
        <v>100</v>
      </c>
      <c r="F25118" s="7">
        <v>46229.14302851233</v>
      </c>
      <c r="G25118" s="3" t="s">
        <v>18641</v>
      </c>
    </row>
    <row r="25119">
      <c r="A25119" s="3" t="s">
        <v>41513</v>
      </c>
      <c r="B25119" s="3" t="s">
        <v>20540</v>
      </c>
      <c r="C25119" s="5" t="s">
        <v>206</v>
      </c>
      <c r="D25119" s="3" t="s">
        <v>68</v>
      </c>
      <c r="E25119" s="3" t="s">
        <v>100</v>
      </c>
      <c r="F25119" s="7">
        <v>46229.14650073455</v>
      </c>
      <c r="G25119" s="3" t="s">
        <v>18644</v>
      </c>
    </row>
    <row r="25120">
      <c r="A25120" s="3" t="s">
        <v>41514</v>
      </c>
      <c r="B25120" s="3" t="s">
        <v>20543</v>
      </c>
      <c r="C25120" s="5" t="s">
        <v>45</v>
      </c>
      <c r="D25120" s="3" t="s">
        <v>221</v>
      </c>
      <c r="E25120" s="3" t="s">
        <v>943</v>
      </c>
      <c r="F25120" s="7">
        <v>46229.207258913295</v>
      </c>
      <c r="G25120" s="3" t="s">
        <v>9656</v>
      </c>
    </row>
    <row r="25121">
      <c r="A25121" s="3" t="s">
        <v>41515</v>
      </c>
      <c r="B25121" s="3" t="s">
        <v>20543</v>
      </c>
      <c r="C25121" s="5" t="s">
        <v>221</v>
      </c>
      <c r="D25121" s="3" t="s">
        <v>614</v>
      </c>
      <c r="E25121" s="3" t="s">
        <v>118</v>
      </c>
      <c r="F25121" s="7">
        <v>46229.210731135514</v>
      </c>
      <c r="G25121" s="3" t="s">
        <v>9660</v>
      </c>
    </row>
    <row r="25122">
      <c r="A25122" s="3" t="s">
        <v>41516</v>
      </c>
      <c r="B25122" s="3" t="s">
        <v>20543</v>
      </c>
      <c r="C25122" s="5" t="s">
        <v>614</v>
      </c>
      <c r="D25122" s="3" t="s">
        <v>206</v>
      </c>
      <c r="E25122" s="3" t="s">
        <v>100</v>
      </c>
      <c r="F25122" s="7">
        <v>46229.21420335774</v>
      </c>
      <c r="G25122" s="3" t="s">
        <v>9663</v>
      </c>
    </row>
    <row r="25123">
      <c r="A25123" s="3" t="s">
        <v>41517</v>
      </c>
      <c r="B25123" s="3" t="s">
        <v>20543</v>
      </c>
      <c r="C25123" s="5" t="s">
        <v>206</v>
      </c>
      <c r="D25123" s="3" t="s">
        <v>68</v>
      </c>
      <c r="E25123" s="3" t="s">
        <v>100</v>
      </c>
      <c r="F25123" s="7">
        <v>46229.21767557996</v>
      </c>
      <c r="G25123" s="3" t="s">
        <v>9667</v>
      </c>
    </row>
    <row r="25124">
      <c r="A25124" s="3" t="s">
        <v>41518</v>
      </c>
      <c r="B25124" s="3" t="s">
        <v>20545</v>
      </c>
      <c r="C25124" s="5" t="s">
        <v>45</v>
      </c>
      <c r="D25124" s="3" t="s">
        <v>221</v>
      </c>
      <c r="E25124" s="3" t="s">
        <v>424</v>
      </c>
      <c r="F25124" s="7">
        <v>46229.278433758715</v>
      </c>
      <c r="G25124" s="3" t="s">
        <v>9419</v>
      </c>
    </row>
    <row r="25125">
      <c r="A25125" s="3" t="s">
        <v>41519</v>
      </c>
      <c r="B25125" s="3" t="s">
        <v>20545</v>
      </c>
      <c r="C25125" s="5" t="s">
        <v>221</v>
      </c>
      <c r="D25125" s="3" t="s">
        <v>614</v>
      </c>
      <c r="E25125" s="3" t="s">
        <v>118</v>
      </c>
      <c r="F25125" s="7">
        <v>46229.28190598093</v>
      </c>
      <c r="G25125" s="3" t="s">
        <v>13127</v>
      </c>
    </row>
    <row r="25126">
      <c r="A25126" s="3" t="s">
        <v>41520</v>
      </c>
      <c r="B25126" s="3" t="s">
        <v>20545</v>
      </c>
      <c r="C25126" s="5" t="s">
        <v>614</v>
      </c>
      <c r="D25126" s="3" t="s">
        <v>206</v>
      </c>
      <c r="E25126" s="3" t="s">
        <v>100</v>
      </c>
      <c r="F25126" s="7">
        <v>46229.28537820316</v>
      </c>
      <c r="G25126" s="3" t="s">
        <v>13130</v>
      </c>
    </row>
    <row r="25127">
      <c r="A25127" s="3" t="s">
        <v>41521</v>
      </c>
      <c r="B25127" s="3" t="s">
        <v>20545</v>
      </c>
      <c r="C25127" s="5" t="s">
        <v>206</v>
      </c>
      <c r="D25127" s="3" t="s">
        <v>68</v>
      </c>
      <c r="E25127" s="3" t="s">
        <v>100</v>
      </c>
      <c r="F25127" s="7">
        <v>46229.28885042538</v>
      </c>
      <c r="G25127" s="3" t="s">
        <v>13133</v>
      </c>
    </row>
    <row r="25128">
      <c r="A25128" s="3" t="s">
        <v>41522</v>
      </c>
      <c r="B25128" s="3" t="s">
        <v>20547</v>
      </c>
      <c r="C25128" s="5" t="s">
        <v>45</v>
      </c>
      <c r="D25128" s="3" t="s">
        <v>221</v>
      </c>
      <c r="E25128" s="3" t="s">
        <v>197</v>
      </c>
      <c r="F25128" s="7">
        <v>46229.349608604134</v>
      </c>
      <c r="G25128" s="3" t="s">
        <v>27375</v>
      </c>
    </row>
    <row r="25129">
      <c r="A25129" s="3" t="s">
        <v>41523</v>
      </c>
      <c r="B25129" s="3" t="s">
        <v>20547</v>
      </c>
      <c r="C25129" s="5" t="s">
        <v>221</v>
      </c>
      <c r="D25129" s="3" t="s">
        <v>614</v>
      </c>
      <c r="E25129" s="3" t="s">
        <v>118</v>
      </c>
      <c r="F25129" s="7">
        <v>46229.35308082635</v>
      </c>
      <c r="G25129" s="3" t="s">
        <v>27377</v>
      </c>
    </row>
    <row r="25130">
      <c r="A25130" s="3" t="s">
        <v>41524</v>
      </c>
      <c r="B25130" s="3" t="s">
        <v>20547</v>
      </c>
      <c r="C25130" s="5" t="s">
        <v>614</v>
      </c>
      <c r="D25130" s="3" t="s">
        <v>206</v>
      </c>
      <c r="E25130" s="3" t="s">
        <v>100</v>
      </c>
      <c r="F25130" s="7">
        <v>46229.35655304858</v>
      </c>
      <c r="G25130" s="3" t="s">
        <v>27379</v>
      </c>
    </row>
    <row r="25131">
      <c r="A25131" s="3" t="s">
        <v>41525</v>
      </c>
      <c r="B25131" s="3" t="s">
        <v>20547</v>
      </c>
      <c r="C25131" s="5" t="s">
        <v>206</v>
      </c>
      <c r="D25131" s="3" t="s">
        <v>68</v>
      </c>
      <c r="E25131" s="3" t="s">
        <v>100</v>
      </c>
      <c r="F25131" s="7">
        <v>46229.3600252708</v>
      </c>
      <c r="G25131" s="3" t="s">
        <v>27381</v>
      </c>
    </row>
    <row r="25132">
      <c r="A25132" s="3" t="s">
        <v>41526</v>
      </c>
      <c r="B25132" s="3" t="s">
        <v>20549</v>
      </c>
      <c r="C25132" s="5" t="s">
        <v>45</v>
      </c>
      <c r="D25132" s="3" t="s">
        <v>221</v>
      </c>
      <c r="E25132" s="3" t="s">
        <v>627</v>
      </c>
      <c r="F25132" s="7">
        <v>46229.42078344954</v>
      </c>
      <c r="G25132" s="3" t="s">
        <v>9609</v>
      </c>
    </row>
    <row r="25133">
      <c r="A25133" s="3" t="s">
        <v>41527</v>
      </c>
      <c r="B25133" s="3" t="s">
        <v>20549</v>
      </c>
      <c r="C25133" s="5" t="s">
        <v>221</v>
      </c>
      <c r="D25133" s="3" t="s">
        <v>614</v>
      </c>
      <c r="E25133" s="3" t="s">
        <v>118</v>
      </c>
      <c r="F25133" s="7">
        <v>46229.42425567176</v>
      </c>
      <c r="G25133" s="3" t="s">
        <v>17622</v>
      </c>
    </row>
    <row r="25134">
      <c r="A25134" s="3" t="s">
        <v>41528</v>
      </c>
      <c r="B25134" s="3" t="s">
        <v>20549</v>
      </c>
      <c r="C25134" s="5" t="s">
        <v>614</v>
      </c>
      <c r="D25134" s="3" t="s">
        <v>206</v>
      </c>
      <c r="E25134" s="3" t="s">
        <v>100</v>
      </c>
      <c r="F25134" s="7">
        <v>46229.427727893984</v>
      </c>
      <c r="G25134" s="3" t="s">
        <v>17625</v>
      </c>
    </row>
    <row r="25135">
      <c r="A25135" s="3" t="s">
        <v>41529</v>
      </c>
      <c r="B25135" s="3" t="s">
        <v>20549</v>
      </c>
      <c r="C25135" s="5" t="s">
        <v>206</v>
      </c>
      <c r="D25135" s="3" t="s">
        <v>68</v>
      </c>
      <c r="E25135" s="3" t="s">
        <v>100</v>
      </c>
      <c r="F25135" s="7">
        <v>46229.4312001162</v>
      </c>
      <c r="G25135" s="3" t="s">
        <v>17628</v>
      </c>
    </row>
    <row r="25136">
      <c r="A25136" s="3" t="s">
        <v>41530</v>
      </c>
      <c r="B25136" s="3" t="s">
        <v>20552</v>
      </c>
      <c r="C25136" s="5" t="s">
        <v>45</v>
      </c>
      <c r="D25136" s="3" t="s">
        <v>221</v>
      </c>
      <c r="E25136" s="3" t="s">
        <v>219</v>
      </c>
      <c r="F25136" s="7">
        <v>46229.49195829496</v>
      </c>
      <c r="G25136" s="3" t="s">
        <v>7895</v>
      </c>
    </row>
    <row r="25137">
      <c r="A25137" s="3" t="s">
        <v>41531</v>
      </c>
      <c r="B25137" s="3" t="s">
        <v>20552</v>
      </c>
      <c r="C25137" s="5" t="s">
        <v>221</v>
      </c>
      <c r="D25137" s="3" t="s">
        <v>614</v>
      </c>
      <c r="E25137" s="3" t="s">
        <v>118</v>
      </c>
      <c r="F25137" s="7">
        <v>46229.49543051718</v>
      </c>
      <c r="G25137" s="3" t="s">
        <v>7898</v>
      </c>
    </row>
    <row r="25138">
      <c r="A25138" s="3" t="s">
        <v>41532</v>
      </c>
      <c r="B25138" s="3" t="s">
        <v>20552</v>
      </c>
      <c r="C25138" s="5" t="s">
        <v>614</v>
      </c>
      <c r="D25138" s="3" t="s">
        <v>206</v>
      </c>
      <c r="E25138" s="3" t="s">
        <v>100</v>
      </c>
      <c r="F25138" s="7">
        <v>46229.498902739404</v>
      </c>
      <c r="G25138" s="3" t="s">
        <v>7901</v>
      </c>
    </row>
    <row r="25139">
      <c r="A25139" s="3" t="s">
        <v>41533</v>
      </c>
      <c r="B25139" s="3" t="s">
        <v>20552</v>
      </c>
      <c r="C25139" s="5" t="s">
        <v>206</v>
      </c>
      <c r="D25139" s="3" t="s">
        <v>68</v>
      </c>
      <c r="E25139" s="3" t="s">
        <v>100</v>
      </c>
      <c r="F25139" s="7">
        <v>46229.50237496162</v>
      </c>
      <c r="G25139" s="3" t="s">
        <v>7904</v>
      </c>
    </row>
    <row r="25140">
      <c r="A25140" s="3" t="s">
        <v>41534</v>
      </c>
      <c r="B25140" s="3" t="s">
        <v>20554</v>
      </c>
      <c r="C25140" s="5" t="s">
        <v>45</v>
      </c>
      <c r="D25140" s="3" t="s">
        <v>221</v>
      </c>
      <c r="E25140" s="3" t="s">
        <v>168</v>
      </c>
      <c r="F25140" s="7">
        <v>46229.56313314038</v>
      </c>
      <c r="G25140" s="3" t="s">
        <v>2770</v>
      </c>
    </row>
    <row r="25141">
      <c r="A25141" s="3" t="s">
        <v>41535</v>
      </c>
      <c r="B25141" s="3" t="s">
        <v>20554</v>
      </c>
      <c r="C25141" s="5" t="s">
        <v>221</v>
      </c>
      <c r="D25141" s="3" t="s">
        <v>195</v>
      </c>
      <c r="E25141" s="3" t="s">
        <v>168</v>
      </c>
      <c r="F25141" s="7">
        <v>46229.5666053626</v>
      </c>
      <c r="G25141" s="3" t="s">
        <v>3055</v>
      </c>
    </row>
    <row r="25142">
      <c r="A25142" s="3" t="s">
        <v>41536</v>
      </c>
      <c r="B25142" s="3" t="s">
        <v>20556</v>
      </c>
      <c r="C25142" s="5" t="s">
        <v>45</v>
      </c>
      <c r="D25142" s="3" t="s">
        <v>221</v>
      </c>
      <c r="E25142" s="3" t="s">
        <v>587</v>
      </c>
      <c r="F25142" s="7">
        <v>46229.63430798579</v>
      </c>
      <c r="G25142" s="3" t="s">
        <v>26256</v>
      </c>
    </row>
    <row r="25143">
      <c r="A25143" s="3" t="s">
        <v>41537</v>
      </c>
      <c r="B25143" s="3" t="s">
        <v>20556</v>
      </c>
      <c r="C25143" s="5" t="s">
        <v>221</v>
      </c>
      <c r="D25143" s="3" t="s">
        <v>614</v>
      </c>
      <c r="E25143" s="3" t="s">
        <v>118</v>
      </c>
      <c r="F25143" s="7">
        <v>46229.63778020801</v>
      </c>
      <c r="G25143" s="3" t="s">
        <v>26258</v>
      </c>
    </row>
    <row r="25144">
      <c r="A25144" s="3" t="s">
        <v>41538</v>
      </c>
      <c r="B25144" s="3" t="s">
        <v>20556</v>
      </c>
      <c r="C25144" s="5" t="s">
        <v>614</v>
      </c>
      <c r="D25144" s="3" t="s">
        <v>206</v>
      </c>
      <c r="E25144" s="3" t="s">
        <v>100</v>
      </c>
      <c r="F25144" s="7">
        <v>46229.641252430236</v>
      </c>
      <c r="G25144" s="3" t="s">
        <v>26260</v>
      </c>
    </row>
    <row r="25145">
      <c r="A25145" s="3" t="s">
        <v>41539</v>
      </c>
      <c r="B25145" s="3" t="s">
        <v>20556</v>
      </c>
      <c r="C25145" s="5" t="s">
        <v>206</v>
      </c>
      <c r="D25145" s="3" t="s">
        <v>68</v>
      </c>
      <c r="E25145" s="3" t="s">
        <v>100</v>
      </c>
      <c r="F25145" s="7">
        <v>46229.644724652455</v>
      </c>
      <c r="G25145" s="3" t="s">
        <v>26262</v>
      </c>
    </row>
    <row r="25146">
      <c r="A25146" s="3" t="s">
        <v>41540</v>
      </c>
      <c r="B25146" s="3" t="s">
        <v>20558</v>
      </c>
      <c r="C25146" s="5" t="s">
        <v>45</v>
      </c>
      <c r="D25146" s="3" t="s">
        <v>221</v>
      </c>
      <c r="E25146" s="3" t="s">
        <v>657</v>
      </c>
      <c r="F25146" s="7">
        <v>46229.7054828312</v>
      </c>
      <c r="G25146" s="3" t="s">
        <v>16766</v>
      </c>
    </row>
    <row r="25147">
      <c r="A25147" s="3" t="s">
        <v>41541</v>
      </c>
      <c r="B25147" s="3" t="s">
        <v>20558</v>
      </c>
      <c r="C25147" s="5" t="s">
        <v>221</v>
      </c>
      <c r="D25147" s="3" t="s">
        <v>614</v>
      </c>
      <c r="E25147" s="3" t="s">
        <v>118</v>
      </c>
      <c r="F25147" s="7">
        <v>46229.70895505342</v>
      </c>
      <c r="G25147" s="3" t="s">
        <v>16769</v>
      </c>
    </row>
    <row r="25148">
      <c r="A25148" s="3" t="s">
        <v>41542</v>
      </c>
      <c r="B25148" s="3" t="s">
        <v>20558</v>
      </c>
      <c r="C25148" s="5" t="s">
        <v>614</v>
      </c>
      <c r="D25148" s="3" t="s">
        <v>206</v>
      </c>
      <c r="E25148" s="3" t="s">
        <v>100</v>
      </c>
      <c r="F25148" s="7">
        <v>46229.71242727565</v>
      </c>
      <c r="G25148" s="3" t="s">
        <v>16772</v>
      </c>
    </row>
    <row r="25149">
      <c r="A25149" s="3" t="s">
        <v>41543</v>
      </c>
      <c r="B25149" s="3" t="s">
        <v>20558</v>
      </c>
      <c r="C25149" s="5" t="s">
        <v>206</v>
      </c>
      <c r="D25149" s="3" t="s">
        <v>68</v>
      </c>
      <c r="E25149" s="3" t="s">
        <v>100</v>
      </c>
      <c r="F25149" s="7">
        <v>46229.71589949787</v>
      </c>
      <c r="G25149" s="3" t="s">
        <v>16775</v>
      </c>
    </row>
    <row r="25150">
      <c r="A25150" s="3" t="s">
        <v>41544</v>
      </c>
      <c r="B25150" s="3" t="s">
        <v>20560</v>
      </c>
      <c r="C25150" s="5" t="s">
        <v>45</v>
      </c>
      <c r="D25150" s="3" t="s">
        <v>221</v>
      </c>
      <c r="E25150" s="3" t="s">
        <v>645</v>
      </c>
      <c r="F25150" s="7">
        <v>46229.77665767662</v>
      </c>
      <c r="G25150" s="3" t="s">
        <v>4957</v>
      </c>
    </row>
    <row r="25151">
      <c r="A25151" s="3" t="s">
        <v>41545</v>
      </c>
      <c r="B25151" s="3" t="s">
        <v>20560</v>
      </c>
      <c r="C25151" s="5" t="s">
        <v>221</v>
      </c>
      <c r="D25151" s="3" t="s">
        <v>181</v>
      </c>
      <c r="E25151" s="3" t="s">
        <v>118</v>
      </c>
      <c r="F25151" s="7">
        <v>46229.78012989884</v>
      </c>
      <c r="G25151" s="3" t="s">
        <v>40428</v>
      </c>
    </row>
    <row r="25152">
      <c r="A25152" s="3" t="s">
        <v>41546</v>
      </c>
      <c r="B25152" s="3" t="s">
        <v>20563</v>
      </c>
      <c r="C25152" s="5" t="s">
        <v>45</v>
      </c>
      <c r="D25152" s="3" t="s">
        <v>221</v>
      </c>
      <c r="E25152" s="3" t="s">
        <v>627</v>
      </c>
      <c r="F25152" s="7">
        <v>46229.847832522035</v>
      </c>
      <c r="G25152" s="3" t="s">
        <v>9684</v>
      </c>
    </row>
    <row r="25153">
      <c r="A25153" s="3" t="s">
        <v>41547</v>
      </c>
      <c r="B25153" s="3" t="s">
        <v>20563</v>
      </c>
      <c r="C25153" s="5" t="s">
        <v>221</v>
      </c>
      <c r="D25153" s="3" t="s">
        <v>614</v>
      </c>
      <c r="E25153" s="3" t="s">
        <v>118</v>
      </c>
      <c r="F25153" s="7">
        <v>46229.851304744254</v>
      </c>
      <c r="G25153" s="3" t="s">
        <v>9687</v>
      </c>
    </row>
    <row r="25154">
      <c r="A25154" s="3" t="s">
        <v>41548</v>
      </c>
      <c r="B25154" s="3" t="s">
        <v>20563</v>
      </c>
      <c r="C25154" s="5" t="s">
        <v>614</v>
      </c>
      <c r="D25154" s="3" t="s">
        <v>206</v>
      </c>
      <c r="E25154" s="3" t="s">
        <v>100</v>
      </c>
      <c r="F25154" s="7">
        <v>46229.85477696648</v>
      </c>
      <c r="G25154" s="3" t="s">
        <v>9691</v>
      </c>
    </row>
    <row r="25155">
      <c r="A25155" s="3" t="s">
        <v>41549</v>
      </c>
      <c r="B25155" s="3" t="s">
        <v>20563</v>
      </c>
      <c r="C25155" s="5" t="s">
        <v>206</v>
      </c>
      <c r="D25155" s="3" t="s">
        <v>68</v>
      </c>
      <c r="E25155" s="3" t="s">
        <v>100</v>
      </c>
      <c r="F25155" s="7">
        <v>46229.8582491887</v>
      </c>
      <c r="G25155" s="3" t="s">
        <v>9694</v>
      </c>
    </row>
    <row r="25156">
      <c r="A25156" s="3" t="s">
        <v>41550</v>
      </c>
      <c r="B25156" s="3" t="s">
        <v>20565</v>
      </c>
      <c r="C25156" s="5" t="s">
        <v>45</v>
      </c>
      <c r="D25156" s="3" t="s">
        <v>221</v>
      </c>
      <c r="E25156" s="3" t="s">
        <v>575</v>
      </c>
      <c r="F25156" s="7">
        <v>46229.91900736745</v>
      </c>
      <c r="G25156" s="3" t="s">
        <v>2770</v>
      </c>
    </row>
    <row r="25157">
      <c r="A25157" s="3" t="s">
        <v>41551</v>
      </c>
      <c r="B25157" s="3" t="s">
        <v>20565</v>
      </c>
      <c r="C25157" s="5" t="s">
        <v>221</v>
      </c>
      <c r="D25157" s="3" t="s">
        <v>181</v>
      </c>
      <c r="E25157" s="3" t="s">
        <v>118</v>
      </c>
      <c r="F25157" s="7">
        <v>46229.922479589666</v>
      </c>
      <c r="G25157" s="3" t="s">
        <v>2774</v>
      </c>
    </row>
    <row r="25158">
      <c r="A25158" s="3" t="s">
        <v>41552</v>
      </c>
      <c r="B25158" s="3" t="s">
        <v>20567</v>
      </c>
      <c r="C25158" s="5" t="s">
        <v>45</v>
      </c>
      <c r="D25158" s="3" t="s">
        <v>221</v>
      </c>
      <c r="E25158" s="3" t="s">
        <v>230</v>
      </c>
      <c r="F25158" s="7">
        <v>46229.99018221287</v>
      </c>
      <c r="G25158" s="3" t="s">
        <v>28782</v>
      </c>
    </row>
    <row r="25159">
      <c r="A25159" s="3" t="s">
        <v>41553</v>
      </c>
      <c r="B25159" s="3" t="s">
        <v>20567</v>
      </c>
      <c r="C25159" s="5" t="s">
        <v>221</v>
      </c>
      <c r="D25159" s="3" t="s">
        <v>614</v>
      </c>
      <c r="E25159" s="3" t="s">
        <v>118</v>
      </c>
      <c r="F25159" s="7">
        <v>46229.993654435086</v>
      </c>
      <c r="G25159" s="3" t="s">
        <v>28784</v>
      </c>
    </row>
    <row r="25160">
      <c r="A25160" s="3" t="s">
        <v>41554</v>
      </c>
      <c r="B25160" s="3" t="s">
        <v>20567</v>
      </c>
      <c r="C25160" s="5" t="s">
        <v>614</v>
      </c>
      <c r="D25160" s="3" t="s">
        <v>206</v>
      </c>
      <c r="E25160" s="3" t="s">
        <v>100</v>
      </c>
      <c r="F25160" s="7">
        <v>46229.99712665731</v>
      </c>
      <c r="G25160" s="3" t="s">
        <v>28786</v>
      </c>
    </row>
    <row r="25161">
      <c r="A25161" s="3" t="s">
        <v>41555</v>
      </c>
      <c r="B25161" s="3" t="s">
        <v>20567</v>
      </c>
      <c r="C25161" s="5" t="s">
        <v>206</v>
      </c>
      <c r="D25161" s="3" t="s">
        <v>68</v>
      </c>
      <c r="E25161" s="3" t="s">
        <v>100</v>
      </c>
      <c r="F25161" s="7">
        <v>46230.00059887953</v>
      </c>
      <c r="G25161" s="3" t="s">
        <v>28788</v>
      </c>
    </row>
    <row r="25162">
      <c r="A25162" s="3" t="s">
        <v>41556</v>
      </c>
      <c r="B25162" s="3" t="s">
        <v>20569</v>
      </c>
      <c r="C25162" s="5" t="s">
        <v>45</v>
      </c>
      <c r="D25162" s="3" t="s">
        <v>221</v>
      </c>
      <c r="E25162" s="3" t="s">
        <v>708</v>
      </c>
      <c r="F25162" s="7">
        <v>46230.06135705828</v>
      </c>
      <c r="G25162" s="3" t="s">
        <v>9717</v>
      </c>
    </row>
    <row r="25163">
      <c r="A25163" s="3" t="s">
        <v>41557</v>
      </c>
      <c r="B25163" s="3" t="s">
        <v>20569</v>
      </c>
      <c r="C25163" s="5" t="s">
        <v>221</v>
      </c>
      <c r="D25163" s="3" t="s">
        <v>614</v>
      </c>
      <c r="E25163" s="3" t="s">
        <v>118</v>
      </c>
      <c r="F25163" s="7">
        <v>46230.0648292805</v>
      </c>
      <c r="G25163" s="3" t="s">
        <v>9720</v>
      </c>
    </row>
    <row r="25164">
      <c r="A25164" s="3" t="s">
        <v>41558</v>
      </c>
      <c r="B25164" s="3" t="s">
        <v>20569</v>
      </c>
      <c r="C25164" s="5" t="s">
        <v>614</v>
      </c>
      <c r="D25164" s="3" t="s">
        <v>206</v>
      </c>
      <c r="E25164" s="3" t="s">
        <v>100</v>
      </c>
      <c r="F25164" s="7">
        <v>46230.068301502724</v>
      </c>
      <c r="G25164" s="3" t="s">
        <v>9724</v>
      </c>
    </row>
    <row r="25165">
      <c r="A25165" s="3" t="s">
        <v>41559</v>
      </c>
      <c r="B25165" s="3" t="s">
        <v>20569</v>
      </c>
      <c r="C25165" s="5" t="s">
        <v>206</v>
      </c>
      <c r="D25165" s="3" t="s">
        <v>68</v>
      </c>
      <c r="E25165" s="3" t="s">
        <v>100</v>
      </c>
      <c r="F25165" s="7">
        <v>46230.07177372494</v>
      </c>
      <c r="G25165" s="3" t="s">
        <v>9727</v>
      </c>
    </row>
    <row r="25166">
      <c r="A25166" s="3" t="s">
        <v>41560</v>
      </c>
      <c r="B25166" s="3" t="s">
        <v>20571</v>
      </c>
      <c r="C25166" s="5" t="s">
        <v>45</v>
      </c>
      <c r="D25166" s="3" t="s">
        <v>221</v>
      </c>
      <c r="E25166" s="3" t="s">
        <v>778</v>
      </c>
      <c r="F25166" s="7">
        <v>46230.13253190369</v>
      </c>
      <c r="G25166" s="3" t="s">
        <v>9730</v>
      </c>
    </row>
    <row r="25167">
      <c r="A25167" s="3" t="s">
        <v>41561</v>
      </c>
      <c r="B25167" s="3" t="s">
        <v>20571</v>
      </c>
      <c r="C25167" s="5" t="s">
        <v>221</v>
      </c>
      <c r="D25167" s="3" t="s">
        <v>614</v>
      </c>
      <c r="E25167" s="3" t="s">
        <v>118</v>
      </c>
      <c r="F25167" s="7">
        <v>46230.13600412591</v>
      </c>
      <c r="G25167" s="3" t="s">
        <v>9734</v>
      </c>
    </row>
    <row r="25168">
      <c r="A25168" s="3" t="s">
        <v>41562</v>
      </c>
      <c r="B25168" s="3" t="s">
        <v>20571</v>
      </c>
      <c r="C25168" s="5" t="s">
        <v>614</v>
      </c>
      <c r="D25168" s="3" t="s">
        <v>206</v>
      </c>
      <c r="E25168" s="3" t="s">
        <v>100</v>
      </c>
      <c r="F25168" s="7">
        <v>46230.13947634814</v>
      </c>
      <c r="G25168" s="3" t="s">
        <v>9737</v>
      </c>
    </row>
    <row r="25169">
      <c r="A25169" s="3" t="s">
        <v>41563</v>
      </c>
      <c r="B25169" s="3" t="s">
        <v>20571</v>
      </c>
      <c r="C25169" s="5" t="s">
        <v>206</v>
      </c>
      <c r="D25169" s="3" t="s">
        <v>68</v>
      </c>
      <c r="E25169" s="3" t="s">
        <v>100</v>
      </c>
      <c r="F25169" s="7">
        <v>46230.142948570356</v>
      </c>
      <c r="G25169" s="3" t="s">
        <v>9740</v>
      </c>
    </row>
    <row r="25170">
      <c r="A25170" s="3" t="s">
        <v>41564</v>
      </c>
      <c r="B25170" s="3" t="s">
        <v>20574</v>
      </c>
      <c r="C25170" s="5" t="s">
        <v>45</v>
      </c>
      <c r="D25170" s="3" t="s">
        <v>221</v>
      </c>
      <c r="E25170" s="3" t="s">
        <v>322</v>
      </c>
      <c r="F25170" s="7">
        <v>46230.20370674911</v>
      </c>
      <c r="G25170" s="3" t="s">
        <v>6717</v>
      </c>
    </row>
    <row r="25171">
      <c r="A25171" s="3" t="s">
        <v>41565</v>
      </c>
      <c r="B25171" s="3" t="s">
        <v>20574</v>
      </c>
      <c r="C25171" s="5" t="s">
        <v>221</v>
      </c>
      <c r="D25171" s="3" t="s">
        <v>614</v>
      </c>
      <c r="E25171" s="3" t="s">
        <v>118</v>
      </c>
      <c r="F25171" s="7">
        <v>46230.20717897133</v>
      </c>
      <c r="G25171" s="3" t="s">
        <v>6719</v>
      </c>
    </row>
    <row r="25172">
      <c r="A25172" s="3" t="s">
        <v>41566</v>
      </c>
      <c r="B25172" s="3" t="s">
        <v>20574</v>
      </c>
      <c r="C25172" s="5" t="s">
        <v>614</v>
      </c>
      <c r="D25172" s="3" t="s">
        <v>206</v>
      </c>
      <c r="E25172" s="3" t="s">
        <v>100</v>
      </c>
      <c r="F25172" s="7">
        <v>46230.210651193556</v>
      </c>
      <c r="G25172" s="3" t="s">
        <v>6722</v>
      </c>
    </row>
    <row r="25173">
      <c r="A25173" s="3" t="s">
        <v>41567</v>
      </c>
      <c r="B25173" s="3" t="s">
        <v>20574</v>
      </c>
      <c r="C25173" s="5" t="s">
        <v>206</v>
      </c>
      <c r="D25173" s="3" t="s">
        <v>68</v>
      </c>
      <c r="E25173" s="3" t="s">
        <v>100</v>
      </c>
      <c r="F25173" s="7">
        <v>46230.214123415775</v>
      </c>
      <c r="G25173" s="3" t="s">
        <v>6724</v>
      </c>
    </row>
    <row r="25174">
      <c r="A25174" s="3" t="s">
        <v>41568</v>
      </c>
      <c r="B25174" s="3" t="s">
        <v>20577</v>
      </c>
      <c r="C25174" s="5" t="s">
        <v>45</v>
      </c>
      <c r="D25174" s="3" t="s">
        <v>221</v>
      </c>
      <c r="E25174" s="3" t="s">
        <v>987</v>
      </c>
      <c r="F25174" s="7">
        <v>46230.27488159452</v>
      </c>
      <c r="G25174" s="3" t="s">
        <v>10379</v>
      </c>
    </row>
    <row r="25175">
      <c r="A25175" s="3" t="s">
        <v>41569</v>
      </c>
      <c r="B25175" s="3" t="s">
        <v>20577</v>
      </c>
      <c r="C25175" s="5" t="s">
        <v>221</v>
      </c>
      <c r="D25175" s="3" t="s">
        <v>614</v>
      </c>
      <c r="E25175" s="3" t="s">
        <v>118</v>
      </c>
      <c r="F25175" s="7">
        <v>46230.27835381674</v>
      </c>
      <c r="G25175" s="3" t="s">
        <v>10383</v>
      </c>
    </row>
    <row r="25176">
      <c r="A25176" s="3" t="s">
        <v>41570</v>
      </c>
      <c r="B25176" s="3" t="s">
        <v>20577</v>
      </c>
      <c r="C25176" s="5" t="s">
        <v>614</v>
      </c>
      <c r="D25176" s="3" t="s">
        <v>206</v>
      </c>
      <c r="E25176" s="3" t="s">
        <v>100</v>
      </c>
      <c r="F25176" s="7">
        <v>46230.28182603897</v>
      </c>
      <c r="G25176" s="3" t="s">
        <v>10386</v>
      </c>
    </row>
    <row r="25177">
      <c r="A25177" s="3" t="s">
        <v>41571</v>
      </c>
      <c r="B25177" s="3" t="s">
        <v>20577</v>
      </c>
      <c r="C25177" s="5" t="s">
        <v>206</v>
      </c>
      <c r="D25177" s="3" t="s">
        <v>68</v>
      </c>
      <c r="E25177" s="3" t="s">
        <v>100</v>
      </c>
      <c r="F25177" s="7">
        <v>46230.28529826119</v>
      </c>
      <c r="G25177" s="3" t="s">
        <v>10390</v>
      </c>
    </row>
    <row r="25178">
      <c r="A25178" s="3" t="s">
        <v>41572</v>
      </c>
      <c r="B25178" s="3" t="s">
        <v>20580</v>
      </c>
      <c r="C25178" s="5" t="s">
        <v>45</v>
      </c>
      <c r="D25178" s="3" t="s">
        <v>221</v>
      </c>
      <c r="E25178" s="3" t="s">
        <v>581</v>
      </c>
      <c r="F25178" s="7">
        <v>46230.346056439936</v>
      </c>
      <c r="G25178" s="3" t="s">
        <v>9757</v>
      </c>
    </row>
    <row r="25179">
      <c r="A25179" s="3" t="s">
        <v>41573</v>
      </c>
      <c r="B25179" s="3" t="s">
        <v>20580</v>
      </c>
      <c r="C25179" s="5" t="s">
        <v>221</v>
      </c>
      <c r="D25179" s="3" t="s">
        <v>614</v>
      </c>
      <c r="E25179" s="3" t="s">
        <v>118</v>
      </c>
      <c r="F25179" s="7">
        <v>46230.349528662155</v>
      </c>
      <c r="G25179" s="3" t="s">
        <v>9760</v>
      </c>
    </row>
    <row r="25180">
      <c r="A25180" s="3" t="s">
        <v>41574</v>
      </c>
      <c r="B25180" s="3" t="s">
        <v>20580</v>
      </c>
      <c r="C25180" s="5" t="s">
        <v>614</v>
      </c>
      <c r="D25180" s="3" t="s">
        <v>206</v>
      </c>
      <c r="E25180" s="3" t="s">
        <v>100</v>
      </c>
      <c r="F25180" s="7">
        <v>46230.35300088438</v>
      </c>
      <c r="G25180" s="3" t="s">
        <v>9763</v>
      </c>
    </row>
    <row r="25181">
      <c r="A25181" s="3" t="s">
        <v>41575</v>
      </c>
      <c r="B25181" s="3" t="s">
        <v>20580</v>
      </c>
      <c r="C25181" s="5" t="s">
        <v>206</v>
      </c>
      <c r="D25181" s="3" t="s">
        <v>68</v>
      </c>
      <c r="E25181" s="3" t="s">
        <v>100</v>
      </c>
      <c r="F25181" s="7">
        <v>46230.3564731066</v>
      </c>
      <c r="G25181" s="3" t="s">
        <v>9767</v>
      </c>
    </row>
    <row r="25182">
      <c r="A25182" s="3" t="s">
        <v>41576</v>
      </c>
      <c r="B25182" s="3" t="s">
        <v>20585</v>
      </c>
      <c r="C25182" s="5" t="s">
        <v>45</v>
      </c>
      <c r="D25182" s="3" t="s">
        <v>221</v>
      </c>
      <c r="E25182" s="3" t="s">
        <v>193</v>
      </c>
      <c r="F25182" s="7">
        <v>46230.417231285355</v>
      </c>
      <c r="G25182" s="3" t="s">
        <v>5961</v>
      </c>
    </row>
    <row r="25183">
      <c r="A25183" s="3" t="s">
        <v>41577</v>
      </c>
      <c r="B25183" s="3" t="s">
        <v>20585</v>
      </c>
      <c r="C25183" s="5" t="s">
        <v>221</v>
      </c>
      <c r="D25183" s="3" t="s">
        <v>614</v>
      </c>
      <c r="E25183" s="3" t="s">
        <v>118</v>
      </c>
      <c r="F25183" s="7">
        <v>46230.420703507574</v>
      </c>
      <c r="G25183" s="3" t="s">
        <v>5964</v>
      </c>
    </row>
    <row r="25184">
      <c r="A25184" s="3" t="s">
        <v>41578</v>
      </c>
      <c r="B25184" s="3" t="s">
        <v>20585</v>
      </c>
      <c r="C25184" s="5" t="s">
        <v>614</v>
      </c>
      <c r="D25184" s="3" t="s">
        <v>206</v>
      </c>
      <c r="E25184" s="3" t="s">
        <v>100</v>
      </c>
      <c r="F25184" s="7">
        <v>46230.4241757298</v>
      </c>
      <c r="G25184" s="3" t="s">
        <v>5967</v>
      </c>
    </row>
    <row r="25185">
      <c r="A25185" s="3" t="s">
        <v>41579</v>
      </c>
      <c r="B25185" s="3" t="s">
        <v>20585</v>
      </c>
      <c r="C25185" s="5" t="s">
        <v>206</v>
      </c>
      <c r="D25185" s="3" t="s">
        <v>68</v>
      </c>
      <c r="E25185" s="3" t="s">
        <v>100</v>
      </c>
      <c r="F25185" s="7">
        <v>46230.42764795202</v>
      </c>
      <c r="G25185" s="3" t="s">
        <v>5970</v>
      </c>
    </row>
    <row r="25186">
      <c r="A25186" s="3" t="s">
        <v>41580</v>
      </c>
      <c r="B25186" s="3" t="s">
        <v>20587</v>
      </c>
      <c r="C25186" s="5" t="s">
        <v>45</v>
      </c>
      <c r="D25186" s="3" t="s">
        <v>221</v>
      </c>
      <c r="E25186" s="3" t="s">
        <v>498</v>
      </c>
      <c r="F25186" s="7">
        <v>46230.488406130775</v>
      </c>
      <c r="G25186" s="3" t="s">
        <v>9770</v>
      </c>
    </row>
    <row r="25187">
      <c r="A25187" s="3" t="s">
        <v>41581</v>
      </c>
      <c r="B25187" s="3" t="s">
        <v>20587</v>
      </c>
      <c r="C25187" s="5" t="s">
        <v>221</v>
      </c>
      <c r="D25187" s="3" t="s">
        <v>614</v>
      </c>
      <c r="E25187" s="3" t="s">
        <v>118</v>
      </c>
      <c r="F25187" s="7">
        <v>46230.491878352994</v>
      </c>
      <c r="G25187" s="3" t="s">
        <v>9773</v>
      </c>
    </row>
    <row r="25188">
      <c r="A25188" s="3" t="s">
        <v>41582</v>
      </c>
      <c r="B25188" s="3" t="s">
        <v>20587</v>
      </c>
      <c r="C25188" s="5" t="s">
        <v>614</v>
      </c>
      <c r="D25188" s="3" t="s">
        <v>206</v>
      </c>
      <c r="E25188" s="3" t="s">
        <v>100</v>
      </c>
      <c r="F25188" s="7">
        <v>46230.49535057522</v>
      </c>
      <c r="G25188" s="3" t="s">
        <v>9776</v>
      </c>
    </row>
    <row r="25189">
      <c r="A25189" s="3" t="s">
        <v>41583</v>
      </c>
      <c r="B25189" s="3" t="s">
        <v>20587</v>
      </c>
      <c r="C25189" s="5" t="s">
        <v>206</v>
      </c>
      <c r="D25189" s="3" t="s">
        <v>68</v>
      </c>
      <c r="E25189" s="3" t="s">
        <v>100</v>
      </c>
      <c r="F25189" s="7">
        <v>46230.49882279744</v>
      </c>
      <c r="G25189" s="3" t="s">
        <v>9779</v>
      </c>
    </row>
    <row r="25190">
      <c r="A25190" s="3" t="s">
        <v>41584</v>
      </c>
      <c r="B25190" s="3" t="s">
        <v>20589</v>
      </c>
      <c r="C25190" s="5" t="s">
        <v>45</v>
      </c>
      <c r="D25190" s="3" t="s">
        <v>221</v>
      </c>
      <c r="E25190" s="3" t="s">
        <v>352</v>
      </c>
      <c r="F25190" s="7">
        <v>46230.55958097618</v>
      </c>
      <c r="G25190" s="3" t="s">
        <v>24285</v>
      </c>
    </row>
    <row r="25191">
      <c r="A25191" s="3" t="s">
        <v>41585</v>
      </c>
      <c r="B25191" s="3" t="s">
        <v>20589</v>
      </c>
      <c r="C25191" s="5" t="s">
        <v>221</v>
      </c>
      <c r="D25191" s="3" t="s">
        <v>614</v>
      </c>
      <c r="E25191" s="3" t="s">
        <v>118</v>
      </c>
      <c r="F25191" s="7">
        <v>46230.5630531984</v>
      </c>
      <c r="G25191" s="3" t="s">
        <v>32920</v>
      </c>
    </row>
    <row r="25192">
      <c r="A25192" s="3" t="s">
        <v>41586</v>
      </c>
      <c r="B25192" s="3" t="s">
        <v>20589</v>
      </c>
      <c r="C25192" s="5" t="s">
        <v>614</v>
      </c>
      <c r="D25192" s="3" t="s">
        <v>206</v>
      </c>
      <c r="E25192" s="3" t="s">
        <v>100</v>
      </c>
      <c r="F25192" s="7">
        <v>46230.566525420625</v>
      </c>
      <c r="G25192" s="3" t="s">
        <v>32922</v>
      </c>
    </row>
    <row r="25193">
      <c r="A25193" s="3" t="s">
        <v>41587</v>
      </c>
      <c r="B25193" s="3" t="s">
        <v>20589</v>
      </c>
      <c r="C25193" s="5" t="s">
        <v>206</v>
      </c>
      <c r="D25193" s="3" t="s">
        <v>68</v>
      </c>
      <c r="E25193" s="3" t="s">
        <v>100</v>
      </c>
      <c r="F25193" s="7">
        <v>46230.569997642844</v>
      </c>
      <c r="G25193" s="3" t="s">
        <v>32924</v>
      </c>
    </row>
    <row r="25194">
      <c r="A25194" s="3" t="s">
        <v>41588</v>
      </c>
      <c r="B25194" s="3" t="s">
        <v>20591</v>
      </c>
      <c r="C25194" s="5" t="s">
        <v>45</v>
      </c>
      <c r="D25194" s="3" t="s">
        <v>221</v>
      </c>
      <c r="E25194" s="3" t="s">
        <v>175</v>
      </c>
      <c r="F25194" s="7">
        <v>46230.6307558216</v>
      </c>
      <c r="G25194" s="3" t="s">
        <v>12657</v>
      </c>
    </row>
    <row r="25195">
      <c r="A25195" s="3" t="s">
        <v>41589</v>
      </c>
      <c r="B25195" s="3" t="s">
        <v>20591</v>
      </c>
      <c r="C25195" s="5" t="s">
        <v>221</v>
      </c>
      <c r="D25195" s="3" t="s">
        <v>614</v>
      </c>
      <c r="E25195" s="3" t="s">
        <v>118</v>
      </c>
      <c r="F25195" s="7">
        <v>46230.63422804382</v>
      </c>
      <c r="G25195" s="3" t="s">
        <v>12661</v>
      </c>
    </row>
    <row r="25196">
      <c r="A25196" s="3" t="s">
        <v>41590</v>
      </c>
      <c r="B25196" s="3" t="s">
        <v>20591</v>
      </c>
      <c r="C25196" s="5" t="s">
        <v>614</v>
      </c>
      <c r="D25196" s="3" t="s">
        <v>206</v>
      </c>
      <c r="E25196" s="3" t="s">
        <v>100</v>
      </c>
      <c r="F25196" s="7">
        <v>46230.637700266045</v>
      </c>
      <c r="G25196" s="3" t="s">
        <v>12664</v>
      </c>
    </row>
    <row r="25197">
      <c r="A25197" s="3" t="s">
        <v>41591</v>
      </c>
      <c r="B25197" s="3" t="s">
        <v>20591</v>
      </c>
      <c r="C25197" s="5" t="s">
        <v>206</v>
      </c>
      <c r="D25197" s="3" t="s">
        <v>68</v>
      </c>
      <c r="E25197" s="3" t="s">
        <v>100</v>
      </c>
      <c r="F25197" s="7">
        <v>46230.641172488264</v>
      </c>
      <c r="G25197" s="3" t="s">
        <v>12667</v>
      </c>
    </row>
    <row r="25198">
      <c r="A25198" s="3" t="s">
        <v>41592</v>
      </c>
      <c r="B25198" s="3" t="s">
        <v>20593</v>
      </c>
      <c r="C25198" s="5" t="s">
        <v>45</v>
      </c>
      <c r="D25198" s="3" t="s">
        <v>221</v>
      </c>
      <c r="E25198" s="3" t="s">
        <v>356</v>
      </c>
      <c r="F25198" s="7">
        <v>46230.70193066702</v>
      </c>
      <c r="G25198" s="3" t="s">
        <v>8874</v>
      </c>
    </row>
    <row r="25199">
      <c r="A25199" s="3" t="s">
        <v>41593</v>
      </c>
      <c r="B25199" s="3" t="s">
        <v>20593</v>
      </c>
      <c r="C25199" s="5" t="s">
        <v>221</v>
      </c>
      <c r="D25199" s="3" t="s">
        <v>614</v>
      </c>
      <c r="E25199" s="3" t="s">
        <v>118</v>
      </c>
      <c r="F25199" s="7">
        <v>46230.70540288924</v>
      </c>
      <c r="G25199" s="3" t="s">
        <v>8877</v>
      </c>
    </row>
    <row r="25200">
      <c r="A25200" s="3" t="s">
        <v>41594</v>
      </c>
      <c r="B25200" s="3" t="s">
        <v>20593</v>
      </c>
      <c r="C25200" s="5" t="s">
        <v>614</v>
      </c>
      <c r="D25200" s="3" t="s">
        <v>206</v>
      </c>
      <c r="E25200" s="3" t="s">
        <v>100</v>
      </c>
      <c r="F25200" s="7">
        <v>46230.708875111464</v>
      </c>
      <c r="G25200" s="3" t="s">
        <v>8880</v>
      </c>
    </row>
    <row r="25201">
      <c r="A25201" s="3" t="s">
        <v>41595</v>
      </c>
      <c r="B25201" s="3" t="s">
        <v>20593</v>
      </c>
      <c r="C25201" s="5" t="s">
        <v>206</v>
      </c>
      <c r="D25201" s="3" t="s">
        <v>68</v>
      </c>
      <c r="E25201" s="3" t="s">
        <v>100</v>
      </c>
      <c r="F25201" s="7">
        <v>46230.71234733368</v>
      </c>
      <c r="G25201" s="3" t="s">
        <v>8883</v>
      </c>
    </row>
    <row r="25202">
      <c r="A25202" s="3" t="s">
        <v>41596</v>
      </c>
      <c r="B25202" s="3" t="s">
        <v>20596</v>
      </c>
      <c r="C25202" s="5" t="s">
        <v>45</v>
      </c>
      <c r="D25202" s="3" t="s">
        <v>221</v>
      </c>
      <c r="E25202" s="3" t="s">
        <v>260</v>
      </c>
      <c r="F25202" s="7">
        <v>46230.77310551243</v>
      </c>
      <c r="G25202" s="3" t="s">
        <v>7435</v>
      </c>
    </row>
    <row r="25203">
      <c r="A25203" s="3" t="s">
        <v>41597</v>
      </c>
      <c r="B25203" s="3" t="s">
        <v>20596</v>
      </c>
      <c r="C25203" s="5" t="s">
        <v>221</v>
      </c>
      <c r="D25203" s="3" t="s">
        <v>614</v>
      </c>
      <c r="E25203" s="3" t="s">
        <v>118</v>
      </c>
      <c r="F25203" s="7">
        <v>46230.77657773465</v>
      </c>
      <c r="G25203" s="3" t="s">
        <v>7438</v>
      </c>
    </row>
    <row r="25204">
      <c r="A25204" s="3" t="s">
        <v>41598</v>
      </c>
      <c r="B25204" s="3" t="s">
        <v>20596</v>
      </c>
      <c r="C25204" s="5" t="s">
        <v>614</v>
      </c>
      <c r="D25204" s="3" t="s">
        <v>206</v>
      </c>
      <c r="E25204" s="3" t="s">
        <v>100</v>
      </c>
      <c r="F25204" s="7">
        <v>46230.78004995688</v>
      </c>
      <c r="G25204" s="3" t="s">
        <v>7441</v>
      </c>
    </row>
    <row r="25205">
      <c r="A25205" s="3" t="s">
        <v>41599</v>
      </c>
      <c r="B25205" s="3" t="s">
        <v>20596</v>
      </c>
      <c r="C25205" s="5" t="s">
        <v>206</v>
      </c>
      <c r="D25205" s="3" t="s">
        <v>68</v>
      </c>
      <c r="E25205" s="3" t="s">
        <v>100</v>
      </c>
      <c r="F25205" s="7">
        <v>46230.783522179096</v>
      </c>
      <c r="G25205" s="3" t="s">
        <v>7444</v>
      </c>
    </row>
    <row r="25206">
      <c r="A25206" s="3" t="s">
        <v>41600</v>
      </c>
      <c r="B25206" s="3" t="s">
        <v>20598</v>
      </c>
      <c r="C25206" s="5" t="s">
        <v>45</v>
      </c>
      <c r="D25206" s="3" t="s">
        <v>221</v>
      </c>
      <c r="E25206" s="3" t="s">
        <v>758</v>
      </c>
      <c r="F25206" s="7">
        <v>46230.844280357844</v>
      </c>
      <c r="G25206" s="3" t="s">
        <v>9796</v>
      </c>
    </row>
    <row r="25207">
      <c r="A25207" s="3" t="s">
        <v>41601</v>
      </c>
      <c r="B25207" s="3" t="s">
        <v>20598</v>
      </c>
      <c r="C25207" s="5" t="s">
        <v>221</v>
      </c>
      <c r="D25207" s="3" t="s">
        <v>614</v>
      </c>
      <c r="E25207" s="3" t="s">
        <v>118</v>
      </c>
      <c r="F25207" s="7">
        <v>46230.84775258006</v>
      </c>
      <c r="G25207" s="3" t="s">
        <v>9800</v>
      </c>
    </row>
    <row r="25208">
      <c r="A25208" s="3" t="s">
        <v>41602</v>
      </c>
      <c r="B25208" s="3" t="s">
        <v>20598</v>
      </c>
      <c r="C25208" s="5" t="s">
        <v>614</v>
      </c>
      <c r="D25208" s="3" t="s">
        <v>206</v>
      </c>
      <c r="E25208" s="3" t="s">
        <v>100</v>
      </c>
      <c r="F25208" s="7">
        <v>46230.85122480229</v>
      </c>
      <c r="G25208" s="3" t="s">
        <v>9803</v>
      </c>
    </row>
    <row r="25209">
      <c r="A25209" s="3" t="s">
        <v>41603</v>
      </c>
      <c r="B25209" s="3" t="s">
        <v>20598</v>
      </c>
      <c r="C25209" s="5" t="s">
        <v>206</v>
      </c>
      <c r="D25209" s="3" t="s">
        <v>68</v>
      </c>
      <c r="E25209" s="3" t="s">
        <v>100</v>
      </c>
      <c r="F25209" s="7">
        <v>46230.85469702451</v>
      </c>
      <c r="G25209" s="3" t="s">
        <v>9806</v>
      </c>
    </row>
    <row r="25210">
      <c r="A25210" s="3" t="s">
        <v>41604</v>
      </c>
      <c r="B25210" s="3" t="s">
        <v>20600</v>
      </c>
      <c r="C25210" s="5" t="s">
        <v>45</v>
      </c>
      <c r="D25210" s="3" t="s">
        <v>221</v>
      </c>
      <c r="E25210" s="3" t="s">
        <v>609</v>
      </c>
      <c r="F25210" s="7">
        <v>46230.91545520326</v>
      </c>
      <c r="G25210" s="3" t="s">
        <v>9843</v>
      </c>
    </row>
    <row r="25211">
      <c r="A25211" s="3" t="s">
        <v>41605</v>
      </c>
      <c r="B25211" s="3" t="s">
        <v>20600</v>
      </c>
      <c r="C25211" s="5" t="s">
        <v>221</v>
      </c>
      <c r="D25211" s="3" t="s">
        <v>614</v>
      </c>
      <c r="E25211" s="3" t="s">
        <v>118</v>
      </c>
      <c r="F25211" s="7">
        <v>46230.91892742548</v>
      </c>
      <c r="G25211" s="3" t="s">
        <v>9846</v>
      </c>
    </row>
    <row r="25212">
      <c r="A25212" s="3" t="s">
        <v>41606</v>
      </c>
      <c r="B25212" s="3" t="s">
        <v>20600</v>
      </c>
      <c r="C25212" s="5" t="s">
        <v>614</v>
      </c>
      <c r="D25212" s="3" t="s">
        <v>206</v>
      </c>
      <c r="E25212" s="3" t="s">
        <v>100</v>
      </c>
      <c r="F25212" s="7">
        <v>46230.92239964771</v>
      </c>
      <c r="G25212" s="3" t="s">
        <v>9849</v>
      </c>
    </row>
    <row r="25213">
      <c r="A25213" s="3" t="s">
        <v>41607</v>
      </c>
      <c r="B25213" s="3" t="s">
        <v>20600</v>
      </c>
      <c r="C25213" s="5" t="s">
        <v>206</v>
      </c>
      <c r="D25213" s="3" t="s">
        <v>68</v>
      </c>
      <c r="E25213" s="3" t="s">
        <v>100</v>
      </c>
      <c r="F25213" s="7">
        <v>46230.92587186993</v>
      </c>
      <c r="G25213" s="3" t="s">
        <v>9853</v>
      </c>
    </row>
    <row r="25214">
      <c r="A25214" s="3" t="s">
        <v>41608</v>
      </c>
      <c r="B25214" s="3" t="s">
        <v>20602</v>
      </c>
      <c r="C25214" s="5" t="s">
        <v>45</v>
      </c>
      <c r="D25214" s="3" t="s">
        <v>221</v>
      </c>
      <c r="E25214" s="3" t="s">
        <v>493</v>
      </c>
      <c r="F25214" s="7">
        <v>46230.986630048676</v>
      </c>
      <c r="G25214" s="3" t="s">
        <v>20038</v>
      </c>
    </row>
    <row r="25215">
      <c r="A25215" s="3" t="s">
        <v>41609</v>
      </c>
      <c r="B25215" s="3" t="s">
        <v>20602</v>
      </c>
      <c r="C25215" s="5" t="s">
        <v>221</v>
      </c>
      <c r="D25215" s="3" t="s">
        <v>614</v>
      </c>
      <c r="E25215" s="3" t="s">
        <v>118</v>
      </c>
      <c r="F25215" s="7">
        <v>46230.990102270895</v>
      </c>
      <c r="G25215" s="3" t="s">
        <v>20041</v>
      </c>
    </row>
    <row r="25216">
      <c r="A25216" s="3" t="s">
        <v>41610</v>
      </c>
      <c r="B25216" s="3" t="s">
        <v>20602</v>
      </c>
      <c r="C25216" s="5" t="s">
        <v>614</v>
      </c>
      <c r="D25216" s="3" t="s">
        <v>206</v>
      </c>
      <c r="E25216" s="3" t="s">
        <v>100</v>
      </c>
      <c r="F25216" s="7">
        <v>46230.99357449312</v>
      </c>
      <c r="G25216" s="3" t="s">
        <v>20044</v>
      </c>
    </row>
    <row r="25217">
      <c r="A25217" s="3" t="s">
        <v>41611</v>
      </c>
      <c r="B25217" s="3" t="s">
        <v>20602</v>
      </c>
      <c r="C25217" s="5" t="s">
        <v>206</v>
      </c>
      <c r="D25217" s="3" t="s">
        <v>68</v>
      </c>
      <c r="E25217" s="3" t="s">
        <v>100</v>
      </c>
      <c r="F25217" s="7">
        <v>46230.99704671534</v>
      </c>
      <c r="G25217" s="3" t="s">
        <v>20047</v>
      </c>
    </row>
    <row r="25218">
      <c r="A25218" s="3" t="s">
        <v>41612</v>
      </c>
      <c r="B25218" s="3" t="s">
        <v>20604</v>
      </c>
      <c r="C25218" s="5" t="s">
        <v>45</v>
      </c>
      <c r="D25218" s="3" t="s">
        <v>221</v>
      </c>
      <c r="E25218" s="3" t="s">
        <v>290</v>
      </c>
      <c r="F25218" s="7">
        <v>46231.05780489409</v>
      </c>
      <c r="G25218" s="3" t="s">
        <v>9256</v>
      </c>
    </row>
    <row r="25219">
      <c r="A25219" s="3" t="s">
        <v>41613</v>
      </c>
      <c r="B25219" s="3" t="s">
        <v>20604</v>
      </c>
      <c r="C25219" s="5" t="s">
        <v>221</v>
      </c>
      <c r="D25219" s="3" t="s">
        <v>614</v>
      </c>
      <c r="E25219" s="3" t="s">
        <v>118</v>
      </c>
      <c r="F25219" s="7">
        <v>46231.06127711631</v>
      </c>
      <c r="G25219" s="3" t="s">
        <v>9259</v>
      </c>
    </row>
    <row r="25220">
      <c r="A25220" s="3" t="s">
        <v>41614</v>
      </c>
      <c r="B25220" s="3" t="s">
        <v>20604</v>
      </c>
      <c r="C25220" s="5" t="s">
        <v>614</v>
      </c>
      <c r="D25220" s="3" t="s">
        <v>206</v>
      </c>
      <c r="E25220" s="3" t="s">
        <v>100</v>
      </c>
      <c r="F25220" s="7">
        <v>46231.06474933853</v>
      </c>
      <c r="G25220" s="3" t="s">
        <v>9261</v>
      </c>
    </row>
    <row r="25221">
      <c r="A25221" s="3" t="s">
        <v>41615</v>
      </c>
      <c r="B25221" s="3" t="s">
        <v>20604</v>
      </c>
      <c r="C25221" s="5" t="s">
        <v>206</v>
      </c>
      <c r="D25221" s="3" t="s">
        <v>68</v>
      </c>
      <c r="E25221" s="3" t="s">
        <v>100</v>
      </c>
      <c r="F25221" s="7">
        <v>46231.06822156075</v>
      </c>
      <c r="G25221" s="3" t="s">
        <v>9264</v>
      </c>
    </row>
    <row r="25222">
      <c r="A25222" s="3" t="s">
        <v>41616</v>
      </c>
      <c r="B25222" s="3" t="s">
        <v>20606</v>
      </c>
      <c r="C25222" s="5" t="s">
        <v>45</v>
      </c>
      <c r="D25222" s="3" t="s">
        <v>221</v>
      </c>
      <c r="E25222" s="3" t="s">
        <v>512</v>
      </c>
      <c r="F25222" s="7">
        <v>46231.12897973951</v>
      </c>
      <c r="G25222" s="3" t="s">
        <v>25817</v>
      </c>
    </row>
    <row r="25223">
      <c r="A25223" s="3" t="s">
        <v>41617</v>
      </c>
      <c r="B25223" s="3" t="s">
        <v>20606</v>
      </c>
      <c r="C25223" s="5" t="s">
        <v>221</v>
      </c>
      <c r="D25223" s="3" t="s">
        <v>614</v>
      </c>
      <c r="E25223" s="3" t="s">
        <v>118</v>
      </c>
      <c r="F25223" s="7">
        <v>46231.13245196173</v>
      </c>
      <c r="G25223" s="3" t="s">
        <v>25819</v>
      </c>
    </row>
    <row r="25224">
      <c r="A25224" s="3" t="s">
        <v>41618</v>
      </c>
      <c r="B25224" s="3" t="s">
        <v>20606</v>
      </c>
      <c r="C25224" s="5" t="s">
        <v>614</v>
      </c>
      <c r="D25224" s="3" t="s">
        <v>206</v>
      </c>
      <c r="E25224" s="3" t="s">
        <v>100</v>
      </c>
      <c r="F25224" s="7">
        <v>46231.13592418395</v>
      </c>
      <c r="G25224" s="3" t="s">
        <v>25821</v>
      </c>
    </row>
    <row r="25225">
      <c r="A25225" s="3" t="s">
        <v>41619</v>
      </c>
      <c r="B25225" s="3" t="s">
        <v>20606</v>
      </c>
      <c r="C25225" s="5" t="s">
        <v>206</v>
      </c>
      <c r="D25225" s="3" t="s">
        <v>68</v>
      </c>
      <c r="E25225" s="3" t="s">
        <v>100</v>
      </c>
      <c r="F25225" s="7">
        <v>46231.13939640617</v>
      </c>
      <c r="G25225" s="3" t="s">
        <v>25823</v>
      </c>
    </row>
    <row r="25226">
      <c r="A25226" s="3" t="s">
        <v>41620</v>
      </c>
      <c r="B25226" s="3" t="s">
        <v>20608</v>
      </c>
      <c r="C25226" s="5" t="s">
        <v>45</v>
      </c>
      <c r="D25226" s="3" t="s">
        <v>221</v>
      </c>
      <c r="E25226" s="3" t="s">
        <v>587</v>
      </c>
      <c r="F25226" s="7">
        <v>46231.20015458493</v>
      </c>
      <c r="G25226" s="3" t="s">
        <v>26256</v>
      </c>
    </row>
    <row r="25227">
      <c r="A25227" s="3" t="s">
        <v>41621</v>
      </c>
      <c r="B25227" s="3" t="s">
        <v>20608</v>
      </c>
      <c r="C25227" s="5" t="s">
        <v>221</v>
      </c>
      <c r="D25227" s="3" t="s">
        <v>614</v>
      </c>
      <c r="E25227" s="3" t="s">
        <v>118</v>
      </c>
      <c r="F25227" s="7">
        <v>46231.203626807146</v>
      </c>
      <c r="G25227" s="3" t="s">
        <v>26258</v>
      </c>
    </row>
    <row r="25228">
      <c r="A25228" s="3" t="s">
        <v>41622</v>
      </c>
      <c r="B25228" s="3" t="s">
        <v>20608</v>
      </c>
      <c r="C25228" s="5" t="s">
        <v>614</v>
      </c>
      <c r="D25228" s="3" t="s">
        <v>206</v>
      </c>
      <c r="E25228" s="3" t="s">
        <v>100</v>
      </c>
      <c r="F25228" s="7">
        <v>46231.20709902937</v>
      </c>
      <c r="G25228" s="3" t="s">
        <v>26260</v>
      </c>
    </row>
    <row r="25229">
      <c r="A25229" s="3" t="s">
        <v>41623</v>
      </c>
      <c r="B25229" s="3" t="s">
        <v>20608</v>
      </c>
      <c r="C25229" s="5" t="s">
        <v>206</v>
      </c>
      <c r="D25229" s="3" t="s">
        <v>68</v>
      </c>
      <c r="E25229" s="3" t="s">
        <v>100</v>
      </c>
      <c r="F25229" s="7">
        <v>46231.21057125159</v>
      </c>
      <c r="G25229" s="3" t="s">
        <v>26262</v>
      </c>
    </row>
    <row r="25230">
      <c r="A25230" s="3" t="s">
        <v>41624</v>
      </c>
      <c r="B25230" s="3" t="s">
        <v>20612</v>
      </c>
      <c r="C25230" s="5" t="s">
        <v>45</v>
      </c>
      <c r="D25230" s="3" t="s">
        <v>221</v>
      </c>
      <c r="E25230" s="3" t="s">
        <v>208</v>
      </c>
      <c r="F25230" s="7">
        <v>46231.27132943033</v>
      </c>
      <c r="G25230" s="3" t="s">
        <v>20442</v>
      </c>
    </row>
    <row r="25231">
      <c r="A25231" s="3" t="s">
        <v>41625</v>
      </c>
      <c r="B25231" s="3" t="s">
        <v>20612</v>
      </c>
      <c r="C25231" s="5" t="s">
        <v>221</v>
      </c>
      <c r="D25231" s="3" t="s">
        <v>614</v>
      </c>
      <c r="E25231" s="3" t="s">
        <v>118</v>
      </c>
      <c r="F25231" s="7">
        <v>46231.27480165255</v>
      </c>
      <c r="G25231" s="3" t="s">
        <v>20445</v>
      </c>
    </row>
    <row r="25232">
      <c r="A25232" s="3" t="s">
        <v>41626</v>
      </c>
      <c r="B25232" s="3" t="s">
        <v>20612</v>
      </c>
      <c r="C25232" s="5" t="s">
        <v>614</v>
      </c>
      <c r="D25232" s="3" t="s">
        <v>206</v>
      </c>
      <c r="E25232" s="3" t="s">
        <v>100</v>
      </c>
      <c r="F25232" s="7">
        <v>46231.27827387478</v>
      </c>
      <c r="G25232" s="3" t="s">
        <v>20448</v>
      </c>
    </row>
    <row r="25233">
      <c r="A25233" s="3" t="s">
        <v>41627</v>
      </c>
      <c r="B25233" s="3" t="s">
        <v>20612</v>
      </c>
      <c r="C25233" s="5" t="s">
        <v>206</v>
      </c>
      <c r="D25233" s="3" t="s">
        <v>68</v>
      </c>
      <c r="E25233" s="3" t="s">
        <v>100</v>
      </c>
      <c r="F25233" s="7">
        <v>46231.281746096996</v>
      </c>
      <c r="G25233" s="3" t="s">
        <v>20450</v>
      </c>
    </row>
    <row r="25234">
      <c r="A25234" s="3" t="s">
        <v>41628</v>
      </c>
      <c r="B25234" s="3" t="s">
        <v>20616</v>
      </c>
      <c r="C25234" s="5" t="s">
        <v>45</v>
      </c>
      <c r="D25234" s="3" t="s">
        <v>221</v>
      </c>
      <c r="E25234" s="3" t="s">
        <v>903</v>
      </c>
      <c r="F25234" s="7">
        <v>46231.34250427575</v>
      </c>
      <c r="G25234" s="3" t="s">
        <v>16933</v>
      </c>
    </row>
    <row r="25235">
      <c r="A25235" s="3" t="s">
        <v>41629</v>
      </c>
      <c r="B25235" s="3" t="s">
        <v>20616</v>
      </c>
      <c r="C25235" s="5" t="s">
        <v>221</v>
      </c>
      <c r="D25235" s="3" t="s">
        <v>614</v>
      </c>
      <c r="E25235" s="3" t="s">
        <v>118</v>
      </c>
      <c r="F25235" s="7">
        <v>46231.34597649797</v>
      </c>
      <c r="G25235" s="3" t="s">
        <v>16935</v>
      </c>
    </row>
    <row r="25236">
      <c r="A25236" s="3" t="s">
        <v>41630</v>
      </c>
      <c r="B25236" s="3" t="s">
        <v>20616</v>
      </c>
      <c r="C25236" s="5" t="s">
        <v>614</v>
      </c>
      <c r="D25236" s="3" t="s">
        <v>206</v>
      </c>
      <c r="E25236" s="3" t="s">
        <v>100</v>
      </c>
      <c r="F25236" s="7">
        <v>46231.3494487202</v>
      </c>
      <c r="G25236" s="3" t="s">
        <v>16938</v>
      </c>
    </row>
    <row r="25237">
      <c r="A25237" s="3" t="s">
        <v>41631</v>
      </c>
      <c r="B25237" s="3" t="s">
        <v>20616</v>
      </c>
      <c r="C25237" s="5" t="s">
        <v>206</v>
      </c>
      <c r="D25237" s="3" t="s">
        <v>68</v>
      </c>
      <c r="E25237" s="3" t="s">
        <v>100</v>
      </c>
      <c r="F25237" s="7">
        <v>46231.352920942416</v>
      </c>
      <c r="G25237" s="3" t="s">
        <v>16941</v>
      </c>
    </row>
    <row r="25238">
      <c r="A25238" s="3" t="s">
        <v>41632</v>
      </c>
      <c r="B25238" s="3" t="s">
        <v>20619</v>
      </c>
      <c r="C25238" s="5" t="s">
        <v>45</v>
      </c>
      <c r="D25238" s="3" t="s">
        <v>221</v>
      </c>
      <c r="E25238" s="3" t="s">
        <v>632</v>
      </c>
      <c r="F25238" s="7">
        <v>46231.413679121164</v>
      </c>
      <c r="G25238" s="3" t="s">
        <v>17935</v>
      </c>
    </row>
    <row r="25239">
      <c r="A25239" s="3" t="s">
        <v>41633</v>
      </c>
      <c r="B25239" s="3" t="s">
        <v>20619</v>
      </c>
      <c r="C25239" s="5" t="s">
        <v>221</v>
      </c>
      <c r="D25239" s="3" t="s">
        <v>614</v>
      </c>
      <c r="E25239" s="3" t="s">
        <v>118</v>
      </c>
      <c r="F25239" s="7">
        <v>46231.41715134338</v>
      </c>
      <c r="G25239" s="3" t="s">
        <v>17938</v>
      </c>
    </row>
    <row r="25240">
      <c r="A25240" s="3" t="s">
        <v>41634</v>
      </c>
      <c r="B25240" s="3" t="s">
        <v>20619</v>
      </c>
      <c r="C25240" s="5" t="s">
        <v>614</v>
      </c>
      <c r="D25240" s="3" t="s">
        <v>206</v>
      </c>
      <c r="E25240" s="3" t="s">
        <v>100</v>
      </c>
      <c r="F25240" s="7">
        <v>46231.42062356561</v>
      </c>
      <c r="G25240" s="3" t="s">
        <v>17940</v>
      </c>
    </row>
    <row r="25241">
      <c r="A25241" s="3" t="s">
        <v>41635</v>
      </c>
      <c r="B25241" s="3" t="s">
        <v>20619</v>
      </c>
      <c r="C25241" s="5" t="s">
        <v>206</v>
      </c>
      <c r="D25241" s="3" t="s">
        <v>68</v>
      </c>
      <c r="E25241" s="3" t="s">
        <v>100</v>
      </c>
      <c r="F25241" s="7">
        <v>46231.42409578783</v>
      </c>
      <c r="G25241" s="3" t="s">
        <v>17943</v>
      </c>
    </row>
    <row r="25242">
      <c r="A25242" s="3" t="s">
        <v>41636</v>
      </c>
      <c r="B25242" s="3" t="s">
        <v>20621</v>
      </c>
      <c r="C25242" s="5" t="s">
        <v>45</v>
      </c>
      <c r="D25242" s="3" t="s">
        <v>221</v>
      </c>
      <c r="E25242" s="3" t="s">
        <v>493</v>
      </c>
      <c r="F25242" s="7">
        <v>46231.48485396658</v>
      </c>
      <c r="G25242" s="3" t="s">
        <v>20658</v>
      </c>
    </row>
    <row r="25243">
      <c r="A25243" s="3" t="s">
        <v>41637</v>
      </c>
      <c r="B25243" s="3" t="s">
        <v>20621</v>
      </c>
      <c r="C25243" s="5" t="s">
        <v>221</v>
      </c>
      <c r="D25243" s="3" t="s">
        <v>614</v>
      </c>
      <c r="E25243" s="3" t="s">
        <v>118</v>
      </c>
      <c r="F25243" s="7">
        <v>46231.4883261888</v>
      </c>
      <c r="G25243" s="3" t="s">
        <v>20661</v>
      </c>
    </row>
    <row r="25244">
      <c r="A25244" s="3" t="s">
        <v>41638</v>
      </c>
      <c r="B25244" s="3" t="s">
        <v>20621</v>
      </c>
      <c r="C25244" s="5" t="s">
        <v>614</v>
      </c>
      <c r="D25244" s="3" t="s">
        <v>206</v>
      </c>
      <c r="E25244" s="3" t="s">
        <v>100</v>
      </c>
      <c r="F25244" s="7">
        <v>46231.49179841103</v>
      </c>
      <c r="G25244" s="3" t="s">
        <v>20664</v>
      </c>
    </row>
    <row r="25245">
      <c r="A25245" s="3" t="s">
        <v>41639</v>
      </c>
      <c r="B25245" s="3" t="s">
        <v>20621</v>
      </c>
      <c r="C25245" s="5" t="s">
        <v>206</v>
      </c>
      <c r="D25245" s="3" t="s">
        <v>68</v>
      </c>
      <c r="E25245" s="3" t="s">
        <v>100</v>
      </c>
      <c r="F25245" s="7">
        <v>46231.49527063325</v>
      </c>
      <c r="G25245" s="3" t="s">
        <v>20667</v>
      </c>
    </row>
    <row r="25246">
      <c r="A25246" s="3" t="s">
        <v>41640</v>
      </c>
      <c r="B25246" s="3" t="s">
        <v>20624</v>
      </c>
      <c r="C25246" s="5" t="s">
        <v>45</v>
      </c>
      <c r="D25246" s="3" t="s">
        <v>221</v>
      </c>
      <c r="E25246" s="3" t="s">
        <v>770</v>
      </c>
      <c r="F25246" s="7">
        <v>46231.556028811996</v>
      </c>
      <c r="G25246" s="3" t="s">
        <v>21897</v>
      </c>
    </row>
    <row r="25247">
      <c r="A25247" s="3" t="s">
        <v>41641</v>
      </c>
      <c r="B25247" s="3" t="s">
        <v>20624</v>
      </c>
      <c r="C25247" s="5" t="s">
        <v>221</v>
      </c>
      <c r="D25247" s="3" t="s">
        <v>614</v>
      </c>
      <c r="E25247" s="3" t="s">
        <v>118</v>
      </c>
      <c r="F25247" s="7">
        <v>46231.559501034215</v>
      </c>
      <c r="G25247" s="3" t="s">
        <v>21900</v>
      </c>
    </row>
    <row r="25248">
      <c r="A25248" s="3" t="s">
        <v>41642</v>
      </c>
      <c r="B25248" s="3" t="s">
        <v>20624</v>
      </c>
      <c r="C25248" s="5" t="s">
        <v>614</v>
      </c>
      <c r="D25248" s="3" t="s">
        <v>206</v>
      </c>
      <c r="E25248" s="3" t="s">
        <v>100</v>
      </c>
      <c r="F25248" s="7">
        <v>46231.56297325644</v>
      </c>
      <c r="G25248" s="3" t="s">
        <v>21903</v>
      </c>
    </row>
    <row r="25249">
      <c r="A25249" s="3" t="s">
        <v>41643</v>
      </c>
      <c r="B25249" s="3" t="s">
        <v>20624</v>
      </c>
      <c r="C25249" s="5" t="s">
        <v>206</v>
      </c>
      <c r="D25249" s="3" t="s">
        <v>68</v>
      </c>
      <c r="E25249" s="3" t="s">
        <v>100</v>
      </c>
      <c r="F25249" s="7">
        <v>46231.56644547866</v>
      </c>
      <c r="G25249" s="3" t="s">
        <v>21906</v>
      </c>
    </row>
    <row r="25250">
      <c r="A25250" s="3" t="s">
        <v>41644</v>
      </c>
      <c r="B25250" s="3" t="s">
        <v>20628</v>
      </c>
      <c r="C25250" s="5" t="s">
        <v>45</v>
      </c>
      <c r="D25250" s="3" t="s">
        <v>221</v>
      </c>
      <c r="E25250" s="3" t="s">
        <v>510</v>
      </c>
      <c r="F25250" s="7">
        <v>46231.627203657416</v>
      </c>
      <c r="G25250" s="3" t="s">
        <v>25413</v>
      </c>
    </row>
    <row r="25251">
      <c r="A25251" s="3" t="s">
        <v>41645</v>
      </c>
      <c r="B25251" s="3" t="s">
        <v>20628</v>
      </c>
      <c r="C25251" s="5" t="s">
        <v>221</v>
      </c>
      <c r="D25251" s="3" t="s">
        <v>614</v>
      </c>
      <c r="E25251" s="3" t="s">
        <v>118</v>
      </c>
      <c r="F25251" s="7">
        <v>46231.630675879635</v>
      </c>
      <c r="G25251" s="3" t="s">
        <v>25415</v>
      </c>
    </row>
    <row r="25252">
      <c r="A25252" s="3" t="s">
        <v>41646</v>
      </c>
      <c r="B25252" s="3" t="s">
        <v>20628</v>
      </c>
      <c r="C25252" s="5" t="s">
        <v>614</v>
      </c>
      <c r="D25252" s="3" t="s">
        <v>206</v>
      </c>
      <c r="E25252" s="3" t="s">
        <v>100</v>
      </c>
      <c r="F25252" s="7">
        <v>46231.63414810186</v>
      </c>
      <c r="G25252" s="3" t="s">
        <v>25417</v>
      </c>
    </row>
    <row r="25253">
      <c r="A25253" s="3" t="s">
        <v>41647</v>
      </c>
      <c r="B25253" s="3" t="s">
        <v>20628</v>
      </c>
      <c r="C25253" s="5" t="s">
        <v>206</v>
      </c>
      <c r="D25253" s="3" t="s">
        <v>68</v>
      </c>
      <c r="E25253" s="3" t="s">
        <v>100</v>
      </c>
      <c r="F25253" s="7">
        <v>46231.63762032408</v>
      </c>
      <c r="G25253" s="3" t="s">
        <v>25419</v>
      </c>
    </row>
    <row r="25254">
      <c r="A25254" s="3" t="s">
        <v>41648</v>
      </c>
      <c r="B25254" s="3" t="s">
        <v>20631</v>
      </c>
      <c r="C25254" s="5" t="s">
        <v>45</v>
      </c>
      <c r="D25254" s="3" t="s">
        <v>221</v>
      </c>
      <c r="E25254" s="3" t="s">
        <v>453</v>
      </c>
      <c r="F25254" s="7">
        <v>46231.69837850282</v>
      </c>
      <c r="G25254" s="3" t="s">
        <v>18118</v>
      </c>
    </row>
    <row r="25255">
      <c r="A25255" s="3" t="s">
        <v>41649</v>
      </c>
      <c r="B25255" s="3" t="s">
        <v>20631</v>
      </c>
      <c r="C25255" s="5" t="s">
        <v>221</v>
      </c>
      <c r="D25255" s="3" t="s">
        <v>614</v>
      </c>
      <c r="E25255" s="3" t="s">
        <v>118</v>
      </c>
      <c r="F25255" s="7">
        <v>46231.70185072504</v>
      </c>
      <c r="G25255" s="3" t="s">
        <v>18121</v>
      </c>
    </row>
    <row r="25256">
      <c r="A25256" s="3" t="s">
        <v>41650</v>
      </c>
      <c r="B25256" s="3" t="s">
        <v>20631</v>
      </c>
      <c r="C25256" s="5" t="s">
        <v>614</v>
      </c>
      <c r="D25256" s="3" t="s">
        <v>206</v>
      </c>
      <c r="E25256" s="3" t="s">
        <v>100</v>
      </c>
      <c r="F25256" s="7">
        <v>46231.705322947266</v>
      </c>
      <c r="G25256" s="3" t="s">
        <v>18123</v>
      </c>
    </row>
    <row r="25257">
      <c r="A25257" s="3" t="s">
        <v>41651</v>
      </c>
      <c r="B25257" s="3" t="s">
        <v>20631</v>
      </c>
      <c r="C25257" s="5" t="s">
        <v>206</v>
      </c>
      <c r="D25257" s="3" t="s">
        <v>68</v>
      </c>
      <c r="E25257" s="3" t="s">
        <v>100</v>
      </c>
      <c r="F25257" s="7">
        <v>46231.708795169485</v>
      </c>
      <c r="G25257" s="3" t="s">
        <v>18126</v>
      </c>
    </row>
    <row r="25258">
      <c r="A25258" s="3" t="s">
        <v>41652</v>
      </c>
      <c r="B25258" s="3" t="s">
        <v>20635</v>
      </c>
      <c r="C25258" s="5" t="s">
        <v>45</v>
      </c>
      <c r="D25258" s="3" t="s">
        <v>221</v>
      </c>
      <c r="E25258" s="3" t="s">
        <v>770</v>
      </c>
      <c r="F25258" s="7">
        <v>46231.76955334824</v>
      </c>
      <c r="G25258" s="3" t="s">
        <v>9883</v>
      </c>
    </row>
    <row r="25259">
      <c r="A25259" s="3" t="s">
        <v>41653</v>
      </c>
      <c r="B25259" s="3" t="s">
        <v>20635</v>
      </c>
      <c r="C25259" s="5" t="s">
        <v>221</v>
      </c>
      <c r="D25259" s="3" t="s">
        <v>614</v>
      </c>
      <c r="E25259" s="3" t="s">
        <v>118</v>
      </c>
      <c r="F25259" s="7">
        <v>46231.77302557046</v>
      </c>
      <c r="G25259" s="3" t="s">
        <v>9886</v>
      </c>
    </row>
    <row r="25260">
      <c r="A25260" s="3" t="s">
        <v>41654</v>
      </c>
      <c r="B25260" s="3" t="s">
        <v>20635</v>
      </c>
      <c r="C25260" s="5" t="s">
        <v>614</v>
      </c>
      <c r="D25260" s="3" t="s">
        <v>206</v>
      </c>
      <c r="E25260" s="3" t="s">
        <v>100</v>
      </c>
      <c r="F25260" s="7">
        <v>46231.776497792685</v>
      </c>
      <c r="G25260" s="3" t="s">
        <v>9890</v>
      </c>
    </row>
    <row r="25261">
      <c r="A25261" s="3" t="s">
        <v>41655</v>
      </c>
      <c r="B25261" s="3" t="s">
        <v>20635</v>
      </c>
      <c r="C25261" s="5" t="s">
        <v>206</v>
      </c>
      <c r="D25261" s="3" t="s">
        <v>68</v>
      </c>
      <c r="E25261" s="3" t="s">
        <v>100</v>
      </c>
      <c r="F25261" s="7">
        <v>46231.779970014904</v>
      </c>
      <c r="G25261" s="3" t="s">
        <v>9893</v>
      </c>
    </row>
    <row r="25262">
      <c r="A25262" s="3" t="s">
        <v>41656</v>
      </c>
      <c r="B25262" s="3" t="s">
        <v>20637</v>
      </c>
      <c r="C25262" s="5" t="s">
        <v>45</v>
      </c>
      <c r="D25262" s="3" t="s">
        <v>221</v>
      </c>
      <c r="E25262" s="3" t="s">
        <v>672</v>
      </c>
      <c r="F25262" s="7">
        <v>46231.84072819366</v>
      </c>
      <c r="G25262" s="3" t="s">
        <v>10738</v>
      </c>
    </row>
    <row r="25263">
      <c r="A25263" s="3" t="s">
        <v>41657</v>
      </c>
      <c r="B25263" s="3" t="s">
        <v>20637</v>
      </c>
      <c r="C25263" s="5" t="s">
        <v>221</v>
      </c>
      <c r="D25263" s="3" t="s">
        <v>614</v>
      </c>
      <c r="E25263" s="3" t="s">
        <v>118</v>
      </c>
      <c r="F25263" s="7">
        <v>46231.84420041588</v>
      </c>
      <c r="G25263" s="3" t="s">
        <v>26557</v>
      </c>
    </row>
    <row r="25264">
      <c r="A25264" s="3" t="s">
        <v>41658</v>
      </c>
      <c r="B25264" s="3" t="s">
        <v>20637</v>
      </c>
      <c r="C25264" s="5" t="s">
        <v>614</v>
      </c>
      <c r="D25264" s="3" t="s">
        <v>206</v>
      </c>
      <c r="E25264" s="3" t="s">
        <v>100</v>
      </c>
      <c r="F25264" s="7">
        <v>46231.847672638105</v>
      </c>
      <c r="G25264" s="3" t="s">
        <v>26559</v>
      </c>
    </row>
    <row r="25265">
      <c r="A25265" s="3" t="s">
        <v>41659</v>
      </c>
      <c r="B25265" s="3" t="s">
        <v>20637</v>
      </c>
      <c r="C25265" s="5" t="s">
        <v>206</v>
      </c>
      <c r="D25265" s="3" t="s">
        <v>68</v>
      </c>
      <c r="E25265" s="3" t="s">
        <v>100</v>
      </c>
      <c r="F25265" s="7">
        <v>46231.851144860324</v>
      </c>
      <c r="G25265" s="3" t="s">
        <v>26561</v>
      </c>
    </row>
    <row r="25266">
      <c r="A25266" s="3" t="s">
        <v>41660</v>
      </c>
      <c r="B25266" s="3" t="s">
        <v>20639</v>
      </c>
      <c r="C25266" s="5" t="s">
        <v>45</v>
      </c>
      <c r="D25266" s="3" t="s">
        <v>221</v>
      </c>
      <c r="E25266" s="3" t="s">
        <v>535</v>
      </c>
      <c r="F25266" s="7">
        <v>46231.91190303907</v>
      </c>
      <c r="G25266" s="3" t="s">
        <v>37544</v>
      </c>
    </row>
    <row r="25267">
      <c r="A25267" s="3" t="s">
        <v>41661</v>
      </c>
      <c r="B25267" s="3" t="s">
        <v>20639</v>
      </c>
      <c r="C25267" s="5" t="s">
        <v>221</v>
      </c>
      <c r="D25267" s="3" t="s">
        <v>614</v>
      </c>
      <c r="E25267" s="3" t="s">
        <v>118</v>
      </c>
      <c r="F25267" s="7">
        <v>46231.91537526129</v>
      </c>
      <c r="G25267" s="3" t="s">
        <v>37546</v>
      </c>
    </row>
    <row r="25268">
      <c r="A25268" s="3" t="s">
        <v>41662</v>
      </c>
      <c r="B25268" s="3" t="s">
        <v>20639</v>
      </c>
      <c r="C25268" s="5" t="s">
        <v>614</v>
      </c>
      <c r="D25268" s="3" t="s">
        <v>206</v>
      </c>
      <c r="E25268" s="3" t="s">
        <v>100</v>
      </c>
      <c r="F25268" s="7">
        <v>46231.91884748352</v>
      </c>
      <c r="G25268" s="3" t="s">
        <v>37548</v>
      </c>
    </row>
    <row r="25269">
      <c r="A25269" s="3" t="s">
        <v>41663</v>
      </c>
      <c r="B25269" s="3" t="s">
        <v>20639</v>
      </c>
      <c r="C25269" s="5" t="s">
        <v>206</v>
      </c>
      <c r="D25269" s="3" t="s">
        <v>68</v>
      </c>
      <c r="E25269" s="3" t="s">
        <v>100</v>
      </c>
      <c r="F25269" s="7">
        <v>46231.922319705736</v>
      </c>
      <c r="G25269" s="3" t="s">
        <v>37550</v>
      </c>
    </row>
    <row r="25270">
      <c r="A25270" s="3" t="s">
        <v>41664</v>
      </c>
      <c r="B25270" s="3" t="s">
        <v>20641</v>
      </c>
      <c r="C25270" s="5" t="s">
        <v>45</v>
      </c>
      <c r="D25270" s="3" t="s">
        <v>221</v>
      </c>
      <c r="E25270" s="3" t="s">
        <v>662</v>
      </c>
      <c r="F25270" s="7">
        <v>46231.983077884484</v>
      </c>
      <c r="G25270" s="3" t="s">
        <v>10467</v>
      </c>
    </row>
    <row r="25271">
      <c r="A25271" s="3" t="s">
        <v>41665</v>
      </c>
      <c r="B25271" s="3" t="s">
        <v>20641</v>
      </c>
      <c r="C25271" s="5" t="s">
        <v>221</v>
      </c>
      <c r="D25271" s="3" t="s">
        <v>614</v>
      </c>
      <c r="E25271" s="3" t="s">
        <v>118</v>
      </c>
      <c r="F25271" s="7">
        <v>46231.9865501067</v>
      </c>
      <c r="G25271" s="3" t="s">
        <v>10470</v>
      </c>
    </row>
    <row r="25272">
      <c r="A25272" s="3" t="s">
        <v>41666</v>
      </c>
      <c r="B25272" s="3" t="s">
        <v>20641</v>
      </c>
      <c r="C25272" s="5" t="s">
        <v>614</v>
      </c>
      <c r="D25272" s="3" t="s">
        <v>206</v>
      </c>
      <c r="E25272" s="3" t="s">
        <v>100</v>
      </c>
      <c r="F25272" s="7">
        <v>46231.99002232893</v>
      </c>
      <c r="G25272" s="3" t="s">
        <v>10473</v>
      </c>
    </row>
    <row r="25273">
      <c r="A25273" s="3" t="s">
        <v>41667</v>
      </c>
      <c r="B25273" s="3" t="s">
        <v>20641</v>
      </c>
      <c r="C25273" s="5" t="s">
        <v>206</v>
      </c>
      <c r="D25273" s="3" t="s">
        <v>68</v>
      </c>
      <c r="E25273" s="3" t="s">
        <v>100</v>
      </c>
      <c r="F25273" s="7">
        <v>46231.99349455115</v>
      </c>
      <c r="G25273" s="3" t="s">
        <v>10475</v>
      </c>
    </row>
    <row r="25274">
      <c r="A25274" s="3" t="s">
        <v>41668</v>
      </c>
      <c r="B25274" s="3" t="s">
        <v>20643</v>
      </c>
      <c r="C25274" s="5" t="s">
        <v>45</v>
      </c>
      <c r="D25274" s="3" t="s">
        <v>221</v>
      </c>
      <c r="E25274" s="3" t="s">
        <v>449</v>
      </c>
      <c r="F25274" s="7">
        <v>46232.054252729904</v>
      </c>
      <c r="G25274" s="3" t="s">
        <v>9915</v>
      </c>
    </row>
    <row r="25275">
      <c r="A25275" s="3" t="s">
        <v>41669</v>
      </c>
      <c r="B25275" s="3" t="s">
        <v>20643</v>
      </c>
      <c r="C25275" s="5" t="s">
        <v>221</v>
      </c>
      <c r="D25275" s="3" t="s">
        <v>614</v>
      </c>
      <c r="E25275" s="3" t="s">
        <v>118</v>
      </c>
      <c r="F25275" s="7">
        <v>46232.05772495212</v>
      </c>
      <c r="G25275" s="3" t="s">
        <v>9919</v>
      </c>
    </row>
    <row r="25276">
      <c r="A25276" s="3" t="s">
        <v>41670</v>
      </c>
      <c r="B25276" s="3" t="s">
        <v>20643</v>
      </c>
      <c r="C25276" s="5" t="s">
        <v>614</v>
      </c>
      <c r="D25276" s="3" t="s">
        <v>206</v>
      </c>
      <c r="E25276" s="3" t="s">
        <v>100</v>
      </c>
      <c r="F25276" s="7">
        <v>46232.06119717435</v>
      </c>
      <c r="G25276" s="3" t="s">
        <v>9922</v>
      </c>
    </row>
    <row r="25277">
      <c r="A25277" s="3" t="s">
        <v>41671</v>
      </c>
      <c r="B25277" s="3" t="s">
        <v>20643</v>
      </c>
      <c r="C25277" s="5" t="s">
        <v>206</v>
      </c>
      <c r="D25277" s="3" t="s">
        <v>68</v>
      </c>
      <c r="E25277" s="3" t="s">
        <v>100</v>
      </c>
      <c r="F25277" s="7">
        <v>46232.06466939657</v>
      </c>
      <c r="G25277" s="3" t="s">
        <v>9925</v>
      </c>
    </row>
    <row r="25278">
      <c r="A25278" s="3" t="s">
        <v>41672</v>
      </c>
      <c r="B25278" s="3" t="s">
        <v>20646</v>
      </c>
      <c r="C25278" s="5" t="s">
        <v>45</v>
      </c>
      <c r="D25278" s="3" t="s">
        <v>221</v>
      </c>
      <c r="E25278" s="3" t="s">
        <v>605</v>
      </c>
      <c r="F25278" s="7">
        <v>46232.125427575316</v>
      </c>
      <c r="G25278" s="3" t="s">
        <v>23169</v>
      </c>
    </row>
    <row r="25279">
      <c r="A25279" s="3" t="s">
        <v>41673</v>
      </c>
      <c r="B25279" s="3" t="s">
        <v>20646</v>
      </c>
      <c r="C25279" s="5" t="s">
        <v>221</v>
      </c>
      <c r="D25279" s="3" t="s">
        <v>181</v>
      </c>
      <c r="E25279" s="3" t="s">
        <v>118</v>
      </c>
      <c r="F25279" s="7">
        <v>46232.128899797535</v>
      </c>
      <c r="G25279" s="3" t="s">
        <v>25244</v>
      </c>
    </row>
    <row r="25280">
      <c r="A25280" s="3" t="s">
        <v>41674</v>
      </c>
      <c r="B25280" s="3" t="s">
        <v>20648</v>
      </c>
      <c r="C25280" s="5" t="s">
        <v>45</v>
      </c>
      <c r="D25280" s="3" t="s">
        <v>221</v>
      </c>
      <c r="E25280" s="3" t="s">
        <v>530</v>
      </c>
      <c r="F25280" s="7">
        <v>46232.19660242073</v>
      </c>
      <c r="G25280" s="3" t="s">
        <v>9929</v>
      </c>
    </row>
    <row r="25281">
      <c r="A25281" s="3" t="s">
        <v>41675</v>
      </c>
      <c r="B25281" s="3" t="s">
        <v>20648</v>
      </c>
      <c r="C25281" s="5" t="s">
        <v>221</v>
      </c>
      <c r="D25281" s="3" t="s">
        <v>614</v>
      </c>
      <c r="E25281" s="3" t="s">
        <v>118</v>
      </c>
      <c r="F25281" s="7">
        <v>46232.20007464295</v>
      </c>
      <c r="G25281" s="3" t="s">
        <v>9932</v>
      </c>
    </row>
    <row r="25282">
      <c r="A25282" s="3" t="s">
        <v>41676</v>
      </c>
      <c r="B25282" s="3" t="s">
        <v>20648</v>
      </c>
      <c r="C25282" s="5" t="s">
        <v>614</v>
      </c>
      <c r="D25282" s="3" t="s">
        <v>206</v>
      </c>
      <c r="E25282" s="3" t="s">
        <v>100</v>
      </c>
      <c r="F25282" s="7">
        <v>46232.203546865174</v>
      </c>
      <c r="G25282" s="3" t="s">
        <v>9935</v>
      </c>
    </row>
    <row r="25283">
      <c r="A25283" s="3" t="s">
        <v>41677</v>
      </c>
      <c r="B25283" s="3" t="s">
        <v>20648</v>
      </c>
      <c r="C25283" s="5" t="s">
        <v>206</v>
      </c>
      <c r="D25283" s="3" t="s">
        <v>68</v>
      </c>
      <c r="E25283" s="3" t="s">
        <v>100</v>
      </c>
      <c r="F25283" s="7">
        <v>46232.20701908739</v>
      </c>
      <c r="G25283" s="3" t="s">
        <v>9939</v>
      </c>
    </row>
    <row r="25284">
      <c r="A25284" s="3" t="s">
        <v>41678</v>
      </c>
      <c r="B25284" s="3" t="s">
        <v>20650</v>
      </c>
      <c r="C25284" s="5" t="s">
        <v>45</v>
      </c>
      <c r="D25284" s="3" t="s">
        <v>221</v>
      </c>
      <c r="E25284" s="3" t="s">
        <v>326</v>
      </c>
      <c r="F25284" s="7">
        <v>46232.26777726615</v>
      </c>
      <c r="G25284" s="3" t="s">
        <v>9157</v>
      </c>
    </row>
    <row r="25285">
      <c r="A25285" s="3" t="s">
        <v>41679</v>
      </c>
      <c r="B25285" s="3" t="s">
        <v>20650</v>
      </c>
      <c r="C25285" s="5" t="s">
        <v>221</v>
      </c>
      <c r="D25285" s="3" t="s">
        <v>614</v>
      </c>
      <c r="E25285" s="3" t="s">
        <v>118</v>
      </c>
      <c r="F25285" s="7">
        <v>46232.27124948837</v>
      </c>
      <c r="G25285" s="3" t="s">
        <v>9160</v>
      </c>
    </row>
    <row r="25286">
      <c r="A25286" s="3" t="s">
        <v>41680</v>
      </c>
      <c r="B25286" s="3" t="s">
        <v>20650</v>
      </c>
      <c r="C25286" s="5" t="s">
        <v>614</v>
      </c>
      <c r="D25286" s="3" t="s">
        <v>206</v>
      </c>
      <c r="E25286" s="3" t="s">
        <v>100</v>
      </c>
      <c r="F25286" s="7">
        <v>46232.27472171059</v>
      </c>
      <c r="G25286" s="3" t="s">
        <v>9163</v>
      </c>
    </row>
    <row r="25287">
      <c r="A25287" s="3" t="s">
        <v>41681</v>
      </c>
      <c r="B25287" s="3" t="s">
        <v>20650</v>
      </c>
      <c r="C25287" s="5" t="s">
        <v>206</v>
      </c>
      <c r="D25287" s="3" t="s">
        <v>68</v>
      </c>
      <c r="E25287" s="3" t="s">
        <v>100</v>
      </c>
      <c r="F25287" s="7">
        <v>46232.27819393281</v>
      </c>
      <c r="G25287" s="3" t="s">
        <v>9166</v>
      </c>
    </row>
    <row r="25288">
      <c r="A25288" s="3" t="s">
        <v>41682</v>
      </c>
      <c r="B25288" s="3" t="s">
        <v>20652</v>
      </c>
      <c r="C25288" s="5" t="s">
        <v>45</v>
      </c>
      <c r="D25288" s="3" t="s">
        <v>221</v>
      </c>
      <c r="E25288" s="3" t="s">
        <v>179</v>
      </c>
      <c r="F25288" s="7">
        <v>46232.33895211157</v>
      </c>
      <c r="G25288" s="3" t="s">
        <v>14445</v>
      </c>
    </row>
    <row r="25289">
      <c r="A25289" s="3" t="s">
        <v>41683</v>
      </c>
      <c r="B25289" s="3" t="s">
        <v>20652</v>
      </c>
      <c r="C25289" s="5" t="s">
        <v>221</v>
      </c>
      <c r="D25289" s="3" t="s">
        <v>614</v>
      </c>
      <c r="E25289" s="3" t="s">
        <v>118</v>
      </c>
      <c r="F25289" s="7">
        <v>46232.34242433379</v>
      </c>
      <c r="G25289" s="3" t="s">
        <v>14447</v>
      </c>
    </row>
    <row r="25290">
      <c r="A25290" s="3" t="s">
        <v>41684</v>
      </c>
      <c r="B25290" s="3" t="s">
        <v>20652</v>
      </c>
      <c r="C25290" s="5" t="s">
        <v>614</v>
      </c>
      <c r="D25290" s="3" t="s">
        <v>206</v>
      </c>
      <c r="E25290" s="3" t="s">
        <v>100</v>
      </c>
      <c r="F25290" s="7">
        <v>46232.34589655601</v>
      </c>
      <c r="G25290" s="3" t="s">
        <v>14450</v>
      </c>
    </row>
    <row r="25291">
      <c r="A25291" s="3" t="s">
        <v>41685</v>
      </c>
      <c r="B25291" s="3" t="s">
        <v>20652</v>
      </c>
      <c r="C25291" s="5" t="s">
        <v>206</v>
      </c>
      <c r="D25291" s="3" t="s">
        <v>68</v>
      </c>
      <c r="E25291" s="3" t="s">
        <v>100</v>
      </c>
      <c r="F25291" s="7">
        <v>46232.34936877823</v>
      </c>
      <c r="G25291" s="3" t="s">
        <v>14453</v>
      </c>
    </row>
    <row r="25292">
      <c r="A25292" s="3" t="s">
        <v>41686</v>
      </c>
      <c r="B25292" s="3" t="s">
        <v>20654</v>
      </c>
      <c r="C25292" s="5" t="s">
        <v>45</v>
      </c>
      <c r="D25292" s="3" t="s">
        <v>221</v>
      </c>
      <c r="E25292" s="3" t="s">
        <v>546</v>
      </c>
      <c r="F25292" s="7">
        <v>46232.41012695697</v>
      </c>
      <c r="G25292" s="3" t="s">
        <v>9970</v>
      </c>
    </row>
    <row r="25293">
      <c r="A25293" s="3" t="s">
        <v>41687</v>
      </c>
      <c r="B25293" s="3" t="s">
        <v>20654</v>
      </c>
      <c r="C25293" s="5" t="s">
        <v>221</v>
      </c>
      <c r="D25293" s="3" t="s">
        <v>614</v>
      </c>
      <c r="E25293" s="3" t="s">
        <v>118</v>
      </c>
      <c r="F25293" s="7">
        <v>46232.41359917919</v>
      </c>
      <c r="G25293" s="3" t="s">
        <v>9973</v>
      </c>
    </row>
    <row r="25294">
      <c r="A25294" s="3" t="s">
        <v>41688</v>
      </c>
      <c r="B25294" s="3" t="s">
        <v>20654</v>
      </c>
      <c r="C25294" s="5" t="s">
        <v>614</v>
      </c>
      <c r="D25294" s="3" t="s">
        <v>206</v>
      </c>
      <c r="E25294" s="3" t="s">
        <v>100</v>
      </c>
      <c r="F25294" s="7">
        <v>46232.41707140142</v>
      </c>
      <c r="G25294" s="3" t="s">
        <v>9976</v>
      </c>
    </row>
    <row r="25295">
      <c r="A25295" s="3" t="s">
        <v>41689</v>
      </c>
      <c r="B25295" s="3" t="s">
        <v>20654</v>
      </c>
      <c r="C25295" s="5" t="s">
        <v>206</v>
      </c>
      <c r="D25295" s="3" t="s">
        <v>68</v>
      </c>
      <c r="E25295" s="3" t="s">
        <v>100</v>
      </c>
      <c r="F25295" s="7">
        <v>46232.42054362364</v>
      </c>
      <c r="G25295" s="3" t="s">
        <v>9980</v>
      </c>
    </row>
    <row r="25296">
      <c r="A25296" s="3" t="s">
        <v>41690</v>
      </c>
      <c r="B25296" s="3" t="s">
        <v>20656</v>
      </c>
      <c r="C25296" s="5" t="s">
        <v>45</v>
      </c>
      <c r="D25296" s="3" t="s">
        <v>221</v>
      </c>
      <c r="E25296" s="3" t="s">
        <v>767</v>
      </c>
      <c r="F25296" s="7">
        <v>46232.48130180239</v>
      </c>
      <c r="G25296" s="3" t="s">
        <v>9983</v>
      </c>
    </row>
    <row r="25297">
      <c r="A25297" s="3" t="s">
        <v>41691</v>
      </c>
      <c r="B25297" s="3" t="s">
        <v>20656</v>
      </c>
      <c r="C25297" s="5" t="s">
        <v>221</v>
      </c>
      <c r="D25297" s="3" t="s">
        <v>614</v>
      </c>
      <c r="E25297" s="3" t="s">
        <v>118</v>
      </c>
      <c r="F25297" s="7">
        <v>46232.48477402461</v>
      </c>
      <c r="G25297" s="3" t="s">
        <v>9986</v>
      </c>
    </row>
    <row r="25298">
      <c r="A25298" s="3" t="s">
        <v>41692</v>
      </c>
      <c r="B25298" s="3" t="s">
        <v>20656</v>
      </c>
      <c r="C25298" s="5" t="s">
        <v>614</v>
      </c>
      <c r="D25298" s="3" t="s">
        <v>206</v>
      </c>
      <c r="E25298" s="3" t="s">
        <v>100</v>
      </c>
      <c r="F25298" s="7">
        <v>46232.48824624684</v>
      </c>
      <c r="G25298" s="3" t="s">
        <v>9990</v>
      </c>
    </row>
    <row r="25299">
      <c r="A25299" s="3" t="s">
        <v>41693</v>
      </c>
      <c r="B25299" s="3" t="s">
        <v>20656</v>
      </c>
      <c r="C25299" s="5" t="s">
        <v>206</v>
      </c>
      <c r="D25299" s="3" t="s">
        <v>68</v>
      </c>
      <c r="E25299" s="3" t="s">
        <v>100</v>
      </c>
      <c r="F25299" s="7">
        <v>46232.49171846906</v>
      </c>
      <c r="G25299" s="3" t="s">
        <v>9993</v>
      </c>
    </row>
    <row r="25300">
      <c r="A25300" s="3" t="s">
        <v>41694</v>
      </c>
      <c r="B25300" s="3" t="s">
        <v>20659</v>
      </c>
      <c r="C25300" s="5" t="s">
        <v>45</v>
      </c>
      <c r="D25300" s="3" t="s">
        <v>221</v>
      </c>
      <c r="E25300" s="3" t="s">
        <v>398</v>
      </c>
      <c r="F25300" s="7">
        <v>46232.55247664781</v>
      </c>
      <c r="G25300" s="3" t="s">
        <v>10054</v>
      </c>
    </row>
    <row r="25301">
      <c r="A25301" s="3" t="s">
        <v>41695</v>
      </c>
      <c r="B25301" s="3" t="s">
        <v>20659</v>
      </c>
      <c r="C25301" s="5" t="s">
        <v>221</v>
      </c>
      <c r="D25301" s="3" t="s">
        <v>614</v>
      </c>
      <c r="E25301" s="3" t="s">
        <v>118</v>
      </c>
      <c r="F25301" s="7">
        <v>46232.55594887003</v>
      </c>
      <c r="G25301" s="3" t="s">
        <v>10057</v>
      </c>
    </row>
    <row r="25302">
      <c r="A25302" s="3" t="s">
        <v>41696</v>
      </c>
      <c r="B25302" s="3" t="s">
        <v>20659</v>
      </c>
      <c r="C25302" s="5" t="s">
        <v>614</v>
      </c>
      <c r="D25302" s="3" t="s">
        <v>206</v>
      </c>
      <c r="E25302" s="3" t="s">
        <v>100</v>
      </c>
      <c r="F25302" s="7">
        <v>46232.55942109226</v>
      </c>
      <c r="G25302" s="3" t="s">
        <v>10060</v>
      </c>
    </row>
    <row r="25303">
      <c r="A25303" s="3" t="s">
        <v>41697</v>
      </c>
      <c r="B25303" s="3" t="s">
        <v>20659</v>
      </c>
      <c r="C25303" s="5" t="s">
        <v>206</v>
      </c>
      <c r="D25303" s="3" t="s">
        <v>68</v>
      </c>
      <c r="E25303" s="3" t="s">
        <v>100</v>
      </c>
      <c r="F25303" s="7">
        <v>46232.562893314476</v>
      </c>
      <c r="G25303" s="3" t="s">
        <v>10063</v>
      </c>
    </row>
    <row r="25304">
      <c r="A25304" s="3" t="s">
        <v>41698</v>
      </c>
      <c r="B25304" s="3" t="s">
        <v>20663</v>
      </c>
      <c r="C25304" s="5" t="s">
        <v>45</v>
      </c>
      <c r="D25304" s="3" t="s">
        <v>221</v>
      </c>
      <c r="E25304" s="3" t="s">
        <v>886</v>
      </c>
      <c r="F25304" s="7">
        <v>46232.623651493224</v>
      </c>
      <c r="G25304" s="3" t="s">
        <v>10078</v>
      </c>
    </row>
    <row r="25305">
      <c r="A25305" s="3" t="s">
        <v>41699</v>
      </c>
      <c r="B25305" s="3" t="s">
        <v>20663</v>
      </c>
      <c r="C25305" s="5" t="s">
        <v>221</v>
      </c>
      <c r="D25305" s="3" t="s">
        <v>614</v>
      </c>
      <c r="E25305" s="3" t="s">
        <v>118</v>
      </c>
      <c r="F25305" s="7">
        <v>46232.62712371544</v>
      </c>
      <c r="G25305" s="3" t="s">
        <v>10082</v>
      </c>
    </row>
    <row r="25306">
      <c r="A25306" s="3" t="s">
        <v>41700</v>
      </c>
      <c r="B25306" s="3" t="s">
        <v>20663</v>
      </c>
      <c r="C25306" s="5" t="s">
        <v>614</v>
      </c>
      <c r="D25306" s="3" t="s">
        <v>206</v>
      </c>
      <c r="E25306" s="3" t="s">
        <v>100</v>
      </c>
      <c r="F25306" s="7">
        <v>46232.63059593767</v>
      </c>
      <c r="G25306" s="3" t="s">
        <v>10085</v>
      </c>
    </row>
    <row r="25307">
      <c r="A25307" s="3" t="s">
        <v>41701</v>
      </c>
      <c r="B25307" s="3" t="s">
        <v>20663</v>
      </c>
      <c r="C25307" s="5" t="s">
        <v>206</v>
      </c>
      <c r="D25307" s="3" t="s">
        <v>68</v>
      </c>
      <c r="E25307" s="3" t="s">
        <v>100</v>
      </c>
      <c r="F25307" s="7">
        <v>46232.63406815989</v>
      </c>
      <c r="G25307" s="3" t="s">
        <v>10088</v>
      </c>
    </row>
    <row r="25308">
      <c r="A25308" s="3" t="s">
        <v>41702</v>
      </c>
      <c r="B25308" s="3" t="s">
        <v>20666</v>
      </c>
      <c r="C25308" s="5" t="s">
        <v>45</v>
      </c>
      <c r="D25308" s="3" t="s">
        <v>221</v>
      </c>
      <c r="E25308" s="3" t="s">
        <v>722</v>
      </c>
      <c r="F25308" s="7">
        <v>46232.69482633864</v>
      </c>
      <c r="G25308" s="3" t="s">
        <v>10179</v>
      </c>
    </row>
    <row r="25309">
      <c r="A25309" s="3" t="s">
        <v>41703</v>
      </c>
      <c r="B25309" s="3" t="s">
        <v>20666</v>
      </c>
      <c r="C25309" s="5" t="s">
        <v>221</v>
      </c>
      <c r="D25309" s="3" t="s">
        <v>614</v>
      </c>
      <c r="E25309" s="3" t="s">
        <v>118</v>
      </c>
      <c r="F25309" s="7">
        <v>46232.698298560856</v>
      </c>
      <c r="G25309" s="3" t="s">
        <v>10182</v>
      </c>
    </row>
    <row r="25310">
      <c r="A25310" s="3" t="s">
        <v>41704</v>
      </c>
      <c r="B25310" s="3" t="s">
        <v>20666</v>
      </c>
      <c r="C25310" s="5" t="s">
        <v>614</v>
      </c>
      <c r="D25310" s="3" t="s">
        <v>206</v>
      </c>
      <c r="E25310" s="3" t="s">
        <v>100</v>
      </c>
      <c r="F25310" s="7">
        <v>46232.70177078308</v>
      </c>
      <c r="G25310" s="3" t="s">
        <v>10185</v>
      </c>
    </row>
    <row r="25311">
      <c r="A25311" s="3" t="s">
        <v>41705</v>
      </c>
      <c r="B25311" s="3" t="s">
        <v>20666</v>
      </c>
      <c r="C25311" s="5" t="s">
        <v>206</v>
      </c>
      <c r="D25311" s="3" t="s">
        <v>68</v>
      </c>
      <c r="E25311" s="3" t="s">
        <v>100</v>
      </c>
      <c r="F25311" s="7">
        <v>46232.7052430053</v>
      </c>
      <c r="G25311" s="3" t="s">
        <v>10189</v>
      </c>
    </row>
    <row r="25312">
      <c r="A25312" s="3" t="s">
        <v>41706</v>
      </c>
      <c r="B25312" s="3" t="s">
        <v>20669</v>
      </c>
      <c r="C25312" s="5" t="s">
        <v>45</v>
      </c>
      <c r="D25312" s="3" t="s">
        <v>221</v>
      </c>
      <c r="E25312" s="3" t="s">
        <v>316</v>
      </c>
      <c r="F25312" s="7">
        <v>46232.766001184056</v>
      </c>
      <c r="G25312" s="3" t="s">
        <v>8698</v>
      </c>
    </row>
    <row r="25313">
      <c r="A25313" s="3" t="s">
        <v>41707</v>
      </c>
      <c r="B25313" s="3" t="s">
        <v>20669</v>
      </c>
      <c r="C25313" s="5" t="s">
        <v>221</v>
      </c>
      <c r="D25313" s="3" t="s">
        <v>181</v>
      </c>
      <c r="E25313" s="3" t="s">
        <v>118</v>
      </c>
      <c r="F25313" s="7">
        <v>46232.769473406275</v>
      </c>
      <c r="G25313" s="3" t="s">
        <v>41708</v>
      </c>
    </row>
    <row r="25314">
      <c r="A25314" s="3" t="s">
        <v>41709</v>
      </c>
      <c r="B25314" s="3" t="s">
        <v>20673</v>
      </c>
      <c r="C25314" s="5" t="s">
        <v>45</v>
      </c>
      <c r="D25314" s="3" t="s">
        <v>221</v>
      </c>
      <c r="E25314" s="3" t="s">
        <v>148</v>
      </c>
      <c r="F25314" s="7">
        <v>46232.83717602947</v>
      </c>
      <c r="G25314" s="3" t="s">
        <v>17958</v>
      </c>
    </row>
    <row r="25315">
      <c r="A25315" s="3" t="s">
        <v>41710</v>
      </c>
      <c r="B25315" s="3" t="s">
        <v>20673</v>
      </c>
      <c r="C25315" s="5" t="s">
        <v>221</v>
      </c>
      <c r="D25315" s="3" t="s">
        <v>614</v>
      </c>
      <c r="E25315" s="3" t="s">
        <v>118</v>
      </c>
      <c r="F25315" s="7">
        <v>46232.84064825169</v>
      </c>
      <c r="G25315" s="3" t="s">
        <v>17961</v>
      </c>
    </row>
    <row r="25316">
      <c r="A25316" s="3" t="s">
        <v>41711</v>
      </c>
      <c r="B25316" s="3" t="s">
        <v>20673</v>
      </c>
      <c r="C25316" s="5" t="s">
        <v>614</v>
      </c>
      <c r="D25316" s="3" t="s">
        <v>206</v>
      </c>
      <c r="E25316" s="3" t="s">
        <v>100</v>
      </c>
      <c r="F25316" s="7">
        <v>46232.844120473914</v>
      </c>
      <c r="G25316" s="3" t="s">
        <v>17964</v>
      </c>
    </row>
    <row r="25317">
      <c r="A25317" s="3" t="s">
        <v>41712</v>
      </c>
      <c r="B25317" s="3" t="s">
        <v>20673</v>
      </c>
      <c r="C25317" s="5" t="s">
        <v>206</v>
      </c>
      <c r="D25317" s="3" t="s">
        <v>68</v>
      </c>
      <c r="E25317" s="3" t="s">
        <v>100</v>
      </c>
      <c r="F25317" s="7">
        <v>46232.84759269613</v>
      </c>
      <c r="G25317" s="3" t="s">
        <v>17967</v>
      </c>
    </row>
    <row r="25318">
      <c r="A25318" s="3" t="s">
        <v>41713</v>
      </c>
      <c r="B25318" s="3" t="s">
        <v>20677</v>
      </c>
      <c r="C25318" s="5" t="s">
        <v>45</v>
      </c>
      <c r="D25318" s="3" t="s">
        <v>221</v>
      </c>
      <c r="E25318" s="3" t="s">
        <v>352</v>
      </c>
      <c r="F25318" s="7">
        <v>46232.90835087488</v>
      </c>
      <c r="G25318" s="3" t="s">
        <v>24285</v>
      </c>
    </row>
    <row r="25319">
      <c r="A25319" s="3" t="s">
        <v>41714</v>
      </c>
      <c r="B25319" s="3" t="s">
        <v>20677</v>
      </c>
      <c r="C25319" s="5" t="s">
        <v>221</v>
      </c>
      <c r="D25319" s="3" t="s">
        <v>614</v>
      </c>
      <c r="E25319" s="3" t="s">
        <v>118</v>
      </c>
      <c r="F25319" s="7">
        <v>46232.9118230971</v>
      </c>
      <c r="G25319" s="3" t="s">
        <v>32920</v>
      </c>
    </row>
    <row r="25320">
      <c r="A25320" s="3" t="s">
        <v>41715</v>
      </c>
      <c r="B25320" s="3" t="s">
        <v>20677</v>
      </c>
      <c r="C25320" s="5" t="s">
        <v>614</v>
      </c>
      <c r="D25320" s="3" t="s">
        <v>206</v>
      </c>
      <c r="E25320" s="3" t="s">
        <v>100</v>
      </c>
      <c r="F25320" s="7">
        <v>46232.915295319326</v>
      </c>
      <c r="G25320" s="3" t="s">
        <v>32922</v>
      </c>
    </row>
    <row r="25321">
      <c r="A25321" s="3" t="s">
        <v>41716</v>
      </c>
      <c r="B25321" s="3" t="s">
        <v>20677</v>
      </c>
      <c r="C25321" s="5" t="s">
        <v>206</v>
      </c>
      <c r="D25321" s="3" t="s">
        <v>68</v>
      </c>
      <c r="E25321" s="3" t="s">
        <v>100</v>
      </c>
      <c r="F25321" s="7">
        <v>46232.918767541545</v>
      </c>
      <c r="G25321" s="3" t="s">
        <v>32924</v>
      </c>
    </row>
    <row r="25322">
      <c r="A25322" s="3" t="s">
        <v>41717</v>
      </c>
      <c r="B25322" s="3" t="s">
        <v>20680</v>
      </c>
      <c r="C25322" s="5" t="s">
        <v>45</v>
      </c>
      <c r="D25322" s="3" t="s">
        <v>221</v>
      </c>
      <c r="E25322" s="3" t="s">
        <v>546</v>
      </c>
      <c r="F25322" s="7">
        <v>46232.9795257203</v>
      </c>
      <c r="G25322" s="3" t="s">
        <v>27707</v>
      </c>
    </row>
    <row r="25323">
      <c r="A25323" s="3" t="s">
        <v>41718</v>
      </c>
      <c r="B25323" s="3" t="s">
        <v>20680</v>
      </c>
      <c r="C25323" s="5" t="s">
        <v>221</v>
      </c>
      <c r="D25323" s="3" t="s">
        <v>614</v>
      </c>
      <c r="E25323" s="3" t="s">
        <v>118</v>
      </c>
      <c r="F25323" s="7">
        <v>46232.98299794252</v>
      </c>
      <c r="G25323" s="3" t="s">
        <v>27709</v>
      </c>
    </row>
    <row r="25324">
      <c r="A25324" s="3" t="s">
        <v>41719</v>
      </c>
      <c r="B25324" s="3" t="s">
        <v>20680</v>
      </c>
      <c r="C25324" s="5" t="s">
        <v>614</v>
      </c>
      <c r="D25324" s="3" t="s">
        <v>206</v>
      </c>
      <c r="E25324" s="3" t="s">
        <v>100</v>
      </c>
      <c r="F25324" s="7">
        <v>46232.986470164746</v>
      </c>
      <c r="G25324" s="3" t="s">
        <v>27711</v>
      </c>
    </row>
    <row r="25325">
      <c r="A25325" s="3" t="s">
        <v>41720</v>
      </c>
      <c r="B25325" s="3" t="s">
        <v>20680</v>
      </c>
      <c r="C25325" s="5" t="s">
        <v>206</v>
      </c>
      <c r="D25325" s="3" t="s">
        <v>68</v>
      </c>
      <c r="E25325" s="3" t="s">
        <v>100</v>
      </c>
      <c r="F25325" s="7">
        <v>46232.989942386965</v>
      </c>
      <c r="G25325" s="3" t="s">
        <v>27713</v>
      </c>
    </row>
    <row r="25326">
      <c r="A25326" s="3" t="s">
        <v>41721</v>
      </c>
      <c r="B25326" s="3" t="s">
        <v>20682</v>
      </c>
      <c r="C25326" s="5" t="s">
        <v>45</v>
      </c>
      <c r="D25326" s="3" t="s">
        <v>221</v>
      </c>
      <c r="E25326" s="3" t="s">
        <v>612</v>
      </c>
      <c r="F25326" s="7">
        <v>46233.05070056571</v>
      </c>
      <c r="G25326" s="3" t="s">
        <v>20187</v>
      </c>
    </row>
    <row r="25327">
      <c r="A25327" s="3" t="s">
        <v>41722</v>
      </c>
      <c r="B25327" s="3" t="s">
        <v>20682</v>
      </c>
      <c r="C25327" s="5" t="s">
        <v>221</v>
      </c>
      <c r="D25327" s="3" t="s">
        <v>614</v>
      </c>
      <c r="E25327" s="3" t="s">
        <v>118</v>
      </c>
      <c r="F25327" s="7">
        <v>46233.05417278793</v>
      </c>
      <c r="G25327" s="3" t="s">
        <v>20190</v>
      </c>
    </row>
    <row r="25328">
      <c r="A25328" s="3" t="s">
        <v>41723</v>
      </c>
      <c r="B25328" s="3" t="s">
        <v>20682</v>
      </c>
      <c r="C25328" s="5" t="s">
        <v>614</v>
      </c>
      <c r="D25328" s="3" t="s">
        <v>206</v>
      </c>
      <c r="E25328" s="3" t="s">
        <v>100</v>
      </c>
      <c r="F25328" s="7">
        <v>46233.05764501016</v>
      </c>
      <c r="G25328" s="3" t="s">
        <v>20193</v>
      </c>
    </row>
    <row r="25329">
      <c r="A25329" s="3" t="s">
        <v>41724</v>
      </c>
      <c r="B25329" s="3" t="s">
        <v>20682</v>
      </c>
      <c r="C25329" s="5" t="s">
        <v>206</v>
      </c>
      <c r="D25329" s="3" t="s">
        <v>68</v>
      </c>
      <c r="E25329" s="3" t="s">
        <v>100</v>
      </c>
      <c r="F25329" s="7">
        <v>46233.06111723238</v>
      </c>
      <c r="G25329" s="3" t="s">
        <v>20196</v>
      </c>
    </row>
    <row r="25330">
      <c r="A25330" s="3" t="s">
        <v>41725</v>
      </c>
      <c r="B25330" s="3" t="s">
        <v>20684</v>
      </c>
      <c r="C25330" s="5" t="s">
        <v>45</v>
      </c>
      <c r="D25330" s="3" t="s">
        <v>221</v>
      </c>
      <c r="E25330" s="3" t="s">
        <v>524</v>
      </c>
      <c r="F25330" s="7">
        <v>46233.121875411125</v>
      </c>
      <c r="G25330" s="3" t="s">
        <v>9140</v>
      </c>
    </row>
    <row r="25331">
      <c r="A25331" s="3" t="s">
        <v>41726</v>
      </c>
      <c r="B25331" s="3" t="s">
        <v>20684</v>
      </c>
      <c r="C25331" s="5" t="s">
        <v>221</v>
      </c>
      <c r="D25331" s="3" t="s">
        <v>614</v>
      </c>
      <c r="E25331" s="3" t="s">
        <v>118</v>
      </c>
      <c r="F25331" s="7">
        <v>46233.125347633344</v>
      </c>
      <c r="G25331" s="3" t="s">
        <v>13206</v>
      </c>
    </row>
    <row r="25332">
      <c r="A25332" s="3" t="s">
        <v>41727</v>
      </c>
      <c r="B25332" s="3" t="s">
        <v>20684</v>
      </c>
      <c r="C25332" s="5" t="s">
        <v>614</v>
      </c>
      <c r="D25332" s="3" t="s">
        <v>206</v>
      </c>
      <c r="E25332" s="3" t="s">
        <v>100</v>
      </c>
      <c r="F25332" s="7">
        <v>46233.12881985557</v>
      </c>
      <c r="G25332" s="3" t="s">
        <v>13210</v>
      </c>
    </row>
    <row r="25333">
      <c r="A25333" s="3" t="s">
        <v>41728</v>
      </c>
      <c r="B25333" s="3" t="s">
        <v>20684</v>
      </c>
      <c r="C25333" s="5" t="s">
        <v>206</v>
      </c>
      <c r="D25333" s="3" t="s">
        <v>68</v>
      </c>
      <c r="E25333" s="3" t="s">
        <v>100</v>
      </c>
      <c r="F25333" s="7">
        <v>46233.13229207779</v>
      </c>
      <c r="G25333" s="3" t="s">
        <v>13214</v>
      </c>
    </row>
    <row r="25334">
      <c r="A25334" s="3" t="s">
        <v>41729</v>
      </c>
      <c r="B25334" s="3" t="s">
        <v>20686</v>
      </c>
      <c r="C25334" s="5" t="s">
        <v>45</v>
      </c>
      <c r="D25334" s="3" t="s">
        <v>221</v>
      </c>
      <c r="E25334" s="3" t="s">
        <v>926</v>
      </c>
      <c r="F25334" s="7">
        <v>46233.193050256545</v>
      </c>
      <c r="G25334" s="3" t="s">
        <v>21815</v>
      </c>
    </row>
    <row r="25335">
      <c r="A25335" s="3" t="s">
        <v>41730</v>
      </c>
      <c r="B25335" s="3" t="s">
        <v>20686</v>
      </c>
      <c r="C25335" s="5" t="s">
        <v>221</v>
      </c>
      <c r="D25335" s="3" t="s">
        <v>614</v>
      </c>
      <c r="E25335" s="3" t="s">
        <v>118</v>
      </c>
      <c r="F25335" s="7">
        <v>46233.196522478764</v>
      </c>
      <c r="G25335" s="3" t="s">
        <v>24589</v>
      </c>
    </row>
    <row r="25336">
      <c r="A25336" s="3" t="s">
        <v>41731</v>
      </c>
      <c r="B25336" s="3" t="s">
        <v>20686</v>
      </c>
      <c r="C25336" s="5" t="s">
        <v>614</v>
      </c>
      <c r="D25336" s="3" t="s">
        <v>206</v>
      </c>
      <c r="E25336" s="3" t="s">
        <v>100</v>
      </c>
      <c r="F25336" s="7">
        <v>46233.19999470099</v>
      </c>
      <c r="G25336" s="3" t="s">
        <v>24591</v>
      </c>
    </row>
    <row r="25337">
      <c r="A25337" s="3" t="s">
        <v>41732</v>
      </c>
      <c r="B25337" s="3" t="s">
        <v>20686</v>
      </c>
      <c r="C25337" s="5" t="s">
        <v>206</v>
      </c>
      <c r="D25337" s="3" t="s">
        <v>68</v>
      </c>
      <c r="E25337" s="3" t="s">
        <v>100</v>
      </c>
      <c r="F25337" s="7">
        <v>46233.20346692321</v>
      </c>
      <c r="G25337" s="3" t="s">
        <v>24593</v>
      </c>
    </row>
    <row r="25338">
      <c r="A25338" s="3" t="s">
        <v>41733</v>
      </c>
      <c r="B25338" s="3" t="s">
        <v>20688</v>
      </c>
      <c r="C25338" s="5" t="s">
        <v>45</v>
      </c>
      <c r="D25338" s="3" t="s">
        <v>221</v>
      </c>
      <c r="E25338" s="3" t="s">
        <v>193</v>
      </c>
      <c r="F25338" s="7">
        <v>46233.26422510196</v>
      </c>
      <c r="G25338" s="3" t="s">
        <v>24806</v>
      </c>
    </row>
    <row r="25339">
      <c r="A25339" s="3" t="s">
        <v>41734</v>
      </c>
      <c r="B25339" s="3" t="s">
        <v>20688</v>
      </c>
      <c r="C25339" s="5" t="s">
        <v>221</v>
      </c>
      <c r="D25339" s="3" t="s">
        <v>614</v>
      </c>
      <c r="E25339" s="3" t="s">
        <v>118</v>
      </c>
      <c r="F25339" s="7">
        <v>46233.267697324176</v>
      </c>
      <c r="G25339" s="3" t="s">
        <v>24808</v>
      </c>
    </row>
    <row r="25340">
      <c r="A25340" s="3" t="s">
        <v>41735</v>
      </c>
      <c r="B25340" s="3" t="s">
        <v>20688</v>
      </c>
      <c r="C25340" s="5" t="s">
        <v>614</v>
      </c>
      <c r="D25340" s="3" t="s">
        <v>206</v>
      </c>
      <c r="E25340" s="3" t="s">
        <v>100</v>
      </c>
      <c r="F25340" s="7">
        <v>46233.2711695464</v>
      </c>
      <c r="G25340" s="3" t="s">
        <v>24810</v>
      </c>
    </row>
    <row r="25341">
      <c r="A25341" s="3" t="s">
        <v>41736</v>
      </c>
      <c r="B25341" s="3" t="s">
        <v>20688</v>
      </c>
      <c r="C25341" s="5" t="s">
        <v>206</v>
      </c>
      <c r="D25341" s="3" t="s">
        <v>68</v>
      </c>
      <c r="E25341" s="3" t="s">
        <v>100</v>
      </c>
      <c r="F25341" s="7">
        <v>46233.27464176862</v>
      </c>
      <c r="G25341" s="3" t="s">
        <v>24812</v>
      </c>
    </row>
    <row r="25342">
      <c r="A25342" s="3" t="s">
        <v>41737</v>
      </c>
      <c r="B25342" s="3" t="s">
        <v>20691</v>
      </c>
      <c r="C25342" s="5" t="s">
        <v>45</v>
      </c>
      <c r="D25342" s="3" t="s">
        <v>221</v>
      </c>
      <c r="E25342" s="3" t="s">
        <v>565</v>
      </c>
      <c r="F25342" s="7">
        <v>46233.33539994737</v>
      </c>
      <c r="G25342" s="3" t="s">
        <v>18129</v>
      </c>
    </row>
    <row r="25343">
      <c r="A25343" s="3" t="s">
        <v>41738</v>
      </c>
      <c r="B25343" s="3" t="s">
        <v>20691</v>
      </c>
      <c r="C25343" s="5" t="s">
        <v>221</v>
      </c>
      <c r="D25343" s="3" t="s">
        <v>614</v>
      </c>
      <c r="E25343" s="3" t="s">
        <v>118</v>
      </c>
      <c r="F25343" s="7">
        <v>46233.33887216959</v>
      </c>
      <c r="G25343" s="3" t="s">
        <v>18132</v>
      </c>
    </row>
    <row r="25344">
      <c r="A25344" s="3" t="s">
        <v>41739</v>
      </c>
      <c r="B25344" s="3" t="s">
        <v>20691</v>
      </c>
      <c r="C25344" s="5" t="s">
        <v>614</v>
      </c>
      <c r="D25344" s="3" t="s">
        <v>206</v>
      </c>
      <c r="E25344" s="3" t="s">
        <v>100</v>
      </c>
      <c r="F25344" s="7">
        <v>46233.342344391815</v>
      </c>
      <c r="G25344" s="3" t="s">
        <v>18135</v>
      </c>
    </row>
    <row r="25345">
      <c r="A25345" s="3" t="s">
        <v>41740</v>
      </c>
      <c r="B25345" s="3" t="s">
        <v>20691</v>
      </c>
      <c r="C25345" s="5" t="s">
        <v>206</v>
      </c>
      <c r="D25345" s="3" t="s">
        <v>68</v>
      </c>
      <c r="E25345" s="3" t="s">
        <v>100</v>
      </c>
      <c r="F25345" s="7">
        <v>46233.34581661403</v>
      </c>
      <c r="G25345" s="3" t="s">
        <v>18137</v>
      </c>
    </row>
    <row r="25346">
      <c r="A25346" s="3" t="s">
        <v>41741</v>
      </c>
      <c r="B25346" s="3" t="s">
        <v>20693</v>
      </c>
      <c r="C25346" s="5" t="s">
        <v>45</v>
      </c>
      <c r="D25346" s="3" t="s">
        <v>221</v>
      </c>
      <c r="E25346" s="3" t="s">
        <v>691</v>
      </c>
      <c r="F25346" s="7">
        <v>46233.40657479279</v>
      </c>
      <c r="G25346" s="3" t="s">
        <v>18208</v>
      </c>
    </row>
    <row r="25347">
      <c r="A25347" s="3" t="s">
        <v>41742</v>
      </c>
      <c r="B25347" s="3" t="s">
        <v>20693</v>
      </c>
      <c r="C25347" s="5" t="s">
        <v>221</v>
      </c>
      <c r="D25347" s="3" t="s">
        <v>195</v>
      </c>
      <c r="E25347" s="3" t="s">
        <v>691</v>
      </c>
      <c r="F25347" s="7">
        <v>46233.41004701501</v>
      </c>
      <c r="G25347" s="3" t="s">
        <v>41743</v>
      </c>
    </row>
    <row r="25348">
      <c r="A25348" s="3" t="s">
        <v>41744</v>
      </c>
      <c r="B25348" s="3" t="s">
        <v>20695</v>
      </c>
      <c r="C25348" s="5" t="s">
        <v>45</v>
      </c>
      <c r="D25348" s="3" t="s">
        <v>221</v>
      </c>
      <c r="E25348" s="3" t="s">
        <v>250</v>
      </c>
      <c r="F25348" s="7">
        <v>46233.47774963821</v>
      </c>
      <c r="G25348" s="3" t="s">
        <v>16800</v>
      </c>
    </row>
    <row r="25349">
      <c r="A25349" s="3" t="s">
        <v>41745</v>
      </c>
      <c r="B25349" s="3" t="s">
        <v>20695</v>
      </c>
      <c r="C25349" s="5" t="s">
        <v>221</v>
      </c>
      <c r="D25349" s="3" t="s">
        <v>614</v>
      </c>
      <c r="E25349" s="3" t="s">
        <v>118</v>
      </c>
      <c r="F25349" s="7">
        <v>46233.48122186043</v>
      </c>
      <c r="G25349" s="3" t="s">
        <v>16803</v>
      </c>
    </row>
    <row r="25350">
      <c r="A25350" s="3" t="s">
        <v>41746</v>
      </c>
      <c r="B25350" s="3" t="s">
        <v>20695</v>
      </c>
      <c r="C25350" s="5" t="s">
        <v>614</v>
      </c>
      <c r="D25350" s="3" t="s">
        <v>206</v>
      </c>
      <c r="E25350" s="3" t="s">
        <v>100</v>
      </c>
      <c r="F25350" s="7">
        <v>46233.484694082654</v>
      </c>
      <c r="G25350" s="3" t="s">
        <v>16806</v>
      </c>
    </row>
    <row r="25351">
      <c r="A25351" s="3" t="s">
        <v>41747</v>
      </c>
      <c r="B25351" s="3" t="s">
        <v>20695</v>
      </c>
      <c r="C25351" s="5" t="s">
        <v>206</v>
      </c>
      <c r="D25351" s="3" t="s">
        <v>68</v>
      </c>
      <c r="E25351" s="3" t="s">
        <v>100</v>
      </c>
      <c r="F25351" s="7">
        <v>46233.48816630487</v>
      </c>
      <c r="G25351" s="3" t="s">
        <v>16808</v>
      </c>
    </row>
    <row r="25352">
      <c r="A25352" s="3" t="s">
        <v>41748</v>
      </c>
      <c r="B25352" s="3" t="s">
        <v>20697</v>
      </c>
      <c r="C25352" s="5" t="s">
        <v>45</v>
      </c>
      <c r="D25352" s="3" t="s">
        <v>221</v>
      </c>
      <c r="E25352" s="3" t="s">
        <v>468</v>
      </c>
      <c r="F25352" s="7">
        <v>46233.54892448361</v>
      </c>
      <c r="G25352" s="3" t="s">
        <v>18755</v>
      </c>
    </row>
    <row r="25353">
      <c r="A25353" s="3" t="s">
        <v>41749</v>
      </c>
      <c r="B25353" s="3" t="s">
        <v>20697</v>
      </c>
      <c r="C25353" s="5" t="s">
        <v>221</v>
      </c>
      <c r="D25353" s="3" t="s">
        <v>614</v>
      </c>
      <c r="E25353" s="3" t="s">
        <v>118</v>
      </c>
      <c r="F25353" s="7">
        <v>46233.55239670583</v>
      </c>
      <c r="G25353" s="3" t="s">
        <v>18758</v>
      </c>
    </row>
    <row r="25354">
      <c r="A25354" s="3" t="s">
        <v>41750</v>
      </c>
      <c r="B25354" s="3" t="s">
        <v>20697</v>
      </c>
      <c r="C25354" s="5" t="s">
        <v>614</v>
      </c>
      <c r="D25354" s="3" t="s">
        <v>206</v>
      </c>
      <c r="E25354" s="3" t="s">
        <v>100</v>
      </c>
      <c r="F25354" s="7">
        <v>46233.55586892806</v>
      </c>
      <c r="G25354" s="3" t="s">
        <v>18761</v>
      </c>
    </row>
    <row r="25355">
      <c r="A25355" s="3" t="s">
        <v>41751</v>
      </c>
      <c r="B25355" s="3" t="s">
        <v>20697</v>
      </c>
      <c r="C25355" s="5" t="s">
        <v>206</v>
      </c>
      <c r="D25355" s="3" t="s">
        <v>68</v>
      </c>
      <c r="E25355" s="3" t="s">
        <v>100</v>
      </c>
      <c r="F25355" s="7">
        <v>46233.55934115028</v>
      </c>
      <c r="G25355" s="3" t="s">
        <v>18764</v>
      </c>
    </row>
    <row r="25356">
      <c r="A25356" s="3" t="s">
        <v>41752</v>
      </c>
      <c r="B25356" s="3" t="s">
        <v>20699</v>
      </c>
      <c r="C25356" s="5" t="s">
        <v>45</v>
      </c>
      <c r="D25356" s="3" t="s">
        <v>221</v>
      </c>
      <c r="E25356" s="3" t="s">
        <v>356</v>
      </c>
      <c r="F25356" s="7">
        <v>46233.62009932903</v>
      </c>
      <c r="G25356" s="3" t="s">
        <v>10192</v>
      </c>
    </row>
    <row r="25357">
      <c r="A25357" s="3" t="s">
        <v>41753</v>
      </c>
      <c r="B25357" s="3" t="s">
        <v>20699</v>
      </c>
      <c r="C25357" s="5" t="s">
        <v>221</v>
      </c>
      <c r="D25357" s="3" t="s">
        <v>614</v>
      </c>
      <c r="E25357" s="3" t="s">
        <v>118</v>
      </c>
      <c r="F25357" s="7">
        <v>46233.62357155125</v>
      </c>
      <c r="G25357" s="3" t="s">
        <v>10196</v>
      </c>
    </row>
    <row r="25358">
      <c r="A25358" s="3" t="s">
        <v>41754</v>
      </c>
      <c r="B25358" s="3" t="s">
        <v>20699</v>
      </c>
      <c r="C25358" s="5" t="s">
        <v>614</v>
      </c>
      <c r="D25358" s="3" t="s">
        <v>206</v>
      </c>
      <c r="E25358" s="3" t="s">
        <v>100</v>
      </c>
      <c r="F25358" s="7">
        <v>46233.62704377348</v>
      </c>
      <c r="G25358" s="3" t="s">
        <v>10199</v>
      </c>
    </row>
    <row r="25359">
      <c r="A25359" s="3" t="s">
        <v>41755</v>
      </c>
      <c r="B25359" s="3" t="s">
        <v>20699</v>
      </c>
      <c r="C25359" s="5" t="s">
        <v>206</v>
      </c>
      <c r="D25359" s="3" t="s">
        <v>68</v>
      </c>
      <c r="E25359" s="3" t="s">
        <v>100</v>
      </c>
      <c r="F25359" s="7">
        <v>46233.6305159957</v>
      </c>
      <c r="G25359" s="3" t="s">
        <v>10203</v>
      </c>
    </row>
    <row r="25360">
      <c r="A25360" s="3" t="s">
        <v>41756</v>
      </c>
      <c r="B25360" s="3" t="s">
        <v>20701</v>
      </c>
      <c r="C25360" s="5" t="s">
        <v>45</v>
      </c>
      <c r="D25360" s="3" t="s">
        <v>221</v>
      </c>
      <c r="E25360" s="3" t="s">
        <v>926</v>
      </c>
      <c r="F25360" s="7">
        <v>46233.69127417445</v>
      </c>
      <c r="G25360" s="3" t="s">
        <v>21815</v>
      </c>
    </row>
    <row r="25361">
      <c r="A25361" s="3" t="s">
        <v>41757</v>
      </c>
      <c r="B25361" s="3" t="s">
        <v>20701</v>
      </c>
      <c r="C25361" s="5" t="s">
        <v>221</v>
      </c>
      <c r="D25361" s="3" t="s">
        <v>614</v>
      </c>
      <c r="E25361" s="3" t="s">
        <v>118</v>
      </c>
      <c r="F25361" s="7">
        <v>46233.69474639667</v>
      </c>
      <c r="G25361" s="3" t="s">
        <v>24589</v>
      </c>
    </row>
    <row r="25362">
      <c r="A25362" s="3" t="s">
        <v>41758</v>
      </c>
      <c r="B25362" s="3" t="s">
        <v>20701</v>
      </c>
      <c r="C25362" s="5" t="s">
        <v>614</v>
      </c>
      <c r="D25362" s="3" t="s">
        <v>206</v>
      </c>
      <c r="E25362" s="3" t="s">
        <v>100</v>
      </c>
      <c r="F25362" s="7">
        <v>46233.6982186189</v>
      </c>
      <c r="G25362" s="3" t="s">
        <v>24591</v>
      </c>
    </row>
    <row r="25363">
      <c r="A25363" s="3" t="s">
        <v>41759</v>
      </c>
      <c r="B25363" s="3" t="s">
        <v>20701</v>
      </c>
      <c r="C25363" s="5" t="s">
        <v>206</v>
      </c>
      <c r="D25363" s="3" t="s">
        <v>68</v>
      </c>
      <c r="E25363" s="3" t="s">
        <v>100</v>
      </c>
      <c r="F25363" s="7">
        <v>46233.70169084112</v>
      </c>
      <c r="G25363" s="3" t="s">
        <v>24593</v>
      </c>
    </row>
    <row r="25364">
      <c r="A25364" s="3" t="s">
        <v>41760</v>
      </c>
      <c r="B25364" s="3" t="s">
        <v>20703</v>
      </c>
      <c r="C25364" s="5" t="s">
        <v>45</v>
      </c>
      <c r="D25364" s="3" t="s">
        <v>221</v>
      </c>
      <c r="E25364" s="3" t="s">
        <v>778</v>
      </c>
      <c r="F25364" s="7">
        <v>46233.762449019865</v>
      </c>
      <c r="G25364" s="3" t="s">
        <v>12820</v>
      </c>
    </row>
    <row r="25365">
      <c r="A25365" s="3" t="s">
        <v>41761</v>
      </c>
      <c r="B25365" s="3" t="s">
        <v>20703</v>
      </c>
      <c r="C25365" s="5" t="s">
        <v>221</v>
      </c>
      <c r="D25365" s="3" t="s">
        <v>614</v>
      </c>
      <c r="E25365" s="3" t="s">
        <v>118</v>
      </c>
      <c r="F25365" s="7">
        <v>46233.765921242084</v>
      </c>
      <c r="G25365" s="3" t="s">
        <v>25584</v>
      </c>
    </row>
    <row r="25366">
      <c r="A25366" s="3" t="s">
        <v>41762</v>
      </c>
      <c r="B25366" s="3" t="s">
        <v>20703</v>
      </c>
      <c r="C25366" s="5" t="s">
        <v>614</v>
      </c>
      <c r="D25366" s="3" t="s">
        <v>206</v>
      </c>
      <c r="E25366" s="3" t="s">
        <v>100</v>
      </c>
      <c r="F25366" s="7">
        <v>46233.76939346431</v>
      </c>
      <c r="G25366" s="3" t="s">
        <v>25586</v>
      </c>
    </row>
    <row r="25367">
      <c r="A25367" s="3" t="s">
        <v>41763</v>
      </c>
      <c r="B25367" s="3" t="s">
        <v>20703</v>
      </c>
      <c r="C25367" s="5" t="s">
        <v>206</v>
      </c>
      <c r="D25367" s="3" t="s">
        <v>68</v>
      </c>
      <c r="E25367" s="3" t="s">
        <v>100</v>
      </c>
      <c r="F25367" s="7">
        <v>46233.77286568653</v>
      </c>
      <c r="G25367" s="3" t="s">
        <v>25588</v>
      </c>
    </row>
    <row r="25368">
      <c r="A25368" s="3" t="s">
        <v>41764</v>
      </c>
      <c r="B25368" s="3" t="s">
        <v>20706</v>
      </c>
      <c r="C25368" s="5" t="s">
        <v>45</v>
      </c>
      <c r="D25368" s="3" t="s">
        <v>221</v>
      </c>
      <c r="E25368" s="3" t="s">
        <v>488</v>
      </c>
      <c r="F25368" s="7">
        <v>46233.83362386528</v>
      </c>
      <c r="G25368" s="3" t="s">
        <v>10216</v>
      </c>
    </row>
    <row r="25369">
      <c r="A25369" s="3" t="s">
        <v>41765</v>
      </c>
      <c r="B25369" s="3" t="s">
        <v>20706</v>
      </c>
      <c r="C25369" s="5" t="s">
        <v>221</v>
      </c>
      <c r="D25369" s="3" t="s">
        <v>614</v>
      </c>
      <c r="E25369" s="3" t="s">
        <v>118</v>
      </c>
      <c r="F25369" s="7">
        <v>46233.837096087496</v>
      </c>
      <c r="G25369" s="3" t="s">
        <v>10219</v>
      </c>
    </row>
    <row r="25370">
      <c r="A25370" s="3" t="s">
        <v>41766</v>
      </c>
      <c r="B25370" s="3" t="s">
        <v>20706</v>
      </c>
      <c r="C25370" s="5" t="s">
        <v>614</v>
      </c>
      <c r="D25370" s="3" t="s">
        <v>206</v>
      </c>
      <c r="E25370" s="3" t="s">
        <v>100</v>
      </c>
      <c r="F25370" s="7">
        <v>46233.84056830972</v>
      </c>
      <c r="G25370" s="3" t="s">
        <v>10222</v>
      </c>
    </row>
    <row r="25371">
      <c r="A25371" s="3" t="s">
        <v>41767</v>
      </c>
      <c r="B25371" s="3" t="s">
        <v>20706</v>
      </c>
      <c r="C25371" s="5" t="s">
        <v>206</v>
      </c>
      <c r="D25371" s="3" t="s">
        <v>68</v>
      </c>
      <c r="E25371" s="3" t="s">
        <v>100</v>
      </c>
      <c r="F25371" s="7">
        <v>46233.84404053194</v>
      </c>
      <c r="G25371" s="3" t="s">
        <v>10225</v>
      </c>
    </row>
    <row r="25372">
      <c r="A25372" s="3" t="s">
        <v>41768</v>
      </c>
      <c r="B25372" s="3" t="s">
        <v>20710</v>
      </c>
      <c r="C25372" s="5" t="s">
        <v>45</v>
      </c>
      <c r="D25372" s="3" t="s">
        <v>221</v>
      </c>
      <c r="E25372" s="3" t="s">
        <v>655</v>
      </c>
      <c r="F25372" s="7">
        <v>46233.9047987107</v>
      </c>
      <c r="G25372" s="3" t="s">
        <v>38970</v>
      </c>
    </row>
    <row r="25373">
      <c r="A25373" s="3" t="s">
        <v>41769</v>
      </c>
      <c r="B25373" s="3" t="s">
        <v>20710</v>
      </c>
      <c r="C25373" s="5" t="s">
        <v>221</v>
      </c>
      <c r="D25373" s="3" t="s">
        <v>614</v>
      </c>
      <c r="E25373" s="3" t="s">
        <v>118</v>
      </c>
      <c r="F25373" s="7">
        <v>46233.908270932916</v>
      </c>
      <c r="G25373" s="3" t="s">
        <v>38972</v>
      </c>
    </row>
    <row r="25374">
      <c r="A25374" s="3" t="s">
        <v>41770</v>
      </c>
      <c r="B25374" s="3" t="s">
        <v>20710</v>
      </c>
      <c r="C25374" s="5" t="s">
        <v>614</v>
      </c>
      <c r="D25374" s="3" t="s">
        <v>206</v>
      </c>
      <c r="E25374" s="3" t="s">
        <v>100</v>
      </c>
      <c r="F25374" s="7">
        <v>46233.91174315514</v>
      </c>
      <c r="G25374" s="3" t="s">
        <v>38974</v>
      </c>
    </row>
    <row r="25375">
      <c r="A25375" s="3" t="s">
        <v>41771</v>
      </c>
      <c r="B25375" s="3" t="s">
        <v>20710</v>
      </c>
      <c r="C25375" s="5" t="s">
        <v>206</v>
      </c>
      <c r="D25375" s="3" t="s">
        <v>68</v>
      </c>
      <c r="E25375" s="3" t="s">
        <v>100</v>
      </c>
      <c r="F25375" s="7">
        <v>46233.91521537736</v>
      </c>
      <c r="G25375" s="3" t="s">
        <v>38976</v>
      </c>
    </row>
    <row r="25376">
      <c r="A25376" s="3" t="s">
        <v>41772</v>
      </c>
      <c r="B25376" s="3" t="s">
        <v>20713</v>
      </c>
      <c r="C25376" s="5" t="s">
        <v>45</v>
      </c>
      <c r="D25376" s="3" t="s">
        <v>221</v>
      </c>
      <c r="E25376" s="3" t="s">
        <v>356</v>
      </c>
      <c r="F25376" s="7">
        <v>46233.97597355611</v>
      </c>
      <c r="G25376" s="3" t="s">
        <v>17484</v>
      </c>
    </row>
    <row r="25377">
      <c r="A25377" s="3" t="s">
        <v>41773</v>
      </c>
      <c r="B25377" s="3" t="s">
        <v>20713</v>
      </c>
      <c r="C25377" s="5" t="s">
        <v>221</v>
      </c>
      <c r="D25377" s="3" t="s">
        <v>195</v>
      </c>
      <c r="E25377" s="3" t="s">
        <v>356</v>
      </c>
      <c r="F25377" s="7">
        <v>46233.97944577833</v>
      </c>
      <c r="G25377" s="3" t="s">
        <v>41774</v>
      </c>
    </row>
    <row r="25378">
      <c r="A25378" s="3" t="s">
        <v>41775</v>
      </c>
      <c r="B25378" s="3" t="s">
        <v>20716</v>
      </c>
      <c r="C25378" s="5" t="s">
        <v>45</v>
      </c>
      <c r="D25378" s="3" t="s">
        <v>221</v>
      </c>
      <c r="E25378" s="3" t="s">
        <v>658</v>
      </c>
      <c r="F25378" s="7">
        <v>46234.04714840152</v>
      </c>
      <c r="G25378" s="3" t="s">
        <v>14181</v>
      </c>
    </row>
    <row r="25379">
      <c r="A25379" s="3" t="s">
        <v>41776</v>
      </c>
      <c r="B25379" s="3" t="s">
        <v>20716</v>
      </c>
      <c r="C25379" s="5" t="s">
        <v>221</v>
      </c>
      <c r="D25379" s="3" t="s">
        <v>614</v>
      </c>
      <c r="E25379" s="3" t="s">
        <v>118</v>
      </c>
      <c r="F25379" s="7">
        <v>46234.05062062374</v>
      </c>
      <c r="G25379" s="3" t="s">
        <v>14183</v>
      </c>
    </row>
    <row r="25380">
      <c r="A25380" s="3" t="s">
        <v>41777</v>
      </c>
      <c r="B25380" s="3" t="s">
        <v>20716</v>
      </c>
      <c r="C25380" s="5" t="s">
        <v>614</v>
      </c>
      <c r="D25380" s="3" t="s">
        <v>206</v>
      </c>
      <c r="E25380" s="3" t="s">
        <v>100</v>
      </c>
      <c r="F25380" s="7">
        <v>46234.05409284597</v>
      </c>
      <c r="G25380" s="3" t="s">
        <v>14186</v>
      </c>
    </row>
    <row r="25381">
      <c r="A25381" s="3" t="s">
        <v>41778</v>
      </c>
      <c r="B25381" s="3" t="s">
        <v>20716</v>
      </c>
      <c r="C25381" s="5" t="s">
        <v>206</v>
      </c>
      <c r="D25381" s="3" t="s">
        <v>68</v>
      </c>
      <c r="E25381" s="3" t="s">
        <v>100</v>
      </c>
      <c r="F25381" s="7">
        <v>46234.057565068186</v>
      </c>
      <c r="G25381" s="3" t="s">
        <v>14189</v>
      </c>
    </row>
    <row r="25382">
      <c r="A25382" s="3" t="s">
        <v>41779</v>
      </c>
      <c r="B25382" s="3" t="s">
        <v>20720</v>
      </c>
      <c r="C25382" s="5" t="s">
        <v>45</v>
      </c>
      <c r="D25382" s="3" t="s">
        <v>221</v>
      </c>
      <c r="E25382" s="3" t="s">
        <v>126</v>
      </c>
      <c r="F25382" s="7">
        <v>46234.11832324694</v>
      </c>
      <c r="G25382" s="3" t="s">
        <v>6614</v>
      </c>
    </row>
    <row r="25383">
      <c r="A25383" s="3" t="s">
        <v>41780</v>
      </c>
      <c r="B25383" s="3" t="s">
        <v>20720</v>
      </c>
      <c r="C25383" s="5" t="s">
        <v>221</v>
      </c>
      <c r="D25383" s="3" t="s">
        <v>614</v>
      </c>
      <c r="E25383" s="3" t="s">
        <v>118</v>
      </c>
      <c r="F25383" s="7">
        <v>46234.12179546916</v>
      </c>
      <c r="G25383" s="3" t="s">
        <v>6617</v>
      </c>
    </row>
    <row r="25384">
      <c r="A25384" s="3" t="s">
        <v>41781</v>
      </c>
      <c r="B25384" s="3" t="s">
        <v>20720</v>
      </c>
      <c r="C25384" s="5" t="s">
        <v>614</v>
      </c>
      <c r="D25384" s="3" t="s">
        <v>206</v>
      </c>
      <c r="E25384" s="3" t="s">
        <v>100</v>
      </c>
      <c r="F25384" s="7">
        <v>46234.12526769139</v>
      </c>
      <c r="G25384" s="3" t="s">
        <v>6619</v>
      </c>
    </row>
    <row r="25385">
      <c r="A25385" s="3" t="s">
        <v>41782</v>
      </c>
      <c r="B25385" s="3" t="s">
        <v>20720</v>
      </c>
      <c r="C25385" s="5" t="s">
        <v>206</v>
      </c>
      <c r="D25385" s="3" t="s">
        <v>68</v>
      </c>
      <c r="E25385" s="3" t="s">
        <v>100</v>
      </c>
      <c r="F25385" s="7">
        <v>46234.128739913605</v>
      </c>
      <c r="G25385" s="3" t="s">
        <v>6622</v>
      </c>
    </row>
    <row r="25386">
      <c r="A25386" s="3" t="s">
        <v>41783</v>
      </c>
      <c r="B25386" s="3" t="s">
        <v>20724</v>
      </c>
      <c r="C25386" s="5" t="s">
        <v>45</v>
      </c>
      <c r="D25386" s="3" t="s">
        <v>221</v>
      </c>
      <c r="E25386" s="3" t="s">
        <v>519</v>
      </c>
      <c r="F25386" s="7">
        <v>46234.18949809235</v>
      </c>
      <c r="G25386" s="3" t="s">
        <v>6311</v>
      </c>
    </row>
    <row r="25387">
      <c r="A25387" s="3" t="s">
        <v>41784</v>
      </c>
      <c r="B25387" s="3" t="s">
        <v>20724</v>
      </c>
      <c r="C25387" s="5" t="s">
        <v>221</v>
      </c>
      <c r="D25387" s="3" t="s">
        <v>614</v>
      </c>
      <c r="E25387" s="3" t="s">
        <v>118</v>
      </c>
      <c r="F25387" s="7">
        <v>46234.19297031457</v>
      </c>
      <c r="G25387" s="3" t="s">
        <v>24260</v>
      </c>
    </row>
    <row r="25388">
      <c r="A25388" s="3" t="s">
        <v>41785</v>
      </c>
      <c r="B25388" s="3" t="s">
        <v>20724</v>
      </c>
      <c r="C25388" s="5" t="s">
        <v>614</v>
      </c>
      <c r="D25388" s="3" t="s">
        <v>206</v>
      </c>
      <c r="E25388" s="3" t="s">
        <v>100</v>
      </c>
      <c r="F25388" s="7">
        <v>46234.1964425368</v>
      </c>
      <c r="G25388" s="3" t="s">
        <v>24262</v>
      </c>
    </row>
    <row r="25389">
      <c r="A25389" s="3" t="s">
        <v>41786</v>
      </c>
      <c r="B25389" s="3" t="s">
        <v>20724</v>
      </c>
      <c r="C25389" s="5" t="s">
        <v>206</v>
      </c>
      <c r="D25389" s="3" t="s">
        <v>68</v>
      </c>
      <c r="E25389" s="3" t="s">
        <v>100</v>
      </c>
      <c r="F25389" s="7">
        <v>46234.19991475902</v>
      </c>
      <c r="G25389" s="3" t="s">
        <v>24264</v>
      </c>
    </row>
    <row r="25390">
      <c r="A25390" s="3" t="s">
        <v>41787</v>
      </c>
      <c r="B25390" s="3" t="s">
        <v>20726</v>
      </c>
      <c r="C25390" s="5" t="s">
        <v>45</v>
      </c>
      <c r="D25390" s="3" t="s">
        <v>221</v>
      </c>
      <c r="E25390" s="3" t="s">
        <v>496</v>
      </c>
      <c r="F25390" s="7">
        <v>46234.260672937766</v>
      </c>
      <c r="G25390" s="3" t="s">
        <v>10003</v>
      </c>
    </row>
    <row r="25391">
      <c r="A25391" s="3" t="s">
        <v>41788</v>
      </c>
      <c r="B25391" s="3" t="s">
        <v>20726</v>
      </c>
      <c r="C25391" s="5" t="s">
        <v>221</v>
      </c>
      <c r="D25391" s="3" t="s">
        <v>195</v>
      </c>
      <c r="E25391" s="3" t="s">
        <v>496</v>
      </c>
      <c r="F25391" s="7">
        <v>46234.264145159985</v>
      </c>
      <c r="G25391" s="3" t="s">
        <v>34761</v>
      </c>
    </row>
    <row r="25392">
      <c r="A25392" s="3" t="s">
        <v>41789</v>
      </c>
      <c r="B25392" s="3" t="s">
        <v>20729</v>
      </c>
      <c r="C25392" s="5" t="s">
        <v>45</v>
      </c>
      <c r="D25392" s="3" t="s">
        <v>221</v>
      </c>
      <c r="E25392" s="3" t="s">
        <v>957</v>
      </c>
      <c r="F25392" s="7">
        <v>46234.331847783185</v>
      </c>
      <c r="G25392" s="3" t="s">
        <v>10236</v>
      </c>
    </row>
    <row r="25393">
      <c r="A25393" s="3" t="s">
        <v>41790</v>
      </c>
      <c r="B25393" s="3" t="s">
        <v>20729</v>
      </c>
      <c r="C25393" s="5" t="s">
        <v>221</v>
      </c>
      <c r="D25393" s="3" t="s">
        <v>614</v>
      </c>
      <c r="E25393" s="3" t="s">
        <v>118</v>
      </c>
      <c r="F25393" s="7">
        <v>46234.335320005404</v>
      </c>
      <c r="G25393" s="3" t="s">
        <v>10240</v>
      </c>
    </row>
    <row r="25394">
      <c r="A25394" s="3" t="s">
        <v>41791</v>
      </c>
      <c r="B25394" s="3" t="s">
        <v>20729</v>
      </c>
      <c r="C25394" s="5" t="s">
        <v>614</v>
      </c>
      <c r="D25394" s="3" t="s">
        <v>206</v>
      </c>
      <c r="E25394" s="3" t="s">
        <v>100</v>
      </c>
      <c r="F25394" s="7">
        <v>46234.33879222763</v>
      </c>
      <c r="G25394" s="3" t="s">
        <v>10243</v>
      </c>
    </row>
    <row r="25395">
      <c r="A25395" s="3" t="s">
        <v>41792</v>
      </c>
      <c r="B25395" s="3" t="s">
        <v>20729</v>
      </c>
      <c r="C25395" s="5" t="s">
        <v>206</v>
      </c>
      <c r="D25395" s="3" t="s">
        <v>68</v>
      </c>
      <c r="E25395" s="3" t="s">
        <v>100</v>
      </c>
      <c r="F25395" s="7">
        <v>46234.34226444985</v>
      </c>
      <c r="G25395" s="3" t="s">
        <v>10247</v>
      </c>
    </row>
    <row r="25396">
      <c r="A25396" s="3" t="s">
        <v>41793</v>
      </c>
      <c r="B25396" s="3" t="s">
        <v>20731</v>
      </c>
      <c r="C25396" s="5" t="s">
        <v>45</v>
      </c>
      <c r="D25396" s="3" t="s">
        <v>221</v>
      </c>
      <c r="E25396" s="3" t="s">
        <v>202</v>
      </c>
      <c r="F25396" s="7">
        <v>46234.4030226286</v>
      </c>
      <c r="G25396" s="3" t="s">
        <v>22235</v>
      </c>
    </row>
    <row r="25397">
      <c r="A25397" s="3" t="s">
        <v>41794</v>
      </c>
      <c r="B25397" s="3" t="s">
        <v>20731</v>
      </c>
      <c r="C25397" s="5" t="s">
        <v>221</v>
      </c>
      <c r="D25397" s="3" t="s">
        <v>614</v>
      </c>
      <c r="E25397" s="3" t="s">
        <v>118</v>
      </c>
      <c r="F25397" s="7">
        <v>46234.40649485082</v>
      </c>
      <c r="G25397" s="3" t="s">
        <v>22238</v>
      </c>
    </row>
    <row r="25398">
      <c r="A25398" s="3" t="s">
        <v>41795</v>
      </c>
      <c r="B25398" s="3" t="s">
        <v>20731</v>
      </c>
      <c r="C25398" s="5" t="s">
        <v>614</v>
      </c>
      <c r="D25398" s="3" t="s">
        <v>206</v>
      </c>
      <c r="E25398" s="3" t="s">
        <v>100</v>
      </c>
      <c r="F25398" s="7">
        <v>46234.40996707304</v>
      </c>
      <c r="G25398" s="3" t="s">
        <v>22241</v>
      </c>
    </row>
    <row r="25399">
      <c r="A25399" s="3" t="s">
        <v>41796</v>
      </c>
      <c r="B25399" s="3" t="s">
        <v>20731</v>
      </c>
      <c r="C25399" s="5" t="s">
        <v>206</v>
      </c>
      <c r="D25399" s="3" t="s">
        <v>68</v>
      </c>
      <c r="E25399" s="3" t="s">
        <v>100</v>
      </c>
      <c r="F25399" s="7">
        <v>46234.41343929526</v>
      </c>
      <c r="G25399" s="3" t="s">
        <v>22244</v>
      </c>
    </row>
    <row r="25400">
      <c r="A25400" s="3" t="s">
        <v>41797</v>
      </c>
      <c r="B25400" s="3" t="s">
        <v>20733</v>
      </c>
      <c r="C25400" s="5" t="s">
        <v>45</v>
      </c>
      <c r="D25400" s="3" t="s">
        <v>221</v>
      </c>
      <c r="E25400" s="3" t="s">
        <v>900</v>
      </c>
      <c r="F25400" s="7">
        <v>46234.47419747401</v>
      </c>
      <c r="G25400" s="3" t="s">
        <v>4164</v>
      </c>
    </row>
    <row r="25401">
      <c r="A25401" s="3" t="s">
        <v>41798</v>
      </c>
      <c r="B25401" s="3" t="s">
        <v>20733</v>
      </c>
      <c r="C25401" s="5" t="s">
        <v>221</v>
      </c>
      <c r="D25401" s="3" t="s">
        <v>614</v>
      </c>
      <c r="E25401" s="3" t="s">
        <v>118</v>
      </c>
      <c r="F25401" s="7">
        <v>46234.47766969623</v>
      </c>
      <c r="G25401" s="3" t="s">
        <v>4167</v>
      </c>
    </row>
    <row r="25402">
      <c r="A25402" s="3" t="s">
        <v>41799</v>
      </c>
      <c r="B25402" s="3" t="s">
        <v>20733</v>
      </c>
      <c r="C25402" s="5" t="s">
        <v>614</v>
      </c>
      <c r="D25402" s="3" t="s">
        <v>206</v>
      </c>
      <c r="E25402" s="3" t="s">
        <v>100</v>
      </c>
      <c r="F25402" s="7">
        <v>46234.481141918455</v>
      </c>
      <c r="G25402" s="3" t="s">
        <v>4169</v>
      </c>
    </row>
    <row r="25403">
      <c r="A25403" s="3" t="s">
        <v>41800</v>
      </c>
      <c r="B25403" s="3" t="s">
        <v>20733</v>
      </c>
      <c r="C25403" s="5" t="s">
        <v>206</v>
      </c>
      <c r="D25403" s="3" t="s">
        <v>68</v>
      </c>
      <c r="E25403" s="3" t="s">
        <v>100</v>
      </c>
      <c r="F25403" s="7">
        <v>46234.484614140674</v>
      </c>
      <c r="G25403" s="3" t="s">
        <v>4172</v>
      </c>
    </row>
    <row r="25404">
      <c r="A25404" s="3" t="s">
        <v>41801</v>
      </c>
      <c r="B25404" s="3" t="s">
        <v>20736</v>
      </c>
      <c r="C25404" s="5" t="s">
        <v>45</v>
      </c>
      <c r="D25404" s="3" t="s">
        <v>221</v>
      </c>
      <c r="E25404" s="3" t="s">
        <v>424</v>
      </c>
      <c r="F25404" s="7">
        <v>46234.54537231943</v>
      </c>
      <c r="G25404" s="3" t="s">
        <v>9419</v>
      </c>
    </row>
    <row r="25405">
      <c r="A25405" s="3" t="s">
        <v>41802</v>
      </c>
      <c r="B25405" s="3" t="s">
        <v>20736</v>
      </c>
      <c r="C25405" s="5" t="s">
        <v>221</v>
      </c>
      <c r="D25405" s="3" t="s">
        <v>614</v>
      </c>
      <c r="E25405" s="3" t="s">
        <v>118</v>
      </c>
      <c r="F25405" s="7">
        <v>46234.54884454165</v>
      </c>
      <c r="G25405" s="3" t="s">
        <v>13127</v>
      </c>
    </row>
    <row r="25406">
      <c r="A25406" s="3" t="s">
        <v>41803</v>
      </c>
      <c r="B25406" s="3" t="s">
        <v>20736</v>
      </c>
      <c r="C25406" s="5" t="s">
        <v>614</v>
      </c>
      <c r="D25406" s="3" t="s">
        <v>206</v>
      </c>
      <c r="E25406" s="3" t="s">
        <v>100</v>
      </c>
      <c r="F25406" s="7">
        <v>46234.552316763875</v>
      </c>
      <c r="G25406" s="3" t="s">
        <v>13130</v>
      </c>
    </row>
    <row r="25407">
      <c r="A25407" s="3" t="s">
        <v>41804</v>
      </c>
      <c r="B25407" s="3" t="s">
        <v>20736</v>
      </c>
      <c r="C25407" s="5" t="s">
        <v>206</v>
      </c>
      <c r="D25407" s="3" t="s">
        <v>68</v>
      </c>
      <c r="E25407" s="3" t="s">
        <v>100</v>
      </c>
      <c r="F25407" s="7">
        <v>46234.555788986094</v>
      </c>
      <c r="G25407" s="3" t="s">
        <v>13133</v>
      </c>
    </row>
    <row r="25408">
      <c r="A25408" s="3" t="s">
        <v>41805</v>
      </c>
      <c r="B25408" s="3" t="s">
        <v>20738</v>
      </c>
      <c r="C25408" s="5" t="s">
        <v>45</v>
      </c>
      <c r="D25408" s="3" t="s">
        <v>221</v>
      </c>
      <c r="E25408" s="3" t="s">
        <v>586</v>
      </c>
      <c r="F25408" s="7">
        <v>46234.61654716485</v>
      </c>
      <c r="G25408" s="3" t="s">
        <v>19542</v>
      </c>
    </row>
    <row r="25409">
      <c r="A25409" s="3" t="s">
        <v>41806</v>
      </c>
      <c r="B25409" s="3" t="s">
        <v>20738</v>
      </c>
      <c r="C25409" s="5" t="s">
        <v>221</v>
      </c>
      <c r="D25409" s="3" t="s">
        <v>614</v>
      </c>
      <c r="E25409" s="3" t="s">
        <v>118</v>
      </c>
      <c r="F25409" s="7">
        <v>46234.62001938707</v>
      </c>
      <c r="G25409" s="3" t="s">
        <v>19544</v>
      </c>
    </row>
    <row r="25410">
      <c r="A25410" s="3" t="s">
        <v>41807</v>
      </c>
      <c r="B25410" s="3" t="s">
        <v>20738</v>
      </c>
      <c r="C25410" s="5" t="s">
        <v>614</v>
      </c>
      <c r="D25410" s="3" t="s">
        <v>206</v>
      </c>
      <c r="E25410" s="3" t="s">
        <v>100</v>
      </c>
      <c r="F25410" s="7">
        <v>46234.623491609294</v>
      </c>
      <c r="G25410" s="3" t="s">
        <v>19547</v>
      </c>
    </row>
    <row r="25411">
      <c r="A25411" s="3" t="s">
        <v>41808</v>
      </c>
      <c r="B25411" s="3" t="s">
        <v>20738</v>
      </c>
      <c r="C25411" s="5" t="s">
        <v>206</v>
      </c>
      <c r="D25411" s="3" t="s">
        <v>68</v>
      </c>
      <c r="E25411" s="3" t="s">
        <v>100</v>
      </c>
      <c r="F25411" s="7">
        <v>46234.62696383151</v>
      </c>
      <c r="G25411" s="3" t="s">
        <v>19550</v>
      </c>
    </row>
    <row r="25412">
      <c r="A25412" s="3" t="s">
        <v>41809</v>
      </c>
      <c r="B25412" s="3" t="s">
        <v>20740</v>
      </c>
      <c r="C25412" s="5" t="s">
        <v>45</v>
      </c>
      <c r="D25412" s="3" t="s">
        <v>221</v>
      </c>
      <c r="E25412" s="3" t="s">
        <v>366</v>
      </c>
      <c r="F25412" s="7">
        <v>46234.687722010254</v>
      </c>
      <c r="G25412" s="3" t="s">
        <v>10279</v>
      </c>
    </row>
    <row r="25413">
      <c r="A25413" s="3" t="s">
        <v>41810</v>
      </c>
      <c r="B25413" s="3" t="s">
        <v>20740</v>
      </c>
      <c r="C25413" s="5" t="s">
        <v>221</v>
      </c>
      <c r="D25413" s="3" t="s">
        <v>614</v>
      </c>
      <c r="E25413" s="3" t="s">
        <v>118</v>
      </c>
      <c r="F25413" s="7">
        <v>46234.69119423247</v>
      </c>
      <c r="G25413" s="3" t="s">
        <v>10282</v>
      </c>
    </row>
    <row r="25414">
      <c r="A25414" s="3" t="s">
        <v>41811</v>
      </c>
      <c r="B25414" s="3" t="s">
        <v>20740</v>
      </c>
      <c r="C25414" s="5" t="s">
        <v>614</v>
      </c>
      <c r="D25414" s="3" t="s">
        <v>206</v>
      </c>
      <c r="E25414" s="3" t="s">
        <v>100</v>
      </c>
      <c r="F25414" s="7">
        <v>46234.6946664547</v>
      </c>
      <c r="G25414" s="3" t="s">
        <v>10285</v>
      </c>
    </row>
    <row r="25415">
      <c r="A25415" s="3" t="s">
        <v>41812</v>
      </c>
      <c r="B25415" s="3" t="s">
        <v>20740</v>
      </c>
      <c r="C25415" s="5" t="s">
        <v>206</v>
      </c>
      <c r="D25415" s="3" t="s">
        <v>68</v>
      </c>
      <c r="E25415" s="3" t="s">
        <v>100</v>
      </c>
      <c r="F25415" s="7">
        <v>46234.69813867692</v>
      </c>
      <c r="G25415" s="3" t="s">
        <v>10288</v>
      </c>
    </row>
    <row r="25416">
      <c r="A25416" s="3" t="s">
        <v>41813</v>
      </c>
      <c r="B25416" s="3" t="s">
        <v>20742</v>
      </c>
      <c r="C25416" s="5" t="s">
        <v>45</v>
      </c>
      <c r="D25416" s="3" t="s">
        <v>221</v>
      </c>
      <c r="E25416" s="3" t="s">
        <v>781</v>
      </c>
      <c r="F25416" s="7">
        <v>46234.758896855674</v>
      </c>
      <c r="G25416" s="3" t="s">
        <v>5450</v>
      </c>
    </row>
    <row r="25417">
      <c r="A25417" s="3" t="s">
        <v>41814</v>
      </c>
      <c r="B25417" s="3" t="s">
        <v>20742</v>
      </c>
      <c r="C25417" s="5" t="s">
        <v>221</v>
      </c>
      <c r="D25417" s="3" t="s">
        <v>614</v>
      </c>
      <c r="E25417" s="3" t="s">
        <v>118</v>
      </c>
      <c r="F25417" s="7">
        <v>46234.76236907789</v>
      </c>
      <c r="G25417" s="3" t="s">
        <v>11062</v>
      </c>
    </row>
    <row r="25418">
      <c r="A25418" s="3" t="s">
        <v>41815</v>
      </c>
      <c r="B25418" s="3" t="s">
        <v>20742</v>
      </c>
      <c r="C25418" s="5" t="s">
        <v>614</v>
      </c>
      <c r="D25418" s="3" t="s">
        <v>206</v>
      </c>
      <c r="E25418" s="3" t="s">
        <v>100</v>
      </c>
      <c r="F25418" s="7">
        <v>46234.76584130012</v>
      </c>
      <c r="G25418" s="3" t="s">
        <v>11064</v>
      </c>
    </row>
    <row r="25419">
      <c r="A25419" s="3" t="s">
        <v>41816</v>
      </c>
      <c r="B25419" s="3" t="s">
        <v>20742</v>
      </c>
      <c r="C25419" s="5" t="s">
        <v>206</v>
      </c>
      <c r="D25419" s="3" t="s">
        <v>68</v>
      </c>
      <c r="E25419" s="3" t="s">
        <v>100</v>
      </c>
      <c r="F25419" s="7">
        <v>46234.76931352234</v>
      </c>
      <c r="G25419" s="3" t="s">
        <v>11067</v>
      </c>
    </row>
    <row r="25420">
      <c r="A25420" s="3" t="s">
        <v>41817</v>
      </c>
      <c r="B25420" s="3" t="s">
        <v>20744</v>
      </c>
      <c r="C25420" s="5" t="s">
        <v>45</v>
      </c>
      <c r="D25420" s="3" t="s">
        <v>221</v>
      </c>
      <c r="E25420" s="3" t="s">
        <v>352</v>
      </c>
      <c r="F25420" s="7">
        <v>46234.83007170109</v>
      </c>
      <c r="G25420" s="3" t="s">
        <v>7342</v>
      </c>
    </row>
    <row r="25421">
      <c r="A25421" s="3" t="s">
        <v>41818</v>
      </c>
      <c r="B25421" s="3" t="s">
        <v>20744</v>
      </c>
      <c r="C25421" s="5" t="s">
        <v>221</v>
      </c>
      <c r="D25421" s="3" t="s">
        <v>614</v>
      </c>
      <c r="E25421" s="3" t="s">
        <v>118</v>
      </c>
      <c r="F25421" s="7">
        <v>46234.83354392331</v>
      </c>
      <c r="G25421" s="3" t="s">
        <v>7345</v>
      </c>
    </row>
    <row r="25422">
      <c r="A25422" s="3" t="s">
        <v>41819</v>
      </c>
      <c r="B25422" s="3" t="s">
        <v>20744</v>
      </c>
      <c r="C25422" s="5" t="s">
        <v>614</v>
      </c>
      <c r="D25422" s="3" t="s">
        <v>206</v>
      </c>
      <c r="E25422" s="3" t="s">
        <v>100</v>
      </c>
      <c r="F25422" s="7">
        <v>46234.83701614554</v>
      </c>
      <c r="G25422" s="3" t="s">
        <v>7348</v>
      </c>
    </row>
    <row r="25423">
      <c r="A25423" s="3" t="s">
        <v>41820</v>
      </c>
      <c r="B25423" s="3" t="s">
        <v>20744</v>
      </c>
      <c r="C25423" s="5" t="s">
        <v>206</v>
      </c>
      <c r="D25423" s="3" t="s">
        <v>68</v>
      </c>
      <c r="E25423" s="3" t="s">
        <v>100</v>
      </c>
      <c r="F25423" s="7">
        <v>46234.84048836776</v>
      </c>
      <c r="G25423" s="3" t="s">
        <v>7351</v>
      </c>
    </row>
    <row r="25424">
      <c r="A25424" s="3" t="s">
        <v>41821</v>
      </c>
      <c r="B25424" s="3" t="s">
        <v>20746</v>
      </c>
      <c r="C25424" s="5" t="s">
        <v>45</v>
      </c>
      <c r="D25424" s="3" t="s">
        <v>221</v>
      </c>
      <c r="E25424" s="3" t="s">
        <v>276</v>
      </c>
      <c r="F25424" s="7">
        <v>46234.901246546506</v>
      </c>
      <c r="G25424" s="3" t="s">
        <v>18096</v>
      </c>
    </row>
    <row r="25425">
      <c r="A25425" s="3" t="s">
        <v>41822</v>
      </c>
      <c r="B25425" s="3" t="s">
        <v>20746</v>
      </c>
      <c r="C25425" s="5" t="s">
        <v>221</v>
      </c>
      <c r="D25425" s="3" t="s">
        <v>614</v>
      </c>
      <c r="E25425" s="3" t="s">
        <v>118</v>
      </c>
      <c r="F25425" s="7">
        <v>46234.904718768725</v>
      </c>
      <c r="G25425" s="3" t="s">
        <v>18099</v>
      </c>
    </row>
    <row r="25426">
      <c r="A25426" s="3" t="s">
        <v>41823</v>
      </c>
      <c r="B25426" s="3" t="s">
        <v>20746</v>
      </c>
      <c r="C25426" s="5" t="s">
        <v>614</v>
      </c>
      <c r="D25426" s="3" t="s">
        <v>206</v>
      </c>
      <c r="E25426" s="3" t="s">
        <v>100</v>
      </c>
      <c r="F25426" s="7">
        <v>46234.90819099095</v>
      </c>
      <c r="G25426" s="3" t="s">
        <v>18102</v>
      </c>
    </row>
    <row r="25427">
      <c r="A25427" s="3" t="s">
        <v>41824</v>
      </c>
      <c r="B25427" s="3" t="s">
        <v>20746</v>
      </c>
      <c r="C25427" s="5" t="s">
        <v>206</v>
      </c>
      <c r="D25427" s="3" t="s">
        <v>68</v>
      </c>
      <c r="E25427" s="3" t="s">
        <v>100</v>
      </c>
      <c r="F25427" s="7">
        <v>46234.91166321317</v>
      </c>
      <c r="G25427" s="3" t="s">
        <v>18105</v>
      </c>
    </row>
    <row r="25428">
      <c r="A25428" s="3" t="s">
        <v>41825</v>
      </c>
      <c r="B25428" s="3" t="s">
        <v>20749</v>
      </c>
      <c r="C25428" s="5" t="s">
        <v>45</v>
      </c>
      <c r="D25428" s="3" t="s">
        <v>221</v>
      </c>
      <c r="E25428" s="3" t="s">
        <v>853</v>
      </c>
      <c r="F25428" s="7">
        <v>46234.97242139192</v>
      </c>
      <c r="G25428" s="3" t="s">
        <v>10403</v>
      </c>
    </row>
    <row r="25429">
      <c r="A25429" s="3" t="s">
        <v>41826</v>
      </c>
      <c r="B25429" s="3" t="s">
        <v>20749</v>
      </c>
      <c r="C25429" s="5" t="s">
        <v>221</v>
      </c>
      <c r="D25429" s="3" t="s">
        <v>614</v>
      </c>
      <c r="E25429" s="3" t="s">
        <v>118</v>
      </c>
      <c r="F25429" s="7">
        <v>46234.97589361414</v>
      </c>
      <c r="G25429" s="3" t="s">
        <v>10406</v>
      </c>
    </row>
    <row r="25430">
      <c r="A25430" s="3" t="s">
        <v>41827</v>
      </c>
      <c r="B25430" s="3" t="s">
        <v>20749</v>
      </c>
      <c r="C25430" s="5" t="s">
        <v>614</v>
      </c>
      <c r="D25430" s="3" t="s">
        <v>206</v>
      </c>
      <c r="E25430" s="3" t="s">
        <v>100</v>
      </c>
      <c r="F25430" s="7">
        <v>46234.97936583636</v>
      </c>
      <c r="G25430" s="3" t="s">
        <v>10409</v>
      </c>
    </row>
    <row r="25431">
      <c r="A25431" s="3" t="s">
        <v>41828</v>
      </c>
      <c r="B25431" s="3" t="s">
        <v>20749</v>
      </c>
      <c r="C25431" s="5" t="s">
        <v>206</v>
      </c>
      <c r="D25431" s="3" t="s">
        <v>68</v>
      </c>
      <c r="E25431" s="3" t="s">
        <v>100</v>
      </c>
      <c r="F25431" s="7">
        <v>46234.98283805858</v>
      </c>
      <c r="G25431" s="3" t="s">
        <v>10412</v>
      </c>
    </row>
    <row r="25432">
      <c r="A25432" s="3" t="s">
        <v>41829</v>
      </c>
      <c r="B25432" s="3" t="s">
        <v>20751</v>
      </c>
      <c r="C25432" s="5" t="s">
        <v>45</v>
      </c>
      <c r="D25432" s="3" t="s">
        <v>221</v>
      </c>
      <c r="E25432" s="3" t="s">
        <v>722</v>
      </c>
      <c r="F25432" s="7">
        <v>46235.04359623734</v>
      </c>
      <c r="G25432" s="3" t="s">
        <v>11700</v>
      </c>
    </row>
    <row r="25433">
      <c r="A25433" s="3" t="s">
        <v>41830</v>
      </c>
      <c r="B25433" s="3" t="s">
        <v>20751</v>
      </c>
      <c r="C25433" s="5" t="s">
        <v>221</v>
      </c>
      <c r="D25433" s="3" t="s">
        <v>614</v>
      </c>
      <c r="E25433" s="3" t="s">
        <v>118</v>
      </c>
      <c r="F25433" s="7">
        <v>46235.04706845956</v>
      </c>
      <c r="G25433" s="3" t="s">
        <v>11703</v>
      </c>
    </row>
    <row r="25434">
      <c r="A25434" s="3" t="s">
        <v>41831</v>
      </c>
      <c r="B25434" s="3" t="s">
        <v>20751</v>
      </c>
      <c r="C25434" s="5" t="s">
        <v>614</v>
      </c>
      <c r="D25434" s="3" t="s">
        <v>206</v>
      </c>
      <c r="E25434" s="3" t="s">
        <v>100</v>
      </c>
      <c r="F25434" s="7">
        <v>46235.05054068178</v>
      </c>
      <c r="G25434" s="3" t="s">
        <v>11706</v>
      </c>
    </row>
    <row r="25435">
      <c r="A25435" s="3" t="s">
        <v>41832</v>
      </c>
      <c r="B25435" s="3" t="s">
        <v>20751</v>
      </c>
      <c r="C25435" s="5" t="s">
        <v>206</v>
      </c>
      <c r="D25435" s="3" t="s">
        <v>68</v>
      </c>
      <c r="E25435" s="3" t="s">
        <v>100</v>
      </c>
      <c r="F25435" s="7">
        <v>46235.054012904</v>
      </c>
      <c r="G25435" s="3" t="s">
        <v>11709</v>
      </c>
    </row>
    <row r="25436">
      <c r="A25436" s="3" t="s">
        <v>41833</v>
      </c>
      <c r="B25436" s="3" t="s">
        <v>20753</v>
      </c>
      <c r="C25436" s="5" t="s">
        <v>45</v>
      </c>
      <c r="D25436" s="3" t="s">
        <v>221</v>
      </c>
      <c r="E25436" s="3" t="s">
        <v>502</v>
      </c>
      <c r="F25436" s="7">
        <v>46235.11477108275</v>
      </c>
      <c r="G25436" s="3" t="s">
        <v>25071</v>
      </c>
    </row>
    <row r="25437">
      <c r="A25437" s="3" t="s">
        <v>41834</v>
      </c>
      <c r="B25437" s="3" t="s">
        <v>20753</v>
      </c>
      <c r="C25437" s="5" t="s">
        <v>221</v>
      </c>
      <c r="D25437" s="3" t="s">
        <v>614</v>
      </c>
      <c r="E25437" s="3" t="s">
        <v>118</v>
      </c>
      <c r="F25437" s="7">
        <v>46235.11824330497</v>
      </c>
      <c r="G25437" s="3" t="s">
        <v>25073</v>
      </c>
    </row>
    <row r="25438">
      <c r="A25438" s="3" t="s">
        <v>41835</v>
      </c>
      <c r="B25438" s="3" t="s">
        <v>20753</v>
      </c>
      <c r="C25438" s="5" t="s">
        <v>614</v>
      </c>
      <c r="D25438" s="3" t="s">
        <v>206</v>
      </c>
      <c r="E25438" s="3" t="s">
        <v>100</v>
      </c>
      <c r="F25438" s="7">
        <v>46235.121715527195</v>
      </c>
      <c r="G25438" s="3" t="s">
        <v>25075</v>
      </c>
    </row>
    <row r="25439">
      <c r="A25439" s="3" t="s">
        <v>41836</v>
      </c>
      <c r="B25439" s="3" t="s">
        <v>20753</v>
      </c>
      <c r="C25439" s="5" t="s">
        <v>206</v>
      </c>
      <c r="D25439" s="3" t="s">
        <v>68</v>
      </c>
      <c r="E25439" s="3" t="s">
        <v>100</v>
      </c>
      <c r="F25439" s="7">
        <v>46235.125187749414</v>
      </c>
      <c r="G25439" s="3" t="s">
        <v>25077</v>
      </c>
    </row>
    <row r="25440">
      <c r="A25440" s="3" t="s">
        <v>41837</v>
      </c>
      <c r="B25440" s="3" t="s">
        <v>20755</v>
      </c>
      <c r="C25440" s="5" t="s">
        <v>45</v>
      </c>
      <c r="D25440" s="3" t="s">
        <v>221</v>
      </c>
      <c r="E25440" s="3" t="s">
        <v>579</v>
      </c>
      <c r="F25440" s="7">
        <v>46235.18594592816</v>
      </c>
      <c r="G25440" s="3" t="s">
        <v>32601</v>
      </c>
    </row>
    <row r="25441">
      <c r="A25441" s="3" t="s">
        <v>41838</v>
      </c>
      <c r="B25441" s="3" t="s">
        <v>20755</v>
      </c>
      <c r="C25441" s="5" t="s">
        <v>221</v>
      </c>
      <c r="D25441" s="3" t="s">
        <v>181</v>
      </c>
      <c r="E25441" s="3" t="s">
        <v>118</v>
      </c>
      <c r="F25441" s="7">
        <v>46235.18941815038</v>
      </c>
      <c r="G25441" s="3" t="s">
        <v>32603</v>
      </c>
    </row>
    <row r="25442">
      <c r="A25442" s="3" t="s">
        <v>41839</v>
      </c>
      <c r="B25442" s="3" t="s">
        <v>20757</v>
      </c>
      <c r="C25442" s="5" t="s">
        <v>45</v>
      </c>
      <c r="D25442" s="3" t="s">
        <v>221</v>
      </c>
      <c r="E25442" s="3" t="s">
        <v>310</v>
      </c>
      <c r="F25442" s="7">
        <v>46235.25712077358</v>
      </c>
      <c r="G25442" s="3" t="s">
        <v>10495</v>
      </c>
    </row>
    <row r="25443">
      <c r="A25443" s="3" t="s">
        <v>41840</v>
      </c>
      <c r="B25443" s="3" t="s">
        <v>20757</v>
      </c>
      <c r="C25443" s="5" t="s">
        <v>221</v>
      </c>
      <c r="D25443" s="3" t="s">
        <v>614</v>
      </c>
      <c r="E25443" s="3" t="s">
        <v>118</v>
      </c>
      <c r="F25443" s="7">
        <v>46235.2605929958</v>
      </c>
      <c r="G25443" s="3" t="s">
        <v>10498</v>
      </c>
    </row>
    <row r="25444">
      <c r="A25444" s="3" t="s">
        <v>41841</v>
      </c>
      <c r="B25444" s="3" t="s">
        <v>20757</v>
      </c>
      <c r="C25444" s="5" t="s">
        <v>614</v>
      </c>
      <c r="D25444" s="3" t="s">
        <v>206</v>
      </c>
      <c r="E25444" s="3" t="s">
        <v>100</v>
      </c>
      <c r="F25444" s="7">
        <v>46235.26406521803</v>
      </c>
      <c r="G25444" s="3" t="s">
        <v>10500</v>
      </c>
    </row>
    <row r="25445">
      <c r="A25445" s="3" t="s">
        <v>41842</v>
      </c>
      <c r="B25445" s="3" t="s">
        <v>20757</v>
      </c>
      <c r="C25445" s="5" t="s">
        <v>206</v>
      </c>
      <c r="D25445" s="3" t="s">
        <v>68</v>
      </c>
      <c r="E25445" s="3" t="s">
        <v>100</v>
      </c>
      <c r="F25445" s="7">
        <v>46235.267537440246</v>
      </c>
      <c r="G25445" s="3" t="s">
        <v>10503</v>
      </c>
    </row>
    <row r="25446">
      <c r="A25446" s="3" t="s">
        <v>41843</v>
      </c>
      <c r="B25446" s="3" t="s">
        <v>20759</v>
      </c>
      <c r="C25446" s="5" t="s">
        <v>45</v>
      </c>
      <c r="D25446" s="3" t="s">
        <v>221</v>
      </c>
      <c r="E25446" s="3" t="s">
        <v>922</v>
      </c>
      <c r="F25446" s="7">
        <v>46235.328295618994</v>
      </c>
      <c r="G25446" s="3" t="s">
        <v>15629</v>
      </c>
    </row>
    <row r="25447">
      <c r="A25447" s="3" t="s">
        <v>41844</v>
      </c>
      <c r="B25447" s="3" t="s">
        <v>20759</v>
      </c>
      <c r="C25447" s="5" t="s">
        <v>221</v>
      </c>
      <c r="D25447" s="3" t="s">
        <v>614</v>
      </c>
      <c r="E25447" s="3" t="s">
        <v>118</v>
      </c>
      <c r="F25447" s="7">
        <v>46235.33176784121</v>
      </c>
      <c r="G25447" s="3" t="s">
        <v>15632</v>
      </c>
    </row>
    <row r="25448">
      <c r="A25448" s="3" t="s">
        <v>41845</v>
      </c>
      <c r="B25448" s="3" t="s">
        <v>20759</v>
      </c>
      <c r="C25448" s="5" t="s">
        <v>614</v>
      </c>
      <c r="D25448" s="3" t="s">
        <v>206</v>
      </c>
      <c r="E25448" s="3" t="s">
        <v>100</v>
      </c>
      <c r="F25448" s="7">
        <v>46235.33524006344</v>
      </c>
      <c r="G25448" s="3" t="s">
        <v>15634</v>
      </c>
    </row>
    <row r="25449">
      <c r="A25449" s="3" t="s">
        <v>41846</v>
      </c>
      <c r="B25449" s="3" t="s">
        <v>20759</v>
      </c>
      <c r="C25449" s="5" t="s">
        <v>206</v>
      </c>
      <c r="D25449" s="3" t="s">
        <v>68</v>
      </c>
      <c r="E25449" s="3" t="s">
        <v>100</v>
      </c>
      <c r="F25449" s="7">
        <v>46235.33871228566</v>
      </c>
      <c r="G25449" s="3" t="s">
        <v>15637</v>
      </c>
    </row>
    <row r="25450">
      <c r="A25450" s="3" t="s">
        <v>41847</v>
      </c>
      <c r="B25450" s="3" t="s">
        <v>20761</v>
      </c>
      <c r="C25450" s="5" t="s">
        <v>45</v>
      </c>
      <c r="D25450" s="3" t="s">
        <v>221</v>
      </c>
      <c r="E25450" s="3" t="s">
        <v>141</v>
      </c>
      <c r="F25450" s="7">
        <v>46235.39947046441</v>
      </c>
      <c r="G25450" s="3" t="s">
        <v>7094</v>
      </c>
    </row>
    <row r="25451">
      <c r="A25451" s="3" t="s">
        <v>41848</v>
      </c>
      <c r="B25451" s="3" t="s">
        <v>20761</v>
      </c>
      <c r="C25451" s="5" t="s">
        <v>221</v>
      </c>
      <c r="D25451" s="3" t="s">
        <v>614</v>
      </c>
      <c r="E25451" s="3" t="s">
        <v>118</v>
      </c>
      <c r="F25451" s="7">
        <v>46235.402942686625</v>
      </c>
      <c r="G25451" s="3" t="s">
        <v>7096</v>
      </c>
    </row>
    <row r="25452">
      <c r="A25452" s="3" t="s">
        <v>41849</v>
      </c>
      <c r="B25452" s="3" t="s">
        <v>20761</v>
      </c>
      <c r="C25452" s="5" t="s">
        <v>614</v>
      </c>
      <c r="D25452" s="3" t="s">
        <v>206</v>
      </c>
      <c r="E25452" s="3" t="s">
        <v>100</v>
      </c>
      <c r="F25452" s="7">
        <v>46235.40641490885</v>
      </c>
      <c r="G25452" s="3" t="s">
        <v>7099</v>
      </c>
    </row>
    <row r="25453">
      <c r="A25453" s="3" t="s">
        <v>41850</v>
      </c>
      <c r="B25453" s="3" t="s">
        <v>20761</v>
      </c>
      <c r="C25453" s="5" t="s">
        <v>206</v>
      </c>
      <c r="D25453" s="3" t="s">
        <v>68</v>
      </c>
      <c r="E25453" s="3" t="s">
        <v>100</v>
      </c>
      <c r="F25453" s="7">
        <v>46235.40988713107</v>
      </c>
      <c r="G25453" s="3" t="s">
        <v>7103</v>
      </c>
    </row>
    <row r="25454">
      <c r="A25454" s="3" t="s">
        <v>41851</v>
      </c>
      <c r="B25454" s="3" t="s">
        <v>20765</v>
      </c>
      <c r="C25454" s="5" t="s">
        <v>45</v>
      </c>
      <c r="D25454" s="3" t="s">
        <v>221</v>
      </c>
      <c r="E25454" s="3" t="s">
        <v>841</v>
      </c>
      <c r="F25454" s="7">
        <v>46235.470645309826</v>
      </c>
      <c r="G25454" s="3" t="s">
        <v>10844</v>
      </c>
    </row>
    <row r="25455">
      <c r="A25455" s="3" t="s">
        <v>41852</v>
      </c>
      <c r="B25455" s="3" t="s">
        <v>20765</v>
      </c>
      <c r="C25455" s="5" t="s">
        <v>221</v>
      </c>
      <c r="D25455" s="3" t="s">
        <v>614</v>
      </c>
      <c r="E25455" s="3" t="s">
        <v>118</v>
      </c>
      <c r="F25455" s="7">
        <v>46235.474117532045</v>
      </c>
      <c r="G25455" s="3" t="s">
        <v>10847</v>
      </c>
    </row>
    <row r="25456">
      <c r="A25456" s="3" t="s">
        <v>41853</v>
      </c>
      <c r="B25456" s="3" t="s">
        <v>20765</v>
      </c>
      <c r="C25456" s="5" t="s">
        <v>614</v>
      </c>
      <c r="D25456" s="3" t="s">
        <v>206</v>
      </c>
      <c r="E25456" s="3" t="s">
        <v>100</v>
      </c>
      <c r="F25456" s="7">
        <v>46235.47758975427</v>
      </c>
      <c r="G25456" s="3" t="s">
        <v>10850</v>
      </c>
    </row>
    <row r="25457">
      <c r="A25457" s="3" t="s">
        <v>41854</v>
      </c>
      <c r="B25457" s="3" t="s">
        <v>20765</v>
      </c>
      <c r="C25457" s="5" t="s">
        <v>206</v>
      </c>
      <c r="D25457" s="3" t="s">
        <v>68</v>
      </c>
      <c r="E25457" s="3" t="s">
        <v>100</v>
      </c>
      <c r="F25457" s="7">
        <v>46235.48106197649</v>
      </c>
      <c r="G25457" s="3" t="s">
        <v>10853</v>
      </c>
    </row>
    <row r="25458">
      <c r="A25458" s="3" t="s">
        <v>41855</v>
      </c>
      <c r="B25458" s="3" t="s">
        <v>20769</v>
      </c>
      <c r="C25458" s="5" t="s">
        <v>45</v>
      </c>
      <c r="D25458" s="3" t="s">
        <v>221</v>
      </c>
      <c r="E25458" s="3" t="s">
        <v>864</v>
      </c>
      <c r="F25458" s="7">
        <v>46235.541820155246</v>
      </c>
      <c r="G25458" s="3" t="s">
        <v>10040</v>
      </c>
    </row>
    <row r="25459">
      <c r="A25459" s="3" t="s">
        <v>41856</v>
      </c>
      <c r="B25459" s="3" t="s">
        <v>20769</v>
      </c>
      <c r="C25459" s="5" t="s">
        <v>221</v>
      </c>
      <c r="D25459" s="3" t="s">
        <v>614</v>
      </c>
      <c r="E25459" s="3" t="s">
        <v>118</v>
      </c>
      <c r="F25459" s="7">
        <v>46235.545292377465</v>
      </c>
      <c r="G25459" s="3" t="s">
        <v>10043</v>
      </c>
    </row>
    <row r="25460">
      <c r="A25460" s="3" t="s">
        <v>41857</v>
      </c>
      <c r="B25460" s="3" t="s">
        <v>20769</v>
      </c>
      <c r="C25460" s="5" t="s">
        <v>614</v>
      </c>
      <c r="D25460" s="3" t="s">
        <v>206</v>
      </c>
      <c r="E25460" s="3" t="s">
        <v>100</v>
      </c>
      <c r="F25460" s="7">
        <v>46235.54876459969</v>
      </c>
      <c r="G25460" s="3" t="s">
        <v>10047</v>
      </c>
    </row>
    <row r="25461">
      <c r="A25461" s="3" t="s">
        <v>41858</v>
      </c>
      <c r="B25461" s="3" t="s">
        <v>20769</v>
      </c>
      <c r="C25461" s="5" t="s">
        <v>206</v>
      </c>
      <c r="D25461" s="3" t="s">
        <v>68</v>
      </c>
      <c r="E25461" s="3" t="s">
        <v>100</v>
      </c>
      <c r="F25461" s="7">
        <v>46235.55223682191</v>
      </c>
      <c r="G25461" s="3" t="s">
        <v>10050</v>
      </c>
    </row>
    <row r="25462">
      <c r="A25462" s="3" t="s">
        <v>41859</v>
      </c>
      <c r="B25462" s="3" t="s">
        <v>20771</v>
      </c>
      <c r="C25462" s="5" t="s">
        <v>45</v>
      </c>
      <c r="D25462" s="3" t="s">
        <v>221</v>
      </c>
      <c r="E25462" s="3" t="s">
        <v>202</v>
      </c>
      <c r="F25462" s="7">
        <v>46235.61299500065</v>
      </c>
      <c r="G25462" s="3" t="s">
        <v>4031</v>
      </c>
    </row>
    <row r="25463">
      <c r="A25463" s="3" t="s">
        <v>41860</v>
      </c>
      <c r="B25463" s="3" t="s">
        <v>20771</v>
      </c>
      <c r="C25463" s="5" t="s">
        <v>221</v>
      </c>
      <c r="D25463" s="3" t="s">
        <v>614</v>
      </c>
      <c r="E25463" s="3" t="s">
        <v>118</v>
      </c>
      <c r="F25463" s="7">
        <v>46235.61646722287</v>
      </c>
      <c r="G25463" s="3" t="s">
        <v>4034</v>
      </c>
    </row>
    <row r="25464">
      <c r="A25464" s="3" t="s">
        <v>41861</v>
      </c>
      <c r="B25464" s="3" t="s">
        <v>20771</v>
      </c>
      <c r="C25464" s="5" t="s">
        <v>614</v>
      </c>
      <c r="D25464" s="3" t="s">
        <v>206</v>
      </c>
      <c r="E25464" s="3" t="s">
        <v>100</v>
      </c>
      <c r="F25464" s="7">
        <v>46235.619939445096</v>
      </c>
      <c r="G25464" s="3" t="s">
        <v>4037</v>
      </c>
    </row>
    <row r="25465">
      <c r="A25465" s="3" t="s">
        <v>41862</v>
      </c>
      <c r="B25465" s="3" t="s">
        <v>20771</v>
      </c>
      <c r="C25465" s="5" t="s">
        <v>206</v>
      </c>
      <c r="D25465" s="3" t="s">
        <v>68</v>
      </c>
      <c r="E25465" s="3" t="s">
        <v>100</v>
      </c>
      <c r="F25465" s="7">
        <v>46235.623411667315</v>
      </c>
      <c r="G25465" s="3" t="s">
        <v>4040</v>
      </c>
    </row>
    <row r="25466">
      <c r="A25466" s="3" t="s">
        <v>41863</v>
      </c>
      <c r="B25466" s="3" t="s">
        <v>20773</v>
      </c>
      <c r="C25466" s="5" t="s">
        <v>45</v>
      </c>
      <c r="D25466" s="3" t="s">
        <v>221</v>
      </c>
      <c r="E25466" s="3" t="s">
        <v>145</v>
      </c>
      <c r="F25466" s="7">
        <v>46235.68416984607</v>
      </c>
      <c r="G25466" s="3" t="s">
        <v>9090</v>
      </c>
    </row>
    <row r="25467">
      <c r="A25467" s="3" t="s">
        <v>41864</v>
      </c>
      <c r="B25467" s="3" t="s">
        <v>20773</v>
      </c>
      <c r="C25467" s="5" t="s">
        <v>221</v>
      </c>
      <c r="D25467" s="3" t="s">
        <v>614</v>
      </c>
      <c r="E25467" s="3" t="s">
        <v>118</v>
      </c>
      <c r="F25467" s="7">
        <v>46235.68764206829</v>
      </c>
      <c r="G25467" s="3" t="s">
        <v>36569</v>
      </c>
    </row>
    <row r="25468">
      <c r="A25468" s="3" t="s">
        <v>41865</v>
      </c>
      <c r="B25468" s="3" t="s">
        <v>20773</v>
      </c>
      <c r="C25468" s="5" t="s">
        <v>614</v>
      </c>
      <c r="D25468" s="3" t="s">
        <v>206</v>
      </c>
      <c r="E25468" s="3" t="s">
        <v>100</v>
      </c>
      <c r="F25468" s="7">
        <v>46235.691114290516</v>
      </c>
      <c r="G25468" s="3" t="s">
        <v>36571</v>
      </c>
    </row>
    <row r="25469">
      <c r="A25469" s="3" t="s">
        <v>41866</v>
      </c>
      <c r="B25469" s="3" t="s">
        <v>20773</v>
      </c>
      <c r="C25469" s="5" t="s">
        <v>206</v>
      </c>
      <c r="D25469" s="3" t="s">
        <v>68</v>
      </c>
      <c r="E25469" s="3" t="s">
        <v>100</v>
      </c>
      <c r="F25469" s="7">
        <v>46235.694586512735</v>
      </c>
      <c r="G25469" s="3" t="s">
        <v>36573</v>
      </c>
    </row>
    <row r="25470">
      <c r="A25470" s="3" t="s">
        <v>41867</v>
      </c>
      <c r="B25470" s="3" t="s">
        <v>20775</v>
      </c>
      <c r="C25470" s="5" t="s">
        <v>45</v>
      </c>
      <c r="D25470" s="3" t="s">
        <v>221</v>
      </c>
      <c r="E25470" s="3" t="s">
        <v>507</v>
      </c>
      <c r="F25470" s="7">
        <v>46235.75534469149</v>
      </c>
      <c r="G25470" s="3" t="s">
        <v>10645</v>
      </c>
    </row>
    <row r="25471">
      <c r="A25471" s="3" t="s">
        <v>41868</v>
      </c>
      <c r="B25471" s="3" t="s">
        <v>20775</v>
      </c>
      <c r="C25471" s="5" t="s">
        <v>221</v>
      </c>
      <c r="D25471" s="3" t="s">
        <v>614</v>
      </c>
      <c r="E25471" s="3" t="s">
        <v>118</v>
      </c>
      <c r="F25471" s="7">
        <v>46235.75881691371</v>
      </c>
      <c r="G25471" s="3" t="s">
        <v>10648</v>
      </c>
    </row>
    <row r="25472">
      <c r="A25472" s="3" t="s">
        <v>41869</v>
      </c>
      <c r="B25472" s="3" t="s">
        <v>20775</v>
      </c>
      <c r="C25472" s="5" t="s">
        <v>614</v>
      </c>
      <c r="D25472" s="3" t="s">
        <v>206</v>
      </c>
      <c r="E25472" s="3" t="s">
        <v>100</v>
      </c>
      <c r="F25472" s="7">
        <v>46235.762289135935</v>
      </c>
      <c r="G25472" s="3" t="s">
        <v>10651</v>
      </c>
    </row>
    <row r="25473">
      <c r="A25473" s="3" t="s">
        <v>41870</v>
      </c>
      <c r="B25473" s="3" t="s">
        <v>20775</v>
      </c>
      <c r="C25473" s="5" t="s">
        <v>206</v>
      </c>
      <c r="D25473" s="3" t="s">
        <v>68</v>
      </c>
      <c r="E25473" s="3" t="s">
        <v>100</v>
      </c>
      <c r="F25473" s="7">
        <v>46235.765761358154</v>
      </c>
      <c r="G25473" s="3" t="s">
        <v>10653</v>
      </c>
    </row>
    <row r="25474">
      <c r="A25474" s="3" t="s">
        <v>41871</v>
      </c>
      <c r="B25474" s="3" t="s">
        <v>20777</v>
      </c>
      <c r="C25474" s="5" t="s">
        <v>45</v>
      </c>
      <c r="D25474" s="3" t="s">
        <v>221</v>
      </c>
      <c r="E25474" s="3" t="s">
        <v>507</v>
      </c>
      <c r="F25474" s="7">
        <v>46235.8265195369</v>
      </c>
      <c r="G25474" s="3" t="s">
        <v>12644</v>
      </c>
    </row>
    <row r="25475">
      <c r="A25475" s="3" t="s">
        <v>41872</v>
      </c>
      <c r="B25475" s="3" t="s">
        <v>20777</v>
      </c>
      <c r="C25475" s="5" t="s">
        <v>221</v>
      </c>
      <c r="D25475" s="3" t="s">
        <v>181</v>
      </c>
      <c r="E25475" s="3" t="s">
        <v>118</v>
      </c>
      <c r="F25475" s="7">
        <v>46235.82999175912</v>
      </c>
      <c r="G25475" s="3" t="s">
        <v>41873</v>
      </c>
    </row>
    <row r="25476">
      <c r="A25476" s="3" t="s">
        <v>41874</v>
      </c>
      <c r="B25476" s="3" t="s">
        <v>20781</v>
      </c>
      <c r="C25476" s="5" t="s">
        <v>45</v>
      </c>
      <c r="D25476" s="3" t="s">
        <v>221</v>
      </c>
      <c r="E25476" s="3" t="s">
        <v>903</v>
      </c>
      <c r="F25476" s="7">
        <v>46235.897694382315</v>
      </c>
      <c r="G25476" s="3" t="s">
        <v>2770</v>
      </c>
    </row>
    <row r="25477">
      <c r="A25477" s="3" t="s">
        <v>41875</v>
      </c>
      <c r="B25477" s="3" t="s">
        <v>20781</v>
      </c>
      <c r="C25477" s="5" t="s">
        <v>221</v>
      </c>
      <c r="D25477" s="3" t="s">
        <v>181</v>
      </c>
      <c r="E25477" s="3" t="s">
        <v>118</v>
      </c>
      <c r="F25477" s="7">
        <v>46235.90116660453</v>
      </c>
      <c r="G25477" s="3" t="s">
        <v>2774</v>
      </c>
    </row>
    <row r="25478">
      <c r="A25478" s="3" t="s">
        <v>41876</v>
      </c>
      <c r="B25478" s="3" t="s">
        <v>20783</v>
      </c>
      <c r="C25478" s="5" t="s">
        <v>45</v>
      </c>
      <c r="D25478" s="3" t="s">
        <v>221</v>
      </c>
      <c r="E25478" s="3" t="s">
        <v>165</v>
      </c>
      <c r="F25478" s="7">
        <v>46235.968869227734</v>
      </c>
      <c r="G25478" s="3" t="s">
        <v>13423</v>
      </c>
    </row>
    <row r="25479">
      <c r="A25479" s="3" t="s">
        <v>41877</v>
      </c>
      <c r="B25479" s="3" t="s">
        <v>20783</v>
      </c>
      <c r="C25479" s="5" t="s">
        <v>221</v>
      </c>
      <c r="D25479" s="3" t="s">
        <v>614</v>
      </c>
      <c r="E25479" s="3" t="s">
        <v>118</v>
      </c>
      <c r="F25479" s="7">
        <v>46235.97234144995</v>
      </c>
      <c r="G25479" s="3" t="s">
        <v>13425</v>
      </c>
    </row>
    <row r="25480">
      <c r="A25480" s="3" t="s">
        <v>41878</v>
      </c>
      <c r="B25480" s="3" t="s">
        <v>20783</v>
      </c>
      <c r="C25480" s="5" t="s">
        <v>614</v>
      </c>
      <c r="D25480" s="3" t="s">
        <v>206</v>
      </c>
      <c r="E25480" s="3" t="s">
        <v>100</v>
      </c>
      <c r="F25480" s="7">
        <v>46235.97581367218</v>
      </c>
      <c r="G25480" s="3" t="s">
        <v>13428</v>
      </c>
    </row>
    <row r="25481">
      <c r="A25481" s="3" t="s">
        <v>41879</v>
      </c>
      <c r="B25481" s="3" t="s">
        <v>20783</v>
      </c>
      <c r="C25481" s="5" t="s">
        <v>206</v>
      </c>
      <c r="D25481" s="3" t="s">
        <v>68</v>
      </c>
      <c r="E25481" s="3" t="s">
        <v>100</v>
      </c>
      <c r="F25481" s="7">
        <v>46235.9792858944</v>
      </c>
      <c r="G25481" s="3" t="s">
        <v>13431</v>
      </c>
    </row>
    <row r="25482">
      <c r="A25482" s="3" t="s">
        <v>41880</v>
      </c>
      <c r="B25482" s="3" t="s">
        <v>20787</v>
      </c>
      <c r="C25482" s="5" t="s">
        <v>45</v>
      </c>
      <c r="D25482" s="3" t="s">
        <v>221</v>
      </c>
      <c r="E25482" s="3" t="s">
        <v>505</v>
      </c>
      <c r="F25482" s="7">
        <v>46236.04004407315</v>
      </c>
      <c r="G25482" s="3" t="s">
        <v>7393</v>
      </c>
    </row>
    <row r="25483">
      <c r="A25483" s="3" t="s">
        <v>41881</v>
      </c>
      <c r="B25483" s="3" t="s">
        <v>20787</v>
      </c>
      <c r="C25483" s="5" t="s">
        <v>221</v>
      </c>
      <c r="D25483" s="3" t="s">
        <v>614</v>
      </c>
      <c r="E25483" s="3" t="s">
        <v>118</v>
      </c>
      <c r="F25483" s="7">
        <v>46236.043516295365</v>
      </c>
      <c r="G25483" s="3" t="s">
        <v>7396</v>
      </c>
    </row>
    <row r="25484">
      <c r="A25484" s="3" t="s">
        <v>41882</v>
      </c>
      <c r="B25484" s="3" t="s">
        <v>20787</v>
      </c>
      <c r="C25484" s="5" t="s">
        <v>614</v>
      </c>
      <c r="D25484" s="3" t="s">
        <v>206</v>
      </c>
      <c r="E25484" s="3" t="s">
        <v>100</v>
      </c>
      <c r="F25484" s="7">
        <v>46236.04698851759</v>
      </c>
      <c r="G25484" s="3" t="s">
        <v>7399</v>
      </c>
    </row>
    <row r="25485">
      <c r="A25485" s="3" t="s">
        <v>41883</v>
      </c>
      <c r="B25485" s="3" t="s">
        <v>20787</v>
      </c>
      <c r="C25485" s="5" t="s">
        <v>206</v>
      </c>
      <c r="D25485" s="3" t="s">
        <v>68</v>
      </c>
      <c r="E25485" s="3" t="s">
        <v>100</v>
      </c>
      <c r="F25485" s="7">
        <v>46236.05046073981</v>
      </c>
      <c r="G25485" s="3" t="s">
        <v>7402</v>
      </c>
    </row>
    <row r="25486">
      <c r="A25486" s="3" t="s">
        <v>41884</v>
      </c>
      <c r="B25486" s="3" t="s">
        <v>20790</v>
      </c>
      <c r="C25486" s="5" t="s">
        <v>45</v>
      </c>
      <c r="D25486" s="3" t="s">
        <v>221</v>
      </c>
      <c r="E25486" s="3" t="s">
        <v>1021</v>
      </c>
      <c r="F25486" s="7">
        <v>46236.11121891856</v>
      </c>
      <c r="G25486" s="3" t="s">
        <v>17401</v>
      </c>
    </row>
    <row r="25487">
      <c r="A25487" s="3" t="s">
        <v>41885</v>
      </c>
      <c r="B25487" s="3" t="s">
        <v>20790</v>
      </c>
      <c r="C25487" s="5" t="s">
        <v>221</v>
      </c>
      <c r="D25487" s="3" t="s">
        <v>195</v>
      </c>
      <c r="E25487" s="3" t="s">
        <v>1021</v>
      </c>
      <c r="F25487" s="7">
        <v>46236.11469114078</v>
      </c>
      <c r="G25487" s="3" t="s">
        <v>41886</v>
      </c>
    </row>
    <row r="25488">
      <c r="A25488" s="3" t="s">
        <v>41887</v>
      </c>
      <c r="B25488" s="3" t="s">
        <v>20792</v>
      </c>
      <c r="C25488" s="5" t="s">
        <v>45</v>
      </c>
      <c r="D25488" s="3" t="s">
        <v>221</v>
      </c>
      <c r="E25488" s="3" t="s">
        <v>411</v>
      </c>
      <c r="F25488" s="7">
        <v>46236.18239376398</v>
      </c>
      <c r="G25488" s="3" t="s">
        <v>22641</v>
      </c>
    </row>
    <row r="25489">
      <c r="A25489" s="3" t="s">
        <v>41888</v>
      </c>
      <c r="B25489" s="3" t="s">
        <v>20792</v>
      </c>
      <c r="C25489" s="5" t="s">
        <v>221</v>
      </c>
      <c r="D25489" s="3" t="s">
        <v>614</v>
      </c>
      <c r="E25489" s="3" t="s">
        <v>118</v>
      </c>
      <c r="F25489" s="7">
        <v>46236.1858659862</v>
      </c>
      <c r="G25489" s="3" t="s">
        <v>22644</v>
      </c>
    </row>
    <row r="25490">
      <c r="A25490" s="3" t="s">
        <v>41889</v>
      </c>
      <c r="B25490" s="3" t="s">
        <v>20792</v>
      </c>
      <c r="C25490" s="5" t="s">
        <v>614</v>
      </c>
      <c r="D25490" s="3" t="s">
        <v>206</v>
      </c>
      <c r="E25490" s="3" t="s">
        <v>100</v>
      </c>
      <c r="F25490" s="7">
        <v>46236.18933820842</v>
      </c>
      <c r="G25490" s="3" t="s">
        <v>22647</v>
      </c>
    </row>
    <row r="25491">
      <c r="A25491" s="3" t="s">
        <v>41890</v>
      </c>
      <c r="B25491" s="3" t="s">
        <v>20792</v>
      </c>
      <c r="C25491" s="5" t="s">
        <v>206</v>
      </c>
      <c r="D25491" s="3" t="s">
        <v>68</v>
      </c>
      <c r="E25491" s="3" t="s">
        <v>100</v>
      </c>
      <c r="F25491" s="7">
        <v>46236.19281043064</v>
      </c>
      <c r="G25491" s="3" t="s">
        <v>22650</v>
      </c>
    </row>
    <row r="25492">
      <c r="A25492" s="3" t="s">
        <v>41891</v>
      </c>
      <c r="B25492" s="3" t="s">
        <v>20795</v>
      </c>
      <c r="C25492" s="5" t="s">
        <v>45</v>
      </c>
      <c r="D25492" s="3" t="s">
        <v>221</v>
      </c>
      <c r="E25492" s="3" t="s">
        <v>462</v>
      </c>
      <c r="F25492" s="7">
        <v>46236.25356860939</v>
      </c>
      <c r="G25492" s="3" t="s">
        <v>10536</v>
      </c>
    </row>
    <row r="25493">
      <c r="A25493" s="3" t="s">
        <v>41892</v>
      </c>
      <c r="B25493" s="3" t="s">
        <v>20795</v>
      </c>
      <c r="C25493" s="5" t="s">
        <v>221</v>
      </c>
      <c r="D25493" s="3" t="s">
        <v>614</v>
      </c>
      <c r="E25493" s="3" t="s">
        <v>118</v>
      </c>
      <c r="F25493" s="7">
        <v>46236.25704083161</v>
      </c>
      <c r="G25493" s="3" t="s">
        <v>10539</v>
      </c>
    </row>
    <row r="25494">
      <c r="A25494" s="3" t="s">
        <v>41893</v>
      </c>
      <c r="B25494" s="3" t="s">
        <v>20795</v>
      </c>
      <c r="C25494" s="5" t="s">
        <v>614</v>
      </c>
      <c r="D25494" s="3" t="s">
        <v>206</v>
      </c>
      <c r="E25494" s="3" t="s">
        <v>100</v>
      </c>
      <c r="F25494" s="7">
        <v>46236.260513053836</v>
      </c>
      <c r="G25494" s="3" t="s">
        <v>10541</v>
      </c>
    </row>
    <row r="25495">
      <c r="A25495" s="3" t="s">
        <v>41894</v>
      </c>
      <c r="B25495" s="3" t="s">
        <v>20795</v>
      </c>
      <c r="C25495" s="5" t="s">
        <v>206</v>
      </c>
      <c r="D25495" s="3" t="s">
        <v>68</v>
      </c>
      <c r="E25495" s="3" t="s">
        <v>100</v>
      </c>
      <c r="F25495" s="7">
        <v>46236.263985276055</v>
      </c>
      <c r="G25495" s="3" t="s">
        <v>10544</v>
      </c>
    </row>
    <row r="25496">
      <c r="A25496" s="3" t="s">
        <v>41895</v>
      </c>
      <c r="B25496" s="3" t="s">
        <v>20797</v>
      </c>
      <c r="C25496" s="5" t="s">
        <v>45</v>
      </c>
      <c r="D25496" s="3" t="s">
        <v>221</v>
      </c>
      <c r="E25496" s="3" t="s">
        <v>193</v>
      </c>
      <c r="F25496" s="7">
        <v>46236.3247434548</v>
      </c>
      <c r="G25496" s="3" t="s">
        <v>10570</v>
      </c>
    </row>
    <row r="25497">
      <c r="A25497" s="3" t="s">
        <v>41896</v>
      </c>
      <c r="B25497" s="3" t="s">
        <v>20797</v>
      </c>
      <c r="C25497" s="5" t="s">
        <v>221</v>
      </c>
      <c r="D25497" s="3" t="s">
        <v>614</v>
      </c>
      <c r="E25497" s="3" t="s">
        <v>118</v>
      </c>
      <c r="F25497" s="7">
        <v>46236.32821567702</v>
      </c>
      <c r="G25497" s="3" t="s">
        <v>10572</v>
      </c>
    </row>
    <row r="25498">
      <c r="A25498" s="3" t="s">
        <v>41897</v>
      </c>
      <c r="B25498" s="3" t="s">
        <v>20797</v>
      </c>
      <c r="C25498" s="5" t="s">
        <v>614</v>
      </c>
      <c r="D25498" s="3" t="s">
        <v>206</v>
      </c>
      <c r="E25498" s="3" t="s">
        <v>100</v>
      </c>
      <c r="F25498" s="7">
        <v>46236.33168789925</v>
      </c>
      <c r="G25498" s="3" t="s">
        <v>10575</v>
      </c>
    </row>
    <row r="25499">
      <c r="A25499" s="3" t="s">
        <v>41898</v>
      </c>
      <c r="B25499" s="3" t="s">
        <v>20797</v>
      </c>
      <c r="C25499" s="5" t="s">
        <v>206</v>
      </c>
      <c r="D25499" s="3" t="s">
        <v>68</v>
      </c>
      <c r="E25499" s="3" t="s">
        <v>100</v>
      </c>
      <c r="F25499" s="7">
        <v>46236.33516012147</v>
      </c>
      <c r="G25499" s="3" t="s">
        <v>10578</v>
      </c>
    </row>
    <row r="25500">
      <c r="A25500" s="3" t="s">
        <v>41899</v>
      </c>
      <c r="B25500" s="3" t="s">
        <v>20800</v>
      </c>
      <c r="C25500" s="5" t="s">
        <v>45</v>
      </c>
      <c r="D25500" s="3" t="s">
        <v>221</v>
      </c>
      <c r="E25500" s="3" t="s">
        <v>579</v>
      </c>
      <c r="F25500" s="7">
        <v>46236.39591830022</v>
      </c>
      <c r="G25500" s="3" t="s">
        <v>32601</v>
      </c>
    </row>
    <row r="25501">
      <c r="A25501" s="3" t="s">
        <v>41900</v>
      </c>
      <c r="B25501" s="3" t="s">
        <v>20800</v>
      </c>
      <c r="C25501" s="5" t="s">
        <v>221</v>
      </c>
      <c r="D25501" s="3" t="s">
        <v>614</v>
      </c>
      <c r="E25501" s="3" t="s">
        <v>118</v>
      </c>
      <c r="F25501" s="7">
        <v>46236.39939052244</v>
      </c>
      <c r="G25501" s="3" t="s">
        <v>39694</v>
      </c>
    </row>
    <row r="25502">
      <c r="A25502" s="3" t="s">
        <v>41901</v>
      </c>
      <c r="B25502" s="3" t="s">
        <v>20800</v>
      </c>
      <c r="C25502" s="5" t="s">
        <v>614</v>
      </c>
      <c r="D25502" s="3" t="s">
        <v>206</v>
      </c>
      <c r="E25502" s="3" t="s">
        <v>100</v>
      </c>
      <c r="F25502" s="7">
        <v>46236.40286274467</v>
      </c>
      <c r="G25502" s="3" t="s">
        <v>39696</v>
      </c>
    </row>
    <row r="25503">
      <c r="A25503" s="3" t="s">
        <v>41902</v>
      </c>
      <c r="B25503" s="3" t="s">
        <v>20800</v>
      </c>
      <c r="C25503" s="5" t="s">
        <v>206</v>
      </c>
      <c r="D25503" s="3" t="s">
        <v>68</v>
      </c>
      <c r="E25503" s="3" t="s">
        <v>100</v>
      </c>
      <c r="F25503" s="7">
        <v>46236.40633496689</v>
      </c>
      <c r="G25503" s="3" t="s">
        <v>39698</v>
      </c>
    </row>
    <row r="25504">
      <c r="A25504" s="3" t="s">
        <v>41903</v>
      </c>
      <c r="B25504" s="3" t="s">
        <v>20802</v>
      </c>
      <c r="C25504" s="5" t="s">
        <v>45</v>
      </c>
      <c r="D25504" s="3" t="s">
        <v>221</v>
      </c>
      <c r="E25504" s="3" t="s">
        <v>496</v>
      </c>
      <c r="F25504" s="7">
        <v>46236.467093145635</v>
      </c>
      <c r="G25504" s="3" t="s">
        <v>10003</v>
      </c>
    </row>
    <row r="25505">
      <c r="A25505" s="3" t="s">
        <v>41904</v>
      </c>
      <c r="B25505" s="3" t="s">
        <v>20802</v>
      </c>
      <c r="C25505" s="5" t="s">
        <v>221</v>
      </c>
      <c r="D25505" s="3" t="s">
        <v>614</v>
      </c>
      <c r="E25505" s="3" t="s">
        <v>118</v>
      </c>
      <c r="F25505" s="7">
        <v>46236.470565367854</v>
      </c>
      <c r="G25505" s="3" t="s">
        <v>10007</v>
      </c>
    </row>
    <row r="25506">
      <c r="A25506" s="3" t="s">
        <v>41905</v>
      </c>
      <c r="B25506" s="3" t="s">
        <v>20802</v>
      </c>
      <c r="C25506" s="5" t="s">
        <v>614</v>
      </c>
      <c r="D25506" s="3" t="s">
        <v>206</v>
      </c>
      <c r="E25506" s="3" t="s">
        <v>100</v>
      </c>
      <c r="F25506" s="7">
        <v>46236.47403759008</v>
      </c>
      <c r="G25506" s="3" t="s">
        <v>10010</v>
      </c>
    </row>
    <row r="25507">
      <c r="A25507" s="3" t="s">
        <v>41906</v>
      </c>
      <c r="B25507" s="3" t="s">
        <v>20802</v>
      </c>
      <c r="C25507" s="5" t="s">
        <v>206</v>
      </c>
      <c r="D25507" s="3" t="s">
        <v>68</v>
      </c>
      <c r="E25507" s="3" t="s">
        <v>100</v>
      </c>
      <c r="F25507" s="7">
        <v>46236.4775098123</v>
      </c>
      <c r="G25507" s="3" t="s">
        <v>10013</v>
      </c>
    </row>
    <row r="25508">
      <c r="A25508" s="3" t="s">
        <v>41907</v>
      </c>
      <c r="B25508" s="3" t="s">
        <v>20805</v>
      </c>
      <c r="C25508" s="5" t="s">
        <v>45</v>
      </c>
      <c r="D25508" s="3" t="s">
        <v>221</v>
      </c>
      <c r="E25508" s="3" t="s">
        <v>864</v>
      </c>
      <c r="F25508" s="7">
        <v>46236.53826799105</v>
      </c>
      <c r="G25508" s="3" t="s">
        <v>22075</v>
      </c>
    </row>
    <row r="25509">
      <c r="A25509" s="3" t="s">
        <v>41908</v>
      </c>
      <c r="B25509" s="3" t="s">
        <v>20805</v>
      </c>
      <c r="C25509" s="5" t="s">
        <v>221</v>
      </c>
      <c r="D25509" s="3" t="s">
        <v>614</v>
      </c>
      <c r="E25509" s="3" t="s">
        <v>118</v>
      </c>
      <c r="F25509" s="7">
        <v>46236.541740213266</v>
      </c>
      <c r="G25509" s="3" t="s">
        <v>24267</v>
      </c>
    </row>
    <row r="25510">
      <c r="A25510" s="3" t="s">
        <v>41909</v>
      </c>
      <c r="B25510" s="3" t="s">
        <v>20805</v>
      </c>
      <c r="C25510" s="5" t="s">
        <v>614</v>
      </c>
      <c r="D25510" s="3" t="s">
        <v>206</v>
      </c>
      <c r="E25510" s="3" t="s">
        <v>100</v>
      </c>
      <c r="F25510" s="7">
        <v>46236.54521243549</v>
      </c>
      <c r="G25510" s="3" t="s">
        <v>24269</v>
      </c>
    </row>
    <row r="25511">
      <c r="A25511" s="3" t="s">
        <v>41910</v>
      </c>
      <c r="B25511" s="3" t="s">
        <v>20805</v>
      </c>
      <c r="C25511" s="5" t="s">
        <v>206</v>
      </c>
      <c r="D25511" s="3" t="s">
        <v>68</v>
      </c>
      <c r="E25511" s="3" t="s">
        <v>100</v>
      </c>
      <c r="F25511" s="7">
        <v>46236.54868465771</v>
      </c>
      <c r="G25511" s="3" t="s">
        <v>24271</v>
      </c>
    </row>
    <row r="25512">
      <c r="A25512" s="3" t="s">
        <v>41911</v>
      </c>
      <c r="B25512" s="3" t="s">
        <v>20807</v>
      </c>
      <c r="C25512" s="5" t="s">
        <v>45</v>
      </c>
      <c r="D25512" s="3" t="s">
        <v>221</v>
      </c>
      <c r="E25512" s="3" t="s">
        <v>678</v>
      </c>
      <c r="F25512" s="7">
        <v>46236.60944283647</v>
      </c>
      <c r="G25512" s="3" t="s">
        <v>10634</v>
      </c>
    </row>
    <row r="25513">
      <c r="A25513" s="3" t="s">
        <v>41912</v>
      </c>
      <c r="B25513" s="3" t="s">
        <v>20807</v>
      </c>
      <c r="C25513" s="5" t="s">
        <v>221</v>
      </c>
      <c r="D25513" s="3" t="s">
        <v>614</v>
      </c>
      <c r="E25513" s="3" t="s">
        <v>118</v>
      </c>
      <c r="F25513" s="7">
        <v>46236.612915058686</v>
      </c>
      <c r="G25513" s="3" t="s">
        <v>10637</v>
      </c>
    </row>
    <row r="25514">
      <c r="A25514" s="3" t="s">
        <v>41913</v>
      </c>
      <c r="B25514" s="3" t="s">
        <v>20807</v>
      </c>
      <c r="C25514" s="5" t="s">
        <v>614</v>
      </c>
      <c r="D25514" s="3" t="s">
        <v>206</v>
      </c>
      <c r="E25514" s="3" t="s">
        <v>100</v>
      </c>
      <c r="F25514" s="7">
        <v>46236.61638728091</v>
      </c>
      <c r="G25514" s="3" t="s">
        <v>10639</v>
      </c>
    </row>
    <row r="25515">
      <c r="A25515" s="3" t="s">
        <v>41914</v>
      </c>
      <c r="B25515" s="3" t="s">
        <v>20807</v>
      </c>
      <c r="C25515" s="5" t="s">
        <v>206</v>
      </c>
      <c r="D25515" s="3" t="s">
        <v>68</v>
      </c>
      <c r="E25515" s="3" t="s">
        <v>100</v>
      </c>
      <c r="F25515" s="7">
        <v>46236.61985950313</v>
      </c>
      <c r="G25515" s="3" t="s">
        <v>10642</v>
      </c>
    </row>
    <row r="25516">
      <c r="A25516" s="3" t="s">
        <v>41915</v>
      </c>
      <c r="B25516" s="3" t="s">
        <v>20810</v>
      </c>
      <c r="C25516" s="5" t="s">
        <v>45</v>
      </c>
      <c r="D25516" s="3" t="s">
        <v>221</v>
      </c>
      <c r="E25516" s="3" t="s">
        <v>488</v>
      </c>
      <c r="F25516" s="7">
        <v>46236.680617681886</v>
      </c>
      <c r="G25516" s="3" t="s">
        <v>27090</v>
      </c>
    </row>
    <row r="25517">
      <c r="A25517" s="3" t="s">
        <v>41916</v>
      </c>
      <c r="B25517" s="3" t="s">
        <v>20810</v>
      </c>
      <c r="C25517" s="5" t="s">
        <v>221</v>
      </c>
      <c r="D25517" s="3" t="s">
        <v>614</v>
      </c>
      <c r="E25517" s="3" t="s">
        <v>118</v>
      </c>
      <c r="F25517" s="7">
        <v>46236.684089904105</v>
      </c>
      <c r="G25517" s="3" t="s">
        <v>27092</v>
      </c>
    </row>
    <row r="25518">
      <c r="A25518" s="3" t="s">
        <v>41917</v>
      </c>
      <c r="B25518" s="3" t="s">
        <v>20810</v>
      </c>
      <c r="C25518" s="5" t="s">
        <v>614</v>
      </c>
      <c r="D25518" s="3" t="s">
        <v>206</v>
      </c>
      <c r="E25518" s="3" t="s">
        <v>100</v>
      </c>
      <c r="F25518" s="7">
        <v>46236.68756212633</v>
      </c>
      <c r="G25518" s="3" t="s">
        <v>27094</v>
      </c>
    </row>
    <row r="25519">
      <c r="A25519" s="3" t="s">
        <v>41918</v>
      </c>
      <c r="B25519" s="3" t="s">
        <v>20810</v>
      </c>
      <c r="C25519" s="5" t="s">
        <v>206</v>
      </c>
      <c r="D25519" s="3" t="s">
        <v>68</v>
      </c>
      <c r="E25519" s="3" t="s">
        <v>100</v>
      </c>
      <c r="F25519" s="7">
        <v>46236.69103434855</v>
      </c>
      <c r="G25519" s="3" t="s">
        <v>27096</v>
      </c>
    </row>
    <row r="25520">
      <c r="A25520" s="3" t="s">
        <v>41919</v>
      </c>
      <c r="B25520" s="3" t="s">
        <v>20813</v>
      </c>
      <c r="C25520" s="5" t="s">
        <v>45</v>
      </c>
      <c r="D25520" s="3" t="s">
        <v>221</v>
      </c>
      <c r="E25520" s="3" t="s">
        <v>763</v>
      </c>
      <c r="F25520" s="7">
        <v>46236.75179252729</v>
      </c>
      <c r="G25520" s="3" t="s">
        <v>10689</v>
      </c>
    </row>
    <row r="25521">
      <c r="A25521" s="3" t="s">
        <v>41920</v>
      </c>
      <c r="B25521" s="3" t="s">
        <v>20813</v>
      </c>
      <c r="C25521" s="5" t="s">
        <v>221</v>
      </c>
      <c r="D25521" s="3" t="s">
        <v>614</v>
      </c>
      <c r="E25521" s="3" t="s">
        <v>118</v>
      </c>
      <c r="F25521" s="7">
        <v>46236.75526474951</v>
      </c>
      <c r="G25521" s="3" t="s">
        <v>10692</v>
      </c>
    </row>
    <row r="25522">
      <c r="A25522" s="3" t="s">
        <v>41921</v>
      </c>
      <c r="B25522" s="3" t="s">
        <v>20813</v>
      </c>
      <c r="C25522" s="5" t="s">
        <v>614</v>
      </c>
      <c r="D25522" s="3" t="s">
        <v>206</v>
      </c>
      <c r="E25522" s="3" t="s">
        <v>100</v>
      </c>
      <c r="F25522" s="7">
        <v>46236.75873697174</v>
      </c>
      <c r="G25522" s="3" t="s">
        <v>10695</v>
      </c>
    </row>
    <row r="25523">
      <c r="A25523" s="3" t="s">
        <v>41922</v>
      </c>
      <c r="B25523" s="3" t="s">
        <v>20813</v>
      </c>
      <c r="C25523" s="5" t="s">
        <v>206</v>
      </c>
      <c r="D25523" s="3" t="s">
        <v>68</v>
      </c>
      <c r="E25523" s="3" t="s">
        <v>100</v>
      </c>
      <c r="F25523" s="7">
        <v>46236.762209193956</v>
      </c>
      <c r="G25523" s="3" t="s">
        <v>10698</v>
      </c>
    </row>
    <row r="25524">
      <c r="A25524" s="3" t="s">
        <v>41923</v>
      </c>
      <c r="B25524" s="3" t="s">
        <v>20816</v>
      </c>
      <c r="C25524" s="5" t="s">
        <v>45</v>
      </c>
      <c r="D25524" s="3" t="s">
        <v>221</v>
      </c>
      <c r="E25524" s="3" t="s">
        <v>290</v>
      </c>
      <c r="F25524" s="7">
        <v>46236.82296737271</v>
      </c>
      <c r="G25524" s="3" t="s">
        <v>10701</v>
      </c>
    </row>
    <row r="25525">
      <c r="A25525" s="3" t="s">
        <v>41924</v>
      </c>
      <c r="B25525" s="3" t="s">
        <v>20816</v>
      </c>
      <c r="C25525" s="5" t="s">
        <v>221</v>
      </c>
      <c r="D25525" s="3" t="s">
        <v>614</v>
      </c>
      <c r="E25525" s="3" t="s">
        <v>118</v>
      </c>
      <c r="F25525" s="7">
        <v>46236.82643959493</v>
      </c>
      <c r="G25525" s="3" t="s">
        <v>10703</v>
      </c>
    </row>
    <row r="25526">
      <c r="A25526" s="3" t="s">
        <v>41925</v>
      </c>
      <c r="B25526" s="3" t="s">
        <v>20816</v>
      </c>
      <c r="C25526" s="5" t="s">
        <v>614</v>
      </c>
      <c r="D25526" s="3" t="s">
        <v>206</v>
      </c>
      <c r="E25526" s="3" t="s">
        <v>100</v>
      </c>
      <c r="F25526" s="7">
        <v>46236.829911817156</v>
      </c>
      <c r="G25526" s="3" t="s">
        <v>10706</v>
      </c>
    </row>
    <row r="25527">
      <c r="A25527" s="3" t="s">
        <v>41926</v>
      </c>
      <c r="B25527" s="3" t="s">
        <v>20816</v>
      </c>
      <c r="C25527" s="5" t="s">
        <v>206</v>
      </c>
      <c r="D25527" s="3" t="s">
        <v>68</v>
      </c>
      <c r="E25527" s="3" t="s">
        <v>100</v>
      </c>
      <c r="F25527" s="7">
        <v>46236.833384039375</v>
      </c>
      <c r="G25527" s="3" t="s">
        <v>10709</v>
      </c>
    </row>
    <row r="25528">
      <c r="A25528" s="3" t="s">
        <v>41927</v>
      </c>
      <c r="B25528" s="3" t="s">
        <v>20819</v>
      </c>
      <c r="C25528" s="5" t="s">
        <v>45</v>
      </c>
      <c r="D25528" s="3" t="s">
        <v>221</v>
      </c>
      <c r="E25528" s="3" t="s">
        <v>256</v>
      </c>
      <c r="F25528" s="7">
        <v>46236.89414221813</v>
      </c>
      <c r="G25528" s="3" t="s">
        <v>25813</v>
      </c>
    </row>
    <row r="25529">
      <c r="A25529" s="3" t="s">
        <v>41928</v>
      </c>
      <c r="B25529" s="3" t="s">
        <v>20819</v>
      </c>
      <c r="C25529" s="5" t="s">
        <v>221</v>
      </c>
      <c r="D25529" s="3" t="s">
        <v>195</v>
      </c>
      <c r="E25529" s="3" t="s">
        <v>256</v>
      </c>
      <c r="F25529" s="7">
        <v>46236.89761444035</v>
      </c>
      <c r="G25529" s="3" t="s">
        <v>25815</v>
      </c>
    </row>
    <row r="25530">
      <c r="A25530" s="3" t="s">
        <v>41929</v>
      </c>
      <c r="B25530" s="3" t="s">
        <v>20822</v>
      </c>
      <c r="C25530" s="5" t="s">
        <v>45</v>
      </c>
      <c r="D25530" s="3" t="s">
        <v>221</v>
      </c>
      <c r="E25530" s="3" t="s">
        <v>655</v>
      </c>
      <c r="F25530" s="7">
        <v>46236.96531706354</v>
      </c>
      <c r="G25530" s="3" t="s">
        <v>38970</v>
      </c>
    </row>
    <row r="25531">
      <c r="A25531" s="3" t="s">
        <v>41930</v>
      </c>
      <c r="B25531" s="3" t="s">
        <v>20822</v>
      </c>
      <c r="C25531" s="5" t="s">
        <v>221</v>
      </c>
      <c r="D25531" s="3" t="s">
        <v>614</v>
      </c>
      <c r="E25531" s="3" t="s">
        <v>118</v>
      </c>
      <c r="F25531" s="7">
        <v>46236.96878928576</v>
      </c>
      <c r="G25531" s="3" t="s">
        <v>38972</v>
      </c>
    </row>
    <row r="25532">
      <c r="A25532" s="3" t="s">
        <v>41931</v>
      </c>
      <c r="B25532" s="3" t="s">
        <v>20822</v>
      </c>
      <c r="C25532" s="5" t="s">
        <v>614</v>
      </c>
      <c r="D25532" s="3" t="s">
        <v>206</v>
      </c>
      <c r="E25532" s="3" t="s">
        <v>100</v>
      </c>
      <c r="F25532" s="7">
        <v>46236.97226150799</v>
      </c>
      <c r="G25532" s="3" t="s">
        <v>38974</v>
      </c>
    </row>
    <row r="25533">
      <c r="A25533" s="3" t="s">
        <v>41932</v>
      </c>
      <c r="B25533" s="3" t="s">
        <v>20822</v>
      </c>
      <c r="C25533" s="5" t="s">
        <v>206</v>
      </c>
      <c r="D25533" s="3" t="s">
        <v>68</v>
      </c>
      <c r="E25533" s="3" t="s">
        <v>100</v>
      </c>
      <c r="F25533" s="7">
        <v>46236.97573373021</v>
      </c>
      <c r="G25533" s="3" t="s">
        <v>38976</v>
      </c>
    </row>
    <row r="25534">
      <c r="A25534" s="3" t="s">
        <v>41933</v>
      </c>
      <c r="B25534" s="3" t="s">
        <v>20824</v>
      </c>
      <c r="C25534" s="5" t="s">
        <v>45</v>
      </c>
      <c r="D25534" s="3" t="s">
        <v>221</v>
      </c>
      <c r="E25534" s="3" t="s">
        <v>987</v>
      </c>
      <c r="F25534" s="7">
        <v>46237.036491908955</v>
      </c>
      <c r="G25534" s="3" t="s">
        <v>10769</v>
      </c>
    </row>
    <row r="25535">
      <c r="A25535" s="3" t="s">
        <v>41934</v>
      </c>
      <c r="B25535" s="3" t="s">
        <v>20824</v>
      </c>
      <c r="C25535" s="5" t="s">
        <v>221</v>
      </c>
      <c r="D25535" s="3" t="s">
        <v>614</v>
      </c>
      <c r="E25535" s="3" t="s">
        <v>118</v>
      </c>
      <c r="F25535" s="7">
        <v>46237.039964131174</v>
      </c>
      <c r="G25535" s="3" t="s">
        <v>10772</v>
      </c>
    </row>
    <row r="25536">
      <c r="A25536" s="3" t="s">
        <v>41935</v>
      </c>
      <c r="B25536" s="3" t="s">
        <v>20824</v>
      </c>
      <c r="C25536" s="5" t="s">
        <v>614</v>
      </c>
      <c r="D25536" s="3" t="s">
        <v>206</v>
      </c>
      <c r="E25536" s="3" t="s">
        <v>100</v>
      </c>
      <c r="F25536" s="7">
        <v>46237.0434363534</v>
      </c>
      <c r="G25536" s="3" t="s">
        <v>10775</v>
      </c>
    </row>
    <row r="25537">
      <c r="A25537" s="3" t="s">
        <v>41936</v>
      </c>
      <c r="B25537" s="3" t="s">
        <v>20824</v>
      </c>
      <c r="C25537" s="5" t="s">
        <v>206</v>
      </c>
      <c r="D25537" s="3" t="s">
        <v>68</v>
      </c>
      <c r="E25537" s="3" t="s">
        <v>100</v>
      </c>
      <c r="F25537" s="7">
        <v>46237.04690857562</v>
      </c>
      <c r="G25537" s="3" t="s">
        <v>10778</v>
      </c>
    </row>
    <row r="25538">
      <c r="A25538" s="3" t="s">
        <v>41937</v>
      </c>
      <c r="B25538" s="3" t="s">
        <v>20827</v>
      </c>
      <c r="C25538" s="5" t="s">
        <v>45</v>
      </c>
      <c r="D25538" s="3" t="s">
        <v>221</v>
      </c>
      <c r="E25538" s="3" t="s">
        <v>631</v>
      </c>
      <c r="F25538" s="7">
        <v>46237.107666754375</v>
      </c>
      <c r="G25538" s="3" t="s">
        <v>10793</v>
      </c>
    </row>
    <row r="25539">
      <c r="A25539" s="3" t="s">
        <v>41938</v>
      </c>
      <c r="B25539" s="3" t="s">
        <v>20827</v>
      </c>
      <c r="C25539" s="5" t="s">
        <v>221</v>
      </c>
      <c r="D25539" s="3" t="s">
        <v>614</v>
      </c>
      <c r="E25539" s="3" t="s">
        <v>118</v>
      </c>
      <c r="F25539" s="7">
        <v>46237.111138976594</v>
      </c>
      <c r="G25539" s="3" t="s">
        <v>10796</v>
      </c>
    </row>
    <row r="25540">
      <c r="A25540" s="3" t="s">
        <v>41939</v>
      </c>
      <c r="B25540" s="3" t="s">
        <v>20827</v>
      </c>
      <c r="C25540" s="5" t="s">
        <v>614</v>
      </c>
      <c r="D25540" s="3" t="s">
        <v>206</v>
      </c>
      <c r="E25540" s="3" t="s">
        <v>100</v>
      </c>
      <c r="F25540" s="7">
        <v>46237.11461119882</v>
      </c>
      <c r="G25540" s="3" t="s">
        <v>10799</v>
      </c>
    </row>
    <row r="25541">
      <c r="A25541" s="3" t="s">
        <v>41940</v>
      </c>
      <c r="B25541" s="3" t="s">
        <v>20827</v>
      </c>
      <c r="C25541" s="5" t="s">
        <v>206</v>
      </c>
      <c r="D25541" s="3" t="s">
        <v>68</v>
      </c>
      <c r="E25541" s="3" t="s">
        <v>100</v>
      </c>
      <c r="F25541" s="7">
        <v>46237.11808342104</v>
      </c>
      <c r="G25541" s="3" t="s">
        <v>10802</v>
      </c>
    </row>
    <row r="25542">
      <c r="A25542" s="3" t="s">
        <v>41941</v>
      </c>
      <c r="B25542" s="3" t="s">
        <v>20830</v>
      </c>
      <c r="C25542" s="5" t="s">
        <v>45</v>
      </c>
      <c r="D25542" s="3" t="s">
        <v>221</v>
      </c>
      <c r="E25542" s="3" t="s">
        <v>493</v>
      </c>
      <c r="F25542" s="7">
        <v>46237.17884159979</v>
      </c>
      <c r="G25542" s="3" t="s">
        <v>10810</v>
      </c>
    </row>
    <row r="25543">
      <c r="A25543" s="3" t="s">
        <v>41942</v>
      </c>
      <c r="B25543" s="3" t="s">
        <v>20830</v>
      </c>
      <c r="C25543" s="5" t="s">
        <v>221</v>
      </c>
      <c r="D25543" s="3" t="s">
        <v>614</v>
      </c>
      <c r="E25543" s="3" t="s">
        <v>118</v>
      </c>
      <c r="F25543" s="7">
        <v>46237.182313822006</v>
      </c>
      <c r="G25543" s="3" t="s">
        <v>10813</v>
      </c>
    </row>
    <row r="25544">
      <c r="A25544" s="3" t="s">
        <v>41943</v>
      </c>
      <c r="B25544" s="3" t="s">
        <v>20830</v>
      </c>
      <c r="C25544" s="5" t="s">
        <v>614</v>
      </c>
      <c r="D25544" s="3" t="s">
        <v>206</v>
      </c>
      <c r="E25544" s="3" t="s">
        <v>100</v>
      </c>
      <c r="F25544" s="7">
        <v>46237.18578604423</v>
      </c>
      <c r="G25544" s="3" t="s">
        <v>10816</v>
      </c>
    </row>
    <row r="25545">
      <c r="A25545" s="3" t="s">
        <v>41944</v>
      </c>
      <c r="B25545" s="3" t="s">
        <v>20830</v>
      </c>
      <c r="C25545" s="5" t="s">
        <v>206</v>
      </c>
      <c r="D25545" s="3" t="s">
        <v>68</v>
      </c>
      <c r="E25545" s="3" t="s">
        <v>100</v>
      </c>
      <c r="F25545" s="7">
        <v>46237.18925826645</v>
      </c>
      <c r="G25545" s="3" t="s">
        <v>10819</v>
      </c>
    </row>
    <row r="25546">
      <c r="A25546" s="3" t="s">
        <v>41945</v>
      </c>
      <c r="B25546" s="3" t="s">
        <v>20832</v>
      </c>
      <c r="C25546" s="5" t="s">
        <v>45</v>
      </c>
      <c r="D25546" s="3" t="s">
        <v>221</v>
      </c>
      <c r="E25546" s="3" t="s">
        <v>197</v>
      </c>
      <c r="F25546" s="7">
        <v>46237.2500164452</v>
      </c>
      <c r="G25546" s="3" t="s">
        <v>10306</v>
      </c>
    </row>
    <row r="25547">
      <c r="A25547" s="3" t="s">
        <v>41946</v>
      </c>
      <c r="B25547" s="3" t="s">
        <v>20832</v>
      </c>
      <c r="C25547" s="5" t="s">
        <v>221</v>
      </c>
      <c r="D25547" s="3" t="s">
        <v>614</v>
      </c>
      <c r="E25547" s="3" t="s">
        <v>118</v>
      </c>
      <c r="F25547" s="7">
        <v>46237.25348866742</v>
      </c>
      <c r="G25547" s="3" t="s">
        <v>10309</v>
      </c>
    </row>
    <row r="25548">
      <c r="A25548" s="3" t="s">
        <v>41947</v>
      </c>
      <c r="B25548" s="3" t="s">
        <v>20832</v>
      </c>
      <c r="C25548" s="5" t="s">
        <v>614</v>
      </c>
      <c r="D25548" s="3" t="s">
        <v>206</v>
      </c>
      <c r="E25548" s="3" t="s">
        <v>100</v>
      </c>
      <c r="F25548" s="7">
        <v>46237.256960889645</v>
      </c>
      <c r="G25548" s="3" t="s">
        <v>10312</v>
      </c>
    </row>
    <row r="25549">
      <c r="A25549" s="3" t="s">
        <v>41948</v>
      </c>
      <c r="B25549" s="3" t="s">
        <v>20832</v>
      </c>
      <c r="C25549" s="5" t="s">
        <v>206</v>
      </c>
      <c r="D25549" s="3" t="s">
        <v>68</v>
      </c>
      <c r="E25549" s="3" t="s">
        <v>100</v>
      </c>
      <c r="F25549" s="7">
        <v>46237.260433111864</v>
      </c>
      <c r="G25549" s="3" t="s">
        <v>10315</v>
      </c>
    </row>
    <row r="25550">
      <c r="A25550" s="3" t="s">
        <v>41949</v>
      </c>
      <c r="B25550" s="3" t="s">
        <v>20835</v>
      </c>
      <c r="C25550" s="5" t="s">
        <v>45</v>
      </c>
      <c r="D25550" s="3" t="s">
        <v>221</v>
      </c>
      <c r="E25550" s="3" t="s">
        <v>805</v>
      </c>
      <c r="F25550" s="7">
        <v>46237.32119129062</v>
      </c>
      <c r="G25550" s="3" t="s">
        <v>8459</v>
      </c>
    </row>
    <row r="25551">
      <c r="A25551" s="3" t="s">
        <v>41950</v>
      </c>
      <c r="B25551" s="3" t="s">
        <v>20835</v>
      </c>
      <c r="C25551" s="5" t="s">
        <v>221</v>
      </c>
      <c r="D25551" s="3" t="s">
        <v>614</v>
      </c>
      <c r="E25551" s="3" t="s">
        <v>118</v>
      </c>
      <c r="F25551" s="7">
        <v>46237.32466351284</v>
      </c>
      <c r="G25551" s="3" t="s">
        <v>8462</v>
      </c>
    </row>
    <row r="25552">
      <c r="A25552" s="3" t="s">
        <v>41951</v>
      </c>
      <c r="B25552" s="3" t="s">
        <v>20835</v>
      </c>
      <c r="C25552" s="5" t="s">
        <v>614</v>
      </c>
      <c r="D25552" s="3" t="s">
        <v>206</v>
      </c>
      <c r="E25552" s="3" t="s">
        <v>100</v>
      </c>
      <c r="F25552" s="7">
        <v>46237.328135735064</v>
      </c>
      <c r="G25552" s="3" t="s">
        <v>8465</v>
      </c>
    </row>
    <row r="25553">
      <c r="A25553" s="3" t="s">
        <v>41952</v>
      </c>
      <c r="B25553" s="3" t="s">
        <v>20835</v>
      </c>
      <c r="C25553" s="5" t="s">
        <v>206</v>
      </c>
      <c r="D25553" s="3" t="s">
        <v>68</v>
      </c>
      <c r="E25553" s="3" t="s">
        <v>100</v>
      </c>
      <c r="F25553" s="7">
        <v>46237.33160795728</v>
      </c>
      <c r="G25553" s="3" t="s">
        <v>8468</v>
      </c>
    </row>
    <row r="25554">
      <c r="A25554" s="3" t="s">
        <v>41953</v>
      </c>
      <c r="B25554" s="3" t="s">
        <v>20837</v>
      </c>
      <c r="C25554" s="5" t="s">
        <v>45</v>
      </c>
      <c r="D25554" s="3" t="s">
        <v>221</v>
      </c>
      <c r="E25554" s="3" t="s">
        <v>406</v>
      </c>
      <c r="F25554" s="7">
        <v>46237.39236613603</v>
      </c>
      <c r="G25554" s="3" t="s">
        <v>36248</v>
      </c>
    </row>
    <row r="25555">
      <c r="A25555" s="3" t="s">
        <v>41954</v>
      </c>
      <c r="B25555" s="3" t="s">
        <v>20837</v>
      </c>
      <c r="C25555" s="5" t="s">
        <v>221</v>
      </c>
      <c r="D25555" s="3" t="s">
        <v>614</v>
      </c>
      <c r="E25555" s="3" t="s">
        <v>118</v>
      </c>
      <c r="F25555" s="7">
        <v>46237.39583835825</v>
      </c>
      <c r="G25555" s="3" t="s">
        <v>36311</v>
      </c>
    </row>
    <row r="25556">
      <c r="A25556" s="3" t="s">
        <v>41955</v>
      </c>
      <c r="B25556" s="3" t="s">
        <v>20837</v>
      </c>
      <c r="C25556" s="5" t="s">
        <v>614</v>
      </c>
      <c r="D25556" s="3" t="s">
        <v>206</v>
      </c>
      <c r="E25556" s="3" t="s">
        <v>100</v>
      </c>
      <c r="F25556" s="7">
        <v>46237.39931058048</v>
      </c>
      <c r="G25556" s="3" t="s">
        <v>36313</v>
      </c>
    </row>
    <row r="25557">
      <c r="A25557" s="3" t="s">
        <v>41956</v>
      </c>
      <c r="B25557" s="3" t="s">
        <v>20837</v>
      </c>
      <c r="C25557" s="5" t="s">
        <v>206</v>
      </c>
      <c r="D25557" s="3" t="s">
        <v>68</v>
      </c>
      <c r="E25557" s="3" t="s">
        <v>100</v>
      </c>
      <c r="F25557" s="7">
        <v>46237.402782802696</v>
      </c>
      <c r="G25557" s="3" t="s">
        <v>36315</v>
      </c>
    </row>
    <row r="25558">
      <c r="A25558" s="3" t="s">
        <v>41957</v>
      </c>
      <c r="B25558" s="3" t="s">
        <v>20839</v>
      </c>
      <c r="C25558" s="5" t="s">
        <v>45</v>
      </c>
      <c r="D25558" s="3" t="s">
        <v>221</v>
      </c>
      <c r="E25558" s="3" t="s">
        <v>976</v>
      </c>
      <c r="F25558" s="7">
        <v>46237.463540981444</v>
      </c>
      <c r="G25558" s="3" t="s">
        <v>7659</v>
      </c>
    </row>
    <row r="25559">
      <c r="A25559" s="3" t="s">
        <v>41958</v>
      </c>
      <c r="B25559" s="3" t="s">
        <v>20839</v>
      </c>
      <c r="C25559" s="5" t="s">
        <v>221</v>
      </c>
      <c r="D25559" s="3" t="s">
        <v>614</v>
      </c>
      <c r="E25559" s="3" t="s">
        <v>118</v>
      </c>
      <c r="F25559" s="7">
        <v>46237.46701320366</v>
      </c>
      <c r="G25559" s="3" t="s">
        <v>7662</v>
      </c>
    </row>
    <row r="25560">
      <c r="A25560" s="3" t="s">
        <v>41959</v>
      </c>
      <c r="B25560" s="3" t="s">
        <v>20839</v>
      </c>
      <c r="C25560" s="5" t="s">
        <v>614</v>
      </c>
      <c r="D25560" s="3" t="s">
        <v>206</v>
      </c>
      <c r="E25560" s="3" t="s">
        <v>100</v>
      </c>
      <c r="F25560" s="7">
        <v>46237.47048542589</v>
      </c>
      <c r="G25560" s="3" t="s">
        <v>7664</v>
      </c>
    </row>
    <row r="25561">
      <c r="A25561" s="3" t="s">
        <v>41960</v>
      </c>
      <c r="B25561" s="3" t="s">
        <v>20839</v>
      </c>
      <c r="C25561" s="5" t="s">
        <v>206</v>
      </c>
      <c r="D25561" s="3" t="s">
        <v>68</v>
      </c>
      <c r="E25561" s="3" t="s">
        <v>100</v>
      </c>
      <c r="F25561" s="7">
        <v>46237.47395764811</v>
      </c>
      <c r="G25561" s="3" t="s">
        <v>7667</v>
      </c>
    </row>
    <row r="25562">
      <c r="A25562" s="3" t="s">
        <v>41961</v>
      </c>
      <c r="B25562" s="3" t="s">
        <v>20841</v>
      </c>
      <c r="C25562" s="5" t="s">
        <v>45</v>
      </c>
      <c r="D25562" s="3" t="s">
        <v>221</v>
      </c>
      <c r="E25562" s="3" t="s">
        <v>702</v>
      </c>
      <c r="F25562" s="7">
        <v>46237.53471582686</v>
      </c>
      <c r="G25562" s="3" t="s">
        <v>12888</v>
      </c>
    </row>
    <row r="25563">
      <c r="A25563" s="3" t="s">
        <v>41962</v>
      </c>
      <c r="B25563" s="3" t="s">
        <v>20841</v>
      </c>
      <c r="C25563" s="5" t="s">
        <v>221</v>
      </c>
      <c r="D25563" s="3" t="s">
        <v>195</v>
      </c>
      <c r="E25563" s="3" t="s">
        <v>702</v>
      </c>
      <c r="F25563" s="7">
        <v>46237.53818804908</v>
      </c>
      <c r="G25563" s="3" t="s">
        <v>41963</v>
      </c>
    </row>
    <row r="25564">
      <c r="A25564" s="3" t="s">
        <v>41964</v>
      </c>
      <c r="B25564" s="3" t="s">
        <v>20843</v>
      </c>
      <c r="C25564" s="5" t="s">
        <v>45</v>
      </c>
      <c r="D25564" s="3" t="s">
        <v>221</v>
      </c>
      <c r="E25564" s="3" t="s">
        <v>269</v>
      </c>
      <c r="F25564" s="7">
        <v>46237.605890672276</v>
      </c>
      <c r="G25564" s="3" t="s">
        <v>8120</v>
      </c>
    </row>
    <row r="25565">
      <c r="A25565" s="3" t="s">
        <v>41965</v>
      </c>
      <c r="B25565" s="3" t="s">
        <v>20843</v>
      </c>
      <c r="C25565" s="5" t="s">
        <v>221</v>
      </c>
      <c r="D25565" s="3" t="s">
        <v>181</v>
      </c>
      <c r="E25565" s="3" t="s">
        <v>118</v>
      </c>
      <c r="F25565" s="7">
        <v>46237.609362894495</v>
      </c>
      <c r="G25565" s="3" t="s">
        <v>41966</v>
      </c>
    </row>
    <row r="25566">
      <c r="A25566" s="3" t="s">
        <v>41967</v>
      </c>
      <c r="B25566" s="3" t="s">
        <v>20845</v>
      </c>
      <c r="C25566" s="5" t="s">
        <v>45</v>
      </c>
      <c r="D25566" s="3" t="s">
        <v>221</v>
      </c>
      <c r="E25566" s="3" t="s">
        <v>682</v>
      </c>
      <c r="F25566" s="7">
        <v>46237.67706551769</v>
      </c>
      <c r="G25566" s="3" t="s">
        <v>23792</v>
      </c>
    </row>
    <row r="25567">
      <c r="A25567" s="3" t="s">
        <v>41968</v>
      </c>
      <c r="B25567" s="3" t="s">
        <v>20845</v>
      </c>
      <c r="C25567" s="5" t="s">
        <v>221</v>
      </c>
      <c r="D25567" s="3" t="s">
        <v>614</v>
      </c>
      <c r="E25567" s="3" t="s">
        <v>118</v>
      </c>
      <c r="F25567" s="7">
        <v>46237.68053773991</v>
      </c>
      <c r="G25567" s="3" t="s">
        <v>23794</v>
      </c>
    </row>
    <row r="25568">
      <c r="A25568" s="3" t="s">
        <v>41969</v>
      </c>
      <c r="B25568" s="3" t="s">
        <v>20845</v>
      </c>
      <c r="C25568" s="5" t="s">
        <v>614</v>
      </c>
      <c r="D25568" s="3" t="s">
        <v>206</v>
      </c>
      <c r="E25568" s="3" t="s">
        <v>100</v>
      </c>
      <c r="F25568" s="7">
        <v>46237.68400996213</v>
      </c>
      <c r="G25568" s="3" t="s">
        <v>23796</v>
      </c>
    </row>
    <row r="25569">
      <c r="A25569" s="3" t="s">
        <v>41970</v>
      </c>
      <c r="B25569" s="3" t="s">
        <v>20845</v>
      </c>
      <c r="C25569" s="5" t="s">
        <v>206</v>
      </c>
      <c r="D25569" s="3" t="s">
        <v>68</v>
      </c>
      <c r="E25569" s="3" t="s">
        <v>100</v>
      </c>
      <c r="F25569" s="7">
        <v>46237.68748218435</v>
      </c>
      <c r="G25569" s="3" t="s">
        <v>23798</v>
      </c>
    </row>
    <row r="25570">
      <c r="A25570" s="3" t="s">
        <v>41971</v>
      </c>
      <c r="B25570" s="3" t="s">
        <v>20848</v>
      </c>
      <c r="C25570" s="5" t="s">
        <v>45</v>
      </c>
      <c r="D25570" s="3" t="s">
        <v>221</v>
      </c>
      <c r="E25570" s="3" t="s">
        <v>702</v>
      </c>
      <c r="F25570" s="7">
        <v>46237.74824036311</v>
      </c>
      <c r="G25570" s="3" t="s">
        <v>34229</v>
      </c>
    </row>
    <row r="25571">
      <c r="A25571" s="3" t="s">
        <v>41972</v>
      </c>
      <c r="B25571" s="3" t="s">
        <v>20848</v>
      </c>
      <c r="C25571" s="5" t="s">
        <v>221</v>
      </c>
      <c r="D25571" s="3" t="s">
        <v>614</v>
      </c>
      <c r="E25571" s="3" t="s">
        <v>118</v>
      </c>
      <c r="F25571" s="7">
        <v>46237.75171258533</v>
      </c>
      <c r="G25571" s="3" t="s">
        <v>34231</v>
      </c>
    </row>
    <row r="25572">
      <c r="A25572" s="3" t="s">
        <v>41973</v>
      </c>
      <c r="B25572" s="3" t="s">
        <v>20848</v>
      </c>
      <c r="C25572" s="5" t="s">
        <v>614</v>
      </c>
      <c r="D25572" s="3" t="s">
        <v>206</v>
      </c>
      <c r="E25572" s="3" t="s">
        <v>100</v>
      </c>
      <c r="F25572" s="7">
        <v>46237.75518480755</v>
      </c>
      <c r="G25572" s="3" t="s">
        <v>34233</v>
      </c>
    </row>
    <row r="25573">
      <c r="A25573" s="3" t="s">
        <v>41974</v>
      </c>
      <c r="B25573" s="3" t="s">
        <v>20848</v>
      </c>
      <c r="C25573" s="5" t="s">
        <v>206</v>
      </c>
      <c r="D25573" s="3" t="s">
        <v>68</v>
      </c>
      <c r="E25573" s="3" t="s">
        <v>100</v>
      </c>
      <c r="F25573" s="7">
        <v>46237.75865702977</v>
      </c>
      <c r="G25573" s="3" t="s">
        <v>34235</v>
      </c>
    </row>
    <row r="25574">
      <c r="A25574" s="3" t="s">
        <v>41975</v>
      </c>
      <c r="B25574" s="3" t="s">
        <v>20852</v>
      </c>
      <c r="C25574" s="5" t="s">
        <v>45</v>
      </c>
      <c r="D25574" s="3" t="s">
        <v>221</v>
      </c>
      <c r="E25574" s="3" t="s">
        <v>145</v>
      </c>
      <c r="F25574" s="7">
        <v>46237.81941520853</v>
      </c>
      <c r="G25574" s="3" t="s">
        <v>10833</v>
      </c>
    </row>
    <row r="25575">
      <c r="A25575" s="3" t="s">
        <v>41976</v>
      </c>
      <c r="B25575" s="3" t="s">
        <v>20852</v>
      </c>
      <c r="C25575" s="5" t="s">
        <v>221</v>
      </c>
      <c r="D25575" s="3" t="s">
        <v>614</v>
      </c>
      <c r="E25575" s="3" t="s">
        <v>118</v>
      </c>
      <c r="F25575" s="7">
        <v>46237.822887430746</v>
      </c>
      <c r="G25575" s="3" t="s">
        <v>10836</v>
      </c>
    </row>
    <row r="25576">
      <c r="A25576" s="3" t="s">
        <v>41977</v>
      </c>
      <c r="B25576" s="3" t="s">
        <v>20852</v>
      </c>
      <c r="C25576" s="5" t="s">
        <v>614</v>
      </c>
      <c r="D25576" s="3" t="s">
        <v>206</v>
      </c>
      <c r="E25576" s="3" t="s">
        <v>100</v>
      </c>
      <c r="F25576" s="7">
        <v>46237.82635965297</v>
      </c>
      <c r="G25576" s="3" t="s">
        <v>10838</v>
      </c>
    </row>
    <row r="25577">
      <c r="A25577" s="3" t="s">
        <v>41978</v>
      </c>
      <c r="B25577" s="3" t="s">
        <v>20852</v>
      </c>
      <c r="C25577" s="5" t="s">
        <v>206</v>
      </c>
      <c r="D25577" s="3" t="s">
        <v>68</v>
      </c>
      <c r="E25577" s="3" t="s">
        <v>100</v>
      </c>
      <c r="F25577" s="7">
        <v>46237.82983187519</v>
      </c>
      <c r="G25577" s="3" t="s">
        <v>10841</v>
      </c>
    </row>
    <row r="25578">
      <c r="A25578" s="3" t="s">
        <v>41979</v>
      </c>
      <c r="B25578" s="3" t="s">
        <v>20855</v>
      </c>
      <c r="C25578" s="5" t="s">
        <v>45</v>
      </c>
      <c r="D25578" s="3" t="s">
        <v>221</v>
      </c>
      <c r="E25578" s="3" t="s">
        <v>215</v>
      </c>
      <c r="F25578" s="7">
        <v>46237.89059005393</v>
      </c>
      <c r="G25578" s="3" t="s">
        <v>28238</v>
      </c>
    </row>
    <row r="25579">
      <c r="A25579" s="3" t="s">
        <v>41980</v>
      </c>
      <c r="B25579" s="3" t="s">
        <v>20855</v>
      </c>
      <c r="C25579" s="5" t="s">
        <v>221</v>
      </c>
      <c r="D25579" s="3" t="s">
        <v>614</v>
      </c>
      <c r="E25579" s="3" t="s">
        <v>118</v>
      </c>
      <c r="F25579" s="7">
        <v>46237.89406227615</v>
      </c>
      <c r="G25579" s="3" t="s">
        <v>28240</v>
      </c>
    </row>
    <row r="25580">
      <c r="A25580" s="3" t="s">
        <v>41981</v>
      </c>
      <c r="B25580" s="3" t="s">
        <v>20855</v>
      </c>
      <c r="C25580" s="5" t="s">
        <v>614</v>
      </c>
      <c r="D25580" s="3" t="s">
        <v>206</v>
      </c>
      <c r="E25580" s="3" t="s">
        <v>100</v>
      </c>
      <c r="F25580" s="7">
        <v>46237.89753449838</v>
      </c>
      <c r="G25580" s="3" t="s">
        <v>28242</v>
      </c>
    </row>
    <row r="25581">
      <c r="A25581" s="3" t="s">
        <v>41982</v>
      </c>
      <c r="B25581" s="3" t="s">
        <v>20855</v>
      </c>
      <c r="C25581" s="5" t="s">
        <v>206</v>
      </c>
      <c r="D25581" s="3" t="s">
        <v>68</v>
      </c>
      <c r="E25581" s="3" t="s">
        <v>100</v>
      </c>
      <c r="F25581" s="7">
        <v>46237.901006720596</v>
      </c>
      <c r="G25581" s="3" t="s">
        <v>28244</v>
      </c>
    </row>
    <row r="25582">
      <c r="A25582" s="3" t="s">
        <v>41983</v>
      </c>
      <c r="B25582" s="3" t="s">
        <v>20859</v>
      </c>
      <c r="C25582" s="5" t="s">
        <v>45</v>
      </c>
      <c r="D25582" s="3" t="s">
        <v>221</v>
      </c>
      <c r="E25582" s="3" t="s">
        <v>239</v>
      </c>
      <c r="F25582" s="7">
        <v>46237.96176489935</v>
      </c>
      <c r="G25582" s="3" t="s">
        <v>18185</v>
      </c>
    </row>
    <row r="25583">
      <c r="A25583" s="3" t="s">
        <v>41984</v>
      </c>
      <c r="B25583" s="3" t="s">
        <v>20859</v>
      </c>
      <c r="C25583" s="5" t="s">
        <v>221</v>
      </c>
      <c r="D25583" s="3" t="s">
        <v>614</v>
      </c>
      <c r="E25583" s="3" t="s">
        <v>118</v>
      </c>
      <c r="F25583" s="7">
        <v>46237.96523712157</v>
      </c>
      <c r="G25583" s="3" t="s">
        <v>18188</v>
      </c>
    </row>
    <row r="25584">
      <c r="A25584" s="3" t="s">
        <v>41985</v>
      </c>
      <c r="B25584" s="3" t="s">
        <v>20859</v>
      </c>
      <c r="C25584" s="5" t="s">
        <v>614</v>
      </c>
      <c r="D25584" s="3" t="s">
        <v>206</v>
      </c>
      <c r="E25584" s="3" t="s">
        <v>100</v>
      </c>
      <c r="F25584" s="7">
        <v>46237.9687093438</v>
      </c>
      <c r="G25584" s="3" t="s">
        <v>18190</v>
      </c>
    </row>
    <row r="25585">
      <c r="A25585" s="3" t="s">
        <v>41986</v>
      </c>
      <c r="B25585" s="3" t="s">
        <v>20859</v>
      </c>
      <c r="C25585" s="5" t="s">
        <v>206</v>
      </c>
      <c r="D25585" s="3" t="s">
        <v>68</v>
      </c>
      <c r="E25585" s="3" t="s">
        <v>100</v>
      </c>
      <c r="F25585" s="7">
        <v>46237.972181566016</v>
      </c>
      <c r="G25585" s="3" t="s">
        <v>18193</v>
      </c>
    </row>
    <row r="25586">
      <c r="A25586" s="3" t="s">
        <v>41987</v>
      </c>
      <c r="B25586" s="3" t="s">
        <v>20863</v>
      </c>
      <c r="C25586" s="5" t="s">
        <v>45</v>
      </c>
      <c r="D25586" s="3" t="s">
        <v>221</v>
      </c>
      <c r="E25586" s="3" t="s">
        <v>702</v>
      </c>
      <c r="F25586" s="7">
        <v>46238.03293974477</v>
      </c>
      <c r="G25586" s="3" t="s">
        <v>34229</v>
      </c>
    </row>
    <row r="25587">
      <c r="A25587" s="3" t="s">
        <v>41988</v>
      </c>
      <c r="B25587" s="3" t="s">
        <v>20863</v>
      </c>
      <c r="C25587" s="5" t="s">
        <v>221</v>
      </c>
      <c r="D25587" s="3" t="s">
        <v>181</v>
      </c>
      <c r="E25587" s="3" t="s">
        <v>118</v>
      </c>
      <c r="F25587" s="7">
        <v>46238.03641196699</v>
      </c>
      <c r="G25587" s="3" t="s">
        <v>41989</v>
      </c>
    </row>
    <row r="25588">
      <c r="A25588" s="3" t="s">
        <v>41990</v>
      </c>
      <c r="B25588" s="3" t="s">
        <v>20865</v>
      </c>
      <c r="C25588" s="5" t="s">
        <v>45</v>
      </c>
      <c r="D25588" s="3" t="s">
        <v>221</v>
      </c>
      <c r="E25588" s="3" t="s">
        <v>414</v>
      </c>
      <c r="F25588" s="7">
        <v>46238.10411459018</v>
      </c>
      <c r="G25588" s="3" t="s">
        <v>7129</v>
      </c>
    </row>
    <row r="25589">
      <c r="A25589" s="3" t="s">
        <v>41991</v>
      </c>
      <c r="B25589" s="3" t="s">
        <v>20865</v>
      </c>
      <c r="C25589" s="5" t="s">
        <v>221</v>
      </c>
      <c r="D25589" s="3" t="s">
        <v>614</v>
      </c>
      <c r="E25589" s="3" t="s">
        <v>118</v>
      </c>
      <c r="F25589" s="7">
        <v>46238.1075868124</v>
      </c>
      <c r="G25589" s="3" t="s">
        <v>7132</v>
      </c>
    </row>
    <row r="25590">
      <c r="A25590" s="3" t="s">
        <v>41992</v>
      </c>
      <c r="B25590" s="3" t="s">
        <v>20865</v>
      </c>
      <c r="C25590" s="5" t="s">
        <v>614</v>
      </c>
      <c r="D25590" s="3" t="s">
        <v>206</v>
      </c>
      <c r="E25590" s="3" t="s">
        <v>100</v>
      </c>
      <c r="F25590" s="7">
        <v>46238.11105903463</v>
      </c>
      <c r="G25590" s="3" t="s">
        <v>7135</v>
      </c>
    </row>
    <row r="25591">
      <c r="A25591" s="3" t="s">
        <v>41993</v>
      </c>
      <c r="B25591" s="3" t="s">
        <v>20865</v>
      </c>
      <c r="C25591" s="5" t="s">
        <v>206</v>
      </c>
      <c r="D25591" s="3" t="s">
        <v>68</v>
      </c>
      <c r="E25591" s="3" t="s">
        <v>100</v>
      </c>
      <c r="F25591" s="7">
        <v>46238.11453125685</v>
      </c>
      <c r="G25591" s="3" t="s">
        <v>7138</v>
      </c>
    </row>
    <row r="25592">
      <c r="A25592" s="3" t="s">
        <v>41994</v>
      </c>
      <c r="B25592" s="3" t="s">
        <v>20868</v>
      </c>
      <c r="C25592" s="5" t="s">
        <v>45</v>
      </c>
      <c r="D25592" s="3" t="s">
        <v>221</v>
      </c>
      <c r="E25592" s="3" t="s">
        <v>665</v>
      </c>
      <c r="F25592" s="7">
        <v>46238.175289435596</v>
      </c>
      <c r="G25592" s="3" t="s">
        <v>8901</v>
      </c>
    </row>
    <row r="25593">
      <c r="A25593" s="3" t="s">
        <v>41995</v>
      </c>
      <c r="B25593" s="3" t="s">
        <v>20868</v>
      </c>
      <c r="C25593" s="5" t="s">
        <v>221</v>
      </c>
      <c r="D25593" s="3" t="s">
        <v>614</v>
      </c>
      <c r="E25593" s="3" t="s">
        <v>118</v>
      </c>
      <c r="F25593" s="7">
        <v>46238.178761657815</v>
      </c>
      <c r="G25593" s="3" t="s">
        <v>8904</v>
      </c>
    </row>
    <row r="25594">
      <c r="A25594" s="3" t="s">
        <v>41996</v>
      </c>
      <c r="B25594" s="3" t="s">
        <v>20868</v>
      </c>
      <c r="C25594" s="5" t="s">
        <v>614</v>
      </c>
      <c r="D25594" s="3" t="s">
        <v>206</v>
      </c>
      <c r="E25594" s="3" t="s">
        <v>100</v>
      </c>
      <c r="F25594" s="7">
        <v>46238.18223388004</v>
      </c>
      <c r="G25594" s="3" t="s">
        <v>8907</v>
      </c>
    </row>
    <row r="25595">
      <c r="A25595" s="3" t="s">
        <v>41997</v>
      </c>
      <c r="B25595" s="3" t="s">
        <v>20868</v>
      </c>
      <c r="C25595" s="5" t="s">
        <v>206</v>
      </c>
      <c r="D25595" s="3" t="s">
        <v>68</v>
      </c>
      <c r="E25595" s="3" t="s">
        <v>100</v>
      </c>
      <c r="F25595" s="7">
        <v>46238.18570610226</v>
      </c>
      <c r="G25595" s="3" t="s">
        <v>8910</v>
      </c>
    </row>
    <row r="25596">
      <c r="A25596" s="3" t="s">
        <v>41998</v>
      </c>
      <c r="B25596" s="3" t="s">
        <v>20871</v>
      </c>
      <c r="C25596" s="5" t="s">
        <v>45</v>
      </c>
      <c r="D25596" s="3" t="s">
        <v>221</v>
      </c>
      <c r="E25596" s="3" t="s">
        <v>980</v>
      </c>
      <c r="F25596" s="7">
        <v>46238.246464281016</v>
      </c>
      <c r="G25596" s="3" t="s">
        <v>7307</v>
      </c>
    </row>
    <row r="25597">
      <c r="A25597" s="3" t="s">
        <v>41999</v>
      </c>
      <c r="B25597" s="3" t="s">
        <v>20871</v>
      </c>
      <c r="C25597" s="5" t="s">
        <v>221</v>
      </c>
      <c r="D25597" s="3" t="s">
        <v>614</v>
      </c>
      <c r="E25597" s="3" t="s">
        <v>118</v>
      </c>
      <c r="F25597" s="7">
        <v>46238.249936503234</v>
      </c>
      <c r="G25597" s="3" t="s">
        <v>7310</v>
      </c>
    </row>
    <row r="25598">
      <c r="A25598" s="3" t="s">
        <v>42000</v>
      </c>
      <c r="B25598" s="3" t="s">
        <v>20871</v>
      </c>
      <c r="C25598" s="5" t="s">
        <v>614</v>
      </c>
      <c r="D25598" s="3" t="s">
        <v>206</v>
      </c>
      <c r="E25598" s="3" t="s">
        <v>100</v>
      </c>
      <c r="F25598" s="7">
        <v>46238.25340872546</v>
      </c>
      <c r="G25598" s="3" t="s">
        <v>7313</v>
      </c>
    </row>
    <row r="25599">
      <c r="A25599" s="3" t="s">
        <v>42001</v>
      </c>
      <c r="B25599" s="3" t="s">
        <v>20871</v>
      </c>
      <c r="C25599" s="5" t="s">
        <v>206</v>
      </c>
      <c r="D25599" s="3" t="s">
        <v>68</v>
      </c>
      <c r="E25599" s="3" t="s">
        <v>100</v>
      </c>
      <c r="F25599" s="7">
        <v>46238.25688094768</v>
      </c>
      <c r="G25599" s="3" t="s">
        <v>7316</v>
      </c>
    </row>
    <row r="25600">
      <c r="A25600" s="3" t="s">
        <v>42002</v>
      </c>
      <c r="B25600" s="3" t="s">
        <v>20874</v>
      </c>
      <c r="C25600" s="5" t="s">
        <v>45</v>
      </c>
      <c r="D25600" s="3" t="s">
        <v>221</v>
      </c>
      <c r="E25600" s="3" t="s">
        <v>640</v>
      </c>
      <c r="F25600" s="7">
        <v>46238.31763912643</v>
      </c>
      <c r="G25600" s="3" t="s">
        <v>23999</v>
      </c>
    </row>
    <row r="25601">
      <c r="A25601" s="3" t="s">
        <v>42003</v>
      </c>
      <c r="B25601" s="3" t="s">
        <v>20874</v>
      </c>
      <c r="C25601" s="5" t="s">
        <v>221</v>
      </c>
      <c r="D25601" s="3" t="s">
        <v>614</v>
      </c>
      <c r="E25601" s="3" t="s">
        <v>118</v>
      </c>
      <c r="F25601" s="7">
        <v>46238.32111134865</v>
      </c>
      <c r="G25601" s="3" t="s">
        <v>24001</v>
      </c>
    </row>
    <row r="25602">
      <c r="A25602" s="3" t="s">
        <v>42004</v>
      </c>
      <c r="B25602" s="3" t="s">
        <v>20874</v>
      </c>
      <c r="C25602" s="5" t="s">
        <v>614</v>
      </c>
      <c r="D25602" s="3" t="s">
        <v>206</v>
      </c>
      <c r="E25602" s="3" t="s">
        <v>100</v>
      </c>
      <c r="F25602" s="7">
        <v>46238.32458357087</v>
      </c>
      <c r="G25602" s="3" t="s">
        <v>24003</v>
      </c>
    </row>
    <row r="25603">
      <c r="A25603" s="3" t="s">
        <v>42005</v>
      </c>
      <c r="B25603" s="3" t="s">
        <v>20874</v>
      </c>
      <c r="C25603" s="5" t="s">
        <v>206</v>
      </c>
      <c r="D25603" s="3" t="s">
        <v>68</v>
      </c>
      <c r="E25603" s="3" t="s">
        <v>100</v>
      </c>
      <c r="F25603" s="7">
        <v>46238.32805579309</v>
      </c>
      <c r="G25603" s="3" t="s">
        <v>24005</v>
      </c>
    </row>
    <row r="25604">
      <c r="A25604" s="3" t="s">
        <v>42006</v>
      </c>
      <c r="B25604" s="3" t="s">
        <v>20876</v>
      </c>
      <c r="C25604" s="5" t="s">
        <v>45</v>
      </c>
      <c r="D25604" s="3" t="s">
        <v>221</v>
      </c>
      <c r="E25604" s="3" t="s">
        <v>1043</v>
      </c>
      <c r="F25604" s="7">
        <v>46238.38881397184</v>
      </c>
      <c r="G25604" s="3" t="s">
        <v>24348</v>
      </c>
    </row>
    <row r="25605">
      <c r="A25605" s="3" t="s">
        <v>42007</v>
      </c>
      <c r="B25605" s="3" t="s">
        <v>20876</v>
      </c>
      <c r="C25605" s="5" t="s">
        <v>221</v>
      </c>
      <c r="D25605" s="3" t="s">
        <v>614</v>
      </c>
      <c r="E25605" s="3" t="s">
        <v>118</v>
      </c>
      <c r="F25605" s="7">
        <v>46238.39228619406</v>
      </c>
      <c r="G25605" s="3" t="s">
        <v>24350</v>
      </c>
    </row>
    <row r="25606">
      <c r="A25606" s="3" t="s">
        <v>42008</v>
      </c>
      <c r="B25606" s="3" t="s">
        <v>20876</v>
      </c>
      <c r="C25606" s="5" t="s">
        <v>614</v>
      </c>
      <c r="D25606" s="3" t="s">
        <v>206</v>
      </c>
      <c r="E25606" s="3" t="s">
        <v>100</v>
      </c>
      <c r="F25606" s="7">
        <v>46238.395758416285</v>
      </c>
      <c r="G25606" s="3" t="s">
        <v>24352</v>
      </c>
    </row>
    <row r="25607">
      <c r="A25607" s="3" t="s">
        <v>42009</v>
      </c>
      <c r="B25607" s="3" t="s">
        <v>20876</v>
      </c>
      <c r="C25607" s="5" t="s">
        <v>206</v>
      </c>
      <c r="D25607" s="3" t="s">
        <v>68</v>
      </c>
      <c r="E25607" s="3" t="s">
        <v>100</v>
      </c>
      <c r="F25607" s="7">
        <v>46238.399230638504</v>
      </c>
      <c r="G25607" s="3" t="s">
        <v>24354</v>
      </c>
    </row>
    <row r="25608">
      <c r="A25608" s="3" t="s">
        <v>42010</v>
      </c>
      <c r="B25608" s="3" t="s">
        <v>20878</v>
      </c>
      <c r="C25608" s="5" t="s">
        <v>45</v>
      </c>
      <c r="D25608" s="3" t="s">
        <v>221</v>
      </c>
      <c r="E25608" s="3" t="s">
        <v>363</v>
      </c>
      <c r="F25608" s="7">
        <v>46238.45998881726</v>
      </c>
      <c r="G25608" s="3" t="s">
        <v>26072</v>
      </c>
    </row>
    <row r="25609">
      <c r="A25609" s="3" t="s">
        <v>42011</v>
      </c>
      <c r="B25609" s="3" t="s">
        <v>20878</v>
      </c>
      <c r="C25609" s="5" t="s">
        <v>221</v>
      </c>
      <c r="D25609" s="3" t="s">
        <v>614</v>
      </c>
      <c r="E25609" s="3" t="s">
        <v>118</v>
      </c>
      <c r="F25609" s="7">
        <v>46238.46346103948</v>
      </c>
      <c r="G25609" s="3" t="s">
        <v>26074</v>
      </c>
    </row>
    <row r="25610">
      <c r="A25610" s="3" t="s">
        <v>42012</v>
      </c>
      <c r="B25610" s="3" t="s">
        <v>20878</v>
      </c>
      <c r="C25610" s="5" t="s">
        <v>614</v>
      </c>
      <c r="D25610" s="3" t="s">
        <v>206</v>
      </c>
      <c r="E25610" s="3" t="s">
        <v>100</v>
      </c>
      <c r="F25610" s="7">
        <v>46238.466933261705</v>
      </c>
      <c r="G25610" s="3" t="s">
        <v>26076</v>
      </c>
    </row>
    <row r="25611">
      <c r="A25611" s="3" t="s">
        <v>42013</v>
      </c>
      <c r="B25611" s="3" t="s">
        <v>20878</v>
      </c>
      <c r="C25611" s="5" t="s">
        <v>206</v>
      </c>
      <c r="D25611" s="3" t="s">
        <v>68</v>
      </c>
      <c r="E25611" s="3" t="s">
        <v>100</v>
      </c>
      <c r="F25611" s="7">
        <v>46238.470405483924</v>
      </c>
      <c r="G25611" s="3" t="s">
        <v>26078</v>
      </c>
    </row>
    <row r="25612">
      <c r="A25612" s="3" t="s">
        <v>42014</v>
      </c>
      <c r="B25612" s="3" t="s">
        <v>20880</v>
      </c>
      <c r="C25612" s="5" t="s">
        <v>45</v>
      </c>
      <c r="D25612" s="3" t="s">
        <v>221</v>
      </c>
      <c r="E25612" s="3" t="s">
        <v>760</v>
      </c>
      <c r="F25612" s="7">
        <v>46238.53116366267</v>
      </c>
      <c r="G25612" s="3" t="s">
        <v>10874</v>
      </c>
    </row>
    <row r="25613">
      <c r="A25613" s="3" t="s">
        <v>42015</v>
      </c>
      <c r="B25613" s="3" t="s">
        <v>20880</v>
      </c>
      <c r="C25613" s="5" t="s">
        <v>221</v>
      </c>
      <c r="D25613" s="3" t="s">
        <v>614</v>
      </c>
      <c r="E25613" s="3" t="s">
        <v>118</v>
      </c>
      <c r="F25613" s="7">
        <v>46238.53463588489</v>
      </c>
      <c r="G25613" s="3" t="s">
        <v>10877</v>
      </c>
    </row>
    <row r="25614">
      <c r="A25614" s="3" t="s">
        <v>42016</v>
      </c>
      <c r="B25614" s="3" t="s">
        <v>20880</v>
      </c>
      <c r="C25614" s="5" t="s">
        <v>614</v>
      </c>
      <c r="D25614" s="3" t="s">
        <v>206</v>
      </c>
      <c r="E25614" s="3" t="s">
        <v>100</v>
      </c>
      <c r="F25614" s="7">
        <v>46238.53810810712</v>
      </c>
      <c r="G25614" s="3" t="s">
        <v>10881</v>
      </c>
    </row>
    <row r="25615">
      <c r="A25615" s="3" t="s">
        <v>42017</v>
      </c>
      <c r="B25615" s="3" t="s">
        <v>20880</v>
      </c>
      <c r="C25615" s="5" t="s">
        <v>206</v>
      </c>
      <c r="D25615" s="3" t="s">
        <v>68</v>
      </c>
      <c r="E25615" s="3" t="s">
        <v>100</v>
      </c>
      <c r="F25615" s="7">
        <v>46238.541580329336</v>
      </c>
      <c r="G25615" s="3" t="s">
        <v>10884</v>
      </c>
    </row>
    <row r="25616">
      <c r="A25616" s="3" t="s">
        <v>42018</v>
      </c>
      <c r="B25616" s="3" t="s">
        <v>20884</v>
      </c>
      <c r="C25616" s="5" t="s">
        <v>45</v>
      </c>
      <c r="D25616" s="3" t="s">
        <v>221</v>
      </c>
      <c r="E25616" s="3" t="s">
        <v>800</v>
      </c>
      <c r="F25616" s="7">
        <v>46238.602338508084</v>
      </c>
      <c r="G25616" s="3" t="s">
        <v>2770</v>
      </c>
    </row>
    <row r="25617">
      <c r="A25617" s="3" t="s">
        <v>42019</v>
      </c>
      <c r="B25617" s="3" t="s">
        <v>20884</v>
      </c>
      <c r="C25617" s="5" t="s">
        <v>221</v>
      </c>
      <c r="D25617" s="3" t="s">
        <v>181</v>
      </c>
      <c r="E25617" s="3" t="s">
        <v>118</v>
      </c>
      <c r="F25617" s="7">
        <v>46238.6058107303</v>
      </c>
      <c r="G25617" s="3" t="s">
        <v>2774</v>
      </c>
    </row>
    <row r="25618">
      <c r="A25618" s="3" t="s">
        <v>42020</v>
      </c>
      <c r="B25618" s="3" t="s">
        <v>20887</v>
      </c>
      <c r="C25618" s="5" t="s">
        <v>45</v>
      </c>
      <c r="D25618" s="3" t="s">
        <v>221</v>
      </c>
      <c r="E25618" s="3" t="s">
        <v>722</v>
      </c>
      <c r="F25618" s="7">
        <v>46238.673513353504</v>
      </c>
      <c r="G25618" s="3" t="s">
        <v>10898</v>
      </c>
    </row>
    <row r="25619">
      <c r="A25619" s="3" t="s">
        <v>42021</v>
      </c>
      <c r="B25619" s="3" t="s">
        <v>20887</v>
      </c>
      <c r="C25619" s="5" t="s">
        <v>221</v>
      </c>
      <c r="D25619" s="3" t="s">
        <v>614</v>
      </c>
      <c r="E25619" s="3" t="s">
        <v>118</v>
      </c>
      <c r="F25619" s="7">
        <v>46238.67698557572</v>
      </c>
      <c r="G25619" s="3" t="s">
        <v>10902</v>
      </c>
    </row>
    <row r="25620">
      <c r="A25620" s="3" t="s">
        <v>42022</v>
      </c>
      <c r="B25620" s="3" t="s">
        <v>20887</v>
      </c>
      <c r="C25620" s="5" t="s">
        <v>614</v>
      </c>
      <c r="D25620" s="3" t="s">
        <v>206</v>
      </c>
      <c r="E25620" s="3" t="s">
        <v>100</v>
      </c>
      <c r="F25620" s="7">
        <v>46238.68045779795</v>
      </c>
      <c r="G25620" s="3" t="s">
        <v>10904</v>
      </c>
    </row>
    <row r="25621">
      <c r="A25621" s="3" t="s">
        <v>42023</v>
      </c>
      <c r="B25621" s="3" t="s">
        <v>20887</v>
      </c>
      <c r="C25621" s="5" t="s">
        <v>206</v>
      </c>
      <c r="D25621" s="3" t="s">
        <v>68</v>
      </c>
      <c r="E25621" s="3" t="s">
        <v>100</v>
      </c>
      <c r="F25621" s="7">
        <v>46238.68393002017</v>
      </c>
      <c r="G25621" s="3" t="s">
        <v>10907</v>
      </c>
    </row>
    <row r="25622">
      <c r="A25622" s="3" t="s">
        <v>42024</v>
      </c>
      <c r="B25622" s="3" t="s">
        <v>20890</v>
      </c>
      <c r="C25622" s="5" t="s">
        <v>45</v>
      </c>
      <c r="D25622" s="3" t="s">
        <v>221</v>
      </c>
      <c r="E25622" s="3" t="s">
        <v>159</v>
      </c>
      <c r="F25622" s="7">
        <v>46238.744688198916</v>
      </c>
      <c r="G25622" s="3" t="s">
        <v>10917</v>
      </c>
    </row>
    <row r="25623">
      <c r="A25623" s="3" t="s">
        <v>42025</v>
      </c>
      <c r="B25623" s="3" t="s">
        <v>20890</v>
      </c>
      <c r="C25623" s="5" t="s">
        <v>221</v>
      </c>
      <c r="D25623" s="3" t="s">
        <v>614</v>
      </c>
      <c r="E25623" s="3" t="s">
        <v>118</v>
      </c>
      <c r="F25623" s="7">
        <v>46238.748160421135</v>
      </c>
      <c r="G25623" s="3" t="s">
        <v>10920</v>
      </c>
    </row>
    <row r="25624">
      <c r="A25624" s="3" t="s">
        <v>42026</v>
      </c>
      <c r="B25624" s="3" t="s">
        <v>20890</v>
      </c>
      <c r="C25624" s="5" t="s">
        <v>614</v>
      </c>
      <c r="D25624" s="3" t="s">
        <v>206</v>
      </c>
      <c r="E25624" s="3" t="s">
        <v>100</v>
      </c>
      <c r="F25624" s="7">
        <v>46238.75163264336</v>
      </c>
      <c r="G25624" s="3" t="s">
        <v>10923</v>
      </c>
    </row>
    <row r="25625">
      <c r="A25625" s="3" t="s">
        <v>42027</v>
      </c>
      <c r="B25625" s="3" t="s">
        <v>20890</v>
      </c>
      <c r="C25625" s="5" t="s">
        <v>206</v>
      </c>
      <c r="D25625" s="3" t="s">
        <v>68</v>
      </c>
      <c r="E25625" s="3" t="s">
        <v>100</v>
      </c>
      <c r="F25625" s="7">
        <v>46238.75510486558</v>
      </c>
      <c r="G25625" s="3" t="s">
        <v>10926</v>
      </c>
    </row>
    <row r="25626">
      <c r="A25626" s="3" t="s">
        <v>42028</v>
      </c>
      <c r="B25626" s="3" t="s">
        <v>20893</v>
      </c>
      <c r="C25626" s="5" t="s">
        <v>45</v>
      </c>
      <c r="D25626" s="3" t="s">
        <v>221</v>
      </c>
      <c r="E25626" s="3" t="s">
        <v>168</v>
      </c>
      <c r="F25626" s="7">
        <v>46238.815863044336</v>
      </c>
      <c r="G25626" s="3" t="s">
        <v>10953</v>
      </c>
    </row>
    <row r="25627">
      <c r="A25627" s="3" t="s">
        <v>42029</v>
      </c>
      <c r="B25627" s="3" t="s">
        <v>20893</v>
      </c>
      <c r="C25627" s="5" t="s">
        <v>221</v>
      </c>
      <c r="D25627" s="3" t="s">
        <v>614</v>
      </c>
      <c r="E25627" s="3" t="s">
        <v>118</v>
      </c>
      <c r="F25627" s="7">
        <v>46238.819335266555</v>
      </c>
      <c r="G25627" s="3" t="s">
        <v>10956</v>
      </c>
    </row>
    <row r="25628">
      <c r="A25628" s="3" t="s">
        <v>42030</v>
      </c>
      <c r="B25628" s="3" t="s">
        <v>20893</v>
      </c>
      <c r="C25628" s="5" t="s">
        <v>614</v>
      </c>
      <c r="D25628" s="3" t="s">
        <v>206</v>
      </c>
      <c r="E25628" s="3" t="s">
        <v>100</v>
      </c>
      <c r="F25628" s="7">
        <v>46238.82280748878</v>
      </c>
      <c r="G25628" s="3" t="s">
        <v>10958</v>
      </c>
    </row>
    <row r="25629">
      <c r="A25629" s="3" t="s">
        <v>42031</v>
      </c>
      <c r="B25629" s="3" t="s">
        <v>20893</v>
      </c>
      <c r="C25629" s="5" t="s">
        <v>206</v>
      </c>
      <c r="D25629" s="3" t="s">
        <v>68</v>
      </c>
      <c r="E25629" s="3" t="s">
        <v>100</v>
      </c>
      <c r="F25629" s="7">
        <v>46238.826279711</v>
      </c>
      <c r="G25629" s="3" t="s">
        <v>10961</v>
      </c>
    </row>
    <row r="25630">
      <c r="A25630" s="3" t="s">
        <v>42032</v>
      </c>
      <c r="B25630" s="3" t="s">
        <v>20896</v>
      </c>
      <c r="C25630" s="5" t="s">
        <v>45</v>
      </c>
      <c r="D25630" s="3" t="s">
        <v>221</v>
      </c>
      <c r="E25630" s="3" t="s">
        <v>785</v>
      </c>
      <c r="F25630" s="7">
        <v>46238.88703788975</v>
      </c>
      <c r="G25630" s="3" t="s">
        <v>14779</v>
      </c>
    </row>
    <row r="25631">
      <c r="A25631" s="3" t="s">
        <v>42033</v>
      </c>
      <c r="B25631" s="3" t="s">
        <v>20896</v>
      </c>
      <c r="C25631" s="5" t="s">
        <v>221</v>
      </c>
      <c r="D25631" s="3" t="s">
        <v>614</v>
      </c>
      <c r="E25631" s="3" t="s">
        <v>118</v>
      </c>
      <c r="F25631" s="7">
        <v>46238.89051011197</v>
      </c>
      <c r="G25631" s="3" t="s">
        <v>14782</v>
      </c>
    </row>
    <row r="25632">
      <c r="A25632" s="3" t="s">
        <v>42034</v>
      </c>
      <c r="B25632" s="3" t="s">
        <v>20896</v>
      </c>
      <c r="C25632" s="5" t="s">
        <v>614</v>
      </c>
      <c r="D25632" s="3" t="s">
        <v>206</v>
      </c>
      <c r="E25632" s="3" t="s">
        <v>100</v>
      </c>
      <c r="F25632" s="7">
        <v>46238.89398233419</v>
      </c>
      <c r="G25632" s="3" t="s">
        <v>14785</v>
      </c>
    </row>
    <row r="25633">
      <c r="A25633" s="3" t="s">
        <v>42035</v>
      </c>
      <c r="B25633" s="3" t="s">
        <v>20896</v>
      </c>
      <c r="C25633" s="5" t="s">
        <v>206</v>
      </c>
      <c r="D25633" s="3" t="s">
        <v>68</v>
      </c>
      <c r="E25633" s="3" t="s">
        <v>100</v>
      </c>
      <c r="F25633" s="7">
        <v>46238.89745455641</v>
      </c>
      <c r="G25633" s="3" t="s">
        <v>14787</v>
      </c>
    </row>
    <row r="25634">
      <c r="A25634" s="3" t="s">
        <v>42036</v>
      </c>
      <c r="B25634" s="3" t="s">
        <v>20899</v>
      </c>
      <c r="C25634" s="5" t="s">
        <v>45</v>
      </c>
      <c r="D25634" s="3" t="s">
        <v>221</v>
      </c>
      <c r="E25634" s="3" t="s">
        <v>864</v>
      </c>
      <c r="F25634" s="7">
        <v>46238.95821273517</v>
      </c>
      <c r="G25634" s="3" t="s">
        <v>11032</v>
      </c>
    </row>
    <row r="25635">
      <c r="A25635" s="3" t="s">
        <v>42037</v>
      </c>
      <c r="B25635" s="3" t="s">
        <v>20899</v>
      </c>
      <c r="C25635" s="5" t="s">
        <v>221</v>
      </c>
      <c r="D25635" s="3" t="s">
        <v>614</v>
      </c>
      <c r="E25635" s="3" t="s">
        <v>118</v>
      </c>
      <c r="F25635" s="7">
        <v>46238.96168495739</v>
      </c>
      <c r="G25635" s="3" t="s">
        <v>11035</v>
      </c>
    </row>
    <row r="25636">
      <c r="A25636" s="3" t="s">
        <v>42038</v>
      </c>
      <c r="B25636" s="3" t="s">
        <v>20899</v>
      </c>
      <c r="C25636" s="5" t="s">
        <v>614</v>
      </c>
      <c r="D25636" s="3" t="s">
        <v>206</v>
      </c>
      <c r="E25636" s="3" t="s">
        <v>100</v>
      </c>
      <c r="F25636" s="7">
        <v>46238.96515717961</v>
      </c>
      <c r="G25636" s="3" t="s">
        <v>11038</v>
      </c>
    </row>
    <row r="25637">
      <c r="A25637" s="3" t="s">
        <v>42039</v>
      </c>
      <c r="B25637" s="3" t="s">
        <v>20899</v>
      </c>
      <c r="C25637" s="5" t="s">
        <v>206</v>
      </c>
      <c r="D25637" s="3" t="s">
        <v>68</v>
      </c>
      <c r="E25637" s="3" t="s">
        <v>100</v>
      </c>
      <c r="F25637" s="7">
        <v>46238.96862940183</v>
      </c>
      <c r="G25637" s="3" t="s">
        <v>11040</v>
      </c>
    </row>
    <row r="25638">
      <c r="A25638" s="3" t="s">
        <v>42040</v>
      </c>
      <c r="B25638" s="3" t="s">
        <v>20903</v>
      </c>
      <c r="C25638" s="5" t="s">
        <v>45</v>
      </c>
      <c r="D25638" s="3" t="s">
        <v>221</v>
      </c>
      <c r="E25638" s="3" t="s">
        <v>713</v>
      </c>
      <c r="F25638" s="7">
        <v>46239.02938758057</v>
      </c>
      <c r="G25638" s="3" t="s">
        <v>12106</v>
      </c>
    </row>
    <row r="25639">
      <c r="A25639" s="3" t="s">
        <v>42041</v>
      </c>
      <c r="B25639" s="3" t="s">
        <v>20903</v>
      </c>
      <c r="C25639" s="5" t="s">
        <v>221</v>
      </c>
      <c r="D25639" s="3" t="s">
        <v>195</v>
      </c>
      <c r="E25639" s="3" t="s">
        <v>713</v>
      </c>
      <c r="F25639" s="7">
        <v>46239.03285980279</v>
      </c>
      <c r="G25639" s="3" t="s">
        <v>12109</v>
      </c>
    </row>
    <row r="25640">
      <c r="A25640" s="3" t="s">
        <v>42042</v>
      </c>
      <c r="B25640" s="3" t="s">
        <v>20906</v>
      </c>
      <c r="C25640" s="5" t="s">
        <v>45</v>
      </c>
      <c r="D25640" s="3" t="s">
        <v>221</v>
      </c>
      <c r="E25640" s="3" t="s">
        <v>546</v>
      </c>
      <c r="F25640" s="7">
        <v>46239.10056242599</v>
      </c>
      <c r="G25640" s="3" t="s">
        <v>11246</v>
      </c>
    </row>
    <row r="25641">
      <c r="A25641" s="3" t="s">
        <v>42043</v>
      </c>
      <c r="B25641" s="3" t="s">
        <v>20906</v>
      </c>
      <c r="C25641" s="5" t="s">
        <v>221</v>
      </c>
      <c r="D25641" s="3" t="s">
        <v>614</v>
      </c>
      <c r="E25641" s="3" t="s">
        <v>118</v>
      </c>
      <c r="F25641" s="7">
        <v>46239.10403464821</v>
      </c>
      <c r="G25641" s="3" t="s">
        <v>16883</v>
      </c>
    </row>
    <row r="25642">
      <c r="A25642" s="3" t="s">
        <v>42044</v>
      </c>
      <c r="B25642" s="3" t="s">
        <v>20906</v>
      </c>
      <c r="C25642" s="5" t="s">
        <v>614</v>
      </c>
      <c r="D25642" s="3" t="s">
        <v>206</v>
      </c>
      <c r="E25642" s="3" t="s">
        <v>100</v>
      </c>
      <c r="F25642" s="7">
        <v>46239.10750687044</v>
      </c>
      <c r="G25642" s="3" t="s">
        <v>16886</v>
      </c>
    </row>
    <row r="25643">
      <c r="A25643" s="3" t="s">
        <v>42045</v>
      </c>
      <c r="B25643" s="3" t="s">
        <v>20906</v>
      </c>
      <c r="C25643" s="5" t="s">
        <v>206</v>
      </c>
      <c r="D25643" s="3" t="s">
        <v>68</v>
      </c>
      <c r="E25643" s="3" t="s">
        <v>100</v>
      </c>
      <c r="F25643" s="7">
        <v>46239.11097909266</v>
      </c>
      <c r="G25643" s="3" t="s">
        <v>16889</v>
      </c>
    </row>
    <row r="25644">
      <c r="A25644" s="3" t="s">
        <v>42046</v>
      </c>
      <c r="B25644" s="3" t="s">
        <v>20909</v>
      </c>
      <c r="C25644" s="5" t="s">
        <v>45</v>
      </c>
      <c r="D25644" s="3" t="s">
        <v>221</v>
      </c>
      <c r="E25644" s="3" t="s">
        <v>669</v>
      </c>
      <c r="F25644" s="7">
        <v>46239.17173727141</v>
      </c>
      <c r="G25644" s="3" t="s">
        <v>7670</v>
      </c>
    </row>
    <row r="25645">
      <c r="A25645" s="3" t="s">
        <v>42047</v>
      </c>
      <c r="B25645" s="3" t="s">
        <v>20909</v>
      </c>
      <c r="C25645" s="5" t="s">
        <v>221</v>
      </c>
      <c r="D25645" s="3" t="s">
        <v>614</v>
      </c>
      <c r="E25645" s="3" t="s">
        <v>118</v>
      </c>
      <c r="F25645" s="7">
        <v>46239.17520949363</v>
      </c>
      <c r="G25645" s="3" t="s">
        <v>7673</v>
      </c>
    </row>
    <row r="25646">
      <c r="A25646" s="3" t="s">
        <v>42048</v>
      </c>
      <c r="B25646" s="3" t="s">
        <v>20909</v>
      </c>
      <c r="C25646" s="5" t="s">
        <v>614</v>
      </c>
      <c r="D25646" s="3" t="s">
        <v>206</v>
      </c>
      <c r="E25646" s="3" t="s">
        <v>100</v>
      </c>
      <c r="F25646" s="7">
        <v>46239.17868171586</v>
      </c>
      <c r="G25646" s="3" t="s">
        <v>7676</v>
      </c>
    </row>
    <row r="25647">
      <c r="A25647" s="3" t="s">
        <v>42049</v>
      </c>
      <c r="B25647" s="3" t="s">
        <v>20909</v>
      </c>
      <c r="C25647" s="5" t="s">
        <v>206</v>
      </c>
      <c r="D25647" s="3" t="s">
        <v>68</v>
      </c>
      <c r="E25647" s="3" t="s">
        <v>100</v>
      </c>
      <c r="F25647" s="7">
        <v>46239.182153938076</v>
      </c>
      <c r="G25647" s="3" t="s">
        <v>7679</v>
      </c>
    </row>
    <row r="25648">
      <c r="A25648" s="3" t="s">
        <v>42050</v>
      </c>
      <c r="B25648" s="3" t="s">
        <v>20912</v>
      </c>
      <c r="C25648" s="5" t="s">
        <v>45</v>
      </c>
      <c r="D25648" s="3" t="s">
        <v>221</v>
      </c>
      <c r="E25648" s="3" t="s">
        <v>165</v>
      </c>
      <c r="F25648" s="7">
        <v>46239.242912116824</v>
      </c>
      <c r="G25648" s="3" t="s">
        <v>2770</v>
      </c>
    </row>
    <row r="25649">
      <c r="A25649" s="3" t="s">
        <v>42051</v>
      </c>
      <c r="B25649" s="3" t="s">
        <v>20912</v>
      </c>
      <c r="C25649" s="5" t="s">
        <v>221</v>
      </c>
      <c r="D25649" s="3" t="s">
        <v>195</v>
      </c>
      <c r="E25649" s="3" t="s">
        <v>165</v>
      </c>
      <c r="F25649" s="7">
        <v>46239.24638433904</v>
      </c>
      <c r="G25649" s="3" t="s">
        <v>3055</v>
      </c>
    </row>
    <row r="25650">
      <c r="A25650" s="3" t="s">
        <v>42052</v>
      </c>
      <c r="B25650" s="3" t="s">
        <v>20915</v>
      </c>
      <c r="C25650" s="5" t="s">
        <v>45</v>
      </c>
      <c r="D25650" s="3" t="s">
        <v>221</v>
      </c>
      <c r="E25650" s="3" t="s">
        <v>159</v>
      </c>
      <c r="F25650" s="7">
        <v>46239.31408696224</v>
      </c>
      <c r="G25650" s="3" t="s">
        <v>11096</v>
      </c>
    </row>
    <row r="25651">
      <c r="A25651" s="3" t="s">
        <v>42053</v>
      </c>
      <c r="B25651" s="3" t="s">
        <v>20915</v>
      </c>
      <c r="C25651" s="5" t="s">
        <v>221</v>
      </c>
      <c r="D25651" s="3" t="s">
        <v>614</v>
      </c>
      <c r="E25651" s="3" t="s">
        <v>118</v>
      </c>
      <c r="F25651" s="7">
        <v>46239.317559184456</v>
      </c>
      <c r="G25651" s="3" t="s">
        <v>11099</v>
      </c>
    </row>
    <row r="25652">
      <c r="A25652" s="3" t="s">
        <v>42054</v>
      </c>
      <c r="B25652" s="3" t="s">
        <v>20915</v>
      </c>
      <c r="C25652" s="5" t="s">
        <v>614</v>
      </c>
      <c r="D25652" s="3" t="s">
        <v>206</v>
      </c>
      <c r="E25652" s="3" t="s">
        <v>100</v>
      </c>
      <c r="F25652" s="7">
        <v>46239.32103140668</v>
      </c>
      <c r="G25652" s="3" t="s">
        <v>11101</v>
      </c>
    </row>
    <row r="25653">
      <c r="A25653" s="3" t="s">
        <v>42055</v>
      </c>
      <c r="B25653" s="3" t="s">
        <v>20915</v>
      </c>
      <c r="C25653" s="5" t="s">
        <v>206</v>
      </c>
      <c r="D25653" s="3" t="s">
        <v>68</v>
      </c>
      <c r="E25653" s="3" t="s">
        <v>100</v>
      </c>
      <c r="F25653" s="7">
        <v>46239.3245036289</v>
      </c>
      <c r="G25653" s="3" t="s">
        <v>11105</v>
      </c>
    </row>
    <row r="25654">
      <c r="A25654" s="3" t="s">
        <v>42056</v>
      </c>
      <c r="B25654" s="3" t="s">
        <v>20918</v>
      </c>
      <c r="C25654" s="5" t="s">
        <v>45</v>
      </c>
      <c r="D25654" s="3" t="s">
        <v>221</v>
      </c>
      <c r="E25654" s="3" t="s">
        <v>937</v>
      </c>
      <c r="F25654" s="7">
        <v>46239.385261807656</v>
      </c>
      <c r="G25654" s="3" t="s">
        <v>11049</v>
      </c>
    </row>
    <row r="25655">
      <c r="A25655" s="3" t="s">
        <v>42057</v>
      </c>
      <c r="B25655" s="3" t="s">
        <v>20918</v>
      </c>
      <c r="C25655" s="5" t="s">
        <v>221</v>
      </c>
      <c r="D25655" s="3" t="s">
        <v>614</v>
      </c>
      <c r="E25655" s="3" t="s">
        <v>118</v>
      </c>
      <c r="F25655" s="7">
        <v>46239.388734029875</v>
      </c>
      <c r="G25655" s="3" t="s">
        <v>11051</v>
      </c>
    </row>
    <row r="25656">
      <c r="A25656" s="3" t="s">
        <v>42058</v>
      </c>
      <c r="B25656" s="3" t="s">
        <v>20918</v>
      </c>
      <c r="C25656" s="5" t="s">
        <v>614</v>
      </c>
      <c r="D25656" s="3" t="s">
        <v>206</v>
      </c>
      <c r="E25656" s="3" t="s">
        <v>100</v>
      </c>
      <c r="F25656" s="7">
        <v>46239.3922062521</v>
      </c>
      <c r="G25656" s="3" t="s">
        <v>11054</v>
      </c>
    </row>
    <row r="25657">
      <c r="A25657" s="3" t="s">
        <v>42059</v>
      </c>
      <c r="B25657" s="3" t="s">
        <v>20918</v>
      </c>
      <c r="C25657" s="5" t="s">
        <v>206</v>
      </c>
      <c r="D25657" s="3" t="s">
        <v>68</v>
      </c>
      <c r="E25657" s="3" t="s">
        <v>100</v>
      </c>
      <c r="F25657" s="7">
        <v>46239.39567847432</v>
      </c>
      <c r="G25657" s="3" t="s">
        <v>11057</v>
      </c>
    </row>
    <row r="25658">
      <c r="A25658" s="3" t="s">
        <v>42060</v>
      </c>
      <c r="B25658" s="3" t="s">
        <v>20920</v>
      </c>
      <c r="C25658" s="5" t="s">
        <v>45</v>
      </c>
      <c r="D25658" s="3" t="s">
        <v>221</v>
      </c>
      <c r="E25658" s="3" t="s">
        <v>348</v>
      </c>
      <c r="F25658" s="7">
        <v>46239.45643665307</v>
      </c>
      <c r="G25658" s="3" t="s">
        <v>11108</v>
      </c>
    </row>
    <row r="25659">
      <c r="A25659" s="3" t="s">
        <v>42061</v>
      </c>
      <c r="B25659" s="3" t="s">
        <v>20920</v>
      </c>
      <c r="C25659" s="5" t="s">
        <v>221</v>
      </c>
      <c r="D25659" s="3" t="s">
        <v>614</v>
      </c>
      <c r="E25659" s="3" t="s">
        <v>118</v>
      </c>
      <c r="F25659" s="7">
        <v>46239.45990887529</v>
      </c>
      <c r="G25659" s="3" t="s">
        <v>11111</v>
      </c>
    </row>
    <row r="25660">
      <c r="A25660" s="3" t="s">
        <v>42062</v>
      </c>
      <c r="B25660" s="3" t="s">
        <v>20920</v>
      </c>
      <c r="C25660" s="5" t="s">
        <v>614</v>
      </c>
      <c r="D25660" s="3" t="s">
        <v>206</v>
      </c>
      <c r="E25660" s="3" t="s">
        <v>100</v>
      </c>
      <c r="F25660" s="7">
        <v>46239.463381097514</v>
      </c>
      <c r="G25660" s="3" t="s">
        <v>11114</v>
      </c>
    </row>
    <row r="25661">
      <c r="A25661" s="3" t="s">
        <v>42063</v>
      </c>
      <c r="B25661" s="3" t="s">
        <v>20920</v>
      </c>
      <c r="C25661" s="5" t="s">
        <v>206</v>
      </c>
      <c r="D25661" s="3" t="s">
        <v>68</v>
      </c>
      <c r="E25661" s="3" t="s">
        <v>100</v>
      </c>
      <c r="F25661" s="7">
        <v>46239.46685331973</v>
      </c>
      <c r="G25661" s="3" t="s">
        <v>11117</v>
      </c>
    </row>
    <row r="25662">
      <c r="A25662" s="3" t="s">
        <v>42064</v>
      </c>
      <c r="B25662" s="3" t="s">
        <v>20922</v>
      </c>
      <c r="C25662" s="5" t="s">
        <v>45</v>
      </c>
      <c r="D25662" s="3" t="s">
        <v>221</v>
      </c>
      <c r="E25662" s="3" t="s">
        <v>404</v>
      </c>
      <c r="F25662" s="7">
        <v>46239.52761149848</v>
      </c>
      <c r="G25662" s="3" t="s">
        <v>19435</v>
      </c>
    </row>
    <row r="25663">
      <c r="A25663" s="3" t="s">
        <v>42065</v>
      </c>
      <c r="B25663" s="3" t="s">
        <v>20922</v>
      </c>
      <c r="C25663" s="5" t="s">
        <v>221</v>
      </c>
      <c r="D25663" s="3" t="s">
        <v>614</v>
      </c>
      <c r="E25663" s="3" t="s">
        <v>118</v>
      </c>
      <c r="F25663" s="7">
        <v>46239.5310837207</v>
      </c>
      <c r="G25663" s="3" t="s">
        <v>19438</v>
      </c>
    </row>
    <row r="25664">
      <c r="A25664" s="3" t="s">
        <v>42066</v>
      </c>
      <c r="B25664" s="3" t="s">
        <v>20922</v>
      </c>
      <c r="C25664" s="5" t="s">
        <v>614</v>
      </c>
      <c r="D25664" s="3" t="s">
        <v>206</v>
      </c>
      <c r="E25664" s="3" t="s">
        <v>100</v>
      </c>
      <c r="F25664" s="7">
        <v>46239.534555942926</v>
      </c>
      <c r="G25664" s="3" t="s">
        <v>19441</v>
      </c>
    </row>
    <row r="25665">
      <c r="A25665" s="3" t="s">
        <v>42067</v>
      </c>
      <c r="B25665" s="3" t="s">
        <v>20922</v>
      </c>
      <c r="C25665" s="5" t="s">
        <v>206</v>
      </c>
      <c r="D25665" s="3" t="s">
        <v>68</v>
      </c>
      <c r="E25665" s="3" t="s">
        <v>100</v>
      </c>
      <c r="F25665" s="7">
        <v>46239.538028165145</v>
      </c>
      <c r="G25665" s="3" t="s">
        <v>19443</v>
      </c>
    </row>
    <row r="25666">
      <c r="A25666" s="3" t="s">
        <v>42068</v>
      </c>
      <c r="B25666" s="3" t="s">
        <v>20924</v>
      </c>
      <c r="C25666" s="5" t="s">
        <v>45</v>
      </c>
      <c r="D25666" s="3" t="s">
        <v>221</v>
      </c>
      <c r="E25666" s="3" t="s">
        <v>575</v>
      </c>
      <c r="F25666" s="7">
        <v>46239.5987863439</v>
      </c>
      <c r="G25666" s="3" t="s">
        <v>11120</v>
      </c>
    </row>
    <row r="25667">
      <c r="A25667" s="3" t="s">
        <v>42069</v>
      </c>
      <c r="B25667" s="3" t="s">
        <v>20924</v>
      </c>
      <c r="C25667" s="5" t="s">
        <v>221</v>
      </c>
      <c r="D25667" s="3" t="s">
        <v>614</v>
      </c>
      <c r="E25667" s="3" t="s">
        <v>118</v>
      </c>
      <c r="F25667" s="7">
        <v>46239.60225856612</v>
      </c>
      <c r="G25667" s="3" t="s">
        <v>11122</v>
      </c>
    </row>
    <row r="25668">
      <c r="A25668" s="3" t="s">
        <v>42070</v>
      </c>
      <c r="B25668" s="3" t="s">
        <v>20924</v>
      </c>
      <c r="C25668" s="5" t="s">
        <v>614</v>
      </c>
      <c r="D25668" s="3" t="s">
        <v>206</v>
      </c>
      <c r="E25668" s="3" t="s">
        <v>100</v>
      </c>
      <c r="F25668" s="7">
        <v>46239.605730788346</v>
      </c>
      <c r="G25668" s="3" t="s">
        <v>11125</v>
      </c>
    </row>
    <row r="25669">
      <c r="A25669" s="3" t="s">
        <v>42071</v>
      </c>
      <c r="B25669" s="3" t="s">
        <v>20924</v>
      </c>
      <c r="C25669" s="5" t="s">
        <v>206</v>
      </c>
      <c r="D25669" s="3" t="s">
        <v>68</v>
      </c>
      <c r="E25669" s="3" t="s">
        <v>100</v>
      </c>
      <c r="F25669" s="7">
        <v>46239.609203010565</v>
      </c>
      <c r="G25669" s="3" t="s">
        <v>11128</v>
      </c>
    </row>
    <row r="25670">
      <c r="A25670" s="3" t="s">
        <v>42072</v>
      </c>
      <c r="B25670" s="3" t="s">
        <v>20926</v>
      </c>
      <c r="C25670" s="5" t="s">
        <v>45</v>
      </c>
      <c r="D25670" s="3" t="s">
        <v>221</v>
      </c>
      <c r="E25670" s="3" t="s">
        <v>230</v>
      </c>
      <c r="F25670" s="7">
        <v>46239.66996118932</v>
      </c>
      <c r="G25670" s="3" t="s">
        <v>19383</v>
      </c>
    </row>
    <row r="25671">
      <c r="A25671" s="3" t="s">
        <v>42073</v>
      </c>
      <c r="B25671" s="3" t="s">
        <v>20926</v>
      </c>
      <c r="C25671" s="5" t="s">
        <v>221</v>
      </c>
      <c r="D25671" s="3" t="s">
        <v>614</v>
      </c>
      <c r="E25671" s="3" t="s">
        <v>118</v>
      </c>
      <c r="F25671" s="7">
        <v>46239.67343341154</v>
      </c>
      <c r="G25671" s="3" t="s">
        <v>19386</v>
      </c>
    </row>
    <row r="25672">
      <c r="A25672" s="3" t="s">
        <v>42074</v>
      </c>
      <c r="B25672" s="3" t="s">
        <v>20926</v>
      </c>
      <c r="C25672" s="5" t="s">
        <v>614</v>
      </c>
      <c r="D25672" s="3" t="s">
        <v>206</v>
      </c>
      <c r="E25672" s="3" t="s">
        <v>100</v>
      </c>
      <c r="F25672" s="7">
        <v>46239.676905633765</v>
      </c>
      <c r="G25672" s="3" t="s">
        <v>19389</v>
      </c>
    </row>
    <row r="25673">
      <c r="A25673" s="3" t="s">
        <v>42075</v>
      </c>
      <c r="B25673" s="3" t="s">
        <v>20926</v>
      </c>
      <c r="C25673" s="5" t="s">
        <v>206</v>
      </c>
      <c r="D25673" s="3" t="s">
        <v>68</v>
      </c>
      <c r="E25673" s="3" t="s">
        <v>100</v>
      </c>
      <c r="F25673" s="7">
        <v>46239.680377855984</v>
      </c>
      <c r="G25673" s="3" t="s">
        <v>19391</v>
      </c>
    </row>
    <row r="25674">
      <c r="A25674" s="3" t="s">
        <v>42076</v>
      </c>
      <c r="B25674" s="3" t="s">
        <v>20928</v>
      </c>
      <c r="C25674" s="5" t="s">
        <v>45</v>
      </c>
      <c r="D25674" s="3" t="s">
        <v>221</v>
      </c>
      <c r="E25674" s="3" t="s">
        <v>341</v>
      </c>
      <c r="F25674" s="7">
        <v>46239.741136034725</v>
      </c>
      <c r="G25674" s="3" t="s">
        <v>10364</v>
      </c>
    </row>
    <row r="25675">
      <c r="A25675" s="3" t="s">
        <v>42077</v>
      </c>
      <c r="B25675" s="3" t="s">
        <v>20928</v>
      </c>
      <c r="C25675" s="5" t="s">
        <v>221</v>
      </c>
      <c r="D25675" s="3" t="s">
        <v>614</v>
      </c>
      <c r="E25675" s="3" t="s">
        <v>118</v>
      </c>
      <c r="F25675" s="7">
        <v>46239.744608256944</v>
      </c>
      <c r="G25675" s="3" t="s">
        <v>10366</v>
      </c>
    </row>
    <row r="25676">
      <c r="A25676" s="3" t="s">
        <v>42078</v>
      </c>
      <c r="B25676" s="3" t="s">
        <v>20928</v>
      </c>
      <c r="C25676" s="5" t="s">
        <v>614</v>
      </c>
      <c r="D25676" s="3" t="s">
        <v>206</v>
      </c>
      <c r="E25676" s="3" t="s">
        <v>100</v>
      </c>
      <c r="F25676" s="7">
        <v>46239.74808047917</v>
      </c>
      <c r="G25676" s="3" t="s">
        <v>10369</v>
      </c>
    </row>
    <row r="25677">
      <c r="A25677" s="3" t="s">
        <v>42079</v>
      </c>
      <c r="B25677" s="3" t="s">
        <v>20928</v>
      </c>
      <c r="C25677" s="5" t="s">
        <v>206</v>
      </c>
      <c r="D25677" s="3" t="s">
        <v>68</v>
      </c>
      <c r="E25677" s="3" t="s">
        <v>100</v>
      </c>
      <c r="F25677" s="7">
        <v>46239.75155270139</v>
      </c>
      <c r="G25677" s="3" t="s">
        <v>10372</v>
      </c>
    </row>
    <row r="25678">
      <c r="A25678" s="3" t="s">
        <v>42080</v>
      </c>
      <c r="B25678" s="3" t="s">
        <v>20930</v>
      </c>
      <c r="C25678" s="5" t="s">
        <v>45</v>
      </c>
      <c r="D25678" s="3" t="s">
        <v>221</v>
      </c>
      <c r="E25678" s="3" t="s">
        <v>575</v>
      </c>
      <c r="F25678" s="7">
        <v>46239.812310880145</v>
      </c>
      <c r="G25678" s="3" t="s">
        <v>18016</v>
      </c>
    </row>
    <row r="25679">
      <c r="A25679" s="3" t="s">
        <v>42081</v>
      </c>
      <c r="B25679" s="3" t="s">
        <v>20930</v>
      </c>
      <c r="C25679" s="5" t="s">
        <v>221</v>
      </c>
      <c r="D25679" s="3" t="s">
        <v>614</v>
      </c>
      <c r="E25679" s="3" t="s">
        <v>118</v>
      </c>
      <c r="F25679" s="7">
        <v>46239.815783102364</v>
      </c>
      <c r="G25679" s="3" t="s">
        <v>18018</v>
      </c>
    </row>
    <row r="25680">
      <c r="A25680" s="3" t="s">
        <v>42082</v>
      </c>
      <c r="B25680" s="3" t="s">
        <v>20930</v>
      </c>
      <c r="C25680" s="5" t="s">
        <v>614</v>
      </c>
      <c r="D25680" s="3" t="s">
        <v>206</v>
      </c>
      <c r="E25680" s="3" t="s">
        <v>100</v>
      </c>
      <c r="F25680" s="7">
        <v>46239.81925532459</v>
      </c>
      <c r="G25680" s="3" t="s">
        <v>18022</v>
      </c>
    </row>
    <row r="25681">
      <c r="A25681" s="3" t="s">
        <v>42083</v>
      </c>
      <c r="B25681" s="3" t="s">
        <v>20930</v>
      </c>
      <c r="C25681" s="5" t="s">
        <v>206</v>
      </c>
      <c r="D25681" s="3" t="s">
        <v>68</v>
      </c>
      <c r="E25681" s="3" t="s">
        <v>100</v>
      </c>
      <c r="F25681" s="7">
        <v>46239.82272754681</v>
      </c>
      <c r="G25681" s="3" t="s">
        <v>18025</v>
      </c>
    </row>
    <row r="25682">
      <c r="A25682" s="3" t="s">
        <v>42084</v>
      </c>
      <c r="B25682" s="3" t="s">
        <v>20932</v>
      </c>
      <c r="C25682" s="5" t="s">
        <v>45</v>
      </c>
      <c r="D25682" s="3" t="s">
        <v>221</v>
      </c>
      <c r="E25682" s="3" t="s">
        <v>442</v>
      </c>
      <c r="F25682" s="7">
        <v>46239.88348572556</v>
      </c>
      <c r="G25682" s="3" t="s">
        <v>11626</v>
      </c>
    </row>
    <row r="25683">
      <c r="A25683" s="3" t="s">
        <v>42085</v>
      </c>
      <c r="B25683" s="3" t="s">
        <v>20932</v>
      </c>
      <c r="C25683" s="5" t="s">
        <v>221</v>
      </c>
      <c r="D25683" s="3" t="s">
        <v>181</v>
      </c>
      <c r="E25683" s="3" t="s">
        <v>118</v>
      </c>
      <c r="F25683" s="7">
        <v>46239.886957947776</v>
      </c>
      <c r="G25683" s="3" t="s">
        <v>42086</v>
      </c>
    </row>
    <row r="25684">
      <c r="A25684" s="3" t="s">
        <v>42087</v>
      </c>
      <c r="B25684" s="3" t="s">
        <v>20934</v>
      </c>
      <c r="C25684" s="5" t="s">
        <v>45</v>
      </c>
      <c r="D25684" s="3" t="s">
        <v>221</v>
      </c>
      <c r="E25684" s="3" t="s">
        <v>662</v>
      </c>
      <c r="F25684" s="7">
        <v>46239.95466057098</v>
      </c>
      <c r="G25684" s="3" t="s">
        <v>21981</v>
      </c>
    </row>
    <row r="25685">
      <c r="A25685" s="3" t="s">
        <v>42088</v>
      </c>
      <c r="B25685" s="3" t="s">
        <v>20934</v>
      </c>
      <c r="C25685" s="5" t="s">
        <v>221</v>
      </c>
      <c r="D25685" s="3" t="s">
        <v>614</v>
      </c>
      <c r="E25685" s="3" t="s">
        <v>118</v>
      </c>
      <c r="F25685" s="7">
        <v>46239.958132793196</v>
      </c>
      <c r="G25685" s="3" t="s">
        <v>21984</v>
      </c>
    </row>
    <row r="25686">
      <c r="A25686" s="3" t="s">
        <v>42089</v>
      </c>
      <c r="B25686" s="3" t="s">
        <v>20934</v>
      </c>
      <c r="C25686" s="5" t="s">
        <v>614</v>
      </c>
      <c r="D25686" s="3" t="s">
        <v>206</v>
      </c>
      <c r="E25686" s="3" t="s">
        <v>100</v>
      </c>
      <c r="F25686" s="7">
        <v>46239.96160501542</v>
      </c>
      <c r="G25686" s="3" t="s">
        <v>21987</v>
      </c>
    </row>
    <row r="25687">
      <c r="A25687" s="3" t="s">
        <v>42090</v>
      </c>
      <c r="B25687" s="3" t="s">
        <v>20934</v>
      </c>
      <c r="C25687" s="5" t="s">
        <v>206</v>
      </c>
      <c r="D25687" s="3" t="s">
        <v>68</v>
      </c>
      <c r="E25687" s="3" t="s">
        <v>100</v>
      </c>
      <c r="F25687" s="7">
        <v>46239.96507723764</v>
      </c>
      <c r="G25687" s="3" t="s">
        <v>21990</v>
      </c>
    </row>
    <row r="25688">
      <c r="A25688" s="3" t="s">
        <v>42091</v>
      </c>
      <c r="B25688" s="3" t="s">
        <v>20936</v>
      </c>
      <c r="C25688" s="5" t="s">
        <v>45</v>
      </c>
      <c r="D25688" s="3" t="s">
        <v>221</v>
      </c>
      <c r="E25688" s="3" t="s">
        <v>689</v>
      </c>
      <c r="F25688" s="7">
        <v>46240.02583541639</v>
      </c>
      <c r="G25688" s="3" t="s">
        <v>19050</v>
      </c>
    </row>
    <row r="25689">
      <c r="A25689" s="3" t="s">
        <v>42092</v>
      </c>
      <c r="B25689" s="3" t="s">
        <v>20936</v>
      </c>
      <c r="C25689" s="5" t="s">
        <v>221</v>
      </c>
      <c r="D25689" s="3" t="s">
        <v>614</v>
      </c>
      <c r="E25689" s="3" t="s">
        <v>118</v>
      </c>
      <c r="F25689" s="7">
        <v>46240.02930763861</v>
      </c>
      <c r="G25689" s="3" t="s">
        <v>19053</v>
      </c>
    </row>
    <row r="25690">
      <c r="A25690" s="3" t="s">
        <v>42093</v>
      </c>
      <c r="B25690" s="3" t="s">
        <v>20936</v>
      </c>
      <c r="C25690" s="5" t="s">
        <v>614</v>
      </c>
      <c r="D25690" s="3" t="s">
        <v>206</v>
      </c>
      <c r="E25690" s="3" t="s">
        <v>100</v>
      </c>
      <c r="F25690" s="7">
        <v>46240.032779860834</v>
      </c>
      <c r="G25690" s="3" t="s">
        <v>19056</v>
      </c>
    </row>
    <row r="25691">
      <c r="A25691" s="3" t="s">
        <v>42094</v>
      </c>
      <c r="B25691" s="3" t="s">
        <v>20936</v>
      </c>
      <c r="C25691" s="5" t="s">
        <v>206</v>
      </c>
      <c r="D25691" s="3" t="s">
        <v>68</v>
      </c>
      <c r="E25691" s="3" t="s">
        <v>100</v>
      </c>
      <c r="F25691" s="7">
        <v>46240.03625208305</v>
      </c>
      <c r="G25691" s="3" t="s">
        <v>19059</v>
      </c>
    </row>
    <row r="25692">
      <c r="A25692" s="3" t="s">
        <v>42095</v>
      </c>
      <c r="B25692" s="3" t="s">
        <v>20938</v>
      </c>
      <c r="C25692" s="5" t="s">
        <v>45</v>
      </c>
      <c r="D25692" s="3" t="s">
        <v>221</v>
      </c>
      <c r="E25692" s="3" t="s">
        <v>521</v>
      </c>
      <c r="F25692" s="7">
        <v>46240.09701026181</v>
      </c>
      <c r="G25692" s="3" t="s">
        <v>11148</v>
      </c>
    </row>
    <row r="25693">
      <c r="A25693" s="3" t="s">
        <v>42096</v>
      </c>
      <c r="B25693" s="3" t="s">
        <v>20938</v>
      </c>
      <c r="C25693" s="5" t="s">
        <v>221</v>
      </c>
      <c r="D25693" s="3" t="s">
        <v>614</v>
      </c>
      <c r="E25693" s="3" t="s">
        <v>118</v>
      </c>
      <c r="F25693" s="7">
        <v>46240.10048248403</v>
      </c>
      <c r="G25693" s="3" t="s">
        <v>11151</v>
      </c>
    </row>
    <row r="25694">
      <c r="A25694" s="3" t="s">
        <v>42097</v>
      </c>
      <c r="B25694" s="3" t="s">
        <v>20938</v>
      </c>
      <c r="C25694" s="5" t="s">
        <v>614</v>
      </c>
      <c r="D25694" s="3" t="s">
        <v>206</v>
      </c>
      <c r="E25694" s="3" t="s">
        <v>100</v>
      </c>
      <c r="F25694" s="7">
        <v>46240.103954706254</v>
      </c>
      <c r="G25694" s="3" t="s">
        <v>11154</v>
      </c>
    </row>
    <row r="25695">
      <c r="A25695" s="3" t="s">
        <v>42098</v>
      </c>
      <c r="B25695" s="3" t="s">
        <v>20938</v>
      </c>
      <c r="C25695" s="5" t="s">
        <v>206</v>
      </c>
      <c r="D25695" s="3" t="s">
        <v>68</v>
      </c>
      <c r="E25695" s="3" t="s">
        <v>100</v>
      </c>
      <c r="F25695" s="7">
        <v>46240.10742692847</v>
      </c>
      <c r="G25695" s="3" t="s">
        <v>11157</v>
      </c>
    </row>
    <row r="25696">
      <c r="A25696" s="3" t="s">
        <v>42099</v>
      </c>
      <c r="B25696" s="3" t="s">
        <v>20941</v>
      </c>
      <c r="C25696" s="5" t="s">
        <v>45</v>
      </c>
      <c r="D25696" s="3" t="s">
        <v>221</v>
      </c>
      <c r="E25696" s="3" t="s">
        <v>609</v>
      </c>
      <c r="F25696" s="7">
        <v>46240.16818510722</v>
      </c>
      <c r="G25696" s="3" t="s">
        <v>10975</v>
      </c>
    </row>
    <row r="25697">
      <c r="A25697" s="3" t="s">
        <v>42100</v>
      </c>
      <c r="B25697" s="3" t="s">
        <v>20941</v>
      </c>
      <c r="C25697" s="5" t="s">
        <v>221</v>
      </c>
      <c r="D25697" s="3" t="s">
        <v>614</v>
      </c>
      <c r="E25697" s="3" t="s">
        <v>118</v>
      </c>
      <c r="F25697" s="7">
        <v>46240.17165732944</v>
      </c>
      <c r="G25697" s="3" t="s">
        <v>10978</v>
      </c>
    </row>
    <row r="25698">
      <c r="A25698" s="3" t="s">
        <v>42101</v>
      </c>
      <c r="B25698" s="3" t="s">
        <v>20941</v>
      </c>
      <c r="C25698" s="5" t="s">
        <v>614</v>
      </c>
      <c r="D25698" s="3" t="s">
        <v>206</v>
      </c>
      <c r="E25698" s="3" t="s">
        <v>100</v>
      </c>
      <c r="F25698" s="7">
        <v>46240.175129551666</v>
      </c>
      <c r="G25698" s="3" t="s">
        <v>10981</v>
      </c>
    </row>
    <row r="25699">
      <c r="A25699" s="3" t="s">
        <v>42102</v>
      </c>
      <c r="B25699" s="3" t="s">
        <v>20941</v>
      </c>
      <c r="C25699" s="5" t="s">
        <v>206</v>
      </c>
      <c r="D25699" s="3" t="s">
        <v>68</v>
      </c>
      <c r="E25699" s="3" t="s">
        <v>100</v>
      </c>
      <c r="F25699" s="7">
        <v>46240.178601773885</v>
      </c>
      <c r="G25699" s="3" t="s">
        <v>10984</v>
      </c>
    </row>
    <row r="25700">
      <c r="A25700" s="3" t="s">
        <v>42103</v>
      </c>
      <c r="B25700" s="3" t="s">
        <v>20942</v>
      </c>
      <c r="C25700" s="5" t="s">
        <v>45</v>
      </c>
      <c r="D25700" s="3" t="s">
        <v>221</v>
      </c>
      <c r="E25700" s="3" t="s">
        <v>685</v>
      </c>
      <c r="F25700" s="7">
        <v>46240.23935995263</v>
      </c>
      <c r="G25700" s="3" t="s">
        <v>6800</v>
      </c>
    </row>
    <row r="25701">
      <c r="A25701" s="3" t="s">
        <v>42104</v>
      </c>
      <c r="B25701" s="3" t="s">
        <v>20942</v>
      </c>
      <c r="C25701" s="5" t="s">
        <v>221</v>
      </c>
      <c r="D25701" s="3" t="s">
        <v>614</v>
      </c>
      <c r="E25701" s="3" t="s">
        <v>118</v>
      </c>
      <c r="F25701" s="7">
        <v>46240.24283217485</v>
      </c>
      <c r="G25701" s="3" t="s">
        <v>6803</v>
      </c>
    </row>
    <row r="25702">
      <c r="A25702" s="3" t="s">
        <v>42105</v>
      </c>
      <c r="B25702" s="3" t="s">
        <v>20942</v>
      </c>
      <c r="C25702" s="5" t="s">
        <v>614</v>
      </c>
      <c r="D25702" s="3" t="s">
        <v>206</v>
      </c>
      <c r="E25702" s="3" t="s">
        <v>100</v>
      </c>
      <c r="F25702" s="7">
        <v>46240.24630439708</v>
      </c>
      <c r="G25702" s="3" t="s">
        <v>6806</v>
      </c>
    </row>
    <row r="25703">
      <c r="A25703" s="3" t="s">
        <v>42106</v>
      </c>
      <c r="B25703" s="3" t="s">
        <v>20942</v>
      </c>
      <c r="C25703" s="5" t="s">
        <v>206</v>
      </c>
      <c r="D25703" s="3" t="s">
        <v>68</v>
      </c>
      <c r="E25703" s="3" t="s">
        <v>100</v>
      </c>
      <c r="F25703" s="7">
        <v>46240.2497766193</v>
      </c>
      <c r="G25703" s="3" t="s">
        <v>6808</v>
      </c>
    </row>
    <row r="25704">
      <c r="A25704" s="3" t="s">
        <v>42107</v>
      </c>
      <c r="B25704" s="3" t="s">
        <v>20944</v>
      </c>
      <c r="C25704" s="5" t="s">
        <v>45</v>
      </c>
      <c r="D25704" s="3" t="s">
        <v>221</v>
      </c>
      <c r="E25704" s="3" t="s">
        <v>752</v>
      </c>
      <c r="F25704" s="7">
        <v>46240.31053479805</v>
      </c>
      <c r="G25704" s="3" t="s">
        <v>29773</v>
      </c>
    </row>
    <row r="25705">
      <c r="A25705" s="3" t="s">
        <v>42108</v>
      </c>
      <c r="B25705" s="3" t="s">
        <v>20944</v>
      </c>
      <c r="C25705" s="5" t="s">
        <v>221</v>
      </c>
      <c r="D25705" s="3" t="s">
        <v>181</v>
      </c>
      <c r="E25705" s="3" t="s">
        <v>118</v>
      </c>
      <c r="F25705" s="7">
        <v>46240.31400702027</v>
      </c>
      <c r="G25705" s="3" t="s">
        <v>42109</v>
      </c>
    </row>
    <row r="25706">
      <c r="A25706" s="3" t="s">
        <v>42110</v>
      </c>
      <c r="B25706" s="3" t="s">
        <v>20947</v>
      </c>
      <c r="C25706" s="5" t="s">
        <v>45</v>
      </c>
      <c r="D25706" s="3" t="s">
        <v>221</v>
      </c>
      <c r="E25706" s="3" t="s">
        <v>460</v>
      </c>
      <c r="F25706" s="7">
        <v>46240.381709643465</v>
      </c>
      <c r="G25706" s="3" t="s">
        <v>18279</v>
      </c>
    </row>
    <row r="25707">
      <c r="A25707" s="3" t="s">
        <v>42111</v>
      </c>
      <c r="B25707" s="3" t="s">
        <v>20947</v>
      </c>
      <c r="C25707" s="5" t="s">
        <v>221</v>
      </c>
      <c r="D25707" s="3" t="s">
        <v>614</v>
      </c>
      <c r="E25707" s="3" t="s">
        <v>118</v>
      </c>
      <c r="F25707" s="7">
        <v>46240.385181865684</v>
      </c>
      <c r="G25707" s="3" t="s">
        <v>18282</v>
      </c>
    </row>
    <row r="25708">
      <c r="A25708" s="3" t="s">
        <v>42112</v>
      </c>
      <c r="B25708" s="3" t="s">
        <v>20947</v>
      </c>
      <c r="C25708" s="5" t="s">
        <v>614</v>
      </c>
      <c r="D25708" s="3" t="s">
        <v>206</v>
      </c>
      <c r="E25708" s="3" t="s">
        <v>100</v>
      </c>
      <c r="F25708" s="7">
        <v>46240.38865408791</v>
      </c>
      <c r="G25708" s="3" t="s">
        <v>18285</v>
      </c>
    </row>
    <row r="25709">
      <c r="A25709" s="3" t="s">
        <v>42113</v>
      </c>
      <c r="B25709" s="3" t="s">
        <v>20947</v>
      </c>
      <c r="C25709" s="5" t="s">
        <v>206</v>
      </c>
      <c r="D25709" s="3" t="s">
        <v>68</v>
      </c>
      <c r="E25709" s="3" t="s">
        <v>100</v>
      </c>
      <c r="F25709" s="7">
        <v>46240.39212631013</v>
      </c>
      <c r="G25709" s="3" t="s">
        <v>18288</v>
      </c>
    </row>
    <row r="25710">
      <c r="A25710" s="3" t="s">
        <v>42114</v>
      </c>
      <c r="B25710" s="3" t="s">
        <v>20949</v>
      </c>
      <c r="C25710" s="5" t="s">
        <v>45</v>
      </c>
      <c r="D25710" s="3" t="s">
        <v>221</v>
      </c>
      <c r="E25710" s="3" t="s">
        <v>183</v>
      </c>
      <c r="F25710" s="7">
        <v>46240.45288448888</v>
      </c>
      <c r="G25710" s="3" t="s">
        <v>42115</v>
      </c>
    </row>
    <row r="25711">
      <c r="A25711" s="3" t="s">
        <v>42116</v>
      </c>
      <c r="B25711" s="3" t="s">
        <v>20949</v>
      </c>
      <c r="C25711" s="5" t="s">
        <v>221</v>
      </c>
      <c r="D25711" s="3" t="s">
        <v>614</v>
      </c>
      <c r="E25711" s="3" t="s">
        <v>118</v>
      </c>
      <c r="F25711" s="7">
        <v>46240.456356711096</v>
      </c>
      <c r="G25711" s="3" t="s">
        <v>42117</v>
      </c>
    </row>
    <row r="25712">
      <c r="A25712" s="3" t="s">
        <v>42118</v>
      </c>
      <c r="B25712" s="3" t="s">
        <v>20949</v>
      </c>
      <c r="C25712" s="5" t="s">
        <v>614</v>
      </c>
      <c r="D25712" s="3" t="s">
        <v>206</v>
      </c>
      <c r="E25712" s="3" t="s">
        <v>100</v>
      </c>
      <c r="F25712" s="7">
        <v>46240.45982893332</v>
      </c>
      <c r="G25712" s="3" t="s">
        <v>42119</v>
      </c>
    </row>
    <row r="25713">
      <c r="A25713" s="3" t="s">
        <v>42120</v>
      </c>
      <c r="B25713" s="3" t="s">
        <v>20949</v>
      </c>
      <c r="C25713" s="5" t="s">
        <v>206</v>
      </c>
      <c r="D25713" s="3" t="s">
        <v>68</v>
      </c>
      <c r="E25713" s="3" t="s">
        <v>100</v>
      </c>
      <c r="F25713" s="7">
        <v>46240.46330115554</v>
      </c>
      <c r="G25713" s="3" t="s">
        <v>42121</v>
      </c>
    </row>
    <row r="25714">
      <c r="A25714" s="3" t="s">
        <v>42122</v>
      </c>
      <c r="B25714" s="3" t="s">
        <v>20952</v>
      </c>
      <c r="C25714" s="5" t="s">
        <v>45</v>
      </c>
      <c r="D25714" s="3" t="s">
        <v>221</v>
      </c>
      <c r="E25714" s="3" t="s">
        <v>183</v>
      </c>
      <c r="F25714" s="7">
        <v>46240.5240593343</v>
      </c>
      <c r="G25714" s="3" t="s">
        <v>6783</v>
      </c>
    </row>
    <row r="25715">
      <c r="A25715" s="3" t="s">
        <v>42123</v>
      </c>
      <c r="B25715" s="3" t="s">
        <v>20952</v>
      </c>
      <c r="C25715" s="5" t="s">
        <v>221</v>
      </c>
      <c r="D25715" s="3" t="s">
        <v>614</v>
      </c>
      <c r="E25715" s="3" t="s">
        <v>118</v>
      </c>
      <c r="F25715" s="7">
        <v>46240.527531556516</v>
      </c>
      <c r="G25715" s="3" t="s">
        <v>6786</v>
      </c>
    </row>
    <row r="25716">
      <c r="A25716" s="3" t="s">
        <v>42124</v>
      </c>
      <c r="B25716" s="3" t="s">
        <v>20952</v>
      </c>
      <c r="C25716" s="5" t="s">
        <v>614</v>
      </c>
      <c r="D25716" s="3" t="s">
        <v>206</v>
      </c>
      <c r="E25716" s="3" t="s">
        <v>100</v>
      </c>
      <c r="F25716" s="7">
        <v>46240.53100377874</v>
      </c>
      <c r="G25716" s="3" t="s">
        <v>6789</v>
      </c>
    </row>
    <row r="25717">
      <c r="A25717" s="3" t="s">
        <v>42125</v>
      </c>
      <c r="B25717" s="3" t="s">
        <v>20952</v>
      </c>
      <c r="C25717" s="5" t="s">
        <v>206</v>
      </c>
      <c r="D25717" s="3" t="s">
        <v>68</v>
      </c>
      <c r="E25717" s="3" t="s">
        <v>100</v>
      </c>
      <c r="F25717" s="7">
        <v>46240.53447600096</v>
      </c>
      <c r="G25717" s="3" t="s">
        <v>6792</v>
      </c>
    </row>
    <row r="25718">
      <c r="A25718" s="3" t="s">
        <v>42126</v>
      </c>
      <c r="B25718" s="3" t="s">
        <v>20955</v>
      </c>
      <c r="C25718" s="5" t="s">
        <v>45</v>
      </c>
      <c r="D25718" s="3" t="s">
        <v>221</v>
      </c>
      <c r="E25718" s="3" t="s">
        <v>175</v>
      </c>
      <c r="F25718" s="7">
        <v>46240.59523417971</v>
      </c>
      <c r="G25718" s="3" t="s">
        <v>11192</v>
      </c>
    </row>
    <row r="25719">
      <c r="A25719" s="3" t="s">
        <v>42127</v>
      </c>
      <c r="B25719" s="3" t="s">
        <v>20955</v>
      </c>
      <c r="C25719" s="5" t="s">
        <v>221</v>
      </c>
      <c r="D25719" s="3" t="s">
        <v>614</v>
      </c>
      <c r="E25719" s="3" t="s">
        <v>118</v>
      </c>
      <c r="F25719" s="7">
        <v>46240.59870640193</v>
      </c>
      <c r="G25719" s="3" t="s">
        <v>11194</v>
      </c>
    </row>
    <row r="25720">
      <c r="A25720" s="3" t="s">
        <v>42128</v>
      </c>
      <c r="B25720" s="3" t="s">
        <v>20955</v>
      </c>
      <c r="C25720" s="5" t="s">
        <v>614</v>
      </c>
      <c r="D25720" s="3" t="s">
        <v>206</v>
      </c>
      <c r="E25720" s="3" t="s">
        <v>100</v>
      </c>
      <c r="F25720" s="7">
        <v>46240.602178624154</v>
      </c>
      <c r="G25720" s="3" t="s">
        <v>11197</v>
      </c>
    </row>
    <row r="25721">
      <c r="A25721" s="3" t="s">
        <v>42129</v>
      </c>
      <c r="B25721" s="3" t="s">
        <v>20955</v>
      </c>
      <c r="C25721" s="5" t="s">
        <v>206</v>
      </c>
      <c r="D25721" s="3" t="s">
        <v>68</v>
      </c>
      <c r="E25721" s="3" t="s">
        <v>100</v>
      </c>
      <c r="F25721" s="7">
        <v>46240.60565084637</v>
      </c>
      <c r="G25721" s="3" t="s">
        <v>11200</v>
      </c>
    </row>
    <row r="25722">
      <c r="A25722" s="3" t="s">
        <v>42130</v>
      </c>
      <c r="B25722" s="3" t="s">
        <v>20958</v>
      </c>
      <c r="C25722" s="5" t="s">
        <v>45</v>
      </c>
      <c r="D25722" s="3" t="s">
        <v>221</v>
      </c>
      <c r="E25722" s="3" t="s">
        <v>507</v>
      </c>
      <c r="F25722" s="7">
        <v>46240.66640902512</v>
      </c>
      <c r="G25722" s="3" t="s">
        <v>12644</v>
      </c>
    </row>
    <row r="25723">
      <c r="A25723" s="3" t="s">
        <v>42131</v>
      </c>
      <c r="B25723" s="3" t="s">
        <v>20958</v>
      </c>
      <c r="C25723" s="5" t="s">
        <v>221</v>
      </c>
      <c r="D25723" s="3" t="s">
        <v>614</v>
      </c>
      <c r="E25723" s="3" t="s">
        <v>118</v>
      </c>
      <c r="F25723" s="7">
        <v>46240.66988124734</v>
      </c>
      <c r="G25723" s="3" t="s">
        <v>12647</v>
      </c>
    </row>
    <row r="25724">
      <c r="A25724" s="3" t="s">
        <v>42132</v>
      </c>
      <c r="B25724" s="3" t="s">
        <v>20958</v>
      </c>
      <c r="C25724" s="5" t="s">
        <v>614</v>
      </c>
      <c r="D25724" s="3" t="s">
        <v>206</v>
      </c>
      <c r="E25724" s="3" t="s">
        <v>100</v>
      </c>
      <c r="F25724" s="7">
        <v>46240.67335346957</v>
      </c>
      <c r="G25724" s="3" t="s">
        <v>12650</v>
      </c>
    </row>
    <row r="25725">
      <c r="A25725" s="3" t="s">
        <v>42133</v>
      </c>
      <c r="B25725" s="3" t="s">
        <v>20958</v>
      </c>
      <c r="C25725" s="5" t="s">
        <v>206</v>
      </c>
      <c r="D25725" s="3" t="s">
        <v>68</v>
      </c>
      <c r="E25725" s="3" t="s">
        <v>100</v>
      </c>
      <c r="F25725" s="7">
        <v>46240.676825691786</v>
      </c>
      <c r="G25725" s="3" t="s">
        <v>12654</v>
      </c>
    </row>
    <row r="25726">
      <c r="A25726" s="3" t="s">
        <v>42134</v>
      </c>
      <c r="B25726" s="3" t="s">
        <v>20961</v>
      </c>
      <c r="C25726" s="5" t="s">
        <v>45</v>
      </c>
      <c r="D25726" s="3" t="s">
        <v>221</v>
      </c>
      <c r="E25726" s="3" t="s">
        <v>515</v>
      </c>
      <c r="F25726" s="7">
        <v>46240.73758387054</v>
      </c>
      <c r="G25726" s="3" t="s">
        <v>11224</v>
      </c>
    </row>
    <row r="25727">
      <c r="A25727" s="3" t="s">
        <v>42135</v>
      </c>
      <c r="B25727" s="3" t="s">
        <v>20961</v>
      </c>
      <c r="C25727" s="5" t="s">
        <v>221</v>
      </c>
      <c r="D25727" s="3" t="s">
        <v>614</v>
      </c>
      <c r="E25727" s="3" t="s">
        <v>118</v>
      </c>
      <c r="F25727" s="7">
        <v>46240.74105609276</v>
      </c>
      <c r="G25727" s="3" t="s">
        <v>11226</v>
      </c>
    </row>
    <row r="25728">
      <c r="A25728" s="3" t="s">
        <v>42136</v>
      </c>
      <c r="B25728" s="3" t="s">
        <v>20961</v>
      </c>
      <c r="C25728" s="5" t="s">
        <v>614</v>
      </c>
      <c r="D25728" s="3" t="s">
        <v>206</v>
      </c>
      <c r="E25728" s="3" t="s">
        <v>100</v>
      </c>
      <c r="F25728" s="7">
        <v>46240.74452831499</v>
      </c>
      <c r="G25728" s="3" t="s">
        <v>11229</v>
      </c>
    </row>
    <row r="25729">
      <c r="A25729" s="3" t="s">
        <v>42137</v>
      </c>
      <c r="B25729" s="3" t="s">
        <v>20961</v>
      </c>
      <c r="C25729" s="5" t="s">
        <v>206</v>
      </c>
      <c r="D25729" s="3" t="s">
        <v>68</v>
      </c>
      <c r="E25729" s="3" t="s">
        <v>100</v>
      </c>
      <c r="F25729" s="7">
        <v>46240.748000537205</v>
      </c>
      <c r="G25729" s="3" t="s">
        <v>11232</v>
      </c>
    </row>
    <row r="25730">
      <c r="A25730" s="3" t="s">
        <v>42138</v>
      </c>
      <c r="B25730" s="3" t="s">
        <v>20963</v>
      </c>
      <c r="C25730" s="5" t="s">
        <v>45</v>
      </c>
      <c r="D25730" s="3" t="s">
        <v>221</v>
      </c>
      <c r="E25730" s="3" t="s">
        <v>587</v>
      </c>
      <c r="F25730" s="7">
        <v>46240.80875871596</v>
      </c>
      <c r="G25730" s="3" t="s">
        <v>26256</v>
      </c>
    </row>
    <row r="25731">
      <c r="A25731" s="3" t="s">
        <v>42139</v>
      </c>
      <c r="B25731" s="3" t="s">
        <v>20963</v>
      </c>
      <c r="C25731" s="5" t="s">
        <v>221</v>
      </c>
      <c r="D25731" s="3" t="s">
        <v>614</v>
      </c>
      <c r="E25731" s="3" t="s">
        <v>118</v>
      </c>
      <c r="F25731" s="7">
        <v>46240.81223093818</v>
      </c>
      <c r="G25731" s="3" t="s">
        <v>26258</v>
      </c>
    </row>
    <row r="25732">
      <c r="A25732" s="3" t="s">
        <v>42140</v>
      </c>
      <c r="B25732" s="3" t="s">
        <v>20963</v>
      </c>
      <c r="C25732" s="5" t="s">
        <v>614</v>
      </c>
      <c r="D25732" s="3" t="s">
        <v>206</v>
      </c>
      <c r="E25732" s="3" t="s">
        <v>100</v>
      </c>
      <c r="F25732" s="7">
        <v>46240.815703160406</v>
      </c>
      <c r="G25732" s="3" t="s">
        <v>26260</v>
      </c>
    </row>
    <row r="25733">
      <c r="A25733" s="3" t="s">
        <v>42141</v>
      </c>
      <c r="B25733" s="3" t="s">
        <v>20963</v>
      </c>
      <c r="C25733" s="5" t="s">
        <v>206</v>
      </c>
      <c r="D25733" s="3" t="s">
        <v>68</v>
      </c>
      <c r="E25733" s="3" t="s">
        <v>100</v>
      </c>
      <c r="F25733" s="7">
        <v>46240.819175382625</v>
      </c>
      <c r="G25733" s="3" t="s">
        <v>26262</v>
      </c>
    </row>
    <row r="25734">
      <c r="A25734" s="3" t="s">
        <v>42142</v>
      </c>
      <c r="B25734" s="3" t="s">
        <v>20965</v>
      </c>
      <c r="C25734" s="5" t="s">
        <v>45</v>
      </c>
      <c r="D25734" s="3" t="s">
        <v>221</v>
      </c>
      <c r="E25734" s="3" t="s">
        <v>183</v>
      </c>
      <c r="F25734" s="7">
        <v>46240.879933561366</v>
      </c>
      <c r="G25734" s="3" t="s">
        <v>11252</v>
      </c>
    </row>
    <row r="25735">
      <c r="A25735" s="3" t="s">
        <v>42143</v>
      </c>
      <c r="B25735" s="3" t="s">
        <v>20965</v>
      </c>
      <c r="C25735" s="5" t="s">
        <v>221</v>
      </c>
      <c r="D25735" s="3" t="s">
        <v>614</v>
      </c>
      <c r="E25735" s="3" t="s">
        <v>118</v>
      </c>
      <c r="F25735" s="7">
        <v>46240.883405783585</v>
      </c>
      <c r="G25735" s="3" t="s">
        <v>11255</v>
      </c>
    </row>
    <row r="25736">
      <c r="A25736" s="3" t="s">
        <v>42144</v>
      </c>
      <c r="B25736" s="3" t="s">
        <v>20965</v>
      </c>
      <c r="C25736" s="5" t="s">
        <v>614</v>
      </c>
      <c r="D25736" s="3" t="s">
        <v>206</v>
      </c>
      <c r="E25736" s="3" t="s">
        <v>100</v>
      </c>
      <c r="F25736" s="7">
        <v>46240.88687800581</v>
      </c>
      <c r="G25736" s="3" t="s">
        <v>11259</v>
      </c>
    </row>
    <row r="25737">
      <c r="A25737" s="3" t="s">
        <v>42145</v>
      </c>
      <c r="B25737" s="3" t="s">
        <v>20965</v>
      </c>
      <c r="C25737" s="5" t="s">
        <v>206</v>
      </c>
      <c r="D25737" s="3" t="s">
        <v>68</v>
      </c>
      <c r="E25737" s="3" t="s">
        <v>100</v>
      </c>
      <c r="F25737" s="7">
        <v>46240.89035022803</v>
      </c>
      <c r="G25737" s="3" t="s">
        <v>11262</v>
      </c>
    </row>
    <row r="25738">
      <c r="A25738" s="3" t="s">
        <v>42146</v>
      </c>
      <c r="B25738" s="3" t="s">
        <v>20968</v>
      </c>
      <c r="C25738" s="5" t="s">
        <v>45</v>
      </c>
      <c r="D25738" s="3" t="s">
        <v>221</v>
      </c>
      <c r="E25738" s="3" t="s">
        <v>369</v>
      </c>
      <c r="F25738" s="7">
        <v>46240.951108406785</v>
      </c>
      <c r="G25738" s="3" t="s">
        <v>14758</v>
      </c>
    </row>
    <row r="25739">
      <c r="A25739" s="3" t="s">
        <v>42147</v>
      </c>
      <c r="B25739" s="3" t="s">
        <v>20968</v>
      </c>
      <c r="C25739" s="5" t="s">
        <v>221</v>
      </c>
      <c r="D25739" s="3" t="s">
        <v>614</v>
      </c>
      <c r="E25739" s="3" t="s">
        <v>118</v>
      </c>
      <c r="F25739" s="7">
        <v>46240.954580629004</v>
      </c>
      <c r="G25739" s="3" t="s">
        <v>14761</v>
      </c>
    </row>
    <row r="25740">
      <c r="A25740" s="3" t="s">
        <v>42148</v>
      </c>
      <c r="B25740" s="3" t="s">
        <v>20968</v>
      </c>
      <c r="C25740" s="5" t="s">
        <v>614</v>
      </c>
      <c r="D25740" s="3" t="s">
        <v>206</v>
      </c>
      <c r="E25740" s="3" t="s">
        <v>100</v>
      </c>
      <c r="F25740" s="7">
        <v>46240.95805285123</v>
      </c>
      <c r="G25740" s="3" t="s">
        <v>14763</v>
      </c>
    </row>
    <row r="25741">
      <c r="A25741" s="3" t="s">
        <v>42149</v>
      </c>
      <c r="B25741" s="3" t="s">
        <v>20968</v>
      </c>
      <c r="C25741" s="5" t="s">
        <v>206</v>
      </c>
      <c r="D25741" s="3" t="s">
        <v>68</v>
      </c>
      <c r="E25741" s="3" t="s">
        <v>100</v>
      </c>
      <c r="F25741" s="7">
        <v>46240.96152507345</v>
      </c>
      <c r="G25741" s="3" t="s">
        <v>14766</v>
      </c>
    </row>
    <row r="25742">
      <c r="A25742" s="3" t="s">
        <v>42150</v>
      </c>
      <c r="B25742" s="3" t="s">
        <v>20970</v>
      </c>
      <c r="C25742" s="5" t="s">
        <v>45</v>
      </c>
      <c r="D25742" s="3" t="s">
        <v>221</v>
      </c>
      <c r="E25742" s="3" t="s">
        <v>586</v>
      </c>
      <c r="F25742" s="7">
        <v>46241.022283252205</v>
      </c>
      <c r="G25742" s="3" t="s">
        <v>23768</v>
      </c>
    </row>
    <row r="25743">
      <c r="A25743" s="3" t="s">
        <v>42151</v>
      </c>
      <c r="B25743" s="3" t="s">
        <v>20970</v>
      </c>
      <c r="C25743" s="5" t="s">
        <v>221</v>
      </c>
      <c r="D25743" s="3" t="s">
        <v>614</v>
      </c>
      <c r="E25743" s="3" t="s">
        <v>118</v>
      </c>
      <c r="F25743" s="7">
        <v>46241.025755474424</v>
      </c>
      <c r="G25743" s="3" t="s">
        <v>23770</v>
      </c>
    </row>
    <row r="25744">
      <c r="A25744" s="3" t="s">
        <v>42152</v>
      </c>
      <c r="B25744" s="3" t="s">
        <v>20970</v>
      </c>
      <c r="C25744" s="5" t="s">
        <v>614</v>
      </c>
      <c r="D25744" s="3" t="s">
        <v>206</v>
      </c>
      <c r="E25744" s="3" t="s">
        <v>100</v>
      </c>
      <c r="F25744" s="7">
        <v>46241.02922769665</v>
      </c>
      <c r="G25744" s="3" t="s">
        <v>23772</v>
      </c>
    </row>
    <row r="25745">
      <c r="A25745" s="3" t="s">
        <v>42153</v>
      </c>
      <c r="B25745" s="3" t="s">
        <v>20970</v>
      </c>
      <c r="C25745" s="5" t="s">
        <v>206</v>
      </c>
      <c r="D25745" s="3" t="s">
        <v>68</v>
      </c>
      <c r="E25745" s="3" t="s">
        <v>100</v>
      </c>
      <c r="F25745" s="7">
        <v>46241.03269991887</v>
      </c>
      <c r="G25745" s="3" t="s">
        <v>23774</v>
      </c>
    </row>
    <row r="25746">
      <c r="A25746" s="3" t="s">
        <v>42154</v>
      </c>
      <c r="B25746" s="3" t="s">
        <v>20973</v>
      </c>
      <c r="C25746" s="5" t="s">
        <v>45</v>
      </c>
      <c r="D25746" s="3" t="s">
        <v>221</v>
      </c>
      <c r="E25746" s="3" t="s">
        <v>627</v>
      </c>
      <c r="F25746" s="7">
        <v>46241.09345809762</v>
      </c>
      <c r="G25746" s="3" t="s">
        <v>11787</v>
      </c>
    </row>
    <row r="25747">
      <c r="A25747" s="3" t="s">
        <v>42155</v>
      </c>
      <c r="B25747" s="3" t="s">
        <v>20973</v>
      </c>
      <c r="C25747" s="5" t="s">
        <v>221</v>
      </c>
      <c r="D25747" s="3" t="s">
        <v>614</v>
      </c>
      <c r="E25747" s="3" t="s">
        <v>118</v>
      </c>
      <c r="F25747" s="7">
        <v>46241.096930319836</v>
      </c>
      <c r="G25747" s="3" t="s">
        <v>11790</v>
      </c>
    </row>
    <row r="25748">
      <c r="A25748" s="3" t="s">
        <v>42156</v>
      </c>
      <c r="B25748" s="3" t="s">
        <v>20973</v>
      </c>
      <c r="C25748" s="5" t="s">
        <v>614</v>
      </c>
      <c r="D25748" s="3" t="s">
        <v>206</v>
      </c>
      <c r="E25748" s="3" t="s">
        <v>100</v>
      </c>
      <c r="F25748" s="7">
        <v>46241.10040254206</v>
      </c>
      <c r="G25748" s="3" t="s">
        <v>11795</v>
      </c>
    </row>
    <row r="25749">
      <c r="A25749" s="3" t="s">
        <v>42157</v>
      </c>
      <c r="B25749" s="3" t="s">
        <v>20973</v>
      </c>
      <c r="C25749" s="5" t="s">
        <v>206</v>
      </c>
      <c r="D25749" s="3" t="s">
        <v>68</v>
      </c>
      <c r="E25749" s="3" t="s">
        <v>100</v>
      </c>
      <c r="F25749" s="7">
        <v>46241.10387476428</v>
      </c>
      <c r="G25749" s="3" t="s">
        <v>11798</v>
      </c>
    </row>
    <row r="25750">
      <c r="A25750" s="3" t="s">
        <v>42158</v>
      </c>
      <c r="B25750" s="3" t="s">
        <v>20978</v>
      </c>
      <c r="C25750" s="5" t="s">
        <v>45</v>
      </c>
      <c r="D25750" s="3" t="s">
        <v>221</v>
      </c>
      <c r="E25750" s="3" t="s">
        <v>689</v>
      </c>
      <c r="F25750" s="7">
        <v>46241.16463294303</v>
      </c>
      <c r="G25750" s="3" t="s">
        <v>11265</v>
      </c>
    </row>
    <row r="25751">
      <c r="A25751" s="3" t="s">
        <v>42159</v>
      </c>
      <c r="B25751" s="3" t="s">
        <v>20978</v>
      </c>
      <c r="C25751" s="5" t="s">
        <v>221</v>
      </c>
      <c r="D25751" s="3" t="s">
        <v>614</v>
      </c>
      <c r="E25751" s="3" t="s">
        <v>118</v>
      </c>
      <c r="F25751" s="7">
        <v>46241.16810516525</v>
      </c>
      <c r="G25751" s="3" t="s">
        <v>11268</v>
      </c>
    </row>
    <row r="25752">
      <c r="A25752" s="3" t="s">
        <v>42160</v>
      </c>
      <c r="B25752" s="3" t="s">
        <v>20978</v>
      </c>
      <c r="C25752" s="5" t="s">
        <v>614</v>
      </c>
      <c r="D25752" s="3" t="s">
        <v>206</v>
      </c>
      <c r="E25752" s="3" t="s">
        <v>100</v>
      </c>
      <c r="F25752" s="7">
        <v>46241.171577387475</v>
      </c>
      <c r="G25752" s="3" t="s">
        <v>11271</v>
      </c>
    </row>
    <row r="25753">
      <c r="A25753" s="3" t="s">
        <v>42161</v>
      </c>
      <c r="B25753" s="3" t="s">
        <v>20978</v>
      </c>
      <c r="C25753" s="5" t="s">
        <v>206</v>
      </c>
      <c r="D25753" s="3" t="s">
        <v>68</v>
      </c>
      <c r="E25753" s="3" t="s">
        <v>100</v>
      </c>
      <c r="F25753" s="7">
        <v>46241.175049609694</v>
      </c>
      <c r="G25753" s="3" t="s">
        <v>11273</v>
      </c>
    </row>
    <row r="25754">
      <c r="A25754" s="3" t="s">
        <v>42162</v>
      </c>
      <c r="B25754" s="3" t="s">
        <v>20980</v>
      </c>
      <c r="C25754" s="5" t="s">
        <v>45</v>
      </c>
      <c r="D25754" s="3" t="s">
        <v>221</v>
      </c>
      <c r="E25754" s="3" t="s">
        <v>215</v>
      </c>
      <c r="F25754" s="7">
        <v>46241.23580778845</v>
      </c>
      <c r="G25754" s="3" t="s">
        <v>11276</v>
      </c>
    </row>
    <row r="25755">
      <c r="A25755" s="3" t="s">
        <v>42163</v>
      </c>
      <c r="B25755" s="3" t="s">
        <v>20980</v>
      </c>
      <c r="C25755" s="5" t="s">
        <v>221</v>
      </c>
      <c r="D25755" s="3" t="s">
        <v>614</v>
      </c>
      <c r="E25755" s="3" t="s">
        <v>118</v>
      </c>
      <c r="F25755" s="7">
        <v>46241.23928001067</v>
      </c>
      <c r="G25755" s="3" t="s">
        <v>11279</v>
      </c>
    </row>
    <row r="25756">
      <c r="A25756" s="3" t="s">
        <v>42164</v>
      </c>
      <c r="B25756" s="3" t="s">
        <v>20980</v>
      </c>
      <c r="C25756" s="5" t="s">
        <v>614</v>
      </c>
      <c r="D25756" s="3" t="s">
        <v>206</v>
      </c>
      <c r="E25756" s="3" t="s">
        <v>100</v>
      </c>
      <c r="F25756" s="7">
        <v>46241.242752232894</v>
      </c>
      <c r="G25756" s="3" t="s">
        <v>11282</v>
      </c>
    </row>
    <row r="25757">
      <c r="A25757" s="3" t="s">
        <v>42165</v>
      </c>
      <c r="B25757" s="3" t="s">
        <v>20980</v>
      </c>
      <c r="C25757" s="5" t="s">
        <v>206</v>
      </c>
      <c r="D25757" s="3" t="s">
        <v>68</v>
      </c>
      <c r="E25757" s="3" t="s">
        <v>100</v>
      </c>
      <c r="F25757" s="7">
        <v>46241.24622445511</v>
      </c>
      <c r="G25757" s="3" t="s">
        <v>11284</v>
      </c>
    </row>
    <row r="25758">
      <c r="A25758" s="3" t="s">
        <v>42166</v>
      </c>
      <c r="B25758" s="3" t="s">
        <v>20982</v>
      </c>
      <c r="C25758" s="5" t="s">
        <v>45</v>
      </c>
      <c r="D25758" s="3" t="s">
        <v>221</v>
      </c>
      <c r="E25758" s="3" t="s">
        <v>870</v>
      </c>
      <c r="F25758" s="7">
        <v>46241.30698263386</v>
      </c>
      <c r="G25758" s="3" t="s">
        <v>8229</v>
      </c>
    </row>
    <row r="25759">
      <c r="A25759" s="3" t="s">
        <v>42167</v>
      </c>
      <c r="B25759" s="3" t="s">
        <v>20982</v>
      </c>
      <c r="C25759" s="5" t="s">
        <v>221</v>
      </c>
      <c r="D25759" s="3" t="s">
        <v>614</v>
      </c>
      <c r="E25759" s="3" t="s">
        <v>118</v>
      </c>
      <c r="F25759" s="7">
        <v>46241.31045485608</v>
      </c>
      <c r="G25759" s="3" t="s">
        <v>8231</v>
      </c>
    </row>
    <row r="25760">
      <c r="A25760" s="3" t="s">
        <v>42168</v>
      </c>
      <c r="B25760" s="3" t="s">
        <v>20982</v>
      </c>
      <c r="C25760" s="5" t="s">
        <v>614</v>
      </c>
      <c r="D25760" s="3" t="s">
        <v>206</v>
      </c>
      <c r="E25760" s="3" t="s">
        <v>100</v>
      </c>
      <c r="F25760" s="7">
        <v>46241.31392707831</v>
      </c>
      <c r="G25760" s="3" t="s">
        <v>8234</v>
      </c>
    </row>
    <row r="25761">
      <c r="A25761" s="3" t="s">
        <v>42169</v>
      </c>
      <c r="B25761" s="3" t="s">
        <v>20982</v>
      </c>
      <c r="C25761" s="5" t="s">
        <v>206</v>
      </c>
      <c r="D25761" s="3" t="s">
        <v>68</v>
      </c>
      <c r="E25761" s="3" t="s">
        <v>100</v>
      </c>
      <c r="F25761" s="7">
        <v>46241.317399300526</v>
      </c>
      <c r="G25761" s="3" t="s">
        <v>8237</v>
      </c>
    </row>
    <row r="25762">
      <c r="A25762" s="3" t="s">
        <v>42170</v>
      </c>
      <c r="B25762" s="3" t="s">
        <v>20984</v>
      </c>
      <c r="C25762" s="5" t="s">
        <v>45</v>
      </c>
      <c r="D25762" s="3" t="s">
        <v>221</v>
      </c>
      <c r="E25762" s="3" t="s">
        <v>462</v>
      </c>
      <c r="F25762" s="7">
        <v>46241.378157479274</v>
      </c>
      <c r="G25762" s="3" t="s">
        <v>11723</v>
      </c>
    </row>
    <row r="25763">
      <c r="A25763" s="3" t="s">
        <v>42171</v>
      </c>
      <c r="B25763" s="3" t="s">
        <v>20984</v>
      </c>
      <c r="C25763" s="5" t="s">
        <v>221</v>
      </c>
      <c r="D25763" s="3" t="s">
        <v>614</v>
      </c>
      <c r="E25763" s="3" t="s">
        <v>118</v>
      </c>
      <c r="F25763" s="7">
        <v>46241.38162970149</v>
      </c>
      <c r="G25763" s="3" t="s">
        <v>11725</v>
      </c>
    </row>
    <row r="25764">
      <c r="A25764" s="3" t="s">
        <v>42172</v>
      </c>
      <c r="B25764" s="3" t="s">
        <v>20984</v>
      </c>
      <c r="C25764" s="5" t="s">
        <v>614</v>
      </c>
      <c r="D25764" s="3" t="s">
        <v>206</v>
      </c>
      <c r="E25764" s="3" t="s">
        <v>100</v>
      </c>
      <c r="F25764" s="7">
        <v>46241.38510192372</v>
      </c>
      <c r="G25764" s="3" t="s">
        <v>11728</v>
      </c>
    </row>
    <row r="25765">
      <c r="A25765" s="3" t="s">
        <v>42173</v>
      </c>
      <c r="B25765" s="3" t="s">
        <v>20984</v>
      </c>
      <c r="C25765" s="5" t="s">
        <v>206</v>
      </c>
      <c r="D25765" s="3" t="s">
        <v>68</v>
      </c>
      <c r="E25765" s="3" t="s">
        <v>100</v>
      </c>
      <c r="F25765" s="7">
        <v>46241.38857414594</v>
      </c>
      <c r="G25765" s="3" t="s">
        <v>11731</v>
      </c>
    </row>
    <row r="25766">
      <c r="A25766" s="3" t="s">
        <v>42174</v>
      </c>
      <c r="B25766" s="3" t="s">
        <v>20986</v>
      </c>
      <c r="C25766" s="5" t="s">
        <v>45</v>
      </c>
      <c r="D25766" s="3" t="s">
        <v>221</v>
      </c>
      <c r="E25766" s="3" t="s">
        <v>949</v>
      </c>
      <c r="F25766" s="7">
        <v>46241.44933232469</v>
      </c>
      <c r="G25766" s="3" t="s">
        <v>9071</v>
      </c>
    </row>
    <row r="25767">
      <c r="A25767" s="3" t="s">
        <v>42175</v>
      </c>
      <c r="B25767" s="3" t="s">
        <v>20986</v>
      </c>
      <c r="C25767" s="5" t="s">
        <v>221</v>
      </c>
      <c r="D25767" s="3" t="s">
        <v>614</v>
      </c>
      <c r="E25767" s="3" t="s">
        <v>118</v>
      </c>
      <c r="F25767" s="7">
        <v>46241.45280454691</v>
      </c>
      <c r="G25767" s="3" t="s">
        <v>9074</v>
      </c>
    </row>
    <row r="25768">
      <c r="A25768" s="3" t="s">
        <v>42176</v>
      </c>
      <c r="B25768" s="3" t="s">
        <v>20986</v>
      </c>
      <c r="C25768" s="5" t="s">
        <v>614</v>
      </c>
      <c r="D25768" s="3" t="s">
        <v>206</v>
      </c>
      <c r="E25768" s="3" t="s">
        <v>100</v>
      </c>
      <c r="F25768" s="7">
        <v>46241.45627676914</v>
      </c>
      <c r="G25768" s="3" t="s">
        <v>9077</v>
      </c>
    </row>
    <row r="25769">
      <c r="A25769" s="3" t="s">
        <v>42177</v>
      </c>
      <c r="B25769" s="3" t="s">
        <v>20986</v>
      </c>
      <c r="C25769" s="5" t="s">
        <v>206</v>
      </c>
      <c r="D25769" s="3" t="s">
        <v>68</v>
      </c>
      <c r="E25769" s="3" t="s">
        <v>100</v>
      </c>
      <c r="F25769" s="7">
        <v>46241.45974899136</v>
      </c>
      <c r="G25769" s="3" t="s">
        <v>9080</v>
      </c>
    </row>
    <row r="25770">
      <c r="A25770" s="3" t="s">
        <v>42178</v>
      </c>
      <c r="B25770" s="3" t="s">
        <v>20991</v>
      </c>
      <c r="C25770" s="5" t="s">
        <v>45</v>
      </c>
      <c r="D25770" s="3" t="s">
        <v>221</v>
      </c>
      <c r="E25770" s="3" t="s">
        <v>501</v>
      </c>
      <c r="F25770" s="7">
        <v>46241.52050717011</v>
      </c>
      <c r="G25770" s="3" t="s">
        <v>11287</v>
      </c>
    </row>
    <row r="25771">
      <c r="A25771" s="3" t="s">
        <v>42179</v>
      </c>
      <c r="B25771" s="3" t="s">
        <v>20991</v>
      </c>
      <c r="C25771" s="5" t="s">
        <v>221</v>
      </c>
      <c r="D25771" s="3" t="s">
        <v>614</v>
      </c>
      <c r="E25771" s="3" t="s">
        <v>118</v>
      </c>
      <c r="F25771" s="7">
        <v>46241.52397939233</v>
      </c>
      <c r="G25771" s="3" t="s">
        <v>11290</v>
      </c>
    </row>
    <row r="25772">
      <c r="A25772" s="3" t="s">
        <v>42180</v>
      </c>
      <c r="B25772" s="3" t="s">
        <v>20991</v>
      </c>
      <c r="C25772" s="5" t="s">
        <v>614</v>
      </c>
      <c r="D25772" s="3" t="s">
        <v>206</v>
      </c>
      <c r="E25772" s="3" t="s">
        <v>100</v>
      </c>
      <c r="F25772" s="7">
        <v>46241.52745161456</v>
      </c>
      <c r="G25772" s="3" t="s">
        <v>11293</v>
      </c>
    </row>
    <row r="25773">
      <c r="A25773" s="3" t="s">
        <v>42181</v>
      </c>
      <c r="B25773" s="3" t="s">
        <v>20991</v>
      </c>
      <c r="C25773" s="5" t="s">
        <v>206</v>
      </c>
      <c r="D25773" s="3" t="s">
        <v>68</v>
      </c>
      <c r="E25773" s="3" t="s">
        <v>100</v>
      </c>
      <c r="F25773" s="7">
        <v>46241.53092383678</v>
      </c>
      <c r="G25773" s="3" t="s">
        <v>11296</v>
      </c>
    </row>
    <row r="25774">
      <c r="A25774" s="3" t="s">
        <v>42182</v>
      </c>
      <c r="B25774" s="3" t="s">
        <v>20994</v>
      </c>
      <c r="C25774" s="5" t="s">
        <v>45</v>
      </c>
      <c r="D25774" s="3" t="s">
        <v>221</v>
      </c>
      <c r="E25774" s="3" t="s">
        <v>535</v>
      </c>
      <c r="F25774" s="7">
        <v>46241.59168201552</v>
      </c>
      <c r="G25774" s="3" t="s">
        <v>10525</v>
      </c>
    </row>
    <row r="25775">
      <c r="A25775" s="3" t="s">
        <v>42183</v>
      </c>
      <c r="B25775" s="3" t="s">
        <v>20994</v>
      </c>
      <c r="C25775" s="5" t="s">
        <v>221</v>
      </c>
      <c r="D25775" s="3" t="s">
        <v>614</v>
      </c>
      <c r="E25775" s="3" t="s">
        <v>118</v>
      </c>
      <c r="F25775" s="7">
        <v>46241.59515423774</v>
      </c>
      <c r="G25775" s="3" t="s">
        <v>10527</v>
      </c>
    </row>
    <row r="25776">
      <c r="A25776" s="3" t="s">
        <v>42184</v>
      </c>
      <c r="B25776" s="3" t="s">
        <v>20994</v>
      </c>
      <c r="C25776" s="5" t="s">
        <v>614</v>
      </c>
      <c r="D25776" s="3" t="s">
        <v>206</v>
      </c>
      <c r="E25776" s="3" t="s">
        <v>100</v>
      </c>
      <c r="F25776" s="7">
        <v>46241.59862645996</v>
      </c>
      <c r="G25776" s="3" t="s">
        <v>10530</v>
      </c>
    </row>
    <row r="25777">
      <c r="A25777" s="3" t="s">
        <v>42185</v>
      </c>
      <c r="B25777" s="3" t="s">
        <v>20994</v>
      </c>
      <c r="C25777" s="5" t="s">
        <v>206</v>
      </c>
      <c r="D25777" s="3" t="s">
        <v>68</v>
      </c>
      <c r="E25777" s="3" t="s">
        <v>100</v>
      </c>
      <c r="F25777" s="7">
        <v>46241.60209868218</v>
      </c>
      <c r="G25777" s="3" t="s">
        <v>10533</v>
      </c>
    </row>
    <row r="25778">
      <c r="A25778" s="3" t="s">
        <v>42186</v>
      </c>
      <c r="B25778" s="3" t="s">
        <v>20997</v>
      </c>
      <c r="C25778" s="5" t="s">
        <v>45</v>
      </c>
      <c r="D25778" s="3" t="s">
        <v>221</v>
      </c>
      <c r="E25778" s="3" t="s">
        <v>479</v>
      </c>
      <c r="F25778" s="7">
        <v>46241.66285686094</v>
      </c>
      <c r="G25778" s="3" t="s">
        <v>37454</v>
      </c>
    </row>
    <row r="25779">
      <c r="A25779" s="3" t="s">
        <v>42187</v>
      </c>
      <c r="B25779" s="3" t="s">
        <v>20997</v>
      </c>
      <c r="C25779" s="5" t="s">
        <v>221</v>
      </c>
      <c r="D25779" s="3" t="s">
        <v>614</v>
      </c>
      <c r="E25779" s="3" t="s">
        <v>118</v>
      </c>
      <c r="F25779" s="7">
        <v>46241.66632908316</v>
      </c>
      <c r="G25779" s="3" t="s">
        <v>37456</v>
      </c>
    </row>
    <row r="25780">
      <c r="A25780" s="3" t="s">
        <v>42188</v>
      </c>
      <c r="B25780" s="3" t="s">
        <v>20997</v>
      </c>
      <c r="C25780" s="5" t="s">
        <v>614</v>
      </c>
      <c r="D25780" s="3" t="s">
        <v>206</v>
      </c>
      <c r="E25780" s="3" t="s">
        <v>100</v>
      </c>
      <c r="F25780" s="7">
        <v>46241.66980130538</v>
      </c>
      <c r="G25780" s="3" t="s">
        <v>37458</v>
      </c>
    </row>
    <row r="25781">
      <c r="A25781" s="3" t="s">
        <v>42189</v>
      </c>
      <c r="B25781" s="3" t="s">
        <v>20997</v>
      </c>
      <c r="C25781" s="5" t="s">
        <v>206</v>
      </c>
      <c r="D25781" s="3" t="s">
        <v>68</v>
      </c>
      <c r="E25781" s="3" t="s">
        <v>100</v>
      </c>
      <c r="F25781" s="7">
        <v>46241.6732735276</v>
      </c>
      <c r="G25781" s="3" t="s">
        <v>37460</v>
      </c>
    </row>
    <row r="25782">
      <c r="A25782" s="3" t="s">
        <v>42190</v>
      </c>
      <c r="B25782" s="3" t="s">
        <v>20999</v>
      </c>
      <c r="C25782" s="5" t="s">
        <v>45</v>
      </c>
      <c r="D25782" s="3" t="s">
        <v>221</v>
      </c>
      <c r="E25782" s="3" t="s">
        <v>596</v>
      </c>
      <c r="F25782" s="7">
        <v>46241.73403170635</v>
      </c>
      <c r="G25782" s="3" t="s">
        <v>10940</v>
      </c>
    </row>
    <row r="25783">
      <c r="A25783" s="3" t="s">
        <v>42191</v>
      </c>
      <c r="B25783" s="3" t="s">
        <v>20999</v>
      </c>
      <c r="C25783" s="5" t="s">
        <v>221</v>
      </c>
      <c r="D25783" s="3" t="s">
        <v>614</v>
      </c>
      <c r="E25783" s="3" t="s">
        <v>118</v>
      </c>
      <c r="F25783" s="7">
        <v>46241.73750392857</v>
      </c>
      <c r="G25783" s="3" t="s">
        <v>10943</v>
      </c>
    </row>
    <row r="25784">
      <c r="A25784" s="3" t="s">
        <v>42192</v>
      </c>
      <c r="B25784" s="3" t="s">
        <v>20999</v>
      </c>
      <c r="C25784" s="5" t="s">
        <v>614</v>
      </c>
      <c r="D25784" s="3" t="s">
        <v>206</v>
      </c>
      <c r="E25784" s="3" t="s">
        <v>100</v>
      </c>
      <c r="F25784" s="7">
        <v>46241.740976150795</v>
      </c>
      <c r="G25784" s="3" t="s">
        <v>10946</v>
      </c>
    </row>
    <row r="25785">
      <c r="A25785" s="3" t="s">
        <v>42193</v>
      </c>
      <c r="B25785" s="3" t="s">
        <v>20999</v>
      </c>
      <c r="C25785" s="5" t="s">
        <v>206</v>
      </c>
      <c r="D25785" s="3" t="s">
        <v>68</v>
      </c>
      <c r="E25785" s="3" t="s">
        <v>100</v>
      </c>
      <c r="F25785" s="7">
        <v>46241.744448373014</v>
      </c>
      <c r="G25785" s="3" t="s">
        <v>10949</v>
      </c>
    </row>
    <row r="25786">
      <c r="A25786" s="3" t="s">
        <v>42194</v>
      </c>
      <c r="B25786" s="3" t="s">
        <v>21001</v>
      </c>
      <c r="C25786" s="5" t="s">
        <v>45</v>
      </c>
      <c r="D25786" s="3" t="s">
        <v>221</v>
      </c>
      <c r="E25786" s="3" t="s">
        <v>789</v>
      </c>
      <c r="F25786" s="7">
        <v>46241.80520655177</v>
      </c>
      <c r="G25786" s="3" t="s">
        <v>38352</v>
      </c>
    </row>
    <row r="25787">
      <c r="A25787" s="3" t="s">
        <v>42195</v>
      </c>
      <c r="B25787" s="3" t="s">
        <v>21001</v>
      </c>
      <c r="C25787" s="5" t="s">
        <v>221</v>
      </c>
      <c r="D25787" s="3" t="s">
        <v>614</v>
      </c>
      <c r="E25787" s="3" t="s">
        <v>118</v>
      </c>
      <c r="F25787" s="7">
        <v>46241.80867877399</v>
      </c>
      <c r="G25787" s="3" t="s">
        <v>38354</v>
      </c>
    </row>
    <row r="25788">
      <c r="A25788" s="3" t="s">
        <v>42196</v>
      </c>
      <c r="B25788" s="3" t="s">
        <v>21001</v>
      </c>
      <c r="C25788" s="5" t="s">
        <v>614</v>
      </c>
      <c r="D25788" s="3" t="s">
        <v>206</v>
      </c>
      <c r="E25788" s="3" t="s">
        <v>100</v>
      </c>
      <c r="F25788" s="7">
        <v>46241.812150996215</v>
      </c>
      <c r="G25788" s="3" t="s">
        <v>38356</v>
      </c>
    </row>
    <row r="25789">
      <c r="A25789" s="3" t="s">
        <v>42197</v>
      </c>
      <c r="B25789" s="3" t="s">
        <v>21001</v>
      </c>
      <c r="C25789" s="5" t="s">
        <v>206</v>
      </c>
      <c r="D25789" s="3" t="s">
        <v>68</v>
      </c>
      <c r="E25789" s="3" t="s">
        <v>100</v>
      </c>
      <c r="F25789" s="7">
        <v>46241.815623218434</v>
      </c>
      <c r="G25789" s="3" t="s">
        <v>38358</v>
      </c>
    </row>
    <row r="25790">
      <c r="A25790" s="3" t="s">
        <v>42198</v>
      </c>
      <c r="B25790" s="3" t="s">
        <v>21003</v>
      </c>
      <c r="C25790" s="5" t="s">
        <v>45</v>
      </c>
      <c r="D25790" s="3" t="s">
        <v>221</v>
      </c>
      <c r="E25790" s="3" t="s">
        <v>197</v>
      </c>
      <c r="F25790" s="7">
        <v>46241.87638139718</v>
      </c>
      <c r="G25790" s="3" t="s">
        <v>11299</v>
      </c>
    </row>
    <row r="25791">
      <c r="A25791" s="3" t="s">
        <v>42199</v>
      </c>
      <c r="B25791" s="3" t="s">
        <v>21003</v>
      </c>
      <c r="C25791" s="5" t="s">
        <v>221</v>
      </c>
      <c r="D25791" s="3" t="s">
        <v>614</v>
      </c>
      <c r="E25791" s="3" t="s">
        <v>118</v>
      </c>
      <c r="F25791" s="7">
        <v>46241.8798536194</v>
      </c>
      <c r="G25791" s="3" t="s">
        <v>11302</v>
      </c>
    </row>
    <row r="25792">
      <c r="A25792" s="3" t="s">
        <v>42200</v>
      </c>
      <c r="B25792" s="3" t="s">
        <v>21003</v>
      </c>
      <c r="C25792" s="5" t="s">
        <v>614</v>
      </c>
      <c r="D25792" s="3" t="s">
        <v>206</v>
      </c>
      <c r="E25792" s="3" t="s">
        <v>100</v>
      </c>
      <c r="F25792" s="7">
        <v>46241.88332584163</v>
      </c>
      <c r="G25792" s="3" t="s">
        <v>11304</v>
      </c>
    </row>
    <row r="25793">
      <c r="A25793" s="3" t="s">
        <v>42201</v>
      </c>
      <c r="B25793" s="3" t="s">
        <v>21003</v>
      </c>
      <c r="C25793" s="5" t="s">
        <v>206</v>
      </c>
      <c r="D25793" s="3" t="s">
        <v>68</v>
      </c>
      <c r="E25793" s="3" t="s">
        <v>100</v>
      </c>
      <c r="F25793" s="7">
        <v>46241.886798063846</v>
      </c>
      <c r="G25793" s="3" t="s">
        <v>11307</v>
      </c>
    </row>
    <row r="25794">
      <c r="A25794" s="3" t="s">
        <v>42202</v>
      </c>
      <c r="B25794" s="3" t="s">
        <v>21006</v>
      </c>
      <c r="C25794" s="5" t="s">
        <v>45</v>
      </c>
      <c r="D25794" s="3" t="s">
        <v>221</v>
      </c>
      <c r="E25794" s="3" t="s">
        <v>269</v>
      </c>
      <c r="F25794" s="7">
        <v>46241.9475562426</v>
      </c>
      <c r="G25794" s="3" t="s">
        <v>39514</v>
      </c>
    </row>
    <row r="25795">
      <c r="A25795" s="3" t="s">
        <v>42203</v>
      </c>
      <c r="B25795" s="3" t="s">
        <v>21006</v>
      </c>
      <c r="C25795" s="5" t="s">
        <v>221</v>
      </c>
      <c r="D25795" s="3" t="s">
        <v>195</v>
      </c>
      <c r="E25795" s="3" t="s">
        <v>269</v>
      </c>
      <c r="F25795" s="7">
        <v>46241.95102846482</v>
      </c>
      <c r="G25795" s="3" t="s">
        <v>42204</v>
      </c>
    </row>
    <row r="25796">
      <c r="A25796" s="3" t="s">
        <v>42205</v>
      </c>
      <c r="B25796" s="3" t="s">
        <v>21008</v>
      </c>
      <c r="C25796" s="5" t="s">
        <v>45</v>
      </c>
      <c r="D25796" s="3" t="s">
        <v>221</v>
      </c>
      <c r="E25796" s="3" t="s">
        <v>333</v>
      </c>
      <c r="F25796" s="7">
        <v>46242.01873108801</v>
      </c>
      <c r="G25796" s="3" t="s">
        <v>11361</v>
      </c>
    </row>
    <row r="25797">
      <c r="A25797" s="3" t="s">
        <v>42206</v>
      </c>
      <c r="B25797" s="3" t="s">
        <v>21008</v>
      </c>
      <c r="C25797" s="5" t="s">
        <v>221</v>
      </c>
      <c r="D25797" s="3" t="s">
        <v>614</v>
      </c>
      <c r="E25797" s="3" t="s">
        <v>118</v>
      </c>
      <c r="F25797" s="7">
        <v>46242.022203310225</v>
      </c>
      <c r="G25797" s="3" t="s">
        <v>11364</v>
      </c>
    </row>
    <row r="25798">
      <c r="A25798" s="3" t="s">
        <v>42207</v>
      </c>
      <c r="B25798" s="3" t="s">
        <v>21008</v>
      </c>
      <c r="C25798" s="5" t="s">
        <v>614</v>
      </c>
      <c r="D25798" s="3" t="s">
        <v>206</v>
      </c>
      <c r="E25798" s="3" t="s">
        <v>100</v>
      </c>
      <c r="F25798" s="7">
        <v>46242.02567553245</v>
      </c>
      <c r="G25798" s="3" t="s">
        <v>11367</v>
      </c>
    </row>
    <row r="25799">
      <c r="A25799" s="3" t="s">
        <v>42208</v>
      </c>
      <c r="B25799" s="3" t="s">
        <v>21008</v>
      </c>
      <c r="C25799" s="5" t="s">
        <v>206</v>
      </c>
      <c r="D25799" s="3" t="s">
        <v>68</v>
      </c>
      <c r="E25799" s="3" t="s">
        <v>100</v>
      </c>
      <c r="F25799" s="7">
        <v>46242.02914775467</v>
      </c>
      <c r="G25799" s="3" t="s">
        <v>11370</v>
      </c>
    </row>
    <row r="25800">
      <c r="A25800" s="3" t="s">
        <v>42209</v>
      </c>
      <c r="B25800" s="3" t="s">
        <v>21010</v>
      </c>
      <c r="C25800" s="5" t="s">
        <v>45</v>
      </c>
      <c r="D25800" s="3" t="s">
        <v>221</v>
      </c>
      <c r="E25800" s="3" t="s">
        <v>643</v>
      </c>
      <c r="F25800" s="7">
        <v>46242.089905933426</v>
      </c>
      <c r="G25800" s="3" t="s">
        <v>11435</v>
      </c>
    </row>
    <row r="25801">
      <c r="A25801" s="3" t="s">
        <v>42210</v>
      </c>
      <c r="B25801" s="3" t="s">
        <v>21010</v>
      </c>
      <c r="C25801" s="5" t="s">
        <v>221</v>
      </c>
      <c r="D25801" s="3" t="s">
        <v>614</v>
      </c>
      <c r="E25801" s="3" t="s">
        <v>118</v>
      </c>
      <c r="F25801" s="7">
        <v>46242.093378155645</v>
      </c>
      <c r="G25801" s="3" t="s">
        <v>11437</v>
      </c>
    </row>
    <row r="25802">
      <c r="A25802" s="3" t="s">
        <v>42211</v>
      </c>
      <c r="B25802" s="3" t="s">
        <v>21010</v>
      </c>
      <c r="C25802" s="5" t="s">
        <v>614</v>
      </c>
      <c r="D25802" s="3" t="s">
        <v>206</v>
      </c>
      <c r="E25802" s="3" t="s">
        <v>100</v>
      </c>
      <c r="F25802" s="7">
        <v>46242.09685037787</v>
      </c>
      <c r="G25802" s="3" t="s">
        <v>11440</v>
      </c>
    </row>
    <row r="25803">
      <c r="A25803" s="3" t="s">
        <v>42212</v>
      </c>
      <c r="B25803" s="3" t="s">
        <v>21010</v>
      </c>
      <c r="C25803" s="5" t="s">
        <v>206</v>
      </c>
      <c r="D25803" s="3" t="s">
        <v>68</v>
      </c>
      <c r="E25803" s="3" t="s">
        <v>100</v>
      </c>
      <c r="F25803" s="7">
        <v>46242.10032260009</v>
      </c>
      <c r="G25803" s="3" t="s">
        <v>11443</v>
      </c>
    </row>
    <row r="25804">
      <c r="A25804" s="3" t="s">
        <v>42213</v>
      </c>
      <c r="B25804" s="3" t="s">
        <v>21012</v>
      </c>
      <c r="C25804" s="5" t="s">
        <v>45</v>
      </c>
      <c r="D25804" s="3" t="s">
        <v>221</v>
      </c>
      <c r="E25804" s="3" t="s">
        <v>236</v>
      </c>
      <c r="F25804" s="7">
        <v>46242.161080778846</v>
      </c>
      <c r="G25804" s="3" t="s">
        <v>26381</v>
      </c>
    </row>
    <row r="25805">
      <c r="A25805" s="3" t="s">
        <v>42214</v>
      </c>
      <c r="B25805" s="3" t="s">
        <v>21012</v>
      </c>
      <c r="C25805" s="5" t="s">
        <v>221</v>
      </c>
      <c r="D25805" s="3" t="s">
        <v>614</v>
      </c>
      <c r="E25805" s="3" t="s">
        <v>118</v>
      </c>
      <c r="F25805" s="7">
        <v>46242.164553001065</v>
      </c>
      <c r="G25805" s="3" t="s">
        <v>26383</v>
      </c>
    </row>
    <row r="25806">
      <c r="A25806" s="3" t="s">
        <v>42215</v>
      </c>
      <c r="B25806" s="3" t="s">
        <v>21012</v>
      </c>
      <c r="C25806" s="5" t="s">
        <v>614</v>
      </c>
      <c r="D25806" s="3" t="s">
        <v>206</v>
      </c>
      <c r="E25806" s="3" t="s">
        <v>100</v>
      </c>
      <c r="F25806" s="7">
        <v>46242.16802522329</v>
      </c>
      <c r="G25806" s="3" t="s">
        <v>26385</v>
      </c>
    </row>
    <row r="25807">
      <c r="A25807" s="3" t="s">
        <v>42216</v>
      </c>
      <c r="B25807" s="3" t="s">
        <v>21012</v>
      </c>
      <c r="C25807" s="5" t="s">
        <v>206</v>
      </c>
      <c r="D25807" s="3" t="s">
        <v>68</v>
      </c>
      <c r="E25807" s="3" t="s">
        <v>100</v>
      </c>
      <c r="F25807" s="7">
        <v>46242.17149744551</v>
      </c>
      <c r="G25807" s="3" t="s">
        <v>26387</v>
      </c>
    </row>
    <row r="25808">
      <c r="A25808" s="3" t="s">
        <v>42217</v>
      </c>
      <c r="B25808" s="3" t="s">
        <v>21014</v>
      </c>
      <c r="C25808" s="5" t="s">
        <v>45</v>
      </c>
      <c r="D25808" s="3" t="s">
        <v>221</v>
      </c>
      <c r="E25808" s="3" t="s">
        <v>296</v>
      </c>
      <c r="F25808" s="7">
        <v>46242.23225562426</v>
      </c>
      <c r="G25808" s="3" t="s">
        <v>23450</v>
      </c>
    </row>
    <row r="25809">
      <c r="A25809" s="3" t="s">
        <v>42218</v>
      </c>
      <c r="B25809" s="3" t="s">
        <v>21014</v>
      </c>
      <c r="C25809" s="5" t="s">
        <v>221</v>
      </c>
      <c r="D25809" s="3" t="s">
        <v>614</v>
      </c>
      <c r="E25809" s="3" t="s">
        <v>118</v>
      </c>
      <c r="F25809" s="7">
        <v>46242.23572784648</v>
      </c>
      <c r="G25809" s="3" t="s">
        <v>23453</v>
      </c>
    </row>
    <row r="25810">
      <c r="A25810" s="3" t="s">
        <v>42219</v>
      </c>
      <c r="B25810" s="3" t="s">
        <v>21014</v>
      </c>
      <c r="C25810" s="5" t="s">
        <v>614</v>
      </c>
      <c r="D25810" s="3" t="s">
        <v>206</v>
      </c>
      <c r="E25810" s="3" t="s">
        <v>100</v>
      </c>
      <c r="F25810" s="7">
        <v>46242.2392000687</v>
      </c>
      <c r="G25810" s="3" t="s">
        <v>23456</v>
      </c>
    </row>
    <row r="25811">
      <c r="A25811" s="3" t="s">
        <v>42220</v>
      </c>
      <c r="B25811" s="3" t="s">
        <v>21014</v>
      </c>
      <c r="C25811" s="5" t="s">
        <v>206</v>
      </c>
      <c r="D25811" s="3" t="s">
        <v>68</v>
      </c>
      <c r="E25811" s="3" t="s">
        <v>100</v>
      </c>
      <c r="F25811" s="7">
        <v>46242.24267229092</v>
      </c>
      <c r="G25811" s="3" t="s">
        <v>23459</v>
      </c>
    </row>
    <row r="25812">
      <c r="A25812" s="3" t="s">
        <v>42221</v>
      </c>
      <c r="B25812" s="3" t="s">
        <v>21016</v>
      </c>
      <c r="C25812" s="5" t="s">
        <v>45</v>
      </c>
      <c r="D25812" s="3" t="s">
        <v>221</v>
      </c>
      <c r="E25812" s="3" t="s">
        <v>883</v>
      </c>
      <c r="F25812" s="7">
        <v>46242.30343046967</v>
      </c>
      <c r="G25812" s="3" t="s">
        <v>20609</v>
      </c>
    </row>
    <row r="25813">
      <c r="A25813" s="3" t="s">
        <v>42222</v>
      </c>
      <c r="B25813" s="3" t="s">
        <v>21016</v>
      </c>
      <c r="C25813" s="5" t="s">
        <v>221</v>
      </c>
      <c r="D25813" s="3" t="s">
        <v>614</v>
      </c>
      <c r="E25813" s="3" t="s">
        <v>118</v>
      </c>
      <c r="F25813" s="7">
        <v>46242.30690269189</v>
      </c>
      <c r="G25813" s="3" t="s">
        <v>20611</v>
      </c>
    </row>
    <row r="25814">
      <c r="A25814" s="3" t="s">
        <v>42223</v>
      </c>
      <c r="B25814" s="3" t="s">
        <v>21016</v>
      </c>
      <c r="C25814" s="5" t="s">
        <v>614</v>
      </c>
      <c r="D25814" s="3" t="s">
        <v>206</v>
      </c>
      <c r="E25814" s="3" t="s">
        <v>100</v>
      </c>
      <c r="F25814" s="7">
        <v>46242.310374914116</v>
      </c>
      <c r="G25814" s="3" t="s">
        <v>20614</v>
      </c>
    </row>
    <row r="25815">
      <c r="A25815" s="3" t="s">
        <v>42224</v>
      </c>
      <c r="B25815" s="3" t="s">
        <v>21016</v>
      </c>
      <c r="C25815" s="5" t="s">
        <v>206</v>
      </c>
      <c r="D25815" s="3" t="s">
        <v>68</v>
      </c>
      <c r="E25815" s="3" t="s">
        <v>100</v>
      </c>
      <c r="F25815" s="7">
        <v>46242.313847136335</v>
      </c>
      <c r="G25815" s="3" t="s">
        <v>20617</v>
      </c>
    </row>
    <row r="25816">
      <c r="A25816" s="3" t="s">
        <v>42225</v>
      </c>
      <c r="B25816" s="3" t="s">
        <v>21019</v>
      </c>
      <c r="C25816" s="5" t="s">
        <v>45</v>
      </c>
      <c r="D25816" s="3" t="s">
        <v>221</v>
      </c>
      <c r="E25816" s="3" t="s">
        <v>250</v>
      </c>
      <c r="F25816" s="7">
        <v>46242.37460531509</v>
      </c>
      <c r="G25816" s="3" t="s">
        <v>11453</v>
      </c>
    </row>
    <row r="25817">
      <c r="A25817" s="3" t="s">
        <v>42226</v>
      </c>
      <c r="B25817" s="3" t="s">
        <v>21019</v>
      </c>
      <c r="C25817" s="5" t="s">
        <v>221</v>
      </c>
      <c r="D25817" s="3" t="s">
        <v>614</v>
      </c>
      <c r="E25817" s="3" t="s">
        <v>118</v>
      </c>
      <c r="F25817" s="7">
        <v>46242.37807753731</v>
      </c>
      <c r="G25817" s="3" t="s">
        <v>11456</v>
      </c>
    </row>
    <row r="25818">
      <c r="A25818" s="3" t="s">
        <v>42227</v>
      </c>
      <c r="B25818" s="3" t="s">
        <v>21019</v>
      </c>
      <c r="C25818" s="5" t="s">
        <v>614</v>
      </c>
      <c r="D25818" s="3" t="s">
        <v>206</v>
      </c>
      <c r="E25818" s="3" t="s">
        <v>100</v>
      </c>
      <c r="F25818" s="7">
        <v>46242.381549759535</v>
      </c>
      <c r="G25818" s="3" t="s">
        <v>11459</v>
      </c>
    </row>
    <row r="25819">
      <c r="A25819" s="3" t="s">
        <v>42228</v>
      </c>
      <c r="B25819" s="3" t="s">
        <v>21019</v>
      </c>
      <c r="C25819" s="5" t="s">
        <v>206</v>
      </c>
      <c r="D25819" s="3" t="s">
        <v>68</v>
      </c>
      <c r="E25819" s="3" t="s">
        <v>100</v>
      </c>
      <c r="F25819" s="7">
        <v>46242.385021981754</v>
      </c>
      <c r="G25819" s="3" t="s">
        <v>11461</v>
      </c>
    </row>
    <row r="25820">
      <c r="A25820" s="3" t="s">
        <v>42229</v>
      </c>
      <c r="B25820" s="3" t="s">
        <v>21022</v>
      </c>
      <c r="C25820" s="5" t="s">
        <v>45</v>
      </c>
      <c r="D25820" s="3" t="s">
        <v>221</v>
      </c>
      <c r="E25820" s="3" t="s">
        <v>937</v>
      </c>
      <c r="F25820" s="7">
        <v>46242.4457801605</v>
      </c>
      <c r="G25820" s="3" t="s">
        <v>12454</v>
      </c>
    </row>
    <row r="25821">
      <c r="A25821" s="3" t="s">
        <v>42230</v>
      </c>
      <c r="B25821" s="3" t="s">
        <v>21022</v>
      </c>
      <c r="C25821" s="5" t="s">
        <v>221</v>
      </c>
      <c r="D25821" s="3" t="s">
        <v>195</v>
      </c>
      <c r="E25821" s="3" t="s">
        <v>937</v>
      </c>
      <c r="F25821" s="7">
        <v>46242.44925238272</v>
      </c>
      <c r="G25821" s="3" t="s">
        <v>42231</v>
      </c>
    </row>
    <row r="25822">
      <c r="A25822" s="3" t="s">
        <v>42232</v>
      </c>
      <c r="B25822" s="3" t="s">
        <v>21025</v>
      </c>
      <c r="C25822" s="5" t="s">
        <v>45</v>
      </c>
      <c r="D25822" s="3" t="s">
        <v>221</v>
      </c>
      <c r="E25822" s="3" t="s">
        <v>731</v>
      </c>
      <c r="F25822" s="7">
        <v>46242.516955005914</v>
      </c>
      <c r="G25822" s="3" t="s">
        <v>24197</v>
      </c>
    </row>
    <row r="25823">
      <c r="A25823" s="3" t="s">
        <v>42233</v>
      </c>
      <c r="B25823" s="3" t="s">
        <v>21025</v>
      </c>
      <c r="C25823" s="5" t="s">
        <v>221</v>
      </c>
      <c r="D25823" s="3" t="s">
        <v>614</v>
      </c>
      <c r="E25823" s="3" t="s">
        <v>118</v>
      </c>
      <c r="F25823" s="7">
        <v>46242.52042722813</v>
      </c>
      <c r="G25823" s="3" t="s">
        <v>24199</v>
      </c>
    </row>
    <row r="25824">
      <c r="A25824" s="3" t="s">
        <v>42234</v>
      </c>
      <c r="B25824" s="3" t="s">
        <v>21025</v>
      </c>
      <c r="C25824" s="5" t="s">
        <v>614</v>
      </c>
      <c r="D25824" s="3" t="s">
        <v>206</v>
      </c>
      <c r="E25824" s="3" t="s">
        <v>100</v>
      </c>
      <c r="F25824" s="7">
        <v>46242.52389945036</v>
      </c>
      <c r="G25824" s="3" t="s">
        <v>24201</v>
      </c>
    </row>
    <row r="25825">
      <c r="A25825" s="3" t="s">
        <v>42235</v>
      </c>
      <c r="B25825" s="3" t="s">
        <v>21025</v>
      </c>
      <c r="C25825" s="5" t="s">
        <v>206</v>
      </c>
      <c r="D25825" s="3" t="s">
        <v>68</v>
      </c>
      <c r="E25825" s="3" t="s">
        <v>100</v>
      </c>
      <c r="F25825" s="7">
        <v>46242.52737167258</v>
      </c>
      <c r="G25825" s="3" t="s">
        <v>24203</v>
      </c>
    </row>
    <row r="25826">
      <c r="A25826" s="3" t="s">
        <v>42236</v>
      </c>
      <c r="B25826" s="3" t="s">
        <v>21028</v>
      </c>
      <c r="C25826" s="5" t="s">
        <v>45</v>
      </c>
      <c r="D25826" s="3" t="s">
        <v>221</v>
      </c>
      <c r="E25826" s="3" t="s">
        <v>908</v>
      </c>
      <c r="F25826" s="7">
        <v>46242.588129851334</v>
      </c>
      <c r="G25826" s="3" t="s">
        <v>12142</v>
      </c>
    </row>
    <row r="25827">
      <c r="A25827" s="3" t="s">
        <v>42237</v>
      </c>
      <c r="B25827" s="3" t="s">
        <v>21028</v>
      </c>
      <c r="C25827" s="5" t="s">
        <v>221</v>
      </c>
      <c r="D25827" s="3" t="s">
        <v>614</v>
      </c>
      <c r="E25827" s="3" t="s">
        <v>118</v>
      </c>
      <c r="F25827" s="7">
        <v>46242.59160207355</v>
      </c>
      <c r="G25827" s="3" t="s">
        <v>12145</v>
      </c>
    </row>
    <row r="25828">
      <c r="A25828" s="3" t="s">
        <v>42238</v>
      </c>
      <c r="B25828" s="3" t="s">
        <v>21028</v>
      </c>
      <c r="C25828" s="5" t="s">
        <v>614</v>
      </c>
      <c r="D25828" s="3" t="s">
        <v>206</v>
      </c>
      <c r="E25828" s="3" t="s">
        <v>100</v>
      </c>
      <c r="F25828" s="7">
        <v>46242.59507429578</v>
      </c>
      <c r="G25828" s="3" t="s">
        <v>12148</v>
      </c>
    </row>
    <row r="25829">
      <c r="A25829" s="3" t="s">
        <v>42239</v>
      </c>
      <c r="B25829" s="3" t="s">
        <v>21028</v>
      </c>
      <c r="C25829" s="5" t="s">
        <v>206</v>
      </c>
      <c r="D25829" s="3" t="s">
        <v>68</v>
      </c>
      <c r="E25829" s="3" t="s">
        <v>100</v>
      </c>
      <c r="F25829" s="7">
        <v>46242.598546518</v>
      </c>
      <c r="G25829" s="3" t="s">
        <v>12151</v>
      </c>
    </row>
    <row r="25830">
      <c r="A25830" s="3" t="s">
        <v>42240</v>
      </c>
      <c r="B25830" s="3" t="s">
        <v>21031</v>
      </c>
      <c r="C25830" s="5" t="s">
        <v>45</v>
      </c>
      <c r="D25830" s="3" t="s">
        <v>221</v>
      </c>
      <c r="E25830" s="3" t="s">
        <v>302</v>
      </c>
      <c r="F25830" s="7">
        <v>46242.659304696754</v>
      </c>
      <c r="G25830" s="3" t="s">
        <v>11493</v>
      </c>
    </row>
    <row r="25831">
      <c r="A25831" s="3" t="s">
        <v>42241</v>
      </c>
      <c r="B25831" s="3" t="s">
        <v>21031</v>
      </c>
      <c r="C25831" s="5" t="s">
        <v>221</v>
      </c>
      <c r="D25831" s="3" t="s">
        <v>614</v>
      </c>
      <c r="E25831" s="3" t="s">
        <v>118</v>
      </c>
      <c r="F25831" s="7">
        <v>46242.66277691897</v>
      </c>
      <c r="G25831" s="3" t="s">
        <v>11496</v>
      </c>
    </row>
    <row r="25832">
      <c r="A25832" s="3" t="s">
        <v>42242</v>
      </c>
      <c r="B25832" s="3" t="s">
        <v>21031</v>
      </c>
      <c r="C25832" s="5" t="s">
        <v>614</v>
      </c>
      <c r="D25832" s="3" t="s">
        <v>206</v>
      </c>
      <c r="E25832" s="3" t="s">
        <v>100</v>
      </c>
      <c r="F25832" s="7">
        <v>46242.6662491412</v>
      </c>
      <c r="G25832" s="3" t="s">
        <v>11499</v>
      </c>
    </row>
    <row r="25833">
      <c r="A25833" s="3" t="s">
        <v>42243</v>
      </c>
      <c r="B25833" s="3" t="s">
        <v>21031</v>
      </c>
      <c r="C25833" s="5" t="s">
        <v>206</v>
      </c>
      <c r="D25833" s="3" t="s">
        <v>68</v>
      </c>
      <c r="E25833" s="3" t="s">
        <v>100</v>
      </c>
      <c r="F25833" s="7">
        <v>46242.66972136342</v>
      </c>
      <c r="G25833" s="3" t="s">
        <v>11501</v>
      </c>
    </row>
    <row r="25834">
      <c r="A25834" s="3" t="s">
        <v>42244</v>
      </c>
      <c r="B25834" s="3" t="s">
        <v>21035</v>
      </c>
      <c r="C25834" s="5" t="s">
        <v>45</v>
      </c>
      <c r="D25834" s="3" t="s">
        <v>221</v>
      </c>
      <c r="E25834" s="3" t="s">
        <v>505</v>
      </c>
      <c r="F25834" s="7">
        <v>46242.73047954216</v>
      </c>
      <c r="G25834" s="3" t="s">
        <v>22201</v>
      </c>
    </row>
    <row r="25835">
      <c r="A25835" s="3" t="s">
        <v>42245</v>
      </c>
      <c r="B25835" s="3" t="s">
        <v>21035</v>
      </c>
      <c r="C25835" s="5" t="s">
        <v>221</v>
      </c>
      <c r="D25835" s="3" t="s">
        <v>614</v>
      </c>
      <c r="E25835" s="3" t="s">
        <v>118</v>
      </c>
      <c r="F25835" s="7">
        <v>46242.73395176438</v>
      </c>
      <c r="G25835" s="3" t="s">
        <v>22204</v>
      </c>
    </row>
    <row r="25836">
      <c r="A25836" s="3" t="s">
        <v>42246</v>
      </c>
      <c r="B25836" s="3" t="s">
        <v>21035</v>
      </c>
      <c r="C25836" s="5" t="s">
        <v>614</v>
      </c>
      <c r="D25836" s="3" t="s">
        <v>206</v>
      </c>
      <c r="E25836" s="3" t="s">
        <v>100</v>
      </c>
      <c r="F25836" s="7">
        <v>46242.737423986604</v>
      </c>
      <c r="G25836" s="3" t="s">
        <v>22207</v>
      </c>
    </row>
    <row r="25837">
      <c r="A25837" s="3" t="s">
        <v>42247</v>
      </c>
      <c r="B25837" s="3" t="s">
        <v>21035</v>
      </c>
      <c r="C25837" s="5" t="s">
        <v>206</v>
      </c>
      <c r="D25837" s="3" t="s">
        <v>68</v>
      </c>
      <c r="E25837" s="3" t="s">
        <v>100</v>
      </c>
      <c r="F25837" s="7">
        <v>46242.74089620882</v>
      </c>
      <c r="G25837" s="3" t="s">
        <v>22210</v>
      </c>
    </row>
    <row r="25838">
      <c r="A25838" s="3" t="s">
        <v>42248</v>
      </c>
      <c r="B25838" s="3" t="s">
        <v>21039</v>
      </c>
      <c r="C25838" s="5" t="s">
        <v>45</v>
      </c>
      <c r="D25838" s="3" t="s">
        <v>221</v>
      </c>
      <c r="E25838" s="3" t="s">
        <v>424</v>
      </c>
      <c r="F25838" s="7">
        <v>46242.80165438758</v>
      </c>
      <c r="G25838" s="3" t="s">
        <v>13951</v>
      </c>
    </row>
    <row r="25839">
      <c r="A25839" s="3" t="s">
        <v>42249</v>
      </c>
      <c r="B25839" s="3" t="s">
        <v>21039</v>
      </c>
      <c r="C25839" s="5" t="s">
        <v>221</v>
      </c>
      <c r="D25839" s="3" t="s">
        <v>614</v>
      </c>
      <c r="E25839" s="3" t="s">
        <v>118</v>
      </c>
      <c r="F25839" s="7">
        <v>46242.8051266098</v>
      </c>
      <c r="G25839" s="3" t="s">
        <v>13954</v>
      </c>
    </row>
    <row r="25840">
      <c r="A25840" s="3" t="s">
        <v>42250</v>
      </c>
      <c r="B25840" s="3" t="s">
        <v>21039</v>
      </c>
      <c r="C25840" s="5" t="s">
        <v>614</v>
      </c>
      <c r="D25840" s="3" t="s">
        <v>206</v>
      </c>
      <c r="E25840" s="3" t="s">
        <v>100</v>
      </c>
      <c r="F25840" s="7">
        <v>46242.80859883202</v>
      </c>
      <c r="G25840" s="3" t="s">
        <v>13956</v>
      </c>
    </row>
    <row r="25841">
      <c r="A25841" s="3" t="s">
        <v>42251</v>
      </c>
      <c r="B25841" s="3" t="s">
        <v>21039</v>
      </c>
      <c r="C25841" s="5" t="s">
        <v>206</v>
      </c>
      <c r="D25841" s="3" t="s">
        <v>68</v>
      </c>
      <c r="E25841" s="3" t="s">
        <v>100</v>
      </c>
      <c r="F25841" s="7">
        <v>46242.81207105424</v>
      </c>
      <c r="G25841" s="3" t="s">
        <v>13959</v>
      </c>
    </row>
    <row r="25842">
      <c r="A25842" s="3" t="s">
        <v>42252</v>
      </c>
      <c r="B25842" s="3" t="s">
        <v>21042</v>
      </c>
      <c r="C25842" s="5" t="s">
        <v>45</v>
      </c>
      <c r="D25842" s="3" t="s">
        <v>221</v>
      </c>
      <c r="E25842" s="3" t="s">
        <v>601</v>
      </c>
      <c r="F25842" s="7">
        <v>46242.87282923299</v>
      </c>
      <c r="G25842" s="3" t="s">
        <v>5992</v>
      </c>
    </row>
    <row r="25843">
      <c r="A25843" s="3" t="s">
        <v>42253</v>
      </c>
      <c r="B25843" s="3" t="s">
        <v>21042</v>
      </c>
      <c r="C25843" s="5" t="s">
        <v>221</v>
      </c>
      <c r="D25843" s="3" t="s">
        <v>614</v>
      </c>
      <c r="E25843" s="3" t="s">
        <v>118</v>
      </c>
      <c r="F25843" s="7">
        <v>46242.87630145521</v>
      </c>
      <c r="G25843" s="3" t="s">
        <v>15785</v>
      </c>
    </row>
    <row r="25844">
      <c r="A25844" s="3" t="s">
        <v>42254</v>
      </c>
      <c r="B25844" s="3" t="s">
        <v>21042</v>
      </c>
      <c r="C25844" s="5" t="s">
        <v>614</v>
      </c>
      <c r="D25844" s="3" t="s">
        <v>206</v>
      </c>
      <c r="E25844" s="3" t="s">
        <v>100</v>
      </c>
      <c r="F25844" s="7">
        <v>46242.879773677436</v>
      </c>
      <c r="G25844" s="3" t="s">
        <v>15788</v>
      </c>
    </row>
    <row r="25845">
      <c r="A25845" s="3" t="s">
        <v>42255</v>
      </c>
      <c r="B25845" s="3" t="s">
        <v>21042</v>
      </c>
      <c r="C25845" s="5" t="s">
        <v>206</v>
      </c>
      <c r="D25845" s="3" t="s">
        <v>68</v>
      </c>
      <c r="E25845" s="3" t="s">
        <v>100</v>
      </c>
      <c r="F25845" s="7">
        <v>46242.883245899655</v>
      </c>
      <c r="G25845" s="3" t="s">
        <v>15791</v>
      </c>
    </row>
    <row r="25846">
      <c r="A25846" s="3" t="s">
        <v>42256</v>
      </c>
      <c r="B25846" s="3" t="s">
        <v>21044</v>
      </c>
      <c r="C25846" s="5" t="s">
        <v>45</v>
      </c>
      <c r="D25846" s="3" t="s">
        <v>221</v>
      </c>
      <c r="E25846" s="3" t="s">
        <v>524</v>
      </c>
      <c r="F25846" s="7">
        <v>46242.94400407841</v>
      </c>
      <c r="G25846" s="3" t="s">
        <v>15047</v>
      </c>
    </row>
    <row r="25847">
      <c r="A25847" s="3" t="s">
        <v>42257</v>
      </c>
      <c r="B25847" s="3" t="s">
        <v>21044</v>
      </c>
      <c r="C25847" s="5" t="s">
        <v>221</v>
      </c>
      <c r="D25847" s="3" t="s">
        <v>614</v>
      </c>
      <c r="E25847" s="3" t="s">
        <v>118</v>
      </c>
      <c r="F25847" s="7">
        <v>46242.94747630063</v>
      </c>
      <c r="G25847" s="3" t="s">
        <v>15050</v>
      </c>
    </row>
    <row r="25848">
      <c r="A25848" s="3" t="s">
        <v>42258</v>
      </c>
      <c r="B25848" s="3" t="s">
        <v>21044</v>
      </c>
      <c r="C25848" s="5" t="s">
        <v>614</v>
      </c>
      <c r="D25848" s="3" t="s">
        <v>206</v>
      </c>
      <c r="E25848" s="3" t="s">
        <v>100</v>
      </c>
      <c r="F25848" s="7">
        <v>46242.950948522855</v>
      </c>
      <c r="G25848" s="3" t="s">
        <v>15053</v>
      </c>
    </row>
    <row r="25849">
      <c r="A25849" s="3" t="s">
        <v>42259</v>
      </c>
      <c r="B25849" s="3" t="s">
        <v>21044</v>
      </c>
      <c r="C25849" s="5" t="s">
        <v>206</v>
      </c>
      <c r="D25849" s="3" t="s">
        <v>68</v>
      </c>
      <c r="E25849" s="3" t="s">
        <v>100</v>
      </c>
      <c r="F25849" s="7">
        <v>46242.954420745074</v>
      </c>
      <c r="G25849" s="3" t="s">
        <v>15055</v>
      </c>
    </row>
    <row r="25850">
      <c r="A25850" s="3" t="s">
        <v>42260</v>
      </c>
      <c r="B25850" s="3" t="s">
        <v>21046</v>
      </c>
      <c r="C25850" s="5" t="s">
        <v>45</v>
      </c>
      <c r="D25850" s="3" t="s">
        <v>221</v>
      </c>
      <c r="E25850" s="3" t="s">
        <v>359</v>
      </c>
      <c r="F25850" s="7">
        <v>46243.01517892382</v>
      </c>
      <c r="G25850" s="3" t="s">
        <v>11560</v>
      </c>
    </row>
    <row r="25851">
      <c r="A25851" s="3" t="s">
        <v>42261</v>
      </c>
      <c r="B25851" s="3" t="s">
        <v>21046</v>
      </c>
      <c r="C25851" s="5" t="s">
        <v>221</v>
      </c>
      <c r="D25851" s="3" t="s">
        <v>614</v>
      </c>
      <c r="E25851" s="3" t="s">
        <v>118</v>
      </c>
      <c r="F25851" s="7">
        <v>46243.01865114604</v>
      </c>
      <c r="G25851" s="3" t="s">
        <v>11563</v>
      </c>
    </row>
    <row r="25852">
      <c r="A25852" s="3" t="s">
        <v>42262</v>
      </c>
      <c r="B25852" s="3" t="s">
        <v>21046</v>
      </c>
      <c r="C25852" s="5" t="s">
        <v>614</v>
      </c>
      <c r="D25852" s="3" t="s">
        <v>206</v>
      </c>
      <c r="E25852" s="3" t="s">
        <v>100</v>
      </c>
      <c r="F25852" s="7">
        <v>46243.02212336827</v>
      </c>
      <c r="G25852" s="3" t="s">
        <v>11566</v>
      </c>
    </row>
    <row r="25853">
      <c r="A25853" s="3" t="s">
        <v>42263</v>
      </c>
      <c r="B25853" s="3" t="s">
        <v>21046</v>
      </c>
      <c r="C25853" s="5" t="s">
        <v>206</v>
      </c>
      <c r="D25853" s="3" t="s">
        <v>68</v>
      </c>
      <c r="E25853" s="3" t="s">
        <v>100</v>
      </c>
      <c r="F25853" s="7">
        <v>46243.02559559049</v>
      </c>
      <c r="G25853" s="3" t="s">
        <v>11569</v>
      </c>
    </row>
    <row r="25854">
      <c r="A25854" s="3" t="s">
        <v>42264</v>
      </c>
      <c r="B25854" s="3" t="s">
        <v>21048</v>
      </c>
      <c r="C25854" s="5" t="s">
        <v>45</v>
      </c>
      <c r="D25854" s="3" t="s">
        <v>221</v>
      </c>
      <c r="E25854" s="3" t="s">
        <v>383</v>
      </c>
      <c r="F25854" s="7">
        <v>46243.08635376924</v>
      </c>
      <c r="G25854" s="3" t="s">
        <v>11588</v>
      </c>
    </row>
    <row r="25855">
      <c r="A25855" s="3" t="s">
        <v>42265</v>
      </c>
      <c r="B25855" s="3" t="s">
        <v>21048</v>
      </c>
      <c r="C25855" s="5" t="s">
        <v>221</v>
      </c>
      <c r="D25855" s="3" t="s">
        <v>614</v>
      </c>
      <c r="E25855" s="3" t="s">
        <v>118</v>
      </c>
      <c r="F25855" s="7">
        <v>46243.08982599146</v>
      </c>
      <c r="G25855" s="3" t="s">
        <v>11591</v>
      </c>
    </row>
    <row r="25856">
      <c r="A25856" s="3" t="s">
        <v>42266</v>
      </c>
      <c r="B25856" s="3" t="s">
        <v>21048</v>
      </c>
      <c r="C25856" s="5" t="s">
        <v>614</v>
      </c>
      <c r="D25856" s="3" t="s">
        <v>206</v>
      </c>
      <c r="E25856" s="3" t="s">
        <v>100</v>
      </c>
      <c r="F25856" s="7">
        <v>46243.09329821369</v>
      </c>
      <c r="G25856" s="3" t="s">
        <v>11594</v>
      </c>
    </row>
    <row r="25857">
      <c r="A25857" s="3" t="s">
        <v>42267</v>
      </c>
      <c r="B25857" s="3" t="s">
        <v>21048</v>
      </c>
      <c r="C25857" s="5" t="s">
        <v>206</v>
      </c>
      <c r="D25857" s="3" t="s">
        <v>68</v>
      </c>
      <c r="E25857" s="3" t="s">
        <v>100</v>
      </c>
      <c r="F25857" s="7">
        <v>46243.09677043591</v>
      </c>
      <c r="G25857" s="3" t="s">
        <v>11597</v>
      </c>
    </row>
    <row r="25858">
      <c r="A25858" s="3" t="s">
        <v>42268</v>
      </c>
      <c r="B25858" s="3" t="s">
        <v>21050</v>
      </c>
      <c r="C25858" s="5" t="s">
        <v>45</v>
      </c>
      <c r="D25858" s="3" t="s">
        <v>221</v>
      </c>
      <c r="E25858" s="3" t="s">
        <v>557</v>
      </c>
      <c r="F25858" s="7">
        <v>46243.15752861465</v>
      </c>
      <c r="G25858" s="3" t="s">
        <v>10781</v>
      </c>
    </row>
    <row r="25859">
      <c r="A25859" s="3" t="s">
        <v>42269</v>
      </c>
      <c r="B25859" s="3" t="s">
        <v>21050</v>
      </c>
      <c r="C25859" s="5" t="s">
        <v>221</v>
      </c>
      <c r="D25859" s="3" t="s">
        <v>614</v>
      </c>
      <c r="E25859" s="3" t="s">
        <v>118</v>
      </c>
      <c r="F25859" s="7">
        <v>46243.161000836866</v>
      </c>
      <c r="G25859" s="3" t="s">
        <v>10784</v>
      </c>
    </row>
    <row r="25860">
      <c r="A25860" s="3" t="s">
        <v>42270</v>
      </c>
      <c r="B25860" s="3" t="s">
        <v>21050</v>
      </c>
      <c r="C25860" s="5" t="s">
        <v>614</v>
      </c>
      <c r="D25860" s="3" t="s">
        <v>206</v>
      </c>
      <c r="E25860" s="3" t="s">
        <v>100</v>
      </c>
      <c r="F25860" s="7">
        <v>46243.16447305909</v>
      </c>
      <c r="G25860" s="3" t="s">
        <v>10786</v>
      </c>
    </row>
    <row r="25861">
      <c r="A25861" s="3" t="s">
        <v>42271</v>
      </c>
      <c r="B25861" s="3" t="s">
        <v>21050</v>
      </c>
      <c r="C25861" s="5" t="s">
        <v>206</v>
      </c>
      <c r="D25861" s="3" t="s">
        <v>68</v>
      </c>
      <c r="E25861" s="3" t="s">
        <v>100</v>
      </c>
      <c r="F25861" s="7">
        <v>46243.16794528131</v>
      </c>
      <c r="G25861" s="3" t="s">
        <v>10789</v>
      </c>
    </row>
    <row r="25862">
      <c r="A25862" s="3" t="s">
        <v>42272</v>
      </c>
      <c r="B25862" s="3" t="s">
        <v>21053</v>
      </c>
      <c r="C25862" s="5" t="s">
        <v>45</v>
      </c>
      <c r="D25862" s="3" t="s">
        <v>221</v>
      </c>
      <c r="E25862" s="3" t="s">
        <v>414</v>
      </c>
      <c r="F25862" s="7">
        <v>46243.22870346007</v>
      </c>
      <c r="G25862" s="3" t="s">
        <v>7129</v>
      </c>
    </row>
    <row r="25863">
      <c r="A25863" s="3" t="s">
        <v>42273</v>
      </c>
      <c r="B25863" s="3" t="s">
        <v>21053</v>
      </c>
      <c r="C25863" s="5" t="s">
        <v>221</v>
      </c>
      <c r="D25863" s="3" t="s">
        <v>614</v>
      </c>
      <c r="E25863" s="3" t="s">
        <v>118</v>
      </c>
      <c r="F25863" s="7">
        <v>46243.232175682286</v>
      </c>
      <c r="G25863" s="3" t="s">
        <v>7132</v>
      </c>
    </row>
    <row r="25864">
      <c r="A25864" s="3" t="s">
        <v>42274</v>
      </c>
      <c r="B25864" s="3" t="s">
        <v>21053</v>
      </c>
      <c r="C25864" s="5" t="s">
        <v>614</v>
      </c>
      <c r="D25864" s="3" t="s">
        <v>206</v>
      </c>
      <c r="E25864" s="3" t="s">
        <v>100</v>
      </c>
      <c r="F25864" s="7">
        <v>46243.23564790451</v>
      </c>
      <c r="G25864" s="3" t="s">
        <v>7135</v>
      </c>
    </row>
    <row r="25865">
      <c r="A25865" s="3" t="s">
        <v>42275</v>
      </c>
      <c r="B25865" s="3" t="s">
        <v>21053</v>
      </c>
      <c r="C25865" s="5" t="s">
        <v>206</v>
      </c>
      <c r="D25865" s="3" t="s">
        <v>68</v>
      </c>
      <c r="E25865" s="3" t="s">
        <v>100</v>
      </c>
      <c r="F25865" s="7">
        <v>46243.23912012673</v>
      </c>
      <c r="G25865" s="3" t="s">
        <v>7138</v>
      </c>
    </row>
    <row r="25866">
      <c r="A25866" s="3" t="s">
        <v>42276</v>
      </c>
      <c r="B25866" s="3" t="s">
        <v>21055</v>
      </c>
      <c r="C25866" s="5" t="s">
        <v>45</v>
      </c>
      <c r="D25866" s="3" t="s">
        <v>221</v>
      </c>
      <c r="E25866" s="3" t="s">
        <v>440</v>
      </c>
      <c r="F25866" s="7">
        <v>46243.299878305486</v>
      </c>
      <c r="G25866" s="3" t="s">
        <v>6931</v>
      </c>
    </row>
    <row r="25867">
      <c r="A25867" s="3" t="s">
        <v>42277</v>
      </c>
      <c r="B25867" s="3" t="s">
        <v>21055</v>
      </c>
      <c r="C25867" s="5" t="s">
        <v>221</v>
      </c>
      <c r="D25867" s="3" t="s">
        <v>614</v>
      </c>
      <c r="E25867" s="3" t="s">
        <v>118</v>
      </c>
      <c r="F25867" s="7">
        <v>46243.303350527705</v>
      </c>
      <c r="G25867" s="3" t="s">
        <v>6934</v>
      </c>
    </row>
    <row r="25868">
      <c r="A25868" s="3" t="s">
        <v>42278</v>
      </c>
      <c r="B25868" s="3" t="s">
        <v>21055</v>
      </c>
      <c r="C25868" s="5" t="s">
        <v>614</v>
      </c>
      <c r="D25868" s="3" t="s">
        <v>206</v>
      </c>
      <c r="E25868" s="3" t="s">
        <v>100</v>
      </c>
      <c r="F25868" s="7">
        <v>46243.30682274993</v>
      </c>
      <c r="G25868" s="3" t="s">
        <v>6937</v>
      </c>
    </row>
    <row r="25869">
      <c r="A25869" s="3" t="s">
        <v>42279</v>
      </c>
      <c r="B25869" s="3" t="s">
        <v>21055</v>
      </c>
      <c r="C25869" s="5" t="s">
        <v>206</v>
      </c>
      <c r="D25869" s="3" t="s">
        <v>68</v>
      </c>
      <c r="E25869" s="3" t="s">
        <v>100</v>
      </c>
      <c r="F25869" s="7">
        <v>46243.31029497215</v>
      </c>
      <c r="G25869" s="3" t="s">
        <v>6940</v>
      </c>
    </row>
    <row r="25870">
      <c r="A25870" s="3" t="s">
        <v>42280</v>
      </c>
      <c r="B25870" s="3" t="s">
        <v>21057</v>
      </c>
      <c r="C25870" s="5" t="s">
        <v>45</v>
      </c>
      <c r="D25870" s="3" t="s">
        <v>221</v>
      </c>
      <c r="E25870" s="3" t="s">
        <v>523</v>
      </c>
      <c r="F25870" s="7">
        <v>46243.3710531509</v>
      </c>
      <c r="G25870" s="3" t="s">
        <v>40407</v>
      </c>
    </row>
    <row r="25871">
      <c r="A25871" s="3" t="s">
        <v>42281</v>
      </c>
      <c r="B25871" s="3" t="s">
        <v>21057</v>
      </c>
      <c r="C25871" s="5" t="s">
        <v>221</v>
      </c>
      <c r="D25871" s="3" t="s">
        <v>181</v>
      </c>
      <c r="E25871" s="3" t="s">
        <v>118</v>
      </c>
      <c r="F25871" s="7">
        <v>46243.37452537312</v>
      </c>
      <c r="G25871" s="3" t="s">
        <v>42282</v>
      </c>
    </row>
    <row r="25872">
      <c r="A25872" s="3" t="s">
        <v>42283</v>
      </c>
      <c r="B25872" s="3" t="s">
        <v>21059</v>
      </c>
      <c r="C25872" s="5" t="s">
        <v>45</v>
      </c>
      <c r="D25872" s="3" t="s">
        <v>221</v>
      </c>
      <c r="E25872" s="3" t="s">
        <v>559</v>
      </c>
      <c r="F25872" s="7">
        <v>46243.44222799631</v>
      </c>
      <c r="G25872" s="3" t="s">
        <v>5019</v>
      </c>
    </row>
    <row r="25873">
      <c r="A25873" s="3" t="s">
        <v>42284</v>
      </c>
      <c r="B25873" s="3" t="s">
        <v>21059</v>
      </c>
      <c r="C25873" s="5" t="s">
        <v>221</v>
      </c>
      <c r="D25873" s="3" t="s">
        <v>614</v>
      </c>
      <c r="E25873" s="3" t="s">
        <v>118</v>
      </c>
      <c r="F25873" s="7">
        <v>46243.44570021853</v>
      </c>
      <c r="G25873" s="3" t="s">
        <v>5022</v>
      </c>
    </row>
    <row r="25874">
      <c r="A25874" s="3" t="s">
        <v>42285</v>
      </c>
      <c r="B25874" s="3" t="s">
        <v>21059</v>
      </c>
      <c r="C25874" s="5" t="s">
        <v>614</v>
      </c>
      <c r="D25874" s="3" t="s">
        <v>206</v>
      </c>
      <c r="E25874" s="3" t="s">
        <v>100</v>
      </c>
      <c r="F25874" s="7">
        <v>46243.449172440756</v>
      </c>
      <c r="G25874" s="3" t="s">
        <v>5025</v>
      </c>
    </row>
    <row r="25875">
      <c r="A25875" s="3" t="s">
        <v>42286</v>
      </c>
      <c r="B25875" s="3" t="s">
        <v>21059</v>
      </c>
      <c r="C25875" s="5" t="s">
        <v>206</v>
      </c>
      <c r="D25875" s="3" t="s">
        <v>68</v>
      </c>
      <c r="E25875" s="3" t="s">
        <v>100</v>
      </c>
      <c r="F25875" s="7">
        <v>46243.452644662975</v>
      </c>
      <c r="G25875" s="3" t="s">
        <v>5028</v>
      </c>
    </row>
    <row r="25876">
      <c r="A25876" s="3" t="s">
        <v>42287</v>
      </c>
      <c r="B25876" s="3" t="s">
        <v>21061</v>
      </c>
      <c r="C25876" s="5" t="s">
        <v>45</v>
      </c>
      <c r="D25876" s="3" t="s">
        <v>221</v>
      </c>
      <c r="E25876" s="3" t="s">
        <v>920</v>
      </c>
      <c r="F25876" s="7">
        <v>46243.51340284173</v>
      </c>
      <c r="G25876" s="3" t="s">
        <v>24853</v>
      </c>
    </row>
    <row r="25877">
      <c r="A25877" s="3" t="s">
        <v>42288</v>
      </c>
      <c r="B25877" s="3" t="s">
        <v>21061</v>
      </c>
      <c r="C25877" s="5" t="s">
        <v>221</v>
      </c>
      <c r="D25877" s="3" t="s">
        <v>181</v>
      </c>
      <c r="E25877" s="3" t="s">
        <v>118</v>
      </c>
      <c r="F25877" s="7">
        <v>46243.51687506395</v>
      </c>
      <c r="G25877" s="3" t="s">
        <v>42289</v>
      </c>
    </row>
    <row r="25878">
      <c r="A25878" s="3" t="s">
        <v>42290</v>
      </c>
      <c r="B25878" s="3" t="s">
        <v>21063</v>
      </c>
      <c r="C25878" s="5" t="s">
        <v>45</v>
      </c>
      <c r="D25878" s="3" t="s">
        <v>221</v>
      </c>
      <c r="E25878" s="3" t="s">
        <v>694</v>
      </c>
      <c r="F25878" s="7">
        <v>46243.58457768714</v>
      </c>
      <c r="G25878" s="3" t="s">
        <v>3719</v>
      </c>
    </row>
    <row r="25879">
      <c r="A25879" s="3" t="s">
        <v>42291</v>
      </c>
      <c r="B25879" s="3" t="s">
        <v>21063</v>
      </c>
      <c r="C25879" s="5" t="s">
        <v>221</v>
      </c>
      <c r="D25879" s="3" t="s">
        <v>614</v>
      </c>
      <c r="E25879" s="3" t="s">
        <v>118</v>
      </c>
      <c r="F25879" s="7">
        <v>46243.58804990936</v>
      </c>
      <c r="G25879" s="3" t="s">
        <v>3722</v>
      </c>
    </row>
    <row r="25880">
      <c r="A25880" s="3" t="s">
        <v>42292</v>
      </c>
      <c r="B25880" s="3" t="s">
        <v>21063</v>
      </c>
      <c r="C25880" s="5" t="s">
        <v>614</v>
      </c>
      <c r="D25880" s="3" t="s">
        <v>206</v>
      </c>
      <c r="E25880" s="3" t="s">
        <v>100</v>
      </c>
      <c r="F25880" s="7">
        <v>46243.59152213159</v>
      </c>
      <c r="G25880" s="3" t="s">
        <v>3725</v>
      </c>
    </row>
    <row r="25881">
      <c r="A25881" s="3" t="s">
        <v>42293</v>
      </c>
      <c r="B25881" s="3" t="s">
        <v>21063</v>
      </c>
      <c r="C25881" s="5" t="s">
        <v>206</v>
      </c>
      <c r="D25881" s="3" t="s">
        <v>68</v>
      </c>
      <c r="E25881" s="3" t="s">
        <v>100</v>
      </c>
      <c r="F25881" s="7">
        <v>46243.59499435381</v>
      </c>
      <c r="G25881" s="3" t="s">
        <v>3728</v>
      </c>
    </row>
    <row r="25882">
      <c r="A25882" s="3" t="s">
        <v>42294</v>
      </c>
      <c r="B25882" s="3" t="s">
        <v>21065</v>
      </c>
      <c r="C25882" s="5" t="s">
        <v>45</v>
      </c>
      <c r="D25882" s="3" t="s">
        <v>221</v>
      </c>
      <c r="E25882" s="3" t="s">
        <v>1008</v>
      </c>
      <c r="F25882" s="7">
        <v>46243.655752532555</v>
      </c>
      <c r="G25882" s="3" t="s">
        <v>11607</v>
      </c>
    </row>
    <row r="25883">
      <c r="A25883" s="3" t="s">
        <v>42295</v>
      </c>
      <c r="B25883" s="3" t="s">
        <v>21065</v>
      </c>
      <c r="C25883" s="5" t="s">
        <v>221</v>
      </c>
      <c r="D25883" s="3" t="s">
        <v>614</v>
      </c>
      <c r="E25883" s="3" t="s">
        <v>118</v>
      </c>
      <c r="F25883" s="7">
        <v>46243.659224754774</v>
      </c>
      <c r="G25883" s="3" t="s">
        <v>11610</v>
      </c>
    </row>
    <row r="25884">
      <c r="A25884" s="3" t="s">
        <v>42296</v>
      </c>
      <c r="B25884" s="3" t="s">
        <v>21065</v>
      </c>
      <c r="C25884" s="5" t="s">
        <v>614</v>
      </c>
      <c r="D25884" s="3" t="s">
        <v>206</v>
      </c>
      <c r="E25884" s="3" t="s">
        <v>100</v>
      </c>
      <c r="F25884" s="7">
        <v>46243.662696977</v>
      </c>
      <c r="G25884" s="3" t="s">
        <v>11613</v>
      </c>
    </row>
    <row r="25885">
      <c r="A25885" s="3" t="s">
        <v>42297</v>
      </c>
      <c r="B25885" s="3" t="s">
        <v>21065</v>
      </c>
      <c r="C25885" s="5" t="s">
        <v>206</v>
      </c>
      <c r="D25885" s="3" t="s">
        <v>68</v>
      </c>
      <c r="E25885" s="3" t="s">
        <v>100</v>
      </c>
      <c r="F25885" s="7">
        <v>46243.66616919922</v>
      </c>
      <c r="G25885" s="3" t="s">
        <v>11615</v>
      </c>
    </row>
    <row r="25886">
      <c r="A25886" s="3" t="s">
        <v>42298</v>
      </c>
      <c r="B25886" s="3" t="s">
        <v>21068</v>
      </c>
      <c r="C25886" s="5" t="s">
        <v>45</v>
      </c>
      <c r="D25886" s="3" t="s">
        <v>221</v>
      </c>
      <c r="E25886" s="3" t="s">
        <v>186</v>
      </c>
      <c r="F25886" s="7">
        <v>46243.726927377975</v>
      </c>
      <c r="G25886" s="3" t="s">
        <v>11653</v>
      </c>
    </row>
    <row r="25887">
      <c r="A25887" s="3" t="s">
        <v>42299</v>
      </c>
      <c r="B25887" s="3" t="s">
        <v>21068</v>
      </c>
      <c r="C25887" s="5" t="s">
        <v>221</v>
      </c>
      <c r="D25887" s="3" t="s">
        <v>614</v>
      </c>
      <c r="E25887" s="3" t="s">
        <v>118</v>
      </c>
      <c r="F25887" s="7">
        <v>46243.730399600194</v>
      </c>
      <c r="G25887" s="3" t="s">
        <v>11656</v>
      </c>
    </row>
    <row r="25888">
      <c r="A25888" s="3" t="s">
        <v>42300</v>
      </c>
      <c r="B25888" s="3" t="s">
        <v>21068</v>
      </c>
      <c r="C25888" s="5" t="s">
        <v>614</v>
      </c>
      <c r="D25888" s="3" t="s">
        <v>206</v>
      </c>
      <c r="E25888" s="3" t="s">
        <v>100</v>
      </c>
      <c r="F25888" s="7">
        <v>46243.73387182242</v>
      </c>
      <c r="G25888" s="3" t="s">
        <v>11659</v>
      </c>
    </row>
    <row r="25889">
      <c r="A25889" s="3" t="s">
        <v>42301</v>
      </c>
      <c r="B25889" s="3" t="s">
        <v>21068</v>
      </c>
      <c r="C25889" s="5" t="s">
        <v>206</v>
      </c>
      <c r="D25889" s="3" t="s">
        <v>68</v>
      </c>
      <c r="E25889" s="3" t="s">
        <v>100</v>
      </c>
      <c r="F25889" s="7">
        <v>46243.73734404464</v>
      </c>
      <c r="G25889" s="3" t="s">
        <v>11661</v>
      </c>
    </row>
    <row r="25890">
      <c r="A25890" s="3" t="s">
        <v>42302</v>
      </c>
      <c r="B25890" s="3" t="s">
        <v>21070</v>
      </c>
      <c r="C25890" s="5" t="s">
        <v>45</v>
      </c>
      <c r="D25890" s="3" t="s">
        <v>221</v>
      </c>
      <c r="E25890" s="3" t="s">
        <v>521</v>
      </c>
      <c r="F25890" s="7">
        <v>46243.798102223394</v>
      </c>
      <c r="G25890" s="3" t="s">
        <v>26583</v>
      </c>
    </row>
    <row r="25891">
      <c r="A25891" s="3" t="s">
        <v>42303</v>
      </c>
      <c r="B25891" s="3" t="s">
        <v>21070</v>
      </c>
      <c r="C25891" s="5" t="s">
        <v>221</v>
      </c>
      <c r="D25891" s="3" t="s">
        <v>614</v>
      </c>
      <c r="E25891" s="3" t="s">
        <v>118</v>
      </c>
      <c r="F25891" s="7">
        <v>46243.80157444561</v>
      </c>
      <c r="G25891" s="3" t="s">
        <v>26585</v>
      </c>
    </row>
    <row r="25892">
      <c r="A25892" s="3" t="s">
        <v>42304</v>
      </c>
      <c r="B25892" s="3" t="s">
        <v>21070</v>
      </c>
      <c r="C25892" s="5" t="s">
        <v>614</v>
      </c>
      <c r="D25892" s="3" t="s">
        <v>206</v>
      </c>
      <c r="E25892" s="3" t="s">
        <v>100</v>
      </c>
      <c r="F25892" s="7">
        <v>46243.80504666784</v>
      </c>
      <c r="G25892" s="3" t="s">
        <v>26587</v>
      </c>
    </row>
    <row r="25893">
      <c r="A25893" s="3" t="s">
        <v>42305</v>
      </c>
      <c r="B25893" s="3" t="s">
        <v>21070</v>
      </c>
      <c r="C25893" s="5" t="s">
        <v>206</v>
      </c>
      <c r="D25893" s="3" t="s">
        <v>68</v>
      </c>
      <c r="E25893" s="3" t="s">
        <v>100</v>
      </c>
      <c r="F25893" s="7">
        <v>46243.80851889006</v>
      </c>
      <c r="G25893" s="3" t="s">
        <v>26589</v>
      </c>
    </row>
    <row r="25894">
      <c r="A25894" s="3" t="s">
        <v>42306</v>
      </c>
      <c r="B25894" s="3" t="s">
        <v>21072</v>
      </c>
      <c r="C25894" s="5" t="s">
        <v>45</v>
      </c>
      <c r="D25894" s="3" t="s">
        <v>221</v>
      </c>
      <c r="E25894" s="3" t="s">
        <v>652</v>
      </c>
      <c r="F25894" s="7">
        <v>46243.8692770688</v>
      </c>
      <c r="G25894" s="3" t="s">
        <v>11950</v>
      </c>
    </row>
    <row r="25895">
      <c r="A25895" s="3" t="s">
        <v>42307</v>
      </c>
      <c r="B25895" s="3" t="s">
        <v>21072</v>
      </c>
      <c r="C25895" s="5" t="s">
        <v>221</v>
      </c>
      <c r="D25895" s="3" t="s">
        <v>614</v>
      </c>
      <c r="E25895" s="3" t="s">
        <v>118</v>
      </c>
      <c r="F25895" s="7">
        <v>46243.87274929102</v>
      </c>
      <c r="G25895" s="3" t="s">
        <v>11953</v>
      </c>
    </row>
    <row r="25896">
      <c r="A25896" s="3" t="s">
        <v>42308</v>
      </c>
      <c r="B25896" s="3" t="s">
        <v>21072</v>
      </c>
      <c r="C25896" s="5" t="s">
        <v>614</v>
      </c>
      <c r="D25896" s="3" t="s">
        <v>206</v>
      </c>
      <c r="E25896" s="3" t="s">
        <v>100</v>
      </c>
      <c r="F25896" s="7">
        <v>46243.876221513245</v>
      </c>
      <c r="G25896" s="3" t="s">
        <v>11956</v>
      </c>
    </row>
    <row r="25897">
      <c r="A25897" s="3" t="s">
        <v>42309</v>
      </c>
      <c r="B25897" s="3" t="s">
        <v>21072</v>
      </c>
      <c r="C25897" s="5" t="s">
        <v>206</v>
      </c>
      <c r="D25897" s="3" t="s">
        <v>68</v>
      </c>
      <c r="E25897" s="3" t="s">
        <v>100</v>
      </c>
      <c r="F25897" s="7">
        <v>46243.879693735464</v>
      </c>
      <c r="G25897" s="3" t="s">
        <v>11959</v>
      </c>
    </row>
    <row r="25898">
      <c r="A25898" s="3" t="s">
        <v>42310</v>
      </c>
      <c r="B25898" s="3" t="s">
        <v>21074</v>
      </c>
      <c r="C25898" s="5" t="s">
        <v>45</v>
      </c>
      <c r="D25898" s="3" t="s">
        <v>221</v>
      </c>
      <c r="E25898" s="3" t="s">
        <v>742</v>
      </c>
      <c r="F25898" s="7">
        <v>46243.94045191422</v>
      </c>
      <c r="G25898" s="3" t="s">
        <v>8303</v>
      </c>
    </row>
    <row r="25899">
      <c r="A25899" s="3" t="s">
        <v>42311</v>
      </c>
      <c r="B25899" s="3" t="s">
        <v>21074</v>
      </c>
      <c r="C25899" s="5" t="s">
        <v>221</v>
      </c>
      <c r="D25899" s="3" t="s">
        <v>614</v>
      </c>
      <c r="E25899" s="3" t="s">
        <v>118</v>
      </c>
      <c r="F25899" s="7">
        <v>46243.94392413644</v>
      </c>
      <c r="G25899" s="3" t="s">
        <v>8306</v>
      </c>
    </row>
    <row r="25900">
      <c r="A25900" s="3" t="s">
        <v>42312</v>
      </c>
      <c r="B25900" s="3" t="s">
        <v>21074</v>
      </c>
      <c r="C25900" s="5" t="s">
        <v>614</v>
      </c>
      <c r="D25900" s="3" t="s">
        <v>206</v>
      </c>
      <c r="E25900" s="3" t="s">
        <v>100</v>
      </c>
      <c r="F25900" s="7">
        <v>46243.947396358664</v>
      </c>
      <c r="G25900" s="3" t="s">
        <v>8309</v>
      </c>
    </row>
    <row r="25901">
      <c r="A25901" s="3" t="s">
        <v>42313</v>
      </c>
      <c r="B25901" s="3" t="s">
        <v>21074</v>
      </c>
      <c r="C25901" s="5" t="s">
        <v>206</v>
      </c>
      <c r="D25901" s="3" t="s">
        <v>68</v>
      </c>
      <c r="E25901" s="3" t="s">
        <v>100</v>
      </c>
      <c r="F25901" s="7">
        <v>46243.95086858088</v>
      </c>
      <c r="G25901" s="3" t="s">
        <v>8312</v>
      </c>
    </row>
    <row r="25902">
      <c r="A25902" s="3" t="s">
        <v>42314</v>
      </c>
      <c r="B25902" s="3" t="s">
        <v>21076</v>
      </c>
      <c r="C25902" s="5" t="s">
        <v>45</v>
      </c>
      <c r="D25902" s="3" t="s">
        <v>221</v>
      </c>
      <c r="E25902" s="3" t="s">
        <v>287</v>
      </c>
      <c r="F25902" s="7">
        <v>46244.01162675964</v>
      </c>
      <c r="G25902" s="3" t="s">
        <v>5732</v>
      </c>
    </row>
    <row r="25903">
      <c r="A25903" s="3" t="s">
        <v>42315</v>
      </c>
      <c r="B25903" s="3" t="s">
        <v>21076</v>
      </c>
      <c r="C25903" s="5" t="s">
        <v>221</v>
      </c>
      <c r="D25903" s="3" t="s">
        <v>614</v>
      </c>
      <c r="E25903" s="3" t="s">
        <v>118</v>
      </c>
      <c r="F25903" s="7">
        <v>46244.01509898186</v>
      </c>
      <c r="G25903" s="3" t="s">
        <v>5735</v>
      </c>
    </row>
    <row r="25904">
      <c r="A25904" s="3" t="s">
        <v>42316</v>
      </c>
      <c r="B25904" s="3" t="s">
        <v>21076</v>
      </c>
      <c r="C25904" s="5" t="s">
        <v>614</v>
      </c>
      <c r="D25904" s="3" t="s">
        <v>206</v>
      </c>
      <c r="E25904" s="3" t="s">
        <v>100</v>
      </c>
      <c r="F25904" s="7">
        <v>46244.018571204084</v>
      </c>
      <c r="G25904" s="3" t="s">
        <v>5738</v>
      </c>
    </row>
    <row r="25905">
      <c r="A25905" s="3" t="s">
        <v>42317</v>
      </c>
      <c r="B25905" s="3" t="s">
        <v>21076</v>
      </c>
      <c r="C25905" s="5" t="s">
        <v>206</v>
      </c>
      <c r="D25905" s="3" t="s">
        <v>68</v>
      </c>
      <c r="E25905" s="3" t="s">
        <v>100</v>
      </c>
      <c r="F25905" s="7">
        <v>46244.0220434263</v>
      </c>
      <c r="G25905" s="3" t="s">
        <v>5741</v>
      </c>
    </row>
    <row r="25906">
      <c r="A25906" s="3" t="s">
        <v>42318</v>
      </c>
      <c r="B25906" s="3" t="s">
        <v>21078</v>
      </c>
      <c r="C25906" s="5" t="s">
        <v>45</v>
      </c>
      <c r="D25906" s="3" t="s">
        <v>221</v>
      </c>
      <c r="E25906" s="3" t="s">
        <v>554</v>
      </c>
      <c r="F25906" s="7">
        <v>46244.08280160505</v>
      </c>
      <c r="G25906" s="3" t="s">
        <v>8610</v>
      </c>
    </row>
    <row r="25907">
      <c r="A25907" s="3" t="s">
        <v>42319</v>
      </c>
      <c r="B25907" s="3" t="s">
        <v>21078</v>
      </c>
      <c r="C25907" s="5" t="s">
        <v>221</v>
      </c>
      <c r="D25907" s="3" t="s">
        <v>614</v>
      </c>
      <c r="E25907" s="3" t="s">
        <v>118</v>
      </c>
      <c r="F25907" s="7">
        <v>46244.08627382727</v>
      </c>
      <c r="G25907" s="3" t="s">
        <v>42320</v>
      </c>
    </row>
    <row r="25908">
      <c r="A25908" s="3" t="s">
        <v>42321</v>
      </c>
      <c r="B25908" s="3" t="s">
        <v>21078</v>
      </c>
      <c r="C25908" s="5" t="s">
        <v>614</v>
      </c>
      <c r="D25908" s="3" t="s">
        <v>206</v>
      </c>
      <c r="E25908" s="3" t="s">
        <v>100</v>
      </c>
      <c r="F25908" s="7">
        <v>46244.089746049496</v>
      </c>
      <c r="G25908" s="3" t="s">
        <v>42322</v>
      </c>
    </row>
    <row r="25909">
      <c r="A25909" s="3" t="s">
        <v>42323</v>
      </c>
      <c r="B25909" s="3" t="s">
        <v>21078</v>
      </c>
      <c r="C25909" s="5" t="s">
        <v>206</v>
      </c>
      <c r="D25909" s="3" t="s">
        <v>68</v>
      </c>
      <c r="E25909" s="3" t="s">
        <v>100</v>
      </c>
      <c r="F25909" s="7">
        <v>46244.093218271715</v>
      </c>
      <c r="G25909" s="3" t="s">
        <v>42324</v>
      </c>
    </row>
    <row r="25910">
      <c r="A25910" s="3" t="s">
        <v>42325</v>
      </c>
      <c r="B25910" s="3" t="s">
        <v>21080</v>
      </c>
      <c r="C25910" s="5" t="s">
        <v>45</v>
      </c>
      <c r="D25910" s="3" t="s">
        <v>221</v>
      </c>
      <c r="E25910" s="3" t="s">
        <v>886</v>
      </c>
      <c r="F25910" s="7">
        <v>46244.15397645046</v>
      </c>
      <c r="G25910" s="3" t="s">
        <v>16305</v>
      </c>
    </row>
    <row r="25911">
      <c r="A25911" s="3" t="s">
        <v>42326</v>
      </c>
      <c r="B25911" s="3" t="s">
        <v>21080</v>
      </c>
      <c r="C25911" s="5" t="s">
        <v>221</v>
      </c>
      <c r="D25911" s="3" t="s">
        <v>614</v>
      </c>
      <c r="E25911" s="3" t="s">
        <v>118</v>
      </c>
      <c r="F25911" s="7">
        <v>46244.15744867268</v>
      </c>
      <c r="G25911" s="3" t="s">
        <v>16308</v>
      </c>
    </row>
    <row r="25912">
      <c r="A25912" s="3" t="s">
        <v>42327</v>
      </c>
      <c r="B25912" s="3" t="s">
        <v>21080</v>
      </c>
      <c r="C25912" s="5" t="s">
        <v>614</v>
      </c>
      <c r="D25912" s="3" t="s">
        <v>206</v>
      </c>
      <c r="E25912" s="3" t="s">
        <v>100</v>
      </c>
      <c r="F25912" s="7">
        <v>46244.16092089491</v>
      </c>
      <c r="G25912" s="3" t="s">
        <v>16311</v>
      </c>
    </row>
    <row r="25913">
      <c r="A25913" s="3" t="s">
        <v>42328</v>
      </c>
      <c r="B25913" s="3" t="s">
        <v>21080</v>
      </c>
      <c r="C25913" s="5" t="s">
        <v>206</v>
      </c>
      <c r="D25913" s="3" t="s">
        <v>68</v>
      </c>
      <c r="E25913" s="3" t="s">
        <v>100</v>
      </c>
      <c r="F25913" s="7">
        <v>46244.16439311713</v>
      </c>
      <c r="G25913" s="3" t="s">
        <v>16313</v>
      </c>
    </row>
    <row r="25914">
      <c r="A25914" s="3" t="s">
        <v>42329</v>
      </c>
      <c r="B25914" s="3" t="s">
        <v>21083</v>
      </c>
      <c r="C25914" s="5" t="s">
        <v>45</v>
      </c>
      <c r="D25914" s="3" t="s">
        <v>221</v>
      </c>
      <c r="E25914" s="3" t="s">
        <v>159</v>
      </c>
      <c r="F25914" s="7">
        <v>46244.22515129588</v>
      </c>
      <c r="G25914" s="3" t="s">
        <v>11676</v>
      </c>
    </row>
    <row r="25915">
      <c r="A25915" s="3" t="s">
        <v>42330</v>
      </c>
      <c r="B25915" s="3" t="s">
        <v>21083</v>
      </c>
      <c r="C25915" s="5" t="s">
        <v>221</v>
      </c>
      <c r="D25915" s="3" t="s">
        <v>614</v>
      </c>
      <c r="E25915" s="3" t="s">
        <v>118</v>
      </c>
      <c r="F25915" s="7">
        <v>46244.2286235181</v>
      </c>
      <c r="G25915" s="3" t="s">
        <v>11678</v>
      </c>
    </row>
    <row r="25916">
      <c r="A25916" s="3" t="s">
        <v>42331</v>
      </c>
      <c r="B25916" s="3" t="s">
        <v>21083</v>
      </c>
      <c r="C25916" s="5" t="s">
        <v>614</v>
      </c>
      <c r="D25916" s="3" t="s">
        <v>206</v>
      </c>
      <c r="E25916" s="3" t="s">
        <v>100</v>
      </c>
      <c r="F25916" s="7">
        <v>46244.23209574033</v>
      </c>
      <c r="G25916" s="3" t="s">
        <v>11681</v>
      </c>
    </row>
    <row r="25917">
      <c r="A25917" s="3" t="s">
        <v>42332</v>
      </c>
      <c r="B25917" s="3" t="s">
        <v>21083</v>
      </c>
      <c r="C25917" s="5" t="s">
        <v>206</v>
      </c>
      <c r="D25917" s="3" t="s">
        <v>68</v>
      </c>
      <c r="E25917" s="3" t="s">
        <v>100</v>
      </c>
      <c r="F25917" s="7">
        <v>46244.23556796255</v>
      </c>
      <c r="G25917" s="3" t="s">
        <v>11684</v>
      </c>
    </row>
    <row r="25918">
      <c r="A25918" s="3" t="s">
        <v>42333</v>
      </c>
      <c r="B25918" s="3" t="s">
        <v>21085</v>
      </c>
      <c r="C25918" s="5" t="s">
        <v>45</v>
      </c>
      <c r="D25918" s="3" t="s">
        <v>221</v>
      </c>
      <c r="E25918" s="3" t="s">
        <v>640</v>
      </c>
      <c r="F25918" s="7">
        <v>46244.296326141295</v>
      </c>
      <c r="G25918" s="3" t="s">
        <v>9495</v>
      </c>
    </row>
    <row r="25919">
      <c r="A25919" s="3" t="s">
        <v>42334</v>
      </c>
      <c r="B25919" s="3" t="s">
        <v>21085</v>
      </c>
      <c r="C25919" s="5" t="s">
        <v>221</v>
      </c>
      <c r="D25919" s="3" t="s">
        <v>614</v>
      </c>
      <c r="E25919" s="3" t="s">
        <v>118</v>
      </c>
      <c r="F25919" s="7">
        <v>46244.299798363514</v>
      </c>
      <c r="G25919" s="3" t="s">
        <v>9498</v>
      </c>
    </row>
    <row r="25920">
      <c r="A25920" s="3" t="s">
        <v>42335</v>
      </c>
      <c r="B25920" s="3" t="s">
        <v>21085</v>
      </c>
      <c r="C25920" s="5" t="s">
        <v>614</v>
      </c>
      <c r="D25920" s="3" t="s">
        <v>206</v>
      </c>
      <c r="E25920" s="3" t="s">
        <v>100</v>
      </c>
      <c r="F25920" s="7">
        <v>46244.30327058574</v>
      </c>
      <c r="G25920" s="3" t="s">
        <v>9501</v>
      </c>
    </row>
    <row r="25921">
      <c r="A25921" s="3" t="s">
        <v>42336</v>
      </c>
      <c r="B25921" s="3" t="s">
        <v>21085</v>
      </c>
      <c r="C25921" s="5" t="s">
        <v>206</v>
      </c>
      <c r="D25921" s="3" t="s">
        <v>68</v>
      </c>
      <c r="E25921" s="3" t="s">
        <v>100</v>
      </c>
      <c r="F25921" s="7">
        <v>46244.30674280796</v>
      </c>
      <c r="G25921" s="3" t="s">
        <v>9503</v>
      </c>
    </row>
    <row r="25922">
      <c r="A25922" s="3" t="s">
        <v>42337</v>
      </c>
      <c r="B25922" s="3" t="s">
        <v>21087</v>
      </c>
      <c r="C25922" s="5" t="s">
        <v>45</v>
      </c>
      <c r="D25922" s="3" t="s">
        <v>221</v>
      </c>
      <c r="E25922" s="3" t="s">
        <v>657</v>
      </c>
      <c r="F25922" s="7">
        <v>46244.36750098671</v>
      </c>
      <c r="G25922" s="3" t="s">
        <v>2770</v>
      </c>
    </row>
    <row r="25923">
      <c r="A25923" s="3" t="s">
        <v>42338</v>
      </c>
      <c r="B25923" s="3" t="s">
        <v>21087</v>
      </c>
      <c r="C25923" s="5" t="s">
        <v>221</v>
      </c>
      <c r="D25923" s="3" t="s">
        <v>195</v>
      </c>
      <c r="E25923" s="3" t="s">
        <v>657</v>
      </c>
      <c r="F25923" s="7">
        <v>46244.37097320893</v>
      </c>
      <c r="G25923" s="3" t="s">
        <v>3055</v>
      </c>
    </row>
    <row r="25924">
      <c r="A25924" s="3" t="s">
        <v>42339</v>
      </c>
      <c r="B25924" s="3" t="s">
        <v>21090</v>
      </c>
      <c r="C25924" s="5" t="s">
        <v>45</v>
      </c>
      <c r="D25924" s="3" t="s">
        <v>221</v>
      </c>
      <c r="E25924" s="3" t="s">
        <v>319</v>
      </c>
      <c r="F25924" s="7">
        <v>46244.43867583213</v>
      </c>
      <c r="G25924" s="3" t="s">
        <v>11734</v>
      </c>
    </row>
    <row r="25925">
      <c r="A25925" s="3" t="s">
        <v>42340</v>
      </c>
      <c r="B25925" s="3" t="s">
        <v>21090</v>
      </c>
      <c r="C25925" s="5" t="s">
        <v>221</v>
      </c>
      <c r="D25925" s="3" t="s">
        <v>614</v>
      </c>
      <c r="E25925" s="3" t="s">
        <v>118</v>
      </c>
      <c r="F25925" s="7">
        <v>46244.442148054346</v>
      </c>
      <c r="G25925" s="3" t="s">
        <v>11737</v>
      </c>
    </row>
    <row r="25926">
      <c r="A25926" s="3" t="s">
        <v>42341</v>
      </c>
      <c r="B25926" s="3" t="s">
        <v>21090</v>
      </c>
      <c r="C25926" s="5" t="s">
        <v>614</v>
      </c>
      <c r="D25926" s="3" t="s">
        <v>206</v>
      </c>
      <c r="E25926" s="3" t="s">
        <v>100</v>
      </c>
      <c r="F25926" s="7">
        <v>46244.44562027657</v>
      </c>
      <c r="G25926" s="3" t="s">
        <v>11740</v>
      </c>
    </row>
    <row r="25927">
      <c r="A25927" s="3" t="s">
        <v>42342</v>
      </c>
      <c r="B25927" s="3" t="s">
        <v>21090</v>
      </c>
      <c r="C25927" s="5" t="s">
        <v>206</v>
      </c>
      <c r="D25927" s="3" t="s">
        <v>68</v>
      </c>
      <c r="E25927" s="3" t="s">
        <v>100</v>
      </c>
      <c r="F25927" s="7">
        <v>46244.44909249879</v>
      </c>
      <c r="G25927" s="3" t="s">
        <v>11742</v>
      </c>
    </row>
    <row r="25928">
      <c r="A25928" s="3" t="s">
        <v>42343</v>
      </c>
      <c r="B25928" s="3" t="s">
        <v>21094</v>
      </c>
      <c r="C25928" s="5" t="s">
        <v>45</v>
      </c>
      <c r="D25928" s="3" t="s">
        <v>221</v>
      </c>
      <c r="E25928" s="3" t="s">
        <v>391</v>
      </c>
      <c r="F25928" s="7">
        <v>46244.50985067754</v>
      </c>
      <c r="G25928" s="3" t="s">
        <v>11855</v>
      </c>
    </row>
    <row r="25929">
      <c r="A25929" s="3" t="s">
        <v>42344</v>
      </c>
      <c r="B25929" s="3" t="s">
        <v>21094</v>
      </c>
      <c r="C25929" s="5" t="s">
        <v>221</v>
      </c>
      <c r="D25929" s="3" t="s">
        <v>614</v>
      </c>
      <c r="E25929" s="3" t="s">
        <v>118</v>
      </c>
      <c r="F25929" s="7">
        <v>46244.51332289976</v>
      </c>
      <c r="G25929" s="3" t="s">
        <v>11858</v>
      </c>
    </row>
    <row r="25930">
      <c r="A25930" s="3" t="s">
        <v>42345</v>
      </c>
      <c r="B25930" s="3" t="s">
        <v>21094</v>
      </c>
      <c r="C25930" s="5" t="s">
        <v>614</v>
      </c>
      <c r="D25930" s="3" t="s">
        <v>206</v>
      </c>
      <c r="E25930" s="3" t="s">
        <v>100</v>
      </c>
      <c r="F25930" s="7">
        <v>46244.516795121985</v>
      </c>
      <c r="G25930" s="3" t="s">
        <v>11861</v>
      </c>
    </row>
    <row r="25931">
      <c r="A25931" s="3" t="s">
        <v>42346</v>
      </c>
      <c r="B25931" s="3" t="s">
        <v>21094</v>
      </c>
      <c r="C25931" s="5" t="s">
        <v>206</v>
      </c>
      <c r="D25931" s="3" t="s">
        <v>68</v>
      </c>
      <c r="E25931" s="3" t="s">
        <v>100</v>
      </c>
      <c r="F25931" s="7">
        <v>46244.5202673442</v>
      </c>
      <c r="G25931" s="3" t="s">
        <v>11865</v>
      </c>
    </row>
    <row r="25932">
      <c r="A25932" s="3" t="s">
        <v>42347</v>
      </c>
      <c r="B25932" s="3" t="s">
        <v>21096</v>
      </c>
      <c r="C25932" s="5" t="s">
        <v>45</v>
      </c>
      <c r="D25932" s="3" t="s">
        <v>221</v>
      </c>
      <c r="E25932" s="3" t="s">
        <v>366</v>
      </c>
      <c r="F25932" s="7">
        <v>46244.58102552295</v>
      </c>
      <c r="G25932" s="3" t="s">
        <v>14490</v>
      </c>
    </row>
    <row r="25933">
      <c r="A25933" s="3" t="s">
        <v>42348</v>
      </c>
      <c r="B25933" s="3" t="s">
        <v>21096</v>
      </c>
      <c r="C25933" s="5" t="s">
        <v>221</v>
      </c>
      <c r="D25933" s="3" t="s">
        <v>614</v>
      </c>
      <c r="E25933" s="3" t="s">
        <v>118</v>
      </c>
      <c r="F25933" s="7">
        <v>46244.58449774517</v>
      </c>
      <c r="G25933" s="3" t="s">
        <v>14492</v>
      </c>
    </row>
    <row r="25934">
      <c r="A25934" s="3" t="s">
        <v>42349</v>
      </c>
      <c r="B25934" s="3" t="s">
        <v>21096</v>
      </c>
      <c r="C25934" s="5" t="s">
        <v>614</v>
      </c>
      <c r="D25934" s="3" t="s">
        <v>206</v>
      </c>
      <c r="E25934" s="3" t="s">
        <v>100</v>
      </c>
      <c r="F25934" s="7">
        <v>46244.5879699674</v>
      </c>
      <c r="G25934" s="3" t="s">
        <v>14495</v>
      </c>
    </row>
    <row r="25935">
      <c r="A25935" s="3" t="s">
        <v>42350</v>
      </c>
      <c r="B25935" s="3" t="s">
        <v>21096</v>
      </c>
      <c r="C25935" s="5" t="s">
        <v>206</v>
      </c>
      <c r="D25935" s="3" t="s">
        <v>68</v>
      </c>
      <c r="E25935" s="3" t="s">
        <v>100</v>
      </c>
      <c r="F25935" s="7">
        <v>46244.591442189616</v>
      </c>
      <c r="G25935" s="3" t="s">
        <v>14498</v>
      </c>
    </row>
    <row r="25936">
      <c r="A25936" s="3" t="s">
        <v>42351</v>
      </c>
      <c r="B25936" s="3" t="s">
        <v>21098</v>
      </c>
      <c r="C25936" s="5" t="s">
        <v>45</v>
      </c>
      <c r="D25936" s="3" t="s">
        <v>221</v>
      </c>
      <c r="E25936" s="3" t="s">
        <v>637</v>
      </c>
      <c r="F25936" s="7">
        <v>46244.65220036837</v>
      </c>
      <c r="G25936" s="3" t="s">
        <v>8065</v>
      </c>
    </row>
    <row r="25937">
      <c r="A25937" s="3" t="s">
        <v>42352</v>
      </c>
      <c r="B25937" s="3" t="s">
        <v>21098</v>
      </c>
      <c r="C25937" s="5" t="s">
        <v>221</v>
      </c>
      <c r="D25937" s="3" t="s">
        <v>614</v>
      </c>
      <c r="E25937" s="3" t="s">
        <v>118</v>
      </c>
      <c r="F25937" s="7">
        <v>46244.65567259059</v>
      </c>
      <c r="G25937" s="3" t="s">
        <v>22215</v>
      </c>
    </row>
    <row r="25938">
      <c r="A25938" s="3" t="s">
        <v>42353</v>
      </c>
      <c r="B25938" s="3" t="s">
        <v>21098</v>
      </c>
      <c r="C25938" s="5" t="s">
        <v>614</v>
      </c>
      <c r="D25938" s="3" t="s">
        <v>206</v>
      </c>
      <c r="E25938" s="3" t="s">
        <v>100</v>
      </c>
      <c r="F25938" s="7">
        <v>46244.65914481282</v>
      </c>
      <c r="G25938" s="3" t="s">
        <v>22218</v>
      </c>
    </row>
    <row r="25939">
      <c r="A25939" s="3" t="s">
        <v>42354</v>
      </c>
      <c r="B25939" s="3" t="s">
        <v>21098</v>
      </c>
      <c r="C25939" s="5" t="s">
        <v>206</v>
      </c>
      <c r="D25939" s="3" t="s">
        <v>68</v>
      </c>
      <c r="E25939" s="3" t="s">
        <v>100</v>
      </c>
      <c r="F25939" s="7">
        <v>46244.662617035036</v>
      </c>
      <c r="G25939" s="3" t="s">
        <v>22220</v>
      </c>
    </row>
    <row r="25940">
      <c r="A25940" s="3" t="s">
        <v>42355</v>
      </c>
      <c r="B25940" s="3" t="s">
        <v>21100</v>
      </c>
      <c r="C25940" s="5" t="s">
        <v>45</v>
      </c>
      <c r="D25940" s="3" t="s">
        <v>221</v>
      </c>
      <c r="E25940" s="3" t="s">
        <v>179</v>
      </c>
      <c r="F25940" s="7">
        <v>46244.72337521378</v>
      </c>
      <c r="G25940" s="3" t="s">
        <v>18828</v>
      </c>
    </row>
    <row r="25941">
      <c r="A25941" s="3" t="s">
        <v>42356</v>
      </c>
      <c r="B25941" s="3" t="s">
        <v>21100</v>
      </c>
      <c r="C25941" s="5" t="s">
        <v>221</v>
      </c>
      <c r="D25941" s="3" t="s">
        <v>181</v>
      </c>
      <c r="E25941" s="3" t="s">
        <v>118</v>
      </c>
      <c r="F25941" s="7">
        <v>46244.726847436</v>
      </c>
      <c r="G25941" s="3" t="s">
        <v>28473</v>
      </c>
    </row>
    <row r="25942">
      <c r="A25942" s="3" t="s">
        <v>42357</v>
      </c>
      <c r="B25942" s="3" t="s">
        <v>21102</v>
      </c>
      <c r="C25942" s="5" t="s">
        <v>45</v>
      </c>
      <c r="D25942" s="3" t="s">
        <v>221</v>
      </c>
      <c r="E25942" s="3" t="s">
        <v>137</v>
      </c>
      <c r="F25942" s="7">
        <v>46244.7945500592</v>
      </c>
      <c r="G25942" s="3" t="s">
        <v>4054</v>
      </c>
    </row>
    <row r="25943">
      <c r="A25943" s="3" t="s">
        <v>42358</v>
      </c>
      <c r="B25943" s="3" t="s">
        <v>21102</v>
      </c>
      <c r="C25943" s="5" t="s">
        <v>221</v>
      </c>
      <c r="D25943" s="3" t="s">
        <v>614</v>
      </c>
      <c r="E25943" s="3" t="s">
        <v>118</v>
      </c>
      <c r="F25943" s="7">
        <v>46244.79802228142</v>
      </c>
      <c r="G25943" s="3" t="s">
        <v>4057</v>
      </c>
    </row>
    <row r="25944">
      <c r="A25944" s="3" t="s">
        <v>42359</v>
      </c>
      <c r="B25944" s="3" t="s">
        <v>21102</v>
      </c>
      <c r="C25944" s="5" t="s">
        <v>614</v>
      </c>
      <c r="D25944" s="3" t="s">
        <v>206</v>
      </c>
      <c r="E25944" s="3" t="s">
        <v>100</v>
      </c>
      <c r="F25944" s="7">
        <v>46244.80149450365</v>
      </c>
      <c r="G25944" s="3" t="s">
        <v>4060</v>
      </c>
    </row>
    <row r="25945">
      <c r="A25945" s="3" t="s">
        <v>42360</v>
      </c>
      <c r="B25945" s="3" t="s">
        <v>21102</v>
      </c>
      <c r="C25945" s="5" t="s">
        <v>206</v>
      </c>
      <c r="D25945" s="3" t="s">
        <v>68</v>
      </c>
      <c r="E25945" s="3" t="s">
        <v>100</v>
      </c>
      <c r="F25945" s="7">
        <v>46244.80496672587</v>
      </c>
      <c r="G25945" s="3" t="s">
        <v>4063</v>
      </c>
    </row>
    <row r="25946">
      <c r="A25946" s="3" t="s">
        <v>42361</v>
      </c>
      <c r="B25946" s="3" t="s">
        <v>21104</v>
      </c>
      <c r="C25946" s="5" t="s">
        <v>45</v>
      </c>
      <c r="D25946" s="3" t="s">
        <v>221</v>
      </c>
      <c r="E25946" s="3" t="s">
        <v>765</v>
      </c>
      <c r="F25946" s="7">
        <v>46244.865724904615</v>
      </c>
      <c r="G25946" s="3" t="s">
        <v>11892</v>
      </c>
    </row>
    <row r="25947">
      <c r="A25947" s="3" t="s">
        <v>42362</v>
      </c>
      <c r="B25947" s="3" t="s">
        <v>21104</v>
      </c>
      <c r="C25947" s="5" t="s">
        <v>221</v>
      </c>
      <c r="D25947" s="3" t="s">
        <v>614</v>
      </c>
      <c r="E25947" s="3" t="s">
        <v>118</v>
      </c>
      <c r="F25947" s="7">
        <v>46244.869197126834</v>
      </c>
      <c r="G25947" s="3" t="s">
        <v>11895</v>
      </c>
    </row>
    <row r="25948">
      <c r="A25948" s="3" t="s">
        <v>42363</v>
      </c>
      <c r="B25948" s="3" t="s">
        <v>21104</v>
      </c>
      <c r="C25948" s="5" t="s">
        <v>614</v>
      </c>
      <c r="D25948" s="3" t="s">
        <v>206</v>
      </c>
      <c r="E25948" s="3" t="s">
        <v>100</v>
      </c>
      <c r="F25948" s="7">
        <v>46244.87266934906</v>
      </c>
      <c r="G25948" s="3" t="s">
        <v>11898</v>
      </c>
    </row>
    <row r="25949">
      <c r="A25949" s="3" t="s">
        <v>42364</v>
      </c>
      <c r="B25949" s="3" t="s">
        <v>21104</v>
      </c>
      <c r="C25949" s="5" t="s">
        <v>206</v>
      </c>
      <c r="D25949" s="3" t="s">
        <v>68</v>
      </c>
      <c r="E25949" s="3" t="s">
        <v>100</v>
      </c>
      <c r="F25949" s="7">
        <v>46244.87614157128</v>
      </c>
      <c r="G25949" s="3" t="s">
        <v>11901</v>
      </c>
    </row>
    <row r="25950">
      <c r="A25950" s="3" t="s">
        <v>42365</v>
      </c>
      <c r="B25950" s="3" t="s">
        <v>21107</v>
      </c>
      <c r="C25950" s="5" t="s">
        <v>45</v>
      </c>
      <c r="D25950" s="3" t="s">
        <v>221</v>
      </c>
      <c r="E25950" s="3" t="s">
        <v>969</v>
      </c>
      <c r="F25950" s="7">
        <v>46244.936899750035</v>
      </c>
      <c r="G25950" s="3" t="s">
        <v>11903</v>
      </c>
    </row>
    <row r="25951">
      <c r="A25951" s="3" t="s">
        <v>42366</v>
      </c>
      <c r="B25951" s="3" t="s">
        <v>21107</v>
      </c>
      <c r="C25951" s="5" t="s">
        <v>221</v>
      </c>
      <c r="D25951" s="3" t="s">
        <v>614</v>
      </c>
      <c r="E25951" s="3" t="s">
        <v>118</v>
      </c>
      <c r="F25951" s="7">
        <v>46244.940371972254</v>
      </c>
      <c r="G25951" s="3" t="s">
        <v>11906</v>
      </c>
    </row>
    <row r="25952">
      <c r="A25952" s="3" t="s">
        <v>42367</v>
      </c>
      <c r="B25952" s="3" t="s">
        <v>21107</v>
      </c>
      <c r="C25952" s="5" t="s">
        <v>614</v>
      </c>
      <c r="D25952" s="3" t="s">
        <v>206</v>
      </c>
      <c r="E25952" s="3" t="s">
        <v>100</v>
      </c>
      <c r="F25952" s="7">
        <v>46244.94384419448</v>
      </c>
      <c r="G25952" s="3" t="s">
        <v>11909</v>
      </c>
    </row>
    <row r="25953">
      <c r="A25953" s="3" t="s">
        <v>42368</v>
      </c>
      <c r="B25953" s="3" t="s">
        <v>21107</v>
      </c>
      <c r="C25953" s="5" t="s">
        <v>206</v>
      </c>
      <c r="D25953" s="3" t="s">
        <v>68</v>
      </c>
      <c r="E25953" s="3" t="s">
        <v>100</v>
      </c>
      <c r="F25953" s="7">
        <v>46244.9473164167</v>
      </c>
      <c r="G25953" s="3" t="s">
        <v>11912</v>
      </c>
    </row>
    <row r="25954">
      <c r="A25954" s="3" t="s">
        <v>42369</v>
      </c>
      <c r="B25954" s="3" t="s">
        <v>21109</v>
      </c>
      <c r="C25954" s="5" t="s">
        <v>45</v>
      </c>
      <c r="D25954" s="3" t="s">
        <v>221</v>
      </c>
      <c r="E25954" s="3" t="s">
        <v>778</v>
      </c>
      <c r="F25954" s="7">
        <v>46245.00807459544</v>
      </c>
      <c r="G25954" s="3" t="s">
        <v>2770</v>
      </c>
    </row>
    <row r="25955">
      <c r="A25955" s="3" t="s">
        <v>42370</v>
      </c>
      <c r="B25955" s="3" t="s">
        <v>21109</v>
      </c>
      <c r="C25955" s="5" t="s">
        <v>221</v>
      </c>
      <c r="D25955" s="3" t="s">
        <v>195</v>
      </c>
      <c r="E25955" s="3" t="s">
        <v>778</v>
      </c>
      <c r="F25955" s="7">
        <v>46245.01154681766</v>
      </c>
      <c r="G25955" s="3" t="s">
        <v>3055</v>
      </c>
    </row>
    <row r="25956">
      <c r="A25956" s="3" t="s">
        <v>42371</v>
      </c>
      <c r="B25956" s="3" t="s">
        <v>21111</v>
      </c>
      <c r="C25956" s="5" t="s">
        <v>45</v>
      </c>
      <c r="D25956" s="3" t="s">
        <v>221</v>
      </c>
      <c r="E25956" s="3" t="s">
        <v>472</v>
      </c>
      <c r="F25956" s="7">
        <v>46245.07924944086</v>
      </c>
      <c r="G25956" s="3" t="s">
        <v>24737</v>
      </c>
    </row>
    <row r="25957">
      <c r="A25957" s="3" t="s">
        <v>42372</v>
      </c>
      <c r="B25957" s="3" t="s">
        <v>21111</v>
      </c>
      <c r="C25957" s="5" t="s">
        <v>221</v>
      </c>
      <c r="D25957" s="3" t="s">
        <v>614</v>
      </c>
      <c r="E25957" s="3" t="s">
        <v>118</v>
      </c>
      <c r="F25957" s="7">
        <v>46245.08272166308</v>
      </c>
      <c r="G25957" s="3" t="s">
        <v>24739</v>
      </c>
    </row>
    <row r="25958">
      <c r="A25958" s="3" t="s">
        <v>42373</v>
      </c>
      <c r="B25958" s="3" t="s">
        <v>21111</v>
      </c>
      <c r="C25958" s="5" t="s">
        <v>614</v>
      </c>
      <c r="D25958" s="3" t="s">
        <v>206</v>
      </c>
      <c r="E25958" s="3" t="s">
        <v>100</v>
      </c>
      <c r="F25958" s="7">
        <v>46245.086193885305</v>
      </c>
      <c r="G25958" s="3" t="s">
        <v>24741</v>
      </c>
    </row>
    <row r="25959">
      <c r="A25959" s="3" t="s">
        <v>42374</v>
      </c>
      <c r="B25959" s="3" t="s">
        <v>21111</v>
      </c>
      <c r="C25959" s="5" t="s">
        <v>206</v>
      </c>
      <c r="D25959" s="3" t="s">
        <v>68</v>
      </c>
      <c r="E25959" s="3" t="s">
        <v>100</v>
      </c>
      <c r="F25959" s="7">
        <v>46245.089666107524</v>
      </c>
      <c r="G25959" s="3" t="s">
        <v>24743</v>
      </c>
    </row>
    <row r="25960">
      <c r="A25960" s="3" t="s">
        <v>42375</v>
      </c>
      <c r="B25960" s="3" t="s">
        <v>21113</v>
      </c>
      <c r="C25960" s="5" t="s">
        <v>45</v>
      </c>
      <c r="D25960" s="3" t="s">
        <v>221</v>
      </c>
      <c r="E25960" s="3" t="s">
        <v>135</v>
      </c>
      <c r="F25960" s="7">
        <v>46245.15042428628</v>
      </c>
      <c r="G25960" s="3" t="s">
        <v>37470</v>
      </c>
    </row>
    <row r="25961">
      <c r="A25961" s="3" t="s">
        <v>42376</v>
      </c>
      <c r="B25961" s="3" t="s">
        <v>21113</v>
      </c>
      <c r="C25961" s="5" t="s">
        <v>221</v>
      </c>
      <c r="D25961" s="3" t="s">
        <v>614</v>
      </c>
      <c r="E25961" s="3" t="s">
        <v>118</v>
      </c>
      <c r="F25961" s="7">
        <v>46245.1538965085</v>
      </c>
      <c r="G25961" s="3" t="s">
        <v>37472</v>
      </c>
    </row>
    <row r="25962">
      <c r="A25962" s="3" t="s">
        <v>42377</v>
      </c>
      <c r="B25962" s="3" t="s">
        <v>21113</v>
      </c>
      <c r="C25962" s="5" t="s">
        <v>614</v>
      </c>
      <c r="D25962" s="3" t="s">
        <v>206</v>
      </c>
      <c r="E25962" s="3" t="s">
        <v>100</v>
      </c>
      <c r="F25962" s="7">
        <v>46245.157368730725</v>
      </c>
      <c r="G25962" s="3" t="s">
        <v>37474</v>
      </c>
    </row>
    <row r="25963">
      <c r="A25963" s="3" t="s">
        <v>42378</v>
      </c>
      <c r="B25963" s="3" t="s">
        <v>21113</v>
      </c>
      <c r="C25963" s="5" t="s">
        <v>206</v>
      </c>
      <c r="D25963" s="3" t="s">
        <v>68</v>
      </c>
      <c r="E25963" s="3" t="s">
        <v>100</v>
      </c>
      <c r="F25963" s="7">
        <v>46245.16084095294</v>
      </c>
      <c r="G25963" s="3" t="s">
        <v>37476</v>
      </c>
    </row>
    <row r="25964">
      <c r="A25964" s="3" t="s">
        <v>42379</v>
      </c>
      <c r="B25964" s="3" t="s">
        <v>21116</v>
      </c>
      <c r="C25964" s="5" t="s">
        <v>45</v>
      </c>
      <c r="D25964" s="3" t="s">
        <v>221</v>
      </c>
      <c r="E25964" s="3" t="s">
        <v>165</v>
      </c>
      <c r="F25964" s="7">
        <v>46245.22159913169</v>
      </c>
      <c r="G25964" s="3" t="s">
        <v>11938</v>
      </c>
    </row>
    <row r="25965">
      <c r="A25965" s="3" t="s">
        <v>42380</v>
      </c>
      <c r="B25965" s="3" t="s">
        <v>21116</v>
      </c>
      <c r="C25965" s="5" t="s">
        <v>221</v>
      </c>
      <c r="D25965" s="3" t="s">
        <v>614</v>
      </c>
      <c r="E25965" s="3" t="s">
        <v>118</v>
      </c>
      <c r="F25965" s="7">
        <v>46245.22507135391</v>
      </c>
      <c r="G25965" s="3" t="s">
        <v>11941</v>
      </c>
    </row>
    <row r="25966">
      <c r="A25966" s="3" t="s">
        <v>42381</v>
      </c>
      <c r="B25966" s="3" t="s">
        <v>21116</v>
      </c>
      <c r="C25966" s="5" t="s">
        <v>614</v>
      </c>
      <c r="D25966" s="3" t="s">
        <v>206</v>
      </c>
      <c r="E25966" s="3" t="s">
        <v>100</v>
      </c>
      <c r="F25966" s="7">
        <v>46245.22854357614</v>
      </c>
      <c r="G25966" s="3" t="s">
        <v>11944</v>
      </c>
    </row>
    <row r="25967">
      <c r="A25967" s="3" t="s">
        <v>42382</v>
      </c>
      <c r="B25967" s="3" t="s">
        <v>21116</v>
      </c>
      <c r="C25967" s="5" t="s">
        <v>206</v>
      </c>
      <c r="D25967" s="3" t="s">
        <v>68</v>
      </c>
      <c r="E25967" s="3" t="s">
        <v>100</v>
      </c>
      <c r="F25967" s="7">
        <v>46245.232015798356</v>
      </c>
      <c r="G25967" s="3" t="s">
        <v>11947</v>
      </c>
    </row>
    <row r="25968">
      <c r="A25968" s="3" t="s">
        <v>42383</v>
      </c>
      <c r="B25968" s="3" t="s">
        <v>21118</v>
      </c>
      <c r="C25968" s="5" t="s">
        <v>45</v>
      </c>
      <c r="D25968" s="3" t="s">
        <v>221</v>
      </c>
      <c r="E25968" s="3" t="s">
        <v>961</v>
      </c>
      <c r="F25968" s="7">
        <v>46245.292773977104</v>
      </c>
      <c r="G25968" s="3" t="s">
        <v>11971</v>
      </c>
    </row>
    <row r="25969">
      <c r="A25969" s="3" t="s">
        <v>42384</v>
      </c>
      <c r="B25969" s="3" t="s">
        <v>21118</v>
      </c>
      <c r="C25969" s="5" t="s">
        <v>221</v>
      </c>
      <c r="D25969" s="3" t="s">
        <v>614</v>
      </c>
      <c r="E25969" s="3" t="s">
        <v>118</v>
      </c>
      <c r="F25969" s="7">
        <v>46245.29624619932</v>
      </c>
      <c r="G25969" s="3" t="s">
        <v>11974</v>
      </c>
    </row>
    <row r="25970">
      <c r="A25970" s="3" t="s">
        <v>42385</v>
      </c>
      <c r="B25970" s="3" t="s">
        <v>21118</v>
      </c>
      <c r="C25970" s="5" t="s">
        <v>614</v>
      </c>
      <c r="D25970" s="3" t="s">
        <v>206</v>
      </c>
      <c r="E25970" s="3" t="s">
        <v>100</v>
      </c>
      <c r="F25970" s="7">
        <v>46245.29971842155</v>
      </c>
      <c r="G25970" s="3" t="s">
        <v>11977</v>
      </c>
    </row>
    <row r="25971">
      <c r="A25971" s="3" t="s">
        <v>42386</v>
      </c>
      <c r="B25971" s="3" t="s">
        <v>21118</v>
      </c>
      <c r="C25971" s="5" t="s">
        <v>206</v>
      </c>
      <c r="D25971" s="3" t="s">
        <v>68</v>
      </c>
      <c r="E25971" s="3" t="s">
        <v>100</v>
      </c>
      <c r="F25971" s="7">
        <v>46245.30319064377</v>
      </c>
      <c r="G25971" s="3" t="s">
        <v>11980</v>
      </c>
    </row>
    <row r="25972">
      <c r="A25972" s="3" t="s">
        <v>42387</v>
      </c>
      <c r="B25972" s="3" t="s">
        <v>21120</v>
      </c>
      <c r="C25972" s="5" t="s">
        <v>45</v>
      </c>
      <c r="D25972" s="3" t="s">
        <v>221</v>
      </c>
      <c r="E25972" s="3" t="s">
        <v>725</v>
      </c>
      <c r="F25972" s="7">
        <v>46245.36394882252</v>
      </c>
      <c r="G25972" s="3" t="s">
        <v>11997</v>
      </c>
    </row>
    <row r="25973">
      <c r="A25973" s="3" t="s">
        <v>42388</v>
      </c>
      <c r="B25973" s="3" t="s">
        <v>21120</v>
      </c>
      <c r="C25973" s="5" t="s">
        <v>221</v>
      </c>
      <c r="D25973" s="3" t="s">
        <v>614</v>
      </c>
      <c r="E25973" s="3" t="s">
        <v>118</v>
      </c>
      <c r="F25973" s="7">
        <v>46245.36742104474</v>
      </c>
      <c r="G25973" s="3" t="s">
        <v>12000</v>
      </c>
    </row>
    <row r="25974">
      <c r="A25974" s="3" t="s">
        <v>42389</v>
      </c>
      <c r="B25974" s="3" t="s">
        <v>21120</v>
      </c>
      <c r="C25974" s="5" t="s">
        <v>614</v>
      </c>
      <c r="D25974" s="3" t="s">
        <v>206</v>
      </c>
      <c r="E25974" s="3" t="s">
        <v>100</v>
      </c>
      <c r="F25974" s="7">
        <v>46245.37089326697</v>
      </c>
      <c r="G25974" s="3" t="s">
        <v>12003</v>
      </c>
    </row>
    <row r="25975">
      <c r="A25975" s="3" t="s">
        <v>42390</v>
      </c>
      <c r="B25975" s="3" t="s">
        <v>21120</v>
      </c>
      <c r="C25975" s="5" t="s">
        <v>206</v>
      </c>
      <c r="D25975" s="3" t="s">
        <v>68</v>
      </c>
      <c r="E25975" s="3" t="s">
        <v>100</v>
      </c>
      <c r="F25975" s="7">
        <v>46245.37436548919</v>
      </c>
      <c r="G25975" s="3" t="s">
        <v>12006</v>
      </c>
    </row>
    <row r="25976">
      <c r="A25976" s="3" t="s">
        <v>42391</v>
      </c>
      <c r="B25976" s="3" t="s">
        <v>21122</v>
      </c>
      <c r="C25976" s="5" t="s">
        <v>45</v>
      </c>
      <c r="D25976" s="3" t="s">
        <v>221</v>
      </c>
      <c r="E25976" s="3" t="s">
        <v>778</v>
      </c>
      <c r="F25976" s="7">
        <v>46245.435123667936</v>
      </c>
      <c r="G25976" s="3" t="s">
        <v>12010</v>
      </c>
    </row>
    <row r="25977">
      <c r="A25977" s="3" t="s">
        <v>42392</v>
      </c>
      <c r="B25977" s="3" t="s">
        <v>21122</v>
      </c>
      <c r="C25977" s="5" t="s">
        <v>221</v>
      </c>
      <c r="D25977" s="3" t="s">
        <v>614</v>
      </c>
      <c r="E25977" s="3" t="s">
        <v>118</v>
      </c>
      <c r="F25977" s="7">
        <v>46245.438595890155</v>
      </c>
      <c r="G25977" s="3" t="s">
        <v>12013</v>
      </c>
    </row>
    <row r="25978">
      <c r="A25978" s="3" t="s">
        <v>42393</v>
      </c>
      <c r="B25978" s="3" t="s">
        <v>21122</v>
      </c>
      <c r="C25978" s="5" t="s">
        <v>614</v>
      </c>
      <c r="D25978" s="3" t="s">
        <v>206</v>
      </c>
      <c r="E25978" s="3" t="s">
        <v>100</v>
      </c>
      <c r="F25978" s="7">
        <v>46245.44206811238</v>
      </c>
      <c r="G25978" s="3" t="s">
        <v>12016</v>
      </c>
    </row>
    <row r="25979">
      <c r="A25979" s="3" t="s">
        <v>42394</v>
      </c>
      <c r="B25979" s="3" t="s">
        <v>21122</v>
      </c>
      <c r="C25979" s="5" t="s">
        <v>206</v>
      </c>
      <c r="D25979" s="3" t="s">
        <v>68</v>
      </c>
      <c r="E25979" s="3" t="s">
        <v>100</v>
      </c>
      <c r="F25979" s="7">
        <v>46245.4455403346</v>
      </c>
      <c r="G25979" s="3" t="s">
        <v>12020</v>
      </c>
    </row>
    <row r="25980">
      <c r="A25980" s="3" t="s">
        <v>42395</v>
      </c>
      <c r="B25980" s="3" t="s">
        <v>21124</v>
      </c>
      <c r="C25980" s="5" t="s">
        <v>45</v>
      </c>
      <c r="D25980" s="3" t="s">
        <v>221</v>
      </c>
      <c r="E25980" s="3" t="s">
        <v>770</v>
      </c>
      <c r="F25980" s="7">
        <v>46245.50629851335</v>
      </c>
      <c r="G25980" s="3" t="s">
        <v>12713</v>
      </c>
    </row>
    <row r="25981">
      <c r="A25981" s="3" t="s">
        <v>42396</v>
      </c>
      <c r="B25981" s="3" t="s">
        <v>21124</v>
      </c>
      <c r="C25981" s="5" t="s">
        <v>221</v>
      </c>
      <c r="D25981" s="3" t="s">
        <v>614</v>
      </c>
      <c r="E25981" s="3" t="s">
        <v>118</v>
      </c>
      <c r="F25981" s="7">
        <v>46245.50977073557</v>
      </c>
      <c r="G25981" s="3" t="s">
        <v>12716</v>
      </c>
    </row>
    <row r="25982">
      <c r="A25982" s="3" t="s">
        <v>42397</v>
      </c>
      <c r="B25982" s="3" t="s">
        <v>21124</v>
      </c>
      <c r="C25982" s="5" t="s">
        <v>614</v>
      </c>
      <c r="D25982" s="3" t="s">
        <v>206</v>
      </c>
      <c r="E25982" s="3" t="s">
        <v>100</v>
      </c>
      <c r="F25982" s="7">
        <v>46245.51324295779</v>
      </c>
      <c r="G25982" s="3" t="s">
        <v>12718</v>
      </c>
    </row>
    <row r="25983">
      <c r="A25983" s="3" t="s">
        <v>42398</v>
      </c>
      <c r="B25983" s="3" t="s">
        <v>21124</v>
      </c>
      <c r="C25983" s="5" t="s">
        <v>206</v>
      </c>
      <c r="D25983" s="3" t="s">
        <v>68</v>
      </c>
      <c r="E25983" s="3" t="s">
        <v>100</v>
      </c>
      <c r="F25983" s="7">
        <v>46245.51671518001</v>
      </c>
      <c r="G25983" s="3" t="s">
        <v>12721</v>
      </c>
    </row>
    <row r="25984">
      <c r="A25984" s="3" t="s">
        <v>42399</v>
      </c>
      <c r="B25984" s="3" t="s">
        <v>21127</v>
      </c>
      <c r="C25984" s="5" t="s">
        <v>45</v>
      </c>
      <c r="D25984" s="3" t="s">
        <v>221</v>
      </c>
      <c r="E25984" s="3" t="s">
        <v>341</v>
      </c>
      <c r="F25984" s="7">
        <v>46245.57747335877</v>
      </c>
      <c r="G25984" s="3" t="s">
        <v>12023</v>
      </c>
    </row>
    <row r="25985">
      <c r="A25985" s="3" t="s">
        <v>42400</v>
      </c>
      <c r="B25985" s="3" t="s">
        <v>21127</v>
      </c>
      <c r="C25985" s="5" t="s">
        <v>221</v>
      </c>
      <c r="D25985" s="3" t="s">
        <v>614</v>
      </c>
      <c r="E25985" s="3" t="s">
        <v>118</v>
      </c>
      <c r="F25985" s="7">
        <v>46245.58094558099</v>
      </c>
      <c r="G25985" s="3" t="s">
        <v>12027</v>
      </c>
    </row>
    <row r="25986">
      <c r="A25986" s="3" t="s">
        <v>42401</v>
      </c>
      <c r="B25986" s="3" t="s">
        <v>21127</v>
      </c>
      <c r="C25986" s="5" t="s">
        <v>614</v>
      </c>
      <c r="D25986" s="3" t="s">
        <v>206</v>
      </c>
      <c r="E25986" s="3" t="s">
        <v>100</v>
      </c>
      <c r="F25986" s="7">
        <v>46245.58441780321</v>
      </c>
      <c r="G25986" s="3" t="s">
        <v>12030</v>
      </c>
    </row>
    <row r="25987">
      <c r="A25987" s="3" t="s">
        <v>42402</v>
      </c>
      <c r="B25987" s="3" t="s">
        <v>21127</v>
      </c>
      <c r="C25987" s="5" t="s">
        <v>206</v>
      </c>
      <c r="D25987" s="3" t="s">
        <v>68</v>
      </c>
      <c r="E25987" s="3" t="s">
        <v>100</v>
      </c>
      <c r="F25987" s="7">
        <v>46245.58789002543</v>
      </c>
      <c r="G25987" s="3" t="s">
        <v>12032</v>
      </c>
    </row>
    <row r="25988">
      <c r="A25988" s="3" t="s">
        <v>42403</v>
      </c>
      <c r="B25988" s="3" t="s">
        <v>21129</v>
      </c>
      <c r="C25988" s="5" t="s">
        <v>45</v>
      </c>
      <c r="D25988" s="3" t="s">
        <v>221</v>
      </c>
      <c r="E25988" s="3" t="s">
        <v>137</v>
      </c>
      <c r="F25988" s="7">
        <v>46245.64864820419</v>
      </c>
      <c r="G25988" s="3" t="s">
        <v>4054</v>
      </c>
    </row>
    <row r="25989">
      <c r="A25989" s="3" t="s">
        <v>42404</v>
      </c>
      <c r="B25989" s="3" t="s">
        <v>21129</v>
      </c>
      <c r="C25989" s="5" t="s">
        <v>221</v>
      </c>
      <c r="D25989" s="3" t="s">
        <v>614</v>
      </c>
      <c r="E25989" s="3" t="s">
        <v>118</v>
      </c>
      <c r="F25989" s="7">
        <v>46245.652120426406</v>
      </c>
      <c r="G25989" s="3" t="s">
        <v>4057</v>
      </c>
    </row>
    <row r="25990">
      <c r="A25990" s="3" t="s">
        <v>42405</v>
      </c>
      <c r="B25990" s="3" t="s">
        <v>21129</v>
      </c>
      <c r="C25990" s="5" t="s">
        <v>614</v>
      </c>
      <c r="D25990" s="3" t="s">
        <v>206</v>
      </c>
      <c r="E25990" s="3" t="s">
        <v>100</v>
      </c>
      <c r="F25990" s="7">
        <v>46245.65559264863</v>
      </c>
      <c r="G25990" s="3" t="s">
        <v>4060</v>
      </c>
    </row>
    <row r="25991">
      <c r="A25991" s="3" t="s">
        <v>42406</v>
      </c>
      <c r="B25991" s="3" t="s">
        <v>21129</v>
      </c>
      <c r="C25991" s="5" t="s">
        <v>206</v>
      </c>
      <c r="D25991" s="3" t="s">
        <v>68</v>
      </c>
      <c r="E25991" s="3" t="s">
        <v>100</v>
      </c>
      <c r="F25991" s="7">
        <v>46245.65906487085</v>
      </c>
      <c r="G25991" s="3" t="s">
        <v>4063</v>
      </c>
    </row>
    <row r="25992">
      <c r="A25992" s="3" t="s">
        <v>42407</v>
      </c>
      <c r="B25992" s="3" t="s">
        <v>21131</v>
      </c>
      <c r="C25992" s="5" t="s">
        <v>45</v>
      </c>
      <c r="D25992" s="3" t="s">
        <v>221</v>
      </c>
      <c r="E25992" s="3" t="s">
        <v>841</v>
      </c>
      <c r="F25992" s="7">
        <v>46245.71982304959</v>
      </c>
      <c r="G25992" s="3" t="s">
        <v>10844</v>
      </c>
    </row>
    <row r="25993">
      <c r="A25993" s="3" t="s">
        <v>42408</v>
      </c>
      <c r="B25993" s="3" t="s">
        <v>21131</v>
      </c>
      <c r="C25993" s="5" t="s">
        <v>221</v>
      </c>
      <c r="D25993" s="3" t="s">
        <v>614</v>
      </c>
      <c r="E25993" s="3" t="s">
        <v>118</v>
      </c>
      <c r="F25993" s="7">
        <v>46245.72329527181</v>
      </c>
      <c r="G25993" s="3" t="s">
        <v>10847</v>
      </c>
    </row>
    <row r="25994">
      <c r="A25994" s="3" t="s">
        <v>42409</v>
      </c>
      <c r="B25994" s="3" t="s">
        <v>21131</v>
      </c>
      <c r="C25994" s="5" t="s">
        <v>614</v>
      </c>
      <c r="D25994" s="3" t="s">
        <v>206</v>
      </c>
      <c r="E25994" s="3" t="s">
        <v>100</v>
      </c>
      <c r="F25994" s="7">
        <v>46245.72676749404</v>
      </c>
      <c r="G25994" s="3" t="s">
        <v>10850</v>
      </c>
    </row>
    <row r="25995">
      <c r="A25995" s="3" t="s">
        <v>42410</v>
      </c>
      <c r="B25995" s="3" t="s">
        <v>21131</v>
      </c>
      <c r="C25995" s="5" t="s">
        <v>206</v>
      </c>
      <c r="D25995" s="3" t="s">
        <v>68</v>
      </c>
      <c r="E25995" s="3" t="s">
        <v>100</v>
      </c>
      <c r="F25995" s="7">
        <v>46245.73023971626</v>
      </c>
      <c r="G25995" s="3" t="s">
        <v>10853</v>
      </c>
    </row>
    <row r="25996">
      <c r="A25996" s="3" t="s">
        <v>42411</v>
      </c>
      <c r="B25996" s="3" t="s">
        <v>21133</v>
      </c>
      <c r="C25996" s="5" t="s">
        <v>45</v>
      </c>
      <c r="D25996" s="3" t="s">
        <v>221</v>
      </c>
      <c r="E25996" s="3" t="s">
        <v>760</v>
      </c>
      <c r="F25996" s="7">
        <v>46245.79099789501</v>
      </c>
      <c r="G25996" s="3" t="s">
        <v>16918</v>
      </c>
    </row>
    <row r="25997">
      <c r="A25997" s="3" t="s">
        <v>42412</v>
      </c>
      <c r="B25997" s="3" t="s">
        <v>21133</v>
      </c>
      <c r="C25997" s="5" t="s">
        <v>221</v>
      </c>
      <c r="D25997" s="3" t="s">
        <v>614</v>
      </c>
      <c r="E25997" s="3" t="s">
        <v>118</v>
      </c>
      <c r="F25997" s="7">
        <v>46245.79447011723</v>
      </c>
      <c r="G25997" s="3" t="s">
        <v>16920</v>
      </c>
    </row>
    <row r="25998">
      <c r="A25998" s="3" t="s">
        <v>42413</v>
      </c>
      <c r="B25998" s="3" t="s">
        <v>21133</v>
      </c>
      <c r="C25998" s="5" t="s">
        <v>614</v>
      </c>
      <c r="D25998" s="3" t="s">
        <v>206</v>
      </c>
      <c r="E25998" s="3" t="s">
        <v>100</v>
      </c>
      <c r="F25998" s="7">
        <v>46245.79794233946</v>
      </c>
      <c r="G25998" s="3" t="s">
        <v>16923</v>
      </c>
    </row>
    <row r="25999">
      <c r="A25999" s="3" t="s">
        <v>42414</v>
      </c>
      <c r="B25999" s="3" t="s">
        <v>21133</v>
      </c>
      <c r="C25999" s="5" t="s">
        <v>206</v>
      </c>
      <c r="D25999" s="3" t="s">
        <v>68</v>
      </c>
      <c r="E25999" s="3" t="s">
        <v>100</v>
      </c>
      <c r="F25999" s="7">
        <v>46245.801414561676</v>
      </c>
      <c r="G25999" s="3" t="s">
        <v>16926</v>
      </c>
    </row>
    <row r="26000">
      <c r="A26000" s="3" t="s">
        <v>42415</v>
      </c>
      <c r="B26000" s="3" t="s">
        <v>21135</v>
      </c>
      <c r="C26000" s="5" t="s">
        <v>45</v>
      </c>
      <c r="D26000" s="3" t="s">
        <v>221</v>
      </c>
      <c r="E26000" s="3" t="s">
        <v>637</v>
      </c>
      <c r="F26000" s="7">
        <v>46245.862172740424</v>
      </c>
      <c r="G26000" s="3" t="s">
        <v>8065</v>
      </c>
    </row>
    <row r="26001">
      <c r="A26001" s="3" t="s">
        <v>42416</v>
      </c>
      <c r="B26001" s="3" t="s">
        <v>21135</v>
      </c>
      <c r="C26001" s="5" t="s">
        <v>221</v>
      </c>
      <c r="D26001" s="3" t="s">
        <v>614</v>
      </c>
      <c r="E26001" s="3" t="s">
        <v>118</v>
      </c>
      <c r="F26001" s="7">
        <v>46245.86564496264</v>
      </c>
      <c r="G26001" s="3" t="s">
        <v>22215</v>
      </c>
    </row>
    <row r="26002">
      <c r="A26002" s="3" t="s">
        <v>42417</v>
      </c>
      <c r="B26002" s="3" t="s">
        <v>21135</v>
      </c>
      <c r="C26002" s="5" t="s">
        <v>614</v>
      </c>
      <c r="D26002" s="3" t="s">
        <v>206</v>
      </c>
      <c r="E26002" s="3" t="s">
        <v>100</v>
      </c>
      <c r="F26002" s="7">
        <v>46245.86911718487</v>
      </c>
      <c r="G26002" s="3" t="s">
        <v>22218</v>
      </c>
    </row>
    <row r="26003">
      <c r="A26003" s="3" t="s">
        <v>42418</v>
      </c>
      <c r="B26003" s="3" t="s">
        <v>21135</v>
      </c>
      <c r="C26003" s="5" t="s">
        <v>206</v>
      </c>
      <c r="D26003" s="3" t="s">
        <v>68</v>
      </c>
      <c r="E26003" s="3" t="s">
        <v>100</v>
      </c>
      <c r="F26003" s="7">
        <v>46245.87258940709</v>
      </c>
      <c r="G26003" s="3" t="s">
        <v>22220</v>
      </c>
    </row>
    <row r="26004">
      <c r="A26004" s="3" t="s">
        <v>42419</v>
      </c>
      <c r="B26004" s="3" t="s">
        <v>21137</v>
      </c>
      <c r="C26004" s="5" t="s">
        <v>45</v>
      </c>
      <c r="D26004" s="3" t="s">
        <v>221</v>
      </c>
      <c r="E26004" s="3" t="s">
        <v>691</v>
      </c>
      <c r="F26004" s="7">
        <v>46245.933347585844</v>
      </c>
      <c r="G26004" s="3" t="s">
        <v>9343</v>
      </c>
    </row>
    <row r="26005">
      <c r="A26005" s="3" t="s">
        <v>42420</v>
      </c>
      <c r="B26005" s="3" t="s">
        <v>21137</v>
      </c>
      <c r="C26005" s="5" t="s">
        <v>221</v>
      </c>
      <c r="D26005" s="3" t="s">
        <v>614</v>
      </c>
      <c r="E26005" s="3" t="s">
        <v>118</v>
      </c>
      <c r="F26005" s="7">
        <v>46245.93681980806</v>
      </c>
      <c r="G26005" s="3" t="s">
        <v>9346</v>
      </c>
    </row>
    <row r="26006">
      <c r="A26006" s="3" t="s">
        <v>42421</v>
      </c>
      <c r="B26006" s="3" t="s">
        <v>21137</v>
      </c>
      <c r="C26006" s="5" t="s">
        <v>614</v>
      </c>
      <c r="D26006" s="3" t="s">
        <v>206</v>
      </c>
      <c r="E26006" s="3" t="s">
        <v>100</v>
      </c>
      <c r="F26006" s="7">
        <v>46245.94029203029</v>
      </c>
      <c r="G26006" s="3" t="s">
        <v>9349</v>
      </c>
    </row>
    <row r="26007">
      <c r="A26007" s="3" t="s">
        <v>42422</v>
      </c>
      <c r="B26007" s="3" t="s">
        <v>21137</v>
      </c>
      <c r="C26007" s="5" t="s">
        <v>206</v>
      </c>
      <c r="D26007" s="3" t="s">
        <v>68</v>
      </c>
      <c r="E26007" s="3" t="s">
        <v>100</v>
      </c>
      <c r="F26007" s="7">
        <v>46245.94376425251</v>
      </c>
      <c r="G26007" s="3" t="s">
        <v>9352</v>
      </c>
    </row>
    <row r="26008">
      <c r="A26008" s="3" t="s">
        <v>42423</v>
      </c>
      <c r="B26008" s="3" t="s">
        <v>21139</v>
      </c>
      <c r="C26008" s="5" t="s">
        <v>45</v>
      </c>
      <c r="D26008" s="3" t="s">
        <v>221</v>
      </c>
      <c r="E26008" s="3" t="s">
        <v>947</v>
      </c>
      <c r="F26008" s="7">
        <v>46246.004522431256</v>
      </c>
      <c r="G26008" s="3" t="s">
        <v>4996</v>
      </c>
    </row>
    <row r="26009">
      <c r="A26009" s="3" t="s">
        <v>42424</v>
      </c>
      <c r="B26009" s="3" t="s">
        <v>21139</v>
      </c>
      <c r="C26009" s="5" t="s">
        <v>221</v>
      </c>
      <c r="D26009" s="3" t="s">
        <v>614</v>
      </c>
      <c r="E26009" s="3" t="s">
        <v>118</v>
      </c>
      <c r="F26009" s="7">
        <v>46246.007994653475</v>
      </c>
      <c r="G26009" s="3" t="s">
        <v>4999</v>
      </c>
    </row>
    <row r="26010">
      <c r="A26010" s="3" t="s">
        <v>42425</v>
      </c>
      <c r="B26010" s="3" t="s">
        <v>21139</v>
      </c>
      <c r="C26010" s="5" t="s">
        <v>614</v>
      </c>
      <c r="D26010" s="3" t="s">
        <v>206</v>
      </c>
      <c r="E26010" s="3" t="s">
        <v>100</v>
      </c>
      <c r="F26010" s="7">
        <v>46246.0114668757</v>
      </c>
      <c r="G26010" s="3" t="s">
        <v>5002</v>
      </c>
    </row>
    <row r="26011">
      <c r="A26011" s="3" t="s">
        <v>42426</v>
      </c>
      <c r="B26011" s="3" t="s">
        <v>21139</v>
      </c>
      <c r="C26011" s="5" t="s">
        <v>206</v>
      </c>
      <c r="D26011" s="3" t="s">
        <v>68</v>
      </c>
      <c r="E26011" s="3" t="s">
        <v>100</v>
      </c>
      <c r="F26011" s="7">
        <v>46246.01493909792</v>
      </c>
      <c r="G26011" s="3" t="s">
        <v>5004</v>
      </c>
    </row>
    <row r="26012">
      <c r="A26012" s="3" t="s">
        <v>42427</v>
      </c>
      <c r="B26012" s="3" t="s">
        <v>21142</v>
      </c>
      <c r="C26012" s="5" t="s">
        <v>45</v>
      </c>
      <c r="D26012" s="3" t="s">
        <v>221</v>
      </c>
      <c r="E26012" s="3" t="s">
        <v>694</v>
      </c>
      <c r="F26012" s="7">
        <v>46246.075697276676</v>
      </c>
      <c r="G26012" s="3" t="s">
        <v>12065</v>
      </c>
    </row>
    <row r="26013">
      <c r="A26013" s="3" t="s">
        <v>42428</v>
      </c>
      <c r="B26013" s="3" t="s">
        <v>21142</v>
      </c>
      <c r="C26013" s="5" t="s">
        <v>221</v>
      </c>
      <c r="D26013" s="3" t="s">
        <v>614</v>
      </c>
      <c r="E26013" s="3" t="s">
        <v>118</v>
      </c>
      <c r="F26013" s="7">
        <v>46246.079169498895</v>
      </c>
      <c r="G26013" s="3" t="s">
        <v>12068</v>
      </c>
    </row>
    <row r="26014">
      <c r="A26014" s="3" t="s">
        <v>42429</v>
      </c>
      <c r="B26014" s="3" t="s">
        <v>21142</v>
      </c>
      <c r="C26014" s="5" t="s">
        <v>614</v>
      </c>
      <c r="D26014" s="3" t="s">
        <v>206</v>
      </c>
      <c r="E26014" s="3" t="s">
        <v>100</v>
      </c>
      <c r="F26014" s="7">
        <v>46246.08264172112</v>
      </c>
      <c r="G26014" s="3" t="s">
        <v>12071</v>
      </c>
    </row>
    <row r="26015">
      <c r="A26015" s="3" t="s">
        <v>42430</v>
      </c>
      <c r="B26015" s="3" t="s">
        <v>21142</v>
      </c>
      <c r="C26015" s="5" t="s">
        <v>206</v>
      </c>
      <c r="D26015" s="3" t="s">
        <v>68</v>
      </c>
      <c r="E26015" s="3" t="s">
        <v>100</v>
      </c>
      <c r="F26015" s="7">
        <v>46246.08611394334</v>
      </c>
      <c r="G26015" s="3" t="s">
        <v>12074</v>
      </c>
    </row>
    <row r="26016">
      <c r="A26016" s="3" t="s">
        <v>42431</v>
      </c>
      <c r="B26016" s="3" t="s">
        <v>21145</v>
      </c>
      <c r="C26016" s="5" t="s">
        <v>45</v>
      </c>
      <c r="D26016" s="3" t="s">
        <v>221</v>
      </c>
      <c r="E26016" s="3" t="s">
        <v>848</v>
      </c>
      <c r="F26016" s="7">
        <v>46246.14687212208</v>
      </c>
      <c r="G26016" s="3" t="s">
        <v>12117</v>
      </c>
    </row>
    <row r="26017">
      <c r="A26017" s="3" t="s">
        <v>42432</v>
      </c>
      <c r="B26017" s="3" t="s">
        <v>21145</v>
      </c>
      <c r="C26017" s="5" t="s">
        <v>221</v>
      </c>
      <c r="D26017" s="3" t="s">
        <v>614</v>
      </c>
      <c r="E26017" s="3" t="s">
        <v>118</v>
      </c>
      <c r="F26017" s="7">
        <v>46246.1503443443</v>
      </c>
      <c r="G26017" s="3" t="s">
        <v>12121</v>
      </c>
    </row>
    <row r="26018">
      <c r="A26018" s="3" t="s">
        <v>42433</v>
      </c>
      <c r="B26018" s="3" t="s">
        <v>21145</v>
      </c>
      <c r="C26018" s="5" t="s">
        <v>614</v>
      </c>
      <c r="D26018" s="3" t="s">
        <v>206</v>
      </c>
      <c r="E26018" s="3" t="s">
        <v>100</v>
      </c>
      <c r="F26018" s="7">
        <v>46246.153816566526</v>
      </c>
      <c r="G26018" s="3" t="s">
        <v>12124</v>
      </c>
    </row>
    <row r="26019">
      <c r="A26019" s="3" t="s">
        <v>42434</v>
      </c>
      <c r="B26019" s="3" t="s">
        <v>21145</v>
      </c>
      <c r="C26019" s="5" t="s">
        <v>206</v>
      </c>
      <c r="D26019" s="3" t="s">
        <v>68</v>
      </c>
      <c r="E26019" s="3" t="s">
        <v>100</v>
      </c>
      <c r="F26019" s="7">
        <v>46246.157288788745</v>
      </c>
      <c r="G26019" s="3" t="s">
        <v>12128</v>
      </c>
    </row>
    <row r="26020">
      <c r="A26020" s="3" t="s">
        <v>42435</v>
      </c>
      <c r="B26020" s="3" t="s">
        <v>21148</v>
      </c>
      <c r="C26020" s="5" t="s">
        <v>45</v>
      </c>
      <c r="D26020" s="3" t="s">
        <v>221</v>
      </c>
      <c r="E26020" s="3" t="s">
        <v>243</v>
      </c>
      <c r="F26020" s="7">
        <v>46246.2180469675</v>
      </c>
      <c r="G26020" s="3" t="s">
        <v>12179</v>
      </c>
    </row>
    <row r="26021">
      <c r="A26021" s="3" t="s">
        <v>42436</v>
      </c>
      <c r="B26021" s="3" t="s">
        <v>21148</v>
      </c>
      <c r="C26021" s="5" t="s">
        <v>221</v>
      </c>
      <c r="D26021" s="3" t="s">
        <v>614</v>
      </c>
      <c r="E26021" s="3" t="s">
        <v>118</v>
      </c>
      <c r="F26021" s="7">
        <v>46246.22151918972</v>
      </c>
      <c r="G26021" s="3" t="s">
        <v>12182</v>
      </c>
    </row>
    <row r="26022">
      <c r="A26022" s="3" t="s">
        <v>42437</v>
      </c>
      <c r="B26022" s="3" t="s">
        <v>21148</v>
      </c>
      <c r="C26022" s="5" t="s">
        <v>614</v>
      </c>
      <c r="D26022" s="3" t="s">
        <v>206</v>
      </c>
      <c r="E26022" s="3" t="s">
        <v>100</v>
      </c>
      <c r="F26022" s="7">
        <v>46246.224991411946</v>
      </c>
      <c r="G26022" s="3" t="s">
        <v>12185</v>
      </c>
    </row>
    <row r="26023">
      <c r="A26023" s="3" t="s">
        <v>42438</v>
      </c>
      <c r="B26023" s="3" t="s">
        <v>21148</v>
      </c>
      <c r="C26023" s="5" t="s">
        <v>206</v>
      </c>
      <c r="D26023" s="3" t="s">
        <v>68</v>
      </c>
      <c r="E26023" s="3" t="s">
        <v>100</v>
      </c>
      <c r="F26023" s="7">
        <v>46246.228463634165</v>
      </c>
      <c r="G26023" s="3" t="s">
        <v>12188</v>
      </c>
    </row>
    <row r="26024">
      <c r="A26024" s="3" t="s">
        <v>42439</v>
      </c>
      <c r="B26024" s="3" t="s">
        <v>21153</v>
      </c>
      <c r="C26024" s="5" t="s">
        <v>45</v>
      </c>
      <c r="D26024" s="3" t="s">
        <v>221</v>
      </c>
      <c r="E26024" s="3" t="s">
        <v>215</v>
      </c>
      <c r="F26024" s="7">
        <v>46246.28922181292</v>
      </c>
      <c r="G26024" s="3" t="s">
        <v>12768</v>
      </c>
    </row>
    <row r="26025">
      <c r="A26025" s="3" t="s">
        <v>42440</v>
      </c>
      <c r="B26025" s="3" t="s">
        <v>21153</v>
      </c>
      <c r="C26025" s="5" t="s">
        <v>221</v>
      </c>
      <c r="D26025" s="3" t="s">
        <v>614</v>
      </c>
      <c r="E26025" s="3" t="s">
        <v>118</v>
      </c>
      <c r="F26025" s="7">
        <v>46246.29269403514</v>
      </c>
      <c r="G26025" s="3" t="s">
        <v>12771</v>
      </c>
    </row>
    <row r="26026">
      <c r="A26026" s="3" t="s">
        <v>42441</v>
      </c>
      <c r="B26026" s="3" t="s">
        <v>21153</v>
      </c>
      <c r="C26026" s="5" t="s">
        <v>614</v>
      </c>
      <c r="D26026" s="3" t="s">
        <v>206</v>
      </c>
      <c r="E26026" s="3" t="s">
        <v>100</v>
      </c>
      <c r="F26026" s="7">
        <v>46246.296166257365</v>
      </c>
      <c r="G26026" s="3" t="s">
        <v>12774</v>
      </c>
    </row>
    <row r="26027">
      <c r="A26027" s="3" t="s">
        <v>42442</v>
      </c>
      <c r="B26027" s="3" t="s">
        <v>21153</v>
      </c>
      <c r="C26027" s="5" t="s">
        <v>206</v>
      </c>
      <c r="D26027" s="3" t="s">
        <v>68</v>
      </c>
      <c r="E26027" s="3" t="s">
        <v>100</v>
      </c>
      <c r="F26027" s="7">
        <v>46246.299638479584</v>
      </c>
      <c r="G26027" s="3" t="s">
        <v>12778</v>
      </c>
    </row>
    <row r="26028">
      <c r="A26028" s="3" t="s">
        <v>42443</v>
      </c>
      <c r="B26028" s="3" t="s">
        <v>21156</v>
      </c>
      <c r="C26028" s="5" t="s">
        <v>45</v>
      </c>
      <c r="D26028" s="3" t="s">
        <v>221</v>
      </c>
      <c r="E26028" s="3" t="s">
        <v>510</v>
      </c>
      <c r="F26028" s="7">
        <v>46246.36039665833</v>
      </c>
      <c r="G26028" s="3" t="s">
        <v>25413</v>
      </c>
    </row>
    <row r="26029">
      <c r="A26029" s="3" t="s">
        <v>42444</v>
      </c>
      <c r="B26029" s="3" t="s">
        <v>21156</v>
      </c>
      <c r="C26029" s="5" t="s">
        <v>221</v>
      </c>
      <c r="D26029" s="3" t="s">
        <v>614</v>
      </c>
      <c r="E26029" s="3" t="s">
        <v>118</v>
      </c>
      <c r="F26029" s="7">
        <v>46246.36386888055</v>
      </c>
      <c r="G26029" s="3" t="s">
        <v>25415</v>
      </c>
    </row>
    <row r="26030">
      <c r="A26030" s="3" t="s">
        <v>42445</v>
      </c>
      <c r="B26030" s="3" t="s">
        <v>21156</v>
      </c>
      <c r="C26030" s="5" t="s">
        <v>614</v>
      </c>
      <c r="D26030" s="3" t="s">
        <v>206</v>
      </c>
      <c r="E26030" s="3" t="s">
        <v>100</v>
      </c>
      <c r="F26030" s="7">
        <v>46246.36734110278</v>
      </c>
      <c r="G26030" s="3" t="s">
        <v>25417</v>
      </c>
    </row>
    <row r="26031">
      <c r="A26031" s="3" t="s">
        <v>42446</v>
      </c>
      <c r="B26031" s="3" t="s">
        <v>21156</v>
      </c>
      <c r="C26031" s="5" t="s">
        <v>206</v>
      </c>
      <c r="D26031" s="3" t="s">
        <v>68</v>
      </c>
      <c r="E26031" s="3" t="s">
        <v>100</v>
      </c>
      <c r="F26031" s="7">
        <v>46246.370813325</v>
      </c>
      <c r="G26031" s="3" t="s">
        <v>25419</v>
      </c>
    </row>
    <row r="26032">
      <c r="A26032" s="3" t="s">
        <v>42447</v>
      </c>
      <c r="B26032" s="3" t="s">
        <v>21159</v>
      </c>
      <c r="C26032" s="5" t="s">
        <v>45</v>
      </c>
      <c r="D26032" s="3" t="s">
        <v>221</v>
      </c>
      <c r="E26032" s="3" t="s">
        <v>512</v>
      </c>
      <c r="F26032" s="7">
        <v>46246.431571503745</v>
      </c>
      <c r="G26032" s="3" t="s">
        <v>11339</v>
      </c>
    </row>
    <row r="26033">
      <c r="A26033" s="3" t="s">
        <v>42448</v>
      </c>
      <c r="B26033" s="3" t="s">
        <v>21159</v>
      </c>
      <c r="C26033" s="5" t="s">
        <v>221</v>
      </c>
      <c r="D26033" s="3" t="s">
        <v>614</v>
      </c>
      <c r="E26033" s="3" t="s">
        <v>118</v>
      </c>
      <c r="F26033" s="7">
        <v>46246.43504372596</v>
      </c>
      <c r="G26033" s="3" t="s">
        <v>11342</v>
      </c>
    </row>
    <row r="26034">
      <c r="A26034" s="3" t="s">
        <v>42449</v>
      </c>
      <c r="B26034" s="3" t="s">
        <v>21159</v>
      </c>
      <c r="C26034" s="5" t="s">
        <v>614</v>
      </c>
      <c r="D26034" s="3" t="s">
        <v>206</v>
      </c>
      <c r="E26034" s="3" t="s">
        <v>100</v>
      </c>
      <c r="F26034" s="7">
        <v>46246.43851594819</v>
      </c>
      <c r="G26034" s="3" t="s">
        <v>11345</v>
      </c>
    </row>
    <row r="26035">
      <c r="A26035" s="3" t="s">
        <v>42450</v>
      </c>
      <c r="B26035" s="3" t="s">
        <v>21159</v>
      </c>
      <c r="C26035" s="5" t="s">
        <v>206</v>
      </c>
      <c r="D26035" s="3" t="s">
        <v>68</v>
      </c>
      <c r="E26035" s="3" t="s">
        <v>100</v>
      </c>
      <c r="F26035" s="7">
        <v>46246.44198817041</v>
      </c>
      <c r="G26035" s="3" t="s">
        <v>11348</v>
      </c>
    </row>
    <row r="26036">
      <c r="A26036" s="3" t="s">
        <v>42451</v>
      </c>
      <c r="B26036" s="3" t="s">
        <v>21162</v>
      </c>
      <c r="C26036" s="5" t="s">
        <v>45</v>
      </c>
      <c r="D26036" s="3" t="s">
        <v>221</v>
      </c>
      <c r="E26036" s="3" t="s">
        <v>481</v>
      </c>
      <c r="F26036" s="7">
        <v>46246.502746349164</v>
      </c>
      <c r="G26036" s="3" t="s">
        <v>12203</v>
      </c>
    </row>
    <row r="26037">
      <c r="A26037" s="3" t="s">
        <v>42452</v>
      </c>
      <c r="B26037" s="3" t="s">
        <v>21162</v>
      </c>
      <c r="C26037" s="5" t="s">
        <v>221</v>
      </c>
      <c r="D26037" s="3" t="s">
        <v>614</v>
      </c>
      <c r="E26037" s="3" t="s">
        <v>118</v>
      </c>
      <c r="F26037" s="7">
        <v>46246.50621857138</v>
      </c>
      <c r="G26037" s="3" t="s">
        <v>12206</v>
      </c>
    </row>
    <row r="26038">
      <c r="A26038" s="3" t="s">
        <v>42453</v>
      </c>
      <c r="B26038" s="3" t="s">
        <v>21162</v>
      </c>
      <c r="C26038" s="5" t="s">
        <v>614</v>
      </c>
      <c r="D26038" s="3" t="s">
        <v>206</v>
      </c>
      <c r="E26038" s="3" t="s">
        <v>100</v>
      </c>
      <c r="F26038" s="7">
        <v>46246.50969079361</v>
      </c>
      <c r="G26038" s="3" t="s">
        <v>12209</v>
      </c>
    </row>
    <row r="26039">
      <c r="A26039" s="3" t="s">
        <v>42454</v>
      </c>
      <c r="B26039" s="3" t="s">
        <v>21162</v>
      </c>
      <c r="C26039" s="5" t="s">
        <v>206</v>
      </c>
      <c r="D26039" s="3" t="s">
        <v>68</v>
      </c>
      <c r="E26039" s="3" t="s">
        <v>100</v>
      </c>
      <c r="F26039" s="7">
        <v>46246.51316301583</v>
      </c>
      <c r="G26039" s="3" t="s">
        <v>12211</v>
      </c>
    </row>
    <row r="26040">
      <c r="A26040" s="3" t="s">
        <v>42455</v>
      </c>
      <c r="B26040" s="3" t="s">
        <v>21165</v>
      </c>
      <c r="C26040" s="5" t="s">
        <v>45</v>
      </c>
      <c r="D26040" s="3" t="s">
        <v>221</v>
      </c>
      <c r="E26040" s="3" t="s">
        <v>391</v>
      </c>
      <c r="F26040" s="7">
        <v>46246.57392119458</v>
      </c>
      <c r="G26040" s="3" t="s">
        <v>13608</v>
      </c>
    </row>
    <row r="26041">
      <c r="A26041" s="3" t="s">
        <v>42456</v>
      </c>
      <c r="B26041" s="3" t="s">
        <v>21165</v>
      </c>
      <c r="C26041" s="5" t="s">
        <v>221</v>
      </c>
      <c r="D26041" s="3" t="s">
        <v>614</v>
      </c>
      <c r="E26041" s="3" t="s">
        <v>118</v>
      </c>
      <c r="F26041" s="7">
        <v>46246.577393416796</v>
      </c>
      <c r="G26041" s="3" t="s">
        <v>13611</v>
      </c>
    </row>
    <row r="26042">
      <c r="A26042" s="3" t="s">
        <v>42457</v>
      </c>
      <c r="B26042" s="3" t="s">
        <v>21165</v>
      </c>
      <c r="C26042" s="5" t="s">
        <v>614</v>
      </c>
      <c r="D26042" s="3" t="s">
        <v>206</v>
      </c>
      <c r="E26042" s="3" t="s">
        <v>100</v>
      </c>
      <c r="F26042" s="7">
        <v>46246.58086563902</v>
      </c>
      <c r="G26042" s="3" t="s">
        <v>13614</v>
      </c>
    </row>
    <row r="26043">
      <c r="A26043" s="3" t="s">
        <v>42458</v>
      </c>
      <c r="B26043" s="3" t="s">
        <v>21165</v>
      </c>
      <c r="C26043" s="5" t="s">
        <v>206</v>
      </c>
      <c r="D26043" s="3" t="s">
        <v>68</v>
      </c>
      <c r="E26043" s="3" t="s">
        <v>100</v>
      </c>
      <c r="F26043" s="7">
        <v>46246.58433786124</v>
      </c>
      <c r="G26043" s="3" t="s">
        <v>13617</v>
      </c>
    </row>
    <row r="26044">
      <c r="A26044" s="3" t="s">
        <v>42459</v>
      </c>
      <c r="B26044" s="3" t="s">
        <v>21168</v>
      </c>
      <c r="C26044" s="5" t="s">
        <v>45</v>
      </c>
      <c r="D26044" s="3" t="s">
        <v>221</v>
      </c>
      <c r="E26044" s="3" t="s">
        <v>969</v>
      </c>
      <c r="F26044" s="7">
        <v>46246.64509603999</v>
      </c>
      <c r="G26044" s="3" t="s">
        <v>19687</v>
      </c>
    </row>
    <row r="26045">
      <c r="A26045" s="3" t="s">
        <v>42460</v>
      </c>
      <c r="B26045" s="3" t="s">
        <v>21168</v>
      </c>
      <c r="C26045" s="5" t="s">
        <v>221</v>
      </c>
      <c r="D26045" s="3" t="s">
        <v>614</v>
      </c>
      <c r="E26045" s="3" t="s">
        <v>118</v>
      </c>
      <c r="F26045" s="7">
        <v>46246.64856826221</v>
      </c>
      <c r="G26045" s="3" t="s">
        <v>19690</v>
      </c>
    </row>
    <row r="26046">
      <c r="A26046" s="3" t="s">
        <v>42461</v>
      </c>
      <c r="B26046" s="3" t="s">
        <v>21168</v>
      </c>
      <c r="C26046" s="5" t="s">
        <v>614</v>
      </c>
      <c r="D26046" s="3" t="s">
        <v>206</v>
      </c>
      <c r="E26046" s="3" t="s">
        <v>100</v>
      </c>
      <c r="F26046" s="7">
        <v>46246.652040484434</v>
      </c>
      <c r="G26046" s="3" t="s">
        <v>19693</v>
      </c>
    </row>
    <row r="26047">
      <c r="A26047" s="3" t="s">
        <v>42462</v>
      </c>
      <c r="B26047" s="3" t="s">
        <v>21168</v>
      </c>
      <c r="C26047" s="5" t="s">
        <v>206</v>
      </c>
      <c r="D26047" s="3" t="s">
        <v>68</v>
      </c>
      <c r="E26047" s="3" t="s">
        <v>100</v>
      </c>
      <c r="F26047" s="7">
        <v>46246.65551270665</v>
      </c>
      <c r="G26047" s="3" t="s">
        <v>19695</v>
      </c>
    </row>
    <row r="26048">
      <c r="A26048" s="3" t="s">
        <v>42463</v>
      </c>
      <c r="B26048" s="3" t="s">
        <v>21172</v>
      </c>
      <c r="C26048" s="5" t="s">
        <v>45</v>
      </c>
      <c r="D26048" s="3" t="s">
        <v>221</v>
      </c>
      <c r="E26048" s="3" t="s">
        <v>260</v>
      </c>
      <c r="F26048" s="7">
        <v>46246.71627088541</v>
      </c>
      <c r="G26048" s="3" t="s">
        <v>12266</v>
      </c>
    </row>
    <row r="26049">
      <c r="A26049" s="3" t="s">
        <v>42464</v>
      </c>
      <c r="B26049" s="3" t="s">
        <v>21172</v>
      </c>
      <c r="C26049" s="5" t="s">
        <v>221</v>
      </c>
      <c r="D26049" s="3" t="s">
        <v>614</v>
      </c>
      <c r="E26049" s="3" t="s">
        <v>118</v>
      </c>
      <c r="F26049" s="7">
        <v>46246.71974310763</v>
      </c>
      <c r="G26049" s="3" t="s">
        <v>12269</v>
      </c>
    </row>
    <row r="26050">
      <c r="A26050" s="3" t="s">
        <v>42465</v>
      </c>
      <c r="B26050" s="3" t="s">
        <v>21172</v>
      </c>
      <c r="C26050" s="5" t="s">
        <v>614</v>
      </c>
      <c r="D26050" s="3" t="s">
        <v>206</v>
      </c>
      <c r="E26050" s="3" t="s">
        <v>100</v>
      </c>
      <c r="F26050" s="7">
        <v>46246.723215329854</v>
      </c>
      <c r="G26050" s="3" t="s">
        <v>12272</v>
      </c>
    </row>
    <row r="26051">
      <c r="A26051" s="3" t="s">
        <v>42466</v>
      </c>
      <c r="B26051" s="3" t="s">
        <v>21172</v>
      </c>
      <c r="C26051" s="5" t="s">
        <v>206</v>
      </c>
      <c r="D26051" s="3" t="s">
        <v>68</v>
      </c>
      <c r="E26051" s="3" t="s">
        <v>100</v>
      </c>
      <c r="F26051" s="7">
        <v>46246.72668755207</v>
      </c>
      <c r="G26051" s="3" t="s">
        <v>12276</v>
      </c>
    </row>
    <row r="26052">
      <c r="A26052" s="3" t="s">
        <v>42467</v>
      </c>
      <c r="B26052" s="3" t="s">
        <v>21176</v>
      </c>
      <c r="C26052" s="5" t="s">
        <v>45</v>
      </c>
      <c r="D26052" s="3" t="s">
        <v>221</v>
      </c>
      <c r="E26052" s="3" t="s">
        <v>911</v>
      </c>
      <c r="F26052" s="7">
        <v>46246.78744573083</v>
      </c>
      <c r="G26052" s="3" t="s">
        <v>4376</v>
      </c>
    </row>
    <row r="26053">
      <c r="A26053" s="3" t="s">
        <v>42468</v>
      </c>
      <c r="B26053" s="3" t="s">
        <v>21176</v>
      </c>
      <c r="C26053" s="5" t="s">
        <v>221</v>
      </c>
      <c r="D26053" s="3" t="s">
        <v>195</v>
      </c>
      <c r="E26053" s="3" t="s">
        <v>911</v>
      </c>
      <c r="F26053" s="7">
        <v>46246.79091795305</v>
      </c>
      <c r="G26053" s="3" t="s">
        <v>42469</v>
      </c>
    </row>
    <row r="26054">
      <c r="A26054" s="3" t="s">
        <v>42470</v>
      </c>
      <c r="B26054" s="3" t="s">
        <v>21178</v>
      </c>
      <c r="C26054" s="5" t="s">
        <v>45</v>
      </c>
      <c r="D26054" s="3" t="s">
        <v>221</v>
      </c>
      <c r="E26054" s="3" t="s">
        <v>870</v>
      </c>
      <c r="F26054" s="7">
        <v>46246.85862057623</v>
      </c>
      <c r="G26054" s="3" t="s">
        <v>8816</v>
      </c>
    </row>
    <row r="26055">
      <c r="A26055" s="3" t="s">
        <v>42471</v>
      </c>
      <c r="B26055" s="3" t="s">
        <v>21178</v>
      </c>
      <c r="C26055" s="5" t="s">
        <v>221</v>
      </c>
      <c r="D26055" s="3" t="s">
        <v>614</v>
      </c>
      <c r="E26055" s="3" t="s">
        <v>118</v>
      </c>
      <c r="F26055" s="7">
        <v>46246.86209279845</v>
      </c>
      <c r="G26055" s="3" t="s">
        <v>8819</v>
      </c>
    </row>
    <row r="26056">
      <c r="A26056" s="3" t="s">
        <v>42472</v>
      </c>
      <c r="B26056" s="3" t="s">
        <v>21178</v>
      </c>
      <c r="C26056" s="5" t="s">
        <v>614</v>
      </c>
      <c r="D26056" s="3" t="s">
        <v>206</v>
      </c>
      <c r="E26056" s="3" t="s">
        <v>100</v>
      </c>
      <c r="F26056" s="7">
        <v>46246.86556502068</v>
      </c>
      <c r="G26056" s="3" t="s">
        <v>8822</v>
      </c>
    </row>
    <row r="26057">
      <c r="A26057" s="3" t="s">
        <v>42473</v>
      </c>
      <c r="B26057" s="3" t="s">
        <v>21178</v>
      </c>
      <c r="C26057" s="5" t="s">
        <v>206</v>
      </c>
      <c r="D26057" s="3" t="s">
        <v>68</v>
      </c>
      <c r="E26057" s="3" t="s">
        <v>100</v>
      </c>
      <c r="F26057" s="7">
        <v>46246.8690372429</v>
      </c>
      <c r="G26057" s="3" t="s">
        <v>8825</v>
      </c>
    </row>
    <row r="26058">
      <c r="A26058" s="3" t="s">
        <v>42474</v>
      </c>
      <c r="B26058" s="3" t="s">
        <v>21180</v>
      </c>
      <c r="C26058" s="5" t="s">
        <v>45</v>
      </c>
      <c r="D26058" s="3" t="s">
        <v>221</v>
      </c>
      <c r="E26058" s="3" t="s">
        <v>510</v>
      </c>
      <c r="F26058" s="7">
        <v>46246.92979542165</v>
      </c>
      <c r="G26058" s="3" t="s">
        <v>25413</v>
      </c>
    </row>
    <row r="26059">
      <c r="A26059" s="3" t="s">
        <v>42475</v>
      </c>
      <c r="B26059" s="3" t="s">
        <v>21180</v>
      </c>
      <c r="C26059" s="5" t="s">
        <v>221</v>
      </c>
      <c r="D26059" s="3" t="s">
        <v>181</v>
      </c>
      <c r="E26059" s="3" t="s">
        <v>118</v>
      </c>
      <c r="F26059" s="7">
        <v>46246.93326764387</v>
      </c>
      <c r="G26059" s="3" t="s">
        <v>42476</v>
      </c>
    </row>
    <row r="26060">
      <c r="A26060" s="3" t="s">
        <v>42477</v>
      </c>
      <c r="B26060" s="3" t="s">
        <v>21182</v>
      </c>
      <c r="C26060" s="5" t="s">
        <v>45</v>
      </c>
      <c r="D26060" s="3" t="s">
        <v>221</v>
      </c>
      <c r="E26060" s="3" t="s">
        <v>678</v>
      </c>
      <c r="F26060" s="7">
        <v>46247.00097026707</v>
      </c>
      <c r="G26060" s="3" t="s">
        <v>14598</v>
      </c>
    </row>
    <row r="26061">
      <c r="A26061" s="3" t="s">
        <v>42478</v>
      </c>
      <c r="B26061" s="3" t="s">
        <v>21182</v>
      </c>
      <c r="C26061" s="5" t="s">
        <v>221</v>
      </c>
      <c r="D26061" s="3" t="s">
        <v>614</v>
      </c>
      <c r="E26061" s="3" t="s">
        <v>118</v>
      </c>
      <c r="F26061" s="7">
        <v>46247.00444248929</v>
      </c>
      <c r="G26061" s="3" t="s">
        <v>14601</v>
      </c>
    </row>
    <row r="26062">
      <c r="A26062" s="3" t="s">
        <v>42479</v>
      </c>
      <c r="B26062" s="3" t="s">
        <v>21182</v>
      </c>
      <c r="C26062" s="5" t="s">
        <v>614</v>
      </c>
      <c r="D26062" s="3" t="s">
        <v>206</v>
      </c>
      <c r="E26062" s="3" t="s">
        <v>100</v>
      </c>
      <c r="F26062" s="7">
        <v>46247.00791471152</v>
      </c>
      <c r="G26062" s="3" t="s">
        <v>14604</v>
      </c>
    </row>
    <row r="26063">
      <c r="A26063" s="3" t="s">
        <v>42480</v>
      </c>
      <c r="B26063" s="3" t="s">
        <v>21182</v>
      </c>
      <c r="C26063" s="5" t="s">
        <v>206</v>
      </c>
      <c r="D26063" s="3" t="s">
        <v>68</v>
      </c>
      <c r="E26063" s="3" t="s">
        <v>100</v>
      </c>
      <c r="F26063" s="7">
        <v>46247.01138693374</v>
      </c>
      <c r="G26063" s="3" t="s">
        <v>14607</v>
      </c>
    </row>
    <row r="26064">
      <c r="A26064" s="3" t="s">
        <v>42481</v>
      </c>
      <c r="B26064" s="3" t="s">
        <v>21184</v>
      </c>
      <c r="C26064" s="5" t="s">
        <v>45</v>
      </c>
      <c r="D26064" s="3" t="s">
        <v>221</v>
      </c>
      <c r="E26064" s="3" t="s">
        <v>356</v>
      </c>
      <c r="F26064" s="7">
        <v>46247.072145112485</v>
      </c>
      <c r="G26064" s="3" t="s">
        <v>17484</v>
      </c>
    </row>
    <row r="26065">
      <c r="A26065" s="3" t="s">
        <v>42482</v>
      </c>
      <c r="B26065" s="3" t="s">
        <v>21184</v>
      </c>
      <c r="C26065" s="5" t="s">
        <v>221</v>
      </c>
      <c r="D26065" s="3" t="s">
        <v>614</v>
      </c>
      <c r="E26065" s="3" t="s">
        <v>118</v>
      </c>
      <c r="F26065" s="7">
        <v>46247.0756173347</v>
      </c>
      <c r="G26065" s="3" t="s">
        <v>17487</v>
      </c>
    </row>
    <row r="26066">
      <c r="A26066" s="3" t="s">
        <v>42483</v>
      </c>
      <c r="B26066" s="3" t="s">
        <v>21184</v>
      </c>
      <c r="C26066" s="5" t="s">
        <v>614</v>
      </c>
      <c r="D26066" s="3" t="s">
        <v>206</v>
      </c>
      <c r="E26066" s="3" t="s">
        <v>100</v>
      </c>
      <c r="F26066" s="7">
        <v>46247.07908955693</v>
      </c>
      <c r="G26066" s="3" t="s">
        <v>17490</v>
      </c>
    </row>
    <row r="26067">
      <c r="A26067" s="3" t="s">
        <v>42484</v>
      </c>
      <c r="B26067" s="3" t="s">
        <v>21184</v>
      </c>
      <c r="C26067" s="5" t="s">
        <v>206</v>
      </c>
      <c r="D26067" s="3" t="s">
        <v>68</v>
      </c>
      <c r="E26067" s="3" t="s">
        <v>100</v>
      </c>
      <c r="F26067" s="7">
        <v>46247.08256177915</v>
      </c>
      <c r="G26067" s="3" t="s">
        <v>17493</v>
      </c>
    </row>
    <row r="26068">
      <c r="A26068" s="3" t="s">
        <v>42485</v>
      </c>
      <c r="B26068" s="3" t="s">
        <v>21186</v>
      </c>
      <c r="C26068" s="5" t="s">
        <v>45</v>
      </c>
      <c r="D26068" s="3" t="s">
        <v>221</v>
      </c>
      <c r="E26068" s="3" t="s">
        <v>637</v>
      </c>
      <c r="F26068" s="7">
        <v>46247.1433199579</v>
      </c>
      <c r="G26068" s="3" t="s">
        <v>8065</v>
      </c>
    </row>
    <row r="26069">
      <c r="A26069" s="3" t="s">
        <v>42486</v>
      </c>
      <c r="B26069" s="3" t="s">
        <v>21186</v>
      </c>
      <c r="C26069" s="5" t="s">
        <v>221</v>
      </c>
      <c r="D26069" s="3" t="s">
        <v>614</v>
      </c>
      <c r="E26069" s="3" t="s">
        <v>118</v>
      </c>
      <c r="F26069" s="7">
        <v>46247.146792180116</v>
      </c>
      <c r="G26069" s="3" t="s">
        <v>22215</v>
      </c>
    </row>
    <row r="26070">
      <c r="A26070" s="3" t="s">
        <v>42487</v>
      </c>
      <c r="B26070" s="3" t="s">
        <v>21186</v>
      </c>
      <c r="C26070" s="5" t="s">
        <v>614</v>
      </c>
      <c r="D26070" s="3" t="s">
        <v>206</v>
      </c>
      <c r="E26070" s="3" t="s">
        <v>100</v>
      </c>
      <c r="F26070" s="7">
        <v>46247.15026440234</v>
      </c>
      <c r="G26070" s="3" t="s">
        <v>22218</v>
      </c>
    </row>
    <row r="26071">
      <c r="A26071" s="3" t="s">
        <v>42488</v>
      </c>
      <c r="B26071" s="3" t="s">
        <v>21186</v>
      </c>
      <c r="C26071" s="5" t="s">
        <v>206</v>
      </c>
      <c r="D26071" s="3" t="s">
        <v>68</v>
      </c>
      <c r="E26071" s="3" t="s">
        <v>100</v>
      </c>
      <c r="F26071" s="7">
        <v>46247.15373662456</v>
      </c>
      <c r="G26071" s="3" t="s">
        <v>22220</v>
      </c>
    </row>
    <row r="26072">
      <c r="A26072" s="3" t="s">
        <v>42489</v>
      </c>
      <c r="B26072" s="3" t="s">
        <v>21188</v>
      </c>
      <c r="C26072" s="5" t="s">
        <v>45</v>
      </c>
      <c r="D26072" s="3" t="s">
        <v>221</v>
      </c>
      <c r="E26072" s="3" t="s">
        <v>533</v>
      </c>
      <c r="F26072" s="7">
        <v>46247.21449480332</v>
      </c>
      <c r="G26072" s="3" t="s">
        <v>2770</v>
      </c>
    </row>
    <row r="26073">
      <c r="A26073" s="3" t="s">
        <v>42490</v>
      </c>
      <c r="B26073" s="3" t="s">
        <v>21188</v>
      </c>
      <c r="C26073" s="5" t="s">
        <v>221</v>
      </c>
      <c r="D26073" s="3" t="s">
        <v>181</v>
      </c>
      <c r="E26073" s="3" t="s">
        <v>118</v>
      </c>
      <c r="F26073" s="7">
        <v>46247.217967025535</v>
      </c>
      <c r="G26073" s="3" t="s">
        <v>2774</v>
      </c>
    </row>
    <row r="26074">
      <c r="A26074" s="3" t="s">
        <v>42491</v>
      </c>
      <c r="B26074" s="3" t="s">
        <v>21190</v>
      </c>
      <c r="C26074" s="5" t="s">
        <v>45</v>
      </c>
      <c r="D26074" s="3" t="s">
        <v>221</v>
      </c>
      <c r="E26074" s="3" t="s">
        <v>316</v>
      </c>
      <c r="F26074" s="7">
        <v>46247.28566964873</v>
      </c>
      <c r="G26074" s="3" t="s">
        <v>8698</v>
      </c>
    </row>
    <row r="26075">
      <c r="A26075" s="3" t="s">
        <v>42492</v>
      </c>
      <c r="B26075" s="3" t="s">
        <v>21190</v>
      </c>
      <c r="C26075" s="5" t="s">
        <v>221</v>
      </c>
      <c r="D26075" s="3" t="s">
        <v>614</v>
      </c>
      <c r="E26075" s="3" t="s">
        <v>118</v>
      </c>
      <c r="F26075" s="7">
        <v>46247.28914187095</v>
      </c>
      <c r="G26075" s="3" t="s">
        <v>8701</v>
      </c>
    </row>
    <row r="26076">
      <c r="A26076" s="3" t="s">
        <v>42493</v>
      </c>
      <c r="B26076" s="3" t="s">
        <v>21190</v>
      </c>
      <c r="C26076" s="5" t="s">
        <v>614</v>
      </c>
      <c r="D26076" s="3" t="s">
        <v>206</v>
      </c>
      <c r="E26076" s="3" t="s">
        <v>100</v>
      </c>
      <c r="F26076" s="7">
        <v>46247.292614093174</v>
      </c>
      <c r="G26076" s="3" t="s">
        <v>8704</v>
      </c>
    </row>
    <row r="26077">
      <c r="A26077" s="3" t="s">
        <v>42494</v>
      </c>
      <c r="B26077" s="3" t="s">
        <v>21190</v>
      </c>
      <c r="C26077" s="5" t="s">
        <v>206</v>
      </c>
      <c r="D26077" s="3" t="s">
        <v>68</v>
      </c>
      <c r="E26077" s="3" t="s">
        <v>100</v>
      </c>
      <c r="F26077" s="7">
        <v>46247.29608631539</v>
      </c>
      <c r="G26077" s="3" t="s">
        <v>8707</v>
      </c>
    </row>
    <row r="26078">
      <c r="A26078" s="3" t="s">
        <v>42495</v>
      </c>
      <c r="B26078" s="3" t="s">
        <v>21192</v>
      </c>
      <c r="C26078" s="5" t="s">
        <v>45</v>
      </c>
      <c r="D26078" s="3" t="s">
        <v>221</v>
      </c>
      <c r="E26078" s="3" t="s">
        <v>319</v>
      </c>
      <c r="F26078" s="7">
        <v>46247.35684449414</v>
      </c>
      <c r="G26078" s="3" t="s">
        <v>16509</v>
      </c>
    </row>
    <row r="26079">
      <c r="A26079" s="3" t="s">
        <v>42496</v>
      </c>
      <c r="B26079" s="3" t="s">
        <v>21192</v>
      </c>
      <c r="C26079" s="5" t="s">
        <v>221</v>
      </c>
      <c r="D26079" s="3" t="s">
        <v>614</v>
      </c>
      <c r="E26079" s="3" t="s">
        <v>118</v>
      </c>
      <c r="F26079" s="7">
        <v>46247.36031671636</v>
      </c>
      <c r="G26079" s="3" t="s">
        <v>16512</v>
      </c>
    </row>
    <row r="26080">
      <c r="A26080" s="3" t="s">
        <v>42497</v>
      </c>
      <c r="B26080" s="3" t="s">
        <v>21192</v>
      </c>
      <c r="C26080" s="5" t="s">
        <v>614</v>
      </c>
      <c r="D26080" s="3" t="s">
        <v>206</v>
      </c>
      <c r="E26080" s="3" t="s">
        <v>100</v>
      </c>
      <c r="F26080" s="7">
        <v>46247.36378893859</v>
      </c>
      <c r="G26080" s="3" t="s">
        <v>16515</v>
      </c>
    </row>
    <row r="26081">
      <c r="A26081" s="3" t="s">
        <v>42498</v>
      </c>
      <c r="B26081" s="3" t="s">
        <v>21192</v>
      </c>
      <c r="C26081" s="5" t="s">
        <v>206</v>
      </c>
      <c r="D26081" s="3" t="s">
        <v>68</v>
      </c>
      <c r="E26081" s="3" t="s">
        <v>100</v>
      </c>
      <c r="F26081" s="7">
        <v>46247.367261160805</v>
      </c>
      <c r="G26081" s="3" t="s">
        <v>16518</v>
      </c>
    </row>
    <row r="26082">
      <c r="A26082" s="3" t="s">
        <v>42499</v>
      </c>
      <c r="B26082" s="3" t="s">
        <v>21195</v>
      </c>
      <c r="C26082" s="5" t="s">
        <v>45</v>
      </c>
      <c r="D26082" s="3" t="s">
        <v>221</v>
      </c>
      <c r="E26082" s="3" t="s">
        <v>1040</v>
      </c>
      <c r="F26082" s="7">
        <v>46247.42801933956</v>
      </c>
      <c r="G26082" s="3" t="s">
        <v>16521</v>
      </c>
    </row>
    <row r="26083">
      <c r="A26083" s="3" t="s">
        <v>42500</v>
      </c>
      <c r="B26083" s="3" t="s">
        <v>21195</v>
      </c>
      <c r="C26083" s="5" t="s">
        <v>221</v>
      </c>
      <c r="D26083" s="3" t="s">
        <v>614</v>
      </c>
      <c r="E26083" s="3" t="s">
        <v>118</v>
      </c>
      <c r="F26083" s="7">
        <v>46247.43149156178</v>
      </c>
      <c r="G26083" s="3" t="s">
        <v>16523</v>
      </c>
    </row>
    <row r="26084">
      <c r="A26084" s="3" t="s">
        <v>42501</v>
      </c>
      <c r="B26084" s="3" t="s">
        <v>21195</v>
      </c>
      <c r="C26084" s="5" t="s">
        <v>614</v>
      </c>
      <c r="D26084" s="3" t="s">
        <v>206</v>
      </c>
      <c r="E26084" s="3" t="s">
        <v>100</v>
      </c>
      <c r="F26084" s="7">
        <v>46247.434963784006</v>
      </c>
      <c r="G26084" s="3" t="s">
        <v>16526</v>
      </c>
    </row>
    <row r="26085">
      <c r="A26085" s="3" t="s">
        <v>42502</v>
      </c>
      <c r="B26085" s="3" t="s">
        <v>21195</v>
      </c>
      <c r="C26085" s="5" t="s">
        <v>206</v>
      </c>
      <c r="D26085" s="3" t="s">
        <v>68</v>
      </c>
      <c r="E26085" s="3" t="s">
        <v>100</v>
      </c>
      <c r="F26085" s="7">
        <v>46247.438436006225</v>
      </c>
      <c r="G26085" s="3" t="s">
        <v>16529</v>
      </c>
    </row>
    <row r="26086">
      <c r="A26086" s="3" t="s">
        <v>42503</v>
      </c>
      <c r="B26086" s="3" t="s">
        <v>21197</v>
      </c>
      <c r="C26086" s="5" t="s">
        <v>45</v>
      </c>
      <c r="D26086" s="3" t="s">
        <v>221</v>
      </c>
      <c r="E26086" s="3" t="s">
        <v>398</v>
      </c>
      <c r="F26086" s="7">
        <v>46247.49919418497</v>
      </c>
      <c r="G26086" s="3" t="s">
        <v>27573</v>
      </c>
    </row>
    <row r="26087">
      <c r="A26087" s="3" t="s">
        <v>42504</v>
      </c>
      <c r="B26087" s="3" t="s">
        <v>21197</v>
      </c>
      <c r="C26087" s="5" t="s">
        <v>221</v>
      </c>
      <c r="D26087" s="3" t="s">
        <v>614</v>
      </c>
      <c r="E26087" s="3" t="s">
        <v>118</v>
      </c>
      <c r="F26087" s="7">
        <v>46247.50266640719</v>
      </c>
      <c r="G26087" s="3" t="s">
        <v>27575</v>
      </c>
    </row>
    <row r="26088">
      <c r="A26088" s="3" t="s">
        <v>42505</v>
      </c>
      <c r="B26088" s="3" t="s">
        <v>21197</v>
      </c>
      <c r="C26088" s="5" t="s">
        <v>614</v>
      </c>
      <c r="D26088" s="3" t="s">
        <v>206</v>
      </c>
      <c r="E26088" s="3" t="s">
        <v>100</v>
      </c>
      <c r="F26088" s="7">
        <v>46247.50613862942</v>
      </c>
      <c r="G26088" s="3" t="s">
        <v>27577</v>
      </c>
    </row>
    <row r="26089">
      <c r="A26089" s="3" t="s">
        <v>42506</v>
      </c>
      <c r="B26089" s="3" t="s">
        <v>21197</v>
      </c>
      <c r="C26089" s="5" t="s">
        <v>206</v>
      </c>
      <c r="D26089" s="3" t="s">
        <v>68</v>
      </c>
      <c r="E26089" s="3" t="s">
        <v>100</v>
      </c>
      <c r="F26089" s="7">
        <v>46247.50961085164</v>
      </c>
      <c r="G26089" s="3" t="s">
        <v>27579</v>
      </c>
    </row>
    <row r="26090">
      <c r="A26090" s="3" t="s">
        <v>42507</v>
      </c>
      <c r="B26090" s="3" t="s">
        <v>21199</v>
      </c>
      <c r="C26090" s="5" t="s">
        <v>45</v>
      </c>
      <c r="D26090" s="3" t="s">
        <v>221</v>
      </c>
      <c r="E26090" s="3" t="s">
        <v>665</v>
      </c>
      <c r="F26090" s="7">
        <v>46247.570369030385</v>
      </c>
      <c r="G26090" s="3" t="s">
        <v>32648</v>
      </c>
    </row>
    <row r="26091">
      <c r="A26091" s="3" t="s">
        <v>42508</v>
      </c>
      <c r="B26091" s="3" t="s">
        <v>21199</v>
      </c>
      <c r="C26091" s="5" t="s">
        <v>221</v>
      </c>
      <c r="D26091" s="3" t="s">
        <v>614</v>
      </c>
      <c r="E26091" s="3" t="s">
        <v>118</v>
      </c>
      <c r="F26091" s="7">
        <v>46247.573841252604</v>
      </c>
      <c r="G26091" s="3" t="s">
        <v>32650</v>
      </c>
    </row>
    <row r="26092">
      <c r="A26092" s="3" t="s">
        <v>42509</v>
      </c>
      <c r="B26092" s="3" t="s">
        <v>21199</v>
      </c>
      <c r="C26092" s="5" t="s">
        <v>614</v>
      </c>
      <c r="D26092" s="3" t="s">
        <v>206</v>
      </c>
      <c r="E26092" s="3" t="s">
        <v>100</v>
      </c>
      <c r="F26092" s="7">
        <v>46247.57731347483</v>
      </c>
      <c r="G26092" s="3" t="s">
        <v>32652</v>
      </c>
    </row>
    <row r="26093">
      <c r="A26093" s="3" t="s">
        <v>42510</v>
      </c>
      <c r="B26093" s="3" t="s">
        <v>21199</v>
      </c>
      <c r="C26093" s="5" t="s">
        <v>206</v>
      </c>
      <c r="D26093" s="3" t="s">
        <v>68</v>
      </c>
      <c r="E26093" s="3" t="s">
        <v>100</v>
      </c>
      <c r="F26093" s="7">
        <v>46247.58078569705</v>
      </c>
      <c r="G26093" s="3" t="s">
        <v>32654</v>
      </c>
    </row>
    <row r="26094">
      <c r="A26094" s="3" t="s">
        <v>42511</v>
      </c>
      <c r="B26094" s="3" t="s">
        <v>21201</v>
      </c>
      <c r="C26094" s="5" t="s">
        <v>45</v>
      </c>
      <c r="D26094" s="3" t="s">
        <v>221</v>
      </c>
      <c r="E26094" s="3" t="s">
        <v>758</v>
      </c>
      <c r="F26094" s="7">
        <v>46247.641543875805</v>
      </c>
      <c r="G26094" s="3" t="s">
        <v>10330</v>
      </c>
    </row>
    <row r="26095">
      <c r="A26095" s="3" t="s">
        <v>42512</v>
      </c>
      <c r="B26095" s="3" t="s">
        <v>21201</v>
      </c>
      <c r="C26095" s="5" t="s">
        <v>221</v>
      </c>
      <c r="D26095" s="3" t="s">
        <v>614</v>
      </c>
      <c r="E26095" s="3" t="s">
        <v>118</v>
      </c>
      <c r="F26095" s="7">
        <v>46247.645016098024</v>
      </c>
      <c r="G26095" s="3" t="s">
        <v>10333</v>
      </c>
    </row>
    <row r="26096">
      <c r="A26096" s="3" t="s">
        <v>42513</v>
      </c>
      <c r="B26096" s="3" t="s">
        <v>21201</v>
      </c>
      <c r="C26096" s="5" t="s">
        <v>614</v>
      </c>
      <c r="D26096" s="3" t="s">
        <v>206</v>
      </c>
      <c r="E26096" s="3" t="s">
        <v>100</v>
      </c>
      <c r="F26096" s="7">
        <v>46247.64848832025</v>
      </c>
      <c r="G26096" s="3" t="s">
        <v>10335</v>
      </c>
    </row>
    <row r="26097">
      <c r="A26097" s="3" t="s">
        <v>42514</v>
      </c>
      <c r="B26097" s="3" t="s">
        <v>21201</v>
      </c>
      <c r="C26097" s="5" t="s">
        <v>206</v>
      </c>
      <c r="D26097" s="3" t="s">
        <v>68</v>
      </c>
      <c r="E26097" s="3" t="s">
        <v>100</v>
      </c>
      <c r="F26097" s="7">
        <v>46247.65196054247</v>
      </c>
      <c r="G26097" s="3" t="s">
        <v>10338</v>
      </c>
    </row>
    <row r="26098">
      <c r="A26098" s="3" t="s">
        <v>42515</v>
      </c>
      <c r="B26098" s="3" t="s">
        <v>21203</v>
      </c>
      <c r="C26098" s="5" t="s">
        <v>45</v>
      </c>
      <c r="D26098" s="3" t="s">
        <v>221</v>
      </c>
      <c r="E26098" s="3" t="s">
        <v>186</v>
      </c>
      <c r="F26098" s="7">
        <v>46247.71271872122</v>
      </c>
      <c r="G26098" s="3" t="s">
        <v>15900</v>
      </c>
    </row>
    <row r="26099">
      <c r="A26099" s="3" t="s">
        <v>42516</v>
      </c>
      <c r="B26099" s="3" t="s">
        <v>21203</v>
      </c>
      <c r="C26099" s="5" t="s">
        <v>221</v>
      </c>
      <c r="D26099" s="3" t="s">
        <v>614</v>
      </c>
      <c r="E26099" s="3" t="s">
        <v>118</v>
      </c>
      <c r="F26099" s="7">
        <v>46247.716190943436</v>
      </c>
      <c r="G26099" s="3" t="s">
        <v>15902</v>
      </c>
    </row>
    <row r="26100">
      <c r="A26100" s="3" t="s">
        <v>42517</v>
      </c>
      <c r="B26100" s="3" t="s">
        <v>21203</v>
      </c>
      <c r="C26100" s="5" t="s">
        <v>614</v>
      </c>
      <c r="D26100" s="3" t="s">
        <v>206</v>
      </c>
      <c r="E26100" s="3" t="s">
        <v>100</v>
      </c>
      <c r="F26100" s="7">
        <v>46247.71966316566</v>
      </c>
      <c r="G26100" s="3" t="s">
        <v>15905</v>
      </c>
    </row>
    <row r="26101">
      <c r="A26101" s="3" t="s">
        <v>42518</v>
      </c>
      <c r="B26101" s="3" t="s">
        <v>21203</v>
      </c>
      <c r="C26101" s="5" t="s">
        <v>206</v>
      </c>
      <c r="D26101" s="3" t="s">
        <v>68</v>
      </c>
      <c r="E26101" s="3" t="s">
        <v>100</v>
      </c>
      <c r="F26101" s="7">
        <v>46247.72313538788</v>
      </c>
      <c r="G26101" s="3" t="s">
        <v>15908</v>
      </c>
    </row>
    <row r="26102">
      <c r="A26102" s="3" t="s">
        <v>42519</v>
      </c>
      <c r="B26102" s="3" t="s">
        <v>21206</v>
      </c>
      <c r="C26102" s="5" t="s">
        <v>45</v>
      </c>
      <c r="D26102" s="3" t="s">
        <v>221</v>
      </c>
      <c r="E26102" s="3" t="s">
        <v>953</v>
      </c>
      <c r="F26102" s="7">
        <v>46247.78389356663</v>
      </c>
      <c r="G26102" s="3" t="s">
        <v>22804</v>
      </c>
    </row>
    <row r="26103">
      <c r="A26103" s="3" t="s">
        <v>42520</v>
      </c>
      <c r="B26103" s="3" t="s">
        <v>21206</v>
      </c>
      <c r="C26103" s="5" t="s">
        <v>221</v>
      </c>
      <c r="D26103" s="3" t="s">
        <v>614</v>
      </c>
      <c r="E26103" s="3" t="s">
        <v>118</v>
      </c>
      <c r="F26103" s="7">
        <v>46247.78736578885</v>
      </c>
      <c r="G26103" s="3" t="s">
        <v>22807</v>
      </c>
    </row>
    <row r="26104">
      <c r="A26104" s="3" t="s">
        <v>42521</v>
      </c>
      <c r="B26104" s="3" t="s">
        <v>21206</v>
      </c>
      <c r="C26104" s="5" t="s">
        <v>614</v>
      </c>
      <c r="D26104" s="3" t="s">
        <v>206</v>
      </c>
      <c r="E26104" s="3" t="s">
        <v>100</v>
      </c>
      <c r="F26104" s="7">
        <v>46247.790838011075</v>
      </c>
      <c r="G26104" s="3" t="s">
        <v>22810</v>
      </c>
    </row>
    <row r="26105">
      <c r="A26105" s="3" t="s">
        <v>42522</v>
      </c>
      <c r="B26105" s="3" t="s">
        <v>21206</v>
      </c>
      <c r="C26105" s="5" t="s">
        <v>206</v>
      </c>
      <c r="D26105" s="3" t="s">
        <v>68</v>
      </c>
      <c r="E26105" s="3" t="s">
        <v>100</v>
      </c>
      <c r="F26105" s="7">
        <v>46247.794310233294</v>
      </c>
      <c r="G26105" s="3" t="s">
        <v>22813</v>
      </c>
    </row>
    <row r="26106">
      <c r="A26106" s="3" t="s">
        <v>42523</v>
      </c>
      <c r="B26106" s="3" t="s">
        <v>21209</v>
      </c>
      <c r="C26106" s="5" t="s">
        <v>45</v>
      </c>
      <c r="D26106" s="3" t="s">
        <v>221</v>
      </c>
      <c r="E26106" s="3" t="s">
        <v>886</v>
      </c>
      <c r="F26106" s="7">
        <v>46247.85506841205</v>
      </c>
      <c r="G26106" s="3" t="s">
        <v>12279</v>
      </c>
    </row>
    <row r="26107">
      <c r="A26107" s="3" t="s">
        <v>42524</v>
      </c>
      <c r="B26107" s="3" t="s">
        <v>21209</v>
      </c>
      <c r="C26107" s="5" t="s">
        <v>221</v>
      </c>
      <c r="D26107" s="3" t="s">
        <v>614</v>
      </c>
      <c r="E26107" s="3" t="s">
        <v>118</v>
      </c>
      <c r="F26107" s="7">
        <v>46247.85854063427</v>
      </c>
      <c r="G26107" s="3" t="s">
        <v>12283</v>
      </c>
    </row>
    <row r="26108">
      <c r="A26108" s="3" t="s">
        <v>42525</v>
      </c>
      <c r="B26108" s="3" t="s">
        <v>21209</v>
      </c>
      <c r="C26108" s="5" t="s">
        <v>614</v>
      </c>
      <c r="D26108" s="3" t="s">
        <v>206</v>
      </c>
      <c r="E26108" s="3" t="s">
        <v>100</v>
      </c>
      <c r="F26108" s="7">
        <v>46247.862012856494</v>
      </c>
      <c r="G26108" s="3" t="s">
        <v>12286</v>
      </c>
    </row>
    <row r="26109">
      <c r="A26109" s="3" t="s">
        <v>42526</v>
      </c>
      <c r="B26109" s="3" t="s">
        <v>21209</v>
      </c>
      <c r="C26109" s="5" t="s">
        <v>206</v>
      </c>
      <c r="D26109" s="3" t="s">
        <v>68</v>
      </c>
      <c r="E26109" s="3" t="s">
        <v>100</v>
      </c>
      <c r="F26109" s="7">
        <v>46247.86548507871</v>
      </c>
      <c r="G26109" s="3" t="s">
        <v>12290</v>
      </c>
    </row>
    <row r="26110">
      <c r="A26110" s="3" t="s">
        <v>42527</v>
      </c>
      <c r="B26110" s="3" t="s">
        <v>21212</v>
      </c>
      <c r="C26110" s="5" t="s">
        <v>45</v>
      </c>
      <c r="D26110" s="3" t="s">
        <v>221</v>
      </c>
      <c r="E26110" s="3" t="s">
        <v>622</v>
      </c>
      <c r="F26110" s="7">
        <v>46247.92624325747</v>
      </c>
      <c r="G26110" s="3" t="s">
        <v>33538</v>
      </c>
    </row>
    <row r="26111">
      <c r="A26111" s="3" t="s">
        <v>42528</v>
      </c>
      <c r="B26111" s="3" t="s">
        <v>21212</v>
      </c>
      <c r="C26111" s="5" t="s">
        <v>221</v>
      </c>
      <c r="D26111" s="3" t="s">
        <v>614</v>
      </c>
      <c r="E26111" s="3" t="s">
        <v>118</v>
      </c>
      <c r="F26111" s="7">
        <v>46247.92971547969</v>
      </c>
      <c r="G26111" s="3" t="s">
        <v>33540</v>
      </c>
    </row>
    <row r="26112">
      <c r="A26112" s="3" t="s">
        <v>42529</v>
      </c>
      <c r="B26112" s="3" t="s">
        <v>21212</v>
      </c>
      <c r="C26112" s="5" t="s">
        <v>614</v>
      </c>
      <c r="D26112" s="3" t="s">
        <v>206</v>
      </c>
      <c r="E26112" s="3" t="s">
        <v>100</v>
      </c>
      <c r="F26112" s="7">
        <v>46247.933187701914</v>
      </c>
      <c r="G26112" s="3" t="s">
        <v>33542</v>
      </c>
    </row>
    <row r="26113">
      <c r="A26113" s="3" t="s">
        <v>42530</v>
      </c>
      <c r="B26113" s="3" t="s">
        <v>21212</v>
      </c>
      <c r="C26113" s="5" t="s">
        <v>206</v>
      </c>
      <c r="D26113" s="3" t="s">
        <v>68</v>
      </c>
      <c r="E26113" s="3" t="s">
        <v>100</v>
      </c>
      <c r="F26113" s="7">
        <v>46247.93665992413</v>
      </c>
      <c r="G26113" s="3" t="s">
        <v>33544</v>
      </c>
    </row>
    <row r="26114">
      <c r="A26114" s="3" t="s">
        <v>42531</v>
      </c>
      <c r="B26114" s="3" t="s">
        <v>21216</v>
      </c>
      <c r="C26114" s="5" t="s">
        <v>45</v>
      </c>
      <c r="D26114" s="3" t="s">
        <v>221</v>
      </c>
      <c r="E26114" s="3" t="s">
        <v>230</v>
      </c>
      <c r="F26114" s="7">
        <v>46247.997418102874</v>
      </c>
      <c r="G26114" s="3" t="s">
        <v>12334</v>
      </c>
    </row>
    <row r="26115">
      <c r="A26115" s="3" t="s">
        <v>42532</v>
      </c>
      <c r="B26115" s="3" t="s">
        <v>21216</v>
      </c>
      <c r="C26115" s="5" t="s">
        <v>221</v>
      </c>
      <c r="D26115" s="3" t="s">
        <v>614</v>
      </c>
      <c r="E26115" s="3" t="s">
        <v>118</v>
      </c>
      <c r="F26115" s="7">
        <v>46248.00089032509</v>
      </c>
      <c r="G26115" s="3" t="s">
        <v>12337</v>
      </c>
    </row>
    <row r="26116">
      <c r="A26116" s="3" t="s">
        <v>42533</v>
      </c>
      <c r="B26116" s="3" t="s">
        <v>21216</v>
      </c>
      <c r="C26116" s="5" t="s">
        <v>614</v>
      </c>
      <c r="D26116" s="3" t="s">
        <v>206</v>
      </c>
      <c r="E26116" s="3" t="s">
        <v>100</v>
      </c>
      <c r="F26116" s="7">
        <v>46248.00436254732</v>
      </c>
      <c r="G26116" s="3" t="s">
        <v>12340</v>
      </c>
    </row>
    <row r="26117">
      <c r="A26117" s="3" t="s">
        <v>42534</v>
      </c>
      <c r="B26117" s="3" t="s">
        <v>21216</v>
      </c>
      <c r="C26117" s="5" t="s">
        <v>206</v>
      </c>
      <c r="D26117" s="3" t="s">
        <v>68</v>
      </c>
      <c r="E26117" s="3" t="s">
        <v>100</v>
      </c>
      <c r="F26117" s="7">
        <v>46248.00783476954</v>
      </c>
      <c r="G26117" s="3" t="s">
        <v>12342</v>
      </c>
    </row>
    <row r="26118">
      <c r="A26118" s="3" t="s">
        <v>42535</v>
      </c>
      <c r="B26118" s="3" t="s">
        <v>21219</v>
      </c>
      <c r="C26118" s="5" t="s">
        <v>45</v>
      </c>
      <c r="D26118" s="3" t="s">
        <v>221</v>
      </c>
      <c r="E26118" s="3" t="s">
        <v>689</v>
      </c>
      <c r="F26118" s="7">
        <v>46248.06859294829</v>
      </c>
      <c r="G26118" s="3" t="s">
        <v>11915</v>
      </c>
    </row>
    <row r="26119">
      <c r="A26119" s="3" t="s">
        <v>42536</v>
      </c>
      <c r="B26119" s="3" t="s">
        <v>21219</v>
      </c>
      <c r="C26119" s="5" t="s">
        <v>221</v>
      </c>
      <c r="D26119" s="3" t="s">
        <v>614</v>
      </c>
      <c r="E26119" s="3" t="s">
        <v>118</v>
      </c>
      <c r="F26119" s="7">
        <v>46248.07206517051</v>
      </c>
      <c r="G26119" s="3" t="s">
        <v>11918</v>
      </c>
    </row>
    <row r="26120">
      <c r="A26120" s="3" t="s">
        <v>42537</v>
      </c>
      <c r="B26120" s="3" t="s">
        <v>21219</v>
      </c>
      <c r="C26120" s="5" t="s">
        <v>614</v>
      </c>
      <c r="D26120" s="3" t="s">
        <v>206</v>
      </c>
      <c r="E26120" s="3" t="s">
        <v>100</v>
      </c>
      <c r="F26120" s="7">
        <v>46248.07553739274</v>
      </c>
      <c r="G26120" s="3" t="s">
        <v>11921</v>
      </c>
    </row>
    <row r="26121">
      <c r="A26121" s="3" t="s">
        <v>42538</v>
      </c>
      <c r="B26121" s="3" t="s">
        <v>21219</v>
      </c>
      <c r="C26121" s="5" t="s">
        <v>206</v>
      </c>
      <c r="D26121" s="3" t="s">
        <v>68</v>
      </c>
      <c r="E26121" s="3" t="s">
        <v>100</v>
      </c>
      <c r="F26121" s="7">
        <v>46248.07900961496</v>
      </c>
      <c r="G26121" s="3" t="s">
        <v>11923</v>
      </c>
    </row>
    <row r="26122">
      <c r="A26122" s="3" t="s">
        <v>42539</v>
      </c>
      <c r="B26122" s="3" t="s">
        <v>21221</v>
      </c>
      <c r="C26122" s="5" t="s">
        <v>45</v>
      </c>
      <c r="D26122" s="3" t="s">
        <v>221</v>
      </c>
      <c r="E26122" s="3" t="s">
        <v>937</v>
      </c>
      <c r="F26122" s="7">
        <v>46248.13976779371</v>
      </c>
      <c r="G26122" s="3" t="s">
        <v>17773</v>
      </c>
    </row>
    <row r="26123">
      <c r="A26123" s="3" t="s">
        <v>42540</v>
      </c>
      <c r="B26123" s="3" t="s">
        <v>21221</v>
      </c>
      <c r="C26123" s="5" t="s">
        <v>221</v>
      </c>
      <c r="D26123" s="3" t="s">
        <v>614</v>
      </c>
      <c r="E26123" s="3" t="s">
        <v>118</v>
      </c>
      <c r="F26123" s="7">
        <v>46248.14324001593</v>
      </c>
      <c r="G26123" s="3" t="s">
        <v>17776</v>
      </c>
    </row>
    <row r="26124">
      <c r="A26124" s="3" t="s">
        <v>42541</v>
      </c>
      <c r="B26124" s="3" t="s">
        <v>21221</v>
      </c>
      <c r="C26124" s="5" t="s">
        <v>614</v>
      </c>
      <c r="D26124" s="3" t="s">
        <v>206</v>
      </c>
      <c r="E26124" s="3" t="s">
        <v>100</v>
      </c>
      <c r="F26124" s="7">
        <v>46248.14671223816</v>
      </c>
      <c r="G26124" s="3" t="s">
        <v>17779</v>
      </c>
    </row>
    <row r="26125">
      <c r="A26125" s="3" t="s">
        <v>42542</v>
      </c>
      <c r="B26125" s="3" t="s">
        <v>21221</v>
      </c>
      <c r="C26125" s="5" t="s">
        <v>206</v>
      </c>
      <c r="D26125" s="3" t="s">
        <v>68</v>
      </c>
      <c r="E26125" s="3" t="s">
        <v>100</v>
      </c>
      <c r="F26125" s="7">
        <v>46248.15018446038</v>
      </c>
      <c r="G26125" s="3" t="s">
        <v>17782</v>
      </c>
    </row>
    <row r="26126">
      <c r="A26126" s="3" t="s">
        <v>42543</v>
      </c>
      <c r="B26126" s="3" t="s">
        <v>21223</v>
      </c>
      <c r="C26126" s="5" t="s">
        <v>45</v>
      </c>
      <c r="D26126" s="3" t="s">
        <v>221</v>
      </c>
      <c r="E26126" s="3" t="s">
        <v>148</v>
      </c>
      <c r="F26126" s="7">
        <v>46248.210942639125</v>
      </c>
      <c r="G26126" s="3" t="s">
        <v>12353</v>
      </c>
    </row>
    <row r="26127">
      <c r="A26127" s="3" t="s">
        <v>42544</v>
      </c>
      <c r="B26127" s="3" t="s">
        <v>21223</v>
      </c>
      <c r="C26127" s="5" t="s">
        <v>221</v>
      </c>
      <c r="D26127" s="3" t="s">
        <v>614</v>
      </c>
      <c r="E26127" s="3" t="s">
        <v>118</v>
      </c>
      <c r="F26127" s="7">
        <v>46248.214414861344</v>
      </c>
      <c r="G26127" s="3" t="s">
        <v>12356</v>
      </c>
    </row>
    <row r="26128">
      <c r="A26128" s="3" t="s">
        <v>42545</v>
      </c>
      <c r="B26128" s="3" t="s">
        <v>21223</v>
      </c>
      <c r="C26128" s="5" t="s">
        <v>614</v>
      </c>
      <c r="D26128" s="3" t="s">
        <v>206</v>
      </c>
      <c r="E26128" s="3" t="s">
        <v>100</v>
      </c>
      <c r="F26128" s="7">
        <v>46248.21788708357</v>
      </c>
      <c r="G26128" s="3" t="s">
        <v>12358</v>
      </c>
    </row>
    <row r="26129">
      <c r="A26129" s="3" t="s">
        <v>42546</v>
      </c>
      <c r="B26129" s="3" t="s">
        <v>21223</v>
      </c>
      <c r="C26129" s="5" t="s">
        <v>206</v>
      </c>
      <c r="D26129" s="3" t="s">
        <v>68</v>
      </c>
      <c r="E26129" s="3" t="s">
        <v>100</v>
      </c>
      <c r="F26129" s="7">
        <v>46248.22135930579</v>
      </c>
      <c r="G26129" s="3" t="s">
        <v>12361</v>
      </c>
    </row>
    <row r="26130">
      <c r="A26130" s="3" t="s">
        <v>42547</v>
      </c>
      <c r="B26130" s="3" t="s">
        <v>21225</v>
      </c>
      <c r="C26130" s="5" t="s">
        <v>45</v>
      </c>
      <c r="D26130" s="3" t="s">
        <v>221</v>
      </c>
      <c r="E26130" s="3" t="s">
        <v>502</v>
      </c>
      <c r="F26130" s="7">
        <v>46248.28211748454</v>
      </c>
      <c r="G26130" s="3" t="s">
        <v>25071</v>
      </c>
    </row>
    <row r="26131">
      <c r="A26131" s="3" t="s">
        <v>42548</v>
      </c>
      <c r="B26131" s="3" t="s">
        <v>21225</v>
      </c>
      <c r="C26131" s="5" t="s">
        <v>221</v>
      </c>
      <c r="D26131" s="3" t="s">
        <v>614</v>
      </c>
      <c r="E26131" s="3" t="s">
        <v>118</v>
      </c>
      <c r="F26131" s="7">
        <v>46248.28558970676</v>
      </c>
      <c r="G26131" s="3" t="s">
        <v>25073</v>
      </c>
    </row>
    <row r="26132">
      <c r="A26132" s="3" t="s">
        <v>42549</v>
      </c>
      <c r="B26132" s="3" t="s">
        <v>21225</v>
      </c>
      <c r="C26132" s="5" t="s">
        <v>614</v>
      </c>
      <c r="D26132" s="3" t="s">
        <v>206</v>
      </c>
      <c r="E26132" s="3" t="s">
        <v>100</v>
      </c>
      <c r="F26132" s="7">
        <v>46248.28906192898</v>
      </c>
      <c r="G26132" s="3" t="s">
        <v>25075</v>
      </c>
    </row>
    <row r="26133">
      <c r="A26133" s="3" t="s">
        <v>42550</v>
      </c>
      <c r="B26133" s="3" t="s">
        <v>21225</v>
      </c>
      <c r="C26133" s="5" t="s">
        <v>206</v>
      </c>
      <c r="D26133" s="3" t="s">
        <v>68</v>
      </c>
      <c r="E26133" s="3" t="s">
        <v>100</v>
      </c>
      <c r="F26133" s="7">
        <v>46248.2925341512</v>
      </c>
      <c r="G26133" s="3" t="s">
        <v>25077</v>
      </c>
    </row>
    <row r="26134">
      <c r="A26134" s="3" t="s">
        <v>42551</v>
      </c>
      <c r="B26134" s="3" t="s">
        <v>21227</v>
      </c>
      <c r="C26134" s="5" t="s">
        <v>45</v>
      </c>
      <c r="D26134" s="3" t="s">
        <v>221</v>
      </c>
      <c r="E26134" s="3" t="s">
        <v>472</v>
      </c>
      <c r="F26134" s="7">
        <v>46248.35329232996</v>
      </c>
      <c r="G26134" s="3" t="s">
        <v>12364</v>
      </c>
    </row>
    <row r="26135">
      <c r="A26135" s="3" t="s">
        <v>42552</v>
      </c>
      <c r="B26135" s="3" t="s">
        <v>21227</v>
      </c>
      <c r="C26135" s="5" t="s">
        <v>221</v>
      </c>
      <c r="D26135" s="3" t="s">
        <v>614</v>
      </c>
      <c r="E26135" s="3" t="s">
        <v>118</v>
      </c>
      <c r="F26135" s="7">
        <v>46248.356764552176</v>
      </c>
      <c r="G26135" s="3" t="s">
        <v>12366</v>
      </c>
    </row>
    <row r="26136">
      <c r="A26136" s="3" t="s">
        <v>42553</v>
      </c>
      <c r="B26136" s="3" t="s">
        <v>21227</v>
      </c>
      <c r="C26136" s="5" t="s">
        <v>614</v>
      </c>
      <c r="D26136" s="3" t="s">
        <v>206</v>
      </c>
      <c r="E26136" s="3" t="s">
        <v>100</v>
      </c>
      <c r="F26136" s="7">
        <v>46248.3602367744</v>
      </c>
      <c r="G26136" s="3" t="s">
        <v>12369</v>
      </c>
    </row>
    <row r="26137">
      <c r="A26137" s="3" t="s">
        <v>42554</v>
      </c>
      <c r="B26137" s="3" t="s">
        <v>21227</v>
      </c>
      <c r="C26137" s="5" t="s">
        <v>206</v>
      </c>
      <c r="D26137" s="3" t="s">
        <v>68</v>
      </c>
      <c r="E26137" s="3" t="s">
        <v>100</v>
      </c>
      <c r="F26137" s="7">
        <v>46248.36370899662</v>
      </c>
      <c r="G26137" s="3" t="s">
        <v>12372</v>
      </c>
    </row>
    <row r="26138">
      <c r="A26138" s="3" t="s">
        <v>42555</v>
      </c>
      <c r="B26138" s="3" t="s">
        <v>21229</v>
      </c>
      <c r="C26138" s="5" t="s">
        <v>45</v>
      </c>
      <c r="D26138" s="3" t="s">
        <v>221</v>
      </c>
      <c r="E26138" s="3" t="s">
        <v>253</v>
      </c>
      <c r="F26138" s="7">
        <v>46248.42446717537</v>
      </c>
      <c r="G26138" s="3" t="s">
        <v>12394</v>
      </c>
    </row>
    <row r="26139">
      <c r="A26139" s="3" t="s">
        <v>42556</v>
      </c>
      <c r="B26139" s="3" t="s">
        <v>21229</v>
      </c>
      <c r="C26139" s="5" t="s">
        <v>221</v>
      </c>
      <c r="D26139" s="3" t="s">
        <v>614</v>
      </c>
      <c r="E26139" s="3" t="s">
        <v>118</v>
      </c>
      <c r="F26139" s="7">
        <v>46248.42793939759</v>
      </c>
      <c r="G26139" s="3" t="s">
        <v>12397</v>
      </c>
    </row>
    <row r="26140">
      <c r="A26140" s="3" t="s">
        <v>42557</v>
      </c>
      <c r="B26140" s="3" t="s">
        <v>21229</v>
      </c>
      <c r="C26140" s="5" t="s">
        <v>614</v>
      </c>
      <c r="D26140" s="3" t="s">
        <v>206</v>
      </c>
      <c r="E26140" s="3" t="s">
        <v>100</v>
      </c>
      <c r="F26140" s="7">
        <v>46248.431411619815</v>
      </c>
      <c r="G26140" s="3" t="s">
        <v>12400</v>
      </c>
    </row>
    <row r="26141">
      <c r="A26141" s="3" t="s">
        <v>42558</v>
      </c>
      <c r="B26141" s="3" t="s">
        <v>21229</v>
      </c>
      <c r="C26141" s="5" t="s">
        <v>206</v>
      </c>
      <c r="D26141" s="3" t="s">
        <v>68</v>
      </c>
      <c r="E26141" s="3" t="s">
        <v>100</v>
      </c>
      <c r="F26141" s="7">
        <v>46248.434883842034</v>
      </c>
      <c r="G26141" s="3" t="s">
        <v>12402</v>
      </c>
    </row>
    <row r="26142">
      <c r="A26142" s="3" t="s">
        <v>42559</v>
      </c>
      <c r="B26142" s="3" t="s">
        <v>21231</v>
      </c>
      <c r="C26142" s="5" t="s">
        <v>45</v>
      </c>
      <c r="D26142" s="3" t="s">
        <v>221</v>
      </c>
      <c r="E26142" s="3" t="s">
        <v>519</v>
      </c>
      <c r="F26142" s="7">
        <v>46248.49564202078</v>
      </c>
      <c r="G26142" s="3" t="s">
        <v>12500</v>
      </c>
    </row>
    <row r="26143">
      <c r="A26143" s="3" t="s">
        <v>42560</v>
      </c>
      <c r="B26143" s="3" t="s">
        <v>21231</v>
      </c>
      <c r="C26143" s="5" t="s">
        <v>221</v>
      </c>
      <c r="D26143" s="3" t="s">
        <v>614</v>
      </c>
      <c r="E26143" s="3" t="s">
        <v>118</v>
      </c>
      <c r="F26143" s="7">
        <v>46248.499114243</v>
      </c>
      <c r="G26143" s="3" t="s">
        <v>12503</v>
      </c>
    </row>
    <row r="26144">
      <c r="A26144" s="3" t="s">
        <v>42561</v>
      </c>
      <c r="B26144" s="3" t="s">
        <v>21231</v>
      </c>
      <c r="C26144" s="5" t="s">
        <v>614</v>
      </c>
      <c r="D26144" s="3" t="s">
        <v>206</v>
      </c>
      <c r="E26144" s="3" t="s">
        <v>100</v>
      </c>
      <c r="F26144" s="7">
        <v>46248.50258646523</v>
      </c>
      <c r="G26144" s="3" t="s">
        <v>12507</v>
      </c>
    </row>
    <row r="26145">
      <c r="A26145" s="3" t="s">
        <v>42562</v>
      </c>
      <c r="B26145" s="3" t="s">
        <v>21231</v>
      </c>
      <c r="C26145" s="5" t="s">
        <v>206</v>
      </c>
      <c r="D26145" s="3" t="s">
        <v>68</v>
      </c>
      <c r="E26145" s="3" t="s">
        <v>100</v>
      </c>
      <c r="F26145" s="7">
        <v>46248.506058687446</v>
      </c>
      <c r="G26145" s="3" t="s">
        <v>12510</v>
      </c>
    </row>
    <row r="26146">
      <c r="A26146" s="3" t="s">
        <v>42563</v>
      </c>
      <c r="B26146" s="3" t="s">
        <v>21233</v>
      </c>
      <c r="C26146" s="5" t="s">
        <v>45</v>
      </c>
      <c r="D26146" s="3" t="s">
        <v>221</v>
      </c>
      <c r="E26146" s="3" t="s">
        <v>704</v>
      </c>
      <c r="F26146" s="7">
        <v>46248.5668168662</v>
      </c>
      <c r="G26146" s="3" t="s">
        <v>5043</v>
      </c>
    </row>
    <row r="26147">
      <c r="A26147" s="3" t="s">
        <v>42564</v>
      </c>
      <c r="B26147" s="3" t="s">
        <v>21233</v>
      </c>
      <c r="C26147" s="5" t="s">
        <v>221</v>
      </c>
      <c r="D26147" s="3" t="s">
        <v>181</v>
      </c>
      <c r="E26147" s="3" t="s">
        <v>118</v>
      </c>
      <c r="F26147" s="7">
        <v>46248.57028908842</v>
      </c>
      <c r="G26147" s="3" t="s">
        <v>42565</v>
      </c>
    </row>
    <row r="26148">
      <c r="A26148" s="3" t="s">
        <v>42566</v>
      </c>
      <c r="B26148" s="3" t="s">
        <v>21236</v>
      </c>
      <c r="C26148" s="5" t="s">
        <v>45</v>
      </c>
      <c r="D26148" s="3" t="s">
        <v>221</v>
      </c>
      <c r="E26148" s="3" t="s">
        <v>466</v>
      </c>
      <c r="F26148" s="7">
        <v>46248.637991711614</v>
      </c>
      <c r="G26148" s="3" t="s">
        <v>10352</v>
      </c>
    </row>
    <row r="26149">
      <c r="A26149" s="3" t="s">
        <v>42567</v>
      </c>
      <c r="B26149" s="3" t="s">
        <v>21236</v>
      </c>
      <c r="C26149" s="5" t="s">
        <v>221</v>
      </c>
      <c r="D26149" s="3" t="s">
        <v>614</v>
      </c>
      <c r="E26149" s="3" t="s">
        <v>118</v>
      </c>
      <c r="F26149" s="7">
        <v>46248.64146393383</v>
      </c>
      <c r="G26149" s="3" t="s">
        <v>10355</v>
      </c>
    </row>
    <row r="26150">
      <c r="A26150" s="3" t="s">
        <v>42568</v>
      </c>
      <c r="B26150" s="3" t="s">
        <v>21236</v>
      </c>
      <c r="C26150" s="5" t="s">
        <v>614</v>
      </c>
      <c r="D26150" s="3" t="s">
        <v>206</v>
      </c>
      <c r="E26150" s="3" t="s">
        <v>100</v>
      </c>
      <c r="F26150" s="7">
        <v>46248.64493615606</v>
      </c>
      <c r="G26150" s="3" t="s">
        <v>10358</v>
      </c>
    </row>
    <row r="26151">
      <c r="A26151" s="3" t="s">
        <v>42569</v>
      </c>
      <c r="B26151" s="3" t="s">
        <v>21236</v>
      </c>
      <c r="C26151" s="5" t="s">
        <v>206</v>
      </c>
      <c r="D26151" s="3" t="s">
        <v>68</v>
      </c>
      <c r="E26151" s="3" t="s">
        <v>100</v>
      </c>
      <c r="F26151" s="7">
        <v>46248.64840837828</v>
      </c>
      <c r="G26151" s="3" t="s">
        <v>10361</v>
      </c>
    </row>
    <row r="26152">
      <c r="A26152" s="3" t="s">
        <v>42570</v>
      </c>
      <c r="B26152" s="3" t="s">
        <v>21238</v>
      </c>
      <c r="C26152" s="5" t="s">
        <v>45</v>
      </c>
      <c r="D26152" s="3" t="s">
        <v>221</v>
      </c>
      <c r="E26152" s="3" t="s">
        <v>352</v>
      </c>
      <c r="F26152" s="7">
        <v>46248.709166557026</v>
      </c>
      <c r="G26152" s="3" t="s">
        <v>12513</v>
      </c>
    </row>
    <row r="26153">
      <c r="A26153" s="3" t="s">
        <v>42571</v>
      </c>
      <c r="B26153" s="3" t="s">
        <v>21238</v>
      </c>
      <c r="C26153" s="5" t="s">
        <v>221</v>
      </c>
      <c r="D26153" s="3" t="s">
        <v>614</v>
      </c>
      <c r="E26153" s="3" t="s">
        <v>118</v>
      </c>
      <c r="F26153" s="7">
        <v>46248.712638779245</v>
      </c>
      <c r="G26153" s="3" t="s">
        <v>12516</v>
      </c>
    </row>
    <row r="26154">
      <c r="A26154" s="3" t="s">
        <v>42572</v>
      </c>
      <c r="B26154" s="3" t="s">
        <v>21238</v>
      </c>
      <c r="C26154" s="5" t="s">
        <v>614</v>
      </c>
      <c r="D26154" s="3" t="s">
        <v>206</v>
      </c>
      <c r="E26154" s="3" t="s">
        <v>100</v>
      </c>
      <c r="F26154" s="7">
        <v>46248.71611100147</v>
      </c>
      <c r="G26154" s="3" t="s">
        <v>12519</v>
      </c>
    </row>
    <row r="26155">
      <c r="A26155" s="3" t="s">
        <v>42573</v>
      </c>
      <c r="B26155" s="3" t="s">
        <v>21238</v>
      </c>
      <c r="C26155" s="5" t="s">
        <v>206</v>
      </c>
      <c r="D26155" s="3" t="s">
        <v>68</v>
      </c>
      <c r="E26155" s="3" t="s">
        <v>100</v>
      </c>
      <c r="F26155" s="7">
        <v>46248.71958322369</v>
      </c>
      <c r="G26155" s="3" t="s">
        <v>12522</v>
      </c>
    </row>
    <row r="26156">
      <c r="A26156" s="3" t="s">
        <v>42574</v>
      </c>
      <c r="B26156" s="3" t="s">
        <v>21240</v>
      </c>
      <c r="C26156" s="5" t="s">
        <v>45</v>
      </c>
      <c r="D26156" s="3" t="s">
        <v>221</v>
      </c>
      <c r="E26156" s="3" t="s">
        <v>717</v>
      </c>
      <c r="F26156" s="7">
        <v>46248.780341402446</v>
      </c>
      <c r="G26156" s="3" t="s">
        <v>11717</v>
      </c>
    </row>
    <row r="26157">
      <c r="A26157" s="3" t="s">
        <v>42575</v>
      </c>
      <c r="B26157" s="3" t="s">
        <v>21240</v>
      </c>
      <c r="C26157" s="5" t="s">
        <v>221</v>
      </c>
      <c r="D26157" s="3" t="s">
        <v>614</v>
      </c>
      <c r="E26157" s="3" t="s">
        <v>118</v>
      </c>
      <c r="F26157" s="7">
        <v>46248.783813624665</v>
      </c>
      <c r="G26157" s="3" t="s">
        <v>13530</v>
      </c>
    </row>
    <row r="26158">
      <c r="A26158" s="3" t="s">
        <v>42576</v>
      </c>
      <c r="B26158" s="3" t="s">
        <v>21240</v>
      </c>
      <c r="C26158" s="5" t="s">
        <v>614</v>
      </c>
      <c r="D26158" s="3" t="s">
        <v>206</v>
      </c>
      <c r="E26158" s="3" t="s">
        <v>100</v>
      </c>
      <c r="F26158" s="7">
        <v>46248.78728584689</v>
      </c>
      <c r="G26158" s="3" t="s">
        <v>13532</v>
      </c>
    </row>
    <row r="26159">
      <c r="A26159" s="3" t="s">
        <v>42577</v>
      </c>
      <c r="B26159" s="3" t="s">
        <v>21240</v>
      </c>
      <c r="C26159" s="5" t="s">
        <v>206</v>
      </c>
      <c r="D26159" s="3" t="s">
        <v>68</v>
      </c>
      <c r="E26159" s="3" t="s">
        <v>100</v>
      </c>
      <c r="F26159" s="7">
        <v>46248.79075806911</v>
      </c>
      <c r="G26159" s="3" t="s">
        <v>13535</v>
      </c>
    </row>
    <row r="26160">
      <c r="A26160" s="3" t="s">
        <v>42578</v>
      </c>
      <c r="B26160" s="3" t="s">
        <v>21242</v>
      </c>
      <c r="C26160" s="5" t="s">
        <v>45</v>
      </c>
      <c r="D26160" s="3" t="s">
        <v>221</v>
      </c>
      <c r="E26160" s="3" t="s">
        <v>957</v>
      </c>
      <c r="F26160" s="7">
        <v>46248.85151624786</v>
      </c>
      <c r="G26160" s="3" t="s">
        <v>26096</v>
      </c>
    </row>
    <row r="26161">
      <c r="A26161" s="3" t="s">
        <v>42579</v>
      </c>
      <c r="B26161" s="3" t="s">
        <v>21242</v>
      </c>
      <c r="C26161" s="5" t="s">
        <v>221</v>
      </c>
      <c r="D26161" s="3" t="s">
        <v>614</v>
      </c>
      <c r="E26161" s="3" t="s">
        <v>118</v>
      </c>
      <c r="F26161" s="7">
        <v>46248.85498847008</v>
      </c>
      <c r="G26161" s="3" t="s">
        <v>26098</v>
      </c>
    </row>
    <row r="26162">
      <c r="A26162" s="3" t="s">
        <v>42580</v>
      </c>
      <c r="B26162" s="3" t="s">
        <v>21242</v>
      </c>
      <c r="C26162" s="5" t="s">
        <v>614</v>
      </c>
      <c r="D26162" s="3" t="s">
        <v>206</v>
      </c>
      <c r="E26162" s="3" t="s">
        <v>100</v>
      </c>
      <c r="F26162" s="7">
        <v>46248.8584606923</v>
      </c>
      <c r="G26162" s="3" t="s">
        <v>26100</v>
      </c>
    </row>
    <row r="26163">
      <c r="A26163" s="3" t="s">
        <v>42581</v>
      </c>
      <c r="B26163" s="3" t="s">
        <v>21242</v>
      </c>
      <c r="C26163" s="5" t="s">
        <v>206</v>
      </c>
      <c r="D26163" s="3" t="s">
        <v>68</v>
      </c>
      <c r="E26163" s="3" t="s">
        <v>100</v>
      </c>
      <c r="F26163" s="7">
        <v>46248.86193291452</v>
      </c>
      <c r="G26163" s="3" t="s">
        <v>26102</v>
      </c>
    </row>
    <row r="26164">
      <c r="A26164" s="3" t="s">
        <v>42582</v>
      </c>
      <c r="B26164" s="3" t="s">
        <v>21244</v>
      </c>
      <c r="C26164" s="5" t="s">
        <v>45</v>
      </c>
      <c r="D26164" s="3" t="s">
        <v>221</v>
      </c>
      <c r="E26164" s="3" t="s">
        <v>151</v>
      </c>
      <c r="F26164" s="7">
        <v>46248.92269109327</v>
      </c>
      <c r="G26164" s="3" t="s">
        <v>24901</v>
      </c>
    </row>
    <row r="26165">
      <c r="A26165" s="3" t="s">
        <v>42583</v>
      </c>
      <c r="B26165" s="3" t="s">
        <v>21244</v>
      </c>
      <c r="C26165" s="5" t="s">
        <v>221</v>
      </c>
      <c r="D26165" s="3" t="s">
        <v>614</v>
      </c>
      <c r="E26165" s="3" t="s">
        <v>118</v>
      </c>
      <c r="F26165" s="7">
        <v>46248.92616331549</v>
      </c>
      <c r="G26165" s="3" t="s">
        <v>25108</v>
      </c>
    </row>
    <row r="26166">
      <c r="A26166" s="3" t="s">
        <v>42584</v>
      </c>
      <c r="B26166" s="3" t="s">
        <v>21244</v>
      </c>
      <c r="C26166" s="5" t="s">
        <v>614</v>
      </c>
      <c r="D26166" s="3" t="s">
        <v>206</v>
      </c>
      <c r="E26166" s="3" t="s">
        <v>100</v>
      </c>
      <c r="F26166" s="7">
        <v>46248.929635537716</v>
      </c>
      <c r="G26166" s="3" t="s">
        <v>25110</v>
      </c>
    </row>
    <row r="26167">
      <c r="A26167" s="3" t="s">
        <v>42585</v>
      </c>
      <c r="B26167" s="3" t="s">
        <v>21244</v>
      </c>
      <c r="C26167" s="5" t="s">
        <v>206</v>
      </c>
      <c r="D26167" s="3" t="s">
        <v>68</v>
      </c>
      <c r="E26167" s="3" t="s">
        <v>100</v>
      </c>
      <c r="F26167" s="7">
        <v>46248.933107759935</v>
      </c>
      <c r="G26167" s="3" t="s">
        <v>25112</v>
      </c>
    </row>
    <row r="26168">
      <c r="A26168" s="3" t="s">
        <v>42586</v>
      </c>
      <c r="B26168" s="3" t="s">
        <v>21246</v>
      </c>
      <c r="C26168" s="5" t="s">
        <v>45</v>
      </c>
      <c r="D26168" s="3" t="s">
        <v>221</v>
      </c>
      <c r="E26168" s="3" t="s">
        <v>758</v>
      </c>
      <c r="F26168" s="7">
        <v>46248.99386593869</v>
      </c>
      <c r="G26168" s="3" t="s">
        <v>2770</v>
      </c>
    </row>
    <row r="26169">
      <c r="A26169" s="3" t="s">
        <v>42587</v>
      </c>
      <c r="B26169" s="3" t="s">
        <v>21246</v>
      </c>
      <c r="C26169" s="5" t="s">
        <v>221</v>
      </c>
      <c r="D26169" s="3" t="s">
        <v>181</v>
      </c>
      <c r="E26169" s="3" t="s">
        <v>118</v>
      </c>
      <c r="F26169" s="7">
        <v>46248.99733816091</v>
      </c>
      <c r="G26169" s="3" t="s">
        <v>2774</v>
      </c>
    </row>
    <row r="26170">
      <c r="A26170" s="3" t="s">
        <v>42588</v>
      </c>
      <c r="B26170" s="3" t="s">
        <v>21248</v>
      </c>
      <c r="C26170" s="5" t="s">
        <v>45</v>
      </c>
      <c r="D26170" s="3" t="s">
        <v>221</v>
      </c>
      <c r="E26170" s="3" t="s">
        <v>637</v>
      </c>
      <c r="F26170" s="7">
        <v>46249.06504078411</v>
      </c>
      <c r="G26170" s="3" t="s">
        <v>8065</v>
      </c>
    </row>
    <row r="26171">
      <c r="A26171" s="3" t="s">
        <v>42589</v>
      </c>
      <c r="B26171" s="3" t="s">
        <v>21248</v>
      </c>
      <c r="C26171" s="5" t="s">
        <v>221</v>
      </c>
      <c r="D26171" s="3" t="s">
        <v>614</v>
      </c>
      <c r="E26171" s="3" t="s">
        <v>118</v>
      </c>
      <c r="F26171" s="7">
        <v>46249.06851300633</v>
      </c>
      <c r="G26171" s="3" t="s">
        <v>22215</v>
      </c>
    </row>
    <row r="26172">
      <c r="A26172" s="3" t="s">
        <v>42590</v>
      </c>
      <c r="B26172" s="3" t="s">
        <v>21248</v>
      </c>
      <c r="C26172" s="5" t="s">
        <v>614</v>
      </c>
      <c r="D26172" s="3" t="s">
        <v>206</v>
      </c>
      <c r="E26172" s="3" t="s">
        <v>100</v>
      </c>
      <c r="F26172" s="7">
        <v>46249.071985228555</v>
      </c>
      <c r="G26172" s="3" t="s">
        <v>22218</v>
      </c>
    </row>
    <row r="26173">
      <c r="A26173" s="3" t="s">
        <v>42591</v>
      </c>
      <c r="B26173" s="3" t="s">
        <v>21248</v>
      </c>
      <c r="C26173" s="5" t="s">
        <v>206</v>
      </c>
      <c r="D26173" s="3" t="s">
        <v>68</v>
      </c>
      <c r="E26173" s="3" t="s">
        <v>100</v>
      </c>
      <c r="F26173" s="7">
        <v>46249.075457450774</v>
      </c>
      <c r="G26173" s="3" t="s">
        <v>22220</v>
      </c>
    </row>
    <row r="26174">
      <c r="A26174" s="3" t="s">
        <v>42592</v>
      </c>
      <c r="B26174" s="3" t="s">
        <v>21250</v>
      </c>
      <c r="C26174" s="5" t="s">
        <v>45</v>
      </c>
      <c r="D26174" s="3" t="s">
        <v>221</v>
      </c>
      <c r="E26174" s="3" t="s">
        <v>290</v>
      </c>
      <c r="F26174" s="7">
        <v>46249.136215629514</v>
      </c>
      <c r="G26174" s="3" t="s">
        <v>17559</v>
      </c>
    </row>
    <row r="26175">
      <c r="A26175" s="3" t="s">
        <v>42593</v>
      </c>
      <c r="B26175" s="3" t="s">
        <v>21250</v>
      </c>
      <c r="C26175" s="5" t="s">
        <v>221</v>
      </c>
      <c r="D26175" s="3" t="s">
        <v>181</v>
      </c>
      <c r="E26175" s="3" t="s">
        <v>118</v>
      </c>
      <c r="F26175" s="7">
        <v>46249.13968785173</v>
      </c>
      <c r="G26175" s="3" t="s">
        <v>42594</v>
      </c>
    </row>
    <row r="26176">
      <c r="A26176" s="3" t="s">
        <v>42595</v>
      </c>
      <c r="B26176" s="3" t="s">
        <v>21253</v>
      </c>
      <c r="C26176" s="5" t="s">
        <v>45</v>
      </c>
      <c r="D26176" s="3" t="s">
        <v>221</v>
      </c>
      <c r="E26176" s="3" t="s">
        <v>773</v>
      </c>
      <c r="F26176" s="7">
        <v>46249.207390474934</v>
      </c>
      <c r="G26176" s="3" t="s">
        <v>24356</v>
      </c>
    </row>
    <row r="26177">
      <c r="A26177" s="3" t="s">
        <v>42596</v>
      </c>
      <c r="B26177" s="3" t="s">
        <v>21253</v>
      </c>
      <c r="C26177" s="5" t="s">
        <v>221</v>
      </c>
      <c r="D26177" s="3" t="s">
        <v>614</v>
      </c>
      <c r="E26177" s="3" t="s">
        <v>118</v>
      </c>
      <c r="F26177" s="7">
        <v>46249.21086269715</v>
      </c>
      <c r="G26177" s="3" t="s">
        <v>24358</v>
      </c>
    </row>
    <row r="26178">
      <c r="A26178" s="3" t="s">
        <v>42597</v>
      </c>
      <c r="B26178" s="3" t="s">
        <v>21253</v>
      </c>
      <c r="C26178" s="5" t="s">
        <v>614</v>
      </c>
      <c r="D26178" s="3" t="s">
        <v>206</v>
      </c>
      <c r="E26178" s="3" t="s">
        <v>100</v>
      </c>
      <c r="F26178" s="7">
        <v>46249.21433491938</v>
      </c>
      <c r="G26178" s="3" t="s">
        <v>24360</v>
      </c>
    </row>
    <row r="26179">
      <c r="A26179" s="3" t="s">
        <v>42598</v>
      </c>
      <c r="B26179" s="3" t="s">
        <v>21253</v>
      </c>
      <c r="C26179" s="5" t="s">
        <v>206</v>
      </c>
      <c r="D26179" s="3" t="s">
        <v>68</v>
      </c>
      <c r="E26179" s="3" t="s">
        <v>100</v>
      </c>
      <c r="F26179" s="7">
        <v>46249.2178071416</v>
      </c>
      <c r="G26179" s="3" t="s">
        <v>24362</v>
      </c>
    </row>
    <row r="26180">
      <c r="A26180" s="3" t="s">
        <v>42599</v>
      </c>
      <c r="B26180" s="3" t="s">
        <v>21255</v>
      </c>
      <c r="C26180" s="5" t="s">
        <v>45</v>
      </c>
      <c r="D26180" s="3" t="s">
        <v>221</v>
      </c>
      <c r="E26180" s="3" t="s">
        <v>406</v>
      </c>
      <c r="F26180" s="7">
        <v>46249.278565320354</v>
      </c>
      <c r="G26180" s="3" t="s">
        <v>36248</v>
      </c>
    </row>
    <row r="26181">
      <c r="A26181" s="3" t="s">
        <v>42600</v>
      </c>
      <c r="B26181" s="3" t="s">
        <v>21255</v>
      </c>
      <c r="C26181" s="5" t="s">
        <v>221</v>
      </c>
      <c r="D26181" s="3" t="s">
        <v>614</v>
      </c>
      <c r="E26181" s="3" t="s">
        <v>118</v>
      </c>
      <c r="F26181" s="7">
        <v>46249.28203754257</v>
      </c>
      <c r="G26181" s="3" t="s">
        <v>36311</v>
      </c>
    </row>
    <row r="26182">
      <c r="A26182" s="3" t="s">
        <v>42601</v>
      </c>
      <c r="B26182" s="3" t="s">
        <v>21255</v>
      </c>
      <c r="C26182" s="5" t="s">
        <v>614</v>
      </c>
      <c r="D26182" s="3" t="s">
        <v>206</v>
      </c>
      <c r="E26182" s="3" t="s">
        <v>100</v>
      </c>
      <c r="F26182" s="7">
        <v>46249.2855097648</v>
      </c>
      <c r="G26182" s="3" t="s">
        <v>36313</v>
      </c>
    </row>
    <row r="26183">
      <c r="A26183" s="3" t="s">
        <v>42602</v>
      </c>
      <c r="B26183" s="3" t="s">
        <v>21255</v>
      </c>
      <c r="C26183" s="5" t="s">
        <v>206</v>
      </c>
      <c r="D26183" s="3" t="s">
        <v>68</v>
      </c>
      <c r="E26183" s="3" t="s">
        <v>100</v>
      </c>
      <c r="F26183" s="7">
        <v>46249.28898198702</v>
      </c>
      <c r="G26183" s="3" t="s">
        <v>36315</v>
      </c>
    </row>
    <row r="26184">
      <c r="A26184" s="3" t="s">
        <v>42603</v>
      </c>
      <c r="B26184" s="3" t="s">
        <v>21257</v>
      </c>
      <c r="C26184" s="5" t="s">
        <v>45</v>
      </c>
      <c r="D26184" s="3" t="s">
        <v>221</v>
      </c>
      <c r="E26184" s="3" t="s">
        <v>789</v>
      </c>
      <c r="F26184" s="7">
        <v>46249.349740165766</v>
      </c>
      <c r="G26184" s="3" t="s">
        <v>20033</v>
      </c>
    </row>
    <row r="26185">
      <c r="A26185" s="3" t="s">
        <v>42604</v>
      </c>
      <c r="B26185" s="3" t="s">
        <v>21257</v>
      </c>
      <c r="C26185" s="5" t="s">
        <v>221</v>
      </c>
      <c r="D26185" s="3" t="s">
        <v>614</v>
      </c>
      <c r="E26185" s="3" t="s">
        <v>118</v>
      </c>
      <c r="F26185" s="7">
        <v>46249.353212387985</v>
      </c>
      <c r="G26185" s="3" t="s">
        <v>22496</v>
      </c>
    </row>
    <row r="26186">
      <c r="A26186" s="3" t="s">
        <v>42605</v>
      </c>
      <c r="B26186" s="3" t="s">
        <v>21257</v>
      </c>
      <c r="C26186" s="5" t="s">
        <v>614</v>
      </c>
      <c r="D26186" s="3" t="s">
        <v>206</v>
      </c>
      <c r="E26186" s="3" t="s">
        <v>100</v>
      </c>
      <c r="F26186" s="7">
        <v>46249.35668461021</v>
      </c>
      <c r="G26186" s="3" t="s">
        <v>22499</v>
      </c>
    </row>
    <row r="26187">
      <c r="A26187" s="3" t="s">
        <v>42606</v>
      </c>
      <c r="B26187" s="3" t="s">
        <v>21257</v>
      </c>
      <c r="C26187" s="5" t="s">
        <v>206</v>
      </c>
      <c r="D26187" s="3" t="s">
        <v>68</v>
      </c>
      <c r="E26187" s="3" t="s">
        <v>100</v>
      </c>
      <c r="F26187" s="7">
        <v>46249.36015683243</v>
      </c>
      <c r="G26187" s="3" t="s">
        <v>22502</v>
      </c>
    </row>
    <row r="26188">
      <c r="A26188" s="3" t="s">
        <v>42607</v>
      </c>
      <c r="B26188" s="3" t="s">
        <v>21259</v>
      </c>
      <c r="C26188" s="5" t="s">
        <v>45</v>
      </c>
      <c r="D26188" s="3" t="s">
        <v>221</v>
      </c>
      <c r="E26188" s="3" t="s">
        <v>363</v>
      </c>
      <c r="F26188" s="7">
        <v>46249.42091501118</v>
      </c>
      <c r="G26188" s="3" t="s">
        <v>26072</v>
      </c>
    </row>
    <row r="26189">
      <c r="A26189" s="3" t="s">
        <v>42608</v>
      </c>
      <c r="B26189" s="3" t="s">
        <v>21259</v>
      </c>
      <c r="C26189" s="5" t="s">
        <v>221</v>
      </c>
      <c r="D26189" s="3" t="s">
        <v>614</v>
      </c>
      <c r="E26189" s="3" t="s">
        <v>118</v>
      </c>
      <c r="F26189" s="7">
        <v>46249.4243872334</v>
      </c>
      <c r="G26189" s="3" t="s">
        <v>26074</v>
      </c>
    </row>
    <row r="26190">
      <c r="A26190" s="3" t="s">
        <v>42609</v>
      </c>
      <c r="B26190" s="3" t="s">
        <v>21259</v>
      </c>
      <c r="C26190" s="5" t="s">
        <v>614</v>
      </c>
      <c r="D26190" s="3" t="s">
        <v>206</v>
      </c>
      <c r="E26190" s="3" t="s">
        <v>100</v>
      </c>
      <c r="F26190" s="7">
        <v>46249.42785945562</v>
      </c>
      <c r="G26190" s="3" t="s">
        <v>26076</v>
      </c>
    </row>
    <row r="26191">
      <c r="A26191" s="3" t="s">
        <v>42610</v>
      </c>
      <c r="B26191" s="3" t="s">
        <v>21259</v>
      </c>
      <c r="C26191" s="5" t="s">
        <v>206</v>
      </c>
      <c r="D26191" s="3" t="s">
        <v>68</v>
      </c>
      <c r="E26191" s="3" t="s">
        <v>100</v>
      </c>
      <c r="F26191" s="7">
        <v>46249.43133167784</v>
      </c>
      <c r="G26191" s="3" t="s">
        <v>26078</v>
      </c>
    </row>
    <row r="26192">
      <c r="A26192" s="3" t="s">
        <v>42611</v>
      </c>
      <c r="B26192" s="3" t="s">
        <v>21261</v>
      </c>
      <c r="C26192" s="5" t="s">
        <v>45</v>
      </c>
      <c r="D26192" s="3" t="s">
        <v>221</v>
      </c>
      <c r="E26192" s="3" t="s">
        <v>436</v>
      </c>
      <c r="F26192" s="7">
        <v>46249.4920898566</v>
      </c>
      <c r="G26192" s="3" t="s">
        <v>23658</v>
      </c>
    </row>
    <row r="26193">
      <c r="A26193" s="3" t="s">
        <v>42612</v>
      </c>
      <c r="B26193" s="3" t="s">
        <v>21261</v>
      </c>
      <c r="C26193" s="5" t="s">
        <v>221</v>
      </c>
      <c r="D26193" s="3" t="s">
        <v>614</v>
      </c>
      <c r="E26193" s="3" t="s">
        <v>118</v>
      </c>
      <c r="F26193" s="7">
        <v>46249.49556207882</v>
      </c>
      <c r="G26193" s="3" t="s">
        <v>40338</v>
      </c>
    </row>
    <row r="26194">
      <c r="A26194" s="3" t="s">
        <v>42613</v>
      </c>
      <c r="B26194" s="3" t="s">
        <v>21261</v>
      </c>
      <c r="C26194" s="5" t="s">
        <v>614</v>
      </c>
      <c r="D26194" s="3" t="s">
        <v>206</v>
      </c>
      <c r="E26194" s="3" t="s">
        <v>100</v>
      </c>
      <c r="F26194" s="7">
        <v>46249.49903430104</v>
      </c>
      <c r="G26194" s="3" t="s">
        <v>40340</v>
      </c>
    </row>
    <row r="26195">
      <c r="A26195" s="3" t="s">
        <v>42614</v>
      </c>
      <c r="B26195" s="3" t="s">
        <v>21261</v>
      </c>
      <c r="C26195" s="5" t="s">
        <v>206</v>
      </c>
      <c r="D26195" s="3" t="s">
        <v>68</v>
      </c>
      <c r="E26195" s="3" t="s">
        <v>100</v>
      </c>
      <c r="F26195" s="7">
        <v>46249.50250652326</v>
      </c>
      <c r="G26195" s="3" t="s">
        <v>40342</v>
      </c>
    </row>
    <row r="26196">
      <c r="A26196" s="3" t="s">
        <v>42615</v>
      </c>
      <c r="B26196" s="3" t="s">
        <v>21263</v>
      </c>
      <c r="C26196" s="5" t="s">
        <v>45</v>
      </c>
      <c r="D26196" s="3" t="s">
        <v>221</v>
      </c>
      <c r="E26196" s="3" t="s">
        <v>436</v>
      </c>
      <c r="F26196" s="7">
        <v>46249.56326470201</v>
      </c>
      <c r="G26196" s="3" t="s">
        <v>7919</v>
      </c>
    </row>
    <row r="26197">
      <c r="A26197" s="3" t="s">
        <v>42616</v>
      </c>
      <c r="B26197" s="3" t="s">
        <v>21263</v>
      </c>
      <c r="C26197" s="5" t="s">
        <v>221</v>
      </c>
      <c r="D26197" s="3" t="s">
        <v>614</v>
      </c>
      <c r="E26197" s="3" t="s">
        <v>118</v>
      </c>
      <c r="F26197" s="7">
        <v>46249.56673692423</v>
      </c>
      <c r="G26197" s="3" t="s">
        <v>7922</v>
      </c>
    </row>
    <row r="26198">
      <c r="A26198" s="3" t="s">
        <v>42617</v>
      </c>
      <c r="B26198" s="3" t="s">
        <v>21263</v>
      </c>
      <c r="C26198" s="5" t="s">
        <v>614</v>
      </c>
      <c r="D26198" s="3" t="s">
        <v>206</v>
      </c>
      <c r="E26198" s="3" t="s">
        <v>100</v>
      </c>
      <c r="F26198" s="7">
        <v>46249.570209146455</v>
      </c>
      <c r="G26198" s="3" t="s">
        <v>7925</v>
      </c>
    </row>
    <row r="26199">
      <c r="A26199" s="3" t="s">
        <v>42618</v>
      </c>
      <c r="B26199" s="3" t="s">
        <v>21263</v>
      </c>
      <c r="C26199" s="5" t="s">
        <v>206</v>
      </c>
      <c r="D26199" s="3" t="s">
        <v>68</v>
      </c>
      <c r="E26199" s="3" t="s">
        <v>100</v>
      </c>
      <c r="F26199" s="7">
        <v>46249.573681368674</v>
      </c>
      <c r="G26199" s="3" t="s">
        <v>7928</v>
      </c>
    </row>
    <row r="26200">
      <c r="A26200" s="3" t="s">
        <v>42619</v>
      </c>
      <c r="B26200" s="3" t="s">
        <v>21265</v>
      </c>
      <c r="C26200" s="5" t="s">
        <v>45</v>
      </c>
      <c r="D26200" s="3" t="s">
        <v>221</v>
      </c>
      <c r="E26200" s="3" t="s">
        <v>752</v>
      </c>
      <c r="F26200" s="7">
        <v>46249.63443954742</v>
      </c>
      <c r="G26200" s="3" t="s">
        <v>29773</v>
      </c>
    </row>
    <row r="26201">
      <c r="A26201" s="3" t="s">
        <v>42620</v>
      </c>
      <c r="B26201" s="3" t="s">
        <v>21265</v>
      </c>
      <c r="C26201" s="5" t="s">
        <v>221</v>
      </c>
      <c r="D26201" s="3" t="s">
        <v>614</v>
      </c>
      <c r="E26201" s="3" t="s">
        <v>118</v>
      </c>
      <c r="F26201" s="7">
        <v>46249.63791176964</v>
      </c>
      <c r="G26201" s="3" t="s">
        <v>29775</v>
      </c>
    </row>
    <row r="26202">
      <c r="A26202" s="3" t="s">
        <v>42621</v>
      </c>
      <c r="B26202" s="3" t="s">
        <v>21265</v>
      </c>
      <c r="C26202" s="5" t="s">
        <v>614</v>
      </c>
      <c r="D26202" s="3" t="s">
        <v>206</v>
      </c>
      <c r="E26202" s="3" t="s">
        <v>100</v>
      </c>
      <c r="F26202" s="7">
        <v>46249.64138399187</v>
      </c>
      <c r="G26202" s="3" t="s">
        <v>29777</v>
      </c>
    </row>
    <row r="26203">
      <c r="A26203" s="3" t="s">
        <v>42622</v>
      </c>
      <c r="B26203" s="3" t="s">
        <v>21265</v>
      </c>
      <c r="C26203" s="5" t="s">
        <v>206</v>
      </c>
      <c r="D26203" s="3" t="s">
        <v>68</v>
      </c>
      <c r="E26203" s="3" t="s">
        <v>100</v>
      </c>
      <c r="F26203" s="7">
        <v>46249.64485621409</v>
      </c>
      <c r="G26203" s="3" t="s">
        <v>29779</v>
      </c>
    </row>
    <row r="26204">
      <c r="A26204" s="3" t="s">
        <v>42623</v>
      </c>
      <c r="B26204" s="3" t="s">
        <v>21268</v>
      </c>
      <c r="C26204" s="5" t="s">
        <v>45</v>
      </c>
      <c r="D26204" s="3" t="s">
        <v>221</v>
      </c>
      <c r="E26204" s="3" t="s">
        <v>510</v>
      </c>
      <c r="F26204" s="7">
        <v>46249.70561439284</v>
      </c>
      <c r="G26204" s="3" t="s">
        <v>25413</v>
      </c>
    </row>
    <row r="26205">
      <c r="A26205" s="3" t="s">
        <v>42624</v>
      </c>
      <c r="B26205" s="3" t="s">
        <v>21268</v>
      </c>
      <c r="C26205" s="5" t="s">
        <v>221</v>
      </c>
      <c r="D26205" s="3" t="s">
        <v>614</v>
      </c>
      <c r="E26205" s="3" t="s">
        <v>118</v>
      </c>
      <c r="F26205" s="7">
        <v>46249.70908661506</v>
      </c>
      <c r="G26205" s="3" t="s">
        <v>25415</v>
      </c>
    </row>
    <row r="26206">
      <c r="A26206" s="3" t="s">
        <v>42625</v>
      </c>
      <c r="B26206" s="3" t="s">
        <v>21268</v>
      </c>
      <c r="C26206" s="5" t="s">
        <v>614</v>
      </c>
      <c r="D26206" s="3" t="s">
        <v>206</v>
      </c>
      <c r="E26206" s="3" t="s">
        <v>100</v>
      </c>
      <c r="F26206" s="7">
        <v>46249.71255883729</v>
      </c>
      <c r="G26206" s="3" t="s">
        <v>25417</v>
      </c>
    </row>
    <row r="26207">
      <c r="A26207" s="3" t="s">
        <v>42626</v>
      </c>
      <c r="B26207" s="3" t="s">
        <v>21268</v>
      </c>
      <c r="C26207" s="5" t="s">
        <v>206</v>
      </c>
      <c r="D26207" s="3" t="s">
        <v>68</v>
      </c>
      <c r="E26207" s="3" t="s">
        <v>100</v>
      </c>
      <c r="F26207" s="7">
        <v>46249.716031059506</v>
      </c>
      <c r="G26207" s="3" t="s">
        <v>25419</v>
      </c>
    </row>
    <row r="26208">
      <c r="A26208" s="3" t="s">
        <v>42627</v>
      </c>
      <c r="B26208" s="3" t="s">
        <v>21270</v>
      </c>
      <c r="C26208" s="5" t="s">
        <v>45</v>
      </c>
      <c r="D26208" s="3" t="s">
        <v>221</v>
      </c>
      <c r="E26208" s="3" t="s">
        <v>860</v>
      </c>
      <c r="F26208" s="7">
        <v>46249.776789238254</v>
      </c>
      <c r="G26208" s="3" t="s">
        <v>12570</v>
      </c>
    </row>
    <row r="26209">
      <c r="A26209" s="3" t="s">
        <v>42628</v>
      </c>
      <c r="B26209" s="3" t="s">
        <v>21270</v>
      </c>
      <c r="C26209" s="5" t="s">
        <v>221</v>
      </c>
      <c r="D26209" s="3" t="s">
        <v>614</v>
      </c>
      <c r="E26209" s="3" t="s">
        <v>118</v>
      </c>
      <c r="F26209" s="7">
        <v>46249.78026146047</v>
      </c>
      <c r="G26209" s="3" t="s">
        <v>12573</v>
      </c>
    </row>
    <row r="26210">
      <c r="A26210" s="3" t="s">
        <v>42629</v>
      </c>
      <c r="B26210" s="3" t="s">
        <v>21270</v>
      </c>
      <c r="C26210" s="5" t="s">
        <v>614</v>
      </c>
      <c r="D26210" s="3" t="s">
        <v>206</v>
      </c>
      <c r="E26210" s="3" t="s">
        <v>100</v>
      </c>
      <c r="F26210" s="7">
        <v>46249.7837336827</v>
      </c>
      <c r="G26210" s="3" t="s">
        <v>12576</v>
      </c>
    </row>
    <row r="26211">
      <c r="A26211" s="3" t="s">
        <v>42630</v>
      </c>
      <c r="B26211" s="3" t="s">
        <v>21270</v>
      </c>
      <c r="C26211" s="5" t="s">
        <v>206</v>
      </c>
      <c r="D26211" s="3" t="s">
        <v>68</v>
      </c>
      <c r="E26211" s="3" t="s">
        <v>100</v>
      </c>
      <c r="F26211" s="7">
        <v>46249.78720590492</v>
      </c>
      <c r="G26211" s="3" t="s">
        <v>12579</v>
      </c>
    </row>
    <row r="26212">
      <c r="A26212" s="3" t="s">
        <v>42631</v>
      </c>
      <c r="B26212" s="3" t="s">
        <v>21273</v>
      </c>
      <c r="C26212" s="5" t="s">
        <v>45</v>
      </c>
      <c r="D26212" s="3" t="s">
        <v>221</v>
      </c>
      <c r="E26212" s="3" t="s">
        <v>943</v>
      </c>
      <c r="F26212" s="7">
        <v>46249.84796408367</v>
      </c>
      <c r="G26212" s="3" t="s">
        <v>26908</v>
      </c>
    </row>
    <row r="26213">
      <c r="A26213" s="3" t="s">
        <v>42632</v>
      </c>
      <c r="B26213" s="3" t="s">
        <v>21273</v>
      </c>
      <c r="C26213" s="5" t="s">
        <v>221</v>
      </c>
      <c r="D26213" s="3" t="s">
        <v>614</v>
      </c>
      <c r="E26213" s="3" t="s">
        <v>118</v>
      </c>
      <c r="F26213" s="7">
        <v>46249.851436305886</v>
      </c>
      <c r="G26213" s="3" t="s">
        <v>26910</v>
      </c>
    </row>
    <row r="26214">
      <c r="A26214" s="3" t="s">
        <v>42633</v>
      </c>
      <c r="B26214" s="3" t="s">
        <v>21273</v>
      </c>
      <c r="C26214" s="5" t="s">
        <v>614</v>
      </c>
      <c r="D26214" s="3" t="s">
        <v>206</v>
      </c>
      <c r="E26214" s="3" t="s">
        <v>100</v>
      </c>
      <c r="F26214" s="7">
        <v>46249.85490852811</v>
      </c>
      <c r="G26214" s="3" t="s">
        <v>26912</v>
      </c>
    </row>
    <row r="26215">
      <c r="A26215" s="3" t="s">
        <v>42634</v>
      </c>
      <c r="B26215" s="3" t="s">
        <v>21273</v>
      </c>
      <c r="C26215" s="5" t="s">
        <v>206</v>
      </c>
      <c r="D26215" s="3" t="s">
        <v>68</v>
      </c>
      <c r="E26215" s="3" t="s">
        <v>100</v>
      </c>
      <c r="F26215" s="7">
        <v>46249.85838075033</v>
      </c>
      <c r="G26215" s="3" t="s">
        <v>26914</v>
      </c>
    </row>
    <row r="26216">
      <c r="A26216" s="3" t="s">
        <v>42635</v>
      </c>
      <c r="B26216" s="3" t="s">
        <v>21276</v>
      </c>
      <c r="C26216" s="5" t="s">
        <v>45</v>
      </c>
      <c r="D26216" s="3" t="s">
        <v>221</v>
      </c>
      <c r="E26216" s="3" t="s">
        <v>296</v>
      </c>
      <c r="F26216" s="7">
        <v>46249.919138929086</v>
      </c>
      <c r="G26216" s="3" t="s">
        <v>12598</v>
      </c>
    </row>
    <row r="26217">
      <c r="A26217" s="3" t="s">
        <v>42636</v>
      </c>
      <c r="B26217" s="3" t="s">
        <v>21276</v>
      </c>
      <c r="C26217" s="5" t="s">
        <v>221</v>
      </c>
      <c r="D26217" s="3" t="s">
        <v>614</v>
      </c>
      <c r="E26217" s="3" t="s">
        <v>118</v>
      </c>
      <c r="F26217" s="7">
        <v>46249.922611151305</v>
      </c>
      <c r="G26217" s="3" t="s">
        <v>12601</v>
      </c>
    </row>
    <row r="26218">
      <c r="A26218" s="3" t="s">
        <v>42637</v>
      </c>
      <c r="B26218" s="3" t="s">
        <v>21276</v>
      </c>
      <c r="C26218" s="5" t="s">
        <v>614</v>
      </c>
      <c r="D26218" s="3" t="s">
        <v>206</v>
      </c>
      <c r="E26218" s="3" t="s">
        <v>100</v>
      </c>
      <c r="F26218" s="7">
        <v>46249.92608337353</v>
      </c>
      <c r="G26218" s="3" t="s">
        <v>12604</v>
      </c>
    </row>
    <row r="26219">
      <c r="A26219" s="3" t="s">
        <v>42638</v>
      </c>
      <c r="B26219" s="3" t="s">
        <v>21276</v>
      </c>
      <c r="C26219" s="5" t="s">
        <v>206</v>
      </c>
      <c r="D26219" s="3" t="s">
        <v>68</v>
      </c>
      <c r="E26219" s="3" t="s">
        <v>100</v>
      </c>
      <c r="F26219" s="7">
        <v>46249.92955559575</v>
      </c>
      <c r="G26219" s="3" t="s">
        <v>12607</v>
      </c>
    </row>
    <row r="26220">
      <c r="A26220" s="3" t="s">
        <v>42639</v>
      </c>
      <c r="B26220" s="3" t="s">
        <v>21279</v>
      </c>
      <c r="C26220" s="5" t="s">
        <v>45</v>
      </c>
      <c r="D26220" s="3" t="s">
        <v>221</v>
      </c>
      <c r="E26220" s="3" t="s">
        <v>535</v>
      </c>
      <c r="F26220" s="7">
        <v>46249.990313774506</v>
      </c>
      <c r="G26220" s="3" t="s">
        <v>12609</v>
      </c>
    </row>
    <row r="26221">
      <c r="A26221" s="3" t="s">
        <v>42640</v>
      </c>
      <c r="B26221" s="3" t="s">
        <v>21279</v>
      </c>
      <c r="C26221" s="5" t="s">
        <v>221</v>
      </c>
      <c r="D26221" s="3" t="s">
        <v>614</v>
      </c>
      <c r="E26221" s="3" t="s">
        <v>118</v>
      </c>
      <c r="F26221" s="7">
        <v>46249.993785996725</v>
      </c>
      <c r="G26221" s="3" t="s">
        <v>12612</v>
      </c>
    </row>
    <row r="26222">
      <c r="A26222" s="3" t="s">
        <v>42641</v>
      </c>
      <c r="B26222" s="3" t="s">
        <v>21279</v>
      </c>
      <c r="C26222" s="5" t="s">
        <v>614</v>
      </c>
      <c r="D26222" s="3" t="s">
        <v>206</v>
      </c>
      <c r="E26222" s="3" t="s">
        <v>100</v>
      </c>
      <c r="F26222" s="7">
        <v>46249.99725821895</v>
      </c>
      <c r="G26222" s="3" t="s">
        <v>12616</v>
      </c>
    </row>
    <row r="26223">
      <c r="A26223" s="3" t="s">
        <v>42642</v>
      </c>
      <c r="B26223" s="3" t="s">
        <v>21279</v>
      </c>
      <c r="C26223" s="5" t="s">
        <v>206</v>
      </c>
      <c r="D26223" s="3" t="s">
        <v>68</v>
      </c>
      <c r="E26223" s="3" t="s">
        <v>100</v>
      </c>
      <c r="F26223" s="7">
        <v>46250.00073044117</v>
      </c>
      <c r="G26223" s="3" t="s">
        <v>12618</v>
      </c>
    </row>
    <row r="26224">
      <c r="A26224" s="3" t="s">
        <v>42643</v>
      </c>
      <c r="B26224" s="3" t="s">
        <v>21282</v>
      </c>
      <c r="C26224" s="5" t="s">
        <v>45</v>
      </c>
      <c r="D26224" s="3" t="s">
        <v>221</v>
      </c>
      <c r="E26224" s="3" t="s">
        <v>587</v>
      </c>
      <c r="F26224" s="7">
        <v>46250.06148861991</v>
      </c>
      <c r="G26224" s="3" t="s">
        <v>26256</v>
      </c>
    </row>
    <row r="26225">
      <c r="A26225" s="3" t="s">
        <v>42644</v>
      </c>
      <c r="B26225" s="3" t="s">
        <v>21282</v>
      </c>
      <c r="C26225" s="5" t="s">
        <v>221</v>
      </c>
      <c r="D26225" s="3" t="s">
        <v>195</v>
      </c>
      <c r="E26225" s="3" t="s">
        <v>587</v>
      </c>
      <c r="F26225" s="7">
        <v>46250.06496084213</v>
      </c>
      <c r="G26225" s="3" t="s">
        <v>42645</v>
      </c>
    </row>
    <row r="26226">
      <c r="A26226" s="3" t="s">
        <v>42646</v>
      </c>
      <c r="B26226" s="3" t="s">
        <v>21285</v>
      </c>
      <c r="C26226" s="5" t="s">
        <v>45</v>
      </c>
      <c r="D26226" s="3" t="s">
        <v>221</v>
      </c>
      <c r="E26226" s="3" t="s">
        <v>586</v>
      </c>
      <c r="F26226" s="7">
        <v>46250.13266346533</v>
      </c>
      <c r="G26226" s="3" t="s">
        <v>12725</v>
      </c>
    </row>
    <row r="26227">
      <c r="A26227" s="3" t="s">
        <v>42647</v>
      </c>
      <c r="B26227" s="3" t="s">
        <v>21285</v>
      </c>
      <c r="C26227" s="5" t="s">
        <v>221</v>
      </c>
      <c r="D26227" s="3" t="s">
        <v>614</v>
      </c>
      <c r="E26227" s="3" t="s">
        <v>118</v>
      </c>
      <c r="F26227" s="7">
        <v>46250.13613568755</v>
      </c>
      <c r="G26227" s="3" t="s">
        <v>12728</v>
      </c>
    </row>
    <row r="26228">
      <c r="A26228" s="3" t="s">
        <v>42648</v>
      </c>
      <c r="B26228" s="3" t="s">
        <v>21285</v>
      </c>
      <c r="C26228" s="5" t="s">
        <v>614</v>
      </c>
      <c r="D26228" s="3" t="s">
        <v>206</v>
      </c>
      <c r="E26228" s="3" t="s">
        <v>100</v>
      </c>
      <c r="F26228" s="7">
        <v>46250.139607909776</v>
      </c>
      <c r="G26228" s="3" t="s">
        <v>12732</v>
      </c>
    </row>
    <row r="26229">
      <c r="A26229" s="3" t="s">
        <v>42649</v>
      </c>
      <c r="B26229" s="3" t="s">
        <v>21285</v>
      </c>
      <c r="C26229" s="5" t="s">
        <v>206</v>
      </c>
      <c r="D26229" s="3" t="s">
        <v>68</v>
      </c>
      <c r="E26229" s="3" t="s">
        <v>100</v>
      </c>
      <c r="F26229" s="7">
        <v>46250.143080131995</v>
      </c>
      <c r="G26229" s="3" t="s">
        <v>12735</v>
      </c>
    </row>
    <row r="26230">
      <c r="A26230" s="3" t="s">
        <v>42650</v>
      </c>
      <c r="B26230" s="3" t="s">
        <v>21290</v>
      </c>
      <c r="C26230" s="5" t="s">
        <v>45</v>
      </c>
      <c r="D26230" s="3" t="s">
        <v>221</v>
      </c>
      <c r="E26230" s="3" t="s">
        <v>826</v>
      </c>
      <c r="F26230" s="7">
        <v>46250.20383831075</v>
      </c>
      <c r="G26230" s="3" t="s">
        <v>15911</v>
      </c>
    </row>
    <row r="26231">
      <c r="A26231" s="3" t="s">
        <v>42651</v>
      </c>
      <c r="B26231" s="3" t="s">
        <v>21290</v>
      </c>
      <c r="C26231" s="5" t="s">
        <v>221</v>
      </c>
      <c r="D26231" s="3" t="s">
        <v>614</v>
      </c>
      <c r="E26231" s="3" t="s">
        <v>118</v>
      </c>
      <c r="F26231" s="7">
        <v>46250.20731053297</v>
      </c>
      <c r="G26231" s="3" t="s">
        <v>15914</v>
      </c>
    </row>
    <row r="26232">
      <c r="A26232" s="3" t="s">
        <v>42652</v>
      </c>
      <c r="B26232" s="3" t="s">
        <v>21290</v>
      </c>
      <c r="C26232" s="5" t="s">
        <v>614</v>
      </c>
      <c r="D26232" s="3" t="s">
        <v>206</v>
      </c>
      <c r="E26232" s="3" t="s">
        <v>100</v>
      </c>
      <c r="F26232" s="7">
        <v>46250.210782755195</v>
      </c>
      <c r="G26232" s="3" t="s">
        <v>15917</v>
      </c>
    </row>
    <row r="26233">
      <c r="A26233" s="3" t="s">
        <v>42653</v>
      </c>
      <c r="B26233" s="3" t="s">
        <v>21290</v>
      </c>
      <c r="C26233" s="5" t="s">
        <v>206</v>
      </c>
      <c r="D26233" s="3" t="s">
        <v>68</v>
      </c>
      <c r="E26233" s="3" t="s">
        <v>100</v>
      </c>
      <c r="F26233" s="7">
        <v>46250.214254977414</v>
      </c>
      <c r="G26233" s="3" t="s">
        <v>15919</v>
      </c>
    </row>
    <row r="26234">
      <c r="A26234" s="3" t="s">
        <v>42654</v>
      </c>
      <c r="B26234" s="3" t="s">
        <v>21293</v>
      </c>
      <c r="C26234" s="5" t="s">
        <v>45</v>
      </c>
      <c r="D26234" s="3" t="s">
        <v>221</v>
      </c>
      <c r="E26234" s="3" t="s">
        <v>293</v>
      </c>
      <c r="F26234" s="7">
        <v>46250.27501315616</v>
      </c>
      <c r="G26234" s="3" t="s">
        <v>10758</v>
      </c>
    </row>
    <row r="26235">
      <c r="A26235" s="3" t="s">
        <v>42655</v>
      </c>
      <c r="B26235" s="3" t="s">
        <v>21293</v>
      </c>
      <c r="C26235" s="5" t="s">
        <v>221</v>
      </c>
      <c r="D26235" s="3" t="s">
        <v>614</v>
      </c>
      <c r="E26235" s="3" t="s">
        <v>118</v>
      </c>
      <c r="F26235" s="7">
        <v>46250.27848537838</v>
      </c>
      <c r="G26235" s="3" t="s">
        <v>10761</v>
      </c>
    </row>
    <row r="26236">
      <c r="A26236" s="3" t="s">
        <v>42656</v>
      </c>
      <c r="B26236" s="3" t="s">
        <v>21293</v>
      </c>
      <c r="C26236" s="5" t="s">
        <v>614</v>
      </c>
      <c r="D26236" s="3" t="s">
        <v>206</v>
      </c>
      <c r="E26236" s="3" t="s">
        <v>100</v>
      </c>
      <c r="F26236" s="7">
        <v>46250.28195760061</v>
      </c>
      <c r="G26236" s="3" t="s">
        <v>10763</v>
      </c>
    </row>
    <row r="26237">
      <c r="A26237" s="3" t="s">
        <v>42657</v>
      </c>
      <c r="B26237" s="3" t="s">
        <v>21293</v>
      </c>
      <c r="C26237" s="5" t="s">
        <v>206</v>
      </c>
      <c r="D26237" s="3" t="s">
        <v>68</v>
      </c>
      <c r="E26237" s="3" t="s">
        <v>100</v>
      </c>
      <c r="F26237" s="7">
        <v>46250.28542982283</v>
      </c>
      <c r="G26237" s="3" t="s">
        <v>10766</v>
      </c>
    </row>
    <row r="26238">
      <c r="A26238" s="3" t="s">
        <v>42658</v>
      </c>
      <c r="B26238" s="3" t="s">
        <v>21295</v>
      </c>
      <c r="C26238" s="5" t="s">
        <v>45</v>
      </c>
      <c r="D26238" s="3" t="s">
        <v>221</v>
      </c>
      <c r="E26238" s="3" t="s">
        <v>622</v>
      </c>
      <c r="F26238" s="7">
        <v>46250.346188001575</v>
      </c>
      <c r="G26238" s="3" t="s">
        <v>9244</v>
      </c>
    </row>
    <row r="26239">
      <c r="A26239" s="3" t="s">
        <v>42659</v>
      </c>
      <c r="B26239" s="3" t="s">
        <v>21295</v>
      </c>
      <c r="C26239" s="5" t="s">
        <v>221</v>
      </c>
      <c r="D26239" s="3" t="s">
        <v>614</v>
      </c>
      <c r="E26239" s="3" t="s">
        <v>118</v>
      </c>
      <c r="F26239" s="7">
        <v>46250.349660223794</v>
      </c>
      <c r="G26239" s="3" t="s">
        <v>9247</v>
      </c>
    </row>
    <row r="26240">
      <c r="A26240" s="3" t="s">
        <v>42660</v>
      </c>
      <c r="B26240" s="3" t="s">
        <v>21295</v>
      </c>
      <c r="C26240" s="5" t="s">
        <v>614</v>
      </c>
      <c r="D26240" s="3" t="s">
        <v>206</v>
      </c>
      <c r="E26240" s="3" t="s">
        <v>100</v>
      </c>
      <c r="F26240" s="7">
        <v>46250.35313244602</v>
      </c>
      <c r="G26240" s="3" t="s">
        <v>9250</v>
      </c>
    </row>
    <row r="26241">
      <c r="A26241" s="3" t="s">
        <v>42661</v>
      </c>
      <c r="B26241" s="3" t="s">
        <v>21295</v>
      </c>
      <c r="C26241" s="5" t="s">
        <v>206</v>
      </c>
      <c r="D26241" s="3" t="s">
        <v>68</v>
      </c>
      <c r="E26241" s="3" t="s">
        <v>100</v>
      </c>
      <c r="F26241" s="7">
        <v>46250.35660466824</v>
      </c>
      <c r="G26241" s="3" t="s">
        <v>9253</v>
      </c>
    </row>
    <row r="26242">
      <c r="A26242" s="3" t="s">
        <v>42662</v>
      </c>
      <c r="B26242" s="3" t="s">
        <v>21297</v>
      </c>
      <c r="C26242" s="5" t="s">
        <v>45</v>
      </c>
      <c r="D26242" s="3" t="s">
        <v>221</v>
      </c>
      <c r="E26242" s="3" t="s">
        <v>710</v>
      </c>
      <c r="F26242" s="7">
        <v>46250.417362846994</v>
      </c>
      <c r="G26242" s="3" t="s">
        <v>15757</v>
      </c>
    </row>
    <row r="26243">
      <c r="A26243" s="3" t="s">
        <v>42663</v>
      </c>
      <c r="B26243" s="3" t="s">
        <v>21297</v>
      </c>
      <c r="C26243" s="5" t="s">
        <v>221</v>
      </c>
      <c r="D26243" s="3" t="s">
        <v>614</v>
      </c>
      <c r="E26243" s="3" t="s">
        <v>118</v>
      </c>
      <c r="F26243" s="7">
        <v>46250.42083506921</v>
      </c>
      <c r="G26243" s="3" t="s">
        <v>15760</v>
      </c>
    </row>
    <row r="26244">
      <c r="A26244" s="3" t="s">
        <v>42664</v>
      </c>
      <c r="B26244" s="3" t="s">
        <v>21297</v>
      </c>
      <c r="C26244" s="5" t="s">
        <v>614</v>
      </c>
      <c r="D26244" s="3" t="s">
        <v>206</v>
      </c>
      <c r="E26244" s="3" t="s">
        <v>100</v>
      </c>
      <c r="F26244" s="7">
        <v>46250.42430729144</v>
      </c>
      <c r="G26244" s="3" t="s">
        <v>15762</v>
      </c>
    </row>
    <row r="26245">
      <c r="A26245" s="3" t="s">
        <v>42665</v>
      </c>
      <c r="B26245" s="3" t="s">
        <v>21297</v>
      </c>
      <c r="C26245" s="5" t="s">
        <v>206</v>
      </c>
      <c r="D26245" s="3" t="s">
        <v>68</v>
      </c>
      <c r="E26245" s="3" t="s">
        <v>100</v>
      </c>
      <c r="F26245" s="7">
        <v>46250.42777951366</v>
      </c>
      <c r="G26245" s="3" t="s">
        <v>15765</v>
      </c>
    </row>
    <row r="26246">
      <c r="A26246" s="3" t="s">
        <v>42666</v>
      </c>
      <c r="B26246" s="3" t="s">
        <v>21299</v>
      </c>
      <c r="C26246" s="5" t="s">
        <v>45</v>
      </c>
      <c r="D26246" s="3" t="s">
        <v>221</v>
      </c>
      <c r="E26246" s="3" t="s">
        <v>1026</v>
      </c>
      <c r="F26246" s="7">
        <v>46250.48853769241</v>
      </c>
      <c r="G26246" s="3" t="s">
        <v>12793</v>
      </c>
    </row>
    <row r="26247">
      <c r="A26247" s="3" t="s">
        <v>42667</v>
      </c>
      <c r="B26247" s="3" t="s">
        <v>21299</v>
      </c>
      <c r="C26247" s="5" t="s">
        <v>221</v>
      </c>
      <c r="D26247" s="3" t="s">
        <v>614</v>
      </c>
      <c r="E26247" s="3" t="s">
        <v>118</v>
      </c>
      <c r="F26247" s="7">
        <v>46250.492009914626</v>
      </c>
      <c r="G26247" s="3" t="s">
        <v>12796</v>
      </c>
    </row>
    <row r="26248">
      <c r="A26248" s="3" t="s">
        <v>42668</v>
      </c>
      <c r="B26248" s="3" t="s">
        <v>21299</v>
      </c>
      <c r="C26248" s="5" t="s">
        <v>614</v>
      </c>
      <c r="D26248" s="3" t="s">
        <v>206</v>
      </c>
      <c r="E26248" s="3" t="s">
        <v>100</v>
      </c>
      <c r="F26248" s="7">
        <v>46250.49548213685</v>
      </c>
      <c r="G26248" s="3" t="s">
        <v>12798</v>
      </c>
    </row>
    <row r="26249">
      <c r="A26249" s="3" t="s">
        <v>42669</v>
      </c>
      <c r="B26249" s="3" t="s">
        <v>21299</v>
      </c>
      <c r="C26249" s="5" t="s">
        <v>206</v>
      </c>
      <c r="D26249" s="3" t="s">
        <v>68</v>
      </c>
      <c r="E26249" s="3" t="s">
        <v>100</v>
      </c>
      <c r="F26249" s="7">
        <v>46250.49895435907</v>
      </c>
      <c r="G26249" s="3" t="s">
        <v>12801</v>
      </c>
    </row>
    <row r="26250">
      <c r="A26250" s="3" t="s">
        <v>42670</v>
      </c>
      <c r="B26250" s="3" t="s">
        <v>21303</v>
      </c>
      <c r="C26250" s="5" t="s">
        <v>45</v>
      </c>
      <c r="D26250" s="3" t="s">
        <v>221</v>
      </c>
      <c r="E26250" s="3" t="s">
        <v>233</v>
      </c>
      <c r="F26250" s="7">
        <v>46250.55971253782</v>
      </c>
      <c r="G26250" s="3" t="s">
        <v>6476</v>
      </c>
    </row>
    <row r="26251">
      <c r="A26251" s="3" t="s">
        <v>42671</v>
      </c>
      <c r="B26251" s="3" t="s">
        <v>21303</v>
      </c>
      <c r="C26251" s="5" t="s">
        <v>221</v>
      </c>
      <c r="D26251" s="3" t="s">
        <v>614</v>
      </c>
      <c r="E26251" s="3" t="s">
        <v>118</v>
      </c>
      <c r="F26251" s="7">
        <v>46250.56318476004</v>
      </c>
      <c r="G26251" s="3" t="s">
        <v>6479</v>
      </c>
    </row>
    <row r="26252">
      <c r="A26252" s="3" t="s">
        <v>42672</v>
      </c>
      <c r="B26252" s="3" t="s">
        <v>21303</v>
      </c>
      <c r="C26252" s="5" t="s">
        <v>614</v>
      </c>
      <c r="D26252" s="3" t="s">
        <v>206</v>
      </c>
      <c r="E26252" s="3" t="s">
        <v>100</v>
      </c>
      <c r="F26252" s="7">
        <v>46250.566656982264</v>
      </c>
      <c r="G26252" s="3" t="s">
        <v>6482</v>
      </c>
    </row>
    <row r="26253">
      <c r="A26253" s="3" t="s">
        <v>42673</v>
      </c>
      <c r="B26253" s="3" t="s">
        <v>21303</v>
      </c>
      <c r="C26253" s="5" t="s">
        <v>206</v>
      </c>
      <c r="D26253" s="3" t="s">
        <v>68</v>
      </c>
      <c r="E26253" s="3" t="s">
        <v>100</v>
      </c>
      <c r="F26253" s="7">
        <v>46250.57012920448</v>
      </c>
      <c r="G26253" s="3" t="s">
        <v>6485</v>
      </c>
    </row>
    <row r="26254">
      <c r="A26254" s="3" t="s">
        <v>42674</v>
      </c>
      <c r="B26254" s="3" t="s">
        <v>21306</v>
      </c>
      <c r="C26254" s="5" t="s">
        <v>45</v>
      </c>
      <c r="D26254" s="3" t="s">
        <v>221</v>
      </c>
      <c r="E26254" s="3" t="s">
        <v>554</v>
      </c>
      <c r="F26254" s="7">
        <v>46250.63088738324</v>
      </c>
      <c r="G26254" s="3" t="s">
        <v>11310</v>
      </c>
    </row>
    <row r="26255">
      <c r="A26255" s="3" t="s">
        <v>42675</v>
      </c>
      <c r="B26255" s="3" t="s">
        <v>21306</v>
      </c>
      <c r="C26255" s="5" t="s">
        <v>221</v>
      </c>
      <c r="D26255" s="3" t="s">
        <v>614</v>
      </c>
      <c r="E26255" s="3" t="s">
        <v>118</v>
      </c>
      <c r="F26255" s="7">
        <v>46250.63435960546</v>
      </c>
      <c r="G26255" s="3" t="s">
        <v>11353</v>
      </c>
    </row>
    <row r="26256">
      <c r="A26256" s="3" t="s">
        <v>42676</v>
      </c>
      <c r="B26256" s="3" t="s">
        <v>21306</v>
      </c>
      <c r="C26256" s="5" t="s">
        <v>614</v>
      </c>
      <c r="D26256" s="3" t="s">
        <v>206</v>
      </c>
      <c r="E26256" s="3" t="s">
        <v>100</v>
      </c>
      <c r="F26256" s="7">
        <v>46250.637831827684</v>
      </c>
      <c r="G26256" s="3" t="s">
        <v>11355</v>
      </c>
    </row>
    <row r="26257">
      <c r="A26257" s="3" t="s">
        <v>42677</v>
      </c>
      <c r="B26257" s="3" t="s">
        <v>21306</v>
      </c>
      <c r="C26257" s="5" t="s">
        <v>206</v>
      </c>
      <c r="D26257" s="3" t="s">
        <v>68</v>
      </c>
      <c r="E26257" s="3" t="s">
        <v>100</v>
      </c>
      <c r="F26257" s="7">
        <v>46250.6413040499</v>
      </c>
      <c r="G26257" s="3" t="s">
        <v>11358</v>
      </c>
    </row>
    <row r="26258">
      <c r="A26258" s="3" t="s">
        <v>42678</v>
      </c>
      <c r="B26258" s="3" t="s">
        <v>21309</v>
      </c>
      <c r="C26258" s="5" t="s">
        <v>45</v>
      </c>
      <c r="D26258" s="3" t="s">
        <v>221</v>
      </c>
      <c r="E26258" s="3" t="s">
        <v>579</v>
      </c>
      <c r="F26258" s="7">
        <v>46250.70206222865</v>
      </c>
      <c r="G26258" s="3" t="s">
        <v>32601</v>
      </c>
    </row>
    <row r="26259">
      <c r="A26259" s="3" t="s">
        <v>42679</v>
      </c>
      <c r="B26259" s="3" t="s">
        <v>21309</v>
      </c>
      <c r="C26259" s="5" t="s">
        <v>221</v>
      </c>
      <c r="D26259" s="3" t="s">
        <v>614</v>
      </c>
      <c r="E26259" s="3" t="s">
        <v>118</v>
      </c>
      <c r="F26259" s="7">
        <v>46250.70553445087</v>
      </c>
      <c r="G26259" s="3" t="s">
        <v>39694</v>
      </c>
    </row>
    <row r="26260">
      <c r="A26260" s="3" t="s">
        <v>42680</v>
      </c>
      <c r="B26260" s="3" t="s">
        <v>21309</v>
      </c>
      <c r="C26260" s="5" t="s">
        <v>614</v>
      </c>
      <c r="D26260" s="3" t="s">
        <v>206</v>
      </c>
      <c r="E26260" s="3" t="s">
        <v>100</v>
      </c>
      <c r="F26260" s="7">
        <v>46250.709006673096</v>
      </c>
      <c r="G26260" s="3" t="s">
        <v>39696</v>
      </c>
    </row>
    <row r="26261">
      <c r="A26261" s="3" t="s">
        <v>42681</v>
      </c>
      <c r="B26261" s="3" t="s">
        <v>21309</v>
      </c>
      <c r="C26261" s="5" t="s">
        <v>206</v>
      </c>
      <c r="D26261" s="3" t="s">
        <v>68</v>
      </c>
      <c r="E26261" s="3" t="s">
        <v>100</v>
      </c>
      <c r="F26261" s="7">
        <v>46250.712478895315</v>
      </c>
      <c r="G26261" s="3" t="s">
        <v>39698</v>
      </c>
    </row>
    <row r="26262">
      <c r="A26262" s="3" t="s">
        <v>42682</v>
      </c>
      <c r="B26262" s="3" t="s">
        <v>21313</v>
      </c>
      <c r="C26262" s="5" t="s">
        <v>45</v>
      </c>
      <c r="D26262" s="3" t="s">
        <v>221</v>
      </c>
      <c r="E26262" s="3" t="s">
        <v>436</v>
      </c>
      <c r="F26262" s="7">
        <v>46250.77323707406</v>
      </c>
      <c r="G26262" s="3" t="s">
        <v>12804</v>
      </c>
    </row>
    <row r="26263">
      <c r="A26263" s="3" t="s">
        <v>42683</v>
      </c>
      <c r="B26263" s="3" t="s">
        <v>21313</v>
      </c>
      <c r="C26263" s="5" t="s">
        <v>221</v>
      </c>
      <c r="D26263" s="3" t="s">
        <v>614</v>
      </c>
      <c r="E26263" s="3" t="s">
        <v>118</v>
      </c>
      <c r="F26263" s="7">
        <v>46250.77670929628</v>
      </c>
      <c r="G26263" s="3" t="s">
        <v>12807</v>
      </c>
    </row>
    <row r="26264">
      <c r="A26264" s="3" t="s">
        <v>42684</v>
      </c>
      <c r="B26264" s="3" t="s">
        <v>21313</v>
      </c>
      <c r="C26264" s="5" t="s">
        <v>614</v>
      </c>
      <c r="D26264" s="3" t="s">
        <v>206</v>
      </c>
      <c r="E26264" s="3" t="s">
        <v>100</v>
      </c>
      <c r="F26264" s="7">
        <v>46250.78018151851</v>
      </c>
      <c r="G26264" s="3" t="s">
        <v>12810</v>
      </c>
    </row>
    <row r="26265">
      <c r="A26265" s="3" t="s">
        <v>42685</v>
      </c>
      <c r="B26265" s="3" t="s">
        <v>21313</v>
      </c>
      <c r="C26265" s="5" t="s">
        <v>206</v>
      </c>
      <c r="D26265" s="3" t="s">
        <v>68</v>
      </c>
      <c r="E26265" s="3" t="s">
        <v>100</v>
      </c>
      <c r="F26265" s="7">
        <v>46250.78365374073</v>
      </c>
      <c r="G26265" s="3" t="s">
        <v>12813</v>
      </c>
    </row>
    <row r="26266">
      <c r="A26266" s="3" t="s">
        <v>42686</v>
      </c>
      <c r="B26266" s="3" t="s">
        <v>21315</v>
      </c>
      <c r="C26266" s="5" t="s">
        <v>45</v>
      </c>
      <c r="D26266" s="3" t="s">
        <v>221</v>
      </c>
      <c r="E26266" s="3" t="s">
        <v>310</v>
      </c>
      <c r="F26266" s="7">
        <v>46250.84441191948</v>
      </c>
      <c r="G26266" s="3" t="s">
        <v>12167</v>
      </c>
    </row>
    <row r="26267">
      <c r="A26267" s="3" t="s">
        <v>42687</v>
      </c>
      <c r="B26267" s="3" t="s">
        <v>21315</v>
      </c>
      <c r="C26267" s="5" t="s">
        <v>221</v>
      </c>
      <c r="D26267" s="3" t="s">
        <v>614</v>
      </c>
      <c r="E26267" s="3" t="s">
        <v>118</v>
      </c>
      <c r="F26267" s="7">
        <v>46250.8478841417</v>
      </c>
      <c r="G26267" s="3" t="s">
        <v>12170</v>
      </c>
    </row>
    <row r="26268">
      <c r="A26268" s="3" t="s">
        <v>42688</v>
      </c>
      <c r="B26268" s="3" t="s">
        <v>21315</v>
      </c>
      <c r="C26268" s="5" t="s">
        <v>614</v>
      </c>
      <c r="D26268" s="3" t="s">
        <v>206</v>
      </c>
      <c r="E26268" s="3" t="s">
        <v>100</v>
      </c>
      <c r="F26268" s="7">
        <v>46250.85135636393</v>
      </c>
      <c r="G26268" s="3" t="s">
        <v>12173</v>
      </c>
    </row>
    <row r="26269">
      <c r="A26269" s="3" t="s">
        <v>42689</v>
      </c>
      <c r="B26269" s="3" t="s">
        <v>21315</v>
      </c>
      <c r="C26269" s="5" t="s">
        <v>206</v>
      </c>
      <c r="D26269" s="3" t="s">
        <v>68</v>
      </c>
      <c r="E26269" s="3" t="s">
        <v>100</v>
      </c>
      <c r="F26269" s="7">
        <v>46250.85482858615</v>
      </c>
      <c r="G26269" s="3" t="s">
        <v>12176</v>
      </c>
    </row>
    <row r="26270">
      <c r="A26270" s="3" t="s">
        <v>42690</v>
      </c>
      <c r="B26270" s="3" t="s">
        <v>21317</v>
      </c>
      <c r="C26270" s="5" t="s">
        <v>45</v>
      </c>
      <c r="D26270" s="3" t="s">
        <v>221</v>
      </c>
      <c r="E26270" s="3" t="s">
        <v>250</v>
      </c>
      <c r="F26270" s="7">
        <v>46250.915586764895</v>
      </c>
      <c r="G26270" s="3" t="s">
        <v>14040</v>
      </c>
    </row>
    <row r="26271">
      <c r="A26271" s="3" t="s">
        <v>42691</v>
      </c>
      <c r="B26271" s="3" t="s">
        <v>21317</v>
      </c>
      <c r="C26271" s="5" t="s">
        <v>221</v>
      </c>
      <c r="D26271" s="3" t="s">
        <v>614</v>
      </c>
      <c r="E26271" s="3" t="s">
        <v>118</v>
      </c>
      <c r="F26271" s="7">
        <v>46250.919058987114</v>
      </c>
      <c r="G26271" s="3" t="s">
        <v>14043</v>
      </c>
    </row>
    <row r="26272">
      <c r="A26272" s="3" t="s">
        <v>42692</v>
      </c>
      <c r="B26272" s="3" t="s">
        <v>21317</v>
      </c>
      <c r="C26272" s="5" t="s">
        <v>614</v>
      </c>
      <c r="D26272" s="3" t="s">
        <v>206</v>
      </c>
      <c r="E26272" s="3" t="s">
        <v>100</v>
      </c>
      <c r="F26272" s="7">
        <v>46250.92253120934</v>
      </c>
      <c r="G26272" s="3" t="s">
        <v>14046</v>
      </c>
    </row>
    <row r="26273">
      <c r="A26273" s="3" t="s">
        <v>42693</v>
      </c>
      <c r="B26273" s="3" t="s">
        <v>21317</v>
      </c>
      <c r="C26273" s="5" t="s">
        <v>206</v>
      </c>
      <c r="D26273" s="3" t="s">
        <v>68</v>
      </c>
      <c r="E26273" s="3" t="s">
        <v>100</v>
      </c>
      <c r="F26273" s="7">
        <v>46250.92600343156</v>
      </c>
      <c r="G26273" s="3" t="s">
        <v>14048</v>
      </c>
    </row>
    <row r="26274">
      <c r="A26274" s="3" t="s">
        <v>42694</v>
      </c>
      <c r="B26274" s="3" t="s">
        <v>21319</v>
      </c>
      <c r="C26274" s="5" t="s">
        <v>45</v>
      </c>
      <c r="D26274" s="3" t="s">
        <v>221</v>
      </c>
      <c r="E26274" s="3" t="s">
        <v>758</v>
      </c>
      <c r="F26274" s="7">
        <v>46250.98676161031</v>
      </c>
      <c r="G26274" s="3" t="s">
        <v>2770</v>
      </c>
    </row>
    <row r="26275">
      <c r="A26275" s="3" t="s">
        <v>42695</v>
      </c>
      <c r="B26275" s="3" t="s">
        <v>21319</v>
      </c>
      <c r="C26275" s="5" t="s">
        <v>221</v>
      </c>
      <c r="D26275" s="3" t="s">
        <v>195</v>
      </c>
      <c r="E26275" s="3" t="s">
        <v>758</v>
      </c>
      <c r="F26275" s="7">
        <v>46250.99023383253</v>
      </c>
      <c r="G26275" s="3" t="s">
        <v>3055</v>
      </c>
    </row>
    <row r="26276">
      <c r="A26276" s="3" t="s">
        <v>42696</v>
      </c>
      <c r="B26276" s="3" t="s">
        <v>21322</v>
      </c>
      <c r="C26276" s="5" t="s">
        <v>45</v>
      </c>
      <c r="D26276" s="3" t="s">
        <v>221</v>
      </c>
      <c r="E26276" s="3" t="s">
        <v>501</v>
      </c>
      <c r="F26276" s="7">
        <v>46251.05793645573</v>
      </c>
      <c r="G26276" s="3" t="s">
        <v>29330</v>
      </c>
    </row>
    <row r="26277">
      <c r="A26277" s="3" t="s">
        <v>42697</v>
      </c>
      <c r="B26277" s="3" t="s">
        <v>21322</v>
      </c>
      <c r="C26277" s="5" t="s">
        <v>221</v>
      </c>
      <c r="D26277" s="3" t="s">
        <v>614</v>
      </c>
      <c r="E26277" s="3" t="s">
        <v>118</v>
      </c>
      <c r="F26277" s="7">
        <v>46251.061408677946</v>
      </c>
      <c r="G26277" s="3" t="s">
        <v>29332</v>
      </c>
    </row>
    <row r="26278">
      <c r="A26278" s="3" t="s">
        <v>42698</v>
      </c>
      <c r="B26278" s="3" t="s">
        <v>21322</v>
      </c>
      <c r="C26278" s="5" t="s">
        <v>614</v>
      </c>
      <c r="D26278" s="3" t="s">
        <v>206</v>
      </c>
      <c r="E26278" s="3" t="s">
        <v>100</v>
      </c>
      <c r="F26278" s="7">
        <v>46251.06488090017</v>
      </c>
      <c r="G26278" s="3" t="s">
        <v>29334</v>
      </c>
    </row>
    <row r="26279">
      <c r="A26279" s="3" t="s">
        <v>42699</v>
      </c>
      <c r="B26279" s="3" t="s">
        <v>21322</v>
      </c>
      <c r="C26279" s="5" t="s">
        <v>206</v>
      </c>
      <c r="D26279" s="3" t="s">
        <v>68</v>
      </c>
      <c r="E26279" s="3" t="s">
        <v>100</v>
      </c>
      <c r="F26279" s="7">
        <v>46251.06835312239</v>
      </c>
      <c r="G26279" s="3" t="s">
        <v>29336</v>
      </c>
    </row>
    <row r="26280">
      <c r="A26280" s="3" t="s">
        <v>42700</v>
      </c>
      <c r="B26280" s="3" t="s">
        <v>21324</v>
      </c>
      <c r="C26280" s="5" t="s">
        <v>45</v>
      </c>
      <c r="D26280" s="3" t="s">
        <v>221</v>
      </c>
      <c r="E26280" s="3" t="s">
        <v>631</v>
      </c>
      <c r="F26280" s="7">
        <v>46251.12911130115</v>
      </c>
      <c r="G26280" s="3" t="s">
        <v>20022</v>
      </c>
    </row>
    <row r="26281">
      <c r="A26281" s="3" t="s">
        <v>42701</v>
      </c>
      <c r="B26281" s="3" t="s">
        <v>21324</v>
      </c>
      <c r="C26281" s="5" t="s">
        <v>221</v>
      </c>
      <c r="D26281" s="3" t="s">
        <v>614</v>
      </c>
      <c r="E26281" s="3" t="s">
        <v>118</v>
      </c>
      <c r="F26281" s="7">
        <v>46251.132583523366</v>
      </c>
      <c r="G26281" s="3" t="s">
        <v>20024</v>
      </c>
    </row>
    <row r="26282">
      <c r="A26282" s="3" t="s">
        <v>42702</v>
      </c>
      <c r="B26282" s="3" t="s">
        <v>21324</v>
      </c>
      <c r="C26282" s="5" t="s">
        <v>614</v>
      </c>
      <c r="D26282" s="3" t="s">
        <v>206</v>
      </c>
      <c r="E26282" s="3" t="s">
        <v>100</v>
      </c>
      <c r="F26282" s="7">
        <v>46251.13605574559</v>
      </c>
      <c r="G26282" s="3" t="s">
        <v>20027</v>
      </c>
    </row>
    <row r="26283">
      <c r="A26283" s="3" t="s">
        <v>42703</v>
      </c>
      <c r="B26283" s="3" t="s">
        <v>21324</v>
      </c>
      <c r="C26283" s="5" t="s">
        <v>206</v>
      </c>
      <c r="D26283" s="3" t="s">
        <v>68</v>
      </c>
      <c r="E26283" s="3" t="s">
        <v>100</v>
      </c>
      <c r="F26283" s="7">
        <v>46251.13952796781</v>
      </c>
      <c r="G26283" s="3" t="s">
        <v>20030</v>
      </c>
    </row>
    <row r="26284">
      <c r="A26284" s="3" t="s">
        <v>42704</v>
      </c>
      <c r="B26284" s="3" t="s">
        <v>21326</v>
      </c>
      <c r="C26284" s="5" t="s">
        <v>45</v>
      </c>
      <c r="D26284" s="3" t="s">
        <v>221</v>
      </c>
      <c r="E26284" s="3" t="s">
        <v>596</v>
      </c>
      <c r="F26284" s="7">
        <v>46251.20028614655</v>
      </c>
      <c r="G26284" s="3" t="s">
        <v>12861</v>
      </c>
    </row>
    <row r="26285">
      <c r="A26285" s="3" t="s">
        <v>42705</v>
      </c>
      <c r="B26285" s="3" t="s">
        <v>21326</v>
      </c>
      <c r="C26285" s="5" t="s">
        <v>221</v>
      </c>
      <c r="D26285" s="3" t="s">
        <v>614</v>
      </c>
      <c r="E26285" s="3" t="s">
        <v>118</v>
      </c>
      <c r="F26285" s="7">
        <v>46251.20375836877</v>
      </c>
      <c r="G26285" s="3" t="s">
        <v>12865</v>
      </c>
    </row>
    <row r="26286">
      <c r="A26286" s="3" t="s">
        <v>42706</v>
      </c>
      <c r="B26286" s="3" t="s">
        <v>21326</v>
      </c>
      <c r="C26286" s="5" t="s">
        <v>614</v>
      </c>
      <c r="D26286" s="3" t="s">
        <v>206</v>
      </c>
      <c r="E26286" s="3" t="s">
        <v>100</v>
      </c>
      <c r="F26286" s="7">
        <v>46251.207230591</v>
      </c>
      <c r="G26286" s="3" t="s">
        <v>12868</v>
      </c>
    </row>
    <row r="26287">
      <c r="A26287" s="3" t="s">
        <v>42707</v>
      </c>
      <c r="B26287" s="3" t="s">
        <v>21326</v>
      </c>
      <c r="C26287" s="5" t="s">
        <v>206</v>
      </c>
      <c r="D26287" s="3" t="s">
        <v>68</v>
      </c>
      <c r="E26287" s="3" t="s">
        <v>100</v>
      </c>
      <c r="F26287" s="7">
        <v>46251.210702813216</v>
      </c>
      <c r="G26287" s="3" t="s">
        <v>12871</v>
      </c>
    </row>
    <row r="26288">
      <c r="A26288" s="3" t="s">
        <v>42708</v>
      </c>
      <c r="B26288" s="3" t="s">
        <v>21328</v>
      </c>
      <c r="C26288" s="5" t="s">
        <v>45</v>
      </c>
      <c r="D26288" s="3" t="s">
        <v>221</v>
      </c>
      <c r="E26288" s="3" t="s">
        <v>544</v>
      </c>
      <c r="F26288" s="7">
        <v>46251.27146099197</v>
      </c>
      <c r="G26288" s="3" t="s">
        <v>25016</v>
      </c>
    </row>
    <row r="26289">
      <c r="A26289" s="3" t="s">
        <v>42709</v>
      </c>
      <c r="B26289" s="3" t="s">
        <v>21328</v>
      </c>
      <c r="C26289" s="5" t="s">
        <v>221</v>
      </c>
      <c r="D26289" s="3" t="s">
        <v>614</v>
      </c>
      <c r="E26289" s="3" t="s">
        <v>118</v>
      </c>
      <c r="F26289" s="7">
        <v>46251.27493321419</v>
      </c>
      <c r="G26289" s="3" t="s">
        <v>25247</v>
      </c>
    </row>
    <row r="26290">
      <c r="A26290" s="3" t="s">
        <v>42710</v>
      </c>
      <c r="B26290" s="3" t="s">
        <v>21328</v>
      </c>
      <c r="C26290" s="5" t="s">
        <v>614</v>
      </c>
      <c r="D26290" s="3" t="s">
        <v>206</v>
      </c>
      <c r="E26290" s="3" t="s">
        <v>100</v>
      </c>
      <c r="F26290" s="7">
        <v>46251.27840543642</v>
      </c>
      <c r="G26290" s="3" t="s">
        <v>25249</v>
      </c>
    </row>
    <row r="26291">
      <c r="A26291" s="3" t="s">
        <v>42711</v>
      </c>
      <c r="B26291" s="3" t="s">
        <v>21328</v>
      </c>
      <c r="C26291" s="5" t="s">
        <v>206</v>
      </c>
      <c r="D26291" s="3" t="s">
        <v>68</v>
      </c>
      <c r="E26291" s="3" t="s">
        <v>100</v>
      </c>
      <c r="F26291" s="7">
        <v>46251.281877658635</v>
      </c>
      <c r="G26291" s="3" t="s">
        <v>25251</v>
      </c>
    </row>
    <row r="26292">
      <c r="A26292" s="3" t="s">
        <v>42712</v>
      </c>
      <c r="B26292" s="3" t="s">
        <v>21330</v>
      </c>
      <c r="C26292" s="5" t="s">
        <v>45</v>
      </c>
      <c r="D26292" s="3" t="s">
        <v>221</v>
      </c>
      <c r="E26292" s="3" t="s">
        <v>631</v>
      </c>
      <c r="F26292" s="7">
        <v>46251.34263583739</v>
      </c>
      <c r="G26292" s="3" t="s">
        <v>20022</v>
      </c>
    </row>
    <row r="26293">
      <c r="A26293" s="3" t="s">
        <v>42713</v>
      </c>
      <c r="B26293" s="3" t="s">
        <v>21330</v>
      </c>
      <c r="C26293" s="5" t="s">
        <v>221</v>
      </c>
      <c r="D26293" s="3" t="s">
        <v>614</v>
      </c>
      <c r="E26293" s="3" t="s">
        <v>118</v>
      </c>
      <c r="F26293" s="7">
        <v>46251.34610805961</v>
      </c>
      <c r="G26293" s="3" t="s">
        <v>20024</v>
      </c>
    </row>
    <row r="26294">
      <c r="A26294" s="3" t="s">
        <v>42714</v>
      </c>
      <c r="B26294" s="3" t="s">
        <v>21330</v>
      </c>
      <c r="C26294" s="5" t="s">
        <v>614</v>
      </c>
      <c r="D26294" s="3" t="s">
        <v>206</v>
      </c>
      <c r="E26294" s="3" t="s">
        <v>100</v>
      </c>
      <c r="F26294" s="7">
        <v>46251.349580281836</v>
      </c>
      <c r="G26294" s="3" t="s">
        <v>20027</v>
      </c>
    </row>
    <row r="26295">
      <c r="A26295" s="3" t="s">
        <v>42715</v>
      </c>
      <c r="B26295" s="3" t="s">
        <v>21330</v>
      </c>
      <c r="C26295" s="5" t="s">
        <v>206</v>
      </c>
      <c r="D26295" s="3" t="s">
        <v>68</v>
      </c>
      <c r="E26295" s="3" t="s">
        <v>100</v>
      </c>
      <c r="F26295" s="7">
        <v>46251.353052504055</v>
      </c>
      <c r="G26295" s="3" t="s">
        <v>20030</v>
      </c>
    </row>
    <row r="26296">
      <c r="A26296" s="3" t="s">
        <v>42716</v>
      </c>
      <c r="B26296" s="3" t="s">
        <v>21332</v>
      </c>
      <c r="C26296" s="5" t="s">
        <v>45</v>
      </c>
      <c r="D26296" s="3" t="s">
        <v>221</v>
      </c>
      <c r="E26296" s="3" t="s">
        <v>903</v>
      </c>
      <c r="F26296" s="7">
        <v>46251.4138106828</v>
      </c>
      <c r="G26296" s="3" t="s">
        <v>12901</v>
      </c>
    </row>
    <row r="26297">
      <c r="A26297" s="3" t="s">
        <v>42717</v>
      </c>
      <c r="B26297" s="3" t="s">
        <v>21332</v>
      </c>
      <c r="C26297" s="5" t="s">
        <v>221</v>
      </c>
      <c r="D26297" s="3" t="s">
        <v>614</v>
      </c>
      <c r="E26297" s="3" t="s">
        <v>118</v>
      </c>
      <c r="F26297" s="7">
        <v>46251.41728290502</v>
      </c>
      <c r="G26297" s="3" t="s">
        <v>12905</v>
      </c>
    </row>
    <row r="26298">
      <c r="A26298" s="3" t="s">
        <v>42718</v>
      </c>
      <c r="B26298" s="3" t="s">
        <v>21332</v>
      </c>
      <c r="C26298" s="5" t="s">
        <v>614</v>
      </c>
      <c r="D26298" s="3" t="s">
        <v>206</v>
      </c>
      <c r="E26298" s="3" t="s">
        <v>100</v>
      </c>
      <c r="F26298" s="7">
        <v>46251.42075512725</v>
      </c>
      <c r="G26298" s="3" t="s">
        <v>12908</v>
      </c>
    </row>
    <row r="26299">
      <c r="A26299" s="3" t="s">
        <v>42719</v>
      </c>
      <c r="B26299" s="3" t="s">
        <v>21332</v>
      </c>
      <c r="C26299" s="5" t="s">
        <v>206</v>
      </c>
      <c r="D26299" s="3" t="s">
        <v>68</v>
      </c>
      <c r="E26299" s="3" t="s">
        <v>100</v>
      </c>
      <c r="F26299" s="7">
        <v>46251.42422734947</v>
      </c>
      <c r="G26299" s="3" t="s">
        <v>12911</v>
      </c>
    </row>
    <row r="26300">
      <c r="A26300" s="3" t="s">
        <v>42720</v>
      </c>
      <c r="B26300" s="3" t="s">
        <v>21334</v>
      </c>
      <c r="C26300" s="5" t="s">
        <v>45</v>
      </c>
      <c r="D26300" s="3" t="s">
        <v>221</v>
      </c>
      <c r="E26300" s="3" t="s">
        <v>550</v>
      </c>
      <c r="F26300" s="7">
        <v>46251.484985528215</v>
      </c>
      <c r="G26300" s="3" t="s">
        <v>7840</v>
      </c>
    </row>
    <row r="26301">
      <c r="A26301" s="3" t="s">
        <v>42721</v>
      </c>
      <c r="B26301" s="3" t="s">
        <v>21334</v>
      </c>
      <c r="C26301" s="5" t="s">
        <v>221</v>
      </c>
      <c r="D26301" s="3" t="s">
        <v>614</v>
      </c>
      <c r="E26301" s="3" t="s">
        <v>118</v>
      </c>
      <c r="F26301" s="7">
        <v>46251.488457750434</v>
      </c>
      <c r="G26301" s="3" t="s">
        <v>7843</v>
      </c>
    </row>
    <row r="26302">
      <c r="A26302" s="3" t="s">
        <v>42722</v>
      </c>
      <c r="B26302" s="3" t="s">
        <v>21334</v>
      </c>
      <c r="C26302" s="5" t="s">
        <v>614</v>
      </c>
      <c r="D26302" s="3" t="s">
        <v>206</v>
      </c>
      <c r="E26302" s="3" t="s">
        <v>100</v>
      </c>
      <c r="F26302" s="7">
        <v>46251.49192997266</v>
      </c>
      <c r="G26302" s="3" t="s">
        <v>7846</v>
      </c>
    </row>
    <row r="26303">
      <c r="A26303" s="3" t="s">
        <v>42723</v>
      </c>
      <c r="B26303" s="3" t="s">
        <v>21334</v>
      </c>
      <c r="C26303" s="5" t="s">
        <v>206</v>
      </c>
      <c r="D26303" s="3" t="s">
        <v>68</v>
      </c>
      <c r="E26303" s="3" t="s">
        <v>100</v>
      </c>
      <c r="F26303" s="7">
        <v>46251.49540219488</v>
      </c>
      <c r="G26303" s="3" t="s">
        <v>7849</v>
      </c>
    </row>
    <row r="26304">
      <c r="A26304" s="3" t="s">
        <v>42724</v>
      </c>
      <c r="B26304" s="3" t="s">
        <v>21337</v>
      </c>
      <c r="C26304" s="5" t="s">
        <v>45</v>
      </c>
      <c r="D26304" s="3" t="s">
        <v>221</v>
      </c>
      <c r="E26304" s="3" t="s">
        <v>972</v>
      </c>
      <c r="F26304" s="7">
        <v>46251.556160373635</v>
      </c>
      <c r="G26304" s="3" t="s">
        <v>25178</v>
      </c>
    </row>
    <row r="26305">
      <c r="A26305" s="3" t="s">
        <v>42725</v>
      </c>
      <c r="B26305" s="3" t="s">
        <v>21337</v>
      </c>
      <c r="C26305" s="5" t="s">
        <v>221</v>
      </c>
      <c r="D26305" s="3" t="s">
        <v>614</v>
      </c>
      <c r="E26305" s="3" t="s">
        <v>118</v>
      </c>
      <c r="F26305" s="7">
        <v>46251.559632595854</v>
      </c>
      <c r="G26305" s="3" t="s">
        <v>25180</v>
      </c>
    </row>
    <row r="26306">
      <c r="A26306" s="3" t="s">
        <v>42726</v>
      </c>
      <c r="B26306" s="3" t="s">
        <v>21337</v>
      </c>
      <c r="C26306" s="5" t="s">
        <v>614</v>
      </c>
      <c r="D26306" s="3" t="s">
        <v>206</v>
      </c>
      <c r="E26306" s="3" t="s">
        <v>100</v>
      </c>
      <c r="F26306" s="7">
        <v>46251.56310481808</v>
      </c>
      <c r="G26306" s="3" t="s">
        <v>25182</v>
      </c>
    </row>
    <row r="26307">
      <c r="A26307" s="3" t="s">
        <v>42727</v>
      </c>
      <c r="B26307" s="3" t="s">
        <v>21337</v>
      </c>
      <c r="C26307" s="5" t="s">
        <v>206</v>
      </c>
      <c r="D26307" s="3" t="s">
        <v>68</v>
      </c>
      <c r="E26307" s="3" t="s">
        <v>100</v>
      </c>
      <c r="F26307" s="7">
        <v>46251.5665770403</v>
      </c>
      <c r="G26307" s="3" t="s">
        <v>25184</v>
      </c>
    </row>
    <row r="26308">
      <c r="A26308" s="3" t="s">
        <v>42728</v>
      </c>
      <c r="B26308" s="3" t="s">
        <v>21339</v>
      </c>
      <c r="C26308" s="5" t="s">
        <v>45</v>
      </c>
      <c r="D26308" s="3" t="s">
        <v>221</v>
      </c>
      <c r="E26308" s="3" t="s">
        <v>475</v>
      </c>
      <c r="F26308" s="7">
        <v>46251.62733521905</v>
      </c>
      <c r="G26308" s="3" t="s">
        <v>4574</v>
      </c>
    </row>
    <row r="26309">
      <c r="A26309" s="3" t="s">
        <v>42729</v>
      </c>
      <c r="B26309" s="3" t="s">
        <v>21339</v>
      </c>
      <c r="C26309" s="5" t="s">
        <v>221</v>
      </c>
      <c r="D26309" s="3" t="s">
        <v>614</v>
      </c>
      <c r="E26309" s="3" t="s">
        <v>118</v>
      </c>
      <c r="F26309" s="7">
        <v>46251.63080744127</v>
      </c>
      <c r="G26309" s="3" t="s">
        <v>4576</v>
      </c>
    </row>
    <row r="26310">
      <c r="A26310" s="3" t="s">
        <v>42730</v>
      </c>
      <c r="B26310" s="3" t="s">
        <v>21339</v>
      </c>
      <c r="C26310" s="5" t="s">
        <v>614</v>
      </c>
      <c r="D26310" s="3" t="s">
        <v>206</v>
      </c>
      <c r="E26310" s="3" t="s">
        <v>100</v>
      </c>
      <c r="F26310" s="7">
        <v>46251.63427966349</v>
      </c>
      <c r="G26310" s="3" t="s">
        <v>4579</v>
      </c>
    </row>
    <row r="26311">
      <c r="A26311" s="3" t="s">
        <v>42731</v>
      </c>
      <c r="B26311" s="3" t="s">
        <v>21339</v>
      </c>
      <c r="C26311" s="5" t="s">
        <v>206</v>
      </c>
      <c r="D26311" s="3" t="s">
        <v>68</v>
      </c>
      <c r="E26311" s="3" t="s">
        <v>100</v>
      </c>
      <c r="F26311" s="7">
        <v>46251.63775188571</v>
      </c>
      <c r="G26311" s="3" t="s">
        <v>4582</v>
      </c>
    </row>
    <row r="26312">
      <c r="A26312" s="3" t="s">
        <v>42732</v>
      </c>
      <c r="B26312" s="3" t="s">
        <v>21341</v>
      </c>
      <c r="C26312" s="5" t="s">
        <v>45</v>
      </c>
      <c r="D26312" s="3" t="s">
        <v>221</v>
      </c>
      <c r="E26312" s="3" t="s">
        <v>998</v>
      </c>
      <c r="F26312" s="7">
        <v>46251.69851006446</v>
      </c>
      <c r="G26312" s="3" t="s">
        <v>13001</v>
      </c>
    </row>
    <row r="26313">
      <c r="A26313" s="3" t="s">
        <v>42733</v>
      </c>
      <c r="B26313" s="3" t="s">
        <v>21341</v>
      </c>
      <c r="C26313" s="5" t="s">
        <v>221</v>
      </c>
      <c r="D26313" s="3" t="s">
        <v>614</v>
      </c>
      <c r="E26313" s="3" t="s">
        <v>118</v>
      </c>
      <c r="F26313" s="7">
        <v>46251.70198228668</v>
      </c>
      <c r="G26313" s="3" t="s">
        <v>13005</v>
      </c>
    </row>
    <row r="26314">
      <c r="A26314" s="3" t="s">
        <v>42734</v>
      </c>
      <c r="B26314" s="3" t="s">
        <v>21341</v>
      </c>
      <c r="C26314" s="5" t="s">
        <v>614</v>
      </c>
      <c r="D26314" s="3" t="s">
        <v>206</v>
      </c>
      <c r="E26314" s="3" t="s">
        <v>100</v>
      </c>
      <c r="F26314" s="7">
        <v>46251.705454508905</v>
      </c>
      <c r="G26314" s="3" t="s">
        <v>13008</v>
      </c>
    </row>
    <row r="26315">
      <c r="A26315" s="3" t="s">
        <v>42735</v>
      </c>
      <c r="B26315" s="3" t="s">
        <v>21341</v>
      </c>
      <c r="C26315" s="5" t="s">
        <v>206</v>
      </c>
      <c r="D26315" s="3" t="s">
        <v>68</v>
      </c>
      <c r="E26315" s="3" t="s">
        <v>100</v>
      </c>
      <c r="F26315" s="7">
        <v>46251.708926731124</v>
      </c>
      <c r="G26315" s="3" t="s">
        <v>13011</v>
      </c>
    </row>
    <row r="26316">
      <c r="A26316" s="3" t="s">
        <v>42736</v>
      </c>
      <c r="B26316" s="3" t="s">
        <v>21343</v>
      </c>
      <c r="C26316" s="5" t="s">
        <v>45</v>
      </c>
      <c r="D26316" s="3" t="s">
        <v>221</v>
      </c>
      <c r="E26316" s="3" t="s">
        <v>691</v>
      </c>
      <c r="F26316" s="7">
        <v>46251.76968490988</v>
      </c>
      <c r="G26316" s="3" t="s">
        <v>9343</v>
      </c>
    </row>
    <row r="26317">
      <c r="A26317" s="3" t="s">
        <v>42737</v>
      </c>
      <c r="B26317" s="3" t="s">
        <v>21343</v>
      </c>
      <c r="C26317" s="5" t="s">
        <v>221</v>
      </c>
      <c r="D26317" s="3" t="s">
        <v>181</v>
      </c>
      <c r="E26317" s="3" t="s">
        <v>118</v>
      </c>
      <c r="F26317" s="7">
        <v>46251.7731571321</v>
      </c>
      <c r="G26317" s="3" t="s">
        <v>42738</v>
      </c>
    </row>
    <row r="26318">
      <c r="A26318" s="3" t="s">
        <v>42739</v>
      </c>
      <c r="B26318" s="3" t="s">
        <v>21345</v>
      </c>
      <c r="C26318" s="5" t="s">
        <v>45</v>
      </c>
      <c r="D26318" s="3" t="s">
        <v>221</v>
      </c>
      <c r="E26318" s="3" t="s">
        <v>710</v>
      </c>
      <c r="F26318" s="7">
        <v>46251.84085975529</v>
      </c>
      <c r="G26318" s="3" t="s">
        <v>13263</v>
      </c>
    </row>
    <row r="26319">
      <c r="A26319" s="3" t="s">
        <v>42740</v>
      </c>
      <c r="B26319" s="3" t="s">
        <v>21345</v>
      </c>
      <c r="C26319" s="5" t="s">
        <v>221</v>
      </c>
      <c r="D26319" s="3" t="s">
        <v>614</v>
      </c>
      <c r="E26319" s="3" t="s">
        <v>118</v>
      </c>
      <c r="F26319" s="7">
        <v>46251.84433197751</v>
      </c>
      <c r="G26319" s="3" t="s">
        <v>13266</v>
      </c>
    </row>
    <row r="26320">
      <c r="A26320" s="3" t="s">
        <v>42741</v>
      </c>
      <c r="B26320" s="3" t="s">
        <v>21345</v>
      </c>
      <c r="C26320" s="5" t="s">
        <v>614</v>
      </c>
      <c r="D26320" s="3" t="s">
        <v>206</v>
      </c>
      <c r="E26320" s="3" t="s">
        <v>100</v>
      </c>
      <c r="F26320" s="7">
        <v>46251.84780419974</v>
      </c>
      <c r="G26320" s="3" t="s">
        <v>13270</v>
      </c>
    </row>
    <row r="26321">
      <c r="A26321" s="3" t="s">
        <v>42742</v>
      </c>
      <c r="B26321" s="3" t="s">
        <v>21345</v>
      </c>
      <c r="C26321" s="5" t="s">
        <v>206</v>
      </c>
      <c r="D26321" s="3" t="s">
        <v>68</v>
      </c>
      <c r="E26321" s="3" t="s">
        <v>100</v>
      </c>
      <c r="F26321" s="7">
        <v>46251.851276421956</v>
      </c>
      <c r="G26321" s="3" t="s">
        <v>13273</v>
      </c>
    </row>
    <row r="26322">
      <c r="A26322" s="3" t="s">
        <v>42743</v>
      </c>
      <c r="B26322" s="3" t="s">
        <v>21348</v>
      </c>
      <c r="C26322" s="5" t="s">
        <v>45</v>
      </c>
      <c r="D26322" s="3" t="s">
        <v>221</v>
      </c>
      <c r="E26322" s="3" t="s">
        <v>383</v>
      </c>
      <c r="F26322" s="7">
        <v>46251.912034600704</v>
      </c>
      <c r="G26322" s="3" t="s">
        <v>15126</v>
      </c>
    </row>
    <row r="26323">
      <c r="A26323" s="3" t="s">
        <v>42744</v>
      </c>
      <c r="B26323" s="3" t="s">
        <v>21348</v>
      </c>
      <c r="C26323" s="5" t="s">
        <v>221</v>
      </c>
      <c r="D26323" s="3" t="s">
        <v>614</v>
      </c>
      <c r="E26323" s="3" t="s">
        <v>118</v>
      </c>
      <c r="F26323" s="7">
        <v>46251.91550682292</v>
      </c>
      <c r="G26323" s="3" t="s">
        <v>15129</v>
      </c>
    </row>
    <row r="26324">
      <c r="A26324" s="3" t="s">
        <v>42745</v>
      </c>
      <c r="B26324" s="3" t="s">
        <v>21348</v>
      </c>
      <c r="C26324" s="5" t="s">
        <v>614</v>
      </c>
      <c r="D26324" s="3" t="s">
        <v>206</v>
      </c>
      <c r="E26324" s="3" t="s">
        <v>100</v>
      </c>
      <c r="F26324" s="7">
        <v>46251.91897904515</v>
      </c>
      <c r="G26324" s="3" t="s">
        <v>15131</v>
      </c>
    </row>
    <row r="26325">
      <c r="A26325" s="3" t="s">
        <v>42746</v>
      </c>
      <c r="B26325" s="3" t="s">
        <v>21348</v>
      </c>
      <c r="C26325" s="5" t="s">
        <v>206</v>
      </c>
      <c r="D26325" s="3" t="s">
        <v>68</v>
      </c>
      <c r="E26325" s="3" t="s">
        <v>100</v>
      </c>
      <c r="F26325" s="7">
        <v>46251.92245126737</v>
      </c>
      <c r="G26325" s="3" t="s">
        <v>15134</v>
      </c>
    </row>
    <row r="26326">
      <c r="A26326" s="3" t="s">
        <v>42747</v>
      </c>
      <c r="B26326" s="3" t="s">
        <v>21350</v>
      </c>
      <c r="C26326" s="5" t="s">
        <v>45</v>
      </c>
      <c r="D26326" s="3" t="s">
        <v>221</v>
      </c>
      <c r="E26326" s="3" t="s">
        <v>1008</v>
      </c>
      <c r="F26326" s="7">
        <v>46251.98320944612</v>
      </c>
      <c r="G26326" s="3" t="s">
        <v>12301</v>
      </c>
    </row>
    <row r="26327">
      <c r="A26327" s="3" t="s">
        <v>42748</v>
      </c>
      <c r="B26327" s="3" t="s">
        <v>21350</v>
      </c>
      <c r="C26327" s="5" t="s">
        <v>221</v>
      </c>
      <c r="D26327" s="3" t="s">
        <v>614</v>
      </c>
      <c r="E26327" s="3" t="s">
        <v>118</v>
      </c>
      <c r="F26327" s="7">
        <v>46251.98668166834</v>
      </c>
      <c r="G26327" s="3" t="s">
        <v>12304</v>
      </c>
    </row>
    <row r="26328">
      <c r="A26328" s="3" t="s">
        <v>42749</v>
      </c>
      <c r="B26328" s="3" t="s">
        <v>21350</v>
      </c>
      <c r="C26328" s="5" t="s">
        <v>614</v>
      </c>
      <c r="D26328" s="3" t="s">
        <v>206</v>
      </c>
      <c r="E26328" s="3" t="s">
        <v>100</v>
      </c>
      <c r="F26328" s="7">
        <v>46251.99015389057</v>
      </c>
      <c r="G26328" s="3" t="s">
        <v>12307</v>
      </c>
    </row>
    <row r="26329">
      <c r="A26329" s="3" t="s">
        <v>42750</v>
      </c>
      <c r="B26329" s="3" t="s">
        <v>21350</v>
      </c>
      <c r="C26329" s="5" t="s">
        <v>206</v>
      </c>
      <c r="D26329" s="3" t="s">
        <v>68</v>
      </c>
      <c r="E26329" s="3" t="s">
        <v>100</v>
      </c>
      <c r="F26329" s="7">
        <v>46251.99362611279</v>
      </c>
      <c r="G26329" s="3" t="s">
        <v>12310</v>
      </c>
    </row>
    <row r="26330">
      <c r="A26330" s="3" t="s">
        <v>42751</v>
      </c>
      <c r="B26330" s="3" t="s">
        <v>21352</v>
      </c>
      <c r="C26330" s="5" t="s">
        <v>45</v>
      </c>
      <c r="D26330" s="3" t="s">
        <v>221</v>
      </c>
      <c r="E26330" s="3" t="s">
        <v>561</v>
      </c>
      <c r="F26330" s="7">
        <v>46252.05438429154</v>
      </c>
      <c r="G26330" s="3" t="s">
        <v>9437</v>
      </c>
    </row>
    <row r="26331">
      <c r="A26331" s="3" t="s">
        <v>42752</v>
      </c>
      <c r="B26331" s="3" t="s">
        <v>21352</v>
      </c>
      <c r="C26331" s="5" t="s">
        <v>221</v>
      </c>
      <c r="D26331" s="3" t="s">
        <v>614</v>
      </c>
      <c r="E26331" s="3" t="s">
        <v>118</v>
      </c>
      <c r="F26331" s="7">
        <v>46252.05785651376</v>
      </c>
      <c r="G26331" s="3" t="s">
        <v>9440</v>
      </c>
    </row>
    <row r="26332">
      <c r="A26332" s="3" t="s">
        <v>42753</v>
      </c>
      <c r="B26332" s="3" t="s">
        <v>21352</v>
      </c>
      <c r="C26332" s="5" t="s">
        <v>614</v>
      </c>
      <c r="D26332" s="3" t="s">
        <v>206</v>
      </c>
      <c r="E26332" s="3" t="s">
        <v>100</v>
      </c>
      <c r="F26332" s="7">
        <v>46252.06132873599</v>
      </c>
      <c r="G26332" s="3" t="s">
        <v>9442</v>
      </c>
    </row>
    <row r="26333">
      <c r="A26333" s="3" t="s">
        <v>42754</v>
      </c>
      <c r="B26333" s="3" t="s">
        <v>21352</v>
      </c>
      <c r="C26333" s="5" t="s">
        <v>206</v>
      </c>
      <c r="D26333" s="3" t="s">
        <v>68</v>
      </c>
      <c r="E26333" s="3" t="s">
        <v>100</v>
      </c>
      <c r="F26333" s="7">
        <v>46252.06480095821</v>
      </c>
      <c r="G26333" s="3" t="s">
        <v>9445</v>
      </c>
    </row>
    <row r="26334">
      <c r="A26334" s="3" t="s">
        <v>42755</v>
      </c>
      <c r="B26334" s="3" t="s">
        <v>21354</v>
      </c>
      <c r="C26334" s="5" t="s">
        <v>45</v>
      </c>
      <c r="D26334" s="3" t="s">
        <v>221</v>
      </c>
      <c r="E26334" s="3" t="s">
        <v>151</v>
      </c>
      <c r="F26334" s="7">
        <v>46252.12555913695</v>
      </c>
      <c r="G26334" s="3" t="s">
        <v>9397</v>
      </c>
    </row>
    <row r="26335">
      <c r="A26335" s="3" t="s">
        <v>42756</v>
      </c>
      <c r="B26335" s="3" t="s">
        <v>21354</v>
      </c>
      <c r="C26335" s="5" t="s">
        <v>221</v>
      </c>
      <c r="D26335" s="3" t="s">
        <v>614</v>
      </c>
      <c r="E26335" s="3" t="s">
        <v>118</v>
      </c>
      <c r="F26335" s="7">
        <v>46252.12903135917</v>
      </c>
      <c r="G26335" s="3" t="s">
        <v>9399</v>
      </c>
    </row>
    <row r="26336">
      <c r="A26336" s="3" t="s">
        <v>42757</v>
      </c>
      <c r="B26336" s="3" t="s">
        <v>21354</v>
      </c>
      <c r="C26336" s="5" t="s">
        <v>614</v>
      </c>
      <c r="D26336" s="3" t="s">
        <v>206</v>
      </c>
      <c r="E26336" s="3" t="s">
        <v>100</v>
      </c>
      <c r="F26336" s="7">
        <v>46252.13250358139</v>
      </c>
      <c r="G26336" s="3" t="s">
        <v>9402</v>
      </c>
    </row>
    <row r="26337">
      <c r="A26337" s="3" t="s">
        <v>42758</v>
      </c>
      <c r="B26337" s="3" t="s">
        <v>21354</v>
      </c>
      <c r="C26337" s="5" t="s">
        <v>206</v>
      </c>
      <c r="D26337" s="3" t="s">
        <v>68</v>
      </c>
      <c r="E26337" s="3" t="s">
        <v>100</v>
      </c>
      <c r="F26337" s="7">
        <v>46252.13597580361</v>
      </c>
      <c r="G26337" s="3" t="s">
        <v>9405</v>
      </c>
    </row>
    <row r="26338">
      <c r="A26338" s="3" t="s">
        <v>42759</v>
      </c>
      <c r="B26338" s="3" t="s">
        <v>21356</v>
      </c>
      <c r="C26338" s="5" t="s">
        <v>45</v>
      </c>
      <c r="D26338" s="3" t="s">
        <v>221</v>
      </c>
      <c r="E26338" s="3" t="s">
        <v>189</v>
      </c>
      <c r="F26338" s="7">
        <v>46252.19673398237</v>
      </c>
      <c r="G26338" s="3" t="s">
        <v>17271</v>
      </c>
    </row>
    <row r="26339">
      <c r="A26339" s="3" t="s">
        <v>42760</v>
      </c>
      <c r="B26339" s="3" t="s">
        <v>21356</v>
      </c>
      <c r="C26339" s="5" t="s">
        <v>221</v>
      </c>
      <c r="D26339" s="3" t="s">
        <v>181</v>
      </c>
      <c r="E26339" s="3" t="s">
        <v>118</v>
      </c>
      <c r="F26339" s="7">
        <v>46252.20020620459</v>
      </c>
      <c r="G26339" s="3" t="s">
        <v>42761</v>
      </c>
    </row>
    <row r="26340">
      <c r="A26340" s="3" t="s">
        <v>42762</v>
      </c>
      <c r="B26340" s="3" t="s">
        <v>21359</v>
      </c>
      <c r="C26340" s="5" t="s">
        <v>45</v>
      </c>
      <c r="D26340" s="3" t="s">
        <v>221</v>
      </c>
      <c r="E26340" s="3" t="s">
        <v>322</v>
      </c>
      <c r="F26340" s="7">
        <v>46252.26790882779</v>
      </c>
      <c r="G26340" s="3" t="s">
        <v>13289</v>
      </c>
    </row>
    <row r="26341">
      <c r="A26341" s="3" t="s">
        <v>42763</v>
      </c>
      <c r="B26341" s="3" t="s">
        <v>21359</v>
      </c>
      <c r="C26341" s="5" t="s">
        <v>221</v>
      </c>
      <c r="D26341" s="3" t="s">
        <v>614</v>
      </c>
      <c r="E26341" s="3" t="s">
        <v>118</v>
      </c>
      <c r="F26341" s="7">
        <v>46252.271381050006</v>
      </c>
      <c r="G26341" s="3" t="s">
        <v>13292</v>
      </c>
    </row>
    <row r="26342">
      <c r="A26342" s="3" t="s">
        <v>42764</v>
      </c>
      <c r="B26342" s="3" t="s">
        <v>21359</v>
      </c>
      <c r="C26342" s="5" t="s">
        <v>614</v>
      </c>
      <c r="D26342" s="3" t="s">
        <v>206</v>
      </c>
      <c r="E26342" s="3" t="s">
        <v>100</v>
      </c>
      <c r="F26342" s="7">
        <v>46252.27485327223</v>
      </c>
      <c r="G26342" s="3" t="s">
        <v>13295</v>
      </c>
    </row>
    <row r="26343">
      <c r="A26343" s="3" t="s">
        <v>42765</v>
      </c>
      <c r="B26343" s="3" t="s">
        <v>21359</v>
      </c>
      <c r="C26343" s="5" t="s">
        <v>206</v>
      </c>
      <c r="D26343" s="3" t="s">
        <v>68</v>
      </c>
      <c r="E26343" s="3" t="s">
        <v>100</v>
      </c>
      <c r="F26343" s="7">
        <v>46252.27832549445</v>
      </c>
      <c r="G26343" s="3" t="s">
        <v>13299</v>
      </c>
    </row>
    <row r="26344">
      <c r="A26344" s="3" t="s">
        <v>42766</v>
      </c>
      <c r="B26344" s="3" t="s">
        <v>21362</v>
      </c>
      <c r="C26344" s="5" t="s">
        <v>45</v>
      </c>
      <c r="D26344" s="3" t="s">
        <v>221</v>
      </c>
      <c r="E26344" s="3" t="s">
        <v>652</v>
      </c>
      <c r="F26344" s="7">
        <v>46252.3390836732</v>
      </c>
      <c r="G26344" s="3" t="s">
        <v>11950</v>
      </c>
    </row>
    <row r="26345">
      <c r="A26345" s="3" t="s">
        <v>42767</v>
      </c>
      <c r="B26345" s="3" t="s">
        <v>21362</v>
      </c>
      <c r="C26345" s="5" t="s">
        <v>221</v>
      </c>
      <c r="D26345" s="3" t="s">
        <v>614</v>
      </c>
      <c r="E26345" s="3" t="s">
        <v>118</v>
      </c>
      <c r="F26345" s="7">
        <v>46252.34255589542</v>
      </c>
      <c r="G26345" s="3" t="s">
        <v>11953</v>
      </c>
    </row>
    <row r="26346">
      <c r="A26346" s="3" t="s">
        <v>42768</v>
      </c>
      <c r="B26346" s="3" t="s">
        <v>21362</v>
      </c>
      <c r="C26346" s="5" t="s">
        <v>614</v>
      </c>
      <c r="D26346" s="3" t="s">
        <v>206</v>
      </c>
      <c r="E26346" s="3" t="s">
        <v>100</v>
      </c>
      <c r="F26346" s="7">
        <v>46252.346028117645</v>
      </c>
      <c r="G26346" s="3" t="s">
        <v>11956</v>
      </c>
    </row>
    <row r="26347">
      <c r="A26347" s="3" t="s">
        <v>42769</v>
      </c>
      <c r="B26347" s="3" t="s">
        <v>21362</v>
      </c>
      <c r="C26347" s="5" t="s">
        <v>206</v>
      </c>
      <c r="D26347" s="3" t="s">
        <v>68</v>
      </c>
      <c r="E26347" s="3" t="s">
        <v>100</v>
      </c>
      <c r="F26347" s="7">
        <v>46252.349500339864</v>
      </c>
      <c r="G26347" s="3" t="s">
        <v>11959</v>
      </c>
    </row>
    <row r="26348">
      <c r="A26348" s="3" t="s">
        <v>42770</v>
      </c>
      <c r="B26348" s="3" t="s">
        <v>21364</v>
      </c>
      <c r="C26348" s="5" t="s">
        <v>45</v>
      </c>
      <c r="D26348" s="3" t="s">
        <v>221</v>
      </c>
      <c r="E26348" s="3" t="s">
        <v>710</v>
      </c>
      <c r="F26348" s="7">
        <v>46252.41025851861</v>
      </c>
      <c r="G26348" s="3" t="s">
        <v>27287</v>
      </c>
    </row>
    <row r="26349">
      <c r="A26349" s="3" t="s">
        <v>42771</v>
      </c>
      <c r="B26349" s="3" t="s">
        <v>21364</v>
      </c>
      <c r="C26349" s="5" t="s">
        <v>221</v>
      </c>
      <c r="D26349" s="3" t="s">
        <v>614</v>
      </c>
      <c r="E26349" s="3" t="s">
        <v>118</v>
      </c>
      <c r="F26349" s="7">
        <v>46252.41373074083</v>
      </c>
      <c r="G26349" s="3" t="s">
        <v>27289</v>
      </c>
    </row>
    <row r="26350">
      <c r="A26350" s="3" t="s">
        <v>42772</v>
      </c>
      <c r="B26350" s="3" t="s">
        <v>21364</v>
      </c>
      <c r="C26350" s="5" t="s">
        <v>614</v>
      </c>
      <c r="D26350" s="3" t="s">
        <v>206</v>
      </c>
      <c r="E26350" s="3" t="s">
        <v>100</v>
      </c>
      <c r="F26350" s="7">
        <v>46252.41720296306</v>
      </c>
      <c r="G26350" s="3" t="s">
        <v>27291</v>
      </c>
    </row>
    <row r="26351">
      <c r="A26351" s="3" t="s">
        <v>42773</v>
      </c>
      <c r="B26351" s="3" t="s">
        <v>21364</v>
      </c>
      <c r="C26351" s="5" t="s">
        <v>206</v>
      </c>
      <c r="D26351" s="3" t="s">
        <v>68</v>
      </c>
      <c r="E26351" s="3" t="s">
        <v>100</v>
      </c>
      <c r="F26351" s="7">
        <v>46252.420675185276</v>
      </c>
      <c r="G26351" s="3" t="s">
        <v>27293</v>
      </c>
    </row>
    <row r="26352">
      <c r="A26352" s="3" t="s">
        <v>42774</v>
      </c>
      <c r="B26352" s="3" t="s">
        <v>21366</v>
      </c>
      <c r="C26352" s="5" t="s">
        <v>45</v>
      </c>
      <c r="D26352" s="3" t="s">
        <v>221</v>
      </c>
      <c r="E26352" s="3" t="s">
        <v>640</v>
      </c>
      <c r="F26352" s="7">
        <v>46252.48143336403</v>
      </c>
      <c r="G26352" s="3" t="s">
        <v>13312</v>
      </c>
    </row>
    <row r="26353">
      <c r="A26353" s="3" t="s">
        <v>42775</v>
      </c>
      <c r="B26353" s="3" t="s">
        <v>21366</v>
      </c>
      <c r="C26353" s="5" t="s">
        <v>221</v>
      </c>
      <c r="D26353" s="3" t="s">
        <v>614</v>
      </c>
      <c r="E26353" s="3" t="s">
        <v>118</v>
      </c>
      <c r="F26353" s="7">
        <v>46252.48490558625</v>
      </c>
      <c r="G26353" s="3" t="s">
        <v>13315</v>
      </c>
    </row>
    <row r="26354">
      <c r="A26354" s="3" t="s">
        <v>42776</v>
      </c>
      <c r="B26354" s="3" t="s">
        <v>21366</v>
      </c>
      <c r="C26354" s="5" t="s">
        <v>614</v>
      </c>
      <c r="D26354" s="3" t="s">
        <v>206</v>
      </c>
      <c r="E26354" s="3" t="s">
        <v>100</v>
      </c>
      <c r="F26354" s="7">
        <v>46252.48837780848</v>
      </c>
      <c r="G26354" s="3" t="s">
        <v>13319</v>
      </c>
    </row>
    <row r="26355">
      <c r="A26355" s="3" t="s">
        <v>42777</v>
      </c>
      <c r="B26355" s="3" t="s">
        <v>21366</v>
      </c>
      <c r="C26355" s="5" t="s">
        <v>206</v>
      </c>
      <c r="D26355" s="3" t="s">
        <v>68</v>
      </c>
      <c r="E26355" s="3" t="s">
        <v>100</v>
      </c>
      <c r="F26355" s="7">
        <v>46252.491850030696</v>
      </c>
      <c r="G26355" s="3" t="s">
        <v>13322</v>
      </c>
    </row>
    <row r="26356">
      <c r="A26356" s="3" t="s">
        <v>42778</v>
      </c>
      <c r="B26356" s="3" t="s">
        <v>21368</v>
      </c>
      <c r="C26356" s="5" t="s">
        <v>45</v>
      </c>
      <c r="D26356" s="3" t="s">
        <v>221</v>
      </c>
      <c r="E26356" s="3" t="s">
        <v>395</v>
      </c>
      <c r="F26356" s="7">
        <v>46252.552608209444</v>
      </c>
      <c r="G26356" s="3" t="s">
        <v>29322</v>
      </c>
    </row>
    <row r="26357">
      <c r="A26357" s="3" t="s">
        <v>42779</v>
      </c>
      <c r="B26357" s="3" t="s">
        <v>21368</v>
      </c>
      <c r="C26357" s="5" t="s">
        <v>221</v>
      </c>
      <c r="D26357" s="3" t="s">
        <v>614</v>
      </c>
      <c r="E26357" s="3" t="s">
        <v>118</v>
      </c>
      <c r="F26357" s="7">
        <v>46252.55608043166</v>
      </c>
      <c r="G26357" s="3" t="s">
        <v>29324</v>
      </c>
    </row>
    <row r="26358">
      <c r="A26358" s="3" t="s">
        <v>42780</v>
      </c>
      <c r="B26358" s="3" t="s">
        <v>21368</v>
      </c>
      <c r="C26358" s="5" t="s">
        <v>614</v>
      </c>
      <c r="D26358" s="3" t="s">
        <v>206</v>
      </c>
      <c r="E26358" s="3" t="s">
        <v>100</v>
      </c>
      <c r="F26358" s="7">
        <v>46252.55955265389</v>
      </c>
      <c r="G26358" s="3" t="s">
        <v>29326</v>
      </c>
    </row>
    <row r="26359">
      <c r="A26359" s="3" t="s">
        <v>42781</v>
      </c>
      <c r="B26359" s="3" t="s">
        <v>21368</v>
      </c>
      <c r="C26359" s="5" t="s">
        <v>206</v>
      </c>
      <c r="D26359" s="3" t="s">
        <v>68</v>
      </c>
      <c r="E26359" s="3" t="s">
        <v>100</v>
      </c>
      <c r="F26359" s="7">
        <v>46252.56302487611</v>
      </c>
      <c r="G26359" s="3" t="s">
        <v>29328</v>
      </c>
    </row>
    <row r="26360">
      <c r="A26360" s="3" t="s">
        <v>42782</v>
      </c>
      <c r="B26360" s="3" t="s">
        <v>21370</v>
      </c>
      <c r="C26360" s="5" t="s">
        <v>45</v>
      </c>
      <c r="D26360" s="3" t="s">
        <v>221</v>
      </c>
      <c r="E26360" s="3" t="s">
        <v>307</v>
      </c>
      <c r="F26360" s="7">
        <v>46252.623783054856</v>
      </c>
      <c r="G26360" s="3" t="s">
        <v>8535</v>
      </c>
    </row>
    <row r="26361">
      <c r="A26361" s="3" t="s">
        <v>42783</v>
      </c>
      <c r="B26361" s="3" t="s">
        <v>21370</v>
      </c>
      <c r="C26361" s="5" t="s">
        <v>221</v>
      </c>
      <c r="D26361" s="3" t="s">
        <v>614</v>
      </c>
      <c r="E26361" s="3" t="s">
        <v>118</v>
      </c>
      <c r="F26361" s="7">
        <v>46252.627255277075</v>
      </c>
      <c r="G26361" s="3" t="s">
        <v>8537</v>
      </c>
    </row>
    <row r="26362">
      <c r="A26362" s="3" t="s">
        <v>42784</v>
      </c>
      <c r="B26362" s="3" t="s">
        <v>21370</v>
      </c>
      <c r="C26362" s="5" t="s">
        <v>614</v>
      </c>
      <c r="D26362" s="3" t="s">
        <v>206</v>
      </c>
      <c r="E26362" s="3" t="s">
        <v>100</v>
      </c>
      <c r="F26362" s="7">
        <v>46252.6307274993</v>
      </c>
      <c r="G26362" s="3" t="s">
        <v>8540</v>
      </c>
    </row>
    <row r="26363">
      <c r="A26363" s="3" t="s">
        <v>42785</v>
      </c>
      <c r="B26363" s="3" t="s">
        <v>21370</v>
      </c>
      <c r="C26363" s="5" t="s">
        <v>206</v>
      </c>
      <c r="D26363" s="3" t="s">
        <v>68</v>
      </c>
      <c r="E26363" s="3" t="s">
        <v>100</v>
      </c>
      <c r="F26363" s="7">
        <v>46252.63419972152</v>
      </c>
      <c r="G26363" s="3" t="s">
        <v>8543</v>
      </c>
    </row>
    <row r="26364">
      <c r="A26364" s="3" t="s">
        <v>42786</v>
      </c>
      <c r="B26364" s="3" t="s">
        <v>21372</v>
      </c>
      <c r="C26364" s="5" t="s">
        <v>45</v>
      </c>
      <c r="D26364" s="3" t="s">
        <v>221</v>
      </c>
      <c r="E26364" s="3" t="s">
        <v>383</v>
      </c>
      <c r="F26364" s="7">
        <v>46252.694957900276</v>
      </c>
      <c r="G26364" s="3" t="s">
        <v>13326</v>
      </c>
    </row>
    <row r="26365">
      <c r="A26365" s="3" t="s">
        <v>42787</v>
      </c>
      <c r="B26365" s="3" t="s">
        <v>21372</v>
      </c>
      <c r="C26365" s="5" t="s">
        <v>221</v>
      </c>
      <c r="D26365" s="3" t="s">
        <v>614</v>
      </c>
      <c r="E26365" s="3" t="s">
        <v>118</v>
      </c>
      <c r="F26365" s="7">
        <v>46252.698430122495</v>
      </c>
      <c r="G26365" s="3" t="s">
        <v>13330</v>
      </c>
    </row>
    <row r="26366">
      <c r="A26366" s="3" t="s">
        <v>42788</v>
      </c>
      <c r="B26366" s="3" t="s">
        <v>21372</v>
      </c>
      <c r="C26366" s="5" t="s">
        <v>614</v>
      </c>
      <c r="D26366" s="3" t="s">
        <v>206</v>
      </c>
      <c r="E26366" s="3" t="s">
        <v>100</v>
      </c>
      <c r="F26366" s="7">
        <v>46252.70190234472</v>
      </c>
      <c r="G26366" s="3" t="s">
        <v>13333</v>
      </c>
    </row>
    <row r="26367">
      <c r="A26367" s="3" t="s">
        <v>42789</v>
      </c>
      <c r="B26367" s="3" t="s">
        <v>21372</v>
      </c>
      <c r="C26367" s="5" t="s">
        <v>206</v>
      </c>
      <c r="D26367" s="3" t="s">
        <v>68</v>
      </c>
      <c r="E26367" s="3" t="s">
        <v>100</v>
      </c>
      <c r="F26367" s="7">
        <v>46252.70537456694</v>
      </c>
      <c r="G26367" s="3" t="s">
        <v>13337</v>
      </c>
    </row>
    <row r="26368">
      <c r="A26368" s="3" t="s">
        <v>42790</v>
      </c>
      <c r="B26368" s="3" t="s">
        <v>21375</v>
      </c>
      <c r="C26368" s="5" t="s">
        <v>45</v>
      </c>
      <c r="D26368" s="3" t="s">
        <v>221</v>
      </c>
      <c r="E26368" s="3" t="s">
        <v>796</v>
      </c>
      <c r="F26368" s="7">
        <v>46252.76613274569</v>
      </c>
      <c r="G26368" s="3" t="s">
        <v>13368</v>
      </c>
    </row>
    <row r="26369">
      <c r="A26369" s="3" t="s">
        <v>42791</v>
      </c>
      <c r="B26369" s="3" t="s">
        <v>21375</v>
      </c>
      <c r="C26369" s="5" t="s">
        <v>221</v>
      </c>
      <c r="D26369" s="3" t="s">
        <v>614</v>
      </c>
      <c r="E26369" s="3" t="s">
        <v>118</v>
      </c>
      <c r="F26369" s="7">
        <v>46252.76960496791</v>
      </c>
      <c r="G26369" s="3" t="s">
        <v>13371</v>
      </c>
    </row>
    <row r="26370">
      <c r="A26370" s="3" t="s">
        <v>42792</v>
      </c>
      <c r="B26370" s="3" t="s">
        <v>21375</v>
      </c>
      <c r="C26370" s="5" t="s">
        <v>614</v>
      </c>
      <c r="D26370" s="3" t="s">
        <v>206</v>
      </c>
      <c r="E26370" s="3" t="s">
        <v>100</v>
      </c>
      <c r="F26370" s="7">
        <v>46252.77307719013</v>
      </c>
      <c r="G26370" s="3" t="s">
        <v>13373</v>
      </c>
    </row>
    <row r="26371">
      <c r="A26371" s="3" t="s">
        <v>42793</v>
      </c>
      <c r="B26371" s="3" t="s">
        <v>21375</v>
      </c>
      <c r="C26371" s="5" t="s">
        <v>206</v>
      </c>
      <c r="D26371" s="3" t="s">
        <v>68</v>
      </c>
      <c r="E26371" s="3" t="s">
        <v>100</v>
      </c>
      <c r="F26371" s="7">
        <v>46252.77654941235</v>
      </c>
      <c r="G26371" s="3" t="s">
        <v>13376</v>
      </c>
    </row>
    <row r="26372">
      <c r="A26372" s="3" t="s">
        <v>42794</v>
      </c>
      <c r="B26372" s="3" t="s">
        <v>21377</v>
      </c>
      <c r="C26372" s="5" t="s">
        <v>45</v>
      </c>
      <c r="D26372" s="3" t="s">
        <v>221</v>
      </c>
      <c r="E26372" s="3" t="s">
        <v>243</v>
      </c>
      <c r="F26372" s="7">
        <v>46252.8373075911</v>
      </c>
      <c r="G26372" s="3" t="s">
        <v>12781</v>
      </c>
    </row>
    <row r="26373">
      <c r="A26373" s="3" t="s">
        <v>42795</v>
      </c>
      <c r="B26373" s="3" t="s">
        <v>21377</v>
      </c>
      <c r="C26373" s="5" t="s">
        <v>221</v>
      </c>
      <c r="D26373" s="3" t="s">
        <v>195</v>
      </c>
      <c r="E26373" s="3" t="s">
        <v>243</v>
      </c>
      <c r="F26373" s="7">
        <v>46252.84077981332</v>
      </c>
      <c r="G26373" s="3" t="s">
        <v>42796</v>
      </c>
    </row>
    <row r="26374">
      <c r="A26374" s="3" t="s">
        <v>42797</v>
      </c>
      <c r="B26374" s="3" t="s">
        <v>21380</v>
      </c>
      <c r="C26374" s="5" t="s">
        <v>45</v>
      </c>
      <c r="D26374" s="3" t="s">
        <v>221</v>
      </c>
      <c r="E26374" s="3" t="s">
        <v>877</v>
      </c>
      <c r="F26374" s="7">
        <v>46252.90848243652</v>
      </c>
      <c r="G26374" s="3" t="s">
        <v>42798</v>
      </c>
    </row>
    <row r="26375">
      <c r="A26375" s="3" t="s">
        <v>42799</v>
      </c>
      <c r="B26375" s="3" t="s">
        <v>21380</v>
      </c>
      <c r="C26375" s="5" t="s">
        <v>221</v>
      </c>
      <c r="D26375" s="3" t="s">
        <v>614</v>
      </c>
      <c r="E26375" s="3" t="s">
        <v>118</v>
      </c>
      <c r="F26375" s="7">
        <v>46252.91195465874</v>
      </c>
      <c r="G26375" s="3" t="s">
        <v>42800</v>
      </c>
    </row>
    <row r="26376">
      <c r="A26376" s="3" t="s">
        <v>42801</v>
      </c>
      <c r="B26376" s="3" t="s">
        <v>21380</v>
      </c>
      <c r="C26376" s="5" t="s">
        <v>614</v>
      </c>
      <c r="D26376" s="3" t="s">
        <v>206</v>
      </c>
      <c r="E26376" s="3" t="s">
        <v>100</v>
      </c>
      <c r="F26376" s="7">
        <v>46252.915426880965</v>
      </c>
      <c r="G26376" s="3" t="s">
        <v>42802</v>
      </c>
    </row>
    <row r="26377">
      <c r="A26377" s="3" t="s">
        <v>42803</v>
      </c>
      <c r="B26377" s="3" t="s">
        <v>21380</v>
      </c>
      <c r="C26377" s="5" t="s">
        <v>206</v>
      </c>
      <c r="D26377" s="3" t="s">
        <v>68</v>
      </c>
      <c r="E26377" s="3" t="s">
        <v>100</v>
      </c>
      <c r="F26377" s="7">
        <v>46252.918899103184</v>
      </c>
      <c r="G26377" s="3" t="s">
        <v>42804</v>
      </c>
    </row>
    <row r="26378">
      <c r="A26378" s="3" t="s">
        <v>42805</v>
      </c>
      <c r="B26378" s="3" t="s">
        <v>21385</v>
      </c>
      <c r="C26378" s="5" t="s">
        <v>45</v>
      </c>
      <c r="D26378" s="3" t="s">
        <v>221</v>
      </c>
      <c r="E26378" s="3" t="s">
        <v>911</v>
      </c>
      <c r="F26378" s="7">
        <v>46252.97965728194</v>
      </c>
      <c r="G26378" s="3" t="s">
        <v>25261</v>
      </c>
    </row>
    <row r="26379">
      <c r="A26379" s="3" t="s">
        <v>42806</v>
      </c>
      <c r="B26379" s="3" t="s">
        <v>21385</v>
      </c>
      <c r="C26379" s="5" t="s">
        <v>221</v>
      </c>
      <c r="D26379" s="3" t="s">
        <v>181</v>
      </c>
      <c r="E26379" s="3" t="s">
        <v>118</v>
      </c>
      <c r="F26379" s="7">
        <v>46252.98312950416</v>
      </c>
      <c r="G26379" s="3" t="s">
        <v>40556</v>
      </c>
    </row>
    <row r="26380">
      <c r="A26380" s="3" t="s">
        <v>42807</v>
      </c>
      <c r="B26380" s="3" t="s">
        <v>21387</v>
      </c>
      <c r="C26380" s="5" t="s">
        <v>45</v>
      </c>
      <c r="D26380" s="3" t="s">
        <v>221</v>
      </c>
      <c r="E26380" s="3" t="s">
        <v>501</v>
      </c>
      <c r="F26380" s="7">
        <v>46253.050832127345</v>
      </c>
      <c r="G26380" s="3" t="s">
        <v>29330</v>
      </c>
    </row>
    <row r="26381">
      <c r="A26381" s="3" t="s">
        <v>42808</v>
      </c>
      <c r="B26381" s="3" t="s">
        <v>21387</v>
      </c>
      <c r="C26381" s="5" t="s">
        <v>221</v>
      </c>
      <c r="D26381" s="3" t="s">
        <v>614</v>
      </c>
      <c r="E26381" s="3" t="s">
        <v>118</v>
      </c>
      <c r="F26381" s="7">
        <v>46253.05430434956</v>
      </c>
      <c r="G26381" s="3" t="s">
        <v>29332</v>
      </c>
    </row>
    <row r="26382">
      <c r="A26382" s="3" t="s">
        <v>42809</v>
      </c>
      <c r="B26382" s="3" t="s">
        <v>21387</v>
      </c>
      <c r="C26382" s="5" t="s">
        <v>614</v>
      </c>
      <c r="D26382" s="3" t="s">
        <v>206</v>
      </c>
      <c r="E26382" s="3" t="s">
        <v>100</v>
      </c>
      <c r="F26382" s="7">
        <v>46253.05777657179</v>
      </c>
      <c r="G26382" s="3" t="s">
        <v>29334</v>
      </c>
    </row>
    <row r="26383">
      <c r="A26383" s="3" t="s">
        <v>42810</v>
      </c>
      <c r="B26383" s="3" t="s">
        <v>21387</v>
      </c>
      <c r="C26383" s="5" t="s">
        <v>206</v>
      </c>
      <c r="D26383" s="3" t="s">
        <v>68</v>
      </c>
      <c r="E26383" s="3" t="s">
        <v>100</v>
      </c>
      <c r="F26383" s="7">
        <v>46253.06124879401</v>
      </c>
      <c r="G26383" s="3" t="s">
        <v>29336</v>
      </c>
    </row>
    <row r="26384">
      <c r="A26384" s="3" t="s">
        <v>42811</v>
      </c>
      <c r="B26384" s="3" t="s">
        <v>21389</v>
      </c>
      <c r="C26384" s="5" t="s">
        <v>45</v>
      </c>
      <c r="D26384" s="3" t="s">
        <v>221</v>
      </c>
      <c r="E26384" s="3" t="s">
        <v>322</v>
      </c>
      <c r="F26384" s="7">
        <v>46253.122006972764</v>
      </c>
      <c r="G26384" s="3" t="s">
        <v>26456</v>
      </c>
    </row>
    <row r="26385">
      <c r="A26385" s="3" t="s">
        <v>42812</v>
      </c>
      <c r="B26385" s="3" t="s">
        <v>21389</v>
      </c>
      <c r="C26385" s="5" t="s">
        <v>221</v>
      </c>
      <c r="D26385" s="3" t="s">
        <v>181</v>
      </c>
      <c r="E26385" s="3" t="s">
        <v>118</v>
      </c>
      <c r="F26385" s="7">
        <v>46253.12547919498</v>
      </c>
      <c r="G26385" s="3" t="s">
        <v>42813</v>
      </c>
    </row>
    <row r="26386">
      <c r="A26386" s="3" t="s">
        <v>42814</v>
      </c>
      <c r="B26386" s="3" t="s">
        <v>21391</v>
      </c>
      <c r="C26386" s="5" t="s">
        <v>45</v>
      </c>
      <c r="D26386" s="3" t="s">
        <v>221</v>
      </c>
      <c r="E26386" s="3" t="s">
        <v>1049</v>
      </c>
      <c r="F26386" s="7">
        <v>46253.193181818184</v>
      </c>
      <c r="G26386" s="3" t="s">
        <v>10318</v>
      </c>
    </row>
    <row r="26387">
      <c r="A26387" s="3" t="s">
        <v>42815</v>
      </c>
      <c r="B26387" s="3" t="s">
        <v>21391</v>
      </c>
      <c r="C26387" s="5" t="s">
        <v>221</v>
      </c>
      <c r="D26387" s="3" t="s">
        <v>614</v>
      </c>
      <c r="E26387" s="3" t="s">
        <v>118</v>
      </c>
      <c r="F26387" s="7">
        <v>46253.1966540404</v>
      </c>
      <c r="G26387" s="3" t="s">
        <v>10321</v>
      </c>
    </row>
    <row r="26388">
      <c r="A26388" s="3" t="s">
        <v>42816</v>
      </c>
      <c r="B26388" s="3" t="s">
        <v>21391</v>
      </c>
      <c r="C26388" s="5" t="s">
        <v>614</v>
      </c>
      <c r="D26388" s="3" t="s">
        <v>206</v>
      </c>
      <c r="E26388" s="3" t="s">
        <v>100</v>
      </c>
      <c r="F26388" s="7">
        <v>46253.20012626263</v>
      </c>
      <c r="G26388" s="3" t="s">
        <v>10324</v>
      </c>
    </row>
    <row r="26389">
      <c r="A26389" s="3" t="s">
        <v>42817</v>
      </c>
      <c r="B26389" s="3" t="s">
        <v>21391</v>
      </c>
      <c r="C26389" s="5" t="s">
        <v>206</v>
      </c>
      <c r="D26389" s="3" t="s">
        <v>68</v>
      </c>
      <c r="E26389" s="3" t="s">
        <v>100</v>
      </c>
      <c r="F26389" s="7">
        <v>46253.20359848485</v>
      </c>
      <c r="G26389" s="3" t="s">
        <v>10327</v>
      </c>
    </row>
    <row r="26390">
      <c r="A26390" s="3" t="s">
        <v>42818</v>
      </c>
      <c r="B26390" s="3" t="s">
        <v>21393</v>
      </c>
      <c r="C26390" s="5" t="s">
        <v>45</v>
      </c>
      <c r="D26390" s="3" t="s">
        <v>221</v>
      </c>
      <c r="E26390" s="3" t="s">
        <v>296</v>
      </c>
      <c r="F26390" s="7">
        <v>46253.264356663596</v>
      </c>
      <c r="G26390" s="3" t="s">
        <v>15196</v>
      </c>
    </row>
    <row r="26391">
      <c r="A26391" s="3" t="s">
        <v>42819</v>
      </c>
      <c r="B26391" s="3" t="s">
        <v>21393</v>
      </c>
      <c r="C26391" s="5" t="s">
        <v>221</v>
      </c>
      <c r="D26391" s="3" t="s">
        <v>614</v>
      </c>
      <c r="E26391" s="3" t="s">
        <v>118</v>
      </c>
      <c r="F26391" s="7">
        <v>46253.267828885815</v>
      </c>
      <c r="G26391" s="3" t="s">
        <v>15199</v>
      </c>
    </row>
    <row r="26392">
      <c r="A26392" s="3" t="s">
        <v>42820</v>
      </c>
      <c r="B26392" s="3" t="s">
        <v>21393</v>
      </c>
      <c r="C26392" s="5" t="s">
        <v>614</v>
      </c>
      <c r="D26392" s="3" t="s">
        <v>206</v>
      </c>
      <c r="E26392" s="3" t="s">
        <v>100</v>
      </c>
      <c r="F26392" s="7">
        <v>46253.27130110804</v>
      </c>
      <c r="G26392" s="3" t="s">
        <v>15203</v>
      </c>
    </row>
    <row r="26393">
      <c r="A26393" s="3" t="s">
        <v>42821</v>
      </c>
      <c r="B26393" s="3" t="s">
        <v>21393</v>
      </c>
      <c r="C26393" s="5" t="s">
        <v>206</v>
      </c>
      <c r="D26393" s="3" t="s">
        <v>68</v>
      </c>
      <c r="E26393" s="3" t="s">
        <v>100</v>
      </c>
      <c r="F26393" s="7">
        <v>46253.27477333026</v>
      </c>
      <c r="G26393" s="3" t="s">
        <v>15206</v>
      </c>
    </row>
    <row r="26394">
      <c r="A26394" s="3" t="s">
        <v>42822</v>
      </c>
      <c r="B26394" s="3" t="s">
        <v>21395</v>
      </c>
      <c r="C26394" s="5" t="s">
        <v>45</v>
      </c>
      <c r="D26394" s="3" t="s">
        <v>221</v>
      </c>
      <c r="E26394" s="3" t="s">
        <v>247</v>
      </c>
      <c r="F26394" s="7">
        <v>46253.33553150901</v>
      </c>
      <c r="G26394" s="3" t="s">
        <v>12956</v>
      </c>
    </row>
    <row r="26395">
      <c r="A26395" s="3" t="s">
        <v>42823</v>
      </c>
      <c r="B26395" s="3" t="s">
        <v>21395</v>
      </c>
      <c r="C26395" s="5" t="s">
        <v>221</v>
      </c>
      <c r="D26395" s="3" t="s">
        <v>614</v>
      </c>
      <c r="E26395" s="3" t="s">
        <v>118</v>
      </c>
      <c r="F26395" s="7">
        <v>46253.33900373123</v>
      </c>
      <c r="G26395" s="3" t="s">
        <v>12959</v>
      </c>
    </row>
    <row r="26396">
      <c r="A26396" s="3" t="s">
        <v>42824</v>
      </c>
      <c r="B26396" s="3" t="s">
        <v>21395</v>
      </c>
      <c r="C26396" s="5" t="s">
        <v>614</v>
      </c>
      <c r="D26396" s="3" t="s">
        <v>206</v>
      </c>
      <c r="E26396" s="3" t="s">
        <v>100</v>
      </c>
      <c r="F26396" s="7">
        <v>46253.342475953454</v>
      </c>
      <c r="G26396" s="3" t="s">
        <v>12962</v>
      </c>
    </row>
    <row r="26397">
      <c r="A26397" s="3" t="s">
        <v>42825</v>
      </c>
      <c r="B26397" s="3" t="s">
        <v>21395</v>
      </c>
      <c r="C26397" s="5" t="s">
        <v>206</v>
      </c>
      <c r="D26397" s="3" t="s">
        <v>68</v>
      </c>
      <c r="E26397" s="3" t="s">
        <v>100</v>
      </c>
      <c r="F26397" s="7">
        <v>46253.34594817567</v>
      </c>
      <c r="G26397" s="3" t="s">
        <v>12965</v>
      </c>
    </row>
    <row r="26398">
      <c r="A26398" s="3" t="s">
        <v>42826</v>
      </c>
      <c r="B26398" s="3" t="s">
        <v>21399</v>
      </c>
      <c r="C26398" s="5" t="s">
        <v>45</v>
      </c>
      <c r="D26398" s="3" t="s">
        <v>221</v>
      </c>
      <c r="E26398" s="3" t="s">
        <v>943</v>
      </c>
      <c r="F26398" s="7">
        <v>46253.40670635443</v>
      </c>
      <c r="G26398" s="3" t="s">
        <v>26908</v>
      </c>
    </row>
    <row r="26399">
      <c r="A26399" s="3" t="s">
        <v>42827</v>
      </c>
      <c r="B26399" s="3" t="s">
        <v>21399</v>
      </c>
      <c r="C26399" s="5" t="s">
        <v>221</v>
      </c>
      <c r="D26399" s="3" t="s">
        <v>181</v>
      </c>
      <c r="E26399" s="3" t="s">
        <v>118</v>
      </c>
      <c r="F26399" s="7">
        <v>46253.41017857665</v>
      </c>
      <c r="G26399" s="3" t="s">
        <v>42828</v>
      </c>
    </row>
    <row r="26400">
      <c r="A26400" s="3" t="s">
        <v>42829</v>
      </c>
      <c r="B26400" s="3" t="s">
        <v>21402</v>
      </c>
      <c r="C26400" s="5" t="s">
        <v>45</v>
      </c>
      <c r="D26400" s="3" t="s">
        <v>221</v>
      </c>
      <c r="E26400" s="3" t="s">
        <v>760</v>
      </c>
      <c r="F26400" s="7">
        <v>46253.47788119984</v>
      </c>
      <c r="G26400" s="3" t="s">
        <v>13379</v>
      </c>
    </row>
    <row r="26401">
      <c r="A26401" s="3" t="s">
        <v>42830</v>
      </c>
      <c r="B26401" s="3" t="s">
        <v>21402</v>
      </c>
      <c r="C26401" s="5" t="s">
        <v>221</v>
      </c>
      <c r="D26401" s="3" t="s">
        <v>614</v>
      </c>
      <c r="E26401" s="3" t="s">
        <v>118</v>
      </c>
      <c r="F26401" s="7">
        <v>46253.48135342206</v>
      </c>
      <c r="G26401" s="3" t="s">
        <v>13382</v>
      </c>
    </row>
    <row r="26402">
      <c r="A26402" s="3" t="s">
        <v>42831</v>
      </c>
      <c r="B26402" s="3" t="s">
        <v>21402</v>
      </c>
      <c r="C26402" s="5" t="s">
        <v>614</v>
      </c>
      <c r="D26402" s="3" t="s">
        <v>206</v>
      </c>
      <c r="E26402" s="3" t="s">
        <v>100</v>
      </c>
      <c r="F26402" s="7">
        <v>46253.484825644286</v>
      </c>
      <c r="G26402" s="3" t="s">
        <v>13386</v>
      </c>
    </row>
    <row r="26403">
      <c r="A26403" s="3" t="s">
        <v>42832</v>
      </c>
      <c r="B26403" s="3" t="s">
        <v>21402</v>
      </c>
      <c r="C26403" s="5" t="s">
        <v>206</v>
      </c>
      <c r="D26403" s="3" t="s">
        <v>68</v>
      </c>
      <c r="E26403" s="3" t="s">
        <v>100</v>
      </c>
      <c r="F26403" s="7">
        <v>46253.488297866505</v>
      </c>
      <c r="G26403" s="3" t="s">
        <v>13389</v>
      </c>
    </row>
    <row r="26404">
      <c r="A26404" s="3" t="s">
        <v>42833</v>
      </c>
      <c r="B26404" s="3" t="s">
        <v>21404</v>
      </c>
      <c r="C26404" s="5" t="s">
        <v>45</v>
      </c>
      <c r="D26404" s="3" t="s">
        <v>221</v>
      </c>
      <c r="E26404" s="3" t="s">
        <v>598</v>
      </c>
      <c r="F26404" s="7">
        <v>46253.54905604525</v>
      </c>
      <c r="G26404" s="3" t="s">
        <v>30979</v>
      </c>
    </row>
    <row r="26405">
      <c r="A26405" s="3" t="s">
        <v>42834</v>
      </c>
      <c r="B26405" s="3" t="s">
        <v>21404</v>
      </c>
      <c r="C26405" s="5" t="s">
        <v>221</v>
      </c>
      <c r="D26405" s="3" t="s">
        <v>614</v>
      </c>
      <c r="E26405" s="3" t="s">
        <v>118</v>
      </c>
      <c r="F26405" s="7">
        <v>46253.55252826747</v>
      </c>
      <c r="G26405" s="3" t="s">
        <v>30981</v>
      </c>
    </row>
    <row r="26406">
      <c r="A26406" s="3" t="s">
        <v>42835</v>
      </c>
      <c r="B26406" s="3" t="s">
        <v>21404</v>
      </c>
      <c r="C26406" s="5" t="s">
        <v>614</v>
      </c>
      <c r="D26406" s="3" t="s">
        <v>206</v>
      </c>
      <c r="E26406" s="3" t="s">
        <v>100</v>
      </c>
      <c r="F26406" s="7">
        <v>46253.5560004897</v>
      </c>
      <c r="G26406" s="3" t="s">
        <v>30983</v>
      </c>
    </row>
    <row r="26407">
      <c r="A26407" s="3" t="s">
        <v>42836</v>
      </c>
      <c r="B26407" s="3" t="s">
        <v>21404</v>
      </c>
      <c r="C26407" s="5" t="s">
        <v>206</v>
      </c>
      <c r="D26407" s="3" t="s">
        <v>68</v>
      </c>
      <c r="E26407" s="3" t="s">
        <v>100</v>
      </c>
      <c r="F26407" s="7">
        <v>46253.55947271192</v>
      </c>
      <c r="G26407" s="3" t="s">
        <v>30985</v>
      </c>
    </row>
    <row r="26408">
      <c r="A26408" s="3" t="s">
        <v>42837</v>
      </c>
      <c r="B26408" s="3" t="s">
        <v>21406</v>
      </c>
      <c r="C26408" s="5" t="s">
        <v>45</v>
      </c>
      <c r="D26408" s="3" t="s">
        <v>221</v>
      </c>
      <c r="E26408" s="3" t="s">
        <v>643</v>
      </c>
      <c r="F26408" s="7">
        <v>46253.62023089067</v>
      </c>
      <c r="G26408" s="3" t="s">
        <v>11571</v>
      </c>
    </row>
    <row r="26409">
      <c r="A26409" s="3" t="s">
        <v>42838</v>
      </c>
      <c r="B26409" s="3" t="s">
        <v>21406</v>
      </c>
      <c r="C26409" s="5" t="s">
        <v>221</v>
      </c>
      <c r="D26409" s="3" t="s">
        <v>614</v>
      </c>
      <c r="E26409" s="3" t="s">
        <v>118</v>
      </c>
      <c r="F26409" s="7">
        <v>46253.62370311289</v>
      </c>
      <c r="G26409" s="3" t="s">
        <v>27354</v>
      </c>
    </row>
    <row r="26410">
      <c r="A26410" s="3" t="s">
        <v>42839</v>
      </c>
      <c r="B26410" s="3" t="s">
        <v>21406</v>
      </c>
      <c r="C26410" s="5" t="s">
        <v>614</v>
      </c>
      <c r="D26410" s="3" t="s">
        <v>206</v>
      </c>
      <c r="E26410" s="3" t="s">
        <v>100</v>
      </c>
      <c r="F26410" s="7">
        <v>46253.62717533512</v>
      </c>
      <c r="G26410" s="3" t="s">
        <v>27356</v>
      </c>
    </row>
    <row r="26411">
      <c r="A26411" s="3" t="s">
        <v>42840</v>
      </c>
      <c r="B26411" s="3" t="s">
        <v>21406</v>
      </c>
      <c r="C26411" s="5" t="s">
        <v>206</v>
      </c>
      <c r="D26411" s="3" t="s">
        <v>68</v>
      </c>
      <c r="E26411" s="3" t="s">
        <v>100</v>
      </c>
      <c r="F26411" s="7">
        <v>46253.63064755734</v>
      </c>
      <c r="G26411" s="3" t="s">
        <v>27358</v>
      </c>
    </row>
    <row r="26412">
      <c r="A26412" s="3" t="s">
        <v>42841</v>
      </c>
      <c r="B26412" s="3" t="s">
        <v>21409</v>
      </c>
      <c r="C26412" s="5" t="s">
        <v>45</v>
      </c>
      <c r="D26412" s="3" t="s">
        <v>221</v>
      </c>
      <c r="E26412" s="3" t="s">
        <v>468</v>
      </c>
      <c r="F26412" s="7">
        <v>46253.691405736085</v>
      </c>
      <c r="G26412" s="3" t="s">
        <v>2770</v>
      </c>
    </row>
    <row r="26413">
      <c r="A26413" s="3" t="s">
        <v>42842</v>
      </c>
      <c r="B26413" s="3" t="s">
        <v>21409</v>
      </c>
      <c r="C26413" s="5" t="s">
        <v>221</v>
      </c>
      <c r="D26413" s="3" t="s">
        <v>181</v>
      </c>
      <c r="E26413" s="3" t="s">
        <v>118</v>
      </c>
      <c r="F26413" s="7">
        <v>46253.6948779583</v>
      </c>
      <c r="G26413" s="3" t="s">
        <v>2774</v>
      </c>
    </row>
    <row r="26414">
      <c r="A26414" s="3" t="s">
        <v>42843</v>
      </c>
      <c r="B26414" s="3" t="s">
        <v>21411</v>
      </c>
      <c r="C26414" s="5" t="s">
        <v>45</v>
      </c>
      <c r="D26414" s="3" t="s">
        <v>221</v>
      </c>
      <c r="E26414" s="3" t="s">
        <v>156</v>
      </c>
      <c r="F26414" s="7">
        <v>46253.7625805815</v>
      </c>
      <c r="G26414" s="3" t="s">
        <v>13445</v>
      </c>
    </row>
    <row r="26415">
      <c r="A26415" s="3" t="s">
        <v>42844</v>
      </c>
      <c r="B26415" s="3" t="s">
        <v>21411</v>
      </c>
      <c r="C26415" s="5" t="s">
        <v>221</v>
      </c>
      <c r="D26415" s="3" t="s">
        <v>614</v>
      </c>
      <c r="E26415" s="3" t="s">
        <v>118</v>
      </c>
      <c r="F26415" s="7">
        <v>46253.766052803716</v>
      </c>
      <c r="G26415" s="3" t="s">
        <v>13448</v>
      </c>
    </row>
    <row r="26416">
      <c r="A26416" s="3" t="s">
        <v>42845</v>
      </c>
      <c r="B26416" s="3" t="s">
        <v>21411</v>
      </c>
      <c r="C26416" s="5" t="s">
        <v>614</v>
      </c>
      <c r="D26416" s="3" t="s">
        <v>206</v>
      </c>
      <c r="E26416" s="3" t="s">
        <v>100</v>
      </c>
      <c r="F26416" s="7">
        <v>46253.76952502594</v>
      </c>
      <c r="G26416" s="3" t="s">
        <v>13450</v>
      </c>
    </row>
    <row r="26417">
      <c r="A26417" s="3" t="s">
        <v>42846</v>
      </c>
      <c r="B26417" s="3" t="s">
        <v>21411</v>
      </c>
      <c r="C26417" s="5" t="s">
        <v>206</v>
      </c>
      <c r="D26417" s="3" t="s">
        <v>68</v>
      </c>
      <c r="E26417" s="3" t="s">
        <v>100</v>
      </c>
      <c r="F26417" s="7">
        <v>46253.77299724816</v>
      </c>
      <c r="G26417" s="3" t="s">
        <v>13453</v>
      </c>
    </row>
    <row r="26418">
      <c r="A26418" s="3" t="s">
        <v>42847</v>
      </c>
      <c r="B26418" s="3" t="s">
        <v>21413</v>
      </c>
      <c r="C26418" s="5" t="s">
        <v>45</v>
      </c>
      <c r="D26418" s="3" t="s">
        <v>221</v>
      </c>
      <c r="E26418" s="3" t="s">
        <v>491</v>
      </c>
      <c r="F26418" s="7">
        <v>46253.83375542692</v>
      </c>
      <c r="G26418" s="3" t="s">
        <v>9670</v>
      </c>
    </row>
    <row r="26419">
      <c r="A26419" s="3" t="s">
        <v>42848</v>
      </c>
      <c r="B26419" s="3" t="s">
        <v>21413</v>
      </c>
      <c r="C26419" s="5" t="s">
        <v>221</v>
      </c>
      <c r="D26419" s="3" t="s">
        <v>195</v>
      </c>
      <c r="E26419" s="3" t="s">
        <v>491</v>
      </c>
      <c r="F26419" s="7">
        <v>46253.837227649135</v>
      </c>
      <c r="G26419" s="3" t="s">
        <v>42849</v>
      </c>
    </row>
    <row r="26420">
      <c r="A26420" s="3" t="s">
        <v>42850</v>
      </c>
      <c r="B26420" s="3" t="s">
        <v>21416</v>
      </c>
      <c r="C26420" s="5" t="s">
        <v>45</v>
      </c>
      <c r="D26420" s="3" t="s">
        <v>221</v>
      </c>
      <c r="E26420" s="3" t="s">
        <v>934</v>
      </c>
      <c r="F26420" s="7">
        <v>46253.90493027233</v>
      </c>
      <c r="G26420" s="3" t="s">
        <v>9558</v>
      </c>
    </row>
    <row r="26421">
      <c r="A26421" s="3" t="s">
        <v>42851</v>
      </c>
      <c r="B26421" s="3" t="s">
        <v>21416</v>
      </c>
      <c r="C26421" s="5" t="s">
        <v>221</v>
      </c>
      <c r="D26421" s="3" t="s">
        <v>614</v>
      </c>
      <c r="E26421" s="3" t="s">
        <v>118</v>
      </c>
      <c r="F26421" s="7">
        <v>46253.90840249455</v>
      </c>
      <c r="G26421" s="3" t="s">
        <v>9561</v>
      </c>
    </row>
    <row r="26422">
      <c r="A26422" s="3" t="s">
        <v>42852</v>
      </c>
      <c r="B26422" s="3" t="s">
        <v>21416</v>
      </c>
      <c r="C26422" s="5" t="s">
        <v>614</v>
      </c>
      <c r="D26422" s="3" t="s">
        <v>206</v>
      </c>
      <c r="E26422" s="3" t="s">
        <v>100</v>
      </c>
      <c r="F26422" s="7">
        <v>46253.911874716774</v>
      </c>
      <c r="G26422" s="3" t="s">
        <v>9564</v>
      </c>
    </row>
    <row r="26423">
      <c r="A26423" s="3" t="s">
        <v>42853</v>
      </c>
      <c r="B26423" s="3" t="s">
        <v>21416</v>
      </c>
      <c r="C26423" s="5" t="s">
        <v>206</v>
      </c>
      <c r="D26423" s="3" t="s">
        <v>68</v>
      </c>
      <c r="E26423" s="3" t="s">
        <v>100</v>
      </c>
      <c r="F26423" s="7">
        <v>46253.91534693899</v>
      </c>
      <c r="G26423" s="3" t="s">
        <v>9567</v>
      </c>
    </row>
    <row r="26424">
      <c r="A26424" s="3" t="s">
        <v>42854</v>
      </c>
      <c r="B26424" s="3" t="s">
        <v>21419</v>
      </c>
      <c r="C26424" s="5" t="s">
        <v>45</v>
      </c>
      <c r="D26424" s="3" t="s">
        <v>221</v>
      </c>
      <c r="E26424" s="3" t="s">
        <v>965</v>
      </c>
      <c r="F26424" s="7">
        <v>46253.97610511774</v>
      </c>
      <c r="G26424" s="3" t="s">
        <v>13464</v>
      </c>
    </row>
    <row r="26425">
      <c r="A26425" s="3" t="s">
        <v>42855</v>
      </c>
      <c r="B26425" s="3" t="s">
        <v>21419</v>
      </c>
      <c r="C26425" s="5" t="s">
        <v>221</v>
      </c>
      <c r="D26425" s="3" t="s">
        <v>614</v>
      </c>
      <c r="E26425" s="3" t="s">
        <v>118</v>
      </c>
      <c r="F26425" s="7">
        <v>46253.97957733996</v>
      </c>
      <c r="G26425" s="3" t="s">
        <v>13467</v>
      </c>
    </row>
    <row r="26426">
      <c r="A26426" s="3" t="s">
        <v>42856</v>
      </c>
      <c r="B26426" s="3" t="s">
        <v>21419</v>
      </c>
      <c r="C26426" s="5" t="s">
        <v>614</v>
      </c>
      <c r="D26426" s="3" t="s">
        <v>206</v>
      </c>
      <c r="E26426" s="3" t="s">
        <v>100</v>
      </c>
      <c r="F26426" s="7">
        <v>46253.983049562186</v>
      </c>
      <c r="G26426" s="3" t="s">
        <v>13470</v>
      </c>
    </row>
    <row r="26427">
      <c r="A26427" s="3" t="s">
        <v>42857</v>
      </c>
      <c r="B26427" s="3" t="s">
        <v>21419</v>
      </c>
      <c r="C26427" s="5" t="s">
        <v>206</v>
      </c>
      <c r="D26427" s="3" t="s">
        <v>68</v>
      </c>
      <c r="E26427" s="3" t="s">
        <v>100</v>
      </c>
      <c r="F26427" s="7">
        <v>46253.986521784405</v>
      </c>
      <c r="G26427" s="3" t="s">
        <v>13473</v>
      </c>
    </row>
    <row r="26428">
      <c r="A26428" s="3" t="s">
        <v>42858</v>
      </c>
      <c r="B26428" s="3" t="s">
        <v>21424</v>
      </c>
      <c r="C26428" s="5" t="s">
        <v>45</v>
      </c>
      <c r="D26428" s="3" t="s">
        <v>221</v>
      </c>
      <c r="E26428" s="3" t="s">
        <v>250</v>
      </c>
      <c r="F26428" s="7">
        <v>46254.04727996316</v>
      </c>
      <c r="G26428" s="3" t="s">
        <v>2770</v>
      </c>
    </row>
    <row r="26429">
      <c r="A26429" s="3" t="s">
        <v>42859</v>
      </c>
      <c r="B26429" s="3" t="s">
        <v>21424</v>
      </c>
      <c r="C26429" s="5" t="s">
        <v>221</v>
      </c>
      <c r="D26429" s="3" t="s">
        <v>195</v>
      </c>
      <c r="E26429" s="3" t="s">
        <v>250</v>
      </c>
      <c r="F26429" s="7">
        <v>46254.05075218538</v>
      </c>
      <c r="G26429" s="3" t="s">
        <v>3055</v>
      </c>
    </row>
    <row r="26430">
      <c r="A26430" s="3" t="s">
        <v>42860</v>
      </c>
      <c r="B26430" s="3" t="s">
        <v>21427</v>
      </c>
      <c r="C26430" s="5" t="s">
        <v>45</v>
      </c>
      <c r="D26430" s="3" t="s">
        <v>221</v>
      </c>
      <c r="E26430" s="3" t="s">
        <v>793</v>
      </c>
      <c r="F26430" s="7">
        <v>46254.11845480858</v>
      </c>
      <c r="G26430" s="3" t="s">
        <v>29350</v>
      </c>
    </row>
    <row r="26431">
      <c r="A26431" s="3" t="s">
        <v>42861</v>
      </c>
      <c r="B26431" s="3" t="s">
        <v>21427</v>
      </c>
      <c r="C26431" s="5" t="s">
        <v>221</v>
      </c>
      <c r="D26431" s="3" t="s">
        <v>614</v>
      </c>
      <c r="E26431" s="3" t="s">
        <v>118</v>
      </c>
      <c r="F26431" s="7">
        <v>46254.1219270308</v>
      </c>
      <c r="G26431" s="3" t="s">
        <v>29352</v>
      </c>
    </row>
    <row r="26432">
      <c r="A26432" s="3" t="s">
        <v>42862</v>
      </c>
      <c r="B26432" s="3" t="s">
        <v>21427</v>
      </c>
      <c r="C26432" s="5" t="s">
        <v>614</v>
      </c>
      <c r="D26432" s="3" t="s">
        <v>206</v>
      </c>
      <c r="E26432" s="3" t="s">
        <v>100</v>
      </c>
      <c r="F26432" s="7">
        <v>46254.125399253026</v>
      </c>
      <c r="G26432" s="3" t="s">
        <v>29354</v>
      </c>
    </row>
    <row r="26433">
      <c r="A26433" s="3" t="s">
        <v>42863</v>
      </c>
      <c r="B26433" s="3" t="s">
        <v>21427</v>
      </c>
      <c r="C26433" s="5" t="s">
        <v>206</v>
      </c>
      <c r="D26433" s="3" t="s">
        <v>68</v>
      </c>
      <c r="E26433" s="3" t="s">
        <v>100</v>
      </c>
      <c r="F26433" s="7">
        <v>46254.128871475245</v>
      </c>
      <c r="G26433" s="3" t="s">
        <v>29356</v>
      </c>
    </row>
    <row r="26434">
      <c r="A26434" s="3" t="s">
        <v>42864</v>
      </c>
      <c r="B26434" s="3" t="s">
        <v>21430</v>
      </c>
      <c r="C26434" s="5" t="s">
        <v>45</v>
      </c>
      <c r="D26434" s="3" t="s">
        <v>221</v>
      </c>
      <c r="E26434" s="3" t="s">
        <v>710</v>
      </c>
      <c r="F26434" s="7">
        <v>46254.189629653985</v>
      </c>
      <c r="G26434" s="3" t="s">
        <v>27287</v>
      </c>
    </row>
    <row r="26435">
      <c r="A26435" s="3" t="s">
        <v>42865</v>
      </c>
      <c r="B26435" s="3" t="s">
        <v>21430</v>
      </c>
      <c r="C26435" s="5" t="s">
        <v>221</v>
      </c>
      <c r="D26435" s="3" t="s">
        <v>614</v>
      </c>
      <c r="E26435" s="3" t="s">
        <v>118</v>
      </c>
      <c r="F26435" s="7">
        <v>46254.193101876204</v>
      </c>
      <c r="G26435" s="3" t="s">
        <v>27289</v>
      </c>
    </row>
    <row r="26436">
      <c r="A26436" s="3" t="s">
        <v>42866</v>
      </c>
      <c r="B26436" s="3" t="s">
        <v>21430</v>
      </c>
      <c r="C26436" s="5" t="s">
        <v>614</v>
      </c>
      <c r="D26436" s="3" t="s">
        <v>206</v>
      </c>
      <c r="E26436" s="3" t="s">
        <v>100</v>
      </c>
      <c r="F26436" s="7">
        <v>46254.19657409843</v>
      </c>
      <c r="G26436" s="3" t="s">
        <v>27291</v>
      </c>
    </row>
    <row r="26437">
      <c r="A26437" s="3" t="s">
        <v>42867</v>
      </c>
      <c r="B26437" s="3" t="s">
        <v>21430</v>
      </c>
      <c r="C26437" s="5" t="s">
        <v>206</v>
      </c>
      <c r="D26437" s="3" t="s">
        <v>68</v>
      </c>
      <c r="E26437" s="3" t="s">
        <v>100</v>
      </c>
      <c r="F26437" s="7">
        <v>46254.20004632065</v>
      </c>
      <c r="G26437" s="3" t="s">
        <v>27293</v>
      </c>
    </row>
    <row r="26438">
      <c r="A26438" s="3" t="s">
        <v>42868</v>
      </c>
      <c r="B26438" s="3" t="s">
        <v>21433</v>
      </c>
      <c r="C26438" s="5" t="s">
        <v>45</v>
      </c>
      <c r="D26438" s="3" t="s">
        <v>221</v>
      </c>
      <c r="E26438" s="3" t="s">
        <v>949</v>
      </c>
      <c r="F26438" s="7">
        <v>46254.260804499405</v>
      </c>
      <c r="G26438" s="3" t="s">
        <v>13476</v>
      </c>
    </row>
    <row r="26439">
      <c r="A26439" s="3" t="s">
        <v>42869</v>
      </c>
      <c r="B26439" s="3" t="s">
        <v>21433</v>
      </c>
      <c r="C26439" s="5" t="s">
        <v>221</v>
      </c>
      <c r="D26439" s="3" t="s">
        <v>614</v>
      </c>
      <c r="E26439" s="3" t="s">
        <v>118</v>
      </c>
      <c r="F26439" s="7">
        <v>46254.264276721624</v>
      </c>
      <c r="G26439" s="3" t="s">
        <v>13478</v>
      </c>
    </row>
    <row r="26440">
      <c r="A26440" s="3" t="s">
        <v>42870</v>
      </c>
      <c r="B26440" s="3" t="s">
        <v>21433</v>
      </c>
      <c r="C26440" s="5" t="s">
        <v>614</v>
      </c>
      <c r="D26440" s="3" t="s">
        <v>206</v>
      </c>
      <c r="E26440" s="3" t="s">
        <v>100</v>
      </c>
      <c r="F26440" s="7">
        <v>46254.26774894385</v>
      </c>
      <c r="G26440" s="3" t="s">
        <v>13481</v>
      </c>
    </row>
    <row r="26441">
      <c r="A26441" s="3" t="s">
        <v>42871</v>
      </c>
      <c r="B26441" s="3" t="s">
        <v>21433</v>
      </c>
      <c r="C26441" s="5" t="s">
        <v>206</v>
      </c>
      <c r="D26441" s="3" t="s">
        <v>68</v>
      </c>
      <c r="E26441" s="3" t="s">
        <v>100</v>
      </c>
      <c r="F26441" s="7">
        <v>46254.27122116607</v>
      </c>
      <c r="G26441" s="3" t="s">
        <v>13484</v>
      </c>
    </row>
    <row r="26442">
      <c r="A26442" s="3" t="s">
        <v>42872</v>
      </c>
      <c r="B26442" s="3" t="s">
        <v>21436</v>
      </c>
      <c r="C26442" s="5" t="s">
        <v>45</v>
      </c>
      <c r="D26442" s="3" t="s">
        <v>221</v>
      </c>
      <c r="E26442" s="3" t="s">
        <v>211</v>
      </c>
      <c r="F26442" s="7">
        <v>46254.331979344825</v>
      </c>
      <c r="G26442" s="3" t="s">
        <v>5696</v>
      </c>
    </row>
    <row r="26443">
      <c r="A26443" s="3" t="s">
        <v>42873</v>
      </c>
      <c r="B26443" s="3" t="s">
        <v>21436</v>
      </c>
      <c r="C26443" s="5" t="s">
        <v>221</v>
      </c>
      <c r="D26443" s="3" t="s">
        <v>614</v>
      </c>
      <c r="E26443" s="3" t="s">
        <v>118</v>
      </c>
      <c r="F26443" s="7">
        <v>46254.33545156704</v>
      </c>
      <c r="G26443" s="3" t="s">
        <v>5699</v>
      </c>
    </row>
    <row r="26444">
      <c r="A26444" s="3" t="s">
        <v>42874</v>
      </c>
      <c r="B26444" s="3" t="s">
        <v>21436</v>
      </c>
      <c r="C26444" s="5" t="s">
        <v>614</v>
      </c>
      <c r="D26444" s="3" t="s">
        <v>206</v>
      </c>
      <c r="E26444" s="3" t="s">
        <v>100</v>
      </c>
      <c r="F26444" s="7">
        <v>46254.33892378927</v>
      </c>
      <c r="G26444" s="3" t="s">
        <v>5701</v>
      </c>
    </row>
    <row r="26445">
      <c r="A26445" s="3" t="s">
        <v>42875</v>
      </c>
      <c r="B26445" s="3" t="s">
        <v>21436</v>
      </c>
      <c r="C26445" s="5" t="s">
        <v>206</v>
      </c>
      <c r="D26445" s="3" t="s">
        <v>68</v>
      </c>
      <c r="E26445" s="3" t="s">
        <v>100</v>
      </c>
      <c r="F26445" s="7">
        <v>46254.34239601149</v>
      </c>
      <c r="G26445" s="3" t="s">
        <v>5704</v>
      </c>
    </row>
    <row r="26446">
      <c r="A26446" s="3" t="s">
        <v>42876</v>
      </c>
      <c r="B26446" s="3" t="s">
        <v>21439</v>
      </c>
      <c r="C26446" s="5" t="s">
        <v>45</v>
      </c>
      <c r="D26446" s="3" t="s">
        <v>221</v>
      </c>
      <c r="E26446" s="3" t="s">
        <v>547</v>
      </c>
      <c r="F26446" s="7">
        <v>46254.40315419024</v>
      </c>
      <c r="G26446" s="3" t="s">
        <v>34012</v>
      </c>
    </row>
    <row r="26447">
      <c r="A26447" s="3" t="s">
        <v>42877</v>
      </c>
      <c r="B26447" s="3" t="s">
        <v>21439</v>
      </c>
      <c r="C26447" s="5" t="s">
        <v>221</v>
      </c>
      <c r="D26447" s="3" t="s">
        <v>614</v>
      </c>
      <c r="E26447" s="3" t="s">
        <v>118</v>
      </c>
      <c r="F26447" s="7">
        <v>46254.406626412456</v>
      </c>
      <c r="G26447" s="3" t="s">
        <v>34014</v>
      </c>
    </row>
    <row r="26448">
      <c r="A26448" s="3" t="s">
        <v>42878</v>
      </c>
      <c r="B26448" s="3" t="s">
        <v>21439</v>
      </c>
      <c r="C26448" s="5" t="s">
        <v>614</v>
      </c>
      <c r="D26448" s="3" t="s">
        <v>206</v>
      </c>
      <c r="E26448" s="3" t="s">
        <v>100</v>
      </c>
      <c r="F26448" s="7">
        <v>46254.41009863468</v>
      </c>
      <c r="G26448" s="3" t="s">
        <v>34016</v>
      </c>
    </row>
    <row r="26449">
      <c r="A26449" s="3" t="s">
        <v>42879</v>
      </c>
      <c r="B26449" s="3" t="s">
        <v>21439</v>
      </c>
      <c r="C26449" s="5" t="s">
        <v>206</v>
      </c>
      <c r="D26449" s="3" t="s">
        <v>68</v>
      </c>
      <c r="E26449" s="3" t="s">
        <v>100</v>
      </c>
      <c r="F26449" s="7">
        <v>46254.4135708569</v>
      </c>
      <c r="G26449" s="3" t="s">
        <v>34018</v>
      </c>
    </row>
    <row r="26450">
      <c r="A26450" s="3" t="s">
        <v>42880</v>
      </c>
      <c r="B26450" s="3" t="s">
        <v>21441</v>
      </c>
      <c r="C26450" s="5" t="s">
        <v>45</v>
      </c>
      <c r="D26450" s="3" t="s">
        <v>221</v>
      </c>
      <c r="E26450" s="3" t="s">
        <v>453</v>
      </c>
      <c r="F26450" s="7">
        <v>46254.47432903565</v>
      </c>
      <c r="G26450" s="3" t="s">
        <v>13487</v>
      </c>
    </row>
    <row r="26451">
      <c r="A26451" s="3" t="s">
        <v>42881</v>
      </c>
      <c r="B26451" s="3" t="s">
        <v>21441</v>
      </c>
      <c r="C26451" s="5" t="s">
        <v>221</v>
      </c>
      <c r="D26451" s="3" t="s">
        <v>614</v>
      </c>
      <c r="E26451" s="3" t="s">
        <v>118</v>
      </c>
      <c r="F26451" s="7">
        <v>46254.47780125787</v>
      </c>
      <c r="G26451" s="3" t="s">
        <v>13490</v>
      </c>
    </row>
    <row r="26452">
      <c r="A26452" s="3" t="s">
        <v>42882</v>
      </c>
      <c r="B26452" s="3" t="s">
        <v>21441</v>
      </c>
      <c r="C26452" s="5" t="s">
        <v>614</v>
      </c>
      <c r="D26452" s="3" t="s">
        <v>206</v>
      </c>
      <c r="E26452" s="3" t="s">
        <v>100</v>
      </c>
      <c r="F26452" s="7">
        <v>46254.481273480094</v>
      </c>
      <c r="G26452" s="3" t="s">
        <v>13493</v>
      </c>
    </row>
    <row r="26453">
      <c r="A26453" s="3" t="s">
        <v>42883</v>
      </c>
      <c r="B26453" s="3" t="s">
        <v>21441</v>
      </c>
      <c r="C26453" s="5" t="s">
        <v>206</v>
      </c>
      <c r="D26453" s="3" t="s">
        <v>68</v>
      </c>
      <c r="E26453" s="3" t="s">
        <v>100</v>
      </c>
      <c r="F26453" s="7">
        <v>46254.48474570231</v>
      </c>
      <c r="G26453" s="3" t="s">
        <v>13495</v>
      </c>
    </row>
    <row r="26454">
      <c r="A26454" s="3" t="s">
        <v>42884</v>
      </c>
      <c r="B26454" s="3" t="s">
        <v>21443</v>
      </c>
      <c r="C26454" s="5" t="s">
        <v>45</v>
      </c>
      <c r="D26454" s="3" t="s">
        <v>221</v>
      </c>
      <c r="E26454" s="3" t="s">
        <v>1026</v>
      </c>
      <c r="F26454" s="7">
        <v>46254.54550388107</v>
      </c>
      <c r="G26454" s="3" t="s">
        <v>28602</v>
      </c>
    </row>
    <row r="26455">
      <c r="A26455" s="3" t="s">
        <v>42885</v>
      </c>
      <c r="B26455" s="3" t="s">
        <v>21443</v>
      </c>
      <c r="C26455" s="5" t="s">
        <v>221</v>
      </c>
      <c r="D26455" s="3" t="s">
        <v>181</v>
      </c>
      <c r="E26455" s="3" t="s">
        <v>118</v>
      </c>
      <c r="F26455" s="7">
        <v>46254.54897610329</v>
      </c>
      <c r="G26455" s="3" t="s">
        <v>30524</v>
      </c>
    </row>
    <row r="26456">
      <c r="A26456" s="3" t="s">
        <v>42886</v>
      </c>
      <c r="B26456" s="3" t="s">
        <v>21446</v>
      </c>
      <c r="C26456" s="5" t="s">
        <v>45</v>
      </c>
      <c r="D26456" s="3" t="s">
        <v>221</v>
      </c>
      <c r="E26456" s="3" t="s">
        <v>159</v>
      </c>
      <c r="F26456" s="7">
        <v>46254.61667872648</v>
      </c>
      <c r="G26456" s="3" t="s">
        <v>15958</v>
      </c>
    </row>
    <row r="26457">
      <c r="A26457" s="3" t="s">
        <v>42887</v>
      </c>
      <c r="B26457" s="3" t="s">
        <v>21446</v>
      </c>
      <c r="C26457" s="5" t="s">
        <v>221</v>
      </c>
      <c r="D26457" s="3" t="s">
        <v>614</v>
      </c>
      <c r="E26457" s="3" t="s">
        <v>118</v>
      </c>
      <c r="F26457" s="7">
        <v>46254.6201509487</v>
      </c>
      <c r="G26457" s="3" t="s">
        <v>15961</v>
      </c>
    </row>
    <row r="26458">
      <c r="A26458" s="3" t="s">
        <v>42888</v>
      </c>
      <c r="B26458" s="3" t="s">
        <v>21446</v>
      </c>
      <c r="C26458" s="5" t="s">
        <v>614</v>
      </c>
      <c r="D26458" s="3" t="s">
        <v>206</v>
      </c>
      <c r="E26458" s="3" t="s">
        <v>100</v>
      </c>
      <c r="F26458" s="7">
        <v>46254.623623170926</v>
      </c>
      <c r="G26458" s="3" t="s">
        <v>15964</v>
      </c>
    </row>
    <row r="26459">
      <c r="A26459" s="3" t="s">
        <v>42889</v>
      </c>
      <c r="B26459" s="3" t="s">
        <v>21446</v>
      </c>
      <c r="C26459" s="5" t="s">
        <v>206</v>
      </c>
      <c r="D26459" s="3" t="s">
        <v>68</v>
      </c>
      <c r="E26459" s="3" t="s">
        <v>100</v>
      </c>
      <c r="F26459" s="7">
        <v>46254.627095393145</v>
      </c>
      <c r="G26459" s="3" t="s">
        <v>15967</v>
      </c>
    </row>
    <row r="26460">
      <c r="A26460" s="3" t="s">
        <v>42890</v>
      </c>
      <c r="B26460" s="3" t="s">
        <v>21449</v>
      </c>
      <c r="C26460" s="5" t="s">
        <v>45</v>
      </c>
      <c r="D26460" s="3" t="s">
        <v>221</v>
      </c>
      <c r="E26460" s="3" t="s">
        <v>316</v>
      </c>
      <c r="F26460" s="7">
        <v>46254.68785357189</v>
      </c>
      <c r="G26460" s="3" t="s">
        <v>13498</v>
      </c>
    </row>
    <row r="26461">
      <c r="A26461" s="3" t="s">
        <v>42891</v>
      </c>
      <c r="B26461" s="3" t="s">
        <v>21449</v>
      </c>
      <c r="C26461" s="5" t="s">
        <v>221</v>
      </c>
      <c r="D26461" s="3" t="s">
        <v>614</v>
      </c>
      <c r="E26461" s="3" t="s">
        <v>118</v>
      </c>
      <c r="F26461" s="7">
        <v>46254.69132579411</v>
      </c>
      <c r="G26461" s="3" t="s">
        <v>13501</v>
      </c>
    </row>
    <row r="26462">
      <c r="A26462" s="3" t="s">
        <v>42892</v>
      </c>
      <c r="B26462" s="3" t="s">
        <v>21449</v>
      </c>
      <c r="C26462" s="5" t="s">
        <v>614</v>
      </c>
      <c r="D26462" s="3" t="s">
        <v>206</v>
      </c>
      <c r="E26462" s="3" t="s">
        <v>100</v>
      </c>
      <c r="F26462" s="7">
        <v>46254.69479801634</v>
      </c>
      <c r="G26462" s="3" t="s">
        <v>13504</v>
      </c>
    </row>
    <row r="26463">
      <c r="A26463" s="3" t="s">
        <v>42893</v>
      </c>
      <c r="B26463" s="3" t="s">
        <v>21449</v>
      </c>
      <c r="C26463" s="5" t="s">
        <v>206</v>
      </c>
      <c r="D26463" s="3" t="s">
        <v>68</v>
      </c>
      <c r="E26463" s="3" t="s">
        <v>100</v>
      </c>
      <c r="F26463" s="7">
        <v>46254.69827023856</v>
      </c>
      <c r="G26463" s="3" t="s">
        <v>13507</v>
      </c>
    </row>
    <row r="26464">
      <c r="A26464" s="3" t="s">
        <v>42894</v>
      </c>
      <c r="B26464" s="3" t="s">
        <v>21453</v>
      </c>
      <c r="C26464" s="5" t="s">
        <v>45</v>
      </c>
      <c r="D26464" s="3" t="s">
        <v>221</v>
      </c>
      <c r="E26464" s="3" t="s">
        <v>586</v>
      </c>
      <c r="F26464" s="7">
        <v>46254.75902841731</v>
      </c>
      <c r="G26464" s="3" t="s">
        <v>30549</v>
      </c>
    </row>
    <row r="26465">
      <c r="A26465" s="3" t="s">
        <v>42895</v>
      </c>
      <c r="B26465" s="3" t="s">
        <v>21453</v>
      </c>
      <c r="C26465" s="5" t="s">
        <v>221</v>
      </c>
      <c r="D26465" s="3" t="s">
        <v>614</v>
      </c>
      <c r="E26465" s="3" t="s">
        <v>118</v>
      </c>
      <c r="F26465" s="7">
        <v>46254.76250063953</v>
      </c>
      <c r="G26465" s="3" t="s">
        <v>30551</v>
      </c>
    </row>
    <row r="26466">
      <c r="A26466" s="3" t="s">
        <v>42896</v>
      </c>
      <c r="B26466" s="3" t="s">
        <v>21453</v>
      </c>
      <c r="C26466" s="5" t="s">
        <v>614</v>
      </c>
      <c r="D26466" s="3" t="s">
        <v>206</v>
      </c>
      <c r="E26466" s="3" t="s">
        <v>100</v>
      </c>
      <c r="F26466" s="7">
        <v>46254.76597286176</v>
      </c>
      <c r="G26466" s="3" t="s">
        <v>30553</v>
      </c>
    </row>
    <row r="26467">
      <c r="A26467" s="3" t="s">
        <v>42897</v>
      </c>
      <c r="B26467" s="3" t="s">
        <v>21453</v>
      </c>
      <c r="C26467" s="5" t="s">
        <v>206</v>
      </c>
      <c r="D26467" s="3" t="s">
        <v>68</v>
      </c>
      <c r="E26467" s="3" t="s">
        <v>100</v>
      </c>
      <c r="F26467" s="7">
        <v>46254.76944508398</v>
      </c>
      <c r="G26467" s="3" t="s">
        <v>30555</v>
      </c>
    </row>
    <row r="26468">
      <c r="A26468" s="3" t="s">
        <v>42898</v>
      </c>
      <c r="B26468" s="3" t="s">
        <v>21455</v>
      </c>
      <c r="C26468" s="5" t="s">
        <v>45</v>
      </c>
      <c r="D26468" s="3" t="s">
        <v>221</v>
      </c>
      <c r="E26468" s="3" t="s">
        <v>236</v>
      </c>
      <c r="F26468" s="7">
        <v>46254.830203262725</v>
      </c>
      <c r="G26468" s="3" t="s">
        <v>11776</v>
      </c>
    </row>
    <row r="26469">
      <c r="A26469" s="3" t="s">
        <v>42899</v>
      </c>
      <c r="B26469" s="3" t="s">
        <v>21455</v>
      </c>
      <c r="C26469" s="5" t="s">
        <v>221</v>
      </c>
      <c r="D26469" s="3" t="s">
        <v>614</v>
      </c>
      <c r="E26469" s="3" t="s">
        <v>118</v>
      </c>
      <c r="F26469" s="7">
        <v>46254.833675484944</v>
      </c>
      <c r="G26469" s="3" t="s">
        <v>11779</v>
      </c>
    </row>
    <row r="26470">
      <c r="A26470" s="3" t="s">
        <v>42900</v>
      </c>
      <c r="B26470" s="3" t="s">
        <v>21455</v>
      </c>
      <c r="C26470" s="5" t="s">
        <v>614</v>
      </c>
      <c r="D26470" s="3" t="s">
        <v>206</v>
      </c>
      <c r="E26470" s="3" t="s">
        <v>100</v>
      </c>
      <c r="F26470" s="7">
        <v>46254.83714770717</v>
      </c>
      <c r="G26470" s="3" t="s">
        <v>11782</v>
      </c>
    </row>
    <row r="26471">
      <c r="A26471" s="3" t="s">
        <v>42901</v>
      </c>
      <c r="B26471" s="3" t="s">
        <v>21455</v>
      </c>
      <c r="C26471" s="5" t="s">
        <v>206</v>
      </c>
      <c r="D26471" s="3" t="s">
        <v>68</v>
      </c>
      <c r="E26471" s="3" t="s">
        <v>100</v>
      </c>
      <c r="F26471" s="7">
        <v>46254.84061992939</v>
      </c>
      <c r="G26471" s="3" t="s">
        <v>11785</v>
      </c>
    </row>
    <row r="26472">
      <c r="A26472" s="3" t="s">
        <v>42902</v>
      </c>
      <c r="B26472" s="3" t="s">
        <v>21458</v>
      </c>
      <c r="C26472" s="5" t="s">
        <v>45</v>
      </c>
      <c r="D26472" s="3" t="s">
        <v>221</v>
      </c>
      <c r="E26472" s="3" t="s">
        <v>505</v>
      </c>
      <c r="F26472" s="7">
        <v>46254.90137810814</v>
      </c>
      <c r="G26472" s="3" t="s">
        <v>13538</v>
      </c>
    </row>
    <row r="26473">
      <c r="A26473" s="3" t="s">
        <v>42903</v>
      </c>
      <c r="B26473" s="3" t="s">
        <v>21458</v>
      </c>
      <c r="C26473" s="5" t="s">
        <v>221</v>
      </c>
      <c r="D26473" s="3" t="s">
        <v>614</v>
      </c>
      <c r="E26473" s="3" t="s">
        <v>118</v>
      </c>
      <c r="F26473" s="7">
        <v>46254.90485033036</v>
      </c>
      <c r="G26473" s="3" t="s">
        <v>13541</v>
      </c>
    </row>
    <row r="26474">
      <c r="A26474" s="3" t="s">
        <v>42904</v>
      </c>
      <c r="B26474" s="3" t="s">
        <v>21458</v>
      </c>
      <c r="C26474" s="5" t="s">
        <v>614</v>
      </c>
      <c r="D26474" s="3" t="s">
        <v>206</v>
      </c>
      <c r="E26474" s="3" t="s">
        <v>100</v>
      </c>
      <c r="F26474" s="7">
        <v>46254.90832255258</v>
      </c>
      <c r="G26474" s="3" t="s">
        <v>13544</v>
      </c>
    </row>
    <row r="26475">
      <c r="A26475" s="3" t="s">
        <v>42905</v>
      </c>
      <c r="B26475" s="3" t="s">
        <v>21458</v>
      </c>
      <c r="C26475" s="5" t="s">
        <v>206</v>
      </c>
      <c r="D26475" s="3" t="s">
        <v>68</v>
      </c>
      <c r="E26475" s="3" t="s">
        <v>100</v>
      </c>
      <c r="F26475" s="7">
        <v>46254.9117947748</v>
      </c>
      <c r="G26475" s="3" t="s">
        <v>13547</v>
      </c>
    </row>
    <row r="26476">
      <c r="A26476" s="3" t="s">
        <v>42906</v>
      </c>
      <c r="B26476" s="3" t="s">
        <v>21460</v>
      </c>
      <c r="C26476" s="5" t="s">
        <v>45</v>
      </c>
      <c r="D26476" s="3" t="s">
        <v>221</v>
      </c>
      <c r="E26476" s="3" t="s">
        <v>186</v>
      </c>
      <c r="F26476" s="7">
        <v>46254.97255295356</v>
      </c>
      <c r="G26476" s="3" t="s">
        <v>13566</v>
      </c>
    </row>
    <row r="26477">
      <c r="A26477" s="3" t="s">
        <v>42907</v>
      </c>
      <c r="B26477" s="3" t="s">
        <v>21460</v>
      </c>
      <c r="C26477" s="5" t="s">
        <v>221</v>
      </c>
      <c r="D26477" s="3" t="s">
        <v>614</v>
      </c>
      <c r="E26477" s="3" t="s">
        <v>118</v>
      </c>
      <c r="F26477" s="7">
        <v>46254.976025175776</v>
      </c>
      <c r="G26477" s="3" t="s">
        <v>13568</v>
      </c>
    </row>
    <row r="26478">
      <c r="A26478" s="3" t="s">
        <v>42908</v>
      </c>
      <c r="B26478" s="3" t="s">
        <v>21460</v>
      </c>
      <c r="C26478" s="5" t="s">
        <v>614</v>
      </c>
      <c r="D26478" s="3" t="s">
        <v>206</v>
      </c>
      <c r="E26478" s="3" t="s">
        <v>100</v>
      </c>
      <c r="F26478" s="7">
        <v>46254.979497398</v>
      </c>
      <c r="G26478" s="3" t="s">
        <v>13571</v>
      </c>
    </row>
    <row r="26479">
      <c r="A26479" s="3" t="s">
        <v>42909</v>
      </c>
      <c r="B26479" s="3" t="s">
        <v>21460</v>
      </c>
      <c r="C26479" s="5" t="s">
        <v>206</v>
      </c>
      <c r="D26479" s="3" t="s">
        <v>68</v>
      </c>
      <c r="E26479" s="3" t="s">
        <v>100</v>
      </c>
      <c r="F26479" s="7">
        <v>46254.98296962022</v>
      </c>
      <c r="G26479" s="3" t="s">
        <v>13574</v>
      </c>
    </row>
    <row r="26480">
      <c r="A26480" s="3" t="s">
        <v>42910</v>
      </c>
      <c r="B26480" s="3" t="s">
        <v>21462</v>
      </c>
      <c r="C26480" s="5" t="s">
        <v>45</v>
      </c>
      <c r="D26480" s="3" t="s">
        <v>221</v>
      </c>
      <c r="E26480" s="3" t="s">
        <v>796</v>
      </c>
      <c r="F26480" s="7">
        <v>46255.04372779897</v>
      </c>
      <c r="G26480" s="3" t="s">
        <v>35626</v>
      </c>
    </row>
    <row r="26481">
      <c r="A26481" s="3" t="s">
        <v>42911</v>
      </c>
      <c r="B26481" s="3" t="s">
        <v>21462</v>
      </c>
      <c r="C26481" s="5" t="s">
        <v>221</v>
      </c>
      <c r="D26481" s="3" t="s">
        <v>614</v>
      </c>
      <c r="E26481" s="3" t="s">
        <v>118</v>
      </c>
      <c r="F26481" s="7">
        <v>46255.04720002119</v>
      </c>
      <c r="G26481" s="3" t="s">
        <v>35628</v>
      </c>
    </row>
    <row r="26482">
      <c r="A26482" s="3" t="s">
        <v>42912</v>
      </c>
      <c r="B26482" s="3" t="s">
        <v>21462</v>
      </c>
      <c r="C26482" s="5" t="s">
        <v>614</v>
      </c>
      <c r="D26482" s="3" t="s">
        <v>206</v>
      </c>
      <c r="E26482" s="3" t="s">
        <v>100</v>
      </c>
      <c r="F26482" s="7">
        <v>46255.050672243415</v>
      </c>
      <c r="G26482" s="3" t="s">
        <v>35630</v>
      </c>
    </row>
    <row r="26483">
      <c r="A26483" s="3" t="s">
        <v>42913</v>
      </c>
      <c r="B26483" s="3" t="s">
        <v>21462</v>
      </c>
      <c r="C26483" s="5" t="s">
        <v>206</v>
      </c>
      <c r="D26483" s="3" t="s">
        <v>68</v>
      </c>
      <c r="E26483" s="3" t="s">
        <v>100</v>
      </c>
      <c r="F26483" s="7">
        <v>46255.054144465634</v>
      </c>
      <c r="G26483" s="3" t="s">
        <v>35632</v>
      </c>
    </row>
    <row r="26484">
      <c r="A26484" s="3" t="s">
        <v>42914</v>
      </c>
      <c r="B26484" s="3" t="s">
        <v>21465</v>
      </c>
      <c r="C26484" s="5" t="s">
        <v>45</v>
      </c>
      <c r="D26484" s="3" t="s">
        <v>221</v>
      </c>
      <c r="E26484" s="3" t="s">
        <v>586</v>
      </c>
      <c r="F26484" s="7">
        <v>46255.11490264438</v>
      </c>
      <c r="G26484" s="3" t="s">
        <v>17294</v>
      </c>
    </row>
    <row r="26485">
      <c r="A26485" s="3" t="s">
        <v>42915</v>
      </c>
      <c r="B26485" s="3" t="s">
        <v>21465</v>
      </c>
      <c r="C26485" s="5" t="s">
        <v>221</v>
      </c>
      <c r="D26485" s="3" t="s">
        <v>181</v>
      </c>
      <c r="E26485" s="3" t="s">
        <v>118</v>
      </c>
      <c r="F26485" s="7">
        <v>46255.1183748666</v>
      </c>
      <c r="G26485" s="3" t="s">
        <v>42916</v>
      </c>
    </row>
    <row r="26486">
      <c r="A26486" s="3" t="s">
        <v>42917</v>
      </c>
      <c r="B26486" s="3" t="s">
        <v>21469</v>
      </c>
      <c r="C26486" s="5" t="s">
        <v>45</v>
      </c>
      <c r="D26486" s="3" t="s">
        <v>221</v>
      </c>
      <c r="E26486" s="3" t="s">
        <v>547</v>
      </c>
      <c r="F26486" s="7">
        <v>46255.1860774898</v>
      </c>
      <c r="G26486" s="3" t="s">
        <v>34012</v>
      </c>
    </row>
    <row r="26487">
      <c r="A26487" s="3" t="s">
        <v>42918</v>
      </c>
      <c r="B26487" s="3" t="s">
        <v>21469</v>
      </c>
      <c r="C26487" s="5" t="s">
        <v>221</v>
      </c>
      <c r="D26487" s="3" t="s">
        <v>614</v>
      </c>
      <c r="E26487" s="3" t="s">
        <v>118</v>
      </c>
      <c r="F26487" s="7">
        <v>46255.18954971202</v>
      </c>
      <c r="G26487" s="3" t="s">
        <v>34014</v>
      </c>
    </row>
    <row r="26488">
      <c r="A26488" s="3" t="s">
        <v>42919</v>
      </c>
      <c r="B26488" s="3" t="s">
        <v>21469</v>
      </c>
      <c r="C26488" s="5" t="s">
        <v>614</v>
      </c>
      <c r="D26488" s="3" t="s">
        <v>206</v>
      </c>
      <c r="E26488" s="3" t="s">
        <v>100</v>
      </c>
      <c r="F26488" s="7">
        <v>46255.19302193425</v>
      </c>
      <c r="G26488" s="3" t="s">
        <v>34016</v>
      </c>
    </row>
    <row r="26489">
      <c r="A26489" s="3" t="s">
        <v>42920</v>
      </c>
      <c r="B26489" s="3" t="s">
        <v>21469</v>
      </c>
      <c r="C26489" s="5" t="s">
        <v>206</v>
      </c>
      <c r="D26489" s="3" t="s">
        <v>68</v>
      </c>
      <c r="E26489" s="3" t="s">
        <v>100</v>
      </c>
      <c r="F26489" s="7">
        <v>46255.196494156466</v>
      </c>
      <c r="G26489" s="3" t="s">
        <v>34018</v>
      </c>
    </row>
    <row r="26490">
      <c r="A26490" s="3" t="s">
        <v>42921</v>
      </c>
      <c r="B26490" s="3" t="s">
        <v>21473</v>
      </c>
      <c r="C26490" s="5" t="s">
        <v>45</v>
      </c>
      <c r="D26490" s="3" t="s">
        <v>221</v>
      </c>
      <c r="E26490" s="3" t="s">
        <v>605</v>
      </c>
      <c r="F26490" s="7">
        <v>46255.25725233522</v>
      </c>
      <c r="G26490" s="3" t="s">
        <v>28527</v>
      </c>
    </row>
    <row r="26491">
      <c r="A26491" s="3" t="s">
        <v>42922</v>
      </c>
      <c r="B26491" s="3" t="s">
        <v>21473</v>
      </c>
      <c r="C26491" s="5" t="s">
        <v>221</v>
      </c>
      <c r="D26491" s="3" t="s">
        <v>614</v>
      </c>
      <c r="E26491" s="3" t="s">
        <v>118</v>
      </c>
      <c r="F26491" s="7">
        <v>46255.26072455744</v>
      </c>
      <c r="G26491" s="3" t="s">
        <v>28529</v>
      </c>
    </row>
    <row r="26492">
      <c r="A26492" s="3" t="s">
        <v>42923</v>
      </c>
      <c r="B26492" s="3" t="s">
        <v>21473</v>
      </c>
      <c r="C26492" s="5" t="s">
        <v>614</v>
      </c>
      <c r="D26492" s="3" t="s">
        <v>206</v>
      </c>
      <c r="E26492" s="3" t="s">
        <v>100</v>
      </c>
      <c r="F26492" s="7">
        <v>46255.264196779666</v>
      </c>
      <c r="G26492" s="3" t="s">
        <v>28531</v>
      </c>
    </row>
    <row r="26493">
      <c r="A26493" s="3" t="s">
        <v>42924</v>
      </c>
      <c r="B26493" s="3" t="s">
        <v>21473</v>
      </c>
      <c r="C26493" s="5" t="s">
        <v>206</v>
      </c>
      <c r="D26493" s="3" t="s">
        <v>68</v>
      </c>
      <c r="E26493" s="3" t="s">
        <v>100</v>
      </c>
      <c r="F26493" s="7">
        <v>46255.267669001885</v>
      </c>
      <c r="G26493" s="3" t="s">
        <v>28533</v>
      </c>
    </row>
    <row r="26494">
      <c r="A26494" s="3" t="s">
        <v>42925</v>
      </c>
      <c r="B26494" s="3" t="s">
        <v>21475</v>
      </c>
      <c r="C26494" s="5" t="s">
        <v>45</v>
      </c>
      <c r="D26494" s="3" t="s">
        <v>221</v>
      </c>
      <c r="E26494" s="3" t="s">
        <v>256</v>
      </c>
      <c r="F26494" s="7">
        <v>46255.328427180626</v>
      </c>
      <c r="G26494" s="3" t="s">
        <v>25813</v>
      </c>
    </row>
    <row r="26495">
      <c r="A26495" s="3" t="s">
        <v>42926</v>
      </c>
      <c r="B26495" s="3" t="s">
        <v>21475</v>
      </c>
      <c r="C26495" s="5" t="s">
        <v>221</v>
      </c>
      <c r="D26495" s="3" t="s">
        <v>614</v>
      </c>
      <c r="E26495" s="3" t="s">
        <v>118</v>
      </c>
      <c r="F26495" s="7">
        <v>46255.331899402845</v>
      </c>
      <c r="G26495" s="3" t="s">
        <v>27432</v>
      </c>
    </row>
    <row r="26496">
      <c r="A26496" s="3" t="s">
        <v>42927</v>
      </c>
      <c r="B26496" s="3" t="s">
        <v>21475</v>
      </c>
      <c r="C26496" s="5" t="s">
        <v>614</v>
      </c>
      <c r="D26496" s="3" t="s">
        <v>206</v>
      </c>
      <c r="E26496" s="3" t="s">
        <v>100</v>
      </c>
      <c r="F26496" s="7">
        <v>46255.33537162507</v>
      </c>
      <c r="G26496" s="3" t="s">
        <v>27434</v>
      </c>
    </row>
    <row r="26497">
      <c r="A26497" s="3" t="s">
        <v>42928</v>
      </c>
      <c r="B26497" s="3" t="s">
        <v>21475</v>
      </c>
      <c r="C26497" s="5" t="s">
        <v>206</v>
      </c>
      <c r="D26497" s="3" t="s">
        <v>68</v>
      </c>
      <c r="E26497" s="3" t="s">
        <v>100</v>
      </c>
      <c r="F26497" s="7">
        <v>46255.33884384729</v>
      </c>
      <c r="G26497" s="3" t="s">
        <v>27436</v>
      </c>
    </row>
    <row r="26498">
      <c r="A26498" s="3" t="s">
        <v>42929</v>
      </c>
      <c r="B26498" s="3" t="s">
        <v>21477</v>
      </c>
      <c r="C26498" s="5" t="s">
        <v>45</v>
      </c>
      <c r="D26498" s="3" t="s">
        <v>221</v>
      </c>
      <c r="E26498" s="3" t="s">
        <v>442</v>
      </c>
      <c r="F26498" s="7">
        <v>46255.399602026046</v>
      </c>
      <c r="G26498" s="3" t="s">
        <v>9238</v>
      </c>
    </row>
    <row r="26499">
      <c r="A26499" s="3" t="s">
        <v>42930</v>
      </c>
      <c r="B26499" s="3" t="s">
        <v>21477</v>
      </c>
      <c r="C26499" s="5" t="s">
        <v>221</v>
      </c>
      <c r="D26499" s="3" t="s">
        <v>614</v>
      </c>
      <c r="E26499" s="3" t="s">
        <v>118</v>
      </c>
      <c r="F26499" s="7">
        <v>46255.403074248265</v>
      </c>
      <c r="G26499" s="3" t="s">
        <v>16363</v>
      </c>
    </row>
    <row r="26500">
      <c r="A26500" s="3" t="s">
        <v>42931</v>
      </c>
      <c r="B26500" s="3" t="s">
        <v>21477</v>
      </c>
      <c r="C26500" s="5" t="s">
        <v>614</v>
      </c>
      <c r="D26500" s="3" t="s">
        <v>206</v>
      </c>
      <c r="E26500" s="3" t="s">
        <v>100</v>
      </c>
      <c r="F26500" s="7">
        <v>46255.40654647049</v>
      </c>
      <c r="G26500" s="3" t="s">
        <v>16366</v>
      </c>
    </row>
    <row r="26501">
      <c r="A26501" s="3" t="s">
        <v>42932</v>
      </c>
      <c r="B26501" s="3" t="s">
        <v>21477</v>
      </c>
      <c r="C26501" s="5" t="s">
        <v>206</v>
      </c>
      <c r="D26501" s="3" t="s">
        <v>68</v>
      </c>
      <c r="E26501" s="3" t="s">
        <v>100</v>
      </c>
      <c r="F26501" s="7">
        <v>46255.41001869271</v>
      </c>
      <c r="G26501" s="3" t="s">
        <v>16369</v>
      </c>
    </row>
    <row r="26502">
      <c r="A26502" s="3" t="s">
        <v>42933</v>
      </c>
      <c r="B26502" s="3" t="s">
        <v>21479</v>
      </c>
      <c r="C26502" s="5" t="s">
        <v>45</v>
      </c>
      <c r="D26502" s="3" t="s">
        <v>221</v>
      </c>
      <c r="E26502" s="3" t="s">
        <v>953</v>
      </c>
      <c r="F26502" s="7">
        <v>46255.470776871465</v>
      </c>
      <c r="G26502" s="3" t="s">
        <v>6625</v>
      </c>
    </row>
    <row r="26503">
      <c r="A26503" s="3" t="s">
        <v>42934</v>
      </c>
      <c r="B26503" s="3" t="s">
        <v>21479</v>
      </c>
      <c r="C26503" s="5" t="s">
        <v>221</v>
      </c>
      <c r="D26503" s="3" t="s">
        <v>614</v>
      </c>
      <c r="E26503" s="3" t="s">
        <v>118</v>
      </c>
      <c r="F26503" s="7">
        <v>46255.474249093684</v>
      </c>
      <c r="G26503" s="3" t="s">
        <v>6628</v>
      </c>
    </row>
    <row r="26504">
      <c r="A26504" s="3" t="s">
        <v>42935</v>
      </c>
      <c r="B26504" s="3" t="s">
        <v>21479</v>
      </c>
      <c r="C26504" s="5" t="s">
        <v>614</v>
      </c>
      <c r="D26504" s="3" t="s">
        <v>206</v>
      </c>
      <c r="E26504" s="3" t="s">
        <v>100</v>
      </c>
      <c r="F26504" s="7">
        <v>46255.47772131591</v>
      </c>
      <c r="G26504" s="3" t="s">
        <v>6631</v>
      </c>
    </row>
    <row r="26505">
      <c r="A26505" s="3" t="s">
        <v>42936</v>
      </c>
      <c r="B26505" s="3" t="s">
        <v>21479</v>
      </c>
      <c r="C26505" s="5" t="s">
        <v>206</v>
      </c>
      <c r="D26505" s="3" t="s">
        <v>68</v>
      </c>
      <c r="E26505" s="3" t="s">
        <v>100</v>
      </c>
      <c r="F26505" s="7">
        <v>46255.48119353813</v>
      </c>
      <c r="G26505" s="3" t="s">
        <v>6634</v>
      </c>
    </row>
    <row r="26506">
      <c r="A26506" s="3" t="s">
        <v>42937</v>
      </c>
      <c r="B26506" s="3" t="s">
        <v>21481</v>
      </c>
      <c r="C26506" s="5" t="s">
        <v>45</v>
      </c>
      <c r="D26506" s="3" t="s">
        <v>221</v>
      </c>
      <c r="E26506" s="3" t="s">
        <v>260</v>
      </c>
      <c r="F26506" s="7">
        <v>46255.54195171688</v>
      </c>
      <c r="G26506" s="3" t="s">
        <v>19125</v>
      </c>
    </row>
    <row r="26507">
      <c r="A26507" s="3" t="s">
        <v>42938</v>
      </c>
      <c r="B26507" s="3" t="s">
        <v>21481</v>
      </c>
      <c r="C26507" s="5" t="s">
        <v>221</v>
      </c>
      <c r="D26507" s="3" t="s">
        <v>614</v>
      </c>
      <c r="E26507" s="3" t="s">
        <v>118</v>
      </c>
      <c r="F26507" s="7">
        <v>46255.5454239391</v>
      </c>
      <c r="G26507" s="3" t="s">
        <v>19128</v>
      </c>
    </row>
    <row r="26508">
      <c r="A26508" s="3" t="s">
        <v>42939</v>
      </c>
      <c r="B26508" s="3" t="s">
        <v>21481</v>
      </c>
      <c r="C26508" s="5" t="s">
        <v>614</v>
      </c>
      <c r="D26508" s="3" t="s">
        <v>206</v>
      </c>
      <c r="E26508" s="3" t="s">
        <v>100</v>
      </c>
      <c r="F26508" s="7">
        <v>46255.54889616132</v>
      </c>
      <c r="G26508" s="3" t="s">
        <v>19131</v>
      </c>
    </row>
    <row r="26509">
      <c r="A26509" s="3" t="s">
        <v>42940</v>
      </c>
      <c r="B26509" s="3" t="s">
        <v>21481</v>
      </c>
      <c r="C26509" s="5" t="s">
        <v>206</v>
      </c>
      <c r="D26509" s="3" t="s">
        <v>68</v>
      </c>
      <c r="E26509" s="3" t="s">
        <v>100</v>
      </c>
      <c r="F26509" s="7">
        <v>46255.55236838354</v>
      </c>
      <c r="G26509" s="3" t="s">
        <v>19134</v>
      </c>
    </row>
    <row r="26510">
      <c r="A26510" s="3" t="s">
        <v>42941</v>
      </c>
      <c r="B26510" s="3" t="s">
        <v>21483</v>
      </c>
      <c r="C26510" s="5" t="s">
        <v>45</v>
      </c>
      <c r="D26510" s="3" t="s">
        <v>221</v>
      </c>
      <c r="E26510" s="3" t="s">
        <v>987</v>
      </c>
      <c r="F26510" s="7">
        <v>46255.61312656229</v>
      </c>
      <c r="G26510" s="3" t="s">
        <v>26846</v>
      </c>
    </row>
    <row r="26511">
      <c r="A26511" s="3" t="s">
        <v>42942</v>
      </c>
      <c r="B26511" s="3" t="s">
        <v>21483</v>
      </c>
      <c r="C26511" s="5" t="s">
        <v>221</v>
      </c>
      <c r="D26511" s="3" t="s">
        <v>614</v>
      </c>
      <c r="E26511" s="3" t="s">
        <v>118</v>
      </c>
      <c r="F26511" s="7">
        <v>46255.61659878451</v>
      </c>
      <c r="G26511" s="3" t="s">
        <v>29677</v>
      </c>
    </row>
    <row r="26512">
      <c r="A26512" s="3" t="s">
        <v>42943</v>
      </c>
      <c r="B26512" s="3" t="s">
        <v>21483</v>
      </c>
      <c r="C26512" s="5" t="s">
        <v>614</v>
      </c>
      <c r="D26512" s="3" t="s">
        <v>206</v>
      </c>
      <c r="E26512" s="3" t="s">
        <v>100</v>
      </c>
      <c r="F26512" s="7">
        <v>46255.620071006735</v>
      </c>
      <c r="G26512" s="3" t="s">
        <v>29679</v>
      </c>
    </row>
    <row r="26513">
      <c r="A26513" s="3" t="s">
        <v>42944</v>
      </c>
      <c r="B26513" s="3" t="s">
        <v>21483</v>
      </c>
      <c r="C26513" s="5" t="s">
        <v>206</v>
      </c>
      <c r="D26513" s="3" t="s">
        <v>68</v>
      </c>
      <c r="E26513" s="3" t="s">
        <v>100</v>
      </c>
      <c r="F26513" s="7">
        <v>46255.623543228954</v>
      </c>
      <c r="G26513" s="3" t="s">
        <v>29681</v>
      </c>
    </row>
    <row r="26514">
      <c r="A26514" s="3" t="s">
        <v>42945</v>
      </c>
      <c r="B26514" s="3" t="s">
        <v>21486</v>
      </c>
      <c r="C26514" s="5" t="s">
        <v>45</v>
      </c>
      <c r="D26514" s="3" t="s">
        <v>221</v>
      </c>
      <c r="E26514" s="3" t="s">
        <v>922</v>
      </c>
      <c r="F26514" s="7">
        <v>46255.68430140771</v>
      </c>
      <c r="G26514" s="3" t="s">
        <v>15629</v>
      </c>
    </row>
    <row r="26515">
      <c r="A26515" s="3" t="s">
        <v>42946</v>
      </c>
      <c r="B26515" s="3" t="s">
        <v>21486</v>
      </c>
      <c r="C26515" s="5" t="s">
        <v>221</v>
      </c>
      <c r="D26515" s="3" t="s">
        <v>614</v>
      </c>
      <c r="E26515" s="3" t="s">
        <v>118</v>
      </c>
      <c r="F26515" s="7">
        <v>46255.68777362993</v>
      </c>
      <c r="G26515" s="3" t="s">
        <v>15632</v>
      </c>
    </row>
    <row r="26516">
      <c r="A26516" s="3" t="s">
        <v>42947</v>
      </c>
      <c r="B26516" s="3" t="s">
        <v>21486</v>
      </c>
      <c r="C26516" s="5" t="s">
        <v>614</v>
      </c>
      <c r="D26516" s="3" t="s">
        <v>206</v>
      </c>
      <c r="E26516" s="3" t="s">
        <v>100</v>
      </c>
      <c r="F26516" s="7">
        <v>46255.691245852155</v>
      </c>
      <c r="G26516" s="3" t="s">
        <v>15634</v>
      </c>
    </row>
    <row r="26517">
      <c r="A26517" s="3" t="s">
        <v>42948</v>
      </c>
      <c r="B26517" s="3" t="s">
        <v>21486</v>
      </c>
      <c r="C26517" s="5" t="s">
        <v>206</v>
      </c>
      <c r="D26517" s="3" t="s">
        <v>68</v>
      </c>
      <c r="E26517" s="3" t="s">
        <v>100</v>
      </c>
      <c r="F26517" s="7">
        <v>46255.694718074374</v>
      </c>
      <c r="G26517" s="3" t="s">
        <v>15637</v>
      </c>
    </row>
    <row r="26518">
      <c r="A26518" s="3" t="s">
        <v>42949</v>
      </c>
      <c r="B26518" s="3" t="s">
        <v>21488</v>
      </c>
      <c r="C26518" s="5" t="s">
        <v>45</v>
      </c>
      <c r="D26518" s="3" t="s">
        <v>221</v>
      </c>
      <c r="E26518" s="3" t="s">
        <v>841</v>
      </c>
      <c r="F26518" s="7">
        <v>46255.75547625312</v>
      </c>
      <c r="G26518" s="3" t="s">
        <v>10844</v>
      </c>
    </row>
    <row r="26519">
      <c r="A26519" s="3" t="s">
        <v>42950</v>
      </c>
      <c r="B26519" s="3" t="s">
        <v>21488</v>
      </c>
      <c r="C26519" s="5" t="s">
        <v>221</v>
      </c>
      <c r="D26519" s="3" t="s">
        <v>614</v>
      </c>
      <c r="E26519" s="3" t="s">
        <v>118</v>
      </c>
      <c r="F26519" s="7">
        <v>46255.75894847534</v>
      </c>
      <c r="G26519" s="3" t="s">
        <v>10847</v>
      </c>
    </row>
    <row r="26520">
      <c r="A26520" s="3" t="s">
        <v>42951</v>
      </c>
      <c r="B26520" s="3" t="s">
        <v>21488</v>
      </c>
      <c r="C26520" s="5" t="s">
        <v>614</v>
      </c>
      <c r="D26520" s="3" t="s">
        <v>206</v>
      </c>
      <c r="E26520" s="3" t="s">
        <v>100</v>
      </c>
      <c r="F26520" s="7">
        <v>46255.76242069757</v>
      </c>
      <c r="G26520" s="3" t="s">
        <v>10850</v>
      </c>
    </row>
    <row r="26521">
      <c r="A26521" s="3" t="s">
        <v>42952</v>
      </c>
      <c r="B26521" s="3" t="s">
        <v>21488</v>
      </c>
      <c r="C26521" s="5" t="s">
        <v>206</v>
      </c>
      <c r="D26521" s="3" t="s">
        <v>68</v>
      </c>
      <c r="E26521" s="3" t="s">
        <v>100</v>
      </c>
      <c r="F26521" s="7">
        <v>46255.765892919786</v>
      </c>
      <c r="G26521" s="3" t="s">
        <v>10853</v>
      </c>
    </row>
    <row r="26522">
      <c r="A26522" s="3" t="s">
        <v>42953</v>
      </c>
      <c r="B26522" s="3" t="s">
        <v>21491</v>
      </c>
      <c r="C26522" s="5" t="s">
        <v>45</v>
      </c>
      <c r="D26522" s="3" t="s">
        <v>221</v>
      </c>
      <c r="E26522" s="3" t="s">
        <v>800</v>
      </c>
      <c r="F26522" s="7">
        <v>46255.826651098534</v>
      </c>
      <c r="G26522" s="3" t="s">
        <v>2770</v>
      </c>
    </row>
    <row r="26523">
      <c r="A26523" s="3" t="s">
        <v>42954</v>
      </c>
      <c r="B26523" s="3" t="s">
        <v>21491</v>
      </c>
      <c r="C26523" s="5" t="s">
        <v>221</v>
      </c>
      <c r="D26523" s="3" t="s">
        <v>181</v>
      </c>
      <c r="E26523" s="3" t="s">
        <v>118</v>
      </c>
      <c r="F26523" s="7">
        <v>46255.83012332075</v>
      </c>
      <c r="G26523" s="3" t="s">
        <v>2774</v>
      </c>
    </row>
    <row r="26524">
      <c r="A26524" s="3" t="s">
        <v>42955</v>
      </c>
      <c r="B26524" s="3" t="s">
        <v>21494</v>
      </c>
      <c r="C26524" s="5" t="s">
        <v>45</v>
      </c>
      <c r="D26524" s="3" t="s">
        <v>221</v>
      </c>
      <c r="E26524" s="3" t="s">
        <v>475</v>
      </c>
      <c r="F26524" s="7">
        <v>46255.897825943954</v>
      </c>
      <c r="G26524" s="3" t="s">
        <v>7249</v>
      </c>
    </row>
    <row r="26525">
      <c r="A26525" s="3" t="s">
        <v>42956</v>
      </c>
      <c r="B26525" s="3" t="s">
        <v>21494</v>
      </c>
      <c r="C26525" s="5" t="s">
        <v>221</v>
      </c>
      <c r="D26525" s="3" t="s">
        <v>614</v>
      </c>
      <c r="E26525" s="3" t="s">
        <v>118</v>
      </c>
      <c r="F26525" s="7">
        <v>46255.90129816617</v>
      </c>
      <c r="G26525" s="3" t="s">
        <v>7252</v>
      </c>
    </row>
    <row r="26526">
      <c r="A26526" s="3" t="s">
        <v>42957</v>
      </c>
      <c r="B26526" s="3" t="s">
        <v>21494</v>
      </c>
      <c r="C26526" s="5" t="s">
        <v>614</v>
      </c>
      <c r="D26526" s="3" t="s">
        <v>206</v>
      </c>
      <c r="E26526" s="3" t="s">
        <v>100</v>
      </c>
      <c r="F26526" s="7">
        <v>46255.9047703884</v>
      </c>
      <c r="G26526" s="3" t="s">
        <v>7255</v>
      </c>
    </row>
    <row r="26527">
      <c r="A26527" s="3" t="s">
        <v>42958</v>
      </c>
      <c r="B26527" s="3" t="s">
        <v>21494</v>
      </c>
      <c r="C26527" s="5" t="s">
        <v>206</v>
      </c>
      <c r="D26527" s="3" t="s">
        <v>68</v>
      </c>
      <c r="E26527" s="3" t="s">
        <v>100</v>
      </c>
      <c r="F26527" s="7">
        <v>46255.90824261062</v>
      </c>
      <c r="G26527" s="3" t="s">
        <v>7258</v>
      </c>
    </row>
    <row r="26528">
      <c r="A26528" s="3" t="s">
        <v>42959</v>
      </c>
      <c r="B26528" s="3" t="s">
        <v>21497</v>
      </c>
      <c r="C26528" s="5" t="s">
        <v>45</v>
      </c>
      <c r="D26528" s="3" t="s">
        <v>221</v>
      </c>
      <c r="E26528" s="3" t="s">
        <v>586</v>
      </c>
      <c r="F26528" s="7">
        <v>46255.96900078937</v>
      </c>
      <c r="G26528" s="3" t="s">
        <v>30549</v>
      </c>
    </row>
    <row r="26529">
      <c r="A26529" s="3" t="s">
        <v>42960</v>
      </c>
      <c r="B26529" s="3" t="s">
        <v>21497</v>
      </c>
      <c r="C26529" s="5" t="s">
        <v>221</v>
      </c>
      <c r="D26529" s="3" t="s">
        <v>614</v>
      </c>
      <c r="E26529" s="3" t="s">
        <v>118</v>
      </c>
      <c r="F26529" s="7">
        <v>46255.97247301159</v>
      </c>
      <c r="G26529" s="3" t="s">
        <v>30551</v>
      </c>
    </row>
    <row r="26530">
      <c r="A26530" s="3" t="s">
        <v>42961</v>
      </c>
      <c r="B26530" s="3" t="s">
        <v>21497</v>
      </c>
      <c r="C26530" s="5" t="s">
        <v>614</v>
      </c>
      <c r="D26530" s="3" t="s">
        <v>206</v>
      </c>
      <c r="E26530" s="3" t="s">
        <v>100</v>
      </c>
      <c r="F26530" s="7">
        <v>46255.97594523382</v>
      </c>
      <c r="G26530" s="3" t="s">
        <v>30553</v>
      </c>
    </row>
    <row r="26531">
      <c r="A26531" s="3" t="s">
        <v>42962</v>
      </c>
      <c r="B26531" s="3" t="s">
        <v>21497</v>
      </c>
      <c r="C26531" s="5" t="s">
        <v>206</v>
      </c>
      <c r="D26531" s="3" t="s">
        <v>68</v>
      </c>
      <c r="E26531" s="3" t="s">
        <v>100</v>
      </c>
      <c r="F26531" s="7">
        <v>46255.97941745604</v>
      </c>
      <c r="G26531" s="3" t="s">
        <v>30555</v>
      </c>
    </row>
    <row r="26532">
      <c r="A26532" s="3" t="s">
        <v>42963</v>
      </c>
      <c r="B26532" s="3" t="s">
        <v>21500</v>
      </c>
      <c r="C26532" s="5" t="s">
        <v>45</v>
      </c>
      <c r="D26532" s="3" t="s">
        <v>221</v>
      </c>
      <c r="E26532" s="3" t="s">
        <v>886</v>
      </c>
      <c r="F26532" s="7">
        <v>46256.04017563478</v>
      </c>
      <c r="G26532" s="3" t="s">
        <v>24595</v>
      </c>
    </row>
    <row r="26533">
      <c r="A26533" s="3" t="s">
        <v>42964</v>
      </c>
      <c r="B26533" s="3" t="s">
        <v>21500</v>
      </c>
      <c r="C26533" s="5" t="s">
        <v>221</v>
      </c>
      <c r="D26533" s="3" t="s">
        <v>614</v>
      </c>
      <c r="E26533" s="3" t="s">
        <v>118</v>
      </c>
      <c r="F26533" s="7">
        <v>46256.043647857</v>
      </c>
      <c r="G26533" s="3" t="s">
        <v>24597</v>
      </c>
    </row>
    <row r="26534">
      <c r="A26534" s="3" t="s">
        <v>42965</v>
      </c>
      <c r="B26534" s="3" t="s">
        <v>21500</v>
      </c>
      <c r="C26534" s="5" t="s">
        <v>614</v>
      </c>
      <c r="D26534" s="3" t="s">
        <v>206</v>
      </c>
      <c r="E26534" s="3" t="s">
        <v>100</v>
      </c>
      <c r="F26534" s="7">
        <v>46256.04712007922</v>
      </c>
      <c r="G26534" s="3" t="s">
        <v>24599</v>
      </c>
    </row>
    <row r="26535">
      <c r="A26535" s="3" t="s">
        <v>42966</v>
      </c>
      <c r="B26535" s="3" t="s">
        <v>21500</v>
      </c>
      <c r="C26535" s="5" t="s">
        <v>206</v>
      </c>
      <c r="D26535" s="3" t="s">
        <v>68</v>
      </c>
      <c r="E26535" s="3" t="s">
        <v>100</v>
      </c>
      <c r="F26535" s="7">
        <v>46256.05059230144</v>
      </c>
      <c r="G26535" s="3" t="s">
        <v>24601</v>
      </c>
    </row>
    <row r="26536">
      <c r="A26536" s="3" t="s">
        <v>42967</v>
      </c>
      <c r="B26536" s="3" t="s">
        <v>21502</v>
      </c>
      <c r="C26536" s="5" t="s">
        <v>45</v>
      </c>
      <c r="D26536" s="3" t="s">
        <v>221</v>
      </c>
      <c r="E26536" s="3" t="s">
        <v>440</v>
      </c>
      <c r="F26536" s="7">
        <v>46256.1113504802</v>
      </c>
      <c r="G26536" s="3" t="s">
        <v>6931</v>
      </c>
    </row>
    <row r="26537">
      <c r="A26537" s="3" t="s">
        <v>42968</v>
      </c>
      <c r="B26537" s="3" t="s">
        <v>21502</v>
      </c>
      <c r="C26537" s="5" t="s">
        <v>221</v>
      </c>
      <c r="D26537" s="3" t="s">
        <v>614</v>
      </c>
      <c r="E26537" s="3" t="s">
        <v>118</v>
      </c>
      <c r="F26537" s="7">
        <v>46256.11482270242</v>
      </c>
      <c r="G26537" s="3" t="s">
        <v>6934</v>
      </c>
    </row>
    <row r="26538">
      <c r="A26538" s="3" t="s">
        <v>42969</v>
      </c>
      <c r="B26538" s="3" t="s">
        <v>21502</v>
      </c>
      <c r="C26538" s="5" t="s">
        <v>614</v>
      </c>
      <c r="D26538" s="3" t="s">
        <v>206</v>
      </c>
      <c r="E26538" s="3" t="s">
        <v>100</v>
      </c>
      <c r="F26538" s="7">
        <v>46256.11829492464</v>
      </c>
      <c r="G26538" s="3" t="s">
        <v>6937</v>
      </c>
    </row>
    <row r="26539">
      <c r="A26539" s="3" t="s">
        <v>42970</v>
      </c>
      <c r="B26539" s="3" t="s">
        <v>21502</v>
      </c>
      <c r="C26539" s="5" t="s">
        <v>206</v>
      </c>
      <c r="D26539" s="3" t="s">
        <v>68</v>
      </c>
      <c r="E26539" s="3" t="s">
        <v>100</v>
      </c>
      <c r="F26539" s="7">
        <v>46256.12176714686</v>
      </c>
      <c r="G26539" s="3" t="s">
        <v>6940</v>
      </c>
    </row>
    <row r="26540">
      <c r="A26540" s="3" t="s">
        <v>42971</v>
      </c>
      <c r="B26540" s="3" t="s">
        <v>21504</v>
      </c>
      <c r="C26540" s="5" t="s">
        <v>45</v>
      </c>
      <c r="D26540" s="3" t="s">
        <v>221</v>
      </c>
      <c r="E26540" s="3" t="s">
        <v>900</v>
      </c>
      <c r="F26540" s="7">
        <v>46256.18252532561</v>
      </c>
      <c r="G26540" s="3" t="s">
        <v>19846</v>
      </c>
    </row>
    <row r="26541">
      <c r="A26541" s="3" t="s">
        <v>42972</v>
      </c>
      <c r="B26541" s="3" t="s">
        <v>21504</v>
      </c>
      <c r="C26541" s="5" t="s">
        <v>221</v>
      </c>
      <c r="D26541" s="3" t="s">
        <v>614</v>
      </c>
      <c r="E26541" s="3" t="s">
        <v>118</v>
      </c>
      <c r="F26541" s="7">
        <v>46256.18599754783</v>
      </c>
      <c r="G26541" s="3" t="s">
        <v>19849</v>
      </c>
    </row>
    <row r="26542">
      <c r="A26542" s="3" t="s">
        <v>42973</v>
      </c>
      <c r="B26542" s="3" t="s">
        <v>21504</v>
      </c>
      <c r="C26542" s="5" t="s">
        <v>614</v>
      </c>
      <c r="D26542" s="3" t="s">
        <v>206</v>
      </c>
      <c r="E26542" s="3" t="s">
        <v>100</v>
      </c>
      <c r="F26542" s="7">
        <v>46256.189469770055</v>
      </c>
      <c r="G26542" s="3" t="s">
        <v>19851</v>
      </c>
    </row>
    <row r="26543">
      <c r="A26543" s="3" t="s">
        <v>42974</v>
      </c>
      <c r="B26543" s="3" t="s">
        <v>21504</v>
      </c>
      <c r="C26543" s="5" t="s">
        <v>206</v>
      </c>
      <c r="D26543" s="3" t="s">
        <v>68</v>
      </c>
      <c r="E26543" s="3" t="s">
        <v>100</v>
      </c>
      <c r="F26543" s="7">
        <v>46256.192941992274</v>
      </c>
      <c r="G26543" s="3" t="s">
        <v>19854</v>
      </c>
    </row>
    <row r="26544">
      <c r="A26544" s="3" t="s">
        <v>42975</v>
      </c>
      <c r="B26544" s="3" t="s">
        <v>21506</v>
      </c>
      <c r="C26544" s="5" t="s">
        <v>45</v>
      </c>
      <c r="D26544" s="3" t="s">
        <v>221</v>
      </c>
      <c r="E26544" s="3" t="s">
        <v>704</v>
      </c>
      <c r="F26544" s="7">
        <v>46256.25370017103</v>
      </c>
      <c r="G26544" s="3" t="s">
        <v>5043</v>
      </c>
    </row>
    <row r="26545">
      <c r="A26545" s="3" t="s">
        <v>42976</v>
      </c>
      <c r="B26545" s="3" t="s">
        <v>21506</v>
      </c>
      <c r="C26545" s="5" t="s">
        <v>221</v>
      </c>
      <c r="D26545" s="3" t="s">
        <v>614</v>
      </c>
      <c r="E26545" s="3" t="s">
        <v>118</v>
      </c>
      <c r="F26545" s="7">
        <v>46256.25717239325</v>
      </c>
      <c r="G26545" s="3" t="s">
        <v>5046</v>
      </c>
    </row>
    <row r="26546">
      <c r="A26546" s="3" t="s">
        <v>42977</v>
      </c>
      <c r="B26546" s="3" t="s">
        <v>21506</v>
      </c>
      <c r="C26546" s="5" t="s">
        <v>614</v>
      </c>
      <c r="D26546" s="3" t="s">
        <v>206</v>
      </c>
      <c r="E26546" s="3" t="s">
        <v>100</v>
      </c>
      <c r="F26546" s="7">
        <v>46256.260644615475</v>
      </c>
      <c r="G26546" s="3" t="s">
        <v>5049</v>
      </c>
    </row>
    <row r="26547">
      <c r="A26547" s="3" t="s">
        <v>42978</v>
      </c>
      <c r="B26547" s="3" t="s">
        <v>21506</v>
      </c>
      <c r="C26547" s="5" t="s">
        <v>206</v>
      </c>
      <c r="D26547" s="3" t="s">
        <v>68</v>
      </c>
      <c r="E26547" s="3" t="s">
        <v>100</v>
      </c>
      <c r="F26547" s="7">
        <v>46256.264116837694</v>
      </c>
      <c r="G26547" s="3" t="s">
        <v>5052</v>
      </c>
    </row>
    <row r="26548">
      <c r="A26548" s="3" t="s">
        <v>42979</v>
      </c>
      <c r="B26548" s="3" t="s">
        <v>21507</v>
      </c>
      <c r="C26548" s="5" t="s">
        <v>45</v>
      </c>
      <c r="D26548" s="3" t="s">
        <v>221</v>
      </c>
      <c r="E26548" s="3" t="s">
        <v>841</v>
      </c>
      <c r="F26548" s="7">
        <v>46256.32487501644</v>
      </c>
      <c r="G26548" s="3" t="s">
        <v>10844</v>
      </c>
    </row>
    <row r="26549">
      <c r="A26549" s="3" t="s">
        <v>42980</v>
      </c>
      <c r="B26549" s="3" t="s">
        <v>21507</v>
      </c>
      <c r="C26549" s="5" t="s">
        <v>221</v>
      </c>
      <c r="D26549" s="3" t="s">
        <v>614</v>
      </c>
      <c r="E26549" s="3" t="s">
        <v>118</v>
      </c>
      <c r="F26549" s="7">
        <v>46256.32834723866</v>
      </c>
      <c r="G26549" s="3" t="s">
        <v>10847</v>
      </c>
    </row>
    <row r="26550">
      <c r="A26550" s="3" t="s">
        <v>42981</v>
      </c>
      <c r="B26550" s="3" t="s">
        <v>21507</v>
      </c>
      <c r="C26550" s="5" t="s">
        <v>614</v>
      </c>
      <c r="D26550" s="3" t="s">
        <v>206</v>
      </c>
      <c r="E26550" s="3" t="s">
        <v>100</v>
      </c>
      <c r="F26550" s="7">
        <v>46256.33181946089</v>
      </c>
      <c r="G26550" s="3" t="s">
        <v>10850</v>
      </c>
    </row>
    <row r="26551">
      <c r="A26551" s="3" t="s">
        <v>42982</v>
      </c>
      <c r="B26551" s="3" t="s">
        <v>21507</v>
      </c>
      <c r="C26551" s="5" t="s">
        <v>206</v>
      </c>
      <c r="D26551" s="3" t="s">
        <v>68</v>
      </c>
      <c r="E26551" s="3" t="s">
        <v>100</v>
      </c>
      <c r="F26551" s="7">
        <v>46256.335291683106</v>
      </c>
      <c r="G26551" s="3" t="s">
        <v>10853</v>
      </c>
    </row>
    <row r="26552">
      <c r="A26552" s="3" t="s">
        <v>42983</v>
      </c>
      <c r="B26552" s="3" t="s">
        <v>21510</v>
      </c>
      <c r="C26552" s="5" t="s">
        <v>45</v>
      </c>
      <c r="D26552" s="3" t="s">
        <v>221</v>
      </c>
      <c r="E26552" s="3" t="s">
        <v>622</v>
      </c>
      <c r="F26552" s="7">
        <v>46256.39604986186</v>
      </c>
      <c r="G26552" s="3" t="s">
        <v>13639</v>
      </c>
    </row>
    <row r="26553">
      <c r="A26553" s="3" t="s">
        <v>42984</v>
      </c>
      <c r="B26553" s="3" t="s">
        <v>21510</v>
      </c>
      <c r="C26553" s="5" t="s">
        <v>221</v>
      </c>
      <c r="D26553" s="3" t="s">
        <v>614</v>
      </c>
      <c r="E26553" s="3" t="s">
        <v>118</v>
      </c>
      <c r="F26553" s="7">
        <v>46256.39952208408</v>
      </c>
      <c r="G26553" s="3" t="s">
        <v>13642</v>
      </c>
    </row>
    <row r="26554">
      <c r="A26554" s="3" t="s">
        <v>42985</v>
      </c>
      <c r="B26554" s="3" t="s">
        <v>21510</v>
      </c>
      <c r="C26554" s="5" t="s">
        <v>614</v>
      </c>
      <c r="D26554" s="3" t="s">
        <v>206</v>
      </c>
      <c r="E26554" s="3" t="s">
        <v>100</v>
      </c>
      <c r="F26554" s="7">
        <v>46256.40299430631</v>
      </c>
      <c r="G26554" s="3" t="s">
        <v>13644</v>
      </c>
    </row>
    <row r="26555">
      <c r="A26555" s="3" t="s">
        <v>42986</v>
      </c>
      <c r="B26555" s="3" t="s">
        <v>21510</v>
      </c>
      <c r="C26555" s="5" t="s">
        <v>206</v>
      </c>
      <c r="D26555" s="3" t="s">
        <v>68</v>
      </c>
      <c r="E26555" s="3" t="s">
        <v>100</v>
      </c>
      <c r="F26555" s="7">
        <v>46256.406466528526</v>
      </c>
      <c r="G26555" s="3" t="s">
        <v>13647</v>
      </c>
    </row>
    <row r="26556">
      <c r="A26556" s="3" t="s">
        <v>42987</v>
      </c>
      <c r="B26556" s="3" t="s">
        <v>21512</v>
      </c>
      <c r="C26556" s="5" t="s">
        <v>45</v>
      </c>
      <c r="D26556" s="3" t="s">
        <v>221</v>
      </c>
      <c r="E26556" s="3" t="s">
        <v>299</v>
      </c>
      <c r="F26556" s="7">
        <v>46256.46722470727</v>
      </c>
      <c r="G26556" s="3" t="s">
        <v>13651</v>
      </c>
    </row>
    <row r="26557">
      <c r="A26557" s="3" t="s">
        <v>42988</v>
      </c>
      <c r="B26557" s="3" t="s">
        <v>21512</v>
      </c>
      <c r="C26557" s="5" t="s">
        <v>221</v>
      </c>
      <c r="D26557" s="3" t="s">
        <v>614</v>
      </c>
      <c r="E26557" s="3" t="s">
        <v>118</v>
      </c>
      <c r="F26557" s="7">
        <v>46256.470696929486</v>
      </c>
      <c r="G26557" s="3" t="s">
        <v>13653</v>
      </c>
    </row>
    <row r="26558">
      <c r="A26558" s="3" t="s">
        <v>42989</v>
      </c>
      <c r="B26558" s="3" t="s">
        <v>21512</v>
      </c>
      <c r="C26558" s="5" t="s">
        <v>614</v>
      </c>
      <c r="D26558" s="3" t="s">
        <v>206</v>
      </c>
      <c r="E26558" s="3" t="s">
        <v>100</v>
      </c>
      <c r="F26558" s="7">
        <v>46256.47416915171</v>
      </c>
      <c r="G26558" s="3" t="s">
        <v>13656</v>
      </c>
    </row>
    <row r="26559">
      <c r="A26559" s="3" t="s">
        <v>42990</v>
      </c>
      <c r="B26559" s="3" t="s">
        <v>21512</v>
      </c>
      <c r="C26559" s="5" t="s">
        <v>206</v>
      </c>
      <c r="D26559" s="3" t="s">
        <v>68</v>
      </c>
      <c r="E26559" s="3" t="s">
        <v>100</v>
      </c>
      <c r="F26559" s="7">
        <v>46256.47764137393</v>
      </c>
      <c r="G26559" s="3" t="s">
        <v>13659</v>
      </c>
    </row>
    <row r="26560">
      <c r="A26560" s="3" t="s">
        <v>42991</v>
      </c>
      <c r="B26560" s="3" t="s">
        <v>21514</v>
      </c>
      <c r="C26560" s="5" t="s">
        <v>45</v>
      </c>
      <c r="D26560" s="3" t="s">
        <v>221</v>
      </c>
      <c r="E26560" s="3" t="s">
        <v>282</v>
      </c>
      <c r="F26560" s="7">
        <v>46256.538399552686</v>
      </c>
      <c r="G26560" s="3" t="s">
        <v>13137</v>
      </c>
    </row>
    <row r="26561">
      <c r="A26561" s="3" t="s">
        <v>42992</v>
      </c>
      <c r="B26561" s="3" t="s">
        <v>21514</v>
      </c>
      <c r="C26561" s="5" t="s">
        <v>221</v>
      </c>
      <c r="D26561" s="3" t="s">
        <v>614</v>
      </c>
      <c r="E26561" s="3" t="s">
        <v>118</v>
      </c>
      <c r="F26561" s="7">
        <v>46256.541871774905</v>
      </c>
      <c r="G26561" s="3" t="s">
        <v>13140</v>
      </c>
    </row>
    <row r="26562">
      <c r="A26562" s="3" t="s">
        <v>42993</v>
      </c>
      <c r="B26562" s="3" t="s">
        <v>21514</v>
      </c>
      <c r="C26562" s="5" t="s">
        <v>614</v>
      </c>
      <c r="D26562" s="3" t="s">
        <v>206</v>
      </c>
      <c r="E26562" s="3" t="s">
        <v>100</v>
      </c>
      <c r="F26562" s="7">
        <v>46256.54534399713</v>
      </c>
      <c r="G26562" s="3" t="s">
        <v>13144</v>
      </c>
    </row>
    <row r="26563">
      <c r="A26563" s="3" t="s">
        <v>42994</v>
      </c>
      <c r="B26563" s="3" t="s">
        <v>21514</v>
      </c>
      <c r="C26563" s="5" t="s">
        <v>206</v>
      </c>
      <c r="D26563" s="3" t="s">
        <v>68</v>
      </c>
      <c r="E26563" s="3" t="s">
        <v>100</v>
      </c>
      <c r="F26563" s="7">
        <v>46256.54881621935</v>
      </c>
      <c r="G26563" s="3" t="s">
        <v>13147</v>
      </c>
    </row>
    <row r="26564">
      <c r="A26564" s="3" t="s">
        <v>42995</v>
      </c>
      <c r="B26564" s="3" t="s">
        <v>21516</v>
      </c>
      <c r="C26564" s="5" t="s">
        <v>45</v>
      </c>
      <c r="D26564" s="3" t="s">
        <v>221</v>
      </c>
      <c r="E26564" s="3" t="s">
        <v>330</v>
      </c>
      <c r="F26564" s="7">
        <v>46256.609574398106</v>
      </c>
      <c r="G26564" s="3" t="s">
        <v>17892</v>
      </c>
    </row>
    <row r="26565">
      <c r="A26565" s="3" t="s">
        <v>42996</v>
      </c>
      <c r="B26565" s="3" t="s">
        <v>21516</v>
      </c>
      <c r="C26565" s="5" t="s">
        <v>221</v>
      </c>
      <c r="D26565" s="3" t="s">
        <v>614</v>
      </c>
      <c r="E26565" s="3" t="s">
        <v>118</v>
      </c>
      <c r="F26565" s="7">
        <v>46256.613046620325</v>
      </c>
      <c r="G26565" s="3" t="s">
        <v>17895</v>
      </c>
    </row>
    <row r="26566">
      <c r="A26566" s="3" t="s">
        <v>42997</v>
      </c>
      <c r="B26566" s="3" t="s">
        <v>21516</v>
      </c>
      <c r="C26566" s="5" t="s">
        <v>614</v>
      </c>
      <c r="D26566" s="3" t="s">
        <v>206</v>
      </c>
      <c r="E26566" s="3" t="s">
        <v>100</v>
      </c>
      <c r="F26566" s="7">
        <v>46256.61651884255</v>
      </c>
      <c r="G26566" s="3" t="s">
        <v>17897</v>
      </c>
    </row>
    <row r="26567">
      <c r="A26567" s="3" t="s">
        <v>42998</v>
      </c>
      <c r="B26567" s="3" t="s">
        <v>21516</v>
      </c>
      <c r="C26567" s="5" t="s">
        <v>206</v>
      </c>
      <c r="D26567" s="3" t="s">
        <v>68</v>
      </c>
      <c r="E26567" s="3" t="s">
        <v>100</v>
      </c>
      <c r="F26567" s="7">
        <v>46256.61999106477</v>
      </c>
      <c r="G26567" s="3" t="s">
        <v>17900</v>
      </c>
    </row>
    <row r="26568">
      <c r="A26568" s="3" t="s">
        <v>42999</v>
      </c>
      <c r="B26568" s="3" t="s">
        <v>21519</v>
      </c>
      <c r="C26568" s="5" t="s">
        <v>45</v>
      </c>
      <c r="D26568" s="3" t="s">
        <v>221</v>
      </c>
      <c r="E26568" s="3" t="s">
        <v>1026</v>
      </c>
      <c r="F26568" s="7">
        <v>46256.68074924352</v>
      </c>
      <c r="G26568" s="3" t="s">
        <v>18654</v>
      </c>
    </row>
    <row r="26569">
      <c r="A26569" s="3" t="s">
        <v>43000</v>
      </c>
      <c r="B26569" s="3" t="s">
        <v>21519</v>
      </c>
      <c r="C26569" s="5" t="s">
        <v>221</v>
      </c>
      <c r="D26569" s="3" t="s">
        <v>614</v>
      </c>
      <c r="E26569" s="3" t="s">
        <v>118</v>
      </c>
      <c r="F26569" s="7">
        <v>46256.68422146574</v>
      </c>
      <c r="G26569" s="3" t="s">
        <v>18657</v>
      </c>
    </row>
    <row r="26570">
      <c r="A26570" s="3" t="s">
        <v>43001</v>
      </c>
      <c r="B26570" s="3" t="s">
        <v>21519</v>
      </c>
      <c r="C26570" s="5" t="s">
        <v>614</v>
      </c>
      <c r="D26570" s="3" t="s">
        <v>206</v>
      </c>
      <c r="E26570" s="3" t="s">
        <v>100</v>
      </c>
      <c r="F26570" s="7">
        <v>46256.68769368796</v>
      </c>
      <c r="G26570" s="3" t="s">
        <v>18660</v>
      </c>
    </row>
    <row r="26571">
      <c r="A26571" s="3" t="s">
        <v>43002</v>
      </c>
      <c r="B26571" s="3" t="s">
        <v>21519</v>
      </c>
      <c r="C26571" s="5" t="s">
        <v>206</v>
      </c>
      <c r="D26571" s="3" t="s">
        <v>68</v>
      </c>
      <c r="E26571" s="3" t="s">
        <v>100</v>
      </c>
      <c r="F26571" s="7">
        <v>46256.69116591018</v>
      </c>
      <c r="G26571" s="3" t="s">
        <v>18663</v>
      </c>
    </row>
    <row r="26572">
      <c r="A26572" s="3" t="s">
        <v>43003</v>
      </c>
      <c r="B26572" s="3" t="s">
        <v>21522</v>
      </c>
      <c r="C26572" s="5" t="s">
        <v>45</v>
      </c>
      <c r="D26572" s="3" t="s">
        <v>221</v>
      </c>
      <c r="E26572" s="3" t="s">
        <v>961</v>
      </c>
      <c r="F26572" s="7">
        <v>46256.75192408893</v>
      </c>
      <c r="G26572" s="3" t="s">
        <v>14421</v>
      </c>
    </row>
    <row r="26573">
      <c r="A26573" s="3" t="s">
        <v>43004</v>
      </c>
      <c r="B26573" s="3" t="s">
        <v>21522</v>
      </c>
      <c r="C26573" s="5" t="s">
        <v>221</v>
      </c>
      <c r="D26573" s="3" t="s">
        <v>614</v>
      </c>
      <c r="E26573" s="3" t="s">
        <v>118</v>
      </c>
      <c r="F26573" s="7">
        <v>46256.75539631115</v>
      </c>
      <c r="G26573" s="3" t="s">
        <v>14424</v>
      </c>
    </row>
    <row r="26574">
      <c r="A26574" s="3" t="s">
        <v>43005</v>
      </c>
      <c r="B26574" s="3" t="s">
        <v>21522</v>
      </c>
      <c r="C26574" s="5" t="s">
        <v>614</v>
      </c>
      <c r="D26574" s="3" t="s">
        <v>206</v>
      </c>
      <c r="E26574" s="3" t="s">
        <v>100</v>
      </c>
      <c r="F26574" s="7">
        <v>46256.758868533376</v>
      </c>
      <c r="G26574" s="3" t="s">
        <v>14427</v>
      </c>
    </row>
    <row r="26575">
      <c r="A26575" s="3" t="s">
        <v>43006</v>
      </c>
      <c r="B26575" s="3" t="s">
        <v>21522</v>
      </c>
      <c r="C26575" s="5" t="s">
        <v>206</v>
      </c>
      <c r="D26575" s="3" t="s">
        <v>68</v>
      </c>
      <c r="E26575" s="3" t="s">
        <v>100</v>
      </c>
      <c r="F26575" s="7">
        <v>46256.762340755595</v>
      </c>
      <c r="G26575" s="3" t="s">
        <v>14430</v>
      </c>
    </row>
    <row r="26576">
      <c r="A26576" s="3" t="s">
        <v>43007</v>
      </c>
      <c r="B26576" s="3" t="s">
        <v>21526</v>
      </c>
      <c r="C26576" s="5" t="s">
        <v>45</v>
      </c>
      <c r="D26576" s="3" t="s">
        <v>221</v>
      </c>
      <c r="E26576" s="3" t="s">
        <v>949</v>
      </c>
      <c r="F26576" s="7">
        <v>46256.82309893435</v>
      </c>
      <c r="G26576" s="3" t="s">
        <v>24562</v>
      </c>
    </row>
    <row r="26577">
      <c r="A26577" s="3" t="s">
        <v>43008</v>
      </c>
      <c r="B26577" s="3" t="s">
        <v>21526</v>
      </c>
      <c r="C26577" s="5" t="s">
        <v>221</v>
      </c>
      <c r="D26577" s="3" t="s">
        <v>614</v>
      </c>
      <c r="E26577" s="3" t="s">
        <v>118</v>
      </c>
      <c r="F26577" s="7">
        <v>46256.82657115657</v>
      </c>
      <c r="G26577" s="3" t="s">
        <v>24564</v>
      </c>
    </row>
    <row r="26578">
      <c r="A26578" s="3" t="s">
        <v>43009</v>
      </c>
      <c r="B26578" s="3" t="s">
        <v>21526</v>
      </c>
      <c r="C26578" s="5" t="s">
        <v>614</v>
      </c>
      <c r="D26578" s="3" t="s">
        <v>206</v>
      </c>
      <c r="E26578" s="3" t="s">
        <v>100</v>
      </c>
      <c r="F26578" s="7">
        <v>46256.830043378795</v>
      </c>
      <c r="G26578" s="3" t="s">
        <v>24566</v>
      </c>
    </row>
    <row r="26579">
      <c r="A26579" s="3" t="s">
        <v>43010</v>
      </c>
      <c r="B26579" s="3" t="s">
        <v>21526</v>
      </c>
      <c r="C26579" s="5" t="s">
        <v>206</v>
      </c>
      <c r="D26579" s="3" t="s">
        <v>68</v>
      </c>
      <c r="E26579" s="3" t="s">
        <v>100</v>
      </c>
      <c r="F26579" s="7">
        <v>46256.833515601014</v>
      </c>
      <c r="G26579" s="3" t="s">
        <v>24568</v>
      </c>
    </row>
    <row r="26580">
      <c r="A26580" s="3" t="s">
        <v>43011</v>
      </c>
      <c r="B26580" s="3" t="s">
        <v>21528</v>
      </c>
      <c r="C26580" s="5" t="s">
        <v>45</v>
      </c>
      <c r="D26580" s="3" t="s">
        <v>221</v>
      </c>
      <c r="E26580" s="3" t="s">
        <v>713</v>
      </c>
      <c r="F26580" s="7">
        <v>46256.89427377976</v>
      </c>
      <c r="G26580" s="3" t="s">
        <v>13217</v>
      </c>
    </row>
    <row r="26581">
      <c r="A26581" s="3" t="s">
        <v>43012</v>
      </c>
      <c r="B26581" s="3" t="s">
        <v>21528</v>
      </c>
      <c r="C26581" s="5" t="s">
        <v>221</v>
      </c>
      <c r="D26581" s="3" t="s">
        <v>614</v>
      </c>
      <c r="E26581" s="3" t="s">
        <v>118</v>
      </c>
      <c r="F26581" s="7">
        <v>46256.89774600198</v>
      </c>
      <c r="G26581" s="3" t="s">
        <v>13221</v>
      </c>
    </row>
    <row r="26582">
      <c r="A26582" s="3" t="s">
        <v>43013</v>
      </c>
      <c r="B26582" s="3" t="s">
        <v>21528</v>
      </c>
      <c r="C26582" s="5" t="s">
        <v>614</v>
      </c>
      <c r="D26582" s="3" t="s">
        <v>206</v>
      </c>
      <c r="E26582" s="3" t="s">
        <v>100</v>
      </c>
      <c r="F26582" s="7">
        <v>46256.90121822421</v>
      </c>
      <c r="G26582" s="3" t="s">
        <v>13224</v>
      </c>
    </row>
    <row r="26583">
      <c r="A26583" s="3" t="s">
        <v>43014</v>
      </c>
      <c r="B26583" s="3" t="s">
        <v>21528</v>
      </c>
      <c r="C26583" s="5" t="s">
        <v>206</v>
      </c>
      <c r="D26583" s="3" t="s">
        <v>68</v>
      </c>
      <c r="E26583" s="3" t="s">
        <v>100</v>
      </c>
      <c r="F26583" s="7">
        <v>46256.90469044643</v>
      </c>
      <c r="G26583" s="3" t="s">
        <v>13227</v>
      </c>
    </row>
    <row r="26584">
      <c r="A26584" s="3" t="s">
        <v>43015</v>
      </c>
      <c r="B26584" s="3" t="s">
        <v>21531</v>
      </c>
      <c r="C26584" s="5" t="s">
        <v>45</v>
      </c>
      <c r="D26584" s="3" t="s">
        <v>221</v>
      </c>
      <c r="E26584" s="3" t="s">
        <v>704</v>
      </c>
      <c r="F26584" s="7">
        <v>46256.965448625175</v>
      </c>
      <c r="G26584" s="3" t="s">
        <v>5043</v>
      </c>
    </row>
    <row r="26585">
      <c r="A26585" s="3" t="s">
        <v>43016</v>
      </c>
      <c r="B26585" s="3" t="s">
        <v>21531</v>
      </c>
      <c r="C26585" s="5" t="s">
        <v>221</v>
      </c>
      <c r="D26585" s="3" t="s">
        <v>614</v>
      </c>
      <c r="E26585" s="3" t="s">
        <v>118</v>
      </c>
      <c r="F26585" s="7">
        <v>46256.968920847394</v>
      </c>
      <c r="G26585" s="3" t="s">
        <v>5046</v>
      </c>
    </row>
    <row r="26586">
      <c r="A26586" s="3" t="s">
        <v>43017</v>
      </c>
      <c r="B26586" s="3" t="s">
        <v>21531</v>
      </c>
      <c r="C26586" s="5" t="s">
        <v>614</v>
      </c>
      <c r="D26586" s="3" t="s">
        <v>206</v>
      </c>
      <c r="E26586" s="3" t="s">
        <v>100</v>
      </c>
      <c r="F26586" s="7">
        <v>46256.97239306962</v>
      </c>
      <c r="G26586" s="3" t="s">
        <v>5049</v>
      </c>
    </row>
    <row r="26587">
      <c r="A26587" s="3" t="s">
        <v>43018</v>
      </c>
      <c r="B26587" s="3" t="s">
        <v>21531</v>
      </c>
      <c r="C26587" s="5" t="s">
        <v>206</v>
      </c>
      <c r="D26587" s="3" t="s">
        <v>68</v>
      </c>
      <c r="E26587" s="3" t="s">
        <v>100</v>
      </c>
      <c r="F26587" s="7">
        <v>46256.97586529184</v>
      </c>
      <c r="G26587" s="3" t="s">
        <v>5052</v>
      </c>
    </row>
    <row r="26588">
      <c r="A26588" s="3" t="s">
        <v>43019</v>
      </c>
      <c r="B26588" s="3" t="s">
        <v>21535</v>
      </c>
      <c r="C26588" s="5" t="s">
        <v>45</v>
      </c>
      <c r="D26588" s="3" t="s">
        <v>221</v>
      </c>
      <c r="E26588" s="3" t="s">
        <v>631</v>
      </c>
      <c r="F26588" s="7">
        <v>46257.036623470594</v>
      </c>
      <c r="G26588" s="3" t="s">
        <v>20022</v>
      </c>
    </row>
    <row r="26589">
      <c r="A26589" s="3" t="s">
        <v>43020</v>
      </c>
      <c r="B26589" s="3" t="s">
        <v>21535</v>
      </c>
      <c r="C26589" s="5" t="s">
        <v>221</v>
      </c>
      <c r="D26589" s="3" t="s">
        <v>614</v>
      </c>
      <c r="E26589" s="3" t="s">
        <v>118</v>
      </c>
      <c r="F26589" s="7">
        <v>46257.04009569281</v>
      </c>
      <c r="G26589" s="3" t="s">
        <v>20024</v>
      </c>
    </row>
    <row r="26590">
      <c r="A26590" s="3" t="s">
        <v>43021</v>
      </c>
      <c r="B26590" s="3" t="s">
        <v>21535</v>
      </c>
      <c r="C26590" s="5" t="s">
        <v>614</v>
      </c>
      <c r="D26590" s="3" t="s">
        <v>206</v>
      </c>
      <c r="E26590" s="3" t="s">
        <v>100</v>
      </c>
      <c r="F26590" s="7">
        <v>46257.04356791504</v>
      </c>
      <c r="G26590" s="3" t="s">
        <v>20027</v>
      </c>
    </row>
    <row r="26591">
      <c r="A26591" s="3" t="s">
        <v>43022</v>
      </c>
      <c r="B26591" s="3" t="s">
        <v>21535</v>
      </c>
      <c r="C26591" s="5" t="s">
        <v>206</v>
      </c>
      <c r="D26591" s="3" t="s">
        <v>68</v>
      </c>
      <c r="E26591" s="3" t="s">
        <v>100</v>
      </c>
      <c r="F26591" s="7">
        <v>46257.04704013726</v>
      </c>
      <c r="G26591" s="3" t="s">
        <v>20030</v>
      </c>
    </row>
    <row r="26592">
      <c r="A26592" s="3" t="s">
        <v>43023</v>
      </c>
      <c r="B26592" s="3" t="s">
        <v>21537</v>
      </c>
      <c r="C26592" s="5" t="s">
        <v>45</v>
      </c>
      <c r="D26592" s="3" t="s">
        <v>221</v>
      </c>
      <c r="E26592" s="3" t="s">
        <v>922</v>
      </c>
      <c r="F26592" s="7">
        <v>46257.107798316014</v>
      </c>
      <c r="G26592" s="3" t="s">
        <v>15629</v>
      </c>
    </row>
    <row r="26593">
      <c r="A26593" s="3" t="s">
        <v>43024</v>
      </c>
      <c r="B26593" s="3" t="s">
        <v>21537</v>
      </c>
      <c r="C26593" s="5" t="s">
        <v>221</v>
      </c>
      <c r="D26593" s="3" t="s">
        <v>614</v>
      </c>
      <c r="E26593" s="3" t="s">
        <v>118</v>
      </c>
      <c r="F26593" s="7">
        <v>46257.11127053823</v>
      </c>
      <c r="G26593" s="3" t="s">
        <v>15632</v>
      </c>
    </row>
    <row r="26594">
      <c r="A26594" s="3" t="s">
        <v>43025</v>
      </c>
      <c r="B26594" s="3" t="s">
        <v>21537</v>
      </c>
      <c r="C26594" s="5" t="s">
        <v>614</v>
      </c>
      <c r="D26594" s="3" t="s">
        <v>206</v>
      </c>
      <c r="E26594" s="3" t="s">
        <v>100</v>
      </c>
      <c r="F26594" s="7">
        <v>46257.11474276046</v>
      </c>
      <c r="G26594" s="3" t="s">
        <v>15634</v>
      </c>
    </row>
    <row r="26595">
      <c r="A26595" s="3" t="s">
        <v>43026</v>
      </c>
      <c r="B26595" s="3" t="s">
        <v>21537</v>
      </c>
      <c r="C26595" s="5" t="s">
        <v>206</v>
      </c>
      <c r="D26595" s="3" t="s">
        <v>68</v>
      </c>
      <c r="E26595" s="3" t="s">
        <v>100</v>
      </c>
      <c r="F26595" s="7">
        <v>46257.11821498268</v>
      </c>
      <c r="G26595" s="3" t="s">
        <v>15637</v>
      </c>
    </row>
    <row r="26596">
      <c r="A26596" s="3" t="s">
        <v>43027</v>
      </c>
      <c r="B26596" s="3" t="s">
        <v>21539</v>
      </c>
      <c r="C26596" s="5" t="s">
        <v>45</v>
      </c>
      <c r="D26596" s="3" t="s">
        <v>221</v>
      </c>
      <c r="E26596" s="3" t="s">
        <v>760</v>
      </c>
      <c r="F26596" s="7">
        <v>46257.17897316142</v>
      </c>
      <c r="G26596" s="3" t="s">
        <v>43028</v>
      </c>
    </row>
    <row r="26597">
      <c r="A26597" s="3" t="s">
        <v>43029</v>
      </c>
      <c r="B26597" s="3" t="s">
        <v>21539</v>
      </c>
      <c r="C26597" s="5" t="s">
        <v>221</v>
      </c>
      <c r="D26597" s="3" t="s">
        <v>614</v>
      </c>
      <c r="E26597" s="3" t="s">
        <v>118</v>
      </c>
      <c r="F26597" s="7">
        <v>46257.18244538364</v>
      </c>
      <c r="G26597" s="3" t="s">
        <v>43030</v>
      </c>
    </row>
    <row r="26598">
      <c r="A26598" s="3" t="s">
        <v>43031</v>
      </c>
      <c r="B26598" s="3" t="s">
        <v>21539</v>
      </c>
      <c r="C26598" s="5" t="s">
        <v>614</v>
      </c>
      <c r="D26598" s="3" t="s">
        <v>206</v>
      </c>
      <c r="E26598" s="3" t="s">
        <v>100</v>
      </c>
      <c r="F26598" s="7">
        <v>46257.185917605864</v>
      </c>
      <c r="G26598" s="3" t="s">
        <v>43032</v>
      </c>
    </row>
    <row r="26599">
      <c r="A26599" s="3" t="s">
        <v>43033</v>
      </c>
      <c r="B26599" s="3" t="s">
        <v>21539</v>
      </c>
      <c r="C26599" s="5" t="s">
        <v>206</v>
      </c>
      <c r="D26599" s="3" t="s">
        <v>68</v>
      </c>
      <c r="E26599" s="3" t="s">
        <v>100</v>
      </c>
      <c r="F26599" s="7">
        <v>46257.18938982808</v>
      </c>
      <c r="G26599" s="3" t="s">
        <v>43034</v>
      </c>
    </row>
    <row r="26600">
      <c r="A26600" s="3" t="s">
        <v>43035</v>
      </c>
      <c r="B26600" s="3" t="s">
        <v>21542</v>
      </c>
      <c r="C26600" s="5" t="s">
        <v>45</v>
      </c>
      <c r="D26600" s="3" t="s">
        <v>221</v>
      </c>
      <c r="E26600" s="3" t="s">
        <v>725</v>
      </c>
      <c r="F26600" s="7">
        <v>46257.25014800684</v>
      </c>
      <c r="G26600" s="3" t="s">
        <v>14909</v>
      </c>
    </row>
    <row r="26601">
      <c r="A26601" s="3" t="s">
        <v>43036</v>
      </c>
      <c r="B26601" s="3" t="s">
        <v>21542</v>
      </c>
      <c r="C26601" s="5" t="s">
        <v>221</v>
      </c>
      <c r="D26601" s="3" t="s">
        <v>195</v>
      </c>
      <c r="E26601" s="3" t="s">
        <v>725</v>
      </c>
      <c r="F26601" s="7">
        <v>46257.25362022906</v>
      </c>
      <c r="G26601" s="3" t="s">
        <v>43037</v>
      </c>
    </row>
    <row r="26602">
      <c r="A26602" s="3" t="s">
        <v>43038</v>
      </c>
      <c r="B26602" s="3" t="s">
        <v>21544</v>
      </c>
      <c r="C26602" s="5" t="s">
        <v>45</v>
      </c>
      <c r="D26602" s="3" t="s">
        <v>221</v>
      </c>
      <c r="E26602" s="3" t="s">
        <v>533</v>
      </c>
      <c r="F26602" s="7">
        <v>46257.32132285226</v>
      </c>
      <c r="G26602" s="3" t="s">
        <v>13669</v>
      </c>
    </row>
    <row r="26603">
      <c r="A26603" s="3" t="s">
        <v>43039</v>
      </c>
      <c r="B26603" s="3" t="s">
        <v>21544</v>
      </c>
      <c r="C26603" s="5" t="s">
        <v>221</v>
      </c>
      <c r="D26603" s="3" t="s">
        <v>614</v>
      </c>
      <c r="E26603" s="3" t="s">
        <v>118</v>
      </c>
      <c r="F26603" s="7">
        <v>46257.32479507448</v>
      </c>
      <c r="G26603" s="3" t="s">
        <v>13672</v>
      </c>
    </row>
    <row r="26604">
      <c r="A26604" s="3" t="s">
        <v>43040</v>
      </c>
      <c r="B26604" s="3" t="s">
        <v>21544</v>
      </c>
      <c r="C26604" s="5" t="s">
        <v>614</v>
      </c>
      <c r="D26604" s="3" t="s">
        <v>206</v>
      </c>
      <c r="E26604" s="3" t="s">
        <v>100</v>
      </c>
      <c r="F26604" s="7">
        <v>46257.3282672967</v>
      </c>
      <c r="G26604" s="3" t="s">
        <v>13675</v>
      </c>
    </row>
    <row r="26605">
      <c r="A26605" s="3" t="s">
        <v>43041</v>
      </c>
      <c r="B26605" s="3" t="s">
        <v>21544</v>
      </c>
      <c r="C26605" s="5" t="s">
        <v>206</v>
      </c>
      <c r="D26605" s="3" t="s">
        <v>68</v>
      </c>
      <c r="E26605" s="3" t="s">
        <v>100</v>
      </c>
      <c r="F26605" s="7">
        <v>46257.33173951892</v>
      </c>
      <c r="G26605" s="3" t="s">
        <v>13678</v>
      </c>
    </row>
    <row r="26606">
      <c r="A26606" s="3" t="s">
        <v>43042</v>
      </c>
      <c r="B26606" s="3" t="s">
        <v>21545</v>
      </c>
      <c r="C26606" s="5" t="s">
        <v>45</v>
      </c>
      <c r="D26606" s="3" t="s">
        <v>221</v>
      </c>
      <c r="E26606" s="3" t="s">
        <v>523</v>
      </c>
      <c r="F26606" s="7">
        <v>46257.39249769767</v>
      </c>
      <c r="G26606" s="3" t="s">
        <v>40407</v>
      </c>
    </row>
    <row r="26607">
      <c r="A26607" s="3" t="s">
        <v>43043</v>
      </c>
      <c r="B26607" s="3" t="s">
        <v>21545</v>
      </c>
      <c r="C26607" s="5" t="s">
        <v>221</v>
      </c>
      <c r="D26607" s="3" t="s">
        <v>614</v>
      </c>
      <c r="E26607" s="3" t="s">
        <v>118</v>
      </c>
      <c r="F26607" s="7">
        <v>46257.39596991989</v>
      </c>
      <c r="G26607" s="3" t="s">
        <v>40409</v>
      </c>
    </row>
    <row r="26608">
      <c r="A26608" s="3" t="s">
        <v>43044</v>
      </c>
      <c r="B26608" s="3" t="s">
        <v>21545</v>
      </c>
      <c r="C26608" s="5" t="s">
        <v>614</v>
      </c>
      <c r="D26608" s="3" t="s">
        <v>206</v>
      </c>
      <c r="E26608" s="3" t="s">
        <v>100</v>
      </c>
      <c r="F26608" s="7">
        <v>46257.399442142116</v>
      </c>
      <c r="G26608" s="3" t="s">
        <v>40411</v>
      </c>
    </row>
    <row r="26609">
      <c r="A26609" s="3" t="s">
        <v>43045</v>
      </c>
      <c r="B26609" s="3" t="s">
        <v>21545</v>
      </c>
      <c r="C26609" s="5" t="s">
        <v>206</v>
      </c>
      <c r="D26609" s="3" t="s">
        <v>68</v>
      </c>
      <c r="E26609" s="3" t="s">
        <v>100</v>
      </c>
      <c r="F26609" s="7">
        <v>46257.402914364335</v>
      </c>
      <c r="G26609" s="3" t="s">
        <v>40413</v>
      </c>
    </row>
    <row r="26610">
      <c r="A26610" s="3" t="s">
        <v>43046</v>
      </c>
      <c r="B26610" s="3" t="s">
        <v>21547</v>
      </c>
      <c r="C26610" s="5" t="s">
        <v>45</v>
      </c>
      <c r="D26610" s="3" t="s">
        <v>221</v>
      </c>
      <c r="E26610" s="3" t="s">
        <v>505</v>
      </c>
      <c r="F26610" s="7">
        <v>46257.46367254308</v>
      </c>
      <c r="G26610" s="3" t="s">
        <v>29424</v>
      </c>
    </row>
    <row r="26611">
      <c r="A26611" s="3" t="s">
        <v>43047</v>
      </c>
      <c r="B26611" s="3" t="s">
        <v>21547</v>
      </c>
      <c r="C26611" s="5" t="s">
        <v>221</v>
      </c>
      <c r="D26611" s="3" t="s">
        <v>181</v>
      </c>
      <c r="E26611" s="3" t="s">
        <v>118</v>
      </c>
      <c r="F26611" s="7">
        <v>46257.4671447653</v>
      </c>
      <c r="G26611" s="3" t="s">
        <v>43048</v>
      </c>
    </row>
    <row r="26612">
      <c r="A26612" s="3" t="s">
        <v>43049</v>
      </c>
      <c r="B26612" s="3" t="s">
        <v>21549</v>
      </c>
      <c r="C26612" s="5" t="s">
        <v>45</v>
      </c>
      <c r="D26612" s="3" t="s">
        <v>221</v>
      </c>
      <c r="E26612" s="3" t="s">
        <v>533</v>
      </c>
      <c r="F26612" s="7">
        <v>46257.5348473885</v>
      </c>
      <c r="G26612" s="3" t="s">
        <v>19505</v>
      </c>
    </row>
    <row r="26613">
      <c r="A26613" s="3" t="s">
        <v>43050</v>
      </c>
      <c r="B26613" s="3" t="s">
        <v>21549</v>
      </c>
      <c r="C26613" s="5" t="s">
        <v>221</v>
      </c>
      <c r="D26613" s="3" t="s">
        <v>614</v>
      </c>
      <c r="E26613" s="3" t="s">
        <v>118</v>
      </c>
      <c r="F26613" s="7">
        <v>46257.53831961072</v>
      </c>
      <c r="G26613" s="3" t="s">
        <v>19507</v>
      </c>
    </row>
    <row r="26614">
      <c r="A26614" s="3" t="s">
        <v>43051</v>
      </c>
      <c r="B26614" s="3" t="s">
        <v>21549</v>
      </c>
      <c r="C26614" s="5" t="s">
        <v>614</v>
      </c>
      <c r="D26614" s="3" t="s">
        <v>206</v>
      </c>
      <c r="E26614" s="3" t="s">
        <v>100</v>
      </c>
      <c r="F26614" s="7">
        <v>46257.54179183295</v>
      </c>
      <c r="G26614" s="3" t="s">
        <v>19510</v>
      </c>
    </row>
    <row r="26615">
      <c r="A26615" s="3" t="s">
        <v>43052</v>
      </c>
      <c r="B26615" s="3" t="s">
        <v>21549</v>
      </c>
      <c r="C26615" s="5" t="s">
        <v>206</v>
      </c>
      <c r="D26615" s="3" t="s">
        <v>68</v>
      </c>
      <c r="E26615" s="3" t="s">
        <v>100</v>
      </c>
      <c r="F26615" s="7">
        <v>46257.54526405517</v>
      </c>
      <c r="G26615" s="3" t="s">
        <v>19513</v>
      </c>
    </row>
    <row r="26616">
      <c r="A26616" s="3" t="s">
        <v>43053</v>
      </c>
      <c r="B26616" s="3" t="s">
        <v>21552</v>
      </c>
      <c r="C26616" s="5" t="s">
        <v>45</v>
      </c>
      <c r="D26616" s="3" t="s">
        <v>221</v>
      </c>
      <c r="E26616" s="3" t="s">
        <v>1011</v>
      </c>
      <c r="F26616" s="7">
        <v>46257.606022233915</v>
      </c>
      <c r="G26616" s="3" t="s">
        <v>33066</v>
      </c>
    </row>
    <row r="26617">
      <c r="A26617" s="3" t="s">
        <v>43054</v>
      </c>
      <c r="B26617" s="3" t="s">
        <v>21552</v>
      </c>
      <c r="C26617" s="5" t="s">
        <v>221</v>
      </c>
      <c r="D26617" s="3" t="s">
        <v>181</v>
      </c>
      <c r="E26617" s="3" t="s">
        <v>118</v>
      </c>
      <c r="F26617" s="7">
        <v>46257.609494456134</v>
      </c>
      <c r="G26617" s="3" t="s">
        <v>37692</v>
      </c>
    </row>
    <row r="26618">
      <c r="A26618" s="3" t="s">
        <v>43055</v>
      </c>
      <c r="B26618" s="3" t="s">
        <v>21554</v>
      </c>
      <c r="C26618" s="5" t="s">
        <v>45</v>
      </c>
      <c r="D26618" s="3" t="s">
        <v>221</v>
      </c>
      <c r="E26618" s="3" t="s">
        <v>530</v>
      </c>
      <c r="F26618" s="7">
        <v>46257.67719707933</v>
      </c>
      <c r="G26618" s="3" t="s">
        <v>17197</v>
      </c>
    </row>
    <row r="26619">
      <c r="A26619" s="3" t="s">
        <v>43056</v>
      </c>
      <c r="B26619" s="3" t="s">
        <v>21554</v>
      </c>
      <c r="C26619" s="5" t="s">
        <v>221</v>
      </c>
      <c r="D26619" s="3" t="s">
        <v>614</v>
      </c>
      <c r="E26619" s="3" t="s">
        <v>118</v>
      </c>
      <c r="F26619" s="7">
        <v>46257.680669301546</v>
      </c>
      <c r="G26619" s="3" t="s">
        <v>17199</v>
      </c>
    </row>
    <row r="26620">
      <c r="A26620" s="3" t="s">
        <v>43057</v>
      </c>
      <c r="B26620" s="3" t="s">
        <v>21554</v>
      </c>
      <c r="C26620" s="5" t="s">
        <v>614</v>
      </c>
      <c r="D26620" s="3" t="s">
        <v>206</v>
      </c>
      <c r="E26620" s="3" t="s">
        <v>100</v>
      </c>
      <c r="F26620" s="7">
        <v>46257.68414152377</v>
      </c>
      <c r="G26620" s="3" t="s">
        <v>17202</v>
      </c>
    </row>
    <row r="26621">
      <c r="A26621" s="3" t="s">
        <v>43058</v>
      </c>
      <c r="B26621" s="3" t="s">
        <v>21554</v>
      </c>
      <c r="C26621" s="5" t="s">
        <v>206</v>
      </c>
      <c r="D26621" s="3" t="s">
        <v>68</v>
      </c>
      <c r="E26621" s="3" t="s">
        <v>100</v>
      </c>
      <c r="F26621" s="7">
        <v>46257.68761374599</v>
      </c>
      <c r="G26621" s="3" t="s">
        <v>17205</v>
      </c>
    </row>
    <row r="26622">
      <c r="A26622" s="3" t="s">
        <v>43059</v>
      </c>
      <c r="B26622" s="3" t="s">
        <v>21556</v>
      </c>
      <c r="C26622" s="5" t="s">
        <v>45</v>
      </c>
      <c r="D26622" s="3" t="s">
        <v>221</v>
      </c>
      <c r="E26622" s="3" t="s">
        <v>123</v>
      </c>
      <c r="F26622" s="7">
        <v>46257.74837192475</v>
      </c>
      <c r="G26622" s="3" t="s">
        <v>10119</v>
      </c>
    </row>
    <row r="26623">
      <c r="A26623" s="3" t="s">
        <v>43060</v>
      </c>
      <c r="B26623" s="3" t="s">
        <v>21556</v>
      </c>
      <c r="C26623" s="5" t="s">
        <v>221</v>
      </c>
      <c r="D26623" s="3" t="s">
        <v>614</v>
      </c>
      <c r="E26623" s="3" t="s">
        <v>118</v>
      </c>
      <c r="F26623" s="7">
        <v>46257.751844146966</v>
      </c>
      <c r="G26623" s="3" t="s">
        <v>10122</v>
      </c>
    </row>
    <row r="26624">
      <c r="A26624" s="3" t="s">
        <v>43061</v>
      </c>
      <c r="B26624" s="3" t="s">
        <v>21556</v>
      </c>
      <c r="C26624" s="5" t="s">
        <v>614</v>
      </c>
      <c r="D26624" s="3" t="s">
        <v>206</v>
      </c>
      <c r="E26624" s="3" t="s">
        <v>100</v>
      </c>
      <c r="F26624" s="7">
        <v>46257.75531636919</v>
      </c>
      <c r="G26624" s="3" t="s">
        <v>10125</v>
      </c>
    </row>
    <row r="26625">
      <c r="A26625" s="3" t="s">
        <v>43062</v>
      </c>
      <c r="B26625" s="3" t="s">
        <v>21556</v>
      </c>
      <c r="C26625" s="5" t="s">
        <v>206</v>
      </c>
      <c r="D26625" s="3" t="s">
        <v>68</v>
      </c>
      <c r="E26625" s="3" t="s">
        <v>100</v>
      </c>
      <c r="F26625" s="7">
        <v>46257.75878859141</v>
      </c>
      <c r="G26625" s="3" t="s">
        <v>10128</v>
      </c>
    </row>
    <row r="26626">
      <c r="A26626" s="3" t="s">
        <v>43063</v>
      </c>
      <c r="B26626" s="3" t="s">
        <v>21558</v>
      </c>
      <c r="C26626" s="5" t="s">
        <v>45</v>
      </c>
      <c r="D26626" s="3" t="s">
        <v>221</v>
      </c>
      <c r="E26626" s="3" t="s">
        <v>148</v>
      </c>
      <c r="F26626" s="7">
        <v>46257.81954677016</v>
      </c>
      <c r="G26626" s="3" t="s">
        <v>23915</v>
      </c>
    </row>
    <row r="26627">
      <c r="A26627" s="3" t="s">
        <v>43064</v>
      </c>
      <c r="B26627" s="3" t="s">
        <v>21558</v>
      </c>
      <c r="C26627" s="5" t="s">
        <v>221</v>
      </c>
      <c r="D26627" s="3" t="s">
        <v>614</v>
      </c>
      <c r="E26627" s="3" t="s">
        <v>118</v>
      </c>
      <c r="F26627" s="7">
        <v>46257.82301899238</v>
      </c>
      <c r="G26627" s="3" t="s">
        <v>23917</v>
      </c>
    </row>
    <row r="26628">
      <c r="A26628" s="3" t="s">
        <v>43065</v>
      </c>
      <c r="B26628" s="3" t="s">
        <v>21558</v>
      </c>
      <c r="C26628" s="5" t="s">
        <v>614</v>
      </c>
      <c r="D26628" s="3" t="s">
        <v>206</v>
      </c>
      <c r="E26628" s="3" t="s">
        <v>100</v>
      </c>
      <c r="F26628" s="7">
        <v>46257.826491214604</v>
      </c>
      <c r="G26628" s="3" t="s">
        <v>23919</v>
      </c>
    </row>
    <row r="26629">
      <c r="A26629" s="3" t="s">
        <v>43066</v>
      </c>
      <c r="B26629" s="3" t="s">
        <v>21558</v>
      </c>
      <c r="C26629" s="5" t="s">
        <v>206</v>
      </c>
      <c r="D26629" s="3" t="s">
        <v>68</v>
      </c>
      <c r="E26629" s="3" t="s">
        <v>100</v>
      </c>
      <c r="F26629" s="7">
        <v>46257.82996343682</v>
      </c>
      <c r="G26629" s="3" t="s">
        <v>23921</v>
      </c>
    </row>
    <row r="26630">
      <c r="A26630" s="3" t="s">
        <v>43067</v>
      </c>
      <c r="B26630" s="3" t="s">
        <v>21560</v>
      </c>
      <c r="C26630" s="5" t="s">
        <v>45</v>
      </c>
      <c r="D26630" s="3" t="s">
        <v>221</v>
      </c>
      <c r="E26630" s="3" t="s">
        <v>250</v>
      </c>
      <c r="F26630" s="7">
        <v>46257.89072161557</v>
      </c>
      <c r="G26630" s="3" t="s">
        <v>13700</v>
      </c>
    </row>
    <row r="26631">
      <c r="A26631" s="3" t="s">
        <v>43068</v>
      </c>
      <c r="B26631" s="3" t="s">
        <v>21560</v>
      </c>
      <c r="C26631" s="5" t="s">
        <v>221</v>
      </c>
      <c r="D26631" s="3" t="s">
        <v>614</v>
      </c>
      <c r="E26631" s="3" t="s">
        <v>118</v>
      </c>
      <c r="F26631" s="7">
        <v>46257.89419383779</v>
      </c>
      <c r="G26631" s="3" t="s">
        <v>13703</v>
      </c>
    </row>
    <row r="26632">
      <c r="A26632" s="3" t="s">
        <v>43069</v>
      </c>
      <c r="B26632" s="3" t="s">
        <v>21560</v>
      </c>
      <c r="C26632" s="5" t="s">
        <v>614</v>
      </c>
      <c r="D26632" s="3" t="s">
        <v>206</v>
      </c>
      <c r="E26632" s="3" t="s">
        <v>100</v>
      </c>
      <c r="F26632" s="7">
        <v>46257.89766606002</v>
      </c>
      <c r="G26632" s="3" t="s">
        <v>13706</v>
      </c>
    </row>
    <row r="26633">
      <c r="A26633" s="3" t="s">
        <v>43070</v>
      </c>
      <c r="B26633" s="3" t="s">
        <v>21560</v>
      </c>
      <c r="C26633" s="5" t="s">
        <v>206</v>
      </c>
      <c r="D26633" s="3" t="s">
        <v>68</v>
      </c>
      <c r="E26633" s="3" t="s">
        <v>100</v>
      </c>
      <c r="F26633" s="7">
        <v>46257.901138282235</v>
      </c>
      <c r="G26633" s="3" t="s">
        <v>13709</v>
      </c>
    </row>
    <row r="26634">
      <c r="A26634" s="3" t="s">
        <v>43071</v>
      </c>
      <c r="B26634" s="3" t="s">
        <v>21562</v>
      </c>
      <c r="C26634" s="5" t="s">
        <v>45</v>
      </c>
      <c r="D26634" s="3" t="s">
        <v>221</v>
      </c>
      <c r="E26634" s="3" t="s">
        <v>219</v>
      </c>
      <c r="F26634" s="7">
        <v>46257.96189646099</v>
      </c>
      <c r="G26634" s="3" t="s">
        <v>13723</v>
      </c>
    </row>
    <row r="26635">
      <c r="A26635" s="3" t="s">
        <v>43072</v>
      </c>
      <c r="B26635" s="3" t="s">
        <v>21562</v>
      </c>
      <c r="C26635" s="5" t="s">
        <v>221</v>
      </c>
      <c r="D26635" s="3" t="s">
        <v>614</v>
      </c>
      <c r="E26635" s="3" t="s">
        <v>118</v>
      </c>
      <c r="F26635" s="7">
        <v>46257.96536868321</v>
      </c>
      <c r="G26635" s="3" t="s">
        <v>13726</v>
      </c>
    </row>
    <row r="26636">
      <c r="A26636" s="3" t="s">
        <v>43073</v>
      </c>
      <c r="B26636" s="3" t="s">
        <v>21562</v>
      </c>
      <c r="C26636" s="5" t="s">
        <v>614</v>
      </c>
      <c r="D26636" s="3" t="s">
        <v>206</v>
      </c>
      <c r="E26636" s="3" t="s">
        <v>100</v>
      </c>
      <c r="F26636" s="7">
        <v>46257.968840905436</v>
      </c>
      <c r="G26636" s="3" t="s">
        <v>13728</v>
      </c>
    </row>
    <row r="26637">
      <c r="A26637" s="3" t="s">
        <v>43074</v>
      </c>
      <c r="B26637" s="3" t="s">
        <v>21562</v>
      </c>
      <c r="C26637" s="5" t="s">
        <v>206</v>
      </c>
      <c r="D26637" s="3" t="s">
        <v>68</v>
      </c>
      <c r="E26637" s="3" t="s">
        <v>100</v>
      </c>
      <c r="F26637" s="7">
        <v>46257.972313127655</v>
      </c>
      <c r="G26637" s="3" t="s">
        <v>13731</v>
      </c>
    </row>
    <row r="26638">
      <c r="A26638" s="3" t="s">
        <v>43075</v>
      </c>
      <c r="B26638" s="3" t="s">
        <v>21565</v>
      </c>
      <c r="C26638" s="5" t="s">
        <v>45</v>
      </c>
      <c r="D26638" s="3" t="s">
        <v>221</v>
      </c>
      <c r="E26638" s="3" t="s">
        <v>280</v>
      </c>
      <c r="F26638" s="7">
        <v>46258.0330713064</v>
      </c>
      <c r="G26638" s="3" t="s">
        <v>10611</v>
      </c>
    </row>
    <row r="26639">
      <c r="A26639" s="3" t="s">
        <v>43076</v>
      </c>
      <c r="B26639" s="3" t="s">
        <v>21565</v>
      </c>
      <c r="C26639" s="5" t="s">
        <v>221</v>
      </c>
      <c r="D26639" s="3" t="s">
        <v>614</v>
      </c>
      <c r="E26639" s="3" t="s">
        <v>118</v>
      </c>
      <c r="F26639" s="7">
        <v>46258.03654352862</v>
      </c>
      <c r="G26639" s="3" t="s">
        <v>10614</v>
      </c>
    </row>
    <row r="26640">
      <c r="A26640" s="3" t="s">
        <v>43077</v>
      </c>
      <c r="B26640" s="3" t="s">
        <v>21565</v>
      </c>
      <c r="C26640" s="5" t="s">
        <v>614</v>
      </c>
      <c r="D26640" s="3" t="s">
        <v>206</v>
      </c>
      <c r="E26640" s="3" t="s">
        <v>100</v>
      </c>
      <c r="F26640" s="7">
        <v>46258.04001575085</v>
      </c>
      <c r="G26640" s="3" t="s">
        <v>10617</v>
      </c>
    </row>
    <row r="26641">
      <c r="A26641" s="3" t="s">
        <v>43078</v>
      </c>
      <c r="B26641" s="3" t="s">
        <v>21565</v>
      </c>
      <c r="C26641" s="5" t="s">
        <v>206</v>
      </c>
      <c r="D26641" s="3" t="s">
        <v>68</v>
      </c>
      <c r="E26641" s="3" t="s">
        <v>100</v>
      </c>
      <c r="F26641" s="7">
        <v>46258.04348797307</v>
      </c>
      <c r="G26641" s="3" t="s">
        <v>10620</v>
      </c>
    </row>
    <row r="26642">
      <c r="A26642" s="3" t="s">
        <v>43079</v>
      </c>
      <c r="B26642" s="3" t="s">
        <v>21567</v>
      </c>
      <c r="C26642" s="5" t="s">
        <v>45</v>
      </c>
      <c r="D26642" s="3" t="s">
        <v>221</v>
      </c>
      <c r="E26642" s="3" t="s">
        <v>579</v>
      </c>
      <c r="F26642" s="7">
        <v>46258.104246151815</v>
      </c>
      <c r="G26642" s="3" t="s">
        <v>32601</v>
      </c>
    </row>
    <row r="26643">
      <c r="A26643" s="3" t="s">
        <v>43080</v>
      </c>
      <c r="B26643" s="3" t="s">
        <v>21567</v>
      </c>
      <c r="C26643" s="5" t="s">
        <v>221</v>
      </c>
      <c r="D26643" s="3" t="s">
        <v>614</v>
      </c>
      <c r="E26643" s="3" t="s">
        <v>118</v>
      </c>
      <c r="F26643" s="7">
        <v>46258.107718374034</v>
      </c>
      <c r="G26643" s="3" t="s">
        <v>39694</v>
      </c>
    </row>
    <row r="26644">
      <c r="A26644" s="3" t="s">
        <v>43081</v>
      </c>
      <c r="B26644" s="3" t="s">
        <v>21567</v>
      </c>
      <c r="C26644" s="5" t="s">
        <v>614</v>
      </c>
      <c r="D26644" s="3" t="s">
        <v>206</v>
      </c>
      <c r="E26644" s="3" t="s">
        <v>100</v>
      </c>
      <c r="F26644" s="7">
        <v>46258.11119059626</v>
      </c>
      <c r="G26644" s="3" t="s">
        <v>39696</v>
      </c>
    </row>
    <row r="26645">
      <c r="A26645" s="3" t="s">
        <v>43082</v>
      </c>
      <c r="B26645" s="3" t="s">
        <v>21567</v>
      </c>
      <c r="C26645" s="5" t="s">
        <v>206</v>
      </c>
      <c r="D26645" s="3" t="s">
        <v>68</v>
      </c>
      <c r="E26645" s="3" t="s">
        <v>100</v>
      </c>
      <c r="F26645" s="7">
        <v>46258.11466281848</v>
      </c>
      <c r="G26645" s="3" t="s">
        <v>39698</v>
      </c>
    </row>
    <row r="26646">
      <c r="A26646" s="3" t="s">
        <v>43083</v>
      </c>
      <c r="B26646" s="3" t="s">
        <v>21569</v>
      </c>
      <c r="C26646" s="5" t="s">
        <v>45</v>
      </c>
      <c r="D26646" s="3" t="s">
        <v>221</v>
      </c>
      <c r="E26646" s="3" t="s">
        <v>230</v>
      </c>
      <c r="F26646" s="7">
        <v>46258.175420997235</v>
      </c>
      <c r="G26646" s="3" t="s">
        <v>23958</v>
      </c>
    </row>
    <row r="26647">
      <c r="A26647" s="3" t="s">
        <v>43084</v>
      </c>
      <c r="B26647" s="3" t="s">
        <v>21569</v>
      </c>
      <c r="C26647" s="5" t="s">
        <v>221</v>
      </c>
      <c r="D26647" s="3" t="s">
        <v>614</v>
      </c>
      <c r="E26647" s="3" t="s">
        <v>118</v>
      </c>
      <c r="F26647" s="7">
        <v>46258.178893219454</v>
      </c>
      <c r="G26647" s="3" t="s">
        <v>23960</v>
      </c>
    </row>
    <row r="26648">
      <c r="A26648" s="3" t="s">
        <v>43085</v>
      </c>
      <c r="B26648" s="3" t="s">
        <v>21569</v>
      </c>
      <c r="C26648" s="5" t="s">
        <v>614</v>
      </c>
      <c r="D26648" s="3" t="s">
        <v>206</v>
      </c>
      <c r="E26648" s="3" t="s">
        <v>100</v>
      </c>
      <c r="F26648" s="7">
        <v>46258.18236544168</v>
      </c>
      <c r="G26648" s="3" t="s">
        <v>23962</v>
      </c>
    </row>
    <row r="26649">
      <c r="A26649" s="3" t="s">
        <v>43086</v>
      </c>
      <c r="B26649" s="3" t="s">
        <v>21569</v>
      </c>
      <c r="C26649" s="5" t="s">
        <v>206</v>
      </c>
      <c r="D26649" s="3" t="s">
        <v>68</v>
      </c>
      <c r="E26649" s="3" t="s">
        <v>100</v>
      </c>
      <c r="F26649" s="7">
        <v>46258.1858376639</v>
      </c>
      <c r="G26649" s="3" t="s">
        <v>23964</v>
      </c>
    </row>
    <row r="26650">
      <c r="A26650" s="3" t="s">
        <v>43087</v>
      </c>
      <c r="B26650" s="3" t="s">
        <v>21571</v>
      </c>
      <c r="C26650" s="5" t="s">
        <v>45</v>
      </c>
      <c r="D26650" s="3" t="s">
        <v>221</v>
      </c>
      <c r="E26650" s="3" t="s">
        <v>734</v>
      </c>
      <c r="F26650" s="7">
        <v>46258.246595842655</v>
      </c>
      <c r="G26650" s="3" t="s">
        <v>21444</v>
      </c>
    </row>
    <row r="26651">
      <c r="A26651" s="3" t="s">
        <v>43088</v>
      </c>
      <c r="B26651" s="3" t="s">
        <v>21571</v>
      </c>
      <c r="C26651" s="5" t="s">
        <v>221</v>
      </c>
      <c r="D26651" s="3" t="s">
        <v>614</v>
      </c>
      <c r="E26651" s="3" t="s">
        <v>118</v>
      </c>
      <c r="F26651" s="7">
        <v>46258.25006806487</v>
      </c>
      <c r="G26651" s="3" t="s">
        <v>21447</v>
      </c>
    </row>
    <row r="26652">
      <c r="A26652" s="3" t="s">
        <v>43089</v>
      </c>
      <c r="B26652" s="3" t="s">
        <v>21571</v>
      </c>
      <c r="C26652" s="5" t="s">
        <v>614</v>
      </c>
      <c r="D26652" s="3" t="s">
        <v>206</v>
      </c>
      <c r="E26652" s="3" t="s">
        <v>100</v>
      </c>
      <c r="F26652" s="7">
        <v>46258.2535402871</v>
      </c>
      <c r="G26652" s="3" t="s">
        <v>21450</v>
      </c>
    </row>
    <row r="26653">
      <c r="A26653" s="3" t="s">
        <v>43090</v>
      </c>
      <c r="B26653" s="3" t="s">
        <v>21571</v>
      </c>
      <c r="C26653" s="5" t="s">
        <v>206</v>
      </c>
      <c r="D26653" s="3" t="s">
        <v>68</v>
      </c>
      <c r="E26653" s="3" t="s">
        <v>100</v>
      </c>
      <c r="F26653" s="7">
        <v>46258.25701250932</v>
      </c>
      <c r="G26653" s="3" t="s">
        <v>21452</v>
      </c>
    </row>
    <row r="26654">
      <c r="A26654" s="3" t="s">
        <v>43091</v>
      </c>
      <c r="B26654" s="3" t="s">
        <v>21573</v>
      </c>
      <c r="C26654" s="5" t="s">
        <v>45</v>
      </c>
      <c r="D26654" s="3" t="s">
        <v>221</v>
      </c>
      <c r="E26654" s="3" t="s">
        <v>485</v>
      </c>
      <c r="F26654" s="7">
        <v>46258.31777068806</v>
      </c>
      <c r="G26654" s="3" t="s">
        <v>32165</v>
      </c>
    </row>
    <row r="26655">
      <c r="A26655" s="3" t="s">
        <v>43092</v>
      </c>
      <c r="B26655" s="3" t="s">
        <v>21573</v>
      </c>
      <c r="C26655" s="5" t="s">
        <v>221</v>
      </c>
      <c r="D26655" s="3" t="s">
        <v>614</v>
      </c>
      <c r="E26655" s="3" t="s">
        <v>118</v>
      </c>
      <c r="F26655" s="7">
        <v>46258.32124291028</v>
      </c>
      <c r="G26655" s="3" t="s">
        <v>32167</v>
      </c>
    </row>
    <row r="26656">
      <c r="A26656" s="3" t="s">
        <v>43093</v>
      </c>
      <c r="B26656" s="3" t="s">
        <v>21573</v>
      </c>
      <c r="C26656" s="5" t="s">
        <v>614</v>
      </c>
      <c r="D26656" s="3" t="s">
        <v>206</v>
      </c>
      <c r="E26656" s="3" t="s">
        <v>100</v>
      </c>
      <c r="F26656" s="7">
        <v>46258.324715132505</v>
      </c>
      <c r="G26656" s="3" t="s">
        <v>32169</v>
      </c>
    </row>
    <row r="26657">
      <c r="A26657" s="3" t="s">
        <v>43094</v>
      </c>
      <c r="B26657" s="3" t="s">
        <v>21573</v>
      </c>
      <c r="C26657" s="5" t="s">
        <v>206</v>
      </c>
      <c r="D26657" s="3" t="s">
        <v>68</v>
      </c>
      <c r="E26657" s="3" t="s">
        <v>100</v>
      </c>
      <c r="F26657" s="7">
        <v>46258.328187354724</v>
      </c>
      <c r="G26657" s="3" t="s">
        <v>32171</v>
      </c>
    </row>
    <row r="26658">
      <c r="A26658" s="3" t="s">
        <v>43095</v>
      </c>
      <c r="B26658" s="3" t="s">
        <v>21575</v>
      </c>
      <c r="C26658" s="5" t="s">
        <v>45</v>
      </c>
      <c r="D26658" s="3" t="s">
        <v>221</v>
      </c>
      <c r="E26658" s="3" t="s">
        <v>1011</v>
      </c>
      <c r="F26658" s="7">
        <v>46258.38894553348</v>
      </c>
      <c r="G26658" s="3" t="s">
        <v>33066</v>
      </c>
    </row>
    <row r="26659">
      <c r="A26659" s="3" t="s">
        <v>43096</v>
      </c>
      <c r="B26659" s="3" t="s">
        <v>21575</v>
      </c>
      <c r="C26659" s="5" t="s">
        <v>221</v>
      </c>
      <c r="D26659" s="3" t="s">
        <v>614</v>
      </c>
      <c r="E26659" s="3" t="s">
        <v>118</v>
      </c>
      <c r="F26659" s="7">
        <v>46258.3924177557</v>
      </c>
      <c r="G26659" s="3" t="s">
        <v>33068</v>
      </c>
    </row>
    <row r="26660">
      <c r="A26660" s="3" t="s">
        <v>43097</v>
      </c>
      <c r="B26660" s="3" t="s">
        <v>21575</v>
      </c>
      <c r="C26660" s="5" t="s">
        <v>614</v>
      </c>
      <c r="D26660" s="3" t="s">
        <v>206</v>
      </c>
      <c r="E26660" s="3" t="s">
        <v>100</v>
      </c>
      <c r="F26660" s="7">
        <v>46258.395889977925</v>
      </c>
      <c r="G26660" s="3" t="s">
        <v>33070</v>
      </c>
    </row>
    <row r="26661">
      <c r="A26661" s="3" t="s">
        <v>43098</v>
      </c>
      <c r="B26661" s="3" t="s">
        <v>21575</v>
      </c>
      <c r="C26661" s="5" t="s">
        <v>206</v>
      </c>
      <c r="D26661" s="3" t="s">
        <v>68</v>
      </c>
      <c r="E26661" s="3" t="s">
        <v>100</v>
      </c>
      <c r="F26661" s="7">
        <v>46258.39936220014</v>
      </c>
      <c r="G26661" s="3" t="s">
        <v>33072</v>
      </c>
    </row>
    <row r="26662">
      <c r="A26662" s="3" t="s">
        <v>43099</v>
      </c>
      <c r="B26662" s="3" t="s">
        <v>21577</v>
      </c>
      <c r="C26662" s="5" t="s">
        <v>45</v>
      </c>
      <c r="D26662" s="3" t="s">
        <v>221</v>
      </c>
      <c r="E26662" s="3" t="s">
        <v>785</v>
      </c>
      <c r="F26662" s="7">
        <v>46258.4601203789</v>
      </c>
      <c r="G26662" s="3" t="s">
        <v>16597</v>
      </c>
    </row>
    <row r="26663">
      <c r="A26663" s="3" t="s">
        <v>43100</v>
      </c>
      <c r="B26663" s="3" t="s">
        <v>21577</v>
      </c>
      <c r="C26663" s="5" t="s">
        <v>221</v>
      </c>
      <c r="D26663" s="3" t="s">
        <v>614</v>
      </c>
      <c r="E26663" s="3" t="s">
        <v>118</v>
      </c>
      <c r="F26663" s="7">
        <v>46258.46359260112</v>
      </c>
      <c r="G26663" s="3" t="s">
        <v>16600</v>
      </c>
    </row>
    <row r="26664">
      <c r="A26664" s="3" t="s">
        <v>43101</v>
      </c>
      <c r="B26664" s="3" t="s">
        <v>21577</v>
      </c>
      <c r="C26664" s="5" t="s">
        <v>614</v>
      </c>
      <c r="D26664" s="3" t="s">
        <v>206</v>
      </c>
      <c r="E26664" s="3" t="s">
        <v>100</v>
      </c>
      <c r="F26664" s="7">
        <v>46258.467064823344</v>
      </c>
      <c r="G26664" s="3" t="s">
        <v>16603</v>
      </c>
    </row>
    <row r="26665">
      <c r="A26665" s="3" t="s">
        <v>43102</v>
      </c>
      <c r="B26665" s="3" t="s">
        <v>21577</v>
      </c>
      <c r="C26665" s="5" t="s">
        <v>206</v>
      </c>
      <c r="D26665" s="3" t="s">
        <v>68</v>
      </c>
      <c r="E26665" s="3" t="s">
        <v>100</v>
      </c>
      <c r="F26665" s="7">
        <v>46258.47053704556</v>
      </c>
      <c r="G26665" s="3" t="s">
        <v>16606</v>
      </c>
    </row>
    <row r="26666">
      <c r="A26666" s="3" t="s">
        <v>43103</v>
      </c>
      <c r="B26666" s="3" t="s">
        <v>21580</v>
      </c>
      <c r="C26666" s="5" t="s">
        <v>45</v>
      </c>
      <c r="D26666" s="3" t="s">
        <v>221</v>
      </c>
      <c r="E26666" s="3" t="s">
        <v>468</v>
      </c>
      <c r="F26666" s="7">
        <v>46258.53129522431</v>
      </c>
      <c r="G26666" s="3" t="s">
        <v>13775</v>
      </c>
    </row>
    <row r="26667">
      <c r="A26667" s="3" t="s">
        <v>43104</v>
      </c>
      <c r="B26667" s="3" t="s">
        <v>21580</v>
      </c>
      <c r="C26667" s="5" t="s">
        <v>221</v>
      </c>
      <c r="D26667" s="3" t="s">
        <v>614</v>
      </c>
      <c r="E26667" s="3" t="s">
        <v>118</v>
      </c>
      <c r="F26667" s="7">
        <v>46258.53476744653</v>
      </c>
      <c r="G26667" s="3" t="s">
        <v>13778</v>
      </c>
    </row>
    <row r="26668">
      <c r="A26668" s="3" t="s">
        <v>43105</v>
      </c>
      <c r="B26668" s="3" t="s">
        <v>21580</v>
      </c>
      <c r="C26668" s="5" t="s">
        <v>614</v>
      </c>
      <c r="D26668" s="3" t="s">
        <v>206</v>
      </c>
      <c r="E26668" s="3" t="s">
        <v>100</v>
      </c>
      <c r="F26668" s="7">
        <v>46258.53823966876</v>
      </c>
      <c r="G26668" s="3" t="s">
        <v>13781</v>
      </c>
    </row>
    <row r="26669">
      <c r="A26669" s="3" t="s">
        <v>43106</v>
      </c>
      <c r="B26669" s="3" t="s">
        <v>21580</v>
      </c>
      <c r="C26669" s="5" t="s">
        <v>206</v>
      </c>
      <c r="D26669" s="3" t="s">
        <v>68</v>
      </c>
      <c r="E26669" s="3" t="s">
        <v>100</v>
      </c>
      <c r="F26669" s="7">
        <v>46258.541711890975</v>
      </c>
      <c r="G26669" s="3" t="s">
        <v>13783</v>
      </c>
    </row>
    <row r="26670">
      <c r="A26670" s="3" t="s">
        <v>43107</v>
      </c>
      <c r="B26670" s="3" t="s">
        <v>21582</v>
      </c>
      <c r="C26670" s="5" t="s">
        <v>45</v>
      </c>
      <c r="D26670" s="3" t="s">
        <v>221</v>
      </c>
      <c r="E26670" s="3" t="s">
        <v>536</v>
      </c>
      <c r="F26670" s="7">
        <v>46258.60247006972</v>
      </c>
      <c r="G26670" s="3" t="s">
        <v>28250</v>
      </c>
    </row>
    <row r="26671">
      <c r="A26671" s="3" t="s">
        <v>43108</v>
      </c>
      <c r="B26671" s="3" t="s">
        <v>21582</v>
      </c>
      <c r="C26671" s="5" t="s">
        <v>221</v>
      </c>
      <c r="D26671" s="3" t="s">
        <v>614</v>
      </c>
      <c r="E26671" s="3" t="s">
        <v>118</v>
      </c>
      <c r="F26671" s="7">
        <v>46258.60594229194</v>
      </c>
      <c r="G26671" s="3" t="s">
        <v>37016</v>
      </c>
    </row>
    <row r="26672">
      <c r="A26672" s="3" t="s">
        <v>43109</v>
      </c>
      <c r="B26672" s="3" t="s">
        <v>21582</v>
      </c>
      <c r="C26672" s="5" t="s">
        <v>614</v>
      </c>
      <c r="D26672" s="3" t="s">
        <v>206</v>
      </c>
      <c r="E26672" s="3" t="s">
        <v>100</v>
      </c>
      <c r="F26672" s="7">
        <v>46258.60941451417</v>
      </c>
      <c r="G26672" s="3" t="s">
        <v>37018</v>
      </c>
    </row>
    <row r="26673">
      <c r="A26673" s="3" t="s">
        <v>43110</v>
      </c>
      <c r="B26673" s="3" t="s">
        <v>21582</v>
      </c>
      <c r="C26673" s="5" t="s">
        <v>206</v>
      </c>
      <c r="D26673" s="3" t="s">
        <v>68</v>
      </c>
      <c r="E26673" s="3" t="s">
        <v>100</v>
      </c>
      <c r="F26673" s="7">
        <v>46258.61288673639</v>
      </c>
      <c r="G26673" s="3" t="s">
        <v>37020</v>
      </c>
    </row>
    <row r="26674">
      <c r="A26674" s="3" t="s">
        <v>43111</v>
      </c>
      <c r="B26674" s="3" t="s">
        <v>21584</v>
      </c>
      <c r="C26674" s="5" t="s">
        <v>45</v>
      </c>
      <c r="D26674" s="3" t="s">
        <v>221</v>
      </c>
      <c r="E26674" s="3" t="s">
        <v>299</v>
      </c>
      <c r="F26674" s="7">
        <v>46258.67364491514</v>
      </c>
      <c r="G26674" s="3" t="s">
        <v>24173</v>
      </c>
    </row>
    <row r="26675">
      <c r="A26675" s="3" t="s">
        <v>43112</v>
      </c>
      <c r="B26675" s="3" t="s">
        <v>21584</v>
      </c>
      <c r="C26675" s="5" t="s">
        <v>221</v>
      </c>
      <c r="D26675" s="3" t="s">
        <v>181</v>
      </c>
      <c r="E26675" s="3" t="s">
        <v>118</v>
      </c>
      <c r="F26675" s="7">
        <v>46258.67711713736</v>
      </c>
      <c r="G26675" s="3" t="s">
        <v>43113</v>
      </c>
    </row>
    <row r="26676">
      <c r="A26676" s="3" t="s">
        <v>43114</v>
      </c>
      <c r="B26676" s="3" t="s">
        <v>21586</v>
      </c>
      <c r="C26676" s="5" t="s">
        <v>45</v>
      </c>
      <c r="D26676" s="3" t="s">
        <v>221</v>
      </c>
      <c r="E26676" s="3" t="s">
        <v>694</v>
      </c>
      <c r="F26676" s="7">
        <v>46258.744819760555</v>
      </c>
      <c r="G26676" s="3" t="s">
        <v>28553</v>
      </c>
    </row>
    <row r="26677">
      <c r="A26677" s="3" t="s">
        <v>43115</v>
      </c>
      <c r="B26677" s="3" t="s">
        <v>21586</v>
      </c>
      <c r="C26677" s="5" t="s">
        <v>221</v>
      </c>
      <c r="D26677" s="3" t="s">
        <v>614</v>
      </c>
      <c r="E26677" s="3" t="s">
        <v>118</v>
      </c>
      <c r="F26677" s="7">
        <v>46258.748291982774</v>
      </c>
      <c r="G26677" s="3" t="s">
        <v>28555</v>
      </c>
    </row>
    <row r="26678">
      <c r="A26678" s="3" t="s">
        <v>43116</v>
      </c>
      <c r="B26678" s="3" t="s">
        <v>21586</v>
      </c>
      <c r="C26678" s="5" t="s">
        <v>614</v>
      </c>
      <c r="D26678" s="3" t="s">
        <v>206</v>
      </c>
      <c r="E26678" s="3" t="s">
        <v>100</v>
      </c>
      <c r="F26678" s="7">
        <v>46258.751764205</v>
      </c>
      <c r="G26678" s="3" t="s">
        <v>28557</v>
      </c>
    </row>
    <row r="26679">
      <c r="A26679" s="3" t="s">
        <v>43117</v>
      </c>
      <c r="B26679" s="3" t="s">
        <v>21586</v>
      </c>
      <c r="C26679" s="5" t="s">
        <v>206</v>
      </c>
      <c r="D26679" s="3" t="s">
        <v>68</v>
      </c>
      <c r="E26679" s="3" t="s">
        <v>100</v>
      </c>
      <c r="F26679" s="7">
        <v>46258.75523642722</v>
      </c>
      <c r="G26679" s="3" t="s">
        <v>28559</v>
      </c>
    </row>
    <row r="26680">
      <c r="A26680" s="3" t="s">
        <v>43118</v>
      </c>
      <c r="B26680" s="3" t="s">
        <v>21588</v>
      </c>
      <c r="C26680" s="5" t="s">
        <v>45</v>
      </c>
      <c r="D26680" s="3" t="s">
        <v>221</v>
      </c>
      <c r="E26680" s="3" t="s">
        <v>440</v>
      </c>
      <c r="F26680" s="7">
        <v>46258.81599460597</v>
      </c>
      <c r="G26680" s="3" t="s">
        <v>10273</v>
      </c>
    </row>
    <row r="26681">
      <c r="A26681" s="3" t="s">
        <v>43119</v>
      </c>
      <c r="B26681" s="3" t="s">
        <v>21588</v>
      </c>
      <c r="C26681" s="5" t="s">
        <v>221</v>
      </c>
      <c r="D26681" s="3" t="s">
        <v>195</v>
      </c>
      <c r="E26681" s="3" t="s">
        <v>440</v>
      </c>
      <c r="F26681" s="7">
        <v>46258.81946682819</v>
      </c>
      <c r="G26681" s="3" t="s">
        <v>43120</v>
      </c>
    </row>
    <row r="26682">
      <c r="A26682" s="3" t="s">
        <v>43121</v>
      </c>
      <c r="B26682" s="3" t="s">
        <v>21590</v>
      </c>
      <c r="C26682" s="5" t="s">
        <v>45</v>
      </c>
      <c r="D26682" s="3" t="s">
        <v>221</v>
      </c>
      <c r="E26682" s="3" t="s">
        <v>236</v>
      </c>
      <c r="F26682" s="7">
        <v>46258.88716945139</v>
      </c>
      <c r="G26682" s="3" t="s">
        <v>13786</v>
      </c>
    </row>
    <row r="26683">
      <c r="A26683" s="3" t="s">
        <v>43122</v>
      </c>
      <c r="B26683" s="3" t="s">
        <v>21590</v>
      </c>
      <c r="C26683" s="5" t="s">
        <v>221</v>
      </c>
      <c r="D26683" s="3" t="s">
        <v>614</v>
      </c>
      <c r="E26683" s="3" t="s">
        <v>118</v>
      </c>
      <c r="F26683" s="7">
        <v>46258.890641673606</v>
      </c>
      <c r="G26683" s="3" t="s">
        <v>13789</v>
      </c>
    </row>
    <row r="26684">
      <c r="A26684" s="3" t="s">
        <v>43123</v>
      </c>
      <c r="B26684" s="3" t="s">
        <v>21590</v>
      </c>
      <c r="C26684" s="5" t="s">
        <v>614</v>
      </c>
      <c r="D26684" s="3" t="s">
        <v>206</v>
      </c>
      <c r="E26684" s="3" t="s">
        <v>100</v>
      </c>
      <c r="F26684" s="7">
        <v>46258.89411389583</v>
      </c>
      <c r="G26684" s="3" t="s">
        <v>13792</v>
      </c>
    </row>
    <row r="26685">
      <c r="A26685" s="3" t="s">
        <v>43124</v>
      </c>
      <c r="B26685" s="3" t="s">
        <v>21590</v>
      </c>
      <c r="C26685" s="5" t="s">
        <v>206</v>
      </c>
      <c r="D26685" s="3" t="s">
        <v>68</v>
      </c>
      <c r="E26685" s="3" t="s">
        <v>100</v>
      </c>
      <c r="F26685" s="7">
        <v>46258.89758611805</v>
      </c>
      <c r="G26685" s="3" t="s">
        <v>13794</v>
      </c>
    </row>
    <row r="26686">
      <c r="A26686" s="3" t="s">
        <v>43125</v>
      </c>
      <c r="B26686" s="3" t="s">
        <v>21593</v>
      </c>
      <c r="C26686" s="5" t="s">
        <v>45</v>
      </c>
      <c r="D26686" s="3" t="s">
        <v>221</v>
      </c>
      <c r="E26686" s="3" t="s">
        <v>475</v>
      </c>
      <c r="F26686" s="7">
        <v>46258.95834429681</v>
      </c>
      <c r="G26686" s="3" t="s">
        <v>13822</v>
      </c>
    </row>
    <row r="26687">
      <c r="A26687" s="3" t="s">
        <v>43126</v>
      </c>
      <c r="B26687" s="3" t="s">
        <v>21593</v>
      </c>
      <c r="C26687" s="5" t="s">
        <v>221</v>
      </c>
      <c r="D26687" s="3" t="s">
        <v>614</v>
      </c>
      <c r="E26687" s="3" t="s">
        <v>118</v>
      </c>
      <c r="F26687" s="7">
        <v>46258.961816519026</v>
      </c>
      <c r="G26687" s="3" t="s">
        <v>13825</v>
      </c>
    </row>
    <row r="26688">
      <c r="A26688" s="3" t="s">
        <v>43127</v>
      </c>
      <c r="B26688" s="3" t="s">
        <v>21593</v>
      </c>
      <c r="C26688" s="5" t="s">
        <v>614</v>
      </c>
      <c r="D26688" s="3" t="s">
        <v>206</v>
      </c>
      <c r="E26688" s="3" t="s">
        <v>100</v>
      </c>
      <c r="F26688" s="7">
        <v>46258.96528874125</v>
      </c>
      <c r="G26688" s="3" t="s">
        <v>13827</v>
      </c>
    </row>
    <row r="26689">
      <c r="A26689" s="3" t="s">
        <v>43128</v>
      </c>
      <c r="B26689" s="3" t="s">
        <v>21593</v>
      </c>
      <c r="C26689" s="5" t="s">
        <v>206</v>
      </c>
      <c r="D26689" s="3" t="s">
        <v>68</v>
      </c>
      <c r="E26689" s="3" t="s">
        <v>100</v>
      </c>
      <c r="F26689" s="7">
        <v>46258.96876096347</v>
      </c>
      <c r="G26689" s="3" t="s">
        <v>13830</v>
      </c>
    </row>
    <row r="26690">
      <c r="A26690" s="3" t="s">
        <v>43129</v>
      </c>
      <c r="B26690" s="3" t="s">
        <v>21595</v>
      </c>
      <c r="C26690" s="5" t="s">
        <v>45</v>
      </c>
      <c r="D26690" s="3" t="s">
        <v>221</v>
      </c>
      <c r="E26690" s="3" t="s">
        <v>939</v>
      </c>
      <c r="F26690" s="7">
        <v>46259.02951914221</v>
      </c>
      <c r="G26690" s="3" t="s">
        <v>13032</v>
      </c>
    </row>
    <row r="26691">
      <c r="A26691" s="3" t="s">
        <v>43130</v>
      </c>
      <c r="B26691" s="3" t="s">
        <v>21595</v>
      </c>
      <c r="C26691" s="5" t="s">
        <v>221</v>
      </c>
      <c r="D26691" s="3" t="s">
        <v>614</v>
      </c>
      <c r="E26691" s="3" t="s">
        <v>118</v>
      </c>
      <c r="F26691" s="7">
        <v>46259.03299136443</v>
      </c>
      <c r="G26691" s="3" t="s">
        <v>26882</v>
      </c>
    </row>
    <row r="26692">
      <c r="A26692" s="3" t="s">
        <v>43131</v>
      </c>
      <c r="B26692" s="3" t="s">
        <v>21595</v>
      </c>
      <c r="C26692" s="5" t="s">
        <v>614</v>
      </c>
      <c r="D26692" s="3" t="s">
        <v>206</v>
      </c>
      <c r="E26692" s="3" t="s">
        <v>100</v>
      </c>
      <c r="F26692" s="7">
        <v>46259.03646358666</v>
      </c>
      <c r="G26692" s="3" t="s">
        <v>26884</v>
      </c>
    </row>
    <row r="26693">
      <c r="A26693" s="3" t="s">
        <v>43132</v>
      </c>
      <c r="B26693" s="3" t="s">
        <v>21595</v>
      </c>
      <c r="C26693" s="5" t="s">
        <v>206</v>
      </c>
      <c r="D26693" s="3" t="s">
        <v>68</v>
      </c>
      <c r="E26693" s="3" t="s">
        <v>100</v>
      </c>
      <c r="F26693" s="7">
        <v>46259.039935808876</v>
      </c>
      <c r="G26693" s="3" t="s">
        <v>26886</v>
      </c>
    </row>
    <row r="26694">
      <c r="A26694" s="3" t="s">
        <v>43133</v>
      </c>
      <c r="B26694" s="3" t="s">
        <v>21597</v>
      </c>
      <c r="C26694" s="5" t="s">
        <v>45</v>
      </c>
      <c r="D26694" s="3" t="s">
        <v>221</v>
      </c>
      <c r="E26694" s="3" t="s">
        <v>319</v>
      </c>
      <c r="F26694" s="7">
        <v>46259.10069398763</v>
      </c>
      <c r="G26694" s="3" t="s">
        <v>13869</v>
      </c>
    </row>
    <row r="26695">
      <c r="A26695" s="3" t="s">
        <v>43134</v>
      </c>
      <c r="B26695" s="3" t="s">
        <v>21597</v>
      </c>
      <c r="C26695" s="5" t="s">
        <v>221</v>
      </c>
      <c r="D26695" s="3" t="s">
        <v>614</v>
      </c>
      <c r="E26695" s="3" t="s">
        <v>118</v>
      </c>
      <c r="F26695" s="7">
        <v>46259.10416620985</v>
      </c>
      <c r="G26695" s="3" t="s">
        <v>13873</v>
      </c>
    </row>
    <row r="26696">
      <c r="A26696" s="3" t="s">
        <v>43135</v>
      </c>
      <c r="B26696" s="3" t="s">
        <v>21597</v>
      </c>
      <c r="C26696" s="5" t="s">
        <v>614</v>
      </c>
      <c r="D26696" s="3" t="s">
        <v>206</v>
      </c>
      <c r="E26696" s="3" t="s">
        <v>100</v>
      </c>
      <c r="F26696" s="7">
        <v>46259.10763843208</v>
      </c>
      <c r="G26696" s="3" t="s">
        <v>13875</v>
      </c>
    </row>
    <row r="26697">
      <c r="A26697" s="3" t="s">
        <v>43136</v>
      </c>
      <c r="B26697" s="3" t="s">
        <v>21597</v>
      </c>
      <c r="C26697" s="5" t="s">
        <v>206</v>
      </c>
      <c r="D26697" s="3" t="s">
        <v>68</v>
      </c>
      <c r="E26697" s="3" t="s">
        <v>100</v>
      </c>
      <c r="F26697" s="7">
        <v>46259.111110654296</v>
      </c>
      <c r="G26697" s="3" t="s">
        <v>13878</v>
      </c>
    </row>
    <row r="26698">
      <c r="A26698" s="3" t="s">
        <v>43137</v>
      </c>
      <c r="B26698" s="3" t="s">
        <v>21599</v>
      </c>
      <c r="C26698" s="5" t="s">
        <v>45</v>
      </c>
      <c r="D26698" s="3" t="s">
        <v>221</v>
      </c>
      <c r="E26698" s="3" t="s">
        <v>886</v>
      </c>
      <c r="F26698" s="7">
        <v>46259.171868833044</v>
      </c>
      <c r="G26698" s="3" t="s">
        <v>24595</v>
      </c>
    </row>
    <row r="26699">
      <c r="A26699" s="3" t="s">
        <v>43138</v>
      </c>
      <c r="B26699" s="3" t="s">
        <v>21599</v>
      </c>
      <c r="C26699" s="5" t="s">
        <v>221</v>
      </c>
      <c r="D26699" s="3" t="s">
        <v>614</v>
      </c>
      <c r="E26699" s="3" t="s">
        <v>118</v>
      </c>
      <c r="F26699" s="7">
        <v>46259.17534105526</v>
      </c>
      <c r="G26699" s="3" t="s">
        <v>24597</v>
      </c>
    </row>
    <row r="26700">
      <c r="A26700" s="3" t="s">
        <v>43139</v>
      </c>
      <c r="B26700" s="3" t="s">
        <v>21599</v>
      </c>
      <c r="C26700" s="5" t="s">
        <v>614</v>
      </c>
      <c r="D26700" s="3" t="s">
        <v>206</v>
      </c>
      <c r="E26700" s="3" t="s">
        <v>100</v>
      </c>
      <c r="F26700" s="7">
        <v>46259.17881327749</v>
      </c>
      <c r="G26700" s="3" t="s">
        <v>24599</v>
      </c>
    </row>
    <row r="26701">
      <c r="A26701" s="3" t="s">
        <v>43140</v>
      </c>
      <c r="B26701" s="3" t="s">
        <v>21599</v>
      </c>
      <c r="C26701" s="5" t="s">
        <v>206</v>
      </c>
      <c r="D26701" s="3" t="s">
        <v>68</v>
      </c>
      <c r="E26701" s="3" t="s">
        <v>100</v>
      </c>
      <c r="F26701" s="7">
        <v>46259.18228549971</v>
      </c>
      <c r="G26701" s="3" t="s">
        <v>24601</v>
      </c>
    </row>
    <row r="26702">
      <c r="A26702" s="3" t="s">
        <v>43141</v>
      </c>
      <c r="B26702" s="3" t="s">
        <v>21601</v>
      </c>
      <c r="C26702" s="5" t="s">
        <v>45</v>
      </c>
      <c r="D26702" s="3" t="s">
        <v>221</v>
      </c>
      <c r="E26702" s="3" t="s">
        <v>380</v>
      </c>
      <c r="F26702" s="7">
        <v>46259.24304367846</v>
      </c>
      <c r="G26702" s="3" t="s">
        <v>4588</v>
      </c>
    </row>
    <row r="26703">
      <c r="A26703" s="3" t="s">
        <v>43142</v>
      </c>
      <c r="B26703" s="3" t="s">
        <v>21601</v>
      </c>
      <c r="C26703" s="5" t="s">
        <v>221</v>
      </c>
      <c r="D26703" s="3" t="s">
        <v>614</v>
      </c>
      <c r="E26703" s="3" t="s">
        <v>118</v>
      </c>
      <c r="F26703" s="7">
        <v>46259.24651590068</v>
      </c>
      <c r="G26703" s="3" t="s">
        <v>4591</v>
      </c>
    </row>
    <row r="26704">
      <c r="A26704" s="3" t="s">
        <v>43143</v>
      </c>
      <c r="B26704" s="3" t="s">
        <v>21601</v>
      </c>
      <c r="C26704" s="5" t="s">
        <v>614</v>
      </c>
      <c r="D26704" s="3" t="s">
        <v>206</v>
      </c>
      <c r="E26704" s="3" t="s">
        <v>100</v>
      </c>
      <c r="F26704" s="7">
        <v>46259.24998812291</v>
      </c>
      <c r="G26704" s="3" t="s">
        <v>4594</v>
      </c>
    </row>
    <row r="26705">
      <c r="A26705" s="3" t="s">
        <v>43144</v>
      </c>
      <c r="B26705" s="3" t="s">
        <v>21601</v>
      </c>
      <c r="C26705" s="5" t="s">
        <v>206</v>
      </c>
      <c r="D26705" s="3" t="s">
        <v>68</v>
      </c>
      <c r="E26705" s="3" t="s">
        <v>100</v>
      </c>
      <c r="F26705" s="7">
        <v>46259.25346034513</v>
      </c>
      <c r="G26705" s="3" t="s">
        <v>4597</v>
      </c>
    </row>
    <row r="26706">
      <c r="A26706" s="3" t="s">
        <v>43145</v>
      </c>
      <c r="B26706" s="3" t="s">
        <v>21604</v>
      </c>
      <c r="C26706" s="5" t="s">
        <v>45</v>
      </c>
      <c r="D26706" s="3" t="s">
        <v>221</v>
      </c>
      <c r="E26706" s="3" t="s">
        <v>657</v>
      </c>
      <c r="F26706" s="7">
        <v>46259.314218523876</v>
      </c>
      <c r="G26706" s="3" t="s">
        <v>13881</v>
      </c>
    </row>
    <row r="26707">
      <c r="A26707" s="3" t="s">
        <v>43146</v>
      </c>
      <c r="B26707" s="3" t="s">
        <v>21604</v>
      </c>
      <c r="C26707" s="5" t="s">
        <v>221</v>
      </c>
      <c r="D26707" s="3" t="s">
        <v>614</v>
      </c>
      <c r="E26707" s="3" t="s">
        <v>118</v>
      </c>
      <c r="F26707" s="7">
        <v>46259.317690746095</v>
      </c>
      <c r="G26707" s="3" t="s">
        <v>13883</v>
      </c>
    </row>
    <row r="26708">
      <c r="A26708" s="3" t="s">
        <v>43147</v>
      </c>
      <c r="B26708" s="3" t="s">
        <v>21604</v>
      </c>
      <c r="C26708" s="5" t="s">
        <v>614</v>
      </c>
      <c r="D26708" s="3" t="s">
        <v>206</v>
      </c>
      <c r="E26708" s="3" t="s">
        <v>100</v>
      </c>
      <c r="F26708" s="7">
        <v>46259.32116296832</v>
      </c>
      <c r="G26708" s="3" t="s">
        <v>13886</v>
      </c>
    </row>
    <row r="26709">
      <c r="A26709" s="3" t="s">
        <v>43148</v>
      </c>
      <c r="B26709" s="3" t="s">
        <v>21604</v>
      </c>
      <c r="C26709" s="5" t="s">
        <v>206</v>
      </c>
      <c r="D26709" s="3" t="s">
        <v>68</v>
      </c>
      <c r="E26709" s="3" t="s">
        <v>100</v>
      </c>
      <c r="F26709" s="7">
        <v>46259.32463519054</v>
      </c>
      <c r="G26709" s="3" t="s">
        <v>13888</v>
      </c>
    </row>
    <row r="26710">
      <c r="A26710" s="3" t="s">
        <v>43149</v>
      </c>
      <c r="B26710" s="3" t="s">
        <v>21606</v>
      </c>
      <c r="C26710" s="5" t="s">
        <v>45</v>
      </c>
      <c r="D26710" s="3" t="s">
        <v>221</v>
      </c>
      <c r="E26710" s="3" t="s">
        <v>731</v>
      </c>
      <c r="F26710" s="7">
        <v>46259.385393369295</v>
      </c>
      <c r="G26710" s="3" t="s">
        <v>13914</v>
      </c>
    </row>
    <row r="26711">
      <c r="A26711" s="3" t="s">
        <v>43150</v>
      </c>
      <c r="B26711" s="3" t="s">
        <v>21606</v>
      </c>
      <c r="C26711" s="5" t="s">
        <v>221</v>
      </c>
      <c r="D26711" s="3" t="s">
        <v>614</v>
      </c>
      <c r="E26711" s="3" t="s">
        <v>118</v>
      </c>
      <c r="F26711" s="7">
        <v>46259.388865591514</v>
      </c>
      <c r="G26711" s="3" t="s">
        <v>13916</v>
      </c>
    </row>
    <row r="26712">
      <c r="A26712" s="3" t="s">
        <v>43151</v>
      </c>
      <c r="B26712" s="3" t="s">
        <v>21606</v>
      </c>
      <c r="C26712" s="5" t="s">
        <v>614</v>
      </c>
      <c r="D26712" s="3" t="s">
        <v>206</v>
      </c>
      <c r="E26712" s="3" t="s">
        <v>100</v>
      </c>
      <c r="F26712" s="7">
        <v>46259.39233781374</v>
      </c>
      <c r="G26712" s="3" t="s">
        <v>13919</v>
      </c>
    </row>
    <row r="26713">
      <c r="A26713" s="3" t="s">
        <v>43152</v>
      </c>
      <c r="B26713" s="3" t="s">
        <v>21606</v>
      </c>
      <c r="C26713" s="5" t="s">
        <v>206</v>
      </c>
      <c r="D26713" s="3" t="s">
        <v>68</v>
      </c>
      <c r="E26713" s="3" t="s">
        <v>100</v>
      </c>
      <c r="F26713" s="7">
        <v>46259.39581003596</v>
      </c>
      <c r="G26713" s="3" t="s">
        <v>13922</v>
      </c>
    </row>
    <row r="26714">
      <c r="A26714" s="3" t="s">
        <v>43153</v>
      </c>
      <c r="B26714" s="3" t="s">
        <v>21608</v>
      </c>
      <c r="C26714" s="5" t="s">
        <v>45</v>
      </c>
      <c r="D26714" s="3" t="s">
        <v>221</v>
      </c>
      <c r="E26714" s="3" t="s">
        <v>449</v>
      </c>
      <c r="F26714" s="7">
        <v>46259.4565682147</v>
      </c>
      <c r="G26714" s="3" t="s">
        <v>14870</v>
      </c>
    </row>
    <row r="26715">
      <c r="A26715" s="3" t="s">
        <v>43154</v>
      </c>
      <c r="B26715" s="3" t="s">
        <v>21608</v>
      </c>
      <c r="C26715" s="5" t="s">
        <v>221</v>
      </c>
      <c r="D26715" s="3" t="s">
        <v>614</v>
      </c>
      <c r="E26715" s="3" t="s">
        <v>118</v>
      </c>
      <c r="F26715" s="7">
        <v>46259.46004043692</v>
      </c>
      <c r="G26715" s="3" t="s">
        <v>18806</v>
      </c>
    </row>
    <row r="26716">
      <c r="A26716" s="3" t="s">
        <v>43155</v>
      </c>
      <c r="B26716" s="3" t="s">
        <v>21608</v>
      </c>
      <c r="C26716" s="5" t="s">
        <v>614</v>
      </c>
      <c r="D26716" s="3" t="s">
        <v>206</v>
      </c>
      <c r="E26716" s="3" t="s">
        <v>100</v>
      </c>
      <c r="F26716" s="7">
        <v>46259.463512659146</v>
      </c>
      <c r="G26716" s="3" t="s">
        <v>18809</v>
      </c>
    </row>
    <row r="26717">
      <c r="A26717" s="3" t="s">
        <v>43156</v>
      </c>
      <c r="B26717" s="3" t="s">
        <v>21608</v>
      </c>
      <c r="C26717" s="5" t="s">
        <v>206</v>
      </c>
      <c r="D26717" s="3" t="s">
        <v>68</v>
      </c>
      <c r="E26717" s="3" t="s">
        <v>100</v>
      </c>
      <c r="F26717" s="7">
        <v>46259.466984881365</v>
      </c>
      <c r="G26717" s="3" t="s">
        <v>18811</v>
      </c>
    </row>
    <row r="26718">
      <c r="A26718" s="3" t="s">
        <v>43157</v>
      </c>
      <c r="B26718" s="3" t="s">
        <v>21611</v>
      </c>
      <c r="C26718" s="5" t="s">
        <v>45</v>
      </c>
      <c r="D26718" s="3" t="s">
        <v>221</v>
      </c>
      <c r="E26718" s="3" t="s">
        <v>593</v>
      </c>
      <c r="F26718" s="7">
        <v>46259.52774306012</v>
      </c>
      <c r="G26718" s="3" t="s">
        <v>5623</v>
      </c>
    </row>
    <row r="26719">
      <c r="A26719" s="3" t="s">
        <v>43158</v>
      </c>
      <c r="B26719" s="3" t="s">
        <v>21611</v>
      </c>
      <c r="C26719" s="5" t="s">
        <v>221</v>
      </c>
      <c r="D26719" s="3" t="s">
        <v>614</v>
      </c>
      <c r="E26719" s="3" t="s">
        <v>118</v>
      </c>
      <c r="F26719" s="7">
        <v>46259.53121528234</v>
      </c>
      <c r="G26719" s="3" t="s">
        <v>7199</v>
      </c>
    </row>
    <row r="26720">
      <c r="A26720" s="3" t="s">
        <v>43159</v>
      </c>
      <c r="B26720" s="3" t="s">
        <v>21611</v>
      </c>
      <c r="C26720" s="5" t="s">
        <v>614</v>
      </c>
      <c r="D26720" s="3" t="s">
        <v>206</v>
      </c>
      <c r="E26720" s="3" t="s">
        <v>100</v>
      </c>
      <c r="F26720" s="7">
        <v>46259.534687504565</v>
      </c>
      <c r="G26720" s="3" t="s">
        <v>7201</v>
      </c>
    </row>
    <row r="26721">
      <c r="A26721" s="3" t="s">
        <v>43160</v>
      </c>
      <c r="B26721" s="3" t="s">
        <v>21611</v>
      </c>
      <c r="C26721" s="5" t="s">
        <v>206</v>
      </c>
      <c r="D26721" s="3" t="s">
        <v>68</v>
      </c>
      <c r="E26721" s="3" t="s">
        <v>100</v>
      </c>
      <c r="F26721" s="7">
        <v>46259.538159726784</v>
      </c>
      <c r="G26721" s="3" t="s">
        <v>7204</v>
      </c>
    </row>
    <row r="26722">
      <c r="A26722" s="3" t="s">
        <v>43161</v>
      </c>
      <c r="B26722" s="3" t="s">
        <v>21613</v>
      </c>
      <c r="C26722" s="5" t="s">
        <v>45</v>
      </c>
      <c r="D26722" s="3" t="s">
        <v>221</v>
      </c>
      <c r="E26722" s="3" t="s">
        <v>211</v>
      </c>
      <c r="F26722" s="7">
        <v>46259.59891790554</v>
      </c>
      <c r="G26722" s="3" t="s">
        <v>5696</v>
      </c>
    </row>
    <row r="26723">
      <c r="A26723" s="3" t="s">
        <v>43162</v>
      </c>
      <c r="B26723" s="3" t="s">
        <v>21613</v>
      </c>
      <c r="C26723" s="5" t="s">
        <v>221</v>
      </c>
      <c r="D26723" s="3" t="s">
        <v>614</v>
      </c>
      <c r="E26723" s="3" t="s">
        <v>118</v>
      </c>
      <c r="F26723" s="7">
        <v>46259.60239012776</v>
      </c>
      <c r="G26723" s="3" t="s">
        <v>5699</v>
      </c>
    </row>
    <row r="26724">
      <c r="A26724" s="3" t="s">
        <v>43163</v>
      </c>
      <c r="B26724" s="3" t="s">
        <v>21613</v>
      </c>
      <c r="C26724" s="5" t="s">
        <v>614</v>
      </c>
      <c r="D26724" s="3" t="s">
        <v>206</v>
      </c>
      <c r="E26724" s="3" t="s">
        <v>100</v>
      </c>
      <c r="F26724" s="7">
        <v>46259.605862349985</v>
      </c>
      <c r="G26724" s="3" t="s">
        <v>5701</v>
      </c>
    </row>
    <row r="26725">
      <c r="A26725" s="3" t="s">
        <v>43164</v>
      </c>
      <c r="B26725" s="3" t="s">
        <v>21613</v>
      </c>
      <c r="C26725" s="5" t="s">
        <v>206</v>
      </c>
      <c r="D26725" s="3" t="s">
        <v>68</v>
      </c>
      <c r="E26725" s="3" t="s">
        <v>100</v>
      </c>
      <c r="F26725" s="7">
        <v>46259.609334572204</v>
      </c>
      <c r="G26725" s="3" t="s">
        <v>5704</v>
      </c>
    </row>
    <row r="26726">
      <c r="A26726" s="3" t="s">
        <v>43165</v>
      </c>
      <c r="B26726" s="3" t="s">
        <v>21616</v>
      </c>
      <c r="C26726" s="5" t="s">
        <v>45</v>
      </c>
      <c r="D26726" s="3" t="s">
        <v>221</v>
      </c>
      <c r="E26726" s="3" t="s">
        <v>260</v>
      </c>
      <c r="F26726" s="7">
        <v>46259.67009275095</v>
      </c>
      <c r="G26726" s="3" t="s">
        <v>19125</v>
      </c>
    </row>
    <row r="26727">
      <c r="A26727" s="3" t="s">
        <v>43166</v>
      </c>
      <c r="B26727" s="3" t="s">
        <v>21616</v>
      </c>
      <c r="C26727" s="5" t="s">
        <v>221</v>
      </c>
      <c r="D26727" s="3" t="s">
        <v>614</v>
      </c>
      <c r="E26727" s="3" t="s">
        <v>118</v>
      </c>
      <c r="F26727" s="7">
        <v>46259.67356497317</v>
      </c>
      <c r="G26727" s="3" t="s">
        <v>19128</v>
      </c>
    </row>
    <row r="26728">
      <c r="A26728" s="3" t="s">
        <v>43167</v>
      </c>
      <c r="B26728" s="3" t="s">
        <v>21616</v>
      </c>
      <c r="C26728" s="5" t="s">
        <v>614</v>
      </c>
      <c r="D26728" s="3" t="s">
        <v>206</v>
      </c>
      <c r="E26728" s="3" t="s">
        <v>100</v>
      </c>
      <c r="F26728" s="7">
        <v>46259.6770371954</v>
      </c>
      <c r="G26728" s="3" t="s">
        <v>19131</v>
      </c>
    </row>
    <row r="26729">
      <c r="A26729" s="3" t="s">
        <v>43168</v>
      </c>
      <c r="B26729" s="3" t="s">
        <v>21616</v>
      </c>
      <c r="C26729" s="5" t="s">
        <v>206</v>
      </c>
      <c r="D26729" s="3" t="s">
        <v>68</v>
      </c>
      <c r="E26729" s="3" t="s">
        <v>100</v>
      </c>
      <c r="F26729" s="7">
        <v>46259.680509417616</v>
      </c>
      <c r="G26729" s="3" t="s">
        <v>19134</v>
      </c>
    </row>
    <row r="26730">
      <c r="A26730" s="3" t="s">
        <v>43169</v>
      </c>
      <c r="B26730" s="3" t="s">
        <v>21618</v>
      </c>
      <c r="C26730" s="5" t="s">
        <v>45</v>
      </c>
      <c r="D26730" s="3" t="s">
        <v>221</v>
      </c>
      <c r="E26730" s="3" t="s">
        <v>266</v>
      </c>
      <c r="F26730" s="7">
        <v>46259.741267596364</v>
      </c>
      <c r="G26730" s="3" t="s">
        <v>14007</v>
      </c>
    </row>
    <row r="26731">
      <c r="A26731" s="3" t="s">
        <v>43170</v>
      </c>
      <c r="B26731" s="3" t="s">
        <v>21618</v>
      </c>
      <c r="C26731" s="5" t="s">
        <v>221</v>
      </c>
      <c r="D26731" s="3" t="s">
        <v>614</v>
      </c>
      <c r="E26731" s="3" t="s">
        <v>118</v>
      </c>
      <c r="F26731" s="7">
        <v>46259.74473981858</v>
      </c>
      <c r="G26731" s="3" t="s">
        <v>14010</v>
      </c>
    </row>
    <row r="26732">
      <c r="A26732" s="3" t="s">
        <v>43171</v>
      </c>
      <c r="B26732" s="3" t="s">
        <v>21618</v>
      </c>
      <c r="C26732" s="5" t="s">
        <v>614</v>
      </c>
      <c r="D26732" s="3" t="s">
        <v>206</v>
      </c>
      <c r="E26732" s="3" t="s">
        <v>100</v>
      </c>
      <c r="F26732" s="7">
        <v>46259.74821204081</v>
      </c>
      <c r="G26732" s="3" t="s">
        <v>14013</v>
      </c>
    </row>
    <row r="26733">
      <c r="A26733" s="3" t="s">
        <v>43172</v>
      </c>
      <c r="B26733" s="3" t="s">
        <v>21618</v>
      </c>
      <c r="C26733" s="5" t="s">
        <v>206</v>
      </c>
      <c r="D26733" s="3" t="s">
        <v>68</v>
      </c>
      <c r="E26733" s="3" t="s">
        <v>100</v>
      </c>
      <c r="F26733" s="7">
        <v>46259.75168426303</v>
      </c>
      <c r="G26733" s="3" t="s">
        <v>14015</v>
      </c>
    </row>
    <row r="26734">
      <c r="A26734" s="3" t="s">
        <v>43173</v>
      </c>
      <c r="B26734" s="3" t="s">
        <v>21621</v>
      </c>
      <c r="C26734" s="5" t="s">
        <v>45</v>
      </c>
      <c r="D26734" s="3" t="s">
        <v>221</v>
      </c>
      <c r="E26734" s="3" t="s">
        <v>175</v>
      </c>
      <c r="F26734" s="7">
        <v>46259.812442441784</v>
      </c>
      <c r="G26734" s="3" t="s">
        <v>22189</v>
      </c>
    </row>
    <row r="26735">
      <c r="A26735" s="3" t="s">
        <v>43174</v>
      </c>
      <c r="B26735" s="3" t="s">
        <v>21621</v>
      </c>
      <c r="C26735" s="5" t="s">
        <v>221</v>
      </c>
      <c r="D26735" s="3" t="s">
        <v>614</v>
      </c>
      <c r="E26735" s="3" t="s">
        <v>118</v>
      </c>
      <c r="F26735" s="7">
        <v>46259.815914664</v>
      </c>
      <c r="G26735" s="3" t="s">
        <v>22192</v>
      </c>
    </row>
    <row r="26736">
      <c r="A26736" s="3" t="s">
        <v>43175</v>
      </c>
      <c r="B26736" s="3" t="s">
        <v>21621</v>
      </c>
      <c r="C26736" s="5" t="s">
        <v>614</v>
      </c>
      <c r="D26736" s="3" t="s">
        <v>206</v>
      </c>
      <c r="E26736" s="3" t="s">
        <v>100</v>
      </c>
      <c r="F26736" s="7">
        <v>46259.81938688623</v>
      </c>
      <c r="G26736" s="3" t="s">
        <v>22195</v>
      </c>
    </row>
    <row r="26737">
      <c r="A26737" s="3" t="s">
        <v>43176</v>
      </c>
      <c r="B26737" s="3" t="s">
        <v>21621</v>
      </c>
      <c r="C26737" s="5" t="s">
        <v>206</v>
      </c>
      <c r="D26737" s="3" t="s">
        <v>68</v>
      </c>
      <c r="E26737" s="3" t="s">
        <v>100</v>
      </c>
      <c r="F26737" s="7">
        <v>46259.82285910845</v>
      </c>
      <c r="G26737" s="3" t="s">
        <v>22198</v>
      </c>
    </row>
    <row r="26738">
      <c r="A26738" s="3" t="s">
        <v>43177</v>
      </c>
      <c r="B26738" s="3" t="s">
        <v>21625</v>
      </c>
      <c r="C26738" s="5" t="s">
        <v>45</v>
      </c>
      <c r="D26738" s="3" t="s">
        <v>221</v>
      </c>
      <c r="E26738" s="3" t="s">
        <v>282</v>
      </c>
      <c r="F26738" s="7">
        <v>46259.883617287196</v>
      </c>
      <c r="G26738" s="3" t="s">
        <v>13137</v>
      </c>
    </row>
    <row r="26739">
      <c r="A26739" s="3" t="s">
        <v>43178</v>
      </c>
      <c r="B26739" s="3" t="s">
        <v>21625</v>
      </c>
      <c r="C26739" s="5" t="s">
        <v>221</v>
      </c>
      <c r="D26739" s="3" t="s">
        <v>181</v>
      </c>
      <c r="E26739" s="3" t="s">
        <v>118</v>
      </c>
      <c r="F26739" s="7">
        <v>46259.887089509415</v>
      </c>
      <c r="G26739" s="3" t="s">
        <v>43179</v>
      </c>
    </row>
    <row r="26740">
      <c r="A26740" s="3" t="s">
        <v>43180</v>
      </c>
      <c r="B26740" s="3" t="s">
        <v>21629</v>
      </c>
      <c r="C26740" s="5" t="s">
        <v>45</v>
      </c>
      <c r="D26740" s="3" t="s">
        <v>221</v>
      </c>
      <c r="E26740" s="3" t="s">
        <v>424</v>
      </c>
      <c r="F26740" s="7">
        <v>46259.95479213261</v>
      </c>
      <c r="G26740" s="3" t="s">
        <v>14029</v>
      </c>
    </row>
    <row r="26741">
      <c r="A26741" s="3" t="s">
        <v>43181</v>
      </c>
      <c r="B26741" s="3" t="s">
        <v>21629</v>
      </c>
      <c r="C26741" s="5" t="s">
        <v>221</v>
      </c>
      <c r="D26741" s="3" t="s">
        <v>614</v>
      </c>
      <c r="E26741" s="3" t="s">
        <v>118</v>
      </c>
      <c r="F26741" s="7">
        <v>46259.95826435483</v>
      </c>
      <c r="G26741" s="3" t="s">
        <v>14032</v>
      </c>
    </row>
    <row r="26742">
      <c r="A26742" s="3" t="s">
        <v>43182</v>
      </c>
      <c r="B26742" s="3" t="s">
        <v>21629</v>
      </c>
      <c r="C26742" s="5" t="s">
        <v>614</v>
      </c>
      <c r="D26742" s="3" t="s">
        <v>206</v>
      </c>
      <c r="E26742" s="3" t="s">
        <v>100</v>
      </c>
      <c r="F26742" s="7">
        <v>46259.961736577054</v>
      </c>
      <c r="G26742" s="3" t="s">
        <v>14035</v>
      </c>
    </row>
    <row r="26743">
      <c r="A26743" s="3" t="s">
        <v>43183</v>
      </c>
      <c r="B26743" s="3" t="s">
        <v>21629</v>
      </c>
      <c r="C26743" s="5" t="s">
        <v>206</v>
      </c>
      <c r="D26743" s="3" t="s">
        <v>68</v>
      </c>
      <c r="E26743" s="3" t="s">
        <v>100</v>
      </c>
      <c r="F26743" s="7">
        <v>46259.96520879927</v>
      </c>
      <c r="G26743" s="3" t="s">
        <v>14038</v>
      </c>
    </row>
    <row r="26744">
      <c r="A26744" s="3" t="s">
        <v>43184</v>
      </c>
      <c r="B26744" s="3" t="s">
        <v>21632</v>
      </c>
      <c r="C26744" s="5" t="s">
        <v>45</v>
      </c>
      <c r="D26744" s="3" t="s">
        <v>221</v>
      </c>
      <c r="E26744" s="3" t="s">
        <v>704</v>
      </c>
      <c r="F26744" s="7">
        <v>46260.02596697803</v>
      </c>
      <c r="G26744" s="3" t="s">
        <v>6231</v>
      </c>
    </row>
    <row r="26745">
      <c r="A26745" s="3" t="s">
        <v>43185</v>
      </c>
      <c r="B26745" s="3" t="s">
        <v>21632</v>
      </c>
      <c r="C26745" s="5" t="s">
        <v>221</v>
      </c>
      <c r="D26745" s="3" t="s">
        <v>614</v>
      </c>
      <c r="E26745" s="3" t="s">
        <v>118</v>
      </c>
      <c r="F26745" s="7">
        <v>46260.02943920025</v>
      </c>
      <c r="G26745" s="3" t="s">
        <v>6234</v>
      </c>
    </row>
    <row r="26746">
      <c r="A26746" s="3" t="s">
        <v>43186</v>
      </c>
      <c r="B26746" s="3" t="s">
        <v>21632</v>
      </c>
      <c r="C26746" s="5" t="s">
        <v>614</v>
      </c>
      <c r="D26746" s="3" t="s">
        <v>206</v>
      </c>
      <c r="E26746" s="3" t="s">
        <v>100</v>
      </c>
      <c r="F26746" s="7">
        <v>46260.03291142247</v>
      </c>
      <c r="G26746" s="3" t="s">
        <v>6237</v>
      </c>
    </row>
    <row r="26747">
      <c r="A26747" s="3" t="s">
        <v>43187</v>
      </c>
      <c r="B26747" s="3" t="s">
        <v>21632</v>
      </c>
      <c r="C26747" s="5" t="s">
        <v>206</v>
      </c>
      <c r="D26747" s="3" t="s">
        <v>68</v>
      </c>
      <c r="E26747" s="3" t="s">
        <v>100</v>
      </c>
      <c r="F26747" s="7">
        <v>46260.03638364469</v>
      </c>
      <c r="G26747" s="3" t="s">
        <v>6240</v>
      </c>
    </row>
    <row r="26748">
      <c r="A26748" s="3" t="s">
        <v>43188</v>
      </c>
      <c r="B26748" s="3" t="s">
        <v>21634</v>
      </c>
      <c r="C26748" s="5" t="s">
        <v>45</v>
      </c>
      <c r="D26748" s="3" t="s">
        <v>221</v>
      </c>
      <c r="E26748" s="3" t="s">
        <v>669</v>
      </c>
      <c r="F26748" s="7">
        <v>46260.09714182345</v>
      </c>
      <c r="G26748" s="3" t="s">
        <v>7670</v>
      </c>
    </row>
    <row r="26749">
      <c r="A26749" s="3" t="s">
        <v>43189</v>
      </c>
      <c r="B26749" s="3" t="s">
        <v>21634</v>
      </c>
      <c r="C26749" s="5" t="s">
        <v>221</v>
      </c>
      <c r="D26749" s="3" t="s">
        <v>614</v>
      </c>
      <c r="E26749" s="3" t="s">
        <v>118</v>
      </c>
      <c r="F26749" s="7">
        <v>46260.10061404567</v>
      </c>
      <c r="G26749" s="3" t="s">
        <v>7673</v>
      </c>
    </row>
    <row r="26750">
      <c r="A26750" s="3" t="s">
        <v>43190</v>
      </c>
      <c r="B26750" s="3" t="s">
        <v>21634</v>
      </c>
      <c r="C26750" s="5" t="s">
        <v>614</v>
      </c>
      <c r="D26750" s="3" t="s">
        <v>206</v>
      </c>
      <c r="E26750" s="3" t="s">
        <v>100</v>
      </c>
      <c r="F26750" s="7">
        <v>46260.10408626789</v>
      </c>
      <c r="G26750" s="3" t="s">
        <v>7676</v>
      </c>
    </row>
    <row r="26751">
      <c r="A26751" s="3" t="s">
        <v>43191</v>
      </c>
      <c r="B26751" s="3" t="s">
        <v>21634</v>
      </c>
      <c r="C26751" s="5" t="s">
        <v>206</v>
      </c>
      <c r="D26751" s="3" t="s">
        <v>68</v>
      </c>
      <c r="E26751" s="3" t="s">
        <v>100</v>
      </c>
      <c r="F26751" s="7">
        <v>46260.10755849011</v>
      </c>
      <c r="G26751" s="3" t="s">
        <v>7679</v>
      </c>
    </row>
    <row r="26752">
      <c r="A26752" s="3" t="s">
        <v>43192</v>
      </c>
      <c r="B26752" s="3" t="s">
        <v>21636</v>
      </c>
      <c r="C26752" s="5" t="s">
        <v>45</v>
      </c>
      <c r="D26752" s="3" t="s">
        <v>221</v>
      </c>
      <c r="E26752" s="3" t="s">
        <v>1021</v>
      </c>
      <c r="F26752" s="7">
        <v>46260.16831666885</v>
      </c>
      <c r="G26752" s="3" t="s">
        <v>17401</v>
      </c>
    </row>
    <row r="26753">
      <c r="A26753" s="3" t="s">
        <v>43193</v>
      </c>
      <c r="B26753" s="3" t="s">
        <v>21636</v>
      </c>
      <c r="C26753" s="5" t="s">
        <v>221</v>
      </c>
      <c r="D26753" s="3" t="s">
        <v>614</v>
      </c>
      <c r="E26753" s="3" t="s">
        <v>118</v>
      </c>
      <c r="F26753" s="7">
        <v>46260.17178889107</v>
      </c>
      <c r="G26753" s="3" t="s">
        <v>17404</v>
      </c>
    </row>
    <row r="26754">
      <c r="A26754" s="3" t="s">
        <v>43194</v>
      </c>
      <c r="B26754" s="3" t="s">
        <v>21636</v>
      </c>
      <c r="C26754" s="5" t="s">
        <v>614</v>
      </c>
      <c r="D26754" s="3" t="s">
        <v>206</v>
      </c>
      <c r="E26754" s="3" t="s">
        <v>100</v>
      </c>
      <c r="F26754" s="7">
        <v>46260.1752611133</v>
      </c>
      <c r="G26754" s="3" t="s">
        <v>17407</v>
      </c>
    </row>
    <row r="26755">
      <c r="A26755" s="3" t="s">
        <v>43195</v>
      </c>
      <c r="B26755" s="3" t="s">
        <v>21636</v>
      </c>
      <c r="C26755" s="5" t="s">
        <v>206</v>
      </c>
      <c r="D26755" s="3" t="s">
        <v>68</v>
      </c>
      <c r="E26755" s="3" t="s">
        <v>100</v>
      </c>
      <c r="F26755" s="7">
        <v>46260.17873333552</v>
      </c>
      <c r="G26755" s="3" t="s">
        <v>17410</v>
      </c>
    </row>
    <row r="26756">
      <c r="A26756" s="3" t="s">
        <v>43196</v>
      </c>
      <c r="B26756" s="3" t="s">
        <v>21638</v>
      </c>
      <c r="C26756" s="5" t="s">
        <v>45</v>
      </c>
      <c r="D26756" s="3" t="s">
        <v>221</v>
      </c>
      <c r="E26756" s="3" t="s">
        <v>481</v>
      </c>
      <c r="F26756" s="7">
        <v>46260.23949151427</v>
      </c>
      <c r="G26756" s="3" t="s">
        <v>24737</v>
      </c>
    </row>
    <row r="26757">
      <c r="A26757" s="3" t="s">
        <v>43197</v>
      </c>
      <c r="B26757" s="3" t="s">
        <v>21638</v>
      </c>
      <c r="C26757" s="5" t="s">
        <v>221</v>
      </c>
      <c r="D26757" s="3" t="s">
        <v>614</v>
      </c>
      <c r="E26757" s="3" t="s">
        <v>118</v>
      </c>
      <c r="F26757" s="7">
        <v>46260.24296373649</v>
      </c>
      <c r="G26757" s="3" t="s">
        <v>24739</v>
      </c>
    </row>
    <row r="26758">
      <c r="A26758" s="3" t="s">
        <v>43198</v>
      </c>
      <c r="B26758" s="3" t="s">
        <v>21638</v>
      </c>
      <c r="C26758" s="5" t="s">
        <v>614</v>
      </c>
      <c r="D26758" s="3" t="s">
        <v>206</v>
      </c>
      <c r="E26758" s="3" t="s">
        <v>100</v>
      </c>
      <c r="F26758" s="7">
        <v>46260.24643595872</v>
      </c>
      <c r="G26758" s="3" t="s">
        <v>24741</v>
      </c>
    </row>
    <row r="26759">
      <c r="A26759" s="3" t="s">
        <v>43199</v>
      </c>
      <c r="B26759" s="3" t="s">
        <v>21638</v>
      </c>
      <c r="C26759" s="5" t="s">
        <v>206</v>
      </c>
      <c r="D26759" s="3" t="s">
        <v>68</v>
      </c>
      <c r="E26759" s="3" t="s">
        <v>100</v>
      </c>
      <c r="F26759" s="7">
        <v>46260.24990818094</v>
      </c>
      <c r="G26759" s="3" t="s">
        <v>24743</v>
      </c>
    </row>
    <row r="26760">
      <c r="A26760" s="3" t="s">
        <v>43200</v>
      </c>
      <c r="B26760" s="3" t="s">
        <v>21640</v>
      </c>
      <c r="C26760" s="5" t="s">
        <v>45</v>
      </c>
      <c r="D26760" s="3" t="s">
        <v>221</v>
      </c>
      <c r="E26760" s="3" t="s">
        <v>536</v>
      </c>
      <c r="F26760" s="7">
        <v>46260.310666359685</v>
      </c>
      <c r="G26760" s="3" t="s">
        <v>16504</v>
      </c>
    </row>
    <row r="26761">
      <c r="A26761" s="3" t="s">
        <v>43201</v>
      </c>
      <c r="B26761" s="3" t="s">
        <v>21640</v>
      </c>
      <c r="C26761" s="5" t="s">
        <v>221</v>
      </c>
      <c r="D26761" s="3" t="s">
        <v>614</v>
      </c>
      <c r="E26761" s="3" t="s">
        <v>118</v>
      </c>
      <c r="F26761" s="7">
        <v>46260.3141385819</v>
      </c>
      <c r="G26761" s="3" t="s">
        <v>16644</v>
      </c>
    </row>
    <row r="26762">
      <c r="A26762" s="3" t="s">
        <v>43202</v>
      </c>
      <c r="B26762" s="3" t="s">
        <v>21640</v>
      </c>
      <c r="C26762" s="5" t="s">
        <v>614</v>
      </c>
      <c r="D26762" s="3" t="s">
        <v>206</v>
      </c>
      <c r="E26762" s="3" t="s">
        <v>100</v>
      </c>
      <c r="F26762" s="7">
        <v>46260.31761080413</v>
      </c>
      <c r="G26762" s="3" t="s">
        <v>16647</v>
      </c>
    </row>
    <row r="26763">
      <c r="A26763" s="3" t="s">
        <v>43203</v>
      </c>
      <c r="B26763" s="3" t="s">
        <v>21640</v>
      </c>
      <c r="C26763" s="5" t="s">
        <v>206</v>
      </c>
      <c r="D26763" s="3" t="s">
        <v>68</v>
      </c>
      <c r="E26763" s="3" t="s">
        <v>100</v>
      </c>
      <c r="F26763" s="7">
        <v>46260.32108302635</v>
      </c>
      <c r="G26763" s="3" t="s">
        <v>16649</v>
      </c>
    </row>
    <row r="26764">
      <c r="A26764" s="3" t="s">
        <v>43204</v>
      </c>
      <c r="B26764" s="3" t="s">
        <v>21645</v>
      </c>
      <c r="C26764" s="5" t="s">
        <v>45</v>
      </c>
      <c r="D26764" s="3" t="s">
        <v>221</v>
      </c>
      <c r="E26764" s="3" t="s">
        <v>165</v>
      </c>
      <c r="F26764" s="7">
        <v>46260.381841205104</v>
      </c>
      <c r="G26764" s="3" t="s">
        <v>12042</v>
      </c>
    </row>
    <row r="26765">
      <c r="A26765" s="3" t="s">
        <v>43205</v>
      </c>
      <c r="B26765" s="3" t="s">
        <v>21645</v>
      </c>
      <c r="C26765" s="5" t="s">
        <v>221</v>
      </c>
      <c r="D26765" s="3" t="s">
        <v>614</v>
      </c>
      <c r="E26765" s="3" t="s">
        <v>118</v>
      </c>
      <c r="F26765" s="7">
        <v>46260.38531342732</v>
      </c>
      <c r="G26765" s="3" t="s">
        <v>12045</v>
      </c>
    </row>
    <row r="26766">
      <c r="A26766" s="3" t="s">
        <v>43206</v>
      </c>
      <c r="B26766" s="3" t="s">
        <v>21645</v>
      </c>
      <c r="C26766" s="5" t="s">
        <v>614</v>
      </c>
      <c r="D26766" s="3" t="s">
        <v>206</v>
      </c>
      <c r="E26766" s="3" t="s">
        <v>100</v>
      </c>
      <c r="F26766" s="7">
        <v>46260.38878564955</v>
      </c>
      <c r="G26766" s="3" t="s">
        <v>12048</v>
      </c>
    </row>
    <row r="26767">
      <c r="A26767" s="3" t="s">
        <v>43207</v>
      </c>
      <c r="B26767" s="3" t="s">
        <v>21645</v>
      </c>
      <c r="C26767" s="5" t="s">
        <v>206</v>
      </c>
      <c r="D26767" s="3" t="s">
        <v>68</v>
      </c>
      <c r="E26767" s="3" t="s">
        <v>100</v>
      </c>
      <c r="F26767" s="7">
        <v>46260.39225787177</v>
      </c>
      <c r="G26767" s="3" t="s">
        <v>12051</v>
      </c>
    </row>
    <row r="26768">
      <c r="A26768" s="3" t="s">
        <v>43208</v>
      </c>
      <c r="B26768" s="3" t="s">
        <v>21648</v>
      </c>
      <c r="C26768" s="5" t="s">
        <v>45</v>
      </c>
      <c r="D26768" s="3" t="s">
        <v>221</v>
      </c>
      <c r="E26768" s="3" t="s">
        <v>640</v>
      </c>
      <c r="F26768" s="7">
        <v>46260.45301605052</v>
      </c>
      <c r="G26768" s="3" t="s">
        <v>16212</v>
      </c>
    </row>
    <row r="26769">
      <c r="A26769" s="3" t="s">
        <v>43209</v>
      </c>
      <c r="B26769" s="3" t="s">
        <v>21648</v>
      </c>
      <c r="C26769" s="5" t="s">
        <v>221</v>
      </c>
      <c r="D26769" s="3" t="s">
        <v>614</v>
      </c>
      <c r="E26769" s="3" t="s">
        <v>118</v>
      </c>
      <c r="F26769" s="7">
        <v>46260.456488272735</v>
      </c>
      <c r="G26769" s="3" t="s">
        <v>16215</v>
      </c>
    </row>
    <row r="26770">
      <c r="A26770" s="3" t="s">
        <v>43210</v>
      </c>
      <c r="B26770" s="3" t="s">
        <v>21648</v>
      </c>
      <c r="C26770" s="5" t="s">
        <v>614</v>
      </c>
      <c r="D26770" s="3" t="s">
        <v>206</v>
      </c>
      <c r="E26770" s="3" t="s">
        <v>100</v>
      </c>
      <c r="F26770" s="7">
        <v>46260.45996049496</v>
      </c>
      <c r="G26770" s="3" t="s">
        <v>16218</v>
      </c>
    </row>
    <row r="26771">
      <c r="A26771" s="3" t="s">
        <v>43211</v>
      </c>
      <c r="B26771" s="3" t="s">
        <v>21648</v>
      </c>
      <c r="C26771" s="5" t="s">
        <v>206</v>
      </c>
      <c r="D26771" s="3" t="s">
        <v>68</v>
      </c>
      <c r="E26771" s="3" t="s">
        <v>100</v>
      </c>
      <c r="F26771" s="7">
        <v>46260.46343271718</v>
      </c>
      <c r="G26771" s="3" t="s">
        <v>16220</v>
      </c>
    </row>
    <row r="26772">
      <c r="A26772" s="3" t="s">
        <v>43212</v>
      </c>
      <c r="B26772" s="3" t="s">
        <v>21651</v>
      </c>
      <c r="C26772" s="5" t="s">
        <v>45</v>
      </c>
      <c r="D26772" s="3" t="s">
        <v>221</v>
      </c>
      <c r="E26772" s="3" t="s">
        <v>702</v>
      </c>
      <c r="F26772" s="7">
        <v>46260.524190895936</v>
      </c>
      <c r="G26772" s="3" t="s">
        <v>34229</v>
      </c>
    </row>
    <row r="26773">
      <c r="A26773" s="3" t="s">
        <v>43213</v>
      </c>
      <c r="B26773" s="3" t="s">
        <v>21651</v>
      </c>
      <c r="C26773" s="5" t="s">
        <v>221</v>
      </c>
      <c r="D26773" s="3" t="s">
        <v>614</v>
      </c>
      <c r="E26773" s="3" t="s">
        <v>118</v>
      </c>
      <c r="F26773" s="7">
        <v>46260.527663118155</v>
      </c>
      <c r="G26773" s="3" t="s">
        <v>34231</v>
      </c>
    </row>
    <row r="26774">
      <c r="A26774" s="3" t="s">
        <v>43214</v>
      </c>
      <c r="B26774" s="3" t="s">
        <v>21651</v>
      </c>
      <c r="C26774" s="5" t="s">
        <v>614</v>
      </c>
      <c r="D26774" s="3" t="s">
        <v>206</v>
      </c>
      <c r="E26774" s="3" t="s">
        <v>100</v>
      </c>
      <c r="F26774" s="7">
        <v>46260.53113534038</v>
      </c>
      <c r="G26774" s="3" t="s">
        <v>34233</v>
      </c>
    </row>
    <row r="26775">
      <c r="A26775" s="3" t="s">
        <v>43215</v>
      </c>
      <c r="B26775" s="3" t="s">
        <v>21651</v>
      </c>
      <c r="C26775" s="5" t="s">
        <v>206</v>
      </c>
      <c r="D26775" s="3" t="s">
        <v>68</v>
      </c>
      <c r="E26775" s="3" t="s">
        <v>100</v>
      </c>
      <c r="F26775" s="7">
        <v>46260.5346075626</v>
      </c>
      <c r="G26775" s="3" t="s">
        <v>34235</v>
      </c>
    </row>
    <row r="26776">
      <c r="A26776" s="3" t="s">
        <v>43216</v>
      </c>
      <c r="B26776" s="3" t="s">
        <v>21654</v>
      </c>
      <c r="C26776" s="5" t="s">
        <v>45</v>
      </c>
      <c r="D26776" s="3" t="s">
        <v>221</v>
      </c>
      <c r="E26776" s="3" t="s">
        <v>189</v>
      </c>
      <c r="F26776" s="7">
        <v>46260.59536574135</v>
      </c>
      <c r="G26776" s="3" t="s">
        <v>9589</v>
      </c>
    </row>
    <row r="26777">
      <c r="A26777" s="3" t="s">
        <v>43217</v>
      </c>
      <c r="B26777" s="3" t="s">
        <v>21654</v>
      </c>
      <c r="C26777" s="5" t="s">
        <v>221</v>
      </c>
      <c r="D26777" s="3" t="s">
        <v>614</v>
      </c>
      <c r="E26777" s="3" t="s">
        <v>118</v>
      </c>
      <c r="F26777" s="7">
        <v>46260.59883796357</v>
      </c>
      <c r="G26777" s="3" t="s">
        <v>23663</v>
      </c>
    </row>
    <row r="26778">
      <c r="A26778" s="3" t="s">
        <v>43218</v>
      </c>
      <c r="B26778" s="3" t="s">
        <v>21654</v>
      </c>
      <c r="C26778" s="5" t="s">
        <v>614</v>
      </c>
      <c r="D26778" s="3" t="s">
        <v>206</v>
      </c>
      <c r="E26778" s="3" t="s">
        <v>100</v>
      </c>
      <c r="F26778" s="7">
        <v>46260.60231018579</v>
      </c>
      <c r="G26778" s="3" t="s">
        <v>23665</v>
      </c>
    </row>
    <row r="26779">
      <c r="A26779" s="3" t="s">
        <v>43219</v>
      </c>
      <c r="B26779" s="3" t="s">
        <v>21654</v>
      </c>
      <c r="C26779" s="5" t="s">
        <v>206</v>
      </c>
      <c r="D26779" s="3" t="s">
        <v>68</v>
      </c>
      <c r="E26779" s="3" t="s">
        <v>100</v>
      </c>
      <c r="F26779" s="7">
        <v>46260.60578240801</v>
      </c>
      <c r="G26779" s="3" t="s">
        <v>23667</v>
      </c>
    </row>
    <row r="26780">
      <c r="A26780" s="3" t="s">
        <v>43220</v>
      </c>
      <c r="B26780" s="3" t="s">
        <v>21657</v>
      </c>
      <c r="C26780" s="5" t="s">
        <v>45</v>
      </c>
      <c r="D26780" s="3" t="s">
        <v>221</v>
      </c>
      <c r="E26780" s="3" t="s">
        <v>903</v>
      </c>
      <c r="F26780" s="7">
        <v>46260.66654058676</v>
      </c>
      <c r="G26780" s="3" t="s">
        <v>14886</v>
      </c>
    </row>
    <row r="26781">
      <c r="A26781" s="3" t="s">
        <v>43221</v>
      </c>
      <c r="B26781" s="3" t="s">
        <v>21657</v>
      </c>
      <c r="C26781" s="5" t="s">
        <v>221</v>
      </c>
      <c r="D26781" s="3" t="s">
        <v>614</v>
      </c>
      <c r="E26781" s="3" t="s">
        <v>118</v>
      </c>
      <c r="F26781" s="7">
        <v>46260.67001280898</v>
      </c>
      <c r="G26781" s="3" t="s">
        <v>14889</v>
      </c>
    </row>
    <row r="26782">
      <c r="A26782" s="3" t="s">
        <v>43222</v>
      </c>
      <c r="B26782" s="3" t="s">
        <v>21657</v>
      </c>
      <c r="C26782" s="5" t="s">
        <v>614</v>
      </c>
      <c r="D26782" s="3" t="s">
        <v>206</v>
      </c>
      <c r="E26782" s="3" t="s">
        <v>100</v>
      </c>
      <c r="F26782" s="7">
        <v>46260.673485031206</v>
      </c>
      <c r="G26782" s="3" t="s">
        <v>14892</v>
      </c>
    </row>
    <row r="26783">
      <c r="A26783" s="3" t="s">
        <v>43223</v>
      </c>
      <c r="B26783" s="3" t="s">
        <v>21657</v>
      </c>
      <c r="C26783" s="5" t="s">
        <v>206</v>
      </c>
      <c r="D26783" s="3" t="s">
        <v>68</v>
      </c>
      <c r="E26783" s="3" t="s">
        <v>100</v>
      </c>
      <c r="F26783" s="7">
        <v>46260.676957253425</v>
      </c>
      <c r="G26783" s="3" t="s">
        <v>14895</v>
      </c>
    </row>
    <row r="26784">
      <c r="A26784" s="3" t="s">
        <v>43224</v>
      </c>
      <c r="B26784" s="3" t="s">
        <v>21659</v>
      </c>
      <c r="C26784" s="5" t="s">
        <v>45</v>
      </c>
      <c r="D26784" s="3" t="s">
        <v>221</v>
      </c>
      <c r="E26784" s="3" t="s">
        <v>148</v>
      </c>
      <c r="F26784" s="7">
        <v>46260.73771543218</v>
      </c>
      <c r="G26784" s="3" t="s">
        <v>14051</v>
      </c>
    </row>
    <row r="26785">
      <c r="A26785" s="3" t="s">
        <v>43225</v>
      </c>
      <c r="B26785" s="3" t="s">
        <v>21659</v>
      </c>
      <c r="C26785" s="5" t="s">
        <v>221</v>
      </c>
      <c r="D26785" s="3" t="s">
        <v>614</v>
      </c>
      <c r="E26785" s="3" t="s">
        <v>118</v>
      </c>
      <c r="F26785" s="7">
        <v>46260.7411876544</v>
      </c>
      <c r="G26785" s="3" t="s">
        <v>14054</v>
      </c>
    </row>
    <row r="26786">
      <c r="A26786" s="3" t="s">
        <v>43226</v>
      </c>
      <c r="B26786" s="3" t="s">
        <v>21659</v>
      </c>
      <c r="C26786" s="5" t="s">
        <v>614</v>
      </c>
      <c r="D26786" s="3" t="s">
        <v>206</v>
      </c>
      <c r="E26786" s="3" t="s">
        <v>100</v>
      </c>
      <c r="F26786" s="7">
        <v>46260.744659876626</v>
      </c>
      <c r="G26786" s="3" t="s">
        <v>14056</v>
      </c>
    </row>
    <row r="26787">
      <c r="A26787" s="3" t="s">
        <v>43227</v>
      </c>
      <c r="B26787" s="3" t="s">
        <v>21659</v>
      </c>
      <c r="C26787" s="5" t="s">
        <v>206</v>
      </c>
      <c r="D26787" s="3" t="s">
        <v>68</v>
      </c>
      <c r="E26787" s="3" t="s">
        <v>100</v>
      </c>
      <c r="F26787" s="7">
        <v>46260.748132098845</v>
      </c>
      <c r="G26787" s="3" t="s">
        <v>14059</v>
      </c>
    </row>
    <row r="26788">
      <c r="A26788" s="3" t="s">
        <v>43228</v>
      </c>
      <c r="B26788" s="3" t="s">
        <v>21661</v>
      </c>
      <c r="C26788" s="5" t="s">
        <v>45</v>
      </c>
      <c r="D26788" s="3" t="s">
        <v>221</v>
      </c>
      <c r="E26788" s="3" t="s">
        <v>395</v>
      </c>
      <c r="F26788" s="7">
        <v>46260.80889027759</v>
      </c>
      <c r="G26788" s="3" t="s">
        <v>10092</v>
      </c>
    </row>
    <row r="26789">
      <c r="A26789" s="3" t="s">
        <v>43229</v>
      </c>
      <c r="B26789" s="3" t="s">
        <v>21661</v>
      </c>
      <c r="C26789" s="5" t="s">
        <v>221</v>
      </c>
      <c r="D26789" s="3" t="s">
        <v>181</v>
      </c>
      <c r="E26789" s="3" t="s">
        <v>118</v>
      </c>
      <c r="F26789" s="7">
        <v>46260.81236249981</v>
      </c>
      <c r="G26789" s="3" t="s">
        <v>43230</v>
      </c>
    </row>
    <row r="26790">
      <c r="A26790" s="3" t="s">
        <v>43231</v>
      </c>
      <c r="B26790" s="3" t="s">
        <v>21663</v>
      </c>
      <c r="C26790" s="5" t="s">
        <v>45</v>
      </c>
      <c r="D26790" s="3" t="s">
        <v>221</v>
      </c>
      <c r="E26790" s="3" t="s">
        <v>557</v>
      </c>
      <c r="F26790" s="7">
        <v>46260.880065123005</v>
      </c>
      <c r="G26790" s="3" t="s">
        <v>10781</v>
      </c>
    </row>
    <row r="26791">
      <c r="A26791" s="3" t="s">
        <v>43232</v>
      </c>
      <c r="B26791" s="3" t="s">
        <v>21663</v>
      </c>
      <c r="C26791" s="5" t="s">
        <v>221</v>
      </c>
      <c r="D26791" s="3" t="s">
        <v>614</v>
      </c>
      <c r="E26791" s="3" t="s">
        <v>118</v>
      </c>
      <c r="F26791" s="7">
        <v>46260.883537345224</v>
      </c>
      <c r="G26791" s="3" t="s">
        <v>10784</v>
      </c>
    </row>
    <row r="26792">
      <c r="A26792" s="3" t="s">
        <v>43233</v>
      </c>
      <c r="B26792" s="3" t="s">
        <v>21663</v>
      </c>
      <c r="C26792" s="5" t="s">
        <v>614</v>
      </c>
      <c r="D26792" s="3" t="s">
        <v>206</v>
      </c>
      <c r="E26792" s="3" t="s">
        <v>100</v>
      </c>
      <c r="F26792" s="7">
        <v>46260.88700956745</v>
      </c>
      <c r="G26792" s="3" t="s">
        <v>10786</v>
      </c>
    </row>
    <row r="26793">
      <c r="A26793" s="3" t="s">
        <v>43234</v>
      </c>
      <c r="B26793" s="3" t="s">
        <v>21663</v>
      </c>
      <c r="C26793" s="5" t="s">
        <v>206</v>
      </c>
      <c r="D26793" s="3" t="s">
        <v>68</v>
      </c>
      <c r="E26793" s="3" t="s">
        <v>100</v>
      </c>
      <c r="F26793" s="7">
        <v>46260.89048178967</v>
      </c>
      <c r="G26793" s="3" t="s">
        <v>10789</v>
      </c>
    </row>
    <row r="26794">
      <c r="A26794" s="3" t="s">
        <v>43235</v>
      </c>
      <c r="B26794" s="3" t="s">
        <v>21665</v>
      </c>
      <c r="C26794" s="5" t="s">
        <v>45</v>
      </c>
      <c r="D26794" s="3" t="s">
        <v>221</v>
      </c>
      <c r="E26794" s="3" t="s">
        <v>939</v>
      </c>
      <c r="F26794" s="7">
        <v>46260.951239968424</v>
      </c>
      <c r="G26794" s="3" t="s">
        <v>13032</v>
      </c>
    </row>
    <row r="26795">
      <c r="A26795" s="3" t="s">
        <v>43236</v>
      </c>
      <c r="B26795" s="3" t="s">
        <v>21665</v>
      </c>
      <c r="C26795" s="5" t="s">
        <v>221</v>
      </c>
      <c r="D26795" s="3" t="s">
        <v>614</v>
      </c>
      <c r="E26795" s="3" t="s">
        <v>118</v>
      </c>
      <c r="F26795" s="7">
        <v>46260.95471219064</v>
      </c>
      <c r="G26795" s="3" t="s">
        <v>26882</v>
      </c>
    </row>
    <row r="26796">
      <c r="A26796" s="3" t="s">
        <v>43237</v>
      </c>
      <c r="B26796" s="3" t="s">
        <v>21665</v>
      </c>
      <c r="C26796" s="5" t="s">
        <v>614</v>
      </c>
      <c r="D26796" s="3" t="s">
        <v>206</v>
      </c>
      <c r="E26796" s="3" t="s">
        <v>100</v>
      </c>
      <c r="F26796" s="7">
        <v>46260.95818441287</v>
      </c>
      <c r="G26796" s="3" t="s">
        <v>26884</v>
      </c>
    </row>
    <row r="26797">
      <c r="A26797" s="3" t="s">
        <v>43238</v>
      </c>
      <c r="B26797" s="3" t="s">
        <v>21665</v>
      </c>
      <c r="C26797" s="5" t="s">
        <v>206</v>
      </c>
      <c r="D26797" s="3" t="s">
        <v>68</v>
      </c>
      <c r="E26797" s="3" t="s">
        <v>100</v>
      </c>
      <c r="F26797" s="7">
        <v>46260.96165663509</v>
      </c>
      <c r="G26797" s="3" t="s">
        <v>26886</v>
      </c>
    </row>
    <row r="26798">
      <c r="A26798" s="3" t="s">
        <v>43239</v>
      </c>
      <c r="B26798" s="3" t="s">
        <v>21668</v>
      </c>
      <c r="C26798" s="5" t="s">
        <v>45</v>
      </c>
      <c r="D26798" s="3" t="s">
        <v>221</v>
      </c>
      <c r="E26798" s="3" t="s">
        <v>179</v>
      </c>
      <c r="F26798" s="7">
        <v>46261.02241481384</v>
      </c>
      <c r="G26798" s="3" t="s">
        <v>18828</v>
      </c>
    </row>
    <row r="26799">
      <c r="A26799" s="3" t="s">
        <v>43240</v>
      </c>
      <c r="B26799" s="3" t="s">
        <v>21668</v>
      </c>
      <c r="C26799" s="5" t="s">
        <v>221</v>
      </c>
      <c r="D26799" s="3" t="s">
        <v>614</v>
      </c>
      <c r="E26799" s="3" t="s">
        <v>118</v>
      </c>
      <c r="F26799" s="7">
        <v>46261.025887036056</v>
      </c>
      <c r="G26799" s="3" t="s">
        <v>18831</v>
      </c>
    </row>
    <row r="26800">
      <c r="A26800" s="3" t="s">
        <v>43241</v>
      </c>
      <c r="B26800" s="3" t="s">
        <v>21668</v>
      </c>
      <c r="C26800" s="5" t="s">
        <v>614</v>
      </c>
      <c r="D26800" s="3" t="s">
        <v>206</v>
      </c>
      <c r="E26800" s="3" t="s">
        <v>100</v>
      </c>
      <c r="F26800" s="7">
        <v>46261.02935925828</v>
      </c>
      <c r="G26800" s="3" t="s">
        <v>18833</v>
      </c>
    </row>
    <row r="26801">
      <c r="A26801" s="3" t="s">
        <v>43242</v>
      </c>
      <c r="B26801" s="3" t="s">
        <v>21668</v>
      </c>
      <c r="C26801" s="5" t="s">
        <v>206</v>
      </c>
      <c r="D26801" s="3" t="s">
        <v>68</v>
      </c>
      <c r="E26801" s="3" t="s">
        <v>100</v>
      </c>
      <c r="F26801" s="7">
        <v>46261.0328314805</v>
      </c>
      <c r="G26801" s="3" t="s">
        <v>18836</v>
      </c>
    </row>
    <row r="26802">
      <c r="A26802" s="3" t="s">
        <v>43243</v>
      </c>
      <c r="B26802" s="3" t="s">
        <v>21670</v>
      </c>
      <c r="C26802" s="5" t="s">
        <v>45</v>
      </c>
      <c r="D26802" s="3" t="s">
        <v>221</v>
      </c>
      <c r="E26802" s="3" t="s">
        <v>546</v>
      </c>
      <c r="F26802" s="7">
        <v>46261.09358965925</v>
      </c>
      <c r="G26802" s="3" t="s">
        <v>14085</v>
      </c>
    </row>
    <row r="26803">
      <c r="A26803" s="3" t="s">
        <v>43244</v>
      </c>
      <c r="B26803" s="3" t="s">
        <v>21670</v>
      </c>
      <c r="C26803" s="5" t="s">
        <v>221</v>
      </c>
      <c r="D26803" s="3" t="s">
        <v>614</v>
      </c>
      <c r="E26803" s="3" t="s">
        <v>118</v>
      </c>
      <c r="F26803" s="7">
        <v>46261.09706188147</v>
      </c>
      <c r="G26803" s="3" t="s">
        <v>14087</v>
      </c>
    </row>
    <row r="26804">
      <c r="A26804" s="3" t="s">
        <v>43245</v>
      </c>
      <c r="B26804" s="3" t="s">
        <v>21670</v>
      </c>
      <c r="C26804" s="5" t="s">
        <v>614</v>
      </c>
      <c r="D26804" s="3" t="s">
        <v>206</v>
      </c>
      <c r="E26804" s="3" t="s">
        <v>100</v>
      </c>
      <c r="F26804" s="7">
        <v>46261.100534103694</v>
      </c>
      <c r="G26804" s="3" t="s">
        <v>14090</v>
      </c>
    </row>
    <row r="26805">
      <c r="A26805" s="3" t="s">
        <v>43246</v>
      </c>
      <c r="B26805" s="3" t="s">
        <v>21670</v>
      </c>
      <c r="C26805" s="5" t="s">
        <v>206</v>
      </c>
      <c r="D26805" s="3" t="s">
        <v>68</v>
      </c>
      <c r="E26805" s="3" t="s">
        <v>100</v>
      </c>
      <c r="F26805" s="7">
        <v>46261.10400632591</v>
      </c>
      <c r="G26805" s="3" t="s">
        <v>14093</v>
      </c>
    </row>
    <row r="26806">
      <c r="A26806" s="3" t="s">
        <v>43247</v>
      </c>
      <c r="B26806" s="3" t="s">
        <v>21672</v>
      </c>
      <c r="C26806" s="5" t="s">
        <v>45</v>
      </c>
      <c r="D26806" s="3" t="s">
        <v>221</v>
      </c>
      <c r="E26806" s="3" t="s">
        <v>211</v>
      </c>
      <c r="F26806" s="7">
        <v>46261.16476450467</v>
      </c>
      <c r="G26806" s="3" t="s">
        <v>26815</v>
      </c>
    </row>
    <row r="26807">
      <c r="A26807" s="3" t="s">
        <v>43248</v>
      </c>
      <c r="B26807" s="3" t="s">
        <v>21672</v>
      </c>
      <c r="C26807" s="5" t="s">
        <v>221</v>
      </c>
      <c r="D26807" s="3" t="s">
        <v>195</v>
      </c>
      <c r="E26807" s="3" t="s">
        <v>211</v>
      </c>
      <c r="F26807" s="7">
        <v>46261.16823672689</v>
      </c>
      <c r="G26807" s="3" t="s">
        <v>43249</v>
      </c>
    </row>
    <row r="26808">
      <c r="A26808" s="3" t="s">
        <v>43250</v>
      </c>
      <c r="B26808" s="3" t="s">
        <v>21674</v>
      </c>
      <c r="C26808" s="5" t="s">
        <v>45</v>
      </c>
      <c r="D26808" s="3" t="s">
        <v>221</v>
      </c>
      <c r="E26808" s="3" t="s">
        <v>900</v>
      </c>
      <c r="F26808" s="7">
        <v>46261.23593935009</v>
      </c>
      <c r="G26808" s="3" t="s">
        <v>14096</v>
      </c>
    </row>
    <row r="26809">
      <c r="A26809" s="3" t="s">
        <v>43251</v>
      </c>
      <c r="B26809" s="3" t="s">
        <v>21674</v>
      </c>
      <c r="C26809" s="5" t="s">
        <v>221</v>
      </c>
      <c r="D26809" s="3" t="s">
        <v>614</v>
      </c>
      <c r="E26809" s="3" t="s">
        <v>118</v>
      </c>
      <c r="F26809" s="7">
        <v>46261.23941157231</v>
      </c>
      <c r="G26809" s="3" t="s">
        <v>14099</v>
      </c>
    </row>
    <row r="26810">
      <c r="A26810" s="3" t="s">
        <v>43252</v>
      </c>
      <c r="B26810" s="3" t="s">
        <v>21674</v>
      </c>
      <c r="C26810" s="5" t="s">
        <v>614</v>
      </c>
      <c r="D26810" s="3" t="s">
        <v>206</v>
      </c>
      <c r="E26810" s="3" t="s">
        <v>100</v>
      </c>
      <c r="F26810" s="7">
        <v>46261.24288379453</v>
      </c>
      <c r="G26810" s="3" t="s">
        <v>14101</v>
      </c>
    </row>
    <row r="26811">
      <c r="A26811" s="3" t="s">
        <v>43253</v>
      </c>
      <c r="B26811" s="3" t="s">
        <v>21674</v>
      </c>
      <c r="C26811" s="5" t="s">
        <v>206</v>
      </c>
      <c r="D26811" s="3" t="s">
        <v>68</v>
      </c>
      <c r="E26811" s="3" t="s">
        <v>100</v>
      </c>
      <c r="F26811" s="7">
        <v>46261.24635601675</v>
      </c>
      <c r="G26811" s="3" t="s">
        <v>14104</v>
      </c>
    </row>
    <row r="26812">
      <c r="A26812" s="3" t="s">
        <v>43254</v>
      </c>
      <c r="B26812" s="3" t="s">
        <v>21677</v>
      </c>
      <c r="C26812" s="5" t="s">
        <v>45</v>
      </c>
      <c r="D26812" s="3" t="s">
        <v>221</v>
      </c>
      <c r="E26812" s="3" t="s">
        <v>860</v>
      </c>
      <c r="F26812" s="7">
        <v>46261.30711419549</v>
      </c>
      <c r="G26812" s="3" t="s">
        <v>15565</v>
      </c>
    </row>
    <row r="26813">
      <c r="A26813" s="3" t="s">
        <v>43255</v>
      </c>
      <c r="B26813" s="3" t="s">
        <v>21677</v>
      </c>
      <c r="C26813" s="5" t="s">
        <v>221</v>
      </c>
      <c r="D26813" s="3" t="s">
        <v>614</v>
      </c>
      <c r="E26813" s="3" t="s">
        <v>118</v>
      </c>
      <c r="F26813" s="7">
        <v>46261.31058641771</v>
      </c>
      <c r="G26813" s="3" t="s">
        <v>15568</v>
      </c>
    </row>
    <row r="26814">
      <c r="A26814" s="3" t="s">
        <v>43256</v>
      </c>
      <c r="B26814" s="3" t="s">
        <v>21677</v>
      </c>
      <c r="C26814" s="5" t="s">
        <v>614</v>
      </c>
      <c r="D26814" s="3" t="s">
        <v>206</v>
      </c>
      <c r="E26814" s="3" t="s">
        <v>100</v>
      </c>
      <c r="F26814" s="7">
        <v>46261.31405863994</v>
      </c>
      <c r="G26814" s="3" t="s">
        <v>15570</v>
      </c>
    </row>
    <row r="26815">
      <c r="A26815" s="3" t="s">
        <v>43257</v>
      </c>
      <c r="B26815" s="3" t="s">
        <v>21677</v>
      </c>
      <c r="C26815" s="5" t="s">
        <v>206</v>
      </c>
      <c r="D26815" s="3" t="s">
        <v>68</v>
      </c>
      <c r="E26815" s="3" t="s">
        <v>100</v>
      </c>
      <c r="F26815" s="7">
        <v>46261.31753086216</v>
      </c>
      <c r="G26815" s="3" t="s">
        <v>15573</v>
      </c>
    </row>
    <row r="26816">
      <c r="A26816" s="3" t="s">
        <v>43258</v>
      </c>
      <c r="B26816" s="3" t="s">
        <v>21679</v>
      </c>
      <c r="C26816" s="5" t="s">
        <v>45</v>
      </c>
      <c r="D26816" s="3" t="s">
        <v>221</v>
      </c>
      <c r="E26816" s="3" t="s">
        <v>380</v>
      </c>
      <c r="F26816" s="7">
        <v>46261.37828904091</v>
      </c>
      <c r="G26816" s="3" t="s">
        <v>5209</v>
      </c>
    </row>
    <row r="26817">
      <c r="A26817" s="3" t="s">
        <v>43259</v>
      </c>
      <c r="B26817" s="3" t="s">
        <v>21679</v>
      </c>
      <c r="C26817" s="5" t="s">
        <v>221</v>
      </c>
      <c r="D26817" s="3" t="s">
        <v>614</v>
      </c>
      <c r="E26817" s="3" t="s">
        <v>118</v>
      </c>
      <c r="F26817" s="7">
        <v>46261.38176126313</v>
      </c>
      <c r="G26817" s="3" t="s">
        <v>5213</v>
      </c>
    </row>
    <row r="26818">
      <c r="A26818" s="3" t="s">
        <v>43260</v>
      </c>
      <c r="B26818" s="3" t="s">
        <v>21679</v>
      </c>
      <c r="C26818" s="5" t="s">
        <v>614</v>
      </c>
      <c r="D26818" s="3" t="s">
        <v>206</v>
      </c>
      <c r="E26818" s="3" t="s">
        <v>100</v>
      </c>
      <c r="F26818" s="7">
        <v>46261.38523348536</v>
      </c>
      <c r="G26818" s="3" t="s">
        <v>5215</v>
      </c>
    </row>
    <row r="26819">
      <c r="A26819" s="3" t="s">
        <v>43261</v>
      </c>
      <c r="B26819" s="3" t="s">
        <v>21679</v>
      </c>
      <c r="C26819" s="5" t="s">
        <v>206</v>
      </c>
      <c r="D26819" s="3" t="s">
        <v>68</v>
      </c>
      <c r="E26819" s="3" t="s">
        <v>100</v>
      </c>
      <c r="F26819" s="7">
        <v>46261.38870570758</v>
      </c>
      <c r="G26819" s="3" t="s">
        <v>5218</v>
      </c>
    </row>
    <row r="26820">
      <c r="A26820" s="3" t="s">
        <v>43262</v>
      </c>
      <c r="B26820" s="3" t="s">
        <v>21681</v>
      </c>
      <c r="C26820" s="5" t="s">
        <v>45</v>
      </c>
      <c r="D26820" s="3" t="s">
        <v>221</v>
      </c>
      <c r="E26820" s="3" t="s">
        <v>949</v>
      </c>
      <c r="F26820" s="7">
        <v>46261.44946388633</v>
      </c>
      <c r="G26820" s="3" t="s">
        <v>2770</v>
      </c>
    </row>
    <row r="26821">
      <c r="A26821" s="3" t="s">
        <v>43263</v>
      </c>
      <c r="B26821" s="3" t="s">
        <v>21681</v>
      </c>
      <c r="C26821" s="5" t="s">
        <v>221</v>
      </c>
      <c r="D26821" s="3" t="s">
        <v>195</v>
      </c>
      <c r="E26821" s="3" t="s">
        <v>949</v>
      </c>
      <c r="F26821" s="7">
        <v>46261.45293610855</v>
      </c>
      <c r="G26821" s="3" t="s">
        <v>3055</v>
      </c>
    </row>
    <row r="26822">
      <c r="A26822" s="3" t="s">
        <v>43264</v>
      </c>
      <c r="B26822" s="3" t="s">
        <v>21684</v>
      </c>
      <c r="C26822" s="5" t="s">
        <v>45</v>
      </c>
      <c r="D26822" s="3" t="s">
        <v>221</v>
      </c>
      <c r="E26822" s="3" t="s">
        <v>126</v>
      </c>
      <c r="F26822" s="7">
        <v>46261.520638731745</v>
      </c>
      <c r="G26822" s="3" t="s">
        <v>20630</v>
      </c>
    </row>
    <row r="26823">
      <c r="A26823" s="3" t="s">
        <v>43265</v>
      </c>
      <c r="B26823" s="3" t="s">
        <v>21684</v>
      </c>
      <c r="C26823" s="5" t="s">
        <v>221</v>
      </c>
      <c r="D26823" s="3" t="s">
        <v>614</v>
      </c>
      <c r="E26823" s="3" t="s">
        <v>118</v>
      </c>
      <c r="F26823" s="7">
        <v>46261.524110953964</v>
      </c>
      <c r="G26823" s="3" t="s">
        <v>31197</v>
      </c>
    </row>
    <row r="26824">
      <c r="A26824" s="3" t="s">
        <v>43266</v>
      </c>
      <c r="B26824" s="3" t="s">
        <v>21684</v>
      </c>
      <c r="C26824" s="5" t="s">
        <v>614</v>
      </c>
      <c r="D26824" s="3" t="s">
        <v>206</v>
      </c>
      <c r="E26824" s="3" t="s">
        <v>100</v>
      </c>
      <c r="F26824" s="7">
        <v>46261.52758317619</v>
      </c>
      <c r="G26824" s="3" t="s">
        <v>31199</v>
      </c>
    </row>
    <row r="26825">
      <c r="A26825" s="3" t="s">
        <v>43267</v>
      </c>
      <c r="B26825" s="3" t="s">
        <v>21684</v>
      </c>
      <c r="C26825" s="5" t="s">
        <v>206</v>
      </c>
      <c r="D26825" s="3" t="s">
        <v>68</v>
      </c>
      <c r="E26825" s="3" t="s">
        <v>100</v>
      </c>
      <c r="F26825" s="7">
        <v>46261.53105539841</v>
      </c>
      <c r="G26825" s="3" t="s">
        <v>31201</v>
      </c>
    </row>
    <row r="26826">
      <c r="A26826" s="3" t="s">
        <v>43268</v>
      </c>
      <c r="B26826" s="3" t="s">
        <v>21688</v>
      </c>
      <c r="C26826" s="5" t="s">
        <v>45</v>
      </c>
      <c r="D26826" s="3" t="s">
        <v>221</v>
      </c>
      <c r="E26826" s="3" t="s">
        <v>319</v>
      </c>
      <c r="F26826" s="7">
        <v>46261.59181357716</v>
      </c>
      <c r="G26826" s="3" t="s">
        <v>15520</v>
      </c>
    </row>
    <row r="26827">
      <c r="A26827" s="3" t="s">
        <v>43269</v>
      </c>
      <c r="B26827" s="3" t="s">
        <v>21688</v>
      </c>
      <c r="C26827" s="5" t="s">
        <v>221</v>
      </c>
      <c r="D26827" s="3" t="s">
        <v>614</v>
      </c>
      <c r="E26827" s="3" t="s">
        <v>118</v>
      </c>
      <c r="F26827" s="7">
        <v>46261.595285799376</v>
      </c>
      <c r="G26827" s="3" t="s">
        <v>15523</v>
      </c>
    </row>
    <row r="26828">
      <c r="A26828" s="3" t="s">
        <v>43270</v>
      </c>
      <c r="B26828" s="3" t="s">
        <v>21688</v>
      </c>
      <c r="C26828" s="5" t="s">
        <v>614</v>
      </c>
      <c r="D26828" s="3" t="s">
        <v>206</v>
      </c>
      <c r="E26828" s="3" t="s">
        <v>100</v>
      </c>
      <c r="F26828" s="7">
        <v>46261.5987580216</v>
      </c>
      <c r="G26828" s="3" t="s">
        <v>15526</v>
      </c>
    </row>
    <row r="26829">
      <c r="A26829" s="3" t="s">
        <v>43271</v>
      </c>
      <c r="B26829" s="3" t="s">
        <v>21688</v>
      </c>
      <c r="C26829" s="5" t="s">
        <v>206</v>
      </c>
      <c r="D26829" s="3" t="s">
        <v>68</v>
      </c>
      <c r="E26829" s="3" t="s">
        <v>100</v>
      </c>
      <c r="F26829" s="7">
        <v>46261.60223024382</v>
      </c>
      <c r="G26829" s="3" t="s">
        <v>15528</v>
      </c>
    </row>
    <row r="26830">
      <c r="A26830" s="3" t="s">
        <v>43272</v>
      </c>
      <c r="B26830" s="3" t="s">
        <v>21691</v>
      </c>
      <c r="C26830" s="5" t="s">
        <v>45</v>
      </c>
      <c r="D26830" s="3" t="s">
        <v>221</v>
      </c>
      <c r="E26830" s="3" t="s">
        <v>398</v>
      </c>
      <c r="F26830" s="7">
        <v>46261.66298842258</v>
      </c>
      <c r="G26830" s="3" t="s">
        <v>14125</v>
      </c>
    </row>
    <row r="26831">
      <c r="A26831" s="3" t="s">
        <v>43273</v>
      </c>
      <c r="B26831" s="3" t="s">
        <v>21691</v>
      </c>
      <c r="C26831" s="5" t="s">
        <v>221</v>
      </c>
      <c r="D26831" s="3" t="s">
        <v>614</v>
      </c>
      <c r="E26831" s="3" t="s">
        <v>118</v>
      </c>
      <c r="F26831" s="7">
        <v>46261.666460644796</v>
      </c>
      <c r="G26831" s="3" t="s">
        <v>14128</v>
      </c>
    </row>
    <row r="26832">
      <c r="A26832" s="3" t="s">
        <v>43274</v>
      </c>
      <c r="B26832" s="3" t="s">
        <v>21691</v>
      </c>
      <c r="C26832" s="5" t="s">
        <v>614</v>
      </c>
      <c r="D26832" s="3" t="s">
        <v>206</v>
      </c>
      <c r="E26832" s="3" t="s">
        <v>100</v>
      </c>
      <c r="F26832" s="7">
        <v>46261.66993286702</v>
      </c>
      <c r="G26832" s="3" t="s">
        <v>14131</v>
      </c>
    </row>
    <row r="26833">
      <c r="A26833" s="3" t="s">
        <v>43275</v>
      </c>
      <c r="B26833" s="3" t="s">
        <v>21691</v>
      </c>
      <c r="C26833" s="5" t="s">
        <v>206</v>
      </c>
      <c r="D26833" s="3" t="s">
        <v>68</v>
      </c>
      <c r="E26833" s="3" t="s">
        <v>100</v>
      </c>
      <c r="F26833" s="7">
        <v>46261.67340508924</v>
      </c>
      <c r="G26833" s="3" t="s">
        <v>14134</v>
      </c>
    </row>
    <row r="26834">
      <c r="A26834" s="3" t="s">
        <v>43276</v>
      </c>
      <c r="B26834" s="3" t="s">
        <v>21694</v>
      </c>
      <c r="C26834" s="5" t="s">
        <v>45</v>
      </c>
      <c r="D26834" s="3" t="s">
        <v>221</v>
      </c>
      <c r="E26834" s="3" t="s">
        <v>449</v>
      </c>
      <c r="F26834" s="7">
        <v>46261.73416326799</v>
      </c>
      <c r="G26834" s="3" t="s">
        <v>14137</v>
      </c>
    </row>
    <row r="26835">
      <c r="A26835" s="3" t="s">
        <v>43277</v>
      </c>
      <c r="B26835" s="3" t="s">
        <v>21694</v>
      </c>
      <c r="C26835" s="5" t="s">
        <v>221</v>
      </c>
      <c r="D26835" s="3" t="s">
        <v>614</v>
      </c>
      <c r="E26835" s="3" t="s">
        <v>118</v>
      </c>
      <c r="F26835" s="7">
        <v>46261.73763549021</v>
      </c>
      <c r="G26835" s="3" t="s">
        <v>14139</v>
      </c>
    </row>
    <row r="26836">
      <c r="A26836" s="3" t="s">
        <v>43278</v>
      </c>
      <c r="B26836" s="3" t="s">
        <v>21694</v>
      </c>
      <c r="C26836" s="5" t="s">
        <v>614</v>
      </c>
      <c r="D26836" s="3" t="s">
        <v>206</v>
      </c>
      <c r="E26836" s="3" t="s">
        <v>100</v>
      </c>
      <c r="F26836" s="7">
        <v>46261.741107712434</v>
      </c>
      <c r="G26836" s="3" t="s">
        <v>14142</v>
      </c>
    </row>
    <row r="26837">
      <c r="A26837" s="3" t="s">
        <v>43279</v>
      </c>
      <c r="B26837" s="3" t="s">
        <v>21694</v>
      </c>
      <c r="C26837" s="5" t="s">
        <v>206</v>
      </c>
      <c r="D26837" s="3" t="s">
        <v>68</v>
      </c>
      <c r="E26837" s="3" t="s">
        <v>100</v>
      </c>
      <c r="F26837" s="7">
        <v>46261.74457993465</v>
      </c>
      <c r="G26837" s="3" t="s">
        <v>14145</v>
      </c>
    </row>
    <row r="26838">
      <c r="A26838" s="3" t="s">
        <v>43280</v>
      </c>
      <c r="B26838" s="3" t="s">
        <v>21695</v>
      </c>
      <c r="C26838" s="5" t="s">
        <v>45</v>
      </c>
      <c r="D26838" s="3" t="s">
        <v>221</v>
      </c>
      <c r="E26838" s="3" t="s">
        <v>1008</v>
      </c>
      <c r="F26838" s="7">
        <v>46261.8053381134</v>
      </c>
      <c r="G26838" s="3" t="s">
        <v>12301</v>
      </c>
    </row>
    <row r="26839">
      <c r="A26839" s="3" t="s">
        <v>43281</v>
      </c>
      <c r="B26839" s="3" t="s">
        <v>21695</v>
      </c>
      <c r="C26839" s="5" t="s">
        <v>221</v>
      </c>
      <c r="D26839" s="3" t="s">
        <v>614</v>
      </c>
      <c r="E26839" s="3" t="s">
        <v>118</v>
      </c>
      <c r="F26839" s="7">
        <v>46261.80881033562</v>
      </c>
      <c r="G26839" s="3" t="s">
        <v>12304</v>
      </c>
    </row>
    <row r="26840">
      <c r="A26840" s="3" t="s">
        <v>43282</v>
      </c>
      <c r="B26840" s="3" t="s">
        <v>21695</v>
      </c>
      <c r="C26840" s="5" t="s">
        <v>614</v>
      </c>
      <c r="D26840" s="3" t="s">
        <v>206</v>
      </c>
      <c r="E26840" s="3" t="s">
        <v>100</v>
      </c>
      <c r="F26840" s="7">
        <v>46261.81228255785</v>
      </c>
      <c r="G26840" s="3" t="s">
        <v>12307</v>
      </c>
    </row>
    <row r="26841">
      <c r="A26841" s="3" t="s">
        <v>43283</v>
      </c>
      <c r="B26841" s="3" t="s">
        <v>21695</v>
      </c>
      <c r="C26841" s="5" t="s">
        <v>206</v>
      </c>
      <c r="D26841" s="3" t="s">
        <v>68</v>
      </c>
      <c r="E26841" s="3" t="s">
        <v>100</v>
      </c>
      <c r="F26841" s="7">
        <v>46261.815754780066</v>
      </c>
      <c r="G26841" s="3" t="s">
        <v>12310</v>
      </c>
    </row>
    <row r="26842">
      <c r="A26842" s="3" t="s">
        <v>43284</v>
      </c>
      <c r="B26842" s="3" t="s">
        <v>21697</v>
      </c>
      <c r="C26842" s="5" t="s">
        <v>45</v>
      </c>
      <c r="D26842" s="3" t="s">
        <v>221</v>
      </c>
      <c r="E26842" s="3" t="s">
        <v>657</v>
      </c>
      <c r="F26842" s="7">
        <v>46261.87651295882</v>
      </c>
      <c r="G26842" s="3" t="s">
        <v>17947</v>
      </c>
    </row>
    <row r="26843">
      <c r="A26843" s="3" t="s">
        <v>43285</v>
      </c>
      <c r="B26843" s="3" t="s">
        <v>21697</v>
      </c>
      <c r="C26843" s="5" t="s">
        <v>221</v>
      </c>
      <c r="D26843" s="3" t="s">
        <v>614</v>
      </c>
      <c r="E26843" s="3" t="s">
        <v>118</v>
      </c>
      <c r="F26843" s="7">
        <v>46261.87998518104</v>
      </c>
      <c r="G26843" s="3" t="s">
        <v>17950</v>
      </c>
    </row>
    <row r="26844">
      <c r="A26844" s="3" t="s">
        <v>43286</v>
      </c>
      <c r="B26844" s="3" t="s">
        <v>21697</v>
      </c>
      <c r="C26844" s="5" t="s">
        <v>614</v>
      </c>
      <c r="D26844" s="3" t="s">
        <v>206</v>
      </c>
      <c r="E26844" s="3" t="s">
        <v>100</v>
      </c>
      <c r="F26844" s="7">
        <v>46261.883457403266</v>
      </c>
      <c r="G26844" s="3" t="s">
        <v>17952</v>
      </c>
    </row>
    <row r="26845">
      <c r="A26845" s="3" t="s">
        <v>43287</v>
      </c>
      <c r="B26845" s="3" t="s">
        <v>21697</v>
      </c>
      <c r="C26845" s="5" t="s">
        <v>206</v>
      </c>
      <c r="D26845" s="3" t="s">
        <v>68</v>
      </c>
      <c r="E26845" s="3" t="s">
        <v>100</v>
      </c>
      <c r="F26845" s="7">
        <v>46261.886929625485</v>
      </c>
      <c r="G26845" s="3" t="s">
        <v>17955</v>
      </c>
    </row>
    <row r="26846">
      <c r="A26846" s="3" t="s">
        <v>43288</v>
      </c>
      <c r="B26846" s="3" t="s">
        <v>21699</v>
      </c>
      <c r="C26846" s="5" t="s">
        <v>45</v>
      </c>
      <c r="D26846" s="3" t="s">
        <v>221</v>
      </c>
      <c r="E26846" s="3" t="s">
        <v>953</v>
      </c>
      <c r="F26846" s="7">
        <v>46261.94768780424</v>
      </c>
      <c r="G26846" s="3" t="s">
        <v>14192</v>
      </c>
    </row>
    <row r="26847">
      <c r="A26847" s="3" t="s">
        <v>43289</v>
      </c>
      <c r="B26847" s="3" t="s">
        <v>21699</v>
      </c>
      <c r="C26847" s="5" t="s">
        <v>221</v>
      </c>
      <c r="D26847" s="3" t="s">
        <v>614</v>
      </c>
      <c r="E26847" s="3" t="s">
        <v>118</v>
      </c>
      <c r="F26847" s="7">
        <v>46261.95116002646</v>
      </c>
      <c r="G26847" s="3" t="s">
        <v>14194</v>
      </c>
    </row>
    <row r="26848">
      <c r="A26848" s="3" t="s">
        <v>43290</v>
      </c>
      <c r="B26848" s="3" t="s">
        <v>21699</v>
      </c>
      <c r="C26848" s="5" t="s">
        <v>614</v>
      </c>
      <c r="D26848" s="3" t="s">
        <v>206</v>
      </c>
      <c r="E26848" s="3" t="s">
        <v>100</v>
      </c>
      <c r="F26848" s="7">
        <v>46261.954632248686</v>
      </c>
      <c r="G26848" s="3" t="s">
        <v>14197</v>
      </c>
    </row>
    <row r="26849">
      <c r="A26849" s="3" t="s">
        <v>43291</v>
      </c>
      <c r="B26849" s="3" t="s">
        <v>21699</v>
      </c>
      <c r="C26849" s="5" t="s">
        <v>206</v>
      </c>
      <c r="D26849" s="3" t="s">
        <v>68</v>
      </c>
      <c r="E26849" s="3" t="s">
        <v>100</v>
      </c>
      <c r="F26849" s="7">
        <v>46261.958104470905</v>
      </c>
      <c r="G26849" s="3" t="s">
        <v>14200</v>
      </c>
    </row>
    <row r="26850">
      <c r="A26850" s="3" t="s">
        <v>43292</v>
      </c>
      <c r="B26850" s="3" t="s">
        <v>21702</v>
      </c>
      <c r="C26850" s="5" t="s">
        <v>45</v>
      </c>
      <c r="D26850" s="3" t="s">
        <v>221</v>
      </c>
      <c r="E26850" s="3" t="s">
        <v>535</v>
      </c>
      <c r="F26850" s="7">
        <v>46262.018862649646</v>
      </c>
      <c r="G26850" s="3" t="s">
        <v>14859</v>
      </c>
    </row>
    <row r="26851">
      <c r="A26851" s="3" t="s">
        <v>43293</v>
      </c>
      <c r="B26851" s="3" t="s">
        <v>21702</v>
      </c>
      <c r="C26851" s="5" t="s">
        <v>221</v>
      </c>
      <c r="D26851" s="3" t="s">
        <v>614</v>
      </c>
      <c r="E26851" s="3" t="s">
        <v>118</v>
      </c>
      <c r="F26851" s="7">
        <v>46262.022334871865</v>
      </c>
      <c r="G26851" s="3" t="s">
        <v>14861</v>
      </c>
    </row>
    <row r="26852">
      <c r="A26852" s="3" t="s">
        <v>43294</v>
      </c>
      <c r="B26852" s="3" t="s">
        <v>21702</v>
      </c>
      <c r="C26852" s="5" t="s">
        <v>614</v>
      </c>
      <c r="D26852" s="3" t="s">
        <v>206</v>
      </c>
      <c r="E26852" s="3" t="s">
        <v>100</v>
      </c>
      <c r="F26852" s="7">
        <v>46262.02580709409</v>
      </c>
      <c r="G26852" s="3" t="s">
        <v>14864</v>
      </c>
    </row>
    <row r="26853">
      <c r="A26853" s="3" t="s">
        <v>43295</v>
      </c>
      <c r="B26853" s="3" t="s">
        <v>21702</v>
      </c>
      <c r="C26853" s="5" t="s">
        <v>206</v>
      </c>
      <c r="D26853" s="3" t="s">
        <v>68</v>
      </c>
      <c r="E26853" s="3" t="s">
        <v>100</v>
      </c>
      <c r="F26853" s="7">
        <v>46262.02927931631</v>
      </c>
      <c r="G26853" s="3" t="s">
        <v>14867</v>
      </c>
    </row>
    <row r="26854">
      <c r="A26854" s="3" t="s">
        <v>43296</v>
      </c>
      <c r="B26854" s="3" t="s">
        <v>21704</v>
      </c>
      <c r="C26854" s="5" t="s">
        <v>45</v>
      </c>
      <c r="D26854" s="3" t="s">
        <v>221</v>
      </c>
      <c r="E26854" s="3" t="s">
        <v>746</v>
      </c>
      <c r="F26854" s="7">
        <v>46262.090037495065</v>
      </c>
      <c r="G26854" s="3" t="s">
        <v>22052</v>
      </c>
    </row>
    <row r="26855">
      <c r="A26855" s="3" t="s">
        <v>43297</v>
      </c>
      <c r="B26855" s="3" t="s">
        <v>21704</v>
      </c>
      <c r="C26855" s="5" t="s">
        <v>221</v>
      </c>
      <c r="D26855" s="3" t="s">
        <v>614</v>
      </c>
      <c r="E26855" s="3" t="s">
        <v>118</v>
      </c>
      <c r="F26855" s="7">
        <v>46262.093509717284</v>
      </c>
      <c r="G26855" s="3" t="s">
        <v>22055</v>
      </c>
    </row>
    <row r="26856">
      <c r="A26856" s="3" t="s">
        <v>43298</v>
      </c>
      <c r="B26856" s="3" t="s">
        <v>21704</v>
      </c>
      <c r="C26856" s="5" t="s">
        <v>614</v>
      </c>
      <c r="D26856" s="3" t="s">
        <v>206</v>
      </c>
      <c r="E26856" s="3" t="s">
        <v>100</v>
      </c>
      <c r="F26856" s="7">
        <v>46262.09698193951</v>
      </c>
      <c r="G26856" s="3" t="s">
        <v>22058</v>
      </c>
    </row>
    <row r="26857">
      <c r="A26857" s="3" t="s">
        <v>43299</v>
      </c>
      <c r="B26857" s="3" t="s">
        <v>21704</v>
      </c>
      <c r="C26857" s="5" t="s">
        <v>206</v>
      </c>
      <c r="D26857" s="3" t="s">
        <v>68</v>
      </c>
      <c r="E26857" s="3" t="s">
        <v>100</v>
      </c>
      <c r="F26857" s="7">
        <v>46262.10045416173</v>
      </c>
      <c r="G26857" s="3" t="s">
        <v>22061</v>
      </c>
    </row>
    <row r="26858">
      <c r="A26858" s="3" t="s">
        <v>43300</v>
      </c>
      <c r="B26858" s="3" t="s">
        <v>21706</v>
      </c>
      <c r="C26858" s="5" t="s">
        <v>45</v>
      </c>
      <c r="D26858" s="3" t="s">
        <v>221</v>
      </c>
      <c r="E26858" s="3" t="s">
        <v>310</v>
      </c>
      <c r="F26858" s="7">
        <v>46262.16121234048</v>
      </c>
      <c r="G26858" s="3" t="s">
        <v>14214</v>
      </c>
    </row>
    <row r="26859">
      <c r="A26859" s="3" t="s">
        <v>43301</v>
      </c>
      <c r="B26859" s="3" t="s">
        <v>21706</v>
      </c>
      <c r="C26859" s="5" t="s">
        <v>221</v>
      </c>
      <c r="D26859" s="3" t="s">
        <v>614</v>
      </c>
      <c r="E26859" s="3" t="s">
        <v>118</v>
      </c>
      <c r="F26859" s="7">
        <v>46262.1646845627</v>
      </c>
      <c r="G26859" s="3" t="s">
        <v>14217</v>
      </c>
    </row>
    <row r="26860">
      <c r="A26860" s="3" t="s">
        <v>43302</v>
      </c>
      <c r="B26860" s="3" t="s">
        <v>21706</v>
      </c>
      <c r="C26860" s="5" t="s">
        <v>614</v>
      </c>
      <c r="D26860" s="3" t="s">
        <v>206</v>
      </c>
      <c r="E26860" s="3" t="s">
        <v>100</v>
      </c>
      <c r="F26860" s="7">
        <v>46262.16815678492</v>
      </c>
      <c r="G26860" s="3" t="s">
        <v>14220</v>
      </c>
    </row>
    <row r="26861">
      <c r="A26861" s="3" t="s">
        <v>43303</v>
      </c>
      <c r="B26861" s="3" t="s">
        <v>21706</v>
      </c>
      <c r="C26861" s="5" t="s">
        <v>206</v>
      </c>
      <c r="D26861" s="3" t="s">
        <v>68</v>
      </c>
      <c r="E26861" s="3" t="s">
        <v>100</v>
      </c>
      <c r="F26861" s="7">
        <v>46262.17162900714</v>
      </c>
      <c r="G26861" s="3" t="s">
        <v>14222</v>
      </c>
    </row>
    <row r="26862">
      <c r="A26862" s="3" t="s">
        <v>43304</v>
      </c>
      <c r="B26862" s="3" t="s">
        <v>21708</v>
      </c>
      <c r="C26862" s="5" t="s">
        <v>45</v>
      </c>
      <c r="D26862" s="3" t="s">
        <v>221</v>
      </c>
      <c r="E26862" s="3" t="s">
        <v>135</v>
      </c>
      <c r="F26862" s="7">
        <v>46262.2323871859</v>
      </c>
      <c r="G26862" s="3" t="s">
        <v>25520</v>
      </c>
    </row>
    <row r="26863">
      <c r="A26863" s="3" t="s">
        <v>43305</v>
      </c>
      <c r="B26863" s="3" t="s">
        <v>21708</v>
      </c>
      <c r="C26863" s="5" t="s">
        <v>221</v>
      </c>
      <c r="D26863" s="3" t="s">
        <v>614</v>
      </c>
      <c r="E26863" s="3" t="s">
        <v>118</v>
      </c>
      <c r="F26863" s="7">
        <v>46262.235859408116</v>
      </c>
      <c r="G26863" s="3" t="s">
        <v>25522</v>
      </c>
    </row>
    <row r="26864">
      <c r="A26864" s="3" t="s">
        <v>43306</v>
      </c>
      <c r="B26864" s="3" t="s">
        <v>21708</v>
      </c>
      <c r="C26864" s="5" t="s">
        <v>614</v>
      </c>
      <c r="D26864" s="3" t="s">
        <v>206</v>
      </c>
      <c r="E26864" s="3" t="s">
        <v>100</v>
      </c>
      <c r="F26864" s="7">
        <v>46262.23933163034</v>
      </c>
      <c r="G26864" s="3" t="s">
        <v>25524</v>
      </c>
    </row>
    <row r="26865">
      <c r="A26865" s="3" t="s">
        <v>43307</v>
      </c>
      <c r="B26865" s="3" t="s">
        <v>21708</v>
      </c>
      <c r="C26865" s="5" t="s">
        <v>206</v>
      </c>
      <c r="D26865" s="3" t="s">
        <v>68</v>
      </c>
      <c r="E26865" s="3" t="s">
        <v>100</v>
      </c>
      <c r="F26865" s="7">
        <v>46262.24280385256</v>
      </c>
      <c r="G26865" s="3" t="s">
        <v>25526</v>
      </c>
    </row>
    <row r="26866">
      <c r="A26866" s="3" t="s">
        <v>43308</v>
      </c>
      <c r="B26866" s="3" t="s">
        <v>21710</v>
      </c>
      <c r="C26866" s="5" t="s">
        <v>45</v>
      </c>
      <c r="D26866" s="3" t="s">
        <v>221</v>
      </c>
      <c r="E26866" s="3" t="s">
        <v>211</v>
      </c>
      <c r="F26866" s="7">
        <v>46262.30356203131</v>
      </c>
      <c r="G26866" s="3" t="s">
        <v>5696</v>
      </c>
    </row>
    <row r="26867">
      <c r="A26867" s="3" t="s">
        <v>43309</v>
      </c>
      <c r="B26867" s="3" t="s">
        <v>21710</v>
      </c>
      <c r="C26867" s="5" t="s">
        <v>221</v>
      </c>
      <c r="D26867" s="3" t="s">
        <v>195</v>
      </c>
      <c r="E26867" s="3" t="s">
        <v>211</v>
      </c>
      <c r="F26867" s="7">
        <v>46262.30703425353</v>
      </c>
      <c r="G26867" s="3" t="s">
        <v>43310</v>
      </c>
    </row>
    <row r="26868">
      <c r="A26868" s="3" t="s">
        <v>43311</v>
      </c>
      <c r="B26868" s="3" t="s">
        <v>21713</v>
      </c>
      <c r="C26868" s="5" t="s">
        <v>45</v>
      </c>
      <c r="D26868" s="3" t="s">
        <v>221</v>
      </c>
      <c r="E26868" s="3" t="s">
        <v>512</v>
      </c>
      <c r="F26868" s="7">
        <v>46262.37473687673</v>
      </c>
      <c r="G26868" s="3" t="s">
        <v>14312</v>
      </c>
    </row>
    <row r="26869">
      <c r="A26869" s="3" t="s">
        <v>43312</v>
      </c>
      <c r="B26869" s="3" t="s">
        <v>21713</v>
      </c>
      <c r="C26869" s="5" t="s">
        <v>221</v>
      </c>
      <c r="D26869" s="3" t="s">
        <v>614</v>
      </c>
      <c r="E26869" s="3" t="s">
        <v>118</v>
      </c>
      <c r="F26869" s="7">
        <v>46262.37820909895</v>
      </c>
      <c r="G26869" s="3" t="s">
        <v>14315</v>
      </c>
    </row>
    <row r="26870">
      <c r="A26870" s="3" t="s">
        <v>43313</v>
      </c>
      <c r="B26870" s="3" t="s">
        <v>21713</v>
      </c>
      <c r="C26870" s="5" t="s">
        <v>614</v>
      </c>
      <c r="D26870" s="3" t="s">
        <v>206</v>
      </c>
      <c r="E26870" s="3" t="s">
        <v>100</v>
      </c>
      <c r="F26870" s="7">
        <v>46262.381681321174</v>
      </c>
      <c r="G26870" s="3" t="s">
        <v>14317</v>
      </c>
    </row>
    <row r="26871">
      <c r="A26871" s="3" t="s">
        <v>43314</v>
      </c>
      <c r="B26871" s="3" t="s">
        <v>21713</v>
      </c>
      <c r="C26871" s="5" t="s">
        <v>206</v>
      </c>
      <c r="D26871" s="3" t="s">
        <v>68</v>
      </c>
      <c r="E26871" s="3" t="s">
        <v>100</v>
      </c>
      <c r="F26871" s="7">
        <v>46262.38515354339</v>
      </c>
      <c r="G26871" s="3" t="s">
        <v>14321</v>
      </c>
    </row>
    <row r="26872">
      <c r="A26872" s="3" t="s">
        <v>43315</v>
      </c>
      <c r="B26872" s="3" t="s">
        <v>21716</v>
      </c>
      <c r="C26872" s="5" t="s">
        <v>45</v>
      </c>
      <c r="D26872" s="3" t="s">
        <v>221</v>
      </c>
      <c r="E26872" s="3" t="s">
        <v>691</v>
      </c>
      <c r="F26872" s="7">
        <v>46262.445911722134</v>
      </c>
      <c r="G26872" s="3" t="s">
        <v>9343</v>
      </c>
    </row>
    <row r="26873">
      <c r="A26873" s="3" t="s">
        <v>43316</v>
      </c>
      <c r="B26873" s="3" t="s">
        <v>21716</v>
      </c>
      <c r="C26873" s="5" t="s">
        <v>221</v>
      </c>
      <c r="D26873" s="3" t="s">
        <v>614</v>
      </c>
      <c r="E26873" s="3" t="s">
        <v>118</v>
      </c>
      <c r="F26873" s="7">
        <v>46262.44938394435</v>
      </c>
      <c r="G26873" s="3" t="s">
        <v>9346</v>
      </c>
    </row>
    <row r="26874">
      <c r="A26874" s="3" t="s">
        <v>43317</v>
      </c>
      <c r="B26874" s="3" t="s">
        <v>21716</v>
      </c>
      <c r="C26874" s="5" t="s">
        <v>614</v>
      </c>
      <c r="D26874" s="3" t="s">
        <v>206</v>
      </c>
      <c r="E26874" s="3" t="s">
        <v>100</v>
      </c>
      <c r="F26874" s="7">
        <v>46262.45285616658</v>
      </c>
      <c r="G26874" s="3" t="s">
        <v>9349</v>
      </c>
    </row>
    <row r="26875">
      <c r="A26875" s="3" t="s">
        <v>43318</v>
      </c>
      <c r="B26875" s="3" t="s">
        <v>21716</v>
      </c>
      <c r="C26875" s="5" t="s">
        <v>206</v>
      </c>
      <c r="D26875" s="3" t="s">
        <v>68</v>
      </c>
      <c r="E26875" s="3" t="s">
        <v>100</v>
      </c>
      <c r="F26875" s="7">
        <v>46262.4563283888</v>
      </c>
      <c r="G26875" s="3" t="s">
        <v>9352</v>
      </c>
    </row>
    <row r="26876">
      <c r="A26876" s="3" t="s">
        <v>43319</v>
      </c>
      <c r="B26876" s="3" t="s">
        <v>21718</v>
      </c>
      <c r="C26876" s="5" t="s">
        <v>45</v>
      </c>
      <c r="D26876" s="3" t="s">
        <v>221</v>
      </c>
      <c r="E26876" s="3" t="s">
        <v>678</v>
      </c>
      <c r="F26876" s="7">
        <v>46262.51708656755</v>
      </c>
      <c r="G26876" s="3" t="s">
        <v>14363</v>
      </c>
    </row>
    <row r="26877">
      <c r="A26877" s="3" t="s">
        <v>43320</v>
      </c>
      <c r="B26877" s="3" t="s">
        <v>21718</v>
      </c>
      <c r="C26877" s="5" t="s">
        <v>221</v>
      </c>
      <c r="D26877" s="3" t="s">
        <v>614</v>
      </c>
      <c r="E26877" s="3" t="s">
        <v>118</v>
      </c>
      <c r="F26877" s="7">
        <v>46262.52055878977</v>
      </c>
      <c r="G26877" s="3" t="s">
        <v>14365</v>
      </c>
    </row>
    <row r="26878">
      <c r="A26878" s="3" t="s">
        <v>43321</v>
      </c>
      <c r="B26878" s="3" t="s">
        <v>21718</v>
      </c>
      <c r="C26878" s="5" t="s">
        <v>614</v>
      </c>
      <c r="D26878" s="3" t="s">
        <v>206</v>
      </c>
      <c r="E26878" s="3" t="s">
        <v>100</v>
      </c>
      <c r="F26878" s="7">
        <v>46262.524031012</v>
      </c>
      <c r="G26878" s="3" t="s">
        <v>14368</v>
      </c>
    </row>
    <row r="26879">
      <c r="A26879" s="3" t="s">
        <v>43322</v>
      </c>
      <c r="B26879" s="3" t="s">
        <v>21718</v>
      </c>
      <c r="C26879" s="5" t="s">
        <v>206</v>
      </c>
      <c r="D26879" s="3" t="s">
        <v>68</v>
      </c>
      <c r="E26879" s="3" t="s">
        <v>100</v>
      </c>
      <c r="F26879" s="7">
        <v>46262.52750323422</v>
      </c>
      <c r="G26879" s="3" t="s">
        <v>14371</v>
      </c>
    </row>
    <row r="26880">
      <c r="A26880" s="3" t="s">
        <v>43323</v>
      </c>
      <c r="B26880" s="3" t="s">
        <v>21720</v>
      </c>
      <c r="C26880" s="5" t="s">
        <v>45</v>
      </c>
      <c r="D26880" s="3" t="s">
        <v>221</v>
      </c>
      <c r="E26880" s="3" t="s">
        <v>466</v>
      </c>
      <c r="F26880" s="7">
        <v>46262.58826141297</v>
      </c>
      <c r="G26880" s="3" t="s">
        <v>14018</v>
      </c>
    </row>
    <row r="26881">
      <c r="A26881" s="3" t="s">
        <v>43324</v>
      </c>
      <c r="B26881" s="3" t="s">
        <v>21720</v>
      </c>
      <c r="C26881" s="5" t="s">
        <v>221</v>
      </c>
      <c r="D26881" s="3" t="s">
        <v>614</v>
      </c>
      <c r="E26881" s="3" t="s">
        <v>118</v>
      </c>
      <c r="F26881" s="7">
        <v>46262.59173363519</v>
      </c>
      <c r="G26881" s="3" t="s">
        <v>14021</v>
      </c>
    </row>
    <row r="26882">
      <c r="A26882" s="3" t="s">
        <v>43325</v>
      </c>
      <c r="B26882" s="3" t="s">
        <v>21720</v>
      </c>
      <c r="C26882" s="5" t="s">
        <v>614</v>
      </c>
      <c r="D26882" s="3" t="s">
        <v>206</v>
      </c>
      <c r="E26882" s="3" t="s">
        <v>100</v>
      </c>
      <c r="F26882" s="7">
        <v>46262.59520585742</v>
      </c>
      <c r="G26882" s="3" t="s">
        <v>14024</v>
      </c>
    </row>
    <row r="26883">
      <c r="A26883" s="3" t="s">
        <v>43326</v>
      </c>
      <c r="B26883" s="3" t="s">
        <v>21720</v>
      </c>
      <c r="C26883" s="5" t="s">
        <v>206</v>
      </c>
      <c r="D26883" s="3" t="s">
        <v>68</v>
      </c>
      <c r="E26883" s="3" t="s">
        <v>100</v>
      </c>
      <c r="F26883" s="7">
        <v>46262.59867807964</v>
      </c>
      <c r="G26883" s="3" t="s">
        <v>14026</v>
      </c>
    </row>
    <row r="26884">
      <c r="A26884" s="3" t="s">
        <v>43327</v>
      </c>
      <c r="B26884" s="3" t="s">
        <v>21722</v>
      </c>
      <c r="C26884" s="5" t="s">
        <v>45</v>
      </c>
      <c r="D26884" s="3" t="s">
        <v>221</v>
      </c>
      <c r="E26884" s="3" t="s">
        <v>168</v>
      </c>
      <c r="F26884" s="7">
        <v>46262.659436258386</v>
      </c>
      <c r="G26884" s="3" t="s">
        <v>18531</v>
      </c>
    </row>
    <row r="26885">
      <c r="A26885" s="3" t="s">
        <v>43328</v>
      </c>
      <c r="B26885" s="3" t="s">
        <v>21722</v>
      </c>
      <c r="C26885" s="5" t="s">
        <v>221</v>
      </c>
      <c r="D26885" s="3" t="s">
        <v>614</v>
      </c>
      <c r="E26885" s="3" t="s">
        <v>118</v>
      </c>
      <c r="F26885" s="7">
        <v>46262.662908480605</v>
      </c>
      <c r="G26885" s="3" t="s">
        <v>18534</v>
      </c>
    </row>
    <row r="26886">
      <c r="A26886" s="3" t="s">
        <v>43329</v>
      </c>
      <c r="B26886" s="3" t="s">
        <v>21722</v>
      </c>
      <c r="C26886" s="5" t="s">
        <v>614</v>
      </c>
      <c r="D26886" s="3" t="s">
        <v>206</v>
      </c>
      <c r="E26886" s="3" t="s">
        <v>100</v>
      </c>
      <c r="F26886" s="7">
        <v>46262.66638070283</v>
      </c>
      <c r="G26886" s="3" t="s">
        <v>18536</v>
      </c>
    </row>
    <row r="26887">
      <c r="A26887" s="3" t="s">
        <v>43330</v>
      </c>
      <c r="B26887" s="3" t="s">
        <v>21722</v>
      </c>
      <c r="C26887" s="5" t="s">
        <v>206</v>
      </c>
      <c r="D26887" s="3" t="s">
        <v>68</v>
      </c>
      <c r="E26887" s="3" t="s">
        <v>100</v>
      </c>
      <c r="F26887" s="7">
        <v>46262.66985292505</v>
      </c>
      <c r="G26887" s="3" t="s">
        <v>18539</v>
      </c>
    </row>
    <row r="26888">
      <c r="A26888" s="3" t="s">
        <v>43331</v>
      </c>
      <c r="B26888" s="3" t="s">
        <v>21724</v>
      </c>
      <c r="C26888" s="5" t="s">
        <v>45</v>
      </c>
      <c r="D26888" s="3" t="s">
        <v>221</v>
      </c>
      <c r="E26888" s="3" t="s">
        <v>162</v>
      </c>
      <c r="F26888" s="7">
        <v>46262.7306111038</v>
      </c>
      <c r="G26888" s="3" t="s">
        <v>14401</v>
      </c>
    </row>
    <row r="26889">
      <c r="A26889" s="3" t="s">
        <v>43332</v>
      </c>
      <c r="B26889" s="3" t="s">
        <v>21724</v>
      </c>
      <c r="C26889" s="5" t="s">
        <v>221</v>
      </c>
      <c r="D26889" s="3" t="s">
        <v>614</v>
      </c>
      <c r="E26889" s="3" t="s">
        <v>118</v>
      </c>
      <c r="F26889" s="7">
        <v>46262.73408332602</v>
      </c>
      <c r="G26889" s="3" t="s">
        <v>14403</v>
      </c>
    </row>
    <row r="26890">
      <c r="A26890" s="3" t="s">
        <v>43333</v>
      </c>
      <c r="B26890" s="3" t="s">
        <v>21724</v>
      </c>
      <c r="C26890" s="5" t="s">
        <v>614</v>
      </c>
      <c r="D26890" s="3" t="s">
        <v>206</v>
      </c>
      <c r="E26890" s="3" t="s">
        <v>100</v>
      </c>
      <c r="F26890" s="7">
        <v>46262.73755554824</v>
      </c>
      <c r="G26890" s="3" t="s">
        <v>14406</v>
      </c>
    </row>
    <row r="26891">
      <c r="A26891" s="3" t="s">
        <v>43334</v>
      </c>
      <c r="B26891" s="3" t="s">
        <v>21724</v>
      </c>
      <c r="C26891" s="5" t="s">
        <v>206</v>
      </c>
      <c r="D26891" s="3" t="s">
        <v>68</v>
      </c>
      <c r="E26891" s="3" t="s">
        <v>100</v>
      </c>
      <c r="F26891" s="7">
        <v>46262.74102777046</v>
      </c>
      <c r="G26891" s="3" t="s">
        <v>14409</v>
      </c>
    </row>
    <row r="26892">
      <c r="A26892" s="3" t="s">
        <v>43335</v>
      </c>
      <c r="B26892" s="3" t="s">
        <v>21727</v>
      </c>
      <c r="C26892" s="5" t="s">
        <v>45</v>
      </c>
      <c r="D26892" s="3" t="s">
        <v>221</v>
      </c>
      <c r="E26892" s="3" t="s">
        <v>934</v>
      </c>
      <c r="F26892" s="7">
        <v>46262.80178594922</v>
      </c>
      <c r="G26892" s="3" t="s">
        <v>2770</v>
      </c>
    </row>
    <row r="26893">
      <c r="A26893" s="3" t="s">
        <v>43336</v>
      </c>
      <c r="B26893" s="3" t="s">
        <v>21727</v>
      </c>
      <c r="C26893" s="5" t="s">
        <v>221</v>
      </c>
      <c r="D26893" s="3" t="s">
        <v>195</v>
      </c>
      <c r="E26893" s="3" t="s">
        <v>934</v>
      </c>
      <c r="F26893" s="7">
        <v>46262.80525817144</v>
      </c>
      <c r="G26893" s="3" t="s">
        <v>3055</v>
      </c>
    </row>
    <row r="26894">
      <c r="A26894" s="3" t="s">
        <v>43337</v>
      </c>
      <c r="B26894" s="3" t="s">
        <v>21729</v>
      </c>
      <c r="C26894" s="5" t="s">
        <v>45</v>
      </c>
      <c r="D26894" s="3" t="s">
        <v>221</v>
      </c>
      <c r="E26894" s="3" t="s">
        <v>848</v>
      </c>
      <c r="F26894" s="7">
        <v>46262.87296079463</v>
      </c>
      <c r="G26894" s="3" t="s">
        <v>22899</v>
      </c>
    </row>
    <row r="26895">
      <c r="A26895" s="3" t="s">
        <v>43338</v>
      </c>
      <c r="B26895" s="3" t="s">
        <v>21729</v>
      </c>
      <c r="C26895" s="5" t="s">
        <v>221</v>
      </c>
      <c r="D26895" s="3" t="s">
        <v>614</v>
      </c>
      <c r="E26895" s="3" t="s">
        <v>118</v>
      </c>
      <c r="F26895" s="7">
        <v>46262.87643301685</v>
      </c>
      <c r="G26895" s="3" t="s">
        <v>22902</v>
      </c>
    </row>
    <row r="26896">
      <c r="A26896" s="3" t="s">
        <v>43339</v>
      </c>
      <c r="B26896" s="3" t="s">
        <v>21729</v>
      </c>
      <c r="C26896" s="5" t="s">
        <v>614</v>
      </c>
      <c r="D26896" s="3" t="s">
        <v>206</v>
      </c>
      <c r="E26896" s="3" t="s">
        <v>100</v>
      </c>
      <c r="F26896" s="7">
        <v>46262.879905239075</v>
      </c>
      <c r="G26896" s="3" t="s">
        <v>22905</v>
      </c>
    </row>
    <row r="26897">
      <c r="A26897" s="3" t="s">
        <v>43340</v>
      </c>
      <c r="B26897" s="3" t="s">
        <v>21729</v>
      </c>
      <c r="C26897" s="5" t="s">
        <v>206</v>
      </c>
      <c r="D26897" s="3" t="s">
        <v>68</v>
      </c>
      <c r="E26897" s="3" t="s">
        <v>100</v>
      </c>
      <c r="F26897" s="7">
        <v>46262.883377461294</v>
      </c>
      <c r="G26897" s="3" t="s">
        <v>22908</v>
      </c>
    </row>
    <row r="26898">
      <c r="A26898" s="3" t="s">
        <v>43341</v>
      </c>
      <c r="B26898" s="3" t="s">
        <v>21731</v>
      </c>
      <c r="C26898" s="5" t="s">
        <v>45</v>
      </c>
      <c r="D26898" s="3" t="s">
        <v>221</v>
      </c>
      <c r="E26898" s="3" t="s">
        <v>419</v>
      </c>
      <c r="F26898" s="7">
        <v>46262.94413564004</v>
      </c>
      <c r="G26898" s="3" t="s">
        <v>14456</v>
      </c>
    </row>
    <row r="26899">
      <c r="A26899" s="3" t="s">
        <v>43342</v>
      </c>
      <c r="B26899" s="3" t="s">
        <v>21731</v>
      </c>
      <c r="C26899" s="5" t="s">
        <v>221</v>
      </c>
      <c r="D26899" s="3" t="s">
        <v>614</v>
      </c>
      <c r="E26899" s="3" t="s">
        <v>118</v>
      </c>
      <c r="F26899" s="7">
        <v>46262.94760786226</v>
      </c>
      <c r="G26899" s="3" t="s">
        <v>14458</v>
      </c>
    </row>
    <row r="26900">
      <c r="A26900" s="3" t="s">
        <v>43343</v>
      </c>
      <c r="B26900" s="3" t="s">
        <v>21731</v>
      </c>
      <c r="C26900" s="5" t="s">
        <v>614</v>
      </c>
      <c r="D26900" s="3" t="s">
        <v>206</v>
      </c>
      <c r="E26900" s="3" t="s">
        <v>100</v>
      </c>
      <c r="F26900" s="7">
        <v>46262.95108008449</v>
      </c>
      <c r="G26900" s="3" t="s">
        <v>14461</v>
      </c>
    </row>
    <row r="26901">
      <c r="A26901" s="3" t="s">
        <v>43344</v>
      </c>
      <c r="B26901" s="3" t="s">
        <v>21731</v>
      </c>
      <c r="C26901" s="5" t="s">
        <v>206</v>
      </c>
      <c r="D26901" s="3" t="s">
        <v>68</v>
      </c>
      <c r="E26901" s="3" t="s">
        <v>100</v>
      </c>
      <c r="F26901" s="7">
        <v>46262.954552306706</v>
      </c>
      <c r="G26901" s="3" t="s">
        <v>14464</v>
      </c>
    </row>
    <row r="26902">
      <c r="A26902" s="3" t="s">
        <v>43345</v>
      </c>
      <c r="B26902" s="3" t="s">
        <v>21734</v>
      </c>
      <c r="C26902" s="5" t="s">
        <v>45</v>
      </c>
      <c r="D26902" s="3" t="s">
        <v>221</v>
      </c>
      <c r="E26902" s="3" t="s">
        <v>735</v>
      </c>
      <c r="F26902" s="7">
        <v>46263.01531048546</v>
      </c>
      <c r="G26902" s="3" t="s">
        <v>12383</v>
      </c>
    </row>
    <row r="26903">
      <c r="A26903" s="3" t="s">
        <v>43346</v>
      </c>
      <c r="B26903" s="3" t="s">
        <v>21734</v>
      </c>
      <c r="C26903" s="5" t="s">
        <v>221</v>
      </c>
      <c r="D26903" s="3" t="s">
        <v>614</v>
      </c>
      <c r="E26903" s="3" t="s">
        <v>118</v>
      </c>
      <c r="F26903" s="7">
        <v>46263.01878270768</v>
      </c>
      <c r="G26903" s="3" t="s">
        <v>12385</v>
      </c>
    </row>
    <row r="26904">
      <c r="A26904" s="3" t="s">
        <v>43347</v>
      </c>
      <c r="B26904" s="3" t="s">
        <v>21734</v>
      </c>
      <c r="C26904" s="5" t="s">
        <v>614</v>
      </c>
      <c r="D26904" s="3" t="s">
        <v>206</v>
      </c>
      <c r="E26904" s="3" t="s">
        <v>100</v>
      </c>
      <c r="F26904" s="7">
        <v>46263.02225492991</v>
      </c>
      <c r="G26904" s="3" t="s">
        <v>12388</v>
      </c>
    </row>
    <row r="26905">
      <c r="A26905" s="3" t="s">
        <v>43348</v>
      </c>
      <c r="B26905" s="3" t="s">
        <v>21734</v>
      </c>
      <c r="C26905" s="5" t="s">
        <v>206</v>
      </c>
      <c r="D26905" s="3" t="s">
        <v>68</v>
      </c>
      <c r="E26905" s="3" t="s">
        <v>100</v>
      </c>
      <c r="F26905" s="7">
        <v>46263.025727152126</v>
      </c>
      <c r="G26905" s="3" t="s">
        <v>12391</v>
      </c>
    </row>
    <row r="26906">
      <c r="A26906" s="3" t="s">
        <v>43349</v>
      </c>
      <c r="B26906" s="3" t="s">
        <v>21737</v>
      </c>
      <c r="C26906" s="5" t="s">
        <v>45</v>
      </c>
      <c r="D26906" s="3" t="s">
        <v>221</v>
      </c>
      <c r="E26906" s="3" t="s">
        <v>900</v>
      </c>
      <c r="F26906" s="7">
        <v>46263.08648533088</v>
      </c>
      <c r="G26906" s="3" t="s">
        <v>19675</v>
      </c>
    </row>
    <row r="26907">
      <c r="A26907" s="3" t="s">
        <v>43350</v>
      </c>
      <c r="B26907" s="3" t="s">
        <v>21737</v>
      </c>
      <c r="C26907" s="5" t="s">
        <v>221</v>
      </c>
      <c r="D26907" s="3" t="s">
        <v>614</v>
      </c>
      <c r="E26907" s="3" t="s">
        <v>118</v>
      </c>
      <c r="F26907" s="7">
        <v>46263.0899575531</v>
      </c>
      <c r="G26907" s="3" t="s">
        <v>19678</v>
      </c>
    </row>
    <row r="26908">
      <c r="A26908" s="3" t="s">
        <v>43351</v>
      </c>
      <c r="B26908" s="3" t="s">
        <v>21737</v>
      </c>
      <c r="C26908" s="5" t="s">
        <v>614</v>
      </c>
      <c r="D26908" s="3" t="s">
        <v>206</v>
      </c>
      <c r="E26908" s="3" t="s">
        <v>100</v>
      </c>
      <c r="F26908" s="7">
        <v>46263.09342977533</v>
      </c>
      <c r="G26908" s="3" t="s">
        <v>19681</v>
      </c>
    </row>
    <row r="26909">
      <c r="A26909" s="3" t="s">
        <v>43352</v>
      </c>
      <c r="B26909" s="3" t="s">
        <v>21737</v>
      </c>
      <c r="C26909" s="5" t="s">
        <v>206</v>
      </c>
      <c r="D26909" s="3" t="s">
        <v>68</v>
      </c>
      <c r="E26909" s="3" t="s">
        <v>100</v>
      </c>
      <c r="F26909" s="7">
        <v>46263.096901997546</v>
      </c>
      <c r="G26909" s="3" t="s">
        <v>19684</v>
      </c>
    </row>
    <row r="26910">
      <c r="A26910" s="3" t="s">
        <v>43353</v>
      </c>
      <c r="B26910" s="3" t="s">
        <v>21741</v>
      </c>
      <c r="C26910" s="5" t="s">
        <v>45</v>
      </c>
      <c r="D26910" s="3" t="s">
        <v>221</v>
      </c>
      <c r="E26910" s="3" t="s">
        <v>778</v>
      </c>
      <c r="F26910" s="7">
        <v>46263.157660176286</v>
      </c>
      <c r="G26910" s="3" t="s">
        <v>13340</v>
      </c>
    </row>
    <row r="26911">
      <c r="A26911" s="3" t="s">
        <v>43354</v>
      </c>
      <c r="B26911" s="3" t="s">
        <v>21741</v>
      </c>
      <c r="C26911" s="5" t="s">
        <v>221</v>
      </c>
      <c r="D26911" s="3" t="s">
        <v>614</v>
      </c>
      <c r="E26911" s="3" t="s">
        <v>118</v>
      </c>
      <c r="F26911" s="7">
        <v>46263.161132398505</v>
      </c>
      <c r="G26911" s="3" t="s">
        <v>13344</v>
      </c>
    </row>
    <row r="26912">
      <c r="A26912" s="3" t="s">
        <v>43355</v>
      </c>
      <c r="B26912" s="3" t="s">
        <v>21741</v>
      </c>
      <c r="C26912" s="5" t="s">
        <v>614</v>
      </c>
      <c r="D26912" s="3" t="s">
        <v>206</v>
      </c>
      <c r="E26912" s="3" t="s">
        <v>100</v>
      </c>
      <c r="F26912" s="7">
        <v>46263.16460462073</v>
      </c>
      <c r="G26912" s="3" t="s">
        <v>13347</v>
      </c>
    </row>
    <row r="26913">
      <c r="A26913" s="3" t="s">
        <v>43356</v>
      </c>
      <c r="B26913" s="3" t="s">
        <v>21741</v>
      </c>
      <c r="C26913" s="5" t="s">
        <v>206</v>
      </c>
      <c r="D26913" s="3" t="s">
        <v>68</v>
      </c>
      <c r="E26913" s="3" t="s">
        <v>100</v>
      </c>
      <c r="F26913" s="7">
        <v>46263.16807684295</v>
      </c>
      <c r="G26913" s="3" t="s">
        <v>13352</v>
      </c>
    </row>
    <row r="26914">
      <c r="A26914" s="3" t="s">
        <v>43357</v>
      </c>
      <c r="B26914" s="3" t="s">
        <v>21744</v>
      </c>
      <c r="C26914" s="5" t="s">
        <v>45</v>
      </c>
      <c r="D26914" s="3" t="s">
        <v>221</v>
      </c>
      <c r="E26914" s="3" t="s">
        <v>725</v>
      </c>
      <c r="F26914" s="7">
        <v>46263.228835021706</v>
      </c>
      <c r="G26914" s="3" t="s">
        <v>43358</v>
      </c>
    </row>
    <row r="26915">
      <c r="A26915" s="3" t="s">
        <v>43359</v>
      </c>
      <c r="B26915" s="3" t="s">
        <v>21744</v>
      </c>
      <c r="C26915" s="5" t="s">
        <v>221</v>
      </c>
      <c r="D26915" s="3" t="s">
        <v>614</v>
      </c>
      <c r="E26915" s="3" t="s">
        <v>118</v>
      </c>
      <c r="F26915" s="7">
        <v>46263.232307243925</v>
      </c>
      <c r="G26915" s="3" t="s">
        <v>43360</v>
      </c>
    </row>
    <row r="26916">
      <c r="A26916" s="3" t="s">
        <v>43361</v>
      </c>
      <c r="B26916" s="3" t="s">
        <v>21744</v>
      </c>
      <c r="C26916" s="5" t="s">
        <v>614</v>
      </c>
      <c r="D26916" s="3" t="s">
        <v>206</v>
      </c>
      <c r="E26916" s="3" t="s">
        <v>100</v>
      </c>
      <c r="F26916" s="7">
        <v>46263.23577946615</v>
      </c>
      <c r="G26916" s="3" t="s">
        <v>43362</v>
      </c>
    </row>
    <row r="26917">
      <c r="A26917" s="3" t="s">
        <v>43363</v>
      </c>
      <c r="B26917" s="3" t="s">
        <v>21744</v>
      </c>
      <c r="C26917" s="5" t="s">
        <v>206</v>
      </c>
      <c r="D26917" s="3" t="s">
        <v>68</v>
      </c>
      <c r="E26917" s="3" t="s">
        <v>100</v>
      </c>
      <c r="F26917" s="7">
        <v>46263.23925168837</v>
      </c>
      <c r="G26917" s="3" t="s">
        <v>43364</v>
      </c>
    </row>
    <row r="26918">
      <c r="A26918" s="3" t="s">
        <v>43365</v>
      </c>
      <c r="B26918" s="3" t="s">
        <v>21748</v>
      </c>
      <c r="C26918" s="5" t="s">
        <v>45</v>
      </c>
      <c r="D26918" s="3" t="s">
        <v>221</v>
      </c>
      <c r="E26918" s="3" t="s">
        <v>193</v>
      </c>
      <c r="F26918" s="7">
        <v>46263.30000986712</v>
      </c>
      <c r="G26918" s="3" t="s">
        <v>11131</v>
      </c>
    </row>
    <row r="26919">
      <c r="A26919" s="3" t="s">
        <v>43366</v>
      </c>
      <c r="B26919" s="3" t="s">
        <v>21748</v>
      </c>
      <c r="C26919" s="5" t="s">
        <v>221</v>
      </c>
      <c r="D26919" s="3" t="s">
        <v>614</v>
      </c>
      <c r="E26919" s="3" t="s">
        <v>118</v>
      </c>
      <c r="F26919" s="7">
        <v>46263.30348208934</v>
      </c>
      <c r="G26919" s="3" t="s">
        <v>20971</v>
      </c>
    </row>
    <row r="26920">
      <c r="A26920" s="3" t="s">
        <v>43367</v>
      </c>
      <c r="B26920" s="3" t="s">
        <v>21748</v>
      </c>
      <c r="C26920" s="5" t="s">
        <v>614</v>
      </c>
      <c r="D26920" s="3" t="s">
        <v>206</v>
      </c>
      <c r="E26920" s="3" t="s">
        <v>100</v>
      </c>
      <c r="F26920" s="7">
        <v>46263.30695431156</v>
      </c>
      <c r="G26920" s="3" t="s">
        <v>20974</v>
      </c>
    </row>
    <row r="26921">
      <c r="A26921" s="3" t="s">
        <v>43368</v>
      </c>
      <c r="B26921" s="3" t="s">
        <v>21748</v>
      </c>
      <c r="C26921" s="5" t="s">
        <v>206</v>
      </c>
      <c r="D26921" s="3" t="s">
        <v>68</v>
      </c>
      <c r="E26921" s="3" t="s">
        <v>100</v>
      </c>
      <c r="F26921" s="7">
        <v>46263.31042653378</v>
      </c>
      <c r="G26921" s="3" t="s">
        <v>20976</v>
      </c>
    </row>
    <row r="26922">
      <c r="A26922" s="3" t="s">
        <v>43369</v>
      </c>
      <c r="B26922" s="3" t="s">
        <v>21751</v>
      </c>
      <c r="C26922" s="5" t="s">
        <v>45</v>
      </c>
      <c r="D26922" s="3" t="s">
        <v>221</v>
      </c>
      <c r="E26922" s="3" t="s">
        <v>449</v>
      </c>
      <c r="F26922" s="7">
        <v>46263.37118471254</v>
      </c>
      <c r="G26922" s="3" t="s">
        <v>15209</v>
      </c>
    </row>
    <row r="26923">
      <c r="A26923" s="3" t="s">
        <v>43370</v>
      </c>
      <c r="B26923" s="3" t="s">
        <v>21751</v>
      </c>
      <c r="C26923" s="5" t="s">
        <v>221</v>
      </c>
      <c r="D26923" s="3" t="s">
        <v>614</v>
      </c>
      <c r="E26923" s="3" t="s">
        <v>118</v>
      </c>
      <c r="F26923" s="7">
        <v>46263.37465693476</v>
      </c>
      <c r="G26923" s="3" t="s">
        <v>15212</v>
      </c>
    </row>
    <row r="26924">
      <c r="A26924" s="3" t="s">
        <v>43371</v>
      </c>
      <c r="B26924" s="3" t="s">
        <v>21751</v>
      </c>
      <c r="C26924" s="5" t="s">
        <v>614</v>
      </c>
      <c r="D26924" s="3" t="s">
        <v>206</v>
      </c>
      <c r="E26924" s="3" t="s">
        <v>100</v>
      </c>
      <c r="F26924" s="7">
        <v>46263.37812915698</v>
      </c>
      <c r="G26924" s="3" t="s">
        <v>15215</v>
      </c>
    </row>
    <row r="26925">
      <c r="A26925" s="3" t="s">
        <v>43372</v>
      </c>
      <c r="B26925" s="3" t="s">
        <v>21751</v>
      </c>
      <c r="C26925" s="5" t="s">
        <v>206</v>
      </c>
      <c r="D26925" s="3" t="s">
        <v>68</v>
      </c>
      <c r="E26925" s="3" t="s">
        <v>100</v>
      </c>
      <c r="F26925" s="7">
        <v>46263.3816013792</v>
      </c>
      <c r="G26925" s="3" t="s">
        <v>15218</v>
      </c>
    </row>
    <row r="26926">
      <c r="A26926" s="3" t="s">
        <v>43373</v>
      </c>
      <c r="B26926" s="3" t="s">
        <v>21754</v>
      </c>
      <c r="C26926" s="5" t="s">
        <v>45</v>
      </c>
      <c r="D26926" s="3" t="s">
        <v>221</v>
      </c>
      <c r="E26926" s="3" t="s">
        <v>694</v>
      </c>
      <c r="F26926" s="7">
        <v>46263.44235955795</v>
      </c>
      <c r="G26926" s="3" t="s">
        <v>28553</v>
      </c>
    </row>
    <row r="26927">
      <c r="A26927" s="3" t="s">
        <v>43374</v>
      </c>
      <c r="B26927" s="3" t="s">
        <v>21754</v>
      </c>
      <c r="C26927" s="5" t="s">
        <v>221</v>
      </c>
      <c r="D26927" s="3" t="s">
        <v>614</v>
      </c>
      <c r="E26927" s="3" t="s">
        <v>118</v>
      </c>
      <c r="F26927" s="7">
        <v>46263.44583178017</v>
      </c>
      <c r="G26927" s="3" t="s">
        <v>28555</v>
      </c>
    </row>
    <row r="26928">
      <c r="A26928" s="3" t="s">
        <v>43375</v>
      </c>
      <c r="B26928" s="3" t="s">
        <v>21754</v>
      </c>
      <c r="C26928" s="5" t="s">
        <v>614</v>
      </c>
      <c r="D26928" s="3" t="s">
        <v>206</v>
      </c>
      <c r="E26928" s="3" t="s">
        <v>100</v>
      </c>
      <c r="F26928" s="7">
        <v>46263.449304002395</v>
      </c>
      <c r="G26928" s="3" t="s">
        <v>28557</v>
      </c>
    </row>
    <row r="26929">
      <c r="A26929" s="3" t="s">
        <v>43376</v>
      </c>
      <c r="B26929" s="3" t="s">
        <v>21754</v>
      </c>
      <c r="C26929" s="5" t="s">
        <v>206</v>
      </c>
      <c r="D26929" s="3" t="s">
        <v>68</v>
      </c>
      <c r="E26929" s="3" t="s">
        <v>100</v>
      </c>
      <c r="F26929" s="7">
        <v>46263.452776224614</v>
      </c>
      <c r="G26929" s="3" t="s">
        <v>28559</v>
      </c>
    </row>
    <row r="26930">
      <c r="A26930" s="3" t="s">
        <v>43377</v>
      </c>
      <c r="B26930" s="3" t="s">
        <v>21756</v>
      </c>
      <c r="C26930" s="5" t="s">
        <v>45</v>
      </c>
      <c r="D26930" s="3" t="s">
        <v>221</v>
      </c>
      <c r="E26930" s="3" t="s">
        <v>886</v>
      </c>
      <c r="F26930" s="7">
        <v>46263.51353440337</v>
      </c>
      <c r="G26930" s="3" t="s">
        <v>24595</v>
      </c>
    </row>
    <row r="26931">
      <c r="A26931" s="3" t="s">
        <v>43378</v>
      </c>
      <c r="B26931" s="3" t="s">
        <v>21756</v>
      </c>
      <c r="C26931" s="5" t="s">
        <v>221</v>
      </c>
      <c r="D26931" s="3" t="s">
        <v>614</v>
      </c>
      <c r="E26931" s="3" t="s">
        <v>118</v>
      </c>
      <c r="F26931" s="7">
        <v>46263.51700662559</v>
      </c>
      <c r="G26931" s="3" t="s">
        <v>24597</v>
      </c>
    </row>
    <row r="26932">
      <c r="A26932" s="3" t="s">
        <v>43379</v>
      </c>
      <c r="B26932" s="3" t="s">
        <v>21756</v>
      </c>
      <c r="C26932" s="5" t="s">
        <v>614</v>
      </c>
      <c r="D26932" s="3" t="s">
        <v>206</v>
      </c>
      <c r="E26932" s="3" t="s">
        <v>100</v>
      </c>
      <c r="F26932" s="7">
        <v>46263.520478847815</v>
      </c>
      <c r="G26932" s="3" t="s">
        <v>24599</v>
      </c>
    </row>
    <row r="26933">
      <c r="A26933" s="3" t="s">
        <v>43380</v>
      </c>
      <c r="B26933" s="3" t="s">
        <v>21756</v>
      </c>
      <c r="C26933" s="5" t="s">
        <v>206</v>
      </c>
      <c r="D26933" s="3" t="s">
        <v>68</v>
      </c>
      <c r="E26933" s="3" t="s">
        <v>100</v>
      </c>
      <c r="F26933" s="7">
        <v>46263.523951070034</v>
      </c>
      <c r="G26933" s="3" t="s">
        <v>24601</v>
      </c>
    </row>
    <row r="26934">
      <c r="A26934" s="3" t="s">
        <v>43381</v>
      </c>
      <c r="B26934" s="3" t="s">
        <v>21758</v>
      </c>
      <c r="C26934" s="5" t="s">
        <v>45</v>
      </c>
      <c r="D26934" s="3" t="s">
        <v>221</v>
      </c>
      <c r="E26934" s="3" t="s">
        <v>763</v>
      </c>
      <c r="F26934" s="7">
        <v>46263.58470924878</v>
      </c>
      <c r="G26934" s="3" t="s">
        <v>43382</v>
      </c>
    </row>
    <row r="26935">
      <c r="A26935" s="3" t="s">
        <v>43383</v>
      </c>
      <c r="B26935" s="3" t="s">
        <v>21758</v>
      </c>
      <c r="C26935" s="5" t="s">
        <v>221</v>
      </c>
      <c r="D26935" s="3" t="s">
        <v>614</v>
      </c>
      <c r="E26935" s="3" t="s">
        <v>118</v>
      </c>
      <c r="F26935" s="7">
        <v>46263.588181471</v>
      </c>
      <c r="G26935" s="3" t="s">
        <v>43384</v>
      </c>
    </row>
    <row r="26936">
      <c r="A26936" s="3" t="s">
        <v>43385</v>
      </c>
      <c r="B26936" s="3" t="s">
        <v>21758</v>
      </c>
      <c r="C26936" s="5" t="s">
        <v>614</v>
      </c>
      <c r="D26936" s="3" t="s">
        <v>206</v>
      </c>
      <c r="E26936" s="3" t="s">
        <v>100</v>
      </c>
      <c r="F26936" s="7">
        <v>46263.59165369323</v>
      </c>
      <c r="G26936" s="3" t="s">
        <v>43386</v>
      </c>
    </row>
    <row r="26937">
      <c r="A26937" s="3" t="s">
        <v>43387</v>
      </c>
      <c r="B26937" s="3" t="s">
        <v>21758</v>
      </c>
      <c r="C26937" s="5" t="s">
        <v>206</v>
      </c>
      <c r="D26937" s="3" t="s">
        <v>68</v>
      </c>
      <c r="E26937" s="3" t="s">
        <v>100</v>
      </c>
      <c r="F26937" s="7">
        <v>46263.595125915446</v>
      </c>
      <c r="G26937" s="3" t="s">
        <v>43388</v>
      </c>
    </row>
    <row r="26938">
      <c r="A26938" s="3" t="s">
        <v>43389</v>
      </c>
      <c r="B26938" s="3" t="s">
        <v>21761</v>
      </c>
      <c r="C26938" s="5" t="s">
        <v>45</v>
      </c>
      <c r="D26938" s="3" t="s">
        <v>221</v>
      </c>
      <c r="E26938" s="3" t="s">
        <v>640</v>
      </c>
      <c r="F26938" s="7">
        <v>46263.655884094194</v>
      </c>
      <c r="G26938" s="3" t="s">
        <v>14467</v>
      </c>
    </row>
    <row r="26939">
      <c r="A26939" s="3" t="s">
        <v>43390</v>
      </c>
      <c r="B26939" s="3" t="s">
        <v>21761</v>
      </c>
      <c r="C26939" s="5" t="s">
        <v>221</v>
      </c>
      <c r="D26939" s="3" t="s">
        <v>614</v>
      </c>
      <c r="E26939" s="3" t="s">
        <v>118</v>
      </c>
      <c r="F26939" s="7">
        <v>46263.65935631641</v>
      </c>
      <c r="G26939" s="3" t="s">
        <v>14470</v>
      </c>
    </row>
    <row r="26940">
      <c r="A26940" s="3" t="s">
        <v>43391</v>
      </c>
      <c r="B26940" s="3" t="s">
        <v>21761</v>
      </c>
      <c r="C26940" s="5" t="s">
        <v>614</v>
      </c>
      <c r="D26940" s="3" t="s">
        <v>206</v>
      </c>
      <c r="E26940" s="3" t="s">
        <v>100</v>
      </c>
      <c r="F26940" s="7">
        <v>46263.66282853864</v>
      </c>
      <c r="G26940" s="3" t="s">
        <v>14473</v>
      </c>
    </row>
    <row r="26941">
      <c r="A26941" s="3" t="s">
        <v>43392</v>
      </c>
      <c r="B26941" s="3" t="s">
        <v>21761</v>
      </c>
      <c r="C26941" s="5" t="s">
        <v>206</v>
      </c>
      <c r="D26941" s="3" t="s">
        <v>68</v>
      </c>
      <c r="E26941" s="3" t="s">
        <v>100</v>
      </c>
      <c r="F26941" s="7">
        <v>46263.66630076086</v>
      </c>
      <c r="G26941" s="3" t="s">
        <v>14475</v>
      </c>
    </row>
    <row r="26942">
      <c r="A26942" s="3" t="s">
        <v>43393</v>
      </c>
      <c r="B26942" s="3" t="s">
        <v>21763</v>
      </c>
      <c r="C26942" s="5" t="s">
        <v>45</v>
      </c>
      <c r="D26942" s="3" t="s">
        <v>221</v>
      </c>
      <c r="E26942" s="3" t="s">
        <v>493</v>
      </c>
      <c r="F26942" s="7">
        <v>46263.727058939614</v>
      </c>
      <c r="G26942" s="3" t="s">
        <v>22176</v>
      </c>
    </row>
    <row r="26943">
      <c r="A26943" s="3" t="s">
        <v>43394</v>
      </c>
      <c r="B26943" s="3" t="s">
        <v>21763</v>
      </c>
      <c r="C26943" s="5" t="s">
        <v>221</v>
      </c>
      <c r="D26943" s="3" t="s">
        <v>614</v>
      </c>
      <c r="E26943" s="3" t="s">
        <v>118</v>
      </c>
      <c r="F26943" s="7">
        <v>46263.73053116183</v>
      </c>
      <c r="G26943" s="3" t="s">
        <v>26201</v>
      </c>
    </row>
    <row r="26944">
      <c r="A26944" s="3" t="s">
        <v>43395</v>
      </c>
      <c r="B26944" s="3" t="s">
        <v>21763</v>
      </c>
      <c r="C26944" s="5" t="s">
        <v>614</v>
      </c>
      <c r="D26944" s="3" t="s">
        <v>206</v>
      </c>
      <c r="E26944" s="3" t="s">
        <v>100</v>
      </c>
      <c r="F26944" s="7">
        <v>46263.73400338406</v>
      </c>
      <c r="G26944" s="3" t="s">
        <v>26203</v>
      </c>
    </row>
    <row r="26945">
      <c r="A26945" s="3" t="s">
        <v>43396</v>
      </c>
      <c r="B26945" s="3" t="s">
        <v>21763</v>
      </c>
      <c r="C26945" s="5" t="s">
        <v>206</v>
      </c>
      <c r="D26945" s="3" t="s">
        <v>68</v>
      </c>
      <c r="E26945" s="3" t="s">
        <v>100</v>
      </c>
      <c r="F26945" s="7">
        <v>46263.73747560628</v>
      </c>
      <c r="G26945" s="3" t="s">
        <v>26205</v>
      </c>
    </row>
    <row r="26946">
      <c r="A26946" s="3" t="s">
        <v>43397</v>
      </c>
      <c r="B26946" s="3" t="s">
        <v>21765</v>
      </c>
      <c r="C26946" s="5" t="s">
        <v>45</v>
      </c>
      <c r="D26946" s="3" t="s">
        <v>221</v>
      </c>
      <c r="E26946" s="3" t="s">
        <v>316</v>
      </c>
      <c r="F26946" s="7">
        <v>46263.798233785026</v>
      </c>
      <c r="G26946" s="3" t="s">
        <v>27680</v>
      </c>
    </row>
    <row r="26947">
      <c r="A26947" s="3" t="s">
        <v>43398</v>
      </c>
      <c r="B26947" s="3" t="s">
        <v>21765</v>
      </c>
      <c r="C26947" s="5" t="s">
        <v>221</v>
      </c>
      <c r="D26947" s="3" t="s">
        <v>614</v>
      </c>
      <c r="E26947" s="3" t="s">
        <v>118</v>
      </c>
      <c r="F26947" s="7">
        <v>46263.801706007245</v>
      </c>
      <c r="G26947" s="3" t="s">
        <v>27682</v>
      </c>
    </row>
    <row r="26948">
      <c r="A26948" s="3" t="s">
        <v>43399</v>
      </c>
      <c r="B26948" s="3" t="s">
        <v>21765</v>
      </c>
      <c r="C26948" s="5" t="s">
        <v>614</v>
      </c>
      <c r="D26948" s="3" t="s">
        <v>206</v>
      </c>
      <c r="E26948" s="3" t="s">
        <v>100</v>
      </c>
      <c r="F26948" s="7">
        <v>46263.80517822947</v>
      </c>
      <c r="G26948" s="3" t="s">
        <v>27684</v>
      </c>
    </row>
    <row r="26949">
      <c r="A26949" s="3" t="s">
        <v>43400</v>
      </c>
      <c r="B26949" s="3" t="s">
        <v>21765</v>
      </c>
      <c r="C26949" s="5" t="s">
        <v>206</v>
      </c>
      <c r="D26949" s="3" t="s">
        <v>68</v>
      </c>
      <c r="E26949" s="3" t="s">
        <v>100</v>
      </c>
      <c r="F26949" s="7">
        <v>46263.80865045169</v>
      </c>
      <c r="G26949" s="3" t="s">
        <v>27686</v>
      </c>
    </row>
    <row r="26950">
      <c r="A26950" s="3" t="s">
        <v>43401</v>
      </c>
      <c r="B26950" s="3" t="s">
        <v>21767</v>
      </c>
      <c r="C26950" s="5" t="s">
        <v>45</v>
      </c>
      <c r="D26950" s="3" t="s">
        <v>221</v>
      </c>
      <c r="E26950" s="3" t="s">
        <v>1026</v>
      </c>
      <c r="F26950" s="7">
        <v>46263.86940863044</v>
      </c>
      <c r="G26950" s="3" t="s">
        <v>14527</v>
      </c>
    </row>
    <row r="26951">
      <c r="A26951" s="3" t="s">
        <v>43402</v>
      </c>
      <c r="B26951" s="3" t="s">
        <v>21767</v>
      </c>
      <c r="C26951" s="5" t="s">
        <v>221</v>
      </c>
      <c r="D26951" s="3" t="s">
        <v>614</v>
      </c>
      <c r="E26951" s="3" t="s">
        <v>118</v>
      </c>
      <c r="F26951" s="7">
        <v>46263.87288085266</v>
      </c>
      <c r="G26951" s="3" t="s">
        <v>14529</v>
      </c>
    </row>
    <row r="26952">
      <c r="A26952" s="3" t="s">
        <v>43403</v>
      </c>
      <c r="B26952" s="3" t="s">
        <v>21767</v>
      </c>
      <c r="C26952" s="5" t="s">
        <v>614</v>
      </c>
      <c r="D26952" s="3" t="s">
        <v>206</v>
      </c>
      <c r="E26952" s="3" t="s">
        <v>100</v>
      </c>
      <c r="F26952" s="7">
        <v>46263.876353074884</v>
      </c>
      <c r="G26952" s="3" t="s">
        <v>14532</v>
      </c>
    </row>
    <row r="26953">
      <c r="A26953" s="3" t="s">
        <v>43404</v>
      </c>
      <c r="B26953" s="3" t="s">
        <v>21767</v>
      </c>
      <c r="C26953" s="5" t="s">
        <v>206</v>
      </c>
      <c r="D26953" s="3" t="s">
        <v>68</v>
      </c>
      <c r="E26953" s="3" t="s">
        <v>100</v>
      </c>
      <c r="F26953" s="7">
        <v>46263.8798252971</v>
      </c>
      <c r="G26953" s="3" t="s">
        <v>14535</v>
      </c>
    </row>
    <row r="26954">
      <c r="A26954" s="3" t="s">
        <v>43405</v>
      </c>
      <c r="B26954" s="3" t="s">
        <v>21769</v>
      </c>
      <c r="C26954" s="5" t="s">
        <v>45</v>
      </c>
      <c r="D26954" s="3" t="s">
        <v>221</v>
      </c>
      <c r="E26954" s="3" t="s">
        <v>533</v>
      </c>
      <c r="F26954" s="7">
        <v>46263.94058347586</v>
      </c>
      <c r="G26954" s="3" t="s">
        <v>14538</v>
      </c>
    </row>
    <row r="26955">
      <c r="A26955" s="3" t="s">
        <v>43406</v>
      </c>
      <c r="B26955" s="3" t="s">
        <v>21769</v>
      </c>
      <c r="C26955" s="5" t="s">
        <v>221</v>
      </c>
      <c r="D26955" s="3" t="s">
        <v>614</v>
      </c>
      <c r="E26955" s="3" t="s">
        <v>118</v>
      </c>
      <c r="F26955" s="7">
        <v>46263.94405569808</v>
      </c>
      <c r="G26955" s="3" t="s">
        <v>14541</v>
      </c>
    </row>
    <row r="26956">
      <c r="A26956" s="3" t="s">
        <v>43407</v>
      </c>
      <c r="B26956" s="3" t="s">
        <v>21769</v>
      </c>
      <c r="C26956" s="5" t="s">
        <v>614</v>
      </c>
      <c r="D26956" s="3" t="s">
        <v>206</v>
      </c>
      <c r="E26956" s="3" t="s">
        <v>100</v>
      </c>
      <c r="F26956" s="7">
        <v>46263.9475279203</v>
      </c>
      <c r="G26956" s="3" t="s">
        <v>14544</v>
      </c>
    </row>
    <row r="26957">
      <c r="A26957" s="3" t="s">
        <v>43408</v>
      </c>
      <c r="B26957" s="3" t="s">
        <v>21769</v>
      </c>
      <c r="C26957" s="5" t="s">
        <v>206</v>
      </c>
      <c r="D26957" s="3" t="s">
        <v>68</v>
      </c>
      <c r="E26957" s="3" t="s">
        <v>100</v>
      </c>
      <c r="F26957" s="7">
        <v>46263.95100014252</v>
      </c>
      <c r="G26957" s="3" t="s">
        <v>14546</v>
      </c>
    </row>
    <row r="26958">
      <c r="A26958" s="3" t="s">
        <v>43409</v>
      </c>
      <c r="B26958" s="3" t="s">
        <v>21771</v>
      </c>
      <c r="C26958" s="5" t="s">
        <v>45</v>
      </c>
      <c r="D26958" s="3" t="s">
        <v>221</v>
      </c>
      <c r="E26958" s="3" t="s">
        <v>742</v>
      </c>
      <c r="F26958" s="7">
        <v>46264.01175832127</v>
      </c>
      <c r="G26958" s="3" t="s">
        <v>8303</v>
      </c>
    </row>
    <row r="26959">
      <c r="A26959" s="3" t="s">
        <v>43410</v>
      </c>
      <c r="B26959" s="3" t="s">
        <v>21771</v>
      </c>
      <c r="C26959" s="5" t="s">
        <v>221</v>
      </c>
      <c r="D26959" s="3" t="s">
        <v>614</v>
      </c>
      <c r="E26959" s="3" t="s">
        <v>118</v>
      </c>
      <c r="F26959" s="7">
        <v>46264.01523054349</v>
      </c>
      <c r="G26959" s="3" t="s">
        <v>8306</v>
      </c>
    </row>
    <row r="26960">
      <c r="A26960" s="3" t="s">
        <v>43411</v>
      </c>
      <c r="B26960" s="3" t="s">
        <v>21771</v>
      </c>
      <c r="C26960" s="5" t="s">
        <v>614</v>
      </c>
      <c r="D26960" s="3" t="s">
        <v>206</v>
      </c>
      <c r="E26960" s="3" t="s">
        <v>100</v>
      </c>
      <c r="F26960" s="7">
        <v>46264.018702765716</v>
      </c>
      <c r="G26960" s="3" t="s">
        <v>8309</v>
      </c>
    </row>
    <row r="26961">
      <c r="A26961" s="3" t="s">
        <v>43412</v>
      </c>
      <c r="B26961" s="3" t="s">
        <v>21771</v>
      </c>
      <c r="C26961" s="5" t="s">
        <v>206</v>
      </c>
      <c r="D26961" s="3" t="s">
        <v>68</v>
      </c>
      <c r="E26961" s="3" t="s">
        <v>100</v>
      </c>
      <c r="F26961" s="7">
        <v>46264.022174987935</v>
      </c>
      <c r="G26961" s="3" t="s">
        <v>8312</v>
      </c>
    </row>
    <row r="26962">
      <c r="A26962" s="3" t="s">
        <v>43413</v>
      </c>
      <c r="B26962" s="3" t="s">
        <v>21772</v>
      </c>
      <c r="C26962" s="5" t="s">
        <v>45</v>
      </c>
      <c r="D26962" s="3" t="s">
        <v>221</v>
      </c>
      <c r="E26962" s="3" t="s">
        <v>272</v>
      </c>
      <c r="F26962" s="7">
        <v>46264.08293316668</v>
      </c>
      <c r="G26962" s="3" t="s">
        <v>14587</v>
      </c>
    </row>
    <row r="26963">
      <c r="A26963" s="3" t="s">
        <v>43414</v>
      </c>
      <c r="B26963" s="3" t="s">
        <v>21772</v>
      </c>
      <c r="C26963" s="5" t="s">
        <v>221</v>
      </c>
      <c r="D26963" s="3" t="s">
        <v>614</v>
      </c>
      <c r="E26963" s="3" t="s">
        <v>118</v>
      </c>
      <c r="F26963" s="7">
        <v>46264.0864053889</v>
      </c>
      <c r="G26963" s="3" t="s">
        <v>14590</v>
      </c>
    </row>
    <row r="26964">
      <c r="A26964" s="3" t="s">
        <v>43415</v>
      </c>
      <c r="B26964" s="3" t="s">
        <v>21772</v>
      </c>
      <c r="C26964" s="5" t="s">
        <v>614</v>
      </c>
      <c r="D26964" s="3" t="s">
        <v>206</v>
      </c>
      <c r="E26964" s="3" t="s">
        <v>100</v>
      </c>
      <c r="F26964" s="7">
        <v>46264.08987761113</v>
      </c>
      <c r="G26964" s="3" t="s">
        <v>14593</v>
      </c>
    </row>
    <row r="26965">
      <c r="A26965" s="3" t="s">
        <v>43416</v>
      </c>
      <c r="B26965" s="3" t="s">
        <v>21772</v>
      </c>
      <c r="C26965" s="5" t="s">
        <v>206</v>
      </c>
      <c r="D26965" s="3" t="s">
        <v>68</v>
      </c>
      <c r="E26965" s="3" t="s">
        <v>100</v>
      </c>
      <c r="F26965" s="7">
        <v>46264.09334983335</v>
      </c>
      <c r="G26965" s="3" t="s">
        <v>14595</v>
      </c>
    </row>
    <row r="26966">
      <c r="A26966" s="3" t="s">
        <v>43417</v>
      </c>
      <c r="B26966" s="3" t="s">
        <v>21774</v>
      </c>
      <c r="C26966" s="5" t="s">
        <v>45</v>
      </c>
      <c r="D26966" s="3" t="s">
        <v>221</v>
      </c>
      <c r="E26966" s="3" t="s">
        <v>870</v>
      </c>
      <c r="F26966" s="7">
        <v>46264.1541080121</v>
      </c>
      <c r="G26966" s="3" t="s">
        <v>14609</v>
      </c>
    </row>
    <row r="26967">
      <c r="A26967" s="3" t="s">
        <v>43418</v>
      </c>
      <c r="B26967" s="3" t="s">
        <v>21774</v>
      </c>
      <c r="C26967" s="5" t="s">
        <v>221</v>
      </c>
      <c r="D26967" s="3" t="s">
        <v>614</v>
      </c>
      <c r="E26967" s="3" t="s">
        <v>118</v>
      </c>
      <c r="F26967" s="7">
        <v>46264.15758023432</v>
      </c>
      <c r="G26967" s="3" t="s">
        <v>14612</v>
      </c>
    </row>
    <row r="26968">
      <c r="A26968" s="3" t="s">
        <v>43419</v>
      </c>
      <c r="B26968" s="3" t="s">
        <v>21774</v>
      </c>
      <c r="C26968" s="5" t="s">
        <v>614</v>
      </c>
      <c r="D26968" s="3" t="s">
        <v>206</v>
      </c>
      <c r="E26968" s="3" t="s">
        <v>100</v>
      </c>
      <c r="F26968" s="7">
        <v>46264.16105245655</v>
      </c>
      <c r="G26968" s="3" t="s">
        <v>14615</v>
      </c>
    </row>
    <row r="26969">
      <c r="A26969" s="3" t="s">
        <v>43420</v>
      </c>
      <c r="B26969" s="3" t="s">
        <v>21774</v>
      </c>
      <c r="C26969" s="5" t="s">
        <v>206</v>
      </c>
      <c r="D26969" s="3" t="s">
        <v>68</v>
      </c>
      <c r="E26969" s="3" t="s">
        <v>100</v>
      </c>
      <c r="F26969" s="7">
        <v>46264.16452467877</v>
      </c>
      <c r="G26969" s="3" t="s">
        <v>14618</v>
      </c>
    </row>
    <row r="26970">
      <c r="A26970" s="3" t="s">
        <v>43421</v>
      </c>
      <c r="B26970" s="3" t="s">
        <v>21776</v>
      </c>
      <c r="C26970" s="5" t="s">
        <v>45</v>
      </c>
      <c r="D26970" s="3" t="s">
        <v>221</v>
      </c>
      <c r="E26970" s="3" t="s">
        <v>148</v>
      </c>
      <c r="F26970" s="7">
        <v>46264.22528285752</v>
      </c>
      <c r="G26970" s="3" t="s">
        <v>16504</v>
      </c>
    </row>
    <row r="26971">
      <c r="A26971" s="3" t="s">
        <v>43422</v>
      </c>
      <c r="B26971" s="3" t="s">
        <v>21776</v>
      </c>
      <c r="C26971" s="5" t="s">
        <v>221</v>
      </c>
      <c r="D26971" s="3" t="s">
        <v>614</v>
      </c>
      <c r="E26971" s="3" t="s">
        <v>118</v>
      </c>
      <c r="F26971" s="7">
        <v>46264.22875507974</v>
      </c>
      <c r="G26971" s="3" t="s">
        <v>16644</v>
      </c>
    </row>
    <row r="26972">
      <c r="A26972" s="3" t="s">
        <v>43423</v>
      </c>
      <c r="B26972" s="3" t="s">
        <v>21776</v>
      </c>
      <c r="C26972" s="5" t="s">
        <v>614</v>
      </c>
      <c r="D26972" s="3" t="s">
        <v>206</v>
      </c>
      <c r="E26972" s="3" t="s">
        <v>100</v>
      </c>
      <c r="F26972" s="7">
        <v>46264.23222730197</v>
      </c>
      <c r="G26972" s="3" t="s">
        <v>16647</v>
      </c>
    </row>
    <row r="26973">
      <c r="A26973" s="3" t="s">
        <v>43424</v>
      </c>
      <c r="B26973" s="3" t="s">
        <v>21776</v>
      </c>
      <c r="C26973" s="5" t="s">
        <v>206</v>
      </c>
      <c r="D26973" s="3" t="s">
        <v>68</v>
      </c>
      <c r="E26973" s="3" t="s">
        <v>100</v>
      </c>
      <c r="F26973" s="7">
        <v>46264.235699524186</v>
      </c>
      <c r="G26973" s="3" t="s">
        <v>16649</v>
      </c>
    </row>
    <row r="26974">
      <c r="A26974" s="3" t="s">
        <v>43425</v>
      </c>
      <c r="B26974" s="3" t="s">
        <v>21778</v>
      </c>
      <c r="C26974" s="5" t="s">
        <v>45</v>
      </c>
      <c r="D26974" s="3" t="s">
        <v>221</v>
      </c>
      <c r="E26974" s="3" t="s">
        <v>250</v>
      </c>
      <c r="F26974" s="7">
        <v>46264.29645770293</v>
      </c>
      <c r="G26974" s="3" t="s">
        <v>27629</v>
      </c>
    </row>
    <row r="26975">
      <c r="A26975" s="3" t="s">
        <v>43426</v>
      </c>
      <c r="B26975" s="3" t="s">
        <v>21778</v>
      </c>
      <c r="C26975" s="5" t="s">
        <v>221</v>
      </c>
      <c r="D26975" s="3" t="s">
        <v>614</v>
      </c>
      <c r="E26975" s="3" t="s">
        <v>118</v>
      </c>
      <c r="F26975" s="7">
        <v>46264.299929925146</v>
      </c>
      <c r="G26975" s="3" t="s">
        <v>27631</v>
      </c>
    </row>
    <row r="26976">
      <c r="A26976" s="3" t="s">
        <v>43427</v>
      </c>
      <c r="B26976" s="3" t="s">
        <v>21778</v>
      </c>
      <c r="C26976" s="5" t="s">
        <v>614</v>
      </c>
      <c r="D26976" s="3" t="s">
        <v>206</v>
      </c>
      <c r="E26976" s="3" t="s">
        <v>100</v>
      </c>
      <c r="F26976" s="7">
        <v>46264.30340214737</v>
      </c>
      <c r="G26976" s="3" t="s">
        <v>27633</v>
      </c>
    </row>
    <row r="26977">
      <c r="A26977" s="3" t="s">
        <v>43428</v>
      </c>
      <c r="B26977" s="3" t="s">
        <v>21778</v>
      </c>
      <c r="C26977" s="5" t="s">
        <v>206</v>
      </c>
      <c r="D26977" s="3" t="s">
        <v>68</v>
      </c>
      <c r="E26977" s="3" t="s">
        <v>100</v>
      </c>
      <c r="F26977" s="7">
        <v>46264.30687436959</v>
      </c>
      <c r="G26977" s="3" t="s">
        <v>27635</v>
      </c>
    </row>
    <row r="26978">
      <c r="A26978" s="3" t="s">
        <v>43429</v>
      </c>
      <c r="B26978" s="3" t="s">
        <v>21781</v>
      </c>
      <c r="C26978" s="5" t="s">
        <v>45</v>
      </c>
      <c r="D26978" s="3" t="s">
        <v>221</v>
      </c>
      <c r="E26978" s="3" t="s">
        <v>373</v>
      </c>
      <c r="F26978" s="7">
        <v>46264.36763254835</v>
      </c>
      <c r="G26978" s="3" t="s">
        <v>14629</v>
      </c>
    </row>
    <row r="26979">
      <c r="A26979" s="3" t="s">
        <v>43430</v>
      </c>
      <c r="B26979" s="3" t="s">
        <v>21781</v>
      </c>
      <c r="C26979" s="5" t="s">
        <v>221</v>
      </c>
      <c r="D26979" s="3" t="s">
        <v>614</v>
      </c>
      <c r="E26979" s="3" t="s">
        <v>118</v>
      </c>
      <c r="F26979" s="7">
        <v>46264.371104770566</v>
      </c>
      <c r="G26979" s="3" t="s">
        <v>14632</v>
      </c>
    </row>
    <row r="26980">
      <c r="A26980" s="3" t="s">
        <v>43431</v>
      </c>
      <c r="B26980" s="3" t="s">
        <v>21781</v>
      </c>
      <c r="C26980" s="5" t="s">
        <v>614</v>
      </c>
      <c r="D26980" s="3" t="s">
        <v>206</v>
      </c>
      <c r="E26980" s="3" t="s">
        <v>100</v>
      </c>
      <c r="F26980" s="7">
        <v>46264.37457699279</v>
      </c>
      <c r="G26980" s="3" t="s">
        <v>14634</v>
      </c>
    </row>
    <row r="26981">
      <c r="A26981" s="3" t="s">
        <v>43432</v>
      </c>
      <c r="B26981" s="3" t="s">
        <v>21781</v>
      </c>
      <c r="C26981" s="5" t="s">
        <v>206</v>
      </c>
      <c r="D26981" s="3" t="s">
        <v>68</v>
      </c>
      <c r="E26981" s="3" t="s">
        <v>100</v>
      </c>
      <c r="F26981" s="7">
        <v>46264.37804921501</v>
      </c>
      <c r="G26981" s="3" t="s">
        <v>14637</v>
      </c>
    </row>
    <row r="26982">
      <c r="A26982" s="3" t="s">
        <v>43433</v>
      </c>
      <c r="B26982" s="3" t="s">
        <v>21783</v>
      </c>
      <c r="C26982" s="5" t="s">
        <v>45</v>
      </c>
      <c r="D26982" s="3" t="s">
        <v>221</v>
      </c>
      <c r="E26982" s="3" t="s">
        <v>796</v>
      </c>
      <c r="F26982" s="7">
        <v>46264.438807393766</v>
      </c>
      <c r="G26982" s="3" t="s">
        <v>35626</v>
      </c>
    </row>
    <row r="26983">
      <c r="A26983" s="3" t="s">
        <v>43434</v>
      </c>
      <c r="B26983" s="3" t="s">
        <v>21783</v>
      </c>
      <c r="C26983" s="5" t="s">
        <v>221</v>
      </c>
      <c r="D26983" s="3" t="s">
        <v>614</v>
      </c>
      <c r="E26983" s="3" t="s">
        <v>118</v>
      </c>
      <c r="F26983" s="7">
        <v>46264.442279615985</v>
      </c>
      <c r="G26983" s="3" t="s">
        <v>35628</v>
      </c>
    </row>
    <row r="26984">
      <c r="A26984" s="3" t="s">
        <v>43435</v>
      </c>
      <c r="B26984" s="3" t="s">
        <v>21783</v>
      </c>
      <c r="C26984" s="5" t="s">
        <v>614</v>
      </c>
      <c r="D26984" s="3" t="s">
        <v>206</v>
      </c>
      <c r="E26984" s="3" t="s">
        <v>100</v>
      </c>
      <c r="F26984" s="7">
        <v>46264.44575183821</v>
      </c>
      <c r="G26984" s="3" t="s">
        <v>35630</v>
      </c>
    </row>
    <row r="26985">
      <c r="A26985" s="3" t="s">
        <v>43436</v>
      </c>
      <c r="B26985" s="3" t="s">
        <v>21783</v>
      </c>
      <c r="C26985" s="5" t="s">
        <v>206</v>
      </c>
      <c r="D26985" s="3" t="s">
        <v>68</v>
      </c>
      <c r="E26985" s="3" t="s">
        <v>100</v>
      </c>
      <c r="F26985" s="7">
        <v>46264.44922406043</v>
      </c>
      <c r="G26985" s="3" t="s">
        <v>35632</v>
      </c>
    </row>
    <row r="26986">
      <c r="A26986" s="3" t="s">
        <v>43437</v>
      </c>
      <c r="B26986" s="3" t="s">
        <v>21785</v>
      </c>
      <c r="C26986" s="5" t="s">
        <v>45</v>
      </c>
      <c r="D26986" s="3" t="s">
        <v>221</v>
      </c>
      <c r="E26986" s="3" t="s">
        <v>870</v>
      </c>
      <c r="F26986" s="7">
        <v>46264.50998223918</v>
      </c>
      <c r="G26986" s="3" t="s">
        <v>15427</v>
      </c>
    </row>
    <row r="26987">
      <c r="A26987" s="3" t="s">
        <v>43438</v>
      </c>
      <c r="B26987" s="3" t="s">
        <v>21785</v>
      </c>
      <c r="C26987" s="5" t="s">
        <v>221</v>
      </c>
      <c r="D26987" s="3" t="s">
        <v>614</v>
      </c>
      <c r="E26987" s="3" t="s">
        <v>118</v>
      </c>
      <c r="F26987" s="7">
        <v>46264.5134544614</v>
      </c>
      <c r="G26987" s="3" t="s">
        <v>15430</v>
      </c>
    </row>
    <row r="26988">
      <c r="A26988" s="3" t="s">
        <v>43439</v>
      </c>
      <c r="B26988" s="3" t="s">
        <v>21785</v>
      </c>
      <c r="C26988" s="5" t="s">
        <v>614</v>
      </c>
      <c r="D26988" s="3" t="s">
        <v>206</v>
      </c>
      <c r="E26988" s="3" t="s">
        <v>100</v>
      </c>
      <c r="F26988" s="7">
        <v>46264.516926683624</v>
      </c>
      <c r="G26988" s="3" t="s">
        <v>15433</v>
      </c>
    </row>
    <row r="26989">
      <c r="A26989" s="3" t="s">
        <v>43440</v>
      </c>
      <c r="B26989" s="3" t="s">
        <v>21785</v>
      </c>
      <c r="C26989" s="5" t="s">
        <v>206</v>
      </c>
      <c r="D26989" s="3" t="s">
        <v>68</v>
      </c>
      <c r="E26989" s="3" t="s">
        <v>100</v>
      </c>
      <c r="F26989" s="7">
        <v>46264.52039890584</v>
      </c>
      <c r="G26989" s="3" t="s">
        <v>15436</v>
      </c>
    </row>
    <row r="26990">
      <c r="A26990" s="3" t="s">
        <v>43441</v>
      </c>
      <c r="B26990" s="3" t="s">
        <v>21787</v>
      </c>
      <c r="C26990" s="5" t="s">
        <v>45</v>
      </c>
      <c r="D26990" s="3" t="s">
        <v>221</v>
      </c>
      <c r="E26990" s="3" t="s">
        <v>903</v>
      </c>
      <c r="F26990" s="7">
        <v>46264.58115708459</v>
      </c>
      <c r="G26990" s="3" t="s">
        <v>14886</v>
      </c>
    </row>
    <row r="26991">
      <c r="A26991" s="3" t="s">
        <v>43442</v>
      </c>
      <c r="B26991" s="3" t="s">
        <v>21787</v>
      </c>
      <c r="C26991" s="5" t="s">
        <v>221</v>
      </c>
      <c r="D26991" s="3" t="s">
        <v>614</v>
      </c>
      <c r="E26991" s="3" t="s">
        <v>118</v>
      </c>
      <c r="F26991" s="7">
        <v>46264.58462930681</v>
      </c>
      <c r="G26991" s="3" t="s">
        <v>14889</v>
      </c>
    </row>
    <row r="26992">
      <c r="A26992" s="3" t="s">
        <v>43443</v>
      </c>
      <c r="B26992" s="3" t="s">
        <v>21787</v>
      </c>
      <c r="C26992" s="5" t="s">
        <v>614</v>
      </c>
      <c r="D26992" s="3" t="s">
        <v>206</v>
      </c>
      <c r="E26992" s="3" t="s">
        <v>100</v>
      </c>
      <c r="F26992" s="7">
        <v>46264.588101529036</v>
      </c>
      <c r="G26992" s="3" t="s">
        <v>14892</v>
      </c>
    </row>
    <row r="26993">
      <c r="A26993" s="3" t="s">
        <v>43444</v>
      </c>
      <c r="B26993" s="3" t="s">
        <v>21787</v>
      </c>
      <c r="C26993" s="5" t="s">
        <v>206</v>
      </c>
      <c r="D26993" s="3" t="s">
        <v>68</v>
      </c>
      <c r="E26993" s="3" t="s">
        <v>100</v>
      </c>
      <c r="F26993" s="7">
        <v>46264.591573751255</v>
      </c>
      <c r="G26993" s="3" t="s">
        <v>14895</v>
      </c>
    </row>
    <row r="26994">
      <c r="A26994" s="3" t="s">
        <v>43445</v>
      </c>
      <c r="B26994" s="3" t="s">
        <v>21790</v>
      </c>
      <c r="C26994" s="5" t="s">
        <v>45</v>
      </c>
      <c r="D26994" s="3" t="s">
        <v>221</v>
      </c>
      <c r="E26994" s="3" t="s">
        <v>708</v>
      </c>
      <c r="F26994" s="7">
        <v>46264.65233193001</v>
      </c>
      <c r="G26994" s="3" t="s">
        <v>16383</v>
      </c>
    </row>
    <row r="26995">
      <c r="A26995" s="3" t="s">
        <v>43446</v>
      </c>
      <c r="B26995" s="3" t="s">
        <v>21790</v>
      </c>
      <c r="C26995" s="5" t="s">
        <v>221</v>
      </c>
      <c r="D26995" s="3" t="s">
        <v>614</v>
      </c>
      <c r="E26995" s="3" t="s">
        <v>118</v>
      </c>
      <c r="F26995" s="7">
        <v>46264.65580415223</v>
      </c>
      <c r="G26995" s="3" t="s">
        <v>16385</v>
      </c>
    </row>
    <row r="26996">
      <c r="A26996" s="3" t="s">
        <v>43447</v>
      </c>
      <c r="B26996" s="3" t="s">
        <v>21790</v>
      </c>
      <c r="C26996" s="5" t="s">
        <v>614</v>
      </c>
      <c r="D26996" s="3" t="s">
        <v>206</v>
      </c>
      <c r="E26996" s="3" t="s">
        <v>100</v>
      </c>
      <c r="F26996" s="7">
        <v>46264.659276374456</v>
      </c>
      <c r="G26996" s="3" t="s">
        <v>16388</v>
      </c>
    </row>
    <row r="26997">
      <c r="A26997" s="3" t="s">
        <v>43448</v>
      </c>
      <c r="B26997" s="3" t="s">
        <v>21790</v>
      </c>
      <c r="C26997" s="5" t="s">
        <v>206</v>
      </c>
      <c r="D26997" s="3" t="s">
        <v>68</v>
      </c>
      <c r="E26997" s="3" t="s">
        <v>100</v>
      </c>
      <c r="F26997" s="7">
        <v>46264.662748596675</v>
      </c>
      <c r="G26997" s="3" t="s">
        <v>16391</v>
      </c>
    </row>
    <row r="26998">
      <c r="A26998" s="3" t="s">
        <v>43449</v>
      </c>
      <c r="B26998" s="3" t="s">
        <v>21794</v>
      </c>
      <c r="C26998" s="5" t="s">
        <v>45</v>
      </c>
      <c r="D26998" s="3" t="s">
        <v>221</v>
      </c>
      <c r="E26998" s="3" t="s">
        <v>479</v>
      </c>
      <c r="F26998" s="7">
        <v>46264.72350677542</v>
      </c>
      <c r="G26998" s="3" t="s">
        <v>37454</v>
      </c>
    </row>
    <row r="26999">
      <c r="A26999" s="3" t="s">
        <v>43450</v>
      </c>
      <c r="B26999" s="3" t="s">
        <v>21794</v>
      </c>
      <c r="C26999" s="5" t="s">
        <v>221</v>
      </c>
      <c r="D26999" s="3" t="s">
        <v>614</v>
      </c>
      <c r="E26999" s="3" t="s">
        <v>118</v>
      </c>
      <c r="F26999" s="7">
        <v>46264.72697899764</v>
      </c>
      <c r="G26999" s="3" t="s">
        <v>37456</v>
      </c>
    </row>
    <row r="27000">
      <c r="A27000" s="3" t="s">
        <v>43451</v>
      </c>
      <c r="B27000" s="3" t="s">
        <v>21794</v>
      </c>
      <c r="C27000" s="5" t="s">
        <v>614</v>
      </c>
      <c r="D27000" s="3" t="s">
        <v>206</v>
      </c>
      <c r="E27000" s="3" t="s">
        <v>100</v>
      </c>
      <c r="F27000" s="7">
        <v>46264.73045121987</v>
      </c>
      <c r="G27000" s="3" t="s">
        <v>37458</v>
      </c>
    </row>
    <row r="27001">
      <c r="A27001" s="3" t="s">
        <v>43452</v>
      </c>
      <c r="B27001" s="3" t="s">
        <v>21794</v>
      </c>
      <c r="C27001" s="5" t="s">
        <v>206</v>
      </c>
      <c r="D27001" s="3" t="s">
        <v>68</v>
      </c>
      <c r="E27001" s="3" t="s">
        <v>100</v>
      </c>
      <c r="F27001" s="7">
        <v>46264.73392344209</v>
      </c>
      <c r="G27001" s="3" t="s">
        <v>37460</v>
      </c>
    </row>
    <row r="27002">
      <c r="A27002" s="3" t="s">
        <v>43453</v>
      </c>
      <c r="B27002" s="3" t="s">
        <v>21796</v>
      </c>
      <c r="C27002" s="5" t="s">
        <v>45</v>
      </c>
      <c r="D27002" s="3" t="s">
        <v>221</v>
      </c>
      <c r="E27002" s="3" t="s">
        <v>961</v>
      </c>
      <c r="F27002" s="7">
        <v>46264.794681620835</v>
      </c>
      <c r="G27002" s="3" t="s">
        <v>14421</v>
      </c>
    </row>
    <row r="27003">
      <c r="A27003" s="3" t="s">
        <v>43454</v>
      </c>
      <c r="B27003" s="3" t="s">
        <v>21796</v>
      </c>
      <c r="C27003" s="5" t="s">
        <v>221</v>
      </c>
      <c r="D27003" s="3" t="s">
        <v>195</v>
      </c>
      <c r="E27003" s="3" t="s">
        <v>961</v>
      </c>
      <c r="F27003" s="7">
        <v>46264.798153843054</v>
      </c>
      <c r="G27003" s="3" t="s">
        <v>43455</v>
      </c>
    </row>
    <row r="27004">
      <c r="A27004" s="3" t="s">
        <v>43456</v>
      </c>
      <c r="B27004" s="3" t="s">
        <v>21798</v>
      </c>
      <c r="C27004" s="5" t="s">
        <v>45</v>
      </c>
      <c r="D27004" s="3" t="s">
        <v>221</v>
      </c>
      <c r="E27004" s="3" t="s">
        <v>587</v>
      </c>
      <c r="F27004" s="7">
        <v>46264.865856466255</v>
      </c>
      <c r="G27004" s="3" t="s">
        <v>26256</v>
      </c>
    </row>
    <row r="27005">
      <c r="A27005" s="3" t="s">
        <v>43457</v>
      </c>
      <c r="B27005" s="3" t="s">
        <v>21798</v>
      </c>
      <c r="C27005" s="5" t="s">
        <v>221</v>
      </c>
      <c r="D27005" s="3" t="s">
        <v>614</v>
      </c>
      <c r="E27005" s="3" t="s">
        <v>118</v>
      </c>
      <c r="F27005" s="7">
        <v>46264.86932868847</v>
      </c>
      <c r="G27005" s="3" t="s">
        <v>26258</v>
      </c>
    </row>
    <row r="27006">
      <c r="A27006" s="3" t="s">
        <v>43458</v>
      </c>
      <c r="B27006" s="3" t="s">
        <v>21798</v>
      </c>
      <c r="C27006" s="5" t="s">
        <v>614</v>
      </c>
      <c r="D27006" s="3" t="s">
        <v>206</v>
      </c>
      <c r="E27006" s="3" t="s">
        <v>100</v>
      </c>
      <c r="F27006" s="7">
        <v>46264.8728009107</v>
      </c>
      <c r="G27006" s="3" t="s">
        <v>26260</v>
      </c>
    </row>
    <row r="27007">
      <c r="A27007" s="3" t="s">
        <v>43459</v>
      </c>
      <c r="B27007" s="3" t="s">
        <v>21798</v>
      </c>
      <c r="C27007" s="5" t="s">
        <v>206</v>
      </c>
      <c r="D27007" s="3" t="s">
        <v>68</v>
      </c>
      <c r="E27007" s="3" t="s">
        <v>100</v>
      </c>
      <c r="F27007" s="7">
        <v>46264.87627313292</v>
      </c>
      <c r="G27007" s="3" t="s">
        <v>26262</v>
      </c>
    </row>
    <row r="27008">
      <c r="A27008" s="3" t="s">
        <v>43460</v>
      </c>
      <c r="B27008" s="3" t="s">
        <v>21800</v>
      </c>
      <c r="C27008" s="5" t="s">
        <v>45</v>
      </c>
      <c r="D27008" s="3" t="s">
        <v>221</v>
      </c>
      <c r="E27008" s="3" t="s">
        <v>530</v>
      </c>
      <c r="F27008" s="7">
        <v>46264.93703131167</v>
      </c>
      <c r="G27008" s="3" t="s">
        <v>14641</v>
      </c>
    </row>
    <row r="27009">
      <c r="A27009" s="3" t="s">
        <v>43461</v>
      </c>
      <c r="B27009" s="3" t="s">
        <v>21800</v>
      </c>
      <c r="C27009" s="5" t="s">
        <v>221</v>
      </c>
      <c r="D27009" s="3" t="s">
        <v>614</v>
      </c>
      <c r="E27009" s="3" t="s">
        <v>118</v>
      </c>
      <c r="F27009" s="7">
        <v>46264.940503533886</v>
      </c>
      <c r="G27009" s="3" t="s">
        <v>14644</v>
      </c>
    </row>
    <row r="27010">
      <c r="A27010" s="3" t="s">
        <v>43462</v>
      </c>
      <c r="B27010" s="3" t="s">
        <v>21800</v>
      </c>
      <c r="C27010" s="5" t="s">
        <v>614</v>
      </c>
      <c r="D27010" s="3" t="s">
        <v>206</v>
      </c>
      <c r="E27010" s="3" t="s">
        <v>100</v>
      </c>
      <c r="F27010" s="7">
        <v>46264.94397575611</v>
      </c>
      <c r="G27010" s="3" t="s">
        <v>14646</v>
      </c>
    </row>
    <row r="27011">
      <c r="A27011" s="3" t="s">
        <v>43463</v>
      </c>
      <c r="B27011" s="3" t="s">
        <v>21800</v>
      </c>
      <c r="C27011" s="5" t="s">
        <v>206</v>
      </c>
      <c r="D27011" s="3" t="s">
        <v>68</v>
      </c>
      <c r="E27011" s="3" t="s">
        <v>100</v>
      </c>
      <c r="F27011" s="7">
        <v>46264.94744797833</v>
      </c>
      <c r="G27011" s="3" t="s">
        <v>14649</v>
      </c>
    </row>
    <row r="27012">
      <c r="A27012" s="3" t="s">
        <v>43464</v>
      </c>
      <c r="B27012" s="3" t="s">
        <v>21802</v>
      </c>
      <c r="C27012" s="5" t="s">
        <v>45</v>
      </c>
      <c r="D27012" s="3" t="s">
        <v>221</v>
      </c>
      <c r="E27012" s="3" t="s">
        <v>735</v>
      </c>
      <c r="F27012" s="7">
        <v>46265.00820615708</v>
      </c>
      <c r="G27012" s="3" t="s">
        <v>15923</v>
      </c>
    </row>
    <row r="27013">
      <c r="A27013" s="3" t="s">
        <v>43465</v>
      </c>
      <c r="B27013" s="3" t="s">
        <v>21802</v>
      </c>
      <c r="C27013" s="5" t="s">
        <v>221</v>
      </c>
      <c r="D27013" s="3" t="s">
        <v>614</v>
      </c>
      <c r="E27013" s="3" t="s">
        <v>118</v>
      </c>
      <c r="F27013" s="7">
        <v>46265.0116783793</v>
      </c>
      <c r="G27013" s="3" t="s">
        <v>15925</v>
      </c>
    </row>
    <row r="27014">
      <c r="A27014" s="3" t="s">
        <v>43466</v>
      </c>
      <c r="B27014" s="3" t="s">
        <v>21802</v>
      </c>
      <c r="C27014" s="5" t="s">
        <v>614</v>
      </c>
      <c r="D27014" s="3" t="s">
        <v>206</v>
      </c>
      <c r="E27014" s="3" t="s">
        <v>100</v>
      </c>
      <c r="F27014" s="7">
        <v>46265.015150601525</v>
      </c>
      <c r="G27014" s="3" t="s">
        <v>15928</v>
      </c>
    </row>
    <row r="27015">
      <c r="A27015" s="3" t="s">
        <v>43467</v>
      </c>
      <c r="B27015" s="3" t="s">
        <v>21802</v>
      </c>
      <c r="C27015" s="5" t="s">
        <v>206</v>
      </c>
      <c r="D27015" s="3" t="s">
        <v>68</v>
      </c>
      <c r="E27015" s="3" t="s">
        <v>100</v>
      </c>
      <c r="F27015" s="7">
        <v>46265.01862282374</v>
      </c>
      <c r="G27015" s="3" t="s">
        <v>15931</v>
      </c>
    </row>
    <row r="27016">
      <c r="A27016" s="3" t="s">
        <v>43468</v>
      </c>
      <c r="B27016" s="3" t="s">
        <v>21806</v>
      </c>
      <c r="C27016" s="5" t="s">
        <v>45</v>
      </c>
      <c r="D27016" s="3" t="s">
        <v>221</v>
      </c>
      <c r="E27016" s="3" t="s">
        <v>676</v>
      </c>
      <c r="F27016" s="7">
        <v>46265.0793810025</v>
      </c>
      <c r="G27016" s="3" t="s">
        <v>14735</v>
      </c>
    </row>
    <row r="27017">
      <c r="A27017" s="3" t="s">
        <v>43469</v>
      </c>
      <c r="B27017" s="3" t="s">
        <v>21806</v>
      </c>
      <c r="C27017" s="5" t="s">
        <v>221</v>
      </c>
      <c r="D27017" s="3" t="s">
        <v>181</v>
      </c>
      <c r="E27017" s="3" t="s">
        <v>118</v>
      </c>
      <c r="F27017" s="7">
        <v>46265.08285322472</v>
      </c>
      <c r="G27017" s="3" t="s">
        <v>43470</v>
      </c>
    </row>
    <row r="27018">
      <c r="A27018" s="3" t="s">
        <v>43471</v>
      </c>
      <c r="B27018" s="3" t="s">
        <v>21809</v>
      </c>
      <c r="C27018" s="5" t="s">
        <v>45</v>
      </c>
      <c r="D27018" s="3" t="s">
        <v>221</v>
      </c>
      <c r="E27018" s="3" t="s">
        <v>631</v>
      </c>
      <c r="F27018" s="7">
        <v>46265.15055584791</v>
      </c>
      <c r="G27018" s="3" t="s">
        <v>20022</v>
      </c>
    </row>
    <row r="27019">
      <c r="A27019" s="3" t="s">
        <v>43472</v>
      </c>
      <c r="B27019" s="3" t="s">
        <v>21809</v>
      </c>
      <c r="C27019" s="5" t="s">
        <v>221</v>
      </c>
      <c r="D27019" s="3" t="s">
        <v>614</v>
      </c>
      <c r="E27019" s="3" t="s">
        <v>118</v>
      </c>
      <c r="F27019" s="7">
        <v>46265.15402807013</v>
      </c>
      <c r="G27019" s="3" t="s">
        <v>20024</v>
      </c>
    </row>
    <row r="27020">
      <c r="A27020" s="3" t="s">
        <v>43473</v>
      </c>
      <c r="B27020" s="3" t="s">
        <v>21809</v>
      </c>
      <c r="C27020" s="5" t="s">
        <v>614</v>
      </c>
      <c r="D27020" s="3" t="s">
        <v>206</v>
      </c>
      <c r="E27020" s="3" t="s">
        <v>100</v>
      </c>
      <c r="F27020" s="7">
        <v>46265.15750029236</v>
      </c>
      <c r="G27020" s="3" t="s">
        <v>20027</v>
      </c>
    </row>
    <row r="27021">
      <c r="A27021" s="3" t="s">
        <v>43474</v>
      </c>
      <c r="B27021" s="3" t="s">
        <v>21809</v>
      </c>
      <c r="C27021" s="5" t="s">
        <v>206</v>
      </c>
      <c r="D27021" s="3" t="s">
        <v>68</v>
      </c>
      <c r="E27021" s="3" t="s">
        <v>100</v>
      </c>
      <c r="F27021" s="7">
        <v>46265.160972514575</v>
      </c>
      <c r="G27021" s="3" t="s">
        <v>20030</v>
      </c>
    </row>
    <row r="27022">
      <c r="A27022" s="3" t="s">
        <v>43475</v>
      </c>
      <c r="B27022" s="3" t="s">
        <v>21812</v>
      </c>
      <c r="C27022" s="5" t="s">
        <v>45</v>
      </c>
      <c r="D27022" s="3" t="s">
        <v>221</v>
      </c>
      <c r="E27022" s="3" t="s">
        <v>629</v>
      </c>
      <c r="F27022" s="7">
        <v>46265.22173069332</v>
      </c>
      <c r="G27022" s="3" t="s">
        <v>16955</v>
      </c>
    </row>
    <row r="27023">
      <c r="A27023" s="3" t="s">
        <v>43476</v>
      </c>
      <c r="B27023" s="3" t="s">
        <v>21812</v>
      </c>
      <c r="C27023" s="5" t="s">
        <v>221</v>
      </c>
      <c r="D27023" s="3" t="s">
        <v>614</v>
      </c>
      <c r="E27023" s="3" t="s">
        <v>118</v>
      </c>
      <c r="F27023" s="7">
        <v>46265.22520291554</v>
      </c>
      <c r="G27023" s="3" t="s">
        <v>27739</v>
      </c>
    </row>
    <row r="27024">
      <c r="A27024" s="3" t="s">
        <v>43477</v>
      </c>
      <c r="B27024" s="3" t="s">
        <v>21812</v>
      </c>
      <c r="C27024" s="5" t="s">
        <v>614</v>
      </c>
      <c r="D27024" s="3" t="s">
        <v>206</v>
      </c>
      <c r="E27024" s="3" t="s">
        <v>100</v>
      </c>
      <c r="F27024" s="7">
        <v>46265.22867513777</v>
      </c>
      <c r="G27024" s="3" t="s">
        <v>27741</v>
      </c>
    </row>
    <row r="27025">
      <c r="A27025" s="3" t="s">
        <v>43478</v>
      </c>
      <c r="B27025" s="3" t="s">
        <v>21812</v>
      </c>
      <c r="C27025" s="5" t="s">
        <v>206</v>
      </c>
      <c r="D27025" s="3" t="s">
        <v>68</v>
      </c>
      <c r="E27025" s="3" t="s">
        <v>100</v>
      </c>
      <c r="F27025" s="7">
        <v>46265.23214735999</v>
      </c>
      <c r="G27025" s="3" t="s">
        <v>27743</v>
      </c>
    </row>
    <row r="27026">
      <c r="A27026" s="3" t="s">
        <v>43479</v>
      </c>
      <c r="B27026" s="3" t="s">
        <v>21816</v>
      </c>
      <c r="C27026" s="5" t="s">
        <v>45</v>
      </c>
      <c r="D27026" s="3" t="s">
        <v>221</v>
      </c>
      <c r="E27026" s="3" t="s">
        <v>900</v>
      </c>
      <c r="F27026" s="7">
        <v>46265.29290553874</v>
      </c>
      <c r="G27026" s="3" t="s">
        <v>27802</v>
      </c>
    </row>
    <row r="27027">
      <c r="A27027" s="3" t="s">
        <v>43480</v>
      </c>
      <c r="B27027" s="3" t="s">
        <v>21816</v>
      </c>
      <c r="C27027" s="5" t="s">
        <v>221</v>
      </c>
      <c r="D27027" s="3" t="s">
        <v>614</v>
      </c>
      <c r="E27027" s="3" t="s">
        <v>118</v>
      </c>
      <c r="F27027" s="7">
        <v>46265.29637776096</v>
      </c>
      <c r="G27027" s="3" t="s">
        <v>27804</v>
      </c>
    </row>
    <row r="27028">
      <c r="A27028" s="3" t="s">
        <v>43481</v>
      </c>
      <c r="B27028" s="3" t="s">
        <v>21816</v>
      </c>
      <c r="C27028" s="5" t="s">
        <v>614</v>
      </c>
      <c r="D27028" s="3" t="s">
        <v>206</v>
      </c>
      <c r="E27028" s="3" t="s">
        <v>100</v>
      </c>
      <c r="F27028" s="7">
        <v>46265.29984998319</v>
      </c>
      <c r="G27028" s="3" t="s">
        <v>27806</v>
      </c>
    </row>
    <row r="27029">
      <c r="A27029" s="3" t="s">
        <v>43482</v>
      </c>
      <c r="B27029" s="3" t="s">
        <v>21816</v>
      </c>
      <c r="C27029" s="5" t="s">
        <v>206</v>
      </c>
      <c r="D27029" s="3" t="s">
        <v>68</v>
      </c>
      <c r="E27029" s="3" t="s">
        <v>100</v>
      </c>
      <c r="F27029" s="7">
        <v>46265.30332220541</v>
      </c>
      <c r="G27029" s="3" t="s">
        <v>27808</v>
      </c>
    </row>
    <row r="27030">
      <c r="A27030" s="3" t="s">
        <v>43483</v>
      </c>
      <c r="B27030" s="3" t="s">
        <v>21819</v>
      </c>
      <c r="C27030" s="5" t="s">
        <v>45</v>
      </c>
      <c r="D27030" s="3" t="s">
        <v>221</v>
      </c>
      <c r="E27030" s="3" t="s">
        <v>168</v>
      </c>
      <c r="F27030" s="7">
        <v>46265.36408038416</v>
      </c>
      <c r="G27030" s="3" t="s">
        <v>27110</v>
      </c>
    </row>
    <row r="27031">
      <c r="A27031" s="3" t="s">
        <v>43484</v>
      </c>
      <c r="B27031" s="3" t="s">
        <v>21819</v>
      </c>
      <c r="C27031" s="5" t="s">
        <v>221</v>
      </c>
      <c r="D27031" s="3" t="s">
        <v>614</v>
      </c>
      <c r="E27031" s="3" t="s">
        <v>118</v>
      </c>
      <c r="F27031" s="7">
        <v>46265.36755260638</v>
      </c>
      <c r="G27031" s="3" t="s">
        <v>27112</v>
      </c>
    </row>
    <row r="27032">
      <c r="A27032" s="3" t="s">
        <v>43485</v>
      </c>
      <c r="B27032" s="3" t="s">
        <v>21819</v>
      </c>
      <c r="C27032" s="5" t="s">
        <v>614</v>
      </c>
      <c r="D27032" s="3" t="s">
        <v>206</v>
      </c>
      <c r="E27032" s="3" t="s">
        <v>100</v>
      </c>
      <c r="F27032" s="7">
        <v>46265.37102482861</v>
      </c>
      <c r="G27032" s="3" t="s">
        <v>27114</v>
      </c>
    </row>
    <row r="27033">
      <c r="A27033" s="3" t="s">
        <v>43486</v>
      </c>
      <c r="B27033" s="3" t="s">
        <v>21819</v>
      </c>
      <c r="C27033" s="5" t="s">
        <v>206</v>
      </c>
      <c r="D27033" s="3" t="s">
        <v>68</v>
      </c>
      <c r="E27033" s="3" t="s">
        <v>100</v>
      </c>
      <c r="F27033" s="7">
        <v>46265.37449705083</v>
      </c>
      <c r="G27033" s="3" t="s">
        <v>27116</v>
      </c>
    </row>
    <row r="27034">
      <c r="A27034" s="3" t="s">
        <v>43487</v>
      </c>
      <c r="B27034" s="3" t="s">
        <v>21822</v>
      </c>
      <c r="C27034" s="5" t="s">
        <v>45</v>
      </c>
      <c r="D27034" s="3" t="s">
        <v>221</v>
      </c>
      <c r="E27034" s="3" t="s">
        <v>137</v>
      </c>
      <c r="F27034" s="7">
        <v>46265.43525522957</v>
      </c>
      <c r="G27034" s="3" t="s">
        <v>4054</v>
      </c>
    </row>
    <row r="27035">
      <c r="A27035" s="3" t="s">
        <v>43488</v>
      </c>
      <c r="B27035" s="3" t="s">
        <v>21822</v>
      </c>
      <c r="C27035" s="5" t="s">
        <v>221</v>
      </c>
      <c r="D27035" s="3" t="s">
        <v>614</v>
      </c>
      <c r="E27035" s="3" t="s">
        <v>118</v>
      </c>
      <c r="F27035" s="7">
        <v>46265.43872745179</v>
      </c>
      <c r="G27035" s="3" t="s">
        <v>4057</v>
      </c>
    </row>
    <row r="27036">
      <c r="A27036" s="3" t="s">
        <v>43489</v>
      </c>
      <c r="B27036" s="3" t="s">
        <v>21822</v>
      </c>
      <c r="C27036" s="5" t="s">
        <v>614</v>
      </c>
      <c r="D27036" s="3" t="s">
        <v>206</v>
      </c>
      <c r="E27036" s="3" t="s">
        <v>100</v>
      </c>
      <c r="F27036" s="7">
        <v>46265.44219967401</v>
      </c>
      <c r="G27036" s="3" t="s">
        <v>4060</v>
      </c>
    </row>
    <row r="27037">
      <c r="A27037" s="3" t="s">
        <v>43490</v>
      </c>
      <c r="B27037" s="3" t="s">
        <v>21822</v>
      </c>
      <c r="C27037" s="5" t="s">
        <v>206</v>
      </c>
      <c r="D27037" s="3" t="s">
        <v>68</v>
      </c>
      <c r="E27037" s="3" t="s">
        <v>100</v>
      </c>
      <c r="F27037" s="7">
        <v>46265.44567189623</v>
      </c>
      <c r="G27037" s="3" t="s">
        <v>4063</v>
      </c>
    </row>
    <row r="27038">
      <c r="A27038" s="3" t="s">
        <v>43491</v>
      </c>
      <c r="B27038" s="3" t="s">
        <v>21824</v>
      </c>
      <c r="C27038" s="5" t="s">
        <v>45</v>
      </c>
      <c r="D27038" s="3" t="s">
        <v>221</v>
      </c>
      <c r="E27038" s="3" t="s">
        <v>916</v>
      </c>
      <c r="F27038" s="7">
        <v>46265.50643007499</v>
      </c>
      <c r="G27038" s="3" t="s">
        <v>5661</v>
      </c>
    </row>
    <row r="27039">
      <c r="A27039" s="3" t="s">
        <v>43492</v>
      </c>
      <c r="B27039" s="3" t="s">
        <v>21824</v>
      </c>
      <c r="C27039" s="5" t="s">
        <v>221</v>
      </c>
      <c r="D27039" s="3" t="s">
        <v>614</v>
      </c>
      <c r="E27039" s="3" t="s">
        <v>118</v>
      </c>
      <c r="F27039" s="7">
        <v>46265.509902297206</v>
      </c>
      <c r="G27039" s="3" t="s">
        <v>5664</v>
      </c>
    </row>
    <row r="27040">
      <c r="A27040" s="3" t="s">
        <v>43493</v>
      </c>
      <c r="B27040" s="3" t="s">
        <v>21824</v>
      </c>
      <c r="C27040" s="5" t="s">
        <v>614</v>
      </c>
      <c r="D27040" s="3" t="s">
        <v>206</v>
      </c>
      <c r="E27040" s="3" t="s">
        <v>100</v>
      </c>
      <c r="F27040" s="7">
        <v>46265.51337451943</v>
      </c>
      <c r="G27040" s="3" t="s">
        <v>5667</v>
      </c>
    </row>
    <row r="27041">
      <c r="A27041" s="3" t="s">
        <v>43494</v>
      </c>
      <c r="B27041" s="3" t="s">
        <v>21824</v>
      </c>
      <c r="C27041" s="5" t="s">
        <v>206</v>
      </c>
      <c r="D27041" s="3" t="s">
        <v>68</v>
      </c>
      <c r="E27041" s="3" t="s">
        <v>100</v>
      </c>
      <c r="F27041" s="7">
        <v>46265.51684674165</v>
      </c>
      <c r="G27041" s="3" t="s">
        <v>5670</v>
      </c>
    </row>
    <row r="27042">
      <c r="A27042" s="3" t="s">
        <v>43495</v>
      </c>
      <c r="B27042" s="3" t="s">
        <v>21826</v>
      </c>
      <c r="C27042" s="5" t="s">
        <v>45</v>
      </c>
      <c r="D27042" s="3" t="s">
        <v>221</v>
      </c>
      <c r="E27042" s="3" t="s">
        <v>886</v>
      </c>
      <c r="F27042" s="7">
        <v>46265.57760492041</v>
      </c>
      <c r="G27042" s="3" t="s">
        <v>24595</v>
      </c>
    </row>
    <row r="27043">
      <c r="A27043" s="3" t="s">
        <v>43496</v>
      </c>
      <c r="B27043" s="3" t="s">
        <v>21826</v>
      </c>
      <c r="C27043" s="5" t="s">
        <v>221</v>
      </c>
      <c r="D27043" s="3" t="s">
        <v>614</v>
      </c>
      <c r="E27043" s="3" t="s">
        <v>118</v>
      </c>
      <c r="F27043" s="7">
        <v>46265.581077142626</v>
      </c>
      <c r="G27043" s="3" t="s">
        <v>24597</v>
      </c>
    </row>
    <row r="27044">
      <c r="A27044" s="3" t="s">
        <v>43497</v>
      </c>
      <c r="B27044" s="3" t="s">
        <v>21826</v>
      </c>
      <c r="C27044" s="5" t="s">
        <v>614</v>
      </c>
      <c r="D27044" s="3" t="s">
        <v>206</v>
      </c>
      <c r="E27044" s="3" t="s">
        <v>100</v>
      </c>
      <c r="F27044" s="7">
        <v>46265.58454936485</v>
      </c>
      <c r="G27044" s="3" t="s">
        <v>24599</v>
      </c>
    </row>
    <row r="27045">
      <c r="A27045" s="3" t="s">
        <v>43498</v>
      </c>
      <c r="B27045" s="3" t="s">
        <v>21826</v>
      </c>
      <c r="C27045" s="5" t="s">
        <v>206</v>
      </c>
      <c r="D27045" s="3" t="s">
        <v>68</v>
      </c>
      <c r="E27045" s="3" t="s">
        <v>100</v>
      </c>
      <c r="F27045" s="7">
        <v>46265.58802158707</v>
      </c>
      <c r="G27045" s="3" t="s">
        <v>24601</v>
      </c>
    </row>
    <row r="27046">
      <c r="A27046" s="3" t="s">
        <v>43499</v>
      </c>
      <c r="B27046" s="3" t="s">
        <v>21828</v>
      </c>
      <c r="C27046" s="5" t="s">
        <v>45</v>
      </c>
      <c r="D27046" s="3" t="s">
        <v>221</v>
      </c>
      <c r="E27046" s="3" t="s">
        <v>322</v>
      </c>
      <c r="F27046" s="7">
        <v>46265.64877976582</v>
      </c>
      <c r="G27046" s="3" t="s">
        <v>13434</v>
      </c>
    </row>
    <row r="27047">
      <c r="A27047" s="3" t="s">
        <v>43500</v>
      </c>
      <c r="B27047" s="3" t="s">
        <v>21828</v>
      </c>
      <c r="C27047" s="5" t="s">
        <v>221</v>
      </c>
      <c r="D27047" s="3" t="s">
        <v>614</v>
      </c>
      <c r="E27047" s="3" t="s">
        <v>118</v>
      </c>
      <c r="F27047" s="7">
        <v>46265.65225198804</v>
      </c>
      <c r="G27047" s="3" t="s">
        <v>13436</v>
      </c>
    </row>
    <row r="27048">
      <c r="A27048" s="3" t="s">
        <v>43501</v>
      </c>
      <c r="B27048" s="3" t="s">
        <v>21828</v>
      </c>
      <c r="C27048" s="5" t="s">
        <v>614</v>
      </c>
      <c r="D27048" s="3" t="s">
        <v>206</v>
      </c>
      <c r="E27048" s="3" t="s">
        <v>100</v>
      </c>
      <c r="F27048" s="7">
        <v>46265.655724210264</v>
      </c>
      <c r="G27048" s="3" t="s">
        <v>13439</v>
      </c>
    </row>
    <row r="27049">
      <c r="A27049" s="3" t="s">
        <v>43502</v>
      </c>
      <c r="B27049" s="3" t="s">
        <v>21828</v>
      </c>
      <c r="C27049" s="5" t="s">
        <v>206</v>
      </c>
      <c r="D27049" s="3" t="s">
        <v>68</v>
      </c>
      <c r="E27049" s="3" t="s">
        <v>100</v>
      </c>
      <c r="F27049" s="7">
        <v>46265.65919643248</v>
      </c>
      <c r="G27049" s="3" t="s">
        <v>13442</v>
      </c>
    </row>
    <row r="27050">
      <c r="A27050" s="3" t="s">
        <v>43503</v>
      </c>
      <c r="B27050" s="3" t="s">
        <v>21830</v>
      </c>
      <c r="C27050" s="5" t="s">
        <v>45</v>
      </c>
      <c r="D27050" s="3" t="s">
        <v>221</v>
      </c>
      <c r="E27050" s="3" t="s">
        <v>130</v>
      </c>
      <c r="F27050" s="7">
        <v>46265.71995461123</v>
      </c>
      <c r="G27050" s="3" t="s">
        <v>16190</v>
      </c>
    </row>
    <row r="27051">
      <c r="A27051" s="3" t="s">
        <v>43504</v>
      </c>
      <c r="B27051" s="3" t="s">
        <v>21830</v>
      </c>
      <c r="C27051" s="5" t="s">
        <v>221</v>
      </c>
      <c r="D27051" s="3" t="s">
        <v>614</v>
      </c>
      <c r="E27051" s="3" t="s">
        <v>118</v>
      </c>
      <c r="F27051" s="7">
        <v>46265.72342683345</v>
      </c>
      <c r="G27051" s="3" t="s">
        <v>16192</v>
      </c>
    </row>
    <row r="27052">
      <c r="A27052" s="3" t="s">
        <v>43505</v>
      </c>
      <c r="B27052" s="3" t="s">
        <v>21830</v>
      </c>
      <c r="C27052" s="5" t="s">
        <v>614</v>
      </c>
      <c r="D27052" s="3" t="s">
        <v>206</v>
      </c>
      <c r="E27052" s="3" t="s">
        <v>100</v>
      </c>
      <c r="F27052" s="7">
        <v>46265.72689905568</v>
      </c>
      <c r="G27052" s="3" t="s">
        <v>16195</v>
      </c>
    </row>
    <row r="27053">
      <c r="A27053" s="3" t="s">
        <v>43506</v>
      </c>
      <c r="B27053" s="3" t="s">
        <v>21830</v>
      </c>
      <c r="C27053" s="5" t="s">
        <v>206</v>
      </c>
      <c r="D27053" s="3" t="s">
        <v>68</v>
      </c>
      <c r="E27053" s="3" t="s">
        <v>100</v>
      </c>
      <c r="F27053" s="7">
        <v>46265.730371277896</v>
      </c>
      <c r="G27053" s="3" t="s">
        <v>16198</v>
      </c>
    </row>
    <row r="27054">
      <c r="A27054" s="3" t="s">
        <v>43507</v>
      </c>
      <c r="B27054" s="3" t="s">
        <v>21832</v>
      </c>
      <c r="C27054" s="5" t="s">
        <v>45</v>
      </c>
      <c r="D27054" s="3" t="s">
        <v>221</v>
      </c>
      <c r="E27054" s="3" t="s">
        <v>781</v>
      </c>
      <c r="F27054" s="7">
        <v>46265.79112945665</v>
      </c>
      <c r="G27054" s="3" t="s">
        <v>14656</v>
      </c>
    </row>
    <row r="27055">
      <c r="A27055" s="3" t="s">
        <v>43508</v>
      </c>
      <c r="B27055" s="3" t="s">
        <v>21832</v>
      </c>
      <c r="C27055" s="5" t="s">
        <v>221</v>
      </c>
      <c r="D27055" s="3" t="s">
        <v>614</v>
      </c>
      <c r="E27055" s="3" t="s">
        <v>118</v>
      </c>
      <c r="F27055" s="7">
        <v>46265.79460167887</v>
      </c>
      <c r="G27055" s="3" t="s">
        <v>14659</v>
      </c>
    </row>
    <row r="27056">
      <c r="A27056" s="3" t="s">
        <v>43509</v>
      </c>
      <c r="B27056" s="3" t="s">
        <v>21832</v>
      </c>
      <c r="C27056" s="5" t="s">
        <v>614</v>
      </c>
      <c r="D27056" s="3" t="s">
        <v>206</v>
      </c>
      <c r="E27056" s="3" t="s">
        <v>100</v>
      </c>
      <c r="F27056" s="7">
        <v>46265.798073901096</v>
      </c>
      <c r="G27056" s="3" t="s">
        <v>14662</v>
      </c>
    </row>
    <row r="27057">
      <c r="A27057" s="3" t="s">
        <v>43510</v>
      </c>
      <c r="B27057" s="3" t="s">
        <v>21832</v>
      </c>
      <c r="C27057" s="5" t="s">
        <v>206</v>
      </c>
      <c r="D27057" s="3" t="s">
        <v>68</v>
      </c>
      <c r="E27057" s="3" t="s">
        <v>100</v>
      </c>
      <c r="F27057" s="7">
        <v>46265.801546123315</v>
      </c>
      <c r="G27057" s="3" t="s">
        <v>14665</v>
      </c>
    </row>
    <row r="27058">
      <c r="A27058" s="3" t="s">
        <v>43511</v>
      </c>
      <c r="B27058" s="3" t="s">
        <v>21835</v>
      </c>
      <c r="C27058" s="5" t="s">
        <v>45</v>
      </c>
      <c r="D27058" s="3" t="s">
        <v>221</v>
      </c>
      <c r="E27058" s="3" t="s">
        <v>805</v>
      </c>
      <c r="F27058" s="7">
        <v>46265.86230430206</v>
      </c>
      <c r="G27058" s="3" t="s">
        <v>14790</v>
      </c>
    </row>
    <row r="27059">
      <c r="A27059" s="3" t="s">
        <v>43512</v>
      </c>
      <c r="B27059" s="3" t="s">
        <v>21835</v>
      </c>
      <c r="C27059" s="5" t="s">
        <v>221</v>
      </c>
      <c r="D27059" s="3" t="s">
        <v>614</v>
      </c>
      <c r="E27059" s="3" t="s">
        <v>118</v>
      </c>
      <c r="F27059" s="7">
        <v>46265.86577652428</v>
      </c>
      <c r="G27059" s="3" t="s">
        <v>14793</v>
      </c>
    </row>
    <row r="27060">
      <c r="A27060" s="3" t="s">
        <v>43513</v>
      </c>
      <c r="B27060" s="3" t="s">
        <v>21835</v>
      </c>
      <c r="C27060" s="5" t="s">
        <v>614</v>
      </c>
      <c r="D27060" s="3" t="s">
        <v>206</v>
      </c>
      <c r="E27060" s="3" t="s">
        <v>100</v>
      </c>
      <c r="F27060" s="7">
        <v>46265.86924874651</v>
      </c>
      <c r="G27060" s="3" t="s">
        <v>14796</v>
      </c>
    </row>
    <row r="27061">
      <c r="A27061" s="3" t="s">
        <v>43514</v>
      </c>
      <c r="B27061" s="3" t="s">
        <v>21835</v>
      </c>
      <c r="C27061" s="5" t="s">
        <v>206</v>
      </c>
      <c r="D27061" s="3" t="s">
        <v>68</v>
      </c>
      <c r="E27061" s="3" t="s">
        <v>100</v>
      </c>
      <c r="F27061" s="7">
        <v>46265.87272096873</v>
      </c>
      <c r="G27061" s="3" t="s">
        <v>14799</v>
      </c>
    </row>
    <row r="27062">
      <c r="A27062" s="3" t="s">
        <v>43515</v>
      </c>
      <c r="B27062" s="3" t="s">
        <v>21837</v>
      </c>
      <c r="C27062" s="5" t="s">
        <v>45</v>
      </c>
      <c r="D27062" s="3" t="s">
        <v>221</v>
      </c>
      <c r="E27062" s="3" t="s">
        <v>498</v>
      </c>
      <c r="F27062" s="7">
        <v>46265.933479147476</v>
      </c>
      <c r="G27062" s="3" t="s">
        <v>10661</v>
      </c>
    </row>
    <row r="27063">
      <c r="A27063" s="3" t="s">
        <v>43516</v>
      </c>
      <c r="B27063" s="3" t="s">
        <v>21837</v>
      </c>
      <c r="C27063" s="5" t="s">
        <v>221</v>
      </c>
      <c r="D27063" s="3" t="s">
        <v>614</v>
      </c>
      <c r="E27063" s="3" t="s">
        <v>118</v>
      </c>
      <c r="F27063" s="7">
        <v>46265.936951369695</v>
      </c>
      <c r="G27063" s="3" t="s">
        <v>10664</v>
      </c>
    </row>
    <row r="27064">
      <c r="A27064" s="3" t="s">
        <v>43517</v>
      </c>
      <c r="B27064" s="3" t="s">
        <v>21837</v>
      </c>
      <c r="C27064" s="5" t="s">
        <v>614</v>
      </c>
      <c r="D27064" s="3" t="s">
        <v>206</v>
      </c>
      <c r="E27064" s="3" t="s">
        <v>100</v>
      </c>
      <c r="F27064" s="7">
        <v>46265.94042359192</v>
      </c>
      <c r="G27064" s="3" t="s">
        <v>10667</v>
      </c>
    </row>
    <row r="27065">
      <c r="A27065" s="3" t="s">
        <v>43518</v>
      </c>
      <c r="B27065" s="3" t="s">
        <v>21837</v>
      </c>
      <c r="C27065" s="5" t="s">
        <v>206</v>
      </c>
      <c r="D27065" s="3" t="s">
        <v>68</v>
      </c>
      <c r="E27065" s="3" t="s">
        <v>100</v>
      </c>
      <c r="F27065" s="7">
        <v>46265.94389581414</v>
      </c>
      <c r="G27065" s="3" t="s">
        <v>10670</v>
      </c>
    </row>
    <row r="27066">
      <c r="A27066" s="3" t="s">
        <v>43519</v>
      </c>
      <c r="B27066" s="3" t="s">
        <v>21839</v>
      </c>
      <c r="C27066" s="5" t="s">
        <v>45</v>
      </c>
      <c r="D27066" s="3" t="s">
        <v>221</v>
      </c>
      <c r="E27066" s="3" t="s">
        <v>250</v>
      </c>
      <c r="F27066" s="7">
        <v>46266.004653992895</v>
      </c>
      <c r="G27066" s="3" t="s">
        <v>27629</v>
      </c>
    </row>
    <row r="27067">
      <c r="A27067" s="3" t="s">
        <v>43520</v>
      </c>
      <c r="B27067" s="3" t="s">
        <v>21839</v>
      </c>
      <c r="C27067" s="5" t="s">
        <v>221</v>
      </c>
      <c r="D27067" s="3" t="s">
        <v>614</v>
      </c>
      <c r="E27067" s="3" t="s">
        <v>118</v>
      </c>
      <c r="F27067" s="7">
        <v>46266.008126215114</v>
      </c>
      <c r="G27067" s="3" t="s">
        <v>27631</v>
      </c>
    </row>
    <row r="27068">
      <c r="A27068" s="3" t="s">
        <v>43521</v>
      </c>
      <c r="B27068" s="3" t="s">
        <v>21839</v>
      </c>
      <c r="C27068" s="5" t="s">
        <v>614</v>
      </c>
      <c r="D27068" s="3" t="s">
        <v>206</v>
      </c>
      <c r="E27068" s="3" t="s">
        <v>100</v>
      </c>
      <c r="F27068" s="7">
        <v>46266.01159843734</v>
      </c>
      <c r="G27068" s="3" t="s">
        <v>27633</v>
      </c>
    </row>
    <row r="27069">
      <c r="A27069" s="3" t="s">
        <v>43522</v>
      </c>
      <c r="B27069" s="3" t="s">
        <v>21839</v>
      </c>
      <c r="C27069" s="5" t="s">
        <v>206</v>
      </c>
      <c r="D27069" s="3" t="s">
        <v>68</v>
      </c>
      <c r="E27069" s="3" t="s">
        <v>100</v>
      </c>
      <c r="F27069" s="7">
        <v>46266.01507065956</v>
      </c>
      <c r="G27069" s="3" t="s">
        <v>27635</v>
      </c>
    </row>
    <row r="27070">
      <c r="A27070" s="3" t="s">
        <v>43523</v>
      </c>
      <c r="B27070" s="3" t="s">
        <v>21842</v>
      </c>
      <c r="C27070" s="5" t="s">
        <v>45</v>
      </c>
      <c r="D27070" s="3" t="s">
        <v>221</v>
      </c>
      <c r="E27070" s="3" t="s">
        <v>662</v>
      </c>
      <c r="F27070" s="7">
        <v>46266.07582883831</v>
      </c>
      <c r="G27070" s="3" t="s">
        <v>14802</v>
      </c>
    </row>
    <row r="27071">
      <c r="A27071" s="3" t="s">
        <v>43524</v>
      </c>
      <c r="B27071" s="3" t="s">
        <v>21842</v>
      </c>
      <c r="C27071" s="5" t="s">
        <v>221</v>
      </c>
      <c r="D27071" s="3" t="s">
        <v>614</v>
      </c>
      <c r="E27071" s="3" t="s">
        <v>118</v>
      </c>
      <c r="F27071" s="7">
        <v>46266.07930106053</v>
      </c>
      <c r="G27071" s="3" t="s">
        <v>14804</v>
      </c>
    </row>
    <row r="27072">
      <c r="A27072" s="3" t="s">
        <v>43525</v>
      </c>
      <c r="B27072" s="3" t="s">
        <v>21842</v>
      </c>
      <c r="C27072" s="5" t="s">
        <v>614</v>
      </c>
      <c r="D27072" s="3" t="s">
        <v>206</v>
      </c>
      <c r="E27072" s="3" t="s">
        <v>100</v>
      </c>
      <c r="F27072" s="7">
        <v>46266.08277328275</v>
      </c>
      <c r="G27072" s="3" t="s">
        <v>14807</v>
      </c>
    </row>
    <row r="27073">
      <c r="A27073" s="3" t="s">
        <v>43526</v>
      </c>
      <c r="B27073" s="3" t="s">
        <v>21842</v>
      </c>
      <c r="C27073" s="5" t="s">
        <v>206</v>
      </c>
      <c r="D27073" s="3" t="s">
        <v>68</v>
      </c>
      <c r="E27073" s="3" t="s">
        <v>100</v>
      </c>
      <c r="F27073" s="7">
        <v>46266.08624550497</v>
      </c>
      <c r="G27073" s="3" t="s">
        <v>14810</v>
      </c>
    </row>
    <row r="27074">
      <c r="A27074" s="3" t="s">
        <v>43527</v>
      </c>
      <c r="B27074" s="3" t="s">
        <v>21845</v>
      </c>
      <c r="C27074" s="5" t="s">
        <v>45</v>
      </c>
      <c r="D27074" s="3" t="s">
        <v>221</v>
      </c>
      <c r="E27074" s="3" t="s">
        <v>763</v>
      </c>
      <c r="F27074" s="7">
        <v>46266.14700368372</v>
      </c>
      <c r="G27074" s="3" t="s">
        <v>13084</v>
      </c>
    </row>
    <row r="27075">
      <c r="A27075" s="3" t="s">
        <v>43528</v>
      </c>
      <c r="B27075" s="3" t="s">
        <v>21845</v>
      </c>
      <c r="C27075" s="5" t="s">
        <v>221</v>
      </c>
      <c r="D27075" s="3" t="s">
        <v>614</v>
      </c>
      <c r="E27075" s="3" t="s">
        <v>118</v>
      </c>
      <c r="F27075" s="7">
        <v>46266.15047590594</v>
      </c>
      <c r="G27075" s="3" t="s">
        <v>13088</v>
      </c>
    </row>
    <row r="27076">
      <c r="A27076" s="3" t="s">
        <v>43529</v>
      </c>
      <c r="B27076" s="3" t="s">
        <v>21845</v>
      </c>
      <c r="C27076" s="5" t="s">
        <v>614</v>
      </c>
      <c r="D27076" s="3" t="s">
        <v>206</v>
      </c>
      <c r="E27076" s="3" t="s">
        <v>100</v>
      </c>
      <c r="F27076" s="7">
        <v>46266.153948128165</v>
      </c>
      <c r="G27076" s="3" t="s">
        <v>13091</v>
      </c>
    </row>
    <row r="27077">
      <c r="A27077" s="3" t="s">
        <v>43530</v>
      </c>
      <c r="B27077" s="3" t="s">
        <v>21845</v>
      </c>
      <c r="C27077" s="5" t="s">
        <v>206</v>
      </c>
      <c r="D27077" s="3" t="s">
        <v>68</v>
      </c>
      <c r="E27077" s="3" t="s">
        <v>100</v>
      </c>
      <c r="F27077" s="7">
        <v>46266.157420350384</v>
      </c>
      <c r="G27077" s="3" t="s">
        <v>13094</v>
      </c>
    </row>
    <row r="27078">
      <c r="A27078" s="3" t="s">
        <v>43531</v>
      </c>
      <c r="B27078" s="3" t="s">
        <v>21848</v>
      </c>
      <c r="C27078" s="5" t="s">
        <v>45</v>
      </c>
      <c r="D27078" s="3" t="s">
        <v>221</v>
      </c>
      <c r="E27078" s="3" t="s">
        <v>186</v>
      </c>
      <c r="F27078" s="7">
        <v>46266.21817852914</v>
      </c>
      <c r="G27078" s="3" t="s">
        <v>18415</v>
      </c>
    </row>
    <row r="27079">
      <c r="A27079" s="3" t="s">
        <v>43532</v>
      </c>
      <c r="B27079" s="3" t="s">
        <v>21848</v>
      </c>
      <c r="C27079" s="5" t="s">
        <v>221</v>
      </c>
      <c r="D27079" s="3" t="s">
        <v>614</v>
      </c>
      <c r="E27079" s="3" t="s">
        <v>118</v>
      </c>
      <c r="F27079" s="7">
        <v>46266.22165075136</v>
      </c>
      <c r="G27079" s="3" t="s">
        <v>22698</v>
      </c>
    </row>
    <row r="27080">
      <c r="A27080" s="3" t="s">
        <v>43533</v>
      </c>
      <c r="B27080" s="3" t="s">
        <v>21848</v>
      </c>
      <c r="C27080" s="5" t="s">
        <v>614</v>
      </c>
      <c r="D27080" s="3" t="s">
        <v>206</v>
      </c>
      <c r="E27080" s="3" t="s">
        <v>100</v>
      </c>
      <c r="F27080" s="7">
        <v>46266.225122973585</v>
      </c>
      <c r="G27080" s="3" t="s">
        <v>22701</v>
      </c>
    </row>
    <row r="27081">
      <c r="A27081" s="3" t="s">
        <v>43534</v>
      </c>
      <c r="B27081" s="3" t="s">
        <v>21848</v>
      </c>
      <c r="C27081" s="5" t="s">
        <v>206</v>
      </c>
      <c r="D27081" s="3" t="s">
        <v>68</v>
      </c>
      <c r="E27081" s="3" t="s">
        <v>100</v>
      </c>
      <c r="F27081" s="7">
        <v>46266.228595195804</v>
      </c>
      <c r="G27081" s="3" t="s">
        <v>22703</v>
      </c>
    </row>
    <row r="27082">
      <c r="A27082" s="3" t="s">
        <v>43535</v>
      </c>
      <c r="B27082" s="3" t="s">
        <v>21851</v>
      </c>
      <c r="C27082" s="5" t="s">
        <v>45</v>
      </c>
      <c r="D27082" s="3" t="s">
        <v>221</v>
      </c>
      <c r="E27082" s="3" t="s">
        <v>126</v>
      </c>
      <c r="F27082" s="7">
        <v>46266.28935337455</v>
      </c>
      <c r="G27082" s="3" t="s">
        <v>2770</v>
      </c>
    </row>
    <row r="27083">
      <c r="A27083" s="3" t="s">
        <v>43536</v>
      </c>
      <c r="B27083" s="3" t="s">
        <v>21851</v>
      </c>
      <c r="C27083" s="5" t="s">
        <v>221</v>
      </c>
      <c r="D27083" s="3" t="s">
        <v>181</v>
      </c>
      <c r="E27083" s="3" t="s">
        <v>118</v>
      </c>
      <c r="F27083" s="7">
        <v>46266.29282559677</v>
      </c>
      <c r="G27083" s="3" t="s">
        <v>2774</v>
      </c>
    </row>
    <row r="27084">
      <c r="A27084" s="3" t="s">
        <v>43537</v>
      </c>
      <c r="B27084" s="3" t="s">
        <v>21854</v>
      </c>
      <c r="C27084" s="5" t="s">
        <v>45</v>
      </c>
      <c r="D27084" s="3" t="s">
        <v>221</v>
      </c>
      <c r="E27084" s="3" t="s">
        <v>926</v>
      </c>
      <c r="F27084" s="7">
        <v>46266.360528219964</v>
      </c>
      <c r="G27084" s="3" t="s">
        <v>6097</v>
      </c>
    </row>
    <row r="27085">
      <c r="A27085" s="3" t="s">
        <v>43538</v>
      </c>
      <c r="B27085" s="3" t="s">
        <v>21854</v>
      </c>
      <c r="C27085" s="5" t="s">
        <v>221</v>
      </c>
      <c r="D27085" s="3" t="s">
        <v>614</v>
      </c>
      <c r="E27085" s="3" t="s">
        <v>118</v>
      </c>
      <c r="F27085" s="7">
        <v>46266.36400044218</v>
      </c>
      <c r="G27085" s="3" t="s">
        <v>6100</v>
      </c>
    </row>
    <row r="27086">
      <c r="A27086" s="3" t="s">
        <v>43539</v>
      </c>
      <c r="B27086" s="3" t="s">
        <v>21854</v>
      </c>
      <c r="C27086" s="5" t="s">
        <v>614</v>
      </c>
      <c r="D27086" s="3" t="s">
        <v>206</v>
      </c>
      <c r="E27086" s="3" t="s">
        <v>100</v>
      </c>
      <c r="F27086" s="7">
        <v>46266.36747266441</v>
      </c>
      <c r="G27086" s="3" t="s">
        <v>6103</v>
      </c>
    </row>
    <row r="27087">
      <c r="A27087" s="3" t="s">
        <v>43540</v>
      </c>
      <c r="B27087" s="3" t="s">
        <v>21854</v>
      </c>
      <c r="C27087" s="5" t="s">
        <v>206</v>
      </c>
      <c r="D27087" s="3" t="s">
        <v>68</v>
      </c>
      <c r="E27087" s="3" t="s">
        <v>100</v>
      </c>
      <c r="F27087" s="7">
        <v>46266.37094488663</v>
      </c>
      <c r="G27087" s="3" t="s">
        <v>6106</v>
      </c>
    </row>
    <row r="27088">
      <c r="A27088" s="3" t="s">
        <v>43541</v>
      </c>
      <c r="B27088" s="3" t="s">
        <v>21856</v>
      </c>
      <c r="C27088" s="5" t="s">
        <v>45</v>
      </c>
      <c r="D27088" s="3" t="s">
        <v>221</v>
      </c>
      <c r="E27088" s="3" t="s">
        <v>233</v>
      </c>
      <c r="F27088" s="7">
        <v>46266.431703065384</v>
      </c>
      <c r="G27088" s="3" t="s">
        <v>10997</v>
      </c>
    </row>
    <row r="27089">
      <c r="A27089" s="3" t="s">
        <v>43542</v>
      </c>
      <c r="B27089" s="3" t="s">
        <v>21856</v>
      </c>
      <c r="C27089" s="5" t="s">
        <v>221</v>
      </c>
      <c r="D27089" s="3" t="s">
        <v>181</v>
      </c>
      <c r="E27089" s="3" t="s">
        <v>118</v>
      </c>
      <c r="F27089" s="7">
        <v>46266.4351752876</v>
      </c>
      <c r="G27089" s="3" t="s">
        <v>43543</v>
      </c>
    </row>
    <row r="27090">
      <c r="A27090" s="3" t="s">
        <v>43544</v>
      </c>
      <c r="B27090" s="3" t="s">
        <v>21859</v>
      </c>
      <c r="C27090" s="5" t="s">
        <v>45</v>
      </c>
      <c r="D27090" s="3" t="s">
        <v>221</v>
      </c>
      <c r="E27090" s="3" t="s">
        <v>260</v>
      </c>
      <c r="F27090" s="7">
        <v>46266.5028779108</v>
      </c>
      <c r="G27090" s="3" t="s">
        <v>25704</v>
      </c>
    </row>
    <row r="27091">
      <c r="A27091" s="3" t="s">
        <v>43545</v>
      </c>
      <c r="B27091" s="3" t="s">
        <v>21859</v>
      </c>
      <c r="C27091" s="5" t="s">
        <v>221</v>
      </c>
      <c r="D27091" s="3" t="s">
        <v>614</v>
      </c>
      <c r="E27091" s="3" t="s">
        <v>118</v>
      </c>
      <c r="F27091" s="7">
        <v>46266.50635013302</v>
      </c>
      <c r="G27091" s="3" t="s">
        <v>25706</v>
      </c>
    </row>
    <row r="27092">
      <c r="A27092" s="3" t="s">
        <v>43546</v>
      </c>
      <c r="B27092" s="3" t="s">
        <v>21859</v>
      </c>
      <c r="C27092" s="5" t="s">
        <v>614</v>
      </c>
      <c r="D27092" s="3" t="s">
        <v>206</v>
      </c>
      <c r="E27092" s="3" t="s">
        <v>100</v>
      </c>
      <c r="F27092" s="7">
        <v>46266.50982235525</v>
      </c>
      <c r="G27092" s="3" t="s">
        <v>25708</v>
      </c>
    </row>
    <row r="27093">
      <c r="A27093" s="3" t="s">
        <v>43547</v>
      </c>
      <c r="B27093" s="3" t="s">
        <v>21859</v>
      </c>
      <c r="C27093" s="5" t="s">
        <v>206</v>
      </c>
      <c r="D27093" s="3" t="s">
        <v>68</v>
      </c>
      <c r="E27093" s="3" t="s">
        <v>100</v>
      </c>
      <c r="F27093" s="7">
        <v>46266.51329457747</v>
      </c>
      <c r="G27093" s="3" t="s">
        <v>25710</v>
      </c>
    </row>
    <row r="27094">
      <c r="A27094" s="3" t="s">
        <v>43548</v>
      </c>
      <c r="B27094" s="3" t="s">
        <v>21861</v>
      </c>
      <c r="C27094" s="5" t="s">
        <v>45</v>
      </c>
      <c r="D27094" s="3" t="s">
        <v>221</v>
      </c>
      <c r="E27094" s="3" t="s">
        <v>424</v>
      </c>
      <c r="F27094" s="7">
        <v>46266.574052756216</v>
      </c>
      <c r="G27094" s="3" t="s">
        <v>19895</v>
      </c>
    </row>
    <row r="27095">
      <c r="A27095" s="3" t="s">
        <v>43549</v>
      </c>
      <c r="B27095" s="3" t="s">
        <v>21861</v>
      </c>
      <c r="C27095" s="5" t="s">
        <v>221</v>
      </c>
      <c r="D27095" s="3" t="s">
        <v>614</v>
      </c>
      <c r="E27095" s="3" t="s">
        <v>118</v>
      </c>
      <c r="F27095" s="7">
        <v>46266.577524978435</v>
      </c>
      <c r="G27095" s="3" t="s">
        <v>19897</v>
      </c>
    </row>
    <row r="27096">
      <c r="A27096" s="3" t="s">
        <v>43550</v>
      </c>
      <c r="B27096" s="3" t="s">
        <v>21861</v>
      </c>
      <c r="C27096" s="5" t="s">
        <v>614</v>
      </c>
      <c r="D27096" s="3" t="s">
        <v>206</v>
      </c>
      <c r="E27096" s="3" t="s">
        <v>100</v>
      </c>
      <c r="F27096" s="7">
        <v>46266.58099720066</v>
      </c>
      <c r="G27096" s="3" t="s">
        <v>19900</v>
      </c>
    </row>
    <row r="27097">
      <c r="A27097" s="3" t="s">
        <v>43551</v>
      </c>
      <c r="B27097" s="3" t="s">
        <v>21861</v>
      </c>
      <c r="C27097" s="5" t="s">
        <v>206</v>
      </c>
      <c r="D27097" s="3" t="s">
        <v>68</v>
      </c>
      <c r="E27097" s="3" t="s">
        <v>100</v>
      </c>
      <c r="F27097" s="7">
        <v>46266.58446942288</v>
      </c>
      <c r="G27097" s="3" t="s">
        <v>19903</v>
      </c>
    </row>
    <row r="27098">
      <c r="A27098" s="3" t="s">
        <v>43552</v>
      </c>
      <c r="B27098" s="3" t="s">
        <v>21864</v>
      </c>
      <c r="C27098" s="5" t="s">
        <v>45</v>
      </c>
      <c r="D27098" s="3" t="s">
        <v>221</v>
      </c>
      <c r="E27098" s="3" t="s">
        <v>848</v>
      </c>
      <c r="F27098" s="7">
        <v>46266.64522760163</v>
      </c>
      <c r="G27098" s="3" t="s">
        <v>14898</v>
      </c>
    </row>
    <row r="27099">
      <c r="A27099" s="3" t="s">
        <v>43553</v>
      </c>
      <c r="B27099" s="3" t="s">
        <v>21864</v>
      </c>
      <c r="C27099" s="5" t="s">
        <v>221</v>
      </c>
      <c r="D27099" s="3" t="s">
        <v>614</v>
      </c>
      <c r="E27099" s="3" t="s">
        <v>118</v>
      </c>
      <c r="F27099" s="7">
        <v>46266.64869982385</v>
      </c>
      <c r="G27099" s="3" t="s">
        <v>14900</v>
      </c>
    </row>
    <row r="27100">
      <c r="A27100" s="3" t="s">
        <v>43554</v>
      </c>
      <c r="B27100" s="3" t="s">
        <v>21864</v>
      </c>
      <c r="C27100" s="5" t="s">
        <v>614</v>
      </c>
      <c r="D27100" s="3" t="s">
        <v>206</v>
      </c>
      <c r="E27100" s="3" t="s">
        <v>100</v>
      </c>
      <c r="F27100" s="7">
        <v>46266.65217204607</v>
      </c>
      <c r="G27100" s="3" t="s">
        <v>14903</v>
      </c>
    </row>
    <row r="27101">
      <c r="A27101" s="3" t="s">
        <v>43555</v>
      </c>
      <c r="B27101" s="3" t="s">
        <v>21864</v>
      </c>
      <c r="C27101" s="5" t="s">
        <v>206</v>
      </c>
      <c r="D27101" s="3" t="s">
        <v>68</v>
      </c>
      <c r="E27101" s="3" t="s">
        <v>100</v>
      </c>
      <c r="F27101" s="7">
        <v>46266.65564426829</v>
      </c>
      <c r="G27101" s="3" t="s">
        <v>14906</v>
      </c>
    </row>
    <row r="27102">
      <c r="A27102" s="3" t="s">
        <v>43556</v>
      </c>
      <c r="B27102" s="3" t="s">
        <v>21867</v>
      </c>
      <c r="C27102" s="5" t="s">
        <v>45</v>
      </c>
      <c r="D27102" s="3" t="s">
        <v>221</v>
      </c>
      <c r="E27102" s="3" t="s">
        <v>1034</v>
      </c>
      <c r="F27102" s="7">
        <v>46266.71640244705</v>
      </c>
      <c r="G27102" s="3" t="s">
        <v>7056</v>
      </c>
    </row>
    <row r="27103">
      <c r="A27103" s="3" t="s">
        <v>43557</v>
      </c>
      <c r="B27103" s="3" t="s">
        <v>21867</v>
      </c>
      <c r="C27103" s="5" t="s">
        <v>221</v>
      </c>
      <c r="D27103" s="3" t="s">
        <v>614</v>
      </c>
      <c r="E27103" s="3" t="s">
        <v>118</v>
      </c>
      <c r="F27103" s="7">
        <v>46266.71987466927</v>
      </c>
      <c r="G27103" s="3" t="s">
        <v>7059</v>
      </c>
    </row>
    <row r="27104">
      <c r="A27104" s="3" t="s">
        <v>43558</v>
      </c>
      <c r="B27104" s="3" t="s">
        <v>21867</v>
      </c>
      <c r="C27104" s="5" t="s">
        <v>614</v>
      </c>
      <c r="D27104" s="3" t="s">
        <v>206</v>
      </c>
      <c r="E27104" s="3" t="s">
        <v>100</v>
      </c>
      <c r="F27104" s="7">
        <v>46266.72334689149</v>
      </c>
      <c r="G27104" s="3" t="s">
        <v>7062</v>
      </c>
    </row>
    <row r="27105">
      <c r="A27105" s="3" t="s">
        <v>43559</v>
      </c>
      <c r="B27105" s="3" t="s">
        <v>21867</v>
      </c>
      <c r="C27105" s="5" t="s">
        <v>206</v>
      </c>
      <c r="D27105" s="3" t="s">
        <v>68</v>
      </c>
      <c r="E27105" s="3" t="s">
        <v>100</v>
      </c>
      <c r="F27105" s="7">
        <v>46266.72681911371</v>
      </c>
      <c r="G27105" s="3" t="s">
        <v>7064</v>
      </c>
    </row>
    <row r="27106">
      <c r="A27106" s="3" t="s">
        <v>43560</v>
      </c>
      <c r="B27106" s="3" t="s">
        <v>21870</v>
      </c>
      <c r="C27106" s="5" t="s">
        <v>45</v>
      </c>
      <c r="D27106" s="3" t="s">
        <v>221</v>
      </c>
      <c r="E27106" s="3" t="s">
        <v>256</v>
      </c>
      <c r="F27106" s="7">
        <v>46266.78757729246</v>
      </c>
      <c r="G27106" s="3" t="s">
        <v>25813</v>
      </c>
    </row>
    <row r="27107">
      <c r="A27107" s="3" t="s">
        <v>43561</v>
      </c>
      <c r="B27107" s="3" t="s">
        <v>21870</v>
      </c>
      <c r="C27107" s="5" t="s">
        <v>221</v>
      </c>
      <c r="D27107" s="3" t="s">
        <v>614</v>
      </c>
      <c r="E27107" s="3" t="s">
        <v>118</v>
      </c>
      <c r="F27107" s="7">
        <v>46266.79104951468</v>
      </c>
      <c r="G27107" s="3" t="s">
        <v>27432</v>
      </c>
    </row>
    <row r="27108">
      <c r="A27108" s="3" t="s">
        <v>43562</v>
      </c>
      <c r="B27108" s="3" t="s">
        <v>21870</v>
      </c>
      <c r="C27108" s="5" t="s">
        <v>614</v>
      </c>
      <c r="D27108" s="3" t="s">
        <v>206</v>
      </c>
      <c r="E27108" s="3" t="s">
        <v>100</v>
      </c>
      <c r="F27108" s="7">
        <v>46266.794521736905</v>
      </c>
      <c r="G27108" s="3" t="s">
        <v>27434</v>
      </c>
    </row>
    <row r="27109">
      <c r="A27109" s="3" t="s">
        <v>43563</v>
      </c>
      <c r="B27109" s="3" t="s">
        <v>21870</v>
      </c>
      <c r="C27109" s="5" t="s">
        <v>206</v>
      </c>
      <c r="D27109" s="3" t="s">
        <v>68</v>
      </c>
      <c r="E27109" s="3" t="s">
        <v>100</v>
      </c>
      <c r="F27109" s="7">
        <v>46266.797993959124</v>
      </c>
      <c r="G27109" s="3" t="s">
        <v>27436</v>
      </c>
    </row>
    <row r="27110">
      <c r="A27110" s="3" t="s">
        <v>43564</v>
      </c>
      <c r="B27110" s="3" t="s">
        <v>21873</v>
      </c>
      <c r="C27110" s="5" t="s">
        <v>45</v>
      </c>
      <c r="D27110" s="3" t="s">
        <v>221</v>
      </c>
      <c r="E27110" s="3" t="s">
        <v>593</v>
      </c>
      <c r="F27110" s="7">
        <v>46266.85875213787</v>
      </c>
      <c r="G27110" s="3" t="s">
        <v>14920</v>
      </c>
    </row>
    <row r="27111">
      <c r="A27111" s="3" t="s">
        <v>43565</v>
      </c>
      <c r="B27111" s="3" t="s">
        <v>21873</v>
      </c>
      <c r="C27111" s="5" t="s">
        <v>221</v>
      </c>
      <c r="D27111" s="3" t="s">
        <v>614</v>
      </c>
      <c r="E27111" s="3" t="s">
        <v>118</v>
      </c>
      <c r="F27111" s="7">
        <v>46266.86222436009</v>
      </c>
      <c r="G27111" s="3" t="s">
        <v>14923</v>
      </c>
    </row>
    <row r="27112">
      <c r="A27112" s="3" t="s">
        <v>43566</v>
      </c>
      <c r="B27112" s="3" t="s">
        <v>21873</v>
      </c>
      <c r="C27112" s="5" t="s">
        <v>614</v>
      </c>
      <c r="D27112" s="3" t="s">
        <v>206</v>
      </c>
      <c r="E27112" s="3" t="s">
        <v>100</v>
      </c>
      <c r="F27112" s="7">
        <v>46266.86569658232</v>
      </c>
      <c r="G27112" s="3" t="s">
        <v>14926</v>
      </c>
    </row>
    <row r="27113">
      <c r="A27113" s="3" t="s">
        <v>43567</v>
      </c>
      <c r="B27113" s="3" t="s">
        <v>21873</v>
      </c>
      <c r="C27113" s="5" t="s">
        <v>206</v>
      </c>
      <c r="D27113" s="3" t="s">
        <v>68</v>
      </c>
      <c r="E27113" s="3" t="s">
        <v>100</v>
      </c>
      <c r="F27113" s="7">
        <v>46266.86916880454</v>
      </c>
      <c r="G27113" s="3" t="s">
        <v>14928</v>
      </c>
    </row>
    <row r="27114">
      <c r="A27114" s="3" t="s">
        <v>43568</v>
      </c>
      <c r="B27114" s="3" t="s">
        <v>21878</v>
      </c>
      <c r="C27114" s="5" t="s">
        <v>45</v>
      </c>
      <c r="D27114" s="3" t="s">
        <v>221</v>
      </c>
      <c r="E27114" s="3" t="s">
        <v>440</v>
      </c>
      <c r="F27114" s="7">
        <v>46266.92992698329</v>
      </c>
      <c r="G27114" s="3" t="s">
        <v>10273</v>
      </c>
    </row>
    <row r="27115">
      <c r="A27115" s="3" t="s">
        <v>43569</v>
      </c>
      <c r="B27115" s="3" t="s">
        <v>21878</v>
      </c>
      <c r="C27115" s="5" t="s">
        <v>221</v>
      </c>
      <c r="D27115" s="3" t="s">
        <v>614</v>
      </c>
      <c r="E27115" s="3" t="s">
        <v>118</v>
      </c>
      <c r="F27115" s="7">
        <v>46266.93339920551</v>
      </c>
      <c r="G27115" s="3" t="s">
        <v>10592</v>
      </c>
    </row>
    <row r="27116">
      <c r="A27116" s="3" t="s">
        <v>43570</v>
      </c>
      <c r="B27116" s="3" t="s">
        <v>21878</v>
      </c>
      <c r="C27116" s="5" t="s">
        <v>614</v>
      </c>
      <c r="D27116" s="3" t="s">
        <v>206</v>
      </c>
      <c r="E27116" s="3" t="s">
        <v>100</v>
      </c>
      <c r="F27116" s="7">
        <v>46266.93687142774</v>
      </c>
      <c r="G27116" s="3" t="s">
        <v>10595</v>
      </c>
    </row>
    <row r="27117">
      <c r="A27117" s="3" t="s">
        <v>43571</v>
      </c>
      <c r="B27117" s="3" t="s">
        <v>21878</v>
      </c>
      <c r="C27117" s="5" t="s">
        <v>206</v>
      </c>
      <c r="D27117" s="3" t="s">
        <v>68</v>
      </c>
      <c r="E27117" s="3" t="s">
        <v>100</v>
      </c>
      <c r="F27117" s="7">
        <v>46266.940343649956</v>
      </c>
      <c r="G27117" s="3" t="s">
        <v>10597</v>
      </c>
    </row>
    <row r="27118">
      <c r="A27118" s="3" t="s">
        <v>43572</v>
      </c>
      <c r="B27118" s="3" t="s">
        <v>21881</v>
      </c>
      <c r="C27118" s="5" t="s">
        <v>45</v>
      </c>
      <c r="D27118" s="3" t="s">
        <v>221</v>
      </c>
      <c r="E27118" s="3" t="s">
        <v>1049</v>
      </c>
      <c r="F27118" s="7">
        <v>46267.001101828704</v>
      </c>
      <c r="G27118" s="3" t="s">
        <v>12701</v>
      </c>
    </row>
    <row r="27119">
      <c r="A27119" s="3" t="s">
        <v>43573</v>
      </c>
      <c r="B27119" s="3" t="s">
        <v>21881</v>
      </c>
      <c r="C27119" s="5" t="s">
        <v>221</v>
      </c>
      <c r="D27119" s="3" t="s">
        <v>614</v>
      </c>
      <c r="E27119" s="3" t="s">
        <v>118</v>
      </c>
      <c r="F27119" s="7">
        <v>46267.00457405092</v>
      </c>
      <c r="G27119" s="3" t="s">
        <v>12704</v>
      </c>
    </row>
    <row r="27120">
      <c r="A27120" s="3" t="s">
        <v>43574</v>
      </c>
      <c r="B27120" s="3" t="s">
        <v>21881</v>
      </c>
      <c r="C27120" s="5" t="s">
        <v>614</v>
      </c>
      <c r="D27120" s="3" t="s">
        <v>206</v>
      </c>
      <c r="E27120" s="3" t="s">
        <v>100</v>
      </c>
      <c r="F27120" s="7">
        <v>46267.00804627315</v>
      </c>
      <c r="G27120" s="3" t="s">
        <v>12707</v>
      </c>
    </row>
    <row r="27121">
      <c r="A27121" s="3" t="s">
        <v>43575</v>
      </c>
      <c r="B27121" s="3" t="s">
        <v>21881</v>
      </c>
      <c r="C27121" s="5" t="s">
        <v>206</v>
      </c>
      <c r="D27121" s="3" t="s">
        <v>68</v>
      </c>
      <c r="E27121" s="3" t="s">
        <v>100</v>
      </c>
      <c r="F27121" s="7">
        <v>46267.01151849537</v>
      </c>
      <c r="G27121" s="3" t="s">
        <v>12710</v>
      </c>
    </row>
    <row r="27122">
      <c r="A27122" s="3" t="s">
        <v>43576</v>
      </c>
      <c r="B27122" s="3" t="s">
        <v>21884</v>
      </c>
      <c r="C27122" s="5" t="s">
        <v>45</v>
      </c>
      <c r="D27122" s="3" t="s">
        <v>221</v>
      </c>
      <c r="E27122" s="3" t="s">
        <v>947</v>
      </c>
      <c r="F27122" s="7">
        <v>46267.07227667412</v>
      </c>
      <c r="G27122" s="3" t="s">
        <v>2770</v>
      </c>
    </row>
    <row r="27123">
      <c r="A27123" s="3" t="s">
        <v>43577</v>
      </c>
      <c r="B27123" s="3" t="s">
        <v>21884</v>
      </c>
      <c r="C27123" s="5" t="s">
        <v>221</v>
      </c>
      <c r="D27123" s="3" t="s">
        <v>181</v>
      </c>
      <c r="E27123" s="3" t="s">
        <v>118</v>
      </c>
      <c r="F27123" s="7">
        <v>46267.075748896335</v>
      </c>
      <c r="G27123" s="3" t="s">
        <v>2774</v>
      </c>
    </row>
    <row r="27124">
      <c r="A27124" s="3" t="s">
        <v>43578</v>
      </c>
      <c r="B27124" s="3" t="s">
        <v>21886</v>
      </c>
      <c r="C27124" s="5" t="s">
        <v>45</v>
      </c>
      <c r="D27124" s="3" t="s">
        <v>221</v>
      </c>
      <c r="E27124" s="3" t="s">
        <v>845</v>
      </c>
      <c r="F27124" s="7">
        <v>46267.143451519536</v>
      </c>
      <c r="G27124" s="3" t="s">
        <v>14955</v>
      </c>
    </row>
    <row r="27125">
      <c r="A27125" s="3" t="s">
        <v>43579</v>
      </c>
      <c r="B27125" s="3" t="s">
        <v>21886</v>
      </c>
      <c r="C27125" s="5" t="s">
        <v>221</v>
      </c>
      <c r="D27125" s="3" t="s">
        <v>614</v>
      </c>
      <c r="E27125" s="3" t="s">
        <v>118</v>
      </c>
      <c r="F27125" s="7">
        <v>46267.146923741755</v>
      </c>
      <c r="G27125" s="3" t="s">
        <v>14958</v>
      </c>
    </row>
    <row r="27126">
      <c r="A27126" s="3" t="s">
        <v>43580</v>
      </c>
      <c r="B27126" s="3" t="s">
        <v>21886</v>
      </c>
      <c r="C27126" s="5" t="s">
        <v>614</v>
      </c>
      <c r="D27126" s="3" t="s">
        <v>206</v>
      </c>
      <c r="E27126" s="3" t="s">
        <v>100</v>
      </c>
      <c r="F27126" s="7">
        <v>46267.15039596398</v>
      </c>
      <c r="G27126" s="3" t="s">
        <v>14961</v>
      </c>
    </row>
    <row r="27127">
      <c r="A27127" s="3" t="s">
        <v>43581</v>
      </c>
      <c r="B27127" s="3" t="s">
        <v>21886</v>
      </c>
      <c r="C27127" s="5" t="s">
        <v>206</v>
      </c>
      <c r="D27127" s="3" t="s">
        <v>68</v>
      </c>
      <c r="E27127" s="3" t="s">
        <v>100</v>
      </c>
      <c r="F27127" s="7">
        <v>46267.1538681862</v>
      </c>
      <c r="G27127" s="3" t="s">
        <v>14964</v>
      </c>
    </row>
    <row r="27128">
      <c r="A27128" s="3" t="s">
        <v>43582</v>
      </c>
      <c r="B27128" s="3" t="s">
        <v>21889</v>
      </c>
      <c r="C27128" s="5" t="s">
        <v>45</v>
      </c>
      <c r="D27128" s="3" t="s">
        <v>221</v>
      </c>
      <c r="E27128" s="3" t="s">
        <v>322</v>
      </c>
      <c r="F27128" s="7">
        <v>46267.21462636495</v>
      </c>
      <c r="G27128" s="3" t="s">
        <v>13434</v>
      </c>
    </row>
    <row r="27129">
      <c r="A27129" s="3" t="s">
        <v>43583</v>
      </c>
      <c r="B27129" s="3" t="s">
        <v>21889</v>
      </c>
      <c r="C27129" s="5" t="s">
        <v>221</v>
      </c>
      <c r="D27129" s="3" t="s">
        <v>614</v>
      </c>
      <c r="E27129" s="3" t="s">
        <v>118</v>
      </c>
      <c r="F27129" s="7">
        <v>46267.21809858717</v>
      </c>
      <c r="G27129" s="3" t="s">
        <v>13436</v>
      </c>
    </row>
    <row r="27130">
      <c r="A27130" s="3" t="s">
        <v>43584</v>
      </c>
      <c r="B27130" s="3" t="s">
        <v>21889</v>
      </c>
      <c r="C27130" s="5" t="s">
        <v>614</v>
      </c>
      <c r="D27130" s="3" t="s">
        <v>206</v>
      </c>
      <c r="E27130" s="3" t="s">
        <v>100</v>
      </c>
      <c r="F27130" s="7">
        <v>46267.22157080939</v>
      </c>
      <c r="G27130" s="3" t="s">
        <v>13439</v>
      </c>
    </row>
    <row r="27131">
      <c r="A27131" s="3" t="s">
        <v>43585</v>
      </c>
      <c r="B27131" s="3" t="s">
        <v>21889</v>
      </c>
      <c r="C27131" s="5" t="s">
        <v>206</v>
      </c>
      <c r="D27131" s="3" t="s">
        <v>68</v>
      </c>
      <c r="E27131" s="3" t="s">
        <v>100</v>
      </c>
      <c r="F27131" s="7">
        <v>46267.22504303161</v>
      </c>
      <c r="G27131" s="3" t="s">
        <v>13442</v>
      </c>
    </row>
    <row r="27132">
      <c r="A27132" s="3" t="s">
        <v>43586</v>
      </c>
      <c r="B27132" s="3" t="s">
        <v>21892</v>
      </c>
      <c r="C27132" s="5" t="s">
        <v>45</v>
      </c>
      <c r="D27132" s="3" t="s">
        <v>221</v>
      </c>
      <c r="E27132" s="3" t="s">
        <v>296</v>
      </c>
      <c r="F27132" s="7">
        <v>46267.28580121036</v>
      </c>
      <c r="G27132" s="3" t="s">
        <v>15196</v>
      </c>
    </row>
    <row r="27133">
      <c r="A27133" s="3" t="s">
        <v>43587</v>
      </c>
      <c r="B27133" s="3" t="s">
        <v>21892</v>
      </c>
      <c r="C27133" s="5" t="s">
        <v>221</v>
      </c>
      <c r="D27133" s="3" t="s">
        <v>614</v>
      </c>
      <c r="E27133" s="3" t="s">
        <v>118</v>
      </c>
      <c r="F27133" s="7">
        <v>46267.28927343258</v>
      </c>
      <c r="G27133" s="3" t="s">
        <v>15199</v>
      </c>
    </row>
    <row r="27134">
      <c r="A27134" s="3" t="s">
        <v>43588</v>
      </c>
      <c r="B27134" s="3" t="s">
        <v>21892</v>
      </c>
      <c r="C27134" s="5" t="s">
        <v>614</v>
      </c>
      <c r="D27134" s="3" t="s">
        <v>206</v>
      </c>
      <c r="E27134" s="3" t="s">
        <v>100</v>
      </c>
      <c r="F27134" s="7">
        <v>46267.292745654806</v>
      </c>
      <c r="G27134" s="3" t="s">
        <v>15203</v>
      </c>
    </row>
    <row r="27135">
      <c r="A27135" s="3" t="s">
        <v>43589</v>
      </c>
      <c r="B27135" s="3" t="s">
        <v>21892</v>
      </c>
      <c r="C27135" s="5" t="s">
        <v>206</v>
      </c>
      <c r="D27135" s="3" t="s">
        <v>68</v>
      </c>
      <c r="E27135" s="3" t="s">
        <v>100</v>
      </c>
      <c r="F27135" s="7">
        <v>46267.296217877025</v>
      </c>
      <c r="G27135" s="3" t="s">
        <v>15206</v>
      </c>
    </row>
    <row r="27136">
      <c r="A27136" s="3" t="s">
        <v>43590</v>
      </c>
      <c r="B27136" s="3" t="s">
        <v>21894</v>
      </c>
      <c r="C27136" s="5" t="s">
        <v>45</v>
      </c>
      <c r="D27136" s="3" t="s">
        <v>221</v>
      </c>
      <c r="E27136" s="3" t="s">
        <v>313</v>
      </c>
      <c r="F27136" s="7">
        <v>46267.35697605578</v>
      </c>
      <c r="G27136" s="3" t="s">
        <v>5314</v>
      </c>
    </row>
    <row r="27137">
      <c r="A27137" s="3" t="s">
        <v>43591</v>
      </c>
      <c r="B27137" s="3" t="s">
        <v>21894</v>
      </c>
      <c r="C27137" s="5" t="s">
        <v>221</v>
      </c>
      <c r="D27137" s="3" t="s">
        <v>614</v>
      </c>
      <c r="E27137" s="3" t="s">
        <v>118</v>
      </c>
      <c r="F27137" s="7">
        <v>46267.360448278</v>
      </c>
      <c r="G27137" s="3" t="s">
        <v>5317</v>
      </c>
    </row>
    <row r="27138">
      <c r="A27138" s="3" t="s">
        <v>43592</v>
      </c>
      <c r="B27138" s="3" t="s">
        <v>21894</v>
      </c>
      <c r="C27138" s="5" t="s">
        <v>614</v>
      </c>
      <c r="D27138" s="3" t="s">
        <v>206</v>
      </c>
      <c r="E27138" s="3" t="s">
        <v>100</v>
      </c>
      <c r="F27138" s="7">
        <v>46267.363920500226</v>
      </c>
      <c r="G27138" s="3" t="s">
        <v>5320</v>
      </c>
    </row>
    <row r="27139">
      <c r="A27139" s="3" t="s">
        <v>43593</v>
      </c>
      <c r="B27139" s="3" t="s">
        <v>21894</v>
      </c>
      <c r="C27139" s="5" t="s">
        <v>206</v>
      </c>
      <c r="D27139" s="3" t="s">
        <v>68</v>
      </c>
      <c r="E27139" s="3" t="s">
        <v>100</v>
      </c>
      <c r="F27139" s="7">
        <v>46267.367392722444</v>
      </c>
      <c r="G27139" s="3" t="s">
        <v>5323</v>
      </c>
    </row>
    <row r="27140">
      <c r="A27140" s="3" t="s">
        <v>43594</v>
      </c>
      <c r="B27140" s="3" t="s">
        <v>21896</v>
      </c>
      <c r="C27140" s="5" t="s">
        <v>45</v>
      </c>
      <c r="D27140" s="3" t="s">
        <v>221</v>
      </c>
      <c r="E27140" s="3" t="s">
        <v>485</v>
      </c>
      <c r="F27140" s="7">
        <v>46267.4281509012</v>
      </c>
      <c r="G27140" s="3" t="s">
        <v>32165</v>
      </c>
    </row>
    <row r="27141">
      <c r="A27141" s="3" t="s">
        <v>43595</v>
      </c>
      <c r="B27141" s="3" t="s">
        <v>21896</v>
      </c>
      <c r="C27141" s="5" t="s">
        <v>221</v>
      </c>
      <c r="D27141" s="3" t="s">
        <v>614</v>
      </c>
      <c r="E27141" s="3" t="s">
        <v>118</v>
      </c>
      <c r="F27141" s="7">
        <v>46267.43162312342</v>
      </c>
      <c r="G27141" s="3" t="s">
        <v>32167</v>
      </c>
    </row>
    <row r="27142">
      <c r="A27142" s="3" t="s">
        <v>43596</v>
      </c>
      <c r="B27142" s="3" t="s">
        <v>21896</v>
      </c>
      <c r="C27142" s="5" t="s">
        <v>614</v>
      </c>
      <c r="D27142" s="3" t="s">
        <v>206</v>
      </c>
      <c r="E27142" s="3" t="s">
        <v>100</v>
      </c>
      <c r="F27142" s="7">
        <v>46267.435095345645</v>
      </c>
      <c r="G27142" s="3" t="s">
        <v>32169</v>
      </c>
    </row>
    <row r="27143">
      <c r="A27143" s="3" t="s">
        <v>43597</v>
      </c>
      <c r="B27143" s="3" t="s">
        <v>21896</v>
      </c>
      <c r="C27143" s="5" t="s">
        <v>206</v>
      </c>
      <c r="D27143" s="3" t="s">
        <v>68</v>
      </c>
      <c r="E27143" s="3" t="s">
        <v>100</v>
      </c>
      <c r="F27143" s="7">
        <v>46267.438567567864</v>
      </c>
      <c r="G27143" s="3" t="s">
        <v>32171</v>
      </c>
    </row>
    <row r="27144">
      <c r="A27144" s="3" t="s">
        <v>43598</v>
      </c>
      <c r="B27144" s="3" t="s">
        <v>21899</v>
      </c>
      <c r="C27144" s="5" t="s">
        <v>45</v>
      </c>
      <c r="D27144" s="3" t="s">
        <v>221</v>
      </c>
      <c r="E27144" s="3" t="s">
        <v>593</v>
      </c>
      <c r="F27144" s="7">
        <v>46267.499325746605</v>
      </c>
      <c r="G27144" s="3" t="s">
        <v>18473</v>
      </c>
    </row>
    <row r="27145">
      <c r="A27145" s="3" t="s">
        <v>43599</v>
      </c>
      <c r="B27145" s="3" t="s">
        <v>21899</v>
      </c>
      <c r="C27145" s="5" t="s">
        <v>221</v>
      </c>
      <c r="D27145" s="3" t="s">
        <v>614</v>
      </c>
      <c r="E27145" s="3" t="s">
        <v>118</v>
      </c>
      <c r="F27145" s="7">
        <v>46267.502797968824</v>
      </c>
      <c r="G27145" s="3" t="s">
        <v>18476</v>
      </c>
    </row>
    <row r="27146">
      <c r="A27146" s="3" t="s">
        <v>43600</v>
      </c>
      <c r="B27146" s="3" t="s">
        <v>21899</v>
      </c>
      <c r="C27146" s="5" t="s">
        <v>614</v>
      </c>
      <c r="D27146" s="3" t="s">
        <v>206</v>
      </c>
      <c r="E27146" s="3" t="s">
        <v>100</v>
      </c>
      <c r="F27146" s="7">
        <v>46267.50627019105</v>
      </c>
      <c r="G27146" s="3" t="s">
        <v>18479</v>
      </c>
    </row>
    <row r="27147">
      <c r="A27147" s="3" t="s">
        <v>43601</v>
      </c>
      <c r="B27147" s="3" t="s">
        <v>21899</v>
      </c>
      <c r="C27147" s="5" t="s">
        <v>206</v>
      </c>
      <c r="D27147" s="3" t="s">
        <v>68</v>
      </c>
      <c r="E27147" s="3" t="s">
        <v>100</v>
      </c>
      <c r="F27147" s="7">
        <v>46267.50974241327</v>
      </c>
      <c r="G27147" s="3" t="s">
        <v>18482</v>
      </c>
    </row>
    <row r="27148">
      <c r="A27148" s="3" t="s">
        <v>43602</v>
      </c>
      <c r="B27148" s="3" t="s">
        <v>21902</v>
      </c>
      <c r="C27148" s="5" t="s">
        <v>45</v>
      </c>
      <c r="D27148" s="3" t="s">
        <v>221</v>
      </c>
      <c r="E27148" s="3" t="s">
        <v>655</v>
      </c>
      <c r="F27148" s="7">
        <v>46267.570500592024</v>
      </c>
      <c r="G27148" s="3" t="s">
        <v>38970</v>
      </c>
    </row>
    <row r="27149">
      <c r="A27149" s="3" t="s">
        <v>43603</v>
      </c>
      <c r="B27149" s="3" t="s">
        <v>21902</v>
      </c>
      <c r="C27149" s="5" t="s">
        <v>221</v>
      </c>
      <c r="D27149" s="3" t="s">
        <v>614</v>
      </c>
      <c r="E27149" s="3" t="s">
        <v>118</v>
      </c>
      <c r="F27149" s="7">
        <v>46267.57397281424</v>
      </c>
      <c r="G27149" s="3" t="s">
        <v>38972</v>
      </c>
    </row>
    <row r="27150">
      <c r="A27150" s="3" t="s">
        <v>43604</v>
      </c>
      <c r="B27150" s="3" t="s">
        <v>21902</v>
      </c>
      <c r="C27150" s="5" t="s">
        <v>614</v>
      </c>
      <c r="D27150" s="3" t="s">
        <v>206</v>
      </c>
      <c r="E27150" s="3" t="s">
        <v>100</v>
      </c>
      <c r="F27150" s="7">
        <v>46267.57744503647</v>
      </c>
      <c r="G27150" s="3" t="s">
        <v>38974</v>
      </c>
    </row>
    <row r="27151">
      <c r="A27151" s="3" t="s">
        <v>43605</v>
      </c>
      <c r="B27151" s="3" t="s">
        <v>21902</v>
      </c>
      <c r="C27151" s="5" t="s">
        <v>206</v>
      </c>
      <c r="D27151" s="3" t="s">
        <v>68</v>
      </c>
      <c r="E27151" s="3" t="s">
        <v>100</v>
      </c>
      <c r="F27151" s="7">
        <v>46267.58091725869</v>
      </c>
      <c r="G27151" s="3" t="s">
        <v>38976</v>
      </c>
    </row>
    <row r="27152">
      <c r="A27152" s="3" t="s">
        <v>43606</v>
      </c>
      <c r="B27152" s="3" t="s">
        <v>21905</v>
      </c>
      <c r="C27152" s="5" t="s">
        <v>45</v>
      </c>
      <c r="D27152" s="3" t="s">
        <v>221</v>
      </c>
      <c r="E27152" s="3" t="s">
        <v>657</v>
      </c>
      <c r="F27152" s="7">
        <v>46267.641675437444</v>
      </c>
      <c r="G27152" s="3" t="s">
        <v>17947</v>
      </c>
    </row>
    <row r="27153">
      <c r="A27153" s="3" t="s">
        <v>43607</v>
      </c>
      <c r="B27153" s="3" t="s">
        <v>21905</v>
      </c>
      <c r="C27153" s="5" t="s">
        <v>221</v>
      </c>
      <c r="D27153" s="3" t="s">
        <v>614</v>
      </c>
      <c r="E27153" s="3" t="s">
        <v>118</v>
      </c>
      <c r="F27153" s="7">
        <v>46267.64514765966</v>
      </c>
      <c r="G27153" s="3" t="s">
        <v>17950</v>
      </c>
    </row>
    <row r="27154">
      <c r="A27154" s="3" t="s">
        <v>43608</v>
      </c>
      <c r="B27154" s="3" t="s">
        <v>21905</v>
      </c>
      <c r="C27154" s="5" t="s">
        <v>614</v>
      </c>
      <c r="D27154" s="3" t="s">
        <v>206</v>
      </c>
      <c r="E27154" s="3" t="s">
        <v>100</v>
      </c>
      <c r="F27154" s="7">
        <v>46267.64861988189</v>
      </c>
      <c r="G27154" s="3" t="s">
        <v>17952</v>
      </c>
    </row>
    <row r="27155">
      <c r="A27155" s="3" t="s">
        <v>43609</v>
      </c>
      <c r="B27155" s="3" t="s">
        <v>21905</v>
      </c>
      <c r="C27155" s="5" t="s">
        <v>206</v>
      </c>
      <c r="D27155" s="3" t="s">
        <v>68</v>
      </c>
      <c r="E27155" s="3" t="s">
        <v>100</v>
      </c>
      <c r="F27155" s="7">
        <v>46267.65209210411</v>
      </c>
      <c r="G27155" s="3" t="s">
        <v>17955</v>
      </c>
    </row>
    <row r="27156">
      <c r="A27156" s="3" t="s">
        <v>43610</v>
      </c>
      <c r="B27156" s="3" t="s">
        <v>21908</v>
      </c>
      <c r="C27156" s="5" t="s">
        <v>45</v>
      </c>
      <c r="D27156" s="3" t="s">
        <v>221</v>
      </c>
      <c r="E27156" s="3" t="s">
        <v>789</v>
      </c>
      <c r="F27156" s="7">
        <v>46267.71285028286</v>
      </c>
      <c r="G27156" s="3" t="s">
        <v>14975</v>
      </c>
    </row>
    <row r="27157">
      <c r="A27157" s="3" t="s">
        <v>43611</v>
      </c>
      <c r="B27157" s="3" t="s">
        <v>21908</v>
      </c>
      <c r="C27157" s="5" t="s">
        <v>221</v>
      </c>
      <c r="D27157" s="3" t="s">
        <v>614</v>
      </c>
      <c r="E27157" s="3" t="s">
        <v>118</v>
      </c>
      <c r="F27157" s="7">
        <v>46267.716322505075</v>
      </c>
      <c r="G27157" s="3" t="s">
        <v>14978</v>
      </c>
    </row>
    <row r="27158">
      <c r="A27158" s="3" t="s">
        <v>43612</v>
      </c>
      <c r="B27158" s="3" t="s">
        <v>21908</v>
      </c>
      <c r="C27158" s="5" t="s">
        <v>614</v>
      </c>
      <c r="D27158" s="3" t="s">
        <v>206</v>
      </c>
      <c r="E27158" s="3" t="s">
        <v>100</v>
      </c>
      <c r="F27158" s="7">
        <v>46267.7197947273</v>
      </c>
      <c r="G27158" s="3" t="s">
        <v>14981</v>
      </c>
    </row>
    <row r="27159">
      <c r="A27159" s="3" t="s">
        <v>43613</v>
      </c>
      <c r="B27159" s="3" t="s">
        <v>21908</v>
      </c>
      <c r="C27159" s="5" t="s">
        <v>206</v>
      </c>
      <c r="D27159" s="3" t="s">
        <v>68</v>
      </c>
      <c r="E27159" s="3" t="s">
        <v>100</v>
      </c>
      <c r="F27159" s="7">
        <v>46267.72326694952</v>
      </c>
      <c r="G27159" s="3" t="s">
        <v>14983</v>
      </c>
    </row>
    <row r="27160">
      <c r="A27160" s="3" t="s">
        <v>43614</v>
      </c>
      <c r="B27160" s="3" t="s">
        <v>21911</v>
      </c>
      <c r="C27160" s="5" t="s">
        <v>45</v>
      </c>
      <c r="D27160" s="3" t="s">
        <v>221</v>
      </c>
      <c r="E27160" s="3" t="s">
        <v>1034</v>
      </c>
      <c r="F27160" s="7">
        <v>46267.78402512827</v>
      </c>
      <c r="G27160" s="3" t="s">
        <v>2770</v>
      </c>
    </row>
    <row r="27161">
      <c r="A27161" s="3" t="s">
        <v>43615</v>
      </c>
      <c r="B27161" s="3" t="s">
        <v>21911</v>
      </c>
      <c r="C27161" s="5" t="s">
        <v>221</v>
      </c>
      <c r="D27161" s="3" t="s">
        <v>195</v>
      </c>
      <c r="E27161" s="3" t="s">
        <v>1034</v>
      </c>
      <c r="F27161" s="7">
        <v>46267.78749735049</v>
      </c>
      <c r="G27161" s="3" t="s">
        <v>3055</v>
      </c>
    </row>
    <row r="27162">
      <c r="A27162" s="3" t="s">
        <v>43616</v>
      </c>
      <c r="B27162" s="3" t="s">
        <v>21913</v>
      </c>
      <c r="C27162" s="5" t="s">
        <v>45</v>
      </c>
      <c r="D27162" s="3" t="s">
        <v>221</v>
      </c>
      <c r="E27162" s="3" t="s">
        <v>600</v>
      </c>
      <c r="F27162" s="7">
        <v>46267.85519997369</v>
      </c>
      <c r="G27162" s="3" t="s">
        <v>29555</v>
      </c>
    </row>
    <row r="27163">
      <c r="A27163" s="3" t="s">
        <v>43617</v>
      </c>
      <c r="B27163" s="3" t="s">
        <v>21913</v>
      </c>
      <c r="C27163" s="5" t="s">
        <v>221</v>
      </c>
      <c r="D27163" s="3" t="s">
        <v>614</v>
      </c>
      <c r="E27163" s="3" t="s">
        <v>118</v>
      </c>
      <c r="F27163" s="7">
        <v>46267.85867219591</v>
      </c>
      <c r="G27163" s="3" t="s">
        <v>29557</v>
      </c>
    </row>
    <row r="27164">
      <c r="A27164" s="3" t="s">
        <v>43618</v>
      </c>
      <c r="B27164" s="3" t="s">
        <v>21913</v>
      </c>
      <c r="C27164" s="5" t="s">
        <v>614</v>
      </c>
      <c r="D27164" s="3" t="s">
        <v>206</v>
      </c>
      <c r="E27164" s="3" t="s">
        <v>100</v>
      </c>
      <c r="F27164" s="7">
        <v>46267.86214441813</v>
      </c>
      <c r="G27164" s="3" t="s">
        <v>29559</v>
      </c>
    </row>
    <row r="27165">
      <c r="A27165" s="3" t="s">
        <v>43619</v>
      </c>
      <c r="B27165" s="3" t="s">
        <v>21913</v>
      </c>
      <c r="C27165" s="5" t="s">
        <v>206</v>
      </c>
      <c r="D27165" s="3" t="s">
        <v>68</v>
      </c>
      <c r="E27165" s="3" t="s">
        <v>100</v>
      </c>
      <c r="F27165" s="7">
        <v>46267.86561664035</v>
      </c>
      <c r="G27165" s="3" t="s">
        <v>29561</v>
      </c>
    </row>
    <row r="27166">
      <c r="A27166" s="3" t="s">
        <v>43620</v>
      </c>
      <c r="B27166" s="3" t="s">
        <v>21915</v>
      </c>
      <c r="C27166" s="5" t="s">
        <v>45</v>
      </c>
      <c r="D27166" s="3" t="s">
        <v>221</v>
      </c>
      <c r="E27166" s="3" t="s">
        <v>507</v>
      </c>
      <c r="F27166" s="7">
        <v>46267.9263748191</v>
      </c>
      <c r="G27166" s="3" t="s">
        <v>15029</v>
      </c>
    </row>
    <row r="27167">
      <c r="A27167" s="3" t="s">
        <v>43621</v>
      </c>
      <c r="B27167" s="3" t="s">
        <v>21915</v>
      </c>
      <c r="C27167" s="5" t="s">
        <v>221</v>
      </c>
      <c r="D27167" s="3" t="s">
        <v>614</v>
      </c>
      <c r="E27167" s="3" t="s">
        <v>118</v>
      </c>
      <c r="F27167" s="7">
        <v>46267.92984704132</v>
      </c>
      <c r="G27167" s="3" t="s">
        <v>15031</v>
      </c>
    </row>
    <row r="27168">
      <c r="A27168" s="3" t="s">
        <v>43622</v>
      </c>
      <c r="B27168" s="3" t="s">
        <v>21915</v>
      </c>
      <c r="C27168" s="5" t="s">
        <v>614</v>
      </c>
      <c r="D27168" s="3" t="s">
        <v>206</v>
      </c>
      <c r="E27168" s="3" t="s">
        <v>100</v>
      </c>
      <c r="F27168" s="7">
        <v>46267.933319263546</v>
      </c>
      <c r="G27168" s="3" t="s">
        <v>15034</v>
      </c>
    </row>
    <row r="27169">
      <c r="A27169" s="3" t="s">
        <v>43623</v>
      </c>
      <c r="B27169" s="3" t="s">
        <v>21915</v>
      </c>
      <c r="C27169" s="5" t="s">
        <v>206</v>
      </c>
      <c r="D27169" s="3" t="s">
        <v>68</v>
      </c>
      <c r="E27169" s="3" t="s">
        <v>100</v>
      </c>
      <c r="F27169" s="7">
        <v>46267.936791485765</v>
      </c>
      <c r="G27169" s="3" t="s">
        <v>15037</v>
      </c>
    </row>
    <row r="27170">
      <c r="A27170" s="3" t="s">
        <v>43624</v>
      </c>
      <c r="B27170" s="3" t="s">
        <v>21917</v>
      </c>
      <c r="C27170" s="5" t="s">
        <v>45</v>
      </c>
      <c r="D27170" s="3" t="s">
        <v>221</v>
      </c>
      <c r="E27170" s="3" t="s">
        <v>640</v>
      </c>
      <c r="F27170" s="7">
        <v>46267.99754966451</v>
      </c>
      <c r="G27170" s="3" t="s">
        <v>32575</v>
      </c>
    </row>
    <row r="27171">
      <c r="A27171" s="3" t="s">
        <v>43625</v>
      </c>
      <c r="B27171" s="3" t="s">
        <v>21917</v>
      </c>
      <c r="C27171" s="5" t="s">
        <v>221</v>
      </c>
      <c r="D27171" s="3" t="s">
        <v>614</v>
      </c>
      <c r="E27171" s="3" t="s">
        <v>118</v>
      </c>
      <c r="F27171" s="7">
        <v>46268.00102188673</v>
      </c>
      <c r="G27171" s="3" t="s">
        <v>32577</v>
      </c>
    </row>
    <row r="27172">
      <c r="A27172" s="3" t="s">
        <v>43626</v>
      </c>
      <c r="B27172" s="3" t="s">
        <v>21917</v>
      </c>
      <c r="C27172" s="5" t="s">
        <v>614</v>
      </c>
      <c r="D27172" s="3" t="s">
        <v>206</v>
      </c>
      <c r="E27172" s="3" t="s">
        <v>100</v>
      </c>
      <c r="F27172" s="7">
        <v>46268.00449410896</v>
      </c>
      <c r="G27172" s="3" t="s">
        <v>32579</v>
      </c>
    </row>
    <row r="27173">
      <c r="A27173" s="3" t="s">
        <v>43627</v>
      </c>
      <c r="B27173" s="3" t="s">
        <v>21917</v>
      </c>
      <c r="C27173" s="5" t="s">
        <v>206</v>
      </c>
      <c r="D27173" s="3" t="s">
        <v>68</v>
      </c>
      <c r="E27173" s="3" t="s">
        <v>100</v>
      </c>
      <c r="F27173" s="7">
        <v>46268.00796633118</v>
      </c>
      <c r="G27173" s="3" t="s">
        <v>32581</v>
      </c>
    </row>
    <row r="27174">
      <c r="A27174" s="3" t="s">
        <v>43628</v>
      </c>
      <c r="B27174" s="3" t="s">
        <v>21919</v>
      </c>
      <c r="C27174" s="5" t="s">
        <v>45</v>
      </c>
      <c r="D27174" s="3" t="s">
        <v>221</v>
      </c>
      <c r="E27174" s="3" t="s">
        <v>527</v>
      </c>
      <c r="F27174" s="7">
        <v>46268.06872450993</v>
      </c>
      <c r="G27174" s="3" t="s">
        <v>30023</v>
      </c>
    </row>
    <row r="27175">
      <c r="A27175" s="3" t="s">
        <v>43629</v>
      </c>
      <c r="B27175" s="3" t="s">
        <v>21919</v>
      </c>
      <c r="C27175" s="5" t="s">
        <v>221</v>
      </c>
      <c r="D27175" s="3" t="s">
        <v>614</v>
      </c>
      <c r="E27175" s="3" t="s">
        <v>118</v>
      </c>
      <c r="F27175" s="7">
        <v>46268.07219673215</v>
      </c>
      <c r="G27175" s="3" t="s">
        <v>30025</v>
      </c>
    </row>
    <row r="27176">
      <c r="A27176" s="3" t="s">
        <v>43630</v>
      </c>
      <c r="B27176" s="3" t="s">
        <v>21919</v>
      </c>
      <c r="C27176" s="5" t="s">
        <v>614</v>
      </c>
      <c r="D27176" s="3" t="s">
        <v>206</v>
      </c>
      <c r="E27176" s="3" t="s">
        <v>100</v>
      </c>
      <c r="F27176" s="7">
        <v>46268.07566895438</v>
      </c>
      <c r="G27176" s="3" t="s">
        <v>30027</v>
      </c>
    </row>
    <row r="27177">
      <c r="A27177" s="3" t="s">
        <v>43631</v>
      </c>
      <c r="B27177" s="3" t="s">
        <v>21919</v>
      </c>
      <c r="C27177" s="5" t="s">
        <v>206</v>
      </c>
      <c r="D27177" s="3" t="s">
        <v>68</v>
      </c>
      <c r="E27177" s="3" t="s">
        <v>100</v>
      </c>
      <c r="F27177" s="7">
        <v>46268.0791411766</v>
      </c>
      <c r="G27177" s="3" t="s">
        <v>30029</v>
      </c>
    </row>
    <row r="27178">
      <c r="A27178" s="3" t="s">
        <v>43632</v>
      </c>
      <c r="B27178" s="3" t="s">
        <v>21921</v>
      </c>
      <c r="C27178" s="5" t="s">
        <v>45</v>
      </c>
      <c r="D27178" s="3" t="s">
        <v>221</v>
      </c>
      <c r="E27178" s="3" t="s">
        <v>369</v>
      </c>
      <c r="F27178" s="7">
        <v>46268.139899355345</v>
      </c>
      <c r="G27178" s="3" t="s">
        <v>10155</v>
      </c>
    </row>
    <row r="27179">
      <c r="A27179" s="3" t="s">
        <v>43633</v>
      </c>
      <c r="B27179" s="3" t="s">
        <v>21921</v>
      </c>
      <c r="C27179" s="5" t="s">
        <v>221</v>
      </c>
      <c r="D27179" s="3" t="s">
        <v>614</v>
      </c>
      <c r="E27179" s="3" t="s">
        <v>118</v>
      </c>
      <c r="F27179" s="7">
        <v>46268.143371577564</v>
      </c>
      <c r="G27179" s="3" t="s">
        <v>20294</v>
      </c>
    </row>
    <row r="27180">
      <c r="A27180" s="3" t="s">
        <v>43634</v>
      </c>
      <c r="B27180" s="3" t="s">
        <v>21921</v>
      </c>
      <c r="C27180" s="5" t="s">
        <v>614</v>
      </c>
      <c r="D27180" s="3" t="s">
        <v>206</v>
      </c>
      <c r="E27180" s="3" t="s">
        <v>100</v>
      </c>
      <c r="F27180" s="7">
        <v>46268.14684379979</v>
      </c>
      <c r="G27180" s="3" t="s">
        <v>20297</v>
      </c>
    </row>
    <row r="27181">
      <c r="A27181" s="3" t="s">
        <v>43635</v>
      </c>
      <c r="B27181" s="3" t="s">
        <v>21921</v>
      </c>
      <c r="C27181" s="5" t="s">
        <v>206</v>
      </c>
      <c r="D27181" s="3" t="s">
        <v>68</v>
      </c>
      <c r="E27181" s="3" t="s">
        <v>100</v>
      </c>
      <c r="F27181" s="7">
        <v>46268.15031602201</v>
      </c>
      <c r="G27181" s="3" t="s">
        <v>20299</v>
      </c>
    </row>
    <row r="27182">
      <c r="A27182" s="3" t="s">
        <v>43636</v>
      </c>
      <c r="B27182" s="3" t="s">
        <v>21923</v>
      </c>
      <c r="C27182" s="5" t="s">
        <v>45</v>
      </c>
      <c r="D27182" s="3" t="s">
        <v>221</v>
      </c>
      <c r="E27182" s="3" t="s">
        <v>359</v>
      </c>
      <c r="F27182" s="7">
        <v>46268.21107420076</v>
      </c>
      <c r="G27182" s="3" t="s">
        <v>19876</v>
      </c>
    </row>
    <row r="27183">
      <c r="A27183" s="3" t="s">
        <v>43637</v>
      </c>
      <c r="B27183" s="3" t="s">
        <v>21923</v>
      </c>
      <c r="C27183" s="5" t="s">
        <v>221</v>
      </c>
      <c r="D27183" s="3" t="s">
        <v>614</v>
      </c>
      <c r="E27183" s="3" t="s">
        <v>118</v>
      </c>
      <c r="F27183" s="7">
        <v>46268.214546422976</v>
      </c>
      <c r="G27183" s="3" t="s">
        <v>19879</v>
      </c>
    </row>
    <row r="27184">
      <c r="A27184" s="3" t="s">
        <v>43638</v>
      </c>
      <c r="B27184" s="3" t="s">
        <v>21923</v>
      </c>
      <c r="C27184" s="5" t="s">
        <v>614</v>
      </c>
      <c r="D27184" s="3" t="s">
        <v>206</v>
      </c>
      <c r="E27184" s="3" t="s">
        <v>100</v>
      </c>
      <c r="F27184" s="7">
        <v>46268.2180186452</v>
      </c>
      <c r="G27184" s="3" t="s">
        <v>19881</v>
      </c>
    </row>
    <row r="27185">
      <c r="A27185" s="3" t="s">
        <v>43639</v>
      </c>
      <c r="B27185" s="3" t="s">
        <v>21923</v>
      </c>
      <c r="C27185" s="5" t="s">
        <v>206</v>
      </c>
      <c r="D27185" s="3" t="s">
        <v>68</v>
      </c>
      <c r="E27185" s="3" t="s">
        <v>100</v>
      </c>
      <c r="F27185" s="7">
        <v>46268.22149086742</v>
      </c>
      <c r="G27185" s="3" t="s">
        <v>19884</v>
      </c>
    </row>
    <row r="27186">
      <c r="A27186" s="3" t="s">
        <v>43640</v>
      </c>
      <c r="B27186" s="3" t="s">
        <v>21925</v>
      </c>
      <c r="C27186" s="5" t="s">
        <v>45</v>
      </c>
      <c r="D27186" s="3" t="s">
        <v>221</v>
      </c>
      <c r="E27186" s="3" t="s">
        <v>253</v>
      </c>
      <c r="F27186" s="7">
        <v>46268.28224904618</v>
      </c>
      <c r="G27186" s="3" t="s">
        <v>14712</v>
      </c>
    </row>
    <row r="27187">
      <c r="A27187" s="3" t="s">
        <v>43641</v>
      </c>
      <c r="B27187" s="3" t="s">
        <v>21925</v>
      </c>
      <c r="C27187" s="5" t="s">
        <v>221</v>
      </c>
      <c r="D27187" s="3" t="s">
        <v>614</v>
      </c>
      <c r="E27187" s="3" t="s">
        <v>118</v>
      </c>
      <c r="F27187" s="7">
        <v>46268.285721268396</v>
      </c>
      <c r="G27187" s="3" t="s">
        <v>14715</v>
      </c>
    </row>
    <row r="27188">
      <c r="A27188" s="3" t="s">
        <v>43642</v>
      </c>
      <c r="B27188" s="3" t="s">
        <v>21925</v>
      </c>
      <c r="C27188" s="5" t="s">
        <v>614</v>
      </c>
      <c r="D27188" s="3" t="s">
        <v>206</v>
      </c>
      <c r="E27188" s="3" t="s">
        <v>100</v>
      </c>
      <c r="F27188" s="7">
        <v>46268.28919349062</v>
      </c>
      <c r="G27188" s="3" t="s">
        <v>14718</v>
      </c>
    </row>
    <row r="27189">
      <c r="A27189" s="3" t="s">
        <v>43643</v>
      </c>
      <c r="B27189" s="3" t="s">
        <v>21925</v>
      </c>
      <c r="C27189" s="5" t="s">
        <v>206</v>
      </c>
      <c r="D27189" s="3" t="s">
        <v>68</v>
      </c>
      <c r="E27189" s="3" t="s">
        <v>100</v>
      </c>
      <c r="F27189" s="7">
        <v>46268.29266571284</v>
      </c>
      <c r="G27189" s="3" t="s">
        <v>14721</v>
      </c>
    </row>
    <row r="27190">
      <c r="A27190" s="3" t="s">
        <v>43644</v>
      </c>
      <c r="B27190" s="3" t="s">
        <v>21927</v>
      </c>
      <c r="C27190" s="5" t="s">
        <v>45</v>
      </c>
      <c r="D27190" s="3" t="s">
        <v>221</v>
      </c>
      <c r="E27190" s="3" t="s">
        <v>202</v>
      </c>
      <c r="F27190" s="7">
        <v>46268.35342389159</v>
      </c>
      <c r="G27190" s="3" t="s">
        <v>15077</v>
      </c>
    </row>
    <row r="27191">
      <c r="A27191" s="3" t="s">
        <v>43645</v>
      </c>
      <c r="B27191" s="3" t="s">
        <v>21927</v>
      </c>
      <c r="C27191" s="5" t="s">
        <v>221</v>
      </c>
      <c r="D27191" s="3" t="s">
        <v>614</v>
      </c>
      <c r="E27191" s="3" t="s">
        <v>118</v>
      </c>
      <c r="F27191" s="7">
        <v>46268.35689611381</v>
      </c>
      <c r="G27191" s="3" t="s">
        <v>15079</v>
      </c>
    </row>
    <row r="27192">
      <c r="A27192" s="3" t="s">
        <v>43646</v>
      </c>
      <c r="B27192" s="3" t="s">
        <v>21927</v>
      </c>
      <c r="C27192" s="5" t="s">
        <v>614</v>
      </c>
      <c r="D27192" s="3" t="s">
        <v>206</v>
      </c>
      <c r="E27192" s="3" t="s">
        <v>100</v>
      </c>
      <c r="F27192" s="7">
        <v>46268.360368336034</v>
      </c>
      <c r="G27192" s="3" t="s">
        <v>15082</v>
      </c>
    </row>
    <row r="27193">
      <c r="A27193" s="3" t="s">
        <v>43647</v>
      </c>
      <c r="B27193" s="3" t="s">
        <v>21927</v>
      </c>
      <c r="C27193" s="5" t="s">
        <v>206</v>
      </c>
      <c r="D27193" s="3" t="s">
        <v>68</v>
      </c>
      <c r="E27193" s="3" t="s">
        <v>100</v>
      </c>
      <c r="F27193" s="7">
        <v>46268.36384055825</v>
      </c>
      <c r="G27193" s="3" t="s">
        <v>15085</v>
      </c>
    </row>
    <row r="27194">
      <c r="A27194" s="3" t="s">
        <v>43648</v>
      </c>
      <c r="B27194" s="3" t="s">
        <v>21929</v>
      </c>
      <c r="C27194" s="5" t="s">
        <v>45</v>
      </c>
      <c r="D27194" s="3" t="s">
        <v>221</v>
      </c>
      <c r="E27194" s="3" t="s">
        <v>758</v>
      </c>
      <c r="F27194" s="7">
        <v>46268.424598737</v>
      </c>
      <c r="G27194" s="3" t="s">
        <v>2770</v>
      </c>
    </row>
    <row r="27195">
      <c r="A27195" s="3" t="s">
        <v>43649</v>
      </c>
      <c r="B27195" s="3" t="s">
        <v>21929</v>
      </c>
      <c r="C27195" s="5" t="s">
        <v>221</v>
      </c>
      <c r="D27195" s="3" t="s">
        <v>195</v>
      </c>
      <c r="E27195" s="3" t="s">
        <v>758</v>
      </c>
      <c r="F27195" s="7">
        <v>46268.42807095922</v>
      </c>
      <c r="G27195" s="3" t="s">
        <v>3055</v>
      </c>
    </row>
    <row r="27196">
      <c r="A27196" s="3" t="s">
        <v>43650</v>
      </c>
      <c r="B27196" s="3" t="s">
        <v>21931</v>
      </c>
      <c r="C27196" s="5" t="s">
        <v>45</v>
      </c>
      <c r="D27196" s="3" t="s">
        <v>221</v>
      </c>
      <c r="E27196" s="3" t="s">
        <v>713</v>
      </c>
      <c r="F27196" s="7">
        <v>46268.49577358242</v>
      </c>
      <c r="G27196" s="3" t="s">
        <v>15093</v>
      </c>
    </row>
    <row r="27197">
      <c r="A27197" s="3" t="s">
        <v>43651</v>
      </c>
      <c r="B27197" s="3" t="s">
        <v>21931</v>
      </c>
      <c r="C27197" s="5" t="s">
        <v>221</v>
      </c>
      <c r="D27197" s="3" t="s">
        <v>614</v>
      </c>
      <c r="E27197" s="3" t="s">
        <v>118</v>
      </c>
      <c r="F27197" s="7">
        <v>46268.49924580464</v>
      </c>
      <c r="G27197" s="3" t="s">
        <v>15095</v>
      </c>
    </row>
    <row r="27198">
      <c r="A27198" s="3" t="s">
        <v>43652</v>
      </c>
      <c r="B27198" s="3" t="s">
        <v>21931</v>
      </c>
      <c r="C27198" s="5" t="s">
        <v>614</v>
      </c>
      <c r="D27198" s="3" t="s">
        <v>206</v>
      </c>
      <c r="E27198" s="3" t="s">
        <v>100</v>
      </c>
      <c r="F27198" s="7">
        <v>46268.502718026866</v>
      </c>
      <c r="G27198" s="3" t="s">
        <v>15098</v>
      </c>
    </row>
    <row r="27199">
      <c r="A27199" s="3" t="s">
        <v>43653</v>
      </c>
      <c r="B27199" s="3" t="s">
        <v>21931</v>
      </c>
      <c r="C27199" s="5" t="s">
        <v>206</v>
      </c>
      <c r="D27199" s="3" t="s">
        <v>68</v>
      </c>
      <c r="E27199" s="3" t="s">
        <v>100</v>
      </c>
      <c r="F27199" s="7">
        <v>46268.506190249085</v>
      </c>
      <c r="G27199" s="3" t="s">
        <v>15101</v>
      </c>
    </row>
    <row r="27200">
      <c r="A27200" s="3" t="s">
        <v>43654</v>
      </c>
      <c r="B27200" s="3" t="s">
        <v>21933</v>
      </c>
      <c r="C27200" s="5" t="s">
        <v>45</v>
      </c>
      <c r="D27200" s="3" t="s">
        <v>221</v>
      </c>
      <c r="E27200" s="3" t="s">
        <v>581</v>
      </c>
      <c r="F27200" s="7">
        <v>46268.56694842784</v>
      </c>
      <c r="G27200" s="3" t="s">
        <v>11235</v>
      </c>
    </row>
    <row r="27201">
      <c r="A27201" s="3" t="s">
        <v>43655</v>
      </c>
      <c r="B27201" s="3" t="s">
        <v>21933</v>
      </c>
      <c r="C27201" s="5" t="s">
        <v>221</v>
      </c>
      <c r="D27201" s="3" t="s">
        <v>614</v>
      </c>
      <c r="E27201" s="3" t="s">
        <v>118</v>
      </c>
      <c r="F27201" s="7">
        <v>46268.57042065006</v>
      </c>
      <c r="G27201" s="3" t="s">
        <v>11238</v>
      </c>
    </row>
    <row r="27202">
      <c r="A27202" s="3" t="s">
        <v>43656</v>
      </c>
      <c r="B27202" s="3" t="s">
        <v>21933</v>
      </c>
      <c r="C27202" s="5" t="s">
        <v>614</v>
      </c>
      <c r="D27202" s="3" t="s">
        <v>206</v>
      </c>
      <c r="E27202" s="3" t="s">
        <v>100</v>
      </c>
      <c r="F27202" s="7">
        <v>46268.573892872286</v>
      </c>
      <c r="G27202" s="3" t="s">
        <v>11241</v>
      </c>
    </row>
    <row r="27203">
      <c r="A27203" s="3" t="s">
        <v>43657</v>
      </c>
      <c r="B27203" s="3" t="s">
        <v>21933</v>
      </c>
      <c r="C27203" s="5" t="s">
        <v>206</v>
      </c>
      <c r="D27203" s="3" t="s">
        <v>68</v>
      </c>
      <c r="E27203" s="3" t="s">
        <v>100</v>
      </c>
      <c r="F27203" s="7">
        <v>46268.577365094505</v>
      </c>
      <c r="G27203" s="3" t="s">
        <v>11244</v>
      </c>
    </row>
    <row r="27204">
      <c r="A27204" s="3" t="s">
        <v>43658</v>
      </c>
      <c r="B27204" s="3" t="s">
        <v>21934</v>
      </c>
      <c r="C27204" s="5" t="s">
        <v>45</v>
      </c>
      <c r="D27204" s="3" t="s">
        <v>221</v>
      </c>
      <c r="E27204" s="3" t="s">
        <v>949</v>
      </c>
      <c r="F27204" s="7">
        <v>46268.638123273246</v>
      </c>
      <c r="G27204" s="3" t="s">
        <v>15107</v>
      </c>
    </row>
    <row r="27205">
      <c r="A27205" s="3" t="s">
        <v>43659</v>
      </c>
      <c r="B27205" s="3" t="s">
        <v>21934</v>
      </c>
      <c r="C27205" s="5" t="s">
        <v>221</v>
      </c>
      <c r="D27205" s="3" t="s">
        <v>614</v>
      </c>
      <c r="E27205" s="3" t="s">
        <v>118</v>
      </c>
      <c r="F27205" s="7">
        <v>46268.641595495465</v>
      </c>
      <c r="G27205" s="3" t="s">
        <v>15110</v>
      </c>
    </row>
    <row r="27206">
      <c r="A27206" s="3" t="s">
        <v>43660</v>
      </c>
      <c r="B27206" s="3" t="s">
        <v>21934</v>
      </c>
      <c r="C27206" s="5" t="s">
        <v>614</v>
      </c>
      <c r="D27206" s="3" t="s">
        <v>206</v>
      </c>
      <c r="E27206" s="3" t="s">
        <v>100</v>
      </c>
      <c r="F27206" s="7">
        <v>46268.64506771769</v>
      </c>
      <c r="G27206" s="3" t="s">
        <v>15113</v>
      </c>
    </row>
    <row r="27207">
      <c r="A27207" s="3" t="s">
        <v>43661</v>
      </c>
      <c r="B27207" s="3" t="s">
        <v>21934</v>
      </c>
      <c r="C27207" s="5" t="s">
        <v>206</v>
      </c>
      <c r="D27207" s="3" t="s">
        <v>68</v>
      </c>
      <c r="E27207" s="3" t="s">
        <v>100</v>
      </c>
      <c r="F27207" s="7">
        <v>46268.64853993991</v>
      </c>
      <c r="G27207" s="3" t="s">
        <v>15116</v>
      </c>
    </row>
    <row r="27208">
      <c r="A27208" s="3" t="s">
        <v>43662</v>
      </c>
      <c r="B27208" s="3" t="s">
        <v>21936</v>
      </c>
      <c r="C27208" s="5" t="s">
        <v>45</v>
      </c>
      <c r="D27208" s="3" t="s">
        <v>221</v>
      </c>
      <c r="E27208" s="3" t="s">
        <v>652</v>
      </c>
      <c r="F27208" s="7">
        <v>46268.709298118665</v>
      </c>
      <c r="G27208" s="3" t="s">
        <v>20778</v>
      </c>
    </row>
    <row r="27209">
      <c r="A27209" s="3" t="s">
        <v>43663</v>
      </c>
      <c r="B27209" s="3" t="s">
        <v>21936</v>
      </c>
      <c r="C27209" s="5" t="s">
        <v>221</v>
      </c>
      <c r="D27209" s="3" t="s">
        <v>181</v>
      </c>
      <c r="E27209" s="3" t="s">
        <v>118</v>
      </c>
      <c r="F27209" s="7">
        <v>46268.712770340884</v>
      </c>
      <c r="G27209" s="3" t="s">
        <v>43664</v>
      </c>
    </row>
    <row r="27210">
      <c r="A27210" s="3" t="s">
        <v>43665</v>
      </c>
      <c r="B27210" s="3" t="s">
        <v>21939</v>
      </c>
      <c r="C27210" s="5" t="s">
        <v>45</v>
      </c>
      <c r="D27210" s="3" t="s">
        <v>221</v>
      </c>
      <c r="E27210" s="3" t="s">
        <v>515</v>
      </c>
      <c r="F27210" s="7">
        <v>46268.780472964085</v>
      </c>
      <c r="G27210" s="3" t="s">
        <v>12076</v>
      </c>
    </row>
    <row r="27211">
      <c r="A27211" s="3" t="s">
        <v>43666</v>
      </c>
      <c r="B27211" s="3" t="s">
        <v>21939</v>
      </c>
      <c r="C27211" s="5" t="s">
        <v>221</v>
      </c>
      <c r="D27211" s="3" t="s">
        <v>195</v>
      </c>
      <c r="E27211" s="3" t="s">
        <v>515</v>
      </c>
      <c r="F27211" s="7">
        <v>46268.783945186304</v>
      </c>
      <c r="G27211" s="3" t="s">
        <v>43667</v>
      </c>
    </row>
    <row r="27212">
      <c r="A27212" s="3" t="s">
        <v>43668</v>
      </c>
      <c r="B27212" s="3" t="s">
        <v>21944</v>
      </c>
      <c r="C27212" s="5" t="s">
        <v>45</v>
      </c>
      <c r="D27212" s="3" t="s">
        <v>221</v>
      </c>
      <c r="E27212" s="3" t="s">
        <v>455</v>
      </c>
      <c r="F27212" s="7">
        <v>46268.8516478095</v>
      </c>
      <c r="G27212" s="3" t="s">
        <v>15221</v>
      </c>
    </row>
    <row r="27213">
      <c r="A27213" s="3" t="s">
        <v>43669</v>
      </c>
      <c r="B27213" s="3" t="s">
        <v>21944</v>
      </c>
      <c r="C27213" s="5" t="s">
        <v>221</v>
      </c>
      <c r="D27213" s="3" t="s">
        <v>614</v>
      </c>
      <c r="E27213" s="3" t="s">
        <v>118</v>
      </c>
      <c r="F27213" s="7">
        <v>46268.855120031716</v>
      </c>
      <c r="G27213" s="3" t="s">
        <v>15224</v>
      </c>
    </row>
    <row r="27214">
      <c r="A27214" s="3" t="s">
        <v>43670</v>
      </c>
      <c r="B27214" s="3" t="s">
        <v>21944</v>
      </c>
      <c r="C27214" s="5" t="s">
        <v>614</v>
      </c>
      <c r="D27214" s="3" t="s">
        <v>206</v>
      </c>
      <c r="E27214" s="3" t="s">
        <v>100</v>
      </c>
      <c r="F27214" s="7">
        <v>46268.85859225394</v>
      </c>
      <c r="G27214" s="3" t="s">
        <v>15228</v>
      </c>
    </row>
    <row r="27215">
      <c r="A27215" s="3" t="s">
        <v>43671</v>
      </c>
      <c r="B27215" s="3" t="s">
        <v>21944</v>
      </c>
      <c r="C27215" s="5" t="s">
        <v>206</v>
      </c>
      <c r="D27215" s="3" t="s">
        <v>68</v>
      </c>
      <c r="E27215" s="3" t="s">
        <v>100</v>
      </c>
      <c r="F27215" s="7">
        <v>46268.86206447616</v>
      </c>
      <c r="G27215" s="3" t="s">
        <v>15231</v>
      </c>
    </row>
    <row r="27216">
      <c r="A27216" s="3" t="s">
        <v>43672</v>
      </c>
      <c r="B27216" s="3" t="s">
        <v>21947</v>
      </c>
      <c r="C27216" s="5" t="s">
        <v>45</v>
      </c>
      <c r="D27216" s="3" t="s">
        <v>221</v>
      </c>
      <c r="E27216" s="3" t="s">
        <v>579</v>
      </c>
      <c r="F27216" s="7">
        <v>46268.92282265491</v>
      </c>
      <c r="G27216" s="3" t="s">
        <v>32601</v>
      </c>
    </row>
    <row r="27217">
      <c r="A27217" s="3" t="s">
        <v>43673</v>
      </c>
      <c r="B27217" s="3" t="s">
        <v>21947</v>
      </c>
      <c r="C27217" s="5" t="s">
        <v>221</v>
      </c>
      <c r="D27217" s="3" t="s">
        <v>614</v>
      </c>
      <c r="E27217" s="3" t="s">
        <v>118</v>
      </c>
      <c r="F27217" s="7">
        <v>46268.92629487713</v>
      </c>
      <c r="G27217" s="3" t="s">
        <v>39694</v>
      </c>
    </row>
    <row r="27218">
      <c r="A27218" s="3" t="s">
        <v>43674</v>
      </c>
      <c r="B27218" s="3" t="s">
        <v>21947</v>
      </c>
      <c r="C27218" s="5" t="s">
        <v>614</v>
      </c>
      <c r="D27218" s="3" t="s">
        <v>206</v>
      </c>
      <c r="E27218" s="3" t="s">
        <v>100</v>
      </c>
      <c r="F27218" s="7">
        <v>46268.929767099355</v>
      </c>
      <c r="G27218" s="3" t="s">
        <v>39696</v>
      </c>
    </row>
    <row r="27219">
      <c r="A27219" s="3" t="s">
        <v>43675</v>
      </c>
      <c r="B27219" s="3" t="s">
        <v>21947</v>
      </c>
      <c r="C27219" s="5" t="s">
        <v>206</v>
      </c>
      <c r="D27219" s="3" t="s">
        <v>68</v>
      </c>
      <c r="E27219" s="3" t="s">
        <v>100</v>
      </c>
      <c r="F27219" s="7">
        <v>46268.93323932157</v>
      </c>
      <c r="G27219" s="3" t="s">
        <v>39698</v>
      </c>
    </row>
    <row r="27220">
      <c r="A27220" s="3" t="s">
        <v>43676</v>
      </c>
      <c r="B27220" s="3" t="s">
        <v>21950</v>
      </c>
      <c r="C27220" s="5" t="s">
        <v>45</v>
      </c>
      <c r="D27220" s="3" t="s">
        <v>221</v>
      </c>
      <c r="E27220" s="3" t="s">
        <v>1030</v>
      </c>
      <c r="F27220" s="7">
        <v>46268.99399750033</v>
      </c>
      <c r="G27220" s="3" t="s">
        <v>2770</v>
      </c>
    </row>
    <row r="27221">
      <c r="A27221" s="3" t="s">
        <v>43677</v>
      </c>
      <c r="B27221" s="3" t="s">
        <v>21950</v>
      </c>
      <c r="C27221" s="5" t="s">
        <v>221</v>
      </c>
      <c r="D27221" s="3" t="s">
        <v>181</v>
      </c>
      <c r="E27221" s="3" t="s">
        <v>118</v>
      </c>
      <c r="F27221" s="7">
        <v>46268.99746972255</v>
      </c>
      <c r="G27221" s="3" t="s">
        <v>2774</v>
      </c>
    </row>
    <row r="27222">
      <c r="A27222" s="3" t="s">
        <v>43678</v>
      </c>
      <c r="B27222" s="3" t="s">
        <v>21953</v>
      </c>
      <c r="C27222" s="5" t="s">
        <v>45</v>
      </c>
      <c r="D27222" s="3" t="s">
        <v>221</v>
      </c>
      <c r="E27222" s="3" t="s">
        <v>922</v>
      </c>
      <c r="F27222" s="7">
        <v>46269.06517234574</v>
      </c>
      <c r="G27222" s="3" t="s">
        <v>15629</v>
      </c>
    </row>
    <row r="27223">
      <c r="A27223" s="3" t="s">
        <v>43679</v>
      </c>
      <c r="B27223" s="3" t="s">
        <v>21953</v>
      </c>
      <c r="C27223" s="5" t="s">
        <v>221</v>
      </c>
      <c r="D27223" s="3" t="s">
        <v>614</v>
      </c>
      <c r="E27223" s="3" t="s">
        <v>118</v>
      </c>
      <c r="F27223" s="7">
        <v>46269.06864456796</v>
      </c>
      <c r="G27223" s="3" t="s">
        <v>15632</v>
      </c>
    </row>
    <row r="27224">
      <c r="A27224" s="3" t="s">
        <v>43680</v>
      </c>
      <c r="B27224" s="3" t="s">
        <v>21953</v>
      </c>
      <c r="C27224" s="5" t="s">
        <v>614</v>
      </c>
      <c r="D27224" s="3" t="s">
        <v>206</v>
      </c>
      <c r="E27224" s="3" t="s">
        <v>100</v>
      </c>
      <c r="F27224" s="7">
        <v>46269.07211679019</v>
      </c>
      <c r="G27224" s="3" t="s">
        <v>15634</v>
      </c>
    </row>
    <row r="27225">
      <c r="A27225" s="3" t="s">
        <v>43681</v>
      </c>
      <c r="B27225" s="3" t="s">
        <v>21953</v>
      </c>
      <c r="C27225" s="5" t="s">
        <v>206</v>
      </c>
      <c r="D27225" s="3" t="s">
        <v>68</v>
      </c>
      <c r="E27225" s="3" t="s">
        <v>100</v>
      </c>
      <c r="F27225" s="7">
        <v>46269.075589012406</v>
      </c>
      <c r="G27225" s="3" t="s">
        <v>15637</v>
      </c>
    </row>
    <row r="27226">
      <c r="A27226" s="3" t="s">
        <v>43682</v>
      </c>
      <c r="B27226" s="3" t="s">
        <v>21957</v>
      </c>
      <c r="C27226" s="5" t="s">
        <v>45</v>
      </c>
      <c r="D27226" s="3" t="s">
        <v>221</v>
      </c>
      <c r="E27226" s="3" t="s">
        <v>550</v>
      </c>
      <c r="F27226" s="7">
        <v>46269.13634719115</v>
      </c>
      <c r="G27226" s="3" t="s">
        <v>15252</v>
      </c>
    </row>
    <row r="27227">
      <c r="A27227" s="3" t="s">
        <v>43683</v>
      </c>
      <c r="B27227" s="3" t="s">
        <v>21957</v>
      </c>
      <c r="C27227" s="5" t="s">
        <v>221</v>
      </c>
      <c r="D27227" s="3" t="s">
        <v>614</v>
      </c>
      <c r="E27227" s="3" t="s">
        <v>118</v>
      </c>
      <c r="F27227" s="7">
        <v>46269.13981941337</v>
      </c>
      <c r="G27227" s="3" t="s">
        <v>15256</v>
      </c>
    </row>
    <row r="27228">
      <c r="A27228" s="3" t="s">
        <v>43684</v>
      </c>
      <c r="B27228" s="3" t="s">
        <v>21957</v>
      </c>
      <c r="C27228" s="5" t="s">
        <v>614</v>
      </c>
      <c r="D27228" s="3" t="s">
        <v>206</v>
      </c>
      <c r="E27228" s="3" t="s">
        <v>100</v>
      </c>
      <c r="F27228" s="7">
        <v>46269.1432916356</v>
      </c>
      <c r="G27228" s="3" t="s">
        <v>15259</v>
      </c>
    </row>
    <row r="27229">
      <c r="A27229" s="3" t="s">
        <v>43685</v>
      </c>
      <c r="B27229" s="3" t="s">
        <v>21957</v>
      </c>
      <c r="C27229" s="5" t="s">
        <v>206</v>
      </c>
      <c r="D27229" s="3" t="s">
        <v>68</v>
      </c>
      <c r="E27229" s="3" t="s">
        <v>100</v>
      </c>
      <c r="F27229" s="7">
        <v>46269.14676385782</v>
      </c>
      <c r="G27229" s="3" t="s">
        <v>15262</v>
      </c>
    </row>
    <row r="27230">
      <c r="A27230" s="3" t="s">
        <v>43686</v>
      </c>
      <c r="B27230" s="3" t="s">
        <v>21959</v>
      </c>
      <c r="C27230" s="5" t="s">
        <v>45</v>
      </c>
      <c r="D27230" s="3" t="s">
        <v>221</v>
      </c>
      <c r="E27230" s="3" t="s">
        <v>496</v>
      </c>
      <c r="F27230" s="7">
        <v>46269.20752203657</v>
      </c>
      <c r="G27230" s="3" t="s">
        <v>10003</v>
      </c>
    </row>
    <row r="27231">
      <c r="A27231" s="3" t="s">
        <v>43687</v>
      </c>
      <c r="B27231" s="3" t="s">
        <v>21959</v>
      </c>
      <c r="C27231" s="5" t="s">
        <v>221</v>
      </c>
      <c r="D27231" s="3" t="s">
        <v>614</v>
      </c>
      <c r="E27231" s="3" t="s">
        <v>118</v>
      </c>
      <c r="F27231" s="7">
        <v>46269.21099425879</v>
      </c>
      <c r="G27231" s="3" t="s">
        <v>10007</v>
      </c>
    </row>
    <row r="27232">
      <c r="A27232" s="3" t="s">
        <v>43688</v>
      </c>
      <c r="B27232" s="3" t="s">
        <v>21959</v>
      </c>
      <c r="C27232" s="5" t="s">
        <v>614</v>
      </c>
      <c r="D27232" s="3" t="s">
        <v>206</v>
      </c>
      <c r="E27232" s="3" t="s">
        <v>100</v>
      </c>
      <c r="F27232" s="7">
        <v>46269.21446648102</v>
      </c>
      <c r="G27232" s="3" t="s">
        <v>10010</v>
      </c>
    </row>
    <row r="27233">
      <c r="A27233" s="3" t="s">
        <v>43689</v>
      </c>
      <c r="B27233" s="3" t="s">
        <v>21959</v>
      </c>
      <c r="C27233" s="5" t="s">
        <v>206</v>
      </c>
      <c r="D27233" s="3" t="s">
        <v>68</v>
      </c>
      <c r="E27233" s="3" t="s">
        <v>100</v>
      </c>
      <c r="F27233" s="7">
        <v>46269.21793870324</v>
      </c>
      <c r="G27233" s="3" t="s">
        <v>10013</v>
      </c>
    </row>
    <row r="27234">
      <c r="A27234" s="3" t="s">
        <v>43690</v>
      </c>
      <c r="B27234" s="3" t="s">
        <v>21961</v>
      </c>
      <c r="C27234" s="5" t="s">
        <v>45</v>
      </c>
      <c r="D27234" s="3" t="s">
        <v>221</v>
      </c>
      <c r="E27234" s="3" t="s">
        <v>877</v>
      </c>
      <c r="F27234" s="7">
        <v>46269.278696881986</v>
      </c>
      <c r="G27234" s="3" t="s">
        <v>42798</v>
      </c>
    </row>
    <row r="27235">
      <c r="A27235" s="3" t="s">
        <v>43691</v>
      </c>
      <c r="B27235" s="3" t="s">
        <v>21961</v>
      </c>
      <c r="C27235" s="5" t="s">
        <v>221</v>
      </c>
      <c r="D27235" s="3" t="s">
        <v>614</v>
      </c>
      <c r="E27235" s="3" t="s">
        <v>118</v>
      </c>
      <c r="F27235" s="7">
        <v>46269.282169104205</v>
      </c>
      <c r="G27235" s="3" t="s">
        <v>42800</v>
      </c>
    </row>
    <row r="27236">
      <c r="A27236" s="3" t="s">
        <v>43692</v>
      </c>
      <c r="B27236" s="3" t="s">
        <v>21961</v>
      </c>
      <c r="C27236" s="5" t="s">
        <v>614</v>
      </c>
      <c r="D27236" s="3" t="s">
        <v>206</v>
      </c>
      <c r="E27236" s="3" t="s">
        <v>100</v>
      </c>
      <c r="F27236" s="7">
        <v>46269.28564132643</v>
      </c>
      <c r="G27236" s="3" t="s">
        <v>42802</v>
      </c>
    </row>
    <row r="27237">
      <c r="A27237" s="3" t="s">
        <v>43693</v>
      </c>
      <c r="B27237" s="3" t="s">
        <v>21961</v>
      </c>
      <c r="C27237" s="5" t="s">
        <v>206</v>
      </c>
      <c r="D27237" s="3" t="s">
        <v>68</v>
      </c>
      <c r="E27237" s="3" t="s">
        <v>100</v>
      </c>
      <c r="F27237" s="7">
        <v>46269.28911354865</v>
      </c>
      <c r="G27237" s="3" t="s">
        <v>42804</v>
      </c>
    </row>
    <row r="27238">
      <c r="A27238" s="3" t="s">
        <v>43694</v>
      </c>
      <c r="B27238" s="3" t="s">
        <v>21964</v>
      </c>
      <c r="C27238" s="5" t="s">
        <v>45</v>
      </c>
      <c r="D27238" s="3" t="s">
        <v>221</v>
      </c>
      <c r="E27238" s="3" t="s">
        <v>501</v>
      </c>
      <c r="F27238" s="7">
        <v>46269.3498717274</v>
      </c>
      <c r="G27238" s="3" t="s">
        <v>12542</v>
      </c>
    </row>
    <row r="27239">
      <c r="A27239" s="3" t="s">
        <v>43695</v>
      </c>
      <c r="B27239" s="3" t="s">
        <v>21964</v>
      </c>
      <c r="C27239" s="5" t="s">
        <v>221</v>
      </c>
      <c r="D27239" s="3" t="s">
        <v>614</v>
      </c>
      <c r="E27239" s="3" t="s">
        <v>118</v>
      </c>
      <c r="F27239" s="7">
        <v>46269.35334394962</v>
      </c>
      <c r="G27239" s="3" t="s">
        <v>12545</v>
      </c>
    </row>
    <row r="27240">
      <c r="A27240" s="3" t="s">
        <v>43696</v>
      </c>
      <c r="B27240" s="3" t="s">
        <v>21964</v>
      </c>
      <c r="C27240" s="5" t="s">
        <v>614</v>
      </c>
      <c r="D27240" s="3" t="s">
        <v>206</v>
      </c>
      <c r="E27240" s="3" t="s">
        <v>100</v>
      </c>
      <c r="F27240" s="7">
        <v>46269.35681617184</v>
      </c>
      <c r="G27240" s="3" t="s">
        <v>12549</v>
      </c>
    </row>
    <row r="27241">
      <c r="A27241" s="3" t="s">
        <v>43697</v>
      </c>
      <c r="B27241" s="3" t="s">
        <v>21964</v>
      </c>
      <c r="C27241" s="5" t="s">
        <v>206</v>
      </c>
      <c r="D27241" s="3" t="s">
        <v>68</v>
      </c>
      <c r="E27241" s="3" t="s">
        <v>100</v>
      </c>
      <c r="F27241" s="7">
        <v>46269.36028839406</v>
      </c>
      <c r="G27241" s="3" t="s">
        <v>12552</v>
      </c>
    </row>
    <row r="27242">
      <c r="A27242" s="3" t="s">
        <v>43698</v>
      </c>
      <c r="B27242" s="3" t="s">
        <v>21966</v>
      </c>
      <c r="C27242" s="5" t="s">
        <v>45</v>
      </c>
      <c r="D27242" s="3" t="s">
        <v>221</v>
      </c>
      <c r="E27242" s="3" t="s">
        <v>141</v>
      </c>
      <c r="F27242" s="7">
        <v>46269.42104657282</v>
      </c>
      <c r="G27242" s="3" t="s">
        <v>7094</v>
      </c>
    </row>
    <row r="27243">
      <c r="A27243" s="3" t="s">
        <v>43699</v>
      </c>
      <c r="B27243" s="3" t="s">
        <v>21966</v>
      </c>
      <c r="C27243" s="5" t="s">
        <v>221</v>
      </c>
      <c r="D27243" s="3" t="s">
        <v>614</v>
      </c>
      <c r="E27243" s="3" t="s">
        <v>118</v>
      </c>
      <c r="F27243" s="7">
        <v>46269.42451879504</v>
      </c>
      <c r="G27243" s="3" t="s">
        <v>7096</v>
      </c>
    </row>
    <row r="27244">
      <c r="A27244" s="3" t="s">
        <v>43700</v>
      </c>
      <c r="B27244" s="3" t="s">
        <v>21966</v>
      </c>
      <c r="C27244" s="5" t="s">
        <v>614</v>
      </c>
      <c r="D27244" s="3" t="s">
        <v>206</v>
      </c>
      <c r="E27244" s="3" t="s">
        <v>100</v>
      </c>
      <c r="F27244" s="7">
        <v>46269.42799101726</v>
      </c>
      <c r="G27244" s="3" t="s">
        <v>7099</v>
      </c>
    </row>
    <row r="27245">
      <c r="A27245" s="3" t="s">
        <v>43701</v>
      </c>
      <c r="B27245" s="3" t="s">
        <v>21966</v>
      </c>
      <c r="C27245" s="5" t="s">
        <v>206</v>
      </c>
      <c r="D27245" s="3" t="s">
        <v>68</v>
      </c>
      <c r="E27245" s="3" t="s">
        <v>100</v>
      </c>
      <c r="F27245" s="7">
        <v>46269.43146323948</v>
      </c>
      <c r="G27245" s="3" t="s">
        <v>7103</v>
      </c>
    </row>
    <row r="27246">
      <c r="A27246" s="3" t="s">
        <v>43702</v>
      </c>
      <c r="B27246" s="3" t="s">
        <v>21968</v>
      </c>
      <c r="C27246" s="5" t="s">
        <v>45</v>
      </c>
      <c r="D27246" s="3" t="s">
        <v>221</v>
      </c>
      <c r="E27246" s="3" t="s">
        <v>793</v>
      </c>
      <c r="F27246" s="7">
        <v>46269.49222141823</v>
      </c>
      <c r="G27246" s="3" t="s">
        <v>11084</v>
      </c>
    </row>
    <row r="27247">
      <c r="A27247" s="3" t="s">
        <v>43703</v>
      </c>
      <c r="B27247" s="3" t="s">
        <v>21968</v>
      </c>
      <c r="C27247" s="5" t="s">
        <v>221</v>
      </c>
      <c r="D27247" s="3" t="s">
        <v>614</v>
      </c>
      <c r="E27247" s="3" t="s">
        <v>118</v>
      </c>
      <c r="F27247" s="7">
        <v>46269.49569364045</v>
      </c>
      <c r="G27247" s="3" t="s">
        <v>11087</v>
      </c>
    </row>
    <row r="27248">
      <c r="A27248" s="3" t="s">
        <v>43704</v>
      </c>
      <c r="B27248" s="3" t="s">
        <v>21968</v>
      </c>
      <c r="C27248" s="5" t="s">
        <v>614</v>
      </c>
      <c r="D27248" s="3" t="s">
        <v>206</v>
      </c>
      <c r="E27248" s="3" t="s">
        <v>100</v>
      </c>
      <c r="F27248" s="7">
        <v>46269.499165862675</v>
      </c>
      <c r="G27248" s="3" t="s">
        <v>11090</v>
      </c>
    </row>
    <row r="27249">
      <c r="A27249" s="3" t="s">
        <v>43705</v>
      </c>
      <c r="B27249" s="3" t="s">
        <v>21968</v>
      </c>
      <c r="C27249" s="5" t="s">
        <v>206</v>
      </c>
      <c r="D27249" s="3" t="s">
        <v>68</v>
      </c>
      <c r="E27249" s="3" t="s">
        <v>100</v>
      </c>
      <c r="F27249" s="7">
        <v>46269.502638084894</v>
      </c>
      <c r="G27249" s="3" t="s">
        <v>11093</v>
      </c>
    </row>
    <row r="27250">
      <c r="A27250" s="3" t="s">
        <v>43706</v>
      </c>
      <c r="B27250" s="3" t="s">
        <v>21970</v>
      </c>
      <c r="C27250" s="5" t="s">
        <v>45</v>
      </c>
      <c r="D27250" s="3" t="s">
        <v>221</v>
      </c>
      <c r="E27250" s="3" t="s">
        <v>900</v>
      </c>
      <c r="F27250" s="7">
        <v>46269.56339626364</v>
      </c>
      <c r="G27250" s="3" t="s">
        <v>15290</v>
      </c>
    </row>
    <row r="27251">
      <c r="A27251" s="3" t="s">
        <v>43707</v>
      </c>
      <c r="B27251" s="3" t="s">
        <v>21970</v>
      </c>
      <c r="C27251" s="5" t="s">
        <v>221</v>
      </c>
      <c r="D27251" s="3" t="s">
        <v>614</v>
      </c>
      <c r="E27251" s="3" t="s">
        <v>118</v>
      </c>
      <c r="F27251" s="7">
        <v>46269.56686848586</v>
      </c>
      <c r="G27251" s="3" t="s">
        <v>15293</v>
      </c>
    </row>
    <row r="27252">
      <c r="A27252" s="3" t="s">
        <v>43708</v>
      </c>
      <c r="B27252" s="3" t="s">
        <v>21970</v>
      </c>
      <c r="C27252" s="5" t="s">
        <v>614</v>
      </c>
      <c r="D27252" s="3" t="s">
        <v>206</v>
      </c>
      <c r="E27252" s="3" t="s">
        <v>100</v>
      </c>
      <c r="F27252" s="7">
        <v>46269.57034070809</v>
      </c>
      <c r="G27252" s="3" t="s">
        <v>15295</v>
      </c>
    </row>
    <row r="27253">
      <c r="A27253" s="3" t="s">
        <v>43709</v>
      </c>
      <c r="B27253" s="3" t="s">
        <v>21970</v>
      </c>
      <c r="C27253" s="5" t="s">
        <v>206</v>
      </c>
      <c r="D27253" s="3" t="s">
        <v>68</v>
      </c>
      <c r="E27253" s="3" t="s">
        <v>100</v>
      </c>
      <c r="F27253" s="7">
        <v>46269.573812930306</v>
      </c>
      <c r="G27253" s="3" t="s">
        <v>15298</v>
      </c>
    </row>
    <row r="27254">
      <c r="A27254" s="3" t="s">
        <v>43710</v>
      </c>
      <c r="B27254" s="3" t="s">
        <v>21973</v>
      </c>
      <c r="C27254" s="5" t="s">
        <v>45</v>
      </c>
      <c r="D27254" s="3" t="s">
        <v>221</v>
      </c>
      <c r="E27254" s="3" t="s">
        <v>505</v>
      </c>
      <c r="F27254" s="7">
        <v>46269.63457110906</v>
      </c>
      <c r="G27254" s="3" t="s">
        <v>14181</v>
      </c>
    </row>
    <row r="27255">
      <c r="A27255" s="3" t="s">
        <v>43711</v>
      </c>
      <c r="B27255" s="3" t="s">
        <v>21973</v>
      </c>
      <c r="C27255" s="5" t="s">
        <v>221</v>
      </c>
      <c r="D27255" s="3" t="s">
        <v>614</v>
      </c>
      <c r="E27255" s="3" t="s">
        <v>118</v>
      </c>
      <c r="F27255" s="7">
        <v>46269.63804333128</v>
      </c>
      <c r="G27255" s="3" t="s">
        <v>14183</v>
      </c>
    </row>
    <row r="27256">
      <c r="A27256" s="3" t="s">
        <v>43712</v>
      </c>
      <c r="B27256" s="3" t="s">
        <v>21973</v>
      </c>
      <c r="C27256" s="5" t="s">
        <v>614</v>
      </c>
      <c r="D27256" s="3" t="s">
        <v>206</v>
      </c>
      <c r="E27256" s="3" t="s">
        <v>100</v>
      </c>
      <c r="F27256" s="7">
        <v>46269.64151555351</v>
      </c>
      <c r="G27256" s="3" t="s">
        <v>14186</v>
      </c>
    </row>
    <row r="27257">
      <c r="A27257" s="3" t="s">
        <v>43713</v>
      </c>
      <c r="B27257" s="3" t="s">
        <v>21973</v>
      </c>
      <c r="C27257" s="5" t="s">
        <v>206</v>
      </c>
      <c r="D27257" s="3" t="s">
        <v>68</v>
      </c>
      <c r="E27257" s="3" t="s">
        <v>100</v>
      </c>
      <c r="F27257" s="7">
        <v>46269.644987775726</v>
      </c>
      <c r="G27257" s="3" t="s">
        <v>14189</v>
      </c>
    </row>
    <row r="27258">
      <c r="A27258" s="3" t="s">
        <v>43714</v>
      </c>
      <c r="B27258" s="3" t="s">
        <v>21976</v>
      </c>
      <c r="C27258" s="5" t="s">
        <v>45</v>
      </c>
      <c r="D27258" s="3" t="s">
        <v>221</v>
      </c>
      <c r="E27258" s="3" t="s">
        <v>826</v>
      </c>
      <c r="F27258" s="7">
        <v>46269.70574595448</v>
      </c>
      <c r="G27258" s="3" t="s">
        <v>20987</v>
      </c>
    </row>
    <row r="27259">
      <c r="A27259" s="3" t="s">
        <v>43715</v>
      </c>
      <c r="B27259" s="3" t="s">
        <v>21976</v>
      </c>
      <c r="C27259" s="5" t="s">
        <v>221</v>
      </c>
      <c r="D27259" s="3" t="s">
        <v>195</v>
      </c>
      <c r="E27259" s="3" t="s">
        <v>826</v>
      </c>
      <c r="F27259" s="7">
        <v>46269.7092181767</v>
      </c>
      <c r="G27259" s="3" t="s">
        <v>43716</v>
      </c>
    </row>
    <row r="27260">
      <c r="A27260" s="3" t="s">
        <v>43717</v>
      </c>
      <c r="B27260" s="3" t="s">
        <v>21980</v>
      </c>
      <c r="C27260" s="5" t="s">
        <v>45</v>
      </c>
      <c r="D27260" s="3" t="s">
        <v>221</v>
      </c>
      <c r="E27260" s="3" t="s">
        <v>704</v>
      </c>
      <c r="F27260" s="7">
        <v>46269.776920799886</v>
      </c>
      <c r="G27260" s="3" t="s">
        <v>2770</v>
      </c>
    </row>
    <row r="27261">
      <c r="A27261" s="3" t="s">
        <v>43718</v>
      </c>
      <c r="B27261" s="3" t="s">
        <v>21980</v>
      </c>
      <c r="C27261" s="5" t="s">
        <v>221</v>
      </c>
      <c r="D27261" s="3" t="s">
        <v>195</v>
      </c>
      <c r="E27261" s="3" t="s">
        <v>704</v>
      </c>
      <c r="F27261" s="7">
        <v>46269.780393022105</v>
      </c>
      <c r="G27261" s="3" t="s">
        <v>3055</v>
      </c>
    </row>
    <row r="27262">
      <c r="A27262" s="3" t="s">
        <v>43719</v>
      </c>
      <c r="B27262" s="3" t="s">
        <v>21983</v>
      </c>
      <c r="C27262" s="5" t="s">
        <v>45</v>
      </c>
      <c r="D27262" s="3" t="s">
        <v>221</v>
      </c>
      <c r="E27262" s="3" t="s">
        <v>369</v>
      </c>
      <c r="F27262" s="7">
        <v>46269.848095645306</v>
      </c>
      <c r="G27262" s="3" t="s">
        <v>15308</v>
      </c>
    </row>
    <row r="27263">
      <c r="A27263" s="3" t="s">
        <v>43720</v>
      </c>
      <c r="B27263" s="3" t="s">
        <v>21983</v>
      </c>
      <c r="C27263" s="5" t="s">
        <v>221</v>
      </c>
      <c r="D27263" s="3" t="s">
        <v>614</v>
      </c>
      <c r="E27263" s="3" t="s">
        <v>118</v>
      </c>
      <c r="F27263" s="7">
        <v>46269.851567867525</v>
      </c>
      <c r="G27263" s="3" t="s">
        <v>15311</v>
      </c>
    </row>
    <row r="27264">
      <c r="A27264" s="3" t="s">
        <v>43721</v>
      </c>
      <c r="B27264" s="3" t="s">
        <v>21983</v>
      </c>
      <c r="C27264" s="5" t="s">
        <v>614</v>
      </c>
      <c r="D27264" s="3" t="s">
        <v>206</v>
      </c>
      <c r="E27264" s="3" t="s">
        <v>100</v>
      </c>
      <c r="F27264" s="7">
        <v>46269.85504008975</v>
      </c>
      <c r="G27264" s="3" t="s">
        <v>15314</v>
      </c>
    </row>
    <row r="27265">
      <c r="A27265" s="3" t="s">
        <v>43722</v>
      </c>
      <c r="B27265" s="3" t="s">
        <v>21983</v>
      </c>
      <c r="C27265" s="5" t="s">
        <v>206</v>
      </c>
      <c r="D27265" s="3" t="s">
        <v>68</v>
      </c>
      <c r="E27265" s="3" t="s">
        <v>100</v>
      </c>
      <c r="F27265" s="7">
        <v>46269.85851231197</v>
      </c>
      <c r="G27265" s="3" t="s">
        <v>15317</v>
      </c>
    </row>
    <row r="27266">
      <c r="A27266" s="3" t="s">
        <v>43723</v>
      </c>
      <c r="B27266" s="3" t="s">
        <v>21986</v>
      </c>
      <c r="C27266" s="5" t="s">
        <v>45</v>
      </c>
      <c r="D27266" s="3" t="s">
        <v>221</v>
      </c>
      <c r="E27266" s="3" t="s">
        <v>682</v>
      </c>
      <c r="F27266" s="7">
        <v>46269.919270490725</v>
      </c>
      <c r="G27266" s="3" t="s">
        <v>23792</v>
      </c>
    </row>
    <row r="27267">
      <c r="A27267" s="3" t="s">
        <v>43724</v>
      </c>
      <c r="B27267" s="3" t="s">
        <v>21986</v>
      </c>
      <c r="C27267" s="5" t="s">
        <v>221</v>
      </c>
      <c r="D27267" s="3" t="s">
        <v>614</v>
      </c>
      <c r="E27267" s="3" t="s">
        <v>118</v>
      </c>
      <c r="F27267" s="7">
        <v>46269.922742712944</v>
      </c>
      <c r="G27267" s="3" t="s">
        <v>23794</v>
      </c>
    </row>
    <row r="27268">
      <c r="A27268" s="3" t="s">
        <v>43725</v>
      </c>
      <c r="B27268" s="3" t="s">
        <v>21986</v>
      </c>
      <c r="C27268" s="5" t="s">
        <v>614</v>
      </c>
      <c r="D27268" s="3" t="s">
        <v>206</v>
      </c>
      <c r="E27268" s="3" t="s">
        <v>100</v>
      </c>
      <c r="F27268" s="7">
        <v>46269.92621493517</v>
      </c>
      <c r="G27268" s="3" t="s">
        <v>23796</v>
      </c>
    </row>
    <row r="27269">
      <c r="A27269" s="3" t="s">
        <v>43726</v>
      </c>
      <c r="B27269" s="3" t="s">
        <v>21986</v>
      </c>
      <c r="C27269" s="5" t="s">
        <v>206</v>
      </c>
      <c r="D27269" s="3" t="s">
        <v>68</v>
      </c>
      <c r="E27269" s="3" t="s">
        <v>100</v>
      </c>
      <c r="F27269" s="7">
        <v>46269.92968715739</v>
      </c>
      <c r="G27269" s="3" t="s">
        <v>23798</v>
      </c>
    </row>
    <row r="27270">
      <c r="A27270" s="3" t="s">
        <v>43727</v>
      </c>
      <c r="B27270" s="3" t="s">
        <v>21989</v>
      </c>
      <c r="C27270" s="5" t="s">
        <v>45</v>
      </c>
      <c r="D27270" s="3" t="s">
        <v>221</v>
      </c>
      <c r="E27270" s="3" t="s">
        <v>586</v>
      </c>
      <c r="F27270" s="7">
        <v>46269.99044533614</v>
      </c>
      <c r="G27270" s="3" t="s">
        <v>17294</v>
      </c>
    </row>
    <row r="27271">
      <c r="A27271" s="3" t="s">
        <v>43728</v>
      </c>
      <c r="B27271" s="3" t="s">
        <v>21989</v>
      </c>
      <c r="C27271" s="5" t="s">
        <v>221</v>
      </c>
      <c r="D27271" s="3" t="s">
        <v>614</v>
      </c>
      <c r="E27271" s="3" t="s">
        <v>118</v>
      </c>
      <c r="F27271" s="7">
        <v>46269.99391755836</v>
      </c>
      <c r="G27271" s="3" t="s">
        <v>17296</v>
      </c>
    </row>
    <row r="27272">
      <c r="A27272" s="3" t="s">
        <v>43729</v>
      </c>
      <c r="B27272" s="3" t="s">
        <v>21989</v>
      </c>
      <c r="C27272" s="5" t="s">
        <v>614</v>
      </c>
      <c r="D27272" s="3" t="s">
        <v>206</v>
      </c>
      <c r="E27272" s="3" t="s">
        <v>100</v>
      </c>
      <c r="F27272" s="7">
        <v>46269.99738978058</v>
      </c>
      <c r="G27272" s="3" t="s">
        <v>17299</v>
      </c>
    </row>
    <row r="27273">
      <c r="A27273" s="3" t="s">
        <v>43730</v>
      </c>
      <c r="B27273" s="3" t="s">
        <v>21989</v>
      </c>
      <c r="C27273" s="5" t="s">
        <v>206</v>
      </c>
      <c r="D27273" s="3" t="s">
        <v>68</v>
      </c>
      <c r="E27273" s="3" t="s">
        <v>100</v>
      </c>
      <c r="F27273" s="7">
        <v>46270.0008620028</v>
      </c>
      <c r="G27273" s="3" t="s">
        <v>17302</v>
      </c>
    </row>
    <row r="27274">
      <c r="A27274" s="3" t="s">
        <v>43731</v>
      </c>
      <c r="B27274" s="3" t="s">
        <v>21992</v>
      </c>
      <c r="C27274" s="5" t="s">
        <v>45</v>
      </c>
      <c r="D27274" s="3" t="s">
        <v>221</v>
      </c>
      <c r="E27274" s="3" t="s">
        <v>657</v>
      </c>
      <c r="F27274" s="7">
        <v>46270.06162018155</v>
      </c>
      <c r="G27274" s="3" t="s">
        <v>18940</v>
      </c>
    </row>
    <row r="27275">
      <c r="A27275" s="3" t="s">
        <v>43732</v>
      </c>
      <c r="B27275" s="3" t="s">
        <v>21992</v>
      </c>
      <c r="C27275" s="5" t="s">
        <v>221</v>
      </c>
      <c r="D27275" s="3" t="s">
        <v>614</v>
      </c>
      <c r="E27275" s="3" t="s">
        <v>118</v>
      </c>
      <c r="F27275" s="7">
        <v>46270.06509240377</v>
      </c>
      <c r="G27275" s="3" t="s">
        <v>18942</v>
      </c>
    </row>
    <row r="27276">
      <c r="A27276" s="3" t="s">
        <v>43733</v>
      </c>
      <c r="B27276" s="3" t="s">
        <v>21992</v>
      </c>
      <c r="C27276" s="5" t="s">
        <v>614</v>
      </c>
      <c r="D27276" s="3" t="s">
        <v>206</v>
      </c>
      <c r="E27276" s="3" t="s">
        <v>100</v>
      </c>
      <c r="F27276" s="7">
        <v>46270.068564625995</v>
      </c>
      <c r="G27276" s="3" t="s">
        <v>18945</v>
      </c>
    </row>
    <row r="27277">
      <c r="A27277" s="3" t="s">
        <v>43734</v>
      </c>
      <c r="B27277" s="3" t="s">
        <v>21992</v>
      </c>
      <c r="C27277" s="5" t="s">
        <v>206</v>
      </c>
      <c r="D27277" s="3" t="s">
        <v>68</v>
      </c>
      <c r="E27277" s="3" t="s">
        <v>100</v>
      </c>
      <c r="F27277" s="7">
        <v>46270.072036848214</v>
      </c>
      <c r="G27277" s="3" t="s">
        <v>18948</v>
      </c>
    </row>
    <row r="27278">
      <c r="A27278" s="3" t="s">
        <v>43735</v>
      </c>
      <c r="B27278" s="3" t="s">
        <v>21994</v>
      </c>
      <c r="C27278" s="5" t="s">
        <v>45</v>
      </c>
      <c r="D27278" s="3" t="s">
        <v>221</v>
      </c>
      <c r="E27278" s="3" t="s">
        <v>662</v>
      </c>
      <c r="F27278" s="7">
        <v>46270.13279502697</v>
      </c>
      <c r="G27278" s="3" t="s">
        <v>21862</v>
      </c>
    </row>
    <row r="27279">
      <c r="A27279" s="3" t="s">
        <v>43736</v>
      </c>
      <c r="B27279" s="3" t="s">
        <v>21994</v>
      </c>
      <c r="C27279" s="5" t="s">
        <v>221</v>
      </c>
      <c r="D27279" s="3" t="s">
        <v>614</v>
      </c>
      <c r="E27279" s="3" t="s">
        <v>118</v>
      </c>
      <c r="F27279" s="7">
        <v>46270.13626724919</v>
      </c>
      <c r="G27279" s="3" t="s">
        <v>21865</v>
      </c>
    </row>
    <row r="27280">
      <c r="A27280" s="3" t="s">
        <v>43737</v>
      </c>
      <c r="B27280" s="3" t="s">
        <v>21994</v>
      </c>
      <c r="C27280" s="5" t="s">
        <v>614</v>
      </c>
      <c r="D27280" s="3" t="s">
        <v>206</v>
      </c>
      <c r="E27280" s="3" t="s">
        <v>100</v>
      </c>
      <c r="F27280" s="7">
        <v>46270.139739471415</v>
      </c>
      <c r="G27280" s="3" t="s">
        <v>21868</v>
      </c>
    </row>
    <row r="27281">
      <c r="A27281" s="3" t="s">
        <v>43738</v>
      </c>
      <c r="B27281" s="3" t="s">
        <v>21994</v>
      </c>
      <c r="C27281" s="5" t="s">
        <v>206</v>
      </c>
      <c r="D27281" s="3" t="s">
        <v>68</v>
      </c>
      <c r="E27281" s="3" t="s">
        <v>100</v>
      </c>
      <c r="F27281" s="7">
        <v>46270.143211693634</v>
      </c>
      <c r="G27281" s="3" t="s">
        <v>21871</v>
      </c>
    </row>
    <row r="27282">
      <c r="A27282" s="3" t="s">
        <v>43739</v>
      </c>
      <c r="B27282" s="3" t="s">
        <v>21996</v>
      </c>
      <c r="C27282" s="5" t="s">
        <v>45</v>
      </c>
      <c r="D27282" s="3" t="s">
        <v>221</v>
      </c>
      <c r="E27282" s="3" t="s">
        <v>512</v>
      </c>
      <c r="F27282" s="7">
        <v>46270.20396987238</v>
      </c>
      <c r="G27282" s="3" t="s">
        <v>15479</v>
      </c>
    </row>
    <row r="27283">
      <c r="A27283" s="3" t="s">
        <v>43740</v>
      </c>
      <c r="B27283" s="3" t="s">
        <v>21996</v>
      </c>
      <c r="C27283" s="5" t="s">
        <v>221</v>
      </c>
      <c r="D27283" s="3" t="s">
        <v>614</v>
      </c>
      <c r="E27283" s="3" t="s">
        <v>118</v>
      </c>
      <c r="F27283" s="7">
        <v>46270.2074420946</v>
      </c>
      <c r="G27283" s="3" t="s">
        <v>15482</v>
      </c>
    </row>
    <row r="27284">
      <c r="A27284" s="3" t="s">
        <v>43741</v>
      </c>
      <c r="B27284" s="3" t="s">
        <v>21996</v>
      </c>
      <c r="C27284" s="5" t="s">
        <v>614</v>
      </c>
      <c r="D27284" s="3" t="s">
        <v>206</v>
      </c>
      <c r="E27284" s="3" t="s">
        <v>100</v>
      </c>
      <c r="F27284" s="7">
        <v>46270.21091431683</v>
      </c>
      <c r="G27284" s="3" t="s">
        <v>15485</v>
      </c>
    </row>
    <row r="27285">
      <c r="A27285" s="3" t="s">
        <v>43742</v>
      </c>
      <c r="B27285" s="3" t="s">
        <v>21996</v>
      </c>
      <c r="C27285" s="5" t="s">
        <v>206</v>
      </c>
      <c r="D27285" s="3" t="s">
        <v>68</v>
      </c>
      <c r="E27285" s="3" t="s">
        <v>100</v>
      </c>
      <c r="F27285" s="7">
        <v>46270.214386539046</v>
      </c>
      <c r="G27285" s="3" t="s">
        <v>15488</v>
      </c>
    </row>
    <row r="27286">
      <c r="A27286" s="3" t="s">
        <v>43743</v>
      </c>
      <c r="B27286" s="3" t="s">
        <v>21999</v>
      </c>
      <c r="C27286" s="5" t="s">
        <v>45</v>
      </c>
      <c r="D27286" s="3" t="s">
        <v>221</v>
      </c>
      <c r="E27286" s="3" t="s">
        <v>310</v>
      </c>
      <c r="F27286" s="7">
        <v>46270.275144717794</v>
      </c>
      <c r="G27286" s="3" t="s">
        <v>14950</v>
      </c>
    </row>
    <row r="27287">
      <c r="A27287" s="3" t="s">
        <v>43744</v>
      </c>
      <c r="B27287" s="3" t="s">
        <v>21999</v>
      </c>
      <c r="C27287" s="5" t="s">
        <v>221</v>
      </c>
      <c r="D27287" s="3" t="s">
        <v>614</v>
      </c>
      <c r="E27287" s="3" t="s">
        <v>118</v>
      </c>
      <c r="F27287" s="7">
        <v>46270.27861694001</v>
      </c>
      <c r="G27287" s="3" t="s">
        <v>43745</v>
      </c>
    </row>
    <row r="27288">
      <c r="A27288" s="3" t="s">
        <v>43746</v>
      </c>
      <c r="B27288" s="3" t="s">
        <v>21999</v>
      </c>
      <c r="C27288" s="5" t="s">
        <v>614</v>
      </c>
      <c r="D27288" s="3" t="s">
        <v>206</v>
      </c>
      <c r="E27288" s="3" t="s">
        <v>100</v>
      </c>
      <c r="F27288" s="7">
        <v>46270.28208916224</v>
      </c>
      <c r="G27288" s="3" t="s">
        <v>43747</v>
      </c>
    </row>
    <row r="27289">
      <c r="A27289" s="3" t="s">
        <v>43748</v>
      </c>
      <c r="B27289" s="3" t="s">
        <v>21999</v>
      </c>
      <c r="C27289" s="5" t="s">
        <v>206</v>
      </c>
      <c r="D27289" s="3" t="s">
        <v>68</v>
      </c>
      <c r="E27289" s="3" t="s">
        <v>100</v>
      </c>
      <c r="F27289" s="7">
        <v>46270.28556138446</v>
      </c>
      <c r="G27289" s="3" t="s">
        <v>43749</v>
      </c>
    </row>
    <row r="27290">
      <c r="A27290" s="3" t="s">
        <v>43750</v>
      </c>
      <c r="B27290" s="3" t="s">
        <v>22001</v>
      </c>
      <c r="C27290" s="5" t="s">
        <v>45</v>
      </c>
      <c r="D27290" s="3" t="s">
        <v>221</v>
      </c>
      <c r="E27290" s="3" t="s">
        <v>731</v>
      </c>
      <c r="F27290" s="7">
        <v>46270.346319563214</v>
      </c>
      <c r="G27290" s="3" t="s">
        <v>25303</v>
      </c>
    </row>
    <row r="27291">
      <c r="A27291" s="3" t="s">
        <v>43751</v>
      </c>
      <c r="B27291" s="3" t="s">
        <v>22001</v>
      </c>
      <c r="C27291" s="5" t="s">
        <v>221</v>
      </c>
      <c r="D27291" s="3" t="s">
        <v>614</v>
      </c>
      <c r="E27291" s="3" t="s">
        <v>118</v>
      </c>
      <c r="F27291" s="7">
        <v>46270.34979178543</v>
      </c>
      <c r="G27291" s="3" t="s">
        <v>25305</v>
      </c>
    </row>
    <row r="27292">
      <c r="A27292" s="3" t="s">
        <v>43752</v>
      </c>
      <c r="B27292" s="3" t="s">
        <v>22001</v>
      </c>
      <c r="C27292" s="5" t="s">
        <v>614</v>
      </c>
      <c r="D27292" s="3" t="s">
        <v>206</v>
      </c>
      <c r="E27292" s="3" t="s">
        <v>100</v>
      </c>
      <c r="F27292" s="7">
        <v>46270.35326400766</v>
      </c>
      <c r="G27292" s="3" t="s">
        <v>25307</v>
      </c>
    </row>
    <row r="27293">
      <c r="A27293" s="3" t="s">
        <v>43753</v>
      </c>
      <c r="B27293" s="3" t="s">
        <v>22001</v>
      </c>
      <c r="C27293" s="5" t="s">
        <v>206</v>
      </c>
      <c r="D27293" s="3" t="s">
        <v>68</v>
      </c>
      <c r="E27293" s="3" t="s">
        <v>100</v>
      </c>
      <c r="F27293" s="7">
        <v>46270.35673622988</v>
      </c>
      <c r="G27293" s="3" t="s">
        <v>25309</v>
      </c>
    </row>
    <row r="27294">
      <c r="A27294" s="3" t="s">
        <v>43754</v>
      </c>
      <c r="B27294" s="3" t="s">
        <v>22004</v>
      </c>
      <c r="C27294" s="5" t="s">
        <v>45</v>
      </c>
      <c r="D27294" s="3" t="s">
        <v>221</v>
      </c>
      <c r="E27294" s="3" t="s">
        <v>197</v>
      </c>
      <c r="F27294" s="7">
        <v>46270.41749440863</v>
      </c>
      <c r="G27294" s="3" t="s">
        <v>13071</v>
      </c>
    </row>
    <row r="27295">
      <c r="A27295" s="3" t="s">
        <v>43755</v>
      </c>
      <c r="B27295" s="3" t="s">
        <v>22004</v>
      </c>
      <c r="C27295" s="5" t="s">
        <v>221</v>
      </c>
      <c r="D27295" s="3" t="s">
        <v>181</v>
      </c>
      <c r="E27295" s="3" t="s">
        <v>118</v>
      </c>
      <c r="F27295" s="7">
        <v>46270.42096663085</v>
      </c>
      <c r="G27295" s="3" t="s">
        <v>43756</v>
      </c>
    </row>
    <row r="27296">
      <c r="A27296" s="3" t="s">
        <v>43757</v>
      </c>
      <c r="B27296" s="3" t="s">
        <v>22006</v>
      </c>
      <c r="C27296" s="5" t="s">
        <v>45</v>
      </c>
      <c r="D27296" s="3" t="s">
        <v>221</v>
      </c>
      <c r="E27296" s="3" t="s">
        <v>516</v>
      </c>
      <c r="F27296" s="7">
        <v>46270.48866925404</v>
      </c>
      <c r="G27296" s="3" t="s">
        <v>15182</v>
      </c>
    </row>
    <row r="27297">
      <c r="A27297" s="3" t="s">
        <v>43758</v>
      </c>
      <c r="B27297" s="3" t="s">
        <v>22006</v>
      </c>
      <c r="C27297" s="5" t="s">
        <v>221</v>
      </c>
      <c r="D27297" s="3" t="s">
        <v>614</v>
      </c>
      <c r="E27297" s="3" t="s">
        <v>118</v>
      </c>
      <c r="F27297" s="7">
        <v>46270.49214147626</v>
      </c>
      <c r="G27297" s="3" t="s">
        <v>15185</v>
      </c>
    </row>
    <row r="27298">
      <c r="A27298" s="3" t="s">
        <v>43759</v>
      </c>
      <c r="B27298" s="3" t="s">
        <v>22006</v>
      </c>
      <c r="C27298" s="5" t="s">
        <v>614</v>
      </c>
      <c r="D27298" s="3" t="s">
        <v>206</v>
      </c>
      <c r="E27298" s="3" t="s">
        <v>100</v>
      </c>
      <c r="F27298" s="7">
        <v>46270.495613698484</v>
      </c>
      <c r="G27298" s="3" t="s">
        <v>15189</v>
      </c>
    </row>
    <row r="27299">
      <c r="A27299" s="3" t="s">
        <v>43760</v>
      </c>
      <c r="B27299" s="3" t="s">
        <v>22006</v>
      </c>
      <c r="C27299" s="5" t="s">
        <v>206</v>
      </c>
      <c r="D27299" s="3" t="s">
        <v>68</v>
      </c>
      <c r="E27299" s="3" t="s">
        <v>100</v>
      </c>
      <c r="F27299" s="7">
        <v>46270.4990859207</v>
      </c>
      <c r="G27299" s="3" t="s">
        <v>15192</v>
      </c>
    </row>
    <row r="27300">
      <c r="A27300" s="3" t="s">
        <v>43761</v>
      </c>
      <c r="B27300" s="3" t="s">
        <v>22009</v>
      </c>
      <c r="C27300" s="5" t="s">
        <v>45</v>
      </c>
      <c r="D27300" s="3" t="s">
        <v>221</v>
      </c>
      <c r="E27300" s="3" t="s">
        <v>411</v>
      </c>
      <c r="F27300" s="7">
        <v>46270.55984409946</v>
      </c>
      <c r="G27300" s="3" t="s">
        <v>22641</v>
      </c>
    </row>
    <row r="27301">
      <c r="A27301" s="3" t="s">
        <v>43762</v>
      </c>
      <c r="B27301" s="3" t="s">
        <v>22009</v>
      </c>
      <c r="C27301" s="5" t="s">
        <v>221</v>
      </c>
      <c r="D27301" s="3" t="s">
        <v>614</v>
      </c>
      <c r="E27301" s="3" t="s">
        <v>118</v>
      </c>
      <c r="F27301" s="7">
        <v>46270.56331632168</v>
      </c>
      <c r="G27301" s="3" t="s">
        <v>22644</v>
      </c>
    </row>
    <row r="27302">
      <c r="A27302" s="3" t="s">
        <v>43763</v>
      </c>
      <c r="B27302" s="3" t="s">
        <v>22009</v>
      </c>
      <c r="C27302" s="5" t="s">
        <v>614</v>
      </c>
      <c r="D27302" s="3" t="s">
        <v>206</v>
      </c>
      <c r="E27302" s="3" t="s">
        <v>100</v>
      </c>
      <c r="F27302" s="7">
        <v>46270.5667885439</v>
      </c>
      <c r="G27302" s="3" t="s">
        <v>22647</v>
      </c>
    </row>
    <row r="27303">
      <c r="A27303" s="3" t="s">
        <v>43764</v>
      </c>
      <c r="B27303" s="3" t="s">
        <v>22009</v>
      </c>
      <c r="C27303" s="5" t="s">
        <v>206</v>
      </c>
      <c r="D27303" s="3" t="s">
        <v>68</v>
      </c>
      <c r="E27303" s="3" t="s">
        <v>100</v>
      </c>
      <c r="F27303" s="7">
        <v>46270.57026076612</v>
      </c>
      <c r="G27303" s="3" t="s">
        <v>22650</v>
      </c>
    </row>
    <row r="27304">
      <c r="A27304" s="3" t="s">
        <v>43765</v>
      </c>
      <c r="B27304" s="3" t="s">
        <v>22012</v>
      </c>
      <c r="C27304" s="5" t="s">
        <v>45</v>
      </c>
      <c r="D27304" s="3" t="s">
        <v>221</v>
      </c>
      <c r="E27304" s="3" t="s">
        <v>557</v>
      </c>
      <c r="F27304" s="7">
        <v>46270.63101894487</v>
      </c>
      <c r="G27304" s="3" t="s">
        <v>12214</v>
      </c>
    </row>
    <row r="27305">
      <c r="A27305" s="3" t="s">
        <v>43766</v>
      </c>
      <c r="B27305" s="3" t="s">
        <v>22012</v>
      </c>
      <c r="C27305" s="5" t="s">
        <v>221</v>
      </c>
      <c r="D27305" s="3" t="s">
        <v>614</v>
      </c>
      <c r="E27305" s="3" t="s">
        <v>118</v>
      </c>
      <c r="F27305" s="7">
        <v>46270.63449116709</v>
      </c>
      <c r="G27305" s="3" t="s">
        <v>12217</v>
      </c>
    </row>
    <row r="27306">
      <c r="A27306" s="3" t="s">
        <v>43767</v>
      </c>
      <c r="B27306" s="3" t="s">
        <v>22012</v>
      </c>
      <c r="C27306" s="5" t="s">
        <v>614</v>
      </c>
      <c r="D27306" s="3" t="s">
        <v>206</v>
      </c>
      <c r="E27306" s="3" t="s">
        <v>100</v>
      </c>
      <c r="F27306" s="7">
        <v>46270.637963389316</v>
      </c>
      <c r="G27306" s="3" t="s">
        <v>12220</v>
      </c>
    </row>
    <row r="27307">
      <c r="A27307" s="3" t="s">
        <v>43768</v>
      </c>
      <c r="B27307" s="3" t="s">
        <v>22012</v>
      </c>
      <c r="C27307" s="5" t="s">
        <v>206</v>
      </c>
      <c r="D27307" s="3" t="s">
        <v>68</v>
      </c>
      <c r="E27307" s="3" t="s">
        <v>100</v>
      </c>
      <c r="F27307" s="7">
        <v>46270.641435611535</v>
      </c>
      <c r="G27307" s="3" t="s">
        <v>12223</v>
      </c>
    </row>
    <row r="27308">
      <c r="A27308" s="3" t="s">
        <v>43769</v>
      </c>
      <c r="B27308" s="3" t="s">
        <v>22014</v>
      </c>
      <c r="C27308" s="5" t="s">
        <v>45</v>
      </c>
      <c r="D27308" s="3" t="s">
        <v>221</v>
      </c>
      <c r="E27308" s="3" t="s">
        <v>908</v>
      </c>
      <c r="F27308" s="7">
        <v>46270.70219379029</v>
      </c>
      <c r="G27308" s="3" t="s">
        <v>12142</v>
      </c>
    </row>
    <row r="27309">
      <c r="A27309" s="3" t="s">
        <v>43770</v>
      </c>
      <c r="B27309" s="3" t="s">
        <v>22014</v>
      </c>
      <c r="C27309" s="5" t="s">
        <v>221</v>
      </c>
      <c r="D27309" s="3" t="s">
        <v>614</v>
      </c>
      <c r="E27309" s="3" t="s">
        <v>118</v>
      </c>
      <c r="F27309" s="7">
        <v>46270.70566601251</v>
      </c>
      <c r="G27309" s="3" t="s">
        <v>12145</v>
      </c>
    </row>
    <row r="27310">
      <c r="A27310" s="3" t="s">
        <v>43771</v>
      </c>
      <c r="B27310" s="3" t="s">
        <v>22014</v>
      </c>
      <c r="C27310" s="5" t="s">
        <v>614</v>
      </c>
      <c r="D27310" s="3" t="s">
        <v>206</v>
      </c>
      <c r="E27310" s="3" t="s">
        <v>100</v>
      </c>
      <c r="F27310" s="7">
        <v>46270.709138234735</v>
      </c>
      <c r="G27310" s="3" t="s">
        <v>12148</v>
      </c>
    </row>
    <row r="27311">
      <c r="A27311" s="3" t="s">
        <v>43772</v>
      </c>
      <c r="B27311" s="3" t="s">
        <v>22014</v>
      </c>
      <c r="C27311" s="5" t="s">
        <v>206</v>
      </c>
      <c r="D27311" s="3" t="s">
        <v>68</v>
      </c>
      <c r="E27311" s="3" t="s">
        <v>100</v>
      </c>
      <c r="F27311" s="7">
        <v>46270.712610456954</v>
      </c>
      <c r="G27311" s="3" t="s">
        <v>12151</v>
      </c>
    </row>
    <row r="27312">
      <c r="A27312" s="3" t="s">
        <v>43773</v>
      </c>
      <c r="B27312" s="3" t="s">
        <v>22017</v>
      </c>
      <c r="C27312" s="5" t="s">
        <v>45</v>
      </c>
      <c r="D27312" s="3" t="s">
        <v>221</v>
      </c>
      <c r="E27312" s="3" t="s">
        <v>455</v>
      </c>
      <c r="F27312" s="7">
        <v>46270.7733686357</v>
      </c>
      <c r="G27312" s="3" t="s">
        <v>15794</v>
      </c>
    </row>
    <row r="27313">
      <c r="A27313" s="3" t="s">
        <v>43774</v>
      </c>
      <c r="B27313" s="3" t="s">
        <v>22017</v>
      </c>
      <c r="C27313" s="5" t="s">
        <v>221</v>
      </c>
      <c r="D27313" s="3" t="s">
        <v>614</v>
      </c>
      <c r="E27313" s="3" t="s">
        <v>118</v>
      </c>
      <c r="F27313" s="7">
        <v>46270.77684085792</v>
      </c>
      <c r="G27313" s="3" t="s">
        <v>15797</v>
      </c>
    </row>
    <row r="27314">
      <c r="A27314" s="3" t="s">
        <v>43775</v>
      </c>
      <c r="B27314" s="3" t="s">
        <v>22017</v>
      </c>
      <c r="C27314" s="5" t="s">
        <v>614</v>
      </c>
      <c r="D27314" s="3" t="s">
        <v>206</v>
      </c>
      <c r="E27314" s="3" t="s">
        <v>100</v>
      </c>
      <c r="F27314" s="7">
        <v>46270.78031308015</v>
      </c>
      <c r="G27314" s="3" t="s">
        <v>15800</v>
      </c>
    </row>
    <row r="27315">
      <c r="A27315" s="3" t="s">
        <v>43776</v>
      </c>
      <c r="B27315" s="3" t="s">
        <v>22017</v>
      </c>
      <c r="C27315" s="5" t="s">
        <v>206</v>
      </c>
      <c r="D27315" s="3" t="s">
        <v>68</v>
      </c>
      <c r="E27315" s="3" t="s">
        <v>100</v>
      </c>
      <c r="F27315" s="7">
        <v>46270.78378530237</v>
      </c>
      <c r="G27315" s="3" t="s">
        <v>15803</v>
      </c>
    </row>
    <row r="27316">
      <c r="A27316" s="3" t="s">
        <v>43777</v>
      </c>
      <c r="B27316" s="3" t="s">
        <v>22019</v>
      </c>
      <c r="C27316" s="5" t="s">
        <v>45</v>
      </c>
      <c r="D27316" s="3" t="s">
        <v>221</v>
      </c>
      <c r="E27316" s="3" t="s">
        <v>226</v>
      </c>
      <c r="F27316" s="7">
        <v>46270.84454348112</v>
      </c>
      <c r="G27316" s="3" t="s">
        <v>6667</v>
      </c>
    </row>
    <row r="27317">
      <c r="A27317" s="3" t="s">
        <v>43778</v>
      </c>
      <c r="B27317" s="3" t="s">
        <v>22019</v>
      </c>
      <c r="C27317" s="5" t="s">
        <v>221</v>
      </c>
      <c r="D27317" s="3" t="s">
        <v>614</v>
      </c>
      <c r="E27317" s="3" t="s">
        <v>118</v>
      </c>
      <c r="F27317" s="7">
        <v>46270.84801570334</v>
      </c>
      <c r="G27317" s="3" t="s">
        <v>6670</v>
      </c>
    </row>
    <row r="27318">
      <c r="A27318" s="3" t="s">
        <v>43779</v>
      </c>
      <c r="B27318" s="3" t="s">
        <v>22019</v>
      </c>
      <c r="C27318" s="5" t="s">
        <v>614</v>
      </c>
      <c r="D27318" s="3" t="s">
        <v>206</v>
      </c>
      <c r="E27318" s="3" t="s">
        <v>100</v>
      </c>
      <c r="F27318" s="7">
        <v>46270.85148792557</v>
      </c>
      <c r="G27318" s="3" t="s">
        <v>6673</v>
      </c>
    </row>
    <row r="27319">
      <c r="A27319" s="3" t="s">
        <v>43780</v>
      </c>
      <c r="B27319" s="3" t="s">
        <v>22019</v>
      </c>
      <c r="C27319" s="5" t="s">
        <v>206</v>
      </c>
      <c r="D27319" s="3" t="s">
        <v>68</v>
      </c>
      <c r="E27319" s="3" t="s">
        <v>100</v>
      </c>
      <c r="F27319" s="7">
        <v>46270.854960147786</v>
      </c>
      <c r="G27319" s="3" t="s">
        <v>6676</v>
      </c>
    </row>
    <row r="27320">
      <c r="A27320" s="3" t="s">
        <v>43781</v>
      </c>
      <c r="B27320" s="3" t="s">
        <v>22021</v>
      </c>
      <c r="C27320" s="5" t="s">
        <v>45</v>
      </c>
      <c r="D27320" s="3" t="s">
        <v>221</v>
      </c>
      <c r="E27320" s="3" t="s">
        <v>698</v>
      </c>
      <c r="F27320" s="7">
        <v>46270.91571832653</v>
      </c>
      <c r="G27320" s="3" t="s">
        <v>24380</v>
      </c>
    </row>
    <row r="27321">
      <c r="A27321" s="3" t="s">
        <v>43782</v>
      </c>
      <c r="B27321" s="3" t="s">
        <v>22021</v>
      </c>
      <c r="C27321" s="5" t="s">
        <v>221</v>
      </c>
      <c r="D27321" s="3" t="s">
        <v>614</v>
      </c>
      <c r="E27321" s="3" t="s">
        <v>118</v>
      </c>
      <c r="F27321" s="7">
        <v>46270.919190548746</v>
      </c>
      <c r="G27321" s="3" t="s">
        <v>24382</v>
      </c>
    </row>
    <row r="27322">
      <c r="A27322" s="3" t="s">
        <v>43783</v>
      </c>
      <c r="B27322" s="3" t="s">
        <v>22021</v>
      </c>
      <c r="C27322" s="5" t="s">
        <v>614</v>
      </c>
      <c r="D27322" s="3" t="s">
        <v>206</v>
      </c>
      <c r="E27322" s="3" t="s">
        <v>100</v>
      </c>
      <c r="F27322" s="7">
        <v>46270.92266277097</v>
      </c>
      <c r="G27322" s="3" t="s">
        <v>24384</v>
      </c>
    </row>
    <row r="27323">
      <c r="A27323" s="3" t="s">
        <v>43784</v>
      </c>
      <c r="B27323" s="3" t="s">
        <v>22021</v>
      </c>
      <c r="C27323" s="5" t="s">
        <v>206</v>
      </c>
      <c r="D27323" s="3" t="s">
        <v>68</v>
      </c>
      <c r="E27323" s="3" t="s">
        <v>100</v>
      </c>
      <c r="F27323" s="7">
        <v>46270.92613499319</v>
      </c>
      <c r="G27323" s="3" t="s">
        <v>24386</v>
      </c>
    </row>
    <row r="27324">
      <c r="A27324" s="3" t="s">
        <v>43785</v>
      </c>
      <c r="B27324" s="3" t="s">
        <v>22023</v>
      </c>
      <c r="C27324" s="5" t="s">
        <v>45</v>
      </c>
      <c r="D27324" s="3" t="s">
        <v>221</v>
      </c>
      <c r="E27324" s="3" t="s">
        <v>533</v>
      </c>
      <c r="F27324" s="7">
        <v>46270.98689317195</v>
      </c>
      <c r="G27324" s="3" t="s">
        <v>37003</v>
      </c>
    </row>
    <row r="27325">
      <c r="A27325" s="3" t="s">
        <v>43786</v>
      </c>
      <c r="B27325" s="3" t="s">
        <v>22023</v>
      </c>
      <c r="C27325" s="5" t="s">
        <v>221</v>
      </c>
      <c r="D27325" s="3" t="s">
        <v>614</v>
      </c>
      <c r="E27325" s="3" t="s">
        <v>118</v>
      </c>
      <c r="F27325" s="7">
        <v>46270.990365394166</v>
      </c>
      <c r="G27325" s="3" t="s">
        <v>37005</v>
      </c>
    </row>
    <row r="27326">
      <c r="A27326" s="3" t="s">
        <v>43787</v>
      </c>
      <c r="B27326" s="3" t="s">
        <v>22023</v>
      </c>
      <c r="C27326" s="5" t="s">
        <v>614</v>
      </c>
      <c r="D27326" s="3" t="s">
        <v>206</v>
      </c>
      <c r="E27326" s="3" t="s">
        <v>100</v>
      </c>
      <c r="F27326" s="7">
        <v>46270.99383761639</v>
      </c>
      <c r="G27326" s="3" t="s">
        <v>37007</v>
      </c>
    </row>
    <row r="27327">
      <c r="A27327" s="3" t="s">
        <v>43788</v>
      </c>
      <c r="B27327" s="3" t="s">
        <v>22023</v>
      </c>
      <c r="C27327" s="5" t="s">
        <v>206</v>
      </c>
      <c r="D27327" s="3" t="s">
        <v>68</v>
      </c>
      <c r="E27327" s="3" t="s">
        <v>100</v>
      </c>
      <c r="F27327" s="7">
        <v>46270.99730983861</v>
      </c>
      <c r="G27327" s="3" t="s">
        <v>37009</v>
      </c>
    </row>
    <row r="27328">
      <c r="A27328" s="3" t="s">
        <v>43789</v>
      </c>
      <c r="B27328" s="3" t="s">
        <v>22026</v>
      </c>
      <c r="C27328" s="5" t="s">
        <v>45</v>
      </c>
      <c r="D27328" s="3" t="s">
        <v>221</v>
      </c>
      <c r="E27328" s="3" t="s">
        <v>516</v>
      </c>
      <c r="F27328" s="7">
        <v>46271.058068017366</v>
      </c>
      <c r="G27328" s="3" t="s">
        <v>15182</v>
      </c>
    </row>
    <row r="27329">
      <c r="A27329" s="3" t="s">
        <v>43790</v>
      </c>
      <c r="B27329" s="3" t="s">
        <v>22026</v>
      </c>
      <c r="C27329" s="5" t="s">
        <v>221</v>
      </c>
      <c r="D27329" s="3" t="s">
        <v>614</v>
      </c>
      <c r="E27329" s="3" t="s">
        <v>118</v>
      </c>
      <c r="F27329" s="7">
        <v>46271.061540239585</v>
      </c>
      <c r="G27329" s="3" t="s">
        <v>15185</v>
      </c>
    </row>
    <row r="27330">
      <c r="A27330" s="3" t="s">
        <v>43791</v>
      </c>
      <c r="B27330" s="3" t="s">
        <v>22026</v>
      </c>
      <c r="C27330" s="5" t="s">
        <v>614</v>
      </c>
      <c r="D27330" s="3" t="s">
        <v>206</v>
      </c>
      <c r="E27330" s="3" t="s">
        <v>100</v>
      </c>
      <c r="F27330" s="7">
        <v>46271.06501246181</v>
      </c>
      <c r="G27330" s="3" t="s">
        <v>15189</v>
      </c>
    </row>
    <row r="27331">
      <c r="A27331" s="3" t="s">
        <v>43792</v>
      </c>
      <c r="B27331" s="3" t="s">
        <v>22026</v>
      </c>
      <c r="C27331" s="5" t="s">
        <v>206</v>
      </c>
      <c r="D27331" s="3" t="s">
        <v>68</v>
      </c>
      <c r="E27331" s="3" t="s">
        <v>100</v>
      </c>
      <c r="F27331" s="7">
        <v>46271.06848468403</v>
      </c>
      <c r="G27331" s="3" t="s">
        <v>15192</v>
      </c>
    </row>
    <row r="27332">
      <c r="A27332" s="3" t="s">
        <v>43793</v>
      </c>
      <c r="B27332" s="3" t="s">
        <v>22028</v>
      </c>
      <c r="C27332" s="5" t="s">
        <v>45</v>
      </c>
      <c r="D27332" s="3" t="s">
        <v>221</v>
      </c>
      <c r="E27332" s="3" t="s">
        <v>767</v>
      </c>
      <c r="F27332" s="7">
        <v>46271.12924286278</v>
      </c>
      <c r="G27332" s="3" t="s">
        <v>27565</v>
      </c>
    </row>
    <row r="27333">
      <c r="A27333" s="3" t="s">
        <v>43794</v>
      </c>
      <c r="B27333" s="3" t="s">
        <v>22028</v>
      </c>
      <c r="C27333" s="5" t="s">
        <v>221</v>
      </c>
      <c r="D27333" s="3" t="s">
        <v>614</v>
      </c>
      <c r="E27333" s="3" t="s">
        <v>118</v>
      </c>
      <c r="F27333" s="7">
        <v>46271.132715085</v>
      </c>
      <c r="G27333" s="3" t="s">
        <v>27567</v>
      </c>
    </row>
    <row r="27334">
      <c r="A27334" s="3" t="s">
        <v>43795</v>
      </c>
      <c r="B27334" s="3" t="s">
        <v>22028</v>
      </c>
      <c r="C27334" s="5" t="s">
        <v>614</v>
      </c>
      <c r="D27334" s="3" t="s">
        <v>206</v>
      </c>
      <c r="E27334" s="3" t="s">
        <v>100</v>
      </c>
      <c r="F27334" s="7">
        <v>46271.136187307224</v>
      </c>
      <c r="G27334" s="3" t="s">
        <v>27569</v>
      </c>
    </row>
    <row r="27335">
      <c r="A27335" s="3" t="s">
        <v>43796</v>
      </c>
      <c r="B27335" s="3" t="s">
        <v>22028</v>
      </c>
      <c r="C27335" s="5" t="s">
        <v>206</v>
      </c>
      <c r="D27335" s="3" t="s">
        <v>68</v>
      </c>
      <c r="E27335" s="3" t="s">
        <v>100</v>
      </c>
      <c r="F27335" s="7">
        <v>46271.13965952944</v>
      </c>
      <c r="G27335" s="3" t="s">
        <v>27571</v>
      </c>
    </row>
    <row r="27336">
      <c r="A27336" s="3" t="s">
        <v>43797</v>
      </c>
      <c r="B27336" s="3" t="s">
        <v>22030</v>
      </c>
      <c r="C27336" s="5" t="s">
        <v>45</v>
      </c>
      <c r="D27336" s="3" t="s">
        <v>221</v>
      </c>
      <c r="E27336" s="3" t="s">
        <v>348</v>
      </c>
      <c r="F27336" s="7">
        <v>46271.20041770819</v>
      </c>
      <c r="G27336" s="3" t="s">
        <v>26976</v>
      </c>
    </row>
    <row r="27337">
      <c r="A27337" s="3" t="s">
        <v>43798</v>
      </c>
      <c r="B27337" s="3" t="s">
        <v>22030</v>
      </c>
      <c r="C27337" s="5" t="s">
        <v>221</v>
      </c>
      <c r="D27337" s="3" t="s">
        <v>181</v>
      </c>
      <c r="E27337" s="3" t="s">
        <v>118</v>
      </c>
      <c r="F27337" s="7">
        <v>46271.20388993041</v>
      </c>
      <c r="G27337" s="3" t="s">
        <v>43799</v>
      </c>
    </row>
    <row r="27338">
      <c r="A27338" s="3" t="s">
        <v>43800</v>
      </c>
      <c r="B27338" s="3" t="s">
        <v>22031</v>
      </c>
      <c r="C27338" s="5" t="s">
        <v>45</v>
      </c>
      <c r="D27338" s="3" t="s">
        <v>221</v>
      </c>
      <c r="E27338" s="3" t="s">
        <v>123</v>
      </c>
      <c r="F27338" s="7">
        <v>46271.27159255361</v>
      </c>
      <c r="G27338" s="3" t="s">
        <v>15327</v>
      </c>
    </row>
    <row r="27339">
      <c r="A27339" s="3" t="s">
        <v>43801</v>
      </c>
      <c r="B27339" s="3" t="s">
        <v>22031</v>
      </c>
      <c r="C27339" s="5" t="s">
        <v>221</v>
      </c>
      <c r="D27339" s="3" t="s">
        <v>614</v>
      </c>
      <c r="E27339" s="3" t="s">
        <v>118</v>
      </c>
      <c r="F27339" s="7">
        <v>46271.27506477583</v>
      </c>
      <c r="G27339" s="3" t="s">
        <v>15330</v>
      </c>
    </row>
    <row r="27340">
      <c r="A27340" s="3" t="s">
        <v>43802</v>
      </c>
      <c r="B27340" s="3" t="s">
        <v>22031</v>
      </c>
      <c r="C27340" s="5" t="s">
        <v>614</v>
      </c>
      <c r="D27340" s="3" t="s">
        <v>206</v>
      </c>
      <c r="E27340" s="3" t="s">
        <v>100</v>
      </c>
      <c r="F27340" s="7">
        <v>46271.278536998056</v>
      </c>
      <c r="G27340" s="3" t="s">
        <v>15333</v>
      </c>
    </row>
    <row r="27341">
      <c r="A27341" s="3" t="s">
        <v>43803</v>
      </c>
      <c r="B27341" s="3" t="s">
        <v>22031</v>
      </c>
      <c r="C27341" s="5" t="s">
        <v>206</v>
      </c>
      <c r="D27341" s="3" t="s">
        <v>68</v>
      </c>
      <c r="E27341" s="3" t="s">
        <v>100</v>
      </c>
      <c r="F27341" s="7">
        <v>46271.282009220275</v>
      </c>
      <c r="G27341" s="3" t="s">
        <v>15336</v>
      </c>
    </row>
    <row r="27342">
      <c r="A27342" s="3" t="s">
        <v>43804</v>
      </c>
      <c r="B27342" s="3" t="s">
        <v>22033</v>
      </c>
      <c r="C27342" s="5" t="s">
        <v>45</v>
      </c>
      <c r="D27342" s="3" t="s">
        <v>221</v>
      </c>
      <c r="E27342" s="3" t="s">
        <v>853</v>
      </c>
      <c r="F27342" s="7">
        <v>46271.34276739902</v>
      </c>
      <c r="G27342" s="3" t="s">
        <v>21414</v>
      </c>
    </row>
    <row r="27343">
      <c r="A27343" s="3" t="s">
        <v>43805</v>
      </c>
      <c r="B27343" s="3" t="s">
        <v>22033</v>
      </c>
      <c r="C27343" s="5" t="s">
        <v>221</v>
      </c>
      <c r="D27343" s="3" t="s">
        <v>614</v>
      </c>
      <c r="E27343" s="3" t="s">
        <v>118</v>
      </c>
      <c r="F27343" s="7">
        <v>46271.34623962124</v>
      </c>
      <c r="G27343" s="3" t="s">
        <v>21417</v>
      </c>
    </row>
    <row r="27344">
      <c r="A27344" s="3" t="s">
        <v>43806</v>
      </c>
      <c r="B27344" s="3" t="s">
        <v>22033</v>
      </c>
      <c r="C27344" s="5" t="s">
        <v>614</v>
      </c>
      <c r="D27344" s="3" t="s">
        <v>206</v>
      </c>
      <c r="E27344" s="3" t="s">
        <v>100</v>
      </c>
      <c r="F27344" s="7">
        <v>46271.34971184347</v>
      </c>
      <c r="G27344" s="3" t="s">
        <v>21420</v>
      </c>
    </row>
    <row r="27345">
      <c r="A27345" s="3" t="s">
        <v>43807</v>
      </c>
      <c r="B27345" s="3" t="s">
        <v>22033</v>
      </c>
      <c r="C27345" s="5" t="s">
        <v>206</v>
      </c>
      <c r="D27345" s="3" t="s">
        <v>68</v>
      </c>
      <c r="E27345" s="3" t="s">
        <v>100</v>
      </c>
      <c r="F27345" s="7">
        <v>46271.35318406569</v>
      </c>
      <c r="G27345" s="3" t="s">
        <v>21422</v>
      </c>
    </row>
    <row r="27346">
      <c r="A27346" s="3" t="s">
        <v>43808</v>
      </c>
      <c r="B27346" s="3" t="s">
        <v>22035</v>
      </c>
      <c r="C27346" s="5" t="s">
        <v>45</v>
      </c>
      <c r="D27346" s="3" t="s">
        <v>221</v>
      </c>
      <c r="E27346" s="3" t="s">
        <v>446</v>
      </c>
      <c r="F27346" s="7">
        <v>46271.413942244435</v>
      </c>
      <c r="G27346" s="3" t="s">
        <v>6408</v>
      </c>
    </row>
    <row r="27347">
      <c r="A27347" s="3" t="s">
        <v>43809</v>
      </c>
      <c r="B27347" s="3" t="s">
        <v>22035</v>
      </c>
      <c r="C27347" s="5" t="s">
        <v>221</v>
      </c>
      <c r="D27347" s="3" t="s">
        <v>614</v>
      </c>
      <c r="E27347" s="3" t="s">
        <v>118</v>
      </c>
      <c r="F27347" s="7">
        <v>46271.417414466654</v>
      </c>
      <c r="G27347" s="3" t="s">
        <v>6410</v>
      </c>
    </row>
    <row r="27348">
      <c r="A27348" s="3" t="s">
        <v>43810</v>
      </c>
      <c r="B27348" s="3" t="s">
        <v>22035</v>
      </c>
      <c r="C27348" s="5" t="s">
        <v>614</v>
      </c>
      <c r="D27348" s="3" t="s">
        <v>206</v>
      </c>
      <c r="E27348" s="3" t="s">
        <v>100</v>
      </c>
      <c r="F27348" s="7">
        <v>46271.42088668888</v>
      </c>
      <c r="G27348" s="3" t="s">
        <v>6413</v>
      </c>
    </row>
    <row r="27349">
      <c r="A27349" s="3" t="s">
        <v>43811</v>
      </c>
      <c r="B27349" s="3" t="s">
        <v>22035</v>
      </c>
      <c r="C27349" s="5" t="s">
        <v>206</v>
      </c>
      <c r="D27349" s="3" t="s">
        <v>68</v>
      </c>
      <c r="E27349" s="3" t="s">
        <v>100</v>
      </c>
      <c r="F27349" s="7">
        <v>46271.4243589111</v>
      </c>
      <c r="G27349" s="3" t="s">
        <v>6416</v>
      </c>
    </row>
    <row r="27350">
      <c r="A27350" s="3" t="s">
        <v>43812</v>
      </c>
      <c r="B27350" s="3" t="s">
        <v>22037</v>
      </c>
      <c r="C27350" s="5" t="s">
        <v>45</v>
      </c>
      <c r="D27350" s="3" t="s">
        <v>221</v>
      </c>
      <c r="E27350" s="3" t="s">
        <v>204</v>
      </c>
      <c r="F27350" s="7">
        <v>46271.485117089855</v>
      </c>
      <c r="G27350" s="3" t="s">
        <v>24654</v>
      </c>
    </row>
    <row r="27351">
      <c r="A27351" s="3" t="s">
        <v>43813</v>
      </c>
      <c r="B27351" s="3" t="s">
        <v>22037</v>
      </c>
      <c r="C27351" s="5" t="s">
        <v>221</v>
      </c>
      <c r="D27351" s="3" t="s">
        <v>614</v>
      </c>
      <c r="E27351" s="3" t="s">
        <v>118</v>
      </c>
      <c r="F27351" s="7">
        <v>46271.48858931207</v>
      </c>
      <c r="G27351" s="3" t="s">
        <v>27459</v>
      </c>
    </row>
    <row r="27352">
      <c r="A27352" s="3" t="s">
        <v>43814</v>
      </c>
      <c r="B27352" s="3" t="s">
        <v>22037</v>
      </c>
      <c r="C27352" s="5" t="s">
        <v>614</v>
      </c>
      <c r="D27352" s="3" t="s">
        <v>206</v>
      </c>
      <c r="E27352" s="3" t="s">
        <v>100</v>
      </c>
      <c r="F27352" s="7">
        <v>46271.4920615343</v>
      </c>
      <c r="G27352" s="3" t="s">
        <v>27461</v>
      </c>
    </row>
    <row r="27353">
      <c r="A27353" s="3" t="s">
        <v>43815</v>
      </c>
      <c r="B27353" s="3" t="s">
        <v>22037</v>
      </c>
      <c r="C27353" s="5" t="s">
        <v>206</v>
      </c>
      <c r="D27353" s="3" t="s">
        <v>68</v>
      </c>
      <c r="E27353" s="3" t="s">
        <v>100</v>
      </c>
      <c r="F27353" s="7">
        <v>46271.49553375652</v>
      </c>
      <c r="G27353" s="3" t="s">
        <v>27463</v>
      </c>
    </row>
    <row r="27354">
      <c r="A27354" s="3" t="s">
        <v>43816</v>
      </c>
      <c r="B27354" s="3" t="s">
        <v>22039</v>
      </c>
      <c r="C27354" s="5" t="s">
        <v>45</v>
      </c>
      <c r="D27354" s="3" t="s">
        <v>221</v>
      </c>
      <c r="E27354" s="3" t="s">
        <v>430</v>
      </c>
      <c r="F27354" s="7">
        <v>46271.556291935274</v>
      </c>
      <c r="G27354" s="3" t="s">
        <v>15361</v>
      </c>
    </row>
    <row r="27355">
      <c r="A27355" s="3" t="s">
        <v>43817</v>
      </c>
      <c r="B27355" s="3" t="s">
        <v>22039</v>
      </c>
      <c r="C27355" s="5" t="s">
        <v>221</v>
      </c>
      <c r="D27355" s="3" t="s">
        <v>614</v>
      </c>
      <c r="E27355" s="3" t="s">
        <v>118</v>
      </c>
      <c r="F27355" s="7">
        <v>46271.55976415749</v>
      </c>
      <c r="G27355" s="3" t="s">
        <v>15363</v>
      </c>
    </row>
    <row r="27356">
      <c r="A27356" s="3" t="s">
        <v>43818</v>
      </c>
      <c r="B27356" s="3" t="s">
        <v>22039</v>
      </c>
      <c r="C27356" s="5" t="s">
        <v>614</v>
      </c>
      <c r="D27356" s="3" t="s">
        <v>206</v>
      </c>
      <c r="E27356" s="3" t="s">
        <v>100</v>
      </c>
      <c r="F27356" s="7">
        <v>46271.56323637972</v>
      </c>
      <c r="G27356" s="3" t="s">
        <v>15366</v>
      </c>
    </row>
    <row r="27357">
      <c r="A27357" s="3" t="s">
        <v>43819</v>
      </c>
      <c r="B27357" s="3" t="s">
        <v>22039</v>
      </c>
      <c r="C27357" s="5" t="s">
        <v>206</v>
      </c>
      <c r="D27357" s="3" t="s">
        <v>68</v>
      </c>
      <c r="E27357" s="3" t="s">
        <v>100</v>
      </c>
      <c r="F27357" s="7">
        <v>46271.56670860194</v>
      </c>
      <c r="G27357" s="3" t="s">
        <v>15369</v>
      </c>
    </row>
    <row r="27358">
      <c r="A27358" s="3" t="s">
        <v>43820</v>
      </c>
      <c r="B27358" s="3" t="s">
        <v>22041</v>
      </c>
      <c r="C27358" s="5" t="s">
        <v>45</v>
      </c>
      <c r="D27358" s="3" t="s">
        <v>221</v>
      </c>
      <c r="E27358" s="3" t="s">
        <v>366</v>
      </c>
      <c r="F27358" s="7">
        <v>46271.62746678068</v>
      </c>
      <c r="G27358" s="3" t="s">
        <v>15383</v>
      </c>
    </row>
    <row r="27359">
      <c r="A27359" s="3" t="s">
        <v>43821</v>
      </c>
      <c r="B27359" s="3" t="s">
        <v>22041</v>
      </c>
      <c r="C27359" s="5" t="s">
        <v>221</v>
      </c>
      <c r="D27359" s="3" t="s">
        <v>614</v>
      </c>
      <c r="E27359" s="3" t="s">
        <v>118</v>
      </c>
      <c r="F27359" s="7">
        <v>46271.6309390029</v>
      </c>
      <c r="G27359" s="3" t="s">
        <v>15385</v>
      </c>
    </row>
    <row r="27360">
      <c r="A27360" s="3" t="s">
        <v>43822</v>
      </c>
      <c r="B27360" s="3" t="s">
        <v>22041</v>
      </c>
      <c r="C27360" s="5" t="s">
        <v>614</v>
      </c>
      <c r="D27360" s="3" t="s">
        <v>206</v>
      </c>
      <c r="E27360" s="3" t="s">
        <v>100</v>
      </c>
      <c r="F27360" s="7">
        <v>46271.634411225124</v>
      </c>
      <c r="G27360" s="3" t="s">
        <v>15388</v>
      </c>
    </row>
    <row r="27361">
      <c r="A27361" s="3" t="s">
        <v>43823</v>
      </c>
      <c r="B27361" s="3" t="s">
        <v>22041</v>
      </c>
      <c r="C27361" s="5" t="s">
        <v>206</v>
      </c>
      <c r="D27361" s="3" t="s">
        <v>68</v>
      </c>
      <c r="E27361" s="3" t="s">
        <v>100</v>
      </c>
      <c r="F27361" s="7">
        <v>46271.63788344734</v>
      </c>
      <c r="G27361" s="3" t="s">
        <v>15391</v>
      </c>
    </row>
    <row r="27362">
      <c r="A27362" s="3" t="s">
        <v>43824</v>
      </c>
      <c r="B27362" s="3" t="s">
        <v>22043</v>
      </c>
      <c r="C27362" s="5" t="s">
        <v>45</v>
      </c>
      <c r="D27362" s="3" t="s">
        <v>221</v>
      </c>
      <c r="E27362" s="3" t="s">
        <v>208</v>
      </c>
      <c r="F27362" s="7">
        <v>46271.6986416261</v>
      </c>
      <c r="G27362" s="3" t="s">
        <v>15394</v>
      </c>
    </row>
    <row r="27363">
      <c r="A27363" s="3" t="s">
        <v>43825</v>
      </c>
      <c r="B27363" s="3" t="s">
        <v>22043</v>
      </c>
      <c r="C27363" s="5" t="s">
        <v>221</v>
      </c>
      <c r="D27363" s="3" t="s">
        <v>614</v>
      </c>
      <c r="E27363" s="3" t="s">
        <v>118</v>
      </c>
      <c r="F27363" s="7">
        <v>46271.70211384832</v>
      </c>
      <c r="G27363" s="3" t="s">
        <v>15397</v>
      </c>
    </row>
    <row r="27364">
      <c r="A27364" s="3" t="s">
        <v>43826</v>
      </c>
      <c r="B27364" s="3" t="s">
        <v>22043</v>
      </c>
      <c r="C27364" s="5" t="s">
        <v>614</v>
      </c>
      <c r="D27364" s="3" t="s">
        <v>206</v>
      </c>
      <c r="E27364" s="3" t="s">
        <v>100</v>
      </c>
      <c r="F27364" s="7">
        <v>46271.705586070544</v>
      </c>
      <c r="G27364" s="3" t="s">
        <v>15399</v>
      </c>
    </row>
    <row r="27365">
      <c r="A27365" s="3" t="s">
        <v>43827</v>
      </c>
      <c r="B27365" s="3" t="s">
        <v>22043</v>
      </c>
      <c r="C27365" s="5" t="s">
        <v>206</v>
      </c>
      <c r="D27365" s="3" t="s">
        <v>68</v>
      </c>
      <c r="E27365" s="3" t="s">
        <v>100</v>
      </c>
      <c r="F27365" s="7">
        <v>46271.70905829276</v>
      </c>
      <c r="G27365" s="3" t="s">
        <v>15402</v>
      </c>
    </row>
    <row r="27366">
      <c r="A27366" s="3" t="s">
        <v>43828</v>
      </c>
      <c r="B27366" s="3" t="s">
        <v>22045</v>
      </c>
      <c r="C27366" s="5" t="s">
        <v>45</v>
      </c>
      <c r="D27366" s="3" t="s">
        <v>221</v>
      </c>
      <c r="E27366" s="3" t="s">
        <v>475</v>
      </c>
      <c r="F27366" s="7">
        <v>46271.76981647152</v>
      </c>
      <c r="G27366" s="3" t="s">
        <v>14747</v>
      </c>
    </row>
    <row r="27367">
      <c r="A27367" s="3" t="s">
        <v>43829</v>
      </c>
      <c r="B27367" s="3" t="s">
        <v>22045</v>
      </c>
      <c r="C27367" s="5" t="s">
        <v>221</v>
      </c>
      <c r="D27367" s="3" t="s">
        <v>614</v>
      </c>
      <c r="E27367" s="3" t="s">
        <v>118</v>
      </c>
      <c r="F27367" s="7">
        <v>46271.77328869374</v>
      </c>
      <c r="G27367" s="3" t="s">
        <v>14749</v>
      </c>
    </row>
    <row r="27368">
      <c r="A27368" s="3" t="s">
        <v>43830</v>
      </c>
      <c r="B27368" s="3" t="s">
        <v>22045</v>
      </c>
      <c r="C27368" s="5" t="s">
        <v>614</v>
      </c>
      <c r="D27368" s="3" t="s">
        <v>206</v>
      </c>
      <c r="E27368" s="3" t="s">
        <v>100</v>
      </c>
      <c r="F27368" s="7">
        <v>46271.776760915964</v>
      </c>
      <c r="G27368" s="3" t="s">
        <v>14752</v>
      </c>
    </row>
    <row r="27369">
      <c r="A27369" s="3" t="s">
        <v>43831</v>
      </c>
      <c r="B27369" s="3" t="s">
        <v>22045</v>
      </c>
      <c r="C27369" s="5" t="s">
        <v>206</v>
      </c>
      <c r="D27369" s="3" t="s">
        <v>68</v>
      </c>
      <c r="E27369" s="3" t="s">
        <v>100</v>
      </c>
      <c r="F27369" s="7">
        <v>46271.78023313818</v>
      </c>
      <c r="G27369" s="3" t="s">
        <v>14755</v>
      </c>
    </row>
    <row r="27370">
      <c r="A27370" s="3" t="s">
        <v>43832</v>
      </c>
      <c r="B27370" s="3" t="s">
        <v>22047</v>
      </c>
      <c r="C27370" s="5" t="s">
        <v>45</v>
      </c>
      <c r="D27370" s="3" t="s">
        <v>221</v>
      </c>
      <c r="E27370" s="3" t="s">
        <v>612</v>
      </c>
      <c r="F27370" s="7">
        <v>46271.84099131693</v>
      </c>
      <c r="G27370" s="3" t="s">
        <v>6396</v>
      </c>
    </row>
    <row r="27371">
      <c r="A27371" s="3" t="s">
        <v>43833</v>
      </c>
      <c r="B27371" s="3" t="s">
        <v>22047</v>
      </c>
      <c r="C27371" s="5" t="s">
        <v>221</v>
      </c>
      <c r="D27371" s="3" t="s">
        <v>614</v>
      </c>
      <c r="E27371" s="3" t="s">
        <v>118</v>
      </c>
      <c r="F27371" s="7">
        <v>46271.84446353915</v>
      </c>
      <c r="G27371" s="3" t="s">
        <v>6399</v>
      </c>
    </row>
    <row r="27372">
      <c r="A27372" s="3" t="s">
        <v>43834</v>
      </c>
      <c r="B27372" s="3" t="s">
        <v>22047</v>
      </c>
      <c r="C27372" s="5" t="s">
        <v>614</v>
      </c>
      <c r="D27372" s="3" t="s">
        <v>206</v>
      </c>
      <c r="E27372" s="3" t="s">
        <v>100</v>
      </c>
      <c r="F27372" s="7">
        <v>46271.847935761376</v>
      </c>
      <c r="G27372" s="3" t="s">
        <v>6402</v>
      </c>
    </row>
    <row r="27373">
      <c r="A27373" s="3" t="s">
        <v>43835</v>
      </c>
      <c r="B27373" s="3" t="s">
        <v>22047</v>
      </c>
      <c r="C27373" s="5" t="s">
        <v>206</v>
      </c>
      <c r="D27373" s="3" t="s">
        <v>68</v>
      </c>
      <c r="E27373" s="3" t="s">
        <v>100</v>
      </c>
      <c r="F27373" s="7">
        <v>46271.851407983595</v>
      </c>
      <c r="G27373" s="3" t="s">
        <v>6405</v>
      </c>
    </row>
    <row r="27374">
      <c r="A27374" s="3" t="s">
        <v>43836</v>
      </c>
      <c r="B27374" s="3" t="s">
        <v>22050</v>
      </c>
      <c r="C27374" s="5" t="s">
        <v>45</v>
      </c>
      <c r="D27374" s="3" t="s">
        <v>221</v>
      </c>
      <c r="E27374" s="3" t="s">
        <v>530</v>
      </c>
      <c r="F27374" s="7">
        <v>46271.91216616234</v>
      </c>
      <c r="G27374" s="3" t="s">
        <v>35969</v>
      </c>
    </row>
    <row r="27375">
      <c r="A27375" s="3" t="s">
        <v>43837</v>
      </c>
      <c r="B27375" s="3" t="s">
        <v>22050</v>
      </c>
      <c r="C27375" s="5" t="s">
        <v>221</v>
      </c>
      <c r="D27375" s="3" t="s">
        <v>614</v>
      </c>
      <c r="E27375" s="3" t="s">
        <v>118</v>
      </c>
      <c r="F27375" s="7">
        <v>46271.91563838456</v>
      </c>
      <c r="G27375" s="3" t="s">
        <v>35971</v>
      </c>
    </row>
    <row r="27376">
      <c r="A27376" s="3" t="s">
        <v>43838</v>
      </c>
      <c r="B27376" s="3" t="s">
        <v>22050</v>
      </c>
      <c r="C27376" s="5" t="s">
        <v>614</v>
      </c>
      <c r="D27376" s="3" t="s">
        <v>206</v>
      </c>
      <c r="E27376" s="3" t="s">
        <v>100</v>
      </c>
      <c r="F27376" s="7">
        <v>46271.91911060679</v>
      </c>
      <c r="G27376" s="3" t="s">
        <v>35973</v>
      </c>
    </row>
    <row r="27377">
      <c r="A27377" s="3" t="s">
        <v>43839</v>
      </c>
      <c r="B27377" s="3" t="s">
        <v>22050</v>
      </c>
      <c r="C27377" s="5" t="s">
        <v>206</v>
      </c>
      <c r="D27377" s="3" t="s">
        <v>68</v>
      </c>
      <c r="E27377" s="3" t="s">
        <v>100</v>
      </c>
      <c r="F27377" s="7">
        <v>46271.92258282901</v>
      </c>
      <c r="G27377" s="3" t="s">
        <v>35975</v>
      </c>
    </row>
    <row r="27378">
      <c r="A27378" s="3" t="s">
        <v>43840</v>
      </c>
      <c r="B27378" s="3" t="s">
        <v>22053</v>
      </c>
      <c r="C27378" s="5" t="s">
        <v>45</v>
      </c>
      <c r="D27378" s="3" t="s">
        <v>221</v>
      </c>
      <c r="E27378" s="3" t="s">
        <v>336</v>
      </c>
      <c r="F27378" s="7">
        <v>46271.98334100776</v>
      </c>
      <c r="G27378" s="3" t="s">
        <v>41129</v>
      </c>
    </row>
    <row r="27379">
      <c r="A27379" s="3" t="s">
        <v>43841</v>
      </c>
      <c r="B27379" s="3" t="s">
        <v>22053</v>
      </c>
      <c r="C27379" s="5" t="s">
        <v>221</v>
      </c>
      <c r="D27379" s="3" t="s">
        <v>614</v>
      </c>
      <c r="E27379" s="3" t="s">
        <v>118</v>
      </c>
      <c r="F27379" s="7">
        <v>46271.98681322998</v>
      </c>
      <c r="G27379" s="3" t="s">
        <v>41131</v>
      </c>
    </row>
    <row r="27380">
      <c r="A27380" s="3" t="s">
        <v>43842</v>
      </c>
      <c r="B27380" s="3" t="s">
        <v>22053</v>
      </c>
      <c r="C27380" s="5" t="s">
        <v>614</v>
      </c>
      <c r="D27380" s="3" t="s">
        <v>206</v>
      </c>
      <c r="E27380" s="3" t="s">
        <v>100</v>
      </c>
      <c r="F27380" s="7">
        <v>46271.99028545221</v>
      </c>
      <c r="G27380" s="3" t="s">
        <v>41133</v>
      </c>
    </row>
    <row r="27381">
      <c r="A27381" s="3" t="s">
        <v>43843</v>
      </c>
      <c r="B27381" s="3" t="s">
        <v>22053</v>
      </c>
      <c r="C27381" s="5" t="s">
        <v>206</v>
      </c>
      <c r="D27381" s="3" t="s">
        <v>68</v>
      </c>
      <c r="E27381" s="3" t="s">
        <v>100</v>
      </c>
      <c r="F27381" s="7">
        <v>46271.99375767443</v>
      </c>
      <c r="G27381" s="3" t="s">
        <v>41135</v>
      </c>
    </row>
    <row r="27382">
      <c r="A27382" s="3" t="s">
        <v>43844</v>
      </c>
      <c r="B27382" s="3" t="s">
        <v>22057</v>
      </c>
      <c r="C27382" s="5" t="s">
        <v>45</v>
      </c>
      <c r="D27382" s="3" t="s">
        <v>221</v>
      </c>
      <c r="E27382" s="3" t="s">
        <v>600</v>
      </c>
      <c r="F27382" s="7">
        <v>46272.054515853175</v>
      </c>
      <c r="G27382" s="3" t="s">
        <v>29555</v>
      </c>
    </row>
    <row r="27383">
      <c r="A27383" s="3" t="s">
        <v>43845</v>
      </c>
      <c r="B27383" s="3" t="s">
        <v>22057</v>
      </c>
      <c r="C27383" s="5" t="s">
        <v>221</v>
      </c>
      <c r="D27383" s="3" t="s">
        <v>614</v>
      </c>
      <c r="E27383" s="3" t="s">
        <v>118</v>
      </c>
      <c r="F27383" s="7">
        <v>46272.057988075394</v>
      </c>
      <c r="G27383" s="3" t="s">
        <v>29557</v>
      </c>
    </row>
    <row r="27384">
      <c r="A27384" s="3" t="s">
        <v>43846</v>
      </c>
      <c r="B27384" s="3" t="s">
        <v>22057</v>
      </c>
      <c r="C27384" s="5" t="s">
        <v>614</v>
      </c>
      <c r="D27384" s="3" t="s">
        <v>206</v>
      </c>
      <c r="E27384" s="3" t="s">
        <v>100</v>
      </c>
      <c r="F27384" s="7">
        <v>46272.06146029762</v>
      </c>
      <c r="G27384" s="3" t="s">
        <v>29559</v>
      </c>
    </row>
    <row r="27385">
      <c r="A27385" s="3" t="s">
        <v>43847</v>
      </c>
      <c r="B27385" s="3" t="s">
        <v>22057</v>
      </c>
      <c r="C27385" s="5" t="s">
        <v>206</v>
      </c>
      <c r="D27385" s="3" t="s">
        <v>68</v>
      </c>
      <c r="E27385" s="3" t="s">
        <v>100</v>
      </c>
      <c r="F27385" s="7">
        <v>46272.06493251984</v>
      </c>
      <c r="G27385" s="3" t="s">
        <v>29561</v>
      </c>
    </row>
    <row r="27386">
      <c r="A27386" s="3" t="s">
        <v>43848</v>
      </c>
      <c r="B27386" s="3" t="s">
        <v>22060</v>
      </c>
      <c r="C27386" s="5" t="s">
        <v>45</v>
      </c>
      <c r="D27386" s="3" t="s">
        <v>221</v>
      </c>
      <c r="E27386" s="3" t="s">
        <v>546</v>
      </c>
      <c r="F27386" s="7">
        <v>46272.12569069859</v>
      </c>
      <c r="G27386" s="3" t="s">
        <v>26464</v>
      </c>
    </row>
    <row r="27387">
      <c r="A27387" s="3" t="s">
        <v>43849</v>
      </c>
      <c r="B27387" s="3" t="s">
        <v>22060</v>
      </c>
      <c r="C27387" s="5" t="s">
        <v>221</v>
      </c>
      <c r="D27387" s="3" t="s">
        <v>614</v>
      </c>
      <c r="E27387" s="3" t="s">
        <v>118</v>
      </c>
      <c r="F27387" s="7">
        <v>46272.129162920806</v>
      </c>
      <c r="G27387" s="3" t="s">
        <v>26466</v>
      </c>
    </row>
    <row r="27388">
      <c r="A27388" s="3" t="s">
        <v>43850</v>
      </c>
      <c r="B27388" s="3" t="s">
        <v>22060</v>
      </c>
      <c r="C27388" s="5" t="s">
        <v>614</v>
      </c>
      <c r="D27388" s="3" t="s">
        <v>206</v>
      </c>
      <c r="E27388" s="3" t="s">
        <v>100</v>
      </c>
      <c r="F27388" s="7">
        <v>46272.13263514303</v>
      </c>
      <c r="G27388" s="3" t="s">
        <v>26468</v>
      </c>
    </row>
    <row r="27389">
      <c r="A27389" s="3" t="s">
        <v>43851</v>
      </c>
      <c r="B27389" s="3" t="s">
        <v>22060</v>
      </c>
      <c r="C27389" s="5" t="s">
        <v>206</v>
      </c>
      <c r="D27389" s="3" t="s">
        <v>68</v>
      </c>
      <c r="E27389" s="3" t="s">
        <v>100</v>
      </c>
      <c r="F27389" s="7">
        <v>46272.13610736525</v>
      </c>
      <c r="G27389" s="3" t="s">
        <v>26470</v>
      </c>
    </row>
    <row r="27390">
      <c r="A27390" s="3" t="s">
        <v>43852</v>
      </c>
      <c r="B27390" s="3" t="s">
        <v>22063</v>
      </c>
      <c r="C27390" s="5" t="s">
        <v>45</v>
      </c>
      <c r="D27390" s="3" t="s">
        <v>221</v>
      </c>
      <c r="E27390" s="3" t="s">
        <v>961</v>
      </c>
      <c r="F27390" s="7">
        <v>46272.19686554401</v>
      </c>
      <c r="G27390" s="3" t="s">
        <v>14421</v>
      </c>
    </row>
    <row r="27391">
      <c r="A27391" s="3" t="s">
        <v>43853</v>
      </c>
      <c r="B27391" s="3" t="s">
        <v>22063</v>
      </c>
      <c r="C27391" s="5" t="s">
        <v>221</v>
      </c>
      <c r="D27391" s="3" t="s">
        <v>614</v>
      </c>
      <c r="E27391" s="3" t="s">
        <v>118</v>
      </c>
      <c r="F27391" s="7">
        <v>46272.200337766226</v>
      </c>
      <c r="G27391" s="3" t="s">
        <v>14424</v>
      </c>
    </row>
    <row r="27392">
      <c r="A27392" s="3" t="s">
        <v>43854</v>
      </c>
      <c r="B27392" s="3" t="s">
        <v>22063</v>
      </c>
      <c r="C27392" s="5" t="s">
        <v>614</v>
      </c>
      <c r="D27392" s="3" t="s">
        <v>206</v>
      </c>
      <c r="E27392" s="3" t="s">
        <v>100</v>
      </c>
      <c r="F27392" s="7">
        <v>46272.20380998845</v>
      </c>
      <c r="G27392" s="3" t="s">
        <v>14427</v>
      </c>
    </row>
    <row r="27393">
      <c r="A27393" s="3" t="s">
        <v>43855</v>
      </c>
      <c r="B27393" s="3" t="s">
        <v>22063</v>
      </c>
      <c r="C27393" s="5" t="s">
        <v>206</v>
      </c>
      <c r="D27393" s="3" t="s">
        <v>68</v>
      </c>
      <c r="E27393" s="3" t="s">
        <v>100</v>
      </c>
      <c r="F27393" s="7">
        <v>46272.20728221067</v>
      </c>
      <c r="G27393" s="3" t="s">
        <v>14430</v>
      </c>
    </row>
    <row r="27394">
      <c r="A27394" s="3" t="s">
        <v>43856</v>
      </c>
      <c r="B27394" s="3" t="s">
        <v>22066</v>
      </c>
      <c r="C27394" s="5" t="s">
        <v>45</v>
      </c>
      <c r="D27394" s="3" t="s">
        <v>221</v>
      </c>
      <c r="E27394" s="3" t="s">
        <v>658</v>
      </c>
      <c r="F27394" s="7">
        <v>46272.26804038942</v>
      </c>
      <c r="G27394" s="3" t="s">
        <v>15405</v>
      </c>
    </row>
    <row r="27395">
      <c r="A27395" s="3" t="s">
        <v>43857</v>
      </c>
      <c r="B27395" s="3" t="s">
        <v>22066</v>
      </c>
      <c r="C27395" s="5" t="s">
        <v>221</v>
      </c>
      <c r="D27395" s="3" t="s">
        <v>614</v>
      </c>
      <c r="E27395" s="3" t="s">
        <v>118</v>
      </c>
      <c r="F27395" s="7">
        <v>46272.27151261164</v>
      </c>
      <c r="G27395" s="3" t="s">
        <v>15408</v>
      </c>
    </row>
    <row r="27396">
      <c r="A27396" s="3" t="s">
        <v>43858</v>
      </c>
      <c r="B27396" s="3" t="s">
        <v>22066</v>
      </c>
      <c r="C27396" s="5" t="s">
        <v>614</v>
      </c>
      <c r="D27396" s="3" t="s">
        <v>206</v>
      </c>
      <c r="E27396" s="3" t="s">
        <v>100</v>
      </c>
      <c r="F27396" s="7">
        <v>46272.274984833864</v>
      </c>
      <c r="G27396" s="3" t="s">
        <v>15411</v>
      </c>
    </row>
    <row r="27397">
      <c r="A27397" s="3" t="s">
        <v>43859</v>
      </c>
      <c r="B27397" s="3" t="s">
        <v>22066</v>
      </c>
      <c r="C27397" s="5" t="s">
        <v>206</v>
      </c>
      <c r="D27397" s="3" t="s">
        <v>68</v>
      </c>
      <c r="E27397" s="3" t="s">
        <v>100</v>
      </c>
      <c r="F27397" s="7">
        <v>46272.27845705608</v>
      </c>
      <c r="G27397" s="3" t="s">
        <v>15413</v>
      </c>
    </row>
    <row r="27398">
      <c r="A27398" s="3" t="s">
        <v>43860</v>
      </c>
      <c r="B27398" s="3" t="s">
        <v>22070</v>
      </c>
      <c r="C27398" s="5" t="s">
        <v>45</v>
      </c>
      <c r="D27398" s="3" t="s">
        <v>221</v>
      </c>
      <c r="E27398" s="3" t="s">
        <v>243</v>
      </c>
      <c r="F27398" s="7">
        <v>46272.33921523483</v>
      </c>
      <c r="G27398" s="3" t="s">
        <v>12781</v>
      </c>
    </row>
    <row r="27399">
      <c r="A27399" s="3" t="s">
        <v>43861</v>
      </c>
      <c r="B27399" s="3" t="s">
        <v>22070</v>
      </c>
      <c r="C27399" s="5" t="s">
        <v>221</v>
      </c>
      <c r="D27399" s="3" t="s">
        <v>614</v>
      </c>
      <c r="E27399" s="3" t="s">
        <v>118</v>
      </c>
      <c r="F27399" s="7">
        <v>46272.34268745705</v>
      </c>
      <c r="G27399" s="3" t="s">
        <v>12784</v>
      </c>
    </row>
    <row r="27400">
      <c r="A27400" s="3" t="s">
        <v>43862</v>
      </c>
      <c r="B27400" s="3" t="s">
        <v>22070</v>
      </c>
      <c r="C27400" s="5" t="s">
        <v>614</v>
      </c>
      <c r="D27400" s="3" t="s">
        <v>206</v>
      </c>
      <c r="E27400" s="3" t="s">
        <v>100</v>
      </c>
      <c r="F27400" s="7">
        <v>46272.34615967928</v>
      </c>
      <c r="G27400" s="3" t="s">
        <v>12787</v>
      </c>
    </row>
    <row r="27401">
      <c r="A27401" s="3" t="s">
        <v>43863</v>
      </c>
      <c r="B27401" s="3" t="s">
        <v>22070</v>
      </c>
      <c r="C27401" s="5" t="s">
        <v>206</v>
      </c>
      <c r="D27401" s="3" t="s">
        <v>68</v>
      </c>
      <c r="E27401" s="3" t="s">
        <v>100</v>
      </c>
      <c r="F27401" s="7">
        <v>46272.349631901496</v>
      </c>
      <c r="G27401" s="3" t="s">
        <v>12790</v>
      </c>
    </row>
    <row r="27402">
      <c r="A27402" s="3" t="s">
        <v>43864</v>
      </c>
      <c r="B27402" s="3" t="s">
        <v>22074</v>
      </c>
      <c r="C27402" s="5" t="s">
        <v>45</v>
      </c>
      <c r="D27402" s="3" t="s">
        <v>221</v>
      </c>
      <c r="E27402" s="3" t="s">
        <v>352</v>
      </c>
      <c r="F27402" s="7">
        <v>46272.41039008025</v>
      </c>
      <c r="G27402" s="3" t="s">
        <v>18951</v>
      </c>
    </row>
    <row r="27403">
      <c r="A27403" s="3" t="s">
        <v>43865</v>
      </c>
      <c r="B27403" s="3" t="s">
        <v>22074</v>
      </c>
      <c r="C27403" s="5" t="s">
        <v>221</v>
      </c>
      <c r="D27403" s="3" t="s">
        <v>195</v>
      </c>
      <c r="E27403" s="3" t="s">
        <v>352</v>
      </c>
      <c r="F27403" s="7">
        <v>46272.41386230247</v>
      </c>
      <c r="G27403" s="3" t="s">
        <v>43866</v>
      </c>
    </row>
    <row r="27404">
      <c r="A27404" s="3" t="s">
        <v>43867</v>
      </c>
      <c r="B27404" s="3" t="s">
        <v>22077</v>
      </c>
      <c r="C27404" s="5" t="s">
        <v>45</v>
      </c>
      <c r="D27404" s="3" t="s">
        <v>221</v>
      </c>
      <c r="E27404" s="3" t="s">
        <v>377</v>
      </c>
      <c r="F27404" s="7">
        <v>46272.48156492566</v>
      </c>
      <c r="G27404" s="3" t="s">
        <v>3318</v>
      </c>
    </row>
    <row r="27405">
      <c r="A27405" s="3" t="s">
        <v>43868</v>
      </c>
      <c r="B27405" s="3" t="s">
        <v>22077</v>
      </c>
      <c r="C27405" s="5" t="s">
        <v>221</v>
      </c>
      <c r="D27405" s="3" t="s">
        <v>614</v>
      </c>
      <c r="E27405" s="3" t="s">
        <v>118</v>
      </c>
      <c r="F27405" s="7">
        <v>46272.48503714788</v>
      </c>
      <c r="G27405" s="3" t="s">
        <v>3321</v>
      </c>
    </row>
    <row r="27406">
      <c r="A27406" s="3" t="s">
        <v>43869</v>
      </c>
      <c r="B27406" s="3" t="s">
        <v>22077</v>
      </c>
      <c r="C27406" s="5" t="s">
        <v>614</v>
      </c>
      <c r="D27406" s="3" t="s">
        <v>206</v>
      </c>
      <c r="E27406" s="3" t="s">
        <v>100</v>
      </c>
      <c r="F27406" s="7">
        <v>46272.48850937011</v>
      </c>
      <c r="G27406" s="3" t="s">
        <v>3324</v>
      </c>
    </row>
    <row r="27407">
      <c r="A27407" s="3" t="s">
        <v>43870</v>
      </c>
      <c r="B27407" s="3" t="s">
        <v>22077</v>
      </c>
      <c r="C27407" s="5" t="s">
        <v>206</v>
      </c>
      <c r="D27407" s="3" t="s">
        <v>68</v>
      </c>
      <c r="E27407" s="3" t="s">
        <v>100</v>
      </c>
      <c r="F27407" s="7">
        <v>46272.49198159233</v>
      </c>
      <c r="G27407" s="3" t="s">
        <v>3326</v>
      </c>
    </row>
    <row r="27408">
      <c r="A27408" s="3" t="s">
        <v>43871</v>
      </c>
      <c r="B27408" s="3" t="s">
        <v>22080</v>
      </c>
      <c r="C27408" s="5" t="s">
        <v>45</v>
      </c>
      <c r="D27408" s="3" t="s">
        <v>221</v>
      </c>
      <c r="E27408" s="3" t="s">
        <v>496</v>
      </c>
      <c r="F27408" s="7">
        <v>46272.552739771076</v>
      </c>
      <c r="G27408" s="3" t="s">
        <v>10003</v>
      </c>
    </row>
    <row r="27409">
      <c r="A27409" s="3" t="s">
        <v>43872</v>
      </c>
      <c r="B27409" s="3" t="s">
        <v>22080</v>
      </c>
      <c r="C27409" s="5" t="s">
        <v>221</v>
      </c>
      <c r="D27409" s="3" t="s">
        <v>614</v>
      </c>
      <c r="E27409" s="3" t="s">
        <v>118</v>
      </c>
      <c r="F27409" s="7">
        <v>46272.556211993295</v>
      </c>
      <c r="G27409" s="3" t="s">
        <v>10007</v>
      </c>
    </row>
    <row r="27410">
      <c r="A27410" s="3" t="s">
        <v>43873</v>
      </c>
      <c r="B27410" s="3" t="s">
        <v>22080</v>
      </c>
      <c r="C27410" s="5" t="s">
        <v>614</v>
      </c>
      <c r="D27410" s="3" t="s">
        <v>206</v>
      </c>
      <c r="E27410" s="3" t="s">
        <v>100</v>
      </c>
      <c r="F27410" s="7">
        <v>46272.55968421552</v>
      </c>
      <c r="G27410" s="3" t="s">
        <v>10010</v>
      </c>
    </row>
    <row r="27411">
      <c r="A27411" s="3" t="s">
        <v>43874</v>
      </c>
      <c r="B27411" s="3" t="s">
        <v>22080</v>
      </c>
      <c r="C27411" s="5" t="s">
        <v>206</v>
      </c>
      <c r="D27411" s="3" t="s">
        <v>68</v>
      </c>
      <c r="E27411" s="3" t="s">
        <v>100</v>
      </c>
      <c r="F27411" s="7">
        <v>46272.56315643774</v>
      </c>
      <c r="G27411" s="3" t="s">
        <v>10013</v>
      </c>
    </row>
    <row r="27412">
      <c r="A27412" s="3" t="s">
        <v>43875</v>
      </c>
      <c r="B27412" s="3" t="s">
        <v>22082</v>
      </c>
      <c r="C27412" s="5" t="s">
        <v>45</v>
      </c>
      <c r="D27412" s="3" t="s">
        <v>221</v>
      </c>
      <c r="E27412" s="3" t="s">
        <v>247</v>
      </c>
      <c r="F27412" s="7">
        <v>46272.623914616495</v>
      </c>
      <c r="G27412" s="3" t="s">
        <v>12956</v>
      </c>
    </row>
    <row r="27413">
      <c r="A27413" s="3" t="s">
        <v>43876</v>
      </c>
      <c r="B27413" s="3" t="s">
        <v>22082</v>
      </c>
      <c r="C27413" s="5" t="s">
        <v>221</v>
      </c>
      <c r="D27413" s="3" t="s">
        <v>181</v>
      </c>
      <c r="E27413" s="3" t="s">
        <v>118</v>
      </c>
      <c r="F27413" s="7">
        <v>46272.627386838714</v>
      </c>
      <c r="G27413" s="3" t="s">
        <v>43877</v>
      </c>
    </row>
    <row r="27414">
      <c r="A27414" s="3" t="s">
        <v>43878</v>
      </c>
      <c r="B27414" s="3" t="s">
        <v>22084</v>
      </c>
      <c r="C27414" s="5" t="s">
        <v>45</v>
      </c>
      <c r="D27414" s="3" t="s">
        <v>221</v>
      </c>
      <c r="E27414" s="3" t="s">
        <v>998</v>
      </c>
      <c r="F27414" s="7">
        <v>46272.695089461915</v>
      </c>
      <c r="G27414" s="3" t="s">
        <v>27484</v>
      </c>
    </row>
    <row r="27415">
      <c r="A27415" s="3" t="s">
        <v>43879</v>
      </c>
      <c r="B27415" s="3" t="s">
        <v>22084</v>
      </c>
      <c r="C27415" s="5" t="s">
        <v>221</v>
      </c>
      <c r="D27415" s="3" t="s">
        <v>614</v>
      </c>
      <c r="E27415" s="3" t="s">
        <v>118</v>
      </c>
      <c r="F27415" s="7">
        <v>46272.698561684134</v>
      </c>
      <c r="G27415" s="3" t="s">
        <v>27486</v>
      </c>
    </row>
    <row r="27416">
      <c r="A27416" s="3" t="s">
        <v>43880</v>
      </c>
      <c r="B27416" s="3" t="s">
        <v>22084</v>
      </c>
      <c r="C27416" s="5" t="s">
        <v>614</v>
      </c>
      <c r="D27416" s="3" t="s">
        <v>206</v>
      </c>
      <c r="E27416" s="3" t="s">
        <v>100</v>
      </c>
      <c r="F27416" s="7">
        <v>46272.70203390636</v>
      </c>
      <c r="G27416" s="3" t="s">
        <v>27488</v>
      </c>
    </row>
    <row r="27417">
      <c r="A27417" s="3" t="s">
        <v>43881</v>
      </c>
      <c r="B27417" s="3" t="s">
        <v>22084</v>
      </c>
      <c r="C27417" s="5" t="s">
        <v>206</v>
      </c>
      <c r="D27417" s="3" t="s">
        <v>68</v>
      </c>
      <c r="E27417" s="3" t="s">
        <v>100</v>
      </c>
      <c r="F27417" s="7">
        <v>46272.70550612858</v>
      </c>
      <c r="G27417" s="3" t="s">
        <v>27490</v>
      </c>
    </row>
    <row r="27418">
      <c r="A27418" s="3" t="s">
        <v>43882</v>
      </c>
      <c r="B27418" s="3" t="s">
        <v>22086</v>
      </c>
      <c r="C27418" s="5" t="s">
        <v>45</v>
      </c>
      <c r="D27418" s="3" t="s">
        <v>221</v>
      </c>
      <c r="E27418" s="3" t="s">
        <v>990</v>
      </c>
      <c r="F27418" s="7">
        <v>46272.76626430732</v>
      </c>
      <c r="G27418" s="3" t="s">
        <v>41322</v>
      </c>
    </row>
    <row r="27419">
      <c r="A27419" s="3" t="s">
        <v>43883</v>
      </c>
      <c r="B27419" s="3" t="s">
        <v>22086</v>
      </c>
      <c r="C27419" s="5" t="s">
        <v>221</v>
      </c>
      <c r="D27419" s="3" t="s">
        <v>614</v>
      </c>
      <c r="E27419" s="3" t="s">
        <v>118</v>
      </c>
      <c r="F27419" s="7">
        <v>46272.76973652954</v>
      </c>
      <c r="G27419" s="3" t="s">
        <v>41324</v>
      </c>
    </row>
    <row r="27420">
      <c r="A27420" s="3" t="s">
        <v>43884</v>
      </c>
      <c r="B27420" s="3" t="s">
        <v>22086</v>
      </c>
      <c r="C27420" s="5" t="s">
        <v>614</v>
      </c>
      <c r="D27420" s="3" t="s">
        <v>206</v>
      </c>
      <c r="E27420" s="3" t="s">
        <v>100</v>
      </c>
      <c r="F27420" s="7">
        <v>46272.773208751765</v>
      </c>
      <c r="G27420" s="3" t="s">
        <v>41326</v>
      </c>
    </row>
    <row r="27421">
      <c r="A27421" s="3" t="s">
        <v>43885</v>
      </c>
      <c r="B27421" s="3" t="s">
        <v>22086</v>
      </c>
      <c r="C27421" s="5" t="s">
        <v>206</v>
      </c>
      <c r="D27421" s="3" t="s">
        <v>68</v>
      </c>
      <c r="E27421" s="3" t="s">
        <v>100</v>
      </c>
      <c r="F27421" s="7">
        <v>46272.776680973984</v>
      </c>
      <c r="G27421" s="3" t="s">
        <v>41328</v>
      </c>
    </row>
    <row r="27422">
      <c r="A27422" s="3" t="s">
        <v>43886</v>
      </c>
      <c r="B27422" s="3" t="s">
        <v>22088</v>
      </c>
      <c r="C27422" s="5" t="s">
        <v>45</v>
      </c>
      <c r="D27422" s="3" t="s">
        <v>221</v>
      </c>
      <c r="E27422" s="3" t="s">
        <v>811</v>
      </c>
      <c r="F27422" s="7">
        <v>46272.83743915274</v>
      </c>
      <c r="G27422" s="3" t="s">
        <v>25401</v>
      </c>
    </row>
    <row r="27423">
      <c r="A27423" s="3" t="s">
        <v>43887</v>
      </c>
      <c r="B27423" s="3" t="s">
        <v>22088</v>
      </c>
      <c r="C27423" s="5" t="s">
        <v>221</v>
      </c>
      <c r="D27423" s="3" t="s">
        <v>614</v>
      </c>
      <c r="E27423" s="3" t="s">
        <v>118</v>
      </c>
      <c r="F27423" s="7">
        <v>46272.84091137496</v>
      </c>
      <c r="G27423" s="3" t="s">
        <v>25403</v>
      </c>
    </row>
    <row r="27424">
      <c r="A27424" s="3" t="s">
        <v>43888</v>
      </c>
      <c r="B27424" s="3" t="s">
        <v>22088</v>
      </c>
      <c r="C27424" s="5" t="s">
        <v>614</v>
      </c>
      <c r="D27424" s="3" t="s">
        <v>206</v>
      </c>
      <c r="E27424" s="3" t="s">
        <v>100</v>
      </c>
      <c r="F27424" s="7">
        <v>46272.844383597185</v>
      </c>
      <c r="G27424" s="3" t="s">
        <v>25405</v>
      </c>
    </row>
    <row r="27425">
      <c r="A27425" s="3" t="s">
        <v>43889</v>
      </c>
      <c r="B27425" s="3" t="s">
        <v>22088</v>
      </c>
      <c r="C27425" s="5" t="s">
        <v>206</v>
      </c>
      <c r="D27425" s="3" t="s">
        <v>68</v>
      </c>
      <c r="E27425" s="3" t="s">
        <v>100</v>
      </c>
      <c r="F27425" s="7">
        <v>46272.847855819404</v>
      </c>
      <c r="G27425" s="3" t="s">
        <v>25407</v>
      </c>
    </row>
    <row r="27426">
      <c r="A27426" s="3" t="s">
        <v>43890</v>
      </c>
      <c r="B27426" s="3" t="s">
        <v>22091</v>
      </c>
      <c r="C27426" s="5" t="s">
        <v>45</v>
      </c>
      <c r="D27426" s="3" t="s">
        <v>221</v>
      </c>
      <c r="E27426" s="3" t="s">
        <v>587</v>
      </c>
      <c r="F27426" s="7">
        <v>46272.90861399816</v>
      </c>
      <c r="G27426" s="3" t="s">
        <v>13891</v>
      </c>
    </row>
    <row r="27427">
      <c r="A27427" s="3" t="s">
        <v>43891</v>
      </c>
      <c r="B27427" s="3" t="s">
        <v>22091</v>
      </c>
      <c r="C27427" s="5" t="s">
        <v>221</v>
      </c>
      <c r="D27427" s="3" t="s">
        <v>195</v>
      </c>
      <c r="E27427" s="3" t="s">
        <v>587</v>
      </c>
      <c r="F27427" s="7">
        <v>46272.91208622038</v>
      </c>
      <c r="G27427" s="3" t="s">
        <v>43892</v>
      </c>
    </row>
    <row r="27428">
      <c r="A27428" s="3" t="s">
        <v>43893</v>
      </c>
      <c r="B27428" s="3" t="s">
        <v>22093</v>
      </c>
      <c r="C27428" s="5" t="s">
        <v>45</v>
      </c>
      <c r="D27428" s="3" t="s">
        <v>221</v>
      </c>
      <c r="E27428" s="3" t="s">
        <v>916</v>
      </c>
      <c r="F27428" s="7">
        <v>46272.97978884357</v>
      </c>
      <c r="G27428" s="3" t="s">
        <v>15439</v>
      </c>
    </row>
    <row r="27429">
      <c r="A27429" s="3" t="s">
        <v>43894</v>
      </c>
      <c r="B27429" s="3" t="s">
        <v>22093</v>
      </c>
      <c r="C27429" s="5" t="s">
        <v>221</v>
      </c>
      <c r="D27429" s="3" t="s">
        <v>614</v>
      </c>
      <c r="E27429" s="3" t="s">
        <v>118</v>
      </c>
      <c r="F27429" s="7">
        <v>46272.98326106579</v>
      </c>
      <c r="G27429" s="3" t="s">
        <v>15441</v>
      </c>
    </row>
    <row r="27430">
      <c r="A27430" s="3" t="s">
        <v>43895</v>
      </c>
      <c r="B27430" s="3" t="s">
        <v>22093</v>
      </c>
      <c r="C27430" s="5" t="s">
        <v>614</v>
      </c>
      <c r="D27430" s="3" t="s">
        <v>206</v>
      </c>
      <c r="E27430" s="3" t="s">
        <v>100</v>
      </c>
      <c r="F27430" s="7">
        <v>46272.98673328802</v>
      </c>
      <c r="G27430" s="3" t="s">
        <v>15444</v>
      </c>
    </row>
    <row r="27431">
      <c r="A27431" s="3" t="s">
        <v>43896</v>
      </c>
      <c r="B27431" s="3" t="s">
        <v>22093</v>
      </c>
      <c r="C27431" s="5" t="s">
        <v>206</v>
      </c>
      <c r="D27431" s="3" t="s">
        <v>68</v>
      </c>
      <c r="E27431" s="3" t="s">
        <v>100</v>
      </c>
      <c r="F27431" s="7">
        <v>46272.990205510236</v>
      </c>
      <c r="G27431" s="3" t="s">
        <v>15447</v>
      </c>
    </row>
    <row r="27432">
      <c r="A27432" s="3" t="s">
        <v>43897</v>
      </c>
      <c r="B27432" s="3" t="s">
        <v>22095</v>
      </c>
      <c r="C27432" s="5" t="s">
        <v>45</v>
      </c>
      <c r="D27432" s="3" t="s">
        <v>221</v>
      </c>
      <c r="E27432" s="3" t="s">
        <v>631</v>
      </c>
      <c r="F27432" s="7">
        <v>46273.050963688984</v>
      </c>
      <c r="G27432" s="3" t="s">
        <v>20022</v>
      </c>
    </row>
    <row r="27433">
      <c r="A27433" s="3" t="s">
        <v>43898</v>
      </c>
      <c r="B27433" s="3" t="s">
        <v>22095</v>
      </c>
      <c r="C27433" s="5" t="s">
        <v>221</v>
      </c>
      <c r="D27433" s="3" t="s">
        <v>614</v>
      </c>
      <c r="E27433" s="3" t="s">
        <v>118</v>
      </c>
      <c r="F27433" s="7">
        <v>46273.0544359112</v>
      </c>
      <c r="G27433" s="3" t="s">
        <v>20024</v>
      </c>
    </row>
    <row r="27434">
      <c r="A27434" s="3" t="s">
        <v>43899</v>
      </c>
      <c r="B27434" s="3" t="s">
        <v>22095</v>
      </c>
      <c r="C27434" s="5" t="s">
        <v>614</v>
      </c>
      <c r="D27434" s="3" t="s">
        <v>206</v>
      </c>
      <c r="E27434" s="3" t="s">
        <v>100</v>
      </c>
      <c r="F27434" s="7">
        <v>46273.05790813343</v>
      </c>
      <c r="G27434" s="3" t="s">
        <v>20027</v>
      </c>
    </row>
    <row r="27435">
      <c r="A27435" s="3" t="s">
        <v>43900</v>
      </c>
      <c r="B27435" s="3" t="s">
        <v>22095</v>
      </c>
      <c r="C27435" s="5" t="s">
        <v>206</v>
      </c>
      <c r="D27435" s="3" t="s">
        <v>68</v>
      </c>
      <c r="E27435" s="3" t="s">
        <v>100</v>
      </c>
      <c r="F27435" s="7">
        <v>46273.06138035565</v>
      </c>
      <c r="G27435" s="3" t="s">
        <v>20030</v>
      </c>
    </row>
    <row r="27436">
      <c r="A27436" s="3" t="s">
        <v>43901</v>
      </c>
      <c r="B27436" s="3" t="s">
        <v>22097</v>
      </c>
      <c r="C27436" s="5" t="s">
        <v>45</v>
      </c>
      <c r="D27436" s="3" t="s">
        <v>221</v>
      </c>
      <c r="E27436" s="3" t="s">
        <v>293</v>
      </c>
      <c r="F27436" s="7">
        <v>46273.1221385344</v>
      </c>
      <c r="G27436" s="3" t="s">
        <v>15457</v>
      </c>
    </row>
    <row r="27437">
      <c r="A27437" s="3" t="s">
        <v>43902</v>
      </c>
      <c r="B27437" s="3" t="s">
        <v>22097</v>
      </c>
      <c r="C27437" s="5" t="s">
        <v>221</v>
      </c>
      <c r="D27437" s="3" t="s">
        <v>614</v>
      </c>
      <c r="E27437" s="3" t="s">
        <v>118</v>
      </c>
      <c r="F27437" s="7">
        <v>46273.12561075662</v>
      </c>
      <c r="G27437" s="3" t="s">
        <v>15460</v>
      </c>
    </row>
    <row r="27438">
      <c r="A27438" s="3" t="s">
        <v>43903</v>
      </c>
      <c r="B27438" s="3" t="s">
        <v>22097</v>
      </c>
      <c r="C27438" s="5" t="s">
        <v>614</v>
      </c>
      <c r="D27438" s="3" t="s">
        <v>206</v>
      </c>
      <c r="E27438" s="3" t="s">
        <v>100</v>
      </c>
      <c r="F27438" s="7">
        <v>46273.12908297885</v>
      </c>
      <c r="G27438" s="3" t="s">
        <v>15463</v>
      </c>
    </row>
    <row r="27439">
      <c r="A27439" s="3" t="s">
        <v>43904</v>
      </c>
      <c r="B27439" s="3" t="s">
        <v>22097</v>
      </c>
      <c r="C27439" s="5" t="s">
        <v>206</v>
      </c>
      <c r="D27439" s="3" t="s">
        <v>68</v>
      </c>
      <c r="E27439" s="3" t="s">
        <v>100</v>
      </c>
      <c r="F27439" s="7">
        <v>46273.13255520107</v>
      </c>
      <c r="G27439" s="3" t="s">
        <v>15466</v>
      </c>
    </row>
    <row r="27440">
      <c r="A27440" s="3" t="s">
        <v>43905</v>
      </c>
      <c r="B27440" s="3" t="s">
        <v>22099</v>
      </c>
      <c r="C27440" s="5" t="s">
        <v>45</v>
      </c>
      <c r="D27440" s="3" t="s">
        <v>221</v>
      </c>
      <c r="E27440" s="3" t="s">
        <v>1030</v>
      </c>
      <c r="F27440" s="7">
        <v>46273.193313379816</v>
      </c>
      <c r="G27440" s="3" t="s">
        <v>15509</v>
      </c>
    </row>
    <row r="27441">
      <c r="A27441" s="3" t="s">
        <v>43906</v>
      </c>
      <c r="B27441" s="3" t="s">
        <v>22099</v>
      </c>
      <c r="C27441" s="5" t="s">
        <v>221</v>
      </c>
      <c r="D27441" s="3" t="s">
        <v>614</v>
      </c>
      <c r="E27441" s="3" t="s">
        <v>118</v>
      </c>
      <c r="F27441" s="7">
        <v>46273.196785602035</v>
      </c>
      <c r="G27441" s="3" t="s">
        <v>15512</v>
      </c>
    </row>
    <row r="27442">
      <c r="A27442" s="3" t="s">
        <v>43907</v>
      </c>
      <c r="B27442" s="3" t="s">
        <v>22099</v>
      </c>
      <c r="C27442" s="5" t="s">
        <v>614</v>
      </c>
      <c r="D27442" s="3" t="s">
        <v>206</v>
      </c>
      <c r="E27442" s="3" t="s">
        <v>100</v>
      </c>
      <c r="F27442" s="7">
        <v>46273.20025782426</v>
      </c>
      <c r="G27442" s="3" t="s">
        <v>15515</v>
      </c>
    </row>
    <row r="27443">
      <c r="A27443" s="3" t="s">
        <v>43908</v>
      </c>
      <c r="B27443" s="3" t="s">
        <v>22099</v>
      </c>
      <c r="C27443" s="5" t="s">
        <v>206</v>
      </c>
      <c r="D27443" s="3" t="s">
        <v>68</v>
      </c>
      <c r="E27443" s="3" t="s">
        <v>100</v>
      </c>
      <c r="F27443" s="7">
        <v>46273.20373004648</v>
      </c>
      <c r="G27443" s="3" t="s">
        <v>15517</v>
      </c>
    </row>
    <row r="27444">
      <c r="A27444" s="3" t="s">
        <v>43909</v>
      </c>
      <c r="B27444" s="3" t="s">
        <v>22101</v>
      </c>
      <c r="C27444" s="5" t="s">
        <v>45</v>
      </c>
      <c r="D27444" s="3" t="s">
        <v>221</v>
      </c>
      <c r="E27444" s="3" t="s">
        <v>202</v>
      </c>
      <c r="F27444" s="7">
        <v>46273.26448822523</v>
      </c>
      <c r="G27444" s="3" t="s">
        <v>15704</v>
      </c>
    </row>
    <row r="27445">
      <c r="A27445" s="3" t="s">
        <v>43910</v>
      </c>
      <c r="B27445" s="3" t="s">
        <v>22101</v>
      </c>
      <c r="C27445" s="5" t="s">
        <v>221</v>
      </c>
      <c r="D27445" s="3" t="s">
        <v>614</v>
      </c>
      <c r="E27445" s="3" t="s">
        <v>118</v>
      </c>
      <c r="F27445" s="7">
        <v>46273.26796044745</v>
      </c>
      <c r="G27445" s="3" t="s">
        <v>15707</v>
      </c>
    </row>
    <row r="27446">
      <c r="A27446" s="3" t="s">
        <v>43911</v>
      </c>
      <c r="B27446" s="3" t="s">
        <v>22101</v>
      </c>
      <c r="C27446" s="5" t="s">
        <v>614</v>
      </c>
      <c r="D27446" s="3" t="s">
        <v>206</v>
      </c>
      <c r="E27446" s="3" t="s">
        <v>100</v>
      </c>
      <c r="F27446" s="7">
        <v>46273.27143266967</v>
      </c>
      <c r="G27446" s="3" t="s">
        <v>15710</v>
      </c>
    </row>
    <row r="27447">
      <c r="A27447" s="3" t="s">
        <v>43912</v>
      </c>
      <c r="B27447" s="3" t="s">
        <v>22101</v>
      </c>
      <c r="C27447" s="5" t="s">
        <v>206</v>
      </c>
      <c r="D27447" s="3" t="s">
        <v>68</v>
      </c>
      <c r="E27447" s="3" t="s">
        <v>100</v>
      </c>
      <c r="F27447" s="7">
        <v>46273.27490489189</v>
      </c>
      <c r="G27447" s="3" t="s">
        <v>15713</v>
      </c>
    </row>
    <row r="27448">
      <c r="A27448" s="3" t="s">
        <v>43913</v>
      </c>
      <c r="B27448" s="3" t="s">
        <v>22104</v>
      </c>
      <c r="C27448" s="5" t="s">
        <v>45</v>
      </c>
      <c r="D27448" s="3" t="s">
        <v>221</v>
      </c>
      <c r="E27448" s="3" t="s">
        <v>302</v>
      </c>
      <c r="F27448" s="7">
        <v>46273.33566307065</v>
      </c>
      <c r="G27448" s="3" t="s">
        <v>25231</v>
      </c>
    </row>
    <row r="27449">
      <c r="A27449" s="3" t="s">
        <v>43914</v>
      </c>
      <c r="B27449" s="3" t="s">
        <v>22104</v>
      </c>
      <c r="C27449" s="5" t="s">
        <v>221</v>
      </c>
      <c r="D27449" s="3" t="s">
        <v>614</v>
      </c>
      <c r="E27449" s="3" t="s">
        <v>118</v>
      </c>
      <c r="F27449" s="7">
        <v>46273.33913529287</v>
      </c>
      <c r="G27449" s="3" t="s">
        <v>25233</v>
      </c>
    </row>
    <row r="27450">
      <c r="A27450" s="3" t="s">
        <v>43915</v>
      </c>
      <c r="B27450" s="3" t="s">
        <v>22104</v>
      </c>
      <c r="C27450" s="5" t="s">
        <v>614</v>
      </c>
      <c r="D27450" s="3" t="s">
        <v>206</v>
      </c>
      <c r="E27450" s="3" t="s">
        <v>100</v>
      </c>
      <c r="F27450" s="7">
        <v>46273.34260751509</v>
      </c>
      <c r="G27450" s="3" t="s">
        <v>25235</v>
      </c>
    </row>
    <row r="27451">
      <c r="A27451" s="3" t="s">
        <v>43916</v>
      </c>
      <c r="B27451" s="3" t="s">
        <v>22104</v>
      </c>
      <c r="C27451" s="5" t="s">
        <v>206</v>
      </c>
      <c r="D27451" s="3" t="s">
        <v>68</v>
      </c>
      <c r="E27451" s="3" t="s">
        <v>100</v>
      </c>
      <c r="F27451" s="7">
        <v>46273.34607973731</v>
      </c>
      <c r="G27451" s="3" t="s">
        <v>25237</v>
      </c>
    </row>
    <row r="27452">
      <c r="A27452" s="3" t="s">
        <v>43917</v>
      </c>
      <c r="B27452" s="3" t="s">
        <v>22106</v>
      </c>
      <c r="C27452" s="5" t="s">
        <v>45</v>
      </c>
      <c r="D27452" s="3" t="s">
        <v>221</v>
      </c>
      <c r="E27452" s="3" t="s">
        <v>877</v>
      </c>
      <c r="F27452" s="7">
        <v>46273.40683791607</v>
      </c>
      <c r="G27452" s="3" t="s">
        <v>42798</v>
      </c>
    </row>
    <row r="27453">
      <c r="A27453" s="3" t="s">
        <v>43918</v>
      </c>
      <c r="B27453" s="3" t="s">
        <v>22106</v>
      </c>
      <c r="C27453" s="5" t="s">
        <v>221</v>
      </c>
      <c r="D27453" s="3" t="s">
        <v>614</v>
      </c>
      <c r="E27453" s="3" t="s">
        <v>118</v>
      </c>
      <c r="F27453" s="7">
        <v>46273.410310138286</v>
      </c>
      <c r="G27453" s="3" t="s">
        <v>42800</v>
      </c>
    </row>
    <row r="27454">
      <c r="A27454" s="3" t="s">
        <v>43919</v>
      </c>
      <c r="B27454" s="3" t="s">
        <v>22106</v>
      </c>
      <c r="C27454" s="5" t="s">
        <v>614</v>
      </c>
      <c r="D27454" s="3" t="s">
        <v>206</v>
      </c>
      <c r="E27454" s="3" t="s">
        <v>100</v>
      </c>
      <c r="F27454" s="7">
        <v>46273.41378236051</v>
      </c>
      <c r="G27454" s="3" t="s">
        <v>42802</v>
      </c>
    </row>
    <row r="27455">
      <c r="A27455" s="3" t="s">
        <v>43920</v>
      </c>
      <c r="B27455" s="3" t="s">
        <v>22106</v>
      </c>
      <c r="C27455" s="5" t="s">
        <v>206</v>
      </c>
      <c r="D27455" s="3" t="s">
        <v>68</v>
      </c>
      <c r="E27455" s="3" t="s">
        <v>100</v>
      </c>
      <c r="F27455" s="7">
        <v>46273.41725458273</v>
      </c>
      <c r="G27455" s="3" t="s">
        <v>42804</v>
      </c>
    </row>
    <row r="27456">
      <c r="A27456" s="3" t="s">
        <v>43921</v>
      </c>
      <c r="B27456" s="3" t="s">
        <v>22108</v>
      </c>
      <c r="C27456" s="5" t="s">
        <v>45</v>
      </c>
      <c r="D27456" s="3" t="s">
        <v>221</v>
      </c>
      <c r="E27456" s="3" t="s">
        <v>811</v>
      </c>
      <c r="F27456" s="7">
        <v>46273.47801276147</v>
      </c>
      <c r="G27456" s="3" t="s">
        <v>25401</v>
      </c>
    </row>
    <row r="27457">
      <c r="A27457" s="3" t="s">
        <v>43922</v>
      </c>
      <c r="B27457" s="3" t="s">
        <v>22108</v>
      </c>
      <c r="C27457" s="5" t="s">
        <v>221</v>
      </c>
      <c r="D27457" s="3" t="s">
        <v>614</v>
      </c>
      <c r="E27457" s="3" t="s">
        <v>118</v>
      </c>
      <c r="F27457" s="7">
        <v>46273.48148498369</v>
      </c>
      <c r="G27457" s="3" t="s">
        <v>25403</v>
      </c>
    </row>
    <row r="27458">
      <c r="A27458" s="3" t="s">
        <v>43923</v>
      </c>
      <c r="B27458" s="3" t="s">
        <v>22108</v>
      </c>
      <c r="C27458" s="5" t="s">
        <v>614</v>
      </c>
      <c r="D27458" s="3" t="s">
        <v>206</v>
      </c>
      <c r="E27458" s="3" t="s">
        <v>100</v>
      </c>
      <c r="F27458" s="7">
        <v>46273.48495720592</v>
      </c>
      <c r="G27458" s="3" t="s">
        <v>25405</v>
      </c>
    </row>
    <row r="27459">
      <c r="A27459" s="3" t="s">
        <v>43924</v>
      </c>
      <c r="B27459" s="3" t="s">
        <v>22108</v>
      </c>
      <c r="C27459" s="5" t="s">
        <v>206</v>
      </c>
      <c r="D27459" s="3" t="s">
        <v>68</v>
      </c>
      <c r="E27459" s="3" t="s">
        <v>100</v>
      </c>
      <c r="F27459" s="7">
        <v>46273.48842942814</v>
      </c>
      <c r="G27459" s="3" t="s">
        <v>25407</v>
      </c>
    </row>
    <row r="27460">
      <c r="A27460" s="3" t="s">
        <v>43925</v>
      </c>
      <c r="B27460" s="3" t="s">
        <v>22110</v>
      </c>
      <c r="C27460" s="5" t="s">
        <v>45</v>
      </c>
      <c r="D27460" s="3" t="s">
        <v>221</v>
      </c>
      <c r="E27460" s="3" t="s">
        <v>510</v>
      </c>
      <c r="F27460" s="7">
        <v>46273.54918760689</v>
      </c>
      <c r="G27460" s="3" t="s">
        <v>25413</v>
      </c>
    </row>
    <row r="27461">
      <c r="A27461" s="3" t="s">
        <v>43926</v>
      </c>
      <c r="B27461" s="3" t="s">
        <v>22110</v>
      </c>
      <c r="C27461" s="5" t="s">
        <v>221</v>
      </c>
      <c r="D27461" s="3" t="s">
        <v>614</v>
      </c>
      <c r="E27461" s="3" t="s">
        <v>118</v>
      </c>
      <c r="F27461" s="7">
        <v>46273.55265982911</v>
      </c>
      <c r="G27461" s="3" t="s">
        <v>25415</v>
      </c>
    </row>
    <row r="27462">
      <c r="A27462" s="3" t="s">
        <v>43927</v>
      </c>
      <c r="B27462" s="3" t="s">
        <v>22110</v>
      </c>
      <c r="C27462" s="5" t="s">
        <v>614</v>
      </c>
      <c r="D27462" s="3" t="s">
        <v>206</v>
      </c>
      <c r="E27462" s="3" t="s">
        <v>100</v>
      </c>
      <c r="F27462" s="7">
        <v>46273.55613205134</v>
      </c>
      <c r="G27462" s="3" t="s">
        <v>25417</v>
      </c>
    </row>
    <row r="27463">
      <c r="A27463" s="3" t="s">
        <v>43928</v>
      </c>
      <c r="B27463" s="3" t="s">
        <v>22110</v>
      </c>
      <c r="C27463" s="5" t="s">
        <v>206</v>
      </c>
      <c r="D27463" s="3" t="s">
        <v>68</v>
      </c>
      <c r="E27463" s="3" t="s">
        <v>100</v>
      </c>
      <c r="F27463" s="7">
        <v>46273.559604273556</v>
      </c>
      <c r="G27463" s="3" t="s">
        <v>25419</v>
      </c>
    </row>
    <row r="27464">
      <c r="A27464" s="3" t="s">
        <v>43929</v>
      </c>
      <c r="B27464" s="3" t="s">
        <v>22112</v>
      </c>
      <c r="C27464" s="5" t="s">
        <v>45</v>
      </c>
      <c r="D27464" s="3" t="s">
        <v>221</v>
      </c>
      <c r="E27464" s="3" t="s">
        <v>752</v>
      </c>
      <c r="F27464" s="7">
        <v>46273.620362452304</v>
      </c>
      <c r="G27464" s="3" t="s">
        <v>20898</v>
      </c>
    </row>
    <row r="27465">
      <c r="A27465" s="3" t="s">
        <v>43930</v>
      </c>
      <c r="B27465" s="3" t="s">
        <v>22112</v>
      </c>
      <c r="C27465" s="5" t="s">
        <v>221</v>
      </c>
      <c r="D27465" s="3" t="s">
        <v>614</v>
      </c>
      <c r="E27465" s="3" t="s">
        <v>118</v>
      </c>
      <c r="F27465" s="7">
        <v>46273.62383467452</v>
      </c>
      <c r="G27465" s="3" t="s">
        <v>20901</v>
      </c>
    </row>
    <row r="27466">
      <c r="A27466" s="3" t="s">
        <v>43931</v>
      </c>
      <c r="B27466" s="3" t="s">
        <v>22112</v>
      </c>
      <c r="C27466" s="5" t="s">
        <v>614</v>
      </c>
      <c r="D27466" s="3" t="s">
        <v>206</v>
      </c>
      <c r="E27466" s="3" t="s">
        <v>100</v>
      </c>
      <c r="F27466" s="7">
        <v>46273.62730689675</v>
      </c>
      <c r="G27466" s="3" t="s">
        <v>20904</v>
      </c>
    </row>
    <row r="27467">
      <c r="A27467" s="3" t="s">
        <v>43932</v>
      </c>
      <c r="B27467" s="3" t="s">
        <v>22112</v>
      </c>
      <c r="C27467" s="5" t="s">
        <v>206</v>
      </c>
      <c r="D27467" s="3" t="s">
        <v>68</v>
      </c>
      <c r="E27467" s="3" t="s">
        <v>100</v>
      </c>
      <c r="F27467" s="7">
        <v>46273.63077911897</v>
      </c>
      <c r="G27467" s="3" t="s">
        <v>20907</v>
      </c>
    </row>
    <row r="27468">
      <c r="A27468" s="3" t="s">
        <v>43933</v>
      </c>
      <c r="B27468" s="3" t="s">
        <v>22114</v>
      </c>
      <c r="C27468" s="5" t="s">
        <v>45</v>
      </c>
      <c r="D27468" s="3" t="s">
        <v>221</v>
      </c>
      <c r="E27468" s="3" t="s">
        <v>424</v>
      </c>
      <c r="F27468" s="7">
        <v>46273.691537297724</v>
      </c>
      <c r="G27468" s="3" t="s">
        <v>19895</v>
      </c>
    </row>
    <row r="27469">
      <c r="A27469" s="3" t="s">
        <v>43934</v>
      </c>
      <c r="B27469" s="3" t="s">
        <v>22114</v>
      </c>
      <c r="C27469" s="5" t="s">
        <v>221</v>
      </c>
      <c r="D27469" s="3" t="s">
        <v>614</v>
      </c>
      <c r="E27469" s="3" t="s">
        <v>118</v>
      </c>
      <c r="F27469" s="7">
        <v>46273.69500951994</v>
      </c>
      <c r="G27469" s="3" t="s">
        <v>19897</v>
      </c>
    </row>
    <row r="27470">
      <c r="A27470" s="3" t="s">
        <v>43935</v>
      </c>
      <c r="B27470" s="3" t="s">
        <v>22114</v>
      </c>
      <c r="C27470" s="5" t="s">
        <v>614</v>
      </c>
      <c r="D27470" s="3" t="s">
        <v>206</v>
      </c>
      <c r="E27470" s="3" t="s">
        <v>100</v>
      </c>
      <c r="F27470" s="7">
        <v>46273.69848174217</v>
      </c>
      <c r="G27470" s="3" t="s">
        <v>19900</v>
      </c>
    </row>
    <row r="27471">
      <c r="A27471" s="3" t="s">
        <v>43936</v>
      </c>
      <c r="B27471" s="3" t="s">
        <v>22114</v>
      </c>
      <c r="C27471" s="5" t="s">
        <v>206</v>
      </c>
      <c r="D27471" s="3" t="s">
        <v>68</v>
      </c>
      <c r="E27471" s="3" t="s">
        <v>100</v>
      </c>
      <c r="F27471" s="7">
        <v>46273.70195396439</v>
      </c>
      <c r="G27471" s="3" t="s">
        <v>19903</v>
      </c>
    </row>
    <row r="27472">
      <c r="A27472" s="3" t="s">
        <v>43937</v>
      </c>
      <c r="B27472" s="3" t="s">
        <v>22116</v>
      </c>
      <c r="C27472" s="5" t="s">
        <v>45</v>
      </c>
      <c r="D27472" s="3" t="s">
        <v>221</v>
      </c>
      <c r="E27472" s="3" t="s">
        <v>380</v>
      </c>
      <c r="F27472" s="7">
        <v>46273.762712143136</v>
      </c>
      <c r="G27472" s="3" t="s">
        <v>2770</v>
      </c>
    </row>
    <row r="27473">
      <c r="A27473" s="3" t="s">
        <v>43938</v>
      </c>
      <c r="B27473" s="3" t="s">
        <v>22116</v>
      </c>
      <c r="C27473" s="5" t="s">
        <v>221</v>
      </c>
      <c r="D27473" s="3" t="s">
        <v>181</v>
      </c>
      <c r="E27473" s="3" t="s">
        <v>118</v>
      </c>
      <c r="F27473" s="7">
        <v>46273.766184365355</v>
      </c>
      <c r="G27473" s="3" t="s">
        <v>2774</v>
      </c>
    </row>
    <row r="27474">
      <c r="A27474" s="3" t="s">
        <v>43939</v>
      </c>
      <c r="B27474" s="3" t="s">
        <v>22119</v>
      </c>
      <c r="C27474" s="5" t="s">
        <v>45</v>
      </c>
      <c r="D27474" s="3" t="s">
        <v>221</v>
      </c>
      <c r="E27474" s="3" t="s">
        <v>366</v>
      </c>
      <c r="F27474" s="7">
        <v>46273.833886988556</v>
      </c>
      <c r="G27474" s="3" t="s">
        <v>21143</v>
      </c>
    </row>
    <row r="27475">
      <c r="A27475" s="3" t="s">
        <v>43940</v>
      </c>
      <c r="B27475" s="3" t="s">
        <v>22119</v>
      </c>
      <c r="C27475" s="5" t="s">
        <v>221</v>
      </c>
      <c r="D27475" s="3" t="s">
        <v>614</v>
      </c>
      <c r="E27475" s="3" t="s">
        <v>118</v>
      </c>
      <c r="F27475" s="7">
        <v>46273.837359210775</v>
      </c>
      <c r="G27475" s="3" t="s">
        <v>21146</v>
      </c>
    </row>
    <row r="27476">
      <c r="A27476" s="3" t="s">
        <v>43941</v>
      </c>
      <c r="B27476" s="3" t="s">
        <v>22119</v>
      </c>
      <c r="C27476" s="5" t="s">
        <v>614</v>
      </c>
      <c r="D27476" s="3" t="s">
        <v>206</v>
      </c>
      <c r="E27476" s="3" t="s">
        <v>100</v>
      </c>
      <c r="F27476" s="7">
        <v>46273.840831433</v>
      </c>
      <c r="G27476" s="3" t="s">
        <v>21149</v>
      </c>
    </row>
    <row r="27477">
      <c r="A27477" s="3" t="s">
        <v>43942</v>
      </c>
      <c r="B27477" s="3" t="s">
        <v>22119</v>
      </c>
      <c r="C27477" s="5" t="s">
        <v>206</v>
      </c>
      <c r="D27477" s="3" t="s">
        <v>68</v>
      </c>
      <c r="E27477" s="3" t="s">
        <v>100</v>
      </c>
      <c r="F27477" s="7">
        <v>46273.84430365522</v>
      </c>
      <c r="G27477" s="3" t="s">
        <v>21151</v>
      </c>
    </row>
    <row r="27478">
      <c r="A27478" s="3" t="s">
        <v>43943</v>
      </c>
      <c r="B27478" s="3" t="s">
        <v>22121</v>
      </c>
      <c r="C27478" s="5" t="s">
        <v>45</v>
      </c>
      <c r="D27478" s="3" t="s">
        <v>221</v>
      </c>
      <c r="E27478" s="3" t="s">
        <v>1040</v>
      </c>
      <c r="F27478" s="7">
        <v>46273.90506183396</v>
      </c>
      <c r="G27478" s="3" t="s">
        <v>15531</v>
      </c>
    </row>
    <row r="27479">
      <c r="A27479" s="3" t="s">
        <v>43944</v>
      </c>
      <c r="B27479" s="3" t="s">
        <v>22121</v>
      </c>
      <c r="C27479" s="5" t="s">
        <v>221</v>
      </c>
      <c r="D27479" s="3" t="s">
        <v>614</v>
      </c>
      <c r="E27479" s="3" t="s">
        <v>118</v>
      </c>
      <c r="F27479" s="7">
        <v>46273.90853405618</v>
      </c>
      <c r="G27479" s="3" t="s">
        <v>15534</v>
      </c>
    </row>
    <row r="27480">
      <c r="A27480" s="3" t="s">
        <v>43945</v>
      </c>
      <c r="B27480" s="3" t="s">
        <v>22121</v>
      </c>
      <c r="C27480" s="5" t="s">
        <v>614</v>
      </c>
      <c r="D27480" s="3" t="s">
        <v>206</v>
      </c>
      <c r="E27480" s="3" t="s">
        <v>100</v>
      </c>
      <c r="F27480" s="7">
        <v>46273.912006278406</v>
      </c>
      <c r="G27480" s="3" t="s">
        <v>15537</v>
      </c>
    </row>
    <row r="27481">
      <c r="A27481" s="3" t="s">
        <v>43946</v>
      </c>
      <c r="B27481" s="3" t="s">
        <v>22121</v>
      </c>
      <c r="C27481" s="5" t="s">
        <v>206</v>
      </c>
      <c r="D27481" s="3" t="s">
        <v>68</v>
      </c>
      <c r="E27481" s="3" t="s">
        <v>100</v>
      </c>
      <c r="F27481" s="7">
        <v>46273.915478500625</v>
      </c>
      <c r="G27481" s="3" t="s">
        <v>15540</v>
      </c>
    </row>
    <row r="27482">
      <c r="A27482" s="3" t="s">
        <v>43947</v>
      </c>
      <c r="B27482" s="3" t="s">
        <v>22123</v>
      </c>
      <c r="C27482" s="5" t="s">
        <v>45</v>
      </c>
      <c r="D27482" s="3" t="s">
        <v>221</v>
      </c>
      <c r="E27482" s="3" t="s">
        <v>916</v>
      </c>
      <c r="F27482" s="7">
        <v>46273.97623667938</v>
      </c>
      <c r="G27482" s="3" t="s">
        <v>22859</v>
      </c>
    </row>
    <row r="27483">
      <c r="A27483" s="3" t="s">
        <v>43948</v>
      </c>
      <c r="B27483" s="3" t="s">
        <v>22123</v>
      </c>
      <c r="C27483" s="5" t="s">
        <v>221</v>
      </c>
      <c r="D27483" s="3" t="s">
        <v>614</v>
      </c>
      <c r="E27483" s="3" t="s">
        <v>118</v>
      </c>
      <c r="F27483" s="7">
        <v>46273.9797089016</v>
      </c>
      <c r="G27483" s="3" t="s">
        <v>25383</v>
      </c>
    </row>
    <row r="27484">
      <c r="A27484" s="3" t="s">
        <v>43949</v>
      </c>
      <c r="B27484" s="3" t="s">
        <v>22123</v>
      </c>
      <c r="C27484" s="5" t="s">
        <v>614</v>
      </c>
      <c r="D27484" s="3" t="s">
        <v>206</v>
      </c>
      <c r="E27484" s="3" t="s">
        <v>100</v>
      </c>
      <c r="F27484" s="7">
        <v>46273.983181123825</v>
      </c>
      <c r="G27484" s="3" t="s">
        <v>25385</v>
      </c>
    </row>
    <row r="27485">
      <c r="A27485" s="3" t="s">
        <v>43950</v>
      </c>
      <c r="B27485" s="3" t="s">
        <v>22123</v>
      </c>
      <c r="C27485" s="5" t="s">
        <v>206</v>
      </c>
      <c r="D27485" s="3" t="s">
        <v>68</v>
      </c>
      <c r="E27485" s="3" t="s">
        <v>100</v>
      </c>
      <c r="F27485" s="7">
        <v>46273.986653346044</v>
      </c>
      <c r="G27485" s="3" t="s">
        <v>25387</v>
      </c>
    </row>
    <row r="27486">
      <c r="A27486" s="3" t="s">
        <v>43951</v>
      </c>
      <c r="B27486" s="3" t="s">
        <v>22125</v>
      </c>
      <c r="C27486" s="5" t="s">
        <v>45</v>
      </c>
      <c r="D27486" s="3" t="s">
        <v>221</v>
      </c>
      <c r="E27486" s="3" t="s">
        <v>148</v>
      </c>
      <c r="F27486" s="7">
        <v>46274.0474115248</v>
      </c>
      <c r="G27486" s="3" t="s">
        <v>15583</v>
      </c>
    </row>
    <row r="27487">
      <c r="A27487" s="3" t="s">
        <v>43952</v>
      </c>
      <c r="B27487" s="3" t="s">
        <v>22125</v>
      </c>
      <c r="C27487" s="5" t="s">
        <v>221</v>
      </c>
      <c r="D27487" s="3" t="s">
        <v>614</v>
      </c>
      <c r="E27487" s="3" t="s">
        <v>118</v>
      </c>
      <c r="F27487" s="7">
        <v>46274.05088374702</v>
      </c>
      <c r="G27487" s="3" t="s">
        <v>15586</v>
      </c>
    </row>
    <row r="27488">
      <c r="A27488" s="3" t="s">
        <v>43953</v>
      </c>
      <c r="B27488" s="3" t="s">
        <v>22125</v>
      </c>
      <c r="C27488" s="5" t="s">
        <v>614</v>
      </c>
      <c r="D27488" s="3" t="s">
        <v>206</v>
      </c>
      <c r="E27488" s="3" t="s">
        <v>100</v>
      </c>
      <c r="F27488" s="7">
        <v>46274.054355969245</v>
      </c>
      <c r="G27488" s="3" t="s">
        <v>15589</v>
      </c>
    </row>
    <row r="27489">
      <c r="A27489" s="3" t="s">
        <v>43954</v>
      </c>
      <c r="B27489" s="3" t="s">
        <v>22125</v>
      </c>
      <c r="C27489" s="5" t="s">
        <v>206</v>
      </c>
      <c r="D27489" s="3" t="s">
        <v>68</v>
      </c>
      <c r="E27489" s="3" t="s">
        <v>100</v>
      </c>
      <c r="F27489" s="7">
        <v>46274.057828191464</v>
      </c>
      <c r="G27489" s="3" t="s">
        <v>15592</v>
      </c>
    </row>
    <row r="27490">
      <c r="A27490" s="3" t="s">
        <v>43955</v>
      </c>
      <c r="B27490" s="3" t="s">
        <v>22127</v>
      </c>
      <c r="C27490" s="5" t="s">
        <v>45</v>
      </c>
      <c r="D27490" s="3" t="s">
        <v>221</v>
      </c>
      <c r="E27490" s="3" t="s">
        <v>272</v>
      </c>
      <c r="F27490" s="7">
        <v>46274.11858637021</v>
      </c>
      <c r="G27490" s="3" t="s">
        <v>28310</v>
      </c>
    </row>
    <row r="27491">
      <c r="A27491" s="3" t="s">
        <v>43956</v>
      </c>
      <c r="B27491" s="3" t="s">
        <v>22127</v>
      </c>
      <c r="C27491" s="5" t="s">
        <v>221</v>
      </c>
      <c r="D27491" s="3" t="s">
        <v>614</v>
      </c>
      <c r="E27491" s="3" t="s">
        <v>118</v>
      </c>
      <c r="F27491" s="7">
        <v>46274.12205859243</v>
      </c>
      <c r="G27491" s="3" t="s">
        <v>30346</v>
      </c>
    </row>
    <row r="27492">
      <c r="A27492" s="3" t="s">
        <v>43957</v>
      </c>
      <c r="B27492" s="3" t="s">
        <v>22127</v>
      </c>
      <c r="C27492" s="5" t="s">
        <v>614</v>
      </c>
      <c r="D27492" s="3" t="s">
        <v>206</v>
      </c>
      <c r="E27492" s="3" t="s">
        <v>100</v>
      </c>
      <c r="F27492" s="7">
        <v>46274.12553081466</v>
      </c>
      <c r="G27492" s="3" t="s">
        <v>30348</v>
      </c>
    </row>
    <row r="27493">
      <c r="A27493" s="3" t="s">
        <v>43958</v>
      </c>
      <c r="B27493" s="3" t="s">
        <v>22127</v>
      </c>
      <c r="C27493" s="5" t="s">
        <v>206</v>
      </c>
      <c r="D27493" s="3" t="s">
        <v>68</v>
      </c>
      <c r="E27493" s="3" t="s">
        <v>100</v>
      </c>
      <c r="F27493" s="7">
        <v>46274.12900303688</v>
      </c>
      <c r="G27493" s="3" t="s">
        <v>30350</v>
      </c>
    </row>
    <row r="27494">
      <c r="A27494" s="3" t="s">
        <v>43959</v>
      </c>
      <c r="B27494" s="3" t="s">
        <v>22129</v>
      </c>
      <c r="C27494" s="5" t="s">
        <v>45</v>
      </c>
      <c r="D27494" s="3" t="s">
        <v>221</v>
      </c>
      <c r="E27494" s="3" t="s">
        <v>926</v>
      </c>
      <c r="F27494" s="7">
        <v>46274.189761215624</v>
      </c>
      <c r="G27494" s="3" t="s">
        <v>15606</v>
      </c>
    </row>
    <row r="27495">
      <c r="A27495" s="3" t="s">
        <v>43960</v>
      </c>
      <c r="B27495" s="3" t="s">
        <v>22129</v>
      </c>
      <c r="C27495" s="5" t="s">
        <v>221</v>
      </c>
      <c r="D27495" s="3" t="s">
        <v>614</v>
      </c>
      <c r="E27495" s="3" t="s">
        <v>118</v>
      </c>
      <c r="F27495" s="7">
        <v>46274.19323343784</v>
      </c>
      <c r="G27495" s="3" t="s">
        <v>15609</v>
      </c>
    </row>
    <row r="27496">
      <c r="A27496" s="3" t="s">
        <v>43961</v>
      </c>
      <c r="B27496" s="3" t="s">
        <v>22129</v>
      </c>
      <c r="C27496" s="5" t="s">
        <v>614</v>
      </c>
      <c r="D27496" s="3" t="s">
        <v>206</v>
      </c>
      <c r="E27496" s="3" t="s">
        <v>100</v>
      </c>
      <c r="F27496" s="7">
        <v>46274.19670566007</v>
      </c>
      <c r="G27496" s="3" t="s">
        <v>15612</v>
      </c>
    </row>
    <row r="27497">
      <c r="A27497" s="3" t="s">
        <v>43962</v>
      </c>
      <c r="B27497" s="3" t="s">
        <v>22129</v>
      </c>
      <c r="C27497" s="5" t="s">
        <v>206</v>
      </c>
      <c r="D27497" s="3" t="s">
        <v>68</v>
      </c>
      <c r="E27497" s="3" t="s">
        <v>100</v>
      </c>
      <c r="F27497" s="7">
        <v>46274.20017788229</v>
      </c>
      <c r="G27497" s="3" t="s">
        <v>15615</v>
      </c>
    </row>
    <row r="27498">
      <c r="A27498" s="3" t="s">
        <v>43963</v>
      </c>
      <c r="B27498" s="3" t="s">
        <v>22132</v>
      </c>
      <c r="C27498" s="5" t="s">
        <v>45</v>
      </c>
      <c r="D27498" s="3" t="s">
        <v>221</v>
      </c>
      <c r="E27498" s="3" t="s">
        <v>519</v>
      </c>
      <c r="F27498" s="7">
        <v>46274.260936061044</v>
      </c>
      <c r="G27498" s="3" t="s">
        <v>27074</v>
      </c>
    </row>
    <row r="27499">
      <c r="A27499" s="3" t="s">
        <v>43964</v>
      </c>
      <c r="B27499" s="3" t="s">
        <v>22132</v>
      </c>
      <c r="C27499" s="5" t="s">
        <v>221</v>
      </c>
      <c r="D27499" s="3" t="s">
        <v>614</v>
      </c>
      <c r="E27499" s="3" t="s">
        <v>118</v>
      </c>
      <c r="F27499" s="7">
        <v>46274.26440828326</v>
      </c>
      <c r="G27499" s="3" t="s">
        <v>27076</v>
      </c>
    </row>
    <row r="27500">
      <c r="A27500" s="3" t="s">
        <v>43965</v>
      </c>
      <c r="B27500" s="3" t="s">
        <v>22132</v>
      </c>
      <c r="C27500" s="5" t="s">
        <v>614</v>
      </c>
      <c r="D27500" s="3" t="s">
        <v>206</v>
      </c>
      <c r="E27500" s="3" t="s">
        <v>100</v>
      </c>
      <c r="F27500" s="7">
        <v>46274.26788050549</v>
      </c>
      <c r="G27500" s="3" t="s">
        <v>27078</v>
      </c>
    </row>
    <row r="27501">
      <c r="A27501" s="3" t="s">
        <v>43966</v>
      </c>
      <c r="B27501" s="3" t="s">
        <v>22132</v>
      </c>
      <c r="C27501" s="5" t="s">
        <v>206</v>
      </c>
      <c r="D27501" s="3" t="s">
        <v>68</v>
      </c>
      <c r="E27501" s="3" t="s">
        <v>100</v>
      </c>
      <c r="F27501" s="7">
        <v>46274.27135272771</v>
      </c>
      <c r="G27501" s="3" t="s">
        <v>27080</v>
      </c>
    </row>
    <row r="27502">
      <c r="A27502" s="3" t="s">
        <v>43967</v>
      </c>
      <c r="B27502" s="3" t="s">
        <v>22136</v>
      </c>
      <c r="C27502" s="5" t="s">
        <v>45</v>
      </c>
      <c r="D27502" s="3" t="s">
        <v>221</v>
      </c>
      <c r="E27502" s="3" t="s">
        <v>202</v>
      </c>
      <c r="F27502" s="7">
        <v>46274.33211090646</v>
      </c>
      <c r="G27502" s="3" t="s">
        <v>15704</v>
      </c>
    </row>
    <row r="27503">
      <c r="A27503" s="3" t="s">
        <v>43968</v>
      </c>
      <c r="B27503" s="3" t="s">
        <v>22136</v>
      </c>
      <c r="C27503" s="5" t="s">
        <v>221</v>
      </c>
      <c r="D27503" s="3" t="s">
        <v>614</v>
      </c>
      <c r="E27503" s="3" t="s">
        <v>118</v>
      </c>
      <c r="F27503" s="7">
        <v>46274.335583128675</v>
      </c>
      <c r="G27503" s="3" t="s">
        <v>15707</v>
      </c>
    </row>
    <row r="27504">
      <c r="A27504" s="3" t="s">
        <v>43969</v>
      </c>
      <c r="B27504" s="3" t="s">
        <v>22136</v>
      </c>
      <c r="C27504" s="5" t="s">
        <v>614</v>
      </c>
      <c r="D27504" s="3" t="s">
        <v>206</v>
      </c>
      <c r="E27504" s="3" t="s">
        <v>100</v>
      </c>
      <c r="F27504" s="7">
        <v>46274.3390553509</v>
      </c>
      <c r="G27504" s="3" t="s">
        <v>15710</v>
      </c>
    </row>
    <row r="27505">
      <c r="A27505" s="3" t="s">
        <v>43970</v>
      </c>
      <c r="B27505" s="3" t="s">
        <v>22136</v>
      </c>
      <c r="C27505" s="5" t="s">
        <v>206</v>
      </c>
      <c r="D27505" s="3" t="s">
        <v>68</v>
      </c>
      <c r="E27505" s="3" t="s">
        <v>100</v>
      </c>
      <c r="F27505" s="7">
        <v>46274.34252757312</v>
      </c>
      <c r="G27505" s="3" t="s">
        <v>15713</v>
      </c>
    </row>
    <row r="27506">
      <c r="A27506" s="3" t="s">
        <v>43971</v>
      </c>
      <c r="B27506" s="3" t="s">
        <v>22140</v>
      </c>
      <c r="C27506" s="5" t="s">
        <v>45</v>
      </c>
      <c r="D27506" s="3" t="s">
        <v>221</v>
      </c>
      <c r="E27506" s="3" t="s">
        <v>569</v>
      </c>
      <c r="F27506" s="7">
        <v>46274.40328575187</v>
      </c>
      <c r="G27506" s="3" t="s">
        <v>11984</v>
      </c>
    </row>
    <row r="27507">
      <c r="A27507" s="3" t="s">
        <v>43972</v>
      </c>
      <c r="B27507" s="3" t="s">
        <v>22140</v>
      </c>
      <c r="C27507" s="5" t="s">
        <v>221</v>
      </c>
      <c r="D27507" s="3" t="s">
        <v>614</v>
      </c>
      <c r="E27507" s="3" t="s">
        <v>118</v>
      </c>
      <c r="F27507" s="7">
        <v>46274.40675797409</v>
      </c>
      <c r="G27507" s="3" t="s">
        <v>11987</v>
      </c>
    </row>
    <row r="27508">
      <c r="A27508" s="3" t="s">
        <v>43973</v>
      </c>
      <c r="B27508" s="3" t="s">
        <v>22140</v>
      </c>
      <c r="C27508" s="5" t="s">
        <v>614</v>
      </c>
      <c r="D27508" s="3" t="s">
        <v>206</v>
      </c>
      <c r="E27508" s="3" t="s">
        <v>100</v>
      </c>
      <c r="F27508" s="7">
        <v>46274.410230196314</v>
      </c>
      <c r="G27508" s="3" t="s">
        <v>11990</v>
      </c>
    </row>
    <row r="27509">
      <c r="A27509" s="3" t="s">
        <v>43974</v>
      </c>
      <c r="B27509" s="3" t="s">
        <v>22140</v>
      </c>
      <c r="C27509" s="5" t="s">
        <v>206</v>
      </c>
      <c r="D27509" s="3" t="s">
        <v>68</v>
      </c>
      <c r="E27509" s="3" t="s">
        <v>100</v>
      </c>
      <c r="F27509" s="7">
        <v>46274.41370241853</v>
      </c>
      <c r="G27509" s="3" t="s">
        <v>11993</v>
      </c>
    </row>
    <row r="27510">
      <c r="A27510" s="3" t="s">
        <v>43975</v>
      </c>
      <c r="B27510" s="3" t="s">
        <v>22142</v>
      </c>
      <c r="C27510" s="5" t="s">
        <v>45</v>
      </c>
      <c r="D27510" s="3" t="s">
        <v>221</v>
      </c>
      <c r="E27510" s="3" t="s">
        <v>186</v>
      </c>
      <c r="F27510" s="7">
        <v>46274.47446059729</v>
      </c>
      <c r="G27510" s="3" t="s">
        <v>15672</v>
      </c>
    </row>
    <row r="27511">
      <c r="A27511" s="3" t="s">
        <v>43976</v>
      </c>
      <c r="B27511" s="3" t="s">
        <v>22142</v>
      </c>
      <c r="C27511" s="5" t="s">
        <v>221</v>
      </c>
      <c r="D27511" s="3" t="s">
        <v>614</v>
      </c>
      <c r="E27511" s="3" t="s">
        <v>118</v>
      </c>
      <c r="F27511" s="7">
        <v>46274.47793281951</v>
      </c>
      <c r="G27511" s="3" t="s">
        <v>15675</v>
      </c>
    </row>
    <row r="27512">
      <c r="A27512" s="3" t="s">
        <v>43977</v>
      </c>
      <c r="B27512" s="3" t="s">
        <v>22142</v>
      </c>
      <c r="C27512" s="5" t="s">
        <v>614</v>
      </c>
      <c r="D27512" s="3" t="s">
        <v>206</v>
      </c>
      <c r="E27512" s="3" t="s">
        <v>100</v>
      </c>
      <c r="F27512" s="7">
        <v>46274.48140504173</v>
      </c>
      <c r="G27512" s="3" t="s">
        <v>15677</v>
      </c>
    </row>
    <row r="27513">
      <c r="A27513" s="3" t="s">
        <v>43978</v>
      </c>
      <c r="B27513" s="3" t="s">
        <v>22142</v>
      </c>
      <c r="C27513" s="5" t="s">
        <v>206</v>
      </c>
      <c r="D27513" s="3" t="s">
        <v>68</v>
      </c>
      <c r="E27513" s="3" t="s">
        <v>100</v>
      </c>
      <c r="F27513" s="7">
        <v>46274.48487726395</v>
      </c>
      <c r="G27513" s="3" t="s">
        <v>15680</v>
      </c>
    </row>
    <row r="27514">
      <c r="A27514" s="3" t="s">
        <v>43979</v>
      </c>
      <c r="B27514" s="3" t="s">
        <v>22144</v>
      </c>
      <c r="C27514" s="5" t="s">
        <v>45</v>
      </c>
      <c r="D27514" s="3" t="s">
        <v>221</v>
      </c>
      <c r="E27514" s="3" t="s">
        <v>650</v>
      </c>
      <c r="F27514" s="7">
        <v>46274.54563544271</v>
      </c>
      <c r="G27514" s="3" t="s">
        <v>15683</v>
      </c>
    </row>
    <row r="27515">
      <c r="A27515" s="3" t="s">
        <v>43980</v>
      </c>
      <c r="B27515" s="3" t="s">
        <v>22144</v>
      </c>
      <c r="C27515" s="5" t="s">
        <v>221</v>
      </c>
      <c r="D27515" s="3" t="s">
        <v>614</v>
      </c>
      <c r="E27515" s="3" t="s">
        <v>118</v>
      </c>
      <c r="F27515" s="7">
        <v>46274.54910766493</v>
      </c>
      <c r="G27515" s="3" t="s">
        <v>15686</v>
      </c>
    </row>
    <row r="27516">
      <c r="A27516" s="3" t="s">
        <v>43981</v>
      </c>
      <c r="B27516" s="3" t="s">
        <v>22144</v>
      </c>
      <c r="C27516" s="5" t="s">
        <v>614</v>
      </c>
      <c r="D27516" s="3" t="s">
        <v>206</v>
      </c>
      <c r="E27516" s="3" t="s">
        <v>100</v>
      </c>
      <c r="F27516" s="7">
        <v>46274.55257988715</v>
      </c>
      <c r="G27516" s="3" t="s">
        <v>15689</v>
      </c>
    </row>
    <row r="27517">
      <c r="A27517" s="3" t="s">
        <v>43982</v>
      </c>
      <c r="B27517" s="3" t="s">
        <v>22144</v>
      </c>
      <c r="C27517" s="5" t="s">
        <v>206</v>
      </c>
      <c r="D27517" s="3" t="s">
        <v>68</v>
      </c>
      <c r="E27517" s="3" t="s">
        <v>100</v>
      </c>
      <c r="F27517" s="7">
        <v>46274.55605210937</v>
      </c>
      <c r="G27517" s="3" t="s">
        <v>15691</v>
      </c>
    </row>
    <row r="27518">
      <c r="A27518" s="3" t="s">
        <v>43983</v>
      </c>
      <c r="B27518" s="3" t="s">
        <v>22146</v>
      </c>
      <c r="C27518" s="5" t="s">
        <v>45</v>
      </c>
      <c r="D27518" s="3" t="s">
        <v>221</v>
      </c>
      <c r="E27518" s="3" t="s">
        <v>1030</v>
      </c>
      <c r="F27518" s="7">
        <v>46274.61681028811</v>
      </c>
      <c r="G27518" s="3" t="s">
        <v>22064</v>
      </c>
    </row>
    <row r="27519">
      <c r="A27519" s="3" t="s">
        <v>43984</v>
      </c>
      <c r="B27519" s="3" t="s">
        <v>22146</v>
      </c>
      <c r="C27519" s="5" t="s">
        <v>221</v>
      </c>
      <c r="D27519" s="3" t="s">
        <v>181</v>
      </c>
      <c r="E27519" s="3" t="s">
        <v>118</v>
      </c>
      <c r="F27519" s="7">
        <v>46274.62028251033</v>
      </c>
      <c r="G27519" s="3" t="s">
        <v>43985</v>
      </c>
    </row>
    <row r="27520">
      <c r="A27520" s="3" t="s">
        <v>43986</v>
      </c>
      <c r="B27520" s="3" t="s">
        <v>22148</v>
      </c>
      <c r="C27520" s="5" t="s">
        <v>45</v>
      </c>
      <c r="D27520" s="3" t="s">
        <v>221</v>
      </c>
      <c r="E27520" s="3" t="s">
        <v>123</v>
      </c>
      <c r="F27520" s="7">
        <v>46274.68798513353</v>
      </c>
      <c r="G27520" s="3" t="s">
        <v>23450</v>
      </c>
    </row>
    <row r="27521">
      <c r="A27521" s="3" t="s">
        <v>43987</v>
      </c>
      <c r="B27521" s="3" t="s">
        <v>22148</v>
      </c>
      <c r="C27521" s="5" t="s">
        <v>221</v>
      </c>
      <c r="D27521" s="3" t="s">
        <v>614</v>
      </c>
      <c r="E27521" s="3" t="s">
        <v>118</v>
      </c>
      <c r="F27521" s="7">
        <v>46274.69145735575</v>
      </c>
      <c r="G27521" s="3" t="s">
        <v>23453</v>
      </c>
    </row>
    <row r="27522">
      <c r="A27522" s="3" t="s">
        <v>43988</v>
      </c>
      <c r="B27522" s="3" t="s">
        <v>22148</v>
      </c>
      <c r="C27522" s="5" t="s">
        <v>614</v>
      </c>
      <c r="D27522" s="3" t="s">
        <v>206</v>
      </c>
      <c r="E27522" s="3" t="s">
        <v>100</v>
      </c>
      <c r="F27522" s="7">
        <v>46274.69492957798</v>
      </c>
      <c r="G27522" s="3" t="s">
        <v>23456</v>
      </c>
    </row>
    <row r="27523">
      <c r="A27523" s="3" t="s">
        <v>43989</v>
      </c>
      <c r="B27523" s="3" t="s">
        <v>22148</v>
      </c>
      <c r="C27523" s="5" t="s">
        <v>206</v>
      </c>
      <c r="D27523" s="3" t="s">
        <v>68</v>
      </c>
      <c r="E27523" s="3" t="s">
        <v>100</v>
      </c>
      <c r="F27523" s="7">
        <v>46274.6984018002</v>
      </c>
      <c r="G27523" s="3" t="s">
        <v>23459</v>
      </c>
    </row>
    <row r="27524">
      <c r="A27524" s="3" t="s">
        <v>43990</v>
      </c>
      <c r="B27524" s="3" t="s">
        <v>22149</v>
      </c>
      <c r="C27524" s="5" t="s">
        <v>45</v>
      </c>
      <c r="D27524" s="3" t="s">
        <v>221</v>
      </c>
      <c r="E27524" s="3" t="s">
        <v>137</v>
      </c>
      <c r="F27524" s="7">
        <v>46274.75915997895</v>
      </c>
      <c r="G27524" s="3" t="s">
        <v>4054</v>
      </c>
    </row>
    <row r="27525">
      <c r="A27525" s="3" t="s">
        <v>43991</v>
      </c>
      <c r="B27525" s="3" t="s">
        <v>22149</v>
      </c>
      <c r="C27525" s="5" t="s">
        <v>221</v>
      </c>
      <c r="D27525" s="3" t="s">
        <v>614</v>
      </c>
      <c r="E27525" s="3" t="s">
        <v>118</v>
      </c>
      <c r="F27525" s="7">
        <v>46274.76263220117</v>
      </c>
      <c r="G27525" s="3" t="s">
        <v>4057</v>
      </c>
    </row>
    <row r="27526">
      <c r="A27526" s="3" t="s">
        <v>43992</v>
      </c>
      <c r="B27526" s="3" t="s">
        <v>22149</v>
      </c>
      <c r="C27526" s="5" t="s">
        <v>614</v>
      </c>
      <c r="D27526" s="3" t="s">
        <v>206</v>
      </c>
      <c r="E27526" s="3" t="s">
        <v>100</v>
      </c>
      <c r="F27526" s="7">
        <v>46274.7661044234</v>
      </c>
      <c r="G27526" s="3" t="s">
        <v>4060</v>
      </c>
    </row>
    <row r="27527">
      <c r="A27527" s="3" t="s">
        <v>43993</v>
      </c>
      <c r="B27527" s="3" t="s">
        <v>22149</v>
      </c>
      <c r="C27527" s="5" t="s">
        <v>206</v>
      </c>
      <c r="D27527" s="3" t="s">
        <v>68</v>
      </c>
      <c r="E27527" s="3" t="s">
        <v>100</v>
      </c>
      <c r="F27527" s="7">
        <v>46274.769576645616</v>
      </c>
      <c r="G27527" s="3" t="s">
        <v>4063</v>
      </c>
    </row>
    <row r="27528">
      <c r="A27528" s="3" t="s">
        <v>43994</v>
      </c>
      <c r="B27528" s="3" t="s">
        <v>22150</v>
      </c>
      <c r="C27528" s="5" t="s">
        <v>45</v>
      </c>
      <c r="D27528" s="3" t="s">
        <v>221</v>
      </c>
      <c r="E27528" s="3" t="s">
        <v>789</v>
      </c>
      <c r="F27528" s="7">
        <v>46274.830334824364</v>
      </c>
      <c r="G27528" s="3" t="s">
        <v>16892</v>
      </c>
    </row>
    <row r="27529">
      <c r="A27529" s="3" t="s">
        <v>43995</v>
      </c>
      <c r="B27529" s="3" t="s">
        <v>22150</v>
      </c>
      <c r="C27529" s="5" t="s">
        <v>221</v>
      </c>
      <c r="D27529" s="3" t="s">
        <v>614</v>
      </c>
      <c r="E27529" s="3" t="s">
        <v>118</v>
      </c>
      <c r="F27529" s="7">
        <v>46274.83380704658</v>
      </c>
      <c r="G27529" s="3" t="s">
        <v>16895</v>
      </c>
    </row>
    <row r="27530">
      <c r="A27530" s="3" t="s">
        <v>43996</v>
      </c>
      <c r="B27530" s="3" t="s">
        <v>22150</v>
      </c>
      <c r="C27530" s="5" t="s">
        <v>614</v>
      </c>
      <c r="D27530" s="3" t="s">
        <v>206</v>
      </c>
      <c r="E27530" s="3" t="s">
        <v>100</v>
      </c>
      <c r="F27530" s="7">
        <v>46274.83727926881</v>
      </c>
      <c r="G27530" s="3" t="s">
        <v>16897</v>
      </c>
    </row>
    <row r="27531">
      <c r="A27531" s="3" t="s">
        <v>43997</v>
      </c>
      <c r="B27531" s="3" t="s">
        <v>22150</v>
      </c>
      <c r="C27531" s="5" t="s">
        <v>206</v>
      </c>
      <c r="D27531" s="3" t="s">
        <v>68</v>
      </c>
      <c r="E27531" s="3" t="s">
        <v>100</v>
      </c>
      <c r="F27531" s="7">
        <v>46274.84075149103</v>
      </c>
      <c r="G27531" s="3" t="s">
        <v>16900</v>
      </c>
    </row>
    <row r="27532">
      <c r="A27532" s="3" t="s">
        <v>43998</v>
      </c>
      <c r="B27532" s="3" t="s">
        <v>22152</v>
      </c>
      <c r="C27532" s="5" t="s">
        <v>45</v>
      </c>
      <c r="D27532" s="3" t="s">
        <v>221</v>
      </c>
      <c r="E27532" s="3" t="s">
        <v>348</v>
      </c>
      <c r="F27532" s="7">
        <v>46274.90150966978</v>
      </c>
      <c r="G27532" s="3" t="s">
        <v>26976</v>
      </c>
    </row>
    <row r="27533">
      <c r="A27533" s="3" t="s">
        <v>43999</v>
      </c>
      <c r="B27533" s="3" t="s">
        <v>22152</v>
      </c>
      <c r="C27533" s="5" t="s">
        <v>221</v>
      </c>
      <c r="D27533" s="3" t="s">
        <v>181</v>
      </c>
      <c r="E27533" s="3" t="s">
        <v>118</v>
      </c>
      <c r="F27533" s="7">
        <v>46274.904981891996</v>
      </c>
      <c r="G27533" s="3" t="s">
        <v>43799</v>
      </c>
    </row>
    <row r="27534">
      <c r="A27534" s="3" t="s">
        <v>44000</v>
      </c>
      <c r="B27534" s="3" t="s">
        <v>22155</v>
      </c>
      <c r="C27534" s="5" t="s">
        <v>45</v>
      </c>
      <c r="D27534" s="3" t="s">
        <v>221</v>
      </c>
      <c r="E27534" s="3" t="s">
        <v>672</v>
      </c>
      <c r="F27534" s="7">
        <v>46274.972684515196</v>
      </c>
      <c r="G27534" s="3" t="s">
        <v>15723</v>
      </c>
    </row>
    <row r="27535">
      <c r="A27535" s="3" t="s">
        <v>44001</v>
      </c>
      <c r="B27535" s="3" t="s">
        <v>22155</v>
      </c>
      <c r="C27535" s="5" t="s">
        <v>221</v>
      </c>
      <c r="D27535" s="3" t="s">
        <v>614</v>
      </c>
      <c r="E27535" s="3" t="s">
        <v>118</v>
      </c>
      <c r="F27535" s="7">
        <v>46274.976156737415</v>
      </c>
      <c r="G27535" s="3" t="s">
        <v>15726</v>
      </c>
    </row>
    <row r="27536">
      <c r="A27536" s="3" t="s">
        <v>44002</v>
      </c>
      <c r="B27536" s="3" t="s">
        <v>22155</v>
      </c>
      <c r="C27536" s="5" t="s">
        <v>614</v>
      </c>
      <c r="D27536" s="3" t="s">
        <v>206</v>
      </c>
      <c r="E27536" s="3" t="s">
        <v>100</v>
      </c>
      <c r="F27536" s="7">
        <v>46274.97962895964</v>
      </c>
      <c r="G27536" s="3" t="s">
        <v>15728</v>
      </c>
    </row>
    <row r="27537">
      <c r="A27537" s="3" t="s">
        <v>44003</v>
      </c>
      <c r="B27537" s="3" t="s">
        <v>22155</v>
      </c>
      <c r="C27537" s="5" t="s">
        <v>206</v>
      </c>
      <c r="D27537" s="3" t="s">
        <v>68</v>
      </c>
      <c r="E27537" s="3" t="s">
        <v>100</v>
      </c>
      <c r="F27537" s="7">
        <v>46274.98310118186</v>
      </c>
      <c r="G27537" s="3" t="s">
        <v>15731</v>
      </c>
    </row>
    <row r="27538">
      <c r="A27538" s="3" t="s">
        <v>44004</v>
      </c>
      <c r="B27538" s="3" t="s">
        <v>22157</v>
      </c>
      <c r="C27538" s="5" t="s">
        <v>45</v>
      </c>
      <c r="D27538" s="3" t="s">
        <v>221</v>
      </c>
      <c r="E27538" s="3" t="s">
        <v>307</v>
      </c>
      <c r="F27538" s="7">
        <v>46275.04385936061</v>
      </c>
      <c r="G27538" s="3" t="s">
        <v>2770</v>
      </c>
    </row>
    <row r="27539">
      <c r="A27539" s="3" t="s">
        <v>44005</v>
      </c>
      <c r="B27539" s="3" t="s">
        <v>22157</v>
      </c>
      <c r="C27539" s="5" t="s">
        <v>221</v>
      </c>
      <c r="D27539" s="3" t="s">
        <v>181</v>
      </c>
      <c r="E27539" s="3" t="s">
        <v>118</v>
      </c>
      <c r="F27539" s="7">
        <v>46275.04733158283</v>
      </c>
      <c r="G27539" s="3" t="s">
        <v>2774</v>
      </c>
    </row>
    <row r="27540">
      <c r="A27540" s="3" t="s">
        <v>44006</v>
      </c>
      <c r="B27540" s="3" t="s">
        <v>22159</v>
      </c>
      <c r="C27540" s="5" t="s">
        <v>45</v>
      </c>
      <c r="D27540" s="3" t="s">
        <v>221</v>
      </c>
      <c r="E27540" s="3" t="s">
        <v>197</v>
      </c>
      <c r="F27540" s="7">
        <v>46275.11503420602</v>
      </c>
      <c r="G27540" s="3" t="s">
        <v>13071</v>
      </c>
    </row>
    <row r="27541">
      <c r="A27541" s="3" t="s">
        <v>44007</v>
      </c>
      <c r="B27541" s="3" t="s">
        <v>22159</v>
      </c>
      <c r="C27541" s="5" t="s">
        <v>221</v>
      </c>
      <c r="D27541" s="3" t="s">
        <v>181</v>
      </c>
      <c r="E27541" s="3" t="s">
        <v>118</v>
      </c>
      <c r="F27541" s="7">
        <v>46275.11850642824</v>
      </c>
      <c r="G27541" s="3" t="s">
        <v>43756</v>
      </c>
    </row>
    <row r="27542">
      <c r="A27542" s="3" t="s">
        <v>44008</v>
      </c>
      <c r="B27542" s="3" t="s">
        <v>22162</v>
      </c>
      <c r="C27542" s="5" t="s">
        <v>45</v>
      </c>
      <c r="D27542" s="3" t="s">
        <v>221</v>
      </c>
      <c r="E27542" s="3" t="s">
        <v>151</v>
      </c>
      <c r="F27542" s="7">
        <v>46275.18620905144</v>
      </c>
      <c r="G27542" s="3" t="s">
        <v>15806</v>
      </c>
    </row>
    <row r="27543">
      <c r="A27543" s="3" t="s">
        <v>44009</v>
      </c>
      <c r="B27543" s="3" t="s">
        <v>22162</v>
      </c>
      <c r="C27543" s="5" t="s">
        <v>221</v>
      </c>
      <c r="D27543" s="3" t="s">
        <v>614</v>
      </c>
      <c r="E27543" s="3" t="s">
        <v>118</v>
      </c>
      <c r="F27543" s="7">
        <v>46275.18968127366</v>
      </c>
      <c r="G27543" s="3" t="s">
        <v>15809</v>
      </c>
    </row>
    <row r="27544">
      <c r="A27544" s="3" t="s">
        <v>44010</v>
      </c>
      <c r="B27544" s="3" t="s">
        <v>22162</v>
      </c>
      <c r="C27544" s="5" t="s">
        <v>614</v>
      </c>
      <c r="D27544" s="3" t="s">
        <v>206</v>
      </c>
      <c r="E27544" s="3" t="s">
        <v>100</v>
      </c>
      <c r="F27544" s="7">
        <v>46275.193153495886</v>
      </c>
      <c r="G27544" s="3" t="s">
        <v>15812</v>
      </c>
    </row>
    <row r="27545">
      <c r="A27545" s="3" t="s">
        <v>44011</v>
      </c>
      <c r="B27545" s="3" t="s">
        <v>22162</v>
      </c>
      <c r="C27545" s="5" t="s">
        <v>206</v>
      </c>
      <c r="D27545" s="3" t="s">
        <v>68</v>
      </c>
      <c r="E27545" s="3" t="s">
        <v>100</v>
      </c>
      <c r="F27545" s="7">
        <v>46275.196625718105</v>
      </c>
      <c r="G27545" s="3" t="s">
        <v>15815</v>
      </c>
    </row>
    <row r="27546">
      <c r="A27546" s="3" t="s">
        <v>44012</v>
      </c>
      <c r="B27546" s="3" t="s">
        <v>22164</v>
      </c>
      <c r="C27546" s="5" t="s">
        <v>45</v>
      </c>
      <c r="D27546" s="3" t="s">
        <v>221</v>
      </c>
      <c r="E27546" s="3" t="s">
        <v>645</v>
      </c>
      <c r="F27546" s="7">
        <v>46275.25738389685</v>
      </c>
      <c r="G27546" s="3" t="s">
        <v>4957</v>
      </c>
    </row>
    <row r="27547">
      <c r="A27547" s="3" t="s">
        <v>44013</v>
      </c>
      <c r="B27547" s="3" t="s">
        <v>22164</v>
      </c>
      <c r="C27547" s="5" t="s">
        <v>221</v>
      </c>
      <c r="D27547" s="3" t="s">
        <v>614</v>
      </c>
      <c r="E27547" s="3" t="s">
        <v>118</v>
      </c>
      <c r="F27547" s="7">
        <v>46275.26085611907</v>
      </c>
      <c r="G27547" s="3" t="s">
        <v>4960</v>
      </c>
    </row>
    <row r="27548">
      <c r="A27548" s="3" t="s">
        <v>44014</v>
      </c>
      <c r="B27548" s="3" t="s">
        <v>22164</v>
      </c>
      <c r="C27548" s="5" t="s">
        <v>614</v>
      </c>
      <c r="D27548" s="3" t="s">
        <v>206</v>
      </c>
      <c r="E27548" s="3" t="s">
        <v>100</v>
      </c>
      <c r="F27548" s="7">
        <v>46275.2643283413</v>
      </c>
      <c r="G27548" s="3" t="s">
        <v>4963</v>
      </c>
    </row>
    <row r="27549">
      <c r="A27549" s="3" t="s">
        <v>44015</v>
      </c>
      <c r="B27549" s="3" t="s">
        <v>22164</v>
      </c>
      <c r="C27549" s="5" t="s">
        <v>206</v>
      </c>
      <c r="D27549" s="3" t="s">
        <v>68</v>
      </c>
      <c r="E27549" s="3" t="s">
        <v>100</v>
      </c>
      <c r="F27549" s="7">
        <v>46275.26780056352</v>
      </c>
      <c r="G27549" s="3" t="s">
        <v>4966</v>
      </c>
    </row>
    <row r="27550">
      <c r="A27550" s="3" t="s">
        <v>44016</v>
      </c>
      <c r="B27550" s="3" t="s">
        <v>22166</v>
      </c>
      <c r="C27550" s="5" t="s">
        <v>45</v>
      </c>
      <c r="D27550" s="3" t="s">
        <v>221</v>
      </c>
      <c r="E27550" s="3" t="s">
        <v>472</v>
      </c>
      <c r="F27550" s="7">
        <v>46275.328558742265</v>
      </c>
      <c r="G27550" s="3" t="s">
        <v>15416</v>
      </c>
    </row>
    <row r="27551">
      <c r="A27551" s="3" t="s">
        <v>44017</v>
      </c>
      <c r="B27551" s="3" t="s">
        <v>22166</v>
      </c>
      <c r="C27551" s="5" t="s">
        <v>221</v>
      </c>
      <c r="D27551" s="3" t="s">
        <v>614</v>
      </c>
      <c r="E27551" s="3" t="s">
        <v>118</v>
      </c>
      <c r="F27551" s="7">
        <v>46275.332030964484</v>
      </c>
      <c r="G27551" s="3" t="s">
        <v>15419</v>
      </c>
    </row>
    <row r="27552">
      <c r="A27552" s="3" t="s">
        <v>44018</v>
      </c>
      <c r="B27552" s="3" t="s">
        <v>22166</v>
      </c>
      <c r="C27552" s="5" t="s">
        <v>614</v>
      </c>
      <c r="D27552" s="3" t="s">
        <v>206</v>
      </c>
      <c r="E27552" s="3" t="s">
        <v>100</v>
      </c>
      <c r="F27552" s="7">
        <v>46275.33550318671</v>
      </c>
      <c r="G27552" s="3" t="s">
        <v>15422</v>
      </c>
    </row>
    <row r="27553">
      <c r="A27553" s="3" t="s">
        <v>44019</v>
      </c>
      <c r="B27553" s="3" t="s">
        <v>22166</v>
      </c>
      <c r="C27553" s="5" t="s">
        <v>206</v>
      </c>
      <c r="D27553" s="3" t="s">
        <v>68</v>
      </c>
      <c r="E27553" s="3" t="s">
        <v>100</v>
      </c>
      <c r="F27553" s="7">
        <v>46275.33897540893</v>
      </c>
      <c r="G27553" s="3" t="s">
        <v>15425</v>
      </c>
    </row>
    <row r="27554">
      <c r="A27554" s="3" t="s">
        <v>44020</v>
      </c>
      <c r="B27554" s="3" t="s">
        <v>22168</v>
      </c>
      <c r="C27554" s="5" t="s">
        <v>45</v>
      </c>
      <c r="D27554" s="3" t="s">
        <v>221</v>
      </c>
      <c r="E27554" s="3" t="s">
        <v>949</v>
      </c>
      <c r="F27554" s="7">
        <v>46275.399733587685</v>
      </c>
      <c r="G27554" s="3" t="s">
        <v>15975</v>
      </c>
    </row>
    <row r="27555">
      <c r="A27555" s="3" t="s">
        <v>44021</v>
      </c>
      <c r="B27555" s="3" t="s">
        <v>22168</v>
      </c>
      <c r="C27555" s="5" t="s">
        <v>221</v>
      </c>
      <c r="D27555" s="3" t="s">
        <v>614</v>
      </c>
      <c r="E27555" s="3" t="s">
        <v>118</v>
      </c>
      <c r="F27555" s="7">
        <v>46275.403205809904</v>
      </c>
      <c r="G27555" s="3" t="s">
        <v>15978</v>
      </c>
    </row>
    <row r="27556">
      <c r="A27556" s="3" t="s">
        <v>44022</v>
      </c>
      <c r="B27556" s="3" t="s">
        <v>22168</v>
      </c>
      <c r="C27556" s="5" t="s">
        <v>614</v>
      </c>
      <c r="D27556" s="3" t="s">
        <v>206</v>
      </c>
      <c r="E27556" s="3" t="s">
        <v>100</v>
      </c>
      <c r="F27556" s="7">
        <v>46275.40667803213</v>
      </c>
      <c r="G27556" s="3" t="s">
        <v>15981</v>
      </c>
    </row>
    <row r="27557">
      <c r="A27557" s="3" t="s">
        <v>44023</v>
      </c>
      <c r="B27557" s="3" t="s">
        <v>22168</v>
      </c>
      <c r="C27557" s="5" t="s">
        <v>206</v>
      </c>
      <c r="D27557" s="3" t="s">
        <v>68</v>
      </c>
      <c r="E27557" s="3" t="s">
        <v>100</v>
      </c>
      <c r="F27557" s="7">
        <v>46275.41015025435</v>
      </c>
      <c r="G27557" s="3" t="s">
        <v>15984</v>
      </c>
    </row>
    <row r="27558">
      <c r="A27558" s="3" t="s">
        <v>44024</v>
      </c>
      <c r="B27558" s="3" t="s">
        <v>22171</v>
      </c>
      <c r="C27558" s="5" t="s">
        <v>45</v>
      </c>
      <c r="D27558" s="3" t="s">
        <v>221</v>
      </c>
      <c r="E27558" s="3" t="s">
        <v>676</v>
      </c>
      <c r="F27558" s="7">
        <v>46275.4709084331</v>
      </c>
      <c r="G27558" s="3" t="s">
        <v>14735</v>
      </c>
    </row>
    <row r="27559">
      <c r="A27559" s="3" t="s">
        <v>44025</v>
      </c>
      <c r="B27559" s="3" t="s">
        <v>22171</v>
      </c>
      <c r="C27559" s="5" t="s">
        <v>221</v>
      </c>
      <c r="D27559" s="3" t="s">
        <v>614</v>
      </c>
      <c r="E27559" s="3" t="s">
        <v>118</v>
      </c>
      <c r="F27559" s="7">
        <v>46275.474380655316</v>
      </c>
      <c r="G27559" s="3" t="s">
        <v>14738</v>
      </c>
    </row>
    <row r="27560">
      <c r="A27560" s="3" t="s">
        <v>44026</v>
      </c>
      <c r="B27560" s="3" t="s">
        <v>22171</v>
      </c>
      <c r="C27560" s="5" t="s">
        <v>614</v>
      </c>
      <c r="D27560" s="3" t="s">
        <v>206</v>
      </c>
      <c r="E27560" s="3" t="s">
        <v>100</v>
      </c>
      <c r="F27560" s="7">
        <v>46275.47785287754</v>
      </c>
      <c r="G27560" s="3" t="s">
        <v>14741</v>
      </c>
    </row>
    <row r="27561">
      <c r="A27561" s="3" t="s">
        <v>44027</v>
      </c>
      <c r="B27561" s="3" t="s">
        <v>22171</v>
      </c>
      <c r="C27561" s="5" t="s">
        <v>206</v>
      </c>
      <c r="D27561" s="3" t="s">
        <v>68</v>
      </c>
      <c r="E27561" s="3" t="s">
        <v>100</v>
      </c>
      <c r="F27561" s="7">
        <v>46275.48132509976</v>
      </c>
      <c r="G27561" s="3" t="s">
        <v>14744</v>
      </c>
    </row>
    <row r="27562">
      <c r="A27562" s="3" t="s">
        <v>44028</v>
      </c>
      <c r="B27562" s="3" t="s">
        <v>22173</v>
      </c>
      <c r="C27562" s="5" t="s">
        <v>45</v>
      </c>
      <c r="D27562" s="3" t="s">
        <v>221</v>
      </c>
      <c r="E27562" s="3" t="s">
        <v>1049</v>
      </c>
      <c r="F27562" s="7">
        <v>46275.54208327851</v>
      </c>
      <c r="G27562" s="3" t="s">
        <v>15888</v>
      </c>
    </row>
    <row r="27563">
      <c r="A27563" s="3" t="s">
        <v>44029</v>
      </c>
      <c r="B27563" s="3" t="s">
        <v>22173</v>
      </c>
      <c r="C27563" s="5" t="s">
        <v>221</v>
      </c>
      <c r="D27563" s="3" t="s">
        <v>614</v>
      </c>
      <c r="E27563" s="3" t="s">
        <v>118</v>
      </c>
      <c r="F27563" s="7">
        <v>46275.54555550073</v>
      </c>
      <c r="G27563" s="3" t="s">
        <v>15891</v>
      </c>
    </row>
    <row r="27564">
      <c r="A27564" s="3" t="s">
        <v>44030</v>
      </c>
      <c r="B27564" s="3" t="s">
        <v>22173</v>
      </c>
      <c r="C27564" s="5" t="s">
        <v>614</v>
      </c>
      <c r="D27564" s="3" t="s">
        <v>206</v>
      </c>
      <c r="E27564" s="3" t="s">
        <v>100</v>
      </c>
      <c r="F27564" s="7">
        <v>46275.549027722955</v>
      </c>
      <c r="G27564" s="3" t="s">
        <v>15894</v>
      </c>
    </row>
    <row r="27565">
      <c r="A27565" s="3" t="s">
        <v>44031</v>
      </c>
      <c r="B27565" s="3" t="s">
        <v>22173</v>
      </c>
      <c r="C27565" s="5" t="s">
        <v>206</v>
      </c>
      <c r="D27565" s="3" t="s">
        <v>68</v>
      </c>
      <c r="E27565" s="3" t="s">
        <v>100</v>
      </c>
      <c r="F27565" s="7">
        <v>46275.55249994517</v>
      </c>
      <c r="G27565" s="3" t="s">
        <v>15897</v>
      </c>
    </row>
    <row r="27566">
      <c r="A27566" s="3" t="s">
        <v>44032</v>
      </c>
      <c r="B27566" s="3" t="s">
        <v>22175</v>
      </c>
      <c r="C27566" s="5" t="s">
        <v>45</v>
      </c>
      <c r="D27566" s="3" t="s">
        <v>221</v>
      </c>
      <c r="E27566" s="3" t="s">
        <v>752</v>
      </c>
      <c r="F27566" s="7">
        <v>46275.61325812393</v>
      </c>
      <c r="G27566" s="3" t="s">
        <v>2770</v>
      </c>
    </row>
    <row r="27567">
      <c r="A27567" s="3" t="s">
        <v>44033</v>
      </c>
      <c r="B27567" s="3" t="s">
        <v>22175</v>
      </c>
      <c r="C27567" s="5" t="s">
        <v>221</v>
      </c>
      <c r="D27567" s="3" t="s">
        <v>195</v>
      </c>
      <c r="E27567" s="3" t="s">
        <v>752</v>
      </c>
      <c r="F27567" s="7">
        <v>46275.61673034615</v>
      </c>
      <c r="G27567" s="3" t="s">
        <v>3055</v>
      </c>
    </row>
    <row r="27568">
      <c r="A27568" s="3" t="s">
        <v>44034</v>
      </c>
      <c r="B27568" s="3" t="s">
        <v>22178</v>
      </c>
      <c r="C27568" s="5" t="s">
        <v>45</v>
      </c>
      <c r="D27568" s="3" t="s">
        <v>221</v>
      </c>
      <c r="E27568" s="3" t="s">
        <v>1008</v>
      </c>
      <c r="F27568" s="7">
        <v>46275.68443296935</v>
      </c>
      <c r="G27568" s="3" t="s">
        <v>20847</v>
      </c>
    </row>
    <row r="27569">
      <c r="A27569" s="3" t="s">
        <v>44035</v>
      </c>
      <c r="B27569" s="3" t="s">
        <v>22178</v>
      </c>
      <c r="C27569" s="5" t="s">
        <v>221</v>
      </c>
      <c r="D27569" s="3" t="s">
        <v>614</v>
      </c>
      <c r="E27569" s="3" t="s">
        <v>118</v>
      </c>
      <c r="F27569" s="7">
        <v>46275.68790519157</v>
      </c>
      <c r="G27569" s="3" t="s">
        <v>20850</v>
      </c>
    </row>
    <row r="27570">
      <c r="A27570" s="3" t="s">
        <v>44036</v>
      </c>
      <c r="B27570" s="3" t="s">
        <v>22178</v>
      </c>
      <c r="C27570" s="5" t="s">
        <v>614</v>
      </c>
      <c r="D27570" s="3" t="s">
        <v>206</v>
      </c>
      <c r="E27570" s="3" t="s">
        <v>100</v>
      </c>
      <c r="F27570" s="7">
        <v>46275.691377413794</v>
      </c>
      <c r="G27570" s="3" t="s">
        <v>20853</v>
      </c>
    </row>
    <row r="27571">
      <c r="A27571" s="3" t="s">
        <v>44037</v>
      </c>
      <c r="B27571" s="3" t="s">
        <v>22178</v>
      </c>
      <c r="C27571" s="5" t="s">
        <v>206</v>
      </c>
      <c r="D27571" s="3" t="s">
        <v>68</v>
      </c>
      <c r="E27571" s="3" t="s">
        <v>100</v>
      </c>
      <c r="F27571" s="7">
        <v>46275.69484963601</v>
      </c>
      <c r="G27571" s="3" t="s">
        <v>20856</v>
      </c>
    </row>
    <row r="27572">
      <c r="A27572" s="3" t="s">
        <v>44038</v>
      </c>
      <c r="B27572" s="3" t="s">
        <v>22181</v>
      </c>
      <c r="C27572" s="5" t="s">
        <v>45</v>
      </c>
      <c r="D27572" s="3" t="s">
        <v>221</v>
      </c>
      <c r="E27572" s="3" t="s">
        <v>1021</v>
      </c>
      <c r="F27572" s="7">
        <v>46275.75560781475</v>
      </c>
      <c r="G27572" s="3" t="s">
        <v>17401</v>
      </c>
    </row>
    <row r="27573">
      <c r="A27573" s="3" t="s">
        <v>44039</v>
      </c>
      <c r="B27573" s="3" t="s">
        <v>22181</v>
      </c>
      <c r="C27573" s="5" t="s">
        <v>221</v>
      </c>
      <c r="D27573" s="3" t="s">
        <v>614</v>
      </c>
      <c r="E27573" s="3" t="s">
        <v>118</v>
      </c>
      <c r="F27573" s="7">
        <v>46275.75908003697</v>
      </c>
      <c r="G27573" s="3" t="s">
        <v>17404</v>
      </c>
    </row>
    <row r="27574">
      <c r="A27574" s="3" t="s">
        <v>44040</v>
      </c>
      <c r="B27574" s="3" t="s">
        <v>22181</v>
      </c>
      <c r="C27574" s="5" t="s">
        <v>614</v>
      </c>
      <c r="D27574" s="3" t="s">
        <v>206</v>
      </c>
      <c r="E27574" s="3" t="s">
        <v>100</v>
      </c>
      <c r="F27574" s="7">
        <v>46275.7625522592</v>
      </c>
      <c r="G27574" s="3" t="s">
        <v>17407</v>
      </c>
    </row>
    <row r="27575">
      <c r="A27575" s="3" t="s">
        <v>44041</v>
      </c>
      <c r="B27575" s="3" t="s">
        <v>22181</v>
      </c>
      <c r="C27575" s="5" t="s">
        <v>206</v>
      </c>
      <c r="D27575" s="3" t="s">
        <v>68</v>
      </c>
      <c r="E27575" s="3" t="s">
        <v>100</v>
      </c>
      <c r="F27575" s="7">
        <v>46275.76602448142</v>
      </c>
      <c r="G27575" s="3" t="s">
        <v>17410</v>
      </c>
    </row>
    <row r="27576">
      <c r="A27576" s="3" t="s">
        <v>44042</v>
      </c>
      <c r="B27576" s="3" t="s">
        <v>22183</v>
      </c>
      <c r="C27576" s="5" t="s">
        <v>45</v>
      </c>
      <c r="D27576" s="3" t="s">
        <v>221</v>
      </c>
      <c r="E27576" s="3" t="s">
        <v>496</v>
      </c>
      <c r="F27576" s="7">
        <v>46275.82678266017</v>
      </c>
      <c r="G27576" s="3" t="s">
        <v>10003</v>
      </c>
    </row>
    <row r="27577">
      <c r="A27577" s="3" t="s">
        <v>44043</v>
      </c>
      <c r="B27577" s="3" t="s">
        <v>22183</v>
      </c>
      <c r="C27577" s="5" t="s">
        <v>221</v>
      </c>
      <c r="D27577" s="3" t="s">
        <v>614</v>
      </c>
      <c r="E27577" s="3" t="s">
        <v>118</v>
      </c>
      <c r="F27577" s="7">
        <v>46275.83025488239</v>
      </c>
      <c r="G27577" s="3" t="s">
        <v>10007</v>
      </c>
    </row>
    <row r="27578">
      <c r="A27578" s="3" t="s">
        <v>44044</v>
      </c>
      <c r="B27578" s="3" t="s">
        <v>22183</v>
      </c>
      <c r="C27578" s="5" t="s">
        <v>614</v>
      </c>
      <c r="D27578" s="3" t="s">
        <v>206</v>
      </c>
      <c r="E27578" s="3" t="s">
        <v>100</v>
      </c>
      <c r="F27578" s="7">
        <v>46275.83372710462</v>
      </c>
      <c r="G27578" s="3" t="s">
        <v>10010</v>
      </c>
    </row>
    <row r="27579">
      <c r="A27579" s="3" t="s">
        <v>44045</v>
      </c>
      <c r="B27579" s="3" t="s">
        <v>22183</v>
      </c>
      <c r="C27579" s="5" t="s">
        <v>206</v>
      </c>
      <c r="D27579" s="3" t="s">
        <v>68</v>
      </c>
      <c r="E27579" s="3" t="s">
        <v>100</v>
      </c>
      <c r="F27579" s="7">
        <v>46275.83719932684</v>
      </c>
      <c r="G27579" s="3" t="s">
        <v>10013</v>
      </c>
    </row>
    <row r="27580">
      <c r="A27580" s="3" t="s">
        <v>44046</v>
      </c>
      <c r="B27580" s="3" t="s">
        <v>22185</v>
      </c>
      <c r="C27580" s="5" t="s">
        <v>45</v>
      </c>
      <c r="D27580" s="3" t="s">
        <v>221</v>
      </c>
      <c r="E27580" s="3" t="s">
        <v>440</v>
      </c>
      <c r="F27580" s="7">
        <v>46275.89795750559</v>
      </c>
      <c r="G27580" s="3" t="s">
        <v>2770</v>
      </c>
    </row>
    <row r="27581">
      <c r="A27581" s="3" t="s">
        <v>44047</v>
      </c>
      <c r="B27581" s="3" t="s">
        <v>22185</v>
      </c>
      <c r="C27581" s="5" t="s">
        <v>221</v>
      </c>
      <c r="D27581" s="3" t="s">
        <v>195</v>
      </c>
      <c r="E27581" s="3" t="s">
        <v>440</v>
      </c>
      <c r="F27581" s="7">
        <v>46275.90142972781</v>
      </c>
      <c r="G27581" s="3" t="s">
        <v>3055</v>
      </c>
    </row>
    <row r="27582">
      <c r="A27582" s="3" t="s">
        <v>44048</v>
      </c>
      <c r="B27582" s="3" t="s">
        <v>22187</v>
      </c>
      <c r="C27582" s="5" t="s">
        <v>45</v>
      </c>
      <c r="D27582" s="3" t="s">
        <v>221</v>
      </c>
      <c r="E27582" s="3" t="s">
        <v>363</v>
      </c>
      <c r="F27582" s="7">
        <v>46275.969132351005</v>
      </c>
      <c r="G27582" s="3" t="s">
        <v>26072</v>
      </c>
    </row>
    <row r="27583">
      <c r="A27583" s="3" t="s">
        <v>44049</v>
      </c>
      <c r="B27583" s="3" t="s">
        <v>22187</v>
      </c>
      <c r="C27583" s="5" t="s">
        <v>221</v>
      </c>
      <c r="D27583" s="3" t="s">
        <v>614</v>
      </c>
      <c r="E27583" s="3" t="s">
        <v>118</v>
      </c>
      <c r="F27583" s="7">
        <v>46275.972604573224</v>
      </c>
      <c r="G27583" s="3" t="s">
        <v>26074</v>
      </c>
    </row>
    <row r="27584">
      <c r="A27584" s="3" t="s">
        <v>44050</v>
      </c>
      <c r="B27584" s="3" t="s">
        <v>22187</v>
      </c>
      <c r="C27584" s="5" t="s">
        <v>614</v>
      </c>
      <c r="D27584" s="3" t="s">
        <v>206</v>
      </c>
      <c r="E27584" s="3" t="s">
        <v>100</v>
      </c>
      <c r="F27584" s="7">
        <v>46275.97607679545</v>
      </c>
      <c r="G27584" s="3" t="s">
        <v>26076</v>
      </c>
    </row>
    <row r="27585">
      <c r="A27585" s="3" t="s">
        <v>44051</v>
      </c>
      <c r="B27585" s="3" t="s">
        <v>22187</v>
      </c>
      <c r="C27585" s="5" t="s">
        <v>206</v>
      </c>
      <c r="D27585" s="3" t="s">
        <v>68</v>
      </c>
      <c r="E27585" s="3" t="s">
        <v>100</v>
      </c>
      <c r="F27585" s="7">
        <v>46275.97954901767</v>
      </c>
      <c r="G27585" s="3" t="s">
        <v>26078</v>
      </c>
    </row>
    <row r="27586">
      <c r="A27586" s="3" t="s">
        <v>44052</v>
      </c>
      <c r="B27586" s="3" t="s">
        <v>22190</v>
      </c>
      <c r="C27586" s="5" t="s">
        <v>45</v>
      </c>
      <c r="D27586" s="3" t="s">
        <v>221</v>
      </c>
      <c r="E27586" s="3" t="s">
        <v>239</v>
      </c>
      <c r="F27586" s="7">
        <v>46276.04030719642</v>
      </c>
      <c r="G27586" s="3" t="s">
        <v>16009</v>
      </c>
    </row>
    <row r="27587">
      <c r="A27587" s="3" t="s">
        <v>44053</v>
      </c>
      <c r="B27587" s="3" t="s">
        <v>22190</v>
      </c>
      <c r="C27587" s="5" t="s">
        <v>221</v>
      </c>
      <c r="D27587" s="3" t="s">
        <v>614</v>
      </c>
      <c r="E27587" s="3" t="s">
        <v>118</v>
      </c>
      <c r="F27587" s="7">
        <v>46276.04377941864</v>
      </c>
      <c r="G27587" s="3" t="s">
        <v>16012</v>
      </c>
    </row>
    <row r="27588">
      <c r="A27588" s="3" t="s">
        <v>44054</v>
      </c>
      <c r="B27588" s="3" t="s">
        <v>22190</v>
      </c>
      <c r="C27588" s="5" t="s">
        <v>614</v>
      </c>
      <c r="D27588" s="3" t="s">
        <v>206</v>
      </c>
      <c r="E27588" s="3" t="s">
        <v>100</v>
      </c>
      <c r="F27588" s="7">
        <v>46276.04725164086</v>
      </c>
      <c r="G27588" s="3" t="s">
        <v>16015</v>
      </c>
    </row>
    <row r="27589">
      <c r="A27589" s="3" t="s">
        <v>44055</v>
      </c>
      <c r="B27589" s="3" t="s">
        <v>22190</v>
      </c>
      <c r="C27589" s="5" t="s">
        <v>206</v>
      </c>
      <c r="D27589" s="3" t="s">
        <v>68</v>
      </c>
      <c r="E27589" s="3" t="s">
        <v>100</v>
      </c>
      <c r="F27589" s="7">
        <v>46276.05072386308</v>
      </c>
      <c r="G27589" s="3" t="s">
        <v>16017</v>
      </c>
    </row>
    <row r="27590">
      <c r="A27590" s="3" t="s">
        <v>44056</v>
      </c>
      <c r="B27590" s="3" t="s">
        <v>22194</v>
      </c>
      <c r="C27590" s="5" t="s">
        <v>45</v>
      </c>
      <c r="D27590" s="3" t="s">
        <v>221</v>
      </c>
      <c r="E27590" s="3" t="s">
        <v>929</v>
      </c>
      <c r="F27590" s="7">
        <v>46276.11148204184</v>
      </c>
      <c r="G27590" s="3" t="s">
        <v>20708</v>
      </c>
    </row>
    <row r="27591">
      <c r="A27591" s="3" t="s">
        <v>44057</v>
      </c>
      <c r="B27591" s="3" t="s">
        <v>22194</v>
      </c>
      <c r="C27591" s="5" t="s">
        <v>221</v>
      </c>
      <c r="D27591" s="3" t="s">
        <v>614</v>
      </c>
      <c r="E27591" s="3" t="s">
        <v>118</v>
      </c>
      <c r="F27591" s="7">
        <v>46276.114954264056</v>
      </c>
      <c r="G27591" s="3" t="s">
        <v>20711</v>
      </c>
    </row>
    <row r="27592">
      <c r="A27592" s="3" t="s">
        <v>44058</v>
      </c>
      <c r="B27592" s="3" t="s">
        <v>22194</v>
      </c>
      <c r="C27592" s="5" t="s">
        <v>614</v>
      </c>
      <c r="D27592" s="3" t="s">
        <v>206</v>
      </c>
      <c r="E27592" s="3" t="s">
        <v>100</v>
      </c>
      <c r="F27592" s="7">
        <v>46276.11842648628</v>
      </c>
      <c r="G27592" s="3" t="s">
        <v>20714</v>
      </c>
    </row>
    <row r="27593">
      <c r="A27593" s="3" t="s">
        <v>44059</v>
      </c>
      <c r="B27593" s="3" t="s">
        <v>22194</v>
      </c>
      <c r="C27593" s="5" t="s">
        <v>206</v>
      </c>
      <c r="D27593" s="3" t="s">
        <v>68</v>
      </c>
      <c r="E27593" s="3" t="s">
        <v>100</v>
      </c>
      <c r="F27593" s="7">
        <v>46276.1218987085</v>
      </c>
      <c r="G27593" s="3" t="s">
        <v>20717</v>
      </c>
    </row>
    <row r="27594">
      <c r="A27594" s="3" t="s">
        <v>44060</v>
      </c>
      <c r="B27594" s="3" t="s">
        <v>22197</v>
      </c>
      <c r="C27594" s="5" t="s">
        <v>45</v>
      </c>
      <c r="D27594" s="3" t="s">
        <v>221</v>
      </c>
      <c r="E27594" s="3" t="s">
        <v>1040</v>
      </c>
      <c r="F27594" s="7">
        <v>46276.18265688725</v>
      </c>
      <c r="G27594" s="3" t="s">
        <v>16619</v>
      </c>
    </row>
    <row r="27595">
      <c r="A27595" s="3" t="s">
        <v>44061</v>
      </c>
      <c r="B27595" s="3" t="s">
        <v>22197</v>
      </c>
      <c r="C27595" s="5" t="s">
        <v>221</v>
      </c>
      <c r="D27595" s="3" t="s">
        <v>181</v>
      </c>
      <c r="E27595" s="3" t="s">
        <v>118</v>
      </c>
      <c r="F27595" s="7">
        <v>46276.18612910947</v>
      </c>
      <c r="G27595" s="3" t="s">
        <v>44062</v>
      </c>
    </row>
    <row r="27596">
      <c r="A27596" s="3" t="s">
        <v>44063</v>
      </c>
      <c r="B27596" s="3" t="s">
        <v>22200</v>
      </c>
      <c r="C27596" s="5" t="s">
        <v>45</v>
      </c>
      <c r="D27596" s="3" t="s">
        <v>221</v>
      </c>
      <c r="E27596" s="3" t="s">
        <v>348</v>
      </c>
      <c r="F27596" s="7">
        <v>46276.25383173266</v>
      </c>
      <c r="G27596" s="3" t="s">
        <v>26976</v>
      </c>
    </row>
    <row r="27597">
      <c r="A27597" s="3" t="s">
        <v>44064</v>
      </c>
      <c r="B27597" s="3" t="s">
        <v>22200</v>
      </c>
      <c r="C27597" s="5" t="s">
        <v>221</v>
      </c>
      <c r="D27597" s="3" t="s">
        <v>614</v>
      </c>
      <c r="E27597" s="3" t="s">
        <v>118</v>
      </c>
      <c r="F27597" s="7">
        <v>46276.25730395488</v>
      </c>
      <c r="G27597" s="3" t="s">
        <v>26978</v>
      </c>
    </row>
    <row r="27598">
      <c r="A27598" s="3" t="s">
        <v>44065</v>
      </c>
      <c r="B27598" s="3" t="s">
        <v>22200</v>
      </c>
      <c r="C27598" s="5" t="s">
        <v>614</v>
      </c>
      <c r="D27598" s="3" t="s">
        <v>206</v>
      </c>
      <c r="E27598" s="3" t="s">
        <v>100</v>
      </c>
      <c r="F27598" s="7">
        <v>46276.26077617711</v>
      </c>
      <c r="G27598" s="3" t="s">
        <v>26980</v>
      </c>
    </row>
    <row r="27599">
      <c r="A27599" s="3" t="s">
        <v>44066</v>
      </c>
      <c r="B27599" s="3" t="s">
        <v>22200</v>
      </c>
      <c r="C27599" s="5" t="s">
        <v>206</v>
      </c>
      <c r="D27599" s="3" t="s">
        <v>68</v>
      </c>
      <c r="E27599" s="3" t="s">
        <v>100</v>
      </c>
      <c r="F27599" s="7">
        <v>46276.264248399326</v>
      </c>
      <c r="G27599" s="3" t="s">
        <v>26982</v>
      </c>
    </row>
    <row r="27600">
      <c r="A27600" s="3" t="s">
        <v>44067</v>
      </c>
      <c r="B27600" s="3" t="s">
        <v>22203</v>
      </c>
      <c r="C27600" s="5" t="s">
        <v>45</v>
      </c>
      <c r="D27600" s="3" t="s">
        <v>221</v>
      </c>
      <c r="E27600" s="3" t="s">
        <v>272</v>
      </c>
      <c r="F27600" s="7">
        <v>46276.32500657808</v>
      </c>
      <c r="G27600" s="3" t="s">
        <v>17219</v>
      </c>
    </row>
    <row r="27601">
      <c r="A27601" s="3" t="s">
        <v>44068</v>
      </c>
      <c r="B27601" s="3" t="s">
        <v>22203</v>
      </c>
      <c r="C27601" s="5" t="s">
        <v>221</v>
      </c>
      <c r="D27601" s="3" t="s">
        <v>614</v>
      </c>
      <c r="E27601" s="3" t="s">
        <v>118</v>
      </c>
      <c r="F27601" s="7">
        <v>46276.3284788003</v>
      </c>
      <c r="G27601" s="3" t="s">
        <v>17222</v>
      </c>
    </row>
    <row r="27602">
      <c r="A27602" s="3" t="s">
        <v>44069</v>
      </c>
      <c r="B27602" s="3" t="s">
        <v>22203</v>
      </c>
      <c r="C27602" s="5" t="s">
        <v>614</v>
      </c>
      <c r="D27602" s="3" t="s">
        <v>206</v>
      </c>
      <c r="E27602" s="3" t="s">
        <v>100</v>
      </c>
      <c r="F27602" s="7">
        <v>46276.33195102253</v>
      </c>
      <c r="G27602" s="3" t="s">
        <v>17225</v>
      </c>
    </row>
    <row r="27603">
      <c r="A27603" s="3" t="s">
        <v>44070</v>
      </c>
      <c r="B27603" s="3" t="s">
        <v>22203</v>
      </c>
      <c r="C27603" s="5" t="s">
        <v>206</v>
      </c>
      <c r="D27603" s="3" t="s">
        <v>68</v>
      </c>
      <c r="E27603" s="3" t="s">
        <v>100</v>
      </c>
      <c r="F27603" s="7">
        <v>46276.335423244745</v>
      </c>
      <c r="G27603" s="3" t="s">
        <v>17227</v>
      </c>
    </row>
    <row r="27604">
      <c r="A27604" s="3" t="s">
        <v>44071</v>
      </c>
      <c r="B27604" s="3" t="s">
        <v>22206</v>
      </c>
      <c r="C27604" s="5" t="s">
        <v>45</v>
      </c>
      <c r="D27604" s="3" t="s">
        <v>221</v>
      </c>
      <c r="E27604" s="3" t="s">
        <v>363</v>
      </c>
      <c r="F27604" s="7">
        <v>46276.3961814235</v>
      </c>
      <c r="G27604" s="3" t="s">
        <v>8198</v>
      </c>
    </row>
    <row r="27605">
      <c r="A27605" s="3" t="s">
        <v>44072</v>
      </c>
      <c r="B27605" s="3" t="s">
        <v>22206</v>
      </c>
      <c r="C27605" s="5" t="s">
        <v>221</v>
      </c>
      <c r="D27605" s="3" t="s">
        <v>614</v>
      </c>
      <c r="E27605" s="3" t="s">
        <v>118</v>
      </c>
      <c r="F27605" s="7">
        <v>46276.39965364572</v>
      </c>
      <c r="G27605" s="3" t="s">
        <v>8201</v>
      </c>
    </row>
    <row r="27606">
      <c r="A27606" s="3" t="s">
        <v>44073</v>
      </c>
      <c r="B27606" s="3" t="s">
        <v>22206</v>
      </c>
      <c r="C27606" s="5" t="s">
        <v>614</v>
      </c>
      <c r="D27606" s="3" t="s">
        <v>206</v>
      </c>
      <c r="E27606" s="3" t="s">
        <v>100</v>
      </c>
      <c r="F27606" s="7">
        <v>46276.403125867946</v>
      </c>
      <c r="G27606" s="3" t="s">
        <v>8204</v>
      </c>
    </row>
    <row r="27607">
      <c r="A27607" s="3" t="s">
        <v>44074</v>
      </c>
      <c r="B27607" s="3" t="s">
        <v>22206</v>
      </c>
      <c r="C27607" s="5" t="s">
        <v>206</v>
      </c>
      <c r="D27607" s="3" t="s">
        <v>68</v>
      </c>
      <c r="E27607" s="3" t="s">
        <v>100</v>
      </c>
      <c r="F27607" s="7">
        <v>46276.406598090165</v>
      </c>
      <c r="G27607" s="3" t="s">
        <v>8207</v>
      </c>
    </row>
    <row r="27608">
      <c r="A27608" s="3" t="s">
        <v>44075</v>
      </c>
      <c r="B27608" s="3" t="s">
        <v>22209</v>
      </c>
      <c r="C27608" s="5" t="s">
        <v>45</v>
      </c>
      <c r="D27608" s="3" t="s">
        <v>221</v>
      </c>
      <c r="E27608" s="3" t="s">
        <v>685</v>
      </c>
      <c r="F27608" s="7">
        <v>46276.467356268906</v>
      </c>
      <c r="G27608" s="3" t="s">
        <v>16020</v>
      </c>
    </row>
    <row r="27609">
      <c r="A27609" s="3" t="s">
        <v>44076</v>
      </c>
      <c r="B27609" s="3" t="s">
        <v>22209</v>
      </c>
      <c r="C27609" s="5" t="s">
        <v>221</v>
      </c>
      <c r="D27609" s="3" t="s">
        <v>614</v>
      </c>
      <c r="E27609" s="3" t="s">
        <v>118</v>
      </c>
      <c r="F27609" s="7">
        <v>46276.470828491125</v>
      </c>
      <c r="G27609" s="3" t="s">
        <v>16023</v>
      </c>
    </row>
    <row r="27610">
      <c r="A27610" s="3" t="s">
        <v>44077</v>
      </c>
      <c r="B27610" s="3" t="s">
        <v>22209</v>
      </c>
      <c r="C27610" s="5" t="s">
        <v>614</v>
      </c>
      <c r="D27610" s="3" t="s">
        <v>206</v>
      </c>
      <c r="E27610" s="3" t="s">
        <v>100</v>
      </c>
      <c r="F27610" s="7">
        <v>46276.47430071335</v>
      </c>
      <c r="G27610" s="3" t="s">
        <v>16026</v>
      </c>
    </row>
    <row r="27611">
      <c r="A27611" s="3" t="s">
        <v>44078</v>
      </c>
      <c r="B27611" s="3" t="s">
        <v>22209</v>
      </c>
      <c r="C27611" s="5" t="s">
        <v>206</v>
      </c>
      <c r="D27611" s="3" t="s">
        <v>68</v>
      </c>
      <c r="E27611" s="3" t="s">
        <v>100</v>
      </c>
      <c r="F27611" s="7">
        <v>46276.47777293557</v>
      </c>
      <c r="G27611" s="3" t="s">
        <v>16029</v>
      </c>
    </row>
    <row r="27612">
      <c r="A27612" s="3" t="s">
        <v>44079</v>
      </c>
      <c r="B27612" s="3" t="s">
        <v>22212</v>
      </c>
      <c r="C27612" s="5" t="s">
        <v>45</v>
      </c>
      <c r="D27612" s="3" t="s">
        <v>221</v>
      </c>
      <c r="E27612" s="3" t="s">
        <v>183</v>
      </c>
      <c r="F27612" s="7">
        <v>46276.538531114325</v>
      </c>
      <c r="G27612" s="3" t="s">
        <v>35347</v>
      </c>
    </row>
    <row r="27613">
      <c r="A27613" s="3" t="s">
        <v>44080</v>
      </c>
      <c r="B27613" s="3" t="s">
        <v>22212</v>
      </c>
      <c r="C27613" s="5" t="s">
        <v>221</v>
      </c>
      <c r="D27613" s="3" t="s">
        <v>614</v>
      </c>
      <c r="E27613" s="3" t="s">
        <v>118</v>
      </c>
      <c r="F27613" s="7">
        <v>46276.542003336544</v>
      </c>
      <c r="G27613" s="3" t="s">
        <v>35349</v>
      </c>
    </row>
    <row r="27614">
      <c r="A27614" s="3" t="s">
        <v>44081</v>
      </c>
      <c r="B27614" s="3" t="s">
        <v>22212</v>
      </c>
      <c r="C27614" s="5" t="s">
        <v>614</v>
      </c>
      <c r="D27614" s="3" t="s">
        <v>206</v>
      </c>
      <c r="E27614" s="3" t="s">
        <v>100</v>
      </c>
      <c r="F27614" s="7">
        <v>46276.54547555877</v>
      </c>
      <c r="G27614" s="3" t="s">
        <v>35351</v>
      </c>
    </row>
    <row r="27615">
      <c r="A27615" s="3" t="s">
        <v>44082</v>
      </c>
      <c r="B27615" s="3" t="s">
        <v>22212</v>
      </c>
      <c r="C27615" s="5" t="s">
        <v>206</v>
      </c>
      <c r="D27615" s="3" t="s">
        <v>68</v>
      </c>
      <c r="E27615" s="3" t="s">
        <v>100</v>
      </c>
      <c r="F27615" s="7">
        <v>46276.54894778099</v>
      </c>
      <c r="G27615" s="3" t="s">
        <v>35353</v>
      </c>
    </row>
    <row r="27616">
      <c r="A27616" s="3" t="s">
        <v>44083</v>
      </c>
      <c r="B27616" s="3" t="s">
        <v>22214</v>
      </c>
      <c r="C27616" s="5" t="s">
        <v>45</v>
      </c>
      <c r="D27616" s="3" t="s">
        <v>221</v>
      </c>
      <c r="E27616" s="3" t="s">
        <v>908</v>
      </c>
      <c r="F27616" s="7">
        <v>46276.60970595974</v>
      </c>
      <c r="G27616" s="3" t="s">
        <v>16100</v>
      </c>
    </row>
    <row r="27617">
      <c r="A27617" s="3" t="s">
        <v>44084</v>
      </c>
      <c r="B27617" s="3" t="s">
        <v>22214</v>
      </c>
      <c r="C27617" s="5" t="s">
        <v>221</v>
      </c>
      <c r="D27617" s="3" t="s">
        <v>614</v>
      </c>
      <c r="E27617" s="3" t="s">
        <v>118</v>
      </c>
      <c r="F27617" s="7">
        <v>46276.61317818196</v>
      </c>
      <c r="G27617" s="3" t="s">
        <v>16102</v>
      </c>
    </row>
    <row r="27618">
      <c r="A27618" s="3" t="s">
        <v>44085</v>
      </c>
      <c r="B27618" s="3" t="s">
        <v>22214</v>
      </c>
      <c r="C27618" s="5" t="s">
        <v>614</v>
      </c>
      <c r="D27618" s="3" t="s">
        <v>206</v>
      </c>
      <c r="E27618" s="3" t="s">
        <v>100</v>
      </c>
      <c r="F27618" s="7">
        <v>46276.61665040418</v>
      </c>
      <c r="G27618" s="3" t="s">
        <v>16105</v>
      </c>
    </row>
    <row r="27619">
      <c r="A27619" s="3" t="s">
        <v>44086</v>
      </c>
      <c r="B27619" s="3" t="s">
        <v>22214</v>
      </c>
      <c r="C27619" s="5" t="s">
        <v>206</v>
      </c>
      <c r="D27619" s="3" t="s">
        <v>68</v>
      </c>
      <c r="E27619" s="3" t="s">
        <v>100</v>
      </c>
      <c r="F27619" s="7">
        <v>46276.6201226264</v>
      </c>
      <c r="G27619" s="3" t="s">
        <v>16108</v>
      </c>
    </row>
    <row r="27620">
      <c r="A27620" s="3" t="s">
        <v>44087</v>
      </c>
      <c r="B27620" s="3" t="s">
        <v>22217</v>
      </c>
      <c r="C27620" s="5" t="s">
        <v>45</v>
      </c>
      <c r="D27620" s="3" t="s">
        <v>221</v>
      </c>
      <c r="E27620" s="3" t="s">
        <v>939</v>
      </c>
      <c r="F27620" s="7">
        <v>46276.68088080516</v>
      </c>
      <c r="G27620" s="3" t="s">
        <v>13032</v>
      </c>
    </row>
    <row r="27621">
      <c r="A27621" s="3" t="s">
        <v>44088</v>
      </c>
      <c r="B27621" s="3" t="s">
        <v>22217</v>
      </c>
      <c r="C27621" s="5" t="s">
        <v>221</v>
      </c>
      <c r="D27621" s="3" t="s">
        <v>614</v>
      </c>
      <c r="E27621" s="3" t="s">
        <v>118</v>
      </c>
      <c r="F27621" s="7">
        <v>46276.684353027376</v>
      </c>
      <c r="G27621" s="3" t="s">
        <v>26882</v>
      </c>
    </row>
    <row r="27622">
      <c r="A27622" s="3" t="s">
        <v>44089</v>
      </c>
      <c r="B27622" s="3" t="s">
        <v>22217</v>
      </c>
      <c r="C27622" s="5" t="s">
        <v>614</v>
      </c>
      <c r="D27622" s="3" t="s">
        <v>206</v>
      </c>
      <c r="E27622" s="3" t="s">
        <v>100</v>
      </c>
      <c r="F27622" s="7">
        <v>46276.6878252496</v>
      </c>
      <c r="G27622" s="3" t="s">
        <v>26884</v>
      </c>
    </row>
    <row r="27623">
      <c r="A27623" s="3" t="s">
        <v>44090</v>
      </c>
      <c r="B27623" s="3" t="s">
        <v>22217</v>
      </c>
      <c r="C27623" s="5" t="s">
        <v>206</v>
      </c>
      <c r="D27623" s="3" t="s">
        <v>68</v>
      </c>
      <c r="E27623" s="3" t="s">
        <v>100</v>
      </c>
      <c r="F27623" s="7">
        <v>46276.69129747182</v>
      </c>
      <c r="G27623" s="3" t="s">
        <v>26886</v>
      </c>
    </row>
    <row r="27624">
      <c r="A27624" s="3" t="s">
        <v>44091</v>
      </c>
      <c r="B27624" s="3" t="s">
        <v>22221</v>
      </c>
      <c r="C27624" s="5" t="s">
        <v>45</v>
      </c>
      <c r="D27624" s="3" t="s">
        <v>221</v>
      </c>
      <c r="E27624" s="3" t="s">
        <v>1030</v>
      </c>
      <c r="F27624" s="7">
        <v>46276.75205565057</v>
      </c>
      <c r="G27624" s="3" t="s">
        <v>19424</v>
      </c>
    </row>
    <row r="27625">
      <c r="A27625" s="3" t="s">
        <v>44092</v>
      </c>
      <c r="B27625" s="3" t="s">
        <v>22221</v>
      </c>
      <c r="C27625" s="5" t="s">
        <v>221</v>
      </c>
      <c r="D27625" s="3" t="s">
        <v>614</v>
      </c>
      <c r="E27625" s="3" t="s">
        <v>118</v>
      </c>
      <c r="F27625" s="7">
        <v>46276.75552787279</v>
      </c>
      <c r="G27625" s="3" t="s">
        <v>19427</v>
      </c>
    </row>
    <row r="27626">
      <c r="A27626" s="3" t="s">
        <v>44093</v>
      </c>
      <c r="B27626" s="3" t="s">
        <v>22221</v>
      </c>
      <c r="C27626" s="5" t="s">
        <v>614</v>
      </c>
      <c r="D27626" s="3" t="s">
        <v>206</v>
      </c>
      <c r="E27626" s="3" t="s">
        <v>100</v>
      </c>
      <c r="F27626" s="7">
        <v>46276.759000095015</v>
      </c>
      <c r="G27626" s="3" t="s">
        <v>19430</v>
      </c>
    </row>
    <row r="27627">
      <c r="A27627" s="3" t="s">
        <v>44094</v>
      </c>
      <c r="B27627" s="3" t="s">
        <v>22221</v>
      </c>
      <c r="C27627" s="5" t="s">
        <v>206</v>
      </c>
      <c r="D27627" s="3" t="s">
        <v>68</v>
      </c>
      <c r="E27627" s="3" t="s">
        <v>100</v>
      </c>
      <c r="F27627" s="7">
        <v>46276.762472317234</v>
      </c>
      <c r="G27627" s="3" t="s">
        <v>19432</v>
      </c>
    </row>
    <row r="27628">
      <c r="A27628" s="3" t="s">
        <v>44095</v>
      </c>
      <c r="B27628" s="3" t="s">
        <v>22224</v>
      </c>
      <c r="C27628" s="5" t="s">
        <v>45</v>
      </c>
      <c r="D27628" s="3" t="s">
        <v>221</v>
      </c>
      <c r="E27628" s="3" t="s">
        <v>760</v>
      </c>
      <c r="F27628" s="7">
        <v>46276.82323049599</v>
      </c>
      <c r="G27628" s="3" t="s">
        <v>43028</v>
      </c>
    </row>
    <row r="27629">
      <c r="A27629" s="3" t="s">
        <v>44096</v>
      </c>
      <c r="B27629" s="3" t="s">
        <v>22224</v>
      </c>
      <c r="C27629" s="5" t="s">
        <v>221</v>
      </c>
      <c r="D27629" s="3" t="s">
        <v>614</v>
      </c>
      <c r="E27629" s="3" t="s">
        <v>118</v>
      </c>
      <c r="F27629" s="7">
        <v>46276.82670271821</v>
      </c>
      <c r="G27629" s="3" t="s">
        <v>43030</v>
      </c>
    </row>
    <row r="27630">
      <c r="A27630" s="3" t="s">
        <v>44097</v>
      </c>
      <c r="B27630" s="3" t="s">
        <v>22224</v>
      </c>
      <c r="C27630" s="5" t="s">
        <v>614</v>
      </c>
      <c r="D27630" s="3" t="s">
        <v>206</v>
      </c>
      <c r="E27630" s="3" t="s">
        <v>100</v>
      </c>
      <c r="F27630" s="7">
        <v>46276.830174940435</v>
      </c>
      <c r="G27630" s="3" t="s">
        <v>43032</v>
      </c>
    </row>
    <row r="27631">
      <c r="A27631" s="3" t="s">
        <v>44098</v>
      </c>
      <c r="B27631" s="3" t="s">
        <v>22224</v>
      </c>
      <c r="C27631" s="5" t="s">
        <v>206</v>
      </c>
      <c r="D27631" s="3" t="s">
        <v>68</v>
      </c>
      <c r="E27631" s="3" t="s">
        <v>100</v>
      </c>
      <c r="F27631" s="7">
        <v>46276.83364716265</v>
      </c>
      <c r="G27631" s="3" t="s">
        <v>43034</v>
      </c>
    </row>
    <row r="27632">
      <c r="A27632" s="3" t="s">
        <v>44099</v>
      </c>
      <c r="B27632" s="3" t="s">
        <v>22227</v>
      </c>
      <c r="C27632" s="5" t="s">
        <v>45</v>
      </c>
      <c r="D27632" s="3" t="s">
        <v>221</v>
      </c>
      <c r="E27632" s="3" t="s">
        <v>629</v>
      </c>
      <c r="F27632" s="7">
        <v>46276.894405341394</v>
      </c>
      <c r="G27632" s="3" t="s">
        <v>16955</v>
      </c>
    </row>
    <row r="27633">
      <c r="A27633" s="3" t="s">
        <v>44100</v>
      </c>
      <c r="B27633" s="3" t="s">
        <v>22227</v>
      </c>
      <c r="C27633" s="5" t="s">
        <v>221</v>
      </c>
      <c r="D27633" s="3" t="s">
        <v>614</v>
      </c>
      <c r="E27633" s="3" t="s">
        <v>118</v>
      </c>
      <c r="F27633" s="7">
        <v>46276.89787756361</v>
      </c>
      <c r="G27633" s="3" t="s">
        <v>27739</v>
      </c>
    </row>
    <row r="27634">
      <c r="A27634" s="3" t="s">
        <v>44101</v>
      </c>
      <c r="B27634" s="3" t="s">
        <v>22227</v>
      </c>
      <c r="C27634" s="5" t="s">
        <v>614</v>
      </c>
      <c r="D27634" s="3" t="s">
        <v>206</v>
      </c>
      <c r="E27634" s="3" t="s">
        <v>100</v>
      </c>
      <c r="F27634" s="7">
        <v>46276.90134978584</v>
      </c>
      <c r="G27634" s="3" t="s">
        <v>27741</v>
      </c>
    </row>
    <row r="27635">
      <c r="A27635" s="3" t="s">
        <v>44102</v>
      </c>
      <c r="B27635" s="3" t="s">
        <v>22227</v>
      </c>
      <c r="C27635" s="5" t="s">
        <v>206</v>
      </c>
      <c r="D27635" s="3" t="s">
        <v>68</v>
      </c>
      <c r="E27635" s="3" t="s">
        <v>100</v>
      </c>
      <c r="F27635" s="7">
        <v>46276.90482200806</v>
      </c>
      <c r="G27635" s="3" t="s">
        <v>27743</v>
      </c>
    </row>
    <row r="27636">
      <c r="A27636" s="3" t="s">
        <v>44103</v>
      </c>
      <c r="B27636" s="3" t="s">
        <v>22230</v>
      </c>
      <c r="C27636" s="5" t="s">
        <v>45</v>
      </c>
      <c r="D27636" s="3" t="s">
        <v>221</v>
      </c>
      <c r="E27636" s="3" t="s">
        <v>204</v>
      </c>
      <c r="F27636" s="7">
        <v>46276.965580186814</v>
      </c>
      <c r="G27636" s="3" t="s">
        <v>24654</v>
      </c>
    </row>
    <row r="27637">
      <c r="A27637" s="3" t="s">
        <v>44104</v>
      </c>
      <c r="B27637" s="3" t="s">
        <v>22230</v>
      </c>
      <c r="C27637" s="5" t="s">
        <v>221</v>
      </c>
      <c r="D27637" s="3" t="s">
        <v>614</v>
      </c>
      <c r="E27637" s="3" t="s">
        <v>118</v>
      </c>
      <c r="F27637" s="7">
        <v>46276.96905240903</v>
      </c>
      <c r="G27637" s="3" t="s">
        <v>27459</v>
      </c>
    </row>
    <row r="27638">
      <c r="A27638" s="3" t="s">
        <v>44105</v>
      </c>
      <c r="B27638" s="3" t="s">
        <v>22230</v>
      </c>
      <c r="C27638" s="5" t="s">
        <v>614</v>
      </c>
      <c r="D27638" s="3" t="s">
        <v>206</v>
      </c>
      <c r="E27638" s="3" t="s">
        <v>100</v>
      </c>
      <c r="F27638" s="7">
        <v>46276.97252463126</v>
      </c>
      <c r="G27638" s="3" t="s">
        <v>27461</v>
      </c>
    </row>
    <row r="27639">
      <c r="A27639" s="3" t="s">
        <v>44106</v>
      </c>
      <c r="B27639" s="3" t="s">
        <v>22230</v>
      </c>
      <c r="C27639" s="5" t="s">
        <v>206</v>
      </c>
      <c r="D27639" s="3" t="s">
        <v>68</v>
      </c>
      <c r="E27639" s="3" t="s">
        <v>100</v>
      </c>
      <c r="F27639" s="7">
        <v>46276.97599685348</v>
      </c>
      <c r="G27639" s="3" t="s">
        <v>27463</v>
      </c>
    </row>
    <row r="27640">
      <c r="A27640" s="3" t="s">
        <v>44107</v>
      </c>
      <c r="B27640" s="3" t="s">
        <v>22233</v>
      </c>
      <c r="C27640" s="5" t="s">
        <v>45</v>
      </c>
      <c r="D27640" s="3" t="s">
        <v>221</v>
      </c>
      <c r="E27640" s="3" t="s">
        <v>747</v>
      </c>
      <c r="F27640" s="7">
        <v>46277.03675503223</v>
      </c>
      <c r="G27640" s="3" t="s">
        <v>10142</v>
      </c>
    </row>
    <row r="27641">
      <c r="A27641" s="3" t="s">
        <v>44108</v>
      </c>
      <c r="B27641" s="3" t="s">
        <v>22233</v>
      </c>
      <c r="C27641" s="5" t="s">
        <v>221</v>
      </c>
      <c r="D27641" s="3" t="s">
        <v>614</v>
      </c>
      <c r="E27641" s="3" t="s">
        <v>118</v>
      </c>
      <c r="F27641" s="7">
        <v>46277.04022725445</v>
      </c>
      <c r="G27641" s="3" t="s">
        <v>10145</v>
      </c>
    </row>
    <row r="27642">
      <c r="A27642" s="3" t="s">
        <v>44109</v>
      </c>
      <c r="B27642" s="3" t="s">
        <v>22233</v>
      </c>
      <c r="C27642" s="5" t="s">
        <v>614</v>
      </c>
      <c r="D27642" s="3" t="s">
        <v>206</v>
      </c>
      <c r="E27642" s="3" t="s">
        <v>100</v>
      </c>
      <c r="F27642" s="7">
        <v>46277.04369947668</v>
      </c>
      <c r="G27642" s="3" t="s">
        <v>10148</v>
      </c>
    </row>
    <row r="27643">
      <c r="A27643" s="3" t="s">
        <v>44110</v>
      </c>
      <c r="B27643" s="3" t="s">
        <v>22233</v>
      </c>
      <c r="C27643" s="5" t="s">
        <v>206</v>
      </c>
      <c r="D27643" s="3" t="s">
        <v>68</v>
      </c>
      <c r="E27643" s="3" t="s">
        <v>100</v>
      </c>
      <c r="F27643" s="7">
        <v>46277.0471716989</v>
      </c>
      <c r="G27643" s="3" t="s">
        <v>10151</v>
      </c>
    </row>
    <row r="27644">
      <c r="A27644" s="3" t="s">
        <v>44111</v>
      </c>
      <c r="B27644" s="3" t="s">
        <v>22236</v>
      </c>
      <c r="C27644" s="5" t="s">
        <v>45</v>
      </c>
      <c r="D27644" s="3" t="s">
        <v>221</v>
      </c>
      <c r="E27644" s="3" t="s">
        <v>326</v>
      </c>
      <c r="F27644" s="7">
        <v>46277.107929877646</v>
      </c>
      <c r="G27644" s="3" t="s">
        <v>16055</v>
      </c>
    </row>
    <row r="27645">
      <c r="A27645" s="3" t="s">
        <v>44112</v>
      </c>
      <c r="B27645" s="3" t="s">
        <v>22236</v>
      </c>
      <c r="C27645" s="5" t="s">
        <v>221</v>
      </c>
      <c r="D27645" s="3" t="s">
        <v>614</v>
      </c>
      <c r="E27645" s="3" t="s">
        <v>118</v>
      </c>
      <c r="F27645" s="7">
        <v>46277.111402099865</v>
      </c>
      <c r="G27645" s="3" t="s">
        <v>16057</v>
      </c>
    </row>
    <row r="27646">
      <c r="A27646" s="3" t="s">
        <v>44113</v>
      </c>
      <c r="B27646" s="3" t="s">
        <v>22236</v>
      </c>
      <c r="C27646" s="5" t="s">
        <v>614</v>
      </c>
      <c r="D27646" s="3" t="s">
        <v>206</v>
      </c>
      <c r="E27646" s="3" t="s">
        <v>100</v>
      </c>
      <c r="F27646" s="7">
        <v>46277.11487432209</v>
      </c>
      <c r="G27646" s="3" t="s">
        <v>16060</v>
      </c>
    </row>
    <row r="27647">
      <c r="A27647" s="3" t="s">
        <v>44114</v>
      </c>
      <c r="B27647" s="3" t="s">
        <v>22236</v>
      </c>
      <c r="C27647" s="5" t="s">
        <v>206</v>
      </c>
      <c r="D27647" s="3" t="s">
        <v>68</v>
      </c>
      <c r="E27647" s="3" t="s">
        <v>100</v>
      </c>
      <c r="F27647" s="7">
        <v>46277.11834654431</v>
      </c>
      <c r="G27647" s="3" t="s">
        <v>16063</v>
      </c>
    </row>
    <row r="27648">
      <c r="A27648" s="3" t="s">
        <v>44115</v>
      </c>
      <c r="B27648" s="3" t="s">
        <v>22240</v>
      </c>
      <c r="C27648" s="5" t="s">
        <v>45</v>
      </c>
      <c r="D27648" s="3" t="s">
        <v>221</v>
      </c>
      <c r="E27648" s="3" t="s">
        <v>330</v>
      </c>
      <c r="F27648" s="7">
        <v>46277.17910472306</v>
      </c>
      <c r="G27648" s="3" t="s">
        <v>16121</v>
      </c>
    </row>
    <row r="27649">
      <c r="A27649" s="3" t="s">
        <v>44116</v>
      </c>
      <c r="B27649" s="3" t="s">
        <v>22240</v>
      </c>
      <c r="C27649" s="5" t="s">
        <v>221</v>
      </c>
      <c r="D27649" s="3" t="s">
        <v>614</v>
      </c>
      <c r="E27649" s="3" t="s">
        <v>118</v>
      </c>
      <c r="F27649" s="7">
        <v>46277.18257694528</v>
      </c>
      <c r="G27649" s="3" t="s">
        <v>16124</v>
      </c>
    </row>
    <row r="27650">
      <c r="A27650" s="3" t="s">
        <v>44117</v>
      </c>
      <c r="B27650" s="3" t="s">
        <v>22240</v>
      </c>
      <c r="C27650" s="5" t="s">
        <v>614</v>
      </c>
      <c r="D27650" s="3" t="s">
        <v>206</v>
      </c>
      <c r="E27650" s="3" t="s">
        <v>100</v>
      </c>
      <c r="F27650" s="7">
        <v>46277.1860491675</v>
      </c>
      <c r="G27650" s="3" t="s">
        <v>16127</v>
      </c>
    </row>
    <row r="27651">
      <c r="A27651" s="3" t="s">
        <v>44118</v>
      </c>
      <c r="B27651" s="3" t="s">
        <v>22240</v>
      </c>
      <c r="C27651" s="5" t="s">
        <v>206</v>
      </c>
      <c r="D27651" s="3" t="s">
        <v>68</v>
      </c>
      <c r="E27651" s="3" t="s">
        <v>100</v>
      </c>
      <c r="F27651" s="7">
        <v>46277.18952138972</v>
      </c>
      <c r="G27651" s="3" t="s">
        <v>16130</v>
      </c>
    </row>
    <row r="27652">
      <c r="A27652" s="3" t="s">
        <v>44119</v>
      </c>
      <c r="B27652" s="3" t="s">
        <v>22243</v>
      </c>
      <c r="C27652" s="5" t="s">
        <v>45</v>
      </c>
      <c r="D27652" s="3" t="s">
        <v>221</v>
      </c>
      <c r="E27652" s="3" t="s">
        <v>793</v>
      </c>
      <c r="F27652" s="7">
        <v>46277.25027956848</v>
      </c>
      <c r="G27652" s="3" t="s">
        <v>16156</v>
      </c>
    </row>
    <row r="27653">
      <c r="A27653" s="3" t="s">
        <v>44120</v>
      </c>
      <c r="B27653" s="3" t="s">
        <v>22243</v>
      </c>
      <c r="C27653" s="5" t="s">
        <v>221</v>
      </c>
      <c r="D27653" s="3" t="s">
        <v>614</v>
      </c>
      <c r="E27653" s="3" t="s">
        <v>118</v>
      </c>
      <c r="F27653" s="7">
        <v>46277.2537517907</v>
      </c>
      <c r="G27653" s="3" t="s">
        <v>16158</v>
      </c>
    </row>
    <row r="27654">
      <c r="A27654" s="3" t="s">
        <v>44121</v>
      </c>
      <c r="B27654" s="3" t="s">
        <v>22243</v>
      </c>
      <c r="C27654" s="5" t="s">
        <v>614</v>
      </c>
      <c r="D27654" s="3" t="s">
        <v>206</v>
      </c>
      <c r="E27654" s="3" t="s">
        <v>100</v>
      </c>
      <c r="F27654" s="7">
        <v>46277.25722401292</v>
      </c>
      <c r="G27654" s="3" t="s">
        <v>16161</v>
      </c>
    </row>
    <row r="27655">
      <c r="A27655" s="3" t="s">
        <v>44122</v>
      </c>
      <c r="B27655" s="3" t="s">
        <v>22243</v>
      </c>
      <c r="C27655" s="5" t="s">
        <v>206</v>
      </c>
      <c r="D27655" s="3" t="s">
        <v>68</v>
      </c>
      <c r="E27655" s="3" t="s">
        <v>100</v>
      </c>
      <c r="F27655" s="7">
        <v>46277.26069623514</v>
      </c>
      <c r="G27655" s="3" t="s">
        <v>16164</v>
      </c>
    </row>
    <row r="27656">
      <c r="A27656" s="3" t="s">
        <v>44123</v>
      </c>
      <c r="B27656" s="3" t="s">
        <v>22246</v>
      </c>
      <c r="C27656" s="5" t="s">
        <v>45</v>
      </c>
      <c r="D27656" s="3" t="s">
        <v>221</v>
      </c>
      <c r="E27656" s="3" t="s">
        <v>193</v>
      </c>
      <c r="F27656" s="7">
        <v>46277.32145441389</v>
      </c>
      <c r="G27656" s="3" t="s">
        <v>16167</v>
      </c>
    </row>
    <row r="27657">
      <c r="A27657" s="3" t="s">
        <v>44124</v>
      </c>
      <c r="B27657" s="3" t="s">
        <v>22246</v>
      </c>
      <c r="C27657" s="5" t="s">
        <v>221</v>
      </c>
      <c r="D27657" s="3" t="s">
        <v>614</v>
      </c>
      <c r="E27657" s="3" t="s">
        <v>118</v>
      </c>
      <c r="F27657" s="7">
        <v>46277.32492663611</v>
      </c>
      <c r="G27657" s="3" t="s">
        <v>16170</v>
      </c>
    </row>
    <row r="27658">
      <c r="A27658" s="3" t="s">
        <v>44125</v>
      </c>
      <c r="B27658" s="3" t="s">
        <v>22246</v>
      </c>
      <c r="C27658" s="5" t="s">
        <v>614</v>
      </c>
      <c r="D27658" s="3" t="s">
        <v>206</v>
      </c>
      <c r="E27658" s="3" t="s">
        <v>100</v>
      </c>
      <c r="F27658" s="7">
        <v>46277.328398858335</v>
      </c>
      <c r="G27658" s="3" t="s">
        <v>16172</v>
      </c>
    </row>
    <row r="27659">
      <c r="A27659" s="3" t="s">
        <v>44126</v>
      </c>
      <c r="B27659" s="3" t="s">
        <v>22246</v>
      </c>
      <c r="C27659" s="5" t="s">
        <v>206</v>
      </c>
      <c r="D27659" s="3" t="s">
        <v>68</v>
      </c>
      <c r="E27659" s="3" t="s">
        <v>100</v>
      </c>
      <c r="F27659" s="7">
        <v>46277.331871080554</v>
      </c>
      <c r="G27659" s="3" t="s">
        <v>16175</v>
      </c>
    </row>
    <row r="27660">
      <c r="A27660" s="3" t="s">
        <v>44127</v>
      </c>
      <c r="B27660" s="3" t="s">
        <v>22248</v>
      </c>
      <c r="C27660" s="5" t="s">
        <v>45</v>
      </c>
      <c r="D27660" s="3" t="s">
        <v>221</v>
      </c>
      <c r="E27660" s="3" t="s">
        <v>765</v>
      </c>
      <c r="F27660" s="7">
        <v>46277.3926292593</v>
      </c>
      <c r="G27660" s="3" t="s">
        <v>12238</v>
      </c>
    </row>
    <row r="27661">
      <c r="A27661" s="3" t="s">
        <v>44128</v>
      </c>
      <c r="B27661" s="3" t="s">
        <v>22248</v>
      </c>
      <c r="C27661" s="5" t="s">
        <v>221</v>
      </c>
      <c r="D27661" s="3" t="s">
        <v>614</v>
      </c>
      <c r="E27661" s="3" t="s">
        <v>118</v>
      </c>
      <c r="F27661" s="7">
        <v>46277.39610148152</v>
      </c>
      <c r="G27661" s="3" t="s">
        <v>12242</v>
      </c>
    </row>
    <row r="27662">
      <c r="A27662" s="3" t="s">
        <v>44129</v>
      </c>
      <c r="B27662" s="3" t="s">
        <v>22248</v>
      </c>
      <c r="C27662" s="5" t="s">
        <v>614</v>
      </c>
      <c r="D27662" s="3" t="s">
        <v>206</v>
      </c>
      <c r="E27662" s="3" t="s">
        <v>100</v>
      </c>
      <c r="F27662" s="7">
        <v>46277.39957370375</v>
      </c>
      <c r="G27662" s="3" t="s">
        <v>12245</v>
      </c>
    </row>
    <row r="27663">
      <c r="A27663" s="3" t="s">
        <v>44130</v>
      </c>
      <c r="B27663" s="3" t="s">
        <v>22248</v>
      </c>
      <c r="C27663" s="5" t="s">
        <v>206</v>
      </c>
      <c r="D27663" s="3" t="s">
        <v>68</v>
      </c>
      <c r="E27663" s="3" t="s">
        <v>100</v>
      </c>
      <c r="F27663" s="7">
        <v>46277.40304592597</v>
      </c>
      <c r="G27663" s="3" t="s">
        <v>12248</v>
      </c>
    </row>
    <row r="27664">
      <c r="A27664" s="3" t="s">
        <v>44131</v>
      </c>
      <c r="B27664" s="3" t="s">
        <v>22250</v>
      </c>
      <c r="C27664" s="5" t="s">
        <v>45</v>
      </c>
      <c r="D27664" s="3" t="s">
        <v>221</v>
      </c>
      <c r="E27664" s="3" t="s">
        <v>535</v>
      </c>
      <c r="F27664" s="7">
        <v>46277.46380410472</v>
      </c>
      <c r="G27664" s="3" t="s">
        <v>16244</v>
      </c>
    </row>
    <row r="27665">
      <c r="A27665" s="3" t="s">
        <v>44132</v>
      </c>
      <c r="B27665" s="3" t="s">
        <v>22250</v>
      </c>
      <c r="C27665" s="5" t="s">
        <v>221</v>
      </c>
      <c r="D27665" s="3" t="s">
        <v>614</v>
      </c>
      <c r="E27665" s="3" t="s">
        <v>118</v>
      </c>
      <c r="F27665" s="7">
        <v>46277.46727632694</v>
      </c>
      <c r="G27665" s="3" t="s">
        <v>16247</v>
      </c>
    </row>
    <row r="27666">
      <c r="A27666" s="3" t="s">
        <v>44133</v>
      </c>
      <c r="B27666" s="3" t="s">
        <v>22250</v>
      </c>
      <c r="C27666" s="5" t="s">
        <v>614</v>
      </c>
      <c r="D27666" s="3" t="s">
        <v>206</v>
      </c>
      <c r="E27666" s="3" t="s">
        <v>100</v>
      </c>
      <c r="F27666" s="7">
        <v>46277.47074854917</v>
      </c>
      <c r="G27666" s="3" t="s">
        <v>16249</v>
      </c>
    </row>
    <row r="27667">
      <c r="A27667" s="3" t="s">
        <v>44134</v>
      </c>
      <c r="B27667" s="3" t="s">
        <v>22250</v>
      </c>
      <c r="C27667" s="5" t="s">
        <v>206</v>
      </c>
      <c r="D27667" s="3" t="s">
        <v>68</v>
      </c>
      <c r="E27667" s="3" t="s">
        <v>100</v>
      </c>
      <c r="F27667" s="7">
        <v>46277.474220771386</v>
      </c>
      <c r="G27667" s="3" t="s">
        <v>16252</v>
      </c>
    </row>
    <row r="27668">
      <c r="A27668" s="3" t="s">
        <v>44135</v>
      </c>
      <c r="B27668" s="3" t="s">
        <v>22252</v>
      </c>
      <c r="C27668" s="5" t="s">
        <v>45</v>
      </c>
      <c r="D27668" s="3" t="s">
        <v>221</v>
      </c>
      <c r="E27668" s="3" t="s">
        <v>260</v>
      </c>
      <c r="F27668" s="7">
        <v>46277.53497895014</v>
      </c>
      <c r="G27668" s="3" t="s">
        <v>16280</v>
      </c>
    </row>
    <row r="27669">
      <c r="A27669" s="3" t="s">
        <v>44136</v>
      </c>
      <c r="B27669" s="3" t="s">
        <v>22252</v>
      </c>
      <c r="C27669" s="5" t="s">
        <v>221</v>
      </c>
      <c r="D27669" s="3" t="s">
        <v>614</v>
      </c>
      <c r="E27669" s="3" t="s">
        <v>118</v>
      </c>
      <c r="F27669" s="7">
        <v>46277.53845117236</v>
      </c>
      <c r="G27669" s="3" t="s">
        <v>16283</v>
      </c>
    </row>
    <row r="27670">
      <c r="A27670" s="3" t="s">
        <v>44137</v>
      </c>
      <c r="B27670" s="3" t="s">
        <v>22252</v>
      </c>
      <c r="C27670" s="5" t="s">
        <v>614</v>
      </c>
      <c r="D27670" s="3" t="s">
        <v>206</v>
      </c>
      <c r="E27670" s="3" t="s">
        <v>100</v>
      </c>
      <c r="F27670" s="7">
        <v>46277.54192339459</v>
      </c>
      <c r="G27670" s="3" t="s">
        <v>16286</v>
      </c>
    </row>
    <row r="27671">
      <c r="A27671" s="3" t="s">
        <v>44138</v>
      </c>
      <c r="B27671" s="3" t="s">
        <v>22252</v>
      </c>
      <c r="C27671" s="5" t="s">
        <v>206</v>
      </c>
      <c r="D27671" s="3" t="s">
        <v>68</v>
      </c>
      <c r="E27671" s="3" t="s">
        <v>100</v>
      </c>
      <c r="F27671" s="7">
        <v>46277.545395616806</v>
      </c>
      <c r="G27671" s="3" t="s">
        <v>16289</v>
      </c>
    </row>
    <row r="27672">
      <c r="A27672" s="3" t="s">
        <v>44139</v>
      </c>
      <c r="B27672" s="3" t="s">
        <v>22254</v>
      </c>
      <c r="C27672" s="5" t="s">
        <v>45</v>
      </c>
      <c r="D27672" s="3" t="s">
        <v>221</v>
      </c>
      <c r="E27672" s="3" t="s">
        <v>341</v>
      </c>
      <c r="F27672" s="7">
        <v>46277.60615379555</v>
      </c>
      <c r="G27672" s="3" t="s">
        <v>14411</v>
      </c>
    </row>
    <row r="27673">
      <c r="A27673" s="3" t="s">
        <v>44140</v>
      </c>
      <c r="B27673" s="3" t="s">
        <v>22254</v>
      </c>
      <c r="C27673" s="5" t="s">
        <v>221</v>
      </c>
      <c r="D27673" s="3" t="s">
        <v>614</v>
      </c>
      <c r="E27673" s="3" t="s">
        <v>118</v>
      </c>
      <c r="F27673" s="7">
        <v>46277.609626017766</v>
      </c>
      <c r="G27673" s="3" t="s">
        <v>14413</v>
      </c>
    </row>
    <row r="27674">
      <c r="A27674" s="3" t="s">
        <v>44141</v>
      </c>
      <c r="B27674" s="3" t="s">
        <v>22254</v>
      </c>
      <c r="C27674" s="5" t="s">
        <v>614</v>
      </c>
      <c r="D27674" s="3" t="s">
        <v>206</v>
      </c>
      <c r="E27674" s="3" t="s">
        <v>100</v>
      </c>
      <c r="F27674" s="7">
        <v>46277.61309823999</v>
      </c>
      <c r="G27674" s="3" t="s">
        <v>14416</v>
      </c>
    </row>
    <row r="27675">
      <c r="A27675" s="3" t="s">
        <v>44142</v>
      </c>
      <c r="B27675" s="3" t="s">
        <v>22254</v>
      </c>
      <c r="C27675" s="5" t="s">
        <v>206</v>
      </c>
      <c r="D27675" s="3" t="s">
        <v>68</v>
      </c>
      <c r="E27675" s="3" t="s">
        <v>100</v>
      </c>
      <c r="F27675" s="7">
        <v>46277.61657046221</v>
      </c>
      <c r="G27675" s="3" t="s">
        <v>14419</v>
      </c>
    </row>
    <row r="27676">
      <c r="A27676" s="3" t="s">
        <v>44143</v>
      </c>
      <c r="B27676" s="3" t="s">
        <v>22257</v>
      </c>
      <c r="C27676" s="5" t="s">
        <v>45</v>
      </c>
      <c r="D27676" s="3" t="s">
        <v>221</v>
      </c>
      <c r="E27676" s="3" t="s">
        <v>554</v>
      </c>
      <c r="F27676" s="7">
        <v>46277.677328640966</v>
      </c>
      <c r="G27676" s="3" t="s">
        <v>16324</v>
      </c>
    </row>
    <row r="27677">
      <c r="A27677" s="3" t="s">
        <v>44144</v>
      </c>
      <c r="B27677" s="3" t="s">
        <v>22257</v>
      </c>
      <c r="C27677" s="5" t="s">
        <v>221</v>
      </c>
      <c r="D27677" s="3" t="s">
        <v>614</v>
      </c>
      <c r="E27677" s="3" t="s">
        <v>118</v>
      </c>
      <c r="F27677" s="7">
        <v>46277.680800863185</v>
      </c>
      <c r="G27677" s="3" t="s">
        <v>16326</v>
      </c>
    </row>
    <row r="27678">
      <c r="A27678" s="3" t="s">
        <v>44145</v>
      </c>
      <c r="B27678" s="3" t="s">
        <v>22257</v>
      </c>
      <c r="C27678" s="5" t="s">
        <v>614</v>
      </c>
      <c r="D27678" s="3" t="s">
        <v>206</v>
      </c>
      <c r="E27678" s="3" t="s">
        <v>100</v>
      </c>
      <c r="F27678" s="7">
        <v>46277.68427308541</v>
      </c>
      <c r="G27678" s="3" t="s">
        <v>16329</v>
      </c>
    </row>
    <row r="27679">
      <c r="A27679" s="3" t="s">
        <v>44146</v>
      </c>
      <c r="B27679" s="3" t="s">
        <v>22257</v>
      </c>
      <c r="C27679" s="5" t="s">
        <v>206</v>
      </c>
      <c r="D27679" s="3" t="s">
        <v>68</v>
      </c>
      <c r="E27679" s="3" t="s">
        <v>100</v>
      </c>
      <c r="F27679" s="7">
        <v>46277.68774530763</v>
      </c>
      <c r="G27679" s="3" t="s">
        <v>16332</v>
      </c>
    </row>
    <row r="27680">
      <c r="A27680" s="3" t="s">
        <v>44147</v>
      </c>
      <c r="B27680" s="3" t="s">
        <v>22261</v>
      </c>
      <c r="C27680" s="5" t="s">
        <v>45</v>
      </c>
      <c r="D27680" s="3" t="s">
        <v>221</v>
      </c>
      <c r="E27680" s="3" t="s">
        <v>574</v>
      </c>
      <c r="F27680" s="7">
        <v>46277.748503486386</v>
      </c>
      <c r="G27680" s="3" t="s">
        <v>10442</v>
      </c>
    </row>
    <row r="27681">
      <c r="A27681" s="3" t="s">
        <v>44148</v>
      </c>
      <c r="B27681" s="3" t="s">
        <v>22261</v>
      </c>
      <c r="C27681" s="5" t="s">
        <v>221</v>
      </c>
      <c r="D27681" s="3" t="s">
        <v>614</v>
      </c>
      <c r="E27681" s="3" t="s">
        <v>118</v>
      </c>
      <c r="F27681" s="7">
        <v>46277.751975708605</v>
      </c>
      <c r="G27681" s="3" t="s">
        <v>10444</v>
      </c>
    </row>
    <row r="27682">
      <c r="A27682" s="3" t="s">
        <v>44149</v>
      </c>
      <c r="B27682" s="3" t="s">
        <v>22261</v>
      </c>
      <c r="C27682" s="5" t="s">
        <v>614</v>
      </c>
      <c r="D27682" s="3" t="s">
        <v>206</v>
      </c>
      <c r="E27682" s="3" t="s">
        <v>100</v>
      </c>
      <c r="F27682" s="7">
        <v>46277.75544793083</v>
      </c>
      <c r="G27682" s="3" t="s">
        <v>10447</v>
      </c>
    </row>
    <row r="27683">
      <c r="A27683" s="3" t="s">
        <v>44150</v>
      </c>
      <c r="B27683" s="3" t="s">
        <v>22261</v>
      </c>
      <c r="C27683" s="5" t="s">
        <v>206</v>
      </c>
      <c r="D27683" s="3" t="s">
        <v>68</v>
      </c>
      <c r="E27683" s="3" t="s">
        <v>100</v>
      </c>
      <c r="F27683" s="7">
        <v>46277.75892015305</v>
      </c>
      <c r="G27683" s="3" t="s">
        <v>10450</v>
      </c>
    </row>
    <row r="27684">
      <c r="A27684" s="3" t="s">
        <v>44151</v>
      </c>
      <c r="B27684" s="3" t="s">
        <v>22265</v>
      </c>
      <c r="C27684" s="5" t="s">
        <v>45</v>
      </c>
      <c r="D27684" s="3" t="s">
        <v>221</v>
      </c>
      <c r="E27684" s="3" t="s">
        <v>430</v>
      </c>
      <c r="F27684" s="7">
        <v>46277.8196783318</v>
      </c>
      <c r="G27684" s="3" t="s">
        <v>31231</v>
      </c>
    </row>
    <row r="27685">
      <c r="A27685" s="3" t="s">
        <v>44152</v>
      </c>
      <c r="B27685" s="3" t="s">
        <v>22265</v>
      </c>
      <c r="C27685" s="5" t="s">
        <v>221</v>
      </c>
      <c r="D27685" s="3" t="s">
        <v>614</v>
      </c>
      <c r="E27685" s="3" t="s">
        <v>118</v>
      </c>
      <c r="F27685" s="7">
        <v>46277.82315055402</v>
      </c>
      <c r="G27685" s="3" t="s">
        <v>31233</v>
      </c>
    </row>
    <row r="27686">
      <c r="A27686" s="3" t="s">
        <v>44153</v>
      </c>
      <c r="B27686" s="3" t="s">
        <v>22265</v>
      </c>
      <c r="C27686" s="5" t="s">
        <v>614</v>
      </c>
      <c r="D27686" s="3" t="s">
        <v>206</v>
      </c>
      <c r="E27686" s="3" t="s">
        <v>100</v>
      </c>
      <c r="F27686" s="7">
        <v>46277.82662277624</v>
      </c>
      <c r="G27686" s="3" t="s">
        <v>31235</v>
      </c>
    </row>
    <row r="27687">
      <c r="A27687" s="3" t="s">
        <v>44154</v>
      </c>
      <c r="B27687" s="3" t="s">
        <v>22265</v>
      </c>
      <c r="C27687" s="5" t="s">
        <v>206</v>
      </c>
      <c r="D27687" s="3" t="s">
        <v>68</v>
      </c>
      <c r="E27687" s="3" t="s">
        <v>100</v>
      </c>
      <c r="F27687" s="7">
        <v>46277.83009499846</v>
      </c>
      <c r="G27687" s="3" t="s">
        <v>31237</v>
      </c>
    </row>
    <row r="27688">
      <c r="A27688" s="3" t="s">
        <v>44155</v>
      </c>
      <c r="B27688" s="3" t="s">
        <v>22267</v>
      </c>
      <c r="C27688" s="5" t="s">
        <v>45</v>
      </c>
      <c r="D27688" s="3" t="s">
        <v>221</v>
      </c>
      <c r="E27688" s="3" t="s">
        <v>947</v>
      </c>
      <c r="F27688" s="7">
        <v>46277.89085317721</v>
      </c>
      <c r="G27688" s="3" t="s">
        <v>16338</v>
      </c>
    </row>
    <row r="27689">
      <c r="A27689" s="3" t="s">
        <v>44156</v>
      </c>
      <c r="B27689" s="3" t="s">
        <v>22267</v>
      </c>
      <c r="C27689" s="5" t="s">
        <v>221</v>
      </c>
      <c r="D27689" s="3" t="s">
        <v>614</v>
      </c>
      <c r="E27689" s="3" t="s">
        <v>118</v>
      </c>
      <c r="F27689" s="7">
        <v>46277.89432539943</v>
      </c>
      <c r="G27689" s="3" t="s">
        <v>16341</v>
      </c>
    </row>
    <row r="27690">
      <c r="A27690" s="3" t="s">
        <v>44157</v>
      </c>
      <c r="B27690" s="3" t="s">
        <v>22267</v>
      </c>
      <c r="C27690" s="5" t="s">
        <v>614</v>
      </c>
      <c r="D27690" s="3" t="s">
        <v>206</v>
      </c>
      <c r="E27690" s="3" t="s">
        <v>100</v>
      </c>
      <c r="F27690" s="7">
        <v>46277.897797621656</v>
      </c>
      <c r="G27690" s="3" t="s">
        <v>16344</v>
      </c>
    </row>
    <row r="27691">
      <c r="A27691" s="3" t="s">
        <v>44158</v>
      </c>
      <c r="B27691" s="3" t="s">
        <v>22267</v>
      </c>
      <c r="C27691" s="5" t="s">
        <v>206</v>
      </c>
      <c r="D27691" s="3" t="s">
        <v>68</v>
      </c>
      <c r="E27691" s="3" t="s">
        <v>100</v>
      </c>
      <c r="F27691" s="7">
        <v>46277.901269843875</v>
      </c>
      <c r="G27691" s="3" t="s">
        <v>16347</v>
      </c>
    </row>
    <row r="27692">
      <c r="A27692" s="3" t="s">
        <v>44159</v>
      </c>
      <c r="B27692" s="3" t="s">
        <v>22269</v>
      </c>
      <c r="C27692" s="5" t="s">
        <v>45</v>
      </c>
      <c r="D27692" s="3" t="s">
        <v>221</v>
      </c>
      <c r="E27692" s="3" t="s">
        <v>676</v>
      </c>
      <c r="F27692" s="7">
        <v>46277.96202802263</v>
      </c>
      <c r="G27692" s="3" t="s">
        <v>14735</v>
      </c>
    </row>
    <row r="27693">
      <c r="A27693" s="3" t="s">
        <v>44160</v>
      </c>
      <c r="B27693" s="3" t="s">
        <v>22269</v>
      </c>
      <c r="C27693" s="5" t="s">
        <v>221</v>
      </c>
      <c r="D27693" s="3" t="s">
        <v>614</v>
      </c>
      <c r="E27693" s="3" t="s">
        <v>118</v>
      </c>
      <c r="F27693" s="7">
        <v>46277.96550024485</v>
      </c>
      <c r="G27693" s="3" t="s">
        <v>14738</v>
      </c>
    </row>
    <row r="27694">
      <c r="A27694" s="3" t="s">
        <v>44161</v>
      </c>
      <c r="B27694" s="3" t="s">
        <v>22269</v>
      </c>
      <c r="C27694" s="5" t="s">
        <v>614</v>
      </c>
      <c r="D27694" s="3" t="s">
        <v>206</v>
      </c>
      <c r="E27694" s="3" t="s">
        <v>100</v>
      </c>
      <c r="F27694" s="7">
        <v>46277.968972467075</v>
      </c>
      <c r="G27694" s="3" t="s">
        <v>14741</v>
      </c>
    </row>
    <row r="27695">
      <c r="A27695" s="3" t="s">
        <v>44162</v>
      </c>
      <c r="B27695" s="3" t="s">
        <v>22269</v>
      </c>
      <c r="C27695" s="5" t="s">
        <v>206</v>
      </c>
      <c r="D27695" s="3" t="s">
        <v>68</v>
      </c>
      <c r="E27695" s="3" t="s">
        <v>100</v>
      </c>
      <c r="F27695" s="7">
        <v>46277.972444689294</v>
      </c>
      <c r="G27695" s="3" t="s">
        <v>14744</v>
      </c>
    </row>
    <row r="27696">
      <c r="A27696" s="3" t="s">
        <v>44163</v>
      </c>
      <c r="B27696" s="3" t="s">
        <v>22271</v>
      </c>
      <c r="C27696" s="5" t="s">
        <v>45</v>
      </c>
      <c r="D27696" s="3" t="s">
        <v>221</v>
      </c>
      <c r="E27696" s="3" t="s">
        <v>462</v>
      </c>
      <c r="F27696" s="7">
        <v>46278.03320286804</v>
      </c>
      <c r="G27696" s="3" t="s">
        <v>11723</v>
      </c>
    </row>
    <row r="27697">
      <c r="A27697" s="3" t="s">
        <v>44164</v>
      </c>
      <c r="B27697" s="3" t="s">
        <v>22271</v>
      </c>
      <c r="C27697" s="5" t="s">
        <v>221</v>
      </c>
      <c r="D27697" s="3" t="s">
        <v>614</v>
      </c>
      <c r="E27697" s="3" t="s">
        <v>118</v>
      </c>
      <c r="F27697" s="7">
        <v>46278.03667509026</v>
      </c>
      <c r="G27697" s="3" t="s">
        <v>11725</v>
      </c>
    </row>
    <row r="27698">
      <c r="A27698" s="3" t="s">
        <v>44165</v>
      </c>
      <c r="B27698" s="3" t="s">
        <v>22271</v>
      </c>
      <c r="C27698" s="5" t="s">
        <v>614</v>
      </c>
      <c r="D27698" s="3" t="s">
        <v>206</v>
      </c>
      <c r="E27698" s="3" t="s">
        <v>100</v>
      </c>
      <c r="F27698" s="7">
        <v>46278.04014731249</v>
      </c>
      <c r="G27698" s="3" t="s">
        <v>11728</v>
      </c>
    </row>
    <row r="27699">
      <c r="A27699" s="3" t="s">
        <v>44166</v>
      </c>
      <c r="B27699" s="3" t="s">
        <v>22271</v>
      </c>
      <c r="C27699" s="5" t="s">
        <v>206</v>
      </c>
      <c r="D27699" s="3" t="s">
        <v>68</v>
      </c>
      <c r="E27699" s="3" t="s">
        <v>100</v>
      </c>
      <c r="F27699" s="7">
        <v>46278.04361953471</v>
      </c>
      <c r="G27699" s="3" t="s">
        <v>11731</v>
      </c>
    </row>
    <row r="27700">
      <c r="A27700" s="3" t="s">
        <v>44167</v>
      </c>
      <c r="B27700" s="3" t="s">
        <v>22273</v>
      </c>
      <c r="C27700" s="5" t="s">
        <v>45</v>
      </c>
      <c r="D27700" s="3" t="s">
        <v>221</v>
      </c>
      <c r="E27700" s="3" t="s">
        <v>895</v>
      </c>
      <c r="F27700" s="7">
        <v>46278.104377713455</v>
      </c>
      <c r="G27700" s="3" t="s">
        <v>4871</v>
      </c>
    </row>
    <row r="27701">
      <c r="A27701" s="3" t="s">
        <v>44168</v>
      </c>
      <c r="B27701" s="3" t="s">
        <v>22273</v>
      </c>
      <c r="C27701" s="5" t="s">
        <v>221</v>
      </c>
      <c r="D27701" s="3" t="s">
        <v>614</v>
      </c>
      <c r="E27701" s="3" t="s">
        <v>118</v>
      </c>
      <c r="F27701" s="7">
        <v>46278.10784993567</v>
      </c>
      <c r="G27701" s="3" t="s">
        <v>4874</v>
      </c>
    </row>
    <row r="27702">
      <c r="A27702" s="3" t="s">
        <v>44169</v>
      </c>
      <c r="B27702" s="3" t="s">
        <v>22273</v>
      </c>
      <c r="C27702" s="5" t="s">
        <v>614</v>
      </c>
      <c r="D27702" s="3" t="s">
        <v>206</v>
      </c>
      <c r="E27702" s="3" t="s">
        <v>100</v>
      </c>
      <c r="F27702" s="7">
        <v>46278.1113221579</v>
      </c>
      <c r="G27702" s="3" t="s">
        <v>4877</v>
      </c>
    </row>
    <row r="27703">
      <c r="A27703" s="3" t="s">
        <v>44170</v>
      </c>
      <c r="B27703" s="3" t="s">
        <v>22273</v>
      </c>
      <c r="C27703" s="5" t="s">
        <v>206</v>
      </c>
      <c r="D27703" s="3" t="s">
        <v>68</v>
      </c>
      <c r="E27703" s="3" t="s">
        <v>100</v>
      </c>
      <c r="F27703" s="7">
        <v>46278.11479438012</v>
      </c>
      <c r="G27703" s="3" t="s">
        <v>4880</v>
      </c>
    </row>
    <row r="27704">
      <c r="A27704" s="3" t="s">
        <v>44171</v>
      </c>
      <c r="B27704" s="3" t="s">
        <v>22275</v>
      </c>
      <c r="C27704" s="5" t="s">
        <v>45</v>
      </c>
      <c r="D27704" s="3" t="s">
        <v>221</v>
      </c>
      <c r="E27704" s="3" t="s">
        <v>650</v>
      </c>
      <c r="F27704" s="7">
        <v>46278.175552558874</v>
      </c>
      <c r="G27704" s="3" t="s">
        <v>16201</v>
      </c>
    </row>
    <row r="27705">
      <c r="A27705" s="3" t="s">
        <v>44172</v>
      </c>
      <c r="B27705" s="3" t="s">
        <v>22275</v>
      </c>
      <c r="C27705" s="5" t="s">
        <v>221</v>
      </c>
      <c r="D27705" s="3" t="s">
        <v>614</v>
      </c>
      <c r="E27705" s="3" t="s">
        <v>118</v>
      </c>
      <c r="F27705" s="7">
        <v>46278.17902478109</v>
      </c>
      <c r="G27705" s="3" t="s">
        <v>16203</v>
      </c>
    </row>
    <row r="27706">
      <c r="A27706" s="3" t="s">
        <v>44173</v>
      </c>
      <c r="B27706" s="3" t="s">
        <v>22275</v>
      </c>
      <c r="C27706" s="5" t="s">
        <v>614</v>
      </c>
      <c r="D27706" s="3" t="s">
        <v>206</v>
      </c>
      <c r="E27706" s="3" t="s">
        <v>100</v>
      </c>
      <c r="F27706" s="7">
        <v>46278.18249700332</v>
      </c>
      <c r="G27706" s="3" t="s">
        <v>16206</v>
      </c>
    </row>
    <row r="27707">
      <c r="A27707" s="3" t="s">
        <v>44174</v>
      </c>
      <c r="B27707" s="3" t="s">
        <v>22275</v>
      </c>
      <c r="C27707" s="5" t="s">
        <v>206</v>
      </c>
      <c r="D27707" s="3" t="s">
        <v>68</v>
      </c>
      <c r="E27707" s="3" t="s">
        <v>100</v>
      </c>
      <c r="F27707" s="7">
        <v>46278.18596922554</v>
      </c>
      <c r="G27707" s="3" t="s">
        <v>16209</v>
      </c>
    </row>
    <row r="27708">
      <c r="A27708" s="3" t="s">
        <v>44175</v>
      </c>
      <c r="B27708" s="3" t="s">
        <v>22277</v>
      </c>
      <c r="C27708" s="5" t="s">
        <v>45</v>
      </c>
      <c r="D27708" s="3" t="s">
        <v>221</v>
      </c>
      <c r="E27708" s="3" t="s">
        <v>662</v>
      </c>
      <c r="F27708" s="7">
        <v>46278.24672740429</v>
      </c>
      <c r="G27708" s="3" t="s">
        <v>16350</v>
      </c>
    </row>
    <row r="27709">
      <c r="A27709" s="3" t="s">
        <v>44176</v>
      </c>
      <c r="B27709" s="3" t="s">
        <v>22277</v>
      </c>
      <c r="C27709" s="5" t="s">
        <v>221</v>
      </c>
      <c r="D27709" s="3" t="s">
        <v>614</v>
      </c>
      <c r="E27709" s="3" t="s">
        <v>118</v>
      </c>
      <c r="F27709" s="7">
        <v>46278.250199626505</v>
      </c>
      <c r="G27709" s="3" t="s">
        <v>16352</v>
      </c>
    </row>
    <row r="27710">
      <c r="A27710" s="3" t="s">
        <v>44177</v>
      </c>
      <c r="B27710" s="3" t="s">
        <v>22277</v>
      </c>
      <c r="C27710" s="5" t="s">
        <v>614</v>
      </c>
      <c r="D27710" s="3" t="s">
        <v>206</v>
      </c>
      <c r="E27710" s="3" t="s">
        <v>100</v>
      </c>
      <c r="F27710" s="7">
        <v>46278.25367184873</v>
      </c>
      <c r="G27710" s="3" t="s">
        <v>16355</v>
      </c>
    </row>
    <row r="27711">
      <c r="A27711" s="3" t="s">
        <v>44178</v>
      </c>
      <c r="B27711" s="3" t="s">
        <v>22277</v>
      </c>
      <c r="C27711" s="5" t="s">
        <v>206</v>
      </c>
      <c r="D27711" s="3" t="s">
        <v>68</v>
      </c>
      <c r="E27711" s="3" t="s">
        <v>100</v>
      </c>
      <c r="F27711" s="7">
        <v>46278.25714407095</v>
      </c>
      <c r="G27711" s="3" t="s">
        <v>16358</v>
      </c>
    </row>
    <row r="27712">
      <c r="A27712" s="3" t="s">
        <v>44179</v>
      </c>
      <c r="B27712" s="3" t="s">
        <v>22279</v>
      </c>
      <c r="C27712" s="5" t="s">
        <v>45</v>
      </c>
      <c r="D27712" s="3" t="s">
        <v>221</v>
      </c>
      <c r="E27712" s="3" t="s">
        <v>937</v>
      </c>
      <c r="F27712" s="7">
        <v>46278.3179022497</v>
      </c>
      <c r="G27712" s="3" t="s">
        <v>16462</v>
      </c>
    </row>
    <row r="27713">
      <c r="A27713" s="3" t="s">
        <v>44180</v>
      </c>
      <c r="B27713" s="3" t="s">
        <v>22279</v>
      </c>
      <c r="C27713" s="5" t="s">
        <v>221</v>
      </c>
      <c r="D27713" s="3" t="s">
        <v>614</v>
      </c>
      <c r="E27713" s="3" t="s">
        <v>118</v>
      </c>
      <c r="F27713" s="7">
        <v>46278.32137447192</v>
      </c>
      <c r="G27713" s="3" t="s">
        <v>16464</v>
      </c>
    </row>
    <row r="27714">
      <c r="A27714" s="3" t="s">
        <v>44181</v>
      </c>
      <c r="B27714" s="3" t="s">
        <v>22279</v>
      </c>
      <c r="C27714" s="5" t="s">
        <v>614</v>
      </c>
      <c r="D27714" s="3" t="s">
        <v>206</v>
      </c>
      <c r="E27714" s="3" t="s">
        <v>100</v>
      </c>
      <c r="F27714" s="7">
        <v>46278.324846694144</v>
      </c>
      <c r="G27714" s="3" t="s">
        <v>16467</v>
      </c>
    </row>
    <row r="27715">
      <c r="A27715" s="3" t="s">
        <v>44182</v>
      </c>
      <c r="B27715" s="3" t="s">
        <v>22279</v>
      </c>
      <c r="C27715" s="5" t="s">
        <v>206</v>
      </c>
      <c r="D27715" s="3" t="s">
        <v>68</v>
      </c>
      <c r="E27715" s="3" t="s">
        <v>100</v>
      </c>
      <c r="F27715" s="7">
        <v>46278.32831891636</v>
      </c>
      <c r="G27715" s="3" t="s">
        <v>16470</v>
      </c>
    </row>
    <row r="27716">
      <c r="A27716" s="3" t="s">
        <v>44183</v>
      </c>
      <c r="B27716" s="3" t="s">
        <v>22281</v>
      </c>
      <c r="C27716" s="5" t="s">
        <v>45</v>
      </c>
      <c r="D27716" s="3" t="s">
        <v>221</v>
      </c>
      <c r="E27716" s="3" t="s">
        <v>1008</v>
      </c>
      <c r="F27716" s="7">
        <v>46278.38907709512</v>
      </c>
      <c r="G27716" s="3" t="s">
        <v>16480</v>
      </c>
    </row>
    <row r="27717">
      <c r="A27717" s="3" t="s">
        <v>44184</v>
      </c>
      <c r="B27717" s="3" t="s">
        <v>22281</v>
      </c>
      <c r="C27717" s="5" t="s">
        <v>221</v>
      </c>
      <c r="D27717" s="3" t="s">
        <v>614</v>
      </c>
      <c r="E27717" s="3" t="s">
        <v>118</v>
      </c>
      <c r="F27717" s="7">
        <v>46278.39254931734</v>
      </c>
      <c r="G27717" s="3" t="s">
        <v>16483</v>
      </c>
    </row>
    <row r="27718">
      <c r="A27718" s="3" t="s">
        <v>44185</v>
      </c>
      <c r="B27718" s="3" t="s">
        <v>22281</v>
      </c>
      <c r="C27718" s="5" t="s">
        <v>614</v>
      </c>
      <c r="D27718" s="3" t="s">
        <v>206</v>
      </c>
      <c r="E27718" s="3" t="s">
        <v>100</v>
      </c>
      <c r="F27718" s="7">
        <v>46278.396021539564</v>
      </c>
      <c r="G27718" s="3" t="s">
        <v>16486</v>
      </c>
    </row>
    <row r="27719">
      <c r="A27719" s="3" t="s">
        <v>44186</v>
      </c>
      <c r="B27719" s="3" t="s">
        <v>22281</v>
      </c>
      <c r="C27719" s="5" t="s">
        <v>206</v>
      </c>
      <c r="D27719" s="3" t="s">
        <v>68</v>
      </c>
      <c r="E27719" s="3" t="s">
        <v>100</v>
      </c>
      <c r="F27719" s="7">
        <v>46278.39949376178</v>
      </c>
      <c r="G27719" s="3" t="s">
        <v>16489</v>
      </c>
    </row>
    <row r="27720">
      <c r="A27720" s="3" t="s">
        <v>44187</v>
      </c>
      <c r="B27720" s="3" t="s">
        <v>22284</v>
      </c>
      <c r="C27720" s="5" t="s">
        <v>45</v>
      </c>
      <c r="D27720" s="3" t="s">
        <v>221</v>
      </c>
      <c r="E27720" s="3" t="s">
        <v>751</v>
      </c>
      <c r="F27720" s="7">
        <v>46278.46025194053</v>
      </c>
      <c r="G27720" s="3" t="s">
        <v>9523</v>
      </c>
    </row>
    <row r="27721">
      <c r="A27721" s="3" t="s">
        <v>44188</v>
      </c>
      <c r="B27721" s="3" t="s">
        <v>22284</v>
      </c>
      <c r="C27721" s="5" t="s">
        <v>221</v>
      </c>
      <c r="D27721" s="3" t="s">
        <v>195</v>
      </c>
      <c r="E27721" s="3" t="s">
        <v>751</v>
      </c>
      <c r="F27721" s="7">
        <v>46278.46372416275</v>
      </c>
      <c r="G27721" s="3" t="s">
        <v>44189</v>
      </c>
    </row>
    <row r="27722">
      <c r="A27722" s="3" t="s">
        <v>44190</v>
      </c>
      <c r="B27722" s="3" t="s">
        <v>22287</v>
      </c>
      <c r="C27722" s="5" t="s">
        <v>45</v>
      </c>
      <c r="D27722" s="3" t="s">
        <v>221</v>
      </c>
      <c r="E27722" s="3" t="s">
        <v>202</v>
      </c>
      <c r="F27722" s="7">
        <v>46278.53142678594</v>
      </c>
      <c r="G27722" s="3" t="s">
        <v>15704</v>
      </c>
    </row>
    <row r="27723">
      <c r="A27723" s="3" t="s">
        <v>44191</v>
      </c>
      <c r="B27723" s="3" t="s">
        <v>22287</v>
      </c>
      <c r="C27723" s="5" t="s">
        <v>221</v>
      </c>
      <c r="D27723" s="3" t="s">
        <v>614</v>
      </c>
      <c r="E27723" s="3" t="s">
        <v>118</v>
      </c>
      <c r="F27723" s="7">
        <v>46278.53489900816</v>
      </c>
      <c r="G27723" s="3" t="s">
        <v>15707</v>
      </c>
    </row>
    <row r="27724">
      <c r="A27724" s="3" t="s">
        <v>44192</v>
      </c>
      <c r="B27724" s="3" t="s">
        <v>22287</v>
      </c>
      <c r="C27724" s="5" t="s">
        <v>614</v>
      </c>
      <c r="D27724" s="3" t="s">
        <v>206</v>
      </c>
      <c r="E27724" s="3" t="s">
        <v>100</v>
      </c>
      <c r="F27724" s="7">
        <v>46278.53837123039</v>
      </c>
      <c r="G27724" s="3" t="s">
        <v>15710</v>
      </c>
    </row>
    <row r="27725">
      <c r="A27725" s="3" t="s">
        <v>44193</v>
      </c>
      <c r="B27725" s="3" t="s">
        <v>22287</v>
      </c>
      <c r="C27725" s="5" t="s">
        <v>206</v>
      </c>
      <c r="D27725" s="3" t="s">
        <v>68</v>
      </c>
      <c r="E27725" s="3" t="s">
        <v>100</v>
      </c>
      <c r="F27725" s="7">
        <v>46278.54184345261</v>
      </c>
      <c r="G27725" s="3" t="s">
        <v>15713</v>
      </c>
    </row>
    <row r="27726">
      <c r="A27726" s="3" t="s">
        <v>44194</v>
      </c>
      <c r="B27726" s="3" t="s">
        <v>22290</v>
      </c>
      <c r="C27726" s="5" t="s">
        <v>45</v>
      </c>
      <c r="D27726" s="3" t="s">
        <v>221</v>
      </c>
      <c r="E27726" s="3" t="s">
        <v>853</v>
      </c>
      <c r="F27726" s="7">
        <v>46278.60260163136</v>
      </c>
      <c r="G27726" s="3" t="s">
        <v>16539</v>
      </c>
    </row>
    <row r="27727">
      <c r="A27727" s="3" t="s">
        <v>44195</v>
      </c>
      <c r="B27727" s="3" t="s">
        <v>22290</v>
      </c>
      <c r="C27727" s="5" t="s">
        <v>221</v>
      </c>
      <c r="D27727" s="3" t="s">
        <v>614</v>
      </c>
      <c r="E27727" s="3" t="s">
        <v>118</v>
      </c>
      <c r="F27727" s="7">
        <v>46278.60607385358</v>
      </c>
      <c r="G27727" s="3" t="s">
        <v>16542</v>
      </c>
    </row>
    <row r="27728">
      <c r="A27728" s="3" t="s">
        <v>44196</v>
      </c>
      <c r="B27728" s="3" t="s">
        <v>22290</v>
      </c>
      <c r="C27728" s="5" t="s">
        <v>614</v>
      </c>
      <c r="D27728" s="3" t="s">
        <v>206</v>
      </c>
      <c r="E27728" s="3" t="s">
        <v>100</v>
      </c>
      <c r="F27728" s="7">
        <v>46278.60954607581</v>
      </c>
      <c r="G27728" s="3" t="s">
        <v>16544</v>
      </c>
    </row>
    <row r="27729">
      <c r="A27729" s="3" t="s">
        <v>44197</v>
      </c>
      <c r="B27729" s="3" t="s">
        <v>22290</v>
      </c>
      <c r="C27729" s="5" t="s">
        <v>206</v>
      </c>
      <c r="D27729" s="3" t="s">
        <v>68</v>
      </c>
      <c r="E27729" s="3" t="s">
        <v>100</v>
      </c>
      <c r="F27729" s="7">
        <v>46278.61301829803</v>
      </c>
      <c r="G27729" s="3" t="s">
        <v>16547</v>
      </c>
    </row>
    <row r="27730">
      <c r="A27730" s="3" t="s">
        <v>44198</v>
      </c>
      <c r="B27730" s="3" t="s">
        <v>22293</v>
      </c>
      <c r="C27730" s="5" t="s">
        <v>45</v>
      </c>
      <c r="D27730" s="3" t="s">
        <v>221</v>
      </c>
      <c r="E27730" s="3" t="s">
        <v>838</v>
      </c>
      <c r="F27730" s="7">
        <v>46278.67377647678</v>
      </c>
      <c r="G27730" s="3" t="s">
        <v>16653</v>
      </c>
    </row>
    <row r="27731">
      <c r="A27731" s="3" t="s">
        <v>44199</v>
      </c>
      <c r="B27731" s="3" t="s">
        <v>22293</v>
      </c>
      <c r="C27731" s="5" t="s">
        <v>221</v>
      </c>
      <c r="D27731" s="3" t="s">
        <v>614</v>
      </c>
      <c r="E27731" s="3" t="s">
        <v>118</v>
      </c>
      <c r="F27731" s="7">
        <v>46278.677248699</v>
      </c>
      <c r="G27731" s="3" t="s">
        <v>16655</v>
      </c>
    </row>
    <row r="27732">
      <c r="A27732" s="3" t="s">
        <v>44200</v>
      </c>
      <c r="B27732" s="3" t="s">
        <v>22293</v>
      </c>
      <c r="C27732" s="5" t="s">
        <v>614</v>
      </c>
      <c r="D27732" s="3" t="s">
        <v>206</v>
      </c>
      <c r="E27732" s="3" t="s">
        <v>100</v>
      </c>
      <c r="F27732" s="7">
        <v>46278.68072092123</v>
      </c>
      <c r="G27732" s="3" t="s">
        <v>16658</v>
      </c>
    </row>
    <row r="27733">
      <c r="A27733" s="3" t="s">
        <v>44201</v>
      </c>
      <c r="B27733" s="3" t="s">
        <v>22293</v>
      </c>
      <c r="C27733" s="5" t="s">
        <v>206</v>
      </c>
      <c r="D27733" s="3" t="s">
        <v>68</v>
      </c>
      <c r="E27733" s="3" t="s">
        <v>100</v>
      </c>
      <c r="F27733" s="7">
        <v>46278.68419314345</v>
      </c>
      <c r="G27733" s="3" t="s">
        <v>16661</v>
      </c>
    </row>
    <row r="27734">
      <c r="A27734" s="3" t="s">
        <v>44202</v>
      </c>
      <c r="B27734" s="3" t="s">
        <v>22296</v>
      </c>
      <c r="C27734" s="5" t="s">
        <v>45</v>
      </c>
      <c r="D27734" s="3" t="s">
        <v>221</v>
      </c>
      <c r="E27734" s="3" t="s">
        <v>650</v>
      </c>
      <c r="F27734" s="7">
        <v>46278.74495132219</v>
      </c>
      <c r="G27734" s="3" t="s">
        <v>16664</v>
      </c>
    </row>
    <row r="27735">
      <c r="A27735" s="3" t="s">
        <v>44203</v>
      </c>
      <c r="B27735" s="3" t="s">
        <v>22296</v>
      </c>
      <c r="C27735" s="5" t="s">
        <v>221</v>
      </c>
      <c r="D27735" s="3" t="s">
        <v>614</v>
      </c>
      <c r="E27735" s="3" t="s">
        <v>118</v>
      </c>
      <c r="F27735" s="7">
        <v>46278.748423544406</v>
      </c>
      <c r="G27735" s="3" t="s">
        <v>16667</v>
      </c>
    </row>
    <row r="27736">
      <c r="A27736" s="3" t="s">
        <v>44204</v>
      </c>
      <c r="B27736" s="3" t="s">
        <v>22296</v>
      </c>
      <c r="C27736" s="5" t="s">
        <v>614</v>
      </c>
      <c r="D27736" s="3" t="s">
        <v>206</v>
      </c>
      <c r="E27736" s="3" t="s">
        <v>100</v>
      </c>
      <c r="F27736" s="7">
        <v>46278.75189576663</v>
      </c>
      <c r="G27736" s="3" t="s">
        <v>16669</v>
      </c>
    </row>
    <row r="27737">
      <c r="A27737" s="3" t="s">
        <v>44205</v>
      </c>
      <c r="B27737" s="3" t="s">
        <v>22296</v>
      </c>
      <c r="C27737" s="5" t="s">
        <v>206</v>
      </c>
      <c r="D27737" s="3" t="s">
        <v>68</v>
      </c>
      <c r="E27737" s="3" t="s">
        <v>100</v>
      </c>
      <c r="F27737" s="7">
        <v>46278.75536798885</v>
      </c>
      <c r="G27737" s="3" t="s">
        <v>16672</v>
      </c>
    </row>
    <row r="27738">
      <c r="A27738" s="3" t="s">
        <v>44206</v>
      </c>
      <c r="B27738" s="3" t="s">
        <v>22299</v>
      </c>
      <c r="C27738" s="5" t="s">
        <v>45</v>
      </c>
      <c r="D27738" s="3" t="s">
        <v>221</v>
      </c>
      <c r="E27738" s="3" t="s">
        <v>202</v>
      </c>
      <c r="F27738" s="7">
        <v>46278.81612616761</v>
      </c>
      <c r="G27738" s="3" t="s">
        <v>15704</v>
      </c>
    </row>
    <row r="27739">
      <c r="A27739" s="3" t="s">
        <v>44207</v>
      </c>
      <c r="B27739" s="3" t="s">
        <v>22299</v>
      </c>
      <c r="C27739" s="5" t="s">
        <v>221</v>
      </c>
      <c r="D27739" s="3" t="s">
        <v>614</v>
      </c>
      <c r="E27739" s="3" t="s">
        <v>118</v>
      </c>
      <c r="F27739" s="7">
        <v>46278.819598389826</v>
      </c>
      <c r="G27739" s="3" t="s">
        <v>15707</v>
      </c>
    </row>
    <row r="27740">
      <c r="A27740" s="3" t="s">
        <v>44208</v>
      </c>
      <c r="B27740" s="3" t="s">
        <v>22299</v>
      </c>
      <c r="C27740" s="5" t="s">
        <v>614</v>
      </c>
      <c r="D27740" s="3" t="s">
        <v>206</v>
      </c>
      <c r="E27740" s="3" t="s">
        <v>100</v>
      </c>
      <c r="F27740" s="7">
        <v>46278.82307061205</v>
      </c>
      <c r="G27740" s="3" t="s">
        <v>15710</v>
      </c>
    </row>
    <row r="27741">
      <c r="A27741" s="3" t="s">
        <v>44209</v>
      </c>
      <c r="B27741" s="3" t="s">
        <v>22299</v>
      </c>
      <c r="C27741" s="5" t="s">
        <v>206</v>
      </c>
      <c r="D27741" s="3" t="s">
        <v>68</v>
      </c>
      <c r="E27741" s="3" t="s">
        <v>100</v>
      </c>
      <c r="F27741" s="7">
        <v>46278.82654283427</v>
      </c>
      <c r="G27741" s="3" t="s">
        <v>15713</v>
      </c>
    </row>
    <row r="27742">
      <c r="A27742" s="3" t="s">
        <v>44210</v>
      </c>
      <c r="B27742" s="3" t="s">
        <v>22302</v>
      </c>
      <c r="C27742" s="5" t="s">
        <v>45</v>
      </c>
      <c r="D27742" s="3" t="s">
        <v>221</v>
      </c>
      <c r="E27742" s="3" t="s">
        <v>756</v>
      </c>
      <c r="F27742" s="7">
        <v>46278.88730101303</v>
      </c>
      <c r="G27742" s="3" t="s">
        <v>25660</v>
      </c>
    </row>
    <row r="27743">
      <c r="A27743" s="3" t="s">
        <v>44211</v>
      </c>
      <c r="B27743" s="3" t="s">
        <v>22302</v>
      </c>
      <c r="C27743" s="5" t="s">
        <v>221</v>
      </c>
      <c r="D27743" s="3" t="s">
        <v>614</v>
      </c>
      <c r="E27743" s="3" t="s">
        <v>118</v>
      </c>
      <c r="F27743" s="7">
        <v>46278.890773235245</v>
      </c>
      <c r="G27743" s="3" t="s">
        <v>25662</v>
      </c>
    </row>
    <row r="27744">
      <c r="A27744" s="3" t="s">
        <v>44212</v>
      </c>
      <c r="B27744" s="3" t="s">
        <v>22302</v>
      </c>
      <c r="C27744" s="5" t="s">
        <v>614</v>
      </c>
      <c r="D27744" s="3" t="s">
        <v>206</v>
      </c>
      <c r="E27744" s="3" t="s">
        <v>100</v>
      </c>
      <c r="F27744" s="7">
        <v>46278.89424545747</v>
      </c>
      <c r="G27744" s="3" t="s">
        <v>25664</v>
      </c>
    </row>
    <row r="27745">
      <c r="A27745" s="3" t="s">
        <v>44213</v>
      </c>
      <c r="B27745" s="3" t="s">
        <v>22302</v>
      </c>
      <c r="C27745" s="5" t="s">
        <v>206</v>
      </c>
      <c r="D27745" s="3" t="s">
        <v>68</v>
      </c>
      <c r="E27745" s="3" t="s">
        <v>100</v>
      </c>
      <c r="F27745" s="7">
        <v>46278.89771767969</v>
      </c>
      <c r="G27745" s="3" t="s">
        <v>25666</v>
      </c>
    </row>
    <row r="27746">
      <c r="A27746" s="3" t="s">
        <v>44214</v>
      </c>
      <c r="B27746" s="3" t="s">
        <v>22305</v>
      </c>
      <c r="C27746" s="5" t="s">
        <v>45</v>
      </c>
      <c r="D27746" s="3" t="s">
        <v>221</v>
      </c>
      <c r="E27746" s="3" t="s">
        <v>266</v>
      </c>
      <c r="F27746" s="7">
        <v>46278.95847585844</v>
      </c>
      <c r="G27746" s="3" t="s">
        <v>23549</v>
      </c>
    </row>
    <row r="27747">
      <c r="A27747" s="3" t="s">
        <v>44215</v>
      </c>
      <c r="B27747" s="3" t="s">
        <v>22305</v>
      </c>
      <c r="C27747" s="5" t="s">
        <v>221</v>
      </c>
      <c r="D27747" s="3" t="s">
        <v>181</v>
      </c>
      <c r="E27747" s="3" t="s">
        <v>118</v>
      </c>
      <c r="F27747" s="7">
        <v>46278.96194808066</v>
      </c>
      <c r="G27747" s="3" t="s">
        <v>44216</v>
      </c>
    </row>
    <row r="27748">
      <c r="A27748" s="3" t="s">
        <v>44217</v>
      </c>
      <c r="B27748" s="3" t="s">
        <v>22309</v>
      </c>
      <c r="C27748" s="5" t="s">
        <v>45</v>
      </c>
      <c r="D27748" s="3" t="s">
        <v>221</v>
      </c>
      <c r="E27748" s="3" t="s">
        <v>479</v>
      </c>
      <c r="F27748" s="7">
        <v>46279.02965070385</v>
      </c>
      <c r="G27748" s="3" t="s">
        <v>37454</v>
      </c>
    </row>
    <row r="27749">
      <c r="A27749" s="3" t="s">
        <v>44218</v>
      </c>
      <c r="B27749" s="3" t="s">
        <v>22309</v>
      </c>
      <c r="C27749" s="5" t="s">
        <v>221</v>
      </c>
      <c r="D27749" s="3" t="s">
        <v>614</v>
      </c>
      <c r="E27749" s="3" t="s">
        <v>118</v>
      </c>
      <c r="F27749" s="7">
        <v>46279.03312292607</v>
      </c>
      <c r="G27749" s="3" t="s">
        <v>37456</v>
      </c>
    </row>
    <row r="27750">
      <c r="A27750" s="3" t="s">
        <v>44219</v>
      </c>
      <c r="B27750" s="3" t="s">
        <v>22309</v>
      </c>
      <c r="C27750" s="5" t="s">
        <v>614</v>
      </c>
      <c r="D27750" s="3" t="s">
        <v>206</v>
      </c>
      <c r="E27750" s="3" t="s">
        <v>100</v>
      </c>
      <c r="F27750" s="7">
        <v>46279.036595148296</v>
      </c>
      <c r="G27750" s="3" t="s">
        <v>37458</v>
      </c>
    </row>
    <row r="27751">
      <c r="A27751" s="3" t="s">
        <v>44220</v>
      </c>
      <c r="B27751" s="3" t="s">
        <v>22309</v>
      </c>
      <c r="C27751" s="5" t="s">
        <v>206</v>
      </c>
      <c r="D27751" s="3" t="s">
        <v>68</v>
      </c>
      <c r="E27751" s="3" t="s">
        <v>100</v>
      </c>
      <c r="F27751" s="7">
        <v>46279.040067370515</v>
      </c>
      <c r="G27751" s="3" t="s">
        <v>37460</v>
      </c>
    </row>
    <row r="27752">
      <c r="A27752" s="3" t="s">
        <v>44221</v>
      </c>
      <c r="B27752" s="3" t="s">
        <v>22312</v>
      </c>
      <c r="C27752" s="5" t="s">
        <v>45</v>
      </c>
      <c r="D27752" s="3" t="s">
        <v>221</v>
      </c>
      <c r="E27752" s="3" t="s">
        <v>929</v>
      </c>
      <c r="F27752" s="7">
        <v>46279.10082554927</v>
      </c>
      <c r="G27752" s="3" t="s">
        <v>20708</v>
      </c>
    </row>
    <row r="27753">
      <c r="A27753" s="3" t="s">
        <v>44222</v>
      </c>
      <c r="B27753" s="3" t="s">
        <v>22312</v>
      </c>
      <c r="C27753" s="5" t="s">
        <v>221</v>
      </c>
      <c r="D27753" s="3" t="s">
        <v>614</v>
      </c>
      <c r="E27753" s="3" t="s">
        <v>118</v>
      </c>
      <c r="F27753" s="7">
        <v>46279.10429777149</v>
      </c>
      <c r="G27753" s="3" t="s">
        <v>20711</v>
      </c>
    </row>
    <row r="27754">
      <c r="A27754" s="3" t="s">
        <v>44223</v>
      </c>
      <c r="B27754" s="3" t="s">
        <v>22312</v>
      </c>
      <c r="C27754" s="5" t="s">
        <v>614</v>
      </c>
      <c r="D27754" s="3" t="s">
        <v>206</v>
      </c>
      <c r="E27754" s="3" t="s">
        <v>100</v>
      </c>
      <c r="F27754" s="7">
        <v>46279.107769993716</v>
      </c>
      <c r="G27754" s="3" t="s">
        <v>20714</v>
      </c>
    </row>
    <row r="27755">
      <c r="A27755" s="3" t="s">
        <v>44224</v>
      </c>
      <c r="B27755" s="3" t="s">
        <v>22312</v>
      </c>
      <c r="C27755" s="5" t="s">
        <v>206</v>
      </c>
      <c r="D27755" s="3" t="s">
        <v>68</v>
      </c>
      <c r="E27755" s="3" t="s">
        <v>100</v>
      </c>
      <c r="F27755" s="7">
        <v>46279.111242215935</v>
      </c>
      <c r="G27755" s="3" t="s">
        <v>20717</v>
      </c>
    </row>
    <row r="27756">
      <c r="A27756" s="3" t="s">
        <v>44225</v>
      </c>
      <c r="B27756" s="3" t="s">
        <v>22315</v>
      </c>
      <c r="C27756" s="5" t="s">
        <v>45</v>
      </c>
      <c r="D27756" s="3" t="s">
        <v>221</v>
      </c>
      <c r="E27756" s="3" t="s">
        <v>747</v>
      </c>
      <c r="F27756" s="7">
        <v>46279.17200039468</v>
      </c>
      <c r="G27756" s="3" t="s">
        <v>27364</v>
      </c>
    </row>
    <row r="27757">
      <c r="A27757" s="3" t="s">
        <v>44226</v>
      </c>
      <c r="B27757" s="3" t="s">
        <v>22315</v>
      </c>
      <c r="C27757" s="5" t="s">
        <v>221</v>
      </c>
      <c r="D27757" s="3" t="s">
        <v>614</v>
      </c>
      <c r="E27757" s="3" t="s">
        <v>118</v>
      </c>
      <c r="F27757" s="7">
        <v>46279.1754726169</v>
      </c>
      <c r="G27757" s="3" t="s">
        <v>27366</v>
      </c>
    </row>
    <row r="27758">
      <c r="A27758" s="3" t="s">
        <v>44227</v>
      </c>
      <c r="B27758" s="3" t="s">
        <v>22315</v>
      </c>
      <c r="C27758" s="5" t="s">
        <v>614</v>
      </c>
      <c r="D27758" s="3" t="s">
        <v>206</v>
      </c>
      <c r="E27758" s="3" t="s">
        <v>100</v>
      </c>
      <c r="F27758" s="7">
        <v>46279.17894483913</v>
      </c>
      <c r="G27758" s="3" t="s">
        <v>27368</v>
      </c>
    </row>
    <row r="27759">
      <c r="A27759" s="3" t="s">
        <v>44228</v>
      </c>
      <c r="B27759" s="3" t="s">
        <v>22315</v>
      </c>
      <c r="C27759" s="5" t="s">
        <v>206</v>
      </c>
      <c r="D27759" s="3" t="s">
        <v>68</v>
      </c>
      <c r="E27759" s="3" t="s">
        <v>100</v>
      </c>
      <c r="F27759" s="7">
        <v>46279.18241706135</v>
      </c>
      <c r="G27759" s="3" t="s">
        <v>27370</v>
      </c>
    </row>
    <row r="27760">
      <c r="A27760" s="3" t="s">
        <v>44229</v>
      </c>
      <c r="B27760" s="3" t="s">
        <v>22318</v>
      </c>
      <c r="C27760" s="5" t="s">
        <v>45</v>
      </c>
      <c r="D27760" s="3" t="s">
        <v>221</v>
      </c>
      <c r="E27760" s="3" t="s">
        <v>472</v>
      </c>
      <c r="F27760" s="7">
        <v>46279.243175240095</v>
      </c>
      <c r="G27760" s="3" t="s">
        <v>15416</v>
      </c>
    </row>
    <row r="27761">
      <c r="A27761" s="3" t="s">
        <v>44230</v>
      </c>
      <c r="B27761" s="3" t="s">
        <v>22318</v>
      </c>
      <c r="C27761" s="5" t="s">
        <v>221</v>
      </c>
      <c r="D27761" s="3" t="s">
        <v>181</v>
      </c>
      <c r="E27761" s="3" t="s">
        <v>118</v>
      </c>
      <c r="F27761" s="7">
        <v>46279.246647462314</v>
      </c>
      <c r="G27761" s="3" t="s">
        <v>44231</v>
      </c>
    </row>
    <row r="27762">
      <c r="A27762" s="3" t="s">
        <v>44232</v>
      </c>
      <c r="B27762" s="3" t="s">
        <v>22321</v>
      </c>
      <c r="C27762" s="5" t="s">
        <v>45</v>
      </c>
      <c r="D27762" s="3" t="s">
        <v>221</v>
      </c>
      <c r="E27762" s="3" t="s">
        <v>662</v>
      </c>
      <c r="F27762" s="7">
        <v>46279.314350085515</v>
      </c>
      <c r="G27762" s="3" t="s">
        <v>44233</v>
      </c>
    </row>
    <row r="27763">
      <c r="A27763" s="3" t="s">
        <v>44234</v>
      </c>
      <c r="B27763" s="3" t="s">
        <v>22321</v>
      </c>
      <c r="C27763" s="5" t="s">
        <v>221</v>
      </c>
      <c r="D27763" s="3" t="s">
        <v>614</v>
      </c>
      <c r="E27763" s="3" t="s">
        <v>118</v>
      </c>
      <c r="F27763" s="7">
        <v>46279.317822307734</v>
      </c>
      <c r="G27763" s="3" t="s">
        <v>44235</v>
      </c>
    </row>
    <row r="27764">
      <c r="A27764" s="3" t="s">
        <v>44236</v>
      </c>
      <c r="B27764" s="3" t="s">
        <v>22321</v>
      </c>
      <c r="C27764" s="5" t="s">
        <v>614</v>
      </c>
      <c r="D27764" s="3" t="s">
        <v>206</v>
      </c>
      <c r="E27764" s="3" t="s">
        <v>100</v>
      </c>
      <c r="F27764" s="7">
        <v>46279.32129452996</v>
      </c>
      <c r="G27764" s="3" t="s">
        <v>44237</v>
      </c>
    </row>
    <row r="27765">
      <c r="A27765" s="3" t="s">
        <v>44238</v>
      </c>
      <c r="B27765" s="3" t="s">
        <v>22321</v>
      </c>
      <c r="C27765" s="5" t="s">
        <v>206</v>
      </c>
      <c r="D27765" s="3" t="s">
        <v>68</v>
      </c>
      <c r="E27765" s="3" t="s">
        <v>100</v>
      </c>
      <c r="F27765" s="7">
        <v>46279.32476675218</v>
      </c>
      <c r="G27765" s="3" t="s">
        <v>44239</v>
      </c>
    </row>
    <row r="27766">
      <c r="A27766" s="3" t="s">
        <v>44240</v>
      </c>
      <c r="B27766" s="3" t="s">
        <v>22324</v>
      </c>
      <c r="C27766" s="5" t="s">
        <v>45</v>
      </c>
      <c r="D27766" s="3" t="s">
        <v>221</v>
      </c>
      <c r="E27766" s="3" t="s">
        <v>472</v>
      </c>
      <c r="F27766" s="7">
        <v>46279.38552493093</v>
      </c>
      <c r="G27766" s="3" t="s">
        <v>17810</v>
      </c>
    </row>
    <row r="27767">
      <c r="A27767" s="3" t="s">
        <v>44241</v>
      </c>
      <c r="B27767" s="3" t="s">
        <v>22324</v>
      </c>
      <c r="C27767" s="5" t="s">
        <v>221</v>
      </c>
      <c r="D27767" s="3" t="s">
        <v>614</v>
      </c>
      <c r="E27767" s="3" t="s">
        <v>118</v>
      </c>
      <c r="F27767" s="7">
        <v>46279.388997153146</v>
      </c>
      <c r="G27767" s="3" t="s">
        <v>17813</v>
      </c>
    </row>
    <row r="27768">
      <c r="A27768" s="3" t="s">
        <v>44242</v>
      </c>
      <c r="B27768" s="3" t="s">
        <v>22324</v>
      </c>
      <c r="C27768" s="5" t="s">
        <v>614</v>
      </c>
      <c r="D27768" s="3" t="s">
        <v>206</v>
      </c>
      <c r="E27768" s="3" t="s">
        <v>100</v>
      </c>
      <c r="F27768" s="7">
        <v>46279.39246937537</v>
      </c>
      <c r="G27768" s="3" t="s">
        <v>17816</v>
      </c>
    </row>
    <row r="27769">
      <c r="A27769" s="3" t="s">
        <v>44243</v>
      </c>
      <c r="B27769" s="3" t="s">
        <v>22324</v>
      </c>
      <c r="C27769" s="5" t="s">
        <v>206</v>
      </c>
      <c r="D27769" s="3" t="s">
        <v>68</v>
      </c>
      <c r="E27769" s="3" t="s">
        <v>100</v>
      </c>
      <c r="F27769" s="7">
        <v>46279.39594159759</v>
      </c>
      <c r="G27769" s="3" t="s">
        <v>17819</v>
      </c>
    </row>
    <row r="27770">
      <c r="A27770" s="3" t="s">
        <v>44244</v>
      </c>
      <c r="B27770" s="3" t="s">
        <v>22327</v>
      </c>
      <c r="C27770" s="5" t="s">
        <v>45</v>
      </c>
      <c r="D27770" s="3" t="s">
        <v>221</v>
      </c>
      <c r="E27770" s="3" t="s">
        <v>493</v>
      </c>
      <c r="F27770" s="7">
        <v>46279.45669977634</v>
      </c>
      <c r="G27770" s="3" t="s">
        <v>22176</v>
      </c>
    </row>
    <row r="27771">
      <c r="A27771" s="3" t="s">
        <v>44245</v>
      </c>
      <c r="B27771" s="3" t="s">
        <v>22327</v>
      </c>
      <c r="C27771" s="5" t="s">
        <v>221</v>
      </c>
      <c r="D27771" s="3" t="s">
        <v>614</v>
      </c>
      <c r="E27771" s="3" t="s">
        <v>118</v>
      </c>
      <c r="F27771" s="7">
        <v>46279.46017199856</v>
      </c>
      <c r="G27771" s="3" t="s">
        <v>26201</v>
      </c>
    </row>
    <row r="27772">
      <c r="A27772" s="3" t="s">
        <v>44246</v>
      </c>
      <c r="B27772" s="3" t="s">
        <v>22327</v>
      </c>
      <c r="C27772" s="5" t="s">
        <v>614</v>
      </c>
      <c r="D27772" s="3" t="s">
        <v>206</v>
      </c>
      <c r="E27772" s="3" t="s">
        <v>100</v>
      </c>
      <c r="F27772" s="7">
        <v>46279.463644220785</v>
      </c>
      <c r="G27772" s="3" t="s">
        <v>26203</v>
      </c>
    </row>
    <row r="27773">
      <c r="A27773" s="3" t="s">
        <v>44247</v>
      </c>
      <c r="B27773" s="3" t="s">
        <v>22327</v>
      </c>
      <c r="C27773" s="5" t="s">
        <v>206</v>
      </c>
      <c r="D27773" s="3" t="s">
        <v>68</v>
      </c>
      <c r="E27773" s="3" t="s">
        <v>100</v>
      </c>
      <c r="F27773" s="7">
        <v>46279.467116443004</v>
      </c>
      <c r="G27773" s="3" t="s">
        <v>26205</v>
      </c>
    </row>
    <row r="27774">
      <c r="A27774" s="3" t="s">
        <v>44248</v>
      </c>
      <c r="B27774" s="3" t="s">
        <v>22329</v>
      </c>
      <c r="C27774" s="5" t="s">
        <v>45</v>
      </c>
      <c r="D27774" s="3" t="s">
        <v>221</v>
      </c>
      <c r="E27774" s="3" t="s">
        <v>1030</v>
      </c>
      <c r="F27774" s="7">
        <v>46279.52787462176</v>
      </c>
      <c r="G27774" s="3" t="s">
        <v>19424</v>
      </c>
    </row>
    <row r="27775">
      <c r="A27775" s="3" t="s">
        <v>44249</v>
      </c>
      <c r="B27775" s="3" t="s">
        <v>22329</v>
      </c>
      <c r="C27775" s="5" t="s">
        <v>221</v>
      </c>
      <c r="D27775" s="3" t="s">
        <v>614</v>
      </c>
      <c r="E27775" s="3" t="s">
        <v>118</v>
      </c>
      <c r="F27775" s="7">
        <v>46279.53134684398</v>
      </c>
      <c r="G27775" s="3" t="s">
        <v>19427</v>
      </c>
    </row>
    <row r="27776">
      <c r="A27776" s="3" t="s">
        <v>44250</v>
      </c>
      <c r="B27776" s="3" t="s">
        <v>22329</v>
      </c>
      <c r="C27776" s="5" t="s">
        <v>614</v>
      </c>
      <c r="D27776" s="3" t="s">
        <v>206</v>
      </c>
      <c r="E27776" s="3" t="s">
        <v>100</v>
      </c>
      <c r="F27776" s="7">
        <v>46279.534819066204</v>
      </c>
      <c r="G27776" s="3" t="s">
        <v>19430</v>
      </c>
    </row>
    <row r="27777">
      <c r="A27777" s="3" t="s">
        <v>44251</v>
      </c>
      <c r="B27777" s="3" t="s">
        <v>22329</v>
      </c>
      <c r="C27777" s="5" t="s">
        <v>206</v>
      </c>
      <c r="D27777" s="3" t="s">
        <v>68</v>
      </c>
      <c r="E27777" s="3" t="s">
        <v>100</v>
      </c>
      <c r="F27777" s="7">
        <v>46279.53829128842</v>
      </c>
      <c r="G27777" s="3" t="s">
        <v>19432</v>
      </c>
    </row>
    <row r="27778">
      <c r="A27778" s="3" t="s">
        <v>44252</v>
      </c>
      <c r="B27778" s="3" t="s">
        <v>22331</v>
      </c>
      <c r="C27778" s="5" t="s">
        <v>45</v>
      </c>
      <c r="D27778" s="3" t="s">
        <v>221</v>
      </c>
      <c r="E27778" s="3" t="s">
        <v>460</v>
      </c>
      <c r="F27778" s="7">
        <v>46279.59904946717</v>
      </c>
      <c r="G27778" s="3" t="s">
        <v>16700</v>
      </c>
    </row>
    <row r="27779">
      <c r="A27779" s="3" t="s">
        <v>44253</v>
      </c>
      <c r="B27779" s="3" t="s">
        <v>22331</v>
      </c>
      <c r="C27779" s="5" t="s">
        <v>221</v>
      </c>
      <c r="D27779" s="3" t="s">
        <v>614</v>
      </c>
      <c r="E27779" s="3" t="s">
        <v>118</v>
      </c>
      <c r="F27779" s="7">
        <v>46279.60252168939</v>
      </c>
      <c r="G27779" s="3" t="s">
        <v>16702</v>
      </c>
    </row>
    <row r="27780">
      <c r="A27780" s="3" t="s">
        <v>44254</v>
      </c>
      <c r="B27780" s="3" t="s">
        <v>22331</v>
      </c>
      <c r="C27780" s="5" t="s">
        <v>614</v>
      </c>
      <c r="D27780" s="3" t="s">
        <v>206</v>
      </c>
      <c r="E27780" s="3" t="s">
        <v>100</v>
      </c>
      <c r="F27780" s="7">
        <v>46279.60599391162</v>
      </c>
      <c r="G27780" s="3" t="s">
        <v>16705</v>
      </c>
    </row>
    <row r="27781">
      <c r="A27781" s="3" t="s">
        <v>44255</v>
      </c>
      <c r="B27781" s="3" t="s">
        <v>22331</v>
      </c>
      <c r="C27781" s="5" t="s">
        <v>206</v>
      </c>
      <c r="D27781" s="3" t="s">
        <v>68</v>
      </c>
      <c r="E27781" s="3" t="s">
        <v>100</v>
      </c>
      <c r="F27781" s="7">
        <v>46279.609466133836</v>
      </c>
      <c r="G27781" s="3" t="s">
        <v>16708</v>
      </c>
    </row>
    <row r="27782">
      <c r="A27782" s="3" t="s">
        <v>44256</v>
      </c>
      <c r="B27782" s="3" t="s">
        <v>22334</v>
      </c>
      <c r="C27782" s="5" t="s">
        <v>45</v>
      </c>
      <c r="D27782" s="3" t="s">
        <v>221</v>
      </c>
      <c r="E27782" s="3" t="s">
        <v>519</v>
      </c>
      <c r="F27782" s="7">
        <v>46279.670224312584</v>
      </c>
      <c r="G27782" s="3" t="s">
        <v>27074</v>
      </c>
    </row>
    <row r="27783">
      <c r="A27783" s="3" t="s">
        <v>44257</v>
      </c>
      <c r="B27783" s="3" t="s">
        <v>22334</v>
      </c>
      <c r="C27783" s="5" t="s">
        <v>221</v>
      </c>
      <c r="D27783" s="3" t="s">
        <v>614</v>
      </c>
      <c r="E27783" s="3" t="s">
        <v>118</v>
      </c>
      <c r="F27783" s="7">
        <v>46279.6736965348</v>
      </c>
      <c r="G27783" s="3" t="s">
        <v>27076</v>
      </c>
    </row>
    <row r="27784">
      <c r="A27784" s="3" t="s">
        <v>44258</v>
      </c>
      <c r="B27784" s="3" t="s">
        <v>22334</v>
      </c>
      <c r="C27784" s="5" t="s">
        <v>614</v>
      </c>
      <c r="D27784" s="3" t="s">
        <v>206</v>
      </c>
      <c r="E27784" s="3" t="s">
        <v>100</v>
      </c>
      <c r="F27784" s="7">
        <v>46279.67716875703</v>
      </c>
      <c r="G27784" s="3" t="s">
        <v>27078</v>
      </c>
    </row>
    <row r="27785">
      <c r="A27785" s="3" t="s">
        <v>44259</v>
      </c>
      <c r="B27785" s="3" t="s">
        <v>22334</v>
      </c>
      <c r="C27785" s="5" t="s">
        <v>206</v>
      </c>
      <c r="D27785" s="3" t="s">
        <v>68</v>
      </c>
      <c r="E27785" s="3" t="s">
        <v>100</v>
      </c>
      <c r="F27785" s="7">
        <v>46279.68064097925</v>
      </c>
      <c r="G27785" s="3" t="s">
        <v>27080</v>
      </c>
    </row>
    <row r="27786">
      <c r="A27786" s="3" t="s">
        <v>44260</v>
      </c>
      <c r="B27786" s="3" t="s">
        <v>22335</v>
      </c>
      <c r="C27786" s="5" t="s">
        <v>45</v>
      </c>
      <c r="D27786" s="3" t="s">
        <v>221</v>
      </c>
      <c r="E27786" s="3" t="s">
        <v>947</v>
      </c>
      <c r="F27786" s="7">
        <v>46279.741399158</v>
      </c>
      <c r="G27786" s="3" t="s">
        <v>31099</v>
      </c>
    </row>
    <row r="27787">
      <c r="A27787" s="3" t="s">
        <v>44261</v>
      </c>
      <c r="B27787" s="3" t="s">
        <v>22335</v>
      </c>
      <c r="C27787" s="5" t="s">
        <v>221</v>
      </c>
      <c r="D27787" s="3" t="s">
        <v>614</v>
      </c>
      <c r="E27787" s="3" t="s">
        <v>118</v>
      </c>
      <c r="F27787" s="7">
        <v>46279.74487138022</v>
      </c>
      <c r="G27787" s="3" t="s">
        <v>36808</v>
      </c>
    </row>
    <row r="27788">
      <c r="A27788" s="3" t="s">
        <v>44262</v>
      </c>
      <c r="B27788" s="3" t="s">
        <v>22335</v>
      </c>
      <c r="C27788" s="5" t="s">
        <v>614</v>
      </c>
      <c r="D27788" s="3" t="s">
        <v>206</v>
      </c>
      <c r="E27788" s="3" t="s">
        <v>100</v>
      </c>
      <c r="F27788" s="7">
        <v>46279.74834360245</v>
      </c>
      <c r="G27788" s="3" t="s">
        <v>36810</v>
      </c>
    </row>
    <row r="27789">
      <c r="A27789" s="3" t="s">
        <v>44263</v>
      </c>
      <c r="B27789" s="3" t="s">
        <v>22335</v>
      </c>
      <c r="C27789" s="5" t="s">
        <v>206</v>
      </c>
      <c r="D27789" s="3" t="s">
        <v>68</v>
      </c>
      <c r="E27789" s="3" t="s">
        <v>100</v>
      </c>
      <c r="F27789" s="7">
        <v>46279.75181582467</v>
      </c>
      <c r="G27789" s="3" t="s">
        <v>36812</v>
      </c>
    </row>
    <row r="27790">
      <c r="A27790" s="3" t="s">
        <v>44264</v>
      </c>
      <c r="B27790" s="3" t="s">
        <v>22337</v>
      </c>
      <c r="C27790" s="5" t="s">
        <v>45</v>
      </c>
      <c r="D27790" s="3" t="s">
        <v>221</v>
      </c>
      <c r="E27790" s="3" t="s">
        <v>860</v>
      </c>
      <c r="F27790" s="7">
        <v>46279.81257400342</v>
      </c>
      <c r="G27790" s="3" t="s">
        <v>16852</v>
      </c>
    </row>
    <row r="27791">
      <c r="A27791" s="3" t="s">
        <v>44265</v>
      </c>
      <c r="B27791" s="3" t="s">
        <v>22337</v>
      </c>
      <c r="C27791" s="5" t="s">
        <v>221</v>
      </c>
      <c r="D27791" s="3" t="s">
        <v>614</v>
      </c>
      <c r="E27791" s="3" t="s">
        <v>118</v>
      </c>
      <c r="F27791" s="7">
        <v>46279.81604622564</v>
      </c>
      <c r="G27791" s="3" t="s">
        <v>16855</v>
      </c>
    </row>
    <row r="27792">
      <c r="A27792" s="3" t="s">
        <v>44266</v>
      </c>
      <c r="B27792" s="3" t="s">
        <v>22337</v>
      </c>
      <c r="C27792" s="5" t="s">
        <v>614</v>
      </c>
      <c r="D27792" s="3" t="s">
        <v>206</v>
      </c>
      <c r="E27792" s="3" t="s">
        <v>100</v>
      </c>
      <c r="F27792" s="7">
        <v>46279.81951844787</v>
      </c>
      <c r="G27792" s="3" t="s">
        <v>16857</v>
      </c>
    </row>
    <row r="27793">
      <c r="A27793" s="3" t="s">
        <v>44267</v>
      </c>
      <c r="B27793" s="3" t="s">
        <v>22337</v>
      </c>
      <c r="C27793" s="5" t="s">
        <v>206</v>
      </c>
      <c r="D27793" s="3" t="s">
        <v>68</v>
      </c>
      <c r="E27793" s="3" t="s">
        <v>100</v>
      </c>
      <c r="F27793" s="7">
        <v>46279.82299067009</v>
      </c>
      <c r="G27793" s="3" t="s">
        <v>16860</v>
      </c>
    </row>
    <row r="27794">
      <c r="A27794" s="3" t="s">
        <v>44268</v>
      </c>
      <c r="B27794" s="3" t="s">
        <v>22340</v>
      </c>
      <c r="C27794" s="5" t="s">
        <v>45</v>
      </c>
      <c r="D27794" s="3" t="s">
        <v>221</v>
      </c>
      <c r="E27794" s="3" t="s">
        <v>559</v>
      </c>
      <c r="F27794" s="7">
        <v>46279.88374884883</v>
      </c>
      <c r="G27794" s="3" t="s">
        <v>5019</v>
      </c>
    </row>
    <row r="27795">
      <c r="A27795" s="3" t="s">
        <v>44269</v>
      </c>
      <c r="B27795" s="3" t="s">
        <v>22340</v>
      </c>
      <c r="C27795" s="5" t="s">
        <v>221</v>
      </c>
      <c r="D27795" s="3" t="s">
        <v>614</v>
      </c>
      <c r="E27795" s="3" t="s">
        <v>118</v>
      </c>
      <c r="F27795" s="7">
        <v>46279.88722107105</v>
      </c>
      <c r="G27795" s="3" t="s">
        <v>5022</v>
      </c>
    </row>
    <row r="27796">
      <c r="A27796" s="3" t="s">
        <v>44270</v>
      </c>
      <c r="B27796" s="3" t="s">
        <v>22340</v>
      </c>
      <c r="C27796" s="5" t="s">
        <v>614</v>
      </c>
      <c r="D27796" s="3" t="s">
        <v>206</v>
      </c>
      <c r="E27796" s="3" t="s">
        <v>100</v>
      </c>
      <c r="F27796" s="7">
        <v>46279.89069329327</v>
      </c>
      <c r="G27796" s="3" t="s">
        <v>5025</v>
      </c>
    </row>
    <row r="27797">
      <c r="A27797" s="3" t="s">
        <v>44271</v>
      </c>
      <c r="B27797" s="3" t="s">
        <v>22340</v>
      </c>
      <c r="C27797" s="5" t="s">
        <v>206</v>
      </c>
      <c r="D27797" s="3" t="s">
        <v>68</v>
      </c>
      <c r="E27797" s="3" t="s">
        <v>100</v>
      </c>
      <c r="F27797" s="7">
        <v>46279.89416551549</v>
      </c>
      <c r="G27797" s="3" t="s">
        <v>5028</v>
      </c>
    </row>
    <row r="27798">
      <c r="A27798" s="3" t="s">
        <v>44272</v>
      </c>
      <c r="B27798" s="3" t="s">
        <v>22342</v>
      </c>
      <c r="C27798" s="5" t="s">
        <v>45</v>
      </c>
      <c r="D27798" s="3" t="s">
        <v>221</v>
      </c>
      <c r="E27798" s="3" t="s">
        <v>934</v>
      </c>
      <c r="F27798" s="7">
        <v>46279.95492369425</v>
      </c>
      <c r="G27798" s="3" t="s">
        <v>16863</v>
      </c>
    </row>
    <row r="27799">
      <c r="A27799" s="3" t="s">
        <v>44273</v>
      </c>
      <c r="B27799" s="3" t="s">
        <v>22342</v>
      </c>
      <c r="C27799" s="5" t="s">
        <v>221</v>
      </c>
      <c r="D27799" s="3" t="s">
        <v>614</v>
      </c>
      <c r="E27799" s="3" t="s">
        <v>118</v>
      </c>
      <c r="F27799" s="7">
        <v>46279.95839591647</v>
      </c>
      <c r="G27799" s="3" t="s">
        <v>16866</v>
      </c>
    </row>
    <row r="27800">
      <c r="A27800" s="3" t="s">
        <v>44274</v>
      </c>
      <c r="B27800" s="3" t="s">
        <v>22342</v>
      </c>
      <c r="C27800" s="5" t="s">
        <v>614</v>
      </c>
      <c r="D27800" s="3" t="s">
        <v>206</v>
      </c>
      <c r="E27800" s="3" t="s">
        <v>100</v>
      </c>
      <c r="F27800" s="7">
        <v>46279.96186813869</v>
      </c>
      <c r="G27800" s="3" t="s">
        <v>16869</v>
      </c>
    </row>
    <row r="27801">
      <c r="A27801" s="3" t="s">
        <v>44275</v>
      </c>
      <c r="B27801" s="3" t="s">
        <v>22342</v>
      </c>
      <c r="C27801" s="5" t="s">
        <v>206</v>
      </c>
      <c r="D27801" s="3" t="s">
        <v>68</v>
      </c>
      <c r="E27801" s="3" t="s">
        <v>100</v>
      </c>
      <c r="F27801" s="7">
        <v>46279.96534036091</v>
      </c>
      <c r="G27801" s="3" t="s">
        <v>16871</v>
      </c>
    </row>
    <row r="27802">
      <c r="A27802" s="3" t="s">
        <v>44276</v>
      </c>
      <c r="B27802" s="3" t="s">
        <v>22344</v>
      </c>
      <c r="C27802" s="5" t="s">
        <v>45</v>
      </c>
      <c r="D27802" s="3" t="s">
        <v>221</v>
      </c>
      <c r="E27802" s="3" t="s">
        <v>239</v>
      </c>
      <c r="F27802" s="7">
        <v>46280.02609853967</v>
      </c>
      <c r="G27802" s="3" t="s">
        <v>17503</v>
      </c>
    </row>
    <row r="27803">
      <c r="A27803" s="3" t="s">
        <v>44277</v>
      </c>
      <c r="B27803" s="3" t="s">
        <v>22344</v>
      </c>
      <c r="C27803" s="5" t="s">
        <v>221</v>
      </c>
      <c r="D27803" s="3" t="s">
        <v>195</v>
      </c>
      <c r="E27803" s="3" t="s">
        <v>239</v>
      </c>
      <c r="F27803" s="7">
        <v>46280.029570761886</v>
      </c>
      <c r="G27803" s="3" t="s">
        <v>44278</v>
      </c>
    </row>
    <row r="27804">
      <c r="A27804" s="3" t="s">
        <v>44279</v>
      </c>
      <c r="B27804" s="3" t="s">
        <v>22347</v>
      </c>
      <c r="C27804" s="5" t="s">
        <v>45</v>
      </c>
      <c r="D27804" s="3" t="s">
        <v>221</v>
      </c>
      <c r="E27804" s="3" t="s">
        <v>587</v>
      </c>
      <c r="F27804" s="7">
        <v>46280.09727338508</v>
      </c>
      <c r="G27804" s="3" t="s">
        <v>13891</v>
      </c>
    </row>
    <row r="27805">
      <c r="A27805" s="3" t="s">
        <v>44280</v>
      </c>
      <c r="B27805" s="3" t="s">
        <v>22347</v>
      </c>
      <c r="C27805" s="5" t="s">
        <v>221</v>
      </c>
      <c r="D27805" s="3" t="s">
        <v>614</v>
      </c>
      <c r="E27805" s="3" t="s">
        <v>118</v>
      </c>
      <c r="F27805" s="7">
        <v>46280.1007456073</v>
      </c>
      <c r="G27805" s="3" t="s">
        <v>13894</v>
      </c>
    </row>
    <row r="27806">
      <c r="A27806" s="3" t="s">
        <v>44281</v>
      </c>
      <c r="B27806" s="3" t="s">
        <v>22347</v>
      </c>
      <c r="C27806" s="5" t="s">
        <v>614</v>
      </c>
      <c r="D27806" s="3" t="s">
        <v>206</v>
      </c>
      <c r="E27806" s="3" t="s">
        <v>100</v>
      </c>
      <c r="F27806" s="7">
        <v>46280.104217829525</v>
      </c>
      <c r="G27806" s="3" t="s">
        <v>13897</v>
      </c>
    </row>
    <row r="27807">
      <c r="A27807" s="3" t="s">
        <v>44282</v>
      </c>
      <c r="B27807" s="3" t="s">
        <v>22347</v>
      </c>
      <c r="C27807" s="5" t="s">
        <v>206</v>
      </c>
      <c r="D27807" s="3" t="s">
        <v>68</v>
      </c>
      <c r="E27807" s="3" t="s">
        <v>100</v>
      </c>
      <c r="F27807" s="7">
        <v>46280.107690051744</v>
      </c>
      <c r="G27807" s="3" t="s">
        <v>13899</v>
      </c>
    </row>
    <row r="27808">
      <c r="A27808" s="3" t="s">
        <v>44283</v>
      </c>
      <c r="B27808" s="3" t="s">
        <v>22349</v>
      </c>
      <c r="C27808" s="5" t="s">
        <v>45</v>
      </c>
      <c r="D27808" s="3" t="s">
        <v>221</v>
      </c>
      <c r="E27808" s="3" t="s">
        <v>215</v>
      </c>
      <c r="F27808" s="7">
        <v>46280.16844823049</v>
      </c>
      <c r="G27808" s="3" t="s">
        <v>17021</v>
      </c>
    </row>
    <row r="27809">
      <c r="A27809" s="3" t="s">
        <v>44284</v>
      </c>
      <c r="B27809" s="3" t="s">
        <v>22349</v>
      </c>
      <c r="C27809" s="5" t="s">
        <v>221</v>
      </c>
      <c r="D27809" s="3" t="s">
        <v>614</v>
      </c>
      <c r="E27809" s="3" t="s">
        <v>118</v>
      </c>
      <c r="F27809" s="7">
        <v>46280.17192045271</v>
      </c>
      <c r="G27809" s="3" t="s">
        <v>17024</v>
      </c>
    </row>
    <row r="27810">
      <c r="A27810" s="3" t="s">
        <v>44285</v>
      </c>
      <c r="B27810" s="3" t="s">
        <v>22349</v>
      </c>
      <c r="C27810" s="5" t="s">
        <v>614</v>
      </c>
      <c r="D27810" s="3" t="s">
        <v>206</v>
      </c>
      <c r="E27810" s="3" t="s">
        <v>100</v>
      </c>
      <c r="F27810" s="7">
        <v>46280.17539267494</v>
      </c>
      <c r="G27810" s="3" t="s">
        <v>17026</v>
      </c>
    </row>
    <row r="27811">
      <c r="A27811" s="3" t="s">
        <v>44286</v>
      </c>
      <c r="B27811" s="3" t="s">
        <v>22349</v>
      </c>
      <c r="C27811" s="5" t="s">
        <v>206</v>
      </c>
      <c r="D27811" s="3" t="s">
        <v>68</v>
      </c>
      <c r="E27811" s="3" t="s">
        <v>100</v>
      </c>
      <c r="F27811" s="7">
        <v>46280.178864897156</v>
      </c>
      <c r="G27811" s="3" t="s">
        <v>17029</v>
      </c>
    </row>
    <row r="27812">
      <c r="A27812" s="3" t="s">
        <v>44287</v>
      </c>
      <c r="B27812" s="3" t="s">
        <v>22351</v>
      </c>
      <c r="C27812" s="5" t="s">
        <v>45</v>
      </c>
      <c r="D27812" s="3" t="s">
        <v>221</v>
      </c>
      <c r="E27812" s="3" t="s">
        <v>380</v>
      </c>
      <c r="F27812" s="7">
        <v>46280.23962307591</v>
      </c>
      <c r="G27812" s="3" t="s">
        <v>17085</v>
      </c>
    </row>
    <row r="27813">
      <c r="A27813" s="3" t="s">
        <v>44288</v>
      </c>
      <c r="B27813" s="3" t="s">
        <v>22351</v>
      </c>
      <c r="C27813" s="5" t="s">
        <v>221</v>
      </c>
      <c r="D27813" s="3" t="s">
        <v>614</v>
      </c>
      <c r="E27813" s="3" t="s">
        <v>118</v>
      </c>
      <c r="F27813" s="7">
        <v>46280.24309529813</v>
      </c>
      <c r="G27813" s="3" t="s">
        <v>17088</v>
      </c>
    </row>
    <row r="27814">
      <c r="A27814" s="3" t="s">
        <v>44289</v>
      </c>
      <c r="B27814" s="3" t="s">
        <v>22351</v>
      </c>
      <c r="C27814" s="5" t="s">
        <v>614</v>
      </c>
      <c r="D27814" s="3" t="s">
        <v>206</v>
      </c>
      <c r="E27814" s="3" t="s">
        <v>100</v>
      </c>
      <c r="F27814" s="7">
        <v>46280.24656752036</v>
      </c>
      <c r="G27814" s="3" t="s">
        <v>17091</v>
      </c>
    </row>
    <row r="27815">
      <c r="A27815" s="3" t="s">
        <v>44290</v>
      </c>
      <c r="B27815" s="3" t="s">
        <v>22351</v>
      </c>
      <c r="C27815" s="5" t="s">
        <v>206</v>
      </c>
      <c r="D27815" s="3" t="s">
        <v>68</v>
      </c>
      <c r="E27815" s="3" t="s">
        <v>100</v>
      </c>
      <c r="F27815" s="7">
        <v>46280.250039742576</v>
      </c>
      <c r="G27815" s="3" t="s">
        <v>17093</v>
      </c>
    </row>
    <row r="27816">
      <c r="A27816" s="3" t="s">
        <v>44291</v>
      </c>
      <c r="B27816" s="3" t="s">
        <v>22353</v>
      </c>
      <c r="C27816" s="5" t="s">
        <v>45</v>
      </c>
      <c r="D27816" s="3" t="s">
        <v>221</v>
      </c>
      <c r="E27816" s="3" t="s">
        <v>488</v>
      </c>
      <c r="F27816" s="7">
        <v>46280.310797921324</v>
      </c>
      <c r="G27816" s="3" t="s">
        <v>27090</v>
      </c>
    </row>
    <row r="27817">
      <c r="A27817" s="3" t="s">
        <v>44292</v>
      </c>
      <c r="B27817" s="3" t="s">
        <v>22353</v>
      </c>
      <c r="C27817" s="5" t="s">
        <v>221</v>
      </c>
      <c r="D27817" s="3" t="s">
        <v>614</v>
      </c>
      <c r="E27817" s="3" t="s">
        <v>118</v>
      </c>
      <c r="F27817" s="7">
        <v>46280.31427014354</v>
      </c>
      <c r="G27817" s="3" t="s">
        <v>27092</v>
      </c>
    </row>
    <row r="27818">
      <c r="A27818" s="3" t="s">
        <v>44293</v>
      </c>
      <c r="B27818" s="3" t="s">
        <v>22353</v>
      </c>
      <c r="C27818" s="5" t="s">
        <v>614</v>
      </c>
      <c r="D27818" s="3" t="s">
        <v>206</v>
      </c>
      <c r="E27818" s="3" t="s">
        <v>100</v>
      </c>
      <c r="F27818" s="7">
        <v>46280.31774236577</v>
      </c>
      <c r="G27818" s="3" t="s">
        <v>27094</v>
      </c>
    </row>
    <row r="27819">
      <c r="A27819" s="3" t="s">
        <v>44294</v>
      </c>
      <c r="B27819" s="3" t="s">
        <v>22353</v>
      </c>
      <c r="C27819" s="5" t="s">
        <v>206</v>
      </c>
      <c r="D27819" s="3" t="s">
        <v>68</v>
      </c>
      <c r="E27819" s="3" t="s">
        <v>100</v>
      </c>
      <c r="F27819" s="7">
        <v>46280.32121458799</v>
      </c>
      <c r="G27819" s="3" t="s">
        <v>27096</v>
      </c>
    </row>
    <row r="27820">
      <c r="A27820" s="3" t="s">
        <v>44295</v>
      </c>
      <c r="B27820" s="3" t="s">
        <v>22355</v>
      </c>
      <c r="C27820" s="5" t="s">
        <v>45</v>
      </c>
      <c r="D27820" s="3" t="s">
        <v>221</v>
      </c>
      <c r="E27820" s="3" t="s">
        <v>171</v>
      </c>
      <c r="F27820" s="7">
        <v>46280.381972766736</v>
      </c>
      <c r="G27820" s="3" t="s">
        <v>32605</v>
      </c>
    </row>
    <row r="27821">
      <c r="A27821" s="3" t="s">
        <v>44296</v>
      </c>
      <c r="B27821" s="3" t="s">
        <v>22355</v>
      </c>
      <c r="C27821" s="5" t="s">
        <v>221</v>
      </c>
      <c r="D27821" s="3" t="s">
        <v>614</v>
      </c>
      <c r="E27821" s="3" t="s">
        <v>118</v>
      </c>
      <c r="F27821" s="7">
        <v>46280.385444988955</v>
      </c>
      <c r="G27821" s="3" t="s">
        <v>44297</v>
      </c>
    </row>
    <row r="27822">
      <c r="A27822" s="3" t="s">
        <v>44298</v>
      </c>
      <c r="B27822" s="3" t="s">
        <v>22355</v>
      </c>
      <c r="C27822" s="5" t="s">
        <v>614</v>
      </c>
      <c r="D27822" s="3" t="s">
        <v>206</v>
      </c>
      <c r="E27822" s="3" t="s">
        <v>100</v>
      </c>
      <c r="F27822" s="7">
        <v>46280.38891721118</v>
      </c>
      <c r="G27822" s="3" t="s">
        <v>44299</v>
      </c>
    </row>
    <row r="27823">
      <c r="A27823" s="3" t="s">
        <v>44300</v>
      </c>
      <c r="B27823" s="3" t="s">
        <v>22355</v>
      </c>
      <c r="C27823" s="5" t="s">
        <v>206</v>
      </c>
      <c r="D27823" s="3" t="s">
        <v>68</v>
      </c>
      <c r="E27823" s="3" t="s">
        <v>100</v>
      </c>
      <c r="F27823" s="7">
        <v>46280.3923894334</v>
      </c>
      <c r="G27823" s="3" t="s">
        <v>44301</v>
      </c>
    </row>
    <row r="27824">
      <c r="A27824" s="3" t="s">
        <v>44302</v>
      </c>
      <c r="B27824" s="3" t="s">
        <v>22358</v>
      </c>
      <c r="C27824" s="5" t="s">
        <v>45</v>
      </c>
      <c r="D27824" s="3" t="s">
        <v>221</v>
      </c>
      <c r="E27824" s="3" t="s">
        <v>404</v>
      </c>
      <c r="F27824" s="7">
        <v>46280.453147612156</v>
      </c>
      <c r="G27824" s="3" t="s">
        <v>17114</v>
      </c>
    </row>
    <row r="27825">
      <c r="A27825" s="3" t="s">
        <v>44303</v>
      </c>
      <c r="B27825" s="3" t="s">
        <v>22358</v>
      </c>
      <c r="C27825" s="5" t="s">
        <v>221</v>
      </c>
      <c r="D27825" s="3" t="s">
        <v>614</v>
      </c>
      <c r="E27825" s="3" t="s">
        <v>118</v>
      </c>
      <c r="F27825" s="7">
        <v>46280.456619834375</v>
      </c>
      <c r="G27825" s="3" t="s">
        <v>17117</v>
      </c>
    </row>
    <row r="27826">
      <c r="A27826" s="3" t="s">
        <v>44304</v>
      </c>
      <c r="B27826" s="3" t="s">
        <v>22358</v>
      </c>
      <c r="C27826" s="5" t="s">
        <v>614</v>
      </c>
      <c r="D27826" s="3" t="s">
        <v>206</v>
      </c>
      <c r="E27826" s="3" t="s">
        <v>100</v>
      </c>
      <c r="F27826" s="7">
        <v>46280.4600920566</v>
      </c>
      <c r="G27826" s="3" t="s">
        <v>17120</v>
      </c>
    </row>
    <row r="27827">
      <c r="A27827" s="3" t="s">
        <v>44305</v>
      </c>
      <c r="B27827" s="3" t="s">
        <v>22358</v>
      </c>
      <c r="C27827" s="5" t="s">
        <v>206</v>
      </c>
      <c r="D27827" s="3" t="s">
        <v>68</v>
      </c>
      <c r="E27827" s="3" t="s">
        <v>100</v>
      </c>
      <c r="F27827" s="7">
        <v>46280.46356427882</v>
      </c>
      <c r="G27827" s="3" t="s">
        <v>17123</v>
      </c>
    </row>
    <row r="27828">
      <c r="A27828" s="3" t="s">
        <v>44306</v>
      </c>
      <c r="B27828" s="3" t="s">
        <v>22361</v>
      </c>
      <c r="C27828" s="5" t="s">
        <v>45</v>
      </c>
      <c r="D27828" s="3" t="s">
        <v>221</v>
      </c>
      <c r="E27828" s="3" t="s">
        <v>916</v>
      </c>
      <c r="F27828" s="7">
        <v>46280.52432245757</v>
      </c>
      <c r="G27828" s="3" t="s">
        <v>22859</v>
      </c>
    </row>
    <row r="27829">
      <c r="A27829" s="3" t="s">
        <v>44307</v>
      </c>
      <c r="B27829" s="3" t="s">
        <v>22361</v>
      </c>
      <c r="C27829" s="5" t="s">
        <v>221</v>
      </c>
      <c r="D27829" s="3" t="s">
        <v>614</v>
      </c>
      <c r="E27829" s="3" t="s">
        <v>118</v>
      </c>
      <c r="F27829" s="7">
        <v>46280.52779467979</v>
      </c>
      <c r="G27829" s="3" t="s">
        <v>25383</v>
      </c>
    </row>
    <row r="27830">
      <c r="A27830" s="3" t="s">
        <v>44308</v>
      </c>
      <c r="B27830" s="3" t="s">
        <v>22361</v>
      </c>
      <c r="C27830" s="5" t="s">
        <v>614</v>
      </c>
      <c r="D27830" s="3" t="s">
        <v>206</v>
      </c>
      <c r="E27830" s="3" t="s">
        <v>100</v>
      </c>
      <c r="F27830" s="7">
        <v>46280.53126690201</v>
      </c>
      <c r="G27830" s="3" t="s">
        <v>25385</v>
      </c>
    </row>
    <row r="27831">
      <c r="A27831" s="3" t="s">
        <v>44309</v>
      </c>
      <c r="B27831" s="3" t="s">
        <v>22361</v>
      </c>
      <c r="C27831" s="5" t="s">
        <v>206</v>
      </c>
      <c r="D27831" s="3" t="s">
        <v>68</v>
      </c>
      <c r="E27831" s="3" t="s">
        <v>100</v>
      </c>
      <c r="F27831" s="7">
        <v>46280.53473912423</v>
      </c>
      <c r="G27831" s="3" t="s">
        <v>25387</v>
      </c>
    </row>
    <row r="27832">
      <c r="A27832" s="3" t="s">
        <v>44310</v>
      </c>
      <c r="B27832" s="3" t="s">
        <v>22364</v>
      </c>
      <c r="C27832" s="5" t="s">
        <v>45</v>
      </c>
      <c r="D27832" s="3" t="s">
        <v>221</v>
      </c>
      <c r="E27832" s="3" t="s">
        <v>735</v>
      </c>
      <c r="F27832" s="7">
        <v>46280.59549730298</v>
      </c>
      <c r="G27832" s="3" t="s">
        <v>17125</v>
      </c>
    </row>
    <row r="27833">
      <c r="A27833" s="3" t="s">
        <v>44311</v>
      </c>
      <c r="B27833" s="3" t="s">
        <v>22364</v>
      </c>
      <c r="C27833" s="5" t="s">
        <v>221</v>
      </c>
      <c r="D27833" s="3" t="s">
        <v>614</v>
      </c>
      <c r="E27833" s="3" t="s">
        <v>118</v>
      </c>
      <c r="F27833" s="7">
        <v>46280.5989695252</v>
      </c>
      <c r="G27833" s="3" t="s">
        <v>17128</v>
      </c>
    </row>
    <row r="27834">
      <c r="A27834" s="3" t="s">
        <v>44312</v>
      </c>
      <c r="B27834" s="3" t="s">
        <v>22364</v>
      </c>
      <c r="C27834" s="5" t="s">
        <v>614</v>
      </c>
      <c r="D27834" s="3" t="s">
        <v>206</v>
      </c>
      <c r="E27834" s="3" t="s">
        <v>100</v>
      </c>
      <c r="F27834" s="7">
        <v>46280.602441747425</v>
      </c>
      <c r="G27834" s="3" t="s">
        <v>17131</v>
      </c>
    </row>
    <row r="27835">
      <c r="A27835" s="3" t="s">
        <v>44313</v>
      </c>
      <c r="B27835" s="3" t="s">
        <v>22364</v>
      </c>
      <c r="C27835" s="5" t="s">
        <v>206</v>
      </c>
      <c r="D27835" s="3" t="s">
        <v>68</v>
      </c>
      <c r="E27835" s="3" t="s">
        <v>100</v>
      </c>
      <c r="F27835" s="7">
        <v>46280.605913969644</v>
      </c>
      <c r="G27835" s="3" t="s">
        <v>17134</v>
      </c>
    </row>
    <row r="27836">
      <c r="A27836" s="3" t="s">
        <v>44314</v>
      </c>
      <c r="B27836" s="3" t="s">
        <v>22367</v>
      </c>
      <c r="C27836" s="5" t="s">
        <v>45</v>
      </c>
      <c r="D27836" s="3" t="s">
        <v>221</v>
      </c>
      <c r="E27836" s="3" t="s">
        <v>488</v>
      </c>
      <c r="F27836" s="7">
        <v>46280.6666721484</v>
      </c>
      <c r="G27836" s="3" t="s">
        <v>10822</v>
      </c>
    </row>
    <row r="27837">
      <c r="A27837" s="3" t="s">
        <v>44315</v>
      </c>
      <c r="B27837" s="3" t="s">
        <v>22367</v>
      </c>
      <c r="C27837" s="5" t="s">
        <v>221</v>
      </c>
      <c r="D27837" s="3" t="s">
        <v>614</v>
      </c>
      <c r="E27837" s="3" t="s">
        <v>118</v>
      </c>
      <c r="F27837" s="7">
        <v>46280.67014437062</v>
      </c>
      <c r="G27837" s="3" t="s">
        <v>10824</v>
      </c>
    </row>
    <row r="27838">
      <c r="A27838" s="3" t="s">
        <v>44316</v>
      </c>
      <c r="B27838" s="3" t="s">
        <v>22367</v>
      </c>
      <c r="C27838" s="5" t="s">
        <v>614</v>
      </c>
      <c r="D27838" s="3" t="s">
        <v>206</v>
      </c>
      <c r="E27838" s="3" t="s">
        <v>100</v>
      </c>
      <c r="F27838" s="7">
        <v>46280.673616592845</v>
      </c>
      <c r="G27838" s="3" t="s">
        <v>10827</v>
      </c>
    </row>
    <row r="27839">
      <c r="A27839" s="3" t="s">
        <v>44317</v>
      </c>
      <c r="B27839" s="3" t="s">
        <v>22367</v>
      </c>
      <c r="C27839" s="5" t="s">
        <v>206</v>
      </c>
      <c r="D27839" s="3" t="s">
        <v>68</v>
      </c>
      <c r="E27839" s="3" t="s">
        <v>100</v>
      </c>
      <c r="F27839" s="7">
        <v>46280.677088815064</v>
      </c>
      <c r="G27839" s="3" t="s">
        <v>10830</v>
      </c>
    </row>
    <row r="27840">
      <c r="A27840" s="3" t="s">
        <v>44318</v>
      </c>
      <c r="B27840" s="3" t="s">
        <v>22369</v>
      </c>
      <c r="C27840" s="5" t="s">
        <v>45</v>
      </c>
      <c r="D27840" s="3" t="s">
        <v>221</v>
      </c>
      <c r="E27840" s="3" t="s">
        <v>414</v>
      </c>
      <c r="F27840" s="7">
        <v>46280.73784699382</v>
      </c>
      <c r="G27840" s="3" t="s">
        <v>7129</v>
      </c>
    </row>
    <row r="27841">
      <c r="A27841" s="3" t="s">
        <v>44319</v>
      </c>
      <c r="B27841" s="3" t="s">
        <v>22369</v>
      </c>
      <c r="C27841" s="5" t="s">
        <v>221</v>
      </c>
      <c r="D27841" s="3" t="s">
        <v>614</v>
      </c>
      <c r="E27841" s="3" t="s">
        <v>118</v>
      </c>
      <c r="F27841" s="7">
        <v>46280.74131921604</v>
      </c>
      <c r="G27841" s="3" t="s">
        <v>7132</v>
      </c>
    </row>
    <row r="27842">
      <c r="A27842" s="3" t="s">
        <v>44320</v>
      </c>
      <c r="B27842" s="3" t="s">
        <v>22369</v>
      </c>
      <c r="C27842" s="5" t="s">
        <v>614</v>
      </c>
      <c r="D27842" s="3" t="s">
        <v>206</v>
      </c>
      <c r="E27842" s="3" t="s">
        <v>100</v>
      </c>
      <c r="F27842" s="7">
        <v>46280.744791438265</v>
      </c>
      <c r="G27842" s="3" t="s">
        <v>7135</v>
      </c>
    </row>
    <row r="27843">
      <c r="A27843" s="3" t="s">
        <v>44321</v>
      </c>
      <c r="B27843" s="3" t="s">
        <v>22369</v>
      </c>
      <c r="C27843" s="5" t="s">
        <v>206</v>
      </c>
      <c r="D27843" s="3" t="s">
        <v>68</v>
      </c>
      <c r="E27843" s="3" t="s">
        <v>100</v>
      </c>
      <c r="F27843" s="7">
        <v>46280.748263660484</v>
      </c>
      <c r="G27843" s="3" t="s">
        <v>7138</v>
      </c>
    </row>
    <row r="27844">
      <c r="A27844" s="3" t="s">
        <v>44322</v>
      </c>
      <c r="B27844" s="3" t="s">
        <v>22371</v>
      </c>
      <c r="C27844" s="5" t="s">
        <v>45</v>
      </c>
      <c r="D27844" s="3" t="s">
        <v>221</v>
      </c>
      <c r="E27844" s="3" t="s">
        <v>233</v>
      </c>
      <c r="F27844" s="7">
        <v>46280.809021839224</v>
      </c>
      <c r="G27844" s="3" t="s">
        <v>10997</v>
      </c>
    </row>
    <row r="27845">
      <c r="A27845" s="3" t="s">
        <v>44323</v>
      </c>
      <c r="B27845" s="3" t="s">
        <v>22371</v>
      </c>
      <c r="C27845" s="5" t="s">
        <v>221</v>
      </c>
      <c r="D27845" s="3" t="s">
        <v>614</v>
      </c>
      <c r="E27845" s="3" t="s">
        <v>118</v>
      </c>
      <c r="F27845" s="7">
        <v>46280.81249406144</v>
      </c>
      <c r="G27845" s="3" t="s">
        <v>11000</v>
      </c>
    </row>
    <row r="27846">
      <c r="A27846" s="3" t="s">
        <v>44324</v>
      </c>
      <c r="B27846" s="3" t="s">
        <v>22371</v>
      </c>
      <c r="C27846" s="5" t="s">
        <v>614</v>
      </c>
      <c r="D27846" s="3" t="s">
        <v>206</v>
      </c>
      <c r="E27846" s="3" t="s">
        <v>100</v>
      </c>
      <c r="F27846" s="7">
        <v>46280.81596628367</v>
      </c>
      <c r="G27846" s="3" t="s">
        <v>11003</v>
      </c>
    </row>
    <row r="27847">
      <c r="A27847" s="3" t="s">
        <v>44325</v>
      </c>
      <c r="B27847" s="3" t="s">
        <v>22371</v>
      </c>
      <c r="C27847" s="5" t="s">
        <v>206</v>
      </c>
      <c r="D27847" s="3" t="s">
        <v>68</v>
      </c>
      <c r="E27847" s="3" t="s">
        <v>100</v>
      </c>
      <c r="F27847" s="7">
        <v>46280.81943850589</v>
      </c>
      <c r="G27847" s="3" t="s">
        <v>11006</v>
      </c>
    </row>
    <row r="27848">
      <c r="A27848" s="3" t="s">
        <v>44326</v>
      </c>
      <c r="B27848" s="3" t="s">
        <v>22373</v>
      </c>
      <c r="C27848" s="5" t="s">
        <v>45</v>
      </c>
      <c r="D27848" s="3" t="s">
        <v>221</v>
      </c>
      <c r="E27848" s="3" t="s">
        <v>348</v>
      </c>
      <c r="F27848" s="7">
        <v>46280.880196684644</v>
      </c>
      <c r="G27848" s="3" t="s">
        <v>12915</v>
      </c>
    </row>
    <row r="27849">
      <c r="A27849" s="3" t="s">
        <v>44327</v>
      </c>
      <c r="B27849" s="3" t="s">
        <v>22373</v>
      </c>
      <c r="C27849" s="5" t="s">
        <v>221</v>
      </c>
      <c r="D27849" s="3" t="s">
        <v>614</v>
      </c>
      <c r="E27849" s="3" t="s">
        <v>118</v>
      </c>
      <c r="F27849" s="7">
        <v>46280.88366890686</v>
      </c>
      <c r="G27849" s="3" t="s">
        <v>12918</v>
      </c>
    </row>
    <row r="27850">
      <c r="A27850" s="3" t="s">
        <v>44328</v>
      </c>
      <c r="B27850" s="3" t="s">
        <v>22373</v>
      </c>
      <c r="C27850" s="5" t="s">
        <v>614</v>
      </c>
      <c r="D27850" s="3" t="s">
        <v>206</v>
      </c>
      <c r="E27850" s="3" t="s">
        <v>100</v>
      </c>
      <c r="F27850" s="7">
        <v>46280.88714112909</v>
      </c>
      <c r="G27850" s="3" t="s">
        <v>12922</v>
      </c>
    </row>
    <row r="27851">
      <c r="A27851" s="3" t="s">
        <v>44329</v>
      </c>
      <c r="B27851" s="3" t="s">
        <v>22373</v>
      </c>
      <c r="C27851" s="5" t="s">
        <v>206</v>
      </c>
      <c r="D27851" s="3" t="s">
        <v>68</v>
      </c>
      <c r="E27851" s="3" t="s">
        <v>100</v>
      </c>
      <c r="F27851" s="7">
        <v>46280.89061335131</v>
      </c>
      <c r="G27851" s="3" t="s">
        <v>12925</v>
      </c>
    </row>
    <row r="27852">
      <c r="A27852" s="3" t="s">
        <v>44330</v>
      </c>
      <c r="B27852" s="3" t="s">
        <v>22375</v>
      </c>
      <c r="C27852" s="5" t="s">
        <v>45</v>
      </c>
      <c r="D27852" s="3" t="s">
        <v>221</v>
      </c>
      <c r="E27852" s="3" t="s">
        <v>1001</v>
      </c>
      <c r="F27852" s="7">
        <v>46280.95137153006</v>
      </c>
      <c r="G27852" s="3" t="s">
        <v>11481</v>
      </c>
    </row>
    <row r="27853">
      <c r="A27853" s="3" t="s">
        <v>44331</v>
      </c>
      <c r="B27853" s="3" t="s">
        <v>22375</v>
      </c>
      <c r="C27853" s="5" t="s">
        <v>221</v>
      </c>
      <c r="D27853" s="3" t="s">
        <v>614</v>
      </c>
      <c r="E27853" s="3" t="s">
        <v>118</v>
      </c>
      <c r="F27853" s="7">
        <v>46280.95484375228</v>
      </c>
      <c r="G27853" s="3" t="s">
        <v>11485</v>
      </c>
    </row>
    <row r="27854">
      <c r="A27854" s="3" t="s">
        <v>44332</v>
      </c>
      <c r="B27854" s="3" t="s">
        <v>22375</v>
      </c>
      <c r="C27854" s="5" t="s">
        <v>614</v>
      </c>
      <c r="D27854" s="3" t="s">
        <v>206</v>
      </c>
      <c r="E27854" s="3" t="s">
        <v>100</v>
      </c>
      <c r="F27854" s="7">
        <v>46280.95831597451</v>
      </c>
      <c r="G27854" s="3" t="s">
        <v>11487</v>
      </c>
    </row>
    <row r="27855">
      <c r="A27855" s="3" t="s">
        <v>44333</v>
      </c>
      <c r="B27855" s="3" t="s">
        <v>22375</v>
      </c>
      <c r="C27855" s="5" t="s">
        <v>206</v>
      </c>
      <c r="D27855" s="3" t="s">
        <v>68</v>
      </c>
      <c r="E27855" s="3" t="s">
        <v>100</v>
      </c>
      <c r="F27855" s="7">
        <v>46280.96178819673</v>
      </c>
      <c r="G27855" s="3" t="s">
        <v>11490</v>
      </c>
    </row>
    <row r="27856">
      <c r="A27856" s="3" t="s">
        <v>44334</v>
      </c>
      <c r="B27856" s="3" t="s">
        <v>22377</v>
      </c>
      <c r="C27856" s="5" t="s">
        <v>45</v>
      </c>
      <c r="D27856" s="3" t="s">
        <v>221</v>
      </c>
      <c r="E27856" s="3" t="s">
        <v>366</v>
      </c>
      <c r="F27856" s="7">
        <v>46281.022546375476</v>
      </c>
      <c r="G27856" s="3" t="s">
        <v>17137</v>
      </c>
    </row>
    <row r="27857">
      <c r="A27857" s="3" t="s">
        <v>44335</v>
      </c>
      <c r="B27857" s="3" t="s">
        <v>22377</v>
      </c>
      <c r="C27857" s="5" t="s">
        <v>221</v>
      </c>
      <c r="D27857" s="3" t="s">
        <v>614</v>
      </c>
      <c r="E27857" s="3" t="s">
        <v>118</v>
      </c>
      <c r="F27857" s="7">
        <v>46281.026018597695</v>
      </c>
      <c r="G27857" s="3" t="s">
        <v>17139</v>
      </c>
    </row>
    <row r="27858">
      <c r="A27858" s="3" t="s">
        <v>44336</v>
      </c>
      <c r="B27858" s="3" t="s">
        <v>22377</v>
      </c>
      <c r="C27858" s="5" t="s">
        <v>614</v>
      </c>
      <c r="D27858" s="3" t="s">
        <v>206</v>
      </c>
      <c r="E27858" s="3" t="s">
        <v>100</v>
      </c>
      <c r="F27858" s="7">
        <v>46281.02949081992</v>
      </c>
      <c r="G27858" s="3" t="s">
        <v>17142</v>
      </c>
    </row>
    <row r="27859">
      <c r="A27859" s="3" t="s">
        <v>44337</v>
      </c>
      <c r="B27859" s="3" t="s">
        <v>22377</v>
      </c>
      <c r="C27859" s="5" t="s">
        <v>206</v>
      </c>
      <c r="D27859" s="3" t="s">
        <v>68</v>
      </c>
      <c r="E27859" s="3" t="s">
        <v>100</v>
      </c>
      <c r="F27859" s="7">
        <v>46281.03296304214</v>
      </c>
      <c r="G27859" s="3" t="s">
        <v>17145</v>
      </c>
    </row>
    <row r="27860">
      <c r="A27860" s="3" t="s">
        <v>44338</v>
      </c>
      <c r="B27860" s="3" t="s">
        <v>22379</v>
      </c>
      <c r="C27860" s="5" t="s">
        <v>45</v>
      </c>
      <c r="D27860" s="3" t="s">
        <v>221</v>
      </c>
      <c r="E27860" s="3" t="s">
        <v>485</v>
      </c>
      <c r="F27860" s="7">
        <v>46281.09372122089</v>
      </c>
      <c r="G27860" s="3" t="s">
        <v>32165</v>
      </c>
    </row>
    <row r="27861">
      <c r="A27861" s="3" t="s">
        <v>44339</v>
      </c>
      <c r="B27861" s="3" t="s">
        <v>22379</v>
      </c>
      <c r="C27861" s="5" t="s">
        <v>221</v>
      </c>
      <c r="D27861" s="3" t="s">
        <v>614</v>
      </c>
      <c r="E27861" s="3" t="s">
        <v>118</v>
      </c>
      <c r="F27861" s="7">
        <v>46281.09719344311</v>
      </c>
      <c r="G27861" s="3" t="s">
        <v>32167</v>
      </c>
    </row>
    <row r="27862">
      <c r="A27862" s="3" t="s">
        <v>44340</v>
      </c>
      <c r="B27862" s="3" t="s">
        <v>22379</v>
      </c>
      <c r="C27862" s="5" t="s">
        <v>614</v>
      </c>
      <c r="D27862" s="3" t="s">
        <v>206</v>
      </c>
      <c r="E27862" s="3" t="s">
        <v>100</v>
      </c>
      <c r="F27862" s="7">
        <v>46281.10066566533</v>
      </c>
      <c r="G27862" s="3" t="s">
        <v>32169</v>
      </c>
    </row>
    <row r="27863">
      <c r="A27863" s="3" t="s">
        <v>44341</v>
      </c>
      <c r="B27863" s="3" t="s">
        <v>22379</v>
      </c>
      <c r="C27863" s="5" t="s">
        <v>206</v>
      </c>
      <c r="D27863" s="3" t="s">
        <v>68</v>
      </c>
      <c r="E27863" s="3" t="s">
        <v>100</v>
      </c>
      <c r="F27863" s="7">
        <v>46281.10413788755</v>
      </c>
      <c r="G27863" s="3" t="s">
        <v>32171</v>
      </c>
    </row>
    <row r="27864">
      <c r="A27864" s="3" t="s">
        <v>44342</v>
      </c>
      <c r="B27864" s="3" t="s">
        <v>22381</v>
      </c>
      <c r="C27864" s="5" t="s">
        <v>45</v>
      </c>
      <c r="D27864" s="3" t="s">
        <v>221</v>
      </c>
      <c r="E27864" s="3" t="s">
        <v>341</v>
      </c>
      <c r="F27864" s="7">
        <v>46281.16489606631</v>
      </c>
      <c r="G27864" s="3" t="s">
        <v>17174</v>
      </c>
    </row>
    <row r="27865">
      <c r="A27865" s="3" t="s">
        <v>44343</v>
      </c>
      <c r="B27865" s="3" t="s">
        <v>22381</v>
      </c>
      <c r="C27865" s="5" t="s">
        <v>221</v>
      </c>
      <c r="D27865" s="3" t="s">
        <v>614</v>
      </c>
      <c r="E27865" s="3" t="s">
        <v>118</v>
      </c>
      <c r="F27865" s="7">
        <v>46281.16836828853</v>
      </c>
      <c r="G27865" s="3" t="s">
        <v>17177</v>
      </c>
    </row>
    <row r="27866">
      <c r="A27866" s="3" t="s">
        <v>44344</v>
      </c>
      <c r="B27866" s="3" t="s">
        <v>22381</v>
      </c>
      <c r="C27866" s="5" t="s">
        <v>614</v>
      </c>
      <c r="D27866" s="3" t="s">
        <v>206</v>
      </c>
      <c r="E27866" s="3" t="s">
        <v>100</v>
      </c>
      <c r="F27866" s="7">
        <v>46281.17184051075</v>
      </c>
      <c r="G27866" s="3" t="s">
        <v>17180</v>
      </c>
    </row>
    <row r="27867">
      <c r="A27867" s="3" t="s">
        <v>44345</v>
      </c>
      <c r="B27867" s="3" t="s">
        <v>22381</v>
      </c>
      <c r="C27867" s="5" t="s">
        <v>206</v>
      </c>
      <c r="D27867" s="3" t="s">
        <v>68</v>
      </c>
      <c r="E27867" s="3" t="s">
        <v>100</v>
      </c>
      <c r="F27867" s="7">
        <v>46281.17531273297</v>
      </c>
      <c r="G27867" s="3" t="s">
        <v>17182</v>
      </c>
    </row>
    <row r="27868">
      <c r="A27868" s="3" t="s">
        <v>44346</v>
      </c>
      <c r="B27868" s="3" t="s">
        <v>22383</v>
      </c>
      <c r="C27868" s="5" t="s">
        <v>45</v>
      </c>
      <c r="D27868" s="3" t="s">
        <v>221</v>
      </c>
      <c r="E27868" s="3" t="s">
        <v>411</v>
      </c>
      <c r="F27868" s="7">
        <v>46281.23607091172</v>
      </c>
      <c r="G27868" s="3" t="s">
        <v>5950</v>
      </c>
    </row>
    <row r="27869">
      <c r="A27869" s="3" t="s">
        <v>44347</v>
      </c>
      <c r="B27869" s="3" t="s">
        <v>22383</v>
      </c>
      <c r="C27869" s="5" t="s">
        <v>221</v>
      </c>
      <c r="D27869" s="3" t="s">
        <v>614</v>
      </c>
      <c r="E27869" s="3" t="s">
        <v>118</v>
      </c>
      <c r="F27869" s="7">
        <v>46281.23954313394</v>
      </c>
      <c r="G27869" s="3" t="s">
        <v>5953</v>
      </c>
    </row>
    <row r="27870">
      <c r="A27870" s="3" t="s">
        <v>44348</v>
      </c>
      <c r="B27870" s="3" t="s">
        <v>22383</v>
      </c>
      <c r="C27870" s="5" t="s">
        <v>614</v>
      </c>
      <c r="D27870" s="3" t="s">
        <v>206</v>
      </c>
      <c r="E27870" s="3" t="s">
        <v>100</v>
      </c>
      <c r="F27870" s="7">
        <v>46281.243015356165</v>
      </c>
      <c r="G27870" s="3" t="s">
        <v>5956</v>
      </c>
    </row>
    <row r="27871">
      <c r="A27871" s="3" t="s">
        <v>44349</v>
      </c>
      <c r="B27871" s="3" t="s">
        <v>22383</v>
      </c>
      <c r="C27871" s="5" t="s">
        <v>206</v>
      </c>
      <c r="D27871" s="3" t="s">
        <v>68</v>
      </c>
      <c r="E27871" s="3" t="s">
        <v>100</v>
      </c>
      <c r="F27871" s="7">
        <v>46281.246487578384</v>
      </c>
      <c r="G27871" s="3" t="s">
        <v>5958</v>
      </c>
    </row>
    <row r="27872">
      <c r="A27872" s="3" t="s">
        <v>44350</v>
      </c>
      <c r="B27872" s="3" t="s">
        <v>22385</v>
      </c>
      <c r="C27872" s="5" t="s">
        <v>45</v>
      </c>
      <c r="D27872" s="3" t="s">
        <v>221</v>
      </c>
      <c r="E27872" s="3" t="s">
        <v>943</v>
      </c>
      <c r="F27872" s="7">
        <v>46281.30724575713</v>
      </c>
      <c r="G27872" s="3" t="s">
        <v>26908</v>
      </c>
    </row>
    <row r="27873">
      <c r="A27873" s="3" t="s">
        <v>44351</v>
      </c>
      <c r="B27873" s="3" t="s">
        <v>22385</v>
      </c>
      <c r="C27873" s="5" t="s">
        <v>221</v>
      </c>
      <c r="D27873" s="3" t="s">
        <v>614</v>
      </c>
      <c r="E27873" s="3" t="s">
        <v>118</v>
      </c>
      <c r="F27873" s="7">
        <v>46281.31071797935</v>
      </c>
      <c r="G27873" s="3" t="s">
        <v>26910</v>
      </c>
    </row>
    <row r="27874">
      <c r="A27874" s="3" t="s">
        <v>44352</v>
      </c>
      <c r="B27874" s="3" t="s">
        <v>22385</v>
      </c>
      <c r="C27874" s="5" t="s">
        <v>614</v>
      </c>
      <c r="D27874" s="3" t="s">
        <v>206</v>
      </c>
      <c r="E27874" s="3" t="s">
        <v>100</v>
      </c>
      <c r="F27874" s="7">
        <v>46281.31419020158</v>
      </c>
      <c r="G27874" s="3" t="s">
        <v>26912</v>
      </c>
    </row>
    <row r="27875">
      <c r="A27875" s="3" t="s">
        <v>44353</v>
      </c>
      <c r="B27875" s="3" t="s">
        <v>22385</v>
      </c>
      <c r="C27875" s="5" t="s">
        <v>206</v>
      </c>
      <c r="D27875" s="3" t="s">
        <v>68</v>
      </c>
      <c r="E27875" s="3" t="s">
        <v>100</v>
      </c>
      <c r="F27875" s="7">
        <v>46281.3176624238</v>
      </c>
      <c r="G27875" s="3" t="s">
        <v>26914</v>
      </c>
    </row>
    <row r="27876">
      <c r="A27876" s="3" t="s">
        <v>44354</v>
      </c>
      <c r="B27876" s="3" t="s">
        <v>22387</v>
      </c>
      <c r="C27876" s="5" t="s">
        <v>45</v>
      </c>
      <c r="D27876" s="3" t="s">
        <v>221</v>
      </c>
      <c r="E27876" s="3" t="s">
        <v>453</v>
      </c>
      <c r="F27876" s="7">
        <v>46281.37842060255</v>
      </c>
      <c r="G27876" s="3" t="s">
        <v>18336</v>
      </c>
    </row>
    <row r="27877">
      <c r="A27877" s="3" t="s">
        <v>44355</v>
      </c>
      <c r="B27877" s="3" t="s">
        <v>22387</v>
      </c>
      <c r="C27877" s="5" t="s">
        <v>221</v>
      </c>
      <c r="D27877" s="3" t="s">
        <v>614</v>
      </c>
      <c r="E27877" s="3" t="s">
        <v>118</v>
      </c>
      <c r="F27877" s="7">
        <v>46281.38189282477</v>
      </c>
      <c r="G27877" s="3" t="s">
        <v>18339</v>
      </c>
    </row>
    <row r="27878">
      <c r="A27878" s="3" t="s">
        <v>44356</v>
      </c>
      <c r="B27878" s="3" t="s">
        <v>22387</v>
      </c>
      <c r="C27878" s="5" t="s">
        <v>614</v>
      </c>
      <c r="D27878" s="3" t="s">
        <v>206</v>
      </c>
      <c r="E27878" s="3" t="s">
        <v>100</v>
      </c>
      <c r="F27878" s="7">
        <v>46281.385365047</v>
      </c>
      <c r="G27878" s="3" t="s">
        <v>18341</v>
      </c>
    </row>
    <row r="27879">
      <c r="A27879" s="3" t="s">
        <v>44357</v>
      </c>
      <c r="B27879" s="3" t="s">
        <v>22387</v>
      </c>
      <c r="C27879" s="5" t="s">
        <v>206</v>
      </c>
      <c r="D27879" s="3" t="s">
        <v>68</v>
      </c>
      <c r="E27879" s="3" t="s">
        <v>100</v>
      </c>
      <c r="F27879" s="7">
        <v>46281.388837269216</v>
      </c>
      <c r="G27879" s="3" t="s">
        <v>18344</v>
      </c>
    </row>
    <row r="27880">
      <c r="A27880" s="3" t="s">
        <v>44358</v>
      </c>
      <c r="B27880" s="3" t="s">
        <v>22390</v>
      </c>
      <c r="C27880" s="5" t="s">
        <v>45</v>
      </c>
      <c r="D27880" s="3" t="s">
        <v>221</v>
      </c>
      <c r="E27880" s="3" t="s">
        <v>269</v>
      </c>
      <c r="F27880" s="7">
        <v>46281.449595447964</v>
      </c>
      <c r="G27880" s="3" t="s">
        <v>8120</v>
      </c>
    </row>
    <row r="27881">
      <c r="A27881" s="3" t="s">
        <v>44359</v>
      </c>
      <c r="B27881" s="3" t="s">
        <v>22390</v>
      </c>
      <c r="C27881" s="5" t="s">
        <v>221</v>
      </c>
      <c r="D27881" s="3" t="s">
        <v>614</v>
      </c>
      <c r="E27881" s="3" t="s">
        <v>118</v>
      </c>
      <c r="F27881" s="7">
        <v>46281.45306767018</v>
      </c>
      <c r="G27881" s="3" t="s">
        <v>8123</v>
      </c>
    </row>
    <row r="27882">
      <c r="A27882" s="3" t="s">
        <v>44360</v>
      </c>
      <c r="B27882" s="3" t="s">
        <v>22390</v>
      </c>
      <c r="C27882" s="5" t="s">
        <v>614</v>
      </c>
      <c r="D27882" s="3" t="s">
        <v>206</v>
      </c>
      <c r="E27882" s="3" t="s">
        <v>100</v>
      </c>
      <c r="F27882" s="7">
        <v>46281.45653989241</v>
      </c>
      <c r="G27882" s="3" t="s">
        <v>8125</v>
      </c>
    </row>
    <row r="27883">
      <c r="A27883" s="3" t="s">
        <v>44361</v>
      </c>
      <c r="B27883" s="3" t="s">
        <v>22390</v>
      </c>
      <c r="C27883" s="5" t="s">
        <v>206</v>
      </c>
      <c r="D27883" s="3" t="s">
        <v>68</v>
      </c>
      <c r="E27883" s="3" t="s">
        <v>100</v>
      </c>
      <c r="F27883" s="7">
        <v>46281.46001211463</v>
      </c>
      <c r="G27883" s="3" t="s">
        <v>8128</v>
      </c>
    </row>
    <row r="27884">
      <c r="A27884" s="3" t="s">
        <v>44362</v>
      </c>
      <c r="B27884" s="3" t="s">
        <v>22392</v>
      </c>
      <c r="C27884" s="5" t="s">
        <v>45</v>
      </c>
      <c r="D27884" s="3" t="s">
        <v>221</v>
      </c>
      <c r="E27884" s="3" t="s">
        <v>773</v>
      </c>
      <c r="F27884" s="7">
        <v>46281.52077029338</v>
      </c>
      <c r="G27884" s="3" t="s">
        <v>8169</v>
      </c>
    </row>
    <row r="27885">
      <c r="A27885" s="3" t="s">
        <v>44363</v>
      </c>
      <c r="B27885" s="3" t="s">
        <v>22392</v>
      </c>
      <c r="C27885" s="5" t="s">
        <v>221</v>
      </c>
      <c r="D27885" s="3" t="s">
        <v>195</v>
      </c>
      <c r="E27885" s="3" t="s">
        <v>773</v>
      </c>
      <c r="F27885" s="7">
        <v>46281.524242515596</v>
      </c>
      <c r="G27885" s="3" t="s">
        <v>44364</v>
      </c>
    </row>
    <row r="27886">
      <c r="A27886" s="3" t="s">
        <v>44365</v>
      </c>
      <c r="B27886" s="3" t="s">
        <v>22394</v>
      </c>
      <c r="C27886" s="5" t="s">
        <v>45</v>
      </c>
      <c r="D27886" s="3" t="s">
        <v>221</v>
      </c>
      <c r="E27886" s="3" t="s">
        <v>233</v>
      </c>
      <c r="F27886" s="7">
        <v>46281.591945138796</v>
      </c>
      <c r="G27886" s="3" t="s">
        <v>2770</v>
      </c>
    </row>
    <row r="27887">
      <c r="A27887" s="3" t="s">
        <v>44366</v>
      </c>
      <c r="B27887" s="3" t="s">
        <v>22394</v>
      </c>
      <c r="C27887" s="5" t="s">
        <v>221</v>
      </c>
      <c r="D27887" s="3" t="s">
        <v>181</v>
      </c>
      <c r="E27887" s="3" t="s">
        <v>118</v>
      </c>
      <c r="F27887" s="7">
        <v>46281.595417361015</v>
      </c>
      <c r="G27887" s="3" t="s">
        <v>2774</v>
      </c>
    </row>
    <row r="27888">
      <c r="A27888" s="3" t="s">
        <v>44367</v>
      </c>
      <c r="B27888" s="3" t="s">
        <v>22396</v>
      </c>
      <c r="C27888" s="5" t="s">
        <v>45</v>
      </c>
      <c r="D27888" s="3" t="s">
        <v>221</v>
      </c>
      <c r="E27888" s="3" t="s">
        <v>998</v>
      </c>
      <c r="F27888" s="7">
        <v>46281.66311998421</v>
      </c>
      <c r="G27888" s="3" t="s">
        <v>27484</v>
      </c>
    </row>
    <row r="27889">
      <c r="A27889" s="3" t="s">
        <v>44368</v>
      </c>
      <c r="B27889" s="3" t="s">
        <v>22396</v>
      </c>
      <c r="C27889" s="5" t="s">
        <v>221</v>
      </c>
      <c r="D27889" s="3" t="s">
        <v>614</v>
      </c>
      <c r="E27889" s="3" t="s">
        <v>118</v>
      </c>
      <c r="F27889" s="7">
        <v>46281.66659220643</v>
      </c>
      <c r="G27889" s="3" t="s">
        <v>27486</v>
      </c>
    </row>
    <row r="27890">
      <c r="A27890" s="3" t="s">
        <v>44369</v>
      </c>
      <c r="B27890" s="3" t="s">
        <v>22396</v>
      </c>
      <c r="C27890" s="5" t="s">
        <v>614</v>
      </c>
      <c r="D27890" s="3" t="s">
        <v>206</v>
      </c>
      <c r="E27890" s="3" t="s">
        <v>100</v>
      </c>
      <c r="F27890" s="7">
        <v>46281.670064428654</v>
      </c>
      <c r="G27890" s="3" t="s">
        <v>27488</v>
      </c>
    </row>
    <row r="27891">
      <c r="A27891" s="3" t="s">
        <v>44370</v>
      </c>
      <c r="B27891" s="3" t="s">
        <v>22396</v>
      </c>
      <c r="C27891" s="5" t="s">
        <v>206</v>
      </c>
      <c r="D27891" s="3" t="s">
        <v>68</v>
      </c>
      <c r="E27891" s="3" t="s">
        <v>100</v>
      </c>
      <c r="F27891" s="7">
        <v>46281.67353665087</v>
      </c>
      <c r="G27891" s="3" t="s">
        <v>27490</v>
      </c>
    </row>
    <row r="27892">
      <c r="A27892" s="3" t="s">
        <v>44371</v>
      </c>
      <c r="B27892" s="3" t="s">
        <v>22398</v>
      </c>
      <c r="C27892" s="5" t="s">
        <v>45</v>
      </c>
      <c r="D27892" s="3" t="s">
        <v>221</v>
      </c>
      <c r="E27892" s="3" t="s">
        <v>419</v>
      </c>
      <c r="F27892" s="7">
        <v>46281.73429482962</v>
      </c>
      <c r="G27892" s="3" t="s">
        <v>16755</v>
      </c>
    </row>
    <row r="27893">
      <c r="A27893" s="3" t="s">
        <v>44372</v>
      </c>
      <c r="B27893" s="3" t="s">
        <v>22398</v>
      </c>
      <c r="C27893" s="5" t="s">
        <v>221</v>
      </c>
      <c r="D27893" s="3" t="s">
        <v>614</v>
      </c>
      <c r="E27893" s="3" t="s">
        <v>118</v>
      </c>
      <c r="F27893" s="7">
        <v>46281.73776705184</v>
      </c>
      <c r="G27893" s="3" t="s">
        <v>16758</v>
      </c>
    </row>
    <row r="27894">
      <c r="A27894" s="3" t="s">
        <v>44373</v>
      </c>
      <c r="B27894" s="3" t="s">
        <v>22398</v>
      </c>
      <c r="C27894" s="5" t="s">
        <v>614</v>
      </c>
      <c r="D27894" s="3" t="s">
        <v>206</v>
      </c>
      <c r="E27894" s="3" t="s">
        <v>100</v>
      </c>
      <c r="F27894" s="7">
        <v>46281.741239274066</v>
      </c>
      <c r="G27894" s="3" t="s">
        <v>16761</v>
      </c>
    </row>
    <row r="27895">
      <c r="A27895" s="3" t="s">
        <v>44374</v>
      </c>
      <c r="B27895" s="3" t="s">
        <v>22398</v>
      </c>
      <c r="C27895" s="5" t="s">
        <v>206</v>
      </c>
      <c r="D27895" s="3" t="s">
        <v>68</v>
      </c>
      <c r="E27895" s="3" t="s">
        <v>100</v>
      </c>
      <c r="F27895" s="7">
        <v>46281.744711496285</v>
      </c>
      <c r="G27895" s="3" t="s">
        <v>16763</v>
      </c>
    </row>
    <row r="27896">
      <c r="A27896" s="3" t="s">
        <v>44375</v>
      </c>
      <c r="B27896" s="3" t="s">
        <v>22400</v>
      </c>
      <c r="C27896" s="5" t="s">
        <v>45</v>
      </c>
      <c r="D27896" s="3" t="s">
        <v>221</v>
      </c>
      <c r="E27896" s="3" t="s">
        <v>830</v>
      </c>
      <c r="F27896" s="7">
        <v>46281.80546967504</v>
      </c>
      <c r="G27896" s="3" t="s">
        <v>2770</v>
      </c>
    </row>
    <row r="27897">
      <c r="A27897" s="3" t="s">
        <v>44376</v>
      </c>
      <c r="B27897" s="3" t="s">
        <v>22400</v>
      </c>
      <c r="C27897" s="5" t="s">
        <v>221</v>
      </c>
      <c r="D27897" s="3" t="s">
        <v>195</v>
      </c>
      <c r="E27897" s="3" t="s">
        <v>830</v>
      </c>
      <c r="F27897" s="7">
        <v>46281.80894189726</v>
      </c>
      <c r="G27897" s="3" t="s">
        <v>3055</v>
      </c>
    </row>
    <row r="27898">
      <c r="A27898" s="3" t="s">
        <v>44377</v>
      </c>
      <c r="B27898" s="3" t="s">
        <v>22402</v>
      </c>
      <c r="C27898" s="5" t="s">
        <v>45</v>
      </c>
      <c r="D27898" s="3" t="s">
        <v>221</v>
      </c>
      <c r="E27898" s="3" t="s">
        <v>541</v>
      </c>
      <c r="F27898" s="7">
        <v>46281.87664452046</v>
      </c>
      <c r="G27898" s="3" t="s">
        <v>17208</v>
      </c>
    </row>
    <row r="27899">
      <c r="A27899" s="3" t="s">
        <v>44378</v>
      </c>
      <c r="B27899" s="3" t="s">
        <v>22402</v>
      </c>
      <c r="C27899" s="5" t="s">
        <v>221</v>
      </c>
      <c r="D27899" s="3" t="s">
        <v>614</v>
      </c>
      <c r="E27899" s="3" t="s">
        <v>118</v>
      </c>
      <c r="F27899" s="7">
        <v>46281.88011674268</v>
      </c>
      <c r="G27899" s="3" t="s">
        <v>17211</v>
      </c>
    </row>
    <row r="27900">
      <c r="A27900" s="3" t="s">
        <v>44379</v>
      </c>
      <c r="B27900" s="3" t="s">
        <v>22402</v>
      </c>
      <c r="C27900" s="5" t="s">
        <v>614</v>
      </c>
      <c r="D27900" s="3" t="s">
        <v>206</v>
      </c>
      <c r="E27900" s="3" t="s">
        <v>100</v>
      </c>
      <c r="F27900" s="7">
        <v>46281.883588964905</v>
      </c>
      <c r="G27900" s="3" t="s">
        <v>17213</v>
      </c>
    </row>
    <row r="27901">
      <c r="A27901" s="3" t="s">
        <v>44380</v>
      </c>
      <c r="B27901" s="3" t="s">
        <v>22402</v>
      </c>
      <c r="C27901" s="5" t="s">
        <v>206</v>
      </c>
      <c r="D27901" s="3" t="s">
        <v>68</v>
      </c>
      <c r="E27901" s="3" t="s">
        <v>100</v>
      </c>
      <c r="F27901" s="7">
        <v>46281.887061187124</v>
      </c>
      <c r="G27901" s="3" t="s">
        <v>17216</v>
      </c>
    </row>
    <row r="27902">
      <c r="A27902" s="3" t="s">
        <v>44381</v>
      </c>
      <c r="B27902" s="3" t="s">
        <v>22405</v>
      </c>
      <c r="C27902" s="5" t="s">
        <v>45</v>
      </c>
      <c r="D27902" s="3" t="s">
        <v>221</v>
      </c>
      <c r="E27902" s="3" t="s">
        <v>219</v>
      </c>
      <c r="F27902" s="7">
        <v>46281.947819365865</v>
      </c>
      <c r="G27902" s="3" t="s">
        <v>14818</v>
      </c>
    </row>
    <row r="27903">
      <c r="A27903" s="3" t="s">
        <v>44382</v>
      </c>
      <c r="B27903" s="3" t="s">
        <v>22405</v>
      </c>
      <c r="C27903" s="5" t="s">
        <v>221</v>
      </c>
      <c r="D27903" s="3" t="s">
        <v>614</v>
      </c>
      <c r="E27903" s="3" t="s">
        <v>118</v>
      </c>
      <c r="F27903" s="7">
        <v>46281.951291588084</v>
      </c>
      <c r="G27903" s="3" t="s">
        <v>14821</v>
      </c>
    </row>
    <row r="27904">
      <c r="A27904" s="3" t="s">
        <v>44383</v>
      </c>
      <c r="B27904" s="3" t="s">
        <v>22405</v>
      </c>
      <c r="C27904" s="5" t="s">
        <v>614</v>
      </c>
      <c r="D27904" s="3" t="s">
        <v>206</v>
      </c>
      <c r="E27904" s="3" t="s">
        <v>100</v>
      </c>
      <c r="F27904" s="7">
        <v>46281.95476381031</v>
      </c>
      <c r="G27904" s="3" t="s">
        <v>14823</v>
      </c>
    </row>
    <row r="27905">
      <c r="A27905" s="3" t="s">
        <v>44384</v>
      </c>
      <c r="B27905" s="3" t="s">
        <v>22405</v>
      </c>
      <c r="C27905" s="5" t="s">
        <v>206</v>
      </c>
      <c r="D27905" s="3" t="s">
        <v>68</v>
      </c>
      <c r="E27905" s="3" t="s">
        <v>100</v>
      </c>
      <c r="F27905" s="7">
        <v>46281.95823603253</v>
      </c>
      <c r="G27905" s="3" t="s">
        <v>14826</v>
      </c>
    </row>
    <row r="27906">
      <c r="A27906" s="3" t="s">
        <v>44385</v>
      </c>
      <c r="B27906" s="3" t="s">
        <v>22408</v>
      </c>
      <c r="C27906" s="5" t="s">
        <v>45</v>
      </c>
      <c r="D27906" s="3" t="s">
        <v>221</v>
      </c>
      <c r="E27906" s="3" t="s">
        <v>130</v>
      </c>
      <c r="F27906" s="7">
        <v>46282.018994211285</v>
      </c>
      <c r="G27906" s="3" t="s">
        <v>17321</v>
      </c>
    </row>
    <row r="27907">
      <c r="A27907" s="3" t="s">
        <v>44386</v>
      </c>
      <c r="B27907" s="3" t="s">
        <v>22408</v>
      </c>
      <c r="C27907" s="5" t="s">
        <v>221</v>
      </c>
      <c r="D27907" s="3" t="s">
        <v>614</v>
      </c>
      <c r="E27907" s="3" t="s">
        <v>118</v>
      </c>
      <c r="F27907" s="7">
        <v>46282.022466433504</v>
      </c>
      <c r="G27907" s="3" t="s">
        <v>17324</v>
      </c>
    </row>
    <row r="27908">
      <c r="A27908" s="3" t="s">
        <v>44387</v>
      </c>
      <c r="B27908" s="3" t="s">
        <v>22408</v>
      </c>
      <c r="C27908" s="5" t="s">
        <v>614</v>
      </c>
      <c r="D27908" s="3" t="s">
        <v>206</v>
      </c>
      <c r="E27908" s="3" t="s">
        <v>100</v>
      </c>
      <c r="F27908" s="7">
        <v>46282.02593865573</v>
      </c>
      <c r="G27908" s="3" t="s">
        <v>17327</v>
      </c>
    </row>
    <row r="27909">
      <c r="A27909" s="3" t="s">
        <v>44388</v>
      </c>
      <c r="B27909" s="3" t="s">
        <v>22408</v>
      </c>
      <c r="C27909" s="5" t="s">
        <v>206</v>
      </c>
      <c r="D27909" s="3" t="s">
        <v>68</v>
      </c>
      <c r="E27909" s="3" t="s">
        <v>100</v>
      </c>
      <c r="F27909" s="7">
        <v>46282.02941087795</v>
      </c>
      <c r="G27909" s="3" t="s">
        <v>17329</v>
      </c>
    </row>
    <row r="27910">
      <c r="A27910" s="3" t="s">
        <v>44389</v>
      </c>
      <c r="B27910" s="3" t="s">
        <v>22411</v>
      </c>
      <c r="C27910" s="5" t="s">
        <v>45</v>
      </c>
      <c r="D27910" s="3" t="s">
        <v>221</v>
      </c>
      <c r="E27910" s="3" t="s">
        <v>398</v>
      </c>
      <c r="F27910" s="7">
        <v>46282.090169056704</v>
      </c>
      <c r="G27910" s="3" t="s">
        <v>19991</v>
      </c>
    </row>
    <row r="27911">
      <c r="A27911" s="3" t="s">
        <v>44390</v>
      </c>
      <c r="B27911" s="3" t="s">
        <v>22411</v>
      </c>
      <c r="C27911" s="5" t="s">
        <v>221</v>
      </c>
      <c r="D27911" s="3" t="s">
        <v>195</v>
      </c>
      <c r="E27911" s="3" t="s">
        <v>398</v>
      </c>
      <c r="F27911" s="7">
        <v>46282.09364127892</v>
      </c>
      <c r="G27911" s="3" t="s">
        <v>44391</v>
      </c>
    </row>
    <row r="27912">
      <c r="A27912" s="3" t="s">
        <v>44392</v>
      </c>
      <c r="B27912" s="3" t="s">
        <v>22414</v>
      </c>
      <c r="C27912" s="5" t="s">
        <v>45</v>
      </c>
      <c r="D27912" s="3" t="s">
        <v>221</v>
      </c>
      <c r="E27912" s="3" t="s">
        <v>713</v>
      </c>
      <c r="F27912" s="7">
        <v>46282.16134390212</v>
      </c>
      <c r="G27912" s="3" t="s">
        <v>20264</v>
      </c>
    </row>
    <row r="27913">
      <c r="A27913" s="3" t="s">
        <v>44393</v>
      </c>
      <c r="B27913" s="3" t="s">
        <v>22414</v>
      </c>
      <c r="C27913" s="5" t="s">
        <v>221</v>
      </c>
      <c r="D27913" s="3" t="s">
        <v>614</v>
      </c>
      <c r="E27913" s="3" t="s">
        <v>118</v>
      </c>
      <c r="F27913" s="7">
        <v>46282.164816124336</v>
      </c>
      <c r="G27913" s="3" t="s">
        <v>20267</v>
      </c>
    </row>
    <row r="27914">
      <c r="A27914" s="3" t="s">
        <v>44394</v>
      </c>
      <c r="B27914" s="3" t="s">
        <v>22414</v>
      </c>
      <c r="C27914" s="5" t="s">
        <v>614</v>
      </c>
      <c r="D27914" s="3" t="s">
        <v>206</v>
      </c>
      <c r="E27914" s="3" t="s">
        <v>100</v>
      </c>
      <c r="F27914" s="7">
        <v>46282.16828834656</v>
      </c>
      <c r="G27914" s="3" t="s">
        <v>20270</v>
      </c>
    </row>
    <row r="27915">
      <c r="A27915" s="3" t="s">
        <v>44395</v>
      </c>
      <c r="B27915" s="3" t="s">
        <v>22414</v>
      </c>
      <c r="C27915" s="5" t="s">
        <v>206</v>
      </c>
      <c r="D27915" s="3" t="s">
        <v>68</v>
      </c>
      <c r="E27915" s="3" t="s">
        <v>100</v>
      </c>
      <c r="F27915" s="7">
        <v>46282.17176056878</v>
      </c>
      <c r="G27915" s="3" t="s">
        <v>20273</v>
      </c>
    </row>
    <row r="27916">
      <c r="A27916" s="3" t="s">
        <v>44396</v>
      </c>
      <c r="B27916" s="3" t="s">
        <v>22416</v>
      </c>
      <c r="C27916" s="5" t="s">
        <v>45</v>
      </c>
      <c r="D27916" s="3" t="s">
        <v>221</v>
      </c>
      <c r="E27916" s="3" t="s">
        <v>260</v>
      </c>
      <c r="F27916" s="7">
        <v>46282.23251874753</v>
      </c>
      <c r="G27916" s="3" t="s">
        <v>17443</v>
      </c>
    </row>
    <row r="27917">
      <c r="A27917" s="3" t="s">
        <v>44397</v>
      </c>
      <c r="B27917" s="3" t="s">
        <v>22416</v>
      </c>
      <c r="C27917" s="5" t="s">
        <v>221</v>
      </c>
      <c r="D27917" s="3" t="s">
        <v>614</v>
      </c>
      <c r="E27917" s="3" t="s">
        <v>118</v>
      </c>
      <c r="F27917" s="7">
        <v>46282.23599096975</v>
      </c>
      <c r="G27917" s="3" t="s">
        <v>17446</v>
      </c>
    </row>
    <row r="27918">
      <c r="A27918" s="3" t="s">
        <v>44398</v>
      </c>
      <c r="B27918" s="3" t="s">
        <v>22416</v>
      </c>
      <c r="C27918" s="5" t="s">
        <v>614</v>
      </c>
      <c r="D27918" s="3" t="s">
        <v>206</v>
      </c>
      <c r="E27918" s="3" t="s">
        <v>100</v>
      </c>
      <c r="F27918" s="7">
        <v>46282.239463191974</v>
      </c>
      <c r="G27918" s="3" t="s">
        <v>17449</v>
      </c>
    </row>
    <row r="27919">
      <c r="A27919" s="3" t="s">
        <v>44399</v>
      </c>
      <c r="B27919" s="3" t="s">
        <v>22416</v>
      </c>
      <c r="C27919" s="5" t="s">
        <v>206</v>
      </c>
      <c r="D27919" s="3" t="s">
        <v>68</v>
      </c>
      <c r="E27919" s="3" t="s">
        <v>100</v>
      </c>
      <c r="F27919" s="7">
        <v>46282.24293541419</v>
      </c>
      <c r="G27919" s="3" t="s">
        <v>17452</v>
      </c>
    </row>
    <row r="27920">
      <c r="A27920" s="3" t="s">
        <v>44400</v>
      </c>
      <c r="B27920" s="3" t="s">
        <v>22418</v>
      </c>
      <c r="C27920" s="5" t="s">
        <v>45</v>
      </c>
      <c r="D27920" s="3" t="s">
        <v>221</v>
      </c>
      <c r="E27920" s="3" t="s">
        <v>230</v>
      </c>
      <c r="F27920" s="7">
        <v>46282.30369359295</v>
      </c>
      <c r="G27920" s="3" t="s">
        <v>17332</v>
      </c>
    </row>
    <row r="27921">
      <c r="A27921" s="3" t="s">
        <v>44401</v>
      </c>
      <c r="B27921" s="3" t="s">
        <v>22418</v>
      </c>
      <c r="C27921" s="5" t="s">
        <v>221</v>
      </c>
      <c r="D27921" s="3" t="s">
        <v>614</v>
      </c>
      <c r="E27921" s="3" t="s">
        <v>118</v>
      </c>
      <c r="F27921" s="7">
        <v>46282.30716581517</v>
      </c>
      <c r="G27921" s="3" t="s">
        <v>17335</v>
      </c>
    </row>
    <row r="27922">
      <c r="A27922" s="3" t="s">
        <v>44402</v>
      </c>
      <c r="B27922" s="3" t="s">
        <v>22418</v>
      </c>
      <c r="C27922" s="5" t="s">
        <v>614</v>
      </c>
      <c r="D27922" s="3" t="s">
        <v>206</v>
      </c>
      <c r="E27922" s="3" t="s">
        <v>100</v>
      </c>
      <c r="F27922" s="7">
        <v>46282.310638037394</v>
      </c>
      <c r="G27922" s="3" t="s">
        <v>17338</v>
      </c>
    </row>
    <row r="27923">
      <c r="A27923" s="3" t="s">
        <v>44403</v>
      </c>
      <c r="B27923" s="3" t="s">
        <v>22418</v>
      </c>
      <c r="C27923" s="5" t="s">
        <v>206</v>
      </c>
      <c r="D27923" s="3" t="s">
        <v>68</v>
      </c>
      <c r="E27923" s="3" t="s">
        <v>100</v>
      </c>
      <c r="F27923" s="7">
        <v>46282.31411025961</v>
      </c>
      <c r="G27923" s="3" t="s">
        <v>17341</v>
      </c>
    </row>
    <row r="27924">
      <c r="A27924" s="3" t="s">
        <v>44404</v>
      </c>
      <c r="B27924" s="3" t="s">
        <v>22420</v>
      </c>
      <c r="C27924" s="5" t="s">
        <v>45</v>
      </c>
      <c r="D27924" s="3" t="s">
        <v>221</v>
      </c>
      <c r="E27924" s="3" t="s">
        <v>816</v>
      </c>
      <c r="F27924" s="7">
        <v>46282.37486843836</v>
      </c>
      <c r="G27924" s="3" t="s">
        <v>9570</v>
      </c>
    </row>
    <row r="27925">
      <c r="A27925" s="3" t="s">
        <v>44405</v>
      </c>
      <c r="B27925" s="3" t="s">
        <v>22420</v>
      </c>
      <c r="C27925" s="5" t="s">
        <v>221</v>
      </c>
      <c r="D27925" s="3" t="s">
        <v>614</v>
      </c>
      <c r="E27925" s="3" t="s">
        <v>118</v>
      </c>
      <c r="F27925" s="7">
        <v>46282.37834066058</v>
      </c>
      <c r="G27925" s="3" t="s">
        <v>9572</v>
      </c>
    </row>
    <row r="27926">
      <c r="A27926" s="3" t="s">
        <v>44406</v>
      </c>
      <c r="B27926" s="3" t="s">
        <v>22420</v>
      </c>
      <c r="C27926" s="5" t="s">
        <v>614</v>
      </c>
      <c r="D27926" s="3" t="s">
        <v>206</v>
      </c>
      <c r="E27926" s="3" t="s">
        <v>100</v>
      </c>
      <c r="F27926" s="7">
        <v>46282.381812882806</v>
      </c>
      <c r="G27926" s="3" t="s">
        <v>9575</v>
      </c>
    </row>
    <row r="27927">
      <c r="A27927" s="3" t="s">
        <v>44407</v>
      </c>
      <c r="B27927" s="3" t="s">
        <v>22420</v>
      </c>
      <c r="C27927" s="5" t="s">
        <v>206</v>
      </c>
      <c r="D27927" s="3" t="s">
        <v>68</v>
      </c>
      <c r="E27927" s="3" t="s">
        <v>100</v>
      </c>
      <c r="F27927" s="7">
        <v>46282.385285105025</v>
      </c>
      <c r="G27927" s="3" t="s">
        <v>9578</v>
      </c>
    </row>
    <row r="27928">
      <c r="A27928" s="3" t="s">
        <v>44408</v>
      </c>
      <c r="B27928" s="3" t="s">
        <v>22422</v>
      </c>
      <c r="C27928" s="5" t="s">
        <v>45</v>
      </c>
      <c r="D27928" s="3" t="s">
        <v>221</v>
      </c>
      <c r="E27928" s="3" t="s">
        <v>373</v>
      </c>
      <c r="F27928" s="7">
        <v>46282.44604328377</v>
      </c>
      <c r="G27928" s="3" t="s">
        <v>22543</v>
      </c>
    </row>
    <row r="27929">
      <c r="A27929" s="3" t="s">
        <v>44409</v>
      </c>
      <c r="B27929" s="3" t="s">
        <v>22422</v>
      </c>
      <c r="C27929" s="5" t="s">
        <v>221</v>
      </c>
      <c r="D27929" s="3" t="s">
        <v>614</v>
      </c>
      <c r="E27929" s="3" t="s">
        <v>118</v>
      </c>
      <c r="F27929" s="7">
        <v>46282.44951550599</v>
      </c>
      <c r="G27929" s="3" t="s">
        <v>22546</v>
      </c>
    </row>
    <row r="27930">
      <c r="A27930" s="3" t="s">
        <v>44410</v>
      </c>
      <c r="B27930" s="3" t="s">
        <v>22422</v>
      </c>
      <c r="C27930" s="5" t="s">
        <v>614</v>
      </c>
      <c r="D27930" s="3" t="s">
        <v>206</v>
      </c>
      <c r="E27930" s="3" t="s">
        <v>100</v>
      </c>
      <c r="F27930" s="7">
        <v>46282.45298772822</v>
      </c>
      <c r="G27930" s="3" t="s">
        <v>22549</v>
      </c>
    </row>
    <row r="27931">
      <c r="A27931" s="3" t="s">
        <v>44411</v>
      </c>
      <c r="B27931" s="3" t="s">
        <v>22422</v>
      </c>
      <c r="C27931" s="5" t="s">
        <v>206</v>
      </c>
      <c r="D27931" s="3" t="s">
        <v>68</v>
      </c>
      <c r="E27931" s="3" t="s">
        <v>100</v>
      </c>
      <c r="F27931" s="7">
        <v>46282.45645995044</v>
      </c>
      <c r="G27931" s="3" t="s">
        <v>22552</v>
      </c>
    </row>
    <row r="27932">
      <c r="A27932" s="3" t="s">
        <v>44412</v>
      </c>
      <c r="B27932" s="3" t="s">
        <v>22426</v>
      </c>
      <c r="C27932" s="5" t="s">
        <v>45</v>
      </c>
      <c r="D27932" s="3" t="s">
        <v>221</v>
      </c>
      <c r="E27932" s="3" t="s">
        <v>961</v>
      </c>
      <c r="F27932" s="7">
        <v>46282.51721812919</v>
      </c>
      <c r="G27932" s="3" t="s">
        <v>16800</v>
      </c>
    </row>
    <row r="27933">
      <c r="A27933" s="3" t="s">
        <v>44413</v>
      </c>
      <c r="B27933" s="3" t="s">
        <v>22426</v>
      </c>
      <c r="C27933" s="5" t="s">
        <v>221</v>
      </c>
      <c r="D27933" s="3" t="s">
        <v>614</v>
      </c>
      <c r="E27933" s="3" t="s">
        <v>118</v>
      </c>
      <c r="F27933" s="7">
        <v>46282.52069035141</v>
      </c>
      <c r="G27933" s="3" t="s">
        <v>16803</v>
      </c>
    </row>
    <row r="27934">
      <c r="A27934" s="3" t="s">
        <v>44414</v>
      </c>
      <c r="B27934" s="3" t="s">
        <v>22426</v>
      </c>
      <c r="C27934" s="5" t="s">
        <v>614</v>
      </c>
      <c r="D27934" s="3" t="s">
        <v>206</v>
      </c>
      <c r="E27934" s="3" t="s">
        <v>100</v>
      </c>
      <c r="F27934" s="7">
        <v>46282.52416257364</v>
      </c>
      <c r="G27934" s="3" t="s">
        <v>16806</v>
      </c>
    </row>
    <row r="27935">
      <c r="A27935" s="3" t="s">
        <v>44415</v>
      </c>
      <c r="B27935" s="3" t="s">
        <v>22426</v>
      </c>
      <c r="C27935" s="5" t="s">
        <v>206</v>
      </c>
      <c r="D27935" s="3" t="s">
        <v>68</v>
      </c>
      <c r="E27935" s="3" t="s">
        <v>100</v>
      </c>
      <c r="F27935" s="7">
        <v>46282.52763479586</v>
      </c>
      <c r="G27935" s="3" t="s">
        <v>16808</v>
      </c>
    </row>
    <row r="27936">
      <c r="A27936" s="3" t="s">
        <v>44416</v>
      </c>
      <c r="B27936" s="3" t="s">
        <v>22428</v>
      </c>
      <c r="C27936" s="5" t="s">
        <v>45</v>
      </c>
      <c r="D27936" s="3" t="s">
        <v>221</v>
      </c>
      <c r="E27936" s="3" t="s">
        <v>689</v>
      </c>
      <c r="F27936" s="7">
        <v>46282.588392974605</v>
      </c>
      <c r="G27936" s="3" t="s">
        <v>11915</v>
      </c>
    </row>
    <row r="27937">
      <c r="A27937" s="3" t="s">
        <v>44417</v>
      </c>
      <c r="B27937" s="3" t="s">
        <v>22428</v>
      </c>
      <c r="C27937" s="5" t="s">
        <v>221</v>
      </c>
      <c r="D27937" s="3" t="s">
        <v>614</v>
      </c>
      <c r="E27937" s="3" t="s">
        <v>118</v>
      </c>
      <c r="F27937" s="7">
        <v>46282.591865196824</v>
      </c>
      <c r="G27937" s="3" t="s">
        <v>11918</v>
      </c>
    </row>
    <row r="27938">
      <c r="A27938" s="3" t="s">
        <v>44418</v>
      </c>
      <c r="B27938" s="3" t="s">
        <v>22428</v>
      </c>
      <c r="C27938" s="5" t="s">
        <v>614</v>
      </c>
      <c r="D27938" s="3" t="s">
        <v>206</v>
      </c>
      <c r="E27938" s="3" t="s">
        <v>100</v>
      </c>
      <c r="F27938" s="7">
        <v>46282.59533741905</v>
      </c>
      <c r="G27938" s="3" t="s">
        <v>11921</v>
      </c>
    </row>
    <row r="27939">
      <c r="A27939" s="3" t="s">
        <v>44419</v>
      </c>
      <c r="B27939" s="3" t="s">
        <v>22428</v>
      </c>
      <c r="C27939" s="5" t="s">
        <v>206</v>
      </c>
      <c r="D27939" s="3" t="s">
        <v>68</v>
      </c>
      <c r="E27939" s="3" t="s">
        <v>100</v>
      </c>
      <c r="F27939" s="7">
        <v>46282.59880964127</v>
      </c>
      <c r="G27939" s="3" t="s">
        <v>11923</v>
      </c>
    </row>
    <row r="27940">
      <c r="A27940" s="3" t="s">
        <v>44420</v>
      </c>
      <c r="B27940" s="3" t="s">
        <v>22430</v>
      </c>
      <c r="C27940" s="5" t="s">
        <v>45</v>
      </c>
      <c r="D27940" s="3" t="s">
        <v>221</v>
      </c>
      <c r="E27940" s="3" t="s">
        <v>640</v>
      </c>
      <c r="F27940" s="7">
        <v>46282.65956782002</v>
      </c>
      <c r="G27940" s="3" t="s">
        <v>15877</v>
      </c>
    </row>
    <row r="27941">
      <c r="A27941" s="3" t="s">
        <v>44421</v>
      </c>
      <c r="B27941" s="3" t="s">
        <v>22430</v>
      </c>
      <c r="C27941" s="5" t="s">
        <v>221</v>
      </c>
      <c r="D27941" s="3" t="s">
        <v>614</v>
      </c>
      <c r="E27941" s="3" t="s">
        <v>118</v>
      </c>
      <c r="F27941" s="7">
        <v>46282.66304004224</v>
      </c>
      <c r="G27941" s="3" t="s">
        <v>15880</v>
      </c>
    </row>
    <row r="27942">
      <c r="A27942" s="3" t="s">
        <v>44422</v>
      </c>
      <c r="B27942" s="3" t="s">
        <v>22430</v>
      </c>
      <c r="C27942" s="5" t="s">
        <v>614</v>
      </c>
      <c r="D27942" s="3" t="s">
        <v>206</v>
      </c>
      <c r="E27942" s="3" t="s">
        <v>100</v>
      </c>
      <c r="F27942" s="7">
        <v>46282.66651226446</v>
      </c>
      <c r="G27942" s="3" t="s">
        <v>15883</v>
      </c>
    </row>
    <row r="27943">
      <c r="A27943" s="3" t="s">
        <v>44423</v>
      </c>
      <c r="B27943" s="3" t="s">
        <v>22430</v>
      </c>
      <c r="C27943" s="5" t="s">
        <v>206</v>
      </c>
      <c r="D27943" s="3" t="s">
        <v>68</v>
      </c>
      <c r="E27943" s="3" t="s">
        <v>100</v>
      </c>
      <c r="F27943" s="7">
        <v>46282.66998448668</v>
      </c>
      <c r="G27943" s="3" t="s">
        <v>15886</v>
      </c>
    </row>
    <row r="27944">
      <c r="A27944" s="3" t="s">
        <v>44424</v>
      </c>
      <c r="B27944" s="3" t="s">
        <v>22432</v>
      </c>
      <c r="C27944" s="5" t="s">
        <v>45</v>
      </c>
      <c r="D27944" s="3" t="s">
        <v>221</v>
      </c>
      <c r="E27944" s="3" t="s">
        <v>913</v>
      </c>
      <c r="F27944" s="7">
        <v>46282.73074266544</v>
      </c>
      <c r="G27944" s="3" t="s">
        <v>17355</v>
      </c>
    </row>
    <row r="27945">
      <c r="A27945" s="3" t="s">
        <v>44425</v>
      </c>
      <c r="B27945" s="3" t="s">
        <v>22432</v>
      </c>
      <c r="C27945" s="5" t="s">
        <v>221</v>
      </c>
      <c r="D27945" s="3" t="s">
        <v>614</v>
      </c>
      <c r="E27945" s="3" t="s">
        <v>118</v>
      </c>
      <c r="F27945" s="7">
        <v>46282.734214887656</v>
      </c>
      <c r="G27945" s="3" t="s">
        <v>17357</v>
      </c>
    </row>
    <row r="27946">
      <c r="A27946" s="3" t="s">
        <v>44426</v>
      </c>
      <c r="B27946" s="3" t="s">
        <v>22432</v>
      </c>
      <c r="C27946" s="5" t="s">
        <v>614</v>
      </c>
      <c r="D27946" s="3" t="s">
        <v>206</v>
      </c>
      <c r="E27946" s="3" t="s">
        <v>100</v>
      </c>
      <c r="F27946" s="7">
        <v>46282.73768710988</v>
      </c>
      <c r="G27946" s="3" t="s">
        <v>17360</v>
      </c>
    </row>
    <row r="27947">
      <c r="A27947" s="3" t="s">
        <v>44427</v>
      </c>
      <c r="B27947" s="3" t="s">
        <v>22432</v>
      </c>
      <c r="C27947" s="5" t="s">
        <v>206</v>
      </c>
      <c r="D27947" s="3" t="s">
        <v>68</v>
      </c>
      <c r="E27947" s="3" t="s">
        <v>100</v>
      </c>
      <c r="F27947" s="7">
        <v>46282.7411593321</v>
      </c>
      <c r="G27947" s="3" t="s">
        <v>17363</v>
      </c>
    </row>
    <row r="27948">
      <c r="A27948" s="3" t="s">
        <v>44428</v>
      </c>
      <c r="B27948" s="3" t="s">
        <v>22434</v>
      </c>
      <c r="C27948" s="5" t="s">
        <v>45</v>
      </c>
      <c r="D27948" s="3" t="s">
        <v>221</v>
      </c>
      <c r="E27948" s="3" t="s">
        <v>934</v>
      </c>
      <c r="F27948" s="7">
        <v>46282.80191751085</v>
      </c>
      <c r="G27948" s="3" t="s">
        <v>21874</v>
      </c>
    </row>
    <row r="27949">
      <c r="A27949" s="3" t="s">
        <v>44429</v>
      </c>
      <c r="B27949" s="3" t="s">
        <v>22434</v>
      </c>
      <c r="C27949" s="5" t="s">
        <v>221</v>
      </c>
      <c r="D27949" s="3" t="s">
        <v>614</v>
      </c>
      <c r="E27949" s="3" t="s">
        <v>118</v>
      </c>
      <c r="F27949" s="7">
        <v>46282.80538973307</v>
      </c>
      <c r="G27949" s="3" t="s">
        <v>21876</v>
      </c>
    </row>
    <row r="27950">
      <c r="A27950" s="3" t="s">
        <v>44430</v>
      </c>
      <c r="B27950" s="3" t="s">
        <v>22434</v>
      </c>
      <c r="C27950" s="5" t="s">
        <v>614</v>
      </c>
      <c r="D27950" s="3" t="s">
        <v>206</v>
      </c>
      <c r="E27950" s="3" t="s">
        <v>100</v>
      </c>
      <c r="F27950" s="7">
        <v>46282.808861955295</v>
      </c>
      <c r="G27950" s="3" t="s">
        <v>21879</v>
      </c>
    </row>
    <row r="27951">
      <c r="A27951" s="3" t="s">
        <v>44431</v>
      </c>
      <c r="B27951" s="3" t="s">
        <v>22434</v>
      </c>
      <c r="C27951" s="5" t="s">
        <v>206</v>
      </c>
      <c r="D27951" s="3" t="s">
        <v>68</v>
      </c>
      <c r="E27951" s="3" t="s">
        <v>100</v>
      </c>
      <c r="F27951" s="7">
        <v>46282.81233417751</v>
      </c>
      <c r="G27951" s="3" t="s">
        <v>21882</v>
      </c>
    </row>
    <row r="27952">
      <c r="A27952" s="3" t="s">
        <v>44432</v>
      </c>
      <c r="B27952" s="3" t="s">
        <v>22436</v>
      </c>
      <c r="C27952" s="5" t="s">
        <v>45</v>
      </c>
      <c r="D27952" s="3" t="s">
        <v>221</v>
      </c>
      <c r="E27952" s="3" t="s">
        <v>330</v>
      </c>
      <c r="F27952" s="7">
        <v>46282.87309235626</v>
      </c>
      <c r="G27952" s="3" t="s">
        <v>36537</v>
      </c>
    </row>
    <row r="27953">
      <c r="A27953" s="3" t="s">
        <v>44433</v>
      </c>
      <c r="B27953" s="3" t="s">
        <v>22436</v>
      </c>
      <c r="C27953" s="5" t="s">
        <v>221</v>
      </c>
      <c r="D27953" s="3" t="s">
        <v>614</v>
      </c>
      <c r="E27953" s="3" t="s">
        <v>118</v>
      </c>
      <c r="F27953" s="7">
        <v>46282.87656457848</v>
      </c>
      <c r="G27953" s="3" t="s">
        <v>36546</v>
      </c>
    </row>
    <row r="27954">
      <c r="A27954" s="3" t="s">
        <v>44434</v>
      </c>
      <c r="B27954" s="3" t="s">
        <v>22436</v>
      </c>
      <c r="C27954" s="5" t="s">
        <v>614</v>
      </c>
      <c r="D27954" s="3" t="s">
        <v>206</v>
      </c>
      <c r="E27954" s="3" t="s">
        <v>100</v>
      </c>
      <c r="F27954" s="7">
        <v>46282.88003680071</v>
      </c>
      <c r="G27954" s="3" t="s">
        <v>36548</v>
      </c>
    </row>
    <row r="27955">
      <c r="A27955" s="3" t="s">
        <v>44435</v>
      </c>
      <c r="B27955" s="3" t="s">
        <v>22436</v>
      </c>
      <c r="C27955" s="5" t="s">
        <v>206</v>
      </c>
      <c r="D27955" s="3" t="s">
        <v>68</v>
      </c>
      <c r="E27955" s="3" t="s">
        <v>100</v>
      </c>
      <c r="F27955" s="7">
        <v>46282.883509022926</v>
      </c>
      <c r="G27955" s="3" t="s">
        <v>36550</v>
      </c>
    </row>
    <row r="27956">
      <c r="A27956" s="3" t="s">
        <v>44436</v>
      </c>
      <c r="B27956" s="3" t="s">
        <v>22438</v>
      </c>
      <c r="C27956" s="5" t="s">
        <v>45</v>
      </c>
      <c r="D27956" s="3" t="s">
        <v>221</v>
      </c>
      <c r="E27956" s="3" t="s">
        <v>356</v>
      </c>
      <c r="F27956" s="7">
        <v>46282.94426720168</v>
      </c>
      <c r="G27956" s="3" t="s">
        <v>17376</v>
      </c>
    </row>
    <row r="27957">
      <c r="A27957" s="3" t="s">
        <v>44437</v>
      </c>
      <c r="B27957" s="3" t="s">
        <v>22438</v>
      </c>
      <c r="C27957" s="5" t="s">
        <v>221</v>
      </c>
      <c r="D27957" s="3" t="s">
        <v>614</v>
      </c>
      <c r="E27957" s="3" t="s">
        <v>118</v>
      </c>
      <c r="F27957" s="7">
        <v>46282.9477394239</v>
      </c>
      <c r="G27957" s="3" t="s">
        <v>17379</v>
      </c>
    </row>
    <row r="27958">
      <c r="A27958" s="3" t="s">
        <v>44438</v>
      </c>
      <c r="B27958" s="3" t="s">
        <v>22438</v>
      </c>
      <c r="C27958" s="5" t="s">
        <v>614</v>
      </c>
      <c r="D27958" s="3" t="s">
        <v>206</v>
      </c>
      <c r="E27958" s="3" t="s">
        <v>100</v>
      </c>
      <c r="F27958" s="7">
        <v>46282.95121164613</v>
      </c>
      <c r="G27958" s="3" t="s">
        <v>17382</v>
      </c>
    </row>
    <row r="27959">
      <c r="A27959" s="3" t="s">
        <v>44439</v>
      </c>
      <c r="B27959" s="3" t="s">
        <v>22438</v>
      </c>
      <c r="C27959" s="5" t="s">
        <v>206</v>
      </c>
      <c r="D27959" s="3" t="s">
        <v>68</v>
      </c>
      <c r="E27959" s="3" t="s">
        <v>100</v>
      </c>
      <c r="F27959" s="7">
        <v>46282.954683868345</v>
      </c>
      <c r="G27959" s="3" t="s">
        <v>17385</v>
      </c>
    </row>
    <row r="27960">
      <c r="A27960" s="3" t="s">
        <v>44440</v>
      </c>
      <c r="B27960" s="3" t="s">
        <v>22440</v>
      </c>
      <c r="C27960" s="5" t="s">
        <v>45</v>
      </c>
      <c r="D27960" s="3" t="s">
        <v>221</v>
      </c>
      <c r="E27960" s="3" t="s">
        <v>640</v>
      </c>
      <c r="F27960" s="7">
        <v>46283.0154420471</v>
      </c>
      <c r="G27960" s="3" t="s">
        <v>17388</v>
      </c>
    </row>
    <row r="27961">
      <c r="A27961" s="3" t="s">
        <v>44441</v>
      </c>
      <c r="B27961" s="3" t="s">
        <v>22440</v>
      </c>
      <c r="C27961" s="5" t="s">
        <v>221</v>
      </c>
      <c r="D27961" s="3" t="s">
        <v>614</v>
      </c>
      <c r="E27961" s="3" t="s">
        <v>118</v>
      </c>
      <c r="F27961" s="7">
        <v>46283.01891426932</v>
      </c>
      <c r="G27961" s="3" t="s">
        <v>17391</v>
      </c>
    </row>
    <row r="27962">
      <c r="A27962" s="3" t="s">
        <v>44442</v>
      </c>
      <c r="B27962" s="3" t="s">
        <v>22440</v>
      </c>
      <c r="C27962" s="5" t="s">
        <v>614</v>
      </c>
      <c r="D27962" s="3" t="s">
        <v>206</v>
      </c>
      <c r="E27962" s="3" t="s">
        <v>100</v>
      </c>
      <c r="F27962" s="7">
        <v>46283.022386491546</v>
      </c>
      <c r="G27962" s="3" t="s">
        <v>17393</v>
      </c>
    </row>
    <row r="27963">
      <c r="A27963" s="3" t="s">
        <v>44443</v>
      </c>
      <c r="B27963" s="3" t="s">
        <v>22440</v>
      </c>
      <c r="C27963" s="5" t="s">
        <v>206</v>
      </c>
      <c r="D27963" s="3" t="s">
        <v>68</v>
      </c>
      <c r="E27963" s="3" t="s">
        <v>100</v>
      </c>
      <c r="F27963" s="7">
        <v>46283.025858713765</v>
      </c>
      <c r="G27963" s="3" t="s">
        <v>17396</v>
      </c>
    </row>
    <row r="27964">
      <c r="A27964" s="3" t="s">
        <v>44444</v>
      </c>
      <c r="B27964" s="3" t="s">
        <v>22442</v>
      </c>
      <c r="C27964" s="5" t="s">
        <v>45</v>
      </c>
      <c r="D27964" s="3" t="s">
        <v>221</v>
      </c>
      <c r="E27964" s="3" t="s">
        <v>159</v>
      </c>
      <c r="F27964" s="7">
        <v>46283.086616892506</v>
      </c>
      <c r="G27964" s="3" t="s">
        <v>15958</v>
      </c>
    </row>
    <row r="27965">
      <c r="A27965" s="3" t="s">
        <v>44445</v>
      </c>
      <c r="B27965" s="3" t="s">
        <v>22442</v>
      </c>
      <c r="C27965" s="5" t="s">
        <v>221</v>
      </c>
      <c r="D27965" s="3" t="s">
        <v>614</v>
      </c>
      <c r="E27965" s="3" t="s">
        <v>118</v>
      </c>
      <c r="F27965" s="7">
        <v>46283.090089114725</v>
      </c>
      <c r="G27965" s="3" t="s">
        <v>15961</v>
      </c>
    </row>
    <row r="27966">
      <c r="A27966" s="3" t="s">
        <v>44446</v>
      </c>
      <c r="B27966" s="3" t="s">
        <v>22442</v>
      </c>
      <c r="C27966" s="5" t="s">
        <v>614</v>
      </c>
      <c r="D27966" s="3" t="s">
        <v>206</v>
      </c>
      <c r="E27966" s="3" t="s">
        <v>100</v>
      </c>
      <c r="F27966" s="7">
        <v>46283.09356133695</v>
      </c>
      <c r="G27966" s="3" t="s">
        <v>15964</v>
      </c>
    </row>
    <row r="27967">
      <c r="A27967" s="3" t="s">
        <v>44447</v>
      </c>
      <c r="B27967" s="3" t="s">
        <v>22442</v>
      </c>
      <c r="C27967" s="5" t="s">
        <v>206</v>
      </c>
      <c r="D27967" s="3" t="s">
        <v>68</v>
      </c>
      <c r="E27967" s="3" t="s">
        <v>100</v>
      </c>
      <c r="F27967" s="7">
        <v>46283.09703355917</v>
      </c>
      <c r="G27967" s="3" t="s">
        <v>15967</v>
      </c>
    </row>
    <row r="27968">
      <c r="A27968" s="3" t="s">
        <v>44448</v>
      </c>
      <c r="B27968" s="3" t="s">
        <v>22446</v>
      </c>
      <c r="C27968" s="5" t="s">
        <v>45</v>
      </c>
      <c r="D27968" s="3" t="s">
        <v>221</v>
      </c>
      <c r="E27968" s="3" t="s">
        <v>359</v>
      </c>
      <c r="F27968" s="7">
        <v>46283.157791737925</v>
      </c>
      <c r="G27968" s="3" t="s">
        <v>17431</v>
      </c>
    </row>
    <row r="27969">
      <c r="A27969" s="3" t="s">
        <v>44449</v>
      </c>
      <c r="B27969" s="3" t="s">
        <v>22446</v>
      </c>
      <c r="C27969" s="5" t="s">
        <v>221</v>
      </c>
      <c r="D27969" s="3" t="s">
        <v>614</v>
      </c>
      <c r="E27969" s="3" t="s">
        <v>118</v>
      </c>
      <c r="F27969" s="7">
        <v>46283.161263960144</v>
      </c>
      <c r="G27969" s="3" t="s">
        <v>17435</v>
      </c>
    </row>
    <row r="27970">
      <c r="A27970" s="3" t="s">
        <v>44450</v>
      </c>
      <c r="B27970" s="3" t="s">
        <v>22446</v>
      </c>
      <c r="C27970" s="5" t="s">
        <v>614</v>
      </c>
      <c r="D27970" s="3" t="s">
        <v>206</v>
      </c>
      <c r="E27970" s="3" t="s">
        <v>100</v>
      </c>
      <c r="F27970" s="7">
        <v>46283.16473618237</v>
      </c>
      <c r="G27970" s="3" t="s">
        <v>17438</v>
      </c>
    </row>
    <row r="27971">
      <c r="A27971" s="3" t="s">
        <v>44451</v>
      </c>
      <c r="B27971" s="3" t="s">
        <v>22446</v>
      </c>
      <c r="C27971" s="5" t="s">
        <v>206</v>
      </c>
      <c r="D27971" s="3" t="s">
        <v>68</v>
      </c>
      <c r="E27971" s="3" t="s">
        <v>100</v>
      </c>
      <c r="F27971" s="7">
        <v>46283.16820840459</v>
      </c>
      <c r="G27971" s="3" t="s">
        <v>17440</v>
      </c>
    </row>
    <row r="27972">
      <c r="A27972" s="3" t="s">
        <v>44452</v>
      </c>
      <c r="B27972" s="3" t="s">
        <v>22448</v>
      </c>
      <c r="C27972" s="5" t="s">
        <v>45</v>
      </c>
      <c r="D27972" s="3" t="s">
        <v>221</v>
      </c>
      <c r="E27972" s="3" t="s">
        <v>319</v>
      </c>
      <c r="F27972" s="7">
        <v>46283.228966583345</v>
      </c>
      <c r="G27972" s="3" t="s">
        <v>30636</v>
      </c>
    </row>
    <row r="27973">
      <c r="A27973" s="3" t="s">
        <v>44453</v>
      </c>
      <c r="B27973" s="3" t="s">
        <v>22448</v>
      </c>
      <c r="C27973" s="5" t="s">
        <v>221</v>
      </c>
      <c r="D27973" s="3" t="s">
        <v>614</v>
      </c>
      <c r="E27973" s="3" t="s">
        <v>118</v>
      </c>
      <c r="F27973" s="7">
        <v>46283.232438805564</v>
      </c>
      <c r="G27973" s="3" t="s">
        <v>30638</v>
      </c>
    </row>
    <row r="27974">
      <c r="A27974" s="3" t="s">
        <v>44454</v>
      </c>
      <c r="B27974" s="3" t="s">
        <v>22448</v>
      </c>
      <c r="C27974" s="5" t="s">
        <v>614</v>
      </c>
      <c r="D27974" s="3" t="s">
        <v>206</v>
      </c>
      <c r="E27974" s="3" t="s">
        <v>100</v>
      </c>
      <c r="F27974" s="7">
        <v>46283.23591102779</v>
      </c>
      <c r="G27974" s="3" t="s">
        <v>30640</v>
      </c>
    </row>
    <row r="27975">
      <c r="A27975" s="3" t="s">
        <v>44455</v>
      </c>
      <c r="B27975" s="3" t="s">
        <v>22448</v>
      </c>
      <c r="C27975" s="5" t="s">
        <v>206</v>
      </c>
      <c r="D27975" s="3" t="s">
        <v>68</v>
      </c>
      <c r="E27975" s="3" t="s">
        <v>100</v>
      </c>
      <c r="F27975" s="7">
        <v>46283.23938325001</v>
      </c>
      <c r="G27975" s="3" t="s">
        <v>30642</v>
      </c>
    </row>
    <row r="27976">
      <c r="A27976" s="3" t="s">
        <v>44456</v>
      </c>
      <c r="B27976" s="3" t="s">
        <v>22450</v>
      </c>
      <c r="C27976" s="5" t="s">
        <v>45</v>
      </c>
      <c r="D27976" s="3" t="s">
        <v>221</v>
      </c>
      <c r="E27976" s="3" t="s">
        <v>123</v>
      </c>
      <c r="F27976" s="7">
        <v>46283.30014142876</v>
      </c>
      <c r="G27976" s="3" t="s">
        <v>17462</v>
      </c>
    </row>
    <row r="27977">
      <c r="A27977" s="3" t="s">
        <v>44457</v>
      </c>
      <c r="B27977" s="3" t="s">
        <v>22450</v>
      </c>
      <c r="C27977" s="5" t="s">
        <v>221</v>
      </c>
      <c r="D27977" s="3" t="s">
        <v>614</v>
      </c>
      <c r="E27977" s="3" t="s">
        <v>118</v>
      </c>
      <c r="F27977" s="7">
        <v>46283.303613650976</v>
      </c>
      <c r="G27977" s="3" t="s">
        <v>17465</v>
      </c>
    </row>
    <row r="27978">
      <c r="A27978" s="3" t="s">
        <v>44458</v>
      </c>
      <c r="B27978" s="3" t="s">
        <v>22450</v>
      </c>
      <c r="C27978" s="5" t="s">
        <v>614</v>
      </c>
      <c r="D27978" s="3" t="s">
        <v>206</v>
      </c>
      <c r="E27978" s="3" t="s">
        <v>100</v>
      </c>
      <c r="F27978" s="7">
        <v>46283.3070858732</v>
      </c>
      <c r="G27978" s="3" t="s">
        <v>17468</v>
      </c>
    </row>
    <row r="27979">
      <c r="A27979" s="3" t="s">
        <v>44459</v>
      </c>
      <c r="B27979" s="3" t="s">
        <v>22450</v>
      </c>
      <c r="C27979" s="5" t="s">
        <v>206</v>
      </c>
      <c r="D27979" s="3" t="s">
        <v>68</v>
      </c>
      <c r="E27979" s="3" t="s">
        <v>100</v>
      </c>
      <c r="F27979" s="7">
        <v>46283.31055809542</v>
      </c>
      <c r="G27979" s="3" t="s">
        <v>17470</v>
      </c>
    </row>
    <row r="27980">
      <c r="A27980" s="3" t="s">
        <v>44460</v>
      </c>
      <c r="B27980" s="3" t="s">
        <v>22452</v>
      </c>
      <c r="C27980" s="5" t="s">
        <v>45</v>
      </c>
      <c r="D27980" s="3" t="s">
        <v>221</v>
      </c>
      <c r="E27980" s="3" t="s">
        <v>752</v>
      </c>
      <c r="F27980" s="7">
        <v>46283.37131627417</v>
      </c>
      <c r="G27980" s="3" t="s">
        <v>17473</v>
      </c>
    </row>
    <row r="27981">
      <c r="A27981" s="3" t="s">
        <v>44461</v>
      </c>
      <c r="B27981" s="3" t="s">
        <v>22452</v>
      </c>
      <c r="C27981" s="5" t="s">
        <v>221</v>
      </c>
      <c r="D27981" s="3" t="s">
        <v>614</v>
      </c>
      <c r="E27981" s="3" t="s">
        <v>118</v>
      </c>
      <c r="F27981" s="7">
        <v>46283.37478849639</v>
      </c>
      <c r="G27981" s="3" t="s">
        <v>17476</v>
      </c>
    </row>
    <row r="27982">
      <c r="A27982" s="3" t="s">
        <v>44462</v>
      </c>
      <c r="B27982" s="3" t="s">
        <v>22452</v>
      </c>
      <c r="C27982" s="5" t="s">
        <v>614</v>
      </c>
      <c r="D27982" s="3" t="s">
        <v>206</v>
      </c>
      <c r="E27982" s="3" t="s">
        <v>100</v>
      </c>
      <c r="F27982" s="7">
        <v>46283.378260718615</v>
      </c>
      <c r="G27982" s="3" t="s">
        <v>17479</v>
      </c>
    </row>
    <row r="27983">
      <c r="A27983" s="3" t="s">
        <v>44463</v>
      </c>
      <c r="B27983" s="3" t="s">
        <v>22452</v>
      </c>
      <c r="C27983" s="5" t="s">
        <v>206</v>
      </c>
      <c r="D27983" s="3" t="s">
        <v>68</v>
      </c>
      <c r="E27983" s="3" t="s">
        <v>100</v>
      </c>
      <c r="F27983" s="7">
        <v>46283.381732940834</v>
      </c>
      <c r="G27983" s="3" t="s">
        <v>17482</v>
      </c>
    </row>
    <row r="27984">
      <c r="A27984" s="3" t="s">
        <v>44464</v>
      </c>
      <c r="B27984" s="3" t="s">
        <v>22454</v>
      </c>
      <c r="C27984" s="5" t="s">
        <v>45</v>
      </c>
      <c r="D27984" s="3" t="s">
        <v>221</v>
      </c>
      <c r="E27984" s="3" t="s">
        <v>468</v>
      </c>
      <c r="F27984" s="7">
        <v>46283.44249111959</v>
      </c>
      <c r="G27984" s="3" t="s">
        <v>24055</v>
      </c>
    </row>
    <row r="27985">
      <c r="A27985" s="3" t="s">
        <v>44465</v>
      </c>
      <c r="B27985" s="3" t="s">
        <v>22454</v>
      </c>
      <c r="C27985" s="5" t="s">
        <v>221</v>
      </c>
      <c r="D27985" s="3" t="s">
        <v>614</v>
      </c>
      <c r="E27985" s="3" t="s">
        <v>118</v>
      </c>
      <c r="F27985" s="7">
        <v>46283.44596334181</v>
      </c>
      <c r="G27985" s="3" t="s">
        <v>24057</v>
      </c>
    </row>
    <row r="27986">
      <c r="A27986" s="3" t="s">
        <v>44466</v>
      </c>
      <c r="B27986" s="3" t="s">
        <v>22454</v>
      </c>
      <c r="C27986" s="5" t="s">
        <v>614</v>
      </c>
      <c r="D27986" s="3" t="s">
        <v>206</v>
      </c>
      <c r="E27986" s="3" t="s">
        <v>100</v>
      </c>
      <c r="F27986" s="7">
        <v>46283.449435564035</v>
      </c>
      <c r="G27986" s="3" t="s">
        <v>24059</v>
      </c>
    </row>
    <row r="27987">
      <c r="A27987" s="3" t="s">
        <v>44467</v>
      </c>
      <c r="B27987" s="3" t="s">
        <v>22454</v>
      </c>
      <c r="C27987" s="5" t="s">
        <v>206</v>
      </c>
      <c r="D27987" s="3" t="s">
        <v>68</v>
      </c>
      <c r="E27987" s="3" t="s">
        <v>100</v>
      </c>
      <c r="F27987" s="7">
        <v>46283.45290778625</v>
      </c>
      <c r="G27987" s="3" t="s">
        <v>24061</v>
      </c>
    </row>
    <row r="27988">
      <c r="A27988" s="3" t="s">
        <v>44468</v>
      </c>
      <c r="B27988" s="3" t="s">
        <v>22456</v>
      </c>
      <c r="C27988" s="5" t="s">
        <v>45</v>
      </c>
      <c r="D27988" s="3" t="s">
        <v>221</v>
      </c>
      <c r="E27988" s="3" t="s">
        <v>640</v>
      </c>
      <c r="F27988" s="7">
        <v>46283.513665965</v>
      </c>
      <c r="G27988" s="3" t="s">
        <v>26711</v>
      </c>
    </row>
    <row r="27989">
      <c r="A27989" s="3" t="s">
        <v>44469</v>
      </c>
      <c r="B27989" s="3" t="s">
        <v>22456</v>
      </c>
      <c r="C27989" s="5" t="s">
        <v>221</v>
      </c>
      <c r="D27989" s="3" t="s">
        <v>614</v>
      </c>
      <c r="E27989" s="3" t="s">
        <v>118</v>
      </c>
      <c r="F27989" s="7">
        <v>46283.51713818722</v>
      </c>
      <c r="G27989" s="3" t="s">
        <v>26713</v>
      </c>
    </row>
    <row r="27990">
      <c r="A27990" s="3" t="s">
        <v>44470</v>
      </c>
      <c r="B27990" s="3" t="s">
        <v>22456</v>
      </c>
      <c r="C27990" s="5" t="s">
        <v>614</v>
      </c>
      <c r="D27990" s="3" t="s">
        <v>206</v>
      </c>
      <c r="E27990" s="3" t="s">
        <v>100</v>
      </c>
      <c r="F27990" s="7">
        <v>46283.52061040945</v>
      </c>
      <c r="G27990" s="3" t="s">
        <v>26715</v>
      </c>
    </row>
    <row r="27991">
      <c r="A27991" s="3" t="s">
        <v>44471</v>
      </c>
      <c r="B27991" s="3" t="s">
        <v>22456</v>
      </c>
      <c r="C27991" s="5" t="s">
        <v>206</v>
      </c>
      <c r="D27991" s="3" t="s">
        <v>68</v>
      </c>
      <c r="E27991" s="3" t="s">
        <v>100</v>
      </c>
      <c r="F27991" s="7">
        <v>46283.524082631666</v>
      </c>
      <c r="G27991" s="3" t="s">
        <v>26717</v>
      </c>
    </row>
    <row r="27992">
      <c r="A27992" s="3" t="s">
        <v>44472</v>
      </c>
      <c r="B27992" s="3" t="s">
        <v>22458</v>
      </c>
      <c r="C27992" s="5" t="s">
        <v>45</v>
      </c>
      <c r="D27992" s="3" t="s">
        <v>221</v>
      </c>
      <c r="E27992" s="3" t="s">
        <v>211</v>
      </c>
      <c r="F27992" s="7">
        <v>46283.584840810414</v>
      </c>
      <c r="G27992" s="3" t="s">
        <v>5696</v>
      </c>
    </row>
    <row r="27993">
      <c r="A27993" s="3" t="s">
        <v>44473</v>
      </c>
      <c r="B27993" s="3" t="s">
        <v>22458</v>
      </c>
      <c r="C27993" s="5" t="s">
        <v>221</v>
      </c>
      <c r="D27993" s="3" t="s">
        <v>614</v>
      </c>
      <c r="E27993" s="3" t="s">
        <v>118</v>
      </c>
      <c r="F27993" s="7">
        <v>46283.58831303263</v>
      </c>
      <c r="G27993" s="3" t="s">
        <v>5699</v>
      </c>
    </row>
    <row r="27994">
      <c r="A27994" s="3" t="s">
        <v>44474</v>
      </c>
      <c r="B27994" s="3" t="s">
        <v>22458</v>
      </c>
      <c r="C27994" s="5" t="s">
        <v>614</v>
      </c>
      <c r="D27994" s="3" t="s">
        <v>206</v>
      </c>
      <c r="E27994" s="3" t="s">
        <v>100</v>
      </c>
      <c r="F27994" s="7">
        <v>46283.59178525486</v>
      </c>
      <c r="G27994" s="3" t="s">
        <v>5701</v>
      </c>
    </row>
    <row r="27995">
      <c r="A27995" s="3" t="s">
        <v>44475</v>
      </c>
      <c r="B27995" s="3" t="s">
        <v>22458</v>
      </c>
      <c r="C27995" s="5" t="s">
        <v>206</v>
      </c>
      <c r="D27995" s="3" t="s">
        <v>68</v>
      </c>
      <c r="E27995" s="3" t="s">
        <v>100</v>
      </c>
      <c r="F27995" s="7">
        <v>46283.59525747708</v>
      </c>
      <c r="G27995" s="3" t="s">
        <v>5704</v>
      </c>
    </row>
    <row r="27996">
      <c r="A27996" s="3" t="s">
        <v>44476</v>
      </c>
      <c r="B27996" s="3" t="s">
        <v>22460</v>
      </c>
      <c r="C27996" s="5" t="s">
        <v>45</v>
      </c>
      <c r="D27996" s="3" t="s">
        <v>221</v>
      </c>
      <c r="E27996" s="3" t="s">
        <v>282</v>
      </c>
      <c r="F27996" s="7">
        <v>46283.65601565583</v>
      </c>
      <c r="G27996" s="3" t="s">
        <v>19972</v>
      </c>
    </row>
    <row r="27997">
      <c r="A27997" s="3" t="s">
        <v>44477</v>
      </c>
      <c r="B27997" s="3" t="s">
        <v>22460</v>
      </c>
      <c r="C27997" s="5" t="s">
        <v>221</v>
      </c>
      <c r="D27997" s="3" t="s">
        <v>614</v>
      </c>
      <c r="E27997" s="3" t="s">
        <v>118</v>
      </c>
      <c r="F27997" s="7">
        <v>46283.65948787805</v>
      </c>
      <c r="G27997" s="3" t="s">
        <v>19975</v>
      </c>
    </row>
    <row r="27998">
      <c r="A27998" s="3" t="s">
        <v>44478</v>
      </c>
      <c r="B27998" s="3" t="s">
        <v>22460</v>
      </c>
      <c r="C27998" s="5" t="s">
        <v>614</v>
      </c>
      <c r="D27998" s="3" t="s">
        <v>206</v>
      </c>
      <c r="E27998" s="3" t="s">
        <v>100</v>
      </c>
      <c r="F27998" s="7">
        <v>46283.66296010028</v>
      </c>
      <c r="G27998" s="3" t="s">
        <v>19978</v>
      </c>
    </row>
    <row r="27999">
      <c r="A27999" s="3" t="s">
        <v>44479</v>
      </c>
      <c r="B27999" s="3" t="s">
        <v>22460</v>
      </c>
      <c r="C27999" s="5" t="s">
        <v>206</v>
      </c>
      <c r="D27999" s="3" t="s">
        <v>68</v>
      </c>
      <c r="E27999" s="3" t="s">
        <v>100</v>
      </c>
      <c r="F27999" s="7">
        <v>46283.6664323225</v>
      </c>
      <c r="G27999" s="3" t="s">
        <v>19980</v>
      </c>
    </row>
    <row r="28000">
      <c r="A28000" s="3" t="s">
        <v>44480</v>
      </c>
      <c r="B28000" s="3" t="s">
        <v>22462</v>
      </c>
      <c r="C28000" s="5" t="s">
        <v>45</v>
      </c>
      <c r="D28000" s="3" t="s">
        <v>221</v>
      </c>
      <c r="E28000" s="3" t="s">
        <v>496</v>
      </c>
      <c r="F28000" s="7">
        <v>46283.72719050125</v>
      </c>
      <c r="G28000" s="3" t="s">
        <v>10003</v>
      </c>
    </row>
    <row r="28001">
      <c r="A28001" s="3" t="s">
        <v>44481</v>
      </c>
      <c r="B28001" s="3" t="s">
        <v>22462</v>
      </c>
      <c r="C28001" s="5" t="s">
        <v>221</v>
      </c>
      <c r="D28001" s="3" t="s">
        <v>614</v>
      </c>
      <c r="E28001" s="3" t="s">
        <v>118</v>
      </c>
      <c r="F28001" s="7">
        <v>46283.73066272347</v>
      </c>
      <c r="G28001" s="3" t="s">
        <v>10007</v>
      </c>
    </row>
    <row r="28002">
      <c r="A28002" s="3" t="s">
        <v>44482</v>
      </c>
      <c r="B28002" s="3" t="s">
        <v>22462</v>
      </c>
      <c r="C28002" s="5" t="s">
        <v>614</v>
      </c>
      <c r="D28002" s="3" t="s">
        <v>206</v>
      </c>
      <c r="E28002" s="3" t="s">
        <v>100</v>
      </c>
      <c r="F28002" s="7">
        <v>46283.7341349457</v>
      </c>
      <c r="G28002" s="3" t="s">
        <v>10010</v>
      </c>
    </row>
    <row r="28003">
      <c r="A28003" s="3" t="s">
        <v>44483</v>
      </c>
      <c r="B28003" s="3" t="s">
        <v>22462</v>
      </c>
      <c r="C28003" s="5" t="s">
        <v>206</v>
      </c>
      <c r="D28003" s="3" t="s">
        <v>68</v>
      </c>
      <c r="E28003" s="3" t="s">
        <v>100</v>
      </c>
      <c r="F28003" s="7">
        <v>46283.73760716792</v>
      </c>
      <c r="G28003" s="3" t="s">
        <v>10013</v>
      </c>
    </row>
    <row r="28004">
      <c r="A28004" s="3" t="s">
        <v>44484</v>
      </c>
      <c r="B28004" s="3" t="s">
        <v>22464</v>
      </c>
      <c r="C28004" s="5" t="s">
        <v>45</v>
      </c>
      <c r="D28004" s="3" t="s">
        <v>221</v>
      </c>
      <c r="E28004" s="3" t="s">
        <v>953</v>
      </c>
      <c r="F28004" s="7">
        <v>46283.79836534666</v>
      </c>
      <c r="G28004" s="3" t="s">
        <v>17843</v>
      </c>
    </row>
    <row r="28005">
      <c r="A28005" s="3" t="s">
        <v>44485</v>
      </c>
      <c r="B28005" s="3" t="s">
        <v>22464</v>
      </c>
      <c r="C28005" s="5" t="s">
        <v>221</v>
      </c>
      <c r="D28005" s="3" t="s">
        <v>614</v>
      </c>
      <c r="E28005" s="3" t="s">
        <v>118</v>
      </c>
      <c r="F28005" s="7">
        <v>46283.80183756888</v>
      </c>
      <c r="G28005" s="3" t="s">
        <v>17846</v>
      </c>
    </row>
    <row r="28006">
      <c r="A28006" s="3" t="s">
        <v>44486</v>
      </c>
      <c r="B28006" s="3" t="s">
        <v>22464</v>
      </c>
      <c r="C28006" s="5" t="s">
        <v>614</v>
      </c>
      <c r="D28006" s="3" t="s">
        <v>206</v>
      </c>
      <c r="E28006" s="3" t="s">
        <v>100</v>
      </c>
      <c r="F28006" s="7">
        <v>46283.8053097911</v>
      </c>
      <c r="G28006" s="3" t="s">
        <v>17849</v>
      </c>
    </row>
    <row r="28007">
      <c r="A28007" s="3" t="s">
        <v>44487</v>
      </c>
      <c r="B28007" s="3" t="s">
        <v>22464</v>
      </c>
      <c r="C28007" s="5" t="s">
        <v>206</v>
      </c>
      <c r="D28007" s="3" t="s">
        <v>68</v>
      </c>
      <c r="E28007" s="3" t="s">
        <v>100</v>
      </c>
      <c r="F28007" s="7">
        <v>46283.80878201332</v>
      </c>
      <c r="G28007" s="3" t="s">
        <v>17851</v>
      </c>
    </row>
    <row r="28008">
      <c r="A28008" s="3" t="s">
        <v>44488</v>
      </c>
      <c r="B28008" s="3" t="s">
        <v>22466</v>
      </c>
      <c r="C28008" s="5" t="s">
        <v>45</v>
      </c>
      <c r="D28008" s="3" t="s">
        <v>221</v>
      </c>
      <c r="E28008" s="3" t="s">
        <v>900</v>
      </c>
      <c r="F28008" s="7">
        <v>46283.86954019208</v>
      </c>
      <c r="G28008" s="3" t="s">
        <v>16066</v>
      </c>
    </row>
    <row r="28009">
      <c r="A28009" s="3" t="s">
        <v>44489</v>
      </c>
      <c r="B28009" s="3" t="s">
        <v>22466</v>
      </c>
      <c r="C28009" s="5" t="s">
        <v>221</v>
      </c>
      <c r="D28009" s="3" t="s">
        <v>614</v>
      </c>
      <c r="E28009" s="3" t="s">
        <v>118</v>
      </c>
      <c r="F28009" s="7">
        <v>46283.8730124143</v>
      </c>
      <c r="G28009" s="3" t="s">
        <v>16069</v>
      </c>
    </row>
    <row r="28010">
      <c r="A28010" s="3" t="s">
        <v>44490</v>
      </c>
      <c r="B28010" s="3" t="s">
        <v>22466</v>
      </c>
      <c r="C28010" s="5" t="s">
        <v>614</v>
      </c>
      <c r="D28010" s="3" t="s">
        <v>206</v>
      </c>
      <c r="E28010" s="3" t="s">
        <v>100</v>
      </c>
      <c r="F28010" s="7">
        <v>46283.87648463652</v>
      </c>
      <c r="G28010" s="3" t="s">
        <v>16072</v>
      </c>
    </row>
    <row r="28011">
      <c r="A28011" s="3" t="s">
        <v>44491</v>
      </c>
      <c r="B28011" s="3" t="s">
        <v>22466</v>
      </c>
      <c r="C28011" s="5" t="s">
        <v>206</v>
      </c>
      <c r="D28011" s="3" t="s">
        <v>68</v>
      </c>
      <c r="E28011" s="3" t="s">
        <v>100</v>
      </c>
      <c r="F28011" s="7">
        <v>46283.87995685874</v>
      </c>
      <c r="G28011" s="3" t="s">
        <v>16074</v>
      </c>
    </row>
    <row r="28012">
      <c r="A28012" s="3" t="s">
        <v>44492</v>
      </c>
      <c r="B28012" s="3" t="s">
        <v>22468</v>
      </c>
      <c r="C28012" s="5" t="s">
        <v>45</v>
      </c>
      <c r="D28012" s="3" t="s">
        <v>221</v>
      </c>
      <c r="E28012" s="3" t="s">
        <v>886</v>
      </c>
      <c r="F28012" s="7">
        <v>46283.94071503749</v>
      </c>
      <c r="G28012" s="3" t="s">
        <v>24595</v>
      </c>
    </row>
    <row r="28013">
      <c r="A28013" s="3" t="s">
        <v>44493</v>
      </c>
      <c r="B28013" s="3" t="s">
        <v>22468</v>
      </c>
      <c r="C28013" s="5" t="s">
        <v>221</v>
      </c>
      <c r="D28013" s="3" t="s">
        <v>195</v>
      </c>
      <c r="E28013" s="3" t="s">
        <v>886</v>
      </c>
      <c r="F28013" s="7">
        <v>46283.94418725971</v>
      </c>
      <c r="G28013" s="3" t="s">
        <v>44494</v>
      </c>
    </row>
    <row r="28014">
      <c r="A28014" s="3" t="s">
        <v>44495</v>
      </c>
      <c r="B28014" s="3" t="s">
        <v>22470</v>
      </c>
      <c r="C28014" s="5" t="s">
        <v>45</v>
      </c>
      <c r="D28014" s="3" t="s">
        <v>221</v>
      </c>
      <c r="E28014" s="3" t="s">
        <v>307</v>
      </c>
      <c r="F28014" s="7">
        <v>46284.01188988291</v>
      </c>
      <c r="G28014" s="3" t="s">
        <v>17547</v>
      </c>
    </row>
    <row r="28015">
      <c r="A28015" s="3" t="s">
        <v>44496</v>
      </c>
      <c r="B28015" s="3" t="s">
        <v>22470</v>
      </c>
      <c r="C28015" s="5" t="s">
        <v>221</v>
      </c>
      <c r="D28015" s="3" t="s">
        <v>614</v>
      </c>
      <c r="E28015" s="3" t="s">
        <v>118</v>
      </c>
      <c r="F28015" s="7">
        <v>46284.01536210513</v>
      </c>
      <c r="G28015" s="3" t="s">
        <v>17550</v>
      </c>
    </row>
    <row r="28016">
      <c r="A28016" s="3" t="s">
        <v>44497</v>
      </c>
      <c r="B28016" s="3" t="s">
        <v>22470</v>
      </c>
      <c r="C28016" s="5" t="s">
        <v>614</v>
      </c>
      <c r="D28016" s="3" t="s">
        <v>206</v>
      </c>
      <c r="E28016" s="3" t="s">
        <v>100</v>
      </c>
      <c r="F28016" s="7">
        <v>46284.018834327355</v>
      </c>
      <c r="G28016" s="3" t="s">
        <v>17553</v>
      </c>
    </row>
    <row r="28017">
      <c r="A28017" s="3" t="s">
        <v>44498</v>
      </c>
      <c r="B28017" s="3" t="s">
        <v>22470</v>
      </c>
      <c r="C28017" s="5" t="s">
        <v>206</v>
      </c>
      <c r="D28017" s="3" t="s">
        <v>68</v>
      </c>
      <c r="E28017" s="3" t="s">
        <v>100</v>
      </c>
      <c r="F28017" s="7">
        <v>46284.022306549574</v>
      </c>
      <c r="G28017" s="3" t="s">
        <v>17556</v>
      </c>
    </row>
    <row r="28018">
      <c r="A28018" s="3" t="s">
        <v>44499</v>
      </c>
      <c r="B28018" s="3" t="s">
        <v>22472</v>
      </c>
      <c r="C28018" s="5" t="s">
        <v>45</v>
      </c>
      <c r="D28018" s="3" t="s">
        <v>221</v>
      </c>
      <c r="E28018" s="3" t="s">
        <v>282</v>
      </c>
      <c r="F28018" s="7">
        <v>46284.08306472832</v>
      </c>
      <c r="G28018" s="3" t="s">
        <v>2770</v>
      </c>
    </row>
    <row r="28019">
      <c r="A28019" s="3" t="s">
        <v>44500</v>
      </c>
      <c r="B28019" s="3" t="s">
        <v>22472</v>
      </c>
      <c r="C28019" s="5" t="s">
        <v>221</v>
      </c>
      <c r="D28019" s="3" t="s">
        <v>181</v>
      </c>
      <c r="E28019" s="3" t="s">
        <v>118</v>
      </c>
      <c r="F28019" s="7">
        <v>46284.08653695054</v>
      </c>
      <c r="G28019" s="3" t="s">
        <v>2774</v>
      </c>
    </row>
    <row r="28020">
      <c r="A28020" s="3" t="s">
        <v>44501</v>
      </c>
      <c r="B28020" s="3" t="s">
        <v>22475</v>
      </c>
      <c r="C28020" s="5" t="s">
        <v>45</v>
      </c>
      <c r="D28020" s="3" t="s">
        <v>221</v>
      </c>
      <c r="E28020" s="3" t="s">
        <v>462</v>
      </c>
      <c r="F28020" s="7">
        <v>46284.15423957374</v>
      </c>
      <c r="G28020" s="3" t="s">
        <v>18257</v>
      </c>
    </row>
    <row r="28021">
      <c r="A28021" s="3" t="s">
        <v>44502</v>
      </c>
      <c r="B28021" s="3" t="s">
        <v>22475</v>
      </c>
      <c r="C28021" s="5" t="s">
        <v>221</v>
      </c>
      <c r="D28021" s="3" t="s">
        <v>181</v>
      </c>
      <c r="E28021" s="3" t="s">
        <v>118</v>
      </c>
      <c r="F28021" s="7">
        <v>46284.15771179596</v>
      </c>
      <c r="G28021" s="3" t="s">
        <v>44503</v>
      </c>
    </row>
    <row r="28022">
      <c r="A28022" s="3" t="s">
        <v>44504</v>
      </c>
      <c r="B28022" s="3" t="s">
        <v>22478</v>
      </c>
      <c r="C28022" s="5" t="s">
        <v>45</v>
      </c>
      <c r="D28022" s="3" t="s">
        <v>221</v>
      </c>
      <c r="E28022" s="3" t="s">
        <v>922</v>
      </c>
      <c r="F28022" s="7">
        <v>46284.22541441915</v>
      </c>
      <c r="G28022" s="3" t="s">
        <v>15629</v>
      </c>
    </row>
    <row r="28023">
      <c r="A28023" s="3" t="s">
        <v>44505</v>
      </c>
      <c r="B28023" s="3" t="s">
        <v>22478</v>
      </c>
      <c r="C28023" s="5" t="s">
        <v>221</v>
      </c>
      <c r="D28023" s="3" t="s">
        <v>614</v>
      </c>
      <c r="E28023" s="3" t="s">
        <v>118</v>
      </c>
      <c r="F28023" s="7">
        <v>46284.228886641366</v>
      </c>
      <c r="G28023" s="3" t="s">
        <v>15632</v>
      </c>
    </row>
    <row r="28024">
      <c r="A28024" s="3" t="s">
        <v>44506</v>
      </c>
      <c r="B28024" s="3" t="s">
        <v>22478</v>
      </c>
      <c r="C28024" s="5" t="s">
        <v>614</v>
      </c>
      <c r="D28024" s="3" t="s">
        <v>206</v>
      </c>
      <c r="E28024" s="3" t="s">
        <v>100</v>
      </c>
      <c r="F28024" s="7">
        <v>46284.23235886359</v>
      </c>
      <c r="G28024" s="3" t="s">
        <v>15634</v>
      </c>
    </row>
    <row r="28025">
      <c r="A28025" s="3" t="s">
        <v>44507</v>
      </c>
      <c r="B28025" s="3" t="s">
        <v>22478</v>
      </c>
      <c r="C28025" s="5" t="s">
        <v>206</v>
      </c>
      <c r="D28025" s="3" t="s">
        <v>68</v>
      </c>
      <c r="E28025" s="3" t="s">
        <v>100</v>
      </c>
      <c r="F28025" s="7">
        <v>46284.23583108581</v>
      </c>
      <c r="G28025" s="3" t="s">
        <v>15637</v>
      </c>
    </row>
    <row r="28026">
      <c r="A28026" s="3" t="s">
        <v>44508</v>
      </c>
      <c r="B28026" s="3" t="s">
        <v>22482</v>
      </c>
      <c r="C28026" s="5" t="s">
        <v>45</v>
      </c>
      <c r="D28026" s="3" t="s">
        <v>221</v>
      </c>
      <c r="E28026" s="3" t="s">
        <v>672</v>
      </c>
      <c r="F28026" s="7">
        <v>46284.296589264566</v>
      </c>
      <c r="G28026" s="3" t="s">
        <v>20096</v>
      </c>
    </row>
    <row r="28027">
      <c r="A28027" s="3" t="s">
        <v>44509</v>
      </c>
      <c r="B28027" s="3" t="s">
        <v>22482</v>
      </c>
      <c r="C28027" s="5" t="s">
        <v>221</v>
      </c>
      <c r="D28027" s="3" t="s">
        <v>614</v>
      </c>
      <c r="E28027" s="3" t="s">
        <v>118</v>
      </c>
      <c r="F28027" s="7">
        <v>46284.300061486785</v>
      </c>
      <c r="G28027" s="3" t="s">
        <v>20098</v>
      </c>
    </row>
    <row r="28028">
      <c r="A28028" s="3" t="s">
        <v>44510</v>
      </c>
      <c r="B28028" s="3" t="s">
        <v>22482</v>
      </c>
      <c r="C28028" s="5" t="s">
        <v>614</v>
      </c>
      <c r="D28028" s="3" t="s">
        <v>206</v>
      </c>
      <c r="E28028" s="3" t="s">
        <v>100</v>
      </c>
      <c r="F28028" s="7">
        <v>46284.30353370901</v>
      </c>
      <c r="G28028" s="3" t="s">
        <v>20101</v>
      </c>
    </row>
    <row r="28029">
      <c r="A28029" s="3" t="s">
        <v>44511</v>
      </c>
      <c r="B28029" s="3" t="s">
        <v>22482</v>
      </c>
      <c r="C28029" s="5" t="s">
        <v>206</v>
      </c>
      <c r="D28029" s="3" t="s">
        <v>68</v>
      </c>
      <c r="E28029" s="3" t="s">
        <v>100</v>
      </c>
      <c r="F28029" s="7">
        <v>46284.30700593123</v>
      </c>
      <c r="G28029" s="3" t="s">
        <v>20104</v>
      </c>
    </row>
    <row r="28030">
      <c r="A28030" s="3" t="s">
        <v>44512</v>
      </c>
      <c r="B28030" s="3" t="s">
        <v>22485</v>
      </c>
      <c r="C28030" s="5" t="s">
        <v>45</v>
      </c>
      <c r="D28030" s="3" t="s">
        <v>221</v>
      </c>
      <c r="E28030" s="3" t="s">
        <v>256</v>
      </c>
      <c r="F28030" s="7">
        <v>46284.367764109986</v>
      </c>
      <c r="G28030" s="3" t="s">
        <v>25813</v>
      </c>
    </row>
    <row r="28031">
      <c r="A28031" s="3" t="s">
        <v>44513</v>
      </c>
      <c r="B28031" s="3" t="s">
        <v>22485</v>
      </c>
      <c r="C28031" s="5" t="s">
        <v>221</v>
      </c>
      <c r="D28031" s="3" t="s">
        <v>614</v>
      </c>
      <c r="E28031" s="3" t="s">
        <v>118</v>
      </c>
      <c r="F28031" s="7">
        <v>46284.371236332205</v>
      </c>
      <c r="G28031" s="3" t="s">
        <v>27432</v>
      </c>
    </row>
    <row r="28032">
      <c r="A28032" s="3" t="s">
        <v>44514</v>
      </c>
      <c r="B28032" s="3" t="s">
        <v>22485</v>
      </c>
      <c r="C28032" s="5" t="s">
        <v>614</v>
      </c>
      <c r="D28032" s="3" t="s">
        <v>206</v>
      </c>
      <c r="E28032" s="3" t="s">
        <v>100</v>
      </c>
      <c r="F28032" s="7">
        <v>46284.37470855443</v>
      </c>
      <c r="G28032" s="3" t="s">
        <v>27434</v>
      </c>
    </row>
    <row r="28033">
      <c r="A28033" s="3" t="s">
        <v>44515</v>
      </c>
      <c r="B28033" s="3" t="s">
        <v>22485</v>
      </c>
      <c r="C28033" s="5" t="s">
        <v>206</v>
      </c>
      <c r="D28033" s="3" t="s">
        <v>68</v>
      </c>
      <c r="E28033" s="3" t="s">
        <v>100</v>
      </c>
      <c r="F28033" s="7">
        <v>46284.37818077665</v>
      </c>
      <c r="G28033" s="3" t="s">
        <v>27436</v>
      </c>
    </row>
    <row r="28034">
      <c r="A28034" s="3" t="s">
        <v>44516</v>
      </c>
      <c r="B28034" s="3" t="s">
        <v>22487</v>
      </c>
      <c r="C28034" s="5" t="s">
        <v>45</v>
      </c>
      <c r="D28034" s="3" t="s">
        <v>221</v>
      </c>
      <c r="E28034" s="3" t="s">
        <v>734</v>
      </c>
      <c r="F28034" s="7">
        <v>46284.4389389554</v>
      </c>
      <c r="G28034" s="3" t="s">
        <v>2770</v>
      </c>
    </row>
    <row r="28035">
      <c r="A28035" s="3" t="s">
        <v>44517</v>
      </c>
      <c r="B28035" s="3" t="s">
        <v>22487</v>
      </c>
      <c r="C28035" s="5" t="s">
        <v>221</v>
      </c>
      <c r="D28035" s="3" t="s">
        <v>195</v>
      </c>
      <c r="E28035" s="3" t="s">
        <v>734</v>
      </c>
      <c r="F28035" s="7">
        <v>46284.44241117762</v>
      </c>
      <c r="G28035" s="3" t="s">
        <v>3055</v>
      </c>
    </row>
    <row r="28036">
      <c r="A28036" s="3" t="s">
        <v>44518</v>
      </c>
      <c r="B28036" s="3" t="s">
        <v>22489</v>
      </c>
      <c r="C28036" s="5" t="s">
        <v>45</v>
      </c>
      <c r="D28036" s="3" t="s">
        <v>221</v>
      </c>
      <c r="E28036" s="3" t="s">
        <v>751</v>
      </c>
      <c r="F28036" s="7">
        <v>46284.51011380081</v>
      </c>
      <c r="G28036" s="3" t="s">
        <v>8085</v>
      </c>
    </row>
    <row r="28037">
      <c r="A28037" s="3" t="s">
        <v>44519</v>
      </c>
      <c r="B28037" s="3" t="s">
        <v>22489</v>
      </c>
      <c r="C28037" s="5" t="s">
        <v>221</v>
      </c>
      <c r="D28037" s="3" t="s">
        <v>614</v>
      </c>
      <c r="E28037" s="3" t="s">
        <v>118</v>
      </c>
      <c r="F28037" s="7">
        <v>46284.51358602303</v>
      </c>
      <c r="G28037" s="3" t="s">
        <v>8088</v>
      </c>
    </row>
    <row r="28038">
      <c r="A28038" s="3" t="s">
        <v>44520</v>
      </c>
      <c r="B28038" s="3" t="s">
        <v>22489</v>
      </c>
      <c r="C28038" s="5" t="s">
        <v>614</v>
      </c>
      <c r="D28038" s="3" t="s">
        <v>206</v>
      </c>
      <c r="E28038" s="3" t="s">
        <v>100</v>
      </c>
      <c r="F28038" s="7">
        <v>46284.517058245256</v>
      </c>
      <c r="G28038" s="3" t="s">
        <v>8091</v>
      </c>
    </row>
    <row r="28039">
      <c r="A28039" s="3" t="s">
        <v>44521</v>
      </c>
      <c r="B28039" s="3" t="s">
        <v>22489</v>
      </c>
      <c r="C28039" s="5" t="s">
        <v>206</v>
      </c>
      <c r="D28039" s="3" t="s">
        <v>68</v>
      </c>
      <c r="E28039" s="3" t="s">
        <v>100</v>
      </c>
      <c r="F28039" s="7">
        <v>46284.520530467475</v>
      </c>
      <c r="G28039" s="3" t="s">
        <v>8094</v>
      </c>
    </row>
    <row r="28040">
      <c r="A28040" s="3" t="s">
        <v>44522</v>
      </c>
      <c r="B28040" s="3" t="s">
        <v>22491</v>
      </c>
      <c r="C28040" s="5" t="s">
        <v>45</v>
      </c>
      <c r="D28040" s="3" t="s">
        <v>221</v>
      </c>
      <c r="E28040" s="3" t="s">
        <v>557</v>
      </c>
      <c r="F28040" s="7">
        <v>46284.58128864623</v>
      </c>
      <c r="G28040" s="3" t="s">
        <v>17609</v>
      </c>
    </row>
    <row r="28041">
      <c r="A28041" s="3" t="s">
        <v>44523</v>
      </c>
      <c r="B28041" s="3" t="s">
        <v>22491</v>
      </c>
      <c r="C28041" s="5" t="s">
        <v>221</v>
      </c>
      <c r="D28041" s="3" t="s">
        <v>614</v>
      </c>
      <c r="E28041" s="3" t="s">
        <v>118</v>
      </c>
      <c r="F28041" s="7">
        <v>46284.58476086845</v>
      </c>
      <c r="G28041" s="3" t="s">
        <v>17612</v>
      </c>
    </row>
    <row r="28042">
      <c r="A28042" s="3" t="s">
        <v>44524</v>
      </c>
      <c r="B28042" s="3" t="s">
        <v>22491</v>
      </c>
      <c r="C28042" s="5" t="s">
        <v>614</v>
      </c>
      <c r="D28042" s="3" t="s">
        <v>206</v>
      </c>
      <c r="E28042" s="3" t="s">
        <v>100</v>
      </c>
      <c r="F28042" s="7">
        <v>46284.588233090675</v>
      </c>
      <c r="G28042" s="3" t="s">
        <v>17615</v>
      </c>
    </row>
    <row r="28043">
      <c r="A28043" s="3" t="s">
        <v>44525</v>
      </c>
      <c r="B28043" s="3" t="s">
        <v>22491</v>
      </c>
      <c r="C28043" s="5" t="s">
        <v>206</v>
      </c>
      <c r="D28043" s="3" t="s">
        <v>68</v>
      </c>
      <c r="E28043" s="3" t="s">
        <v>100</v>
      </c>
      <c r="F28043" s="7">
        <v>46284.591705312894</v>
      </c>
      <c r="G28043" s="3" t="s">
        <v>17618</v>
      </c>
    </row>
    <row r="28044">
      <c r="A28044" s="3" t="s">
        <v>44526</v>
      </c>
      <c r="B28044" s="3" t="s">
        <v>22493</v>
      </c>
      <c r="C28044" s="5" t="s">
        <v>45</v>
      </c>
      <c r="D28044" s="3" t="s">
        <v>221</v>
      </c>
      <c r="E28044" s="3" t="s">
        <v>785</v>
      </c>
      <c r="F28044" s="7">
        <v>46284.65246349164</v>
      </c>
      <c r="G28044" s="3" t="s">
        <v>17644</v>
      </c>
    </row>
    <row r="28045">
      <c r="A28045" s="3" t="s">
        <v>44527</v>
      </c>
      <c r="B28045" s="3" t="s">
        <v>22493</v>
      </c>
      <c r="C28045" s="5" t="s">
        <v>221</v>
      </c>
      <c r="D28045" s="3" t="s">
        <v>614</v>
      </c>
      <c r="E28045" s="3" t="s">
        <v>118</v>
      </c>
      <c r="F28045" s="7">
        <v>46284.65593571386</v>
      </c>
      <c r="G28045" s="3" t="s">
        <v>17646</v>
      </c>
    </row>
    <row r="28046">
      <c r="A28046" s="3" t="s">
        <v>44528</v>
      </c>
      <c r="B28046" s="3" t="s">
        <v>22493</v>
      </c>
      <c r="C28046" s="5" t="s">
        <v>614</v>
      </c>
      <c r="D28046" s="3" t="s">
        <v>206</v>
      </c>
      <c r="E28046" s="3" t="s">
        <v>100</v>
      </c>
      <c r="F28046" s="7">
        <v>46284.65940793609</v>
      </c>
      <c r="G28046" s="3" t="s">
        <v>17648</v>
      </c>
    </row>
    <row r="28047">
      <c r="A28047" s="3" t="s">
        <v>44529</v>
      </c>
      <c r="B28047" s="3" t="s">
        <v>22493</v>
      </c>
      <c r="C28047" s="5" t="s">
        <v>206</v>
      </c>
      <c r="D28047" s="3" t="s">
        <v>68</v>
      </c>
      <c r="E28047" s="3" t="s">
        <v>100</v>
      </c>
      <c r="F28047" s="7">
        <v>46284.66288015831</v>
      </c>
      <c r="G28047" s="3" t="s">
        <v>17651</v>
      </c>
    </row>
    <row r="28048">
      <c r="A28048" s="3" t="s">
        <v>44530</v>
      </c>
      <c r="B28048" s="3" t="s">
        <v>22495</v>
      </c>
      <c r="C28048" s="5" t="s">
        <v>45</v>
      </c>
      <c r="D28048" s="3" t="s">
        <v>221</v>
      </c>
      <c r="E28048" s="3" t="s">
        <v>356</v>
      </c>
      <c r="F28048" s="7">
        <v>46284.723638337055</v>
      </c>
      <c r="G28048" s="3" t="s">
        <v>25287</v>
      </c>
    </row>
    <row r="28049">
      <c r="A28049" s="3" t="s">
        <v>44531</v>
      </c>
      <c r="B28049" s="3" t="s">
        <v>22495</v>
      </c>
      <c r="C28049" s="5" t="s">
        <v>221</v>
      </c>
      <c r="D28049" s="3" t="s">
        <v>614</v>
      </c>
      <c r="E28049" s="3" t="s">
        <v>118</v>
      </c>
      <c r="F28049" s="7">
        <v>46284.72711055927</v>
      </c>
      <c r="G28049" s="3" t="s">
        <v>25289</v>
      </c>
    </row>
    <row r="28050">
      <c r="A28050" s="3" t="s">
        <v>44532</v>
      </c>
      <c r="B28050" s="3" t="s">
        <v>22495</v>
      </c>
      <c r="C28050" s="5" t="s">
        <v>614</v>
      </c>
      <c r="D28050" s="3" t="s">
        <v>206</v>
      </c>
      <c r="E28050" s="3" t="s">
        <v>100</v>
      </c>
      <c r="F28050" s="7">
        <v>46284.7305827815</v>
      </c>
      <c r="G28050" s="3" t="s">
        <v>25291</v>
      </c>
    </row>
    <row r="28051">
      <c r="A28051" s="3" t="s">
        <v>44533</v>
      </c>
      <c r="B28051" s="3" t="s">
        <v>22495</v>
      </c>
      <c r="C28051" s="5" t="s">
        <v>206</v>
      </c>
      <c r="D28051" s="3" t="s">
        <v>68</v>
      </c>
      <c r="E28051" s="3" t="s">
        <v>100</v>
      </c>
      <c r="F28051" s="7">
        <v>46284.73405500372</v>
      </c>
      <c r="G28051" s="3" t="s">
        <v>25293</v>
      </c>
    </row>
    <row r="28052">
      <c r="A28052" s="3" t="s">
        <v>44534</v>
      </c>
      <c r="B28052" s="3" t="s">
        <v>22498</v>
      </c>
      <c r="C28052" s="5" t="s">
        <v>45</v>
      </c>
      <c r="D28052" s="3" t="s">
        <v>221</v>
      </c>
      <c r="E28052" s="3" t="s">
        <v>208</v>
      </c>
      <c r="F28052" s="7">
        <v>46284.794813182474</v>
      </c>
      <c r="G28052" s="3" t="s">
        <v>17958</v>
      </c>
    </row>
    <row r="28053">
      <c r="A28053" s="3" t="s">
        <v>44535</v>
      </c>
      <c r="B28053" s="3" t="s">
        <v>22498</v>
      </c>
      <c r="C28053" s="5" t="s">
        <v>221</v>
      </c>
      <c r="D28053" s="3" t="s">
        <v>614</v>
      </c>
      <c r="E28053" s="3" t="s">
        <v>118</v>
      </c>
      <c r="F28053" s="7">
        <v>46284.79828540469</v>
      </c>
      <c r="G28053" s="3" t="s">
        <v>17961</v>
      </c>
    </row>
    <row r="28054">
      <c r="A28054" s="3" t="s">
        <v>44536</v>
      </c>
      <c r="B28054" s="3" t="s">
        <v>22498</v>
      </c>
      <c r="C28054" s="5" t="s">
        <v>614</v>
      </c>
      <c r="D28054" s="3" t="s">
        <v>206</v>
      </c>
      <c r="E28054" s="3" t="s">
        <v>100</v>
      </c>
      <c r="F28054" s="7">
        <v>46284.80175762692</v>
      </c>
      <c r="G28054" s="3" t="s">
        <v>17964</v>
      </c>
    </row>
    <row r="28055">
      <c r="A28055" s="3" t="s">
        <v>44537</v>
      </c>
      <c r="B28055" s="3" t="s">
        <v>22498</v>
      </c>
      <c r="C28055" s="5" t="s">
        <v>206</v>
      </c>
      <c r="D28055" s="3" t="s">
        <v>68</v>
      </c>
      <c r="E28055" s="3" t="s">
        <v>100</v>
      </c>
      <c r="F28055" s="7">
        <v>46284.80522984914</v>
      </c>
      <c r="G28055" s="3" t="s">
        <v>17967</v>
      </c>
    </row>
    <row r="28056">
      <c r="A28056" s="3" t="s">
        <v>44538</v>
      </c>
      <c r="B28056" s="3" t="s">
        <v>22501</v>
      </c>
      <c r="C28056" s="5" t="s">
        <v>45</v>
      </c>
      <c r="D28056" s="3" t="s">
        <v>221</v>
      </c>
      <c r="E28056" s="3" t="s">
        <v>735</v>
      </c>
      <c r="F28056" s="7">
        <v>46284.865988027894</v>
      </c>
      <c r="G28056" s="3" t="s">
        <v>24197</v>
      </c>
    </row>
    <row r="28057">
      <c r="A28057" s="3" t="s">
        <v>44539</v>
      </c>
      <c r="B28057" s="3" t="s">
        <v>22501</v>
      </c>
      <c r="C28057" s="5" t="s">
        <v>221</v>
      </c>
      <c r="D28057" s="3" t="s">
        <v>614</v>
      </c>
      <c r="E28057" s="3" t="s">
        <v>118</v>
      </c>
      <c r="F28057" s="7">
        <v>46284.86946025011</v>
      </c>
      <c r="G28057" s="3" t="s">
        <v>24199</v>
      </c>
    </row>
    <row r="28058">
      <c r="A28058" s="3" t="s">
        <v>44540</v>
      </c>
      <c r="B28058" s="3" t="s">
        <v>22501</v>
      </c>
      <c r="C28058" s="5" t="s">
        <v>614</v>
      </c>
      <c r="D28058" s="3" t="s">
        <v>206</v>
      </c>
      <c r="E28058" s="3" t="s">
        <v>100</v>
      </c>
      <c r="F28058" s="7">
        <v>46284.87293247234</v>
      </c>
      <c r="G28058" s="3" t="s">
        <v>24201</v>
      </c>
    </row>
    <row r="28059">
      <c r="A28059" s="3" t="s">
        <v>44541</v>
      </c>
      <c r="B28059" s="3" t="s">
        <v>22501</v>
      </c>
      <c r="C28059" s="5" t="s">
        <v>206</v>
      </c>
      <c r="D28059" s="3" t="s">
        <v>68</v>
      </c>
      <c r="E28059" s="3" t="s">
        <v>100</v>
      </c>
      <c r="F28059" s="7">
        <v>46284.87640469456</v>
      </c>
      <c r="G28059" s="3" t="s">
        <v>24203</v>
      </c>
    </row>
    <row r="28060">
      <c r="A28060" s="3" t="s">
        <v>44542</v>
      </c>
      <c r="B28060" s="3" t="s">
        <v>22504</v>
      </c>
      <c r="C28060" s="5" t="s">
        <v>45</v>
      </c>
      <c r="D28060" s="3" t="s">
        <v>221</v>
      </c>
      <c r="E28060" s="3" t="s">
        <v>148</v>
      </c>
      <c r="F28060" s="7">
        <v>46284.9371628733</v>
      </c>
      <c r="G28060" s="3" t="s">
        <v>20442</v>
      </c>
    </row>
    <row r="28061">
      <c r="A28061" s="3" t="s">
        <v>44543</v>
      </c>
      <c r="B28061" s="3" t="s">
        <v>22504</v>
      </c>
      <c r="C28061" s="5" t="s">
        <v>221</v>
      </c>
      <c r="D28061" s="3" t="s">
        <v>614</v>
      </c>
      <c r="E28061" s="3" t="s">
        <v>118</v>
      </c>
      <c r="F28061" s="7">
        <v>46284.94063509552</v>
      </c>
      <c r="G28061" s="3" t="s">
        <v>20445</v>
      </c>
    </row>
    <row r="28062">
      <c r="A28062" s="3" t="s">
        <v>44544</v>
      </c>
      <c r="B28062" s="3" t="s">
        <v>22504</v>
      </c>
      <c r="C28062" s="5" t="s">
        <v>614</v>
      </c>
      <c r="D28062" s="3" t="s">
        <v>206</v>
      </c>
      <c r="E28062" s="3" t="s">
        <v>100</v>
      </c>
      <c r="F28062" s="7">
        <v>46284.944107317744</v>
      </c>
      <c r="G28062" s="3" t="s">
        <v>20448</v>
      </c>
    </row>
    <row r="28063">
      <c r="A28063" s="3" t="s">
        <v>44545</v>
      </c>
      <c r="B28063" s="3" t="s">
        <v>22504</v>
      </c>
      <c r="C28063" s="5" t="s">
        <v>206</v>
      </c>
      <c r="D28063" s="3" t="s">
        <v>68</v>
      </c>
      <c r="E28063" s="3" t="s">
        <v>100</v>
      </c>
      <c r="F28063" s="7">
        <v>46284.94757953996</v>
      </c>
      <c r="G28063" s="3" t="s">
        <v>20450</v>
      </c>
    </row>
    <row r="28064">
      <c r="A28064" s="3" t="s">
        <v>44546</v>
      </c>
      <c r="B28064" s="3" t="s">
        <v>22507</v>
      </c>
      <c r="C28064" s="5" t="s">
        <v>45</v>
      </c>
      <c r="D28064" s="3" t="s">
        <v>221</v>
      </c>
      <c r="E28064" s="3" t="s">
        <v>665</v>
      </c>
      <c r="F28064" s="7">
        <v>46285.00833771872</v>
      </c>
      <c r="G28064" s="3" t="s">
        <v>17654</v>
      </c>
    </row>
    <row r="28065">
      <c r="A28065" s="3" t="s">
        <v>44547</v>
      </c>
      <c r="B28065" s="3" t="s">
        <v>22507</v>
      </c>
      <c r="C28065" s="5" t="s">
        <v>221</v>
      </c>
      <c r="D28065" s="3" t="s">
        <v>614</v>
      </c>
      <c r="E28065" s="3" t="s">
        <v>118</v>
      </c>
      <c r="F28065" s="7">
        <v>46285.01180994094</v>
      </c>
      <c r="G28065" s="3" t="s">
        <v>17657</v>
      </c>
    </row>
    <row r="28066">
      <c r="A28066" s="3" t="s">
        <v>44548</v>
      </c>
      <c r="B28066" s="3" t="s">
        <v>22507</v>
      </c>
      <c r="C28066" s="5" t="s">
        <v>614</v>
      </c>
      <c r="D28066" s="3" t="s">
        <v>206</v>
      </c>
      <c r="E28066" s="3" t="s">
        <v>100</v>
      </c>
      <c r="F28066" s="7">
        <v>46285.015282163164</v>
      </c>
      <c r="G28066" s="3" t="s">
        <v>17660</v>
      </c>
    </row>
    <row r="28067">
      <c r="A28067" s="3" t="s">
        <v>44549</v>
      </c>
      <c r="B28067" s="3" t="s">
        <v>22507</v>
      </c>
      <c r="C28067" s="5" t="s">
        <v>206</v>
      </c>
      <c r="D28067" s="3" t="s">
        <v>68</v>
      </c>
      <c r="E28067" s="3" t="s">
        <v>100</v>
      </c>
      <c r="F28067" s="7">
        <v>46285.01875438538</v>
      </c>
      <c r="G28067" s="3" t="s">
        <v>17663</v>
      </c>
    </row>
    <row r="28068">
      <c r="A28068" s="3" t="s">
        <v>44550</v>
      </c>
      <c r="B28068" s="3" t="s">
        <v>22511</v>
      </c>
      <c r="C28068" s="5" t="s">
        <v>45</v>
      </c>
      <c r="D28068" s="3" t="s">
        <v>221</v>
      </c>
      <c r="E28068" s="3" t="s">
        <v>446</v>
      </c>
      <c r="F28068" s="7">
        <v>46285.07951256413</v>
      </c>
      <c r="G28068" s="3" t="s">
        <v>6408</v>
      </c>
    </row>
    <row r="28069">
      <c r="A28069" s="3" t="s">
        <v>44551</v>
      </c>
      <c r="B28069" s="3" t="s">
        <v>22511</v>
      </c>
      <c r="C28069" s="5" t="s">
        <v>221</v>
      </c>
      <c r="D28069" s="3" t="s">
        <v>614</v>
      </c>
      <c r="E28069" s="3" t="s">
        <v>118</v>
      </c>
      <c r="F28069" s="7">
        <v>46285.08298478635</v>
      </c>
      <c r="G28069" s="3" t="s">
        <v>6410</v>
      </c>
    </row>
    <row r="28070">
      <c r="A28070" s="3" t="s">
        <v>44552</v>
      </c>
      <c r="B28070" s="3" t="s">
        <v>22511</v>
      </c>
      <c r="C28070" s="5" t="s">
        <v>614</v>
      </c>
      <c r="D28070" s="3" t="s">
        <v>206</v>
      </c>
      <c r="E28070" s="3" t="s">
        <v>100</v>
      </c>
      <c r="F28070" s="7">
        <v>46285.086457008576</v>
      </c>
      <c r="G28070" s="3" t="s">
        <v>6413</v>
      </c>
    </row>
    <row r="28071">
      <c r="A28071" s="3" t="s">
        <v>44553</v>
      </c>
      <c r="B28071" s="3" t="s">
        <v>22511</v>
      </c>
      <c r="C28071" s="5" t="s">
        <v>206</v>
      </c>
      <c r="D28071" s="3" t="s">
        <v>68</v>
      </c>
      <c r="E28071" s="3" t="s">
        <v>100</v>
      </c>
      <c r="F28071" s="7">
        <v>46285.089929230795</v>
      </c>
      <c r="G28071" s="3" t="s">
        <v>6416</v>
      </c>
    </row>
    <row r="28072">
      <c r="A28072" s="3" t="s">
        <v>44554</v>
      </c>
      <c r="B28072" s="3" t="s">
        <v>22515</v>
      </c>
      <c r="C28072" s="5" t="s">
        <v>45</v>
      </c>
      <c r="D28072" s="3" t="s">
        <v>221</v>
      </c>
      <c r="E28072" s="3" t="s">
        <v>523</v>
      </c>
      <c r="F28072" s="7">
        <v>46285.15068740955</v>
      </c>
      <c r="G28072" s="3" t="s">
        <v>24209</v>
      </c>
    </row>
    <row r="28073">
      <c r="A28073" s="3" t="s">
        <v>44555</v>
      </c>
      <c r="B28073" s="3" t="s">
        <v>22515</v>
      </c>
      <c r="C28073" s="5" t="s">
        <v>221</v>
      </c>
      <c r="D28073" s="3" t="s">
        <v>614</v>
      </c>
      <c r="E28073" s="3" t="s">
        <v>118</v>
      </c>
      <c r="F28073" s="7">
        <v>46285.15415963177</v>
      </c>
      <c r="G28073" s="3" t="s">
        <v>24211</v>
      </c>
    </row>
    <row r="28074">
      <c r="A28074" s="3" t="s">
        <v>44556</v>
      </c>
      <c r="B28074" s="3" t="s">
        <v>22515</v>
      </c>
      <c r="C28074" s="5" t="s">
        <v>614</v>
      </c>
      <c r="D28074" s="3" t="s">
        <v>206</v>
      </c>
      <c r="E28074" s="3" t="s">
        <v>100</v>
      </c>
      <c r="F28074" s="7">
        <v>46285.157631853996</v>
      </c>
      <c r="G28074" s="3" t="s">
        <v>24213</v>
      </c>
    </row>
    <row r="28075">
      <c r="A28075" s="3" t="s">
        <v>44557</v>
      </c>
      <c r="B28075" s="3" t="s">
        <v>22515</v>
      </c>
      <c r="C28075" s="5" t="s">
        <v>206</v>
      </c>
      <c r="D28075" s="3" t="s">
        <v>68</v>
      </c>
      <c r="E28075" s="3" t="s">
        <v>100</v>
      </c>
      <c r="F28075" s="7">
        <v>46285.161104076215</v>
      </c>
      <c r="G28075" s="3" t="s">
        <v>24215</v>
      </c>
    </row>
    <row r="28076">
      <c r="A28076" s="3" t="s">
        <v>44558</v>
      </c>
      <c r="B28076" s="3" t="s">
        <v>22517</v>
      </c>
      <c r="C28076" s="5" t="s">
        <v>45</v>
      </c>
      <c r="D28076" s="3" t="s">
        <v>221</v>
      </c>
      <c r="E28076" s="3" t="s">
        <v>395</v>
      </c>
      <c r="F28076" s="7">
        <v>46285.22186225496</v>
      </c>
      <c r="G28076" s="3" t="s">
        <v>10092</v>
      </c>
    </row>
    <row r="28077">
      <c r="A28077" s="3" t="s">
        <v>44559</v>
      </c>
      <c r="B28077" s="3" t="s">
        <v>22517</v>
      </c>
      <c r="C28077" s="5" t="s">
        <v>221</v>
      </c>
      <c r="D28077" s="3" t="s">
        <v>614</v>
      </c>
      <c r="E28077" s="3" t="s">
        <v>118</v>
      </c>
      <c r="F28077" s="7">
        <v>46285.22533447718</v>
      </c>
      <c r="G28077" s="3" t="s">
        <v>10095</v>
      </c>
    </row>
    <row r="28078">
      <c r="A28078" s="3" t="s">
        <v>44560</v>
      </c>
      <c r="B28078" s="3" t="s">
        <v>22517</v>
      </c>
      <c r="C28078" s="5" t="s">
        <v>614</v>
      </c>
      <c r="D28078" s="3" t="s">
        <v>206</v>
      </c>
      <c r="E28078" s="3" t="s">
        <v>100</v>
      </c>
      <c r="F28078" s="7">
        <v>46285.22880669941</v>
      </c>
      <c r="G28078" s="3" t="s">
        <v>10099</v>
      </c>
    </row>
    <row r="28079">
      <c r="A28079" s="3" t="s">
        <v>44561</v>
      </c>
      <c r="B28079" s="3" t="s">
        <v>22517</v>
      </c>
      <c r="C28079" s="5" t="s">
        <v>206</v>
      </c>
      <c r="D28079" s="3" t="s">
        <v>68</v>
      </c>
      <c r="E28079" s="3" t="s">
        <v>100</v>
      </c>
      <c r="F28079" s="7">
        <v>46285.23227892163</v>
      </c>
      <c r="G28079" s="3" t="s">
        <v>10102</v>
      </c>
    </row>
    <row r="28080">
      <c r="A28080" s="3" t="s">
        <v>44562</v>
      </c>
      <c r="B28080" s="3" t="s">
        <v>22519</v>
      </c>
      <c r="C28080" s="5" t="s">
        <v>45</v>
      </c>
      <c r="D28080" s="3" t="s">
        <v>221</v>
      </c>
      <c r="E28080" s="3" t="s">
        <v>811</v>
      </c>
      <c r="F28080" s="7">
        <v>46285.29303710038</v>
      </c>
      <c r="G28080" s="3" t="s">
        <v>25401</v>
      </c>
    </row>
    <row r="28081">
      <c r="A28081" s="3" t="s">
        <v>44563</v>
      </c>
      <c r="B28081" s="3" t="s">
        <v>22519</v>
      </c>
      <c r="C28081" s="5" t="s">
        <v>221</v>
      </c>
      <c r="D28081" s="3" t="s">
        <v>614</v>
      </c>
      <c r="E28081" s="3" t="s">
        <v>118</v>
      </c>
      <c r="F28081" s="7">
        <v>46285.2965093226</v>
      </c>
      <c r="G28081" s="3" t="s">
        <v>25403</v>
      </c>
    </row>
    <row r="28082">
      <c r="A28082" s="3" t="s">
        <v>44564</v>
      </c>
      <c r="B28082" s="3" t="s">
        <v>22519</v>
      </c>
      <c r="C28082" s="5" t="s">
        <v>614</v>
      </c>
      <c r="D28082" s="3" t="s">
        <v>206</v>
      </c>
      <c r="E28082" s="3" t="s">
        <v>100</v>
      </c>
      <c r="F28082" s="7">
        <v>46285.29998154483</v>
      </c>
      <c r="G28082" s="3" t="s">
        <v>25405</v>
      </c>
    </row>
    <row r="28083">
      <c r="A28083" s="3" t="s">
        <v>44565</v>
      </c>
      <c r="B28083" s="3" t="s">
        <v>22519</v>
      </c>
      <c r="C28083" s="5" t="s">
        <v>206</v>
      </c>
      <c r="D28083" s="3" t="s">
        <v>68</v>
      </c>
      <c r="E28083" s="3" t="s">
        <v>100</v>
      </c>
      <c r="F28083" s="7">
        <v>46285.30345376705</v>
      </c>
      <c r="G28083" s="3" t="s">
        <v>25407</v>
      </c>
    </row>
    <row r="28084">
      <c r="A28084" s="3" t="s">
        <v>44566</v>
      </c>
      <c r="B28084" s="3" t="s">
        <v>22521</v>
      </c>
      <c r="C28084" s="5" t="s">
        <v>45</v>
      </c>
      <c r="D28084" s="3" t="s">
        <v>221</v>
      </c>
      <c r="E28084" s="3" t="s">
        <v>848</v>
      </c>
      <c r="F28084" s="7">
        <v>46285.364211945795</v>
      </c>
      <c r="G28084" s="3" t="s">
        <v>15239</v>
      </c>
    </row>
    <row r="28085">
      <c r="A28085" s="3" t="s">
        <v>44567</v>
      </c>
      <c r="B28085" s="3" t="s">
        <v>22521</v>
      </c>
      <c r="C28085" s="5" t="s">
        <v>221</v>
      </c>
      <c r="D28085" s="3" t="s">
        <v>614</v>
      </c>
      <c r="E28085" s="3" t="s">
        <v>118</v>
      </c>
      <c r="F28085" s="7">
        <v>46285.36768416801</v>
      </c>
      <c r="G28085" s="3" t="s">
        <v>15242</v>
      </c>
    </row>
    <row r="28086">
      <c r="A28086" s="3" t="s">
        <v>44568</v>
      </c>
      <c r="B28086" s="3" t="s">
        <v>22521</v>
      </c>
      <c r="C28086" s="5" t="s">
        <v>614</v>
      </c>
      <c r="D28086" s="3" t="s">
        <v>206</v>
      </c>
      <c r="E28086" s="3" t="s">
        <v>100</v>
      </c>
      <c r="F28086" s="7">
        <v>46285.37115639024</v>
      </c>
      <c r="G28086" s="3" t="s">
        <v>15246</v>
      </c>
    </row>
    <row r="28087">
      <c r="A28087" s="3" t="s">
        <v>44569</v>
      </c>
      <c r="B28087" s="3" t="s">
        <v>22521</v>
      </c>
      <c r="C28087" s="5" t="s">
        <v>206</v>
      </c>
      <c r="D28087" s="3" t="s">
        <v>68</v>
      </c>
      <c r="E28087" s="3" t="s">
        <v>100</v>
      </c>
      <c r="F28087" s="7">
        <v>46285.37462861246</v>
      </c>
      <c r="G28087" s="3" t="s">
        <v>15249</v>
      </c>
    </row>
    <row r="28088">
      <c r="A28088" s="3" t="s">
        <v>44570</v>
      </c>
      <c r="B28088" s="3" t="s">
        <v>22523</v>
      </c>
      <c r="C28088" s="5" t="s">
        <v>45</v>
      </c>
      <c r="D28088" s="3" t="s">
        <v>221</v>
      </c>
      <c r="E28088" s="3" t="s">
        <v>541</v>
      </c>
      <c r="F28088" s="7">
        <v>46285.43538679121</v>
      </c>
      <c r="G28088" s="3" t="s">
        <v>20397</v>
      </c>
    </row>
    <row r="28089">
      <c r="A28089" s="3" t="s">
        <v>44571</v>
      </c>
      <c r="B28089" s="3" t="s">
        <v>22523</v>
      </c>
      <c r="C28089" s="5" t="s">
        <v>221</v>
      </c>
      <c r="D28089" s="3" t="s">
        <v>614</v>
      </c>
      <c r="E28089" s="3" t="s">
        <v>118</v>
      </c>
      <c r="F28089" s="7">
        <v>46285.438859013426</v>
      </c>
      <c r="G28089" s="3" t="s">
        <v>20400</v>
      </c>
    </row>
    <row r="28090">
      <c r="A28090" s="3" t="s">
        <v>44572</v>
      </c>
      <c r="B28090" s="3" t="s">
        <v>22523</v>
      </c>
      <c r="C28090" s="5" t="s">
        <v>614</v>
      </c>
      <c r="D28090" s="3" t="s">
        <v>206</v>
      </c>
      <c r="E28090" s="3" t="s">
        <v>100</v>
      </c>
      <c r="F28090" s="7">
        <v>46285.44233123565</v>
      </c>
      <c r="G28090" s="3" t="s">
        <v>20402</v>
      </c>
    </row>
    <row r="28091">
      <c r="A28091" s="3" t="s">
        <v>44573</v>
      </c>
      <c r="B28091" s="3" t="s">
        <v>22523</v>
      </c>
      <c r="C28091" s="5" t="s">
        <v>206</v>
      </c>
      <c r="D28091" s="3" t="s">
        <v>68</v>
      </c>
      <c r="E28091" s="3" t="s">
        <v>100</v>
      </c>
      <c r="F28091" s="7">
        <v>46285.44580345787</v>
      </c>
      <c r="G28091" s="3" t="s">
        <v>20405</v>
      </c>
    </row>
    <row r="28092">
      <c r="A28092" s="3" t="s">
        <v>44574</v>
      </c>
      <c r="B28092" s="3" t="s">
        <v>22525</v>
      </c>
      <c r="C28092" s="5" t="s">
        <v>45</v>
      </c>
      <c r="D28092" s="3" t="s">
        <v>221</v>
      </c>
      <c r="E28092" s="3" t="s">
        <v>816</v>
      </c>
      <c r="F28092" s="7">
        <v>46285.50656163663</v>
      </c>
      <c r="G28092" s="3" t="s">
        <v>17706</v>
      </c>
    </row>
    <row r="28093">
      <c r="A28093" s="3" t="s">
        <v>44575</v>
      </c>
      <c r="B28093" s="3" t="s">
        <v>22525</v>
      </c>
      <c r="C28093" s="5" t="s">
        <v>221</v>
      </c>
      <c r="D28093" s="3" t="s">
        <v>614</v>
      </c>
      <c r="E28093" s="3" t="s">
        <v>118</v>
      </c>
      <c r="F28093" s="7">
        <v>46285.510033858845</v>
      </c>
      <c r="G28093" s="3" t="s">
        <v>17709</v>
      </c>
    </row>
    <row r="28094">
      <c r="A28094" s="3" t="s">
        <v>44576</v>
      </c>
      <c r="B28094" s="3" t="s">
        <v>22525</v>
      </c>
      <c r="C28094" s="5" t="s">
        <v>614</v>
      </c>
      <c r="D28094" s="3" t="s">
        <v>206</v>
      </c>
      <c r="E28094" s="3" t="s">
        <v>100</v>
      </c>
      <c r="F28094" s="7">
        <v>46285.51350608107</v>
      </c>
      <c r="G28094" s="3" t="s">
        <v>17712</v>
      </c>
    </row>
    <row r="28095">
      <c r="A28095" s="3" t="s">
        <v>44577</v>
      </c>
      <c r="B28095" s="3" t="s">
        <v>22525</v>
      </c>
      <c r="C28095" s="5" t="s">
        <v>206</v>
      </c>
      <c r="D28095" s="3" t="s">
        <v>68</v>
      </c>
      <c r="E28095" s="3" t="s">
        <v>100</v>
      </c>
      <c r="F28095" s="7">
        <v>46285.51697830329</v>
      </c>
      <c r="G28095" s="3" t="s">
        <v>17715</v>
      </c>
    </row>
    <row r="28096">
      <c r="A28096" s="3" t="s">
        <v>44578</v>
      </c>
      <c r="B28096" s="3" t="s">
        <v>22527</v>
      </c>
      <c r="C28096" s="5" t="s">
        <v>45</v>
      </c>
      <c r="D28096" s="3" t="s">
        <v>221</v>
      </c>
      <c r="E28096" s="3" t="s">
        <v>156</v>
      </c>
      <c r="F28096" s="7">
        <v>46285.57773648204</v>
      </c>
      <c r="G28096" s="3" t="s">
        <v>25146</v>
      </c>
    </row>
    <row r="28097">
      <c r="A28097" s="3" t="s">
        <v>44579</v>
      </c>
      <c r="B28097" s="3" t="s">
        <v>22527</v>
      </c>
      <c r="C28097" s="5" t="s">
        <v>221</v>
      </c>
      <c r="D28097" s="3" t="s">
        <v>614</v>
      </c>
      <c r="E28097" s="3" t="s">
        <v>118</v>
      </c>
      <c r="F28097" s="7">
        <v>46285.58120870426</v>
      </c>
      <c r="G28097" s="3" t="s">
        <v>25148</v>
      </c>
    </row>
    <row r="28098">
      <c r="A28098" s="3" t="s">
        <v>44580</v>
      </c>
      <c r="B28098" s="3" t="s">
        <v>22527</v>
      </c>
      <c r="C28098" s="5" t="s">
        <v>614</v>
      </c>
      <c r="D28098" s="3" t="s">
        <v>206</v>
      </c>
      <c r="E28098" s="3" t="s">
        <v>100</v>
      </c>
      <c r="F28098" s="7">
        <v>46285.584680926484</v>
      </c>
      <c r="G28098" s="3" t="s">
        <v>25150</v>
      </c>
    </row>
    <row r="28099">
      <c r="A28099" s="3" t="s">
        <v>44581</v>
      </c>
      <c r="B28099" s="3" t="s">
        <v>22527</v>
      </c>
      <c r="C28099" s="5" t="s">
        <v>206</v>
      </c>
      <c r="D28099" s="3" t="s">
        <v>68</v>
      </c>
      <c r="E28099" s="3" t="s">
        <v>100</v>
      </c>
      <c r="F28099" s="7">
        <v>46285.5881531487</v>
      </c>
      <c r="G28099" s="3" t="s">
        <v>25152</v>
      </c>
    </row>
    <row r="28100">
      <c r="A28100" s="3" t="s">
        <v>44582</v>
      </c>
      <c r="B28100" s="3" t="s">
        <v>22529</v>
      </c>
      <c r="C28100" s="5" t="s">
        <v>45</v>
      </c>
      <c r="D28100" s="3" t="s">
        <v>221</v>
      </c>
      <c r="E28100" s="3" t="s">
        <v>516</v>
      </c>
      <c r="F28100" s="7">
        <v>46285.64891132745</v>
      </c>
      <c r="G28100" s="3" t="s">
        <v>15182</v>
      </c>
    </row>
    <row r="28101">
      <c r="A28101" s="3" t="s">
        <v>44583</v>
      </c>
      <c r="B28101" s="3" t="s">
        <v>22529</v>
      </c>
      <c r="C28101" s="5" t="s">
        <v>221</v>
      </c>
      <c r="D28101" s="3" t="s">
        <v>614</v>
      </c>
      <c r="E28101" s="3" t="s">
        <v>118</v>
      </c>
      <c r="F28101" s="7">
        <v>46285.65238354967</v>
      </c>
      <c r="G28101" s="3" t="s">
        <v>15185</v>
      </c>
    </row>
    <row r="28102">
      <c r="A28102" s="3" t="s">
        <v>44584</v>
      </c>
      <c r="B28102" s="3" t="s">
        <v>22529</v>
      </c>
      <c r="C28102" s="5" t="s">
        <v>614</v>
      </c>
      <c r="D28102" s="3" t="s">
        <v>206</v>
      </c>
      <c r="E28102" s="3" t="s">
        <v>100</v>
      </c>
      <c r="F28102" s="7">
        <v>46285.655855771896</v>
      </c>
      <c r="G28102" s="3" t="s">
        <v>15189</v>
      </c>
    </row>
    <row r="28103">
      <c r="A28103" s="3" t="s">
        <v>44585</v>
      </c>
      <c r="B28103" s="3" t="s">
        <v>22529</v>
      </c>
      <c r="C28103" s="5" t="s">
        <v>206</v>
      </c>
      <c r="D28103" s="3" t="s">
        <v>68</v>
      </c>
      <c r="E28103" s="3" t="s">
        <v>100</v>
      </c>
      <c r="F28103" s="7">
        <v>46285.659327994115</v>
      </c>
      <c r="G28103" s="3" t="s">
        <v>15192</v>
      </c>
    </row>
    <row r="28104">
      <c r="A28104" s="3" t="s">
        <v>44586</v>
      </c>
      <c r="B28104" s="3" t="s">
        <v>22531</v>
      </c>
      <c r="C28104" s="5" t="s">
        <v>45</v>
      </c>
      <c r="D28104" s="3" t="s">
        <v>221</v>
      </c>
      <c r="E28104" s="3" t="s">
        <v>391</v>
      </c>
      <c r="F28104" s="7">
        <v>46285.72008617287</v>
      </c>
      <c r="G28104" s="3" t="s">
        <v>17724</v>
      </c>
    </row>
    <row r="28105">
      <c r="A28105" s="3" t="s">
        <v>44587</v>
      </c>
      <c r="B28105" s="3" t="s">
        <v>22531</v>
      </c>
      <c r="C28105" s="5" t="s">
        <v>221</v>
      </c>
      <c r="D28105" s="3" t="s">
        <v>614</v>
      </c>
      <c r="E28105" s="3" t="s">
        <v>118</v>
      </c>
      <c r="F28105" s="7">
        <v>46285.72355839509</v>
      </c>
      <c r="G28105" s="3" t="s">
        <v>17727</v>
      </c>
    </row>
    <row r="28106">
      <c r="A28106" s="3" t="s">
        <v>44588</v>
      </c>
      <c r="B28106" s="3" t="s">
        <v>22531</v>
      </c>
      <c r="C28106" s="5" t="s">
        <v>614</v>
      </c>
      <c r="D28106" s="3" t="s">
        <v>206</v>
      </c>
      <c r="E28106" s="3" t="s">
        <v>100</v>
      </c>
      <c r="F28106" s="7">
        <v>46285.727030617316</v>
      </c>
      <c r="G28106" s="3" t="s">
        <v>17730</v>
      </c>
    </row>
    <row r="28107">
      <c r="A28107" s="3" t="s">
        <v>44589</v>
      </c>
      <c r="B28107" s="3" t="s">
        <v>22531</v>
      </c>
      <c r="C28107" s="5" t="s">
        <v>206</v>
      </c>
      <c r="D28107" s="3" t="s">
        <v>68</v>
      </c>
      <c r="E28107" s="3" t="s">
        <v>100</v>
      </c>
      <c r="F28107" s="7">
        <v>46285.730502839535</v>
      </c>
      <c r="G28107" s="3" t="s">
        <v>17733</v>
      </c>
    </row>
    <row r="28108">
      <c r="A28108" s="3" t="s">
        <v>44590</v>
      </c>
      <c r="B28108" s="3" t="s">
        <v>22535</v>
      </c>
      <c r="C28108" s="5" t="s">
        <v>45</v>
      </c>
      <c r="D28108" s="3" t="s">
        <v>221</v>
      </c>
      <c r="E28108" s="3" t="s">
        <v>156</v>
      </c>
      <c r="F28108" s="7">
        <v>46285.79126101828</v>
      </c>
      <c r="G28108" s="3" t="s">
        <v>2770</v>
      </c>
    </row>
    <row r="28109">
      <c r="A28109" s="3" t="s">
        <v>44591</v>
      </c>
      <c r="B28109" s="3" t="s">
        <v>22535</v>
      </c>
      <c r="C28109" s="5" t="s">
        <v>221</v>
      </c>
      <c r="D28109" s="3" t="s">
        <v>195</v>
      </c>
      <c r="E28109" s="3" t="s">
        <v>156</v>
      </c>
      <c r="F28109" s="7">
        <v>46285.7947332405</v>
      </c>
      <c r="G28109" s="3" t="s">
        <v>3055</v>
      </c>
    </row>
    <row r="28110">
      <c r="A28110" s="3" t="s">
        <v>44592</v>
      </c>
      <c r="B28110" s="3" t="s">
        <v>22538</v>
      </c>
      <c r="C28110" s="5" t="s">
        <v>45</v>
      </c>
      <c r="D28110" s="3" t="s">
        <v>221</v>
      </c>
      <c r="E28110" s="3" t="s">
        <v>717</v>
      </c>
      <c r="F28110" s="7">
        <v>46285.862435863695</v>
      </c>
      <c r="G28110" s="3" t="s">
        <v>2770</v>
      </c>
    </row>
    <row r="28111">
      <c r="A28111" s="3" t="s">
        <v>44593</v>
      </c>
      <c r="B28111" s="3" t="s">
        <v>22538</v>
      </c>
      <c r="C28111" s="5" t="s">
        <v>221</v>
      </c>
      <c r="D28111" s="3" t="s">
        <v>181</v>
      </c>
      <c r="E28111" s="3" t="s">
        <v>118</v>
      </c>
      <c r="F28111" s="7">
        <v>46285.865908085914</v>
      </c>
      <c r="G28111" s="3" t="s">
        <v>2774</v>
      </c>
    </row>
    <row r="28112">
      <c r="A28112" s="3" t="s">
        <v>44594</v>
      </c>
      <c r="B28112" s="3" t="s">
        <v>22541</v>
      </c>
      <c r="C28112" s="5" t="s">
        <v>45</v>
      </c>
      <c r="D28112" s="3" t="s">
        <v>221</v>
      </c>
      <c r="E28112" s="3" t="s">
        <v>524</v>
      </c>
      <c r="F28112" s="7">
        <v>46285.933610709115</v>
      </c>
      <c r="G28112" s="3" t="s">
        <v>17735</v>
      </c>
    </row>
    <row r="28113">
      <c r="A28113" s="3" t="s">
        <v>44595</v>
      </c>
      <c r="B28113" s="3" t="s">
        <v>22541</v>
      </c>
      <c r="C28113" s="5" t="s">
        <v>221</v>
      </c>
      <c r="D28113" s="3" t="s">
        <v>614</v>
      </c>
      <c r="E28113" s="3" t="s">
        <v>118</v>
      </c>
      <c r="F28113" s="7">
        <v>46285.937082931334</v>
      </c>
      <c r="G28113" s="3" t="s">
        <v>17738</v>
      </c>
    </row>
    <row r="28114">
      <c r="A28114" s="3" t="s">
        <v>44596</v>
      </c>
      <c r="B28114" s="3" t="s">
        <v>22541</v>
      </c>
      <c r="C28114" s="5" t="s">
        <v>614</v>
      </c>
      <c r="D28114" s="3" t="s">
        <v>206</v>
      </c>
      <c r="E28114" s="3" t="s">
        <v>100</v>
      </c>
      <c r="F28114" s="7">
        <v>46285.94055515356</v>
      </c>
      <c r="G28114" s="3" t="s">
        <v>17741</v>
      </c>
    </row>
    <row r="28115">
      <c r="A28115" s="3" t="s">
        <v>44597</v>
      </c>
      <c r="B28115" s="3" t="s">
        <v>22541</v>
      </c>
      <c r="C28115" s="5" t="s">
        <v>206</v>
      </c>
      <c r="D28115" s="3" t="s">
        <v>68</v>
      </c>
      <c r="E28115" s="3" t="s">
        <v>100</v>
      </c>
      <c r="F28115" s="7">
        <v>46285.94402737578</v>
      </c>
      <c r="G28115" s="3" t="s">
        <v>17744</v>
      </c>
    </row>
    <row r="28116">
      <c r="A28116" s="3" t="s">
        <v>44598</v>
      </c>
      <c r="B28116" s="3" t="s">
        <v>22545</v>
      </c>
      <c r="C28116" s="5" t="s">
        <v>45</v>
      </c>
      <c r="D28116" s="3" t="s">
        <v>221</v>
      </c>
      <c r="E28116" s="3" t="s">
        <v>800</v>
      </c>
      <c r="F28116" s="7">
        <v>46286.004785554534</v>
      </c>
      <c r="G28116" s="3" t="s">
        <v>17758</v>
      </c>
    </row>
    <row r="28117">
      <c r="A28117" s="3" t="s">
        <v>44599</v>
      </c>
      <c r="B28117" s="3" t="s">
        <v>22545</v>
      </c>
      <c r="C28117" s="5" t="s">
        <v>221</v>
      </c>
      <c r="D28117" s="3" t="s">
        <v>614</v>
      </c>
      <c r="E28117" s="3" t="s">
        <v>118</v>
      </c>
      <c r="F28117" s="7">
        <v>46286.00825777675</v>
      </c>
      <c r="G28117" s="3" t="s">
        <v>17761</v>
      </c>
    </row>
    <row r="28118">
      <c r="A28118" s="3" t="s">
        <v>44600</v>
      </c>
      <c r="B28118" s="3" t="s">
        <v>22545</v>
      </c>
      <c r="C28118" s="5" t="s">
        <v>614</v>
      </c>
      <c r="D28118" s="3" t="s">
        <v>206</v>
      </c>
      <c r="E28118" s="3" t="s">
        <v>100</v>
      </c>
      <c r="F28118" s="7">
        <v>46286.01172999898</v>
      </c>
      <c r="G28118" s="3" t="s">
        <v>17764</v>
      </c>
    </row>
    <row r="28119">
      <c r="A28119" s="3" t="s">
        <v>44601</v>
      </c>
      <c r="B28119" s="3" t="s">
        <v>22545</v>
      </c>
      <c r="C28119" s="5" t="s">
        <v>206</v>
      </c>
      <c r="D28119" s="3" t="s">
        <v>68</v>
      </c>
      <c r="E28119" s="3" t="s">
        <v>100</v>
      </c>
      <c r="F28119" s="7">
        <v>46286.0152022212</v>
      </c>
      <c r="G28119" s="3" t="s">
        <v>17767</v>
      </c>
    </row>
    <row r="28120">
      <c r="A28120" s="3" t="s">
        <v>44602</v>
      </c>
      <c r="B28120" s="3" t="s">
        <v>22548</v>
      </c>
      <c r="C28120" s="5" t="s">
        <v>45</v>
      </c>
      <c r="D28120" s="3" t="s">
        <v>221</v>
      </c>
      <c r="E28120" s="3" t="s">
        <v>629</v>
      </c>
      <c r="F28120" s="7">
        <v>46286.07596039994</v>
      </c>
      <c r="G28120" s="3" t="s">
        <v>16955</v>
      </c>
    </row>
    <row r="28121">
      <c r="A28121" s="3" t="s">
        <v>44603</v>
      </c>
      <c r="B28121" s="3" t="s">
        <v>22548</v>
      </c>
      <c r="C28121" s="5" t="s">
        <v>221</v>
      </c>
      <c r="D28121" s="3" t="s">
        <v>614</v>
      </c>
      <c r="E28121" s="3" t="s">
        <v>118</v>
      </c>
      <c r="F28121" s="7">
        <v>46286.07943262216</v>
      </c>
      <c r="G28121" s="3" t="s">
        <v>27739</v>
      </c>
    </row>
    <row r="28122">
      <c r="A28122" s="3" t="s">
        <v>44604</v>
      </c>
      <c r="B28122" s="3" t="s">
        <v>22548</v>
      </c>
      <c r="C28122" s="5" t="s">
        <v>614</v>
      </c>
      <c r="D28122" s="3" t="s">
        <v>206</v>
      </c>
      <c r="E28122" s="3" t="s">
        <v>100</v>
      </c>
      <c r="F28122" s="7">
        <v>46286.082904844385</v>
      </c>
      <c r="G28122" s="3" t="s">
        <v>27741</v>
      </c>
    </row>
    <row r="28123">
      <c r="A28123" s="3" t="s">
        <v>44605</v>
      </c>
      <c r="B28123" s="3" t="s">
        <v>22548</v>
      </c>
      <c r="C28123" s="5" t="s">
        <v>206</v>
      </c>
      <c r="D28123" s="3" t="s">
        <v>68</v>
      </c>
      <c r="E28123" s="3" t="s">
        <v>100</v>
      </c>
      <c r="F28123" s="7">
        <v>46286.086377066604</v>
      </c>
      <c r="G28123" s="3" t="s">
        <v>27743</v>
      </c>
    </row>
    <row r="28124">
      <c r="A28124" s="3" t="s">
        <v>44606</v>
      </c>
      <c r="B28124" s="3" t="s">
        <v>22551</v>
      </c>
      <c r="C28124" s="5" t="s">
        <v>45</v>
      </c>
      <c r="D28124" s="3" t="s">
        <v>221</v>
      </c>
      <c r="E28124" s="3" t="s">
        <v>496</v>
      </c>
      <c r="F28124" s="7">
        <v>46286.14713524536</v>
      </c>
      <c r="G28124" s="3" t="s">
        <v>10003</v>
      </c>
    </row>
    <row r="28125">
      <c r="A28125" s="3" t="s">
        <v>44607</v>
      </c>
      <c r="B28125" s="3" t="s">
        <v>22551</v>
      </c>
      <c r="C28125" s="5" t="s">
        <v>221</v>
      </c>
      <c r="D28125" s="3" t="s">
        <v>614</v>
      </c>
      <c r="E28125" s="3" t="s">
        <v>118</v>
      </c>
      <c r="F28125" s="7">
        <v>46286.15060746758</v>
      </c>
      <c r="G28125" s="3" t="s">
        <v>10007</v>
      </c>
    </row>
    <row r="28126">
      <c r="A28126" s="3" t="s">
        <v>44608</v>
      </c>
      <c r="B28126" s="3" t="s">
        <v>22551</v>
      </c>
      <c r="C28126" s="5" t="s">
        <v>614</v>
      </c>
      <c r="D28126" s="3" t="s">
        <v>206</v>
      </c>
      <c r="E28126" s="3" t="s">
        <v>100</v>
      </c>
      <c r="F28126" s="7">
        <v>46286.154079689804</v>
      </c>
      <c r="G28126" s="3" t="s">
        <v>10010</v>
      </c>
    </row>
    <row r="28127">
      <c r="A28127" s="3" t="s">
        <v>44609</v>
      </c>
      <c r="B28127" s="3" t="s">
        <v>22551</v>
      </c>
      <c r="C28127" s="5" t="s">
        <v>206</v>
      </c>
      <c r="D28127" s="3" t="s">
        <v>68</v>
      </c>
      <c r="E28127" s="3" t="s">
        <v>100</v>
      </c>
      <c r="F28127" s="7">
        <v>46286.15755191202</v>
      </c>
      <c r="G28127" s="3" t="s">
        <v>10013</v>
      </c>
    </row>
    <row r="28128">
      <c r="A28128" s="3" t="s">
        <v>44610</v>
      </c>
      <c r="B28128" s="3" t="s">
        <v>22554</v>
      </c>
      <c r="C28128" s="5" t="s">
        <v>45</v>
      </c>
      <c r="D28128" s="3" t="s">
        <v>221</v>
      </c>
      <c r="E28128" s="3" t="s">
        <v>652</v>
      </c>
      <c r="F28128" s="7">
        <v>46286.21831009078</v>
      </c>
      <c r="G28128" s="3" t="s">
        <v>11950</v>
      </c>
    </row>
    <row r="28129">
      <c r="A28129" s="3" t="s">
        <v>44611</v>
      </c>
      <c r="B28129" s="3" t="s">
        <v>22554</v>
      </c>
      <c r="C28129" s="5" t="s">
        <v>221</v>
      </c>
      <c r="D28129" s="3" t="s">
        <v>614</v>
      </c>
      <c r="E28129" s="3" t="s">
        <v>118</v>
      </c>
      <c r="F28129" s="7">
        <v>46286.221782313</v>
      </c>
      <c r="G28129" s="3" t="s">
        <v>11953</v>
      </c>
    </row>
    <row r="28130">
      <c r="A28130" s="3" t="s">
        <v>44612</v>
      </c>
      <c r="B28130" s="3" t="s">
        <v>22554</v>
      </c>
      <c r="C28130" s="5" t="s">
        <v>614</v>
      </c>
      <c r="D28130" s="3" t="s">
        <v>206</v>
      </c>
      <c r="E28130" s="3" t="s">
        <v>100</v>
      </c>
      <c r="F28130" s="7">
        <v>46286.225254535224</v>
      </c>
      <c r="G28130" s="3" t="s">
        <v>11956</v>
      </c>
    </row>
    <row r="28131">
      <c r="A28131" s="3" t="s">
        <v>44613</v>
      </c>
      <c r="B28131" s="3" t="s">
        <v>22554</v>
      </c>
      <c r="C28131" s="5" t="s">
        <v>206</v>
      </c>
      <c r="D28131" s="3" t="s">
        <v>68</v>
      </c>
      <c r="E28131" s="3" t="s">
        <v>100</v>
      </c>
      <c r="F28131" s="7">
        <v>46286.22872675744</v>
      </c>
      <c r="G28131" s="3" t="s">
        <v>11959</v>
      </c>
    </row>
    <row r="28132">
      <c r="A28132" s="3" t="s">
        <v>44614</v>
      </c>
      <c r="B28132" s="3" t="s">
        <v>22556</v>
      </c>
      <c r="C28132" s="5" t="s">
        <v>45</v>
      </c>
      <c r="D28132" s="3" t="s">
        <v>221</v>
      </c>
      <c r="E28132" s="3" t="s">
        <v>650</v>
      </c>
      <c r="F28132" s="7">
        <v>46286.28948493619</v>
      </c>
      <c r="G28132" s="3" t="s">
        <v>19394</v>
      </c>
    </row>
    <row r="28133">
      <c r="A28133" s="3" t="s">
        <v>44615</v>
      </c>
      <c r="B28133" s="3" t="s">
        <v>22556</v>
      </c>
      <c r="C28133" s="5" t="s">
        <v>221</v>
      </c>
      <c r="D28133" s="3" t="s">
        <v>614</v>
      </c>
      <c r="E28133" s="3" t="s">
        <v>118</v>
      </c>
      <c r="F28133" s="7">
        <v>46286.29295715841</v>
      </c>
      <c r="G28133" s="3" t="s">
        <v>19397</v>
      </c>
    </row>
    <row r="28134">
      <c r="A28134" s="3" t="s">
        <v>44616</v>
      </c>
      <c r="B28134" s="3" t="s">
        <v>22556</v>
      </c>
      <c r="C28134" s="5" t="s">
        <v>614</v>
      </c>
      <c r="D28134" s="3" t="s">
        <v>206</v>
      </c>
      <c r="E28134" s="3" t="s">
        <v>100</v>
      </c>
      <c r="F28134" s="7">
        <v>46286.296429380636</v>
      </c>
      <c r="G28134" s="3" t="s">
        <v>19400</v>
      </c>
    </row>
    <row r="28135">
      <c r="A28135" s="3" t="s">
        <v>44617</v>
      </c>
      <c r="B28135" s="3" t="s">
        <v>22556</v>
      </c>
      <c r="C28135" s="5" t="s">
        <v>206</v>
      </c>
      <c r="D28135" s="3" t="s">
        <v>68</v>
      </c>
      <c r="E28135" s="3" t="s">
        <v>100</v>
      </c>
      <c r="F28135" s="7">
        <v>46286.299901602855</v>
      </c>
      <c r="G28135" s="3" t="s">
        <v>19403</v>
      </c>
    </row>
    <row r="28136">
      <c r="A28136" s="3" t="s">
        <v>44618</v>
      </c>
      <c r="B28136" s="3" t="s">
        <v>22558</v>
      </c>
      <c r="C28136" s="5" t="s">
        <v>45</v>
      </c>
      <c r="D28136" s="3" t="s">
        <v>221</v>
      </c>
      <c r="E28136" s="3" t="s">
        <v>151</v>
      </c>
      <c r="F28136" s="7">
        <v>46286.3606597816</v>
      </c>
      <c r="G28136" s="3" t="s">
        <v>44619</v>
      </c>
    </row>
    <row r="28137">
      <c r="A28137" s="3" t="s">
        <v>44620</v>
      </c>
      <c r="B28137" s="3" t="s">
        <v>22558</v>
      </c>
      <c r="C28137" s="5" t="s">
        <v>221</v>
      </c>
      <c r="D28137" s="3" t="s">
        <v>181</v>
      </c>
      <c r="E28137" s="3" t="s">
        <v>118</v>
      </c>
      <c r="F28137" s="7">
        <v>46286.36413200382</v>
      </c>
      <c r="G28137" s="3" t="s">
        <v>44621</v>
      </c>
    </row>
    <row r="28138">
      <c r="A28138" s="3" t="s">
        <v>44622</v>
      </c>
      <c r="B28138" s="3" t="s">
        <v>22560</v>
      </c>
      <c r="C28138" s="5" t="s">
        <v>45</v>
      </c>
      <c r="D28138" s="3" t="s">
        <v>221</v>
      </c>
      <c r="E28138" s="3" t="s">
        <v>770</v>
      </c>
      <c r="F28138" s="7">
        <v>46286.43183462702</v>
      </c>
      <c r="G28138" s="3" t="s">
        <v>17785</v>
      </c>
    </row>
    <row r="28139">
      <c r="A28139" s="3" t="s">
        <v>44623</v>
      </c>
      <c r="B28139" s="3" t="s">
        <v>22560</v>
      </c>
      <c r="C28139" s="5" t="s">
        <v>221</v>
      </c>
      <c r="D28139" s="3" t="s">
        <v>614</v>
      </c>
      <c r="E28139" s="3" t="s">
        <v>118</v>
      </c>
      <c r="F28139" s="7">
        <v>46286.43530684924</v>
      </c>
      <c r="G28139" s="3" t="s">
        <v>17788</v>
      </c>
    </row>
    <row r="28140">
      <c r="A28140" s="3" t="s">
        <v>44624</v>
      </c>
      <c r="B28140" s="3" t="s">
        <v>22560</v>
      </c>
      <c r="C28140" s="5" t="s">
        <v>614</v>
      </c>
      <c r="D28140" s="3" t="s">
        <v>206</v>
      </c>
      <c r="E28140" s="3" t="s">
        <v>100</v>
      </c>
      <c r="F28140" s="7">
        <v>46286.43877907147</v>
      </c>
      <c r="G28140" s="3" t="s">
        <v>17791</v>
      </c>
    </row>
    <row r="28141">
      <c r="A28141" s="3" t="s">
        <v>44625</v>
      </c>
      <c r="B28141" s="3" t="s">
        <v>22560</v>
      </c>
      <c r="C28141" s="5" t="s">
        <v>206</v>
      </c>
      <c r="D28141" s="3" t="s">
        <v>68</v>
      </c>
      <c r="E28141" s="3" t="s">
        <v>100</v>
      </c>
      <c r="F28141" s="7">
        <v>46286.44225129369</v>
      </c>
      <c r="G28141" s="3" t="s">
        <v>17793</v>
      </c>
    </row>
    <row r="28142">
      <c r="A28142" s="3" t="s">
        <v>44626</v>
      </c>
      <c r="B28142" s="3" t="s">
        <v>22562</v>
      </c>
      <c r="C28142" s="5" t="s">
        <v>45</v>
      </c>
      <c r="D28142" s="3" t="s">
        <v>221</v>
      </c>
      <c r="E28142" s="3" t="s">
        <v>330</v>
      </c>
      <c r="F28142" s="7">
        <v>46286.503009472435</v>
      </c>
      <c r="G28142" s="3" t="s">
        <v>36537</v>
      </c>
    </row>
    <row r="28143">
      <c r="A28143" s="3" t="s">
        <v>44627</v>
      </c>
      <c r="B28143" s="3" t="s">
        <v>22562</v>
      </c>
      <c r="C28143" s="5" t="s">
        <v>221</v>
      </c>
      <c r="D28143" s="3" t="s">
        <v>614</v>
      </c>
      <c r="E28143" s="3" t="s">
        <v>118</v>
      </c>
      <c r="F28143" s="7">
        <v>46286.506481694654</v>
      </c>
      <c r="G28143" s="3" t="s">
        <v>36546</v>
      </c>
    </row>
    <row r="28144">
      <c r="A28144" s="3" t="s">
        <v>44628</v>
      </c>
      <c r="B28144" s="3" t="s">
        <v>22562</v>
      </c>
      <c r="C28144" s="5" t="s">
        <v>614</v>
      </c>
      <c r="D28144" s="3" t="s">
        <v>206</v>
      </c>
      <c r="E28144" s="3" t="s">
        <v>100</v>
      </c>
      <c r="F28144" s="7">
        <v>46286.50995391688</v>
      </c>
      <c r="G28144" s="3" t="s">
        <v>36548</v>
      </c>
    </row>
    <row r="28145">
      <c r="A28145" s="3" t="s">
        <v>44629</v>
      </c>
      <c r="B28145" s="3" t="s">
        <v>22562</v>
      </c>
      <c r="C28145" s="5" t="s">
        <v>206</v>
      </c>
      <c r="D28145" s="3" t="s">
        <v>68</v>
      </c>
      <c r="E28145" s="3" t="s">
        <v>100</v>
      </c>
      <c r="F28145" s="7">
        <v>46286.5134261391</v>
      </c>
      <c r="G28145" s="3" t="s">
        <v>36550</v>
      </c>
    </row>
    <row r="28146">
      <c r="A28146" s="3" t="s">
        <v>44630</v>
      </c>
      <c r="B28146" s="3" t="s">
        <v>22563</v>
      </c>
      <c r="C28146" s="5" t="s">
        <v>45</v>
      </c>
      <c r="D28146" s="3" t="s">
        <v>221</v>
      </c>
      <c r="E28146" s="3" t="s">
        <v>922</v>
      </c>
      <c r="F28146" s="7">
        <v>46286.57418431785</v>
      </c>
      <c r="G28146" s="3" t="s">
        <v>15629</v>
      </c>
    </row>
    <row r="28147">
      <c r="A28147" s="3" t="s">
        <v>44631</v>
      </c>
      <c r="B28147" s="3" t="s">
        <v>22563</v>
      </c>
      <c r="C28147" s="5" t="s">
        <v>221</v>
      </c>
      <c r="D28147" s="3" t="s">
        <v>614</v>
      </c>
      <c r="E28147" s="3" t="s">
        <v>118</v>
      </c>
      <c r="F28147" s="7">
        <v>46286.57765654007</v>
      </c>
      <c r="G28147" s="3" t="s">
        <v>15632</v>
      </c>
    </row>
    <row r="28148">
      <c r="A28148" s="3" t="s">
        <v>44632</v>
      </c>
      <c r="B28148" s="3" t="s">
        <v>22563</v>
      </c>
      <c r="C28148" s="5" t="s">
        <v>614</v>
      </c>
      <c r="D28148" s="3" t="s">
        <v>206</v>
      </c>
      <c r="E28148" s="3" t="s">
        <v>100</v>
      </c>
      <c r="F28148" s="7">
        <v>46286.58112876229</v>
      </c>
      <c r="G28148" s="3" t="s">
        <v>15634</v>
      </c>
    </row>
    <row r="28149">
      <c r="A28149" s="3" t="s">
        <v>44633</v>
      </c>
      <c r="B28149" s="3" t="s">
        <v>22563</v>
      </c>
      <c r="C28149" s="5" t="s">
        <v>206</v>
      </c>
      <c r="D28149" s="3" t="s">
        <v>68</v>
      </c>
      <c r="E28149" s="3" t="s">
        <v>100</v>
      </c>
      <c r="F28149" s="7">
        <v>46286.58460098451</v>
      </c>
      <c r="G28149" s="3" t="s">
        <v>15637</v>
      </c>
    </row>
    <row r="28150">
      <c r="A28150" s="3" t="s">
        <v>44634</v>
      </c>
      <c r="B28150" s="3" t="s">
        <v>22565</v>
      </c>
      <c r="C28150" s="5" t="s">
        <v>45</v>
      </c>
      <c r="D28150" s="3" t="s">
        <v>221</v>
      </c>
      <c r="E28150" s="3" t="s">
        <v>953</v>
      </c>
      <c r="F28150" s="7">
        <v>46286.64535916327</v>
      </c>
      <c r="G28150" s="3" t="s">
        <v>18140</v>
      </c>
    </row>
    <row r="28151">
      <c r="A28151" s="3" t="s">
        <v>44635</v>
      </c>
      <c r="B28151" s="3" t="s">
        <v>22565</v>
      </c>
      <c r="C28151" s="5" t="s">
        <v>221</v>
      </c>
      <c r="D28151" s="3" t="s">
        <v>614</v>
      </c>
      <c r="E28151" s="3" t="s">
        <v>118</v>
      </c>
      <c r="F28151" s="7">
        <v>46286.648831385486</v>
      </c>
      <c r="G28151" s="3" t="s">
        <v>18143</v>
      </c>
    </row>
    <row r="28152">
      <c r="A28152" s="3" t="s">
        <v>44636</v>
      </c>
      <c r="B28152" s="3" t="s">
        <v>22565</v>
      </c>
      <c r="C28152" s="5" t="s">
        <v>614</v>
      </c>
      <c r="D28152" s="3" t="s">
        <v>206</v>
      </c>
      <c r="E28152" s="3" t="s">
        <v>100</v>
      </c>
      <c r="F28152" s="7">
        <v>46286.65230360771</v>
      </c>
      <c r="G28152" s="3" t="s">
        <v>18146</v>
      </c>
    </row>
    <row r="28153">
      <c r="A28153" s="3" t="s">
        <v>44637</v>
      </c>
      <c r="B28153" s="3" t="s">
        <v>22565</v>
      </c>
      <c r="C28153" s="5" t="s">
        <v>206</v>
      </c>
      <c r="D28153" s="3" t="s">
        <v>68</v>
      </c>
      <c r="E28153" s="3" t="s">
        <v>100</v>
      </c>
      <c r="F28153" s="7">
        <v>46286.65577582993</v>
      </c>
      <c r="G28153" s="3" t="s">
        <v>18149</v>
      </c>
    </row>
    <row r="28154">
      <c r="A28154" s="3" t="s">
        <v>44638</v>
      </c>
      <c r="B28154" s="3" t="s">
        <v>22568</v>
      </c>
      <c r="C28154" s="5" t="s">
        <v>45</v>
      </c>
      <c r="D28154" s="3" t="s">
        <v>221</v>
      </c>
      <c r="E28154" s="3" t="s">
        <v>637</v>
      </c>
      <c r="F28154" s="7">
        <v>46286.71653400868</v>
      </c>
      <c r="G28154" s="3" t="s">
        <v>8065</v>
      </c>
    </row>
    <row r="28155">
      <c r="A28155" s="3" t="s">
        <v>44639</v>
      </c>
      <c r="B28155" s="3" t="s">
        <v>22568</v>
      </c>
      <c r="C28155" s="5" t="s">
        <v>221</v>
      </c>
      <c r="D28155" s="3" t="s">
        <v>614</v>
      </c>
      <c r="E28155" s="3" t="s">
        <v>118</v>
      </c>
      <c r="F28155" s="7">
        <v>46286.7200062309</v>
      </c>
      <c r="G28155" s="3" t="s">
        <v>22215</v>
      </c>
    </row>
    <row r="28156">
      <c r="A28156" s="3" t="s">
        <v>44640</v>
      </c>
      <c r="B28156" s="3" t="s">
        <v>22568</v>
      </c>
      <c r="C28156" s="5" t="s">
        <v>614</v>
      </c>
      <c r="D28156" s="3" t="s">
        <v>206</v>
      </c>
      <c r="E28156" s="3" t="s">
        <v>100</v>
      </c>
      <c r="F28156" s="7">
        <v>46286.723478453125</v>
      </c>
      <c r="G28156" s="3" t="s">
        <v>22218</v>
      </c>
    </row>
    <row r="28157">
      <c r="A28157" s="3" t="s">
        <v>44641</v>
      </c>
      <c r="B28157" s="3" t="s">
        <v>22568</v>
      </c>
      <c r="C28157" s="5" t="s">
        <v>206</v>
      </c>
      <c r="D28157" s="3" t="s">
        <v>68</v>
      </c>
      <c r="E28157" s="3" t="s">
        <v>100</v>
      </c>
      <c r="F28157" s="7">
        <v>46286.726950675344</v>
      </c>
      <c r="G28157" s="3" t="s">
        <v>22220</v>
      </c>
    </row>
    <row r="28158">
      <c r="A28158" s="3" t="s">
        <v>44642</v>
      </c>
      <c r="B28158" s="3" t="s">
        <v>22570</v>
      </c>
      <c r="C28158" s="5" t="s">
        <v>45</v>
      </c>
      <c r="D28158" s="3" t="s">
        <v>221</v>
      </c>
      <c r="E28158" s="3" t="s">
        <v>159</v>
      </c>
      <c r="F28158" s="7">
        <v>46286.78770885409</v>
      </c>
      <c r="G28158" s="3" t="s">
        <v>20882</v>
      </c>
    </row>
    <row r="28159">
      <c r="A28159" s="3" t="s">
        <v>44643</v>
      </c>
      <c r="B28159" s="3" t="s">
        <v>22570</v>
      </c>
      <c r="C28159" s="5" t="s">
        <v>221</v>
      </c>
      <c r="D28159" s="3" t="s">
        <v>614</v>
      </c>
      <c r="E28159" s="3" t="s">
        <v>118</v>
      </c>
      <c r="F28159" s="7">
        <v>46286.79118107631</v>
      </c>
      <c r="G28159" s="3" t="s">
        <v>20885</v>
      </c>
    </row>
    <row r="28160">
      <c r="A28160" s="3" t="s">
        <v>44644</v>
      </c>
      <c r="B28160" s="3" t="s">
        <v>22570</v>
      </c>
      <c r="C28160" s="5" t="s">
        <v>614</v>
      </c>
      <c r="D28160" s="3" t="s">
        <v>206</v>
      </c>
      <c r="E28160" s="3" t="s">
        <v>100</v>
      </c>
      <c r="F28160" s="7">
        <v>46286.79465329854</v>
      </c>
      <c r="G28160" s="3" t="s">
        <v>20888</v>
      </c>
    </row>
    <row r="28161">
      <c r="A28161" s="3" t="s">
        <v>44645</v>
      </c>
      <c r="B28161" s="3" t="s">
        <v>22570</v>
      </c>
      <c r="C28161" s="5" t="s">
        <v>206</v>
      </c>
      <c r="D28161" s="3" t="s">
        <v>68</v>
      </c>
      <c r="E28161" s="3" t="s">
        <v>100</v>
      </c>
      <c r="F28161" s="7">
        <v>46286.798125520756</v>
      </c>
      <c r="G28161" s="3" t="s">
        <v>20891</v>
      </c>
    </row>
    <row r="28162">
      <c r="A28162" s="3" t="s">
        <v>44646</v>
      </c>
      <c r="B28162" s="3" t="s">
        <v>22573</v>
      </c>
      <c r="C28162" s="5" t="s">
        <v>45</v>
      </c>
      <c r="D28162" s="3" t="s">
        <v>221</v>
      </c>
      <c r="E28162" s="3" t="s">
        <v>800</v>
      </c>
      <c r="F28162" s="7">
        <v>46286.85888369951</v>
      </c>
      <c r="G28162" s="3" t="s">
        <v>17822</v>
      </c>
    </row>
    <row r="28163">
      <c r="A28163" s="3" t="s">
        <v>44647</v>
      </c>
      <c r="B28163" s="3" t="s">
        <v>22573</v>
      </c>
      <c r="C28163" s="5" t="s">
        <v>221</v>
      </c>
      <c r="D28163" s="3" t="s">
        <v>614</v>
      </c>
      <c r="E28163" s="3" t="s">
        <v>118</v>
      </c>
      <c r="F28163" s="7">
        <v>46286.86235592173</v>
      </c>
      <c r="G28163" s="3" t="s">
        <v>17824</v>
      </c>
    </row>
    <row r="28164">
      <c r="A28164" s="3" t="s">
        <v>44648</v>
      </c>
      <c r="B28164" s="3" t="s">
        <v>22573</v>
      </c>
      <c r="C28164" s="5" t="s">
        <v>614</v>
      </c>
      <c r="D28164" s="3" t="s">
        <v>206</v>
      </c>
      <c r="E28164" s="3" t="s">
        <v>100</v>
      </c>
      <c r="F28164" s="7">
        <v>46286.86582814396</v>
      </c>
      <c r="G28164" s="3" t="s">
        <v>17826</v>
      </c>
    </row>
    <row r="28165">
      <c r="A28165" s="3" t="s">
        <v>44649</v>
      </c>
      <c r="B28165" s="3" t="s">
        <v>22573</v>
      </c>
      <c r="C28165" s="5" t="s">
        <v>206</v>
      </c>
      <c r="D28165" s="3" t="s">
        <v>68</v>
      </c>
      <c r="E28165" s="3" t="s">
        <v>100</v>
      </c>
      <c r="F28165" s="7">
        <v>46286.869300366176</v>
      </c>
      <c r="G28165" s="3" t="s">
        <v>17828</v>
      </c>
    </row>
    <row r="28166">
      <c r="A28166" s="3" t="s">
        <v>44650</v>
      </c>
      <c r="B28166" s="3" t="s">
        <v>22576</v>
      </c>
      <c r="C28166" s="5" t="s">
        <v>45</v>
      </c>
      <c r="D28166" s="3" t="s">
        <v>221</v>
      </c>
      <c r="E28166" s="3" t="s">
        <v>319</v>
      </c>
      <c r="F28166" s="7">
        <v>46286.930058544924</v>
      </c>
      <c r="G28166" s="3" t="s">
        <v>17831</v>
      </c>
    </row>
    <row r="28167">
      <c r="A28167" s="3" t="s">
        <v>44651</v>
      </c>
      <c r="B28167" s="3" t="s">
        <v>22576</v>
      </c>
      <c r="C28167" s="5" t="s">
        <v>221</v>
      </c>
      <c r="D28167" s="3" t="s">
        <v>614</v>
      </c>
      <c r="E28167" s="3" t="s">
        <v>118</v>
      </c>
      <c r="F28167" s="7">
        <v>46286.93353076714</v>
      </c>
      <c r="G28167" s="3" t="s">
        <v>17834</v>
      </c>
    </row>
    <row r="28168">
      <c r="A28168" s="3" t="s">
        <v>44652</v>
      </c>
      <c r="B28168" s="3" t="s">
        <v>22576</v>
      </c>
      <c r="C28168" s="5" t="s">
        <v>614</v>
      </c>
      <c r="D28168" s="3" t="s">
        <v>206</v>
      </c>
      <c r="E28168" s="3" t="s">
        <v>100</v>
      </c>
      <c r="F28168" s="7">
        <v>46286.93700298937</v>
      </c>
      <c r="G28168" s="3" t="s">
        <v>17837</v>
      </c>
    </row>
    <row r="28169">
      <c r="A28169" s="3" t="s">
        <v>44653</v>
      </c>
      <c r="B28169" s="3" t="s">
        <v>22576</v>
      </c>
      <c r="C28169" s="5" t="s">
        <v>206</v>
      </c>
      <c r="D28169" s="3" t="s">
        <v>68</v>
      </c>
      <c r="E28169" s="3" t="s">
        <v>100</v>
      </c>
      <c r="F28169" s="7">
        <v>46286.94047521159</v>
      </c>
      <c r="G28169" s="3" t="s">
        <v>17840</v>
      </c>
    </row>
    <row r="28170">
      <c r="A28170" s="3" t="s">
        <v>44654</v>
      </c>
      <c r="B28170" s="3" t="s">
        <v>22579</v>
      </c>
      <c r="C28170" s="5" t="s">
        <v>45</v>
      </c>
      <c r="D28170" s="3" t="s">
        <v>221</v>
      </c>
      <c r="E28170" s="3" t="s">
        <v>488</v>
      </c>
      <c r="F28170" s="7">
        <v>46287.00123339034</v>
      </c>
      <c r="G28170" s="3" t="s">
        <v>17854</v>
      </c>
    </row>
    <row r="28171">
      <c r="A28171" s="3" t="s">
        <v>44655</v>
      </c>
      <c r="B28171" s="3" t="s">
        <v>22579</v>
      </c>
      <c r="C28171" s="5" t="s">
        <v>221</v>
      </c>
      <c r="D28171" s="3" t="s">
        <v>614</v>
      </c>
      <c r="E28171" s="3" t="s">
        <v>118</v>
      </c>
      <c r="F28171" s="7">
        <v>46287.00470561256</v>
      </c>
      <c r="G28171" s="3" t="s">
        <v>17857</v>
      </c>
    </row>
    <row r="28172">
      <c r="A28172" s="3" t="s">
        <v>44656</v>
      </c>
      <c r="B28172" s="3" t="s">
        <v>22579</v>
      </c>
      <c r="C28172" s="5" t="s">
        <v>614</v>
      </c>
      <c r="D28172" s="3" t="s">
        <v>206</v>
      </c>
      <c r="E28172" s="3" t="s">
        <v>100</v>
      </c>
      <c r="F28172" s="7">
        <v>46287.00817783479</v>
      </c>
      <c r="G28172" s="3" t="s">
        <v>17860</v>
      </c>
    </row>
    <row r="28173">
      <c r="A28173" s="3" t="s">
        <v>44657</v>
      </c>
      <c r="B28173" s="3" t="s">
        <v>22579</v>
      </c>
      <c r="C28173" s="5" t="s">
        <v>206</v>
      </c>
      <c r="D28173" s="3" t="s">
        <v>68</v>
      </c>
      <c r="E28173" s="3" t="s">
        <v>100</v>
      </c>
      <c r="F28173" s="7">
        <v>46287.01165005701</v>
      </c>
      <c r="G28173" s="3" t="s">
        <v>17863</v>
      </c>
    </row>
    <row r="28174">
      <c r="A28174" s="3" t="s">
        <v>44658</v>
      </c>
      <c r="B28174" s="3" t="s">
        <v>22582</v>
      </c>
      <c r="C28174" s="5" t="s">
        <v>45</v>
      </c>
      <c r="D28174" s="3" t="s">
        <v>221</v>
      </c>
      <c r="E28174" s="3" t="s">
        <v>600</v>
      </c>
      <c r="F28174" s="7">
        <v>46287.072408235756</v>
      </c>
      <c r="G28174" s="3" t="s">
        <v>16833</v>
      </c>
    </row>
    <row r="28175">
      <c r="A28175" s="3" t="s">
        <v>44659</v>
      </c>
      <c r="B28175" s="3" t="s">
        <v>22582</v>
      </c>
      <c r="C28175" s="5" t="s">
        <v>221</v>
      </c>
      <c r="D28175" s="3" t="s">
        <v>614</v>
      </c>
      <c r="E28175" s="3" t="s">
        <v>118</v>
      </c>
      <c r="F28175" s="7">
        <v>46287.075880457975</v>
      </c>
      <c r="G28175" s="3" t="s">
        <v>16836</v>
      </c>
    </row>
    <row r="28176">
      <c r="A28176" s="3" t="s">
        <v>44660</v>
      </c>
      <c r="B28176" s="3" t="s">
        <v>22582</v>
      </c>
      <c r="C28176" s="5" t="s">
        <v>614</v>
      </c>
      <c r="D28176" s="3" t="s">
        <v>206</v>
      </c>
      <c r="E28176" s="3" t="s">
        <v>100</v>
      </c>
      <c r="F28176" s="7">
        <v>46287.0793526802</v>
      </c>
      <c r="G28176" s="3" t="s">
        <v>16839</v>
      </c>
    </row>
    <row r="28177">
      <c r="A28177" s="3" t="s">
        <v>44661</v>
      </c>
      <c r="B28177" s="3" t="s">
        <v>22582</v>
      </c>
      <c r="C28177" s="5" t="s">
        <v>206</v>
      </c>
      <c r="D28177" s="3" t="s">
        <v>68</v>
      </c>
      <c r="E28177" s="3" t="s">
        <v>100</v>
      </c>
      <c r="F28177" s="7">
        <v>46287.08282490242</v>
      </c>
      <c r="G28177" s="3" t="s">
        <v>16842</v>
      </c>
    </row>
    <row r="28178">
      <c r="A28178" s="3" t="s">
        <v>44662</v>
      </c>
      <c r="B28178" s="3" t="s">
        <v>22584</v>
      </c>
      <c r="C28178" s="5" t="s">
        <v>45</v>
      </c>
      <c r="D28178" s="3" t="s">
        <v>221</v>
      </c>
      <c r="E28178" s="3" t="s">
        <v>204</v>
      </c>
      <c r="F28178" s="7">
        <v>46287.143583081175</v>
      </c>
      <c r="G28178" s="3" t="s">
        <v>24654</v>
      </c>
    </row>
    <row r="28179">
      <c r="A28179" s="3" t="s">
        <v>44663</v>
      </c>
      <c r="B28179" s="3" t="s">
        <v>22584</v>
      </c>
      <c r="C28179" s="5" t="s">
        <v>221</v>
      </c>
      <c r="D28179" s="3" t="s">
        <v>614</v>
      </c>
      <c r="E28179" s="3" t="s">
        <v>118</v>
      </c>
      <c r="F28179" s="7">
        <v>46287.147055303394</v>
      </c>
      <c r="G28179" s="3" t="s">
        <v>27459</v>
      </c>
    </row>
    <row r="28180">
      <c r="A28180" s="3" t="s">
        <v>44664</v>
      </c>
      <c r="B28180" s="3" t="s">
        <v>22584</v>
      </c>
      <c r="C28180" s="5" t="s">
        <v>614</v>
      </c>
      <c r="D28180" s="3" t="s">
        <v>206</v>
      </c>
      <c r="E28180" s="3" t="s">
        <v>100</v>
      </c>
      <c r="F28180" s="7">
        <v>46287.15052752562</v>
      </c>
      <c r="G28180" s="3" t="s">
        <v>27461</v>
      </c>
    </row>
    <row r="28181">
      <c r="A28181" s="3" t="s">
        <v>44665</v>
      </c>
      <c r="B28181" s="3" t="s">
        <v>22584</v>
      </c>
      <c r="C28181" s="5" t="s">
        <v>206</v>
      </c>
      <c r="D28181" s="3" t="s">
        <v>68</v>
      </c>
      <c r="E28181" s="3" t="s">
        <v>100</v>
      </c>
      <c r="F28181" s="7">
        <v>46287.15399974784</v>
      </c>
      <c r="G28181" s="3" t="s">
        <v>27463</v>
      </c>
    </row>
    <row r="28182">
      <c r="A28182" s="3" t="s">
        <v>44666</v>
      </c>
      <c r="B28182" s="3" t="s">
        <v>22586</v>
      </c>
      <c r="C28182" s="5" t="s">
        <v>45</v>
      </c>
      <c r="D28182" s="3" t="s">
        <v>221</v>
      </c>
      <c r="E28182" s="3" t="s">
        <v>848</v>
      </c>
      <c r="F28182" s="7">
        <v>46287.21475792658</v>
      </c>
      <c r="G28182" s="3" t="s">
        <v>15618</v>
      </c>
    </row>
    <row r="28183">
      <c r="A28183" s="3" t="s">
        <v>44667</v>
      </c>
      <c r="B28183" s="3" t="s">
        <v>22586</v>
      </c>
      <c r="C28183" s="5" t="s">
        <v>221</v>
      </c>
      <c r="D28183" s="3" t="s">
        <v>614</v>
      </c>
      <c r="E28183" s="3" t="s">
        <v>118</v>
      </c>
      <c r="F28183" s="7">
        <v>46287.2182301488</v>
      </c>
      <c r="G28183" s="3" t="s">
        <v>15620</v>
      </c>
    </row>
    <row r="28184">
      <c r="A28184" s="3" t="s">
        <v>44668</v>
      </c>
      <c r="B28184" s="3" t="s">
        <v>22586</v>
      </c>
      <c r="C28184" s="5" t="s">
        <v>614</v>
      </c>
      <c r="D28184" s="3" t="s">
        <v>206</v>
      </c>
      <c r="E28184" s="3" t="s">
        <v>100</v>
      </c>
      <c r="F28184" s="7">
        <v>46287.221702371025</v>
      </c>
      <c r="G28184" s="3" t="s">
        <v>15623</v>
      </c>
    </row>
    <row r="28185">
      <c r="A28185" s="3" t="s">
        <v>44669</v>
      </c>
      <c r="B28185" s="3" t="s">
        <v>22586</v>
      </c>
      <c r="C28185" s="5" t="s">
        <v>206</v>
      </c>
      <c r="D28185" s="3" t="s">
        <v>68</v>
      </c>
      <c r="E28185" s="3" t="s">
        <v>100</v>
      </c>
      <c r="F28185" s="7">
        <v>46287.225174593244</v>
      </c>
      <c r="G28185" s="3" t="s">
        <v>15626</v>
      </c>
    </row>
    <row r="28186">
      <c r="A28186" s="3" t="s">
        <v>44670</v>
      </c>
      <c r="B28186" s="3" t="s">
        <v>22588</v>
      </c>
      <c r="C28186" s="5" t="s">
        <v>45</v>
      </c>
      <c r="D28186" s="3" t="s">
        <v>221</v>
      </c>
      <c r="E28186" s="3" t="s">
        <v>440</v>
      </c>
      <c r="F28186" s="7">
        <v>46287.285932772</v>
      </c>
      <c r="G28186" s="3" t="s">
        <v>17911</v>
      </c>
    </row>
    <row r="28187">
      <c r="A28187" s="3" t="s">
        <v>44671</v>
      </c>
      <c r="B28187" s="3" t="s">
        <v>22588</v>
      </c>
      <c r="C28187" s="5" t="s">
        <v>221</v>
      </c>
      <c r="D28187" s="3" t="s">
        <v>614</v>
      </c>
      <c r="E28187" s="3" t="s">
        <v>118</v>
      </c>
      <c r="F28187" s="7">
        <v>46287.28940499422</v>
      </c>
      <c r="G28187" s="3" t="s">
        <v>17914</v>
      </c>
    </row>
    <row r="28188">
      <c r="A28188" s="3" t="s">
        <v>44672</v>
      </c>
      <c r="B28188" s="3" t="s">
        <v>22588</v>
      </c>
      <c r="C28188" s="5" t="s">
        <v>614</v>
      </c>
      <c r="D28188" s="3" t="s">
        <v>206</v>
      </c>
      <c r="E28188" s="3" t="s">
        <v>100</v>
      </c>
      <c r="F28188" s="7">
        <v>46287.292877216445</v>
      </c>
      <c r="G28188" s="3" t="s">
        <v>17917</v>
      </c>
    </row>
    <row r="28189">
      <c r="A28189" s="3" t="s">
        <v>44673</v>
      </c>
      <c r="B28189" s="3" t="s">
        <v>22588</v>
      </c>
      <c r="C28189" s="5" t="s">
        <v>206</v>
      </c>
      <c r="D28189" s="3" t="s">
        <v>68</v>
      </c>
      <c r="E28189" s="3" t="s">
        <v>100</v>
      </c>
      <c r="F28189" s="7">
        <v>46287.296349438664</v>
      </c>
      <c r="G28189" s="3" t="s">
        <v>17920</v>
      </c>
    </row>
    <row r="28190">
      <c r="A28190" s="3" t="s">
        <v>44674</v>
      </c>
      <c r="B28190" s="3" t="s">
        <v>22590</v>
      </c>
      <c r="C28190" s="5" t="s">
        <v>45</v>
      </c>
      <c r="D28190" s="3" t="s">
        <v>221</v>
      </c>
      <c r="E28190" s="3" t="s">
        <v>135</v>
      </c>
      <c r="F28190" s="7">
        <v>46287.35710761742</v>
      </c>
      <c r="G28190" s="3" t="s">
        <v>2770</v>
      </c>
    </row>
    <row r="28191">
      <c r="A28191" s="3" t="s">
        <v>44675</v>
      </c>
      <c r="B28191" s="3" t="s">
        <v>22590</v>
      </c>
      <c r="C28191" s="5" t="s">
        <v>221</v>
      </c>
      <c r="D28191" s="3" t="s">
        <v>195</v>
      </c>
      <c r="E28191" s="3" t="s">
        <v>135</v>
      </c>
      <c r="F28191" s="7">
        <v>46287.36057983964</v>
      </c>
      <c r="G28191" s="3" t="s">
        <v>3055</v>
      </c>
    </row>
    <row r="28192">
      <c r="A28192" s="3" t="s">
        <v>44676</v>
      </c>
      <c r="B28192" s="3" t="s">
        <v>22592</v>
      </c>
      <c r="C28192" s="5" t="s">
        <v>45</v>
      </c>
      <c r="D28192" s="3" t="s">
        <v>221</v>
      </c>
      <c r="E28192" s="3" t="s">
        <v>722</v>
      </c>
      <c r="F28192" s="7">
        <v>46287.42828246283</v>
      </c>
      <c r="G28192" s="3" t="s">
        <v>13840</v>
      </c>
    </row>
    <row r="28193">
      <c r="A28193" s="3" t="s">
        <v>44677</v>
      </c>
      <c r="B28193" s="3" t="s">
        <v>22592</v>
      </c>
      <c r="C28193" s="5" t="s">
        <v>221</v>
      </c>
      <c r="D28193" s="3" t="s">
        <v>614</v>
      </c>
      <c r="E28193" s="3" t="s">
        <v>118</v>
      </c>
      <c r="F28193" s="7">
        <v>46287.43175468505</v>
      </c>
      <c r="G28193" s="3" t="s">
        <v>13843</v>
      </c>
    </row>
    <row r="28194">
      <c r="A28194" s="3" t="s">
        <v>44678</v>
      </c>
      <c r="B28194" s="3" t="s">
        <v>22592</v>
      </c>
      <c r="C28194" s="5" t="s">
        <v>614</v>
      </c>
      <c r="D28194" s="3" t="s">
        <v>206</v>
      </c>
      <c r="E28194" s="3" t="s">
        <v>100</v>
      </c>
      <c r="F28194" s="7">
        <v>46287.43522690728</v>
      </c>
      <c r="G28194" s="3" t="s">
        <v>13846</v>
      </c>
    </row>
    <row r="28195">
      <c r="A28195" s="3" t="s">
        <v>44679</v>
      </c>
      <c r="B28195" s="3" t="s">
        <v>22592</v>
      </c>
      <c r="C28195" s="5" t="s">
        <v>206</v>
      </c>
      <c r="D28195" s="3" t="s">
        <v>68</v>
      </c>
      <c r="E28195" s="3" t="s">
        <v>100</v>
      </c>
      <c r="F28195" s="7">
        <v>46287.438699129496</v>
      </c>
      <c r="G28195" s="3" t="s">
        <v>13848</v>
      </c>
    </row>
    <row r="28196">
      <c r="A28196" s="3" t="s">
        <v>44680</v>
      </c>
      <c r="B28196" s="3" t="s">
        <v>22594</v>
      </c>
      <c r="C28196" s="5" t="s">
        <v>45</v>
      </c>
      <c r="D28196" s="3" t="s">
        <v>221</v>
      </c>
      <c r="E28196" s="3" t="s">
        <v>853</v>
      </c>
      <c r="F28196" s="7">
        <v>46287.499457308244</v>
      </c>
      <c r="G28196" s="3" t="s">
        <v>23596</v>
      </c>
    </row>
    <row r="28197">
      <c r="A28197" s="3" t="s">
        <v>44681</v>
      </c>
      <c r="B28197" s="3" t="s">
        <v>22594</v>
      </c>
      <c r="C28197" s="5" t="s">
        <v>221</v>
      </c>
      <c r="D28197" s="3" t="s">
        <v>614</v>
      </c>
      <c r="E28197" s="3" t="s">
        <v>118</v>
      </c>
      <c r="F28197" s="7">
        <v>46287.50292953046</v>
      </c>
      <c r="G28197" s="3" t="s">
        <v>23599</v>
      </c>
    </row>
    <row r="28198">
      <c r="A28198" s="3" t="s">
        <v>44682</v>
      </c>
      <c r="B28198" s="3" t="s">
        <v>22594</v>
      </c>
      <c r="C28198" s="5" t="s">
        <v>614</v>
      </c>
      <c r="D28198" s="3" t="s">
        <v>206</v>
      </c>
      <c r="E28198" s="3" t="s">
        <v>100</v>
      </c>
      <c r="F28198" s="7">
        <v>46287.50640175269</v>
      </c>
      <c r="G28198" s="3" t="s">
        <v>23603</v>
      </c>
    </row>
    <row r="28199">
      <c r="A28199" s="3" t="s">
        <v>44683</v>
      </c>
      <c r="B28199" s="3" t="s">
        <v>22594</v>
      </c>
      <c r="C28199" s="5" t="s">
        <v>206</v>
      </c>
      <c r="D28199" s="3" t="s">
        <v>68</v>
      </c>
      <c r="E28199" s="3" t="s">
        <v>100</v>
      </c>
      <c r="F28199" s="7">
        <v>46287.50987397491</v>
      </c>
      <c r="G28199" s="3" t="s">
        <v>23606</v>
      </c>
    </row>
    <row r="28200">
      <c r="A28200" s="3" t="s">
        <v>44684</v>
      </c>
      <c r="B28200" s="3" t="s">
        <v>22596</v>
      </c>
      <c r="C28200" s="5" t="s">
        <v>45</v>
      </c>
      <c r="D28200" s="3" t="s">
        <v>221</v>
      </c>
      <c r="E28200" s="3" t="s">
        <v>689</v>
      </c>
      <c r="F28200" s="7">
        <v>46287.57063215366</v>
      </c>
      <c r="G28200" s="3" t="s">
        <v>11915</v>
      </c>
    </row>
    <row r="28201">
      <c r="A28201" s="3" t="s">
        <v>44685</v>
      </c>
      <c r="B28201" s="3" t="s">
        <v>22596</v>
      </c>
      <c r="C28201" s="5" t="s">
        <v>221</v>
      </c>
      <c r="D28201" s="3" t="s">
        <v>181</v>
      </c>
      <c r="E28201" s="3" t="s">
        <v>118</v>
      </c>
      <c r="F28201" s="7">
        <v>46287.57410437588</v>
      </c>
      <c r="G28201" s="3" t="s">
        <v>44686</v>
      </c>
    </row>
    <row r="28202">
      <c r="A28202" s="3" t="s">
        <v>44687</v>
      </c>
      <c r="B28202" s="3" t="s">
        <v>22598</v>
      </c>
      <c r="C28202" s="5" t="s">
        <v>45</v>
      </c>
      <c r="D28202" s="3" t="s">
        <v>221</v>
      </c>
      <c r="E28202" s="3" t="s">
        <v>302</v>
      </c>
      <c r="F28202" s="7">
        <v>46287.641806999076</v>
      </c>
      <c r="G28202" s="3" t="s">
        <v>17975</v>
      </c>
    </row>
    <row r="28203">
      <c r="A28203" s="3" t="s">
        <v>44688</v>
      </c>
      <c r="B28203" s="3" t="s">
        <v>22598</v>
      </c>
      <c r="C28203" s="5" t="s">
        <v>221</v>
      </c>
      <c r="D28203" s="3" t="s">
        <v>614</v>
      </c>
      <c r="E28203" s="3" t="s">
        <v>118</v>
      </c>
      <c r="F28203" s="7">
        <v>46287.645279221295</v>
      </c>
      <c r="G28203" s="3" t="s">
        <v>17978</v>
      </c>
    </row>
    <row r="28204">
      <c r="A28204" s="3" t="s">
        <v>44689</v>
      </c>
      <c r="B28204" s="3" t="s">
        <v>22598</v>
      </c>
      <c r="C28204" s="5" t="s">
        <v>614</v>
      </c>
      <c r="D28204" s="3" t="s">
        <v>206</v>
      </c>
      <c r="E28204" s="3" t="s">
        <v>100</v>
      </c>
      <c r="F28204" s="7">
        <v>46287.64875144352</v>
      </c>
      <c r="G28204" s="3" t="s">
        <v>17981</v>
      </c>
    </row>
    <row r="28205">
      <c r="A28205" s="3" t="s">
        <v>44690</v>
      </c>
      <c r="B28205" s="3" t="s">
        <v>22598</v>
      </c>
      <c r="C28205" s="5" t="s">
        <v>206</v>
      </c>
      <c r="D28205" s="3" t="s">
        <v>68</v>
      </c>
      <c r="E28205" s="3" t="s">
        <v>100</v>
      </c>
      <c r="F28205" s="7">
        <v>46287.65222366574</v>
      </c>
      <c r="G28205" s="3" t="s">
        <v>17983</v>
      </c>
    </row>
    <row r="28206">
      <c r="A28206" s="3" t="s">
        <v>44691</v>
      </c>
      <c r="B28206" s="3" t="s">
        <v>22600</v>
      </c>
      <c r="C28206" s="5" t="s">
        <v>45</v>
      </c>
      <c r="D28206" s="3" t="s">
        <v>221</v>
      </c>
      <c r="E28206" s="3" t="s">
        <v>682</v>
      </c>
      <c r="F28206" s="7">
        <v>46287.71298184449</v>
      </c>
      <c r="G28206" s="3" t="s">
        <v>23792</v>
      </c>
    </row>
    <row r="28207">
      <c r="A28207" s="3" t="s">
        <v>44692</v>
      </c>
      <c r="B28207" s="3" t="s">
        <v>22600</v>
      </c>
      <c r="C28207" s="5" t="s">
        <v>221</v>
      </c>
      <c r="D28207" s="3" t="s">
        <v>181</v>
      </c>
      <c r="E28207" s="3" t="s">
        <v>118</v>
      </c>
      <c r="F28207" s="7">
        <v>46287.71645406671</v>
      </c>
      <c r="G28207" s="3" t="s">
        <v>44693</v>
      </c>
    </row>
    <row r="28208">
      <c r="A28208" s="3" t="s">
        <v>44694</v>
      </c>
      <c r="B28208" s="3" t="s">
        <v>22602</v>
      </c>
      <c r="C28208" s="5" t="s">
        <v>45</v>
      </c>
      <c r="D28208" s="3" t="s">
        <v>221</v>
      </c>
      <c r="E28208" s="3" t="s">
        <v>516</v>
      </c>
      <c r="F28208" s="7">
        <v>46287.78415668991</v>
      </c>
      <c r="G28208" s="3" t="s">
        <v>12294</v>
      </c>
    </row>
    <row r="28209">
      <c r="A28209" s="3" t="s">
        <v>44695</v>
      </c>
      <c r="B28209" s="3" t="s">
        <v>22602</v>
      </c>
      <c r="C28209" s="5" t="s">
        <v>221</v>
      </c>
      <c r="D28209" s="3" t="s">
        <v>614</v>
      </c>
      <c r="E28209" s="3" t="s">
        <v>118</v>
      </c>
      <c r="F28209" s="7">
        <v>46287.78762891213</v>
      </c>
      <c r="G28209" s="3" t="s">
        <v>16559</v>
      </c>
    </row>
    <row r="28210">
      <c r="A28210" s="3" t="s">
        <v>44696</v>
      </c>
      <c r="B28210" s="3" t="s">
        <v>22602</v>
      </c>
      <c r="C28210" s="5" t="s">
        <v>614</v>
      </c>
      <c r="D28210" s="3" t="s">
        <v>206</v>
      </c>
      <c r="E28210" s="3" t="s">
        <v>100</v>
      </c>
      <c r="F28210" s="7">
        <v>46287.79110113435</v>
      </c>
      <c r="G28210" s="3" t="s">
        <v>16562</v>
      </c>
    </row>
    <row r="28211">
      <c r="A28211" s="3" t="s">
        <v>44697</v>
      </c>
      <c r="B28211" s="3" t="s">
        <v>22602</v>
      </c>
      <c r="C28211" s="5" t="s">
        <v>206</v>
      </c>
      <c r="D28211" s="3" t="s">
        <v>68</v>
      </c>
      <c r="E28211" s="3" t="s">
        <v>100</v>
      </c>
      <c r="F28211" s="7">
        <v>46287.79457335657</v>
      </c>
      <c r="G28211" s="3" t="s">
        <v>16565</v>
      </c>
    </row>
    <row r="28212">
      <c r="A28212" s="3" t="s">
        <v>44698</v>
      </c>
      <c r="B28212" s="3" t="s">
        <v>22604</v>
      </c>
      <c r="C28212" s="5" t="s">
        <v>45</v>
      </c>
      <c r="D28212" s="3" t="s">
        <v>221</v>
      </c>
      <c r="E28212" s="3" t="s">
        <v>388</v>
      </c>
      <c r="F28212" s="7">
        <v>46287.85533153533</v>
      </c>
      <c r="G28212" s="3" t="s">
        <v>6300</v>
      </c>
    </row>
    <row r="28213">
      <c r="A28213" s="3" t="s">
        <v>44699</v>
      </c>
      <c r="B28213" s="3" t="s">
        <v>22604</v>
      </c>
      <c r="C28213" s="5" t="s">
        <v>221</v>
      </c>
      <c r="D28213" s="3" t="s">
        <v>614</v>
      </c>
      <c r="E28213" s="3" t="s">
        <v>118</v>
      </c>
      <c r="F28213" s="7">
        <v>46287.85880375755</v>
      </c>
      <c r="G28213" s="3" t="s">
        <v>6303</v>
      </c>
    </row>
    <row r="28214">
      <c r="A28214" s="3" t="s">
        <v>44700</v>
      </c>
      <c r="B28214" s="3" t="s">
        <v>22604</v>
      </c>
      <c r="C28214" s="5" t="s">
        <v>614</v>
      </c>
      <c r="D28214" s="3" t="s">
        <v>206</v>
      </c>
      <c r="E28214" s="3" t="s">
        <v>100</v>
      </c>
      <c r="F28214" s="7">
        <v>46287.86227597977</v>
      </c>
      <c r="G28214" s="3" t="s">
        <v>6305</v>
      </c>
    </row>
    <row r="28215">
      <c r="A28215" s="3" t="s">
        <v>44701</v>
      </c>
      <c r="B28215" s="3" t="s">
        <v>22604</v>
      </c>
      <c r="C28215" s="5" t="s">
        <v>206</v>
      </c>
      <c r="D28215" s="3" t="s">
        <v>68</v>
      </c>
      <c r="E28215" s="3" t="s">
        <v>100</v>
      </c>
      <c r="F28215" s="7">
        <v>46287.86574820199</v>
      </c>
      <c r="G28215" s="3" t="s">
        <v>6308</v>
      </c>
    </row>
    <row r="28216">
      <c r="A28216" s="3" t="s">
        <v>44702</v>
      </c>
      <c r="B28216" s="3" t="s">
        <v>22606</v>
      </c>
      <c r="C28216" s="5" t="s">
        <v>45</v>
      </c>
      <c r="D28216" s="3" t="s">
        <v>221</v>
      </c>
      <c r="E28216" s="3" t="s">
        <v>678</v>
      </c>
      <c r="F28216" s="7">
        <v>46287.92650638073</v>
      </c>
      <c r="G28216" s="3" t="s">
        <v>20033</v>
      </c>
    </row>
    <row r="28217">
      <c r="A28217" s="3" t="s">
        <v>44703</v>
      </c>
      <c r="B28217" s="3" t="s">
        <v>22606</v>
      </c>
      <c r="C28217" s="5" t="s">
        <v>221</v>
      </c>
      <c r="D28217" s="3" t="s">
        <v>614</v>
      </c>
      <c r="E28217" s="3" t="s">
        <v>118</v>
      </c>
      <c r="F28217" s="7">
        <v>46287.92997860295</v>
      </c>
      <c r="G28217" s="3" t="s">
        <v>22496</v>
      </c>
    </row>
    <row r="28218">
      <c r="A28218" s="3" t="s">
        <v>44704</v>
      </c>
      <c r="B28218" s="3" t="s">
        <v>22606</v>
      </c>
      <c r="C28218" s="5" t="s">
        <v>614</v>
      </c>
      <c r="D28218" s="3" t="s">
        <v>206</v>
      </c>
      <c r="E28218" s="3" t="s">
        <v>100</v>
      </c>
      <c r="F28218" s="7">
        <v>46287.93345082518</v>
      </c>
      <c r="G28218" s="3" t="s">
        <v>22499</v>
      </c>
    </row>
    <row r="28219">
      <c r="A28219" s="3" t="s">
        <v>44705</v>
      </c>
      <c r="B28219" s="3" t="s">
        <v>22606</v>
      </c>
      <c r="C28219" s="5" t="s">
        <v>206</v>
      </c>
      <c r="D28219" s="3" t="s">
        <v>68</v>
      </c>
      <c r="E28219" s="3" t="s">
        <v>100</v>
      </c>
      <c r="F28219" s="7">
        <v>46287.9369230474</v>
      </c>
      <c r="G28219" s="3" t="s">
        <v>22502</v>
      </c>
    </row>
    <row r="28220">
      <c r="A28220" s="3" t="s">
        <v>44706</v>
      </c>
      <c r="B28220" s="3" t="s">
        <v>22608</v>
      </c>
      <c r="C28220" s="5" t="s">
        <v>45</v>
      </c>
      <c r="D28220" s="3" t="s">
        <v>221</v>
      </c>
      <c r="E28220" s="3" t="s">
        <v>208</v>
      </c>
      <c r="F28220" s="7">
        <v>46287.99768122615</v>
      </c>
      <c r="G28220" s="3" t="s">
        <v>17998</v>
      </c>
    </row>
    <row r="28221">
      <c r="A28221" s="3" t="s">
        <v>44707</v>
      </c>
      <c r="B28221" s="3" t="s">
        <v>22608</v>
      </c>
      <c r="C28221" s="5" t="s">
        <v>221</v>
      </c>
      <c r="D28221" s="3" t="s">
        <v>614</v>
      </c>
      <c r="E28221" s="3" t="s">
        <v>118</v>
      </c>
      <c r="F28221" s="7">
        <v>46288.00115344837</v>
      </c>
      <c r="G28221" s="3" t="s">
        <v>18001</v>
      </c>
    </row>
    <row r="28222">
      <c r="A28222" s="3" t="s">
        <v>44708</v>
      </c>
      <c r="B28222" s="3" t="s">
        <v>22608</v>
      </c>
      <c r="C28222" s="5" t="s">
        <v>614</v>
      </c>
      <c r="D28222" s="3" t="s">
        <v>206</v>
      </c>
      <c r="E28222" s="3" t="s">
        <v>100</v>
      </c>
      <c r="F28222" s="7">
        <v>46288.0046256706</v>
      </c>
      <c r="G28222" s="3" t="s">
        <v>18003</v>
      </c>
    </row>
    <row r="28223">
      <c r="A28223" s="3" t="s">
        <v>44709</v>
      </c>
      <c r="B28223" s="3" t="s">
        <v>22608</v>
      </c>
      <c r="C28223" s="5" t="s">
        <v>206</v>
      </c>
      <c r="D28223" s="3" t="s">
        <v>68</v>
      </c>
      <c r="E28223" s="3" t="s">
        <v>100</v>
      </c>
      <c r="F28223" s="7">
        <v>46288.008097892816</v>
      </c>
      <c r="G28223" s="3" t="s">
        <v>18006</v>
      </c>
    </row>
    <row r="28224">
      <c r="A28224" s="3" t="s">
        <v>44710</v>
      </c>
      <c r="B28224" s="3" t="s">
        <v>22610</v>
      </c>
      <c r="C28224" s="5" t="s">
        <v>45</v>
      </c>
      <c r="D28224" s="3" t="s">
        <v>221</v>
      </c>
      <c r="E28224" s="3" t="s">
        <v>976</v>
      </c>
      <c r="F28224" s="7">
        <v>46288.068856071564</v>
      </c>
      <c r="G28224" s="3" t="s">
        <v>18051</v>
      </c>
    </row>
    <row r="28225">
      <c r="A28225" s="3" t="s">
        <v>44711</v>
      </c>
      <c r="B28225" s="3" t="s">
        <v>22610</v>
      </c>
      <c r="C28225" s="5" t="s">
        <v>221</v>
      </c>
      <c r="D28225" s="3" t="s">
        <v>614</v>
      </c>
      <c r="E28225" s="3" t="s">
        <v>118</v>
      </c>
      <c r="F28225" s="7">
        <v>46288.07232829378</v>
      </c>
      <c r="G28225" s="3" t="s">
        <v>18053</v>
      </c>
    </row>
    <row r="28226">
      <c r="A28226" s="3" t="s">
        <v>44712</v>
      </c>
      <c r="B28226" s="3" t="s">
        <v>22610</v>
      </c>
      <c r="C28226" s="5" t="s">
        <v>614</v>
      </c>
      <c r="D28226" s="3" t="s">
        <v>206</v>
      </c>
      <c r="E28226" s="3" t="s">
        <v>100</v>
      </c>
      <c r="F28226" s="7">
        <v>46288.07580051601</v>
      </c>
      <c r="G28226" s="3" t="s">
        <v>18056</v>
      </c>
    </row>
    <row r="28227">
      <c r="A28227" s="3" t="s">
        <v>44713</v>
      </c>
      <c r="B28227" s="3" t="s">
        <v>22610</v>
      </c>
      <c r="C28227" s="5" t="s">
        <v>206</v>
      </c>
      <c r="D28227" s="3" t="s">
        <v>68</v>
      </c>
      <c r="E28227" s="3" t="s">
        <v>100</v>
      </c>
      <c r="F28227" s="7">
        <v>46288.07927273823</v>
      </c>
      <c r="G28227" s="3" t="s">
        <v>18059</v>
      </c>
    </row>
    <row r="28228">
      <c r="A28228" s="3" t="s">
        <v>44714</v>
      </c>
      <c r="B28228" s="3" t="s">
        <v>22612</v>
      </c>
      <c r="C28228" s="5" t="s">
        <v>45</v>
      </c>
      <c r="D28228" s="3" t="s">
        <v>221</v>
      </c>
      <c r="E28228" s="3" t="s">
        <v>645</v>
      </c>
      <c r="F28228" s="7">
        <v>46288.140030916984</v>
      </c>
      <c r="G28228" s="3" t="s">
        <v>11839</v>
      </c>
    </row>
    <row r="28229">
      <c r="A28229" s="3" t="s">
        <v>44715</v>
      </c>
      <c r="B28229" s="3" t="s">
        <v>22612</v>
      </c>
      <c r="C28229" s="5" t="s">
        <v>221</v>
      </c>
      <c r="D28229" s="3" t="s">
        <v>614</v>
      </c>
      <c r="E28229" s="3" t="s">
        <v>118</v>
      </c>
      <c r="F28229" s="7">
        <v>46288.1435031392</v>
      </c>
      <c r="G28229" s="3" t="s">
        <v>11844</v>
      </c>
    </row>
    <row r="28230">
      <c r="A28230" s="3" t="s">
        <v>44716</v>
      </c>
      <c r="B28230" s="3" t="s">
        <v>22612</v>
      </c>
      <c r="C28230" s="5" t="s">
        <v>614</v>
      </c>
      <c r="D28230" s="3" t="s">
        <v>206</v>
      </c>
      <c r="E28230" s="3" t="s">
        <v>100</v>
      </c>
      <c r="F28230" s="7">
        <v>46288.14697536143</v>
      </c>
      <c r="G28230" s="3" t="s">
        <v>11848</v>
      </c>
    </row>
    <row r="28231">
      <c r="A28231" s="3" t="s">
        <v>44717</v>
      </c>
      <c r="B28231" s="3" t="s">
        <v>22612</v>
      </c>
      <c r="C28231" s="5" t="s">
        <v>206</v>
      </c>
      <c r="D28231" s="3" t="s">
        <v>68</v>
      </c>
      <c r="E28231" s="3" t="s">
        <v>100</v>
      </c>
      <c r="F28231" s="7">
        <v>46288.15044758365</v>
      </c>
      <c r="G28231" s="3" t="s">
        <v>11851</v>
      </c>
    </row>
    <row r="28232">
      <c r="A28232" s="3" t="s">
        <v>44718</v>
      </c>
      <c r="B28232" s="3" t="s">
        <v>22615</v>
      </c>
      <c r="C28232" s="5" t="s">
        <v>45</v>
      </c>
      <c r="D28232" s="3" t="s">
        <v>221</v>
      </c>
      <c r="E28232" s="3" t="s">
        <v>622</v>
      </c>
      <c r="F28232" s="7">
        <v>46288.211205762396</v>
      </c>
      <c r="G28232" s="3" t="s">
        <v>22223</v>
      </c>
    </row>
    <row r="28233">
      <c r="A28233" s="3" t="s">
        <v>44719</v>
      </c>
      <c r="B28233" s="3" t="s">
        <v>22615</v>
      </c>
      <c r="C28233" s="5" t="s">
        <v>221</v>
      </c>
      <c r="D28233" s="3" t="s">
        <v>614</v>
      </c>
      <c r="E28233" s="3" t="s">
        <v>118</v>
      </c>
      <c r="F28233" s="7">
        <v>46288.214677984615</v>
      </c>
      <c r="G28233" s="3" t="s">
        <v>22226</v>
      </c>
    </row>
    <row r="28234">
      <c r="A28234" s="3" t="s">
        <v>44720</v>
      </c>
      <c r="B28234" s="3" t="s">
        <v>22615</v>
      </c>
      <c r="C28234" s="5" t="s">
        <v>614</v>
      </c>
      <c r="D28234" s="3" t="s">
        <v>206</v>
      </c>
      <c r="E28234" s="3" t="s">
        <v>100</v>
      </c>
      <c r="F28234" s="7">
        <v>46288.21815020684</v>
      </c>
      <c r="G28234" s="3" t="s">
        <v>22229</v>
      </c>
    </row>
    <row r="28235">
      <c r="A28235" s="3" t="s">
        <v>44721</v>
      </c>
      <c r="B28235" s="3" t="s">
        <v>22615</v>
      </c>
      <c r="C28235" s="5" t="s">
        <v>206</v>
      </c>
      <c r="D28235" s="3" t="s">
        <v>68</v>
      </c>
      <c r="E28235" s="3" t="s">
        <v>100</v>
      </c>
      <c r="F28235" s="7">
        <v>46288.22162242906</v>
      </c>
      <c r="G28235" s="3" t="s">
        <v>22232</v>
      </c>
    </row>
    <row r="28236">
      <c r="A28236" s="3" t="s">
        <v>44722</v>
      </c>
      <c r="B28236" s="3" t="s">
        <v>22618</v>
      </c>
      <c r="C28236" s="5" t="s">
        <v>45</v>
      </c>
      <c r="D28236" s="3" t="s">
        <v>221</v>
      </c>
      <c r="E28236" s="3" t="s">
        <v>574</v>
      </c>
      <c r="F28236" s="7">
        <v>46288.282380607816</v>
      </c>
      <c r="G28236" s="3" t="s">
        <v>18069</v>
      </c>
    </row>
    <row r="28237">
      <c r="A28237" s="3" t="s">
        <v>44723</v>
      </c>
      <c r="B28237" s="3" t="s">
        <v>22618</v>
      </c>
      <c r="C28237" s="5" t="s">
        <v>221</v>
      </c>
      <c r="D28237" s="3" t="s">
        <v>614</v>
      </c>
      <c r="E28237" s="3" t="s">
        <v>118</v>
      </c>
      <c r="F28237" s="7">
        <v>46288.285852830035</v>
      </c>
      <c r="G28237" s="3" t="s">
        <v>18072</v>
      </c>
    </row>
    <row r="28238">
      <c r="A28238" s="3" t="s">
        <v>44724</v>
      </c>
      <c r="B28238" s="3" t="s">
        <v>22618</v>
      </c>
      <c r="C28238" s="5" t="s">
        <v>614</v>
      </c>
      <c r="D28238" s="3" t="s">
        <v>206</v>
      </c>
      <c r="E28238" s="3" t="s">
        <v>100</v>
      </c>
      <c r="F28238" s="7">
        <v>46288.28932505226</v>
      </c>
      <c r="G28238" s="3" t="s">
        <v>18075</v>
      </c>
    </row>
    <row r="28239">
      <c r="A28239" s="3" t="s">
        <v>44725</v>
      </c>
      <c r="B28239" s="3" t="s">
        <v>22618</v>
      </c>
      <c r="C28239" s="5" t="s">
        <v>206</v>
      </c>
      <c r="D28239" s="3" t="s">
        <v>68</v>
      </c>
      <c r="E28239" s="3" t="s">
        <v>100</v>
      </c>
      <c r="F28239" s="7">
        <v>46288.29279727448</v>
      </c>
      <c r="G28239" s="3" t="s">
        <v>18077</v>
      </c>
    </row>
    <row r="28240">
      <c r="A28240" s="3" t="s">
        <v>44726</v>
      </c>
      <c r="B28240" s="3" t="s">
        <v>22622</v>
      </c>
      <c r="C28240" s="5" t="s">
        <v>45</v>
      </c>
      <c r="D28240" s="3" t="s">
        <v>221</v>
      </c>
      <c r="E28240" s="3" t="s">
        <v>972</v>
      </c>
      <c r="F28240" s="7">
        <v>46288.35355545323</v>
      </c>
      <c r="G28240" s="3" t="s">
        <v>18151</v>
      </c>
    </row>
    <row r="28241">
      <c r="A28241" s="3" t="s">
        <v>44727</v>
      </c>
      <c r="B28241" s="3" t="s">
        <v>22622</v>
      </c>
      <c r="C28241" s="5" t="s">
        <v>221</v>
      </c>
      <c r="D28241" s="3" t="s">
        <v>614</v>
      </c>
      <c r="E28241" s="3" t="s">
        <v>118</v>
      </c>
      <c r="F28241" s="7">
        <v>46288.35702767545</v>
      </c>
      <c r="G28241" s="3" t="s">
        <v>18154</v>
      </c>
    </row>
    <row r="28242">
      <c r="A28242" s="3" t="s">
        <v>44728</v>
      </c>
      <c r="B28242" s="3" t="s">
        <v>22622</v>
      </c>
      <c r="C28242" s="5" t="s">
        <v>614</v>
      </c>
      <c r="D28242" s="3" t="s">
        <v>206</v>
      </c>
      <c r="E28242" s="3" t="s">
        <v>100</v>
      </c>
      <c r="F28242" s="7">
        <v>46288.36049989767</v>
      </c>
      <c r="G28242" s="3" t="s">
        <v>18157</v>
      </c>
    </row>
    <row r="28243">
      <c r="A28243" s="3" t="s">
        <v>44729</v>
      </c>
      <c r="B28243" s="3" t="s">
        <v>22622</v>
      </c>
      <c r="C28243" s="5" t="s">
        <v>206</v>
      </c>
      <c r="D28243" s="3" t="s">
        <v>68</v>
      </c>
      <c r="E28243" s="3" t="s">
        <v>100</v>
      </c>
      <c r="F28243" s="7">
        <v>46288.36397211989</v>
      </c>
      <c r="G28243" s="3" t="s">
        <v>18160</v>
      </c>
    </row>
    <row r="28244">
      <c r="A28244" s="3" t="s">
        <v>44730</v>
      </c>
      <c r="B28244" s="3" t="s">
        <v>22626</v>
      </c>
      <c r="C28244" s="5" t="s">
        <v>45</v>
      </c>
      <c r="D28244" s="3" t="s">
        <v>221</v>
      </c>
      <c r="E28244" s="3" t="s">
        <v>937</v>
      </c>
      <c r="F28244" s="7">
        <v>46288.42473029864</v>
      </c>
      <c r="G28244" s="3" t="s">
        <v>30157</v>
      </c>
    </row>
    <row r="28245">
      <c r="A28245" s="3" t="s">
        <v>44731</v>
      </c>
      <c r="B28245" s="3" t="s">
        <v>22626</v>
      </c>
      <c r="C28245" s="5" t="s">
        <v>221</v>
      </c>
      <c r="D28245" s="3" t="s">
        <v>614</v>
      </c>
      <c r="E28245" s="3" t="s">
        <v>118</v>
      </c>
      <c r="F28245" s="7">
        <v>46288.42820252086</v>
      </c>
      <c r="G28245" s="3" t="s">
        <v>30159</v>
      </c>
    </row>
    <row r="28246">
      <c r="A28246" s="3" t="s">
        <v>44732</v>
      </c>
      <c r="B28246" s="3" t="s">
        <v>22626</v>
      </c>
      <c r="C28246" s="5" t="s">
        <v>614</v>
      </c>
      <c r="D28246" s="3" t="s">
        <v>206</v>
      </c>
      <c r="E28246" s="3" t="s">
        <v>100</v>
      </c>
      <c r="F28246" s="7">
        <v>46288.431674743086</v>
      </c>
      <c r="G28246" s="3" t="s">
        <v>30161</v>
      </c>
    </row>
    <row r="28247">
      <c r="A28247" s="3" t="s">
        <v>44733</v>
      </c>
      <c r="B28247" s="3" t="s">
        <v>22626</v>
      </c>
      <c r="C28247" s="5" t="s">
        <v>206</v>
      </c>
      <c r="D28247" s="3" t="s">
        <v>68</v>
      </c>
      <c r="E28247" s="3" t="s">
        <v>100</v>
      </c>
      <c r="F28247" s="7">
        <v>46288.435146965305</v>
      </c>
      <c r="G28247" s="3" t="s">
        <v>30163</v>
      </c>
    </row>
    <row r="28248">
      <c r="A28248" s="3" t="s">
        <v>44734</v>
      </c>
      <c r="B28248" s="3" t="s">
        <v>22628</v>
      </c>
      <c r="C28248" s="5" t="s">
        <v>45</v>
      </c>
      <c r="D28248" s="3" t="s">
        <v>221</v>
      </c>
      <c r="E28248" s="3" t="s">
        <v>175</v>
      </c>
      <c r="F28248" s="7">
        <v>46288.49590514406</v>
      </c>
      <c r="G28248" s="3" t="s">
        <v>18196</v>
      </c>
    </row>
    <row r="28249">
      <c r="A28249" s="3" t="s">
        <v>44735</v>
      </c>
      <c r="B28249" s="3" t="s">
        <v>22628</v>
      </c>
      <c r="C28249" s="5" t="s">
        <v>221</v>
      </c>
      <c r="D28249" s="3" t="s">
        <v>614</v>
      </c>
      <c r="E28249" s="3" t="s">
        <v>118</v>
      </c>
      <c r="F28249" s="7">
        <v>46288.49937736628</v>
      </c>
      <c r="G28249" s="3" t="s">
        <v>18199</v>
      </c>
    </row>
    <row r="28250">
      <c r="A28250" s="3" t="s">
        <v>44736</v>
      </c>
      <c r="B28250" s="3" t="s">
        <v>22628</v>
      </c>
      <c r="C28250" s="5" t="s">
        <v>614</v>
      </c>
      <c r="D28250" s="3" t="s">
        <v>206</v>
      </c>
      <c r="E28250" s="3" t="s">
        <v>100</v>
      </c>
      <c r="F28250" s="7">
        <v>46288.502849588505</v>
      </c>
      <c r="G28250" s="3" t="s">
        <v>18202</v>
      </c>
    </row>
    <row r="28251">
      <c r="A28251" s="3" t="s">
        <v>44737</v>
      </c>
      <c r="B28251" s="3" t="s">
        <v>22628</v>
      </c>
      <c r="C28251" s="5" t="s">
        <v>206</v>
      </c>
      <c r="D28251" s="3" t="s">
        <v>68</v>
      </c>
      <c r="E28251" s="3" t="s">
        <v>100</v>
      </c>
      <c r="F28251" s="7">
        <v>46288.506321810724</v>
      </c>
      <c r="G28251" s="3" t="s">
        <v>18204</v>
      </c>
    </row>
    <row r="28252">
      <c r="A28252" s="3" t="s">
        <v>44738</v>
      </c>
      <c r="B28252" s="3" t="s">
        <v>22631</v>
      </c>
      <c r="C28252" s="5" t="s">
        <v>45</v>
      </c>
      <c r="D28252" s="3" t="s">
        <v>221</v>
      </c>
      <c r="E28252" s="3" t="s">
        <v>123</v>
      </c>
      <c r="F28252" s="7">
        <v>46288.56707998947</v>
      </c>
      <c r="G28252" s="3" t="s">
        <v>22769</v>
      </c>
    </row>
    <row r="28253">
      <c r="A28253" s="3" t="s">
        <v>44739</v>
      </c>
      <c r="B28253" s="3" t="s">
        <v>22631</v>
      </c>
      <c r="C28253" s="5" t="s">
        <v>221</v>
      </c>
      <c r="D28253" s="3" t="s">
        <v>614</v>
      </c>
      <c r="E28253" s="3" t="s">
        <v>118</v>
      </c>
      <c r="F28253" s="7">
        <v>46288.57055221169</v>
      </c>
      <c r="G28253" s="3" t="s">
        <v>22772</v>
      </c>
    </row>
    <row r="28254">
      <c r="A28254" s="3" t="s">
        <v>44740</v>
      </c>
      <c r="B28254" s="3" t="s">
        <v>22631</v>
      </c>
      <c r="C28254" s="5" t="s">
        <v>614</v>
      </c>
      <c r="D28254" s="3" t="s">
        <v>206</v>
      </c>
      <c r="E28254" s="3" t="s">
        <v>100</v>
      </c>
      <c r="F28254" s="7">
        <v>46288.57402443392</v>
      </c>
      <c r="G28254" s="3" t="s">
        <v>22775</v>
      </c>
    </row>
    <row r="28255">
      <c r="A28255" s="3" t="s">
        <v>44741</v>
      </c>
      <c r="B28255" s="3" t="s">
        <v>22631</v>
      </c>
      <c r="C28255" s="5" t="s">
        <v>206</v>
      </c>
      <c r="D28255" s="3" t="s">
        <v>68</v>
      </c>
      <c r="E28255" s="3" t="s">
        <v>100</v>
      </c>
      <c r="F28255" s="7">
        <v>46288.57749665614</v>
      </c>
      <c r="G28255" s="3" t="s">
        <v>22778</v>
      </c>
    </row>
    <row r="28256">
      <c r="A28256" s="3" t="s">
        <v>44742</v>
      </c>
      <c r="B28256" s="3" t="s">
        <v>22633</v>
      </c>
      <c r="C28256" s="5" t="s">
        <v>45</v>
      </c>
      <c r="D28256" s="3" t="s">
        <v>221</v>
      </c>
      <c r="E28256" s="3" t="s">
        <v>676</v>
      </c>
      <c r="F28256" s="7">
        <v>46288.638254834885</v>
      </c>
      <c r="G28256" s="3" t="s">
        <v>15818</v>
      </c>
    </row>
    <row r="28257">
      <c r="A28257" s="3" t="s">
        <v>44743</v>
      </c>
      <c r="B28257" s="3" t="s">
        <v>22633</v>
      </c>
      <c r="C28257" s="5" t="s">
        <v>221</v>
      </c>
      <c r="D28257" s="3" t="s">
        <v>614</v>
      </c>
      <c r="E28257" s="3" t="s">
        <v>118</v>
      </c>
      <c r="F28257" s="7">
        <v>46288.641727057104</v>
      </c>
      <c r="G28257" s="3" t="s">
        <v>15820</v>
      </c>
    </row>
    <row r="28258">
      <c r="A28258" s="3" t="s">
        <v>44744</v>
      </c>
      <c r="B28258" s="3" t="s">
        <v>22633</v>
      </c>
      <c r="C28258" s="5" t="s">
        <v>614</v>
      </c>
      <c r="D28258" s="3" t="s">
        <v>206</v>
      </c>
      <c r="E28258" s="3" t="s">
        <v>100</v>
      </c>
      <c r="F28258" s="7">
        <v>46288.64519927933</v>
      </c>
      <c r="G28258" s="3" t="s">
        <v>15823</v>
      </c>
    </row>
    <row r="28259">
      <c r="A28259" s="3" t="s">
        <v>44745</v>
      </c>
      <c r="B28259" s="3" t="s">
        <v>22633</v>
      </c>
      <c r="C28259" s="5" t="s">
        <v>206</v>
      </c>
      <c r="D28259" s="3" t="s">
        <v>68</v>
      </c>
      <c r="E28259" s="3" t="s">
        <v>100</v>
      </c>
      <c r="F28259" s="7">
        <v>46288.64867150155</v>
      </c>
      <c r="G28259" s="3" t="s">
        <v>15826</v>
      </c>
    </row>
    <row r="28260">
      <c r="A28260" s="3" t="s">
        <v>44746</v>
      </c>
      <c r="B28260" s="3" t="s">
        <v>22634</v>
      </c>
      <c r="C28260" s="5" t="s">
        <v>45</v>
      </c>
      <c r="D28260" s="3" t="s">
        <v>221</v>
      </c>
      <c r="E28260" s="3" t="s">
        <v>631</v>
      </c>
      <c r="F28260" s="7">
        <v>46288.709429680304</v>
      </c>
      <c r="G28260" s="3" t="s">
        <v>22304</v>
      </c>
    </row>
    <row r="28261">
      <c r="A28261" s="3" t="s">
        <v>44747</v>
      </c>
      <c r="B28261" s="3" t="s">
        <v>22634</v>
      </c>
      <c r="C28261" s="5" t="s">
        <v>221</v>
      </c>
      <c r="D28261" s="3" t="s">
        <v>614</v>
      </c>
      <c r="E28261" s="3" t="s">
        <v>118</v>
      </c>
      <c r="F28261" s="7">
        <v>46288.71290190252</v>
      </c>
      <c r="G28261" s="3" t="s">
        <v>22307</v>
      </c>
    </row>
    <row r="28262">
      <c r="A28262" s="3" t="s">
        <v>44748</v>
      </c>
      <c r="B28262" s="3" t="s">
        <v>22634</v>
      </c>
      <c r="C28262" s="5" t="s">
        <v>614</v>
      </c>
      <c r="D28262" s="3" t="s">
        <v>206</v>
      </c>
      <c r="E28262" s="3" t="s">
        <v>100</v>
      </c>
      <c r="F28262" s="7">
        <v>46288.71637412475</v>
      </c>
      <c r="G28262" s="3" t="s">
        <v>22310</v>
      </c>
    </row>
    <row r="28263">
      <c r="A28263" s="3" t="s">
        <v>44749</v>
      </c>
      <c r="B28263" s="3" t="s">
        <v>22634</v>
      </c>
      <c r="C28263" s="5" t="s">
        <v>206</v>
      </c>
      <c r="D28263" s="3" t="s">
        <v>68</v>
      </c>
      <c r="E28263" s="3" t="s">
        <v>100</v>
      </c>
      <c r="F28263" s="7">
        <v>46288.71984634697</v>
      </c>
      <c r="G28263" s="3" t="s">
        <v>22313</v>
      </c>
    </row>
    <row r="28264">
      <c r="A28264" s="3" t="s">
        <v>44750</v>
      </c>
      <c r="B28264" s="3" t="s">
        <v>22636</v>
      </c>
      <c r="C28264" s="5" t="s">
        <v>45</v>
      </c>
      <c r="D28264" s="3" t="s">
        <v>221</v>
      </c>
      <c r="E28264" s="3" t="s">
        <v>137</v>
      </c>
      <c r="F28264" s="7">
        <v>46288.78060452572</v>
      </c>
      <c r="G28264" s="3" t="s">
        <v>6109</v>
      </c>
    </row>
    <row r="28265">
      <c r="A28265" s="3" t="s">
        <v>44751</v>
      </c>
      <c r="B28265" s="3" t="s">
        <v>22636</v>
      </c>
      <c r="C28265" s="5" t="s">
        <v>221</v>
      </c>
      <c r="D28265" s="3" t="s">
        <v>614</v>
      </c>
      <c r="E28265" s="3" t="s">
        <v>118</v>
      </c>
      <c r="F28265" s="7">
        <v>46288.784076747936</v>
      </c>
      <c r="G28265" s="3" t="s">
        <v>6113</v>
      </c>
    </row>
    <row r="28266">
      <c r="A28266" s="3" t="s">
        <v>44752</v>
      </c>
      <c r="B28266" s="3" t="s">
        <v>22636</v>
      </c>
      <c r="C28266" s="5" t="s">
        <v>614</v>
      </c>
      <c r="D28266" s="3" t="s">
        <v>206</v>
      </c>
      <c r="E28266" s="3" t="s">
        <v>100</v>
      </c>
      <c r="F28266" s="7">
        <v>46288.78754897016</v>
      </c>
      <c r="G28266" s="3" t="s">
        <v>6116</v>
      </c>
    </row>
    <row r="28267">
      <c r="A28267" s="3" t="s">
        <v>44753</v>
      </c>
      <c r="B28267" s="3" t="s">
        <v>22636</v>
      </c>
      <c r="C28267" s="5" t="s">
        <v>206</v>
      </c>
      <c r="D28267" s="3" t="s">
        <v>68</v>
      </c>
      <c r="E28267" s="3" t="s">
        <v>100</v>
      </c>
      <c r="F28267" s="7">
        <v>46288.79102119238</v>
      </c>
      <c r="G28267" s="3" t="s">
        <v>6120</v>
      </c>
    </row>
    <row r="28268">
      <c r="A28268" s="3" t="s">
        <v>44754</v>
      </c>
      <c r="B28268" s="3" t="s">
        <v>22638</v>
      </c>
      <c r="C28268" s="5" t="s">
        <v>45</v>
      </c>
      <c r="D28268" s="3" t="s">
        <v>221</v>
      </c>
      <c r="E28268" s="3" t="s">
        <v>377</v>
      </c>
      <c r="F28268" s="7">
        <v>46288.85177937113</v>
      </c>
      <c r="G28268" s="3" t="s">
        <v>18268</v>
      </c>
    </row>
    <row r="28269">
      <c r="A28269" s="3" t="s">
        <v>44755</v>
      </c>
      <c r="B28269" s="3" t="s">
        <v>22638</v>
      </c>
      <c r="C28269" s="5" t="s">
        <v>221</v>
      </c>
      <c r="D28269" s="3" t="s">
        <v>614</v>
      </c>
      <c r="E28269" s="3" t="s">
        <v>118</v>
      </c>
      <c r="F28269" s="7">
        <v>46288.85525159335</v>
      </c>
      <c r="G28269" s="3" t="s">
        <v>18271</v>
      </c>
    </row>
    <row r="28270">
      <c r="A28270" s="3" t="s">
        <v>44756</v>
      </c>
      <c r="B28270" s="3" t="s">
        <v>22638</v>
      </c>
      <c r="C28270" s="5" t="s">
        <v>614</v>
      </c>
      <c r="D28270" s="3" t="s">
        <v>206</v>
      </c>
      <c r="E28270" s="3" t="s">
        <v>100</v>
      </c>
      <c r="F28270" s="7">
        <v>46288.858723815574</v>
      </c>
      <c r="G28270" s="3" t="s">
        <v>18274</v>
      </c>
    </row>
    <row r="28271">
      <c r="A28271" s="3" t="s">
        <v>44757</v>
      </c>
      <c r="B28271" s="3" t="s">
        <v>22638</v>
      </c>
      <c r="C28271" s="5" t="s">
        <v>206</v>
      </c>
      <c r="D28271" s="3" t="s">
        <v>68</v>
      </c>
      <c r="E28271" s="3" t="s">
        <v>100</v>
      </c>
      <c r="F28271" s="7">
        <v>46288.86219603779</v>
      </c>
      <c r="G28271" s="3" t="s">
        <v>18276</v>
      </c>
    </row>
    <row r="28272">
      <c r="A28272" s="3" t="s">
        <v>44758</v>
      </c>
      <c r="B28272" s="3" t="s">
        <v>22640</v>
      </c>
      <c r="C28272" s="5" t="s">
        <v>45</v>
      </c>
      <c r="D28272" s="3" t="s">
        <v>221</v>
      </c>
      <c r="E28272" s="3" t="s">
        <v>330</v>
      </c>
      <c r="F28272" s="7">
        <v>46288.92295421655</v>
      </c>
      <c r="G28272" s="3" t="s">
        <v>20479</v>
      </c>
    </row>
    <row r="28273">
      <c r="A28273" s="3" t="s">
        <v>44759</v>
      </c>
      <c r="B28273" s="3" t="s">
        <v>22640</v>
      </c>
      <c r="C28273" s="5" t="s">
        <v>221</v>
      </c>
      <c r="D28273" s="3" t="s">
        <v>614</v>
      </c>
      <c r="E28273" s="3" t="s">
        <v>118</v>
      </c>
      <c r="F28273" s="7">
        <v>46288.92642643877</v>
      </c>
      <c r="G28273" s="3" t="s">
        <v>20482</v>
      </c>
    </row>
    <row r="28274">
      <c r="A28274" s="3" t="s">
        <v>44760</v>
      </c>
      <c r="B28274" s="3" t="s">
        <v>22640</v>
      </c>
      <c r="C28274" s="5" t="s">
        <v>614</v>
      </c>
      <c r="D28274" s="3" t="s">
        <v>206</v>
      </c>
      <c r="E28274" s="3" t="s">
        <v>100</v>
      </c>
      <c r="F28274" s="7">
        <v>46288.929898660994</v>
      </c>
      <c r="G28274" s="3" t="s">
        <v>20485</v>
      </c>
    </row>
    <row r="28275">
      <c r="A28275" s="3" t="s">
        <v>44761</v>
      </c>
      <c r="B28275" s="3" t="s">
        <v>22640</v>
      </c>
      <c r="C28275" s="5" t="s">
        <v>206</v>
      </c>
      <c r="D28275" s="3" t="s">
        <v>68</v>
      </c>
      <c r="E28275" s="3" t="s">
        <v>100</v>
      </c>
      <c r="F28275" s="7">
        <v>46288.93337088321</v>
      </c>
      <c r="G28275" s="3" t="s">
        <v>20488</v>
      </c>
    </row>
    <row r="28276">
      <c r="A28276" s="3" t="s">
        <v>44762</v>
      </c>
      <c r="B28276" s="3" t="s">
        <v>22643</v>
      </c>
      <c r="C28276" s="5" t="s">
        <v>45</v>
      </c>
      <c r="D28276" s="3" t="s">
        <v>221</v>
      </c>
      <c r="E28276" s="3" t="s">
        <v>830</v>
      </c>
      <c r="F28276" s="7">
        <v>46288.99412906197</v>
      </c>
      <c r="G28276" s="3" t="s">
        <v>2770</v>
      </c>
    </row>
    <row r="28277">
      <c r="A28277" s="3" t="s">
        <v>44763</v>
      </c>
      <c r="B28277" s="3" t="s">
        <v>22643</v>
      </c>
      <c r="C28277" s="5" t="s">
        <v>221</v>
      </c>
      <c r="D28277" s="3" t="s">
        <v>195</v>
      </c>
      <c r="E28277" s="3" t="s">
        <v>830</v>
      </c>
      <c r="F28277" s="7">
        <v>46288.99760128419</v>
      </c>
      <c r="G28277" s="3" t="s">
        <v>3055</v>
      </c>
    </row>
    <row r="28278">
      <c r="A28278" s="3" t="s">
        <v>44764</v>
      </c>
      <c r="B28278" s="3" t="s">
        <v>22646</v>
      </c>
      <c r="C28278" s="5" t="s">
        <v>45</v>
      </c>
      <c r="D28278" s="3" t="s">
        <v>221</v>
      </c>
      <c r="E28278" s="3" t="s">
        <v>468</v>
      </c>
      <c r="F28278" s="7">
        <v>46289.06530390737</v>
      </c>
      <c r="G28278" s="3" t="s">
        <v>18316</v>
      </c>
    </row>
    <row r="28279">
      <c r="A28279" s="3" t="s">
        <v>44765</v>
      </c>
      <c r="B28279" s="3" t="s">
        <v>22646</v>
      </c>
      <c r="C28279" s="5" t="s">
        <v>221</v>
      </c>
      <c r="D28279" s="3" t="s">
        <v>614</v>
      </c>
      <c r="E28279" s="3" t="s">
        <v>118</v>
      </c>
      <c r="F28279" s="7">
        <v>46289.06877612959</v>
      </c>
      <c r="G28279" s="3" t="s">
        <v>18318</v>
      </c>
    </row>
    <row r="28280">
      <c r="A28280" s="3" t="s">
        <v>44766</v>
      </c>
      <c r="B28280" s="3" t="s">
        <v>22646</v>
      </c>
      <c r="C28280" s="5" t="s">
        <v>614</v>
      </c>
      <c r="D28280" s="3" t="s">
        <v>206</v>
      </c>
      <c r="E28280" s="3" t="s">
        <v>100</v>
      </c>
      <c r="F28280" s="7">
        <v>46289.07224835182</v>
      </c>
      <c r="G28280" s="3" t="s">
        <v>18320</v>
      </c>
    </row>
    <row r="28281">
      <c r="A28281" s="3" t="s">
        <v>44767</v>
      </c>
      <c r="B28281" s="3" t="s">
        <v>22646</v>
      </c>
      <c r="C28281" s="5" t="s">
        <v>206</v>
      </c>
      <c r="D28281" s="3" t="s">
        <v>68</v>
      </c>
      <c r="E28281" s="3" t="s">
        <v>100</v>
      </c>
      <c r="F28281" s="7">
        <v>46289.07572057404</v>
      </c>
      <c r="G28281" s="3" t="s">
        <v>18322</v>
      </c>
    </row>
    <row r="28282">
      <c r="A28282" s="3" t="s">
        <v>44768</v>
      </c>
      <c r="B28282" s="3" t="s">
        <v>22649</v>
      </c>
      <c r="C28282" s="5" t="s">
        <v>45</v>
      </c>
      <c r="D28282" s="3" t="s">
        <v>221</v>
      </c>
      <c r="E28282" s="3" t="s">
        <v>929</v>
      </c>
      <c r="F28282" s="7">
        <v>46289.13647875279</v>
      </c>
      <c r="G28282" s="3" t="s">
        <v>20708</v>
      </c>
    </row>
    <row r="28283">
      <c r="A28283" s="3" t="s">
        <v>44769</v>
      </c>
      <c r="B28283" s="3" t="s">
        <v>22649</v>
      </c>
      <c r="C28283" s="5" t="s">
        <v>221</v>
      </c>
      <c r="D28283" s="3" t="s">
        <v>195</v>
      </c>
      <c r="E28283" s="3" t="s">
        <v>929</v>
      </c>
      <c r="F28283" s="7">
        <v>46289.13995097501</v>
      </c>
      <c r="G28283" s="3" t="s">
        <v>44770</v>
      </c>
    </row>
    <row r="28284">
      <c r="A28284" s="3" t="s">
        <v>44771</v>
      </c>
      <c r="B28284" s="3" t="s">
        <v>22652</v>
      </c>
      <c r="C28284" s="5" t="s">
        <v>45</v>
      </c>
      <c r="D28284" s="3" t="s">
        <v>221</v>
      </c>
      <c r="E28284" s="3" t="s">
        <v>123</v>
      </c>
      <c r="F28284" s="7">
        <v>46289.20765359821</v>
      </c>
      <c r="G28284" s="3" t="s">
        <v>18358</v>
      </c>
    </row>
    <row r="28285">
      <c r="A28285" s="3" t="s">
        <v>44772</v>
      </c>
      <c r="B28285" s="3" t="s">
        <v>22652</v>
      </c>
      <c r="C28285" s="5" t="s">
        <v>221</v>
      </c>
      <c r="D28285" s="3" t="s">
        <v>614</v>
      </c>
      <c r="E28285" s="3" t="s">
        <v>118</v>
      </c>
      <c r="F28285" s="7">
        <v>46289.21112582043</v>
      </c>
      <c r="G28285" s="3" t="s">
        <v>18361</v>
      </c>
    </row>
    <row r="28286">
      <c r="A28286" s="3" t="s">
        <v>44773</v>
      </c>
      <c r="B28286" s="3" t="s">
        <v>22652</v>
      </c>
      <c r="C28286" s="5" t="s">
        <v>614</v>
      </c>
      <c r="D28286" s="3" t="s">
        <v>206</v>
      </c>
      <c r="E28286" s="3" t="s">
        <v>100</v>
      </c>
      <c r="F28286" s="7">
        <v>46289.21459804266</v>
      </c>
      <c r="G28286" s="3" t="s">
        <v>18364</v>
      </c>
    </row>
    <row r="28287">
      <c r="A28287" s="3" t="s">
        <v>44774</v>
      </c>
      <c r="B28287" s="3" t="s">
        <v>22652</v>
      </c>
      <c r="C28287" s="5" t="s">
        <v>206</v>
      </c>
      <c r="D28287" s="3" t="s">
        <v>68</v>
      </c>
      <c r="E28287" s="3" t="s">
        <v>100</v>
      </c>
      <c r="F28287" s="7">
        <v>46289.21807026488</v>
      </c>
      <c r="G28287" s="3" t="s">
        <v>18366</v>
      </c>
    </row>
    <row r="28288">
      <c r="A28288" s="3" t="s">
        <v>44775</v>
      </c>
      <c r="B28288" s="3" t="s">
        <v>22654</v>
      </c>
      <c r="C28288" s="5" t="s">
        <v>45</v>
      </c>
      <c r="D28288" s="3" t="s">
        <v>221</v>
      </c>
      <c r="E28288" s="3" t="s">
        <v>800</v>
      </c>
      <c r="F28288" s="7">
        <v>46289.278828443625</v>
      </c>
      <c r="G28288" s="3" t="s">
        <v>17822</v>
      </c>
    </row>
    <row r="28289">
      <c r="A28289" s="3" t="s">
        <v>44776</v>
      </c>
      <c r="B28289" s="3" t="s">
        <v>22654</v>
      </c>
      <c r="C28289" s="5" t="s">
        <v>221</v>
      </c>
      <c r="D28289" s="3" t="s">
        <v>614</v>
      </c>
      <c r="E28289" s="3" t="s">
        <v>118</v>
      </c>
      <c r="F28289" s="7">
        <v>46289.282300665844</v>
      </c>
      <c r="G28289" s="3" t="s">
        <v>17824</v>
      </c>
    </row>
    <row r="28290">
      <c r="A28290" s="3" t="s">
        <v>44777</v>
      </c>
      <c r="B28290" s="3" t="s">
        <v>22654</v>
      </c>
      <c r="C28290" s="5" t="s">
        <v>614</v>
      </c>
      <c r="D28290" s="3" t="s">
        <v>206</v>
      </c>
      <c r="E28290" s="3" t="s">
        <v>100</v>
      </c>
      <c r="F28290" s="7">
        <v>46289.28577288807</v>
      </c>
      <c r="G28290" s="3" t="s">
        <v>17826</v>
      </c>
    </row>
    <row r="28291">
      <c r="A28291" s="3" t="s">
        <v>44778</v>
      </c>
      <c r="B28291" s="3" t="s">
        <v>22654</v>
      </c>
      <c r="C28291" s="5" t="s">
        <v>206</v>
      </c>
      <c r="D28291" s="3" t="s">
        <v>68</v>
      </c>
      <c r="E28291" s="3" t="s">
        <v>100</v>
      </c>
      <c r="F28291" s="7">
        <v>46289.28924511029</v>
      </c>
      <c r="G28291" s="3" t="s">
        <v>17828</v>
      </c>
    </row>
    <row r="28292">
      <c r="A28292" s="3" t="s">
        <v>44779</v>
      </c>
      <c r="B28292" s="3" t="s">
        <v>22656</v>
      </c>
      <c r="C28292" s="5" t="s">
        <v>45</v>
      </c>
      <c r="D28292" s="3" t="s">
        <v>221</v>
      </c>
      <c r="E28292" s="3" t="s">
        <v>698</v>
      </c>
      <c r="F28292" s="7">
        <v>46289.35000328904</v>
      </c>
      <c r="G28292" s="3" t="s">
        <v>24380</v>
      </c>
    </row>
    <row r="28293">
      <c r="A28293" s="3" t="s">
        <v>44780</v>
      </c>
      <c r="B28293" s="3" t="s">
        <v>22656</v>
      </c>
      <c r="C28293" s="5" t="s">
        <v>221</v>
      </c>
      <c r="D28293" s="3" t="s">
        <v>614</v>
      </c>
      <c r="E28293" s="3" t="s">
        <v>118</v>
      </c>
      <c r="F28293" s="7">
        <v>46289.353475511256</v>
      </c>
      <c r="G28293" s="3" t="s">
        <v>24382</v>
      </c>
    </row>
    <row r="28294">
      <c r="A28294" s="3" t="s">
        <v>44781</v>
      </c>
      <c r="B28294" s="3" t="s">
        <v>22656</v>
      </c>
      <c r="C28294" s="5" t="s">
        <v>614</v>
      </c>
      <c r="D28294" s="3" t="s">
        <v>206</v>
      </c>
      <c r="E28294" s="3" t="s">
        <v>100</v>
      </c>
      <c r="F28294" s="7">
        <v>46289.35694773348</v>
      </c>
      <c r="G28294" s="3" t="s">
        <v>24384</v>
      </c>
    </row>
    <row r="28295">
      <c r="A28295" s="3" t="s">
        <v>44782</v>
      </c>
      <c r="B28295" s="3" t="s">
        <v>22656</v>
      </c>
      <c r="C28295" s="5" t="s">
        <v>206</v>
      </c>
      <c r="D28295" s="3" t="s">
        <v>68</v>
      </c>
      <c r="E28295" s="3" t="s">
        <v>100</v>
      </c>
      <c r="F28295" s="7">
        <v>46289.3604199557</v>
      </c>
      <c r="G28295" s="3" t="s">
        <v>24386</v>
      </c>
    </row>
    <row r="28296">
      <c r="A28296" s="3" t="s">
        <v>44783</v>
      </c>
      <c r="B28296" s="3" t="s">
        <v>22658</v>
      </c>
      <c r="C28296" s="5" t="s">
        <v>45</v>
      </c>
      <c r="D28296" s="3" t="s">
        <v>221</v>
      </c>
      <c r="E28296" s="3" t="s">
        <v>763</v>
      </c>
      <c r="F28296" s="7">
        <v>46289.42117813446</v>
      </c>
      <c r="G28296" s="3" t="s">
        <v>2770</v>
      </c>
    </row>
    <row r="28297">
      <c r="A28297" s="3" t="s">
        <v>44784</v>
      </c>
      <c r="B28297" s="3" t="s">
        <v>22658</v>
      </c>
      <c r="C28297" s="5" t="s">
        <v>221</v>
      </c>
      <c r="D28297" s="3" t="s">
        <v>181</v>
      </c>
      <c r="E28297" s="3" t="s">
        <v>118</v>
      </c>
      <c r="F28297" s="7">
        <v>46289.424650356676</v>
      </c>
      <c r="G28297" s="3" t="s">
        <v>2774</v>
      </c>
    </row>
    <row r="28298">
      <c r="A28298" s="3" t="s">
        <v>44785</v>
      </c>
      <c r="B28298" s="3" t="s">
        <v>22660</v>
      </c>
      <c r="C28298" s="5" t="s">
        <v>45</v>
      </c>
      <c r="D28298" s="3" t="s">
        <v>221</v>
      </c>
      <c r="E28298" s="3" t="s">
        <v>886</v>
      </c>
      <c r="F28298" s="7">
        <v>46289.49235297987</v>
      </c>
      <c r="G28298" s="3" t="s">
        <v>29295</v>
      </c>
    </row>
    <row r="28299">
      <c r="A28299" s="3" t="s">
        <v>44786</v>
      </c>
      <c r="B28299" s="3" t="s">
        <v>22660</v>
      </c>
      <c r="C28299" s="5" t="s">
        <v>221</v>
      </c>
      <c r="D28299" s="3" t="s">
        <v>181</v>
      </c>
      <c r="E28299" s="3" t="s">
        <v>118</v>
      </c>
      <c r="F28299" s="7">
        <v>46289.49582520209</v>
      </c>
      <c r="G28299" s="3" t="s">
        <v>44787</v>
      </c>
    </row>
    <row r="28300">
      <c r="A28300" s="3" t="s">
        <v>44788</v>
      </c>
      <c r="B28300" s="3" t="s">
        <v>22662</v>
      </c>
      <c r="C28300" s="5" t="s">
        <v>45</v>
      </c>
      <c r="D28300" s="3" t="s">
        <v>221</v>
      </c>
      <c r="E28300" s="3" t="s">
        <v>939</v>
      </c>
      <c r="F28300" s="7">
        <v>46289.56352782528</v>
      </c>
      <c r="G28300" s="3" t="s">
        <v>13032</v>
      </c>
    </row>
    <row r="28301">
      <c r="A28301" s="3" t="s">
        <v>44789</v>
      </c>
      <c r="B28301" s="3" t="s">
        <v>22662</v>
      </c>
      <c r="C28301" s="5" t="s">
        <v>221</v>
      </c>
      <c r="D28301" s="3" t="s">
        <v>614</v>
      </c>
      <c r="E28301" s="3" t="s">
        <v>118</v>
      </c>
      <c r="F28301" s="7">
        <v>46289.5670000475</v>
      </c>
      <c r="G28301" s="3" t="s">
        <v>26882</v>
      </c>
    </row>
    <row r="28302">
      <c r="A28302" s="3" t="s">
        <v>44790</v>
      </c>
      <c r="B28302" s="3" t="s">
        <v>22662</v>
      </c>
      <c r="C28302" s="5" t="s">
        <v>614</v>
      </c>
      <c r="D28302" s="3" t="s">
        <v>206</v>
      </c>
      <c r="E28302" s="3" t="s">
        <v>100</v>
      </c>
      <c r="F28302" s="7">
        <v>46289.57047226973</v>
      </c>
      <c r="G28302" s="3" t="s">
        <v>26884</v>
      </c>
    </row>
    <row r="28303">
      <c r="A28303" s="3" t="s">
        <v>44791</v>
      </c>
      <c r="B28303" s="3" t="s">
        <v>22662</v>
      </c>
      <c r="C28303" s="5" t="s">
        <v>206</v>
      </c>
      <c r="D28303" s="3" t="s">
        <v>68</v>
      </c>
      <c r="E28303" s="3" t="s">
        <v>100</v>
      </c>
      <c r="F28303" s="7">
        <v>46289.573944491945</v>
      </c>
      <c r="G28303" s="3" t="s">
        <v>26886</v>
      </c>
    </row>
    <row r="28304">
      <c r="A28304" s="3" t="s">
        <v>44792</v>
      </c>
      <c r="B28304" s="3" t="s">
        <v>22664</v>
      </c>
      <c r="C28304" s="5" t="s">
        <v>45</v>
      </c>
      <c r="D28304" s="3" t="s">
        <v>221</v>
      </c>
      <c r="E28304" s="3" t="s">
        <v>505</v>
      </c>
      <c r="F28304" s="7">
        <v>46289.6347026707</v>
      </c>
      <c r="G28304" s="3" t="s">
        <v>18369</v>
      </c>
    </row>
    <row r="28305">
      <c r="A28305" s="3" t="s">
        <v>44793</v>
      </c>
      <c r="B28305" s="3" t="s">
        <v>22664</v>
      </c>
      <c r="C28305" s="5" t="s">
        <v>221</v>
      </c>
      <c r="D28305" s="3" t="s">
        <v>614</v>
      </c>
      <c r="E28305" s="3" t="s">
        <v>118</v>
      </c>
      <c r="F28305" s="7">
        <v>46289.63817489292</v>
      </c>
      <c r="G28305" s="3" t="s">
        <v>18372</v>
      </c>
    </row>
    <row r="28306">
      <c r="A28306" s="3" t="s">
        <v>44794</v>
      </c>
      <c r="B28306" s="3" t="s">
        <v>22664</v>
      </c>
      <c r="C28306" s="5" t="s">
        <v>614</v>
      </c>
      <c r="D28306" s="3" t="s">
        <v>206</v>
      </c>
      <c r="E28306" s="3" t="s">
        <v>100</v>
      </c>
      <c r="F28306" s="7">
        <v>46289.641647115146</v>
      </c>
      <c r="G28306" s="3" t="s">
        <v>18375</v>
      </c>
    </row>
    <row r="28307">
      <c r="A28307" s="3" t="s">
        <v>44795</v>
      </c>
      <c r="B28307" s="3" t="s">
        <v>22664</v>
      </c>
      <c r="C28307" s="5" t="s">
        <v>206</v>
      </c>
      <c r="D28307" s="3" t="s">
        <v>68</v>
      </c>
      <c r="E28307" s="3" t="s">
        <v>100</v>
      </c>
      <c r="F28307" s="7">
        <v>46289.645119337365</v>
      </c>
      <c r="G28307" s="3" t="s">
        <v>18378</v>
      </c>
    </row>
    <row r="28308">
      <c r="A28308" s="3" t="s">
        <v>44796</v>
      </c>
      <c r="B28308" s="3" t="s">
        <v>22666</v>
      </c>
      <c r="C28308" s="5" t="s">
        <v>45</v>
      </c>
      <c r="D28308" s="3" t="s">
        <v>221</v>
      </c>
      <c r="E28308" s="3" t="s">
        <v>961</v>
      </c>
      <c r="F28308" s="7">
        <v>46289.70587751611</v>
      </c>
      <c r="G28308" s="3" t="s">
        <v>18451</v>
      </c>
    </row>
    <row r="28309">
      <c r="A28309" s="3" t="s">
        <v>44797</v>
      </c>
      <c r="B28309" s="3" t="s">
        <v>22666</v>
      </c>
      <c r="C28309" s="5" t="s">
        <v>221</v>
      </c>
      <c r="D28309" s="3" t="s">
        <v>614</v>
      </c>
      <c r="E28309" s="3" t="s">
        <v>118</v>
      </c>
      <c r="F28309" s="7">
        <v>46289.70934973833</v>
      </c>
      <c r="G28309" s="3" t="s">
        <v>18454</v>
      </c>
    </row>
    <row r="28310">
      <c r="A28310" s="3" t="s">
        <v>44798</v>
      </c>
      <c r="B28310" s="3" t="s">
        <v>22666</v>
      </c>
      <c r="C28310" s="5" t="s">
        <v>614</v>
      </c>
      <c r="D28310" s="3" t="s">
        <v>206</v>
      </c>
      <c r="E28310" s="3" t="s">
        <v>100</v>
      </c>
      <c r="F28310" s="7">
        <v>46289.71282196056</v>
      </c>
      <c r="G28310" s="3" t="s">
        <v>18456</v>
      </c>
    </row>
    <row r="28311">
      <c r="A28311" s="3" t="s">
        <v>44799</v>
      </c>
      <c r="B28311" s="3" t="s">
        <v>22666</v>
      </c>
      <c r="C28311" s="5" t="s">
        <v>206</v>
      </c>
      <c r="D28311" s="3" t="s">
        <v>68</v>
      </c>
      <c r="E28311" s="3" t="s">
        <v>100</v>
      </c>
      <c r="F28311" s="7">
        <v>46289.71629418278</v>
      </c>
      <c r="G28311" s="3" t="s">
        <v>18459</v>
      </c>
    </row>
    <row r="28312">
      <c r="A28312" s="3" t="s">
        <v>44800</v>
      </c>
      <c r="B28312" s="3" t="s">
        <v>22668</v>
      </c>
      <c r="C28312" s="5" t="s">
        <v>45</v>
      </c>
      <c r="D28312" s="3" t="s">
        <v>221</v>
      </c>
      <c r="E28312" s="3" t="s">
        <v>934</v>
      </c>
      <c r="F28312" s="7">
        <v>46289.777052361525</v>
      </c>
      <c r="G28312" s="3" t="s">
        <v>18462</v>
      </c>
    </row>
    <row r="28313">
      <c r="A28313" s="3" t="s">
        <v>44801</v>
      </c>
      <c r="B28313" s="3" t="s">
        <v>22668</v>
      </c>
      <c r="C28313" s="5" t="s">
        <v>221</v>
      </c>
      <c r="D28313" s="3" t="s">
        <v>614</v>
      </c>
      <c r="E28313" s="3" t="s">
        <v>118</v>
      </c>
      <c r="F28313" s="7">
        <v>46289.780524583744</v>
      </c>
      <c r="G28313" s="3" t="s">
        <v>18465</v>
      </c>
    </row>
    <row r="28314">
      <c r="A28314" s="3" t="s">
        <v>44802</v>
      </c>
      <c r="B28314" s="3" t="s">
        <v>22668</v>
      </c>
      <c r="C28314" s="5" t="s">
        <v>614</v>
      </c>
      <c r="D28314" s="3" t="s">
        <v>206</v>
      </c>
      <c r="E28314" s="3" t="s">
        <v>100</v>
      </c>
      <c r="F28314" s="7">
        <v>46289.78399680597</v>
      </c>
      <c r="G28314" s="3" t="s">
        <v>18468</v>
      </c>
    </row>
    <row r="28315">
      <c r="A28315" s="3" t="s">
        <v>44803</v>
      </c>
      <c r="B28315" s="3" t="s">
        <v>22668</v>
      </c>
      <c r="C28315" s="5" t="s">
        <v>206</v>
      </c>
      <c r="D28315" s="3" t="s">
        <v>68</v>
      </c>
      <c r="E28315" s="3" t="s">
        <v>100</v>
      </c>
      <c r="F28315" s="7">
        <v>46289.78746902819</v>
      </c>
      <c r="G28315" s="3" t="s">
        <v>18471</v>
      </c>
    </row>
    <row r="28316">
      <c r="A28316" s="3" t="s">
        <v>44804</v>
      </c>
      <c r="B28316" s="3" t="s">
        <v>22671</v>
      </c>
      <c r="C28316" s="5" t="s">
        <v>45</v>
      </c>
      <c r="D28316" s="3" t="s">
        <v>221</v>
      </c>
      <c r="E28316" s="3" t="s">
        <v>900</v>
      </c>
      <c r="F28316" s="7">
        <v>46289.848227206945</v>
      </c>
      <c r="G28316" s="3" t="s">
        <v>16066</v>
      </c>
    </row>
    <row r="28317">
      <c r="A28317" s="3" t="s">
        <v>44805</v>
      </c>
      <c r="B28317" s="3" t="s">
        <v>22671</v>
      </c>
      <c r="C28317" s="5" t="s">
        <v>221</v>
      </c>
      <c r="D28317" s="3" t="s">
        <v>614</v>
      </c>
      <c r="E28317" s="3" t="s">
        <v>118</v>
      </c>
      <c r="F28317" s="7">
        <v>46289.851699429164</v>
      </c>
      <c r="G28317" s="3" t="s">
        <v>16069</v>
      </c>
    </row>
    <row r="28318">
      <c r="A28318" s="3" t="s">
        <v>44806</v>
      </c>
      <c r="B28318" s="3" t="s">
        <v>22671</v>
      </c>
      <c r="C28318" s="5" t="s">
        <v>614</v>
      </c>
      <c r="D28318" s="3" t="s">
        <v>206</v>
      </c>
      <c r="E28318" s="3" t="s">
        <v>100</v>
      </c>
      <c r="F28318" s="7">
        <v>46289.85517165139</v>
      </c>
      <c r="G28318" s="3" t="s">
        <v>16072</v>
      </c>
    </row>
    <row r="28319">
      <c r="A28319" s="3" t="s">
        <v>44807</v>
      </c>
      <c r="B28319" s="3" t="s">
        <v>22671</v>
      </c>
      <c r="C28319" s="5" t="s">
        <v>206</v>
      </c>
      <c r="D28319" s="3" t="s">
        <v>68</v>
      </c>
      <c r="E28319" s="3" t="s">
        <v>100</v>
      </c>
      <c r="F28319" s="7">
        <v>46289.85864387361</v>
      </c>
      <c r="G28319" s="3" t="s">
        <v>16074</v>
      </c>
    </row>
    <row r="28320">
      <c r="A28320" s="3" t="s">
        <v>44808</v>
      </c>
      <c r="B28320" s="3" t="s">
        <v>22673</v>
      </c>
      <c r="C28320" s="5" t="s">
        <v>45</v>
      </c>
      <c r="D28320" s="3" t="s">
        <v>221</v>
      </c>
      <c r="E28320" s="3" t="s">
        <v>460</v>
      </c>
      <c r="F28320" s="7">
        <v>46289.91940205236</v>
      </c>
      <c r="G28320" s="3" t="s">
        <v>20003</v>
      </c>
    </row>
    <row r="28321">
      <c r="A28321" s="3" t="s">
        <v>44809</v>
      </c>
      <c r="B28321" s="3" t="s">
        <v>22673</v>
      </c>
      <c r="C28321" s="5" t="s">
        <v>221</v>
      </c>
      <c r="D28321" s="3" t="s">
        <v>614</v>
      </c>
      <c r="E28321" s="3" t="s">
        <v>118</v>
      </c>
      <c r="F28321" s="7">
        <v>46289.922874274576</v>
      </c>
      <c r="G28321" s="3" t="s">
        <v>20006</v>
      </c>
    </row>
    <row r="28322">
      <c r="A28322" s="3" t="s">
        <v>44810</v>
      </c>
      <c r="B28322" s="3" t="s">
        <v>22673</v>
      </c>
      <c r="C28322" s="5" t="s">
        <v>614</v>
      </c>
      <c r="D28322" s="3" t="s">
        <v>206</v>
      </c>
      <c r="E28322" s="3" t="s">
        <v>100</v>
      </c>
      <c r="F28322" s="7">
        <v>46289.9263464968</v>
      </c>
      <c r="G28322" s="3" t="s">
        <v>20009</v>
      </c>
    </row>
    <row r="28323">
      <c r="A28323" s="3" t="s">
        <v>44811</v>
      </c>
      <c r="B28323" s="3" t="s">
        <v>22673</v>
      </c>
      <c r="C28323" s="5" t="s">
        <v>206</v>
      </c>
      <c r="D28323" s="3" t="s">
        <v>68</v>
      </c>
      <c r="E28323" s="3" t="s">
        <v>100</v>
      </c>
      <c r="F28323" s="7">
        <v>46289.92981871902</v>
      </c>
      <c r="G28323" s="3" t="s">
        <v>20011</v>
      </c>
    </row>
    <row r="28324">
      <c r="A28324" s="3" t="s">
        <v>44812</v>
      </c>
      <c r="B28324" s="3" t="s">
        <v>22675</v>
      </c>
      <c r="C28324" s="5" t="s">
        <v>45</v>
      </c>
      <c r="D28324" s="3" t="s">
        <v>221</v>
      </c>
      <c r="E28324" s="3" t="s">
        <v>601</v>
      </c>
      <c r="F28324" s="7">
        <v>46289.99057689777</v>
      </c>
      <c r="G28324" s="3" t="s">
        <v>18507</v>
      </c>
    </row>
    <row r="28325">
      <c r="A28325" s="3" t="s">
        <v>44813</v>
      </c>
      <c r="B28325" s="3" t="s">
        <v>22675</v>
      </c>
      <c r="C28325" s="5" t="s">
        <v>221</v>
      </c>
      <c r="D28325" s="3" t="s">
        <v>614</v>
      </c>
      <c r="E28325" s="3" t="s">
        <v>118</v>
      </c>
      <c r="F28325" s="7">
        <v>46289.99404911999</v>
      </c>
      <c r="G28325" s="3" t="s">
        <v>18510</v>
      </c>
    </row>
    <row r="28326">
      <c r="A28326" s="3" t="s">
        <v>44814</v>
      </c>
      <c r="B28326" s="3" t="s">
        <v>22675</v>
      </c>
      <c r="C28326" s="5" t="s">
        <v>614</v>
      </c>
      <c r="D28326" s="3" t="s">
        <v>206</v>
      </c>
      <c r="E28326" s="3" t="s">
        <v>100</v>
      </c>
      <c r="F28326" s="7">
        <v>46289.997521342215</v>
      </c>
      <c r="G28326" s="3" t="s">
        <v>18513</v>
      </c>
    </row>
    <row r="28327">
      <c r="A28327" s="3" t="s">
        <v>44815</v>
      </c>
      <c r="B28327" s="3" t="s">
        <v>22675</v>
      </c>
      <c r="C28327" s="5" t="s">
        <v>206</v>
      </c>
      <c r="D28327" s="3" t="s">
        <v>68</v>
      </c>
      <c r="E28327" s="3" t="s">
        <v>100</v>
      </c>
      <c r="F28327" s="7">
        <v>46290.000993564434</v>
      </c>
      <c r="G28327" s="3" t="s">
        <v>18516</v>
      </c>
    </row>
    <row r="28328">
      <c r="A28328" s="3" t="s">
        <v>44816</v>
      </c>
      <c r="B28328" s="3" t="s">
        <v>22677</v>
      </c>
      <c r="C28328" s="5" t="s">
        <v>45</v>
      </c>
      <c r="D28328" s="3" t="s">
        <v>221</v>
      </c>
      <c r="E28328" s="3" t="s">
        <v>527</v>
      </c>
      <c r="F28328" s="7">
        <v>46290.06175174319</v>
      </c>
      <c r="G28328" s="3" t="s">
        <v>30023</v>
      </c>
    </row>
    <row r="28329">
      <c r="A28329" s="3" t="s">
        <v>44817</v>
      </c>
      <c r="B28329" s="3" t="s">
        <v>22677</v>
      </c>
      <c r="C28329" s="5" t="s">
        <v>221</v>
      </c>
      <c r="D28329" s="3" t="s">
        <v>614</v>
      </c>
      <c r="E28329" s="3" t="s">
        <v>118</v>
      </c>
      <c r="F28329" s="7">
        <v>46290.06522396541</v>
      </c>
      <c r="G28329" s="3" t="s">
        <v>30025</v>
      </c>
    </row>
    <row r="28330">
      <c r="A28330" s="3" t="s">
        <v>44818</v>
      </c>
      <c r="B28330" s="3" t="s">
        <v>22677</v>
      </c>
      <c r="C28330" s="5" t="s">
        <v>614</v>
      </c>
      <c r="D28330" s="3" t="s">
        <v>206</v>
      </c>
      <c r="E28330" s="3" t="s">
        <v>100</v>
      </c>
      <c r="F28330" s="7">
        <v>46290.068696187634</v>
      </c>
      <c r="G28330" s="3" t="s">
        <v>30027</v>
      </c>
    </row>
    <row r="28331">
      <c r="A28331" s="3" t="s">
        <v>44819</v>
      </c>
      <c r="B28331" s="3" t="s">
        <v>22677</v>
      </c>
      <c r="C28331" s="5" t="s">
        <v>206</v>
      </c>
      <c r="D28331" s="3" t="s">
        <v>68</v>
      </c>
      <c r="E28331" s="3" t="s">
        <v>100</v>
      </c>
      <c r="F28331" s="7">
        <v>46290.07216840985</v>
      </c>
      <c r="G28331" s="3" t="s">
        <v>30029</v>
      </c>
    </row>
    <row r="28332">
      <c r="A28332" s="3" t="s">
        <v>44820</v>
      </c>
      <c r="B28332" s="3" t="s">
        <v>22679</v>
      </c>
      <c r="C28332" s="5" t="s">
        <v>45</v>
      </c>
      <c r="D28332" s="3" t="s">
        <v>221</v>
      </c>
      <c r="E28332" s="3" t="s">
        <v>655</v>
      </c>
      <c r="F28332" s="7">
        <v>46290.13292658861</v>
      </c>
      <c r="G28332" s="3" t="s">
        <v>38970</v>
      </c>
    </row>
    <row r="28333">
      <c r="A28333" s="3" t="s">
        <v>44821</v>
      </c>
      <c r="B28333" s="3" t="s">
        <v>22679</v>
      </c>
      <c r="C28333" s="5" t="s">
        <v>221</v>
      </c>
      <c r="D28333" s="3" t="s">
        <v>614</v>
      </c>
      <c r="E28333" s="3" t="s">
        <v>118</v>
      </c>
      <c r="F28333" s="7">
        <v>46290.13639881083</v>
      </c>
      <c r="G28333" s="3" t="s">
        <v>38972</v>
      </c>
    </row>
    <row r="28334">
      <c r="A28334" s="3" t="s">
        <v>44822</v>
      </c>
      <c r="B28334" s="3" t="s">
        <v>22679</v>
      </c>
      <c r="C28334" s="5" t="s">
        <v>614</v>
      </c>
      <c r="D28334" s="3" t="s">
        <v>206</v>
      </c>
      <c r="E28334" s="3" t="s">
        <v>100</v>
      </c>
      <c r="F28334" s="7">
        <v>46290.139871033054</v>
      </c>
      <c r="G28334" s="3" t="s">
        <v>38974</v>
      </c>
    </row>
    <row r="28335">
      <c r="A28335" s="3" t="s">
        <v>44823</v>
      </c>
      <c r="B28335" s="3" t="s">
        <v>22679</v>
      </c>
      <c r="C28335" s="5" t="s">
        <v>206</v>
      </c>
      <c r="D28335" s="3" t="s">
        <v>68</v>
      </c>
      <c r="E28335" s="3" t="s">
        <v>100</v>
      </c>
      <c r="F28335" s="7">
        <v>46290.14334325527</v>
      </c>
      <c r="G28335" s="3" t="s">
        <v>38976</v>
      </c>
    </row>
    <row r="28336">
      <c r="A28336" s="3" t="s">
        <v>44824</v>
      </c>
      <c r="B28336" s="3" t="s">
        <v>22681</v>
      </c>
      <c r="C28336" s="5" t="s">
        <v>45</v>
      </c>
      <c r="D28336" s="3" t="s">
        <v>221</v>
      </c>
      <c r="E28336" s="3" t="s">
        <v>156</v>
      </c>
      <c r="F28336" s="7">
        <v>46290.204101434014</v>
      </c>
      <c r="G28336" s="3" t="s">
        <v>2735</v>
      </c>
    </row>
    <row r="28337">
      <c r="A28337" s="3" t="s">
        <v>44825</v>
      </c>
      <c r="B28337" s="3" t="s">
        <v>22681</v>
      </c>
      <c r="C28337" s="5" t="s">
        <v>221</v>
      </c>
      <c r="D28337" s="3" t="s">
        <v>614</v>
      </c>
      <c r="E28337" s="3" t="s">
        <v>118</v>
      </c>
      <c r="F28337" s="7">
        <v>46290.20757365623</v>
      </c>
      <c r="G28337" s="3" t="s">
        <v>2737</v>
      </c>
    </row>
    <row r="28338">
      <c r="A28338" s="3" t="s">
        <v>44826</v>
      </c>
      <c r="B28338" s="3" t="s">
        <v>22681</v>
      </c>
      <c r="C28338" s="5" t="s">
        <v>614</v>
      </c>
      <c r="D28338" s="3" t="s">
        <v>206</v>
      </c>
      <c r="E28338" s="3" t="s">
        <v>100</v>
      </c>
      <c r="F28338" s="7">
        <v>46290.21104587846</v>
      </c>
      <c r="G28338" s="3" t="s">
        <v>2740</v>
      </c>
    </row>
    <row r="28339">
      <c r="A28339" s="3" t="s">
        <v>44827</v>
      </c>
      <c r="B28339" s="3" t="s">
        <v>22681</v>
      </c>
      <c r="C28339" s="5" t="s">
        <v>206</v>
      </c>
      <c r="D28339" s="3" t="s">
        <v>68</v>
      </c>
      <c r="E28339" s="3" t="s">
        <v>100</v>
      </c>
      <c r="F28339" s="7">
        <v>46290.21451810068</v>
      </c>
      <c r="G28339" s="3" t="s">
        <v>2743</v>
      </c>
    </row>
    <row r="28340">
      <c r="A28340" s="3" t="s">
        <v>44828</v>
      </c>
      <c r="B28340" s="3" t="s">
        <v>22683</v>
      </c>
      <c r="C28340" s="5" t="s">
        <v>45</v>
      </c>
      <c r="D28340" s="3" t="s">
        <v>221</v>
      </c>
      <c r="E28340" s="3" t="s">
        <v>253</v>
      </c>
      <c r="F28340" s="7">
        <v>46290.27527627943</v>
      </c>
      <c r="G28340" s="3" t="s">
        <v>14712</v>
      </c>
    </row>
    <row r="28341">
      <c r="A28341" s="3" t="s">
        <v>44829</v>
      </c>
      <c r="B28341" s="3" t="s">
        <v>22683</v>
      </c>
      <c r="C28341" s="5" t="s">
        <v>221</v>
      </c>
      <c r="D28341" s="3" t="s">
        <v>614</v>
      </c>
      <c r="E28341" s="3" t="s">
        <v>118</v>
      </c>
      <c r="F28341" s="7">
        <v>46290.27874850165</v>
      </c>
      <c r="G28341" s="3" t="s">
        <v>14715</v>
      </c>
    </row>
    <row r="28342">
      <c r="A28342" s="3" t="s">
        <v>44830</v>
      </c>
      <c r="B28342" s="3" t="s">
        <v>22683</v>
      </c>
      <c r="C28342" s="5" t="s">
        <v>614</v>
      </c>
      <c r="D28342" s="3" t="s">
        <v>206</v>
      </c>
      <c r="E28342" s="3" t="s">
        <v>100</v>
      </c>
      <c r="F28342" s="7">
        <v>46290.28222072388</v>
      </c>
      <c r="G28342" s="3" t="s">
        <v>14718</v>
      </c>
    </row>
    <row r="28343">
      <c r="A28343" s="3" t="s">
        <v>44831</v>
      </c>
      <c r="B28343" s="3" t="s">
        <v>22683</v>
      </c>
      <c r="C28343" s="5" t="s">
        <v>206</v>
      </c>
      <c r="D28343" s="3" t="s">
        <v>68</v>
      </c>
      <c r="E28343" s="3" t="s">
        <v>100</v>
      </c>
      <c r="F28343" s="7">
        <v>46290.2856929461</v>
      </c>
      <c r="G28343" s="3" t="s">
        <v>14721</v>
      </c>
    </row>
    <row r="28344">
      <c r="A28344" s="3" t="s">
        <v>44832</v>
      </c>
      <c r="B28344" s="3" t="s">
        <v>22685</v>
      </c>
      <c r="C28344" s="5" t="s">
        <v>45</v>
      </c>
      <c r="D28344" s="3" t="s">
        <v>221</v>
      </c>
      <c r="E28344" s="3" t="s">
        <v>838</v>
      </c>
      <c r="F28344" s="7">
        <v>46290.34645112485</v>
      </c>
      <c r="G28344" s="3" t="s">
        <v>19383</v>
      </c>
    </row>
    <row r="28345">
      <c r="A28345" s="3" t="s">
        <v>44833</v>
      </c>
      <c r="B28345" s="3" t="s">
        <v>22685</v>
      </c>
      <c r="C28345" s="5" t="s">
        <v>221</v>
      </c>
      <c r="D28345" s="3" t="s">
        <v>614</v>
      </c>
      <c r="E28345" s="3" t="s">
        <v>118</v>
      </c>
      <c r="F28345" s="7">
        <v>46290.34992334707</v>
      </c>
      <c r="G28345" s="3" t="s">
        <v>19386</v>
      </c>
    </row>
    <row r="28346">
      <c r="A28346" s="3" t="s">
        <v>44834</v>
      </c>
      <c r="B28346" s="3" t="s">
        <v>22685</v>
      </c>
      <c r="C28346" s="5" t="s">
        <v>614</v>
      </c>
      <c r="D28346" s="3" t="s">
        <v>206</v>
      </c>
      <c r="E28346" s="3" t="s">
        <v>100</v>
      </c>
      <c r="F28346" s="7">
        <v>46290.3533955693</v>
      </c>
      <c r="G28346" s="3" t="s">
        <v>19389</v>
      </c>
    </row>
    <row r="28347">
      <c r="A28347" s="3" t="s">
        <v>44835</v>
      </c>
      <c r="B28347" s="3" t="s">
        <v>22685</v>
      </c>
      <c r="C28347" s="5" t="s">
        <v>206</v>
      </c>
      <c r="D28347" s="3" t="s">
        <v>68</v>
      </c>
      <c r="E28347" s="3" t="s">
        <v>100</v>
      </c>
      <c r="F28347" s="7">
        <v>46290.35686779152</v>
      </c>
      <c r="G28347" s="3" t="s">
        <v>19391</v>
      </c>
    </row>
    <row r="28348">
      <c r="A28348" s="3" t="s">
        <v>44836</v>
      </c>
      <c r="B28348" s="3" t="s">
        <v>22687</v>
      </c>
      <c r="C28348" s="5" t="s">
        <v>45</v>
      </c>
      <c r="D28348" s="3" t="s">
        <v>221</v>
      </c>
      <c r="E28348" s="3" t="s">
        <v>530</v>
      </c>
      <c r="F28348" s="7">
        <v>46290.417625970265</v>
      </c>
      <c r="G28348" s="3" t="s">
        <v>15349</v>
      </c>
    </row>
    <row r="28349">
      <c r="A28349" s="3" t="s">
        <v>44837</v>
      </c>
      <c r="B28349" s="3" t="s">
        <v>22687</v>
      </c>
      <c r="C28349" s="5" t="s">
        <v>221</v>
      </c>
      <c r="D28349" s="3" t="s">
        <v>614</v>
      </c>
      <c r="E28349" s="3" t="s">
        <v>118</v>
      </c>
      <c r="F28349" s="7">
        <v>46290.421098192484</v>
      </c>
      <c r="G28349" s="3" t="s">
        <v>15352</v>
      </c>
    </row>
    <row r="28350">
      <c r="A28350" s="3" t="s">
        <v>44838</v>
      </c>
      <c r="B28350" s="3" t="s">
        <v>22687</v>
      </c>
      <c r="C28350" s="5" t="s">
        <v>614</v>
      </c>
      <c r="D28350" s="3" t="s">
        <v>206</v>
      </c>
      <c r="E28350" s="3" t="s">
        <v>100</v>
      </c>
      <c r="F28350" s="7">
        <v>46290.42457041471</v>
      </c>
      <c r="G28350" s="3" t="s">
        <v>15355</v>
      </c>
    </row>
    <row r="28351">
      <c r="A28351" s="3" t="s">
        <v>44839</v>
      </c>
      <c r="B28351" s="3" t="s">
        <v>22687</v>
      </c>
      <c r="C28351" s="5" t="s">
        <v>206</v>
      </c>
      <c r="D28351" s="3" t="s">
        <v>68</v>
      </c>
      <c r="E28351" s="3" t="s">
        <v>100</v>
      </c>
      <c r="F28351" s="7">
        <v>46290.42804263693</v>
      </c>
      <c r="G28351" s="3" t="s">
        <v>15358</v>
      </c>
    </row>
    <row r="28352">
      <c r="A28352" s="3" t="s">
        <v>44840</v>
      </c>
      <c r="B28352" s="3" t="s">
        <v>22689</v>
      </c>
      <c r="C28352" s="5" t="s">
        <v>45</v>
      </c>
      <c r="D28352" s="3" t="s">
        <v>221</v>
      </c>
      <c r="E28352" s="3" t="s">
        <v>239</v>
      </c>
      <c r="F28352" s="7">
        <v>46290.48880081568</v>
      </c>
      <c r="G28352" s="3" t="s">
        <v>17503</v>
      </c>
    </row>
    <row r="28353">
      <c r="A28353" s="3" t="s">
        <v>44841</v>
      </c>
      <c r="B28353" s="3" t="s">
        <v>22689</v>
      </c>
      <c r="C28353" s="5" t="s">
        <v>221</v>
      </c>
      <c r="D28353" s="3" t="s">
        <v>614</v>
      </c>
      <c r="E28353" s="3" t="s">
        <v>118</v>
      </c>
      <c r="F28353" s="7">
        <v>46290.4922730379</v>
      </c>
      <c r="G28353" s="3" t="s">
        <v>17506</v>
      </c>
    </row>
    <row r="28354">
      <c r="A28354" s="3" t="s">
        <v>44842</v>
      </c>
      <c r="B28354" s="3" t="s">
        <v>22689</v>
      </c>
      <c r="C28354" s="5" t="s">
        <v>614</v>
      </c>
      <c r="D28354" s="3" t="s">
        <v>206</v>
      </c>
      <c r="E28354" s="3" t="s">
        <v>100</v>
      </c>
      <c r="F28354" s="7">
        <v>46290.49574526012</v>
      </c>
      <c r="G28354" s="3" t="s">
        <v>17509</v>
      </c>
    </row>
    <row r="28355">
      <c r="A28355" s="3" t="s">
        <v>44843</v>
      </c>
      <c r="B28355" s="3" t="s">
        <v>22689</v>
      </c>
      <c r="C28355" s="5" t="s">
        <v>206</v>
      </c>
      <c r="D28355" s="3" t="s">
        <v>68</v>
      </c>
      <c r="E28355" s="3" t="s">
        <v>100</v>
      </c>
      <c r="F28355" s="7">
        <v>46290.49921748234</v>
      </c>
      <c r="G28355" s="3" t="s">
        <v>17511</v>
      </c>
    </row>
    <row r="28356">
      <c r="A28356" s="3" t="s">
        <v>44844</v>
      </c>
      <c r="B28356" s="3" t="s">
        <v>22691</v>
      </c>
      <c r="C28356" s="5" t="s">
        <v>45</v>
      </c>
      <c r="D28356" s="3" t="s">
        <v>221</v>
      </c>
      <c r="E28356" s="3" t="s">
        <v>233</v>
      </c>
      <c r="F28356" s="7">
        <v>46290.5599756611</v>
      </c>
      <c r="G28356" s="3" t="s">
        <v>2746</v>
      </c>
    </row>
    <row r="28357">
      <c r="A28357" s="3" t="s">
        <v>44845</v>
      </c>
      <c r="B28357" s="3" t="s">
        <v>22691</v>
      </c>
      <c r="C28357" s="5" t="s">
        <v>221</v>
      </c>
      <c r="D28357" s="3" t="s">
        <v>614</v>
      </c>
      <c r="E28357" s="3" t="s">
        <v>118</v>
      </c>
      <c r="F28357" s="7">
        <v>46290.563447883316</v>
      </c>
      <c r="G28357" s="3" t="s">
        <v>2749</v>
      </c>
    </row>
    <row r="28358">
      <c r="A28358" s="3" t="s">
        <v>44846</v>
      </c>
      <c r="B28358" s="3" t="s">
        <v>22691</v>
      </c>
      <c r="C28358" s="5" t="s">
        <v>614</v>
      </c>
      <c r="D28358" s="3" t="s">
        <v>206</v>
      </c>
      <c r="E28358" s="3" t="s">
        <v>100</v>
      </c>
      <c r="F28358" s="7">
        <v>46290.56692010554</v>
      </c>
      <c r="G28358" s="3" t="s">
        <v>2752</v>
      </c>
    </row>
    <row r="28359">
      <c r="A28359" s="3" t="s">
        <v>44847</v>
      </c>
      <c r="B28359" s="3" t="s">
        <v>22691</v>
      </c>
      <c r="C28359" s="5" t="s">
        <v>206</v>
      </c>
      <c r="D28359" s="3" t="s">
        <v>68</v>
      </c>
      <c r="E28359" s="3" t="s">
        <v>100</v>
      </c>
      <c r="F28359" s="7">
        <v>46290.57039232776</v>
      </c>
      <c r="G28359" s="3" t="s">
        <v>2755</v>
      </c>
    </row>
    <row r="28360">
      <c r="A28360" s="3" t="s">
        <v>44848</v>
      </c>
      <c r="B28360" s="3" t="s">
        <v>22693</v>
      </c>
      <c r="C28360" s="5" t="s">
        <v>45</v>
      </c>
      <c r="D28360" s="3" t="s">
        <v>221</v>
      </c>
      <c r="E28360" s="3" t="s">
        <v>640</v>
      </c>
      <c r="F28360" s="7">
        <v>46290.63115050651</v>
      </c>
      <c r="G28360" s="3" t="s">
        <v>2758</v>
      </c>
    </row>
    <row r="28361">
      <c r="A28361" s="3" t="s">
        <v>44849</v>
      </c>
      <c r="B28361" s="3" t="s">
        <v>22693</v>
      </c>
      <c r="C28361" s="5" t="s">
        <v>221</v>
      </c>
      <c r="D28361" s="3" t="s">
        <v>614</v>
      </c>
      <c r="E28361" s="3" t="s">
        <v>118</v>
      </c>
      <c r="F28361" s="7">
        <v>46290.63462272873</v>
      </c>
      <c r="G28361" s="3" t="s">
        <v>2762</v>
      </c>
    </row>
    <row r="28362">
      <c r="A28362" s="3" t="s">
        <v>44850</v>
      </c>
      <c r="B28362" s="3" t="s">
        <v>22693</v>
      </c>
      <c r="C28362" s="5" t="s">
        <v>614</v>
      </c>
      <c r="D28362" s="3" t="s">
        <v>206</v>
      </c>
      <c r="E28362" s="3" t="s">
        <v>100</v>
      </c>
      <c r="F28362" s="7">
        <v>46290.638094950955</v>
      </c>
      <c r="G28362" s="3" t="s">
        <v>2765</v>
      </c>
    </row>
    <row r="28363">
      <c r="A28363" s="3" t="s">
        <v>44851</v>
      </c>
      <c r="B28363" s="3" t="s">
        <v>22693</v>
      </c>
      <c r="C28363" s="5" t="s">
        <v>206</v>
      </c>
      <c r="D28363" s="3" t="s">
        <v>68</v>
      </c>
      <c r="E28363" s="3" t="s">
        <v>100</v>
      </c>
      <c r="F28363" s="7">
        <v>46290.641567173174</v>
      </c>
      <c r="G28363" s="3" t="s">
        <v>2767</v>
      </c>
    </row>
    <row r="28364">
      <c r="A28364" s="3" t="s">
        <v>44852</v>
      </c>
      <c r="B28364" s="3" t="s">
        <v>22695</v>
      </c>
      <c r="C28364" s="5" t="s">
        <v>45</v>
      </c>
      <c r="D28364" s="3" t="s">
        <v>221</v>
      </c>
      <c r="E28364" s="3" t="s">
        <v>547</v>
      </c>
      <c r="F28364" s="7">
        <v>46290.70232535192</v>
      </c>
      <c r="G28364" s="3" t="s">
        <v>4782</v>
      </c>
    </row>
    <row r="28365">
      <c r="A28365" s="3" t="s">
        <v>44853</v>
      </c>
      <c r="B28365" s="3" t="s">
        <v>22695</v>
      </c>
      <c r="C28365" s="5" t="s">
        <v>221</v>
      </c>
      <c r="D28365" s="3" t="s">
        <v>614</v>
      </c>
      <c r="E28365" s="3" t="s">
        <v>118</v>
      </c>
      <c r="F28365" s="7">
        <v>46290.70579757414</v>
      </c>
      <c r="G28365" s="3" t="s">
        <v>5411</v>
      </c>
    </row>
    <row r="28366">
      <c r="A28366" s="3" t="s">
        <v>44854</v>
      </c>
      <c r="B28366" s="3" t="s">
        <v>22695</v>
      </c>
      <c r="C28366" s="5" t="s">
        <v>614</v>
      </c>
      <c r="D28366" s="3" t="s">
        <v>206</v>
      </c>
      <c r="E28366" s="3" t="s">
        <v>100</v>
      </c>
      <c r="F28366" s="7">
        <v>46290.70926979637</v>
      </c>
      <c r="G28366" s="3" t="s">
        <v>5413</v>
      </c>
    </row>
    <row r="28367">
      <c r="A28367" s="3" t="s">
        <v>44855</v>
      </c>
      <c r="B28367" s="3" t="s">
        <v>22695</v>
      </c>
      <c r="C28367" s="5" t="s">
        <v>206</v>
      </c>
      <c r="D28367" s="3" t="s">
        <v>68</v>
      </c>
      <c r="E28367" s="3" t="s">
        <v>100</v>
      </c>
      <c r="F28367" s="7">
        <v>46290.712742018586</v>
      </c>
      <c r="G28367" s="3" t="s">
        <v>5417</v>
      </c>
    </row>
    <row r="28368">
      <c r="A28368" s="3" t="s">
        <v>44856</v>
      </c>
      <c r="B28368" s="3" t="s">
        <v>22697</v>
      </c>
      <c r="C28368" s="5" t="s">
        <v>45</v>
      </c>
      <c r="D28368" s="3" t="s">
        <v>221</v>
      </c>
      <c r="E28368" s="3" t="s">
        <v>383</v>
      </c>
      <c r="F28368" s="7">
        <v>46290.77350019734</v>
      </c>
      <c r="G28368" s="3" t="s">
        <v>14269</v>
      </c>
    </row>
    <row r="28369">
      <c r="A28369" s="3" t="s">
        <v>44857</v>
      </c>
      <c r="B28369" s="3" t="s">
        <v>22697</v>
      </c>
      <c r="C28369" s="5" t="s">
        <v>221</v>
      </c>
      <c r="D28369" s="3" t="s">
        <v>614</v>
      </c>
      <c r="E28369" s="3" t="s">
        <v>118</v>
      </c>
      <c r="F28369" s="7">
        <v>46290.77697241956</v>
      </c>
      <c r="G28369" s="3" t="s">
        <v>14272</v>
      </c>
    </row>
    <row r="28370">
      <c r="A28370" s="3" t="s">
        <v>44858</v>
      </c>
      <c r="B28370" s="3" t="s">
        <v>22697</v>
      </c>
      <c r="C28370" s="5" t="s">
        <v>614</v>
      </c>
      <c r="D28370" s="3" t="s">
        <v>206</v>
      </c>
      <c r="E28370" s="3" t="s">
        <v>100</v>
      </c>
      <c r="F28370" s="7">
        <v>46290.78044464179</v>
      </c>
      <c r="G28370" s="3" t="s">
        <v>14274</v>
      </c>
    </row>
    <row r="28371">
      <c r="A28371" s="3" t="s">
        <v>44859</v>
      </c>
      <c r="B28371" s="3" t="s">
        <v>22697</v>
      </c>
      <c r="C28371" s="5" t="s">
        <v>206</v>
      </c>
      <c r="D28371" s="3" t="s">
        <v>68</v>
      </c>
      <c r="E28371" s="3" t="s">
        <v>100</v>
      </c>
      <c r="F28371" s="7">
        <v>46290.783916864006</v>
      </c>
      <c r="G28371" s="3" t="s">
        <v>14277</v>
      </c>
    </row>
    <row r="28372">
      <c r="A28372" s="3" t="s">
        <v>44860</v>
      </c>
      <c r="B28372" s="3" t="s">
        <v>22700</v>
      </c>
      <c r="C28372" s="5" t="s">
        <v>45</v>
      </c>
      <c r="D28372" s="3" t="s">
        <v>221</v>
      </c>
      <c r="E28372" s="3" t="s">
        <v>475</v>
      </c>
      <c r="F28372" s="7">
        <v>46290.84467504276</v>
      </c>
      <c r="G28372" s="3" t="s">
        <v>28222</v>
      </c>
    </row>
    <row r="28373">
      <c r="A28373" s="3" t="s">
        <v>44861</v>
      </c>
      <c r="B28373" s="3" t="s">
        <v>22700</v>
      </c>
      <c r="C28373" s="5" t="s">
        <v>221</v>
      </c>
      <c r="D28373" s="3" t="s">
        <v>614</v>
      </c>
      <c r="E28373" s="3" t="s">
        <v>118</v>
      </c>
      <c r="F28373" s="7">
        <v>46290.84814726498</v>
      </c>
      <c r="G28373" s="3" t="s">
        <v>28224</v>
      </c>
    </row>
    <row r="28374">
      <c r="A28374" s="3" t="s">
        <v>44862</v>
      </c>
      <c r="B28374" s="3" t="s">
        <v>22700</v>
      </c>
      <c r="C28374" s="5" t="s">
        <v>614</v>
      </c>
      <c r="D28374" s="3" t="s">
        <v>206</v>
      </c>
      <c r="E28374" s="3" t="s">
        <v>100</v>
      </c>
      <c r="F28374" s="7">
        <v>46290.851619487206</v>
      </c>
      <c r="G28374" s="3" t="s">
        <v>28226</v>
      </c>
    </row>
    <row r="28375">
      <c r="A28375" s="3" t="s">
        <v>44863</v>
      </c>
      <c r="B28375" s="3" t="s">
        <v>22700</v>
      </c>
      <c r="C28375" s="5" t="s">
        <v>206</v>
      </c>
      <c r="D28375" s="3" t="s">
        <v>68</v>
      </c>
      <c r="E28375" s="3" t="s">
        <v>100</v>
      </c>
      <c r="F28375" s="7">
        <v>46290.855091709425</v>
      </c>
      <c r="G28375" s="3" t="s">
        <v>28228</v>
      </c>
    </row>
    <row r="28376">
      <c r="A28376" s="3" t="s">
        <v>44864</v>
      </c>
      <c r="B28376" s="3" t="s">
        <v>22704</v>
      </c>
      <c r="C28376" s="5" t="s">
        <v>45</v>
      </c>
      <c r="D28376" s="3" t="s">
        <v>221</v>
      </c>
      <c r="E28376" s="3" t="s">
        <v>972</v>
      </c>
      <c r="F28376" s="7">
        <v>46290.915849888166</v>
      </c>
      <c r="G28376" s="3" t="s">
        <v>29773</v>
      </c>
    </row>
    <row r="28377">
      <c r="A28377" s="3" t="s">
        <v>44865</v>
      </c>
      <c r="B28377" s="3" t="s">
        <v>22704</v>
      </c>
      <c r="C28377" s="5" t="s">
        <v>221</v>
      </c>
      <c r="D28377" s="3" t="s">
        <v>614</v>
      </c>
      <c r="E28377" s="3" t="s">
        <v>118</v>
      </c>
      <c r="F28377" s="7">
        <v>46290.919322110385</v>
      </c>
      <c r="G28377" s="3" t="s">
        <v>29775</v>
      </c>
    </row>
    <row r="28378">
      <c r="A28378" s="3" t="s">
        <v>44866</v>
      </c>
      <c r="B28378" s="3" t="s">
        <v>22704</v>
      </c>
      <c r="C28378" s="5" t="s">
        <v>614</v>
      </c>
      <c r="D28378" s="3" t="s">
        <v>206</v>
      </c>
      <c r="E28378" s="3" t="s">
        <v>100</v>
      </c>
      <c r="F28378" s="7">
        <v>46290.92279433261</v>
      </c>
      <c r="G28378" s="3" t="s">
        <v>29777</v>
      </c>
    </row>
    <row r="28379">
      <c r="A28379" s="3" t="s">
        <v>44867</v>
      </c>
      <c r="B28379" s="3" t="s">
        <v>22704</v>
      </c>
      <c r="C28379" s="5" t="s">
        <v>206</v>
      </c>
      <c r="D28379" s="3" t="s">
        <v>68</v>
      </c>
      <c r="E28379" s="3" t="s">
        <v>100</v>
      </c>
      <c r="F28379" s="7">
        <v>46290.92626655483</v>
      </c>
      <c r="G28379" s="3" t="s">
        <v>29779</v>
      </c>
    </row>
    <row r="28380">
      <c r="A28380" s="3" t="s">
        <v>44868</v>
      </c>
      <c r="B28380" s="3" t="s">
        <v>22706</v>
      </c>
      <c r="C28380" s="5" t="s">
        <v>45</v>
      </c>
      <c r="D28380" s="3" t="s">
        <v>221</v>
      </c>
      <c r="E28380" s="3" t="s">
        <v>276</v>
      </c>
      <c r="F28380" s="7">
        <v>46290.987024733586</v>
      </c>
      <c r="G28380" s="3" t="s">
        <v>2781</v>
      </c>
    </row>
    <row r="28381">
      <c r="A28381" s="3" t="s">
        <v>44869</v>
      </c>
      <c r="B28381" s="3" t="s">
        <v>22706</v>
      </c>
      <c r="C28381" s="5" t="s">
        <v>221</v>
      </c>
      <c r="D28381" s="3" t="s">
        <v>614</v>
      </c>
      <c r="E28381" s="3" t="s">
        <v>118</v>
      </c>
      <c r="F28381" s="7">
        <v>46290.990496955805</v>
      </c>
      <c r="G28381" s="3" t="s">
        <v>2784</v>
      </c>
    </row>
    <row r="28382">
      <c r="A28382" s="3" t="s">
        <v>44870</v>
      </c>
      <c r="B28382" s="3" t="s">
        <v>22706</v>
      </c>
      <c r="C28382" s="5" t="s">
        <v>614</v>
      </c>
      <c r="D28382" s="3" t="s">
        <v>206</v>
      </c>
      <c r="E28382" s="3" t="s">
        <v>100</v>
      </c>
      <c r="F28382" s="7">
        <v>46290.99396917803</v>
      </c>
      <c r="G28382" s="3" t="s">
        <v>2787</v>
      </c>
    </row>
    <row r="28383">
      <c r="A28383" s="3" t="s">
        <v>44871</v>
      </c>
      <c r="B28383" s="3" t="s">
        <v>22706</v>
      </c>
      <c r="C28383" s="5" t="s">
        <v>206</v>
      </c>
      <c r="D28383" s="3" t="s">
        <v>68</v>
      </c>
      <c r="E28383" s="3" t="s">
        <v>100</v>
      </c>
      <c r="F28383" s="7">
        <v>46290.99744140025</v>
      </c>
      <c r="G28383" s="3" t="s">
        <v>2790</v>
      </c>
    </row>
    <row r="28384">
      <c r="A28384" s="3" t="s">
        <v>44872</v>
      </c>
      <c r="B28384" s="3" t="s">
        <v>22709</v>
      </c>
      <c r="C28384" s="5" t="s">
        <v>45</v>
      </c>
      <c r="D28384" s="3" t="s">
        <v>221</v>
      </c>
      <c r="E28384" s="3" t="s">
        <v>501</v>
      </c>
      <c r="F28384" s="7">
        <v>46291.058199579</v>
      </c>
      <c r="G28384" s="3" t="s">
        <v>2793</v>
      </c>
    </row>
    <row r="28385">
      <c r="A28385" s="3" t="s">
        <v>44873</v>
      </c>
      <c r="B28385" s="3" t="s">
        <v>22709</v>
      </c>
      <c r="C28385" s="5" t="s">
        <v>221</v>
      </c>
      <c r="D28385" s="3" t="s">
        <v>614</v>
      </c>
      <c r="E28385" s="3" t="s">
        <v>118</v>
      </c>
      <c r="F28385" s="7">
        <v>46291.06167180122</v>
      </c>
      <c r="G28385" s="3" t="s">
        <v>2796</v>
      </c>
    </row>
    <row r="28386">
      <c r="A28386" s="3" t="s">
        <v>44874</v>
      </c>
      <c r="B28386" s="3" t="s">
        <v>22709</v>
      </c>
      <c r="C28386" s="5" t="s">
        <v>614</v>
      </c>
      <c r="D28386" s="3" t="s">
        <v>206</v>
      </c>
      <c r="E28386" s="3" t="s">
        <v>100</v>
      </c>
      <c r="F28386" s="7">
        <v>46291.06514402344</v>
      </c>
      <c r="G28386" s="3" t="s">
        <v>2799</v>
      </c>
    </row>
    <row r="28387">
      <c r="A28387" s="3" t="s">
        <v>44875</v>
      </c>
      <c r="B28387" s="3" t="s">
        <v>22709</v>
      </c>
      <c r="C28387" s="5" t="s">
        <v>206</v>
      </c>
      <c r="D28387" s="3" t="s">
        <v>68</v>
      </c>
      <c r="E28387" s="3" t="s">
        <v>100</v>
      </c>
      <c r="F28387" s="7">
        <v>46291.06861624566</v>
      </c>
      <c r="G28387" s="3" t="s">
        <v>2801</v>
      </c>
    </row>
    <row r="28388">
      <c r="A28388" s="3" t="s">
        <v>44876</v>
      </c>
      <c r="B28388" s="3" t="s">
        <v>22711</v>
      </c>
      <c r="C28388" s="5" t="s">
        <v>45</v>
      </c>
      <c r="D28388" s="3" t="s">
        <v>221</v>
      </c>
      <c r="E28388" s="3" t="s">
        <v>330</v>
      </c>
      <c r="F28388" s="7">
        <v>46291.12937442442</v>
      </c>
      <c r="G28388" s="3" t="s">
        <v>2808</v>
      </c>
    </row>
    <row r="28389">
      <c r="A28389" s="3" t="s">
        <v>44877</v>
      </c>
      <c r="B28389" s="3" t="s">
        <v>22711</v>
      </c>
      <c r="C28389" s="5" t="s">
        <v>221</v>
      </c>
      <c r="D28389" s="3" t="s">
        <v>614</v>
      </c>
      <c r="E28389" s="3" t="s">
        <v>118</v>
      </c>
      <c r="F28389" s="7">
        <v>46291.13284664664</v>
      </c>
      <c r="G28389" s="3" t="s">
        <v>2811</v>
      </c>
    </row>
    <row r="28390">
      <c r="A28390" s="3" t="s">
        <v>44878</v>
      </c>
      <c r="B28390" s="3" t="s">
        <v>22711</v>
      </c>
      <c r="C28390" s="5" t="s">
        <v>614</v>
      </c>
      <c r="D28390" s="3" t="s">
        <v>206</v>
      </c>
      <c r="E28390" s="3" t="s">
        <v>100</v>
      </c>
      <c r="F28390" s="7">
        <v>46291.13631886886</v>
      </c>
      <c r="G28390" s="3" t="s">
        <v>2814</v>
      </c>
    </row>
    <row r="28391">
      <c r="A28391" s="3" t="s">
        <v>44879</v>
      </c>
      <c r="B28391" s="3" t="s">
        <v>22711</v>
      </c>
      <c r="C28391" s="5" t="s">
        <v>206</v>
      </c>
      <c r="D28391" s="3" t="s">
        <v>68</v>
      </c>
      <c r="E28391" s="3" t="s">
        <v>100</v>
      </c>
      <c r="F28391" s="7">
        <v>46291.13979109108</v>
      </c>
      <c r="G28391" s="3" t="s">
        <v>2817</v>
      </c>
    </row>
    <row r="28392">
      <c r="A28392" s="3" t="s">
        <v>44880</v>
      </c>
      <c r="B28392" s="3" t="s">
        <v>22713</v>
      </c>
      <c r="C28392" s="5" t="s">
        <v>45</v>
      </c>
      <c r="D28392" s="3" t="s">
        <v>221</v>
      </c>
      <c r="E28392" s="3" t="s">
        <v>293</v>
      </c>
      <c r="F28392" s="7">
        <v>46291.20054926983</v>
      </c>
      <c r="G28392" s="3" t="s">
        <v>18246</v>
      </c>
    </row>
    <row r="28393">
      <c r="A28393" s="3" t="s">
        <v>44881</v>
      </c>
      <c r="B28393" s="3" t="s">
        <v>22713</v>
      </c>
      <c r="C28393" s="5" t="s">
        <v>221</v>
      </c>
      <c r="D28393" s="3" t="s">
        <v>614</v>
      </c>
      <c r="E28393" s="3" t="s">
        <v>118</v>
      </c>
      <c r="F28393" s="7">
        <v>46291.20402149205</v>
      </c>
      <c r="G28393" s="3" t="s">
        <v>18249</v>
      </c>
    </row>
    <row r="28394">
      <c r="A28394" s="3" t="s">
        <v>44882</v>
      </c>
      <c r="B28394" s="3" t="s">
        <v>22713</v>
      </c>
      <c r="C28394" s="5" t="s">
        <v>614</v>
      </c>
      <c r="D28394" s="3" t="s">
        <v>206</v>
      </c>
      <c r="E28394" s="3" t="s">
        <v>100</v>
      </c>
      <c r="F28394" s="7">
        <v>46291.207493714275</v>
      </c>
      <c r="G28394" s="3" t="s">
        <v>18252</v>
      </c>
    </row>
    <row r="28395">
      <c r="A28395" s="3" t="s">
        <v>44883</v>
      </c>
      <c r="B28395" s="3" t="s">
        <v>22713</v>
      </c>
      <c r="C28395" s="5" t="s">
        <v>206</v>
      </c>
      <c r="D28395" s="3" t="s">
        <v>68</v>
      </c>
      <c r="E28395" s="3" t="s">
        <v>100</v>
      </c>
      <c r="F28395" s="7">
        <v>46291.210965936494</v>
      </c>
      <c r="G28395" s="3" t="s">
        <v>18254</v>
      </c>
    </row>
    <row r="28396">
      <c r="A28396" s="3" t="s">
        <v>44884</v>
      </c>
      <c r="B28396" s="3" t="s">
        <v>22715</v>
      </c>
      <c r="C28396" s="5" t="s">
        <v>45</v>
      </c>
      <c r="D28396" s="3" t="s">
        <v>221</v>
      </c>
      <c r="E28396" s="3" t="s">
        <v>491</v>
      </c>
      <c r="F28396" s="7">
        <v>46291.27172411525</v>
      </c>
      <c r="G28396" s="3" t="s">
        <v>12761</v>
      </c>
    </row>
    <row r="28397">
      <c r="A28397" s="3" t="s">
        <v>44885</v>
      </c>
      <c r="B28397" s="3" t="s">
        <v>22715</v>
      </c>
      <c r="C28397" s="5" t="s">
        <v>221</v>
      </c>
      <c r="D28397" s="3" t="s">
        <v>614</v>
      </c>
      <c r="E28397" s="3" t="s">
        <v>118</v>
      </c>
      <c r="F28397" s="7">
        <v>46291.27519633747</v>
      </c>
      <c r="G28397" s="3" t="s">
        <v>23944</v>
      </c>
    </row>
    <row r="28398">
      <c r="A28398" s="3" t="s">
        <v>44886</v>
      </c>
      <c r="B28398" s="3" t="s">
        <v>22715</v>
      </c>
      <c r="C28398" s="5" t="s">
        <v>614</v>
      </c>
      <c r="D28398" s="3" t="s">
        <v>206</v>
      </c>
      <c r="E28398" s="3" t="s">
        <v>100</v>
      </c>
      <c r="F28398" s="7">
        <v>46291.278668559695</v>
      </c>
      <c r="G28398" s="3" t="s">
        <v>23946</v>
      </c>
    </row>
    <row r="28399">
      <c r="A28399" s="3" t="s">
        <v>44887</v>
      </c>
      <c r="B28399" s="3" t="s">
        <v>22715</v>
      </c>
      <c r="C28399" s="5" t="s">
        <v>206</v>
      </c>
      <c r="D28399" s="3" t="s">
        <v>68</v>
      </c>
      <c r="E28399" s="3" t="s">
        <v>100</v>
      </c>
      <c r="F28399" s="7">
        <v>46291.282140781914</v>
      </c>
      <c r="G28399" s="3" t="s">
        <v>23948</v>
      </c>
    </row>
    <row r="28400">
      <c r="A28400" s="3" t="s">
        <v>44888</v>
      </c>
      <c r="B28400" s="3" t="s">
        <v>22717</v>
      </c>
      <c r="C28400" s="5" t="s">
        <v>45</v>
      </c>
      <c r="D28400" s="3" t="s">
        <v>221</v>
      </c>
      <c r="E28400" s="3" t="s">
        <v>505</v>
      </c>
      <c r="F28400" s="7">
        <v>46291.342898960655</v>
      </c>
      <c r="G28400" s="3" t="s">
        <v>21732</v>
      </c>
    </row>
    <row r="28401">
      <c r="A28401" s="3" t="s">
        <v>44889</v>
      </c>
      <c r="B28401" s="3" t="s">
        <v>22717</v>
      </c>
      <c r="C28401" s="5" t="s">
        <v>221</v>
      </c>
      <c r="D28401" s="3" t="s">
        <v>614</v>
      </c>
      <c r="E28401" s="3" t="s">
        <v>118</v>
      </c>
      <c r="F28401" s="7">
        <v>46291.34637118287</v>
      </c>
      <c r="G28401" s="3" t="s">
        <v>21735</v>
      </c>
    </row>
    <row r="28402">
      <c r="A28402" s="3" t="s">
        <v>44890</v>
      </c>
      <c r="B28402" s="3" t="s">
        <v>22717</v>
      </c>
      <c r="C28402" s="5" t="s">
        <v>614</v>
      </c>
      <c r="D28402" s="3" t="s">
        <v>206</v>
      </c>
      <c r="E28402" s="3" t="s">
        <v>100</v>
      </c>
      <c r="F28402" s="7">
        <v>46291.3498434051</v>
      </c>
      <c r="G28402" s="3" t="s">
        <v>21738</v>
      </c>
    </row>
    <row r="28403">
      <c r="A28403" s="3" t="s">
        <v>44891</v>
      </c>
      <c r="B28403" s="3" t="s">
        <v>22717</v>
      </c>
      <c r="C28403" s="5" t="s">
        <v>206</v>
      </c>
      <c r="D28403" s="3" t="s">
        <v>68</v>
      </c>
      <c r="E28403" s="3" t="s">
        <v>100</v>
      </c>
      <c r="F28403" s="7">
        <v>46291.35331562732</v>
      </c>
      <c r="G28403" s="3" t="s">
        <v>21740</v>
      </c>
    </row>
    <row r="28404">
      <c r="A28404" s="3" t="s">
        <v>44892</v>
      </c>
      <c r="B28404" s="3" t="s">
        <v>22719</v>
      </c>
      <c r="C28404" s="5" t="s">
        <v>45</v>
      </c>
      <c r="D28404" s="3" t="s">
        <v>221</v>
      </c>
      <c r="E28404" s="3" t="s">
        <v>333</v>
      </c>
      <c r="F28404" s="7">
        <v>46291.414073806074</v>
      </c>
      <c r="G28404" s="3" t="s">
        <v>34976</v>
      </c>
    </row>
    <row r="28405">
      <c r="A28405" s="3" t="s">
        <v>44893</v>
      </c>
      <c r="B28405" s="3" t="s">
        <v>22719</v>
      </c>
      <c r="C28405" s="5" t="s">
        <v>221</v>
      </c>
      <c r="D28405" s="3" t="s">
        <v>614</v>
      </c>
      <c r="E28405" s="3" t="s">
        <v>118</v>
      </c>
      <c r="F28405" s="7">
        <v>46291.41754602829</v>
      </c>
      <c r="G28405" s="3" t="s">
        <v>34978</v>
      </c>
    </row>
    <row r="28406">
      <c r="A28406" s="3" t="s">
        <v>44894</v>
      </c>
      <c r="B28406" s="3" t="s">
        <v>22719</v>
      </c>
      <c r="C28406" s="5" t="s">
        <v>614</v>
      </c>
      <c r="D28406" s="3" t="s">
        <v>206</v>
      </c>
      <c r="E28406" s="3" t="s">
        <v>100</v>
      </c>
      <c r="F28406" s="7">
        <v>46291.42101825052</v>
      </c>
      <c r="G28406" s="3" t="s">
        <v>34980</v>
      </c>
    </row>
    <row r="28407">
      <c r="A28407" s="3" t="s">
        <v>44895</v>
      </c>
      <c r="B28407" s="3" t="s">
        <v>22719</v>
      </c>
      <c r="C28407" s="5" t="s">
        <v>206</v>
      </c>
      <c r="D28407" s="3" t="s">
        <v>68</v>
      </c>
      <c r="E28407" s="3" t="s">
        <v>100</v>
      </c>
      <c r="F28407" s="7">
        <v>46291.42449047274</v>
      </c>
      <c r="G28407" s="3" t="s">
        <v>34982</v>
      </c>
    </row>
    <row r="28408">
      <c r="A28408" s="3" t="s">
        <v>44896</v>
      </c>
      <c r="B28408" s="3" t="s">
        <v>22721</v>
      </c>
      <c r="C28408" s="5" t="s">
        <v>45</v>
      </c>
      <c r="D28408" s="3" t="s">
        <v>221</v>
      </c>
      <c r="E28408" s="3" t="s">
        <v>805</v>
      </c>
      <c r="F28408" s="7">
        <v>46291.485248651494</v>
      </c>
      <c r="G28408" s="3" t="s">
        <v>19222</v>
      </c>
    </row>
    <row r="28409">
      <c r="A28409" s="3" t="s">
        <v>44897</v>
      </c>
      <c r="B28409" s="3" t="s">
        <v>22721</v>
      </c>
      <c r="C28409" s="5" t="s">
        <v>221</v>
      </c>
      <c r="D28409" s="3" t="s">
        <v>614</v>
      </c>
      <c r="E28409" s="3" t="s">
        <v>118</v>
      </c>
      <c r="F28409" s="7">
        <v>46291.48872087371</v>
      </c>
      <c r="G28409" s="3" t="s">
        <v>19224</v>
      </c>
    </row>
    <row r="28410">
      <c r="A28410" s="3" t="s">
        <v>44898</v>
      </c>
      <c r="B28410" s="3" t="s">
        <v>22721</v>
      </c>
      <c r="C28410" s="5" t="s">
        <v>614</v>
      </c>
      <c r="D28410" s="3" t="s">
        <v>206</v>
      </c>
      <c r="E28410" s="3" t="s">
        <v>100</v>
      </c>
      <c r="F28410" s="7">
        <v>46291.49219309594</v>
      </c>
      <c r="G28410" s="3" t="s">
        <v>19227</v>
      </c>
    </row>
    <row r="28411">
      <c r="A28411" s="3" t="s">
        <v>44899</v>
      </c>
      <c r="B28411" s="3" t="s">
        <v>22721</v>
      </c>
      <c r="C28411" s="5" t="s">
        <v>206</v>
      </c>
      <c r="D28411" s="3" t="s">
        <v>68</v>
      </c>
      <c r="E28411" s="3" t="s">
        <v>100</v>
      </c>
      <c r="F28411" s="7">
        <v>46291.49566531816</v>
      </c>
      <c r="G28411" s="3" t="s">
        <v>19230</v>
      </c>
    </row>
    <row r="28412">
      <c r="A28412" s="3" t="s">
        <v>44900</v>
      </c>
      <c r="B28412" s="3" t="s">
        <v>22725</v>
      </c>
      <c r="C28412" s="5" t="s">
        <v>45</v>
      </c>
      <c r="D28412" s="3" t="s">
        <v>221</v>
      </c>
      <c r="E28412" s="3" t="s">
        <v>202</v>
      </c>
      <c r="F28412" s="7">
        <v>46291.556423496906</v>
      </c>
      <c r="G28412" s="3" t="s">
        <v>16431</v>
      </c>
    </row>
    <row r="28413">
      <c r="A28413" s="3" t="s">
        <v>44901</v>
      </c>
      <c r="B28413" s="3" t="s">
        <v>22725</v>
      </c>
      <c r="C28413" s="5" t="s">
        <v>221</v>
      </c>
      <c r="D28413" s="3" t="s">
        <v>614</v>
      </c>
      <c r="E28413" s="3" t="s">
        <v>118</v>
      </c>
      <c r="F28413" s="7">
        <v>46291.559895719125</v>
      </c>
      <c r="G28413" s="3" t="s">
        <v>16434</v>
      </c>
    </row>
    <row r="28414">
      <c r="A28414" s="3" t="s">
        <v>44902</v>
      </c>
      <c r="B28414" s="3" t="s">
        <v>22725</v>
      </c>
      <c r="C28414" s="5" t="s">
        <v>614</v>
      </c>
      <c r="D28414" s="3" t="s">
        <v>206</v>
      </c>
      <c r="E28414" s="3" t="s">
        <v>100</v>
      </c>
      <c r="F28414" s="7">
        <v>46291.56336794135</v>
      </c>
      <c r="G28414" s="3" t="s">
        <v>16437</v>
      </c>
    </row>
    <row r="28415">
      <c r="A28415" s="3" t="s">
        <v>44903</v>
      </c>
      <c r="B28415" s="3" t="s">
        <v>22725</v>
      </c>
      <c r="C28415" s="5" t="s">
        <v>206</v>
      </c>
      <c r="D28415" s="3" t="s">
        <v>68</v>
      </c>
      <c r="E28415" s="3" t="s">
        <v>100</v>
      </c>
      <c r="F28415" s="7">
        <v>46291.56684016357</v>
      </c>
      <c r="G28415" s="3" t="s">
        <v>16440</v>
      </c>
    </row>
    <row r="28416">
      <c r="A28416" s="3" t="s">
        <v>44904</v>
      </c>
      <c r="B28416" s="3" t="s">
        <v>22728</v>
      </c>
      <c r="C28416" s="5" t="s">
        <v>45</v>
      </c>
      <c r="D28416" s="3" t="s">
        <v>221</v>
      </c>
      <c r="E28416" s="3" t="s">
        <v>211</v>
      </c>
      <c r="F28416" s="7">
        <v>46291.62759834232</v>
      </c>
      <c r="G28416" s="3" t="s">
        <v>5696</v>
      </c>
    </row>
    <row r="28417">
      <c r="A28417" s="3" t="s">
        <v>44905</v>
      </c>
      <c r="B28417" s="3" t="s">
        <v>22728</v>
      </c>
      <c r="C28417" s="5" t="s">
        <v>221</v>
      </c>
      <c r="D28417" s="3" t="s">
        <v>614</v>
      </c>
      <c r="E28417" s="3" t="s">
        <v>118</v>
      </c>
      <c r="F28417" s="7">
        <v>46291.63107056454</v>
      </c>
      <c r="G28417" s="3" t="s">
        <v>5699</v>
      </c>
    </row>
    <row r="28418">
      <c r="A28418" s="3" t="s">
        <v>44906</v>
      </c>
      <c r="B28418" s="3" t="s">
        <v>22728</v>
      </c>
      <c r="C28418" s="5" t="s">
        <v>614</v>
      </c>
      <c r="D28418" s="3" t="s">
        <v>206</v>
      </c>
      <c r="E28418" s="3" t="s">
        <v>100</v>
      </c>
      <c r="F28418" s="7">
        <v>46291.63454278676</v>
      </c>
      <c r="G28418" s="3" t="s">
        <v>5701</v>
      </c>
    </row>
    <row r="28419">
      <c r="A28419" s="3" t="s">
        <v>44907</v>
      </c>
      <c r="B28419" s="3" t="s">
        <v>22728</v>
      </c>
      <c r="C28419" s="5" t="s">
        <v>206</v>
      </c>
      <c r="D28419" s="3" t="s">
        <v>68</v>
      </c>
      <c r="E28419" s="3" t="s">
        <v>100</v>
      </c>
      <c r="F28419" s="7">
        <v>46291.63801500898</v>
      </c>
      <c r="G28419" s="3" t="s">
        <v>5704</v>
      </c>
    </row>
    <row r="28420">
      <c r="A28420" s="3" t="s">
        <v>44908</v>
      </c>
      <c r="B28420" s="3" t="s">
        <v>22731</v>
      </c>
      <c r="C28420" s="5" t="s">
        <v>45</v>
      </c>
      <c r="D28420" s="3" t="s">
        <v>221</v>
      </c>
      <c r="E28420" s="3" t="s">
        <v>516</v>
      </c>
      <c r="F28420" s="7">
        <v>46291.69877318774</v>
      </c>
      <c r="G28420" s="3" t="s">
        <v>2820</v>
      </c>
    </row>
    <row r="28421">
      <c r="A28421" s="3" t="s">
        <v>44909</v>
      </c>
      <c r="B28421" s="3" t="s">
        <v>22731</v>
      </c>
      <c r="C28421" s="5" t="s">
        <v>221</v>
      </c>
      <c r="D28421" s="3" t="s">
        <v>614</v>
      </c>
      <c r="E28421" s="3" t="s">
        <v>118</v>
      </c>
      <c r="F28421" s="7">
        <v>46291.70224540996</v>
      </c>
      <c r="G28421" s="3" t="s">
        <v>2823</v>
      </c>
    </row>
    <row r="28422">
      <c r="A28422" s="3" t="s">
        <v>44910</v>
      </c>
      <c r="B28422" s="3" t="s">
        <v>22731</v>
      </c>
      <c r="C28422" s="5" t="s">
        <v>614</v>
      </c>
      <c r="D28422" s="3" t="s">
        <v>206</v>
      </c>
      <c r="E28422" s="3" t="s">
        <v>100</v>
      </c>
      <c r="F28422" s="7">
        <v>46291.70571763218</v>
      </c>
      <c r="G28422" s="3" t="s">
        <v>2826</v>
      </c>
    </row>
    <row r="28423">
      <c r="A28423" s="3" t="s">
        <v>44911</v>
      </c>
      <c r="B28423" s="3" t="s">
        <v>22731</v>
      </c>
      <c r="C28423" s="5" t="s">
        <v>206</v>
      </c>
      <c r="D28423" s="3" t="s">
        <v>68</v>
      </c>
      <c r="E28423" s="3" t="s">
        <v>100</v>
      </c>
      <c r="F28423" s="7">
        <v>46291.7091898544</v>
      </c>
      <c r="G28423" s="3" t="s">
        <v>2829</v>
      </c>
    </row>
    <row r="28424">
      <c r="A28424" s="3" t="s">
        <v>44912</v>
      </c>
      <c r="B28424" s="3" t="s">
        <v>22733</v>
      </c>
      <c r="C28424" s="5" t="s">
        <v>45</v>
      </c>
      <c r="D28424" s="3" t="s">
        <v>221</v>
      </c>
      <c r="E28424" s="3" t="s">
        <v>523</v>
      </c>
      <c r="F28424" s="7">
        <v>46291.76994803315</v>
      </c>
      <c r="G28424" s="3" t="s">
        <v>2831</v>
      </c>
    </row>
    <row r="28425">
      <c r="A28425" s="3" t="s">
        <v>44913</v>
      </c>
      <c r="B28425" s="3" t="s">
        <v>22733</v>
      </c>
      <c r="C28425" s="5" t="s">
        <v>221</v>
      </c>
      <c r="D28425" s="3" t="s">
        <v>614</v>
      </c>
      <c r="E28425" s="3" t="s">
        <v>118</v>
      </c>
      <c r="F28425" s="7">
        <v>46291.77342025537</v>
      </c>
      <c r="G28425" s="3" t="s">
        <v>2834</v>
      </c>
    </row>
    <row r="28426">
      <c r="A28426" s="3" t="s">
        <v>44914</v>
      </c>
      <c r="B28426" s="3" t="s">
        <v>22733</v>
      </c>
      <c r="C28426" s="5" t="s">
        <v>614</v>
      </c>
      <c r="D28426" s="3" t="s">
        <v>206</v>
      </c>
      <c r="E28426" s="3" t="s">
        <v>100</v>
      </c>
      <c r="F28426" s="7">
        <v>46291.776892477596</v>
      </c>
      <c r="G28426" s="3" t="s">
        <v>2837</v>
      </c>
    </row>
    <row r="28427">
      <c r="A28427" s="3" t="s">
        <v>44915</v>
      </c>
      <c r="B28427" s="3" t="s">
        <v>22733</v>
      </c>
      <c r="C28427" s="5" t="s">
        <v>206</v>
      </c>
      <c r="D28427" s="3" t="s">
        <v>68</v>
      </c>
      <c r="E28427" s="3" t="s">
        <v>100</v>
      </c>
      <c r="F28427" s="7">
        <v>46291.780364699815</v>
      </c>
      <c r="G28427" s="3" t="s">
        <v>2840</v>
      </c>
    </row>
    <row r="28428">
      <c r="A28428" s="3" t="s">
        <v>44916</v>
      </c>
      <c r="B28428" s="3" t="s">
        <v>22735</v>
      </c>
      <c r="C28428" s="5" t="s">
        <v>45</v>
      </c>
      <c r="D28428" s="3" t="s">
        <v>221</v>
      </c>
      <c r="E28428" s="3" t="s">
        <v>260</v>
      </c>
      <c r="F28428" s="7">
        <v>46291.84112287856</v>
      </c>
      <c r="G28428" s="3" t="s">
        <v>2843</v>
      </c>
    </row>
    <row r="28429">
      <c r="A28429" s="3" t="s">
        <v>44917</v>
      </c>
      <c r="B28429" s="3" t="s">
        <v>22735</v>
      </c>
      <c r="C28429" s="5" t="s">
        <v>221</v>
      </c>
      <c r="D28429" s="3" t="s">
        <v>614</v>
      </c>
      <c r="E28429" s="3" t="s">
        <v>118</v>
      </c>
      <c r="F28429" s="7">
        <v>46291.84459510078</v>
      </c>
      <c r="G28429" s="3" t="s">
        <v>2846</v>
      </c>
    </row>
    <row r="28430">
      <c r="A28430" s="3" t="s">
        <v>44918</v>
      </c>
      <c r="B28430" s="3" t="s">
        <v>22735</v>
      </c>
      <c r="C28430" s="5" t="s">
        <v>614</v>
      </c>
      <c r="D28430" s="3" t="s">
        <v>206</v>
      </c>
      <c r="E28430" s="3" t="s">
        <v>100</v>
      </c>
      <c r="F28430" s="7">
        <v>46291.84806732301</v>
      </c>
      <c r="G28430" s="3" t="s">
        <v>2849</v>
      </c>
    </row>
    <row r="28431">
      <c r="A28431" s="3" t="s">
        <v>44919</v>
      </c>
      <c r="B28431" s="3" t="s">
        <v>22735</v>
      </c>
      <c r="C28431" s="5" t="s">
        <v>206</v>
      </c>
      <c r="D28431" s="3" t="s">
        <v>68</v>
      </c>
      <c r="E28431" s="3" t="s">
        <v>100</v>
      </c>
      <c r="F28431" s="7">
        <v>46291.85153954523</v>
      </c>
      <c r="G28431" s="3" t="s">
        <v>2852</v>
      </c>
    </row>
    <row r="28432">
      <c r="A28432" s="3" t="s">
        <v>44920</v>
      </c>
      <c r="B28432" s="3" t="s">
        <v>22738</v>
      </c>
      <c r="C28432" s="5" t="s">
        <v>45</v>
      </c>
      <c r="D28432" s="3" t="s">
        <v>221</v>
      </c>
      <c r="E28432" s="3" t="s">
        <v>965</v>
      </c>
      <c r="F28432" s="7">
        <v>46291.91229772398</v>
      </c>
      <c r="G28432" s="3" t="s">
        <v>15491</v>
      </c>
    </row>
    <row r="28433">
      <c r="A28433" s="3" t="s">
        <v>44921</v>
      </c>
      <c r="B28433" s="3" t="s">
        <v>22738</v>
      </c>
      <c r="C28433" s="5" t="s">
        <v>221</v>
      </c>
      <c r="D28433" s="3" t="s">
        <v>614</v>
      </c>
      <c r="E28433" s="3" t="s">
        <v>118</v>
      </c>
      <c r="F28433" s="7">
        <v>46291.9157699462</v>
      </c>
      <c r="G28433" s="3" t="s">
        <v>15493</v>
      </c>
    </row>
    <row r="28434">
      <c r="A28434" s="3" t="s">
        <v>44922</v>
      </c>
      <c r="B28434" s="3" t="s">
        <v>22738</v>
      </c>
      <c r="C28434" s="5" t="s">
        <v>614</v>
      </c>
      <c r="D28434" s="3" t="s">
        <v>206</v>
      </c>
      <c r="E28434" s="3" t="s">
        <v>100</v>
      </c>
      <c r="F28434" s="7">
        <v>46291.91924216843</v>
      </c>
      <c r="G28434" s="3" t="s">
        <v>15496</v>
      </c>
    </row>
    <row r="28435">
      <c r="A28435" s="3" t="s">
        <v>44923</v>
      </c>
      <c r="B28435" s="3" t="s">
        <v>22738</v>
      </c>
      <c r="C28435" s="5" t="s">
        <v>206</v>
      </c>
      <c r="D28435" s="3" t="s">
        <v>68</v>
      </c>
      <c r="E28435" s="3" t="s">
        <v>100</v>
      </c>
      <c r="F28435" s="7">
        <v>46291.92271439065</v>
      </c>
      <c r="G28435" s="3" t="s">
        <v>15499</v>
      </c>
    </row>
    <row r="28436">
      <c r="A28436" s="3" t="s">
        <v>44924</v>
      </c>
      <c r="B28436" s="3" t="s">
        <v>22740</v>
      </c>
      <c r="C28436" s="5" t="s">
        <v>45</v>
      </c>
      <c r="D28436" s="3" t="s">
        <v>221</v>
      </c>
      <c r="E28436" s="3" t="s">
        <v>883</v>
      </c>
      <c r="F28436" s="7">
        <v>46291.9834725694</v>
      </c>
      <c r="G28436" s="3" t="s">
        <v>20609</v>
      </c>
    </row>
    <row r="28437">
      <c r="A28437" s="3" t="s">
        <v>44925</v>
      </c>
      <c r="B28437" s="3" t="s">
        <v>22740</v>
      </c>
      <c r="C28437" s="5" t="s">
        <v>221</v>
      </c>
      <c r="D28437" s="3" t="s">
        <v>614</v>
      </c>
      <c r="E28437" s="3" t="s">
        <v>118</v>
      </c>
      <c r="F28437" s="7">
        <v>46291.98694479162</v>
      </c>
      <c r="G28437" s="3" t="s">
        <v>20611</v>
      </c>
    </row>
    <row r="28438">
      <c r="A28438" s="3" t="s">
        <v>44926</v>
      </c>
      <c r="B28438" s="3" t="s">
        <v>22740</v>
      </c>
      <c r="C28438" s="5" t="s">
        <v>614</v>
      </c>
      <c r="D28438" s="3" t="s">
        <v>206</v>
      </c>
      <c r="E28438" s="3" t="s">
        <v>100</v>
      </c>
      <c r="F28438" s="7">
        <v>46291.99041701385</v>
      </c>
      <c r="G28438" s="3" t="s">
        <v>20614</v>
      </c>
    </row>
    <row r="28439">
      <c r="A28439" s="3" t="s">
        <v>44927</v>
      </c>
      <c r="B28439" s="3" t="s">
        <v>22740</v>
      </c>
      <c r="C28439" s="5" t="s">
        <v>206</v>
      </c>
      <c r="D28439" s="3" t="s">
        <v>68</v>
      </c>
      <c r="E28439" s="3" t="s">
        <v>100</v>
      </c>
      <c r="F28439" s="7">
        <v>46291.993889236066</v>
      </c>
      <c r="G28439" s="3" t="s">
        <v>20617</v>
      </c>
    </row>
    <row r="28440">
      <c r="A28440" s="3" t="s">
        <v>44928</v>
      </c>
      <c r="B28440" s="3" t="s">
        <v>22742</v>
      </c>
      <c r="C28440" s="5" t="s">
        <v>45</v>
      </c>
      <c r="D28440" s="3" t="s">
        <v>221</v>
      </c>
      <c r="E28440" s="3" t="s">
        <v>419</v>
      </c>
      <c r="F28440" s="7">
        <v>46292.05464741481</v>
      </c>
      <c r="G28440" s="3" t="s">
        <v>16755</v>
      </c>
    </row>
    <row r="28441">
      <c r="A28441" s="3" t="s">
        <v>44929</v>
      </c>
      <c r="B28441" s="3" t="s">
        <v>22742</v>
      </c>
      <c r="C28441" s="5" t="s">
        <v>221</v>
      </c>
      <c r="D28441" s="3" t="s">
        <v>614</v>
      </c>
      <c r="E28441" s="3" t="s">
        <v>118</v>
      </c>
      <c r="F28441" s="7">
        <v>46292.058119637026</v>
      </c>
      <c r="G28441" s="3" t="s">
        <v>16758</v>
      </c>
    </row>
    <row r="28442">
      <c r="A28442" s="3" t="s">
        <v>44930</v>
      </c>
      <c r="B28442" s="3" t="s">
        <v>22742</v>
      </c>
      <c r="C28442" s="5" t="s">
        <v>614</v>
      </c>
      <c r="D28442" s="3" t="s">
        <v>206</v>
      </c>
      <c r="E28442" s="3" t="s">
        <v>100</v>
      </c>
      <c r="F28442" s="7">
        <v>46292.06159185925</v>
      </c>
      <c r="G28442" s="3" t="s">
        <v>16761</v>
      </c>
    </row>
    <row r="28443">
      <c r="A28443" s="3" t="s">
        <v>44931</v>
      </c>
      <c r="B28443" s="3" t="s">
        <v>22742</v>
      </c>
      <c r="C28443" s="5" t="s">
        <v>206</v>
      </c>
      <c r="D28443" s="3" t="s">
        <v>68</v>
      </c>
      <c r="E28443" s="3" t="s">
        <v>100</v>
      </c>
      <c r="F28443" s="7">
        <v>46292.06506408147</v>
      </c>
      <c r="G28443" s="3" t="s">
        <v>16763</v>
      </c>
    </row>
    <row r="28444">
      <c r="A28444" s="3" t="s">
        <v>44932</v>
      </c>
      <c r="B28444" s="3" t="s">
        <v>22744</v>
      </c>
      <c r="C28444" s="5" t="s">
        <v>45</v>
      </c>
      <c r="D28444" s="3" t="s">
        <v>221</v>
      </c>
      <c r="E28444" s="3" t="s">
        <v>319</v>
      </c>
      <c r="F28444" s="7">
        <v>46292.12582226023</v>
      </c>
      <c r="G28444" s="3" t="s">
        <v>26693</v>
      </c>
    </row>
    <row r="28445">
      <c r="A28445" s="3" t="s">
        <v>44933</v>
      </c>
      <c r="B28445" s="3" t="s">
        <v>22744</v>
      </c>
      <c r="C28445" s="5" t="s">
        <v>221</v>
      </c>
      <c r="D28445" s="3" t="s">
        <v>614</v>
      </c>
      <c r="E28445" s="3" t="s">
        <v>118</v>
      </c>
      <c r="F28445" s="7">
        <v>46292.129294482445</v>
      </c>
      <c r="G28445" s="3" t="s">
        <v>26695</v>
      </c>
    </row>
    <row r="28446">
      <c r="A28446" s="3" t="s">
        <v>44934</v>
      </c>
      <c r="B28446" s="3" t="s">
        <v>22744</v>
      </c>
      <c r="C28446" s="5" t="s">
        <v>614</v>
      </c>
      <c r="D28446" s="3" t="s">
        <v>206</v>
      </c>
      <c r="E28446" s="3" t="s">
        <v>100</v>
      </c>
      <c r="F28446" s="7">
        <v>46292.13276670467</v>
      </c>
      <c r="G28446" s="3" t="s">
        <v>26697</v>
      </c>
    </row>
    <row r="28447">
      <c r="A28447" s="3" t="s">
        <v>44935</v>
      </c>
      <c r="B28447" s="3" t="s">
        <v>22744</v>
      </c>
      <c r="C28447" s="5" t="s">
        <v>206</v>
      </c>
      <c r="D28447" s="3" t="s">
        <v>68</v>
      </c>
      <c r="E28447" s="3" t="s">
        <v>100</v>
      </c>
      <c r="F28447" s="7">
        <v>46292.13623892689</v>
      </c>
      <c r="G28447" s="3" t="s">
        <v>26699</v>
      </c>
    </row>
    <row r="28448">
      <c r="A28448" s="3" t="s">
        <v>44936</v>
      </c>
      <c r="B28448" s="3" t="s">
        <v>22746</v>
      </c>
      <c r="C28448" s="5" t="s">
        <v>45</v>
      </c>
      <c r="D28448" s="3" t="s">
        <v>221</v>
      </c>
      <c r="E28448" s="3" t="s">
        <v>845</v>
      </c>
      <c r="F28448" s="7">
        <v>46292.196997105646</v>
      </c>
      <c r="G28448" s="3" t="s">
        <v>17514</v>
      </c>
    </row>
    <row r="28449">
      <c r="A28449" s="3" t="s">
        <v>44937</v>
      </c>
      <c r="B28449" s="3" t="s">
        <v>22746</v>
      </c>
      <c r="C28449" s="5" t="s">
        <v>221</v>
      </c>
      <c r="D28449" s="3" t="s">
        <v>614</v>
      </c>
      <c r="E28449" s="3" t="s">
        <v>118</v>
      </c>
      <c r="F28449" s="7">
        <v>46292.200469327865</v>
      </c>
      <c r="G28449" s="3" t="s">
        <v>17517</v>
      </c>
    </row>
    <row r="28450">
      <c r="A28450" s="3" t="s">
        <v>44938</v>
      </c>
      <c r="B28450" s="3" t="s">
        <v>22746</v>
      </c>
      <c r="C28450" s="5" t="s">
        <v>614</v>
      </c>
      <c r="D28450" s="3" t="s">
        <v>206</v>
      </c>
      <c r="E28450" s="3" t="s">
        <v>100</v>
      </c>
      <c r="F28450" s="7">
        <v>46292.20394155009</v>
      </c>
      <c r="G28450" s="3" t="s">
        <v>17520</v>
      </c>
    </row>
    <row r="28451">
      <c r="A28451" s="3" t="s">
        <v>44939</v>
      </c>
      <c r="B28451" s="3" t="s">
        <v>22746</v>
      </c>
      <c r="C28451" s="5" t="s">
        <v>206</v>
      </c>
      <c r="D28451" s="3" t="s">
        <v>68</v>
      </c>
      <c r="E28451" s="3" t="s">
        <v>100</v>
      </c>
      <c r="F28451" s="7">
        <v>46292.20741377231</v>
      </c>
      <c r="G28451" s="3" t="s">
        <v>17523</v>
      </c>
    </row>
    <row r="28452">
      <c r="A28452" s="3" t="s">
        <v>44940</v>
      </c>
      <c r="B28452" s="3" t="s">
        <v>22748</v>
      </c>
      <c r="C28452" s="5" t="s">
        <v>45</v>
      </c>
      <c r="D28452" s="3" t="s">
        <v>221</v>
      </c>
      <c r="E28452" s="3" t="s">
        <v>929</v>
      </c>
      <c r="F28452" s="7">
        <v>46292.26817195106</v>
      </c>
      <c r="G28452" s="3" t="s">
        <v>20950</v>
      </c>
    </row>
    <row r="28453">
      <c r="A28453" s="3" t="s">
        <v>44941</v>
      </c>
      <c r="B28453" s="3" t="s">
        <v>22748</v>
      </c>
      <c r="C28453" s="5" t="s">
        <v>221</v>
      </c>
      <c r="D28453" s="3" t="s">
        <v>614</v>
      </c>
      <c r="E28453" s="3" t="s">
        <v>118</v>
      </c>
      <c r="F28453" s="7">
        <v>46292.27164417328</v>
      </c>
      <c r="G28453" s="3" t="s">
        <v>20953</v>
      </c>
    </row>
    <row r="28454">
      <c r="A28454" s="3" t="s">
        <v>44942</v>
      </c>
      <c r="B28454" s="3" t="s">
        <v>22748</v>
      </c>
      <c r="C28454" s="5" t="s">
        <v>614</v>
      </c>
      <c r="D28454" s="3" t="s">
        <v>206</v>
      </c>
      <c r="E28454" s="3" t="s">
        <v>100</v>
      </c>
      <c r="F28454" s="7">
        <v>46292.2751163955</v>
      </c>
      <c r="G28454" s="3" t="s">
        <v>20956</v>
      </c>
    </row>
    <row r="28455">
      <c r="A28455" s="3" t="s">
        <v>44943</v>
      </c>
      <c r="B28455" s="3" t="s">
        <v>22748</v>
      </c>
      <c r="C28455" s="5" t="s">
        <v>206</v>
      </c>
      <c r="D28455" s="3" t="s">
        <v>68</v>
      </c>
      <c r="E28455" s="3" t="s">
        <v>100</v>
      </c>
      <c r="F28455" s="7">
        <v>46292.27858861772</v>
      </c>
      <c r="G28455" s="3" t="s">
        <v>20959</v>
      </c>
    </row>
    <row r="28456">
      <c r="A28456" s="3" t="s">
        <v>44944</v>
      </c>
      <c r="B28456" s="3" t="s">
        <v>22750</v>
      </c>
      <c r="C28456" s="5" t="s">
        <v>45</v>
      </c>
      <c r="D28456" s="3" t="s">
        <v>221</v>
      </c>
      <c r="E28456" s="3" t="s">
        <v>559</v>
      </c>
      <c r="F28456" s="7">
        <v>46292.33934679647</v>
      </c>
      <c r="G28456" s="3" t="s">
        <v>20072</v>
      </c>
    </row>
    <row r="28457">
      <c r="A28457" s="3" t="s">
        <v>44945</v>
      </c>
      <c r="B28457" s="3" t="s">
        <v>22750</v>
      </c>
      <c r="C28457" s="5" t="s">
        <v>221</v>
      </c>
      <c r="D28457" s="3" t="s">
        <v>614</v>
      </c>
      <c r="E28457" s="3" t="s">
        <v>118</v>
      </c>
      <c r="F28457" s="7">
        <v>46292.34281901869</v>
      </c>
      <c r="G28457" s="3" t="s">
        <v>20075</v>
      </c>
    </row>
    <row r="28458">
      <c r="A28458" s="3" t="s">
        <v>44946</v>
      </c>
      <c r="B28458" s="3" t="s">
        <v>22750</v>
      </c>
      <c r="C28458" s="5" t="s">
        <v>614</v>
      </c>
      <c r="D28458" s="3" t="s">
        <v>206</v>
      </c>
      <c r="E28458" s="3" t="s">
        <v>100</v>
      </c>
      <c r="F28458" s="7">
        <v>46292.346291240916</v>
      </c>
      <c r="G28458" s="3" t="s">
        <v>20078</v>
      </c>
    </row>
    <row r="28459">
      <c r="A28459" s="3" t="s">
        <v>44947</v>
      </c>
      <c r="B28459" s="3" t="s">
        <v>22750</v>
      </c>
      <c r="C28459" s="5" t="s">
        <v>206</v>
      </c>
      <c r="D28459" s="3" t="s">
        <v>68</v>
      </c>
      <c r="E28459" s="3" t="s">
        <v>100</v>
      </c>
      <c r="F28459" s="7">
        <v>46292.349763463135</v>
      </c>
      <c r="G28459" s="3" t="s">
        <v>20081</v>
      </c>
    </row>
    <row r="28460">
      <c r="A28460" s="3" t="s">
        <v>44948</v>
      </c>
      <c r="B28460" s="3" t="s">
        <v>22752</v>
      </c>
      <c r="C28460" s="5" t="s">
        <v>45</v>
      </c>
      <c r="D28460" s="3" t="s">
        <v>221</v>
      </c>
      <c r="E28460" s="3" t="s">
        <v>569</v>
      </c>
      <c r="F28460" s="7">
        <v>46292.41052164189</v>
      </c>
      <c r="G28460" s="3" t="s">
        <v>14938</v>
      </c>
    </row>
    <row r="28461">
      <c r="A28461" s="3" t="s">
        <v>44949</v>
      </c>
      <c r="B28461" s="3" t="s">
        <v>22752</v>
      </c>
      <c r="C28461" s="5" t="s">
        <v>221</v>
      </c>
      <c r="D28461" s="3" t="s">
        <v>614</v>
      </c>
      <c r="E28461" s="3" t="s">
        <v>118</v>
      </c>
      <c r="F28461" s="7">
        <v>46292.41399386411</v>
      </c>
      <c r="G28461" s="3" t="s">
        <v>14941</v>
      </c>
    </row>
    <row r="28462">
      <c r="A28462" s="3" t="s">
        <v>44950</v>
      </c>
      <c r="B28462" s="3" t="s">
        <v>22752</v>
      </c>
      <c r="C28462" s="5" t="s">
        <v>614</v>
      </c>
      <c r="D28462" s="3" t="s">
        <v>206</v>
      </c>
      <c r="E28462" s="3" t="s">
        <v>100</v>
      </c>
      <c r="F28462" s="7">
        <v>46292.417466086335</v>
      </c>
      <c r="G28462" s="3" t="s">
        <v>14944</v>
      </c>
    </row>
    <row r="28463">
      <c r="A28463" s="3" t="s">
        <v>44951</v>
      </c>
      <c r="B28463" s="3" t="s">
        <v>22752</v>
      </c>
      <c r="C28463" s="5" t="s">
        <v>206</v>
      </c>
      <c r="D28463" s="3" t="s">
        <v>68</v>
      </c>
      <c r="E28463" s="3" t="s">
        <v>100</v>
      </c>
      <c r="F28463" s="7">
        <v>46292.420938308554</v>
      </c>
      <c r="G28463" s="3" t="s">
        <v>14947</v>
      </c>
    </row>
    <row r="28464">
      <c r="A28464" s="3" t="s">
        <v>44952</v>
      </c>
      <c r="B28464" s="3" t="s">
        <v>22754</v>
      </c>
      <c r="C28464" s="5" t="s">
        <v>45</v>
      </c>
      <c r="D28464" s="3" t="s">
        <v>221</v>
      </c>
      <c r="E28464" s="3" t="s">
        <v>574</v>
      </c>
      <c r="F28464" s="7">
        <v>46292.4816964873</v>
      </c>
      <c r="G28464" s="3" t="s">
        <v>18485</v>
      </c>
    </row>
    <row r="28465">
      <c r="A28465" s="3" t="s">
        <v>44953</v>
      </c>
      <c r="B28465" s="3" t="s">
        <v>22754</v>
      </c>
      <c r="C28465" s="5" t="s">
        <v>221</v>
      </c>
      <c r="D28465" s="3" t="s">
        <v>614</v>
      </c>
      <c r="E28465" s="3" t="s">
        <v>118</v>
      </c>
      <c r="F28465" s="7">
        <v>46292.48516870952</v>
      </c>
      <c r="G28465" s="3" t="s">
        <v>18487</v>
      </c>
    </row>
    <row r="28466">
      <c r="A28466" s="3" t="s">
        <v>44954</v>
      </c>
      <c r="B28466" s="3" t="s">
        <v>22754</v>
      </c>
      <c r="C28466" s="5" t="s">
        <v>614</v>
      </c>
      <c r="D28466" s="3" t="s">
        <v>206</v>
      </c>
      <c r="E28466" s="3" t="s">
        <v>100</v>
      </c>
      <c r="F28466" s="7">
        <v>46292.48864093175</v>
      </c>
      <c r="G28466" s="3" t="s">
        <v>18490</v>
      </c>
    </row>
    <row r="28467">
      <c r="A28467" s="3" t="s">
        <v>44955</v>
      </c>
      <c r="B28467" s="3" t="s">
        <v>22754</v>
      </c>
      <c r="C28467" s="5" t="s">
        <v>206</v>
      </c>
      <c r="D28467" s="3" t="s">
        <v>68</v>
      </c>
      <c r="E28467" s="3" t="s">
        <v>100</v>
      </c>
      <c r="F28467" s="7">
        <v>46292.49211315397</v>
      </c>
      <c r="G28467" s="3" t="s">
        <v>18493</v>
      </c>
    </row>
    <row r="28468">
      <c r="A28468" s="3" t="s">
        <v>44956</v>
      </c>
      <c r="B28468" s="3" t="s">
        <v>22756</v>
      </c>
      <c r="C28468" s="5" t="s">
        <v>45</v>
      </c>
      <c r="D28468" s="3" t="s">
        <v>221</v>
      </c>
      <c r="E28468" s="3" t="s">
        <v>536</v>
      </c>
      <c r="F28468" s="7">
        <v>46292.552871332715</v>
      </c>
      <c r="G28468" s="3" t="s">
        <v>2854</v>
      </c>
    </row>
    <row r="28469">
      <c r="A28469" s="3" t="s">
        <v>44957</v>
      </c>
      <c r="B28469" s="3" t="s">
        <v>22756</v>
      </c>
      <c r="C28469" s="5" t="s">
        <v>221</v>
      </c>
      <c r="D28469" s="3" t="s">
        <v>614</v>
      </c>
      <c r="E28469" s="3" t="s">
        <v>118</v>
      </c>
      <c r="F28469" s="7">
        <v>46292.556343554934</v>
      </c>
      <c r="G28469" s="3" t="s">
        <v>2857</v>
      </c>
    </row>
    <row r="28470">
      <c r="A28470" s="3" t="s">
        <v>44958</v>
      </c>
      <c r="B28470" s="3" t="s">
        <v>22756</v>
      </c>
      <c r="C28470" s="5" t="s">
        <v>614</v>
      </c>
      <c r="D28470" s="3" t="s">
        <v>206</v>
      </c>
      <c r="E28470" s="3" t="s">
        <v>100</v>
      </c>
      <c r="F28470" s="7">
        <v>46292.55981577716</v>
      </c>
      <c r="G28470" s="3" t="s">
        <v>2860</v>
      </c>
    </row>
    <row r="28471">
      <c r="A28471" s="3" t="s">
        <v>44959</v>
      </c>
      <c r="B28471" s="3" t="s">
        <v>22756</v>
      </c>
      <c r="C28471" s="5" t="s">
        <v>206</v>
      </c>
      <c r="D28471" s="3" t="s">
        <v>68</v>
      </c>
      <c r="E28471" s="3" t="s">
        <v>100</v>
      </c>
      <c r="F28471" s="7">
        <v>46292.56328799938</v>
      </c>
      <c r="G28471" s="3" t="s">
        <v>2863</v>
      </c>
    </row>
    <row r="28472">
      <c r="A28472" s="3" t="s">
        <v>44960</v>
      </c>
      <c r="B28472" s="3" t="s">
        <v>22759</v>
      </c>
      <c r="C28472" s="5" t="s">
        <v>45</v>
      </c>
      <c r="D28472" s="3" t="s">
        <v>221</v>
      </c>
      <c r="E28472" s="3" t="s">
        <v>554</v>
      </c>
      <c r="F28472" s="7">
        <v>46292.624046178134</v>
      </c>
      <c r="G28472" s="3" t="s">
        <v>24463</v>
      </c>
    </row>
    <row r="28473">
      <c r="A28473" s="3" t="s">
        <v>44961</v>
      </c>
      <c r="B28473" s="3" t="s">
        <v>22759</v>
      </c>
      <c r="C28473" s="5" t="s">
        <v>221</v>
      </c>
      <c r="D28473" s="3" t="s">
        <v>614</v>
      </c>
      <c r="E28473" s="3" t="s">
        <v>118</v>
      </c>
      <c r="F28473" s="7">
        <v>46292.62751840035</v>
      </c>
      <c r="G28473" s="3" t="s">
        <v>24465</v>
      </c>
    </row>
    <row r="28474">
      <c r="A28474" s="3" t="s">
        <v>44962</v>
      </c>
      <c r="B28474" s="3" t="s">
        <v>22759</v>
      </c>
      <c r="C28474" s="5" t="s">
        <v>614</v>
      </c>
      <c r="D28474" s="3" t="s">
        <v>206</v>
      </c>
      <c r="E28474" s="3" t="s">
        <v>100</v>
      </c>
      <c r="F28474" s="7">
        <v>46292.63099062258</v>
      </c>
      <c r="G28474" s="3" t="s">
        <v>24467</v>
      </c>
    </row>
    <row r="28475">
      <c r="A28475" s="3" t="s">
        <v>44963</v>
      </c>
      <c r="B28475" s="3" t="s">
        <v>22759</v>
      </c>
      <c r="C28475" s="5" t="s">
        <v>206</v>
      </c>
      <c r="D28475" s="3" t="s">
        <v>68</v>
      </c>
      <c r="E28475" s="3" t="s">
        <v>100</v>
      </c>
      <c r="F28475" s="7">
        <v>46292.6344628448</v>
      </c>
      <c r="G28475" s="3" t="s">
        <v>24469</v>
      </c>
    </row>
    <row r="28476">
      <c r="A28476" s="3" t="s">
        <v>44964</v>
      </c>
      <c r="B28476" s="3" t="s">
        <v>22761</v>
      </c>
      <c r="C28476" s="5" t="s">
        <v>45</v>
      </c>
      <c r="D28476" s="3" t="s">
        <v>221</v>
      </c>
      <c r="E28476" s="3" t="s">
        <v>601</v>
      </c>
      <c r="F28476" s="7">
        <v>46292.69522102355</v>
      </c>
      <c r="G28476" s="3" t="s">
        <v>40407</v>
      </c>
    </row>
    <row r="28477">
      <c r="A28477" s="3" t="s">
        <v>44965</v>
      </c>
      <c r="B28477" s="3" t="s">
        <v>22761</v>
      </c>
      <c r="C28477" s="5" t="s">
        <v>221</v>
      </c>
      <c r="D28477" s="3" t="s">
        <v>614</v>
      </c>
      <c r="E28477" s="3" t="s">
        <v>118</v>
      </c>
      <c r="F28477" s="7">
        <v>46292.698693245766</v>
      </c>
      <c r="G28477" s="3" t="s">
        <v>40409</v>
      </c>
    </row>
    <row r="28478">
      <c r="A28478" s="3" t="s">
        <v>44966</v>
      </c>
      <c r="B28478" s="3" t="s">
        <v>22761</v>
      </c>
      <c r="C28478" s="5" t="s">
        <v>614</v>
      </c>
      <c r="D28478" s="3" t="s">
        <v>206</v>
      </c>
      <c r="E28478" s="3" t="s">
        <v>100</v>
      </c>
      <c r="F28478" s="7">
        <v>46292.70216546799</v>
      </c>
      <c r="G28478" s="3" t="s">
        <v>40411</v>
      </c>
    </row>
    <row r="28479">
      <c r="A28479" s="3" t="s">
        <v>44967</v>
      </c>
      <c r="B28479" s="3" t="s">
        <v>22761</v>
      </c>
      <c r="C28479" s="5" t="s">
        <v>206</v>
      </c>
      <c r="D28479" s="3" t="s">
        <v>68</v>
      </c>
      <c r="E28479" s="3" t="s">
        <v>100</v>
      </c>
      <c r="F28479" s="7">
        <v>46292.70563769021</v>
      </c>
      <c r="G28479" s="3" t="s">
        <v>40413</v>
      </c>
    </row>
    <row r="28480">
      <c r="A28480" s="3" t="s">
        <v>44968</v>
      </c>
      <c r="B28480" s="3" t="s">
        <v>22763</v>
      </c>
      <c r="C28480" s="5" t="s">
        <v>45</v>
      </c>
      <c r="D28480" s="3" t="s">
        <v>221</v>
      </c>
      <c r="E28480" s="3" t="s">
        <v>643</v>
      </c>
      <c r="F28480" s="7">
        <v>46292.76639586896</v>
      </c>
      <c r="G28480" s="3" t="s">
        <v>14701</v>
      </c>
    </row>
    <row r="28481">
      <c r="A28481" s="3" t="s">
        <v>44969</v>
      </c>
      <c r="B28481" s="3" t="s">
        <v>22763</v>
      </c>
      <c r="C28481" s="5" t="s">
        <v>221</v>
      </c>
      <c r="D28481" s="3" t="s">
        <v>181</v>
      </c>
      <c r="E28481" s="3" t="s">
        <v>118</v>
      </c>
      <c r="F28481" s="7">
        <v>46292.76986809118</v>
      </c>
      <c r="G28481" s="3" t="s">
        <v>30755</v>
      </c>
    </row>
    <row r="28482">
      <c r="A28482" s="3" t="s">
        <v>44970</v>
      </c>
      <c r="B28482" s="3" t="s">
        <v>22765</v>
      </c>
      <c r="C28482" s="5" t="s">
        <v>45</v>
      </c>
      <c r="D28482" s="3" t="s">
        <v>221</v>
      </c>
      <c r="E28482" s="3" t="s">
        <v>1030</v>
      </c>
      <c r="F28482" s="7">
        <v>46292.83757071438</v>
      </c>
      <c r="G28482" s="3" t="s">
        <v>19424</v>
      </c>
    </row>
    <row r="28483">
      <c r="A28483" s="3" t="s">
        <v>44971</v>
      </c>
      <c r="B28483" s="3" t="s">
        <v>22765</v>
      </c>
      <c r="C28483" s="5" t="s">
        <v>221</v>
      </c>
      <c r="D28483" s="3" t="s">
        <v>614</v>
      </c>
      <c r="E28483" s="3" t="s">
        <v>118</v>
      </c>
      <c r="F28483" s="7">
        <v>46292.8410429366</v>
      </c>
      <c r="G28483" s="3" t="s">
        <v>19427</v>
      </c>
    </row>
    <row r="28484">
      <c r="A28484" s="3" t="s">
        <v>44972</v>
      </c>
      <c r="B28484" s="3" t="s">
        <v>22765</v>
      </c>
      <c r="C28484" s="5" t="s">
        <v>614</v>
      </c>
      <c r="D28484" s="3" t="s">
        <v>206</v>
      </c>
      <c r="E28484" s="3" t="s">
        <v>100</v>
      </c>
      <c r="F28484" s="7">
        <v>46292.844515158824</v>
      </c>
      <c r="G28484" s="3" t="s">
        <v>19430</v>
      </c>
    </row>
    <row r="28485">
      <c r="A28485" s="3" t="s">
        <v>44973</v>
      </c>
      <c r="B28485" s="3" t="s">
        <v>22765</v>
      </c>
      <c r="C28485" s="5" t="s">
        <v>206</v>
      </c>
      <c r="D28485" s="3" t="s">
        <v>68</v>
      </c>
      <c r="E28485" s="3" t="s">
        <v>100</v>
      </c>
      <c r="F28485" s="7">
        <v>46292.84798738104</v>
      </c>
      <c r="G28485" s="3" t="s">
        <v>19432</v>
      </c>
    </row>
    <row r="28486">
      <c r="A28486" s="3" t="s">
        <v>44974</v>
      </c>
      <c r="B28486" s="3" t="s">
        <v>22768</v>
      </c>
      <c r="C28486" s="5" t="s">
        <v>45</v>
      </c>
      <c r="D28486" s="3" t="s">
        <v>221</v>
      </c>
      <c r="E28486" s="3" t="s">
        <v>302</v>
      </c>
      <c r="F28486" s="7">
        <v>46292.90874555979</v>
      </c>
      <c r="G28486" s="3" t="s">
        <v>18325</v>
      </c>
    </row>
    <row r="28487">
      <c r="A28487" s="3" t="s">
        <v>44975</v>
      </c>
      <c r="B28487" s="3" t="s">
        <v>22768</v>
      </c>
      <c r="C28487" s="5" t="s">
        <v>221</v>
      </c>
      <c r="D28487" s="3" t="s">
        <v>614</v>
      </c>
      <c r="E28487" s="3" t="s">
        <v>118</v>
      </c>
      <c r="F28487" s="7">
        <v>46292.91221778201</v>
      </c>
      <c r="G28487" s="3" t="s">
        <v>18328</v>
      </c>
    </row>
    <row r="28488">
      <c r="A28488" s="3" t="s">
        <v>44976</v>
      </c>
      <c r="B28488" s="3" t="s">
        <v>22768</v>
      </c>
      <c r="C28488" s="5" t="s">
        <v>614</v>
      </c>
      <c r="D28488" s="3" t="s">
        <v>206</v>
      </c>
      <c r="E28488" s="3" t="s">
        <v>100</v>
      </c>
      <c r="F28488" s="7">
        <v>46292.915690004236</v>
      </c>
      <c r="G28488" s="3" t="s">
        <v>18330</v>
      </c>
    </row>
    <row r="28489">
      <c r="A28489" s="3" t="s">
        <v>44977</v>
      </c>
      <c r="B28489" s="3" t="s">
        <v>22768</v>
      </c>
      <c r="C28489" s="5" t="s">
        <v>206</v>
      </c>
      <c r="D28489" s="3" t="s">
        <v>68</v>
      </c>
      <c r="E28489" s="3" t="s">
        <v>100</v>
      </c>
      <c r="F28489" s="7">
        <v>46292.919162226455</v>
      </c>
      <c r="G28489" s="3" t="s">
        <v>18333</v>
      </c>
    </row>
    <row r="28490">
      <c r="A28490" s="3" t="s">
        <v>44978</v>
      </c>
      <c r="B28490" s="3" t="s">
        <v>22771</v>
      </c>
      <c r="C28490" s="5" t="s">
        <v>45</v>
      </c>
      <c r="D28490" s="3" t="s">
        <v>221</v>
      </c>
      <c r="E28490" s="3" t="s">
        <v>665</v>
      </c>
      <c r="F28490" s="7">
        <v>46292.97992040521</v>
      </c>
      <c r="G28490" s="3" t="s">
        <v>25520</v>
      </c>
    </row>
    <row r="28491">
      <c r="A28491" s="3" t="s">
        <v>44979</v>
      </c>
      <c r="B28491" s="3" t="s">
        <v>22771</v>
      </c>
      <c r="C28491" s="5" t="s">
        <v>221</v>
      </c>
      <c r="D28491" s="3" t="s">
        <v>614</v>
      </c>
      <c r="E28491" s="3" t="s">
        <v>118</v>
      </c>
      <c r="F28491" s="7">
        <v>46292.98339262743</v>
      </c>
      <c r="G28491" s="3" t="s">
        <v>25522</v>
      </c>
    </row>
    <row r="28492">
      <c r="A28492" s="3" t="s">
        <v>44980</v>
      </c>
      <c r="B28492" s="3" t="s">
        <v>22771</v>
      </c>
      <c r="C28492" s="5" t="s">
        <v>614</v>
      </c>
      <c r="D28492" s="3" t="s">
        <v>206</v>
      </c>
      <c r="E28492" s="3" t="s">
        <v>100</v>
      </c>
      <c r="F28492" s="7">
        <v>46292.986864849656</v>
      </c>
      <c r="G28492" s="3" t="s">
        <v>25524</v>
      </c>
    </row>
    <row r="28493">
      <c r="A28493" s="3" t="s">
        <v>44981</v>
      </c>
      <c r="B28493" s="3" t="s">
        <v>22771</v>
      </c>
      <c r="C28493" s="5" t="s">
        <v>206</v>
      </c>
      <c r="D28493" s="3" t="s">
        <v>68</v>
      </c>
      <c r="E28493" s="3" t="s">
        <v>100</v>
      </c>
      <c r="F28493" s="7">
        <v>46292.990337071875</v>
      </c>
      <c r="G28493" s="3" t="s">
        <v>25526</v>
      </c>
    </row>
    <row r="28494">
      <c r="A28494" s="3" t="s">
        <v>44982</v>
      </c>
      <c r="B28494" s="3" t="s">
        <v>22774</v>
      </c>
      <c r="C28494" s="5" t="s">
        <v>45</v>
      </c>
      <c r="D28494" s="3" t="s">
        <v>221</v>
      </c>
      <c r="E28494" s="3" t="s">
        <v>546</v>
      </c>
      <c r="F28494" s="7">
        <v>46293.05109525062</v>
      </c>
      <c r="G28494" s="3" t="s">
        <v>2866</v>
      </c>
    </row>
    <row r="28495">
      <c r="A28495" s="3" t="s">
        <v>44983</v>
      </c>
      <c r="B28495" s="3" t="s">
        <v>22774</v>
      </c>
      <c r="C28495" s="5" t="s">
        <v>221</v>
      </c>
      <c r="D28495" s="3" t="s">
        <v>614</v>
      </c>
      <c r="E28495" s="3" t="s">
        <v>118</v>
      </c>
      <c r="F28495" s="7">
        <v>46293.05456747284</v>
      </c>
      <c r="G28495" s="3" t="s">
        <v>2869</v>
      </c>
    </row>
    <row r="28496">
      <c r="A28496" s="3" t="s">
        <v>44984</v>
      </c>
      <c r="B28496" s="3" t="s">
        <v>22774</v>
      </c>
      <c r="C28496" s="5" t="s">
        <v>614</v>
      </c>
      <c r="D28496" s="3" t="s">
        <v>206</v>
      </c>
      <c r="E28496" s="3" t="s">
        <v>100</v>
      </c>
      <c r="F28496" s="7">
        <v>46293.05803969507</v>
      </c>
      <c r="G28496" s="3" t="s">
        <v>2872</v>
      </c>
    </row>
    <row r="28497">
      <c r="A28497" s="3" t="s">
        <v>44985</v>
      </c>
      <c r="B28497" s="3" t="s">
        <v>22774</v>
      </c>
      <c r="C28497" s="5" t="s">
        <v>206</v>
      </c>
      <c r="D28497" s="3" t="s">
        <v>68</v>
      </c>
      <c r="E28497" s="3" t="s">
        <v>100</v>
      </c>
      <c r="F28497" s="7">
        <v>46293.06151191729</v>
      </c>
      <c r="G28497" s="3" t="s">
        <v>2875</v>
      </c>
    </row>
    <row r="28498">
      <c r="A28498" s="3" t="s">
        <v>44986</v>
      </c>
      <c r="B28498" s="3" t="s">
        <v>22777</v>
      </c>
      <c r="C28498" s="5" t="s">
        <v>45</v>
      </c>
      <c r="D28498" s="3" t="s">
        <v>221</v>
      </c>
      <c r="E28498" s="3" t="s">
        <v>547</v>
      </c>
      <c r="F28498" s="7">
        <v>46293.12227009604</v>
      </c>
      <c r="G28498" s="3" t="s">
        <v>2878</v>
      </c>
    </row>
    <row r="28499">
      <c r="A28499" s="3" t="s">
        <v>44987</v>
      </c>
      <c r="B28499" s="3" t="s">
        <v>22777</v>
      </c>
      <c r="C28499" s="5" t="s">
        <v>221</v>
      </c>
      <c r="D28499" s="3" t="s">
        <v>614</v>
      </c>
      <c r="E28499" s="3" t="s">
        <v>118</v>
      </c>
      <c r="F28499" s="7">
        <v>46293.12574231826</v>
      </c>
      <c r="G28499" s="3" t="s">
        <v>2881</v>
      </c>
    </row>
    <row r="28500">
      <c r="A28500" s="3" t="s">
        <v>44988</v>
      </c>
      <c r="B28500" s="3" t="s">
        <v>22777</v>
      </c>
      <c r="C28500" s="5" t="s">
        <v>614</v>
      </c>
      <c r="D28500" s="3" t="s">
        <v>206</v>
      </c>
      <c r="E28500" s="3" t="s">
        <v>100</v>
      </c>
      <c r="F28500" s="7">
        <v>46293.12921454049</v>
      </c>
      <c r="G28500" s="3" t="s">
        <v>2884</v>
      </c>
    </row>
    <row r="28501">
      <c r="A28501" s="3" t="s">
        <v>44989</v>
      </c>
      <c r="B28501" s="3" t="s">
        <v>22777</v>
      </c>
      <c r="C28501" s="5" t="s">
        <v>206</v>
      </c>
      <c r="D28501" s="3" t="s">
        <v>68</v>
      </c>
      <c r="E28501" s="3" t="s">
        <v>100</v>
      </c>
      <c r="F28501" s="7">
        <v>46293.13268676271</v>
      </c>
      <c r="G28501" s="3" t="s">
        <v>2887</v>
      </c>
    </row>
    <row r="28502">
      <c r="A28502" s="3" t="s">
        <v>44990</v>
      </c>
      <c r="B28502" s="3" t="s">
        <v>22780</v>
      </c>
      <c r="C28502" s="5" t="s">
        <v>45</v>
      </c>
      <c r="D28502" s="3" t="s">
        <v>221</v>
      </c>
      <c r="E28502" s="3" t="s">
        <v>226</v>
      </c>
      <c r="F28502" s="7">
        <v>46293.19344494145</v>
      </c>
      <c r="G28502" s="3" t="s">
        <v>6667</v>
      </c>
    </row>
    <row r="28503">
      <c r="A28503" s="3" t="s">
        <v>44991</v>
      </c>
      <c r="B28503" s="3" t="s">
        <v>22780</v>
      </c>
      <c r="C28503" s="5" t="s">
        <v>221</v>
      </c>
      <c r="D28503" s="3" t="s">
        <v>614</v>
      </c>
      <c r="E28503" s="3" t="s">
        <v>118</v>
      </c>
      <c r="F28503" s="7">
        <v>46293.19691716367</v>
      </c>
      <c r="G28503" s="3" t="s">
        <v>6670</v>
      </c>
    </row>
    <row r="28504">
      <c r="A28504" s="3" t="s">
        <v>44992</v>
      </c>
      <c r="B28504" s="3" t="s">
        <v>22780</v>
      </c>
      <c r="C28504" s="5" t="s">
        <v>614</v>
      </c>
      <c r="D28504" s="3" t="s">
        <v>206</v>
      </c>
      <c r="E28504" s="3" t="s">
        <v>100</v>
      </c>
      <c r="F28504" s="7">
        <v>46293.20038938589</v>
      </c>
      <c r="G28504" s="3" t="s">
        <v>6673</v>
      </c>
    </row>
    <row r="28505">
      <c r="A28505" s="3" t="s">
        <v>44993</v>
      </c>
      <c r="B28505" s="3" t="s">
        <v>22780</v>
      </c>
      <c r="C28505" s="5" t="s">
        <v>206</v>
      </c>
      <c r="D28505" s="3" t="s">
        <v>68</v>
      </c>
      <c r="E28505" s="3" t="s">
        <v>100</v>
      </c>
      <c r="F28505" s="7">
        <v>46293.20386160811</v>
      </c>
      <c r="G28505" s="3" t="s">
        <v>6676</v>
      </c>
    </row>
    <row r="28506">
      <c r="A28506" s="3" t="s">
        <v>44994</v>
      </c>
      <c r="B28506" s="3" t="s">
        <v>22782</v>
      </c>
      <c r="C28506" s="5" t="s">
        <v>45</v>
      </c>
      <c r="D28506" s="3" t="s">
        <v>221</v>
      </c>
      <c r="E28506" s="3" t="s">
        <v>352</v>
      </c>
      <c r="F28506" s="7">
        <v>46293.26461978687</v>
      </c>
      <c r="G28506" s="3" t="s">
        <v>17747</v>
      </c>
    </row>
    <row r="28507">
      <c r="A28507" s="3" t="s">
        <v>44995</v>
      </c>
      <c r="B28507" s="3" t="s">
        <v>22782</v>
      </c>
      <c r="C28507" s="5" t="s">
        <v>221</v>
      </c>
      <c r="D28507" s="3" t="s">
        <v>614</v>
      </c>
      <c r="E28507" s="3" t="s">
        <v>118</v>
      </c>
      <c r="F28507" s="7">
        <v>46293.268092009086</v>
      </c>
      <c r="G28507" s="3" t="s">
        <v>17750</v>
      </c>
    </row>
    <row r="28508">
      <c r="A28508" s="3" t="s">
        <v>44996</v>
      </c>
      <c r="B28508" s="3" t="s">
        <v>22782</v>
      </c>
      <c r="C28508" s="5" t="s">
        <v>614</v>
      </c>
      <c r="D28508" s="3" t="s">
        <v>206</v>
      </c>
      <c r="E28508" s="3" t="s">
        <v>100</v>
      </c>
      <c r="F28508" s="7">
        <v>46293.27156423131</v>
      </c>
      <c r="G28508" s="3" t="s">
        <v>17752</v>
      </c>
    </row>
    <row r="28509">
      <c r="A28509" s="3" t="s">
        <v>44997</v>
      </c>
      <c r="B28509" s="3" t="s">
        <v>22782</v>
      </c>
      <c r="C28509" s="5" t="s">
        <v>206</v>
      </c>
      <c r="D28509" s="3" t="s">
        <v>68</v>
      </c>
      <c r="E28509" s="3" t="s">
        <v>100</v>
      </c>
      <c r="F28509" s="7">
        <v>46293.27503645353</v>
      </c>
      <c r="G28509" s="3" t="s">
        <v>17755</v>
      </c>
    </row>
    <row r="28510">
      <c r="A28510" s="3" t="s">
        <v>44998</v>
      </c>
      <c r="B28510" s="3" t="s">
        <v>22784</v>
      </c>
      <c r="C28510" s="5" t="s">
        <v>45</v>
      </c>
      <c r="D28510" s="3" t="s">
        <v>221</v>
      </c>
      <c r="E28510" s="3" t="s">
        <v>559</v>
      </c>
      <c r="F28510" s="7">
        <v>46293.33579463229</v>
      </c>
      <c r="G28510" s="3" t="s">
        <v>2893</v>
      </c>
    </row>
    <row r="28511">
      <c r="A28511" s="3" t="s">
        <v>44999</v>
      </c>
      <c r="B28511" s="3" t="s">
        <v>22784</v>
      </c>
      <c r="C28511" s="5" t="s">
        <v>221</v>
      </c>
      <c r="D28511" s="3" t="s">
        <v>614</v>
      </c>
      <c r="E28511" s="3" t="s">
        <v>118</v>
      </c>
      <c r="F28511" s="7">
        <v>46293.339266854506</v>
      </c>
      <c r="G28511" s="3" t="s">
        <v>2896</v>
      </c>
    </row>
    <row r="28512">
      <c r="A28512" s="3" t="s">
        <v>45000</v>
      </c>
      <c r="B28512" s="3" t="s">
        <v>22784</v>
      </c>
      <c r="C28512" s="5" t="s">
        <v>614</v>
      </c>
      <c r="D28512" s="3" t="s">
        <v>206</v>
      </c>
      <c r="E28512" s="3" t="s">
        <v>100</v>
      </c>
      <c r="F28512" s="7">
        <v>46293.34273907673</v>
      </c>
      <c r="G28512" s="3" t="s">
        <v>2899</v>
      </c>
    </row>
    <row r="28513">
      <c r="A28513" s="3" t="s">
        <v>45001</v>
      </c>
      <c r="B28513" s="3" t="s">
        <v>22784</v>
      </c>
      <c r="C28513" s="5" t="s">
        <v>206</v>
      </c>
      <c r="D28513" s="3" t="s">
        <v>68</v>
      </c>
      <c r="E28513" s="3" t="s">
        <v>100</v>
      </c>
      <c r="F28513" s="7">
        <v>46293.34621129895</v>
      </c>
      <c r="G28513" s="3" t="s">
        <v>2902</v>
      </c>
    </row>
    <row r="28514">
      <c r="A28514" s="3" t="s">
        <v>45002</v>
      </c>
      <c r="B28514" s="3" t="s">
        <v>22786</v>
      </c>
      <c r="C28514" s="5" t="s">
        <v>45</v>
      </c>
      <c r="D28514" s="3" t="s">
        <v>221</v>
      </c>
      <c r="E28514" s="3" t="s">
        <v>411</v>
      </c>
      <c r="F28514" s="7">
        <v>46293.4069694777</v>
      </c>
      <c r="G28514" s="3" t="s">
        <v>2905</v>
      </c>
    </row>
    <row r="28515">
      <c r="A28515" s="3" t="s">
        <v>45003</v>
      </c>
      <c r="B28515" s="3" t="s">
        <v>22786</v>
      </c>
      <c r="C28515" s="5" t="s">
        <v>221</v>
      </c>
      <c r="D28515" s="3" t="s">
        <v>614</v>
      </c>
      <c r="E28515" s="3" t="s">
        <v>118</v>
      </c>
      <c r="F28515" s="7">
        <v>46293.41044169992</v>
      </c>
      <c r="G28515" s="3" t="s">
        <v>2908</v>
      </c>
    </row>
    <row r="28516">
      <c r="A28516" s="3" t="s">
        <v>45004</v>
      </c>
      <c r="B28516" s="3" t="s">
        <v>22786</v>
      </c>
      <c r="C28516" s="5" t="s">
        <v>614</v>
      </c>
      <c r="D28516" s="3" t="s">
        <v>206</v>
      </c>
      <c r="E28516" s="3" t="s">
        <v>100</v>
      </c>
      <c r="F28516" s="7">
        <v>46293.413913922144</v>
      </c>
      <c r="G28516" s="3" t="s">
        <v>2911</v>
      </c>
    </row>
    <row r="28517">
      <c r="A28517" s="3" t="s">
        <v>45005</v>
      </c>
      <c r="B28517" s="3" t="s">
        <v>22786</v>
      </c>
      <c r="C28517" s="5" t="s">
        <v>206</v>
      </c>
      <c r="D28517" s="3" t="s">
        <v>68</v>
      </c>
      <c r="E28517" s="3" t="s">
        <v>100</v>
      </c>
      <c r="F28517" s="7">
        <v>46293.41738614436</v>
      </c>
      <c r="G28517" s="3" t="s">
        <v>2914</v>
      </c>
    </row>
    <row r="28518">
      <c r="A28518" s="3" t="s">
        <v>45006</v>
      </c>
      <c r="B28518" s="3" t="s">
        <v>22788</v>
      </c>
      <c r="C28518" s="5" t="s">
        <v>45</v>
      </c>
      <c r="D28518" s="3" t="s">
        <v>221</v>
      </c>
      <c r="E28518" s="3" t="s">
        <v>765</v>
      </c>
      <c r="F28518" s="7">
        <v>46293.47814432311</v>
      </c>
      <c r="G28518" s="3" t="s">
        <v>25355</v>
      </c>
    </row>
    <row r="28519">
      <c r="A28519" s="3" t="s">
        <v>45007</v>
      </c>
      <c r="B28519" s="3" t="s">
        <v>22788</v>
      </c>
      <c r="C28519" s="5" t="s">
        <v>221</v>
      </c>
      <c r="D28519" s="3" t="s">
        <v>614</v>
      </c>
      <c r="E28519" s="3" t="s">
        <v>118</v>
      </c>
      <c r="F28519" s="7">
        <v>46293.48161654533</v>
      </c>
      <c r="G28519" s="3" t="s">
        <v>25357</v>
      </c>
    </row>
    <row r="28520">
      <c r="A28520" s="3" t="s">
        <v>45008</v>
      </c>
      <c r="B28520" s="3" t="s">
        <v>22788</v>
      </c>
      <c r="C28520" s="5" t="s">
        <v>614</v>
      </c>
      <c r="D28520" s="3" t="s">
        <v>206</v>
      </c>
      <c r="E28520" s="3" t="s">
        <v>100</v>
      </c>
      <c r="F28520" s="7">
        <v>46293.48508876756</v>
      </c>
      <c r="G28520" s="3" t="s">
        <v>25359</v>
      </c>
    </row>
    <row r="28521">
      <c r="A28521" s="3" t="s">
        <v>45009</v>
      </c>
      <c r="B28521" s="3" t="s">
        <v>22788</v>
      </c>
      <c r="C28521" s="5" t="s">
        <v>206</v>
      </c>
      <c r="D28521" s="3" t="s">
        <v>68</v>
      </c>
      <c r="E28521" s="3" t="s">
        <v>100</v>
      </c>
      <c r="F28521" s="7">
        <v>46293.488560989776</v>
      </c>
      <c r="G28521" s="3" t="s">
        <v>25361</v>
      </c>
    </row>
    <row r="28522">
      <c r="A28522" s="3" t="s">
        <v>45010</v>
      </c>
      <c r="B28522" s="3" t="s">
        <v>22790</v>
      </c>
      <c r="C28522" s="5" t="s">
        <v>45</v>
      </c>
      <c r="D28522" s="3" t="s">
        <v>221</v>
      </c>
      <c r="E28522" s="3" t="s">
        <v>830</v>
      </c>
      <c r="F28522" s="7">
        <v>46293.54931916853</v>
      </c>
      <c r="G28522" s="3" t="s">
        <v>2770</v>
      </c>
    </row>
    <row r="28523">
      <c r="A28523" s="3" t="s">
        <v>45011</v>
      </c>
      <c r="B28523" s="3" t="s">
        <v>22790</v>
      </c>
      <c r="C28523" s="5" t="s">
        <v>221</v>
      </c>
      <c r="D28523" s="3" t="s">
        <v>195</v>
      </c>
      <c r="E28523" s="3" t="s">
        <v>830</v>
      </c>
      <c r="F28523" s="7">
        <v>46293.55279139075</v>
      </c>
      <c r="G28523" s="3" t="s">
        <v>3055</v>
      </c>
    </row>
    <row r="28524">
      <c r="A28524" s="3" t="s">
        <v>45012</v>
      </c>
      <c r="B28524" s="3" t="s">
        <v>22792</v>
      </c>
      <c r="C28524" s="5" t="s">
        <v>45</v>
      </c>
      <c r="D28524" s="3" t="s">
        <v>221</v>
      </c>
      <c r="E28524" s="3" t="s">
        <v>922</v>
      </c>
      <c r="F28524" s="7">
        <v>46293.62049401394</v>
      </c>
      <c r="G28524" s="3" t="s">
        <v>15629</v>
      </c>
    </row>
    <row r="28525">
      <c r="A28525" s="3" t="s">
        <v>45013</v>
      </c>
      <c r="B28525" s="3" t="s">
        <v>22792</v>
      </c>
      <c r="C28525" s="5" t="s">
        <v>221</v>
      </c>
      <c r="D28525" s="3" t="s">
        <v>614</v>
      </c>
      <c r="E28525" s="3" t="s">
        <v>118</v>
      </c>
      <c r="F28525" s="7">
        <v>46293.62396623616</v>
      </c>
      <c r="G28525" s="3" t="s">
        <v>15632</v>
      </c>
    </row>
    <row r="28526">
      <c r="A28526" s="3" t="s">
        <v>45014</v>
      </c>
      <c r="B28526" s="3" t="s">
        <v>22792</v>
      </c>
      <c r="C28526" s="5" t="s">
        <v>614</v>
      </c>
      <c r="D28526" s="3" t="s">
        <v>206</v>
      </c>
      <c r="E28526" s="3" t="s">
        <v>100</v>
      </c>
      <c r="F28526" s="7">
        <v>46293.62743845839</v>
      </c>
      <c r="G28526" s="3" t="s">
        <v>15634</v>
      </c>
    </row>
    <row r="28527">
      <c r="A28527" s="3" t="s">
        <v>45015</v>
      </c>
      <c r="B28527" s="3" t="s">
        <v>22792</v>
      </c>
      <c r="C28527" s="5" t="s">
        <v>206</v>
      </c>
      <c r="D28527" s="3" t="s">
        <v>68</v>
      </c>
      <c r="E28527" s="3" t="s">
        <v>100</v>
      </c>
      <c r="F28527" s="7">
        <v>46293.63091068061</v>
      </c>
      <c r="G28527" s="3" t="s">
        <v>15637</v>
      </c>
    </row>
    <row r="28528">
      <c r="A28528" s="3" t="s">
        <v>45016</v>
      </c>
      <c r="B28528" s="3" t="s">
        <v>22794</v>
      </c>
      <c r="C28528" s="5" t="s">
        <v>45</v>
      </c>
      <c r="D28528" s="3" t="s">
        <v>221</v>
      </c>
      <c r="E28528" s="3" t="s">
        <v>575</v>
      </c>
      <c r="F28528" s="7">
        <v>46293.691668859356</v>
      </c>
      <c r="G28528" s="3" t="s">
        <v>2916</v>
      </c>
    </row>
    <row r="28529">
      <c r="A28529" s="3" t="s">
        <v>45017</v>
      </c>
      <c r="B28529" s="3" t="s">
        <v>22794</v>
      </c>
      <c r="C28529" s="5" t="s">
        <v>221</v>
      </c>
      <c r="D28529" s="3" t="s">
        <v>614</v>
      </c>
      <c r="E28529" s="3" t="s">
        <v>118</v>
      </c>
      <c r="F28529" s="7">
        <v>46293.695141081575</v>
      </c>
      <c r="G28529" s="3" t="s">
        <v>2919</v>
      </c>
    </row>
    <row r="28530">
      <c r="A28530" s="3" t="s">
        <v>45018</v>
      </c>
      <c r="B28530" s="3" t="s">
        <v>22794</v>
      </c>
      <c r="C28530" s="5" t="s">
        <v>614</v>
      </c>
      <c r="D28530" s="3" t="s">
        <v>206</v>
      </c>
      <c r="E28530" s="3" t="s">
        <v>100</v>
      </c>
      <c r="F28530" s="7">
        <v>46293.6986133038</v>
      </c>
      <c r="G28530" s="3" t="s">
        <v>2923</v>
      </c>
    </row>
    <row r="28531">
      <c r="A28531" s="3" t="s">
        <v>45019</v>
      </c>
      <c r="B28531" s="3" t="s">
        <v>22794</v>
      </c>
      <c r="C28531" s="5" t="s">
        <v>206</v>
      </c>
      <c r="D28531" s="3" t="s">
        <v>68</v>
      </c>
      <c r="E28531" s="3" t="s">
        <v>100</v>
      </c>
      <c r="F28531" s="7">
        <v>46293.70208552602</v>
      </c>
      <c r="G28531" s="3" t="s">
        <v>2926</v>
      </c>
    </row>
    <row r="28532">
      <c r="A28532" s="3" t="s">
        <v>45020</v>
      </c>
      <c r="B28532" s="3" t="s">
        <v>22796</v>
      </c>
      <c r="C28532" s="5" t="s">
        <v>45</v>
      </c>
      <c r="D28532" s="3" t="s">
        <v>221</v>
      </c>
      <c r="E28532" s="3" t="s">
        <v>816</v>
      </c>
      <c r="F28532" s="7">
        <v>46293.762843704775</v>
      </c>
      <c r="G28532" s="3" t="s">
        <v>19453</v>
      </c>
    </row>
    <row r="28533">
      <c r="A28533" s="3" t="s">
        <v>45021</v>
      </c>
      <c r="B28533" s="3" t="s">
        <v>22796</v>
      </c>
      <c r="C28533" s="5" t="s">
        <v>221</v>
      </c>
      <c r="D28533" s="3" t="s">
        <v>614</v>
      </c>
      <c r="E28533" s="3" t="s">
        <v>118</v>
      </c>
      <c r="F28533" s="7">
        <v>46293.766315926994</v>
      </c>
      <c r="G28533" s="3" t="s">
        <v>19456</v>
      </c>
    </row>
    <row r="28534">
      <c r="A28534" s="3" t="s">
        <v>45022</v>
      </c>
      <c r="B28534" s="3" t="s">
        <v>22796</v>
      </c>
      <c r="C28534" s="5" t="s">
        <v>614</v>
      </c>
      <c r="D28534" s="3" t="s">
        <v>206</v>
      </c>
      <c r="E28534" s="3" t="s">
        <v>100</v>
      </c>
      <c r="F28534" s="7">
        <v>46293.76978814922</v>
      </c>
      <c r="G28534" s="3" t="s">
        <v>19459</v>
      </c>
    </row>
    <row r="28535">
      <c r="A28535" s="3" t="s">
        <v>45023</v>
      </c>
      <c r="B28535" s="3" t="s">
        <v>22796</v>
      </c>
      <c r="C28535" s="5" t="s">
        <v>206</v>
      </c>
      <c r="D28535" s="3" t="s">
        <v>68</v>
      </c>
      <c r="E28535" s="3" t="s">
        <v>100</v>
      </c>
      <c r="F28535" s="7">
        <v>46293.77326037144</v>
      </c>
      <c r="G28535" s="3" t="s">
        <v>19462</v>
      </c>
    </row>
    <row r="28536">
      <c r="A28536" s="3" t="s">
        <v>45024</v>
      </c>
      <c r="B28536" s="3" t="s">
        <v>22798</v>
      </c>
      <c r="C28536" s="5" t="s">
        <v>45</v>
      </c>
      <c r="D28536" s="3" t="s">
        <v>221</v>
      </c>
      <c r="E28536" s="3" t="s">
        <v>770</v>
      </c>
      <c r="F28536" s="7">
        <v>46293.834018550195</v>
      </c>
      <c r="G28536" s="3" t="s">
        <v>21646</v>
      </c>
    </row>
    <row r="28537">
      <c r="A28537" s="3" t="s">
        <v>45025</v>
      </c>
      <c r="B28537" s="3" t="s">
        <v>22798</v>
      </c>
      <c r="C28537" s="5" t="s">
        <v>221</v>
      </c>
      <c r="D28537" s="3" t="s">
        <v>614</v>
      </c>
      <c r="E28537" s="3" t="s">
        <v>118</v>
      </c>
      <c r="F28537" s="7">
        <v>46293.837490772414</v>
      </c>
      <c r="G28537" s="3" t="s">
        <v>21649</v>
      </c>
    </row>
    <row r="28538">
      <c r="A28538" s="3" t="s">
        <v>45026</v>
      </c>
      <c r="B28538" s="3" t="s">
        <v>22798</v>
      </c>
      <c r="C28538" s="5" t="s">
        <v>614</v>
      </c>
      <c r="D28538" s="3" t="s">
        <v>206</v>
      </c>
      <c r="E28538" s="3" t="s">
        <v>100</v>
      </c>
      <c r="F28538" s="7">
        <v>46293.84096299464</v>
      </c>
      <c r="G28538" s="3" t="s">
        <v>21652</v>
      </c>
    </row>
    <row r="28539">
      <c r="A28539" s="3" t="s">
        <v>45027</v>
      </c>
      <c r="B28539" s="3" t="s">
        <v>22798</v>
      </c>
      <c r="C28539" s="5" t="s">
        <v>206</v>
      </c>
      <c r="D28539" s="3" t="s">
        <v>68</v>
      </c>
      <c r="E28539" s="3" t="s">
        <v>100</v>
      </c>
      <c r="F28539" s="7">
        <v>46293.84443521686</v>
      </c>
      <c r="G28539" s="3" t="s">
        <v>21655</v>
      </c>
    </row>
    <row r="28540">
      <c r="A28540" s="3" t="s">
        <v>45028</v>
      </c>
      <c r="B28540" s="3" t="s">
        <v>22800</v>
      </c>
      <c r="C28540" s="5" t="s">
        <v>45</v>
      </c>
      <c r="D28540" s="3" t="s">
        <v>221</v>
      </c>
      <c r="E28540" s="3" t="s">
        <v>186</v>
      </c>
      <c r="F28540" s="7">
        <v>46293.9051933956</v>
      </c>
      <c r="G28540" s="3" t="s">
        <v>19658</v>
      </c>
    </row>
    <row r="28541">
      <c r="A28541" s="3" t="s">
        <v>45029</v>
      </c>
      <c r="B28541" s="3" t="s">
        <v>22800</v>
      </c>
      <c r="C28541" s="5" t="s">
        <v>221</v>
      </c>
      <c r="D28541" s="3" t="s">
        <v>614</v>
      </c>
      <c r="E28541" s="3" t="s">
        <v>118</v>
      </c>
      <c r="F28541" s="7">
        <v>46293.90866561782</v>
      </c>
      <c r="G28541" s="3" t="s">
        <v>19661</v>
      </c>
    </row>
    <row r="28542">
      <c r="A28542" s="3" t="s">
        <v>45030</v>
      </c>
      <c r="B28542" s="3" t="s">
        <v>22800</v>
      </c>
      <c r="C28542" s="5" t="s">
        <v>614</v>
      </c>
      <c r="D28542" s="3" t="s">
        <v>206</v>
      </c>
      <c r="E28542" s="3" t="s">
        <v>100</v>
      </c>
      <c r="F28542" s="7">
        <v>46293.912137840045</v>
      </c>
      <c r="G28542" s="3" t="s">
        <v>19664</v>
      </c>
    </row>
    <row r="28543">
      <c r="A28543" s="3" t="s">
        <v>45031</v>
      </c>
      <c r="B28543" s="3" t="s">
        <v>22800</v>
      </c>
      <c r="C28543" s="5" t="s">
        <v>206</v>
      </c>
      <c r="D28543" s="3" t="s">
        <v>68</v>
      </c>
      <c r="E28543" s="3" t="s">
        <v>100</v>
      </c>
      <c r="F28543" s="7">
        <v>46293.915610062264</v>
      </c>
      <c r="G28543" s="3" t="s">
        <v>19667</v>
      </c>
    </row>
    <row r="28544">
      <c r="A28544" s="3" t="s">
        <v>45032</v>
      </c>
      <c r="B28544" s="3" t="s">
        <v>22802</v>
      </c>
      <c r="C28544" s="5" t="s">
        <v>45</v>
      </c>
      <c r="D28544" s="3" t="s">
        <v>221</v>
      </c>
      <c r="E28544" s="3" t="s">
        <v>466</v>
      </c>
      <c r="F28544" s="7">
        <v>46293.97636824102</v>
      </c>
      <c r="G28544" s="3" t="s">
        <v>2929</v>
      </c>
    </row>
    <row r="28545">
      <c r="A28545" s="3" t="s">
        <v>45033</v>
      </c>
      <c r="B28545" s="3" t="s">
        <v>22802</v>
      </c>
      <c r="C28545" s="5" t="s">
        <v>221</v>
      </c>
      <c r="D28545" s="3" t="s">
        <v>614</v>
      </c>
      <c r="E28545" s="3" t="s">
        <v>118</v>
      </c>
      <c r="F28545" s="7">
        <v>46293.97984046324</v>
      </c>
      <c r="G28545" s="3" t="s">
        <v>2931</v>
      </c>
    </row>
    <row r="28546">
      <c r="A28546" s="3" t="s">
        <v>45034</v>
      </c>
      <c r="B28546" s="3" t="s">
        <v>22802</v>
      </c>
      <c r="C28546" s="5" t="s">
        <v>614</v>
      </c>
      <c r="D28546" s="3" t="s">
        <v>206</v>
      </c>
      <c r="E28546" s="3" t="s">
        <v>100</v>
      </c>
      <c r="F28546" s="7">
        <v>46293.983312685465</v>
      </c>
      <c r="G28546" s="3" t="s">
        <v>2934</v>
      </c>
    </row>
    <row r="28547">
      <c r="A28547" s="3" t="s">
        <v>45035</v>
      </c>
      <c r="B28547" s="3" t="s">
        <v>22802</v>
      </c>
      <c r="C28547" s="5" t="s">
        <v>206</v>
      </c>
      <c r="D28547" s="3" t="s">
        <v>68</v>
      </c>
      <c r="E28547" s="3" t="s">
        <v>100</v>
      </c>
      <c r="F28547" s="7">
        <v>46293.98678490768</v>
      </c>
      <c r="G28547" s="3" t="s">
        <v>2937</v>
      </c>
    </row>
    <row r="28548">
      <c r="A28548" s="3" t="s">
        <v>45036</v>
      </c>
      <c r="B28548" s="3" t="s">
        <v>22806</v>
      </c>
      <c r="C28548" s="5" t="s">
        <v>45</v>
      </c>
      <c r="D28548" s="3" t="s">
        <v>221</v>
      </c>
      <c r="E28548" s="3" t="s">
        <v>926</v>
      </c>
      <c r="F28548" s="7">
        <v>46294.04754308643</v>
      </c>
      <c r="G28548" s="3" t="s">
        <v>17148</v>
      </c>
    </row>
    <row r="28549">
      <c r="A28549" s="3" t="s">
        <v>45037</v>
      </c>
      <c r="B28549" s="3" t="s">
        <v>22806</v>
      </c>
      <c r="C28549" s="5" t="s">
        <v>221</v>
      </c>
      <c r="D28549" s="3" t="s">
        <v>181</v>
      </c>
      <c r="E28549" s="3" t="s">
        <v>118</v>
      </c>
      <c r="F28549" s="7">
        <v>46294.05101530865</v>
      </c>
      <c r="G28549" s="3" t="s">
        <v>45038</v>
      </c>
    </row>
    <row r="28550">
      <c r="A28550" s="3" t="s">
        <v>45039</v>
      </c>
      <c r="B28550" s="3" t="s">
        <v>22809</v>
      </c>
      <c r="C28550" s="5" t="s">
        <v>45</v>
      </c>
      <c r="D28550" s="3" t="s">
        <v>221</v>
      </c>
      <c r="E28550" s="3" t="s">
        <v>276</v>
      </c>
      <c r="F28550" s="7">
        <v>46294.11871793185</v>
      </c>
      <c r="G28550" s="3" t="s">
        <v>4736</v>
      </c>
    </row>
    <row r="28551">
      <c r="A28551" s="3" t="s">
        <v>45040</v>
      </c>
      <c r="B28551" s="3" t="s">
        <v>22809</v>
      </c>
      <c r="C28551" s="5" t="s">
        <v>221</v>
      </c>
      <c r="D28551" s="3" t="s">
        <v>614</v>
      </c>
      <c r="E28551" s="3" t="s">
        <v>118</v>
      </c>
      <c r="F28551" s="7">
        <v>46294.12219015407</v>
      </c>
      <c r="G28551" s="3" t="s">
        <v>4738</v>
      </c>
    </row>
    <row r="28552">
      <c r="A28552" s="3" t="s">
        <v>45041</v>
      </c>
      <c r="B28552" s="3" t="s">
        <v>22809</v>
      </c>
      <c r="C28552" s="5" t="s">
        <v>614</v>
      </c>
      <c r="D28552" s="3" t="s">
        <v>206</v>
      </c>
      <c r="E28552" s="3" t="s">
        <v>100</v>
      </c>
      <c r="F28552" s="7">
        <v>46294.1256623763</v>
      </c>
      <c r="G28552" s="3" t="s">
        <v>4741</v>
      </c>
    </row>
    <row r="28553">
      <c r="A28553" s="3" t="s">
        <v>45042</v>
      </c>
      <c r="B28553" s="3" t="s">
        <v>22809</v>
      </c>
      <c r="C28553" s="5" t="s">
        <v>206</v>
      </c>
      <c r="D28553" s="3" t="s">
        <v>68</v>
      </c>
      <c r="E28553" s="3" t="s">
        <v>100</v>
      </c>
      <c r="F28553" s="7">
        <v>46294.129134598516</v>
      </c>
      <c r="G28553" s="3" t="s">
        <v>4744</v>
      </c>
    </row>
    <row r="28554">
      <c r="A28554" s="3" t="s">
        <v>45043</v>
      </c>
      <c r="B28554" s="3" t="s">
        <v>22812</v>
      </c>
      <c r="C28554" s="5" t="s">
        <v>45</v>
      </c>
      <c r="D28554" s="3" t="s">
        <v>221</v>
      </c>
      <c r="E28554" s="3" t="s">
        <v>550</v>
      </c>
      <c r="F28554" s="7">
        <v>46294.18989277726</v>
      </c>
      <c r="G28554" s="3" t="s">
        <v>17923</v>
      </c>
    </row>
    <row r="28555">
      <c r="A28555" s="3" t="s">
        <v>45044</v>
      </c>
      <c r="B28555" s="3" t="s">
        <v>22812</v>
      </c>
      <c r="C28555" s="5" t="s">
        <v>221</v>
      </c>
      <c r="D28555" s="3" t="s">
        <v>614</v>
      </c>
      <c r="E28555" s="3" t="s">
        <v>118</v>
      </c>
      <c r="F28555" s="7">
        <v>46294.19336499948</v>
      </c>
      <c r="G28555" s="3" t="s">
        <v>17926</v>
      </c>
    </row>
    <row r="28556">
      <c r="A28556" s="3" t="s">
        <v>45045</v>
      </c>
      <c r="B28556" s="3" t="s">
        <v>22812</v>
      </c>
      <c r="C28556" s="5" t="s">
        <v>614</v>
      </c>
      <c r="D28556" s="3" t="s">
        <v>206</v>
      </c>
      <c r="E28556" s="3" t="s">
        <v>100</v>
      </c>
      <c r="F28556" s="7">
        <v>46294.19683722171</v>
      </c>
      <c r="G28556" s="3" t="s">
        <v>17929</v>
      </c>
    </row>
    <row r="28557">
      <c r="A28557" s="3" t="s">
        <v>45046</v>
      </c>
      <c r="B28557" s="3" t="s">
        <v>22812</v>
      </c>
      <c r="C28557" s="5" t="s">
        <v>206</v>
      </c>
      <c r="D28557" s="3" t="s">
        <v>68</v>
      </c>
      <c r="E28557" s="3" t="s">
        <v>100</v>
      </c>
      <c r="F28557" s="7">
        <v>46294.20030944393</v>
      </c>
      <c r="G28557" s="3" t="s">
        <v>17932</v>
      </c>
    </row>
    <row r="28558">
      <c r="A28558" s="3" t="s">
        <v>45047</v>
      </c>
      <c r="B28558" s="3" t="s">
        <v>22815</v>
      </c>
      <c r="C28558" s="5" t="s">
        <v>45</v>
      </c>
      <c r="D28558" s="3" t="s">
        <v>221</v>
      </c>
      <c r="E28558" s="3" t="s">
        <v>554</v>
      </c>
      <c r="F28558" s="7">
        <v>46294.26106762268</v>
      </c>
      <c r="G28558" s="3" t="s">
        <v>24463</v>
      </c>
    </row>
    <row r="28559">
      <c r="A28559" s="3" t="s">
        <v>45048</v>
      </c>
      <c r="B28559" s="3" t="s">
        <v>22815</v>
      </c>
      <c r="C28559" s="5" t="s">
        <v>221</v>
      </c>
      <c r="D28559" s="3" t="s">
        <v>181</v>
      </c>
      <c r="E28559" s="3" t="s">
        <v>118</v>
      </c>
      <c r="F28559" s="7">
        <v>46294.2645398449</v>
      </c>
      <c r="G28559" s="3" t="s">
        <v>45049</v>
      </c>
    </row>
    <row r="28560">
      <c r="A28560" s="3" t="s">
        <v>45050</v>
      </c>
      <c r="B28560" s="3" t="s">
        <v>22817</v>
      </c>
      <c r="C28560" s="5" t="s">
        <v>45</v>
      </c>
      <c r="D28560" s="3" t="s">
        <v>221</v>
      </c>
      <c r="E28560" s="3" t="s">
        <v>468</v>
      </c>
      <c r="F28560" s="7">
        <v>46294.33224246809</v>
      </c>
      <c r="G28560" s="3" t="s">
        <v>19670</v>
      </c>
    </row>
    <row r="28561">
      <c r="A28561" s="3" t="s">
        <v>45051</v>
      </c>
      <c r="B28561" s="3" t="s">
        <v>22817</v>
      </c>
      <c r="C28561" s="5" t="s">
        <v>221</v>
      </c>
      <c r="D28561" s="3" t="s">
        <v>614</v>
      </c>
      <c r="E28561" s="3" t="s">
        <v>118</v>
      </c>
      <c r="F28561" s="7">
        <v>46294.33571469031</v>
      </c>
      <c r="G28561" s="3" t="s">
        <v>21518</v>
      </c>
    </row>
    <row r="28562">
      <c r="A28562" s="3" t="s">
        <v>45052</v>
      </c>
      <c r="B28562" s="3" t="s">
        <v>22817</v>
      </c>
      <c r="C28562" s="5" t="s">
        <v>614</v>
      </c>
      <c r="D28562" s="3" t="s">
        <v>206</v>
      </c>
      <c r="E28562" s="3" t="s">
        <v>100</v>
      </c>
      <c r="F28562" s="7">
        <v>46294.33918691253</v>
      </c>
      <c r="G28562" s="3" t="s">
        <v>21521</v>
      </c>
    </row>
    <row r="28563">
      <c r="A28563" s="3" t="s">
        <v>45053</v>
      </c>
      <c r="B28563" s="3" t="s">
        <v>22817</v>
      </c>
      <c r="C28563" s="5" t="s">
        <v>206</v>
      </c>
      <c r="D28563" s="3" t="s">
        <v>68</v>
      </c>
      <c r="E28563" s="3" t="s">
        <v>100</v>
      </c>
      <c r="F28563" s="7">
        <v>46294.34265913475</v>
      </c>
      <c r="G28563" s="3" t="s">
        <v>21524</v>
      </c>
    </row>
    <row r="28564">
      <c r="A28564" s="3" t="s">
        <v>45054</v>
      </c>
      <c r="B28564" s="3" t="s">
        <v>22819</v>
      </c>
      <c r="C28564" s="5" t="s">
        <v>45</v>
      </c>
      <c r="D28564" s="3" t="s">
        <v>221</v>
      </c>
      <c r="E28564" s="3" t="s">
        <v>586</v>
      </c>
      <c r="F28564" s="7">
        <v>46294.40341731351</v>
      </c>
      <c r="G28564" s="3" t="s">
        <v>2944</v>
      </c>
    </row>
    <row r="28565">
      <c r="A28565" s="3" t="s">
        <v>45055</v>
      </c>
      <c r="B28565" s="3" t="s">
        <v>22819</v>
      </c>
      <c r="C28565" s="5" t="s">
        <v>221</v>
      </c>
      <c r="D28565" s="3" t="s">
        <v>614</v>
      </c>
      <c r="E28565" s="3" t="s">
        <v>118</v>
      </c>
      <c r="F28565" s="7">
        <v>46294.40688953573</v>
      </c>
      <c r="G28565" s="3" t="s">
        <v>2948</v>
      </c>
    </row>
    <row r="28566">
      <c r="A28566" s="3" t="s">
        <v>45056</v>
      </c>
      <c r="B28566" s="3" t="s">
        <v>22819</v>
      </c>
      <c r="C28566" s="5" t="s">
        <v>614</v>
      </c>
      <c r="D28566" s="3" t="s">
        <v>206</v>
      </c>
      <c r="E28566" s="3" t="s">
        <v>100</v>
      </c>
      <c r="F28566" s="7">
        <v>46294.41036175795</v>
      </c>
      <c r="G28566" s="3" t="s">
        <v>2950</v>
      </c>
    </row>
    <row r="28567">
      <c r="A28567" s="3" t="s">
        <v>45057</v>
      </c>
      <c r="B28567" s="3" t="s">
        <v>22819</v>
      </c>
      <c r="C28567" s="5" t="s">
        <v>206</v>
      </c>
      <c r="D28567" s="3" t="s">
        <v>68</v>
      </c>
      <c r="E28567" s="3" t="s">
        <v>100</v>
      </c>
      <c r="F28567" s="7">
        <v>46294.41383398017</v>
      </c>
      <c r="G28567" s="3" t="s">
        <v>2953</v>
      </c>
    </row>
    <row r="28568">
      <c r="A28568" s="3" t="s">
        <v>45058</v>
      </c>
      <c r="B28568" s="3" t="s">
        <v>22821</v>
      </c>
      <c r="C28568" s="5" t="s">
        <v>45</v>
      </c>
      <c r="D28568" s="3" t="s">
        <v>221</v>
      </c>
      <c r="E28568" s="3" t="s">
        <v>751</v>
      </c>
      <c r="F28568" s="7">
        <v>46294.47459215893</v>
      </c>
      <c r="G28568" s="3" t="s">
        <v>8085</v>
      </c>
    </row>
    <row r="28569">
      <c r="A28569" s="3" t="s">
        <v>45059</v>
      </c>
      <c r="B28569" s="3" t="s">
        <v>22821</v>
      </c>
      <c r="C28569" s="5" t="s">
        <v>221</v>
      </c>
      <c r="D28569" s="3" t="s">
        <v>181</v>
      </c>
      <c r="E28569" s="3" t="s">
        <v>118</v>
      </c>
      <c r="F28569" s="7">
        <v>46294.47806438115</v>
      </c>
      <c r="G28569" s="3" t="s">
        <v>45060</v>
      </c>
    </row>
    <row r="28570">
      <c r="A28570" s="3" t="s">
        <v>45061</v>
      </c>
      <c r="B28570" s="3" t="s">
        <v>22823</v>
      </c>
      <c r="C28570" s="5" t="s">
        <v>45</v>
      </c>
      <c r="D28570" s="3" t="s">
        <v>221</v>
      </c>
      <c r="E28570" s="3" t="s">
        <v>211</v>
      </c>
      <c r="F28570" s="7">
        <v>46294.54576700434</v>
      </c>
      <c r="G28570" s="3" t="s">
        <v>26815</v>
      </c>
    </row>
    <row r="28571">
      <c r="A28571" s="3" t="s">
        <v>45062</v>
      </c>
      <c r="B28571" s="3" t="s">
        <v>22823</v>
      </c>
      <c r="C28571" s="5" t="s">
        <v>221</v>
      </c>
      <c r="D28571" s="3" t="s">
        <v>614</v>
      </c>
      <c r="E28571" s="3" t="s">
        <v>118</v>
      </c>
      <c r="F28571" s="7">
        <v>46294.54923922656</v>
      </c>
      <c r="G28571" s="3" t="s">
        <v>26817</v>
      </c>
    </row>
    <row r="28572">
      <c r="A28572" s="3" t="s">
        <v>45063</v>
      </c>
      <c r="B28572" s="3" t="s">
        <v>22823</v>
      </c>
      <c r="C28572" s="5" t="s">
        <v>614</v>
      </c>
      <c r="D28572" s="3" t="s">
        <v>206</v>
      </c>
      <c r="E28572" s="3" t="s">
        <v>100</v>
      </c>
      <c r="F28572" s="7">
        <v>46294.552711448785</v>
      </c>
      <c r="G28572" s="3" t="s">
        <v>26819</v>
      </c>
    </row>
    <row r="28573">
      <c r="A28573" s="3" t="s">
        <v>45064</v>
      </c>
      <c r="B28573" s="3" t="s">
        <v>22823</v>
      </c>
      <c r="C28573" s="5" t="s">
        <v>206</v>
      </c>
      <c r="D28573" s="3" t="s">
        <v>68</v>
      </c>
      <c r="E28573" s="3" t="s">
        <v>100</v>
      </c>
      <c r="F28573" s="7">
        <v>46294.556183671004</v>
      </c>
      <c r="G28573" s="3" t="s">
        <v>26821</v>
      </c>
    </row>
    <row r="28574">
      <c r="A28574" s="3" t="s">
        <v>45065</v>
      </c>
      <c r="B28574" s="3" t="s">
        <v>22825</v>
      </c>
      <c r="C28574" s="5" t="s">
        <v>45</v>
      </c>
      <c r="D28574" s="3" t="s">
        <v>221</v>
      </c>
      <c r="E28574" s="3" t="s">
        <v>735</v>
      </c>
      <c r="F28574" s="7">
        <v>46294.61694184975</v>
      </c>
      <c r="G28574" s="3" t="s">
        <v>2956</v>
      </c>
    </row>
    <row r="28575">
      <c r="A28575" s="3" t="s">
        <v>45066</v>
      </c>
      <c r="B28575" s="3" t="s">
        <v>22825</v>
      </c>
      <c r="C28575" s="5" t="s">
        <v>221</v>
      </c>
      <c r="D28575" s="3" t="s">
        <v>614</v>
      </c>
      <c r="E28575" s="3" t="s">
        <v>118</v>
      </c>
      <c r="F28575" s="7">
        <v>46294.62041407197</v>
      </c>
      <c r="G28575" s="3" t="s">
        <v>2959</v>
      </c>
    </row>
    <row r="28576">
      <c r="A28576" s="3" t="s">
        <v>45067</v>
      </c>
      <c r="B28576" s="3" t="s">
        <v>22825</v>
      </c>
      <c r="C28576" s="5" t="s">
        <v>614</v>
      </c>
      <c r="D28576" s="3" t="s">
        <v>206</v>
      </c>
      <c r="E28576" s="3" t="s">
        <v>100</v>
      </c>
      <c r="F28576" s="7">
        <v>46294.6238862942</v>
      </c>
      <c r="G28576" s="3" t="s">
        <v>2962</v>
      </c>
    </row>
    <row r="28577">
      <c r="A28577" s="3" t="s">
        <v>45068</v>
      </c>
      <c r="B28577" s="3" t="s">
        <v>22825</v>
      </c>
      <c r="C28577" s="5" t="s">
        <v>206</v>
      </c>
      <c r="D28577" s="3" t="s">
        <v>68</v>
      </c>
      <c r="E28577" s="3" t="s">
        <v>100</v>
      </c>
      <c r="F28577" s="7">
        <v>46294.627358516416</v>
      </c>
      <c r="G28577" s="3" t="s">
        <v>2965</v>
      </c>
    </row>
    <row r="28578">
      <c r="A28578" s="3" t="s">
        <v>45069</v>
      </c>
      <c r="B28578" s="3" t="s">
        <v>22827</v>
      </c>
      <c r="C28578" s="5" t="s">
        <v>45</v>
      </c>
      <c r="D28578" s="3" t="s">
        <v>221</v>
      </c>
      <c r="E28578" s="3" t="s">
        <v>752</v>
      </c>
      <c r="F28578" s="7">
        <v>46294.68811669517</v>
      </c>
      <c r="G28578" s="3" t="s">
        <v>29621</v>
      </c>
    </row>
    <row r="28579">
      <c r="A28579" s="3" t="s">
        <v>45070</v>
      </c>
      <c r="B28579" s="3" t="s">
        <v>22827</v>
      </c>
      <c r="C28579" s="5" t="s">
        <v>221</v>
      </c>
      <c r="D28579" s="3" t="s">
        <v>181</v>
      </c>
      <c r="E28579" s="3" t="s">
        <v>118</v>
      </c>
      <c r="F28579" s="7">
        <v>46294.69158891739</v>
      </c>
      <c r="G28579" s="3" t="s">
        <v>45071</v>
      </c>
    </row>
    <row r="28580">
      <c r="A28580" s="3" t="s">
        <v>45072</v>
      </c>
      <c r="B28580" s="3" t="s">
        <v>22829</v>
      </c>
      <c r="C28580" s="5" t="s">
        <v>45</v>
      </c>
      <c r="D28580" s="3" t="s">
        <v>221</v>
      </c>
      <c r="E28580" s="3" t="s">
        <v>512</v>
      </c>
      <c r="F28580" s="7">
        <v>46294.759291540584</v>
      </c>
      <c r="G28580" s="3" t="s">
        <v>15479</v>
      </c>
    </row>
    <row r="28581">
      <c r="A28581" s="3" t="s">
        <v>45073</v>
      </c>
      <c r="B28581" s="3" t="s">
        <v>22829</v>
      </c>
      <c r="C28581" s="5" t="s">
        <v>221</v>
      </c>
      <c r="D28581" s="3" t="s">
        <v>614</v>
      </c>
      <c r="E28581" s="3" t="s">
        <v>118</v>
      </c>
      <c r="F28581" s="7">
        <v>46294.7627637628</v>
      </c>
      <c r="G28581" s="3" t="s">
        <v>15482</v>
      </c>
    </row>
    <row r="28582">
      <c r="A28582" s="3" t="s">
        <v>45074</v>
      </c>
      <c r="B28582" s="3" t="s">
        <v>22829</v>
      </c>
      <c r="C28582" s="5" t="s">
        <v>614</v>
      </c>
      <c r="D28582" s="3" t="s">
        <v>206</v>
      </c>
      <c r="E28582" s="3" t="s">
        <v>100</v>
      </c>
      <c r="F28582" s="7">
        <v>46294.76623598503</v>
      </c>
      <c r="G28582" s="3" t="s">
        <v>15485</v>
      </c>
    </row>
    <row r="28583">
      <c r="A28583" s="3" t="s">
        <v>45075</v>
      </c>
      <c r="B28583" s="3" t="s">
        <v>22829</v>
      </c>
      <c r="C28583" s="5" t="s">
        <v>206</v>
      </c>
      <c r="D28583" s="3" t="s">
        <v>68</v>
      </c>
      <c r="E28583" s="3" t="s">
        <v>100</v>
      </c>
      <c r="F28583" s="7">
        <v>46294.76970820725</v>
      </c>
      <c r="G28583" s="3" t="s">
        <v>15488</v>
      </c>
    </row>
    <row r="28584">
      <c r="A28584" s="3" t="s">
        <v>45076</v>
      </c>
      <c r="B28584" s="3" t="s">
        <v>22831</v>
      </c>
      <c r="C28584" s="5" t="s">
        <v>45</v>
      </c>
      <c r="D28584" s="3" t="s">
        <v>221</v>
      </c>
      <c r="E28584" s="3" t="s">
        <v>533</v>
      </c>
      <c r="F28584" s="7">
        <v>46294.830466385996</v>
      </c>
      <c r="G28584" s="3" t="s">
        <v>18542</v>
      </c>
    </row>
    <row r="28585">
      <c r="A28585" s="3" t="s">
        <v>45077</v>
      </c>
      <c r="B28585" s="3" t="s">
        <v>22831</v>
      </c>
      <c r="C28585" s="5" t="s">
        <v>221</v>
      </c>
      <c r="D28585" s="3" t="s">
        <v>614</v>
      </c>
      <c r="E28585" s="3" t="s">
        <v>118</v>
      </c>
      <c r="F28585" s="7">
        <v>46294.833938608215</v>
      </c>
      <c r="G28585" s="3" t="s">
        <v>18545</v>
      </c>
    </row>
    <row r="28586">
      <c r="A28586" s="3" t="s">
        <v>45078</v>
      </c>
      <c r="B28586" s="3" t="s">
        <v>22831</v>
      </c>
      <c r="C28586" s="5" t="s">
        <v>614</v>
      </c>
      <c r="D28586" s="3" t="s">
        <v>206</v>
      </c>
      <c r="E28586" s="3" t="s">
        <v>100</v>
      </c>
      <c r="F28586" s="7">
        <v>46294.83741083044</v>
      </c>
      <c r="G28586" s="3" t="s">
        <v>18548</v>
      </c>
    </row>
    <row r="28587">
      <c r="A28587" s="3" t="s">
        <v>45079</v>
      </c>
      <c r="B28587" s="3" t="s">
        <v>22831</v>
      </c>
      <c r="C28587" s="5" t="s">
        <v>206</v>
      </c>
      <c r="D28587" s="3" t="s">
        <v>68</v>
      </c>
      <c r="E28587" s="3" t="s">
        <v>100</v>
      </c>
      <c r="F28587" s="7">
        <v>46294.84088305266</v>
      </c>
      <c r="G28587" s="3" t="s">
        <v>18550</v>
      </c>
    </row>
    <row r="28588">
      <c r="A28588" s="3" t="s">
        <v>45080</v>
      </c>
      <c r="B28588" s="3" t="s">
        <v>22833</v>
      </c>
      <c r="C28588" s="5" t="s">
        <v>45</v>
      </c>
      <c r="D28588" s="3" t="s">
        <v>221</v>
      </c>
      <c r="E28588" s="3" t="s">
        <v>751</v>
      </c>
      <c r="F28588" s="7">
        <v>46294.901641231416</v>
      </c>
      <c r="G28588" s="3" t="s">
        <v>8085</v>
      </c>
    </row>
    <row r="28589">
      <c r="A28589" s="3" t="s">
        <v>45081</v>
      </c>
      <c r="B28589" s="3" t="s">
        <v>22833</v>
      </c>
      <c r="C28589" s="5" t="s">
        <v>221</v>
      </c>
      <c r="D28589" s="3" t="s">
        <v>614</v>
      </c>
      <c r="E28589" s="3" t="s">
        <v>118</v>
      </c>
      <c r="F28589" s="7">
        <v>46294.905113453635</v>
      </c>
      <c r="G28589" s="3" t="s">
        <v>8088</v>
      </c>
    </row>
    <row r="28590">
      <c r="A28590" s="3" t="s">
        <v>45082</v>
      </c>
      <c r="B28590" s="3" t="s">
        <v>22833</v>
      </c>
      <c r="C28590" s="5" t="s">
        <v>614</v>
      </c>
      <c r="D28590" s="3" t="s">
        <v>206</v>
      </c>
      <c r="E28590" s="3" t="s">
        <v>100</v>
      </c>
      <c r="F28590" s="7">
        <v>46294.90858567586</v>
      </c>
      <c r="G28590" s="3" t="s">
        <v>8091</v>
      </c>
    </row>
    <row r="28591">
      <c r="A28591" s="3" t="s">
        <v>45083</v>
      </c>
      <c r="B28591" s="3" t="s">
        <v>22833</v>
      </c>
      <c r="C28591" s="5" t="s">
        <v>206</v>
      </c>
      <c r="D28591" s="3" t="s">
        <v>68</v>
      </c>
      <c r="E28591" s="3" t="s">
        <v>100</v>
      </c>
      <c r="F28591" s="7">
        <v>46294.91205789808</v>
      </c>
      <c r="G28591" s="3" t="s">
        <v>8094</v>
      </c>
    </row>
    <row r="28592">
      <c r="A28592" s="3" t="s">
        <v>45084</v>
      </c>
      <c r="B28592" s="3" t="s">
        <v>22835</v>
      </c>
      <c r="C28592" s="5" t="s">
        <v>45</v>
      </c>
      <c r="D28592" s="3" t="s">
        <v>221</v>
      </c>
      <c r="E28592" s="3" t="s">
        <v>600</v>
      </c>
      <c r="F28592" s="7">
        <v>46294.972816076835</v>
      </c>
      <c r="G28592" s="3" t="s">
        <v>2968</v>
      </c>
    </row>
    <row r="28593">
      <c r="A28593" s="3" t="s">
        <v>45085</v>
      </c>
      <c r="B28593" s="3" t="s">
        <v>22835</v>
      </c>
      <c r="C28593" s="5" t="s">
        <v>221</v>
      </c>
      <c r="D28593" s="3" t="s">
        <v>614</v>
      </c>
      <c r="E28593" s="3" t="s">
        <v>118</v>
      </c>
      <c r="F28593" s="7">
        <v>46294.976288299054</v>
      </c>
      <c r="G28593" s="3" t="s">
        <v>2971</v>
      </c>
    </row>
    <row r="28594">
      <c r="A28594" s="3" t="s">
        <v>45086</v>
      </c>
      <c r="B28594" s="3" t="s">
        <v>22835</v>
      </c>
      <c r="C28594" s="5" t="s">
        <v>614</v>
      </c>
      <c r="D28594" s="3" t="s">
        <v>206</v>
      </c>
      <c r="E28594" s="3" t="s">
        <v>100</v>
      </c>
      <c r="F28594" s="7">
        <v>46294.97976052128</v>
      </c>
      <c r="G28594" s="3" t="s">
        <v>2974</v>
      </c>
    </row>
    <row r="28595">
      <c r="A28595" s="3" t="s">
        <v>45087</v>
      </c>
      <c r="B28595" s="3" t="s">
        <v>22835</v>
      </c>
      <c r="C28595" s="5" t="s">
        <v>206</v>
      </c>
      <c r="D28595" s="3" t="s">
        <v>68</v>
      </c>
      <c r="E28595" s="3" t="s">
        <v>100</v>
      </c>
      <c r="F28595" s="7">
        <v>46294.9832327435</v>
      </c>
      <c r="G28595" s="3" t="s">
        <v>2976</v>
      </c>
    </row>
    <row r="28596">
      <c r="A28596" s="3" t="s">
        <v>45088</v>
      </c>
      <c r="B28596" s="3" t="s">
        <v>22837</v>
      </c>
      <c r="C28596" s="5" t="s">
        <v>45</v>
      </c>
      <c r="D28596" s="3" t="s">
        <v>221</v>
      </c>
      <c r="E28596" s="3" t="s">
        <v>130</v>
      </c>
      <c r="F28596" s="7">
        <v>46295.04399092224</v>
      </c>
      <c r="G28596" s="3" t="s">
        <v>19583</v>
      </c>
    </row>
    <row r="28597">
      <c r="A28597" s="3" t="s">
        <v>45089</v>
      </c>
      <c r="B28597" s="3" t="s">
        <v>22837</v>
      </c>
      <c r="C28597" s="5" t="s">
        <v>221</v>
      </c>
      <c r="D28597" s="3" t="s">
        <v>614</v>
      </c>
      <c r="E28597" s="3" t="s">
        <v>118</v>
      </c>
      <c r="F28597" s="7">
        <v>46295.04746314446</v>
      </c>
      <c r="G28597" s="3" t="s">
        <v>19586</v>
      </c>
    </row>
    <row r="28598">
      <c r="A28598" s="3" t="s">
        <v>45090</v>
      </c>
      <c r="B28598" s="3" t="s">
        <v>22837</v>
      </c>
      <c r="C28598" s="5" t="s">
        <v>614</v>
      </c>
      <c r="D28598" s="3" t="s">
        <v>206</v>
      </c>
      <c r="E28598" s="3" t="s">
        <v>100</v>
      </c>
      <c r="F28598" s="7">
        <v>46295.050935366686</v>
      </c>
      <c r="G28598" s="3" t="s">
        <v>19589</v>
      </c>
    </row>
    <row r="28599">
      <c r="A28599" s="3" t="s">
        <v>45091</v>
      </c>
      <c r="B28599" s="3" t="s">
        <v>22837</v>
      </c>
      <c r="C28599" s="5" t="s">
        <v>206</v>
      </c>
      <c r="D28599" s="3" t="s">
        <v>68</v>
      </c>
      <c r="E28599" s="3" t="s">
        <v>100</v>
      </c>
      <c r="F28599" s="7">
        <v>46295.054407588905</v>
      </c>
      <c r="G28599" s="3" t="s">
        <v>19591</v>
      </c>
    </row>
    <row r="28600">
      <c r="A28600" s="3" t="s">
        <v>45092</v>
      </c>
      <c r="B28600" s="3" t="s">
        <v>22839</v>
      </c>
      <c r="C28600" s="5" t="s">
        <v>45</v>
      </c>
      <c r="D28600" s="3" t="s">
        <v>221</v>
      </c>
      <c r="E28600" s="3" t="s">
        <v>356</v>
      </c>
      <c r="F28600" s="7">
        <v>46295.11516576766</v>
      </c>
      <c r="G28600" s="3" t="s">
        <v>2979</v>
      </c>
    </row>
    <row r="28601">
      <c r="A28601" s="3" t="s">
        <v>45093</v>
      </c>
      <c r="B28601" s="3" t="s">
        <v>22839</v>
      </c>
      <c r="C28601" s="5" t="s">
        <v>221</v>
      </c>
      <c r="D28601" s="3" t="s">
        <v>614</v>
      </c>
      <c r="E28601" s="3" t="s">
        <v>118</v>
      </c>
      <c r="F28601" s="7">
        <v>46295.11863798988</v>
      </c>
      <c r="G28601" s="3" t="s">
        <v>2982</v>
      </c>
    </row>
    <row r="28602">
      <c r="A28602" s="3" t="s">
        <v>45094</v>
      </c>
      <c r="B28602" s="3" t="s">
        <v>22839</v>
      </c>
      <c r="C28602" s="5" t="s">
        <v>614</v>
      </c>
      <c r="D28602" s="3" t="s">
        <v>206</v>
      </c>
      <c r="E28602" s="3" t="s">
        <v>100</v>
      </c>
      <c r="F28602" s="7">
        <v>46295.122110212105</v>
      </c>
      <c r="G28602" s="3" t="s">
        <v>2985</v>
      </c>
    </row>
    <row r="28603">
      <c r="A28603" s="3" t="s">
        <v>45095</v>
      </c>
      <c r="B28603" s="3" t="s">
        <v>22839</v>
      </c>
      <c r="C28603" s="5" t="s">
        <v>206</v>
      </c>
      <c r="D28603" s="3" t="s">
        <v>68</v>
      </c>
      <c r="E28603" s="3" t="s">
        <v>100</v>
      </c>
      <c r="F28603" s="7">
        <v>46295.125582434324</v>
      </c>
      <c r="G28603" s="3" t="s">
        <v>2988</v>
      </c>
    </row>
    <row r="28604">
      <c r="A28604" s="3" t="s">
        <v>45096</v>
      </c>
      <c r="B28604" s="3" t="s">
        <v>22841</v>
      </c>
      <c r="C28604" s="5" t="s">
        <v>45</v>
      </c>
      <c r="D28604" s="3" t="s">
        <v>221</v>
      </c>
      <c r="E28604" s="3" t="s">
        <v>789</v>
      </c>
      <c r="F28604" s="7">
        <v>46295.18634061308</v>
      </c>
      <c r="G28604" s="3" t="s">
        <v>16892</v>
      </c>
    </row>
    <row r="28605">
      <c r="A28605" s="3" t="s">
        <v>45097</v>
      </c>
      <c r="B28605" s="3" t="s">
        <v>22841</v>
      </c>
      <c r="C28605" s="5" t="s">
        <v>221</v>
      </c>
      <c r="D28605" s="3" t="s">
        <v>181</v>
      </c>
      <c r="E28605" s="3" t="s">
        <v>118</v>
      </c>
      <c r="F28605" s="7">
        <v>46295.1898128353</v>
      </c>
      <c r="G28605" s="3" t="s">
        <v>45098</v>
      </c>
    </row>
    <row r="28606">
      <c r="A28606" s="3" t="s">
        <v>45099</v>
      </c>
      <c r="B28606" s="3" t="s">
        <v>22843</v>
      </c>
      <c r="C28606" s="5" t="s">
        <v>45</v>
      </c>
      <c r="D28606" s="3" t="s">
        <v>221</v>
      </c>
      <c r="E28606" s="3" t="s">
        <v>211</v>
      </c>
      <c r="F28606" s="7">
        <v>46295.25751545849</v>
      </c>
      <c r="G28606" s="3" t="s">
        <v>3006</v>
      </c>
    </row>
    <row r="28607">
      <c r="A28607" s="3" t="s">
        <v>45100</v>
      </c>
      <c r="B28607" s="3" t="s">
        <v>22843</v>
      </c>
      <c r="C28607" s="5" t="s">
        <v>221</v>
      </c>
      <c r="D28607" s="3" t="s">
        <v>614</v>
      </c>
      <c r="E28607" s="3" t="s">
        <v>118</v>
      </c>
      <c r="F28607" s="7">
        <v>46295.26098768071</v>
      </c>
      <c r="G28607" s="3" t="s">
        <v>3009</v>
      </c>
    </row>
    <row r="28608">
      <c r="A28608" s="3" t="s">
        <v>45101</v>
      </c>
      <c r="B28608" s="3" t="s">
        <v>22843</v>
      </c>
      <c r="C28608" s="5" t="s">
        <v>614</v>
      </c>
      <c r="D28608" s="3" t="s">
        <v>206</v>
      </c>
      <c r="E28608" s="3" t="s">
        <v>100</v>
      </c>
      <c r="F28608" s="7">
        <v>46295.26445990294</v>
      </c>
      <c r="G28608" s="3" t="s">
        <v>3012</v>
      </c>
    </row>
    <row r="28609">
      <c r="A28609" s="3" t="s">
        <v>45102</v>
      </c>
      <c r="B28609" s="3" t="s">
        <v>22843</v>
      </c>
      <c r="C28609" s="5" t="s">
        <v>206</v>
      </c>
      <c r="D28609" s="3" t="s">
        <v>68</v>
      </c>
      <c r="E28609" s="3" t="s">
        <v>100</v>
      </c>
      <c r="F28609" s="7">
        <v>46295.267932125156</v>
      </c>
      <c r="G28609" s="3" t="s">
        <v>3015</v>
      </c>
    </row>
    <row r="28610">
      <c r="A28610" s="3" t="s">
        <v>45103</v>
      </c>
      <c r="B28610" s="3" t="s">
        <v>22846</v>
      </c>
      <c r="C28610" s="5" t="s">
        <v>45</v>
      </c>
      <c r="D28610" s="3" t="s">
        <v>221</v>
      </c>
      <c r="E28610" s="3" t="s">
        <v>430</v>
      </c>
      <c r="F28610" s="7">
        <v>46295.328690303904</v>
      </c>
      <c r="G28610" s="3" t="s">
        <v>22356</v>
      </c>
    </row>
    <row r="28611">
      <c r="A28611" s="3" t="s">
        <v>45104</v>
      </c>
      <c r="B28611" s="3" t="s">
        <v>22846</v>
      </c>
      <c r="C28611" s="5" t="s">
        <v>221</v>
      </c>
      <c r="D28611" s="3" t="s">
        <v>614</v>
      </c>
      <c r="E28611" s="3" t="s">
        <v>118</v>
      </c>
      <c r="F28611" s="7">
        <v>46295.33216252612</v>
      </c>
      <c r="G28611" s="3" t="s">
        <v>22359</v>
      </c>
    </row>
    <row r="28612">
      <c r="A28612" s="3" t="s">
        <v>45105</v>
      </c>
      <c r="B28612" s="3" t="s">
        <v>22846</v>
      </c>
      <c r="C28612" s="5" t="s">
        <v>614</v>
      </c>
      <c r="D28612" s="3" t="s">
        <v>206</v>
      </c>
      <c r="E28612" s="3" t="s">
        <v>100</v>
      </c>
      <c r="F28612" s="7">
        <v>46295.33563474835</v>
      </c>
      <c r="G28612" s="3" t="s">
        <v>22362</v>
      </c>
    </row>
    <row r="28613">
      <c r="A28613" s="3" t="s">
        <v>45106</v>
      </c>
      <c r="B28613" s="3" t="s">
        <v>22846</v>
      </c>
      <c r="C28613" s="5" t="s">
        <v>206</v>
      </c>
      <c r="D28613" s="3" t="s">
        <v>68</v>
      </c>
      <c r="E28613" s="3" t="s">
        <v>100</v>
      </c>
      <c r="F28613" s="7">
        <v>46295.33910697057</v>
      </c>
      <c r="G28613" s="3" t="s">
        <v>22365</v>
      </c>
    </row>
    <row r="28614">
      <c r="A28614" s="3" t="s">
        <v>45107</v>
      </c>
      <c r="B28614" s="3" t="s">
        <v>22848</v>
      </c>
      <c r="C28614" s="5" t="s">
        <v>45</v>
      </c>
      <c r="D28614" s="3" t="s">
        <v>221</v>
      </c>
      <c r="E28614" s="3" t="s">
        <v>631</v>
      </c>
      <c r="F28614" s="7">
        <v>46295.399865149324</v>
      </c>
      <c r="G28614" s="3" t="s">
        <v>3018</v>
      </c>
    </row>
    <row r="28615">
      <c r="A28615" s="3" t="s">
        <v>45108</v>
      </c>
      <c r="B28615" s="3" t="s">
        <v>22848</v>
      </c>
      <c r="C28615" s="5" t="s">
        <v>221</v>
      </c>
      <c r="D28615" s="3" t="s">
        <v>614</v>
      </c>
      <c r="E28615" s="3" t="s">
        <v>118</v>
      </c>
      <c r="F28615" s="7">
        <v>46295.40333737154</v>
      </c>
      <c r="G28615" s="3" t="s">
        <v>3021</v>
      </c>
    </row>
    <row r="28616">
      <c r="A28616" s="3" t="s">
        <v>45109</v>
      </c>
      <c r="B28616" s="3" t="s">
        <v>22848</v>
      </c>
      <c r="C28616" s="5" t="s">
        <v>614</v>
      </c>
      <c r="D28616" s="3" t="s">
        <v>206</v>
      </c>
      <c r="E28616" s="3" t="s">
        <v>100</v>
      </c>
      <c r="F28616" s="7">
        <v>46295.40680959377</v>
      </c>
      <c r="G28616" s="3" t="s">
        <v>3024</v>
      </c>
    </row>
    <row r="28617">
      <c r="A28617" s="3" t="s">
        <v>45110</v>
      </c>
      <c r="B28617" s="3" t="s">
        <v>22848</v>
      </c>
      <c r="C28617" s="5" t="s">
        <v>206</v>
      </c>
      <c r="D28617" s="3" t="s">
        <v>68</v>
      </c>
      <c r="E28617" s="3" t="s">
        <v>100</v>
      </c>
      <c r="F28617" s="7">
        <v>46295.41028181599</v>
      </c>
      <c r="G28617" s="3" t="s">
        <v>3027</v>
      </c>
    </row>
    <row r="28618">
      <c r="A28618" s="3" t="s">
        <v>45111</v>
      </c>
      <c r="B28618" s="3" t="s">
        <v>22850</v>
      </c>
      <c r="C28618" s="5" t="s">
        <v>45</v>
      </c>
      <c r="D28618" s="3" t="s">
        <v>221</v>
      </c>
      <c r="E28618" s="3" t="s">
        <v>734</v>
      </c>
      <c r="F28618" s="7">
        <v>46295.471039994736</v>
      </c>
      <c r="G28618" s="3" t="s">
        <v>3030</v>
      </c>
    </row>
    <row r="28619">
      <c r="A28619" s="3" t="s">
        <v>45112</v>
      </c>
      <c r="B28619" s="3" t="s">
        <v>22850</v>
      </c>
      <c r="C28619" s="5" t="s">
        <v>221</v>
      </c>
      <c r="D28619" s="3" t="s">
        <v>614</v>
      </c>
      <c r="E28619" s="3" t="s">
        <v>118</v>
      </c>
      <c r="F28619" s="7">
        <v>46295.474512216955</v>
      </c>
      <c r="G28619" s="3" t="s">
        <v>3033</v>
      </c>
    </row>
    <row r="28620">
      <c r="A28620" s="3" t="s">
        <v>45113</v>
      </c>
      <c r="B28620" s="3" t="s">
        <v>22850</v>
      </c>
      <c r="C28620" s="5" t="s">
        <v>614</v>
      </c>
      <c r="D28620" s="3" t="s">
        <v>206</v>
      </c>
      <c r="E28620" s="3" t="s">
        <v>100</v>
      </c>
      <c r="F28620" s="7">
        <v>46295.47798443918</v>
      </c>
      <c r="G28620" s="3" t="s">
        <v>3036</v>
      </c>
    </row>
    <row r="28621">
      <c r="A28621" s="3" t="s">
        <v>45114</v>
      </c>
      <c r="B28621" s="3" t="s">
        <v>22850</v>
      </c>
      <c r="C28621" s="5" t="s">
        <v>206</v>
      </c>
      <c r="D28621" s="3" t="s">
        <v>68</v>
      </c>
      <c r="E28621" s="3" t="s">
        <v>100</v>
      </c>
      <c r="F28621" s="7">
        <v>46295.4814566614</v>
      </c>
      <c r="G28621" s="3" t="s">
        <v>3039</v>
      </c>
    </row>
    <row r="28622">
      <c r="A28622" s="3" t="s">
        <v>45115</v>
      </c>
      <c r="B28622" s="3" t="s">
        <v>22852</v>
      </c>
      <c r="C28622" s="5" t="s">
        <v>45</v>
      </c>
      <c r="D28622" s="3" t="s">
        <v>221</v>
      </c>
      <c r="E28622" s="3" t="s">
        <v>645</v>
      </c>
      <c r="F28622" s="7">
        <v>46295.54221484015</v>
      </c>
      <c r="G28622" s="3" t="s">
        <v>3042</v>
      </c>
    </row>
    <row r="28623">
      <c r="A28623" s="3" t="s">
        <v>45116</v>
      </c>
      <c r="B28623" s="3" t="s">
        <v>22852</v>
      </c>
      <c r="C28623" s="5" t="s">
        <v>221</v>
      </c>
      <c r="D28623" s="3" t="s">
        <v>614</v>
      </c>
      <c r="E28623" s="3" t="s">
        <v>118</v>
      </c>
      <c r="F28623" s="7">
        <v>46295.54568706237</v>
      </c>
      <c r="G28623" s="3" t="s">
        <v>3045</v>
      </c>
    </row>
    <row r="28624">
      <c r="A28624" s="3" t="s">
        <v>45117</v>
      </c>
      <c r="B28624" s="3" t="s">
        <v>22852</v>
      </c>
      <c r="C28624" s="5" t="s">
        <v>614</v>
      </c>
      <c r="D28624" s="3" t="s">
        <v>206</v>
      </c>
      <c r="E28624" s="3" t="s">
        <v>100</v>
      </c>
      <c r="F28624" s="7">
        <v>46295.549159284594</v>
      </c>
      <c r="G28624" s="3" t="s">
        <v>3048</v>
      </c>
    </row>
    <row r="28625">
      <c r="A28625" s="3" t="s">
        <v>45118</v>
      </c>
      <c r="B28625" s="3" t="s">
        <v>22852</v>
      </c>
      <c r="C28625" s="5" t="s">
        <v>206</v>
      </c>
      <c r="D28625" s="3" t="s">
        <v>68</v>
      </c>
      <c r="E28625" s="3" t="s">
        <v>100</v>
      </c>
      <c r="F28625" s="7">
        <v>46295.55263150681</v>
      </c>
      <c r="G28625" s="3" t="s">
        <v>3051</v>
      </c>
    </row>
    <row r="28626">
      <c r="A28626" s="3" t="s">
        <v>45119</v>
      </c>
      <c r="B28626" s="3" t="s">
        <v>22854</v>
      </c>
      <c r="C28626" s="5" t="s">
        <v>45</v>
      </c>
      <c r="D28626" s="3" t="s">
        <v>221</v>
      </c>
      <c r="E28626" s="3" t="s">
        <v>449</v>
      </c>
      <c r="F28626" s="7">
        <v>46295.61338968557</v>
      </c>
      <c r="G28626" s="3" t="s">
        <v>15209</v>
      </c>
    </row>
    <row r="28627">
      <c r="A28627" s="3" t="s">
        <v>45120</v>
      </c>
      <c r="B28627" s="3" t="s">
        <v>22854</v>
      </c>
      <c r="C28627" s="5" t="s">
        <v>221</v>
      </c>
      <c r="D28627" s="3" t="s">
        <v>614</v>
      </c>
      <c r="E28627" s="3" t="s">
        <v>118</v>
      </c>
      <c r="F28627" s="7">
        <v>46295.61686190779</v>
      </c>
      <c r="G28627" s="3" t="s">
        <v>15212</v>
      </c>
    </row>
    <row r="28628">
      <c r="A28628" s="3" t="s">
        <v>45121</v>
      </c>
      <c r="B28628" s="3" t="s">
        <v>22854</v>
      </c>
      <c r="C28628" s="5" t="s">
        <v>614</v>
      </c>
      <c r="D28628" s="3" t="s">
        <v>206</v>
      </c>
      <c r="E28628" s="3" t="s">
        <v>100</v>
      </c>
      <c r="F28628" s="7">
        <v>46295.62033413001</v>
      </c>
      <c r="G28628" s="3" t="s">
        <v>15215</v>
      </c>
    </row>
    <row r="28629">
      <c r="A28629" s="3" t="s">
        <v>45122</v>
      </c>
      <c r="B28629" s="3" t="s">
        <v>22854</v>
      </c>
      <c r="C28629" s="5" t="s">
        <v>206</v>
      </c>
      <c r="D28629" s="3" t="s">
        <v>68</v>
      </c>
      <c r="E28629" s="3" t="s">
        <v>100</v>
      </c>
      <c r="F28629" s="7">
        <v>46295.62380635223</v>
      </c>
      <c r="G28629" s="3" t="s">
        <v>15218</v>
      </c>
    </row>
    <row r="28630">
      <c r="A28630" s="3" t="s">
        <v>45123</v>
      </c>
      <c r="B28630" s="3" t="s">
        <v>22856</v>
      </c>
      <c r="C28630" s="5" t="s">
        <v>45</v>
      </c>
      <c r="D28630" s="3" t="s">
        <v>221</v>
      </c>
      <c r="E28630" s="3" t="s">
        <v>800</v>
      </c>
      <c r="F28630" s="7">
        <v>46295.68456453098</v>
      </c>
      <c r="G28630" s="3" t="s">
        <v>24498</v>
      </c>
    </row>
    <row r="28631">
      <c r="A28631" s="3" t="s">
        <v>45124</v>
      </c>
      <c r="B28631" s="3" t="s">
        <v>22856</v>
      </c>
      <c r="C28631" s="5" t="s">
        <v>221</v>
      </c>
      <c r="D28631" s="3" t="s">
        <v>614</v>
      </c>
      <c r="E28631" s="3" t="s">
        <v>118</v>
      </c>
      <c r="F28631" s="7">
        <v>46295.6880367532</v>
      </c>
      <c r="G28631" s="3" t="s">
        <v>24500</v>
      </c>
    </row>
    <row r="28632">
      <c r="A28632" s="3" t="s">
        <v>45125</v>
      </c>
      <c r="B28632" s="3" t="s">
        <v>22856</v>
      </c>
      <c r="C28632" s="5" t="s">
        <v>614</v>
      </c>
      <c r="D28632" s="3" t="s">
        <v>206</v>
      </c>
      <c r="E28632" s="3" t="s">
        <v>100</v>
      </c>
      <c r="F28632" s="7">
        <v>46295.691508975426</v>
      </c>
      <c r="G28632" s="3" t="s">
        <v>24502</v>
      </c>
    </row>
    <row r="28633">
      <c r="A28633" s="3" t="s">
        <v>45126</v>
      </c>
      <c r="B28633" s="3" t="s">
        <v>22856</v>
      </c>
      <c r="C28633" s="5" t="s">
        <v>206</v>
      </c>
      <c r="D28633" s="3" t="s">
        <v>68</v>
      </c>
      <c r="E28633" s="3" t="s">
        <v>100</v>
      </c>
      <c r="F28633" s="7">
        <v>46295.694981197645</v>
      </c>
      <c r="G28633" s="3" t="s">
        <v>24504</v>
      </c>
    </row>
    <row r="28634">
      <c r="A28634" s="3" t="s">
        <v>45127</v>
      </c>
      <c r="B28634" s="3" t="s">
        <v>22858</v>
      </c>
      <c r="C28634" s="5" t="s">
        <v>45</v>
      </c>
      <c r="D28634" s="3" t="s">
        <v>221</v>
      </c>
      <c r="E28634" s="3" t="s">
        <v>208</v>
      </c>
      <c r="F28634" s="7">
        <v>46295.75573937639</v>
      </c>
      <c r="G28634" s="3" t="s">
        <v>19315</v>
      </c>
    </row>
    <row r="28635">
      <c r="A28635" s="3" t="s">
        <v>45128</v>
      </c>
      <c r="B28635" s="3" t="s">
        <v>22858</v>
      </c>
      <c r="C28635" s="5" t="s">
        <v>221</v>
      </c>
      <c r="D28635" s="3" t="s">
        <v>614</v>
      </c>
      <c r="E28635" s="3" t="s">
        <v>118</v>
      </c>
      <c r="F28635" s="7">
        <v>46295.75921159861</v>
      </c>
      <c r="G28635" s="3" t="s">
        <v>19317</v>
      </c>
    </row>
    <row r="28636">
      <c r="A28636" s="3" t="s">
        <v>45129</v>
      </c>
      <c r="B28636" s="3" t="s">
        <v>22858</v>
      </c>
      <c r="C28636" s="5" t="s">
        <v>614</v>
      </c>
      <c r="D28636" s="3" t="s">
        <v>206</v>
      </c>
      <c r="E28636" s="3" t="s">
        <v>100</v>
      </c>
      <c r="F28636" s="7">
        <v>46295.76268382084</v>
      </c>
      <c r="G28636" s="3" t="s">
        <v>19320</v>
      </c>
    </row>
    <row r="28637">
      <c r="A28637" s="3" t="s">
        <v>45130</v>
      </c>
      <c r="B28637" s="3" t="s">
        <v>22858</v>
      </c>
      <c r="C28637" s="5" t="s">
        <v>206</v>
      </c>
      <c r="D28637" s="3" t="s">
        <v>68</v>
      </c>
      <c r="E28637" s="3" t="s">
        <v>100</v>
      </c>
      <c r="F28637" s="7">
        <v>46295.76615604306</v>
      </c>
      <c r="G28637" s="3" t="s">
        <v>19323</v>
      </c>
    </row>
    <row r="28638">
      <c r="A28638" s="3" t="s">
        <v>45131</v>
      </c>
      <c r="B28638" s="3" t="s">
        <v>22861</v>
      </c>
      <c r="C28638" s="5" t="s">
        <v>45</v>
      </c>
      <c r="D28638" s="3" t="s">
        <v>221</v>
      </c>
      <c r="E28638" s="3" t="s">
        <v>383</v>
      </c>
      <c r="F28638" s="7">
        <v>46295.82691422181</v>
      </c>
      <c r="G28638" s="3" t="s">
        <v>14269</v>
      </c>
    </row>
    <row r="28639">
      <c r="A28639" s="3" t="s">
        <v>45132</v>
      </c>
      <c r="B28639" s="3" t="s">
        <v>22861</v>
      </c>
      <c r="C28639" s="5" t="s">
        <v>221</v>
      </c>
      <c r="D28639" s="3" t="s">
        <v>614</v>
      </c>
      <c r="E28639" s="3" t="s">
        <v>118</v>
      </c>
      <c r="F28639" s="7">
        <v>46295.83038644403</v>
      </c>
      <c r="G28639" s="3" t="s">
        <v>14272</v>
      </c>
    </row>
    <row r="28640">
      <c r="A28640" s="3" t="s">
        <v>45133</v>
      </c>
      <c r="B28640" s="3" t="s">
        <v>22861</v>
      </c>
      <c r="C28640" s="5" t="s">
        <v>614</v>
      </c>
      <c r="D28640" s="3" t="s">
        <v>206</v>
      </c>
      <c r="E28640" s="3" t="s">
        <v>100</v>
      </c>
      <c r="F28640" s="7">
        <v>46295.83385866626</v>
      </c>
      <c r="G28640" s="3" t="s">
        <v>14274</v>
      </c>
    </row>
    <row r="28641">
      <c r="A28641" s="3" t="s">
        <v>45134</v>
      </c>
      <c r="B28641" s="3" t="s">
        <v>22861</v>
      </c>
      <c r="C28641" s="5" t="s">
        <v>206</v>
      </c>
      <c r="D28641" s="3" t="s">
        <v>68</v>
      </c>
      <c r="E28641" s="3" t="s">
        <v>100</v>
      </c>
      <c r="F28641" s="7">
        <v>46295.83733088848</v>
      </c>
      <c r="G28641" s="3" t="s">
        <v>14277</v>
      </c>
    </row>
    <row r="28642">
      <c r="A28642" s="3" t="s">
        <v>45135</v>
      </c>
      <c r="B28642" s="3" t="s">
        <v>22864</v>
      </c>
      <c r="C28642" s="5" t="s">
        <v>45</v>
      </c>
      <c r="D28642" s="3" t="s">
        <v>221</v>
      </c>
      <c r="E28642" s="3" t="s">
        <v>650</v>
      </c>
      <c r="F28642" s="7">
        <v>46295.898089067225</v>
      </c>
      <c r="G28642" s="3" t="s">
        <v>3058</v>
      </c>
    </row>
    <row r="28643">
      <c r="A28643" s="3" t="s">
        <v>45136</v>
      </c>
      <c r="B28643" s="3" t="s">
        <v>22864</v>
      </c>
      <c r="C28643" s="5" t="s">
        <v>221</v>
      </c>
      <c r="D28643" s="3" t="s">
        <v>614</v>
      </c>
      <c r="E28643" s="3" t="s">
        <v>118</v>
      </c>
      <c r="F28643" s="7">
        <v>46295.90156128944</v>
      </c>
      <c r="G28643" s="3" t="s">
        <v>3061</v>
      </c>
    </row>
    <row r="28644">
      <c r="A28644" s="3" t="s">
        <v>45137</v>
      </c>
      <c r="B28644" s="3" t="s">
        <v>22864</v>
      </c>
      <c r="C28644" s="5" t="s">
        <v>614</v>
      </c>
      <c r="D28644" s="3" t="s">
        <v>206</v>
      </c>
      <c r="E28644" s="3" t="s">
        <v>100</v>
      </c>
      <c r="F28644" s="7">
        <v>46295.90503351167</v>
      </c>
      <c r="G28644" s="3" t="s">
        <v>3064</v>
      </c>
    </row>
    <row r="28645">
      <c r="A28645" s="3" t="s">
        <v>45138</v>
      </c>
      <c r="B28645" s="3" t="s">
        <v>22864</v>
      </c>
      <c r="C28645" s="5" t="s">
        <v>206</v>
      </c>
      <c r="D28645" s="3" t="s">
        <v>68</v>
      </c>
      <c r="E28645" s="3" t="s">
        <v>100</v>
      </c>
      <c r="F28645" s="7">
        <v>46295.90850573389</v>
      </c>
      <c r="G28645" s="3" t="s">
        <v>3067</v>
      </c>
    </row>
    <row r="28646">
      <c r="A28646" s="3" t="s">
        <v>45139</v>
      </c>
      <c r="B28646" s="3" t="s">
        <v>22866</v>
      </c>
      <c r="C28646" s="5" t="s">
        <v>45</v>
      </c>
      <c r="D28646" s="3" t="s">
        <v>221</v>
      </c>
      <c r="E28646" s="3" t="s">
        <v>521</v>
      </c>
      <c r="F28646" s="7">
        <v>46295.96926391264</v>
      </c>
      <c r="G28646" s="3" t="s">
        <v>26583</v>
      </c>
    </row>
    <row r="28647">
      <c r="A28647" s="3" t="s">
        <v>45140</v>
      </c>
      <c r="B28647" s="3" t="s">
        <v>22866</v>
      </c>
      <c r="C28647" s="5" t="s">
        <v>221</v>
      </c>
      <c r="D28647" s="3" t="s">
        <v>614</v>
      </c>
      <c r="E28647" s="3" t="s">
        <v>118</v>
      </c>
      <c r="F28647" s="7">
        <v>46295.972736134856</v>
      </c>
      <c r="G28647" s="3" t="s">
        <v>26585</v>
      </c>
    </row>
    <row r="28648">
      <c r="A28648" s="3" t="s">
        <v>45141</v>
      </c>
      <c r="B28648" s="3" t="s">
        <v>22866</v>
      </c>
      <c r="C28648" s="5" t="s">
        <v>614</v>
      </c>
      <c r="D28648" s="3" t="s">
        <v>206</v>
      </c>
      <c r="E28648" s="3" t="s">
        <v>100</v>
      </c>
      <c r="F28648" s="7">
        <v>46295.97620835708</v>
      </c>
      <c r="G28648" s="3" t="s">
        <v>26587</v>
      </c>
    </row>
    <row r="28649">
      <c r="A28649" s="3" t="s">
        <v>45142</v>
      </c>
      <c r="B28649" s="3" t="s">
        <v>22866</v>
      </c>
      <c r="C28649" s="5" t="s">
        <v>206</v>
      </c>
      <c r="D28649" s="3" t="s">
        <v>68</v>
      </c>
      <c r="E28649" s="3" t="s">
        <v>100</v>
      </c>
      <c r="F28649" s="7">
        <v>46295.9796805793</v>
      </c>
      <c r="G28649" s="3" t="s">
        <v>26589</v>
      </c>
    </row>
    <row r="28650">
      <c r="A28650" s="3" t="s">
        <v>45143</v>
      </c>
      <c r="B28650" s="3" t="s">
        <v>22868</v>
      </c>
      <c r="C28650" s="5" t="s">
        <v>45</v>
      </c>
      <c r="D28650" s="3" t="s">
        <v>221</v>
      </c>
      <c r="E28650" s="3" t="s">
        <v>1037</v>
      </c>
      <c r="F28650" s="7">
        <v>46296.04043875806</v>
      </c>
      <c r="G28650" s="3" t="s">
        <v>8805</v>
      </c>
    </row>
    <row r="28651">
      <c r="A28651" s="3" t="s">
        <v>45144</v>
      </c>
      <c r="B28651" s="3" t="s">
        <v>22868</v>
      </c>
      <c r="C28651" s="5" t="s">
        <v>221</v>
      </c>
      <c r="D28651" s="3" t="s">
        <v>181</v>
      </c>
      <c r="E28651" s="3" t="s">
        <v>118</v>
      </c>
      <c r="F28651" s="7">
        <v>46296.043910980276</v>
      </c>
      <c r="G28651" s="3" t="s">
        <v>27961</v>
      </c>
    </row>
    <row r="28652">
      <c r="A28652" s="3" t="s">
        <v>45145</v>
      </c>
      <c r="B28652" s="3" t="s">
        <v>22870</v>
      </c>
      <c r="C28652" s="5" t="s">
        <v>45</v>
      </c>
      <c r="D28652" s="3" t="s">
        <v>221</v>
      </c>
      <c r="E28652" s="3" t="s">
        <v>710</v>
      </c>
      <c r="F28652" s="7">
        <v>46296.111613603476</v>
      </c>
      <c r="G28652" s="3" t="s">
        <v>27287</v>
      </c>
    </row>
    <row r="28653">
      <c r="A28653" s="3" t="s">
        <v>45146</v>
      </c>
      <c r="B28653" s="3" t="s">
        <v>22870</v>
      </c>
      <c r="C28653" s="5" t="s">
        <v>221</v>
      </c>
      <c r="D28653" s="3" t="s">
        <v>614</v>
      </c>
      <c r="E28653" s="3" t="s">
        <v>118</v>
      </c>
      <c r="F28653" s="7">
        <v>46296.115085825695</v>
      </c>
      <c r="G28653" s="3" t="s">
        <v>27289</v>
      </c>
    </row>
    <row r="28654">
      <c r="A28654" s="3" t="s">
        <v>45147</v>
      </c>
      <c r="B28654" s="3" t="s">
        <v>22870</v>
      </c>
      <c r="C28654" s="5" t="s">
        <v>614</v>
      </c>
      <c r="D28654" s="3" t="s">
        <v>206</v>
      </c>
      <c r="E28654" s="3" t="s">
        <v>100</v>
      </c>
      <c r="F28654" s="7">
        <v>46296.11855804792</v>
      </c>
      <c r="G28654" s="3" t="s">
        <v>27291</v>
      </c>
    </row>
    <row r="28655">
      <c r="A28655" s="3" t="s">
        <v>45148</v>
      </c>
      <c r="B28655" s="3" t="s">
        <v>22870</v>
      </c>
      <c r="C28655" s="5" t="s">
        <v>206</v>
      </c>
      <c r="D28655" s="3" t="s">
        <v>68</v>
      </c>
      <c r="E28655" s="3" t="s">
        <v>100</v>
      </c>
      <c r="F28655" s="7">
        <v>46296.12203027014</v>
      </c>
      <c r="G28655" s="3" t="s">
        <v>27293</v>
      </c>
    </row>
    <row r="28656">
      <c r="A28656" s="3" t="s">
        <v>45149</v>
      </c>
      <c r="B28656" s="3" t="s">
        <v>22874</v>
      </c>
      <c r="C28656" s="5" t="s">
        <v>45</v>
      </c>
      <c r="D28656" s="3" t="s">
        <v>221</v>
      </c>
      <c r="E28656" s="3" t="s">
        <v>211</v>
      </c>
      <c r="F28656" s="7">
        <v>46296.18278844888</v>
      </c>
      <c r="G28656" s="3" t="s">
        <v>6155</v>
      </c>
    </row>
    <row r="28657">
      <c r="A28657" s="3" t="s">
        <v>45150</v>
      </c>
      <c r="B28657" s="3" t="s">
        <v>22874</v>
      </c>
      <c r="C28657" s="5" t="s">
        <v>221</v>
      </c>
      <c r="D28657" s="3" t="s">
        <v>614</v>
      </c>
      <c r="E28657" s="3" t="s">
        <v>118</v>
      </c>
      <c r="F28657" s="7">
        <v>46296.1862606711</v>
      </c>
      <c r="G28657" s="3" t="s">
        <v>6158</v>
      </c>
    </row>
    <row r="28658">
      <c r="A28658" s="3" t="s">
        <v>45151</v>
      </c>
      <c r="B28658" s="3" t="s">
        <v>22874</v>
      </c>
      <c r="C28658" s="5" t="s">
        <v>614</v>
      </c>
      <c r="D28658" s="3" t="s">
        <v>206</v>
      </c>
      <c r="E28658" s="3" t="s">
        <v>100</v>
      </c>
      <c r="F28658" s="7">
        <v>46296.18973289333</v>
      </c>
      <c r="G28658" s="3" t="s">
        <v>6160</v>
      </c>
    </row>
    <row r="28659">
      <c r="A28659" s="3" t="s">
        <v>45152</v>
      </c>
      <c r="B28659" s="3" t="s">
        <v>22874</v>
      </c>
      <c r="C28659" s="5" t="s">
        <v>206</v>
      </c>
      <c r="D28659" s="3" t="s">
        <v>68</v>
      </c>
      <c r="E28659" s="3" t="s">
        <v>100</v>
      </c>
      <c r="F28659" s="7">
        <v>46296.193205115545</v>
      </c>
      <c r="G28659" s="3" t="s">
        <v>6163</v>
      </c>
    </row>
    <row r="28660">
      <c r="A28660" s="3" t="s">
        <v>45153</v>
      </c>
      <c r="B28660" s="3" t="s">
        <v>22877</v>
      </c>
      <c r="C28660" s="5" t="s">
        <v>45</v>
      </c>
      <c r="D28660" s="3" t="s">
        <v>221</v>
      </c>
      <c r="E28660" s="3" t="s">
        <v>993</v>
      </c>
      <c r="F28660" s="7">
        <v>46296.2539632943</v>
      </c>
      <c r="G28660" s="3" t="s">
        <v>3582</v>
      </c>
    </row>
    <row r="28661">
      <c r="A28661" s="3" t="s">
        <v>45154</v>
      </c>
      <c r="B28661" s="3" t="s">
        <v>22877</v>
      </c>
      <c r="C28661" s="5" t="s">
        <v>221</v>
      </c>
      <c r="D28661" s="3" t="s">
        <v>614</v>
      </c>
      <c r="E28661" s="3" t="s">
        <v>118</v>
      </c>
      <c r="F28661" s="7">
        <v>46296.25743551652</v>
      </c>
      <c r="G28661" s="3" t="s">
        <v>3585</v>
      </c>
    </row>
    <row r="28662">
      <c r="A28662" s="3" t="s">
        <v>45155</v>
      </c>
      <c r="B28662" s="3" t="s">
        <v>22877</v>
      </c>
      <c r="C28662" s="5" t="s">
        <v>614</v>
      </c>
      <c r="D28662" s="3" t="s">
        <v>206</v>
      </c>
      <c r="E28662" s="3" t="s">
        <v>100</v>
      </c>
      <c r="F28662" s="7">
        <v>46296.260907738746</v>
      </c>
      <c r="G28662" s="3" t="s">
        <v>3588</v>
      </c>
    </row>
    <row r="28663">
      <c r="A28663" s="3" t="s">
        <v>45156</v>
      </c>
      <c r="B28663" s="3" t="s">
        <v>22877</v>
      </c>
      <c r="C28663" s="5" t="s">
        <v>206</v>
      </c>
      <c r="D28663" s="3" t="s">
        <v>68</v>
      </c>
      <c r="E28663" s="3" t="s">
        <v>100</v>
      </c>
      <c r="F28663" s="7">
        <v>46296.264379960965</v>
      </c>
      <c r="G28663" s="3" t="s">
        <v>3591</v>
      </c>
    </row>
    <row r="28664">
      <c r="A28664" s="3" t="s">
        <v>45157</v>
      </c>
      <c r="B28664" s="3" t="s">
        <v>22880</v>
      </c>
      <c r="C28664" s="5" t="s">
        <v>45</v>
      </c>
      <c r="D28664" s="3" t="s">
        <v>221</v>
      </c>
      <c r="E28664" s="3" t="s">
        <v>657</v>
      </c>
      <c r="F28664" s="7">
        <v>46296.32513813972</v>
      </c>
      <c r="G28664" s="3" t="s">
        <v>3084</v>
      </c>
    </row>
    <row r="28665">
      <c r="A28665" s="3" t="s">
        <v>45158</v>
      </c>
      <c r="B28665" s="3" t="s">
        <v>22880</v>
      </c>
      <c r="C28665" s="5" t="s">
        <v>221</v>
      </c>
      <c r="D28665" s="3" t="s">
        <v>614</v>
      </c>
      <c r="E28665" s="3" t="s">
        <v>118</v>
      </c>
      <c r="F28665" s="7">
        <v>46296.32861036194</v>
      </c>
      <c r="G28665" s="3" t="s">
        <v>3087</v>
      </c>
    </row>
    <row r="28666">
      <c r="A28666" s="3" t="s">
        <v>45159</v>
      </c>
      <c r="B28666" s="3" t="s">
        <v>22880</v>
      </c>
      <c r="C28666" s="5" t="s">
        <v>614</v>
      </c>
      <c r="D28666" s="3" t="s">
        <v>206</v>
      </c>
      <c r="E28666" s="3" t="s">
        <v>100</v>
      </c>
      <c r="F28666" s="7">
        <v>46296.332082584166</v>
      </c>
      <c r="G28666" s="3" t="s">
        <v>3090</v>
      </c>
    </row>
    <row r="28667">
      <c r="A28667" s="3" t="s">
        <v>45160</v>
      </c>
      <c r="B28667" s="3" t="s">
        <v>22880</v>
      </c>
      <c r="C28667" s="5" t="s">
        <v>206</v>
      </c>
      <c r="D28667" s="3" t="s">
        <v>68</v>
      </c>
      <c r="E28667" s="3" t="s">
        <v>100</v>
      </c>
      <c r="F28667" s="7">
        <v>46296.335554806385</v>
      </c>
      <c r="G28667" s="3" t="s">
        <v>3093</v>
      </c>
    </row>
    <row r="28668">
      <c r="A28668" s="3" t="s">
        <v>45161</v>
      </c>
      <c r="B28668" s="3" t="s">
        <v>22883</v>
      </c>
      <c r="C28668" s="5" t="s">
        <v>45</v>
      </c>
      <c r="D28668" s="3" t="s">
        <v>221</v>
      </c>
      <c r="E28668" s="3" t="s">
        <v>629</v>
      </c>
      <c r="F28668" s="7">
        <v>46296.39631298513</v>
      </c>
      <c r="G28668" s="3" t="s">
        <v>16955</v>
      </c>
    </row>
    <row r="28669">
      <c r="A28669" s="3" t="s">
        <v>45162</v>
      </c>
      <c r="B28669" s="3" t="s">
        <v>22883</v>
      </c>
      <c r="C28669" s="5" t="s">
        <v>221</v>
      </c>
      <c r="D28669" s="3" t="s">
        <v>614</v>
      </c>
      <c r="E28669" s="3" t="s">
        <v>118</v>
      </c>
      <c r="F28669" s="7">
        <v>46296.39978520735</v>
      </c>
      <c r="G28669" s="3" t="s">
        <v>27739</v>
      </c>
    </row>
    <row r="28670">
      <c r="A28670" s="3" t="s">
        <v>45163</v>
      </c>
      <c r="B28670" s="3" t="s">
        <v>22883</v>
      </c>
      <c r="C28670" s="5" t="s">
        <v>614</v>
      </c>
      <c r="D28670" s="3" t="s">
        <v>206</v>
      </c>
      <c r="E28670" s="3" t="s">
        <v>100</v>
      </c>
      <c r="F28670" s="7">
        <v>46296.40325742958</v>
      </c>
      <c r="G28670" s="3" t="s">
        <v>27741</v>
      </c>
    </row>
    <row r="28671">
      <c r="A28671" s="3" t="s">
        <v>45164</v>
      </c>
      <c r="B28671" s="3" t="s">
        <v>22883</v>
      </c>
      <c r="C28671" s="5" t="s">
        <v>206</v>
      </c>
      <c r="D28671" s="3" t="s">
        <v>68</v>
      </c>
      <c r="E28671" s="3" t="s">
        <v>100</v>
      </c>
      <c r="F28671" s="7">
        <v>46296.4067296518</v>
      </c>
      <c r="G28671" s="3" t="s">
        <v>27743</v>
      </c>
    </row>
    <row r="28672">
      <c r="A28672" s="3" t="s">
        <v>45165</v>
      </c>
      <c r="B28672" s="3" t="s">
        <v>22885</v>
      </c>
      <c r="C28672" s="5" t="s">
        <v>45</v>
      </c>
      <c r="D28672" s="3" t="s">
        <v>221</v>
      </c>
      <c r="E28672" s="3" t="s">
        <v>845</v>
      </c>
      <c r="F28672" s="7">
        <v>46296.467487830545</v>
      </c>
      <c r="G28672" s="3" t="s">
        <v>19148</v>
      </c>
    </row>
    <row r="28673">
      <c r="A28673" s="3" t="s">
        <v>45166</v>
      </c>
      <c r="B28673" s="3" t="s">
        <v>22885</v>
      </c>
      <c r="C28673" s="5" t="s">
        <v>221</v>
      </c>
      <c r="D28673" s="3" t="s">
        <v>614</v>
      </c>
      <c r="E28673" s="3" t="s">
        <v>118</v>
      </c>
      <c r="F28673" s="7">
        <v>46296.470960052764</v>
      </c>
      <c r="G28673" s="3" t="s">
        <v>19151</v>
      </c>
    </row>
    <row r="28674">
      <c r="A28674" s="3" t="s">
        <v>45167</v>
      </c>
      <c r="B28674" s="3" t="s">
        <v>22885</v>
      </c>
      <c r="C28674" s="5" t="s">
        <v>614</v>
      </c>
      <c r="D28674" s="3" t="s">
        <v>206</v>
      </c>
      <c r="E28674" s="3" t="s">
        <v>100</v>
      </c>
      <c r="F28674" s="7">
        <v>46296.47443227499</v>
      </c>
      <c r="G28674" s="3" t="s">
        <v>19153</v>
      </c>
    </row>
    <row r="28675">
      <c r="A28675" s="3" t="s">
        <v>45168</v>
      </c>
      <c r="B28675" s="3" t="s">
        <v>22885</v>
      </c>
      <c r="C28675" s="5" t="s">
        <v>206</v>
      </c>
      <c r="D28675" s="3" t="s">
        <v>68</v>
      </c>
      <c r="E28675" s="3" t="s">
        <v>100</v>
      </c>
      <c r="F28675" s="7">
        <v>46296.47790449721</v>
      </c>
      <c r="G28675" s="3" t="s">
        <v>19156</v>
      </c>
    </row>
    <row r="28676">
      <c r="A28676" s="3" t="s">
        <v>45169</v>
      </c>
      <c r="B28676" s="3" t="s">
        <v>22887</v>
      </c>
      <c r="C28676" s="5" t="s">
        <v>45</v>
      </c>
      <c r="D28676" s="3" t="s">
        <v>221</v>
      </c>
      <c r="E28676" s="3" t="s">
        <v>352</v>
      </c>
      <c r="F28676" s="7">
        <v>46296.538662675965</v>
      </c>
      <c r="G28676" s="3" t="s">
        <v>17747</v>
      </c>
    </row>
    <row r="28677">
      <c r="A28677" s="3" t="s">
        <v>45170</v>
      </c>
      <c r="B28677" s="3" t="s">
        <v>22887</v>
      </c>
      <c r="C28677" s="5" t="s">
        <v>221</v>
      </c>
      <c r="D28677" s="3" t="s">
        <v>181</v>
      </c>
      <c r="E28677" s="3" t="s">
        <v>118</v>
      </c>
      <c r="F28677" s="7">
        <v>46296.54213489818</v>
      </c>
      <c r="G28677" s="3" t="s">
        <v>45171</v>
      </c>
    </row>
    <row r="28678">
      <c r="A28678" s="3" t="s">
        <v>45172</v>
      </c>
      <c r="B28678" s="3" t="s">
        <v>22889</v>
      </c>
      <c r="C28678" s="5" t="s">
        <v>45</v>
      </c>
      <c r="D28678" s="3" t="s">
        <v>221</v>
      </c>
      <c r="E28678" s="3" t="s">
        <v>239</v>
      </c>
      <c r="F28678" s="7">
        <v>46296.60983752138</v>
      </c>
      <c r="G28678" s="3" t="s">
        <v>17503</v>
      </c>
    </row>
    <row r="28679">
      <c r="A28679" s="3" t="s">
        <v>45173</v>
      </c>
      <c r="B28679" s="3" t="s">
        <v>22889</v>
      </c>
      <c r="C28679" s="5" t="s">
        <v>221</v>
      </c>
      <c r="D28679" s="3" t="s">
        <v>614</v>
      </c>
      <c r="E28679" s="3" t="s">
        <v>118</v>
      </c>
      <c r="F28679" s="7">
        <v>46296.613309743596</v>
      </c>
      <c r="G28679" s="3" t="s">
        <v>17506</v>
      </c>
    </row>
    <row r="28680">
      <c r="A28680" s="3" t="s">
        <v>45174</v>
      </c>
      <c r="B28680" s="3" t="s">
        <v>22889</v>
      </c>
      <c r="C28680" s="5" t="s">
        <v>614</v>
      </c>
      <c r="D28680" s="3" t="s">
        <v>206</v>
      </c>
      <c r="E28680" s="3" t="s">
        <v>100</v>
      </c>
      <c r="F28680" s="7">
        <v>46296.61678196582</v>
      </c>
      <c r="G28680" s="3" t="s">
        <v>17509</v>
      </c>
    </row>
    <row r="28681">
      <c r="A28681" s="3" t="s">
        <v>45175</v>
      </c>
      <c r="B28681" s="3" t="s">
        <v>22889</v>
      </c>
      <c r="C28681" s="5" t="s">
        <v>206</v>
      </c>
      <c r="D28681" s="3" t="s">
        <v>68</v>
      </c>
      <c r="E28681" s="3" t="s">
        <v>100</v>
      </c>
      <c r="F28681" s="7">
        <v>46296.62025418804</v>
      </c>
      <c r="G28681" s="3" t="s">
        <v>17511</v>
      </c>
    </row>
    <row r="28682">
      <c r="A28682" s="3" t="s">
        <v>45176</v>
      </c>
      <c r="B28682" s="3" t="s">
        <v>22891</v>
      </c>
      <c r="C28682" s="5" t="s">
        <v>45</v>
      </c>
      <c r="D28682" s="3" t="s">
        <v>221</v>
      </c>
      <c r="E28682" s="3" t="s">
        <v>165</v>
      </c>
      <c r="F28682" s="7">
        <v>46296.68101236679</v>
      </c>
      <c r="G28682" s="3" t="s">
        <v>3099</v>
      </c>
    </row>
    <row r="28683">
      <c r="A28683" s="3" t="s">
        <v>45177</v>
      </c>
      <c r="B28683" s="3" t="s">
        <v>22891</v>
      </c>
      <c r="C28683" s="5" t="s">
        <v>221</v>
      </c>
      <c r="D28683" s="3" t="s">
        <v>614</v>
      </c>
      <c r="E28683" s="3" t="s">
        <v>118</v>
      </c>
      <c r="F28683" s="7">
        <v>46296.68448458901</v>
      </c>
      <c r="G28683" s="3" t="s">
        <v>3102</v>
      </c>
    </row>
    <row r="28684">
      <c r="A28684" s="3" t="s">
        <v>45178</v>
      </c>
      <c r="B28684" s="3" t="s">
        <v>22891</v>
      </c>
      <c r="C28684" s="5" t="s">
        <v>614</v>
      </c>
      <c r="D28684" s="3" t="s">
        <v>206</v>
      </c>
      <c r="E28684" s="3" t="s">
        <v>100</v>
      </c>
      <c r="F28684" s="7">
        <v>46296.687956811234</v>
      </c>
      <c r="G28684" s="3" t="s">
        <v>3105</v>
      </c>
    </row>
    <row r="28685">
      <c r="A28685" s="3" t="s">
        <v>45179</v>
      </c>
      <c r="B28685" s="3" t="s">
        <v>22891</v>
      </c>
      <c r="C28685" s="5" t="s">
        <v>206</v>
      </c>
      <c r="D28685" s="3" t="s">
        <v>68</v>
      </c>
      <c r="E28685" s="3" t="s">
        <v>100</v>
      </c>
      <c r="F28685" s="7">
        <v>46296.69142903345</v>
      </c>
      <c r="G28685" s="3" t="s">
        <v>3108</v>
      </c>
    </row>
    <row r="28686">
      <c r="A28686" s="3" t="s">
        <v>45180</v>
      </c>
      <c r="B28686" s="3" t="s">
        <v>22893</v>
      </c>
      <c r="C28686" s="5" t="s">
        <v>45</v>
      </c>
      <c r="D28686" s="3" t="s">
        <v>221</v>
      </c>
      <c r="E28686" s="3" t="s">
        <v>773</v>
      </c>
      <c r="F28686" s="7">
        <v>46296.75218721221</v>
      </c>
      <c r="G28686" s="3" t="s">
        <v>24356</v>
      </c>
    </row>
    <row r="28687">
      <c r="A28687" s="3" t="s">
        <v>45181</v>
      </c>
      <c r="B28687" s="3" t="s">
        <v>22893</v>
      </c>
      <c r="C28687" s="5" t="s">
        <v>221</v>
      </c>
      <c r="D28687" s="3" t="s">
        <v>195</v>
      </c>
      <c r="E28687" s="3" t="s">
        <v>773</v>
      </c>
      <c r="F28687" s="7">
        <v>46296.75565943443</v>
      </c>
      <c r="G28687" s="3" t="s">
        <v>45182</v>
      </c>
    </row>
    <row r="28688">
      <c r="A28688" s="3" t="s">
        <v>45183</v>
      </c>
      <c r="B28688" s="3" t="s">
        <v>22895</v>
      </c>
      <c r="C28688" s="5" t="s">
        <v>45</v>
      </c>
      <c r="D28688" s="3" t="s">
        <v>221</v>
      </c>
      <c r="E28688" s="3" t="s">
        <v>446</v>
      </c>
      <c r="F28688" s="7">
        <v>46296.82336205762</v>
      </c>
      <c r="G28688" s="3" t="s">
        <v>6374</v>
      </c>
    </row>
    <row r="28689">
      <c r="A28689" s="3" t="s">
        <v>45184</v>
      </c>
      <c r="B28689" s="3" t="s">
        <v>22895</v>
      </c>
      <c r="C28689" s="5" t="s">
        <v>221</v>
      </c>
      <c r="D28689" s="3" t="s">
        <v>614</v>
      </c>
      <c r="E28689" s="3" t="s">
        <v>118</v>
      </c>
      <c r="F28689" s="7">
        <v>46296.82683427984</v>
      </c>
      <c r="G28689" s="3" t="s">
        <v>6456</v>
      </c>
    </row>
    <row r="28690">
      <c r="A28690" s="3" t="s">
        <v>45185</v>
      </c>
      <c r="B28690" s="3" t="s">
        <v>22895</v>
      </c>
      <c r="C28690" s="5" t="s">
        <v>614</v>
      </c>
      <c r="D28690" s="3" t="s">
        <v>206</v>
      </c>
      <c r="E28690" s="3" t="s">
        <v>100</v>
      </c>
      <c r="F28690" s="7">
        <v>46296.83030650207</v>
      </c>
      <c r="G28690" s="3" t="s">
        <v>6458</v>
      </c>
    </row>
    <row r="28691">
      <c r="A28691" s="3" t="s">
        <v>45186</v>
      </c>
      <c r="B28691" s="3" t="s">
        <v>22895</v>
      </c>
      <c r="C28691" s="5" t="s">
        <v>206</v>
      </c>
      <c r="D28691" s="3" t="s">
        <v>68</v>
      </c>
      <c r="E28691" s="3" t="s">
        <v>100</v>
      </c>
      <c r="F28691" s="7">
        <v>46296.833778724285</v>
      </c>
      <c r="G28691" s="3" t="s">
        <v>6461</v>
      </c>
    </row>
    <row r="28692">
      <c r="A28692" s="3" t="s">
        <v>45187</v>
      </c>
      <c r="B28692" s="3" t="s">
        <v>22897</v>
      </c>
      <c r="C28692" s="5" t="s">
        <v>45</v>
      </c>
      <c r="D28692" s="3" t="s">
        <v>221</v>
      </c>
      <c r="E28692" s="3" t="s">
        <v>632</v>
      </c>
      <c r="F28692" s="7">
        <v>46296.89453690303</v>
      </c>
      <c r="G28692" s="3" t="s">
        <v>2770</v>
      </c>
    </row>
    <row r="28693">
      <c r="A28693" s="3" t="s">
        <v>45188</v>
      </c>
      <c r="B28693" s="3" t="s">
        <v>22897</v>
      </c>
      <c r="C28693" s="5" t="s">
        <v>221</v>
      </c>
      <c r="D28693" s="3" t="s">
        <v>181</v>
      </c>
      <c r="E28693" s="3" t="s">
        <v>118</v>
      </c>
      <c r="F28693" s="7">
        <v>46296.89800912525</v>
      </c>
      <c r="G28693" s="3" t="s">
        <v>2774</v>
      </c>
    </row>
    <row r="28694">
      <c r="A28694" s="3" t="s">
        <v>45189</v>
      </c>
      <c r="B28694" s="3" t="s">
        <v>22900</v>
      </c>
      <c r="C28694" s="5" t="s">
        <v>45</v>
      </c>
      <c r="D28694" s="3" t="s">
        <v>221</v>
      </c>
      <c r="E28694" s="3" t="s">
        <v>554</v>
      </c>
      <c r="F28694" s="7">
        <v>46296.96571174845</v>
      </c>
      <c r="G28694" s="3" t="s">
        <v>24463</v>
      </c>
    </row>
    <row r="28695">
      <c r="A28695" s="3" t="s">
        <v>45190</v>
      </c>
      <c r="B28695" s="3" t="s">
        <v>22900</v>
      </c>
      <c r="C28695" s="5" t="s">
        <v>221</v>
      </c>
      <c r="D28695" s="3" t="s">
        <v>614</v>
      </c>
      <c r="E28695" s="3" t="s">
        <v>118</v>
      </c>
      <c r="F28695" s="7">
        <v>46296.96918397067</v>
      </c>
      <c r="G28695" s="3" t="s">
        <v>24465</v>
      </c>
    </row>
    <row r="28696">
      <c r="A28696" s="3" t="s">
        <v>45191</v>
      </c>
      <c r="B28696" s="3" t="s">
        <v>22900</v>
      </c>
      <c r="C28696" s="5" t="s">
        <v>614</v>
      </c>
      <c r="D28696" s="3" t="s">
        <v>206</v>
      </c>
      <c r="E28696" s="3" t="s">
        <v>100</v>
      </c>
      <c r="F28696" s="7">
        <v>46296.9726561929</v>
      </c>
      <c r="G28696" s="3" t="s">
        <v>24467</v>
      </c>
    </row>
    <row r="28697">
      <c r="A28697" s="3" t="s">
        <v>45192</v>
      </c>
      <c r="B28697" s="3" t="s">
        <v>22900</v>
      </c>
      <c r="C28697" s="5" t="s">
        <v>206</v>
      </c>
      <c r="D28697" s="3" t="s">
        <v>68</v>
      </c>
      <c r="E28697" s="3" t="s">
        <v>100</v>
      </c>
      <c r="F28697" s="7">
        <v>46296.97612841512</v>
      </c>
      <c r="G28697" s="3" t="s">
        <v>24469</v>
      </c>
    </row>
    <row r="28698">
      <c r="A28698" s="3" t="s">
        <v>45193</v>
      </c>
      <c r="B28698" s="3" t="s">
        <v>22904</v>
      </c>
      <c r="C28698" s="5" t="s">
        <v>45</v>
      </c>
      <c r="D28698" s="3" t="s">
        <v>221</v>
      </c>
      <c r="E28698" s="3" t="s">
        <v>957</v>
      </c>
      <c r="F28698" s="7">
        <v>46297.036886593865</v>
      </c>
      <c r="G28698" s="3" t="s">
        <v>13764</v>
      </c>
    </row>
    <row r="28699">
      <c r="A28699" s="3" t="s">
        <v>45194</v>
      </c>
      <c r="B28699" s="3" t="s">
        <v>22904</v>
      </c>
      <c r="C28699" s="5" t="s">
        <v>221</v>
      </c>
      <c r="D28699" s="3" t="s">
        <v>614</v>
      </c>
      <c r="E28699" s="3" t="s">
        <v>118</v>
      </c>
      <c r="F28699" s="7">
        <v>46297.040358816084</v>
      </c>
      <c r="G28699" s="3" t="s">
        <v>13767</v>
      </c>
    </row>
    <row r="28700">
      <c r="A28700" s="3" t="s">
        <v>45195</v>
      </c>
      <c r="B28700" s="3" t="s">
        <v>22904</v>
      </c>
      <c r="C28700" s="5" t="s">
        <v>614</v>
      </c>
      <c r="D28700" s="3" t="s">
        <v>206</v>
      </c>
      <c r="E28700" s="3" t="s">
        <v>100</v>
      </c>
      <c r="F28700" s="7">
        <v>46297.04383103831</v>
      </c>
      <c r="G28700" s="3" t="s">
        <v>13769</v>
      </c>
    </row>
    <row r="28701">
      <c r="A28701" s="3" t="s">
        <v>45196</v>
      </c>
      <c r="B28701" s="3" t="s">
        <v>22904</v>
      </c>
      <c r="C28701" s="5" t="s">
        <v>206</v>
      </c>
      <c r="D28701" s="3" t="s">
        <v>68</v>
      </c>
      <c r="E28701" s="3" t="s">
        <v>100</v>
      </c>
      <c r="F28701" s="7">
        <v>46297.04730326053</v>
      </c>
      <c r="G28701" s="3" t="s">
        <v>13772</v>
      </c>
    </row>
    <row r="28702">
      <c r="A28702" s="3" t="s">
        <v>45197</v>
      </c>
      <c r="B28702" s="3" t="s">
        <v>22907</v>
      </c>
      <c r="C28702" s="5" t="s">
        <v>45</v>
      </c>
      <c r="D28702" s="3" t="s">
        <v>221</v>
      </c>
      <c r="E28702" s="3" t="s">
        <v>296</v>
      </c>
      <c r="F28702" s="7">
        <v>46297.10806143928</v>
      </c>
      <c r="G28702" s="3" t="s">
        <v>15196</v>
      </c>
    </row>
    <row r="28703">
      <c r="A28703" s="3" t="s">
        <v>45198</v>
      </c>
      <c r="B28703" s="3" t="s">
        <v>22907</v>
      </c>
      <c r="C28703" s="5" t="s">
        <v>221</v>
      </c>
      <c r="D28703" s="3" t="s">
        <v>614</v>
      </c>
      <c r="E28703" s="3" t="s">
        <v>118</v>
      </c>
      <c r="F28703" s="7">
        <v>46297.1115336615</v>
      </c>
      <c r="G28703" s="3" t="s">
        <v>15199</v>
      </c>
    </row>
    <row r="28704">
      <c r="A28704" s="3" t="s">
        <v>45199</v>
      </c>
      <c r="B28704" s="3" t="s">
        <v>22907</v>
      </c>
      <c r="C28704" s="5" t="s">
        <v>614</v>
      </c>
      <c r="D28704" s="3" t="s">
        <v>206</v>
      </c>
      <c r="E28704" s="3" t="s">
        <v>100</v>
      </c>
      <c r="F28704" s="7">
        <v>46297.11500588372</v>
      </c>
      <c r="G28704" s="3" t="s">
        <v>15203</v>
      </c>
    </row>
    <row r="28705">
      <c r="A28705" s="3" t="s">
        <v>45200</v>
      </c>
      <c r="B28705" s="3" t="s">
        <v>22907</v>
      </c>
      <c r="C28705" s="5" t="s">
        <v>206</v>
      </c>
      <c r="D28705" s="3" t="s">
        <v>68</v>
      </c>
      <c r="E28705" s="3" t="s">
        <v>100</v>
      </c>
      <c r="F28705" s="7">
        <v>46297.11847810594</v>
      </c>
      <c r="G28705" s="3" t="s">
        <v>15206</v>
      </c>
    </row>
    <row r="28706">
      <c r="A28706" s="3" t="s">
        <v>45201</v>
      </c>
      <c r="B28706" s="3" t="s">
        <v>22910</v>
      </c>
      <c r="C28706" s="5" t="s">
        <v>45</v>
      </c>
      <c r="D28706" s="3" t="s">
        <v>221</v>
      </c>
      <c r="E28706" s="3" t="s">
        <v>822</v>
      </c>
      <c r="F28706" s="7">
        <v>46297.1792362847</v>
      </c>
      <c r="G28706" s="3" t="s">
        <v>7388</v>
      </c>
    </row>
    <row r="28707">
      <c r="A28707" s="3" t="s">
        <v>45202</v>
      </c>
      <c r="B28707" s="3" t="s">
        <v>22910</v>
      </c>
      <c r="C28707" s="5" t="s">
        <v>221</v>
      </c>
      <c r="D28707" s="3" t="s">
        <v>195</v>
      </c>
      <c r="E28707" s="3" t="s">
        <v>822</v>
      </c>
      <c r="F28707" s="7">
        <v>46297.182708506916</v>
      </c>
      <c r="G28707" s="3" t="s">
        <v>45203</v>
      </c>
    </row>
    <row r="28708">
      <c r="A28708" s="3" t="s">
        <v>45204</v>
      </c>
      <c r="B28708" s="3" t="s">
        <v>22912</v>
      </c>
      <c r="C28708" s="5" t="s">
        <v>45</v>
      </c>
      <c r="D28708" s="3" t="s">
        <v>221</v>
      </c>
      <c r="E28708" s="3" t="s">
        <v>751</v>
      </c>
      <c r="F28708" s="7">
        <v>46297.25041113012</v>
      </c>
      <c r="G28708" s="3" t="s">
        <v>9523</v>
      </c>
    </row>
    <row r="28709">
      <c r="A28709" s="3" t="s">
        <v>45205</v>
      </c>
      <c r="B28709" s="3" t="s">
        <v>22912</v>
      </c>
      <c r="C28709" s="5" t="s">
        <v>221</v>
      </c>
      <c r="D28709" s="3" t="s">
        <v>614</v>
      </c>
      <c r="E28709" s="3" t="s">
        <v>118</v>
      </c>
      <c r="F28709" s="7">
        <v>46297.253883352336</v>
      </c>
      <c r="G28709" s="3" t="s">
        <v>9526</v>
      </c>
    </row>
    <row r="28710">
      <c r="A28710" s="3" t="s">
        <v>45206</v>
      </c>
      <c r="B28710" s="3" t="s">
        <v>22912</v>
      </c>
      <c r="C28710" s="5" t="s">
        <v>614</v>
      </c>
      <c r="D28710" s="3" t="s">
        <v>206</v>
      </c>
      <c r="E28710" s="3" t="s">
        <v>100</v>
      </c>
      <c r="F28710" s="7">
        <v>46297.25735557456</v>
      </c>
      <c r="G28710" s="3" t="s">
        <v>9529</v>
      </c>
    </row>
    <row r="28711">
      <c r="A28711" s="3" t="s">
        <v>45207</v>
      </c>
      <c r="B28711" s="3" t="s">
        <v>22912</v>
      </c>
      <c r="C28711" s="5" t="s">
        <v>206</v>
      </c>
      <c r="D28711" s="3" t="s">
        <v>68</v>
      </c>
      <c r="E28711" s="3" t="s">
        <v>100</v>
      </c>
      <c r="F28711" s="7">
        <v>46297.26082779678</v>
      </c>
      <c r="G28711" s="3" t="s">
        <v>9532</v>
      </c>
    </row>
    <row r="28712">
      <c r="A28712" s="3" t="s">
        <v>45208</v>
      </c>
      <c r="B28712" s="3" t="s">
        <v>22914</v>
      </c>
      <c r="C28712" s="5" t="s">
        <v>45</v>
      </c>
      <c r="D28712" s="3" t="s">
        <v>221</v>
      </c>
      <c r="E28712" s="3" t="s">
        <v>710</v>
      </c>
      <c r="F28712" s="7">
        <v>46297.32158597552</v>
      </c>
      <c r="G28712" s="3" t="s">
        <v>27287</v>
      </c>
    </row>
    <row r="28713">
      <c r="A28713" s="3" t="s">
        <v>45209</v>
      </c>
      <c r="B28713" s="3" t="s">
        <v>22914</v>
      </c>
      <c r="C28713" s="5" t="s">
        <v>221</v>
      </c>
      <c r="D28713" s="3" t="s">
        <v>614</v>
      </c>
      <c r="E28713" s="3" t="s">
        <v>118</v>
      </c>
      <c r="F28713" s="7">
        <v>46297.32505819774</v>
      </c>
      <c r="G28713" s="3" t="s">
        <v>27289</v>
      </c>
    </row>
    <row r="28714">
      <c r="A28714" s="3" t="s">
        <v>45210</v>
      </c>
      <c r="B28714" s="3" t="s">
        <v>22914</v>
      </c>
      <c r="C28714" s="5" t="s">
        <v>614</v>
      </c>
      <c r="D28714" s="3" t="s">
        <v>206</v>
      </c>
      <c r="E28714" s="3" t="s">
        <v>100</v>
      </c>
      <c r="F28714" s="7">
        <v>46297.32853041997</v>
      </c>
      <c r="G28714" s="3" t="s">
        <v>27291</v>
      </c>
    </row>
    <row r="28715">
      <c r="A28715" s="3" t="s">
        <v>45211</v>
      </c>
      <c r="B28715" s="3" t="s">
        <v>22914</v>
      </c>
      <c r="C28715" s="5" t="s">
        <v>206</v>
      </c>
      <c r="D28715" s="3" t="s">
        <v>68</v>
      </c>
      <c r="E28715" s="3" t="s">
        <v>100</v>
      </c>
      <c r="F28715" s="7">
        <v>46297.332002642186</v>
      </c>
      <c r="G28715" s="3" t="s">
        <v>27293</v>
      </c>
    </row>
    <row r="28716">
      <c r="A28716" s="3" t="s">
        <v>45212</v>
      </c>
      <c r="B28716" s="3" t="s">
        <v>22916</v>
      </c>
      <c r="C28716" s="5" t="s">
        <v>45</v>
      </c>
      <c r="D28716" s="3" t="s">
        <v>221</v>
      </c>
      <c r="E28716" s="3" t="s">
        <v>319</v>
      </c>
      <c r="F28716" s="7">
        <v>46297.39276082094</v>
      </c>
      <c r="G28716" s="3" t="s">
        <v>37671</v>
      </c>
    </row>
    <row r="28717">
      <c r="A28717" s="3" t="s">
        <v>45213</v>
      </c>
      <c r="B28717" s="3" t="s">
        <v>22916</v>
      </c>
      <c r="C28717" s="5" t="s">
        <v>221</v>
      </c>
      <c r="D28717" s="3" t="s">
        <v>614</v>
      </c>
      <c r="E28717" s="3" t="s">
        <v>118</v>
      </c>
      <c r="F28717" s="7">
        <v>46297.39623304316</v>
      </c>
      <c r="G28717" s="3" t="s">
        <v>37673</v>
      </c>
    </row>
    <row r="28718">
      <c r="A28718" s="3" t="s">
        <v>45214</v>
      </c>
      <c r="B28718" s="3" t="s">
        <v>22916</v>
      </c>
      <c r="C28718" s="5" t="s">
        <v>614</v>
      </c>
      <c r="D28718" s="3" t="s">
        <v>206</v>
      </c>
      <c r="E28718" s="3" t="s">
        <v>100</v>
      </c>
      <c r="F28718" s="7">
        <v>46297.39970526539</v>
      </c>
      <c r="G28718" s="3" t="s">
        <v>37675</v>
      </c>
    </row>
    <row r="28719">
      <c r="A28719" s="3" t="s">
        <v>45215</v>
      </c>
      <c r="B28719" s="3" t="s">
        <v>22916</v>
      </c>
      <c r="C28719" s="5" t="s">
        <v>206</v>
      </c>
      <c r="D28719" s="3" t="s">
        <v>68</v>
      </c>
      <c r="E28719" s="3" t="s">
        <v>100</v>
      </c>
      <c r="F28719" s="7">
        <v>46297.403177487606</v>
      </c>
      <c r="G28719" s="3" t="s">
        <v>37677</v>
      </c>
    </row>
    <row r="28720">
      <c r="A28720" s="3" t="s">
        <v>45216</v>
      </c>
      <c r="B28720" s="3" t="s">
        <v>22919</v>
      </c>
      <c r="C28720" s="5" t="s">
        <v>45</v>
      </c>
      <c r="D28720" s="3" t="s">
        <v>221</v>
      </c>
      <c r="E28720" s="3" t="s">
        <v>272</v>
      </c>
      <c r="F28720" s="7">
        <v>46297.46393566636</v>
      </c>
      <c r="G28720" s="3" t="s">
        <v>3111</v>
      </c>
    </row>
    <row r="28721">
      <c r="A28721" s="3" t="s">
        <v>45217</v>
      </c>
      <c r="B28721" s="3" t="s">
        <v>22919</v>
      </c>
      <c r="C28721" s="5" t="s">
        <v>221</v>
      </c>
      <c r="D28721" s="3" t="s">
        <v>614</v>
      </c>
      <c r="E28721" s="3" t="s">
        <v>118</v>
      </c>
      <c r="F28721" s="7">
        <v>46297.46740788858</v>
      </c>
      <c r="G28721" s="3" t="s">
        <v>3114</v>
      </c>
    </row>
    <row r="28722">
      <c r="A28722" s="3" t="s">
        <v>45218</v>
      </c>
      <c r="B28722" s="3" t="s">
        <v>22919</v>
      </c>
      <c r="C28722" s="5" t="s">
        <v>614</v>
      </c>
      <c r="D28722" s="3" t="s">
        <v>206</v>
      </c>
      <c r="E28722" s="3" t="s">
        <v>100</v>
      </c>
      <c r="F28722" s="7">
        <v>46297.470880110806</v>
      </c>
      <c r="G28722" s="3" t="s">
        <v>3117</v>
      </c>
    </row>
    <row r="28723">
      <c r="A28723" s="3" t="s">
        <v>45219</v>
      </c>
      <c r="B28723" s="3" t="s">
        <v>22919</v>
      </c>
      <c r="C28723" s="5" t="s">
        <v>206</v>
      </c>
      <c r="D28723" s="3" t="s">
        <v>68</v>
      </c>
      <c r="E28723" s="3" t="s">
        <v>100</v>
      </c>
      <c r="F28723" s="7">
        <v>46297.474352333025</v>
      </c>
      <c r="G28723" s="3" t="s">
        <v>3120</v>
      </c>
    </row>
    <row r="28724">
      <c r="A28724" s="3" t="s">
        <v>45220</v>
      </c>
      <c r="B28724" s="3" t="s">
        <v>22923</v>
      </c>
      <c r="C28724" s="5" t="s">
        <v>45</v>
      </c>
      <c r="D28724" s="3" t="s">
        <v>221</v>
      </c>
      <c r="E28724" s="3" t="s">
        <v>1040</v>
      </c>
      <c r="F28724" s="7">
        <v>46297.53511051177</v>
      </c>
      <c r="G28724" s="3" t="s">
        <v>30273</v>
      </c>
    </row>
    <row r="28725">
      <c r="A28725" s="3" t="s">
        <v>45221</v>
      </c>
      <c r="B28725" s="3" t="s">
        <v>22923</v>
      </c>
      <c r="C28725" s="5" t="s">
        <v>221</v>
      </c>
      <c r="D28725" s="3" t="s">
        <v>614</v>
      </c>
      <c r="E28725" s="3" t="s">
        <v>118</v>
      </c>
      <c r="F28725" s="7">
        <v>46297.53858273399</v>
      </c>
      <c r="G28725" s="3" t="s">
        <v>30275</v>
      </c>
    </row>
    <row r="28726">
      <c r="A28726" s="3" t="s">
        <v>45222</v>
      </c>
      <c r="B28726" s="3" t="s">
        <v>22923</v>
      </c>
      <c r="C28726" s="5" t="s">
        <v>614</v>
      </c>
      <c r="D28726" s="3" t="s">
        <v>206</v>
      </c>
      <c r="E28726" s="3" t="s">
        <v>100</v>
      </c>
      <c r="F28726" s="7">
        <v>46297.54205495622</v>
      </c>
      <c r="G28726" s="3" t="s">
        <v>30277</v>
      </c>
    </row>
    <row r="28727">
      <c r="A28727" s="3" t="s">
        <v>45223</v>
      </c>
      <c r="B28727" s="3" t="s">
        <v>22923</v>
      </c>
      <c r="C28727" s="5" t="s">
        <v>206</v>
      </c>
      <c r="D28727" s="3" t="s">
        <v>68</v>
      </c>
      <c r="E28727" s="3" t="s">
        <v>100</v>
      </c>
      <c r="F28727" s="7">
        <v>46297.54552717844</v>
      </c>
      <c r="G28727" s="3" t="s">
        <v>30279</v>
      </c>
    </row>
    <row r="28728">
      <c r="A28728" s="3" t="s">
        <v>45224</v>
      </c>
      <c r="B28728" s="3" t="s">
        <v>22925</v>
      </c>
      <c r="C28728" s="5" t="s">
        <v>45</v>
      </c>
      <c r="D28728" s="3" t="s">
        <v>221</v>
      </c>
      <c r="E28728" s="3" t="s">
        <v>250</v>
      </c>
      <c r="F28728" s="7">
        <v>46297.606285357186</v>
      </c>
      <c r="G28728" s="3" t="s">
        <v>27629</v>
      </c>
    </row>
    <row r="28729">
      <c r="A28729" s="3" t="s">
        <v>45225</v>
      </c>
      <c r="B28729" s="3" t="s">
        <v>22925</v>
      </c>
      <c r="C28729" s="5" t="s">
        <v>221</v>
      </c>
      <c r="D28729" s="3" t="s">
        <v>614</v>
      </c>
      <c r="E28729" s="3" t="s">
        <v>118</v>
      </c>
      <c r="F28729" s="7">
        <v>46297.609757579405</v>
      </c>
      <c r="G28729" s="3" t="s">
        <v>27631</v>
      </c>
    </row>
    <row r="28730">
      <c r="A28730" s="3" t="s">
        <v>45226</v>
      </c>
      <c r="B28730" s="3" t="s">
        <v>22925</v>
      </c>
      <c r="C28730" s="5" t="s">
        <v>614</v>
      </c>
      <c r="D28730" s="3" t="s">
        <v>206</v>
      </c>
      <c r="E28730" s="3" t="s">
        <v>100</v>
      </c>
      <c r="F28730" s="7">
        <v>46297.61322980163</v>
      </c>
      <c r="G28730" s="3" t="s">
        <v>27633</v>
      </c>
    </row>
    <row r="28731">
      <c r="A28731" s="3" t="s">
        <v>45227</v>
      </c>
      <c r="B28731" s="3" t="s">
        <v>22925</v>
      </c>
      <c r="C28731" s="5" t="s">
        <v>206</v>
      </c>
      <c r="D28731" s="3" t="s">
        <v>68</v>
      </c>
      <c r="E28731" s="3" t="s">
        <v>100</v>
      </c>
      <c r="F28731" s="7">
        <v>46297.61670202385</v>
      </c>
      <c r="G28731" s="3" t="s">
        <v>27635</v>
      </c>
    </row>
    <row r="28732">
      <c r="A28732" s="3" t="s">
        <v>45228</v>
      </c>
      <c r="B28732" s="3" t="s">
        <v>22928</v>
      </c>
      <c r="C28732" s="5" t="s">
        <v>45</v>
      </c>
      <c r="D28732" s="3" t="s">
        <v>221</v>
      </c>
      <c r="E28732" s="3" t="s">
        <v>581</v>
      </c>
      <c r="F28732" s="7">
        <v>46297.677460202605</v>
      </c>
      <c r="G28732" s="3" t="s">
        <v>11235</v>
      </c>
    </row>
    <row r="28733">
      <c r="A28733" s="3" t="s">
        <v>45229</v>
      </c>
      <c r="B28733" s="3" t="s">
        <v>22928</v>
      </c>
      <c r="C28733" s="5" t="s">
        <v>221</v>
      </c>
      <c r="D28733" s="3" t="s">
        <v>195</v>
      </c>
      <c r="E28733" s="3" t="s">
        <v>581</v>
      </c>
      <c r="F28733" s="7">
        <v>46297.680932424824</v>
      </c>
      <c r="G28733" s="3" t="s">
        <v>14968</v>
      </c>
    </row>
    <row r="28734">
      <c r="A28734" s="3" t="s">
        <v>45230</v>
      </c>
      <c r="B28734" s="3" t="s">
        <v>22931</v>
      </c>
      <c r="C28734" s="5" t="s">
        <v>45</v>
      </c>
      <c r="D28734" s="3" t="s">
        <v>221</v>
      </c>
      <c r="E28734" s="3" t="s">
        <v>640</v>
      </c>
      <c r="F28734" s="7">
        <v>46297.74863504802</v>
      </c>
      <c r="G28734" s="3" t="s">
        <v>18738</v>
      </c>
    </row>
    <row r="28735">
      <c r="A28735" s="3" t="s">
        <v>45231</v>
      </c>
      <c r="B28735" s="3" t="s">
        <v>22931</v>
      </c>
      <c r="C28735" s="5" t="s">
        <v>221</v>
      </c>
      <c r="D28735" s="3" t="s">
        <v>614</v>
      </c>
      <c r="E28735" s="3" t="s">
        <v>118</v>
      </c>
      <c r="F28735" s="7">
        <v>46297.75210727024</v>
      </c>
      <c r="G28735" s="3" t="s">
        <v>20762</v>
      </c>
    </row>
    <row r="28736">
      <c r="A28736" s="3" t="s">
        <v>45232</v>
      </c>
      <c r="B28736" s="3" t="s">
        <v>22931</v>
      </c>
      <c r="C28736" s="5" t="s">
        <v>614</v>
      </c>
      <c r="D28736" s="3" t="s">
        <v>206</v>
      </c>
      <c r="E28736" s="3" t="s">
        <v>100</v>
      </c>
      <c r="F28736" s="7">
        <v>46297.75557949246</v>
      </c>
      <c r="G28736" s="3" t="s">
        <v>20764</v>
      </c>
    </row>
    <row r="28737">
      <c r="A28737" s="3" t="s">
        <v>45233</v>
      </c>
      <c r="B28737" s="3" t="s">
        <v>22931</v>
      </c>
      <c r="C28737" s="5" t="s">
        <v>206</v>
      </c>
      <c r="D28737" s="3" t="s">
        <v>68</v>
      </c>
      <c r="E28737" s="3" t="s">
        <v>100</v>
      </c>
      <c r="F28737" s="7">
        <v>46297.75905171468</v>
      </c>
      <c r="G28737" s="3" t="s">
        <v>20767</v>
      </c>
    </row>
    <row r="28738">
      <c r="A28738" s="3" t="s">
        <v>45234</v>
      </c>
      <c r="B28738" s="3" t="s">
        <v>22933</v>
      </c>
      <c r="C28738" s="5" t="s">
        <v>45</v>
      </c>
      <c r="D28738" s="3" t="s">
        <v>221</v>
      </c>
      <c r="E28738" s="3" t="s">
        <v>175</v>
      </c>
      <c r="F28738" s="7">
        <v>46297.81980989343</v>
      </c>
      <c r="G28738" s="3" t="s">
        <v>18591</v>
      </c>
    </row>
    <row r="28739">
      <c r="A28739" s="3" t="s">
        <v>45235</v>
      </c>
      <c r="B28739" s="3" t="s">
        <v>22933</v>
      </c>
      <c r="C28739" s="5" t="s">
        <v>221</v>
      </c>
      <c r="D28739" s="3" t="s">
        <v>614</v>
      </c>
      <c r="E28739" s="3" t="s">
        <v>118</v>
      </c>
      <c r="F28739" s="7">
        <v>46297.82328211565</v>
      </c>
      <c r="G28739" s="3" t="s">
        <v>18594</v>
      </c>
    </row>
    <row r="28740">
      <c r="A28740" s="3" t="s">
        <v>45236</v>
      </c>
      <c r="B28740" s="3" t="s">
        <v>22933</v>
      </c>
      <c r="C28740" s="5" t="s">
        <v>614</v>
      </c>
      <c r="D28740" s="3" t="s">
        <v>206</v>
      </c>
      <c r="E28740" s="3" t="s">
        <v>100</v>
      </c>
      <c r="F28740" s="7">
        <v>46297.826754337875</v>
      </c>
      <c r="G28740" s="3" t="s">
        <v>18597</v>
      </c>
    </row>
    <row r="28741">
      <c r="A28741" s="3" t="s">
        <v>45237</v>
      </c>
      <c r="B28741" s="3" t="s">
        <v>22933</v>
      </c>
      <c r="C28741" s="5" t="s">
        <v>206</v>
      </c>
      <c r="D28741" s="3" t="s">
        <v>68</v>
      </c>
      <c r="E28741" s="3" t="s">
        <v>100</v>
      </c>
      <c r="F28741" s="7">
        <v>46297.830226560094</v>
      </c>
      <c r="G28741" s="3" t="s">
        <v>18599</v>
      </c>
    </row>
    <row r="28742">
      <c r="A28742" s="3" t="s">
        <v>45238</v>
      </c>
      <c r="B28742" s="3" t="s">
        <v>22935</v>
      </c>
      <c r="C28742" s="5" t="s">
        <v>45</v>
      </c>
      <c r="D28742" s="3" t="s">
        <v>221</v>
      </c>
      <c r="E28742" s="3" t="s">
        <v>678</v>
      </c>
      <c r="F28742" s="7">
        <v>46297.89098473885</v>
      </c>
      <c r="G28742" s="3" t="s">
        <v>3127</v>
      </c>
    </row>
    <row r="28743">
      <c r="A28743" s="3" t="s">
        <v>45239</v>
      </c>
      <c r="B28743" s="3" t="s">
        <v>22935</v>
      </c>
      <c r="C28743" s="5" t="s">
        <v>221</v>
      </c>
      <c r="D28743" s="3" t="s">
        <v>614</v>
      </c>
      <c r="E28743" s="3" t="s">
        <v>118</v>
      </c>
      <c r="F28743" s="7">
        <v>46297.89445696107</v>
      </c>
      <c r="G28743" s="3" t="s">
        <v>3130</v>
      </c>
    </row>
    <row r="28744">
      <c r="A28744" s="3" t="s">
        <v>45240</v>
      </c>
      <c r="B28744" s="3" t="s">
        <v>22935</v>
      </c>
      <c r="C28744" s="5" t="s">
        <v>614</v>
      </c>
      <c r="D28744" s="3" t="s">
        <v>206</v>
      </c>
      <c r="E28744" s="3" t="s">
        <v>100</v>
      </c>
      <c r="F28744" s="7">
        <v>46297.897929183295</v>
      </c>
      <c r="G28744" s="3" t="s">
        <v>3133</v>
      </c>
    </row>
    <row r="28745">
      <c r="A28745" s="3" t="s">
        <v>45241</v>
      </c>
      <c r="B28745" s="3" t="s">
        <v>22935</v>
      </c>
      <c r="C28745" s="5" t="s">
        <v>206</v>
      </c>
      <c r="D28745" s="3" t="s">
        <v>68</v>
      </c>
      <c r="E28745" s="3" t="s">
        <v>100</v>
      </c>
      <c r="F28745" s="7">
        <v>46297.901401405514</v>
      </c>
      <c r="G28745" s="3" t="s">
        <v>3136</v>
      </c>
    </row>
    <row r="28746">
      <c r="A28746" s="3" t="s">
        <v>45242</v>
      </c>
      <c r="B28746" s="3" t="s">
        <v>22936</v>
      </c>
      <c r="C28746" s="5" t="s">
        <v>45</v>
      </c>
      <c r="D28746" s="3" t="s">
        <v>221</v>
      </c>
      <c r="E28746" s="3" t="s">
        <v>903</v>
      </c>
      <c r="F28746" s="7">
        <v>46297.96215958426</v>
      </c>
      <c r="G28746" s="3" t="s">
        <v>17935</v>
      </c>
    </row>
    <row r="28747">
      <c r="A28747" s="3" t="s">
        <v>45243</v>
      </c>
      <c r="B28747" s="3" t="s">
        <v>22936</v>
      </c>
      <c r="C28747" s="5" t="s">
        <v>221</v>
      </c>
      <c r="D28747" s="3" t="s">
        <v>614</v>
      </c>
      <c r="E28747" s="3" t="s">
        <v>118</v>
      </c>
      <c r="F28747" s="7">
        <v>46297.96563180648</v>
      </c>
      <c r="G28747" s="3" t="s">
        <v>17938</v>
      </c>
    </row>
    <row r="28748">
      <c r="A28748" s="3" t="s">
        <v>45244</v>
      </c>
      <c r="B28748" s="3" t="s">
        <v>22936</v>
      </c>
      <c r="C28748" s="5" t="s">
        <v>614</v>
      </c>
      <c r="D28748" s="3" t="s">
        <v>206</v>
      </c>
      <c r="E28748" s="3" t="s">
        <v>100</v>
      </c>
      <c r="F28748" s="7">
        <v>46297.96910402871</v>
      </c>
      <c r="G28748" s="3" t="s">
        <v>17940</v>
      </c>
    </row>
    <row r="28749">
      <c r="A28749" s="3" t="s">
        <v>45245</v>
      </c>
      <c r="B28749" s="3" t="s">
        <v>22936</v>
      </c>
      <c r="C28749" s="5" t="s">
        <v>206</v>
      </c>
      <c r="D28749" s="3" t="s">
        <v>68</v>
      </c>
      <c r="E28749" s="3" t="s">
        <v>100</v>
      </c>
      <c r="F28749" s="7">
        <v>46297.972576250926</v>
      </c>
      <c r="G28749" s="3" t="s">
        <v>17943</v>
      </c>
    </row>
    <row r="28750">
      <c r="A28750" s="3" t="s">
        <v>45246</v>
      </c>
      <c r="B28750" s="3" t="s">
        <v>22938</v>
      </c>
      <c r="C28750" s="5" t="s">
        <v>45</v>
      </c>
      <c r="D28750" s="3" t="s">
        <v>221</v>
      </c>
      <c r="E28750" s="3" t="s">
        <v>781</v>
      </c>
      <c r="F28750" s="7">
        <v>46298.033334429674</v>
      </c>
      <c r="G28750" s="3" t="s">
        <v>18744</v>
      </c>
    </row>
    <row r="28751">
      <c r="A28751" s="3" t="s">
        <v>45247</v>
      </c>
      <c r="B28751" s="3" t="s">
        <v>22938</v>
      </c>
      <c r="C28751" s="5" t="s">
        <v>221</v>
      </c>
      <c r="D28751" s="3" t="s">
        <v>614</v>
      </c>
      <c r="E28751" s="3" t="s">
        <v>118</v>
      </c>
      <c r="F28751" s="7">
        <v>46298.03680665189</v>
      </c>
      <c r="G28751" s="3" t="s">
        <v>18747</v>
      </c>
    </row>
    <row r="28752">
      <c r="A28752" s="3" t="s">
        <v>45248</v>
      </c>
      <c r="B28752" s="3" t="s">
        <v>22938</v>
      </c>
      <c r="C28752" s="5" t="s">
        <v>614</v>
      </c>
      <c r="D28752" s="3" t="s">
        <v>206</v>
      </c>
      <c r="E28752" s="3" t="s">
        <v>100</v>
      </c>
      <c r="F28752" s="7">
        <v>46298.04027887412</v>
      </c>
      <c r="G28752" s="3" t="s">
        <v>18749</v>
      </c>
    </row>
    <row r="28753">
      <c r="A28753" s="3" t="s">
        <v>45249</v>
      </c>
      <c r="B28753" s="3" t="s">
        <v>22938</v>
      </c>
      <c r="C28753" s="5" t="s">
        <v>206</v>
      </c>
      <c r="D28753" s="3" t="s">
        <v>68</v>
      </c>
      <c r="E28753" s="3" t="s">
        <v>100</v>
      </c>
      <c r="F28753" s="7">
        <v>46298.04375109634</v>
      </c>
      <c r="G28753" s="3" t="s">
        <v>18752</v>
      </c>
    </row>
    <row r="28754">
      <c r="A28754" s="3" t="s">
        <v>45250</v>
      </c>
      <c r="B28754" s="3" t="s">
        <v>22940</v>
      </c>
      <c r="C28754" s="5" t="s">
        <v>45</v>
      </c>
      <c r="D28754" s="3" t="s">
        <v>221</v>
      </c>
      <c r="E28754" s="3" t="s">
        <v>826</v>
      </c>
      <c r="F28754" s="7">
        <v>46298.104509275094</v>
      </c>
      <c r="G28754" s="3" t="s">
        <v>15911</v>
      </c>
    </row>
    <row r="28755">
      <c r="A28755" s="3" t="s">
        <v>45251</v>
      </c>
      <c r="B28755" s="3" t="s">
        <v>22940</v>
      </c>
      <c r="C28755" s="5" t="s">
        <v>221</v>
      </c>
      <c r="D28755" s="3" t="s">
        <v>614</v>
      </c>
      <c r="E28755" s="3" t="s">
        <v>118</v>
      </c>
      <c r="F28755" s="7">
        <v>46298.10798149731</v>
      </c>
      <c r="G28755" s="3" t="s">
        <v>15914</v>
      </c>
    </row>
    <row r="28756">
      <c r="A28756" s="3" t="s">
        <v>45252</v>
      </c>
      <c r="B28756" s="3" t="s">
        <v>22940</v>
      </c>
      <c r="C28756" s="5" t="s">
        <v>614</v>
      </c>
      <c r="D28756" s="3" t="s">
        <v>206</v>
      </c>
      <c r="E28756" s="3" t="s">
        <v>100</v>
      </c>
      <c r="F28756" s="7">
        <v>46298.11145371954</v>
      </c>
      <c r="G28756" s="3" t="s">
        <v>15917</v>
      </c>
    </row>
    <row r="28757">
      <c r="A28757" s="3" t="s">
        <v>45253</v>
      </c>
      <c r="B28757" s="3" t="s">
        <v>22940</v>
      </c>
      <c r="C28757" s="5" t="s">
        <v>206</v>
      </c>
      <c r="D28757" s="3" t="s">
        <v>68</v>
      </c>
      <c r="E28757" s="3" t="s">
        <v>100</v>
      </c>
      <c r="F28757" s="7">
        <v>46298.11492594176</v>
      </c>
      <c r="G28757" s="3" t="s">
        <v>15919</v>
      </c>
    </row>
    <row r="28758">
      <c r="A28758" s="3" t="s">
        <v>45254</v>
      </c>
      <c r="B28758" s="3" t="s">
        <v>22942</v>
      </c>
      <c r="C28758" s="5" t="s">
        <v>45</v>
      </c>
      <c r="D28758" s="3" t="s">
        <v>221</v>
      </c>
      <c r="E28758" s="3" t="s">
        <v>141</v>
      </c>
      <c r="F28758" s="7">
        <v>46298.17568412051</v>
      </c>
      <c r="G28758" s="3" t="s">
        <v>7094</v>
      </c>
    </row>
    <row r="28759">
      <c r="A28759" s="3" t="s">
        <v>45255</v>
      </c>
      <c r="B28759" s="3" t="s">
        <v>22942</v>
      </c>
      <c r="C28759" s="5" t="s">
        <v>221</v>
      </c>
      <c r="D28759" s="3" t="s">
        <v>614</v>
      </c>
      <c r="E28759" s="3" t="s">
        <v>118</v>
      </c>
      <c r="F28759" s="7">
        <v>46298.17915634273</v>
      </c>
      <c r="G28759" s="3" t="s">
        <v>7096</v>
      </c>
    </row>
    <row r="28760">
      <c r="A28760" s="3" t="s">
        <v>45256</v>
      </c>
      <c r="B28760" s="3" t="s">
        <v>22942</v>
      </c>
      <c r="C28760" s="5" t="s">
        <v>614</v>
      </c>
      <c r="D28760" s="3" t="s">
        <v>206</v>
      </c>
      <c r="E28760" s="3" t="s">
        <v>100</v>
      </c>
      <c r="F28760" s="7">
        <v>46298.18262856496</v>
      </c>
      <c r="G28760" s="3" t="s">
        <v>7099</v>
      </c>
    </row>
    <row r="28761">
      <c r="A28761" s="3" t="s">
        <v>45257</v>
      </c>
      <c r="B28761" s="3" t="s">
        <v>22942</v>
      </c>
      <c r="C28761" s="5" t="s">
        <v>206</v>
      </c>
      <c r="D28761" s="3" t="s">
        <v>68</v>
      </c>
      <c r="E28761" s="3" t="s">
        <v>100</v>
      </c>
      <c r="F28761" s="7">
        <v>46298.18610078718</v>
      </c>
      <c r="G28761" s="3" t="s">
        <v>7103</v>
      </c>
    </row>
    <row r="28762">
      <c r="A28762" s="3" t="s">
        <v>45258</v>
      </c>
      <c r="B28762" s="3" t="s">
        <v>22944</v>
      </c>
      <c r="C28762" s="5" t="s">
        <v>45</v>
      </c>
      <c r="D28762" s="3" t="s">
        <v>221</v>
      </c>
      <c r="E28762" s="3" t="s">
        <v>632</v>
      </c>
      <c r="F28762" s="7">
        <v>46298.24685896592</v>
      </c>
      <c r="G28762" s="3" t="s">
        <v>3152</v>
      </c>
    </row>
    <row r="28763">
      <c r="A28763" s="3" t="s">
        <v>45259</v>
      </c>
      <c r="B28763" s="3" t="s">
        <v>22944</v>
      </c>
      <c r="C28763" s="5" t="s">
        <v>221</v>
      </c>
      <c r="D28763" s="3" t="s">
        <v>614</v>
      </c>
      <c r="E28763" s="3" t="s">
        <v>118</v>
      </c>
      <c r="F28763" s="7">
        <v>46298.25033118814</v>
      </c>
      <c r="G28763" s="3" t="s">
        <v>3155</v>
      </c>
    </row>
    <row r="28764">
      <c r="A28764" s="3" t="s">
        <v>45260</v>
      </c>
      <c r="B28764" s="3" t="s">
        <v>22944</v>
      </c>
      <c r="C28764" s="5" t="s">
        <v>614</v>
      </c>
      <c r="D28764" s="3" t="s">
        <v>206</v>
      </c>
      <c r="E28764" s="3" t="s">
        <v>100</v>
      </c>
      <c r="F28764" s="7">
        <v>46298.25380341036</v>
      </c>
      <c r="G28764" s="3" t="s">
        <v>3158</v>
      </c>
    </row>
    <row r="28765">
      <c r="A28765" s="3" t="s">
        <v>45261</v>
      </c>
      <c r="B28765" s="3" t="s">
        <v>22944</v>
      </c>
      <c r="C28765" s="5" t="s">
        <v>206</v>
      </c>
      <c r="D28765" s="3" t="s">
        <v>68</v>
      </c>
      <c r="E28765" s="3" t="s">
        <v>100</v>
      </c>
      <c r="F28765" s="7">
        <v>46298.25727563258</v>
      </c>
      <c r="G28765" s="3" t="s">
        <v>3161</v>
      </c>
    </row>
    <row r="28766">
      <c r="A28766" s="3" t="s">
        <v>45262</v>
      </c>
      <c r="B28766" s="3" t="s">
        <v>22945</v>
      </c>
      <c r="C28766" s="5" t="s">
        <v>45</v>
      </c>
      <c r="D28766" s="3" t="s">
        <v>221</v>
      </c>
      <c r="E28766" s="3" t="s">
        <v>598</v>
      </c>
      <c r="F28766" s="7">
        <v>46298.31803381134</v>
      </c>
      <c r="G28766" s="3" t="s">
        <v>4973</v>
      </c>
    </row>
    <row r="28767">
      <c r="A28767" s="3" t="s">
        <v>45263</v>
      </c>
      <c r="B28767" s="3" t="s">
        <v>22945</v>
      </c>
      <c r="C28767" s="5" t="s">
        <v>221</v>
      </c>
      <c r="D28767" s="3" t="s">
        <v>614</v>
      </c>
      <c r="E28767" s="3" t="s">
        <v>118</v>
      </c>
      <c r="F28767" s="7">
        <v>46298.32150603356</v>
      </c>
      <c r="G28767" s="3" t="s">
        <v>4976</v>
      </c>
    </row>
    <row r="28768">
      <c r="A28768" s="3" t="s">
        <v>45264</v>
      </c>
      <c r="B28768" s="3" t="s">
        <v>22945</v>
      </c>
      <c r="C28768" s="5" t="s">
        <v>614</v>
      </c>
      <c r="D28768" s="3" t="s">
        <v>206</v>
      </c>
      <c r="E28768" s="3" t="s">
        <v>100</v>
      </c>
      <c r="F28768" s="7">
        <v>46298.32497825578</v>
      </c>
      <c r="G28768" s="3" t="s">
        <v>4979</v>
      </c>
    </row>
    <row r="28769">
      <c r="A28769" s="3" t="s">
        <v>45265</v>
      </c>
      <c r="B28769" s="3" t="s">
        <v>22945</v>
      </c>
      <c r="C28769" s="5" t="s">
        <v>206</v>
      </c>
      <c r="D28769" s="3" t="s">
        <v>68</v>
      </c>
      <c r="E28769" s="3" t="s">
        <v>100</v>
      </c>
      <c r="F28769" s="7">
        <v>46298.328450478</v>
      </c>
      <c r="G28769" s="3" t="s">
        <v>4982</v>
      </c>
    </row>
    <row r="28770">
      <c r="A28770" s="3" t="s">
        <v>45266</v>
      </c>
      <c r="B28770" s="3" t="s">
        <v>22948</v>
      </c>
      <c r="C28770" s="5" t="s">
        <v>45</v>
      </c>
      <c r="D28770" s="3" t="s">
        <v>221</v>
      </c>
      <c r="E28770" s="3" t="s">
        <v>937</v>
      </c>
      <c r="F28770" s="7">
        <v>46298.38920865676</v>
      </c>
      <c r="G28770" s="3" t="s">
        <v>30157</v>
      </c>
    </row>
    <row r="28771">
      <c r="A28771" s="3" t="s">
        <v>45267</v>
      </c>
      <c r="B28771" s="3" t="s">
        <v>22948</v>
      </c>
      <c r="C28771" s="5" t="s">
        <v>221</v>
      </c>
      <c r="D28771" s="3" t="s">
        <v>614</v>
      </c>
      <c r="E28771" s="3" t="s">
        <v>118</v>
      </c>
      <c r="F28771" s="7">
        <v>46298.39268087898</v>
      </c>
      <c r="G28771" s="3" t="s">
        <v>30159</v>
      </c>
    </row>
    <row r="28772">
      <c r="A28772" s="3" t="s">
        <v>45268</v>
      </c>
      <c r="B28772" s="3" t="s">
        <v>22948</v>
      </c>
      <c r="C28772" s="5" t="s">
        <v>614</v>
      </c>
      <c r="D28772" s="3" t="s">
        <v>206</v>
      </c>
      <c r="E28772" s="3" t="s">
        <v>100</v>
      </c>
      <c r="F28772" s="7">
        <v>46298.3961531012</v>
      </c>
      <c r="G28772" s="3" t="s">
        <v>30161</v>
      </c>
    </row>
    <row r="28773">
      <c r="A28773" s="3" t="s">
        <v>45269</v>
      </c>
      <c r="B28773" s="3" t="s">
        <v>22948</v>
      </c>
      <c r="C28773" s="5" t="s">
        <v>206</v>
      </c>
      <c r="D28773" s="3" t="s">
        <v>68</v>
      </c>
      <c r="E28773" s="3" t="s">
        <v>100</v>
      </c>
      <c r="F28773" s="7">
        <v>46298.39962532342</v>
      </c>
      <c r="G28773" s="3" t="s">
        <v>30163</v>
      </c>
    </row>
    <row r="28774">
      <c r="A28774" s="3" t="s">
        <v>45270</v>
      </c>
      <c r="B28774" s="3" t="s">
        <v>22951</v>
      </c>
      <c r="C28774" s="5" t="s">
        <v>45</v>
      </c>
      <c r="D28774" s="3" t="s">
        <v>221</v>
      </c>
      <c r="E28774" s="3" t="s">
        <v>547</v>
      </c>
      <c r="F28774" s="7">
        <v>46298.46038350217</v>
      </c>
      <c r="G28774" s="3" t="s">
        <v>14301</v>
      </c>
    </row>
    <row r="28775">
      <c r="A28775" s="3" t="s">
        <v>45271</v>
      </c>
      <c r="B28775" s="3" t="s">
        <v>22951</v>
      </c>
      <c r="C28775" s="5" t="s">
        <v>221</v>
      </c>
      <c r="D28775" s="3" t="s">
        <v>614</v>
      </c>
      <c r="E28775" s="3" t="s">
        <v>118</v>
      </c>
      <c r="F28775" s="7">
        <v>46298.46385572439</v>
      </c>
      <c r="G28775" s="3" t="s">
        <v>14304</v>
      </c>
    </row>
    <row r="28776">
      <c r="A28776" s="3" t="s">
        <v>45272</v>
      </c>
      <c r="B28776" s="3" t="s">
        <v>22951</v>
      </c>
      <c r="C28776" s="5" t="s">
        <v>614</v>
      </c>
      <c r="D28776" s="3" t="s">
        <v>206</v>
      </c>
      <c r="E28776" s="3" t="s">
        <v>100</v>
      </c>
      <c r="F28776" s="7">
        <v>46298.467327946615</v>
      </c>
      <c r="G28776" s="3" t="s">
        <v>14306</v>
      </c>
    </row>
    <row r="28777">
      <c r="A28777" s="3" t="s">
        <v>45273</v>
      </c>
      <c r="B28777" s="3" t="s">
        <v>22951</v>
      </c>
      <c r="C28777" s="5" t="s">
        <v>206</v>
      </c>
      <c r="D28777" s="3" t="s">
        <v>68</v>
      </c>
      <c r="E28777" s="3" t="s">
        <v>100</v>
      </c>
      <c r="F28777" s="7">
        <v>46298.470800168834</v>
      </c>
      <c r="G28777" s="3" t="s">
        <v>14309</v>
      </c>
    </row>
    <row r="28778">
      <c r="A28778" s="3" t="s">
        <v>45274</v>
      </c>
      <c r="B28778" s="3" t="s">
        <v>22954</v>
      </c>
      <c r="C28778" s="5" t="s">
        <v>45</v>
      </c>
      <c r="D28778" s="3" t="s">
        <v>221</v>
      </c>
      <c r="E28778" s="3" t="s">
        <v>561</v>
      </c>
      <c r="F28778" s="7">
        <v>46298.53155834758</v>
      </c>
      <c r="G28778" s="3" t="s">
        <v>3164</v>
      </c>
    </row>
    <row r="28779">
      <c r="A28779" s="3" t="s">
        <v>45275</v>
      </c>
      <c r="B28779" s="3" t="s">
        <v>22954</v>
      </c>
      <c r="C28779" s="5" t="s">
        <v>221</v>
      </c>
      <c r="D28779" s="3" t="s">
        <v>614</v>
      </c>
      <c r="E28779" s="3" t="s">
        <v>118</v>
      </c>
      <c r="F28779" s="7">
        <v>46298.5350305698</v>
      </c>
      <c r="G28779" s="3" t="s">
        <v>3167</v>
      </c>
    </row>
    <row r="28780">
      <c r="A28780" s="3" t="s">
        <v>45276</v>
      </c>
      <c r="B28780" s="3" t="s">
        <v>22954</v>
      </c>
      <c r="C28780" s="5" t="s">
        <v>614</v>
      </c>
      <c r="D28780" s="3" t="s">
        <v>206</v>
      </c>
      <c r="E28780" s="3" t="s">
        <v>100</v>
      </c>
      <c r="F28780" s="7">
        <v>46298.53850279203</v>
      </c>
      <c r="G28780" s="3" t="s">
        <v>3170</v>
      </c>
    </row>
    <row r="28781">
      <c r="A28781" s="3" t="s">
        <v>45277</v>
      </c>
      <c r="B28781" s="3" t="s">
        <v>22954</v>
      </c>
      <c r="C28781" s="5" t="s">
        <v>206</v>
      </c>
      <c r="D28781" s="3" t="s">
        <v>68</v>
      </c>
      <c r="E28781" s="3" t="s">
        <v>100</v>
      </c>
      <c r="F28781" s="7">
        <v>46298.54197501425</v>
      </c>
      <c r="G28781" s="3" t="s">
        <v>3172</v>
      </c>
    </row>
    <row r="28782">
      <c r="A28782" s="3" t="s">
        <v>45278</v>
      </c>
      <c r="B28782" s="3" t="s">
        <v>22957</v>
      </c>
      <c r="C28782" s="5" t="s">
        <v>45</v>
      </c>
      <c r="D28782" s="3" t="s">
        <v>221</v>
      </c>
      <c r="E28782" s="3" t="s">
        <v>175</v>
      </c>
      <c r="F28782" s="7">
        <v>46298.602733193</v>
      </c>
      <c r="G28782" s="3" t="s">
        <v>30101</v>
      </c>
    </row>
    <row r="28783">
      <c r="A28783" s="3" t="s">
        <v>45279</v>
      </c>
      <c r="B28783" s="3" t="s">
        <v>22957</v>
      </c>
      <c r="C28783" s="5" t="s">
        <v>221</v>
      </c>
      <c r="D28783" s="3" t="s">
        <v>614</v>
      </c>
      <c r="E28783" s="3" t="s">
        <v>118</v>
      </c>
      <c r="F28783" s="7">
        <v>46298.60620541522</v>
      </c>
      <c r="G28783" s="3" t="s">
        <v>34800</v>
      </c>
    </row>
    <row r="28784">
      <c r="A28784" s="3" t="s">
        <v>45280</v>
      </c>
      <c r="B28784" s="3" t="s">
        <v>22957</v>
      </c>
      <c r="C28784" s="5" t="s">
        <v>614</v>
      </c>
      <c r="D28784" s="3" t="s">
        <v>206</v>
      </c>
      <c r="E28784" s="3" t="s">
        <v>100</v>
      </c>
      <c r="F28784" s="7">
        <v>46298.60967763745</v>
      </c>
      <c r="G28784" s="3" t="s">
        <v>34802</v>
      </c>
    </row>
    <row r="28785">
      <c r="A28785" s="3" t="s">
        <v>45281</v>
      </c>
      <c r="B28785" s="3" t="s">
        <v>22957</v>
      </c>
      <c r="C28785" s="5" t="s">
        <v>206</v>
      </c>
      <c r="D28785" s="3" t="s">
        <v>68</v>
      </c>
      <c r="E28785" s="3" t="s">
        <v>100</v>
      </c>
      <c r="F28785" s="7">
        <v>46298.613149859666</v>
      </c>
      <c r="G28785" s="3" t="s">
        <v>34804</v>
      </c>
    </row>
    <row r="28786">
      <c r="A28786" s="3" t="s">
        <v>45282</v>
      </c>
      <c r="B28786" s="3" t="s">
        <v>22959</v>
      </c>
      <c r="C28786" s="5" t="s">
        <v>45</v>
      </c>
      <c r="D28786" s="3" t="s">
        <v>221</v>
      </c>
      <c r="E28786" s="3" t="s">
        <v>446</v>
      </c>
      <c r="F28786" s="7">
        <v>46298.673908038414</v>
      </c>
      <c r="G28786" s="3" t="s">
        <v>3175</v>
      </c>
    </row>
    <row r="28787">
      <c r="A28787" s="3" t="s">
        <v>45283</v>
      </c>
      <c r="B28787" s="3" t="s">
        <v>22959</v>
      </c>
      <c r="C28787" s="5" t="s">
        <v>221</v>
      </c>
      <c r="D28787" s="3" t="s">
        <v>614</v>
      </c>
      <c r="E28787" s="3" t="s">
        <v>118</v>
      </c>
      <c r="F28787" s="7">
        <v>46298.67738026063</v>
      </c>
      <c r="G28787" s="3" t="s">
        <v>3178</v>
      </c>
    </row>
    <row r="28788">
      <c r="A28788" s="3" t="s">
        <v>45284</v>
      </c>
      <c r="B28788" s="3" t="s">
        <v>22959</v>
      </c>
      <c r="C28788" s="5" t="s">
        <v>614</v>
      </c>
      <c r="D28788" s="3" t="s">
        <v>206</v>
      </c>
      <c r="E28788" s="3" t="s">
        <v>100</v>
      </c>
      <c r="F28788" s="7">
        <v>46298.68085248286</v>
      </c>
      <c r="G28788" s="3" t="s">
        <v>3181</v>
      </c>
    </row>
    <row r="28789">
      <c r="A28789" s="3" t="s">
        <v>45285</v>
      </c>
      <c r="B28789" s="3" t="s">
        <v>22959</v>
      </c>
      <c r="C28789" s="5" t="s">
        <v>206</v>
      </c>
      <c r="D28789" s="3" t="s">
        <v>68</v>
      </c>
      <c r="E28789" s="3" t="s">
        <v>100</v>
      </c>
      <c r="F28789" s="7">
        <v>46298.68432470508</v>
      </c>
      <c r="G28789" s="3" t="s">
        <v>3184</v>
      </c>
    </row>
    <row r="28790">
      <c r="A28790" s="3" t="s">
        <v>45286</v>
      </c>
      <c r="B28790" s="3" t="s">
        <v>22961</v>
      </c>
      <c r="C28790" s="5" t="s">
        <v>45</v>
      </c>
      <c r="D28790" s="3" t="s">
        <v>221</v>
      </c>
      <c r="E28790" s="3" t="s">
        <v>734</v>
      </c>
      <c r="F28790" s="7">
        <v>46298.74508288383</v>
      </c>
      <c r="G28790" s="3" t="s">
        <v>11640</v>
      </c>
    </row>
    <row r="28791">
      <c r="A28791" s="3" t="s">
        <v>45287</v>
      </c>
      <c r="B28791" s="3" t="s">
        <v>22961</v>
      </c>
      <c r="C28791" s="5" t="s">
        <v>221</v>
      </c>
      <c r="D28791" s="3" t="s">
        <v>614</v>
      </c>
      <c r="E28791" s="3" t="s">
        <v>118</v>
      </c>
      <c r="F28791" s="7">
        <v>46298.748555106045</v>
      </c>
      <c r="G28791" s="3" t="s">
        <v>11643</v>
      </c>
    </row>
    <row r="28792">
      <c r="A28792" s="3" t="s">
        <v>45288</v>
      </c>
      <c r="B28792" s="3" t="s">
        <v>22961</v>
      </c>
      <c r="C28792" s="5" t="s">
        <v>614</v>
      </c>
      <c r="D28792" s="3" t="s">
        <v>206</v>
      </c>
      <c r="E28792" s="3" t="s">
        <v>100</v>
      </c>
      <c r="F28792" s="7">
        <v>46298.75202732827</v>
      </c>
      <c r="G28792" s="3" t="s">
        <v>11647</v>
      </c>
    </row>
    <row r="28793">
      <c r="A28793" s="3" t="s">
        <v>45289</v>
      </c>
      <c r="B28793" s="3" t="s">
        <v>22961</v>
      </c>
      <c r="C28793" s="5" t="s">
        <v>206</v>
      </c>
      <c r="D28793" s="3" t="s">
        <v>68</v>
      </c>
      <c r="E28793" s="3" t="s">
        <v>100</v>
      </c>
      <c r="F28793" s="7">
        <v>46298.75549955049</v>
      </c>
      <c r="G28793" s="3" t="s">
        <v>11650</v>
      </c>
    </row>
    <row r="28794">
      <c r="A28794" s="3" t="s">
        <v>45290</v>
      </c>
      <c r="B28794" s="3" t="s">
        <v>22963</v>
      </c>
      <c r="C28794" s="5" t="s">
        <v>45</v>
      </c>
      <c r="D28794" s="3" t="s">
        <v>221</v>
      </c>
      <c r="E28794" s="3" t="s">
        <v>175</v>
      </c>
      <c r="F28794" s="7">
        <v>46298.816257729246</v>
      </c>
      <c r="G28794" s="3" t="s">
        <v>3187</v>
      </c>
    </row>
    <row r="28795">
      <c r="A28795" s="3" t="s">
        <v>45291</v>
      </c>
      <c r="B28795" s="3" t="s">
        <v>22963</v>
      </c>
      <c r="C28795" s="5" t="s">
        <v>221</v>
      </c>
      <c r="D28795" s="3" t="s">
        <v>614</v>
      </c>
      <c r="E28795" s="3" t="s">
        <v>118</v>
      </c>
      <c r="F28795" s="7">
        <v>46298.819729951465</v>
      </c>
      <c r="G28795" s="3" t="s">
        <v>3190</v>
      </c>
    </row>
    <row r="28796">
      <c r="A28796" s="3" t="s">
        <v>45292</v>
      </c>
      <c r="B28796" s="3" t="s">
        <v>22963</v>
      </c>
      <c r="C28796" s="5" t="s">
        <v>614</v>
      </c>
      <c r="D28796" s="3" t="s">
        <v>206</v>
      </c>
      <c r="E28796" s="3" t="s">
        <v>100</v>
      </c>
      <c r="F28796" s="7">
        <v>46298.82320217369</v>
      </c>
      <c r="G28796" s="3" t="s">
        <v>3193</v>
      </c>
    </row>
    <row r="28797">
      <c r="A28797" s="3" t="s">
        <v>45293</v>
      </c>
      <c r="B28797" s="3" t="s">
        <v>22963</v>
      </c>
      <c r="C28797" s="5" t="s">
        <v>206</v>
      </c>
      <c r="D28797" s="3" t="s">
        <v>68</v>
      </c>
      <c r="E28797" s="3" t="s">
        <v>100</v>
      </c>
      <c r="F28797" s="7">
        <v>46298.82667439591</v>
      </c>
      <c r="G28797" s="3" t="s">
        <v>3196</v>
      </c>
    </row>
    <row r="28798">
      <c r="A28798" s="3" t="s">
        <v>45294</v>
      </c>
      <c r="B28798" s="3" t="s">
        <v>22965</v>
      </c>
      <c r="C28798" s="5" t="s">
        <v>45</v>
      </c>
      <c r="D28798" s="3" t="s">
        <v>221</v>
      </c>
      <c r="E28798" s="3" t="s">
        <v>708</v>
      </c>
      <c r="F28798" s="7">
        <v>46298.88743257466</v>
      </c>
      <c r="G28798" s="3" t="s">
        <v>3199</v>
      </c>
    </row>
    <row r="28799">
      <c r="A28799" s="3" t="s">
        <v>45295</v>
      </c>
      <c r="B28799" s="3" t="s">
        <v>22965</v>
      </c>
      <c r="C28799" s="5" t="s">
        <v>221</v>
      </c>
      <c r="D28799" s="3" t="s">
        <v>614</v>
      </c>
      <c r="E28799" s="3" t="s">
        <v>118</v>
      </c>
      <c r="F28799" s="7">
        <v>46298.89090479688</v>
      </c>
      <c r="G28799" s="3" t="s">
        <v>3202</v>
      </c>
    </row>
    <row r="28800">
      <c r="A28800" s="3" t="s">
        <v>45296</v>
      </c>
      <c r="B28800" s="3" t="s">
        <v>22965</v>
      </c>
      <c r="C28800" s="5" t="s">
        <v>614</v>
      </c>
      <c r="D28800" s="3" t="s">
        <v>206</v>
      </c>
      <c r="E28800" s="3" t="s">
        <v>100</v>
      </c>
      <c r="F28800" s="7">
        <v>46298.8943770191</v>
      </c>
      <c r="G28800" s="3" t="s">
        <v>3204</v>
      </c>
    </row>
    <row r="28801">
      <c r="A28801" s="3" t="s">
        <v>45297</v>
      </c>
      <c r="B28801" s="3" t="s">
        <v>22965</v>
      </c>
      <c r="C28801" s="5" t="s">
        <v>206</v>
      </c>
      <c r="D28801" s="3" t="s">
        <v>68</v>
      </c>
      <c r="E28801" s="3" t="s">
        <v>100</v>
      </c>
      <c r="F28801" s="7">
        <v>46298.89784924132</v>
      </c>
      <c r="G28801" s="3" t="s">
        <v>3207</v>
      </c>
    </row>
    <row r="28802">
      <c r="A28802" s="3" t="s">
        <v>45298</v>
      </c>
      <c r="B28802" s="3" t="s">
        <v>22968</v>
      </c>
      <c r="C28802" s="5" t="s">
        <v>45</v>
      </c>
      <c r="D28802" s="3" t="s">
        <v>221</v>
      </c>
      <c r="E28802" s="3" t="s">
        <v>263</v>
      </c>
      <c r="F28802" s="7">
        <v>46298.95860742007</v>
      </c>
      <c r="G28802" s="3" t="s">
        <v>8665</v>
      </c>
    </row>
    <row r="28803">
      <c r="A28803" s="3" t="s">
        <v>45299</v>
      </c>
      <c r="B28803" s="3" t="s">
        <v>22968</v>
      </c>
      <c r="C28803" s="5" t="s">
        <v>221</v>
      </c>
      <c r="D28803" s="3" t="s">
        <v>195</v>
      </c>
      <c r="E28803" s="3" t="s">
        <v>263</v>
      </c>
      <c r="F28803" s="7">
        <v>46298.96207964229</v>
      </c>
      <c r="G28803" s="3" t="s">
        <v>45300</v>
      </c>
    </row>
    <row r="28804">
      <c r="A28804" s="3" t="s">
        <v>45301</v>
      </c>
      <c r="B28804" s="3" t="s">
        <v>22972</v>
      </c>
      <c r="C28804" s="5" t="s">
        <v>45</v>
      </c>
      <c r="D28804" s="3" t="s">
        <v>221</v>
      </c>
      <c r="E28804" s="3" t="s">
        <v>616</v>
      </c>
      <c r="F28804" s="7">
        <v>46299.02978226549</v>
      </c>
      <c r="G28804" s="3" t="s">
        <v>3210</v>
      </c>
    </row>
    <row r="28805">
      <c r="A28805" s="3" t="s">
        <v>45302</v>
      </c>
      <c r="B28805" s="3" t="s">
        <v>22972</v>
      </c>
      <c r="C28805" s="5" t="s">
        <v>221</v>
      </c>
      <c r="D28805" s="3" t="s">
        <v>614</v>
      </c>
      <c r="E28805" s="3" t="s">
        <v>118</v>
      </c>
      <c r="F28805" s="7">
        <v>46299.03325448771</v>
      </c>
      <c r="G28805" s="3" t="s">
        <v>3213</v>
      </c>
    </row>
    <row r="28806">
      <c r="A28806" s="3" t="s">
        <v>45303</v>
      </c>
      <c r="B28806" s="3" t="s">
        <v>22972</v>
      </c>
      <c r="C28806" s="5" t="s">
        <v>614</v>
      </c>
      <c r="D28806" s="3" t="s">
        <v>206</v>
      </c>
      <c r="E28806" s="3" t="s">
        <v>100</v>
      </c>
      <c r="F28806" s="7">
        <v>46299.036726709935</v>
      </c>
      <c r="G28806" s="3" t="s">
        <v>3215</v>
      </c>
    </row>
    <row r="28807">
      <c r="A28807" s="3" t="s">
        <v>45304</v>
      </c>
      <c r="B28807" s="3" t="s">
        <v>22972</v>
      </c>
      <c r="C28807" s="5" t="s">
        <v>206</v>
      </c>
      <c r="D28807" s="3" t="s">
        <v>68</v>
      </c>
      <c r="E28807" s="3" t="s">
        <v>100</v>
      </c>
      <c r="F28807" s="7">
        <v>46299.040198932154</v>
      </c>
      <c r="G28807" s="3" t="s">
        <v>3218</v>
      </c>
    </row>
    <row r="28808">
      <c r="A28808" s="3" t="s">
        <v>45305</v>
      </c>
      <c r="B28808" s="3" t="s">
        <v>22975</v>
      </c>
      <c r="C28808" s="5" t="s">
        <v>45</v>
      </c>
      <c r="D28808" s="3" t="s">
        <v>221</v>
      </c>
      <c r="E28808" s="3" t="s">
        <v>533</v>
      </c>
      <c r="F28808" s="7">
        <v>46299.1009571109</v>
      </c>
      <c r="G28808" s="3" t="s">
        <v>3221</v>
      </c>
    </row>
    <row r="28809">
      <c r="A28809" s="3" t="s">
        <v>45306</v>
      </c>
      <c r="B28809" s="3" t="s">
        <v>22975</v>
      </c>
      <c r="C28809" s="5" t="s">
        <v>221</v>
      </c>
      <c r="D28809" s="3" t="s">
        <v>614</v>
      </c>
      <c r="E28809" s="3" t="s">
        <v>118</v>
      </c>
      <c r="F28809" s="7">
        <v>46299.10442933312</v>
      </c>
      <c r="G28809" s="3" t="s">
        <v>3224</v>
      </c>
    </row>
    <row r="28810">
      <c r="A28810" s="3" t="s">
        <v>45307</v>
      </c>
      <c r="B28810" s="3" t="s">
        <v>22975</v>
      </c>
      <c r="C28810" s="5" t="s">
        <v>614</v>
      </c>
      <c r="D28810" s="3" t="s">
        <v>206</v>
      </c>
      <c r="E28810" s="3" t="s">
        <v>100</v>
      </c>
      <c r="F28810" s="7">
        <v>46299.10790155535</v>
      </c>
      <c r="G28810" s="3" t="s">
        <v>3227</v>
      </c>
    </row>
    <row r="28811">
      <c r="A28811" s="3" t="s">
        <v>45308</v>
      </c>
      <c r="B28811" s="3" t="s">
        <v>22975</v>
      </c>
      <c r="C28811" s="5" t="s">
        <v>206</v>
      </c>
      <c r="D28811" s="3" t="s">
        <v>68</v>
      </c>
      <c r="E28811" s="3" t="s">
        <v>100</v>
      </c>
      <c r="F28811" s="7">
        <v>46299.11137377757</v>
      </c>
      <c r="G28811" s="3" t="s">
        <v>3230</v>
      </c>
    </row>
    <row r="28812">
      <c r="A28812" s="3" t="s">
        <v>45309</v>
      </c>
      <c r="B28812" s="3" t="s">
        <v>22978</v>
      </c>
      <c r="C28812" s="5" t="s">
        <v>45</v>
      </c>
      <c r="D28812" s="3" t="s">
        <v>221</v>
      </c>
      <c r="E28812" s="3" t="s">
        <v>141</v>
      </c>
      <c r="F28812" s="7">
        <v>46299.172131956315</v>
      </c>
      <c r="G28812" s="3" t="s">
        <v>11327</v>
      </c>
    </row>
    <row r="28813">
      <c r="A28813" s="3" t="s">
        <v>45310</v>
      </c>
      <c r="B28813" s="3" t="s">
        <v>22978</v>
      </c>
      <c r="C28813" s="5" t="s">
        <v>221</v>
      </c>
      <c r="D28813" s="3" t="s">
        <v>614</v>
      </c>
      <c r="E28813" s="3" t="s">
        <v>118</v>
      </c>
      <c r="F28813" s="7">
        <v>46299.175604178534</v>
      </c>
      <c r="G28813" s="3" t="s">
        <v>11330</v>
      </c>
    </row>
    <row r="28814">
      <c r="A28814" s="3" t="s">
        <v>45311</v>
      </c>
      <c r="B28814" s="3" t="s">
        <v>22978</v>
      </c>
      <c r="C28814" s="5" t="s">
        <v>614</v>
      </c>
      <c r="D28814" s="3" t="s">
        <v>206</v>
      </c>
      <c r="E28814" s="3" t="s">
        <v>100</v>
      </c>
      <c r="F28814" s="7">
        <v>46299.17907640076</v>
      </c>
      <c r="G28814" s="3" t="s">
        <v>11333</v>
      </c>
    </row>
    <row r="28815">
      <c r="A28815" s="3" t="s">
        <v>45312</v>
      </c>
      <c r="B28815" s="3" t="s">
        <v>22978</v>
      </c>
      <c r="C28815" s="5" t="s">
        <v>206</v>
      </c>
      <c r="D28815" s="3" t="s">
        <v>68</v>
      </c>
      <c r="E28815" s="3" t="s">
        <v>100</v>
      </c>
      <c r="F28815" s="7">
        <v>46299.18254862298</v>
      </c>
      <c r="G28815" s="3" t="s">
        <v>11336</v>
      </c>
    </row>
    <row r="28816">
      <c r="A28816" s="3" t="s">
        <v>45313</v>
      </c>
      <c r="B28816" s="3" t="s">
        <v>22980</v>
      </c>
      <c r="C28816" s="5" t="s">
        <v>45</v>
      </c>
      <c r="D28816" s="3" t="s">
        <v>221</v>
      </c>
      <c r="E28816" s="3" t="s">
        <v>575</v>
      </c>
      <c r="F28816" s="7">
        <v>46299.243306801734</v>
      </c>
      <c r="G28816" s="3" t="s">
        <v>30245</v>
      </c>
    </row>
    <row r="28817">
      <c r="A28817" s="3" t="s">
        <v>45314</v>
      </c>
      <c r="B28817" s="3" t="s">
        <v>22980</v>
      </c>
      <c r="C28817" s="5" t="s">
        <v>221</v>
      </c>
      <c r="D28817" s="3" t="s">
        <v>614</v>
      </c>
      <c r="E28817" s="3" t="s">
        <v>118</v>
      </c>
      <c r="F28817" s="7">
        <v>46299.24677902395</v>
      </c>
      <c r="G28817" s="3" t="s">
        <v>30247</v>
      </c>
    </row>
    <row r="28818">
      <c r="A28818" s="3" t="s">
        <v>45315</v>
      </c>
      <c r="B28818" s="3" t="s">
        <v>22980</v>
      </c>
      <c r="C28818" s="5" t="s">
        <v>614</v>
      </c>
      <c r="D28818" s="3" t="s">
        <v>206</v>
      </c>
      <c r="E28818" s="3" t="s">
        <v>100</v>
      </c>
      <c r="F28818" s="7">
        <v>46299.25025124618</v>
      </c>
      <c r="G28818" s="3" t="s">
        <v>30249</v>
      </c>
    </row>
    <row r="28819">
      <c r="A28819" s="3" t="s">
        <v>45316</v>
      </c>
      <c r="B28819" s="3" t="s">
        <v>22980</v>
      </c>
      <c r="C28819" s="5" t="s">
        <v>206</v>
      </c>
      <c r="D28819" s="3" t="s">
        <v>68</v>
      </c>
      <c r="E28819" s="3" t="s">
        <v>100</v>
      </c>
      <c r="F28819" s="7">
        <v>46299.2537234684</v>
      </c>
      <c r="G28819" s="3" t="s">
        <v>30251</v>
      </c>
    </row>
    <row r="28820">
      <c r="A28820" s="3" t="s">
        <v>45317</v>
      </c>
      <c r="B28820" s="3" t="s">
        <v>22982</v>
      </c>
      <c r="C28820" s="5" t="s">
        <v>45</v>
      </c>
      <c r="D28820" s="3" t="s">
        <v>221</v>
      </c>
      <c r="E28820" s="3" t="s">
        <v>805</v>
      </c>
      <c r="F28820" s="7">
        <v>46299.314481647154</v>
      </c>
      <c r="G28820" s="3" t="s">
        <v>2770</v>
      </c>
    </row>
    <row r="28821">
      <c r="A28821" s="3" t="s">
        <v>45318</v>
      </c>
      <c r="B28821" s="3" t="s">
        <v>22982</v>
      </c>
      <c r="C28821" s="5" t="s">
        <v>221</v>
      </c>
      <c r="D28821" s="3" t="s">
        <v>181</v>
      </c>
      <c r="E28821" s="3" t="s">
        <v>118</v>
      </c>
      <c r="F28821" s="7">
        <v>46299.31795386937</v>
      </c>
      <c r="G28821" s="3" t="s">
        <v>2774</v>
      </c>
    </row>
    <row r="28822">
      <c r="A28822" s="3" t="s">
        <v>45319</v>
      </c>
      <c r="B28822" s="3" t="s">
        <v>22984</v>
      </c>
      <c r="C28822" s="5" t="s">
        <v>45</v>
      </c>
      <c r="D28822" s="3" t="s">
        <v>221</v>
      </c>
      <c r="E28822" s="3" t="s">
        <v>900</v>
      </c>
      <c r="F28822" s="7">
        <v>46299.38565649256</v>
      </c>
      <c r="G28822" s="3" t="s">
        <v>16066</v>
      </c>
    </row>
    <row r="28823">
      <c r="A28823" s="3" t="s">
        <v>45320</v>
      </c>
      <c r="B28823" s="3" t="s">
        <v>22984</v>
      </c>
      <c r="C28823" s="5" t="s">
        <v>221</v>
      </c>
      <c r="D28823" s="3" t="s">
        <v>181</v>
      </c>
      <c r="E28823" s="3" t="s">
        <v>118</v>
      </c>
      <c r="F28823" s="7">
        <v>46299.38912871478</v>
      </c>
      <c r="G28823" s="3" t="s">
        <v>18676</v>
      </c>
    </row>
    <row r="28824">
      <c r="A28824" s="3" t="s">
        <v>45321</v>
      </c>
      <c r="B28824" s="3" t="s">
        <v>22986</v>
      </c>
      <c r="C28824" s="5" t="s">
        <v>45</v>
      </c>
      <c r="D28824" s="3" t="s">
        <v>221</v>
      </c>
      <c r="E28824" s="3" t="s">
        <v>502</v>
      </c>
      <c r="F28824" s="7">
        <v>46299.45683133798</v>
      </c>
      <c r="G28824" s="3" t="s">
        <v>13510</v>
      </c>
    </row>
    <row r="28825">
      <c r="A28825" s="3" t="s">
        <v>45322</v>
      </c>
      <c r="B28825" s="3" t="s">
        <v>22986</v>
      </c>
      <c r="C28825" s="5" t="s">
        <v>221</v>
      </c>
      <c r="D28825" s="3" t="s">
        <v>614</v>
      </c>
      <c r="E28825" s="3" t="s">
        <v>118</v>
      </c>
      <c r="F28825" s="7">
        <v>46299.4603035602</v>
      </c>
      <c r="G28825" s="3" t="s">
        <v>13512</v>
      </c>
    </row>
    <row r="28826">
      <c r="A28826" s="3" t="s">
        <v>45323</v>
      </c>
      <c r="B28826" s="3" t="s">
        <v>22986</v>
      </c>
      <c r="C28826" s="5" t="s">
        <v>614</v>
      </c>
      <c r="D28826" s="3" t="s">
        <v>206</v>
      </c>
      <c r="E28826" s="3" t="s">
        <v>100</v>
      </c>
      <c r="F28826" s="7">
        <v>46299.463775782424</v>
      </c>
      <c r="G28826" s="3" t="s">
        <v>13515</v>
      </c>
    </row>
    <row r="28827">
      <c r="A28827" s="3" t="s">
        <v>45324</v>
      </c>
      <c r="B28827" s="3" t="s">
        <v>22986</v>
      </c>
      <c r="C28827" s="5" t="s">
        <v>206</v>
      </c>
      <c r="D28827" s="3" t="s">
        <v>68</v>
      </c>
      <c r="E28827" s="3" t="s">
        <v>100</v>
      </c>
      <c r="F28827" s="7">
        <v>46299.46724800464</v>
      </c>
      <c r="G28827" s="3" t="s">
        <v>13517</v>
      </c>
    </row>
    <row r="28828">
      <c r="A28828" s="3" t="s">
        <v>45325</v>
      </c>
      <c r="B28828" s="3" t="s">
        <v>22988</v>
      </c>
      <c r="C28828" s="5" t="s">
        <v>45</v>
      </c>
      <c r="D28828" s="3" t="s">
        <v>221</v>
      </c>
      <c r="E28828" s="3" t="s">
        <v>713</v>
      </c>
      <c r="F28828" s="7">
        <v>46299.5280061834</v>
      </c>
      <c r="G28828" s="3" t="s">
        <v>3236</v>
      </c>
    </row>
    <row r="28829">
      <c r="A28829" s="3" t="s">
        <v>45326</v>
      </c>
      <c r="B28829" s="3" t="s">
        <v>22988</v>
      </c>
      <c r="C28829" s="5" t="s">
        <v>221</v>
      </c>
      <c r="D28829" s="3" t="s">
        <v>614</v>
      </c>
      <c r="E28829" s="3" t="s">
        <v>118</v>
      </c>
      <c r="F28829" s="7">
        <v>46299.53147840562</v>
      </c>
      <c r="G28829" s="3" t="s">
        <v>3239</v>
      </c>
    </row>
    <row r="28830">
      <c r="A28830" s="3" t="s">
        <v>45327</v>
      </c>
      <c r="B28830" s="3" t="s">
        <v>22988</v>
      </c>
      <c r="C28830" s="5" t="s">
        <v>614</v>
      </c>
      <c r="D28830" s="3" t="s">
        <v>206</v>
      </c>
      <c r="E28830" s="3" t="s">
        <v>100</v>
      </c>
      <c r="F28830" s="7">
        <v>46299.53495062784</v>
      </c>
      <c r="G28830" s="3" t="s">
        <v>3242</v>
      </c>
    </row>
    <row r="28831">
      <c r="A28831" s="3" t="s">
        <v>45328</v>
      </c>
      <c r="B28831" s="3" t="s">
        <v>22988</v>
      </c>
      <c r="C28831" s="5" t="s">
        <v>206</v>
      </c>
      <c r="D28831" s="3" t="s">
        <v>68</v>
      </c>
      <c r="E28831" s="3" t="s">
        <v>100</v>
      </c>
      <c r="F28831" s="7">
        <v>46299.53842285006</v>
      </c>
      <c r="G28831" s="3" t="s">
        <v>3245</v>
      </c>
    </row>
    <row r="28832">
      <c r="A28832" s="3" t="s">
        <v>45329</v>
      </c>
      <c r="B28832" s="3" t="s">
        <v>22990</v>
      </c>
      <c r="C28832" s="5" t="s">
        <v>45</v>
      </c>
      <c r="D28832" s="3" t="s">
        <v>221</v>
      </c>
      <c r="E28832" s="3" t="s">
        <v>900</v>
      </c>
      <c r="F28832" s="7">
        <v>46299.59918102881</v>
      </c>
      <c r="G28832" s="3" t="s">
        <v>19553</v>
      </c>
    </row>
    <row r="28833">
      <c r="A28833" s="3" t="s">
        <v>45330</v>
      </c>
      <c r="B28833" s="3" t="s">
        <v>22990</v>
      </c>
      <c r="C28833" s="5" t="s">
        <v>221</v>
      </c>
      <c r="D28833" s="3" t="s">
        <v>614</v>
      </c>
      <c r="E28833" s="3" t="s">
        <v>118</v>
      </c>
      <c r="F28833" s="7">
        <v>46299.60265325103</v>
      </c>
      <c r="G28833" s="3" t="s">
        <v>19556</v>
      </c>
    </row>
    <row r="28834">
      <c r="A28834" s="3" t="s">
        <v>45331</v>
      </c>
      <c r="B28834" s="3" t="s">
        <v>22990</v>
      </c>
      <c r="C28834" s="5" t="s">
        <v>614</v>
      </c>
      <c r="D28834" s="3" t="s">
        <v>206</v>
      </c>
      <c r="E28834" s="3" t="s">
        <v>100</v>
      </c>
      <c r="F28834" s="7">
        <v>46299.606125473256</v>
      </c>
      <c r="G28834" s="3" t="s">
        <v>19559</v>
      </c>
    </row>
    <row r="28835">
      <c r="A28835" s="3" t="s">
        <v>45332</v>
      </c>
      <c r="B28835" s="3" t="s">
        <v>22990</v>
      </c>
      <c r="C28835" s="5" t="s">
        <v>206</v>
      </c>
      <c r="D28835" s="3" t="s">
        <v>68</v>
      </c>
      <c r="E28835" s="3" t="s">
        <v>100</v>
      </c>
      <c r="F28835" s="7">
        <v>46299.609597695475</v>
      </c>
      <c r="G28835" s="3" t="s">
        <v>19561</v>
      </c>
    </row>
    <row r="28836">
      <c r="A28836" s="3" t="s">
        <v>45333</v>
      </c>
      <c r="B28836" s="3" t="s">
        <v>22992</v>
      </c>
      <c r="C28836" s="5" t="s">
        <v>45</v>
      </c>
      <c r="D28836" s="3" t="s">
        <v>221</v>
      </c>
      <c r="E28836" s="3" t="s">
        <v>702</v>
      </c>
      <c r="F28836" s="7">
        <v>46299.67035587422</v>
      </c>
      <c r="G28836" s="3" t="s">
        <v>12888</v>
      </c>
    </row>
    <row r="28837">
      <c r="A28837" s="3" t="s">
        <v>45334</v>
      </c>
      <c r="B28837" s="3" t="s">
        <v>22992</v>
      </c>
      <c r="C28837" s="5" t="s">
        <v>221</v>
      </c>
      <c r="D28837" s="3" t="s">
        <v>614</v>
      </c>
      <c r="E28837" s="3" t="s">
        <v>118</v>
      </c>
      <c r="F28837" s="7">
        <v>46299.67382809644</v>
      </c>
      <c r="G28837" s="3" t="s">
        <v>12892</v>
      </c>
    </row>
    <row r="28838">
      <c r="A28838" s="3" t="s">
        <v>45335</v>
      </c>
      <c r="B28838" s="3" t="s">
        <v>22992</v>
      </c>
      <c r="C28838" s="5" t="s">
        <v>614</v>
      </c>
      <c r="D28838" s="3" t="s">
        <v>206</v>
      </c>
      <c r="E28838" s="3" t="s">
        <v>100</v>
      </c>
      <c r="F28838" s="7">
        <v>46299.67730031867</v>
      </c>
      <c r="G28838" s="3" t="s">
        <v>12895</v>
      </c>
    </row>
    <row r="28839">
      <c r="A28839" s="3" t="s">
        <v>45336</v>
      </c>
      <c r="B28839" s="3" t="s">
        <v>22992</v>
      </c>
      <c r="C28839" s="5" t="s">
        <v>206</v>
      </c>
      <c r="D28839" s="3" t="s">
        <v>68</v>
      </c>
      <c r="E28839" s="3" t="s">
        <v>100</v>
      </c>
      <c r="F28839" s="7">
        <v>46299.68077254089</v>
      </c>
      <c r="G28839" s="3" t="s">
        <v>12898</v>
      </c>
    </row>
    <row r="28840">
      <c r="A28840" s="3" t="s">
        <v>45337</v>
      </c>
      <c r="B28840" s="3" t="s">
        <v>22994</v>
      </c>
      <c r="C28840" s="5" t="s">
        <v>45</v>
      </c>
      <c r="D28840" s="3" t="s">
        <v>221</v>
      </c>
      <c r="E28840" s="3" t="s">
        <v>501</v>
      </c>
      <c r="F28840" s="7">
        <v>46299.74153071964</v>
      </c>
      <c r="G28840" s="3" t="s">
        <v>21743</v>
      </c>
    </row>
    <row r="28841">
      <c r="A28841" s="3" t="s">
        <v>45338</v>
      </c>
      <c r="B28841" s="3" t="s">
        <v>22994</v>
      </c>
      <c r="C28841" s="5" t="s">
        <v>221</v>
      </c>
      <c r="D28841" s="3" t="s">
        <v>614</v>
      </c>
      <c r="E28841" s="3" t="s">
        <v>118</v>
      </c>
      <c r="F28841" s="7">
        <v>46299.74500294186</v>
      </c>
      <c r="G28841" s="3" t="s">
        <v>21746</v>
      </c>
    </row>
    <row r="28842">
      <c r="A28842" s="3" t="s">
        <v>45339</v>
      </c>
      <c r="B28842" s="3" t="s">
        <v>22994</v>
      </c>
      <c r="C28842" s="5" t="s">
        <v>614</v>
      </c>
      <c r="D28842" s="3" t="s">
        <v>206</v>
      </c>
      <c r="E28842" s="3" t="s">
        <v>100</v>
      </c>
      <c r="F28842" s="7">
        <v>46299.74847516409</v>
      </c>
      <c r="G28842" s="3" t="s">
        <v>21749</v>
      </c>
    </row>
    <row r="28843">
      <c r="A28843" s="3" t="s">
        <v>45340</v>
      </c>
      <c r="B28843" s="3" t="s">
        <v>22994</v>
      </c>
      <c r="C28843" s="5" t="s">
        <v>206</v>
      </c>
      <c r="D28843" s="3" t="s">
        <v>68</v>
      </c>
      <c r="E28843" s="3" t="s">
        <v>100</v>
      </c>
      <c r="F28843" s="7">
        <v>46299.75194738631</v>
      </c>
      <c r="G28843" s="3" t="s">
        <v>21752</v>
      </c>
    </row>
    <row r="28844">
      <c r="A28844" s="3" t="s">
        <v>45341</v>
      </c>
      <c r="B28844" s="3" t="s">
        <v>22996</v>
      </c>
      <c r="C28844" s="5" t="s">
        <v>45</v>
      </c>
      <c r="D28844" s="3" t="s">
        <v>221</v>
      </c>
      <c r="E28844" s="3" t="s">
        <v>485</v>
      </c>
      <c r="F28844" s="7">
        <v>46299.812705565055</v>
      </c>
      <c r="G28844" s="3" t="s">
        <v>10743</v>
      </c>
    </row>
    <row r="28845">
      <c r="A28845" s="3" t="s">
        <v>45342</v>
      </c>
      <c r="B28845" s="3" t="s">
        <v>22996</v>
      </c>
      <c r="C28845" s="5" t="s">
        <v>221</v>
      </c>
      <c r="D28845" s="3" t="s">
        <v>614</v>
      </c>
      <c r="E28845" s="3" t="s">
        <v>118</v>
      </c>
      <c r="F28845" s="7">
        <v>46299.816177787274</v>
      </c>
      <c r="G28845" s="3" t="s">
        <v>10746</v>
      </c>
    </row>
    <row r="28846">
      <c r="A28846" s="3" t="s">
        <v>45343</v>
      </c>
      <c r="B28846" s="3" t="s">
        <v>22996</v>
      </c>
      <c r="C28846" s="5" t="s">
        <v>614</v>
      </c>
      <c r="D28846" s="3" t="s">
        <v>206</v>
      </c>
      <c r="E28846" s="3" t="s">
        <v>100</v>
      </c>
      <c r="F28846" s="7">
        <v>46299.8196500095</v>
      </c>
      <c r="G28846" s="3" t="s">
        <v>10749</v>
      </c>
    </row>
    <row r="28847">
      <c r="A28847" s="3" t="s">
        <v>45344</v>
      </c>
      <c r="B28847" s="3" t="s">
        <v>22996</v>
      </c>
      <c r="C28847" s="5" t="s">
        <v>206</v>
      </c>
      <c r="D28847" s="3" t="s">
        <v>68</v>
      </c>
      <c r="E28847" s="3" t="s">
        <v>100</v>
      </c>
      <c r="F28847" s="7">
        <v>46299.82312223172</v>
      </c>
      <c r="G28847" s="3" t="s">
        <v>10751</v>
      </c>
    </row>
    <row r="28848">
      <c r="A28848" s="3" t="s">
        <v>45345</v>
      </c>
      <c r="B28848" s="3" t="s">
        <v>22998</v>
      </c>
      <c r="C28848" s="5" t="s">
        <v>45</v>
      </c>
      <c r="D28848" s="3" t="s">
        <v>221</v>
      </c>
      <c r="E28848" s="3" t="s">
        <v>276</v>
      </c>
      <c r="F28848" s="7">
        <v>46299.88388041047</v>
      </c>
      <c r="G28848" s="3" t="s">
        <v>2770</v>
      </c>
    </row>
    <row r="28849">
      <c r="A28849" s="3" t="s">
        <v>45346</v>
      </c>
      <c r="B28849" s="3" t="s">
        <v>22998</v>
      </c>
      <c r="C28849" s="5" t="s">
        <v>221</v>
      </c>
      <c r="D28849" s="3" t="s">
        <v>195</v>
      </c>
      <c r="E28849" s="3" t="s">
        <v>276</v>
      </c>
      <c r="F28849" s="7">
        <v>46299.887352632686</v>
      </c>
      <c r="G28849" s="3" t="s">
        <v>3055</v>
      </c>
    </row>
    <row r="28850">
      <c r="A28850" s="3" t="s">
        <v>45347</v>
      </c>
      <c r="B28850" s="3" t="s">
        <v>23000</v>
      </c>
      <c r="C28850" s="5" t="s">
        <v>45</v>
      </c>
      <c r="D28850" s="3" t="s">
        <v>221</v>
      </c>
      <c r="E28850" s="3" t="s">
        <v>316</v>
      </c>
      <c r="F28850" s="7">
        <v>46299.95505525589</v>
      </c>
      <c r="G28850" s="3" t="s">
        <v>27680</v>
      </c>
    </row>
    <row r="28851">
      <c r="A28851" s="3" t="s">
        <v>45348</v>
      </c>
      <c r="B28851" s="3" t="s">
        <v>23000</v>
      </c>
      <c r="C28851" s="5" t="s">
        <v>221</v>
      </c>
      <c r="D28851" s="3" t="s">
        <v>181</v>
      </c>
      <c r="E28851" s="3" t="s">
        <v>118</v>
      </c>
      <c r="F28851" s="7">
        <v>46299.958527478106</v>
      </c>
      <c r="G28851" s="3" t="s">
        <v>45349</v>
      </c>
    </row>
    <row r="28852">
      <c r="A28852" s="3" t="s">
        <v>45350</v>
      </c>
      <c r="B28852" s="3" t="s">
        <v>23002</v>
      </c>
      <c r="C28852" s="5" t="s">
        <v>45</v>
      </c>
      <c r="D28852" s="3" t="s">
        <v>221</v>
      </c>
      <c r="E28852" s="3" t="s">
        <v>299</v>
      </c>
      <c r="F28852" s="7">
        <v>46300.0262301013</v>
      </c>
      <c r="G28852" s="3" t="s">
        <v>24173</v>
      </c>
    </row>
    <row r="28853">
      <c r="A28853" s="3" t="s">
        <v>45351</v>
      </c>
      <c r="B28853" s="3" t="s">
        <v>23002</v>
      </c>
      <c r="C28853" s="5" t="s">
        <v>221</v>
      </c>
      <c r="D28853" s="3" t="s">
        <v>181</v>
      </c>
      <c r="E28853" s="3" t="s">
        <v>118</v>
      </c>
      <c r="F28853" s="7">
        <v>46300.02970232352</v>
      </c>
      <c r="G28853" s="3" t="s">
        <v>43113</v>
      </c>
    </row>
    <row r="28854">
      <c r="A28854" s="3" t="s">
        <v>45352</v>
      </c>
      <c r="B28854" s="3" t="s">
        <v>23004</v>
      </c>
      <c r="C28854" s="5" t="s">
        <v>45</v>
      </c>
      <c r="D28854" s="3" t="s">
        <v>221</v>
      </c>
      <c r="E28854" s="3" t="s">
        <v>734</v>
      </c>
      <c r="F28854" s="7">
        <v>46300.09740494671</v>
      </c>
      <c r="G28854" s="3" t="s">
        <v>3248</v>
      </c>
    </row>
    <row r="28855">
      <c r="A28855" s="3" t="s">
        <v>45353</v>
      </c>
      <c r="B28855" s="3" t="s">
        <v>23004</v>
      </c>
      <c r="C28855" s="5" t="s">
        <v>221</v>
      </c>
      <c r="D28855" s="3" t="s">
        <v>614</v>
      </c>
      <c r="E28855" s="3" t="s">
        <v>118</v>
      </c>
      <c r="F28855" s="7">
        <v>46300.10087716893</v>
      </c>
      <c r="G28855" s="3" t="s">
        <v>3251</v>
      </c>
    </row>
    <row r="28856">
      <c r="A28856" s="3" t="s">
        <v>45354</v>
      </c>
      <c r="B28856" s="3" t="s">
        <v>23004</v>
      </c>
      <c r="C28856" s="5" t="s">
        <v>614</v>
      </c>
      <c r="D28856" s="3" t="s">
        <v>206</v>
      </c>
      <c r="E28856" s="3" t="s">
        <v>100</v>
      </c>
      <c r="F28856" s="7">
        <v>46300.10434939116</v>
      </c>
      <c r="G28856" s="3" t="s">
        <v>3254</v>
      </c>
    </row>
    <row r="28857">
      <c r="A28857" s="3" t="s">
        <v>45355</v>
      </c>
      <c r="B28857" s="3" t="s">
        <v>23004</v>
      </c>
      <c r="C28857" s="5" t="s">
        <v>206</v>
      </c>
      <c r="D28857" s="3" t="s">
        <v>68</v>
      </c>
      <c r="E28857" s="3" t="s">
        <v>100</v>
      </c>
      <c r="F28857" s="7">
        <v>46300.107821613376</v>
      </c>
      <c r="G28857" s="3" t="s">
        <v>3257</v>
      </c>
    </row>
    <row r="28858">
      <c r="A28858" s="3" t="s">
        <v>45356</v>
      </c>
      <c r="B28858" s="3" t="s">
        <v>23006</v>
      </c>
      <c r="C28858" s="5" t="s">
        <v>45</v>
      </c>
      <c r="D28858" s="3" t="s">
        <v>221</v>
      </c>
      <c r="E28858" s="3" t="s">
        <v>272</v>
      </c>
      <c r="F28858" s="7">
        <v>46300.16857979213</v>
      </c>
      <c r="G28858" s="3" t="s">
        <v>4287</v>
      </c>
    </row>
    <row r="28859">
      <c r="A28859" s="3" t="s">
        <v>45357</v>
      </c>
      <c r="B28859" s="3" t="s">
        <v>23006</v>
      </c>
      <c r="C28859" s="5" t="s">
        <v>221</v>
      </c>
      <c r="D28859" s="3" t="s">
        <v>614</v>
      </c>
      <c r="E28859" s="3" t="s">
        <v>118</v>
      </c>
      <c r="F28859" s="7">
        <v>46300.17205201435</v>
      </c>
      <c r="G28859" s="3" t="s">
        <v>4290</v>
      </c>
    </row>
    <row r="28860">
      <c r="A28860" s="3" t="s">
        <v>45358</v>
      </c>
      <c r="B28860" s="3" t="s">
        <v>23006</v>
      </c>
      <c r="C28860" s="5" t="s">
        <v>614</v>
      </c>
      <c r="D28860" s="3" t="s">
        <v>206</v>
      </c>
      <c r="E28860" s="3" t="s">
        <v>100</v>
      </c>
      <c r="F28860" s="7">
        <v>46300.175524236576</v>
      </c>
      <c r="G28860" s="3" t="s">
        <v>4293</v>
      </c>
    </row>
    <row r="28861">
      <c r="A28861" s="3" t="s">
        <v>45359</v>
      </c>
      <c r="B28861" s="3" t="s">
        <v>23006</v>
      </c>
      <c r="C28861" s="5" t="s">
        <v>206</v>
      </c>
      <c r="D28861" s="3" t="s">
        <v>68</v>
      </c>
      <c r="E28861" s="3" t="s">
        <v>100</v>
      </c>
      <c r="F28861" s="7">
        <v>46300.178996458795</v>
      </c>
      <c r="G28861" s="3" t="s">
        <v>4296</v>
      </c>
    </row>
    <row r="28862">
      <c r="A28862" s="3" t="s">
        <v>45360</v>
      </c>
      <c r="B28862" s="3" t="s">
        <v>23008</v>
      </c>
      <c r="C28862" s="5" t="s">
        <v>45</v>
      </c>
      <c r="D28862" s="3" t="s">
        <v>221</v>
      </c>
      <c r="E28862" s="3" t="s">
        <v>990</v>
      </c>
      <c r="F28862" s="7">
        <v>46300.23975463754</v>
      </c>
      <c r="G28862" s="3" t="s">
        <v>41322</v>
      </c>
    </row>
    <row r="28863">
      <c r="A28863" s="3" t="s">
        <v>45361</v>
      </c>
      <c r="B28863" s="3" t="s">
        <v>23008</v>
      </c>
      <c r="C28863" s="5" t="s">
        <v>221</v>
      </c>
      <c r="D28863" s="3" t="s">
        <v>181</v>
      </c>
      <c r="E28863" s="3" t="s">
        <v>118</v>
      </c>
      <c r="F28863" s="7">
        <v>46300.24322685976</v>
      </c>
      <c r="G28863" s="3" t="s">
        <v>45362</v>
      </c>
    </row>
    <row r="28864">
      <c r="A28864" s="3" t="s">
        <v>45363</v>
      </c>
      <c r="B28864" s="3" t="s">
        <v>23010</v>
      </c>
      <c r="C28864" s="5" t="s">
        <v>45</v>
      </c>
      <c r="D28864" s="3" t="s">
        <v>221</v>
      </c>
      <c r="E28864" s="3" t="s">
        <v>219</v>
      </c>
      <c r="F28864" s="7">
        <v>46300.310929482956</v>
      </c>
      <c r="G28864" s="3" t="s">
        <v>14818</v>
      </c>
    </row>
    <row r="28865">
      <c r="A28865" s="3" t="s">
        <v>45364</v>
      </c>
      <c r="B28865" s="3" t="s">
        <v>23010</v>
      </c>
      <c r="C28865" s="5" t="s">
        <v>221</v>
      </c>
      <c r="D28865" s="3" t="s">
        <v>614</v>
      </c>
      <c r="E28865" s="3" t="s">
        <v>118</v>
      </c>
      <c r="F28865" s="7">
        <v>46300.314401705175</v>
      </c>
      <c r="G28865" s="3" t="s">
        <v>14821</v>
      </c>
    </row>
    <row r="28866">
      <c r="A28866" s="3" t="s">
        <v>45365</v>
      </c>
      <c r="B28866" s="3" t="s">
        <v>23010</v>
      </c>
      <c r="C28866" s="5" t="s">
        <v>614</v>
      </c>
      <c r="D28866" s="3" t="s">
        <v>206</v>
      </c>
      <c r="E28866" s="3" t="s">
        <v>100</v>
      </c>
      <c r="F28866" s="7">
        <v>46300.3178739274</v>
      </c>
      <c r="G28866" s="3" t="s">
        <v>14823</v>
      </c>
    </row>
    <row r="28867">
      <c r="A28867" s="3" t="s">
        <v>45366</v>
      </c>
      <c r="B28867" s="3" t="s">
        <v>23010</v>
      </c>
      <c r="C28867" s="5" t="s">
        <v>206</v>
      </c>
      <c r="D28867" s="3" t="s">
        <v>68</v>
      </c>
      <c r="E28867" s="3" t="s">
        <v>100</v>
      </c>
      <c r="F28867" s="7">
        <v>46300.32134614962</v>
      </c>
      <c r="G28867" s="3" t="s">
        <v>14826</v>
      </c>
    </row>
    <row r="28868">
      <c r="A28868" s="3" t="s">
        <v>45367</v>
      </c>
      <c r="B28868" s="3" t="s">
        <v>23014</v>
      </c>
      <c r="C28868" s="5" t="s">
        <v>45</v>
      </c>
      <c r="D28868" s="3" t="s">
        <v>221</v>
      </c>
      <c r="E28868" s="3" t="s">
        <v>535</v>
      </c>
      <c r="F28868" s="7">
        <v>46300.382104328375</v>
      </c>
      <c r="G28868" s="3" t="s">
        <v>17058</v>
      </c>
    </row>
    <row r="28869">
      <c r="A28869" s="3" t="s">
        <v>45368</v>
      </c>
      <c r="B28869" s="3" t="s">
        <v>23014</v>
      </c>
      <c r="C28869" s="5" t="s">
        <v>221</v>
      </c>
      <c r="D28869" s="3" t="s">
        <v>614</v>
      </c>
      <c r="E28869" s="3" t="s">
        <v>118</v>
      </c>
      <c r="F28869" s="7">
        <v>46300.385576550594</v>
      </c>
      <c r="G28869" s="3" t="s">
        <v>17061</v>
      </c>
    </row>
    <row r="28870">
      <c r="A28870" s="3" t="s">
        <v>45369</v>
      </c>
      <c r="B28870" s="3" t="s">
        <v>23014</v>
      </c>
      <c r="C28870" s="5" t="s">
        <v>614</v>
      </c>
      <c r="D28870" s="3" t="s">
        <v>206</v>
      </c>
      <c r="E28870" s="3" t="s">
        <v>100</v>
      </c>
      <c r="F28870" s="7">
        <v>46300.38904877282</v>
      </c>
      <c r="G28870" s="3" t="s">
        <v>17064</v>
      </c>
    </row>
    <row r="28871">
      <c r="A28871" s="3" t="s">
        <v>45370</v>
      </c>
      <c r="B28871" s="3" t="s">
        <v>23014</v>
      </c>
      <c r="C28871" s="5" t="s">
        <v>206</v>
      </c>
      <c r="D28871" s="3" t="s">
        <v>68</v>
      </c>
      <c r="E28871" s="3" t="s">
        <v>100</v>
      </c>
      <c r="F28871" s="7">
        <v>46300.39252099504</v>
      </c>
      <c r="G28871" s="3" t="s">
        <v>17067</v>
      </c>
    </row>
    <row r="28872">
      <c r="A28872" s="3" t="s">
        <v>45371</v>
      </c>
      <c r="B28872" s="3" t="s">
        <v>23017</v>
      </c>
      <c r="C28872" s="5" t="s">
        <v>45</v>
      </c>
      <c r="D28872" s="3" t="s">
        <v>221</v>
      </c>
      <c r="E28872" s="3" t="s">
        <v>658</v>
      </c>
      <c r="F28872" s="7">
        <v>46300.453279173795</v>
      </c>
      <c r="G28872" s="3" t="s">
        <v>15970</v>
      </c>
    </row>
    <row r="28873">
      <c r="A28873" s="3" t="s">
        <v>45372</v>
      </c>
      <c r="B28873" s="3" t="s">
        <v>23017</v>
      </c>
      <c r="C28873" s="5" t="s">
        <v>221</v>
      </c>
      <c r="D28873" s="3" t="s">
        <v>614</v>
      </c>
      <c r="E28873" s="3" t="s">
        <v>118</v>
      </c>
      <c r="F28873" s="7">
        <v>46300.456751396014</v>
      </c>
      <c r="G28873" s="3" t="s">
        <v>17307</v>
      </c>
    </row>
    <row r="28874">
      <c r="A28874" s="3" t="s">
        <v>45373</v>
      </c>
      <c r="B28874" s="3" t="s">
        <v>23017</v>
      </c>
      <c r="C28874" s="5" t="s">
        <v>614</v>
      </c>
      <c r="D28874" s="3" t="s">
        <v>206</v>
      </c>
      <c r="E28874" s="3" t="s">
        <v>100</v>
      </c>
      <c r="F28874" s="7">
        <v>46300.46022361824</v>
      </c>
      <c r="G28874" s="3" t="s">
        <v>17310</v>
      </c>
    </row>
    <row r="28875">
      <c r="A28875" s="3" t="s">
        <v>45374</v>
      </c>
      <c r="B28875" s="3" t="s">
        <v>23017</v>
      </c>
      <c r="C28875" s="5" t="s">
        <v>206</v>
      </c>
      <c r="D28875" s="3" t="s">
        <v>68</v>
      </c>
      <c r="E28875" s="3" t="s">
        <v>100</v>
      </c>
      <c r="F28875" s="7">
        <v>46300.46369584046</v>
      </c>
      <c r="G28875" s="3" t="s">
        <v>17312</v>
      </c>
    </row>
    <row r="28876">
      <c r="A28876" s="3" t="s">
        <v>45375</v>
      </c>
      <c r="B28876" s="3" t="s">
        <v>23021</v>
      </c>
      <c r="C28876" s="5" t="s">
        <v>45</v>
      </c>
      <c r="D28876" s="3" t="s">
        <v>221</v>
      </c>
      <c r="E28876" s="3" t="s">
        <v>632</v>
      </c>
      <c r="F28876" s="7">
        <v>46300.5244540192</v>
      </c>
      <c r="G28876" s="3" t="s">
        <v>5938</v>
      </c>
    </row>
    <row r="28877">
      <c r="A28877" s="3" t="s">
        <v>45376</v>
      </c>
      <c r="B28877" s="3" t="s">
        <v>23021</v>
      </c>
      <c r="C28877" s="5" t="s">
        <v>221</v>
      </c>
      <c r="D28877" s="3" t="s">
        <v>614</v>
      </c>
      <c r="E28877" s="3" t="s">
        <v>118</v>
      </c>
      <c r="F28877" s="7">
        <v>46300.52792624142</v>
      </c>
      <c r="G28877" s="3" t="s">
        <v>5941</v>
      </c>
    </row>
    <row r="28878">
      <c r="A28878" s="3" t="s">
        <v>45377</v>
      </c>
      <c r="B28878" s="3" t="s">
        <v>23021</v>
      </c>
      <c r="C28878" s="5" t="s">
        <v>614</v>
      </c>
      <c r="D28878" s="3" t="s">
        <v>206</v>
      </c>
      <c r="E28878" s="3" t="s">
        <v>100</v>
      </c>
      <c r="F28878" s="7">
        <v>46300.531398463645</v>
      </c>
      <c r="G28878" s="3" t="s">
        <v>5944</v>
      </c>
    </row>
    <row r="28879">
      <c r="A28879" s="3" t="s">
        <v>45378</v>
      </c>
      <c r="B28879" s="3" t="s">
        <v>23021</v>
      </c>
      <c r="C28879" s="5" t="s">
        <v>206</v>
      </c>
      <c r="D28879" s="3" t="s">
        <v>68</v>
      </c>
      <c r="E28879" s="3" t="s">
        <v>100</v>
      </c>
      <c r="F28879" s="7">
        <v>46300.534870685864</v>
      </c>
      <c r="G28879" s="3" t="s">
        <v>5947</v>
      </c>
    </row>
    <row r="28880">
      <c r="A28880" s="3" t="s">
        <v>45379</v>
      </c>
      <c r="B28880" s="3" t="s">
        <v>23023</v>
      </c>
      <c r="C28880" s="5" t="s">
        <v>45</v>
      </c>
      <c r="D28880" s="3" t="s">
        <v>221</v>
      </c>
      <c r="E28880" s="3" t="s">
        <v>512</v>
      </c>
      <c r="F28880" s="7">
        <v>46300.59562886462</v>
      </c>
      <c r="G28880" s="3" t="s">
        <v>15479</v>
      </c>
    </row>
    <row r="28881">
      <c r="A28881" s="3" t="s">
        <v>45380</v>
      </c>
      <c r="B28881" s="3" t="s">
        <v>23023</v>
      </c>
      <c r="C28881" s="5" t="s">
        <v>221</v>
      </c>
      <c r="D28881" s="3" t="s">
        <v>614</v>
      </c>
      <c r="E28881" s="3" t="s">
        <v>118</v>
      </c>
      <c r="F28881" s="7">
        <v>46300.59910108684</v>
      </c>
      <c r="G28881" s="3" t="s">
        <v>15482</v>
      </c>
    </row>
    <row r="28882">
      <c r="A28882" s="3" t="s">
        <v>45381</v>
      </c>
      <c r="B28882" s="3" t="s">
        <v>23023</v>
      </c>
      <c r="C28882" s="5" t="s">
        <v>614</v>
      </c>
      <c r="D28882" s="3" t="s">
        <v>206</v>
      </c>
      <c r="E28882" s="3" t="s">
        <v>100</v>
      </c>
      <c r="F28882" s="7">
        <v>46300.602573309065</v>
      </c>
      <c r="G28882" s="3" t="s">
        <v>15485</v>
      </c>
    </row>
    <row r="28883">
      <c r="A28883" s="3" t="s">
        <v>45382</v>
      </c>
      <c r="B28883" s="3" t="s">
        <v>23023</v>
      </c>
      <c r="C28883" s="5" t="s">
        <v>206</v>
      </c>
      <c r="D28883" s="3" t="s">
        <v>68</v>
      </c>
      <c r="E28883" s="3" t="s">
        <v>100</v>
      </c>
      <c r="F28883" s="7">
        <v>46300.60604553128</v>
      </c>
      <c r="G28883" s="3" t="s">
        <v>15488</v>
      </c>
    </row>
    <row r="28884">
      <c r="A28884" s="3" t="s">
        <v>45383</v>
      </c>
      <c r="B28884" s="3" t="s">
        <v>23025</v>
      </c>
      <c r="C28884" s="5" t="s">
        <v>45</v>
      </c>
      <c r="D28884" s="3" t="s">
        <v>221</v>
      </c>
      <c r="E28884" s="3" t="s">
        <v>698</v>
      </c>
      <c r="F28884" s="7">
        <v>46300.66680371004</v>
      </c>
      <c r="G28884" s="3" t="s">
        <v>13159</v>
      </c>
    </row>
    <row r="28885">
      <c r="A28885" s="3" t="s">
        <v>45384</v>
      </c>
      <c r="B28885" s="3" t="s">
        <v>23025</v>
      </c>
      <c r="C28885" s="5" t="s">
        <v>221</v>
      </c>
      <c r="D28885" s="3" t="s">
        <v>614</v>
      </c>
      <c r="E28885" s="3" t="s">
        <v>118</v>
      </c>
      <c r="F28885" s="7">
        <v>46300.67027593226</v>
      </c>
      <c r="G28885" s="3" t="s">
        <v>13163</v>
      </c>
    </row>
    <row r="28886">
      <c r="A28886" s="3" t="s">
        <v>45385</v>
      </c>
      <c r="B28886" s="3" t="s">
        <v>23025</v>
      </c>
      <c r="C28886" s="5" t="s">
        <v>614</v>
      </c>
      <c r="D28886" s="3" t="s">
        <v>206</v>
      </c>
      <c r="E28886" s="3" t="s">
        <v>100</v>
      </c>
      <c r="F28886" s="7">
        <v>46300.673748154484</v>
      </c>
      <c r="G28886" s="3" t="s">
        <v>13166</v>
      </c>
    </row>
    <row r="28887">
      <c r="A28887" s="3" t="s">
        <v>45386</v>
      </c>
      <c r="B28887" s="3" t="s">
        <v>23025</v>
      </c>
      <c r="C28887" s="5" t="s">
        <v>206</v>
      </c>
      <c r="D28887" s="3" t="s">
        <v>68</v>
      </c>
      <c r="E28887" s="3" t="s">
        <v>100</v>
      </c>
      <c r="F28887" s="7">
        <v>46300.6772203767</v>
      </c>
      <c r="G28887" s="3" t="s">
        <v>13170</v>
      </c>
    </row>
    <row r="28888">
      <c r="A28888" s="3" t="s">
        <v>45387</v>
      </c>
      <c r="B28888" s="3" t="s">
        <v>23027</v>
      </c>
      <c r="C28888" s="5" t="s">
        <v>45</v>
      </c>
      <c r="D28888" s="3" t="s">
        <v>221</v>
      </c>
      <c r="E28888" s="3" t="s">
        <v>665</v>
      </c>
      <c r="F28888" s="7">
        <v>46300.73797855545</v>
      </c>
      <c r="G28888" s="3" t="s">
        <v>3260</v>
      </c>
    </row>
    <row r="28889">
      <c r="A28889" s="3" t="s">
        <v>45388</v>
      </c>
      <c r="B28889" s="3" t="s">
        <v>23027</v>
      </c>
      <c r="C28889" s="5" t="s">
        <v>221</v>
      </c>
      <c r="D28889" s="3" t="s">
        <v>614</v>
      </c>
      <c r="E28889" s="3" t="s">
        <v>118</v>
      </c>
      <c r="F28889" s="7">
        <v>46300.74145077767</v>
      </c>
      <c r="G28889" s="3" t="s">
        <v>3263</v>
      </c>
    </row>
    <row r="28890">
      <c r="A28890" s="3" t="s">
        <v>45389</v>
      </c>
      <c r="B28890" s="3" t="s">
        <v>23027</v>
      </c>
      <c r="C28890" s="5" t="s">
        <v>614</v>
      </c>
      <c r="D28890" s="3" t="s">
        <v>206</v>
      </c>
      <c r="E28890" s="3" t="s">
        <v>100</v>
      </c>
      <c r="F28890" s="7">
        <v>46300.7449229999</v>
      </c>
      <c r="G28890" s="3" t="s">
        <v>3266</v>
      </c>
    </row>
    <row r="28891">
      <c r="A28891" s="3" t="s">
        <v>45390</v>
      </c>
      <c r="B28891" s="3" t="s">
        <v>23027</v>
      </c>
      <c r="C28891" s="5" t="s">
        <v>206</v>
      </c>
      <c r="D28891" s="3" t="s">
        <v>68</v>
      </c>
      <c r="E28891" s="3" t="s">
        <v>100</v>
      </c>
      <c r="F28891" s="7">
        <v>46300.748395222116</v>
      </c>
      <c r="G28891" s="3" t="s">
        <v>3268</v>
      </c>
    </row>
    <row r="28892">
      <c r="A28892" s="3" t="s">
        <v>45391</v>
      </c>
      <c r="B28892" s="3" t="s">
        <v>23029</v>
      </c>
      <c r="C28892" s="5" t="s">
        <v>45</v>
      </c>
      <c r="D28892" s="3" t="s">
        <v>221</v>
      </c>
      <c r="E28892" s="3" t="s">
        <v>746</v>
      </c>
      <c r="F28892" s="7">
        <v>46300.80915340086</v>
      </c>
      <c r="G28892" s="3" t="s">
        <v>3271</v>
      </c>
    </row>
    <row r="28893">
      <c r="A28893" s="3" t="s">
        <v>45392</v>
      </c>
      <c r="B28893" s="3" t="s">
        <v>23029</v>
      </c>
      <c r="C28893" s="5" t="s">
        <v>221</v>
      </c>
      <c r="D28893" s="3" t="s">
        <v>614</v>
      </c>
      <c r="E28893" s="3" t="s">
        <v>118</v>
      </c>
      <c r="F28893" s="7">
        <v>46300.81262562308</v>
      </c>
      <c r="G28893" s="3" t="s">
        <v>3274</v>
      </c>
    </row>
    <row r="28894">
      <c r="A28894" s="3" t="s">
        <v>45393</v>
      </c>
      <c r="B28894" s="3" t="s">
        <v>23029</v>
      </c>
      <c r="C28894" s="5" t="s">
        <v>614</v>
      </c>
      <c r="D28894" s="3" t="s">
        <v>206</v>
      </c>
      <c r="E28894" s="3" t="s">
        <v>100</v>
      </c>
      <c r="F28894" s="7">
        <v>46300.81609784531</v>
      </c>
      <c r="G28894" s="3" t="s">
        <v>3277</v>
      </c>
    </row>
    <row r="28895">
      <c r="A28895" s="3" t="s">
        <v>45394</v>
      </c>
      <c r="B28895" s="3" t="s">
        <v>23029</v>
      </c>
      <c r="C28895" s="5" t="s">
        <v>206</v>
      </c>
      <c r="D28895" s="3" t="s">
        <v>68</v>
      </c>
      <c r="E28895" s="3" t="s">
        <v>100</v>
      </c>
      <c r="F28895" s="7">
        <v>46300.81957006753</v>
      </c>
      <c r="G28895" s="3" t="s">
        <v>3279</v>
      </c>
    </row>
    <row r="28896">
      <c r="A28896" s="3" t="s">
        <v>45395</v>
      </c>
      <c r="B28896" s="3" t="s">
        <v>23031</v>
      </c>
      <c r="C28896" s="5" t="s">
        <v>45</v>
      </c>
      <c r="D28896" s="3" t="s">
        <v>221</v>
      </c>
      <c r="E28896" s="3" t="s">
        <v>341</v>
      </c>
      <c r="F28896" s="7">
        <v>46300.88032824628</v>
      </c>
      <c r="G28896" s="3" t="s">
        <v>20408</v>
      </c>
    </row>
    <row r="28897">
      <c r="A28897" s="3" t="s">
        <v>45396</v>
      </c>
      <c r="B28897" s="3" t="s">
        <v>23031</v>
      </c>
      <c r="C28897" s="5" t="s">
        <v>221</v>
      </c>
      <c r="D28897" s="3" t="s">
        <v>614</v>
      </c>
      <c r="E28897" s="3" t="s">
        <v>118</v>
      </c>
      <c r="F28897" s="7">
        <v>46300.8838004685</v>
      </c>
      <c r="G28897" s="3" t="s">
        <v>20411</v>
      </c>
    </row>
    <row r="28898">
      <c r="A28898" s="3" t="s">
        <v>45397</v>
      </c>
      <c r="B28898" s="3" t="s">
        <v>23031</v>
      </c>
      <c r="C28898" s="5" t="s">
        <v>614</v>
      </c>
      <c r="D28898" s="3" t="s">
        <v>206</v>
      </c>
      <c r="E28898" s="3" t="s">
        <v>100</v>
      </c>
      <c r="F28898" s="7">
        <v>46300.88727269073</v>
      </c>
      <c r="G28898" s="3" t="s">
        <v>20413</v>
      </c>
    </row>
    <row r="28899">
      <c r="A28899" s="3" t="s">
        <v>45398</v>
      </c>
      <c r="B28899" s="3" t="s">
        <v>23031</v>
      </c>
      <c r="C28899" s="5" t="s">
        <v>206</v>
      </c>
      <c r="D28899" s="3" t="s">
        <v>68</v>
      </c>
      <c r="E28899" s="3" t="s">
        <v>100</v>
      </c>
      <c r="F28899" s="7">
        <v>46300.89074491295</v>
      </c>
      <c r="G28899" s="3" t="s">
        <v>20416</v>
      </c>
    </row>
    <row r="28900">
      <c r="A28900" s="3" t="s">
        <v>45399</v>
      </c>
      <c r="B28900" s="3" t="s">
        <v>23034</v>
      </c>
      <c r="C28900" s="5" t="s">
        <v>45</v>
      </c>
      <c r="D28900" s="3" t="s">
        <v>221</v>
      </c>
      <c r="E28900" s="3" t="s">
        <v>640</v>
      </c>
      <c r="F28900" s="7">
        <v>46300.951503091695</v>
      </c>
      <c r="G28900" s="3" t="s">
        <v>2770</v>
      </c>
    </row>
    <row r="28901">
      <c r="A28901" s="3" t="s">
        <v>45400</v>
      </c>
      <c r="B28901" s="3" t="s">
        <v>23034</v>
      </c>
      <c r="C28901" s="5" t="s">
        <v>221</v>
      </c>
      <c r="D28901" s="3" t="s">
        <v>181</v>
      </c>
      <c r="E28901" s="3" t="s">
        <v>118</v>
      </c>
      <c r="F28901" s="7">
        <v>46300.954975313914</v>
      </c>
      <c r="G28901" s="3" t="s">
        <v>2774</v>
      </c>
    </row>
    <row r="28902">
      <c r="A28902" s="3" t="s">
        <v>45401</v>
      </c>
      <c r="B28902" s="3" t="s">
        <v>23036</v>
      </c>
      <c r="C28902" s="5" t="s">
        <v>45</v>
      </c>
      <c r="D28902" s="3" t="s">
        <v>221</v>
      </c>
      <c r="E28902" s="3" t="s">
        <v>685</v>
      </c>
      <c r="F28902" s="7">
        <v>46301.02267793711</v>
      </c>
      <c r="G28902" s="3" t="s">
        <v>24051</v>
      </c>
    </row>
    <row r="28903">
      <c r="A28903" s="3" t="s">
        <v>45402</v>
      </c>
      <c r="B28903" s="3" t="s">
        <v>23036</v>
      </c>
      <c r="C28903" s="5" t="s">
        <v>221</v>
      </c>
      <c r="D28903" s="3" t="s">
        <v>614</v>
      </c>
      <c r="E28903" s="3" t="s">
        <v>118</v>
      </c>
      <c r="F28903" s="7">
        <v>46301.02615015933</v>
      </c>
      <c r="G28903" s="3" t="s">
        <v>25376</v>
      </c>
    </row>
    <row r="28904">
      <c r="A28904" s="3" t="s">
        <v>45403</v>
      </c>
      <c r="B28904" s="3" t="s">
        <v>23036</v>
      </c>
      <c r="C28904" s="5" t="s">
        <v>614</v>
      </c>
      <c r="D28904" s="3" t="s">
        <v>206</v>
      </c>
      <c r="E28904" s="3" t="s">
        <v>100</v>
      </c>
      <c r="F28904" s="7">
        <v>46301.02962238155</v>
      </c>
      <c r="G28904" s="3" t="s">
        <v>25378</v>
      </c>
    </row>
    <row r="28905">
      <c r="A28905" s="3" t="s">
        <v>45404</v>
      </c>
      <c r="B28905" s="3" t="s">
        <v>23036</v>
      </c>
      <c r="C28905" s="5" t="s">
        <v>206</v>
      </c>
      <c r="D28905" s="3" t="s">
        <v>68</v>
      </c>
      <c r="E28905" s="3" t="s">
        <v>100</v>
      </c>
      <c r="F28905" s="7">
        <v>46301.03309460377</v>
      </c>
      <c r="G28905" s="3" t="s">
        <v>25380</v>
      </c>
    </row>
    <row r="28906">
      <c r="A28906" s="3" t="s">
        <v>45405</v>
      </c>
      <c r="B28906" s="3" t="s">
        <v>23038</v>
      </c>
      <c r="C28906" s="5" t="s">
        <v>45</v>
      </c>
      <c r="D28906" s="3" t="s">
        <v>221</v>
      </c>
      <c r="E28906" s="3" t="s">
        <v>751</v>
      </c>
      <c r="F28906" s="7">
        <v>46301.09385278253</v>
      </c>
      <c r="G28906" s="3" t="s">
        <v>3282</v>
      </c>
    </row>
    <row r="28907">
      <c r="A28907" s="3" t="s">
        <v>45406</v>
      </c>
      <c r="B28907" s="3" t="s">
        <v>23038</v>
      </c>
      <c r="C28907" s="5" t="s">
        <v>221</v>
      </c>
      <c r="D28907" s="3" t="s">
        <v>614</v>
      </c>
      <c r="E28907" s="3" t="s">
        <v>118</v>
      </c>
      <c r="F28907" s="7">
        <v>46301.09732500475</v>
      </c>
      <c r="G28907" s="3" t="s">
        <v>3285</v>
      </c>
    </row>
    <row r="28908">
      <c r="A28908" s="3" t="s">
        <v>45407</v>
      </c>
      <c r="B28908" s="3" t="s">
        <v>23038</v>
      </c>
      <c r="C28908" s="5" t="s">
        <v>614</v>
      </c>
      <c r="D28908" s="3" t="s">
        <v>206</v>
      </c>
      <c r="E28908" s="3" t="s">
        <v>100</v>
      </c>
      <c r="F28908" s="7">
        <v>46301.10079722697</v>
      </c>
      <c r="G28908" s="3" t="s">
        <v>3288</v>
      </c>
    </row>
    <row r="28909">
      <c r="A28909" s="3" t="s">
        <v>45408</v>
      </c>
      <c r="B28909" s="3" t="s">
        <v>23038</v>
      </c>
      <c r="C28909" s="5" t="s">
        <v>206</v>
      </c>
      <c r="D28909" s="3" t="s">
        <v>68</v>
      </c>
      <c r="E28909" s="3" t="s">
        <v>100</v>
      </c>
      <c r="F28909" s="7">
        <v>46301.10426944919</v>
      </c>
      <c r="G28909" s="3" t="s">
        <v>3291</v>
      </c>
    </row>
    <row r="28910">
      <c r="A28910" s="3" t="s">
        <v>45409</v>
      </c>
      <c r="B28910" s="3" t="s">
        <v>23040</v>
      </c>
      <c r="C28910" s="5" t="s">
        <v>45</v>
      </c>
      <c r="D28910" s="3" t="s">
        <v>221</v>
      </c>
      <c r="E28910" s="3" t="s">
        <v>352</v>
      </c>
      <c r="F28910" s="7">
        <v>46301.16502762795</v>
      </c>
      <c r="G28910" s="3" t="s">
        <v>17747</v>
      </c>
    </row>
    <row r="28911">
      <c r="A28911" s="3" t="s">
        <v>45410</v>
      </c>
      <c r="B28911" s="3" t="s">
        <v>23040</v>
      </c>
      <c r="C28911" s="5" t="s">
        <v>221</v>
      </c>
      <c r="D28911" s="3" t="s">
        <v>614</v>
      </c>
      <c r="E28911" s="3" t="s">
        <v>118</v>
      </c>
      <c r="F28911" s="7">
        <v>46301.168499850166</v>
      </c>
      <c r="G28911" s="3" t="s">
        <v>17750</v>
      </c>
    </row>
    <row r="28912">
      <c r="A28912" s="3" t="s">
        <v>45411</v>
      </c>
      <c r="B28912" s="3" t="s">
        <v>23040</v>
      </c>
      <c r="C28912" s="5" t="s">
        <v>614</v>
      </c>
      <c r="D28912" s="3" t="s">
        <v>206</v>
      </c>
      <c r="E28912" s="3" t="s">
        <v>100</v>
      </c>
      <c r="F28912" s="7">
        <v>46301.17197207239</v>
      </c>
      <c r="G28912" s="3" t="s">
        <v>17752</v>
      </c>
    </row>
    <row r="28913">
      <c r="A28913" s="3" t="s">
        <v>45412</v>
      </c>
      <c r="B28913" s="3" t="s">
        <v>23040</v>
      </c>
      <c r="C28913" s="5" t="s">
        <v>206</v>
      </c>
      <c r="D28913" s="3" t="s">
        <v>68</v>
      </c>
      <c r="E28913" s="3" t="s">
        <v>100</v>
      </c>
      <c r="F28913" s="7">
        <v>46301.17544429461</v>
      </c>
      <c r="G28913" s="3" t="s">
        <v>17755</v>
      </c>
    </row>
    <row r="28914">
      <c r="A28914" s="3" t="s">
        <v>45413</v>
      </c>
      <c r="B28914" s="3" t="s">
        <v>23042</v>
      </c>
      <c r="C28914" s="5" t="s">
        <v>45</v>
      </c>
      <c r="D28914" s="3" t="s">
        <v>221</v>
      </c>
      <c r="E28914" s="3" t="s">
        <v>758</v>
      </c>
      <c r="F28914" s="7">
        <v>46301.23620247335</v>
      </c>
      <c r="G28914" s="3" t="s">
        <v>3294</v>
      </c>
    </row>
    <row r="28915">
      <c r="A28915" s="3" t="s">
        <v>45414</v>
      </c>
      <c r="B28915" s="3" t="s">
        <v>23042</v>
      </c>
      <c r="C28915" s="5" t="s">
        <v>221</v>
      </c>
      <c r="D28915" s="3" t="s">
        <v>614</v>
      </c>
      <c r="E28915" s="3" t="s">
        <v>118</v>
      </c>
      <c r="F28915" s="7">
        <v>46301.23967469557</v>
      </c>
      <c r="G28915" s="3" t="s">
        <v>3297</v>
      </c>
    </row>
    <row r="28916">
      <c r="A28916" s="3" t="s">
        <v>45415</v>
      </c>
      <c r="B28916" s="3" t="s">
        <v>23042</v>
      </c>
      <c r="C28916" s="5" t="s">
        <v>614</v>
      </c>
      <c r="D28916" s="3" t="s">
        <v>206</v>
      </c>
      <c r="E28916" s="3" t="s">
        <v>100</v>
      </c>
      <c r="F28916" s="7">
        <v>46301.2431469178</v>
      </c>
      <c r="G28916" s="3" t="s">
        <v>3300</v>
      </c>
    </row>
    <row r="28917">
      <c r="A28917" s="3" t="s">
        <v>45416</v>
      </c>
      <c r="B28917" s="3" t="s">
        <v>23042</v>
      </c>
      <c r="C28917" s="5" t="s">
        <v>206</v>
      </c>
      <c r="D28917" s="3" t="s">
        <v>68</v>
      </c>
      <c r="E28917" s="3" t="s">
        <v>100</v>
      </c>
      <c r="F28917" s="7">
        <v>46301.246619140016</v>
      </c>
      <c r="G28917" s="3" t="s">
        <v>3303</v>
      </c>
    </row>
    <row r="28918">
      <c r="A28918" s="3" t="s">
        <v>45417</v>
      </c>
      <c r="B28918" s="3" t="s">
        <v>23044</v>
      </c>
      <c r="C28918" s="5" t="s">
        <v>45</v>
      </c>
      <c r="D28918" s="3" t="s">
        <v>221</v>
      </c>
      <c r="E28918" s="3" t="s">
        <v>156</v>
      </c>
      <c r="F28918" s="7">
        <v>46301.30737731877</v>
      </c>
      <c r="G28918" s="3" t="s">
        <v>22255</v>
      </c>
    </row>
    <row r="28919">
      <c r="A28919" s="3" t="s">
        <v>45418</v>
      </c>
      <c r="B28919" s="3" t="s">
        <v>23044</v>
      </c>
      <c r="C28919" s="5" t="s">
        <v>221</v>
      </c>
      <c r="D28919" s="3" t="s">
        <v>614</v>
      </c>
      <c r="E28919" s="3" t="s">
        <v>118</v>
      </c>
      <c r="F28919" s="7">
        <v>46301.31084954099</v>
      </c>
      <c r="G28919" s="3" t="s">
        <v>22258</v>
      </c>
    </row>
    <row r="28920">
      <c r="A28920" s="3" t="s">
        <v>45419</v>
      </c>
      <c r="B28920" s="3" t="s">
        <v>23044</v>
      </c>
      <c r="C28920" s="5" t="s">
        <v>614</v>
      </c>
      <c r="D28920" s="3" t="s">
        <v>206</v>
      </c>
      <c r="E28920" s="3" t="s">
        <v>100</v>
      </c>
      <c r="F28920" s="7">
        <v>46301.31432176322</v>
      </c>
      <c r="G28920" s="3" t="s">
        <v>22260</v>
      </c>
    </row>
    <row r="28921">
      <c r="A28921" s="3" t="s">
        <v>45420</v>
      </c>
      <c r="B28921" s="3" t="s">
        <v>23044</v>
      </c>
      <c r="C28921" s="5" t="s">
        <v>206</v>
      </c>
      <c r="D28921" s="3" t="s">
        <v>68</v>
      </c>
      <c r="E28921" s="3" t="s">
        <v>100</v>
      </c>
      <c r="F28921" s="7">
        <v>46301.317793985436</v>
      </c>
      <c r="G28921" s="3" t="s">
        <v>22263</v>
      </c>
    </row>
    <row r="28922">
      <c r="A28922" s="3" t="s">
        <v>45421</v>
      </c>
      <c r="B28922" s="3" t="s">
        <v>23046</v>
      </c>
      <c r="C28922" s="5" t="s">
        <v>45</v>
      </c>
      <c r="D28922" s="3" t="s">
        <v>221</v>
      </c>
      <c r="E28922" s="3" t="s">
        <v>735</v>
      </c>
      <c r="F28922" s="7">
        <v>46301.378552164184</v>
      </c>
      <c r="G28922" s="3" t="s">
        <v>4895</v>
      </c>
    </row>
    <row r="28923">
      <c r="A28923" s="3" t="s">
        <v>45422</v>
      </c>
      <c r="B28923" s="3" t="s">
        <v>23046</v>
      </c>
      <c r="C28923" s="5" t="s">
        <v>221</v>
      </c>
      <c r="D28923" s="3" t="s">
        <v>614</v>
      </c>
      <c r="E28923" s="3" t="s">
        <v>118</v>
      </c>
      <c r="F28923" s="7">
        <v>46301.3820243864</v>
      </c>
      <c r="G28923" s="3" t="s">
        <v>4898</v>
      </c>
    </row>
    <row r="28924">
      <c r="A28924" s="3" t="s">
        <v>45423</v>
      </c>
      <c r="B28924" s="3" t="s">
        <v>23046</v>
      </c>
      <c r="C28924" s="5" t="s">
        <v>614</v>
      </c>
      <c r="D28924" s="3" t="s">
        <v>206</v>
      </c>
      <c r="E28924" s="3" t="s">
        <v>100</v>
      </c>
      <c r="F28924" s="7">
        <v>46301.38549660863</v>
      </c>
      <c r="G28924" s="3" t="s">
        <v>4900</v>
      </c>
    </row>
    <row r="28925">
      <c r="A28925" s="3" t="s">
        <v>45424</v>
      </c>
      <c r="B28925" s="3" t="s">
        <v>23046</v>
      </c>
      <c r="C28925" s="5" t="s">
        <v>206</v>
      </c>
      <c r="D28925" s="3" t="s">
        <v>68</v>
      </c>
      <c r="E28925" s="3" t="s">
        <v>100</v>
      </c>
      <c r="F28925" s="7">
        <v>46301.38896883085</v>
      </c>
      <c r="G28925" s="3" t="s">
        <v>4903</v>
      </c>
    </row>
    <row r="28926">
      <c r="A28926" s="3" t="s">
        <v>45425</v>
      </c>
      <c r="B28926" s="3" t="s">
        <v>23048</v>
      </c>
      <c r="C28926" s="5" t="s">
        <v>45</v>
      </c>
      <c r="D28926" s="3" t="s">
        <v>221</v>
      </c>
      <c r="E28926" s="3" t="s">
        <v>911</v>
      </c>
      <c r="F28926" s="7">
        <v>46301.4497270096</v>
      </c>
      <c r="G28926" s="3" t="s">
        <v>25261</v>
      </c>
    </row>
    <row r="28927">
      <c r="A28927" s="3" t="s">
        <v>45426</v>
      </c>
      <c r="B28927" s="3" t="s">
        <v>23048</v>
      </c>
      <c r="C28927" s="5" t="s">
        <v>221</v>
      </c>
      <c r="D28927" s="3" t="s">
        <v>181</v>
      </c>
      <c r="E28927" s="3" t="s">
        <v>118</v>
      </c>
      <c r="F28927" s="7">
        <v>46301.45319923182</v>
      </c>
      <c r="G28927" s="3" t="s">
        <v>40556</v>
      </c>
    </row>
    <row r="28928">
      <c r="A28928" s="3" t="s">
        <v>45427</v>
      </c>
      <c r="B28928" s="3" t="s">
        <v>23050</v>
      </c>
      <c r="C28928" s="5" t="s">
        <v>45</v>
      </c>
      <c r="D28928" s="3" t="s">
        <v>221</v>
      </c>
      <c r="E28928" s="3" t="s">
        <v>1011</v>
      </c>
      <c r="F28928" s="7">
        <v>46301.520901855016</v>
      </c>
      <c r="G28928" s="3" t="s">
        <v>7033</v>
      </c>
    </row>
    <row r="28929">
      <c r="A28929" s="3" t="s">
        <v>45428</v>
      </c>
      <c r="B28929" s="3" t="s">
        <v>23050</v>
      </c>
      <c r="C28929" s="5" t="s">
        <v>221</v>
      </c>
      <c r="D28929" s="3" t="s">
        <v>614</v>
      </c>
      <c r="E28929" s="3" t="s">
        <v>118</v>
      </c>
      <c r="F28929" s="7">
        <v>46301.524374077235</v>
      </c>
      <c r="G28929" s="3" t="s">
        <v>7036</v>
      </c>
    </row>
    <row r="28930">
      <c r="A28930" s="3" t="s">
        <v>45429</v>
      </c>
      <c r="B28930" s="3" t="s">
        <v>23050</v>
      </c>
      <c r="C28930" s="5" t="s">
        <v>614</v>
      </c>
      <c r="D28930" s="3" t="s">
        <v>206</v>
      </c>
      <c r="E28930" s="3" t="s">
        <v>100</v>
      </c>
      <c r="F28930" s="7">
        <v>46301.52784629946</v>
      </c>
      <c r="G28930" s="3" t="s">
        <v>7039</v>
      </c>
    </row>
    <row r="28931">
      <c r="A28931" s="3" t="s">
        <v>45430</v>
      </c>
      <c r="B28931" s="3" t="s">
        <v>23050</v>
      </c>
      <c r="C28931" s="5" t="s">
        <v>206</v>
      </c>
      <c r="D28931" s="3" t="s">
        <v>68</v>
      </c>
      <c r="E28931" s="3" t="s">
        <v>100</v>
      </c>
      <c r="F28931" s="7">
        <v>46301.53131852168</v>
      </c>
      <c r="G28931" s="3" t="s">
        <v>7042</v>
      </c>
    </row>
    <row r="28932">
      <c r="A28932" s="3" t="s">
        <v>45431</v>
      </c>
      <c r="B28932" s="3" t="s">
        <v>23052</v>
      </c>
      <c r="C28932" s="5" t="s">
        <v>45</v>
      </c>
      <c r="D28932" s="3" t="s">
        <v>221</v>
      </c>
      <c r="E28932" s="3" t="s">
        <v>765</v>
      </c>
      <c r="F28932" s="7">
        <v>46301.592076700435</v>
      </c>
      <c r="G28932" s="3" t="s">
        <v>3306</v>
      </c>
    </row>
    <row r="28933">
      <c r="A28933" s="3" t="s">
        <v>45432</v>
      </c>
      <c r="B28933" s="3" t="s">
        <v>23052</v>
      </c>
      <c r="C28933" s="5" t="s">
        <v>221</v>
      </c>
      <c r="D28933" s="3" t="s">
        <v>614</v>
      </c>
      <c r="E28933" s="3" t="s">
        <v>118</v>
      </c>
      <c r="F28933" s="7">
        <v>46301.595548922654</v>
      </c>
      <c r="G28933" s="3" t="s">
        <v>3309</v>
      </c>
    </row>
    <row r="28934">
      <c r="A28934" s="3" t="s">
        <v>45433</v>
      </c>
      <c r="B28934" s="3" t="s">
        <v>23052</v>
      </c>
      <c r="C28934" s="5" t="s">
        <v>614</v>
      </c>
      <c r="D28934" s="3" t="s">
        <v>206</v>
      </c>
      <c r="E28934" s="3" t="s">
        <v>100</v>
      </c>
      <c r="F28934" s="7">
        <v>46301.59902114488</v>
      </c>
      <c r="G28934" s="3" t="s">
        <v>3312</v>
      </c>
    </row>
    <row r="28935">
      <c r="A28935" s="3" t="s">
        <v>45434</v>
      </c>
      <c r="B28935" s="3" t="s">
        <v>23052</v>
      </c>
      <c r="C28935" s="5" t="s">
        <v>206</v>
      </c>
      <c r="D28935" s="3" t="s">
        <v>68</v>
      </c>
      <c r="E28935" s="3" t="s">
        <v>100</v>
      </c>
      <c r="F28935" s="7">
        <v>46301.6024933671</v>
      </c>
      <c r="G28935" s="3" t="s">
        <v>3315</v>
      </c>
    </row>
    <row r="28936">
      <c r="A28936" s="3" t="s">
        <v>45435</v>
      </c>
      <c r="B28936" s="3" t="s">
        <v>23054</v>
      </c>
      <c r="C28936" s="5" t="s">
        <v>45</v>
      </c>
      <c r="D28936" s="3" t="s">
        <v>221</v>
      </c>
      <c r="E28936" s="3" t="s">
        <v>276</v>
      </c>
      <c r="F28936" s="7">
        <v>46301.66325154584</v>
      </c>
      <c r="G28936" s="3" t="s">
        <v>3337</v>
      </c>
    </row>
    <row r="28937">
      <c r="A28937" s="3" t="s">
        <v>45436</v>
      </c>
      <c r="B28937" s="3" t="s">
        <v>23054</v>
      </c>
      <c r="C28937" s="5" t="s">
        <v>221</v>
      </c>
      <c r="D28937" s="3" t="s">
        <v>614</v>
      </c>
      <c r="E28937" s="3" t="s">
        <v>118</v>
      </c>
      <c r="F28937" s="7">
        <v>46301.66672376806</v>
      </c>
      <c r="G28937" s="3" t="s">
        <v>3340</v>
      </c>
    </row>
    <row r="28938">
      <c r="A28938" s="3" t="s">
        <v>45437</v>
      </c>
      <c r="B28938" s="3" t="s">
        <v>23054</v>
      </c>
      <c r="C28938" s="5" t="s">
        <v>614</v>
      </c>
      <c r="D28938" s="3" t="s">
        <v>206</v>
      </c>
      <c r="E28938" s="3" t="s">
        <v>100</v>
      </c>
      <c r="F28938" s="7">
        <v>46301.670195990286</v>
      </c>
      <c r="G28938" s="3" t="s">
        <v>3343</v>
      </c>
    </row>
    <row r="28939">
      <c r="A28939" s="3" t="s">
        <v>45438</v>
      </c>
      <c r="B28939" s="3" t="s">
        <v>23054</v>
      </c>
      <c r="C28939" s="5" t="s">
        <v>206</v>
      </c>
      <c r="D28939" s="3" t="s">
        <v>68</v>
      </c>
      <c r="E28939" s="3" t="s">
        <v>100</v>
      </c>
      <c r="F28939" s="7">
        <v>46301.673668212505</v>
      </c>
      <c r="G28939" s="3" t="s">
        <v>3345</v>
      </c>
    </row>
    <row r="28940">
      <c r="A28940" s="3" t="s">
        <v>45439</v>
      </c>
      <c r="B28940" s="3" t="s">
        <v>23056</v>
      </c>
      <c r="C28940" s="5" t="s">
        <v>45</v>
      </c>
      <c r="D28940" s="3" t="s">
        <v>221</v>
      </c>
      <c r="E28940" s="3" t="s">
        <v>637</v>
      </c>
      <c r="F28940" s="7">
        <v>46301.73442639126</v>
      </c>
      <c r="G28940" s="3" t="s">
        <v>8065</v>
      </c>
    </row>
    <row r="28941">
      <c r="A28941" s="3" t="s">
        <v>45440</v>
      </c>
      <c r="B28941" s="3" t="s">
        <v>23056</v>
      </c>
      <c r="C28941" s="5" t="s">
        <v>221</v>
      </c>
      <c r="D28941" s="3" t="s">
        <v>614</v>
      </c>
      <c r="E28941" s="3" t="s">
        <v>118</v>
      </c>
      <c r="F28941" s="7">
        <v>46301.73789861348</v>
      </c>
      <c r="G28941" s="3" t="s">
        <v>22215</v>
      </c>
    </row>
    <row r="28942">
      <c r="A28942" s="3" t="s">
        <v>45441</v>
      </c>
      <c r="B28942" s="3" t="s">
        <v>23056</v>
      </c>
      <c r="C28942" s="5" t="s">
        <v>614</v>
      </c>
      <c r="D28942" s="3" t="s">
        <v>206</v>
      </c>
      <c r="E28942" s="3" t="s">
        <v>100</v>
      </c>
      <c r="F28942" s="7">
        <v>46301.741370835705</v>
      </c>
      <c r="G28942" s="3" t="s">
        <v>22218</v>
      </c>
    </row>
    <row r="28943">
      <c r="A28943" s="3" t="s">
        <v>45442</v>
      </c>
      <c r="B28943" s="3" t="s">
        <v>23056</v>
      </c>
      <c r="C28943" s="5" t="s">
        <v>206</v>
      </c>
      <c r="D28943" s="3" t="s">
        <v>68</v>
      </c>
      <c r="E28943" s="3" t="s">
        <v>100</v>
      </c>
      <c r="F28943" s="7">
        <v>46301.744843057924</v>
      </c>
      <c r="G28943" s="3" t="s">
        <v>22220</v>
      </c>
    </row>
    <row r="28944">
      <c r="A28944" s="3" t="s">
        <v>45443</v>
      </c>
      <c r="B28944" s="3" t="s">
        <v>23058</v>
      </c>
      <c r="C28944" s="5" t="s">
        <v>45</v>
      </c>
      <c r="D28944" s="3" t="s">
        <v>221</v>
      </c>
      <c r="E28944" s="3" t="s">
        <v>280</v>
      </c>
      <c r="F28944" s="7">
        <v>46301.80560123668</v>
      </c>
      <c r="G28944" s="3" t="s">
        <v>15659</v>
      </c>
    </row>
    <row r="28945">
      <c r="A28945" s="3" t="s">
        <v>45444</v>
      </c>
      <c r="B28945" s="3" t="s">
        <v>23058</v>
      </c>
      <c r="C28945" s="5" t="s">
        <v>221</v>
      </c>
      <c r="D28945" s="3" t="s">
        <v>614</v>
      </c>
      <c r="E28945" s="3" t="s">
        <v>118</v>
      </c>
      <c r="F28945" s="7">
        <v>46301.8090734589</v>
      </c>
      <c r="G28945" s="3" t="s">
        <v>15662</v>
      </c>
    </row>
    <row r="28946">
      <c r="A28946" s="3" t="s">
        <v>45445</v>
      </c>
      <c r="B28946" s="3" t="s">
        <v>23058</v>
      </c>
      <c r="C28946" s="5" t="s">
        <v>614</v>
      </c>
      <c r="D28946" s="3" t="s">
        <v>206</v>
      </c>
      <c r="E28946" s="3" t="s">
        <v>100</v>
      </c>
      <c r="F28946" s="7">
        <v>46301.812545681125</v>
      </c>
      <c r="G28946" s="3" t="s">
        <v>15665</v>
      </c>
    </row>
    <row r="28947">
      <c r="A28947" s="3" t="s">
        <v>45446</v>
      </c>
      <c r="B28947" s="3" t="s">
        <v>23058</v>
      </c>
      <c r="C28947" s="5" t="s">
        <v>206</v>
      </c>
      <c r="D28947" s="3" t="s">
        <v>68</v>
      </c>
      <c r="E28947" s="3" t="s">
        <v>100</v>
      </c>
      <c r="F28947" s="7">
        <v>46301.816017903344</v>
      </c>
      <c r="G28947" s="3" t="s">
        <v>15667</v>
      </c>
    </row>
    <row r="28948">
      <c r="A28948" s="3" t="s">
        <v>45447</v>
      </c>
      <c r="B28948" s="3" t="s">
        <v>23060</v>
      </c>
      <c r="C28948" s="5" t="s">
        <v>45</v>
      </c>
      <c r="D28948" s="3" t="s">
        <v>221</v>
      </c>
      <c r="E28948" s="3" t="s">
        <v>287</v>
      </c>
      <c r="F28948" s="7">
        <v>46301.87677608209</v>
      </c>
      <c r="G28948" s="3" t="s">
        <v>2770</v>
      </c>
    </row>
    <row r="28949">
      <c r="A28949" s="3" t="s">
        <v>45448</v>
      </c>
      <c r="B28949" s="3" t="s">
        <v>23060</v>
      </c>
      <c r="C28949" s="5" t="s">
        <v>221</v>
      </c>
      <c r="D28949" s="3" t="s">
        <v>195</v>
      </c>
      <c r="E28949" s="3" t="s">
        <v>287</v>
      </c>
      <c r="F28949" s="7">
        <v>46301.88024830431</v>
      </c>
      <c r="G28949" s="3" t="s">
        <v>3055</v>
      </c>
    </row>
    <row r="28950">
      <c r="A28950" s="3" t="s">
        <v>45449</v>
      </c>
      <c r="B28950" s="3" t="s">
        <v>23062</v>
      </c>
      <c r="C28950" s="5" t="s">
        <v>45</v>
      </c>
      <c r="D28950" s="3" t="s">
        <v>221</v>
      </c>
      <c r="E28950" s="3" t="s">
        <v>593</v>
      </c>
      <c r="F28950" s="7">
        <v>46301.947950927504</v>
      </c>
      <c r="G28950" s="3" t="s">
        <v>3348</v>
      </c>
    </row>
    <row r="28951">
      <c r="A28951" s="3" t="s">
        <v>45450</v>
      </c>
      <c r="B28951" s="3" t="s">
        <v>23062</v>
      </c>
      <c r="C28951" s="5" t="s">
        <v>221</v>
      </c>
      <c r="D28951" s="3" t="s">
        <v>614</v>
      </c>
      <c r="E28951" s="3" t="s">
        <v>118</v>
      </c>
      <c r="F28951" s="7">
        <v>46301.95142314972</v>
      </c>
      <c r="G28951" s="3" t="s">
        <v>3351</v>
      </c>
    </row>
    <row r="28952">
      <c r="A28952" s="3" t="s">
        <v>45451</v>
      </c>
      <c r="B28952" s="3" t="s">
        <v>23062</v>
      </c>
      <c r="C28952" s="5" t="s">
        <v>614</v>
      </c>
      <c r="D28952" s="3" t="s">
        <v>206</v>
      </c>
      <c r="E28952" s="3" t="s">
        <v>100</v>
      </c>
      <c r="F28952" s="7">
        <v>46301.95489537195</v>
      </c>
      <c r="G28952" s="3" t="s">
        <v>3353</v>
      </c>
    </row>
    <row r="28953">
      <c r="A28953" s="3" t="s">
        <v>45452</v>
      </c>
      <c r="B28953" s="3" t="s">
        <v>23062</v>
      </c>
      <c r="C28953" s="5" t="s">
        <v>206</v>
      </c>
      <c r="D28953" s="3" t="s">
        <v>68</v>
      </c>
      <c r="E28953" s="3" t="s">
        <v>100</v>
      </c>
      <c r="F28953" s="7">
        <v>46301.95836759417</v>
      </c>
      <c r="G28953" s="3" t="s">
        <v>3356</v>
      </c>
    </row>
    <row r="28954">
      <c r="A28954" s="3" t="s">
        <v>45453</v>
      </c>
      <c r="B28954" s="3" t="s">
        <v>23064</v>
      </c>
      <c r="C28954" s="5" t="s">
        <v>45</v>
      </c>
      <c r="D28954" s="3" t="s">
        <v>221</v>
      </c>
      <c r="E28954" s="3" t="s">
        <v>141</v>
      </c>
      <c r="F28954" s="7">
        <v>46302.019125772924</v>
      </c>
      <c r="G28954" s="3" t="s">
        <v>3359</v>
      </c>
    </row>
    <row r="28955">
      <c r="A28955" s="3" t="s">
        <v>45454</v>
      </c>
      <c r="B28955" s="3" t="s">
        <v>23064</v>
      </c>
      <c r="C28955" s="5" t="s">
        <v>221</v>
      </c>
      <c r="D28955" s="3" t="s">
        <v>614</v>
      </c>
      <c r="E28955" s="3" t="s">
        <v>118</v>
      </c>
      <c r="F28955" s="7">
        <v>46302.02259799514</v>
      </c>
      <c r="G28955" s="3" t="s">
        <v>3362</v>
      </c>
    </row>
    <row r="28956">
      <c r="A28956" s="3" t="s">
        <v>45455</v>
      </c>
      <c r="B28956" s="3" t="s">
        <v>23064</v>
      </c>
      <c r="C28956" s="5" t="s">
        <v>614</v>
      </c>
      <c r="D28956" s="3" t="s">
        <v>206</v>
      </c>
      <c r="E28956" s="3" t="s">
        <v>100</v>
      </c>
      <c r="F28956" s="7">
        <v>46302.02607021737</v>
      </c>
      <c r="G28956" s="3" t="s">
        <v>3365</v>
      </c>
    </row>
    <row r="28957">
      <c r="A28957" s="3" t="s">
        <v>45456</v>
      </c>
      <c r="B28957" s="3" t="s">
        <v>23064</v>
      </c>
      <c r="C28957" s="5" t="s">
        <v>206</v>
      </c>
      <c r="D28957" s="3" t="s">
        <v>68</v>
      </c>
      <c r="E28957" s="3" t="s">
        <v>100</v>
      </c>
      <c r="F28957" s="7">
        <v>46302.02954243959</v>
      </c>
      <c r="G28957" s="3" t="s">
        <v>3368</v>
      </c>
    </row>
    <row r="28958">
      <c r="A28958" s="3" t="s">
        <v>45457</v>
      </c>
      <c r="B28958" s="3" t="s">
        <v>23066</v>
      </c>
      <c r="C28958" s="5" t="s">
        <v>45</v>
      </c>
      <c r="D28958" s="3" t="s">
        <v>221</v>
      </c>
      <c r="E28958" s="3" t="s">
        <v>906</v>
      </c>
      <c r="F28958" s="7">
        <v>46302.090300618336</v>
      </c>
      <c r="G28958" s="3" t="s">
        <v>29369</v>
      </c>
    </row>
    <row r="28959">
      <c r="A28959" s="3" t="s">
        <v>45458</v>
      </c>
      <c r="B28959" s="3" t="s">
        <v>23066</v>
      </c>
      <c r="C28959" s="5" t="s">
        <v>221</v>
      </c>
      <c r="D28959" s="3" t="s">
        <v>614</v>
      </c>
      <c r="E28959" s="3" t="s">
        <v>118</v>
      </c>
      <c r="F28959" s="7">
        <v>46302.093772840555</v>
      </c>
      <c r="G28959" s="3" t="s">
        <v>29371</v>
      </c>
    </row>
    <row r="28960">
      <c r="A28960" s="3" t="s">
        <v>45459</v>
      </c>
      <c r="B28960" s="3" t="s">
        <v>23066</v>
      </c>
      <c r="C28960" s="5" t="s">
        <v>614</v>
      </c>
      <c r="D28960" s="3" t="s">
        <v>206</v>
      </c>
      <c r="E28960" s="3" t="s">
        <v>100</v>
      </c>
      <c r="F28960" s="7">
        <v>46302.09724506278</v>
      </c>
      <c r="G28960" s="3" t="s">
        <v>29373</v>
      </c>
    </row>
    <row r="28961">
      <c r="A28961" s="3" t="s">
        <v>45460</v>
      </c>
      <c r="B28961" s="3" t="s">
        <v>23066</v>
      </c>
      <c r="C28961" s="5" t="s">
        <v>206</v>
      </c>
      <c r="D28961" s="3" t="s">
        <v>68</v>
      </c>
      <c r="E28961" s="3" t="s">
        <v>100</v>
      </c>
      <c r="F28961" s="7">
        <v>46302.100717285</v>
      </c>
      <c r="G28961" s="3" t="s">
        <v>29375</v>
      </c>
    </row>
    <row r="28962">
      <c r="A28962" s="3" t="s">
        <v>45461</v>
      </c>
      <c r="B28962" s="3" t="s">
        <v>23068</v>
      </c>
      <c r="C28962" s="5" t="s">
        <v>45</v>
      </c>
      <c r="D28962" s="3" t="s">
        <v>221</v>
      </c>
      <c r="E28962" s="3" t="s">
        <v>990</v>
      </c>
      <c r="F28962" s="7">
        <v>46302.16147546375</v>
      </c>
      <c r="G28962" s="3" t="s">
        <v>5606</v>
      </c>
    </row>
    <row r="28963">
      <c r="A28963" s="3" t="s">
        <v>45462</v>
      </c>
      <c r="B28963" s="3" t="s">
        <v>23068</v>
      </c>
      <c r="C28963" s="5" t="s">
        <v>221</v>
      </c>
      <c r="D28963" s="3" t="s">
        <v>614</v>
      </c>
      <c r="E28963" s="3" t="s">
        <v>118</v>
      </c>
      <c r="F28963" s="7">
        <v>46302.16494768597</v>
      </c>
      <c r="G28963" s="3" t="s">
        <v>5609</v>
      </c>
    </row>
    <row r="28964">
      <c r="A28964" s="3" t="s">
        <v>45463</v>
      </c>
      <c r="B28964" s="3" t="s">
        <v>23068</v>
      </c>
      <c r="C28964" s="5" t="s">
        <v>614</v>
      </c>
      <c r="D28964" s="3" t="s">
        <v>206</v>
      </c>
      <c r="E28964" s="3" t="s">
        <v>100</v>
      </c>
      <c r="F28964" s="7">
        <v>46302.168419908194</v>
      </c>
      <c r="G28964" s="3" t="s">
        <v>5612</v>
      </c>
    </row>
    <row r="28965">
      <c r="A28965" s="3" t="s">
        <v>45464</v>
      </c>
      <c r="B28965" s="3" t="s">
        <v>23068</v>
      </c>
      <c r="C28965" s="5" t="s">
        <v>206</v>
      </c>
      <c r="D28965" s="3" t="s">
        <v>68</v>
      </c>
      <c r="E28965" s="3" t="s">
        <v>100</v>
      </c>
      <c r="F28965" s="7">
        <v>46302.17189213041</v>
      </c>
      <c r="G28965" s="3" t="s">
        <v>5614</v>
      </c>
    </row>
    <row r="28966">
      <c r="A28966" s="3" t="s">
        <v>45465</v>
      </c>
      <c r="B28966" s="3" t="s">
        <v>23071</v>
      </c>
      <c r="C28966" s="5" t="s">
        <v>45</v>
      </c>
      <c r="D28966" s="3" t="s">
        <v>221</v>
      </c>
      <c r="E28966" s="3" t="s">
        <v>398</v>
      </c>
      <c r="F28966" s="7">
        <v>46302.23265030917</v>
      </c>
      <c r="G28966" s="3" t="s">
        <v>16723</v>
      </c>
    </row>
    <row r="28967">
      <c r="A28967" s="3" t="s">
        <v>45466</v>
      </c>
      <c r="B28967" s="3" t="s">
        <v>23071</v>
      </c>
      <c r="C28967" s="5" t="s">
        <v>221</v>
      </c>
      <c r="D28967" s="3" t="s">
        <v>614</v>
      </c>
      <c r="E28967" s="3" t="s">
        <v>118</v>
      </c>
      <c r="F28967" s="7">
        <v>46302.23612253139</v>
      </c>
      <c r="G28967" s="3" t="s">
        <v>16725</v>
      </c>
    </row>
    <row r="28968">
      <c r="A28968" s="3" t="s">
        <v>45467</v>
      </c>
      <c r="B28968" s="3" t="s">
        <v>23071</v>
      </c>
      <c r="C28968" s="5" t="s">
        <v>614</v>
      </c>
      <c r="D28968" s="3" t="s">
        <v>206</v>
      </c>
      <c r="E28968" s="3" t="s">
        <v>100</v>
      </c>
      <c r="F28968" s="7">
        <v>46302.23959475361</v>
      </c>
      <c r="G28968" s="3" t="s">
        <v>16728</v>
      </c>
    </row>
    <row r="28969">
      <c r="A28969" s="3" t="s">
        <v>45468</v>
      </c>
      <c r="B28969" s="3" t="s">
        <v>23071</v>
      </c>
      <c r="C28969" s="5" t="s">
        <v>206</v>
      </c>
      <c r="D28969" s="3" t="s">
        <v>68</v>
      </c>
      <c r="E28969" s="3" t="s">
        <v>100</v>
      </c>
      <c r="F28969" s="7">
        <v>46302.24306697583</v>
      </c>
      <c r="G28969" s="3" t="s">
        <v>16731</v>
      </c>
    </row>
    <row r="28970">
      <c r="A28970" s="3" t="s">
        <v>45469</v>
      </c>
      <c r="B28970" s="3" t="s">
        <v>23073</v>
      </c>
      <c r="C28970" s="5" t="s">
        <v>45</v>
      </c>
      <c r="D28970" s="3" t="s">
        <v>221</v>
      </c>
      <c r="E28970" s="3" t="s">
        <v>322</v>
      </c>
      <c r="F28970" s="7">
        <v>46302.30382515459</v>
      </c>
      <c r="G28970" s="3" t="s">
        <v>13434</v>
      </c>
    </row>
    <row r="28971">
      <c r="A28971" s="3" t="s">
        <v>45470</v>
      </c>
      <c r="B28971" s="3" t="s">
        <v>23073</v>
      </c>
      <c r="C28971" s="5" t="s">
        <v>221</v>
      </c>
      <c r="D28971" s="3" t="s">
        <v>195</v>
      </c>
      <c r="E28971" s="3" t="s">
        <v>322</v>
      </c>
      <c r="F28971" s="7">
        <v>46302.30729737681</v>
      </c>
      <c r="G28971" s="3" t="s">
        <v>45471</v>
      </c>
    </row>
    <row r="28972">
      <c r="A28972" s="3" t="s">
        <v>45472</v>
      </c>
      <c r="B28972" s="3" t="s">
        <v>23076</v>
      </c>
      <c r="C28972" s="5" t="s">
        <v>45</v>
      </c>
      <c r="D28972" s="3" t="s">
        <v>221</v>
      </c>
      <c r="E28972" s="3" t="s">
        <v>559</v>
      </c>
      <c r="F28972" s="7">
        <v>46303.37499999999</v>
      </c>
      <c r="G28972" s="3" t="s">
        <v>21948</v>
      </c>
    </row>
    <row r="28973">
      <c r="A28973" s="3" t="s">
        <v>45473</v>
      </c>
      <c r="B28973" s="3" t="s">
        <v>23078</v>
      </c>
      <c r="C28973" s="5" t="s">
        <v>45</v>
      </c>
      <c r="D28973" s="3" t="s">
        <v>221</v>
      </c>
      <c r="E28973" s="3" t="s">
        <v>906</v>
      </c>
      <c r="F28973" s="7">
        <v>46303.395833333336</v>
      </c>
      <c r="G28973" s="3" t="s">
        <v>19159</v>
      </c>
    </row>
    <row r="28974">
      <c r="A28974" s="3" t="s">
        <v>45474</v>
      </c>
      <c r="B28974" s="3" t="s">
        <v>23078</v>
      </c>
      <c r="C28974" s="5" t="s">
        <v>221</v>
      </c>
      <c r="D28974" s="3" t="s">
        <v>614</v>
      </c>
      <c r="E28974" s="3" t="s">
        <v>118</v>
      </c>
      <c r="F28974" s="7">
        <v>46303.399305555555</v>
      </c>
      <c r="G28974" s="3" t="s">
        <v>19162</v>
      </c>
    </row>
    <row r="28975">
      <c r="A28975" s="3" t="s">
        <v>45475</v>
      </c>
      <c r="B28975" s="3" t="s">
        <v>23078</v>
      </c>
      <c r="C28975" s="5" t="s">
        <v>614</v>
      </c>
      <c r="D28975" s="3" t="s">
        <v>206</v>
      </c>
      <c r="E28975" s="3" t="s">
        <v>100</v>
      </c>
      <c r="F28975" s="7">
        <v>46303.40277777778</v>
      </c>
      <c r="G28975" s="3" t="s">
        <v>19165</v>
      </c>
    </row>
    <row r="28976">
      <c r="A28976" s="3" t="s">
        <v>45476</v>
      </c>
      <c r="B28976" s="3" t="s">
        <v>23080</v>
      </c>
      <c r="C28976" s="5" t="s">
        <v>45</v>
      </c>
      <c r="D28976" s="3" t="s">
        <v>221</v>
      </c>
      <c r="E28976" s="3" t="s">
        <v>557</v>
      </c>
      <c r="F28976" s="7">
        <v>46303.416666666664</v>
      </c>
      <c r="G28976" s="3" t="s">
        <v>20510</v>
      </c>
    </row>
    <row r="28977">
      <c r="A28977" s="3" t="s">
        <v>45477</v>
      </c>
      <c r="B28977" s="3" t="s">
        <v>23082</v>
      </c>
      <c r="C28977" s="5" t="s">
        <v>45</v>
      </c>
      <c r="D28977" s="3" t="s">
        <v>221</v>
      </c>
      <c r="E28977" s="3" t="s">
        <v>310</v>
      </c>
      <c r="F28977" s="7">
        <v>46303.43749999999</v>
      </c>
      <c r="G28977" s="3" t="s">
        <v>14950</v>
      </c>
    </row>
    <row r="28978">
      <c r="A28978" s="3" t="s">
        <v>45478</v>
      </c>
      <c r="B28978" s="3" t="s">
        <v>23082</v>
      </c>
      <c r="C28978" s="5" t="s">
        <v>221</v>
      </c>
      <c r="D28978" s="3" t="s">
        <v>614</v>
      </c>
      <c r="E28978" s="3" t="s">
        <v>118</v>
      </c>
      <c r="F28978" s="7">
        <v>46303.44097222221</v>
      </c>
      <c r="G28978" s="3" t="s">
        <v>43745</v>
      </c>
    </row>
    <row r="28979">
      <c r="A28979" s="3" t="s">
        <v>45479</v>
      </c>
      <c r="B28979" s="3" t="s">
        <v>23082</v>
      </c>
      <c r="C28979" s="5" t="s">
        <v>614</v>
      </c>
      <c r="D28979" s="3" t="s">
        <v>206</v>
      </c>
      <c r="E28979" s="3" t="s">
        <v>100</v>
      </c>
      <c r="F28979" s="7">
        <v>46303.44444444444</v>
      </c>
      <c r="G28979" s="3" t="s">
        <v>43747</v>
      </c>
    </row>
    <row r="28980">
      <c r="A28980" s="3" t="s">
        <v>45480</v>
      </c>
      <c r="B28980" s="3" t="s">
        <v>23084</v>
      </c>
      <c r="C28980" s="5" t="s">
        <v>45</v>
      </c>
      <c r="D28980" s="3" t="s">
        <v>221</v>
      </c>
      <c r="E28980" s="3" t="s">
        <v>436</v>
      </c>
      <c r="F28980" s="7">
        <v>46303.458333333336</v>
      </c>
      <c r="G28980" s="3" t="s">
        <v>14107</v>
      </c>
    </row>
    <row r="28981">
      <c r="A28981" s="3" t="s">
        <v>45481</v>
      </c>
      <c r="B28981" s="3" t="s">
        <v>23086</v>
      </c>
      <c r="C28981" s="5" t="s">
        <v>45</v>
      </c>
      <c r="D28981" s="3" t="s">
        <v>221</v>
      </c>
      <c r="E28981" s="3" t="s">
        <v>886</v>
      </c>
      <c r="F28981" s="7">
        <v>46303.479166666664</v>
      </c>
      <c r="G28981" s="3" t="s">
        <v>29295</v>
      </c>
    </row>
    <row r="28982">
      <c r="A28982" s="3" t="s">
        <v>45482</v>
      </c>
      <c r="B28982" s="3" t="s">
        <v>23086</v>
      </c>
      <c r="C28982" s="5" t="s">
        <v>221</v>
      </c>
      <c r="D28982" s="3" t="s">
        <v>614</v>
      </c>
      <c r="E28982" s="3" t="s">
        <v>118</v>
      </c>
      <c r="F28982" s="7">
        <v>46303.48263888888</v>
      </c>
      <c r="G28982" s="3" t="s">
        <v>29297</v>
      </c>
    </row>
    <row r="28983">
      <c r="A28983" s="3" t="s">
        <v>45483</v>
      </c>
      <c r="B28983" s="3" t="s">
        <v>23086</v>
      </c>
      <c r="C28983" s="5" t="s">
        <v>614</v>
      </c>
      <c r="D28983" s="3" t="s">
        <v>206</v>
      </c>
      <c r="E28983" s="3" t="s">
        <v>100</v>
      </c>
      <c r="F28983" s="7">
        <v>46303.48611111111</v>
      </c>
      <c r="G28983" s="3" t="s">
        <v>29299</v>
      </c>
    </row>
    <row r="28984">
      <c r="A28984" s="3" t="s">
        <v>45484</v>
      </c>
      <c r="B28984" s="3" t="s">
        <v>23088</v>
      </c>
      <c r="C28984" s="5" t="s">
        <v>45</v>
      </c>
      <c r="D28984" s="3" t="s">
        <v>221</v>
      </c>
      <c r="E28984" s="3" t="s">
        <v>356</v>
      </c>
      <c r="F28984" s="7">
        <v>46303.49999999999</v>
      </c>
      <c r="G28984" s="3" t="s">
        <v>4996</v>
      </c>
    </row>
    <row r="28985">
      <c r="A28985" s="3" t="s">
        <v>45485</v>
      </c>
      <c r="B28985" s="3" t="s">
        <v>23090</v>
      </c>
      <c r="C28985" s="5" t="s">
        <v>45</v>
      </c>
      <c r="D28985" s="3" t="s">
        <v>221</v>
      </c>
      <c r="E28985" s="3" t="s">
        <v>388</v>
      </c>
      <c r="F28985" s="7">
        <v>46303.520833333336</v>
      </c>
      <c r="G28985" s="3" t="s">
        <v>24147</v>
      </c>
    </row>
    <row r="28986">
      <c r="A28986" s="3" t="s">
        <v>45486</v>
      </c>
      <c r="B28986" s="3" t="s">
        <v>23090</v>
      </c>
      <c r="C28986" s="5" t="s">
        <v>221</v>
      </c>
      <c r="D28986" s="3" t="s">
        <v>614</v>
      </c>
      <c r="E28986" s="3" t="s">
        <v>118</v>
      </c>
      <c r="F28986" s="7">
        <v>46303.524305555555</v>
      </c>
      <c r="G28986" s="3" t="s">
        <v>24149</v>
      </c>
    </row>
    <row r="28987">
      <c r="A28987" s="3" t="s">
        <v>45487</v>
      </c>
      <c r="B28987" s="3" t="s">
        <v>23090</v>
      </c>
      <c r="C28987" s="5" t="s">
        <v>614</v>
      </c>
      <c r="D28987" s="3" t="s">
        <v>206</v>
      </c>
      <c r="E28987" s="3" t="s">
        <v>100</v>
      </c>
      <c r="F28987" s="7">
        <v>46303.52777777778</v>
      </c>
      <c r="G28987" s="3" t="s">
        <v>24151</v>
      </c>
    </row>
    <row r="28988">
      <c r="A28988" s="3" t="s">
        <v>45488</v>
      </c>
      <c r="B28988" s="3" t="s">
        <v>23092</v>
      </c>
      <c r="C28988" s="5" t="s">
        <v>45</v>
      </c>
      <c r="D28988" s="3" t="s">
        <v>221</v>
      </c>
      <c r="E28988" s="3" t="s">
        <v>333</v>
      </c>
      <c r="F28988" s="7">
        <v>46303.541666666664</v>
      </c>
      <c r="G28988" s="3" t="s">
        <v>11821</v>
      </c>
    </row>
    <row r="28989">
      <c r="A28989" s="3" t="s">
        <v>45489</v>
      </c>
      <c r="B28989" s="3" t="s">
        <v>23096</v>
      </c>
      <c r="C28989" s="5" t="s">
        <v>45</v>
      </c>
      <c r="D28989" s="3" t="s">
        <v>221</v>
      </c>
      <c r="E28989" s="3" t="s">
        <v>498</v>
      </c>
      <c r="F28989" s="7">
        <v>46303.56249999999</v>
      </c>
      <c r="G28989" s="3" t="s">
        <v>2770</v>
      </c>
    </row>
    <row r="28990">
      <c r="A28990" s="3" t="s">
        <v>45490</v>
      </c>
      <c r="B28990" s="3" t="s">
        <v>23096</v>
      </c>
      <c r="C28990" s="5" t="s">
        <v>221</v>
      </c>
      <c r="D28990" s="3" t="s">
        <v>614</v>
      </c>
      <c r="E28990" s="3" t="s">
        <v>118</v>
      </c>
      <c r="F28990" s="7">
        <v>46303.56597222221</v>
      </c>
      <c r="G28990" s="3" t="s">
        <v>45491</v>
      </c>
    </row>
    <row r="28991">
      <c r="A28991" s="3" t="s">
        <v>45492</v>
      </c>
      <c r="B28991" s="3" t="s">
        <v>23096</v>
      </c>
      <c r="C28991" s="5" t="s">
        <v>614</v>
      </c>
      <c r="D28991" s="3" t="s">
        <v>206</v>
      </c>
      <c r="E28991" s="3" t="s">
        <v>100</v>
      </c>
      <c r="F28991" s="7">
        <v>46303.56944444444</v>
      </c>
      <c r="G28991" s="3" t="s">
        <v>45493</v>
      </c>
    </row>
    <row r="28992">
      <c r="A28992" s="3" t="s">
        <v>45494</v>
      </c>
      <c r="B28992" s="3" t="s">
        <v>23098</v>
      </c>
      <c r="C28992" s="5" t="s">
        <v>45</v>
      </c>
      <c r="D28992" s="3" t="s">
        <v>221</v>
      </c>
      <c r="E28992" s="3" t="s">
        <v>612</v>
      </c>
      <c r="F28992" s="7">
        <v>46303.583333333336</v>
      </c>
      <c r="G28992" s="3" t="s">
        <v>2770</v>
      </c>
    </row>
    <row r="28993">
      <c r="A28993" s="3" t="s">
        <v>45495</v>
      </c>
      <c r="B28993" s="3" t="s">
        <v>23100</v>
      </c>
      <c r="C28993" s="5" t="s">
        <v>45</v>
      </c>
      <c r="D28993" s="3" t="s">
        <v>221</v>
      </c>
      <c r="E28993" s="3" t="s">
        <v>691</v>
      </c>
      <c r="F28993" s="7">
        <v>46303.604166666664</v>
      </c>
      <c r="G28993" s="3" t="s">
        <v>9343</v>
      </c>
    </row>
    <row r="28994">
      <c r="A28994" s="3" t="s">
        <v>45496</v>
      </c>
      <c r="B28994" s="3" t="s">
        <v>23100</v>
      </c>
      <c r="C28994" s="5" t="s">
        <v>221</v>
      </c>
      <c r="D28994" s="3" t="s">
        <v>614</v>
      </c>
      <c r="E28994" s="3" t="s">
        <v>118</v>
      </c>
      <c r="F28994" s="7">
        <v>46303.60763888888</v>
      </c>
      <c r="G28994" s="3" t="s">
        <v>9346</v>
      </c>
    </row>
    <row r="28995">
      <c r="A28995" s="3" t="s">
        <v>45497</v>
      </c>
      <c r="B28995" s="3" t="s">
        <v>23100</v>
      </c>
      <c r="C28995" s="5" t="s">
        <v>614</v>
      </c>
      <c r="D28995" s="3" t="s">
        <v>206</v>
      </c>
      <c r="E28995" s="3" t="s">
        <v>100</v>
      </c>
      <c r="F28995" s="7">
        <v>46303.61111111111</v>
      </c>
      <c r="G28995" s="3" t="s">
        <v>9349</v>
      </c>
    </row>
    <row r="28996">
      <c r="A28996" s="3" t="s">
        <v>45498</v>
      </c>
      <c r="B28996" s="3" t="s">
        <v>23102</v>
      </c>
      <c r="C28996" s="5" t="s">
        <v>45</v>
      </c>
      <c r="D28996" s="3" t="s">
        <v>221</v>
      </c>
      <c r="E28996" s="3" t="s">
        <v>419</v>
      </c>
      <c r="F28996" s="7">
        <v>46303.62499999999</v>
      </c>
      <c r="G28996" s="3" t="s">
        <v>16755</v>
      </c>
    </row>
    <row r="28997">
      <c r="A28997" s="3" t="s">
        <v>45499</v>
      </c>
      <c r="B28997" s="3" t="s">
        <v>23104</v>
      </c>
      <c r="C28997" s="5" t="s">
        <v>45</v>
      </c>
      <c r="D28997" s="3" t="s">
        <v>221</v>
      </c>
      <c r="E28997" s="3" t="s">
        <v>411</v>
      </c>
      <c r="F28997" s="7">
        <v>46303.645833333336</v>
      </c>
      <c r="G28997" s="3" t="s">
        <v>20719</v>
      </c>
    </row>
    <row r="28998">
      <c r="A28998" s="3" t="s">
        <v>45500</v>
      </c>
      <c r="B28998" s="3" t="s">
        <v>23104</v>
      </c>
      <c r="C28998" s="5" t="s">
        <v>221</v>
      </c>
      <c r="D28998" s="3" t="s">
        <v>614</v>
      </c>
      <c r="E28998" s="3" t="s">
        <v>118</v>
      </c>
      <c r="F28998" s="7">
        <v>46303.649305555555</v>
      </c>
      <c r="G28998" s="3" t="s">
        <v>32515</v>
      </c>
    </row>
    <row r="28999">
      <c r="A28999" s="3" t="s">
        <v>45501</v>
      </c>
      <c r="B28999" s="3" t="s">
        <v>23104</v>
      </c>
      <c r="C28999" s="5" t="s">
        <v>614</v>
      </c>
      <c r="D28999" s="3" t="s">
        <v>206</v>
      </c>
      <c r="E28999" s="3" t="s">
        <v>100</v>
      </c>
      <c r="F28999" s="7">
        <v>46303.65277777778</v>
      </c>
      <c r="G28999" s="3" t="s">
        <v>32517</v>
      </c>
    </row>
    <row r="29000">
      <c r="A29000" s="3" t="s">
        <v>45502</v>
      </c>
      <c r="B29000" s="3" t="s">
        <v>23106</v>
      </c>
      <c r="C29000" s="5" t="s">
        <v>45</v>
      </c>
      <c r="D29000" s="3" t="s">
        <v>221</v>
      </c>
      <c r="E29000" s="3" t="s">
        <v>1021</v>
      </c>
      <c r="F29000" s="7">
        <v>46303.666666666664</v>
      </c>
      <c r="G29000" s="3" t="s">
        <v>17401</v>
      </c>
    </row>
    <row r="29001">
      <c r="A29001" s="3" t="s">
        <v>45503</v>
      </c>
      <c r="B29001" s="3" t="s">
        <v>23108</v>
      </c>
      <c r="C29001" s="5" t="s">
        <v>45</v>
      </c>
      <c r="D29001" s="3" t="s">
        <v>221</v>
      </c>
      <c r="E29001" s="3" t="s">
        <v>694</v>
      </c>
      <c r="F29001" s="7">
        <v>46303.68749999999</v>
      </c>
      <c r="G29001" s="3" t="s">
        <v>28553</v>
      </c>
    </row>
    <row r="29002">
      <c r="A29002" s="3" t="s">
        <v>45504</v>
      </c>
      <c r="B29002" s="3" t="s">
        <v>23108</v>
      </c>
      <c r="C29002" s="5" t="s">
        <v>221</v>
      </c>
      <c r="D29002" s="3" t="s">
        <v>614</v>
      </c>
      <c r="E29002" s="3" t="s">
        <v>118</v>
      </c>
      <c r="F29002" s="7">
        <v>46303.69097222221</v>
      </c>
      <c r="G29002" s="3" t="s">
        <v>28555</v>
      </c>
    </row>
    <row r="29003">
      <c r="A29003" s="3" t="s">
        <v>45505</v>
      </c>
      <c r="B29003" s="3" t="s">
        <v>23108</v>
      </c>
      <c r="C29003" s="5" t="s">
        <v>614</v>
      </c>
      <c r="D29003" s="3" t="s">
        <v>206</v>
      </c>
      <c r="E29003" s="3" t="s">
        <v>100</v>
      </c>
      <c r="F29003" s="7">
        <v>46303.69444444444</v>
      </c>
      <c r="G29003" s="3" t="s">
        <v>28557</v>
      </c>
    </row>
    <row r="29004">
      <c r="A29004" s="3" t="s">
        <v>45506</v>
      </c>
      <c r="B29004" s="3" t="s">
        <v>23110</v>
      </c>
      <c r="C29004" s="5" t="s">
        <v>45</v>
      </c>
      <c r="D29004" s="3" t="s">
        <v>221</v>
      </c>
      <c r="E29004" s="3" t="s">
        <v>179</v>
      </c>
      <c r="F29004" s="7">
        <v>46303.708333333336</v>
      </c>
      <c r="G29004" s="3" t="s">
        <v>2770</v>
      </c>
    </row>
    <row r="29005">
      <c r="A29005" s="3" t="s">
        <v>45507</v>
      </c>
      <c r="B29005" s="3" t="s">
        <v>23112</v>
      </c>
      <c r="C29005" s="5" t="s">
        <v>45</v>
      </c>
      <c r="D29005" s="3" t="s">
        <v>221</v>
      </c>
      <c r="E29005" s="3" t="s">
        <v>805</v>
      </c>
      <c r="F29005" s="7">
        <v>46303.729166666664</v>
      </c>
      <c r="G29005" s="3" t="s">
        <v>2770</v>
      </c>
    </row>
    <row r="29006">
      <c r="A29006" s="3" t="s">
        <v>45508</v>
      </c>
      <c r="B29006" s="3" t="s">
        <v>23112</v>
      </c>
      <c r="C29006" s="5" t="s">
        <v>221</v>
      </c>
      <c r="D29006" s="3" t="s">
        <v>614</v>
      </c>
      <c r="E29006" s="3" t="s">
        <v>118</v>
      </c>
      <c r="F29006" s="7">
        <v>46303.73263888888</v>
      </c>
      <c r="G29006" s="3" t="s">
        <v>45491</v>
      </c>
    </row>
    <row r="29007">
      <c r="A29007" s="3" t="s">
        <v>45509</v>
      </c>
      <c r="B29007" s="3" t="s">
        <v>23112</v>
      </c>
      <c r="C29007" s="5" t="s">
        <v>614</v>
      </c>
      <c r="D29007" s="3" t="s">
        <v>206</v>
      </c>
      <c r="E29007" s="3" t="s">
        <v>100</v>
      </c>
      <c r="F29007" s="7">
        <v>46303.73611111111</v>
      </c>
      <c r="G29007" s="3" t="s">
        <v>45493</v>
      </c>
    </row>
    <row r="29008">
      <c r="A29008" s="3" t="s">
        <v>45510</v>
      </c>
      <c r="B29008" s="3" t="s">
        <v>23114</v>
      </c>
      <c r="C29008" s="5" t="s">
        <v>45</v>
      </c>
      <c r="D29008" s="3" t="s">
        <v>221</v>
      </c>
      <c r="E29008" s="3" t="s">
        <v>123</v>
      </c>
      <c r="F29008" s="7">
        <v>46303.74999999999</v>
      </c>
      <c r="G29008" s="3" t="s">
        <v>29899</v>
      </c>
    </row>
    <row r="29009">
      <c r="A29009" s="3" t="s">
        <v>45511</v>
      </c>
      <c r="B29009" s="3" t="s">
        <v>23116</v>
      </c>
      <c r="C29009" s="5" t="s">
        <v>45</v>
      </c>
      <c r="D29009" s="3" t="s">
        <v>221</v>
      </c>
      <c r="E29009" s="3" t="s">
        <v>961</v>
      </c>
      <c r="F29009" s="7">
        <v>46303.770833333336</v>
      </c>
      <c r="G29009" s="3" t="s">
        <v>19475</v>
      </c>
    </row>
    <row r="29010">
      <c r="A29010" s="3" t="s">
        <v>45512</v>
      </c>
      <c r="B29010" s="3" t="s">
        <v>23116</v>
      </c>
      <c r="C29010" s="5" t="s">
        <v>221</v>
      </c>
      <c r="D29010" s="3" t="s">
        <v>614</v>
      </c>
      <c r="E29010" s="3" t="s">
        <v>118</v>
      </c>
      <c r="F29010" s="7">
        <v>46303.774305555555</v>
      </c>
      <c r="G29010" s="3" t="s">
        <v>19478</v>
      </c>
    </row>
    <row r="29011">
      <c r="A29011" s="3" t="s">
        <v>45513</v>
      </c>
      <c r="B29011" s="3" t="s">
        <v>23116</v>
      </c>
      <c r="C29011" s="5" t="s">
        <v>614</v>
      </c>
      <c r="D29011" s="3" t="s">
        <v>206</v>
      </c>
      <c r="E29011" s="3" t="s">
        <v>100</v>
      </c>
      <c r="F29011" s="7">
        <v>46303.77777777778</v>
      </c>
      <c r="G29011" s="3" t="s">
        <v>19481</v>
      </c>
    </row>
    <row r="29012">
      <c r="A29012" s="3" t="s">
        <v>45514</v>
      </c>
      <c r="B29012" s="3" t="s">
        <v>23118</v>
      </c>
      <c r="C29012" s="5" t="s">
        <v>45</v>
      </c>
      <c r="D29012" s="3" t="s">
        <v>221</v>
      </c>
      <c r="E29012" s="3" t="s">
        <v>763</v>
      </c>
      <c r="F29012" s="7">
        <v>46303.791666666664</v>
      </c>
      <c r="G29012" s="3" t="s">
        <v>2770</v>
      </c>
    </row>
    <row r="29013">
      <c r="A29013" s="3" t="s">
        <v>45515</v>
      </c>
      <c r="B29013" s="3" t="s">
        <v>23120</v>
      </c>
      <c r="C29013" s="5" t="s">
        <v>45</v>
      </c>
      <c r="D29013" s="3" t="s">
        <v>221</v>
      </c>
      <c r="E29013" s="3" t="s">
        <v>650</v>
      </c>
      <c r="F29013" s="7">
        <v>46303.81249999999</v>
      </c>
      <c r="G29013" s="3" t="s">
        <v>4922</v>
      </c>
    </row>
    <row r="29014">
      <c r="A29014" s="3" t="s">
        <v>45516</v>
      </c>
      <c r="B29014" s="3" t="s">
        <v>23120</v>
      </c>
      <c r="C29014" s="5" t="s">
        <v>221</v>
      </c>
      <c r="D29014" s="3" t="s">
        <v>614</v>
      </c>
      <c r="E29014" s="3" t="s">
        <v>118</v>
      </c>
      <c r="F29014" s="7">
        <v>46303.81597222221</v>
      </c>
      <c r="G29014" s="3" t="s">
        <v>4925</v>
      </c>
    </row>
    <row r="29015">
      <c r="A29015" s="3" t="s">
        <v>45517</v>
      </c>
      <c r="B29015" s="3" t="s">
        <v>23120</v>
      </c>
      <c r="C29015" s="5" t="s">
        <v>614</v>
      </c>
      <c r="D29015" s="3" t="s">
        <v>206</v>
      </c>
      <c r="E29015" s="3" t="s">
        <v>100</v>
      </c>
      <c r="F29015" s="7">
        <v>46303.81944444444</v>
      </c>
      <c r="G29015" s="3" t="s">
        <v>4928</v>
      </c>
    </row>
    <row r="29016">
      <c r="A29016" s="3" t="s">
        <v>45518</v>
      </c>
      <c r="B29016" s="3" t="s">
        <v>23122</v>
      </c>
      <c r="C29016" s="5" t="s">
        <v>45</v>
      </c>
      <c r="D29016" s="3" t="s">
        <v>221</v>
      </c>
      <c r="E29016" s="3" t="s">
        <v>830</v>
      </c>
      <c r="F29016" s="7">
        <v>46303.833333333336</v>
      </c>
      <c r="G29016" s="3" t="s">
        <v>2770</v>
      </c>
    </row>
    <row r="29017">
      <c r="A29017" s="3" t="s">
        <v>45519</v>
      </c>
      <c r="B29017" s="3" t="s">
        <v>23124</v>
      </c>
      <c r="C29017" s="5" t="s">
        <v>45</v>
      </c>
      <c r="D29017" s="3" t="s">
        <v>221</v>
      </c>
      <c r="E29017" s="3" t="s">
        <v>550</v>
      </c>
      <c r="F29017" s="7">
        <v>46303.854166666664</v>
      </c>
      <c r="G29017" s="3" t="s">
        <v>2770</v>
      </c>
    </row>
    <row r="29018">
      <c r="A29018" s="3" t="s">
        <v>45520</v>
      </c>
      <c r="B29018" s="3" t="s">
        <v>23124</v>
      </c>
      <c r="C29018" s="5" t="s">
        <v>221</v>
      </c>
      <c r="D29018" s="3" t="s">
        <v>614</v>
      </c>
      <c r="E29018" s="3" t="s">
        <v>118</v>
      </c>
      <c r="F29018" s="7">
        <v>46303.85763888888</v>
      </c>
      <c r="G29018" s="3" t="s">
        <v>45491</v>
      </c>
    </row>
    <row r="29019">
      <c r="A29019" s="3" t="s">
        <v>45521</v>
      </c>
      <c r="B29019" s="3" t="s">
        <v>23124</v>
      </c>
      <c r="C29019" s="5" t="s">
        <v>614</v>
      </c>
      <c r="D29019" s="3" t="s">
        <v>206</v>
      </c>
      <c r="E29019" s="3" t="s">
        <v>100</v>
      </c>
      <c r="F29019" s="7">
        <v>46303.86111111111</v>
      </c>
      <c r="G29019" s="3" t="s">
        <v>45493</v>
      </c>
    </row>
    <row r="29020">
      <c r="A29020" s="3" t="s">
        <v>45522</v>
      </c>
      <c r="B29020" s="3" t="s">
        <v>23126</v>
      </c>
      <c r="C29020" s="5" t="s">
        <v>45</v>
      </c>
      <c r="D29020" s="3" t="s">
        <v>221</v>
      </c>
      <c r="E29020" s="3" t="s">
        <v>348</v>
      </c>
      <c r="F29020" s="7">
        <v>46303.87499999999</v>
      </c>
      <c r="G29020" s="3" t="s">
        <v>2770</v>
      </c>
    </row>
    <row r="29021">
      <c r="A29021" s="3" t="s">
        <v>45523</v>
      </c>
      <c r="B29021" s="3" t="s">
        <v>23128</v>
      </c>
      <c r="C29021" s="5" t="s">
        <v>45</v>
      </c>
      <c r="D29021" s="3" t="s">
        <v>221</v>
      </c>
      <c r="E29021" s="3" t="s">
        <v>260</v>
      </c>
      <c r="F29021" s="7">
        <v>46303.895833333336</v>
      </c>
      <c r="G29021" s="3" t="s">
        <v>8627</v>
      </c>
    </row>
    <row r="29022">
      <c r="A29022" s="3" t="s">
        <v>45524</v>
      </c>
      <c r="B29022" s="3" t="s">
        <v>23128</v>
      </c>
      <c r="C29022" s="5" t="s">
        <v>221</v>
      </c>
      <c r="D29022" s="3" t="s">
        <v>614</v>
      </c>
      <c r="E29022" s="3" t="s">
        <v>118</v>
      </c>
      <c r="F29022" s="7">
        <v>46303.899305555555</v>
      </c>
      <c r="G29022" s="3" t="s">
        <v>8630</v>
      </c>
    </row>
    <row r="29023">
      <c r="A29023" s="3" t="s">
        <v>45525</v>
      </c>
      <c r="B29023" s="3" t="s">
        <v>23128</v>
      </c>
      <c r="C29023" s="5" t="s">
        <v>614</v>
      </c>
      <c r="D29023" s="3" t="s">
        <v>206</v>
      </c>
      <c r="E29023" s="3" t="s">
        <v>100</v>
      </c>
      <c r="F29023" s="7">
        <v>46303.90277777778</v>
      </c>
      <c r="G29023" s="3" t="s">
        <v>8633</v>
      </c>
    </row>
    <row r="29024">
      <c r="A29024" s="3" t="s">
        <v>45526</v>
      </c>
      <c r="B29024" s="3" t="s">
        <v>23130</v>
      </c>
      <c r="C29024" s="5" t="s">
        <v>45</v>
      </c>
      <c r="D29024" s="3" t="s">
        <v>221</v>
      </c>
      <c r="E29024" s="3" t="s">
        <v>811</v>
      </c>
      <c r="F29024" s="7">
        <v>46303.916666666664</v>
      </c>
      <c r="G29024" s="3" t="s">
        <v>18792</v>
      </c>
    </row>
    <row r="29025">
      <c r="A29025" s="3" t="s">
        <v>45527</v>
      </c>
      <c r="B29025" s="3" t="s">
        <v>23133</v>
      </c>
      <c r="C29025" s="5" t="s">
        <v>45</v>
      </c>
      <c r="D29025" s="3" t="s">
        <v>221</v>
      </c>
      <c r="E29025" s="3" t="s">
        <v>208</v>
      </c>
      <c r="F29025" s="7">
        <v>46303.93749999999</v>
      </c>
      <c r="G29025" s="3" t="s">
        <v>2770</v>
      </c>
    </row>
    <row r="29026">
      <c r="A29026" s="3" t="s">
        <v>45528</v>
      </c>
      <c r="B29026" s="3" t="s">
        <v>23133</v>
      </c>
      <c r="C29026" s="5" t="s">
        <v>221</v>
      </c>
      <c r="D29026" s="3" t="s">
        <v>614</v>
      </c>
      <c r="E29026" s="3" t="s">
        <v>118</v>
      </c>
      <c r="F29026" s="7">
        <v>46303.94097222221</v>
      </c>
      <c r="G29026" s="3" t="s">
        <v>45491</v>
      </c>
    </row>
    <row r="29027">
      <c r="A29027" s="3" t="s">
        <v>45529</v>
      </c>
      <c r="B29027" s="3" t="s">
        <v>23133</v>
      </c>
      <c r="C29027" s="5" t="s">
        <v>614</v>
      </c>
      <c r="D29027" s="3" t="s">
        <v>206</v>
      </c>
      <c r="E29027" s="3" t="s">
        <v>100</v>
      </c>
      <c r="F29027" s="7">
        <v>46303.94444444444</v>
      </c>
      <c r="G29027" s="3" t="s">
        <v>45493</v>
      </c>
    </row>
    <row r="29028">
      <c r="A29028" s="3" t="s">
        <v>45530</v>
      </c>
      <c r="B29028" s="3" t="s">
        <v>23135</v>
      </c>
      <c r="C29028" s="5" t="s">
        <v>45</v>
      </c>
      <c r="D29028" s="3" t="s">
        <v>221</v>
      </c>
      <c r="E29028" s="3" t="s">
        <v>510</v>
      </c>
      <c r="F29028" s="7">
        <v>46303.958333333336</v>
      </c>
      <c r="G29028" s="3" t="s">
        <v>9020</v>
      </c>
    </row>
    <row r="29029">
      <c r="A29029" s="3" t="s">
        <v>45531</v>
      </c>
      <c r="B29029" s="3" t="s">
        <v>23137</v>
      </c>
      <c r="C29029" s="5" t="s">
        <v>45</v>
      </c>
      <c r="D29029" s="3" t="s">
        <v>221</v>
      </c>
      <c r="E29029" s="3" t="s">
        <v>586</v>
      </c>
      <c r="F29029" s="7">
        <v>46303.979166666664</v>
      </c>
      <c r="G29029" s="3" t="s">
        <v>5043</v>
      </c>
    </row>
    <row r="29030">
      <c r="A29030" s="3" t="s">
        <v>45532</v>
      </c>
      <c r="B29030" s="3" t="s">
        <v>23137</v>
      </c>
      <c r="C29030" s="5" t="s">
        <v>221</v>
      </c>
      <c r="D29030" s="3" t="s">
        <v>614</v>
      </c>
      <c r="E29030" s="3" t="s">
        <v>118</v>
      </c>
      <c r="F29030" s="7">
        <v>46303.98263888888</v>
      </c>
      <c r="G29030" s="3" t="s">
        <v>5046</v>
      </c>
    </row>
    <row r="29031">
      <c r="A29031" s="3" t="s">
        <v>45533</v>
      </c>
      <c r="B29031" s="3" t="s">
        <v>23137</v>
      </c>
      <c r="C29031" s="5" t="s">
        <v>614</v>
      </c>
      <c r="D29031" s="3" t="s">
        <v>206</v>
      </c>
      <c r="E29031" s="3" t="s">
        <v>100</v>
      </c>
      <c r="F29031" s="7">
        <v>46303.98611111111</v>
      </c>
      <c r="G29031" s="3" t="s">
        <v>5049</v>
      </c>
    </row>
    <row r="29032">
      <c r="A29032" s="3" t="s">
        <v>45534</v>
      </c>
      <c r="B29032" s="3" t="s">
        <v>23139</v>
      </c>
      <c r="C29032" s="5" t="s">
        <v>45</v>
      </c>
      <c r="D29032" s="3" t="s">
        <v>221</v>
      </c>
      <c r="E29032" s="3" t="s">
        <v>475</v>
      </c>
      <c r="F29032" s="7">
        <v>46303.99999999999</v>
      </c>
      <c r="G29032" s="3" t="s">
        <v>2770</v>
      </c>
    </row>
    <row r="29033">
      <c r="A29033" s="3" t="s">
        <v>45535</v>
      </c>
      <c r="B29033" s="3" t="s">
        <v>23141</v>
      </c>
      <c r="C29033" s="5" t="s">
        <v>45</v>
      </c>
      <c r="D29033" s="3" t="s">
        <v>221</v>
      </c>
      <c r="E29033" s="3" t="s">
        <v>348</v>
      </c>
      <c r="F29033" s="7">
        <v>46304.020833333336</v>
      </c>
      <c r="G29033" s="3" t="s">
        <v>2770</v>
      </c>
    </row>
    <row r="29034">
      <c r="A29034" s="3" t="s">
        <v>45536</v>
      </c>
      <c r="B29034" s="3" t="s">
        <v>23141</v>
      </c>
      <c r="C29034" s="5" t="s">
        <v>221</v>
      </c>
      <c r="D29034" s="3" t="s">
        <v>614</v>
      </c>
      <c r="E29034" s="3" t="s">
        <v>118</v>
      </c>
      <c r="F29034" s="7">
        <v>46304.024305555555</v>
      </c>
      <c r="G29034" s="3" t="s">
        <v>45491</v>
      </c>
    </row>
    <row r="29035">
      <c r="A29035" s="3" t="s">
        <v>45537</v>
      </c>
      <c r="B29035" s="3" t="s">
        <v>23141</v>
      </c>
      <c r="C29035" s="5" t="s">
        <v>614</v>
      </c>
      <c r="D29035" s="3" t="s">
        <v>206</v>
      </c>
      <c r="E29035" s="3" t="s">
        <v>100</v>
      </c>
      <c r="F29035" s="7">
        <v>46304.02777777778</v>
      </c>
      <c r="G29035" s="3" t="s">
        <v>45493</v>
      </c>
    </row>
    <row r="29036">
      <c r="A29036" s="3" t="s">
        <v>45538</v>
      </c>
      <c r="B29036" s="3" t="s">
        <v>23143</v>
      </c>
      <c r="C29036" s="5" t="s">
        <v>45</v>
      </c>
      <c r="D29036" s="3" t="s">
        <v>221</v>
      </c>
      <c r="E29036" s="3" t="s">
        <v>391</v>
      </c>
      <c r="F29036" s="7">
        <v>46304.041666666664</v>
      </c>
      <c r="G29036" s="3" t="s">
        <v>21020</v>
      </c>
    </row>
    <row r="29037">
      <c r="A29037" s="3" t="s">
        <v>45539</v>
      </c>
      <c r="B29037" s="3" t="s">
        <v>23145</v>
      </c>
      <c r="C29037" s="5" t="s">
        <v>45</v>
      </c>
      <c r="D29037" s="3" t="s">
        <v>221</v>
      </c>
      <c r="E29037" s="3" t="s">
        <v>493</v>
      </c>
      <c r="F29037" s="7">
        <v>46304.06249999999</v>
      </c>
      <c r="G29037" s="3" t="s">
        <v>22947</v>
      </c>
    </row>
    <row r="29038">
      <c r="A29038" s="3" t="s">
        <v>45540</v>
      </c>
      <c r="B29038" s="3" t="s">
        <v>23145</v>
      </c>
      <c r="C29038" s="5" t="s">
        <v>221</v>
      </c>
      <c r="D29038" s="3" t="s">
        <v>614</v>
      </c>
      <c r="E29038" s="3" t="s">
        <v>118</v>
      </c>
      <c r="F29038" s="7">
        <v>46304.06597222221</v>
      </c>
      <c r="G29038" s="3" t="s">
        <v>22950</v>
      </c>
    </row>
    <row r="29039">
      <c r="A29039" s="3" t="s">
        <v>45541</v>
      </c>
      <c r="B29039" s="3" t="s">
        <v>23145</v>
      </c>
      <c r="C29039" s="5" t="s">
        <v>614</v>
      </c>
      <c r="D29039" s="3" t="s">
        <v>206</v>
      </c>
      <c r="E29039" s="3" t="s">
        <v>100</v>
      </c>
      <c r="F29039" s="7">
        <v>46304.06944444444</v>
      </c>
      <c r="G29039" s="3" t="s">
        <v>22953</v>
      </c>
    </row>
    <row r="29040">
      <c r="A29040" s="3" t="s">
        <v>45542</v>
      </c>
      <c r="B29040" s="3" t="s">
        <v>23147</v>
      </c>
      <c r="C29040" s="5" t="s">
        <v>45</v>
      </c>
      <c r="D29040" s="3" t="s">
        <v>221</v>
      </c>
      <c r="E29040" s="3" t="s">
        <v>442</v>
      </c>
      <c r="F29040" s="7">
        <v>46304.083333333336</v>
      </c>
      <c r="G29040" s="3" t="s">
        <v>2770</v>
      </c>
    </row>
    <row r="29041">
      <c r="A29041" s="3" t="s">
        <v>45543</v>
      </c>
      <c r="B29041" s="3" t="s">
        <v>23149</v>
      </c>
      <c r="C29041" s="5" t="s">
        <v>45</v>
      </c>
      <c r="D29041" s="3" t="s">
        <v>221</v>
      </c>
      <c r="E29041" s="3" t="s">
        <v>197</v>
      </c>
      <c r="F29041" s="7">
        <v>46304.104166666664</v>
      </c>
      <c r="G29041" s="3" t="s">
        <v>21088</v>
      </c>
    </row>
    <row r="29042">
      <c r="A29042" s="3" t="s">
        <v>45544</v>
      </c>
      <c r="B29042" s="3" t="s">
        <v>23149</v>
      </c>
      <c r="C29042" s="5" t="s">
        <v>221</v>
      </c>
      <c r="D29042" s="3" t="s">
        <v>614</v>
      </c>
      <c r="E29042" s="3" t="s">
        <v>118</v>
      </c>
      <c r="F29042" s="7">
        <v>46304.10763888888</v>
      </c>
      <c r="G29042" s="3" t="s">
        <v>21529</v>
      </c>
    </row>
    <row r="29043">
      <c r="A29043" s="3" t="s">
        <v>45545</v>
      </c>
      <c r="B29043" s="3" t="s">
        <v>23149</v>
      </c>
      <c r="C29043" s="5" t="s">
        <v>614</v>
      </c>
      <c r="D29043" s="3" t="s">
        <v>206</v>
      </c>
      <c r="E29043" s="3" t="s">
        <v>100</v>
      </c>
      <c r="F29043" s="7">
        <v>46304.11111111111</v>
      </c>
      <c r="G29043" s="3" t="s">
        <v>21532</v>
      </c>
    </row>
    <row r="29044">
      <c r="A29044" s="3" t="s">
        <v>45546</v>
      </c>
      <c r="B29044" s="3" t="s">
        <v>23152</v>
      </c>
      <c r="C29044" s="5" t="s">
        <v>45</v>
      </c>
      <c r="D29044" s="3" t="s">
        <v>221</v>
      </c>
      <c r="E29044" s="3" t="s">
        <v>845</v>
      </c>
      <c r="F29044" s="7">
        <v>46304.12499999999</v>
      </c>
      <c r="G29044" s="3" t="s">
        <v>2770</v>
      </c>
    </row>
    <row r="29045">
      <c r="A29045" s="3" t="s">
        <v>45547</v>
      </c>
      <c r="B29045" s="3" t="s">
        <v>23156</v>
      </c>
      <c r="C29045" s="5" t="s">
        <v>45</v>
      </c>
      <c r="D29045" s="3" t="s">
        <v>221</v>
      </c>
      <c r="E29045" s="3" t="s">
        <v>710</v>
      </c>
      <c r="F29045" s="7">
        <v>46304.145833333336</v>
      </c>
      <c r="G29045" s="3" t="s">
        <v>14280</v>
      </c>
    </row>
    <row r="29046">
      <c r="A29046" s="3" t="s">
        <v>45548</v>
      </c>
      <c r="B29046" s="3" t="s">
        <v>23156</v>
      </c>
      <c r="C29046" s="5" t="s">
        <v>221</v>
      </c>
      <c r="D29046" s="3" t="s">
        <v>614</v>
      </c>
      <c r="E29046" s="3" t="s">
        <v>118</v>
      </c>
      <c r="F29046" s="7">
        <v>46304.149305555555</v>
      </c>
      <c r="G29046" s="3" t="s">
        <v>14283</v>
      </c>
    </row>
    <row r="29047">
      <c r="A29047" s="3" t="s">
        <v>45549</v>
      </c>
      <c r="B29047" s="3" t="s">
        <v>23156</v>
      </c>
      <c r="C29047" s="5" t="s">
        <v>614</v>
      </c>
      <c r="D29047" s="3" t="s">
        <v>206</v>
      </c>
      <c r="E29047" s="3" t="s">
        <v>100</v>
      </c>
      <c r="F29047" s="7">
        <v>46304.15277777778</v>
      </c>
      <c r="G29047" s="3" t="s">
        <v>14286</v>
      </c>
    </row>
    <row r="29048">
      <c r="A29048" s="3" t="s">
        <v>45550</v>
      </c>
      <c r="B29048" s="3" t="s">
        <v>23159</v>
      </c>
      <c r="C29048" s="5" t="s">
        <v>45</v>
      </c>
      <c r="D29048" s="3" t="s">
        <v>221</v>
      </c>
      <c r="E29048" s="3" t="s">
        <v>785</v>
      </c>
      <c r="F29048" s="7">
        <v>46304.166666666664</v>
      </c>
      <c r="G29048" s="3" t="s">
        <v>26136</v>
      </c>
    </row>
    <row r="29049">
      <c r="A29049" s="3" t="s">
        <v>45551</v>
      </c>
      <c r="B29049" s="3" t="s">
        <v>23161</v>
      </c>
      <c r="C29049" s="5" t="s">
        <v>45</v>
      </c>
      <c r="D29049" s="3" t="s">
        <v>221</v>
      </c>
      <c r="E29049" s="3" t="s">
        <v>987</v>
      </c>
      <c r="F29049" s="7">
        <v>46304.18749999999</v>
      </c>
      <c r="G29049" s="3" t="s">
        <v>11180</v>
      </c>
    </row>
    <row r="29050">
      <c r="A29050" s="3" t="s">
        <v>45552</v>
      </c>
      <c r="B29050" s="3" t="s">
        <v>23161</v>
      </c>
      <c r="C29050" s="5" t="s">
        <v>221</v>
      </c>
      <c r="D29050" s="3" t="s">
        <v>614</v>
      </c>
      <c r="E29050" s="3" t="s">
        <v>118</v>
      </c>
      <c r="F29050" s="7">
        <v>46304.19097222221</v>
      </c>
      <c r="G29050" s="3" t="s">
        <v>11183</v>
      </c>
    </row>
    <row r="29051">
      <c r="A29051" s="3" t="s">
        <v>45553</v>
      </c>
      <c r="B29051" s="3" t="s">
        <v>23161</v>
      </c>
      <c r="C29051" s="5" t="s">
        <v>614</v>
      </c>
      <c r="D29051" s="3" t="s">
        <v>206</v>
      </c>
      <c r="E29051" s="3" t="s">
        <v>100</v>
      </c>
      <c r="F29051" s="7">
        <v>46304.19444444444</v>
      </c>
      <c r="G29051" s="3" t="s">
        <v>11186</v>
      </c>
    </row>
    <row r="29052">
      <c r="A29052" s="3" t="s">
        <v>45554</v>
      </c>
      <c r="B29052" s="3" t="s">
        <v>23163</v>
      </c>
      <c r="C29052" s="5" t="s">
        <v>45</v>
      </c>
      <c r="D29052" s="3" t="s">
        <v>221</v>
      </c>
      <c r="E29052" s="3" t="s">
        <v>645</v>
      </c>
      <c r="F29052" s="7">
        <v>46304.208333333336</v>
      </c>
      <c r="G29052" s="3" t="s">
        <v>4539</v>
      </c>
    </row>
    <row r="29053">
      <c r="A29053" s="3" t="s">
        <v>45555</v>
      </c>
      <c r="B29053" s="3" t="s">
        <v>23165</v>
      </c>
      <c r="C29053" s="5" t="s">
        <v>45</v>
      </c>
      <c r="D29053" s="3" t="s">
        <v>221</v>
      </c>
      <c r="E29053" s="3" t="s">
        <v>1026</v>
      </c>
      <c r="F29053" s="7">
        <v>46304.229166666664</v>
      </c>
      <c r="G29053" s="3" t="s">
        <v>14549</v>
      </c>
    </row>
    <row r="29054">
      <c r="A29054" s="3" t="s">
        <v>45556</v>
      </c>
      <c r="B29054" s="3" t="s">
        <v>23165</v>
      </c>
      <c r="C29054" s="5" t="s">
        <v>221</v>
      </c>
      <c r="D29054" s="3" t="s">
        <v>614</v>
      </c>
      <c r="E29054" s="3" t="s">
        <v>118</v>
      </c>
      <c r="F29054" s="7">
        <v>46304.23263888888</v>
      </c>
      <c r="G29054" s="3" t="s">
        <v>14552</v>
      </c>
    </row>
    <row r="29055">
      <c r="A29055" s="3" t="s">
        <v>45557</v>
      </c>
      <c r="B29055" s="3" t="s">
        <v>23165</v>
      </c>
      <c r="C29055" s="5" t="s">
        <v>614</v>
      </c>
      <c r="D29055" s="3" t="s">
        <v>206</v>
      </c>
      <c r="E29055" s="3" t="s">
        <v>100</v>
      </c>
      <c r="F29055" s="7">
        <v>46304.23611111111</v>
      </c>
      <c r="G29055" s="3" t="s">
        <v>14555</v>
      </c>
    </row>
    <row r="29056">
      <c r="A29056" s="3" t="s">
        <v>45558</v>
      </c>
      <c r="B29056" s="3" t="s">
        <v>23168</v>
      </c>
      <c r="C29056" s="5" t="s">
        <v>45</v>
      </c>
      <c r="D29056" s="3" t="s">
        <v>221</v>
      </c>
      <c r="E29056" s="3" t="s">
        <v>746</v>
      </c>
      <c r="F29056" s="7">
        <v>46304.24999999999</v>
      </c>
      <c r="G29056" s="3" t="s">
        <v>7488</v>
      </c>
    </row>
    <row r="29057">
      <c r="A29057" s="3" t="s">
        <v>45559</v>
      </c>
      <c r="B29057" s="3" t="s">
        <v>23170</v>
      </c>
      <c r="C29057" s="5" t="s">
        <v>45</v>
      </c>
      <c r="D29057" s="3" t="s">
        <v>221</v>
      </c>
      <c r="E29057" s="3" t="s">
        <v>1040</v>
      </c>
      <c r="F29057" s="7">
        <v>46304.270833333336</v>
      </c>
      <c r="G29057" s="3" t="s">
        <v>16619</v>
      </c>
    </row>
    <row r="29058">
      <c r="A29058" s="3" t="s">
        <v>45560</v>
      </c>
      <c r="B29058" s="3" t="s">
        <v>23170</v>
      </c>
      <c r="C29058" s="5" t="s">
        <v>221</v>
      </c>
      <c r="D29058" s="3" t="s">
        <v>614</v>
      </c>
      <c r="E29058" s="3" t="s">
        <v>118</v>
      </c>
      <c r="F29058" s="7">
        <v>46304.274305555555</v>
      </c>
      <c r="G29058" s="3" t="s">
        <v>16622</v>
      </c>
    </row>
    <row r="29059">
      <c r="A29059" s="3" t="s">
        <v>45561</v>
      </c>
      <c r="B29059" s="3" t="s">
        <v>23170</v>
      </c>
      <c r="C29059" s="5" t="s">
        <v>614</v>
      </c>
      <c r="D29059" s="3" t="s">
        <v>206</v>
      </c>
      <c r="E29059" s="3" t="s">
        <v>100</v>
      </c>
      <c r="F29059" s="7">
        <v>46304.27777777778</v>
      </c>
      <c r="G29059" s="3" t="s">
        <v>16625</v>
      </c>
    </row>
    <row r="29060">
      <c r="A29060" s="3" t="s">
        <v>45562</v>
      </c>
      <c r="B29060" s="3" t="s">
        <v>23173</v>
      </c>
      <c r="C29060" s="5" t="s">
        <v>45</v>
      </c>
      <c r="D29060" s="3" t="s">
        <v>221</v>
      </c>
      <c r="E29060" s="3" t="s">
        <v>326</v>
      </c>
      <c r="F29060" s="7">
        <v>46304.291666666664</v>
      </c>
      <c r="G29060" s="3" t="s">
        <v>29889</v>
      </c>
    </row>
    <row r="29061">
      <c r="A29061" s="3" t="s">
        <v>45563</v>
      </c>
      <c r="B29061" s="3" t="s">
        <v>23177</v>
      </c>
      <c r="C29061" s="5" t="s">
        <v>45</v>
      </c>
      <c r="D29061" s="3" t="s">
        <v>221</v>
      </c>
      <c r="E29061" s="3" t="s">
        <v>781</v>
      </c>
      <c r="F29061" s="7">
        <v>46304.31249999999</v>
      </c>
      <c r="G29061" s="3" t="s">
        <v>18744</v>
      </c>
    </row>
    <row r="29062">
      <c r="A29062" s="3" t="s">
        <v>45564</v>
      </c>
      <c r="B29062" s="3" t="s">
        <v>23177</v>
      </c>
      <c r="C29062" s="5" t="s">
        <v>221</v>
      </c>
      <c r="D29062" s="3" t="s">
        <v>614</v>
      </c>
      <c r="E29062" s="3" t="s">
        <v>118</v>
      </c>
      <c r="F29062" s="7">
        <v>46304.31597222221</v>
      </c>
      <c r="G29062" s="3" t="s">
        <v>18747</v>
      </c>
    </row>
    <row r="29063">
      <c r="A29063" s="3" t="s">
        <v>45565</v>
      </c>
      <c r="B29063" s="3" t="s">
        <v>23177</v>
      </c>
      <c r="C29063" s="5" t="s">
        <v>614</v>
      </c>
      <c r="D29063" s="3" t="s">
        <v>206</v>
      </c>
      <c r="E29063" s="3" t="s">
        <v>100</v>
      </c>
      <c r="F29063" s="7">
        <v>46304.31944444444</v>
      </c>
      <c r="G29063" s="3" t="s">
        <v>18749</v>
      </c>
    </row>
    <row r="29064">
      <c r="A29064" s="3" t="s">
        <v>45566</v>
      </c>
      <c r="B29064" s="3" t="s">
        <v>23180</v>
      </c>
      <c r="C29064" s="5" t="s">
        <v>45</v>
      </c>
      <c r="D29064" s="3" t="s">
        <v>221</v>
      </c>
      <c r="E29064" s="3" t="s">
        <v>760</v>
      </c>
      <c r="F29064" s="7">
        <v>46304.333333333336</v>
      </c>
      <c r="G29064" s="3" t="s">
        <v>14062</v>
      </c>
    </row>
    <row r="29065">
      <c r="A29065" s="3" t="s">
        <v>45567</v>
      </c>
      <c r="B29065" s="3" t="s">
        <v>23183</v>
      </c>
      <c r="C29065" s="5" t="s">
        <v>45</v>
      </c>
      <c r="D29065" s="3" t="s">
        <v>221</v>
      </c>
      <c r="E29065" s="3" t="s">
        <v>472</v>
      </c>
      <c r="F29065" s="7">
        <v>46304.354166666664</v>
      </c>
      <c r="G29065" s="3" t="s">
        <v>2770</v>
      </c>
    </row>
    <row r="29066">
      <c r="A29066" s="3" t="s">
        <v>45568</v>
      </c>
      <c r="B29066" s="3" t="s">
        <v>23183</v>
      </c>
      <c r="C29066" s="5" t="s">
        <v>221</v>
      </c>
      <c r="D29066" s="3" t="s">
        <v>614</v>
      </c>
      <c r="E29066" s="3" t="s">
        <v>118</v>
      </c>
      <c r="F29066" s="7">
        <v>46304.35763888888</v>
      </c>
      <c r="G29066" s="3" t="s">
        <v>45491</v>
      </c>
    </row>
    <row r="29067">
      <c r="A29067" s="3" t="s">
        <v>45569</v>
      </c>
      <c r="B29067" s="3" t="s">
        <v>23183</v>
      </c>
      <c r="C29067" s="5" t="s">
        <v>614</v>
      </c>
      <c r="D29067" s="3" t="s">
        <v>206</v>
      </c>
      <c r="E29067" s="3" t="s">
        <v>100</v>
      </c>
      <c r="F29067" s="7">
        <v>46304.36111111111</v>
      </c>
      <c r="G29067" s="3" t="s">
        <v>45493</v>
      </c>
    </row>
    <row r="29068">
      <c r="A29068" s="3" t="s">
        <v>45570</v>
      </c>
      <c r="B29068" s="3" t="s">
        <v>23186</v>
      </c>
      <c r="C29068" s="5" t="s">
        <v>45</v>
      </c>
      <c r="D29068" s="3" t="s">
        <v>221</v>
      </c>
      <c r="E29068" s="3" t="s">
        <v>226</v>
      </c>
      <c r="F29068" s="7">
        <v>46304.37499999999</v>
      </c>
      <c r="G29068" s="3" t="s">
        <v>6667</v>
      </c>
    </row>
    <row r="29069">
      <c r="A29069" s="3" t="s">
        <v>45571</v>
      </c>
      <c r="B29069" s="3" t="s">
        <v>23188</v>
      </c>
      <c r="C29069" s="5" t="s">
        <v>45</v>
      </c>
      <c r="D29069" s="3" t="s">
        <v>221</v>
      </c>
      <c r="E29069" s="3" t="s">
        <v>544</v>
      </c>
      <c r="F29069" s="7">
        <v>46304.395833333336</v>
      </c>
      <c r="G29069" s="3" t="s">
        <v>25016</v>
      </c>
    </row>
    <row r="29070">
      <c r="A29070" s="3" t="s">
        <v>45572</v>
      </c>
      <c r="B29070" s="3" t="s">
        <v>23188</v>
      </c>
      <c r="C29070" s="5" t="s">
        <v>221</v>
      </c>
      <c r="D29070" s="3" t="s">
        <v>614</v>
      </c>
      <c r="E29070" s="3" t="s">
        <v>118</v>
      </c>
      <c r="F29070" s="7">
        <v>46304.399305555555</v>
      </c>
      <c r="G29070" s="3" t="s">
        <v>25247</v>
      </c>
    </row>
    <row r="29071">
      <c r="A29071" s="3" t="s">
        <v>45573</v>
      </c>
      <c r="B29071" s="3" t="s">
        <v>23188</v>
      </c>
      <c r="C29071" s="5" t="s">
        <v>614</v>
      </c>
      <c r="D29071" s="3" t="s">
        <v>206</v>
      </c>
      <c r="E29071" s="3" t="s">
        <v>100</v>
      </c>
      <c r="F29071" s="7">
        <v>46304.40277777778</v>
      </c>
      <c r="G29071" s="3" t="s">
        <v>25249</v>
      </c>
    </row>
    <row r="29072">
      <c r="A29072" s="3" t="s">
        <v>45574</v>
      </c>
      <c r="B29072" s="3" t="s">
        <v>23190</v>
      </c>
      <c r="C29072" s="5" t="s">
        <v>45</v>
      </c>
      <c r="D29072" s="3" t="s">
        <v>221</v>
      </c>
      <c r="E29072" s="3" t="s">
        <v>313</v>
      </c>
      <c r="F29072" s="7">
        <v>46304.416666666664</v>
      </c>
      <c r="G29072" s="3" t="s">
        <v>5314</v>
      </c>
    </row>
    <row r="29073">
      <c r="A29073" s="3" t="s">
        <v>45575</v>
      </c>
      <c r="B29073" s="3" t="s">
        <v>23193</v>
      </c>
      <c r="C29073" s="5" t="s">
        <v>45</v>
      </c>
      <c r="D29073" s="3" t="s">
        <v>221</v>
      </c>
      <c r="E29073" s="3" t="s">
        <v>539</v>
      </c>
      <c r="F29073" s="7">
        <v>46304.43749999999</v>
      </c>
      <c r="G29073" s="3" t="s">
        <v>10291</v>
      </c>
    </row>
    <row r="29074">
      <c r="A29074" s="3" t="s">
        <v>45576</v>
      </c>
      <c r="B29074" s="3" t="s">
        <v>23193</v>
      </c>
      <c r="C29074" s="5" t="s">
        <v>221</v>
      </c>
      <c r="D29074" s="3" t="s">
        <v>614</v>
      </c>
      <c r="E29074" s="3" t="s">
        <v>118</v>
      </c>
      <c r="F29074" s="7">
        <v>46304.44097222221</v>
      </c>
      <c r="G29074" s="3" t="s">
        <v>10294</v>
      </c>
    </row>
    <row r="29075">
      <c r="A29075" s="3" t="s">
        <v>45577</v>
      </c>
      <c r="B29075" s="3" t="s">
        <v>23193</v>
      </c>
      <c r="C29075" s="5" t="s">
        <v>614</v>
      </c>
      <c r="D29075" s="3" t="s">
        <v>206</v>
      </c>
      <c r="E29075" s="3" t="s">
        <v>100</v>
      </c>
      <c r="F29075" s="7">
        <v>46304.44444444444</v>
      </c>
      <c r="G29075" s="3" t="s">
        <v>10296</v>
      </c>
    </row>
    <row r="29076">
      <c r="A29076" s="3" t="s">
        <v>45578</v>
      </c>
      <c r="B29076" s="3" t="s">
        <v>23195</v>
      </c>
      <c r="C29076" s="5" t="s">
        <v>45</v>
      </c>
      <c r="D29076" s="3" t="s">
        <v>221</v>
      </c>
      <c r="E29076" s="3" t="s">
        <v>280</v>
      </c>
      <c r="F29076" s="7">
        <v>46304.458333333336</v>
      </c>
      <c r="G29076" s="3" t="s">
        <v>2770</v>
      </c>
    </row>
    <row r="29077">
      <c r="A29077" s="3" t="s">
        <v>45579</v>
      </c>
      <c r="B29077" s="3" t="s">
        <v>23197</v>
      </c>
      <c r="C29077" s="5" t="s">
        <v>45</v>
      </c>
      <c r="D29077" s="3" t="s">
        <v>221</v>
      </c>
      <c r="E29077" s="3" t="s">
        <v>937</v>
      </c>
      <c r="F29077" s="7">
        <v>46304.479166666664</v>
      </c>
      <c r="G29077" s="3" t="s">
        <v>18553</v>
      </c>
    </row>
    <row r="29078">
      <c r="A29078" s="3" t="s">
        <v>45580</v>
      </c>
      <c r="B29078" s="3" t="s">
        <v>23197</v>
      </c>
      <c r="C29078" s="5" t="s">
        <v>221</v>
      </c>
      <c r="D29078" s="3" t="s">
        <v>614</v>
      </c>
      <c r="E29078" s="3" t="s">
        <v>118</v>
      </c>
      <c r="F29078" s="7">
        <v>46304.48263888888</v>
      </c>
      <c r="G29078" s="3" t="s">
        <v>18556</v>
      </c>
    </row>
    <row r="29079">
      <c r="A29079" s="3" t="s">
        <v>45581</v>
      </c>
      <c r="B29079" s="3" t="s">
        <v>23197</v>
      </c>
      <c r="C29079" s="5" t="s">
        <v>614</v>
      </c>
      <c r="D29079" s="3" t="s">
        <v>206</v>
      </c>
      <c r="E29079" s="3" t="s">
        <v>100</v>
      </c>
      <c r="F29079" s="7">
        <v>46304.48611111111</v>
      </c>
      <c r="G29079" s="3" t="s">
        <v>18559</v>
      </c>
    </row>
    <row r="29080">
      <c r="A29080" s="3" t="s">
        <v>45582</v>
      </c>
      <c r="B29080" s="3" t="s">
        <v>23199</v>
      </c>
      <c r="C29080" s="5" t="s">
        <v>45</v>
      </c>
      <c r="D29080" s="3" t="s">
        <v>221</v>
      </c>
      <c r="E29080" s="3" t="s">
        <v>1034</v>
      </c>
      <c r="F29080" s="7">
        <v>46304.49999999999</v>
      </c>
      <c r="G29080" s="3" t="s">
        <v>2770</v>
      </c>
    </row>
    <row r="29081">
      <c r="A29081" s="3" t="s">
        <v>45583</v>
      </c>
      <c r="B29081" s="3" t="s">
        <v>23201</v>
      </c>
      <c r="C29081" s="5" t="s">
        <v>45</v>
      </c>
      <c r="D29081" s="3" t="s">
        <v>221</v>
      </c>
      <c r="E29081" s="3" t="s">
        <v>643</v>
      </c>
      <c r="F29081" s="7">
        <v>46304.520833333336</v>
      </c>
      <c r="G29081" s="3" t="s">
        <v>11571</v>
      </c>
    </row>
    <row r="29082">
      <c r="A29082" s="3" t="s">
        <v>45584</v>
      </c>
      <c r="B29082" s="3" t="s">
        <v>23201</v>
      </c>
      <c r="C29082" s="5" t="s">
        <v>221</v>
      </c>
      <c r="D29082" s="3" t="s">
        <v>614</v>
      </c>
      <c r="E29082" s="3" t="s">
        <v>118</v>
      </c>
      <c r="F29082" s="7">
        <v>46304.524305555555</v>
      </c>
      <c r="G29082" s="3" t="s">
        <v>27354</v>
      </c>
    </row>
    <row r="29083">
      <c r="A29083" s="3" t="s">
        <v>45585</v>
      </c>
      <c r="B29083" s="3" t="s">
        <v>23201</v>
      </c>
      <c r="C29083" s="5" t="s">
        <v>614</v>
      </c>
      <c r="D29083" s="3" t="s">
        <v>206</v>
      </c>
      <c r="E29083" s="3" t="s">
        <v>100</v>
      </c>
      <c r="F29083" s="7">
        <v>46304.52777777778</v>
      </c>
      <c r="G29083" s="3" t="s">
        <v>27356</v>
      </c>
    </row>
    <row r="29084">
      <c r="A29084" s="3" t="s">
        <v>45586</v>
      </c>
      <c r="B29084" s="3" t="s">
        <v>23203</v>
      </c>
      <c r="C29084" s="5" t="s">
        <v>45</v>
      </c>
      <c r="D29084" s="3" t="s">
        <v>221</v>
      </c>
      <c r="E29084" s="3" t="s">
        <v>521</v>
      </c>
      <c r="F29084" s="7">
        <v>46304.541666666664</v>
      </c>
      <c r="G29084" s="3" t="s">
        <v>26583</v>
      </c>
    </row>
    <row r="29085">
      <c r="A29085" s="3" t="s">
        <v>45587</v>
      </c>
      <c r="B29085" s="3" t="s">
        <v>23205</v>
      </c>
      <c r="C29085" s="5" t="s">
        <v>45</v>
      </c>
      <c r="D29085" s="3" t="s">
        <v>221</v>
      </c>
      <c r="E29085" s="3" t="s">
        <v>657</v>
      </c>
      <c r="F29085" s="7">
        <v>46304.56249999999</v>
      </c>
      <c r="G29085" s="3" t="s">
        <v>21804</v>
      </c>
    </row>
    <row r="29086">
      <c r="A29086" s="3" t="s">
        <v>45588</v>
      </c>
      <c r="B29086" s="3" t="s">
        <v>23205</v>
      </c>
      <c r="C29086" s="5" t="s">
        <v>221</v>
      </c>
      <c r="D29086" s="3" t="s">
        <v>614</v>
      </c>
      <c r="E29086" s="3" t="s">
        <v>118</v>
      </c>
      <c r="F29086" s="7">
        <v>46304.56597222221</v>
      </c>
      <c r="G29086" s="3" t="s">
        <v>21807</v>
      </c>
    </row>
    <row r="29087">
      <c r="A29087" s="3" t="s">
        <v>45589</v>
      </c>
      <c r="B29087" s="3" t="s">
        <v>23205</v>
      </c>
      <c r="C29087" s="5" t="s">
        <v>614</v>
      </c>
      <c r="D29087" s="3" t="s">
        <v>206</v>
      </c>
      <c r="E29087" s="3" t="s">
        <v>100</v>
      </c>
      <c r="F29087" s="7">
        <v>46304.56944444444</v>
      </c>
      <c r="G29087" s="3" t="s">
        <v>21810</v>
      </c>
    </row>
    <row r="29088">
      <c r="A29088" s="3" t="s">
        <v>45590</v>
      </c>
      <c r="B29088" s="3" t="s">
        <v>23207</v>
      </c>
      <c r="C29088" s="5" t="s">
        <v>45</v>
      </c>
      <c r="D29088" s="3" t="s">
        <v>221</v>
      </c>
      <c r="E29088" s="3" t="s">
        <v>600</v>
      </c>
      <c r="F29088" s="7">
        <v>46304.583333333336</v>
      </c>
      <c r="G29088" s="3" t="s">
        <v>20187</v>
      </c>
    </row>
    <row r="29089">
      <c r="A29089" s="3" t="s">
        <v>45591</v>
      </c>
      <c r="B29089" s="3" t="s">
        <v>23209</v>
      </c>
      <c r="C29089" s="5" t="s">
        <v>45</v>
      </c>
      <c r="D29089" s="3" t="s">
        <v>221</v>
      </c>
      <c r="E29089" s="3" t="s">
        <v>990</v>
      </c>
      <c r="F29089" s="7">
        <v>46304.604166666664</v>
      </c>
      <c r="G29089" s="3" t="s">
        <v>2770</v>
      </c>
    </row>
    <row r="29090">
      <c r="A29090" s="3" t="s">
        <v>45592</v>
      </c>
      <c r="B29090" s="3" t="s">
        <v>23209</v>
      </c>
      <c r="C29090" s="5" t="s">
        <v>221</v>
      </c>
      <c r="D29090" s="3" t="s">
        <v>614</v>
      </c>
      <c r="E29090" s="3" t="s">
        <v>118</v>
      </c>
      <c r="F29090" s="7">
        <v>46304.60763888888</v>
      </c>
      <c r="G29090" s="3" t="s">
        <v>45491</v>
      </c>
    </row>
    <row r="29091">
      <c r="A29091" s="3" t="s">
        <v>45593</v>
      </c>
      <c r="B29091" s="3" t="s">
        <v>23209</v>
      </c>
      <c r="C29091" s="5" t="s">
        <v>614</v>
      </c>
      <c r="D29091" s="3" t="s">
        <v>206</v>
      </c>
      <c r="E29091" s="3" t="s">
        <v>100</v>
      </c>
      <c r="F29091" s="7">
        <v>46304.61111111111</v>
      </c>
      <c r="G29091" s="3" t="s">
        <v>45493</v>
      </c>
    </row>
    <row r="29092">
      <c r="A29092" s="3" t="s">
        <v>45594</v>
      </c>
      <c r="B29092" s="3" t="s">
        <v>23211</v>
      </c>
      <c r="C29092" s="5" t="s">
        <v>45</v>
      </c>
      <c r="D29092" s="3" t="s">
        <v>221</v>
      </c>
      <c r="E29092" s="3" t="s">
        <v>883</v>
      </c>
      <c r="F29092" s="7">
        <v>46304.62499999999</v>
      </c>
      <c r="G29092" s="3" t="s">
        <v>20609</v>
      </c>
    </row>
    <row r="29093">
      <c r="A29093" s="3" t="s">
        <v>45595</v>
      </c>
      <c r="B29093" s="3" t="s">
        <v>23213</v>
      </c>
      <c r="C29093" s="5" t="s">
        <v>45</v>
      </c>
      <c r="D29093" s="3" t="s">
        <v>221</v>
      </c>
      <c r="E29093" s="3" t="s">
        <v>619</v>
      </c>
      <c r="F29093" s="7">
        <v>46304.645833333336</v>
      </c>
      <c r="G29093" s="3" t="s">
        <v>9425</v>
      </c>
    </row>
    <row r="29094">
      <c r="A29094" s="3" t="s">
        <v>45596</v>
      </c>
      <c r="B29094" s="3" t="s">
        <v>23213</v>
      </c>
      <c r="C29094" s="5" t="s">
        <v>221</v>
      </c>
      <c r="D29094" s="3" t="s">
        <v>614</v>
      </c>
      <c r="E29094" s="3" t="s">
        <v>118</v>
      </c>
      <c r="F29094" s="7">
        <v>46304.649305555555</v>
      </c>
      <c r="G29094" s="3" t="s">
        <v>9428</v>
      </c>
    </row>
    <row r="29095">
      <c r="A29095" s="3" t="s">
        <v>45597</v>
      </c>
      <c r="B29095" s="3" t="s">
        <v>23213</v>
      </c>
      <c r="C29095" s="5" t="s">
        <v>614</v>
      </c>
      <c r="D29095" s="3" t="s">
        <v>206</v>
      </c>
      <c r="E29095" s="3" t="s">
        <v>100</v>
      </c>
      <c r="F29095" s="7">
        <v>46304.65277777778</v>
      </c>
      <c r="G29095" s="3" t="s">
        <v>9431</v>
      </c>
    </row>
    <row r="29096">
      <c r="A29096" s="3" t="s">
        <v>45598</v>
      </c>
      <c r="B29096" s="3" t="s">
        <v>23215</v>
      </c>
      <c r="C29096" s="5" t="s">
        <v>45</v>
      </c>
      <c r="D29096" s="3" t="s">
        <v>221</v>
      </c>
      <c r="E29096" s="3" t="s">
        <v>947</v>
      </c>
      <c r="F29096" s="7">
        <v>46304.666666666664</v>
      </c>
      <c r="G29096" s="3" t="s">
        <v>21444</v>
      </c>
    </row>
    <row r="29097">
      <c r="A29097" s="3" t="s">
        <v>45599</v>
      </c>
      <c r="B29097" s="3" t="s">
        <v>23217</v>
      </c>
      <c r="C29097" s="5" t="s">
        <v>45</v>
      </c>
      <c r="D29097" s="3" t="s">
        <v>221</v>
      </c>
      <c r="E29097" s="3" t="s">
        <v>137</v>
      </c>
      <c r="F29097" s="7">
        <v>46304.68749999999</v>
      </c>
      <c r="G29097" s="3" t="s">
        <v>2770</v>
      </c>
    </row>
    <row r="29098">
      <c r="A29098" s="3" t="s">
        <v>45600</v>
      </c>
      <c r="B29098" s="3" t="s">
        <v>23217</v>
      </c>
      <c r="C29098" s="5" t="s">
        <v>221</v>
      </c>
      <c r="D29098" s="3" t="s">
        <v>614</v>
      </c>
      <c r="E29098" s="3" t="s">
        <v>118</v>
      </c>
      <c r="F29098" s="7">
        <v>46304.69097222221</v>
      </c>
      <c r="G29098" s="3" t="s">
        <v>45491</v>
      </c>
    </row>
    <row r="29099">
      <c r="A29099" s="3" t="s">
        <v>45601</v>
      </c>
      <c r="B29099" s="3" t="s">
        <v>23217</v>
      </c>
      <c r="C29099" s="5" t="s">
        <v>614</v>
      </c>
      <c r="D29099" s="3" t="s">
        <v>206</v>
      </c>
      <c r="E29099" s="3" t="s">
        <v>100</v>
      </c>
      <c r="F29099" s="7">
        <v>46304.69444444444</v>
      </c>
      <c r="G29099" s="3" t="s">
        <v>45493</v>
      </c>
    </row>
    <row r="29100">
      <c r="A29100" s="3" t="s">
        <v>45602</v>
      </c>
      <c r="B29100" s="3" t="s">
        <v>23219</v>
      </c>
      <c r="C29100" s="5" t="s">
        <v>45</v>
      </c>
      <c r="D29100" s="3" t="s">
        <v>221</v>
      </c>
      <c r="E29100" s="3" t="s">
        <v>406</v>
      </c>
      <c r="F29100" s="7">
        <v>46304.708333333336</v>
      </c>
      <c r="G29100" s="3" t="s">
        <v>36248</v>
      </c>
    </row>
    <row r="29101">
      <c r="A29101" s="3" t="s">
        <v>45603</v>
      </c>
      <c r="B29101" s="3" t="s">
        <v>23221</v>
      </c>
      <c r="C29101" s="5" t="s">
        <v>45</v>
      </c>
      <c r="D29101" s="3" t="s">
        <v>221</v>
      </c>
      <c r="E29101" s="3" t="s">
        <v>559</v>
      </c>
      <c r="F29101" s="7">
        <v>46304.729166666664</v>
      </c>
      <c r="G29101" s="3" t="s">
        <v>4078</v>
      </c>
    </row>
    <row r="29102">
      <c r="A29102" s="3" t="s">
        <v>45604</v>
      </c>
      <c r="B29102" s="3" t="s">
        <v>23221</v>
      </c>
      <c r="C29102" s="5" t="s">
        <v>221</v>
      </c>
      <c r="D29102" s="3" t="s">
        <v>614</v>
      </c>
      <c r="E29102" s="3" t="s">
        <v>118</v>
      </c>
      <c r="F29102" s="7">
        <v>46304.73263888888</v>
      </c>
      <c r="G29102" s="3" t="s">
        <v>4080</v>
      </c>
    </row>
    <row r="29103">
      <c r="A29103" s="3" t="s">
        <v>45605</v>
      </c>
      <c r="B29103" s="3" t="s">
        <v>23221</v>
      </c>
      <c r="C29103" s="5" t="s">
        <v>614</v>
      </c>
      <c r="D29103" s="3" t="s">
        <v>206</v>
      </c>
      <c r="E29103" s="3" t="s">
        <v>100</v>
      </c>
      <c r="F29103" s="7">
        <v>46304.73611111111</v>
      </c>
      <c r="G29103" s="3" t="s">
        <v>4083</v>
      </c>
    </row>
    <row r="29104">
      <c r="A29104" s="3" t="s">
        <v>45606</v>
      </c>
      <c r="B29104" s="3" t="s">
        <v>23223</v>
      </c>
      <c r="C29104" s="5" t="s">
        <v>45</v>
      </c>
      <c r="D29104" s="3" t="s">
        <v>221</v>
      </c>
      <c r="E29104" s="3" t="s">
        <v>662</v>
      </c>
      <c r="F29104" s="7">
        <v>46304.74999999999</v>
      </c>
      <c r="G29104" s="3" t="s">
        <v>19303</v>
      </c>
    </row>
    <row r="29105">
      <c r="A29105" s="3" t="s">
        <v>45607</v>
      </c>
      <c r="B29105" s="3" t="s">
        <v>23225</v>
      </c>
      <c r="C29105" s="5" t="s">
        <v>45</v>
      </c>
      <c r="D29105" s="3" t="s">
        <v>221</v>
      </c>
      <c r="E29105" s="3" t="s">
        <v>175</v>
      </c>
      <c r="F29105" s="7">
        <v>46304.770833333336</v>
      </c>
      <c r="G29105" s="3" t="s">
        <v>3621</v>
      </c>
    </row>
    <row r="29106">
      <c r="A29106" s="3" t="s">
        <v>45608</v>
      </c>
      <c r="B29106" s="3" t="s">
        <v>23225</v>
      </c>
      <c r="C29106" s="5" t="s">
        <v>221</v>
      </c>
      <c r="D29106" s="3" t="s">
        <v>614</v>
      </c>
      <c r="E29106" s="3" t="s">
        <v>118</v>
      </c>
      <c r="F29106" s="7">
        <v>46304.774305555555</v>
      </c>
      <c r="G29106" s="3" t="s">
        <v>3623</v>
      </c>
    </row>
    <row r="29107">
      <c r="A29107" s="3" t="s">
        <v>45609</v>
      </c>
      <c r="B29107" s="3" t="s">
        <v>23225</v>
      </c>
      <c r="C29107" s="5" t="s">
        <v>614</v>
      </c>
      <c r="D29107" s="3" t="s">
        <v>206</v>
      </c>
      <c r="E29107" s="3" t="s">
        <v>100</v>
      </c>
      <c r="F29107" s="7">
        <v>46304.77777777778</v>
      </c>
      <c r="G29107" s="3" t="s">
        <v>3626</v>
      </c>
    </row>
    <row r="29108">
      <c r="A29108" s="3" t="s">
        <v>45610</v>
      </c>
      <c r="B29108" s="3" t="s">
        <v>23228</v>
      </c>
      <c r="C29108" s="5" t="s">
        <v>45</v>
      </c>
      <c r="D29108" s="3" t="s">
        <v>221</v>
      </c>
      <c r="E29108" s="3" t="s">
        <v>993</v>
      </c>
      <c r="F29108" s="7">
        <v>46304.791666666664</v>
      </c>
      <c r="G29108" s="3" t="s">
        <v>2770</v>
      </c>
    </row>
    <row r="29109">
      <c r="A29109" s="3" t="s">
        <v>45611</v>
      </c>
      <c r="B29109" s="3" t="s">
        <v>23231</v>
      </c>
      <c r="C29109" s="5" t="s">
        <v>45</v>
      </c>
      <c r="D29109" s="3" t="s">
        <v>221</v>
      </c>
      <c r="E29109" s="3" t="s">
        <v>953</v>
      </c>
      <c r="F29109" s="7">
        <v>46304.81249999999</v>
      </c>
      <c r="G29109" s="3" t="s">
        <v>2770</v>
      </c>
    </row>
    <row r="29110">
      <c r="A29110" s="3" t="s">
        <v>45612</v>
      </c>
      <c r="B29110" s="3" t="s">
        <v>23231</v>
      </c>
      <c r="C29110" s="5" t="s">
        <v>221</v>
      </c>
      <c r="D29110" s="3" t="s">
        <v>614</v>
      </c>
      <c r="E29110" s="3" t="s">
        <v>118</v>
      </c>
      <c r="F29110" s="7">
        <v>46304.81597222221</v>
      </c>
      <c r="G29110" s="3" t="s">
        <v>45491</v>
      </c>
    </row>
    <row r="29111">
      <c r="A29111" s="3" t="s">
        <v>45613</v>
      </c>
      <c r="B29111" s="3" t="s">
        <v>23231</v>
      </c>
      <c r="C29111" s="5" t="s">
        <v>614</v>
      </c>
      <c r="D29111" s="3" t="s">
        <v>206</v>
      </c>
      <c r="E29111" s="3" t="s">
        <v>100</v>
      </c>
      <c r="F29111" s="7">
        <v>46304.81944444444</v>
      </c>
      <c r="G29111" s="3" t="s">
        <v>45493</v>
      </c>
    </row>
    <row r="29112">
      <c r="A29112" s="3" t="s">
        <v>45614</v>
      </c>
      <c r="B29112" s="3" t="s">
        <v>23234</v>
      </c>
      <c r="C29112" s="5" t="s">
        <v>45</v>
      </c>
      <c r="D29112" s="3" t="s">
        <v>221</v>
      </c>
      <c r="E29112" s="3" t="s">
        <v>247</v>
      </c>
      <c r="F29112" s="7">
        <v>46304.833333333336</v>
      </c>
      <c r="G29112" s="3" t="s">
        <v>12956</v>
      </c>
    </row>
    <row r="29113">
      <c r="A29113" s="3" t="s">
        <v>45615</v>
      </c>
      <c r="B29113" s="3" t="s">
        <v>23237</v>
      </c>
      <c r="C29113" s="5" t="s">
        <v>45</v>
      </c>
      <c r="D29113" s="3" t="s">
        <v>221</v>
      </c>
      <c r="E29113" s="3" t="s">
        <v>162</v>
      </c>
      <c r="F29113" s="7">
        <v>46304.854166666664</v>
      </c>
      <c r="G29113" s="3" t="s">
        <v>15265</v>
      </c>
    </row>
    <row r="29114">
      <c r="A29114" s="3" t="s">
        <v>45616</v>
      </c>
      <c r="B29114" s="3" t="s">
        <v>23237</v>
      </c>
      <c r="C29114" s="5" t="s">
        <v>221</v>
      </c>
      <c r="D29114" s="3" t="s">
        <v>614</v>
      </c>
      <c r="E29114" s="3" t="s">
        <v>118</v>
      </c>
      <c r="F29114" s="7">
        <v>46304.85763888888</v>
      </c>
      <c r="G29114" s="3" t="s">
        <v>15268</v>
      </c>
    </row>
    <row r="29115">
      <c r="A29115" s="3" t="s">
        <v>45617</v>
      </c>
      <c r="B29115" s="3" t="s">
        <v>23237</v>
      </c>
      <c r="C29115" s="5" t="s">
        <v>614</v>
      </c>
      <c r="D29115" s="3" t="s">
        <v>206</v>
      </c>
      <c r="E29115" s="3" t="s">
        <v>100</v>
      </c>
      <c r="F29115" s="7">
        <v>46304.86111111111</v>
      </c>
      <c r="G29115" s="3" t="s">
        <v>15272</v>
      </c>
    </row>
    <row r="29116">
      <c r="A29116" s="3" t="s">
        <v>45618</v>
      </c>
      <c r="B29116" s="3" t="s">
        <v>23241</v>
      </c>
      <c r="C29116" s="5" t="s">
        <v>45</v>
      </c>
      <c r="D29116" s="3" t="s">
        <v>221</v>
      </c>
      <c r="E29116" s="3" t="s">
        <v>698</v>
      </c>
      <c r="F29116" s="7">
        <v>46304.87499999999</v>
      </c>
      <c r="G29116" s="3" t="s">
        <v>2770</v>
      </c>
    </row>
    <row r="29117">
      <c r="A29117" s="3" t="s">
        <v>45619</v>
      </c>
      <c r="B29117" s="3" t="s">
        <v>23244</v>
      </c>
      <c r="C29117" s="5" t="s">
        <v>45</v>
      </c>
      <c r="D29117" s="3" t="s">
        <v>221</v>
      </c>
      <c r="E29117" s="3" t="s">
        <v>713</v>
      </c>
      <c r="F29117" s="7">
        <v>46304.895833333336</v>
      </c>
      <c r="G29117" s="3" t="s">
        <v>21463</v>
      </c>
    </row>
    <row r="29118">
      <c r="A29118" s="3" t="s">
        <v>45620</v>
      </c>
      <c r="B29118" s="3" t="s">
        <v>23244</v>
      </c>
      <c r="C29118" s="5" t="s">
        <v>221</v>
      </c>
      <c r="D29118" s="3" t="s">
        <v>614</v>
      </c>
      <c r="E29118" s="3" t="s">
        <v>118</v>
      </c>
      <c r="F29118" s="7">
        <v>46304.899305555555</v>
      </c>
      <c r="G29118" s="3" t="s">
        <v>21466</v>
      </c>
    </row>
    <row r="29119">
      <c r="A29119" s="3" t="s">
        <v>45621</v>
      </c>
      <c r="B29119" s="3" t="s">
        <v>23244</v>
      </c>
      <c r="C29119" s="5" t="s">
        <v>614</v>
      </c>
      <c r="D29119" s="3" t="s">
        <v>206</v>
      </c>
      <c r="E29119" s="3" t="s">
        <v>100</v>
      </c>
      <c r="F29119" s="7">
        <v>46304.90277777778</v>
      </c>
      <c r="G29119" s="3" t="s">
        <v>21468</v>
      </c>
    </row>
    <row r="29120">
      <c r="A29120" s="3" t="s">
        <v>45622</v>
      </c>
      <c r="B29120" s="3" t="s">
        <v>23247</v>
      </c>
      <c r="C29120" s="5" t="s">
        <v>45</v>
      </c>
      <c r="D29120" s="3" t="s">
        <v>221</v>
      </c>
      <c r="E29120" s="3" t="s">
        <v>215</v>
      </c>
      <c r="F29120" s="7">
        <v>46304.916666666664</v>
      </c>
      <c r="G29120" s="3" t="s">
        <v>20276</v>
      </c>
    </row>
    <row r="29121">
      <c r="A29121" s="3" t="s">
        <v>45623</v>
      </c>
      <c r="B29121" s="3" t="s">
        <v>23250</v>
      </c>
      <c r="C29121" s="5" t="s">
        <v>45</v>
      </c>
      <c r="D29121" s="3" t="s">
        <v>221</v>
      </c>
      <c r="E29121" s="3" t="s">
        <v>953</v>
      </c>
      <c r="F29121" s="7">
        <v>46304.93749999999</v>
      </c>
      <c r="G29121" s="3" t="s">
        <v>2770</v>
      </c>
    </row>
    <row r="29122">
      <c r="A29122" s="3" t="s">
        <v>45624</v>
      </c>
      <c r="B29122" s="3" t="s">
        <v>23250</v>
      </c>
      <c r="C29122" s="5" t="s">
        <v>221</v>
      </c>
      <c r="D29122" s="3" t="s">
        <v>614</v>
      </c>
      <c r="E29122" s="3" t="s">
        <v>118</v>
      </c>
      <c r="F29122" s="7">
        <v>46304.94097222221</v>
      </c>
      <c r="G29122" s="3" t="s">
        <v>45491</v>
      </c>
    </row>
    <row r="29123">
      <c r="A29123" s="3" t="s">
        <v>45625</v>
      </c>
      <c r="B29123" s="3" t="s">
        <v>23250</v>
      </c>
      <c r="C29123" s="5" t="s">
        <v>614</v>
      </c>
      <c r="D29123" s="3" t="s">
        <v>206</v>
      </c>
      <c r="E29123" s="3" t="s">
        <v>100</v>
      </c>
      <c r="F29123" s="7">
        <v>46304.94444444444</v>
      </c>
      <c r="G29123" s="3" t="s">
        <v>45493</v>
      </c>
    </row>
    <row r="29124">
      <c r="A29124" s="3" t="s">
        <v>45626</v>
      </c>
      <c r="B29124" s="3" t="s">
        <v>23253</v>
      </c>
      <c r="C29124" s="5" t="s">
        <v>45</v>
      </c>
      <c r="D29124" s="3" t="s">
        <v>221</v>
      </c>
      <c r="E29124" s="3" t="s">
        <v>805</v>
      </c>
      <c r="F29124" s="7">
        <v>46304.958333333336</v>
      </c>
      <c r="G29124" s="3" t="s">
        <v>2770</v>
      </c>
    </row>
    <row r="29125">
      <c r="A29125" s="3" t="s">
        <v>45627</v>
      </c>
      <c r="B29125" s="3" t="s">
        <v>23255</v>
      </c>
      <c r="C29125" s="5" t="s">
        <v>45</v>
      </c>
      <c r="D29125" s="3" t="s">
        <v>221</v>
      </c>
      <c r="E29125" s="3" t="s">
        <v>472</v>
      </c>
      <c r="F29125" s="7">
        <v>46304.979166666664</v>
      </c>
      <c r="G29125" s="3" t="s">
        <v>2770</v>
      </c>
    </row>
    <row r="29126">
      <c r="A29126" s="3" t="s">
        <v>45628</v>
      </c>
      <c r="B29126" s="3" t="s">
        <v>23255</v>
      </c>
      <c r="C29126" s="5" t="s">
        <v>221</v>
      </c>
      <c r="D29126" s="3" t="s">
        <v>614</v>
      </c>
      <c r="E29126" s="3" t="s">
        <v>118</v>
      </c>
      <c r="F29126" s="7">
        <v>46304.98263888888</v>
      </c>
      <c r="G29126" s="3" t="s">
        <v>45491</v>
      </c>
    </row>
    <row r="29127">
      <c r="A29127" s="3" t="s">
        <v>45629</v>
      </c>
      <c r="B29127" s="3" t="s">
        <v>23255</v>
      </c>
      <c r="C29127" s="5" t="s">
        <v>614</v>
      </c>
      <c r="D29127" s="3" t="s">
        <v>206</v>
      </c>
      <c r="E29127" s="3" t="s">
        <v>100</v>
      </c>
      <c r="F29127" s="7">
        <v>46304.98611111111</v>
      </c>
      <c r="G29127" s="3" t="s">
        <v>45493</v>
      </c>
    </row>
    <row r="29128">
      <c r="A29128" s="3" t="s">
        <v>45630</v>
      </c>
      <c r="B29128" s="3" t="s">
        <v>23257</v>
      </c>
      <c r="C29128" s="5" t="s">
        <v>45</v>
      </c>
      <c r="D29128" s="3" t="s">
        <v>221</v>
      </c>
      <c r="E29128" s="3" t="s">
        <v>725</v>
      </c>
      <c r="F29128" s="7">
        <v>46304.99999999999</v>
      </c>
      <c r="G29128" s="3" t="s">
        <v>43358</v>
      </c>
    </row>
    <row r="29129">
      <c r="A29129" s="3" t="s">
        <v>45631</v>
      </c>
      <c r="B29129" s="3" t="s">
        <v>23259</v>
      </c>
      <c r="C29129" s="5" t="s">
        <v>45</v>
      </c>
      <c r="D29129" s="3" t="s">
        <v>221</v>
      </c>
      <c r="E29129" s="3" t="s">
        <v>175</v>
      </c>
      <c r="F29129" s="7">
        <v>46305.020833333336</v>
      </c>
      <c r="G29129" s="3" t="s">
        <v>30352</v>
      </c>
    </row>
    <row r="29130">
      <c r="A29130" s="3" t="s">
        <v>45632</v>
      </c>
      <c r="B29130" s="3" t="s">
        <v>23259</v>
      </c>
      <c r="C29130" s="5" t="s">
        <v>221</v>
      </c>
      <c r="D29130" s="3" t="s">
        <v>614</v>
      </c>
      <c r="E29130" s="3" t="s">
        <v>118</v>
      </c>
      <c r="F29130" s="7">
        <v>46305.024305555555</v>
      </c>
      <c r="G29130" s="3" t="s">
        <v>30354</v>
      </c>
    </row>
    <row r="29131">
      <c r="A29131" s="3" t="s">
        <v>45633</v>
      </c>
      <c r="B29131" s="3" t="s">
        <v>23259</v>
      </c>
      <c r="C29131" s="5" t="s">
        <v>614</v>
      </c>
      <c r="D29131" s="3" t="s">
        <v>206</v>
      </c>
      <c r="E29131" s="3" t="s">
        <v>100</v>
      </c>
      <c r="F29131" s="7">
        <v>46305.02777777778</v>
      </c>
      <c r="G29131" s="3" t="s">
        <v>30356</v>
      </c>
    </row>
    <row r="29132">
      <c r="A29132" s="3" t="s">
        <v>45634</v>
      </c>
      <c r="B29132" s="3" t="s">
        <v>23261</v>
      </c>
      <c r="C29132" s="5" t="s">
        <v>45</v>
      </c>
      <c r="D29132" s="3" t="s">
        <v>221</v>
      </c>
      <c r="E29132" s="3" t="s">
        <v>655</v>
      </c>
      <c r="F29132" s="7">
        <v>46305.041666666664</v>
      </c>
      <c r="G29132" s="3" t="s">
        <v>14328</v>
      </c>
    </row>
    <row r="29133">
      <c r="A29133" s="3" t="s">
        <v>45635</v>
      </c>
      <c r="B29133" s="3" t="s">
        <v>23263</v>
      </c>
      <c r="C29133" s="5" t="s">
        <v>45</v>
      </c>
      <c r="D29133" s="3" t="s">
        <v>221</v>
      </c>
      <c r="E29133" s="3" t="s">
        <v>811</v>
      </c>
      <c r="F29133" s="7">
        <v>46305.06249999999</v>
      </c>
      <c r="G29133" s="3" t="s">
        <v>18792</v>
      </c>
    </row>
    <row r="29134">
      <c r="A29134" s="3" t="s">
        <v>45636</v>
      </c>
      <c r="B29134" s="3" t="s">
        <v>23263</v>
      </c>
      <c r="C29134" s="5" t="s">
        <v>221</v>
      </c>
      <c r="D29134" s="3" t="s">
        <v>614</v>
      </c>
      <c r="E29134" s="3" t="s">
        <v>118</v>
      </c>
      <c r="F29134" s="7">
        <v>46305.06597222221</v>
      </c>
      <c r="G29134" s="3" t="s">
        <v>18795</v>
      </c>
    </row>
    <row r="29135">
      <c r="A29135" s="3" t="s">
        <v>45637</v>
      </c>
      <c r="B29135" s="3" t="s">
        <v>23263</v>
      </c>
      <c r="C29135" s="5" t="s">
        <v>614</v>
      </c>
      <c r="D29135" s="3" t="s">
        <v>206</v>
      </c>
      <c r="E29135" s="3" t="s">
        <v>100</v>
      </c>
      <c r="F29135" s="7">
        <v>46305.06944444444</v>
      </c>
      <c r="G29135" s="3" t="s">
        <v>18798</v>
      </c>
    </row>
    <row r="29136">
      <c r="A29136" s="3" t="s">
        <v>45638</v>
      </c>
      <c r="B29136" s="3" t="s">
        <v>23265</v>
      </c>
      <c r="C29136" s="5" t="s">
        <v>45</v>
      </c>
      <c r="D29136" s="3" t="s">
        <v>221</v>
      </c>
      <c r="E29136" s="3" t="s">
        <v>698</v>
      </c>
      <c r="F29136" s="7">
        <v>46305.083333333336</v>
      </c>
      <c r="G29136" s="3" t="s">
        <v>2770</v>
      </c>
    </row>
    <row r="29137">
      <c r="A29137" s="3" t="s">
        <v>45639</v>
      </c>
      <c r="B29137" s="3" t="s">
        <v>23267</v>
      </c>
      <c r="C29137" s="5" t="s">
        <v>45</v>
      </c>
      <c r="D29137" s="3" t="s">
        <v>221</v>
      </c>
      <c r="E29137" s="3" t="s">
        <v>400</v>
      </c>
      <c r="F29137" s="7">
        <v>46305.104166666664</v>
      </c>
      <c r="G29137" s="3" t="s">
        <v>9744</v>
      </c>
    </row>
    <row r="29138">
      <c r="A29138" s="3" t="s">
        <v>45640</v>
      </c>
      <c r="B29138" s="3" t="s">
        <v>23267</v>
      </c>
      <c r="C29138" s="5" t="s">
        <v>221</v>
      </c>
      <c r="D29138" s="3" t="s">
        <v>614</v>
      </c>
      <c r="E29138" s="3" t="s">
        <v>118</v>
      </c>
      <c r="F29138" s="7">
        <v>46305.10763888888</v>
      </c>
      <c r="G29138" s="3" t="s">
        <v>9747</v>
      </c>
    </row>
    <row r="29139">
      <c r="A29139" s="3" t="s">
        <v>45641</v>
      </c>
      <c r="B29139" s="3" t="s">
        <v>23267</v>
      </c>
      <c r="C29139" s="5" t="s">
        <v>614</v>
      </c>
      <c r="D29139" s="3" t="s">
        <v>206</v>
      </c>
      <c r="E29139" s="3" t="s">
        <v>100</v>
      </c>
      <c r="F29139" s="7">
        <v>46305.11111111111</v>
      </c>
      <c r="G29139" s="3" t="s">
        <v>9750</v>
      </c>
    </row>
    <row r="29140">
      <c r="A29140" s="3" t="s">
        <v>45642</v>
      </c>
      <c r="B29140" s="3" t="s">
        <v>23269</v>
      </c>
      <c r="C29140" s="5" t="s">
        <v>45</v>
      </c>
      <c r="D29140" s="3" t="s">
        <v>221</v>
      </c>
      <c r="E29140" s="3" t="s">
        <v>650</v>
      </c>
      <c r="F29140" s="7">
        <v>46305.12499999999</v>
      </c>
      <c r="G29140" s="3" t="s">
        <v>7413</v>
      </c>
    </row>
    <row r="29141">
      <c r="A29141" s="3" t="s">
        <v>45643</v>
      </c>
      <c r="B29141" s="3" t="s">
        <v>23271</v>
      </c>
      <c r="C29141" s="5" t="s">
        <v>45</v>
      </c>
      <c r="D29141" s="3" t="s">
        <v>221</v>
      </c>
      <c r="E29141" s="3" t="s">
        <v>586</v>
      </c>
      <c r="F29141" s="7">
        <v>46305.145833333336</v>
      </c>
      <c r="G29141" s="3" t="s">
        <v>6231</v>
      </c>
    </row>
    <row r="29142">
      <c r="A29142" s="3" t="s">
        <v>45644</v>
      </c>
      <c r="B29142" s="3" t="s">
        <v>23271</v>
      </c>
      <c r="C29142" s="5" t="s">
        <v>221</v>
      </c>
      <c r="D29142" s="3" t="s">
        <v>614</v>
      </c>
      <c r="E29142" s="3" t="s">
        <v>118</v>
      </c>
      <c r="F29142" s="7">
        <v>46305.149305555555</v>
      </c>
      <c r="G29142" s="3" t="s">
        <v>6234</v>
      </c>
    </row>
    <row r="29143">
      <c r="A29143" s="3" t="s">
        <v>45645</v>
      </c>
      <c r="B29143" s="3" t="s">
        <v>23271</v>
      </c>
      <c r="C29143" s="5" t="s">
        <v>614</v>
      </c>
      <c r="D29143" s="3" t="s">
        <v>206</v>
      </c>
      <c r="E29143" s="3" t="s">
        <v>100</v>
      </c>
      <c r="F29143" s="7">
        <v>46305.15277777778</v>
      </c>
      <c r="G29143" s="3" t="s">
        <v>6237</v>
      </c>
    </row>
    <row r="29144">
      <c r="A29144" s="3" t="s">
        <v>45646</v>
      </c>
      <c r="B29144" s="3" t="s">
        <v>23273</v>
      </c>
      <c r="C29144" s="5" t="s">
        <v>45</v>
      </c>
      <c r="D29144" s="3" t="s">
        <v>221</v>
      </c>
      <c r="E29144" s="3" t="s">
        <v>530</v>
      </c>
      <c r="F29144" s="7">
        <v>46305.166666666664</v>
      </c>
      <c r="G29144" s="3" t="s">
        <v>2770</v>
      </c>
    </row>
    <row r="29145">
      <c r="A29145" s="3" t="s">
        <v>45647</v>
      </c>
      <c r="B29145" s="3" t="s">
        <v>23275</v>
      </c>
      <c r="C29145" s="5" t="s">
        <v>45</v>
      </c>
      <c r="D29145" s="3" t="s">
        <v>221</v>
      </c>
      <c r="E29145" s="3" t="s">
        <v>961</v>
      </c>
      <c r="F29145" s="7">
        <v>46305.18749999999</v>
      </c>
      <c r="G29145" s="3" t="s">
        <v>45648</v>
      </c>
    </row>
    <row r="29146">
      <c r="A29146" s="3" t="s">
        <v>45649</v>
      </c>
      <c r="B29146" s="3" t="s">
        <v>23275</v>
      </c>
      <c r="C29146" s="5" t="s">
        <v>221</v>
      </c>
      <c r="D29146" s="3" t="s">
        <v>614</v>
      </c>
      <c r="E29146" s="3" t="s">
        <v>118</v>
      </c>
      <c r="F29146" s="7">
        <v>46305.19097222221</v>
      </c>
      <c r="G29146" s="3" t="s">
        <v>45650</v>
      </c>
    </row>
    <row r="29147">
      <c r="A29147" s="3" t="s">
        <v>45651</v>
      </c>
      <c r="B29147" s="3" t="s">
        <v>23275</v>
      </c>
      <c r="C29147" s="5" t="s">
        <v>614</v>
      </c>
      <c r="D29147" s="3" t="s">
        <v>206</v>
      </c>
      <c r="E29147" s="3" t="s">
        <v>100</v>
      </c>
      <c r="F29147" s="7">
        <v>46305.19444444444</v>
      </c>
      <c r="G29147" s="3" t="s">
        <v>45652</v>
      </c>
    </row>
    <row r="29148">
      <c r="A29148" s="3" t="s">
        <v>45653</v>
      </c>
      <c r="B29148" s="3" t="s">
        <v>23277</v>
      </c>
      <c r="C29148" s="5" t="s">
        <v>45</v>
      </c>
      <c r="D29148" s="3" t="s">
        <v>221</v>
      </c>
      <c r="E29148" s="3" t="s">
        <v>565</v>
      </c>
      <c r="F29148" s="7">
        <v>46305.208333333336</v>
      </c>
      <c r="G29148" s="3" t="s">
        <v>18129</v>
      </c>
    </row>
    <row r="29149">
      <c r="A29149" s="3" t="s">
        <v>45654</v>
      </c>
      <c r="B29149" s="3" t="s">
        <v>23280</v>
      </c>
      <c r="C29149" s="5" t="s">
        <v>45</v>
      </c>
      <c r="D29149" s="3" t="s">
        <v>221</v>
      </c>
      <c r="E29149" s="3" t="s">
        <v>637</v>
      </c>
      <c r="F29149" s="7">
        <v>46305.229166666664</v>
      </c>
      <c r="G29149" s="3" t="s">
        <v>8065</v>
      </c>
    </row>
    <row r="29150">
      <c r="A29150" s="3" t="s">
        <v>45655</v>
      </c>
      <c r="B29150" s="3" t="s">
        <v>23280</v>
      </c>
      <c r="C29150" s="5" t="s">
        <v>221</v>
      </c>
      <c r="D29150" s="3" t="s">
        <v>614</v>
      </c>
      <c r="E29150" s="3" t="s">
        <v>118</v>
      </c>
      <c r="F29150" s="7">
        <v>46305.23263888888</v>
      </c>
      <c r="G29150" s="3" t="s">
        <v>22215</v>
      </c>
    </row>
    <row r="29151">
      <c r="A29151" s="3" t="s">
        <v>45656</v>
      </c>
      <c r="B29151" s="3" t="s">
        <v>23280</v>
      </c>
      <c r="C29151" s="5" t="s">
        <v>614</v>
      </c>
      <c r="D29151" s="3" t="s">
        <v>206</v>
      </c>
      <c r="E29151" s="3" t="s">
        <v>100</v>
      </c>
      <c r="F29151" s="7">
        <v>46305.23611111111</v>
      </c>
      <c r="G29151" s="3" t="s">
        <v>22218</v>
      </c>
    </row>
    <row r="29152">
      <c r="A29152" s="3" t="s">
        <v>45657</v>
      </c>
      <c r="B29152" s="3" t="s">
        <v>23282</v>
      </c>
      <c r="C29152" s="5" t="s">
        <v>45</v>
      </c>
      <c r="D29152" s="3" t="s">
        <v>221</v>
      </c>
      <c r="E29152" s="3" t="s">
        <v>615</v>
      </c>
      <c r="F29152" s="7">
        <v>46305.24999999999</v>
      </c>
      <c r="G29152" s="3" t="s">
        <v>3395</v>
      </c>
    </row>
    <row r="29153">
      <c r="A29153" s="3" t="s">
        <v>45658</v>
      </c>
      <c r="B29153" s="3" t="s">
        <v>23284</v>
      </c>
      <c r="C29153" s="5" t="s">
        <v>45</v>
      </c>
      <c r="D29153" s="3" t="s">
        <v>221</v>
      </c>
      <c r="E29153" s="3" t="s">
        <v>287</v>
      </c>
      <c r="F29153" s="7">
        <v>46305.270833333336</v>
      </c>
      <c r="G29153" s="3" t="s">
        <v>2770</v>
      </c>
    </row>
    <row r="29154">
      <c r="A29154" s="3" t="s">
        <v>45659</v>
      </c>
      <c r="B29154" s="3" t="s">
        <v>23284</v>
      </c>
      <c r="C29154" s="5" t="s">
        <v>221</v>
      </c>
      <c r="D29154" s="3" t="s">
        <v>614</v>
      </c>
      <c r="E29154" s="3" t="s">
        <v>118</v>
      </c>
      <c r="F29154" s="7">
        <v>46305.274305555555</v>
      </c>
      <c r="G29154" s="3" t="s">
        <v>45491</v>
      </c>
    </row>
    <row r="29155">
      <c r="A29155" s="3" t="s">
        <v>45660</v>
      </c>
      <c r="B29155" s="3" t="s">
        <v>23284</v>
      </c>
      <c r="C29155" s="5" t="s">
        <v>614</v>
      </c>
      <c r="D29155" s="3" t="s">
        <v>206</v>
      </c>
      <c r="E29155" s="3" t="s">
        <v>100</v>
      </c>
      <c r="F29155" s="7">
        <v>46305.27777777778</v>
      </c>
      <c r="G29155" s="3" t="s">
        <v>45493</v>
      </c>
    </row>
    <row r="29156">
      <c r="A29156" s="3" t="s">
        <v>45661</v>
      </c>
      <c r="B29156" s="3" t="s">
        <v>23287</v>
      </c>
      <c r="C29156" s="5" t="s">
        <v>45</v>
      </c>
      <c r="D29156" s="3" t="s">
        <v>221</v>
      </c>
      <c r="E29156" s="3" t="s">
        <v>1021</v>
      </c>
      <c r="F29156" s="7">
        <v>46305.291666666664</v>
      </c>
      <c r="G29156" s="3" t="s">
        <v>18621</v>
      </c>
    </row>
    <row r="29157">
      <c r="A29157" s="3" t="s">
        <v>45662</v>
      </c>
      <c r="B29157" s="3" t="s">
        <v>23290</v>
      </c>
      <c r="C29157" s="5" t="s">
        <v>45</v>
      </c>
      <c r="D29157" s="3" t="s">
        <v>221</v>
      </c>
      <c r="E29157" s="3" t="s">
        <v>920</v>
      </c>
      <c r="F29157" s="7">
        <v>46305.31249999999</v>
      </c>
      <c r="G29157" s="3" t="s">
        <v>27120</v>
      </c>
    </row>
    <row r="29158">
      <c r="A29158" s="3" t="s">
        <v>45663</v>
      </c>
      <c r="B29158" s="3" t="s">
        <v>23290</v>
      </c>
      <c r="C29158" s="5" t="s">
        <v>221</v>
      </c>
      <c r="D29158" s="3" t="s">
        <v>614</v>
      </c>
      <c r="E29158" s="3" t="s">
        <v>118</v>
      </c>
      <c r="F29158" s="7">
        <v>46305.31597222221</v>
      </c>
      <c r="G29158" s="3" t="s">
        <v>27122</v>
      </c>
    </row>
    <row r="29159">
      <c r="A29159" s="3" t="s">
        <v>45664</v>
      </c>
      <c r="B29159" s="3" t="s">
        <v>23290</v>
      </c>
      <c r="C29159" s="5" t="s">
        <v>614</v>
      </c>
      <c r="D29159" s="3" t="s">
        <v>206</v>
      </c>
      <c r="E29159" s="3" t="s">
        <v>100</v>
      </c>
      <c r="F29159" s="7">
        <v>46305.31944444444</v>
      </c>
      <c r="G29159" s="3" t="s">
        <v>27124</v>
      </c>
    </row>
    <row r="29160">
      <c r="A29160" s="3" t="s">
        <v>45665</v>
      </c>
      <c r="B29160" s="3" t="s">
        <v>23293</v>
      </c>
      <c r="C29160" s="5" t="s">
        <v>45</v>
      </c>
      <c r="D29160" s="3" t="s">
        <v>221</v>
      </c>
      <c r="E29160" s="3" t="s">
        <v>449</v>
      </c>
      <c r="F29160" s="7">
        <v>46305.333333333336</v>
      </c>
      <c r="G29160" s="3" t="s">
        <v>20084</v>
      </c>
    </row>
    <row r="29161">
      <c r="A29161" s="3" t="s">
        <v>45666</v>
      </c>
      <c r="B29161" s="3" t="s">
        <v>23296</v>
      </c>
      <c r="C29161" s="5" t="s">
        <v>45</v>
      </c>
      <c r="D29161" s="3" t="s">
        <v>221</v>
      </c>
      <c r="E29161" s="3" t="s">
        <v>287</v>
      </c>
      <c r="F29161" s="7">
        <v>46305.354166666664</v>
      </c>
      <c r="G29161" s="3" t="s">
        <v>2770</v>
      </c>
    </row>
    <row r="29162">
      <c r="A29162" s="3" t="s">
        <v>45667</v>
      </c>
      <c r="B29162" s="3" t="s">
        <v>23296</v>
      </c>
      <c r="C29162" s="5" t="s">
        <v>221</v>
      </c>
      <c r="D29162" s="3" t="s">
        <v>614</v>
      </c>
      <c r="E29162" s="3" t="s">
        <v>118</v>
      </c>
      <c r="F29162" s="7">
        <v>46305.35763888888</v>
      </c>
      <c r="G29162" s="3" t="s">
        <v>45491</v>
      </c>
    </row>
    <row r="29163">
      <c r="A29163" s="3" t="s">
        <v>45668</v>
      </c>
      <c r="B29163" s="3" t="s">
        <v>23296</v>
      </c>
      <c r="C29163" s="5" t="s">
        <v>614</v>
      </c>
      <c r="D29163" s="3" t="s">
        <v>206</v>
      </c>
      <c r="E29163" s="3" t="s">
        <v>100</v>
      </c>
      <c r="F29163" s="7">
        <v>46305.36111111111</v>
      </c>
      <c r="G29163" s="3" t="s">
        <v>45493</v>
      </c>
    </row>
    <row r="29164">
      <c r="A29164" s="3" t="s">
        <v>45669</v>
      </c>
      <c r="B29164" s="3" t="s">
        <v>23298</v>
      </c>
      <c r="C29164" s="5" t="s">
        <v>45</v>
      </c>
      <c r="D29164" s="3" t="s">
        <v>221</v>
      </c>
      <c r="E29164" s="3" t="s">
        <v>669</v>
      </c>
      <c r="F29164" s="7">
        <v>46305.37499999999</v>
      </c>
      <c r="G29164" s="3" t="s">
        <v>20214</v>
      </c>
    </row>
    <row r="29165">
      <c r="A29165" s="3" t="s">
        <v>45670</v>
      </c>
      <c r="B29165" s="3" t="s">
        <v>23300</v>
      </c>
      <c r="C29165" s="5" t="s">
        <v>45</v>
      </c>
      <c r="D29165" s="3" t="s">
        <v>221</v>
      </c>
      <c r="E29165" s="3" t="s">
        <v>694</v>
      </c>
      <c r="F29165" s="7">
        <v>46305.395833333336</v>
      </c>
      <c r="G29165" s="3" t="s">
        <v>28553</v>
      </c>
    </row>
    <row r="29166">
      <c r="A29166" s="3" t="s">
        <v>45671</v>
      </c>
      <c r="B29166" s="3" t="s">
        <v>23300</v>
      </c>
      <c r="C29166" s="5" t="s">
        <v>221</v>
      </c>
      <c r="D29166" s="3" t="s">
        <v>614</v>
      </c>
      <c r="E29166" s="3" t="s">
        <v>118</v>
      </c>
      <c r="F29166" s="7">
        <v>46305.399305555555</v>
      </c>
      <c r="G29166" s="3" t="s">
        <v>28555</v>
      </c>
    </row>
    <row r="29167">
      <c r="A29167" s="3" t="s">
        <v>45672</v>
      </c>
      <c r="B29167" s="3" t="s">
        <v>23300</v>
      </c>
      <c r="C29167" s="5" t="s">
        <v>614</v>
      </c>
      <c r="D29167" s="3" t="s">
        <v>206</v>
      </c>
      <c r="E29167" s="3" t="s">
        <v>100</v>
      </c>
      <c r="F29167" s="7">
        <v>46305.40277777778</v>
      </c>
      <c r="G29167" s="3" t="s">
        <v>28557</v>
      </c>
    </row>
    <row r="29168">
      <c r="A29168" s="3" t="s">
        <v>45673</v>
      </c>
      <c r="B29168" s="3" t="s">
        <v>23302</v>
      </c>
      <c r="C29168" s="5" t="s">
        <v>45</v>
      </c>
      <c r="D29168" s="3" t="s">
        <v>221</v>
      </c>
      <c r="E29168" s="3" t="s">
        <v>752</v>
      </c>
      <c r="F29168" s="7">
        <v>46305.416666666664</v>
      </c>
      <c r="G29168" s="3" t="s">
        <v>29621</v>
      </c>
    </row>
    <row r="29169">
      <c r="A29169" s="3" t="s">
        <v>45674</v>
      </c>
      <c r="B29169" s="3" t="s">
        <v>23304</v>
      </c>
      <c r="C29169" s="5" t="s">
        <v>45</v>
      </c>
      <c r="D29169" s="3" t="s">
        <v>221</v>
      </c>
      <c r="E29169" s="3" t="s">
        <v>922</v>
      </c>
      <c r="F29169" s="7">
        <v>46305.43749999999</v>
      </c>
      <c r="G29169" s="3" t="s">
        <v>15629</v>
      </c>
    </row>
    <row r="29170">
      <c r="A29170" s="3" t="s">
        <v>45675</v>
      </c>
      <c r="B29170" s="3" t="s">
        <v>23304</v>
      </c>
      <c r="C29170" s="5" t="s">
        <v>221</v>
      </c>
      <c r="D29170" s="3" t="s">
        <v>614</v>
      </c>
      <c r="E29170" s="3" t="s">
        <v>118</v>
      </c>
      <c r="F29170" s="7">
        <v>46305.44097222221</v>
      </c>
      <c r="G29170" s="3" t="s">
        <v>15632</v>
      </c>
    </row>
    <row r="29171">
      <c r="A29171" s="3" t="s">
        <v>45676</v>
      </c>
      <c r="B29171" s="3" t="s">
        <v>23304</v>
      </c>
      <c r="C29171" s="5" t="s">
        <v>614</v>
      </c>
      <c r="D29171" s="3" t="s">
        <v>206</v>
      </c>
      <c r="E29171" s="3" t="s">
        <v>100</v>
      </c>
      <c r="F29171" s="7">
        <v>46305.44444444444</v>
      </c>
      <c r="G29171" s="3" t="s">
        <v>15634</v>
      </c>
    </row>
    <row r="29172">
      <c r="A29172" s="3" t="s">
        <v>45677</v>
      </c>
      <c r="B29172" s="3" t="s">
        <v>23306</v>
      </c>
      <c r="C29172" s="5" t="s">
        <v>45</v>
      </c>
      <c r="D29172" s="3" t="s">
        <v>221</v>
      </c>
      <c r="E29172" s="3" t="s">
        <v>230</v>
      </c>
      <c r="F29172" s="7">
        <v>46305.458333333336</v>
      </c>
      <c r="G29172" s="3" t="s">
        <v>18496</v>
      </c>
    </row>
    <row r="29173">
      <c r="A29173" s="3" t="s">
        <v>45678</v>
      </c>
      <c r="B29173" s="3" t="s">
        <v>23309</v>
      </c>
      <c r="C29173" s="5" t="s">
        <v>45</v>
      </c>
      <c r="D29173" s="3" t="s">
        <v>221</v>
      </c>
      <c r="E29173" s="3" t="s">
        <v>398</v>
      </c>
      <c r="F29173" s="7">
        <v>46305.479166666664</v>
      </c>
      <c r="G29173" s="3" t="s">
        <v>16723</v>
      </c>
    </row>
    <row r="29174">
      <c r="A29174" s="3" t="s">
        <v>45679</v>
      </c>
      <c r="B29174" s="3" t="s">
        <v>23309</v>
      </c>
      <c r="C29174" s="5" t="s">
        <v>221</v>
      </c>
      <c r="D29174" s="3" t="s">
        <v>614</v>
      </c>
      <c r="E29174" s="3" t="s">
        <v>118</v>
      </c>
      <c r="F29174" s="7">
        <v>46305.48263888888</v>
      </c>
      <c r="G29174" s="3" t="s">
        <v>16725</v>
      </c>
    </row>
    <row r="29175">
      <c r="A29175" s="3" t="s">
        <v>45680</v>
      </c>
      <c r="B29175" s="3" t="s">
        <v>23309</v>
      </c>
      <c r="C29175" s="5" t="s">
        <v>614</v>
      </c>
      <c r="D29175" s="3" t="s">
        <v>206</v>
      </c>
      <c r="E29175" s="3" t="s">
        <v>100</v>
      </c>
      <c r="F29175" s="7">
        <v>46305.48611111111</v>
      </c>
      <c r="G29175" s="3" t="s">
        <v>16728</v>
      </c>
    </row>
    <row r="29176">
      <c r="A29176" s="3" t="s">
        <v>45681</v>
      </c>
      <c r="B29176" s="3" t="s">
        <v>23311</v>
      </c>
      <c r="C29176" s="5" t="s">
        <v>45</v>
      </c>
      <c r="D29176" s="3" t="s">
        <v>221</v>
      </c>
      <c r="E29176" s="3" t="s">
        <v>758</v>
      </c>
      <c r="F29176" s="7">
        <v>46305.49999999999</v>
      </c>
      <c r="G29176" s="3" t="s">
        <v>30406</v>
      </c>
    </row>
    <row r="29177">
      <c r="A29177" s="3" t="s">
        <v>45682</v>
      </c>
      <c r="B29177" s="3" t="s">
        <v>23314</v>
      </c>
      <c r="C29177" s="5" t="s">
        <v>45</v>
      </c>
      <c r="D29177" s="3" t="s">
        <v>221</v>
      </c>
      <c r="E29177" s="3" t="s">
        <v>587</v>
      </c>
      <c r="F29177" s="7">
        <v>46305.520833333336</v>
      </c>
      <c r="G29177" s="3" t="s">
        <v>2770</v>
      </c>
    </row>
    <row r="29178">
      <c r="A29178" s="3" t="s">
        <v>45683</v>
      </c>
      <c r="B29178" s="3" t="s">
        <v>23314</v>
      </c>
      <c r="C29178" s="5" t="s">
        <v>221</v>
      </c>
      <c r="D29178" s="3" t="s">
        <v>614</v>
      </c>
      <c r="E29178" s="3" t="s">
        <v>118</v>
      </c>
      <c r="F29178" s="7">
        <v>46305.524305555555</v>
      </c>
      <c r="G29178" s="3" t="s">
        <v>45491</v>
      </c>
    </row>
    <row r="29179">
      <c r="A29179" s="3" t="s">
        <v>45684</v>
      </c>
      <c r="B29179" s="3" t="s">
        <v>23314</v>
      </c>
      <c r="C29179" s="5" t="s">
        <v>614</v>
      </c>
      <c r="D29179" s="3" t="s">
        <v>206</v>
      </c>
      <c r="E29179" s="3" t="s">
        <v>100</v>
      </c>
      <c r="F29179" s="7">
        <v>46305.52777777778</v>
      </c>
      <c r="G29179" s="3" t="s">
        <v>45493</v>
      </c>
    </row>
    <row r="29180">
      <c r="A29180" s="3" t="s">
        <v>45685</v>
      </c>
      <c r="B29180" s="3" t="s">
        <v>23317</v>
      </c>
      <c r="C29180" s="5" t="s">
        <v>45</v>
      </c>
      <c r="D29180" s="3" t="s">
        <v>221</v>
      </c>
      <c r="E29180" s="3" t="s">
        <v>949</v>
      </c>
      <c r="F29180" s="7">
        <v>46305.541666666664</v>
      </c>
      <c r="G29180" s="3" t="s">
        <v>26268</v>
      </c>
    </row>
    <row r="29181">
      <c r="A29181" s="3" t="s">
        <v>45686</v>
      </c>
      <c r="B29181" s="3" t="s">
        <v>23319</v>
      </c>
      <c r="C29181" s="5" t="s">
        <v>45</v>
      </c>
      <c r="D29181" s="3" t="s">
        <v>221</v>
      </c>
      <c r="E29181" s="3" t="s">
        <v>793</v>
      </c>
      <c r="F29181" s="7">
        <v>46305.56249999999</v>
      </c>
      <c r="G29181" s="3" t="s">
        <v>17074</v>
      </c>
    </row>
    <row r="29182">
      <c r="A29182" s="3" t="s">
        <v>45687</v>
      </c>
      <c r="B29182" s="3" t="s">
        <v>23319</v>
      </c>
      <c r="C29182" s="5" t="s">
        <v>221</v>
      </c>
      <c r="D29182" s="3" t="s">
        <v>614</v>
      </c>
      <c r="E29182" s="3" t="s">
        <v>118</v>
      </c>
      <c r="F29182" s="7">
        <v>46305.56597222221</v>
      </c>
      <c r="G29182" s="3" t="s">
        <v>17077</v>
      </c>
    </row>
    <row r="29183">
      <c r="A29183" s="3" t="s">
        <v>45688</v>
      </c>
      <c r="B29183" s="3" t="s">
        <v>23319</v>
      </c>
      <c r="C29183" s="5" t="s">
        <v>614</v>
      </c>
      <c r="D29183" s="3" t="s">
        <v>206</v>
      </c>
      <c r="E29183" s="3" t="s">
        <v>100</v>
      </c>
      <c r="F29183" s="7">
        <v>46305.56944444444</v>
      </c>
      <c r="G29183" s="3" t="s">
        <v>17080</v>
      </c>
    </row>
    <row r="29184">
      <c r="A29184" s="3" t="s">
        <v>45689</v>
      </c>
      <c r="B29184" s="3" t="s">
        <v>23321</v>
      </c>
      <c r="C29184" s="5" t="s">
        <v>45</v>
      </c>
      <c r="D29184" s="3" t="s">
        <v>221</v>
      </c>
      <c r="E29184" s="3" t="s">
        <v>316</v>
      </c>
      <c r="F29184" s="7">
        <v>46305.583333333336</v>
      </c>
      <c r="G29184" s="3" t="s">
        <v>14148</v>
      </c>
    </row>
    <row r="29185">
      <c r="A29185" s="3" t="s">
        <v>45690</v>
      </c>
      <c r="B29185" s="3" t="s">
        <v>23323</v>
      </c>
      <c r="C29185" s="5" t="s">
        <v>45</v>
      </c>
      <c r="D29185" s="3" t="s">
        <v>221</v>
      </c>
      <c r="E29185" s="3" t="s">
        <v>488</v>
      </c>
      <c r="F29185" s="7">
        <v>46305.604166666664</v>
      </c>
      <c r="G29185" s="3" t="s">
        <v>29444</v>
      </c>
    </row>
    <row r="29186">
      <c r="A29186" s="3" t="s">
        <v>45691</v>
      </c>
      <c r="B29186" s="3" t="s">
        <v>23323</v>
      </c>
      <c r="C29186" s="5" t="s">
        <v>221</v>
      </c>
      <c r="D29186" s="3" t="s">
        <v>614</v>
      </c>
      <c r="E29186" s="3" t="s">
        <v>118</v>
      </c>
      <c r="F29186" s="7">
        <v>46305.60763888888</v>
      </c>
      <c r="G29186" s="3" t="s">
        <v>36641</v>
      </c>
    </row>
    <row r="29187">
      <c r="A29187" s="3" t="s">
        <v>45692</v>
      </c>
      <c r="B29187" s="3" t="s">
        <v>23323</v>
      </c>
      <c r="C29187" s="5" t="s">
        <v>614</v>
      </c>
      <c r="D29187" s="3" t="s">
        <v>206</v>
      </c>
      <c r="E29187" s="3" t="s">
        <v>100</v>
      </c>
      <c r="F29187" s="7">
        <v>46305.61111111111</v>
      </c>
      <c r="G29187" s="3" t="s">
        <v>36643</v>
      </c>
    </row>
    <row r="29188">
      <c r="A29188" s="3" t="s">
        <v>45693</v>
      </c>
      <c r="B29188" s="3" t="s">
        <v>23325</v>
      </c>
      <c r="C29188" s="5" t="s">
        <v>45</v>
      </c>
      <c r="D29188" s="3" t="s">
        <v>221</v>
      </c>
      <c r="E29188" s="3" t="s">
        <v>746</v>
      </c>
      <c r="F29188" s="7">
        <v>46305.62499999999</v>
      </c>
      <c r="G29188" s="3" t="s">
        <v>23312</v>
      </c>
    </row>
    <row r="29189">
      <c r="A29189" s="3" t="s">
        <v>45694</v>
      </c>
      <c r="B29189" s="3" t="s">
        <v>23327</v>
      </c>
      <c r="C29189" s="5" t="s">
        <v>45</v>
      </c>
      <c r="D29189" s="3" t="s">
        <v>221</v>
      </c>
      <c r="E29189" s="3" t="s">
        <v>366</v>
      </c>
      <c r="F29189" s="7">
        <v>46305.645833333336</v>
      </c>
      <c r="G29189" s="3" t="s">
        <v>27132</v>
      </c>
    </row>
    <row r="29190">
      <c r="A29190" s="3" t="s">
        <v>45695</v>
      </c>
      <c r="B29190" s="3" t="s">
        <v>23327</v>
      </c>
      <c r="C29190" s="5" t="s">
        <v>221</v>
      </c>
      <c r="D29190" s="3" t="s">
        <v>614</v>
      </c>
      <c r="E29190" s="3" t="s">
        <v>118</v>
      </c>
      <c r="F29190" s="7">
        <v>46305.649305555555</v>
      </c>
      <c r="G29190" s="3" t="s">
        <v>27134</v>
      </c>
    </row>
    <row r="29191">
      <c r="A29191" s="3" t="s">
        <v>45696</v>
      </c>
      <c r="B29191" s="3" t="s">
        <v>23327</v>
      </c>
      <c r="C29191" s="5" t="s">
        <v>614</v>
      </c>
      <c r="D29191" s="3" t="s">
        <v>206</v>
      </c>
      <c r="E29191" s="3" t="s">
        <v>100</v>
      </c>
      <c r="F29191" s="7">
        <v>46305.65277777778</v>
      </c>
      <c r="G29191" s="3" t="s">
        <v>27136</v>
      </c>
    </row>
    <row r="29192">
      <c r="A29192" s="3" t="s">
        <v>45697</v>
      </c>
      <c r="B29192" s="3" t="s">
        <v>23329</v>
      </c>
      <c r="C29192" s="5" t="s">
        <v>45</v>
      </c>
      <c r="D29192" s="3" t="s">
        <v>221</v>
      </c>
      <c r="E29192" s="3" t="s">
        <v>156</v>
      </c>
      <c r="F29192" s="7">
        <v>46305.666666666664</v>
      </c>
      <c r="G29192" s="3" t="s">
        <v>3318</v>
      </c>
    </row>
    <row r="29193">
      <c r="A29193" s="3" t="s">
        <v>45698</v>
      </c>
      <c r="B29193" s="3" t="s">
        <v>23331</v>
      </c>
      <c r="C29193" s="5" t="s">
        <v>45</v>
      </c>
      <c r="D29193" s="3" t="s">
        <v>221</v>
      </c>
      <c r="E29193" s="3" t="s">
        <v>939</v>
      </c>
      <c r="F29193" s="7">
        <v>46305.68749999999</v>
      </c>
      <c r="G29193" s="3" t="s">
        <v>13032</v>
      </c>
    </row>
    <row r="29194">
      <c r="A29194" s="3" t="s">
        <v>45699</v>
      </c>
      <c r="B29194" s="3" t="s">
        <v>23331</v>
      </c>
      <c r="C29194" s="5" t="s">
        <v>221</v>
      </c>
      <c r="D29194" s="3" t="s">
        <v>614</v>
      </c>
      <c r="E29194" s="3" t="s">
        <v>118</v>
      </c>
      <c r="F29194" s="7">
        <v>46305.69097222221</v>
      </c>
      <c r="G29194" s="3" t="s">
        <v>26882</v>
      </c>
    </row>
    <row r="29195">
      <c r="A29195" s="3" t="s">
        <v>45700</v>
      </c>
      <c r="B29195" s="3" t="s">
        <v>23331</v>
      </c>
      <c r="C29195" s="5" t="s">
        <v>614</v>
      </c>
      <c r="D29195" s="3" t="s">
        <v>206</v>
      </c>
      <c r="E29195" s="3" t="s">
        <v>100</v>
      </c>
      <c r="F29195" s="7">
        <v>46305.69444444444</v>
      </c>
      <c r="G29195" s="3" t="s">
        <v>26884</v>
      </c>
    </row>
    <row r="29196">
      <c r="A29196" s="3" t="s">
        <v>45701</v>
      </c>
      <c r="B29196" s="3" t="s">
        <v>23333</v>
      </c>
      <c r="C29196" s="5" t="s">
        <v>45</v>
      </c>
      <c r="D29196" s="3" t="s">
        <v>221</v>
      </c>
      <c r="E29196" s="3" t="s">
        <v>746</v>
      </c>
      <c r="F29196" s="7">
        <v>46305.708333333336</v>
      </c>
      <c r="G29196" s="3" t="s">
        <v>7488</v>
      </c>
    </row>
    <row r="29197">
      <c r="A29197" s="3" t="s">
        <v>45702</v>
      </c>
      <c r="B29197" s="3" t="s">
        <v>23335</v>
      </c>
      <c r="C29197" s="5" t="s">
        <v>45</v>
      </c>
      <c r="D29197" s="3" t="s">
        <v>221</v>
      </c>
      <c r="E29197" s="3" t="s">
        <v>330</v>
      </c>
      <c r="F29197" s="7">
        <v>46305.729166666664</v>
      </c>
      <c r="G29197" s="3" t="s">
        <v>29957</v>
      </c>
    </row>
    <row r="29198">
      <c r="A29198" s="3" t="s">
        <v>45703</v>
      </c>
      <c r="B29198" s="3" t="s">
        <v>23335</v>
      </c>
      <c r="C29198" s="5" t="s">
        <v>221</v>
      </c>
      <c r="D29198" s="3" t="s">
        <v>614</v>
      </c>
      <c r="E29198" s="3" t="s">
        <v>118</v>
      </c>
      <c r="F29198" s="7">
        <v>46305.73263888888</v>
      </c>
      <c r="G29198" s="3" t="s">
        <v>29959</v>
      </c>
    </row>
    <row r="29199">
      <c r="A29199" s="3" t="s">
        <v>45704</v>
      </c>
      <c r="B29199" s="3" t="s">
        <v>23335</v>
      </c>
      <c r="C29199" s="5" t="s">
        <v>614</v>
      </c>
      <c r="D29199" s="3" t="s">
        <v>206</v>
      </c>
      <c r="E29199" s="3" t="s">
        <v>100</v>
      </c>
      <c r="F29199" s="7">
        <v>46305.73611111111</v>
      </c>
      <c r="G29199" s="3" t="s">
        <v>29961</v>
      </c>
    </row>
    <row r="29200">
      <c r="A29200" s="3" t="s">
        <v>45705</v>
      </c>
      <c r="B29200" s="3" t="s">
        <v>23337</v>
      </c>
      <c r="C29200" s="5" t="s">
        <v>45</v>
      </c>
      <c r="D29200" s="3" t="s">
        <v>221</v>
      </c>
      <c r="E29200" s="3" t="s">
        <v>442</v>
      </c>
      <c r="F29200" s="7">
        <v>46305.74999999999</v>
      </c>
      <c r="G29200" s="3" t="s">
        <v>2770</v>
      </c>
    </row>
    <row r="29201">
      <c r="A29201" s="3" t="s">
        <v>45706</v>
      </c>
      <c r="B29201" s="3" t="s">
        <v>23339</v>
      </c>
      <c r="C29201" s="5" t="s">
        <v>45</v>
      </c>
      <c r="D29201" s="3" t="s">
        <v>221</v>
      </c>
      <c r="E29201" s="3" t="s">
        <v>870</v>
      </c>
      <c r="F29201" s="7">
        <v>46305.770833333336</v>
      </c>
      <c r="G29201" s="3" t="s">
        <v>15427</v>
      </c>
    </row>
    <row r="29202">
      <c r="A29202" s="3" t="s">
        <v>45707</v>
      </c>
      <c r="B29202" s="3" t="s">
        <v>23339</v>
      </c>
      <c r="C29202" s="5" t="s">
        <v>221</v>
      </c>
      <c r="D29202" s="3" t="s">
        <v>614</v>
      </c>
      <c r="E29202" s="3" t="s">
        <v>118</v>
      </c>
      <c r="F29202" s="7">
        <v>46305.774305555555</v>
      </c>
      <c r="G29202" s="3" t="s">
        <v>15430</v>
      </c>
    </row>
    <row r="29203">
      <c r="A29203" s="3" t="s">
        <v>45708</v>
      </c>
      <c r="B29203" s="3" t="s">
        <v>23339</v>
      </c>
      <c r="C29203" s="5" t="s">
        <v>614</v>
      </c>
      <c r="D29203" s="3" t="s">
        <v>206</v>
      </c>
      <c r="E29203" s="3" t="s">
        <v>100</v>
      </c>
      <c r="F29203" s="7">
        <v>46305.77777777778</v>
      </c>
      <c r="G29203" s="3" t="s">
        <v>15433</v>
      </c>
    </row>
    <row r="29204">
      <c r="A29204" s="3" t="s">
        <v>45709</v>
      </c>
      <c r="B29204" s="3" t="s">
        <v>23342</v>
      </c>
      <c r="C29204" s="5" t="s">
        <v>45</v>
      </c>
      <c r="D29204" s="3" t="s">
        <v>221</v>
      </c>
      <c r="E29204" s="3" t="s">
        <v>961</v>
      </c>
      <c r="F29204" s="7">
        <v>46305.791666666664</v>
      </c>
      <c r="G29204" s="3" t="s">
        <v>19475</v>
      </c>
    </row>
    <row r="29205">
      <c r="A29205" s="3" t="s">
        <v>45710</v>
      </c>
      <c r="B29205" s="3" t="s">
        <v>23345</v>
      </c>
      <c r="C29205" s="5" t="s">
        <v>45</v>
      </c>
      <c r="D29205" s="3" t="s">
        <v>221</v>
      </c>
      <c r="E29205" s="3" t="s">
        <v>727</v>
      </c>
      <c r="F29205" s="7">
        <v>46305.81249999999</v>
      </c>
      <c r="G29205" s="3" t="s">
        <v>15058</v>
      </c>
    </row>
    <row r="29206">
      <c r="A29206" s="3" t="s">
        <v>45711</v>
      </c>
      <c r="B29206" s="3" t="s">
        <v>23345</v>
      </c>
      <c r="C29206" s="5" t="s">
        <v>221</v>
      </c>
      <c r="D29206" s="3" t="s">
        <v>614</v>
      </c>
      <c r="E29206" s="3" t="s">
        <v>118</v>
      </c>
      <c r="F29206" s="7">
        <v>46305.81597222221</v>
      </c>
      <c r="G29206" s="3" t="s">
        <v>15061</v>
      </c>
    </row>
    <row r="29207">
      <c r="A29207" s="3" t="s">
        <v>45712</v>
      </c>
      <c r="B29207" s="3" t="s">
        <v>23345</v>
      </c>
      <c r="C29207" s="5" t="s">
        <v>614</v>
      </c>
      <c r="D29207" s="3" t="s">
        <v>206</v>
      </c>
      <c r="E29207" s="3" t="s">
        <v>100</v>
      </c>
      <c r="F29207" s="7">
        <v>46305.81944444444</v>
      </c>
      <c r="G29207" s="3" t="s">
        <v>15064</v>
      </c>
    </row>
    <row r="29208">
      <c r="A29208" s="3" t="s">
        <v>45713</v>
      </c>
      <c r="B29208" s="3" t="s">
        <v>23349</v>
      </c>
      <c r="C29208" s="5" t="s">
        <v>45</v>
      </c>
      <c r="D29208" s="3" t="s">
        <v>221</v>
      </c>
      <c r="E29208" s="3" t="s">
        <v>236</v>
      </c>
      <c r="F29208" s="7">
        <v>46305.833333333336</v>
      </c>
      <c r="G29208" s="3" t="s">
        <v>29049</v>
      </c>
    </row>
    <row r="29209">
      <c r="A29209" s="3" t="s">
        <v>45714</v>
      </c>
      <c r="B29209" s="3" t="s">
        <v>23352</v>
      </c>
      <c r="C29209" s="5" t="s">
        <v>45</v>
      </c>
      <c r="D29209" s="3" t="s">
        <v>221</v>
      </c>
      <c r="E29209" s="3" t="s">
        <v>123</v>
      </c>
      <c r="F29209" s="7">
        <v>46305.854166666664</v>
      </c>
      <c r="G29209" s="3" t="s">
        <v>19435</v>
      </c>
    </row>
    <row r="29210">
      <c r="A29210" s="3" t="s">
        <v>45715</v>
      </c>
      <c r="B29210" s="3" t="s">
        <v>23352</v>
      </c>
      <c r="C29210" s="5" t="s">
        <v>221</v>
      </c>
      <c r="D29210" s="3" t="s">
        <v>614</v>
      </c>
      <c r="E29210" s="3" t="s">
        <v>118</v>
      </c>
      <c r="F29210" s="7">
        <v>46305.85763888888</v>
      </c>
      <c r="G29210" s="3" t="s">
        <v>19438</v>
      </c>
    </row>
    <row r="29211">
      <c r="A29211" s="3" t="s">
        <v>45716</v>
      </c>
      <c r="B29211" s="3" t="s">
        <v>23352</v>
      </c>
      <c r="C29211" s="5" t="s">
        <v>614</v>
      </c>
      <c r="D29211" s="3" t="s">
        <v>206</v>
      </c>
      <c r="E29211" s="3" t="s">
        <v>100</v>
      </c>
      <c r="F29211" s="7">
        <v>46305.86111111111</v>
      </c>
      <c r="G29211" s="3" t="s">
        <v>19441</v>
      </c>
    </row>
    <row r="29212">
      <c r="A29212" s="3" t="s">
        <v>45717</v>
      </c>
      <c r="B29212" s="3" t="s">
        <v>23354</v>
      </c>
      <c r="C29212" s="5" t="s">
        <v>45</v>
      </c>
      <c r="D29212" s="3" t="s">
        <v>221</v>
      </c>
      <c r="E29212" s="3" t="s">
        <v>793</v>
      </c>
      <c r="F29212" s="7">
        <v>46305.87499999999</v>
      </c>
      <c r="G29212" s="3" t="s">
        <v>18399</v>
      </c>
    </row>
    <row r="29213">
      <c r="A29213" s="3" t="s">
        <v>45718</v>
      </c>
      <c r="B29213" s="3" t="s">
        <v>23356</v>
      </c>
      <c r="C29213" s="5" t="s">
        <v>45</v>
      </c>
      <c r="D29213" s="3" t="s">
        <v>221</v>
      </c>
      <c r="E29213" s="3" t="s">
        <v>475</v>
      </c>
      <c r="F29213" s="7">
        <v>46305.895833333336</v>
      </c>
      <c r="G29213" s="3" t="s">
        <v>2770</v>
      </c>
    </row>
    <row r="29214">
      <c r="A29214" s="3" t="s">
        <v>45719</v>
      </c>
      <c r="B29214" s="3" t="s">
        <v>23356</v>
      </c>
      <c r="C29214" s="5" t="s">
        <v>221</v>
      </c>
      <c r="D29214" s="3" t="s">
        <v>614</v>
      </c>
      <c r="E29214" s="3" t="s">
        <v>118</v>
      </c>
      <c r="F29214" s="7">
        <v>46305.899305555555</v>
      </c>
      <c r="G29214" s="3" t="s">
        <v>45491</v>
      </c>
    </row>
    <row r="29215">
      <c r="A29215" s="3" t="s">
        <v>45720</v>
      </c>
      <c r="B29215" s="3" t="s">
        <v>23356</v>
      </c>
      <c r="C29215" s="5" t="s">
        <v>614</v>
      </c>
      <c r="D29215" s="3" t="s">
        <v>206</v>
      </c>
      <c r="E29215" s="3" t="s">
        <v>100</v>
      </c>
      <c r="F29215" s="7">
        <v>46305.90277777778</v>
      </c>
      <c r="G29215" s="3" t="s">
        <v>45493</v>
      </c>
    </row>
    <row r="29216">
      <c r="A29216" s="3" t="s">
        <v>45721</v>
      </c>
      <c r="B29216" s="3" t="s">
        <v>23358</v>
      </c>
      <c r="C29216" s="5" t="s">
        <v>45</v>
      </c>
      <c r="D29216" s="3" t="s">
        <v>221</v>
      </c>
      <c r="E29216" s="3" t="s">
        <v>631</v>
      </c>
      <c r="F29216" s="7">
        <v>46305.916666666664</v>
      </c>
      <c r="G29216" s="3" t="s">
        <v>23341</v>
      </c>
    </row>
    <row r="29217">
      <c r="A29217" s="3" t="s">
        <v>45722</v>
      </c>
      <c r="B29217" s="3" t="s">
        <v>23360</v>
      </c>
      <c r="C29217" s="5" t="s">
        <v>45</v>
      </c>
      <c r="D29217" s="3" t="s">
        <v>221</v>
      </c>
      <c r="E29217" s="3" t="s">
        <v>561</v>
      </c>
      <c r="F29217" s="7">
        <v>46305.93749999999</v>
      </c>
      <c r="G29217" s="3" t="s">
        <v>23394</v>
      </c>
    </row>
    <row r="29218">
      <c r="A29218" s="3" t="s">
        <v>45723</v>
      </c>
      <c r="B29218" s="3" t="s">
        <v>23360</v>
      </c>
      <c r="C29218" s="5" t="s">
        <v>221</v>
      </c>
      <c r="D29218" s="3" t="s">
        <v>614</v>
      </c>
      <c r="E29218" s="3" t="s">
        <v>118</v>
      </c>
      <c r="F29218" s="7">
        <v>46305.94097222221</v>
      </c>
      <c r="G29218" s="3" t="s">
        <v>23396</v>
      </c>
    </row>
    <row r="29219">
      <c r="A29219" s="3" t="s">
        <v>45724</v>
      </c>
      <c r="B29219" s="3" t="s">
        <v>23360</v>
      </c>
      <c r="C29219" s="5" t="s">
        <v>614</v>
      </c>
      <c r="D29219" s="3" t="s">
        <v>206</v>
      </c>
      <c r="E29219" s="3" t="s">
        <v>100</v>
      </c>
      <c r="F29219" s="7">
        <v>46305.94444444444</v>
      </c>
      <c r="G29219" s="3" t="s">
        <v>23399</v>
      </c>
    </row>
    <row r="29220">
      <c r="A29220" s="3" t="s">
        <v>45725</v>
      </c>
      <c r="B29220" s="3" t="s">
        <v>23362</v>
      </c>
      <c r="C29220" s="5" t="s">
        <v>45</v>
      </c>
      <c r="D29220" s="3" t="s">
        <v>221</v>
      </c>
      <c r="E29220" s="3" t="s">
        <v>694</v>
      </c>
      <c r="F29220" s="7">
        <v>46305.958333333336</v>
      </c>
      <c r="G29220" s="3" t="s">
        <v>16371</v>
      </c>
    </row>
    <row r="29221">
      <c r="A29221" s="3" t="s">
        <v>45726</v>
      </c>
      <c r="B29221" s="3" t="s">
        <v>23364</v>
      </c>
      <c r="C29221" s="5" t="s">
        <v>45</v>
      </c>
      <c r="D29221" s="3" t="s">
        <v>221</v>
      </c>
      <c r="E29221" s="3" t="s">
        <v>491</v>
      </c>
      <c r="F29221" s="7">
        <v>46305.979166666664</v>
      </c>
      <c r="G29221" s="3" t="s">
        <v>2770</v>
      </c>
    </row>
    <row r="29222">
      <c r="A29222" s="3" t="s">
        <v>45727</v>
      </c>
      <c r="B29222" s="3" t="s">
        <v>23364</v>
      </c>
      <c r="C29222" s="5" t="s">
        <v>221</v>
      </c>
      <c r="D29222" s="3" t="s">
        <v>614</v>
      </c>
      <c r="E29222" s="3" t="s">
        <v>118</v>
      </c>
      <c r="F29222" s="7">
        <v>46305.98263888888</v>
      </c>
      <c r="G29222" s="3" t="s">
        <v>45491</v>
      </c>
    </row>
    <row r="29223">
      <c r="A29223" s="3" t="s">
        <v>45728</v>
      </c>
      <c r="B29223" s="3" t="s">
        <v>23364</v>
      </c>
      <c r="C29223" s="5" t="s">
        <v>614</v>
      </c>
      <c r="D29223" s="3" t="s">
        <v>206</v>
      </c>
      <c r="E29223" s="3" t="s">
        <v>100</v>
      </c>
      <c r="F29223" s="7">
        <v>46305.98611111111</v>
      </c>
      <c r="G29223" s="3" t="s">
        <v>45493</v>
      </c>
    </row>
    <row r="29224">
      <c r="A29224" s="3" t="s">
        <v>45729</v>
      </c>
      <c r="B29224" s="3" t="s">
        <v>23366</v>
      </c>
      <c r="C29224" s="5" t="s">
        <v>45</v>
      </c>
      <c r="D29224" s="3" t="s">
        <v>221</v>
      </c>
      <c r="E29224" s="3" t="s">
        <v>609</v>
      </c>
      <c r="F29224" s="7">
        <v>46305.99999999999</v>
      </c>
      <c r="G29224" s="3" t="s">
        <v>10975</v>
      </c>
    </row>
    <row r="29225">
      <c r="A29225" s="3" t="s">
        <v>45730</v>
      </c>
      <c r="B29225" s="3" t="s">
        <v>23368</v>
      </c>
      <c r="C29225" s="5" t="s">
        <v>45</v>
      </c>
      <c r="D29225" s="3" t="s">
        <v>221</v>
      </c>
      <c r="E29225" s="3" t="s">
        <v>612</v>
      </c>
      <c r="F29225" s="7">
        <v>46306.020833333336</v>
      </c>
      <c r="G29225" s="3" t="s">
        <v>2770</v>
      </c>
    </row>
    <row r="29226">
      <c r="A29226" s="3" t="s">
        <v>45731</v>
      </c>
      <c r="B29226" s="3" t="s">
        <v>23368</v>
      </c>
      <c r="C29226" s="5" t="s">
        <v>221</v>
      </c>
      <c r="D29226" s="3" t="s">
        <v>614</v>
      </c>
      <c r="E29226" s="3" t="s">
        <v>118</v>
      </c>
      <c r="F29226" s="7">
        <v>46306.024305555555</v>
      </c>
      <c r="G29226" s="3" t="s">
        <v>45491</v>
      </c>
    </row>
    <row r="29227">
      <c r="A29227" s="3" t="s">
        <v>45732</v>
      </c>
      <c r="B29227" s="3" t="s">
        <v>23368</v>
      </c>
      <c r="C29227" s="5" t="s">
        <v>614</v>
      </c>
      <c r="D29227" s="3" t="s">
        <v>206</v>
      </c>
      <c r="E29227" s="3" t="s">
        <v>100</v>
      </c>
      <c r="F29227" s="7">
        <v>46306.02777777778</v>
      </c>
      <c r="G29227" s="3" t="s">
        <v>45493</v>
      </c>
    </row>
    <row r="29228">
      <c r="A29228" s="3" t="s">
        <v>45733</v>
      </c>
      <c r="B29228" s="3" t="s">
        <v>23370</v>
      </c>
      <c r="C29228" s="5" t="s">
        <v>45</v>
      </c>
      <c r="D29228" s="3" t="s">
        <v>221</v>
      </c>
      <c r="E29228" s="3" t="s">
        <v>383</v>
      </c>
      <c r="F29228" s="7">
        <v>46306.041666666664</v>
      </c>
      <c r="G29228" s="3" t="s">
        <v>14269</v>
      </c>
    </row>
    <row r="29229">
      <c r="A29229" s="3" t="s">
        <v>45734</v>
      </c>
      <c r="B29229" s="3" t="s">
        <v>23372</v>
      </c>
      <c r="C29229" s="5" t="s">
        <v>45</v>
      </c>
      <c r="D29229" s="3" t="s">
        <v>221</v>
      </c>
      <c r="E29229" s="3" t="s">
        <v>669</v>
      </c>
      <c r="F29229" s="7">
        <v>46306.06249999999</v>
      </c>
      <c r="G29229" s="3" t="s">
        <v>7670</v>
      </c>
    </row>
    <row r="29230">
      <c r="A29230" s="3" t="s">
        <v>45735</v>
      </c>
      <c r="B29230" s="3" t="s">
        <v>23372</v>
      </c>
      <c r="C29230" s="5" t="s">
        <v>221</v>
      </c>
      <c r="D29230" s="3" t="s">
        <v>614</v>
      </c>
      <c r="E29230" s="3" t="s">
        <v>118</v>
      </c>
      <c r="F29230" s="7">
        <v>46306.06597222221</v>
      </c>
      <c r="G29230" s="3" t="s">
        <v>7673</v>
      </c>
    </row>
    <row r="29231">
      <c r="A29231" s="3" t="s">
        <v>45736</v>
      </c>
      <c r="B29231" s="3" t="s">
        <v>23372</v>
      </c>
      <c r="C29231" s="5" t="s">
        <v>614</v>
      </c>
      <c r="D29231" s="3" t="s">
        <v>206</v>
      </c>
      <c r="E29231" s="3" t="s">
        <v>100</v>
      </c>
      <c r="F29231" s="7">
        <v>46306.06944444444</v>
      </c>
      <c r="G29231" s="3" t="s">
        <v>7676</v>
      </c>
    </row>
    <row r="29232">
      <c r="A29232" s="3" t="s">
        <v>45737</v>
      </c>
      <c r="B29232" s="3" t="s">
        <v>23374</v>
      </c>
      <c r="C29232" s="5" t="s">
        <v>45</v>
      </c>
      <c r="D29232" s="3" t="s">
        <v>221</v>
      </c>
      <c r="E29232" s="3" t="s">
        <v>455</v>
      </c>
      <c r="F29232" s="7">
        <v>46306.083333333336</v>
      </c>
      <c r="G29232" s="3" t="s">
        <v>19835</v>
      </c>
    </row>
    <row r="29233">
      <c r="A29233" s="3" t="s">
        <v>45738</v>
      </c>
      <c r="B29233" s="3" t="s">
        <v>23376</v>
      </c>
      <c r="C29233" s="5" t="s">
        <v>45</v>
      </c>
      <c r="D29233" s="3" t="s">
        <v>221</v>
      </c>
      <c r="E29233" s="3" t="s">
        <v>544</v>
      </c>
      <c r="F29233" s="7">
        <v>46306.104166666664</v>
      </c>
      <c r="G29233" s="3" t="s">
        <v>25016</v>
      </c>
    </row>
    <row r="29234">
      <c r="A29234" s="3" t="s">
        <v>45739</v>
      </c>
      <c r="B29234" s="3" t="s">
        <v>23376</v>
      </c>
      <c r="C29234" s="5" t="s">
        <v>221</v>
      </c>
      <c r="D29234" s="3" t="s">
        <v>614</v>
      </c>
      <c r="E29234" s="3" t="s">
        <v>118</v>
      </c>
      <c r="F29234" s="7">
        <v>46306.10763888888</v>
      </c>
      <c r="G29234" s="3" t="s">
        <v>25247</v>
      </c>
    </row>
    <row r="29235">
      <c r="A29235" s="3" t="s">
        <v>45740</v>
      </c>
      <c r="B29235" s="3" t="s">
        <v>23376</v>
      </c>
      <c r="C29235" s="5" t="s">
        <v>614</v>
      </c>
      <c r="D29235" s="3" t="s">
        <v>206</v>
      </c>
      <c r="E29235" s="3" t="s">
        <v>100</v>
      </c>
      <c r="F29235" s="7">
        <v>46306.11111111111</v>
      </c>
      <c r="G29235" s="3" t="s">
        <v>25249</v>
      </c>
    </row>
    <row r="29236">
      <c r="A29236" s="3" t="s">
        <v>45741</v>
      </c>
      <c r="B29236" s="3" t="s">
        <v>23378</v>
      </c>
      <c r="C29236" s="5" t="s">
        <v>45</v>
      </c>
      <c r="D29236" s="3" t="s">
        <v>221</v>
      </c>
      <c r="E29236" s="3" t="s">
        <v>911</v>
      </c>
      <c r="F29236" s="7">
        <v>46306.12499999999</v>
      </c>
      <c r="G29236" s="3" t="s">
        <v>4376</v>
      </c>
    </row>
    <row r="29237">
      <c r="A29237" s="3" t="s">
        <v>45742</v>
      </c>
      <c r="B29237" s="3" t="s">
        <v>23381</v>
      </c>
      <c r="C29237" s="5" t="s">
        <v>45</v>
      </c>
      <c r="D29237" s="3" t="s">
        <v>221</v>
      </c>
      <c r="E29237" s="3" t="s">
        <v>751</v>
      </c>
      <c r="F29237" s="7">
        <v>46306.145833333336</v>
      </c>
      <c r="G29237" s="3" t="s">
        <v>13392</v>
      </c>
    </row>
    <row r="29238">
      <c r="A29238" s="3" t="s">
        <v>45743</v>
      </c>
      <c r="B29238" s="3" t="s">
        <v>23381</v>
      </c>
      <c r="C29238" s="5" t="s">
        <v>221</v>
      </c>
      <c r="D29238" s="3" t="s">
        <v>614</v>
      </c>
      <c r="E29238" s="3" t="s">
        <v>118</v>
      </c>
      <c r="F29238" s="7">
        <v>46306.149305555555</v>
      </c>
      <c r="G29238" s="3" t="s">
        <v>13395</v>
      </c>
    </row>
    <row r="29239">
      <c r="A29239" s="3" t="s">
        <v>45744</v>
      </c>
      <c r="B29239" s="3" t="s">
        <v>23381</v>
      </c>
      <c r="C29239" s="5" t="s">
        <v>614</v>
      </c>
      <c r="D29239" s="3" t="s">
        <v>206</v>
      </c>
      <c r="E29239" s="3" t="s">
        <v>100</v>
      </c>
      <c r="F29239" s="7">
        <v>46306.15277777778</v>
      </c>
      <c r="G29239" s="3" t="s">
        <v>13398</v>
      </c>
    </row>
    <row r="29240">
      <c r="A29240" s="3" t="s">
        <v>45745</v>
      </c>
      <c r="B29240" s="3" t="s">
        <v>23383</v>
      </c>
      <c r="C29240" s="5" t="s">
        <v>45</v>
      </c>
      <c r="D29240" s="3" t="s">
        <v>221</v>
      </c>
      <c r="E29240" s="3" t="s">
        <v>643</v>
      </c>
      <c r="F29240" s="7">
        <v>46306.166666666664</v>
      </c>
      <c r="G29240" s="3" t="s">
        <v>11571</v>
      </c>
    </row>
    <row r="29241">
      <c r="A29241" s="3" t="s">
        <v>45746</v>
      </c>
      <c r="B29241" s="3" t="s">
        <v>23384</v>
      </c>
      <c r="C29241" s="5" t="s">
        <v>45</v>
      </c>
      <c r="D29241" s="3" t="s">
        <v>221</v>
      </c>
      <c r="E29241" s="3" t="s">
        <v>521</v>
      </c>
      <c r="F29241" s="7">
        <v>46306.18749999999</v>
      </c>
      <c r="G29241" s="3" t="s">
        <v>20453</v>
      </c>
    </row>
    <row r="29242">
      <c r="A29242" s="3" t="s">
        <v>45747</v>
      </c>
      <c r="B29242" s="3" t="s">
        <v>23384</v>
      </c>
      <c r="C29242" s="5" t="s">
        <v>221</v>
      </c>
      <c r="D29242" s="3" t="s">
        <v>614</v>
      </c>
      <c r="E29242" s="3" t="s">
        <v>118</v>
      </c>
      <c r="F29242" s="7">
        <v>46306.19097222221</v>
      </c>
      <c r="G29242" s="3" t="s">
        <v>20456</v>
      </c>
    </row>
    <row r="29243">
      <c r="A29243" s="3" t="s">
        <v>45748</v>
      </c>
      <c r="B29243" s="3" t="s">
        <v>23384</v>
      </c>
      <c r="C29243" s="5" t="s">
        <v>614</v>
      </c>
      <c r="D29243" s="3" t="s">
        <v>206</v>
      </c>
      <c r="E29243" s="3" t="s">
        <v>100</v>
      </c>
      <c r="F29243" s="7">
        <v>46306.19444444444</v>
      </c>
      <c r="G29243" s="3" t="s">
        <v>20458</v>
      </c>
    </row>
    <row r="29244">
      <c r="A29244" s="3" t="s">
        <v>45749</v>
      </c>
      <c r="B29244" s="3" t="s">
        <v>23385</v>
      </c>
      <c r="C29244" s="5" t="s">
        <v>45</v>
      </c>
      <c r="D29244" s="3" t="s">
        <v>221</v>
      </c>
      <c r="E29244" s="3" t="s">
        <v>819</v>
      </c>
      <c r="F29244" s="7">
        <v>46306.208333333336</v>
      </c>
      <c r="G29244" s="3" t="s">
        <v>24762</v>
      </c>
    </row>
    <row r="29245">
      <c r="A29245" s="3" t="s">
        <v>45750</v>
      </c>
      <c r="B29245" s="3" t="s">
        <v>23387</v>
      </c>
      <c r="C29245" s="5" t="s">
        <v>45</v>
      </c>
      <c r="D29245" s="3" t="s">
        <v>221</v>
      </c>
      <c r="E29245" s="3" t="s">
        <v>886</v>
      </c>
      <c r="F29245" s="7">
        <v>46306.229166666664</v>
      </c>
      <c r="G29245" s="3" t="s">
        <v>24595</v>
      </c>
    </row>
    <row r="29246">
      <c r="A29246" s="3" t="s">
        <v>45751</v>
      </c>
      <c r="B29246" s="3" t="s">
        <v>23387</v>
      </c>
      <c r="C29246" s="5" t="s">
        <v>221</v>
      </c>
      <c r="D29246" s="3" t="s">
        <v>614</v>
      </c>
      <c r="E29246" s="3" t="s">
        <v>118</v>
      </c>
      <c r="F29246" s="7">
        <v>46306.23263888888</v>
      </c>
      <c r="G29246" s="3" t="s">
        <v>24597</v>
      </c>
    </row>
    <row r="29247">
      <c r="A29247" s="3" t="s">
        <v>45752</v>
      </c>
      <c r="B29247" s="3" t="s">
        <v>23387</v>
      </c>
      <c r="C29247" s="5" t="s">
        <v>614</v>
      </c>
      <c r="D29247" s="3" t="s">
        <v>206</v>
      </c>
      <c r="E29247" s="3" t="s">
        <v>100</v>
      </c>
      <c r="F29247" s="7">
        <v>46306.23611111111</v>
      </c>
      <c r="G29247" s="3" t="s">
        <v>24599</v>
      </c>
    </row>
    <row r="29248">
      <c r="A29248" s="3" t="s">
        <v>45753</v>
      </c>
      <c r="B29248" s="3" t="s">
        <v>23389</v>
      </c>
      <c r="C29248" s="5" t="s">
        <v>45</v>
      </c>
      <c r="D29248" s="3" t="s">
        <v>221</v>
      </c>
      <c r="E29248" s="3" t="s">
        <v>895</v>
      </c>
      <c r="F29248" s="7">
        <v>46306.24999999999</v>
      </c>
      <c r="G29248" s="3" t="s">
        <v>4871</v>
      </c>
    </row>
    <row r="29249">
      <c r="A29249" s="3" t="s">
        <v>45754</v>
      </c>
      <c r="B29249" s="3" t="s">
        <v>23391</v>
      </c>
      <c r="C29249" s="5" t="s">
        <v>45</v>
      </c>
      <c r="D29249" s="3" t="s">
        <v>221</v>
      </c>
      <c r="E29249" s="3" t="s">
        <v>796</v>
      </c>
      <c r="F29249" s="7">
        <v>46306.270833333336</v>
      </c>
      <c r="G29249" s="3" t="s">
        <v>35626</v>
      </c>
    </row>
    <row r="29250">
      <c r="A29250" s="3" t="s">
        <v>45755</v>
      </c>
      <c r="B29250" s="3" t="s">
        <v>23391</v>
      </c>
      <c r="C29250" s="5" t="s">
        <v>221</v>
      </c>
      <c r="D29250" s="3" t="s">
        <v>614</v>
      </c>
      <c r="E29250" s="3" t="s">
        <v>118</v>
      </c>
      <c r="F29250" s="7">
        <v>46306.274305555555</v>
      </c>
      <c r="G29250" s="3" t="s">
        <v>35628</v>
      </c>
    </row>
    <row r="29251">
      <c r="A29251" s="3" t="s">
        <v>45756</v>
      </c>
      <c r="B29251" s="3" t="s">
        <v>23391</v>
      </c>
      <c r="C29251" s="5" t="s">
        <v>614</v>
      </c>
      <c r="D29251" s="3" t="s">
        <v>206</v>
      </c>
      <c r="E29251" s="3" t="s">
        <v>100</v>
      </c>
      <c r="F29251" s="7">
        <v>46306.27777777778</v>
      </c>
      <c r="G29251" s="3" t="s">
        <v>35630</v>
      </c>
    </row>
    <row r="29252">
      <c r="A29252" s="3" t="s">
        <v>45757</v>
      </c>
      <c r="B29252" s="3" t="s">
        <v>23393</v>
      </c>
      <c r="C29252" s="5" t="s">
        <v>45</v>
      </c>
      <c r="D29252" s="3" t="s">
        <v>221</v>
      </c>
      <c r="E29252" s="3" t="s">
        <v>377</v>
      </c>
      <c r="F29252" s="7">
        <v>46306.291666666664</v>
      </c>
      <c r="G29252" s="3" t="s">
        <v>18380</v>
      </c>
    </row>
    <row r="29253">
      <c r="A29253" s="3" t="s">
        <v>45758</v>
      </c>
      <c r="B29253" s="3" t="s">
        <v>23397</v>
      </c>
      <c r="C29253" s="5" t="s">
        <v>45</v>
      </c>
      <c r="D29253" s="3" t="s">
        <v>221</v>
      </c>
      <c r="E29253" s="3" t="s">
        <v>713</v>
      </c>
      <c r="F29253" s="7">
        <v>46306.31249999999</v>
      </c>
      <c r="G29253" s="3" t="s">
        <v>3582</v>
      </c>
    </row>
    <row r="29254">
      <c r="A29254" s="3" t="s">
        <v>45759</v>
      </c>
      <c r="B29254" s="3" t="s">
        <v>23397</v>
      </c>
      <c r="C29254" s="5" t="s">
        <v>221</v>
      </c>
      <c r="D29254" s="3" t="s">
        <v>614</v>
      </c>
      <c r="E29254" s="3" t="s">
        <v>118</v>
      </c>
      <c r="F29254" s="7">
        <v>46306.31597222221</v>
      </c>
      <c r="G29254" s="3" t="s">
        <v>3585</v>
      </c>
    </row>
    <row r="29255">
      <c r="A29255" s="3" t="s">
        <v>45760</v>
      </c>
      <c r="B29255" s="3" t="s">
        <v>23397</v>
      </c>
      <c r="C29255" s="5" t="s">
        <v>614</v>
      </c>
      <c r="D29255" s="3" t="s">
        <v>206</v>
      </c>
      <c r="E29255" s="3" t="s">
        <v>100</v>
      </c>
      <c r="F29255" s="7">
        <v>46306.31944444444</v>
      </c>
      <c r="G29255" s="3" t="s">
        <v>3588</v>
      </c>
    </row>
    <row r="29256">
      <c r="A29256" s="3" t="s">
        <v>45761</v>
      </c>
      <c r="B29256" s="3" t="s">
        <v>23400</v>
      </c>
      <c r="C29256" s="5" t="s">
        <v>45</v>
      </c>
      <c r="D29256" s="3" t="s">
        <v>221</v>
      </c>
      <c r="E29256" s="3" t="s">
        <v>391</v>
      </c>
      <c r="F29256" s="7">
        <v>46306.333333333336</v>
      </c>
      <c r="G29256" s="3" t="s">
        <v>28750</v>
      </c>
    </row>
    <row r="29257">
      <c r="A29257" s="3" t="s">
        <v>45762</v>
      </c>
      <c r="B29257" s="3" t="s">
        <v>23404</v>
      </c>
      <c r="C29257" s="5" t="s">
        <v>45</v>
      </c>
      <c r="D29257" s="3" t="s">
        <v>221</v>
      </c>
      <c r="E29257" s="3" t="s">
        <v>391</v>
      </c>
      <c r="F29257" s="7">
        <v>46306.354166666664</v>
      </c>
      <c r="G29257" s="3" t="s">
        <v>21020</v>
      </c>
    </row>
    <row r="29258">
      <c r="A29258" s="3" t="s">
        <v>45763</v>
      </c>
      <c r="B29258" s="3" t="s">
        <v>23404</v>
      </c>
      <c r="C29258" s="5" t="s">
        <v>221</v>
      </c>
      <c r="D29258" s="3" t="s">
        <v>614</v>
      </c>
      <c r="E29258" s="3" t="s">
        <v>118</v>
      </c>
      <c r="F29258" s="7">
        <v>46306.35763888888</v>
      </c>
      <c r="G29258" s="3" t="s">
        <v>21023</v>
      </c>
    </row>
    <row r="29259">
      <c r="A29259" s="3" t="s">
        <v>45764</v>
      </c>
      <c r="B29259" s="3" t="s">
        <v>23404</v>
      </c>
      <c r="C29259" s="5" t="s">
        <v>614</v>
      </c>
      <c r="D29259" s="3" t="s">
        <v>206</v>
      </c>
      <c r="E29259" s="3" t="s">
        <v>100</v>
      </c>
      <c r="F29259" s="7">
        <v>46306.36111111111</v>
      </c>
      <c r="G29259" s="3" t="s">
        <v>21026</v>
      </c>
    </row>
    <row r="29260">
      <c r="A29260" s="3" t="s">
        <v>45765</v>
      </c>
      <c r="B29260" s="3" t="s">
        <v>23406</v>
      </c>
      <c r="C29260" s="5" t="s">
        <v>45</v>
      </c>
      <c r="D29260" s="3" t="s">
        <v>221</v>
      </c>
      <c r="E29260" s="3" t="s">
        <v>165</v>
      </c>
      <c r="F29260" s="7">
        <v>46306.37499999999</v>
      </c>
      <c r="G29260" s="3" t="s">
        <v>11464</v>
      </c>
    </row>
    <row r="29261">
      <c r="A29261" s="3" t="s">
        <v>45766</v>
      </c>
      <c r="B29261" s="3" t="s">
        <v>23408</v>
      </c>
      <c r="C29261" s="5" t="s">
        <v>45</v>
      </c>
      <c r="D29261" s="3" t="s">
        <v>221</v>
      </c>
      <c r="E29261" s="3" t="s">
        <v>523</v>
      </c>
      <c r="F29261" s="7">
        <v>46306.395833333336</v>
      </c>
      <c r="G29261" s="3" t="s">
        <v>15757</v>
      </c>
    </row>
    <row r="29262">
      <c r="A29262" s="3" t="s">
        <v>45767</v>
      </c>
      <c r="B29262" s="3" t="s">
        <v>23408</v>
      </c>
      <c r="C29262" s="5" t="s">
        <v>221</v>
      </c>
      <c r="D29262" s="3" t="s">
        <v>614</v>
      </c>
      <c r="E29262" s="3" t="s">
        <v>118</v>
      </c>
      <c r="F29262" s="7">
        <v>46306.399305555555</v>
      </c>
      <c r="G29262" s="3" t="s">
        <v>15760</v>
      </c>
    </row>
    <row r="29263">
      <c r="A29263" s="3" t="s">
        <v>45768</v>
      </c>
      <c r="B29263" s="3" t="s">
        <v>23408</v>
      </c>
      <c r="C29263" s="5" t="s">
        <v>614</v>
      </c>
      <c r="D29263" s="3" t="s">
        <v>206</v>
      </c>
      <c r="E29263" s="3" t="s">
        <v>100</v>
      </c>
      <c r="F29263" s="7">
        <v>46306.40277777778</v>
      </c>
      <c r="G29263" s="3" t="s">
        <v>15762</v>
      </c>
    </row>
    <row r="29264">
      <c r="A29264" s="3" t="s">
        <v>45769</v>
      </c>
      <c r="B29264" s="3" t="s">
        <v>23410</v>
      </c>
      <c r="C29264" s="5" t="s">
        <v>45</v>
      </c>
      <c r="D29264" s="3" t="s">
        <v>221</v>
      </c>
      <c r="E29264" s="3" t="s">
        <v>763</v>
      </c>
      <c r="F29264" s="7">
        <v>46306.416666666664</v>
      </c>
      <c r="G29264" s="3" t="s">
        <v>2770</v>
      </c>
    </row>
    <row r="29265">
      <c r="A29265" s="3" t="s">
        <v>45770</v>
      </c>
      <c r="B29265" s="3" t="s">
        <v>23412</v>
      </c>
      <c r="C29265" s="5" t="s">
        <v>45</v>
      </c>
      <c r="D29265" s="3" t="s">
        <v>221</v>
      </c>
      <c r="E29265" s="3" t="s">
        <v>627</v>
      </c>
      <c r="F29265" s="7">
        <v>46306.43749999999</v>
      </c>
      <c r="G29265" s="3" t="s">
        <v>16686</v>
      </c>
    </row>
    <row r="29266">
      <c r="A29266" s="3" t="s">
        <v>45771</v>
      </c>
      <c r="B29266" s="3" t="s">
        <v>23412</v>
      </c>
      <c r="C29266" s="5" t="s">
        <v>221</v>
      </c>
      <c r="D29266" s="3" t="s">
        <v>614</v>
      </c>
      <c r="E29266" s="3" t="s">
        <v>118</v>
      </c>
      <c r="F29266" s="7">
        <v>46306.44097222221</v>
      </c>
      <c r="G29266" s="3" t="s">
        <v>28365</v>
      </c>
    </row>
    <row r="29267">
      <c r="A29267" s="3" t="s">
        <v>45772</v>
      </c>
      <c r="B29267" s="3" t="s">
        <v>23412</v>
      </c>
      <c r="C29267" s="5" t="s">
        <v>614</v>
      </c>
      <c r="D29267" s="3" t="s">
        <v>206</v>
      </c>
      <c r="E29267" s="3" t="s">
        <v>100</v>
      </c>
      <c r="F29267" s="7">
        <v>46306.44444444444</v>
      </c>
      <c r="G29267" s="3" t="s">
        <v>28367</v>
      </c>
    </row>
    <row r="29268">
      <c r="A29268" s="3" t="s">
        <v>45773</v>
      </c>
      <c r="B29268" s="3" t="s">
        <v>23414</v>
      </c>
      <c r="C29268" s="5" t="s">
        <v>45</v>
      </c>
      <c r="D29268" s="3" t="s">
        <v>221</v>
      </c>
      <c r="E29268" s="3" t="s">
        <v>369</v>
      </c>
      <c r="F29268" s="7">
        <v>46306.458333333336</v>
      </c>
      <c r="G29268" s="3" t="s">
        <v>15694</v>
      </c>
    </row>
    <row r="29269">
      <c r="A29269" s="3" t="s">
        <v>45774</v>
      </c>
      <c r="B29269" s="3" t="s">
        <v>23416</v>
      </c>
      <c r="C29269" s="5" t="s">
        <v>45</v>
      </c>
      <c r="D29269" s="3" t="s">
        <v>221</v>
      </c>
      <c r="E29269" s="3" t="s">
        <v>1040</v>
      </c>
      <c r="F29269" s="7">
        <v>46306.479166666664</v>
      </c>
      <c r="G29269" s="3" t="s">
        <v>30273</v>
      </c>
    </row>
    <row r="29270">
      <c r="A29270" s="3" t="s">
        <v>45775</v>
      </c>
      <c r="B29270" s="3" t="s">
        <v>23416</v>
      </c>
      <c r="C29270" s="5" t="s">
        <v>221</v>
      </c>
      <c r="D29270" s="3" t="s">
        <v>614</v>
      </c>
      <c r="E29270" s="3" t="s">
        <v>118</v>
      </c>
      <c r="F29270" s="7">
        <v>46306.48263888888</v>
      </c>
      <c r="G29270" s="3" t="s">
        <v>30275</v>
      </c>
    </row>
    <row r="29271">
      <c r="A29271" s="3" t="s">
        <v>45776</v>
      </c>
      <c r="B29271" s="3" t="s">
        <v>23416</v>
      </c>
      <c r="C29271" s="5" t="s">
        <v>614</v>
      </c>
      <c r="D29271" s="3" t="s">
        <v>206</v>
      </c>
      <c r="E29271" s="3" t="s">
        <v>100</v>
      </c>
      <c r="F29271" s="7">
        <v>46306.48611111111</v>
      </c>
      <c r="G29271" s="3" t="s">
        <v>30277</v>
      </c>
    </row>
    <row r="29272">
      <c r="A29272" s="3" t="s">
        <v>45777</v>
      </c>
      <c r="B29272" s="3" t="s">
        <v>23418</v>
      </c>
      <c r="C29272" s="5" t="s">
        <v>45</v>
      </c>
      <c r="D29272" s="3" t="s">
        <v>221</v>
      </c>
      <c r="E29272" s="3" t="s">
        <v>388</v>
      </c>
      <c r="F29272" s="7">
        <v>46306.49999999999</v>
      </c>
      <c r="G29272" s="3" t="s">
        <v>24147</v>
      </c>
    </row>
    <row r="29273">
      <c r="A29273" s="3" t="s">
        <v>45778</v>
      </c>
      <c r="B29273" s="3" t="s">
        <v>23420</v>
      </c>
      <c r="C29273" s="5" t="s">
        <v>45</v>
      </c>
      <c r="D29273" s="3" t="s">
        <v>221</v>
      </c>
      <c r="E29273" s="3" t="s">
        <v>689</v>
      </c>
      <c r="F29273" s="7">
        <v>46306.520833333336</v>
      </c>
      <c r="G29273" s="3" t="s">
        <v>14724</v>
      </c>
    </row>
    <row r="29274">
      <c r="A29274" s="3" t="s">
        <v>45779</v>
      </c>
      <c r="B29274" s="3" t="s">
        <v>23420</v>
      </c>
      <c r="C29274" s="5" t="s">
        <v>221</v>
      </c>
      <c r="D29274" s="3" t="s">
        <v>614</v>
      </c>
      <c r="E29274" s="3" t="s">
        <v>118</v>
      </c>
      <c r="F29274" s="7">
        <v>46306.524305555555</v>
      </c>
      <c r="G29274" s="3" t="s">
        <v>14727</v>
      </c>
    </row>
    <row r="29275">
      <c r="A29275" s="3" t="s">
        <v>45780</v>
      </c>
      <c r="B29275" s="3" t="s">
        <v>23420</v>
      </c>
      <c r="C29275" s="5" t="s">
        <v>614</v>
      </c>
      <c r="D29275" s="3" t="s">
        <v>206</v>
      </c>
      <c r="E29275" s="3" t="s">
        <v>100</v>
      </c>
      <c r="F29275" s="7">
        <v>46306.52777777778</v>
      </c>
      <c r="G29275" s="3" t="s">
        <v>14729</v>
      </c>
    </row>
    <row r="29276">
      <c r="A29276" s="3" t="s">
        <v>45781</v>
      </c>
      <c r="B29276" s="3" t="s">
        <v>23423</v>
      </c>
      <c r="C29276" s="5" t="s">
        <v>45</v>
      </c>
      <c r="D29276" s="3" t="s">
        <v>221</v>
      </c>
      <c r="E29276" s="3" t="s">
        <v>796</v>
      </c>
      <c r="F29276" s="7">
        <v>46306.541666666664</v>
      </c>
      <c r="G29276" s="3" t="s">
        <v>35626</v>
      </c>
    </row>
    <row r="29277">
      <c r="A29277" s="3" t="s">
        <v>45782</v>
      </c>
      <c r="B29277" s="3" t="s">
        <v>23426</v>
      </c>
      <c r="C29277" s="5" t="s">
        <v>45</v>
      </c>
      <c r="D29277" s="3" t="s">
        <v>221</v>
      </c>
      <c r="E29277" s="3" t="s">
        <v>539</v>
      </c>
      <c r="F29277" s="7">
        <v>46306.56249999999</v>
      </c>
      <c r="G29277" s="3" t="s">
        <v>12738</v>
      </c>
    </row>
    <row r="29278">
      <c r="A29278" s="3" t="s">
        <v>45783</v>
      </c>
      <c r="B29278" s="3" t="s">
        <v>23426</v>
      </c>
      <c r="C29278" s="5" t="s">
        <v>221</v>
      </c>
      <c r="D29278" s="3" t="s">
        <v>614</v>
      </c>
      <c r="E29278" s="3" t="s">
        <v>118</v>
      </c>
      <c r="F29278" s="7">
        <v>46306.56597222221</v>
      </c>
      <c r="G29278" s="3" t="s">
        <v>12741</v>
      </c>
    </row>
    <row r="29279">
      <c r="A29279" s="3" t="s">
        <v>45784</v>
      </c>
      <c r="B29279" s="3" t="s">
        <v>23426</v>
      </c>
      <c r="C29279" s="5" t="s">
        <v>614</v>
      </c>
      <c r="D29279" s="3" t="s">
        <v>206</v>
      </c>
      <c r="E29279" s="3" t="s">
        <v>100</v>
      </c>
      <c r="F29279" s="7">
        <v>46306.56944444444</v>
      </c>
      <c r="G29279" s="3" t="s">
        <v>12744</v>
      </c>
    </row>
    <row r="29280">
      <c r="A29280" s="3" t="s">
        <v>45785</v>
      </c>
      <c r="B29280" s="3" t="s">
        <v>23428</v>
      </c>
      <c r="C29280" s="5" t="s">
        <v>45</v>
      </c>
      <c r="D29280" s="3" t="s">
        <v>221</v>
      </c>
      <c r="E29280" s="3" t="s">
        <v>584</v>
      </c>
      <c r="F29280" s="7">
        <v>46306.583333333336</v>
      </c>
      <c r="G29280" s="3" t="s">
        <v>12969</v>
      </c>
    </row>
    <row r="29281">
      <c r="A29281" s="3" t="s">
        <v>45786</v>
      </c>
      <c r="B29281" s="3" t="s">
        <v>23431</v>
      </c>
      <c r="C29281" s="5" t="s">
        <v>45</v>
      </c>
      <c r="D29281" s="3" t="s">
        <v>221</v>
      </c>
      <c r="E29281" s="3" t="s">
        <v>816</v>
      </c>
      <c r="F29281" s="7">
        <v>46306.604166666664</v>
      </c>
      <c r="G29281" s="3" t="s">
        <v>2770</v>
      </c>
    </row>
    <row r="29282">
      <c r="A29282" s="3" t="s">
        <v>45787</v>
      </c>
      <c r="B29282" s="3" t="s">
        <v>23431</v>
      </c>
      <c r="C29282" s="5" t="s">
        <v>221</v>
      </c>
      <c r="D29282" s="3" t="s">
        <v>614</v>
      </c>
      <c r="E29282" s="3" t="s">
        <v>118</v>
      </c>
      <c r="F29282" s="7">
        <v>46306.60763888888</v>
      </c>
      <c r="G29282" s="3" t="s">
        <v>45491</v>
      </c>
    </row>
    <row r="29283">
      <c r="A29283" s="3" t="s">
        <v>45788</v>
      </c>
      <c r="B29283" s="3" t="s">
        <v>23431</v>
      </c>
      <c r="C29283" s="5" t="s">
        <v>614</v>
      </c>
      <c r="D29283" s="3" t="s">
        <v>206</v>
      </c>
      <c r="E29283" s="3" t="s">
        <v>100</v>
      </c>
      <c r="F29283" s="7">
        <v>46306.61111111111</v>
      </c>
      <c r="G29283" s="3" t="s">
        <v>45493</v>
      </c>
    </row>
    <row r="29284">
      <c r="A29284" s="3" t="s">
        <v>45789</v>
      </c>
      <c r="B29284" s="3" t="s">
        <v>23433</v>
      </c>
      <c r="C29284" s="5" t="s">
        <v>45</v>
      </c>
      <c r="D29284" s="3" t="s">
        <v>221</v>
      </c>
      <c r="E29284" s="3" t="s">
        <v>805</v>
      </c>
      <c r="F29284" s="7">
        <v>46306.62499999999</v>
      </c>
      <c r="G29284" s="3" t="s">
        <v>2770</v>
      </c>
    </row>
    <row r="29285">
      <c r="A29285" s="3" t="s">
        <v>45790</v>
      </c>
      <c r="B29285" s="3" t="s">
        <v>23435</v>
      </c>
      <c r="C29285" s="5" t="s">
        <v>45</v>
      </c>
      <c r="D29285" s="3" t="s">
        <v>221</v>
      </c>
      <c r="E29285" s="3" t="s">
        <v>1037</v>
      </c>
      <c r="F29285" s="7">
        <v>46306.645833333336</v>
      </c>
      <c r="G29285" s="3" t="s">
        <v>26188</v>
      </c>
    </row>
    <row r="29286">
      <c r="A29286" s="3" t="s">
        <v>45791</v>
      </c>
      <c r="B29286" s="3" t="s">
        <v>23435</v>
      </c>
      <c r="C29286" s="5" t="s">
        <v>221</v>
      </c>
      <c r="D29286" s="3" t="s">
        <v>614</v>
      </c>
      <c r="E29286" s="3" t="s">
        <v>118</v>
      </c>
      <c r="F29286" s="7">
        <v>46306.649305555555</v>
      </c>
      <c r="G29286" s="3" t="s">
        <v>26190</v>
      </c>
    </row>
    <row r="29287">
      <c r="A29287" s="3" t="s">
        <v>45792</v>
      </c>
      <c r="B29287" s="3" t="s">
        <v>23435</v>
      </c>
      <c r="C29287" s="5" t="s">
        <v>614</v>
      </c>
      <c r="D29287" s="3" t="s">
        <v>206</v>
      </c>
      <c r="E29287" s="3" t="s">
        <v>100</v>
      </c>
      <c r="F29287" s="7">
        <v>46306.65277777778</v>
      </c>
      <c r="G29287" s="3" t="s">
        <v>26192</v>
      </c>
    </row>
    <row r="29288">
      <c r="A29288" s="3" t="s">
        <v>45793</v>
      </c>
      <c r="B29288" s="3" t="s">
        <v>23437</v>
      </c>
      <c r="C29288" s="5" t="s">
        <v>45</v>
      </c>
      <c r="D29288" s="3" t="s">
        <v>221</v>
      </c>
      <c r="E29288" s="3" t="s">
        <v>591</v>
      </c>
      <c r="F29288" s="7">
        <v>46306.666666666664</v>
      </c>
      <c r="G29288" s="3" t="s">
        <v>11404</v>
      </c>
    </row>
    <row r="29289">
      <c r="A29289" s="3" t="s">
        <v>45794</v>
      </c>
      <c r="B29289" s="3" t="s">
        <v>23439</v>
      </c>
      <c r="C29289" s="5" t="s">
        <v>45</v>
      </c>
      <c r="D29289" s="3" t="s">
        <v>221</v>
      </c>
      <c r="E29289" s="3" t="s">
        <v>263</v>
      </c>
      <c r="F29289" s="7">
        <v>46306.68749999999</v>
      </c>
      <c r="G29289" s="3" t="s">
        <v>24790</v>
      </c>
    </row>
    <row r="29290">
      <c r="A29290" s="3" t="s">
        <v>45795</v>
      </c>
      <c r="B29290" s="3" t="s">
        <v>23439</v>
      </c>
      <c r="C29290" s="5" t="s">
        <v>221</v>
      </c>
      <c r="D29290" s="3" t="s">
        <v>614</v>
      </c>
      <c r="E29290" s="3" t="s">
        <v>118</v>
      </c>
      <c r="F29290" s="7">
        <v>46306.69097222221</v>
      </c>
      <c r="G29290" s="3" t="s">
        <v>45796</v>
      </c>
    </row>
    <row r="29291">
      <c r="A29291" s="3" t="s">
        <v>45797</v>
      </c>
      <c r="B29291" s="3" t="s">
        <v>23439</v>
      </c>
      <c r="C29291" s="5" t="s">
        <v>614</v>
      </c>
      <c r="D29291" s="3" t="s">
        <v>206</v>
      </c>
      <c r="E29291" s="3" t="s">
        <v>100</v>
      </c>
      <c r="F29291" s="7">
        <v>46306.69444444444</v>
      </c>
      <c r="G29291" s="3" t="s">
        <v>45798</v>
      </c>
    </row>
    <row r="29292">
      <c r="A29292" s="3" t="s">
        <v>45799</v>
      </c>
      <c r="B29292" s="3" t="s">
        <v>23441</v>
      </c>
      <c r="C29292" s="5" t="s">
        <v>45</v>
      </c>
      <c r="D29292" s="3" t="s">
        <v>221</v>
      </c>
      <c r="E29292" s="3" t="s">
        <v>826</v>
      </c>
      <c r="F29292" s="7">
        <v>46306.708333333336</v>
      </c>
      <c r="G29292" s="3" t="s">
        <v>15911</v>
      </c>
    </row>
    <row r="29293">
      <c r="A29293" s="3" t="s">
        <v>45800</v>
      </c>
      <c r="B29293" s="3" t="s">
        <v>23443</v>
      </c>
      <c r="C29293" s="5" t="s">
        <v>45</v>
      </c>
      <c r="D29293" s="3" t="s">
        <v>221</v>
      </c>
      <c r="E29293" s="3" t="s">
        <v>186</v>
      </c>
      <c r="F29293" s="7">
        <v>46306.729166666664</v>
      </c>
      <c r="G29293" s="3" t="s">
        <v>28862</v>
      </c>
    </row>
    <row r="29294">
      <c r="A29294" s="3" t="s">
        <v>45801</v>
      </c>
      <c r="B29294" s="3" t="s">
        <v>23443</v>
      </c>
      <c r="C29294" s="5" t="s">
        <v>221</v>
      </c>
      <c r="D29294" s="3" t="s">
        <v>614</v>
      </c>
      <c r="E29294" s="3" t="s">
        <v>118</v>
      </c>
      <c r="F29294" s="7">
        <v>46306.73263888888</v>
      </c>
      <c r="G29294" s="3" t="s">
        <v>28864</v>
      </c>
    </row>
    <row r="29295">
      <c r="A29295" s="3" t="s">
        <v>45802</v>
      </c>
      <c r="B29295" s="3" t="s">
        <v>23443</v>
      </c>
      <c r="C29295" s="5" t="s">
        <v>614</v>
      </c>
      <c r="D29295" s="3" t="s">
        <v>206</v>
      </c>
      <c r="E29295" s="3" t="s">
        <v>100</v>
      </c>
      <c r="F29295" s="7">
        <v>46306.73611111111</v>
      </c>
      <c r="G29295" s="3" t="s">
        <v>28866</v>
      </c>
    </row>
    <row r="29296">
      <c r="A29296" s="3" t="s">
        <v>45803</v>
      </c>
      <c r="B29296" s="3" t="s">
        <v>23445</v>
      </c>
      <c r="C29296" s="5" t="s">
        <v>45</v>
      </c>
      <c r="D29296" s="3" t="s">
        <v>221</v>
      </c>
      <c r="E29296" s="3" t="s">
        <v>627</v>
      </c>
      <c r="F29296" s="7">
        <v>46306.74999999999</v>
      </c>
      <c r="G29296" s="3" t="s">
        <v>16686</v>
      </c>
    </row>
    <row r="29297">
      <c r="A29297" s="3" t="s">
        <v>45804</v>
      </c>
      <c r="B29297" s="3" t="s">
        <v>23447</v>
      </c>
      <c r="C29297" s="5" t="s">
        <v>45</v>
      </c>
      <c r="D29297" s="3" t="s">
        <v>221</v>
      </c>
      <c r="E29297" s="3" t="s">
        <v>186</v>
      </c>
      <c r="F29297" s="7">
        <v>46306.770833333336</v>
      </c>
      <c r="G29297" s="3" t="s">
        <v>19658</v>
      </c>
    </row>
    <row r="29298">
      <c r="A29298" s="3" t="s">
        <v>45805</v>
      </c>
      <c r="B29298" s="3" t="s">
        <v>23447</v>
      </c>
      <c r="C29298" s="5" t="s">
        <v>221</v>
      </c>
      <c r="D29298" s="3" t="s">
        <v>614</v>
      </c>
      <c r="E29298" s="3" t="s">
        <v>118</v>
      </c>
      <c r="F29298" s="7">
        <v>46306.774305555555</v>
      </c>
      <c r="G29298" s="3" t="s">
        <v>19661</v>
      </c>
    </row>
    <row r="29299">
      <c r="A29299" s="3" t="s">
        <v>45806</v>
      </c>
      <c r="B29299" s="3" t="s">
        <v>23447</v>
      </c>
      <c r="C29299" s="5" t="s">
        <v>614</v>
      </c>
      <c r="D29299" s="3" t="s">
        <v>206</v>
      </c>
      <c r="E29299" s="3" t="s">
        <v>100</v>
      </c>
      <c r="F29299" s="7">
        <v>46306.77777777778</v>
      </c>
      <c r="G29299" s="3" t="s">
        <v>19664</v>
      </c>
    </row>
    <row r="29300">
      <c r="A29300" s="3" t="s">
        <v>45807</v>
      </c>
      <c r="B29300" s="3" t="s">
        <v>23449</v>
      </c>
      <c r="C29300" s="5" t="s">
        <v>45</v>
      </c>
      <c r="D29300" s="3" t="s">
        <v>221</v>
      </c>
      <c r="E29300" s="3" t="s">
        <v>734</v>
      </c>
      <c r="F29300" s="7">
        <v>46306.791666666664</v>
      </c>
      <c r="G29300" s="3" t="s">
        <v>12106</v>
      </c>
    </row>
    <row r="29301">
      <c r="A29301" s="3" t="s">
        <v>45808</v>
      </c>
      <c r="B29301" s="3" t="s">
        <v>23452</v>
      </c>
      <c r="C29301" s="5" t="s">
        <v>45</v>
      </c>
      <c r="D29301" s="3" t="s">
        <v>221</v>
      </c>
      <c r="E29301" s="3" t="s">
        <v>510</v>
      </c>
      <c r="F29301" s="7">
        <v>46306.81249999999</v>
      </c>
      <c r="G29301" s="3" t="s">
        <v>25413</v>
      </c>
    </row>
    <row r="29302">
      <c r="A29302" s="3" t="s">
        <v>45809</v>
      </c>
      <c r="B29302" s="3" t="s">
        <v>23452</v>
      </c>
      <c r="C29302" s="5" t="s">
        <v>221</v>
      </c>
      <c r="D29302" s="3" t="s">
        <v>614</v>
      </c>
      <c r="E29302" s="3" t="s">
        <v>118</v>
      </c>
      <c r="F29302" s="7">
        <v>46306.81597222221</v>
      </c>
      <c r="G29302" s="3" t="s">
        <v>25415</v>
      </c>
    </row>
    <row r="29303">
      <c r="A29303" s="3" t="s">
        <v>45810</v>
      </c>
      <c r="B29303" s="3" t="s">
        <v>23452</v>
      </c>
      <c r="C29303" s="5" t="s">
        <v>614</v>
      </c>
      <c r="D29303" s="3" t="s">
        <v>206</v>
      </c>
      <c r="E29303" s="3" t="s">
        <v>100</v>
      </c>
      <c r="F29303" s="7">
        <v>46306.81944444444</v>
      </c>
      <c r="G29303" s="3" t="s">
        <v>25417</v>
      </c>
    </row>
    <row r="29304">
      <c r="A29304" s="3" t="s">
        <v>45811</v>
      </c>
      <c r="B29304" s="3" t="s">
        <v>23455</v>
      </c>
      <c r="C29304" s="5" t="s">
        <v>45</v>
      </c>
      <c r="D29304" s="3" t="s">
        <v>221</v>
      </c>
      <c r="E29304" s="3" t="s">
        <v>186</v>
      </c>
      <c r="F29304" s="7">
        <v>46306.833333333336</v>
      </c>
      <c r="G29304" s="3" t="s">
        <v>19658</v>
      </c>
    </row>
    <row r="29305">
      <c r="A29305" s="3" t="s">
        <v>45812</v>
      </c>
      <c r="B29305" s="3" t="s">
        <v>23458</v>
      </c>
      <c r="C29305" s="5" t="s">
        <v>45</v>
      </c>
      <c r="D29305" s="3" t="s">
        <v>221</v>
      </c>
      <c r="E29305" s="3" t="s">
        <v>316</v>
      </c>
      <c r="F29305" s="7">
        <v>46306.854166666664</v>
      </c>
      <c r="G29305" s="3" t="s">
        <v>14148</v>
      </c>
    </row>
    <row r="29306">
      <c r="A29306" s="3" t="s">
        <v>45813</v>
      </c>
      <c r="B29306" s="3" t="s">
        <v>23458</v>
      </c>
      <c r="C29306" s="5" t="s">
        <v>221</v>
      </c>
      <c r="D29306" s="3" t="s">
        <v>614</v>
      </c>
      <c r="E29306" s="3" t="s">
        <v>118</v>
      </c>
      <c r="F29306" s="7">
        <v>46306.85763888888</v>
      </c>
      <c r="G29306" s="3" t="s">
        <v>14150</v>
      </c>
    </row>
    <row r="29307">
      <c r="A29307" s="3" t="s">
        <v>45814</v>
      </c>
      <c r="B29307" s="3" t="s">
        <v>23458</v>
      </c>
      <c r="C29307" s="5" t="s">
        <v>614</v>
      </c>
      <c r="D29307" s="3" t="s">
        <v>206</v>
      </c>
      <c r="E29307" s="3" t="s">
        <v>100</v>
      </c>
      <c r="F29307" s="7">
        <v>46306.86111111111</v>
      </c>
      <c r="G29307" s="3" t="s">
        <v>14153</v>
      </c>
    </row>
    <row r="29308">
      <c r="A29308" s="3" t="s">
        <v>45815</v>
      </c>
      <c r="B29308" s="3" t="s">
        <v>23461</v>
      </c>
      <c r="C29308" s="5" t="s">
        <v>45</v>
      </c>
      <c r="D29308" s="3" t="s">
        <v>221</v>
      </c>
      <c r="E29308" s="3" t="s">
        <v>472</v>
      </c>
      <c r="F29308" s="7">
        <v>46306.87499999999</v>
      </c>
      <c r="G29308" s="3" t="s">
        <v>2770</v>
      </c>
    </row>
    <row r="29309">
      <c r="A29309" s="3" t="s">
        <v>45816</v>
      </c>
      <c r="B29309" s="3" t="s">
        <v>23463</v>
      </c>
      <c r="C29309" s="5" t="s">
        <v>45</v>
      </c>
      <c r="D29309" s="3" t="s">
        <v>221</v>
      </c>
      <c r="E29309" s="3" t="s">
        <v>819</v>
      </c>
      <c r="F29309" s="7">
        <v>46306.895833333336</v>
      </c>
      <c r="G29309" s="3" t="s">
        <v>10161</v>
      </c>
    </row>
    <row r="29310">
      <c r="A29310" s="3" t="s">
        <v>45817</v>
      </c>
      <c r="B29310" s="3" t="s">
        <v>23463</v>
      </c>
      <c r="C29310" s="5" t="s">
        <v>221</v>
      </c>
      <c r="D29310" s="3" t="s">
        <v>614</v>
      </c>
      <c r="E29310" s="3" t="s">
        <v>118</v>
      </c>
      <c r="F29310" s="7">
        <v>46306.899305555555</v>
      </c>
      <c r="G29310" s="3" t="s">
        <v>10164</v>
      </c>
    </row>
    <row r="29311">
      <c r="A29311" s="3" t="s">
        <v>45818</v>
      </c>
      <c r="B29311" s="3" t="s">
        <v>23463</v>
      </c>
      <c r="C29311" s="5" t="s">
        <v>614</v>
      </c>
      <c r="D29311" s="3" t="s">
        <v>206</v>
      </c>
      <c r="E29311" s="3" t="s">
        <v>100</v>
      </c>
      <c r="F29311" s="7">
        <v>46306.90277777778</v>
      </c>
      <c r="G29311" s="3" t="s">
        <v>10167</v>
      </c>
    </row>
    <row r="29312">
      <c r="A29312" s="3" t="s">
        <v>45819</v>
      </c>
      <c r="B29312" s="3" t="s">
        <v>23464</v>
      </c>
      <c r="C29312" s="5" t="s">
        <v>45</v>
      </c>
      <c r="D29312" s="3" t="s">
        <v>221</v>
      </c>
      <c r="E29312" s="3" t="s">
        <v>789</v>
      </c>
      <c r="F29312" s="7">
        <v>46306.916666666664</v>
      </c>
      <c r="G29312" s="3" t="s">
        <v>16892</v>
      </c>
    </row>
    <row r="29313">
      <c r="A29313" s="3" t="s">
        <v>45820</v>
      </c>
      <c r="B29313" s="3" t="s">
        <v>23466</v>
      </c>
      <c r="C29313" s="5" t="s">
        <v>45</v>
      </c>
      <c r="D29313" s="3" t="s">
        <v>221</v>
      </c>
      <c r="E29313" s="3" t="s">
        <v>550</v>
      </c>
      <c r="F29313" s="7">
        <v>46306.93749999999</v>
      </c>
      <c r="G29313" s="3" t="s">
        <v>2770</v>
      </c>
    </row>
    <row r="29314">
      <c r="A29314" s="3" t="s">
        <v>45821</v>
      </c>
      <c r="B29314" s="3" t="s">
        <v>23466</v>
      </c>
      <c r="C29314" s="5" t="s">
        <v>221</v>
      </c>
      <c r="D29314" s="3" t="s">
        <v>614</v>
      </c>
      <c r="E29314" s="3" t="s">
        <v>118</v>
      </c>
      <c r="F29314" s="7">
        <v>46306.94097222221</v>
      </c>
      <c r="G29314" s="3" t="s">
        <v>45491</v>
      </c>
    </row>
    <row r="29315">
      <c r="A29315" s="3" t="s">
        <v>45822</v>
      </c>
      <c r="B29315" s="3" t="s">
        <v>23466</v>
      </c>
      <c r="C29315" s="5" t="s">
        <v>614</v>
      </c>
      <c r="D29315" s="3" t="s">
        <v>206</v>
      </c>
      <c r="E29315" s="3" t="s">
        <v>100</v>
      </c>
      <c r="F29315" s="7">
        <v>46306.94444444444</v>
      </c>
      <c r="G29315" s="3" t="s">
        <v>45493</v>
      </c>
    </row>
    <row r="29316">
      <c r="A29316" s="3" t="s">
        <v>45823</v>
      </c>
      <c r="B29316" s="3" t="s">
        <v>23468</v>
      </c>
      <c r="C29316" s="5" t="s">
        <v>45</v>
      </c>
      <c r="D29316" s="3" t="s">
        <v>221</v>
      </c>
      <c r="E29316" s="3" t="s">
        <v>363</v>
      </c>
      <c r="F29316" s="7">
        <v>46306.958333333336</v>
      </c>
      <c r="G29316" s="3" t="s">
        <v>2770</v>
      </c>
    </row>
    <row r="29317">
      <c r="A29317" s="3" t="s">
        <v>45824</v>
      </c>
      <c r="B29317" s="3" t="s">
        <v>23470</v>
      </c>
      <c r="C29317" s="5" t="s">
        <v>45</v>
      </c>
      <c r="D29317" s="3" t="s">
        <v>221</v>
      </c>
      <c r="E29317" s="3" t="s">
        <v>1034</v>
      </c>
      <c r="F29317" s="7">
        <v>46306.979166666664</v>
      </c>
      <c r="G29317" s="3" t="s">
        <v>2770</v>
      </c>
    </row>
    <row r="29318">
      <c r="A29318" s="3" t="s">
        <v>45825</v>
      </c>
      <c r="B29318" s="3" t="s">
        <v>23470</v>
      </c>
      <c r="C29318" s="5" t="s">
        <v>221</v>
      </c>
      <c r="D29318" s="3" t="s">
        <v>614</v>
      </c>
      <c r="E29318" s="3" t="s">
        <v>118</v>
      </c>
      <c r="F29318" s="7">
        <v>46306.98263888888</v>
      </c>
      <c r="G29318" s="3" t="s">
        <v>45491</v>
      </c>
    </row>
    <row r="29319">
      <c r="A29319" s="3" t="s">
        <v>45826</v>
      </c>
      <c r="B29319" s="3" t="s">
        <v>23470</v>
      </c>
      <c r="C29319" s="5" t="s">
        <v>614</v>
      </c>
      <c r="D29319" s="3" t="s">
        <v>206</v>
      </c>
      <c r="E29319" s="3" t="s">
        <v>100</v>
      </c>
      <c r="F29319" s="7">
        <v>46306.98611111111</v>
      </c>
      <c r="G29319" s="3" t="s">
        <v>45493</v>
      </c>
    </row>
    <row r="29320">
      <c r="A29320" s="3" t="s">
        <v>45827</v>
      </c>
      <c r="B29320" s="3" t="s">
        <v>23471</v>
      </c>
      <c r="C29320" s="5" t="s">
        <v>45</v>
      </c>
      <c r="D29320" s="3" t="s">
        <v>221</v>
      </c>
      <c r="E29320" s="3" t="s">
        <v>193</v>
      </c>
      <c r="F29320" s="7">
        <v>46306.99999999999</v>
      </c>
      <c r="G29320" s="3" t="s">
        <v>31690</v>
      </c>
    </row>
    <row r="29321">
      <c r="A29321" s="3" t="s">
        <v>45828</v>
      </c>
      <c r="B29321" s="3" t="s">
        <v>23473</v>
      </c>
      <c r="C29321" s="5" t="s">
        <v>45</v>
      </c>
      <c r="D29321" s="3" t="s">
        <v>221</v>
      </c>
      <c r="E29321" s="3" t="s">
        <v>1008</v>
      </c>
      <c r="F29321" s="7">
        <v>46307.020833333336</v>
      </c>
      <c r="G29321" s="3" t="s">
        <v>26300</v>
      </c>
    </row>
    <row r="29322">
      <c r="A29322" s="3" t="s">
        <v>45829</v>
      </c>
      <c r="B29322" s="3" t="s">
        <v>23473</v>
      </c>
      <c r="C29322" s="5" t="s">
        <v>221</v>
      </c>
      <c r="D29322" s="3" t="s">
        <v>614</v>
      </c>
      <c r="E29322" s="3" t="s">
        <v>118</v>
      </c>
      <c r="F29322" s="7">
        <v>46307.024305555555</v>
      </c>
      <c r="G29322" s="3" t="s">
        <v>26302</v>
      </c>
    </row>
    <row r="29323">
      <c r="A29323" s="3" t="s">
        <v>45830</v>
      </c>
      <c r="B29323" s="3" t="s">
        <v>23473</v>
      </c>
      <c r="C29323" s="5" t="s">
        <v>614</v>
      </c>
      <c r="D29323" s="3" t="s">
        <v>206</v>
      </c>
      <c r="E29323" s="3" t="s">
        <v>100</v>
      </c>
      <c r="F29323" s="7">
        <v>46307.02777777778</v>
      </c>
      <c r="G29323" s="3" t="s">
        <v>26304</v>
      </c>
    </row>
    <row r="29324">
      <c r="A29324" s="3" t="s">
        <v>45831</v>
      </c>
      <c r="B29324" s="3" t="s">
        <v>23475</v>
      </c>
      <c r="C29324" s="5" t="s">
        <v>45</v>
      </c>
      <c r="D29324" s="3" t="s">
        <v>221</v>
      </c>
      <c r="E29324" s="3" t="s">
        <v>900</v>
      </c>
      <c r="F29324" s="7">
        <v>46307.041666666664</v>
      </c>
      <c r="G29324" s="3" t="s">
        <v>2770</v>
      </c>
    </row>
    <row r="29325">
      <c r="A29325" s="3" t="s">
        <v>45832</v>
      </c>
      <c r="B29325" s="3" t="s">
        <v>23478</v>
      </c>
      <c r="C29325" s="5" t="s">
        <v>45</v>
      </c>
      <c r="D29325" s="3" t="s">
        <v>221</v>
      </c>
      <c r="E29325" s="3" t="s">
        <v>713</v>
      </c>
      <c r="F29325" s="7">
        <v>46307.06249999999</v>
      </c>
      <c r="G29325" s="3" t="s">
        <v>21463</v>
      </c>
    </row>
    <row r="29326">
      <c r="A29326" s="3" t="s">
        <v>45833</v>
      </c>
      <c r="B29326" s="3" t="s">
        <v>23478</v>
      </c>
      <c r="C29326" s="5" t="s">
        <v>221</v>
      </c>
      <c r="D29326" s="3" t="s">
        <v>614</v>
      </c>
      <c r="E29326" s="3" t="s">
        <v>118</v>
      </c>
      <c r="F29326" s="7">
        <v>46307.06597222221</v>
      </c>
      <c r="G29326" s="3" t="s">
        <v>21466</v>
      </c>
    </row>
    <row r="29327">
      <c r="A29327" s="3" t="s">
        <v>45834</v>
      </c>
      <c r="B29327" s="3" t="s">
        <v>23478</v>
      </c>
      <c r="C29327" s="5" t="s">
        <v>614</v>
      </c>
      <c r="D29327" s="3" t="s">
        <v>206</v>
      </c>
      <c r="E29327" s="3" t="s">
        <v>100</v>
      </c>
      <c r="F29327" s="7">
        <v>46307.06944444444</v>
      </c>
      <c r="G29327" s="3" t="s">
        <v>21468</v>
      </c>
    </row>
    <row r="29328">
      <c r="A29328" s="3" t="s">
        <v>45835</v>
      </c>
      <c r="B29328" s="3" t="s">
        <v>23479</v>
      </c>
      <c r="C29328" s="5" t="s">
        <v>45</v>
      </c>
      <c r="D29328" s="3" t="s">
        <v>221</v>
      </c>
      <c r="E29328" s="3" t="s">
        <v>388</v>
      </c>
      <c r="F29328" s="7">
        <v>46307.083333333336</v>
      </c>
      <c r="G29328" s="3" t="s">
        <v>6300</v>
      </c>
    </row>
    <row r="29329">
      <c r="A29329" s="3" t="s">
        <v>45836</v>
      </c>
      <c r="B29329" s="3" t="s">
        <v>23481</v>
      </c>
      <c r="C29329" s="5" t="s">
        <v>45</v>
      </c>
      <c r="D29329" s="3" t="s">
        <v>221</v>
      </c>
      <c r="E29329" s="3" t="s">
        <v>491</v>
      </c>
      <c r="F29329" s="7">
        <v>46307.104166666664</v>
      </c>
      <c r="G29329" s="3" t="s">
        <v>2770</v>
      </c>
    </row>
    <row r="29330">
      <c r="A29330" s="3" t="s">
        <v>45837</v>
      </c>
      <c r="B29330" s="3" t="s">
        <v>23481</v>
      </c>
      <c r="C29330" s="5" t="s">
        <v>221</v>
      </c>
      <c r="D29330" s="3" t="s">
        <v>614</v>
      </c>
      <c r="E29330" s="3" t="s">
        <v>118</v>
      </c>
      <c r="F29330" s="7">
        <v>46307.10763888888</v>
      </c>
      <c r="G29330" s="3" t="s">
        <v>45491</v>
      </c>
    </row>
    <row r="29331">
      <c r="A29331" s="3" t="s">
        <v>45838</v>
      </c>
      <c r="B29331" s="3" t="s">
        <v>23481</v>
      </c>
      <c r="C29331" s="5" t="s">
        <v>614</v>
      </c>
      <c r="D29331" s="3" t="s">
        <v>206</v>
      </c>
      <c r="E29331" s="3" t="s">
        <v>100</v>
      </c>
      <c r="F29331" s="7">
        <v>46307.11111111111</v>
      </c>
      <c r="G29331" s="3" t="s">
        <v>45493</v>
      </c>
    </row>
    <row r="29332">
      <c r="A29332" s="3" t="s">
        <v>45839</v>
      </c>
      <c r="B29332" s="3" t="s">
        <v>23483</v>
      </c>
      <c r="C29332" s="5" t="s">
        <v>45</v>
      </c>
      <c r="D29332" s="3" t="s">
        <v>221</v>
      </c>
      <c r="E29332" s="3" t="s">
        <v>197</v>
      </c>
      <c r="F29332" s="7">
        <v>46307.12499999999</v>
      </c>
      <c r="G29332" s="3" t="s">
        <v>13071</v>
      </c>
    </row>
    <row r="29333">
      <c r="A29333" s="3" t="s">
        <v>45840</v>
      </c>
      <c r="B29333" s="3" t="s">
        <v>23485</v>
      </c>
      <c r="C29333" s="5" t="s">
        <v>45</v>
      </c>
      <c r="D29333" s="3" t="s">
        <v>221</v>
      </c>
      <c r="E29333" s="3" t="s">
        <v>689</v>
      </c>
      <c r="F29333" s="7">
        <v>46307.145833333336</v>
      </c>
      <c r="G29333" s="3" t="s">
        <v>11915</v>
      </c>
    </row>
    <row r="29334">
      <c r="A29334" s="3" t="s">
        <v>45841</v>
      </c>
      <c r="B29334" s="3" t="s">
        <v>23485</v>
      </c>
      <c r="C29334" s="5" t="s">
        <v>221</v>
      </c>
      <c r="D29334" s="3" t="s">
        <v>614</v>
      </c>
      <c r="E29334" s="3" t="s">
        <v>118</v>
      </c>
      <c r="F29334" s="7">
        <v>46307.149305555555</v>
      </c>
      <c r="G29334" s="3" t="s">
        <v>11918</v>
      </c>
    </row>
    <row r="29335">
      <c r="A29335" s="3" t="s">
        <v>45842</v>
      </c>
      <c r="B29335" s="3" t="s">
        <v>23485</v>
      </c>
      <c r="C29335" s="5" t="s">
        <v>614</v>
      </c>
      <c r="D29335" s="3" t="s">
        <v>206</v>
      </c>
      <c r="E29335" s="3" t="s">
        <v>100</v>
      </c>
      <c r="F29335" s="7">
        <v>46307.15277777778</v>
      </c>
      <c r="G29335" s="3" t="s">
        <v>11921</v>
      </c>
    </row>
    <row r="29336">
      <c r="A29336" s="3" t="s">
        <v>45843</v>
      </c>
      <c r="B29336" s="3" t="s">
        <v>23487</v>
      </c>
      <c r="C29336" s="5" t="s">
        <v>45</v>
      </c>
      <c r="D29336" s="3" t="s">
        <v>221</v>
      </c>
      <c r="E29336" s="3" t="s">
        <v>512</v>
      </c>
      <c r="F29336" s="7">
        <v>46307.166666666664</v>
      </c>
      <c r="G29336" s="3" t="s">
        <v>16789</v>
      </c>
    </row>
    <row r="29337">
      <c r="A29337" s="3" t="s">
        <v>45844</v>
      </c>
      <c r="B29337" s="3" t="s">
        <v>23489</v>
      </c>
      <c r="C29337" s="5" t="s">
        <v>45</v>
      </c>
      <c r="D29337" s="3" t="s">
        <v>221</v>
      </c>
      <c r="E29337" s="3" t="s">
        <v>796</v>
      </c>
      <c r="F29337" s="7">
        <v>46307.18749999999</v>
      </c>
      <c r="G29337" s="3" t="s">
        <v>35626</v>
      </c>
    </row>
    <row r="29338">
      <c r="A29338" s="3" t="s">
        <v>45845</v>
      </c>
      <c r="B29338" s="3" t="s">
        <v>23489</v>
      </c>
      <c r="C29338" s="5" t="s">
        <v>221</v>
      </c>
      <c r="D29338" s="3" t="s">
        <v>614</v>
      </c>
      <c r="E29338" s="3" t="s">
        <v>118</v>
      </c>
      <c r="F29338" s="7">
        <v>46307.19097222221</v>
      </c>
      <c r="G29338" s="3" t="s">
        <v>35628</v>
      </c>
    </row>
    <row r="29339">
      <c r="A29339" s="3" t="s">
        <v>45846</v>
      </c>
      <c r="B29339" s="3" t="s">
        <v>23489</v>
      </c>
      <c r="C29339" s="5" t="s">
        <v>614</v>
      </c>
      <c r="D29339" s="3" t="s">
        <v>206</v>
      </c>
      <c r="E29339" s="3" t="s">
        <v>100</v>
      </c>
      <c r="F29339" s="7">
        <v>46307.19444444444</v>
      </c>
      <c r="G29339" s="3" t="s">
        <v>35630</v>
      </c>
    </row>
    <row r="29340">
      <c r="A29340" s="3" t="s">
        <v>45847</v>
      </c>
      <c r="B29340" s="3" t="s">
        <v>23491</v>
      </c>
      <c r="C29340" s="5" t="s">
        <v>45</v>
      </c>
      <c r="D29340" s="3" t="s">
        <v>221</v>
      </c>
      <c r="E29340" s="3" t="s">
        <v>424</v>
      </c>
      <c r="F29340" s="7">
        <v>46307.208333333336</v>
      </c>
      <c r="G29340" s="3" t="s">
        <v>20491</v>
      </c>
    </row>
    <row r="29341">
      <c r="A29341" s="3" t="s">
        <v>45848</v>
      </c>
      <c r="B29341" s="3" t="s">
        <v>23492</v>
      </c>
      <c r="C29341" s="5" t="s">
        <v>45</v>
      </c>
      <c r="D29341" s="3" t="s">
        <v>221</v>
      </c>
      <c r="E29341" s="3" t="s">
        <v>363</v>
      </c>
      <c r="F29341" s="7">
        <v>46307.229166666664</v>
      </c>
      <c r="G29341" s="3" t="s">
        <v>2770</v>
      </c>
    </row>
    <row r="29342">
      <c r="A29342" s="3" t="s">
        <v>45849</v>
      </c>
      <c r="B29342" s="3" t="s">
        <v>23492</v>
      </c>
      <c r="C29342" s="5" t="s">
        <v>221</v>
      </c>
      <c r="D29342" s="3" t="s">
        <v>614</v>
      </c>
      <c r="E29342" s="3" t="s">
        <v>118</v>
      </c>
      <c r="F29342" s="7">
        <v>46307.23263888888</v>
      </c>
      <c r="G29342" s="3" t="s">
        <v>45491</v>
      </c>
    </row>
    <row r="29343">
      <c r="A29343" s="3" t="s">
        <v>45850</v>
      </c>
      <c r="B29343" s="3" t="s">
        <v>23492</v>
      </c>
      <c r="C29343" s="5" t="s">
        <v>614</v>
      </c>
      <c r="D29343" s="3" t="s">
        <v>206</v>
      </c>
      <c r="E29343" s="3" t="s">
        <v>100</v>
      </c>
      <c r="F29343" s="7">
        <v>46307.23611111111</v>
      </c>
      <c r="G29343" s="3" t="s">
        <v>45493</v>
      </c>
    </row>
    <row r="29344">
      <c r="A29344" s="3" t="s">
        <v>45851</v>
      </c>
      <c r="B29344" s="3" t="s">
        <v>23494</v>
      </c>
      <c r="C29344" s="5" t="s">
        <v>45</v>
      </c>
      <c r="D29344" s="3" t="s">
        <v>221</v>
      </c>
      <c r="E29344" s="3" t="s">
        <v>785</v>
      </c>
      <c r="F29344" s="7">
        <v>46307.24999999999</v>
      </c>
      <c r="G29344" s="3" t="s">
        <v>26136</v>
      </c>
    </row>
    <row r="29345">
      <c r="A29345" s="3" t="s">
        <v>45852</v>
      </c>
      <c r="B29345" s="3" t="s">
        <v>23496</v>
      </c>
      <c r="C29345" s="5" t="s">
        <v>45</v>
      </c>
      <c r="D29345" s="3" t="s">
        <v>221</v>
      </c>
      <c r="E29345" s="3" t="s">
        <v>256</v>
      </c>
      <c r="F29345" s="7">
        <v>46307.270833333336</v>
      </c>
      <c r="G29345" s="3" t="s">
        <v>25813</v>
      </c>
    </row>
    <row r="29346">
      <c r="A29346" s="3" t="s">
        <v>45853</v>
      </c>
      <c r="B29346" s="3" t="s">
        <v>23496</v>
      </c>
      <c r="C29346" s="5" t="s">
        <v>221</v>
      </c>
      <c r="D29346" s="3" t="s">
        <v>614</v>
      </c>
      <c r="E29346" s="3" t="s">
        <v>118</v>
      </c>
      <c r="F29346" s="7">
        <v>46307.274305555555</v>
      </c>
      <c r="G29346" s="3" t="s">
        <v>27432</v>
      </c>
    </row>
    <row r="29347">
      <c r="A29347" s="3" t="s">
        <v>45854</v>
      </c>
      <c r="B29347" s="3" t="s">
        <v>23496</v>
      </c>
      <c r="C29347" s="5" t="s">
        <v>614</v>
      </c>
      <c r="D29347" s="3" t="s">
        <v>206</v>
      </c>
      <c r="E29347" s="3" t="s">
        <v>100</v>
      </c>
      <c r="F29347" s="7">
        <v>46307.27777777778</v>
      </c>
      <c r="G29347" s="3" t="s">
        <v>27434</v>
      </c>
    </row>
    <row r="29348">
      <c r="A29348" s="3" t="s">
        <v>45855</v>
      </c>
      <c r="B29348" s="3" t="s">
        <v>23499</v>
      </c>
      <c r="C29348" s="5" t="s">
        <v>45</v>
      </c>
      <c r="D29348" s="3" t="s">
        <v>221</v>
      </c>
      <c r="E29348" s="3" t="s">
        <v>632</v>
      </c>
      <c r="F29348" s="7">
        <v>46307.291666666664</v>
      </c>
      <c r="G29348" s="3" t="s">
        <v>2770</v>
      </c>
    </row>
    <row r="29349">
      <c r="A29349" s="3" t="s">
        <v>45856</v>
      </c>
      <c r="B29349" s="3" t="s">
        <v>23501</v>
      </c>
      <c r="C29349" s="5" t="s">
        <v>45</v>
      </c>
      <c r="D29349" s="3" t="s">
        <v>221</v>
      </c>
      <c r="E29349" s="3" t="s">
        <v>765</v>
      </c>
      <c r="F29349" s="7">
        <v>46307.31249999999</v>
      </c>
      <c r="G29349" s="3" t="s">
        <v>10940</v>
      </c>
    </row>
    <row r="29350">
      <c r="A29350" s="3" t="s">
        <v>45857</v>
      </c>
      <c r="B29350" s="3" t="s">
        <v>23501</v>
      </c>
      <c r="C29350" s="5" t="s">
        <v>221</v>
      </c>
      <c r="D29350" s="3" t="s">
        <v>614</v>
      </c>
      <c r="E29350" s="3" t="s">
        <v>118</v>
      </c>
      <c r="F29350" s="7">
        <v>46307.31597222221</v>
      </c>
      <c r="G29350" s="3" t="s">
        <v>10943</v>
      </c>
    </row>
    <row r="29351">
      <c r="A29351" s="3" t="s">
        <v>45858</v>
      </c>
      <c r="B29351" s="3" t="s">
        <v>23501</v>
      </c>
      <c r="C29351" s="5" t="s">
        <v>614</v>
      </c>
      <c r="D29351" s="3" t="s">
        <v>206</v>
      </c>
      <c r="E29351" s="3" t="s">
        <v>100</v>
      </c>
      <c r="F29351" s="7">
        <v>46307.31944444444</v>
      </c>
      <c r="G29351" s="3" t="s">
        <v>10946</v>
      </c>
    </row>
    <row r="29352">
      <c r="A29352" s="3" t="s">
        <v>45859</v>
      </c>
      <c r="B29352" s="3" t="s">
        <v>23504</v>
      </c>
      <c r="C29352" s="5" t="s">
        <v>45</v>
      </c>
      <c r="D29352" s="3" t="s">
        <v>221</v>
      </c>
      <c r="E29352" s="3" t="s">
        <v>672</v>
      </c>
      <c r="F29352" s="7">
        <v>46307.333333333336</v>
      </c>
      <c r="G29352" s="3" t="s">
        <v>2770</v>
      </c>
    </row>
    <row r="29353">
      <c r="A29353" s="3" t="s">
        <v>45860</v>
      </c>
      <c r="B29353" s="3" t="s">
        <v>23507</v>
      </c>
      <c r="C29353" s="5" t="s">
        <v>45</v>
      </c>
      <c r="D29353" s="3" t="s">
        <v>221</v>
      </c>
      <c r="E29353" s="3" t="s">
        <v>462</v>
      </c>
      <c r="F29353" s="7">
        <v>46307.354166666664</v>
      </c>
      <c r="G29353" s="3" t="s">
        <v>11723</v>
      </c>
    </row>
    <row r="29354">
      <c r="A29354" s="3" t="s">
        <v>45861</v>
      </c>
      <c r="B29354" s="3" t="s">
        <v>23507</v>
      </c>
      <c r="C29354" s="5" t="s">
        <v>221</v>
      </c>
      <c r="D29354" s="3" t="s">
        <v>614</v>
      </c>
      <c r="E29354" s="3" t="s">
        <v>118</v>
      </c>
      <c r="F29354" s="7">
        <v>46307.35763888888</v>
      </c>
      <c r="G29354" s="3" t="s">
        <v>11725</v>
      </c>
    </row>
    <row r="29355">
      <c r="A29355" s="3" t="s">
        <v>45862</v>
      </c>
      <c r="B29355" s="3" t="s">
        <v>23507</v>
      </c>
      <c r="C29355" s="5" t="s">
        <v>614</v>
      </c>
      <c r="D29355" s="3" t="s">
        <v>206</v>
      </c>
      <c r="E29355" s="3" t="s">
        <v>100</v>
      </c>
      <c r="F29355" s="7">
        <v>46307.36111111111</v>
      </c>
      <c r="G29355" s="3" t="s">
        <v>11728</v>
      </c>
    </row>
    <row r="29356">
      <c r="A29356" s="3" t="s">
        <v>45863</v>
      </c>
      <c r="B29356" s="3" t="s">
        <v>23509</v>
      </c>
      <c r="C29356" s="5" t="s">
        <v>45</v>
      </c>
      <c r="D29356" s="3" t="s">
        <v>221</v>
      </c>
      <c r="E29356" s="3" t="s">
        <v>536</v>
      </c>
      <c r="F29356" s="7">
        <v>46307.37499999999</v>
      </c>
      <c r="G29356" s="3" t="s">
        <v>10250</v>
      </c>
    </row>
    <row r="29357">
      <c r="A29357" s="3" t="s">
        <v>45864</v>
      </c>
      <c r="B29357" s="3" t="s">
        <v>23511</v>
      </c>
      <c r="C29357" s="5" t="s">
        <v>45</v>
      </c>
      <c r="D29357" s="3" t="s">
        <v>221</v>
      </c>
      <c r="E29357" s="3" t="s">
        <v>903</v>
      </c>
      <c r="F29357" s="7">
        <v>46307.395833333336</v>
      </c>
      <c r="G29357" s="3" t="s">
        <v>2770</v>
      </c>
    </row>
    <row r="29358">
      <c r="A29358" s="3" t="s">
        <v>45865</v>
      </c>
      <c r="B29358" s="3" t="s">
        <v>23511</v>
      </c>
      <c r="C29358" s="5" t="s">
        <v>221</v>
      </c>
      <c r="D29358" s="3" t="s">
        <v>614</v>
      </c>
      <c r="E29358" s="3" t="s">
        <v>118</v>
      </c>
      <c r="F29358" s="7">
        <v>46307.399305555555</v>
      </c>
      <c r="G29358" s="3" t="s">
        <v>45491</v>
      </c>
    </row>
    <row r="29359">
      <c r="A29359" s="3" t="s">
        <v>45866</v>
      </c>
      <c r="B29359" s="3" t="s">
        <v>23511</v>
      </c>
      <c r="C29359" s="5" t="s">
        <v>614</v>
      </c>
      <c r="D29359" s="3" t="s">
        <v>206</v>
      </c>
      <c r="E29359" s="3" t="s">
        <v>100</v>
      </c>
      <c r="F29359" s="7">
        <v>46307.40277777778</v>
      </c>
      <c r="G29359" s="3" t="s">
        <v>45493</v>
      </c>
    </row>
    <row r="29360">
      <c r="A29360" s="3" t="s">
        <v>45867</v>
      </c>
      <c r="B29360" s="3" t="s">
        <v>23513</v>
      </c>
      <c r="C29360" s="5" t="s">
        <v>45</v>
      </c>
      <c r="D29360" s="3" t="s">
        <v>221</v>
      </c>
      <c r="E29360" s="3" t="s">
        <v>579</v>
      </c>
      <c r="F29360" s="7">
        <v>46307.416666666664</v>
      </c>
      <c r="G29360" s="3" t="s">
        <v>32601</v>
      </c>
    </row>
    <row r="29361">
      <c r="A29361" s="3" t="s">
        <v>45868</v>
      </c>
      <c r="B29361" s="3" t="s">
        <v>23515</v>
      </c>
      <c r="C29361" s="5" t="s">
        <v>45</v>
      </c>
      <c r="D29361" s="3" t="s">
        <v>221</v>
      </c>
      <c r="E29361" s="3" t="s">
        <v>287</v>
      </c>
      <c r="F29361" s="7">
        <v>46307.43749999999</v>
      </c>
      <c r="G29361" s="3" t="s">
        <v>2770</v>
      </c>
    </row>
    <row r="29362">
      <c r="A29362" s="3" t="s">
        <v>45869</v>
      </c>
      <c r="B29362" s="3" t="s">
        <v>23515</v>
      </c>
      <c r="C29362" s="5" t="s">
        <v>221</v>
      </c>
      <c r="D29362" s="3" t="s">
        <v>614</v>
      </c>
      <c r="E29362" s="3" t="s">
        <v>118</v>
      </c>
      <c r="F29362" s="7">
        <v>46307.44097222221</v>
      </c>
      <c r="G29362" s="3" t="s">
        <v>45491</v>
      </c>
    </row>
    <row r="29363">
      <c r="A29363" s="3" t="s">
        <v>45870</v>
      </c>
      <c r="B29363" s="3" t="s">
        <v>23515</v>
      </c>
      <c r="C29363" s="5" t="s">
        <v>614</v>
      </c>
      <c r="D29363" s="3" t="s">
        <v>206</v>
      </c>
      <c r="E29363" s="3" t="s">
        <v>100</v>
      </c>
      <c r="F29363" s="7">
        <v>46307.44444444444</v>
      </c>
      <c r="G29363" s="3" t="s">
        <v>45493</v>
      </c>
    </row>
    <row r="29364">
      <c r="A29364" s="3" t="s">
        <v>45871</v>
      </c>
      <c r="B29364" s="3" t="s">
        <v>23517</v>
      </c>
      <c r="C29364" s="5" t="s">
        <v>45</v>
      </c>
      <c r="D29364" s="3" t="s">
        <v>221</v>
      </c>
      <c r="E29364" s="3" t="s">
        <v>505</v>
      </c>
      <c r="F29364" s="7">
        <v>46307.458333333336</v>
      </c>
      <c r="G29364" s="3" t="s">
        <v>21732</v>
      </c>
    </row>
    <row r="29365">
      <c r="A29365" s="3" t="s">
        <v>45872</v>
      </c>
      <c r="B29365" s="3" t="s">
        <v>23519</v>
      </c>
      <c r="C29365" s="5" t="s">
        <v>45</v>
      </c>
      <c r="D29365" s="3" t="s">
        <v>221</v>
      </c>
      <c r="E29365" s="3" t="s">
        <v>819</v>
      </c>
      <c r="F29365" s="7">
        <v>46307.479166666664</v>
      </c>
      <c r="G29365" s="3" t="s">
        <v>10161</v>
      </c>
    </row>
    <row r="29366">
      <c r="A29366" s="3" t="s">
        <v>45873</v>
      </c>
      <c r="B29366" s="3" t="s">
        <v>23519</v>
      </c>
      <c r="C29366" s="5" t="s">
        <v>221</v>
      </c>
      <c r="D29366" s="3" t="s">
        <v>614</v>
      </c>
      <c r="E29366" s="3" t="s">
        <v>118</v>
      </c>
      <c r="F29366" s="7">
        <v>46307.48263888888</v>
      </c>
      <c r="G29366" s="3" t="s">
        <v>10164</v>
      </c>
    </row>
    <row r="29367">
      <c r="A29367" s="3" t="s">
        <v>45874</v>
      </c>
      <c r="B29367" s="3" t="s">
        <v>23519</v>
      </c>
      <c r="C29367" s="5" t="s">
        <v>614</v>
      </c>
      <c r="D29367" s="3" t="s">
        <v>206</v>
      </c>
      <c r="E29367" s="3" t="s">
        <v>100</v>
      </c>
      <c r="F29367" s="7">
        <v>46307.48611111111</v>
      </c>
      <c r="G29367" s="3" t="s">
        <v>10167</v>
      </c>
    </row>
    <row r="29368">
      <c r="A29368" s="3" t="s">
        <v>45875</v>
      </c>
      <c r="B29368" s="3" t="s">
        <v>23521</v>
      </c>
      <c r="C29368" s="5" t="s">
        <v>45</v>
      </c>
      <c r="D29368" s="3" t="s">
        <v>221</v>
      </c>
      <c r="E29368" s="3" t="s">
        <v>601</v>
      </c>
      <c r="F29368" s="7">
        <v>46307.49999999999</v>
      </c>
      <c r="G29368" s="3" t="s">
        <v>40407</v>
      </c>
    </row>
    <row r="29369">
      <c r="A29369" s="3" t="s">
        <v>45876</v>
      </c>
      <c r="B29369" s="3" t="s">
        <v>23524</v>
      </c>
      <c r="C29369" s="5" t="s">
        <v>45</v>
      </c>
      <c r="D29369" s="3" t="s">
        <v>221</v>
      </c>
      <c r="E29369" s="3" t="s">
        <v>561</v>
      </c>
      <c r="F29369" s="7">
        <v>46307.520833333336</v>
      </c>
      <c r="G29369" s="3" t="s">
        <v>23394</v>
      </c>
    </row>
    <row r="29370">
      <c r="A29370" s="3" t="s">
        <v>45877</v>
      </c>
      <c r="B29370" s="3" t="s">
        <v>23524</v>
      </c>
      <c r="C29370" s="5" t="s">
        <v>221</v>
      </c>
      <c r="D29370" s="3" t="s">
        <v>614</v>
      </c>
      <c r="E29370" s="3" t="s">
        <v>118</v>
      </c>
      <c r="F29370" s="7">
        <v>46307.524305555555</v>
      </c>
      <c r="G29370" s="3" t="s">
        <v>23396</v>
      </c>
    </row>
    <row r="29371">
      <c r="A29371" s="3" t="s">
        <v>45878</v>
      </c>
      <c r="B29371" s="3" t="s">
        <v>23524</v>
      </c>
      <c r="C29371" s="5" t="s">
        <v>614</v>
      </c>
      <c r="D29371" s="3" t="s">
        <v>206</v>
      </c>
      <c r="E29371" s="3" t="s">
        <v>100</v>
      </c>
      <c r="F29371" s="7">
        <v>46307.52777777778</v>
      </c>
      <c r="G29371" s="3" t="s">
        <v>23399</v>
      </c>
    </row>
    <row r="29372">
      <c r="A29372" s="3" t="s">
        <v>45879</v>
      </c>
      <c r="B29372" s="3" t="s">
        <v>23526</v>
      </c>
      <c r="C29372" s="5" t="s">
        <v>45</v>
      </c>
      <c r="D29372" s="3" t="s">
        <v>221</v>
      </c>
      <c r="E29372" s="3" t="s">
        <v>310</v>
      </c>
      <c r="F29372" s="7">
        <v>46307.541666666664</v>
      </c>
      <c r="G29372" s="3" t="s">
        <v>14950</v>
      </c>
    </row>
    <row r="29373">
      <c r="A29373" s="3" t="s">
        <v>45880</v>
      </c>
      <c r="B29373" s="3" t="s">
        <v>23528</v>
      </c>
      <c r="C29373" s="5" t="s">
        <v>45</v>
      </c>
      <c r="D29373" s="3" t="s">
        <v>221</v>
      </c>
      <c r="E29373" s="3" t="s">
        <v>685</v>
      </c>
      <c r="F29373" s="7">
        <v>46307.56249999999</v>
      </c>
      <c r="G29373" s="3" t="s">
        <v>2770</v>
      </c>
    </row>
    <row r="29374">
      <c r="A29374" s="3" t="s">
        <v>45881</v>
      </c>
      <c r="B29374" s="3" t="s">
        <v>23528</v>
      </c>
      <c r="C29374" s="5" t="s">
        <v>221</v>
      </c>
      <c r="D29374" s="3" t="s">
        <v>614</v>
      </c>
      <c r="E29374" s="3" t="s">
        <v>118</v>
      </c>
      <c r="F29374" s="7">
        <v>46307.56597222221</v>
      </c>
      <c r="G29374" s="3" t="s">
        <v>45491</v>
      </c>
    </row>
    <row r="29375">
      <c r="A29375" s="3" t="s">
        <v>45882</v>
      </c>
      <c r="B29375" s="3" t="s">
        <v>23528</v>
      </c>
      <c r="C29375" s="5" t="s">
        <v>614</v>
      </c>
      <c r="D29375" s="3" t="s">
        <v>206</v>
      </c>
      <c r="E29375" s="3" t="s">
        <v>100</v>
      </c>
      <c r="F29375" s="7">
        <v>46307.56944444444</v>
      </c>
      <c r="G29375" s="3" t="s">
        <v>45493</v>
      </c>
    </row>
    <row r="29376">
      <c r="A29376" s="3" t="s">
        <v>45883</v>
      </c>
      <c r="B29376" s="3" t="s">
        <v>23530</v>
      </c>
      <c r="C29376" s="5" t="s">
        <v>45</v>
      </c>
      <c r="D29376" s="3" t="s">
        <v>221</v>
      </c>
      <c r="E29376" s="3" t="s">
        <v>976</v>
      </c>
      <c r="F29376" s="7">
        <v>46307.583333333336</v>
      </c>
      <c r="G29376" s="3" t="s">
        <v>24324</v>
      </c>
    </row>
    <row r="29377">
      <c r="A29377" s="3" t="s">
        <v>45884</v>
      </c>
      <c r="B29377" s="3" t="s">
        <v>23532</v>
      </c>
      <c r="C29377" s="5" t="s">
        <v>45</v>
      </c>
      <c r="D29377" s="3" t="s">
        <v>221</v>
      </c>
      <c r="E29377" s="3" t="s">
        <v>485</v>
      </c>
      <c r="F29377" s="7">
        <v>46307.604166666664</v>
      </c>
      <c r="G29377" s="3" t="s">
        <v>2770</v>
      </c>
    </row>
    <row r="29378">
      <c r="A29378" s="3" t="s">
        <v>45885</v>
      </c>
      <c r="B29378" s="3" t="s">
        <v>23532</v>
      </c>
      <c r="C29378" s="5" t="s">
        <v>221</v>
      </c>
      <c r="D29378" s="3" t="s">
        <v>614</v>
      </c>
      <c r="E29378" s="3" t="s">
        <v>118</v>
      </c>
      <c r="F29378" s="7">
        <v>46307.60763888888</v>
      </c>
      <c r="G29378" s="3" t="s">
        <v>45491</v>
      </c>
    </row>
    <row r="29379">
      <c r="A29379" s="3" t="s">
        <v>45886</v>
      </c>
      <c r="B29379" s="3" t="s">
        <v>23532</v>
      </c>
      <c r="C29379" s="5" t="s">
        <v>614</v>
      </c>
      <c r="D29379" s="3" t="s">
        <v>206</v>
      </c>
      <c r="E29379" s="3" t="s">
        <v>100</v>
      </c>
      <c r="F29379" s="7">
        <v>46307.61111111111</v>
      </c>
      <c r="G29379" s="3" t="s">
        <v>45493</v>
      </c>
    </row>
    <row r="29380">
      <c r="A29380" s="3" t="s">
        <v>45887</v>
      </c>
      <c r="B29380" s="3" t="s">
        <v>23534</v>
      </c>
      <c r="C29380" s="5" t="s">
        <v>45</v>
      </c>
      <c r="D29380" s="3" t="s">
        <v>221</v>
      </c>
      <c r="E29380" s="3" t="s">
        <v>853</v>
      </c>
      <c r="F29380" s="7">
        <v>46307.62499999999</v>
      </c>
      <c r="G29380" s="3" t="s">
        <v>23596</v>
      </c>
    </row>
    <row r="29381">
      <c r="A29381" s="3" t="s">
        <v>45888</v>
      </c>
      <c r="B29381" s="3" t="s">
        <v>23536</v>
      </c>
      <c r="C29381" s="5" t="s">
        <v>45</v>
      </c>
      <c r="D29381" s="3" t="s">
        <v>221</v>
      </c>
      <c r="E29381" s="3" t="s">
        <v>151</v>
      </c>
      <c r="F29381" s="7">
        <v>46307.645833333336</v>
      </c>
      <c r="G29381" s="3" t="s">
        <v>44619</v>
      </c>
    </row>
    <row r="29382">
      <c r="A29382" s="3" t="s">
        <v>45889</v>
      </c>
      <c r="B29382" s="3" t="s">
        <v>23536</v>
      </c>
      <c r="C29382" s="5" t="s">
        <v>221</v>
      </c>
      <c r="D29382" s="3" t="s">
        <v>614</v>
      </c>
      <c r="E29382" s="3" t="s">
        <v>118</v>
      </c>
      <c r="F29382" s="7">
        <v>46307.649305555555</v>
      </c>
      <c r="G29382" s="3" t="s">
        <v>45890</v>
      </c>
    </row>
    <row r="29383">
      <c r="A29383" s="3" t="s">
        <v>45891</v>
      </c>
      <c r="B29383" s="3" t="s">
        <v>23536</v>
      </c>
      <c r="C29383" s="5" t="s">
        <v>614</v>
      </c>
      <c r="D29383" s="3" t="s">
        <v>206</v>
      </c>
      <c r="E29383" s="3" t="s">
        <v>100</v>
      </c>
      <c r="F29383" s="7">
        <v>46307.65277777778</v>
      </c>
      <c r="G29383" s="3" t="s">
        <v>45892</v>
      </c>
    </row>
    <row r="29384">
      <c r="A29384" s="3" t="s">
        <v>45893</v>
      </c>
      <c r="B29384" s="3" t="s">
        <v>23538</v>
      </c>
      <c r="C29384" s="5" t="s">
        <v>45</v>
      </c>
      <c r="D29384" s="3" t="s">
        <v>221</v>
      </c>
      <c r="E29384" s="3" t="s">
        <v>455</v>
      </c>
      <c r="F29384" s="7">
        <v>46307.666666666664</v>
      </c>
      <c r="G29384" s="3" t="s">
        <v>15794</v>
      </c>
    </row>
    <row r="29385">
      <c r="A29385" s="3" t="s">
        <v>45894</v>
      </c>
      <c r="B29385" s="3" t="s">
        <v>23540</v>
      </c>
      <c r="C29385" s="5" t="s">
        <v>45</v>
      </c>
      <c r="D29385" s="3" t="s">
        <v>221</v>
      </c>
      <c r="E29385" s="3" t="s">
        <v>900</v>
      </c>
      <c r="F29385" s="7">
        <v>46307.68749999999</v>
      </c>
      <c r="G29385" s="3" t="s">
        <v>2770</v>
      </c>
    </row>
    <row r="29386">
      <c r="A29386" s="3" t="s">
        <v>45895</v>
      </c>
      <c r="B29386" s="3" t="s">
        <v>23540</v>
      </c>
      <c r="C29386" s="5" t="s">
        <v>221</v>
      </c>
      <c r="D29386" s="3" t="s">
        <v>614</v>
      </c>
      <c r="E29386" s="3" t="s">
        <v>118</v>
      </c>
      <c r="F29386" s="7">
        <v>46307.69097222221</v>
      </c>
      <c r="G29386" s="3" t="s">
        <v>45491</v>
      </c>
    </row>
    <row r="29387">
      <c r="A29387" s="3" t="s">
        <v>45896</v>
      </c>
      <c r="B29387" s="3" t="s">
        <v>23540</v>
      </c>
      <c r="C29387" s="5" t="s">
        <v>614</v>
      </c>
      <c r="D29387" s="3" t="s">
        <v>206</v>
      </c>
      <c r="E29387" s="3" t="s">
        <v>100</v>
      </c>
      <c r="F29387" s="7">
        <v>46307.69444444444</v>
      </c>
      <c r="G29387" s="3" t="s">
        <v>45493</v>
      </c>
    </row>
    <row r="29388">
      <c r="A29388" s="3" t="s">
        <v>45897</v>
      </c>
      <c r="B29388" s="3" t="s">
        <v>23542</v>
      </c>
      <c r="C29388" s="5" t="s">
        <v>45</v>
      </c>
      <c r="D29388" s="3" t="s">
        <v>221</v>
      </c>
      <c r="E29388" s="3" t="s">
        <v>665</v>
      </c>
      <c r="F29388" s="7">
        <v>46307.708333333336</v>
      </c>
      <c r="G29388" s="3" t="s">
        <v>21271</v>
      </c>
    </row>
    <row r="29389">
      <c r="A29389" s="3" t="s">
        <v>45898</v>
      </c>
      <c r="B29389" s="3" t="s">
        <v>23544</v>
      </c>
      <c r="C29389" s="5" t="s">
        <v>45</v>
      </c>
      <c r="D29389" s="3" t="s">
        <v>221</v>
      </c>
      <c r="E29389" s="3" t="s">
        <v>215</v>
      </c>
      <c r="F29389" s="7">
        <v>46307.729166666664</v>
      </c>
      <c r="G29389" s="3" t="s">
        <v>20276</v>
      </c>
    </row>
    <row r="29390">
      <c r="A29390" s="3" t="s">
        <v>45899</v>
      </c>
      <c r="B29390" s="3" t="s">
        <v>23544</v>
      </c>
      <c r="C29390" s="5" t="s">
        <v>221</v>
      </c>
      <c r="D29390" s="3" t="s">
        <v>614</v>
      </c>
      <c r="E29390" s="3" t="s">
        <v>118</v>
      </c>
      <c r="F29390" s="7">
        <v>46307.73263888888</v>
      </c>
      <c r="G29390" s="3" t="s">
        <v>20278</v>
      </c>
    </row>
    <row r="29391">
      <c r="A29391" s="3" t="s">
        <v>45900</v>
      </c>
      <c r="B29391" s="3" t="s">
        <v>23544</v>
      </c>
      <c r="C29391" s="5" t="s">
        <v>614</v>
      </c>
      <c r="D29391" s="3" t="s">
        <v>206</v>
      </c>
      <c r="E29391" s="3" t="s">
        <v>100</v>
      </c>
      <c r="F29391" s="7">
        <v>46307.73611111111</v>
      </c>
      <c r="G29391" s="3" t="s">
        <v>20281</v>
      </c>
    </row>
    <row r="29392">
      <c r="A29392" s="3" t="s">
        <v>45901</v>
      </c>
      <c r="B29392" s="3" t="s">
        <v>23546</v>
      </c>
      <c r="C29392" s="5" t="s">
        <v>45</v>
      </c>
      <c r="D29392" s="3" t="s">
        <v>221</v>
      </c>
      <c r="E29392" s="3" t="s">
        <v>516</v>
      </c>
      <c r="F29392" s="7">
        <v>46307.74999999999</v>
      </c>
      <c r="G29392" s="3" t="s">
        <v>4101</v>
      </c>
    </row>
    <row r="29393">
      <c r="A29393" s="3" t="s">
        <v>45902</v>
      </c>
      <c r="B29393" s="3" t="s">
        <v>23548</v>
      </c>
      <c r="C29393" s="5" t="s">
        <v>45</v>
      </c>
      <c r="D29393" s="3" t="s">
        <v>221</v>
      </c>
      <c r="E29393" s="3" t="s">
        <v>527</v>
      </c>
      <c r="F29393" s="7">
        <v>46307.770833333336</v>
      </c>
      <c r="G29393" s="3" t="s">
        <v>19636</v>
      </c>
    </row>
    <row r="29394">
      <c r="A29394" s="3" t="s">
        <v>45903</v>
      </c>
      <c r="B29394" s="3" t="s">
        <v>23548</v>
      </c>
      <c r="C29394" s="5" t="s">
        <v>221</v>
      </c>
      <c r="D29394" s="3" t="s">
        <v>614</v>
      </c>
      <c r="E29394" s="3" t="s">
        <v>118</v>
      </c>
      <c r="F29394" s="7">
        <v>46307.774305555555</v>
      </c>
      <c r="G29394" s="3" t="s">
        <v>19639</v>
      </c>
    </row>
    <row r="29395">
      <c r="A29395" s="3" t="s">
        <v>45904</v>
      </c>
      <c r="B29395" s="3" t="s">
        <v>23548</v>
      </c>
      <c r="C29395" s="5" t="s">
        <v>614</v>
      </c>
      <c r="D29395" s="3" t="s">
        <v>206</v>
      </c>
      <c r="E29395" s="3" t="s">
        <v>100</v>
      </c>
      <c r="F29395" s="7">
        <v>46307.77777777778</v>
      </c>
      <c r="G29395" s="3" t="s">
        <v>19641</v>
      </c>
    </row>
    <row r="29396">
      <c r="A29396" s="3" t="s">
        <v>45905</v>
      </c>
      <c r="B29396" s="3" t="s">
        <v>23551</v>
      </c>
      <c r="C29396" s="5" t="s">
        <v>45</v>
      </c>
      <c r="D29396" s="3" t="s">
        <v>221</v>
      </c>
      <c r="E29396" s="3" t="s">
        <v>151</v>
      </c>
      <c r="F29396" s="7">
        <v>46307.791666666664</v>
      </c>
      <c r="G29396" s="3" t="s">
        <v>16980</v>
      </c>
    </row>
    <row r="29397">
      <c r="A29397" s="3" t="s">
        <v>45906</v>
      </c>
      <c r="B29397" s="3" t="s">
        <v>23554</v>
      </c>
      <c r="C29397" s="5" t="s">
        <v>45</v>
      </c>
      <c r="D29397" s="3" t="s">
        <v>221</v>
      </c>
      <c r="E29397" s="3" t="s">
        <v>655</v>
      </c>
      <c r="F29397" s="7">
        <v>46307.81249999999</v>
      </c>
      <c r="G29397" s="3" t="s">
        <v>14328</v>
      </c>
    </row>
    <row r="29398">
      <c r="A29398" s="3" t="s">
        <v>45907</v>
      </c>
      <c r="B29398" s="3" t="s">
        <v>23554</v>
      </c>
      <c r="C29398" s="5" t="s">
        <v>221</v>
      </c>
      <c r="D29398" s="3" t="s">
        <v>614</v>
      </c>
      <c r="E29398" s="3" t="s">
        <v>118</v>
      </c>
      <c r="F29398" s="7">
        <v>46307.81597222221</v>
      </c>
      <c r="G29398" s="3" t="s">
        <v>14331</v>
      </c>
    </row>
    <row r="29399">
      <c r="A29399" s="3" t="s">
        <v>45908</v>
      </c>
      <c r="B29399" s="3" t="s">
        <v>23554</v>
      </c>
      <c r="C29399" s="5" t="s">
        <v>614</v>
      </c>
      <c r="D29399" s="3" t="s">
        <v>206</v>
      </c>
      <c r="E29399" s="3" t="s">
        <v>100</v>
      </c>
      <c r="F29399" s="7">
        <v>46307.81944444444</v>
      </c>
      <c r="G29399" s="3" t="s">
        <v>14335</v>
      </c>
    </row>
    <row r="29400">
      <c r="A29400" s="3" t="s">
        <v>45909</v>
      </c>
      <c r="B29400" s="3" t="s">
        <v>23556</v>
      </c>
      <c r="C29400" s="5" t="s">
        <v>45</v>
      </c>
      <c r="D29400" s="3" t="s">
        <v>221</v>
      </c>
      <c r="E29400" s="3" t="s">
        <v>380</v>
      </c>
      <c r="F29400" s="7">
        <v>46307.833333333336</v>
      </c>
      <c r="G29400" s="3" t="s">
        <v>17873</v>
      </c>
    </row>
    <row r="29401">
      <c r="A29401" s="3" t="s">
        <v>45910</v>
      </c>
      <c r="B29401" s="3" t="s">
        <v>23558</v>
      </c>
      <c r="C29401" s="5" t="s">
        <v>45</v>
      </c>
      <c r="D29401" s="3" t="s">
        <v>221</v>
      </c>
      <c r="E29401" s="3" t="s">
        <v>685</v>
      </c>
      <c r="F29401" s="7">
        <v>46307.854166666664</v>
      </c>
      <c r="G29401" s="3" t="s">
        <v>2770</v>
      </c>
    </row>
    <row r="29402">
      <c r="A29402" s="3" t="s">
        <v>45911</v>
      </c>
      <c r="B29402" s="3" t="s">
        <v>23558</v>
      </c>
      <c r="C29402" s="5" t="s">
        <v>221</v>
      </c>
      <c r="D29402" s="3" t="s">
        <v>614</v>
      </c>
      <c r="E29402" s="3" t="s">
        <v>118</v>
      </c>
      <c r="F29402" s="7">
        <v>46307.85763888888</v>
      </c>
      <c r="G29402" s="3" t="s">
        <v>45491</v>
      </c>
    </row>
    <row r="29403">
      <c r="A29403" s="3" t="s">
        <v>45912</v>
      </c>
      <c r="B29403" s="3" t="s">
        <v>23558</v>
      </c>
      <c r="C29403" s="5" t="s">
        <v>614</v>
      </c>
      <c r="D29403" s="3" t="s">
        <v>206</v>
      </c>
      <c r="E29403" s="3" t="s">
        <v>100</v>
      </c>
      <c r="F29403" s="7">
        <v>46307.86111111111</v>
      </c>
      <c r="G29403" s="3" t="s">
        <v>45493</v>
      </c>
    </row>
    <row r="29404">
      <c r="A29404" s="3" t="s">
        <v>45913</v>
      </c>
      <c r="B29404" s="3" t="s">
        <v>23561</v>
      </c>
      <c r="C29404" s="5" t="s">
        <v>45</v>
      </c>
      <c r="D29404" s="3" t="s">
        <v>221</v>
      </c>
      <c r="E29404" s="3" t="s">
        <v>662</v>
      </c>
      <c r="F29404" s="7">
        <v>46307.87499999999</v>
      </c>
      <c r="G29404" s="3" t="s">
        <v>19303</v>
      </c>
    </row>
    <row r="29405">
      <c r="A29405" s="3" t="s">
        <v>45914</v>
      </c>
      <c r="B29405" s="3" t="s">
        <v>23562</v>
      </c>
      <c r="C29405" s="5" t="s">
        <v>45</v>
      </c>
      <c r="D29405" s="3" t="s">
        <v>221</v>
      </c>
      <c r="E29405" s="3" t="s">
        <v>584</v>
      </c>
      <c r="F29405" s="7">
        <v>46307.895833333336</v>
      </c>
      <c r="G29405" s="3" t="s">
        <v>10910</v>
      </c>
    </row>
    <row r="29406">
      <c r="A29406" s="3" t="s">
        <v>45915</v>
      </c>
      <c r="B29406" s="3" t="s">
        <v>23562</v>
      </c>
      <c r="C29406" s="5" t="s">
        <v>221</v>
      </c>
      <c r="D29406" s="3" t="s">
        <v>614</v>
      </c>
      <c r="E29406" s="3" t="s">
        <v>118</v>
      </c>
      <c r="F29406" s="7">
        <v>46307.899305555555</v>
      </c>
      <c r="G29406" s="3" t="s">
        <v>25464</v>
      </c>
    </row>
    <row r="29407">
      <c r="A29407" s="3" t="s">
        <v>45916</v>
      </c>
      <c r="B29407" s="3" t="s">
        <v>23562</v>
      </c>
      <c r="C29407" s="5" t="s">
        <v>614</v>
      </c>
      <c r="D29407" s="3" t="s">
        <v>206</v>
      </c>
      <c r="E29407" s="3" t="s">
        <v>100</v>
      </c>
      <c r="F29407" s="7">
        <v>46307.90277777778</v>
      </c>
      <c r="G29407" s="3" t="s">
        <v>25466</v>
      </c>
    </row>
    <row r="29408">
      <c r="A29408" s="3" t="s">
        <v>45917</v>
      </c>
      <c r="B29408" s="3" t="s">
        <v>23564</v>
      </c>
      <c r="C29408" s="5" t="s">
        <v>45</v>
      </c>
      <c r="D29408" s="3" t="s">
        <v>221</v>
      </c>
      <c r="E29408" s="3" t="s">
        <v>1026</v>
      </c>
      <c r="F29408" s="7">
        <v>46307.916666666664</v>
      </c>
      <c r="G29408" s="3" t="s">
        <v>14549</v>
      </c>
    </row>
    <row r="29409">
      <c r="A29409" s="3" t="s">
        <v>45918</v>
      </c>
      <c r="B29409" s="3" t="s">
        <v>23567</v>
      </c>
      <c r="C29409" s="5" t="s">
        <v>45</v>
      </c>
      <c r="D29409" s="3" t="s">
        <v>221</v>
      </c>
      <c r="E29409" s="3" t="s">
        <v>204</v>
      </c>
      <c r="F29409" s="7">
        <v>46307.93749999999</v>
      </c>
      <c r="G29409" s="3" t="s">
        <v>24654</v>
      </c>
    </row>
    <row r="29410">
      <c r="A29410" s="3" t="s">
        <v>45919</v>
      </c>
      <c r="B29410" s="3" t="s">
        <v>23567</v>
      </c>
      <c r="C29410" s="5" t="s">
        <v>221</v>
      </c>
      <c r="D29410" s="3" t="s">
        <v>614</v>
      </c>
      <c r="E29410" s="3" t="s">
        <v>118</v>
      </c>
      <c r="F29410" s="7">
        <v>46307.94097222221</v>
      </c>
      <c r="G29410" s="3" t="s">
        <v>27459</v>
      </c>
    </row>
    <row r="29411">
      <c r="A29411" s="3" t="s">
        <v>45920</v>
      </c>
      <c r="B29411" s="3" t="s">
        <v>23567</v>
      </c>
      <c r="C29411" s="5" t="s">
        <v>614</v>
      </c>
      <c r="D29411" s="3" t="s">
        <v>206</v>
      </c>
      <c r="E29411" s="3" t="s">
        <v>100</v>
      </c>
      <c r="F29411" s="7">
        <v>46307.94444444444</v>
      </c>
      <c r="G29411" s="3" t="s">
        <v>27461</v>
      </c>
    </row>
    <row r="29412">
      <c r="A29412" s="3" t="s">
        <v>45921</v>
      </c>
      <c r="B29412" s="3" t="s">
        <v>23569</v>
      </c>
      <c r="C29412" s="5" t="s">
        <v>45</v>
      </c>
      <c r="D29412" s="3" t="s">
        <v>221</v>
      </c>
      <c r="E29412" s="3" t="s">
        <v>637</v>
      </c>
      <c r="F29412" s="7">
        <v>46307.958333333336</v>
      </c>
      <c r="G29412" s="3" t="s">
        <v>10105</v>
      </c>
    </row>
    <row r="29413">
      <c r="A29413" s="3" t="s">
        <v>45922</v>
      </c>
      <c r="B29413" s="3" t="s">
        <v>23571</v>
      </c>
      <c r="C29413" s="5" t="s">
        <v>45</v>
      </c>
      <c r="D29413" s="3" t="s">
        <v>221</v>
      </c>
      <c r="E29413" s="3" t="s">
        <v>204</v>
      </c>
      <c r="F29413" s="7">
        <v>46307.979166666664</v>
      </c>
      <c r="G29413" s="3" t="s">
        <v>24654</v>
      </c>
    </row>
    <row r="29414">
      <c r="A29414" s="3" t="s">
        <v>45923</v>
      </c>
      <c r="B29414" s="3" t="s">
        <v>23571</v>
      </c>
      <c r="C29414" s="5" t="s">
        <v>221</v>
      </c>
      <c r="D29414" s="3" t="s">
        <v>614</v>
      </c>
      <c r="E29414" s="3" t="s">
        <v>118</v>
      </c>
      <c r="F29414" s="7">
        <v>46307.98263888888</v>
      </c>
      <c r="G29414" s="3" t="s">
        <v>27459</v>
      </c>
    </row>
    <row r="29415">
      <c r="A29415" s="3" t="s">
        <v>45924</v>
      </c>
      <c r="B29415" s="3" t="s">
        <v>23571</v>
      </c>
      <c r="C29415" s="5" t="s">
        <v>614</v>
      </c>
      <c r="D29415" s="3" t="s">
        <v>206</v>
      </c>
      <c r="E29415" s="3" t="s">
        <v>100</v>
      </c>
      <c r="F29415" s="7">
        <v>46307.98611111111</v>
      </c>
      <c r="G29415" s="3" t="s">
        <v>27461</v>
      </c>
    </row>
    <row r="29416">
      <c r="A29416" s="3" t="s">
        <v>45925</v>
      </c>
      <c r="B29416" s="3" t="s">
        <v>23573</v>
      </c>
      <c r="C29416" s="5" t="s">
        <v>45</v>
      </c>
      <c r="D29416" s="3" t="s">
        <v>221</v>
      </c>
      <c r="E29416" s="3" t="s">
        <v>453</v>
      </c>
      <c r="F29416" s="7">
        <v>46307.99999999999</v>
      </c>
      <c r="G29416" s="3" t="s">
        <v>13859</v>
      </c>
    </row>
    <row r="29417">
      <c r="A29417" s="3" t="s">
        <v>45926</v>
      </c>
      <c r="B29417" s="3" t="s">
        <v>23575</v>
      </c>
      <c r="C29417" s="5" t="s">
        <v>45</v>
      </c>
      <c r="D29417" s="3" t="s">
        <v>221</v>
      </c>
      <c r="E29417" s="3" t="s">
        <v>778</v>
      </c>
      <c r="F29417" s="7">
        <v>46308.020833333336</v>
      </c>
      <c r="G29417" s="3" t="s">
        <v>2770</v>
      </c>
    </row>
    <row r="29418">
      <c r="A29418" s="3" t="s">
        <v>45927</v>
      </c>
      <c r="B29418" s="3" t="s">
        <v>23575</v>
      </c>
      <c r="C29418" s="5" t="s">
        <v>221</v>
      </c>
      <c r="D29418" s="3" t="s">
        <v>614</v>
      </c>
      <c r="E29418" s="3" t="s">
        <v>118</v>
      </c>
      <c r="F29418" s="7">
        <v>46308.024305555555</v>
      </c>
      <c r="G29418" s="3" t="s">
        <v>45491</v>
      </c>
    </row>
    <row r="29419">
      <c r="A29419" s="3" t="s">
        <v>45928</v>
      </c>
      <c r="B29419" s="3" t="s">
        <v>23575</v>
      </c>
      <c r="C29419" s="5" t="s">
        <v>614</v>
      </c>
      <c r="D29419" s="3" t="s">
        <v>206</v>
      </c>
      <c r="E29419" s="3" t="s">
        <v>100</v>
      </c>
      <c r="F29419" s="7">
        <v>46308.02777777778</v>
      </c>
      <c r="G29419" s="3" t="s">
        <v>45493</v>
      </c>
    </row>
    <row r="29420">
      <c r="A29420" s="3" t="s">
        <v>45929</v>
      </c>
      <c r="B29420" s="3" t="s">
        <v>23577</v>
      </c>
      <c r="C29420" s="5" t="s">
        <v>45</v>
      </c>
      <c r="D29420" s="3" t="s">
        <v>221</v>
      </c>
      <c r="E29420" s="3" t="s">
        <v>943</v>
      </c>
      <c r="F29420" s="7">
        <v>46308.041666666664</v>
      </c>
      <c r="G29420" s="3" t="s">
        <v>12438</v>
      </c>
    </row>
    <row r="29421">
      <c r="A29421" s="3" t="s">
        <v>45930</v>
      </c>
      <c r="B29421" s="3" t="s">
        <v>23579</v>
      </c>
      <c r="C29421" s="5" t="s">
        <v>45</v>
      </c>
      <c r="D29421" s="3" t="s">
        <v>221</v>
      </c>
      <c r="E29421" s="3" t="s">
        <v>969</v>
      </c>
      <c r="F29421" s="7">
        <v>46308.06249999999</v>
      </c>
      <c r="G29421" s="3" t="s">
        <v>2770</v>
      </c>
    </row>
    <row r="29422">
      <c r="A29422" s="3" t="s">
        <v>45931</v>
      </c>
      <c r="B29422" s="3" t="s">
        <v>23579</v>
      </c>
      <c r="C29422" s="5" t="s">
        <v>221</v>
      </c>
      <c r="D29422" s="3" t="s">
        <v>614</v>
      </c>
      <c r="E29422" s="3" t="s">
        <v>118</v>
      </c>
      <c r="F29422" s="7">
        <v>46308.06597222221</v>
      </c>
      <c r="G29422" s="3" t="s">
        <v>45491</v>
      </c>
    </row>
    <row r="29423">
      <c r="A29423" s="3" t="s">
        <v>45932</v>
      </c>
      <c r="B29423" s="3" t="s">
        <v>23579</v>
      </c>
      <c r="C29423" s="5" t="s">
        <v>614</v>
      </c>
      <c r="D29423" s="3" t="s">
        <v>206</v>
      </c>
      <c r="E29423" s="3" t="s">
        <v>100</v>
      </c>
      <c r="F29423" s="7">
        <v>46308.06944444444</v>
      </c>
      <c r="G29423" s="3" t="s">
        <v>45493</v>
      </c>
    </row>
    <row r="29424">
      <c r="A29424" s="3" t="s">
        <v>45933</v>
      </c>
      <c r="B29424" s="3" t="s">
        <v>23581</v>
      </c>
      <c r="C29424" s="5" t="s">
        <v>45</v>
      </c>
      <c r="D29424" s="3" t="s">
        <v>221</v>
      </c>
      <c r="E29424" s="3" t="s">
        <v>727</v>
      </c>
      <c r="F29424" s="7">
        <v>46308.083333333336</v>
      </c>
      <c r="G29424" s="3" t="s">
        <v>14836</v>
      </c>
    </row>
    <row r="29425">
      <c r="A29425" s="3" t="s">
        <v>45934</v>
      </c>
      <c r="B29425" s="3" t="s">
        <v>23583</v>
      </c>
      <c r="C29425" s="5" t="s">
        <v>45</v>
      </c>
      <c r="D29425" s="3" t="s">
        <v>221</v>
      </c>
      <c r="E29425" s="3" t="s">
        <v>584</v>
      </c>
      <c r="F29425" s="7">
        <v>46308.104166666664</v>
      </c>
      <c r="G29425" s="3" t="s">
        <v>12969</v>
      </c>
    </row>
    <row r="29426">
      <c r="A29426" s="3" t="s">
        <v>45935</v>
      </c>
      <c r="B29426" s="3" t="s">
        <v>23583</v>
      </c>
      <c r="C29426" s="5" t="s">
        <v>221</v>
      </c>
      <c r="D29426" s="3" t="s">
        <v>614</v>
      </c>
      <c r="E29426" s="3" t="s">
        <v>118</v>
      </c>
      <c r="F29426" s="7">
        <v>46308.10763888888</v>
      </c>
      <c r="G29426" s="3" t="s">
        <v>12972</v>
      </c>
    </row>
    <row r="29427">
      <c r="A29427" s="3" t="s">
        <v>45936</v>
      </c>
      <c r="B29427" s="3" t="s">
        <v>23583</v>
      </c>
      <c r="C29427" s="5" t="s">
        <v>614</v>
      </c>
      <c r="D29427" s="3" t="s">
        <v>206</v>
      </c>
      <c r="E29427" s="3" t="s">
        <v>100</v>
      </c>
      <c r="F29427" s="7">
        <v>46308.11111111111</v>
      </c>
      <c r="G29427" s="3" t="s">
        <v>12976</v>
      </c>
    </row>
    <row r="29428">
      <c r="A29428" s="3" t="s">
        <v>45937</v>
      </c>
      <c r="B29428" s="3" t="s">
        <v>23585</v>
      </c>
      <c r="C29428" s="5" t="s">
        <v>45</v>
      </c>
      <c r="D29428" s="3" t="s">
        <v>221</v>
      </c>
      <c r="E29428" s="3" t="s">
        <v>575</v>
      </c>
      <c r="F29428" s="7">
        <v>46308.12499999999</v>
      </c>
      <c r="G29428" s="3" t="s">
        <v>3073</v>
      </c>
    </row>
    <row r="29429">
      <c r="A29429" s="3" t="s">
        <v>45938</v>
      </c>
      <c r="B29429" s="3" t="s">
        <v>23587</v>
      </c>
      <c r="C29429" s="5" t="s">
        <v>45</v>
      </c>
      <c r="D29429" s="3" t="s">
        <v>221</v>
      </c>
      <c r="E29429" s="3" t="s">
        <v>510</v>
      </c>
      <c r="F29429" s="7">
        <v>46308.145833333336</v>
      </c>
      <c r="G29429" s="3" t="s">
        <v>25413</v>
      </c>
    </row>
    <row r="29430">
      <c r="A29430" s="3" t="s">
        <v>45939</v>
      </c>
      <c r="B29430" s="3" t="s">
        <v>23587</v>
      </c>
      <c r="C29430" s="5" t="s">
        <v>221</v>
      </c>
      <c r="D29430" s="3" t="s">
        <v>614</v>
      </c>
      <c r="E29430" s="3" t="s">
        <v>118</v>
      </c>
      <c r="F29430" s="7">
        <v>46308.149305555555</v>
      </c>
      <c r="G29430" s="3" t="s">
        <v>25415</v>
      </c>
    </row>
    <row r="29431">
      <c r="A29431" s="3" t="s">
        <v>45940</v>
      </c>
      <c r="B29431" s="3" t="s">
        <v>23587</v>
      </c>
      <c r="C29431" s="5" t="s">
        <v>614</v>
      </c>
      <c r="D29431" s="3" t="s">
        <v>206</v>
      </c>
      <c r="E29431" s="3" t="s">
        <v>100</v>
      </c>
      <c r="F29431" s="7">
        <v>46308.15277777778</v>
      </c>
      <c r="G29431" s="3" t="s">
        <v>25417</v>
      </c>
    </row>
    <row r="29432">
      <c r="A29432" s="3" t="s">
        <v>45941</v>
      </c>
      <c r="B29432" s="3" t="s">
        <v>23589</v>
      </c>
      <c r="C29432" s="5" t="s">
        <v>45</v>
      </c>
      <c r="D29432" s="3" t="s">
        <v>221</v>
      </c>
      <c r="E29432" s="3" t="s">
        <v>388</v>
      </c>
      <c r="F29432" s="7">
        <v>46308.166666666664</v>
      </c>
      <c r="G29432" s="3" t="s">
        <v>6300</v>
      </c>
    </row>
    <row r="29433">
      <c r="A29433" s="3" t="s">
        <v>45942</v>
      </c>
      <c r="B29433" s="3" t="s">
        <v>23591</v>
      </c>
      <c r="C29433" s="5" t="s">
        <v>45</v>
      </c>
      <c r="D29433" s="3" t="s">
        <v>221</v>
      </c>
      <c r="E29433" s="3" t="s">
        <v>215</v>
      </c>
      <c r="F29433" s="7">
        <v>46308.18749999999</v>
      </c>
      <c r="G29433" s="3" t="s">
        <v>20276</v>
      </c>
    </row>
    <row r="29434">
      <c r="A29434" s="3" t="s">
        <v>45943</v>
      </c>
      <c r="B29434" s="3" t="s">
        <v>23591</v>
      </c>
      <c r="C29434" s="5" t="s">
        <v>221</v>
      </c>
      <c r="D29434" s="3" t="s">
        <v>614</v>
      </c>
      <c r="E29434" s="3" t="s">
        <v>118</v>
      </c>
      <c r="F29434" s="7">
        <v>46308.19097222221</v>
      </c>
      <c r="G29434" s="3" t="s">
        <v>20278</v>
      </c>
    </row>
    <row r="29435">
      <c r="A29435" s="3" t="s">
        <v>45944</v>
      </c>
      <c r="B29435" s="3" t="s">
        <v>23591</v>
      </c>
      <c r="C29435" s="5" t="s">
        <v>614</v>
      </c>
      <c r="D29435" s="3" t="s">
        <v>206</v>
      </c>
      <c r="E29435" s="3" t="s">
        <v>100</v>
      </c>
      <c r="F29435" s="7">
        <v>46308.19444444444</v>
      </c>
      <c r="G29435" s="3" t="s">
        <v>20281</v>
      </c>
    </row>
    <row r="29436">
      <c r="A29436" s="3" t="s">
        <v>45945</v>
      </c>
      <c r="B29436" s="3" t="s">
        <v>23593</v>
      </c>
      <c r="C29436" s="5" t="s">
        <v>45</v>
      </c>
      <c r="D29436" s="3" t="s">
        <v>221</v>
      </c>
      <c r="E29436" s="3" t="s">
        <v>645</v>
      </c>
      <c r="F29436" s="7">
        <v>46308.208333333336</v>
      </c>
      <c r="G29436" s="3" t="s">
        <v>5999</v>
      </c>
    </row>
    <row r="29437">
      <c r="A29437" s="3" t="s">
        <v>45946</v>
      </c>
      <c r="B29437" s="3" t="s">
        <v>23595</v>
      </c>
      <c r="C29437" s="5" t="s">
        <v>45</v>
      </c>
      <c r="D29437" s="3" t="s">
        <v>221</v>
      </c>
      <c r="E29437" s="3" t="s">
        <v>789</v>
      </c>
      <c r="F29437" s="7">
        <v>46308.229166666664</v>
      </c>
      <c r="G29437" s="3" t="s">
        <v>16892</v>
      </c>
    </row>
    <row r="29438">
      <c r="A29438" s="3" t="s">
        <v>45947</v>
      </c>
      <c r="B29438" s="3" t="s">
        <v>23595</v>
      </c>
      <c r="C29438" s="5" t="s">
        <v>221</v>
      </c>
      <c r="D29438" s="3" t="s">
        <v>614</v>
      </c>
      <c r="E29438" s="3" t="s">
        <v>118</v>
      </c>
      <c r="F29438" s="7">
        <v>46308.23263888888</v>
      </c>
      <c r="G29438" s="3" t="s">
        <v>16895</v>
      </c>
    </row>
    <row r="29439">
      <c r="A29439" s="3" t="s">
        <v>45948</v>
      </c>
      <c r="B29439" s="3" t="s">
        <v>23595</v>
      </c>
      <c r="C29439" s="5" t="s">
        <v>614</v>
      </c>
      <c r="D29439" s="3" t="s">
        <v>206</v>
      </c>
      <c r="E29439" s="3" t="s">
        <v>100</v>
      </c>
      <c r="F29439" s="7">
        <v>46308.23611111111</v>
      </c>
      <c r="G29439" s="3" t="s">
        <v>16897</v>
      </c>
    </row>
    <row r="29440">
      <c r="A29440" s="3" t="s">
        <v>45949</v>
      </c>
      <c r="B29440" s="3" t="s">
        <v>23598</v>
      </c>
      <c r="C29440" s="5" t="s">
        <v>45</v>
      </c>
      <c r="D29440" s="3" t="s">
        <v>221</v>
      </c>
      <c r="E29440" s="3" t="s">
        <v>785</v>
      </c>
      <c r="F29440" s="7">
        <v>46308.24999999999</v>
      </c>
      <c r="G29440" s="3" t="s">
        <v>26136</v>
      </c>
    </row>
    <row r="29441">
      <c r="A29441" s="3" t="s">
        <v>45950</v>
      </c>
      <c r="B29441" s="3" t="s">
        <v>23601</v>
      </c>
      <c r="C29441" s="5" t="s">
        <v>45</v>
      </c>
      <c r="D29441" s="3" t="s">
        <v>221</v>
      </c>
      <c r="E29441" s="3" t="s">
        <v>598</v>
      </c>
      <c r="F29441" s="7">
        <v>46308.270833333336</v>
      </c>
      <c r="G29441" s="3" t="s">
        <v>2770</v>
      </c>
    </row>
    <row r="29442">
      <c r="A29442" s="3" t="s">
        <v>45951</v>
      </c>
      <c r="B29442" s="3" t="s">
        <v>23601</v>
      </c>
      <c r="C29442" s="5" t="s">
        <v>221</v>
      </c>
      <c r="D29442" s="3" t="s">
        <v>614</v>
      </c>
      <c r="E29442" s="3" t="s">
        <v>118</v>
      </c>
      <c r="F29442" s="7">
        <v>46308.274305555555</v>
      </c>
      <c r="G29442" s="3" t="s">
        <v>45491</v>
      </c>
    </row>
    <row r="29443">
      <c r="A29443" s="3" t="s">
        <v>45952</v>
      </c>
      <c r="B29443" s="3" t="s">
        <v>23601</v>
      </c>
      <c r="C29443" s="5" t="s">
        <v>614</v>
      </c>
      <c r="D29443" s="3" t="s">
        <v>206</v>
      </c>
      <c r="E29443" s="3" t="s">
        <v>100</v>
      </c>
      <c r="F29443" s="7">
        <v>46308.27777777778</v>
      </c>
      <c r="G29443" s="3" t="s">
        <v>45493</v>
      </c>
    </row>
    <row r="29444">
      <c r="A29444" s="3" t="s">
        <v>45953</v>
      </c>
      <c r="B29444" s="3" t="s">
        <v>23602</v>
      </c>
      <c r="C29444" s="5" t="s">
        <v>45</v>
      </c>
      <c r="D29444" s="3" t="s">
        <v>221</v>
      </c>
      <c r="E29444" s="3" t="s">
        <v>1001</v>
      </c>
      <c r="F29444" s="7">
        <v>46308.291666666664</v>
      </c>
      <c r="G29444" s="3" t="s">
        <v>2770</v>
      </c>
    </row>
    <row r="29445">
      <c r="A29445" s="3" t="s">
        <v>45954</v>
      </c>
      <c r="B29445" s="3" t="s">
        <v>23605</v>
      </c>
      <c r="C29445" s="5" t="s">
        <v>45</v>
      </c>
      <c r="D29445" s="3" t="s">
        <v>221</v>
      </c>
      <c r="E29445" s="3" t="s">
        <v>860</v>
      </c>
      <c r="F29445" s="7">
        <v>46308.31249999999</v>
      </c>
      <c r="G29445" s="3" t="s">
        <v>16961</v>
      </c>
    </row>
    <row r="29446">
      <c r="A29446" s="3" t="s">
        <v>45955</v>
      </c>
      <c r="B29446" s="3" t="s">
        <v>23605</v>
      </c>
      <c r="C29446" s="5" t="s">
        <v>221</v>
      </c>
      <c r="D29446" s="3" t="s">
        <v>614</v>
      </c>
      <c r="E29446" s="3" t="s">
        <v>118</v>
      </c>
      <c r="F29446" s="7">
        <v>46308.31597222221</v>
      </c>
      <c r="G29446" s="3" t="s">
        <v>16964</v>
      </c>
    </row>
    <row r="29447">
      <c r="A29447" s="3" t="s">
        <v>45956</v>
      </c>
      <c r="B29447" s="3" t="s">
        <v>23605</v>
      </c>
      <c r="C29447" s="5" t="s">
        <v>614</v>
      </c>
      <c r="D29447" s="3" t="s">
        <v>206</v>
      </c>
      <c r="E29447" s="3" t="s">
        <v>100</v>
      </c>
      <c r="F29447" s="7">
        <v>46308.31944444444</v>
      </c>
      <c r="G29447" s="3" t="s">
        <v>16967</v>
      </c>
    </row>
    <row r="29448">
      <c r="A29448" s="3" t="s">
        <v>45957</v>
      </c>
      <c r="B29448" s="3" t="s">
        <v>23608</v>
      </c>
      <c r="C29448" s="5" t="s">
        <v>45</v>
      </c>
      <c r="D29448" s="3" t="s">
        <v>221</v>
      </c>
      <c r="E29448" s="3" t="s">
        <v>391</v>
      </c>
      <c r="F29448" s="7">
        <v>46308.333333333336</v>
      </c>
      <c r="G29448" s="3" t="s">
        <v>21020</v>
      </c>
    </row>
    <row r="29449">
      <c r="A29449" s="3" t="s">
        <v>45958</v>
      </c>
      <c r="B29449" s="3" t="s">
        <v>23610</v>
      </c>
      <c r="C29449" s="5" t="s">
        <v>45</v>
      </c>
      <c r="D29449" s="3" t="s">
        <v>221</v>
      </c>
      <c r="E29449" s="3" t="s">
        <v>233</v>
      </c>
      <c r="F29449" s="7">
        <v>46308.354166666664</v>
      </c>
      <c r="G29449" s="3" t="s">
        <v>6973</v>
      </c>
    </row>
    <row r="29450">
      <c r="A29450" s="3" t="s">
        <v>45959</v>
      </c>
      <c r="B29450" s="3" t="s">
        <v>23610</v>
      </c>
      <c r="C29450" s="5" t="s">
        <v>221</v>
      </c>
      <c r="D29450" s="3" t="s">
        <v>614</v>
      </c>
      <c r="E29450" s="3" t="s">
        <v>118</v>
      </c>
      <c r="F29450" s="7">
        <v>46308.35763888888</v>
      </c>
      <c r="G29450" s="3" t="s">
        <v>6976</v>
      </c>
    </row>
    <row r="29451">
      <c r="A29451" s="3" t="s">
        <v>45960</v>
      </c>
      <c r="B29451" s="3" t="s">
        <v>23610</v>
      </c>
      <c r="C29451" s="5" t="s">
        <v>614</v>
      </c>
      <c r="D29451" s="3" t="s">
        <v>206</v>
      </c>
      <c r="E29451" s="3" t="s">
        <v>100</v>
      </c>
      <c r="F29451" s="7">
        <v>46308.36111111111</v>
      </c>
      <c r="G29451" s="3" t="s">
        <v>6979</v>
      </c>
    </row>
    <row r="29452">
      <c r="A29452" s="3" t="s">
        <v>45961</v>
      </c>
      <c r="B29452" s="3" t="s">
        <v>23611</v>
      </c>
      <c r="C29452" s="5" t="s">
        <v>45</v>
      </c>
      <c r="D29452" s="3" t="s">
        <v>221</v>
      </c>
      <c r="E29452" s="3" t="s">
        <v>886</v>
      </c>
      <c r="F29452" s="7">
        <v>46308.37499999999</v>
      </c>
      <c r="G29452" s="3" t="s">
        <v>24595</v>
      </c>
    </row>
    <row r="29453">
      <c r="A29453" s="3" t="s">
        <v>45962</v>
      </c>
      <c r="B29453" s="3" t="s">
        <v>23613</v>
      </c>
      <c r="C29453" s="5" t="s">
        <v>45</v>
      </c>
      <c r="D29453" s="3" t="s">
        <v>221</v>
      </c>
      <c r="E29453" s="3" t="s">
        <v>911</v>
      </c>
      <c r="F29453" s="7">
        <v>46308.395833333336</v>
      </c>
      <c r="G29453" s="3" t="s">
        <v>25261</v>
      </c>
    </row>
    <row r="29454">
      <c r="A29454" s="3" t="s">
        <v>45963</v>
      </c>
      <c r="B29454" s="3" t="s">
        <v>23613</v>
      </c>
      <c r="C29454" s="5" t="s">
        <v>221</v>
      </c>
      <c r="D29454" s="3" t="s">
        <v>614</v>
      </c>
      <c r="E29454" s="3" t="s">
        <v>118</v>
      </c>
      <c r="F29454" s="7">
        <v>46308.399305555555</v>
      </c>
      <c r="G29454" s="3" t="s">
        <v>25263</v>
      </c>
    </row>
    <row r="29455">
      <c r="A29455" s="3" t="s">
        <v>45964</v>
      </c>
      <c r="B29455" s="3" t="s">
        <v>23613</v>
      </c>
      <c r="C29455" s="5" t="s">
        <v>614</v>
      </c>
      <c r="D29455" s="3" t="s">
        <v>206</v>
      </c>
      <c r="E29455" s="3" t="s">
        <v>100</v>
      </c>
      <c r="F29455" s="7">
        <v>46308.40277777778</v>
      </c>
      <c r="G29455" s="3" t="s">
        <v>25265</v>
      </c>
    </row>
    <row r="29456">
      <c r="A29456" s="3" t="s">
        <v>45965</v>
      </c>
      <c r="B29456" s="3" t="s">
        <v>23615</v>
      </c>
      <c r="C29456" s="5" t="s">
        <v>45</v>
      </c>
      <c r="D29456" s="3" t="s">
        <v>221</v>
      </c>
      <c r="E29456" s="3" t="s">
        <v>678</v>
      </c>
      <c r="F29456" s="7">
        <v>46308.416666666664</v>
      </c>
      <c r="G29456" s="3" t="s">
        <v>19857</v>
      </c>
    </row>
    <row r="29457">
      <c r="A29457" s="3" t="s">
        <v>45966</v>
      </c>
      <c r="B29457" s="3" t="s">
        <v>23617</v>
      </c>
      <c r="C29457" s="5" t="s">
        <v>45</v>
      </c>
      <c r="D29457" s="3" t="s">
        <v>221</v>
      </c>
      <c r="E29457" s="3" t="s">
        <v>141</v>
      </c>
      <c r="F29457" s="7">
        <v>46308.43749999999</v>
      </c>
      <c r="G29457" s="3" t="s">
        <v>5171</v>
      </c>
    </row>
    <row r="29458">
      <c r="A29458" s="3" t="s">
        <v>45967</v>
      </c>
      <c r="B29458" s="3" t="s">
        <v>23617</v>
      </c>
      <c r="C29458" s="5" t="s">
        <v>221</v>
      </c>
      <c r="D29458" s="3" t="s">
        <v>614</v>
      </c>
      <c r="E29458" s="3" t="s">
        <v>118</v>
      </c>
      <c r="F29458" s="7">
        <v>46308.44097222221</v>
      </c>
      <c r="G29458" s="3" t="s">
        <v>12316</v>
      </c>
    </row>
    <row r="29459">
      <c r="A29459" s="3" t="s">
        <v>45968</v>
      </c>
      <c r="B29459" s="3" t="s">
        <v>23617</v>
      </c>
      <c r="C29459" s="5" t="s">
        <v>614</v>
      </c>
      <c r="D29459" s="3" t="s">
        <v>206</v>
      </c>
      <c r="E29459" s="3" t="s">
        <v>100</v>
      </c>
      <c r="F29459" s="7">
        <v>46308.44444444444</v>
      </c>
      <c r="G29459" s="3" t="s">
        <v>12319</v>
      </c>
    </row>
    <row r="29460">
      <c r="A29460" s="3" t="s">
        <v>45969</v>
      </c>
      <c r="B29460" s="3" t="s">
        <v>23620</v>
      </c>
      <c r="C29460" s="5" t="s">
        <v>45</v>
      </c>
      <c r="D29460" s="3" t="s">
        <v>221</v>
      </c>
      <c r="E29460" s="3" t="s">
        <v>159</v>
      </c>
      <c r="F29460" s="7">
        <v>46308.458333333336</v>
      </c>
      <c r="G29460" s="3" t="s">
        <v>2770</v>
      </c>
    </row>
    <row r="29461">
      <c r="A29461" s="3" t="s">
        <v>45970</v>
      </c>
      <c r="B29461" s="3" t="s">
        <v>23622</v>
      </c>
      <c r="C29461" s="5" t="s">
        <v>45</v>
      </c>
      <c r="D29461" s="3" t="s">
        <v>221</v>
      </c>
      <c r="E29461" s="3" t="s">
        <v>282</v>
      </c>
      <c r="F29461" s="7">
        <v>46308.479166666664</v>
      </c>
      <c r="G29461" s="3" t="s">
        <v>2770</v>
      </c>
    </row>
    <row r="29462">
      <c r="A29462" s="3" t="s">
        <v>45971</v>
      </c>
      <c r="B29462" s="3" t="s">
        <v>23622</v>
      </c>
      <c r="C29462" s="5" t="s">
        <v>221</v>
      </c>
      <c r="D29462" s="3" t="s">
        <v>614</v>
      </c>
      <c r="E29462" s="3" t="s">
        <v>118</v>
      </c>
      <c r="F29462" s="7">
        <v>46308.48263888888</v>
      </c>
      <c r="G29462" s="3" t="s">
        <v>45491</v>
      </c>
    </row>
    <row r="29463">
      <c r="A29463" s="3" t="s">
        <v>45972</v>
      </c>
      <c r="B29463" s="3" t="s">
        <v>23622</v>
      </c>
      <c r="C29463" s="5" t="s">
        <v>614</v>
      </c>
      <c r="D29463" s="3" t="s">
        <v>206</v>
      </c>
      <c r="E29463" s="3" t="s">
        <v>100</v>
      </c>
      <c r="F29463" s="7">
        <v>46308.48611111111</v>
      </c>
      <c r="G29463" s="3" t="s">
        <v>45493</v>
      </c>
    </row>
    <row r="29464">
      <c r="A29464" s="3" t="s">
        <v>45973</v>
      </c>
      <c r="B29464" s="3" t="s">
        <v>23624</v>
      </c>
      <c r="C29464" s="5" t="s">
        <v>45</v>
      </c>
      <c r="D29464" s="3" t="s">
        <v>221</v>
      </c>
      <c r="E29464" s="3" t="s">
        <v>911</v>
      </c>
      <c r="F29464" s="7">
        <v>46308.49999999999</v>
      </c>
      <c r="G29464" s="3" t="s">
        <v>25261</v>
      </c>
    </row>
    <row r="29465">
      <c r="A29465" s="3" t="s">
        <v>45974</v>
      </c>
      <c r="B29465" s="3" t="s">
        <v>23626</v>
      </c>
      <c r="C29465" s="5" t="s">
        <v>45</v>
      </c>
      <c r="D29465" s="3" t="s">
        <v>221</v>
      </c>
      <c r="E29465" s="3" t="s">
        <v>765</v>
      </c>
      <c r="F29465" s="7">
        <v>46308.520833333336</v>
      </c>
      <c r="G29465" s="3" t="s">
        <v>10940</v>
      </c>
    </row>
    <row r="29466">
      <c r="A29466" s="3" t="s">
        <v>45975</v>
      </c>
      <c r="B29466" s="3" t="s">
        <v>23626</v>
      </c>
      <c r="C29466" s="5" t="s">
        <v>221</v>
      </c>
      <c r="D29466" s="3" t="s">
        <v>614</v>
      </c>
      <c r="E29466" s="3" t="s">
        <v>118</v>
      </c>
      <c r="F29466" s="7">
        <v>46308.524305555555</v>
      </c>
      <c r="G29466" s="3" t="s">
        <v>10943</v>
      </c>
    </row>
    <row r="29467">
      <c r="A29467" s="3" t="s">
        <v>45976</v>
      </c>
      <c r="B29467" s="3" t="s">
        <v>23626</v>
      </c>
      <c r="C29467" s="5" t="s">
        <v>614</v>
      </c>
      <c r="D29467" s="3" t="s">
        <v>206</v>
      </c>
      <c r="E29467" s="3" t="s">
        <v>100</v>
      </c>
      <c r="F29467" s="7">
        <v>46308.52777777778</v>
      </c>
      <c r="G29467" s="3" t="s">
        <v>10946</v>
      </c>
    </row>
    <row r="29468">
      <c r="A29468" s="3" t="s">
        <v>45977</v>
      </c>
      <c r="B29468" s="3" t="s">
        <v>23628</v>
      </c>
      <c r="C29468" s="5" t="s">
        <v>45</v>
      </c>
      <c r="D29468" s="3" t="s">
        <v>221</v>
      </c>
      <c r="E29468" s="3" t="s">
        <v>615</v>
      </c>
      <c r="F29468" s="7">
        <v>46308.541666666664</v>
      </c>
      <c r="G29468" s="3" t="s">
        <v>3395</v>
      </c>
    </row>
    <row r="29469">
      <c r="A29469" s="3" t="s">
        <v>45978</v>
      </c>
      <c r="B29469" s="3" t="s">
        <v>23630</v>
      </c>
      <c r="C29469" s="5" t="s">
        <v>45</v>
      </c>
      <c r="D29469" s="3" t="s">
        <v>221</v>
      </c>
      <c r="E29469" s="3" t="s">
        <v>243</v>
      </c>
      <c r="F29469" s="7">
        <v>46308.56249999999</v>
      </c>
      <c r="G29469" s="3" t="s">
        <v>2770</v>
      </c>
    </row>
    <row r="29470">
      <c r="A29470" s="3" t="s">
        <v>45979</v>
      </c>
      <c r="B29470" s="3" t="s">
        <v>23630</v>
      </c>
      <c r="C29470" s="5" t="s">
        <v>221</v>
      </c>
      <c r="D29470" s="3" t="s">
        <v>614</v>
      </c>
      <c r="E29470" s="3" t="s">
        <v>118</v>
      </c>
      <c r="F29470" s="7">
        <v>46308.56597222221</v>
      </c>
      <c r="G29470" s="3" t="s">
        <v>45491</v>
      </c>
    </row>
    <row r="29471">
      <c r="A29471" s="3" t="s">
        <v>45980</v>
      </c>
      <c r="B29471" s="3" t="s">
        <v>23630</v>
      </c>
      <c r="C29471" s="5" t="s">
        <v>614</v>
      </c>
      <c r="D29471" s="3" t="s">
        <v>206</v>
      </c>
      <c r="E29471" s="3" t="s">
        <v>100</v>
      </c>
      <c r="F29471" s="7">
        <v>46308.56944444444</v>
      </c>
      <c r="G29471" s="3" t="s">
        <v>45493</v>
      </c>
    </row>
    <row r="29472">
      <c r="C29472" s="9"/>
      <c r="D29472" s="9"/>
    </row>
    <row r="29473">
      <c r="C29473" s="9"/>
      <c r="D29473" s="9"/>
    </row>
    <row r="29474">
      <c r="C29474" s="9"/>
      <c r="D29474" s="9"/>
    </row>
    <row r="29475">
      <c r="C29475" s="9"/>
      <c r="D29475" s="9"/>
    </row>
    <row r="29476">
      <c r="C29476" s="9"/>
      <c r="D29476" s="9"/>
    </row>
    <row r="29477">
      <c r="C29477" s="9"/>
      <c r="D29477" s="9"/>
    </row>
    <row r="29478">
      <c r="C29478" s="9"/>
      <c r="D29478" s="9"/>
    </row>
    <row r="29479">
      <c r="C29479" s="9"/>
      <c r="D29479" s="9"/>
    </row>
    <row r="29480">
      <c r="C29480" s="9"/>
      <c r="D29480" s="9"/>
    </row>
    <row r="29481">
      <c r="C29481" s="9"/>
      <c r="D29481" s="9"/>
    </row>
    <row r="29482">
      <c r="C29482" s="9"/>
      <c r="D29482" s="9"/>
    </row>
    <row r="29483">
      <c r="C29483" s="9"/>
      <c r="D29483" s="9"/>
    </row>
    <row r="29484">
      <c r="C29484" s="9"/>
      <c r="D29484" s="9"/>
    </row>
    <row r="29485">
      <c r="C29485" s="9"/>
      <c r="D29485" s="9"/>
    </row>
    <row r="29486">
      <c r="C29486" s="9"/>
      <c r="D29486" s="9"/>
    </row>
    <row r="29487">
      <c r="C29487" s="9"/>
      <c r="D29487" s="9"/>
    </row>
    <row r="29488">
      <c r="C29488" s="9"/>
      <c r="D29488" s="9"/>
    </row>
    <row r="29489">
      <c r="C29489" s="9"/>
      <c r="D29489" s="9"/>
    </row>
    <row r="29490">
      <c r="C29490" s="9"/>
      <c r="D29490" s="9"/>
    </row>
    <row r="29491">
      <c r="C29491" s="9"/>
      <c r="D29491" s="9"/>
    </row>
    <row r="29492">
      <c r="C29492" s="9"/>
      <c r="D29492" s="9"/>
    </row>
    <row r="29493">
      <c r="C29493" s="9"/>
      <c r="D29493" s="9"/>
    </row>
    <row r="29494">
      <c r="C29494" s="9"/>
      <c r="D29494" s="9"/>
    </row>
    <row r="29495">
      <c r="C29495" s="9"/>
      <c r="D29495" s="9"/>
    </row>
    <row r="29496">
      <c r="C29496" s="9"/>
      <c r="D29496" s="9"/>
    </row>
    <row r="29497">
      <c r="C29497" s="9"/>
      <c r="D29497" s="9"/>
    </row>
    <row r="29498">
      <c r="C29498" s="9"/>
      <c r="D29498" s="9"/>
    </row>
    <row r="29499">
      <c r="C29499" s="9"/>
      <c r="D29499" s="9"/>
    </row>
    <row r="29500">
      <c r="C29500" s="9"/>
      <c r="D29500" s="9"/>
    </row>
    <row r="29501">
      <c r="C29501" s="9"/>
      <c r="D29501" s="9"/>
    </row>
    <row r="29502">
      <c r="C29502" s="9"/>
      <c r="D29502" s="9"/>
    </row>
    <row r="29503">
      <c r="C29503" s="9"/>
      <c r="D29503" s="9"/>
    </row>
    <row r="29504">
      <c r="C29504" s="9"/>
      <c r="D29504" s="9"/>
    </row>
    <row r="29505">
      <c r="C29505" s="9"/>
      <c r="D29505" s="9"/>
    </row>
    <row r="29506">
      <c r="C29506" s="9"/>
      <c r="D29506" s="9"/>
    </row>
    <row r="29507">
      <c r="C29507" s="9"/>
      <c r="D29507" s="9"/>
    </row>
    <row r="29508">
      <c r="C29508" s="9"/>
      <c r="D29508" s="9"/>
    </row>
    <row r="29509">
      <c r="C29509" s="9"/>
      <c r="D29509" s="9"/>
    </row>
    <row r="29510">
      <c r="C29510" s="9"/>
      <c r="D29510" s="9"/>
    </row>
    <row r="29511">
      <c r="C29511" s="9"/>
      <c r="D29511" s="9"/>
    </row>
    <row r="29512">
      <c r="C29512" s="9"/>
      <c r="D29512" s="9"/>
    </row>
    <row r="29513">
      <c r="C29513" s="9"/>
      <c r="D29513" s="9"/>
    </row>
    <row r="29514">
      <c r="C29514" s="9"/>
      <c r="D29514" s="9"/>
    </row>
    <row r="29515">
      <c r="C29515" s="9"/>
      <c r="D29515" s="9"/>
    </row>
    <row r="29516">
      <c r="C29516" s="9"/>
      <c r="D29516" s="9"/>
    </row>
    <row r="29517">
      <c r="C29517" s="9"/>
      <c r="D29517" s="9"/>
    </row>
    <row r="29518">
      <c r="C29518" s="9"/>
      <c r="D29518" s="9"/>
    </row>
    <row r="29519">
      <c r="C29519" s="9"/>
      <c r="D29519" s="9"/>
    </row>
    <row r="29520">
      <c r="C29520" s="9"/>
      <c r="D29520" s="9"/>
    </row>
    <row r="29521">
      <c r="C29521" s="9"/>
      <c r="D29521" s="9"/>
    </row>
    <row r="29522">
      <c r="C29522" s="9"/>
      <c r="D29522" s="9"/>
    </row>
    <row r="29523">
      <c r="C29523" s="9"/>
      <c r="D29523" s="9"/>
    </row>
    <row r="29524">
      <c r="C29524" s="9"/>
      <c r="D29524" s="9"/>
    </row>
    <row r="29525">
      <c r="C29525" s="9"/>
      <c r="D29525" s="9"/>
    </row>
    <row r="29526">
      <c r="C29526" s="9"/>
      <c r="D29526" s="9"/>
    </row>
    <row r="29527">
      <c r="C29527" s="9"/>
      <c r="D29527" s="9"/>
    </row>
    <row r="29528">
      <c r="C29528" s="9"/>
      <c r="D29528" s="9"/>
    </row>
    <row r="29529">
      <c r="C29529" s="9"/>
      <c r="D29529" s="9"/>
    </row>
    <row r="29530">
      <c r="C29530" s="9"/>
      <c r="D29530" s="9"/>
    </row>
    <row r="29531">
      <c r="C29531" s="9"/>
      <c r="D29531" s="9"/>
    </row>
    <row r="29532">
      <c r="C29532" s="9"/>
      <c r="D29532" s="9"/>
    </row>
    <row r="29533">
      <c r="C29533" s="9"/>
      <c r="D29533" s="9"/>
    </row>
    <row r="29534">
      <c r="C29534" s="9"/>
      <c r="D29534" s="9"/>
    </row>
    <row r="29535">
      <c r="C29535" s="9"/>
      <c r="D29535" s="9"/>
    </row>
    <row r="29536">
      <c r="C29536" s="9"/>
      <c r="D29536" s="9"/>
    </row>
    <row r="29537">
      <c r="C29537" s="9"/>
      <c r="D29537" s="9"/>
    </row>
    <row r="29538">
      <c r="C29538" s="9"/>
      <c r="D29538" s="9"/>
    </row>
    <row r="29539">
      <c r="C29539" s="9"/>
      <c r="D29539" s="9"/>
    </row>
    <row r="29540">
      <c r="C29540" s="9"/>
      <c r="D29540" s="9"/>
    </row>
    <row r="29541">
      <c r="C29541" s="9"/>
      <c r="D29541" s="9"/>
    </row>
    <row r="29542">
      <c r="C29542" s="9"/>
      <c r="D29542" s="9"/>
    </row>
    <row r="29543">
      <c r="C29543" s="9"/>
      <c r="D29543" s="9"/>
    </row>
    <row r="29544">
      <c r="C29544" s="9"/>
      <c r="D29544" s="9"/>
    </row>
    <row r="29545">
      <c r="C29545" s="9"/>
      <c r="D29545" s="9"/>
    </row>
    <row r="29546">
      <c r="C29546" s="9"/>
      <c r="D29546" s="9"/>
    </row>
    <row r="29547">
      <c r="C29547" s="9"/>
      <c r="D29547" s="9"/>
    </row>
    <row r="29548">
      <c r="C29548" s="9"/>
      <c r="D29548" s="9"/>
    </row>
    <row r="29549">
      <c r="C29549" s="9"/>
      <c r="D29549" s="9"/>
    </row>
    <row r="29550">
      <c r="C29550" s="9"/>
      <c r="D29550" s="9"/>
    </row>
    <row r="29551">
      <c r="C29551" s="9"/>
      <c r="D29551" s="9"/>
    </row>
    <row r="29552">
      <c r="C29552" s="9"/>
      <c r="D29552" s="9"/>
    </row>
    <row r="29553">
      <c r="C29553" s="9"/>
      <c r="D29553" s="9"/>
    </row>
    <row r="29554">
      <c r="C29554" s="9"/>
      <c r="D29554" s="9"/>
    </row>
    <row r="29555">
      <c r="C29555" s="9"/>
      <c r="D29555" s="9"/>
    </row>
    <row r="29556">
      <c r="C29556" s="9"/>
      <c r="D29556" s="9"/>
    </row>
    <row r="29557">
      <c r="C29557" s="9"/>
      <c r="D29557" s="9"/>
    </row>
    <row r="29558">
      <c r="C29558" s="9"/>
      <c r="D29558" s="9"/>
    </row>
    <row r="29559">
      <c r="C29559" s="9"/>
      <c r="D29559" s="9"/>
    </row>
    <row r="29560">
      <c r="C29560" s="9"/>
      <c r="D29560" s="9"/>
    </row>
    <row r="29561">
      <c r="C29561" s="9"/>
      <c r="D29561" s="9"/>
    </row>
    <row r="29562">
      <c r="C29562" s="9"/>
      <c r="D29562" s="9"/>
    </row>
    <row r="29563">
      <c r="C29563" s="9"/>
      <c r="D29563" s="9"/>
    </row>
    <row r="29564">
      <c r="C29564" s="9"/>
      <c r="D29564" s="9"/>
    </row>
    <row r="29565">
      <c r="C29565" s="9"/>
      <c r="D29565" s="9"/>
    </row>
    <row r="29566">
      <c r="C29566" s="9"/>
      <c r="D29566" s="9"/>
    </row>
    <row r="29567">
      <c r="C29567" s="9"/>
      <c r="D29567" s="9"/>
    </row>
    <row r="29568">
      <c r="C29568" s="9"/>
      <c r="D29568" s="9"/>
    </row>
    <row r="29569">
      <c r="C29569" s="9"/>
      <c r="D29569" s="9"/>
    </row>
    <row r="29570">
      <c r="C29570" s="9"/>
      <c r="D29570" s="9"/>
    </row>
    <row r="29571">
      <c r="C29571" s="9"/>
      <c r="D29571" s="9"/>
    </row>
    <row r="29572">
      <c r="C29572" s="9"/>
      <c r="D29572" s="9"/>
    </row>
    <row r="29573">
      <c r="C29573" s="9"/>
      <c r="D29573" s="9"/>
    </row>
    <row r="29574">
      <c r="C29574" s="9"/>
      <c r="D29574" s="9"/>
    </row>
    <row r="29575">
      <c r="C29575" s="9"/>
      <c r="D29575" s="9"/>
    </row>
    <row r="29576">
      <c r="C29576" s="9"/>
      <c r="D29576" s="9"/>
    </row>
    <row r="29577">
      <c r="C29577" s="9"/>
      <c r="D29577" s="9"/>
    </row>
    <row r="29578">
      <c r="C29578" s="9"/>
      <c r="D29578" s="9"/>
    </row>
    <row r="29579">
      <c r="C29579" s="9"/>
      <c r="D29579" s="9"/>
    </row>
    <row r="29580">
      <c r="C29580" s="9"/>
      <c r="D29580" s="9"/>
    </row>
    <row r="29581">
      <c r="C29581" s="9"/>
      <c r="D29581" s="9"/>
    </row>
    <row r="29582">
      <c r="C29582" s="9"/>
      <c r="D29582" s="9"/>
    </row>
    <row r="29583">
      <c r="C29583" s="9"/>
      <c r="D29583" s="9"/>
    </row>
    <row r="29584">
      <c r="C29584" s="9"/>
      <c r="D29584" s="9"/>
    </row>
    <row r="29585">
      <c r="C29585" s="9"/>
      <c r="D29585" s="9"/>
    </row>
    <row r="29586">
      <c r="C29586" s="9"/>
      <c r="D29586" s="9"/>
    </row>
    <row r="29587">
      <c r="C29587" s="9"/>
      <c r="D29587" s="9"/>
    </row>
    <row r="29588">
      <c r="C29588" s="9"/>
      <c r="D29588" s="9"/>
    </row>
    <row r="29589">
      <c r="C29589" s="9"/>
      <c r="D29589" s="9"/>
    </row>
    <row r="29590">
      <c r="C29590" s="9"/>
      <c r="D29590" s="9"/>
    </row>
    <row r="29591">
      <c r="C29591" s="9"/>
      <c r="D29591" s="9"/>
    </row>
    <row r="29592">
      <c r="C29592" s="9"/>
      <c r="D29592" s="9"/>
    </row>
    <row r="29593">
      <c r="C29593" s="9"/>
      <c r="D29593" s="9"/>
    </row>
    <row r="29594">
      <c r="C29594" s="9"/>
      <c r="D29594" s="9"/>
    </row>
    <row r="29595">
      <c r="C29595" s="9"/>
      <c r="D29595" s="9"/>
    </row>
    <row r="29596">
      <c r="C29596" s="9"/>
      <c r="D29596" s="9"/>
    </row>
    <row r="29597">
      <c r="C29597" s="9"/>
      <c r="D29597" s="9"/>
    </row>
    <row r="29598">
      <c r="C29598" s="9"/>
      <c r="D29598" s="9"/>
    </row>
    <row r="29599">
      <c r="C29599" s="9"/>
      <c r="D29599" s="9"/>
    </row>
    <row r="29600">
      <c r="C29600" s="9"/>
      <c r="D29600" s="9"/>
    </row>
    <row r="29601">
      <c r="C29601" s="9"/>
      <c r="D29601" s="9"/>
    </row>
    <row r="29602">
      <c r="C29602" s="9"/>
      <c r="D29602" s="9"/>
    </row>
    <row r="29603">
      <c r="C29603" s="9"/>
      <c r="D29603" s="9"/>
    </row>
    <row r="29604">
      <c r="C29604" s="9"/>
      <c r="D29604" s="9"/>
    </row>
    <row r="29605">
      <c r="C29605" s="9"/>
      <c r="D29605" s="9"/>
    </row>
    <row r="29606">
      <c r="C29606" s="9"/>
      <c r="D29606" s="9"/>
    </row>
    <row r="29607">
      <c r="C29607" s="9"/>
      <c r="D29607" s="9"/>
    </row>
    <row r="29608">
      <c r="C29608" s="9"/>
      <c r="D29608" s="9"/>
    </row>
    <row r="29609">
      <c r="C29609" s="9"/>
      <c r="D29609" s="9"/>
    </row>
    <row r="29610">
      <c r="C29610" s="9"/>
      <c r="D29610" s="9"/>
    </row>
    <row r="29611">
      <c r="C29611" s="9"/>
      <c r="D29611" s="9"/>
    </row>
    <row r="29612">
      <c r="C29612" s="9"/>
      <c r="D29612" s="9"/>
    </row>
    <row r="29613">
      <c r="C29613" s="9"/>
      <c r="D29613" s="9"/>
    </row>
    <row r="29614">
      <c r="C29614" s="9"/>
      <c r="D29614" s="9"/>
    </row>
    <row r="29615">
      <c r="C29615" s="9"/>
      <c r="D29615" s="9"/>
    </row>
    <row r="29616">
      <c r="C29616" s="9"/>
      <c r="D29616" s="9"/>
    </row>
    <row r="29617">
      <c r="C29617" s="9"/>
      <c r="D29617" s="9"/>
    </row>
    <row r="29618">
      <c r="C29618" s="9"/>
      <c r="D29618" s="9"/>
    </row>
    <row r="29619">
      <c r="C29619" s="9"/>
      <c r="D29619" s="9"/>
    </row>
    <row r="29620">
      <c r="C29620" s="9"/>
      <c r="D29620" s="9"/>
    </row>
    <row r="29621">
      <c r="C29621" s="9"/>
      <c r="D29621" s="9"/>
    </row>
    <row r="29622">
      <c r="C29622" s="9"/>
      <c r="D29622" s="9"/>
    </row>
    <row r="29623">
      <c r="C29623" s="9"/>
      <c r="D29623" s="9"/>
    </row>
    <row r="29624">
      <c r="C29624" s="9"/>
      <c r="D29624" s="9"/>
    </row>
    <row r="29625">
      <c r="C29625" s="9"/>
      <c r="D29625" s="9"/>
    </row>
    <row r="29626">
      <c r="C29626" s="9"/>
      <c r="D29626" s="9"/>
    </row>
    <row r="29627">
      <c r="C29627" s="9"/>
      <c r="D29627" s="9"/>
    </row>
    <row r="29628">
      <c r="C29628" s="9"/>
      <c r="D29628" s="9"/>
    </row>
    <row r="29629">
      <c r="C29629" s="9"/>
      <c r="D29629" s="9"/>
    </row>
    <row r="29630">
      <c r="C29630" s="9"/>
      <c r="D29630" s="9"/>
    </row>
    <row r="29631">
      <c r="C29631" s="9"/>
      <c r="D29631" s="9"/>
    </row>
    <row r="29632">
      <c r="C29632" s="9"/>
      <c r="D29632" s="9"/>
    </row>
    <row r="29633">
      <c r="C29633" s="9"/>
      <c r="D29633" s="9"/>
    </row>
    <row r="29634">
      <c r="C29634" s="9"/>
      <c r="D29634" s="9"/>
    </row>
    <row r="29635">
      <c r="C29635" s="9"/>
      <c r="D29635" s="9"/>
    </row>
    <row r="29636">
      <c r="C29636" s="9"/>
      <c r="D29636" s="9"/>
    </row>
    <row r="29637">
      <c r="C29637" s="9"/>
      <c r="D29637" s="9"/>
    </row>
    <row r="29638">
      <c r="C29638" s="9"/>
      <c r="D29638" s="9"/>
    </row>
    <row r="29639">
      <c r="C29639" s="9"/>
      <c r="D29639" s="9"/>
    </row>
    <row r="29640">
      <c r="C29640" s="9"/>
      <c r="D29640" s="9"/>
    </row>
    <row r="29641">
      <c r="C29641" s="9"/>
      <c r="D29641" s="9"/>
    </row>
    <row r="29642">
      <c r="C29642" s="9"/>
      <c r="D29642" s="9"/>
    </row>
    <row r="29643">
      <c r="C29643" s="9"/>
      <c r="D29643" s="9"/>
    </row>
    <row r="29644">
      <c r="C29644" s="9"/>
      <c r="D29644" s="9"/>
    </row>
    <row r="29645">
      <c r="C29645" s="9"/>
      <c r="D29645" s="9"/>
    </row>
    <row r="29646">
      <c r="C29646" s="9"/>
      <c r="D29646" s="9"/>
    </row>
    <row r="29647">
      <c r="C29647" s="9"/>
      <c r="D29647" s="9"/>
    </row>
    <row r="29648">
      <c r="C29648" s="9"/>
      <c r="D29648" s="9"/>
    </row>
    <row r="29649">
      <c r="C29649" s="9"/>
      <c r="D29649" s="9"/>
    </row>
    <row r="29650">
      <c r="C29650" s="9"/>
      <c r="D29650" s="9"/>
    </row>
    <row r="29651">
      <c r="C29651" s="9"/>
      <c r="D29651" s="9"/>
    </row>
    <row r="29652">
      <c r="C29652" s="9"/>
      <c r="D29652" s="9"/>
    </row>
    <row r="29653">
      <c r="C29653" s="9"/>
      <c r="D29653" s="9"/>
    </row>
    <row r="29654">
      <c r="C29654" s="9"/>
      <c r="D29654" s="9"/>
    </row>
    <row r="29655">
      <c r="C29655" s="9"/>
      <c r="D29655" s="9"/>
    </row>
    <row r="29656">
      <c r="C29656" s="9"/>
      <c r="D29656" s="9"/>
    </row>
    <row r="29657">
      <c r="C29657" s="9"/>
      <c r="D29657" s="9"/>
    </row>
    <row r="29658">
      <c r="C29658" s="9"/>
      <c r="D29658" s="9"/>
    </row>
    <row r="29659">
      <c r="C29659" s="9"/>
      <c r="D29659" s="9"/>
    </row>
    <row r="29660">
      <c r="C29660" s="9"/>
      <c r="D29660" s="9"/>
    </row>
    <row r="29661">
      <c r="C29661" s="9"/>
      <c r="D29661" s="9"/>
    </row>
    <row r="29662">
      <c r="C29662" s="9"/>
      <c r="D29662" s="9"/>
    </row>
    <row r="29663">
      <c r="C29663" s="9"/>
      <c r="D29663" s="9"/>
    </row>
    <row r="29664">
      <c r="C29664" s="9"/>
      <c r="D29664" s="9"/>
    </row>
    <row r="29665">
      <c r="C29665" s="9"/>
      <c r="D29665" s="9"/>
    </row>
    <row r="29666">
      <c r="C29666" s="9"/>
      <c r="D29666" s="9"/>
    </row>
    <row r="29667">
      <c r="C29667" s="9"/>
      <c r="D29667" s="9"/>
    </row>
    <row r="29668">
      <c r="C29668" s="9"/>
      <c r="D29668" s="9"/>
    </row>
    <row r="29669">
      <c r="C29669" s="9"/>
      <c r="D29669" s="9"/>
    </row>
    <row r="29670">
      <c r="C29670" s="9"/>
      <c r="D29670" s="9"/>
    </row>
    <row r="29671">
      <c r="C29671" s="9"/>
      <c r="D29671" s="9"/>
    </row>
    <row r="29672">
      <c r="C29672" s="9"/>
      <c r="D29672" s="9"/>
    </row>
    <row r="29673">
      <c r="C29673" s="9"/>
      <c r="D29673" s="9"/>
    </row>
    <row r="29674">
      <c r="C29674" s="9"/>
      <c r="D29674" s="9"/>
    </row>
    <row r="29675">
      <c r="C29675" s="9"/>
      <c r="D29675" s="9"/>
    </row>
    <row r="29676">
      <c r="C29676" s="9"/>
      <c r="D29676" s="9"/>
    </row>
    <row r="29677">
      <c r="C29677" s="9"/>
      <c r="D29677" s="9"/>
    </row>
    <row r="29678">
      <c r="C29678" s="9"/>
      <c r="D29678" s="9"/>
    </row>
    <row r="29679">
      <c r="C29679" s="9"/>
      <c r="D29679" s="9"/>
    </row>
    <row r="29680">
      <c r="C29680" s="9"/>
      <c r="D29680" s="9"/>
    </row>
    <row r="29681">
      <c r="C29681" s="9"/>
      <c r="D29681" s="9"/>
    </row>
    <row r="29682">
      <c r="C29682" s="9"/>
      <c r="D29682" s="9"/>
    </row>
    <row r="29683">
      <c r="C29683" s="9"/>
      <c r="D29683" s="9"/>
    </row>
    <row r="29684">
      <c r="C29684" s="9"/>
      <c r="D29684" s="9"/>
    </row>
    <row r="29685">
      <c r="C29685" s="9"/>
      <c r="D29685" s="9"/>
    </row>
    <row r="29686">
      <c r="C29686" s="9"/>
      <c r="D29686" s="9"/>
    </row>
    <row r="29687">
      <c r="C29687" s="9"/>
      <c r="D29687" s="9"/>
    </row>
    <row r="29688">
      <c r="C29688" s="9"/>
      <c r="D29688" s="9"/>
    </row>
    <row r="29689">
      <c r="C29689" s="9"/>
      <c r="D29689" s="9"/>
    </row>
    <row r="29690">
      <c r="C29690" s="9"/>
      <c r="D29690" s="9"/>
    </row>
    <row r="29691">
      <c r="C29691" s="9"/>
      <c r="D29691" s="9"/>
    </row>
    <row r="29692">
      <c r="C29692" s="9"/>
      <c r="D29692" s="9"/>
    </row>
    <row r="29693">
      <c r="C29693" s="9"/>
      <c r="D29693" s="9"/>
    </row>
    <row r="29694">
      <c r="C29694" s="9"/>
      <c r="D29694" s="9"/>
    </row>
    <row r="29695">
      <c r="C29695" s="9"/>
      <c r="D29695" s="9"/>
    </row>
    <row r="29696">
      <c r="C29696" s="9"/>
      <c r="D29696" s="9"/>
    </row>
    <row r="29697">
      <c r="C29697" s="9"/>
      <c r="D29697" s="9"/>
    </row>
    <row r="29698">
      <c r="C29698" s="9"/>
      <c r="D29698" s="9"/>
    </row>
    <row r="29699">
      <c r="C29699" s="9"/>
      <c r="D29699" s="9"/>
    </row>
    <row r="29700">
      <c r="C29700" s="9"/>
      <c r="D29700" s="9"/>
    </row>
    <row r="29701">
      <c r="C29701" s="9"/>
      <c r="D29701" s="9"/>
    </row>
    <row r="29702">
      <c r="C29702" s="9"/>
      <c r="D29702" s="9"/>
    </row>
    <row r="29703">
      <c r="C29703" s="9"/>
      <c r="D29703" s="9"/>
    </row>
    <row r="29704">
      <c r="C29704" s="9"/>
      <c r="D29704" s="9"/>
    </row>
    <row r="29705">
      <c r="C29705" s="9"/>
      <c r="D29705" s="9"/>
    </row>
    <row r="29706">
      <c r="C29706" s="9"/>
      <c r="D29706" s="9"/>
    </row>
    <row r="29707">
      <c r="C29707" s="9"/>
      <c r="D29707" s="9"/>
    </row>
    <row r="29708">
      <c r="C29708" s="9"/>
      <c r="D29708" s="9"/>
    </row>
    <row r="29709">
      <c r="C29709" s="9"/>
      <c r="D29709" s="9"/>
    </row>
    <row r="29710">
      <c r="C29710" s="9"/>
      <c r="D29710" s="9"/>
    </row>
    <row r="29711">
      <c r="C29711" s="9"/>
      <c r="D29711" s="9"/>
    </row>
    <row r="29712">
      <c r="C29712" s="9"/>
      <c r="D29712" s="9"/>
    </row>
    <row r="29713">
      <c r="C29713" s="9"/>
      <c r="D29713" s="9"/>
    </row>
    <row r="29714">
      <c r="C29714" s="9"/>
      <c r="D29714" s="9"/>
    </row>
    <row r="29715">
      <c r="C29715" s="9"/>
      <c r="D29715" s="9"/>
    </row>
    <row r="29716">
      <c r="C29716" s="9"/>
      <c r="D29716" s="9"/>
    </row>
    <row r="29717">
      <c r="C29717" s="9"/>
      <c r="D29717" s="9"/>
    </row>
    <row r="29718">
      <c r="C29718" s="9"/>
      <c r="D29718" s="9"/>
    </row>
    <row r="29719">
      <c r="C29719" s="9"/>
      <c r="D29719" s="9"/>
    </row>
    <row r="29720">
      <c r="C29720" s="9"/>
      <c r="D29720" s="9"/>
    </row>
    <row r="29721">
      <c r="C29721" s="9"/>
      <c r="D29721" s="9"/>
    </row>
    <row r="29722">
      <c r="C29722" s="9"/>
      <c r="D29722" s="9"/>
    </row>
    <row r="29723">
      <c r="C29723" s="9"/>
      <c r="D29723" s="9"/>
    </row>
    <row r="29724">
      <c r="C29724" s="9"/>
      <c r="D29724" s="9"/>
    </row>
    <row r="29725">
      <c r="C29725" s="9"/>
      <c r="D29725" s="9"/>
    </row>
    <row r="29726">
      <c r="C29726" s="9"/>
      <c r="D29726" s="9"/>
    </row>
    <row r="29727">
      <c r="C29727" s="9"/>
      <c r="D29727" s="9"/>
    </row>
    <row r="29728">
      <c r="C29728" s="9"/>
      <c r="D29728" s="9"/>
    </row>
    <row r="29729">
      <c r="C29729" s="9"/>
      <c r="D29729" s="9"/>
    </row>
    <row r="29730">
      <c r="C29730" s="9"/>
      <c r="D29730" s="9"/>
    </row>
    <row r="29731">
      <c r="C29731" s="9"/>
      <c r="D29731" s="9"/>
    </row>
    <row r="29732">
      <c r="C29732" s="9"/>
      <c r="D29732" s="9"/>
    </row>
    <row r="29733">
      <c r="C29733" s="9"/>
      <c r="D29733" s="9"/>
    </row>
    <row r="29734">
      <c r="C29734" s="9"/>
      <c r="D29734" s="9"/>
    </row>
    <row r="29735">
      <c r="C29735" s="9"/>
      <c r="D29735" s="9"/>
    </row>
    <row r="29736">
      <c r="C29736" s="9"/>
      <c r="D29736" s="9"/>
    </row>
    <row r="29737">
      <c r="C29737" s="9"/>
      <c r="D29737" s="9"/>
    </row>
    <row r="29738">
      <c r="C29738" s="9"/>
      <c r="D29738" s="9"/>
    </row>
    <row r="29739">
      <c r="C29739" s="9"/>
      <c r="D29739" s="9"/>
    </row>
    <row r="29740">
      <c r="C29740" s="9"/>
      <c r="D29740" s="9"/>
    </row>
    <row r="29741">
      <c r="C29741" s="9"/>
      <c r="D29741" s="9"/>
    </row>
    <row r="29742">
      <c r="C29742" s="9"/>
      <c r="D29742" s="9"/>
    </row>
    <row r="29743">
      <c r="C29743" s="9"/>
      <c r="D29743" s="9"/>
    </row>
    <row r="29744">
      <c r="C29744" s="9"/>
      <c r="D29744" s="9"/>
    </row>
    <row r="29745">
      <c r="C29745" s="9"/>
      <c r="D29745" s="9"/>
    </row>
    <row r="29746">
      <c r="C29746" s="9"/>
      <c r="D29746" s="9"/>
    </row>
    <row r="29747">
      <c r="C29747" s="9"/>
      <c r="D29747" s="9"/>
    </row>
    <row r="29748">
      <c r="C29748" s="9"/>
      <c r="D29748" s="9"/>
    </row>
    <row r="29749">
      <c r="C29749" s="9"/>
      <c r="D29749" s="9"/>
    </row>
    <row r="29750">
      <c r="C29750" s="9"/>
      <c r="D29750" s="9"/>
    </row>
    <row r="29751">
      <c r="C29751" s="9"/>
      <c r="D29751" s="9"/>
    </row>
    <row r="29752">
      <c r="C29752" s="9"/>
      <c r="D29752" s="9"/>
    </row>
    <row r="29753">
      <c r="C29753" s="9"/>
      <c r="D29753" s="9"/>
    </row>
    <row r="29754">
      <c r="C29754" s="9"/>
      <c r="D29754" s="9"/>
    </row>
    <row r="29755">
      <c r="C29755" s="9"/>
      <c r="D29755" s="9"/>
    </row>
    <row r="29756">
      <c r="C29756" s="9"/>
      <c r="D29756" s="9"/>
    </row>
    <row r="29757">
      <c r="C29757" s="9"/>
      <c r="D29757" s="9"/>
    </row>
    <row r="29758">
      <c r="C29758" s="9"/>
      <c r="D29758" s="9"/>
    </row>
    <row r="29759">
      <c r="C29759" s="9"/>
      <c r="D29759" s="9"/>
    </row>
    <row r="29760">
      <c r="C29760" s="9"/>
      <c r="D29760" s="9"/>
    </row>
    <row r="29761">
      <c r="C29761" s="9"/>
      <c r="D29761" s="9"/>
    </row>
    <row r="29762">
      <c r="C29762" s="9"/>
      <c r="D29762" s="9"/>
    </row>
    <row r="29763">
      <c r="C29763" s="9"/>
      <c r="D29763" s="9"/>
    </row>
    <row r="29764">
      <c r="C29764" s="9"/>
      <c r="D29764" s="9"/>
    </row>
    <row r="29765">
      <c r="C29765" s="9"/>
      <c r="D29765" s="9"/>
    </row>
    <row r="29766">
      <c r="C29766" s="9"/>
      <c r="D29766" s="9"/>
    </row>
    <row r="29767">
      <c r="C29767" s="9"/>
      <c r="D29767" s="9"/>
    </row>
    <row r="29768">
      <c r="C29768" s="9"/>
      <c r="D29768" s="9"/>
    </row>
    <row r="29769">
      <c r="C29769" s="9"/>
      <c r="D29769" s="9"/>
    </row>
    <row r="29770">
      <c r="C29770" s="9"/>
      <c r="D29770" s="9"/>
    </row>
    <row r="29771">
      <c r="C29771" s="9"/>
      <c r="D29771" s="9"/>
    </row>
    <row r="29772">
      <c r="C29772" s="9"/>
      <c r="D29772" s="9"/>
    </row>
    <row r="29773">
      <c r="C29773" s="9"/>
      <c r="D29773" s="9"/>
    </row>
    <row r="29774">
      <c r="C29774" s="9"/>
      <c r="D29774" s="9"/>
    </row>
    <row r="29775">
      <c r="C29775" s="9"/>
      <c r="D29775" s="9"/>
    </row>
    <row r="29776">
      <c r="C29776" s="9"/>
      <c r="D29776" s="9"/>
    </row>
    <row r="29777">
      <c r="C29777" s="9"/>
      <c r="D29777" s="9"/>
    </row>
    <row r="29778">
      <c r="C29778" s="9"/>
      <c r="D29778" s="9"/>
    </row>
    <row r="29779">
      <c r="C29779" s="9"/>
      <c r="D29779" s="9"/>
    </row>
    <row r="29780">
      <c r="C29780" s="9"/>
      <c r="D29780" s="9"/>
    </row>
    <row r="29781">
      <c r="C29781" s="9"/>
      <c r="D29781" s="9"/>
    </row>
    <row r="29782">
      <c r="C29782" s="9"/>
      <c r="D29782" s="9"/>
    </row>
    <row r="29783">
      <c r="C29783" s="9"/>
      <c r="D29783" s="9"/>
    </row>
    <row r="29784">
      <c r="C29784" s="9"/>
      <c r="D29784" s="9"/>
    </row>
    <row r="29785">
      <c r="C29785" s="9"/>
      <c r="D29785" s="9"/>
    </row>
    <row r="29786">
      <c r="C29786" s="9"/>
      <c r="D29786" s="9"/>
    </row>
    <row r="29787">
      <c r="C29787" s="9"/>
      <c r="D29787" s="9"/>
    </row>
    <row r="29788">
      <c r="C29788" s="9"/>
      <c r="D29788" s="9"/>
    </row>
    <row r="29789">
      <c r="C29789" s="9"/>
      <c r="D29789" s="9"/>
    </row>
    <row r="29790">
      <c r="C29790" s="9"/>
      <c r="D29790" s="9"/>
    </row>
    <row r="29791">
      <c r="C29791" s="9"/>
      <c r="D29791" s="9"/>
    </row>
    <row r="29792">
      <c r="C29792" s="9"/>
      <c r="D29792" s="9"/>
    </row>
    <row r="29793">
      <c r="C29793" s="9"/>
      <c r="D29793" s="9"/>
    </row>
    <row r="29794">
      <c r="C29794" s="9"/>
      <c r="D29794" s="9"/>
    </row>
    <row r="29795">
      <c r="C29795" s="9"/>
      <c r="D29795" s="9"/>
    </row>
    <row r="29796">
      <c r="C29796" s="9"/>
      <c r="D29796" s="9"/>
    </row>
    <row r="29797">
      <c r="C29797" s="9"/>
      <c r="D29797" s="9"/>
    </row>
    <row r="29798">
      <c r="C29798" s="9"/>
      <c r="D29798" s="9"/>
    </row>
    <row r="29799">
      <c r="C29799" s="9"/>
      <c r="D29799" s="9"/>
    </row>
    <row r="29800">
      <c r="C29800" s="9"/>
      <c r="D29800" s="9"/>
    </row>
    <row r="29801">
      <c r="C29801" s="9"/>
      <c r="D29801" s="9"/>
    </row>
    <row r="29802">
      <c r="C29802" s="9"/>
      <c r="D29802" s="9"/>
    </row>
    <row r="29803">
      <c r="C29803" s="9"/>
      <c r="D29803" s="9"/>
    </row>
    <row r="29804">
      <c r="C29804" s="9"/>
      <c r="D29804" s="9"/>
    </row>
    <row r="29805">
      <c r="C29805" s="9"/>
      <c r="D29805" s="9"/>
    </row>
    <row r="29806">
      <c r="C29806" s="9"/>
      <c r="D29806" s="9"/>
    </row>
    <row r="29807">
      <c r="C29807" s="9"/>
      <c r="D29807" s="9"/>
    </row>
    <row r="29808">
      <c r="C29808" s="9"/>
      <c r="D29808" s="9"/>
    </row>
    <row r="29809">
      <c r="C29809" s="9"/>
      <c r="D29809" s="9"/>
    </row>
    <row r="29810">
      <c r="C29810" s="9"/>
      <c r="D29810" s="9"/>
    </row>
    <row r="29811">
      <c r="C29811" s="9"/>
      <c r="D29811" s="9"/>
    </row>
    <row r="29812">
      <c r="C29812" s="9"/>
      <c r="D29812" s="9"/>
    </row>
    <row r="29813">
      <c r="C29813" s="9"/>
      <c r="D29813" s="9"/>
    </row>
    <row r="29814">
      <c r="C29814" s="9"/>
      <c r="D29814" s="9"/>
    </row>
    <row r="29815">
      <c r="C29815" s="9"/>
      <c r="D29815" s="9"/>
    </row>
    <row r="29816">
      <c r="C29816" s="9"/>
      <c r="D29816" s="9"/>
    </row>
    <row r="29817">
      <c r="C29817" s="9"/>
      <c r="D29817" s="9"/>
    </row>
    <row r="29818">
      <c r="C29818" s="9"/>
      <c r="D29818" s="9"/>
    </row>
    <row r="29819">
      <c r="C29819" s="9"/>
      <c r="D29819" s="9"/>
    </row>
    <row r="29820">
      <c r="C29820" s="9"/>
      <c r="D29820" s="9"/>
    </row>
    <row r="29821">
      <c r="C29821" s="9"/>
      <c r="D29821" s="9"/>
    </row>
    <row r="29822">
      <c r="C29822" s="9"/>
      <c r="D29822" s="9"/>
    </row>
    <row r="29823">
      <c r="C29823" s="9"/>
      <c r="D29823" s="9"/>
    </row>
    <row r="29824">
      <c r="C29824" s="9"/>
      <c r="D29824" s="9"/>
    </row>
    <row r="29825">
      <c r="C29825" s="9"/>
      <c r="D29825" s="9"/>
    </row>
    <row r="29826">
      <c r="C29826" s="9"/>
      <c r="D29826" s="9"/>
    </row>
    <row r="29827">
      <c r="C29827" s="9"/>
      <c r="D29827" s="9"/>
    </row>
    <row r="29828">
      <c r="C29828" s="9"/>
      <c r="D29828" s="9"/>
    </row>
    <row r="29829">
      <c r="C29829" s="9"/>
      <c r="D29829" s="9"/>
    </row>
    <row r="29830">
      <c r="C29830" s="9"/>
      <c r="D29830" s="9"/>
    </row>
    <row r="29831">
      <c r="C29831" s="9"/>
      <c r="D29831" s="9"/>
    </row>
    <row r="29832">
      <c r="C29832" s="9"/>
      <c r="D29832" s="9"/>
    </row>
    <row r="29833">
      <c r="C29833" s="9"/>
      <c r="D29833" s="9"/>
    </row>
    <row r="29834">
      <c r="C29834" s="9"/>
      <c r="D29834" s="9"/>
    </row>
    <row r="29835">
      <c r="C29835" s="9"/>
      <c r="D29835" s="9"/>
    </row>
    <row r="29836">
      <c r="C29836" s="9"/>
      <c r="D29836" s="9"/>
    </row>
    <row r="29837">
      <c r="C29837" s="9"/>
      <c r="D29837" s="9"/>
    </row>
    <row r="29838">
      <c r="C29838" s="9"/>
      <c r="D29838" s="9"/>
    </row>
    <row r="29839">
      <c r="C29839" s="9"/>
      <c r="D29839" s="9"/>
    </row>
    <row r="29840">
      <c r="C29840" s="9"/>
      <c r="D29840" s="9"/>
    </row>
    <row r="29841">
      <c r="C29841" s="9"/>
      <c r="D29841" s="9"/>
    </row>
    <row r="29842">
      <c r="C29842" s="9"/>
      <c r="D29842" s="9"/>
    </row>
    <row r="29843">
      <c r="C29843" s="9"/>
      <c r="D29843" s="9"/>
    </row>
    <row r="29844">
      <c r="C29844" s="9"/>
      <c r="D29844" s="9"/>
    </row>
    <row r="29845">
      <c r="C29845" s="9"/>
      <c r="D29845" s="9"/>
    </row>
    <row r="29846">
      <c r="C29846" s="9"/>
      <c r="D29846" s="9"/>
    </row>
    <row r="29847">
      <c r="C29847" s="9"/>
      <c r="D29847" s="9"/>
    </row>
    <row r="29848">
      <c r="C29848" s="9"/>
      <c r="D29848" s="9"/>
    </row>
    <row r="29849">
      <c r="C29849" s="9"/>
      <c r="D29849" s="9"/>
    </row>
    <row r="29850">
      <c r="C29850" s="9"/>
      <c r="D29850" s="9"/>
    </row>
    <row r="29851">
      <c r="C29851" s="9"/>
      <c r="D29851" s="9"/>
    </row>
    <row r="29852">
      <c r="C29852" s="9"/>
      <c r="D29852" s="9"/>
    </row>
    <row r="29853">
      <c r="C29853" s="9"/>
      <c r="D29853" s="9"/>
    </row>
    <row r="29854">
      <c r="C29854" s="9"/>
      <c r="D29854" s="9"/>
    </row>
    <row r="29855">
      <c r="C29855" s="9"/>
      <c r="D29855" s="9"/>
    </row>
    <row r="29856">
      <c r="C29856" s="9"/>
      <c r="D29856" s="9"/>
    </row>
    <row r="29857">
      <c r="C29857" s="9"/>
      <c r="D29857" s="9"/>
    </row>
    <row r="29858">
      <c r="C29858" s="9"/>
      <c r="D29858" s="9"/>
    </row>
    <row r="29859">
      <c r="C29859" s="9"/>
      <c r="D29859" s="9"/>
    </row>
    <row r="29860">
      <c r="C29860" s="9"/>
      <c r="D29860" s="9"/>
    </row>
    <row r="29861">
      <c r="C29861" s="9"/>
      <c r="D29861" s="9"/>
    </row>
    <row r="29862">
      <c r="C29862" s="9"/>
      <c r="D29862" s="9"/>
    </row>
    <row r="29863">
      <c r="C29863" s="9"/>
      <c r="D29863" s="9"/>
    </row>
    <row r="29864">
      <c r="C29864" s="9"/>
      <c r="D29864" s="9"/>
    </row>
    <row r="29865">
      <c r="C29865" s="9"/>
      <c r="D29865" s="9"/>
    </row>
    <row r="29866">
      <c r="C29866" s="9"/>
      <c r="D29866" s="9"/>
    </row>
    <row r="29867">
      <c r="C29867" s="9"/>
      <c r="D29867" s="9"/>
    </row>
    <row r="29868">
      <c r="C29868" s="9"/>
      <c r="D29868" s="9"/>
    </row>
    <row r="29869">
      <c r="C29869" s="9"/>
      <c r="D29869" s="9"/>
    </row>
    <row r="29870">
      <c r="C29870" s="9"/>
      <c r="D29870" s="9"/>
    </row>
    <row r="29871">
      <c r="C29871" s="9"/>
      <c r="D29871" s="9"/>
    </row>
    <row r="29872">
      <c r="C29872" s="9"/>
      <c r="D29872" s="9"/>
    </row>
    <row r="29873">
      <c r="C29873" s="9"/>
      <c r="D29873" s="9"/>
    </row>
    <row r="29874">
      <c r="C29874" s="9"/>
      <c r="D29874" s="9"/>
    </row>
    <row r="29875">
      <c r="C29875" s="9"/>
      <c r="D29875" s="9"/>
    </row>
    <row r="29876">
      <c r="C29876" s="9"/>
      <c r="D29876" s="9"/>
    </row>
    <row r="29877">
      <c r="C29877" s="9"/>
      <c r="D29877" s="9"/>
    </row>
    <row r="29878">
      <c r="C29878" s="9"/>
      <c r="D29878" s="9"/>
    </row>
    <row r="29879">
      <c r="C29879" s="9"/>
      <c r="D29879" s="9"/>
    </row>
    <row r="29880">
      <c r="C29880" s="9"/>
      <c r="D29880" s="9"/>
    </row>
    <row r="29881">
      <c r="C29881" s="9"/>
      <c r="D29881" s="9"/>
    </row>
    <row r="29882">
      <c r="C29882" s="9"/>
      <c r="D29882" s="9"/>
    </row>
    <row r="29883">
      <c r="C29883" s="9"/>
      <c r="D29883" s="9"/>
    </row>
    <row r="29884">
      <c r="C29884" s="9"/>
      <c r="D29884" s="9"/>
    </row>
    <row r="29885">
      <c r="C29885" s="9"/>
      <c r="D29885" s="9"/>
    </row>
    <row r="29886">
      <c r="C29886" s="9"/>
      <c r="D29886" s="9"/>
    </row>
    <row r="29887">
      <c r="C29887" s="9"/>
      <c r="D29887" s="9"/>
    </row>
    <row r="29888">
      <c r="C29888" s="9"/>
      <c r="D29888" s="9"/>
    </row>
    <row r="29889">
      <c r="C29889" s="9"/>
      <c r="D29889" s="9"/>
    </row>
    <row r="29890">
      <c r="C29890" s="9"/>
      <c r="D29890" s="9"/>
    </row>
    <row r="29891">
      <c r="C29891" s="9"/>
      <c r="D29891" s="9"/>
    </row>
    <row r="29892">
      <c r="C29892" s="9"/>
      <c r="D29892" s="9"/>
    </row>
    <row r="29893">
      <c r="C29893" s="9"/>
      <c r="D29893" s="9"/>
    </row>
    <row r="29894">
      <c r="C29894" s="9"/>
      <c r="D29894" s="9"/>
    </row>
    <row r="29895">
      <c r="C29895" s="9"/>
      <c r="D29895" s="9"/>
    </row>
    <row r="29896">
      <c r="C29896" s="9"/>
      <c r="D29896" s="9"/>
    </row>
    <row r="29897">
      <c r="C29897" s="9"/>
      <c r="D29897" s="9"/>
    </row>
    <row r="29898">
      <c r="C29898" s="9"/>
      <c r="D29898" s="9"/>
    </row>
    <row r="29899">
      <c r="C29899" s="9"/>
      <c r="D29899" s="9"/>
    </row>
    <row r="29900">
      <c r="C29900" s="9"/>
      <c r="D29900" s="9"/>
    </row>
    <row r="29901">
      <c r="C29901" s="9"/>
      <c r="D29901" s="9"/>
    </row>
    <row r="29902">
      <c r="C29902" s="9"/>
      <c r="D29902" s="9"/>
    </row>
    <row r="29903">
      <c r="C29903" s="9"/>
      <c r="D29903" s="9"/>
    </row>
    <row r="29904">
      <c r="C29904" s="9"/>
      <c r="D29904" s="9"/>
    </row>
    <row r="29905">
      <c r="C29905" s="9"/>
      <c r="D29905" s="9"/>
    </row>
    <row r="29906">
      <c r="C29906" s="9"/>
      <c r="D29906" s="9"/>
    </row>
    <row r="29907">
      <c r="C29907" s="9"/>
      <c r="D29907" s="9"/>
    </row>
    <row r="29908">
      <c r="C29908" s="9"/>
      <c r="D29908" s="9"/>
    </row>
    <row r="29909">
      <c r="C29909" s="9"/>
      <c r="D29909" s="9"/>
    </row>
    <row r="29910">
      <c r="C29910" s="9"/>
      <c r="D29910" s="9"/>
    </row>
    <row r="29911">
      <c r="C29911" s="9"/>
      <c r="D29911" s="9"/>
    </row>
    <row r="29912">
      <c r="C29912" s="9"/>
      <c r="D29912" s="9"/>
    </row>
    <row r="29913">
      <c r="C29913" s="9"/>
      <c r="D29913" s="9"/>
    </row>
    <row r="29914">
      <c r="C29914" s="9"/>
      <c r="D29914" s="9"/>
    </row>
    <row r="29915">
      <c r="C29915" s="9"/>
      <c r="D29915" s="9"/>
    </row>
    <row r="29916">
      <c r="C29916" s="9"/>
      <c r="D29916" s="9"/>
    </row>
    <row r="29917">
      <c r="C29917" s="9"/>
      <c r="D29917" s="9"/>
    </row>
    <row r="29918">
      <c r="C29918" s="9"/>
      <c r="D29918" s="9"/>
    </row>
    <row r="29919">
      <c r="C29919" s="9"/>
      <c r="D29919" s="9"/>
    </row>
    <row r="29920">
      <c r="C29920" s="9"/>
      <c r="D29920" s="9"/>
    </row>
    <row r="29921">
      <c r="C29921" s="9"/>
      <c r="D29921" s="9"/>
    </row>
    <row r="29922">
      <c r="C29922" s="9"/>
      <c r="D29922" s="9"/>
    </row>
    <row r="29923">
      <c r="C29923" s="9"/>
      <c r="D29923" s="9"/>
    </row>
    <row r="29924">
      <c r="C29924" s="9"/>
      <c r="D29924" s="9"/>
    </row>
    <row r="29925">
      <c r="C29925" s="9"/>
      <c r="D29925" s="9"/>
    </row>
    <row r="29926">
      <c r="C29926" s="9"/>
      <c r="D29926" s="9"/>
    </row>
    <row r="29927">
      <c r="C29927" s="9"/>
      <c r="D29927" s="9"/>
    </row>
    <row r="29928">
      <c r="C29928" s="9"/>
      <c r="D29928" s="9"/>
    </row>
    <row r="29929">
      <c r="C29929" s="9"/>
      <c r="D29929" s="9"/>
    </row>
    <row r="29930">
      <c r="C29930" s="9"/>
      <c r="D29930" s="9"/>
    </row>
    <row r="29931">
      <c r="C29931" s="9"/>
      <c r="D29931" s="9"/>
    </row>
    <row r="29932">
      <c r="C29932" s="9"/>
      <c r="D29932" s="9"/>
    </row>
    <row r="29933">
      <c r="C29933" s="9"/>
      <c r="D29933" s="9"/>
    </row>
    <row r="29934">
      <c r="C29934" s="9"/>
      <c r="D29934" s="9"/>
    </row>
    <row r="29935">
      <c r="C29935" s="9"/>
      <c r="D29935" s="9"/>
    </row>
    <row r="29936">
      <c r="C29936" s="9"/>
      <c r="D29936" s="9"/>
    </row>
    <row r="29937">
      <c r="C29937" s="9"/>
      <c r="D29937" s="9"/>
    </row>
    <row r="29938">
      <c r="C29938" s="9"/>
      <c r="D29938" s="9"/>
    </row>
    <row r="29939">
      <c r="C29939" s="9"/>
      <c r="D29939" s="9"/>
    </row>
    <row r="29940">
      <c r="C29940" s="9"/>
      <c r="D29940" s="9"/>
    </row>
    <row r="29941">
      <c r="C29941" s="9"/>
      <c r="D29941" s="9"/>
    </row>
    <row r="29942">
      <c r="C29942" s="9"/>
      <c r="D29942" s="9"/>
    </row>
    <row r="29943">
      <c r="C29943" s="9"/>
      <c r="D29943" s="9"/>
    </row>
    <row r="29944">
      <c r="C29944" s="9"/>
      <c r="D29944" s="9"/>
    </row>
    <row r="29945">
      <c r="C29945" s="9"/>
      <c r="D29945" s="9"/>
    </row>
    <row r="29946">
      <c r="C29946" s="9"/>
      <c r="D29946" s="9"/>
    </row>
    <row r="29947">
      <c r="C29947" s="9"/>
      <c r="D29947" s="9"/>
    </row>
    <row r="29948">
      <c r="C29948" s="9"/>
      <c r="D29948" s="9"/>
    </row>
    <row r="29949">
      <c r="C29949" s="9"/>
      <c r="D29949" s="9"/>
    </row>
    <row r="29950">
      <c r="C29950" s="9"/>
      <c r="D29950" s="9"/>
    </row>
    <row r="29951">
      <c r="C29951" s="9"/>
      <c r="D29951" s="9"/>
    </row>
    <row r="29952">
      <c r="C29952" s="9"/>
      <c r="D29952" s="9"/>
    </row>
    <row r="29953">
      <c r="C29953" s="9"/>
      <c r="D29953" s="9"/>
    </row>
    <row r="29954">
      <c r="C29954" s="9"/>
      <c r="D29954" s="9"/>
    </row>
    <row r="29955">
      <c r="C29955" s="9"/>
      <c r="D29955" s="9"/>
    </row>
    <row r="29956">
      <c r="C29956" s="9"/>
      <c r="D29956" s="9"/>
    </row>
    <row r="29957">
      <c r="C29957" s="9"/>
      <c r="D29957" s="9"/>
    </row>
    <row r="29958">
      <c r="C29958" s="9"/>
      <c r="D29958" s="9"/>
    </row>
    <row r="29959">
      <c r="C29959" s="9"/>
      <c r="D29959" s="9"/>
    </row>
    <row r="29960">
      <c r="C29960" s="9"/>
      <c r="D29960" s="9"/>
    </row>
    <row r="29961">
      <c r="C29961" s="9"/>
      <c r="D29961" s="9"/>
    </row>
    <row r="29962">
      <c r="C29962" s="9"/>
      <c r="D29962" s="9"/>
    </row>
    <row r="29963">
      <c r="C29963" s="9"/>
      <c r="D29963" s="9"/>
    </row>
    <row r="29964">
      <c r="C29964" s="9"/>
      <c r="D29964" s="9"/>
    </row>
    <row r="29965">
      <c r="C29965" s="9"/>
      <c r="D29965" s="9"/>
    </row>
    <row r="29966">
      <c r="C29966" s="9"/>
      <c r="D29966" s="9"/>
    </row>
    <row r="29967">
      <c r="C29967" s="9"/>
      <c r="D29967" s="9"/>
    </row>
    <row r="29968">
      <c r="C29968" s="9"/>
      <c r="D29968" s="9"/>
    </row>
    <row r="29969">
      <c r="C29969" s="9"/>
      <c r="D29969" s="9"/>
    </row>
    <row r="29970">
      <c r="C29970" s="9"/>
      <c r="D29970" s="9"/>
    </row>
    <row r="29971">
      <c r="C29971" s="9"/>
      <c r="D29971" s="9"/>
    </row>
    <row r="29972">
      <c r="C29972" s="9"/>
      <c r="D29972" s="9"/>
    </row>
    <row r="29973">
      <c r="C29973" s="9"/>
      <c r="D29973" s="9"/>
    </row>
    <row r="29974">
      <c r="C29974" s="9"/>
      <c r="D29974" s="9"/>
    </row>
    <row r="29975">
      <c r="C29975" s="9"/>
      <c r="D29975" s="9"/>
    </row>
    <row r="29976">
      <c r="C29976" s="9"/>
      <c r="D29976" s="9"/>
    </row>
    <row r="29977">
      <c r="C29977" s="9"/>
      <c r="D29977" s="9"/>
    </row>
    <row r="29978">
      <c r="C29978" s="9"/>
      <c r="D29978" s="9"/>
    </row>
    <row r="29979">
      <c r="C29979" s="9"/>
      <c r="D29979" s="9"/>
    </row>
    <row r="29980">
      <c r="C29980" s="9"/>
      <c r="D29980" s="9"/>
    </row>
    <row r="29981">
      <c r="C29981" s="9"/>
      <c r="D29981" s="9"/>
    </row>
    <row r="29982">
      <c r="C29982" s="9"/>
      <c r="D29982" s="9"/>
    </row>
    <row r="29983">
      <c r="C29983" s="9"/>
      <c r="D29983" s="9"/>
    </row>
    <row r="29984">
      <c r="C29984" s="9"/>
      <c r="D29984" s="9"/>
    </row>
    <row r="29985">
      <c r="C29985" s="9"/>
      <c r="D29985" s="9"/>
    </row>
    <row r="29986">
      <c r="C29986" s="9"/>
      <c r="D29986" s="9"/>
    </row>
    <row r="29987">
      <c r="C29987" s="9"/>
      <c r="D29987" s="9"/>
    </row>
    <row r="29988">
      <c r="C29988" s="9"/>
      <c r="D29988" s="9"/>
    </row>
    <row r="29989">
      <c r="C29989" s="9"/>
      <c r="D29989" s="9"/>
    </row>
    <row r="29990">
      <c r="C29990" s="9"/>
      <c r="D29990" s="9"/>
    </row>
    <row r="29991">
      <c r="C29991" s="9"/>
      <c r="D29991" s="9"/>
    </row>
    <row r="29992">
      <c r="C29992" s="9"/>
      <c r="D29992" s="9"/>
    </row>
    <row r="29993">
      <c r="C29993" s="9"/>
      <c r="D29993" s="9"/>
    </row>
    <row r="29994">
      <c r="C29994" s="9"/>
      <c r="D29994" s="9"/>
    </row>
    <row r="29995">
      <c r="C29995" s="9"/>
      <c r="D29995" s="9"/>
    </row>
    <row r="29996">
      <c r="C29996" s="9"/>
      <c r="D29996" s="9"/>
    </row>
    <row r="29997">
      <c r="C29997" s="9"/>
      <c r="D29997" s="9"/>
    </row>
    <row r="29998">
      <c r="C29998" s="9"/>
      <c r="D29998" s="9"/>
    </row>
    <row r="29999">
      <c r="C29999" s="9"/>
      <c r="D29999" s="9"/>
    </row>
    <row r="30000">
      <c r="C30000" s="9"/>
      <c r="D30000" s="9"/>
    </row>
    <row r="30001">
      <c r="C30001" s="9"/>
      <c r="D30001" s="9"/>
    </row>
    <row r="30002">
      <c r="C30002" s="9"/>
      <c r="D30002" s="9"/>
    </row>
    <row r="30003">
      <c r="C30003" s="9"/>
      <c r="D30003" s="9"/>
    </row>
    <row r="30004">
      <c r="C30004" s="9"/>
      <c r="D30004" s="9"/>
    </row>
    <row r="30005">
      <c r="C30005" s="9"/>
      <c r="D30005" s="9"/>
    </row>
    <row r="30006">
      <c r="C30006" s="9"/>
      <c r="D30006" s="9"/>
    </row>
    <row r="30007">
      <c r="C30007" s="9"/>
      <c r="D30007" s="9"/>
    </row>
    <row r="30008">
      <c r="C30008" s="9"/>
      <c r="D30008" s="9"/>
    </row>
    <row r="30009">
      <c r="C30009" s="9"/>
      <c r="D30009" s="9"/>
    </row>
    <row r="30010">
      <c r="C30010" s="9"/>
      <c r="D30010" s="9"/>
    </row>
    <row r="30011">
      <c r="C30011" s="9"/>
      <c r="D30011" s="9"/>
    </row>
    <row r="30012">
      <c r="C30012" s="9"/>
      <c r="D30012" s="9"/>
    </row>
    <row r="30013">
      <c r="C30013" s="9"/>
      <c r="D30013" s="9"/>
    </row>
    <row r="30014">
      <c r="C30014" s="9"/>
      <c r="D30014" s="9"/>
    </row>
    <row r="30015">
      <c r="C30015" s="9"/>
      <c r="D30015" s="9"/>
    </row>
    <row r="30016">
      <c r="C30016" s="9"/>
      <c r="D30016" s="9"/>
    </row>
    <row r="30017">
      <c r="C30017" s="9"/>
      <c r="D30017" s="9"/>
    </row>
    <row r="30018">
      <c r="C30018" s="9"/>
      <c r="D30018" s="9"/>
    </row>
    <row r="30019">
      <c r="C30019" s="9"/>
      <c r="D30019" s="9"/>
    </row>
    <row r="30020">
      <c r="C30020" s="9"/>
      <c r="D30020" s="9"/>
    </row>
    <row r="30021">
      <c r="C30021" s="9"/>
      <c r="D30021" s="9"/>
    </row>
    <row r="30022">
      <c r="C30022" s="9"/>
      <c r="D30022" s="9"/>
    </row>
    <row r="30023">
      <c r="C30023" s="9"/>
      <c r="D30023" s="9"/>
    </row>
    <row r="30024">
      <c r="C30024" s="9"/>
      <c r="D30024" s="9"/>
    </row>
    <row r="30025">
      <c r="C30025" s="9"/>
      <c r="D30025" s="9"/>
    </row>
    <row r="30026">
      <c r="C30026" s="9"/>
      <c r="D30026" s="9"/>
    </row>
    <row r="30027">
      <c r="C30027" s="9"/>
      <c r="D30027" s="9"/>
    </row>
    <row r="30028">
      <c r="C30028" s="9"/>
      <c r="D30028" s="9"/>
    </row>
    <row r="30029">
      <c r="C30029" s="9"/>
      <c r="D30029" s="9"/>
    </row>
    <row r="30030">
      <c r="C30030" s="9"/>
      <c r="D30030" s="9"/>
    </row>
    <row r="30031">
      <c r="C30031" s="9"/>
      <c r="D30031" s="9"/>
    </row>
    <row r="30032">
      <c r="C30032" s="9"/>
      <c r="D30032" s="9"/>
    </row>
    <row r="30033">
      <c r="C30033" s="9"/>
      <c r="D30033" s="9"/>
    </row>
    <row r="30034">
      <c r="C30034" s="9"/>
      <c r="D30034" s="9"/>
    </row>
    <row r="30035">
      <c r="C30035" s="9"/>
      <c r="D30035" s="9"/>
    </row>
    <row r="30036">
      <c r="C30036" s="9"/>
      <c r="D30036" s="9"/>
    </row>
    <row r="30037">
      <c r="C30037" s="9"/>
      <c r="D30037" s="9"/>
    </row>
    <row r="30038">
      <c r="C30038" s="9"/>
      <c r="D30038" s="9"/>
    </row>
    <row r="30039">
      <c r="C30039" s="9"/>
      <c r="D30039" s="9"/>
    </row>
    <row r="30040">
      <c r="C30040" s="9"/>
      <c r="D30040" s="9"/>
    </row>
    <row r="30041">
      <c r="C30041" s="9"/>
      <c r="D30041" s="9"/>
    </row>
    <row r="30042">
      <c r="C30042" s="9"/>
      <c r="D30042" s="9"/>
    </row>
    <row r="30043">
      <c r="C30043" s="9"/>
      <c r="D30043" s="9"/>
    </row>
    <row r="30044">
      <c r="C30044" s="9"/>
      <c r="D30044" s="9"/>
    </row>
    <row r="30045">
      <c r="C30045" s="9"/>
      <c r="D30045" s="9"/>
    </row>
    <row r="30046">
      <c r="C30046" s="9"/>
      <c r="D30046" s="9"/>
    </row>
    <row r="30047">
      <c r="C30047" s="9"/>
      <c r="D30047" s="9"/>
    </row>
    <row r="30048">
      <c r="C30048" s="9"/>
      <c r="D30048" s="9"/>
    </row>
    <row r="30049">
      <c r="C30049" s="9"/>
      <c r="D30049" s="9"/>
    </row>
    <row r="30050">
      <c r="C30050" s="9"/>
      <c r="D30050" s="9"/>
    </row>
    <row r="30051">
      <c r="C30051" s="9"/>
      <c r="D30051" s="9"/>
    </row>
    <row r="30052">
      <c r="C30052" s="9"/>
      <c r="D30052" s="9"/>
    </row>
    <row r="30053">
      <c r="C30053" s="9"/>
      <c r="D30053" s="9"/>
    </row>
    <row r="30054">
      <c r="C30054" s="9"/>
      <c r="D30054" s="9"/>
    </row>
    <row r="30055">
      <c r="C30055" s="9"/>
      <c r="D30055" s="9"/>
    </row>
    <row r="30056">
      <c r="C30056" s="9"/>
      <c r="D30056" s="9"/>
    </row>
    <row r="30057">
      <c r="C30057" s="9"/>
      <c r="D30057" s="9"/>
    </row>
    <row r="30058">
      <c r="C30058" s="9"/>
      <c r="D30058" s="9"/>
    </row>
    <row r="30059">
      <c r="C30059" s="9"/>
      <c r="D30059" s="9"/>
    </row>
    <row r="30060">
      <c r="C30060" s="9"/>
      <c r="D30060" s="9"/>
    </row>
    <row r="30061">
      <c r="C30061" s="9"/>
      <c r="D30061" s="9"/>
    </row>
    <row r="30062">
      <c r="C30062" s="9"/>
      <c r="D30062" s="9"/>
    </row>
    <row r="30063">
      <c r="C30063" s="9"/>
      <c r="D30063" s="9"/>
    </row>
    <row r="30064">
      <c r="C30064" s="9"/>
      <c r="D30064" s="9"/>
    </row>
    <row r="30065">
      <c r="C30065" s="9"/>
      <c r="D30065" s="9"/>
    </row>
    <row r="30066">
      <c r="C30066" s="9"/>
      <c r="D30066" s="9"/>
    </row>
    <row r="30067">
      <c r="C30067" s="9"/>
      <c r="D30067" s="9"/>
    </row>
    <row r="30068">
      <c r="C30068" s="9"/>
      <c r="D30068" s="9"/>
    </row>
    <row r="30069">
      <c r="C30069" s="9"/>
      <c r="D30069" s="9"/>
    </row>
    <row r="30070">
      <c r="C30070" s="9"/>
      <c r="D30070" s="9"/>
    </row>
    <row r="30071">
      <c r="C30071" s="9"/>
      <c r="D30071" s="9"/>
    </row>
    <row r="30072">
      <c r="C30072" s="9"/>
      <c r="D30072" s="9"/>
    </row>
    <row r="30073">
      <c r="C30073" s="9"/>
      <c r="D30073" s="9"/>
    </row>
    <row r="30074">
      <c r="C30074" s="9"/>
      <c r="D30074" s="9"/>
    </row>
    <row r="30075">
      <c r="C30075" s="9"/>
      <c r="D30075" s="9"/>
    </row>
    <row r="30076">
      <c r="C30076" s="9"/>
      <c r="D30076" s="9"/>
    </row>
    <row r="30077">
      <c r="C30077" s="9"/>
      <c r="D30077" s="9"/>
    </row>
    <row r="30078">
      <c r="C30078" s="9"/>
      <c r="D30078" s="9"/>
    </row>
    <row r="30079">
      <c r="C30079" s="9"/>
      <c r="D30079" s="9"/>
    </row>
    <row r="30080">
      <c r="C30080" s="9"/>
      <c r="D30080" s="9"/>
    </row>
    <row r="30081">
      <c r="C30081" s="9"/>
      <c r="D30081" s="9"/>
    </row>
    <row r="30082">
      <c r="C30082" s="9"/>
      <c r="D30082" s="9"/>
    </row>
    <row r="30083">
      <c r="C30083" s="9"/>
      <c r="D30083" s="9"/>
    </row>
    <row r="30084">
      <c r="C30084" s="9"/>
      <c r="D30084" s="9"/>
    </row>
    <row r="30085">
      <c r="C30085" s="9"/>
      <c r="D30085" s="9"/>
    </row>
    <row r="30086">
      <c r="C30086" s="9"/>
      <c r="D30086" s="9"/>
    </row>
    <row r="30087">
      <c r="C30087" s="9"/>
      <c r="D30087" s="9"/>
    </row>
    <row r="30088">
      <c r="C30088" s="9"/>
      <c r="D30088" s="9"/>
    </row>
    <row r="30089">
      <c r="C30089" s="9"/>
      <c r="D30089" s="9"/>
    </row>
    <row r="30090">
      <c r="C30090" s="9"/>
      <c r="D30090" s="9"/>
    </row>
    <row r="30091">
      <c r="C30091" s="9"/>
      <c r="D30091" s="9"/>
    </row>
    <row r="30092">
      <c r="C30092" s="9"/>
      <c r="D30092" s="9"/>
    </row>
    <row r="30093">
      <c r="C30093" s="9"/>
      <c r="D30093" s="9"/>
    </row>
    <row r="30094">
      <c r="C30094" s="9"/>
      <c r="D30094" s="9"/>
    </row>
    <row r="30095">
      <c r="C30095" s="9"/>
      <c r="D30095" s="9"/>
    </row>
    <row r="30096">
      <c r="C30096" s="9"/>
      <c r="D30096" s="9"/>
    </row>
    <row r="30097">
      <c r="C30097" s="9"/>
      <c r="D30097" s="9"/>
    </row>
    <row r="30098">
      <c r="C30098" s="9"/>
      <c r="D30098" s="9"/>
    </row>
    <row r="30099">
      <c r="C30099" s="9"/>
      <c r="D30099" s="9"/>
    </row>
    <row r="30100">
      <c r="C30100" s="9"/>
      <c r="D30100" s="9"/>
    </row>
    <row r="30101">
      <c r="C30101" s="9"/>
      <c r="D30101" s="9"/>
    </row>
    <row r="30102">
      <c r="C30102" s="9"/>
      <c r="D30102" s="9"/>
    </row>
    <row r="30103">
      <c r="C30103" s="9"/>
      <c r="D30103" s="9"/>
    </row>
    <row r="30104">
      <c r="C30104" s="9"/>
      <c r="D30104" s="9"/>
    </row>
    <row r="30105">
      <c r="C30105" s="9"/>
      <c r="D30105" s="9"/>
    </row>
    <row r="30106">
      <c r="C30106" s="9"/>
      <c r="D30106" s="9"/>
    </row>
    <row r="30107">
      <c r="C30107" s="9"/>
      <c r="D30107" s="9"/>
    </row>
    <row r="30108">
      <c r="C30108" s="9"/>
      <c r="D30108" s="9"/>
    </row>
    <row r="30109">
      <c r="C30109" s="9"/>
      <c r="D30109" s="9"/>
    </row>
    <row r="30110">
      <c r="C30110" s="9"/>
      <c r="D30110" s="9"/>
    </row>
    <row r="30111">
      <c r="C30111" s="9"/>
      <c r="D30111" s="9"/>
    </row>
    <row r="30112">
      <c r="C30112" s="9"/>
      <c r="D30112" s="9"/>
    </row>
    <row r="30113">
      <c r="C30113" s="9"/>
      <c r="D30113" s="9"/>
    </row>
    <row r="30114">
      <c r="C30114" s="9"/>
      <c r="D30114" s="9"/>
    </row>
    <row r="30115">
      <c r="C30115" s="9"/>
      <c r="D30115" s="9"/>
    </row>
    <row r="30116">
      <c r="C30116" s="9"/>
      <c r="D30116" s="9"/>
    </row>
    <row r="30117">
      <c r="C30117" s="9"/>
      <c r="D30117" s="9"/>
    </row>
    <row r="30118">
      <c r="C30118" s="9"/>
      <c r="D30118" s="9"/>
    </row>
    <row r="30119">
      <c r="C30119" s="9"/>
      <c r="D30119" s="9"/>
    </row>
    <row r="30120">
      <c r="C30120" s="9"/>
      <c r="D30120" s="9"/>
    </row>
    <row r="30121">
      <c r="C30121" s="9"/>
      <c r="D30121" s="9"/>
    </row>
    <row r="30122">
      <c r="C30122" s="9"/>
      <c r="D30122" s="9"/>
    </row>
    <row r="30123">
      <c r="C30123" s="9"/>
      <c r="D30123" s="9"/>
    </row>
    <row r="30124">
      <c r="C30124" s="9"/>
      <c r="D30124" s="9"/>
    </row>
    <row r="30125">
      <c r="C30125" s="9"/>
      <c r="D30125" s="9"/>
    </row>
    <row r="30126">
      <c r="C30126" s="9"/>
      <c r="D30126" s="9"/>
    </row>
    <row r="30127">
      <c r="C30127" s="9"/>
      <c r="D30127" s="9"/>
    </row>
    <row r="30128">
      <c r="C30128" s="9"/>
      <c r="D30128" s="9"/>
    </row>
    <row r="30129">
      <c r="C30129" s="9"/>
      <c r="D30129" s="9"/>
    </row>
    <row r="30130">
      <c r="C30130" s="9"/>
      <c r="D30130" s="9"/>
    </row>
    <row r="30131">
      <c r="C30131" s="9"/>
      <c r="D30131" s="9"/>
    </row>
    <row r="30132">
      <c r="C30132" s="9"/>
      <c r="D30132" s="9"/>
    </row>
    <row r="30133">
      <c r="C30133" s="9"/>
      <c r="D30133" s="9"/>
    </row>
    <row r="30134">
      <c r="C30134" s="9"/>
      <c r="D30134" s="9"/>
    </row>
    <row r="30135">
      <c r="C30135" s="9"/>
      <c r="D30135" s="9"/>
    </row>
    <row r="30136">
      <c r="C30136" s="9"/>
      <c r="D30136" s="9"/>
    </row>
    <row r="30137">
      <c r="C30137" s="9"/>
      <c r="D30137" s="9"/>
    </row>
    <row r="30138">
      <c r="C30138" s="9"/>
      <c r="D30138" s="9"/>
    </row>
    <row r="30139">
      <c r="C30139" s="9"/>
      <c r="D30139" s="9"/>
    </row>
    <row r="30140">
      <c r="C30140" s="9"/>
      <c r="D30140" s="9"/>
    </row>
    <row r="30141">
      <c r="C30141" s="9"/>
      <c r="D30141" s="9"/>
    </row>
    <row r="30142">
      <c r="C30142" s="9"/>
      <c r="D30142" s="9"/>
    </row>
    <row r="30143">
      <c r="C30143" s="9"/>
      <c r="D30143" s="9"/>
    </row>
    <row r="30144">
      <c r="C30144" s="9"/>
      <c r="D30144" s="9"/>
    </row>
    <row r="30145">
      <c r="C30145" s="9"/>
      <c r="D30145" s="9"/>
    </row>
    <row r="30146">
      <c r="C30146" s="9"/>
      <c r="D30146" s="9"/>
    </row>
    <row r="30147">
      <c r="C30147" s="9"/>
      <c r="D30147" s="9"/>
    </row>
    <row r="30148">
      <c r="C30148" s="9"/>
      <c r="D30148" s="9"/>
    </row>
    <row r="30149">
      <c r="C30149" s="9"/>
      <c r="D30149" s="9"/>
    </row>
    <row r="30150">
      <c r="C30150" s="9"/>
      <c r="D30150" s="9"/>
    </row>
    <row r="30151">
      <c r="C30151" s="9"/>
      <c r="D30151" s="9"/>
    </row>
    <row r="30152">
      <c r="C30152" s="9"/>
      <c r="D30152" s="9"/>
    </row>
    <row r="30153">
      <c r="C30153" s="9"/>
      <c r="D30153" s="9"/>
    </row>
    <row r="30154">
      <c r="C30154" s="9"/>
      <c r="D30154" s="9"/>
    </row>
    <row r="30155">
      <c r="C30155" s="9"/>
      <c r="D30155" s="9"/>
    </row>
    <row r="30156">
      <c r="C30156" s="9"/>
      <c r="D30156" s="9"/>
    </row>
    <row r="30157">
      <c r="C30157" s="9"/>
      <c r="D30157" s="9"/>
    </row>
    <row r="30158">
      <c r="C30158" s="9"/>
      <c r="D30158" s="9"/>
    </row>
    <row r="30159">
      <c r="C30159" s="9"/>
      <c r="D30159" s="9"/>
    </row>
    <row r="30160">
      <c r="C30160" s="9"/>
      <c r="D30160" s="9"/>
    </row>
    <row r="30161">
      <c r="C30161" s="9"/>
      <c r="D30161" s="9"/>
    </row>
    <row r="30162">
      <c r="C30162" s="9"/>
      <c r="D30162" s="9"/>
    </row>
    <row r="30163">
      <c r="C30163" s="9"/>
      <c r="D30163" s="9"/>
    </row>
    <row r="30164">
      <c r="C30164" s="9"/>
      <c r="D30164" s="9"/>
    </row>
    <row r="30165">
      <c r="C30165" s="9"/>
      <c r="D30165" s="9"/>
    </row>
    <row r="30166">
      <c r="C30166" s="9"/>
      <c r="D30166" s="9"/>
    </row>
    <row r="30167">
      <c r="C30167" s="9"/>
      <c r="D30167" s="9"/>
    </row>
    <row r="30168">
      <c r="C30168" s="9"/>
      <c r="D30168" s="9"/>
    </row>
    <row r="30169">
      <c r="C30169" s="9"/>
      <c r="D30169" s="9"/>
    </row>
    <row r="30170">
      <c r="C30170" s="9"/>
      <c r="D30170" s="9"/>
    </row>
    <row r="30171">
      <c r="C30171" s="9"/>
      <c r="D30171" s="9"/>
    </row>
    <row r="30172">
      <c r="C30172" s="9"/>
      <c r="D30172" s="9"/>
    </row>
    <row r="30173">
      <c r="C30173" s="9"/>
      <c r="D30173" s="9"/>
    </row>
    <row r="30174">
      <c r="C30174" s="9"/>
      <c r="D30174" s="9"/>
    </row>
    <row r="30175">
      <c r="C30175" s="9"/>
      <c r="D30175" s="9"/>
    </row>
    <row r="30176">
      <c r="C30176" s="9"/>
      <c r="D30176" s="9"/>
    </row>
    <row r="30177">
      <c r="C30177" s="9"/>
      <c r="D30177" s="9"/>
    </row>
    <row r="30178">
      <c r="C30178" s="9"/>
      <c r="D30178" s="9"/>
    </row>
    <row r="30179">
      <c r="C30179" s="9"/>
      <c r="D30179" s="9"/>
    </row>
    <row r="30180">
      <c r="C30180" s="9"/>
      <c r="D30180" s="9"/>
    </row>
    <row r="30181">
      <c r="C30181" s="9"/>
      <c r="D30181" s="9"/>
    </row>
    <row r="30182">
      <c r="C30182" s="9"/>
      <c r="D30182" s="9"/>
    </row>
    <row r="30183">
      <c r="C30183" s="9"/>
      <c r="D30183" s="9"/>
    </row>
    <row r="30184">
      <c r="C30184" s="9"/>
      <c r="D30184" s="9"/>
    </row>
    <row r="30185">
      <c r="C30185" s="9"/>
      <c r="D30185" s="9"/>
    </row>
    <row r="30186">
      <c r="C30186" s="9"/>
      <c r="D30186" s="9"/>
    </row>
    <row r="30187">
      <c r="C30187" s="9"/>
      <c r="D30187" s="9"/>
    </row>
    <row r="30188">
      <c r="C30188" s="9"/>
      <c r="D30188" s="9"/>
    </row>
    <row r="30189">
      <c r="C30189" s="9"/>
      <c r="D30189" s="9"/>
    </row>
    <row r="30190">
      <c r="C30190" s="9"/>
      <c r="D30190" s="9"/>
    </row>
    <row r="30191">
      <c r="C30191" s="9"/>
      <c r="D30191" s="9"/>
    </row>
    <row r="30192">
      <c r="C30192" s="9"/>
      <c r="D30192" s="9"/>
    </row>
    <row r="30193">
      <c r="C30193" s="9"/>
      <c r="D30193" s="9"/>
    </row>
    <row r="30194">
      <c r="C30194" s="9"/>
      <c r="D30194" s="9"/>
    </row>
    <row r="30195">
      <c r="C30195" s="9"/>
      <c r="D30195" s="9"/>
    </row>
    <row r="30196">
      <c r="C30196" s="9"/>
      <c r="D30196" s="9"/>
    </row>
    <row r="30197">
      <c r="C30197" s="9"/>
      <c r="D30197" s="9"/>
    </row>
    <row r="30198">
      <c r="C30198" s="9"/>
      <c r="D30198" s="9"/>
    </row>
    <row r="30199">
      <c r="C30199" s="9"/>
      <c r="D30199" s="9"/>
    </row>
    <row r="30200">
      <c r="C30200" s="9"/>
      <c r="D30200" s="9"/>
    </row>
    <row r="30201">
      <c r="C30201" s="9"/>
      <c r="D30201" s="9"/>
    </row>
    <row r="30202">
      <c r="C30202" s="9"/>
      <c r="D30202" s="9"/>
    </row>
    <row r="30203">
      <c r="C30203" s="9"/>
      <c r="D30203" s="9"/>
    </row>
    <row r="30204">
      <c r="C30204" s="9"/>
      <c r="D30204" s="9"/>
    </row>
    <row r="30205">
      <c r="C30205" s="9"/>
      <c r="D30205" s="9"/>
    </row>
    <row r="30206">
      <c r="C30206" s="9"/>
      <c r="D30206" s="9"/>
    </row>
    <row r="30207">
      <c r="C30207" s="9"/>
      <c r="D30207" s="9"/>
    </row>
    <row r="30208">
      <c r="C30208" s="9"/>
      <c r="D30208" s="9"/>
    </row>
    <row r="30209">
      <c r="C30209" s="9"/>
      <c r="D30209" s="9"/>
    </row>
    <row r="30210">
      <c r="C30210" s="9"/>
      <c r="D30210" s="9"/>
    </row>
    <row r="30211">
      <c r="C30211" s="9"/>
      <c r="D30211" s="9"/>
    </row>
    <row r="30212">
      <c r="C30212" s="9"/>
      <c r="D30212" s="9"/>
    </row>
    <row r="30213">
      <c r="C30213" s="9"/>
      <c r="D30213" s="9"/>
    </row>
    <row r="30214">
      <c r="C30214" s="9"/>
      <c r="D30214" s="9"/>
    </row>
    <row r="30215">
      <c r="C30215" s="9"/>
      <c r="D30215" s="9"/>
    </row>
    <row r="30216">
      <c r="C30216" s="9"/>
      <c r="D30216" s="9"/>
    </row>
    <row r="30217">
      <c r="C30217" s="9"/>
      <c r="D30217" s="9"/>
    </row>
    <row r="30218">
      <c r="C30218" s="9"/>
      <c r="D30218" s="9"/>
    </row>
    <row r="30219">
      <c r="C30219" s="9"/>
      <c r="D30219" s="9"/>
    </row>
    <row r="30220">
      <c r="C30220" s="9"/>
      <c r="D30220" s="9"/>
    </row>
    <row r="30221">
      <c r="C30221" s="9"/>
      <c r="D30221" s="9"/>
    </row>
    <row r="30222">
      <c r="C30222" s="9"/>
      <c r="D30222" s="9"/>
    </row>
    <row r="30223">
      <c r="C30223" s="9"/>
      <c r="D30223" s="9"/>
    </row>
    <row r="30224">
      <c r="C30224" s="9"/>
      <c r="D30224" s="9"/>
    </row>
    <row r="30225">
      <c r="C30225" s="9"/>
      <c r="D30225" s="9"/>
    </row>
    <row r="30226">
      <c r="C30226" s="9"/>
      <c r="D30226" s="9"/>
    </row>
    <row r="30227">
      <c r="C30227" s="9"/>
      <c r="D30227" s="9"/>
    </row>
    <row r="30228">
      <c r="C30228" s="9"/>
      <c r="D30228" s="9"/>
    </row>
    <row r="30229">
      <c r="C30229" s="9"/>
      <c r="D30229" s="9"/>
    </row>
    <row r="30230">
      <c r="C30230" s="9"/>
      <c r="D30230" s="9"/>
    </row>
    <row r="30231">
      <c r="C30231" s="9"/>
      <c r="D30231" s="9"/>
    </row>
    <row r="30232">
      <c r="C30232" s="9"/>
      <c r="D30232" s="9"/>
    </row>
    <row r="30233">
      <c r="C30233" s="9"/>
      <c r="D30233" s="9"/>
    </row>
    <row r="30234">
      <c r="C30234" s="9"/>
      <c r="D30234" s="9"/>
    </row>
    <row r="30235">
      <c r="C30235" s="9"/>
      <c r="D30235" s="9"/>
    </row>
    <row r="30236">
      <c r="C30236" s="9"/>
      <c r="D30236" s="9"/>
    </row>
    <row r="30237">
      <c r="C30237" s="9"/>
      <c r="D30237" s="9"/>
    </row>
    <row r="30238">
      <c r="C30238" s="9"/>
      <c r="D30238" s="9"/>
    </row>
    <row r="30239">
      <c r="C30239" s="9"/>
      <c r="D30239" s="9"/>
    </row>
    <row r="30240">
      <c r="C30240" s="9"/>
      <c r="D30240" s="9"/>
    </row>
    <row r="30241">
      <c r="C30241" s="9"/>
      <c r="D30241" s="9"/>
    </row>
    <row r="30242">
      <c r="C30242" s="9"/>
      <c r="D30242" s="9"/>
    </row>
    <row r="30243">
      <c r="C30243" s="9"/>
      <c r="D30243" s="9"/>
    </row>
    <row r="30244">
      <c r="C30244" s="9"/>
      <c r="D30244" s="9"/>
    </row>
    <row r="30245">
      <c r="C30245" s="9"/>
      <c r="D30245" s="9"/>
    </row>
    <row r="30246">
      <c r="C30246" s="9"/>
      <c r="D30246" s="9"/>
    </row>
    <row r="30247">
      <c r="C30247" s="9"/>
      <c r="D30247" s="9"/>
    </row>
    <row r="30248">
      <c r="C30248" s="9"/>
      <c r="D30248" s="9"/>
    </row>
    <row r="30249">
      <c r="C30249" s="9"/>
      <c r="D30249" s="9"/>
    </row>
    <row r="30250">
      <c r="C30250" s="9"/>
      <c r="D30250" s="9"/>
    </row>
    <row r="30251">
      <c r="C30251" s="9"/>
      <c r="D30251" s="9"/>
    </row>
    <row r="30252">
      <c r="C30252" s="9"/>
      <c r="D30252" s="9"/>
    </row>
    <row r="30253">
      <c r="C30253" s="9"/>
      <c r="D30253" s="9"/>
    </row>
    <row r="30254">
      <c r="C30254" s="9"/>
      <c r="D30254" s="9"/>
    </row>
    <row r="30255">
      <c r="C30255" s="9"/>
      <c r="D30255" s="9"/>
    </row>
    <row r="30256">
      <c r="C30256" s="9"/>
      <c r="D30256" s="9"/>
    </row>
    <row r="30257">
      <c r="C30257" s="9"/>
      <c r="D30257" s="9"/>
    </row>
    <row r="30258">
      <c r="C30258" s="9"/>
      <c r="D30258" s="9"/>
    </row>
    <row r="30259">
      <c r="C30259" s="9"/>
      <c r="D30259" s="9"/>
    </row>
    <row r="30260">
      <c r="C30260" s="9"/>
      <c r="D30260" s="9"/>
    </row>
    <row r="30261">
      <c r="C30261" s="9"/>
      <c r="D30261" s="9"/>
    </row>
    <row r="30262">
      <c r="C30262" s="9"/>
      <c r="D30262" s="9"/>
    </row>
    <row r="30263">
      <c r="C30263" s="9"/>
      <c r="D30263" s="9"/>
    </row>
    <row r="30264">
      <c r="C30264" s="9"/>
      <c r="D30264" s="9"/>
    </row>
    <row r="30265">
      <c r="C30265" s="9"/>
      <c r="D30265" s="9"/>
    </row>
    <row r="30266">
      <c r="C30266" s="9"/>
      <c r="D30266" s="9"/>
    </row>
    <row r="30267">
      <c r="C30267" s="9"/>
      <c r="D30267" s="9"/>
    </row>
    <row r="30268">
      <c r="C30268" s="9"/>
      <c r="D30268" s="9"/>
    </row>
    <row r="30269">
      <c r="C30269" s="9"/>
      <c r="D30269" s="9"/>
    </row>
    <row r="30270">
      <c r="C30270" s="9"/>
      <c r="D30270" s="9"/>
    </row>
    <row r="30271">
      <c r="C30271" s="9"/>
      <c r="D30271" s="9"/>
    </row>
    <row r="30272">
      <c r="C30272" s="9"/>
      <c r="D30272" s="9"/>
    </row>
    <row r="30273">
      <c r="C30273" s="9"/>
      <c r="D30273" s="9"/>
    </row>
    <row r="30274">
      <c r="C30274" s="9"/>
      <c r="D30274" s="9"/>
    </row>
    <row r="30275">
      <c r="C30275" s="9"/>
      <c r="D30275" s="9"/>
    </row>
    <row r="30276">
      <c r="C30276" s="9"/>
      <c r="D30276" s="9"/>
    </row>
    <row r="30277">
      <c r="C30277" s="9"/>
      <c r="D30277" s="9"/>
    </row>
    <row r="30278">
      <c r="C30278" s="9"/>
      <c r="D30278" s="9"/>
    </row>
    <row r="30279">
      <c r="C30279" s="9"/>
      <c r="D30279" s="9"/>
    </row>
    <row r="30280">
      <c r="C30280" s="9"/>
      <c r="D30280" s="9"/>
    </row>
    <row r="30281">
      <c r="C30281" s="9"/>
      <c r="D30281" s="9"/>
    </row>
    <row r="30282">
      <c r="C30282" s="9"/>
      <c r="D30282" s="9"/>
    </row>
    <row r="30283">
      <c r="C30283" s="9"/>
      <c r="D30283" s="9"/>
    </row>
    <row r="30284">
      <c r="C30284" s="9"/>
      <c r="D30284" s="9"/>
    </row>
    <row r="30285">
      <c r="C30285" s="9"/>
      <c r="D30285" s="9"/>
    </row>
    <row r="30286">
      <c r="C30286" s="9"/>
      <c r="D30286" s="9"/>
    </row>
    <row r="30287">
      <c r="C30287" s="9"/>
      <c r="D30287" s="9"/>
    </row>
    <row r="30288">
      <c r="C30288" s="9"/>
      <c r="D30288" s="9"/>
    </row>
    <row r="30289">
      <c r="C30289" s="9"/>
      <c r="D30289" s="9"/>
    </row>
    <row r="30290">
      <c r="C30290" s="9"/>
      <c r="D30290" s="9"/>
    </row>
    <row r="30291">
      <c r="C30291" s="9"/>
      <c r="D30291" s="9"/>
    </row>
    <row r="30292">
      <c r="C30292" s="9"/>
      <c r="D30292" s="9"/>
    </row>
    <row r="30293">
      <c r="C30293" s="9"/>
      <c r="D30293" s="9"/>
    </row>
    <row r="30294">
      <c r="C30294" s="9"/>
      <c r="D30294" s="9"/>
    </row>
    <row r="30295">
      <c r="C30295" s="9"/>
      <c r="D30295" s="9"/>
    </row>
    <row r="30296">
      <c r="C30296" s="9"/>
      <c r="D30296" s="9"/>
    </row>
    <row r="30297">
      <c r="C30297" s="9"/>
      <c r="D30297" s="9"/>
    </row>
    <row r="30298">
      <c r="C30298" s="9"/>
      <c r="D30298" s="9"/>
    </row>
    <row r="30299">
      <c r="C30299" s="9"/>
      <c r="D30299" s="9"/>
    </row>
    <row r="30300">
      <c r="C30300" s="9"/>
      <c r="D30300" s="9"/>
    </row>
    <row r="30301">
      <c r="C30301" s="9"/>
      <c r="D30301" s="9"/>
    </row>
    <row r="30302">
      <c r="C30302" s="9"/>
      <c r="D30302" s="9"/>
    </row>
    <row r="30303">
      <c r="C30303" s="9"/>
      <c r="D30303" s="9"/>
    </row>
    <row r="30304">
      <c r="C30304" s="9"/>
      <c r="D30304" s="9"/>
    </row>
    <row r="30305">
      <c r="C30305" s="9"/>
      <c r="D30305" s="9"/>
    </row>
    <row r="30306">
      <c r="C30306" s="9"/>
      <c r="D30306" s="9"/>
    </row>
    <row r="30307">
      <c r="C30307" s="9"/>
      <c r="D30307" s="9"/>
    </row>
    <row r="30308">
      <c r="C30308" s="9"/>
      <c r="D30308" s="9"/>
    </row>
    <row r="30309">
      <c r="C30309" s="9"/>
      <c r="D30309" s="9"/>
    </row>
    <row r="30310">
      <c r="C30310" s="9"/>
      <c r="D30310" s="9"/>
    </row>
    <row r="30311">
      <c r="C30311" s="9"/>
      <c r="D30311" s="9"/>
    </row>
    <row r="30312">
      <c r="C30312" s="9"/>
      <c r="D30312" s="9"/>
    </row>
    <row r="30313">
      <c r="C30313" s="9"/>
      <c r="D30313" s="9"/>
    </row>
    <row r="30314">
      <c r="C30314" s="9"/>
      <c r="D30314" s="9"/>
    </row>
    <row r="30315">
      <c r="C30315" s="9"/>
      <c r="D30315" s="9"/>
    </row>
    <row r="30316">
      <c r="C30316" s="9"/>
      <c r="D30316" s="9"/>
    </row>
    <row r="30317">
      <c r="C30317" s="9"/>
      <c r="D30317" s="9"/>
    </row>
    <row r="30318">
      <c r="C30318" s="9"/>
      <c r="D30318" s="9"/>
    </row>
    <row r="30319">
      <c r="C30319" s="9"/>
      <c r="D30319" s="9"/>
    </row>
    <row r="30320">
      <c r="C30320" s="9"/>
      <c r="D30320" s="9"/>
    </row>
    <row r="30321">
      <c r="C30321" s="9"/>
      <c r="D30321" s="9"/>
    </row>
    <row r="30322">
      <c r="C30322" s="9"/>
      <c r="D30322" s="9"/>
    </row>
    <row r="30323">
      <c r="C30323" s="9"/>
      <c r="D30323" s="9"/>
    </row>
    <row r="30324">
      <c r="C30324" s="9"/>
      <c r="D30324" s="9"/>
    </row>
    <row r="30325">
      <c r="C30325" s="9"/>
      <c r="D30325" s="9"/>
    </row>
    <row r="30326">
      <c r="C30326" s="9"/>
      <c r="D30326" s="9"/>
    </row>
    <row r="30327">
      <c r="C30327" s="9"/>
      <c r="D30327" s="9"/>
    </row>
    <row r="30328">
      <c r="C30328" s="9"/>
      <c r="D30328" s="9"/>
    </row>
    <row r="30329">
      <c r="C30329" s="9"/>
      <c r="D30329" s="9"/>
    </row>
    <row r="30330">
      <c r="C30330" s="9"/>
      <c r="D30330" s="9"/>
    </row>
    <row r="30331">
      <c r="C30331" s="9"/>
      <c r="D30331" s="9"/>
    </row>
    <row r="30332">
      <c r="C30332" s="9"/>
      <c r="D30332" s="9"/>
    </row>
    <row r="30333">
      <c r="C30333" s="9"/>
      <c r="D30333" s="9"/>
    </row>
    <row r="30334">
      <c r="C30334" s="9"/>
      <c r="D30334" s="9"/>
    </row>
    <row r="30335">
      <c r="C30335" s="9"/>
      <c r="D30335" s="9"/>
    </row>
    <row r="30336">
      <c r="C30336" s="9"/>
      <c r="D30336" s="9"/>
    </row>
    <row r="30337">
      <c r="C30337" s="9"/>
      <c r="D30337" s="9"/>
    </row>
    <row r="30338">
      <c r="C30338" s="9"/>
      <c r="D30338" s="9"/>
    </row>
    <row r="30339">
      <c r="C30339" s="9"/>
      <c r="D30339" s="9"/>
    </row>
    <row r="30340">
      <c r="C30340" s="9"/>
      <c r="D30340" s="9"/>
    </row>
    <row r="30341">
      <c r="C30341" s="9"/>
      <c r="D30341" s="9"/>
    </row>
    <row r="30342">
      <c r="C30342" s="9"/>
      <c r="D30342" s="9"/>
    </row>
    <row r="30343">
      <c r="C30343" s="9"/>
      <c r="D30343" s="9"/>
    </row>
    <row r="30344">
      <c r="C30344" s="9"/>
      <c r="D30344" s="9"/>
    </row>
    <row r="30345">
      <c r="C30345" s="9"/>
      <c r="D30345" s="9"/>
    </row>
    <row r="30346">
      <c r="C30346" s="9"/>
      <c r="D30346" s="9"/>
    </row>
    <row r="30347">
      <c r="C30347" s="9"/>
      <c r="D30347" s="9"/>
    </row>
    <row r="30348">
      <c r="C30348" s="9"/>
      <c r="D30348" s="9"/>
    </row>
    <row r="30349">
      <c r="C30349" s="9"/>
      <c r="D30349" s="9"/>
    </row>
    <row r="30350">
      <c r="C30350" s="9"/>
      <c r="D30350" s="9"/>
    </row>
    <row r="30351">
      <c r="C30351" s="9"/>
      <c r="D30351" s="9"/>
    </row>
    <row r="30352">
      <c r="C30352" s="9"/>
      <c r="D30352" s="9"/>
    </row>
    <row r="30353">
      <c r="C30353" s="9"/>
      <c r="D30353" s="9"/>
    </row>
    <row r="30354">
      <c r="C30354" s="9"/>
      <c r="D30354" s="9"/>
    </row>
    <row r="30355">
      <c r="C30355" s="9"/>
      <c r="D30355" s="9"/>
    </row>
    <row r="30356">
      <c r="C30356" s="9"/>
      <c r="D30356" s="9"/>
    </row>
    <row r="30357">
      <c r="C30357" s="9"/>
      <c r="D30357" s="9"/>
    </row>
    <row r="30358">
      <c r="C30358" s="9"/>
      <c r="D30358" s="9"/>
    </row>
    <row r="30359">
      <c r="C30359" s="9"/>
      <c r="D30359" s="9"/>
    </row>
    <row r="30360">
      <c r="C30360" s="9"/>
      <c r="D30360" s="9"/>
    </row>
    <row r="30361">
      <c r="C30361" s="9"/>
      <c r="D30361" s="9"/>
    </row>
    <row r="30362">
      <c r="C30362" s="9"/>
      <c r="D30362" s="9"/>
    </row>
    <row r="30363">
      <c r="C30363" s="9"/>
      <c r="D30363" s="9"/>
    </row>
    <row r="30364">
      <c r="C30364" s="9"/>
      <c r="D30364" s="9"/>
    </row>
    <row r="30365">
      <c r="C30365" s="9"/>
      <c r="D30365" s="9"/>
    </row>
    <row r="30366">
      <c r="C30366" s="9"/>
      <c r="D30366" s="9"/>
    </row>
    <row r="30367">
      <c r="C30367" s="9"/>
      <c r="D30367" s="9"/>
    </row>
    <row r="30368">
      <c r="C30368" s="9"/>
      <c r="D30368" s="9"/>
    </row>
    <row r="30369">
      <c r="C30369" s="9"/>
      <c r="D30369" s="9"/>
    </row>
    <row r="30370">
      <c r="C30370" s="9"/>
      <c r="D30370" s="9"/>
    </row>
    <row r="30371">
      <c r="C30371" s="9"/>
      <c r="D30371" s="9"/>
    </row>
    <row r="30372">
      <c r="C30372" s="9"/>
      <c r="D30372" s="9"/>
    </row>
    <row r="30373">
      <c r="C30373" s="9"/>
      <c r="D30373" s="9"/>
    </row>
    <row r="30374">
      <c r="C30374" s="9"/>
      <c r="D30374" s="9"/>
    </row>
    <row r="30375">
      <c r="C30375" s="9"/>
      <c r="D30375" s="9"/>
    </row>
    <row r="30376">
      <c r="C30376" s="9"/>
      <c r="D30376" s="9"/>
    </row>
    <row r="30377">
      <c r="C30377" s="9"/>
      <c r="D30377" s="9"/>
    </row>
    <row r="30378">
      <c r="C30378" s="9"/>
      <c r="D30378" s="9"/>
    </row>
    <row r="30379">
      <c r="C30379" s="9"/>
      <c r="D30379" s="9"/>
    </row>
    <row r="30380">
      <c r="C30380" s="9"/>
      <c r="D30380" s="9"/>
    </row>
    <row r="30381">
      <c r="C30381" s="9"/>
      <c r="D30381" s="9"/>
    </row>
    <row r="30382">
      <c r="C30382" s="9"/>
      <c r="D30382" s="9"/>
    </row>
    <row r="30383">
      <c r="C30383" s="9"/>
      <c r="D30383" s="9"/>
    </row>
    <row r="30384">
      <c r="C30384" s="9"/>
      <c r="D30384" s="9"/>
    </row>
    <row r="30385">
      <c r="C30385" s="9"/>
      <c r="D30385" s="9"/>
    </row>
    <row r="30386">
      <c r="C30386" s="9"/>
      <c r="D30386" s="9"/>
    </row>
    <row r="30387">
      <c r="C30387" s="9"/>
      <c r="D30387" s="9"/>
    </row>
    <row r="30388">
      <c r="C30388" s="9"/>
      <c r="D30388" s="9"/>
    </row>
    <row r="30389">
      <c r="C30389" s="9"/>
      <c r="D30389" s="9"/>
    </row>
    <row r="30390">
      <c r="C30390" s="9"/>
      <c r="D30390" s="9"/>
    </row>
    <row r="30391">
      <c r="C30391" s="9"/>
      <c r="D30391" s="9"/>
    </row>
    <row r="30392">
      <c r="C30392" s="9"/>
      <c r="D30392" s="9"/>
    </row>
    <row r="30393">
      <c r="C30393" s="9"/>
      <c r="D30393" s="9"/>
    </row>
    <row r="30394">
      <c r="C30394" s="9"/>
      <c r="D30394" s="9"/>
    </row>
    <row r="30395">
      <c r="C30395" s="9"/>
      <c r="D30395" s="9"/>
    </row>
    <row r="30396">
      <c r="C30396" s="9"/>
      <c r="D30396" s="9"/>
    </row>
    <row r="30397">
      <c r="C30397" s="9"/>
      <c r="D30397" s="9"/>
    </row>
    <row r="30398">
      <c r="C30398" s="9"/>
      <c r="D30398" s="9"/>
    </row>
    <row r="30399">
      <c r="C30399" s="9"/>
      <c r="D30399" s="9"/>
    </row>
    <row r="30400">
      <c r="C30400" s="9"/>
      <c r="D30400" s="9"/>
    </row>
    <row r="30401">
      <c r="C30401" s="9"/>
      <c r="D30401" s="9"/>
    </row>
    <row r="30402">
      <c r="C30402" s="9"/>
      <c r="D30402" s="9"/>
    </row>
    <row r="30403">
      <c r="C30403" s="9"/>
      <c r="D30403" s="9"/>
    </row>
    <row r="30404">
      <c r="C30404" s="9"/>
      <c r="D30404" s="9"/>
    </row>
    <row r="30405">
      <c r="C30405" s="9"/>
      <c r="D30405" s="9"/>
    </row>
    <row r="30406">
      <c r="C30406" s="9"/>
      <c r="D30406" s="9"/>
    </row>
    <row r="30407">
      <c r="C30407" s="9"/>
      <c r="D30407" s="9"/>
    </row>
    <row r="30408">
      <c r="C30408" s="9"/>
      <c r="D30408" s="9"/>
    </row>
    <row r="30409">
      <c r="C30409" s="9"/>
      <c r="D30409" s="9"/>
    </row>
    <row r="30410">
      <c r="C30410" s="9"/>
      <c r="D30410" s="9"/>
    </row>
    <row r="30411">
      <c r="C30411" s="9"/>
      <c r="D30411" s="9"/>
    </row>
    <row r="30412">
      <c r="C30412" s="9"/>
      <c r="D30412" s="9"/>
    </row>
    <row r="30413">
      <c r="C30413" s="9"/>
      <c r="D30413" s="9"/>
    </row>
    <row r="30414">
      <c r="C30414" s="9"/>
      <c r="D30414" s="9"/>
    </row>
    <row r="30415">
      <c r="C30415" s="9"/>
      <c r="D30415" s="9"/>
    </row>
    <row r="30416">
      <c r="C30416" s="9"/>
      <c r="D30416" s="9"/>
    </row>
    <row r="30417">
      <c r="C30417" s="9"/>
      <c r="D30417" s="9"/>
    </row>
    <row r="30418">
      <c r="C30418" s="9"/>
      <c r="D30418" s="9"/>
    </row>
    <row r="30419">
      <c r="C30419" s="9"/>
      <c r="D30419" s="9"/>
    </row>
    <row r="30420">
      <c r="C30420" s="9"/>
      <c r="D30420" s="9"/>
    </row>
    <row r="30421">
      <c r="C30421" s="9"/>
      <c r="D30421" s="9"/>
    </row>
    <row r="30422">
      <c r="C30422" s="9"/>
      <c r="D30422" s="9"/>
    </row>
    <row r="30423">
      <c r="C30423" s="9"/>
      <c r="D30423" s="9"/>
    </row>
    <row r="30424">
      <c r="C30424" s="9"/>
      <c r="D30424" s="9"/>
    </row>
    <row r="30425">
      <c r="C30425" s="9"/>
      <c r="D30425" s="9"/>
    </row>
    <row r="30426">
      <c r="C30426" s="9"/>
      <c r="D30426" s="9"/>
    </row>
    <row r="30427">
      <c r="C30427" s="9"/>
      <c r="D30427" s="9"/>
    </row>
    <row r="30428">
      <c r="C30428" s="9"/>
      <c r="D30428" s="9"/>
    </row>
    <row r="30429">
      <c r="C30429" s="9"/>
      <c r="D30429" s="9"/>
    </row>
    <row r="30430">
      <c r="C30430" s="9"/>
      <c r="D30430" s="9"/>
    </row>
    <row r="30431">
      <c r="C30431" s="9"/>
      <c r="D30431" s="9"/>
    </row>
    <row r="30432">
      <c r="C30432" s="9"/>
      <c r="D30432" s="9"/>
    </row>
    <row r="30433">
      <c r="C30433" s="9"/>
      <c r="D30433" s="9"/>
    </row>
    <row r="30434">
      <c r="C30434" s="9"/>
      <c r="D30434" s="9"/>
    </row>
    <row r="30435">
      <c r="C30435" s="9"/>
      <c r="D30435" s="9"/>
    </row>
    <row r="30436">
      <c r="C30436" s="9"/>
      <c r="D30436" s="9"/>
    </row>
    <row r="30437">
      <c r="C30437" s="9"/>
      <c r="D30437" s="9"/>
    </row>
    <row r="30438">
      <c r="C30438" s="9"/>
      <c r="D30438" s="9"/>
    </row>
    <row r="30439">
      <c r="C30439" s="9"/>
      <c r="D30439" s="9"/>
    </row>
    <row r="30440">
      <c r="C30440" s="9"/>
      <c r="D30440" s="9"/>
    </row>
    <row r="30441">
      <c r="C30441" s="9"/>
      <c r="D30441" s="9"/>
    </row>
    <row r="30442">
      <c r="C30442" s="9"/>
      <c r="D30442" s="9"/>
    </row>
    <row r="30443">
      <c r="C30443" s="9"/>
      <c r="D30443" s="9"/>
    </row>
    <row r="30444">
      <c r="C30444" s="9"/>
      <c r="D30444" s="9"/>
    </row>
    <row r="30445">
      <c r="C30445" s="9"/>
      <c r="D30445" s="9"/>
    </row>
    <row r="30446">
      <c r="C30446" s="9"/>
      <c r="D30446" s="9"/>
    </row>
    <row r="30447">
      <c r="C30447" s="9"/>
      <c r="D30447" s="9"/>
    </row>
    <row r="30448">
      <c r="C30448" s="9"/>
      <c r="D30448" s="9"/>
    </row>
    <row r="30449">
      <c r="C30449" s="9"/>
      <c r="D30449" s="9"/>
    </row>
    <row r="30450">
      <c r="C30450" s="9"/>
      <c r="D30450" s="9"/>
    </row>
    <row r="30451">
      <c r="C30451" s="9"/>
      <c r="D30451" s="9"/>
    </row>
    <row r="30452">
      <c r="C30452" s="9"/>
      <c r="D30452" s="9"/>
    </row>
    <row r="30453">
      <c r="C30453" s="9"/>
      <c r="D30453" s="9"/>
    </row>
    <row r="30454">
      <c r="C30454" s="9"/>
      <c r="D30454" s="9"/>
    </row>
    <row r="30455">
      <c r="C30455" s="9"/>
      <c r="D30455" s="9"/>
    </row>
    <row r="30456">
      <c r="C30456" s="9"/>
      <c r="D30456" s="9"/>
    </row>
    <row r="30457">
      <c r="C30457" s="9"/>
      <c r="D30457" s="9"/>
    </row>
    <row r="30458">
      <c r="C30458" s="9"/>
      <c r="D30458" s="9"/>
    </row>
    <row r="30459">
      <c r="C30459" s="9"/>
      <c r="D30459" s="9"/>
    </row>
    <row r="30460">
      <c r="C30460" s="9"/>
      <c r="D30460" s="9"/>
    </row>
    <row r="30461">
      <c r="C30461" s="9"/>
      <c r="D30461" s="9"/>
    </row>
    <row r="30462">
      <c r="C30462" s="9"/>
      <c r="D30462" s="9"/>
    </row>
    <row r="30463">
      <c r="C30463" s="9"/>
      <c r="D30463" s="9"/>
    </row>
    <row r="30464">
      <c r="C30464" s="9"/>
      <c r="D30464" s="9"/>
    </row>
    <row r="30465">
      <c r="C30465" s="9"/>
      <c r="D30465" s="9"/>
    </row>
    <row r="30466">
      <c r="C30466" s="9"/>
      <c r="D30466" s="9"/>
    </row>
    <row r="30467">
      <c r="C30467" s="9"/>
      <c r="D30467" s="9"/>
    </row>
    <row r="30468">
      <c r="C30468" s="9"/>
      <c r="D30468" s="9"/>
    </row>
    <row r="30469">
      <c r="C30469" s="9"/>
      <c r="D30469" s="9"/>
    </row>
    <row r="30470">
      <c r="C30470" s="9"/>
      <c r="D30470" s="9"/>
    </row>
    <row r="30471">
      <c r="C30471" s="9"/>
      <c r="D30471" s="9"/>
    </row>
    <row r="30472">
      <c r="C30472" s="9"/>
      <c r="D30472" s="9"/>
    </row>
    <row r="30473">
      <c r="C30473" s="9"/>
      <c r="D30473" s="9"/>
    </row>
    <row r="30474">
      <c r="C30474" s="9"/>
      <c r="D30474" s="9"/>
    </row>
    <row r="30475">
      <c r="C30475" s="9"/>
      <c r="D30475" s="9"/>
    </row>
    <row r="30476">
      <c r="C30476" s="9"/>
      <c r="D30476" s="9"/>
    </row>
    <row r="30477">
      <c r="C30477" s="9"/>
      <c r="D30477" s="9"/>
    </row>
    <row r="30478">
      <c r="C30478" s="9"/>
      <c r="D30478" s="9"/>
    </row>
    <row r="30479">
      <c r="C30479" s="9"/>
      <c r="D30479" s="9"/>
    </row>
    <row r="30480">
      <c r="C30480" s="9"/>
      <c r="D30480" s="9"/>
    </row>
    <row r="30481">
      <c r="C30481" s="9"/>
      <c r="D30481" s="9"/>
    </row>
    <row r="30482">
      <c r="C30482" s="9"/>
      <c r="D30482" s="9"/>
    </row>
    <row r="30483">
      <c r="C30483" s="9"/>
      <c r="D30483" s="9"/>
    </row>
    <row r="30484">
      <c r="C30484" s="9"/>
      <c r="D30484" s="9"/>
    </row>
    <row r="30485">
      <c r="C30485" s="9"/>
      <c r="D30485" s="9"/>
    </row>
    <row r="30486">
      <c r="C30486" s="9"/>
      <c r="D30486" s="9"/>
    </row>
    <row r="30487">
      <c r="C30487" s="9"/>
      <c r="D30487" s="9"/>
    </row>
    <row r="30488">
      <c r="C30488" s="9"/>
      <c r="D30488" s="9"/>
    </row>
    <row r="30489">
      <c r="C30489" s="9"/>
      <c r="D30489" s="9"/>
    </row>
    <row r="30490">
      <c r="C30490" s="9"/>
      <c r="D30490" s="9"/>
    </row>
    <row r="30491">
      <c r="C30491" s="9"/>
      <c r="D30491" s="9"/>
    </row>
    <row r="30492">
      <c r="C30492" s="9"/>
      <c r="D30492" s="9"/>
    </row>
    <row r="30493">
      <c r="C30493" s="9"/>
      <c r="D30493" s="9"/>
    </row>
    <row r="30494">
      <c r="C30494" s="9"/>
      <c r="D30494" s="9"/>
    </row>
    <row r="30495">
      <c r="C30495" s="9"/>
      <c r="D30495" s="9"/>
    </row>
    <row r="30496">
      <c r="C30496" s="9"/>
      <c r="D30496" s="9"/>
    </row>
    <row r="30497">
      <c r="C30497" s="9"/>
      <c r="D30497" s="9"/>
    </row>
    <row r="30498">
      <c r="C30498" s="9"/>
      <c r="D30498" s="9"/>
    </row>
    <row r="30499">
      <c r="C30499" s="9"/>
      <c r="D30499" s="9"/>
    </row>
    <row r="30500">
      <c r="C30500" s="9"/>
      <c r="D30500" s="9"/>
    </row>
    <row r="30501">
      <c r="C30501" s="9"/>
      <c r="D30501" s="9"/>
    </row>
    <row r="30502">
      <c r="C30502" s="9"/>
      <c r="D30502" s="9"/>
    </row>
    <row r="30503">
      <c r="C30503" s="9"/>
      <c r="D30503" s="9"/>
    </row>
    <row r="30504">
      <c r="C30504" s="9"/>
      <c r="D30504" s="9"/>
    </row>
    <row r="30505">
      <c r="C30505" s="9"/>
      <c r="D30505" s="9"/>
    </row>
    <row r="30506">
      <c r="C30506" s="9"/>
      <c r="D30506" s="9"/>
    </row>
    <row r="30507">
      <c r="C30507" s="9"/>
      <c r="D30507" s="9"/>
    </row>
    <row r="30508">
      <c r="C30508" s="9"/>
      <c r="D30508" s="9"/>
    </row>
    <row r="30509">
      <c r="C30509" s="9"/>
      <c r="D30509" s="9"/>
    </row>
    <row r="30510">
      <c r="C30510" s="9"/>
      <c r="D30510" s="9"/>
    </row>
    <row r="30511">
      <c r="C30511" s="9"/>
      <c r="D30511" s="9"/>
    </row>
    <row r="30512">
      <c r="C30512" s="9"/>
      <c r="D30512" s="9"/>
    </row>
    <row r="30513">
      <c r="C30513" s="9"/>
      <c r="D30513" s="9"/>
    </row>
    <row r="30514">
      <c r="C30514" s="9"/>
      <c r="D30514" s="9"/>
    </row>
    <row r="30515">
      <c r="C30515" s="9"/>
      <c r="D30515" s="9"/>
    </row>
    <row r="30516">
      <c r="C30516" s="9"/>
      <c r="D30516" s="9"/>
    </row>
    <row r="30517">
      <c r="C30517" s="9"/>
      <c r="D30517" s="9"/>
    </row>
    <row r="30518">
      <c r="C30518" s="9"/>
      <c r="D30518" s="9"/>
    </row>
    <row r="30519">
      <c r="C30519" s="9"/>
      <c r="D30519" s="9"/>
    </row>
    <row r="30520">
      <c r="C30520" s="9"/>
      <c r="D30520" s="9"/>
    </row>
    <row r="30521">
      <c r="C30521" s="9"/>
      <c r="D30521" s="9"/>
    </row>
    <row r="30522">
      <c r="C30522" s="9"/>
      <c r="D30522" s="9"/>
    </row>
    <row r="30523">
      <c r="C30523" s="9"/>
      <c r="D30523" s="9"/>
    </row>
    <row r="30524">
      <c r="C30524" s="9"/>
      <c r="D30524" s="9"/>
    </row>
    <row r="30525">
      <c r="C30525" s="9"/>
      <c r="D30525" s="9"/>
    </row>
    <row r="30526">
      <c r="C30526" s="9"/>
      <c r="D30526" s="9"/>
    </row>
    <row r="30527">
      <c r="C30527" s="9"/>
      <c r="D30527" s="9"/>
    </row>
    <row r="30528">
      <c r="C30528" s="9"/>
      <c r="D30528" s="9"/>
    </row>
    <row r="30529">
      <c r="C30529" s="9"/>
      <c r="D30529" s="9"/>
    </row>
    <row r="30530">
      <c r="C30530" s="9"/>
      <c r="D30530" s="9"/>
    </row>
    <row r="30531">
      <c r="C30531" s="9"/>
      <c r="D30531" s="9"/>
    </row>
    <row r="30532">
      <c r="C30532" s="9"/>
      <c r="D30532" s="9"/>
    </row>
    <row r="30533">
      <c r="C30533" s="9"/>
      <c r="D30533" s="9"/>
    </row>
    <row r="30534">
      <c r="C30534" s="9"/>
      <c r="D30534" s="9"/>
    </row>
    <row r="30535">
      <c r="C30535" s="9"/>
      <c r="D30535" s="9"/>
    </row>
    <row r="30536">
      <c r="C30536" s="9"/>
      <c r="D30536" s="9"/>
    </row>
    <row r="30537">
      <c r="C30537" s="9"/>
      <c r="D30537" s="9"/>
    </row>
    <row r="30538">
      <c r="C30538" s="9"/>
      <c r="D30538" s="9"/>
    </row>
    <row r="30539">
      <c r="C30539" s="9"/>
      <c r="D30539" s="9"/>
    </row>
    <row r="30540">
      <c r="C30540" s="9"/>
      <c r="D30540" s="9"/>
    </row>
    <row r="30541">
      <c r="C30541" s="9"/>
      <c r="D30541" s="9"/>
    </row>
    <row r="30542">
      <c r="C30542" s="9"/>
      <c r="D30542" s="9"/>
    </row>
    <row r="30543">
      <c r="C30543" s="9"/>
      <c r="D30543" s="9"/>
    </row>
    <row r="30544">
      <c r="C30544" s="9"/>
      <c r="D30544" s="9"/>
    </row>
    <row r="30545">
      <c r="C30545" s="9"/>
      <c r="D30545" s="9"/>
    </row>
    <row r="30546">
      <c r="C30546" s="9"/>
      <c r="D30546" s="9"/>
    </row>
    <row r="30547">
      <c r="C30547" s="9"/>
      <c r="D30547" s="9"/>
    </row>
    <row r="30548">
      <c r="C30548" s="9"/>
      <c r="D30548" s="9"/>
    </row>
    <row r="30549">
      <c r="C30549" s="9"/>
      <c r="D30549" s="9"/>
    </row>
    <row r="30550">
      <c r="C30550" s="9"/>
      <c r="D30550" s="9"/>
    </row>
    <row r="30551">
      <c r="C30551" s="9"/>
      <c r="D30551" s="9"/>
    </row>
    <row r="30552">
      <c r="C30552" s="9"/>
      <c r="D30552" s="9"/>
    </row>
    <row r="30553">
      <c r="C30553" s="9"/>
      <c r="D30553" s="9"/>
    </row>
    <row r="30554">
      <c r="C30554" s="9"/>
      <c r="D30554" s="9"/>
    </row>
    <row r="30555">
      <c r="C30555" s="9"/>
      <c r="D30555" s="9"/>
    </row>
    <row r="30556">
      <c r="C30556" s="9"/>
      <c r="D30556" s="9"/>
    </row>
    <row r="30557">
      <c r="C30557" s="9"/>
      <c r="D30557" s="9"/>
    </row>
    <row r="30558">
      <c r="C30558" s="9"/>
      <c r="D30558" s="9"/>
    </row>
    <row r="30559">
      <c r="C30559" s="9"/>
      <c r="D30559" s="9"/>
    </row>
    <row r="30560">
      <c r="C30560" s="9"/>
      <c r="D30560" s="9"/>
    </row>
    <row r="30561">
      <c r="C30561" s="9"/>
      <c r="D30561" s="9"/>
    </row>
    <row r="30562">
      <c r="C30562" s="9"/>
      <c r="D30562" s="9"/>
    </row>
    <row r="30563">
      <c r="C30563" s="9"/>
      <c r="D30563" s="9"/>
    </row>
    <row r="30564">
      <c r="C30564" s="9"/>
      <c r="D30564" s="9"/>
    </row>
    <row r="30565">
      <c r="C30565" s="9"/>
      <c r="D30565" s="9"/>
    </row>
    <row r="30566">
      <c r="C30566" s="9"/>
      <c r="D30566" s="9"/>
    </row>
    <row r="30567">
      <c r="C30567" s="9"/>
      <c r="D30567" s="9"/>
    </row>
    <row r="30568">
      <c r="C30568" s="9"/>
      <c r="D30568" s="9"/>
    </row>
    <row r="30569">
      <c r="C30569" s="9"/>
      <c r="D30569" s="9"/>
    </row>
    <row r="30570">
      <c r="C30570" s="9"/>
      <c r="D30570" s="9"/>
    </row>
    <row r="30571">
      <c r="C30571" s="9"/>
      <c r="D30571" s="9"/>
    </row>
    <row r="30572">
      <c r="C30572" s="9"/>
      <c r="D30572" s="9"/>
    </row>
    <row r="30573">
      <c r="C30573" s="9"/>
      <c r="D30573" s="9"/>
    </row>
    <row r="30574">
      <c r="C30574" s="9"/>
      <c r="D30574" s="9"/>
    </row>
    <row r="30575">
      <c r="C30575" s="9"/>
      <c r="D30575" s="9"/>
    </row>
    <row r="30576">
      <c r="C30576" s="9"/>
      <c r="D30576" s="9"/>
    </row>
    <row r="30577">
      <c r="C30577" s="9"/>
      <c r="D30577" s="9"/>
    </row>
    <row r="30578">
      <c r="C30578" s="9"/>
      <c r="D30578" s="9"/>
    </row>
    <row r="30579">
      <c r="C30579" s="9"/>
      <c r="D30579" s="9"/>
    </row>
    <row r="30580">
      <c r="C30580" s="9"/>
      <c r="D30580" s="9"/>
    </row>
    <row r="30581">
      <c r="C30581" s="9"/>
      <c r="D30581" s="9"/>
    </row>
    <row r="30582">
      <c r="C30582" s="9"/>
      <c r="D30582" s="9"/>
    </row>
    <row r="30583">
      <c r="C30583" s="9"/>
      <c r="D30583" s="9"/>
    </row>
    <row r="30584">
      <c r="C30584" s="9"/>
      <c r="D30584" s="9"/>
    </row>
    <row r="30585">
      <c r="C30585" s="9"/>
      <c r="D30585" s="9"/>
    </row>
    <row r="30586">
      <c r="C30586" s="9"/>
      <c r="D30586" s="9"/>
    </row>
    <row r="30587">
      <c r="C30587" s="9"/>
      <c r="D30587" s="9"/>
    </row>
    <row r="30588">
      <c r="C30588" s="9"/>
      <c r="D30588" s="9"/>
    </row>
    <row r="30589">
      <c r="C30589" s="9"/>
      <c r="D30589" s="9"/>
    </row>
    <row r="30590">
      <c r="C30590" s="9"/>
      <c r="D30590" s="9"/>
    </row>
    <row r="30591">
      <c r="C30591" s="9"/>
      <c r="D30591" s="9"/>
    </row>
    <row r="30592">
      <c r="C30592" s="9"/>
      <c r="D30592" s="9"/>
    </row>
    <row r="30593">
      <c r="C30593" s="9"/>
      <c r="D30593" s="9"/>
    </row>
    <row r="30594">
      <c r="C30594" s="9"/>
      <c r="D30594" s="9"/>
    </row>
    <row r="30595">
      <c r="C30595" s="9"/>
      <c r="D30595" s="9"/>
    </row>
    <row r="30596">
      <c r="C30596" s="9"/>
      <c r="D30596" s="9"/>
    </row>
    <row r="30597">
      <c r="C30597" s="9"/>
      <c r="D30597" s="9"/>
    </row>
    <row r="30598">
      <c r="C30598" s="9"/>
      <c r="D30598" s="9"/>
    </row>
    <row r="30599">
      <c r="C30599" s="9"/>
      <c r="D30599" s="9"/>
    </row>
    <row r="30600">
      <c r="C30600" s="9"/>
      <c r="D30600" s="9"/>
    </row>
    <row r="30601">
      <c r="C30601" s="9"/>
      <c r="D30601" s="9"/>
    </row>
    <row r="30602">
      <c r="C30602" s="9"/>
      <c r="D30602" s="9"/>
    </row>
    <row r="30603">
      <c r="C30603" s="9"/>
      <c r="D30603" s="9"/>
    </row>
    <row r="30604">
      <c r="C30604" s="9"/>
      <c r="D30604" s="9"/>
    </row>
    <row r="30605">
      <c r="C30605" s="9"/>
      <c r="D30605" s="9"/>
    </row>
    <row r="30606">
      <c r="C30606" s="9"/>
      <c r="D30606" s="9"/>
    </row>
    <row r="30607">
      <c r="C30607" s="9"/>
      <c r="D30607" s="9"/>
    </row>
    <row r="30608">
      <c r="C30608" s="9"/>
      <c r="D30608" s="9"/>
    </row>
    <row r="30609">
      <c r="C30609" s="9"/>
      <c r="D30609" s="9"/>
    </row>
    <row r="30610">
      <c r="C30610" s="9"/>
      <c r="D30610" s="9"/>
    </row>
    <row r="30611">
      <c r="C30611" s="9"/>
      <c r="D30611" s="9"/>
    </row>
    <row r="30612">
      <c r="C30612" s="9"/>
      <c r="D30612" s="9"/>
    </row>
    <row r="30613">
      <c r="C30613" s="9"/>
      <c r="D30613" s="9"/>
    </row>
    <row r="30614">
      <c r="C30614" s="9"/>
      <c r="D30614" s="9"/>
    </row>
    <row r="30615">
      <c r="C30615" s="9"/>
      <c r="D30615" s="9"/>
    </row>
    <row r="30616">
      <c r="C30616" s="9"/>
      <c r="D30616" s="9"/>
    </row>
    <row r="30617">
      <c r="C30617" s="9"/>
      <c r="D30617" s="9"/>
    </row>
    <row r="30618">
      <c r="C30618" s="9"/>
      <c r="D30618" s="9"/>
    </row>
    <row r="30619">
      <c r="C30619" s="9"/>
      <c r="D30619" s="9"/>
    </row>
    <row r="30620">
      <c r="C30620" s="9"/>
      <c r="D30620" s="9"/>
    </row>
    <row r="30621">
      <c r="C30621" s="9"/>
      <c r="D30621" s="9"/>
    </row>
    <row r="30622">
      <c r="C30622" s="9"/>
      <c r="D30622" s="9"/>
    </row>
    <row r="30623">
      <c r="C30623" s="9"/>
      <c r="D30623" s="9"/>
    </row>
    <row r="30624">
      <c r="C30624" s="9"/>
      <c r="D30624" s="9"/>
    </row>
    <row r="30625">
      <c r="C30625" s="9"/>
      <c r="D30625" s="9"/>
    </row>
    <row r="30626">
      <c r="C30626" s="9"/>
      <c r="D30626" s="9"/>
    </row>
    <row r="30627">
      <c r="C30627" s="9"/>
      <c r="D30627" s="9"/>
    </row>
    <row r="30628">
      <c r="C30628" s="9"/>
      <c r="D30628" s="9"/>
    </row>
    <row r="30629">
      <c r="C30629" s="9"/>
      <c r="D30629" s="9"/>
    </row>
    <row r="30630">
      <c r="C30630" s="9"/>
      <c r="D30630" s="9"/>
    </row>
    <row r="30631">
      <c r="C30631" s="9"/>
      <c r="D30631" s="9"/>
    </row>
    <row r="30632">
      <c r="C30632" s="9"/>
      <c r="D30632" s="9"/>
    </row>
    <row r="30633">
      <c r="C30633" s="9"/>
      <c r="D30633" s="9"/>
    </row>
    <row r="30634">
      <c r="C30634" s="9"/>
      <c r="D30634" s="9"/>
    </row>
    <row r="30635">
      <c r="C30635" s="9"/>
      <c r="D30635" s="9"/>
    </row>
    <row r="30636">
      <c r="C30636" s="9"/>
      <c r="D30636" s="9"/>
    </row>
    <row r="30637">
      <c r="C30637" s="9"/>
      <c r="D30637" s="9"/>
    </row>
    <row r="30638">
      <c r="C30638" s="9"/>
      <c r="D30638" s="9"/>
    </row>
    <row r="30639">
      <c r="C30639" s="9"/>
      <c r="D30639" s="9"/>
    </row>
    <row r="30640">
      <c r="C30640" s="9"/>
      <c r="D30640" s="9"/>
    </row>
    <row r="30641">
      <c r="C30641" s="9"/>
      <c r="D30641" s="9"/>
    </row>
    <row r="30642">
      <c r="C30642" s="9"/>
      <c r="D30642" s="9"/>
    </row>
    <row r="30643">
      <c r="C30643" s="9"/>
      <c r="D30643" s="9"/>
    </row>
    <row r="30644">
      <c r="C30644" s="9"/>
      <c r="D30644" s="9"/>
    </row>
    <row r="30645">
      <c r="C30645" s="9"/>
      <c r="D30645" s="9"/>
    </row>
    <row r="30646">
      <c r="C30646" s="9"/>
      <c r="D30646" s="9"/>
    </row>
    <row r="30647">
      <c r="C30647" s="9"/>
      <c r="D30647" s="9"/>
    </row>
    <row r="30648">
      <c r="C30648" s="9"/>
      <c r="D30648" s="9"/>
    </row>
    <row r="30649">
      <c r="C30649" s="9"/>
      <c r="D30649" s="9"/>
    </row>
    <row r="30650">
      <c r="C30650" s="9"/>
      <c r="D30650" s="9"/>
    </row>
    <row r="30651">
      <c r="C30651" s="9"/>
      <c r="D30651" s="9"/>
    </row>
    <row r="30652">
      <c r="C30652" s="9"/>
      <c r="D30652" s="9"/>
    </row>
    <row r="30653">
      <c r="C30653" s="9"/>
      <c r="D30653" s="9"/>
    </row>
    <row r="30654">
      <c r="C30654" s="9"/>
      <c r="D30654" s="9"/>
    </row>
    <row r="30655">
      <c r="C30655" s="9"/>
      <c r="D30655" s="9"/>
    </row>
    <row r="30656">
      <c r="C30656" s="9"/>
      <c r="D30656" s="9"/>
    </row>
    <row r="30657">
      <c r="C30657" s="9"/>
      <c r="D30657" s="9"/>
    </row>
    <row r="30658">
      <c r="C30658" s="9"/>
      <c r="D30658" s="9"/>
    </row>
    <row r="30659">
      <c r="C30659" s="9"/>
      <c r="D30659" s="9"/>
    </row>
    <row r="30660">
      <c r="C30660" s="9"/>
      <c r="D30660" s="9"/>
    </row>
    <row r="30661">
      <c r="C30661" s="9"/>
      <c r="D30661" s="9"/>
    </row>
    <row r="30662">
      <c r="C30662" s="9"/>
      <c r="D30662" s="9"/>
    </row>
    <row r="30663">
      <c r="C30663" s="9"/>
      <c r="D30663" s="9"/>
    </row>
    <row r="30664">
      <c r="C30664" s="9"/>
      <c r="D30664" s="9"/>
    </row>
    <row r="30665">
      <c r="C30665" s="9"/>
      <c r="D30665" s="9"/>
    </row>
    <row r="30666">
      <c r="C30666" s="9"/>
      <c r="D30666" s="9"/>
    </row>
    <row r="30667">
      <c r="C30667" s="9"/>
      <c r="D30667" s="9"/>
    </row>
    <row r="30668">
      <c r="C30668" s="9"/>
      <c r="D30668" s="9"/>
    </row>
    <row r="30669">
      <c r="C30669" s="9"/>
      <c r="D30669" s="9"/>
    </row>
    <row r="30670">
      <c r="C30670" s="9"/>
      <c r="D30670" s="9"/>
    </row>
    <row r="30671">
      <c r="C30671" s="9"/>
      <c r="D30671" s="9"/>
    </row>
    <row r="30672">
      <c r="C30672" s="9"/>
      <c r="D30672" s="9"/>
    </row>
    <row r="30673">
      <c r="C30673" s="9"/>
      <c r="D30673" s="9"/>
    </row>
    <row r="30674">
      <c r="C30674" s="9"/>
      <c r="D30674" s="9"/>
    </row>
    <row r="30675">
      <c r="C30675" s="9"/>
      <c r="D30675" s="9"/>
    </row>
    <row r="30676">
      <c r="C30676" s="9"/>
      <c r="D30676" s="9"/>
    </row>
    <row r="30677">
      <c r="C30677" s="9"/>
      <c r="D30677" s="9"/>
    </row>
    <row r="30678">
      <c r="C30678" s="9"/>
      <c r="D30678" s="9"/>
    </row>
    <row r="30679">
      <c r="C30679" s="9"/>
      <c r="D30679" s="9"/>
    </row>
    <row r="30680">
      <c r="C30680" s="9"/>
      <c r="D30680" s="9"/>
    </row>
    <row r="30681">
      <c r="C30681" s="9"/>
      <c r="D30681" s="9"/>
    </row>
    <row r="30682">
      <c r="C30682" s="9"/>
      <c r="D30682" s="9"/>
    </row>
    <row r="30683">
      <c r="C30683" s="9"/>
      <c r="D30683" s="9"/>
    </row>
    <row r="30684">
      <c r="C30684" s="9"/>
      <c r="D30684" s="9"/>
    </row>
    <row r="30685">
      <c r="C30685" s="9"/>
      <c r="D30685" s="9"/>
    </row>
    <row r="30686">
      <c r="C30686" s="9"/>
      <c r="D30686" s="9"/>
    </row>
    <row r="30687">
      <c r="C30687" s="9"/>
      <c r="D30687" s="9"/>
    </row>
    <row r="30688">
      <c r="C30688" s="9"/>
      <c r="D30688" s="9"/>
    </row>
    <row r="30689">
      <c r="C30689" s="9"/>
      <c r="D30689" s="9"/>
    </row>
    <row r="30690">
      <c r="C30690" s="9"/>
      <c r="D30690" s="9"/>
    </row>
    <row r="30691">
      <c r="C30691" s="9"/>
      <c r="D30691" s="9"/>
    </row>
    <row r="30692">
      <c r="C30692" s="9"/>
      <c r="D30692" s="9"/>
    </row>
    <row r="30693">
      <c r="C30693" s="9"/>
      <c r="D30693" s="9"/>
    </row>
    <row r="30694">
      <c r="C30694" s="9"/>
      <c r="D30694" s="9"/>
    </row>
    <row r="30695">
      <c r="C30695" s="9"/>
      <c r="D30695" s="9"/>
    </row>
    <row r="30696">
      <c r="C30696" s="9"/>
      <c r="D30696" s="9"/>
    </row>
    <row r="30697">
      <c r="C30697" s="9"/>
      <c r="D30697" s="9"/>
    </row>
    <row r="30698">
      <c r="C30698" s="9"/>
      <c r="D30698" s="9"/>
    </row>
    <row r="30699">
      <c r="C30699" s="9"/>
      <c r="D30699" s="9"/>
    </row>
    <row r="30700">
      <c r="C30700" s="9"/>
      <c r="D30700" s="9"/>
    </row>
    <row r="30701">
      <c r="C30701" s="9"/>
      <c r="D30701" s="9"/>
    </row>
    <row r="30702">
      <c r="C30702" s="9"/>
      <c r="D30702" s="9"/>
    </row>
    <row r="30703">
      <c r="C30703" s="9"/>
      <c r="D30703" s="9"/>
    </row>
    <row r="30704">
      <c r="C30704" s="9"/>
      <c r="D30704" s="9"/>
    </row>
    <row r="30705">
      <c r="C30705" s="9"/>
      <c r="D30705" s="9"/>
    </row>
    <row r="30706">
      <c r="C30706" s="9"/>
      <c r="D30706" s="9"/>
    </row>
    <row r="30707">
      <c r="C30707" s="9"/>
      <c r="D30707" s="9"/>
    </row>
    <row r="30708">
      <c r="C30708" s="9"/>
      <c r="D30708" s="9"/>
    </row>
    <row r="30709">
      <c r="C30709" s="9"/>
      <c r="D30709" s="9"/>
    </row>
    <row r="30710">
      <c r="C30710" s="9"/>
      <c r="D30710" s="9"/>
    </row>
    <row r="30711">
      <c r="C30711" s="9"/>
      <c r="D30711" s="9"/>
    </row>
    <row r="30712">
      <c r="C30712" s="9"/>
      <c r="D30712" s="9"/>
    </row>
    <row r="30713">
      <c r="C30713" s="9"/>
      <c r="D30713" s="9"/>
    </row>
    <row r="30714">
      <c r="C30714" s="9"/>
      <c r="D30714" s="9"/>
    </row>
    <row r="30715">
      <c r="C30715" s="9"/>
      <c r="D30715" s="9"/>
    </row>
    <row r="30716">
      <c r="C30716" s="9"/>
      <c r="D30716" s="9"/>
    </row>
    <row r="30717">
      <c r="C30717" s="9"/>
      <c r="D30717" s="9"/>
    </row>
    <row r="30718">
      <c r="C30718" s="9"/>
      <c r="D30718" s="9"/>
    </row>
    <row r="30719">
      <c r="C30719" s="9"/>
      <c r="D30719" s="9"/>
    </row>
    <row r="30720">
      <c r="C30720" s="9"/>
      <c r="D30720" s="9"/>
    </row>
    <row r="30721">
      <c r="C30721" s="9"/>
      <c r="D30721" s="9"/>
    </row>
    <row r="30722">
      <c r="C30722" s="9"/>
      <c r="D30722" s="9"/>
    </row>
    <row r="30723">
      <c r="C30723" s="9"/>
      <c r="D30723" s="9"/>
    </row>
    <row r="30724">
      <c r="C30724" s="9"/>
      <c r="D30724" s="9"/>
    </row>
    <row r="30725">
      <c r="C30725" s="9"/>
      <c r="D30725" s="9"/>
    </row>
    <row r="30726">
      <c r="C30726" s="9"/>
      <c r="D30726" s="9"/>
    </row>
    <row r="30727">
      <c r="C30727" s="9"/>
      <c r="D30727" s="9"/>
    </row>
    <row r="30728">
      <c r="C30728" s="9"/>
      <c r="D30728" s="9"/>
    </row>
    <row r="30729">
      <c r="C30729" s="9"/>
      <c r="D30729" s="9"/>
    </row>
    <row r="30730">
      <c r="C30730" s="9"/>
      <c r="D30730" s="9"/>
    </row>
    <row r="30731">
      <c r="C30731" s="9"/>
      <c r="D30731" s="9"/>
    </row>
    <row r="30732">
      <c r="C30732" s="9"/>
      <c r="D30732" s="9"/>
    </row>
    <row r="30733">
      <c r="C30733" s="9"/>
      <c r="D30733" s="9"/>
    </row>
    <row r="30734">
      <c r="C30734" s="9"/>
      <c r="D30734" s="9"/>
    </row>
    <row r="30735">
      <c r="C30735" s="9"/>
      <c r="D30735" s="9"/>
    </row>
    <row r="30736">
      <c r="C30736" s="9"/>
      <c r="D30736" s="9"/>
    </row>
    <row r="30737">
      <c r="C30737" s="9"/>
      <c r="D30737" s="9"/>
    </row>
    <row r="30738">
      <c r="C30738" s="9"/>
      <c r="D30738" s="9"/>
    </row>
    <row r="30739">
      <c r="C30739" s="9"/>
      <c r="D30739" s="9"/>
    </row>
    <row r="30740">
      <c r="C30740" s="9"/>
      <c r="D30740" s="9"/>
    </row>
    <row r="30741">
      <c r="C30741" s="9"/>
      <c r="D30741" s="9"/>
    </row>
    <row r="30742">
      <c r="C30742" s="9"/>
      <c r="D30742" s="9"/>
    </row>
    <row r="30743">
      <c r="C30743" s="9"/>
      <c r="D30743" s="9"/>
    </row>
    <row r="30744">
      <c r="C30744" s="9"/>
      <c r="D30744" s="9"/>
    </row>
    <row r="30745">
      <c r="C30745" s="9"/>
      <c r="D30745" s="9"/>
    </row>
    <row r="30746">
      <c r="C30746" s="9"/>
      <c r="D30746" s="9"/>
    </row>
    <row r="30747">
      <c r="C30747" s="9"/>
      <c r="D30747" s="9"/>
    </row>
    <row r="30748">
      <c r="C30748" s="9"/>
      <c r="D30748" s="9"/>
    </row>
    <row r="30749">
      <c r="C30749" s="9"/>
      <c r="D30749" s="9"/>
    </row>
    <row r="30750">
      <c r="C30750" s="9"/>
      <c r="D30750" s="9"/>
    </row>
    <row r="30751">
      <c r="C30751" s="9"/>
      <c r="D30751" s="9"/>
    </row>
    <row r="30752">
      <c r="C30752" s="9"/>
      <c r="D30752" s="9"/>
    </row>
    <row r="30753">
      <c r="C30753" s="9"/>
      <c r="D30753" s="9"/>
    </row>
    <row r="30754">
      <c r="C30754" s="9"/>
      <c r="D30754" s="9"/>
    </row>
    <row r="30755">
      <c r="C30755" s="9"/>
      <c r="D30755" s="9"/>
    </row>
    <row r="30756">
      <c r="C30756" s="9"/>
      <c r="D30756" s="9"/>
    </row>
    <row r="30757">
      <c r="C30757" s="9"/>
      <c r="D30757" s="9"/>
    </row>
    <row r="30758">
      <c r="C30758" s="9"/>
      <c r="D30758" s="9"/>
    </row>
    <row r="30759">
      <c r="C30759" s="9"/>
      <c r="D30759" s="9"/>
    </row>
    <row r="30760">
      <c r="C30760" s="9"/>
      <c r="D30760" s="9"/>
    </row>
    <row r="30761">
      <c r="C30761" s="9"/>
      <c r="D30761" s="9"/>
    </row>
    <row r="30762">
      <c r="C30762" s="9"/>
      <c r="D30762" s="9"/>
    </row>
    <row r="30763">
      <c r="C30763" s="9"/>
      <c r="D30763" s="9"/>
    </row>
    <row r="30764">
      <c r="C30764" s="9"/>
      <c r="D30764" s="9"/>
    </row>
    <row r="30765">
      <c r="C30765" s="9"/>
      <c r="D30765" s="9"/>
    </row>
    <row r="30766">
      <c r="C30766" s="9"/>
      <c r="D30766" s="9"/>
    </row>
    <row r="30767">
      <c r="C30767" s="9"/>
      <c r="D30767" s="9"/>
    </row>
    <row r="30768">
      <c r="C30768" s="9"/>
      <c r="D30768" s="9"/>
    </row>
    <row r="30769">
      <c r="C30769" s="9"/>
      <c r="D30769" s="9"/>
    </row>
    <row r="30770">
      <c r="C30770" s="9"/>
      <c r="D30770" s="9"/>
    </row>
    <row r="30771">
      <c r="C30771" s="9"/>
      <c r="D30771" s="9"/>
    </row>
    <row r="30772">
      <c r="C30772" s="9"/>
      <c r="D30772" s="9"/>
    </row>
    <row r="30773">
      <c r="C30773" s="9"/>
      <c r="D30773" s="9"/>
    </row>
    <row r="30774">
      <c r="C30774" s="9"/>
      <c r="D30774" s="9"/>
    </row>
    <row r="30775">
      <c r="C30775" s="9"/>
      <c r="D30775" s="9"/>
    </row>
    <row r="30776">
      <c r="C30776" s="9"/>
      <c r="D30776" s="9"/>
    </row>
    <row r="30777">
      <c r="C30777" s="9"/>
      <c r="D30777" s="9"/>
    </row>
    <row r="30778">
      <c r="C30778" s="9"/>
      <c r="D30778" s="9"/>
    </row>
    <row r="30779">
      <c r="C30779" s="9"/>
      <c r="D30779" s="9"/>
    </row>
    <row r="30780">
      <c r="C30780" s="9"/>
      <c r="D30780" s="9"/>
    </row>
    <row r="30781">
      <c r="C30781" s="9"/>
      <c r="D30781" s="9"/>
    </row>
    <row r="30782">
      <c r="C30782" s="9"/>
      <c r="D30782" s="9"/>
    </row>
    <row r="30783">
      <c r="C30783" s="9"/>
      <c r="D30783" s="9"/>
    </row>
    <row r="30784">
      <c r="C30784" s="9"/>
      <c r="D30784" s="9"/>
    </row>
    <row r="30785">
      <c r="C30785" s="9"/>
      <c r="D30785" s="9"/>
    </row>
    <row r="30786">
      <c r="C30786" s="9"/>
      <c r="D30786" s="9"/>
    </row>
    <row r="30787">
      <c r="C30787" s="9"/>
      <c r="D30787" s="9"/>
    </row>
    <row r="30788">
      <c r="C30788" s="9"/>
      <c r="D30788" s="9"/>
    </row>
    <row r="30789">
      <c r="C30789" s="9"/>
      <c r="D30789" s="9"/>
    </row>
    <row r="30790">
      <c r="C30790" s="9"/>
      <c r="D30790" s="9"/>
    </row>
    <row r="30791">
      <c r="C30791" s="9"/>
      <c r="D30791" s="9"/>
    </row>
    <row r="30792">
      <c r="C30792" s="9"/>
      <c r="D30792" s="9"/>
    </row>
    <row r="30793">
      <c r="C30793" s="9"/>
      <c r="D30793" s="9"/>
    </row>
    <row r="30794">
      <c r="C30794" s="9"/>
      <c r="D30794" s="9"/>
    </row>
    <row r="30795">
      <c r="C30795" s="9"/>
      <c r="D30795" s="9"/>
    </row>
    <row r="30796">
      <c r="C30796" s="9"/>
      <c r="D30796" s="9"/>
    </row>
    <row r="30797">
      <c r="C30797" s="9"/>
      <c r="D30797" s="9"/>
    </row>
    <row r="30798">
      <c r="C30798" s="9"/>
      <c r="D30798" s="9"/>
    </row>
    <row r="30799">
      <c r="C30799" s="9"/>
      <c r="D30799" s="9"/>
    </row>
    <row r="30800">
      <c r="C30800" s="9"/>
      <c r="D30800" s="9"/>
    </row>
    <row r="30801">
      <c r="C30801" s="9"/>
      <c r="D30801" s="9"/>
    </row>
    <row r="30802">
      <c r="C30802" s="9"/>
      <c r="D30802" s="9"/>
    </row>
    <row r="30803">
      <c r="C30803" s="9"/>
      <c r="D30803" s="9"/>
    </row>
    <row r="30804">
      <c r="C30804" s="9"/>
      <c r="D30804" s="9"/>
    </row>
    <row r="30805">
      <c r="C30805" s="9"/>
      <c r="D30805" s="9"/>
    </row>
    <row r="30806">
      <c r="C30806" s="9"/>
      <c r="D30806" s="9"/>
    </row>
    <row r="30807">
      <c r="C30807" s="9"/>
      <c r="D30807" s="9"/>
    </row>
    <row r="30808">
      <c r="C30808" s="9"/>
      <c r="D30808" s="9"/>
    </row>
    <row r="30809">
      <c r="C30809" s="9"/>
      <c r="D30809" s="9"/>
    </row>
    <row r="30810">
      <c r="C30810" s="9"/>
      <c r="D30810" s="9"/>
    </row>
    <row r="30811">
      <c r="C30811" s="9"/>
      <c r="D30811" s="9"/>
    </row>
    <row r="30812">
      <c r="C30812" s="9"/>
      <c r="D30812" s="9"/>
    </row>
    <row r="30813">
      <c r="C30813" s="9"/>
      <c r="D30813" s="9"/>
    </row>
    <row r="30814">
      <c r="C30814" s="9"/>
      <c r="D30814" s="9"/>
    </row>
    <row r="30815">
      <c r="C30815" s="9"/>
      <c r="D30815" s="9"/>
    </row>
    <row r="30816">
      <c r="C30816" s="9"/>
      <c r="D30816" s="9"/>
    </row>
    <row r="30817">
      <c r="C30817" s="9"/>
      <c r="D30817" s="9"/>
    </row>
    <row r="30818">
      <c r="C30818" s="9"/>
      <c r="D30818" s="9"/>
    </row>
    <row r="30819">
      <c r="C30819" s="9"/>
      <c r="D30819" s="9"/>
    </row>
    <row r="30820">
      <c r="C30820" s="9"/>
      <c r="D30820" s="9"/>
    </row>
    <row r="30821">
      <c r="C30821" s="9"/>
      <c r="D30821" s="9"/>
    </row>
    <row r="30822">
      <c r="C30822" s="9"/>
      <c r="D30822" s="9"/>
    </row>
    <row r="30823">
      <c r="C30823" s="9"/>
      <c r="D30823" s="9"/>
    </row>
    <row r="30824">
      <c r="C30824" s="9"/>
      <c r="D30824" s="9"/>
    </row>
    <row r="30825">
      <c r="C30825" s="9"/>
      <c r="D30825" s="9"/>
    </row>
    <row r="30826">
      <c r="C30826" s="9"/>
      <c r="D30826" s="9"/>
    </row>
    <row r="30827">
      <c r="C30827" s="9"/>
      <c r="D30827" s="9"/>
    </row>
    <row r="30828">
      <c r="C30828" s="9"/>
      <c r="D30828" s="9"/>
    </row>
    <row r="30829">
      <c r="C30829" s="9"/>
      <c r="D30829" s="9"/>
    </row>
    <row r="30830">
      <c r="C30830" s="9"/>
      <c r="D30830" s="9"/>
    </row>
    <row r="30831">
      <c r="C30831" s="9"/>
      <c r="D30831" s="9"/>
    </row>
    <row r="30832">
      <c r="C30832" s="9"/>
      <c r="D30832" s="9"/>
    </row>
    <row r="30833">
      <c r="C30833" s="9"/>
      <c r="D30833" s="9"/>
    </row>
    <row r="30834">
      <c r="C30834" s="9"/>
      <c r="D30834" s="9"/>
    </row>
    <row r="30835">
      <c r="C30835" s="9"/>
      <c r="D30835" s="9"/>
    </row>
    <row r="30836">
      <c r="C30836" s="9"/>
      <c r="D30836" s="9"/>
    </row>
    <row r="30837">
      <c r="C30837" s="9"/>
      <c r="D30837" s="9"/>
    </row>
    <row r="30838">
      <c r="C30838" s="9"/>
      <c r="D30838" s="9"/>
    </row>
    <row r="30839">
      <c r="C30839" s="9"/>
      <c r="D30839" s="9"/>
    </row>
    <row r="30840">
      <c r="C30840" s="9"/>
      <c r="D30840" s="9"/>
    </row>
    <row r="30841">
      <c r="C30841" s="9"/>
      <c r="D30841" s="9"/>
    </row>
    <row r="30842">
      <c r="C30842" s="9"/>
      <c r="D30842" s="9"/>
    </row>
    <row r="30843">
      <c r="C30843" s="9"/>
      <c r="D30843" s="9"/>
    </row>
    <row r="30844">
      <c r="C30844" s="9"/>
      <c r="D30844" s="9"/>
    </row>
    <row r="30845">
      <c r="C30845" s="9"/>
      <c r="D30845" s="9"/>
    </row>
    <row r="30846">
      <c r="C30846" s="9"/>
      <c r="D30846" s="9"/>
    </row>
    <row r="30847">
      <c r="C30847" s="9"/>
      <c r="D30847" s="9"/>
    </row>
    <row r="30848">
      <c r="C30848" s="9"/>
      <c r="D30848" s="9"/>
    </row>
    <row r="30849">
      <c r="C30849" s="9"/>
      <c r="D30849" s="9"/>
    </row>
    <row r="30850">
      <c r="C30850" s="9"/>
      <c r="D30850" s="9"/>
    </row>
    <row r="30851">
      <c r="C30851" s="9"/>
      <c r="D30851" s="9"/>
    </row>
    <row r="30852">
      <c r="C30852" s="9"/>
      <c r="D30852" s="9"/>
    </row>
    <row r="30853">
      <c r="C30853" s="9"/>
      <c r="D30853" s="9"/>
    </row>
    <row r="30854">
      <c r="C30854" s="9"/>
      <c r="D30854" s="9"/>
    </row>
    <row r="30855">
      <c r="C30855" s="9"/>
      <c r="D30855" s="9"/>
    </row>
    <row r="30856">
      <c r="C30856" s="9"/>
      <c r="D30856" s="9"/>
    </row>
    <row r="30857">
      <c r="C30857" s="9"/>
      <c r="D30857" s="9"/>
    </row>
    <row r="30858">
      <c r="C30858" s="9"/>
      <c r="D30858" s="9"/>
    </row>
    <row r="30859">
      <c r="C30859" s="9"/>
      <c r="D30859" s="9"/>
    </row>
    <row r="30860">
      <c r="C30860" s="9"/>
      <c r="D30860" s="9"/>
    </row>
    <row r="30861">
      <c r="C30861" s="9"/>
      <c r="D30861" s="9"/>
    </row>
    <row r="30862">
      <c r="C30862" s="9"/>
      <c r="D30862" s="9"/>
    </row>
    <row r="30863">
      <c r="C30863" s="9"/>
      <c r="D30863" s="9"/>
    </row>
    <row r="30864">
      <c r="C30864" s="9"/>
      <c r="D30864" s="9"/>
    </row>
    <row r="30865">
      <c r="C30865" s="9"/>
      <c r="D30865" s="9"/>
    </row>
    <row r="30866">
      <c r="C30866" s="9"/>
      <c r="D30866" s="9"/>
    </row>
    <row r="30867">
      <c r="C30867" s="9"/>
      <c r="D30867" s="9"/>
    </row>
    <row r="30868">
      <c r="C30868" s="9"/>
      <c r="D30868" s="9"/>
    </row>
    <row r="30869">
      <c r="C30869" s="9"/>
      <c r="D30869" s="9"/>
    </row>
    <row r="30870">
      <c r="C30870" s="9"/>
      <c r="D30870" s="9"/>
    </row>
    <row r="30871">
      <c r="C30871" s="9"/>
      <c r="D30871" s="9"/>
    </row>
    <row r="30872">
      <c r="C30872" s="9"/>
      <c r="D30872" s="9"/>
    </row>
    <row r="30873">
      <c r="C30873" s="9"/>
      <c r="D30873" s="9"/>
    </row>
    <row r="30874">
      <c r="C30874" s="9"/>
      <c r="D30874" s="9"/>
    </row>
    <row r="30875">
      <c r="C30875" s="9"/>
      <c r="D30875" s="9"/>
    </row>
    <row r="30876">
      <c r="C30876" s="9"/>
      <c r="D30876" s="9"/>
    </row>
    <row r="30877">
      <c r="C30877" s="9"/>
      <c r="D30877" s="9"/>
    </row>
    <row r="30878">
      <c r="C30878" s="9"/>
      <c r="D30878" s="9"/>
    </row>
    <row r="30879">
      <c r="C30879" s="9"/>
      <c r="D30879" s="9"/>
    </row>
    <row r="30880">
      <c r="C30880" s="9"/>
      <c r="D30880" s="9"/>
    </row>
    <row r="30881">
      <c r="C30881" s="9"/>
      <c r="D30881" s="9"/>
    </row>
    <row r="30882">
      <c r="C30882" s="9"/>
      <c r="D30882" s="9"/>
    </row>
    <row r="30883">
      <c r="C30883" s="9"/>
      <c r="D30883" s="9"/>
    </row>
    <row r="30884">
      <c r="C30884" s="9"/>
      <c r="D30884" s="9"/>
    </row>
    <row r="30885">
      <c r="C30885" s="9"/>
      <c r="D30885" s="9"/>
    </row>
    <row r="30886">
      <c r="C30886" s="9"/>
      <c r="D30886" s="9"/>
    </row>
    <row r="30887">
      <c r="C30887" s="9"/>
      <c r="D30887" s="9"/>
    </row>
    <row r="30888">
      <c r="C30888" s="9"/>
      <c r="D30888" s="9"/>
    </row>
    <row r="30889">
      <c r="C30889" s="9"/>
      <c r="D30889" s="9"/>
    </row>
    <row r="30890">
      <c r="C30890" s="9"/>
      <c r="D30890" s="9"/>
    </row>
    <row r="30891">
      <c r="C30891" s="9"/>
      <c r="D30891" s="9"/>
    </row>
    <row r="30892">
      <c r="C30892" s="9"/>
      <c r="D30892" s="9"/>
    </row>
    <row r="30893">
      <c r="C30893" s="9"/>
      <c r="D30893" s="9"/>
    </row>
    <row r="30894">
      <c r="C30894" s="9"/>
      <c r="D30894" s="9"/>
    </row>
    <row r="30895">
      <c r="C30895" s="9"/>
      <c r="D30895" s="9"/>
    </row>
    <row r="30896">
      <c r="C30896" s="9"/>
      <c r="D30896" s="9"/>
    </row>
    <row r="30897">
      <c r="C30897" s="9"/>
      <c r="D30897" s="9"/>
    </row>
    <row r="30898">
      <c r="C30898" s="9"/>
      <c r="D30898" s="9"/>
    </row>
    <row r="30899">
      <c r="C30899" s="9"/>
      <c r="D30899" s="9"/>
    </row>
    <row r="30900">
      <c r="C30900" s="9"/>
      <c r="D30900" s="9"/>
    </row>
    <row r="30901">
      <c r="C30901" s="9"/>
      <c r="D30901" s="9"/>
    </row>
    <row r="30902">
      <c r="C30902" s="9"/>
      <c r="D30902" s="9"/>
    </row>
    <row r="30903">
      <c r="C30903" s="9"/>
      <c r="D30903" s="9"/>
    </row>
    <row r="30904">
      <c r="C30904" s="9"/>
      <c r="D30904" s="9"/>
    </row>
    <row r="30905">
      <c r="C30905" s="9"/>
      <c r="D30905" s="9"/>
    </row>
    <row r="30906">
      <c r="C30906" s="9"/>
      <c r="D30906" s="9"/>
    </row>
    <row r="30907">
      <c r="C30907" s="9"/>
      <c r="D30907" s="9"/>
    </row>
    <row r="30908">
      <c r="C30908" s="9"/>
      <c r="D30908" s="9"/>
    </row>
    <row r="30909">
      <c r="C30909" s="9"/>
      <c r="D30909" s="9"/>
    </row>
    <row r="30910">
      <c r="C30910" s="9"/>
      <c r="D30910" s="9"/>
    </row>
    <row r="30911">
      <c r="C30911" s="9"/>
      <c r="D30911" s="9"/>
    </row>
    <row r="30912">
      <c r="C30912" s="9"/>
      <c r="D30912" s="9"/>
    </row>
    <row r="30913">
      <c r="C30913" s="9"/>
      <c r="D30913" s="9"/>
    </row>
    <row r="30914">
      <c r="C30914" s="9"/>
      <c r="D30914" s="9"/>
    </row>
    <row r="30915">
      <c r="C30915" s="9"/>
      <c r="D30915" s="9"/>
    </row>
    <row r="30916">
      <c r="C30916" s="9"/>
      <c r="D30916" s="9"/>
    </row>
    <row r="30917">
      <c r="C30917" s="9"/>
      <c r="D30917" s="9"/>
    </row>
    <row r="30918">
      <c r="C30918" s="9"/>
      <c r="D30918" s="9"/>
    </row>
    <row r="30919">
      <c r="C30919" s="9"/>
      <c r="D30919" s="9"/>
    </row>
    <row r="30920">
      <c r="C30920" s="9"/>
      <c r="D30920" s="9"/>
    </row>
    <row r="30921">
      <c r="C30921" s="9"/>
      <c r="D30921" s="9"/>
    </row>
    <row r="30922">
      <c r="C30922" s="9"/>
      <c r="D30922" s="9"/>
    </row>
    <row r="30923">
      <c r="C30923" s="9"/>
      <c r="D30923" s="9"/>
    </row>
    <row r="30924">
      <c r="C30924" s="9"/>
      <c r="D30924" s="9"/>
    </row>
    <row r="30925">
      <c r="C30925" s="9"/>
      <c r="D30925" s="9"/>
    </row>
    <row r="30926">
      <c r="C30926" s="9"/>
      <c r="D30926" s="9"/>
    </row>
    <row r="30927">
      <c r="C30927" s="9"/>
      <c r="D30927" s="9"/>
    </row>
    <row r="30928">
      <c r="C30928" s="9"/>
      <c r="D30928" s="9"/>
    </row>
    <row r="30929">
      <c r="C30929" s="9"/>
      <c r="D30929" s="9"/>
    </row>
    <row r="30930">
      <c r="C30930" s="9"/>
      <c r="D30930" s="9"/>
    </row>
    <row r="30931">
      <c r="C30931" s="9"/>
      <c r="D30931" s="9"/>
    </row>
    <row r="30932">
      <c r="C30932" s="9"/>
      <c r="D30932" s="9"/>
    </row>
    <row r="30933">
      <c r="C30933" s="9"/>
      <c r="D30933" s="9"/>
    </row>
    <row r="30934">
      <c r="C30934" s="9"/>
      <c r="D30934" s="9"/>
    </row>
    <row r="30935">
      <c r="C30935" s="9"/>
      <c r="D30935" s="9"/>
    </row>
    <row r="30936">
      <c r="C30936" s="9"/>
      <c r="D30936" s="9"/>
    </row>
    <row r="30937">
      <c r="C30937" s="9"/>
      <c r="D30937" s="9"/>
    </row>
    <row r="30938">
      <c r="C30938" s="9"/>
      <c r="D30938" s="9"/>
    </row>
    <row r="30939">
      <c r="C30939" s="9"/>
      <c r="D30939" s="9"/>
    </row>
    <row r="30940">
      <c r="C30940" s="9"/>
      <c r="D30940" s="9"/>
    </row>
    <row r="30941">
      <c r="C30941" s="9"/>
      <c r="D30941" s="9"/>
    </row>
    <row r="30942">
      <c r="C30942" s="9"/>
      <c r="D30942" s="9"/>
    </row>
    <row r="30943">
      <c r="C30943" s="9"/>
      <c r="D30943" s="9"/>
    </row>
    <row r="30944">
      <c r="C30944" s="9"/>
      <c r="D30944" s="9"/>
    </row>
    <row r="30945">
      <c r="C30945" s="9"/>
      <c r="D30945" s="9"/>
    </row>
    <row r="30946">
      <c r="C30946" s="9"/>
      <c r="D30946" s="9"/>
    </row>
    <row r="30947">
      <c r="C30947" s="9"/>
      <c r="D30947" s="9"/>
    </row>
    <row r="30948">
      <c r="C30948" s="9"/>
      <c r="D30948" s="9"/>
    </row>
    <row r="30949">
      <c r="C30949" s="9"/>
      <c r="D30949" s="9"/>
    </row>
    <row r="30950">
      <c r="C30950" s="9"/>
      <c r="D30950" s="9"/>
    </row>
    <row r="30951">
      <c r="C30951" s="9"/>
      <c r="D30951" s="9"/>
    </row>
    <row r="30952">
      <c r="C30952" s="9"/>
      <c r="D30952" s="9"/>
    </row>
    <row r="30953">
      <c r="C30953" s="9"/>
      <c r="D30953" s="9"/>
    </row>
    <row r="30954">
      <c r="C30954" s="9"/>
      <c r="D30954" s="9"/>
    </row>
    <row r="30955">
      <c r="C30955" s="9"/>
      <c r="D30955" s="9"/>
    </row>
    <row r="30956">
      <c r="C30956" s="9"/>
      <c r="D30956" s="9"/>
    </row>
    <row r="30957">
      <c r="C30957" s="9"/>
      <c r="D30957" s="9"/>
    </row>
    <row r="30958">
      <c r="C30958" s="9"/>
      <c r="D30958" s="9"/>
    </row>
    <row r="30959">
      <c r="C30959" s="9"/>
      <c r="D30959" s="9"/>
    </row>
    <row r="30960">
      <c r="C30960" s="9"/>
      <c r="D30960" s="9"/>
    </row>
    <row r="30961">
      <c r="C30961" s="9"/>
      <c r="D30961" s="9"/>
    </row>
    <row r="30962">
      <c r="C30962" s="9"/>
      <c r="D30962" s="9"/>
    </row>
    <row r="30963">
      <c r="C30963" s="9"/>
      <c r="D30963" s="9"/>
    </row>
    <row r="30964">
      <c r="C30964" s="9"/>
      <c r="D30964" s="9"/>
    </row>
    <row r="30965">
      <c r="C30965" s="9"/>
      <c r="D30965" s="9"/>
    </row>
    <row r="30966">
      <c r="C30966" s="9"/>
      <c r="D30966" s="9"/>
    </row>
    <row r="30967">
      <c r="C30967" s="9"/>
      <c r="D30967" s="9"/>
    </row>
    <row r="30968">
      <c r="C30968" s="9"/>
      <c r="D30968" s="9"/>
    </row>
    <row r="30969">
      <c r="C30969" s="9"/>
      <c r="D30969" s="9"/>
    </row>
    <row r="30970">
      <c r="C30970" s="9"/>
      <c r="D30970" s="9"/>
    </row>
    <row r="30971">
      <c r="C30971" s="9"/>
      <c r="D30971" s="9"/>
    </row>
    <row r="30972">
      <c r="C30972" s="9"/>
      <c r="D30972" s="9"/>
    </row>
    <row r="30973">
      <c r="C30973" s="9"/>
      <c r="D30973" s="9"/>
    </row>
    <row r="30974">
      <c r="C30974" s="9"/>
      <c r="D30974" s="9"/>
    </row>
    <row r="30975">
      <c r="C30975" s="9"/>
      <c r="D30975" s="9"/>
    </row>
    <row r="30976">
      <c r="C30976" s="9"/>
      <c r="D30976" s="9"/>
    </row>
    <row r="30977">
      <c r="C30977" s="9"/>
      <c r="D30977" s="9"/>
    </row>
    <row r="30978">
      <c r="C30978" s="9"/>
      <c r="D30978" s="9"/>
    </row>
    <row r="30979">
      <c r="C30979" s="9"/>
      <c r="D30979" s="9"/>
    </row>
    <row r="30980">
      <c r="C30980" s="9"/>
      <c r="D30980" s="9"/>
    </row>
    <row r="30981">
      <c r="C30981" s="9"/>
      <c r="D30981" s="9"/>
    </row>
    <row r="30982">
      <c r="C30982" s="9"/>
      <c r="D30982" s="9"/>
    </row>
    <row r="30983">
      <c r="C30983" s="9"/>
      <c r="D30983" s="9"/>
    </row>
    <row r="30984">
      <c r="C30984" s="9"/>
      <c r="D30984" s="9"/>
    </row>
    <row r="30985">
      <c r="C30985" s="9"/>
      <c r="D30985" s="9"/>
    </row>
    <row r="30986">
      <c r="C30986" s="9"/>
      <c r="D30986" s="9"/>
    </row>
    <row r="30987">
      <c r="C30987" s="9"/>
      <c r="D30987" s="9"/>
    </row>
    <row r="30988">
      <c r="C30988" s="9"/>
      <c r="D30988" s="9"/>
    </row>
    <row r="30989">
      <c r="C30989" s="9"/>
      <c r="D30989" s="9"/>
    </row>
    <row r="30990">
      <c r="C30990" s="9"/>
      <c r="D30990" s="9"/>
    </row>
    <row r="30991">
      <c r="C30991" s="9"/>
      <c r="D30991" s="9"/>
    </row>
    <row r="30992">
      <c r="C30992" s="9"/>
      <c r="D30992" s="9"/>
    </row>
    <row r="30993">
      <c r="C30993" s="9"/>
      <c r="D30993" s="9"/>
    </row>
    <row r="30994">
      <c r="C30994" s="9"/>
      <c r="D30994" s="9"/>
    </row>
    <row r="30995">
      <c r="C30995" s="9"/>
      <c r="D30995" s="9"/>
    </row>
    <row r="30996">
      <c r="C30996" s="9"/>
      <c r="D30996" s="9"/>
    </row>
    <row r="30997">
      <c r="C30997" s="9"/>
      <c r="D30997" s="9"/>
    </row>
    <row r="30998">
      <c r="C30998" s="9"/>
      <c r="D30998" s="9"/>
    </row>
    <row r="30999">
      <c r="C30999" s="9"/>
      <c r="D30999" s="9"/>
    </row>
    <row r="31000">
      <c r="C31000" s="9"/>
      <c r="D31000" s="9"/>
    </row>
    <row r="31001">
      <c r="C31001" s="9"/>
      <c r="D31001" s="9"/>
    </row>
    <row r="31002">
      <c r="C31002" s="9"/>
      <c r="D31002" s="9"/>
    </row>
    <row r="31003">
      <c r="C31003" s="9"/>
      <c r="D31003" s="9"/>
    </row>
    <row r="31004">
      <c r="C31004" s="9"/>
      <c r="D31004" s="9"/>
    </row>
    <row r="31005">
      <c r="C31005" s="9"/>
      <c r="D31005" s="9"/>
    </row>
    <row r="31006">
      <c r="C31006" s="9"/>
      <c r="D31006" s="9"/>
    </row>
    <row r="31007">
      <c r="C31007" s="9"/>
      <c r="D31007" s="9"/>
    </row>
    <row r="31008">
      <c r="C31008" s="9"/>
      <c r="D31008" s="9"/>
    </row>
    <row r="31009">
      <c r="C31009" s="9"/>
      <c r="D31009" s="9"/>
    </row>
    <row r="31010">
      <c r="C31010" s="9"/>
      <c r="D31010" s="9"/>
    </row>
    <row r="31011">
      <c r="C31011" s="9"/>
      <c r="D31011" s="9"/>
    </row>
    <row r="31012">
      <c r="C31012" s="9"/>
      <c r="D31012" s="9"/>
    </row>
    <row r="31013">
      <c r="C31013" s="9"/>
      <c r="D31013" s="9"/>
    </row>
    <row r="31014">
      <c r="C31014" s="9"/>
      <c r="D31014" s="9"/>
    </row>
    <row r="31015">
      <c r="C31015" s="9"/>
      <c r="D31015" s="9"/>
    </row>
    <row r="31016">
      <c r="C31016" s="9"/>
      <c r="D31016" s="9"/>
    </row>
    <row r="31017">
      <c r="C31017" s="9"/>
      <c r="D31017" s="9"/>
    </row>
    <row r="31018">
      <c r="C31018" s="9"/>
      <c r="D31018" s="9"/>
    </row>
    <row r="31019">
      <c r="C31019" s="9"/>
      <c r="D31019" s="9"/>
    </row>
    <row r="31020">
      <c r="C31020" s="9"/>
      <c r="D31020" s="9"/>
    </row>
    <row r="31021">
      <c r="C31021" s="9"/>
      <c r="D31021" s="9"/>
    </row>
    <row r="31022">
      <c r="C31022" s="9"/>
      <c r="D31022" s="9"/>
    </row>
    <row r="31023">
      <c r="C31023" s="9"/>
      <c r="D31023" s="9"/>
    </row>
    <row r="31024">
      <c r="C31024" s="9"/>
      <c r="D31024" s="9"/>
    </row>
    <row r="31025">
      <c r="C31025" s="9"/>
      <c r="D31025" s="9"/>
    </row>
    <row r="31026">
      <c r="C31026" s="9"/>
      <c r="D31026" s="9"/>
    </row>
    <row r="31027">
      <c r="C31027" s="9"/>
      <c r="D31027" s="9"/>
    </row>
    <row r="31028">
      <c r="C31028" s="9"/>
      <c r="D31028" s="9"/>
    </row>
    <row r="31029">
      <c r="C31029" s="9"/>
      <c r="D31029" s="9"/>
    </row>
    <row r="31030">
      <c r="C31030" s="9"/>
      <c r="D31030" s="9"/>
    </row>
    <row r="31031">
      <c r="C31031" s="9"/>
      <c r="D31031" s="9"/>
    </row>
    <row r="31032">
      <c r="C31032" s="9"/>
      <c r="D31032" s="9"/>
    </row>
    <row r="31033">
      <c r="C31033" s="9"/>
      <c r="D31033" s="9"/>
    </row>
    <row r="31034">
      <c r="C31034" s="9"/>
      <c r="D31034" s="9"/>
    </row>
    <row r="31035">
      <c r="C31035" s="9"/>
      <c r="D31035" s="9"/>
    </row>
    <row r="31036">
      <c r="C31036" s="9"/>
      <c r="D31036" s="9"/>
    </row>
    <row r="31037">
      <c r="C31037" s="9"/>
      <c r="D31037" s="9"/>
    </row>
    <row r="31038">
      <c r="C31038" s="9"/>
      <c r="D31038" s="9"/>
    </row>
    <row r="31039">
      <c r="C31039" s="9"/>
      <c r="D31039" s="9"/>
    </row>
    <row r="31040">
      <c r="C31040" s="9"/>
      <c r="D31040" s="9"/>
    </row>
    <row r="31041">
      <c r="C31041" s="9"/>
      <c r="D31041" s="9"/>
    </row>
    <row r="31042">
      <c r="C31042" s="9"/>
      <c r="D31042" s="9"/>
    </row>
    <row r="31043">
      <c r="C31043" s="9"/>
      <c r="D31043" s="9"/>
    </row>
    <row r="31044">
      <c r="C31044" s="9"/>
      <c r="D31044" s="9"/>
    </row>
    <row r="31045">
      <c r="C31045" s="9"/>
      <c r="D31045" s="9"/>
    </row>
    <row r="31046">
      <c r="C31046" s="9"/>
      <c r="D31046" s="9"/>
    </row>
    <row r="31047">
      <c r="C31047" s="9"/>
      <c r="D31047" s="9"/>
    </row>
    <row r="31048">
      <c r="C31048" s="9"/>
      <c r="D31048" s="9"/>
    </row>
    <row r="31049">
      <c r="C31049" s="9"/>
      <c r="D31049" s="9"/>
    </row>
    <row r="31050">
      <c r="C31050" s="9"/>
      <c r="D31050" s="9"/>
    </row>
    <row r="31051">
      <c r="C31051" s="9"/>
      <c r="D31051" s="9"/>
    </row>
    <row r="31052">
      <c r="C31052" s="9"/>
      <c r="D31052" s="9"/>
    </row>
    <row r="31053">
      <c r="C31053" s="9"/>
      <c r="D31053" s="9"/>
    </row>
    <row r="31054">
      <c r="C31054" s="9"/>
      <c r="D31054" s="9"/>
    </row>
    <row r="31055">
      <c r="C31055" s="9"/>
      <c r="D31055" s="9"/>
    </row>
    <row r="31056">
      <c r="C31056" s="9"/>
      <c r="D31056" s="9"/>
    </row>
    <row r="31057">
      <c r="C31057" s="9"/>
      <c r="D31057" s="9"/>
    </row>
    <row r="31058">
      <c r="C31058" s="9"/>
      <c r="D31058" s="9"/>
    </row>
    <row r="31059">
      <c r="C31059" s="9"/>
      <c r="D31059" s="9"/>
    </row>
    <row r="31060">
      <c r="C31060" s="9"/>
      <c r="D31060" s="9"/>
    </row>
    <row r="31061">
      <c r="C31061" s="9"/>
      <c r="D31061" s="9"/>
    </row>
    <row r="31062">
      <c r="C31062" s="9"/>
      <c r="D31062" s="9"/>
    </row>
    <row r="31063">
      <c r="C31063" s="9"/>
      <c r="D31063" s="9"/>
    </row>
    <row r="31064">
      <c r="C31064" s="9"/>
      <c r="D31064" s="9"/>
    </row>
    <row r="31065">
      <c r="C31065" s="9"/>
      <c r="D31065" s="9"/>
    </row>
    <row r="31066">
      <c r="C31066" s="9"/>
      <c r="D31066" s="9"/>
    </row>
    <row r="31067">
      <c r="C31067" s="9"/>
      <c r="D31067" s="9"/>
    </row>
    <row r="31068">
      <c r="C31068" s="9"/>
      <c r="D31068" s="9"/>
    </row>
    <row r="31069">
      <c r="C31069" s="9"/>
      <c r="D31069" s="9"/>
    </row>
    <row r="31070">
      <c r="C31070" s="9"/>
      <c r="D31070" s="9"/>
    </row>
    <row r="31071">
      <c r="C31071" s="9"/>
      <c r="D31071" s="9"/>
    </row>
    <row r="31072">
      <c r="C31072" s="9"/>
      <c r="D31072" s="9"/>
    </row>
    <row r="31073">
      <c r="C31073" s="9"/>
      <c r="D31073" s="9"/>
    </row>
    <row r="31074">
      <c r="C31074" s="9"/>
      <c r="D31074" s="9"/>
    </row>
    <row r="31075">
      <c r="C31075" s="9"/>
      <c r="D31075" s="9"/>
    </row>
    <row r="31076">
      <c r="C31076" s="9"/>
      <c r="D31076" s="9"/>
    </row>
    <row r="31077">
      <c r="C31077" s="9"/>
      <c r="D31077" s="9"/>
    </row>
    <row r="31078">
      <c r="C31078" s="9"/>
      <c r="D31078" s="9"/>
    </row>
    <row r="31079">
      <c r="C31079" s="9"/>
      <c r="D31079" s="9"/>
    </row>
    <row r="31080">
      <c r="C31080" s="9"/>
      <c r="D31080" s="9"/>
    </row>
    <row r="31081">
      <c r="C31081" s="9"/>
      <c r="D31081" s="9"/>
    </row>
    <row r="31082">
      <c r="C31082" s="9"/>
      <c r="D31082" s="9"/>
    </row>
    <row r="31083">
      <c r="C31083" s="9"/>
      <c r="D31083" s="9"/>
    </row>
    <row r="31084">
      <c r="C31084" s="9"/>
      <c r="D31084" s="9"/>
    </row>
    <row r="31085">
      <c r="C31085" s="9"/>
      <c r="D31085" s="9"/>
    </row>
    <row r="31086">
      <c r="C31086" s="9"/>
      <c r="D31086" s="9"/>
    </row>
    <row r="31087">
      <c r="C31087" s="9"/>
      <c r="D31087" s="9"/>
    </row>
    <row r="31088">
      <c r="C31088" s="9"/>
      <c r="D31088" s="9"/>
    </row>
    <row r="31089">
      <c r="C31089" s="9"/>
      <c r="D31089" s="9"/>
    </row>
    <row r="31090">
      <c r="C31090" s="9"/>
      <c r="D31090" s="9"/>
    </row>
    <row r="31091">
      <c r="C31091" s="9"/>
      <c r="D31091" s="9"/>
    </row>
    <row r="31092">
      <c r="C31092" s="9"/>
      <c r="D31092" s="9"/>
    </row>
    <row r="31093">
      <c r="C31093" s="9"/>
      <c r="D31093" s="9"/>
    </row>
    <row r="31094">
      <c r="C31094" s="9"/>
      <c r="D31094" s="9"/>
    </row>
    <row r="31095">
      <c r="C31095" s="9"/>
      <c r="D31095" s="9"/>
    </row>
    <row r="31096">
      <c r="C31096" s="9"/>
      <c r="D31096" s="9"/>
    </row>
    <row r="31097">
      <c r="C31097" s="9"/>
      <c r="D31097" s="9"/>
    </row>
    <row r="31098">
      <c r="C31098" s="9"/>
      <c r="D31098" s="9"/>
    </row>
    <row r="31099">
      <c r="C31099" s="9"/>
      <c r="D31099" s="9"/>
    </row>
    <row r="31100">
      <c r="C31100" s="9"/>
      <c r="D31100" s="9"/>
    </row>
    <row r="31101">
      <c r="C31101" s="9"/>
      <c r="D31101" s="9"/>
    </row>
    <row r="31102">
      <c r="C31102" s="9"/>
      <c r="D31102" s="9"/>
    </row>
    <row r="31103">
      <c r="C31103" s="9"/>
      <c r="D31103" s="9"/>
    </row>
    <row r="31104">
      <c r="C31104" s="9"/>
      <c r="D31104" s="9"/>
    </row>
    <row r="31105">
      <c r="C31105" s="9"/>
      <c r="D31105" s="9"/>
    </row>
    <row r="31106">
      <c r="C31106" s="9"/>
      <c r="D31106" s="9"/>
    </row>
    <row r="31107">
      <c r="C31107" s="9"/>
      <c r="D31107" s="9"/>
    </row>
    <row r="31108">
      <c r="C31108" s="9"/>
      <c r="D31108" s="9"/>
    </row>
    <row r="31109">
      <c r="C31109" s="9"/>
      <c r="D31109" s="9"/>
    </row>
    <row r="31110">
      <c r="C31110" s="9"/>
      <c r="D31110" s="9"/>
    </row>
    <row r="31111">
      <c r="C31111" s="9"/>
      <c r="D31111" s="9"/>
    </row>
    <row r="31112">
      <c r="C31112" s="9"/>
      <c r="D31112" s="9"/>
    </row>
    <row r="31113">
      <c r="C31113" s="9"/>
      <c r="D31113" s="9"/>
    </row>
    <row r="31114">
      <c r="C31114" s="9"/>
      <c r="D31114" s="9"/>
    </row>
    <row r="31115">
      <c r="C31115" s="9"/>
      <c r="D31115" s="9"/>
    </row>
    <row r="31116">
      <c r="C31116" s="9"/>
      <c r="D31116" s="9"/>
    </row>
    <row r="31117">
      <c r="C31117" s="9"/>
      <c r="D31117" s="9"/>
    </row>
    <row r="31118">
      <c r="C31118" s="9"/>
      <c r="D31118" s="9"/>
    </row>
    <row r="31119">
      <c r="C31119" s="9"/>
      <c r="D31119" s="9"/>
    </row>
    <row r="31120">
      <c r="C31120" s="9"/>
      <c r="D31120" s="9"/>
    </row>
    <row r="31121">
      <c r="C31121" s="9"/>
      <c r="D31121" s="9"/>
    </row>
    <row r="31122">
      <c r="C31122" s="9"/>
      <c r="D31122" s="9"/>
    </row>
    <row r="31123">
      <c r="C31123" s="9"/>
      <c r="D31123" s="9"/>
    </row>
    <row r="31124">
      <c r="C31124" s="9"/>
      <c r="D31124" s="9"/>
    </row>
    <row r="31125">
      <c r="C31125" s="9"/>
      <c r="D31125" s="9"/>
    </row>
    <row r="31126">
      <c r="C31126" s="9"/>
      <c r="D31126" s="9"/>
    </row>
    <row r="31127">
      <c r="C31127" s="9"/>
      <c r="D31127" s="9"/>
    </row>
    <row r="31128">
      <c r="C31128" s="9"/>
      <c r="D31128" s="9"/>
    </row>
    <row r="31129">
      <c r="C31129" s="9"/>
      <c r="D31129" s="9"/>
    </row>
    <row r="31130">
      <c r="C31130" s="9"/>
      <c r="D31130" s="9"/>
    </row>
    <row r="31131">
      <c r="C31131" s="9"/>
      <c r="D31131" s="9"/>
    </row>
    <row r="31132">
      <c r="C31132" s="9"/>
      <c r="D31132" s="9"/>
    </row>
    <row r="31133">
      <c r="C31133" s="9"/>
      <c r="D31133" s="9"/>
    </row>
    <row r="31134">
      <c r="C31134" s="9"/>
      <c r="D31134" s="9"/>
    </row>
    <row r="31135">
      <c r="C31135" s="9"/>
      <c r="D31135" s="9"/>
    </row>
    <row r="31136">
      <c r="C31136" s="9"/>
      <c r="D31136" s="9"/>
    </row>
    <row r="31137">
      <c r="C31137" s="9"/>
      <c r="D31137" s="9"/>
    </row>
    <row r="31138">
      <c r="C31138" s="9"/>
      <c r="D31138" s="9"/>
    </row>
    <row r="31139">
      <c r="C31139" s="9"/>
      <c r="D31139" s="9"/>
    </row>
    <row r="31140">
      <c r="C31140" s="9"/>
      <c r="D31140" s="9"/>
    </row>
    <row r="31141">
      <c r="C31141" s="9"/>
      <c r="D31141" s="9"/>
    </row>
    <row r="31142">
      <c r="C31142" s="9"/>
      <c r="D31142" s="9"/>
    </row>
    <row r="31143">
      <c r="C31143" s="9"/>
      <c r="D31143" s="9"/>
    </row>
    <row r="31144">
      <c r="C31144" s="9"/>
      <c r="D31144" s="9"/>
    </row>
    <row r="31145">
      <c r="C31145" s="9"/>
      <c r="D31145" s="9"/>
    </row>
    <row r="31146">
      <c r="C31146" s="9"/>
      <c r="D31146" s="9"/>
    </row>
    <row r="31147">
      <c r="C31147" s="9"/>
      <c r="D31147" s="9"/>
    </row>
    <row r="31148">
      <c r="C31148" s="9"/>
      <c r="D31148" s="9"/>
    </row>
    <row r="31149">
      <c r="C31149" s="9"/>
      <c r="D31149" s="9"/>
    </row>
    <row r="31150">
      <c r="C31150" s="9"/>
      <c r="D31150" s="9"/>
    </row>
    <row r="31151">
      <c r="C31151" s="9"/>
      <c r="D31151" s="9"/>
    </row>
    <row r="31152">
      <c r="C31152" s="9"/>
      <c r="D31152" s="9"/>
    </row>
    <row r="31153">
      <c r="C31153" s="9"/>
      <c r="D31153" s="9"/>
    </row>
    <row r="31154">
      <c r="C31154" s="9"/>
      <c r="D31154" s="9"/>
    </row>
    <row r="31155">
      <c r="C31155" s="9"/>
      <c r="D31155" s="9"/>
    </row>
    <row r="31156">
      <c r="C31156" s="9"/>
      <c r="D31156" s="9"/>
    </row>
    <row r="31157">
      <c r="C31157" s="9"/>
      <c r="D31157" s="9"/>
    </row>
    <row r="31158">
      <c r="C31158" s="9"/>
      <c r="D31158" s="9"/>
    </row>
    <row r="31159">
      <c r="C31159" s="9"/>
      <c r="D31159" s="9"/>
    </row>
    <row r="31160">
      <c r="C31160" s="9"/>
      <c r="D31160" s="9"/>
    </row>
    <row r="31161">
      <c r="C31161" s="9"/>
      <c r="D31161" s="9"/>
    </row>
    <row r="31162">
      <c r="C31162" s="9"/>
      <c r="D31162" s="9"/>
    </row>
    <row r="31163">
      <c r="C31163" s="9"/>
      <c r="D31163" s="9"/>
    </row>
    <row r="31164">
      <c r="C31164" s="9"/>
      <c r="D31164" s="9"/>
    </row>
    <row r="31165">
      <c r="C31165" s="9"/>
      <c r="D31165" s="9"/>
    </row>
    <row r="31166">
      <c r="C31166" s="9"/>
      <c r="D31166" s="9"/>
    </row>
    <row r="31167">
      <c r="C31167" s="9"/>
      <c r="D31167" s="9"/>
    </row>
    <row r="31168">
      <c r="C31168" s="9"/>
      <c r="D31168" s="9"/>
    </row>
    <row r="31169">
      <c r="C31169" s="9"/>
      <c r="D31169" s="9"/>
    </row>
    <row r="31170">
      <c r="C31170" s="9"/>
      <c r="D31170" s="9"/>
    </row>
    <row r="31171">
      <c r="C31171" s="9"/>
      <c r="D31171" s="9"/>
    </row>
    <row r="31172">
      <c r="C31172" s="9"/>
      <c r="D31172" s="9"/>
    </row>
    <row r="31173">
      <c r="C31173" s="9"/>
      <c r="D31173" s="9"/>
    </row>
    <row r="31174">
      <c r="C31174" s="9"/>
      <c r="D31174" s="9"/>
    </row>
    <row r="31175">
      <c r="C31175" s="9"/>
      <c r="D31175" s="9"/>
    </row>
    <row r="31176">
      <c r="C31176" s="9"/>
      <c r="D31176" s="9"/>
    </row>
    <row r="31177">
      <c r="C31177" s="9"/>
      <c r="D31177" s="9"/>
    </row>
    <row r="31178">
      <c r="C31178" s="9"/>
      <c r="D31178" s="9"/>
    </row>
    <row r="31179">
      <c r="C31179" s="9"/>
      <c r="D31179" s="9"/>
    </row>
    <row r="31180">
      <c r="C31180" s="9"/>
      <c r="D31180" s="9"/>
    </row>
    <row r="31181">
      <c r="C31181" s="9"/>
      <c r="D31181" s="9"/>
    </row>
    <row r="31182">
      <c r="C31182" s="9"/>
      <c r="D31182" s="9"/>
    </row>
    <row r="31183">
      <c r="C31183" s="9"/>
      <c r="D31183" s="9"/>
    </row>
    <row r="31184">
      <c r="C31184" s="9"/>
      <c r="D31184" s="9"/>
    </row>
    <row r="31185">
      <c r="C31185" s="9"/>
      <c r="D31185" s="9"/>
    </row>
    <row r="31186">
      <c r="C31186" s="9"/>
      <c r="D31186" s="9"/>
    </row>
    <row r="31187">
      <c r="C31187" s="9"/>
      <c r="D31187" s="9"/>
    </row>
    <row r="31188">
      <c r="C31188" s="9"/>
      <c r="D31188" s="9"/>
    </row>
    <row r="31189">
      <c r="C31189" s="9"/>
      <c r="D31189" s="9"/>
    </row>
    <row r="31190">
      <c r="C31190" s="9"/>
      <c r="D31190" s="9"/>
    </row>
    <row r="31191">
      <c r="C31191" s="9"/>
      <c r="D31191" s="9"/>
    </row>
    <row r="31192">
      <c r="C31192" s="9"/>
      <c r="D31192" s="9"/>
    </row>
    <row r="31193">
      <c r="C31193" s="9"/>
      <c r="D31193" s="9"/>
    </row>
    <row r="31194">
      <c r="C31194" s="9"/>
      <c r="D31194" s="9"/>
    </row>
    <row r="31195">
      <c r="C31195" s="9"/>
      <c r="D31195" s="9"/>
    </row>
    <row r="31196">
      <c r="C31196" s="9"/>
      <c r="D31196" s="9"/>
    </row>
    <row r="31197">
      <c r="C31197" s="9"/>
      <c r="D31197" s="9"/>
    </row>
    <row r="31198">
      <c r="C31198" s="9"/>
      <c r="D31198" s="9"/>
    </row>
    <row r="31199">
      <c r="C31199" s="9"/>
      <c r="D31199" s="9"/>
    </row>
    <row r="31200">
      <c r="C31200" s="9"/>
      <c r="D31200" s="9"/>
    </row>
    <row r="31201">
      <c r="C31201" s="9"/>
      <c r="D31201" s="9"/>
    </row>
    <row r="31202">
      <c r="C31202" s="9"/>
      <c r="D31202" s="9"/>
    </row>
    <row r="31203">
      <c r="C31203" s="9"/>
      <c r="D31203" s="9"/>
    </row>
    <row r="31204">
      <c r="C31204" s="9"/>
      <c r="D31204" s="9"/>
    </row>
    <row r="31205">
      <c r="C31205" s="9"/>
      <c r="D31205" s="9"/>
    </row>
    <row r="31206">
      <c r="C31206" s="9"/>
      <c r="D31206" s="9"/>
    </row>
    <row r="31207">
      <c r="C31207" s="9"/>
      <c r="D31207" s="9"/>
    </row>
    <row r="31208">
      <c r="C31208" s="9"/>
      <c r="D31208" s="9"/>
    </row>
    <row r="31209">
      <c r="C31209" s="9"/>
      <c r="D31209" s="9"/>
    </row>
    <row r="31210">
      <c r="C31210" s="9"/>
      <c r="D31210" s="9"/>
    </row>
    <row r="31211">
      <c r="C31211" s="9"/>
      <c r="D31211" s="9"/>
    </row>
    <row r="31212">
      <c r="C31212" s="9"/>
      <c r="D31212" s="9"/>
    </row>
    <row r="31213">
      <c r="C31213" s="9"/>
      <c r="D31213" s="9"/>
    </row>
    <row r="31214">
      <c r="C31214" s="9"/>
      <c r="D31214" s="9"/>
    </row>
    <row r="31215">
      <c r="C31215" s="9"/>
      <c r="D31215" s="9"/>
    </row>
    <row r="31216">
      <c r="C31216" s="9"/>
      <c r="D31216" s="9"/>
    </row>
    <row r="31217">
      <c r="C31217" s="9"/>
      <c r="D31217" s="9"/>
    </row>
    <row r="31218">
      <c r="C31218" s="9"/>
      <c r="D31218" s="9"/>
    </row>
    <row r="31219">
      <c r="C31219" s="9"/>
      <c r="D31219" s="9"/>
    </row>
    <row r="31220">
      <c r="C31220" s="9"/>
      <c r="D31220" s="9"/>
    </row>
    <row r="31221">
      <c r="C31221" s="9"/>
      <c r="D31221" s="9"/>
    </row>
    <row r="31222">
      <c r="C31222" s="9"/>
      <c r="D31222" s="9"/>
    </row>
    <row r="31223">
      <c r="C31223" s="9"/>
      <c r="D31223" s="9"/>
    </row>
    <row r="31224">
      <c r="C31224" s="9"/>
      <c r="D31224" s="9"/>
    </row>
    <row r="31225">
      <c r="C31225" s="9"/>
      <c r="D31225" s="9"/>
    </row>
    <row r="31226">
      <c r="C31226" s="9"/>
      <c r="D31226" s="9"/>
    </row>
    <row r="31227">
      <c r="C31227" s="9"/>
      <c r="D31227" s="9"/>
    </row>
    <row r="31228">
      <c r="C31228" s="9"/>
      <c r="D31228" s="9"/>
    </row>
    <row r="31229">
      <c r="C31229" s="9"/>
      <c r="D31229" s="9"/>
    </row>
    <row r="31230">
      <c r="C31230" s="9"/>
      <c r="D31230" s="9"/>
    </row>
    <row r="31231">
      <c r="C31231" s="9"/>
      <c r="D31231" s="9"/>
    </row>
    <row r="31232">
      <c r="C31232" s="9"/>
      <c r="D31232" s="9"/>
    </row>
    <row r="31233">
      <c r="C31233" s="9"/>
      <c r="D31233" s="9"/>
    </row>
    <row r="31234">
      <c r="C31234" s="9"/>
      <c r="D31234" s="9"/>
    </row>
    <row r="31235">
      <c r="C31235" s="9"/>
      <c r="D31235" s="9"/>
    </row>
    <row r="31236">
      <c r="C31236" s="9"/>
      <c r="D31236" s="9"/>
    </row>
    <row r="31237">
      <c r="C31237" s="9"/>
      <c r="D31237" s="9"/>
    </row>
    <row r="31238">
      <c r="C31238" s="9"/>
      <c r="D31238" s="9"/>
    </row>
    <row r="31239">
      <c r="C31239" s="9"/>
      <c r="D31239" s="9"/>
    </row>
    <row r="31240">
      <c r="C31240" s="9"/>
      <c r="D31240" s="9"/>
    </row>
    <row r="31241">
      <c r="C31241" s="9"/>
      <c r="D31241" s="9"/>
    </row>
    <row r="31242">
      <c r="C31242" s="9"/>
      <c r="D31242" s="9"/>
    </row>
    <row r="31243">
      <c r="C31243" s="9"/>
      <c r="D31243" s="9"/>
    </row>
    <row r="31244">
      <c r="C31244" s="9"/>
      <c r="D31244" s="9"/>
    </row>
    <row r="31245">
      <c r="C31245" s="9"/>
      <c r="D31245" s="9"/>
    </row>
    <row r="31246">
      <c r="C31246" s="9"/>
      <c r="D31246" s="9"/>
    </row>
    <row r="31247">
      <c r="C31247" s="9"/>
      <c r="D31247" s="9"/>
    </row>
    <row r="31248">
      <c r="C31248" s="9"/>
      <c r="D31248" s="9"/>
    </row>
    <row r="31249">
      <c r="C31249" s="9"/>
      <c r="D31249" s="9"/>
    </row>
    <row r="31250">
      <c r="C31250" s="9"/>
      <c r="D31250" s="9"/>
    </row>
    <row r="31251">
      <c r="C31251" s="9"/>
      <c r="D31251" s="9"/>
    </row>
    <row r="31252">
      <c r="C31252" s="9"/>
      <c r="D31252" s="9"/>
    </row>
    <row r="31253">
      <c r="C31253" s="9"/>
      <c r="D31253" s="9"/>
    </row>
    <row r="31254">
      <c r="C31254" s="9"/>
      <c r="D31254" s="9"/>
    </row>
    <row r="31255">
      <c r="C31255" s="9"/>
      <c r="D31255" s="9"/>
    </row>
    <row r="31256">
      <c r="C31256" s="9"/>
      <c r="D31256" s="9"/>
    </row>
    <row r="31257">
      <c r="C31257" s="9"/>
      <c r="D31257" s="9"/>
    </row>
    <row r="31258">
      <c r="C31258" s="9"/>
      <c r="D31258" s="9"/>
    </row>
    <row r="31259">
      <c r="C31259" s="9"/>
      <c r="D31259" s="9"/>
    </row>
    <row r="31260">
      <c r="C31260" s="9"/>
      <c r="D31260" s="9"/>
    </row>
    <row r="31261">
      <c r="C31261" s="9"/>
      <c r="D31261" s="9"/>
    </row>
    <row r="31262">
      <c r="C31262" s="9"/>
      <c r="D31262" s="9"/>
    </row>
    <row r="31263">
      <c r="C31263" s="9"/>
      <c r="D31263" s="9"/>
    </row>
    <row r="31264">
      <c r="C31264" s="9"/>
      <c r="D31264" s="9"/>
    </row>
    <row r="31265">
      <c r="C31265" s="9"/>
      <c r="D31265" s="9"/>
    </row>
    <row r="31266">
      <c r="C31266" s="9"/>
      <c r="D31266" s="9"/>
    </row>
    <row r="31267">
      <c r="C31267" s="9"/>
      <c r="D31267" s="9"/>
    </row>
    <row r="31268">
      <c r="C31268" s="9"/>
      <c r="D31268" s="9"/>
    </row>
    <row r="31269">
      <c r="C31269" s="9"/>
      <c r="D31269" s="9"/>
    </row>
    <row r="31270">
      <c r="C31270" s="9"/>
      <c r="D31270" s="9"/>
    </row>
    <row r="31271">
      <c r="C31271" s="9"/>
      <c r="D31271" s="9"/>
    </row>
    <row r="31272">
      <c r="C31272" s="9"/>
      <c r="D31272" s="9"/>
    </row>
    <row r="31273">
      <c r="C31273" s="9"/>
      <c r="D31273" s="9"/>
    </row>
    <row r="31274">
      <c r="C31274" s="9"/>
      <c r="D31274" s="9"/>
    </row>
    <row r="31275">
      <c r="C31275" s="9"/>
      <c r="D31275" s="9"/>
    </row>
    <row r="31276">
      <c r="C31276" s="9"/>
      <c r="D31276" s="9"/>
    </row>
    <row r="31277">
      <c r="C31277" s="9"/>
      <c r="D31277" s="9"/>
    </row>
    <row r="31278">
      <c r="C31278" s="9"/>
      <c r="D31278" s="9"/>
    </row>
    <row r="31279">
      <c r="C31279" s="9"/>
      <c r="D31279" s="9"/>
    </row>
    <row r="31280">
      <c r="C31280" s="9"/>
      <c r="D31280" s="9"/>
    </row>
    <row r="31281">
      <c r="C31281" s="9"/>
      <c r="D31281" s="9"/>
    </row>
    <row r="31282">
      <c r="C31282" s="9"/>
      <c r="D31282" s="9"/>
    </row>
    <row r="31283">
      <c r="C31283" s="9"/>
      <c r="D31283" s="9"/>
    </row>
    <row r="31284">
      <c r="C31284" s="9"/>
      <c r="D31284" s="9"/>
    </row>
    <row r="31285">
      <c r="C31285" s="9"/>
      <c r="D31285" s="9"/>
    </row>
    <row r="31286">
      <c r="C31286" s="9"/>
      <c r="D31286" s="9"/>
    </row>
    <row r="31287">
      <c r="C31287" s="9"/>
      <c r="D31287" s="9"/>
    </row>
    <row r="31288">
      <c r="C31288" s="9"/>
      <c r="D31288" s="9"/>
    </row>
    <row r="31289">
      <c r="C31289" s="9"/>
      <c r="D31289" s="9"/>
    </row>
    <row r="31290">
      <c r="C31290" s="9"/>
      <c r="D31290" s="9"/>
    </row>
    <row r="31291">
      <c r="C31291" s="9"/>
      <c r="D31291" s="9"/>
    </row>
    <row r="31292">
      <c r="C31292" s="9"/>
      <c r="D31292" s="9"/>
    </row>
    <row r="31293">
      <c r="C31293" s="9"/>
      <c r="D31293" s="9"/>
    </row>
    <row r="31294">
      <c r="C31294" s="9"/>
      <c r="D31294" s="9"/>
    </row>
    <row r="31295">
      <c r="C31295" s="9"/>
      <c r="D31295" s="9"/>
    </row>
    <row r="31296">
      <c r="C31296" s="9"/>
      <c r="D31296" s="9"/>
    </row>
    <row r="31297">
      <c r="C31297" s="9"/>
      <c r="D31297" s="9"/>
    </row>
    <row r="31298">
      <c r="C31298" s="9"/>
      <c r="D31298" s="9"/>
    </row>
    <row r="31299">
      <c r="C31299" s="9"/>
      <c r="D31299" s="9"/>
    </row>
    <row r="31300">
      <c r="C31300" s="9"/>
      <c r="D31300" s="9"/>
    </row>
    <row r="31301">
      <c r="C31301" s="9"/>
      <c r="D31301" s="9"/>
    </row>
    <row r="31302">
      <c r="C31302" s="9"/>
      <c r="D31302" s="9"/>
    </row>
    <row r="31303">
      <c r="C31303" s="9"/>
      <c r="D31303" s="9"/>
    </row>
    <row r="31304">
      <c r="C31304" s="9"/>
      <c r="D31304" s="9"/>
    </row>
    <row r="31305">
      <c r="C31305" s="9"/>
      <c r="D31305" s="9"/>
    </row>
    <row r="31306">
      <c r="C31306" s="9"/>
      <c r="D31306" s="9"/>
    </row>
    <row r="31307">
      <c r="C31307" s="9"/>
      <c r="D31307" s="9"/>
    </row>
    <row r="31308">
      <c r="C31308" s="9"/>
      <c r="D31308" s="9"/>
    </row>
    <row r="31309">
      <c r="C31309" s="9"/>
      <c r="D31309" s="9"/>
    </row>
    <row r="31310">
      <c r="C31310" s="9"/>
      <c r="D31310" s="9"/>
    </row>
    <row r="31311">
      <c r="C31311" s="9"/>
      <c r="D31311" s="9"/>
    </row>
    <row r="31312">
      <c r="C31312" s="9"/>
      <c r="D31312" s="9"/>
    </row>
    <row r="31313">
      <c r="C31313" s="9"/>
      <c r="D31313" s="9"/>
    </row>
    <row r="31314">
      <c r="C31314" s="9"/>
      <c r="D31314" s="9"/>
    </row>
    <row r="31315">
      <c r="C31315" s="9"/>
      <c r="D31315" s="9"/>
    </row>
    <row r="31316">
      <c r="C31316" s="9"/>
      <c r="D31316" s="9"/>
    </row>
    <row r="31317">
      <c r="C31317" s="9"/>
      <c r="D31317" s="9"/>
    </row>
    <row r="31318">
      <c r="C31318" s="9"/>
      <c r="D31318" s="9"/>
    </row>
    <row r="31319">
      <c r="C31319" s="9"/>
      <c r="D31319" s="9"/>
    </row>
    <row r="31320">
      <c r="C31320" s="9"/>
      <c r="D31320" s="9"/>
    </row>
    <row r="31321">
      <c r="C31321" s="9"/>
      <c r="D31321" s="9"/>
    </row>
    <row r="31322">
      <c r="C31322" s="9"/>
      <c r="D31322" s="9"/>
    </row>
    <row r="31323">
      <c r="C31323" s="9"/>
      <c r="D31323" s="9"/>
    </row>
    <row r="31324">
      <c r="C31324" s="9"/>
      <c r="D31324" s="9"/>
    </row>
    <row r="31325">
      <c r="C31325" s="9"/>
      <c r="D31325" s="9"/>
    </row>
    <row r="31326">
      <c r="C31326" s="9"/>
      <c r="D31326" s="9"/>
    </row>
    <row r="31327">
      <c r="C31327" s="9"/>
      <c r="D31327" s="9"/>
    </row>
    <row r="31328">
      <c r="C31328" s="9"/>
      <c r="D31328" s="9"/>
    </row>
    <row r="31329">
      <c r="C31329" s="9"/>
      <c r="D31329" s="9"/>
    </row>
    <row r="31330">
      <c r="C31330" s="9"/>
      <c r="D31330" s="9"/>
    </row>
    <row r="31331">
      <c r="C31331" s="9"/>
      <c r="D31331" s="9"/>
    </row>
    <row r="31332">
      <c r="C31332" s="9"/>
      <c r="D31332" s="9"/>
    </row>
    <row r="31333">
      <c r="C31333" s="9"/>
      <c r="D31333" s="9"/>
    </row>
    <row r="31334">
      <c r="C31334" s="9"/>
      <c r="D31334" s="9"/>
    </row>
    <row r="31335">
      <c r="C31335" s="9"/>
      <c r="D31335" s="9"/>
    </row>
    <row r="31336">
      <c r="C31336" s="9"/>
      <c r="D31336" s="9"/>
    </row>
    <row r="31337">
      <c r="C31337" s="9"/>
      <c r="D31337" s="9"/>
    </row>
    <row r="31338">
      <c r="C31338" s="9"/>
      <c r="D31338" s="9"/>
    </row>
    <row r="31339">
      <c r="C31339" s="9"/>
      <c r="D31339" s="9"/>
    </row>
    <row r="31340">
      <c r="C31340" s="9"/>
      <c r="D31340" s="9"/>
    </row>
    <row r="31341">
      <c r="C31341" s="9"/>
      <c r="D31341" s="9"/>
    </row>
    <row r="31342">
      <c r="C31342" s="9"/>
      <c r="D31342" s="9"/>
    </row>
    <row r="31343">
      <c r="C31343" s="9"/>
      <c r="D31343" s="9"/>
    </row>
    <row r="31344">
      <c r="C31344" s="9"/>
      <c r="D31344" s="9"/>
    </row>
    <row r="31345">
      <c r="C31345" s="9"/>
      <c r="D31345" s="9"/>
    </row>
    <row r="31346">
      <c r="C31346" s="9"/>
      <c r="D31346" s="9"/>
    </row>
    <row r="31347">
      <c r="C31347" s="9"/>
      <c r="D31347" s="9"/>
    </row>
    <row r="31348">
      <c r="C31348" s="9"/>
      <c r="D31348" s="9"/>
    </row>
    <row r="31349">
      <c r="C31349" s="9"/>
      <c r="D31349" s="9"/>
    </row>
    <row r="31350">
      <c r="C31350" s="9"/>
      <c r="D31350" s="9"/>
    </row>
    <row r="31351">
      <c r="C31351" s="9"/>
      <c r="D31351" s="9"/>
    </row>
    <row r="31352">
      <c r="C31352" s="9"/>
      <c r="D31352" s="9"/>
    </row>
    <row r="31353">
      <c r="C31353" s="9"/>
      <c r="D31353" s="9"/>
    </row>
    <row r="31354">
      <c r="C31354" s="9"/>
      <c r="D31354" s="9"/>
    </row>
    <row r="31355">
      <c r="C31355" s="9"/>
      <c r="D31355" s="9"/>
    </row>
    <row r="31356">
      <c r="C31356" s="9"/>
      <c r="D31356" s="9"/>
    </row>
    <row r="31357">
      <c r="C31357" s="9"/>
      <c r="D31357" s="9"/>
    </row>
    <row r="31358">
      <c r="C31358" s="9"/>
      <c r="D31358" s="9"/>
    </row>
    <row r="31359">
      <c r="C31359" s="9"/>
      <c r="D31359" s="9"/>
    </row>
    <row r="31360">
      <c r="C31360" s="9"/>
      <c r="D31360" s="9"/>
    </row>
    <row r="31361">
      <c r="C31361" s="9"/>
      <c r="D31361" s="9"/>
    </row>
    <row r="31362">
      <c r="C31362" s="9"/>
      <c r="D31362" s="9"/>
    </row>
    <row r="31363">
      <c r="C31363" s="9"/>
      <c r="D31363" s="9"/>
    </row>
    <row r="31364">
      <c r="C31364" s="9"/>
      <c r="D31364" s="9"/>
    </row>
    <row r="31365">
      <c r="C31365" s="9"/>
      <c r="D31365" s="9"/>
    </row>
    <row r="31366">
      <c r="C31366" s="9"/>
      <c r="D31366" s="9"/>
    </row>
    <row r="31367">
      <c r="C31367" s="9"/>
      <c r="D31367" s="9"/>
    </row>
    <row r="31368">
      <c r="C31368" s="9"/>
      <c r="D31368" s="9"/>
    </row>
    <row r="31369">
      <c r="C31369" s="9"/>
      <c r="D31369" s="9"/>
    </row>
    <row r="31370">
      <c r="C31370" s="9"/>
      <c r="D31370" s="9"/>
    </row>
    <row r="31371">
      <c r="C31371" s="9"/>
      <c r="D31371" s="9"/>
    </row>
    <row r="31372">
      <c r="C31372" s="9"/>
      <c r="D31372" s="9"/>
    </row>
    <row r="31373">
      <c r="C31373" s="9"/>
      <c r="D31373" s="9"/>
    </row>
    <row r="31374">
      <c r="C31374" s="9"/>
      <c r="D31374" s="9"/>
    </row>
    <row r="31375">
      <c r="C31375" s="9"/>
      <c r="D31375" s="9"/>
    </row>
    <row r="31376">
      <c r="C31376" s="9"/>
      <c r="D31376" s="9"/>
    </row>
    <row r="31377">
      <c r="C31377" s="9"/>
      <c r="D31377" s="9"/>
    </row>
    <row r="31378">
      <c r="C31378" s="9"/>
      <c r="D31378" s="9"/>
    </row>
    <row r="31379">
      <c r="C31379" s="9"/>
      <c r="D31379" s="9"/>
    </row>
    <row r="31380">
      <c r="C31380" s="9"/>
      <c r="D31380" s="9"/>
    </row>
    <row r="31381">
      <c r="C31381" s="9"/>
      <c r="D31381" s="9"/>
    </row>
    <row r="31382">
      <c r="C31382" s="9"/>
      <c r="D31382" s="9"/>
    </row>
    <row r="31383">
      <c r="C31383" s="9"/>
      <c r="D31383" s="9"/>
    </row>
    <row r="31384">
      <c r="C31384" s="9"/>
      <c r="D31384" s="9"/>
    </row>
    <row r="31385">
      <c r="C31385" s="9"/>
      <c r="D31385" s="9"/>
    </row>
    <row r="31386">
      <c r="C31386" s="9"/>
      <c r="D31386" s="9"/>
    </row>
    <row r="31387">
      <c r="C31387" s="9"/>
      <c r="D31387" s="9"/>
    </row>
    <row r="31388">
      <c r="C31388" s="9"/>
      <c r="D31388" s="9"/>
    </row>
    <row r="31389">
      <c r="C31389" s="9"/>
      <c r="D31389" s="9"/>
    </row>
    <row r="31390">
      <c r="C31390" s="9"/>
      <c r="D31390" s="9"/>
    </row>
    <row r="31391">
      <c r="C31391" s="9"/>
      <c r="D31391" s="9"/>
    </row>
    <row r="31392">
      <c r="C31392" s="9"/>
      <c r="D31392" s="9"/>
    </row>
    <row r="31393">
      <c r="C31393" s="9"/>
      <c r="D31393" s="9"/>
    </row>
    <row r="31394">
      <c r="C31394" s="9"/>
      <c r="D31394" s="9"/>
    </row>
    <row r="31395">
      <c r="C31395" s="9"/>
      <c r="D31395" s="9"/>
    </row>
    <row r="31396">
      <c r="C31396" s="9"/>
      <c r="D31396" s="9"/>
    </row>
    <row r="31397">
      <c r="C31397" s="9"/>
      <c r="D31397" s="9"/>
    </row>
    <row r="31398">
      <c r="C31398" s="9"/>
      <c r="D31398" s="9"/>
    </row>
    <row r="31399">
      <c r="C31399" s="9"/>
      <c r="D31399" s="9"/>
    </row>
    <row r="31400">
      <c r="C31400" s="9"/>
      <c r="D31400" s="9"/>
    </row>
    <row r="31401">
      <c r="C31401" s="9"/>
      <c r="D31401" s="9"/>
    </row>
    <row r="31402">
      <c r="C31402" s="9"/>
      <c r="D31402" s="9"/>
    </row>
    <row r="31403">
      <c r="C31403" s="9"/>
      <c r="D31403" s="9"/>
    </row>
    <row r="31404">
      <c r="C31404" s="9"/>
      <c r="D31404" s="9"/>
    </row>
    <row r="31405">
      <c r="C31405" s="9"/>
      <c r="D31405" s="9"/>
    </row>
    <row r="31406">
      <c r="C31406" s="9"/>
      <c r="D31406" s="9"/>
    </row>
    <row r="31407">
      <c r="C31407" s="9"/>
      <c r="D31407" s="9"/>
    </row>
    <row r="31408">
      <c r="C31408" s="9"/>
      <c r="D31408" s="9"/>
    </row>
    <row r="31409">
      <c r="C31409" s="9"/>
      <c r="D31409" s="9"/>
    </row>
    <row r="31410">
      <c r="C31410" s="9"/>
      <c r="D31410" s="9"/>
    </row>
    <row r="31411">
      <c r="C31411" s="9"/>
      <c r="D31411" s="9"/>
    </row>
    <row r="31412">
      <c r="C31412" s="9"/>
      <c r="D31412" s="9"/>
    </row>
    <row r="31413">
      <c r="C31413" s="9"/>
      <c r="D31413" s="9"/>
    </row>
    <row r="31414">
      <c r="C31414" s="9"/>
      <c r="D31414" s="9"/>
    </row>
    <row r="31415">
      <c r="C31415" s="9"/>
      <c r="D31415" s="9"/>
    </row>
    <row r="31416">
      <c r="C31416" s="9"/>
      <c r="D31416" s="9"/>
    </row>
    <row r="31417">
      <c r="C31417" s="9"/>
      <c r="D31417" s="9"/>
    </row>
    <row r="31418">
      <c r="C31418" s="9"/>
      <c r="D31418" s="9"/>
    </row>
    <row r="31419">
      <c r="C31419" s="9"/>
      <c r="D31419" s="9"/>
    </row>
    <row r="31420">
      <c r="C31420" s="9"/>
      <c r="D31420" s="9"/>
    </row>
    <row r="31421">
      <c r="C31421" s="9"/>
      <c r="D31421" s="9"/>
    </row>
    <row r="31422">
      <c r="C31422" s="9"/>
      <c r="D31422" s="9"/>
    </row>
    <row r="31423">
      <c r="C31423" s="9"/>
      <c r="D31423" s="9"/>
    </row>
    <row r="31424">
      <c r="C31424" s="9"/>
      <c r="D31424" s="9"/>
    </row>
    <row r="31425">
      <c r="C31425" s="9"/>
      <c r="D31425" s="9"/>
    </row>
    <row r="31426">
      <c r="C31426" s="9"/>
      <c r="D31426" s="9"/>
    </row>
    <row r="31427">
      <c r="C31427" s="9"/>
      <c r="D31427" s="9"/>
    </row>
    <row r="31428">
      <c r="C31428" s="9"/>
      <c r="D31428" s="9"/>
    </row>
    <row r="31429">
      <c r="C31429" s="9"/>
      <c r="D31429" s="9"/>
    </row>
    <row r="31430">
      <c r="C31430" s="9"/>
      <c r="D31430" s="9"/>
    </row>
    <row r="31431">
      <c r="C31431" s="9"/>
      <c r="D31431" s="9"/>
    </row>
    <row r="31432">
      <c r="C31432" s="9"/>
      <c r="D31432" s="9"/>
    </row>
    <row r="31433">
      <c r="C31433" s="9"/>
      <c r="D31433" s="9"/>
    </row>
    <row r="31434">
      <c r="C31434" s="9"/>
      <c r="D31434" s="9"/>
    </row>
    <row r="31435">
      <c r="C31435" s="9"/>
      <c r="D31435" s="9"/>
    </row>
    <row r="31436">
      <c r="C31436" s="9"/>
      <c r="D31436" s="9"/>
    </row>
    <row r="31437">
      <c r="C31437" s="9"/>
      <c r="D31437" s="9"/>
    </row>
    <row r="31438">
      <c r="C31438" s="9"/>
      <c r="D31438" s="9"/>
    </row>
    <row r="31439">
      <c r="C31439" s="9"/>
      <c r="D31439" s="9"/>
    </row>
    <row r="31440">
      <c r="C31440" s="9"/>
      <c r="D31440" s="9"/>
    </row>
    <row r="31441">
      <c r="C31441" s="9"/>
      <c r="D31441" s="9"/>
    </row>
    <row r="31442">
      <c r="C31442" s="9"/>
      <c r="D31442" s="9"/>
    </row>
    <row r="31443">
      <c r="C31443" s="9"/>
      <c r="D31443" s="9"/>
    </row>
    <row r="31444">
      <c r="C31444" s="9"/>
      <c r="D31444" s="9"/>
    </row>
    <row r="31445">
      <c r="C31445" s="9"/>
      <c r="D31445" s="9"/>
    </row>
    <row r="31446">
      <c r="C31446" s="9"/>
      <c r="D31446" s="9"/>
    </row>
    <row r="31447">
      <c r="C31447" s="9"/>
      <c r="D31447" s="9"/>
    </row>
    <row r="31448">
      <c r="C31448" s="9"/>
      <c r="D31448" s="9"/>
    </row>
    <row r="31449">
      <c r="C31449" s="9"/>
      <c r="D31449" s="9"/>
    </row>
    <row r="31450">
      <c r="C31450" s="9"/>
      <c r="D31450" s="9"/>
    </row>
    <row r="31451">
      <c r="C31451" s="9"/>
      <c r="D31451" s="9"/>
    </row>
    <row r="31452">
      <c r="C31452" s="9"/>
      <c r="D31452" s="9"/>
    </row>
    <row r="31453">
      <c r="C31453" s="9"/>
      <c r="D31453" s="9"/>
    </row>
    <row r="31454">
      <c r="C31454" s="9"/>
      <c r="D31454" s="9"/>
    </row>
    <row r="31455">
      <c r="C31455" s="9"/>
      <c r="D31455" s="9"/>
    </row>
    <row r="31456">
      <c r="C31456" s="9"/>
      <c r="D31456" s="9"/>
    </row>
    <row r="31457">
      <c r="C31457" s="9"/>
      <c r="D31457" s="9"/>
    </row>
    <row r="31458">
      <c r="C31458" s="9"/>
      <c r="D31458" s="9"/>
    </row>
    <row r="31459">
      <c r="C31459" s="9"/>
      <c r="D31459" s="9"/>
    </row>
    <row r="31460">
      <c r="C31460" s="9"/>
      <c r="D31460" s="9"/>
    </row>
    <row r="31461">
      <c r="C31461" s="9"/>
      <c r="D31461" s="9"/>
    </row>
    <row r="31462">
      <c r="C31462" s="9"/>
      <c r="D31462" s="9"/>
    </row>
    <row r="31463">
      <c r="C31463" s="9"/>
      <c r="D31463" s="9"/>
    </row>
    <row r="31464">
      <c r="C31464" s="9"/>
      <c r="D31464" s="9"/>
    </row>
    <row r="31465">
      <c r="C31465" s="9"/>
      <c r="D31465" s="9"/>
    </row>
    <row r="31466">
      <c r="C31466" s="9"/>
      <c r="D31466" s="9"/>
    </row>
    <row r="31467">
      <c r="C31467" s="9"/>
      <c r="D31467" s="9"/>
    </row>
    <row r="31468">
      <c r="C31468" s="9"/>
      <c r="D31468" s="9"/>
    </row>
    <row r="31469">
      <c r="C31469" s="9"/>
      <c r="D31469" s="9"/>
    </row>
    <row r="31470">
      <c r="C31470" s="9"/>
      <c r="D31470" s="9"/>
    </row>
    <row r="31471">
      <c r="C31471" s="9"/>
      <c r="D31471" s="9"/>
    </row>
    <row r="31472">
      <c r="C31472" s="9"/>
      <c r="D31472" s="9"/>
    </row>
    <row r="31473">
      <c r="C31473" s="9"/>
      <c r="D31473" s="9"/>
    </row>
    <row r="31474">
      <c r="C31474" s="9"/>
      <c r="D31474" s="9"/>
    </row>
    <row r="31475">
      <c r="C31475" s="9"/>
      <c r="D31475" s="9"/>
    </row>
    <row r="31476">
      <c r="C31476" s="9"/>
      <c r="D31476" s="9"/>
    </row>
    <row r="31477">
      <c r="C31477" s="9"/>
      <c r="D31477" s="9"/>
    </row>
    <row r="31478">
      <c r="C31478" s="9"/>
      <c r="D31478" s="9"/>
    </row>
    <row r="31479">
      <c r="C31479" s="9"/>
      <c r="D31479" s="9"/>
    </row>
    <row r="31480">
      <c r="C31480" s="9"/>
      <c r="D31480" s="9"/>
    </row>
    <row r="31481">
      <c r="C31481" s="9"/>
      <c r="D31481" s="9"/>
    </row>
    <row r="31482">
      <c r="C31482" s="9"/>
      <c r="D31482" s="9"/>
    </row>
    <row r="31483">
      <c r="C31483" s="9"/>
      <c r="D31483" s="9"/>
    </row>
    <row r="31484">
      <c r="C31484" s="9"/>
      <c r="D31484" s="9"/>
    </row>
    <row r="31485">
      <c r="C31485" s="9"/>
      <c r="D31485" s="9"/>
    </row>
    <row r="31486">
      <c r="C31486" s="9"/>
      <c r="D31486" s="9"/>
    </row>
    <row r="31487">
      <c r="C31487" s="9"/>
      <c r="D31487" s="9"/>
    </row>
    <row r="31488">
      <c r="C31488" s="9"/>
      <c r="D31488" s="9"/>
    </row>
    <row r="31489">
      <c r="C31489" s="9"/>
      <c r="D31489" s="9"/>
    </row>
    <row r="31490">
      <c r="C31490" s="9"/>
      <c r="D31490" s="9"/>
    </row>
    <row r="31491">
      <c r="C31491" s="9"/>
      <c r="D31491" s="9"/>
    </row>
    <row r="31492">
      <c r="C31492" s="9"/>
      <c r="D31492" s="9"/>
    </row>
    <row r="31493">
      <c r="C31493" s="9"/>
      <c r="D31493" s="9"/>
    </row>
    <row r="31494">
      <c r="C31494" s="9"/>
      <c r="D31494" s="9"/>
    </row>
    <row r="31495">
      <c r="C31495" s="9"/>
      <c r="D31495" s="9"/>
    </row>
    <row r="31496">
      <c r="C31496" s="9"/>
      <c r="D31496" s="9"/>
    </row>
    <row r="31497">
      <c r="C31497" s="9"/>
      <c r="D31497" s="9"/>
    </row>
    <row r="31498">
      <c r="C31498" s="9"/>
      <c r="D31498" s="9"/>
    </row>
    <row r="31499">
      <c r="C31499" s="9"/>
      <c r="D31499" s="9"/>
    </row>
    <row r="31500">
      <c r="C31500" s="9"/>
      <c r="D31500" s="9"/>
    </row>
    <row r="31501">
      <c r="C31501" s="9"/>
      <c r="D31501" s="9"/>
    </row>
    <row r="31502">
      <c r="C31502" s="9"/>
      <c r="D31502" s="9"/>
    </row>
    <row r="31503">
      <c r="C31503" s="9"/>
      <c r="D31503" s="9"/>
    </row>
    <row r="31504">
      <c r="C31504" s="9"/>
      <c r="D31504" s="9"/>
    </row>
    <row r="31505">
      <c r="C31505" s="9"/>
      <c r="D31505" s="9"/>
    </row>
    <row r="31506">
      <c r="C31506" s="9"/>
      <c r="D31506" s="9"/>
    </row>
    <row r="31507">
      <c r="C31507" s="9"/>
      <c r="D31507" s="9"/>
    </row>
    <row r="31508">
      <c r="C31508" s="9"/>
      <c r="D31508" s="9"/>
    </row>
    <row r="31509">
      <c r="C31509" s="9"/>
      <c r="D31509" s="9"/>
    </row>
    <row r="31510">
      <c r="C31510" s="9"/>
      <c r="D31510" s="9"/>
    </row>
    <row r="31511">
      <c r="C31511" s="9"/>
      <c r="D31511" s="9"/>
    </row>
    <row r="31512">
      <c r="C31512" s="9"/>
      <c r="D31512" s="9"/>
    </row>
    <row r="31513">
      <c r="C31513" s="9"/>
      <c r="D31513" s="9"/>
    </row>
    <row r="31514">
      <c r="C31514" s="9"/>
      <c r="D31514" s="9"/>
    </row>
    <row r="31515">
      <c r="C31515" s="9"/>
      <c r="D31515" s="9"/>
    </row>
    <row r="31516">
      <c r="C31516" s="9"/>
      <c r="D31516" s="9"/>
    </row>
    <row r="31517">
      <c r="C31517" s="9"/>
      <c r="D31517" s="9"/>
    </row>
    <row r="31518">
      <c r="C31518" s="9"/>
      <c r="D31518" s="9"/>
    </row>
    <row r="31519">
      <c r="C31519" s="9"/>
      <c r="D31519" s="9"/>
    </row>
    <row r="31520">
      <c r="C31520" s="9"/>
      <c r="D31520" s="9"/>
    </row>
    <row r="31521">
      <c r="C31521" s="9"/>
      <c r="D31521" s="9"/>
    </row>
    <row r="31522">
      <c r="C31522" s="9"/>
      <c r="D31522" s="9"/>
    </row>
    <row r="31523">
      <c r="C31523" s="9"/>
      <c r="D31523" s="9"/>
    </row>
    <row r="31524">
      <c r="C31524" s="9"/>
      <c r="D31524" s="9"/>
    </row>
    <row r="31525">
      <c r="C31525" s="9"/>
      <c r="D31525" s="9"/>
    </row>
    <row r="31526">
      <c r="C31526" s="9"/>
      <c r="D31526" s="9"/>
    </row>
    <row r="31527">
      <c r="C31527" s="9"/>
      <c r="D31527" s="9"/>
    </row>
    <row r="31528">
      <c r="C31528" s="9"/>
      <c r="D31528" s="9"/>
    </row>
    <row r="31529">
      <c r="C31529" s="9"/>
      <c r="D31529" s="9"/>
    </row>
    <row r="31530">
      <c r="C31530" s="9"/>
      <c r="D31530" s="9"/>
    </row>
    <row r="31531">
      <c r="C31531" s="9"/>
      <c r="D31531" s="9"/>
    </row>
    <row r="31532">
      <c r="C31532" s="9"/>
      <c r="D31532" s="9"/>
    </row>
    <row r="31533">
      <c r="C31533" s="9"/>
      <c r="D31533" s="9"/>
    </row>
    <row r="31534">
      <c r="C31534" s="9"/>
      <c r="D31534" s="9"/>
    </row>
    <row r="31535">
      <c r="C31535" s="9"/>
      <c r="D31535" s="9"/>
    </row>
    <row r="31536">
      <c r="C31536" s="9"/>
      <c r="D31536" s="9"/>
    </row>
    <row r="31537">
      <c r="C31537" s="9"/>
      <c r="D31537" s="9"/>
    </row>
    <row r="31538">
      <c r="C31538" s="9"/>
      <c r="D31538" s="9"/>
    </row>
    <row r="31539">
      <c r="C31539" s="9"/>
      <c r="D31539" s="9"/>
    </row>
    <row r="31540">
      <c r="C31540" s="9"/>
      <c r="D31540" s="9"/>
    </row>
    <row r="31541">
      <c r="C31541" s="9"/>
      <c r="D31541" s="9"/>
    </row>
    <row r="31542">
      <c r="C31542" s="9"/>
      <c r="D31542" s="9"/>
    </row>
    <row r="31543">
      <c r="C31543" s="9"/>
      <c r="D31543" s="9"/>
    </row>
    <row r="31544">
      <c r="C31544" s="9"/>
      <c r="D31544" s="9"/>
    </row>
    <row r="31545">
      <c r="C31545" s="9"/>
      <c r="D31545" s="9"/>
    </row>
    <row r="31546">
      <c r="C31546" s="9"/>
      <c r="D31546" s="9"/>
    </row>
    <row r="31547">
      <c r="C31547" s="9"/>
      <c r="D31547" s="9"/>
    </row>
    <row r="31548">
      <c r="C31548" s="9"/>
      <c r="D31548" s="9"/>
    </row>
    <row r="31549">
      <c r="C31549" s="9"/>
      <c r="D31549" s="9"/>
    </row>
    <row r="31550">
      <c r="C31550" s="9"/>
      <c r="D31550" s="9"/>
    </row>
    <row r="31551">
      <c r="C31551" s="9"/>
      <c r="D31551" s="9"/>
    </row>
    <row r="31552">
      <c r="C31552" s="9"/>
      <c r="D31552" s="9"/>
    </row>
    <row r="31553">
      <c r="C31553" s="9"/>
      <c r="D31553" s="9"/>
    </row>
    <row r="31554">
      <c r="C31554" s="9"/>
      <c r="D31554" s="9"/>
    </row>
    <row r="31555">
      <c r="C31555" s="9"/>
      <c r="D31555" s="9"/>
    </row>
    <row r="31556">
      <c r="C31556" s="9"/>
      <c r="D31556" s="9"/>
    </row>
    <row r="31557">
      <c r="C31557" s="9"/>
      <c r="D31557" s="9"/>
    </row>
    <row r="31558">
      <c r="C31558" s="9"/>
      <c r="D31558" s="9"/>
    </row>
    <row r="31559">
      <c r="C31559" s="9"/>
      <c r="D31559" s="9"/>
    </row>
    <row r="31560">
      <c r="C31560" s="9"/>
      <c r="D31560" s="9"/>
    </row>
    <row r="31561">
      <c r="C31561" s="9"/>
      <c r="D31561" s="9"/>
    </row>
    <row r="31562">
      <c r="C31562" s="9"/>
      <c r="D31562" s="9"/>
    </row>
    <row r="31563">
      <c r="C31563" s="9"/>
      <c r="D31563" s="9"/>
    </row>
    <row r="31564">
      <c r="C31564" s="9"/>
      <c r="D31564" s="9"/>
    </row>
    <row r="31565">
      <c r="C31565" s="9"/>
      <c r="D31565" s="9"/>
    </row>
    <row r="31566">
      <c r="C31566" s="9"/>
      <c r="D31566" s="9"/>
    </row>
    <row r="31567">
      <c r="C31567" s="9"/>
      <c r="D31567" s="9"/>
    </row>
    <row r="31568">
      <c r="C31568" s="9"/>
      <c r="D31568" s="9"/>
    </row>
    <row r="31569">
      <c r="C31569" s="9"/>
      <c r="D31569" s="9"/>
    </row>
    <row r="31570">
      <c r="C31570" s="9"/>
      <c r="D31570" s="9"/>
    </row>
    <row r="31571">
      <c r="C31571" s="9"/>
      <c r="D31571" s="9"/>
    </row>
    <row r="31572">
      <c r="C31572" s="9"/>
      <c r="D31572" s="9"/>
    </row>
    <row r="31573">
      <c r="C31573" s="9"/>
      <c r="D31573" s="9"/>
    </row>
    <row r="31574">
      <c r="C31574" s="9"/>
      <c r="D31574" s="9"/>
    </row>
    <row r="31575">
      <c r="C31575" s="9"/>
      <c r="D31575" s="9"/>
    </row>
    <row r="31576">
      <c r="C31576" s="9"/>
      <c r="D31576" s="9"/>
    </row>
    <row r="31577">
      <c r="C31577" s="9"/>
      <c r="D31577" s="9"/>
    </row>
    <row r="31578">
      <c r="C31578" s="9"/>
      <c r="D31578" s="9"/>
    </row>
    <row r="31579">
      <c r="C31579" s="9"/>
      <c r="D31579" s="9"/>
    </row>
    <row r="31580">
      <c r="C31580" s="9"/>
      <c r="D31580" s="9"/>
    </row>
    <row r="31581">
      <c r="C31581" s="9"/>
      <c r="D31581" s="9"/>
    </row>
    <row r="31582">
      <c r="C31582" s="9"/>
      <c r="D31582" s="9"/>
    </row>
    <row r="31583">
      <c r="C31583" s="9"/>
      <c r="D31583" s="9"/>
    </row>
    <row r="31584">
      <c r="C31584" s="9"/>
      <c r="D31584" s="9"/>
    </row>
    <row r="31585">
      <c r="C31585" s="9"/>
      <c r="D31585" s="9"/>
    </row>
    <row r="31586">
      <c r="C31586" s="9"/>
      <c r="D31586" s="9"/>
    </row>
    <row r="31587">
      <c r="C31587" s="9"/>
      <c r="D31587" s="9"/>
    </row>
    <row r="31588">
      <c r="C31588" s="9"/>
      <c r="D31588" s="9"/>
    </row>
    <row r="31589">
      <c r="C31589" s="9"/>
      <c r="D31589" s="9"/>
    </row>
    <row r="31590">
      <c r="C31590" s="9"/>
      <c r="D31590" s="9"/>
    </row>
    <row r="31591">
      <c r="C31591" s="9"/>
      <c r="D31591" s="9"/>
    </row>
    <row r="31592">
      <c r="C31592" s="9"/>
      <c r="D31592" s="9"/>
    </row>
    <row r="31593">
      <c r="C31593" s="9"/>
      <c r="D31593" s="9"/>
    </row>
    <row r="31594">
      <c r="C31594" s="9"/>
      <c r="D31594" s="9"/>
    </row>
    <row r="31595">
      <c r="C31595" s="9"/>
      <c r="D31595" s="9"/>
    </row>
    <row r="31596">
      <c r="C31596" s="9"/>
      <c r="D31596" s="9"/>
    </row>
    <row r="31597">
      <c r="C31597" s="9"/>
      <c r="D31597" s="9"/>
    </row>
    <row r="31598">
      <c r="C31598" s="9"/>
      <c r="D31598" s="9"/>
    </row>
    <row r="31599">
      <c r="C31599" s="9"/>
      <c r="D31599" s="9"/>
    </row>
    <row r="31600">
      <c r="C31600" s="9"/>
      <c r="D31600" s="9"/>
    </row>
    <row r="31601">
      <c r="C31601" s="9"/>
      <c r="D31601" s="9"/>
    </row>
    <row r="31602">
      <c r="C31602" s="9"/>
      <c r="D31602" s="9"/>
    </row>
    <row r="31603">
      <c r="C31603" s="9"/>
      <c r="D31603" s="9"/>
    </row>
    <row r="31604">
      <c r="C31604" s="9"/>
      <c r="D31604" s="9"/>
    </row>
    <row r="31605">
      <c r="C31605" s="9"/>
      <c r="D31605" s="9"/>
    </row>
    <row r="31606">
      <c r="C31606" s="9"/>
      <c r="D31606" s="9"/>
    </row>
    <row r="31607">
      <c r="C31607" s="9"/>
      <c r="D31607" s="9"/>
    </row>
    <row r="31608">
      <c r="C31608" s="9"/>
      <c r="D31608" s="9"/>
    </row>
    <row r="31609">
      <c r="C31609" s="9"/>
      <c r="D31609" s="9"/>
    </row>
    <row r="31610">
      <c r="C31610" s="9"/>
      <c r="D31610" s="9"/>
    </row>
    <row r="31611">
      <c r="C31611" s="9"/>
      <c r="D31611" s="9"/>
    </row>
    <row r="31612">
      <c r="C31612" s="9"/>
      <c r="D31612" s="9"/>
    </row>
    <row r="31613">
      <c r="C31613" s="9"/>
      <c r="D31613" s="9"/>
    </row>
    <row r="31614">
      <c r="C31614" s="9"/>
      <c r="D31614" s="9"/>
    </row>
    <row r="31615">
      <c r="C31615" s="9"/>
      <c r="D31615" s="9"/>
    </row>
    <row r="31616">
      <c r="C31616" s="9"/>
      <c r="D31616" s="9"/>
    </row>
    <row r="31617">
      <c r="C31617" s="9"/>
      <c r="D31617" s="9"/>
    </row>
    <row r="31618">
      <c r="C31618" s="9"/>
      <c r="D31618" s="9"/>
    </row>
    <row r="31619">
      <c r="C31619" s="9"/>
      <c r="D31619" s="9"/>
    </row>
    <row r="31620">
      <c r="C31620" s="9"/>
      <c r="D31620" s="9"/>
    </row>
    <row r="31621">
      <c r="C31621" s="9"/>
      <c r="D31621" s="9"/>
    </row>
    <row r="31622">
      <c r="C31622" s="9"/>
      <c r="D31622" s="9"/>
    </row>
    <row r="31623">
      <c r="C31623" s="9"/>
      <c r="D31623" s="9"/>
    </row>
    <row r="31624">
      <c r="C31624" s="9"/>
      <c r="D31624" s="9"/>
    </row>
    <row r="31625">
      <c r="C31625" s="9"/>
      <c r="D31625" s="9"/>
    </row>
    <row r="31626">
      <c r="C31626" s="9"/>
      <c r="D31626" s="9"/>
    </row>
    <row r="31627">
      <c r="C31627" s="9"/>
      <c r="D31627" s="9"/>
    </row>
    <row r="31628">
      <c r="C31628" s="9"/>
      <c r="D31628" s="9"/>
    </row>
    <row r="31629">
      <c r="C31629" s="9"/>
      <c r="D31629" s="9"/>
    </row>
    <row r="31630">
      <c r="C31630" s="9"/>
      <c r="D31630" s="9"/>
    </row>
    <row r="31631">
      <c r="C31631" s="9"/>
      <c r="D31631" s="9"/>
    </row>
    <row r="31632">
      <c r="C31632" s="9"/>
      <c r="D31632" s="9"/>
    </row>
    <row r="31633">
      <c r="C31633" s="9"/>
      <c r="D31633" s="9"/>
    </row>
    <row r="31634">
      <c r="C31634" s="9"/>
      <c r="D31634" s="9"/>
    </row>
    <row r="31635">
      <c r="C31635" s="9"/>
      <c r="D31635" s="9"/>
    </row>
    <row r="31636">
      <c r="C31636" s="9"/>
      <c r="D31636" s="9"/>
    </row>
    <row r="31637">
      <c r="C31637" s="9"/>
      <c r="D31637" s="9"/>
    </row>
    <row r="31638">
      <c r="C31638" s="9"/>
      <c r="D31638" s="9"/>
    </row>
    <row r="31639">
      <c r="C31639" s="9"/>
      <c r="D31639" s="9"/>
    </row>
    <row r="31640">
      <c r="C31640" s="9"/>
      <c r="D31640" s="9"/>
    </row>
    <row r="31641">
      <c r="C31641" s="9"/>
      <c r="D31641" s="9"/>
    </row>
    <row r="31642">
      <c r="C31642" s="9"/>
      <c r="D31642" s="9"/>
    </row>
    <row r="31643">
      <c r="C31643" s="9"/>
      <c r="D31643" s="9"/>
    </row>
    <row r="31644">
      <c r="C31644" s="9"/>
      <c r="D31644" s="9"/>
    </row>
    <row r="31645">
      <c r="C31645" s="9"/>
      <c r="D31645" s="9"/>
    </row>
    <row r="31646">
      <c r="C31646" s="9"/>
      <c r="D31646" s="9"/>
    </row>
    <row r="31647">
      <c r="C31647" s="9"/>
      <c r="D31647" s="9"/>
    </row>
    <row r="31648">
      <c r="C31648" s="9"/>
      <c r="D31648" s="9"/>
    </row>
    <row r="31649">
      <c r="C31649" s="9"/>
      <c r="D31649" s="9"/>
    </row>
    <row r="31650">
      <c r="C31650" s="9"/>
      <c r="D31650" s="9"/>
    </row>
    <row r="31651">
      <c r="C31651" s="9"/>
      <c r="D31651" s="9"/>
    </row>
    <row r="31652">
      <c r="C31652" s="9"/>
      <c r="D31652" s="9"/>
    </row>
    <row r="31653">
      <c r="C31653" s="9"/>
      <c r="D31653" s="9"/>
    </row>
    <row r="31654">
      <c r="C31654" s="9"/>
      <c r="D31654" s="9"/>
    </row>
    <row r="31655">
      <c r="C31655" s="9"/>
      <c r="D31655" s="9"/>
    </row>
    <row r="31656">
      <c r="C31656" s="9"/>
      <c r="D31656" s="9"/>
    </row>
    <row r="31657">
      <c r="C31657" s="9"/>
      <c r="D31657" s="9"/>
    </row>
    <row r="31658">
      <c r="C31658" s="9"/>
      <c r="D31658" s="9"/>
    </row>
    <row r="31659">
      <c r="C31659" s="9"/>
      <c r="D31659" s="9"/>
    </row>
    <row r="31660">
      <c r="C31660" s="9"/>
      <c r="D31660" s="9"/>
    </row>
    <row r="31661">
      <c r="C31661" s="9"/>
      <c r="D31661" s="9"/>
    </row>
    <row r="31662">
      <c r="C31662" s="9"/>
      <c r="D31662" s="9"/>
    </row>
    <row r="31663">
      <c r="C31663" s="9"/>
      <c r="D31663" s="9"/>
    </row>
    <row r="31664">
      <c r="C31664" s="9"/>
      <c r="D31664" s="9"/>
    </row>
    <row r="31665">
      <c r="C31665" s="9"/>
      <c r="D31665" s="9"/>
    </row>
    <row r="31666">
      <c r="C31666" s="9"/>
      <c r="D31666" s="9"/>
    </row>
    <row r="31667">
      <c r="C31667" s="9"/>
      <c r="D31667" s="9"/>
    </row>
    <row r="31668">
      <c r="C31668" s="9"/>
      <c r="D31668" s="9"/>
    </row>
    <row r="31669">
      <c r="C31669" s="9"/>
      <c r="D31669" s="9"/>
    </row>
    <row r="31670">
      <c r="C31670" s="9"/>
      <c r="D31670" s="9"/>
    </row>
    <row r="31671">
      <c r="C31671" s="9"/>
      <c r="D31671" s="9"/>
    </row>
    <row r="31672">
      <c r="C31672" s="9"/>
      <c r="D31672" s="9"/>
    </row>
    <row r="31673">
      <c r="C31673" s="9"/>
      <c r="D31673" s="9"/>
    </row>
    <row r="31674">
      <c r="C31674" s="9"/>
      <c r="D31674" s="9"/>
    </row>
    <row r="31675">
      <c r="C31675" s="9"/>
      <c r="D31675" s="9"/>
    </row>
    <row r="31676">
      <c r="C31676" s="9"/>
      <c r="D31676" s="9"/>
    </row>
    <row r="31677">
      <c r="C31677" s="9"/>
      <c r="D31677" s="9"/>
    </row>
    <row r="31678">
      <c r="C31678" s="9"/>
      <c r="D31678" s="9"/>
    </row>
    <row r="31679">
      <c r="C31679" s="9"/>
      <c r="D31679" s="9"/>
    </row>
    <row r="31680">
      <c r="C31680" s="9"/>
      <c r="D31680" s="9"/>
    </row>
    <row r="31681">
      <c r="C31681" s="9"/>
      <c r="D31681" s="9"/>
    </row>
    <row r="31682">
      <c r="C31682" s="9"/>
      <c r="D31682" s="9"/>
    </row>
    <row r="31683">
      <c r="C31683" s="9"/>
      <c r="D31683" s="9"/>
    </row>
    <row r="31684">
      <c r="C31684" s="9"/>
      <c r="D31684" s="9"/>
    </row>
    <row r="31685">
      <c r="C31685" s="9"/>
      <c r="D31685" s="9"/>
    </row>
    <row r="31686">
      <c r="C31686" s="9"/>
      <c r="D31686" s="9"/>
    </row>
    <row r="31687">
      <c r="C31687" s="9"/>
      <c r="D31687" s="9"/>
    </row>
    <row r="31688">
      <c r="C31688" s="9"/>
      <c r="D31688" s="9"/>
    </row>
    <row r="31689">
      <c r="C31689" s="9"/>
      <c r="D31689" s="9"/>
    </row>
    <row r="31690">
      <c r="C31690" s="9"/>
      <c r="D31690" s="9"/>
    </row>
    <row r="31691">
      <c r="C31691" s="9"/>
      <c r="D31691" s="9"/>
    </row>
    <row r="31692">
      <c r="C31692" s="9"/>
      <c r="D31692" s="9"/>
    </row>
    <row r="31693">
      <c r="C31693" s="9"/>
      <c r="D31693" s="9"/>
    </row>
    <row r="31694">
      <c r="C31694" s="9"/>
      <c r="D31694" s="9"/>
    </row>
    <row r="31695">
      <c r="C31695" s="9"/>
      <c r="D31695" s="9"/>
    </row>
    <row r="31696">
      <c r="C31696" s="9"/>
      <c r="D31696" s="9"/>
    </row>
    <row r="31697">
      <c r="C31697" s="9"/>
      <c r="D31697" s="9"/>
    </row>
    <row r="31698">
      <c r="C31698" s="9"/>
      <c r="D31698" s="9"/>
    </row>
    <row r="31699">
      <c r="C31699" s="9"/>
      <c r="D31699" s="9"/>
    </row>
    <row r="31700">
      <c r="C31700" s="9"/>
      <c r="D31700" s="9"/>
    </row>
    <row r="31701">
      <c r="C31701" s="9"/>
      <c r="D31701" s="9"/>
    </row>
    <row r="31702">
      <c r="C31702" s="9"/>
      <c r="D31702" s="9"/>
    </row>
    <row r="31703">
      <c r="C31703" s="9"/>
      <c r="D31703" s="9"/>
    </row>
    <row r="31704">
      <c r="C31704" s="9"/>
      <c r="D31704" s="9"/>
    </row>
    <row r="31705">
      <c r="C31705" s="9"/>
      <c r="D31705" s="9"/>
    </row>
    <row r="31706">
      <c r="C31706" s="9"/>
      <c r="D31706" s="9"/>
    </row>
    <row r="31707">
      <c r="C31707" s="9"/>
      <c r="D31707" s="9"/>
    </row>
    <row r="31708">
      <c r="C31708" s="9"/>
      <c r="D31708" s="9"/>
    </row>
    <row r="31709">
      <c r="C31709" s="9"/>
      <c r="D31709" s="9"/>
    </row>
    <row r="31710">
      <c r="C31710" s="9"/>
      <c r="D31710" s="9"/>
    </row>
    <row r="31711">
      <c r="C31711" s="9"/>
      <c r="D31711" s="9"/>
    </row>
    <row r="31712">
      <c r="C31712" s="9"/>
      <c r="D31712" s="9"/>
    </row>
    <row r="31713">
      <c r="C31713" s="9"/>
      <c r="D31713" s="9"/>
    </row>
    <row r="31714">
      <c r="C31714" s="9"/>
      <c r="D31714" s="9"/>
    </row>
    <row r="31715">
      <c r="C31715" s="9"/>
      <c r="D31715" s="9"/>
    </row>
    <row r="31716">
      <c r="C31716" s="9"/>
      <c r="D31716" s="9"/>
    </row>
    <row r="31717">
      <c r="C31717" s="9"/>
      <c r="D31717" s="9"/>
    </row>
    <row r="31718">
      <c r="C31718" s="9"/>
      <c r="D31718" s="9"/>
    </row>
    <row r="31719">
      <c r="C31719" s="9"/>
      <c r="D31719" s="9"/>
    </row>
    <row r="31720">
      <c r="C31720" s="9"/>
      <c r="D31720" s="9"/>
    </row>
    <row r="31721">
      <c r="C31721" s="9"/>
      <c r="D31721" s="9"/>
    </row>
    <row r="31722">
      <c r="C31722" s="9"/>
      <c r="D31722" s="9"/>
    </row>
    <row r="31723">
      <c r="C31723" s="9"/>
      <c r="D31723" s="9"/>
    </row>
    <row r="31724">
      <c r="C31724" s="9"/>
      <c r="D31724" s="9"/>
    </row>
    <row r="31725">
      <c r="C31725" s="9"/>
      <c r="D31725" s="9"/>
    </row>
    <row r="31726">
      <c r="C31726" s="9"/>
      <c r="D31726" s="9"/>
    </row>
    <row r="31727">
      <c r="C31727" s="9"/>
      <c r="D31727" s="9"/>
    </row>
    <row r="31728">
      <c r="C31728" s="9"/>
      <c r="D31728" s="9"/>
    </row>
    <row r="31729">
      <c r="C31729" s="9"/>
      <c r="D31729" s="9"/>
    </row>
    <row r="31730">
      <c r="C31730" s="9"/>
      <c r="D31730" s="9"/>
    </row>
    <row r="31731">
      <c r="C31731" s="9"/>
      <c r="D31731" s="9"/>
    </row>
    <row r="31732">
      <c r="C31732" s="9"/>
      <c r="D31732" s="9"/>
    </row>
    <row r="31733">
      <c r="C31733" s="9"/>
      <c r="D31733" s="9"/>
    </row>
    <row r="31734">
      <c r="C31734" s="9"/>
      <c r="D31734" s="9"/>
    </row>
    <row r="31735">
      <c r="C31735" s="9"/>
      <c r="D31735" s="9"/>
    </row>
    <row r="31736">
      <c r="C31736" s="9"/>
      <c r="D31736" s="9"/>
    </row>
    <row r="31737">
      <c r="C31737" s="9"/>
      <c r="D31737" s="9"/>
    </row>
    <row r="31738">
      <c r="C31738" s="9"/>
      <c r="D31738" s="9"/>
    </row>
    <row r="31739">
      <c r="C31739" s="9"/>
      <c r="D31739" s="9"/>
    </row>
    <row r="31740">
      <c r="C31740" s="9"/>
      <c r="D31740" s="9"/>
    </row>
    <row r="31741">
      <c r="C31741" s="9"/>
      <c r="D31741" s="9"/>
    </row>
    <row r="31742">
      <c r="C31742" s="9"/>
      <c r="D31742" s="9"/>
    </row>
    <row r="31743">
      <c r="C31743" s="9"/>
      <c r="D31743" s="9"/>
    </row>
    <row r="31744">
      <c r="C31744" s="9"/>
      <c r="D31744" s="9"/>
    </row>
    <row r="31745">
      <c r="C31745" s="9"/>
      <c r="D31745" s="9"/>
    </row>
    <row r="31746">
      <c r="C31746" s="9"/>
      <c r="D31746" s="9"/>
    </row>
    <row r="31747">
      <c r="C31747" s="9"/>
      <c r="D31747" s="9"/>
    </row>
    <row r="31748">
      <c r="C31748" s="9"/>
      <c r="D31748" s="9"/>
    </row>
    <row r="31749">
      <c r="C31749" s="9"/>
      <c r="D31749" s="9"/>
    </row>
    <row r="31750">
      <c r="C31750" s="9"/>
      <c r="D31750" s="9"/>
    </row>
    <row r="31751">
      <c r="C31751" s="9"/>
      <c r="D31751" s="9"/>
    </row>
    <row r="31752">
      <c r="C31752" s="9"/>
      <c r="D31752" s="9"/>
    </row>
    <row r="31753">
      <c r="C31753" s="9"/>
      <c r="D31753" s="9"/>
    </row>
    <row r="31754">
      <c r="C31754" s="9"/>
      <c r="D31754" s="9"/>
    </row>
    <row r="31755">
      <c r="C31755" s="9"/>
      <c r="D31755" s="9"/>
    </row>
    <row r="31756">
      <c r="C31756" s="9"/>
      <c r="D31756" s="9"/>
    </row>
    <row r="31757">
      <c r="C31757" s="9"/>
      <c r="D31757" s="9"/>
    </row>
    <row r="31758">
      <c r="C31758" s="9"/>
      <c r="D31758" s="9"/>
    </row>
    <row r="31759">
      <c r="C31759" s="9"/>
      <c r="D31759" s="9"/>
    </row>
    <row r="31760">
      <c r="C31760" s="9"/>
      <c r="D31760" s="9"/>
    </row>
    <row r="31761">
      <c r="C31761" s="9"/>
      <c r="D31761" s="9"/>
    </row>
    <row r="31762">
      <c r="C31762" s="9"/>
      <c r="D31762" s="9"/>
    </row>
    <row r="31763">
      <c r="C31763" s="9"/>
      <c r="D31763" s="9"/>
    </row>
    <row r="31764">
      <c r="C31764" s="9"/>
      <c r="D31764" s="9"/>
    </row>
    <row r="31765">
      <c r="C31765" s="9"/>
      <c r="D31765" s="9"/>
    </row>
    <row r="31766">
      <c r="C31766" s="9"/>
      <c r="D31766" s="9"/>
    </row>
    <row r="31767">
      <c r="C31767" s="9"/>
      <c r="D31767" s="9"/>
    </row>
    <row r="31768">
      <c r="C31768" s="9"/>
      <c r="D31768" s="9"/>
    </row>
    <row r="31769">
      <c r="C31769" s="9"/>
      <c r="D31769" s="9"/>
    </row>
    <row r="31770">
      <c r="C31770" s="9"/>
      <c r="D31770" s="9"/>
    </row>
    <row r="31771">
      <c r="C31771" s="9"/>
      <c r="D31771" s="9"/>
    </row>
    <row r="31772">
      <c r="C31772" s="9"/>
      <c r="D31772" s="9"/>
    </row>
    <row r="31773">
      <c r="C31773" s="9"/>
      <c r="D31773" s="9"/>
    </row>
    <row r="31774">
      <c r="C31774" s="9"/>
      <c r="D31774" s="9"/>
    </row>
    <row r="31775">
      <c r="C31775" s="9"/>
      <c r="D31775" s="9"/>
    </row>
    <row r="31776">
      <c r="C31776" s="9"/>
      <c r="D31776" s="9"/>
    </row>
    <row r="31777">
      <c r="C31777" s="9"/>
      <c r="D31777" s="9"/>
    </row>
    <row r="31778">
      <c r="C31778" s="9"/>
      <c r="D31778" s="9"/>
    </row>
    <row r="31779">
      <c r="C31779" s="9"/>
      <c r="D31779" s="9"/>
    </row>
    <row r="31780">
      <c r="C31780" s="9"/>
      <c r="D31780" s="9"/>
    </row>
    <row r="31781">
      <c r="C31781" s="9"/>
      <c r="D31781" s="9"/>
    </row>
    <row r="31782">
      <c r="C31782" s="9"/>
      <c r="D31782" s="9"/>
    </row>
    <row r="31783">
      <c r="C31783" s="9"/>
      <c r="D31783" s="9"/>
    </row>
    <row r="31784">
      <c r="C31784" s="9"/>
      <c r="D31784" s="9"/>
    </row>
    <row r="31785">
      <c r="C31785" s="9"/>
      <c r="D31785" s="9"/>
    </row>
    <row r="31786">
      <c r="C31786" s="9"/>
      <c r="D31786" s="9"/>
    </row>
    <row r="31787">
      <c r="C31787" s="9"/>
      <c r="D31787" s="9"/>
    </row>
    <row r="31788">
      <c r="C31788" s="9"/>
      <c r="D31788" s="9"/>
    </row>
    <row r="31789">
      <c r="C31789" s="9"/>
      <c r="D31789" s="9"/>
    </row>
    <row r="31790">
      <c r="C31790" s="9"/>
      <c r="D31790" s="9"/>
    </row>
    <row r="31791">
      <c r="C31791" s="9"/>
      <c r="D31791" s="9"/>
    </row>
    <row r="31792">
      <c r="C31792" s="9"/>
      <c r="D31792" s="9"/>
    </row>
    <row r="31793">
      <c r="C31793" s="9"/>
      <c r="D31793" s="9"/>
    </row>
    <row r="31794">
      <c r="C31794" s="9"/>
      <c r="D31794" s="9"/>
    </row>
    <row r="31795">
      <c r="C31795" s="9"/>
      <c r="D31795" s="9"/>
    </row>
    <row r="31796">
      <c r="C31796" s="9"/>
      <c r="D31796" s="9"/>
    </row>
    <row r="31797">
      <c r="C31797" s="9"/>
      <c r="D31797" s="9"/>
    </row>
    <row r="31798">
      <c r="C31798" s="9"/>
      <c r="D31798" s="9"/>
    </row>
    <row r="31799">
      <c r="C31799" s="9"/>
      <c r="D31799" s="9"/>
    </row>
    <row r="31800">
      <c r="C31800" s="9"/>
      <c r="D31800" s="9"/>
    </row>
    <row r="31801">
      <c r="C31801" s="9"/>
      <c r="D31801" s="9"/>
    </row>
    <row r="31802">
      <c r="C31802" s="9"/>
      <c r="D31802" s="9"/>
    </row>
    <row r="31803">
      <c r="C31803" s="9"/>
      <c r="D31803" s="9"/>
    </row>
    <row r="31804">
      <c r="C31804" s="9"/>
      <c r="D31804" s="9"/>
    </row>
    <row r="31805">
      <c r="C31805" s="9"/>
      <c r="D31805" s="9"/>
    </row>
    <row r="31806">
      <c r="C31806" s="9"/>
      <c r="D31806" s="9"/>
    </row>
    <row r="31807">
      <c r="C31807" s="9"/>
      <c r="D31807" s="9"/>
    </row>
    <row r="31808">
      <c r="C31808" s="9"/>
      <c r="D31808" s="9"/>
    </row>
    <row r="31809">
      <c r="C31809" s="9"/>
      <c r="D31809" s="9"/>
    </row>
    <row r="31810">
      <c r="C31810" s="9"/>
      <c r="D31810" s="9"/>
    </row>
    <row r="31811">
      <c r="C31811" s="9"/>
      <c r="D31811" s="9"/>
    </row>
    <row r="31812">
      <c r="C31812" s="9"/>
      <c r="D31812" s="9"/>
    </row>
    <row r="31813">
      <c r="C31813" s="9"/>
      <c r="D31813" s="9"/>
    </row>
    <row r="31814">
      <c r="C31814" s="9"/>
      <c r="D31814" s="9"/>
    </row>
    <row r="31815">
      <c r="C31815" s="9"/>
      <c r="D31815" s="9"/>
    </row>
    <row r="31816">
      <c r="C31816" s="9"/>
      <c r="D31816" s="9"/>
    </row>
    <row r="31817">
      <c r="C31817" s="9"/>
      <c r="D31817" s="9"/>
    </row>
    <row r="31818">
      <c r="C31818" s="9"/>
      <c r="D31818" s="9"/>
    </row>
    <row r="31819">
      <c r="C31819" s="9"/>
      <c r="D31819" s="9"/>
    </row>
    <row r="31820">
      <c r="C31820" s="9"/>
      <c r="D31820" s="9"/>
    </row>
    <row r="31821">
      <c r="C31821" s="9"/>
      <c r="D31821" s="9"/>
    </row>
    <row r="31822">
      <c r="C31822" s="9"/>
      <c r="D31822" s="9"/>
    </row>
    <row r="31823">
      <c r="C31823" s="9"/>
      <c r="D31823" s="9"/>
    </row>
    <row r="31824">
      <c r="C31824" s="9"/>
      <c r="D31824" s="9"/>
    </row>
    <row r="31825">
      <c r="C31825" s="9"/>
      <c r="D31825" s="9"/>
    </row>
    <row r="31826">
      <c r="C31826" s="9"/>
      <c r="D31826" s="9"/>
    </row>
    <row r="31827">
      <c r="C31827" s="9"/>
      <c r="D31827" s="9"/>
    </row>
    <row r="31828">
      <c r="C31828" s="9"/>
      <c r="D31828" s="9"/>
    </row>
    <row r="31829">
      <c r="C31829" s="9"/>
      <c r="D31829" s="9"/>
    </row>
    <row r="31830">
      <c r="C31830" s="9"/>
      <c r="D31830" s="9"/>
    </row>
    <row r="31831">
      <c r="C31831" s="9"/>
      <c r="D31831" s="9"/>
    </row>
    <row r="31832">
      <c r="C31832" s="9"/>
      <c r="D31832" s="9"/>
    </row>
    <row r="31833">
      <c r="C31833" s="9"/>
      <c r="D31833" s="9"/>
    </row>
    <row r="31834">
      <c r="C31834" s="9"/>
      <c r="D31834" s="9"/>
    </row>
    <row r="31835">
      <c r="C31835" s="9"/>
      <c r="D31835" s="9"/>
    </row>
    <row r="31836">
      <c r="C31836" s="9"/>
      <c r="D31836" s="9"/>
    </row>
    <row r="31837">
      <c r="C31837" s="9"/>
      <c r="D31837" s="9"/>
    </row>
    <row r="31838">
      <c r="C31838" s="9"/>
      <c r="D31838" s="9"/>
    </row>
    <row r="31839">
      <c r="C31839" s="9"/>
      <c r="D31839" s="9"/>
    </row>
    <row r="31840">
      <c r="C31840" s="9"/>
      <c r="D31840" s="9"/>
    </row>
    <row r="31841">
      <c r="C31841" s="9"/>
      <c r="D31841" s="9"/>
    </row>
    <row r="31842">
      <c r="C31842" s="9"/>
      <c r="D31842" s="9"/>
    </row>
    <row r="31843">
      <c r="C31843" s="9"/>
      <c r="D31843" s="9"/>
    </row>
    <row r="31844">
      <c r="C31844" s="9"/>
      <c r="D31844" s="9"/>
    </row>
    <row r="31845">
      <c r="C31845" s="9"/>
      <c r="D31845" s="9"/>
    </row>
    <row r="31846">
      <c r="C31846" s="9"/>
      <c r="D31846" s="9"/>
    </row>
    <row r="31847">
      <c r="C31847" s="9"/>
      <c r="D31847" s="9"/>
    </row>
    <row r="31848">
      <c r="C31848" s="9"/>
      <c r="D31848" s="9"/>
    </row>
    <row r="31849">
      <c r="C31849" s="9"/>
      <c r="D31849" s="9"/>
    </row>
    <row r="31850">
      <c r="C31850" s="9"/>
      <c r="D31850" s="9"/>
    </row>
    <row r="31851">
      <c r="C31851" s="9"/>
      <c r="D31851" s="9"/>
    </row>
    <row r="31852">
      <c r="C31852" s="9"/>
      <c r="D31852" s="9"/>
    </row>
    <row r="31853">
      <c r="C31853" s="9"/>
      <c r="D31853" s="9"/>
    </row>
    <row r="31854">
      <c r="C31854" s="9"/>
      <c r="D31854" s="9"/>
    </row>
    <row r="31855">
      <c r="C31855" s="9"/>
      <c r="D31855" s="9"/>
    </row>
    <row r="31856">
      <c r="C31856" s="9"/>
      <c r="D31856" s="9"/>
    </row>
    <row r="31857">
      <c r="C31857" s="9"/>
      <c r="D31857" s="9"/>
    </row>
    <row r="31858">
      <c r="C31858" s="9"/>
      <c r="D31858" s="9"/>
    </row>
    <row r="31859">
      <c r="C31859" s="9"/>
      <c r="D31859" s="9"/>
    </row>
    <row r="31860">
      <c r="C31860" s="9"/>
      <c r="D31860" s="9"/>
    </row>
    <row r="31861">
      <c r="C31861" s="9"/>
      <c r="D31861" s="9"/>
    </row>
    <row r="31862">
      <c r="C31862" s="9"/>
      <c r="D31862" s="9"/>
    </row>
    <row r="31863">
      <c r="C31863" s="9"/>
      <c r="D31863" s="9"/>
    </row>
    <row r="31864">
      <c r="C31864" s="9"/>
      <c r="D31864" s="9"/>
    </row>
    <row r="31865">
      <c r="C31865" s="9"/>
      <c r="D31865" s="9"/>
    </row>
    <row r="31866">
      <c r="C31866" s="9"/>
      <c r="D31866" s="9"/>
    </row>
    <row r="31867">
      <c r="C31867" s="9"/>
      <c r="D31867" s="9"/>
    </row>
    <row r="31868">
      <c r="C31868" s="9"/>
      <c r="D31868" s="9"/>
    </row>
    <row r="31869">
      <c r="C31869" s="9"/>
      <c r="D31869" s="9"/>
    </row>
    <row r="31870">
      <c r="C31870" s="9"/>
      <c r="D31870" s="9"/>
    </row>
    <row r="31871">
      <c r="C31871" s="9"/>
      <c r="D31871" s="9"/>
    </row>
    <row r="31872">
      <c r="C31872" s="9"/>
      <c r="D31872" s="9"/>
    </row>
    <row r="31873">
      <c r="C31873" s="9"/>
      <c r="D31873" s="9"/>
    </row>
    <row r="31874">
      <c r="C31874" s="9"/>
      <c r="D31874" s="9"/>
    </row>
    <row r="31875">
      <c r="C31875" s="9"/>
      <c r="D31875" s="9"/>
    </row>
    <row r="31876">
      <c r="C31876" s="9"/>
      <c r="D31876" s="9"/>
    </row>
    <row r="31877">
      <c r="C31877" s="9"/>
      <c r="D31877" s="9"/>
    </row>
    <row r="31878">
      <c r="C31878" s="9"/>
      <c r="D31878" s="9"/>
    </row>
    <row r="31879">
      <c r="C31879" s="9"/>
      <c r="D31879" s="9"/>
    </row>
    <row r="31880">
      <c r="C31880" s="9"/>
      <c r="D31880" s="9"/>
    </row>
    <row r="31881">
      <c r="C31881" s="9"/>
      <c r="D31881" s="9"/>
    </row>
    <row r="31882">
      <c r="C31882" s="9"/>
      <c r="D31882" s="9"/>
    </row>
    <row r="31883">
      <c r="C31883" s="9"/>
      <c r="D31883" s="9"/>
    </row>
    <row r="31884">
      <c r="C31884" s="9"/>
      <c r="D31884" s="9"/>
    </row>
    <row r="31885">
      <c r="C31885" s="9"/>
      <c r="D31885" s="9"/>
    </row>
    <row r="31886">
      <c r="C31886" s="9"/>
      <c r="D31886" s="9"/>
    </row>
    <row r="31887">
      <c r="C31887" s="9"/>
      <c r="D31887" s="9"/>
    </row>
    <row r="31888">
      <c r="C31888" s="9"/>
      <c r="D31888" s="9"/>
    </row>
    <row r="31889">
      <c r="C31889" s="9"/>
      <c r="D31889" s="9"/>
    </row>
    <row r="31890">
      <c r="C31890" s="9"/>
      <c r="D31890" s="9"/>
    </row>
    <row r="31891">
      <c r="C31891" s="9"/>
      <c r="D31891" s="9"/>
    </row>
    <row r="31892">
      <c r="C31892" s="9"/>
      <c r="D31892" s="9"/>
    </row>
    <row r="31893">
      <c r="C31893" s="9"/>
      <c r="D31893" s="9"/>
    </row>
    <row r="31894">
      <c r="C31894" s="9"/>
      <c r="D31894" s="9"/>
    </row>
    <row r="31895">
      <c r="C31895" s="9"/>
      <c r="D31895" s="9"/>
    </row>
    <row r="31896">
      <c r="C31896" s="9"/>
      <c r="D31896" s="9"/>
    </row>
    <row r="31897">
      <c r="C31897" s="9"/>
      <c r="D31897" s="9"/>
    </row>
    <row r="31898">
      <c r="C31898" s="9"/>
      <c r="D31898" s="9"/>
    </row>
    <row r="31899">
      <c r="C31899" s="9"/>
      <c r="D31899" s="9"/>
    </row>
    <row r="31900">
      <c r="C31900" s="9"/>
      <c r="D31900" s="9"/>
    </row>
    <row r="31901">
      <c r="C31901" s="9"/>
      <c r="D31901" s="9"/>
    </row>
    <row r="31902">
      <c r="C31902" s="9"/>
      <c r="D31902" s="9"/>
    </row>
    <row r="31903">
      <c r="C31903" s="9"/>
      <c r="D31903" s="9"/>
    </row>
    <row r="31904">
      <c r="C31904" s="9"/>
      <c r="D31904" s="9"/>
    </row>
    <row r="31905">
      <c r="C31905" s="9"/>
      <c r="D31905" s="9"/>
    </row>
    <row r="31906">
      <c r="C31906" s="9"/>
      <c r="D31906" s="9"/>
    </row>
    <row r="31907">
      <c r="C31907" s="9"/>
      <c r="D31907" s="9"/>
    </row>
    <row r="31908">
      <c r="C31908" s="9"/>
      <c r="D31908" s="9"/>
    </row>
    <row r="31909">
      <c r="C31909" s="9"/>
      <c r="D31909" s="9"/>
    </row>
    <row r="31910">
      <c r="C31910" s="9"/>
      <c r="D31910" s="9"/>
    </row>
    <row r="31911">
      <c r="C31911" s="9"/>
      <c r="D31911" s="9"/>
    </row>
    <row r="31912">
      <c r="C31912" s="9"/>
      <c r="D31912" s="9"/>
    </row>
    <row r="31913">
      <c r="C31913" s="9"/>
      <c r="D31913" s="9"/>
    </row>
    <row r="31914">
      <c r="C31914" s="9"/>
      <c r="D31914" s="9"/>
    </row>
    <row r="31915">
      <c r="C31915" s="9"/>
      <c r="D31915" s="9"/>
    </row>
    <row r="31916">
      <c r="C31916" s="9"/>
      <c r="D31916" s="9"/>
    </row>
    <row r="31917">
      <c r="C31917" s="9"/>
      <c r="D31917" s="9"/>
    </row>
    <row r="31918">
      <c r="C31918" s="9"/>
      <c r="D31918" s="9"/>
    </row>
    <row r="31919">
      <c r="C31919" s="9"/>
      <c r="D31919" s="9"/>
    </row>
    <row r="31920">
      <c r="C31920" s="9"/>
      <c r="D31920" s="9"/>
    </row>
    <row r="31921">
      <c r="C31921" s="9"/>
      <c r="D31921" s="9"/>
    </row>
    <row r="31922">
      <c r="C31922" s="9"/>
      <c r="D31922" s="9"/>
    </row>
    <row r="31923">
      <c r="C31923" s="9"/>
      <c r="D31923" s="9"/>
    </row>
    <row r="31924">
      <c r="C31924" s="9"/>
      <c r="D31924" s="9"/>
    </row>
    <row r="31925">
      <c r="C31925" s="9"/>
      <c r="D31925" s="9"/>
    </row>
    <row r="31926">
      <c r="C31926" s="9"/>
      <c r="D31926" s="9"/>
    </row>
    <row r="31927">
      <c r="C31927" s="9"/>
      <c r="D31927" s="9"/>
    </row>
    <row r="31928">
      <c r="C31928" s="9"/>
      <c r="D31928" s="9"/>
    </row>
    <row r="31929">
      <c r="C31929" s="9"/>
      <c r="D31929" s="9"/>
    </row>
    <row r="31930">
      <c r="C31930" s="9"/>
      <c r="D31930" s="9"/>
    </row>
    <row r="31931">
      <c r="C31931" s="9"/>
      <c r="D31931" s="9"/>
    </row>
    <row r="31932">
      <c r="C31932" s="9"/>
      <c r="D31932" s="9"/>
    </row>
    <row r="31933">
      <c r="C31933" s="9"/>
      <c r="D31933" s="9"/>
    </row>
    <row r="31934">
      <c r="C31934" s="9"/>
      <c r="D31934" s="9"/>
    </row>
    <row r="31935">
      <c r="C31935" s="9"/>
      <c r="D31935" s="9"/>
    </row>
    <row r="31936">
      <c r="C31936" s="9"/>
      <c r="D31936" s="9"/>
    </row>
    <row r="31937">
      <c r="C31937" s="9"/>
      <c r="D31937" s="9"/>
    </row>
    <row r="31938">
      <c r="C31938" s="9"/>
      <c r="D31938" s="9"/>
    </row>
    <row r="31939">
      <c r="C31939" s="9"/>
      <c r="D31939" s="9"/>
    </row>
    <row r="31940">
      <c r="C31940" s="9"/>
      <c r="D31940" s="9"/>
    </row>
    <row r="31941">
      <c r="C31941" s="9"/>
      <c r="D31941" s="9"/>
    </row>
    <row r="31942">
      <c r="C31942" s="9"/>
      <c r="D31942" s="9"/>
    </row>
    <row r="31943">
      <c r="C31943" s="9"/>
      <c r="D31943" s="9"/>
    </row>
    <row r="31944">
      <c r="C31944" s="9"/>
      <c r="D31944" s="9"/>
    </row>
    <row r="31945">
      <c r="C31945" s="9"/>
      <c r="D31945" s="9"/>
    </row>
    <row r="31946">
      <c r="C31946" s="9"/>
      <c r="D31946" s="9"/>
    </row>
    <row r="31947">
      <c r="C31947" s="9"/>
      <c r="D31947" s="9"/>
    </row>
    <row r="31948">
      <c r="C31948" s="9"/>
      <c r="D31948" s="9"/>
    </row>
    <row r="31949">
      <c r="C31949" s="9"/>
      <c r="D31949" s="9"/>
    </row>
    <row r="31950">
      <c r="C31950" s="9"/>
      <c r="D31950" s="9"/>
    </row>
    <row r="31951">
      <c r="C31951" s="9"/>
      <c r="D31951" s="9"/>
    </row>
    <row r="31952">
      <c r="C31952" s="9"/>
      <c r="D31952" s="9"/>
    </row>
    <row r="31953">
      <c r="C31953" s="9"/>
      <c r="D31953" s="9"/>
    </row>
    <row r="31954">
      <c r="C31954" s="9"/>
      <c r="D31954" s="9"/>
    </row>
    <row r="31955">
      <c r="C31955" s="9"/>
      <c r="D31955" s="9"/>
    </row>
    <row r="31956">
      <c r="C31956" s="9"/>
      <c r="D31956" s="9"/>
    </row>
    <row r="31957">
      <c r="C31957" s="9"/>
      <c r="D31957" s="9"/>
    </row>
    <row r="31958">
      <c r="C31958" s="9"/>
      <c r="D31958" s="9"/>
    </row>
    <row r="31959">
      <c r="C31959" s="9"/>
      <c r="D31959" s="9"/>
    </row>
    <row r="31960">
      <c r="C31960" s="9"/>
      <c r="D31960" s="9"/>
    </row>
    <row r="31961">
      <c r="C31961" s="9"/>
      <c r="D31961" s="9"/>
    </row>
    <row r="31962">
      <c r="C31962" s="9"/>
      <c r="D31962" s="9"/>
    </row>
    <row r="31963">
      <c r="C31963" s="9"/>
      <c r="D31963" s="9"/>
    </row>
    <row r="31964">
      <c r="C31964" s="9"/>
      <c r="D31964" s="9"/>
    </row>
    <row r="31965">
      <c r="C31965" s="9"/>
      <c r="D31965" s="9"/>
    </row>
    <row r="31966">
      <c r="C31966" s="9"/>
      <c r="D31966" s="9"/>
    </row>
    <row r="31967">
      <c r="C31967" s="9"/>
      <c r="D31967" s="9"/>
    </row>
    <row r="31968">
      <c r="C31968" s="9"/>
      <c r="D31968" s="9"/>
    </row>
    <row r="31969">
      <c r="C31969" s="9"/>
      <c r="D31969" s="9"/>
    </row>
    <row r="31970">
      <c r="C31970" s="9"/>
      <c r="D31970" s="9"/>
    </row>
    <row r="31971">
      <c r="C31971" s="9"/>
      <c r="D31971" s="9"/>
    </row>
    <row r="31972">
      <c r="C31972" s="9"/>
      <c r="D31972" s="9"/>
    </row>
    <row r="31973">
      <c r="C31973" s="9"/>
      <c r="D31973" s="9"/>
    </row>
    <row r="31974">
      <c r="C31974" s="9"/>
      <c r="D31974" s="9"/>
    </row>
    <row r="31975">
      <c r="C31975" s="9"/>
      <c r="D31975" s="9"/>
    </row>
    <row r="31976">
      <c r="C31976" s="9"/>
      <c r="D31976" s="9"/>
    </row>
    <row r="31977">
      <c r="C31977" s="9"/>
      <c r="D31977" s="9"/>
    </row>
    <row r="31978">
      <c r="C31978" s="9"/>
      <c r="D31978" s="9"/>
    </row>
    <row r="31979">
      <c r="C31979" s="9"/>
      <c r="D31979" s="9"/>
    </row>
    <row r="31980">
      <c r="C31980" s="9"/>
      <c r="D31980" s="9"/>
    </row>
    <row r="31981">
      <c r="C31981" s="9"/>
      <c r="D31981" s="9"/>
    </row>
    <row r="31982">
      <c r="C31982" s="9"/>
      <c r="D31982" s="9"/>
    </row>
    <row r="31983">
      <c r="C31983" s="9"/>
      <c r="D31983" s="9"/>
    </row>
    <row r="31984">
      <c r="C31984" s="9"/>
      <c r="D31984" s="9"/>
    </row>
    <row r="31985">
      <c r="C31985" s="9"/>
      <c r="D31985" s="9"/>
    </row>
    <row r="31986">
      <c r="C31986" s="9"/>
      <c r="D31986" s="9"/>
    </row>
    <row r="31987">
      <c r="C31987" s="9"/>
      <c r="D31987" s="9"/>
    </row>
    <row r="31988">
      <c r="C31988" s="9"/>
      <c r="D31988" s="9"/>
    </row>
    <row r="31989">
      <c r="C31989" s="9"/>
      <c r="D31989" s="9"/>
    </row>
    <row r="31990">
      <c r="C31990" s="9"/>
      <c r="D31990" s="9"/>
    </row>
    <row r="31991">
      <c r="C31991" s="9"/>
      <c r="D31991" s="9"/>
    </row>
    <row r="31992">
      <c r="C31992" s="9"/>
      <c r="D31992" s="9"/>
    </row>
    <row r="31993">
      <c r="C31993" s="9"/>
      <c r="D31993" s="9"/>
    </row>
    <row r="31994">
      <c r="C31994" s="9"/>
      <c r="D31994" s="9"/>
    </row>
    <row r="31995">
      <c r="C31995" s="9"/>
      <c r="D31995" s="9"/>
    </row>
    <row r="31996">
      <c r="C31996" s="9"/>
      <c r="D31996" s="9"/>
    </row>
    <row r="31997">
      <c r="C31997" s="9"/>
      <c r="D31997" s="9"/>
    </row>
    <row r="31998">
      <c r="C31998" s="9"/>
      <c r="D31998" s="9"/>
    </row>
    <row r="31999">
      <c r="C31999" s="9"/>
      <c r="D31999" s="9"/>
    </row>
    <row r="32000">
      <c r="C32000" s="9"/>
      <c r="D32000" s="9"/>
    </row>
  </sheetData>
  <autoFilter ref="$A$1:$G$29471"/>
  <dataValidations>
    <dataValidation type="list" allowBlank="1" showErrorMessage="1" sqref="C2:D32000">
      <formula1>"Pending approval,Approved,In progress,Completed,Rejected,Cancelled"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8.5"/>
    <col customWidth="1" min="3" max="3" width="9.63"/>
    <col customWidth="1" min="4" max="4" width="5.0"/>
  </cols>
  <sheetData>
    <row r="1">
      <c r="A1" s="1" t="s">
        <v>1610</v>
      </c>
      <c r="B1" s="1" t="s">
        <v>12</v>
      </c>
      <c r="C1" s="1" t="s">
        <v>1613</v>
      </c>
      <c r="D1" s="1" t="s">
        <v>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9.5"/>
  </cols>
  <sheetData>
    <row r="1">
      <c r="A1" s="1" t="s">
        <v>1813</v>
      </c>
      <c r="B1" s="1" t="s">
        <v>1814</v>
      </c>
    </row>
    <row r="2">
      <c r="A2" s="3" t="s">
        <v>1816</v>
      </c>
      <c r="B2" s="3" t="s">
        <v>17</v>
      </c>
    </row>
    <row r="3">
      <c r="A3" s="3" t="s">
        <v>1819</v>
      </c>
      <c r="B3" s="3" t="b">
        <v>0</v>
      </c>
    </row>
    <row r="4">
      <c r="A4" s="3" t="s">
        <v>1821</v>
      </c>
      <c r="B4" s="3">
        <v>1.0</v>
      </c>
    </row>
    <row r="5">
      <c r="A5" s="5" t="s">
        <v>1825</v>
      </c>
      <c r="B5" s="5" t="s">
        <v>24</v>
      </c>
    </row>
    <row r="6">
      <c r="A6" s="5" t="s">
        <v>1826</v>
      </c>
      <c r="B6" s="5" t="s">
        <v>1827</v>
      </c>
    </row>
    <row r="7">
      <c r="A7" s="5" t="s">
        <v>1829</v>
      </c>
      <c r="B7" s="10" t="s">
        <v>1832</v>
      </c>
    </row>
    <row r="8">
      <c r="A8" s="5" t="s">
        <v>1839</v>
      </c>
      <c r="B8" s="5" t="s">
        <v>1840</v>
      </c>
    </row>
    <row r="9">
      <c r="A9" s="5" t="s">
        <v>1843</v>
      </c>
      <c r="B9" s="5" t="s">
        <v>1844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38"/>
    <col customWidth="1" min="2" max="2" width="11.38"/>
    <col customWidth="1" min="3" max="3" width="12.63"/>
    <col customWidth="1" min="4" max="4" width="55.13"/>
  </cols>
  <sheetData>
    <row r="1">
      <c r="A1" s="2" t="s">
        <v>2007</v>
      </c>
      <c r="B1" s="2" t="s">
        <v>2010</v>
      </c>
      <c r="C1" s="2" t="s">
        <v>2011</v>
      </c>
      <c r="D1" s="2" t="s">
        <v>2014</v>
      </c>
    </row>
    <row r="2">
      <c r="A2" s="4" t="s">
        <v>2017</v>
      </c>
      <c r="B2" s="6">
        <f>IFERROR(__xludf.DUMMYFUNCTION("COUNTA(Employees!A2:A40)-IFERROR(COUNTUNIQUE(FILTER(Employees!A2:A40,Employees!A2:A40&lt;&gt;"""")),0)"),0.0)</f>
        <v>0</v>
      </c>
      <c r="C2" s="6" t="str">
        <f t="shared" ref="C2:C16" si="1">IF(B2=0,"PASS","CHECK")</f>
        <v>PASS</v>
      </c>
      <c r="D2" s="4" t="s">
        <v>2043</v>
      </c>
    </row>
    <row r="3">
      <c r="A3" s="4" t="s">
        <v>2046</v>
      </c>
      <c r="B3" s="6">
        <f>IFERROR(__xludf.DUMMYFUNCTION("COUNTA(Equipment!A2:A40)-IFERROR(COUNTUNIQUE(FILTER(Equipment!A2:A40,Equipment!A2:A40&lt;&gt;"""")),0)"),0.0)</f>
        <v>0</v>
      </c>
      <c r="C3" s="6" t="str">
        <f t="shared" si="1"/>
        <v>PASS</v>
      </c>
      <c r="D3" s="4" t="s">
        <v>2054</v>
      </c>
    </row>
    <row r="4">
      <c r="A4" s="4" t="s">
        <v>2055</v>
      </c>
      <c r="B4" s="6">
        <f>IFERROR(__xludf.DUMMYFUNCTION("COUNTA(Requests!A2:A40)-IFERROR(COUNTUNIQUE(FILTER(Requests!A2:A40,Requests!A2:A40&lt;&gt;"""")),0)"),0.0)</f>
        <v>0</v>
      </c>
      <c r="C4" s="6" t="str">
        <f t="shared" si="1"/>
        <v>PASS</v>
      </c>
      <c r="D4" s="4" t="s">
        <v>2054</v>
      </c>
    </row>
    <row r="5">
      <c r="A5" s="4" t="s">
        <v>2063</v>
      </c>
      <c r="B5" s="6">
        <f>IFERROR(__xludf.DUMMYFUNCTION("COUNTA(RequestHistory!A2:A40)-IFERROR(COUNTUNIQUE(FILTER(RequestHistory!A2:A40,RequestHistory!A2:A40&lt;&gt;"""")),0)"),0.0)</f>
        <v>0</v>
      </c>
      <c r="C5" s="6" t="str">
        <f t="shared" si="1"/>
        <v>PASS</v>
      </c>
      <c r="D5" s="4" t="s">
        <v>2054</v>
      </c>
    </row>
    <row r="6">
      <c r="A6" s="4" t="s">
        <v>2070</v>
      </c>
      <c r="B6" s="6">
        <f t="array" ref="B6">SUM((Requests!A2:A40&lt;&gt;"")*(COUNTIF(Employees!A2:A40,Requests!B2:B40)=0))</f>
        <v>0</v>
      </c>
      <c r="C6" s="6" t="str">
        <f t="shared" si="1"/>
        <v>PASS</v>
      </c>
      <c r="D6" s="4" t="s">
        <v>2144</v>
      </c>
    </row>
    <row r="7">
      <c r="A7" s="4" t="s">
        <v>2146</v>
      </c>
      <c r="B7" s="6">
        <f t="array" ref="B7">SUM((Requests!E2:E40&lt;&gt;"")*(COUNTIF(Employees!A2:A40,Requests!E2:E40)=0))</f>
        <v>0</v>
      </c>
      <c r="C7" s="6" t="str">
        <f t="shared" si="1"/>
        <v>PASS</v>
      </c>
      <c r="D7" s="4" t="s">
        <v>2176</v>
      </c>
    </row>
    <row r="8">
      <c r="A8" s="4" t="s">
        <v>2177</v>
      </c>
      <c r="B8" s="6">
        <f t="array" ref="B8">SUM((RequestHistory!A2:A40&lt;&gt;"")*(COUNTIF(Requests!A2:A40,RequestHistory!B2:B40)=0))</f>
        <v>0</v>
      </c>
      <c r="C8" s="6" t="str">
        <f t="shared" si="1"/>
        <v>PASS</v>
      </c>
      <c r="D8" s="4" t="s">
        <v>2202</v>
      </c>
    </row>
    <row r="9">
      <c r="A9" s="4" t="s">
        <v>2204</v>
      </c>
      <c r="B9" s="6">
        <f t="array" ref="B9">SUM((RequestHistory!A2:A40&lt;&gt;"")*(COUNTIF(Employees!A2:A40,RequestHistory!E2:E40)=0))</f>
        <v>0</v>
      </c>
      <c r="C9" s="6" t="str">
        <f t="shared" si="1"/>
        <v>PASS</v>
      </c>
      <c r="D9" s="4" t="s">
        <v>2233</v>
      </c>
    </row>
    <row r="10">
      <c r="A10" s="4" t="s">
        <v>2235</v>
      </c>
      <c r="B10" s="6">
        <f t="array" ref="B10">SUM((Requests!A2:A40&lt;&gt;"")*(Requests!D2:D40="Completed")*(COUNTIF(Equipment!A2:A40,Requests!F2:F40)=0))</f>
        <v>0</v>
      </c>
      <c r="C10" s="6" t="str">
        <f t="shared" si="1"/>
        <v>PASS</v>
      </c>
      <c r="D10" s="4" t="s">
        <v>2271</v>
      </c>
    </row>
    <row r="11">
      <c r="A11" s="4" t="s">
        <v>2274</v>
      </c>
      <c r="B11" s="6">
        <f t="array" ref="B11">SUM((Equipment!D2:D40="Assigned")*(COUNTIF(Employees!A2:A40,Equipment!E2:E40)=0))</f>
        <v>0</v>
      </c>
      <c r="C11" s="6" t="str">
        <f t="shared" si="1"/>
        <v>PASS</v>
      </c>
      <c r="D11" s="4" t="s">
        <v>2324</v>
      </c>
    </row>
    <row r="12">
      <c r="A12" s="4" t="s">
        <v>2326</v>
      </c>
      <c r="B12" s="6">
        <f t="array" ref="B12">SUM((Equipment!D2:D40="Available")*(LEN(Equipment!E2:E40)&gt;0))</f>
        <v>0</v>
      </c>
      <c r="C12" s="6" t="str">
        <f t="shared" si="1"/>
        <v>PASS</v>
      </c>
      <c r="D12" s="4" t="s">
        <v>2347</v>
      </c>
    </row>
    <row r="13">
      <c r="A13" s="4" t="s">
        <v>2348</v>
      </c>
      <c r="B13" s="6">
        <f>IFERROR(__xludf.DUMMYFUNCTION("SUM(MAP(FILTER(Employees!A2:A40,Employees!A2:A40&lt;&gt;""""),LAMBDA(emp,IF(COUNTIFS(Equipment!B2:B40,""Laptop"",Equipment!D2:D40,""Assigned"",Equipment!E2:E40,emp)&gt;1,1,0))))"),0.0)</f>
        <v>0</v>
      </c>
      <c r="C13" s="6" t="str">
        <f t="shared" si="1"/>
        <v>PASS</v>
      </c>
      <c r="D13" s="4" t="s">
        <v>2358</v>
      </c>
    </row>
    <row r="14">
      <c r="A14" s="4" t="s">
        <v>2360</v>
      </c>
      <c r="B14" s="4">
        <v>0.0</v>
      </c>
      <c r="C14" s="6" t="str">
        <f t="shared" si="1"/>
        <v>PASS</v>
      </c>
      <c r="D14" s="4" t="s">
        <v>2363</v>
      </c>
    </row>
    <row r="15">
      <c r="A15" s="4" t="s">
        <v>2365</v>
      </c>
      <c r="B15" s="6">
        <f>COUNTA(Requests!A2:A40)-COUNT(Requests!G2:G40)</f>
        <v>0</v>
      </c>
      <c r="C15" s="6" t="str">
        <f t="shared" si="1"/>
        <v>PASS</v>
      </c>
      <c r="D15" s="4" t="s">
        <v>2375</v>
      </c>
    </row>
    <row r="16">
      <c r="A16" s="4" t="s">
        <v>2377</v>
      </c>
      <c r="B16" s="6">
        <f>COUNTA(RequestHistory!A2:A40)-COUNT(RequestHistory!F2:F40)</f>
        <v>0</v>
      </c>
      <c r="C16" s="6" t="str">
        <f t="shared" si="1"/>
        <v>PASS</v>
      </c>
      <c r="D16" s="4" t="s">
        <v>2386</v>
      </c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12</v>
      </c>
      <c r="B1" s="5" t="s">
        <v>570</v>
      </c>
      <c r="C1" s="5" t="s">
        <v>2455</v>
      </c>
      <c r="D1" s="5" t="s">
        <v>11</v>
      </c>
    </row>
    <row r="2">
      <c r="A2" s="9" t="str">
        <f>IFERROR(__xludf.DUMMYFUNCTION("SORTN(SORT(FILTER({RequestHistory!B2:B9000,RequestHistory!F2:F9000,ROW(RequestHistory!A2:A9000),RequestHistory!D2:D9000},RequestHistory!B2:B9000&lt;&gt;""""),2,FALSE,3,FALSE),9^9,2,1,TRUE)"),"G-REQ-00001")</f>
        <v>G-REQ-00001</v>
      </c>
      <c r="B2" s="11">
        <f>IFERROR(__xludf.DUMMYFUNCTION("""COMPUTED_VALUE"""),45761.38541666666)</f>
        <v>45761.38542</v>
      </c>
      <c r="C2" s="9">
        <f>IFERROR(__xludf.DUMMYFUNCTION("""COMPUTED_VALUE"""),521.0)</f>
        <v>521</v>
      </c>
      <c r="D2" s="9" t="str">
        <f>IFERROR(__xludf.DUMMYFUNCTION("""COMPUTED_VALUE"""),"Completed")</f>
        <v>Completed</v>
      </c>
    </row>
    <row r="3">
      <c r="A3" s="9" t="str">
        <f>IFERROR(__xludf.DUMMYFUNCTION("""COMPUTED_VALUE"""),"G-REQ-00002")</f>
        <v>G-REQ-00002</v>
      </c>
      <c r="B3" s="11">
        <f>IFERROR(__xludf.DUMMYFUNCTION("""COMPUTED_VALUE"""),45761.45659151208)</f>
        <v>45761.45659</v>
      </c>
      <c r="C3" s="9">
        <f>IFERROR(__xludf.DUMMYFUNCTION("""COMPUTED_VALUE"""),525.0)</f>
        <v>525</v>
      </c>
      <c r="D3" s="9" t="str">
        <f>IFERROR(__xludf.DUMMYFUNCTION("""COMPUTED_VALUE"""),"Completed")</f>
        <v>Completed</v>
      </c>
    </row>
    <row r="4">
      <c r="A4" s="9" t="str">
        <f>IFERROR(__xludf.DUMMYFUNCTION("""COMPUTED_VALUE"""),"G-REQ-00003")</f>
        <v>G-REQ-00003</v>
      </c>
      <c r="B4" s="11">
        <f>IFERROR(__xludf.DUMMYFUNCTION("""COMPUTED_VALUE"""),45761.527766357496)</f>
        <v>45761.52777</v>
      </c>
      <c r="C4" s="9">
        <f>IFERROR(__xludf.DUMMYFUNCTION("""COMPUTED_VALUE"""),529.0)</f>
        <v>529</v>
      </c>
      <c r="D4" s="9" t="str">
        <f>IFERROR(__xludf.DUMMYFUNCTION("""COMPUTED_VALUE"""),"Completed")</f>
        <v>Completed</v>
      </c>
    </row>
    <row r="5">
      <c r="A5" s="9" t="str">
        <f>IFERROR(__xludf.DUMMYFUNCTION("""COMPUTED_VALUE"""),"G-REQ-00004")</f>
        <v>G-REQ-00004</v>
      </c>
      <c r="B5" s="11">
        <f>IFERROR(__xludf.DUMMYFUNCTION("""COMPUTED_VALUE"""),45761.59199675846)</f>
        <v>45761.592</v>
      </c>
      <c r="C5" s="9">
        <f>IFERROR(__xludf.DUMMYFUNCTION("""COMPUTED_VALUE"""),531.0)</f>
        <v>531</v>
      </c>
      <c r="D5" s="9" t="str">
        <f>IFERROR(__xludf.DUMMYFUNCTION("""COMPUTED_VALUE"""),"Rejected")</f>
        <v>Rejected</v>
      </c>
    </row>
    <row r="6">
      <c r="A6" s="9" t="str">
        <f>IFERROR(__xludf.DUMMYFUNCTION("""COMPUTED_VALUE"""),"G-REQ-00005")</f>
        <v>G-REQ-00005</v>
      </c>
      <c r="B6" s="11">
        <f>IFERROR(__xludf.DUMMYFUNCTION("""COMPUTED_VALUE"""),45761.663171603876)</f>
        <v>45761.66317</v>
      </c>
      <c r="C6" s="9">
        <f>IFERROR(__xludf.DUMMYFUNCTION("""COMPUTED_VALUE"""),533.0)</f>
        <v>533</v>
      </c>
      <c r="D6" s="9" t="str">
        <f>IFERROR(__xludf.DUMMYFUNCTION("""COMPUTED_VALUE"""),"Rejected")</f>
        <v>Rejected</v>
      </c>
    </row>
    <row r="7">
      <c r="A7" s="9" t="str">
        <f>IFERROR(__xludf.DUMMYFUNCTION("""COMPUTED_VALUE"""),"G-REQ-00006")</f>
        <v>G-REQ-00006</v>
      </c>
      <c r="B7" s="11">
        <f>IFERROR(__xludf.DUMMYFUNCTION("""COMPUTED_VALUE"""),45761.74129089374)</f>
        <v>45761.74129</v>
      </c>
      <c r="C7" s="9">
        <f>IFERROR(__xludf.DUMMYFUNCTION("""COMPUTED_VALUE"""),537.0)</f>
        <v>537</v>
      </c>
      <c r="D7" s="9" t="str">
        <f>IFERROR(__xludf.DUMMYFUNCTION("""COMPUTED_VALUE"""),"Completed")</f>
        <v>Completed</v>
      </c>
    </row>
    <row r="8">
      <c r="A8" s="9" t="str">
        <f>IFERROR(__xludf.DUMMYFUNCTION("""COMPUTED_VALUE"""),"G-REQ-00007")</f>
        <v>G-REQ-00007</v>
      </c>
      <c r="B8" s="11">
        <f>IFERROR(__xludf.DUMMYFUNCTION("""COMPUTED_VALUE"""),45761.81246573915)</f>
        <v>45761.81247</v>
      </c>
      <c r="C8" s="9">
        <f>IFERROR(__xludf.DUMMYFUNCTION("""COMPUTED_VALUE"""),541.0)</f>
        <v>541</v>
      </c>
      <c r="D8" s="9" t="str">
        <f>IFERROR(__xludf.DUMMYFUNCTION("""COMPUTED_VALUE"""),"Completed")</f>
        <v>Completed</v>
      </c>
    </row>
    <row r="9">
      <c r="A9" s="9" t="str">
        <f>IFERROR(__xludf.DUMMYFUNCTION("""COMPUTED_VALUE"""),"G-REQ-00008")</f>
        <v>G-REQ-00008</v>
      </c>
      <c r="B9" s="11">
        <f>IFERROR(__xludf.DUMMYFUNCTION("""COMPUTED_VALUE"""),45761.87669614012)</f>
        <v>45761.8767</v>
      </c>
      <c r="C9" s="9">
        <f>IFERROR(__xludf.DUMMYFUNCTION("""COMPUTED_VALUE"""),543.0)</f>
        <v>543</v>
      </c>
      <c r="D9" s="9" t="str">
        <f>IFERROR(__xludf.DUMMYFUNCTION("""COMPUTED_VALUE"""),"Rejected")</f>
        <v>Rejected</v>
      </c>
    </row>
    <row r="10">
      <c r="A10" s="9" t="str">
        <f>IFERROR(__xludf.DUMMYFUNCTION("""COMPUTED_VALUE"""),"G-REQ-00009")</f>
        <v>G-REQ-00009</v>
      </c>
      <c r="B10" s="11">
        <f>IFERROR(__xludf.DUMMYFUNCTION("""COMPUTED_VALUE"""),45761.954815429985)</f>
        <v>45761.95482</v>
      </c>
      <c r="C10" s="9">
        <f>IFERROR(__xludf.DUMMYFUNCTION("""COMPUTED_VALUE"""),547.0)</f>
        <v>547</v>
      </c>
      <c r="D10" s="9" t="str">
        <f>IFERROR(__xludf.DUMMYFUNCTION("""COMPUTED_VALUE"""),"Completed")</f>
        <v>Completed</v>
      </c>
    </row>
    <row r="11">
      <c r="A11" s="9" t="str">
        <f>IFERROR(__xludf.DUMMYFUNCTION("""COMPUTED_VALUE"""),"G-REQ-00010")</f>
        <v>G-REQ-00010</v>
      </c>
      <c r="B11" s="11">
        <f>IFERROR(__xludf.DUMMYFUNCTION("""COMPUTED_VALUE"""),45762.0259902754)</f>
        <v>45762.02599</v>
      </c>
      <c r="C11" s="9">
        <f>IFERROR(__xludf.DUMMYFUNCTION("""COMPUTED_VALUE"""),551.0)</f>
        <v>551</v>
      </c>
      <c r="D11" s="9" t="str">
        <f>IFERROR(__xludf.DUMMYFUNCTION("""COMPUTED_VALUE"""),"Completed")</f>
        <v>Completed</v>
      </c>
    </row>
    <row r="12">
      <c r="A12" s="9" t="str">
        <f>IFERROR(__xludf.DUMMYFUNCTION("""COMPUTED_VALUE"""),"G-REQ-00011")</f>
        <v>G-REQ-00011</v>
      </c>
      <c r="B12" s="11">
        <f>IFERROR(__xludf.DUMMYFUNCTION("""COMPUTED_VALUE"""),45762.09716512081)</f>
        <v>45762.09717</v>
      </c>
      <c r="C12" s="9">
        <f>IFERROR(__xludf.DUMMYFUNCTION("""COMPUTED_VALUE"""),555.0)</f>
        <v>555</v>
      </c>
      <c r="D12" s="9" t="str">
        <f>IFERROR(__xludf.DUMMYFUNCTION("""COMPUTED_VALUE"""),"Completed")</f>
        <v>Completed</v>
      </c>
    </row>
    <row r="13">
      <c r="A13" s="9" t="str">
        <f>IFERROR(__xludf.DUMMYFUNCTION("""COMPUTED_VALUE"""),"G-REQ-00012")</f>
        <v>G-REQ-00012</v>
      </c>
      <c r="B13" s="11">
        <f>IFERROR(__xludf.DUMMYFUNCTION("""COMPUTED_VALUE"""),45762.16833996623)</f>
        <v>45762.16834</v>
      </c>
      <c r="C13" s="9">
        <f>IFERROR(__xludf.DUMMYFUNCTION("""COMPUTED_VALUE"""),559.0)</f>
        <v>559</v>
      </c>
      <c r="D13" s="9" t="str">
        <f>IFERROR(__xludf.DUMMYFUNCTION("""COMPUTED_VALUE"""),"Completed")</f>
        <v>Completed</v>
      </c>
    </row>
    <row r="14">
      <c r="A14" s="9" t="str">
        <f>IFERROR(__xludf.DUMMYFUNCTION("""COMPUTED_VALUE"""),"G-REQ-00013")</f>
        <v>G-REQ-00013</v>
      </c>
      <c r="B14" s="11">
        <f>IFERROR(__xludf.DUMMYFUNCTION("""COMPUTED_VALUE"""),45762.23951481164)</f>
        <v>45762.23951</v>
      </c>
      <c r="C14" s="9">
        <f>IFERROR(__xludf.DUMMYFUNCTION("""COMPUTED_VALUE"""),563.0)</f>
        <v>563</v>
      </c>
      <c r="D14" s="9" t="str">
        <f>IFERROR(__xludf.DUMMYFUNCTION("""COMPUTED_VALUE"""),"Completed")</f>
        <v>Completed</v>
      </c>
    </row>
    <row r="15">
      <c r="A15" s="9" t="str">
        <f>IFERROR(__xludf.DUMMYFUNCTION("""COMPUTED_VALUE"""),"G-REQ-00014")</f>
        <v>G-REQ-00014</v>
      </c>
      <c r="B15" s="11">
        <f>IFERROR(__xludf.DUMMYFUNCTION("""COMPUTED_VALUE"""),45762.31068965705)</f>
        <v>45762.31069</v>
      </c>
      <c r="C15" s="9">
        <f>IFERROR(__xludf.DUMMYFUNCTION("""COMPUTED_VALUE"""),567.0)</f>
        <v>567</v>
      </c>
      <c r="D15" s="9" t="str">
        <f>IFERROR(__xludf.DUMMYFUNCTION("""COMPUTED_VALUE"""),"Completed")</f>
        <v>Completed</v>
      </c>
    </row>
    <row r="16">
      <c r="A16" s="9" t="str">
        <f>IFERROR(__xludf.DUMMYFUNCTION("""COMPUTED_VALUE"""),"G-REQ-00015")</f>
        <v>G-REQ-00015</v>
      </c>
      <c r="B16" s="11">
        <f>IFERROR(__xludf.DUMMYFUNCTION("""COMPUTED_VALUE"""),45762.38186450247)</f>
        <v>45762.38186</v>
      </c>
      <c r="C16" s="9">
        <f>IFERROR(__xludf.DUMMYFUNCTION("""COMPUTED_VALUE"""),571.0)</f>
        <v>571</v>
      </c>
      <c r="D16" s="9" t="str">
        <f>IFERROR(__xludf.DUMMYFUNCTION("""COMPUTED_VALUE"""),"Completed")</f>
        <v>Completed</v>
      </c>
    </row>
    <row r="17">
      <c r="A17" s="9" t="str">
        <f>IFERROR(__xludf.DUMMYFUNCTION("""COMPUTED_VALUE"""),"G-REQ-00016")</f>
        <v>G-REQ-00016</v>
      </c>
      <c r="B17" s="11">
        <f>IFERROR(__xludf.DUMMYFUNCTION("""COMPUTED_VALUE"""),45762.44609490345)</f>
        <v>45762.44609</v>
      </c>
      <c r="C17" s="9">
        <f>IFERROR(__xludf.DUMMYFUNCTION("""COMPUTED_VALUE"""),573.0)</f>
        <v>573</v>
      </c>
      <c r="D17" s="9" t="str">
        <f>IFERROR(__xludf.DUMMYFUNCTION("""COMPUTED_VALUE"""),"Rejected")</f>
        <v>Rejected</v>
      </c>
    </row>
    <row r="18">
      <c r="A18" s="9" t="str">
        <f>IFERROR(__xludf.DUMMYFUNCTION("""COMPUTED_VALUE"""),"G-REQ-00017")</f>
        <v>G-REQ-00017</v>
      </c>
      <c r="B18" s="11">
        <f>IFERROR(__xludf.DUMMYFUNCTION("""COMPUTED_VALUE"""),45762.5242141933)</f>
        <v>45762.52421</v>
      </c>
      <c r="C18" s="9">
        <f>IFERROR(__xludf.DUMMYFUNCTION("""COMPUTED_VALUE"""),577.0)</f>
        <v>577</v>
      </c>
      <c r="D18" s="9" t="str">
        <f>IFERROR(__xludf.DUMMYFUNCTION("""COMPUTED_VALUE"""),"Completed")</f>
        <v>Completed</v>
      </c>
    </row>
    <row r="19">
      <c r="A19" s="9" t="str">
        <f>IFERROR(__xludf.DUMMYFUNCTION("""COMPUTED_VALUE"""),"G-REQ-00018")</f>
        <v>G-REQ-00018</v>
      </c>
      <c r="B19" s="11">
        <f>IFERROR(__xludf.DUMMYFUNCTION("""COMPUTED_VALUE"""),45762.59538903872)</f>
        <v>45762.59539</v>
      </c>
      <c r="C19" s="9">
        <f>IFERROR(__xludf.DUMMYFUNCTION("""COMPUTED_VALUE"""),581.0)</f>
        <v>581</v>
      </c>
      <c r="D19" s="9" t="str">
        <f>IFERROR(__xludf.DUMMYFUNCTION("""COMPUTED_VALUE"""),"Completed")</f>
        <v>Completed</v>
      </c>
    </row>
    <row r="20">
      <c r="A20" s="9" t="str">
        <f>IFERROR(__xludf.DUMMYFUNCTION("""COMPUTED_VALUE"""),"G-REQ-00019")</f>
        <v>G-REQ-00019</v>
      </c>
      <c r="B20" s="11">
        <f>IFERROR(__xludf.DUMMYFUNCTION("""COMPUTED_VALUE"""),45762.66656388414)</f>
        <v>45762.66656</v>
      </c>
      <c r="C20" s="9">
        <f>IFERROR(__xludf.DUMMYFUNCTION("""COMPUTED_VALUE"""),585.0)</f>
        <v>585</v>
      </c>
      <c r="D20" s="9" t="str">
        <f>IFERROR(__xludf.DUMMYFUNCTION("""COMPUTED_VALUE"""),"Completed")</f>
        <v>Completed</v>
      </c>
    </row>
    <row r="21">
      <c r="A21" s="9" t="str">
        <f>IFERROR(__xludf.DUMMYFUNCTION("""COMPUTED_VALUE"""),"G-REQ-00020")</f>
        <v>G-REQ-00020</v>
      </c>
      <c r="B21" s="11">
        <f>IFERROR(__xludf.DUMMYFUNCTION("""COMPUTED_VALUE"""),45762.73773872955)</f>
        <v>45762.73774</v>
      </c>
      <c r="C21" s="9">
        <f>IFERROR(__xludf.DUMMYFUNCTION("""COMPUTED_VALUE"""),589.0)</f>
        <v>589</v>
      </c>
      <c r="D21" s="9" t="str">
        <f>IFERROR(__xludf.DUMMYFUNCTION("""COMPUTED_VALUE"""),"Completed")</f>
        <v>Completed</v>
      </c>
    </row>
    <row r="22">
      <c r="A22" s="9" t="str">
        <f>IFERROR(__xludf.DUMMYFUNCTION("""COMPUTED_VALUE"""),"G-REQ-00021")</f>
        <v>G-REQ-00021</v>
      </c>
      <c r="B22" s="11">
        <f>IFERROR(__xludf.DUMMYFUNCTION("""COMPUTED_VALUE"""),45762.801969130516)</f>
        <v>45762.80197</v>
      </c>
      <c r="C22" s="9">
        <f>IFERROR(__xludf.DUMMYFUNCTION("""COMPUTED_VALUE"""),591.0)</f>
        <v>591</v>
      </c>
      <c r="D22" s="9" t="str">
        <f>IFERROR(__xludf.DUMMYFUNCTION("""COMPUTED_VALUE"""),"Rejected")</f>
        <v>Rejected</v>
      </c>
    </row>
    <row r="23">
      <c r="A23" s="9" t="str">
        <f>IFERROR(__xludf.DUMMYFUNCTION("""COMPUTED_VALUE"""),"G-REQ-00022")</f>
        <v>G-REQ-00022</v>
      </c>
      <c r="B23" s="11">
        <f>IFERROR(__xludf.DUMMYFUNCTION("""COMPUTED_VALUE"""),45762.88008842038)</f>
        <v>45762.88009</v>
      </c>
      <c r="C23" s="9">
        <f>IFERROR(__xludf.DUMMYFUNCTION("""COMPUTED_VALUE"""),595.0)</f>
        <v>595</v>
      </c>
      <c r="D23" s="9" t="str">
        <f>IFERROR(__xludf.DUMMYFUNCTION("""COMPUTED_VALUE"""),"Completed")</f>
        <v>Completed</v>
      </c>
    </row>
    <row r="24">
      <c r="A24" s="9" t="str">
        <f>IFERROR(__xludf.DUMMYFUNCTION("""COMPUTED_VALUE"""),"G-REQ-00023")</f>
        <v>G-REQ-00023</v>
      </c>
      <c r="B24" s="11">
        <f>IFERROR(__xludf.DUMMYFUNCTION("""COMPUTED_VALUE"""),45762.95126326579)</f>
        <v>45762.95126</v>
      </c>
      <c r="C24" s="9">
        <f>IFERROR(__xludf.DUMMYFUNCTION("""COMPUTED_VALUE"""),599.0)</f>
        <v>599</v>
      </c>
      <c r="D24" s="9" t="str">
        <f>IFERROR(__xludf.DUMMYFUNCTION("""COMPUTED_VALUE"""),"Completed")</f>
        <v>Completed</v>
      </c>
    </row>
    <row r="25">
      <c r="A25" s="9" t="str">
        <f>IFERROR(__xludf.DUMMYFUNCTION("""COMPUTED_VALUE"""),"G-REQ-00024")</f>
        <v>G-REQ-00024</v>
      </c>
      <c r="B25" s="11">
        <f>IFERROR(__xludf.DUMMYFUNCTION("""COMPUTED_VALUE"""),45763.022438111206)</f>
        <v>45763.02244</v>
      </c>
      <c r="C25" s="9">
        <f>IFERROR(__xludf.DUMMYFUNCTION("""COMPUTED_VALUE"""),603.0)</f>
        <v>603</v>
      </c>
      <c r="D25" s="9" t="str">
        <f>IFERROR(__xludf.DUMMYFUNCTION("""COMPUTED_VALUE"""),"Completed")</f>
        <v>Completed</v>
      </c>
    </row>
    <row r="26">
      <c r="A26" s="9" t="str">
        <f>IFERROR(__xludf.DUMMYFUNCTION("""COMPUTED_VALUE"""),"G-REQ-00025")</f>
        <v>G-REQ-00025</v>
      </c>
      <c r="B26" s="11">
        <f>IFERROR(__xludf.DUMMYFUNCTION("""COMPUTED_VALUE"""),45763.093612956625)</f>
        <v>45763.09361</v>
      </c>
      <c r="C26" s="9">
        <f>IFERROR(__xludf.DUMMYFUNCTION("""COMPUTED_VALUE"""),607.0)</f>
        <v>607</v>
      </c>
      <c r="D26" s="9" t="str">
        <f>IFERROR(__xludf.DUMMYFUNCTION("""COMPUTED_VALUE"""),"Completed")</f>
        <v>Completed</v>
      </c>
    </row>
    <row r="27">
      <c r="A27" s="9" t="str">
        <f>IFERROR(__xludf.DUMMYFUNCTION("""COMPUTED_VALUE"""),"G-REQ-00026")</f>
        <v>G-REQ-00026</v>
      </c>
      <c r="B27" s="11">
        <f>IFERROR(__xludf.DUMMYFUNCTION("""COMPUTED_VALUE"""),45763.164787802045)</f>
        <v>45763.16479</v>
      </c>
      <c r="C27" s="9">
        <f>IFERROR(__xludf.DUMMYFUNCTION("""COMPUTED_VALUE"""),611.0)</f>
        <v>611</v>
      </c>
      <c r="D27" s="9" t="str">
        <f>IFERROR(__xludf.DUMMYFUNCTION("""COMPUTED_VALUE"""),"Completed")</f>
        <v>Completed</v>
      </c>
    </row>
    <row r="28">
      <c r="A28" s="9" t="str">
        <f>IFERROR(__xludf.DUMMYFUNCTION("""COMPUTED_VALUE"""),"G-REQ-00027")</f>
        <v>G-REQ-00027</v>
      </c>
      <c r="B28" s="11">
        <f>IFERROR(__xludf.DUMMYFUNCTION("""COMPUTED_VALUE"""),45763.229018203005)</f>
        <v>45763.22902</v>
      </c>
      <c r="C28" s="9">
        <f>IFERROR(__xludf.DUMMYFUNCTION("""COMPUTED_VALUE"""),613.0)</f>
        <v>613</v>
      </c>
      <c r="D28" s="9" t="str">
        <f>IFERROR(__xludf.DUMMYFUNCTION("""COMPUTED_VALUE"""),"Rejected")</f>
        <v>Rejected</v>
      </c>
    </row>
    <row r="29">
      <c r="A29" s="9" t="str">
        <f>IFERROR(__xludf.DUMMYFUNCTION("""COMPUTED_VALUE"""),"G-REQ-00028")</f>
        <v>G-REQ-00028</v>
      </c>
      <c r="B29" s="11">
        <f>IFERROR(__xludf.DUMMYFUNCTION("""COMPUTED_VALUE"""),45763.30713749287)</f>
        <v>45763.30714</v>
      </c>
      <c r="C29" s="9">
        <f>IFERROR(__xludf.DUMMYFUNCTION("""COMPUTED_VALUE"""),617.0)</f>
        <v>617</v>
      </c>
      <c r="D29" s="9" t="str">
        <f>IFERROR(__xludf.DUMMYFUNCTION("""COMPUTED_VALUE"""),"Completed")</f>
        <v>Completed</v>
      </c>
    </row>
    <row r="30">
      <c r="A30" s="9" t="str">
        <f>IFERROR(__xludf.DUMMYFUNCTION("""COMPUTED_VALUE"""),"G-REQ-00029")</f>
        <v>G-REQ-00029</v>
      </c>
      <c r="B30" s="11">
        <f>IFERROR(__xludf.DUMMYFUNCTION("""COMPUTED_VALUE"""),45763.37831233828)</f>
        <v>45763.37831</v>
      </c>
      <c r="C30" s="9">
        <f>IFERROR(__xludf.DUMMYFUNCTION("""COMPUTED_VALUE"""),621.0)</f>
        <v>621</v>
      </c>
      <c r="D30" s="9" t="str">
        <f>IFERROR(__xludf.DUMMYFUNCTION("""COMPUTED_VALUE"""),"Completed")</f>
        <v>Completed</v>
      </c>
    </row>
    <row r="31">
      <c r="A31" s="9" t="str">
        <f>IFERROR(__xludf.DUMMYFUNCTION("""COMPUTED_VALUE"""),"G-REQ-00030")</f>
        <v>G-REQ-00030</v>
      </c>
      <c r="B31" s="11">
        <f>IFERROR(__xludf.DUMMYFUNCTION("""COMPUTED_VALUE"""),45763.4494871837)</f>
        <v>45763.44949</v>
      </c>
      <c r="C31" s="9">
        <f>IFERROR(__xludf.DUMMYFUNCTION("""COMPUTED_VALUE"""),625.0)</f>
        <v>625</v>
      </c>
      <c r="D31" s="9" t="str">
        <f>IFERROR(__xludf.DUMMYFUNCTION("""COMPUTED_VALUE"""),"Completed")</f>
        <v>Completed</v>
      </c>
    </row>
    <row r="32">
      <c r="A32" s="9" t="str">
        <f>IFERROR(__xludf.DUMMYFUNCTION("""COMPUTED_VALUE"""),"G-REQ-00031")</f>
        <v>G-REQ-00031</v>
      </c>
      <c r="B32" s="11">
        <f>IFERROR(__xludf.DUMMYFUNCTION("""COMPUTED_VALUE"""),45763.520662029114)</f>
        <v>45763.52066</v>
      </c>
      <c r="C32" s="9">
        <f>IFERROR(__xludf.DUMMYFUNCTION("""COMPUTED_VALUE"""),629.0)</f>
        <v>629</v>
      </c>
      <c r="D32" s="9" t="str">
        <f>IFERROR(__xludf.DUMMYFUNCTION("""COMPUTED_VALUE"""),"Completed")</f>
        <v>Completed</v>
      </c>
    </row>
    <row r="33">
      <c r="A33" s="9" t="str">
        <f>IFERROR(__xludf.DUMMYFUNCTION("""COMPUTED_VALUE"""),"G-REQ-00032")</f>
        <v>G-REQ-00032</v>
      </c>
      <c r="B33" s="11">
        <f>IFERROR(__xludf.DUMMYFUNCTION("""COMPUTED_VALUE"""),45763.58489243009)</f>
        <v>45763.58489</v>
      </c>
      <c r="C33" s="9">
        <f>IFERROR(__xludf.DUMMYFUNCTION("""COMPUTED_VALUE"""),631.0)</f>
        <v>631</v>
      </c>
      <c r="D33" s="9" t="str">
        <f>IFERROR(__xludf.DUMMYFUNCTION("""COMPUTED_VALUE"""),"Cancelled")</f>
        <v>Cancelled</v>
      </c>
    </row>
    <row r="34">
      <c r="A34" s="9" t="str">
        <f>IFERROR(__xludf.DUMMYFUNCTION("""COMPUTED_VALUE"""),"G-REQ-00033")</f>
        <v>G-REQ-00033</v>
      </c>
      <c r="B34" s="11">
        <f>IFERROR(__xludf.DUMMYFUNCTION("""COMPUTED_VALUE"""),45763.66301171994)</f>
        <v>45763.66301</v>
      </c>
      <c r="C34" s="9">
        <f>IFERROR(__xludf.DUMMYFUNCTION("""COMPUTED_VALUE"""),635.0)</f>
        <v>635</v>
      </c>
      <c r="D34" s="9" t="str">
        <f>IFERROR(__xludf.DUMMYFUNCTION("""COMPUTED_VALUE"""),"Completed")</f>
        <v>Completed</v>
      </c>
    </row>
    <row r="35">
      <c r="A35" s="9" t="str">
        <f>IFERROR(__xludf.DUMMYFUNCTION("""COMPUTED_VALUE"""),"G-REQ-00034")</f>
        <v>G-REQ-00034</v>
      </c>
      <c r="B35" s="11">
        <f>IFERROR(__xludf.DUMMYFUNCTION("""COMPUTED_VALUE"""),45763.72724212091)</f>
        <v>45763.72724</v>
      </c>
      <c r="C35" s="9">
        <f>IFERROR(__xludf.DUMMYFUNCTION("""COMPUTED_VALUE"""),637.0)</f>
        <v>637</v>
      </c>
      <c r="D35" s="9" t="str">
        <f>IFERROR(__xludf.DUMMYFUNCTION("""COMPUTED_VALUE"""),"Cancelled")</f>
        <v>Cancelled</v>
      </c>
    </row>
    <row r="36">
      <c r="A36" s="9" t="str">
        <f>IFERROR(__xludf.DUMMYFUNCTION("""COMPUTED_VALUE"""),"G-REQ-00035")</f>
        <v>G-REQ-00035</v>
      </c>
      <c r="B36" s="11">
        <f>IFERROR(__xludf.DUMMYFUNCTION("""COMPUTED_VALUE"""),45763.80536141078)</f>
        <v>45763.80536</v>
      </c>
      <c r="C36" s="9">
        <f>IFERROR(__xludf.DUMMYFUNCTION("""COMPUTED_VALUE"""),641.0)</f>
        <v>641</v>
      </c>
      <c r="D36" s="9" t="str">
        <f>IFERROR(__xludf.DUMMYFUNCTION("""COMPUTED_VALUE"""),"Completed")</f>
        <v>Completed</v>
      </c>
    </row>
    <row r="37">
      <c r="A37" s="9" t="str">
        <f>IFERROR(__xludf.DUMMYFUNCTION("""COMPUTED_VALUE"""),"G-REQ-00036")</f>
        <v>G-REQ-00036</v>
      </c>
      <c r="B37" s="11">
        <f>IFERROR(__xludf.DUMMYFUNCTION("""COMPUTED_VALUE"""),45763.87653625619)</f>
        <v>45763.87654</v>
      </c>
      <c r="C37" s="9">
        <f>IFERROR(__xludf.DUMMYFUNCTION("""COMPUTED_VALUE"""),645.0)</f>
        <v>645</v>
      </c>
      <c r="D37" s="9" t="str">
        <f>IFERROR(__xludf.DUMMYFUNCTION("""COMPUTED_VALUE"""),"Completed")</f>
        <v>Completed</v>
      </c>
    </row>
    <row r="38">
      <c r="A38" s="9" t="str">
        <f>IFERROR(__xludf.DUMMYFUNCTION("""COMPUTED_VALUE"""),"G-REQ-00037")</f>
        <v>G-REQ-00037</v>
      </c>
      <c r="B38" s="11">
        <f>IFERROR(__xludf.DUMMYFUNCTION("""COMPUTED_VALUE"""),45763.94076665716)</f>
        <v>45763.94077</v>
      </c>
      <c r="C38" s="9">
        <f>IFERROR(__xludf.DUMMYFUNCTION("""COMPUTED_VALUE"""),647.0)</f>
        <v>647</v>
      </c>
      <c r="D38" s="9" t="str">
        <f>IFERROR(__xludf.DUMMYFUNCTION("""COMPUTED_VALUE"""),"Cancelled")</f>
        <v>Cancelled</v>
      </c>
    </row>
    <row r="39">
      <c r="A39" s="9" t="str">
        <f>IFERROR(__xludf.DUMMYFUNCTION("""COMPUTED_VALUE"""),"G-REQ-00038")</f>
        <v>G-REQ-00038</v>
      </c>
      <c r="B39" s="11">
        <f>IFERROR(__xludf.DUMMYFUNCTION("""COMPUTED_VALUE"""),45764.01888594702)</f>
        <v>45764.01889</v>
      </c>
      <c r="C39" s="9">
        <f>IFERROR(__xludf.DUMMYFUNCTION("""COMPUTED_VALUE"""),651.0)</f>
        <v>651</v>
      </c>
      <c r="D39" s="9" t="str">
        <f>IFERROR(__xludf.DUMMYFUNCTION("""COMPUTED_VALUE"""),"Completed")</f>
        <v>Completed</v>
      </c>
    </row>
    <row r="40">
      <c r="A40" s="9" t="str">
        <f>IFERROR(__xludf.DUMMYFUNCTION("""COMPUTED_VALUE"""),"G-REQ-00039")</f>
        <v>G-REQ-00039</v>
      </c>
      <c r="B40" s="11">
        <f>IFERROR(__xludf.DUMMYFUNCTION("""COMPUTED_VALUE"""),45764.090060792434)</f>
        <v>45764.09006</v>
      </c>
      <c r="C40" s="9">
        <f>IFERROR(__xludf.DUMMYFUNCTION("""COMPUTED_VALUE"""),655.0)</f>
        <v>655</v>
      </c>
      <c r="D40" s="9" t="str">
        <f>IFERROR(__xludf.DUMMYFUNCTION("""COMPUTED_VALUE"""),"Completed")</f>
        <v>Completed</v>
      </c>
    </row>
    <row r="41">
      <c r="A41" s="9" t="str">
        <f>IFERROR(__xludf.DUMMYFUNCTION("""COMPUTED_VALUE"""),"G-REQ-00040")</f>
        <v>G-REQ-00040</v>
      </c>
      <c r="B41" s="11">
        <f>IFERROR(__xludf.DUMMYFUNCTION("""COMPUTED_VALUE"""),45764.1542911934)</f>
        <v>45764.15429</v>
      </c>
      <c r="C41" s="9">
        <f>IFERROR(__xludf.DUMMYFUNCTION("""COMPUTED_VALUE"""),657.0)</f>
        <v>657</v>
      </c>
      <c r="D41" s="9" t="str">
        <f>IFERROR(__xludf.DUMMYFUNCTION("""COMPUTED_VALUE"""),"Rejected")</f>
        <v>Rejected</v>
      </c>
    </row>
    <row r="42">
      <c r="A42" s="9" t="str">
        <f>IFERROR(__xludf.DUMMYFUNCTION("""COMPUTED_VALUE"""),"G-REQ-00041")</f>
        <v>G-REQ-00041</v>
      </c>
      <c r="B42" s="11">
        <f>IFERROR(__xludf.DUMMYFUNCTION("""COMPUTED_VALUE"""),45764.232410483266)</f>
        <v>45764.23241</v>
      </c>
      <c r="C42" s="9">
        <f>IFERROR(__xludf.DUMMYFUNCTION("""COMPUTED_VALUE"""),661.0)</f>
        <v>661</v>
      </c>
      <c r="D42" s="9" t="str">
        <f>IFERROR(__xludf.DUMMYFUNCTION("""COMPUTED_VALUE"""),"Completed")</f>
        <v>Completed</v>
      </c>
    </row>
    <row r="43">
      <c r="A43" s="9" t="str">
        <f>IFERROR(__xludf.DUMMYFUNCTION("""COMPUTED_VALUE"""),"G-REQ-00042")</f>
        <v>G-REQ-00042</v>
      </c>
      <c r="B43" s="11">
        <f>IFERROR(__xludf.DUMMYFUNCTION("""COMPUTED_VALUE"""),45764.303585328686)</f>
        <v>45764.30359</v>
      </c>
      <c r="C43" s="9">
        <f>IFERROR(__xludf.DUMMYFUNCTION("""COMPUTED_VALUE"""),665.0)</f>
        <v>665</v>
      </c>
      <c r="D43" s="9" t="str">
        <f>IFERROR(__xludf.DUMMYFUNCTION("""COMPUTED_VALUE"""),"Completed")</f>
        <v>Completed</v>
      </c>
    </row>
    <row r="44">
      <c r="A44" s="9" t="str">
        <f>IFERROR(__xludf.DUMMYFUNCTION("""COMPUTED_VALUE"""),"G-REQ-00043")</f>
        <v>G-REQ-00043</v>
      </c>
      <c r="B44" s="11">
        <f>IFERROR(__xludf.DUMMYFUNCTION("""COMPUTED_VALUE"""),45764.37476017409)</f>
        <v>45764.37476</v>
      </c>
      <c r="C44" s="9">
        <f>IFERROR(__xludf.DUMMYFUNCTION("""COMPUTED_VALUE"""),669.0)</f>
        <v>669</v>
      </c>
      <c r="D44" s="9" t="str">
        <f>IFERROR(__xludf.DUMMYFUNCTION("""COMPUTED_VALUE"""),"Completed")</f>
        <v>Completed</v>
      </c>
    </row>
    <row r="45">
      <c r="A45" s="9" t="str">
        <f>IFERROR(__xludf.DUMMYFUNCTION("""COMPUTED_VALUE"""),"G-REQ-00044")</f>
        <v>G-REQ-00044</v>
      </c>
      <c r="B45" s="11">
        <f>IFERROR(__xludf.DUMMYFUNCTION("""COMPUTED_VALUE"""),45764.44593501951)</f>
        <v>45764.44594</v>
      </c>
      <c r="C45" s="9">
        <f>IFERROR(__xludf.DUMMYFUNCTION("""COMPUTED_VALUE"""),673.0)</f>
        <v>673</v>
      </c>
      <c r="D45" s="9" t="str">
        <f>IFERROR(__xludf.DUMMYFUNCTION("""COMPUTED_VALUE"""),"Completed")</f>
        <v>Completed</v>
      </c>
    </row>
    <row r="46">
      <c r="A46" s="9" t="str">
        <f>IFERROR(__xludf.DUMMYFUNCTION("""COMPUTED_VALUE"""),"G-REQ-00045")</f>
        <v>G-REQ-00045</v>
      </c>
      <c r="B46" s="11">
        <f>IFERROR(__xludf.DUMMYFUNCTION("""COMPUTED_VALUE"""),45764.51710986493)</f>
        <v>45764.51711</v>
      </c>
      <c r="C46" s="9">
        <f>IFERROR(__xludf.DUMMYFUNCTION("""COMPUTED_VALUE"""),677.0)</f>
        <v>677</v>
      </c>
      <c r="D46" s="9" t="str">
        <f>IFERROR(__xludf.DUMMYFUNCTION("""COMPUTED_VALUE"""),"Completed")</f>
        <v>Completed</v>
      </c>
    </row>
    <row r="47">
      <c r="A47" s="9" t="str">
        <f>IFERROR(__xludf.DUMMYFUNCTION("""COMPUTED_VALUE"""),"G-REQ-00046")</f>
        <v>G-REQ-00046</v>
      </c>
      <c r="B47" s="11">
        <f>IFERROR(__xludf.DUMMYFUNCTION("""COMPUTED_VALUE"""),45764.58828471034)</f>
        <v>45764.58828</v>
      </c>
      <c r="C47" s="9">
        <f>IFERROR(__xludf.DUMMYFUNCTION("""COMPUTED_VALUE"""),681.0)</f>
        <v>681</v>
      </c>
      <c r="D47" s="9" t="str">
        <f>IFERROR(__xludf.DUMMYFUNCTION("""COMPUTED_VALUE"""),"Completed")</f>
        <v>Completed</v>
      </c>
    </row>
    <row r="48">
      <c r="A48" s="9" t="str">
        <f>IFERROR(__xludf.DUMMYFUNCTION("""COMPUTED_VALUE"""),"G-REQ-00047")</f>
        <v>G-REQ-00047</v>
      </c>
      <c r="B48" s="11">
        <f>IFERROR(__xludf.DUMMYFUNCTION("""COMPUTED_VALUE"""),45764.659459555754)</f>
        <v>45764.65946</v>
      </c>
      <c r="C48" s="9">
        <f>IFERROR(__xludf.DUMMYFUNCTION("""COMPUTED_VALUE"""),685.0)</f>
        <v>685</v>
      </c>
      <c r="D48" s="9" t="str">
        <f>IFERROR(__xludf.DUMMYFUNCTION("""COMPUTED_VALUE"""),"Completed")</f>
        <v>Completed</v>
      </c>
    </row>
    <row r="49">
      <c r="A49" s="9" t="str">
        <f>IFERROR(__xludf.DUMMYFUNCTION("""COMPUTED_VALUE"""),"G-REQ-00048")</f>
        <v>G-REQ-00048</v>
      </c>
      <c r="B49" s="11">
        <f>IFERROR(__xludf.DUMMYFUNCTION("""COMPUTED_VALUE"""),45764.730634401174)</f>
        <v>45764.73063</v>
      </c>
      <c r="C49" s="9">
        <f>IFERROR(__xludf.DUMMYFUNCTION("""COMPUTED_VALUE"""),689.0)</f>
        <v>689</v>
      </c>
      <c r="D49" s="9" t="str">
        <f>IFERROR(__xludf.DUMMYFUNCTION("""COMPUTED_VALUE"""),"Completed")</f>
        <v>Completed</v>
      </c>
    </row>
    <row r="50">
      <c r="A50" s="9" t="str">
        <f>IFERROR(__xludf.DUMMYFUNCTION("""COMPUTED_VALUE"""),"G-REQ-00049")</f>
        <v>G-REQ-00049</v>
      </c>
      <c r="B50" s="11">
        <f>IFERROR(__xludf.DUMMYFUNCTION("""COMPUTED_VALUE"""),45764.801809246586)</f>
        <v>45764.80181</v>
      </c>
      <c r="C50" s="9">
        <f>IFERROR(__xludf.DUMMYFUNCTION("""COMPUTED_VALUE"""),693.0)</f>
        <v>693</v>
      </c>
      <c r="D50" s="9" t="str">
        <f>IFERROR(__xludf.DUMMYFUNCTION("""COMPUTED_VALUE"""),"Completed")</f>
        <v>Completed</v>
      </c>
    </row>
    <row r="51">
      <c r="A51" s="9" t="str">
        <f>IFERROR(__xludf.DUMMYFUNCTION("""COMPUTED_VALUE"""),"G-REQ-00050")</f>
        <v>G-REQ-00050</v>
      </c>
      <c r="B51" s="11">
        <f>IFERROR(__xludf.DUMMYFUNCTION("""COMPUTED_VALUE"""),45764.86603964755)</f>
        <v>45764.86604</v>
      </c>
      <c r="C51" s="9">
        <f>IFERROR(__xludf.DUMMYFUNCTION("""COMPUTED_VALUE"""),695.0)</f>
        <v>695</v>
      </c>
      <c r="D51" s="9" t="str">
        <f>IFERROR(__xludf.DUMMYFUNCTION("""COMPUTED_VALUE"""),"Rejected")</f>
        <v>Rejected</v>
      </c>
    </row>
    <row r="52">
      <c r="A52" s="9" t="str">
        <f>IFERROR(__xludf.DUMMYFUNCTION("""COMPUTED_VALUE"""),"G-REQ-00051")</f>
        <v>G-REQ-00051</v>
      </c>
      <c r="B52" s="11">
        <f>IFERROR(__xludf.DUMMYFUNCTION("""COMPUTED_VALUE"""),45764.94415893742)</f>
        <v>45764.94416</v>
      </c>
      <c r="C52" s="9">
        <f>IFERROR(__xludf.DUMMYFUNCTION("""COMPUTED_VALUE"""),699.0)</f>
        <v>699</v>
      </c>
      <c r="D52" s="9" t="str">
        <f>IFERROR(__xludf.DUMMYFUNCTION("""COMPUTED_VALUE"""),"Completed")</f>
        <v>Completed</v>
      </c>
    </row>
    <row r="53">
      <c r="A53" s="9" t="str">
        <f>IFERROR(__xludf.DUMMYFUNCTION("""COMPUTED_VALUE"""),"G-REQ-00052")</f>
        <v>G-REQ-00052</v>
      </c>
      <c r="B53" s="11">
        <f>IFERROR(__xludf.DUMMYFUNCTION("""COMPUTED_VALUE"""),45765.01533378283)</f>
        <v>45765.01533</v>
      </c>
      <c r="C53" s="9">
        <f>IFERROR(__xludf.DUMMYFUNCTION("""COMPUTED_VALUE"""),703.0)</f>
        <v>703</v>
      </c>
      <c r="D53" s="9" t="str">
        <f>IFERROR(__xludf.DUMMYFUNCTION("""COMPUTED_VALUE"""),"Completed")</f>
        <v>Completed</v>
      </c>
    </row>
    <row r="54">
      <c r="A54" s="9" t="str">
        <f>IFERROR(__xludf.DUMMYFUNCTION("""COMPUTED_VALUE"""),"G-REQ-00053")</f>
        <v>G-REQ-00053</v>
      </c>
      <c r="B54" s="11">
        <f>IFERROR(__xludf.DUMMYFUNCTION("""COMPUTED_VALUE"""),45765.08650862824)</f>
        <v>45765.08651</v>
      </c>
      <c r="C54" s="9">
        <f>IFERROR(__xludf.DUMMYFUNCTION("""COMPUTED_VALUE"""),707.0)</f>
        <v>707</v>
      </c>
      <c r="D54" s="9" t="str">
        <f>IFERROR(__xludf.DUMMYFUNCTION("""COMPUTED_VALUE"""),"Completed")</f>
        <v>Completed</v>
      </c>
    </row>
    <row r="55">
      <c r="A55" s="9" t="str">
        <f>IFERROR(__xludf.DUMMYFUNCTION("""COMPUTED_VALUE"""),"G-REQ-00054")</f>
        <v>G-REQ-00054</v>
      </c>
      <c r="B55" s="11">
        <f>IFERROR(__xludf.DUMMYFUNCTION("""COMPUTED_VALUE"""),45765.15768347366)</f>
        <v>45765.15768</v>
      </c>
      <c r="C55" s="9">
        <f>IFERROR(__xludf.DUMMYFUNCTION("""COMPUTED_VALUE"""),711.0)</f>
        <v>711</v>
      </c>
      <c r="D55" s="9" t="str">
        <f>IFERROR(__xludf.DUMMYFUNCTION("""COMPUTED_VALUE"""),"Completed")</f>
        <v>Completed</v>
      </c>
    </row>
    <row r="56">
      <c r="A56" s="9" t="str">
        <f>IFERROR(__xludf.DUMMYFUNCTION("""COMPUTED_VALUE"""),"G-REQ-00055")</f>
        <v>G-REQ-00055</v>
      </c>
      <c r="B56" s="11">
        <f>IFERROR(__xludf.DUMMYFUNCTION("""COMPUTED_VALUE"""),45765.228858319075)</f>
        <v>45765.22886</v>
      </c>
      <c r="C56" s="9">
        <f>IFERROR(__xludf.DUMMYFUNCTION("""COMPUTED_VALUE"""),715.0)</f>
        <v>715</v>
      </c>
      <c r="D56" s="9" t="str">
        <f>IFERROR(__xludf.DUMMYFUNCTION("""COMPUTED_VALUE"""),"Completed")</f>
        <v>Completed</v>
      </c>
    </row>
    <row r="57">
      <c r="A57" s="9" t="str">
        <f>IFERROR(__xludf.DUMMYFUNCTION("""COMPUTED_VALUE"""),"G-REQ-00056")</f>
        <v>G-REQ-00056</v>
      </c>
      <c r="B57" s="11">
        <f>IFERROR(__xludf.DUMMYFUNCTION("""COMPUTED_VALUE"""),45765.30003316449)</f>
        <v>45765.30003</v>
      </c>
      <c r="C57" s="9">
        <f>IFERROR(__xludf.DUMMYFUNCTION("""COMPUTED_VALUE"""),719.0)</f>
        <v>719</v>
      </c>
      <c r="D57" s="9" t="str">
        <f>IFERROR(__xludf.DUMMYFUNCTION("""COMPUTED_VALUE"""),"Completed")</f>
        <v>Completed</v>
      </c>
    </row>
    <row r="58">
      <c r="A58" s="9" t="str">
        <f>IFERROR(__xludf.DUMMYFUNCTION("""COMPUTED_VALUE"""),"G-REQ-00057")</f>
        <v>G-REQ-00057</v>
      </c>
      <c r="B58" s="11">
        <f>IFERROR(__xludf.DUMMYFUNCTION("""COMPUTED_VALUE"""),45765.37120800991)</f>
        <v>45765.37121</v>
      </c>
      <c r="C58" s="9">
        <f>IFERROR(__xludf.DUMMYFUNCTION("""COMPUTED_VALUE"""),723.0)</f>
        <v>723</v>
      </c>
      <c r="D58" s="9" t="str">
        <f>IFERROR(__xludf.DUMMYFUNCTION("""COMPUTED_VALUE"""),"Completed")</f>
        <v>Completed</v>
      </c>
    </row>
    <row r="59">
      <c r="A59" s="9" t="str">
        <f>IFERROR(__xludf.DUMMYFUNCTION("""COMPUTED_VALUE"""),"G-REQ-00058")</f>
        <v>G-REQ-00058</v>
      </c>
      <c r="B59" s="11">
        <f>IFERROR(__xludf.DUMMYFUNCTION("""COMPUTED_VALUE"""),45765.442382855326)</f>
        <v>45765.44238</v>
      </c>
      <c r="C59" s="9">
        <f>IFERROR(__xludf.DUMMYFUNCTION("""COMPUTED_VALUE"""),727.0)</f>
        <v>727</v>
      </c>
      <c r="D59" s="9" t="str">
        <f>IFERROR(__xludf.DUMMYFUNCTION("""COMPUTED_VALUE"""),"Completed")</f>
        <v>Completed</v>
      </c>
    </row>
    <row r="60">
      <c r="A60" s="9" t="str">
        <f>IFERROR(__xludf.DUMMYFUNCTION("""COMPUTED_VALUE"""),"G-REQ-00059")</f>
        <v>G-REQ-00059</v>
      </c>
      <c r="B60" s="11">
        <f>IFERROR(__xludf.DUMMYFUNCTION("""COMPUTED_VALUE"""),45765.506613256286)</f>
        <v>45765.50661</v>
      </c>
      <c r="C60" s="9">
        <f>IFERROR(__xludf.DUMMYFUNCTION("""COMPUTED_VALUE"""),729.0)</f>
        <v>729</v>
      </c>
      <c r="D60" s="9" t="str">
        <f>IFERROR(__xludf.DUMMYFUNCTION("""COMPUTED_VALUE"""),"Rejected")</f>
        <v>Rejected</v>
      </c>
    </row>
    <row r="61">
      <c r="A61" s="9" t="str">
        <f>IFERROR(__xludf.DUMMYFUNCTION("""COMPUTED_VALUE"""),"G-REQ-00060")</f>
        <v>G-REQ-00060</v>
      </c>
      <c r="B61" s="11">
        <f>IFERROR(__xludf.DUMMYFUNCTION("""COMPUTED_VALUE"""),45765.577788101706)</f>
        <v>45765.57779</v>
      </c>
      <c r="C61" s="9">
        <f>IFERROR(__xludf.DUMMYFUNCTION("""COMPUTED_VALUE"""),731.0)</f>
        <v>731</v>
      </c>
      <c r="D61" s="9" t="str">
        <f>IFERROR(__xludf.DUMMYFUNCTION("""COMPUTED_VALUE"""),"Rejected")</f>
        <v>Rejected</v>
      </c>
    </row>
    <row r="62">
      <c r="A62" s="9" t="str">
        <f>IFERROR(__xludf.DUMMYFUNCTION("""COMPUTED_VALUE"""),"G-REQ-00061")</f>
        <v>G-REQ-00061</v>
      </c>
      <c r="B62" s="11">
        <f>IFERROR(__xludf.DUMMYFUNCTION("""COMPUTED_VALUE"""),45765.65590739157)</f>
        <v>45765.65591</v>
      </c>
      <c r="C62" s="9">
        <f>IFERROR(__xludf.DUMMYFUNCTION("""COMPUTED_VALUE"""),735.0)</f>
        <v>735</v>
      </c>
      <c r="D62" s="9" t="str">
        <f>IFERROR(__xludf.DUMMYFUNCTION("""COMPUTED_VALUE"""),"Completed")</f>
        <v>Completed</v>
      </c>
    </row>
    <row r="63">
      <c r="A63" s="9" t="str">
        <f>IFERROR(__xludf.DUMMYFUNCTION("""COMPUTED_VALUE"""),"G-REQ-00062")</f>
        <v>G-REQ-00062</v>
      </c>
      <c r="B63" s="11">
        <f>IFERROR(__xludf.DUMMYFUNCTION("""COMPUTED_VALUE"""),45765.72708223698)</f>
        <v>45765.72708</v>
      </c>
      <c r="C63" s="9">
        <f>IFERROR(__xludf.DUMMYFUNCTION("""COMPUTED_VALUE"""),739.0)</f>
        <v>739</v>
      </c>
      <c r="D63" s="9" t="str">
        <f>IFERROR(__xludf.DUMMYFUNCTION("""COMPUTED_VALUE"""),"Completed")</f>
        <v>Completed</v>
      </c>
    </row>
    <row r="64">
      <c r="A64" s="9" t="str">
        <f>IFERROR(__xludf.DUMMYFUNCTION("""COMPUTED_VALUE"""),"G-REQ-00063")</f>
        <v>G-REQ-00063</v>
      </c>
      <c r="B64" s="11">
        <f>IFERROR(__xludf.DUMMYFUNCTION("""COMPUTED_VALUE"""),45765.798257082395)</f>
        <v>45765.79826</v>
      </c>
      <c r="C64" s="9">
        <f>IFERROR(__xludf.DUMMYFUNCTION("""COMPUTED_VALUE"""),743.0)</f>
        <v>743</v>
      </c>
      <c r="D64" s="9" t="str">
        <f>IFERROR(__xludf.DUMMYFUNCTION("""COMPUTED_VALUE"""),"Completed")</f>
        <v>Completed</v>
      </c>
    </row>
    <row r="65">
      <c r="A65" s="9" t="str">
        <f>IFERROR(__xludf.DUMMYFUNCTION("""COMPUTED_VALUE"""),"G-REQ-00064")</f>
        <v>G-REQ-00064</v>
      </c>
      <c r="B65" s="11">
        <f>IFERROR(__xludf.DUMMYFUNCTION("""COMPUTED_VALUE"""),45765.869431927815)</f>
        <v>45765.86943</v>
      </c>
      <c r="C65" s="9">
        <f>IFERROR(__xludf.DUMMYFUNCTION("""COMPUTED_VALUE"""),747.0)</f>
        <v>747</v>
      </c>
      <c r="D65" s="9" t="str">
        <f>IFERROR(__xludf.DUMMYFUNCTION("""COMPUTED_VALUE"""),"Completed")</f>
        <v>Completed</v>
      </c>
    </row>
    <row r="66">
      <c r="A66" s="9" t="str">
        <f>IFERROR(__xludf.DUMMYFUNCTION("""COMPUTED_VALUE"""),"G-REQ-00065")</f>
        <v>G-REQ-00065</v>
      </c>
      <c r="B66" s="11">
        <f>IFERROR(__xludf.DUMMYFUNCTION("""COMPUTED_VALUE"""),45765.94060677323)</f>
        <v>45765.94061</v>
      </c>
      <c r="C66" s="9">
        <f>IFERROR(__xludf.DUMMYFUNCTION("""COMPUTED_VALUE"""),751.0)</f>
        <v>751</v>
      </c>
      <c r="D66" s="9" t="str">
        <f>IFERROR(__xludf.DUMMYFUNCTION("""COMPUTED_VALUE"""),"Completed")</f>
        <v>Completed</v>
      </c>
    </row>
    <row r="67">
      <c r="A67" s="9" t="str">
        <f>IFERROR(__xludf.DUMMYFUNCTION("""COMPUTED_VALUE"""),"G-REQ-00066")</f>
        <v>G-REQ-00066</v>
      </c>
      <c r="B67" s="11">
        <f>IFERROR(__xludf.DUMMYFUNCTION("""COMPUTED_VALUE"""),45766.01178161864)</f>
        <v>45766.01178</v>
      </c>
      <c r="C67" s="9">
        <f>IFERROR(__xludf.DUMMYFUNCTION("""COMPUTED_VALUE"""),755.0)</f>
        <v>755</v>
      </c>
      <c r="D67" s="9" t="str">
        <f>IFERROR(__xludf.DUMMYFUNCTION("""COMPUTED_VALUE"""),"Completed")</f>
        <v>Completed</v>
      </c>
    </row>
    <row r="68">
      <c r="A68" s="9" t="str">
        <f>IFERROR(__xludf.DUMMYFUNCTION("""COMPUTED_VALUE"""),"G-REQ-00067")</f>
        <v>G-REQ-00067</v>
      </c>
      <c r="B68" s="11">
        <f>IFERROR(__xludf.DUMMYFUNCTION("""COMPUTED_VALUE"""),45766.08295646406)</f>
        <v>45766.08296</v>
      </c>
      <c r="C68" s="9">
        <f>IFERROR(__xludf.DUMMYFUNCTION("""COMPUTED_VALUE"""),759.0)</f>
        <v>759</v>
      </c>
      <c r="D68" s="9" t="str">
        <f>IFERROR(__xludf.DUMMYFUNCTION("""COMPUTED_VALUE"""),"Completed")</f>
        <v>Completed</v>
      </c>
    </row>
    <row r="69">
      <c r="A69" s="9" t="str">
        <f>IFERROR(__xludf.DUMMYFUNCTION("""COMPUTED_VALUE"""),"G-REQ-00068")</f>
        <v>G-REQ-00068</v>
      </c>
      <c r="B69" s="11">
        <f>IFERROR(__xludf.DUMMYFUNCTION("""COMPUTED_VALUE"""),45766.15413130948)</f>
        <v>45766.15413</v>
      </c>
      <c r="C69" s="9">
        <f>IFERROR(__xludf.DUMMYFUNCTION("""COMPUTED_VALUE"""),763.0)</f>
        <v>763</v>
      </c>
      <c r="D69" s="9" t="str">
        <f>IFERROR(__xludf.DUMMYFUNCTION("""COMPUTED_VALUE"""),"Completed")</f>
        <v>Completed</v>
      </c>
    </row>
    <row r="70">
      <c r="A70" s="9" t="str">
        <f>IFERROR(__xludf.DUMMYFUNCTION("""COMPUTED_VALUE"""),"G-REQ-00069")</f>
        <v>G-REQ-00069</v>
      </c>
      <c r="B70" s="11">
        <f>IFERROR(__xludf.DUMMYFUNCTION("""COMPUTED_VALUE"""),45766.22530615488)</f>
        <v>45766.22531</v>
      </c>
      <c r="C70" s="9">
        <f>IFERROR(__xludf.DUMMYFUNCTION("""COMPUTED_VALUE"""),767.0)</f>
        <v>767</v>
      </c>
      <c r="D70" s="9" t="str">
        <f>IFERROR(__xludf.DUMMYFUNCTION("""COMPUTED_VALUE"""),"Completed")</f>
        <v>Completed</v>
      </c>
    </row>
    <row r="71">
      <c r="A71" s="9" t="str">
        <f>IFERROR(__xludf.DUMMYFUNCTION("""COMPUTED_VALUE"""),"G-REQ-00070")</f>
        <v>G-REQ-00070</v>
      </c>
      <c r="B71" s="11">
        <f>IFERROR(__xludf.DUMMYFUNCTION("""COMPUTED_VALUE"""),45766.2964810003)</f>
        <v>45766.29648</v>
      </c>
      <c r="C71" s="9">
        <f>IFERROR(__xludf.DUMMYFUNCTION("""COMPUTED_VALUE"""),771.0)</f>
        <v>771</v>
      </c>
      <c r="D71" s="9" t="str">
        <f>IFERROR(__xludf.DUMMYFUNCTION("""COMPUTED_VALUE"""),"Completed")</f>
        <v>Completed</v>
      </c>
    </row>
    <row r="72">
      <c r="A72" s="9" t="str">
        <f>IFERROR(__xludf.DUMMYFUNCTION("""COMPUTED_VALUE"""),"G-REQ-00071")</f>
        <v>G-REQ-00071</v>
      </c>
      <c r="B72" s="11">
        <f>IFERROR(__xludf.DUMMYFUNCTION("""COMPUTED_VALUE"""),45766.367655845715)</f>
        <v>45766.36766</v>
      </c>
      <c r="C72" s="9">
        <f>IFERROR(__xludf.DUMMYFUNCTION("""COMPUTED_VALUE"""),775.0)</f>
        <v>775</v>
      </c>
      <c r="D72" s="9" t="str">
        <f>IFERROR(__xludf.DUMMYFUNCTION("""COMPUTED_VALUE"""),"Completed")</f>
        <v>Completed</v>
      </c>
    </row>
    <row r="73">
      <c r="A73" s="9" t="str">
        <f>IFERROR(__xludf.DUMMYFUNCTION("""COMPUTED_VALUE"""),"G-REQ-00072")</f>
        <v>G-REQ-00072</v>
      </c>
      <c r="B73" s="11">
        <f>IFERROR(__xludf.DUMMYFUNCTION("""COMPUTED_VALUE"""),45766.438830691135)</f>
        <v>45766.43883</v>
      </c>
      <c r="C73" s="9">
        <f>IFERROR(__xludf.DUMMYFUNCTION("""COMPUTED_VALUE"""),779.0)</f>
        <v>779</v>
      </c>
      <c r="D73" s="9" t="str">
        <f>IFERROR(__xludf.DUMMYFUNCTION("""COMPUTED_VALUE"""),"Completed")</f>
        <v>Completed</v>
      </c>
    </row>
    <row r="74">
      <c r="A74" s="9" t="str">
        <f>IFERROR(__xludf.DUMMYFUNCTION("""COMPUTED_VALUE"""),"G-REQ-00073")</f>
        <v>G-REQ-00073</v>
      </c>
      <c r="B74" s="11">
        <f>IFERROR(__xludf.DUMMYFUNCTION("""COMPUTED_VALUE"""),45766.51000553655)</f>
        <v>45766.51001</v>
      </c>
      <c r="C74" s="9">
        <f>IFERROR(__xludf.DUMMYFUNCTION("""COMPUTED_VALUE"""),783.0)</f>
        <v>783</v>
      </c>
      <c r="D74" s="9" t="str">
        <f>IFERROR(__xludf.DUMMYFUNCTION("""COMPUTED_VALUE"""),"Completed")</f>
        <v>Completed</v>
      </c>
    </row>
    <row r="75">
      <c r="A75" s="9" t="str">
        <f>IFERROR(__xludf.DUMMYFUNCTION("""COMPUTED_VALUE"""),"G-REQ-00074")</f>
        <v>G-REQ-00074</v>
      </c>
      <c r="B75" s="11">
        <f>IFERROR(__xludf.DUMMYFUNCTION("""COMPUTED_VALUE"""),45766.58118038197)</f>
        <v>45766.58118</v>
      </c>
      <c r="C75" s="9">
        <f>IFERROR(__xludf.DUMMYFUNCTION("""COMPUTED_VALUE"""),787.0)</f>
        <v>787</v>
      </c>
      <c r="D75" s="9" t="str">
        <f>IFERROR(__xludf.DUMMYFUNCTION("""COMPUTED_VALUE"""),"Completed")</f>
        <v>Completed</v>
      </c>
    </row>
    <row r="76">
      <c r="A76" s="9" t="str">
        <f>IFERROR(__xludf.DUMMYFUNCTION("""COMPUTED_VALUE"""),"G-REQ-00075")</f>
        <v>G-REQ-00075</v>
      </c>
      <c r="B76" s="11">
        <f>IFERROR(__xludf.DUMMYFUNCTION("""COMPUTED_VALUE"""),45766.65235522737)</f>
        <v>45766.65236</v>
      </c>
      <c r="C76" s="9">
        <f>IFERROR(__xludf.DUMMYFUNCTION("""COMPUTED_VALUE"""),791.0)</f>
        <v>791</v>
      </c>
      <c r="D76" s="9" t="str">
        <f>IFERROR(__xludf.DUMMYFUNCTION("""COMPUTED_VALUE"""),"Completed")</f>
        <v>Completed</v>
      </c>
    </row>
    <row r="77">
      <c r="A77" s="9" t="str">
        <f>IFERROR(__xludf.DUMMYFUNCTION("""COMPUTED_VALUE"""),"G-REQ-00076")</f>
        <v>G-REQ-00076</v>
      </c>
      <c r="B77" s="11">
        <f>IFERROR(__xludf.DUMMYFUNCTION("""COMPUTED_VALUE"""),45766.72353007279)</f>
        <v>45766.72353</v>
      </c>
      <c r="C77" s="9">
        <f>IFERROR(__xludf.DUMMYFUNCTION("""COMPUTED_VALUE"""),795.0)</f>
        <v>795</v>
      </c>
      <c r="D77" s="9" t="str">
        <f>IFERROR(__xludf.DUMMYFUNCTION("""COMPUTED_VALUE"""),"Completed")</f>
        <v>Completed</v>
      </c>
    </row>
    <row r="78">
      <c r="A78" s="9" t="str">
        <f>IFERROR(__xludf.DUMMYFUNCTION("""COMPUTED_VALUE"""),"G-REQ-00077")</f>
        <v>G-REQ-00077</v>
      </c>
      <c r="B78" s="11">
        <f>IFERROR(__xludf.DUMMYFUNCTION("""COMPUTED_VALUE"""),45766.79470491821)</f>
        <v>45766.7947</v>
      </c>
      <c r="C78" s="9">
        <f>IFERROR(__xludf.DUMMYFUNCTION("""COMPUTED_VALUE"""),799.0)</f>
        <v>799</v>
      </c>
      <c r="D78" s="9" t="str">
        <f>IFERROR(__xludf.DUMMYFUNCTION("""COMPUTED_VALUE"""),"Completed")</f>
        <v>Completed</v>
      </c>
    </row>
    <row r="79">
      <c r="A79" s="9" t="str">
        <f>IFERROR(__xludf.DUMMYFUNCTION("""COMPUTED_VALUE"""),"G-REQ-00078")</f>
        <v>G-REQ-00078</v>
      </c>
      <c r="B79" s="11">
        <f>IFERROR(__xludf.DUMMYFUNCTION("""COMPUTED_VALUE"""),45766.86587976362)</f>
        <v>45766.86588</v>
      </c>
      <c r="C79" s="9">
        <f>IFERROR(__xludf.DUMMYFUNCTION("""COMPUTED_VALUE"""),803.0)</f>
        <v>803</v>
      </c>
      <c r="D79" s="9" t="str">
        <f>IFERROR(__xludf.DUMMYFUNCTION("""COMPUTED_VALUE"""),"Completed")</f>
        <v>Completed</v>
      </c>
    </row>
    <row r="80">
      <c r="A80" s="9" t="str">
        <f>IFERROR(__xludf.DUMMYFUNCTION("""COMPUTED_VALUE"""),"G-REQ-00079")</f>
        <v>G-REQ-00079</v>
      </c>
      <c r="B80" s="11">
        <f>IFERROR(__xludf.DUMMYFUNCTION("""COMPUTED_VALUE"""),45766.937054609036)</f>
        <v>45766.93705</v>
      </c>
      <c r="C80" s="9">
        <f>IFERROR(__xludf.DUMMYFUNCTION("""COMPUTED_VALUE"""),807.0)</f>
        <v>807</v>
      </c>
      <c r="D80" s="9" t="str">
        <f>IFERROR(__xludf.DUMMYFUNCTION("""COMPUTED_VALUE"""),"Completed")</f>
        <v>Completed</v>
      </c>
    </row>
    <row r="81">
      <c r="A81" s="9" t="str">
        <f>IFERROR(__xludf.DUMMYFUNCTION("""COMPUTED_VALUE"""),"G-REQ-00080")</f>
        <v>G-REQ-00080</v>
      </c>
      <c r="B81" s="11">
        <f>IFERROR(__xludf.DUMMYFUNCTION("""COMPUTED_VALUE"""),45767.008229454455)</f>
        <v>45767.00823</v>
      </c>
      <c r="C81" s="9">
        <f>IFERROR(__xludf.DUMMYFUNCTION("""COMPUTED_VALUE"""),811.0)</f>
        <v>811</v>
      </c>
      <c r="D81" s="9" t="str">
        <f>IFERROR(__xludf.DUMMYFUNCTION("""COMPUTED_VALUE"""),"Completed")</f>
        <v>Completed</v>
      </c>
    </row>
    <row r="82">
      <c r="A82" s="9" t="str">
        <f>IFERROR(__xludf.DUMMYFUNCTION("""COMPUTED_VALUE"""),"G-REQ-00081")</f>
        <v>G-REQ-00081</v>
      </c>
      <c r="B82" s="11">
        <f>IFERROR(__xludf.DUMMYFUNCTION("""COMPUTED_VALUE"""),45767.07940429987)</f>
        <v>45767.0794</v>
      </c>
      <c r="C82" s="9">
        <f>IFERROR(__xludf.DUMMYFUNCTION("""COMPUTED_VALUE"""),815.0)</f>
        <v>815</v>
      </c>
      <c r="D82" s="9" t="str">
        <f>IFERROR(__xludf.DUMMYFUNCTION("""COMPUTED_VALUE"""),"Completed")</f>
        <v>Completed</v>
      </c>
    </row>
    <row r="83">
      <c r="A83" s="9" t="str">
        <f>IFERROR(__xludf.DUMMYFUNCTION("""COMPUTED_VALUE"""),"G-REQ-00082")</f>
        <v>G-REQ-00082</v>
      </c>
      <c r="B83" s="11">
        <f>IFERROR(__xludf.DUMMYFUNCTION("""COMPUTED_VALUE"""),45767.15057914528)</f>
        <v>45767.15058</v>
      </c>
      <c r="C83" s="9">
        <f>IFERROR(__xludf.DUMMYFUNCTION("""COMPUTED_VALUE"""),819.0)</f>
        <v>819</v>
      </c>
      <c r="D83" s="9" t="str">
        <f>IFERROR(__xludf.DUMMYFUNCTION("""COMPUTED_VALUE"""),"Completed")</f>
        <v>Completed</v>
      </c>
    </row>
    <row r="84">
      <c r="A84" s="9" t="str">
        <f>IFERROR(__xludf.DUMMYFUNCTION("""COMPUTED_VALUE"""),"G-REQ-00083")</f>
        <v>G-REQ-00083</v>
      </c>
      <c r="B84" s="11">
        <f>IFERROR(__xludf.DUMMYFUNCTION("""COMPUTED_VALUE"""),45767.2217539907)</f>
        <v>45767.22175</v>
      </c>
      <c r="C84" s="9">
        <f>IFERROR(__xludf.DUMMYFUNCTION("""COMPUTED_VALUE"""),823.0)</f>
        <v>823</v>
      </c>
      <c r="D84" s="9" t="str">
        <f>IFERROR(__xludf.DUMMYFUNCTION("""COMPUTED_VALUE"""),"Completed")</f>
        <v>Completed</v>
      </c>
    </row>
    <row r="85">
      <c r="A85" s="9" t="str">
        <f>IFERROR(__xludf.DUMMYFUNCTION("""COMPUTED_VALUE"""),"G-REQ-00084")</f>
        <v>G-REQ-00084</v>
      </c>
      <c r="B85" s="11">
        <f>IFERROR(__xludf.DUMMYFUNCTION("""COMPUTED_VALUE"""),45767.29292883612)</f>
        <v>45767.29293</v>
      </c>
      <c r="C85" s="9">
        <f>IFERROR(__xludf.DUMMYFUNCTION("""COMPUTED_VALUE"""),827.0)</f>
        <v>827</v>
      </c>
      <c r="D85" s="9" t="str">
        <f>IFERROR(__xludf.DUMMYFUNCTION("""COMPUTED_VALUE"""),"Completed")</f>
        <v>Completed</v>
      </c>
    </row>
    <row r="86">
      <c r="A86" s="9" t="str">
        <f>IFERROR(__xludf.DUMMYFUNCTION("""COMPUTED_VALUE"""),"G-REQ-00085")</f>
        <v>G-REQ-00085</v>
      </c>
      <c r="B86" s="11">
        <f>IFERROR(__xludf.DUMMYFUNCTION("""COMPUTED_VALUE"""),45767.35715923708)</f>
        <v>45767.35716</v>
      </c>
      <c r="C86" s="9">
        <f>IFERROR(__xludf.DUMMYFUNCTION("""COMPUTED_VALUE"""),829.0)</f>
        <v>829</v>
      </c>
      <c r="D86" s="9" t="str">
        <f>IFERROR(__xludf.DUMMYFUNCTION("""COMPUTED_VALUE"""),"Cancelled")</f>
        <v>Cancelled</v>
      </c>
    </row>
    <row r="87">
      <c r="A87" s="9" t="str">
        <f>IFERROR(__xludf.DUMMYFUNCTION("""COMPUTED_VALUE"""),"G-REQ-00086")</f>
        <v>G-REQ-00086</v>
      </c>
      <c r="B87" s="11">
        <f>IFERROR(__xludf.DUMMYFUNCTION("""COMPUTED_VALUE"""),45767.435278526944)</f>
        <v>45767.43528</v>
      </c>
      <c r="C87" s="9">
        <f>IFERROR(__xludf.DUMMYFUNCTION("""COMPUTED_VALUE"""),833.0)</f>
        <v>833</v>
      </c>
      <c r="D87" s="9" t="str">
        <f>IFERROR(__xludf.DUMMYFUNCTION("""COMPUTED_VALUE"""),"Completed")</f>
        <v>Completed</v>
      </c>
    </row>
    <row r="88">
      <c r="A88" s="9" t="str">
        <f>IFERROR(__xludf.DUMMYFUNCTION("""COMPUTED_VALUE"""),"G-REQ-00087")</f>
        <v>G-REQ-00087</v>
      </c>
      <c r="B88" s="11">
        <f>IFERROR(__xludf.DUMMYFUNCTION("""COMPUTED_VALUE"""),45767.506453372356)</f>
        <v>45767.50645</v>
      </c>
      <c r="C88" s="9">
        <f>IFERROR(__xludf.DUMMYFUNCTION("""COMPUTED_VALUE"""),837.0)</f>
        <v>837</v>
      </c>
      <c r="D88" s="9" t="str">
        <f>IFERROR(__xludf.DUMMYFUNCTION("""COMPUTED_VALUE"""),"Completed")</f>
        <v>Completed</v>
      </c>
    </row>
    <row r="89">
      <c r="A89" s="9" t="str">
        <f>IFERROR(__xludf.DUMMYFUNCTION("""COMPUTED_VALUE"""),"G-REQ-00088")</f>
        <v>G-REQ-00088</v>
      </c>
      <c r="B89" s="11">
        <f>IFERROR(__xludf.DUMMYFUNCTION("""COMPUTED_VALUE"""),45767.577628217776)</f>
        <v>45767.57763</v>
      </c>
      <c r="C89" s="9">
        <f>IFERROR(__xludf.DUMMYFUNCTION("""COMPUTED_VALUE"""),841.0)</f>
        <v>841</v>
      </c>
      <c r="D89" s="9" t="str">
        <f>IFERROR(__xludf.DUMMYFUNCTION("""COMPUTED_VALUE"""),"Completed")</f>
        <v>Completed</v>
      </c>
    </row>
    <row r="90">
      <c r="A90" s="9" t="str">
        <f>IFERROR(__xludf.DUMMYFUNCTION("""COMPUTED_VALUE"""),"G-REQ-00089")</f>
        <v>G-REQ-00089</v>
      </c>
      <c r="B90" s="11">
        <f>IFERROR(__xludf.DUMMYFUNCTION("""COMPUTED_VALUE"""),45767.64880306319)</f>
        <v>45767.6488</v>
      </c>
      <c r="C90" s="9">
        <f>IFERROR(__xludf.DUMMYFUNCTION("""COMPUTED_VALUE"""),845.0)</f>
        <v>845</v>
      </c>
      <c r="D90" s="9" t="str">
        <f>IFERROR(__xludf.DUMMYFUNCTION("""COMPUTED_VALUE"""),"Completed")</f>
        <v>Completed</v>
      </c>
    </row>
    <row r="91">
      <c r="A91" s="9" t="str">
        <f>IFERROR(__xludf.DUMMYFUNCTION("""COMPUTED_VALUE"""),"G-REQ-00090")</f>
        <v>G-REQ-00090</v>
      </c>
      <c r="B91" s="11">
        <f>IFERROR(__xludf.DUMMYFUNCTION("""COMPUTED_VALUE"""),45767.71997790861)</f>
        <v>45767.71998</v>
      </c>
      <c r="C91" s="9">
        <f>IFERROR(__xludf.DUMMYFUNCTION("""COMPUTED_VALUE"""),849.0)</f>
        <v>849</v>
      </c>
      <c r="D91" s="9" t="str">
        <f>IFERROR(__xludf.DUMMYFUNCTION("""COMPUTED_VALUE"""),"Completed")</f>
        <v>Completed</v>
      </c>
    </row>
    <row r="92">
      <c r="A92" s="9" t="str">
        <f>IFERROR(__xludf.DUMMYFUNCTION("""COMPUTED_VALUE"""),"G-REQ-00091")</f>
        <v>G-REQ-00091</v>
      </c>
      <c r="B92" s="11">
        <f>IFERROR(__xludf.DUMMYFUNCTION("""COMPUTED_VALUE"""),45767.79115275402)</f>
        <v>45767.79115</v>
      </c>
      <c r="C92" s="9">
        <f>IFERROR(__xludf.DUMMYFUNCTION("""COMPUTED_VALUE"""),853.0)</f>
        <v>853</v>
      </c>
      <c r="D92" s="9" t="str">
        <f>IFERROR(__xludf.DUMMYFUNCTION("""COMPUTED_VALUE"""),"Completed")</f>
        <v>Completed</v>
      </c>
    </row>
    <row r="93">
      <c r="A93" s="9" t="str">
        <f>IFERROR(__xludf.DUMMYFUNCTION("""COMPUTED_VALUE"""),"G-REQ-00092")</f>
        <v>G-REQ-00092</v>
      </c>
      <c r="B93" s="11">
        <f>IFERROR(__xludf.DUMMYFUNCTION("""COMPUTED_VALUE"""),45767.85538315499)</f>
        <v>45767.85538</v>
      </c>
      <c r="C93" s="9">
        <f>IFERROR(__xludf.DUMMYFUNCTION("""COMPUTED_VALUE"""),855.0)</f>
        <v>855</v>
      </c>
      <c r="D93" s="9" t="str">
        <f>IFERROR(__xludf.DUMMYFUNCTION("""COMPUTED_VALUE"""),"Rejected")</f>
        <v>Rejected</v>
      </c>
    </row>
    <row r="94">
      <c r="A94" s="9" t="str">
        <f>IFERROR(__xludf.DUMMYFUNCTION("""COMPUTED_VALUE"""),"G-REQ-00093")</f>
        <v>G-REQ-00093</v>
      </c>
      <c r="B94" s="11">
        <f>IFERROR(__xludf.DUMMYFUNCTION("""COMPUTED_VALUE"""),45767.93350244485)</f>
        <v>45767.9335</v>
      </c>
      <c r="C94" s="9">
        <f>IFERROR(__xludf.DUMMYFUNCTION("""COMPUTED_VALUE"""),859.0)</f>
        <v>859</v>
      </c>
      <c r="D94" s="9" t="str">
        <f>IFERROR(__xludf.DUMMYFUNCTION("""COMPUTED_VALUE"""),"Completed")</f>
        <v>Completed</v>
      </c>
    </row>
    <row r="95">
      <c r="A95" s="9" t="str">
        <f>IFERROR(__xludf.DUMMYFUNCTION("""COMPUTED_VALUE"""),"G-REQ-00094")</f>
        <v>G-REQ-00094</v>
      </c>
      <c r="B95" s="11">
        <f>IFERROR(__xludf.DUMMYFUNCTION("""COMPUTED_VALUE"""),45768.004677290264)</f>
        <v>45768.00468</v>
      </c>
      <c r="C95" s="9">
        <f>IFERROR(__xludf.DUMMYFUNCTION("""COMPUTED_VALUE"""),863.0)</f>
        <v>863</v>
      </c>
      <c r="D95" s="9" t="str">
        <f>IFERROR(__xludf.DUMMYFUNCTION("""COMPUTED_VALUE"""),"Completed")</f>
        <v>Completed</v>
      </c>
    </row>
    <row r="96">
      <c r="A96" s="9" t="str">
        <f>IFERROR(__xludf.DUMMYFUNCTION("""COMPUTED_VALUE"""),"G-REQ-00095")</f>
        <v>G-REQ-00095</v>
      </c>
      <c r="B96" s="11">
        <f>IFERROR(__xludf.DUMMYFUNCTION("""COMPUTED_VALUE"""),45768.07585213568)</f>
        <v>45768.07585</v>
      </c>
      <c r="C96" s="9">
        <f>IFERROR(__xludf.DUMMYFUNCTION("""COMPUTED_VALUE"""),867.0)</f>
        <v>867</v>
      </c>
      <c r="D96" s="9" t="str">
        <f>IFERROR(__xludf.DUMMYFUNCTION("""COMPUTED_VALUE"""),"Completed")</f>
        <v>Completed</v>
      </c>
    </row>
    <row r="97">
      <c r="A97" s="9" t="str">
        <f>IFERROR(__xludf.DUMMYFUNCTION("""COMPUTED_VALUE"""),"G-REQ-00096")</f>
        <v>G-REQ-00096</v>
      </c>
      <c r="B97" s="11">
        <f>IFERROR(__xludf.DUMMYFUNCTION("""COMPUTED_VALUE"""),45768.14008253665)</f>
        <v>45768.14008</v>
      </c>
      <c r="C97" s="9">
        <f>IFERROR(__xludf.DUMMYFUNCTION("""COMPUTED_VALUE"""),869.0)</f>
        <v>869</v>
      </c>
      <c r="D97" s="9" t="str">
        <f>IFERROR(__xludf.DUMMYFUNCTION("""COMPUTED_VALUE"""),"Rejected")</f>
        <v>Rejected</v>
      </c>
    </row>
    <row r="98">
      <c r="A98" s="9" t="str">
        <f>IFERROR(__xludf.DUMMYFUNCTION("""COMPUTED_VALUE"""),"G-REQ-00097")</f>
        <v>G-REQ-00097</v>
      </c>
      <c r="B98" s="11">
        <f>IFERROR(__xludf.DUMMYFUNCTION("""COMPUTED_VALUE"""),45768.21820182651)</f>
        <v>45768.2182</v>
      </c>
      <c r="C98" s="9">
        <f>IFERROR(__xludf.DUMMYFUNCTION("""COMPUTED_VALUE"""),873.0)</f>
        <v>873</v>
      </c>
      <c r="D98" s="9" t="str">
        <f>IFERROR(__xludf.DUMMYFUNCTION("""COMPUTED_VALUE"""),"Completed")</f>
        <v>Completed</v>
      </c>
    </row>
    <row r="99">
      <c r="A99" s="9" t="str">
        <f>IFERROR(__xludf.DUMMYFUNCTION("""COMPUTED_VALUE"""),"G-REQ-00098")</f>
        <v>G-REQ-00098</v>
      </c>
      <c r="B99" s="11">
        <f>IFERROR(__xludf.DUMMYFUNCTION("""COMPUTED_VALUE"""),45768.28937667192)</f>
        <v>45768.28938</v>
      </c>
      <c r="C99" s="9">
        <f>IFERROR(__xludf.DUMMYFUNCTION("""COMPUTED_VALUE"""),877.0)</f>
        <v>877</v>
      </c>
      <c r="D99" s="9" t="str">
        <f>IFERROR(__xludf.DUMMYFUNCTION("""COMPUTED_VALUE"""),"Completed")</f>
        <v>Completed</v>
      </c>
    </row>
    <row r="100">
      <c r="A100" s="9" t="str">
        <f>IFERROR(__xludf.DUMMYFUNCTION("""COMPUTED_VALUE"""),"G-REQ-00099")</f>
        <v>G-REQ-00099</v>
      </c>
      <c r="B100" s="11">
        <f>IFERROR(__xludf.DUMMYFUNCTION("""COMPUTED_VALUE"""),45768.36055151734)</f>
        <v>45768.36055</v>
      </c>
      <c r="C100" s="9">
        <f>IFERROR(__xludf.DUMMYFUNCTION("""COMPUTED_VALUE"""),881.0)</f>
        <v>881</v>
      </c>
      <c r="D100" s="9" t="str">
        <f>IFERROR(__xludf.DUMMYFUNCTION("""COMPUTED_VALUE"""),"Completed")</f>
        <v>Completed</v>
      </c>
    </row>
    <row r="101">
      <c r="A101" s="9" t="str">
        <f>IFERROR(__xludf.DUMMYFUNCTION("""COMPUTED_VALUE"""),"G-REQ-00100")</f>
        <v>G-REQ-00100</v>
      </c>
      <c r="B101" s="11">
        <f>IFERROR(__xludf.DUMMYFUNCTION("""COMPUTED_VALUE"""),45768.43172636276)</f>
        <v>45768.43173</v>
      </c>
      <c r="C101" s="9">
        <f>IFERROR(__xludf.DUMMYFUNCTION("""COMPUTED_VALUE"""),885.0)</f>
        <v>885</v>
      </c>
      <c r="D101" s="9" t="str">
        <f>IFERROR(__xludf.DUMMYFUNCTION("""COMPUTED_VALUE"""),"Completed")</f>
        <v>Completed</v>
      </c>
    </row>
    <row r="102">
      <c r="A102" s="9" t="str">
        <f>IFERROR(__xludf.DUMMYFUNCTION("""COMPUTED_VALUE"""),"G-REQ-00101")</f>
        <v>G-REQ-00101</v>
      </c>
      <c r="B102" s="11">
        <f>IFERROR(__xludf.DUMMYFUNCTION("""COMPUTED_VALUE"""),45768.502901208165)</f>
        <v>45768.5029</v>
      </c>
      <c r="C102" s="9">
        <f>IFERROR(__xludf.DUMMYFUNCTION("""COMPUTED_VALUE"""),889.0)</f>
        <v>889</v>
      </c>
      <c r="D102" s="9" t="str">
        <f>IFERROR(__xludf.DUMMYFUNCTION("""COMPUTED_VALUE"""),"Completed")</f>
        <v>Completed</v>
      </c>
    </row>
    <row r="103">
      <c r="A103" s="9" t="str">
        <f>IFERROR(__xludf.DUMMYFUNCTION("""COMPUTED_VALUE"""),"G-REQ-00102")</f>
        <v>G-REQ-00102</v>
      </c>
      <c r="B103" s="11">
        <f>IFERROR(__xludf.DUMMYFUNCTION("""COMPUTED_VALUE"""),45768.574076053585)</f>
        <v>45768.57408</v>
      </c>
      <c r="C103" s="9">
        <f>IFERROR(__xludf.DUMMYFUNCTION("""COMPUTED_VALUE"""),893.0)</f>
        <v>893</v>
      </c>
      <c r="D103" s="9" t="str">
        <f>IFERROR(__xludf.DUMMYFUNCTION("""COMPUTED_VALUE"""),"Completed")</f>
        <v>Completed</v>
      </c>
    </row>
    <row r="104">
      <c r="A104" s="9" t="str">
        <f>IFERROR(__xludf.DUMMYFUNCTION("""COMPUTED_VALUE"""),"G-REQ-00103")</f>
        <v>G-REQ-00103</v>
      </c>
      <c r="B104" s="11">
        <f>IFERROR(__xludf.DUMMYFUNCTION("""COMPUTED_VALUE"""),45768.645250899004)</f>
        <v>45768.64525</v>
      </c>
      <c r="C104" s="9">
        <f>IFERROR(__xludf.DUMMYFUNCTION("""COMPUTED_VALUE"""),897.0)</f>
        <v>897</v>
      </c>
      <c r="D104" s="9" t="str">
        <f>IFERROR(__xludf.DUMMYFUNCTION("""COMPUTED_VALUE"""),"Completed")</f>
        <v>Completed</v>
      </c>
    </row>
    <row r="105">
      <c r="A105" s="9" t="str">
        <f>IFERROR(__xludf.DUMMYFUNCTION("""COMPUTED_VALUE"""),"G-REQ-00104")</f>
        <v>G-REQ-00104</v>
      </c>
      <c r="B105" s="11">
        <f>IFERROR(__xludf.DUMMYFUNCTION("""COMPUTED_VALUE"""),45768.71642574442)</f>
        <v>45768.71643</v>
      </c>
      <c r="C105" s="9">
        <f>IFERROR(__xludf.DUMMYFUNCTION("""COMPUTED_VALUE"""),901.0)</f>
        <v>901</v>
      </c>
      <c r="D105" s="9" t="str">
        <f>IFERROR(__xludf.DUMMYFUNCTION("""COMPUTED_VALUE"""),"Completed")</f>
        <v>Completed</v>
      </c>
    </row>
    <row r="106">
      <c r="A106" s="9" t="str">
        <f>IFERROR(__xludf.DUMMYFUNCTION("""COMPUTED_VALUE"""),"G-REQ-00105")</f>
        <v>G-REQ-00105</v>
      </c>
      <c r="B106" s="11">
        <f>IFERROR(__xludf.DUMMYFUNCTION("""COMPUTED_VALUE"""),45768.78065614538)</f>
        <v>45768.78066</v>
      </c>
      <c r="C106" s="9">
        <f>IFERROR(__xludf.DUMMYFUNCTION("""COMPUTED_VALUE"""),903.0)</f>
        <v>903</v>
      </c>
      <c r="D106" s="9" t="str">
        <f>IFERROR(__xludf.DUMMYFUNCTION("""COMPUTED_VALUE"""),"Rejected")</f>
        <v>Rejected</v>
      </c>
    </row>
    <row r="107">
      <c r="A107" s="9" t="str">
        <f>IFERROR(__xludf.DUMMYFUNCTION("""COMPUTED_VALUE"""),"G-REQ-00106")</f>
        <v>G-REQ-00106</v>
      </c>
      <c r="B107" s="11">
        <f>IFERROR(__xludf.DUMMYFUNCTION("""COMPUTED_VALUE"""),45768.85877543525)</f>
        <v>45768.85878</v>
      </c>
      <c r="C107" s="9">
        <f>IFERROR(__xludf.DUMMYFUNCTION("""COMPUTED_VALUE"""),907.0)</f>
        <v>907</v>
      </c>
      <c r="D107" s="9" t="str">
        <f>IFERROR(__xludf.DUMMYFUNCTION("""COMPUTED_VALUE"""),"Completed")</f>
        <v>Completed</v>
      </c>
    </row>
    <row r="108">
      <c r="A108" s="9" t="str">
        <f>IFERROR(__xludf.DUMMYFUNCTION("""COMPUTED_VALUE"""),"G-REQ-00107")</f>
        <v>G-REQ-00107</v>
      </c>
      <c r="B108" s="11">
        <f>IFERROR(__xludf.DUMMYFUNCTION("""COMPUTED_VALUE"""),45768.92995028066)</f>
        <v>45768.92995</v>
      </c>
      <c r="C108" s="9">
        <f>IFERROR(__xludf.DUMMYFUNCTION("""COMPUTED_VALUE"""),911.0)</f>
        <v>911</v>
      </c>
      <c r="D108" s="9" t="str">
        <f>IFERROR(__xludf.DUMMYFUNCTION("""COMPUTED_VALUE"""),"Completed")</f>
        <v>Completed</v>
      </c>
    </row>
    <row r="109">
      <c r="A109" s="9" t="str">
        <f>IFERROR(__xludf.DUMMYFUNCTION("""COMPUTED_VALUE"""),"G-REQ-00108")</f>
        <v>G-REQ-00108</v>
      </c>
      <c r="B109" s="11">
        <f>IFERROR(__xludf.DUMMYFUNCTION("""COMPUTED_VALUE"""),45769.00112512607)</f>
        <v>45769.00113</v>
      </c>
      <c r="C109" s="9">
        <f>IFERROR(__xludf.DUMMYFUNCTION("""COMPUTED_VALUE"""),915.0)</f>
        <v>915</v>
      </c>
      <c r="D109" s="9" t="str">
        <f>IFERROR(__xludf.DUMMYFUNCTION("""COMPUTED_VALUE"""),"Completed")</f>
        <v>Completed</v>
      </c>
    </row>
    <row r="110">
      <c r="A110" s="9" t="str">
        <f>IFERROR(__xludf.DUMMYFUNCTION("""COMPUTED_VALUE"""),"G-REQ-00109")</f>
        <v>G-REQ-00109</v>
      </c>
      <c r="B110" s="11">
        <f>IFERROR(__xludf.DUMMYFUNCTION("""COMPUTED_VALUE"""),45769.07229997149)</f>
        <v>45769.0723</v>
      </c>
      <c r="C110" s="9">
        <f>IFERROR(__xludf.DUMMYFUNCTION("""COMPUTED_VALUE"""),919.0)</f>
        <v>919</v>
      </c>
      <c r="D110" s="9" t="str">
        <f>IFERROR(__xludf.DUMMYFUNCTION("""COMPUTED_VALUE"""),"Completed")</f>
        <v>Completed</v>
      </c>
    </row>
    <row r="111">
      <c r="A111" s="9" t="str">
        <f>IFERROR(__xludf.DUMMYFUNCTION("""COMPUTED_VALUE"""),"G-REQ-00110")</f>
        <v>G-REQ-00110</v>
      </c>
      <c r="B111" s="11">
        <f>IFERROR(__xludf.DUMMYFUNCTION("""COMPUTED_VALUE"""),45769.13653037246)</f>
        <v>45769.13653</v>
      </c>
      <c r="C111" s="9">
        <f>IFERROR(__xludf.DUMMYFUNCTION("""COMPUTED_VALUE"""),921.0)</f>
        <v>921</v>
      </c>
      <c r="D111" s="9" t="str">
        <f>IFERROR(__xludf.DUMMYFUNCTION("""COMPUTED_VALUE"""),"Rejected")</f>
        <v>Rejected</v>
      </c>
    </row>
    <row r="112">
      <c r="A112" s="9" t="str">
        <f>IFERROR(__xludf.DUMMYFUNCTION("""COMPUTED_VALUE"""),"G-REQ-00111")</f>
        <v>G-REQ-00111</v>
      </c>
      <c r="B112" s="11">
        <f>IFERROR(__xludf.DUMMYFUNCTION("""COMPUTED_VALUE"""),45769.20770521787)</f>
        <v>45769.20771</v>
      </c>
      <c r="C112" s="9">
        <f>IFERROR(__xludf.DUMMYFUNCTION("""COMPUTED_VALUE"""),923.0)</f>
        <v>923</v>
      </c>
      <c r="D112" s="9" t="str">
        <f>IFERROR(__xludf.DUMMYFUNCTION("""COMPUTED_VALUE"""),"Rejected")</f>
        <v>Rejected</v>
      </c>
    </row>
    <row r="113">
      <c r="A113" s="9" t="str">
        <f>IFERROR(__xludf.DUMMYFUNCTION("""COMPUTED_VALUE"""),"G-REQ-00112")</f>
        <v>G-REQ-00112</v>
      </c>
      <c r="B113" s="11">
        <f>IFERROR(__xludf.DUMMYFUNCTION("""COMPUTED_VALUE"""),45769.28582450774)</f>
        <v>45769.28582</v>
      </c>
      <c r="C113" s="9">
        <f>IFERROR(__xludf.DUMMYFUNCTION("""COMPUTED_VALUE"""),927.0)</f>
        <v>927</v>
      </c>
      <c r="D113" s="9" t="str">
        <f>IFERROR(__xludf.DUMMYFUNCTION("""COMPUTED_VALUE"""),"Completed")</f>
        <v>Completed</v>
      </c>
    </row>
    <row r="114">
      <c r="A114" s="9" t="str">
        <f>IFERROR(__xludf.DUMMYFUNCTION("""COMPUTED_VALUE"""),"G-REQ-00113")</f>
        <v>G-REQ-00113</v>
      </c>
      <c r="B114" s="11">
        <f>IFERROR(__xludf.DUMMYFUNCTION("""COMPUTED_VALUE"""),45769.35699935315)</f>
        <v>45769.357</v>
      </c>
      <c r="C114" s="9">
        <f>IFERROR(__xludf.DUMMYFUNCTION("""COMPUTED_VALUE"""),931.0)</f>
        <v>931</v>
      </c>
      <c r="D114" s="9" t="str">
        <f>IFERROR(__xludf.DUMMYFUNCTION("""COMPUTED_VALUE"""),"Completed")</f>
        <v>Completed</v>
      </c>
    </row>
    <row r="115">
      <c r="A115" s="9" t="str">
        <f>IFERROR(__xludf.DUMMYFUNCTION("""COMPUTED_VALUE"""),"G-REQ-00114")</f>
        <v>G-REQ-00114</v>
      </c>
      <c r="B115" s="11">
        <f>IFERROR(__xludf.DUMMYFUNCTION("""COMPUTED_VALUE"""),45769.42817419856)</f>
        <v>45769.42817</v>
      </c>
      <c r="C115" s="9">
        <f>IFERROR(__xludf.DUMMYFUNCTION("""COMPUTED_VALUE"""),935.0)</f>
        <v>935</v>
      </c>
      <c r="D115" s="9" t="str">
        <f>IFERROR(__xludf.DUMMYFUNCTION("""COMPUTED_VALUE"""),"Completed")</f>
        <v>Completed</v>
      </c>
    </row>
    <row r="116">
      <c r="A116" s="9" t="str">
        <f>IFERROR(__xludf.DUMMYFUNCTION("""COMPUTED_VALUE"""),"G-REQ-00115")</f>
        <v>G-REQ-00115</v>
      </c>
      <c r="B116" s="11">
        <f>IFERROR(__xludf.DUMMYFUNCTION("""COMPUTED_VALUE"""),45769.49934904398)</f>
        <v>45769.49935</v>
      </c>
      <c r="C116" s="9">
        <f>IFERROR(__xludf.DUMMYFUNCTION("""COMPUTED_VALUE"""),939.0)</f>
        <v>939</v>
      </c>
      <c r="D116" s="9" t="str">
        <f>IFERROR(__xludf.DUMMYFUNCTION("""COMPUTED_VALUE"""),"Completed")</f>
        <v>Completed</v>
      </c>
    </row>
    <row r="117">
      <c r="A117" s="9" t="str">
        <f>IFERROR(__xludf.DUMMYFUNCTION("""COMPUTED_VALUE"""),"G-REQ-00116")</f>
        <v>G-REQ-00116</v>
      </c>
      <c r="B117" s="11">
        <f>IFERROR(__xludf.DUMMYFUNCTION("""COMPUTED_VALUE"""),45769.5705238894)</f>
        <v>45769.57052</v>
      </c>
      <c r="C117" s="9">
        <f>IFERROR(__xludf.DUMMYFUNCTION("""COMPUTED_VALUE"""),943.0)</f>
        <v>943</v>
      </c>
      <c r="D117" s="9" t="str">
        <f>IFERROR(__xludf.DUMMYFUNCTION("""COMPUTED_VALUE"""),"Completed")</f>
        <v>Completed</v>
      </c>
    </row>
    <row r="118">
      <c r="A118" s="9" t="str">
        <f>IFERROR(__xludf.DUMMYFUNCTION("""COMPUTED_VALUE"""),"G-REQ-00117")</f>
        <v>G-REQ-00117</v>
      </c>
      <c r="B118" s="11">
        <f>IFERROR(__xludf.DUMMYFUNCTION("""COMPUTED_VALUE"""),45769.641698734806)</f>
        <v>45769.6417</v>
      </c>
      <c r="C118" s="9">
        <f>IFERROR(__xludf.DUMMYFUNCTION("""COMPUTED_VALUE"""),947.0)</f>
        <v>947</v>
      </c>
      <c r="D118" s="9" t="str">
        <f>IFERROR(__xludf.DUMMYFUNCTION("""COMPUTED_VALUE"""),"Completed")</f>
        <v>Completed</v>
      </c>
    </row>
    <row r="119">
      <c r="A119" s="9" t="str">
        <f>IFERROR(__xludf.DUMMYFUNCTION("""COMPUTED_VALUE"""),"G-REQ-00118")</f>
        <v>G-REQ-00118</v>
      </c>
      <c r="B119" s="11">
        <f>IFERROR(__xludf.DUMMYFUNCTION("""COMPUTED_VALUE"""),45769.70592913578)</f>
        <v>45769.70593</v>
      </c>
      <c r="C119" s="9">
        <f>IFERROR(__xludf.DUMMYFUNCTION("""COMPUTED_VALUE"""),949.0)</f>
        <v>949</v>
      </c>
      <c r="D119" s="9" t="str">
        <f>IFERROR(__xludf.DUMMYFUNCTION("""COMPUTED_VALUE"""),"Rejected")</f>
        <v>Rejected</v>
      </c>
    </row>
    <row r="120">
      <c r="A120" s="9" t="str">
        <f>IFERROR(__xludf.DUMMYFUNCTION("""COMPUTED_VALUE"""),"G-REQ-00119")</f>
        <v>G-REQ-00119</v>
      </c>
      <c r="B120" s="11">
        <f>IFERROR(__xludf.DUMMYFUNCTION("""COMPUTED_VALUE"""),45769.784048425645)</f>
        <v>45769.78405</v>
      </c>
      <c r="C120" s="9">
        <f>IFERROR(__xludf.DUMMYFUNCTION("""COMPUTED_VALUE"""),953.0)</f>
        <v>953</v>
      </c>
      <c r="D120" s="9" t="str">
        <f>IFERROR(__xludf.DUMMYFUNCTION("""COMPUTED_VALUE"""),"Completed")</f>
        <v>Completed</v>
      </c>
    </row>
    <row r="121">
      <c r="A121" s="9" t="str">
        <f>IFERROR(__xludf.DUMMYFUNCTION("""COMPUTED_VALUE"""),"G-REQ-00120")</f>
        <v>G-REQ-00120</v>
      </c>
      <c r="B121" s="11">
        <f>IFERROR(__xludf.DUMMYFUNCTION("""COMPUTED_VALUE"""),45769.85522327106)</f>
        <v>45769.85522</v>
      </c>
      <c r="C121" s="9">
        <f>IFERROR(__xludf.DUMMYFUNCTION("""COMPUTED_VALUE"""),957.0)</f>
        <v>957</v>
      </c>
      <c r="D121" s="9" t="str">
        <f>IFERROR(__xludf.DUMMYFUNCTION("""COMPUTED_VALUE"""),"Completed")</f>
        <v>Completed</v>
      </c>
    </row>
    <row r="122">
      <c r="A122" s="9" t="str">
        <f>IFERROR(__xludf.DUMMYFUNCTION("""COMPUTED_VALUE"""),"G-REQ-00121")</f>
        <v>G-REQ-00121</v>
      </c>
      <c r="B122" s="11">
        <f>IFERROR(__xludf.DUMMYFUNCTION("""COMPUTED_VALUE"""),45769.92639811647)</f>
        <v>45769.9264</v>
      </c>
      <c r="C122" s="9">
        <f>IFERROR(__xludf.DUMMYFUNCTION("""COMPUTED_VALUE"""),961.0)</f>
        <v>961</v>
      </c>
      <c r="D122" s="9" t="str">
        <f>IFERROR(__xludf.DUMMYFUNCTION("""COMPUTED_VALUE"""),"Completed")</f>
        <v>Completed</v>
      </c>
    </row>
    <row r="123">
      <c r="A123" s="9" t="str">
        <f>IFERROR(__xludf.DUMMYFUNCTION("""COMPUTED_VALUE"""),"G-REQ-00122")</f>
        <v>G-REQ-00122</v>
      </c>
      <c r="B123" s="11">
        <f>IFERROR(__xludf.DUMMYFUNCTION("""COMPUTED_VALUE"""),45769.99757296189)</f>
        <v>45769.99757</v>
      </c>
      <c r="C123" s="9">
        <f>IFERROR(__xludf.DUMMYFUNCTION("""COMPUTED_VALUE"""),965.0)</f>
        <v>965</v>
      </c>
      <c r="D123" s="9" t="str">
        <f>IFERROR(__xludf.DUMMYFUNCTION("""COMPUTED_VALUE"""),"Completed")</f>
        <v>Completed</v>
      </c>
    </row>
    <row r="124">
      <c r="A124" s="9" t="str">
        <f>IFERROR(__xludf.DUMMYFUNCTION("""COMPUTED_VALUE"""),"G-REQ-00123")</f>
        <v>G-REQ-00123</v>
      </c>
      <c r="B124" s="11">
        <f>IFERROR(__xludf.DUMMYFUNCTION("""COMPUTED_VALUE"""),45770.0687478073)</f>
        <v>45770.06875</v>
      </c>
      <c r="C124" s="9">
        <f>IFERROR(__xludf.DUMMYFUNCTION("""COMPUTED_VALUE"""),969.0)</f>
        <v>969</v>
      </c>
      <c r="D124" s="9" t="str">
        <f>IFERROR(__xludf.DUMMYFUNCTION("""COMPUTED_VALUE"""),"Completed")</f>
        <v>Completed</v>
      </c>
    </row>
    <row r="125">
      <c r="A125" s="9" t="str">
        <f>IFERROR(__xludf.DUMMYFUNCTION("""COMPUTED_VALUE"""),"G-REQ-00124")</f>
        <v>G-REQ-00124</v>
      </c>
      <c r="B125" s="11">
        <f>IFERROR(__xludf.DUMMYFUNCTION("""COMPUTED_VALUE"""),45770.139922652714)</f>
        <v>45770.13992</v>
      </c>
      <c r="C125" s="9">
        <f>IFERROR(__xludf.DUMMYFUNCTION("""COMPUTED_VALUE"""),973.0)</f>
        <v>973</v>
      </c>
      <c r="D125" s="9" t="str">
        <f>IFERROR(__xludf.DUMMYFUNCTION("""COMPUTED_VALUE"""),"Completed")</f>
        <v>Completed</v>
      </c>
    </row>
    <row r="126">
      <c r="A126" s="9" t="str">
        <f>IFERROR(__xludf.DUMMYFUNCTION("""COMPUTED_VALUE"""),"G-REQ-00125")</f>
        <v>G-REQ-00125</v>
      </c>
      <c r="B126" s="11">
        <f>IFERROR(__xludf.DUMMYFUNCTION("""COMPUTED_VALUE"""),45770.21109749813)</f>
        <v>45770.2111</v>
      </c>
      <c r="C126" s="9">
        <f>IFERROR(__xludf.DUMMYFUNCTION("""COMPUTED_VALUE"""),977.0)</f>
        <v>977</v>
      </c>
      <c r="D126" s="9" t="str">
        <f>IFERROR(__xludf.DUMMYFUNCTION("""COMPUTED_VALUE"""),"Completed")</f>
        <v>Completed</v>
      </c>
    </row>
    <row r="127">
      <c r="A127" s="9" t="str">
        <f>IFERROR(__xludf.DUMMYFUNCTION("""COMPUTED_VALUE"""),"G-REQ-00126")</f>
        <v>G-REQ-00126</v>
      </c>
      <c r="B127" s="11">
        <f>IFERROR(__xludf.DUMMYFUNCTION("""COMPUTED_VALUE"""),45770.282272343546)</f>
        <v>45770.28227</v>
      </c>
      <c r="C127" s="9">
        <f>IFERROR(__xludf.DUMMYFUNCTION("""COMPUTED_VALUE"""),981.0)</f>
        <v>981</v>
      </c>
      <c r="D127" s="9" t="str">
        <f>IFERROR(__xludf.DUMMYFUNCTION("""COMPUTED_VALUE"""),"Completed")</f>
        <v>Completed</v>
      </c>
    </row>
    <row r="128">
      <c r="A128" s="9" t="str">
        <f>IFERROR(__xludf.DUMMYFUNCTION("""COMPUTED_VALUE"""),"G-REQ-00127")</f>
        <v>G-REQ-00127</v>
      </c>
      <c r="B128" s="11">
        <f>IFERROR(__xludf.DUMMYFUNCTION("""COMPUTED_VALUE"""),45770.35344718896)</f>
        <v>45770.35345</v>
      </c>
      <c r="C128" s="9">
        <f>IFERROR(__xludf.DUMMYFUNCTION("""COMPUTED_VALUE"""),985.0)</f>
        <v>985</v>
      </c>
      <c r="D128" s="9" t="str">
        <f>IFERROR(__xludf.DUMMYFUNCTION("""COMPUTED_VALUE"""),"Completed")</f>
        <v>Completed</v>
      </c>
    </row>
    <row r="129">
      <c r="A129" s="9" t="str">
        <f>IFERROR(__xludf.DUMMYFUNCTION("""COMPUTED_VALUE"""),"G-REQ-00128")</f>
        <v>G-REQ-00128</v>
      </c>
      <c r="B129" s="11">
        <f>IFERROR(__xludf.DUMMYFUNCTION("""COMPUTED_VALUE"""),45770.42462203438)</f>
        <v>45770.42462</v>
      </c>
      <c r="C129" s="9">
        <f>IFERROR(__xludf.DUMMYFUNCTION("""COMPUTED_VALUE"""),989.0)</f>
        <v>989</v>
      </c>
      <c r="D129" s="9" t="str">
        <f>IFERROR(__xludf.DUMMYFUNCTION("""COMPUTED_VALUE"""),"Completed")</f>
        <v>Completed</v>
      </c>
    </row>
    <row r="130">
      <c r="A130" s="9" t="str">
        <f>IFERROR(__xludf.DUMMYFUNCTION("""COMPUTED_VALUE"""),"G-REQ-00129")</f>
        <v>G-REQ-00129</v>
      </c>
      <c r="B130" s="11">
        <f>IFERROR(__xludf.DUMMYFUNCTION("""COMPUTED_VALUE"""),45770.49579687979)</f>
        <v>45770.4958</v>
      </c>
      <c r="C130" s="9">
        <f>IFERROR(__xludf.DUMMYFUNCTION("""COMPUTED_VALUE"""),993.0)</f>
        <v>993</v>
      </c>
      <c r="D130" s="9" t="str">
        <f>IFERROR(__xludf.DUMMYFUNCTION("""COMPUTED_VALUE"""),"Completed")</f>
        <v>Completed</v>
      </c>
    </row>
    <row r="131">
      <c r="A131" s="9" t="str">
        <f>IFERROR(__xludf.DUMMYFUNCTION("""COMPUTED_VALUE"""),"G-REQ-00130")</f>
        <v>G-REQ-00130</v>
      </c>
      <c r="B131" s="11">
        <f>IFERROR(__xludf.DUMMYFUNCTION("""COMPUTED_VALUE"""),45770.5669717252)</f>
        <v>45770.56697</v>
      </c>
      <c r="C131" s="9">
        <f>IFERROR(__xludf.DUMMYFUNCTION("""COMPUTED_VALUE"""),997.0)</f>
        <v>997</v>
      </c>
      <c r="D131" s="9" t="str">
        <f>IFERROR(__xludf.DUMMYFUNCTION("""COMPUTED_VALUE"""),"Completed")</f>
        <v>Completed</v>
      </c>
    </row>
    <row r="132">
      <c r="A132" s="9" t="str">
        <f>IFERROR(__xludf.DUMMYFUNCTION("""COMPUTED_VALUE"""),"G-REQ-00131")</f>
        <v>G-REQ-00131</v>
      </c>
      <c r="B132" s="11">
        <f>IFERROR(__xludf.DUMMYFUNCTION("""COMPUTED_VALUE"""),45770.63814657062)</f>
        <v>45770.63815</v>
      </c>
      <c r="C132" s="9">
        <f>IFERROR(__xludf.DUMMYFUNCTION("""COMPUTED_VALUE"""),1001.0)</f>
        <v>1001</v>
      </c>
      <c r="D132" s="9" t="str">
        <f>IFERROR(__xludf.DUMMYFUNCTION("""COMPUTED_VALUE"""),"Completed")</f>
        <v>Completed</v>
      </c>
    </row>
    <row r="133">
      <c r="A133" s="9" t="str">
        <f>IFERROR(__xludf.DUMMYFUNCTION("""COMPUTED_VALUE"""),"G-REQ-00132")</f>
        <v>G-REQ-00132</v>
      </c>
      <c r="B133" s="11">
        <f>IFERROR(__xludf.DUMMYFUNCTION("""COMPUTED_VALUE"""),45770.70932141604)</f>
        <v>45770.70932</v>
      </c>
      <c r="C133" s="9">
        <f>IFERROR(__xludf.DUMMYFUNCTION("""COMPUTED_VALUE"""),1005.0)</f>
        <v>1005</v>
      </c>
      <c r="D133" s="9" t="str">
        <f>IFERROR(__xludf.DUMMYFUNCTION("""COMPUTED_VALUE"""),"Completed")</f>
        <v>Completed</v>
      </c>
    </row>
    <row r="134">
      <c r="A134" s="9" t="str">
        <f>IFERROR(__xludf.DUMMYFUNCTION("""COMPUTED_VALUE"""),"G-REQ-00133")</f>
        <v>G-REQ-00133</v>
      </c>
      <c r="B134" s="11">
        <f>IFERROR(__xludf.DUMMYFUNCTION("""COMPUTED_VALUE"""),45770.780496261454)</f>
        <v>45770.7805</v>
      </c>
      <c r="C134" s="9">
        <f>IFERROR(__xludf.DUMMYFUNCTION("""COMPUTED_VALUE"""),1009.0)</f>
        <v>1009</v>
      </c>
      <c r="D134" s="9" t="str">
        <f>IFERROR(__xludf.DUMMYFUNCTION("""COMPUTED_VALUE"""),"Completed")</f>
        <v>Completed</v>
      </c>
    </row>
    <row r="135">
      <c r="A135" s="9" t="str">
        <f>IFERROR(__xludf.DUMMYFUNCTION("""COMPUTED_VALUE"""),"G-REQ-00134")</f>
        <v>G-REQ-00134</v>
      </c>
      <c r="B135" s="11">
        <f>IFERROR(__xludf.DUMMYFUNCTION("""COMPUTED_VALUE"""),45770.851671106866)</f>
        <v>45770.85167</v>
      </c>
      <c r="C135" s="9">
        <f>IFERROR(__xludf.DUMMYFUNCTION("""COMPUTED_VALUE"""),1013.0)</f>
        <v>1013</v>
      </c>
      <c r="D135" s="9" t="str">
        <f>IFERROR(__xludf.DUMMYFUNCTION("""COMPUTED_VALUE"""),"Completed")</f>
        <v>Completed</v>
      </c>
    </row>
    <row r="136">
      <c r="A136" s="9" t="str">
        <f>IFERROR(__xludf.DUMMYFUNCTION("""COMPUTED_VALUE"""),"G-REQ-00135")</f>
        <v>G-REQ-00135</v>
      </c>
      <c r="B136" s="11">
        <f>IFERROR(__xludf.DUMMYFUNCTION("""COMPUTED_VALUE"""),45770.91590150784)</f>
        <v>45770.9159</v>
      </c>
      <c r="C136" s="9">
        <f>IFERROR(__xludf.DUMMYFUNCTION("""COMPUTED_VALUE"""),1015.0)</f>
        <v>1015</v>
      </c>
      <c r="D136" s="9" t="str">
        <f>IFERROR(__xludf.DUMMYFUNCTION("""COMPUTED_VALUE"""),"Cancelled")</f>
        <v>Cancelled</v>
      </c>
    </row>
    <row r="137">
      <c r="A137" s="9" t="str">
        <f>IFERROR(__xludf.DUMMYFUNCTION("""COMPUTED_VALUE"""),"G-REQ-00136")</f>
        <v>G-REQ-00136</v>
      </c>
      <c r="B137" s="11">
        <f>IFERROR(__xludf.DUMMYFUNCTION("""COMPUTED_VALUE"""),45770.9940207977)</f>
        <v>45770.99402</v>
      </c>
      <c r="C137" s="9">
        <f>IFERROR(__xludf.DUMMYFUNCTION("""COMPUTED_VALUE"""),1019.0)</f>
        <v>1019</v>
      </c>
      <c r="D137" s="9" t="str">
        <f>IFERROR(__xludf.DUMMYFUNCTION("""COMPUTED_VALUE"""),"Completed")</f>
        <v>Completed</v>
      </c>
    </row>
    <row r="138">
      <c r="A138" s="9" t="str">
        <f>IFERROR(__xludf.DUMMYFUNCTION("""COMPUTED_VALUE"""),"G-REQ-00137")</f>
        <v>G-REQ-00137</v>
      </c>
      <c r="B138" s="11">
        <f>IFERROR(__xludf.DUMMYFUNCTION("""COMPUTED_VALUE"""),45771.06519564311)</f>
        <v>45771.0652</v>
      </c>
      <c r="C138" s="9">
        <f>IFERROR(__xludf.DUMMYFUNCTION("""COMPUTED_VALUE"""),1023.0)</f>
        <v>1023</v>
      </c>
      <c r="D138" s="9" t="str">
        <f>IFERROR(__xludf.DUMMYFUNCTION("""COMPUTED_VALUE"""),"Completed")</f>
        <v>Completed</v>
      </c>
    </row>
    <row r="139">
      <c r="A139" s="9" t="str">
        <f>IFERROR(__xludf.DUMMYFUNCTION("""COMPUTED_VALUE"""),"G-REQ-00138")</f>
        <v>G-REQ-00138</v>
      </c>
      <c r="B139" s="11">
        <f>IFERROR(__xludf.DUMMYFUNCTION("""COMPUTED_VALUE"""),45771.13637048853)</f>
        <v>45771.13637</v>
      </c>
      <c r="C139" s="9">
        <f>IFERROR(__xludf.DUMMYFUNCTION("""COMPUTED_VALUE"""),1027.0)</f>
        <v>1027</v>
      </c>
      <c r="D139" s="9" t="str">
        <f>IFERROR(__xludf.DUMMYFUNCTION("""COMPUTED_VALUE"""),"Completed")</f>
        <v>Completed</v>
      </c>
    </row>
    <row r="140">
      <c r="A140" s="9" t="str">
        <f>IFERROR(__xludf.DUMMYFUNCTION("""COMPUTED_VALUE"""),"G-REQ-00139")</f>
        <v>G-REQ-00139</v>
      </c>
      <c r="B140" s="11">
        <f>IFERROR(__xludf.DUMMYFUNCTION("""COMPUTED_VALUE"""),45771.2006008895)</f>
        <v>45771.2006</v>
      </c>
      <c r="C140" s="9">
        <f>IFERROR(__xludf.DUMMYFUNCTION("""COMPUTED_VALUE"""),1029.0)</f>
        <v>1029</v>
      </c>
      <c r="D140" s="9" t="str">
        <f>IFERROR(__xludf.DUMMYFUNCTION("""COMPUTED_VALUE"""),"Cancelled")</f>
        <v>Cancelled</v>
      </c>
    </row>
    <row r="141">
      <c r="A141" s="9" t="str">
        <f>IFERROR(__xludf.DUMMYFUNCTION("""COMPUTED_VALUE"""),"G-REQ-00140")</f>
        <v>G-REQ-00140</v>
      </c>
      <c r="B141" s="11">
        <f>IFERROR(__xludf.DUMMYFUNCTION("""COMPUTED_VALUE"""),45771.278720179354)</f>
        <v>45771.27872</v>
      </c>
      <c r="C141" s="9">
        <f>IFERROR(__xludf.DUMMYFUNCTION("""COMPUTED_VALUE"""),1033.0)</f>
        <v>1033</v>
      </c>
      <c r="D141" s="9" t="str">
        <f>IFERROR(__xludf.DUMMYFUNCTION("""COMPUTED_VALUE"""),"Completed")</f>
        <v>Completed</v>
      </c>
    </row>
    <row r="142">
      <c r="A142" s="9" t="str">
        <f>IFERROR(__xludf.DUMMYFUNCTION("""COMPUTED_VALUE"""),"G-REQ-00141")</f>
        <v>G-REQ-00141</v>
      </c>
      <c r="B142" s="11">
        <f>IFERROR(__xludf.DUMMYFUNCTION("""COMPUTED_VALUE"""),45771.349895024774)</f>
        <v>45771.3499</v>
      </c>
      <c r="C142" s="9">
        <f>IFERROR(__xludf.DUMMYFUNCTION("""COMPUTED_VALUE"""),1037.0)</f>
        <v>1037</v>
      </c>
      <c r="D142" s="9" t="str">
        <f>IFERROR(__xludf.DUMMYFUNCTION("""COMPUTED_VALUE"""),"Completed")</f>
        <v>Completed</v>
      </c>
    </row>
    <row r="143">
      <c r="A143" s="9" t="str">
        <f>IFERROR(__xludf.DUMMYFUNCTION("""COMPUTED_VALUE"""),"G-REQ-00142")</f>
        <v>G-REQ-00142</v>
      </c>
      <c r="B143" s="11">
        <f>IFERROR(__xludf.DUMMYFUNCTION("""COMPUTED_VALUE"""),45771.421069870186)</f>
        <v>45771.42107</v>
      </c>
      <c r="C143" s="9">
        <f>IFERROR(__xludf.DUMMYFUNCTION("""COMPUTED_VALUE"""),1041.0)</f>
        <v>1041</v>
      </c>
      <c r="D143" s="9" t="str">
        <f>IFERROR(__xludf.DUMMYFUNCTION("""COMPUTED_VALUE"""),"Completed")</f>
        <v>Completed</v>
      </c>
    </row>
    <row r="144">
      <c r="A144" s="9" t="str">
        <f>IFERROR(__xludf.DUMMYFUNCTION("""COMPUTED_VALUE"""),"G-REQ-00143")</f>
        <v>G-REQ-00143</v>
      </c>
      <c r="B144" s="11">
        <f>IFERROR(__xludf.DUMMYFUNCTION("""COMPUTED_VALUE"""),45771.4922447156)</f>
        <v>45771.49224</v>
      </c>
      <c r="C144" s="9">
        <f>IFERROR(__xludf.DUMMYFUNCTION("""COMPUTED_VALUE"""),1045.0)</f>
        <v>1045</v>
      </c>
      <c r="D144" s="9" t="str">
        <f>IFERROR(__xludf.DUMMYFUNCTION("""COMPUTED_VALUE"""),"Completed")</f>
        <v>Completed</v>
      </c>
    </row>
    <row r="145">
      <c r="A145" s="9" t="str">
        <f>IFERROR(__xludf.DUMMYFUNCTION("""COMPUTED_VALUE"""),"G-REQ-00144")</f>
        <v>G-REQ-00144</v>
      </c>
      <c r="B145" s="11">
        <f>IFERROR(__xludf.DUMMYFUNCTION("""COMPUTED_VALUE"""),45771.56341956102)</f>
        <v>45771.56342</v>
      </c>
      <c r="C145" s="9">
        <f>IFERROR(__xludf.DUMMYFUNCTION("""COMPUTED_VALUE"""),1049.0)</f>
        <v>1049</v>
      </c>
      <c r="D145" s="9" t="str">
        <f>IFERROR(__xludf.DUMMYFUNCTION("""COMPUTED_VALUE"""),"Completed")</f>
        <v>Completed</v>
      </c>
    </row>
    <row r="146">
      <c r="A146" s="9" t="str">
        <f>IFERROR(__xludf.DUMMYFUNCTION("""COMPUTED_VALUE"""),"G-REQ-00145")</f>
        <v>G-REQ-00145</v>
      </c>
      <c r="B146" s="11">
        <f>IFERROR(__xludf.DUMMYFUNCTION("""COMPUTED_VALUE"""),45771.63459440644)</f>
        <v>45771.63459</v>
      </c>
      <c r="C146" s="9">
        <f>IFERROR(__xludf.DUMMYFUNCTION("""COMPUTED_VALUE"""),1053.0)</f>
        <v>1053</v>
      </c>
      <c r="D146" s="9" t="str">
        <f>IFERROR(__xludf.DUMMYFUNCTION("""COMPUTED_VALUE"""),"Completed")</f>
        <v>Completed</v>
      </c>
    </row>
    <row r="147">
      <c r="A147" s="9" t="str">
        <f>IFERROR(__xludf.DUMMYFUNCTION("""COMPUTED_VALUE"""),"G-REQ-00146")</f>
        <v>G-REQ-00146</v>
      </c>
      <c r="B147" s="11">
        <f>IFERROR(__xludf.DUMMYFUNCTION("""COMPUTED_VALUE"""),45771.70576925184)</f>
        <v>45771.70577</v>
      </c>
      <c r="C147" s="9">
        <f>IFERROR(__xludf.DUMMYFUNCTION("""COMPUTED_VALUE"""),1057.0)</f>
        <v>1057</v>
      </c>
      <c r="D147" s="9" t="str">
        <f>IFERROR(__xludf.DUMMYFUNCTION("""COMPUTED_VALUE"""),"Completed")</f>
        <v>Completed</v>
      </c>
    </row>
    <row r="148">
      <c r="A148" s="9" t="str">
        <f>IFERROR(__xludf.DUMMYFUNCTION("""COMPUTED_VALUE"""),"G-REQ-00147")</f>
        <v>G-REQ-00147</v>
      </c>
      <c r="B148" s="11">
        <f>IFERROR(__xludf.DUMMYFUNCTION("""COMPUTED_VALUE"""),45771.77694409726)</f>
        <v>45771.77694</v>
      </c>
      <c r="C148" s="9">
        <f>IFERROR(__xludf.DUMMYFUNCTION("""COMPUTED_VALUE"""),1061.0)</f>
        <v>1061</v>
      </c>
      <c r="D148" s="9" t="str">
        <f>IFERROR(__xludf.DUMMYFUNCTION("""COMPUTED_VALUE"""),"Completed")</f>
        <v>Completed</v>
      </c>
    </row>
    <row r="149">
      <c r="A149" s="9" t="str">
        <f>IFERROR(__xludf.DUMMYFUNCTION("""COMPUTED_VALUE"""),"G-REQ-00148")</f>
        <v>G-REQ-00148</v>
      </c>
      <c r="B149" s="11">
        <f>IFERROR(__xludf.DUMMYFUNCTION("""COMPUTED_VALUE"""),45771.84811894268)</f>
        <v>45771.84812</v>
      </c>
      <c r="C149" s="9">
        <f>IFERROR(__xludf.DUMMYFUNCTION("""COMPUTED_VALUE"""),1065.0)</f>
        <v>1065</v>
      </c>
      <c r="D149" s="9" t="str">
        <f>IFERROR(__xludf.DUMMYFUNCTION("""COMPUTED_VALUE"""),"Completed")</f>
        <v>Completed</v>
      </c>
    </row>
    <row r="150">
      <c r="A150" s="9" t="str">
        <f>IFERROR(__xludf.DUMMYFUNCTION("""COMPUTED_VALUE"""),"G-REQ-00149")</f>
        <v>G-REQ-00149</v>
      </c>
      <c r="B150" s="11">
        <f>IFERROR(__xludf.DUMMYFUNCTION("""COMPUTED_VALUE"""),45771.919293788094)</f>
        <v>45771.91929</v>
      </c>
      <c r="C150" s="9">
        <f>IFERROR(__xludf.DUMMYFUNCTION("""COMPUTED_VALUE"""),1069.0)</f>
        <v>1069</v>
      </c>
      <c r="D150" s="9" t="str">
        <f>IFERROR(__xludf.DUMMYFUNCTION("""COMPUTED_VALUE"""),"Completed")</f>
        <v>Completed</v>
      </c>
    </row>
    <row r="151">
      <c r="A151" s="9" t="str">
        <f>IFERROR(__xludf.DUMMYFUNCTION("""COMPUTED_VALUE"""),"G-REQ-00150")</f>
        <v>G-REQ-00150</v>
      </c>
      <c r="B151" s="11">
        <f>IFERROR(__xludf.DUMMYFUNCTION("""COMPUTED_VALUE"""),45771.99046863351)</f>
        <v>45771.99047</v>
      </c>
      <c r="C151" s="9">
        <f>IFERROR(__xludf.DUMMYFUNCTION("""COMPUTED_VALUE"""),1073.0)</f>
        <v>1073</v>
      </c>
      <c r="D151" s="9" t="str">
        <f>IFERROR(__xludf.DUMMYFUNCTION("""COMPUTED_VALUE"""),"Completed")</f>
        <v>Completed</v>
      </c>
    </row>
    <row r="152">
      <c r="A152" s="9" t="str">
        <f>IFERROR(__xludf.DUMMYFUNCTION("""COMPUTED_VALUE"""),"G-REQ-00151")</f>
        <v>G-REQ-00151</v>
      </c>
      <c r="B152" s="11">
        <f>IFERROR(__xludf.DUMMYFUNCTION("""COMPUTED_VALUE"""),45772.061643478926)</f>
        <v>45772.06164</v>
      </c>
      <c r="C152" s="9">
        <f>IFERROR(__xludf.DUMMYFUNCTION("""COMPUTED_VALUE"""),1077.0)</f>
        <v>1077</v>
      </c>
      <c r="D152" s="9" t="str">
        <f>IFERROR(__xludf.DUMMYFUNCTION("""COMPUTED_VALUE"""),"Completed")</f>
        <v>Completed</v>
      </c>
    </row>
    <row r="153">
      <c r="A153" s="9" t="str">
        <f>IFERROR(__xludf.DUMMYFUNCTION("""COMPUTED_VALUE"""),"G-REQ-00152")</f>
        <v>G-REQ-00152</v>
      </c>
      <c r="B153" s="11">
        <f>IFERROR(__xludf.DUMMYFUNCTION("""COMPUTED_VALUE"""),45772.13281832434)</f>
        <v>45772.13282</v>
      </c>
      <c r="C153" s="9">
        <f>IFERROR(__xludf.DUMMYFUNCTION("""COMPUTED_VALUE"""),1081.0)</f>
        <v>1081</v>
      </c>
      <c r="D153" s="9" t="str">
        <f>IFERROR(__xludf.DUMMYFUNCTION("""COMPUTED_VALUE"""),"Completed")</f>
        <v>Completed</v>
      </c>
    </row>
    <row r="154">
      <c r="A154" s="9" t="str">
        <f>IFERROR(__xludf.DUMMYFUNCTION("""COMPUTED_VALUE"""),"G-REQ-00153")</f>
        <v>G-REQ-00153</v>
      </c>
      <c r="B154" s="11">
        <f>IFERROR(__xludf.DUMMYFUNCTION("""COMPUTED_VALUE"""),45772.20399316975)</f>
        <v>45772.20399</v>
      </c>
      <c r="C154" s="9">
        <f>IFERROR(__xludf.DUMMYFUNCTION("""COMPUTED_VALUE"""),1085.0)</f>
        <v>1085</v>
      </c>
      <c r="D154" s="9" t="str">
        <f>IFERROR(__xludf.DUMMYFUNCTION("""COMPUTED_VALUE"""),"Completed")</f>
        <v>Completed</v>
      </c>
    </row>
    <row r="155">
      <c r="A155" s="9" t="str">
        <f>IFERROR(__xludf.DUMMYFUNCTION("""COMPUTED_VALUE"""),"G-REQ-00154")</f>
        <v>G-REQ-00154</v>
      </c>
      <c r="B155" s="11">
        <f>IFERROR(__xludf.DUMMYFUNCTION("""COMPUTED_VALUE"""),45772.27516801517)</f>
        <v>45772.27517</v>
      </c>
      <c r="C155" s="9">
        <f>IFERROR(__xludf.DUMMYFUNCTION("""COMPUTED_VALUE"""),1089.0)</f>
        <v>1089</v>
      </c>
      <c r="D155" s="9" t="str">
        <f>IFERROR(__xludf.DUMMYFUNCTION("""COMPUTED_VALUE"""),"Completed")</f>
        <v>Completed</v>
      </c>
    </row>
    <row r="156">
      <c r="A156" s="9" t="str">
        <f>IFERROR(__xludf.DUMMYFUNCTION("""COMPUTED_VALUE"""),"G-REQ-00155")</f>
        <v>G-REQ-00155</v>
      </c>
      <c r="B156" s="11">
        <f>IFERROR(__xludf.DUMMYFUNCTION("""COMPUTED_VALUE"""),45772.34634286058)</f>
        <v>45772.34634</v>
      </c>
      <c r="C156" s="9">
        <f>IFERROR(__xludf.DUMMYFUNCTION("""COMPUTED_VALUE"""),1093.0)</f>
        <v>1093</v>
      </c>
      <c r="D156" s="9" t="str">
        <f>IFERROR(__xludf.DUMMYFUNCTION("""COMPUTED_VALUE"""),"Completed")</f>
        <v>Completed</v>
      </c>
    </row>
    <row r="157">
      <c r="A157" s="9" t="str">
        <f>IFERROR(__xludf.DUMMYFUNCTION("""COMPUTED_VALUE"""),"G-REQ-00156")</f>
        <v>G-REQ-00156</v>
      </c>
      <c r="B157" s="11">
        <f>IFERROR(__xludf.DUMMYFUNCTION("""COMPUTED_VALUE"""),45772.417517705995)</f>
        <v>45772.41752</v>
      </c>
      <c r="C157" s="9">
        <f>IFERROR(__xludf.DUMMYFUNCTION("""COMPUTED_VALUE"""),1097.0)</f>
        <v>1097</v>
      </c>
      <c r="D157" s="9" t="str">
        <f>IFERROR(__xludf.DUMMYFUNCTION("""COMPUTED_VALUE"""),"Completed")</f>
        <v>Completed</v>
      </c>
    </row>
    <row r="158">
      <c r="A158" s="9" t="str">
        <f>IFERROR(__xludf.DUMMYFUNCTION("""COMPUTED_VALUE"""),"G-REQ-00157")</f>
        <v>G-REQ-00157</v>
      </c>
      <c r="B158" s="11">
        <f>IFERROR(__xludf.DUMMYFUNCTION("""COMPUTED_VALUE"""),45772.48174810697)</f>
        <v>45772.48175</v>
      </c>
      <c r="C158" s="9">
        <f>IFERROR(__xludf.DUMMYFUNCTION("""COMPUTED_VALUE"""),1099.0)</f>
        <v>1099</v>
      </c>
      <c r="D158" s="9" t="str">
        <f>IFERROR(__xludf.DUMMYFUNCTION("""COMPUTED_VALUE"""),"Rejected")</f>
        <v>Rejected</v>
      </c>
    </row>
    <row r="159">
      <c r="A159" s="9" t="str">
        <f>IFERROR(__xludf.DUMMYFUNCTION("""COMPUTED_VALUE"""),"G-REQ-00158")</f>
        <v>G-REQ-00158</v>
      </c>
      <c r="B159" s="11">
        <f>IFERROR(__xludf.DUMMYFUNCTION("""COMPUTED_VALUE"""),45772.55986739683)</f>
        <v>45772.55987</v>
      </c>
      <c r="C159" s="9">
        <f>IFERROR(__xludf.DUMMYFUNCTION("""COMPUTED_VALUE"""),1103.0)</f>
        <v>1103</v>
      </c>
      <c r="D159" s="9" t="str">
        <f>IFERROR(__xludf.DUMMYFUNCTION("""COMPUTED_VALUE"""),"Completed")</f>
        <v>Completed</v>
      </c>
    </row>
    <row r="160">
      <c r="A160" s="9" t="str">
        <f>IFERROR(__xludf.DUMMYFUNCTION("""COMPUTED_VALUE"""),"G-REQ-00159")</f>
        <v>G-REQ-00159</v>
      </c>
      <c r="B160" s="11">
        <f>IFERROR(__xludf.DUMMYFUNCTION("""COMPUTED_VALUE"""),45772.63104224224)</f>
        <v>45772.63104</v>
      </c>
      <c r="C160" s="9">
        <f>IFERROR(__xludf.DUMMYFUNCTION("""COMPUTED_VALUE"""),1107.0)</f>
        <v>1107</v>
      </c>
      <c r="D160" s="9" t="str">
        <f>IFERROR(__xludf.DUMMYFUNCTION("""COMPUTED_VALUE"""),"Completed")</f>
        <v>Completed</v>
      </c>
    </row>
    <row r="161">
      <c r="A161" s="9" t="str">
        <f>IFERROR(__xludf.DUMMYFUNCTION("""COMPUTED_VALUE"""),"G-REQ-00160")</f>
        <v>G-REQ-00160</v>
      </c>
      <c r="B161" s="11">
        <f>IFERROR(__xludf.DUMMYFUNCTION("""COMPUTED_VALUE"""),45772.70221708766)</f>
        <v>45772.70222</v>
      </c>
      <c r="C161" s="9">
        <f>IFERROR(__xludf.DUMMYFUNCTION("""COMPUTED_VALUE"""),1111.0)</f>
        <v>1111</v>
      </c>
      <c r="D161" s="9" t="str">
        <f>IFERROR(__xludf.DUMMYFUNCTION("""COMPUTED_VALUE"""),"Completed")</f>
        <v>Completed</v>
      </c>
    </row>
    <row r="162">
      <c r="A162" s="9" t="str">
        <f>IFERROR(__xludf.DUMMYFUNCTION("""COMPUTED_VALUE"""),"G-REQ-00161")</f>
        <v>G-REQ-00161</v>
      </c>
      <c r="B162" s="11">
        <f>IFERROR(__xludf.DUMMYFUNCTION("""COMPUTED_VALUE"""),45772.77339193308)</f>
        <v>45772.77339</v>
      </c>
      <c r="C162" s="9">
        <f>IFERROR(__xludf.DUMMYFUNCTION("""COMPUTED_VALUE"""),1115.0)</f>
        <v>1115</v>
      </c>
      <c r="D162" s="9" t="str">
        <f>IFERROR(__xludf.DUMMYFUNCTION("""COMPUTED_VALUE"""),"Completed")</f>
        <v>Completed</v>
      </c>
    </row>
    <row r="163">
      <c r="A163" s="9" t="str">
        <f>IFERROR(__xludf.DUMMYFUNCTION("""COMPUTED_VALUE"""),"G-REQ-00162")</f>
        <v>G-REQ-00162</v>
      </c>
      <c r="B163" s="11">
        <f>IFERROR(__xludf.DUMMYFUNCTION("""COMPUTED_VALUE"""),45772.84456677848)</f>
        <v>45772.84457</v>
      </c>
      <c r="C163" s="9">
        <f>IFERROR(__xludf.DUMMYFUNCTION("""COMPUTED_VALUE"""),1119.0)</f>
        <v>1119</v>
      </c>
      <c r="D163" s="9" t="str">
        <f>IFERROR(__xludf.DUMMYFUNCTION("""COMPUTED_VALUE"""),"Completed")</f>
        <v>Completed</v>
      </c>
    </row>
    <row r="164">
      <c r="A164" s="9" t="str">
        <f>IFERROR(__xludf.DUMMYFUNCTION("""COMPUTED_VALUE"""),"G-REQ-00163")</f>
        <v>G-REQ-00163</v>
      </c>
      <c r="B164" s="11">
        <f>IFERROR(__xludf.DUMMYFUNCTION("""COMPUTED_VALUE"""),45772.9157416239)</f>
        <v>45772.91574</v>
      </c>
      <c r="C164" s="9">
        <f>IFERROR(__xludf.DUMMYFUNCTION("""COMPUTED_VALUE"""),1123.0)</f>
        <v>1123</v>
      </c>
      <c r="D164" s="9" t="str">
        <f>IFERROR(__xludf.DUMMYFUNCTION("""COMPUTED_VALUE"""),"Completed")</f>
        <v>Completed</v>
      </c>
    </row>
    <row r="165">
      <c r="A165" s="9" t="str">
        <f>IFERROR(__xludf.DUMMYFUNCTION("""COMPUTED_VALUE"""),"G-REQ-00164")</f>
        <v>G-REQ-00164</v>
      </c>
      <c r="B165" s="11">
        <f>IFERROR(__xludf.DUMMYFUNCTION("""COMPUTED_VALUE"""),45772.98691646932)</f>
        <v>45772.98692</v>
      </c>
      <c r="C165" s="9">
        <f>IFERROR(__xludf.DUMMYFUNCTION("""COMPUTED_VALUE"""),1127.0)</f>
        <v>1127</v>
      </c>
      <c r="D165" s="9" t="str">
        <f>IFERROR(__xludf.DUMMYFUNCTION("""COMPUTED_VALUE"""),"Completed")</f>
        <v>Completed</v>
      </c>
    </row>
    <row r="166">
      <c r="A166" s="9" t="str">
        <f>IFERROR(__xludf.DUMMYFUNCTION("""COMPUTED_VALUE"""),"G-REQ-00165")</f>
        <v>G-REQ-00165</v>
      </c>
      <c r="B166" s="11">
        <f>IFERROR(__xludf.DUMMYFUNCTION("""COMPUTED_VALUE"""),45773.05114687029)</f>
        <v>45773.05115</v>
      </c>
      <c r="C166" s="9">
        <f>IFERROR(__xludf.DUMMYFUNCTION("""COMPUTED_VALUE"""),1129.0)</f>
        <v>1129</v>
      </c>
      <c r="D166" s="9" t="str">
        <f>IFERROR(__xludf.DUMMYFUNCTION("""COMPUTED_VALUE"""),"Rejected")</f>
        <v>Rejected</v>
      </c>
    </row>
    <row r="167">
      <c r="A167" s="9" t="str">
        <f>IFERROR(__xludf.DUMMYFUNCTION("""COMPUTED_VALUE"""),"G-REQ-00166")</f>
        <v>G-REQ-00166</v>
      </c>
      <c r="B167" s="11">
        <f>IFERROR(__xludf.DUMMYFUNCTION("""COMPUTED_VALUE"""),45773.12926616015)</f>
        <v>45773.12927</v>
      </c>
      <c r="C167" s="9">
        <f>IFERROR(__xludf.DUMMYFUNCTION("""COMPUTED_VALUE"""),1133.0)</f>
        <v>1133</v>
      </c>
      <c r="D167" s="9" t="str">
        <f>IFERROR(__xludf.DUMMYFUNCTION("""COMPUTED_VALUE"""),"Completed")</f>
        <v>Completed</v>
      </c>
    </row>
    <row r="168">
      <c r="A168" s="9" t="str">
        <f>IFERROR(__xludf.DUMMYFUNCTION("""COMPUTED_VALUE"""),"G-REQ-00167")</f>
        <v>G-REQ-00167</v>
      </c>
      <c r="B168" s="11">
        <f>IFERROR(__xludf.DUMMYFUNCTION("""COMPUTED_VALUE"""),45773.20044100557)</f>
        <v>45773.20044</v>
      </c>
      <c r="C168" s="9">
        <f>IFERROR(__xludf.DUMMYFUNCTION("""COMPUTED_VALUE"""),1137.0)</f>
        <v>1137</v>
      </c>
      <c r="D168" s="9" t="str">
        <f>IFERROR(__xludf.DUMMYFUNCTION("""COMPUTED_VALUE"""),"Completed")</f>
        <v>Completed</v>
      </c>
    </row>
    <row r="169">
      <c r="A169" s="9" t="str">
        <f>IFERROR(__xludf.DUMMYFUNCTION("""COMPUTED_VALUE"""),"G-REQ-00168")</f>
        <v>G-REQ-00168</v>
      </c>
      <c r="B169" s="11">
        <f>IFERROR(__xludf.DUMMYFUNCTION("""COMPUTED_VALUE"""),45773.27161585098)</f>
        <v>45773.27162</v>
      </c>
      <c r="C169" s="9">
        <f>IFERROR(__xludf.DUMMYFUNCTION("""COMPUTED_VALUE"""),1141.0)</f>
        <v>1141</v>
      </c>
      <c r="D169" s="9" t="str">
        <f>IFERROR(__xludf.DUMMYFUNCTION("""COMPUTED_VALUE"""),"Completed")</f>
        <v>Completed</v>
      </c>
    </row>
    <row r="170">
      <c r="A170" s="9" t="str">
        <f>IFERROR(__xludf.DUMMYFUNCTION("""COMPUTED_VALUE"""),"G-REQ-00169")</f>
        <v>G-REQ-00169</v>
      </c>
      <c r="B170" s="11">
        <f>IFERROR(__xludf.DUMMYFUNCTION("""COMPUTED_VALUE"""),45773.335846251946)</f>
        <v>45773.33585</v>
      </c>
      <c r="C170" s="9">
        <f>IFERROR(__xludf.DUMMYFUNCTION("""COMPUTED_VALUE"""),1143.0)</f>
        <v>1143</v>
      </c>
      <c r="D170" s="9" t="str">
        <f>IFERROR(__xludf.DUMMYFUNCTION("""COMPUTED_VALUE"""),"Rejected")</f>
        <v>Rejected</v>
      </c>
    </row>
    <row r="171">
      <c r="A171" s="9" t="str">
        <f>IFERROR(__xludf.DUMMYFUNCTION("""COMPUTED_VALUE"""),"G-REQ-00170")</f>
        <v>G-REQ-00170</v>
      </c>
      <c r="B171" s="11">
        <f>IFERROR(__xludf.DUMMYFUNCTION("""COMPUTED_VALUE"""),45773.41396554181)</f>
        <v>45773.41397</v>
      </c>
      <c r="C171" s="9">
        <f>IFERROR(__xludf.DUMMYFUNCTION("""COMPUTED_VALUE"""),1147.0)</f>
        <v>1147</v>
      </c>
      <c r="D171" s="9" t="str">
        <f>IFERROR(__xludf.DUMMYFUNCTION("""COMPUTED_VALUE"""),"Completed")</f>
        <v>Completed</v>
      </c>
    </row>
    <row r="172">
      <c r="A172" s="9" t="str">
        <f>IFERROR(__xludf.DUMMYFUNCTION("""COMPUTED_VALUE"""),"G-REQ-00171")</f>
        <v>G-REQ-00171</v>
      </c>
      <c r="B172" s="11">
        <f>IFERROR(__xludf.DUMMYFUNCTION("""COMPUTED_VALUE"""),45773.48514038722)</f>
        <v>45773.48514</v>
      </c>
      <c r="C172" s="9">
        <f>IFERROR(__xludf.DUMMYFUNCTION("""COMPUTED_VALUE"""),1151.0)</f>
        <v>1151</v>
      </c>
      <c r="D172" s="9" t="str">
        <f>IFERROR(__xludf.DUMMYFUNCTION("""COMPUTED_VALUE"""),"Completed")</f>
        <v>Completed</v>
      </c>
    </row>
    <row r="173">
      <c r="A173" s="9" t="str">
        <f>IFERROR(__xludf.DUMMYFUNCTION("""COMPUTED_VALUE"""),"G-REQ-00172")</f>
        <v>G-REQ-00172</v>
      </c>
      <c r="B173" s="11">
        <f>IFERROR(__xludf.DUMMYFUNCTION("""COMPUTED_VALUE"""),45773.556315232636)</f>
        <v>45773.55632</v>
      </c>
      <c r="C173" s="9">
        <f>IFERROR(__xludf.DUMMYFUNCTION("""COMPUTED_VALUE"""),1155.0)</f>
        <v>1155</v>
      </c>
      <c r="D173" s="9" t="str">
        <f>IFERROR(__xludf.DUMMYFUNCTION("""COMPUTED_VALUE"""),"Completed")</f>
        <v>Completed</v>
      </c>
    </row>
    <row r="174">
      <c r="A174" s="9" t="str">
        <f>IFERROR(__xludf.DUMMYFUNCTION("""COMPUTED_VALUE"""),"G-REQ-00173")</f>
        <v>G-REQ-00173</v>
      </c>
      <c r="B174" s="11">
        <f>IFERROR(__xludf.DUMMYFUNCTION("""COMPUTED_VALUE"""),45773.627490078055)</f>
        <v>45773.62749</v>
      </c>
      <c r="C174" s="9">
        <f>IFERROR(__xludf.DUMMYFUNCTION("""COMPUTED_VALUE"""),1159.0)</f>
        <v>1159</v>
      </c>
      <c r="D174" s="9" t="str">
        <f>IFERROR(__xludf.DUMMYFUNCTION("""COMPUTED_VALUE"""),"Completed")</f>
        <v>Completed</v>
      </c>
    </row>
    <row r="175">
      <c r="A175" s="9" t="str">
        <f>IFERROR(__xludf.DUMMYFUNCTION("""COMPUTED_VALUE"""),"G-REQ-00174")</f>
        <v>G-REQ-00174</v>
      </c>
      <c r="B175" s="11">
        <f>IFERROR(__xludf.DUMMYFUNCTION("""COMPUTED_VALUE"""),45773.69866492347)</f>
        <v>45773.69866</v>
      </c>
      <c r="C175" s="9">
        <f>IFERROR(__xludf.DUMMYFUNCTION("""COMPUTED_VALUE"""),1163.0)</f>
        <v>1163</v>
      </c>
      <c r="D175" s="9" t="str">
        <f>IFERROR(__xludf.DUMMYFUNCTION("""COMPUTED_VALUE"""),"Completed")</f>
        <v>Completed</v>
      </c>
    </row>
    <row r="176">
      <c r="A176" s="9" t="str">
        <f>IFERROR(__xludf.DUMMYFUNCTION("""COMPUTED_VALUE"""),"G-REQ-00175")</f>
        <v>G-REQ-00175</v>
      </c>
      <c r="B176" s="11">
        <f>IFERROR(__xludf.DUMMYFUNCTION("""COMPUTED_VALUE"""),45773.76983976888)</f>
        <v>45773.76984</v>
      </c>
      <c r="C176" s="9">
        <f>IFERROR(__xludf.DUMMYFUNCTION("""COMPUTED_VALUE"""),1167.0)</f>
        <v>1167</v>
      </c>
      <c r="D176" s="9" t="str">
        <f>IFERROR(__xludf.DUMMYFUNCTION("""COMPUTED_VALUE"""),"Completed")</f>
        <v>Completed</v>
      </c>
    </row>
    <row r="177">
      <c r="A177" s="9" t="str">
        <f>IFERROR(__xludf.DUMMYFUNCTION("""COMPUTED_VALUE"""),"G-REQ-00176")</f>
        <v>G-REQ-00176</v>
      </c>
      <c r="B177" s="11">
        <f>IFERROR(__xludf.DUMMYFUNCTION("""COMPUTED_VALUE"""),45773.834070169854)</f>
        <v>45773.83407</v>
      </c>
      <c r="C177" s="9">
        <f>IFERROR(__xludf.DUMMYFUNCTION("""COMPUTED_VALUE"""),1169.0)</f>
        <v>1169</v>
      </c>
      <c r="D177" s="9" t="str">
        <f>IFERROR(__xludf.DUMMYFUNCTION("""COMPUTED_VALUE"""),"Rejected")</f>
        <v>Rejected</v>
      </c>
    </row>
    <row r="178">
      <c r="A178" s="9" t="str">
        <f>IFERROR(__xludf.DUMMYFUNCTION("""COMPUTED_VALUE"""),"G-REQ-00177")</f>
        <v>G-REQ-00177</v>
      </c>
      <c r="B178" s="11">
        <f>IFERROR(__xludf.DUMMYFUNCTION("""COMPUTED_VALUE"""),45773.91218945972)</f>
        <v>45773.91219</v>
      </c>
      <c r="C178" s="9">
        <f>IFERROR(__xludf.DUMMYFUNCTION("""COMPUTED_VALUE"""),1173.0)</f>
        <v>1173</v>
      </c>
      <c r="D178" s="9" t="str">
        <f>IFERROR(__xludf.DUMMYFUNCTION("""COMPUTED_VALUE"""),"Completed")</f>
        <v>Completed</v>
      </c>
    </row>
    <row r="179">
      <c r="A179" s="9" t="str">
        <f>IFERROR(__xludf.DUMMYFUNCTION("""COMPUTED_VALUE"""),"G-REQ-00178")</f>
        <v>G-REQ-00178</v>
      </c>
      <c r="B179" s="11">
        <f>IFERROR(__xludf.DUMMYFUNCTION("""COMPUTED_VALUE"""),45773.983364305124)</f>
        <v>45773.98336</v>
      </c>
      <c r="C179" s="9">
        <f>IFERROR(__xludf.DUMMYFUNCTION("""COMPUTED_VALUE"""),1177.0)</f>
        <v>1177</v>
      </c>
      <c r="D179" s="9" t="str">
        <f>IFERROR(__xludf.DUMMYFUNCTION("""COMPUTED_VALUE"""),"Completed")</f>
        <v>Completed</v>
      </c>
    </row>
    <row r="180">
      <c r="A180" s="9" t="str">
        <f>IFERROR(__xludf.DUMMYFUNCTION("""COMPUTED_VALUE"""),"G-REQ-00179")</f>
        <v>G-REQ-00179</v>
      </c>
      <c r="B180" s="11">
        <f>IFERROR(__xludf.DUMMYFUNCTION("""COMPUTED_VALUE"""),45774.054539150544)</f>
        <v>45774.05454</v>
      </c>
      <c r="C180" s="9">
        <f>IFERROR(__xludf.DUMMYFUNCTION("""COMPUTED_VALUE"""),1181.0)</f>
        <v>1181</v>
      </c>
      <c r="D180" s="9" t="str">
        <f>IFERROR(__xludf.DUMMYFUNCTION("""COMPUTED_VALUE"""),"Completed")</f>
        <v>Completed</v>
      </c>
    </row>
    <row r="181">
      <c r="A181" s="9" t="str">
        <f>IFERROR(__xludf.DUMMYFUNCTION("""COMPUTED_VALUE"""),"G-REQ-00180")</f>
        <v>G-REQ-00180</v>
      </c>
      <c r="B181" s="11">
        <f>IFERROR(__xludf.DUMMYFUNCTION("""COMPUTED_VALUE"""),45774.12571399596)</f>
        <v>45774.12571</v>
      </c>
      <c r="C181" s="9">
        <f>IFERROR(__xludf.DUMMYFUNCTION("""COMPUTED_VALUE"""),1185.0)</f>
        <v>1185</v>
      </c>
      <c r="D181" s="9" t="str">
        <f>IFERROR(__xludf.DUMMYFUNCTION("""COMPUTED_VALUE"""),"Completed")</f>
        <v>Completed</v>
      </c>
    </row>
    <row r="182">
      <c r="A182" s="9" t="str">
        <f>IFERROR(__xludf.DUMMYFUNCTION("""COMPUTED_VALUE"""),"G-REQ-00181")</f>
        <v>G-REQ-00181</v>
      </c>
      <c r="B182" s="11">
        <f>IFERROR(__xludf.DUMMYFUNCTION("""COMPUTED_VALUE"""),45774.196888841376)</f>
        <v>45774.19689</v>
      </c>
      <c r="C182" s="9">
        <f>IFERROR(__xludf.DUMMYFUNCTION("""COMPUTED_VALUE"""),1189.0)</f>
        <v>1189</v>
      </c>
      <c r="D182" s="9" t="str">
        <f>IFERROR(__xludf.DUMMYFUNCTION("""COMPUTED_VALUE"""),"Completed")</f>
        <v>Completed</v>
      </c>
    </row>
    <row r="183">
      <c r="A183" s="9" t="str">
        <f>IFERROR(__xludf.DUMMYFUNCTION("""COMPUTED_VALUE"""),"G-REQ-00182")</f>
        <v>G-REQ-00182</v>
      </c>
      <c r="B183" s="11">
        <f>IFERROR(__xludf.DUMMYFUNCTION("""COMPUTED_VALUE"""),45774.26806368679)</f>
        <v>45774.26806</v>
      </c>
      <c r="C183" s="9">
        <f>IFERROR(__xludf.DUMMYFUNCTION("""COMPUTED_VALUE"""),1193.0)</f>
        <v>1193</v>
      </c>
      <c r="D183" s="9" t="str">
        <f>IFERROR(__xludf.DUMMYFUNCTION("""COMPUTED_VALUE"""),"Completed")</f>
        <v>Completed</v>
      </c>
    </row>
    <row r="184">
      <c r="A184" s="9" t="str">
        <f>IFERROR(__xludf.DUMMYFUNCTION("""COMPUTED_VALUE"""),"G-REQ-00183")</f>
        <v>G-REQ-00183</v>
      </c>
      <c r="B184" s="11">
        <f>IFERROR(__xludf.DUMMYFUNCTION("""COMPUTED_VALUE"""),45774.33923853221)</f>
        <v>45774.33924</v>
      </c>
      <c r="C184" s="9">
        <f>IFERROR(__xludf.DUMMYFUNCTION("""COMPUTED_VALUE"""),1197.0)</f>
        <v>1197</v>
      </c>
      <c r="D184" s="9" t="str">
        <f>IFERROR(__xludf.DUMMYFUNCTION("""COMPUTED_VALUE"""),"Completed")</f>
        <v>Completed</v>
      </c>
    </row>
    <row r="185">
      <c r="A185" s="9" t="str">
        <f>IFERROR(__xludf.DUMMYFUNCTION("""COMPUTED_VALUE"""),"G-REQ-00184")</f>
        <v>G-REQ-00184</v>
      </c>
      <c r="B185" s="11">
        <f>IFERROR(__xludf.DUMMYFUNCTION("""COMPUTED_VALUE"""),45774.41041337762)</f>
        <v>45774.41041</v>
      </c>
      <c r="C185" s="9">
        <f>IFERROR(__xludf.DUMMYFUNCTION("""COMPUTED_VALUE"""),1201.0)</f>
        <v>1201</v>
      </c>
      <c r="D185" s="9" t="str">
        <f>IFERROR(__xludf.DUMMYFUNCTION("""COMPUTED_VALUE"""),"Completed")</f>
        <v>Completed</v>
      </c>
    </row>
    <row r="186">
      <c r="A186" s="9" t="str">
        <f>IFERROR(__xludf.DUMMYFUNCTION("""COMPUTED_VALUE"""),"G-REQ-00185")</f>
        <v>G-REQ-00185</v>
      </c>
      <c r="B186" s="11">
        <f>IFERROR(__xludf.DUMMYFUNCTION("""COMPUTED_VALUE"""),45774.48158822303)</f>
        <v>45774.48159</v>
      </c>
      <c r="C186" s="9">
        <f>IFERROR(__xludf.DUMMYFUNCTION("""COMPUTED_VALUE"""),1205.0)</f>
        <v>1205</v>
      </c>
      <c r="D186" s="9" t="str">
        <f>IFERROR(__xludf.DUMMYFUNCTION("""COMPUTED_VALUE"""),"Completed")</f>
        <v>Completed</v>
      </c>
    </row>
    <row r="187">
      <c r="A187" s="9" t="str">
        <f>IFERROR(__xludf.DUMMYFUNCTION("""COMPUTED_VALUE"""),"G-REQ-00186")</f>
        <v>G-REQ-00186</v>
      </c>
      <c r="B187" s="11">
        <f>IFERROR(__xludf.DUMMYFUNCTION("""COMPUTED_VALUE"""),45774.55276306845)</f>
        <v>45774.55276</v>
      </c>
      <c r="C187" s="9">
        <f>IFERROR(__xludf.DUMMYFUNCTION("""COMPUTED_VALUE"""),1209.0)</f>
        <v>1209</v>
      </c>
      <c r="D187" s="9" t="str">
        <f>IFERROR(__xludf.DUMMYFUNCTION("""COMPUTED_VALUE"""),"Completed")</f>
        <v>Completed</v>
      </c>
    </row>
    <row r="188">
      <c r="A188" s="9" t="str">
        <f>IFERROR(__xludf.DUMMYFUNCTION("""COMPUTED_VALUE"""),"G-REQ-00187")</f>
        <v>G-REQ-00187</v>
      </c>
      <c r="B188" s="11">
        <f>IFERROR(__xludf.DUMMYFUNCTION("""COMPUTED_VALUE"""),45774.62393791387)</f>
        <v>45774.62394</v>
      </c>
      <c r="C188" s="9">
        <f>IFERROR(__xludf.DUMMYFUNCTION("""COMPUTED_VALUE"""),1213.0)</f>
        <v>1213</v>
      </c>
      <c r="D188" s="9" t="str">
        <f>IFERROR(__xludf.DUMMYFUNCTION("""COMPUTED_VALUE"""),"Completed")</f>
        <v>Completed</v>
      </c>
    </row>
    <row r="189">
      <c r="A189" s="9" t="str">
        <f>IFERROR(__xludf.DUMMYFUNCTION("""COMPUTED_VALUE"""),"G-REQ-00188")</f>
        <v>G-REQ-00188</v>
      </c>
      <c r="B189" s="11">
        <f>IFERROR(__xludf.DUMMYFUNCTION("""COMPUTED_VALUE"""),45774.69511275928)</f>
        <v>45774.69511</v>
      </c>
      <c r="C189" s="9">
        <f>IFERROR(__xludf.DUMMYFUNCTION("""COMPUTED_VALUE"""),1217.0)</f>
        <v>1217</v>
      </c>
      <c r="D189" s="9" t="str">
        <f>IFERROR(__xludf.DUMMYFUNCTION("""COMPUTED_VALUE"""),"Completed")</f>
        <v>Completed</v>
      </c>
    </row>
    <row r="190">
      <c r="A190" s="9" t="str">
        <f>IFERROR(__xludf.DUMMYFUNCTION("""COMPUTED_VALUE"""),"G-REQ-00189")</f>
        <v>G-REQ-00189</v>
      </c>
      <c r="B190" s="11">
        <f>IFERROR(__xludf.DUMMYFUNCTION("""COMPUTED_VALUE"""),45774.766287604696)</f>
        <v>45774.76629</v>
      </c>
      <c r="C190" s="9">
        <f>IFERROR(__xludf.DUMMYFUNCTION("""COMPUTED_VALUE"""),1221.0)</f>
        <v>1221</v>
      </c>
      <c r="D190" s="9" t="str">
        <f>IFERROR(__xludf.DUMMYFUNCTION("""COMPUTED_VALUE"""),"Completed")</f>
        <v>Completed</v>
      </c>
    </row>
    <row r="191">
      <c r="A191" s="9" t="str">
        <f>IFERROR(__xludf.DUMMYFUNCTION("""COMPUTED_VALUE"""),"G-REQ-00190")</f>
        <v>G-REQ-00190</v>
      </c>
      <c r="B191" s="11">
        <f>IFERROR(__xludf.DUMMYFUNCTION("""COMPUTED_VALUE"""),45774.83746245011)</f>
        <v>45774.83746</v>
      </c>
      <c r="C191" s="9">
        <f>IFERROR(__xludf.DUMMYFUNCTION("""COMPUTED_VALUE"""),1225.0)</f>
        <v>1225</v>
      </c>
      <c r="D191" s="9" t="str">
        <f>IFERROR(__xludf.DUMMYFUNCTION("""COMPUTED_VALUE"""),"Completed")</f>
        <v>Completed</v>
      </c>
    </row>
    <row r="192">
      <c r="A192" s="9" t="str">
        <f>IFERROR(__xludf.DUMMYFUNCTION("""COMPUTED_VALUE"""),"G-REQ-00191")</f>
        <v>G-REQ-00191</v>
      </c>
      <c r="B192" s="11">
        <f>IFERROR(__xludf.DUMMYFUNCTION("""COMPUTED_VALUE"""),45774.90863729553)</f>
        <v>45774.90864</v>
      </c>
      <c r="C192" s="9">
        <f>IFERROR(__xludf.DUMMYFUNCTION("""COMPUTED_VALUE"""),1229.0)</f>
        <v>1229</v>
      </c>
      <c r="D192" s="9" t="str">
        <f>IFERROR(__xludf.DUMMYFUNCTION("""COMPUTED_VALUE"""),"Completed")</f>
        <v>Completed</v>
      </c>
    </row>
    <row r="193">
      <c r="A193" s="9" t="str">
        <f>IFERROR(__xludf.DUMMYFUNCTION("""COMPUTED_VALUE"""),"G-REQ-00192")</f>
        <v>G-REQ-00192</v>
      </c>
      <c r="B193" s="11">
        <f>IFERROR(__xludf.DUMMYFUNCTION("""COMPUTED_VALUE"""),45774.97981214094)</f>
        <v>45774.97981</v>
      </c>
      <c r="C193" s="9">
        <f>IFERROR(__xludf.DUMMYFUNCTION("""COMPUTED_VALUE"""),1233.0)</f>
        <v>1233</v>
      </c>
      <c r="D193" s="9" t="str">
        <f>IFERROR(__xludf.DUMMYFUNCTION("""COMPUTED_VALUE"""),"Completed")</f>
        <v>Completed</v>
      </c>
    </row>
    <row r="194">
      <c r="A194" s="9" t="str">
        <f>IFERROR(__xludf.DUMMYFUNCTION("""COMPUTED_VALUE"""),"G-REQ-00193")</f>
        <v>G-REQ-00193</v>
      </c>
      <c r="B194" s="11">
        <f>IFERROR(__xludf.DUMMYFUNCTION("""COMPUTED_VALUE"""),45775.05098698636)</f>
        <v>45775.05099</v>
      </c>
      <c r="C194" s="9">
        <f>IFERROR(__xludf.DUMMYFUNCTION("""COMPUTED_VALUE"""),1237.0)</f>
        <v>1237</v>
      </c>
      <c r="D194" s="9" t="str">
        <f>IFERROR(__xludf.DUMMYFUNCTION("""COMPUTED_VALUE"""),"Completed")</f>
        <v>Completed</v>
      </c>
    </row>
    <row r="195">
      <c r="A195" s="9" t="str">
        <f>IFERROR(__xludf.DUMMYFUNCTION("""COMPUTED_VALUE"""),"G-REQ-00194")</f>
        <v>G-REQ-00194</v>
      </c>
      <c r="B195" s="11">
        <f>IFERROR(__xludf.DUMMYFUNCTION("""COMPUTED_VALUE"""),45775.11521738732)</f>
        <v>45775.11522</v>
      </c>
      <c r="C195" s="9">
        <f>IFERROR(__xludf.DUMMYFUNCTION("""COMPUTED_VALUE"""),1239.0)</f>
        <v>1239</v>
      </c>
      <c r="D195" s="9" t="str">
        <f>IFERROR(__xludf.DUMMYFUNCTION("""COMPUTED_VALUE"""),"Rejected")</f>
        <v>Rejected</v>
      </c>
    </row>
    <row r="196">
      <c r="A196" s="9" t="str">
        <f>IFERROR(__xludf.DUMMYFUNCTION("""COMPUTED_VALUE"""),"G-REQ-00195")</f>
        <v>G-REQ-00195</v>
      </c>
      <c r="B196" s="11">
        <f>IFERROR(__xludf.DUMMYFUNCTION("""COMPUTED_VALUE"""),45775.193336677185)</f>
        <v>45775.19334</v>
      </c>
      <c r="C196" s="9">
        <f>IFERROR(__xludf.DUMMYFUNCTION("""COMPUTED_VALUE"""),1243.0)</f>
        <v>1243</v>
      </c>
      <c r="D196" s="9" t="str">
        <f>IFERROR(__xludf.DUMMYFUNCTION("""COMPUTED_VALUE"""),"Completed")</f>
        <v>Completed</v>
      </c>
    </row>
    <row r="197">
      <c r="A197" s="9" t="str">
        <f>IFERROR(__xludf.DUMMYFUNCTION("""COMPUTED_VALUE"""),"G-REQ-00196")</f>
        <v>G-REQ-00196</v>
      </c>
      <c r="B197" s="11">
        <f>IFERROR(__xludf.DUMMYFUNCTION("""COMPUTED_VALUE"""),45775.264511522604)</f>
        <v>45775.26451</v>
      </c>
      <c r="C197" s="9">
        <f>IFERROR(__xludf.DUMMYFUNCTION("""COMPUTED_VALUE"""),1247.0)</f>
        <v>1247</v>
      </c>
      <c r="D197" s="9" t="str">
        <f>IFERROR(__xludf.DUMMYFUNCTION("""COMPUTED_VALUE"""),"Completed")</f>
        <v>Completed</v>
      </c>
    </row>
    <row r="198">
      <c r="A198" s="9" t="str">
        <f>IFERROR(__xludf.DUMMYFUNCTION("""COMPUTED_VALUE"""),"G-REQ-00197")</f>
        <v>G-REQ-00197</v>
      </c>
      <c r="B198" s="11">
        <f>IFERROR(__xludf.DUMMYFUNCTION("""COMPUTED_VALUE"""),45775.33568636802)</f>
        <v>45775.33569</v>
      </c>
      <c r="C198" s="9">
        <f>IFERROR(__xludf.DUMMYFUNCTION("""COMPUTED_VALUE"""),1251.0)</f>
        <v>1251</v>
      </c>
      <c r="D198" s="9" t="str">
        <f>IFERROR(__xludf.DUMMYFUNCTION("""COMPUTED_VALUE"""),"Completed")</f>
        <v>Completed</v>
      </c>
    </row>
    <row r="199">
      <c r="A199" s="9" t="str">
        <f>IFERROR(__xludf.DUMMYFUNCTION("""COMPUTED_VALUE"""),"G-REQ-00198")</f>
        <v>G-REQ-00198</v>
      </c>
      <c r="B199" s="11">
        <f>IFERROR(__xludf.DUMMYFUNCTION("""COMPUTED_VALUE"""),45775.40686121343)</f>
        <v>45775.40686</v>
      </c>
      <c r="C199" s="9">
        <f>IFERROR(__xludf.DUMMYFUNCTION("""COMPUTED_VALUE"""),1255.0)</f>
        <v>1255</v>
      </c>
      <c r="D199" s="9" t="str">
        <f>IFERROR(__xludf.DUMMYFUNCTION("""COMPUTED_VALUE"""),"Completed")</f>
        <v>Completed</v>
      </c>
    </row>
    <row r="200">
      <c r="A200" s="9" t="str">
        <f>IFERROR(__xludf.DUMMYFUNCTION("""COMPUTED_VALUE"""),"G-REQ-00199")</f>
        <v>G-REQ-00199</v>
      </c>
      <c r="B200" s="11">
        <f>IFERROR(__xludf.DUMMYFUNCTION("""COMPUTED_VALUE"""),45775.47803605885)</f>
        <v>45775.47804</v>
      </c>
      <c r="C200" s="9">
        <f>IFERROR(__xludf.DUMMYFUNCTION("""COMPUTED_VALUE"""),1259.0)</f>
        <v>1259</v>
      </c>
      <c r="D200" s="9" t="str">
        <f>IFERROR(__xludf.DUMMYFUNCTION("""COMPUTED_VALUE"""),"Completed")</f>
        <v>Completed</v>
      </c>
    </row>
    <row r="201">
      <c r="A201" s="9" t="str">
        <f>IFERROR(__xludf.DUMMYFUNCTION("""COMPUTED_VALUE"""),"G-REQ-00200")</f>
        <v>G-REQ-00200</v>
      </c>
      <c r="B201" s="11">
        <f>IFERROR(__xludf.DUMMYFUNCTION("""COMPUTED_VALUE"""),45775.54921090426)</f>
        <v>45775.54921</v>
      </c>
      <c r="C201" s="9">
        <f>IFERROR(__xludf.DUMMYFUNCTION("""COMPUTED_VALUE"""),1263.0)</f>
        <v>1263</v>
      </c>
      <c r="D201" s="9" t="str">
        <f>IFERROR(__xludf.DUMMYFUNCTION("""COMPUTED_VALUE"""),"Completed")</f>
        <v>Completed</v>
      </c>
    </row>
    <row r="202">
      <c r="A202" s="9" t="str">
        <f>IFERROR(__xludf.DUMMYFUNCTION("""COMPUTED_VALUE"""),"G-REQ-00201")</f>
        <v>G-REQ-00201</v>
      </c>
      <c r="B202" s="11">
        <f>IFERROR(__xludf.DUMMYFUNCTION("""COMPUTED_VALUE"""),45775.62038574967)</f>
        <v>45775.62039</v>
      </c>
      <c r="C202" s="9">
        <f>IFERROR(__xludf.DUMMYFUNCTION("""COMPUTED_VALUE"""),1267.0)</f>
        <v>1267</v>
      </c>
      <c r="D202" s="9" t="str">
        <f>IFERROR(__xludf.DUMMYFUNCTION("""COMPUTED_VALUE"""),"Completed")</f>
        <v>Completed</v>
      </c>
    </row>
    <row r="203">
      <c r="A203" s="9" t="str">
        <f>IFERROR(__xludf.DUMMYFUNCTION("""COMPUTED_VALUE"""),"G-REQ-00202")</f>
        <v>G-REQ-00202</v>
      </c>
      <c r="B203" s="11">
        <f>IFERROR(__xludf.DUMMYFUNCTION("""COMPUTED_VALUE"""),45775.69156059509)</f>
        <v>45775.69156</v>
      </c>
      <c r="C203" s="9">
        <f>IFERROR(__xludf.DUMMYFUNCTION("""COMPUTED_VALUE"""),1271.0)</f>
        <v>1271</v>
      </c>
      <c r="D203" s="9" t="str">
        <f>IFERROR(__xludf.DUMMYFUNCTION("""COMPUTED_VALUE"""),"Completed")</f>
        <v>Completed</v>
      </c>
    </row>
    <row r="204">
      <c r="A204" s="9" t="str">
        <f>IFERROR(__xludf.DUMMYFUNCTION("""COMPUTED_VALUE"""),"G-REQ-00203")</f>
        <v>G-REQ-00203</v>
      </c>
      <c r="B204" s="11">
        <f>IFERROR(__xludf.DUMMYFUNCTION("""COMPUTED_VALUE"""),45775.76273544051)</f>
        <v>45775.76274</v>
      </c>
      <c r="C204" s="9">
        <f>IFERROR(__xludf.DUMMYFUNCTION("""COMPUTED_VALUE"""),1275.0)</f>
        <v>1275</v>
      </c>
      <c r="D204" s="9" t="str">
        <f>IFERROR(__xludf.DUMMYFUNCTION("""COMPUTED_VALUE"""),"Completed")</f>
        <v>Completed</v>
      </c>
    </row>
    <row r="205">
      <c r="A205" s="9" t="str">
        <f>IFERROR(__xludf.DUMMYFUNCTION("""COMPUTED_VALUE"""),"G-REQ-00204")</f>
        <v>G-REQ-00204</v>
      </c>
      <c r="B205" s="11">
        <f>IFERROR(__xludf.DUMMYFUNCTION("""COMPUTED_VALUE"""),45775.83391028592)</f>
        <v>45775.83391</v>
      </c>
      <c r="C205" s="9">
        <f>IFERROR(__xludf.DUMMYFUNCTION("""COMPUTED_VALUE"""),1279.0)</f>
        <v>1279</v>
      </c>
      <c r="D205" s="9" t="str">
        <f>IFERROR(__xludf.DUMMYFUNCTION("""COMPUTED_VALUE"""),"Completed")</f>
        <v>Completed</v>
      </c>
    </row>
    <row r="206">
      <c r="A206" s="9" t="str">
        <f>IFERROR(__xludf.DUMMYFUNCTION("""COMPUTED_VALUE"""),"G-REQ-00205")</f>
        <v>G-REQ-00205</v>
      </c>
      <c r="B206" s="11">
        <f>IFERROR(__xludf.DUMMYFUNCTION("""COMPUTED_VALUE"""),45775.90508513134)</f>
        <v>45775.90509</v>
      </c>
      <c r="C206" s="9">
        <f>IFERROR(__xludf.DUMMYFUNCTION("""COMPUTED_VALUE"""),1283.0)</f>
        <v>1283</v>
      </c>
      <c r="D206" s="9" t="str">
        <f>IFERROR(__xludf.DUMMYFUNCTION("""COMPUTED_VALUE"""),"Completed")</f>
        <v>Completed</v>
      </c>
    </row>
    <row r="207">
      <c r="A207" s="9" t="str">
        <f>IFERROR(__xludf.DUMMYFUNCTION("""COMPUTED_VALUE"""),"G-REQ-00206")</f>
        <v>G-REQ-00206</v>
      </c>
      <c r="B207" s="11">
        <f>IFERROR(__xludf.DUMMYFUNCTION("""COMPUTED_VALUE"""),45775.96931553231)</f>
        <v>45775.96932</v>
      </c>
      <c r="C207" s="9">
        <f>IFERROR(__xludf.DUMMYFUNCTION("""COMPUTED_VALUE"""),1285.0)</f>
        <v>1285</v>
      </c>
      <c r="D207" s="9" t="str">
        <f>IFERROR(__xludf.DUMMYFUNCTION("""COMPUTED_VALUE"""),"Cancelled")</f>
        <v>Cancelled</v>
      </c>
    </row>
    <row r="208">
      <c r="A208" s="9" t="str">
        <f>IFERROR(__xludf.DUMMYFUNCTION("""COMPUTED_VALUE"""),"G-REQ-00207")</f>
        <v>G-REQ-00207</v>
      </c>
      <c r="B208" s="11">
        <f>IFERROR(__xludf.DUMMYFUNCTION("""COMPUTED_VALUE"""),45776.04743482217)</f>
        <v>45776.04743</v>
      </c>
      <c r="C208" s="9">
        <f>IFERROR(__xludf.DUMMYFUNCTION("""COMPUTED_VALUE"""),1289.0)</f>
        <v>1289</v>
      </c>
      <c r="D208" s="9" t="str">
        <f>IFERROR(__xludf.DUMMYFUNCTION("""COMPUTED_VALUE"""),"Completed")</f>
        <v>Completed</v>
      </c>
    </row>
    <row r="209">
      <c r="A209" s="9" t="str">
        <f>IFERROR(__xludf.DUMMYFUNCTION("""COMPUTED_VALUE"""),"G-REQ-00208")</f>
        <v>G-REQ-00208</v>
      </c>
      <c r="B209" s="11">
        <f>IFERROR(__xludf.DUMMYFUNCTION("""COMPUTED_VALUE"""),45776.11860966758)</f>
        <v>45776.11861</v>
      </c>
      <c r="C209" s="9">
        <f>IFERROR(__xludf.DUMMYFUNCTION("""COMPUTED_VALUE"""),1293.0)</f>
        <v>1293</v>
      </c>
      <c r="D209" s="9" t="str">
        <f>IFERROR(__xludf.DUMMYFUNCTION("""COMPUTED_VALUE"""),"Completed")</f>
        <v>Completed</v>
      </c>
    </row>
    <row r="210">
      <c r="A210" s="9" t="str">
        <f>IFERROR(__xludf.DUMMYFUNCTION("""COMPUTED_VALUE"""),"G-REQ-00209")</f>
        <v>G-REQ-00209</v>
      </c>
      <c r="B210" s="11">
        <f>IFERROR(__xludf.DUMMYFUNCTION("""COMPUTED_VALUE"""),45776.189784513)</f>
        <v>45776.18978</v>
      </c>
      <c r="C210" s="9">
        <f>IFERROR(__xludf.DUMMYFUNCTION("""COMPUTED_VALUE"""),1297.0)</f>
        <v>1297</v>
      </c>
      <c r="D210" s="9" t="str">
        <f>IFERROR(__xludf.DUMMYFUNCTION("""COMPUTED_VALUE"""),"Completed")</f>
        <v>Completed</v>
      </c>
    </row>
    <row r="211">
      <c r="A211" s="9" t="str">
        <f>IFERROR(__xludf.DUMMYFUNCTION("""COMPUTED_VALUE"""),"G-REQ-00210")</f>
        <v>G-REQ-00210</v>
      </c>
      <c r="B211" s="11">
        <f>IFERROR(__xludf.DUMMYFUNCTION("""COMPUTED_VALUE"""),45776.26095935841)</f>
        <v>45776.26096</v>
      </c>
      <c r="C211" s="9">
        <f>IFERROR(__xludf.DUMMYFUNCTION("""COMPUTED_VALUE"""),1301.0)</f>
        <v>1301</v>
      </c>
      <c r="D211" s="9" t="str">
        <f>IFERROR(__xludf.DUMMYFUNCTION("""COMPUTED_VALUE"""),"Completed")</f>
        <v>Completed</v>
      </c>
    </row>
    <row r="212">
      <c r="A212" s="9" t="str">
        <f>IFERROR(__xludf.DUMMYFUNCTION("""COMPUTED_VALUE"""),"G-REQ-00211")</f>
        <v>G-REQ-00211</v>
      </c>
      <c r="B212" s="11">
        <f>IFERROR(__xludf.DUMMYFUNCTION("""COMPUTED_VALUE"""),45776.32518975938)</f>
        <v>45776.32519</v>
      </c>
      <c r="C212" s="9">
        <f>IFERROR(__xludf.DUMMYFUNCTION("""COMPUTED_VALUE"""),1303.0)</f>
        <v>1303</v>
      </c>
      <c r="D212" s="9" t="str">
        <f>IFERROR(__xludf.DUMMYFUNCTION("""COMPUTED_VALUE"""),"Cancelled")</f>
        <v>Cancelled</v>
      </c>
    </row>
    <row r="213">
      <c r="A213" s="9" t="str">
        <f>IFERROR(__xludf.DUMMYFUNCTION("""COMPUTED_VALUE"""),"G-REQ-00212")</f>
        <v>G-REQ-00212</v>
      </c>
      <c r="B213" s="11">
        <f>IFERROR(__xludf.DUMMYFUNCTION("""COMPUTED_VALUE"""),45776.403309049245)</f>
        <v>45776.40331</v>
      </c>
      <c r="C213" s="9">
        <f>IFERROR(__xludf.DUMMYFUNCTION("""COMPUTED_VALUE"""),1307.0)</f>
        <v>1307</v>
      </c>
      <c r="D213" s="9" t="str">
        <f>IFERROR(__xludf.DUMMYFUNCTION("""COMPUTED_VALUE"""),"Completed")</f>
        <v>Completed</v>
      </c>
    </row>
    <row r="214">
      <c r="A214" s="9" t="str">
        <f>IFERROR(__xludf.DUMMYFUNCTION("""COMPUTED_VALUE"""),"G-REQ-00213")</f>
        <v>G-REQ-00213</v>
      </c>
      <c r="B214" s="11">
        <f>IFERROR(__xludf.DUMMYFUNCTION("""COMPUTED_VALUE"""),45776.47448389466)</f>
        <v>45776.47448</v>
      </c>
      <c r="C214" s="9">
        <f>IFERROR(__xludf.DUMMYFUNCTION("""COMPUTED_VALUE"""),1311.0)</f>
        <v>1311</v>
      </c>
      <c r="D214" s="9" t="str">
        <f>IFERROR(__xludf.DUMMYFUNCTION("""COMPUTED_VALUE"""),"Completed")</f>
        <v>Completed</v>
      </c>
    </row>
    <row r="215">
      <c r="A215" s="9" t="str">
        <f>IFERROR(__xludf.DUMMYFUNCTION("""COMPUTED_VALUE"""),"G-REQ-00214")</f>
        <v>G-REQ-00214</v>
      </c>
      <c r="B215" s="11">
        <f>IFERROR(__xludf.DUMMYFUNCTION("""COMPUTED_VALUE"""),45776.54565874007)</f>
        <v>45776.54566</v>
      </c>
      <c r="C215" s="9">
        <f>IFERROR(__xludf.DUMMYFUNCTION("""COMPUTED_VALUE"""),1315.0)</f>
        <v>1315</v>
      </c>
      <c r="D215" s="9" t="str">
        <f>IFERROR(__xludf.DUMMYFUNCTION("""COMPUTED_VALUE"""),"Completed")</f>
        <v>Completed</v>
      </c>
    </row>
    <row r="216">
      <c r="A216" s="9" t="str">
        <f>IFERROR(__xludf.DUMMYFUNCTION("""COMPUTED_VALUE"""),"G-REQ-00215")</f>
        <v>G-REQ-00215</v>
      </c>
      <c r="B216" s="11">
        <f>IFERROR(__xludf.DUMMYFUNCTION("""COMPUTED_VALUE"""),45776.61683358549)</f>
        <v>45776.61683</v>
      </c>
      <c r="C216" s="9">
        <f>IFERROR(__xludf.DUMMYFUNCTION("""COMPUTED_VALUE"""),1319.0)</f>
        <v>1319</v>
      </c>
      <c r="D216" s="9" t="str">
        <f>IFERROR(__xludf.DUMMYFUNCTION("""COMPUTED_VALUE"""),"Completed")</f>
        <v>Completed</v>
      </c>
    </row>
    <row r="217">
      <c r="A217" s="9" t="str">
        <f>IFERROR(__xludf.DUMMYFUNCTION("""COMPUTED_VALUE"""),"G-REQ-00216")</f>
        <v>G-REQ-00216</v>
      </c>
      <c r="B217" s="11">
        <f>IFERROR(__xludf.DUMMYFUNCTION("""COMPUTED_VALUE"""),45776.6880084309)</f>
        <v>45776.68801</v>
      </c>
      <c r="C217" s="9">
        <f>IFERROR(__xludf.DUMMYFUNCTION("""COMPUTED_VALUE"""),1323.0)</f>
        <v>1323</v>
      </c>
      <c r="D217" s="9" t="str">
        <f>IFERROR(__xludf.DUMMYFUNCTION("""COMPUTED_VALUE"""),"Completed")</f>
        <v>Completed</v>
      </c>
    </row>
    <row r="218">
      <c r="A218" s="9" t="str">
        <f>IFERROR(__xludf.DUMMYFUNCTION("""COMPUTED_VALUE"""),"G-REQ-00217")</f>
        <v>G-REQ-00217</v>
      </c>
      <c r="B218" s="11">
        <f>IFERROR(__xludf.DUMMYFUNCTION("""COMPUTED_VALUE"""),45776.759183276314)</f>
        <v>45776.75918</v>
      </c>
      <c r="C218" s="9">
        <f>IFERROR(__xludf.DUMMYFUNCTION("""COMPUTED_VALUE"""),1327.0)</f>
        <v>1327</v>
      </c>
      <c r="D218" s="9" t="str">
        <f>IFERROR(__xludf.DUMMYFUNCTION("""COMPUTED_VALUE"""),"Completed")</f>
        <v>Completed</v>
      </c>
    </row>
    <row r="219">
      <c r="A219" s="9" t="str">
        <f>IFERROR(__xludf.DUMMYFUNCTION("""COMPUTED_VALUE"""),"G-REQ-00218")</f>
        <v>G-REQ-00218</v>
      </c>
      <c r="B219" s="11">
        <f>IFERROR(__xludf.DUMMYFUNCTION("""COMPUTED_VALUE"""),45776.83035812173)</f>
        <v>45776.83036</v>
      </c>
      <c r="C219" s="9">
        <f>IFERROR(__xludf.DUMMYFUNCTION("""COMPUTED_VALUE"""),1331.0)</f>
        <v>1331</v>
      </c>
      <c r="D219" s="9" t="str">
        <f>IFERROR(__xludf.DUMMYFUNCTION("""COMPUTED_VALUE"""),"Completed")</f>
        <v>Completed</v>
      </c>
    </row>
    <row r="220">
      <c r="A220" s="9" t="str">
        <f>IFERROR(__xludf.DUMMYFUNCTION("""COMPUTED_VALUE"""),"G-REQ-00219")</f>
        <v>G-REQ-00219</v>
      </c>
      <c r="B220" s="11">
        <f>IFERROR(__xludf.DUMMYFUNCTION("""COMPUTED_VALUE"""),45776.90153296715)</f>
        <v>45776.90153</v>
      </c>
      <c r="C220" s="9">
        <f>IFERROR(__xludf.DUMMYFUNCTION("""COMPUTED_VALUE"""),1335.0)</f>
        <v>1335</v>
      </c>
      <c r="D220" s="9" t="str">
        <f>IFERROR(__xludf.DUMMYFUNCTION("""COMPUTED_VALUE"""),"Completed")</f>
        <v>Completed</v>
      </c>
    </row>
    <row r="221">
      <c r="A221" s="9" t="str">
        <f>IFERROR(__xludf.DUMMYFUNCTION("""COMPUTED_VALUE"""),"G-REQ-00220")</f>
        <v>G-REQ-00220</v>
      </c>
      <c r="B221" s="11">
        <f>IFERROR(__xludf.DUMMYFUNCTION("""COMPUTED_VALUE"""),45776.97270781256)</f>
        <v>45776.97271</v>
      </c>
      <c r="C221" s="9">
        <f>IFERROR(__xludf.DUMMYFUNCTION("""COMPUTED_VALUE"""),1339.0)</f>
        <v>1339</v>
      </c>
      <c r="D221" s="9" t="str">
        <f>IFERROR(__xludf.DUMMYFUNCTION("""COMPUTED_VALUE"""),"Completed")</f>
        <v>Completed</v>
      </c>
    </row>
    <row r="222">
      <c r="A222" s="9" t="str">
        <f>IFERROR(__xludf.DUMMYFUNCTION("""COMPUTED_VALUE"""),"G-REQ-00221")</f>
        <v>G-REQ-00221</v>
      </c>
      <c r="B222" s="11">
        <f>IFERROR(__xludf.DUMMYFUNCTION("""COMPUTED_VALUE"""),45777.04388265798)</f>
        <v>45777.04388</v>
      </c>
      <c r="C222" s="9">
        <f>IFERROR(__xludf.DUMMYFUNCTION("""COMPUTED_VALUE"""),1343.0)</f>
        <v>1343</v>
      </c>
      <c r="D222" s="9" t="str">
        <f>IFERROR(__xludf.DUMMYFUNCTION("""COMPUTED_VALUE"""),"Completed")</f>
        <v>Completed</v>
      </c>
    </row>
    <row r="223">
      <c r="A223" s="9" t="str">
        <f>IFERROR(__xludf.DUMMYFUNCTION("""COMPUTED_VALUE"""),"G-REQ-00222")</f>
        <v>G-REQ-00222</v>
      </c>
      <c r="B223" s="11">
        <f>IFERROR(__xludf.DUMMYFUNCTION("""COMPUTED_VALUE"""),45777.10811305895)</f>
        <v>45777.10811</v>
      </c>
      <c r="C223" s="9">
        <f>IFERROR(__xludf.DUMMYFUNCTION("""COMPUTED_VALUE"""),1345.0)</f>
        <v>1345</v>
      </c>
      <c r="D223" s="9" t="str">
        <f>IFERROR(__xludf.DUMMYFUNCTION("""COMPUTED_VALUE"""),"Rejected")</f>
        <v>Rejected</v>
      </c>
    </row>
    <row r="224">
      <c r="A224" s="9" t="str">
        <f>IFERROR(__xludf.DUMMYFUNCTION("""COMPUTED_VALUE"""),"G-REQ-00223")</f>
        <v>G-REQ-00223</v>
      </c>
      <c r="B224" s="11">
        <f>IFERROR(__xludf.DUMMYFUNCTION("""COMPUTED_VALUE"""),45777.18623234881)</f>
        <v>45777.18623</v>
      </c>
      <c r="C224" s="9">
        <f>IFERROR(__xludf.DUMMYFUNCTION("""COMPUTED_VALUE"""),1349.0)</f>
        <v>1349</v>
      </c>
      <c r="D224" s="9" t="str">
        <f>IFERROR(__xludf.DUMMYFUNCTION("""COMPUTED_VALUE"""),"Completed")</f>
        <v>Completed</v>
      </c>
    </row>
    <row r="225">
      <c r="A225" s="9" t="str">
        <f>IFERROR(__xludf.DUMMYFUNCTION("""COMPUTED_VALUE"""),"G-REQ-00224")</f>
        <v>G-REQ-00224</v>
      </c>
      <c r="B225" s="11">
        <f>IFERROR(__xludf.DUMMYFUNCTION("""COMPUTED_VALUE"""),45777.25740719422)</f>
        <v>45777.25741</v>
      </c>
      <c r="C225" s="9">
        <f>IFERROR(__xludf.DUMMYFUNCTION("""COMPUTED_VALUE"""),1353.0)</f>
        <v>1353</v>
      </c>
      <c r="D225" s="9" t="str">
        <f>IFERROR(__xludf.DUMMYFUNCTION("""COMPUTED_VALUE"""),"Completed")</f>
        <v>Completed</v>
      </c>
    </row>
    <row r="226">
      <c r="A226" s="9" t="str">
        <f>IFERROR(__xludf.DUMMYFUNCTION("""COMPUTED_VALUE"""),"G-REQ-00225")</f>
        <v>G-REQ-00225</v>
      </c>
      <c r="B226" s="11">
        <f>IFERROR(__xludf.DUMMYFUNCTION("""COMPUTED_VALUE"""),45777.32858203964)</f>
        <v>45777.32858</v>
      </c>
      <c r="C226" s="9">
        <f>IFERROR(__xludf.DUMMYFUNCTION("""COMPUTED_VALUE"""),1357.0)</f>
        <v>1357</v>
      </c>
      <c r="D226" s="9" t="str">
        <f>IFERROR(__xludf.DUMMYFUNCTION("""COMPUTED_VALUE"""),"Completed")</f>
        <v>Completed</v>
      </c>
    </row>
    <row r="227">
      <c r="A227" s="9" t="str">
        <f>IFERROR(__xludf.DUMMYFUNCTION("""COMPUTED_VALUE"""),"G-REQ-00226")</f>
        <v>G-REQ-00226</v>
      </c>
      <c r="B227" s="11">
        <f>IFERROR(__xludf.DUMMYFUNCTION("""COMPUTED_VALUE"""),45777.399756885054)</f>
        <v>45777.39976</v>
      </c>
      <c r="C227" s="9">
        <f>IFERROR(__xludf.DUMMYFUNCTION("""COMPUTED_VALUE"""),1361.0)</f>
        <v>1361</v>
      </c>
      <c r="D227" s="9" t="str">
        <f>IFERROR(__xludf.DUMMYFUNCTION("""COMPUTED_VALUE"""),"Completed")</f>
        <v>Completed</v>
      </c>
    </row>
    <row r="228">
      <c r="A228" s="9" t="str">
        <f>IFERROR(__xludf.DUMMYFUNCTION("""COMPUTED_VALUE"""),"G-REQ-00227")</f>
        <v>G-REQ-00227</v>
      </c>
      <c r="B228" s="11">
        <f>IFERROR(__xludf.DUMMYFUNCTION("""COMPUTED_VALUE"""),45777.470931730466)</f>
        <v>45777.47093</v>
      </c>
      <c r="C228" s="9">
        <f>IFERROR(__xludf.DUMMYFUNCTION("""COMPUTED_VALUE"""),1365.0)</f>
        <v>1365</v>
      </c>
      <c r="D228" s="9" t="str">
        <f>IFERROR(__xludf.DUMMYFUNCTION("""COMPUTED_VALUE"""),"Completed")</f>
        <v>Completed</v>
      </c>
    </row>
    <row r="229">
      <c r="A229" s="9" t="str">
        <f>IFERROR(__xludf.DUMMYFUNCTION("""COMPUTED_VALUE"""),"G-REQ-00228")</f>
        <v>G-REQ-00228</v>
      </c>
      <c r="B229" s="11">
        <f>IFERROR(__xludf.DUMMYFUNCTION("""COMPUTED_VALUE"""),45777.542106575886)</f>
        <v>45777.54211</v>
      </c>
      <c r="C229" s="9">
        <f>IFERROR(__xludf.DUMMYFUNCTION("""COMPUTED_VALUE"""),1369.0)</f>
        <v>1369</v>
      </c>
      <c r="D229" s="9" t="str">
        <f>IFERROR(__xludf.DUMMYFUNCTION("""COMPUTED_VALUE"""),"Completed")</f>
        <v>Completed</v>
      </c>
    </row>
    <row r="230">
      <c r="A230" s="9" t="str">
        <f>IFERROR(__xludf.DUMMYFUNCTION("""COMPUTED_VALUE"""),"G-REQ-00229")</f>
        <v>G-REQ-00229</v>
      </c>
      <c r="B230" s="11">
        <f>IFERROR(__xludf.DUMMYFUNCTION("""COMPUTED_VALUE"""),45777.613281421305)</f>
        <v>45777.61328</v>
      </c>
      <c r="C230" s="9">
        <f>IFERROR(__xludf.DUMMYFUNCTION("""COMPUTED_VALUE"""),1373.0)</f>
        <v>1373</v>
      </c>
      <c r="D230" s="9" t="str">
        <f>IFERROR(__xludf.DUMMYFUNCTION("""COMPUTED_VALUE"""),"Completed")</f>
        <v>Completed</v>
      </c>
    </row>
    <row r="231">
      <c r="A231" s="9" t="str">
        <f>IFERROR(__xludf.DUMMYFUNCTION("""COMPUTED_VALUE"""),"G-REQ-00230")</f>
        <v>G-REQ-00230</v>
      </c>
      <c r="B231" s="11">
        <f>IFERROR(__xludf.DUMMYFUNCTION("""COMPUTED_VALUE"""),45777.677511822265)</f>
        <v>45777.67751</v>
      </c>
      <c r="C231" s="9">
        <f>IFERROR(__xludf.DUMMYFUNCTION("""COMPUTED_VALUE"""),1375.0)</f>
        <v>1375</v>
      </c>
      <c r="D231" s="9" t="str">
        <f>IFERROR(__xludf.DUMMYFUNCTION("""COMPUTED_VALUE"""),"Rejected")</f>
        <v>Rejected</v>
      </c>
    </row>
    <row r="232">
      <c r="A232" s="9" t="str">
        <f>IFERROR(__xludf.DUMMYFUNCTION("""COMPUTED_VALUE"""),"G-REQ-00231")</f>
        <v>G-REQ-00231</v>
      </c>
      <c r="B232" s="11">
        <f>IFERROR(__xludf.DUMMYFUNCTION("""COMPUTED_VALUE"""),45777.75563111213)</f>
        <v>45777.75563</v>
      </c>
      <c r="C232" s="9">
        <f>IFERROR(__xludf.DUMMYFUNCTION("""COMPUTED_VALUE"""),1379.0)</f>
        <v>1379</v>
      </c>
      <c r="D232" s="9" t="str">
        <f>IFERROR(__xludf.DUMMYFUNCTION("""COMPUTED_VALUE"""),"Completed")</f>
        <v>Completed</v>
      </c>
    </row>
    <row r="233">
      <c r="A233" s="9" t="str">
        <f>IFERROR(__xludf.DUMMYFUNCTION("""COMPUTED_VALUE"""),"G-REQ-00232")</f>
        <v>G-REQ-00232</v>
      </c>
      <c r="B233" s="11">
        <f>IFERROR(__xludf.DUMMYFUNCTION("""COMPUTED_VALUE"""),45777.82680595754)</f>
        <v>45777.82681</v>
      </c>
      <c r="C233" s="9">
        <f>IFERROR(__xludf.DUMMYFUNCTION("""COMPUTED_VALUE"""),1383.0)</f>
        <v>1383</v>
      </c>
      <c r="D233" s="9" t="str">
        <f>IFERROR(__xludf.DUMMYFUNCTION("""COMPUTED_VALUE"""),"Completed")</f>
        <v>Completed</v>
      </c>
    </row>
    <row r="234">
      <c r="A234" s="9" t="str">
        <f>IFERROR(__xludf.DUMMYFUNCTION("""COMPUTED_VALUE"""),"G-REQ-00233")</f>
        <v>G-REQ-00233</v>
      </c>
      <c r="B234" s="11">
        <f>IFERROR(__xludf.DUMMYFUNCTION("""COMPUTED_VALUE"""),45777.89798080296)</f>
        <v>45777.89798</v>
      </c>
      <c r="C234" s="9">
        <f>IFERROR(__xludf.DUMMYFUNCTION("""COMPUTED_VALUE"""),1387.0)</f>
        <v>1387</v>
      </c>
      <c r="D234" s="9" t="str">
        <f>IFERROR(__xludf.DUMMYFUNCTION("""COMPUTED_VALUE"""),"Completed")</f>
        <v>Completed</v>
      </c>
    </row>
    <row r="235">
      <c r="A235" s="9" t="str">
        <f>IFERROR(__xludf.DUMMYFUNCTION("""COMPUTED_VALUE"""),"G-REQ-00234")</f>
        <v>G-REQ-00234</v>
      </c>
      <c r="B235" s="11">
        <f>IFERROR(__xludf.DUMMYFUNCTION("""COMPUTED_VALUE"""),45777.969155648374)</f>
        <v>45777.96916</v>
      </c>
      <c r="C235" s="9">
        <f>IFERROR(__xludf.DUMMYFUNCTION("""COMPUTED_VALUE"""),1391.0)</f>
        <v>1391</v>
      </c>
      <c r="D235" s="9" t="str">
        <f>IFERROR(__xludf.DUMMYFUNCTION("""COMPUTED_VALUE"""),"Completed")</f>
        <v>Completed</v>
      </c>
    </row>
    <row r="236">
      <c r="A236" s="9" t="str">
        <f>IFERROR(__xludf.DUMMYFUNCTION("""COMPUTED_VALUE"""),"G-REQ-00235")</f>
        <v>G-REQ-00235</v>
      </c>
      <c r="B236" s="11">
        <f>IFERROR(__xludf.DUMMYFUNCTION("""COMPUTED_VALUE"""),45778.04033049379)</f>
        <v>45778.04033</v>
      </c>
      <c r="C236" s="9">
        <f>IFERROR(__xludf.DUMMYFUNCTION("""COMPUTED_VALUE"""),1395.0)</f>
        <v>1395</v>
      </c>
      <c r="D236" s="9" t="str">
        <f>IFERROR(__xludf.DUMMYFUNCTION("""COMPUTED_VALUE"""),"Completed")</f>
        <v>Completed</v>
      </c>
    </row>
    <row r="237">
      <c r="A237" s="9" t="str">
        <f>IFERROR(__xludf.DUMMYFUNCTION("""COMPUTED_VALUE"""),"G-REQ-00236")</f>
        <v>G-REQ-00236</v>
      </c>
      <c r="B237" s="11">
        <f>IFERROR(__xludf.DUMMYFUNCTION("""COMPUTED_VALUE"""),45778.1115053392)</f>
        <v>45778.11151</v>
      </c>
      <c r="C237" s="9">
        <f>IFERROR(__xludf.DUMMYFUNCTION("""COMPUTED_VALUE"""),1399.0)</f>
        <v>1399</v>
      </c>
      <c r="D237" s="9" t="str">
        <f>IFERROR(__xludf.DUMMYFUNCTION("""COMPUTED_VALUE"""),"Completed")</f>
        <v>Completed</v>
      </c>
    </row>
    <row r="238">
      <c r="A238" s="9" t="str">
        <f>IFERROR(__xludf.DUMMYFUNCTION("""COMPUTED_VALUE"""),"G-REQ-00237")</f>
        <v>G-REQ-00237</v>
      </c>
      <c r="B238" s="11">
        <f>IFERROR(__xludf.DUMMYFUNCTION("""COMPUTED_VALUE"""),45778.18268018462)</f>
        <v>45778.18268</v>
      </c>
      <c r="C238" s="9">
        <f>IFERROR(__xludf.DUMMYFUNCTION("""COMPUTED_VALUE"""),1403.0)</f>
        <v>1403</v>
      </c>
      <c r="D238" s="9" t="str">
        <f>IFERROR(__xludf.DUMMYFUNCTION("""COMPUTED_VALUE"""),"Completed")</f>
        <v>Completed</v>
      </c>
    </row>
    <row r="239">
      <c r="A239" s="9" t="str">
        <f>IFERROR(__xludf.DUMMYFUNCTION("""COMPUTED_VALUE"""),"G-REQ-00238")</f>
        <v>G-REQ-00238</v>
      </c>
      <c r="B239" s="11">
        <f>IFERROR(__xludf.DUMMYFUNCTION("""COMPUTED_VALUE"""),45778.25385503004)</f>
        <v>45778.25386</v>
      </c>
      <c r="C239" s="9">
        <f>IFERROR(__xludf.DUMMYFUNCTION("""COMPUTED_VALUE"""),1407.0)</f>
        <v>1407</v>
      </c>
      <c r="D239" s="9" t="str">
        <f>IFERROR(__xludf.DUMMYFUNCTION("""COMPUTED_VALUE"""),"Completed")</f>
        <v>Completed</v>
      </c>
    </row>
    <row r="240">
      <c r="A240" s="9" t="str">
        <f>IFERROR(__xludf.DUMMYFUNCTION("""COMPUTED_VALUE"""),"G-REQ-00239")</f>
        <v>G-REQ-00239</v>
      </c>
      <c r="B240" s="11">
        <f>IFERROR(__xludf.DUMMYFUNCTION("""COMPUTED_VALUE"""),45778.32502987545)</f>
        <v>45778.32503</v>
      </c>
      <c r="C240" s="9">
        <f>IFERROR(__xludf.DUMMYFUNCTION("""COMPUTED_VALUE"""),1411.0)</f>
        <v>1411</v>
      </c>
      <c r="D240" s="9" t="str">
        <f>IFERROR(__xludf.DUMMYFUNCTION("""COMPUTED_VALUE"""),"Completed")</f>
        <v>Completed</v>
      </c>
    </row>
    <row r="241">
      <c r="A241" s="9" t="str">
        <f>IFERROR(__xludf.DUMMYFUNCTION("""COMPUTED_VALUE"""),"G-REQ-00240")</f>
        <v>G-REQ-00240</v>
      </c>
      <c r="B241" s="11">
        <f>IFERROR(__xludf.DUMMYFUNCTION("""COMPUTED_VALUE"""),45778.39620472086)</f>
        <v>45778.3962</v>
      </c>
      <c r="C241" s="9">
        <f>IFERROR(__xludf.DUMMYFUNCTION("""COMPUTED_VALUE"""),1415.0)</f>
        <v>1415</v>
      </c>
      <c r="D241" s="9" t="str">
        <f>IFERROR(__xludf.DUMMYFUNCTION("""COMPUTED_VALUE"""),"Completed")</f>
        <v>Completed</v>
      </c>
    </row>
    <row r="242">
      <c r="A242" s="9" t="str">
        <f>IFERROR(__xludf.DUMMYFUNCTION("""COMPUTED_VALUE"""),"G-REQ-00241")</f>
        <v>G-REQ-00241</v>
      </c>
      <c r="B242" s="11">
        <f>IFERROR(__xludf.DUMMYFUNCTION("""COMPUTED_VALUE"""),45778.46737956628)</f>
        <v>45778.46738</v>
      </c>
      <c r="C242" s="9">
        <f>IFERROR(__xludf.DUMMYFUNCTION("""COMPUTED_VALUE"""),1419.0)</f>
        <v>1419</v>
      </c>
      <c r="D242" s="9" t="str">
        <f>IFERROR(__xludf.DUMMYFUNCTION("""COMPUTED_VALUE"""),"Completed")</f>
        <v>Completed</v>
      </c>
    </row>
    <row r="243">
      <c r="A243" s="9" t="str">
        <f>IFERROR(__xludf.DUMMYFUNCTION("""COMPUTED_VALUE"""),"G-REQ-00242")</f>
        <v>G-REQ-00242</v>
      </c>
      <c r="B243" s="11">
        <f>IFERROR(__xludf.DUMMYFUNCTION("""COMPUTED_VALUE"""),45778.538554411694)</f>
        <v>45778.53855</v>
      </c>
      <c r="C243" s="9">
        <f>IFERROR(__xludf.DUMMYFUNCTION("""COMPUTED_VALUE"""),1423.0)</f>
        <v>1423</v>
      </c>
      <c r="D243" s="9" t="str">
        <f>IFERROR(__xludf.DUMMYFUNCTION("""COMPUTED_VALUE"""),"Completed")</f>
        <v>Completed</v>
      </c>
    </row>
    <row r="244">
      <c r="A244" s="9" t="str">
        <f>IFERROR(__xludf.DUMMYFUNCTION("""COMPUTED_VALUE"""),"G-REQ-00243")</f>
        <v>G-REQ-00243</v>
      </c>
      <c r="B244" s="11">
        <f>IFERROR(__xludf.DUMMYFUNCTION("""COMPUTED_VALUE"""),45778.60972925711)</f>
        <v>45778.60973</v>
      </c>
      <c r="C244" s="9">
        <f>IFERROR(__xludf.DUMMYFUNCTION("""COMPUTED_VALUE"""),1427.0)</f>
        <v>1427</v>
      </c>
      <c r="D244" s="9" t="str">
        <f>IFERROR(__xludf.DUMMYFUNCTION("""COMPUTED_VALUE"""),"Completed")</f>
        <v>Completed</v>
      </c>
    </row>
    <row r="245">
      <c r="A245" s="9" t="str">
        <f>IFERROR(__xludf.DUMMYFUNCTION("""COMPUTED_VALUE"""),"G-REQ-00244")</f>
        <v>G-REQ-00244</v>
      </c>
      <c r="B245" s="11">
        <f>IFERROR(__xludf.DUMMYFUNCTION("""COMPUTED_VALUE"""),45778.680904102526)</f>
        <v>45778.6809</v>
      </c>
      <c r="C245" s="9">
        <f>IFERROR(__xludf.DUMMYFUNCTION("""COMPUTED_VALUE"""),1431.0)</f>
        <v>1431</v>
      </c>
      <c r="D245" s="9" t="str">
        <f>IFERROR(__xludf.DUMMYFUNCTION("""COMPUTED_VALUE"""),"Completed")</f>
        <v>Completed</v>
      </c>
    </row>
    <row r="246">
      <c r="A246" s="9" t="str">
        <f>IFERROR(__xludf.DUMMYFUNCTION("""COMPUTED_VALUE"""),"G-REQ-00245")</f>
        <v>G-REQ-00245</v>
      </c>
      <c r="B246" s="11">
        <f>IFERROR(__xludf.DUMMYFUNCTION("""COMPUTED_VALUE"""),45778.752078947946)</f>
        <v>45778.75208</v>
      </c>
      <c r="C246" s="9">
        <f>IFERROR(__xludf.DUMMYFUNCTION("""COMPUTED_VALUE"""),1435.0)</f>
        <v>1435</v>
      </c>
      <c r="D246" s="9" t="str">
        <f>IFERROR(__xludf.DUMMYFUNCTION("""COMPUTED_VALUE"""),"Completed")</f>
        <v>Completed</v>
      </c>
    </row>
    <row r="247">
      <c r="A247" s="9" t="str">
        <f>IFERROR(__xludf.DUMMYFUNCTION("""COMPUTED_VALUE"""),"G-REQ-00246")</f>
        <v>G-REQ-00246</v>
      </c>
      <c r="B247" s="11">
        <f>IFERROR(__xludf.DUMMYFUNCTION("""COMPUTED_VALUE"""),45778.82325379335)</f>
        <v>45778.82325</v>
      </c>
      <c r="C247" s="9">
        <f>IFERROR(__xludf.DUMMYFUNCTION("""COMPUTED_VALUE"""),1439.0)</f>
        <v>1439</v>
      </c>
      <c r="D247" s="9" t="str">
        <f>IFERROR(__xludf.DUMMYFUNCTION("""COMPUTED_VALUE"""),"Completed")</f>
        <v>Completed</v>
      </c>
    </row>
    <row r="248">
      <c r="A248" s="9" t="str">
        <f>IFERROR(__xludf.DUMMYFUNCTION("""COMPUTED_VALUE"""),"G-REQ-00247")</f>
        <v>G-REQ-00247</v>
      </c>
      <c r="B248" s="11">
        <f>IFERROR(__xludf.DUMMYFUNCTION("""COMPUTED_VALUE"""),45778.887484194325)</f>
        <v>45778.88748</v>
      </c>
      <c r="C248" s="9">
        <f>IFERROR(__xludf.DUMMYFUNCTION("""COMPUTED_VALUE"""),1441.0)</f>
        <v>1441</v>
      </c>
      <c r="D248" s="9" t="str">
        <f>IFERROR(__xludf.DUMMYFUNCTION("""COMPUTED_VALUE"""),"Rejected")</f>
        <v>Rejected</v>
      </c>
    </row>
    <row r="249">
      <c r="A249" s="9" t="str">
        <f>IFERROR(__xludf.DUMMYFUNCTION("""COMPUTED_VALUE"""),"G-REQ-00248")</f>
        <v>G-REQ-00248</v>
      </c>
      <c r="B249" s="11">
        <f>IFERROR(__xludf.DUMMYFUNCTION("""COMPUTED_VALUE"""),45778.96560348419)</f>
        <v>45778.9656</v>
      </c>
      <c r="C249" s="9">
        <f>IFERROR(__xludf.DUMMYFUNCTION("""COMPUTED_VALUE"""),1445.0)</f>
        <v>1445</v>
      </c>
      <c r="D249" s="9" t="str">
        <f>IFERROR(__xludf.DUMMYFUNCTION("""COMPUTED_VALUE"""),"Completed")</f>
        <v>Completed</v>
      </c>
    </row>
    <row r="250">
      <c r="A250" s="9" t="str">
        <f>IFERROR(__xludf.DUMMYFUNCTION("""COMPUTED_VALUE"""),"G-REQ-00249")</f>
        <v>G-REQ-00249</v>
      </c>
      <c r="B250" s="11">
        <f>IFERROR(__xludf.DUMMYFUNCTION("""COMPUTED_VALUE"""),45779.0367783296)</f>
        <v>45779.03678</v>
      </c>
      <c r="C250" s="9">
        <f>IFERROR(__xludf.DUMMYFUNCTION("""COMPUTED_VALUE"""),1449.0)</f>
        <v>1449</v>
      </c>
      <c r="D250" s="9" t="str">
        <f>IFERROR(__xludf.DUMMYFUNCTION("""COMPUTED_VALUE"""),"Completed")</f>
        <v>Completed</v>
      </c>
    </row>
    <row r="251">
      <c r="A251" s="9" t="str">
        <f>IFERROR(__xludf.DUMMYFUNCTION("""COMPUTED_VALUE"""),"G-REQ-00250")</f>
        <v>G-REQ-00250</v>
      </c>
      <c r="B251" s="11">
        <f>IFERROR(__xludf.DUMMYFUNCTION("""COMPUTED_VALUE"""),45779.10100873057)</f>
        <v>45779.10101</v>
      </c>
      <c r="C251" s="9">
        <f>IFERROR(__xludf.DUMMYFUNCTION("""COMPUTED_VALUE"""),1451.0)</f>
        <v>1451</v>
      </c>
      <c r="D251" s="9" t="str">
        <f>IFERROR(__xludf.DUMMYFUNCTION("""COMPUTED_VALUE"""),"Cancelled")</f>
        <v>Cancelled</v>
      </c>
    </row>
    <row r="252">
      <c r="A252" s="9" t="str">
        <f>IFERROR(__xludf.DUMMYFUNCTION("""COMPUTED_VALUE"""),"G-REQ-00251")</f>
        <v>G-REQ-00251</v>
      </c>
      <c r="B252" s="11">
        <f>IFERROR(__xludf.DUMMYFUNCTION("""COMPUTED_VALUE"""),45779.179128020434)</f>
        <v>45779.17913</v>
      </c>
      <c r="C252" s="9">
        <f>IFERROR(__xludf.DUMMYFUNCTION("""COMPUTED_VALUE"""),1455.0)</f>
        <v>1455</v>
      </c>
      <c r="D252" s="9" t="str">
        <f>IFERROR(__xludf.DUMMYFUNCTION("""COMPUTED_VALUE"""),"Completed")</f>
        <v>Completed</v>
      </c>
    </row>
    <row r="253">
      <c r="A253" s="9" t="str">
        <f>IFERROR(__xludf.DUMMYFUNCTION("""COMPUTED_VALUE"""),"G-REQ-00252")</f>
        <v>G-REQ-00252</v>
      </c>
      <c r="B253" s="11">
        <f>IFERROR(__xludf.DUMMYFUNCTION("""COMPUTED_VALUE"""),45779.2433584214)</f>
        <v>45779.24336</v>
      </c>
      <c r="C253" s="9">
        <f>IFERROR(__xludf.DUMMYFUNCTION("""COMPUTED_VALUE"""),1457.0)</f>
        <v>1457</v>
      </c>
      <c r="D253" s="9" t="str">
        <f>IFERROR(__xludf.DUMMYFUNCTION("""COMPUTED_VALUE"""),"Rejected")</f>
        <v>Rejected</v>
      </c>
    </row>
    <row r="254">
      <c r="A254" s="9" t="str">
        <f>IFERROR(__xludf.DUMMYFUNCTION("""COMPUTED_VALUE"""),"G-REQ-00253")</f>
        <v>G-REQ-00253</v>
      </c>
      <c r="B254" s="11">
        <f>IFERROR(__xludf.DUMMYFUNCTION("""COMPUTED_VALUE"""),45779.32147771126)</f>
        <v>45779.32148</v>
      </c>
      <c r="C254" s="9">
        <f>IFERROR(__xludf.DUMMYFUNCTION("""COMPUTED_VALUE"""),1461.0)</f>
        <v>1461</v>
      </c>
      <c r="D254" s="9" t="str">
        <f>IFERROR(__xludf.DUMMYFUNCTION("""COMPUTED_VALUE"""),"Completed")</f>
        <v>Completed</v>
      </c>
    </row>
    <row r="255">
      <c r="A255" s="9" t="str">
        <f>IFERROR(__xludf.DUMMYFUNCTION("""COMPUTED_VALUE"""),"G-REQ-00254")</f>
        <v>G-REQ-00254</v>
      </c>
      <c r="B255" s="11">
        <f>IFERROR(__xludf.DUMMYFUNCTION("""COMPUTED_VALUE"""),45779.39265255668)</f>
        <v>45779.39265</v>
      </c>
      <c r="C255" s="9">
        <f>IFERROR(__xludf.DUMMYFUNCTION("""COMPUTED_VALUE"""),1465.0)</f>
        <v>1465</v>
      </c>
      <c r="D255" s="9" t="str">
        <f>IFERROR(__xludf.DUMMYFUNCTION("""COMPUTED_VALUE"""),"Completed")</f>
        <v>Completed</v>
      </c>
    </row>
    <row r="256">
      <c r="A256" s="9" t="str">
        <f>IFERROR(__xludf.DUMMYFUNCTION("""COMPUTED_VALUE"""),"G-REQ-00255")</f>
        <v>G-REQ-00255</v>
      </c>
      <c r="B256" s="11">
        <f>IFERROR(__xludf.DUMMYFUNCTION("""COMPUTED_VALUE"""),45779.46382740209)</f>
        <v>45779.46383</v>
      </c>
      <c r="C256" s="9">
        <f>IFERROR(__xludf.DUMMYFUNCTION("""COMPUTED_VALUE"""),1469.0)</f>
        <v>1469</v>
      </c>
      <c r="D256" s="9" t="str">
        <f>IFERROR(__xludf.DUMMYFUNCTION("""COMPUTED_VALUE"""),"Completed")</f>
        <v>Completed</v>
      </c>
    </row>
    <row r="257">
      <c r="A257" s="9" t="str">
        <f>IFERROR(__xludf.DUMMYFUNCTION("""COMPUTED_VALUE"""),"G-REQ-00256")</f>
        <v>G-REQ-00256</v>
      </c>
      <c r="B257" s="11">
        <f>IFERROR(__xludf.DUMMYFUNCTION("""COMPUTED_VALUE"""),45779.52805780306)</f>
        <v>45779.52806</v>
      </c>
      <c r="C257" s="9">
        <f>IFERROR(__xludf.DUMMYFUNCTION("""COMPUTED_VALUE"""),1471.0)</f>
        <v>1471</v>
      </c>
      <c r="D257" s="9" t="str">
        <f>IFERROR(__xludf.DUMMYFUNCTION("""COMPUTED_VALUE"""),"Rejected")</f>
        <v>Rejected</v>
      </c>
    </row>
    <row r="258">
      <c r="A258" s="9" t="str">
        <f>IFERROR(__xludf.DUMMYFUNCTION("""COMPUTED_VALUE"""),"G-REQ-00257")</f>
        <v>G-REQ-00257</v>
      </c>
      <c r="B258" s="11">
        <f>IFERROR(__xludf.DUMMYFUNCTION("""COMPUTED_VALUE"""),45779.59923264848)</f>
        <v>45779.59923</v>
      </c>
      <c r="C258" s="9">
        <f>IFERROR(__xludf.DUMMYFUNCTION("""COMPUTED_VALUE"""),1473.0)</f>
        <v>1473</v>
      </c>
      <c r="D258" s="9" t="str">
        <f>IFERROR(__xludf.DUMMYFUNCTION("""COMPUTED_VALUE"""),"Rejected")</f>
        <v>Rejected</v>
      </c>
    </row>
    <row r="259">
      <c r="A259" s="9" t="str">
        <f>IFERROR(__xludf.DUMMYFUNCTION("""COMPUTED_VALUE"""),"G-REQ-00258")</f>
        <v>G-REQ-00258</v>
      </c>
      <c r="B259" s="11">
        <f>IFERROR(__xludf.DUMMYFUNCTION("""COMPUTED_VALUE"""),45779.67040749389)</f>
        <v>45779.67041</v>
      </c>
      <c r="C259" s="9">
        <f>IFERROR(__xludf.DUMMYFUNCTION("""COMPUTED_VALUE"""),1475.0)</f>
        <v>1475</v>
      </c>
      <c r="D259" s="9" t="str">
        <f>IFERROR(__xludf.DUMMYFUNCTION("""COMPUTED_VALUE"""),"Rejected")</f>
        <v>Rejected</v>
      </c>
    </row>
    <row r="260">
      <c r="A260" s="9" t="str">
        <f>IFERROR(__xludf.DUMMYFUNCTION("""COMPUTED_VALUE"""),"G-REQ-00259")</f>
        <v>G-REQ-00259</v>
      </c>
      <c r="B260" s="11">
        <f>IFERROR(__xludf.DUMMYFUNCTION("""COMPUTED_VALUE"""),45779.74852678375)</f>
        <v>45779.74853</v>
      </c>
      <c r="C260" s="9">
        <f>IFERROR(__xludf.DUMMYFUNCTION("""COMPUTED_VALUE"""),1479.0)</f>
        <v>1479</v>
      </c>
      <c r="D260" s="9" t="str">
        <f>IFERROR(__xludf.DUMMYFUNCTION("""COMPUTED_VALUE"""),"Completed")</f>
        <v>Completed</v>
      </c>
    </row>
    <row r="261">
      <c r="A261" s="9" t="str">
        <f>IFERROR(__xludf.DUMMYFUNCTION("""COMPUTED_VALUE"""),"G-REQ-00260")</f>
        <v>G-REQ-00260</v>
      </c>
      <c r="B261" s="11">
        <f>IFERROR(__xludf.DUMMYFUNCTION("""COMPUTED_VALUE"""),45779.81970162917)</f>
        <v>45779.8197</v>
      </c>
      <c r="C261" s="9">
        <f>IFERROR(__xludf.DUMMYFUNCTION("""COMPUTED_VALUE"""),1483.0)</f>
        <v>1483</v>
      </c>
      <c r="D261" s="9" t="str">
        <f>IFERROR(__xludf.DUMMYFUNCTION("""COMPUTED_VALUE"""),"Completed")</f>
        <v>Completed</v>
      </c>
    </row>
    <row r="262">
      <c r="A262" s="9" t="str">
        <f>IFERROR(__xludf.DUMMYFUNCTION("""COMPUTED_VALUE"""),"G-REQ-00261")</f>
        <v>G-REQ-00261</v>
      </c>
      <c r="B262" s="11">
        <f>IFERROR(__xludf.DUMMYFUNCTION("""COMPUTED_VALUE"""),45779.89087647459)</f>
        <v>45779.89088</v>
      </c>
      <c r="C262" s="9">
        <f>IFERROR(__xludf.DUMMYFUNCTION("""COMPUTED_VALUE"""),1487.0)</f>
        <v>1487</v>
      </c>
      <c r="D262" s="9" t="str">
        <f>IFERROR(__xludf.DUMMYFUNCTION("""COMPUTED_VALUE"""),"Completed")</f>
        <v>Completed</v>
      </c>
    </row>
    <row r="263">
      <c r="A263" s="9" t="str">
        <f>IFERROR(__xludf.DUMMYFUNCTION("""COMPUTED_VALUE"""),"G-REQ-00262")</f>
        <v>G-REQ-00262</v>
      </c>
      <c r="B263" s="11">
        <f>IFERROR(__xludf.DUMMYFUNCTION("""COMPUTED_VALUE"""),45779.96205131999)</f>
        <v>45779.96205</v>
      </c>
      <c r="C263" s="9">
        <f>IFERROR(__xludf.DUMMYFUNCTION("""COMPUTED_VALUE"""),1491.0)</f>
        <v>1491</v>
      </c>
      <c r="D263" s="9" t="str">
        <f>IFERROR(__xludf.DUMMYFUNCTION("""COMPUTED_VALUE"""),"Completed")</f>
        <v>Completed</v>
      </c>
    </row>
    <row r="264">
      <c r="A264" s="9" t="str">
        <f>IFERROR(__xludf.DUMMYFUNCTION("""COMPUTED_VALUE"""),"G-REQ-00263")</f>
        <v>G-REQ-00263</v>
      </c>
      <c r="B264" s="11">
        <f>IFERROR(__xludf.DUMMYFUNCTION("""COMPUTED_VALUE"""),45780.03322616541)</f>
        <v>45780.03323</v>
      </c>
      <c r="C264" s="9">
        <f>IFERROR(__xludf.DUMMYFUNCTION("""COMPUTED_VALUE"""),1495.0)</f>
        <v>1495</v>
      </c>
      <c r="D264" s="9" t="str">
        <f>IFERROR(__xludf.DUMMYFUNCTION("""COMPUTED_VALUE"""),"Completed")</f>
        <v>Completed</v>
      </c>
    </row>
    <row r="265">
      <c r="A265" s="9" t="str">
        <f>IFERROR(__xludf.DUMMYFUNCTION("""COMPUTED_VALUE"""),"G-REQ-00264")</f>
        <v>G-REQ-00264</v>
      </c>
      <c r="B265" s="11">
        <f>IFERROR(__xludf.DUMMYFUNCTION("""COMPUTED_VALUE"""),45780.10440101083)</f>
        <v>45780.1044</v>
      </c>
      <c r="C265" s="9">
        <f>IFERROR(__xludf.DUMMYFUNCTION("""COMPUTED_VALUE"""),1499.0)</f>
        <v>1499</v>
      </c>
      <c r="D265" s="9" t="str">
        <f>IFERROR(__xludf.DUMMYFUNCTION("""COMPUTED_VALUE"""),"Completed")</f>
        <v>Completed</v>
      </c>
    </row>
    <row r="266">
      <c r="A266" s="9" t="str">
        <f>IFERROR(__xludf.DUMMYFUNCTION("""COMPUTED_VALUE"""),"G-REQ-00265")</f>
        <v>G-REQ-00265</v>
      </c>
      <c r="B266" s="11">
        <f>IFERROR(__xludf.DUMMYFUNCTION("""COMPUTED_VALUE"""),45780.17557585624)</f>
        <v>45780.17558</v>
      </c>
      <c r="C266" s="9">
        <f>IFERROR(__xludf.DUMMYFUNCTION("""COMPUTED_VALUE"""),1503.0)</f>
        <v>1503</v>
      </c>
      <c r="D266" s="9" t="str">
        <f>IFERROR(__xludf.DUMMYFUNCTION("""COMPUTED_VALUE"""),"Completed")</f>
        <v>Completed</v>
      </c>
    </row>
    <row r="267">
      <c r="A267" s="9" t="str">
        <f>IFERROR(__xludf.DUMMYFUNCTION("""COMPUTED_VALUE"""),"G-REQ-00266")</f>
        <v>G-REQ-00266</v>
      </c>
      <c r="B267" s="11">
        <f>IFERROR(__xludf.DUMMYFUNCTION("""COMPUTED_VALUE"""),45780.246750701655)</f>
        <v>45780.24675</v>
      </c>
      <c r="C267" s="9">
        <f>IFERROR(__xludf.DUMMYFUNCTION("""COMPUTED_VALUE"""),1507.0)</f>
        <v>1507</v>
      </c>
      <c r="D267" s="9" t="str">
        <f>IFERROR(__xludf.DUMMYFUNCTION("""COMPUTED_VALUE"""),"Completed")</f>
        <v>Completed</v>
      </c>
    </row>
    <row r="268">
      <c r="A268" s="9" t="str">
        <f>IFERROR(__xludf.DUMMYFUNCTION("""COMPUTED_VALUE"""),"G-REQ-00267")</f>
        <v>G-REQ-00267</v>
      </c>
      <c r="B268" s="11">
        <f>IFERROR(__xludf.DUMMYFUNCTION("""COMPUTED_VALUE"""),45780.317925547075)</f>
        <v>45780.31793</v>
      </c>
      <c r="C268" s="9">
        <f>IFERROR(__xludf.DUMMYFUNCTION("""COMPUTED_VALUE"""),1511.0)</f>
        <v>1511</v>
      </c>
      <c r="D268" s="9" t="str">
        <f>IFERROR(__xludf.DUMMYFUNCTION("""COMPUTED_VALUE"""),"Completed")</f>
        <v>Completed</v>
      </c>
    </row>
    <row r="269">
      <c r="A269" s="9" t="str">
        <f>IFERROR(__xludf.DUMMYFUNCTION("""COMPUTED_VALUE"""),"G-REQ-00268")</f>
        <v>G-REQ-00268</v>
      </c>
      <c r="B269" s="11">
        <f>IFERROR(__xludf.DUMMYFUNCTION("""COMPUTED_VALUE"""),45780.38910039249)</f>
        <v>45780.3891</v>
      </c>
      <c r="C269" s="9">
        <f>IFERROR(__xludf.DUMMYFUNCTION("""COMPUTED_VALUE"""),1515.0)</f>
        <v>1515</v>
      </c>
      <c r="D269" s="9" t="str">
        <f>IFERROR(__xludf.DUMMYFUNCTION("""COMPUTED_VALUE"""),"Completed")</f>
        <v>Completed</v>
      </c>
    </row>
    <row r="270">
      <c r="A270" s="9" t="str">
        <f>IFERROR(__xludf.DUMMYFUNCTION("""COMPUTED_VALUE"""),"G-REQ-00269")</f>
        <v>G-REQ-00269</v>
      </c>
      <c r="B270" s="11">
        <f>IFERROR(__xludf.DUMMYFUNCTION("""COMPUTED_VALUE"""),45780.4602752379)</f>
        <v>45780.46028</v>
      </c>
      <c r="C270" s="9">
        <f>IFERROR(__xludf.DUMMYFUNCTION("""COMPUTED_VALUE"""),1519.0)</f>
        <v>1519</v>
      </c>
      <c r="D270" s="9" t="str">
        <f>IFERROR(__xludf.DUMMYFUNCTION("""COMPUTED_VALUE"""),"Completed")</f>
        <v>Completed</v>
      </c>
    </row>
    <row r="271">
      <c r="A271" s="9" t="str">
        <f>IFERROR(__xludf.DUMMYFUNCTION("""COMPUTED_VALUE"""),"G-REQ-00270")</f>
        <v>G-REQ-00270</v>
      </c>
      <c r="B271" s="11">
        <f>IFERROR(__xludf.DUMMYFUNCTION("""COMPUTED_VALUE"""),45780.53145008332)</f>
        <v>45780.53145</v>
      </c>
      <c r="C271" s="9">
        <f>IFERROR(__xludf.DUMMYFUNCTION("""COMPUTED_VALUE"""),1523.0)</f>
        <v>1523</v>
      </c>
      <c r="D271" s="9" t="str">
        <f>IFERROR(__xludf.DUMMYFUNCTION("""COMPUTED_VALUE"""),"Completed")</f>
        <v>Completed</v>
      </c>
    </row>
    <row r="272">
      <c r="A272" s="9" t="str">
        <f>IFERROR(__xludf.DUMMYFUNCTION("""COMPUTED_VALUE"""),"G-REQ-00271")</f>
        <v>G-REQ-00271</v>
      </c>
      <c r="B272" s="11">
        <f>IFERROR(__xludf.DUMMYFUNCTION("""COMPUTED_VALUE"""),45780.60262492874)</f>
        <v>45780.60262</v>
      </c>
      <c r="C272" s="9">
        <f>IFERROR(__xludf.DUMMYFUNCTION("""COMPUTED_VALUE"""),1527.0)</f>
        <v>1527</v>
      </c>
      <c r="D272" s="9" t="str">
        <f>IFERROR(__xludf.DUMMYFUNCTION("""COMPUTED_VALUE"""),"Completed")</f>
        <v>Completed</v>
      </c>
    </row>
    <row r="273">
      <c r="A273" s="9" t="str">
        <f>IFERROR(__xludf.DUMMYFUNCTION("""COMPUTED_VALUE"""),"G-REQ-00272")</f>
        <v>G-REQ-00272</v>
      </c>
      <c r="B273" s="11">
        <f>IFERROR(__xludf.DUMMYFUNCTION("""COMPUTED_VALUE"""),45780.673799774144)</f>
        <v>45780.6738</v>
      </c>
      <c r="C273" s="9">
        <f>IFERROR(__xludf.DUMMYFUNCTION("""COMPUTED_VALUE"""),1531.0)</f>
        <v>1531</v>
      </c>
      <c r="D273" s="9" t="str">
        <f>IFERROR(__xludf.DUMMYFUNCTION("""COMPUTED_VALUE"""),"Completed")</f>
        <v>Completed</v>
      </c>
    </row>
    <row r="274">
      <c r="A274" s="9" t="str">
        <f>IFERROR(__xludf.DUMMYFUNCTION("""COMPUTED_VALUE"""),"G-REQ-00273")</f>
        <v>G-REQ-00273</v>
      </c>
      <c r="B274" s="11">
        <f>IFERROR(__xludf.DUMMYFUNCTION("""COMPUTED_VALUE"""),45780.73803017512)</f>
        <v>45780.73803</v>
      </c>
      <c r="C274" s="9">
        <f>IFERROR(__xludf.DUMMYFUNCTION("""COMPUTED_VALUE"""),1533.0)</f>
        <v>1533</v>
      </c>
      <c r="D274" s="9" t="str">
        <f>IFERROR(__xludf.DUMMYFUNCTION("""COMPUTED_VALUE"""),"Rejected")</f>
        <v>Rejected</v>
      </c>
    </row>
    <row r="275">
      <c r="A275" s="9" t="str">
        <f>IFERROR(__xludf.DUMMYFUNCTION("""COMPUTED_VALUE"""),"G-REQ-00274")</f>
        <v>G-REQ-00274</v>
      </c>
      <c r="B275" s="11">
        <f>IFERROR(__xludf.DUMMYFUNCTION("""COMPUTED_VALUE"""),45780.80920502053)</f>
        <v>45780.80921</v>
      </c>
      <c r="C275" s="9">
        <f>IFERROR(__xludf.DUMMYFUNCTION("""COMPUTED_VALUE"""),1535.0)</f>
        <v>1535</v>
      </c>
      <c r="D275" s="9" t="str">
        <f>IFERROR(__xludf.DUMMYFUNCTION("""COMPUTED_VALUE"""),"Rejected")</f>
        <v>Rejected</v>
      </c>
    </row>
    <row r="276">
      <c r="A276" s="9" t="str">
        <f>IFERROR(__xludf.DUMMYFUNCTION("""COMPUTED_VALUE"""),"G-REQ-00275")</f>
        <v>G-REQ-00275</v>
      </c>
      <c r="B276" s="11">
        <f>IFERROR(__xludf.DUMMYFUNCTION("""COMPUTED_VALUE"""),45780.88037986595)</f>
        <v>45780.88038</v>
      </c>
      <c r="C276" s="9">
        <f>IFERROR(__xludf.DUMMYFUNCTION("""COMPUTED_VALUE"""),1537.0)</f>
        <v>1537</v>
      </c>
      <c r="D276" s="9" t="str">
        <f>IFERROR(__xludf.DUMMYFUNCTION("""COMPUTED_VALUE"""),"Cancelled")</f>
        <v>Cancelled</v>
      </c>
    </row>
    <row r="277">
      <c r="A277" s="9" t="str">
        <f>IFERROR(__xludf.DUMMYFUNCTION("""COMPUTED_VALUE"""),"G-REQ-00276")</f>
        <v>G-REQ-00276</v>
      </c>
      <c r="B277" s="11">
        <f>IFERROR(__xludf.DUMMYFUNCTION("""COMPUTED_VALUE"""),45780.95849915581)</f>
        <v>45780.9585</v>
      </c>
      <c r="C277" s="9">
        <f>IFERROR(__xludf.DUMMYFUNCTION("""COMPUTED_VALUE"""),1541.0)</f>
        <v>1541</v>
      </c>
      <c r="D277" s="9" t="str">
        <f>IFERROR(__xludf.DUMMYFUNCTION("""COMPUTED_VALUE"""),"Completed")</f>
        <v>Completed</v>
      </c>
    </row>
    <row r="278">
      <c r="A278" s="9" t="str">
        <f>IFERROR(__xludf.DUMMYFUNCTION("""COMPUTED_VALUE"""),"G-REQ-00277")</f>
        <v>G-REQ-00277</v>
      </c>
      <c r="B278" s="11">
        <f>IFERROR(__xludf.DUMMYFUNCTION("""COMPUTED_VALUE"""),45781.02967400123)</f>
        <v>45781.02967</v>
      </c>
      <c r="C278" s="9">
        <f>IFERROR(__xludf.DUMMYFUNCTION("""COMPUTED_VALUE"""),1545.0)</f>
        <v>1545</v>
      </c>
      <c r="D278" s="9" t="str">
        <f>IFERROR(__xludf.DUMMYFUNCTION("""COMPUTED_VALUE"""),"Completed")</f>
        <v>Completed</v>
      </c>
    </row>
    <row r="279">
      <c r="A279" s="9" t="str">
        <f>IFERROR(__xludf.DUMMYFUNCTION("""COMPUTED_VALUE"""),"G-REQ-00278")</f>
        <v>G-REQ-00278</v>
      </c>
      <c r="B279" s="11">
        <f>IFERROR(__xludf.DUMMYFUNCTION("""COMPUTED_VALUE"""),45781.10084884663)</f>
        <v>45781.10085</v>
      </c>
      <c r="C279" s="9">
        <f>IFERROR(__xludf.DUMMYFUNCTION("""COMPUTED_VALUE"""),1549.0)</f>
        <v>1549</v>
      </c>
      <c r="D279" s="9" t="str">
        <f>IFERROR(__xludf.DUMMYFUNCTION("""COMPUTED_VALUE"""),"Completed")</f>
        <v>Completed</v>
      </c>
    </row>
    <row r="280">
      <c r="A280" s="9" t="str">
        <f>IFERROR(__xludf.DUMMYFUNCTION("""COMPUTED_VALUE"""),"G-REQ-00279")</f>
        <v>G-REQ-00279</v>
      </c>
      <c r="B280" s="11">
        <f>IFERROR(__xludf.DUMMYFUNCTION("""COMPUTED_VALUE"""),45781.17202369205)</f>
        <v>45781.17202</v>
      </c>
      <c r="C280" s="9">
        <f>IFERROR(__xludf.DUMMYFUNCTION("""COMPUTED_VALUE"""),1553.0)</f>
        <v>1553</v>
      </c>
      <c r="D280" s="9" t="str">
        <f>IFERROR(__xludf.DUMMYFUNCTION("""COMPUTED_VALUE"""),"Completed")</f>
        <v>Completed</v>
      </c>
    </row>
    <row r="281">
      <c r="A281" s="9" t="str">
        <f>IFERROR(__xludf.DUMMYFUNCTION("""COMPUTED_VALUE"""),"G-REQ-00280")</f>
        <v>G-REQ-00280</v>
      </c>
      <c r="B281" s="11">
        <f>IFERROR(__xludf.DUMMYFUNCTION("""COMPUTED_VALUE"""),45781.24319853747)</f>
        <v>45781.2432</v>
      </c>
      <c r="C281" s="9">
        <f>IFERROR(__xludf.DUMMYFUNCTION("""COMPUTED_VALUE"""),1557.0)</f>
        <v>1557</v>
      </c>
      <c r="D281" s="9" t="str">
        <f>IFERROR(__xludf.DUMMYFUNCTION("""COMPUTED_VALUE"""),"Completed")</f>
        <v>Completed</v>
      </c>
    </row>
    <row r="282">
      <c r="A282" s="9" t="str">
        <f>IFERROR(__xludf.DUMMYFUNCTION("""COMPUTED_VALUE"""),"G-REQ-00281")</f>
        <v>G-REQ-00281</v>
      </c>
      <c r="B282" s="11">
        <f>IFERROR(__xludf.DUMMYFUNCTION("""COMPUTED_VALUE"""),45781.314373382884)</f>
        <v>45781.31437</v>
      </c>
      <c r="C282" s="9">
        <f>IFERROR(__xludf.DUMMYFUNCTION("""COMPUTED_VALUE"""),1561.0)</f>
        <v>1561</v>
      </c>
      <c r="D282" s="9" t="str">
        <f>IFERROR(__xludf.DUMMYFUNCTION("""COMPUTED_VALUE"""),"Completed")</f>
        <v>Completed</v>
      </c>
    </row>
    <row r="283">
      <c r="A283" s="9" t="str">
        <f>IFERROR(__xludf.DUMMYFUNCTION("""COMPUTED_VALUE"""),"G-REQ-00282")</f>
        <v>G-REQ-00282</v>
      </c>
      <c r="B283" s="11">
        <f>IFERROR(__xludf.DUMMYFUNCTION("""COMPUTED_VALUE"""),45781.385548228296)</f>
        <v>45781.38555</v>
      </c>
      <c r="C283" s="9">
        <f>IFERROR(__xludf.DUMMYFUNCTION("""COMPUTED_VALUE"""),1565.0)</f>
        <v>1565</v>
      </c>
      <c r="D283" s="9" t="str">
        <f>IFERROR(__xludf.DUMMYFUNCTION("""COMPUTED_VALUE"""),"Completed")</f>
        <v>Completed</v>
      </c>
    </row>
    <row r="284">
      <c r="A284" s="9" t="str">
        <f>IFERROR(__xludf.DUMMYFUNCTION("""COMPUTED_VALUE"""),"G-REQ-00283")</f>
        <v>G-REQ-00283</v>
      </c>
      <c r="B284" s="11">
        <f>IFERROR(__xludf.DUMMYFUNCTION("""COMPUTED_VALUE"""),45781.456723073716)</f>
        <v>45781.45672</v>
      </c>
      <c r="C284" s="9">
        <f>IFERROR(__xludf.DUMMYFUNCTION("""COMPUTED_VALUE"""),1569.0)</f>
        <v>1569</v>
      </c>
      <c r="D284" s="9" t="str">
        <f>IFERROR(__xludf.DUMMYFUNCTION("""COMPUTED_VALUE"""),"Completed")</f>
        <v>Completed</v>
      </c>
    </row>
    <row r="285">
      <c r="A285" s="9" t="str">
        <f>IFERROR(__xludf.DUMMYFUNCTION("""COMPUTED_VALUE"""),"G-REQ-00284")</f>
        <v>G-REQ-00284</v>
      </c>
      <c r="B285" s="11">
        <f>IFERROR(__xludf.DUMMYFUNCTION("""COMPUTED_VALUE"""),45781.52789791913)</f>
        <v>45781.5279</v>
      </c>
      <c r="C285" s="9">
        <f>IFERROR(__xludf.DUMMYFUNCTION("""COMPUTED_VALUE"""),1573.0)</f>
        <v>1573</v>
      </c>
      <c r="D285" s="9" t="str">
        <f>IFERROR(__xludf.DUMMYFUNCTION("""COMPUTED_VALUE"""),"Completed")</f>
        <v>Completed</v>
      </c>
    </row>
    <row r="286">
      <c r="A286" s="9" t="str">
        <f>IFERROR(__xludf.DUMMYFUNCTION("""COMPUTED_VALUE"""),"G-REQ-00285")</f>
        <v>G-REQ-00285</v>
      </c>
      <c r="B286" s="11">
        <f>IFERROR(__xludf.DUMMYFUNCTION("""COMPUTED_VALUE"""),45781.59907276454)</f>
        <v>45781.59907</v>
      </c>
      <c r="C286" s="9">
        <f>IFERROR(__xludf.DUMMYFUNCTION("""COMPUTED_VALUE"""),1577.0)</f>
        <v>1577</v>
      </c>
      <c r="D286" s="9" t="str">
        <f>IFERROR(__xludf.DUMMYFUNCTION("""COMPUTED_VALUE"""),"Completed")</f>
        <v>Completed</v>
      </c>
    </row>
    <row r="287">
      <c r="A287" s="9" t="str">
        <f>IFERROR(__xludf.DUMMYFUNCTION("""COMPUTED_VALUE"""),"G-REQ-00286")</f>
        <v>G-REQ-00286</v>
      </c>
      <c r="B287" s="11">
        <f>IFERROR(__xludf.DUMMYFUNCTION("""COMPUTED_VALUE"""),45781.67024760996)</f>
        <v>45781.67025</v>
      </c>
      <c r="C287" s="9">
        <f>IFERROR(__xludf.DUMMYFUNCTION("""COMPUTED_VALUE"""),1581.0)</f>
        <v>1581</v>
      </c>
      <c r="D287" s="9" t="str">
        <f>IFERROR(__xludf.DUMMYFUNCTION("""COMPUTED_VALUE"""),"Completed")</f>
        <v>Completed</v>
      </c>
    </row>
    <row r="288">
      <c r="A288" s="9" t="str">
        <f>IFERROR(__xludf.DUMMYFUNCTION("""COMPUTED_VALUE"""),"G-REQ-00287")</f>
        <v>G-REQ-00287</v>
      </c>
      <c r="B288" s="11">
        <f>IFERROR(__xludf.DUMMYFUNCTION("""COMPUTED_VALUE"""),45781.74142245538)</f>
        <v>45781.74142</v>
      </c>
      <c r="C288" s="9">
        <f>IFERROR(__xludf.DUMMYFUNCTION("""COMPUTED_VALUE"""),1585.0)</f>
        <v>1585</v>
      </c>
      <c r="D288" s="9" t="str">
        <f>IFERROR(__xludf.DUMMYFUNCTION("""COMPUTED_VALUE"""),"Completed")</f>
        <v>Completed</v>
      </c>
    </row>
    <row r="289">
      <c r="A289" s="9" t="str">
        <f>IFERROR(__xludf.DUMMYFUNCTION("""COMPUTED_VALUE"""),"G-REQ-00288")</f>
        <v>G-REQ-00288</v>
      </c>
      <c r="B289" s="11">
        <f>IFERROR(__xludf.DUMMYFUNCTION("""COMPUTED_VALUE"""),45781.812597300785)</f>
        <v>45781.8126</v>
      </c>
      <c r="C289" s="9">
        <f>IFERROR(__xludf.DUMMYFUNCTION("""COMPUTED_VALUE"""),1589.0)</f>
        <v>1589</v>
      </c>
      <c r="D289" s="9" t="str">
        <f>IFERROR(__xludf.DUMMYFUNCTION("""COMPUTED_VALUE"""),"Completed")</f>
        <v>Completed</v>
      </c>
    </row>
    <row r="290">
      <c r="A290" s="9" t="str">
        <f>IFERROR(__xludf.DUMMYFUNCTION("""COMPUTED_VALUE"""),"G-REQ-00289")</f>
        <v>G-REQ-00289</v>
      </c>
      <c r="B290" s="11">
        <f>IFERROR(__xludf.DUMMYFUNCTION("""COMPUTED_VALUE"""),45781.883772146204)</f>
        <v>45781.88377</v>
      </c>
      <c r="C290" s="9">
        <f>IFERROR(__xludf.DUMMYFUNCTION("""COMPUTED_VALUE"""),1593.0)</f>
        <v>1593</v>
      </c>
      <c r="D290" s="9" t="str">
        <f>IFERROR(__xludf.DUMMYFUNCTION("""COMPUTED_VALUE"""),"Completed")</f>
        <v>Completed</v>
      </c>
    </row>
    <row r="291">
      <c r="A291" s="9" t="str">
        <f>IFERROR(__xludf.DUMMYFUNCTION("""COMPUTED_VALUE"""),"G-REQ-00290")</f>
        <v>G-REQ-00290</v>
      </c>
      <c r="B291" s="11">
        <f>IFERROR(__xludf.DUMMYFUNCTION("""COMPUTED_VALUE"""),45781.954946991624)</f>
        <v>45781.95495</v>
      </c>
      <c r="C291" s="9">
        <f>IFERROR(__xludf.DUMMYFUNCTION("""COMPUTED_VALUE"""),1597.0)</f>
        <v>1597</v>
      </c>
      <c r="D291" s="9" t="str">
        <f>IFERROR(__xludf.DUMMYFUNCTION("""COMPUTED_VALUE"""),"Completed")</f>
        <v>Completed</v>
      </c>
    </row>
    <row r="292">
      <c r="A292" s="9" t="str">
        <f>IFERROR(__xludf.DUMMYFUNCTION("""COMPUTED_VALUE"""),"G-REQ-00291")</f>
        <v>G-REQ-00291</v>
      </c>
      <c r="B292" s="11">
        <f>IFERROR(__xludf.DUMMYFUNCTION("""COMPUTED_VALUE"""),45782.026121837036)</f>
        <v>45782.02612</v>
      </c>
      <c r="C292" s="9">
        <f>IFERROR(__xludf.DUMMYFUNCTION("""COMPUTED_VALUE"""),1601.0)</f>
        <v>1601</v>
      </c>
      <c r="D292" s="9" t="str">
        <f>IFERROR(__xludf.DUMMYFUNCTION("""COMPUTED_VALUE"""),"Completed")</f>
        <v>Completed</v>
      </c>
    </row>
    <row r="293">
      <c r="A293" s="9" t="str">
        <f>IFERROR(__xludf.DUMMYFUNCTION("""COMPUTED_VALUE"""),"G-REQ-00292")</f>
        <v>G-REQ-00292</v>
      </c>
      <c r="B293" s="11">
        <f>IFERROR(__xludf.DUMMYFUNCTION("""COMPUTED_VALUE"""),45782.09729668245)</f>
        <v>45782.0973</v>
      </c>
      <c r="C293" s="9">
        <f>IFERROR(__xludf.DUMMYFUNCTION("""COMPUTED_VALUE"""),1605.0)</f>
        <v>1605</v>
      </c>
      <c r="D293" s="9" t="str">
        <f>IFERROR(__xludf.DUMMYFUNCTION("""COMPUTED_VALUE"""),"Completed")</f>
        <v>Completed</v>
      </c>
    </row>
    <row r="294">
      <c r="A294" s="9" t="str">
        <f>IFERROR(__xludf.DUMMYFUNCTION("""COMPUTED_VALUE"""),"G-REQ-00293")</f>
        <v>G-REQ-00293</v>
      </c>
      <c r="B294" s="11">
        <f>IFERROR(__xludf.DUMMYFUNCTION("""COMPUTED_VALUE"""),45782.16847152787)</f>
        <v>45782.16847</v>
      </c>
      <c r="C294" s="9">
        <f>IFERROR(__xludf.DUMMYFUNCTION("""COMPUTED_VALUE"""),1609.0)</f>
        <v>1609</v>
      </c>
      <c r="D294" s="9" t="str">
        <f>IFERROR(__xludf.DUMMYFUNCTION("""COMPUTED_VALUE"""),"Completed")</f>
        <v>Completed</v>
      </c>
    </row>
    <row r="295">
      <c r="A295" s="9" t="str">
        <f>IFERROR(__xludf.DUMMYFUNCTION("""COMPUTED_VALUE"""),"G-REQ-00294")</f>
        <v>G-REQ-00294</v>
      </c>
      <c r="B295" s="11">
        <f>IFERROR(__xludf.DUMMYFUNCTION("""COMPUTED_VALUE"""),45782.23964637328)</f>
        <v>45782.23965</v>
      </c>
      <c r="C295" s="9">
        <f>IFERROR(__xludf.DUMMYFUNCTION("""COMPUTED_VALUE"""),1613.0)</f>
        <v>1613</v>
      </c>
      <c r="D295" s="9" t="str">
        <f>IFERROR(__xludf.DUMMYFUNCTION("""COMPUTED_VALUE"""),"Completed")</f>
        <v>Completed</v>
      </c>
    </row>
    <row r="296">
      <c r="A296" s="9" t="str">
        <f>IFERROR(__xludf.DUMMYFUNCTION("""COMPUTED_VALUE"""),"G-REQ-00295")</f>
        <v>G-REQ-00295</v>
      </c>
      <c r="B296" s="11">
        <f>IFERROR(__xludf.DUMMYFUNCTION("""COMPUTED_VALUE"""),45782.30387677425)</f>
        <v>45782.30388</v>
      </c>
      <c r="C296" s="9">
        <f>IFERROR(__xludf.DUMMYFUNCTION("""COMPUTED_VALUE"""),1615.0)</f>
        <v>1615</v>
      </c>
      <c r="D296" s="9" t="str">
        <f>IFERROR(__xludf.DUMMYFUNCTION("""COMPUTED_VALUE"""),"Cancelled")</f>
        <v>Cancelled</v>
      </c>
    </row>
    <row r="297">
      <c r="A297" s="9" t="str">
        <f>IFERROR(__xludf.DUMMYFUNCTION("""COMPUTED_VALUE"""),"G-REQ-00296")</f>
        <v>G-REQ-00296</v>
      </c>
      <c r="B297" s="11">
        <f>IFERROR(__xludf.DUMMYFUNCTION("""COMPUTED_VALUE"""),45782.38199606411)</f>
        <v>45782.382</v>
      </c>
      <c r="C297" s="9">
        <f>IFERROR(__xludf.DUMMYFUNCTION("""COMPUTED_VALUE"""),1619.0)</f>
        <v>1619</v>
      </c>
      <c r="D297" s="9" t="str">
        <f>IFERROR(__xludf.DUMMYFUNCTION("""COMPUTED_VALUE"""),"Completed")</f>
        <v>Completed</v>
      </c>
    </row>
    <row r="298">
      <c r="A298" s="9" t="str">
        <f>IFERROR(__xludf.DUMMYFUNCTION("""COMPUTED_VALUE"""),"G-REQ-00297")</f>
        <v>G-REQ-00297</v>
      </c>
      <c r="B298" s="11">
        <f>IFERROR(__xludf.DUMMYFUNCTION("""COMPUTED_VALUE"""),45782.453170909524)</f>
        <v>45782.45317</v>
      </c>
      <c r="C298" s="9">
        <f>IFERROR(__xludf.DUMMYFUNCTION("""COMPUTED_VALUE"""),1623.0)</f>
        <v>1623</v>
      </c>
      <c r="D298" s="9" t="str">
        <f>IFERROR(__xludf.DUMMYFUNCTION("""COMPUTED_VALUE"""),"Completed")</f>
        <v>Completed</v>
      </c>
    </row>
    <row r="299">
      <c r="A299" s="9" t="str">
        <f>IFERROR(__xludf.DUMMYFUNCTION("""COMPUTED_VALUE"""),"G-REQ-00298")</f>
        <v>G-REQ-00298</v>
      </c>
      <c r="B299" s="11">
        <f>IFERROR(__xludf.DUMMYFUNCTION("""COMPUTED_VALUE"""),45782.52434575494)</f>
        <v>45782.52435</v>
      </c>
      <c r="C299" s="9">
        <f>IFERROR(__xludf.DUMMYFUNCTION("""COMPUTED_VALUE"""),1627.0)</f>
        <v>1627</v>
      </c>
      <c r="D299" s="9" t="str">
        <f>IFERROR(__xludf.DUMMYFUNCTION("""COMPUTED_VALUE"""),"Completed")</f>
        <v>Completed</v>
      </c>
    </row>
    <row r="300">
      <c r="A300" s="9" t="str">
        <f>IFERROR(__xludf.DUMMYFUNCTION("""COMPUTED_VALUE"""),"G-REQ-00299")</f>
        <v>G-REQ-00299</v>
      </c>
      <c r="B300" s="11">
        <f>IFERROR(__xludf.DUMMYFUNCTION("""COMPUTED_VALUE"""),45782.59552060036)</f>
        <v>45782.59552</v>
      </c>
      <c r="C300" s="9">
        <f>IFERROR(__xludf.DUMMYFUNCTION("""COMPUTED_VALUE"""),1631.0)</f>
        <v>1631</v>
      </c>
      <c r="D300" s="9" t="str">
        <f>IFERROR(__xludf.DUMMYFUNCTION("""COMPUTED_VALUE"""),"Completed")</f>
        <v>Completed</v>
      </c>
    </row>
    <row r="301">
      <c r="A301" s="9" t="str">
        <f>IFERROR(__xludf.DUMMYFUNCTION("""COMPUTED_VALUE"""),"G-REQ-00300")</f>
        <v>G-REQ-00300</v>
      </c>
      <c r="B301" s="11">
        <f>IFERROR(__xludf.DUMMYFUNCTION("""COMPUTED_VALUE"""),45782.66669544577)</f>
        <v>45782.6667</v>
      </c>
      <c r="C301" s="9">
        <f>IFERROR(__xludf.DUMMYFUNCTION("""COMPUTED_VALUE"""),1635.0)</f>
        <v>1635</v>
      </c>
      <c r="D301" s="9" t="str">
        <f>IFERROR(__xludf.DUMMYFUNCTION("""COMPUTED_VALUE"""),"Completed")</f>
        <v>Completed</v>
      </c>
    </row>
    <row r="302">
      <c r="A302" s="9" t="str">
        <f>IFERROR(__xludf.DUMMYFUNCTION("""COMPUTED_VALUE"""),"G-REQ-00301")</f>
        <v>G-REQ-00301</v>
      </c>
      <c r="B302" s="11">
        <f>IFERROR(__xludf.DUMMYFUNCTION("""COMPUTED_VALUE"""),45782.73787029118)</f>
        <v>45782.73787</v>
      </c>
      <c r="C302" s="9">
        <f>IFERROR(__xludf.DUMMYFUNCTION("""COMPUTED_VALUE"""),1639.0)</f>
        <v>1639</v>
      </c>
      <c r="D302" s="9" t="str">
        <f>IFERROR(__xludf.DUMMYFUNCTION("""COMPUTED_VALUE"""),"Completed")</f>
        <v>Completed</v>
      </c>
    </row>
    <row r="303">
      <c r="A303" s="9" t="str">
        <f>IFERROR(__xludf.DUMMYFUNCTION("""COMPUTED_VALUE"""),"G-REQ-00302")</f>
        <v>G-REQ-00302</v>
      </c>
      <c r="B303" s="11">
        <f>IFERROR(__xludf.DUMMYFUNCTION("""COMPUTED_VALUE"""),45782.8090451366)</f>
        <v>45782.80905</v>
      </c>
      <c r="C303" s="9">
        <f>IFERROR(__xludf.DUMMYFUNCTION("""COMPUTED_VALUE"""),1643.0)</f>
        <v>1643</v>
      </c>
      <c r="D303" s="9" t="str">
        <f>IFERROR(__xludf.DUMMYFUNCTION("""COMPUTED_VALUE"""),"Completed")</f>
        <v>Completed</v>
      </c>
    </row>
    <row r="304">
      <c r="A304" s="9" t="str">
        <f>IFERROR(__xludf.DUMMYFUNCTION("""COMPUTED_VALUE"""),"G-REQ-00303")</f>
        <v>G-REQ-00303</v>
      </c>
      <c r="B304" s="11">
        <f>IFERROR(__xludf.DUMMYFUNCTION("""COMPUTED_VALUE"""),45782.88021998202)</f>
        <v>45782.88022</v>
      </c>
      <c r="C304" s="9">
        <f>IFERROR(__xludf.DUMMYFUNCTION("""COMPUTED_VALUE"""),1647.0)</f>
        <v>1647</v>
      </c>
      <c r="D304" s="9" t="str">
        <f>IFERROR(__xludf.DUMMYFUNCTION("""COMPUTED_VALUE"""),"Completed")</f>
        <v>Completed</v>
      </c>
    </row>
    <row r="305">
      <c r="A305" s="9" t="str">
        <f>IFERROR(__xludf.DUMMYFUNCTION("""COMPUTED_VALUE"""),"G-REQ-00304")</f>
        <v>G-REQ-00304</v>
      </c>
      <c r="B305" s="11">
        <f>IFERROR(__xludf.DUMMYFUNCTION("""COMPUTED_VALUE"""),45782.951394827425)</f>
        <v>45782.95139</v>
      </c>
      <c r="C305" s="9">
        <f>IFERROR(__xludf.DUMMYFUNCTION("""COMPUTED_VALUE"""),1651.0)</f>
        <v>1651</v>
      </c>
      <c r="D305" s="9" t="str">
        <f>IFERROR(__xludf.DUMMYFUNCTION("""COMPUTED_VALUE"""),"Completed")</f>
        <v>Completed</v>
      </c>
    </row>
    <row r="306">
      <c r="A306" s="9" t="str">
        <f>IFERROR(__xludf.DUMMYFUNCTION("""COMPUTED_VALUE"""),"G-REQ-00305")</f>
        <v>G-REQ-00305</v>
      </c>
      <c r="B306" s="11">
        <f>IFERROR(__xludf.DUMMYFUNCTION("""COMPUTED_VALUE"""),45783.022569672845)</f>
        <v>45783.02257</v>
      </c>
      <c r="C306" s="9">
        <f>IFERROR(__xludf.DUMMYFUNCTION("""COMPUTED_VALUE"""),1655.0)</f>
        <v>1655</v>
      </c>
      <c r="D306" s="9" t="str">
        <f>IFERROR(__xludf.DUMMYFUNCTION("""COMPUTED_VALUE"""),"Completed")</f>
        <v>Completed</v>
      </c>
    </row>
    <row r="307">
      <c r="A307" s="9" t="str">
        <f>IFERROR(__xludf.DUMMYFUNCTION("""COMPUTED_VALUE"""),"G-REQ-00306")</f>
        <v>G-REQ-00306</v>
      </c>
      <c r="B307" s="11">
        <f>IFERROR(__xludf.DUMMYFUNCTION("""COMPUTED_VALUE"""),45783.093744518264)</f>
        <v>45783.09374</v>
      </c>
      <c r="C307" s="9">
        <f>IFERROR(__xludf.DUMMYFUNCTION("""COMPUTED_VALUE"""),1659.0)</f>
        <v>1659</v>
      </c>
      <c r="D307" s="9" t="str">
        <f>IFERROR(__xludf.DUMMYFUNCTION("""COMPUTED_VALUE"""),"Completed")</f>
        <v>Completed</v>
      </c>
    </row>
    <row r="308">
      <c r="A308" s="9" t="str">
        <f>IFERROR(__xludf.DUMMYFUNCTION("""COMPUTED_VALUE"""),"G-REQ-00307")</f>
        <v>G-REQ-00307</v>
      </c>
      <c r="B308" s="11">
        <f>IFERROR(__xludf.DUMMYFUNCTION("""COMPUTED_VALUE"""),45783.16491936368)</f>
        <v>45783.16492</v>
      </c>
      <c r="C308" s="9">
        <f>IFERROR(__xludf.DUMMYFUNCTION("""COMPUTED_VALUE"""),1663.0)</f>
        <v>1663</v>
      </c>
      <c r="D308" s="9" t="str">
        <f>IFERROR(__xludf.DUMMYFUNCTION("""COMPUTED_VALUE"""),"Completed")</f>
        <v>Completed</v>
      </c>
    </row>
    <row r="309">
      <c r="A309" s="9" t="str">
        <f>IFERROR(__xludf.DUMMYFUNCTION("""COMPUTED_VALUE"""),"G-REQ-00308")</f>
        <v>G-REQ-00308</v>
      </c>
      <c r="B309" s="11">
        <f>IFERROR(__xludf.DUMMYFUNCTION("""COMPUTED_VALUE"""),45783.23609420909)</f>
        <v>45783.23609</v>
      </c>
      <c r="C309" s="9">
        <f>IFERROR(__xludf.DUMMYFUNCTION("""COMPUTED_VALUE"""),1667.0)</f>
        <v>1667</v>
      </c>
      <c r="D309" s="9" t="str">
        <f>IFERROR(__xludf.DUMMYFUNCTION("""COMPUTED_VALUE"""),"Completed")</f>
        <v>Completed</v>
      </c>
    </row>
    <row r="310">
      <c r="A310" s="9" t="str">
        <f>IFERROR(__xludf.DUMMYFUNCTION("""COMPUTED_VALUE"""),"G-REQ-00309")</f>
        <v>G-REQ-00309</v>
      </c>
      <c r="B310" s="11">
        <f>IFERROR(__xludf.DUMMYFUNCTION("""COMPUTED_VALUE"""),45783.30032461006)</f>
        <v>45783.30032</v>
      </c>
      <c r="C310" s="9">
        <f>IFERROR(__xludf.DUMMYFUNCTION("""COMPUTED_VALUE"""),1669.0)</f>
        <v>1669</v>
      </c>
      <c r="D310" s="9" t="str">
        <f>IFERROR(__xludf.DUMMYFUNCTION("""COMPUTED_VALUE"""),"Rejected")</f>
        <v>Rejected</v>
      </c>
    </row>
    <row r="311">
      <c r="A311" s="9" t="str">
        <f>IFERROR(__xludf.DUMMYFUNCTION("""COMPUTED_VALUE"""),"G-REQ-00310")</f>
        <v>G-REQ-00310</v>
      </c>
      <c r="B311" s="11">
        <f>IFERROR(__xludf.DUMMYFUNCTION("""COMPUTED_VALUE"""),45783.37844389992)</f>
        <v>45783.37844</v>
      </c>
      <c r="C311" s="9">
        <f>IFERROR(__xludf.DUMMYFUNCTION("""COMPUTED_VALUE"""),1673.0)</f>
        <v>1673</v>
      </c>
      <c r="D311" s="9" t="str">
        <f>IFERROR(__xludf.DUMMYFUNCTION("""COMPUTED_VALUE"""),"Completed")</f>
        <v>Completed</v>
      </c>
    </row>
    <row r="312">
      <c r="A312" s="9" t="str">
        <f>IFERROR(__xludf.DUMMYFUNCTION("""COMPUTED_VALUE"""),"G-REQ-00311")</f>
        <v>G-REQ-00311</v>
      </c>
      <c r="B312" s="11">
        <f>IFERROR(__xludf.DUMMYFUNCTION("""COMPUTED_VALUE"""),45783.44961874533)</f>
        <v>45783.44962</v>
      </c>
      <c r="C312" s="9">
        <f>IFERROR(__xludf.DUMMYFUNCTION("""COMPUTED_VALUE"""),1677.0)</f>
        <v>1677</v>
      </c>
      <c r="D312" s="9" t="str">
        <f>IFERROR(__xludf.DUMMYFUNCTION("""COMPUTED_VALUE"""),"Completed")</f>
        <v>Completed</v>
      </c>
    </row>
    <row r="313">
      <c r="A313" s="9" t="str">
        <f>IFERROR(__xludf.DUMMYFUNCTION("""COMPUTED_VALUE"""),"G-REQ-00312")</f>
        <v>G-REQ-00312</v>
      </c>
      <c r="B313" s="11">
        <f>IFERROR(__xludf.DUMMYFUNCTION("""COMPUTED_VALUE"""),45783.52079359075)</f>
        <v>45783.52079</v>
      </c>
      <c r="C313" s="9">
        <f>IFERROR(__xludf.DUMMYFUNCTION("""COMPUTED_VALUE"""),1681.0)</f>
        <v>1681</v>
      </c>
      <c r="D313" s="9" t="str">
        <f>IFERROR(__xludf.DUMMYFUNCTION("""COMPUTED_VALUE"""),"Completed")</f>
        <v>Completed</v>
      </c>
    </row>
    <row r="314">
      <c r="A314" s="9" t="str">
        <f>IFERROR(__xludf.DUMMYFUNCTION("""COMPUTED_VALUE"""),"G-REQ-00313")</f>
        <v>G-REQ-00313</v>
      </c>
      <c r="B314" s="11">
        <f>IFERROR(__xludf.DUMMYFUNCTION("""COMPUTED_VALUE"""),45783.59196843617)</f>
        <v>45783.59197</v>
      </c>
      <c r="C314" s="9">
        <f>IFERROR(__xludf.DUMMYFUNCTION("""COMPUTED_VALUE"""),1685.0)</f>
        <v>1685</v>
      </c>
      <c r="D314" s="9" t="str">
        <f>IFERROR(__xludf.DUMMYFUNCTION("""COMPUTED_VALUE"""),"Completed")</f>
        <v>Completed</v>
      </c>
    </row>
    <row r="315">
      <c r="A315" s="9" t="str">
        <f>IFERROR(__xludf.DUMMYFUNCTION("""COMPUTED_VALUE"""),"G-REQ-00314")</f>
        <v>G-REQ-00314</v>
      </c>
      <c r="B315" s="11">
        <f>IFERROR(__xludf.DUMMYFUNCTION("""COMPUTED_VALUE"""),45783.66314328158)</f>
        <v>45783.66314</v>
      </c>
      <c r="C315" s="9">
        <f>IFERROR(__xludf.DUMMYFUNCTION("""COMPUTED_VALUE"""),1689.0)</f>
        <v>1689</v>
      </c>
      <c r="D315" s="9" t="str">
        <f>IFERROR(__xludf.DUMMYFUNCTION("""COMPUTED_VALUE"""),"Completed")</f>
        <v>Completed</v>
      </c>
    </row>
    <row r="316">
      <c r="A316" s="9" t="str">
        <f>IFERROR(__xludf.DUMMYFUNCTION("""COMPUTED_VALUE"""),"G-REQ-00315")</f>
        <v>G-REQ-00315</v>
      </c>
      <c r="B316" s="11">
        <f>IFERROR(__xludf.DUMMYFUNCTION("""COMPUTED_VALUE"""),45783.734318127)</f>
        <v>45783.73432</v>
      </c>
      <c r="C316" s="9">
        <f>IFERROR(__xludf.DUMMYFUNCTION("""COMPUTED_VALUE"""),1693.0)</f>
        <v>1693</v>
      </c>
      <c r="D316" s="9" t="str">
        <f>IFERROR(__xludf.DUMMYFUNCTION("""COMPUTED_VALUE"""),"Completed")</f>
        <v>Completed</v>
      </c>
    </row>
    <row r="317">
      <c r="A317" s="9" t="str">
        <f>IFERROR(__xludf.DUMMYFUNCTION("""COMPUTED_VALUE"""),"G-REQ-00316")</f>
        <v>G-REQ-00316</v>
      </c>
      <c r="B317" s="11">
        <f>IFERROR(__xludf.DUMMYFUNCTION("""COMPUTED_VALUE"""),45783.80549297241)</f>
        <v>45783.80549</v>
      </c>
      <c r="C317" s="9">
        <f>IFERROR(__xludf.DUMMYFUNCTION("""COMPUTED_VALUE"""),1697.0)</f>
        <v>1697</v>
      </c>
      <c r="D317" s="9" t="str">
        <f>IFERROR(__xludf.DUMMYFUNCTION("""COMPUTED_VALUE"""),"Completed")</f>
        <v>Completed</v>
      </c>
    </row>
    <row r="318">
      <c r="A318" s="9" t="str">
        <f>IFERROR(__xludf.DUMMYFUNCTION("""COMPUTED_VALUE"""),"G-REQ-00317")</f>
        <v>G-REQ-00317</v>
      </c>
      <c r="B318" s="11">
        <f>IFERROR(__xludf.DUMMYFUNCTION("""COMPUTED_VALUE"""),45783.869723373384)</f>
        <v>45783.86972</v>
      </c>
      <c r="C318" s="9">
        <f>IFERROR(__xludf.DUMMYFUNCTION("""COMPUTED_VALUE"""),1699.0)</f>
        <v>1699</v>
      </c>
      <c r="D318" s="9" t="str">
        <f>IFERROR(__xludf.DUMMYFUNCTION("""COMPUTED_VALUE"""),"Rejected")</f>
        <v>Rejected</v>
      </c>
    </row>
    <row r="319">
      <c r="A319" s="9" t="str">
        <f>IFERROR(__xludf.DUMMYFUNCTION("""COMPUTED_VALUE"""),"G-REQ-00318")</f>
        <v>G-REQ-00318</v>
      </c>
      <c r="B319" s="11">
        <f>IFERROR(__xludf.DUMMYFUNCTION("""COMPUTED_VALUE"""),45783.94784266324)</f>
        <v>45783.94784</v>
      </c>
      <c r="C319" s="9">
        <f>IFERROR(__xludf.DUMMYFUNCTION("""COMPUTED_VALUE"""),1703.0)</f>
        <v>1703</v>
      </c>
      <c r="D319" s="9" t="str">
        <f>IFERROR(__xludf.DUMMYFUNCTION("""COMPUTED_VALUE"""),"Completed")</f>
        <v>Completed</v>
      </c>
    </row>
    <row r="320">
      <c r="A320" s="9" t="str">
        <f>IFERROR(__xludf.DUMMYFUNCTION("""COMPUTED_VALUE"""),"G-REQ-00319")</f>
        <v>G-REQ-00319</v>
      </c>
      <c r="B320" s="11">
        <f>IFERROR(__xludf.DUMMYFUNCTION("""COMPUTED_VALUE"""),45784.01901750866)</f>
        <v>45784.01902</v>
      </c>
      <c r="C320" s="9">
        <f>IFERROR(__xludf.DUMMYFUNCTION("""COMPUTED_VALUE"""),1707.0)</f>
        <v>1707</v>
      </c>
      <c r="D320" s="9" t="str">
        <f>IFERROR(__xludf.DUMMYFUNCTION("""COMPUTED_VALUE"""),"Completed")</f>
        <v>Completed</v>
      </c>
    </row>
    <row r="321">
      <c r="A321" s="9" t="str">
        <f>IFERROR(__xludf.DUMMYFUNCTION("""COMPUTED_VALUE"""),"G-REQ-00320")</f>
        <v>G-REQ-00320</v>
      </c>
      <c r="B321" s="11">
        <f>IFERROR(__xludf.DUMMYFUNCTION("""COMPUTED_VALUE"""),45784.090192354066)</f>
        <v>45784.09019</v>
      </c>
      <c r="C321" s="9">
        <f>IFERROR(__xludf.DUMMYFUNCTION("""COMPUTED_VALUE"""),1711.0)</f>
        <v>1711</v>
      </c>
      <c r="D321" s="9" t="str">
        <f>IFERROR(__xludf.DUMMYFUNCTION("""COMPUTED_VALUE"""),"Completed")</f>
        <v>Completed</v>
      </c>
    </row>
    <row r="322">
      <c r="A322" s="9" t="str">
        <f>IFERROR(__xludf.DUMMYFUNCTION("""COMPUTED_VALUE"""),"G-REQ-00321")</f>
        <v>G-REQ-00321</v>
      </c>
      <c r="B322" s="11">
        <f>IFERROR(__xludf.DUMMYFUNCTION("""COMPUTED_VALUE"""),45784.161367199486)</f>
        <v>45784.16137</v>
      </c>
      <c r="C322" s="9">
        <f>IFERROR(__xludf.DUMMYFUNCTION("""COMPUTED_VALUE"""),1715.0)</f>
        <v>1715</v>
      </c>
      <c r="D322" s="9" t="str">
        <f>IFERROR(__xludf.DUMMYFUNCTION("""COMPUTED_VALUE"""),"Completed")</f>
        <v>Completed</v>
      </c>
    </row>
    <row r="323">
      <c r="A323" s="9" t="str">
        <f>IFERROR(__xludf.DUMMYFUNCTION("""COMPUTED_VALUE"""),"G-REQ-00322")</f>
        <v>G-REQ-00322</v>
      </c>
      <c r="B323" s="11">
        <f>IFERROR(__xludf.DUMMYFUNCTION("""COMPUTED_VALUE"""),45784.232542044905)</f>
        <v>45784.23254</v>
      </c>
      <c r="C323" s="9">
        <f>IFERROR(__xludf.DUMMYFUNCTION("""COMPUTED_VALUE"""),1719.0)</f>
        <v>1719</v>
      </c>
      <c r="D323" s="9" t="str">
        <f>IFERROR(__xludf.DUMMYFUNCTION("""COMPUTED_VALUE"""),"Completed")</f>
        <v>Completed</v>
      </c>
    </row>
    <row r="324">
      <c r="A324" s="9" t="str">
        <f>IFERROR(__xludf.DUMMYFUNCTION("""COMPUTED_VALUE"""),"G-REQ-00323")</f>
        <v>G-REQ-00323</v>
      </c>
      <c r="B324" s="11">
        <f>IFERROR(__xludf.DUMMYFUNCTION("""COMPUTED_VALUE"""),45784.30371689032)</f>
        <v>45784.30372</v>
      </c>
      <c r="C324" s="9">
        <f>IFERROR(__xludf.DUMMYFUNCTION("""COMPUTED_VALUE"""),1723.0)</f>
        <v>1723</v>
      </c>
      <c r="D324" s="9" t="str">
        <f>IFERROR(__xludf.DUMMYFUNCTION("""COMPUTED_VALUE"""),"Completed")</f>
        <v>Completed</v>
      </c>
    </row>
    <row r="325">
      <c r="A325" s="9" t="str">
        <f>IFERROR(__xludf.DUMMYFUNCTION("""COMPUTED_VALUE"""),"G-REQ-00324")</f>
        <v>G-REQ-00324</v>
      </c>
      <c r="B325" s="11">
        <f>IFERROR(__xludf.DUMMYFUNCTION("""COMPUTED_VALUE"""),45784.37489173573)</f>
        <v>45784.37489</v>
      </c>
      <c r="C325" s="9">
        <f>IFERROR(__xludf.DUMMYFUNCTION("""COMPUTED_VALUE"""),1727.0)</f>
        <v>1727</v>
      </c>
      <c r="D325" s="9" t="str">
        <f>IFERROR(__xludf.DUMMYFUNCTION("""COMPUTED_VALUE"""),"Completed")</f>
        <v>Completed</v>
      </c>
    </row>
    <row r="326">
      <c r="A326" s="9" t="str">
        <f>IFERROR(__xludf.DUMMYFUNCTION("""COMPUTED_VALUE"""),"G-REQ-00325")</f>
        <v>G-REQ-00325</v>
      </c>
      <c r="B326" s="11">
        <f>IFERROR(__xludf.DUMMYFUNCTION("""COMPUTED_VALUE"""),45784.44606658115)</f>
        <v>45784.44607</v>
      </c>
      <c r="C326" s="9">
        <f>IFERROR(__xludf.DUMMYFUNCTION("""COMPUTED_VALUE"""),1731.0)</f>
        <v>1731</v>
      </c>
      <c r="D326" s="9" t="str">
        <f>IFERROR(__xludf.DUMMYFUNCTION("""COMPUTED_VALUE"""),"Completed")</f>
        <v>Completed</v>
      </c>
    </row>
    <row r="327">
      <c r="A327" s="9" t="str">
        <f>IFERROR(__xludf.DUMMYFUNCTION("""COMPUTED_VALUE"""),"G-REQ-00326")</f>
        <v>G-REQ-00326</v>
      </c>
      <c r="B327" s="11">
        <f>IFERROR(__xludf.DUMMYFUNCTION("""COMPUTED_VALUE"""),45784.51724142656)</f>
        <v>45784.51724</v>
      </c>
      <c r="C327" s="9">
        <f>IFERROR(__xludf.DUMMYFUNCTION("""COMPUTED_VALUE"""),1735.0)</f>
        <v>1735</v>
      </c>
      <c r="D327" s="9" t="str">
        <f>IFERROR(__xludf.DUMMYFUNCTION("""COMPUTED_VALUE"""),"Completed")</f>
        <v>Completed</v>
      </c>
    </row>
    <row r="328">
      <c r="A328" s="9" t="str">
        <f>IFERROR(__xludf.DUMMYFUNCTION("""COMPUTED_VALUE"""),"G-REQ-00327")</f>
        <v>G-REQ-00327</v>
      </c>
      <c r="B328" s="11">
        <f>IFERROR(__xludf.DUMMYFUNCTION("""COMPUTED_VALUE"""),45784.58147182753)</f>
        <v>45784.58147</v>
      </c>
      <c r="C328" s="9">
        <f>IFERROR(__xludf.DUMMYFUNCTION("""COMPUTED_VALUE"""),1737.0)</f>
        <v>1737</v>
      </c>
      <c r="D328" s="9" t="str">
        <f>IFERROR(__xludf.DUMMYFUNCTION("""COMPUTED_VALUE"""),"Cancelled")</f>
        <v>Cancelled</v>
      </c>
    </row>
    <row r="329">
      <c r="A329" s="9" t="str">
        <f>IFERROR(__xludf.DUMMYFUNCTION("""COMPUTED_VALUE"""),"G-REQ-00328")</f>
        <v>G-REQ-00328</v>
      </c>
      <c r="B329" s="11">
        <f>IFERROR(__xludf.DUMMYFUNCTION("""COMPUTED_VALUE"""),45784.65959111739)</f>
        <v>45784.65959</v>
      </c>
      <c r="C329" s="9">
        <f>IFERROR(__xludf.DUMMYFUNCTION("""COMPUTED_VALUE"""),1741.0)</f>
        <v>1741</v>
      </c>
      <c r="D329" s="9" t="str">
        <f>IFERROR(__xludf.DUMMYFUNCTION("""COMPUTED_VALUE"""),"Completed")</f>
        <v>Completed</v>
      </c>
    </row>
    <row r="330">
      <c r="A330" s="9" t="str">
        <f>IFERROR(__xludf.DUMMYFUNCTION("""COMPUTED_VALUE"""),"G-REQ-00329")</f>
        <v>G-REQ-00329</v>
      </c>
      <c r="B330" s="11">
        <f>IFERROR(__xludf.DUMMYFUNCTION("""COMPUTED_VALUE"""),45784.73076596281)</f>
        <v>45784.73077</v>
      </c>
      <c r="C330" s="9">
        <f>IFERROR(__xludf.DUMMYFUNCTION("""COMPUTED_VALUE"""),1745.0)</f>
        <v>1745</v>
      </c>
      <c r="D330" s="9" t="str">
        <f>IFERROR(__xludf.DUMMYFUNCTION("""COMPUTED_VALUE"""),"Completed")</f>
        <v>Completed</v>
      </c>
    </row>
    <row r="331">
      <c r="A331" s="9" t="str">
        <f>IFERROR(__xludf.DUMMYFUNCTION("""COMPUTED_VALUE"""),"G-REQ-00330")</f>
        <v>G-REQ-00330</v>
      </c>
      <c r="B331" s="11">
        <f>IFERROR(__xludf.DUMMYFUNCTION("""COMPUTED_VALUE"""),45784.80194080822)</f>
        <v>45784.80194</v>
      </c>
      <c r="C331" s="9">
        <f>IFERROR(__xludf.DUMMYFUNCTION("""COMPUTED_VALUE"""),1749.0)</f>
        <v>1749</v>
      </c>
      <c r="D331" s="9" t="str">
        <f>IFERROR(__xludf.DUMMYFUNCTION("""COMPUTED_VALUE"""),"Completed")</f>
        <v>Completed</v>
      </c>
    </row>
    <row r="332">
      <c r="A332" s="9" t="str">
        <f>IFERROR(__xludf.DUMMYFUNCTION("""COMPUTED_VALUE"""),"G-REQ-00331")</f>
        <v>G-REQ-00331</v>
      </c>
      <c r="B332" s="11">
        <f>IFERROR(__xludf.DUMMYFUNCTION("""COMPUTED_VALUE"""),45784.86617120919)</f>
        <v>45784.86617</v>
      </c>
      <c r="C332" s="9">
        <f>IFERROR(__xludf.DUMMYFUNCTION("""COMPUTED_VALUE"""),1751.0)</f>
        <v>1751</v>
      </c>
      <c r="D332" s="9" t="str">
        <f>IFERROR(__xludf.DUMMYFUNCTION("""COMPUTED_VALUE"""),"Rejected")</f>
        <v>Rejected</v>
      </c>
    </row>
    <row r="333">
      <c r="A333" s="9" t="str">
        <f>IFERROR(__xludf.DUMMYFUNCTION("""COMPUTED_VALUE"""),"G-REQ-00332")</f>
        <v>G-REQ-00332</v>
      </c>
      <c r="B333" s="11">
        <f>IFERROR(__xludf.DUMMYFUNCTION("""COMPUTED_VALUE"""),45784.94429049906)</f>
        <v>45784.94429</v>
      </c>
      <c r="C333" s="9">
        <f>IFERROR(__xludf.DUMMYFUNCTION("""COMPUTED_VALUE"""),1755.0)</f>
        <v>1755</v>
      </c>
      <c r="D333" s="9" t="str">
        <f>IFERROR(__xludf.DUMMYFUNCTION("""COMPUTED_VALUE"""),"Completed")</f>
        <v>Completed</v>
      </c>
    </row>
    <row r="334">
      <c r="A334" s="9" t="str">
        <f>IFERROR(__xludf.DUMMYFUNCTION("""COMPUTED_VALUE"""),"G-REQ-00333")</f>
        <v>G-REQ-00333</v>
      </c>
      <c r="B334" s="11">
        <f>IFERROR(__xludf.DUMMYFUNCTION("""COMPUTED_VALUE"""),45785.01546534447)</f>
        <v>45785.01547</v>
      </c>
      <c r="C334" s="9">
        <f>IFERROR(__xludf.DUMMYFUNCTION("""COMPUTED_VALUE"""),1759.0)</f>
        <v>1759</v>
      </c>
      <c r="D334" s="9" t="str">
        <f>IFERROR(__xludf.DUMMYFUNCTION("""COMPUTED_VALUE"""),"Completed")</f>
        <v>Completed</v>
      </c>
    </row>
    <row r="335">
      <c r="A335" s="9" t="str">
        <f>IFERROR(__xludf.DUMMYFUNCTION("""COMPUTED_VALUE"""),"G-REQ-00334")</f>
        <v>G-REQ-00334</v>
      </c>
      <c r="B335" s="11">
        <f>IFERROR(__xludf.DUMMYFUNCTION("""COMPUTED_VALUE"""),45785.08664018988)</f>
        <v>45785.08664</v>
      </c>
      <c r="C335" s="9">
        <f>IFERROR(__xludf.DUMMYFUNCTION("""COMPUTED_VALUE"""),1763.0)</f>
        <v>1763</v>
      </c>
      <c r="D335" s="9" t="str">
        <f>IFERROR(__xludf.DUMMYFUNCTION("""COMPUTED_VALUE"""),"Completed")</f>
        <v>Completed</v>
      </c>
    </row>
    <row r="336">
      <c r="A336" s="9" t="str">
        <f>IFERROR(__xludf.DUMMYFUNCTION("""COMPUTED_VALUE"""),"G-REQ-00335")</f>
        <v>G-REQ-00335</v>
      </c>
      <c r="B336" s="11">
        <f>IFERROR(__xludf.DUMMYFUNCTION("""COMPUTED_VALUE"""),45785.1578150353)</f>
        <v>45785.15782</v>
      </c>
      <c r="C336" s="9">
        <f>IFERROR(__xludf.DUMMYFUNCTION("""COMPUTED_VALUE"""),1767.0)</f>
        <v>1767</v>
      </c>
      <c r="D336" s="9" t="str">
        <f>IFERROR(__xludf.DUMMYFUNCTION("""COMPUTED_VALUE"""),"Completed")</f>
        <v>Completed</v>
      </c>
    </row>
    <row r="337">
      <c r="A337" s="9" t="str">
        <f>IFERROR(__xludf.DUMMYFUNCTION("""COMPUTED_VALUE"""),"G-REQ-00336")</f>
        <v>G-REQ-00336</v>
      </c>
      <c r="B337" s="11">
        <f>IFERROR(__xludf.DUMMYFUNCTION("""COMPUTED_VALUE"""),45785.228989880714)</f>
        <v>45785.22899</v>
      </c>
      <c r="C337" s="9">
        <f>IFERROR(__xludf.DUMMYFUNCTION("""COMPUTED_VALUE"""),1771.0)</f>
        <v>1771</v>
      </c>
      <c r="D337" s="9" t="str">
        <f>IFERROR(__xludf.DUMMYFUNCTION("""COMPUTED_VALUE"""),"Completed")</f>
        <v>Completed</v>
      </c>
    </row>
    <row r="338">
      <c r="A338" s="9" t="str">
        <f>IFERROR(__xludf.DUMMYFUNCTION("""COMPUTED_VALUE"""),"G-REQ-00337")</f>
        <v>G-REQ-00337</v>
      </c>
      <c r="B338" s="11">
        <f>IFERROR(__xludf.DUMMYFUNCTION("""COMPUTED_VALUE"""),45785.300164726126)</f>
        <v>45785.30016</v>
      </c>
      <c r="C338" s="9">
        <f>IFERROR(__xludf.DUMMYFUNCTION("""COMPUTED_VALUE"""),1775.0)</f>
        <v>1775</v>
      </c>
      <c r="D338" s="9" t="str">
        <f>IFERROR(__xludf.DUMMYFUNCTION("""COMPUTED_VALUE"""),"Completed")</f>
        <v>Completed</v>
      </c>
    </row>
    <row r="339">
      <c r="A339" s="9" t="str">
        <f>IFERROR(__xludf.DUMMYFUNCTION("""COMPUTED_VALUE"""),"G-REQ-00338")</f>
        <v>G-REQ-00338</v>
      </c>
      <c r="B339" s="11">
        <f>IFERROR(__xludf.DUMMYFUNCTION("""COMPUTED_VALUE"""),45785.371339571546)</f>
        <v>45785.37134</v>
      </c>
      <c r="C339" s="9">
        <f>IFERROR(__xludf.DUMMYFUNCTION("""COMPUTED_VALUE"""),1779.0)</f>
        <v>1779</v>
      </c>
      <c r="D339" s="9" t="str">
        <f>IFERROR(__xludf.DUMMYFUNCTION("""COMPUTED_VALUE"""),"Completed")</f>
        <v>Completed</v>
      </c>
    </row>
    <row r="340">
      <c r="A340" s="9" t="str">
        <f>IFERROR(__xludf.DUMMYFUNCTION("""COMPUTED_VALUE"""),"G-REQ-00339")</f>
        <v>G-REQ-00339</v>
      </c>
      <c r="B340" s="11">
        <f>IFERROR(__xludf.DUMMYFUNCTION("""COMPUTED_VALUE"""),45785.43556997251)</f>
        <v>45785.43557</v>
      </c>
      <c r="C340" s="9">
        <f>IFERROR(__xludf.DUMMYFUNCTION("""COMPUTED_VALUE"""),1781.0)</f>
        <v>1781</v>
      </c>
      <c r="D340" s="9" t="str">
        <f>IFERROR(__xludf.DUMMYFUNCTION("""COMPUTED_VALUE"""),"Rejected")</f>
        <v>Rejected</v>
      </c>
    </row>
    <row r="341">
      <c r="A341" s="9" t="str">
        <f>IFERROR(__xludf.DUMMYFUNCTION("""COMPUTED_VALUE"""),"G-REQ-00340")</f>
        <v>G-REQ-00340</v>
      </c>
      <c r="B341" s="11">
        <f>IFERROR(__xludf.DUMMYFUNCTION("""COMPUTED_VALUE"""),45785.51368926237)</f>
        <v>45785.51369</v>
      </c>
      <c r="C341" s="9">
        <f>IFERROR(__xludf.DUMMYFUNCTION("""COMPUTED_VALUE"""),1785.0)</f>
        <v>1785</v>
      </c>
      <c r="D341" s="9" t="str">
        <f>IFERROR(__xludf.DUMMYFUNCTION("""COMPUTED_VALUE"""),"Completed")</f>
        <v>Completed</v>
      </c>
    </row>
    <row r="342">
      <c r="A342" s="9" t="str">
        <f>IFERROR(__xludf.DUMMYFUNCTION("""COMPUTED_VALUE"""),"G-REQ-00341")</f>
        <v>G-REQ-00341</v>
      </c>
      <c r="B342" s="11">
        <f>IFERROR(__xludf.DUMMYFUNCTION("""COMPUTED_VALUE"""),45785.58486410779)</f>
        <v>45785.58486</v>
      </c>
      <c r="C342" s="9">
        <f>IFERROR(__xludf.DUMMYFUNCTION("""COMPUTED_VALUE"""),1789.0)</f>
        <v>1789</v>
      </c>
      <c r="D342" s="9" t="str">
        <f>IFERROR(__xludf.DUMMYFUNCTION("""COMPUTED_VALUE"""),"Completed")</f>
        <v>Completed</v>
      </c>
    </row>
    <row r="343">
      <c r="A343" s="9" t="str">
        <f>IFERROR(__xludf.DUMMYFUNCTION("""COMPUTED_VALUE"""),"G-REQ-00342")</f>
        <v>G-REQ-00342</v>
      </c>
      <c r="B343" s="11">
        <f>IFERROR(__xludf.DUMMYFUNCTION("""COMPUTED_VALUE"""),45785.6560389532)</f>
        <v>45785.65604</v>
      </c>
      <c r="C343" s="9">
        <f>IFERROR(__xludf.DUMMYFUNCTION("""COMPUTED_VALUE"""),1793.0)</f>
        <v>1793</v>
      </c>
      <c r="D343" s="9" t="str">
        <f>IFERROR(__xludf.DUMMYFUNCTION("""COMPUTED_VALUE"""),"Completed")</f>
        <v>Completed</v>
      </c>
    </row>
    <row r="344">
      <c r="A344" s="9" t="str">
        <f>IFERROR(__xludf.DUMMYFUNCTION("""COMPUTED_VALUE"""),"G-REQ-00343")</f>
        <v>G-REQ-00343</v>
      </c>
      <c r="B344" s="11">
        <f>IFERROR(__xludf.DUMMYFUNCTION("""COMPUTED_VALUE"""),45785.727213798615)</f>
        <v>45785.72721</v>
      </c>
      <c r="C344" s="9">
        <f>IFERROR(__xludf.DUMMYFUNCTION("""COMPUTED_VALUE"""),1797.0)</f>
        <v>1797</v>
      </c>
      <c r="D344" s="9" t="str">
        <f>IFERROR(__xludf.DUMMYFUNCTION("""COMPUTED_VALUE"""),"Completed")</f>
        <v>Completed</v>
      </c>
    </row>
    <row r="345">
      <c r="A345" s="9" t="str">
        <f>IFERROR(__xludf.DUMMYFUNCTION("""COMPUTED_VALUE"""),"G-REQ-00344")</f>
        <v>G-REQ-00344</v>
      </c>
      <c r="B345" s="11">
        <f>IFERROR(__xludf.DUMMYFUNCTION("""COMPUTED_VALUE"""),45785.798388644034)</f>
        <v>45785.79839</v>
      </c>
      <c r="C345" s="9">
        <f>IFERROR(__xludf.DUMMYFUNCTION("""COMPUTED_VALUE"""),1801.0)</f>
        <v>1801</v>
      </c>
      <c r="D345" s="9" t="str">
        <f>IFERROR(__xludf.DUMMYFUNCTION("""COMPUTED_VALUE"""),"Completed")</f>
        <v>Completed</v>
      </c>
    </row>
    <row r="346">
      <c r="A346" s="9" t="str">
        <f>IFERROR(__xludf.DUMMYFUNCTION("""COMPUTED_VALUE"""),"G-REQ-00345")</f>
        <v>G-REQ-00345</v>
      </c>
      <c r="B346" s="11">
        <f>IFERROR(__xludf.DUMMYFUNCTION("""COMPUTED_VALUE"""),45785.86261904501)</f>
        <v>45785.86262</v>
      </c>
      <c r="C346" s="9">
        <f>IFERROR(__xludf.DUMMYFUNCTION("""COMPUTED_VALUE"""),1803.0)</f>
        <v>1803</v>
      </c>
      <c r="D346" s="9" t="str">
        <f>IFERROR(__xludf.DUMMYFUNCTION("""COMPUTED_VALUE"""),"Cancelled")</f>
        <v>Cancelled</v>
      </c>
    </row>
    <row r="347">
      <c r="A347" s="9" t="str">
        <f>IFERROR(__xludf.DUMMYFUNCTION("""COMPUTED_VALUE"""),"G-REQ-00346")</f>
        <v>G-REQ-00346</v>
      </c>
      <c r="B347" s="11">
        <f>IFERROR(__xludf.DUMMYFUNCTION("""COMPUTED_VALUE"""),45785.94073833486)</f>
        <v>45785.94074</v>
      </c>
      <c r="C347" s="9">
        <f>IFERROR(__xludf.DUMMYFUNCTION("""COMPUTED_VALUE"""),1807.0)</f>
        <v>1807</v>
      </c>
      <c r="D347" s="9" t="str">
        <f>IFERROR(__xludf.DUMMYFUNCTION("""COMPUTED_VALUE"""),"Completed")</f>
        <v>Completed</v>
      </c>
    </row>
    <row r="348">
      <c r="A348" s="9" t="str">
        <f>IFERROR(__xludf.DUMMYFUNCTION("""COMPUTED_VALUE"""),"G-REQ-00347")</f>
        <v>G-REQ-00347</v>
      </c>
      <c r="B348" s="11">
        <f>IFERROR(__xludf.DUMMYFUNCTION("""COMPUTED_VALUE"""),45786.00496873583)</f>
        <v>45786.00497</v>
      </c>
      <c r="C348" s="9">
        <f>IFERROR(__xludf.DUMMYFUNCTION("""COMPUTED_VALUE"""),1809.0)</f>
        <v>1809</v>
      </c>
      <c r="D348" s="9" t="str">
        <f>IFERROR(__xludf.DUMMYFUNCTION("""COMPUTED_VALUE"""),"Rejected")</f>
        <v>Rejected</v>
      </c>
    </row>
    <row r="349">
      <c r="A349" s="9" t="str">
        <f>IFERROR(__xludf.DUMMYFUNCTION("""COMPUTED_VALUE"""),"G-REQ-00348")</f>
        <v>G-REQ-00348</v>
      </c>
      <c r="B349" s="11">
        <f>IFERROR(__xludf.DUMMYFUNCTION("""COMPUTED_VALUE"""),45786.0830880257)</f>
        <v>45786.08309</v>
      </c>
      <c r="C349" s="9">
        <f>IFERROR(__xludf.DUMMYFUNCTION("""COMPUTED_VALUE"""),1813.0)</f>
        <v>1813</v>
      </c>
      <c r="D349" s="9" t="str">
        <f>IFERROR(__xludf.DUMMYFUNCTION("""COMPUTED_VALUE"""),"Completed")</f>
        <v>Completed</v>
      </c>
    </row>
    <row r="350">
      <c r="A350" s="9" t="str">
        <f>IFERROR(__xludf.DUMMYFUNCTION("""COMPUTED_VALUE"""),"G-REQ-00349")</f>
        <v>G-REQ-00349</v>
      </c>
      <c r="B350" s="11">
        <f>IFERROR(__xludf.DUMMYFUNCTION("""COMPUTED_VALUE"""),45786.15426287111)</f>
        <v>45786.15426</v>
      </c>
      <c r="C350" s="9">
        <f>IFERROR(__xludf.DUMMYFUNCTION("""COMPUTED_VALUE"""),1817.0)</f>
        <v>1817</v>
      </c>
      <c r="D350" s="9" t="str">
        <f>IFERROR(__xludf.DUMMYFUNCTION("""COMPUTED_VALUE"""),"Completed")</f>
        <v>Completed</v>
      </c>
    </row>
    <row r="351">
      <c r="A351" s="9" t="str">
        <f>IFERROR(__xludf.DUMMYFUNCTION("""COMPUTED_VALUE"""),"G-REQ-00350")</f>
        <v>G-REQ-00350</v>
      </c>
      <c r="B351" s="11">
        <f>IFERROR(__xludf.DUMMYFUNCTION("""COMPUTED_VALUE"""),45786.22543771652)</f>
        <v>45786.22544</v>
      </c>
      <c r="C351" s="9">
        <f>IFERROR(__xludf.DUMMYFUNCTION("""COMPUTED_VALUE"""),1821.0)</f>
        <v>1821</v>
      </c>
      <c r="D351" s="9" t="str">
        <f>IFERROR(__xludf.DUMMYFUNCTION("""COMPUTED_VALUE"""),"Completed")</f>
        <v>Completed</v>
      </c>
    </row>
    <row r="352">
      <c r="A352" s="9" t="str">
        <f>IFERROR(__xludf.DUMMYFUNCTION("""COMPUTED_VALUE"""),"G-REQ-00351")</f>
        <v>G-REQ-00351</v>
      </c>
      <c r="B352" s="11">
        <f>IFERROR(__xludf.DUMMYFUNCTION("""COMPUTED_VALUE"""),45786.29661256194)</f>
        <v>45786.29661</v>
      </c>
      <c r="C352" s="9">
        <f>IFERROR(__xludf.DUMMYFUNCTION("""COMPUTED_VALUE"""),1825.0)</f>
        <v>1825</v>
      </c>
      <c r="D352" s="9" t="str">
        <f>IFERROR(__xludf.DUMMYFUNCTION("""COMPUTED_VALUE"""),"Completed")</f>
        <v>Completed</v>
      </c>
    </row>
    <row r="353">
      <c r="A353" s="9" t="str">
        <f>IFERROR(__xludf.DUMMYFUNCTION("""COMPUTED_VALUE"""),"G-REQ-00352")</f>
        <v>G-REQ-00352</v>
      </c>
      <c r="B353" s="11">
        <f>IFERROR(__xludf.DUMMYFUNCTION("""COMPUTED_VALUE"""),45786.367787407355)</f>
        <v>45786.36779</v>
      </c>
      <c r="C353" s="9">
        <f>IFERROR(__xludf.DUMMYFUNCTION("""COMPUTED_VALUE"""),1829.0)</f>
        <v>1829</v>
      </c>
      <c r="D353" s="9" t="str">
        <f>IFERROR(__xludf.DUMMYFUNCTION("""COMPUTED_VALUE"""),"Completed")</f>
        <v>Completed</v>
      </c>
    </row>
    <row r="354">
      <c r="A354" s="9" t="str">
        <f>IFERROR(__xludf.DUMMYFUNCTION("""COMPUTED_VALUE"""),"G-REQ-00353")</f>
        <v>G-REQ-00353</v>
      </c>
      <c r="B354" s="11">
        <f>IFERROR(__xludf.DUMMYFUNCTION("""COMPUTED_VALUE"""),45786.43896225277)</f>
        <v>45786.43896</v>
      </c>
      <c r="C354" s="9">
        <f>IFERROR(__xludf.DUMMYFUNCTION("""COMPUTED_VALUE"""),1833.0)</f>
        <v>1833</v>
      </c>
      <c r="D354" s="9" t="str">
        <f>IFERROR(__xludf.DUMMYFUNCTION("""COMPUTED_VALUE"""),"Completed")</f>
        <v>Completed</v>
      </c>
    </row>
    <row r="355">
      <c r="A355" s="9" t="str">
        <f>IFERROR(__xludf.DUMMYFUNCTION("""COMPUTED_VALUE"""),"G-REQ-00354")</f>
        <v>G-REQ-00354</v>
      </c>
      <c r="B355" s="11">
        <f>IFERROR(__xludf.DUMMYFUNCTION("""COMPUTED_VALUE"""),45786.51013709819)</f>
        <v>45786.51014</v>
      </c>
      <c r="C355" s="9">
        <f>IFERROR(__xludf.DUMMYFUNCTION("""COMPUTED_VALUE"""),1837.0)</f>
        <v>1837</v>
      </c>
      <c r="D355" s="9" t="str">
        <f>IFERROR(__xludf.DUMMYFUNCTION("""COMPUTED_VALUE"""),"Completed")</f>
        <v>Completed</v>
      </c>
    </row>
    <row r="356">
      <c r="A356" s="9" t="str">
        <f>IFERROR(__xludf.DUMMYFUNCTION("""COMPUTED_VALUE"""),"G-REQ-00355")</f>
        <v>G-REQ-00355</v>
      </c>
      <c r="B356" s="11">
        <f>IFERROR(__xludf.DUMMYFUNCTION("""COMPUTED_VALUE"""),45786.5813119436)</f>
        <v>45786.58131</v>
      </c>
      <c r="C356" s="9">
        <f>IFERROR(__xludf.DUMMYFUNCTION("""COMPUTED_VALUE"""),1841.0)</f>
        <v>1841</v>
      </c>
      <c r="D356" s="9" t="str">
        <f>IFERROR(__xludf.DUMMYFUNCTION("""COMPUTED_VALUE"""),"Completed")</f>
        <v>Completed</v>
      </c>
    </row>
    <row r="357">
      <c r="A357" s="9" t="str">
        <f>IFERROR(__xludf.DUMMYFUNCTION("""COMPUTED_VALUE"""),"G-REQ-00356")</f>
        <v>G-REQ-00356</v>
      </c>
      <c r="B357" s="11">
        <f>IFERROR(__xludf.DUMMYFUNCTION("""COMPUTED_VALUE"""),45786.65248678901)</f>
        <v>45786.65249</v>
      </c>
      <c r="C357" s="9">
        <f>IFERROR(__xludf.DUMMYFUNCTION("""COMPUTED_VALUE"""),1845.0)</f>
        <v>1845</v>
      </c>
      <c r="D357" s="9" t="str">
        <f>IFERROR(__xludf.DUMMYFUNCTION("""COMPUTED_VALUE"""),"Completed")</f>
        <v>Completed</v>
      </c>
    </row>
    <row r="358">
      <c r="A358" s="9" t="str">
        <f>IFERROR(__xludf.DUMMYFUNCTION("""COMPUTED_VALUE"""),"G-REQ-00357")</f>
        <v>G-REQ-00357</v>
      </c>
      <c r="B358" s="11">
        <f>IFERROR(__xludf.DUMMYFUNCTION("""COMPUTED_VALUE"""),45786.72366163443)</f>
        <v>45786.72366</v>
      </c>
      <c r="C358" s="9">
        <f>IFERROR(__xludf.DUMMYFUNCTION("""COMPUTED_VALUE"""),1849.0)</f>
        <v>1849</v>
      </c>
      <c r="D358" s="9" t="str">
        <f>IFERROR(__xludf.DUMMYFUNCTION("""COMPUTED_VALUE"""),"Completed")</f>
        <v>Completed</v>
      </c>
    </row>
    <row r="359">
      <c r="A359" s="9" t="str">
        <f>IFERROR(__xludf.DUMMYFUNCTION("""COMPUTED_VALUE"""),"G-REQ-00358")</f>
        <v>G-REQ-00358</v>
      </c>
      <c r="B359" s="11">
        <f>IFERROR(__xludf.DUMMYFUNCTION("""COMPUTED_VALUE"""),45786.79483647984)</f>
        <v>45786.79484</v>
      </c>
      <c r="C359" s="9">
        <f>IFERROR(__xludf.DUMMYFUNCTION("""COMPUTED_VALUE"""),1853.0)</f>
        <v>1853</v>
      </c>
      <c r="D359" s="9" t="str">
        <f>IFERROR(__xludf.DUMMYFUNCTION("""COMPUTED_VALUE"""),"Completed")</f>
        <v>Completed</v>
      </c>
    </row>
    <row r="360">
      <c r="A360" s="9" t="str">
        <f>IFERROR(__xludf.DUMMYFUNCTION("""COMPUTED_VALUE"""),"G-REQ-00359")</f>
        <v>G-REQ-00359</v>
      </c>
      <c r="B360" s="11">
        <f>IFERROR(__xludf.DUMMYFUNCTION("""COMPUTED_VALUE"""),45786.866011325255)</f>
        <v>45786.86601</v>
      </c>
      <c r="C360" s="9">
        <f>IFERROR(__xludf.DUMMYFUNCTION("""COMPUTED_VALUE"""),1857.0)</f>
        <v>1857</v>
      </c>
      <c r="D360" s="9" t="str">
        <f>IFERROR(__xludf.DUMMYFUNCTION("""COMPUTED_VALUE"""),"Completed")</f>
        <v>Completed</v>
      </c>
    </row>
    <row r="361">
      <c r="A361" s="9" t="str">
        <f>IFERROR(__xludf.DUMMYFUNCTION("""COMPUTED_VALUE"""),"G-REQ-00360")</f>
        <v>G-REQ-00360</v>
      </c>
      <c r="B361" s="11">
        <f>IFERROR(__xludf.DUMMYFUNCTION("""COMPUTED_VALUE"""),45786.937186170675)</f>
        <v>45786.93719</v>
      </c>
      <c r="C361" s="9">
        <f>IFERROR(__xludf.DUMMYFUNCTION("""COMPUTED_VALUE"""),1861.0)</f>
        <v>1861</v>
      </c>
      <c r="D361" s="9" t="str">
        <f>IFERROR(__xludf.DUMMYFUNCTION("""COMPUTED_VALUE"""),"Completed")</f>
        <v>Completed</v>
      </c>
    </row>
    <row r="362">
      <c r="A362" s="9" t="str">
        <f>IFERROR(__xludf.DUMMYFUNCTION("""COMPUTED_VALUE"""),"G-REQ-00361")</f>
        <v>G-REQ-00361</v>
      </c>
      <c r="B362" s="11">
        <f>IFERROR(__xludf.DUMMYFUNCTION("""COMPUTED_VALUE"""),45787.008361016095)</f>
        <v>45787.00836</v>
      </c>
      <c r="C362" s="9">
        <f>IFERROR(__xludf.DUMMYFUNCTION("""COMPUTED_VALUE"""),1865.0)</f>
        <v>1865</v>
      </c>
      <c r="D362" s="9" t="str">
        <f>IFERROR(__xludf.DUMMYFUNCTION("""COMPUTED_VALUE"""),"Completed")</f>
        <v>Completed</v>
      </c>
    </row>
    <row r="363">
      <c r="A363" s="9" t="str">
        <f>IFERROR(__xludf.DUMMYFUNCTION("""COMPUTED_VALUE"""),"G-REQ-00362")</f>
        <v>G-REQ-00362</v>
      </c>
      <c r="B363" s="11">
        <f>IFERROR(__xludf.DUMMYFUNCTION("""COMPUTED_VALUE"""),45787.0795358615)</f>
        <v>45787.07954</v>
      </c>
      <c r="C363" s="9">
        <f>IFERROR(__xludf.DUMMYFUNCTION("""COMPUTED_VALUE"""),1869.0)</f>
        <v>1869</v>
      </c>
      <c r="D363" s="9" t="str">
        <f>IFERROR(__xludf.DUMMYFUNCTION("""COMPUTED_VALUE"""),"Completed")</f>
        <v>Completed</v>
      </c>
    </row>
    <row r="364">
      <c r="A364" s="9" t="str">
        <f>IFERROR(__xludf.DUMMYFUNCTION("""COMPUTED_VALUE"""),"G-REQ-00363")</f>
        <v>G-REQ-00363</v>
      </c>
      <c r="B364" s="11">
        <f>IFERROR(__xludf.DUMMYFUNCTION("""COMPUTED_VALUE"""),45787.15071070692)</f>
        <v>45787.15071</v>
      </c>
      <c r="C364" s="9">
        <f>IFERROR(__xludf.DUMMYFUNCTION("""COMPUTED_VALUE"""),1873.0)</f>
        <v>1873</v>
      </c>
      <c r="D364" s="9" t="str">
        <f>IFERROR(__xludf.DUMMYFUNCTION("""COMPUTED_VALUE"""),"Completed")</f>
        <v>Completed</v>
      </c>
    </row>
    <row r="365">
      <c r="A365" s="9" t="str">
        <f>IFERROR(__xludf.DUMMYFUNCTION("""COMPUTED_VALUE"""),"G-REQ-00364")</f>
        <v>G-REQ-00364</v>
      </c>
      <c r="B365" s="11">
        <f>IFERROR(__xludf.DUMMYFUNCTION("""COMPUTED_VALUE"""),45787.22188555234)</f>
        <v>45787.22189</v>
      </c>
      <c r="C365" s="9">
        <f>IFERROR(__xludf.DUMMYFUNCTION("""COMPUTED_VALUE"""),1877.0)</f>
        <v>1877</v>
      </c>
      <c r="D365" s="9" t="str">
        <f>IFERROR(__xludf.DUMMYFUNCTION("""COMPUTED_VALUE"""),"Completed")</f>
        <v>Completed</v>
      </c>
    </row>
    <row r="366">
      <c r="A366" s="9" t="str">
        <f>IFERROR(__xludf.DUMMYFUNCTION("""COMPUTED_VALUE"""),"G-REQ-00365")</f>
        <v>G-REQ-00365</v>
      </c>
      <c r="B366" s="11">
        <f>IFERROR(__xludf.DUMMYFUNCTION("""COMPUTED_VALUE"""),45787.29306039775)</f>
        <v>45787.29306</v>
      </c>
      <c r="C366" s="9">
        <f>IFERROR(__xludf.DUMMYFUNCTION("""COMPUTED_VALUE"""),1881.0)</f>
        <v>1881</v>
      </c>
      <c r="D366" s="9" t="str">
        <f>IFERROR(__xludf.DUMMYFUNCTION("""COMPUTED_VALUE"""),"Completed")</f>
        <v>Completed</v>
      </c>
    </row>
    <row r="367">
      <c r="A367" s="9" t="str">
        <f>IFERROR(__xludf.DUMMYFUNCTION("""COMPUTED_VALUE"""),"G-REQ-00366")</f>
        <v>G-REQ-00366</v>
      </c>
      <c r="B367" s="11">
        <f>IFERROR(__xludf.DUMMYFUNCTION("""COMPUTED_VALUE"""),45787.36423524316)</f>
        <v>45787.36424</v>
      </c>
      <c r="C367" s="9">
        <f>IFERROR(__xludf.DUMMYFUNCTION("""COMPUTED_VALUE"""),1885.0)</f>
        <v>1885</v>
      </c>
      <c r="D367" s="9" t="str">
        <f>IFERROR(__xludf.DUMMYFUNCTION("""COMPUTED_VALUE"""),"Completed")</f>
        <v>Completed</v>
      </c>
    </row>
    <row r="368">
      <c r="A368" s="9" t="str">
        <f>IFERROR(__xludf.DUMMYFUNCTION("""COMPUTED_VALUE"""),"G-REQ-00367")</f>
        <v>G-REQ-00367</v>
      </c>
      <c r="B368" s="11">
        <f>IFERROR(__xludf.DUMMYFUNCTION("""COMPUTED_VALUE"""),45787.43541008858)</f>
        <v>45787.43541</v>
      </c>
      <c r="C368" s="9">
        <f>IFERROR(__xludf.DUMMYFUNCTION("""COMPUTED_VALUE"""),1889.0)</f>
        <v>1889</v>
      </c>
      <c r="D368" s="9" t="str">
        <f>IFERROR(__xludf.DUMMYFUNCTION("""COMPUTED_VALUE"""),"Completed")</f>
        <v>Completed</v>
      </c>
    </row>
    <row r="369">
      <c r="A369" s="9" t="str">
        <f>IFERROR(__xludf.DUMMYFUNCTION("""COMPUTED_VALUE"""),"G-REQ-00368")</f>
        <v>G-REQ-00368</v>
      </c>
      <c r="B369" s="11">
        <f>IFERROR(__xludf.DUMMYFUNCTION("""COMPUTED_VALUE"""),45787.506584933995)</f>
        <v>45787.50658</v>
      </c>
      <c r="C369" s="9">
        <f>IFERROR(__xludf.DUMMYFUNCTION("""COMPUTED_VALUE"""),1893.0)</f>
        <v>1893</v>
      </c>
      <c r="D369" s="9" t="str">
        <f>IFERROR(__xludf.DUMMYFUNCTION("""COMPUTED_VALUE"""),"Completed")</f>
        <v>Completed</v>
      </c>
    </row>
    <row r="370">
      <c r="A370" s="9" t="str">
        <f>IFERROR(__xludf.DUMMYFUNCTION("""COMPUTED_VALUE"""),"G-REQ-00369")</f>
        <v>G-REQ-00369</v>
      </c>
      <c r="B370" s="11">
        <f>IFERROR(__xludf.DUMMYFUNCTION("""COMPUTED_VALUE"""),45787.57775977941)</f>
        <v>45787.57776</v>
      </c>
      <c r="C370" s="9">
        <f>IFERROR(__xludf.DUMMYFUNCTION("""COMPUTED_VALUE"""),1897.0)</f>
        <v>1897</v>
      </c>
      <c r="D370" s="9" t="str">
        <f>IFERROR(__xludf.DUMMYFUNCTION("""COMPUTED_VALUE"""),"Completed")</f>
        <v>Completed</v>
      </c>
    </row>
    <row r="371">
      <c r="A371" s="9" t="str">
        <f>IFERROR(__xludf.DUMMYFUNCTION("""COMPUTED_VALUE"""),"G-REQ-00370")</f>
        <v>G-REQ-00370</v>
      </c>
      <c r="B371" s="11">
        <f>IFERROR(__xludf.DUMMYFUNCTION("""COMPUTED_VALUE"""),45787.64893462483)</f>
        <v>45787.64893</v>
      </c>
      <c r="C371" s="9">
        <f>IFERROR(__xludf.DUMMYFUNCTION("""COMPUTED_VALUE"""),1901.0)</f>
        <v>1901</v>
      </c>
      <c r="D371" s="9" t="str">
        <f>IFERROR(__xludf.DUMMYFUNCTION("""COMPUTED_VALUE"""),"Completed")</f>
        <v>Completed</v>
      </c>
    </row>
    <row r="372">
      <c r="A372" s="9" t="str">
        <f>IFERROR(__xludf.DUMMYFUNCTION("""COMPUTED_VALUE"""),"G-REQ-00371")</f>
        <v>G-REQ-00371</v>
      </c>
      <c r="B372" s="11">
        <f>IFERROR(__xludf.DUMMYFUNCTION("""COMPUTED_VALUE"""),45787.72010947024)</f>
        <v>45787.72011</v>
      </c>
      <c r="C372" s="9">
        <f>IFERROR(__xludf.DUMMYFUNCTION("""COMPUTED_VALUE"""),1905.0)</f>
        <v>1905</v>
      </c>
      <c r="D372" s="9" t="str">
        <f>IFERROR(__xludf.DUMMYFUNCTION("""COMPUTED_VALUE"""),"Completed")</f>
        <v>Completed</v>
      </c>
    </row>
    <row r="373">
      <c r="A373" s="9" t="str">
        <f>IFERROR(__xludf.DUMMYFUNCTION("""COMPUTED_VALUE"""),"G-REQ-00372")</f>
        <v>G-REQ-00372</v>
      </c>
      <c r="B373" s="11">
        <f>IFERROR(__xludf.DUMMYFUNCTION("""COMPUTED_VALUE"""),45787.79128431565)</f>
        <v>45787.79128</v>
      </c>
      <c r="C373" s="9">
        <f>IFERROR(__xludf.DUMMYFUNCTION("""COMPUTED_VALUE"""),1909.0)</f>
        <v>1909</v>
      </c>
      <c r="D373" s="9" t="str">
        <f>IFERROR(__xludf.DUMMYFUNCTION("""COMPUTED_VALUE"""),"Completed")</f>
        <v>Completed</v>
      </c>
    </row>
    <row r="374">
      <c r="A374" s="9" t="str">
        <f>IFERROR(__xludf.DUMMYFUNCTION("""COMPUTED_VALUE"""),"G-REQ-00373")</f>
        <v>G-REQ-00373</v>
      </c>
      <c r="B374" s="11">
        <f>IFERROR(__xludf.DUMMYFUNCTION("""COMPUTED_VALUE"""),45787.86245916107)</f>
        <v>45787.86246</v>
      </c>
      <c r="C374" s="9">
        <f>IFERROR(__xludf.DUMMYFUNCTION("""COMPUTED_VALUE"""),1913.0)</f>
        <v>1913</v>
      </c>
      <c r="D374" s="9" t="str">
        <f>IFERROR(__xludf.DUMMYFUNCTION("""COMPUTED_VALUE"""),"Completed")</f>
        <v>Completed</v>
      </c>
    </row>
    <row r="375">
      <c r="A375" s="9" t="str">
        <f>IFERROR(__xludf.DUMMYFUNCTION("""COMPUTED_VALUE"""),"G-REQ-00374")</f>
        <v>G-REQ-00374</v>
      </c>
      <c r="B375" s="11">
        <f>IFERROR(__xludf.DUMMYFUNCTION("""COMPUTED_VALUE"""),45787.93363400649)</f>
        <v>45787.93363</v>
      </c>
      <c r="C375" s="9">
        <f>IFERROR(__xludf.DUMMYFUNCTION("""COMPUTED_VALUE"""),1917.0)</f>
        <v>1917</v>
      </c>
      <c r="D375" s="9" t="str">
        <f>IFERROR(__xludf.DUMMYFUNCTION("""COMPUTED_VALUE"""),"Completed")</f>
        <v>Completed</v>
      </c>
    </row>
    <row r="376">
      <c r="A376" s="9" t="str">
        <f>IFERROR(__xludf.DUMMYFUNCTION("""COMPUTED_VALUE"""),"G-REQ-00375")</f>
        <v>G-REQ-00375</v>
      </c>
      <c r="B376" s="11">
        <f>IFERROR(__xludf.DUMMYFUNCTION("""COMPUTED_VALUE"""),45787.99786440745)</f>
        <v>45787.99786</v>
      </c>
      <c r="C376" s="9">
        <f>IFERROR(__xludf.DUMMYFUNCTION("""COMPUTED_VALUE"""),1919.0)</f>
        <v>1919</v>
      </c>
      <c r="D376" s="9" t="str">
        <f>IFERROR(__xludf.DUMMYFUNCTION("""COMPUTED_VALUE"""),"Cancelled")</f>
        <v>Cancelled</v>
      </c>
    </row>
    <row r="377">
      <c r="A377" s="9" t="str">
        <f>IFERROR(__xludf.DUMMYFUNCTION("""COMPUTED_VALUE"""),"G-REQ-00376")</f>
        <v>G-REQ-00376</v>
      </c>
      <c r="B377" s="11">
        <f>IFERROR(__xludf.DUMMYFUNCTION("""COMPUTED_VALUE"""),45788.075983697316)</f>
        <v>45788.07598</v>
      </c>
      <c r="C377" s="9">
        <f>IFERROR(__xludf.DUMMYFUNCTION("""COMPUTED_VALUE"""),1923.0)</f>
        <v>1923</v>
      </c>
      <c r="D377" s="9" t="str">
        <f>IFERROR(__xludf.DUMMYFUNCTION("""COMPUTED_VALUE"""),"Completed")</f>
        <v>Completed</v>
      </c>
    </row>
    <row r="378">
      <c r="A378" s="9" t="str">
        <f>IFERROR(__xludf.DUMMYFUNCTION("""COMPUTED_VALUE"""),"G-REQ-00377")</f>
        <v>G-REQ-00377</v>
      </c>
      <c r="B378" s="11">
        <f>IFERROR(__xludf.DUMMYFUNCTION("""COMPUTED_VALUE"""),45788.147158542735)</f>
        <v>45788.14716</v>
      </c>
      <c r="C378" s="9">
        <f>IFERROR(__xludf.DUMMYFUNCTION("""COMPUTED_VALUE"""),1927.0)</f>
        <v>1927</v>
      </c>
      <c r="D378" s="9" t="str">
        <f>IFERROR(__xludf.DUMMYFUNCTION("""COMPUTED_VALUE"""),"Completed")</f>
        <v>Completed</v>
      </c>
    </row>
    <row r="379">
      <c r="A379" s="9" t="str">
        <f>IFERROR(__xludf.DUMMYFUNCTION("""COMPUTED_VALUE"""),"G-REQ-00378")</f>
        <v>G-REQ-00378</v>
      </c>
      <c r="B379" s="11">
        <f>IFERROR(__xludf.DUMMYFUNCTION("""COMPUTED_VALUE"""),45788.21833338815)</f>
        <v>45788.21833</v>
      </c>
      <c r="C379" s="9">
        <f>IFERROR(__xludf.DUMMYFUNCTION("""COMPUTED_VALUE"""),1931.0)</f>
        <v>1931</v>
      </c>
      <c r="D379" s="9" t="str">
        <f>IFERROR(__xludf.DUMMYFUNCTION("""COMPUTED_VALUE"""),"Completed")</f>
        <v>Completed</v>
      </c>
    </row>
    <row r="380">
      <c r="A380" s="9" t="str">
        <f>IFERROR(__xludf.DUMMYFUNCTION("""COMPUTED_VALUE"""),"G-REQ-00379")</f>
        <v>G-REQ-00379</v>
      </c>
      <c r="B380" s="11">
        <f>IFERROR(__xludf.DUMMYFUNCTION("""COMPUTED_VALUE"""),45788.28950823356)</f>
        <v>45788.28951</v>
      </c>
      <c r="C380" s="9">
        <f>IFERROR(__xludf.DUMMYFUNCTION("""COMPUTED_VALUE"""),1935.0)</f>
        <v>1935</v>
      </c>
      <c r="D380" s="9" t="str">
        <f>IFERROR(__xludf.DUMMYFUNCTION("""COMPUTED_VALUE"""),"Completed")</f>
        <v>Completed</v>
      </c>
    </row>
    <row r="381">
      <c r="A381" s="9" t="str">
        <f>IFERROR(__xludf.DUMMYFUNCTION("""COMPUTED_VALUE"""),"G-REQ-00380")</f>
        <v>G-REQ-00380</v>
      </c>
      <c r="B381" s="11">
        <f>IFERROR(__xludf.DUMMYFUNCTION("""COMPUTED_VALUE"""),45788.36068307898)</f>
        <v>45788.36068</v>
      </c>
      <c r="C381" s="9">
        <f>IFERROR(__xludf.DUMMYFUNCTION("""COMPUTED_VALUE"""),1939.0)</f>
        <v>1939</v>
      </c>
      <c r="D381" s="9" t="str">
        <f>IFERROR(__xludf.DUMMYFUNCTION("""COMPUTED_VALUE"""),"Completed")</f>
        <v>Completed</v>
      </c>
    </row>
    <row r="382">
      <c r="A382" s="9" t="str">
        <f>IFERROR(__xludf.DUMMYFUNCTION("""COMPUTED_VALUE"""),"G-REQ-00381")</f>
        <v>G-REQ-00381</v>
      </c>
      <c r="B382" s="11">
        <f>IFERROR(__xludf.DUMMYFUNCTION("""COMPUTED_VALUE"""),45788.43185792439)</f>
        <v>45788.43186</v>
      </c>
      <c r="C382" s="9">
        <f>IFERROR(__xludf.DUMMYFUNCTION("""COMPUTED_VALUE"""),1943.0)</f>
        <v>1943</v>
      </c>
      <c r="D382" s="9" t="str">
        <f>IFERROR(__xludf.DUMMYFUNCTION("""COMPUTED_VALUE"""),"Completed")</f>
        <v>Completed</v>
      </c>
    </row>
    <row r="383">
      <c r="A383" s="9" t="str">
        <f>IFERROR(__xludf.DUMMYFUNCTION("""COMPUTED_VALUE"""),"G-REQ-00382")</f>
        <v>G-REQ-00382</v>
      </c>
      <c r="B383" s="11">
        <f>IFERROR(__xludf.DUMMYFUNCTION("""COMPUTED_VALUE"""),45788.503032769804)</f>
        <v>45788.50303</v>
      </c>
      <c r="C383" s="9">
        <f>IFERROR(__xludf.DUMMYFUNCTION("""COMPUTED_VALUE"""),1947.0)</f>
        <v>1947</v>
      </c>
      <c r="D383" s="9" t="str">
        <f>IFERROR(__xludf.DUMMYFUNCTION("""COMPUTED_VALUE"""),"Completed")</f>
        <v>Completed</v>
      </c>
    </row>
    <row r="384">
      <c r="A384" s="9" t="str">
        <f>IFERROR(__xludf.DUMMYFUNCTION("""COMPUTED_VALUE"""),"G-REQ-00383")</f>
        <v>G-REQ-00383</v>
      </c>
      <c r="B384" s="11">
        <f>IFERROR(__xludf.DUMMYFUNCTION("""COMPUTED_VALUE"""),45788.574207615224)</f>
        <v>45788.57421</v>
      </c>
      <c r="C384" s="9">
        <f>IFERROR(__xludf.DUMMYFUNCTION("""COMPUTED_VALUE"""),1951.0)</f>
        <v>1951</v>
      </c>
      <c r="D384" s="9" t="str">
        <f>IFERROR(__xludf.DUMMYFUNCTION("""COMPUTED_VALUE"""),"Completed")</f>
        <v>Completed</v>
      </c>
    </row>
    <row r="385">
      <c r="A385" s="9" t="str">
        <f>IFERROR(__xludf.DUMMYFUNCTION("""COMPUTED_VALUE"""),"G-REQ-00384")</f>
        <v>G-REQ-00384</v>
      </c>
      <c r="B385" s="11">
        <f>IFERROR(__xludf.DUMMYFUNCTION("""COMPUTED_VALUE"""),45788.63843801619)</f>
        <v>45788.63844</v>
      </c>
      <c r="C385" s="9">
        <f>IFERROR(__xludf.DUMMYFUNCTION("""COMPUTED_VALUE"""),1953.0)</f>
        <v>1953</v>
      </c>
      <c r="D385" s="9" t="str">
        <f>IFERROR(__xludf.DUMMYFUNCTION("""COMPUTED_VALUE"""),"Rejected")</f>
        <v>Rejected</v>
      </c>
    </row>
    <row r="386">
      <c r="A386" s="9" t="str">
        <f>IFERROR(__xludf.DUMMYFUNCTION("""COMPUTED_VALUE"""),"G-REQ-00385")</f>
        <v>G-REQ-00385</v>
      </c>
      <c r="B386" s="11">
        <f>IFERROR(__xludf.DUMMYFUNCTION("""COMPUTED_VALUE"""),45788.71655730605)</f>
        <v>45788.71656</v>
      </c>
      <c r="C386" s="9">
        <f>IFERROR(__xludf.DUMMYFUNCTION("""COMPUTED_VALUE"""),1957.0)</f>
        <v>1957</v>
      </c>
      <c r="D386" s="9" t="str">
        <f>IFERROR(__xludf.DUMMYFUNCTION("""COMPUTED_VALUE"""),"Completed")</f>
        <v>Completed</v>
      </c>
    </row>
    <row r="387">
      <c r="A387" s="9" t="str">
        <f>IFERROR(__xludf.DUMMYFUNCTION("""COMPUTED_VALUE"""),"G-REQ-00386")</f>
        <v>G-REQ-00386</v>
      </c>
      <c r="B387" s="11">
        <f>IFERROR(__xludf.DUMMYFUNCTION("""COMPUTED_VALUE"""),45788.78078770702)</f>
        <v>45788.78079</v>
      </c>
      <c r="C387" s="9">
        <f>IFERROR(__xludf.DUMMYFUNCTION("""COMPUTED_VALUE"""),1959.0)</f>
        <v>1959</v>
      </c>
      <c r="D387" s="9" t="str">
        <f>IFERROR(__xludf.DUMMYFUNCTION("""COMPUTED_VALUE"""),"Cancelled")</f>
        <v>Cancelled</v>
      </c>
    </row>
    <row r="388">
      <c r="A388" s="9" t="str">
        <f>IFERROR(__xludf.DUMMYFUNCTION("""COMPUTED_VALUE"""),"G-REQ-00387")</f>
        <v>G-REQ-00387</v>
      </c>
      <c r="B388" s="11">
        <f>IFERROR(__xludf.DUMMYFUNCTION("""COMPUTED_VALUE"""),45788.85890699688)</f>
        <v>45788.85891</v>
      </c>
      <c r="C388" s="9">
        <f>IFERROR(__xludf.DUMMYFUNCTION("""COMPUTED_VALUE"""),1963.0)</f>
        <v>1963</v>
      </c>
      <c r="D388" s="9" t="str">
        <f>IFERROR(__xludf.DUMMYFUNCTION("""COMPUTED_VALUE"""),"Completed")</f>
        <v>Completed</v>
      </c>
    </row>
    <row r="389">
      <c r="A389" s="9" t="str">
        <f>IFERROR(__xludf.DUMMYFUNCTION("""COMPUTED_VALUE"""),"G-REQ-00388")</f>
        <v>G-REQ-00388</v>
      </c>
      <c r="B389" s="11">
        <f>IFERROR(__xludf.DUMMYFUNCTION("""COMPUTED_VALUE"""),45788.93008184229)</f>
        <v>45788.93008</v>
      </c>
      <c r="C389" s="9">
        <f>IFERROR(__xludf.DUMMYFUNCTION("""COMPUTED_VALUE"""),1967.0)</f>
        <v>1967</v>
      </c>
      <c r="D389" s="9" t="str">
        <f>IFERROR(__xludf.DUMMYFUNCTION("""COMPUTED_VALUE"""),"Completed")</f>
        <v>Completed</v>
      </c>
    </row>
    <row r="390">
      <c r="A390" s="9" t="str">
        <f>IFERROR(__xludf.DUMMYFUNCTION("""COMPUTED_VALUE"""),"G-REQ-00389")</f>
        <v>G-REQ-00389</v>
      </c>
      <c r="B390" s="11">
        <f>IFERROR(__xludf.DUMMYFUNCTION("""COMPUTED_VALUE"""),45789.00125668771)</f>
        <v>45789.00126</v>
      </c>
      <c r="C390" s="9">
        <f>IFERROR(__xludf.DUMMYFUNCTION("""COMPUTED_VALUE"""),1971.0)</f>
        <v>1971</v>
      </c>
      <c r="D390" s="9" t="str">
        <f>IFERROR(__xludf.DUMMYFUNCTION("""COMPUTED_VALUE"""),"Completed")</f>
        <v>Completed</v>
      </c>
    </row>
    <row r="391">
      <c r="A391" s="9" t="str">
        <f>IFERROR(__xludf.DUMMYFUNCTION("""COMPUTED_VALUE"""),"G-REQ-00390")</f>
        <v>G-REQ-00390</v>
      </c>
      <c r="B391" s="11">
        <f>IFERROR(__xludf.DUMMYFUNCTION("""COMPUTED_VALUE"""),45789.07243153313)</f>
        <v>45789.07243</v>
      </c>
      <c r="C391" s="9">
        <f>IFERROR(__xludf.DUMMYFUNCTION("""COMPUTED_VALUE"""),1975.0)</f>
        <v>1975</v>
      </c>
      <c r="D391" s="9" t="str">
        <f>IFERROR(__xludf.DUMMYFUNCTION("""COMPUTED_VALUE"""),"Completed")</f>
        <v>Completed</v>
      </c>
    </row>
    <row r="392">
      <c r="A392" s="9" t="str">
        <f>IFERROR(__xludf.DUMMYFUNCTION("""COMPUTED_VALUE"""),"G-REQ-00391")</f>
        <v>G-REQ-00391</v>
      </c>
      <c r="B392" s="11">
        <f>IFERROR(__xludf.DUMMYFUNCTION("""COMPUTED_VALUE"""),45789.14360637854)</f>
        <v>45789.14361</v>
      </c>
      <c r="C392" s="9">
        <f>IFERROR(__xludf.DUMMYFUNCTION("""COMPUTED_VALUE"""),1979.0)</f>
        <v>1979</v>
      </c>
      <c r="D392" s="9" t="str">
        <f>IFERROR(__xludf.DUMMYFUNCTION("""COMPUTED_VALUE"""),"Completed")</f>
        <v>Completed</v>
      </c>
    </row>
    <row r="393">
      <c r="A393" s="9" t="str">
        <f>IFERROR(__xludf.DUMMYFUNCTION("""COMPUTED_VALUE"""),"G-REQ-00392")</f>
        <v>G-REQ-00392</v>
      </c>
      <c r="B393" s="11">
        <f>IFERROR(__xludf.DUMMYFUNCTION("""COMPUTED_VALUE"""),45789.21478122396)</f>
        <v>45789.21478</v>
      </c>
      <c r="C393" s="9">
        <f>IFERROR(__xludf.DUMMYFUNCTION("""COMPUTED_VALUE"""),1983.0)</f>
        <v>1983</v>
      </c>
      <c r="D393" s="9" t="str">
        <f>IFERROR(__xludf.DUMMYFUNCTION("""COMPUTED_VALUE"""),"Completed")</f>
        <v>Completed</v>
      </c>
    </row>
    <row r="394">
      <c r="A394" s="9" t="str">
        <f>IFERROR(__xludf.DUMMYFUNCTION("""COMPUTED_VALUE"""),"G-REQ-00393")</f>
        <v>G-REQ-00393</v>
      </c>
      <c r="B394" s="11">
        <f>IFERROR(__xludf.DUMMYFUNCTION("""COMPUTED_VALUE"""),45789.285956069376)</f>
        <v>45789.28596</v>
      </c>
      <c r="C394" s="9">
        <f>IFERROR(__xludf.DUMMYFUNCTION("""COMPUTED_VALUE"""),1987.0)</f>
        <v>1987</v>
      </c>
      <c r="D394" s="9" t="str">
        <f>IFERROR(__xludf.DUMMYFUNCTION("""COMPUTED_VALUE"""),"Completed")</f>
        <v>Completed</v>
      </c>
    </row>
    <row r="395">
      <c r="A395" s="9" t="str">
        <f>IFERROR(__xludf.DUMMYFUNCTION("""COMPUTED_VALUE"""),"G-REQ-00394")</f>
        <v>G-REQ-00394</v>
      </c>
      <c r="B395" s="11">
        <f>IFERROR(__xludf.DUMMYFUNCTION("""COMPUTED_VALUE"""),45789.35713091479)</f>
        <v>45789.35713</v>
      </c>
      <c r="C395" s="9">
        <f>IFERROR(__xludf.DUMMYFUNCTION("""COMPUTED_VALUE"""),1991.0)</f>
        <v>1991</v>
      </c>
      <c r="D395" s="9" t="str">
        <f>IFERROR(__xludf.DUMMYFUNCTION("""COMPUTED_VALUE"""),"Completed")</f>
        <v>Completed</v>
      </c>
    </row>
    <row r="396">
      <c r="A396" s="9" t="str">
        <f>IFERROR(__xludf.DUMMYFUNCTION("""COMPUTED_VALUE"""),"G-REQ-00395")</f>
        <v>G-REQ-00395</v>
      </c>
      <c r="B396" s="11">
        <f>IFERROR(__xludf.DUMMYFUNCTION("""COMPUTED_VALUE"""),45789.4283057602)</f>
        <v>45789.42831</v>
      </c>
      <c r="C396" s="9">
        <f>IFERROR(__xludf.DUMMYFUNCTION("""COMPUTED_VALUE"""),1995.0)</f>
        <v>1995</v>
      </c>
      <c r="D396" s="9" t="str">
        <f>IFERROR(__xludf.DUMMYFUNCTION("""COMPUTED_VALUE"""),"Completed")</f>
        <v>Completed</v>
      </c>
    </row>
    <row r="397">
      <c r="A397" s="9" t="str">
        <f>IFERROR(__xludf.DUMMYFUNCTION("""COMPUTED_VALUE"""),"G-REQ-00396")</f>
        <v>G-REQ-00396</v>
      </c>
      <c r="B397" s="11">
        <f>IFERROR(__xludf.DUMMYFUNCTION("""COMPUTED_VALUE"""),45789.49948060562)</f>
        <v>45789.49948</v>
      </c>
      <c r="C397" s="9">
        <f>IFERROR(__xludf.DUMMYFUNCTION("""COMPUTED_VALUE"""),1999.0)</f>
        <v>1999</v>
      </c>
      <c r="D397" s="9" t="str">
        <f>IFERROR(__xludf.DUMMYFUNCTION("""COMPUTED_VALUE"""),"Completed")</f>
        <v>Completed</v>
      </c>
    </row>
    <row r="398">
      <c r="A398" s="9" t="str">
        <f>IFERROR(__xludf.DUMMYFUNCTION("""COMPUTED_VALUE"""),"G-REQ-00397")</f>
        <v>G-REQ-00397</v>
      </c>
      <c r="B398" s="11">
        <f>IFERROR(__xludf.DUMMYFUNCTION("""COMPUTED_VALUE"""),45789.57065545103)</f>
        <v>45789.57066</v>
      </c>
      <c r="C398" s="9">
        <f>IFERROR(__xludf.DUMMYFUNCTION("""COMPUTED_VALUE"""),2003.0)</f>
        <v>2003</v>
      </c>
      <c r="D398" s="9" t="str">
        <f>IFERROR(__xludf.DUMMYFUNCTION("""COMPUTED_VALUE"""),"Completed")</f>
        <v>Completed</v>
      </c>
    </row>
    <row r="399">
      <c r="A399" s="9" t="str">
        <f>IFERROR(__xludf.DUMMYFUNCTION("""COMPUTED_VALUE"""),"G-REQ-00398")</f>
        <v>G-REQ-00398</v>
      </c>
      <c r="B399" s="11">
        <f>IFERROR(__xludf.DUMMYFUNCTION("""COMPUTED_VALUE"""),45789.641830296445)</f>
        <v>45789.64183</v>
      </c>
      <c r="C399" s="9">
        <f>IFERROR(__xludf.DUMMYFUNCTION("""COMPUTED_VALUE"""),2007.0)</f>
        <v>2007</v>
      </c>
      <c r="D399" s="9" t="str">
        <f>IFERROR(__xludf.DUMMYFUNCTION("""COMPUTED_VALUE"""),"Completed")</f>
        <v>Completed</v>
      </c>
    </row>
    <row r="400">
      <c r="A400" s="9" t="str">
        <f>IFERROR(__xludf.DUMMYFUNCTION("""COMPUTED_VALUE"""),"G-REQ-00399")</f>
        <v>G-REQ-00399</v>
      </c>
      <c r="B400" s="11">
        <f>IFERROR(__xludf.DUMMYFUNCTION("""COMPUTED_VALUE"""),45789.713005141864)</f>
        <v>45789.71301</v>
      </c>
      <c r="C400" s="9">
        <f>IFERROR(__xludf.DUMMYFUNCTION("""COMPUTED_VALUE"""),2011.0)</f>
        <v>2011</v>
      </c>
      <c r="D400" s="9" t="str">
        <f>IFERROR(__xludf.DUMMYFUNCTION("""COMPUTED_VALUE"""),"Completed")</f>
        <v>Completed</v>
      </c>
    </row>
    <row r="401">
      <c r="A401" s="9" t="str">
        <f>IFERROR(__xludf.DUMMYFUNCTION("""COMPUTED_VALUE"""),"G-REQ-00400")</f>
        <v>G-REQ-00400</v>
      </c>
      <c r="B401" s="11">
        <f>IFERROR(__xludf.DUMMYFUNCTION("""COMPUTED_VALUE"""),45789.78417998728)</f>
        <v>45789.78418</v>
      </c>
      <c r="C401" s="9">
        <f>IFERROR(__xludf.DUMMYFUNCTION("""COMPUTED_VALUE"""),2015.0)</f>
        <v>2015</v>
      </c>
      <c r="D401" s="9" t="str">
        <f>IFERROR(__xludf.DUMMYFUNCTION("""COMPUTED_VALUE"""),"Completed")</f>
        <v>Completed</v>
      </c>
    </row>
    <row r="402">
      <c r="A402" s="9" t="str">
        <f>IFERROR(__xludf.DUMMYFUNCTION("""COMPUTED_VALUE"""),"G-REQ-00401")</f>
        <v>G-REQ-00401</v>
      </c>
      <c r="B402" s="11">
        <f>IFERROR(__xludf.DUMMYFUNCTION("""COMPUTED_VALUE"""),45789.85535483269)</f>
        <v>45789.85535</v>
      </c>
      <c r="C402" s="9">
        <f>IFERROR(__xludf.DUMMYFUNCTION("""COMPUTED_VALUE"""),2019.0)</f>
        <v>2019</v>
      </c>
      <c r="D402" s="9" t="str">
        <f>IFERROR(__xludf.DUMMYFUNCTION("""COMPUTED_VALUE"""),"Completed")</f>
        <v>Completed</v>
      </c>
    </row>
    <row r="403">
      <c r="A403" s="9" t="str">
        <f>IFERROR(__xludf.DUMMYFUNCTION("""COMPUTED_VALUE"""),"G-REQ-00402")</f>
        <v>G-REQ-00402</v>
      </c>
      <c r="B403" s="11">
        <f>IFERROR(__xludf.DUMMYFUNCTION("""COMPUTED_VALUE"""),45789.92652967811)</f>
        <v>45789.92653</v>
      </c>
      <c r="C403" s="9">
        <f>IFERROR(__xludf.DUMMYFUNCTION("""COMPUTED_VALUE"""),2023.0)</f>
        <v>2023</v>
      </c>
      <c r="D403" s="9" t="str">
        <f>IFERROR(__xludf.DUMMYFUNCTION("""COMPUTED_VALUE"""),"Completed")</f>
        <v>Completed</v>
      </c>
    </row>
    <row r="404">
      <c r="A404" s="9" t="str">
        <f>IFERROR(__xludf.DUMMYFUNCTION("""COMPUTED_VALUE"""),"G-REQ-00403")</f>
        <v>G-REQ-00403</v>
      </c>
      <c r="B404" s="11">
        <f>IFERROR(__xludf.DUMMYFUNCTION("""COMPUTED_VALUE"""),45789.99770452352)</f>
        <v>45789.9977</v>
      </c>
      <c r="C404" s="9">
        <f>IFERROR(__xludf.DUMMYFUNCTION("""COMPUTED_VALUE"""),2027.0)</f>
        <v>2027</v>
      </c>
      <c r="D404" s="9" t="str">
        <f>IFERROR(__xludf.DUMMYFUNCTION("""COMPUTED_VALUE"""),"Completed")</f>
        <v>Completed</v>
      </c>
    </row>
    <row r="405">
      <c r="A405" s="9" t="str">
        <f>IFERROR(__xludf.DUMMYFUNCTION("""COMPUTED_VALUE"""),"G-REQ-00404")</f>
        <v>G-REQ-00404</v>
      </c>
      <c r="B405" s="11">
        <f>IFERROR(__xludf.DUMMYFUNCTION("""COMPUTED_VALUE"""),45790.06887936893)</f>
        <v>45790.06888</v>
      </c>
      <c r="C405" s="9">
        <f>IFERROR(__xludf.DUMMYFUNCTION("""COMPUTED_VALUE"""),2031.0)</f>
        <v>2031</v>
      </c>
      <c r="D405" s="9" t="str">
        <f>IFERROR(__xludf.DUMMYFUNCTION("""COMPUTED_VALUE"""),"Completed")</f>
        <v>Completed</v>
      </c>
    </row>
    <row r="406">
      <c r="A406" s="9" t="str">
        <f>IFERROR(__xludf.DUMMYFUNCTION("""COMPUTED_VALUE"""),"G-REQ-00405")</f>
        <v>G-REQ-00405</v>
      </c>
      <c r="B406" s="11">
        <f>IFERROR(__xludf.DUMMYFUNCTION("""COMPUTED_VALUE"""),45790.14005421435)</f>
        <v>45790.14005</v>
      </c>
      <c r="C406" s="9">
        <f>IFERROR(__xludf.DUMMYFUNCTION("""COMPUTED_VALUE"""),2035.0)</f>
        <v>2035</v>
      </c>
      <c r="D406" s="9" t="str">
        <f>IFERROR(__xludf.DUMMYFUNCTION("""COMPUTED_VALUE"""),"Completed")</f>
        <v>Completed</v>
      </c>
    </row>
    <row r="407">
      <c r="A407" s="9" t="str">
        <f>IFERROR(__xludf.DUMMYFUNCTION("""COMPUTED_VALUE"""),"G-REQ-00406")</f>
        <v>G-REQ-00406</v>
      </c>
      <c r="B407" s="11">
        <f>IFERROR(__xludf.DUMMYFUNCTION("""COMPUTED_VALUE"""),45790.21122905977)</f>
        <v>45790.21123</v>
      </c>
      <c r="C407" s="9">
        <f>IFERROR(__xludf.DUMMYFUNCTION("""COMPUTED_VALUE"""),2039.0)</f>
        <v>2039</v>
      </c>
      <c r="D407" s="9" t="str">
        <f>IFERROR(__xludf.DUMMYFUNCTION("""COMPUTED_VALUE"""),"Completed")</f>
        <v>Completed</v>
      </c>
    </row>
    <row r="408">
      <c r="A408" s="9" t="str">
        <f>IFERROR(__xludf.DUMMYFUNCTION("""COMPUTED_VALUE"""),"G-REQ-00407")</f>
        <v>G-REQ-00407</v>
      </c>
      <c r="B408" s="11">
        <f>IFERROR(__xludf.DUMMYFUNCTION("""COMPUTED_VALUE"""),45790.28240390518)</f>
        <v>45790.2824</v>
      </c>
      <c r="C408" s="9">
        <f>IFERROR(__xludf.DUMMYFUNCTION("""COMPUTED_VALUE"""),2043.0)</f>
        <v>2043</v>
      </c>
      <c r="D408" s="9" t="str">
        <f>IFERROR(__xludf.DUMMYFUNCTION("""COMPUTED_VALUE"""),"Completed")</f>
        <v>Completed</v>
      </c>
    </row>
    <row r="409">
      <c r="A409" s="9" t="str">
        <f>IFERROR(__xludf.DUMMYFUNCTION("""COMPUTED_VALUE"""),"G-REQ-00408")</f>
        <v>G-REQ-00408</v>
      </c>
      <c r="B409" s="11">
        <f>IFERROR(__xludf.DUMMYFUNCTION("""COMPUTED_VALUE"""),45790.3535787506)</f>
        <v>45790.35358</v>
      </c>
      <c r="C409" s="9">
        <f>IFERROR(__xludf.DUMMYFUNCTION("""COMPUTED_VALUE"""),2047.0)</f>
        <v>2047</v>
      </c>
      <c r="D409" s="9" t="str">
        <f>IFERROR(__xludf.DUMMYFUNCTION("""COMPUTED_VALUE"""),"Completed")</f>
        <v>Completed</v>
      </c>
    </row>
    <row r="410">
      <c r="A410" s="9" t="str">
        <f>IFERROR(__xludf.DUMMYFUNCTION("""COMPUTED_VALUE"""),"G-REQ-00409")</f>
        <v>G-REQ-00409</v>
      </c>
      <c r="B410" s="11">
        <f>IFERROR(__xludf.DUMMYFUNCTION("""COMPUTED_VALUE"""),45790.42475359602)</f>
        <v>45790.42475</v>
      </c>
      <c r="C410" s="9">
        <f>IFERROR(__xludf.DUMMYFUNCTION("""COMPUTED_VALUE"""),2051.0)</f>
        <v>2051</v>
      </c>
      <c r="D410" s="9" t="str">
        <f>IFERROR(__xludf.DUMMYFUNCTION("""COMPUTED_VALUE"""),"Completed")</f>
        <v>Completed</v>
      </c>
    </row>
    <row r="411">
      <c r="A411" s="9" t="str">
        <f>IFERROR(__xludf.DUMMYFUNCTION("""COMPUTED_VALUE"""),"G-REQ-00410")</f>
        <v>G-REQ-00410</v>
      </c>
      <c r="B411" s="11">
        <f>IFERROR(__xludf.DUMMYFUNCTION("""COMPUTED_VALUE"""),45790.49592844143)</f>
        <v>45790.49593</v>
      </c>
      <c r="C411" s="9">
        <f>IFERROR(__xludf.DUMMYFUNCTION("""COMPUTED_VALUE"""),2055.0)</f>
        <v>2055</v>
      </c>
      <c r="D411" s="9" t="str">
        <f>IFERROR(__xludf.DUMMYFUNCTION("""COMPUTED_VALUE"""),"Completed")</f>
        <v>Completed</v>
      </c>
    </row>
    <row r="412">
      <c r="A412" s="9" t="str">
        <f>IFERROR(__xludf.DUMMYFUNCTION("""COMPUTED_VALUE"""),"G-REQ-00411")</f>
        <v>G-REQ-00411</v>
      </c>
      <c r="B412" s="11">
        <f>IFERROR(__xludf.DUMMYFUNCTION("""COMPUTED_VALUE"""),45790.56710328684)</f>
        <v>45790.5671</v>
      </c>
      <c r="C412" s="9">
        <f>IFERROR(__xludf.DUMMYFUNCTION("""COMPUTED_VALUE"""),2059.0)</f>
        <v>2059</v>
      </c>
      <c r="D412" s="9" t="str">
        <f>IFERROR(__xludf.DUMMYFUNCTION("""COMPUTED_VALUE"""),"Completed")</f>
        <v>Completed</v>
      </c>
    </row>
    <row r="413">
      <c r="A413" s="9" t="str">
        <f>IFERROR(__xludf.DUMMYFUNCTION("""COMPUTED_VALUE"""),"G-REQ-00412")</f>
        <v>G-REQ-00412</v>
      </c>
      <c r="B413" s="11">
        <f>IFERROR(__xludf.DUMMYFUNCTION("""COMPUTED_VALUE"""),45790.63827813226)</f>
        <v>45790.63828</v>
      </c>
      <c r="C413" s="9">
        <f>IFERROR(__xludf.DUMMYFUNCTION("""COMPUTED_VALUE"""),2063.0)</f>
        <v>2063</v>
      </c>
      <c r="D413" s="9" t="str">
        <f>IFERROR(__xludf.DUMMYFUNCTION("""COMPUTED_VALUE"""),"Completed")</f>
        <v>Completed</v>
      </c>
    </row>
    <row r="414">
      <c r="A414" s="9" t="str">
        <f>IFERROR(__xludf.DUMMYFUNCTION("""COMPUTED_VALUE"""),"G-REQ-00413")</f>
        <v>G-REQ-00413</v>
      </c>
      <c r="B414" s="11">
        <f>IFERROR(__xludf.DUMMYFUNCTION("""COMPUTED_VALUE"""),45790.70945297767)</f>
        <v>45790.70945</v>
      </c>
      <c r="C414" s="9">
        <f>IFERROR(__xludf.DUMMYFUNCTION("""COMPUTED_VALUE"""),2067.0)</f>
        <v>2067</v>
      </c>
      <c r="D414" s="9" t="str">
        <f>IFERROR(__xludf.DUMMYFUNCTION("""COMPUTED_VALUE"""),"Completed")</f>
        <v>Completed</v>
      </c>
    </row>
    <row r="415">
      <c r="A415" s="9" t="str">
        <f>IFERROR(__xludf.DUMMYFUNCTION("""COMPUTED_VALUE"""),"G-REQ-00414")</f>
        <v>G-REQ-00414</v>
      </c>
      <c r="B415" s="11">
        <f>IFERROR(__xludf.DUMMYFUNCTION("""COMPUTED_VALUE"""),45790.780627823086)</f>
        <v>45790.78063</v>
      </c>
      <c r="C415" s="9">
        <f>IFERROR(__xludf.DUMMYFUNCTION("""COMPUTED_VALUE"""),2071.0)</f>
        <v>2071</v>
      </c>
      <c r="D415" s="9" t="str">
        <f>IFERROR(__xludf.DUMMYFUNCTION("""COMPUTED_VALUE"""),"Completed")</f>
        <v>Completed</v>
      </c>
    </row>
    <row r="416">
      <c r="A416" s="9" t="str">
        <f>IFERROR(__xludf.DUMMYFUNCTION("""COMPUTED_VALUE"""),"G-REQ-00415")</f>
        <v>G-REQ-00415</v>
      </c>
      <c r="B416" s="11">
        <f>IFERROR(__xludf.DUMMYFUNCTION("""COMPUTED_VALUE"""),45790.851802668505)</f>
        <v>45790.8518</v>
      </c>
      <c r="C416" s="9">
        <f>IFERROR(__xludf.DUMMYFUNCTION("""COMPUTED_VALUE"""),2075.0)</f>
        <v>2075</v>
      </c>
      <c r="D416" s="9" t="str">
        <f>IFERROR(__xludf.DUMMYFUNCTION("""COMPUTED_VALUE"""),"Completed")</f>
        <v>Completed</v>
      </c>
    </row>
    <row r="417">
      <c r="A417" s="9" t="str">
        <f>IFERROR(__xludf.DUMMYFUNCTION("""COMPUTED_VALUE"""),"G-REQ-00416")</f>
        <v>G-REQ-00416</v>
      </c>
      <c r="B417" s="11">
        <f>IFERROR(__xludf.DUMMYFUNCTION("""COMPUTED_VALUE"""),45790.92297751392)</f>
        <v>45790.92298</v>
      </c>
      <c r="C417" s="9">
        <f>IFERROR(__xludf.DUMMYFUNCTION("""COMPUTED_VALUE"""),2079.0)</f>
        <v>2079</v>
      </c>
      <c r="D417" s="9" t="str">
        <f>IFERROR(__xludf.DUMMYFUNCTION("""COMPUTED_VALUE"""),"Completed")</f>
        <v>Completed</v>
      </c>
    </row>
    <row r="418">
      <c r="A418" s="9" t="str">
        <f>IFERROR(__xludf.DUMMYFUNCTION("""COMPUTED_VALUE"""),"G-REQ-00417")</f>
        <v>G-REQ-00417</v>
      </c>
      <c r="B418" s="11">
        <f>IFERROR(__xludf.DUMMYFUNCTION("""COMPUTED_VALUE"""),45790.99415235933)</f>
        <v>45790.99415</v>
      </c>
      <c r="C418" s="9">
        <f>IFERROR(__xludf.DUMMYFUNCTION("""COMPUTED_VALUE"""),2083.0)</f>
        <v>2083</v>
      </c>
      <c r="D418" s="9" t="str">
        <f>IFERROR(__xludf.DUMMYFUNCTION("""COMPUTED_VALUE"""),"Completed")</f>
        <v>Completed</v>
      </c>
    </row>
    <row r="419">
      <c r="A419" s="9" t="str">
        <f>IFERROR(__xludf.DUMMYFUNCTION("""COMPUTED_VALUE"""),"G-REQ-00418")</f>
        <v>G-REQ-00418</v>
      </c>
      <c r="B419" s="11">
        <f>IFERROR(__xludf.DUMMYFUNCTION("""COMPUTED_VALUE"""),45791.06532720475)</f>
        <v>45791.06533</v>
      </c>
      <c r="C419" s="9">
        <f>IFERROR(__xludf.DUMMYFUNCTION("""COMPUTED_VALUE"""),2087.0)</f>
        <v>2087</v>
      </c>
      <c r="D419" s="9" t="str">
        <f>IFERROR(__xludf.DUMMYFUNCTION("""COMPUTED_VALUE"""),"Completed")</f>
        <v>Completed</v>
      </c>
    </row>
    <row r="420">
      <c r="A420" s="9" t="str">
        <f>IFERROR(__xludf.DUMMYFUNCTION("""COMPUTED_VALUE"""),"G-REQ-00419")</f>
        <v>G-REQ-00419</v>
      </c>
      <c r="B420" s="11">
        <f>IFERROR(__xludf.DUMMYFUNCTION("""COMPUTED_VALUE"""),45791.13650205016)</f>
        <v>45791.1365</v>
      </c>
      <c r="C420" s="9">
        <f>IFERROR(__xludf.DUMMYFUNCTION("""COMPUTED_VALUE"""),2091.0)</f>
        <v>2091</v>
      </c>
      <c r="D420" s="9" t="str">
        <f>IFERROR(__xludf.DUMMYFUNCTION("""COMPUTED_VALUE"""),"Completed")</f>
        <v>Completed</v>
      </c>
    </row>
    <row r="421">
      <c r="A421" s="9" t="str">
        <f>IFERROR(__xludf.DUMMYFUNCTION("""COMPUTED_VALUE"""),"G-REQ-00420")</f>
        <v>G-REQ-00420</v>
      </c>
      <c r="B421" s="11">
        <f>IFERROR(__xludf.DUMMYFUNCTION("""COMPUTED_VALUE"""),45791.20767689558)</f>
        <v>45791.20768</v>
      </c>
      <c r="C421" s="9">
        <f>IFERROR(__xludf.DUMMYFUNCTION("""COMPUTED_VALUE"""),2095.0)</f>
        <v>2095</v>
      </c>
      <c r="D421" s="9" t="str">
        <f>IFERROR(__xludf.DUMMYFUNCTION("""COMPUTED_VALUE"""),"Completed")</f>
        <v>Completed</v>
      </c>
    </row>
    <row r="422">
      <c r="A422" s="9" t="str">
        <f>IFERROR(__xludf.DUMMYFUNCTION("""COMPUTED_VALUE"""),"G-REQ-00421")</f>
        <v>G-REQ-00421</v>
      </c>
      <c r="B422" s="11">
        <f>IFERROR(__xludf.DUMMYFUNCTION("""COMPUTED_VALUE"""),45791.27885174099)</f>
        <v>45791.27885</v>
      </c>
      <c r="C422" s="9">
        <f>IFERROR(__xludf.DUMMYFUNCTION("""COMPUTED_VALUE"""),2099.0)</f>
        <v>2099</v>
      </c>
      <c r="D422" s="9" t="str">
        <f>IFERROR(__xludf.DUMMYFUNCTION("""COMPUTED_VALUE"""),"Completed")</f>
        <v>Completed</v>
      </c>
    </row>
    <row r="423">
      <c r="A423" s="9" t="str">
        <f>IFERROR(__xludf.DUMMYFUNCTION("""COMPUTED_VALUE"""),"G-REQ-00422")</f>
        <v>G-REQ-00422</v>
      </c>
      <c r="B423" s="11">
        <f>IFERROR(__xludf.DUMMYFUNCTION("""COMPUTED_VALUE"""),45791.34308214197)</f>
        <v>45791.34308</v>
      </c>
      <c r="C423" s="9">
        <f>IFERROR(__xludf.DUMMYFUNCTION("""COMPUTED_VALUE"""),2101.0)</f>
        <v>2101</v>
      </c>
      <c r="D423" s="9" t="str">
        <f>IFERROR(__xludf.DUMMYFUNCTION("""COMPUTED_VALUE"""),"Rejected")</f>
        <v>Rejected</v>
      </c>
    </row>
    <row r="424">
      <c r="A424" s="9" t="str">
        <f>IFERROR(__xludf.DUMMYFUNCTION("""COMPUTED_VALUE"""),"G-REQ-00423")</f>
        <v>G-REQ-00423</v>
      </c>
      <c r="B424" s="11">
        <f>IFERROR(__xludf.DUMMYFUNCTION("""COMPUTED_VALUE"""),45791.42120143182)</f>
        <v>45791.4212</v>
      </c>
      <c r="C424" s="9">
        <f>IFERROR(__xludf.DUMMYFUNCTION("""COMPUTED_VALUE"""),2105.0)</f>
        <v>2105</v>
      </c>
      <c r="D424" s="9" t="str">
        <f>IFERROR(__xludf.DUMMYFUNCTION("""COMPUTED_VALUE"""),"Completed")</f>
        <v>Completed</v>
      </c>
    </row>
    <row r="425">
      <c r="A425" s="9" t="str">
        <f>IFERROR(__xludf.DUMMYFUNCTION("""COMPUTED_VALUE"""),"G-REQ-00424")</f>
        <v>G-REQ-00424</v>
      </c>
      <c r="B425" s="11">
        <f>IFERROR(__xludf.DUMMYFUNCTION("""COMPUTED_VALUE"""),45791.49237627724)</f>
        <v>45791.49238</v>
      </c>
      <c r="C425" s="9">
        <f>IFERROR(__xludf.DUMMYFUNCTION("""COMPUTED_VALUE"""),2109.0)</f>
        <v>2109</v>
      </c>
      <c r="D425" s="9" t="str">
        <f>IFERROR(__xludf.DUMMYFUNCTION("""COMPUTED_VALUE"""),"Completed")</f>
        <v>Completed</v>
      </c>
    </row>
    <row r="426">
      <c r="A426" s="9" t="str">
        <f>IFERROR(__xludf.DUMMYFUNCTION("""COMPUTED_VALUE"""),"G-REQ-00425")</f>
        <v>G-REQ-00425</v>
      </c>
      <c r="B426" s="11">
        <f>IFERROR(__xludf.DUMMYFUNCTION("""COMPUTED_VALUE"""),45791.56355112266)</f>
        <v>45791.56355</v>
      </c>
      <c r="C426" s="9">
        <f>IFERROR(__xludf.DUMMYFUNCTION("""COMPUTED_VALUE"""),2113.0)</f>
        <v>2113</v>
      </c>
      <c r="D426" s="9" t="str">
        <f>IFERROR(__xludf.DUMMYFUNCTION("""COMPUTED_VALUE"""),"Completed")</f>
        <v>Completed</v>
      </c>
    </row>
    <row r="427">
      <c r="A427" s="9" t="str">
        <f>IFERROR(__xludf.DUMMYFUNCTION("""COMPUTED_VALUE"""),"G-REQ-00426")</f>
        <v>G-REQ-00426</v>
      </c>
      <c r="B427" s="11">
        <f>IFERROR(__xludf.DUMMYFUNCTION("""COMPUTED_VALUE"""),45791.63472596807)</f>
        <v>45791.63473</v>
      </c>
      <c r="C427" s="9">
        <f>IFERROR(__xludf.DUMMYFUNCTION("""COMPUTED_VALUE"""),2117.0)</f>
        <v>2117</v>
      </c>
      <c r="D427" s="9" t="str">
        <f>IFERROR(__xludf.DUMMYFUNCTION("""COMPUTED_VALUE"""),"Completed")</f>
        <v>Completed</v>
      </c>
    </row>
    <row r="428">
      <c r="A428" s="9" t="str">
        <f>IFERROR(__xludf.DUMMYFUNCTION("""COMPUTED_VALUE"""),"G-REQ-00427")</f>
        <v>G-REQ-00427</v>
      </c>
      <c r="B428" s="11">
        <f>IFERROR(__xludf.DUMMYFUNCTION("""COMPUTED_VALUE"""),45791.70590081348)</f>
        <v>45791.7059</v>
      </c>
      <c r="C428" s="9">
        <f>IFERROR(__xludf.DUMMYFUNCTION("""COMPUTED_VALUE"""),2121.0)</f>
        <v>2121</v>
      </c>
      <c r="D428" s="9" t="str">
        <f>IFERROR(__xludf.DUMMYFUNCTION("""COMPUTED_VALUE"""),"Completed")</f>
        <v>Completed</v>
      </c>
    </row>
    <row r="429">
      <c r="A429" s="9" t="str">
        <f>IFERROR(__xludf.DUMMYFUNCTION("""COMPUTED_VALUE"""),"G-REQ-00428")</f>
        <v>G-REQ-00428</v>
      </c>
      <c r="B429" s="11">
        <f>IFERROR(__xludf.DUMMYFUNCTION("""COMPUTED_VALUE"""),45791.7770756589)</f>
        <v>45791.77708</v>
      </c>
      <c r="C429" s="9">
        <f>IFERROR(__xludf.DUMMYFUNCTION("""COMPUTED_VALUE"""),2125.0)</f>
        <v>2125</v>
      </c>
      <c r="D429" s="9" t="str">
        <f>IFERROR(__xludf.DUMMYFUNCTION("""COMPUTED_VALUE"""),"Completed")</f>
        <v>Completed</v>
      </c>
    </row>
    <row r="430">
      <c r="A430" s="9" t="str">
        <f>IFERROR(__xludf.DUMMYFUNCTION("""COMPUTED_VALUE"""),"G-REQ-00429")</f>
        <v>G-REQ-00429</v>
      </c>
      <c r="B430" s="11">
        <f>IFERROR(__xludf.DUMMYFUNCTION("""COMPUTED_VALUE"""),45791.848250504314)</f>
        <v>45791.84825</v>
      </c>
      <c r="C430" s="9">
        <f>IFERROR(__xludf.DUMMYFUNCTION("""COMPUTED_VALUE"""),2129.0)</f>
        <v>2129</v>
      </c>
      <c r="D430" s="9" t="str">
        <f>IFERROR(__xludf.DUMMYFUNCTION("""COMPUTED_VALUE"""),"Completed")</f>
        <v>Completed</v>
      </c>
    </row>
    <row r="431">
      <c r="A431" s="9" t="str">
        <f>IFERROR(__xludf.DUMMYFUNCTION("""COMPUTED_VALUE"""),"G-REQ-00430")</f>
        <v>G-REQ-00430</v>
      </c>
      <c r="B431" s="11">
        <f>IFERROR(__xludf.DUMMYFUNCTION("""COMPUTED_VALUE"""),45791.919425349726)</f>
        <v>45791.91943</v>
      </c>
      <c r="C431" s="9">
        <f>IFERROR(__xludf.DUMMYFUNCTION("""COMPUTED_VALUE"""),2133.0)</f>
        <v>2133</v>
      </c>
      <c r="D431" s="9" t="str">
        <f>IFERROR(__xludf.DUMMYFUNCTION("""COMPUTED_VALUE"""),"Completed")</f>
        <v>Completed</v>
      </c>
    </row>
    <row r="432">
      <c r="A432" s="9" t="str">
        <f>IFERROR(__xludf.DUMMYFUNCTION("""COMPUTED_VALUE"""),"G-REQ-00431")</f>
        <v>G-REQ-00431</v>
      </c>
      <c r="B432" s="11">
        <f>IFERROR(__xludf.DUMMYFUNCTION("""COMPUTED_VALUE"""),45791.990600195146)</f>
        <v>45791.9906</v>
      </c>
      <c r="C432" s="9">
        <f>IFERROR(__xludf.DUMMYFUNCTION("""COMPUTED_VALUE"""),2137.0)</f>
        <v>2137</v>
      </c>
      <c r="D432" s="9" t="str">
        <f>IFERROR(__xludf.DUMMYFUNCTION("""COMPUTED_VALUE"""),"Completed")</f>
        <v>Completed</v>
      </c>
    </row>
    <row r="433">
      <c r="A433" s="9" t="str">
        <f>IFERROR(__xludf.DUMMYFUNCTION("""COMPUTED_VALUE"""),"G-REQ-00432")</f>
        <v>G-REQ-00432</v>
      </c>
      <c r="B433" s="11">
        <f>IFERROR(__xludf.DUMMYFUNCTION("""COMPUTED_VALUE"""),45792.061775040565)</f>
        <v>45792.06178</v>
      </c>
      <c r="C433" s="9">
        <f>IFERROR(__xludf.DUMMYFUNCTION("""COMPUTED_VALUE"""),2141.0)</f>
        <v>2141</v>
      </c>
      <c r="D433" s="9" t="str">
        <f>IFERROR(__xludf.DUMMYFUNCTION("""COMPUTED_VALUE"""),"Completed")</f>
        <v>Completed</v>
      </c>
    </row>
    <row r="434">
      <c r="A434" s="9" t="str">
        <f>IFERROR(__xludf.DUMMYFUNCTION("""COMPUTED_VALUE"""),"G-REQ-00433")</f>
        <v>G-REQ-00433</v>
      </c>
      <c r="B434" s="11">
        <f>IFERROR(__xludf.DUMMYFUNCTION("""COMPUTED_VALUE"""),45792.13294988597)</f>
        <v>45792.13295</v>
      </c>
      <c r="C434" s="9">
        <f>IFERROR(__xludf.DUMMYFUNCTION("""COMPUTED_VALUE"""),2145.0)</f>
        <v>2145</v>
      </c>
      <c r="D434" s="9" t="str">
        <f>IFERROR(__xludf.DUMMYFUNCTION("""COMPUTED_VALUE"""),"Completed")</f>
        <v>Completed</v>
      </c>
    </row>
    <row r="435">
      <c r="A435" s="9" t="str">
        <f>IFERROR(__xludf.DUMMYFUNCTION("""COMPUTED_VALUE"""),"G-REQ-00434")</f>
        <v>G-REQ-00434</v>
      </c>
      <c r="B435" s="11">
        <f>IFERROR(__xludf.DUMMYFUNCTION("""COMPUTED_VALUE"""),45792.20412473139)</f>
        <v>45792.20412</v>
      </c>
      <c r="C435" s="9">
        <f>IFERROR(__xludf.DUMMYFUNCTION("""COMPUTED_VALUE"""),2149.0)</f>
        <v>2149</v>
      </c>
      <c r="D435" s="9" t="str">
        <f>IFERROR(__xludf.DUMMYFUNCTION("""COMPUTED_VALUE"""),"Completed")</f>
        <v>Completed</v>
      </c>
    </row>
    <row r="436">
      <c r="A436" s="9" t="str">
        <f>IFERROR(__xludf.DUMMYFUNCTION("""COMPUTED_VALUE"""),"G-REQ-00435")</f>
        <v>G-REQ-00435</v>
      </c>
      <c r="B436" s="11">
        <f>IFERROR(__xludf.DUMMYFUNCTION("""COMPUTED_VALUE"""),45792.2752995768)</f>
        <v>45792.2753</v>
      </c>
      <c r="C436" s="9">
        <f>IFERROR(__xludf.DUMMYFUNCTION("""COMPUTED_VALUE"""),2153.0)</f>
        <v>2153</v>
      </c>
      <c r="D436" s="9" t="str">
        <f>IFERROR(__xludf.DUMMYFUNCTION("""COMPUTED_VALUE"""),"Completed")</f>
        <v>Completed</v>
      </c>
    </row>
    <row r="437">
      <c r="A437" s="9" t="str">
        <f>IFERROR(__xludf.DUMMYFUNCTION("""COMPUTED_VALUE"""),"G-REQ-00436")</f>
        <v>G-REQ-00436</v>
      </c>
      <c r="B437" s="11">
        <f>IFERROR(__xludf.DUMMYFUNCTION("""COMPUTED_VALUE"""),45792.34647442222)</f>
        <v>45792.34647</v>
      </c>
      <c r="C437" s="9">
        <f>IFERROR(__xludf.DUMMYFUNCTION("""COMPUTED_VALUE"""),2157.0)</f>
        <v>2157</v>
      </c>
      <c r="D437" s="9" t="str">
        <f>IFERROR(__xludf.DUMMYFUNCTION("""COMPUTED_VALUE"""),"Completed")</f>
        <v>Completed</v>
      </c>
    </row>
    <row r="438">
      <c r="A438" s="9" t="str">
        <f>IFERROR(__xludf.DUMMYFUNCTION("""COMPUTED_VALUE"""),"G-REQ-00437")</f>
        <v>G-REQ-00437</v>
      </c>
      <c r="B438" s="11">
        <f>IFERROR(__xludf.DUMMYFUNCTION("""COMPUTED_VALUE"""),45792.417649267634)</f>
        <v>45792.41765</v>
      </c>
      <c r="C438" s="9">
        <f>IFERROR(__xludf.DUMMYFUNCTION("""COMPUTED_VALUE"""),2161.0)</f>
        <v>2161</v>
      </c>
      <c r="D438" s="9" t="str">
        <f>IFERROR(__xludf.DUMMYFUNCTION("""COMPUTED_VALUE"""),"Completed")</f>
        <v>Completed</v>
      </c>
    </row>
    <row r="439">
      <c r="A439" s="9" t="str">
        <f>IFERROR(__xludf.DUMMYFUNCTION("""COMPUTED_VALUE"""),"G-REQ-00438")</f>
        <v>G-REQ-00438</v>
      </c>
      <c r="B439" s="11">
        <f>IFERROR(__xludf.DUMMYFUNCTION("""COMPUTED_VALUE"""),45792.488824113054)</f>
        <v>45792.48882</v>
      </c>
      <c r="C439" s="9">
        <f>IFERROR(__xludf.DUMMYFUNCTION("""COMPUTED_VALUE"""),2165.0)</f>
        <v>2165</v>
      </c>
      <c r="D439" s="9" t="str">
        <f>IFERROR(__xludf.DUMMYFUNCTION("""COMPUTED_VALUE"""),"Completed")</f>
        <v>Completed</v>
      </c>
    </row>
    <row r="440">
      <c r="A440" s="9" t="str">
        <f>IFERROR(__xludf.DUMMYFUNCTION("""COMPUTED_VALUE"""),"G-REQ-00439")</f>
        <v>G-REQ-00439</v>
      </c>
      <c r="B440" s="11">
        <f>IFERROR(__xludf.DUMMYFUNCTION("""COMPUTED_VALUE"""),45792.55999895846)</f>
        <v>45792.56</v>
      </c>
      <c r="C440" s="9">
        <f>IFERROR(__xludf.DUMMYFUNCTION("""COMPUTED_VALUE"""),2169.0)</f>
        <v>2169</v>
      </c>
      <c r="D440" s="9" t="str">
        <f>IFERROR(__xludf.DUMMYFUNCTION("""COMPUTED_VALUE"""),"Completed")</f>
        <v>Completed</v>
      </c>
    </row>
    <row r="441">
      <c r="A441" s="9" t="str">
        <f>IFERROR(__xludf.DUMMYFUNCTION("""COMPUTED_VALUE"""),"G-REQ-00440")</f>
        <v>G-REQ-00440</v>
      </c>
      <c r="B441" s="11">
        <f>IFERROR(__xludf.DUMMYFUNCTION("""COMPUTED_VALUE"""),45792.63117380388)</f>
        <v>45792.63117</v>
      </c>
      <c r="C441" s="9">
        <f>IFERROR(__xludf.DUMMYFUNCTION("""COMPUTED_VALUE"""),2173.0)</f>
        <v>2173</v>
      </c>
      <c r="D441" s="9" t="str">
        <f>IFERROR(__xludf.DUMMYFUNCTION("""COMPUTED_VALUE"""),"Completed")</f>
        <v>Completed</v>
      </c>
    </row>
    <row r="442">
      <c r="A442" s="9" t="str">
        <f>IFERROR(__xludf.DUMMYFUNCTION("""COMPUTED_VALUE"""),"G-REQ-00441")</f>
        <v>G-REQ-00441</v>
      </c>
      <c r="B442" s="11">
        <f>IFERROR(__xludf.DUMMYFUNCTION("""COMPUTED_VALUE"""),45792.69540420485)</f>
        <v>45792.6954</v>
      </c>
      <c r="C442" s="9">
        <f>IFERROR(__xludf.DUMMYFUNCTION("""COMPUTED_VALUE"""),2175.0)</f>
        <v>2175</v>
      </c>
      <c r="D442" s="9" t="str">
        <f>IFERROR(__xludf.DUMMYFUNCTION("""COMPUTED_VALUE"""),"Rejected")</f>
        <v>Rejected</v>
      </c>
    </row>
    <row r="443">
      <c r="A443" s="9" t="str">
        <f>IFERROR(__xludf.DUMMYFUNCTION("""COMPUTED_VALUE"""),"G-REQ-00442")</f>
        <v>G-REQ-00442</v>
      </c>
      <c r="B443" s="11">
        <f>IFERROR(__xludf.DUMMYFUNCTION("""COMPUTED_VALUE"""),45792.77352349471)</f>
        <v>45792.77352</v>
      </c>
      <c r="C443" s="9">
        <f>IFERROR(__xludf.DUMMYFUNCTION("""COMPUTED_VALUE"""),2179.0)</f>
        <v>2179</v>
      </c>
      <c r="D443" s="9" t="str">
        <f>IFERROR(__xludf.DUMMYFUNCTION("""COMPUTED_VALUE"""),"Completed")</f>
        <v>Completed</v>
      </c>
    </row>
    <row r="444">
      <c r="A444" s="9" t="str">
        <f>IFERROR(__xludf.DUMMYFUNCTION("""COMPUTED_VALUE"""),"G-REQ-00443")</f>
        <v>G-REQ-00443</v>
      </c>
      <c r="B444" s="11">
        <f>IFERROR(__xludf.DUMMYFUNCTION("""COMPUTED_VALUE"""),45792.84469834012)</f>
        <v>45792.8447</v>
      </c>
      <c r="C444" s="9">
        <f>IFERROR(__xludf.DUMMYFUNCTION("""COMPUTED_VALUE"""),2183.0)</f>
        <v>2183</v>
      </c>
      <c r="D444" s="9" t="str">
        <f>IFERROR(__xludf.DUMMYFUNCTION("""COMPUTED_VALUE"""),"Completed")</f>
        <v>Completed</v>
      </c>
    </row>
    <row r="445">
      <c r="A445" s="9" t="str">
        <f>IFERROR(__xludf.DUMMYFUNCTION("""COMPUTED_VALUE"""),"G-REQ-00444")</f>
        <v>G-REQ-00444</v>
      </c>
      <c r="B445" s="11">
        <f>IFERROR(__xludf.DUMMYFUNCTION("""COMPUTED_VALUE"""),45792.91587318554)</f>
        <v>45792.91587</v>
      </c>
      <c r="C445" s="9">
        <f>IFERROR(__xludf.DUMMYFUNCTION("""COMPUTED_VALUE"""),2187.0)</f>
        <v>2187</v>
      </c>
      <c r="D445" s="9" t="str">
        <f>IFERROR(__xludf.DUMMYFUNCTION("""COMPUTED_VALUE"""),"Completed")</f>
        <v>Completed</v>
      </c>
    </row>
    <row r="446">
      <c r="A446" s="9" t="str">
        <f>IFERROR(__xludf.DUMMYFUNCTION("""COMPUTED_VALUE"""),"G-REQ-00445")</f>
        <v>G-REQ-00445</v>
      </c>
      <c r="B446" s="11">
        <f>IFERROR(__xludf.DUMMYFUNCTION("""COMPUTED_VALUE"""),45792.987048030955)</f>
        <v>45792.98705</v>
      </c>
      <c r="C446" s="9">
        <f>IFERROR(__xludf.DUMMYFUNCTION("""COMPUTED_VALUE"""),2191.0)</f>
        <v>2191</v>
      </c>
      <c r="D446" s="9" t="str">
        <f>IFERROR(__xludf.DUMMYFUNCTION("""COMPUTED_VALUE"""),"Completed")</f>
        <v>Completed</v>
      </c>
    </row>
    <row r="447">
      <c r="A447" s="9" t="str">
        <f>IFERROR(__xludf.DUMMYFUNCTION("""COMPUTED_VALUE"""),"G-REQ-00446")</f>
        <v>G-REQ-00446</v>
      </c>
      <c r="B447" s="11">
        <f>IFERROR(__xludf.DUMMYFUNCTION("""COMPUTED_VALUE"""),45793.05822287637)</f>
        <v>45793.05822</v>
      </c>
      <c r="C447" s="9">
        <f>IFERROR(__xludf.DUMMYFUNCTION("""COMPUTED_VALUE"""),2195.0)</f>
        <v>2195</v>
      </c>
      <c r="D447" s="9" t="str">
        <f>IFERROR(__xludf.DUMMYFUNCTION("""COMPUTED_VALUE"""),"Completed")</f>
        <v>Completed</v>
      </c>
    </row>
    <row r="448">
      <c r="A448" s="9" t="str">
        <f>IFERROR(__xludf.DUMMYFUNCTION("""COMPUTED_VALUE"""),"G-REQ-00447")</f>
        <v>G-REQ-00447</v>
      </c>
      <c r="B448" s="11">
        <f>IFERROR(__xludf.DUMMYFUNCTION("""COMPUTED_VALUE"""),45793.12939772179)</f>
        <v>45793.1294</v>
      </c>
      <c r="C448" s="9">
        <f>IFERROR(__xludf.DUMMYFUNCTION("""COMPUTED_VALUE"""),2199.0)</f>
        <v>2199</v>
      </c>
      <c r="D448" s="9" t="str">
        <f>IFERROR(__xludf.DUMMYFUNCTION("""COMPUTED_VALUE"""),"Completed")</f>
        <v>Completed</v>
      </c>
    </row>
    <row r="449">
      <c r="A449" s="9" t="str">
        <f>IFERROR(__xludf.DUMMYFUNCTION("""COMPUTED_VALUE"""),"G-REQ-00448")</f>
        <v>G-REQ-00448</v>
      </c>
      <c r="B449" s="11">
        <f>IFERROR(__xludf.DUMMYFUNCTION("""COMPUTED_VALUE"""),45793.19362812276)</f>
        <v>45793.19363</v>
      </c>
      <c r="C449" s="9">
        <f>IFERROR(__xludf.DUMMYFUNCTION("""COMPUTED_VALUE"""),2201.0)</f>
        <v>2201</v>
      </c>
      <c r="D449" s="9" t="str">
        <f>IFERROR(__xludf.DUMMYFUNCTION("""COMPUTED_VALUE"""),"Rejected")</f>
        <v>Rejected</v>
      </c>
    </row>
    <row r="450">
      <c r="A450" s="9" t="str">
        <f>IFERROR(__xludf.DUMMYFUNCTION("""COMPUTED_VALUE"""),"G-REQ-00449")</f>
        <v>G-REQ-00449</v>
      </c>
      <c r="B450" s="11">
        <f>IFERROR(__xludf.DUMMYFUNCTION("""COMPUTED_VALUE"""),45793.27174741261)</f>
        <v>45793.27175</v>
      </c>
      <c r="C450" s="9">
        <f>IFERROR(__xludf.DUMMYFUNCTION("""COMPUTED_VALUE"""),2205.0)</f>
        <v>2205</v>
      </c>
      <c r="D450" s="9" t="str">
        <f>IFERROR(__xludf.DUMMYFUNCTION("""COMPUTED_VALUE"""),"Completed")</f>
        <v>Completed</v>
      </c>
    </row>
    <row r="451">
      <c r="A451" s="9" t="str">
        <f>IFERROR(__xludf.DUMMYFUNCTION("""COMPUTED_VALUE"""),"G-REQ-00450")</f>
        <v>G-REQ-00450</v>
      </c>
      <c r="B451" s="11">
        <f>IFERROR(__xludf.DUMMYFUNCTION("""COMPUTED_VALUE"""),45793.34292225803)</f>
        <v>45793.34292</v>
      </c>
      <c r="C451" s="9">
        <f>IFERROR(__xludf.DUMMYFUNCTION("""COMPUTED_VALUE"""),2209.0)</f>
        <v>2209</v>
      </c>
      <c r="D451" s="9" t="str">
        <f>IFERROR(__xludf.DUMMYFUNCTION("""COMPUTED_VALUE"""),"Completed")</f>
        <v>Completed</v>
      </c>
    </row>
    <row r="452">
      <c r="A452" s="9" t="str">
        <f>IFERROR(__xludf.DUMMYFUNCTION("""COMPUTED_VALUE"""),"G-REQ-00451")</f>
        <v>G-REQ-00451</v>
      </c>
      <c r="B452" s="11">
        <f>IFERROR(__xludf.DUMMYFUNCTION("""COMPUTED_VALUE"""),45793.41409710345)</f>
        <v>45793.4141</v>
      </c>
      <c r="C452" s="9">
        <f>IFERROR(__xludf.DUMMYFUNCTION("""COMPUTED_VALUE"""),2213.0)</f>
        <v>2213</v>
      </c>
      <c r="D452" s="9" t="str">
        <f>IFERROR(__xludf.DUMMYFUNCTION("""COMPUTED_VALUE"""),"Completed")</f>
        <v>Completed</v>
      </c>
    </row>
    <row r="453">
      <c r="A453" s="9" t="str">
        <f>IFERROR(__xludf.DUMMYFUNCTION("""COMPUTED_VALUE"""),"G-REQ-00452")</f>
        <v>G-REQ-00452</v>
      </c>
      <c r="B453" s="11">
        <f>IFERROR(__xludf.DUMMYFUNCTION("""COMPUTED_VALUE"""),45793.48527194886)</f>
        <v>45793.48527</v>
      </c>
      <c r="C453" s="9">
        <f>IFERROR(__xludf.DUMMYFUNCTION("""COMPUTED_VALUE"""),2217.0)</f>
        <v>2217</v>
      </c>
      <c r="D453" s="9" t="str">
        <f>IFERROR(__xludf.DUMMYFUNCTION("""COMPUTED_VALUE"""),"Completed")</f>
        <v>Completed</v>
      </c>
    </row>
    <row r="454">
      <c r="A454" s="9" t="str">
        <f>IFERROR(__xludf.DUMMYFUNCTION("""COMPUTED_VALUE"""),"G-REQ-00453")</f>
        <v>G-REQ-00453</v>
      </c>
      <c r="B454" s="11">
        <f>IFERROR(__xludf.DUMMYFUNCTION("""COMPUTED_VALUE"""),45793.556446794275)</f>
        <v>45793.55645</v>
      </c>
      <c r="C454" s="9">
        <f>IFERROR(__xludf.DUMMYFUNCTION("""COMPUTED_VALUE"""),2221.0)</f>
        <v>2221</v>
      </c>
      <c r="D454" s="9" t="str">
        <f>IFERROR(__xludf.DUMMYFUNCTION("""COMPUTED_VALUE"""),"Completed")</f>
        <v>Completed</v>
      </c>
    </row>
    <row r="455">
      <c r="A455" s="9" t="str">
        <f>IFERROR(__xludf.DUMMYFUNCTION("""COMPUTED_VALUE"""),"G-REQ-00454")</f>
        <v>G-REQ-00454</v>
      </c>
      <c r="B455" s="11">
        <f>IFERROR(__xludf.DUMMYFUNCTION("""COMPUTED_VALUE"""),45793.627621639695)</f>
        <v>45793.62762</v>
      </c>
      <c r="C455" s="9">
        <f>IFERROR(__xludf.DUMMYFUNCTION("""COMPUTED_VALUE"""),2225.0)</f>
        <v>2225</v>
      </c>
      <c r="D455" s="9" t="str">
        <f>IFERROR(__xludf.DUMMYFUNCTION("""COMPUTED_VALUE"""),"Completed")</f>
        <v>Completed</v>
      </c>
    </row>
    <row r="456">
      <c r="A456" s="9" t="str">
        <f>IFERROR(__xludf.DUMMYFUNCTION("""COMPUTED_VALUE"""),"G-REQ-00455")</f>
        <v>G-REQ-00455</v>
      </c>
      <c r="B456" s="11">
        <f>IFERROR(__xludf.DUMMYFUNCTION("""COMPUTED_VALUE"""),45793.69185204066)</f>
        <v>45793.69185</v>
      </c>
      <c r="C456" s="9">
        <f>IFERROR(__xludf.DUMMYFUNCTION("""COMPUTED_VALUE"""),2227.0)</f>
        <v>2227</v>
      </c>
      <c r="D456" s="9" t="str">
        <f>IFERROR(__xludf.DUMMYFUNCTION("""COMPUTED_VALUE"""),"Rejected")</f>
        <v>Rejected</v>
      </c>
    </row>
    <row r="457">
      <c r="A457" s="9" t="str">
        <f>IFERROR(__xludf.DUMMYFUNCTION("""COMPUTED_VALUE"""),"G-REQ-00456")</f>
        <v>G-REQ-00456</v>
      </c>
      <c r="B457" s="11">
        <f>IFERROR(__xludf.DUMMYFUNCTION("""COMPUTED_VALUE"""),45793.76997133052)</f>
        <v>45793.76997</v>
      </c>
      <c r="C457" s="9">
        <f>IFERROR(__xludf.DUMMYFUNCTION("""COMPUTED_VALUE"""),2231.0)</f>
        <v>2231</v>
      </c>
      <c r="D457" s="9" t="str">
        <f>IFERROR(__xludf.DUMMYFUNCTION("""COMPUTED_VALUE"""),"Completed")</f>
        <v>Completed</v>
      </c>
    </row>
    <row r="458">
      <c r="A458" s="9" t="str">
        <f>IFERROR(__xludf.DUMMYFUNCTION("""COMPUTED_VALUE"""),"G-REQ-00457")</f>
        <v>G-REQ-00457</v>
      </c>
      <c r="B458" s="11">
        <f>IFERROR(__xludf.DUMMYFUNCTION("""COMPUTED_VALUE"""),45793.84114617594)</f>
        <v>45793.84115</v>
      </c>
      <c r="C458" s="9">
        <f>IFERROR(__xludf.DUMMYFUNCTION("""COMPUTED_VALUE"""),2235.0)</f>
        <v>2235</v>
      </c>
      <c r="D458" s="9" t="str">
        <f>IFERROR(__xludf.DUMMYFUNCTION("""COMPUTED_VALUE"""),"Completed")</f>
        <v>Completed</v>
      </c>
    </row>
    <row r="459">
      <c r="A459" s="9" t="str">
        <f>IFERROR(__xludf.DUMMYFUNCTION("""COMPUTED_VALUE"""),"G-REQ-00458")</f>
        <v>G-REQ-00458</v>
      </c>
      <c r="B459" s="11">
        <f>IFERROR(__xludf.DUMMYFUNCTION("""COMPUTED_VALUE"""),45793.91232102135)</f>
        <v>45793.91232</v>
      </c>
      <c r="C459" s="9">
        <f>IFERROR(__xludf.DUMMYFUNCTION("""COMPUTED_VALUE"""),2239.0)</f>
        <v>2239</v>
      </c>
      <c r="D459" s="9" t="str">
        <f>IFERROR(__xludf.DUMMYFUNCTION("""COMPUTED_VALUE"""),"Completed")</f>
        <v>Completed</v>
      </c>
    </row>
    <row r="460">
      <c r="A460" s="9" t="str">
        <f>IFERROR(__xludf.DUMMYFUNCTION("""COMPUTED_VALUE"""),"G-REQ-00459")</f>
        <v>G-REQ-00459</v>
      </c>
      <c r="B460" s="11">
        <f>IFERROR(__xludf.DUMMYFUNCTION("""COMPUTED_VALUE"""),45793.98349586676)</f>
        <v>45793.9835</v>
      </c>
      <c r="C460" s="9">
        <f>IFERROR(__xludf.DUMMYFUNCTION("""COMPUTED_VALUE"""),2243.0)</f>
        <v>2243</v>
      </c>
      <c r="D460" s="9" t="str">
        <f>IFERROR(__xludf.DUMMYFUNCTION("""COMPUTED_VALUE"""),"Completed")</f>
        <v>Completed</v>
      </c>
    </row>
    <row r="461">
      <c r="A461" s="9" t="str">
        <f>IFERROR(__xludf.DUMMYFUNCTION("""COMPUTED_VALUE"""),"G-REQ-00460")</f>
        <v>G-REQ-00460</v>
      </c>
      <c r="B461" s="11">
        <f>IFERROR(__xludf.DUMMYFUNCTION("""COMPUTED_VALUE"""),45794.05467071218)</f>
        <v>45794.05467</v>
      </c>
      <c r="C461" s="9">
        <f>IFERROR(__xludf.DUMMYFUNCTION("""COMPUTED_VALUE"""),2247.0)</f>
        <v>2247</v>
      </c>
      <c r="D461" s="9" t="str">
        <f>IFERROR(__xludf.DUMMYFUNCTION("""COMPUTED_VALUE"""),"Completed")</f>
        <v>Completed</v>
      </c>
    </row>
    <row r="462">
      <c r="A462" s="9" t="str">
        <f>IFERROR(__xludf.DUMMYFUNCTION("""COMPUTED_VALUE"""),"G-REQ-00461")</f>
        <v>G-REQ-00461</v>
      </c>
      <c r="B462" s="11">
        <f>IFERROR(__xludf.DUMMYFUNCTION("""COMPUTED_VALUE"""),45794.125845557595)</f>
        <v>45794.12585</v>
      </c>
      <c r="C462" s="9">
        <f>IFERROR(__xludf.DUMMYFUNCTION("""COMPUTED_VALUE"""),2251.0)</f>
        <v>2251</v>
      </c>
      <c r="D462" s="9" t="str">
        <f>IFERROR(__xludf.DUMMYFUNCTION("""COMPUTED_VALUE"""),"Completed")</f>
        <v>Completed</v>
      </c>
    </row>
    <row r="463">
      <c r="A463" s="9" t="str">
        <f>IFERROR(__xludf.DUMMYFUNCTION("""COMPUTED_VALUE"""),"G-REQ-00462")</f>
        <v>G-REQ-00462</v>
      </c>
      <c r="B463" s="11">
        <f>IFERROR(__xludf.DUMMYFUNCTION("""COMPUTED_VALUE"""),45794.197020403015)</f>
        <v>45794.19702</v>
      </c>
      <c r="C463" s="9">
        <f>IFERROR(__xludf.DUMMYFUNCTION("""COMPUTED_VALUE"""),2255.0)</f>
        <v>2255</v>
      </c>
      <c r="D463" s="9" t="str">
        <f>IFERROR(__xludf.DUMMYFUNCTION("""COMPUTED_VALUE"""),"Completed")</f>
        <v>Completed</v>
      </c>
    </row>
    <row r="464">
      <c r="A464" s="9" t="str">
        <f>IFERROR(__xludf.DUMMYFUNCTION("""COMPUTED_VALUE"""),"G-REQ-00463")</f>
        <v>G-REQ-00463</v>
      </c>
      <c r="B464" s="11">
        <f>IFERROR(__xludf.DUMMYFUNCTION("""COMPUTED_VALUE"""),45794.26819524843)</f>
        <v>45794.2682</v>
      </c>
      <c r="C464" s="9">
        <f>IFERROR(__xludf.DUMMYFUNCTION("""COMPUTED_VALUE"""),2259.0)</f>
        <v>2259</v>
      </c>
      <c r="D464" s="9" t="str">
        <f>IFERROR(__xludf.DUMMYFUNCTION("""COMPUTED_VALUE"""),"Completed")</f>
        <v>Completed</v>
      </c>
    </row>
    <row r="465">
      <c r="A465" s="9" t="str">
        <f>IFERROR(__xludf.DUMMYFUNCTION("""COMPUTED_VALUE"""),"G-REQ-00464")</f>
        <v>G-REQ-00464</v>
      </c>
      <c r="B465" s="11">
        <f>IFERROR(__xludf.DUMMYFUNCTION("""COMPUTED_VALUE"""),45794.3324256494)</f>
        <v>45794.33243</v>
      </c>
      <c r="C465" s="9">
        <f>IFERROR(__xludf.DUMMYFUNCTION("""COMPUTED_VALUE"""),2261.0)</f>
        <v>2261</v>
      </c>
      <c r="D465" s="9" t="str">
        <f>IFERROR(__xludf.DUMMYFUNCTION("""COMPUTED_VALUE"""),"Cancelled")</f>
        <v>Cancelled</v>
      </c>
    </row>
    <row r="466">
      <c r="A466" s="9" t="str">
        <f>IFERROR(__xludf.DUMMYFUNCTION("""COMPUTED_VALUE"""),"G-REQ-00465")</f>
        <v>G-REQ-00465</v>
      </c>
      <c r="B466" s="11">
        <f>IFERROR(__xludf.DUMMYFUNCTION("""COMPUTED_VALUE"""),45794.41054493925)</f>
        <v>45794.41054</v>
      </c>
      <c r="C466" s="9">
        <f>IFERROR(__xludf.DUMMYFUNCTION("""COMPUTED_VALUE"""),2265.0)</f>
        <v>2265</v>
      </c>
      <c r="D466" s="9" t="str">
        <f>IFERROR(__xludf.DUMMYFUNCTION("""COMPUTED_VALUE"""),"Completed")</f>
        <v>Completed</v>
      </c>
    </row>
    <row r="467">
      <c r="A467" s="9" t="str">
        <f>IFERROR(__xludf.DUMMYFUNCTION("""COMPUTED_VALUE"""),"G-REQ-00466")</f>
        <v>G-REQ-00466</v>
      </c>
      <c r="B467" s="11">
        <f>IFERROR(__xludf.DUMMYFUNCTION("""COMPUTED_VALUE"""),45794.48171978467)</f>
        <v>45794.48172</v>
      </c>
      <c r="C467" s="9">
        <f>IFERROR(__xludf.DUMMYFUNCTION("""COMPUTED_VALUE"""),2269.0)</f>
        <v>2269</v>
      </c>
      <c r="D467" s="9" t="str">
        <f>IFERROR(__xludf.DUMMYFUNCTION("""COMPUTED_VALUE"""),"Completed")</f>
        <v>Completed</v>
      </c>
    </row>
    <row r="468">
      <c r="A468" s="9" t="str">
        <f>IFERROR(__xludf.DUMMYFUNCTION("""COMPUTED_VALUE"""),"G-REQ-00467")</f>
        <v>G-REQ-00467</v>
      </c>
      <c r="B468" s="11">
        <f>IFERROR(__xludf.DUMMYFUNCTION("""COMPUTED_VALUE"""),45794.55289463009)</f>
        <v>45794.55289</v>
      </c>
      <c r="C468" s="9">
        <f>IFERROR(__xludf.DUMMYFUNCTION("""COMPUTED_VALUE"""),2273.0)</f>
        <v>2273</v>
      </c>
      <c r="D468" s="9" t="str">
        <f>IFERROR(__xludf.DUMMYFUNCTION("""COMPUTED_VALUE"""),"Completed")</f>
        <v>Completed</v>
      </c>
    </row>
    <row r="469">
      <c r="A469" s="9" t="str">
        <f>IFERROR(__xludf.DUMMYFUNCTION("""COMPUTED_VALUE"""),"G-REQ-00468")</f>
        <v>G-REQ-00468</v>
      </c>
      <c r="B469" s="11">
        <f>IFERROR(__xludf.DUMMYFUNCTION("""COMPUTED_VALUE"""),45794.6240694755)</f>
        <v>45794.62407</v>
      </c>
      <c r="C469" s="9">
        <f>IFERROR(__xludf.DUMMYFUNCTION("""COMPUTED_VALUE"""),2277.0)</f>
        <v>2277</v>
      </c>
      <c r="D469" s="9" t="str">
        <f>IFERROR(__xludf.DUMMYFUNCTION("""COMPUTED_VALUE"""),"Completed")</f>
        <v>Completed</v>
      </c>
    </row>
    <row r="470">
      <c r="A470" s="9" t="str">
        <f>IFERROR(__xludf.DUMMYFUNCTION("""COMPUTED_VALUE"""),"G-REQ-00469")</f>
        <v>G-REQ-00469</v>
      </c>
      <c r="B470" s="11">
        <f>IFERROR(__xludf.DUMMYFUNCTION("""COMPUTED_VALUE"""),45794.695244320916)</f>
        <v>45794.69524</v>
      </c>
      <c r="C470" s="9">
        <f>IFERROR(__xludf.DUMMYFUNCTION("""COMPUTED_VALUE"""),2281.0)</f>
        <v>2281</v>
      </c>
      <c r="D470" s="9" t="str">
        <f>IFERROR(__xludf.DUMMYFUNCTION("""COMPUTED_VALUE"""),"Completed")</f>
        <v>Completed</v>
      </c>
    </row>
    <row r="471">
      <c r="A471" s="9" t="str">
        <f>IFERROR(__xludf.DUMMYFUNCTION("""COMPUTED_VALUE"""),"G-REQ-00470")</f>
        <v>G-REQ-00470</v>
      </c>
      <c r="B471" s="11">
        <f>IFERROR(__xludf.DUMMYFUNCTION("""COMPUTED_VALUE"""),45794.766419166335)</f>
        <v>45794.76642</v>
      </c>
      <c r="C471" s="9">
        <f>IFERROR(__xludf.DUMMYFUNCTION("""COMPUTED_VALUE"""),2285.0)</f>
        <v>2285</v>
      </c>
      <c r="D471" s="9" t="str">
        <f>IFERROR(__xludf.DUMMYFUNCTION("""COMPUTED_VALUE"""),"Completed")</f>
        <v>Completed</v>
      </c>
    </row>
    <row r="472">
      <c r="A472" s="9" t="str">
        <f>IFERROR(__xludf.DUMMYFUNCTION("""COMPUTED_VALUE"""),"G-REQ-00471")</f>
        <v>G-REQ-00471</v>
      </c>
      <c r="B472" s="11">
        <f>IFERROR(__xludf.DUMMYFUNCTION("""COMPUTED_VALUE"""),45794.8306495673)</f>
        <v>45794.83065</v>
      </c>
      <c r="C472" s="9">
        <f>IFERROR(__xludf.DUMMYFUNCTION("""COMPUTED_VALUE"""),2287.0)</f>
        <v>2287</v>
      </c>
      <c r="D472" s="9" t="str">
        <f>IFERROR(__xludf.DUMMYFUNCTION("""COMPUTED_VALUE"""),"Cancelled")</f>
        <v>Cancelled</v>
      </c>
    </row>
    <row r="473">
      <c r="A473" s="9" t="str">
        <f>IFERROR(__xludf.DUMMYFUNCTION("""COMPUTED_VALUE"""),"G-REQ-00472")</f>
        <v>G-REQ-00472</v>
      </c>
      <c r="B473" s="11">
        <f>IFERROR(__xludf.DUMMYFUNCTION("""COMPUTED_VALUE"""),45794.90876885716)</f>
        <v>45794.90877</v>
      </c>
      <c r="C473" s="9">
        <f>IFERROR(__xludf.DUMMYFUNCTION("""COMPUTED_VALUE"""),2291.0)</f>
        <v>2291</v>
      </c>
      <c r="D473" s="9" t="str">
        <f>IFERROR(__xludf.DUMMYFUNCTION("""COMPUTED_VALUE"""),"Completed")</f>
        <v>Completed</v>
      </c>
    </row>
    <row r="474">
      <c r="A474" s="9" t="str">
        <f>IFERROR(__xludf.DUMMYFUNCTION("""COMPUTED_VALUE"""),"G-REQ-00473")</f>
        <v>G-REQ-00473</v>
      </c>
      <c r="B474" s="11">
        <f>IFERROR(__xludf.DUMMYFUNCTION("""COMPUTED_VALUE"""),45794.97994370258)</f>
        <v>45794.97994</v>
      </c>
      <c r="C474" s="9">
        <f>IFERROR(__xludf.DUMMYFUNCTION("""COMPUTED_VALUE"""),2295.0)</f>
        <v>2295</v>
      </c>
      <c r="D474" s="9" t="str">
        <f>IFERROR(__xludf.DUMMYFUNCTION("""COMPUTED_VALUE"""),"Completed")</f>
        <v>Completed</v>
      </c>
    </row>
    <row r="475">
      <c r="A475" s="9" t="str">
        <f>IFERROR(__xludf.DUMMYFUNCTION("""COMPUTED_VALUE"""),"G-REQ-00474")</f>
        <v>G-REQ-00474</v>
      </c>
      <c r="B475" s="11">
        <f>IFERROR(__xludf.DUMMYFUNCTION("""COMPUTED_VALUE"""),45795.044174103554)</f>
        <v>45795.04417</v>
      </c>
      <c r="C475" s="9">
        <f>IFERROR(__xludf.DUMMYFUNCTION("""COMPUTED_VALUE"""),2297.0)</f>
        <v>2297</v>
      </c>
      <c r="D475" s="9" t="str">
        <f>IFERROR(__xludf.DUMMYFUNCTION("""COMPUTED_VALUE"""),"Rejected")</f>
        <v>Rejected</v>
      </c>
    </row>
    <row r="476">
      <c r="A476" s="9" t="str">
        <f>IFERROR(__xludf.DUMMYFUNCTION("""COMPUTED_VALUE"""),"G-REQ-00475")</f>
        <v>G-REQ-00475</v>
      </c>
      <c r="B476" s="11">
        <f>IFERROR(__xludf.DUMMYFUNCTION("""COMPUTED_VALUE"""),45795.122293393404)</f>
        <v>45795.12229</v>
      </c>
      <c r="C476" s="9">
        <f>IFERROR(__xludf.DUMMYFUNCTION("""COMPUTED_VALUE"""),2301.0)</f>
        <v>2301</v>
      </c>
      <c r="D476" s="9" t="str">
        <f>IFERROR(__xludf.DUMMYFUNCTION("""COMPUTED_VALUE"""),"Completed")</f>
        <v>Completed</v>
      </c>
    </row>
    <row r="477">
      <c r="A477" s="9" t="str">
        <f>IFERROR(__xludf.DUMMYFUNCTION("""COMPUTED_VALUE"""),"G-REQ-00476")</f>
        <v>G-REQ-00476</v>
      </c>
      <c r="B477" s="11">
        <f>IFERROR(__xludf.DUMMYFUNCTION("""COMPUTED_VALUE"""),45795.193468238824)</f>
        <v>45795.19347</v>
      </c>
      <c r="C477" s="9">
        <f>IFERROR(__xludf.DUMMYFUNCTION("""COMPUTED_VALUE"""),2305.0)</f>
        <v>2305</v>
      </c>
      <c r="D477" s="9" t="str">
        <f>IFERROR(__xludf.DUMMYFUNCTION("""COMPUTED_VALUE"""),"Completed")</f>
        <v>Completed</v>
      </c>
    </row>
    <row r="478">
      <c r="A478" s="9" t="str">
        <f>IFERROR(__xludf.DUMMYFUNCTION("""COMPUTED_VALUE"""),"G-REQ-00477")</f>
        <v>G-REQ-00477</v>
      </c>
      <c r="B478" s="11">
        <f>IFERROR(__xludf.DUMMYFUNCTION("""COMPUTED_VALUE"""),45795.264643084236)</f>
        <v>45795.26464</v>
      </c>
      <c r="C478" s="9">
        <f>IFERROR(__xludf.DUMMYFUNCTION("""COMPUTED_VALUE"""),2309.0)</f>
        <v>2309</v>
      </c>
      <c r="D478" s="9" t="str">
        <f>IFERROR(__xludf.DUMMYFUNCTION("""COMPUTED_VALUE"""),"Completed")</f>
        <v>Completed</v>
      </c>
    </row>
    <row r="479">
      <c r="A479" s="9" t="str">
        <f>IFERROR(__xludf.DUMMYFUNCTION("""COMPUTED_VALUE"""),"G-REQ-00478")</f>
        <v>G-REQ-00478</v>
      </c>
      <c r="B479" s="11">
        <f>IFERROR(__xludf.DUMMYFUNCTION("""COMPUTED_VALUE"""),45795.335817929656)</f>
        <v>45795.33582</v>
      </c>
      <c r="C479" s="9">
        <f>IFERROR(__xludf.DUMMYFUNCTION("""COMPUTED_VALUE"""),2313.0)</f>
        <v>2313</v>
      </c>
      <c r="D479" s="9" t="str">
        <f>IFERROR(__xludf.DUMMYFUNCTION("""COMPUTED_VALUE"""),"Completed")</f>
        <v>Completed</v>
      </c>
    </row>
    <row r="480">
      <c r="A480" s="9" t="str">
        <f>IFERROR(__xludf.DUMMYFUNCTION("""COMPUTED_VALUE"""),"G-REQ-00479")</f>
        <v>G-REQ-00479</v>
      </c>
      <c r="B480" s="11">
        <f>IFERROR(__xludf.DUMMYFUNCTION("""COMPUTED_VALUE"""),45795.40699277507)</f>
        <v>45795.40699</v>
      </c>
      <c r="C480" s="9">
        <f>IFERROR(__xludf.DUMMYFUNCTION("""COMPUTED_VALUE"""),2317.0)</f>
        <v>2317</v>
      </c>
      <c r="D480" s="9" t="str">
        <f>IFERROR(__xludf.DUMMYFUNCTION("""COMPUTED_VALUE"""),"Completed")</f>
        <v>Completed</v>
      </c>
    </row>
    <row r="481">
      <c r="A481" s="9" t="str">
        <f>IFERROR(__xludf.DUMMYFUNCTION("""COMPUTED_VALUE"""),"G-REQ-00480")</f>
        <v>G-REQ-00480</v>
      </c>
      <c r="B481" s="11">
        <f>IFERROR(__xludf.DUMMYFUNCTION("""COMPUTED_VALUE"""),45795.47816762049)</f>
        <v>45795.47817</v>
      </c>
      <c r="C481" s="9">
        <f>IFERROR(__xludf.DUMMYFUNCTION("""COMPUTED_VALUE"""),2321.0)</f>
        <v>2321</v>
      </c>
      <c r="D481" s="9" t="str">
        <f>IFERROR(__xludf.DUMMYFUNCTION("""COMPUTED_VALUE"""),"Completed")</f>
        <v>Completed</v>
      </c>
    </row>
    <row r="482">
      <c r="A482" s="9" t="str">
        <f>IFERROR(__xludf.DUMMYFUNCTION("""COMPUTED_VALUE"""),"G-REQ-00481")</f>
        <v>G-REQ-00481</v>
      </c>
      <c r="B482" s="11">
        <f>IFERROR(__xludf.DUMMYFUNCTION("""COMPUTED_VALUE"""),45795.54934246589)</f>
        <v>45795.54934</v>
      </c>
      <c r="C482" s="9">
        <f>IFERROR(__xludf.DUMMYFUNCTION("""COMPUTED_VALUE"""),2325.0)</f>
        <v>2325</v>
      </c>
      <c r="D482" s="9" t="str">
        <f>IFERROR(__xludf.DUMMYFUNCTION("""COMPUTED_VALUE"""),"Completed")</f>
        <v>Completed</v>
      </c>
    </row>
    <row r="483">
      <c r="A483" s="9" t="str">
        <f>IFERROR(__xludf.DUMMYFUNCTION("""COMPUTED_VALUE"""),"G-REQ-00482")</f>
        <v>G-REQ-00482</v>
      </c>
      <c r="B483" s="11">
        <f>IFERROR(__xludf.DUMMYFUNCTION("""COMPUTED_VALUE"""),45795.62051731131)</f>
        <v>45795.62052</v>
      </c>
      <c r="C483" s="9">
        <f>IFERROR(__xludf.DUMMYFUNCTION("""COMPUTED_VALUE"""),2329.0)</f>
        <v>2329</v>
      </c>
      <c r="D483" s="9" t="str">
        <f>IFERROR(__xludf.DUMMYFUNCTION("""COMPUTED_VALUE"""),"Completed")</f>
        <v>Completed</v>
      </c>
    </row>
    <row r="484">
      <c r="A484" s="9" t="str">
        <f>IFERROR(__xludf.DUMMYFUNCTION("""COMPUTED_VALUE"""),"G-REQ-00483")</f>
        <v>G-REQ-00483</v>
      </c>
      <c r="B484" s="11">
        <f>IFERROR(__xludf.DUMMYFUNCTION("""COMPUTED_VALUE"""),45795.69169215673)</f>
        <v>45795.69169</v>
      </c>
      <c r="C484" s="9">
        <f>IFERROR(__xludf.DUMMYFUNCTION("""COMPUTED_VALUE"""),2333.0)</f>
        <v>2333</v>
      </c>
      <c r="D484" s="9" t="str">
        <f>IFERROR(__xludf.DUMMYFUNCTION("""COMPUTED_VALUE"""),"Completed")</f>
        <v>Completed</v>
      </c>
    </row>
    <row r="485">
      <c r="A485" s="9" t="str">
        <f>IFERROR(__xludf.DUMMYFUNCTION("""COMPUTED_VALUE"""),"G-REQ-00484")</f>
        <v>G-REQ-00484</v>
      </c>
      <c r="B485" s="11">
        <f>IFERROR(__xludf.DUMMYFUNCTION("""COMPUTED_VALUE"""),45795.762867002144)</f>
        <v>45795.76287</v>
      </c>
      <c r="C485" s="9">
        <f>IFERROR(__xludf.DUMMYFUNCTION("""COMPUTED_VALUE"""),2337.0)</f>
        <v>2337</v>
      </c>
      <c r="D485" s="9" t="str">
        <f>IFERROR(__xludf.DUMMYFUNCTION("""COMPUTED_VALUE"""),"Completed")</f>
        <v>Completed</v>
      </c>
    </row>
    <row r="486">
      <c r="A486" s="9" t="str">
        <f>IFERROR(__xludf.DUMMYFUNCTION("""COMPUTED_VALUE"""),"G-REQ-00485")</f>
        <v>G-REQ-00485</v>
      </c>
      <c r="B486" s="11">
        <f>IFERROR(__xludf.DUMMYFUNCTION("""COMPUTED_VALUE"""),45795.83404184756)</f>
        <v>45795.83404</v>
      </c>
      <c r="C486" s="9">
        <f>IFERROR(__xludf.DUMMYFUNCTION("""COMPUTED_VALUE"""),2341.0)</f>
        <v>2341</v>
      </c>
      <c r="D486" s="9" t="str">
        <f>IFERROR(__xludf.DUMMYFUNCTION("""COMPUTED_VALUE"""),"Completed")</f>
        <v>Completed</v>
      </c>
    </row>
    <row r="487">
      <c r="A487" s="9" t="str">
        <f>IFERROR(__xludf.DUMMYFUNCTION("""COMPUTED_VALUE"""),"G-REQ-00486")</f>
        <v>G-REQ-00486</v>
      </c>
      <c r="B487" s="11">
        <f>IFERROR(__xludf.DUMMYFUNCTION("""COMPUTED_VALUE"""),45795.905216692976)</f>
        <v>45795.90522</v>
      </c>
      <c r="C487" s="9">
        <f>IFERROR(__xludf.DUMMYFUNCTION("""COMPUTED_VALUE"""),2345.0)</f>
        <v>2345</v>
      </c>
      <c r="D487" s="9" t="str">
        <f>IFERROR(__xludf.DUMMYFUNCTION("""COMPUTED_VALUE"""),"Completed")</f>
        <v>Completed</v>
      </c>
    </row>
    <row r="488">
      <c r="A488" s="9" t="str">
        <f>IFERROR(__xludf.DUMMYFUNCTION("""COMPUTED_VALUE"""),"G-REQ-00487")</f>
        <v>G-REQ-00487</v>
      </c>
      <c r="B488" s="11">
        <f>IFERROR(__xludf.DUMMYFUNCTION("""COMPUTED_VALUE"""),45795.97639153839)</f>
        <v>45795.97639</v>
      </c>
      <c r="C488" s="9">
        <f>IFERROR(__xludf.DUMMYFUNCTION("""COMPUTED_VALUE"""),2349.0)</f>
        <v>2349</v>
      </c>
      <c r="D488" s="9" t="str">
        <f>IFERROR(__xludf.DUMMYFUNCTION("""COMPUTED_VALUE"""),"Completed")</f>
        <v>Completed</v>
      </c>
    </row>
    <row r="489">
      <c r="A489" s="9" t="str">
        <f>IFERROR(__xludf.DUMMYFUNCTION("""COMPUTED_VALUE"""),"G-REQ-00488")</f>
        <v>G-REQ-00488</v>
      </c>
      <c r="B489" s="11">
        <f>IFERROR(__xludf.DUMMYFUNCTION("""COMPUTED_VALUE"""),45796.0475663838)</f>
        <v>45796.04757</v>
      </c>
      <c r="C489" s="9">
        <f>IFERROR(__xludf.DUMMYFUNCTION("""COMPUTED_VALUE"""),2353.0)</f>
        <v>2353</v>
      </c>
      <c r="D489" s="9" t="str">
        <f>IFERROR(__xludf.DUMMYFUNCTION("""COMPUTED_VALUE"""),"Completed")</f>
        <v>Completed</v>
      </c>
    </row>
    <row r="490">
      <c r="A490" s="9" t="str">
        <f>IFERROR(__xludf.DUMMYFUNCTION("""COMPUTED_VALUE"""),"G-REQ-00489")</f>
        <v>G-REQ-00489</v>
      </c>
      <c r="B490" s="11">
        <f>IFERROR(__xludf.DUMMYFUNCTION("""COMPUTED_VALUE"""),45796.11874122922)</f>
        <v>45796.11874</v>
      </c>
      <c r="C490" s="9">
        <f>IFERROR(__xludf.DUMMYFUNCTION("""COMPUTED_VALUE"""),2357.0)</f>
        <v>2357</v>
      </c>
      <c r="D490" s="9" t="str">
        <f>IFERROR(__xludf.DUMMYFUNCTION("""COMPUTED_VALUE"""),"Completed")</f>
        <v>Completed</v>
      </c>
    </row>
    <row r="491">
      <c r="A491" s="9" t="str">
        <f>IFERROR(__xludf.DUMMYFUNCTION("""COMPUTED_VALUE"""),"G-REQ-00490")</f>
        <v>G-REQ-00490</v>
      </c>
      <c r="B491" s="11">
        <f>IFERROR(__xludf.DUMMYFUNCTION("""COMPUTED_VALUE"""),45796.18991607464)</f>
        <v>45796.18992</v>
      </c>
      <c r="C491" s="9">
        <f>IFERROR(__xludf.DUMMYFUNCTION("""COMPUTED_VALUE"""),2361.0)</f>
        <v>2361</v>
      </c>
      <c r="D491" s="9" t="str">
        <f>IFERROR(__xludf.DUMMYFUNCTION("""COMPUTED_VALUE"""),"Completed")</f>
        <v>Completed</v>
      </c>
    </row>
    <row r="492">
      <c r="A492" s="9" t="str">
        <f>IFERROR(__xludf.DUMMYFUNCTION("""COMPUTED_VALUE"""),"G-REQ-00491")</f>
        <v>G-REQ-00491</v>
      </c>
      <c r="B492" s="11">
        <f>IFERROR(__xludf.DUMMYFUNCTION("""COMPUTED_VALUE"""),45796.261090920045)</f>
        <v>45796.26109</v>
      </c>
      <c r="C492" s="9">
        <f>IFERROR(__xludf.DUMMYFUNCTION("""COMPUTED_VALUE"""),2365.0)</f>
        <v>2365</v>
      </c>
      <c r="D492" s="9" t="str">
        <f>IFERROR(__xludf.DUMMYFUNCTION("""COMPUTED_VALUE"""),"Completed")</f>
        <v>Completed</v>
      </c>
    </row>
    <row r="493">
      <c r="A493" s="9" t="str">
        <f>IFERROR(__xludf.DUMMYFUNCTION("""COMPUTED_VALUE"""),"G-REQ-00492")</f>
        <v>G-REQ-00492</v>
      </c>
      <c r="B493" s="11">
        <f>IFERROR(__xludf.DUMMYFUNCTION("""COMPUTED_VALUE"""),45796.332265765464)</f>
        <v>45796.33227</v>
      </c>
      <c r="C493" s="9">
        <f>IFERROR(__xludf.DUMMYFUNCTION("""COMPUTED_VALUE"""),2369.0)</f>
        <v>2369</v>
      </c>
      <c r="D493" s="9" t="str">
        <f>IFERROR(__xludf.DUMMYFUNCTION("""COMPUTED_VALUE"""),"Completed")</f>
        <v>Completed</v>
      </c>
    </row>
    <row r="494">
      <c r="A494" s="9" t="str">
        <f>IFERROR(__xludf.DUMMYFUNCTION("""COMPUTED_VALUE"""),"G-REQ-00493")</f>
        <v>G-REQ-00493</v>
      </c>
      <c r="B494" s="11">
        <f>IFERROR(__xludf.DUMMYFUNCTION("""COMPUTED_VALUE"""),45796.403440610884)</f>
        <v>45796.40344</v>
      </c>
      <c r="C494" s="9">
        <f>IFERROR(__xludf.DUMMYFUNCTION("""COMPUTED_VALUE"""),2373.0)</f>
        <v>2373</v>
      </c>
      <c r="D494" s="9" t="str">
        <f>IFERROR(__xludf.DUMMYFUNCTION("""COMPUTED_VALUE"""),"Completed")</f>
        <v>Completed</v>
      </c>
    </row>
    <row r="495">
      <c r="A495" s="9" t="str">
        <f>IFERROR(__xludf.DUMMYFUNCTION("""COMPUTED_VALUE"""),"G-REQ-00494")</f>
        <v>G-REQ-00494</v>
      </c>
      <c r="B495" s="11">
        <f>IFERROR(__xludf.DUMMYFUNCTION("""COMPUTED_VALUE"""),45796.474615456296)</f>
        <v>45796.47462</v>
      </c>
      <c r="C495" s="9">
        <f>IFERROR(__xludf.DUMMYFUNCTION("""COMPUTED_VALUE"""),2377.0)</f>
        <v>2377</v>
      </c>
      <c r="D495" s="9" t="str">
        <f>IFERROR(__xludf.DUMMYFUNCTION("""COMPUTED_VALUE"""),"Completed")</f>
        <v>Completed</v>
      </c>
    </row>
    <row r="496">
      <c r="A496" s="9" t="str">
        <f>IFERROR(__xludf.DUMMYFUNCTION("""COMPUTED_VALUE"""),"G-REQ-00495")</f>
        <v>G-REQ-00495</v>
      </c>
      <c r="B496" s="11">
        <f>IFERROR(__xludf.DUMMYFUNCTION("""COMPUTED_VALUE"""),45796.54579030171)</f>
        <v>45796.54579</v>
      </c>
      <c r="C496" s="9">
        <f>IFERROR(__xludf.DUMMYFUNCTION("""COMPUTED_VALUE"""),2381.0)</f>
        <v>2381</v>
      </c>
      <c r="D496" s="9" t="str">
        <f>IFERROR(__xludf.DUMMYFUNCTION("""COMPUTED_VALUE"""),"Completed")</f>
        <v>Completed</v>
      </c>
    </row>
    <row r="497">
      <c r="A497" s="9" t="str">
        <f>IFERROR(__xludf.DUMMYFUNCTION("""COMPUTED_VALUE"""),"G-REQ-00496")</f>
        <v>G-REQ-00496</v>
      </c>
      <c r="B497" s="11">
        <f>IFERROR(__xludf.DUMMYFUNCTION("""COMPUTED_VALUE"""),45796.61696514713)</f>
        <v>45796.61697</v>
      </c>
      <c r="C497" s="9">
        <f>IFERROR(__xludf.DUMMYFUNCTION("""COMPUTED_VALUE"""),2385.0)</f>
        <v>2385</v>
      </c>
      <c r="D497" s="9" t="str">
        <f>IFERROR(__xludf.DUMMYFUNCTION("""COMPUTED_VALUE"""),"Completed")</f>
        <v>Completed</v>
      </c>
    </row>
    <row r="498">
      <c r="A498" s="9" t="str">
        <f>IFERROR(__xludf.DUMMYFUNCTION("""COMPUTED_VALUE"""),"G-REQ-00497")</f>
        <v>G-REQ-00497</v>
      </c>
      <c r="B498" s="11">
        <f>IFERROR(__xludf.DUMMYFUNCTION("""COMPUTED_VALUE"""),45796.68813999254)</f>
        <v>45796.68814</v>
      </c>
      <c r="C498" s="9">
        <f>IFERROR(__xludf.DUMMYFUNCTION("""COMPUTED_VALUE"""),2389.0)</f>
        <v>2389</v>
      </c>
      <c r="D498" s="9" t="str">
        <f>IFERROR(__xludf.DUMMYFUNCTION("""COMPUTED_VALUE"""),"Completed")</f>
        <v>Completed</v>
      </c>
    </row>
    <row r="499">
      <c r="A499" s="9" t="str">
        <f>IFERROR(__xludf.DUMMYFUNCTION("""COMPUTED_VALUE"""),"G-REQ-00498")</f>
        <v>G-REQ-00498</v>
      </c>
      <c r="B499" s="11">
        <f>IFERROR(__xludf.DUMMYFUNCTION("""COMPUTED_VALUE"""),45796.75931483795)</f>
        <v>45796.75931</v>
      </c>
      <c r="C499" s="9">
        <f>IFERROR(__xludf.DUMMYFUNCTION("""COMPUTED_VALUE"""),2393.0)</f>
        <v>2393</v>
      </c>
      <c r="D499" s="9" t="str">
        <f>IFERROR(__xludf.DUMMYFUNCTION("""COMPUTED_VALUE"""),"Completed")</f>
        <v>Completed</v>
      </c>
    </row>
    <row r="500">
      <c r="A500" s="9" t="str">
        <f>IFERROR(__xludf.DUMMYFUNCTION("""COMPUTED_VALUE"""),"G-REQ-00499")</f>
        <v>G-REQ-00499</v>
      </c>
      <c r="B500" s="11">
        <f>IFERROR(__xludf.DUMMYFUNCTION("""COMPUTED_VALUE"""),45796.83048968337)</f>
        <v>45796.83049</v>
      </c>
      <c r="C500" s="9">
        <f>IFERROR(__xludf.DUMMYFUNCTION("""COMPUTED_VALUE"""),2397.0)</f>
        <v>2397</v>
      </c>
      <c r="D500" s="9" t="str">
        <f>IFERROR(__xludf.DUMMYFUNCTION("""COMPUTED_VALUE"""),"Completed")</f>
        <v>Completed</v>
      </c>
    </row>
    <row r="501">
      <c r="A501" s="9" t="str">
        <f>IFERROR(__xludf.DUMMYFUNCTION("""COMPUTED_VALUE"""),"G-REQ-00500")</f>
        <v>G-REQ-00500</v>
      </c>
      <c r="B501" s="11">
        <f>IFERROR(__xludf.DUMMYFUNCTION("""COMPUTED_VALUE"""),45796.901664528785)</f>
        <v>45796.90166</v>
      </c>
      <c r="C501" s="9">
        <f>IFERROR(__xludf.DUMMYFUNCTION("""COMPUTED_VALUE"""),2401.0)</f>
        <v>2401</v>
      </c>
      <c r="D501" s="9" t="str">
        <f>IFERROR(__xludf.DUMMYFUNCTION("""COMPUTED_VALUE"""),"Completed")</f>
        <v>Completed</v>
      </c>
    </row>
    <row r="502">
      <c r="A502" s="9" t="str">
        <f>IFERROR(__xludf.DUMMYFUNCTION("""COMPUTED_VALUE"""),"G-REQ-00501")</f>
        <v>G-REQ-00501</v>
      </c>
      <c r="B502" s="11">
        <f>IFERROR(__xludf.DUMMYFUNCTION("""COMPUTED_VALUE"""),45796.9728393742)</f>
        <v>45796.97284</v>
      </c>
      <c r="C502" s="9">
        <f>IFERROR(__xludf.DUMMYFUNCTION("""COMPUTED_VALUE"""),2405.0)</f>
        <v>2405</v>
      </c>
      <c r="D502" s="9" t="str">
        <f>IFERROR(__xludf.DUMMYFUNCTION("""COMPUTED_VALUE"""),"Completed")</f>
        <v>Completed</v>
      </c>
    </row>
    <row r="503">
      <c r="A503" s="9" t="str">
        <f>IFERROR(__xludf.DUMMYFUNCTION("""COMPUTED_VALUE"""),"G-REQ-00502")</f>
        <v>G-REQ-00502</v>
      </c>
      <c r="B503" s="11">
        <f>IFERROR(__xludf.DUMMYFUNCTION("""COMPUTED_VALUE"""),45797.04401421962)</f>
        <v>45797.04401</v>
      </c>
      <c r="C503" s="9">
        <f>IFERROR(__xludf.DUMMYFUNCTION("""COMPUTED_VALUE"""),2409.0)</f>
        <v>2409</v>
      </c>
      <c r="D503" s="9" t="str">
        <f>IFERROR(__xludf.DUMMYFUNCTION("""COMPUTED_VALUE"""),"Completed")</f>
        <v>Completed</v>
      </c>
    </row>
    <row r="504">
      <c r="A504" s="9" t="str">
        <f>IFERROR(__xludf.DUMMYFUNCTION("""COMPUTED_VALUE"""),"G-REQ-00503")</f>
        <v>G-REQ-00503</v>
      </c>
      <c r="B504" s="11">
        <f>IFERROR(__xludf.DUMMYFUNCTION("""COMPUTED_VALUE"""),45797.11518906503)</f>
        <v>45797.11519</v>
      </c>
      <c r="C504" s="9">
        <f>IFERROR(__xludf.DUMMYFUNCTION("""COMPUTED_VALUE"""),2413.0)</f>
        <v>2413</v>
      </c>
      <c r="D504" s="9" t="str">
        <f>IFERROR(__xludf.DUMMYFUNCTION("""COMPUTED_VALUE"""),"Completed")</f>
        <v>Completed</v>
      </c>
    </row>
    <row r="505">
      <c r="A505" s="9" t="str">
        <f>IFERROR(__xludf.DUMMYFUNCTION("""COMPUTED_VALUE"""),"G-REQ-00504")</f>
        <v>G-REQ-00504</v>
      </c>
      <c r="B505" s="11">
        <f>IFERROR(__xludf.DUMMYFUNCTION("""COMPUTED_VALUE"""),45797.179419465996)</f>
        <v>45797.17942</v>
      </c>
      <c r="C505" s="9">
        <f>IFERROR(__xludf.DUMMYFUNCTION("""COMPUTED_VALUE"""),2415.0)</f>
        <v>2415</v>
      </c>
      <c r="D505" s="9" t="str">
        <f>IFERROR(__xludf.DUMMYFUNCTION("""COMPUTED_VALUE"""),"Cancelled")</f>
        <v>Cancelled</v>
      </c>
    </row>
    <row r="506">
      <c r="A506" s="9" t="str">
        <f>IFERROR(__xludf.DUMMYFUNCTION("""COMPUTED_VALUE"""),"G-REQ-00505")</f>
        <v>G-REQ-00505</v>
      </c>
      <c r="B506" s="11">
        <f>IFERROR(__xludf.DUMMYFUNCTION("""COMPUTED_VALUE"""),45797.25753875586)</f>
        <v>45797.25754</v>
      </c>
      <c r="C506" s="9">
        <f>IFERROR(__xludf.DUMMYFUNCTION("""COMPUTED_VALUE"""),2419.0)</f>
        <v>2419</v>
      </c>
      <c r="D506" s="9" t="str">
        <f>IFERROR(__xludf.DUMMYFUNCTION("""COMPUTED_VALUE"""),"Completed")</f>
        <v>Completed</v>
      </c>
    </row>
    <row r="507">
      <c r="A507" s="9" t="str">
        <f>IFERROR(__xludf.DUMMYFUNCTION("""COMPUTED_VALUE"""),"G-REQ-00506")</f>
        <v>G-REQ-00506</v>
      </c>
      <c r="B507" s="11">
        <f>IFERROR(__xludf.DUMMYFUNCTION("""COMPUTED_VALUE"""),45797.32871360128)</f>
        <v>45797.32871</v>
      </c>
      <c r="C507" s="9">
        <f>IFERROR(__xludf.DUMMYFUNCTION("""COMPUTED_VALUE"""),2423.0)</f>
        <v>2423</v>
      </c>
      <c r="D507" s="9" t="str">
        <f>IFERROR(__xludf.DUMMYFUNCTION("""COMPUTED_VALUE"""),"Completed")</f>
        <v>Completed</v>
      </c>
    </row>
    <row r="508">
      <c r="A508" s="9" t="str">
        <f>IFERROR(__xludf.DUMMYFUNCTION("""COMPUTED_VALUE"""),"G-REQ-00507")</f>
        <v>G-REQ-00507</v>
      </c>
      <c r="B508" s="11">
        <f>IFERROR(__xludf.DUMMYFUNCTION("""COMPUTED_VALUE"""),45797.39294400224)</f>
        <v>45797.39294</v>
      </c>
      <c r="C508" s="9">
        <f>IFERROR(__xludf.DUMMYFUNCTION("""COMPUTED_VALUE"""),2425.0)</f>
        <v>2425</v>
      </c>
      <c r="D508" s="9" t="str">
        <f>IFERROR(__xludf.DUMMYFUNCTION("""COMPUTED_VALUE"""),"Rejected")</f>
        <v>Rejected</v>
      </c>
    </row>
    <row r="509">
      <c r="A509" s="9" t="str">
        <f>IFERROR(__xludf.DUMMYFUNCTION("""COMPUTED_VALUE"""),"G-REQ-00508")</f>
        <v>G-REQ-00508</v>
      </c>
      <c r="B509" s="11">
        <f>IFERROR(__xludf.DUMMYFUNCTION("""COMPUTED_VALUE"""),45797.471063292105)</f>
        <v>45797.47106</v>
      </c>
      <c r="C509" s="9">
        <f>IFERROR(__xludf.DUMMYFUNCTION("""COMPUTED_VALUE"""),2429.0)</f>
        <v>2429</v>
      </c>
      <c r="D509" s="9" t="str">
        <f>IFERROR(__xludf.DUMMYFUNCTION("""COMPUTED_VALUE"""),"Completed")</f>
        <v>Completed</v>
      </c>
    </row>
    <row r="510">
      <c r="A510" s="9" t="str">
        <f>IFERROR(__xludf.DUMMYFUNCTION("""COMPUTED_VALUE"""),"G-REQ-00509")</f>
        <v>G-REQ-00509</v>
      </c>
      <c r="B510" s="11">
        <f>IFERROR(__xludf.DUMMYFUNCTION("""COMPUTED_VALUE"""),45797.542238137525)</f>
        <v>45797.54224</v>
      </c>
      <c r="C510" s="9">
        <f>IFERROR(__xludf.DUMMYFUNCTION("""COMPUTED_VALUE"""),2433.0)</f>
        <v>2433</v>
      </c>
      <c r="D510" s="9" t="str">
        <f>IFERROR(__xludf.DUMMYFUNCTION("""COMPUTED_VALUE"""),"Completed")</f>
        <v>Completed</v>
      </c>
    </row>
    <row r="511">
      <c r="A511" s="9" t="str">
        <f>IFERROR(__xludf.DUMMYFUNCTION("""COMPUTED_VALUE"""),"G-REQ-00510")</f>
        <v>G-REQ-00510</v>
      </c>
      <c r="B511" s="11">
        <f>IFERROR(__xludf.DUMMYFUNCTION("""COMPUTED_VALUE"""),45797.61341298294)</f>
        <v>45797.61341</v>
      </c>
      <c r="C511" s="9">
        <f>IFERROR(__xludf.DUMMYFUNCTION("""COMPUTED_VALUE"""),2437.0)</f>
        <v>2437</v>
      </c>
      <c r="D511" s="9" t="str">
        <f>IFERROR(__xludf.DUMMYFUNCTION("""COMPUTED_VALUE"""),"Completed")</f>
        <v>Completed</v>
      </c>
    </row>
    <row r="512">
      <c r="A512" s="9" t="str">
        <f>IFERROR(__xludf.DUMMYFUNCTION("""COMPUTED_VALUE"""),"G-REQ-00511")</f>
        <v>G-REQ-00511</v>
      </c>
      <c r="B512" s="11">
        <f>IFERROR(__xludf.DUMMYFUNCTION("""COMPUTED_VALUE"""),45797.68458782835)</f>
        <v>45797.68459</v>
      </c>
      <c r="C512" s="9">
        <f>IFERROR(__xludf.DUMMYFUNCTION("""COMPUTED_VALUE"""),2441.0)</f>
        <v>2441</v>
      </c>
      <c r="D512" s="9" t="str">
        <f>IFERROR(__xludf.DUMMYFUNCTION("""COMPUTED_VALUE"""),"Completed")</f>
        <v>Completed</v>
      </c>
    </row>
    <row r="513">
      <c r="A513" s="9" t="str">
        <f>IFERROR(__xludf.DUMMYFUNCTION("""COMPUTED_VALUE"""),"G-REQ-00512")</f>
        <v>G-REQ-00512</v>
      </c>
      <c r="B513" s="11">
        <f>IFERROR(__xludf.DUMMYFUNCTION("""COMPUTED_VALUE"""),45797.75576267377)</f>
        <v>45797.75576</v>
      </c>
      <c r="C513" s="9">
        <f>IFERROR(__xludf.DUMMYFUNCTION("""COMPUTED_VALUE"""),2445.0)</f>
        <v>2445</v>
      </c>
      <c r="D513" s="9" t="str">
        <f>IFERROR(__xludf.DUMMYFUNCTION("""COMPUTED_VALUE"""),"Completed")</f>
        <v>Completed</v>
      </c>
    </row>
    <row r="514">
      <c r="A514" s="9" t="str">
        <f>IFERROR(__xludf.DUMMYFUNCTION("""COMPUTED_VALUE"""),"G-REQ-00513")</f>
        <v>G-REQ-00513</v>
      </c>
      <c r="B514" s="11">
        <f>IFERROR(__xludf.DUMMYFUNCTION("""COMPUTED_VALUE"""),45797.82693751918)</f>
        <v>45797.82694</v>
      </c>
      <c r="C514" s="9">
        <f>IFERROR(__xludf.DUMMYFUNCTION("""COMPUTED_VALUE"""),2449.0)</f>
        <v>2449</v>
      </c>
      <c r="D514" s="9" t="str">
        <f>IFERROR(__xludf.DUMMYFUNCTION("""COMPUTED_VALUE"""),"Completed")</f>
        <v>Completed</v>
      </c>
    </row>
    <row r="515">
      <c r="A515" s="9" t="str">
        <f>IFERROR(__xludf.DUMMYFUNCTION("""COMPUTED_VALUE"""),"G-REQ-00514")</f>
        <v>G-REQ-00514</v>
      </c>
      <c r="B515" s="11">
        <f>IFERROR(__xludf.DUMMYFUNCTION("""COMPUTED_VALUE"""),45797.89811236459)</f>
        <v>45797.89811</v>
      </c>
      <c r="C515" s="9">
        <f>IFERROR(__xludf.DUMMYFUNCTION("""COMPUTED_VALUE"""),2453.0)</f>
        <v>2453</v>
      </c>
      <c r="D515" s="9" t="str">
        <f>IFERROR(__xludf.DUMMYFUNCTION("""COMPUTED_VALUE"""),"Completed")</f>
        <v>Completed</v>
      </c>
    </row>
    <row r="516">
      <c r="A516" s="9" t="str">
        <f>IFERROR(__xludf.DUMMYFUNCTION("""COMPUTED_VALUE"""),"G-REQ-00515")</f>
        <v>G-REQ-00515</v>
      </c>
      <c r="B516" s="11">
        <f>IFERROR(__xludf.DUMMYFUNCTION("""COMPUTED_VALUE"""),45797.96928721001)</f>
        <v>45797.96929</v>
      </c>
      <c r="C516" s="9">
        <f>IFERROR(__xludf.DUMMYFUNCTION("""COMPUTED_VALUE"""),2457.0)</f>
        <v>2457</v>
      </c>
      <c r="D516" s="9" t="str">
        <f>IFERROR(__xludf.DUMMYFUNCTION("""COMPUTED_VALUE"""),"Completed")</f>
        <v>Completed</v>
      </c>
    </row>
    <row r="517">
      <c r="A517" s="9" t="str">
        <f>IFERROR(__xludf.DUMMYFUNCTION("""COMPUTED_VALUE"""),"G-REQ-00516")</f>
        <v>G-REQ-00516</v>
      </c>
      <c r="B517" s="11">
        <f>IFERROR(__xludf.DUMMYFUNCTION("""COMPUTED_VALUE"""),45798.04046205543)</f>
        <v>45798.04046</v>
      </c>
      <c r="C517" s="9">
        <f>IFERROR(__xludf.DUMMYFUNCTION("""COMPUTED_VALUE"""),2461.0)</f>
        <v>2461</v>
      </c>
      <c r="D517" s="9" t="str">
        <f>IFERROR(__xludf.DUMMYFUNCTION("""COMPUTED_VALUE"""),"Completed")</f>
        <v>Completed</v>
      </c>
    </row>
    <row r="518">
      <c r="A518" s="9" t="str">
        <f>IFERROR(__xludf.DUMMYFUNCTION("""COMPUTED_VALUE"""),"G-REQ-00517")</f>
        <v>G-REQ-00517</v>
      </c>
      <c r="B518" s="11">
        <f>IFERROR(__xludf.DUMMYFUNCTION("""COMPUTED_VALUE"""),45798.11163690084)</f>
        <v>45798.11164</v>
      </c>
      <c r="C518" s="9">
        <f>IFERROR(__xludf.DUMMYFUNCTION("""COMPUTED_VALUE"""),2465.0)</f>
        <v>2465</v>
      </c>
      <c r="D518" s="9" t="str">
        <f>IFERROR(__xludf.DUMMYFUNCTION("""COMPUTED_VALUE"""),"Completed")</f>
        <v>Completed</v>
      </c>
    </row>
    <row r="519">
      <c r="A519" s="9" t="str">
        <f>IFERROR(__xludf.DUMMYFUNCTION("""COMPUTED_VALUE"""),"G-REQ-00518")</f>
        <v>G-REQ-00518</v>
      </c>
      <c r="B519" s="11">
        <f>IFERROR(__xludf.DUMMYFUNCTION("""COMPUTED_VALUE"""),45798.17586730181)</f>
        <v>45798.17587</v>
      </c>
      <c r="C519" s="9">
        <f>IFERROR(__xludf.DUMMYFUNCTION("""COMPUTED_VALUE"""),2467.0)</f>
        <v>2467</v>
      </c>
      <c r="D519" s="9" t="str">
        <f>IFERROR(__xludf.DUMMYFUNCTION("""COMPUTED_VALUE"""),"Rejected")</f>
        <v>Rejected</v>
      </c>
    </row>
    <row r="520">
      <c r="A520" s="9" t="str">
        <f>IFERROR(__xludf.DUMMYFUNCTION("""COMPUTED_VALUE"""),"G-REQ-00519")</f>
        <v>G-REQ-00519</v>
      </c>
      <c r="B520" s="11">
        <f>IFERROR(__xludf.DUMMYFUNCTION("""COMPUTED_VALUE"""),45798.25398659167)</f>
        <v>45798.25399</v>
      </c>
      <c r="C520" s="9">
        <f>IFERROR(__xludf.DUMMYFUNCTION("""COMPUTED_VALUE"""),2471.0)</f>
        <v>2471</v>
      </c>
      <c r="D520" s="9" t="str">
        <f>IFERROR(__xludf.DUMMYFUNCTION("""COMPUTED_VALUE"""),"Completed")</f>
        <v>Completed</v>
      </c>
    </row>
    <row r="521">
      <c r="A521" s="9" t="str">
        <f>IFERROR(__xludf.DUMMYFUNCTION("""COMPUTED_VALUE"""),"G-REQ-00520")</f>
        <v>G-REQ-00520</v>
      </c>
      <c r="B521" s="11">
        <f>IFERROR(__xludf.DUMMYFUNCTION("""COMPUTED_VALUE"""),45798.32516143709)</f>
        <v>45798.32516</v>
      </c>
      <c r="C521" s="9">
        <f>IFERROR(__xludf.DUMMYFUNCTION("""COMPUTED_VALUE"""),2475.0)</f>
        <v>2475</v>
      </c>
      <c r="D521" s="9" t="str">
        <f>IFERROR(__xludf.DUMMYFUNCTION("""COMPUTED_VALUE"""),"Completed")</f>
        <v>Completed</v>
      </c>
    </row>
    <row r="522">
      <c r="A522" s="9" t="str">
        <f>IFERROR(__xludf.DUMMYFUNCTION("""COMPUTED_VALUE"""),"G-REQ-00521")</f>
        <v>G-REQ-00521</v>
      </c>
      <c r="B522" s="11">
        <f>IFERROR(__xludf.DUMMYFUNCTION("""COMPUTED_VALUE"""),45798.3963362825)</f>
        <v>45798.39634</v>
      </c>
      <c r="C522" s="9">
        <f>IFERROR(__xludf.DUMMYFUNCTION("""COMPUTED_VALUE"""),2479.0)</f>
        <v>2479</v>
      </c>
      <c r="D522" s="9" t="str">
        <f>IFERROR(__xludf.DUMMYFUNCTION("""COMPUTED_VALUE"""),"Completed")</f>
        <v>Completed</v>
      </c>
    </row>
    <row r="523">
      <c r="A523" s="9" t="str">
        <f>IFERROR(__xludf.DUMMYFUNCTION("""COMPUTED_VALUE"""),"G-REQ-00522")</f>
        <v>G-REQ-00522</v>
      </c>
      <c r="B523" s="11">
        <f>IFERROR(__xludf.DUMMYFUNCTION("""COMPUTED_VALUE"""),45798.46751112792)</f>
        <v>45798.46751</v>
      </c>
      <c r="C523" s="9">
        <f>IFERROR(__xludf.DUMMYFUNCTION("""COMPUTED_VALUE"""),2483.0)</f>
        <v>2483</v>
      </c>
      <c r="D523" s="9" t="str">
        <f>IFERROR(__xludf.DUMMYFUNCTION("""COMPUTED_VALUE"""),"Completed")</f>
        <v>Completed</v>
      </c>
    </row>
    <row r="524">
      <c r="A524" s="9" t="str">
        <f>IFERROR(__xludf.DUMMYFUNCTION("""COMPUTED_VALUE"""),"G-REQ-00523")</f>
        <v>G-REQ-00523</v>
      </c>
      <c r="B524" s="11">
        <f>IFERROR(__xludf.DUMMYFUNCTION("""COMPUTED_VALUE"""),45798.538685973326)</f>
        <v>45798.53869</v>
      </c>
      <c r="C524" s="9">
        <f>IFERROR(__xludf.DUMMYFUNCTION("""COMPUTED_VALUE"""),2487.0)</f>
        <v>2487</v>
      </c>
      <c r="D524" s="9" t="str">
        <f>IFERROR(__xludf.DUMMYFUNCTION("""COMPUTED_VALUE"""),"Completed")</f>
        <v>Completed</v>
      </c>
    </row>
    <row r="525">
      <c r="A525" s="9" t="str">
        <f>IFERROR(__xludf.DUMMYFUNCTION("""COMPUTED_VALUE"""),"G-REQ-00524")</f>
        <v>G-REQ-00524</v>
      </c>
      <c r="B525" s="11">
        <f>IFERROR(__xludf.DUMMYFUNCTION("""COMPUTED_VALUE"""),45798.609860818746)</f>
        <v>45798.60986</v>
      </c>
      <c r="C525" s="9">
        <f>IFERROR(__xludf.DUMMYFUNCTION("""COMPUTED_VALUE"""),2491.0)</f>
        <v>2491</v>
      </c>
      <c r="D525" s="9" t="str">
        <f>IFERROR(__xludf.DUMMYFUNCTION("""COMPUTED_VALUE"""),"Completed")</f>
        <v>Completed</v>
      </c>
    </row>
    <row r="526">
      <c r="A526" s="9" t="str">
        <f>IFERROR(__xludf.DUMMYFUNCTION("""COMPUTED_VALUE"""),"G-REQ-00525")</f>
        <v>G-REQ-00525</v>
      </c>
      <c r="B526" s="11">
        <f>IFERROR(__xludf.DUMMYFUNCTION("""COMPUTED_VALUE"""),45798.681035664165)</f>
        <v>45798.68104</v>
      </c>
      <c r="C526" s="9">
        <f>IFERROR(__xludf.DUMMYFUNCTION("""COMPUTED_VALUE"""),2495.0)</f>
        <v>2495</v>
      </c>
      <c r="D526" s="9" t="str">
        <f>IFERROR(__xludf.DUMMYFUNCTION("""COMPUTED_VALUE"""),"Completed")</f>
        <v>Completed</v>
      </c>
    </row>
    <row r="527">
      <c r="A527" s="9" t="str">
        <f>IFERROR(__xludf.DUMMYFUNCTION("""COMPUTED_VALUE"""),"G-REQ-00526")</f>
        <v>G-REQ-00526</v>
      </c>
      <c r="B527" s="11">
        <f>IFERROR(__xludf.DUMMYFUNCTION("""COMPUTED_VALUE"""),45798.75221050958)</f>
        <v>45798.75221</v>
      </c>
      <c r="C527" s="9">
        <f>IFERROR(__xludf.DUMMYFUNCTION("""COMPUTED_VALUE"""),2499.0)</f>
        <v>2499</v>
      </c>
      <c r="D527" s="9" t="str">
        <f>IFERROR(__xludf.DUMMYFUNCTION("""COMPUTED_VALUE"""),"Completed")</f>
        <v>Completed</v>
      </c>
    </row>
    <row r="528">
      <c r="A528" s="9" t="str">
        <f>IFERROR(__xludf.DUMMYFUNCTION("""COMPUTED_VALUE"""),"G-REQ-00527")</f>
        <v>G-REQ-00527</v>
      </c>
      <c r="B528" s="11">
        <f>IFERROR(__xludf.DUMMYFUNCTION("""COMPUTED_VALUE"""),45798.82338535499)</f>
        <v>45798.82339</v>
      </c>
      <c r="C528" s="9">
        <f>IFERROR(__xludf.DUMMYFUNCTION("""COMPUTED_VALUE"""),2503.0)</f>
        <v>2503</v>
      </c>
      <c r="D528" s="9" t="str">
        <f>IFERROR(__xludf.DUMMYFUNCTION("""COMPUTED_VALUE"""),"Completed")</f>
        <v>Completed</v>
      </c>
    </row>
    <row r="529">
      <c r="A529" s="9" t="str">
        <f>IFERROR(__xludf.DUMMYFUNCTION("""COMPUTED_VALUE"""),"G-REQ-00528")</f>
        <v>G-REQ-00528</v>
      </c>
      <c r="B529" s="11">
        <f>IFERROR(__xludf.DUMMYFUNCTION("""COMPUTED_VALUE"""),45798.89456020041)</f>
        <v>45798.89456</v>
      </c>
      <c r="C529" s="9">
        <f>IFERROR(__xludf.DUMMYFUNCTION("""COMPUTED_VALUE"""),2507.0)</f>
        <v>2507</v>
      </c>
      <c r="D529" s="9" t="str">
        <f>IFERROR(__xludf.DUMMYFUNCTION("""COMPUTED_VALUE"""),"Completed")</f>
        <v>Completed</v>
      </c>
    </row>
    <row r="530">
      <c r="A530" s="9" t="str">
        <f>IFERROR(__xludf.DUMMYFUNCTION("""COMPUTED_VALUE"""),"G-REQ-00529")</f>
        <v>G-REQ-00529</v>
      </c>
      <c r="B530" s="11">
        <f>IFERROR(__xludf.DUMMYFUNCTION("""COMPUTED_VALUE"""),45798.96573504582)</f>
        <v>45798.96574</v>
      </c>
      <c r="C530" s="9">
        <f>IFERROR(__xludf.DUMMYFUNCTION("""COMPUTED_VALUE"""),2511.0)</f>
        <v>2511</v>
      </c>
      <c r="D530" s="9" t="str">
        <f>IFERROR(__xludf.DUMMYFUNCTION("""COMPUTED_VALUE"""),"Completed")</f>
        <v>Completed</v>
      </c>
    </row>
    <row r="531">
      <c r="A531" s="9" t="str">
        <f>IFERROR(__xludf.DUMMYFUNCTION("""COMPUTED_VALUE"""),"G-REQ-00530")</f>
        <v>G-REQ-00530</v>
      </c>
      <c r="B531" s="11">
        <f>IFERROR(__xludf.DUMMYFUNCTION("""COMPUTED_VALUE"""),45799.036909891234)</f>
        <v>45799.03691</v>
      </c>
      <c r="C531" s="9">
        <f>IFERROR(__xludf.DUMMYFUNCTION("""COMPUTED_VALUE"""),2515.0)</f>
        <v>2515</v>
      </c>
      <c r="D531" s="9" t="str">
        <f>IFERROR(__xludf.DUMMYFUNCTION("""COMPUTED_VALUE"""),"Completed")</f>
        <v>Completed</v>
      </c>
    </row>
    <row r="532">
      <c r="A532" s="9" t="str">
        <f>IFERROR(__xludf.DUMMYFUNCTION("""COMPUTED_VALUE"""),"G-REQ-00531")</f>
        <v>G-REQ-00531</v>
      </c>
      <c r="B532" s="11">
        <f>IFERROR(__xludf.DUMMYFUNCTION("""COMPUTED_VALUE"""),45799.108084736654)</f>
        <v>45799.10808</v>
      </c>
      <c r="C532" s="9">
        <f>IFERROR(__xludf.DUMMYFUNCTION("""COMPUTED_VALUE"""),2519.0)</f>
        <v>2519</v>
      </c>
      <c r="D532" s="9" t="str">
        <f>IFERROR(__xludf.DUMMYFUNCTION("""COMPUTED_VALUE"""),"Completed")</f>
        <v>Completed</v>
      </c>
    </row>
    <row r="533">
      <c r="A533" s="9" t="str">
        <f>IFERROR(__xludf.DUMMYFUNCTION("""COMPUTED_VALUE"""),"G-REQ-00532")</f>
        <v>G-REQ-00532</v>
      </c>
      <c r="B533" s="11">
        <f>IFERROR(__xludf.DUMMYFUNCTION("""COMPUTED_VALUE"""),45799.17231513763)</f>
        <v>45799.17232</v>
      </c>
      <c r="C533" s="9">
        <f>IFERROR(__xludf.DUMMYFUNCTION("""COMPUTED_VALUE"""),2521.0)</f>
        <v>2521</v>
      </c>
      <c r="D533" s="9" t="str">
        <f>IFERROR(__xludf.DUMMYFUNCTION("""COMPUTED_VALUE"""),"Cancelled")</f>
        <v>Cancelled</v>
      </c>
    </row>
    <row r="534">
      <c r="A534" s="9" t="str">
        <f>IFERROR(__xludf.DUMMYFUNCTION("""COMPUTED_VALUE"""),"G-REQ-00533")</f>
        <v>G-REQ-00533</v>
      </c>
      <c r="B534" s="11">
        <f>IFERROR(__xludf.DUMMYFUNCTION("""COMPUTED_VALUE"""),45799.25043442748)</f>
        <v>45799.25043</v>
      </c>
      <c r="C534" s="9">
        <f>IFERROR(__xludf.DUMMYFUNCTION("""COMPUTED_VALUE"""),2525.0)</f>
        <v>2525</v>
      </c>
      <c r="D534" s="9" t="str">
        <f>IFERROR(__xludf.DUMMYFUNCTION("""COMPUTED_VALUE"""),"Completed")</f>
        <v>Completed</v>
      </c>
    </row>
    <row r="535">
      <c r="A535" s="9" t="str">
        <f>IFERROR(__xludf.DUMMYFUNCTION("""COMPUTED_VALUE"""),"G-REQ-00534")</f>
        <v>G-REQ-00534</v>
      </c>
      <c r="B535" s="11">
        <f>IFERROR(__xludf.DUMMYFUNCTION("""COMPUTED_VALUE"""),45799.31466482845)</f>
        <v>45799.31466</v>
      </c>
      <c r="C535" s="9">
        <f>IFERROR(__xludf.DUMMYFUNCTION("""COMPUTED_VALUE"""),2527.0)</f>
        <v>2527</v>
      </c>
      <c r="D535" s="9" t="str">
        <f>IFERROR(__xludf.DUMMYFUNCTION("""COMPUTED_VALUE"""),"Rejected")</f>
        <v>Rejected</v>
      </c>
    </row>
    <row r="536">
      <c r="A536" s="9" t="str">
        <f>IFERROR(__xludf.DUMMYFUNCTION("""COMPUTED_VALUE"""),"G-REQ-00535")</f>
        <v>G-REQ-00535</v>
      </c>
      <c r="B536" s="11">
        <f>IFERROR(__xludf.DUMMYFUNCTION("""COMPUTED_VALUE"""),45799.39278411832)</f>
        <v>45799.39278</v>
      </c>
      <c r="C536" s="9">
        <f>IFERROR(__xludf.DUMMYFUNCTION("""COMPUTED_VALUE"""),2531.0)</f>
        <v>2531</v>
      </c>
      <c r="D536" s="9" t="str">
        <f>IFERROR(__xludf.DUMMYFUNCTION("""COMPUTED_VALUE"""),"Completed")</f>
        <v>Completed</v>
      </c>
    </row>
    <row r="537">
      <c r="A537" s="9" t="str">
        <f>IFERROR(__xludf.DUMMYFUNCTION("""COMPUTED_VALUE"""),"G-REQ-00536")</f>
        <v>G-REQ-00536</v>
      </c>
      <c r="B537" s="11">
        <f>IFERROR(__xludf.DUMMYFUNCTION("""COMPUTED_VALUE"""),45799.46395896373)</f>
        <v>45799.46396</v>
      </c>
      <c r="C537" s="9">
        <f>IFERROR(__xludf.DUMMYFUNCTION("""COMPUTED_VALUE"""),2535.0)</f>
        <v>2535</v>
      </c>
      <c r="D537" s="9" t="str">
        <f>IFERROR(__xludf.DUMMYFUNCTION("""COMPUTED_VALUE"""),"Completed")</f>
        <v>Completed</v>
      </c>
    </row>
    <row r="538">
      <c r="A538" s="9" t="str">
        <f>IFERROR(__xludf.DUMMYFUNCTION("""COMPUTED_VALUE"""),"G-REQ-00537")</f>
        <v>G-REQ-00537</v>
      </c>
      <c r="B538" s="11">
        <f>IFERROR(__xludf.DUMMYFUNCTION("""COMPUTED_VALUE"""),45799.53513380914)</f>
        <v>45799.53513</v>
      </c>
      <c r="C538" s="9">
        <f>IFERROR(__xludf.DUMMYFUNCTION("""COMPUTED_VALUE"""),2539.0)</f>
        <v>2539</v>
      </c>
      <c r="D538" s="9" t="str">
        <f>IFERROR(__xludf.DUMMYFUNCTION("""COMPUTED_VALUE"""),"Completed")</f>
        <v>Completed</v>
      </c>
    </row>
    <row r="539">
      <c r="A539" s="9" t="str">
        <f>IFERROR(__xludf.DUMMYFUNCTION("""COMPUTED_VALUE"""),"G-REQ-00538")</f>
        <v>G-REQ-00538</v>
      </c>
      <c r="B539" s="11">
        <f>IFERROR(__xludf.DUMMYFUNCTION("""COMPUTED_VALUE"""),45799.60630865456)</f>
        <v>45799.60631</v>
      </c>
      <c r="C539" s="9">
        <f>IFERROR(__xludf.DUMMYFUNCTION("""COMPUTED_VALUE"""),2543.0)</f>
        <v>2543</v>
      </c>
      <c r="D539" s="9" t="str">
        <f>IFERROR(__xludf.DUMMYFUNCTION("""COMPUTED_VALUE"""),"Completed")</f>
        <v>Completed</v>
      </c>
    </row>
    <row r="540">
      <c r="A540" s="9" t="str">
        <f>IFERROR(__xludf.DUMMYFUNCTION("""COMPUTED_VALUE"""),"G-REQ-00539")</f>
        <v>G-REQ-00539</v>
      </c>
      <c r="B540" s="11">
        <f>IFERROR(__xludf.DUMMYFUNCTION("""COMPUTED_VALUE"""),45799.677483499974)</f>
        <v>45799.67748</v>
      </c>
      <c r="C540" s="9">
        <f>IFERROR(__xludf.DUMMYFUNCTION("""COMPUTED_VALUE"""),2547.0)</f>
        <v>2547</v>
      </c>
      <c r="D540" s="9" t="str">
        <f>IFERROR(__xludf.DUMMYFUNCTION("""COMPUTED_VALUE"""),"Completed")</f>
        <v>Completed</v>
      </c>
    </row>
    <row r="541">
      <c r="A541" s="9" t="str">
        <f>IFERROR(__xludf.DUMMYFUNCTION("""COMPUTED_VALUE"""),"G-REQ-00540")</f>
        <v>G-REQ-00540</v>
      </c>
      <c r="B541" s="11">
        <f>IFERROR(__xludf.DUMMYFUNCTION("""COMPUTED_VALUE"""),45799.74865834539)</f>
        <v>45799.74866</v>
      </c>
      <c r="C541" s="9">
        <f>IFERROR(__xludf.DUMMYFUNCTION("""COMPUTED_VALUE"""),2551.0)</f>
        <v>2551</v>
      </c>
      <c r="D541" s="9" t="str">
        <f>IFERROR(__xludf.DUMMYFUNCTION("""COMPUTED_VALUE"""),"Completed")</f>
        <v>Completed</v>
      </c>
    </row>
    <row r="542">
      <c r="A542" s="9" t="str">
        <f>IFERROR(__xludf.DUMMYFUNCTION("""COMPUTED_VALUE"""),"G-REQ-00541")</f>
        <v>G-REQ-00541</v>
      </c>
      <c r="B542" s="11">
        <f>IFERROR(__xludf.DUMMYFUNCTION("""COMPUTED_VALUE"""),45799.819833190806)</f>
        <v>45799.81983</v>
      </c>
      <c r="C542" s="9">
        <f>IFERROR(__xludf.DUMMYFUNCTION("""COMPUTED_VALUE"""),2555.0)</f>
        <v>2555</v>
      </c>
      <c r="D542" s="9" t="str">
        <f>IFERROR(__xludf.DUMMYFUNCTION("""COMPUTED_VALUE"""),"Completed")</f>
        <v>Completed</v>
      </c>
    </row>
    <row r="543">
      <c r="A543" s="9" t="str">
        <f>IFERROR(__xludf.DUMMYFUNCTION("""COMPUTED_VALUE"""),"G-REQ-00542")</f>
        <v>G-REQ-00542</v>
      </c>
      <c r="B543" s="11">
        <f>IFERROR(__xludf.DUMMYFUNCTION("""COMPUTED_VALUE"""),45799.89100803622)</f>
        <v>45799.89101</v>
      </c>
      <c r="C543" s="9">
        <f>IFERROR(__xludf.DUMMYFUNCTION("""COMPUTED_VALUE"""),2559.0)</f>
        <v>2559</v>
      </c>
      <c r="D543" s="9" t="str">
        <f>IFERROR(__xludf.DUMMYFUNCTION("""COMPUTED_VALUE"""),"Completed")</f>
        <v>Completed</v>
      </c>
    </row>
    <row r="544">
      <c r="A544" s="9" t="str">
        <f>IFERROR(__xludf.DUMMYFUNCTION("""COMPUTED_VALUE"""),"G-REQ-00543")</f>
        <v>G-REQ-00543</v>
      </c>
      <c r="B544" s="11">
        <f>IFERROR(__xludf.DUMMYFUNCTION("""COMPUTED_VALUE"""),45799.96218288163)</f>
        <v>45799.96218</v>
      </c>
      <c r="C544" s="9">
        <f>IFERROR(__xludf.DUMMYFUNCTION("""COMPUTED_VALUE"""),2563.0)</f>
        <v>2563</v>
      </c>
      <c r="D544" s="9" t="str">
        <f>IFERROR(__xludf.DUMMYFUNCTION("""COMPUTED_VALUE"""),"Completed")</f>
        <v>Completed</v>
      </c>
    </row>
    <row r="545">
      <c r="A545" s="9" t="str">
        <f>IFERROR(__xludf.DUMMYFUNCTION("""COMPUTED_VALUE"""),"G-REQ-00544")</f>
        <v>G-REQ-00544</v>
      </c>
      <c r="B545" s="11">
        <f>IFERROR(__xludf.DUMMYFUNCTION("""COMPUTED_VALUE"""),45800.03335772705)</f>
        <v>45800.03336</v>
      </c>
      <c r="C545" s="9">
        <f>IFERROR(__xludf.DUMMYFUNCTION("""COMPUTED_VALUE"""),2567.0)</f>
        <v>2567</v>
      </c>
      <c r="D545" s="9" t="str">
        <f>IFERROR(__xludf.DUMMYFUNCTION("""COMPUTED_VALUE"""),"Completed")</f>
        <v>Completed</v>
      </c>
    </row>
    <row r="546">
      <c r="A546" s="9" t="str">
        <f>IFERROR(__xludf.DUMMYFUNCTION("""COMPUTED_VALUE"""),"G-REQ-00545")</f>
        <v>G-REQ-00545</v>
      </c>
      <c r="B546" s="11">
        <f>IFERROR(__xludf.DUMMYFUNCTION("""COMPUTED_VALUE"""),45800.10453257246)</f>
        <v>45800.10453</v>
      </c>
      <c r="C546" s="9">
        <f>IFERROR(__xludf.DUMMYFUNCTION("""COMPUTED_VALUE"""),2571.0)</f>
        <v>2571</v>
      </c>
      <c r="D546" s="9" t="str">
        <f>IFERROR(__xludf.DUMMYFUNCTION("""COMPUTED_VALUE"""),"Completed")</f>
        <v>Completed</v>
      </c>
    </row>
    <row r="547">
      <c r="A547" s="9" t="str">
        <f>IFERROR(__xludf.DUMMYFUNCTION("""COMPUTED_VALUE"""),"G-REQ-00546")</f>
        <v>G-REQ-00546</v>
      </c>
      <c r="B547" s="11">
        <f>IFERROR(__xludf.DUMMYFUNCTION("""COMPUTED_VALUE"""),45800.175707417875)</f>
        <v>45800.17571</v>
      </c>
      <c r="C547" s="9">
        <f>IFERROR(__xludf.DUMMYFUNCTION("""COMPUTED_VALUE"""),2575.0)</f>
        <v>2575</v>
      </c>
      <c r="D547" s="9" t="str">
        <f>IFERROR(__xludf.DUMMYFUNCTION("""COMPUTED_VALUE"""),"Completed")</f>
        <v>Completed</v>
      </c>
    </row>
    <row r="548">
      <c r="A548" s="9" t="str">
        <f>IFERROR(__xludf.DUMMYFUNCTION("""COMPUTED_VALUE"""),"G-REQ-00547")</f>
        <v>G-REQ-00547</v>
      </c>
      <c r="B548" s="11">
        <f>IFERROR(__xludf.DUMMYFUNCTION("""COMPUTED_VALUE"""),45800.246882263295)</f>
        <v>45800.24688</v>
      </c>
      <c r="C548" s="9">
        <f>IFERROR(__xludf.DUMMYFUNCTION("""COMPUTED_VALUE"""),2579.0)</f>
        <v>2579</v>
      </c>
      <c r="D548" s="9" t="str">
        <f>IFERROR(__xludf.DUMMYFUNCTION("""COMPUTED_VALUE"""),"Completed")</f>
        <v>Completed</v>
      </c>
    </row>
    <row r="549">
      <c r="A549" s="9" t="str">
        <f>IFERROR(__xludf.DUMMYFUNCTION("""COMPUTED_VALUE"""),"G-REQ-00548")</f>
        <v>G-REQ-00548</v>
      </c>
      <c r="B549" s="11">
        <f>IFERROR(__xludf.DUMMYFUNCTION("""COMPUTED_VALUE"""),45800.318057108714)</f>
        <v>45800.31806</v>
      </c>
      <c r="C549" s="9">
        <f>IFERROR(__xludf.DUMMYFUNCTION("""COMPUTED_VALUE"""),2583.0)</f>
        <v>2583</v>
      </c>
      <c r="D549" s="9" t="str">
        <f>IFERROR(__xludf.DUMMYFUNCTION("""COMPUTED_VALUE"""),"Completed")</f>
        <v>Completed</v>
      </c>
    </row>
    <row r="550">
      <c r="A550" s="9" t="str">
        <f>IFERROR(__xludf.DUMMYFUNCTION("""COMPUTED_VALUE"""),"G-REQ-00549")</f>
        <v>G-REQ-00549</v>
      </c>
      <c r="B550" s="11">
        <f>IFERROR(__xludf.DUMMYFUNCTION("""COMPUTED_VALUE"""),45800.38923195412)</f>
        <v>45800.38923</v>
      </c>
      <c r="C550" s="9">
        <f>IFERROR(__xludf.DUMMYFUNCTION("""COMPUTED_VALUE"""),2587.0)</f>
        <v>2587</v>
      </c>
      <c r="D550" s="9" t="str">
        <f>IFERROR(__xludf.DUMMYFUNCTION("""COMPUTED_VALUE"""),"Completed")</f>
        <v>Completed</v>
      </c>
    </row>
    <row r="551">
      <c r="A551" s="9" t="str">
        <f>IFERROR(__xludf.DUMMYFUNCTION("""COMPUTED_VALUE"""),"G-REQ-00550")</f>
        <v>G-REQ-00550</v>
      </c>
      <c r="B551" s="11">
        <f>IFERROR(__xludf.DUMMYFUNCTION("""COMPUTED_VALUE"""),45800.46040679954)</f>
        <v>45800.46041</v>
      </c>
      <c r="C551" s="9">
        <f>IFERROR(__xludf.DUMMYFUNCTION("""COMPUTED_VALUE"""),2591.0)</f>
        <v>2591</v>
      </c>
      <c r="D551" s="9" t="str">
        <f>IFERROR(__xludf.DUMMYFUNCTION("""COMPUTED_VALUE"""),"Completed")</f>
        <v>Completed</v>
      </c>
    </row>
    <row r="552">
      <c r="A552" s="9" t="str">
        <f>IFERROR(__xludf.DUMMYFUNCTION("""COMPUTED_VALUE"""),"G-REQ-00551")</f>
        <v>G-REQ-00551</v>
      </c>
      <c r="B552" s="11">
        <f>IFERROR(__xludf.DUMMYFUNCTION("""COMPUTED_VALUE"""),45800.53158164496)</f>
        <v>45800.53158</v>
      </c>
      <c r="C552" s="9">
        <f>IFERROR(__xludf.DUMMYFUNCTION("""COMPUTED_VALUE"""),2595.0)</f>
        <v>2595</v>
      </c>
      <c r="D552" s="9" t="str">
        <f>IFERROR(__xludf.DUMMYFUNCTION("""COMPUTED_VALUE"""),"Completed")</f>
        <v>Completed</v>
      </c>
    </row>
    <row r="553">
      <c r="A553" s="9" t="str">
        <f>IFERROR(__xludf.DUMMYFUNCTION("""COMPUTED_VALUE"""),"G-REQ-00552")</f>
        <v>G-REQ-00552</v>
      </c>
      <c r="B553" s="11">
        <f>IFERROR(__xludf.DUMMYFUNCTION("""COMPUTED_VALUE"""),45800.60275649037)</f>
        <v>45800.60276</v>
      </c>
      <c r="C553" s="9">
        <f>IFERROR(__xludf.DUMMYFUNCTION("""COMPUTED_VALUE"""),2599.0)</f>
        <v>2599</v>
      </c>
      <c r="D553" s="9" t="str">
        <f>IFERROR(__xludf.DUMMYFUNCTION("""COMPUTED_VALUE"""),"Completed")</f>
        <v>Completed</v>
      </c>
    </row>
    <row r="554">
      <c r="A554" s="9" t="str">
        <f>IFERROR(__xludf.DUMMYFUNCTION("""COMPUTED_VALUE"""),"G-REQ-00553")</f>
        <v>G-REQ-00553</v>
      </c>
      <c r="B554" s="11">
        <f>IFERROR(__xludf.DUMMYFUNCTION("""COMPUTED_VALUE"""),45800.67393133578)</f>
        <v>45800.67393</v>
      </c>
      <c r="C554" s="9">
        <f>IFERROR(__xludf.DUMMYFUNCTION("""COMPUTED_VALUE"""),2603.0)</f>
        <v>2603</v>
      </c>
      <c r="D554" s="9" t="str">
        <f>IFERROR(__xludf.DUMMYFUNCTION("""COMPUTED_VALUE"""),"Completed")</f>
        <v>Completed</v>
      </c>
    </row>
    <row r="555">
      <c r="A555" s="9" t="str">
        <f>IFERROR(__xludf.DUMMYFUNCTION("""COMPUTED_VALUE"""),"G-REQ-00554")</f>
        <v>G-REQ-00554</v>
      </c>
      <c r="B555" s="11">
        <f>IFERROR(__xludf.DUMMYFUNCTION("""COMPUTED_VALUE"""),45800.7451061812)</f>
        <v>45800.74511</v>
      </c>
      <c r="C555" s="9">
        <f>IFERROR(__xludf.DUMMYFUNCTION("""COMPUTED_VALUE"""),2607.0)</f>
        <v>2607</v>
      </c>
      <c r="D555" s="9" t="str">
        <f>IFERROR(__xludf.DUMMYFUNCTION("""COMPUTED_VALUE"""),"Completed")</f>
        <v>Completed</v>
      </c>
    </row>
    <row r="556">
      <c r="A556" s="9" t="str">
        <f>IFERROR(__xludf.DUMMYFUNCTION("""COMPUTED_VALUE"""),"G-REQ-00555")</f>
        <v>G-REQ-00555</v>
      </c>
      <c r="B556" s="11">
        <f>IFERROR(__xludf.DUMMYFUNCTION("""COMPUTED_VALUE"""),45800.816281026615)</f>
        <v>45800.81628</v>
      </c>
      <c r="C556" s="9">
        <f>IFERROR(__xludf.DUMMYFUNCTION("""COMPUTED_VALUE"""),2611.0)</f>
        <v>2611</v>
      </c>
      <c r="D556" s="9" t="str">
        <f>IFERROR(__xludf.DUMMYFUNCTION("""COMPUTED_VALUE"""),"Completed")</f>
        <v>Completed</v>
      </c>
    </row>
    <row r="557">
      <c r="A557" s="9" t="str">
        <f>IFERROR(__xludf.DUMMYFUNCTION("""COMPUTED_VALUE"""),"G-REQ-00556")</f>
        <v>G-REQ-00556</v>
      </c>
      <c r="B557" s="11">
        <f>IFERROR(__xludf.DUMMYFUNCTION("""COMPUTED_VALUE"""),45800.88745587203)</f>
        <v>45800.88746</v>
      </c>
      <c r="C557" s="9">
        <f>IFERROR(__xludf.DUMMYFUNCTION("""COMPUTED_VALUE"""),2615.0)</f>
        <v>2615</v>
      </c>
      <c r="D557" s="9" t="str">
        <f>IFERROR(__xludf.DUMMYFUNCTION("""COMPUTED_VALUE"""),"Completed")</f>
        <v>Completed</v>
      </c>
    </row>
    <row r="558">
      <c r="A558" s="9" t="str">
        <f>IFERROR(__xludf.DUMMYFUNCTION("""COMPUTED_VALUE"""),"G-REQ-00557")</f>
        <v>G-REQ-00557</v>
      </c>
      <c r="B558" s="11">
        <f>IFERROR(__xludf.DUMMYFUNCTION("""COMPUTED_VALUE"""),45800.95863071745)</f>
        <v>45800.95863</v>
      </c>
      <c r="C558" s="9">
        <f>IFERROR(__xludf.DUMMYFUNCTION("""COMPUTED_VALUE"""),2619.0)</f>
        <v>2619</v>
      </c>
      <c r="D558" s="9" t="str">
        <f>IFERROR(__xludf.DUMMYFUNCTION("""COMPUTED_VALUE"""),"Completed")</f>
        <v>Completed</v>
      </c>
    </row>
    <row r="559">
      <c r="A559" s="9" t="str">
        <f>IFERROR(__xludf.DUMMYFUNCTION("""COMPUTED_VALUE"""),"G-REQ-00558")</f>
        <v>G-REQ-00558</v>
      </c>
      <c r="B559" s="11">
        <f>IFERROR(__xludf.DUMMYFUNCTION("""COMPUTED_VALUE"""),45801.02980556286)</f>
        <v>45801.02981</v>
      </c>
      <c r="C559" s="9">
        <f>IFERROR(__xludf.DUMMYFUNCTION("""COMPUTED_VALUE"""),2623.0)</f>
        <v>2623</v>
      </c>
      <c r="D559" s="9" t="str">
        <f>IFERROR(__xludf.DUMMYFUNCTION("""COMPUTED_VALUE"""),"Completed")</f>
        <v>Completed</v>
      </c>
    </row>
    <row r="560">
      <c r="A560" s="9" t="str">
        <f>IFERROR(__xludf.DUMMYFUNCTION("""COMPUTED_VALUE"""),"G-REQ-00559")</f>
        <v>G-REQ-00559</v>
      </c>
      <c r="B560" s="11">
        <f>IFERROR(__xludf.DUMMYFUNCTION("""COMPUTED_VALUE"""),45801.094035963826)</f>
        <v>45801.09404</v>
      </c>
      <c r="C560" s="9">
        <f>IFERROR(__xludf.DUMMYFUNCTION("""COMPUTED_VALUE"""),2625.0)</f>
        <v>2625</v>
      </c>
      <c r="D560" s="9" t="str">
        <f>IFERROR(__xludf.DUMMYFUNCTION("""COMPUTED_VALUE"""),"Rejected")</f>
        <v>Rejected</v>
      </c>
    </row>
    <row r="561">
      <c r="A561" s="9" t="str">
        <f>IFERROR(__xludf.DUMMYFUNCTION("""COMPUTED_VALUE"""),"G-REQ-00560")</f>
        <v>G-REQ-00560</v>
      </c>
      <c r="B561" s="11">
        <f>IFERROR(__xludf.DUMMYFUNCTION("""COMPUTED_VALUE"""),45801.17215525369)</f>
        <v>45801.17216</v>
      </c>
      <c r="C561" s="9">
        <f>IFERROR(__xludf.DUMMYFUNCTION("""COMPUTED_VALUE"""),2629.0)</f>
        <v>2629</v>
      </c>
      <c r="D561" s="9" t="str">
        <f>IFERROR(__xludf.DUMMYFUNCTION("""COMPUTED_VALUE"""),"Completed")</f>
        <v>Completed</v>
      </c>
    </row>
    <row r="562">
      <c r="A562" s="9" t="str">
        <f>IFERROR(__xludf.DUMMYFUNCTION("""COMPUTED_VALUE"""),"G-REQ-00561")</f>
        <v>G-REQ-00561</v>
      </c>
      <c r="B562" s="11">
        <f>IFERROR(__xludf.DUMMYFUNCTION("""COMPUTED_VALUE"""),45801.2433300991)</f>
        <v>45801.24333</v>
      </c>
      <c r="C562" s="9">
        <f>IFERROR(__xludf.DUMMYFUNCTION("""COMPUTED_VALUE"""),2633.0)</f>
        <v>2633</v>
      </c>
      <c r="D562" s="9" t="str">
        <f>IFERROR(__xludf.DUMMYFUNCTION("""COMPUTED_VALUE"""),"Completed")</f>
        <v>Completed</v>
      </c>
    </row>
    <row r="563">
      <c r="A563" s="9" t="str">
        <f>IFERROR(__xludf.DUMMYFUNCTION("""COMPUTED_VALUE"""),"G-REQ-00562")</f>
        <v>G-REQ-00562</v>
      </c>
      <c r="B563" s="11">
        <f>IFERROR(__xludf.DUMMYFUNCTION("""COMPUTED_VALUE"""),45801.314504944516)</f>
        <v>45801.3145</v>
      </c>
      <c r="C563" s="9">
        <f>IFERROR(__xludf.DUMMYFUNCTION("""COMPUTED_VALUE"""),2637.0)</f>
        <v>2637</v>
      </c>
      <c r="D563" s="9" t="str">
        <f>IFERROR(__xludf.DUMMYFUNCTION("""COMPUTED_VALUE"""),"Completed")</f>
        <v>Completed</v>
      </c>
    </row>
    <row r="564">
      <c r="A564" s="9" t="str">
        <f>IFERROR(__xludf.DUMMYFUNCTION("""COMPUTED_VALUE"""),"G-REQ-00563")</f>
        <v>G-REQ-00563</v>
      </c>
      <c r="B564" s="11">
        <f>IFERROR(__xludf.DUMMYFUNCTION("""COMPUTED_VALUE"""),45801.37873534549)</f>
        <v>45801.37874</v>
      </c>
      <c r="C564" s="9">
        <f>IFERROR(__xludf.DUMMYFUNCTION("""COMPUTED_VALUE"""),2639.0)</f>
        <v>2639</v>
      </c>
      <c r="D564" s="9" t="str">
        <f>IFERROR(__xludf.DUMMYFUNCTION("""COMPUTED_VALUE"""),"Cancelled")</f>
        <v>Cancelled</v>
      </c>
    </row>
    <row r="565">
      <c r="A565" s="9" t="str">
        <f>IFERROR(__xludf.DUMMYFUNCTION("""COMPUTED_VALUE"""),"G-REQ-00564")</f>
        <v>G-REQ-00564</v>
      </c>
      <c r="B565" s="11">
        <f>IFERROR(__xludf.DUMMYFUNCTION("""COMPUTED_VALUE"""),45801.456854635355)</f>
        <v>45801.45685</v>
      </c>
      <c r="C565" s="9">
        <f>IFERROR(__xludf.DUMMYFUNCTION("""COMPUTED_VALUE"""),2643.0)</f>
        <v>2643</v>
      </c>
      <c r="D565" s="9" t="str">
        <f>IFERROR(__xludf.DUMMYFUNCTION("""COMPUTED_VALUE"""),"Completed")</f>
        <v>Completed</v>
      </c>
    </row>
    <row r="566">
      <c r="A566" s="9" t="str">
        <f>IFERROR(__xludf.DUMMYFUNCTION("""COMPUTED_VALUE"""),"G-REQ-00565")</f>
        <v>G-REQ-00565</v>
      </c>
      <c r="B566" s="11">
        <f>IFERROR(__xludf.DUMMYFUNCTION("""COMPUTED_VALUE"""),45801.52802948076)</f>
        <v>45801.52803</v>
      </c>
      <c r="C566" s="9">
        <f>IFERROR(__xludf.DUMMYFUNCTION("""COMPUTED_VALUE"""),2647.0)</f>
        <v>2647</v>
      </c>
      <c r="D566" s="9" t="str">
        <f>IFERROR(__xludf.DUMMYFUNCTION("""COMPUTED_VALUE"""),"Completed")</f>
        <v>Completed</v>
      </c>
    </row>
    <row r="567">
      <c r="A567" s="9" t="str">
        <f>IFERROR(__xludf.DUMMYFUNCTION("""COMPUTED_VALUE"""),"G-REQ-00566")</f>
        <v>G-REQ-00566</v>
      </c>
      <c r="B567" s="11">
        <f>IFERROR(__xludf.DUMMYFUNCTION("""COMPUTED_VALUE"""),45801.59920432618)</f>
        <v>45801.5992</v>
      </c>
      <c r="C567" s="9">
        <f>IFERROR(__xludf.DUMMYFUNCTION("""COMPUTED_VALUE"""),2651.0)</f>
        <v>2651</v>
      </c>
      <c r="D567" s="9" t="str">
        <f>IFERROR(__xludf.DUMMYFUNCTION("""COMPUTED_VALUE"""),"Completed")</f>
        <v>Completed</v>
      </c>
    </row>
    <row r="568">
      <c r="A568" s="9" t="str">
        <f>IFERROR(__xludf.DUMMYFUNCTION("""COMPUTED_VALUE"""),"G-REQ-00567")</f>
        <v>G-REQ-00567</v>
      </c>
      <c r="B568" s="11">
        <f>IFERROR(__xludf.DUMMYFUNCTION("""COMPUTED_VALUE"""),45801.663434727154)</f>
        <v>45801.66343</v>
      </c>
      <c r="C568" s="9">
        <f>IFERROR(__xludf.DUMMYFUNCTION("""COMPUTED_VALUE"""),2653.0)</f>
        <v>2653</v>
      </c>
      <c r="D568" s="9" t="str">
        <f>IFERROR(__xludf.DUMMYFUNCTION("""COMPUTED_VALUE"""),"Rejected")</f>
        <v>Rejected</v>
      </c>
    </row>
    <row r="569">
      <c r="A569" s="9" t="str">
        <f>IFERROR(__xludf.DUMMYFUNCTION("""COMPUTED_VALUE"""),"G-REQ-00568")</f>
        <v>G-REQ-00568</v>
      </c>
      <c r="B569" s="11">
        <f>IFERROR(__xludf.DUMMYFUNCTION("""COMPUTED_VALUE"""),45801.74155401701)</f>
        <v>45801.74155</v>
      </c>
      <c r="C569" s="9">
        <f>IFERROR(__xludf.DUMMYFUNCTION("""COMPUTED_VALUE"""),2657.0)</f>
        <v>2657</v>
      </c>
      <c r="D569" s="9" t="str">
        <f>IFERROR(__xludf.DUMMYFUNCTION("""COMPUTED_VALUE"""),"Completed")</f>
        <v>Completed</v>
      </c>
    </row>
    <row r="570">
      <c r="A570" s="9" t="str">
        <f>IFERROR(__xludf.DUMMYFUNCTION("""COMPUTED_VALUE"""),"G-REQ-00569")</f>
        <v>G-REQ-00569</v>
      </c>
      <c r="B570" s="11">
        <f>IFERROR(__xludf.DUMMYFUNCTION("""COMPUTED_VALUE"""),45801.812728862424)</f>
        <v>45801.81273</v>
      </c>
      <c r="C570" s="9">
        <f>IFERROR(__xludf.DUMMYFUNCTION("""COMPUTED_VALUE"""),2661.0)</f>
        <v>2661</v>
      </c>
      <c r="D570" s="9" t="str">
        <f>IFERROR(__xludf.DUMMYFUNCTION("""COMPUTED_VALUE"""),"Completed")</f>
        <v>Completed</v>
      </c>
    </row>
    <row r="571">
      <c r="A571" s="9" t="str">
        <f>IFERROR(__xludf.DUMMYFUNCTION("""COMPUTED_VALUE"""),"G-REQ-00570")</f>
        <v>G-REQ-00570</v>
      </c>
      <c r="B571" s="11">
        <f>IFERROR(__xludf.DUMMYFUNCTION("""COMPUTED_VALUE"""),45801.88390370784)</f>
        <v>45801.8839</v>
      </c>
      <c r="C571" s="9">
        <f>IFERROR(__xludf.DUMMYFUNCTION("""COMPUTED_VALUE"""),2665.0)</f>
        <v>2665</v>
      </c>
      <c r="D571" s="9" t="str">
        <f>IFERROR(__xludf.DUMMYFUNCTION("""COMPUTED_VALUE"""),"Completed")</f>
        <v>Completed</v>
      </c>
    </row>
    <row r="572">
      <c r="A572" s="9" t="str">
        <f>IFERROR(__xludf.DUMMYFUNCTION("""COMPUTED_VALUE"""),"G-REQ-00571")</f>
        <v>G-REQ-00571</v>
      </c>
      <c r="B572" s="11">
        <f>IFERROR(__xludf.DUMMYFUNCTION("""COMPUTED_VALUE"""),45801.955078553256)</f>
        <v>45801.95508</v>
      </c>
      <c r="C572" s="9">
        <f>IFERROR(__xludf.DUMMYFUNCTION("""COMPUTED_VALUE"""),2669.0)</f>
        <v>2669</v>
      </c>
      <c r="D572" s="9" t="str">
        <f>IFERROR(__xludf.DUMMYFUNCTION("""COMPUTED_VALUE"""),"Completed")</f>
        <v>Completed</v>
      </c>
    </row>
    <row r="573">
      <c r="A573" s="9" t="str">
        <f>IFERROR(__xludf.DUMMYFUNCTION("""COMPUTED_VALUE"""),"G-REQ-00572")</f>
        <v>G-REQ-00572</v>
      </c>
      <c r="B573" s="11">
        <f>IFERROR(__xludf.DUMMYFUNCTION("""COMPUTED_VALUE"""),45802.01930895422)</f>
        <v>45802.01931</v>
      </c>
      <c r="C573" s="9">
        <f>IFERROR(__xludf.DUMMYFUNCTION("""COMPUTED_VALUE"""),2671.0)</f>
        <v>2671</v>
      </c>
      <c r="D573" s="9" t="str">
        <f>IFERROR(__xludf.DUMMYFUNCTION("""COMPUTED_VALUE"""),"Cancelled")</f>
        <v>Cancelled</v>
      </c>
    </row>
    <row r="574">
      <c r="A574" s="9" t="str">
        <f>IFERROR(__xludf.DUMMYFUNCTION("""COMPUTED_VALUE"""),"G-REQ-00573")</f>
        <v>G-REQ-00573</v>
      </c>
      <c r="B574" s="11">
        <f>IFERROR(__xludf.DUMMYFUNCTION("""COMPUTED_VALUE"""),45802.09742824409)</f>
        <v>45802.09743</v>
      </c>
      <c r="C574" s="9">
        <f>IFERROR(__xludf.DUMMYFUNCTION("""COMPUTED_VALUE"""),2675.0)</f>
        <v>2675</v>
      </c>
      <c r="D574" s="9" t="str">
        <f>IFERROR(__xludf.DUMMYFUNCTION("""COMPUTED_VALUE"""),"Completed")</f>
        <v>Completed</v>
      </c>
    </row>
    <row r="575">
      <c r="A575" s="9" t="str">
        <f>IFERROR(__xludf.DUMMYFUNCTION("""COMPUTED_VALUE"""),"G-REQ-00574")</f>
        <v>G-REQ-00574</v>
      </c>
      <c r="B575" s="11">
        <f>IFERROR(__xludf.DUMMYFUNCTION("""COMPUTED_VALUE"""),45802.1686030895)</f>
        <v>45802.1686</v>
      </c>
      <c r="C575" s="9">
        <f>IFERROR(__xludf.DUMMYFUNCTION("""COMPUTED_VALUE"""),2679.0)</f>
        <v>2679</v>
      </c>
      <c r="D575" s="9" t="str">
        <f>IFERROR(__xludf.DUMMYFUNCTION("""COMPUTED_VALUE"""),"Completed")</f>
        <v>Completed</v>
      </c>
    </row>
    <row r="576">
      <c r="A576" s="9" t="str">
        <f>IFERROR(__xludf.DUMMYFUNCTION("""COMPUTED_VALUE"""),"G-REQ-00575")</f>
        <v>G-REQ-00575</v>
      </c>
      <c r="B576" s="11">
        <f>IFERROR(__xludf.DUMMYFUNCTION("""COMPUTED_VALUE"""),45802.23283349047)</f>
        <v>45802.23283</v>
      </c>
      <c r="C576" s="9">
        <f>IFERROR(__xludf.DUMMYFUNCTION("""COMPUTED_VALUE"""),2681.0)</f>
        <v>2681</v>
      </c>
      <c r="D576" s="9" t="str">
        <f>IFERROR(__xludf.DUMMYFUNCTION("""COMPUTED_VALUE"""),"Cancelled")</f>
        <v>Cancelled</v>
      </c>
    </row>
    <row r="577">
      <c r="A577" s="9" t="str">
        <f>IFERROR(__xludf.DUMMYFUNCTION("""COMPUTED_VALUE"""),"G-REQ-00576")</f>
        <v>G-REQ-00576</v>
      </c>
      <c r="B577" s="11">
        <f>IFERROR(__xludf.DUMMYFUNCTION("""COMPUTED_VALUE"""),45802.30400833589)</f>
        <v>45802.30401</v>
      </c>
      <c r="C577" s="9">
        <f>IFERROR(__xludf.DUMMYFUNCTION("""COMPUTED_VALUE"""),2683.0)</f>
        <v>2683</v>
      </c>
      <c r="D577" s="9" t="str">
        <f>IFERROR(__xludf.DUMMYFUNCTION("""COMPUTED_VALUE"""),"Rejected")</f>
        <v>Rejected</v>
      </c>
    </row>
    <row r="578">
      <c r="A578" s="9" t="str">
        <f>IFERROR(__xludf.DUMMYFUNCTION("""COMPUTED_VALUE"""),"G-REQ-00577")</f>
        <v>G-REQ-00577</v>
      </c>
      <c r="B578" s="11">
        <f>IFERROR(__xludf.DUMMYFUNCTION("""COMPUTED_VALUE"""),45802.38212762575)</f>
        <v>45802.38213</v>
      </c>
      <c r="C578" s="9">
        <f>IFERROR(__xludf.DUMMYFUNCTION("""COMPUTED_VALUE"""),2687.0)</f>
        <v>2687</v>
      </c>
      <c r="D578" s="9" t="str">
        <f>IFERROR(__xludf.DUMMYFUNCTION("""COMPUTED_VALUE"""),"Completed")</f>
        <v>Completed</v>
      </c>
    </row>
    <row r="579">
      <c r="A579" s="9" t="str">
        <f>IFERROR(__xludf.DUMMYFUNCTION("""COMPUTED_VALUE"""),"G-REQ-00578")</f>
        <v>G-REQ-00578</v>
      </c>
      <c r="B579" s="11">
        <f>IFERROR(__xludf.DUMMYFUNCTION("""COMPUTED_VALUE"""),45802.44635802671)</f>
        <v>45802.44636</v>
      </c>
      <c r="C579" s="9">
        <f>IFERROR(__xludf.DUMMYFUNCTION("""COMPUTED_VALUE"""),2689.0)</f>
        <v>2689</v>
      </c>
      <c r="D579" s="9" t="str">
        <f>IFERROR(__xludf.DUMMYFUNCTION("""COMPUTED_VALUE"""),"Cancelled")</f>
        <v>Cancelled</v>
      </c>
    </row>
    <row r="580">
      <c r="A580" s="9" t="str">
        <f>IFERROR(__xludf.DUMMYFUNCTION("""COMPUTED_VALUE"""),"G-REQ-00579")</f>
        <v>G-REQ-00579</v>
      </c>
      <c r="B580" s="11">
        <f>IFERROR(__xludf.DUMMYFUNCTION("""COMPUTED_VALUE"""),45802.524477316576)</f>
        <v>45802.52448</v>
      </c>
      <c r="C580" s="9">
        <f>IFERROR(__xludf.DUMMYFUNCTION("""COMPUTED_VALUE"""),2693.0)</f>
        <v>2693</v>
      </c>
      <c r="D580" s="9" t="str">
        <f>IFERROR(__xludf.DUMMYFUNCTION("""COMPUTED_VALUE"""),"Completed")</f>
        <v>Completed</v>
      </c>
    </row>
    <row r="581">
      <c r="A581" s="9" t="str">
        <f>IFERROR(__xludf.DUMMYFUNCTION("""COMPUTED_VALUE"""),"G-REQ-00580")</f>
        <v>G-REQ-00580</v>
      </c>
      <c r="B581" s="11">
        <f>IFERROR(__xludf.DUMMYFUNCTION("""COMPUTED_VALUE"""),45802.595652161996)</f>
        <v>45802.59565</v>
      </c>
      <c r="C581" s="9">
        <f>IFERROR(__xludf.DUMMYFUNCTION("""COMPUTED_VALUE"""),2697.0)</f>
        <v>2697</v>
      </c>
      <c r="D581" s="9" t="str">
        <f>IFERROR(__xludf.DUMMYFUNCTION("""COMPUTED_VALUE"""),"Completed")</f>
        <v>Completed</v>
      </c>
    </row>
    <row r="582">
      <c r="A582" s="9" t="str">
        <f>IFERROR(__xludf.DUMMYFUNCTION("""COMPUTED_VALUE"""),"G-REQ-00581")</f>
        <v>G-REQ-00581</v>
      </c>
      <c r="B582" s="11">
        <f>IFERROR(__xludf.DUMMYFUNCTION("""COMPUTED_VALUE"""),45802.66682700741)</f>
        <v>45802.66683</v>
      </c>
      <c r="C582" s="9">
        <f>IFERROR(__xludf.DUMMYFUNCTION("""COMPUTED_VALUE"""),2701.0)</f>
        <v>2701</v>
      </c>
      <c r="D582" s="9" t="str">
        <f>IFERROR(__xludf.DUMMYFUNCTION("""COMPUTED_VALUE"""),"Completed")</f>
        <v>Completed</v>
      </c>
    </row>
    <row r="583">
      <c r="A583" s="9" t="str">
        <f>IFERROR(__xludf.DUMMYFUNCTION("""COMPUTED_VALUE"""),"G-REQ-00582")</f>
        <v>G-REQ-00582</v>
      </c>
      <c r="B583" s="11">
        <f>IFERROR(__xludf.DUMMYFUNCTION("""COMPUTED_VALUE"""),45802.73800185282)</f>
        <v>45802.738</v>
      </c>
      <c r="C583" s="9">
        <f>IFERROR(__xludf.DUMMYFUNCTION("""COMPUTED_VALUE"""),2705.0)</f>
        <v>2705</v>
      </c>
      <c r="D583" s="9" t="str">
        <f>IFERROR(__xludf.DUMMYFUNCTION("""COMPUTED_VALUE"""),"Completed")</f>
        <v>Completed</v>
      </c>
    </row>
    <row r="584">
      <c r="A584" s="9" t="str">
        <f>IFERROR(__xludf.DUMMYFUNCTION("""COMPUTED_VALUE"""),"G-REQ-00583")</f>
        <v>G-REQ-00583</v>
      </c>
      <c r="B584" s="11">
        <f>IFERROR(__xludf.DUMMYFUNCTION("""COMPUTED_VALUE"""),45802.80917669824)</f>
        <v>45802.80918</v>
      </c>
      <c r="C584" s="9">
        <f>IFERROR(__xludf.DUMMYFUNCTION("""COMPUTED_VALUE"""),2709.0)</f>
        <v>2709</v>
      </c>
      <c r="D584" s="9" t="str">
        <f>IFERROR(__xludf.DUMMYFUNCTION("""COMPUTED_VALUE"""),"Completed")</f>
        <v>Completed</v>
      </c>
    </row>
    <row r="585">
      <c r="A585" s="9" t="str">
        <f>IFERROR(__xludf.DUMMYFUNCTION("""COMPUTED_VALUE"""),"G-REQ-00584")</f>
        <v>G-REQ-00584</v>
      </c>
      <c r="B585" s="11">
        <f>IFERROR(__xludf.DUMMYFUNCTION("""COMPUTED_VALUE"""),45802.88035154365)</f>
        <v>45802.88035</v>
      </c>
      <c r="C585" s="9">
        <f>IFERROR(__xludf.DUMMYFUNCTION("""COMPUTED_VALUE"""),2713.0)</f>
        <v>2713</v>
      </c>
      <c r="D585" s="9" t="str">
        <f>IFERROR(__xludf.DUMMYFUNCTION("""COMPUTED_VALUE"""),"Completed")</f>
        <v>Completed</v>
      </c>
    </row>
    <row r="586">
      <c r="A586" s="9" t="str">
        <f>IFERROR(__xludf.DUMMYFUNCTION("""COMPUTED_VALUE"""),"G-REQ-00585")</f>
        <v>G-REQ-00585</v>
      </c>
      <c r="B586" s="11">
        <f>IFERROR(__xludf.DUMMYFUNCTION("""COMPUTED_VALUE"""),45802.951526389064)</f>
        <v>45802.95153</v>
      </c>
      <c r="C586" s="9">
        <f>IFERROR(__xludf.DUMMYFUNCTION("""COMPUTED_VALUE"""),2717.0)</f>
        <v>2717</v>
      </c>
      <c r="D586" s="9" t="str">
        <f>IFERROR(__xludf.DUMMYFUNCTION("""COMPUTED_VALUE"""),"Completed")</f>
        <v>Completed</v>
      </c>
    </row>
    <row r="587">
      <c r="A587" s="9" t="str">
        <f>IFERROR(__xludf.DUMMYFUNCTION("""COMPUTED_VALUE"""),"G-REQ-00586")</f>
        <v>G-REQ-00586</v>
      </c>
      <c r="B587" s="11">
        <f>IFERROR(__xludf.DUMMYFUNCTION("""COMPUTED_VALUE"""),45803.022701234484)</f>
        <v>45803.0227</v>
      </c>
      <c r="C587" s="9">
        <f>IFERROR(__xludf.DUMMYFUNCTION("""COMPUTED_VALUE"""),2721.0)</f>
        <v>2721</v>
      </c>
      <c r="D587" s="9" t="str">
        <f>IFERROR(__xludf.DUMMYFUNCTION("""COMPUTED_VALUE"""),"Completed")</f>
        <v>Completed</v>
      </c>
    </row>
    <row r="588">
      <c r="A588" s="9" t="str">
        <f>IFERROR(__xludf.DUMMYFUNCTION("""COMPUTED_VALUE"""),"G-REQ-00587")</f>
        <v>G-REQ-00587</v>
      </c>
      <c r="B588" s="11">
        <f>IFERROR(__xludf.DUMMYFUNCTION("""COMPUTED_VALUE"""),45803.093876079896)</f>
        <v>45803.09388</v>
      </c>
      <c r="C588" s="9">
        <f>IFERROR(__xludf.DUMMYFUNCTION("""COMPUTED_VALUE"""),2725.0)</f>
        <v>2725</v>
      </c>
      <c r="D588" s="9" t="str">
        <f>IFERROR(__xludf.DUMMYFUNCTION("""COMPUTED_VALUE"""),"Completed")</f>
        <v>Completed</v>
      </c>
    </row>
    <row r="589">
      <c r="A589" s="9" t="str">
        <f>IFERROR(__xludf.DUMMYFUNCTION("""COMPUTED_VALUE"""),"G-REQ-00588")</f>
        <v>G-REQ-00588</v>
      </c>
      <c r="B589" s="11">
        <f>IFERROR(__xludf.DUMMYFUNCTION("""COMPUTED_VALUE"""),45803.15810648086)</f>
        <v>45803.15811</v>
      </c>
      <c r="C589" s="9">
        <f>IFERROR(__xludf.DUMMYFUNCTION("""COMPUTED_VALUE"""),2727.0)</f>
        <v>2727</v>
      </c>
      <c r="D589" s="9" t="str">
        <f>IFERROR(__xludf.DUMMYFUNCTION("""COMPUTED_VALUE"""),"Cancelled")</f>
        <v>Cancelled</v>
      </c>
    </row>
    <row r="590">
      <c r="A590" s="9" t="str">
        <f>IFERROR(__xludf.DUMMYFUNCTION("""COMPUTED_VALUE"""),"G-REQ-00589")</f>
        <v>G-REQ-00589</v>
      </c>
      <c r="B590" s="11">
        <f>IFERROR(__xludf.DUMMYFUNCTION("""COMPUTED_VALUE"""),45803.23622577073)</f>
        <v>45803.23623</v>
      </c>
      <c r="C590" s="9">
        <f>IFERROR(__xludf.DUMMYFUNCTION("""COMPUTED_VALUE"""),2731.0)</f>
        <v>2731</v>
      </c>
      <c r="D590" s="9" t="str">
        <f>IFERROR(__xludf.DUMMYFUNCTION("""COMPUTED_VALUE"""),"Completed")</f>
        <v>Completed</v>
      </c>
    </row>
    <row r="591">
      <c r="A591" s="9" t="str">
        <f>IFERROR(__xludf.DUMMYFUNCTION("""COMPUTED_VALUE"""),"G-REQ-00590")</f>
        <v>G-REQ-00590</v>
      </c>
      <c r="B591" s="11">
        <f>IFERROR(__xludf.DUMMYFUNCTION("""COMPUTED_VALUE"""),45803.30740061614)</f>
        <v>45803.3074</v>
      </c>
      <c r="C591" s="9">
        <f>IFERROR(__xludf.DUMMYFUNCTION("""COMPUTED_VALUE"""),2735.0)</f>
        <v>2735</v>
      </c>
      <c r="D591" s="9" t="str">
        <f>IFERROR(__xludf.DUMMYFUNCTION("""COMPUTED_VALUE"""),"Completed")</f>
        <v>Completed</v>
      </c>
    </row>
    <row r="592">
      <c r="A592" s="9" t="str">
        <f>IFERROR(__xludf.DUMMYFUNCTION("""COMPUTED_VALUE"""),"G-REQ-00591")</f>
        <v>G-REQ-00591</v>
      </c>
      <c r="B592" s="11">
        <f>IFERROR(__xludf.DUMMYFUNCTION("""COMPUTED_VALUE"""),45803.37857546155)</f>
        <v>45803.37858</v>
      </c>
      <c r="C592" s="9">
        <f>IFERROR(__xludf.DUMMYFUNCTION("""COMPUTED_VALUE"""),2739.0)</f>
        <v>2739</v>
      </c>
      <c r="D592" s="9" t="str">
        <f>IFERROR(__xludf.DUMMYFUNCTION("""COMPUTED_VALUE"""),"Completed")</f>
        <v>Completed</v>
      </c>
    </row>
    <row r="593">
      <c r="A593" s="9" t="str">
        <f>IFERROR(__xludf.DUMMYFUNCTION("""COMPUTED_VALUE"""),"G-REQ-00592")</f>
        <v>G-REQ-00592</v>
      </c>
      <c r="B593" s="11">
        <f>IFERROR(__xludf.DUMMYFUNCTION("""COMPUTED_VALUE"""),45803.44280586253)</f>
        <v>45803.44281</v>
      </c>
      <c r="C593" s="9">
        <f>IFERROR(__xludf.DUMMYFUNCTION("""COMPUTED_VALUE"""),2741.0)</f>
        <v>2741</v>
      </c>
      <c r="D593" s="9" t="str">
        <f>IFERROR(__xludf.DUMMYFUNCTION("""COMPUTED_VALUE"""),"Rejected")</f>
        <v>Rejected</v>
      </c>
    </row>
    <row r="594">
      <c r="A594" s="9" t="str">
        <f>IFERROR(__xludf.DUMMYFUNCTION("""COMPUTED_VALUE"""),"G-REQ-00593")</f>
        <v>G-REQ-00593</v>
      </c>
      <c r="B594" s="11">
        <f>IFERROR(__xludf.DUMMYFUNCTION("""COMPUTED_VALUE"""),45803.52092515239)</f>
        <v>45803.52093</v>
      </c>
      <c r="C594" s="9">
        <f>IFERROR(__xludf.DUMMYFUNCTION("""COMPUTED_VALUE"""),2745.0)</f>
        <v>2745</v>
      </c>
      <c r="D594" s="9" t="str">
        <f>IFERROR(__xludf.DUMMYFUNCTION("""COMPUTED_VALUE"""),"Completed")</f>
        <v>Completed</v>
      </c>
    </row>
    <row r="595">
      <c r="A595" s="9" t="str">
        <f>IFERROR(__xludf.DUMMYFUNCTION("""COMPUTED_VALUE"""),"G-REQ-00594")</f>
        <v>G-REQ-00594</v>
      </c>
      <c r="B595" s="11">
        <f>IFERROR(__xludf.DUMMYFUNCTION("""COMPUTED_VALUE"""),45803.5920999978)</f>
        <v>45803.5921</v>
      </c>
      <c r="C595" s="9">
        <f>IFERROR(__xludf.DUMMYFUNCTION("""COMPUTED_VALUE"""),2749.0)</f>
        <v>2749</v>
      </c>
      <c r="D595" s="9" t="str">
        <f>IFERROR(__xludf.DUMMYFUNCTION("""COMPUTED_VALUE"""),"Completed")</f>
        <v>Completed</v>
      </c>
    </row>
    <row r="596">
      <c r="A596" s="9" t="str">
        <f>IFERROR(__xludf.DUMMYFUNCTION("""COMPUTED_VALUE"""),"G-REQ-00595")</f>
        <v>G-REQ-00595</v>
      </c>
      <c r="B596" s="11">
        <f>IFERROR(__xludf.DUMMYFUNCTION("""COMPUTED_VALUE"""),45803.66327484322)</f>
        <v>45803.66327</v>
      </c>
      <c r="C596" s="9">
        <f>IFERROR(__xludf.DUMMYFUNCTION("""COMPUTED_VALUE"""),2753.0)</f>
        <v>2753</v>
      </c>
      <c r="D596" s="9" t="str">
        <f>IFERROR(__xludf.DUMMYFUNCTION("""COMPUTED_VALUE"""),"Completed")</f>
        <v>Completed</v>
      </c>
    </row>
    <row r="597">
      <c r="A597" s="9" t="str">
        <f>IFERROR(__xludf.DUMMYFUNCTION("""COMPUTED_VALUE"""),"G-REQ-00596")</f>
        <v>G-REQ-00596</v>
      </c>
      <c r="B597" s="11">
        <f>IFERROR(__xludf.DUMMYFUNCTION("""COMPUTED_VALUE"""),45803.734449688636)</f>
        <v>45803.73445</v>
      </c>
      <c r="C597" s="9">
        <f>IFERROR(__xludf.DUMMYFUNCTION("""COMPUTED_VALUE"""),2757.0)</f>
        <v>2757</v>
      </c>
      <c r="D597" s="9" t="str">
        <f>IFERROR(__xludf.DUMMYFUNCTION("""COMPUTED_VALUE"""),"Completed")</f>
        <v>Completed</v>
      </c>
    </row>
    <row r="598">
      <c r="A598" s="9" t="str">
        <f>IFERROR(__xludf.DUMMYFUNCTION("""COMPUTED_VALUE"""),"G-REQ-00597")</f>
        <v>G-REQ-00597</v>
      </c>
      <c r="B598" s="11">
        <f>IFERROR(__xludf.DUMMYFUNCTION("""COMPUTED_VALUE"""),45803.80562453405)</f>
        <v>45803.80562</v>
      </c>
      <c r="C598" s="9">
        <f>IFERROR(__xludf.DUMMYFUNCTION("""COMPUTED_VALUE"""),2761.0)</f>
        <v>2761</v>
      </c>
      <c r="D598" s="9" t="str">
        <f>IFERROR(__xludf.DUMMYFUNCTION("""COMPUTED_VALUE"""),"Completed")</f>
        <v>Completed</v>
      </c>
    </row>
    <row r="599">
      <c r="A599" s="9" t="str">
        <f>IFERROR(__xludf.DUMMYFUNCTION("""COMPUTED_VALUE"""),"G-REQ-00598")</f>
        <v>G-REQ-00598</v>
      </c>
      <c r="B599" s="11">
        <f>IFERROR(__xludf.DUMMYFUNCTION("""COMPUTED_VALUE"""),45803.87679937946)</f>
        <v>45803.8768</v>
      </c>
      <c r="C599" s="9">
        <f>IFERROR(__xludf.DUMMYFUNCTION("""COMPUTED_VALUE"""),2765.0)</f>
        <v>2765</v>
      </c>
      <c r="D599" s="9" t="str">
        <f>IFERROR(__xludf.DUMMYFUNCTION("""COMPUTED_VALUE"""),"Completed")</f>
        <v>Completed</v>
      </c>
    </row>
    <row r="600">
      <c r="A600" s="9" t="str">
        <f>IFERROR(__xludf.DUMMYFUNCTION("""COMPUTED_VALUE"""),"G-REQ-00599")</f>
        <v>G-REQ-00599</v>
      </c>
      <c r="B600" s="11">
        <f>IFERROR(__xludf.DUMMYFUNCTION("""COMPUTED_VALUE"""),45803.94797422488)</f>
        <v>45803.94797</v>
      </c>
      <c r="C600" s="9">
        <f>IFERROR(__xludf.DUMMYFUNCTION("""COMPUTED_VALUE"""),2769.0)</f>
        <v>2769</v>
      </c>
      <c r="D600" s="9" t="str">
        <f>IFERROR(__xludf.DUMMYFUNCTION("""COMPUTED_VALUE"""),"Completed")</f>
        <v>Completed</v>
      </c>
    </row>
    <row r="601">
      <c r="A601" s="9" t="str">
        <f>IFERROR(__xludf.DUMMYFUNCTION("""COMPUTED_VALUE"""),"G-REQ-00600")</f>
        <v>G-REQ-00600</v>
      </c>
      <c r="B601" s="11">
        <f>IFERROR(__xludf.DUMMYFUNCTION("""COMPUTED_VALUE"""),45804.01220462585)</f>
        <v>45804.0122</v>
      </c>
      <c r="C601" s="9">
        <f>IFERROR(__xludf.DUMMYFUNCTION("""COMPUTED_VALUE"""),2771.0)</f>
        <v>2771</v>
      </c>
      <c r="D601" s="9" t="str">
        <f>IFERROR(__xludf.DUMMYFUNCTION("""COMPUTED_VALUE"""),"Rejected")</f>
        <v>Rejected</v>
      </c>
    </row>
    <row r="602">
      <c r="A602" s="9" t="str">
        <f>IFERROR(__xludf.DUMMYFUNCTION("""COMPUTED_VALUE"""),"G-REQ-00601")</f>
        <v>G-REQ-00601</v>
      </c>
      <c r="B602" s="11">
        <f>IFERROR(__xludf.DUMMYFUNCTION("""COMPUTED_VALUE"""),45804.090323915705)</f>
        <v>45804.09032</v>
      </c>
      <c r="C602" s="9">
        <f>IFERROR(__xludf.DUMMYFUNCTION("""COMPUTED_VALUE"""),2775.0)</f>
        <v>2775</v>
      </c>
      <c r="D602" s="9" t="str">
        <f>IFERROR(__xludf.DUMMYFUNCTION("""COMPUTED_VALUE"""),"Completed")</f>
        <v>Completed</v>
      </c>
    </row>
    <row r="603">
      <c r="A603" s="9" t="str">
        <f>IFERROR(__xludf.DUMMYFUNCTION("""COMPUTED_VALUE"""),"G-REQ-00602")</f>
        <v>G-REQ-00602</v>
      </c>
      <c r="B603" s="11">
        <f>IFERROR(__xludf.DUMMYFUNCTION("""COMPUTED_VALUE"""),45804.15455431668)</f>
        <v>45804.15455</v>
      </c>
      <c r="C603" s="9">
        <f>IFERROR(__xludf.DUMMYFUNCTION("""COMPUTED_VALUE"""),2777.0)</f>
        <v>2777</v>
      </c>
      <c r="D603" s="9" t="str">
        <f>IFERROR(__xludf.DUMMYFUNCTION("""COMPUTED_VALUE"""),"Cancelled")</f>
        <v>Cancelled</v>
      </c>
    </row>
    <row r="604">
      <c r="A604" s="9" t="str">
        <f>IFERROR(__xludf.DUMMYFUNCTION("""COMPUTED_VALUE"""),"G-REQ-00603")</f>
        <v>G-REQ-00603</v>
      </c>
      <c r="B604" s="11">
        <f>IFERROR(__xludf.DUMMYFUNCTION("""COMPUTED_VALUE"""),45804.23267360654)</f>
        <v>45804.23267</v>
      </c>
      <c r="C604" s="9">
        <f>IFERROR(__xludf.DUMMYFUNCTION("""COMPUTED_VALUE"""),2781.0)</f>
        <v>2781</v>
      </c>
      <c r="D604" s="9" t="str">
        <f>IFERROR(__xludf.DUMMYFUNCTION("""COMPUTED_VALUE"""),"Completed")</f>
        <v>Completed</v>
      </c>
    </row>
    <row r="605">
      <c r="A605" s="9" t="str">
        <f>IFERROR(__xludf.DUMMYFUNCTION("""COMPUTED_VALUE"""),"G-REQ-00604")</f>
        <v>G-REQ-00604</v>
      </c>
      <c r="B605" s="11">
        <f>IFERROR(__xludf.DUMMYFUNCTION("""COMPUTED_VALUE"""),45804.30384845195)</f>
        <v>45804.30385</v>
      </c>
      <c r="C605" s="9">
        <f>IFERROR(__xludf.DUMMYFUNCTION("""COMPUTED_VALUE"""),2785.0)</f>
        <v>2785</v>
      </c>
      <c r="D605" s="9" t="str">
        <f>IFERROR(__xludf.DUMMYFUNCTION("""COMPUTED_VALUE"""),"Completed")</f>
        <v>Completed</v>
      </c>
    </row>
    <row r="606">
      <c r="A606" s="9" t="str">
        <f>IFERROR(__xludf.DUMMYFUNCTION("""COMPUTED_VALUE"""),"G-REQ-00605")</f>
        <v>G-REQ-00605</v>
      </c>
      <c r="B606" s="11">
        <f>IFERROR(__xludf.DUMMYFUNCTION("""COMPUTED_VALUE"""),45804.37502329737)</f>
        <v>45804.37502</v>
      </c>
      <c r="C606" s="9">
        <f>IFERROR(__xludf.DUMMYFUNCTION("""COMPUTED_VALUE"""),2789.0)</f>
        <v>2789</v>
      </c>
      <c r="D606" s="9" t="str">
        <f>IFERROR(__xludf.DUMMYFUNCTION("""COMPUTED_VALUE"""),"Completed")</f>
        <v>Completed</v>
      </c>
    </row>
    <row r="607">
      <c r="A607" s="9" t="str">
        <f>IFERROR(__xludf.DUMMYFUNCTION("""COMPUTED_VALUE"""),"G-REQ-00606")</f>
        <v>G-REQ-00606</v>
      </c>
      <c r="B607" s="11">
        <f>IFERROR(__xludf.DUMMYFUNCTION("""COMPUTED_VALUE"""),45804.439253698336)</f>
        <v>45804.43925</v>
      </c>
      <c r="C607" s="9">
        <f>IFERROR(__xludf.DUMMYFUNCTION("""COMPUTED_VALUE"""),2791.0)</f>
        <v>2791</v>
      </c>
      <c r="D607" s="9" t="str">
        <f>IFERROR(__xludf.DUMMYFUNCTION("""COMPUTED_VALUE"""),"Rejected")</f>
        <v>Rejected</v>
      </c>
    </row>
    <row r="608">
      <c r="A608" s="9" t="str">
        <f>IFERROR(__xludf.DUMMYFUNCTION("""COMPUTED_VALUE"""),"G-REQ-00607")</f>
        <v>G-REQ-00607</v>
      </c>
      <c r="B608" s="11">
        <f>IFERROR(__xludf.DUMMYFUNCTION("""COMPUTED_VALUE"""),45804.51042854375)</f>
        <v>45804.51043</v>
      </c>
      <c r="C608" s="9">
        <f>IFERROR(__xludf.DUMMYFUNCTION("""COMPUTED_VALUE"""),2793.0)</f>
        <v>2793</v>
      </c>
      <c r="D608" s="9" t="str">
        <f>IFERROR(__xludf.DUMMYFUNCTION("""COMPUTED_VALUE"""),"Rejected")</f>
        <v>Rejected</v>
      </c>
    </row>
    <row r="609">
      <c r="A609" s="9" t="str">
        <f>IFERROR(__xludf.DUMMYFUNCTION("""COMPUTED_VALUE"""),"G-REQ-00608")</f>
        <v>G-REQ-00608</v>
      </c>
      <c r="B609" s="11">
        <f>IFERROR(__xludf.DUMMYFUNCTION("""COMPUTED_VALUE"""),45804.58854783361)</f>
        <v>45804.58855</v>
      </c>
      <c r="C609" s="9">
        <f>IFERROR(__xludf.DUMMYFUNCTION("""COMPUTED_VALUE"""),2797.0)</f>
        <v>2797</v>
      </c>
      <c r="D609" s="9" t="str">
        <f>IFERROR(__xludf.DUMMYFUNCTION("""COMPUTED_VALUE"""),"Completed")</f>
        <v>Completed</v>
      </c>
    </row>
    <row r="610">
      <c r="A610" s="9" t="str">
        <f>IFERROR(__xludf.DUMMYFUNCTION("""COMPUTED_VALUE"""),"G-REQ-00609")</f>
        <v>G-REQ-00609</v>
      </c>
      <c r="B610" s="11">
        <f>IFERROR(__xludf.DUMMYFUNCTION("""COMPUTED_VALUE"""),45804.65972267903)</f>
        <v>45804.65972</v>
      </c>
      <c r="C610" s="9">
        <f>IFERROR(__xludf.DUMMYFUNCTION("""COMPUTED_VALUE"""),2801.0)</f>
        <v>2801</v>
      </c>
      <c r="D610" s="9" t="str">
        <f>IFERROR(__xludf.DUMMYFUNCTION("""COMPUTED_VALUE"""),"Completed")</f>
        <v>Completed</v>
      </c>
    </row>
    <row r="611">
      <c r="A611" s="9" t="str">
        <f>IFERROR(__xludf.DUMMYFUNCTION("""COMPUTED_VALUE"""),"G-REQ-00610")</f>
        <v>G-REQ-00610</v>
      </c>
      <c r="B611" s="11">
        <f>IFERROR(__xludf.DUMMYFUNCTION("""COMPUTED_VALUE"""),45804.73089752444)</f>
        <v>45804.7309</v>
      </c>
      <c r="C611" s="9">
        <f>IFERROR(__xludf.DUMMYFUNCTION("""COMPUTED_VALUE"""),2805.0)</f>
        <v>2805</v>
      </c>
      <c r="D611" s="9" t="str">
        <f>IFERROR(__xludf.DUMMYFUNCTION("""COMPUTED_VALUE"""),"Completed")</f>
        <v>Completed</v>
      </c>
    </row>
    <row r="612">
      <c r="A612" s="9" t="str">
        <f>IFERROR(__xludf.DUMMYFUNCTION("""COMPUTED_VALUE"""),"G-REQ-00611")</f>
        <v>G-REQ-00611</v>
      </c>
      <c r="B612" s="11">
        <f>IFERROR(__xludf.DUMMYFUNCTION("""COMPUTED_VALUE"""),45804.79512792541)</f>
        <v>45804.79513</v>
      </c>
      <c r="C612" s="9">
        <f>IFERROR(__xludf.DUMMYFUNCTION("""COMPUTED_VALUE"""),2807.0)</f>
        <v>2807</v>
      </c>
      <c r="D612" s="9" t="str">
        <f>IFERROR(__xludf.DUMMYFUNCTION("""COMPUTED_VALUE"""),"Rejected")</f>
        <v>Rejected</v>
      </c>
    </row>
    <row r="613">
      <c r="A613" s="9" t="str">
        <f>IFERROR(__xludf.DUMMYFUNCTION("""COMPUTED_VALUE"""),"G-REQ-00612")</f>
        <v>G-REQ-00612</v>
      </c>
      <c r="B613" s="11">
        <f>IFERROR(__xludf.DUMMYFUNCTION("""COMPUTED_VALUE"""),45804.87324721528)</f>
        <v>45804.87325</v>
      </c>
      <c r="C613" s="9">
        <f>IFERROR(__xludf.DUMMYFUNCTION("""COMPUTED_VALUE"""),2811.0)</f>
        <v>2811</v>
      </c>
      <c r="D613" s="9" t="str">
        <f>IFERROR(__xludf.DUMMYFUNCTION("""COMPUTED_VALUE"""),"Completed")</f>
        <v>Completed</v>
      </c>
    </row>
    <row r="614">
      <c r="A614" s="9" t="str">
        <f>IFERROR(__xludf.DUMMYFUNCTION("""COMPUTED_VALUE"""),"G-REQ-00613")</f>
        <v>G-REQ-00613</v>
      </c>
      <c r="B614" s="11">
        <f>IFERROR(__xludf.DUMMYFUNCTION("""COMPUTED_VALUE"""),45804.94442206069)</f>
        <v>45804.94442</v>
      </c>
      <c r="C614" s="9">
        <f>IFERROR(__xludf.DUMMYFUNCTION("""COMPUTED_VALUE"""),2815.0)</f>
        <v>2815</v>
      </c>
      <c r="D614" s="9" t="str">
        <f>IFERROR(__xludf.DUMMYFUNCTION("""COMPUTED_VALUE"""),"Completed")</f>
        <v>Completed</v>
      </c>
    </row>
    <row r="615">
      <c r="A615" s="9" t="str">
        <f>IFERROR(__xludf.DUMMYFUNCTION("""COMPUTED_VALUE"""),"G-REQ-00614")</f>
        <v>G-REQ-00614</v>
      </c>
      <c r="B615" s="11">
        <f>IFERROR(__xludf.DUMMYFUNCTION("""COMPUTED_VALUE"""),45805.0155969061)</f>
        <v>45805.0156</v>
      </c>
      <c r="C615" s="9">
        <f>IFERROR(__xludf.DUMMYFUNCTION("""COMPUTED_VALUE"""),2819.0)</f>
        <v>2819</v>
      </c>
      <c r="D615" s="9" t="str">
        <f>IFERROR(__xludf.DUMMYFUNCTION("""COMPUTED_VALUE"""),"Completed")</f>
        <v>Completed</v>
      </c>
    </row>
    <row r="616">
      <c r="A616" s="9" t="str">
        <f>IFERROR(__xludf.DUMMYFUNCTION("""COMPUTED_VALUE"""),"G-REQ-00615")</f>
        <v>G-REQ-00615</v>
      </c>
      <c r="B616" s="11">
        <f>IFERROR(__xludf.DUMMYFUNCTION("""COMPUTED_VALUE"""),45805.08677175152)</f>
        <v>45805.08677</v>
      </c>
      <c r="C616" s="9">
        <f>IFERROR(__xludf.DUMMYFUNCTION("""COMPUTED_VALUE"""),2823.0)</f>
        <v>2823</v>
      </c>
      <c r="D616" s="9" t="str">
        <f>IFERROR(__xludf.DUMMYFUNCTION("""COMPUTED_VALUE"""),"Completed")</f>
        <v>Completed</v>
      </c>
    </row>
    <row r="617">
      <c r="A617" s="9" t="str">
        <f>IFERROR(__xludf.DUMMYFUNCTION("""COMPUTED_VALUE"""),"G-REQ-00616")</f>
        <v>G-REQ-00616</v>
      </c>
      <c r="B617" s="11">
        <f>IFERROR(__xludf.DUMMYFUNCTION("""COMPUTED_VALUE"""),45805.15100215249)</f>
        <v>45805.151</v>
      </c>
      <c r="C617" s="9">
        <f>IFERROR(__xludf.DUMMYFUNCTION("""COMPUTED_VALUE"""),2825.0)</f>
        <v>2825</v>
      </c>
      <c r="D617" s="9" t="str">
        <f>IFERROR(__xludf.DUMMYFUNCTION("""COMPUTED_VALUE"""),"Rejected")</f>
        <v>Rejected</v>
      </c>
    </row>
    <row r="618">
      <c r="A618" s="9" t="str">
        <f>IFERROR(__xludf.DUMMYFUNCTION("""COMPUTED_VALUE"""),"G-REQ-00617")</f>
        <v>G-REQ-00617</v>
      </c>
      <c r="B618" s="11">
        <f>IFERROR(__xludf.DUMMYFUNCTION("""COMPUTED_VALUE"""),45805.229121442346)</f>
        <v>45805.22912</v>
      </c>
      <c r="C618" s="9">
        <f>IFERROR(__xludf.DUMMYFUNCTION("""COMPUTED_VALUE"""),2829.0)</f>
        <v>2829</v>
      </c>
      <c r="D618" s="9" t="str">
        <f>IFERROR(__xludf.DUMMYFUNCTION("""COMPUTED_VALUE"""),"Completed")</f>
        <v>Completed</v>
      </c>
    </row>
    <row r="619">
      <c r="A619" s="9" t="str">
        <f>IFERROR(__xludf.DUMMYFUNCTION("""COMPUTED_VALUE"""),"G-REQ-00618")</f>
        <v>G-REQ-00618</v>
      </c>
      <c r="B619" s="11">
        <f>IFERROR(__xludf.DUMMYFUNCTION("""COMPUTED_VALUE"""),45805.300296287765)</f>
        <v>45805.3003</v>
      </c>
      <c r="C619" s="9">
        <f>IFERROR(__xludf.DUMMYFUNCTION("""COMPUTED_VALUE"""),2833.0)</f>
        <v>2833</v>
      </c>
      <c r="D619" s="9" t="str">
        <f>IFERROR(__xludf.DUMMYFUNCTION("""COMPUTED_VALUE"""),"Completed")</f>
        <v>Completed</v>
      </c>
    </row>
    <row r="620">
      <c r="A620" s="9" t="str">
        <f>IFERROR(__xludf.DUMMYFUNCTION("""COMPUTED_VALUE"""),"G-REQ-00619")</f>
        <v>G-REQ-00619</v>
      </c>
      <c r="B620" s="11">
        <f>IFERROR(__xludf.DUMMYFUNCTION("""COMPUTED_VALUE"""),45805.371471133185)</f>
        <v>45805.37147</v>
      </c>
      <c r="C620" s="9">
        <f>IFERROR(__xludf.DUMMYFUNCTION("""COMPUTED_VALUE"""),2837.0)</f>
        <v>2837</v>
      </c>
      <c r="D620" s="9" t="str">
        <f>IFERROR(__xludf.DUMMYFUNCTION("""COMPUTED_VALUE"""),"Completed")</f>
        <v>Completed</v>
      </c>
    </row>
    <row r="621">
      <c r="A621" s="9" t="str">
        <f>IFERROR(__xludf.DUMMYFUNCTION("""COMPUTED_VALUE"""),"G-REQ-00620")</f>
        <v>G-REQ-00620</v>
      </c>
      <c r="B621" s="11">
        <f>IFERROR(__xludf.DUMMYFUNCTION("""COMPUTED_VALUE"""),45805.44264597859)</f>
        <v>45805.44265</v>
      </c>
      <c r="C621" s="9">
        <f>IFERROR(__xludf.DUMMYFUNCTION("""COMPUTED_VALUE"""),2841.0)</f>
        <v>2841</v>
      </c>
      <c r="D621" s="9" t="str">
        <f>IFERROR(__xludf.DUMMYFUNCTION("""COMPUTED_VALUE"""),"Completed")</f>
        <v>Completed</v>
      </c>
    </row>
    <row r="622">
      <c r="A622" s="9" t="str">
        <f>IFERROR(__xludf.DUMMYFUNCTION("""COMPUTED_VALUE"""),"G-REQ-00621")</f>
        <v>G-REQ-00621</v>
      </c>
      <c r="B622" s="11">
        <f>IFERROR(__xludf.DUMMYFUNCTION("""COMPUTED_VALUE"""),45805.51382082401)</f>
        <v>45805.51382</v>
      </c>
      <c r="C622" s="9">
        <f>IFERROR(__xludf.DUMMYFUNCTION("""COMPUTED_VALUE"""),2845.0)</f>
        <v>2845</v>
      </c>
      <c r="D622" s="9" t="str">
        <f>IFERROR(__xludf.DUMMYFUNCTION("""COMPUTED_VALUE"""),"Completed")</f>
        <v>Completed</v>
      </c>
    </row>
    <row r="623">
      <c r="A623" s="9" t="str">
        <f>IFERROR(__xludf.DUMMYFUNCTION("""COMPUTED_VALUE"""),"G-REQ-00622")</f>
        <v>G-REQ-00622</v>
      </c>
      <c r="B623" s="11">
        <f>IFERROR(__xludf.DUMMYFUNCTION("""COMPUTED_VALUE"""),45805.58499566942)</f>
        <v>45805.585</v>
      </c>
      <c r="C623" s="9">
        <f>IFERROR(__xludf.DUMMYFUNCTION("""COMPUTED_VALUE"""),2849.0)</f>
        <v>2849</v>
      </c>
      <c r="D623" s="9" t="str">
        <f>IFERROR(__xludf.DUMMYFUNCTION("""COMPUTED_VALUE"""),"Completed")</f>
        <v>Completed</v>
      </c>
    </row>
    <row r="624">
      <c r="A624" s="9" t="str">
        <f>IFERROR(__xludf.DUMMYFUNCTION("""COMPUTED_VALUE"""),"G-REQ-00623")</f>
        <v>G-REQ-00623</v>
      </c>
      <c r="B624" s="11">
        <f>IFERROR(__xludf.DUMMYFUNCTION("""COMPUTED_VALUE"""),45805.65617051484)</f>
        <v>45805.65617</v>
      </c>
      <c r="C624" s="9">
        <f>IFERROR(__xludf.DUMMYFUNCTION("""COMPUTED_VALUE"""),2853.0)</f>
        <v>2853</v>
      </c>
      <c r="D624" s="9" t="str">
        <f>IFERROR(__xludf.DUMMYFUNCTION("""COMPUTED_VALUE"""),"Completed")</f>
        <v>Completed</v>
      </c>
    </row>
    <row r="625">
      <c r="A625" s="9" t="str">
        <f>IFERROR(__xludf.DUMMYFUNCTION("""COMPUTED_VALUE"""),"G-REQ-00624")</f>
        <v>G-REQ-00624</v>
      </c>
      <c r="B625" s="11">
        <f>IFERROR(__xludf.DUMMYFUNCTION("""COMPUTED_VALUE"""),45805.727345360254)</f>
        <v>45805.72735</v>
      </c>
      <c r="C625" s="9">
        <f>IFERROR(__xludf.DUMMYFUNCTION("""COMPUTED_VALUE"""),2857.0)</f>
        <v>2857</v>
      </c>
      <c r="D625" s="9" t="str">
        <f>IFERROR(__xludf.DUMMYFUNCTION("""COMPUTED_VALUE"""),"Completed")</f>
        <v>Completed</v>
      </c>
    </row>
    <row r="626">
      <c r="A626" s="9" t="str">
        <f>IFERROR(__xludf.DUMMYFUNCTION("""COMPUTED_VALUE"""),"G-REQ-00625")</f>
        <v>G-REQ-00625</v>
      </c>
      <c r="B626" s="11">
        <f>IFERROR(__xludf.DUMMYFUNCTION("""COMPUTED_VALUE"""),45805.79157576123)</f>
        <v>45805.79158</v>
      </c>
      <c r="C626" s="9">
        <f>IFERROR(__xludf.DUMMYFUNCTION("""COMPUTED_VALUE"""),2859.0)</f>
        <v>2859</v>
      </c>
      <c r="D626" s="9" t="str">
        <f>IFERROR(__xludf.DUMMYFUNCTION("""COMPUTED_VALUE"""),"Rejected")</f>
        <v>Rejected</v>
      </c>
    </row>
    <row r="627">
      <c r="A627" s="9" t="str">
        <f>IFERROR(__xludf.DUMMYFUNCTION("""COMPUTED_VALUE"""),"G-REQ-00626")</f>
        <v>G-REQ-00626</v>
      </c>
      <c r="B627" s="11">
        <f>IFERROR(__xludf.DUMMYFUNCTION("""COMPUTED_VALUE"""),45805.86275060663)</f>
        <v>45805.86275</v>
      </c>
      <c r="C627" s="9">
        <f>IFERROR(__xludf.DUMMYFUNCTION("""COMPUTED_VALUE"""),2861.0)</f>
        <v>2861</v>
      </c>
      <c r="D627" s="9" t="str">
        <f>IFERROR(__xludf.DUMMYFUNCTION("""COMPUTED_VALUE"""),"Rejected")</f>
        <v>Rejected</v>
      </c>
    </row>
    <row r="628">
      <c r="A628" s="9" t="str">
        <f>IFERROR(__xludf.DUMMYFUNCTION("""COMPUTED_VALUE"""),"G-REQ-00627")</f>
        <v>G-REQ-00627</v>
      </c>
      <c r="B628" s="11">
        <f>IFERROR(__xludf.DUMMYFUNCTION("""COMPUTED_VALUE"""),45805.93392545205)</f>
        <v>45805.93393</v>
      </c>
      <c r="C628" s="9">
        <f>IFERROR(__xludf.DUMMYFUNCTION("""COMPUTED_VALUE"""),2863.0)</f>
        <v>2863</v>
      </c>
      <c r="D628" s="9" t="str">
        <f>IFERROR(__xludf.DUMMYFUNCTION("""COMPUTED_VALUE"""),"Cancelled")</f>
        <v>Cancelled</v>
      </c>
    </row>
    <row r="629">
      <c r="A629" s="9" t="str">
        <f>IFERROR(__xludf.DUMMYFUNCTION("""COMPUTED_VALUE"""),"G-REQ-00628")</f>
        <v>G-REQ-00628</v>
      </c>
      <c r="B629" s="11">
        <f>IFERROR(__xludf.DUMMYFUNCTION("""COMPUTED_VALUE"""),45806.01204474192)</f>
        <v>45806.01204</v>
      </c>
      <c r="C629" s="9">
        <f>IFERROR(__xludf.DUMMYFUNCTION("""COMPUTED_VALUE"""),2867.0)</f>
        <v>2867</v>
      </c>
      <c r="D629" s="9" t="str">
        <f>IFERROR(__xludf.DUMMYFUNCTION("""COMPUTED_VALUE"""),"Completed")</f>
        <v>Completed</v>
      </c>
    </row>
    <row r="630">
      <c r="A630" s="9" t="str">
        <f>IFERROR(__xludf.DUMMYFUNCTION("""COMPUTED_VALUE"""),"G-REQ-00629")</f>
        <v>G-REQ-00629</v>
      </c>
      <c r="B630" s="11">
        <f>IFERROR(__xludf.DUMMYFUNCTION("""COMPUTED_VALUE"""),45806.08321958733)</f>
        <v>45806.08322</v>
      </c>
      <c r="C630" s="9">
        <f>IFERROR(__xludf.DUMMYFUNCTION("""COMPUTED_VALUE"""),2871.0)</f>
        <v>2871</v>
      </c>
      <c r="D630" s="9" t="str">
        <f>IFERROR(__xludf.DUMMYFUNCTION("""COMPUTED_VALUE"""),"Completed")</f>
        <v>Completed</v>
      </c>
    </row>
    <row r="631">
      <c r="A631" s="9" t="str">
        <f>IFERROR(__xludf.DUMMYFUNCTION("""COMPUTED_VALUE"""),"G-REQ-00630")</f>
        <v>G-REQ-00630</v>
      </c>
      <c r="B631" s="11">
        <f>IFERROR(__xludf.DUMMYFUNCTION("""COMPUTED_VALUE"""),45806.15439443274)</f>
        <v>45806.15439</v>
      </c>
      <c r="C631" s="9">
        <f>IFERROR(__xludf.DUMMYFUNCTION("""COMPUTED_VALUE"""),2875.0)</f>
        <v>2875</v>
      </c>
      <c r="D631" s="9" t="str">
        <f>IFERROR(__xludf.DUMMYFUNCTION("""COMPUTED_VALUE"""),"Completed")</f>
        <v>Completed</v>
      </c>
    </row>
    <row r="632">
      <c r="A632" s="9" t="str">
        <f>IFERROR(__xludf.DUMMYFUNCTION("""COMPUTED_VALUE"""),"G-REQ-00631")</f>
        <v>G-REQ-00631</v>
      </c>
      <c r="B632" s="11">
        <f>IFERROR(__xludf.DUMMYFUNCTION("""COMPUTED_VALUE"""),45806.22556927816)</f>
        <v>45806.22557</v>
      </c>
      <c r="C632" s="9">
        <f>IFERROR(__xludf.DUMMYFUNCTION("""COMPUTED_VALUE"""),2879.0)</f>
        <v>2879</v>
      </c>
      <c r="D632" s="9" t="str">
        <f>IFERROR(__xludf.DUMMYFUNCTION("""COMPUTED_VALUE"""),"Completed")</f>
        <v>Completed</v>
      </c>
    </row>
    <row r="633">
      <c r="A633" s="9" t="str">
        <f>IFERROR(__xludf.DUMMYFUNCTION("""COMPUTED_VALUE"""),"G-REQ-00632")</f>
        <v>G-REQ-00632</v>
      </c>
      <c r="B633" s="11">
        <f>IFERROR(__xludf.DUMMYFUNCTION("""COMPUTED_VALUE"""),45806.296744123574)</f>
        <v>45806.29674</v>
      </c>
      <c r="C633" s="9">
        <f>IFERROR(__xludf.DUMMYFUNCTION("""COMPUTED_VALUE"""),2883.0)</f>
        <v>2883</v>
      </c>
      <c r="D633" s="9" t="str">
        <f>IFERROR(__xludf.DUMMYFUNCTION("""COMPUTED_VALUE"""),"Completed")</f>
        <v>Completed</v>
      </c>
    </row>
    <row r="634">
      <c r="A634" s="9" t="str">
        <f>IFERROR(__xludf.DUMMYFUNCTION("""COMPUTED_VALUE"""),"G-REQ-00633")</f>
        <v>G-REQ-00633</v>
      </c>
      <c r="B634" s="11">
        <f>IFERROR(__xludf.DUMMYFUNCTION("""COMPUTED_VALUE"""),45806.36791896899)</f>
        <v>45806.36792</v>
      </c>
      <c r="C634" s="9">
        <f>IFERROR(__xludf.DUMMYFUNCTION("""COMPUTED_VALUE"""),2887.0)</f>
        <v>2887</v>
      </c>
      <c r="D634" s="9" t="str">
        <f>IFERROR(__xludf.DUMMYFUNCTION("""COMPUTED_VALUE"""),"Completed")</f>
        <v>Completed</v>
      </c>
    </row>
    <row r="635">
      <c r="A635" s="9" t="str">
        <f>IFERROR(__xludf.DUMMYFUNCTION("""COMPUTED_VALUE"""),"G-REQ-00634")</f>
        <v>G-REQ-00634</v>
      </c>
      <c r="B635" s="11">
        <f>IFERROR(__xludf.DUMMYFUNCTION("""COMPUTED_VALUE"""),45806.439093814406)</f>
        <v>45806.43909</v>
      </c>
      <c r="C635" s="9">
        <f>IFERROR(__xludf.DUMMYFUNCTION("""COMPUTED_VALUE"""),2891.0)</f>
        <v>2891</v>
      </c>
      <c r="D635" s="9" t="str">
        <f>IFERROR(__xludf.DUMMYFUNCTION("""COMPUTED_VALUE"""),"Completed")</f>
        <v>Completed</v>
      </c>
    </row>
    <row r="636">
      <c r="A636" s="9" t="str">
        <f>IFERROR(__xludf.DUMMYFUNCTION("""COMPUTED_VALUE"""),"G-REQ-00635")</f>
        <v>G-REQ-00635</v>
      </c>
      <c r="B636" s="11">
        <f>IFERROR(__xludf.DUMMYFUNCTION("""COMPUTED_VALUE"""),45806.510268659826)</f>
        <v>45806.51027</v>
      </c>
      <c r="C636" s="9">
        <f>IFERROR(__xludf.DUMMYFUNCTION("""COMPUTED_VALUE"""),2895.0)</f>
        <v>2895</v>
      </c>
      <c r="D636" s="9" t="str">
        <f>IFERROR(__xludf.DUMMYFUNCTION("""COMPUTED_VALUE"""),"Completed")</f>
        <v>Completed</v>
      </c>
    </row>
    <row r="637">
      <c r="A637" s="9" t="str">
        <f>IFERROR(__xludf.DUMMYFUNCTION("""COMPUTED_VALUE"""),"G-REQ-00636")</f>
        <v>G-REQ-00636</v>
      </c>
      <c r="B637" s="11">
        <f>IFERROR(__xludf.DUMMYFUNCTION("""COMPUTED_VALUE"""),45806.58144350523)</f>
        <v>45806.58144</v>
      </c>
      <c r="C637" s="9">
        <f>IFERROR(__xludf.DUMMYFUNCTION("""COMPUTED_VALUE"""),2899.0)</f>
        <v>2899</v>
      </c>
      <c r="D637" s="9" t="str">
        <f>IFERROR(__xludf.DUMMYFUNCTION("""COMPUTED_VALUE"""),"Completed")</f>
        <v>Completed</v>
      </c>
    </row>
    <row r="638">
      <c r="A638" s="9" t="str">
        <f>IFERROR(__xludf.DUMMYFUNCTION("""COMPUTED_VALUE"""),"G-REQ-00637")</f>
        <v>G-REQ-00637</v>
      </c>
      <c r="B638" s="11">
        <f>IFERROR(__xludf.DUMMYFUNCTION("""COMPUTED_VALUE"""),45806.65261835065)</f>
        <v>45806.65262</v>
      </c>
      <c r="C638" s="9">
        <f>IFERROR(__xludf.DUMMYFUNCTION("""COMPUTED_VALUE"""),2903.0)</f>
        <v>2903</v>
      </c>
      <c r="D638" s="9" t="str">
        <f>IFERROR(__xludf.DUMMYFUNCTION("""COMPUTED_VALUE"""),"Completed")</f>
        <v>Completed</v>
      </c>
    </row>
    <row r="639">
      <c r="A639" s="9" t="str">
        <f>IFERROR(__xludf.DUMMYFUNCTION("""COMPUTED_VALUE"""),"G-REQ-00638")</f>
        <v>G-REQ-00638</v>
      </c>
      <c r="B639" s="11">
        <f>IFERROR(__xludf.DUMMYFUNCTION("""COMPUTED_VALUE"""),45806.72379319607)</f>
        <v>45806.72379</v>
      </c>
      <c r="C639" s="9">
        <f>IFERROR(__xludf.DUMMYFUNCTION("""COMPUTED_VALUE"""),2907.0)</f>
        <v>2907</v>
      </c>
      <c r="D639" s="9" t="str">
        <f>IFERROR(__xludf.DUMMYFUNCTION("""COMPUTED_VALUE"""),"Completed")</f>
        <v>Completed</v>
      </c>
    </row>
    <row r="640">
      <c r="A640" s="9" t="str">
        <f>IFERROR(__xludf.DUMMYFUNCTION("""COMPUTED_VALUE"""),"G-REQ-00639")</f>
        <v>G-REQ-00639</v>
      </c>
      <c r="B640" s="11">
        <f>IFERROR(__xludf.DUMMYFUNCTION("""COMPUTED_VALUE"""),45806.79496804148)</f>
        <v>45806.79497</v>
      </c>
      <c r="C640" s="9">
        <f>IFERROR(__xludf.DUMMYFUNCTION("""COMPUTED_VALUE"""),2911.0)</f>
        <v>2911</v>
      </c>
      <c r="D640" s="9" t="str">
        <f>IFERROR(__xludf.DUMMYFUNCTION("""COMPUTED_VALUE"""),"Completed")</f>
        <v>Completed</v>
      </c>
    </row>
    <row r="641">
      <c r="A641" s="9" t="str">
        <f>IFERROR(__xludf.DUMMYFUNCTION("""COMPUTED_VALUE"""),"G-REQ-00640")</f>
        <v>G-REQ-00640</v>
      </c>
      <c r="B641" s="11">
        <f>IFERROR(__xludf.DUMMYFUNCTION("""COMPUTED_VALUE"""),45806.866142886895)</f>
        <v>45806.86614</v>
      </c>
      <c r="C641" s="9">
        <f>IFERROR(__xludf.DUMMYFUNCTION("""COMPUTED_VALUE"""),2915.0)</f>
        <v>2915</v>
      </c>
      <c r="D641" s="9" t="str">
        <f>IFERROR(__xludf.DUMMYFUNCTION("""COMPUTED_VALUE"""),"Completed")</f>
        <v>Completed</v>
      </c>
    </row>
    <row r="642">
      <c r="A642" s="9" t="str">
        <f>IFERROR(__xludf.DUMMYFUNCTION("""COMPUTED_VALUE"""),"G-REQ-00641")</f>
        <v>G-REQ-00641</v>
      </c>
      <c r="B642" s="11">
        <f>IFERROR(__xludf.DUMMYFUNCTION("""COMPUTED_VALUE"""),45806.937317732314)</f>
        <v>45806.93732</v>
      </c>
      <c r="C642" s="9">
        <f>IFERROR(__xludf.DUMMYFUNCTION("""COMPUTED_VALUE"""),2919.0)</f>
        <v>2919</v>
      </c>
      <c r="D642" s="9" t="str">
        <f>IFERROR(__xludf.DUMMYFUNCTION("""COMPUTED_VALUE"""),"Completed")</f>
        <v>Completed</v>
      </c>
    </row>
    <row r="643">
      <c r="A643" s="9" t="str">
        <f>IFERROR(__xludf.DUMMYFUNCTION("""COMPUTED_VALUE"""),"G-REQ-00642")</f>
        <v>G-REQ-00642</v>
      </c>
      <c r="B643" s="11">
        <f>IFERROR(__xludf.DUMMYFUNCTION("""COMPUTED_VALUE"""),45807.00849257773)</f>
        <v>45807.00849</v>
      </c>
      <c r="C643" s="9">
        <f>IFERROR(__xludf.DUMMYFUNCTION("""COMPUTED_VALUE"""),2923.0)</f>
        <v>2923</v>
      </c>
      <c r="D643" s="9" t="str">
        <f>IFERROR(__xludf.DUMMYFUNCTION("""COMPUTED_VALUE"""),"Completed")</f>
        <v>Completed</v>
      </c>
    </row>
    <row r="644">
      <c r="A644" s="9" t="str">
        <f>IFERROR(__xludf.DUMMYFUNCTION("""COMPUTED_VALUE"""),"G-REQ-00643")</f>
        <v>G-REQ-00643</v>
      </c>
      <c r="B644" s="11">
        <f>IFERROR(__xludf.DUMMYFUNCTION("""COMPUTED_VALUE"""),45807.07966742314)</f>
        <v>45807.07967</v>
      </c>
      <c r="C644" s="9">
        <f>IFERROR(__xludf.DUMMYFUNCTION("""COMPUTED_VALUE"""),2927.0)</f>
        <v>2927</v>
      </c>
      <c r="D644" s="9" t="str">
        <f>IFERROR(__xludf.DUMMYFUNCTION("""COMPUTED_VALUE"""),"Completed")</f>
        <v>Completed</v>
      </c>
    </row>
    <row r="645">
      <c r="A645" s="9" t="str">
        <f>IFERROR(__xludf.DUMMYFUNCTION("""COMPUTED_VALUE"""),"G-REQ-00644")</f>
        <v>G-REQ-00644</v>
      </c>
      <c r="B645" s="11">
        <f>IFERROR(__xludf.DUMMYFUNCTION("""COMPUTED_VALUE"""),45807.15084226856)</f>
        <v>45807.15084</v>
      </c>
      <c r="C645" s="9">
        <f>IFERROR(__xludf.DUMMYFUNCTION("""COMPUTED_VALUE"""),2931.0)</f>
        <v>2931</v>
      </c>
      <c r="D645" s="9" t="str">
        <f>IFERROR(__xludf.DUMMYFUNCTION("""COMPUTED_VALUE"""),"Completed")</f>
        <v>Completed</v>
      </c>
    </row>
    <row r="646">
      <c r="A646" s="9" t="str">
        <f>IFERROR(__xludf.DUMMYFUNCTION("""COMPUTED_VALUE"""),"G-REQ-00645")</f>
        <v>G-REQ-00645</v>
      </c>
      <c r="B646" s="11">
        <f>IFERROR(__xludf.DUMMYFUNCTION("""COMPUTED_VALUE"""),45807.215072669525)</f>
        <v>45807.21507</v>
      </c>
      <c r="C646" s="9">
        <f>IFERROR(__xludf.DUMMYFUNCTION("""COMPUTED_VALUE"""),2933.0)</f>
        <v>2933</v>
      </c>
      <c r="D646" s="9" t="str">
        <f>IFERROR(__xludf.DUMMYFUNCTION("""COMPUTED_VALUE"""),"Cancelled")</f>
        <v>Cancelled</v>
      </c>
    </row>
    <row r="647">
      <c r="A647" s="9" t="str">
        <f>IFERROR(__xludf.DUMMYFUNCTION("""COMPUTED_VALUE"""),"G-REQ-00646")</f>
        <v>G-REQ-00646</v>
      </c>
      <c r="B647" s="11">
        <f>IFERROR(__xludf.DUMMYFUNCTION("""COMPUTED_VALUE"""),45807.29319195938)</f>
        <v>45807.29319</v>
      </c>
      <c r="C647" s="9">
        <f>IFERROR(__xludf.DUMMYFUNCTION("""COMPUTED_VALUE"""),2937.0)</f>
        <v>2937</v>
      </c>
      <c r="D647" s="9" t="str">
        <f>IFERROR(__xludf.DUMMYFUNCTION("""COMPUTED_VALUE"""),"Completed")</f>
        <v>Completed</v>
      </c>
    </row>
    <row r="648">
      <c r="A648" s="9" t="str">
        <f>IFERROR(__xludf.DUMMYFUNCTION("""COMPUTED_VALUE"""),"G-REQ-00647")</f>
        <v>G-REQ-00647</v>
      </c>
      <c r="B648" s="11">
        <f>IFERROR(__xludf.DUMMYFUNCTION("""COMPUTED_VALUE"""),45807.3643668048)</f>
        <v>45807.36437</v>
      </c>
      <c r="C648" s="9">
        <f>IFERROR(__xludf.DUMMYFUNCTION("""COMPUTED_VALUE"""),2941.0)</f>
        <v>2941</v>
      </c>
      <c r="D648" s="9" t="str">
        <f>IFERROR(__xludf.DUMMYFUNCTION("""COMPUTED_VALUE"""),"Completed")</f>
        <v>Completed</v>
      </c>
    </row>
    <row r="649">
      <c r="A649" s="9" t="str">
        <f>IFERROR(__xludf.DUMMYFUNCTION("""COMPUTED_VALUE"""),"G-REQ-00648")</f>
        <v>G-REQ-00648</v>
      </c>
      <c r="B649" s="11">
        <f>IFERROR(__xludf.DUMMYFUNCTION("""COMPUTED_VALUE"""),45807.435541650215)</f>
        <v>45807.43554</v>
      </c>
      <c r="C649" s="9">
        <f>IFERROR(__xludf.DUMMYFUNCTION("""COMPUTED_VALUE"""),2945.0)</f>
        <v>2945</v>
      </c>
      <c r="D649" s="9" t="str">
        <f>IFERROR(__xludf.DUMMYFUNCTION("""COMPUTED_VALUE"""),"Completed")</f>
        <v>Completed</v>
      </c>
    </row>
    <row r="650">
      <c r="A650" s="9" t="str">
        <f>IFERROR(__xludf.DUMMYFUNCTION("""COMPUTED_VALUE"""),"G-REQ-00649")</f>
        <v>G-REQ-00649</v>
      </c>
      <c r="B650" s="11">
        <f>IFERROR(__xludf.DUMMYFUNCTION("""COMPUTED_VALUE"""),45807.50671649563)</f>
        <v>45807.50672</v>
      </c>
      <c r="C650" s="9">
        <f>IFERROR(__xludf.DUMMYFUNCTION("""COMPUTED_VALUE"""),2949.0)</f>
        <v>2949</v>
      </c>
      <c r="D650" s="9" t="str">
        <f>IFERROR(__xludf.DUMMYFUNCTION("""COMPUTED_VALUE"""),"Completed")</f>
        <v>Completed</v>
      </c>
    </row>
    <row r="651">
      <c r="A651" s="9" t="str">
        <f>IFERROR(__xludf.DUMMYFUNCTION("""COMPUTED_VALUE"""),"G-REQ-00650")</f>
        <v>G-REQ-00650</v>
      </c>
      <c r="B651" s="11">
        <f>IFERROR(__xludf.DUMMYFUNCTION("""COMPUTED_VALUE"""),45807.57789134105)</f>
        <v>45807.57789</v>
      </c>
      <c r="C651" s="9">
        <f>IFERROR(__xludf.DUMMYFUNCTION("""COMPUTED_VALUE"""),2953.0)</f>
        <v>2953</v>
      </c>
      <c r="D651" s="9" t="str">
        <f>IFERROR(__xludf.DUMMYFUNCTION("""COMPUTED_VALUE"""),"Completed")</f>
        <v>Completed</v>
      </c>
    </row>
    <row r="652">
      <c r="A652" s="9" t="str">
        <f>IFERROR(__xludf.DUMMYFUNCTION("""COMPUTED_VALUE"""),"G-REQ-00651")</f>
        <v>G-REQ-00651</v>
      </c>
      <c r="B652" s="11">
        <f>IFERROR(__xludf.DUMMYFUNCTION("""COMPUTED_VALUE"""),45807.64212174202)</f>
        <v>45807.64212</v>
      </c>
      <c r="C652" s="9">
        <f>IFERROR(__xludf.DUMMYFUNCTION("""COMPUTED_VALUE"""),2955.0)</f>
        <v>2955</v>
      </c>
      <c r="D652" s="9" t="str">
        <f>IFERROR(__xludf.DUMMYFUNCTION("""COMPUTED_VALUE"""),"Rejected")</f>
        <v>Rejected</v>
      </c>
    </row>
    <row r="653">
      <c r="A653" s="9" t="str">
        <f>IFERROR(__xludf.DUMMYFUNCTION("""COMPUTED_VALUE"""),"G-REQ-00652")</f>
        <v>G-REQ-00652</v>
      </c>
      <c r="B653" s="11">
        <f>IFERROR(__xludf.DUMMYFUNCTION("""COMPUTED_VALUE"""),45807.72024103187)</f>
        <v>45807.72024</v>
      </c>
      <c r="C653" s="9">
        <f>IFERROR(__xludf.DUMMYFUNCTION("""COMPUTED_VALUE"""),2959.0)</f>
        <v>2959</v>
      </c>
      <c r="D653" s="9" t="str">
        <f>IFERROR(__xludf.DUMMYFUNCTION("""COMPUTED_VALUE"""),"Completed")</f>
        <v>Completed</v>
      </c>
    </row>
    <row r="654">
      <c r="A654" s="9" t="str">
        <f>IFERROR(__xludf.DUMMYFUNCTION("""COMPUTED_VALUE"""),"G-REQ-00653")</f>
        <v>G-REQ-00653</v>
      </c>
      <c r="B654" s="11">
        <f>IFERROR(__xludf.DUMMYFUNCTION("""COMPUTED_VALUE"""),45807.79141587729)</f>
        <v>45807.79142</v>
      </c>
      <c r="C654" s="9">
        <f>IFERROR(__xludf.DUMMYFUNCTION("""COMPUTED_VALUE"""),2963.0)</f>
        <v>2963</v>
      </c>
      <c r="D654" s="9" t="str">
        <f>IFERROR(__xludf.DUMMYFUNCTION("""COMPUTED_VALUE"""),"Completed")</f>
        <v>Completed</v>
      </c>
    </row>
    <row r="655">
      <c r="A655" s="9" t="str">
        <f>IFERROR(__xludf.DUMMYFUNCTION("""COMPUTED_VALUE"""),"G-REQ-00654")</f>
        <v>G-REQ-00654</v>
      </c>
      <c r="B655" s="11">
        <f>IFERROR(__xludf.DUMMYFUNCTION("""COMPUTED_VALUE"""),45807.86259072271)</f>
        <v>45807.86259</v>
      </c>
      <c r="C655" s="9">
        <f>IFERROR(__xludf.DUMMYFUNCTION("""COMPUTED_VALUE"""),2967.0)</f>
        <v>2967</v>
      </c>
      <c r="D655" s="9" t="str">
        <f>IFERROR(__xludf.DUMMYFUNCTION("""COMPUTED_VALUE"""),"Completed")</f>
        <v>Completed</v>
      </c>
    </row>
    <row r="656">
      <c r="A656" s="9" t="str">
        <f>IFERROR(__xludf.DUMMYFUNCTION("""COMPUTED_VALUE"""),"G-REQ-00655")</f>
        <v>G-REQ-00655</v>
      </c>
      <c r="B656" s="11">
        <f>IFERROR(__xludf.DUMMYFUNCTION("""COMPUTED_VALUE"""),45807.92682112368)</f>
        <v>45807.92682</v>
      </c>
      <c r="C656" s="9">
        <f>IFERROR(__xludf.DUMMYFUNCTION("""COMPUTED_VALUE"""),2969.0)</f>
        <v>2969</v>
      </c>
      <c r="D656" s="9" t="str">
        <f>IFERROR(__xludf.DUMMYFUNCTION("""COMPUTED_VALUE"""),"Rejected")</f>
        <v>Rejected</v>
      </c>
    </row>
    <row r="657">
      <c r="A657" s="9" t="str">
        <f>IFERROR(__xludf.DUMMYFUNCTION("""COMPUTED_VALUE"""),"G-REQ-00656")</f>
        <v>G-REQ-00656</v>
      </c>
      <c r="B657" s="11">
        <f>IFERROR(__xludf.DUMMYFUNCTION("""COMPUTED_VALUE"""),45808.004940413535)</f>
        <v>45808.00494</v>
      </c>
      <c r="C657" s="9">
        <f>IFERROR(__xludf.DUMMYFUNCTION("""COMPUTED_VALUE"""),2973.0)</f>
        <v>2973</v>
      </c>
      <c r="D657" s="9" t="str">
        <f>IFERROR(__xludf.DUMMYFUNCTION("""COMPUTED_VALUE"""),"Completed")</f>
        <v>Completed</v>
      </c>
    </row>
    <row r="658">
      <c r="A658" s="9" t="str">
        <f>IFERROR(__xludf.DUMMYFUNCTION("""COMPUTED_VALUE"""),"G-REQ-00657")</f>
        <v>G-REQ-00657</v>
      </c>
      <c r="B658" s="11">
        <f>IFERROR(__xludf.DUMMYFUNCTION("""COMPUTED_VALUE"""),45808.076115258955)</f>
        <v>45808.07612</v>
      </c>
      <c r="C658" s="9">
        <f>IFERROR(__xludf.DUMMYFUNCTION("""COMPUTED_VALUE"""),2977.0)</f>
        <v>2977</v>
      </c>
      <c r="D658" s="9" t="str">
        <f>IFERROR(__xludf.DUMMYFUNCTION("""COMPUTED_VALUE"""),"Completed")</f>
        <v>Completed</v>
      </c>
    </row>
    <row r="659">
      <c r="A659" s="9" t="str">
        <f>IFERROR(__xludf.DUMMYFUNCTION("""COMPUTED_VALUE"""),"G-REQ-00658")</f>
        <v>G-REQ-00658</v>
      </c>
      <c r="B659" s="11">
        <f>IFERROR(__xludf.DUMMYFUNCTION("""COMPUTED_VALUE"""),45808.14729010437)</f>
        <v>45808.14729</v>
      </c>
      <c r="C659" s="9">
        <f>IFERROR(__xludf.DUMMYFUNCTION("""COMPUTED_VALUE"""),2981.0)</f>
        <v>2981</v>
      </c>
      <c r="D659" s="9" t="str">
        <f>IFERROR(__xludf.DUMMYFUNCTION("""COMPUTED_VALUE"""),"Completed")</f>
        <v>Completed</v>
      </c>
    </row>
    <row r="660">
      <c r="A660" s="9" t="str">
        <f>IFERROR(__xludf.DUMMYFUNCTION("""COMPUTED_VALUE"""),"G-REQ-00659")</f>
        <v>G-REQ-00659</v>
      </c>
      <c r="B660" s="11">
        <f>IFERROR(__xludf.DUMMYFUNCTION("""COMPUTED_VALUE"""),45808.21846494978)</f>
        <v>45808.21846</v>
      </c>
      <c r="C660" s="9">
        <f>IFERROR(__xludf.DUMMYFUNCTION("""COMPUTED_VALUE"""),2985.0)</f>
        <v>2985</v>
      </c>
      <c r="D660" s="9" t="str">
        <f>IFERROR(__xludf.DUMMYFUNCTION("""COMPUTED_VALUE"""),"Completed")</f>
        <v>Completed</v>
      </c>
    </row>
    <row r="661">
      <c r="A661" s="9" t="str">
        <f>IFERROR(__xludf.DUMMYFUNCTION("""COMPUTED_VALUE"""),"G-REQ-00660")</f>
        <v>G-REQ-00660</v>
      </c>
      <c r="B661" s="11">
        <f>IFERROR(__xludf.DUMMYFUNCTION("""COMPUTED_VALUE"""),45808.2896397952)</f>
        <v>45808.28964</v>
      </c>
      <c r="C661" s="9">
        <f>IFERROR(__xludf.DUMMYFUNCTION("""COMPUTED_VALUE"""),2989.0)</f>
        <v>2989</v>
      </c>
      <c r="D661" s="9" t="str">
        <f>IFERROR(__xludf.DUMMYFUNCTION("""COMPUTED_VALUE"""),"Completed")</f>
        <v>Completed</v>
      </c>
    </row>
    <row r="662">
      <c r="A662" s="9" t="str">
        <f>IFERROR(__xludf.DUMMYFUNCTION("""COMPUTED_VALUE"""),"G-REQ-00661")</f>
        <v>G-REQ-00661</v>
      </c>
      <c r="B662" s="11">
        <f>IFERROR(__xludf.DUMMYFUNCTION("""COMPUTED_VALUE"""),45808.36081464062)</f>
        <v>45808.36081</v>
      </c>
      <c r="C662" s="9">
        <f>IFERROR(__xludf.DUMMYFUNCTION("""COMPUTED_VALUE"""),2993.0)</f>
        <v>2993</v>
      </c>
      <c r="D662" s="9" t="str">
        <f>IFERROR(__xludf.DUMMYFUNCTION("""COMPUTED_VALUE"""),"Completed")</f>
        <v>Completed</v>
      </c>
    </row>
    <row r="663">
      <c r="A663" s="9" t="str">
        <f>IFERROR(__xludf.DUMMYFUNCTION("""COMPUTED_VALUE"""),"G-REQ-00662")</f>
        <v>G-REQ-00662</v>
      </c>
      <c r="B663" s="11">
        <f>IFERROR(__xludf.DUMMYFUNCTION("""COMPUTED_VALUE"""),45808.42504504158)</f>
        <v>45808.42505</v>
      </c>
      <c r="C663" s="9">
        <f>IFERROR(__xludf.DUMMYFUNCTION("""COMPUTED_VALUE"""),2995.0)</f>
        <v>2995</v>
      </c>
      <c r="D663" s="9" t="str">
        <f>IFERROR(__xludf.DUMMYFUNCTION("""COMPUTED_VALUE"""),"Rejected")</f>
        <v>Rejected</v>
      </c>
    </row>
    <row r="664">
      <c r="A664" s="9" t="str">
        <f>IFERROR(__xludf.DUMMYFUNCTION("""COMPUTED_VALUE"""),"G-REQ-00663")</f>
        <v>G-REQ-00663</v>
      </c>
      <c r="B664" s="11">
        <f>IFERROR(__xludf.DUMMYFUNCTION("""COMPUTED_VALUE"""),45808.50316433144)</f>
        <v>45808.50316</v>
      </c>
      <c r="C664" s="9">
        <f>IFERROR(__xludf.DUMMYFUNCTION("""COMPUTED_VALUE"""),2999.0)</f>
        <v>2999</v>
      </c>
      <c r="D664" s="9" t="str">
        <f>IFERROR(__xludf.DUMMYFUNCTION("""COMPUTED_VALUE"""),"Completed")</f>
        <v>Completed</v>
      </c>
    </row>
    <row r="665">
      <c r="A665" s="9" t="str">
        <f>IFERROR(__xludf.DUMMYFUNCTION("""COMPUTED_VALUE"""),"G-REQ-00664")</f>
        <v>G-REQ-00664</v>
      </c>
      <c r="B665" s="11">
        <f>IFERROR(__xludf.DUMMYFUNCTION("""COMPUTED_VALUE"""),45808.56739473241)</f>
        <v>45808.56739</v>
      </c>
      <c r="C665" s="9">
        <f>IFERROR(__xludf.DUMMYFUNCTION("""COMPUTED_VALUE"""),3001.0)</f>
        <v>3001</v>
      </c>
      <c r="D665" s="9" t="str">
        <f>IFERROR(__xludf.DUMMYFUNCTION("""COMPUTED_VALUE"""),"Rejected")</f>
        <v>Rejected</v>
      </c>
    </row>
    <row r="666">
      <c r="A666" s="9" t="str">
        <f>IFERROR(__xludf.DUMMYFUNCTION("""COMPUTED_VALUE"""),"G-REQ-00665")</f>
        <v>G-REQ-00665</v>
      </c>
      <c r="B666" s="11">
        <f>IFERROR(__xludf.DUMMYFUNCTION("""COMPUTED_VALUE"""),45808.645514022275)</f>
        <v>45808.64551</v>
      </c>
      <c r="C666" s="9">
        <f>IFERROR(__xludf.DUMMYFUNCTION("""COMPUTED_VALUE"""),3005.0)</f>
        <v>3005</v>
      </c>
      <c r="D666" s="9" t="str">
        <f>IFERROR(__xludf.DUMMYFUNCTION("""COMPUTED_VALUE"""),"Completed")</f>
        <v>Completed</v>
      </c>
    </row>
    <row r="667">
      <c r="A667" s="9" t="str">
        <f>IFERROR(__xludf.DUMMYFUNCTION("""COMPUTED_VALUE"""),"G-REQ-00666")</f>
        <v>G-REQ-00666</v>
      </c>
      <c r="B667" s="11">
        <f>IFERROR(__xludf.DUMMYFUNCTION("""COMPUTED_VALUE"""),45808.71668886769)</f>
        <v>45808.71669</v>
      </c>
      <c r="C667" s="9">
        <f>IFERROR(__xludf.DUMMYFUNCTION("""COMPUTED_VALUE"""),3009.0)</f>
        <v>3009</v>
      </c>
      <c r="D667" s="9" t="str">
        <f>IFERROR(__xludf.DUMMYFUNCTION("""COMPUTED_VALUE"""),"Completed")</f>
        <v>Completed</v>
      </c>
    </row>
    <row r="668">
      <c r="A668" s="9" t="str">
        <f>IFERROR(__xludf.DUMMYFUNCTION("""COMPUTED_VALUE"""),"G-REQ-00667")</f>
        <v>G-REQ-00667</v>
      </c>
      <c r="B668" s="11">
        <f>IFERROR(__xludf.DUMMYFUNCTION("""COMPUTED_VALUE"""),45808.78786371311)</f>
        <v>45808.78786</v>
      </c>
      <c r="C668" s="9">
        <f>IFERROR(__xludf.DUMMYFUNCTION("""COMPUTED_VALUE"""),3013.0)</f>
        <v>3013</v>
      </c>
      <c r="D668" s="9" t="str">
        <f>IFERROR(__xludf.DUMMYFUNCTION("""COMPUTED_VALUE"""),"Completed")</f>
        <v>Completed</v>
      </c>
    </row>
    <row r="669">
      <c r="A669" s="9" t="str">
        <f>IFERROR(__xludf.DUMMYFUNCTION("""COMPUTED_VALUE"""),"G-REQ-00668")</f>
        <v>G-REQ-00668</v>
      </c>
      <c r="B669" s="11">
        <f>IFERROR(__xludf.DUMMYFUNCTION("""COMPUTED_VALUE"""),45808.85903855851)</f>
        <v>45808.85904</v>
      </c>
      <c r="C669" s="9">
        <f>IFERROR(__xludf.DUMMYFUNCTION("""COMPUTED_VALUE"""),3017.0)</f>
        <v>3017</v>
      </c>
      <c r="D669" s="9" t="str">
        <f>IFERROR(__xludf.DUMMYFUNCTION("""COMPUTED_VALUE"""),"Completed")</f>
        <v>Completed</v>
      </c>
    </row>
    <row r="670">
      <c r="A670" s="9" t="str">
        <f>IFERROR(__xludf.DUMMYFUNCTION("""COMPUTED_VALUE"""),"G-REQ-00669")</f>
        <v>G-REQ-00669</v>
      </c>
      <c r="B670" s="11">
        <f>IFERROR(__xludf.DUMMYFUNCTION("""COMPUTED_VALUE"""),45808.93021340393)</f>
        <v>45808.93021</v>
      </c>
      <c r="C670" s="9">
        <f>IFERROR(__xludf.DUMMYFUNCTION("""COMPUTED_VALUE"""),3021.0)</f>
        <v>3021</v>
      </c>
      <c r="D670" s="9" t="str">
        <f>IFERROR(__xludf.DUMMYFUNCTION("""COMPUTED_VALUE"""),"Completed")</f>
        <v>Completed</v>
      </c>
    </row>
    <row r="671">
      <c r="A671" s="9" t="str">
        <f>IFERROR(__xludf.DUMMYFUNCTION("""COMPUTED_VALUE"""),"G-REQ-00670")</f>
        <v>G-REQ-00670</v>
      </c>
      <c r="B671" s="11">
        <f>IFERROR(__xludf.DUMMYFUNCTION("""COMPUTED_VALUE"""),45809.00138824935)</f>
        <v>45809.00139</v>
      </c>
      <c r="C671" s="9">
        <f>IFERROR(__xludf.DUMMYFUNCTION("""COMPUTED_VALUE"""),3025.0)</f>
        <v>3025</v>
      </c>
      <c r="D671" s="9" t="str">
        <f>IFERROR(__xludf.DUMMYFUNCTION("""COMPUTED_VALUE"""),"Completed")</f>
        <v>Completed</v>
      </c>
    </row>
    <row r="672">
      <c r="A672" s="9" t="str">
        <f>IFERROR(__xludf.DUMMYFUNCTION("""COMPUTED_VALUE"""),"G-REQ-00671")</f>
        <v>G-REQ-00671</v>
      </c>
      <c r="B672" s="11">
        <f>IFERROR(__xludf.DUMMYFUNCTION("""COMPUTED_VALUE"""),45809.07256309476)</f>
        <v>45809.07256</v>
      </c>
      <c r="C672" s="9">
        <f>IFERROR(__xludf.DUMMYFUNCTION("""COMPUTED_VALUE"""),3029.0)</f>
        <v>3029</v>
      </c>
      <c r="D672" s="9" t="str">
        <f>IFERROR(__xludf.DUMMYFUNCTION("""COMPUTED_VALUE"""),"Completed")</f>
        <v>Completed</v>
      </c>
    </row>
    <row r="673">
      <c r="A673" s="9" t="str">
        <f>IFERROR(__xludf.DUMMYFUNCTION("""COMPUTED_VALUE"""),"G-REQ-00672")</f>
        <v>G-REQ-00672</v>
      </c>
      <c r="B673" s="11">
        <f>IFERROR(__xludf.DUMMYFUNCTION("""COMPUTED_VALUE"""),45809.13679349573)</f>
        <v>45809.13679</v>
      </c>
      <c r="C673" s="9">
        <f>IFERROR(__xludf.DUMMYFUNCTION("""COMPUTED_VALUE"""),3031.0)</f>
        <v>3031</v>
      </c>
      <c r="D673" s="9" t="str">
        <f>IFERROR(__xludf.DUMMYFUNCTION("""COMPUTED_VALUE"""),"Rejected")</f>
        <v>Rejected</v>
      </c>
    </row>
    <row r="674">
      <c r="A674" s="9" t="str">
        <f>IFERROR(__xludf.DUMMYFUNCTION("""COMPUTED_VALUE"""),"G-REQ-00673")</f>
        <v>G-REQ-00673</v>
      </c>
      <c r="B674" s="11">
        <f>IFERROR(__xludf.DUMMYFUNCTION("""COMPUTED_VALUE"""),45809.214912785596)</f>
        <v>45809.21491</v>
      </c>
      <c r="C674" s="9">
        <f>IFERROR(__xludf.DUMMYFUNCTION("""COMPUTED_VALUE"""),3035.0)</f>
        <v>3035</v>
      </c>
      <c r="D674" s="9" t="str">
        <f>IFERROR(__xludf.DUMMYFUNCTION("""COMPUTED_VALUE"""),"Completed")</f>
        <v>Completed</v>
      </c>
    </row>
    <row r="675">
      <c r="A675" s="9" t="str">
        <f>IFERROR(__xludf.DUMMYFUNCTION("""COMPUTED_VALUE"""),"G-REQ-00674")</f>
        <v>G-REQ-00674</v>
      </c>
      <c r="B675" s="11">
        <f>IFERROR(__xludf.DUMMYFUNCTION("""COMPUTED_VALUE"""),45809.28608763101)</f>
        <v>45809.28609</v>
      </c>
      <c r="C675" s="9">
        <f>IFERROR(__xludf.DUMMYFUNCTION("""COMPUTED_VALUE"""),3039.0)</f>
        <v>3039</v>
      </c>
      <c r="D675" s="9" t="str">
        <f>IFERROR(__xludf.DUMMYFUNCTION("""COMPUTED_VALUE"""),"Completed")</f>
        <v>Completed</v>
      </c>
    </row>
    <row r="676">
      <c r="A676" s="9" t="str">
        <f>IFERROR(__xludf.DUMMYFUNCTION("""COMPUTED_VALUE"""),"G-REQ-00675")</f>
        <v>G-REQ-00675</v>
      </c>
      <c r="B676" s="11">
        <f>IFERROR(__xludf.DUMMYFUNCTION("""COMPUTED_VALUE"""),45809.35726247642)</f>
        <v>45809.35726</v>
      </c>
      <c r="C676" s="9">
        <f>IFERROR(__xludf.DUMMYFUNCTION("""COMPUTED_VALUE"""),3043.0)</f>
        <v>3043</v>
      </c>
      <c r="D676" s="9" t="str">
        <f>IFERROR(__xludf.DUMMYFUNCTION("""COMPUTED_VALUE"""),"Completed")</f>
        <v>Completed</v>
      </c>
    </row>
    <row r="677">
      <c r="A677" s="9" t="str">
        <f>IFERROR(__xludf.DUMMYFUNCTION("""COMPUTED_VALUE"""),"G-REQ-00676")</f>
        <v>G-REQ-00676</v>
      </c>
      <c r="B677" s="11">
        <f>IFERROR(__xludf.DUMMYFUNCTION("""COMPUTED_VALUE"""),45809.42843732184)</f>
        <v>45809.42844</v>
      </c>
      <c r="C677" s="9">
        <f>IFERROR(__xludf.DUMMYFUNCTION("""COMPUTED_VALUE"""),3047.0)</f>
        <v>3047</v>
      </c>
      <c r="D677" s="9" t="str">
        <f>IFERROR(__xludf.DUMMYFUNCTION("""COMPUTED_VALUE"""),"Completed")</f>
        <v>Completed</v>
      </c>
    </row>
    <row r="678">
      <c r="A678" s="9" t="str">
        <f>IFERROR(__xludf.DUMMYFUNCTION("""COMPUTED_VALUE"""),"G-REQ-00677")</f>
        <v>G-REQ-00677</v>
      </c>
      <c r="B678" s="11">
        <f>IFERROR(__xludf.DUMMYFUNCTION("""COMPUTED_VALUE"""),45809.49961216726)</f>
        <v>45809.49961</v>
      </c>
      <c r="C678" s="9">
        <f>IFERROR(__xludf.DUMMYFUNCTION("""COMPUTED_VALUE"""),3051.0)</f>
        <v>3051</v>
      </c>
      <c r="D678" s="9" t="str">
        <f>IFERROR(__xludf.DUMMYFUNCTION("""COMPUTED_VALUE"""),"Completed")</f>
        <v>Completed</v>
      </c>
    </row>
    <row r="679">
      <c r="A679" s="9" t="str">
        <f>IFERROR(__xludf.DUMMYFUNCTION("""COMPUTED_VALUE"""),"G-REQ-00678")</f>
        <v>G-REQ-00678</v>
      </c>
      <c r="B679" s="11">
        <f>IFERROR(__xludf.DUMMYFUNCTION("""COMPUTED_VALUE"""),45809.570787012664)</f>
        <v>45809.57079</v>
      </c>
      <c r="C679" s="9">
        <f>IFERROR(__xludf.DUMMYFUNCTION("""COMPUTED_VALUE"""),3055.0)</f>
        <v>3055</v>
      </c>
      <c r="D679" s="9" t="str">
        <f>IFERROR(__xludf.DUMMYFUNCTION("""COMPUTED_VALUE"""),"Completed")</f>
        <v>Completed</v>
      </c>
    </row>
    <row r="680">
      <c r="A680" s="9" t="str">
        <f>IFERROR(__xludf.DUMMYFUNCTION("""COMPUTED_VALUE"""),"G-REQ-00679")</f>
        <v>G-REQ-00679</v>
      </c>
      <c r="B680" s="11">
        <f>IFERROR(__xludf.DUMMYFUNCTION("""COMPUTED_VALUE"""),45809.641961858084)</f>
        <v>45809.64196</v>
      </c>
      <c r="C680" s="9">
        <f>IFERROR(__xludf.DUMMYFUNCTION("""COMPUTED_VALUE"""),3059.0)</f>
        <v>3059</v>
      </c>
      <c r="D680" s="9" t="str">
        <f>IFERROR(__xludf.DUMMYFUNCTION("""COMPUTED_VALUE"""),"Completed")</f>
        <v>Completed</v>
      </c>
    </row>
    <row r="681">
      <c r="A681" s="9" t="str">
        <f>IFERROR(__xludf.DUMMYFUNCTION("""COMPUTED_VALUE"""),"G-REQ-00680")</f>
        <v>G-REQ-00680</v>
      </c>
      <c r="B681" s="11">
        <f>IFERROR(__xludf.DUMMYFUNCTION("""COMPUTED_VALUE"""),45809.713136703496)</f>
        <v>45809.71314</v>
      </c>
      <c r="C681" s="9">
        <f>IFERROR(__xludf.DUMMYFUNCTION("""COMPUTED_VALUE"""),3063.0)</f>
        <v>3063</v>
      </c>
      <c r="D681" s="9" t="str">
        <f>IFERROR(__xludf.DUMMYFUNCTION("""COMPUTED_VALUE"""),"Completed")</f>
        <v>Completed</v>
      </c>
    </row>
    <row r="682">
      <c r="A682" s="9" t="str">
        <f>IFERROR(__xludf.DUMMYFUNCTION("""COMPUTED_VALUE"""),"G-REQ-00681")</f>
        <v>G-REQ-00681</v>
      </c>
      <c r="B682" s="11">
        <f>IFERROR(__xludf.DUMMYFUNCTION("""COMPUTED_VALUE"""),45809.784311548916)</f>
        <v>45809.78431</v>
      </c>
      <c r="C682" s="9">
        <f>IFERROR(__xludf.DUMMYFUNCTION("""COMPUTED_VALUE"""),3067.0)</f>
        <v>3067</v>
      </c>
      <c r="D682" s="9" t="str">
        <f>IFERROR(__xludf.DUMMYFUNCTION("""COMPUTED_VALUE"""),"Completed")</f>
        <v>Completed</v>
      </c>
    </row>
    <row r="683">
      <c r="A683" s="9" t="str">
        <f>IFERROR(__xludf.DUMMYFUNCTION("""COMPUTED_VALUE"""),"G-REQ-00682")</f>
        <v>G-REQ-00682</v>
      </c>
      <c r="B683" s="11">
        <f>IFERROR(__xludf.DUMMYFUNCTION("""COMPUTED_VALUE"""),45809.85548639433)</f>
        <v>45809.85549</v>
      </c>
      <c r="C683" s="9">
        <f>IFERROR(__xludf.DUMMYFUNCTION("""COMPUTED_VALUE"""),3071.0)</f>
        <v>3071</v>
      </c>
      <c r="D683" s="9" t="str">
        <f>IFERROR(__xludf.DUMMYFUNCTION("""COMPUTED_VALUE"""),"Completed")</f>
        <v>Completed</v>
      </c>
    </row>
    <row r="684">
      <c r="A684" s="9" t="str">
        <f>IFERROR(__xludf.DUMMYFUNCTION("""COMPUTED_VALUE"""),"G-REQ-00683")</f>
        <v>G-REQ-00683</v>
      </c>
      <c r="B684" s="11">
        <f>IFERROR(__xludf.DUMMYFUNCTION("""COMPUTED_VALUE"""),45809.92666123975)</f>
        <v>45809.92666</v>
      </c>
      <c r="C684" s="9">
        <f>IFERROR(__xludf.DUMMYFUNCTION("""COMPUTED_VALUE"""),3075.0)</f>
        <v>3075</v>
      </c>
      <c r="D684" s="9" t="str">
        <f>IFERROR(__xludf.DUMMYFUNCTION("""COMPUTED_VALUE"""),"Completed")</f>
        <v>Completed</v>
      </c>
    </row>
    <row r="685">
      <c r="A685" s="9" t="str">
        <f>IFERROR(__xludf.DUMMYFUNCTION("""COMPUTED_VALUE"""),"G-REQ-00684")</f>
        <v>G-REQ-00684</v>
      </c>
      <c r="B685" s="11">
        <f>IFERROR(__xludf.DUMMYFUNCTION("""COMPUTED_VALUE"""),45809.99783608516)</f>
        <v>45809.99784</v>
      </c>
      <c r="C685" s="9">
        <f>IFERROR(__xludf.DUMMYFUNCTION("""COMPUTED_VALUE"""),3079.0)</f>
        <v>3079</v>
      </c>
      <c r="D685" s="9" t="str">
        <f>IFERROR(__xludf.DUMMYFUNCTION("""COMPUTED_VALUE"""),"Completed")</f>
        <v>Completed</v>
      </c>
    </row>
    <row r="686">
      <c r="A686" s="9" t="str">
        <f>IFERROR(__xludf.DUMMYFUNCTION("""COMPUTED_VALUE"""),"G-REQ-00685")</f>
        <v>G-REQ-00685</v>
      </c>
      <c r="B686" s="11">
        <f>IFERROR(__xludf.DUMMYFUNCTION("""COMPUTED_VALUE"""),45810.06901093057)</f>
        <v>45810.06901</v>
      </c>
      <c r="C686" s="9">
        <f>IFERROR(__xludf.DUMMYFUNCTION("""COMPUTED_VALUE"""),3083.0)</f>
        <v>3083</v>
      </c>
      <c r="D686" s="9" t="str">
        <f>IFERROR(__xludf.DUMMYFUNCTION("""COMPUTED_VALUE"""),"Completed")</f>
        <v>Completed</v>
      </c>
    </row>
    <row r="687">
      <c r="A687" s="9" t="str">
        <f>IFERROR(__xludf.DUMMYFUNCTION("""COMPUTED_VALUE"""),"G-REQ-00686")</f>
        <v>G-REQ-00686</v>
      </c>
      <c r="B687" s="11">
        <f>IFERROR(__xludf.DUMMYFUNCTION("""COMPUTED_VALUE"""),45810.14018577599)</f>
        <v>45810.14019</v>
      </c>
      <c r="C687" s="9">
        <f>IFERROR(__xludf.DUMMYFUNCTION("""COMPUTED_VALUE"""),3087.0)</f>
        <v>3087</v>
      </c>
      <c r="D687" s="9" t="str">
        <f>IFERROR(__xludf.DUMMYFUNCTION("""COMPUTED_VALUE"""),"Completed")</f>
        <v>Completed</v>
      </c>
    </row>
    <row r="688">
      <c r="A688" s="9" t="str">
        <f>IFERROR(__xludf.DUMMYFUNCTION("""COMPUTED_VALUE"""),"G-REQ-00687")</f>
        <v>G-REQ-00687</v>
      </c>
      <c r="B688" s="11">
        <f>IFERROR(__xludf.DUMMYFUNCTION("""COMPUTED_VALUE"""),45810.211360621404)</f>
        <v>45810.21136</v>
      </c>
      <c r="C688" s="9">
        <f>IFERROR(__xludf.DUMMYFUNCTION("""COMPUTED_VALUE"""),3091.0)</f>
        <v>3091</v>
      </c>
      <c r="D688" s="9" t="str">
        <f>IFERROR(__xludf.DUMMYFUNCTION("""COMPUTED_VALUE"""),"Completed")</f>
        <v>Completed</v>
      </c>
    </row>
    <row r="689">
      <c r="A689" s="9" t="str">
        <f>IFERROR(__xludf.DUMMYFUNCTION("""COMPUTED_VALUE"""),"G-REQ-00688")</f>
        <v>G-REQ-00688</v>
      </c>
      <c r="B689" s="11">
        <f>IFERROR(__xludf.DUMMYFUNCTION("""COMPUTED_VALUE"""),45810.28253546682)</f>
        <v>45810.28254</v>
      </c>
      <c r="C689" s="9">
        <f>IFERROR(__xludf.DUMMYFUNCTION("""COMPUTED_VALUE"""),3095.0)</f>
        <v>3095</v>
      </c>
      <c r="D689" s="9" t="str">
        <f>IFERROR(__xludf.DUMMYFUNCTION("""COMPUTED_VALUE"""),"Completed")</f>
        <v>Completed</v>
      </c>
    </row>
    <row r="690">
      <c r="A690" s="9" t="str">
        <f>IFERROR(__xludf.DUMMYFUNCTION("""COMPUTED_VALUE"""),"G-REQ-00689")</f>
        <v>G-REQ-00689</v>
      </c>
      <c r="B690" s="11">
        <f>IFERROR(__xludf.DUMMYFUNCTION("""COMPUTED_VALUE"""),45810.353710312236)</f>
        <v>45810.35371</v>
      </c>
      <c r="C690" s="9">
        <f>IFERROR(__xludf.DUMMYFUNCTION("""COMPUTED_VALUE"""),3099.0)</f>
        <v>3099</v>
      </c>
      <c r="D690" s="9" t="str">
        <f>IFERROR(__xludf.DUMMYFUNCTION("""COMPUTED_VALUE"""),"Completed")</f>
        <v>Completed</v>
      </c>
    </row>
    <row r="691">
      <c r="A691" s="9" t="str">
        <f>IFERROR(__xludf.DUMMYFUNCTION("""COMPUTED_VALUE"""),"G-REQ-00690")</f>
        <v>G-REQ-00690</v>
      </c>
      <c r="B691" s="11">
        <f>IFERROR(__xludf.DUMMYFUNCTION("""COMPUTED_VALUE"""),45810.42488515765)</f>
        <v>45810.42489</v>
      </c>
      <c r="C691" s="9">
        <f>IFERROR(__xludf.DUMMYFUNCTION("""COMPUTED_VALUE"""),3103.0)</f>
        <v>3103</v>
      </c>
      <c r="D691" s="9" t="str">
        <f>IFERROR(__xludf.DUMMYFUNCTION("""COMPUTED_VALUE"""),"Completed")</f>
        <v>Completed</v>
      </c>
    </row>
    <row r="692">
      <c r="A692" s="9" t="str">
        <f>IFERROR(__xludf.DUMMYFUNCTION("""COMPUTED_VALUE"""),"G-REQ-00691")</f>
        <v>G-REQ-00691</v>
      </c>
      <c r="B692" s="11">
        <f>IFERROR(__xludf.DUMMYFUNCTION("""COMPUTED_VALUE"""),45810.49606000306)</f>
        <v>45810.49606</v>
      </c>
      <c r="C692" s="9">
        <f>IFERROR(__xludf.DUMMYFUNCTION("""COMPUTED_VALUE"""),3107.0)</f>
        <v>3107</v>
      </c>
      <c r="D692" s="9" t="str">
        <f>IFERROR(__xludf.DUMMYFUNCTION("""COMPUTED_VALUE"""),"Completed")</f>
        <v>Completed</v>
      </c>
    </row>
    <row r="693">
      <c r="A693" s="9" t="str">
        <f>IFERROR(__xludf.DUMMYFUNCTION("""COMPUTED_VALUE"""),"G-REQ-00692")</f>
        <v>G-REQ-00692</v>
      </c>
      <c r="B693" s="11">
        <f>IFERROR(__xludf.DUMMYFUNCTION("""COMPUTED_VALUE"""),45810.56723484848)</f>
        <v>45810.56723</v>
      </c>
      <c r="C693" s="9">
        <f>IFERROR(__xludf.DUMMYFUNCTION("""COMPUTED_VALUE"""),3111.0)</f>
        <v>3111</v>
      </c>
      <c r="D693" s="9" t="str">
        <f>IFERROR(__xludf.DUMMYFUNCTION("""COMPUTED_VALUE"""),"Completed")</f>
        <v>Completed</v>
      </c>
    </row>
    <row r="694">
      <c r="A694" s="9" t="str">
        <f>IFERROR(__xludf.DUMMYFUNCTION("""COMPUTED_VALUE"""),"G-REQ-00693")</f>
        <v>G-REQ-00693</v>
      </c>
      <c r="B694" s="11">
        <f>IFERROR(__xludf.DUMMYFUNCTION("""COMPUTED_VALUE"""),45810.6384096939)</f>
        <v>45810.63841</v>
      </c>
      <c r="C694" s="9">
        <f>IFERROR(__xludf.DUMMYFUNCTION("""COMPUTED_VALUE"""),3115.0)</f>
        <v>3115</v>
      </c>
      <c r="D694" s="9" t="str">
        <f>IFERROR(__xludf.DUMMYFUNCTION("""COMPUTED_VALUE"""),"Completed")</f>
        <v>Completed</v>
      </c>
    </row>
    <row r="695">
      <c r="A695" s="9" t="str">
        <f>IFERROR(__xludf.DUMMYFUNCTION("""COMPUTED_VALUE"""),"G-REQ-00694")</f>
        <v>G-REQ-00694</v>
      </c>
      <c r="B695" s="11">
        <f>IFERROR(__xludf.DUMMYFUNCTION("""COMPUTED_VALUE"""),45810.709584539305)</f>
        <v>45810.70958</v>
      </c>
      <c r="C695" s="9">
        <f>IFERROR(__xludf.DUMMYFUNCTION("""COMPUTED_VALUE"""),3119.0)</f>
        <v>3119</v>
      </c>
      <c r="D695" s="9" t="str">
        <f>IFERROR(__xludf.DUMMYFUNCTION("""COMPUTED_VALUE"""),"Completed")</f>
        <v>Completed</v>
      </c>
    </row>
    <row r="696">
      <c r="A696" s="9" t="str">
        <f>IFERROR(__xludf.DUMMYFUNCTION("""COMPUTED_VALUE"""),"G-REQ-00695")</f>
        <v>G-REQ-00695</v>
      </c>
      <c r="B696" s="11">
        <f>IFERROR(__xludf.DUMMYFUNCTION("""COMPUTED_VALUE"""),45810.77381494028)</f>
        <v>45810.77381</v>
      </c>
      <c r="C696" s="9">
        <f>IFERROR(__xludf.DUMMYFUNCTION("""COMPUTED_VALUE"""),3121.0)</f>
        <v>3121</v>
      </c>
      <c r="D696" s="9" t="str">
        <f>IFERROR(__xludf.DUMMYFUNCTION("""COMPUTED_VALUE"""),"Rejected")</f>
        <v>Rejected</v>
      </c>
    </row>
    <row r="697">
      <c r="A697" s="9" t="str">
        <f>IFERROR(__xludf.DUMMYFUNCTION("""COMPUTED_VALUE"""),"G-REQ-00696")</f>
        <v>G-REQ-00696</v>
      </c>
      <c r="B697" s="11">
        <f>IFERROR(__xludf.DUMMYFUNCTION("""COMPUTED_VALUE"""),45810.851934230144)</f>
        <v>45810.85193</v>
      </c>
      <c r="C697" s="9">
        <f>IFERROR(__xludf.DUMMYFUNCTION("""COMPUTED_VALUE"""),3125.0)</f>
        <v>3125</v>
      </c>
      <c r="D697" s="9" t="str">
        <f>IFERROR(__xludf.DUMMYFUNCTION("""COMPUTED_VALUE"""),"Completed")</f>
        <v>Completed</v>
      </c>
    </row>
    <row r="698">
      <c r="A698" s="9" t="str">
        <f>IFERROR(__xludf.DUMMYFUNCTION("""COMPUTED_VALUE"""),"G-REQ-00697")</f>
        <v>G-REQ-00697</v>
      </c>
      <c r="B698" s="11">
        <f>IFERROR(__xludf.DUMMYFUNCTION("""COMPUTED_VALUE"""),45810.92310907556)</f>
        <v>45810.92311</v>
      </c>
      <c r="C698" s="9">
        <f>IFERROR(__xludf.DUMMYFUNCTION("""COMPUTED_VALUE"""),3129.0)</f>
        <v>3129</v>
      </c>
      <c r="D698" s="9" t="str">
        <f>IFERROR(__xludf.DUMMYFUNCTION("""COMPUTED_VALUE"""),"Completed")</f>
        <v>Completed</v>
      </c>
    </row>
    <row r="699">
      <c r="A699" s="9" t="str">
        <f>IFERROR(__xludf.DUMMYFUNCTION("""COMPUTED_VALUE"""),"G-REQ-00698")</f>
        <v>G-REQ-00698</v>
      </c>
      <c r="B699" s="11">
        <f>IFERROR(__xludf.DUMMYFUNCTION("""COMPUTED_VALUE"""),45810.99428392097)</f>
        <v>45810.99428</v>
      </c>
      <c r="C699" s="9">
        <f>IFERROR(__xludf.DUMMYFUNCTION("""COMPUTED_VALUE"""),3133.0)</f>
        <v>3133</v>
      </c>
      <c r="D699" s="9" t="str">
        <f>IFERROR(__xludf.DUMMYFUNCTION("""COMPUTED_VALUE"""),"Completed")</f>
        <v>Completed</v>
      </c>
    </row>
    <row r="700">
      <c r="A700" s="9" t="str">
        <f>IFERROR(__xludf.DUMMYFUNCTION("""COMPUTED_VALUE"""),"G-REQ-00699")</f>
        <v>G-REQ-00699</v>
      </c>
      <c r="B700" s="11">
        <f>IFERROR(__xludf.DUMMYFUNCTION("""COMPUTED_VALUE"""),45811.06545876639)</f>
        <v>45811.06546</v>
      </c>
      <c r="C700" s="9">
        <f>IFERROR(__xludf.DUMMYFUNCTION("""COMPUTED_VALUE"""),3137.0)</f>
        <v>3137</v>
      </c>
      <c r="D700" s="9" t="str">
        <f>IFERROR(__xludf.DUMMYFUNCTION("""COMPUTED_VALUE"""),"Completed")</f>
        <v>Completed</v>
      </c>
    </row>
    <row r="701">
      <c r="A701" s="9" t="str">
        <f>IFERROR(__xludf.DUMMYFUNCTION("""COMPUTED_VALUE"""),"G-REQ-00700")</f>
        <v>G-REQ-00700</v>
      </c>
      <c r="B701" s="11">
        <f>IFERROR(__xludf.DUMMYFUNCTION("""COMPUTED_VALUE"""),45811.1366336118)</f>
        <v>45811.13663</v>
      </c>
      <c r="C701" s="9">
        <f>IFERROR(__xludf.DUMMYFUNCTION("""COMPUTED_VALUE"""),3141.0)</f>
        <v>3141</v>
      </c>
      <c r="D701" s="9" t="str">
        <f>IFERROR(__xludf.DUMMYFUNCTION("""COMPUTED_VALUE"""),"Completed")</f>
        <v>Completed</v>
      </c>
    </row>
    <row r="702">
      <c r="A702" s="9" t="str">
        <f>IFERROR(__xludf.DUMMYFUNCTION("""COMPUTED_VALUE"""),"G-REQ-00701")</f>
        <v>G-REQ-00701</v>
      </c>
      <c r="B702" s="11">
        <f>IFERROR(__xludf.DUMMYFUNCTION("""COMPUTED_VALUE"""),45811.20780845721)</f>
        <v>45811.20781</v>
      </c>
      <c r="C702" s="9">
        <f>IFERROR(__xludf.DUMMYFUNCTION("""COMPUTED_VALUE"""),3145.0)</f>
        <v>3145</v>
      </c>
      <c r="D702" s="9" t="str">
        <f>IFERROR(__xludf.DUMMYFUNCTION("""COMPUTED_VALUE"""),"Completed")</f>
        <v>Completed</v>
      </c>
    </row>
    <row r="703">
      <c r="A703" s="9" t="str">
        <f>IFERROR(__xludf.DUMMYFUNCTION("""COMPUTED_VALUE"""),"G-REQ-00702")</f>
        <v>G-REQ-00702</v>
      </c>
      <c r="B703" s="11">
        <f>IFERROR(__xludf.DUMMYFUNCTION("""COMPUTED_VALUE"""),45811.27898330263)</f>
        <v>45811.27898</v>
      </c>
      <c r="C703" s="9">
        <f>IFERROR(__xludf.DUMMYFUNCTION("""COMPUTED_VALUE"""),3149.0)</f>
        <v>3149</v>
      </c>
      <c r="D703" s="9" t="str">
        <f>IFERROR(__xludf.DUMMYFUNCTION("""COMPUTED_VALUE"""),"Completed")</f>
        <v>Completed</v>
      </c>
    </row>
    <row r="704">
      <c r="A704" s="9" t="str">
        <f>IFERROR(__xludf.DUMMYFUNCTION("""COMPUTED_VALUE"""),"G-REQ-00703")</f>
        <v>G-REQ-00703</v>
      </c>
      <c r="B704" s="11">
        <f>IFERROR(__xludf.DUMMYFUNCTION("""COMPUTED_VALUE"""),45811.35015814805)</f>
        <v>45811.35016</v>
      </c>
      <c r="C704" s="9">
        <f>IFERROR(__xludf.DUMMYFUNCTION("""COMPUTED_VALUE"""),3153.0)</f>
        <v>3153</v>
      </c>
      <c r="D704" s="9" t="str">
        <f>IFERROR(__xludf.DUMMYFUNCTION("""COMPUTED_VALUE"""),"Completed")</f>
        <v>Completed</v>
      </c>
    </row>
    <row r="705">
      <c r="A705" s="9" t="str">
        <f>IFERROR(__xludf.DUMMYFUNCTION("""COMPUTED_VALUE"""),"G-REQ-00704")</f>
        <v>G-REQ-00704</v>
      </c>
      <c r="B705" s="11">
        <f>IFERROR(__xludf.DUMMYFUNCTION("""COMPUTED_VALUE"""),45811.42133299346)</f>
        <v>45811.42133</v>
      </c>
      <c r="C705" s="9">
        <f>IFERROR(__xludf.DUMMYFUNCTION("""COMPUTED_VALUE"""),3157.0)</f>
        <v>3157</v>
      </c>
      <c r="D705" s="9" t="str">
        <f>IFERROR(__xludf.DUMMYFUNCTION("""COMPUTED_VALUE"""),"Completed")</f>
        <v>Completed</v>
      </c>
    </row>
    <row r="706">
      <c r="A706" s="9" t="str">
        <f>IFERROR(__xludf.DUMMYFUNCTION("""COMPUTED_VALUE"""),"G-REQ-00705")</f>
        <v>G-REQ-00705</v>
      </c>
      <c r="B706" s="11">
        <f>IFERROR(__xludf.DUMMYFUNCTION("""COMPUTED_VALUE"""),45811.49250783888)</f>
        <v>45811.49251</v>
      </c>
      <c r="C706" s="9">
        <f>IFERROR(__xludf.DUMMYFUNCTION("""COMPUTED_VALUE"""),3161.0)</f>
        <v>3161</v>
      </c>
      <c r="D706" s="9" t="str">
        <f>IFERROR(__xludf.DUMMYFUNCTION("""COMPUTED_VALUE"""),"Completed")</f>
        <v>Completed</v>
      </c>
    </row>
    <row r="707">
      <c r="A707" s="9" t="str">
        <f>IFERROR(__xludf.DUMMYFUNCTION("""COMPUTED_VALUE"""),"G-REQ-00706")</f>
        <v>G-REQ-00706</v>
      </c>
      <c r="B707" s="11">
        <f>IFERROR(__xludf.DUMMYFUNCTION("""COMPUTED_VALUE"""),45811.56368268429)</f>
        <v>45811.56368</v>
      </c>
      <c r="C707" s="9">
        <f>IFERROR(__xludf.DUMMYFUNCTION("""COMPUTED_VALUE"""),3165.0)</f>
        <v>3165</v>
      </c>
      <c r="D707" s="9" t="str">
        <f>IFERROR(__xludf.DUMMYFUNCTION("""COMPUTED_VALUE"""),"Completed")</f>
        <v>Completed</v>
      </c>
    </row>
    <row r="708">
      <c r="A708" s="9" t="str">
        <f>IFERROR(__xludf.DUMMYFUNCTION("""COMPUTED_VALUE"""),"G-REQ-00707")</f>
        <v>G-REQ-00707</v>
      </c>
      <c r="B708" s="11">
        <f>IFERROR(__xludf.DUMMYFUNCTION("""COMPUTED_VALUE"""),45811.63485752971)</f>
        <v>45811.63486</v>
      </c>
      <c r="C708" s="9">
        <f>IFERROR(__xludf.DUMMYFUNCTION("""COMPUTED_VALUE"""),3169.0)</f>
        <v>3169</v>
      </c>
      <c r="D708" s="9" t="str">
        <f>IFERROR(__xludf.DUMMYFUNCTION("""COMPUTED_VALUE"""),"Completed")</f>
        <v>Completed</v>
      </c>
    </row>
    <row r="709">
      <c r="A709" s="9" t="str">
        <f>IFERROR(__xludf.DUMMYFUNCTION("""COMPUTED_VALUE"""),"G-REQ-00708")</f>
        <v>G-REQ-00708</v>
      </c>
      <c r="B709" s="11">
        <f>IFERROR(__xludf.DUMMYFUNCTION("""COMPUTED_VALUE"""),45811.699087930676)</f>
        <v>45811.69909</v>
      </c>
      <c r="C709" s="9">
        <f>IFERROR(__xludf.DUMMYFUNCTION("""COMPUTED_VALUE"""),3171.0)</f>
        <v>3171</v>
      </c>
      <c r="D709" s="9" t="str">
        <f>IFERROR(__xludf.DUMMYFUNCTION("""COMPUTED_VALUE"""),"Cancelled")</f>
        <v>Cancelled</v>
      </c>
    </row>
    <row r="710">
      <c r="A710" s="9" t="str">
        <f>IFERROR(__xludf.DUMMYFUNCTION("""COMPUTED_VALUE"""),"G-REQ-00709")</f>
        <v>G-REQ-00709</v>
      </c>
      <c r="B710" s="11">
        <f>IFERROR(__xludf.DUMMYFUNCTION("""COMPUTED_VALUE"""),45811.77720722054)</f>
        <v>45811.77721</v>
      </c>
      <c r="C710" s="9">
        <f>IFERROR(__xludf.DUMMYFUNCTION("""COMPUTED_VALUE"""),3175.0)</f>
        <v>3175</v>
      </c>
      <c r="D710" s="9" t="str">
        <f>IFERROR(__xludf.DUMMYFUNCTION("""COMPUTED_VALUE"""),"Completed")</f>
        <v>Completed</v>
      </c>
    </row>
    <row r="711">
      <c r="A711" s="9" t="str">
        <f>IFERROR(__xludf.DUMMYFUNCTION("""COMPUTED_VALUE"""),"G-REQ-00710")</f>
        <v>G-REQ-00710</v>
      </c>
      <c r="B711" s="11">
        <f>IFERROR(__xludf.DUMMYFUNCTION("""COMPUTED_VALUE"""),45811.8414376215)</f>
        <v>45811.84144</v>
      </c>
      <c r="C711" s="9">
        <f>IFERROR(__xludf.DUMMYFUNCTION("""COMPUTED_VALUE"""),3177.0)</f>
        <v>3177</v>
      </c>
      <c r="D711" s="9" t="str">
        <f>IFERROR(__xludf.DUMMYFUNCTION("""COMPUTED_VALUE"""),"Cancelled")</f>
        <v>Cancelled</v>
      </c>
    </row>
    <row r="712">
      <c r="A712" s="9" t="str">
        <f>IFERROR(__xludf.DUMMYFUNCTION("""COMPUTED_VALUE"""),"G-REQ-00711")</f>
        <v>G-REQ-00711</v>
      </c>
      <c r="B712" s="11">
        <f>IFERROR(__xludf.DUMMYFUNCTION("""COMPUTED_VALUE"""),45811.919556911365)</f>
        <v>45811.91956</v>
      </c>
      <c r="C712" s="9">
        <f>IFERROR(__xludf.DUMMYFUNCTION("""COMPUTED_VALUE"""),3181.0)</f>
        <v>3181</v>
      </c>
      <c r="D712" s="9" t="str">
        <f>IFERROR(__xludf.DUMMYFUNCTION("""COMPUTED_VALUE"""),"Completed")</f>
        <v>Completed</v>
      </c>
    </row>
    <row r="713">
      <c r="A713" s="9" t="str">
        <f>IFERROR(__xludf.DUMMYFUNCTION("""COMPUTED_VALUE"""),"G-REQ-00712")</f>
        <v>G-REQ-00712</v>
      </c>
      <c r="B713" s="11">
        <f>IFERROR(__xludf.DUMMYFUNCTION("""COMPUTED_VALUE"""),45811.990731756785)</f>
        <v>45811.99073</v>
      </c>
      <c r="C713" s="9">
        <f>IFERROR(__xludf.DUMMYFUNCTION("""COMPUTED_VALUE"""),3185.0)</f>
        <v>3185</v>
      </c>
      <c r="D713" s="9" t="str">
        <f>IFERROR(__xludf.DUMMYFUNCTION("""COMPUTED_VALUE"""),"Completed")</f>
        <v>Completed</v>
      </c>
    </row>
    <row r="714">
      <c r="A714" s="9" t="str">
        <f>IFERROR(__xludf.DUMMYFUNCTION("""COMPUTED_VALUE"""),"G-REQ-00713")</f>
        <v>G-REQ-00713</v>
      </c>
      <c r="B714" s="11">
        <f>IFERROR(__xludf.DUMMYFUNCTION("""COMPUTED_VALUE"""),45812.0619066022)</f>
        <v>45812.06191</v>
      </c>
      <c r="C714" s="9">
        <f>IFERROR(__xludf.DUMMYFUNCTION("""COMPUTED_VALUE"""),3189.0)</f>
        <v>3189</v>
      </c>
      <c r="D714" s="9" t="str">
        <f>IFERROR(__xludf.DUMMYFUNCTION("""COMPUTED_VALUE"""),"Completed")</f>
        <v>Completed</v>
      </c>
    </row>
    <row r="715">
      <c r="A715" s="9" t="str">
        <f>IFERROR(__xludf.DUMMYFUNCTION("""COMPUTED_VALUE"""),"G-REQ-00714")</f>
        <v>G-REQ-00714</v>
      </c>
      <c r="B715" s="11">
        <f>IFERROR(__xludf.DUMMYFUNCTION("""COMPUTED_VALUE"""),45812.13308144761)</f>
        <v>45812.13308</v>
      </c>
      <c r="C715" s="9">
        <f>IFERROR(__xludf.DUMMYFUNCTION("""COMPUTED_VALUE"""),3193.0)</f>
        <v>3193</v>
      </c>
      <c r="D715" s="9" t="str">
        <f>IFERROR(__xludf.DUMMYFUNCTION("""COMPUTED_VALUE"""),"Completed")</f>
        <v>Completed</v>
      </c>
    </row>
    <row r="716">
      <c r="A716" s="9" t="str">
        <f>IFERROR(__xludf.DUMMYFUNCTION("""COMPUTED_VALUE"""),"G-REQ-00715")</f>
        <v>G-REQ-00715</v>
      </c>
      <c r="B716" s="11">
        <f>IFERROR(__xludf.DUMMYFUNCTION("""COMPUTED_VALUE"""),45812.20425629303)</f>
        <v>45812.20426</v>
      </c>
      <c r="C716" s="9">
        <f>IFERROR(__xludf.DUMMYFUNCTION("""COMPUTED_VALUE"""),3197.0)</f>
        <v>3197</v>
      </c>
      <c r="D716" s="9" t="str">
        <f>IFERROR(__xludf.DUMMYFUNCTION("""COMPUTED_VALUE"""),"Completed")</f>
        <v>Completed</v>
      </c>
    </row>
    <row r="717">
      <c r="A717" s="9" t="str">
        <f>IFERROR(__xludf.DUMMYFUNCTION("""COMPUTED_VALUE"""),"G-REQ-00716")</f>
        <v>G-REQ-00716</v>
      </c>
      <c r="B717" s="11">
        <f>IFERROR(__xludf.DUMMYFUNCTION("""COMPUTED_VALUE"""),45812.27543113844)</f>
        <v>45812.27543</v>
      </c>
      <c r="C717" s="9">
        <f>IFERROR(__xludf.DUMMYFUNCTION("""COMPUTED_VALUE"""),3201.0)</f>
        <v>3201</v>
      </c>
      <c r="D717" s="9" t="str">
        <f>IFERROR(__xludf.DUMMYFUNCTION("""COMPUTED_VALUE"""),"Completed")</f>
        <v>Completed</v>
      </c>
    </row>
    <row r="718">
      <c r="A718" s="9" t="str">
        <f>IFERROR(__xludf.DUMMYFUNCTION("""COMPUTED_VALUE"""),"G-REQ-00717")</f>
        <v>G-REQ-00717</v>
      </c>
      <c r="B718" s="11">
        <f>IFERROR(__xludf.DUMMYFUNCTION("""COMPUTED_VALUE"""),45812.346605983854)</f>
        <v>45812.34661</v>
      </c>
      <c r="C718" s="9">
        <f>IFERROR(__xludf.DUMMYFUNCTION("""COMPUTED_VALUE"""),3205.0)</f>
        <v>3205</v>
      </c>
      <c r="D718" s="9" t="str">
        <f>IFERROR(__xludf.DUMMYFUNCTION("""COMPUTED_VALUE"""),"Completed")</f>
        <v>Completed</v>
      </c>
    </row>
    <row r="719">
      <c r="A719" s="9" t="str">
        <f>IFERROR(__xludf.DUMMYFUNCTION("""COMPUTED_VALUE"""),"G-REQ-00718")</f>
        <v>G-REQ-00718</v>
      </c>
      <c r="B719" s="11">
        <f>IFERROR(__xludf.DUMMYFUNCTION("""COMPUTED_VALUE"""),45812.41778082927)</f>
        <v>45812.41778</v>
      </c>
      <c r="C719" s="9">
        <f>IFERROR(__xludf.DUMMYFUNCTION("""COMPUTED_VALUE"""),3209.0)</f>
        <v>3209</v>
      </c>
      <c r="D719" s="9" t="str">
        <f>IFERROR(__xludf.DUMMYFUNCTION("""COMPUTED_VALUE"""),"Completed")</f>
        <v>Completed</v>
      </c>
    </row>
    <row r="720">
      <c r="A720" s="9" t="str">
        <f>IFERROR(__xludf.DUMMYFUNCTION("""COMPUTED_VALUE"""),"G-REQ-00719")</f>
        <v>G-REQ-00719</v>
      </c>
      <c r="B720" s="11">
        <f>IFERROR(__xludf.DUMMYFUNCTION("""COMPUTED_VALUE"""),45812.48201123025)</f>
        <v>45812.48201</v>
      </c>
      <c r="C720" s="9">
        <f>IFERROR(__xludf.DUMMYFUNCTION("""COMPUTED_VALUE"""),3211.0)</f>
        <v>3211</v>
      </c>
      <c r="D720" s="9" t="str">
        <f>IFERROR(__xludf.DUMMYFUNCTION("""COMPUTED_VALUE"""),"Rejected")</f>
        <v>Rejected</v>
      </c>
    </row>
    <row r="721">
      <c r="A721" s="9" t="str">
        <f>IFERROR(__xludf.DUMMYFUNCTION("""COMPUTED_VALUE"""),"G-REQ-00720")</f>
        <v>G-REQ-00720</v>
      </c>
      <c r="B721" s="11">
        <f>IFERROR(__xludf.DUMMYFUNCTION("""COMPUTED_VALUE"""),45812.5601305201)</f>
        <v>45812.56013</v>
      </c>
      <c r="C721" s="9">
        <f>IFERROR(__xludf.DUMMYFUNCTION("""COMPUTED_VALUE"""),3215.0)</f>
        <v>3215</v>
      </c>
      <c r="D721" s="9" t="str">
        <f>IFERROR(__xludf.DUMMYFUNCTION("""COMPUTED_VALUE"""),"Completed")</f>
        <v>Completed</v>
      </c>
    </row>
    <row r="722">
      <c r="A722" s="9" t="str">
        <f>IFERROR(__xludf.DUMMYFUNCTION("""COMPUTED_VALUE"""),"G-REQ-00721")</f>
        <v>G-REQ-00721</v>
      </c>
      <c r="B722" s="11">
        <f>IFERROR(__xludf.DUMMYFUNCTION("""COMPUTED_VALUE"""),45812.63130536552)</f>
        <v>45812.63131</v>
      </c>
      <c r="C722" s="9">
        <f>IFERROR(__xludf.DUMMYFUNCTION("""COMPUTED_VALUE"""),3219.0)</f>
        <v>3219</v>
      </c>
      <c r="D722" s="9" t="str">
        <f>IFERROR(__xludf.DUMMYFUNCTION("""COMPUTED_VALUE"""),"Completed")</f>
        <v>Completed</v>
      </c>
    </row>
    <row r="723">
      <c r="A723" s="9" t="str">
        <f>IFERROR(__xludf.DUMMYFUNCTION("""COMPUTED_VALUE"""),"G-REQ-00722")</f>
        <v>G-REQ-00722</v>
      </c>
      <c r="B723" s="11">
        <f>IFERROR(__xludf.DUMMYFUNCTION("""COMPUTED_VALUE"""),45812.695535766485)</f>
        <v>45812.69554</v>
      </c>
      <c r="C723" s="9">
        <f>IFERROR(__xludf.DUMMYFUNCTION("""COMPUTED_VALUE"""),3221.0)</f>
        <v>3221</v>
      </c>
      <c r="D723" s="9" t="str">
        <f>IFERROR(__xludf.DUMMYFUNCTION("""COMPUTED_VALUE"""),"Rejected")</f>
        <v>Rejected</v>
      </c>
    </row>
    <row r="724">
      <c r="A724" s="9" t="str">
        <f>IFERROR(__xludf.DUMMYFUNCTION("""COMPUTED_VALUE"""),"G-REQ-00723")</f>
        <v>G-REQ-00723</v>
      </c>
      <c r="B724" s="11">
        <f>IFERROR(__xludf.DUMMYFUNCTION("""COMPUTED_VALUE"""),45812.77365505635)</f>
        <v>45812.77366</v>
      </c>
      <c r="C724" s="9">
        <f>IFERROR(__xludf.DUMMYFUNCTION("""COMPUTED_VALUE"""),3225.0)</f>
        <v>3225</v>
      </c>
      <c r="D724" s="9" t="str">
        <f>IFERROR(__xludf.DUMMYFUNCTION("""COMPUTED_VALUE"""),"Completed")</f>
        <v>Completed</v>
      </c>
    </row>
    <row r="725">
      <c r="A725" s="9" t="str">
        <f>IFERROR(__xludf.DUMMYFUNCTION("""COMPUTED_VALUE"""),"G-REQ-00724")</f>
        <v>G-REQ-00724</v>
      </c>
      <c r="B725" s="11">
        <f>IFERROR(__xludf.DUMMYFUNCTION("""COMPUTED_VALUE"""),45812.84482990176)</f>
        <v>45812.84483</v>
      </c>
      <c r="C725" s="9">
        <f>IFERROR(__xludf.DUMMYFUNCTION("""COMPUTED_VALUE"""),3229.0)</f>
        <v>3229</v>
      </c>
      <c r="D725" s="9" t="str">
        <f>IFERROR(__xludf.DUMMYFUNCTION("""COMPUTED_VALUE"""),"Completed")</f>
        <v>Completed</v>
      </c>
    </row>
    <row r="726">
      <c r="A726" s="9" t="str">
        <f>IFERROR(__xludf.DUMMYFUNCTION("""COMPUTED_VALUE"""),"G-REQ-00725")</f>
        <v>G-REQ-00725</v>
      </c>
      <c r="B726" s="11">
        <f>IFERROR(__xludf.DUMMYFUNCTION("""COMPUTED_VALUE"""),45812.91600474718)</f>
        <v>45812.916</v>
      </c>
      <c r="C726" s="9">
        <f>IFERROR(__xludf.DUMMYFUNCTION("""COMPUTED_VALUE"""),3233.0)</f>
        <v>3233</v>
      </c>
      <c r="D726" s="9" t="str">
        <f>IFERROR(__xludf.DUMMYFUNCTION("""COMPUTED_VALUE"""),"Completed")</f>
        <v>Completed</v>
      </c>
    </row>
    <row r="727">
      <c r="A727" s="9" t="str">
        <f>IFERROR(__xludf.DUMMYFUNCTION("""COMPUTED_VALUE"""),"G-REQ-00726")</f>
        <v>G-REQ-00726</v>
      </c>
      <c r="B727" s="11">
        <f>IFERROR(__xludf.DUMMYFUNCTION("""COMPUTED_VALUE"""),45812.987179592594)</f>
        <v>45812.98718</v>
      </c>
      <c r="C727" s="9">
        <f>IFERROR(__xludf.DUMMYFUNCTION("""COMPUTED_VALUE"""),3237.0)</f>
        <v>3237</v>
      </c>
      <c r="D727" s="9" t="str">
        <f>IFERROR(__xludf.DUMMYFUNCTION("""COMPUTED_VALUE"""),"Completed")</f>
        <v>Completed</v>
      </c>
    </row>
    <row r="728">
      <c r="A728" s="9" t="str">
        <f>IFERROR(__xludf.DUMMYFUNCTION("""COMPUTED_VALUE"""),"G-REQ-00727")</f>
        <v>G-REQ-00727</v>
      </c>
      <c r="B728" s="11">
        <f>IFERROR(__xludf.DUMMYFUNCTION("""COMPUTED_VALUE"""),45813.058354438006)</f>
        <v>45813.05835</v>
      </c>
      <c r="C728" s="9">
        <f>IFERROR(__xludf.DUMMYFUNCTION("""COMPUTED_VALUE"""),3241.0)</f>
        <v>3241</v>
      </c>
      <c r="D728" s="9" t="str">
        <f>IFERROR(__xludf.DUMMYFUNCTION("""COMPUTED_VALUE"""),"Completed")</f>
        <v>Completed</v>
      </c>
    </row>
    <row r="729">
      <c r="A729" s="9" t="str">
        <f>IFERROR(__xludf.DUMMYFUNCTION("""COMPUTED_VALUE"""),"G-REQ-00728")</f>
        <v>G-REQ-00728</v>
      </c>
      <c r="B729" s="11">
        <f>IFERROR(__xludf.DUMMYFUNCTION("""COMPUTED_VALUE"""),45813.129529283426)</f>
        <v>45813.12953</v>
      </c>
      <c r="C729" s="9">
        <f>IFERROR(__xludf.DUMMYFUNCTION("""COMPUTED_VALUE"""),3245.0)</f>
        <v>3245</v>
      </c>
      <c r="D729" s="9" t="str">
        <f>IFERROR(__xludf.DUMMYFUNCTION("""COMPUTED_VALUE"""),"Completed")</f>
        <v>Completed</v>
      </c>
    </row>
    <row r="730">
      <c r="A730" s="9" t="str">
        <f>IFERROR(__xludf.DUMMYFUNCTION("""COMPUTED_VALUE"""),"G-REQ-00729")</f>
        <v>G-REQ-00729</v>
      </c>
      <c r="B730" s="11">
        <f>IFERROR(__xludf.DUMMYFUNCTION("""COMPUTED_VALUE"""),45813.19375968439)</f>
        <v>45813.19376</v>
      </c>
      <c r="C730" s="9">
        <f>IFERROR(__xludf.DUMMYFUNCTION("""COMPUTED_VALUE"""),3247.0)</f>
        <v>3247</v>
      </c>
      <c r="D730" s="9" t="str">
        <f>IFERROR(__xludf.DUMMYFUNCTION("""COMPUTED_VALUE"""),"Cancelled")</f>
        <v>Cancelled</v>
      </c>
    </row>
    <row r="731">
      <c r="A731" s="9" t="str">
        <f>IFERROR(__xludf.DUMMYFUNCTION("""COMPUTED_VALUE"""),"G-REQ-00730")</f>
        <v>G-REQ-00730</v>
      </c>
      <c r="B731" s="11">
        <f>IFERROR(__xludf.DUMMYFUNCTION("""COMPUTED_VALUE"""),45813.27187897425)</f>
        <v>45813.27188</v>
      </c>
      <c r="C731" s="9">
        <f>IFERROR(__xludf.DUMMYFUNCTION("""COMPUTED_VALUE"""),3251.0)</f>
        <v>3251</v>
      </c>
      <c r="D731" s="9" t="str">
        <f>IFERROR(__xludf.DUMMYFUNCTION("""COMPUTED_VALUE"""),"Completed")</f>
        <v>Completed</v>
      </c>
    </row>
    <row r="732">
      <c r="A732" s="9" t="str">
        <f>IFERROR(__xludf.DUMMYFUNCTION("""COMPUTED_VALUE"""),"G-REQ-00731")</f>
        <v>G-REQ-00731</v>
      </c>
      <c r="B732" s="11">
        <f>IFERROR(__xludf.DUMMYFUNCTION("""COMPUTED_VALUE"""),45813.34305381967)</f>
        <v>45813.34305</v>
      </c>
      <c r="C732" s="9">
        <f>IFERROR(__xludf.DUMMYFUNCTION("""COMPUTED_VALUE"""),3255.0)</f>
        <v>3255</v>
      </c>
      <c r="D732" s="9" t="str">
        <f>IFERROR(__xludf.DUMMYFUNCTION("""COMPUTED_VALUE"""),"Completed")</f>
        <v>Completed</v>
      </c>
    </row>
    <row r="733">
      <c r="A733" s="9" t="str">
        <f>IFERROR(__xludf.DUMMYFUNCTION("""COMPUTED_VALUE"""),"G-REQ-00732")</f>
        <v>G-REQ-00732</v>
      </c>
      <c r="B733" s="11">
        <f>IFERROR(__xludf.DUMMYFUNCTION("""COMPUTED_VALUE"""),45813.41422866508)</f>
        <v>45813.41423</v>
      </c>
      <c r="C733" s="9">
        <f>IFERROR(__xludf.DUMMYFUNCTION("""COMPUTED_VALUE"""),3259.0)</f>
        <v>3259</v>
      </c>
      <c r="D733" s="9" t="str">
        <f>IFERROR(__xludf.DUMMYFUNCTION("""COMPUTED_VALUE"""),"Completed")</f>
        <v>Completed</v>
      </c>
    </row>
    <row r="734">
      <c r="A734" s="9" t="str">
        <f>IFERROR(__xludf.DUMMYFUNCTION("""COMPUTED_VALUE"""),"G-REQ-00733")</f>
        <v>G-REQ-00733</v>
      </c>
      <c r="B734" s="11">
        <f>IFERROR(__xludf.DUMMYFUNCTION("""COMPUTED_VALUE"""),45813.485403510495)</f>
        <v>45813.4854</v>
      </c>
      <c r="C734" s="9">
        <f>IFERROR(__xludf.DUMMYFUNCTION("""COMPUTED_VALUE"""),3263.0)</f>
        <v>3263</v>
      </c>
      <c r="D734" s="9" t="str">
        <f>IFERROR(__xludf.DUMMYFUNCTION("""COMPUTED_VALUE"""),"Completed")</f>
        <v>Completed</v>
      </c>
    </row>
    <row r="735">
      <c r="A735" s="9" t="str">
        <f>IFERROR(__xludf.DUMMYFUNCTION("""COMPUTED_VALUE"""),"G-REQ-00734")</f>
        <v>G-REQ-00734</v>
      </c>
      <c r="B735" s="11">
        <f>IFERROR(__xludf.DUMMYFUNCTION("""COMPUTED_VALUE"""),45813.54963391147)</f>
        <v>45813.54963</v>
      </c>
      <c r="C735" s="9">
        <f>IFERROR(__xludf.DUMMYFUNCTION("""COMPUTED_VALUE"""),3265.0)</f>
        <v>3265</v>
      </c>
      <c r="D735" s="9" t="str">
        <f>IFERROR(__xludf.DUMMYFUNCTION("""COMPUTED_VALUE"""),"Rejected")</f>
        <v>Rejected</v>
      </c>
    </row>
    <row r="736">
      <c r="A736" s="9" t="str">
        <f>IFERROR(__xludf.DUMMYFUNCTION("""COMPUTED_VALUE"""),"G-REQ-00735")</f>
        <v>G-REQ-00735</v>
      </c>
      <c r="B736" s="11">
        <f>IFERROR(__xludf.DUMMYFUNCTION("""COMPUTED_VALUE"""),45813.627753201334)</f>
        <v>45813.62775</v>
      </c>
      <c r="C736" s="9">
        <f>IFERROR(__xludf.DUMMYFUNCTION("""COMPUTED_VALUE"""),3269.0)</f>
        <v>3269</v>
      </c>
      <c r="D736" s="9" t="str">
        <f>IFERROR(__xludf.DUMMYFUNCTION("""COMPUTED_VALUE"""),"Completed")</f>
        <v>Completed</v>
      </c>
    </row>
    <row r="737">
      <c r="A737" s="9" t="str">
        <f>IFERROR(__xludf.DUMMYFUNCTION("""COMPUTED_VALUE"""),"G-REQ-00736")</f>
        <v>G-REQ-00736</v>
      </c>
      <c r="B737" s="11">
        <f>IFERROR(__xludf.DUMMYFUNCTION("""COMPUTED_VALUE"""),45813.69892804674)</f>
        <v>45813.69893</v>
      </c>
      <c r="C737" s="9">
        <f>IFERROR(__xludf.DUMMYFUNCTION("""COMPUTED_VALUE"""),3273.0)</f>
        <v>3273</v>
      </c>
      <c r="D737" s="9" t="str">
        <f>IFERROR(__xludf.DUMMYFUNCTION("""COMPUTED_VALUE"""),"Completed")</f>
        <v>Completed</v>
      </c>
    </row>
    <row r="738">
      <c r="A738" s="9" t="str">
        <f>IFERROR(__xludf.DUMMYFUNCTION("""COMPUTED_VALUE"""),"G-REQ-00737")</f>
        <v>G-REQ-00737</v>
      </c>
      <c r="B738" s="11">
        <f>IFERROR(__xludf.DUMMYFUNCTION("""COMPUTED_VALUE"""),45813.77010289216)</f>
        <v>45813.7701</v>
      </c>
      <c r="C738" s="9">
        <f>IFERROR(__xludf.DUMMYFUNCTION("""COMPUTED_VALUE"""),3277.0)</f>
        <v>3277</v>
      </c>
      <c r="D738" s="9" t="str">
        <f>IFERROR(__xludf.DUMMYFUNCTION("""COMPUTED_VALUE"""),"Completed")</f>
        <v>Completed</v>
      </c>
    </row>
    <row r="739">
      <c r="A739" s="9" t="str">
        <f>IFERROR(__xludf.DUMMYFUNCTION("""COMPUTED_VALUE"""),"G-REQ-00738")</f>
        <v>G-REQ-00738</v>
      </c>
      <c r="B739" s="11">
        <f>IFERROR(__xludf.DUMMYFUNCTION("""COMPUTED_VALUE"""),45813.83433329313)</f>
        <v>45813.83433</v>
      </c>
      <c r="C739" s="9">
        <f>IFERROR(__xludf.DUMMYFUNCTION("""COMPUTED_VALUE"""),3279.0)</f>
        <v>3279</v>
      </c>
      <c r="D739" s="9" t="str">
        <f>IFERROR(__xludf.DUMMYFUNCTION("""COMPUTED_VALUE"""),"Cancelled")</f>
        <v>Cancelled</v>
      </c>
    </row>
    <row r="740">
      <c r="A740" s="9" t="str">
        <f>IFERROR(__xludf.DUMMYFUNCTION("""COMPUTED_VALUE"""),"G-REQ-00739")</f>
        <v>G-REQ-00739</v>
      </c>
      <c r="B740" s="11">
        <f>IFERROR(__xludf.DUMMYFUNCTION("""COMPUTED_VALUE"""),45813.91245258299)</f>
        <v>45813.91245</v>
      </c>
      <c r="C740" s="9">
        <f>IFERROR(__xludf.DUMMYFUNCTION("""COMPUTED_VALUE"""),3283.0)</f>
        <v>3283</v>
      </c>
      <c r="D740" s="9" t="str">
        <f>IFERROR(__xludf.DUMMYFUNCTION("""COMPUTED_VALUE"""),"Completed")</f>
        <v>Completed</v>
      </c>
    </row>
    <row r="741">
      <c r="A741" s="9" t="str">
        <f>IFERROR(__xludf.DUMMYFUNCTION("""COMPUTED_VALUE"""),"G-REQ-00740")</f>
        <v>G-REQ-00740</v>
      </c>
      <c r="B741" s="11">
        <f>IFERROR(__xludf.DUMMYFUNCTION("""COMPUTED_VALUE"""),45813.9836274284)</f>
        <v>45813.98363</v>
      </c>
      <c r="C741" s="9">
        <f>IFERROR(__xludf.DUMMYFUNCTION("""COMPUTED_VALUE"""),3287.0)</f>
        <v>3287</v>
      </c>
      <c r="D741" s="9" t="str">
        <f>IFERROR(__xludf.DUMMYFUNCTION("""COMPUTED_VALUE"""),"Completed")</f>
        <v>Completed</v>
      </c>
    </row>
    <row r="742">
      <c r="A742" s="9" t="str">
        <f>IFERROR(__xludf.DUMMYFUNCTION("""COMPUTED_VALUE"""),"G-REQ-00741")</f>
        <v>G-REQ-00741</v>
      </c>
      <c r="B742" s="11">
        <f>IFERROR(__xludf.DUMMYFUNCTION("""COMPUTED_VALUE"""),45814.05480227382)</f>
        <v>45814.0548</v>
      </c>
      <c r="C742" s="9">
        <f>IFERROR(__xludf.DUMMYFUNCTION("""COMPUTED_VALUE"""),3291.0)</f>
        <v>3291</v>
      </c>
      <c r="D742" s="9" t="str">
        <f>IFERROR(__xludf.DUMMYFUNCTION("""COMPUTED_VALUE"""),"Completed")</f>
        <v>Completed</v>
      </c>
    </row>
    <row r="743">
      <c r="A743" s="9" t="str">
        <f>IFERROR(__xludf.DUMMYFUNCTION("""COMPUTED_VALUE"""),"G-REQ-00742")</f>
        <v>G-REQ-00742</v>
      </c>
      <c r="B743" s="11">
        <f>IFERROR(__xludf.DUMMYFUNCTION("""COMPUTED_VALUE"""),45814.125977119234)</f>
        <v>45814.12598</v>
      </c>
      <c r="C743" s="9">
        <f>IFERROR(__xludf.DUMMYFUNCTION("""COMPUTED_VALUE"""),3295.0)</f>
        <v>3295</v>
      </c>
      <c r="D743" s="9" t="str">
        <f>IFERROR(__xludf.DUMMYFUNCTION("""COMPUTED_VALUE"""),"Completed")</f>
        <v>Completed</v>
      </c>
    </row>
    <row r="744">
      <c r="A744" s="9" t="str">
        <f>IFERROR(__xludf.DUMMYFUNCTION("""COMPUTED_VALUE"""),"G-REQ-00743")</f>
        <v>G-REQ-00743</v>
      </c>
      <c r="B744" s="11">
        <f>IFERROR(__xludf.DUMMYFUNCTION("""COMPUTED_VALUE"""),45814.19715196465)</f>
        <v>45814.19715</v>
      </c>
      <c r="C744" s="9">
        <f>IFERROR(__xludf.DUMMYFUNCTION("""COMPUTED_VALUE"""),3299.0)</f>
        <v>3299</v>
      </c>
      <c r="D744" s="9" t="str">
        <f>IFERROR(__xludf.DUMMYFUNCTION("""COMPUTED_VALUE"""),"Completed")</f>
        <v>Completed</v>
      </c>
    </row>
    <row r="745">
      <c r="A745" s="9" t="str">
        <f>IFERROR(__xludf.DUMMYFUNCTION("""COMPUTED_VALUE"""),"G-REQ-00744")</f>
        <v>G-REQ-00744</v>
      </c>
      <c r="B745" s="11">
        <f>IFERROR(__xludf.DUMMYFUNCTION("""COMPUTED_VALUE"""),45814.268326810066)</f>
        <v>45814.26833</v>
      </c>
      <c r="C745" s="9">
        <f>IFERROR(__xludf.DUMMYFUNCTION("""COMPUTED_VALUE"""),3303.0)</f>
        <v>3303</v>
      </c>
      <c r="D745" s="9" t="str">
        <f>IFERROR(__xludf.DUMMYFUNCTION("""COMPUTED_VALUE"""),"Completed")</f>
        <v>Completed</v>
      </c>
    </row>
    <row r="746">
      <c r="A746" s="9" t="str">
        <f>IFERROR(__xludf.DUMMYFUNCTION("""COMPUTED_VALUE"""),"G-REQ-00745")</f>
        <v>G-REQ-00745</v>
      </c>
      <c r="B746" s="11">
        <f>IFERROR(__xludf.DUMMYFUNCTION("""COMPUTED_VALUE"""),45814.33950165548)</f>
        <v>45814.3395</v>
      </c>
      <c r="C746" s="9">
        <f>IFERROR(__xludf.DUMMYFUNCTION("""COMPUTED_VALUE"""),3307.0)</f>
        <v>3307</v>
      </c>
      <c r="D746" s="9" t="str">
        <f>IFERROR(__xludf.DUMMYFUNCTION("""COMPUTED_VALUE"""),"Completed")</f>
        <v>Completed</v>
      </c>
    </row>
    <row r="747">
      <c r="A747" s="9" t="str">
        <f>IFERROR(__xludf.DUMMYFUNCTION("""COMPUTED_VALUE"""),"G-REQ-00746")</f>
        <v>G-REQ-00746</v>
      </c>
      <c r="B747" s="11">
        <f>IFERROR(__xludf.DUMMYFUNCTION("""COMPUTED_VALUE"""),45814.41067650089)</f>
        <v>45814.41068</v>
      </c>
      <c r="C747" s="9">
        <f>IFERROR(__xludf.DUMMYFUNCTION("""COMPUTED_VALUE"""),3311.0)</f>
        <v>3311</v>
      </c>
      <c r="D747" s="9" t="str">
        <f>IFERROR(__xludf.DUMMYFUNCTION("""COMPUTED_VALUE"""),"Completed")</f>
        <v>Completed</v>
      </c>
    </row>
    <row r="748">
      <c r="A748" s="9" t="str">
        <f>IFERROR(__xludf.DUMMYFUNCTION("""COMPUTED_VALUE"""),"G-REQ-00747")</f>
        <v>G-REQ-00747</v>
      </c>
      <c r="B748" s="11">
        <f>IFERROR(__xludf.DUMMYFUNCTION("""COMPUTED_VALUE"""),45814.48185134631)</f>
        <v>45814.48185</v>
      </c>
      <c r="C748" s="9">
        <f>IFERROR(__xludf.DUMMYFUNCTION("""COMPUTED_VALUE"""),3315.0)</f>
        <v>3315</v>
      </c>
      <c r="D748" s="9" t="str">
        <f>IFERROR(__xludf.DUMMYFUNCTION("""COMPUTED_VALUE"""),"Completed")</f>
        <v>Completed</v>
      </c>
    </row>
    <row r="749">
      <c r="A749" s="9" t="str">
        <f>IFERROR(__xludf.DUMMYFUNCTION("""COMPUTED_VALUE"""),"G-REQ-00748")</f>
        <v>G-REQ-00748</v>
      </c>
      <c r="B749" s="11">
        <f>IFERROR(__xludf.DUMMYFUNCTION("""COMPUTED_VALUE"""),45814.55302619172)</f>
        <v>45814.55303</v>
      </c>
      <c r="C749" s="9">
        <f>IFERROR(__xludf.DUMMYFUNCTION("""COMPUTED_VALUE"""),3319.0)</f>
        <v>3319</v>
      </c>
      <c r="D749" s="9" t="str">
        <f>IFERROR(__xludf.DUMMYFUNCTION("""COMPUTED_VALUE"""),"Completed")</f>
        <v>Completed</v>
      </c>
    </row>
    <row r="750">
      <c r="A750" s="9" t="str">
        <f>IFERROR(__xludf.DUMMYFUNCTION("""COMPUTED_VALUE"""),"G-REQ-00749")</f>
        <v>G-REQ-00749</v>
      </c>
      <c r="B750" s="11">
        <f>IFERROR(__xludf.DUMMYFUNCTION("""COMPUTED_VALUE"""),45814.62420103714)</f>
        <v>45814.6242</v>
      </c>
      <c r="C750" s="9">
        <f>IFERROR(__xludf.DUMMYFUNCTION("""COMPUTED_VALUE"""),3323.0)</f>
        <v>3323</v>
      </c>
      <c r="D750" s="9" t="str">
        <f>IFERROR(__xludf.DUMMYFUNCTION("""COMPUTED_VALUE"""),"Completed")</f>
        <v>Completed</v>
      </c>
    </row>
    <row r="751">
      <c r="A751" s="9" t="str">
        <f>IFERROR(__xludf.DUMMYFUNCTION("""COMPUTED_VALUE"""),"G-REQ-00750")</f>
        <v>G-REQ-00750</v>
      </c>
      <c r="B751" s="11">
        <f>IFERROR(__xludf.DUMMYFUNCTION("""COMPUTED_VALUE"""),45814.68843143811)</f>
        <v>45814.68843</v>
      </c>
      <c r="C751" s="9">
        <f>IFERROR(__xludf.DUMMYFUNCTION("""COMPUTED_VALUE"""),3325.0)</f>
        <v>3325</v>
      </c>
      <c r="D751" s="9" t="str">
        <f>IFERROR(__xludf.DUMMYFUNCTION("""COMPUTED_VALUE"""),"Cancelled")</f>
        <v>Cancelled</v>
      </c>
    </row>
    <row r="752">
      <c r="A752" s="9" t="str">
        <f>IFERROR(__xludf.DUMMYFUNCTION("""COMPUTED_VALUE"""),"G-REQ-00751")</f>
        <v>G-REQ-00751</v>
      </c>
      <c r="B752" s="11">
        <f>IFERROR(__xludf.DUMMYFUNCTION("""COMPUTED_VALUE"""),45814.75960628353)</f>
        <v>45814.75961</v>
      </c>
      <c r="C752" s="9">
        <f>IFERROR(__xludf.DUMMYFUNCTION("""COMPUTED_VALUE"""),3327.0)</f>
        <v>3327</v>
      </c>
      <c r="D752" s="9" t="str">
        <f>IFERROR(__xludf.DUMMYFUNCTION("""COMPUTED_VALUE"""),"Rejected")</f>
        <v>Rejected</v>
      </c>
    </row>
    <row r="753">
      <c r="A753" s="9" t="str">
        <f>IFERROR(__xludf.DUMMYFUNCTION("""COMPUTED_VALUE"""),"G-REQ-00752")</f>
        <v>G-REQ-00752</v>
      </c>
      <c r="B753" s="11">
        <f>IFERROR(__xludf.DUMMYFUNCTION("""COMPUTED_VALUE"""),45814.83772557338)</f>
        <v>45814.83773</v>
      </c>
      <c r="C753" s="9">
        <f>IFERROR(__xludf.DUMMYFUNCTION("""COMPUTED_VALUE"""),3331.0)</f>
        <v>3331</v>
      </c>
      <c r="D753" s="9" t="str">
        <f>IFERROR(__xludf.DUMMYFUNCTION("""COMPUTED_VALUE"""),"Completed")</f>
        <v>Completed</v>
      </c>
    </row>
    <row r="754">
      <c r="A754" s="9" t="str">
        <f>IFERROR(__xludf.DUMMYFUNCTION("""COMPUTED_VALUE"""),"G-REQ-00753")</f>
        <v>G-REQ-00753</v>
      </c>
      <c r="B754" s="11">
        <f>IFERROR(__xludf.DUMMYFUNCTION("""COMPUTED_VALUE"""),45814.9089004188)</f>
        <v>45814.9089</v>
      </c>
      <c r="C754" s="9">
        <f>IFERROR(__xludf.DUMMYFUNCTION("""COMPUTED_VALUE"""),3335.0)</f>
        <v>3335</v>
      </c>
      <c r="D754" s="9" t="str">
        <f>IFERROR(__xludf.DUMMYFUNCTION("""COMPUTED_VALUE"""),"Completed")</f>
        <v>Completed</v>
      </c>
    </row>
    <row r="755">
      <c r="A755" s="9" t="str">
        <f>IFERROR(__xludf.DUMMYFUNCTION("""COMPUTED_VALUE"""),"G-REQ-00754")</f>
        <v>G-REQ-00754</v>
      </c>
      <c r="B755" s="11">
        <f>IFERROR(__xludf.DUMMYFUNCTION("""COMPUTED_VALUE"""),45814.98007526422)</f>
        <v>45814.98008</v>
      </c>
      <c r="C755" s="9">
        <f>IFERROR(__xludf.DUMMYFUNCTION("""COMPUTED_VALUE"""),3339.0)</f>
        <v>3339</v>
      </c>
      <c r="D755" s="9" t="str">
        <f>IFERROR(__xludf.DUMMYFUNCTION("""COMPUTED_VALUE"""),"Completed")</f>
        <v>Completed</v>
      </c>
    </row>
    <row r="756">
      <c r="A756" s="9" t="str">
        <f>IFERROR(__xludf.DUMMYFUNCTION("""COMPUTED_VALUE"""),"G-REQ-00755")</f>
        <v>G-REQ-00755</v>
      </c>
      <c r="B756" s="11">
        <f>IFERROR(__xludf.DUMMYFUNCTION("""COMPUTED_VALUE"""),45815.05125010963)</f>
        <v>45815.05125</v>
      </c>
      <c r="C756" s="9">
        <f>IFERROR(__xludf.DUMMYFUNCTION("""COMPUTED_VALUE"""),3343.0)</f>
        <v>3343</v>
      </c>
      <c r="D756" s="9" t="str">
        <f>IFERROR(__xludf.DUMMYFUNCTION("""COMPUTED_VALUE"""),"Completed")</f>
        <v>Completed</v>
      </c>
    </row>
    <row r="757">
      <c r="A757" s="9" t="str">
        <f>IFERROR(__xludf.DUMMYFUNCTION("""COMPUTED_VALUE"""),"G-REQ-00756")</f>
        <v>G-REQ-00756</v>
      </c>
      <c r="B757" s="11">
        <f>IFERROR(__xludf.DUMMYFUNCTION("""COMPUTED_VALUE"""),45815.12242495504)</f>
        <v>45815.12242</v>
      </c>
      <c r="C757" s="9">
        <f>IFERROR(__xludf.DUMMYFUNCTION("""COMPUTED_VALUE"""),3347.0)</f>
        <v>3347</v>
      </c>
      <c r="D757" s="9" t="str">
        <f>IFERROR(__xludf.DUMMYFUNCTION("""COMPUTED_VALUE"""),"Completed")</f>
        <v>Completed</v>
      </c>
    </row>
    <row r="758">
      <c r="A758" s="9" t="str">
        <f>IFERROR(__xludf.DUMMYFUNCTION("""COMPUTED_VALUE"""),"G-REQ-00757")</f>
        <v>G-REQ-00757</v>
      </c>
      <c r="B758" s="11">
        <f>IFERROR(__xludf.DUMMYFUNCTION("""COMPUTED_VALUE"""),45815.19359980046)</f>
        <v>45815.1936</v>
      </c>
      <c r="C758" s="9">
        <f>IFERROR(__xludf.DUMMYFUNCTION("""COMPUTED_VALUE"""),3351.0)</f>
        <v>3351</v>
      </c>
      <c r="D758" s="9" t="str">
        <f>IFERROR(__xludf.DUMMYFUNCTION("""COMPUTED_VALUE"""),"Completed")</f>
        <v>Completed</v>
      </c>
    </row>
    <row r="759">
      <c r="A759" s="9" t="str">
        <f>IFERROR(__xludf.DUMMYFUNCTION("""COMPUTED_VALUE"""),"G-REQ-00758")</f>
        <v>G-REQ-00758</v>
      </c>
      <c r="B759" s="11">
        <f>IFERROR(__xludf.DUMMYFUNCTION("""COMPUTED_VALUE"""),45815.25783020143)</f>
        <v>45815.25783</v>
      </c>
      <c r="C759" s="9">
        <f>IFERROR(__xludf.DUMMYFUNCTION("""COMPUTED_VALUE"""),3353.0)</f>
        <v>3353</v>
      </c>
      <c r="D759" s="9" t="str">
        <f>IFERROR(__xludf.DUMMYFUNCTION("""COMPUTED_VALUE"""),"Rejected")</f>
        <v>Rejected</v>
      </c>
    </row>
    <row r="760">
      <c r="A760" s="9" t="str">
        <f>IFERROR(__xludf.DUMMYFUNCTION("""COMPUTED_VALUE"""),"G-REQ-00759")</f>
        <v>G-REQ-00759</v>
      </c>
      <c r="B760" s="11">
        <f>IFERROR(__xludf.DUMMYFUNCTION("""COMPUTED_VALUE"""),45815.33594949129)</f>
        <v>45815.33595</v>
      </c>
      <c r="C760" s="9">
        <f>IFERROR(__xludf.DUMMYFUNCTION("""COMPUTED_VALUE"""),3357.0)</f>
        <v>3357</v>
      </c>
      <c r="D760" s="9" t="str">
        <f>IFERROR(__xludf.DUMMYFUNCTION("""COMPUTED_VALUE"""),"Completed")</f>
        <v>Completed</v>
      </c>
    </row>
    <row r="761">
      <c r="A761" s="9" t="str">
        <f>IFERROR(__xludf.DUMMYFUNCTION("""COMPUTED_VALUE"""),"G-REQ-00760")</f>
        <v>G-REQ-00760</v>
      </c>
      <c r="B761" s="11">
        <f>IFERROR(__xludf.DUMMYFUNCTION("""COMPUTED_VALUE"""),45815.40712433671)</f>
        <v>45815.40712</v>
      </c>
      <c r="C761" s="9">
        <f>IFERROR(__xludf.DUMMYFUNCTION("""COMPUTED_VALUE"""),3361.0)</f>
        <v>3361</v>
      </c>
      <c r="D761" s="9" t="str">
        <f>IFERROR(__xludf.DUMMYFUNCTION("""COMPUTED_VALUE"""),"Completed")</f>
        <v>Completed</v>
      </c>
    </row>
    <row r="762">
      <c r="A762" s="9" t="str">
        <f>IFERROR(__xludf.DUMMYFUNCTION("""COMPUTED_VALUE"""),"G-REQ-00761")</f>
        <v>G-REQ-00761</v>
      </c>
      <c r="B762" s="11">
        <f>IFERROR(__xludf.DUMMYFUNCTION("""COMPUTED_VALUE"""),45815.47135473768)</f>
        <v>45815.47135</v>
      </c>
      <c r="C762" s="9">
        <f>IFERROR(__xludf.DUMMYFUNCTION("""COMPUTED_VALUE"""),3363.0)</f>
        <v>3363</v>
      </c>
      <c r="D762" s="9" t="str">
        <f>IFERROR(__xludf.DUMMYFUNCTION("""COMPUTED_VALUE"""),"Rejected")</f>
        <v>Rejected</v>
      </c>
    </row>
    <row r="763">
      <c r="A763" s="9" t="str">
        <f>IFERROR(__xludf.DUMMYFUNCTION("""COMPUTED_VALUE"""),"G-REQ-00762")</f>
        <v>G-REQ-00762</v>
      </c>
      <c r="B763" s="11">
        <f>IFERROR(__xludf.DUMMYFUNCTION("""COMPUTED_VALUE"""),45815.54947402753)</f>
        <v>45815.54947</v>
      </c>
      <c r="C763" s="9">
        <f>IFERROR(__xludf.DUMMYFUNCTION("""COMPUTED_VALUE"""),3367.0)</f>
        <v>3367</v>
      </c>
      <c r="D763" s="9" t="str">
        <f>IFERROR(__xludf.DUMMYFUNCTION("""COMPUTED_VALUE"""),"Completed")</f>
        <v>Completed</v>
      </c>
    </row>
    <row r="764">
      <c r="A764" s="9" t="str">
        <f>IFERROR(__xludf.DUMMYFUNCTION("""COMPUTED_VALUE"""),"G-REQ-00763")</f>
        <v>G-REQ-00763</v>
      </c>
      <c r="B764" s="11">
        <f>IFERROR(__xludf.DUMMYFUNCTION("""COMPUTED_VALUE"""),45815.62064887295)</f>
        <v>45815.62065</v>
      </c>
      <c r="C764" s="9">
        <f>IFERROR(__xludf.DUMMYFUNCTION("""COMPUTED_VALUE"""),3371.0)</f>
        <v>3371</v>
      </c>
      <c r="D764" s="9" t="str">
        <f>IFERROR(__xludf.DUMMYFUNCTION("""COMPUTED_VALUE"""),"Completed")</f>
        <v>Completed</v>
      </c>
    </row>
    <row r="765">
      <c r="A765" s="9" t="str">
        <f>IFERROR(__xludf.DUMMYFUNCTION("""COMPUTED_VALUE"""),"G-REQ-00764")</f>
        <v>G-REQ-00764</v>
      </c>
      <c r="B765" s="11">
        <f>IFERROR(__xludf.DUMMYFUNCTION("""COMPUTED_VALUE"""),45815.69182371836)</f>
        <v>45815.69182</v>
      </c>
      <c r="C765" s="9">
        <f>IFERROR(__xludf.DUMMYFUNCTION("""COMPUTED_VALUE"""),3375.0)</f>
        <v>3375</v>
      </c>
      <c r="D765" s="9" t="str">
        <f>IFERROR(__xludf.DUMMYFUNCTION("""COMPUTED_VALUE"""),"Completed")</f>
        <v>Completed</v>
      </c>
    </row>
    <row r="766">
      <c r="A766" s="9" t="str">
        <f>IFERROR(__xludf.DUMMYFUNCTION("""COMPUTED_VALUE"""),"G-REQ-00765")</f>
        <v>G-REQ-00765</v>
      </c>
      <c r="B766" s="11">
        <f>IFERROR(__xludf.DUMMYFUNCTION("""COMPUTED_VALUE"""),45815.76299856378)</f>
        <v>45815.763</v>
      </c>
      <c r="C766" s="9">
        <f>IFERROR(__xludf.DUMMYFUNCTION("""COMPUTED_VALUE"""),3379.0)</f>
        <v>3379</v>
      </c>
      <c r="D766" s="9" t="str">
        <f>IFERROR(__xludf.DUMMYFUNCTION("""COMPUTED_VALUE"""),"Completed")</f>
        <v>Completed</v>
      </c>
    </row>
    <row r="767">
      <c r="A767" s="9" t="str">
        <f>IFERROR(__xludf.DUMMYFUNCTION("""COMPUTED_VALUE"""),"G-REQ-00766")</f>
        <v>G-REQ-00766</v>
      </c>
      <c r="B767" s="11">
        <f>IFERROR(__xludf.DUMMYFUNCTION("""COMPUTED_VALUE"""),45815.82722896475)</f>
        <v>45815.82723</v>
      </c>
      <c r="C767" s="9">
        <f>IFERROR(__xludf.DUMMYFUNCTION("""COMPUTED_VALUE"""),3381.0)</f>
        <v>3381</v>
      </c>
      <c r="D767" s="9" t="str">
        <f>IFERROR(__xludf.DUMMYFUNCTION("""COMPUTED_VALUE"""),"Cancelled")</f>
        <v>Cancelled</v>
      </c>
    </row>
    <row r="768">
      <c r="A768" s="9" t="str">
        <f>IFERROR(__xludf.DUMMYFUNCTION("""COMPUTED_VALUE"""),"G-REQ-00767")</f>
        <v>G-REQ-00767</v>
      </c>
      <c r="B768" s="11">
        <f>IFERROR(__xludf.DUMMYFUNCTION("""COMPUTED_VALUE"""),45815.89840381017)</f>
        <v>45815.8984</v>
      </c>
      <c r="C768" s="9">
        <f>IFERROR(__xludf.DUMMYFUNCTION("""COMPUTED_VALUE"""),3383.0)</f>
        <v>3383</v>
      </c>
      <c r="D768" s="9" t="str">
        <f>IFERROR(__xludf.DUMMYFUNCTION("""COMPUTED_VALUE"""),"Cancelled")</f>
        <v>Cancelled</v>
      </c>
    </row>
    <row r="769">
      <c r="A769" s="9" t="str">
        <f>IFERROR(__xludf.DUMMYFUNCTION("""COMPUTED_VALUE"""),"G-REQ-00768")</f>
        <v>G-REQ-00768</v>
      </c>
      <c r="B769" s="11">
        <f>IFERROR(__xludf.DUMMYFUNCTION("""COMPUTED_VALUE"""),45815.97652310003)</f>
        <v>45815.97652</v>
      </c>
      <c r="C769" s="9">
        <f>IFERROR(__xludf.DUMMYFUNCTION("""COMPUTED_VALUE"""),3387.0)</f>
        <v>3387</v>
      </c>
      <c r="D769" s="9" t="str">
        <f>IFERROR(__xludf.DUMMYFUNCTION("""COMPUTED_VALUE"""),"Completed")</f>
        <v>Completed</v>
      </c>
    </row>
    <row r="770">
      <c r="A770" s="9" t="str">
        <f>IFERROR(__xludf.DUMMYFUNCTION("""COMPUTED_VALUE"""),"G-REQ-00769")</f>
        <v>G-REQ-00769</v>
      </c>
      <c r="B770" s="11">
        <f>IFERROR(__xludf.DUMMYFUNCTION("""COMPUTED_VALUE"""),45816.040753500994)</f>
        <v>45816.04075</v>
      </c>
      <c r="C770" s="9">
        <f>IFERROR(__xludf.DUMMYFUNCTION("""COMPUTED_VALUE"""),3389.0)</f>
        <v>3389</v>
      </c>
      <c r="D770" s="9" t="str">
        <f>IFERROR(__xludf.DUMMYFUNCTION("""COMPUTED_VALUE"""),"Cancelled")</f>
        <v>Cancelled</v>
      </c>
    </row>
    <row r="771">
      <c r="A771" s="9" t="str">
        <f>IFERROR(__xludf.DUMMYFUNCTION("""COMPUTED_VALUE"""),"G-REQ-00770")</f>
        <v>G-REQ-00770</v>
      </c>
      <c r="B771" s="11">
        <f>IFERROR(__xludf.DUMMYFUNCTION("""COMPUTED_VALUE"""),45816.11887279086)</f>
        <v>45816.11887</v>
      </c>
      <c r="C771" s="9">
        <f>IFERROR(__xludf.DUMMYFUNCTION("""COMPUTED_VALUE"""),3393.0)</f>
        <v>3393</v>
      </c>
      <c r="D771" s="9" t="str">
        <f>IFERROR(__xludf.DUMMYFUNCTION("""COMPUTED_VALUE"""),"Completed")</f>
        <v>Completed</v>
      </c>
    </row>
    <row r="772">
      <c r="A772" s="9" t="str">
        <f>IFERROR(__xludf.DUMMYFUNCTION("""COMPUTED_VALUE"""),"G-REQ-00771")</f>
        <v>G-REQ-00771</v>
      </c>
      <c r="B772" s="11">
        <f>IFERROR(__xludf.DUMMYFUNCTION("""COMPUTED_VALUE"""),45816.19004763627)</f>
        <v>45816.19005</v>
      </c>
      <c r="C772" s="9">
        <f>IFERROR(__xludf.DUMMYFUNCTION("""COMPUTED_VALUE"""),3397.0)</f>
        <v>3397</v>
      </c>
      <c r="D772" s="9" t="str">
        <f>IFERROR(__xludf.DUMMYFUNCTION("""COMPUTED_VALUE"""),"Completed")</f>
        <v>Completed</v>
      </c>
    </row>
    <row r="773">
      <c r="A773" s="9" t="str">
        <f>IFERROR(__xludf.DUMMYFUNCTION("""COMPUTED_VALUE"""),"G-REQ-00772")</f>
        <v>G-REQ-00772</v>
      </c>
      <c r="B773" s="11">
        <f>IFERROR(__xludf.DUMMYFUNCTION("""COMPUTED_VALUE"""),45816.261222481684)</f>
        <v>45816.26122</v>
      </c>
      <c r="C773" s="9">
        <f>IFERROR(__xludf.DUMMYFUNCTION("""COMPUTED_VALUE"""),3401.0)</f>
        <v>3401</v>
      </c>
      <c r="D773" s="9" t="str">
        <f>IFERROR(__xludf.DUMMYFUNCTION("""COMPUTED_VALUE"""),"Completed")</f>
        <v>Completed</v>
      </c>
    </row>
    <row r="774">
      <c r="A774" s="9" t="str">
        <f>IFERROR(__xludf.DUMMYFUNCTION("""COMPUTED_VALUE"""),"G-REQ-00773")</f>
        <v>G-REQ-00773</v>
      </c>
      <c r="B774" s="11">
        <f>IFERROR(__xludf.DUMMYFUNCTION("""COMPUTED_VALUE"""),45816.3323973271)</f>
        <v>45816.3324</v>
      </c>
      <c r="C774" s="9">
        <f>IFERROR(__xludf.DUMMYFUNCTION("""COMPUTED_VALUE"""),3405.0)</f>
        <v>3405</v>
      </c>
      <c r="D774" s="9" t="str">
        <f>IFERROR(__xludf.DUMMYFUNCTION("""COMPUTED_VALUE"""),"Completed")</f>
        <v>Completed</v>
      </c>
    </row>
    <row r="775">
      <c r="A775" s="9" t="str">
        <f>IFERROR(__xludf.DUMMYFUNCTION("""COMPUTED_VALUE"""),"G-REQ-00774")</f>
        <v>G-REQ-00774</v>
      </c>
      <c r="B775" s="11">
        <f>IFERROR(__xludf.DUMMYFUNCTION("""COMPUTED_VALUE"""),45816.39662772807)</f>
        <v>45816.39663</v>
      </c>
      <c r="C775" s="9">
        <f>IFERROR(__xludf.DUMMYFUNCTION("""COMPUTED_VALUE"""),3407.0)</f>
        <v>3407</v>
      </c>
      <c r="D775" s="9" t="str">
        <f>IFERROR(__xludf.DUMMYFUNCTION("""COMPUTED_VALUE"""),"Rejected")</f>
        <v>Rejected</v>
      </c>
    </row>
    <row r="776">
      <c r="A776" s="9" t="str">
        <f>IFERROR(__xludf.DUMMYFUNCTION("""COMPUTED_VALUE"""),"G-REQ-00775")</f>
        <v>G-REQ-00775</v>
      </c>
      <c r="B776" s="11">
        <f>IFERROR(__xludf.DUMMYFUNCTION("""COMPUTED_VALUE"""),45816.47474701793)</f>
        <v>45816.47475</v>
      </c>
      <c r="C776" s="9">
        <f>IFERROR(__xludf.DUMMYFUNCTION("""COMPUTED_VALUE"""),3411.0)</f>
        <v>3411</v>
      </c>
      <c r="D776" s="9" t="str">
        <f>IFERROR(__xludf.DUMMYFUNCTION("""COMPUTED_VALUE"""),"Completed")</f>
        <v>Completed</v>
      </c>
    </row>
    <row r="777">
      <c r="A777" s="9" t="str">
        <f>IFERROR(__xludf.DUMMYFUNCTION("""COMPUTED_VALUE"""),"G-REQ-00776")</f>
        <v>G-REQ-00776</v>
      </c>
      <c r="B777" s="11">
        <f>IFERROR(__xludf.DUMMYFUNCTION("""COMPUTED_VALUE"""),45816.54592186335)</f>
        <v>45816.54592</v>
      </c>
      <c r="C777" s="9">
        <f>IFERROR(__xludf.DUMMYFUNCTION("""COMPUTED_VALUE"""),3415.0)</f>
        <v>3415</v>
      </c>
      <c r="D777" s="9" t="str">
        <f>IFERROR(__xludf.DUMMYFUNCTION("""COMPUTED_VALUE"""),"Completed")</f>
        <v>Completed</v>
      </c>
    </row>
    <row r="778">
      <c r="A778" s="9" t="str">
        <f>IFERROR(__xludf.DUMMYFUNCTION("""COMPUTED_VALUE"""),"G-REQ-00777")</f>
        <v>G-REQ-00777</v>
      </c>
      <c r="B778" s="11">
        <f>IFERROR(__xludf.DUMMYFUNCTION("""COMPUTED_VALUE"""),45816.61709670877)</f>
        <v>45816.6171</v>
      </c>
      <c r="C778" s="9">
        <f>IFERROR(__xludf.DUMMYFUNCTION("""COMPUTED_VALUE"""),3419.0)</f>
        <v>3419</v>
      </c>
      <c r="D778" s="9" t="str">
        <f>IFERROR(__xludf.DUMMYFUNCTION("""COMPUTED_VALUE"""),"Completed")</f>
        <v>Completed</v>
      </c>
    </row>
    <row r="779">
      <c r="A779" s="9" t="str">
        <f>IFERROR(__xludf.DUMMYFUNCTION("""COMPUTED_VALUE"""),"G-REQ-00778")</f>
        <v>G-REQ-00778</v>
      </c>
      <c r="B779" s="11">
        <f>IFERROR(__xludf.DUMMYFUNCTION("""COMPUTED_VALUE"""),45816.68827155417)</f>
        <v>45816.68827</v>
      </c>
      <c r="C779" s="9">
        <f>IFERROR(__xludf.DUMMYFUNCTION("""COMPUTED_VALUE"""),3423.0)</f>
        <v>3423</v>
      </c>
      <c r="D779" s="9" t="str">
        <f>IFERROR(__xludf.DUMMYFUNCTION("""COMPUTED_VALUE"""),"Completed")</f>
        <v>Completed</v>
      </c>
    </row>
    <row r="780">
      <c r="A780" s="9" t="str">
        <f>IFERROR(__xludf.DUMMYFUNCTION("""COMPUTED_VALUE"""),"G-REQ-00779")</f>
        <v>G-REQ-00779</v>
      </c>
      <c r="B780" s="11">
        <f>IFERROR(__xludf.DUMMYFUNCTION("""COMPUTED_VALUE"""),45816.75944639959)</f>
        <v>45816.75945</v>
      </c>
      <c r="C780" s="9">
        <f>IFERROR(__xludf.DUMMYFUNCTION("""COMPUTED_VALUE"""),3427.0)</f>
        <v>3427</v>
      </c>
      <c r="D780" s="9" t="str">
        <f>IFERROR(__xludf.DUMMYFUNCTION("""COMPUTED_VALUE"""),"Completed")</f>
        <v>Completed</v>
      </c>
    </row>
    <row r="781">
      <c r="A781" s="9" t="str">
        <f>IFERROR(__xludf.DUMMYFUNCTION("""COMPUTED_VALUE"""),"G-REQ-00780")</f>
        <v>G-REQ-00780</v>
      </c>
      <c r="B781" s="11">
        <f>IFERROR(__xludf.DUMMYFUNCTION("""COMPUTED_VALUE"""),45816.83062124501)</f>
        <v>45816.83062</v>
      </c>
      <c r="C781" s="9">
        <f>IFERROR(__xludf.DUMMYFUNCTION("""COMPUTED_VALUE"""),3431.0)</f>
        <v>3431</v>
      </c>
      <c r="D781" s="9" t="str">
        <f>IFERROR(__xludf.DUMMYFUNCTION("""COMPUTED_VALUE"""),"Completed")</f>
        <v>Completed</v>
      </c>
    </row>
    <row r="782">
      <c r="A782" s="9" t="str">
        <f>IFERROR(__xludf.DUMMYFUNCTION("""COMPUTED_VALUE"""),"G-REQ-00781")</f>
        <v>G-REQ-00781</v>
      </c>
      <c r="B782" s="11">
        <f>IFERROR(__xludf.DUMMYFUNCTION("""COMPUTED_VALUE"""),45816.901796090424)</f>
        <v>45816.9018</v>
      </c>
      <c r="C782" s="9">
        <f>IFERROR(__xludf.DUMMYFUNCTION("""COMPUTED_VALUE"""),3435.0)</f>
        <v>3435</v>
      </c>
      <c r="D782" s="9" t="str">
        <f>IFERROR(__xludf.DUMMYFUNCTION("""COMPUTED_VALUE"""),"Completed")</f>
        <v>Completed</v>
      </c>
    </row>
    <row r="783">
      <c r="A783" s="9" t="str">
        <f>IFERROR(__xludf.DUMMYFUNCTION("""COMPUTED_VALUE"""),"G-REQ-00782")</f>
        <v>G-REQ-00782</v>
      </c>
      <c r="B783" s="11">
        <f>IFERROR(__xludf.DUMMYFUNCTION("""COMPUTED_VALUE"""),45816.972970935836)</f>
        <v>45816.97297</v>
      </c>
      <c r="C783" s="9">
        <f>IFERROR(__xludf.DUMMYFUNCTION("""COMPUTED_VALUE"""),3439.0)</f>
        <v>3439</v>
      </c>
      <c r="D783" s="9" t="str">
        <f>IFERROR(__xludf.DUMMYFUNCTION("""COMPUTED_VALUE"""),"Completed")</f>
        <v>Completed</v>
      </c>
    </row>
    <row r="784">
      <c r="A784" s="9" t="str">
        <f>IFERROR(__xludf.DUMMYFUNCTION("""COMPUTED_VALUE"""),"G-REQ-00783")</f>
        <v>G-REQ-00783</v>
      </c>
      <c r="B784" s="11">
        <f>IFERROR(__xludf.DUMMYFUNCTION("""COMPUTED_VALUE"""),45817.044145781256)</f>
        <v>45817.04415</v>
      </c>
      <c r="C784" s="9">
        <f>IFERROR(__xludf.DUMMYFUNCTION("""COMPUTED_VALUE"""),3443.0)</f>
        <v>3443</v>
      </c>
      <c r="D784" s="9" t="str">
        <f>IFERROR(__xludf.DUMMYFUNCTION("""COMPUTED_VALUE"""),"Completed")</f>
        <v>Completed</v>
      </c>
    </row>
    <row r="785">
      <c r="A785" s="9" t="str">
        <f>IFERROR(__xludf.DUMMYFUNCTION("""COMPUTED_VALUE"""),"G-REQ-00784")</f>
        <v>G-REQ-00784</v>
      </c>
      <c r="B785" s="11">
        <f>IFERROR(__xludf.DUMMYFUNCTION("""COMPUTED_VALUE"""),45817.10837618222)</f>
        <v>45817.10838</v>
      </c>
      <c r="C785" s="9">
        <f>IFERROR(__xludf.DUMMYFUNCTION("""COMPUTED_VALUE"""),3445.0)</f>
        <v>3445</v>
      </c>
      <c r="D785" s="9" t="str">
        <f>IFERROR(__xludf.DUMMYFUNCTION("""COMPUTED_VALUE"""),"Cancelled")</f>
        <v>Cancelled</v>
      </c>
    </row>
    <row r="786">
      <c r="A786" s="9" t="str">
        <f>IFERROR(__xludf.DUMMYFUNCTION("""COMPUTED_VALUE"""),"G-REQ-00785")</f>
        <v>G-REQ-00785</v>
      </c>
      <c r="B786" s="11">
        <f>IFERROR(__xludf.DUMMYFUNCTION("""COMPUTED_VALUE"""),45817.18649547208)</f>
        <v>45817.1865</v>
      </c>
      <c r="C786" s="9">
        <f>IFERROR(__xludf.DUMMYFUNCTION("""COMPUTED_VALUE"""),3449.0)</f>
        <v>3449</v>
      </c>
      <c r="D786" s="9" t="str">
        <f>IFERROR(__xludf.DUMMYFUNCTION("""COMPUTED_VALUE"""),"Completed")</f>
        <v>Completed</v>
      </c>
    </row>
    <row r="787">
      <c r="A787" s="9" t="str">
        <f>IFERROR(__xludf.DUMMYFUNCTION("""COMPUTED_VALUE"""),"G-REQ-00786")</f>
        <v>G-REQ-00786</v>
      </c>
      <c r="B787" s="11">
        <f>IFERROR(__xludf.DUMMYFUNCTION("""COMPUTED_VALUE"""),45817.2576703175)</f>
        <v>45817.25767</v>
      </c>
      <c r="C787" s="9">
        <f>IFERROR(__xludf.DUMMYFUNCTION("""COMPUTED_VALUE"""),3453.0)</f>
        <v>3453</v>
      </c>
      <c r="D787" s="9" t="str">
        <f>IFERROR(__xludf.DUMMYFUNCTION("""COMPUTED_VALUE"""),"Completed")</f>
        <v>Completed</v>
      </c>
    </row>
    <row r="788">
      <c r="A788" s="9" t="str">
        <f>IFERROR(__xludf.DUMMYFUNCTION("""COMPUTED_VALUE"""),"G-REQ-00787")</f>
        <v>G-REQ-00787</v>
      </c>
      <c r="B788" s="11">
        <f>IFERROR(__xludf.DUMMYFUNCTION("""COMPUTED_VALUE"""),45817.32884516291)</f>
        <v>45817.32885</v>
      </c>
      <c r="C788" s="9">
        <f>IFERROR(__xludf.DUMMYFUNCTION("""COMPUTED_VALUE"""),3457.0)</f>
        <v>3457</v>
      </c>
      <c r="D788" s="9" t="str">
        <f>IFERROR(__xludf.DUMMYFUNCTION("""COMPUTED_VALUE"""),"Completed")</f>
        <v>Completed</v>
      </c>
    </row>
    <row r="789">
      <c r="A789" s="9" t="str">
        <f>IFERROR(__xludf.DUMMYFUNCTION("""COMPUTED_VALUE"""),"G-REQ-00788")</f>
        <v>G-REQ-00788</v>
      </c>
      <c r="B789" s="11">
        <f>IFERROR(__xludf.DUMMYFUNCTION("""COMPUTED_VALUE"""),45817.400020008325)</f>
        <v>45817.40002</v>
      </c>
      <c r="C789" s="9">
        <f>IFERROR(__xludf.DUMMYFUNCTION("""COMPUTED_VALUE"""),3461.0)</f>
        <v>3461</v>
      </c>
      <c r="D789" s="9" t="str">
        <f>IFERROR(__xludf.DUMMYFUNCTION("""COMPUTED_VALUE"""),"Completed")</f>
        <v>Completed</v>
      </c>
    </row>
    <row r="790">
      <c r="A790" s="9" t="str">
        <f>IFERROR(__xludf.DUMMYFUNCTION("""COMPUTED_VALUE"""),"G-REQ-00789")</f>
        <v>G-REQ-00789</v>
      </c>
      <c r="B790" s="11">
        <f>IFERROR(__xludf.DUMMYFUNCTION("""COMPUTED_VALUE"""),45817.471194853744)</f>
        <v>45817.47119</v>
      </c>
      <c r="C790" s="9">
        <f>IFERROR(__xludf.DUMMYFUNCTION("""COMPUTED_VALUE"""),3465.0)</f>
        <v>3465</v>
      </c>
      <c r="D790" s="9" t="str">
        <f>IFERROR(__xludf.DUMMYFUNCTION("""COMPUTED_VALUE"""),"Completed")</f>
        <v>Completed</v>
      </c>
    </row>
    <row r="791">
      <c r="A791" s="9" t="str">
        <f>IFERROR(__xludf.DUMMYFUNCTION("""COMPUTED_VALUE"""),"G-REQ-00790")</f>
        <v>G-REQ-00790</v>
      </c>
      <c r="B791" s="11">
        <f>IFERROR(__xludf.DUMMYFUNCTION("""COMPUTED_VALUE"""),45817.54236969916)</f>
        <v>45817.54237</v>
      </c>
      <c r="C791" s="9">
        <f>IFERROR(__xludf.DUMMYFUNCTION("""COMPUTED_VALUE"""),3469.0)</f>
        <v>3469</v>
      </c>
      <c r="D791" s="9" t="str">
        <f>IFERROR(__xludf.DUMMYFUNCTION("""COMPUTED_VALUE"""),"Completed")</f>
        <v>Completed</v>
      </c>
    </row>
    <row r="792">
      <c r="A792" s="9" t="str">
        <f>IFERROR(__xludf.DUMMYFUNCTION("""COMPUTED_VALUE"""),"G-REQ-00791")</f>
        <v>G-REQ-00791</v>
      </c>
      <c r="B792" s="11">
        <f>IFERROR(__xludf.DUMMYFUNCTION("""COMPUTED_VALUE"""),45817.61354454457)</f>
        <v>45817.61354</v>
      </c>
      <c r="C792" s="9">
        <f>IFERROR(__xludf.DUMMYFUNCTION("""COMPUTED_VALUE"""),3473.0)</f>
        <v>3473</v>
      </c>
      <c r="D792" s="9" t="str">
        <f>IFERROR(__xludf.DUMMYFUNCTION("""COMPUTED_VALUE"""),"Completed")</f>
        <v>Completed</v>
      </c>
    </row>
    <row r="793">
      <c r="A793" s="9" t="str">
        <f>IFERROR(__xludf.DUMMYFUNCTION("""COMPUTED_VALUE"""),"G-REQ-00792")</f>
        <v>G-REQ-00792</v>
      </c>
      <c r="B793" s="11">
        <f>IFERROR(__xludf.DUMMYFUNCTION("""COMPUTED_VALUE"""),45817.68471938999)</f>
        <v>45817.68472</v>
      </c>
      <c r="C793" s="9">
        <f>IFERROR(__xludf.DUMMYFUNCTION("""COMPUTED_VALUE"""),3477.0)</f>
        <v>3477</v>
      </c>
      <c r="D793" s="9" t="str">
        <f>IFERROR(__xludf.DUMMYFUNCTION("""COMPUTED_VALUE"""),"Completed")</f>
        <v>Completed</v>
      </c>
    </row>
    <row r="794">
      <c r="A794" s="9" t="str">
        <f>IFERROR(__xludf.DUMMYFUNCTION("""COMPUTED_VALUE"""),"G-REQ-00793")</f>
        <v>G-REQ-00793</v>
      </c>
      <c r="B794" s="11">
        <f>IFERROR(__xludf.DUMMYFUNCTION("""COMPUTED_VALUE"""),45817.75589423541)</f>
        <v>45817.75589</v>
      </c>
      <c r="C794" s="9">
        <f>IFERROR(__xludf.DUMMYFUNCTION("""COMPUTED_VALUE"""),3481.0)</f>
        <v>3481</v>
      </c>
      <c r="D794" s="9" t="str">
        <f>IFERROR(__xludf.DUMMYFUNCTION("""COMPUTED_VALUE"""),"Completed")</f>
        <v>Completed</v>
      </c>
    </row>
    <row r="795">
      <c r="A795" s="9" t="str">
        <f>IFERROR(__xludf.DUMMYFUNCTION("""COMPUTED_VALUE"""),"G-REQ-00794")</f>
        <v>G-REQ-00794</v>
      </c>
      <c r="B795" s="11">
        <f>IFERROR(__xludf.DUMMYFUNCTION("""COMPUTED_VALUE"""),45817.82706908081)</f>
        <v>45817.82707</v>
      </c>
      <c r="C795" s="9">
        <f>IFERROR(__xludf.DUMMYFUNCTION("""COMPUTED_VALUE"""),3485.0)</f>
        <v>3485</v>
      </c>
      <c r="D795" s="9" t="str">
        <f>IFERROR(__xludf.DUMMYFUNCTION("""COMPUTED_VALUE"""),"Completed")</f>
        <v>Completed</v>
      </c>
    </row>
    <row r="796">
      <c r="A796" s="9" t="str">
        <f>IFERROR(__xludf.DUMMYFUNCTION("""COMPUTED_VALUE"""),"G-REQ-00795")</f>
        <v>G-REQ-00795</v>
      </c>
      <c r="B796" s="11">
        <f>IFERROR(__xludf.DUMMYFUNCTION("""COMPUTED_VALUE"""),45817.89824392623)</f>
        <v>45817.89824</v>
      </c>
      <c r="C796" s="9">
        <f>IFERROR(__xludf.DUMMYFUNCTION("""COMPUTED_VALUE"""),3489.0)</f>
        <v>3489</v>
      </c>
      <c r="D796" s="9" t="str">
        <f>IFERROR(__xludf.DUMMYFUNCTION("""COMPUTED_VALUE"""),"Completed")</f>
        <v>Completed</v>
      </c>
    </row>
    <row r="797">
      <c r="A797" s="9" t="str">
        <f>IFERROR(__xludf.DUMMYFUNCTION("""COMPUTED_VALUE"""),"G-REQ-00796")</f>
        <v>G-REQ-00796</v>
      </c>
      <c r="B797" s="11">
        <f>IFERROR(__xludf.DUMMYFUNCTION("""COMPUTED_VALUE"""),45817.96247432721)</f>
        <v>45817.96247</v>
      </c>
      <c r="C797" s="9">
        <f>IFERROR(__xludf.DUMMYFUNCTION("""COMPUTED_VALUE"""),3491.0)</f>
        <v>3491</v>
      </c>
      <c r="D797" s="9" t="str">
        <f>IFERROR(__xludf.DUMMYFUNCTION("""COMPUTED_VALUE"""),"Rejected")</f>
        <v>Rejected</v>
      </c>
    </row>
    <row r="798">
      <c r="A798" s="9" t="str">
        <f>IFERROR(__xludf.DUMMYFUNCTION("""COMPUTED_VALUE"""),"G-REQ-00797")</f>
        <v>G-REQ-00797</v>
      </c>
      <c r="B798" s="11">
        <f>IFERROR(__xludf.DUMMYFUNCTION("""COMPUTED_VALUE"""),45818.040593617065)</f>
        <v>45818.04059</v>
      </c>
      <c r="C798" s="9">
        <f>IFERROR(__xludf.DUMMYFUNCTION("""COMPUTED_VALUE"""),3495.0)</f>
        <v>3495</v>
      </c>
      <c r="D798" s="9" t="str">
        <f>IFERROR(__xludf.DUMMYFUNCTION("""COMPUTED_VALUE"""),"Completed")</f>
        <v>Completed</v>
      </c>
    </row>
    <row r="799">
      <c r="A799" s="9" t="str">
        <f>IFERROR(__xludf.DUMMYFUNCTION("""COMPUTED_VALUE"""),"G-REQ-00798")</f>
        <v>G-REQ-00798</v>
      </c>
      <c r="B799" s="11">
        <f>IFERROR(__xludf.DUMMYFUNCTION("""COMPUTED_VALUE"""),45818.11176846248)</f>
        <v>45818.11177</v>
      </c>
      <c r="C799" s="9">
        <f>IFERROR(__xludf.DUMMYFUNCTION("""COMPUTED_VALUE"""),3499.0)</f>
        <v>3499</v>
      </c>
      <c r="D799" s="9" t="str">
        <f>IFERROR(__xludf.DUMMYFUNCTION("""COMPUTED_VALUE"""),"Completed")</f>
        <v>Completed</v>
      </c>
    </row>
    <row r="800">
      <c r="A800" s="9" t="str">
        <f>IFERROR(__xludf.DUMMYFUNCTION("""COMPUTED_VALUE"""),"G-REQ-00799")</f>
        <v>G-REQ-00799</v>
      </c>
      <c r="B800" s="11">
        <f>IFERROR(__xludf.DUMMYFUNCTION("""COMPUTED_VALUE"""),45818.1829433079)</f>
        <v>45818.18294</v>
      </c>
      <c r="C800" s="9">
        <f>IFERROR(__xludf.DUMMYFUNCTION("""COMPUTED_VALUE"""),3503.0)</f>
        <v>3503</v>
      </c>
      <c r="D800" s="9" t="str">
        <f>IFERROR(__xludf.DUMMYFUNCTION("""COMPUTED_VALUE"""),"Completed")</f>
        <v>Completed</v>
      </c>
    </row>
    <row r="801">
      <c r="A801" s="9" t="str">
        <f>IFERROR(__xludf.DUMMYFUNCTION("""COMPUTED_VALUE"""),"G-REQ-00800")</f>
        <v>G-REQ-00800</v>
      </c>
      <c r="B801" s="11">
        <f>IFERROR(__xludf.DUMMYFUNCTION("""COMPUTED_VALUE"""),45818.25411815331)</f>
        <v>45818.25412</v>
      </c>
      <c r="C801" s="9">
        <f>IFERROR(__xludf.DUMMYFUNCTION("""COMPUTED_VALUE"""),3507.0)</f>
        <v>3507</v>
      </c>
      <c r="D801" s="9" t="str">
        <f>IFERROR(__xludf.DUMMYFUNCTION("""COMPUTED_VALUE"""),"Completed")</f>
        <v>Completed</v>
      </c>
    </row>
    <row r="802">
      <c r="A802" s="9" t="str">
        <f>IFERROR(__xludf.DUMMYFUNCTION("""COMPUTED_VALUE"""),"G-REQ-00801")</f>
        <v>G-REQ-00801</v>
      </c>
      <c r="B802" s="11">
        <f>IFERROR(__xludf.DUMMYFUNCTION("""COMPUTED_VALUE"""),45818.32529299872)</f>
        <v>45818.32529</v>
      </c>
      <c r="C802" s="9">
        <f>IFERROR(__xludf.DUMMYFUNCTION("""COMPUTED_VALUE"""),3511.0)</f>
        <v>3511</v>
      </c>
      <c r="D802" s="9" t="str">
        <f>IFERROR(__xludf.DUMMYFUNCTION("""COMPUTED_VALUE"""),"Completed")</f>
        <v>Completed</v>
      </c>
    </row>
    <row r="803">
      <c r="A803" s="9" t="str">
        <f>IFERROR(__xludf.DUMMYFUNCTION("""COMPUTED_VALUE"""),"G-REQ-00802")</f>
        <v>G-REQ-00802</v>
      </c>
      <c r="B803" s="11">
        <f>IFERROR(__xludf.DUMMYFUNCTION("""COMPUTED_VALUE"""),45818.39646784414)</f>
        <v>45818.39647</v>
      </c>
      <c r="C803" s="9">
        <f>IFERROR(__xludf.DUMMYFUNCTION("""COMPUTED_VALUE"""),3515.0)</f>
        <v>3515</v>
      </c>
      <c r="D803" s="9" t="str">
        <f>IFERROR(__xludf.DUMMYFUNCTION("""COMPUTED_VALUE"""),"Completed")</f>
        <v>Completed</v>
      </c>
    </row>
    <row r="804">
      <c r="A804" s="9" t="str">
        <f>IFERROR(__xludf.DUMMYFUNCTION("""COMPUTED_VALUE"""),"G-REQ-00803")</f>
        <v>G-REQ-00803</v>
      </c>
      <c r="B804" s="11">
        <f>IFERROR(__xludf.DUMMYFUNCTION("""COMPUTED_VALUE"""),45818.46764268955)</f>
        <v>45818.46764</v>
      </c>
      <c r="C804" s="9">
        <f>IFERROR(__xludf.DUMMYFUNCTION("""COMPUTED_VALUE"""),3519.0)</f>
        <v>3519</v>
      </c>
      <c r="D804" s="9" t="str">
        <f>IFERROR(__xludf.DUMMYFUNCTION("""COMPUTED_VALUE"""),"Completed")</f>
        <v>Completed</v>
      </c>
    </row>
    <row r="805">
      <c r="A805" s="9" t="str">
        <f>IFERROR(__xludf.DUMMYFUNCTION("""COMPUTED_VALUE"""),"G-REQ-00804")</f>
        <v>G-REQ-00804</v>
      </c>
      <c r="B805" s="11">
        <f>IFERROR(__xludf.DUMMYFUNCTION("""COMPUTED_VALUE"""),45818.538817534965)</f>
        <v>45818.53882</v>
      </c>
      <c r="C805" s="9">
        <f>IFERROR(__xludf.DUMMYFUNCTION("""COMPUTED_VALUE"""),3523.0)</f>
        <v>3523</v>
      </c>
      <c r="D805" s="9" t="str">
        <f>IFERROR(__xludf.DUMMYFUNCTION("""COMPUTED_VALUE"""),"Completed")</f>
        <v>Completed</v>
      </c>
    </row>
    <row r="806">
      <c r="A806" s="9" t="str">
        <f>IFERROR(__xludf.DUMMYFUNCTION("""COMPUTED_VALUE"""),"G-REQ-00805")</f>
        <v>G-REQ-00805</v>
      </c>
      <c r="B806" s="11">
        <f>IFERROR(__xludf.DUMMYFUNCTION("""COMPUTED_VALUE"""),45818.60304793594)</f>
        <v>45818.60305</v>
      </c>
      <c r="C806" s="9">
        <f>IFERROR(__xludf.DUMMYFUNCTION("""COMPUTED_VALUE"""),3525.0)</f>
        <v>3525</v>
      </c>
      <c r="D806" s="9" t="str">
        <f>IFERROR(__xludf.DUMMYFUNCTION("""COMPUTED_VALUE"""),"Cancelled")</f>
        <v>Cancelled</v>
      </c>
    </row>
    <row r="807">
      <c r="A807" s="9" t="str">
        <f>IFERROR(__xludf.DUMMYFUNCTION("""COMPUTED_VALUE"""),"G-REQ-00806")</f>
        <v>G-REQ-00806</v>
      </c>
      <c r="B807" s="11">
        <f>IFERROR(__xludf.DUMMYFUNCTION("""COMPUTED_VALUE"""),45818.6811672258)</f>
        <v>45818.68117</v>
      </c>
      <c r="C807" s="9">
        <f>IFERROR(__xludf.DUMMYFUNCTION("""COMPUTED_VALUE"""),3529.0)</f>
        <v>3529</v>
      </c>
      <c r="D807" s="9" t="str">
        <f>IFERROR(__xludf.DUMMYFUNCTION("""COMPUTED_VALUE"""),"Completed")</f>
        <v>Completed</v>
      </c>
    </row>
    <row r="808">
      <c r="A808" s="9" t="str">
        <f>IFERROR(__xludf.DUMMYFUNCTION("""COMPUTED_VALUE"""),"G-REQ-00807")</f>
        <v>G-REQ-00807</v>
      </c>
      <c r="B808" s="11">
        <f>IFERROR(__xludf.DUMMYFUNCTION("""COMPUTED_VALUE"""),45818.75234207121)</f>
        <v>45818.75234</v>
      </c>
      <c r="C808" s="9">
        <f>IFERROR(__xludf.DUMMYFUNCTION("""COMPUTED_VALUE"""),3533.0)</f>
        <v>3533</v>
      </c>
      <c r="D808" s="9" t="str">
        <f>IFERROR(__xludf.DUMMYFUNCTION("""COMPUTED_VALUE"""),"Completed")</f>
        <v>Completed</v>
      </c>
    </row>
    <row r="809">
      <c r="A809" s="9" t="str">
        <f>IFERROR(__xludf.DUMMYFUNCTION("""COMPUTED_VALUE"""),"G-REQ-00808")</f>
        <v>G-REQ-00808</v>
      </c>
      <c r="B809" s="11">
        <f>IFERROR(__xludf.DUMMYFUNCTION("""COMPUTED_VALUE"""),45818.816572472184)</f>
        <v>45818.81657</v>
      </c>
      <c r="C809" s="9">
        <f>IFERROR(__xludf.DUMMYFUNCTION("""COMPUTED_VALUE"""),3535.0)</f>
        <v>3535</v>
      </c>
      <c r="D809" s="9" t="str">
        <f>IFERROR(__xludf.DUMMYFUNCTION("""COMPUTED_VALUE"""),"Cancelled")</f>
        <v>Cancelled</v>
      </c>
    </row>
    <row r="810">
      <c r="A810" s="9" t="str">
        <f>IFERROR(__xludf.DUMMYFUNCTION("""COMPUTED_VALUE"""),"G-REQ-00809")</f>
        <v>G-REQ-00809</v>
      </c>
      <c r="B810" s="11">
        <f>IFERROR(__xludf.DUMMYFUNCTION("""COMPUTED_VALUE"""),45818.89469176205)</f>
        <v>45818.89469</v>
      </c>
      <c r="C810" s="9">
        <f>IFERROR(__xludf.DUMMYFUNCTION("""COMPUTED_VALUE"""),3539.0)</f>
        <v>3539</v>
      </c>
      <c r="D810" s="9" t="str">
        <f>IFERROR(__xludf.DUMMYFUNCTION("""COMPUTED_VALUE"""),"Completed")</f>
        <v>Completed</v>
      </c>
    </row>
    <row r="811">
      <c r="A811" s="9" t="str">
        <f>IFERROR(__xludf.DUMMYFUNCTION("""COMPUTED_VALUE"""),"G-REQ-00810")</f>
        <v>G-REQ-00810</v>
      </c>
      <c r="B811" s="11">
        <f>IFERROR(__xludf.DUMMYFUNCTION("""COMPUTED_VALUE"""),45818.965866607454)</f>
        <v>45818.96587</v>
      </c>
      <c r="C811" s="9">
        <f>IFERROR(__xludf.DUMMYFUNCTION("""COMPUTED_VALUE"""),3543.0)</f>
        <v>3543</v>
      </c>
      <c r="D811" s="9" t="str">
        <f>IFERROR(__xludf.DUMMYFUNCTION("""COMPUTED_VALUE"""),"Completed")</f>
        <v>Completed</v>
      </c>
    </row>
    <row r="812">
      <c r="A812" s="9" t="str">
        <f>IFERROR(__xludf.DUMMYFUNCTION("""COMPUTED_VALUE"""),"G-REQ-00811")</f>
        <v>G-REQ-00811</v>
      </c>
      <c r="B812" s="11">
        <f>IFERROR(__xludf.DUMMYFUNCTION("""COMPUTED_VALUE"""),45819.03704145287)</f>
        <v>45819.03704</v>
      </c>
      <c r="C812" s="9">
        <f>IFERROR(__xludf.DUMMYFUNCTION("""COMPUTED_VALUE"""),3547.0)</f>
        <v>3547</v>
      </c>
      <c r="D812" s="9" t="str">
        <f>IFERROR(__xludf.DUMMYFUNCTION("""COMPUTED_VALUE"""),"Completed")</f>
        <v>Completed</v>
      </c>
    </row>
    <row r="813">
      <c r="A813" s="9" t="str">
        <f>IFERROR(__xludf.DUMMYFUNCTION("""COMPUTED_VALUE"""),"G-REQ-00812")</f>
        <v>G-REQ-00812</v>
      </c>
      <c r="B813" s="11">
        <f>IFERROR(__xludf.DUMMYFUNCTION("""COMPUTED_VALUE"""),45819.10821629829)</f>
        <v>45819.10822</v>
      </c>
      <c r="C813" s="9">
        <f>IFERROR(__xludf.DUMMYFUNCTION("""COMPUTED_VALUE"""),3551.0)</f>
        <v>3551</v>
      </c>
      <c r="D813" s="9" t="str">
        <f>IFERROR(__xludf.DUMMYFUNCTION("""COMPUTED_VALUE"""),"Completed")</f>
        <v>Completed</v>
      </c>
    </row>
    <row r="814">
      <c r="A814" s="9" t="str">
        <f>IFERROR(__xludf.DUMMYFUNCTION("""COMPUTED_VALUE"""),"G-REQ-00813")</f>
        <v>G-REQ-00813</v>
      </c>
      <c r="B814" s="11">
        <f>IFERROR(__xludf.DUMMYFUNCTION("""COMPUTED_VALUE"""),45819.179391143705)</f>
        <v>45819.17939</v>
      </c>
      <c r="C814" s="9">
        <f>IFERROR(__xludf.DUMMYFUNCTION("""COMPUTED_VALUE"""),3555.0)</f>
        <v>3555</v>
      </c>
      <c r="D814" s="9" t="str">
        <f>IFERROR(__xludf.DUMMYFUNCTION("""COMPUTED_VALUE"""),"Completed")</f>
        <v>Completed</v>
      </c>
    </row>
    <row r="815">
      <c r="A815" s="9" t="str">
        <f>IFERROR(__xludf.DUMMYFUNCTION("""COMPUTED_VALUE"""),"G-REQ-00814")</f>
        <v>G-REQ-00814</v>
      </c>
      <c r="B815" s="11">
        <f>IFERROR(__xludf.DUMMYFUNCTION("""COMPUTED_VALUE"""),45819.25056598912)</f>
        <v>45819.25057</v>
      </c>
      <c r="C815" s="9">
        <f>IFERROR(__xludf.DUMMYFUNCTION("""COMPUTED_VALUE"""),3559.0)</f>
        <v>3559</v>
      </c>
      <c r="D815" s="9" t="str">
        <f>IFERROR(__xludf.DUMMYFUNCTION("""COMPUTED_VALUE"""),"Completed")</f>
        <v>Completed</v>
      </c>
    </row>
    <row r="816">
      <c r="A816" s="9" t="str">
        <f>IFERROR(__xludf.DUMMYFUNCTION("""COMPUTED_VALUE"""),"G-REQ-00815")</f>
        <v>G-REQ-00815</v>
      </c>
      <c r="B816" s="11">
        <f>IFERROR(__xludf.DUMMYFUNCTION("""COMPUTED_VALUE"""),45819.32174083454)</f>
        <v>45819.32174</v>
      </c>
      <c r="C816" s="9">
        <f>IFERROR(__xludf.DUMMYFUNCTION("""COMPUTED_VALUE"""),3563.0)</f>
        <v>3563</v>
      </c>
      <c r="D816" s="9" t="str">
        <f>IFERROR(__xludf.DUMMYFUNCTION("""COMPUTED_VALUE"""),"Completed")</f>
        <v>Completed</v>
      </c>
    </row>
    <row r="817">
      <c r="A817" s="9" t="str">
        <f>IFERROR(__xludf.DUMMYFUNCTION("""COMPUTED_VALUE"""),"G-REQ-00816")</f>
        <v>G-REQ-00816</v>
      </c>
      <c r="B817" s="11">
        <f>IFERROR(__xludf.DUMMYFUNCTION("""COMPUTED_VALUE"""),45819.39291567995)</f>
        <v>45819.39292</v>
      </c>
      <c r="C817" s="9">
        <f>IFERROR(__xludf.DUMMYFUNCTION("""COMPUTED_VALUE"""),3567.0)</f>
        <v>3567</v>
      </c>
      <c r="D817" s="9" t="str">
        <f>IFERROR(__xludf.DUMMYFUNCTION("""COMPUTED_VALUE"""),"Completed")</f>
        <v>Completed</v>
      </c>
    </row>
    <row r="818">
      <c r="A818" s="9" t="str">
        <f>IFERROR(__xludf.DUMMYFUNCTION("""COMPUTED_VALUE"""),"G-REQ-00817")</f>
        <v>G-REQ-00817</v>
      </c>
      <c r="B818" s="11">
        <f>IFERROR(__xludf.DUMMYFUNCTION("""COMPUTED_VALUE"""),45819.45714608092)</f>
        <v>45819.45715</v>
      </c>
      <c r="C818" s="9">
        <f>IFERROR(__xludf.DUMMYFUNCTION("""COMPUTED_VALUE"""),3569.0)</f>
        <v>3569</v>
      </c>
      <c r="D818" s="9" t="str">
        <f>IFERROR(__xludf.DUMMYFUNCTION("""COMPUTED_VALUE"""),"Cancelled")</f>
        <v>Cancelled</v>
      </c>
    </row>
    <row r="819">
      <c r="A819" s="9" t="str">
        <f>IFERROR(__xludf.DUMMYFUNCTION("""COMPUTED_VALUE"""),"G-REQ-00818")</f>
        <v>G-REQ-00818</v>
      </c>
      <c r="B819" s="11">
        <f>IFERROR(__xludf.DUMMYFUNCTION("""COMPUTED_VALUE"""),45819.53526537078)</f>
        <v>45819.53527</v>
      </c>
      <c r="C819" s="9">
        <f>IFERROR(__xludf.DUMMYFUNCTION("""COMPUTED_VALUE"""),3573.0)</f>
        <v>3573</v>
      </c>
      <c r="D819" s="9" t="str">
        <f>IFERROR(__xludf.DUMMYFUNCTION("""COMPUTED_VALUE"""),"Completed")</f>
        <v>Completed</v>
      </c>
    </row>
    <row r="820">
      <c r="A820" s="9" t="str">
        <f>IFERROR(__xludf.DUMMYFUNCTION("""COMPUTED_VALUE"""),"G-REQ-00819")</f>
        <v>G-REQ-00819</v>
      </c>
      <c r="B820" s="11">
        <f>IFERROR(__xludf.DUMMYFUNCTION("""COMPUTED_VALUE"""),45819.606440216194)</f>
        <v>45819.60644</v>
      </c>
      <c r="C820" s="9">
        <f>IFERROR(__xludf.DUMMYFUNCTION("""COMPUTED_VALUE"""),3577.0)</f>
        <v>3577</v>
      </c>
      <c r="D820" s="9" t="str">
        <f>IFERROR(__xludf.DUMMYFUNCTION("""COMPUTED_VALUE"""),"Completed")</f>
        <v>Completed</v>
      </c>
    </row>
    <row r="821">
      <c r="A821" s="9" t="str">
        <f>IFERROR(__xludf.DUMMYFUNCTION("""COMPUTED_VALUE"""),"G-REQ-00820")</f>
        <v>G-REQ-00820</v>
      </c>
      <c r="B821" s="11">
        <f>IFERROR(__xludf.DUMMYFUNCTION("""COMPUTED_VALUE"""),45819.677615061606)</f>
        <v>45819.67762</v>
      </c>
      <c r="C821" s="9">
        <f>IFERROR(__xludf.DUMMYFUNCTION("""COMPUTED_VALUE"""),3581.0)</f>
        <v>3581</v>
      </c>
      <c r="D821" s="9" t="str">
        <f>IFERROR(__xludf.DUMMYFUNCTION("""COMPUTED_VALUE"""),"Completed")</f>
        <v>Completed</v>
      </c>
    </row>
    <row r="822">
      <c r="A822" s="9" t="str">
        <f>IFERROR(__xludf.DUMMYFUNCTION("""COMPUTED_VALUE"""),"G-REQ-00821")</f>
        <v>G-REQ-00821</v>
      </c>
      <c r="B822" s="11">
        <f>IFERROR(__xludf.DUMMYFUNCTION("""COMPUTED_VALUE"""),45819.748789907026)</f>
        <v>45819.74879</v>
      </c>
      <c r="C822" s="9">
        <f>IFERROR(__xludf.DUMMYFUNCTION("""COMPUTED_VALUE"""),3585.0)</f>
        <v>3585</v>
      </c>
      <c r="D822" s="9" t="str">
        <f>IFERROR(__xludf.DUMMYFUNCTION("""COMPUTED_VALUE"""),"Completed")</f>
        <v>Completed</v>
      </c>
    </row>
    <row r="823">
      <c r="A823" s="9" t="str">
        <f>IFERROR(__xludf.DUMMYFUNCTION("""COMPUTED_VALUE"""),"G-REQ-00822")</f>
        <v>G-REQ-00822</v>
      </c>
      <c r="B823" s="11">
        <f>IFERROR(__xludf.DUMMYFUNCTION("""COMPUTED_VALUE"""),45819.819964752445)</f>
        <v>45819.81996</v>
      </c>
      <c r="C823" s="9">
        <f>IFERROR(__xludf.DUMMYFUNCTION("""COMPUTED_VALUE"""),3589.0)</f>
        <v>3589</v>
      </c>
      <c r="D823" s="9" t="str">
        <f>IFERROR(__xludf.DUMMYFUNCTION("""COMPUTED_VALUE"""),"Completed")</f>
        <v>Completed</v>
      </c>
    </row>
    <row r="824">
      <c r="A824" s="9" t="str">
        <f>IFERROR(__xludf.DUMMYFUNCTION("""COMPUTED_VALUE"""),"G-REQ-00823")</f>
        <v>G-REQ-00823</v>
      </c>
      <c r="B824" s="11">
        <f>IFERROR(__xludf.DUMMYFUNCTION("""COMPUTED_VALUE"""),45819.884195153405)</f>
        <v>45819.8842</v>
      </c>
      <c r="C824" s="9">
        <f>IFERROR(__xludf.DUMMYFUNCTION("""COMPUTED_VALUE"""),3591.0)</f>
        <v>3591</v>
      </c>
      <c r="D824" s="9" t="str">
        <f>IFERROR(__xludf.DUMMYFUNCTION("""COMPUTED_VALUE"""),"Rejected")</f>
        <v>Rejected</v>
      </c>
    </row>
    <row r="825">
      <c r="A825" s="9" t="str">
        <f>IFERROR(__xludf.DUMMYFUNCTION("""COMPUTED_VALUE"""),"G-REQ-00824")</f>
        <v>G-REQ-00824</v>
      </c>
      <c r="B825" s="11">
        <f>IFERROR(__xludf.DUMMYFUNCTION("""COMPUTED_VALUE"""),45819.96231444327)</f>
        <v>45819.96231</v>
      </c>
      <c r="C825" s="9">
        <f>IFERROR(__xludf.DUMMYFUNCTION("""COMPUTED_VALUE"""),3595.0)</f>
        <v>3595</v>
      </c>
      <c r="D825" s="9" t="str">
        <f>IFERROR(__xludf.DUMMYFUNCTION("""COMPUTED_VALUE"""),"Completed")</f>
        <v>Completed</v>
      </c>
    </row>
    <row r="826">
      <c r="A826" s="9" t="str">
        <f>IFERROR(__xludf.DUMMYFUNCTION("""COMPUTED_VALUE"""),"G-REQ-00825")</f>
        <v>G-REQ-00825</v>
      </c>
      <c r="B826" s="11">
        <f>IFERROR(__xludf.DUMMYFUNCTION("""COMPUTED_VALUE"""),45820.03348928869)</f>
        <v>45820.03349</v>
      </c>
      <c r="C826" s="9">
        <f>IFERROR(__xludf.DUMMYFUNCTION("""COMPUTED_VALUE"""),3599.0)</f>
        <v>3599</v>
      </c>
      <c r="D826" s="9" t="str">
        <f>IFERROR(__xludf.DUMMYFUNCTION("""COMPUTED_VALUE"""),"Completed")</f>
        <v>Completed</v>
      </c>
    </row>
    <row r="827">
      <c r="A827" s="9" t="str">
        <f>IFERROR(__xludf.DUMMYFUNCTION("""COMPUTED_VALUE"""),"G-REQ-00826")</f>
        <v>G-REQ-00826</v>
      </c>
      <c r="B827" s="11">
        <f>IFERROR(__xludf.DUMMYFUNCTION("""COMPUTED_VALUE"""),45820.1046641341)</f>
        <v>45820.10466</v>
      </c>
      <c r="C827" s="9">
        <f>IFERROR(__xludf.DUMMYFUNCTION("""COMPUTED_VALUE"""),3603.0)</f>
        <v>3603</v>
      </c>
      <c r="D827" s="9" t="str">
        <f>IFERROR(__xludf.DUMMYFUNCTION("""COMPUTED_VALUE"""),"Completed")</f>
        <v>Completed</v>
      </c>
    </row>
    <row r="828">
      <c r="A828" s="9" t="str">
        <f>IFERROR(__xludf.DUMMYFUNCTION("""COMPUTED_VALUE"""),"G-REQ-00827")</f>
        <v>G-REQ-00827</v>
      </c>
      <c r="B828" s="11">
        <f>IFERROR(__xludf.DUMMYFUNCTION("""COMPUTED_VALUE"""),45820.175838979514)</f>
        <v>45820.17584</v>
      </c>
      <c r="C828" s="9">
        <f>IFERROR(__xludf.DUMMYFUNCTION("""COMPUTED_VALUE"""),3607.0)</f>
        <v>3607</v>
      </c>
      <c r="D828" s="9" t="str">
        <f>IFERROR(__xludf.DUMMYFUNCTION("""COMPUTED_VALUE"""),"Completed")</f>
        <v>Completed</v>
      </c>
    </row>
    <row r="829">
      <c r="A829" s="9" t="str">
        <f>IFERROR(__xludf.DUMMYFUNCTION("""COMPUTED_VALUE"""),"G-REQ-00828")</f>
        <v>G-REQ-00828</v>
      </c>
      <c r="B829" s="11">
        <f>IFERROR(__xludf.DUMMYFUNCTION("""COMPUTED_VALUE"""),45820.247013824934)</f>
        <v>45820.24701</v>
      </c>
      <c r="C829" s="9">
        <f>IFERROR(__xludf.DUMMYFUNCTION("""COMPUTED_VALUE"""),3611.0)</f>
        <v>3611</v>
      </c>
      <c r="D829" s="9" t="str">
        <f>IFERROR(__xludf.DUMMYFUNCTION("""COMPUTED_VALUE"""),"Completed")</f>
        <v>Completed</v>
      </c>
    </row>
    <row r="830">
      <c r="A830" s="9" t="str">
        <f>IFERROR(__xludf.DUMMYFUNCTION("""COMPUTED_VALUE"""),"G-REQ-00829")</f>
        <v>G-REQ-00829</v>
      </c>
      <c r="B830" s="11">
        <f>IFERROR(__xludf.DUMMYFUNCTION("""COMPUTED_VALUE"""),45820.318188670346)</f>
        <v>45820.31819</v>
      </c>
      <c r="C830" s="9">
        <f>IFERROR(__xludf.DUMMYFUNCTION("""COMPUTED_VALUE"""),3615.0)</f>
        <v>3615</v>
      </c>
      <c r="D830" s="9" t="str">
        <f>IFERROR(__xludf.DUMMYFUNCTION("""COMPUTED_VALUE"""),"Completed")</f>
        <v>Completed</v>
      </c>
    </row>
    <row r="831">
      <c r="A831" s="9" t="str">
        <f>IFERROR(__xludf.DUMMYFUNCTION("""COMPUTED_VALUE"""),"G-REQ-00830")</f>
        <v>G-REQ-00830</v>
      </c>
      <c r="B831" s="11">
        <f>IFERROR(__xludf.DUMMYFUNCTION("""COMPUTED_VALUE"""),45820.38936351576)</f>
        <v>45820.38936</v>
      </c>
      <c r="C831" s="9">
        <f>IFERROR(__xludf.DUMMYFUNCTION("""COMPUTED_VALUE"""),3619.0)</f>
        <v>3619</v>
      </c>
      <c r="D831" s="9" t="str">
        <f>IFERROR(__xludf.DUMMYFUNCTION("""COMPUTED_VALUE"""),"Completed")</f>
        <v>Completed</v>
      </c>
    </row>
    <row r="832">
      <c r="A832" s="9" t="str">
        <f>IFERROR(__xludf.DUMMYFUNCTION("""COMPUTED_VALUE"""),"G-REQ-00831")</f>
        <v>G-REQ-00831</v>
      </c>
      <c r="B832" s="11">
        <f>IFERROR(__xludf.DUMMYFUNCTION("""COMPUTED_VALUE"""),45820.46053836118)</f>
        <v>45820.46054</v>
      </c>
      <c r="C832" s="9">
        <f>IFERROR(__xludf.DUMMYFUNCTION("""COMPUTED_VALUE"""),3623.0)</f>
        <v>3623</v>
      </c>
      <c r="D832" s="9" t="str">
        <f>IFERROR(__xludf.DUMMYFUNCTION("""COMPUTED_VALUE"""),"Completed")</f>
        <v>Completed</v>
      </c>
    </row>
    <row r="833">
      <c r="A833" s="9" t="str">
        <f>IFERROR(__xludf.DUMMYFUNCTION("""COMPUTED_VALUE"""),"G-REQ-00832")</f>
        <v>G-REQ-00832</v>
      </c>
      <c r="B833" s="11">
        <f>IFERROR(__xludf.DUMMYFUNCTION("""COMPUTED_VALUE"""),45820.53171320659)</f>
        <v>45820.53171</v>
      </c>
      <c r="C833" s="9">
        <f>IFERROR(__xludf.DUMMYFUNCTION("""COMPUTED_VALUE"""),3627.0)</f>
        <v>3627</v>
      </c>
      <c r="D833" s="9" t="str">
        <f>IFERROR(__xludf.DUMMYFUNCTION("""COMPUTED_VALUE"""),"Completed")</f>
        <v>Completed</v>
      </c>
    </row>
    <row r="834">
      <c r="A834" s="9" t="str">
        <f>IFERROR(__xludf.DUMMYFUNCTION("""COMPUTED_VALUE"""),"G-REQ-00833")</f>
        <v>G-REQ-00833</v>
      </c>
      <c r="B834" s="11">
        <f>IFERROR(__xludf.DUMMYFUNCTION("""COMPUTED_VALUE"""),45820.602888052)</f>
        <v>45820.60289</v>
      </c>
      <c r="C834" s="9">
        <f>IFERROR(__xludf.DUMMYFUNCTION("""COMPUTED_VALUE"""),3631.0)</f>
        <v>3631</v>
      </c>
      <c r="D834" s="9" t="str">
        <f>IFERROR(__xludf.DUMMYFUNCTION("""COMPUTED_VALUE"""),"Completed")</f>
        <v>Completed</v>
      </c>
    </row>
    <row r="835">
      <c r="A835" s="9" t="str">
        <f>IFERROR(__xludf.DUMMYFUNCTION("""COMPUTED_VALUE"""),"G-REQ-00834")</f>
        <v>G-REQ-00834</v>
      </c>
      <c r="B835" s="11">
        <f>IFERROR(__xludf.DUMMYFUNCTION("""COMPUTED_VALUE"""),45820.67406289742)</f>
        <v>45820.67406</v>
      </c>
      <c r="C835" s="9">
        <f>IFERROR(__xludf.DUMMYFUNCTION("""COMPUTED_VALUE"""),3635.0)</f>
        <v>3635</v>
      </c>
      <c r="D835" s="9" t="str">
        <f>IFERROR(__xludf.DUMMYFUNCTION("""COMPUTED_VALUE"""),"Completed")</f>
        <v>Completed</v>
      </c>
    </row>
    <row r="836">
      <c r="A836" s="9" t="str">
        <f>IFERROR(__xludf.DUMMYFUNCTION("""COMPUTED_VALUE"""),"G-REQ-00835")</f>
        <v>G-REQ-00835</v>
      </c>
      <c r="B836" s="11">
        <f>IFERROR(__xludf.DUMMYFUNCTION("""COMPUTED_VALUE"""),45820.745237742834)</f>
        <v>45820.74524</v>
      </c>
      <c r="C836" s="9">
        <f>IFERROR(__xludf.DUMMYFUNCTION("""COMPUTED_VALUE"""),3639.0)</f>
        <v>3639</v>
      </c>
      <c r="D836" s="9" t="str">
        <f>IFERROR(__xludf.DUMMYFUNCTION("""COMPUTED_VALUE"""),"Completed")</f>
        <v>Completed</v>
      </c>
    </row>
    <row r="837">
      <c r="A837" s="9" t="str">
        <f>IFERROR(__xludf.DUMMYFUNCTION("""COMPUTED_VALUE"""),"G-REQ-00836")</f>
        <v>G-REQ-00836</v>
      </c>
      <c r="B837" s="11">
        <f>IFERROR(__xludf.DUMMYFUNCTION("""COMPUTED_VALUE"""),45820.81641258825)</f>
        <v>45820.81641</v>
      </c>
      <c r="C837" s="9">
        <f>IFERROR(__xludf.DUMMYFUNCTION("""COMPUTED_VALUE"""),3643.0)</f>
        <v>3643</v>
      </c>
      <c r="D837" s="9" t="str">
        <f>IFERROR(__xludf.DUMMYFUNCTION("""COMPUTED_VALUE"""),"Completed")</f>
        <v>Completed</v>
      </c>
    </row>
    <row r="838">
      <c r="A838" s="9" t="str">
        <f>IFERROR(__xludf.DUMMYFUNCTION("""COMPUTED_VALUE"""),"G-REQ-00837")</f>
        <v>G-REQ-00837</v>
      </c>
      <c r="B838" s="11">
        <f>IFERROR(__xludf.DUMMYFUNCTION("""COMPUTED_VALUE"""),45820.887587433666)</f>
        <v>45820.88759</v>
      </c>
      <c r="C838" s="9">
        <f>IFERROR(__xludf.DUMMYFUNCTION("""COMPUTED_VALUE"""),3647.0)</f>
        <v>3647</v>
      </c>
      <c r="D838" s="9" t="str">
        <f>IFERROR(__xludf.DUMMYFUNCTION("""COMPUTED_VALUE"""),"Completed")</f>
        <v>Completed</v>
      </c>
    </row>
    <row r="839">
      <c r="A839" s="9" t="str">
        <f>IFERROR(__xludf.DUMMYFUNCTION("""COMPUTED_VALUE"""),"G-REQ-00838")</f>
        <v>G-REQ-00838</v>
      </c>
      <c r="B839" s="11">
        <f>IFERROR(__xludf.DUMMYFUNCTION("""COMPUTED_VALUE"""),45820.958762279086)</f>
        <v>45820.95876</v>
      </c>
      <c r="C839" s="9">
        <f>IFERROR(__xludf.DUMMYFUNCTION("""COMPUTED_VALUE"""),3651.0)</f>
        <v>3651</v>
      </c>
      <c r="D839" s="9" t="str">
        <f>IFERROR(__xludf.DUMMYFUNCTION("""COMPUTED_VALUE"""),"Completed")</f>
        <v>Completed</v>
      </c>
    </row>
    <row r="840">
      <c r="A840" s="9" t="str">
        <f>IFERROR(__xludf.DUMMYFUNCTION("""COMPUTED_VALUE"""),"G-REQ-00839")</f>
        <v>G-REQ-00839</v>
      </c>
      <c r="B840" s="11">
        <f>IFERROR(__xludf.DUMMYFUNCTION("""COMPUTED_VALUE"""),45821.022992680046)</f>
        <v>45821.02299</v>
      </c>
      <c r="C840" s="9">
        <f>IFERROR(__xludf.DUMMYFUNCTION("""COMPUTED_VALUE"""),3653.0)</f>
        <v>3653</v>
      </c>
      <c r="D840" s="9" t="str">
        <f>IFERROR(__xludf.DUMMYFUNCTION("""COMPUTED_VALUE"""),"Rejected")</f>
        <v>Rejected</v>
      </c>
    </row>
    <row r="841">
      <c r="A841" s="9" t="str">
        <f>IFERROR(__xludf.DUMMYFUNCTION("""COMPUTED_VALUE"""),"G-REQ-00840")</f>
        <v>G-REQ-00840</v>
      </c>
      <c r="B841" s="11">
        <f>IFERROR(__xludf.DUMMYFUNCTION("""COMPUTED_VALUE"""),45821.10111196991)</f>
        <v>45821.10111</v>
      </c>
      <c r="C841" s="9">
        <f>IFERROR(__xludf.DUMMYFUNCTION("""COMPUTED_VALUE"""),3657.0)</f>
        <v>3657</v>
      </c>
      <c r="D841" s="9" t="str">
        <f>IFERROR(__xludf.DUMMYFUNCTION("""COMPUTED_VALUE"""),"Completed")</f>
        <v>Completed</v>
      </c>
    </row>
    <row r="842">
      <c r="A842" s="9" t="str">
        <f>IFERROR(__xludf.DUMMYFUNCTION("""COMPUTED_VALUE"""),"G-REQ-00841")</f>
        <v>G-REQ-00841</v>
      </c>
      <c r="B842" s="11">
        <f>IFERROR(__xludf.DUMMYFUNCTION("""COMPUTED_VALUE"""),45821.17228681533)</f>
        <v>45821.17229</v>
      </c>
      <c r="C842" s="9">
        <f>IFERROR(__xludf.DUMMYFUNCTION("""COMPUTED_VALUE"""),3661.0)</f>
        <v>3661</v>
      </c>
      <c r="D842" s="9" t="str">
        <f>IFERROR(__xludf.DUMMYFUNCTION("""COMPUTED_VALUE"""),"Completed")</f>
        <v>Completed</v>
      </c>
    </row>
    <row r="843">
      <c r="A843" s="9" t="str">
        <f>IFERROR(__xludf.DUMMYFUNCTION("""COMPUTED_VALUE"""),"G-REQ-00842")</f>
        <v>G-REQ-00842</v>
      </c>
      <c r="B843" s="11">
        <f>IFERROR(__xludf.DUMMYFUNCTION("""COMPUTED_VALUE"""),45821.2365172163)</f>
        <v>45821.23652</v>
      </c>
      <c r="C843" s="9">
        <f>IFERROR(__xludf.DUMMYFUNCTION("""COMPUTED_VALUE"""),3663.0)</f>
        <v>3663</v>
      </c>
      <c r="D843" s="9" t="str">
        <f>IFERROR(__xludf.DUMMYFUNCTION("""COMPUTED_VALUE"""),"Cancelled")</f>
        <v>Cancelled</v>
      </c>
    </row>
    <row r="844">
      <c r="A844" s="9" t="str">
        <f>IFERROR(__xludf.DUMMYFUNCTION("""COMPUTED_VALUE"""),"G-REQ-00843")</f>
        <v>G-REQ-00843</v>
      </c>
      <c r="B844" s="11">
        <f>IFERROR(__xludf.DUMMYFUNCTION("""COMPUTED_VALUE"""),45821.314636506155)</f>
        <v>45821.31464</v>
      </c>
      <c r="C844" s="9">
        <f>IFERROR(__xludf.DUMMYFUNCTION("""COMPUTED_VALUE"""),3667.0)</f>
        <v>3667</v>
      </c>
      <c r="D844" s="9" t="str">
        <f>IFERROR(__xludf.DUMMYFUNCTION("""COMPUTED_VALUE"""),"Completed")</f>
        <v>Completed</v>
      </c>
    </row>
    <row r="845">
      <c r="A845" s="9" t="str">
        <f>IFERROR(__xludf.DUMMYFUNCTION("""COMPUTED_VALUE"""),"G-REQ-00844")</f>
        <v>G-REQ-00844</v>
      </c>
      <c r="B845" s="11">
        <f>IFERROR(__xludf.DUMMYFUNCTION("""COMPUTED_VALUE"""),45821.37886690713)</f>
        <v>45821.37887</v>
      </c>
      <c r="C845" s="9">
        <f>IFERROR(__xludf.DUMMYFUNCTION("""COMPUTED_VALUE"""),3669.0)</f>
        <v>3669</v>
      </c>
      <c r="D845" s="9" t="str">
        <f>IFERROR(__xludf.DUMMYFUNCTION("""COMPUTED_VALUE"""),"Cancelled")</f>
        <v>Cancelled</v>
      </c>
    </row>
    <row r="846">
      <c r="A846" s="9" t="str">
        <f>IFERROR(__xludf.DUMMYFUNCTION("""COMPUTED_VALUE"""),"G-REQ-00845")</f>
        <v>G-REQ-00845</v>
      </c>
      <c r="B846" s="11">
        <f>IFERROR(__xludf.DUMMYFUNCTION("""COMPUTED_VALUE"""),45821.45698619699)</f>
        <v>45821.45699</v>
      </c>
      <c r="C846" s="9">
        <f>IFERROR(__xludf.DUMMYFUNCTION("""COMPUTED_VALUE"""),3673.0)</f>
        <v>3673</v>
      </c>
      <c r="D846" s="9" t="str">
        <f>IFERROR(__xludf.DUMMYFUNCTION("""COMPUTED_VALUE"""),"Completed")</f>
        <v>Completed</v>
      </c>
    </row>
    <row r="847">
      <c r="A847" s="9" t="str">
        <f>IFERROR(__xludf.DUMMYFUNCTION("""COMPUTED_VALUE"""),"G-REQ-00846")</f>
        <v>G-REQ-00846</v>
      </c>
      <c r="B847" s="11">
        <f>IFERROR(__xludf.DUMMYFUNCTION("""COMPUTED_VALUE"""),45821.5281610424)</f>
        <v>45821.52816</v>
      </c>
      <c r="C847" s="9">
        <f>IFERROR(__xludf.DUMMYFUNCTION("""COMPUTED_VALUE"""),3677.0)</f>
        <v>3677</v>
      </c>
      <c r="D847" s="9" t="str">
        <f>IFERROR(__xludf.DUMMYFUNCTION("""COMPUTED_VALUE"""),"Completed")</f>
        <v>Completed</v>
      </c>
    </row>
    <row r="848">
      <c r="A848" s="9" t="str">
        <f>IFERROR(__xludf.DUMMYFUNCTION("""COMPUTED_VALUE"""),"G-REQ-00847")</f>
        <v>G-REQ-00847</v>
      </c>
      <c r="B848" s="11">
        <f>IFERROR(__xludf.DUMMYFUNCTION("""COMPUTED_VALUE"""),45821.59933588782)</f>
        <v>45821.59934</v>
      </c>
      <c r="C848" s="9">
        <f>IFERROR(__xludf.DUMMYFUNCTION("""COMPUTED_VALUE"""),3681.0)</f>
        <v>3681</v>
      </c>
      <c r="D848" s="9" t="str">
        <f>IFERROR(__xludf.DUMMYFUNCTION("""COMPUTED_VALUE"""),"Completed")</f>
        <v>Completed</v>
      </c>
    </row>
    <row r="849">
      <c r="A849" s="9" t="str">
        <f>IFERROR(__xludf.DUMMYFUNCTION("""COMPUTED_VALUE"""),"G-REQ-00848")</f>
        <v>G-REQ-00848</v>
      </c>
      <c r="B849" s="11">
        <f>IFERROR(__xludf.DUMMYFUNCTION("""COMPUTED_VALUE"""),45821.67051073323)</f>
        <v>45821.67051</v>
      </c>
      <c r="C849" s="9">
        <f>IFERROR(__xludf.DUMMYFUNCTION("""COMPUTED_VALUE"""),3685.0)</f>
        <v>3685</v>
      </c>
      <c r="D849" s="9" t="str">
        <f>IFERROR(__xludf.DUMMYFUNCTION("""COMPUTED_VALUE"""),"Completed")</f>
        <v>Completed</v>
      </c>
    </row>
    <row r="850">
      <c r="A850" s="9" t="str">
        <f>IFERROR(__xludf.DUMMYFUNCTION("""COMPUTED_VALUE"""),"G-REQ-00849")</f>
        <v>G-REQ-00849</v>
      </c>
      <c r="B850" s="11">
        <f>IFERROR(__xludf.DUMMYFUNCTION("""COMPUTED_VALUE"""),45821.7347411342)</f>
        <v>45821.73474</v>
      </c>
      <c r="C850" s="9">
        <f>IFERROR(__xludf.DUMMYFUNCTION("""COMPUTED_VALUE"""),3687.0)</f>
        <v>3687</v>
      </c>
      <c r="D850" s="9" t="str">
        <f>IFERROR(__xludf.DUMMYFUNCTION("""COMPUTED_VALUE"""),"Rejected")</f>
        <v>Rejected</v>
      </c>
    </row>
    <row r="851">
      <c r="A851" s="9" t="str">
        <f>IFERROR(__xludf.DUMMYFUNCTION("""COMPUTED_VALUE"""),"G-REQ-00850")</f>
        <v>G-REQ-00850</v>
      </c>
      <c r="B851" s="11">
        <f>IFERROR(__xludf.DUMMYFUNCTION("""COMPUTED_VALUE"""),45821.81286042406)</f>
        <v>45821.81286</v>
      </c>
      <c r="C851" s="9">
        <f>IFERROR(__xludf.DUMMYFUNCTION("""COMPUTED_VALUE"""),3691.0)</f>
        <v>3691</v>
      </c>
      <c r="D851" s="9" t="str">
        <f>IFERROR(__xludf.DUMMYFUNCTION("""COMPUTED_VALUE"""),"Completed")</f>
        <v>Completed</v>
      </c>
    </row>
    <row r="852">
      <c r="A852" s="9" t="str">
        <f>IFERROR(__xludf.DUMMYFUNCTION("""COMPUTED_VALUE"""),"G-REQ-00851")</f>
        <v>G-REQ-00851</v>
      </c>
      <c r="B852" s="11">
        <f>IFERROR(__xludf.DUMMYFUNCTION("""COMPUTED_VALUE"""),45821.884035269475)</f>
        <v>45821.88404</v>
      </c>
      <c r="C852" s="9">
        <f>IFERROR(__xludf.DUMMYFUNCTION("""COMPUTED_VALUE"""),3695.0)</f>
        <v>3695</v>
      </c>
      <c r="D852" s="9" t="str">
        <f>IFERROR(__xludf.DUMMYFUNCTION("""COMPUTED_VALUE"""),"Completed")</f>
        <v>Completed</v>
      </c>
    </row>
    <row r="853">
      <c r="A853" s="9" t="str">
        <f>IFERROR(__xludf.DUMMYFUNCTION("""COMPUTED_VALUE"""),"G-REQ-00852")</f>
        <v>G-REQ-00852</v>
      </c>
      <c r="B853" s="11">
        <f>IFERROR(__xludf.DUMMYFUNCTION("""COMPUTED_VALUE"""),45821.95521011489)</f>
        <v>45821.95521</v>
      </c>
      <c r="C853" s="9">
        <f>IFERROR(__xludf.DUMMYFUNCTION("""COMPUTED_VALUE"""),3699.0)</f>
        <v>3699</v>
      </c>
      <c r="D853" s="9" t="str">
        <f>IFERROR(__xludf.DUMMYFUNCTION("""COMPUTED_VALUE"""),"Completed")</f>
        <v>Completed</v>
      </c>
    </row>
    <row r="854">
      <c r="A854" s="9" t="str">
        <f>IFERROR(__xludf.DUMMYFUNCTION("""COMPUTED_VALUE"""),"G-REQ-00853")</f>
        <v>G-REQ-00853</v>
      </c>
      <c r="B854" s="11">
        <f>IFERROR(__xludf.DUMMYFUNCTION("""COMPUTED_VALUE"""),45822.02638496031)</f>
        <v>45822.02638</v>
      </c>
      <c r="C854" s="9">
        <f>IFERROR(__xludf.DUMMYFUNCTION("""COMPUTED_VALUE"""),3703.0)</f>
        <v>3703</v>
      </c>
      <c r="D854" s="9" t="str">
        <f>IFERROR(__xludf.DUMMYFUNCTION("""COMPUTED_VALUE"""),"Completed")</f>
        <v>Completed</v>
      </c>
    </row>
    <row r="855">
      <c r="A855" s="9" t="str">
        <f>IFERROR(__xludf.DUMMYFUNCTION("""COMPUTED_VALUE"""),"G-REQ-00854")</f>
        <v>G-REQ-00854</v>
      </c>
      <c r="B855" s="11">
        <f>IFERROR(__xludf.DUMMYFUNCTION("""COMPUTED_VALUE"""),45822.09755980573)</f>
        <v>45822.09756</v>
      </c>
      <c r="C855" s="9">
        <f>IFERROR(__xludf.DUMMYFUNCTION("""COMPUTED_VALUE"""),3707.0)</f>
        <v>3707</v>
      </c>
      <c r="D855" s="9" t="str">
        <f>IFERROR(__xludf.DUMMYFUNCTION("""COMPUTED_VALUE"""),"Completed")</f>
        <v>Completed</v>
      </c>
    </row>
    <row r="856">
      <c r="A856" s="9" t="str">
        <f>IFERROR(__xludf.DUMMYFUNCTION("""COMPUTED_VALUE"""),"G-REQ-00855")</f>
        <v>G-REQ-00855</v>
      </c>
      <c r="B856" s="11">
        <f>IFERROR(__xludf.DUMMYFUNCTION("""COMPUTED_VALUE"""),45822.16873465113)</f>
        <v>45822.16873</v>
      </c>
      <c r="C856" s="9">
        <f>IFERROR(__xludf.DUMMYFUNCTION("""COMPUTED_VALUE"""),3711.0)</f>
        <v>3711</v>
      </c>
      <c r="D856" s="9" t="str">
        <f>IFERROR(__xludf.DUMMYFUNCTION("""COMPUTED_VALUE"""),"Completed")</f>
        <v>Completed</v>
      </c>
    </row>
    <row r="857">
      <c r="A857" s="9" t="str">
        <f>IFERROR(__xludf.DUMMYFUNCTION("""COMPUTED_VALUE"""),"G-REQ-00856")</f>
        <v>G-REQ-00856</v>
      </c>
      <c r="B857" s="11">
        <f>IFERROR(__xludf.DUMMYFUNCTION("""COMPUTED_VALUE"""),45822.23990949655)</f>
        <v>45822.23991</v>
      </c>
      <c r="C857" s="9">
        <f>IFERROR(__xludf.DUMMYFUNCTION("""COMPUTED_VALUE"""),3715.0)</f>
        <v>3715</v>
      </c>
      <c r="D857" s="9" t="str">
        <f>IFERROR(__xludf.DUMMYFUNCTION("""COMPUTED_VALUE"""),"Completed")</f>
        <v>Completed</v>
      </c>
    </row>
    <row r="858">
      <c r="A858" s="9" t="str">
        <f>IFERROR(__xludf.DUMMYFUNCTION("""COMPUTED_VALUE"""),"G-REQ-00857")</f>
        <v>G-REQ-00857</v>
      </c>
      <c r="B858" s="11">
        <f>IFERROR(__xludf.DUMMYFUNCTION("""COMPUTED_VALUE"""),45822.31108434197)</f>
        <v>45822.31108</v>
      </c>
      <c r="C858" s="9">
        <f>IFERROR(__xludf.DUMMYFUNCTION("""COMPUTED_VALUE"""),3719.0)</f>
        <v>3719</v>
      </c>
      <c r="D858" s="9" t="str">
        <f>IFERROR(__xludf.DUMMYFUNCTION("""COMPUTED_VALUE"""),"Completed")</f>
        <v>Completed</v>
      </c>
    </row>
    <row r="859">
      <c r="A859" s="9" t="str">
        <f>IFERROR(__xludf.DUMMYFUNCTION("""COMPUTED_VALUE"""),"G-REQ-00858")</f>
        <v>G-REQ-00858</v>
      </c>
      <c r="B859" s="11">
        <f>IFERROR(__xludf.DUMMYFUNCTION("""COMPUTED_VALUE"""),45822.38225918738)</f>
        <v>45822.38226</v>
      </c>
      <c r="C859" s="9">
        <f>IFERROR(__xludf.DUMMYFUNCTION("""COMPUTED_VALUE"""),3723.0)</f>
        <v>3723</v>
      </c>
      <c r="D859" s="9" t="str">
        <f>IFERROR(__xludf.DUMMYFUNCTION("""COMPUTED_VALUE"""),"Completed")</f>
        <v>Completed</v>
      </c>
    </row>
    <row r="860">
      <c r="A860" s="9" t="str">
        <f>IFERROR(__xludf.DUMMYFUNCTION("""COMPUTED_VALUE"""),"G-REQ-00859")</f>
        <v>G-REQ-00859</v>
      </c>
      <c r="B860" s="11">
        <f>IFERROR(__xludf.DUMMYFUNCTION("""COMPUTED_VALUE"""),45822.453434032795)</f>
        <v>45822.45343</v>
      </c>
      <c r="C860" s="9">
        <f>IFERROR(__xludf.DUMMYFUNCTION("""COMPUTED_VALUE"""),3727.0)</f>
        <v>3727</v>
      </c>
      <c r="D860" s="9" t="str">
        <f>IFERROR(__xludf.DUMMYFUNCTION("""COMPUTED_VALUE"""),"Completed")</f>
        <v>Completed</v>
      </c>
    </row>
    <row r="861">
      <c r="A861" s="9" t="str">
        <f>IFERROR(__xludf.DUMMYFUNCTION("""COMPUTED_VALUE"""),"G-REQ-00860")</f>
        <v>G-REQ-00860</v>
      </c>
      <c r="B861" s="11">
        <f>IFERROR(__xludf.DUMMYFUNCTION("""COMPUTED_VALUE"""),45822.524608878215)</f>
        <v>45822.52461</v>
      </c>
      <c r="C861" s="9">
        <f>IFERROR(__xludf.DUMMYFUNCTION("""COMPUTED_VALUE"""),3731.0)</f>
        <v>3731</v>
      </c>
      <c r="D861" s="9" t="str">
        <f>IFERROR(__xludf.DUMMYFUNCTION("""COMPUTED_VALUE"""),"Completed")</f>
        <v>Completed</v>
      </c>
    </row>
    <row r="862">
      <c r="A862" s="9" t="str">
        <f>IFERROR(__xludf.DUMMYFUNCTION("""COMPUTED_VALUE"""),"G-REQ-00861")</f>
        <v>G-REQ-00861</v>
      </c>
      <c r="B862" s="11">
        <f>IFERROR(__xludf.DUMMYFUNCTION("""COMPUTED_VALUE"""),45822.58883927918)</f>
        <v>45822.58884</v>
      </c>
      <c r="C862" s="9">
        <f>IFERROR(__xludf.DUMMYFUNCTION("""COMPUTED_VALUE"""),3733.0)</f>
        <v>3733</v>
      </c>
      <c r="D862" s="9" t="str">
        <f>IFERROR(__xludf.DUMMYFUNCTION("""COMPUTED_VALUE"""),"Cancelled")</f>
        <v>Cancelled</v>
      </c>
    </row>
    <row r="863">
      <c r="A863" s="9" t="str">
        <f>IFERROR(__xludf.DUMMYFUNCTION("""COMPUTED_VALUE"""),"G-REQ-00862")</f>
        <v>G-REQ-00862</v>
      </c>
      <c r="B863" s="11">
        <f>IFERROR(__xludf.DUMMYFUNCTION("""COMPUTED_VALUE"""),45822.66695856904)</f>
        <v>45822.66696</v>
      </c>
      <c r="C863" s="9">
        <f>IFERROR(__xludf.DUMMYFUNCTION("""COMPUTED_VALUE"""),3737.0)</f>
        <v>3737</v>
      </c>
      <c r="D863" s="9" t="str">
        <f>IFERROR(__xludf.DUMMYFUNCTION("""COMPUTED_VALUE"""),"Completed")</f>
        <v>Completed</v>
      </c>
    </row>
    <row r="864">
      <c r="A864" s="9" t="str">
        <f>IFERROR(__xludf.DUMMYFUNCTION("""COMPUTED_VALUE"""),"G-REQ-00863")</f>
        <v>G-REQ-00863</v>
      </c>
      <c r="B864" s="11">
        <f>IFERROR(__xludf.DUMMYFUNCTION("""COMPUTED_VALUE"""),45822.731188970014)</f>
        <v>45822.73119</v>
      </c>
      <c r="C864" s="9">
        <f>IFERROR(__xludf.DUMMYFUNCTION("""COMPUTED_VALUE"""),3739.0)</f>
        <v>3739</v>
      </c>
      <c r="D864" s="9" t="str">
        <f>IFERROR(__xludf.DUMMYFUNCTION("""COMPUTED_VALUE"""),"Cancelled")</f>
        <v>Cancelled</v>
      </c>
    </row>
    <row r="865">
      <c r="A865" s="9" t="str">
        <f>IFERROR(__xludf.DUMMYFUNCTION("""COMPUTED_VALUE"""),"G-REQ-00864")</f>
        <v>G-REQ-00864</v>
      </c>
      <c r="B865" s="11">
        <f>IFERROR(__xludf.DUMMYFUNCTION("""COMPUTED_VALUE"""),45822.80236381543)</f>
        <v>45822.80236</v>
      </c>
      <c r="C865" s="9">
        <f>IFERROR(__xludf.DUMMYFUNCTION("""COMPUTED_VALUE"""),3741.0)</f>
        <v>3741</v>
      </c>
      <c r="D865" s="9" t="str">
        <f>IFERROR(__xludf.DUMMYFUNCTION("""COMPUTED_VALUE"""),"Rejected")</f>
        <v>Rejected</v>
      </c>
    </row>
    <row r="866">
      <c r="A866" s="9" t="str">
        <f>IFERROR(__xludf.DUMMYFUNCTION("""COMPUTED_VALUE"""),"G-REQ-00865")</f>
        <v>G-REQ-00865</v>
      </c>
      <c r="B866" s="11">
        <f>IFERROR(__xludf.DUMMYFUNCTION("""COMPUTED_VALUE"""),45822.880483105284)</f>
        <v>45822.88048</v>
      </c>
      <c r="C866" s="9">
        <f>IFERROR(__xludf.DUMMYFUNCTION("""COMPUTED_VALUE"""),3745.0)</f>
        <v>3745</v>
      </c>
      <c r="D866" s="9" t="str">
        <f>IFERROR(__xludf.DUMMYFUNCTION("""COMPUTED_VALUE"""),"Completed")</f>
        <v>Completed</v>
      </c>
    </row>
    <row r="867">
      <c r="A867" s="9" t="str">
        <f>IFERROR(__xludf.DUMMYFUNCTION("""COMPUTED_VALUE"""),"G-REQ-00866")</f>
        <v>G-REQ-00866</v>
      </c>
      <c r="B867" s="11">
        <f>IFERROR(__xludf.DUMMYFUNCTION("""COMPUTED_VALUE"""),45822.9516579507)</f>
        <v>45822.95166</v>
      </c>
      <c r="C867" s="9">
        <f>IFERROR(__xludf.DUMMYFUNCTION("""COMPUTED_VALUE"""),3749.0)</f>
        <v>3749</v>
      </c>
      <c r="D867" s="9" t="str">
        <f>IFERROR(__xludf.DUMMYFUNCTION("""COMPUTED_VALUE"""),"Completed")</f>
        <v>Completed</v>
      </c>
    </row>
    <row r="868">
      <c r="A868" s="9" t="str">
        <f>IFERROR(__xludf.DUMMYFUNCTION("""COMPUTED_VALUE"""),"G-REQ-00867")</f>
        <v>G-REQ-00867</v>
      </c>
      <c r="B868" s="11">
        <f>IFERROR(__xludf.DUMMYFUNCTION("""COMPUTED_VALUE"""),45823.022832796116)</f>
        <v>45823.02283</v>
      </c>
      <c r="C868" s="9">
        <f>IFERROR(__xludf.DUMMYFUNCTION("""COMPUTED_VALUE"""),3753.0)</f>
        <v>3753</v>
      </c>
      <c r="D868" s="9" t="str">
        <f>IFERROR(__xludf.DUMMYFUNCTION("""COMPUTED_VALUE"""),"Completed")</f>
        <v>Completed</v>
      </c>
    </row>
    <row r="869">
      <c r="A869" s="9" t="str">
        <f>IFERROR(__xludf.DUMMYFUNCTION("""COMPUTED_VALUE"""),"G-REQ-00868")</f>
        <v>G-REQ-00868</v>
      </c>
      <c r="B869" s="11">
        <f>IFERROR(__xludf.DUMMYFUNCTION("""COMPUTED_VALUE"""),45823.094007641535)</f>
        <v>45823.09401</v>
      </c>
      <c r="C869" s="9">
        <f>IFERROR(__xludf.DUMMYFUNCTION("""COMPUTED_VALUE"""),3757.0)</f>
        <v>3757</v>
      </c>
      <c r="D869" s="9" t="str">
        <f>IFERROR(__xludf.DUMMYFUNCTION("""COMPUTED_VALUE"""),"Completed")</f>
        <v>Completed</v>
      </c>
    </row>
    <row r="870">
      <c r="A870" s="9" t="str">
        <f>IFERROR(__xludf.DUMMYFUNCTION("""COMPUTED_VALUE"""),"G-REQ-00869")</f>
        <v>G-REQ-00869</v>
      </c>
      <c r="B870" s="11">
        <f>IFERROR(__xludf.DUMMYFUNCTION("""COMPUTED_VALUE"""),45823.16518248695)</f>
        <v>45823.16518</v>
      </c>
      <c r="C870" s="9">
        <f>IFERROR(__xludf.DUMMYFUNCTION("""COMPUTED_VALUE"""),3761.0)</f>
        <v>3761</v>
      </c>
      <c r="D870" s="9" t="str">
        <f>IFERROR(__xludf.DUMMYFUNCTION("""COMPUTED_VALUE"""),"Completed")</f>
        <v>Completed</v>
      </c>
    </row>
    <row r="871">
      <c r="A871" s="9" t="str">
        <f>IFERROR(__xludf.DUMMYFUNCTION("""COMPUTED_VALUE"""),"G-REQ-00870")</f>
        <v>G-REQ-00870</v>
      </c>
      <c r="B871" s="11">
        <f>IFERROR(__xludf.DUMMYFUNCTION("""COMPUTED_VALUE"""),45823.23635733237)</f>
        <v>45823.23636</v>
      </c>
      <c r="C871" s="9">
        <f>IFERROR(__xludf.DUMMYFUNCTION("""COMPUTED_VALUE"""),3765.0)</f>
        <v>3765</v>
      </c>
      <c r="D871" s="9" t="str">
        <f>IFERROR(__xludf.DUMMYFUNCTION("""COMPUTED_VALUE"""),"Completed")</f>
        <v>Completed</v>
      </c>
    </row>
    <row r="872">
      <c r="A872" s="9" t="str">
        <f>IFERROR(__xludf.DUMMYFUNCTION("""COMPUTED_VALUE"""),"G-REQ-00871")</f>
        <v>G-REQ-00871</v>
      </c>
      <c r="B872" s="11">
        <f>IFERROR(__xludf.DUMMYFUNCTION("""COMPUTED_VALUE"""),45823.30753217777)</f>
        <v>45823.30753</v>
      </c>
      <c r="C872" s="9">
        <f>IFERROR(__xludf.DUMMYFUNCTION("""COMPUTED_VALUE"""),3769.0)</f>
        <v>3769</v>
      </c>
      <c r="D872" s="9" t="str">
        <f>IFERROR(__xludf.DUMMYFUNCTION("""COMPUTED_VALUE"""),"Completed")</f>
        <v>Completed</v>
      </c>
    </row>
    <row r="873">
      <c r="A873" s="9" t="str">
        <f>IFERROR(__xludf.DUMMYFUNCTION("""COMPUTED_VALUE"""),"G-REQ-00872")</f>
        <v>G-REQ-00872</v>
      </c>
      <c r="B873" s="11">
        <f>IFERROR(__xludf.DUMMYFUNCTION("""COMPUTED_VALUE"""),45823.37870702319)</f>
        <v>45823.37871</v>
      </c>
      <c r="C873" s="9">
        <f>IFERROR(__xludf.DUMMYFUNCTION("""COMPUTED_VALUE"""),3773.0)</f>
        <v>3773</v>
      </c>
      <c r="D873" s="9" t="str">
        <f>IFERROR(__xludf.DUMMYFUNCTION("""COMPUTED_VALUE"""),"Completed")</f>
        <v>Completed</v>
      </c>
    </row>
    <row r="874">
      <c r="A874" s="9" t="str">
        <f>IFERROR(__xludf.DUMMYFUNCTION("""COMPUTED_VALUE"""),"G-REQ-00873")</f>
        <v>G-REQ-00873</v>
      </c>
      <c r="B874" s="11">
        <f>IFERROR(__xludf.DUMMYFUNCTION("""COMPUTED_VALUE"""),45823.44988186861)</f>
        <v>45823.44988</v>
      </c>
      <c r="C874" s="9">
        <f>IFERROR(__xludf.DUMMYFUNCTION("""COMPUTED_VALUE"""),3777.0)</f>
        <v>3777</v>
      </c>
      <c r="D874" s="9" t="str">
        <f>IFERROR(__xludf.DUMMYFUNCTION("""COMPUTED_VALUE"""),"Completed")</f>
        <v>Completed</v>
      </c>
    </row>
    <row r="875">
      <c r="A875" s="9" t="str">
        <f>IFERROR(__xludf.DUMMYFUNCTION("""COMPUTED_VALUE"""),"G-REQ-00874")</f>
        <v>G-REQ-00874</v>
      </c>
      <c r="B875" s="11">
        <f>IFERROR(__xludf.DUMMYFUNCTION("""COMPUTED_VALUE"""),45823.521056714024)</f>
        <v>45823.52106</v>
      </c>
      <c r="C875" s="9">
        <f>IFERROR(__xludf.DUMMYFUNCTION("""COMPUTED_VALUE"""),3781.0)</f>
        <v>3781</v>
      </c>
      <c r="D875" s="9" t="str">
        <f>IFERROR(__xludf.DUMMYFUNCTION("""COMPUTED_VALUE"""),"Completed")</f>
        <v>Completed</v>
      </c>
    </row>
    <row r="876">
      <c r="A876" s="9" t="str">
        <f>IFERROR(__xludf.DUMMYFUNCTION("""COMPUTED_VALUE"""),"G-REQ-00875")</f>
        <v>G-REQ-00875</v>
      </c>
      <c r="B876" s="11">
        <f>IFERROR(__xludf.DUMMYFUNCTION("""COMPUTED_VALUE"""),45823.58528711499)</f>
        <v>45823.58529</v>
      </c>
      <c r="C876" s="9">
        <f>IFERROR(__xludf.DUMMYFUNCTION("""COMPUTED_VALUE"""),3783.0)</f>
        <v>3783</v>
      </c>
      <c r="D876" s="9" t="str">
        <f>IFERROR(__xludf.DUMMYFUNCTION("""COMPUTED_VALUE"""),"Rejected")</f>
        <v>Rejected</v>
      </c>
    </row>
    <row r="877">
      <c r="A877" s="9" t="str">
        <f>IFERROR(__xludf.DUMMYFUNCTION("""COMPUTED_VALUE"""),"G-REQ-00876")</f>
        <v>G-REQ-00876</v>
      </c>
      <c r="B877" s="11">
        <f>IFERROR(__xludf.DUMMYFUNCTION("""COMPUTED_VALUE"""),45823.663406404856)</f>
        <v>45823.66341</v>
      </c>
      <c r="C877" s="9">
        <f>IFERROR(__xludf.DUMMYFUNCTION("""COMPUTED_VALUE"""),3787.0)</f>
        <v>3787</v>
      </c>
      <c r="D877" s="9" t="str">
        <f>IFERROR(__xludf.DUMMYFUNCTION("""COMPUTED_VALUE"""),"Completed")</f>
        <v>Completed</v>
      </c>
    </row>
    <row r="878">
      <c r="A878" s="9" t="str">
        <f>IFERROR(__xludf.DUMMYFUNCTION("""COMPUTED_VALUE"""),"G-REQ-00877")</f>
        <v>G-REQ-00877</v>
      </c>
      <c r="B878" s="11">
        <f>IFERROR(__xludf.DUMMYFUNCTION("""COMPUTED_VALUE"""),45823.73458125027)</f>
        <v>45823.73458</v>
      </c>
      <c r="C878" s="9">
        <f>IFERROR(__xludf.DUMMYFUNCTION("""COMPUTED_VALUE"""),3791.0)</f>
        <v>3791</v>
      </c>
      <c r="D878" s="9" t="str">
        <f>IFERROR(__xludf.DUMMYFUNCTION("""COMPUTED_VALUE"""),"Completed")</f>
        <v>Completed</v>
      </c>
    </row>
    <row r="879">
      <c r="A879" s="9" t="str">
        <f>IFERROR(__xludf.DUMMYFUNCTION("""COMPUTED_VALUE"""),"G-REQ-00878")</f>
        <v>G-REQ-00878</v>
      </c>
      <c r="B879" s="11">
        <f>IFERROR(__xludf.DUMMYFUNCTION("""COMPUTED_VALUE"""),45823.80575609568)</f>
        <v>45823.80576</v>
      </c>
      <c r="C879" s="9">
        <f>IFERROR(__xludf.DUMMYFUNCTION("""COMPUTED_VALUE"""),3795.0)</f>
        <v>3795</v>
      </c>
      <c r="D879" s="9" t="str">
        <f>IFERROR(__xludf.DUMMYFUNCTION("""COMPUTED_VALUE"""),"Completed")</f>
        <v>Completed</v>
      </c>
    </row>
    <row r="880">
      <c r="A880" s="9" t="str">
        <f>IFERROR(__xludf.DUMMYFUNCTION("""COMPUTED_VALUE"""),"G-REQ-00879")</f>
        <v>G-REQ-00879</v>
      </c>
      <c r="B880" s="11">
        <f>IFERROR(__xludf.DUMMYFUNCTION("""COMPUTED_VALUE"""),45823.8769309411)</f>
        <v>45823.87693</v>
      </c>
      <c r="C880" s="9">
        <f>IFERROR(__xludf.DUMMYFUNCTION("""COMPUTED_VALUE"""),3799.0)</f>
        <v>3799</v>
      </c>
      <c r="D880" s="9" t="str">
        <f>IFERROR(__xludf.DUMMYFUNCTION("""COMPUTED_VALUE"""),"Completed")</f>
        <v>Completed</v>
      </c>
    </row>
    <row r="881">
      <c r="A881" s="9" t="str">
        <f>IFERROR(__xludf.DUMMYFUNCTION("""COMPUTED_VALUE"""),"G-REQ-00880")</f>
        <v>G-REQ-00880</v>
      </c>
      <c r="B881" s="11">
        <f>IFERROR(__xludf.DUMMYFUNCTION("""COMPUTED_VALUE"""),45823.94810578652)</f>
        <v>45823.94811</v>
      </c>
      <c r="C881" s="9">
        <f>IFERROR(__xludf.DUMMYFUNCTION("""COMPUTED_VALUE"""),3803.0)</f>
        <v>3803</v>
      </c>
      <c r="D881" s="9" t="str">
        <f>IFERROR(__xludf.DUMMYFUNCTION("""COMPUTED_VALUE"""),"Completed")</f>
        <v>Completed</v>
      </c>
    </row>
    <row r="882">
      <c r="A882" s="9" t="str">
        <f>IFERROR(__xludf.DUMMYFUNCTION("""COMPUTED_VALUE"""),"G-REQ-00881")</f>
        <v>G-REQ-00881</v>
      </c>
      <c r="B882" s="11">
        <f>IFERROR(__xludf.DUMMYFUNCTION("""COMPUTED_VALUE"""),45824.019280631925)</f>
        <v>45824.01928</v>
      </c>
      <c r="C882" s="9">
        <f>IFERROR(__xludf.DUMMYFUNCTION("""COMPUTED_VALUE"""),3807.0)</f>
        <v>3807</v>
      </c>
      <c r="D882" s="9" t="str">
        <f>IFERROR(__xludf.DUMMYFUNCTION("""COMPUTED_VALUE"""),"Completed")</f>
        <v>Completed</v>
      </c>
    </row>
    <row r="883">
      <c r="A883" s="9" t="str">
        <f>IFERROR(__xludf.DUMMYFUNCTION("""COMPUTED_VALUE"""),"G-REQ-00882")</f>
        <v>G-REQ-00882</v>
      </c>
      <c r="B883" s="11">
        <f>IFERROR(__xludf.DUMMYFUNCTION("""COMPUTED_VALUE"""),45824.090455477344)</f>
        <v>45824.09046</v>
      </c>
      <c r="C883" s="9">
        <f>IFERROR(__xludf.DUMMYFUNCTION("""COMPUTED_VALUE"""),3811.0)</f>
        <v>3811</v>
      </c>
      <c r="D883" s="9" t="str">
        <f>IFERROR(__xludf.DUMMYFUNCTION("""COMPUTED_VALUE"""),"Completed")</f>
        <v>Completed</v>
      </c>
    </row>
    <row r="884">
      <c r="A884" s="9" t="str">
        <f>IFERROR(__xludf.DUMMYFUNCTION("""COMPUTED_VALUE"""),"G-REQ-00883")</f>
        <v>G-REQ-00883</v>
      </c>
      <c r="B884" s="11">
        <f>IFERROR(__xludf.DUMMYFUNCTION("""COMPUTED_VALUE"""),45824.161630322764)</f>
        <v>45824.16163</v>
      </c>
      <c r="C884" s="9">
        <f>IFERROR(__xludf.DUMMYFUNCTION("""COMPUTED_VALUE"""),3815.0)</f>
        <v>3815</v>
      </c>
      <c r="D884" s="9" t="str">
        <f>IFERROR(__xludf.DUMMYFUNCTION("""COMPUTED_VALUE"""),"Completed")</f>
        <v>Completed</v>
      </c>
    </row>
    <row r="885">
      <c r="A885" s="9" t="str">
        <f>IFERROR(__xludf.DUMMYFUNCTION("""COMPUTED_VALUE"""),"G-REQ-00884")</f>
        <v>G-REQ-00884</v>
      </c>
      <c r="B885" s="11">
        <f>IFERROR(__xludf.DUMMYFUNCTION("""COMPUTED_VALUE"""),45824.232805168176)</f>
        <v>45824.23281</v>
      </c>
      <c r="C885" s="9">
        <f>IFERROR(__xludf.DUMMYFUNCTION("""COMPUTED_VALUE"""),3819.0)</f>
        <v>3819</v>
      </c>
      <c r="D885" s="9" t="str">
        <f>IFERROR(__xludf.DUMMYFUNCTION("""COMPUTED_VALUE"""),"Completed")</f>
        <v>Completed</v>
      </c>
    </row>
    <row r="886">
      <c r="A886" s="9" t="str">
        <f>IFERROR(__xludf.DUMMYFUNCTION("""COMPUTED_VALUE"""),"G-REQ-00885")</f>
        <v>G-REQ-00885</v>
      </c>
      <c r="B886" s="11">
        <f>IFERROR(__xludf.DUMMYFUNCTION("""COMPUTED_VALUE"""),45824.30398001359)</f>
        <v>45824.30398</v>
      </c>
      <c r="C886" s="9">
        <f>IFERROR(__xludf.DUMMYFUNCTION("""COMPUTED_VALUE"""),3823.0)</f>
        <v>3823</v>
      </c>
      <c r="D886" s="9" t="str">
        <f>IFERROR(__xludf.DUMMYFUNCTION("""COMPUTED_VALUE"""),"Completed")</f>
        <v>Completed</v>
      </c>
    </row>
    <row r="887">
      <c r="A887" s="9" t="str">
        <f>IFERROR(__xludf.DUMMYFUNCTION("""COMPUTED_VALUE"""),"G-REQ-00886")</f>
        <v>G-REQ-00886</v>
      </c>
      <c r="B887" s="11">
        <f>IFERROR(__xludf.DUMMYFUNCTION("""COMPUTED_VALUE"""),45824.37515485901)</f>
        <v>45824.37515</v>
      </c>
      <c r="C887" s="9">
        <f>IFERROR(__xludf.DUMMYFUNCTION("""COMPUTED_VALUE"""),3827.0)</f>
        <v>3827</v>
      </c>
      <c r="D887" s="9" t="str">
        <f>IFERROR(__xludf.DUMMYFUNCTION("""COMPUTED_VALUE"""),"Completed")</f>
        <v>Completed</v>
      </c>
    </row>
    <row r="888">
      <c r="A888" s="9" t="str">
        <f>IFERROR(__xludf.DUMMYFUNCTION("""COMPUTED_VALUE"""),"G-REQ-00887")</f>
        <v>G-REQ-00887</v>
      </c>
      <c r="B888" s="11">
        <f>IFERROR(__xludf.DUMMYFUNCTION("""COMPUTED_VALUE"""),45824.44632970442)</f>
        <v>45824.44633</v>
      </c>
      <c r="C888" s="9">
        <f>IFERROR(__xludf.DUMMYFUNCTION("""COMPUTED_VALUE"""),3831.0)</f>
        <v>3831</v>
      </c>
      <c r="D888" s="9" t="str">
        <f>IFERROR(__xludf.DUMMYFUNCTION("""COMPUTED_VALUE"""),"Completed")</f>
        <v>Completed</v>
      </c>
    </row>
    <row r="889">
      <c r="A889" s="9" t="str">
        <f>IFERROR(__xludf.DUMMYFUNCTION("""COMPUTED_VALUE"""),"G-REQ-00888")</f>
        <v>G-REQ-00888</v>
      </c>
      <c r="B889" s="11">
        <f>IFERROR(__xludf.DUMMYFUNCTION("""COMPUTED_VALUE"""),45824.51750454983)</f>
        <v>45824.5175</v>
      </c>
      <c r="C889" s="9">
        <f>IFERROR(__xludf.DUMMYFUNCTION("""COMPUTED_VALUE"""),3835.0)</f>
        <v>3835</v>
      </c>
      <c r="D889" s="9" t="str">
        <f>IFERROR(__xludf.DUMMYFUNCTION("""COMPUTED_VALUE"""),"Completed")</f>
        <v>Completed</v>
      </c>
    </row>
    <row r="890">
      <c r="A890" s="9" t="str">
        <f>IFERROR(__xludf.DUMMYFUNCTION("""COMPUTED_VALUE"""),"G-REQ-00889")</f>
        <v>G-REQ-00889</v>
      </c>
      <c r="B890" s="11">
        <f>IFERROR(__xludf.DUMMYFUNCTION("""COMPUTED_VALUE"""),45824.58867939525)</f>
        <v>45824.58868</v>
      </c>
      <c r="C890" s="9">
        <f>IFERROR(__xludf.DUMMYFUNCTION("""COMPUTED_VALUE"""),3839.0)</f>
        <v>3839</v>
      </c>
      <c r="D890" s="9" t="str">
        <f>IFERROR(__xludf.DUMMYFUNCTION("""COMPUTED_VALUE"""),"Completed")</f>
        <v>Completed</v>
      </c>
    </row>
    <row r="891">
      <c r="A891" s="9" t="str">
        <f>IFERROR(__xludf.DUMMYFUNCTION("""COMPUTED_VALUE"""),"G-REQ-00890")</f>
        <v>G-REQ-00890</v>
      </c>
      <c r="B891" s="11">
        <f>IFERROR(__xludf.DUMMYFUNCTION("""COMPUTED_VALUE"""),45824.659854240665)</f>
        <v>45824.65985</v>
      </c>
      <c r="C891" s="9">
        <f>IFERROR(__xludf.DUMMYFUNCTION("""COMPUTED_VALUE"""),3843.0)</f>
        <v>3843</v>
      </c>
      <c r="D891" s="9" t="str">
        <f>IFERROR(__xludf.DUMMYFUNCTION("""COMPUTED_VALUE"""),"Completed")</f>
        <v>Completed</v>
      </c>
    </row>
    <row r="892">
      <c r="A892" s="9" t="str">
        <f>IFERROR(__xludf.DUMMYFUNCTION("""COMPUTED_VALUE"""),"G-REQ-00891")</f>
        <v>G-REQ-00891</v>
      </c>
      <c r="B892" s="11">
        <f>IFERROR(__xludf.DUMMYFUNCTION("""COMPUTED_VALUE"""),45824.73102908608)</f>
        <v>45824.73103</v>
      </c>
      <c r="C892" s="9">
        <f>IFERROR(__xludf.DUMMYFUNCTION("""COMPUTED_VALUE"""),3847.0)</f>
        <v>3847</v>
      </c>
      <c r="D892" s="9" t="str">
        <f>IFERROR(__xludf.DUMMYFUNCTION("""COMPUTED_VALUE"""),"Completed")</f>
        <v>Completed</v>
      </c>
    </row>
    <row r="893">
      <c r="A893" s="9" t="str">
        <f>IFERROR(__xludf.DUMMYFUNCTION("""COMPUTED_VALUE"""),"G-REQ-00892")</f>
        <v>G-REQ-00892</v>
      </c>
      <c r="B893" s="11">
        <f>IFERROR(__xludf.DUMMYFUNCTION("""COMPUTED_VALUE"""),45824.8022039315)</f>
        <v>45824.8022</v>
      </c>
      <c r="C893" s="9">
        <f>IFERROR(__xludf.DUMMYFUNCTION("""COMPUTED_VALUE"""),3851.0)</f>
        <v>3851</v>
      </c>
      <c r="D893" s="9" t="str">
        <f>IFERROR(__xludf.DUMMYFUNCTION("""COMPUTED_VALUE"""),"Completed")</f>
        <v>Completed</v>
      </c>
    </row>
    <row r="894">
      <c r="A894" s="9" t="str">
        <f>IFERROR(__xludf.DUMMYFUNCTION("""COMPUTED_VALUE"""),"G-REQ-00893")</f>
        <v>G-REQ-00893</v>
      </c>
      <c r="B894" s="11">
        <f>IFERROR(__xludf.DUMMYFUNCTION("""COMPUTED_VALUE"""),45824.87337877691)</f>
        <v>45824.87338</v>
      </c>
      <c r="C894" s="9">
        <f>IFERROR(__xludf.DUMMYFUNCTION("""COMPUTED_VALUE"""),3855.0)</f>
        <v>3855</v>
      </c>
      <c r="D894" s="9" t="str">
        <f>IFERROR(__xludf.DUMMYFUNCTION("""COMPUTED_VALUE"""),"Completed")</f>
        <v>Completed</v>
      </c>
    </row>
    <row r="895">
      <c r="A895" s="9" t="str">
        <f>IFERROR(__xludf.DUMMYFUNCTION("""COMPUTED_VALUE"""),"G-REQ-00894")</f>
        <v>G-REQ-00894</v>
      </c>
      <c r="B895" s="11">
        <f>IFERROR(__xludf.DUMMYFUNCTION("""COMPUTED_VALUE"""),45824.94455362232)</f>
        <v>45824.94455</v>
      </c>
      <c r="C895" s="9">
        <f>IFERROR(__xludf.DUMMYFUNCTION("""COMPUTED_VALUE"""),3859.0)</f>
        <v>3859</v>
      </c>
      <c r="D895" s="9" t="str">
        <f>IFERROR(__xludf.DUMMYFUNCTION("""COMPUTED_VALUE"""),"Completed")</f>
        <v>Completed</v>
      </c>
    </row>
    <row r="896">
      <c r="A896" s="9" t="str">
        <f>IFERROR(__xludf.DUMMYFUNCTION("""COMPUTED_VALUE"""),"G-REQ-00895")</f>
        <v>G-REQ-00895</v>
      </c>
      <c r="B896" s="11">
        <f>IFERROR(__xludf.DUMMYFUNCTION("""COMPUTED_VALUE"""),45825.01572846774)</f>
        <v>45825.01573</v>
      </c>
      <c r="C896" s="9">
        <f>IFERROR(__xludf.DUMMYFUNCTION("""COMPUTED_VALUE"""),3863.0)</f>
        <v>3863</v>
      </c>
      <c r="D896" s="9" t="str">
        <f>IFERROR(__xludf.DUMMYFUNCTION("""COMPUTED_VALUE"""),"Completed")</f>
        <v>Completed</v>
      </c>
    </row>
    <row r="897">
      <c r="A897" s="9" t="str">
        <f>IFERROR(__xludf.DUMMYFUNCTION("""COMPUTED_VALUE"""),"G-REQ-00896")</f>
        <v>G-REQ-00896</v>
      </c>
      <c r="B897" s="11">
        <f>IFERROR(__xludf.DUMMYFUNCTION("""COMPUTED_VALUE"""),45825.08690331316)</f>
        <v>45825.0869</v>
      </c>
      <c r="C897" s="9">
        <f>IFERROR(__xludf.DUMMYFUNCTION("""COMPUTED_VALUE"""),3867.0)</f>
        <v>3867</v>
      </c>
      <c r="D897" s="9" t="str">
        <f>IFERROR(__xludf.DUMMYFUNCTION("""COMPUTED_VALUE"""),"Completed")</f>
        <v>Completed</v>
      </c>
    </row>
    <row r="898">
      <c r="A898" s="9" t="str">
        <f>IFERROR(__xludf.DUMMYFUNCTION("""COMPUTED_VALUE"""),"G-REQ-00897")</f>
        <v>G-REQ-00897</v>
      </c>
      <c r="B898" s="11">
        <f>IFERROR(__xludf.DUMMYFUNCTION("""COMPUTED_VALUE"""),45825.158078158565)</f>
        <v>45825.15808</v>
      </c>
      <c r="C898" s="9">
        <f>IFERROR(__xludf.DUMMYFUNCTION("""COMPUTED_VALUE"""),3871.0)</f>
        <v>3871</v>
      </c>
      <c r="D898" s="9" t="str">
        <f>IFERROR(__xludf.DUMMYFUNCTION("""COMPUTED_VALUE"""),"Completed")</f>
        <v>Completed</v>
      </c>
    </row>
    <row r="899">
      <c r="A899" s="9" t="str">
        <f>IFERROR(__xludf.DUMMYFUNCTION("""COMPUTED_VALUE"""),"G-REQ-00898")</f>
        <v>G-REQ-00898</v>
      </c>
      <c r="B899" s="11">
        <f>IFERROR(__xludf.DUMMYFUNCTION("""COMPUTED_VALUE"""),45825.229253003985)</f>
        <v>45825.22925</v>
      </c>
      <c r="C899" s="9">
        <f>IFERROR(__xludf.DUMMYFUNCTION("""COMPUTED_VALUE"""),3875.0)</f>
        <v>3875</v>
      </c>
      <c r="D899" s="9" t="str">
        <f>IFERROR(__xludf.DUMMYFUNCTION("""COMPUTED_VALUE"""),"Completed")</f>
        <v>Completed</v>
      </c>
    </row>
    <row r="900">
      <c r="A900" s="9" t="str">
        <f>IFERROR(__xludf.DUMMYFUNCTION("""COMPUTED_VALUE"""),"G-REQ-00899")</f>
        <v>G-REQ-00899</v>
      </c>
      <c r="B900" s="11">
        <f>IFERROR(__xludf.DUMMYFUNCTION("""COMPUTED_VALUE"""),45825.29348340496)</f>
        <v>45825.29348</v>
      </c>
      <c r="C900" s="9">
        <f>IFERROR(__xludf.DUMMYFUNCTION("""COMPUTED_VALUE"""),3877.0)</f>
        <v>3877</v>
      </c>
      <c r="D900" s="9" t="str">
        <f>IFERROR(__xludf.DUMMYFUNCTION("""COMPUTED_VALUE"""),"Rejected")</f>
        <v>Rejected</v>
      </c>
    </row>
    <row r="901">
      <c r="A901" s="9" t="str">
        <f>IFERROR(__xludf.DUMMYFUNCTION("""COMPUTED_VALUE"""),"G-REQ-00900")</f>
        <v>G-REQ-00900</v>
      </c>
      <c r="B901" s="11">
        <f>IFERROR(__xludf.DUMMYFUNCTION("""COMPUTED_VALUE"""),45825.36465825037)</f>
        <v>45825.36466</v>
      </c>
      <c r="C901" s="9">
        <f>IFERROR(__xludf.DUMMYFUNCTION("""COMPUTED_VALUE"""),3879.0)</f>
        <v>3879</v>
      </c>
      <c r="D901" s="9" t="str">
        <f>IFERROR(__xludf.DUMMYFUNCTION("""COMPUTED_VALUE"""),"Cancelled")</f>
        <v>Cancelled</v>
      </c>
    </row>
    <row r="902">
      <c r="A902" s="9" t="str">
        <f>IFERROR(__xludf.DUMMYFUNCTION("""COMPUTED_VALUE"""),"G-REQ-00901")</f>
        <v>G-REQ-00901</v>
      </c>
      <c r="B902" s="11">
        <f>IFERROR(__xludf.DUMMYFUNCTION("""COMPUTED_VALUE"""),45825.435833095784)</f>
        <v>45825.43583</v>
      </c>
      <c r="C902" s="9">
        <f>IFERROR(__xludf.DUMMYFUNCTION("""COMPUTED_VALUE"""),3881.0)</f>
        <v>3881</v>
      </c>
      <c r="D902" s="9" t="str">
        <f>IFERROR(__xludf.DUMMYFUNCTION("""COMPUTED_VALUE"""),"Cancelled")</f>
        <v>Cancelled</v>
      </c>
    </row>
    <row r="903">
      <c r="A903" s="9" t="str">
        <f>IFERROR(__xludf.DUMMYFUNCTION("""COMPUTED_VALUE"""),"G-REQ-00902")</f>
        <v>G-REQ-00902</v>
      </c>
      <c r="B903" s="11">
        <f>IFERROR(__xludf.DUMMYFUNCTION("""COMPUTED_VALUE"""),45825.51395238565)</f>
        <v>45825.51395</v>
      </c>
      <c r="C903" s="9">
        <f>IFERROR(__xludf.DUMMYFUNCTION("""COMPUTED_VALUE"""),3885.0)</f>
        <v>3885</v>
      </c>
      <c r="D903" s="9" t="str">
        <f>IFERROR(__xludf.DUMMYFUNCTION("""COMPUTED_VALUE"""),"Completed")</f>
        <v>Completed</v>
      </c>
    </row>
    <row r="904">
      <c r="A904" s="9" t="str">
        <f>IFERROR(__xludf.DUMMYFUNCTION("""COMPUTED_VALUE"""),"G-REQ-00903")</f>
        <v>G-REQ-00903</v>
      </c>
      <c r="B904" s="11">
        <f>IFERROR(__xludf.DUMMYFUNCTION("""COMPUTED_VALUE"""),45825.58512723106)</f>
        <v>45825.58513</v>
      </c>
      <c r="C904" s="9">
        <f>IFERROR(__xludf.DUMMYFUNCTION("""COMPUTED_VALUE"""),3889.0)</f>
        <v>3889</v>
      </c>
      <c r="D904" s="9" t="str">
        <f>IFERROR(__xludf.DUMMYFUNCTION("""COMPUTED_VALUE"""),"Completed")</f>
        <v>Completed</v>
      </c>
    </row>
    <row r="905">
      <c r="A905" s="9" t="str">
        <f>IFERROR(__xludf.DUMMYFUNCTION("""COMPUTED_VALUE"""),"G-REQ-00904")</f>
        <v>G-REQ-00904</v>
      </c>
      <c r="B905" s="11">
        <f>IFERROR(__xludf.DUMMYFUNCTION("""COMPUTED_VALUE"""),45825.65630207647)</f>
        <v>45825.6563</v>
      </c>
      <c r="C905" s="9">
        <f>IFERROR(__xludf.DUMMYFUNCTION("""COMPUTED_VALUE"""),3893.0)</f>
        <v>3893</v>
      </c>
      <c r="D905" s="9" t="str">
        <f>IFERROR(__xludf.DUMMYFUNCTION("""COMPUTED_VALUE"""),"Completed")</f>
        <v>Completed</v>
      </c>
    </row>
    <row r="906">
      <c r="A906" s="9" t="str">
        <f>IFERROR(__xludf.DUMMYFUNCTION("""COMPUTED_VALUE"""),"G-REQ-00905")</f>
        <v>G-REQ-00905</v>
      </c>
      <c r="B906" s="11">
        <f>IFERROR(__xludf.DUMMYFUNCTION("""COMPUTED_VALUE"""),45825.72747692189)</f>
        <v>45825.72748</v>
      </c>
      <c r="C906" s="9">
        <f>IFERROR(__xludf.DUMMYFUNCTION("""COMPUTED_VALUE"""),3897.0)</f>
        <v>3897</v>
      </c>
      <c r="D906" s="9" t="str">
        <f>IFERROR(__xludf.DUMMYFUNCTION("""COMPUTED_VALUE"""),"Completed")</f>
        <v>Completed</v>
      </c>
    </row>
    <row r="907">
      <c r="A907" s="9" t="str">
        <f>IFERROR(__xludf.DUMMYFUNCTION("""COMPUTED_VALUE"""),"G-REQ-00906")</f>
        <v>G-REQ-00906</v>
      </c>
      <c r="B907" s="11">
        <f>IFERROR(__xludf.DUMMYFUNCTION("""COMPUTED_VALUE"""),45825.79865176731)</f>
        <v>45825.79865</v>
      </c>
      <c r="C907" s="9">
        <f>IFERROR(__xludf.DUMMYFUNCTION("""COMPUTED_VALUE"""),3901.0)</f>
        <v>3901</v>
      </c>
      <c r="D907" s="9" t="str">
        <f>IFERROR(__xludf.DUMMYFUNCTION("""COMPUTED_VALUE"""),"Completed")</f>
        <v>Completed</v>
      </c>
    </row>
    <row r="908">
      <c r="A908" s="9" t="str">
        <f>IFERROR(__xludf.DUMMYFUNCTION("""COMPUTED_VALUE"""),"G-REQ-00907")</f>
        <v>G-REQ-00907</v>
      </c>
      <c r="B908" s="11">
        <f>IFERROR(__xludf.DUMMYFUNCTION("""COMPUTED_VALUE"""),45825.86982661272)</f>
        <v>45825.86983</v>
      </c>
      <c r="C908" s="9">
        <f>IFERROR(__xludf.DUMMYFUNCTION("""COMPUTED_VALUE"""),3905.0)</f>
        <v>3905</v>
      </c>
      <c r="D908" s="9" t="str">
        <f>IFERROR(__xludf.DUMMYFUNCTION("""COMPUTED_VALUE"""),"Completed")</f>
        <v>Completed</v>
      </c>
    </row>
    <row r="909">
      <c r="A909" s="9" t="str">
        <f>IFERROR(__xludf.DUMMYFUNCTION("""COMPUTED_VALUE"""),"G-REQ-00908")</f>
        <v>G-REQ-00908</v>
      </c>
      <c r="B909" s="11">
        <f>IFERROR(__xludf.DUMMYFUNCTION("""COMPUTED_VALUE"""),45825.94100145814)</f>
        <v>45825.941</v>
      </c>
      <c r="C909" s="9">
        <f>IFERROR(__xludf.DUMMYFUNCTION("""COMPUTED_VALUE"""),3909.0)</f>
        <v>3909</v>
      </c>
      <c r="D909" s="9" t="str">
        <f>IFERROR(__xludf.DUMMYFUNCTION("""COMPUTED_VALUE"""),"Completed")</f>
        <v>Completed</v>
      </c>
    </row>
    <row r="910">
      <c r="A910" s="9" t="str">
        <f>IFERROR(__xludf.DUMMYFUNCTION("""COMPUTED_VALUE"""),"G-REQ-00909")</f>
        <v>G-REQ-00909</v>
      </c>
      <c r="B910" s="11">
        <f>IFERROR(__xludf.DUMMYFUNCTION("""COMPUTED_VALUE"""),45826.01217630355)</f>
        <v>45826.01218</v>
      </c>
      <c r="C910" s="9">
        <f>IFERROR(__xludf.DUMMYFUNCTION("""COMPUTED_VALUE"""),3913.0)</f>
        <v>3913</v>
      </c>
      <c r="D910" s="9" t="str">
        <f>IFERROR(__xludf.DUMMYFUNCTION("""COMPUTED_VALUE"""),"Completed")</f>
        <v>Completed</v>
      </c>
    </row>
    <row r="911">
      <c r="A911" s="9" t="str">
        <f>IFERROR(__xludf.DUMMYFUNCTION("""COMPUTED_VALUE"""),"G-REQ-00910")</f>
        <v>G-REQ-00910</v>
      </c>
      <c r="B911" s="11">
        <f>IFERROR(__xludf.DUMMYFUNCTION("""COMPUTED_VALUE"""),45826.08335114897)</f>
        <v>45826.08335</v>
      </c>
      <c r="C911" s="9">
        <f>IFERROR(__xludf.DUMMYFUNCTION("""COMPUTED_VALUE"""),3917.0)</f>
        <v>3917</v>
      </c>
      <c r="D911" s="9" t="str">
        <f>IFERROR(__xludf.DUMMYFUNCTION("""COMPUTED_VALUE"""),"Completed")</f>
        <v>Completed</v>
      </c>
    </row>
    <row r="912">
      <c r="A912" s="9" t="str">
        <f>IFERROR(__xludf.DUMMYFUNCTION("""COMPUTED_VALUE"""),"G-REQ-00911")</f>
        <v>G-REQ-00911</v>
      </c>
      <c r="B912" s="11">
        <f>IFERROR(__xludf.DUMMYFUNCTION("""COMPUTED_VALUE"""),45826.15452599438)</f>
        <v>45826.15453</v>
      </c>
      <c r="C912" s="9">
        <f>IFERROR(__xludf.DUMMYFUNCTION("""COMPUTED_VALUE"""),3921.0)</f>
        <v>3921</v>
      </c>
      <c r="D912" s="9" t="str">
        <f>IFERROR(__xludf.DUMMYFUNCTION("""COMPUTED_VALUE"""),"Completed")</f>
        <v>Completed</v>
      </c>
    </row>
    <row r="913">
      <c r="A913" s="9" t="str">
        <f>IFERROR(__xludf.DUMMYFUNCTION("""COMPUTED_VALUE"""),"G-REQ-00912")</f>
        <v>G-REQ-00912</v>
      </c>
      <c r="B913" s="11">
        <f>IFERROR(__xludf.DUMMYFUNCTION("""COMPUTED_VALUE"""),45826.2257008398)</f>
        <v>45826.2257</v>
      </c>
      <c r="C913" s="9">
        <f>IFERROR(__xludf.DUMMYFUNCTION("""COMPUTED_VALUE"""),3925.0)</f>
        <v>3925</v>
      </c>
      <c r="D913" s="9" t="str">
        <f>IFERROR(__xludf.DUMMYFUNCTION("""COMPUTED_VALUE"""),"Completed")</f>
        <v>Completed</v>
      </c>
    </row>
    <row r="914">
      <c r="A914" s="9" t="str">
        <f>IFERROR(__xludf.DUMMYFUNCTION("""COMPUTED_VALUE"""),"G-REQ-00913")</f>
        <v>G-REQ-00913</v>
      </c>
      <c r="B914" s="11">
        <f>IFERROR(__xludf.DUMMYFUNCTION("""COMPUTED_VALUE"""),45826.296875685206)</f>
        <v>45826.29688</v>
      </c>
      <c r="C914" s="9">
        <f>IFERROR(__xludf.DUMMYFUNCTION("""COMPUTED_VALUE"""),3929.0)</f>
        <v>3929</v>
      </c>
      <c r="D914" s="9" t="str">
        <f>IFERROR(__xludf.DUMMYFUNCTION("""COMPUTED_VALUE"""),"Completed")</f>
        <v>Completed</v>
      </c>
    </row>
    <row r="915">
      <c r="A915" s="9" t="str">
        <f>IFERROR(__xludf.DUMMYFUNCTION("""COMPUTED_VALUE"""),"G-REQ-00914")</f>
        <v>G-REQ-00914</v>
      </c>
      <c r="B915" s="11">
        <f>IFERROR(__xludf.DUMMYFUNCTION("""COMPUTED_VALUE"""),45826.368050530626)</f>
        <v>45826.36805</v>
      </c>
      <c r="C915" s="9">
        <f>IFERROR(__xludf.DUMMYFUNCTION("""COMPUTED_VALUE"""),3933.0)</f>
        <v>3933</v>
      </c>
      <c r="D915" s="9" t="str">
        <f>IFERROR(__xludf.DUMMYFUNCTION("""COMPUTED_VALUE"""),"Completed")</f>
        <v>Completed</v>
      </c>
    </row>
    <row r="916">
      <c r="A916" s="9" t="str">
        <f>IFERROR(__xludf.DUMMYFUNCTION("""COMPUTED_VALUE"""),"G-REQ-00915")</f>
        <v>G-REQ-00915</v>
      </c>
      <c r="B916" s="11">
        <f>IFERROR(__xludf.DUMMYFUNCTION("""COMPUTED_VALUE"""),45826.439225376045)</f>
        <v>45826.43923</v>
      </c>
      <c r="C916" s="9">
        <f>IFERROR(__xludf.DUMMYFUNCTION("""COMPUTED_VALUE"""),3937.0)</f>
        <v>3937</v>
      </c>
      <c r="D916" s="9" t="str">
        <f>IFERROR(__xludf.DUMMYFUNCTION("""COMPUTED_VALUE"""),"Completed")</f>
        <v>Completed</v>
      </c>
    </row>
    <row r="917">
      <c r="A917" s="9" t="str">
        <f>IFERROR(__xludf.DUMMYFUNCTION("""COMPUTED_VALUE"""),"G-REQ-00916")</f>
        <v>G-REQ-00916</v>
      </c>
      <c r="B917" s="11">
        <f>IFERROR(__xludf.DUMMYFUNCTION("""COMPUTED_VALUE"""),45826.50345577701)</f>
        <v>45826.50346</v>
      </c>
      <c r="C917" s="9">
        <f>IFERROR(__xludf.DUMMYFUNCTION("""COMPUTED_VALUE"""),3939.0)</f>
        <v>3939</v>
      </c>
      <c r="D917" s="9" t="str">
        <f>IFERROR(__xludf.DUMMYFUNCTION("""COMPUTED_VALUE"""),"Cancelled")</f>
        <v>Cancelled</v>
      </c>
    </row>
    <row r="918">
      <c r="A918" s="9" t="str">
        <f>IFERROR(__xludf.DUMMYFUNCTION("""COMPUTED_VALUE"""),"G-REQ-00917")</f>
        <v>G-REQ-00917</v>
      </c>
      <c r="B918" s="11">
        <f>IFERROR(__xludf.DUMMYFUNCTION("""COMPUTED_VALUE"""),45826.58157506687)</f>
        <v>45826.58158</v>
      </c>
      <c r="C918" s="9">
        <f>IFERROR(__xludf.DUMMYFUNCTION("""COMPUTED_VALUE"""),3943.0)</f>
        <v>3943</v>
      </c>
      <c r="D918" s="9" t="str">
        <f>IFERROR(__xludf.DUMMYFUNCTION("""COMPUTED_VALUE"""),"Completed")</f>
        <v>Completed</v>
      </c>
    </row>
    <row r="919">
      <c r="A919" s="9" t="str">
        <f>IFERROR(__xludf.DUMMYFUNCTION("""COMPUTED_VALUE"""),"G-REQ-00918")</f>
        <v>G-REQ-00918</v>
      </c>
      <c r="B919" s="11">
        <f>IFERROR(__xludf.DUMMYFUNCTION("""COMPUTED_VALUE"""),45826.65274991229)</f>
        <v>45826.65275</v>
      </c>
      <c r="C919" s="9">
        <f>IFERROR(__xludf.DUMMYFUNCTION("""COMPUTED_VALUE"""),3947.0)</f>
        <v>3947</v>
      </c>
      <c r="D919" s="9" t="str">
        <f>IFERROR(__xludf.DUMMYFUNCTION("""COMPUTED_VALUE"""),"Completed")</f>
        <v>Completed</v>
      </c>
    </row>
    <row r="920">
      <c r="A920" s="9" t="str">
        <f>IFERROR(__xludf.DUMMYFUNCTION("""COMPUTED_VALUE"""),"G-REQ-00919")</f>
        <v>G-REQ-00919</v>
      </c>
      <c r="B920" s="11">
        <f>IFERROR(__xludf.DUMMYFUNCTION("""COMPUTED_VALUE"""),45826.7239247577)</f>
        <v>45826.72392</v>
      </c>
      <c r="C920" s="9">
        <f>IFERROR(__xludf.DUMMYFUNCTION("""COMPUTED_VALUE"""),3951.0)</f>
        <v>3951</v>
      </c>
      <c r="D920" s="9" t="str">
        <f>IFERROR(__xludf.DUMMYFUNCTION("""COMPUTED_VALUE"""),"Completed")</f>
        <v>Completed</v>
      </c>
    </row>
    <row r="921">
      <c r="A921" s="9" t="str">
        <f>IFERROR(__xludf.DUMMYFUNCTION("""COMPUTED_VALUE"""),"G-REQ-00920")</f>
        <v>G-REQ-00920</v>
      </c>
      <c r="B921" s="11">
        <f>IFERROR(__xludf.DUMMYFUNCTION("""COMPUTED_VALUE"""),45826.795099603114)</f>
        <v>45826.7951</v>
      </c>
      <c r="C921" s="9">
        <f>IFERROR(__xludf.DUMMYFUNCTION("""COMPUTED_VALUE"""),3955.0)</f>
        <v>3955</v>
      </c>
      <c r="D921" s="9" t="str">
        <f>IFERROR(__xludf.DUMMYFUNCTION("""COMPUTED_VALUE"""),"Completed")</f>
        <v>Completed</v>
      </c>
    </row>
    <row r="922">
      <c r="A922" s="9" t="str">
        <f>IFERROR(__xludf.DUMMYFUNCTION("""COMPUTED_VALUE"""),"G-REQ-00921")</f>
        <v>G-REQ-00921</v>
      </c>
      <c r="B922" s="11">
        <f>IFERROR(__xludf.DUMMYFUNCTION("""COMPUTED_VALUE"""),45826.866274448534)</f>
        <v>45826.86627</v>
      </c>
      <c r="C922" s="9">
        <f>IFERROR(__xludf.DUMMYFUNCTION("""COMPUTED_VALUE"""),3959.0)</f>
        <v>3959</v>
      </c>
      <c r="D922" s="9" t="str">
        <f>IFERROR(__xludf.DUMMYFUNCTION("""COMPUTED_VALUE"""),"Completed")</f>
        <v>Completed</v>
      </c>
    </row>
    <row r="923">
      <c r="A923" s="9" t="str">
        <f>IFERROR(__xludf.DUMMYFUNCTION("""COMPUTED_VALUE"""),"G-REQ-00922")</f>
        <v>G-REQ-00922</v>
      </c>
      <c r="B923" s="11">
        <f>IFERROR(__xludf.DUMMYFUNCTION("""COMPUTED_VALUE"""),45826.93744929395)</f>
        <v>45826.93745</v>
      </c>
      <c r="C923" s="9">
        <f>IFERROR(__xludf.DUMMYFUNCTION("""COMPUTED_VALUE"""),3963.0)</f>
        <v>3963</v>
      </c>
      <c r="D923" s="9" t="str">
        <f>IFERROR(__xludf.DUMMYFUNCTION("""COMPUTED_VALUE"""),"Completed")</f>
        <v>Completed</v>
      </c>
    </row>
    <row r="924">
      <c r="A924" s="9" t="str">
        <f>IFERROR(__xludf.DUMMYFUNCTION("""COMPUTED_VALUE"""),"G-REQ-00923")</f>
        <v>G-REQ-00923</v>
      </c>
      <c r="B924" s="11">
        <f>IFERROR(__xludf.DUMMYFUNCTION("""COMPUTED_VALUE"""),45827.00862413936)</f>
        <v>45827.00862</v>
      </c>
      <c r="C924" s="9">
        <f>IFERROR(__xludf.DUMMYFUNCTION("""COMPUTED_VALUE"""),3967.0)</f>
        <v>3967</v>
      </c>
      <c r="D924" s="9" t="str">
        <f>IFERROR(__xludf.DUMMYFUNCTION("""COMPUTED_VALUE"""),"Completed")</f>
        <v>Completed</v>
      </c>
    </row>
    <row r="925">
      <c r="A925" s="9" t="str">
        <f>IFERROR(__xludf.DUMMYFUNCTION("""COMPUTED_VALUE"""),"G-REQ-00924")</f>
        <v>G-REQ-00924</v>
      </c>
      <c r="B925" s="11">
        <f>IFERROR(__xludf.DUMMYFUNCTION("""COMPUTED_VALUE"""),45827.07979898478)</f>
        <v>45827.0798</v>
      </c>
      <c r="C925" s="9">
        <f>IFERROR(__xludf.DUMMYFUNCTION("""COMPUTED_VALUE"""),3971.0)</f>
        <v>3971</v>
      </c>
      <c r="D925" s="9" t="str">
        <f>IFERROR(__xludf.DUMMYFUNCTION("""COMPUTED_VALUE"""),"Completed")</f>
        <v>Completed</v>
      </c>
    </row>
    <row r="926">
      <c r="A926" s="9" t="str">
        <f>IFERROR(__xludf.DUMMYFUNCTION("""COMPUTED_VALUE"""),"G-REQ-00925")</f>
        <v>G-REQ-00925</v>
      </c>
      <c r="B926" s="11">
        <f>IFERROR(__xludf.DUMMYFUNCTION("""COMPUTED_VALUE"""),45827.1509738302)</f>
        <v>45827.15097</v>
      </c>
      <c r="C926" s="9">
        <f>IFERROR(__xludf.DUMMYFUNCTION("""COMPUTED_VALUE"""),3975.0)</f>
        <v>3975</v>
      </c>
      <c r="D926" s="9" t="str">
        <f>IFERROR(__xludf.DUMMYFUNCTION("""COMPUTED_VALUE"""),"Completed")</f>
        <v>Completed</v>
      </c>
    </row>
    <row r="927">
      <c r="A927" s="9" t="str">
        <f>IFERROR(__xludf.DUMMYFUNCTION("""COMPUTED_VALUE"""),"G-REQ-00926")</f>
        <v>G-REQ-00926</v>
      </c>
      <c r="B927" s="11">
        <f>IFERROR(__xludf.DUMMYFUNCTION("""COMPUTED_VALUE"""),45827.22214867561)</f>
        <v>45827.22215</v>
      </c>
      <c r="C927" s="9">
        <f>IFERROR(__xludf.DUMMYFUNCTION("""COMPUTED_VALUE"""),3979.0)</f>
        <v>3979</v>
      </c>
      <c r="D927" s="9" t="str">
        <f>IFERROR(__xludf.DUMMYFUNCTION("""COMPUTED_VALUE"""),"Completed")</f>
        <v>Completed</v>
      </c>
    </row>
    <row r="928">
      <c r="A928" s="9" t="str">
        <f>IFERROR(__xludf.DUMMYFUNCTION("""COMPUTED_VALUE"""),"G-REQ-00927")</f>
        <v>G-REQ-00927</v>
      </c>
      <c r="B928" s="11">
        <f>IFERROR(__xludf.DUMMYFUNCTION("""COMPUTED_VALUE"""),45827.29332352102)</f>
        <v>45827.29332</v>
      </c>
      <c r="C928" s="9">
        <f>IFERROR(__xludf.DUMMYFUNCTION("""COMPUTED_VALUE"""),3983.0)</f>
        <v>3983</v>
      </c>
      <c r="D928" s="9" t="str">
        <f>IFERROR(__xludf.DUMMYFUNCTION("""COMPUTED_VALUE"""),"Completed")</f>
        <v>Completed</v>
      </c>
    </row>
    <row r="929">
      <c r="A929" s="9" t="str">
        <f>IFERROR(__xludf.DUMMYFUNCTION("""COMPUTED_VALUE"""),"G-REQ-00928")</f>
        <v>G-REQ-00928</v>
      </c>
      <c r="B929" s="11">
        <f>IFERROR(__xludf.DUMMYFUNCTION("""COMPUTED_VALUE"""),45827.357553922)</f>
        <v>45827.35755</v>
      </c>
      <c r="C929" s="9">
        <f>IFERROR(__xludf.DUMMYFUNCTION("""COMPUTED_VALUE"""),3985.0)</f>
        <v>3985</v>
      </c>
      <c r="D929" s="9" t="str">
        <f>IFERROR(__xludf.DUMMYFUNCTION("""COMPUTED_VALUE"""),"Cancelled")</f>
        <v>Cancelled</v>
      </c>
    </row>
    <row r="930">
      <c r="A930" s="9" t="str">
        <f>IFERROR(__xludf.DUMMYFUNCTION("""COMPUTED_VALUE"""),"G-REQ-00929")</f>
        <v>G-REQ-00929</v>
      </c>
      <c r="B930" s="11">
        <f>IFERROR(__xludf.DUMMYFUNCTION("""COMPUTED_VALUE"""),45827.435673211854)</f>
        <v>45827.43567</v>
      </c>
      <c r="C930" s="9">
        <f>IFERROR(__xludf.DUMMYFUNCTION("""COMPUTED_VALUE"""),3989.0)</f>
        <v>3989</v>
      </c>
      <c r="D930" s="9" t="str">
        <f>IFERROR(__xludf.DUMMYFUNCTION("""COMPUTED_VALUE"""),"Completed")</f>
        <v>Completed</v>
      </c>
    </row>
    <row r="931">
      <c r="A931" s="9" t="str">
        <f>IFERROR(__xludf.DUMMYFUNCTION("""COMPUTED_VALUE"""),"G-REQ-00930")</f>
        <v>G-REQ-00930</v>
      </c>
      <c r="B931" s="11">
        <f>IFERROR(__xludf.DUMMYFUNCTION("""COMPUTED_VALUE"""),45827.49990361282)</f>
        <v>45827.4999</v>
      </c>
      <c r="C931" s="9">
        <f>IFERROR(__xludf.DUMMYFUNCTION("""COMPUTED_VALUE"""),3991.0)</f>
        <v>3991</v>
      </c>
      <c r="D931" s="9" t="str">
        <f>IFERROR(__xludf.DUMMYFUNCTION("""COMPUTED_VALUE"""),"Cancelled")</f>
        <v>Cancelled</v>
      </c>
    </row>
    <row r="932">
      <c r="A932" s="9" t="str">
        <f>IFERROR(__xludf.DUMMYFUNCTION("""COMPUTED_VALUE"""),"G-REQ-00931")</f>
        <v>G-REQ-00931</v>
      </c>
      <c r="B932" s="11">
        <f>IFERROR(__xludf.DUMMYFUNCTION("""COMPUTED_VALUE"""),45827.578022902686)</f>
        <v>45827.57802</v>
      </c>
      <c r="C932" s="9">
        <f>IFERROR(__xludf.DUMMYFUNCTION("""COMPUTED_VALUE"""),3995.0)</f>
        <v>3995</v>
      </c>
      <c r="D932" s="9" t="str">
        <f>IFERROR(__xludf.DUMMYFUNCTION("""COMPUTED_VALUE"""),"Completed")</f>
        <v>Completed</v>
      </c>
    </row>
    <row r="933">
      <c r="A933" s="9" t="str">
        <f>IFERROR(__xludf.DUMMYFUNCTION("""COMPUTED_VALUE"""),"G-REQ-00932")</f>
        <v>G-REQ-00932</v>
      </c>
      <c r="B933" s="11">
        <f>IFERROR(__xludf.DUMMYFUNCTION("""COMPUTED_VALUE"""),45827.64225330365)</f>
        <v>45827.64225</v>
      </c>
      <c r="C933" s="9">
        <f>IFERROR(__xludf.DUMMYFUNCTION("""COMPUTED_VALUE"""),3997.0)</f>
        <v>3997</v>
      </c>
      <c r="D933" s="9" t="str">
        <f>IFERROR(__xludf.DUMMYFUNCTION("""COMPUTED_VALUE"""),"Rejected")</f>
        <v>Rejected</v>
      </c>
    </row>
    <row r="934">
      <c r="A934" s="9" t="str">
        <f>IFERROR(__xludf.DUMMYFUNCTION("""COMPUTED_VALUE"""),"G-REQ-00933")</f>
        <v>G-REQ-00933</v>
      </c>
      <c r="B934" s="11">
        <f>IFERROR(__xludf.DUMMYFUNCTION("""COMPUTED_VALUE"""),45827.72037259351)</f>
        <v>45827.72037</v>
      </c>
      <c r="C934" s="9">
        <f>IFERROR(__xludf.DUMMYFUNCTION("""COMPUTED_VALUE"""),4001.0)</f>
        <v>4001</v>
      </c>
      <c r="D934" s="9" t="str">
        <f>IFERROR(__xludf.DUMMYFUNCTION("""COMPUTED_VALUE"""),"Completed")</f>
        <v>Completed</v>
      </c>
    </row>
    <row r="935">
      <c r="A935" s="9" t="str">
        <f>IFERROR(__xludf.DUMMYFUNCTION("""COMPUTED_VALUE"""),"G-REQ-00934")</f>
        <v>G-REQ-00934</v>
      </c>
      <c r="B935" s="11">
        <f>IFERROR(__xludf.DUMMYFUNCTION("""COMPUTED_VALUE"""),45827.79154743893)</f>
        <v>45827.79155</v>
      </c>
      <c r="C935" s="9">
        <f>IFERROR(__xludf.DUMMYFUNCTION("""COMPUTED_VALUE"""),4005.0)</f>
        <v>4005</v>
      </c>
      <c r="D935" s="9" t="str">
        <f>IFERROR(__xludf.DUMMYFUNCTION("""COMPUTED_VALUE"""),"Completed")</f>
        <v>Completed</v>
      </c>
    </row>
    <row r="936">
      <c r="A936" s="9" t="str">
        <f>IFERROR(__xludf.DUMMYFUNCTION("""COMPUTED_VALUE"""),"G-REQ-00935")</f>
        <v>G-REQ-00935</v>
      </c>
      <c r="B936" s="11">
        <f>IFERROR(__xludf.DUMMYFUNCTION("""COMPUTED_VALUE"""),45827.86272228434)</f>
        <v>45827.86272</v>
      </c>
      <c r="C936" s="9">
        <f>IFERROR(__xludf.DUMMYFUNCTION("""COMPUTED_VALUE"""),4009.0)</f>
        <v>4009</v>
      </c>
      <c r="D936" s="9" t="str">
        <f>IFERROR(__xludf.DUMMYFUNCTION("""COMPUTED_VALUE"""),"Completed")</f>
        <v>Completed</v>
      </c>
    </row>
    <row r="937">
      <c r="A937" s="9" t="str">
        <f>IFERROR(__xludf.DUMMYFUNCTION("""COMPUTED_VALUE"""),"G-REQ-00936")</f>
        <v>G-REQ-00936</v>
      </c>
      <c r="B937" s="11">
        <f>IFERROR(__xludf.DUMMYFUNCTION("""COMPUTED_VALUE"""),45827.933897129755)</f>
        <v>45827.9339</v>
      </c>
      <c r="C937" s="9">
        <f>IFERROR(__xludf.DUMMYFUNCTION("""COMPUTED_VALUE"""),4013.0)</f>
        <v>4013</v>
      </c>
      <c r="D937" s="9" t="str">
        <f>IFERROR(__xludf.DUMMYFUNCTION("""COMPUTED_VALUE"""),"Completed")</f>
        <v>Completed</v>
      </c>
    </row>
    <row r="938">
      <c r="A938" s="9" t="str">
        <f>IFERROR(__xludf.DUMMYFUNCTION("""COMPUTED_VALUE"""),"G-REQ-00937")</f>
        <v>G-REQ-00937</v>
      </c>
      <c r="B938" s="11">
        <f>IFERROR(__xludf.DUMMYFUNCTION("""COMPUTED_VALUE"""),45828.005071975174)</f>
        <v>45828.00507</v>
      </c>
      <c r="C938" s="9">
        <f>IFERROR(__xludf.DUMMYFUNCTION("""COMPUTED_VALUE"""),4017.0)</f>
        <v>4017</v>
      </c>
      <c r="D938" s="9" t="str">
        <f>IFERROR(__xludf.DUMMYFUNCTION("""COMPUTED_VALUE"""),"Completed")</f>
        <v>Completed</v>
      </c>
    </row>
    <row r="939">
      <c r="A939" s="9" t="str">
        <f>IFERROR(__xludf.DUMMYFUNCTION("""COMPUTED_VALUE"""),"G-REQ-00938")</f>
        <v>G-REQ-00938</v>
      </c>
      <c r="B939" s="11">
        <f>IFERROR(__xludf.DUMMYFUNCTION("""COMPUTED_VALUE"""),45828.076246820594)</f>
        <v>45828.07625</v>
      </c>
      <c r="C939" s="9">
        <f>IFERROR(__xludf.DUMMYFUNCTION("""COMPUTED_VALUE"""),4021.0)</f>
        <v>4021</v>
      </c>
      <c r="D939" s="9" t="str">
        <f>IFERROR(__xludf.DUMMYFUNCTION("""COMPUTED_VALUE"""),"Completed")</f>
        <v>Completed</v>
      </c>
    </row>
    <row r="940">
      <c r="A940" s="9" t="str">
        <f>IFERROR(__xludf.DUMMYFUNCTION("""COMPUTED_VALUE"""),"G-REQ-00939")</f>
        <v>G-REQ-00939</v>
      </c>
      <c r="B940" s="11">
        <f>IFERROR(__xludf.DUMMYFUNCTION("""COMPUTED_VALUE"""),45828.147421666)</f>
        <v>45828.14742</v>
      </c>
      <c r="C940" s="9">
        <f>IFERROR(__xludf.DUMMYFUNCTION("""COMPUTED_VALUE"""),4025.0)</f>
        <v>4025</v>
      </c>
      <c r="D940" s="9" t="str">
        <f>IFERROR(__xludf.DUMMYFUNCTION("""COMPUTED_VALUE"""),"Completed")</f>
        <v>Completed</v>
      </c>
    </row>
    <row r="941">
      <c r="A941" s="9" t="str">
        <f>IFERROR(__xludf.DUMMYFUNCTION("""COMPUTED_VALUE"""),"G-REQ-00940")</f>
        <v>G-REQ-00940</v>
      </c>
      <c r="B941" s="11">
        <f>IFERROR(__xludf.DUMMYFUNCTION("""COMPUTED_VALUE"""),45828.21859651142)</f>
        <v>45828.2186</v>
      </c>
      <c r="C941" s="9">
        <f>IFERROR(__xludf.DUMMYFUNCTION("""COMPUTED_VALUE"""),4029.0)</f>
        <v>4029</v>
      </c>
      <c r="D941" s="9" t="str">
        <f>IFERROR(__xludf.DUMMYFUNCTION("""COMPUTED_VALUE"""),"Completed")</f>
        <v>Completed</v>
      </c>
    </row>
    <row r="942">
      <c r="A942" s="9" t="str">
        <f>IFERROR(__xludf.DUMMYFUNCTION("""COMPUTED_VALUE"""),"G-REQ-00941")</f>
        <v>G-REQ-00941</v>
      </c>
      <c r="B942" s="11">
        <f>IFERROR(__xludf.DUMMYFUNCTION("""COMPUTED_VALUE"""),45828.28977135684)</f>
        <v>45828.28977</v>
      </c>
      <c r="C942" s="9">
        <f>IFERROR(__xludf.DUMMYFUNCTION("""COMPUTED_VALUE"""),4033.0)</f>
        <v>4033</v>
      </c>
      <c r="D942" s="9" t="str">
        <f>IFERROR(__xludf.DUMMYFUNCTION("""COMPUTED_VALUE"""),"Completed")</f>
        <v>Completed</v>
      </c>
    </row>
    <row r="943">
      <c r="A943" s="9" t="str">
        <f>IFERROR(__xludf.DUMMYFUNCTION("""COMPUTED_VALUE"""),"G-REQ-00942")</f>
        <v>G-REQ-00942</v>
      </c>
      <c r="B943" s="11">
        <f>IFERROR(__xludf.DUMMYFUNCTION("""COMPUTED_VALUE"""),45828.36094620225)</f>
        <v>45828.36095</v>
      </c>
      <c r="C943" s="9">
        <f>IFERROR(__xludf.DUMMYFUNCTION("""COMPUTED_VALUE"""),4037.0)</f>
        <v>4037</v>
      </c>
      <c r="D943" s="9" t="str">
        <f>IFERROR(__xludf.DUMMYFUNCTION("""COMPUTED_VALUE"""),"Completed")</f>
        <v>Completed</v>
      </c>
    </row>
    <row r="944">
      <c r="A944" s="9" t="str">
        <f>IFERROR(__xludf.DUMMYFUNCTION("""COMPUTED_VALUE"""),"G-REQ-00943")</f>
        <v>G-REQ-00943</v>
      </c>
      <c r="B944" s="11">
        <f>IFERROR(__xludf.DUMMYFUNCTION("""COMPUTED_VALUE"""),45828.43212104766)</f>
        <v>45828.43212</v>
      </c>
      <c r="C944" s="9">
        <f>IFERROR(__xludf.DUMMYFUNCTION("""COMPUTED_VALUE"""),4041.0)</f>
        <v>4041</v>
      </c>
      <c r="D944" s="9" t="str">
        <f>IFERROR(__xludf.DUMMYFUNCTION("""COMPUTED_VALUE"""),"Completed")</f>
        <v>Completed</v>
      </c>
    </row>
    <row r="945">
      <c r="A945" s="9" t="str">
        <f>IFERROR(__xludf.DUMMYFUNCTION("""COMPUTED_VALUE"""),"G-REQ-00944")</f>
        <v>G-REQ-00944</v>
      </c>
      <c r="B945" s="11">
        <f>IFERROR(__xludf.DUMMYFUNCTION("""COMPUTED_VALUE"""),45828.50329589308)</f>
        <v>45828.5033</v>
      </c>
      <c r="C945" s="9">
        <f>IFERROR(__xludf.DUMMYFUNCTION("""COMPUTED_VALUE"""),4045.0)</f>
        <v>4045</v>
      </c>
      <c r="D945" s="9" t="str">
        <f>IFERROR(__xludf.DUMMYFUNCTION("""COMPUTED_VALUE"""),"Completed")</f>
        <v>Completed</v>
      </c>
    </row>
    <row r="946">
      <c r="A946" s="9" t="str">
        <f>IFERROR(__xludf.DUMMYFUNCTION("""COMPUTED_VALUE"""),"G-REQ-00945")</f>
        <v>G-REQ-00945</v>
      </c>
      <c r="B946" s="11">
        <f>IFERROR(__xludf.DUMMYFUNCTION("""COMPUTED_VALUE"""),45828.56752629405)</f>
        <v>45828.56753</v>
      </c>
      <c r="C946" s="9">
        <f>IFERROR(__xludf.DUMMYFUNCTION("""COMPUTED_VALUE"""),4047.0)</f>
        <v>4047</v>
      </c>
      <c r="D946" s="9" t="str">
        <f>IFERROR(__xludf.DUMMYFUNCTION("""COMPUTED_VALUE"""),"Cancelled")</f>
        <v>Cancelled</v>
      </c>
    </row>
    <row r="947">
      <c r="A947" s="9" t="str">
        <f>IFERROR(__xludf.DUMMYFUNCTION("""COMPUTED_VALUE"""),"G-REQ-00946")</f>
        <v>G-REQ-00946</v>
      </c>
      <c r="B947" s="11">
        <f>IFERROR(__xludf.DUMMYFUNCTION("""COMPUTED_VALUE"""),45828.64564558391)</f>
        <v>45828.64565</v>
      </c>
      <c r="C947" s="9">
        <f>IFERROR(__xludf.DUMMYFUNCTION("""COMPUTED_VALUE"""),4051.0)</f>
        <v>4051</v>
      </c>
      <c r="D947" s="9" t="str">
        <f>IFERROR(__xludf.DUMMYFUNCTION("""COMPUTED_VALUE"""),"Completed")</f>
        <v>Completed</v>
      </c>
    </row>
    <row r="948">
      <c r="A948" s="9" t="str">
        <f>IFERROR(__xludf.DUMMYFUNCTION("""COMPUTED_VALUE"""),"G-REQ-00947")</f>
        <v>G-REQ-00947</v>
      </c>
      <c r="B948" s="11">
        <f>IFERROR(__xludf.DUMMYFUNCTION("""COMPUTED_VALUE"""),45828.71682042933)</f>
        <v>45828.71682</v>
      </c>
      <c r="C948" s="9">
        <f>IFERROR(__xludf.DUMMYFUNCTION("""COMPUTED_VALUE"""),4055.0)</f>
        <v>4055</v>
      </c>
      <c r="D948" s="9" t="str">
        <f>IFERROR(__xludf.DUMMYFUNCTION("""COMPUTED_VALUE"""),"Completed")</f>
        <v>Completed</v>
      </c>
    </row>
    <row r="949">
      <c r="A949" s="9" t="str">
        <f>IFERROR(__xludf.DUMMYFUNCTION("""COMPUTED_VALUE"""),"G-REQ-00948")</f>
        <v>G-REQ-00948</v>
      </c>
      <c r="B949" s="11">
        <f>IFERROR(__xludf.DUMMYFUNCTION("""COMPUTED_VALUE"""),45828.787995274746)</f>
        <v>45828.788</v>
      </c>
      <c r="C949" s="9">
        <f>IFERROR(__xludf.DUMMYFUNCTION("""COMPUTED_VALUE"""),4059.0)</f>
        <v>4059</v>
      </c>
      <c r="D949" s="9" t="str">
        <f>IFERROR(__xludf.DUMMYFUNCTION("""COMPUTED_VALUE"""),"Completed")</f>
        <v>Completed</v>
      </c>
    </row>
    <row r="950">
      <c r="A950" s="9" t="str">
        <f>IFERROR(__xludf.DUMMYFUNCTION("""COMPUTED_VALUE"""),"G-REQ-00949")</f>
        <v>G-REQ-00949</v>
      </c>
      <c r="B950" s="11">
        <f>IFERROR(__xludf.DUMMYFUNCTION("""COMPUTED_VALUE"""),45828.85917012015)</f>
        <v>45828.85917</v>
      </c>
      <c r="C950" s="9">
        <f>IFERROR(__xludf.DUMMYFUNCTION("""COMPUTED_VALUE"""),4063.0)</f>
        <v>4063</v>
      </c>
      <c r="D950" s="9" t="str">
        <f>IFERROR(__xludf.DUMMYFUNCTION("""COMPUTED_VALUE"""),"Completed")</f>
        <v>Completed</v>
      </c>
    </row>
    <row r="951">
      <c r="A951" s="9" t="str">
        <f>IFERROR(__xludf.DUMMYFUNCTION("""COMPUTED_VALUE"""),"G-REQ-00950")</f>
        <v>G-REQ-00950</v>
      </c>
      <c r="B951" s="11">
        <f>IFERROR(__xludf.DUMMYFUNCTION("""COMPUTED_VALUE"""),45828.93034496557)</f>
        <v>45828.93034</v>
      </c>
      <c r="C951" s="9">
        <f>IFERROR(__xludf.DUMMYFUNCTION("""COMPUTED_VALUE"""),4067.0)</f>
        <v>4067</v>
      </c>
      <c r="D951" s="9" t="str">
        <f>IFERROR(__xludf.DUMMYFUNCTION("""COMPUTED_VALUE"""),"Completed")</f>
        <v>Completed</v>
      </c>
    </row>
    <row r="952">
      <c r="A952" s="9" t="str">
        <f>IFERROR(__xludf.DUMMYFUNCTION("""COMPUTED_VALUE"""),"G-REQ-00951")</f>
        <v>G-REQ-00951</v>
      </c>
      <c r="B952" s="11">
        <f>IFERROR(__xludf.DUMMYFUNCTION("""COMPUTED_VALUE"""),45829.00151981098)</f>
        <v>45829.00152</v>
      </c>
      <c r="C952" s="9">
        <f>IFERROR(__xludf.DUMMYFUNCTION("""COMPUTED_VALUE"""),4071.0)</f>
        <v>4071</v>
      </c>
      <c r="D952" s="9" t="str">
        <f>IFERROR(__xludf.DUMMYFUNCTION("""COMPUTED_VALUE"""),"Completed")</f>
        <v>Completed</v>
      </c>
    </row>
    <row r="953">
      <c r="A953" s="9" t="str">
        <f>IFERROR(__xludf.DUMMYFUNCTION("""COMPUTED_VALUE"""),"G-REQ-00952")</f>
        <v>G-REQ-00952</v>
      </c>
      <c r="B953" s="11">
        <f>IFERROR(__xludf.DUMMYFUNCTION("""COMPUTED_VALUE"""),45829.0726946564)</f>
        <v>45829.07269</v>
      </c>
      <c r="C953" s="9">
        <f>IFERROR(__xludf.DUMMYFUNCTION("""COMPUTED_VALUE"""),4075.0)</f>
        <v>4075</v>
      </c>
      <c r="D953" s="9" t="str">
        <f>IFERROR(__xludf.DUMMYFUNCTION("""COMPUTED_VALUE"""),"Completed")</f>
        <v>Completed</v>
      </c>
    </row>
    <row r="954">
      <c r="A954" s="9" t="str">
        <f>IFERROR(__xludf.DUMMYFUNCTION("""COMPUTED_VALUE"""),"G-REQ-00953")</f>
        <v>G-REQ-00953</v>
      </c>
      <c r="B954" s="11">
        <f>IFERROR(__xludf.DUMMYFUNCTION("""COMPUTED_VALUE"""),45829.13692505737)</f>
        <v>45829.13693</v>
      </c>
      <c r="C954" s="9">
        <f>IFERROR(__xludf.DUMMYFUNCTION("""COMPUTED_VALUE"""),4077.0)</f>
        <v>4077</v>
      </c>
      <c r="D954" s="9" t="str">
        <f>IFERROR(__xludf.DUMMYFUNCTION("""COMPUTED_VALUE"""),"Rejected")</f>
        <v>Rejected</v>
      </c>
    </row>
    <row r="955">
      <c r="A955" s="9" t="str">
        <f>IFERROR(__xludf.DUMMYFUNCTION("""COMPUTED_VALUE"""),"G-REQ-00954")</f>
        <v>G-REQ-00954</v>
      </c>
      <c r="B955" s="11">
        <f>IFERROR(__xludf.DUMMYFUNCTION("""COMPUTED_VALUE"""),45829.215044347235)</f>
        <v>45829.21504</v>
      </c>
      <c r="C955" s="9">
        <f>IFERROR(__xludf.DUMMYFUNCTION("""COMPUTED_VALUE"""),4081.0)</f>
        <v>4081</v>
      </c>
      <c r="D955" s="9" t="str">
        <f>IFERROR(__xludf.DUMMYFUNCTION("""COMPUTED_VALUE"""),"Completed")</f>
        <v>Completed</v>
      </c>
    </row>
    <row r="956">
      <c r="A956" s="9" t="str">
        <f>IFERROR(__xludf.DUMMYFUNCTION("""COMPUTED_VALUE"""),"G-REQ-00955")</f>
        <v>G-REQ-00955</v>
      </c>
      <c r="B956" s="11">
        <f>IFERROR(__xludf.DUMMYFUNCTION("""COMPUTED_VALUE"""),45829.28621919264)</f>
        <v>45829.28622</v>
      </c>
      <c r="C956" s="9">
        <f>IFERROR(__xludf.DUMMYFUNCTION("""COMPUTED_VALUE"""),4085.0)</f>
        <v>4085</v>
      </c>
      <c r="D956" s="9" t="str">
        <f>IFERROR(__xludf.DUMMYFUNCTION("""COMPUTED_VALUE"""),"Completed")</f>
        <v>Completed</v>
      </c>
    </row>
    <row r="957">
      <c r="A957" s="9" t="str">
        <f>IFERROR(__xludf.DUMMYFUNCTION("""COMPUTED_VALUE"""),"G-REQ-00956")</f>
        <v>G-REQ-00956</v>
      </c>
      <c r="B957" s="11">
        <f>IFERROR(__xludf.DUMMYFUNCTION("""COMPUTED_VALUE"""),45829.35739403806)</f>
        <v>45829.35739</v>
      </c>
      <c r="C957" s="9">
        <f>IFERROR(__xludf.DUMMYFUNCTION("""COMPUTED_VALUE"""),4089.0)</f>
        <v>4089</v>
      </c>
      <c r="D957" s="9" t="str">
        <f>IFERROR(__xludf.DUMMYFUNCTION("""COMPUTED_VALUE"""),"Completed")</f>
        <v>Completed</v>
      </c>
    </row>
    <row r="958">
      <c r="A958" s="9" t="str">
        <f>IFERROR(__xludf.DUMMYFUNCTION("""COMPUTED_VALUE"""),"G-REQ-00957")</f>
        <v>G-REQ-00957</v>
      </c>
      <c r="B958" s="11">
        <f>IFERROR(__xludf.DUMMYFUNCTION("""COMPUTED_VALUE"""),45829.42856888348)</f>
        <v>45829.42857</v>
      </c>
      <c r="C958" s="9">
        <f>IFERROR(__xludf.DUMMYFUNCTION("""COMPUTED_VALUE"""),4093.0)</f>
        <v>4093</v>
      </c>
      <c r="D958" s="9" t="str">
        <f>IFERROR(__xludf.DUMMYFUNCTION("""COMPUTED_VALUE"""),"Completed")</f>
        <v>Completed</v>
      </c>
    </row>
    <row r="959">
      <c r="A959" s="9" t="str">
        <f>IFERROR(__xludf.DUMMYFUNCTION("""COMPUTED_VALUE"""),"G-REQ-00958")</f>
        <v>G-REQ-00958</v>
      </c>
      <c r="B959" s="11">
        <f>IFERROR(__xludf.DUMMYFUNCTION("""COMPUTED_VALUE"""),45829.49974372889)</f>
        <v>45829.49974</v>
      </c>
      <c r="C959" s="9">
        <f>IFERROR(__xludf.DUMMYFUNCTION("""COMPUTED_VALUE"""),4097.0)</f>
        <v>4097</v>
      </c>
      <c r="D959" s="9" t="str">
        <f>IFERROR(__xludf.DUMMYFUNCTION("""COMPUTED_VALUE"""),"Completed")</f>
        <v>Completed</v>
      </c>
    </row>
    <row r="960">
      <c r="A960" s="9" t="str">
        <f>IFERROR(__xludf.DUMMYFUNCTION("""COMPUTED_VALUE"""),"G-REQ-00959")</f>
        <v>G-REQ-00959</v>
      </c>
      <c r="B960" s="11">
        <f>IFERROR(__xludf.DUMMYFUNCTION("""COMPUTED_VALUE"""),45829.5709185743)</f>
        <v>45829.57092</v>
      </c>
      <c r="C960" s="9">
        <f>IFERROR(__xludf.DUMMYFUNCTION("""COMPUTED_VALUE"""),4101.0)</f>
        <v>4101</v>
      </c>
      <c r="D960" s="9" t="str">
        <f>IFERROR(__xludf.DUMMYFUNCTION("""COMPUTED_VALUE"""),"Completed")</f>
        <v>Completed</v>
      </c>
    </row>
    <row r="961">
      <c r="A961" s="9" t="str">
        <f>IFERROR(__xludf.DUMMYFUNCTION("""COMPUTED_VALUE"""),"G-REQ-00960")</f>
        <v>G-REQ-00960</v>
      </c>
      <c r="B961" s="11">
        <f>IFERROR(__xludf.DUMMYFUNCTION("""COMPUTED_VALUE"""),45829.63514897528)</f>
        <v>45829.63515</v>
      </c>
      <c r="C961" s="9">
        <f>IFERROR(__xludf.DUMMYFUNCTION("""COMPUTED_VALUE"""),4103.0)</f>
        <v>4103</v>
      </c>
      <c r="D961" s="9" t="str">
        <f>IFERROR(__xludf.DUMMYFUNCTION("""COMPUTED_VALUE"""),"Rejected")</f>
        <v>Rejected</v>
      </c>
    </row>
    <row r="962">
      <c r="A962" s="9" t="str">
        <f>IFERROR(__xludf.DUMMYFUNCTION("""COMPUTED_VALUE"""),"G-REQ-00961")</f>
        <v>G-REQ-00961</v>
      </c>
      <c r="B962" s="11">
        <f>IFERROR(__xludf.DUMMYFUNCTION("""COMPUTED_VALUE"""),45829.713268265135)</f>
        <v>45829.71327</v>
      </c>
      <c r="C962" s="9">
        <f>IFERROR(__xludf.DUMMYFUNCTION("""COMPUTED_VALUE"""),4107.0)</f>
        <v>4107</v>
      </c>
      <c r="D962" s="9" t="str">
        <f>IFERROR(__xludf.DUMMYFUNCTION("""COMPUTED_VALUE"""),"Completed")</f>
        <v>Completed</v>
      </c>
    </row>
    <row r="963">
      <c r="A963" s="9" t="str">
        <f>IFERROR(__xludf.DUMMYFUNCTION("""COMPUTED_VALUE"""),"G-REQ-00962")</f>
        <v>G-REQ-00962</v>
      </c>
      <c r="B963" s="11">
        <f>IFERROR(__xludf.DUMMYFUNCTION("""COMPUTED_VALUE"""),45829.78444311055)</f>
        <v>45829.78444</v>
      </c>
      <c r="C963" s="9">
        <f>IFERROR(__xludf.DUMMYFUNCTION("""COMPUTED_VALUE"""),4111.0)</f>
        <v>4111</v>
      </c>
      <c r="D963" s="9" t="str">
        <f>IFERROR(__xludf.DUMMYFUNCTION("""COMPUTED_VALUE"""),"Completed")</f>
        <v>Completed</v>
      </c>
    </row>
    <row r="964">
      <c r="A964" s="9" t="str">
        <f>IFERROR(__xludf.DUMMYFUNCTION("""COMPUTED_VALUE"""),"G-REQ-00963")</f>
        <v>G-REQ-00963</v>
      </c>
      <c r="B964" s="11">
        <f>IFERROR(__xludf.DUMMYFUNCTION("""COMPUTED_VALUE"""),45829.85561795597)</f>
        <v>45829.85562</v>
      </c>
      <c r="C964" s="9">
        <f>IFERROR(__xludf.DUMMYFUNCTION("""COMPUTED_VALUE"""),4115.0)</f>
        <v>4115</v>
      </c>
      <c r="D964" s="9" t="str">
        <f>IFERROR(__xludf.DUMMYFUNCTION("""COMPUTED_VALUE"""),"Completed")</f>
        <v>Completed</v>
      </c>
    </row>
    <row r="965">
      <c r="A965" s="9" t="str">
        <f>IFERROR(__xludf.DUMMYFUNCTION("""COMPUTED_VALUE"""),"G-REQ-00964")</f>
        <v>G-REQ-00964</v>
      </c>
      <c r="B965" s="11">
        <f>IFERROR(__xludf.DUMMYFUNCTION("""COMPUTED_VALUE"""),45829.92679280139)</f>
        <v>45829.92679</v>
      </c>
      <c r="C965" s="9">
        <f>IFERROR(__xludf.DUMMYFUNCTION("""COMPUTED_VALUE"""),4119.0)</f>
        <v>4119</v>
      </c>
      <c r="D965" s="9" t="str">
        <f>IFERROR(__xludf.DUMMYFUNCTION("""COMPUTED_VALUE"""),"Completed")</f>
        <v>Completed</v>
      </c>
    </row>
    <row r="966">
      <c r="A966" s="9" t="str">
        <f>IFERROR(__xludf.DUMMYFUNCTION("""COMPUTED_VALUE"""),"G-REQ-00965")</f>
        <v>G-REQ-00965</v>
      </c>
      <c r="B966" s="11">
        <f>IFERROR(__xludf.DUMMYFUNCTION("""COMPUTED_VALUE"""),45829.99102320235)</f>
        <v>45829.99102</v>
      </c>
      <c r="C966" s="9">
        <f>IFERROR(__xludf.DUMMYFUNCTION("""COMPUTED_VALUE"""),4121.0)</f>
        <v>4121</v>
      </c>
      <c r="D966" s="9" t="str">
        <f>IFERROR(__xludf.DUMMYFUNCTION("""COMPUTED_VALUE"""),"Cancelled")</f>
        <v>Cancelled</v>
      </c>
    </row>
    <row r="967">
      <c r="A967" s="9" t="str">
        <f>IFERROR(__xludf.DUMMYFUNCTION("""COMPUTED_VALUE"""),"G-REQ-00966")</f>
        <v>G-REQ-00966</v>
      </c>
      <c r="B967" s="11">
        <f>IFERROR(__xludf.DUMMYFUNCTION("""COMPUTED_VALUE"""),45830.062198047766)</f>
        <v>45830.0622</v>
      </c>
      <c r="C967" s="9">
        <f>IFERROR(__xludf.DUMMYFUNCTION("""COMPUTED_VALUE"""),4123.0)</f>
        <v>4123</v>
      </c>
      <c r="D967" s="9" t="str">
        <f>IFERROR(__xludf.DUMMYFUNCTION("""COMPUTED_VALUE"""),"Rejected")</f>
        <v>Rejected</v>
      </c>
    </row>
    <row r="968">
      <c r="A968" s="9" t="str">
        <f>IFERROR(__xludf.DUMMYFUNCTION("""COMPUTED_VALUE"""),"G-REQ-00967")</f>
        <v>G-REQ-00967</v>
      </c>
      <c r="B968" s="11">
        <f>IFERROR(__xludf.DUMMYFUNCTION("""COMPUTED_VALUE"""),45830.14031733763)</f>
        <v>45830.14032</v>
      </c>
      <c r="C968" s="9">
        <f>IFERROR(__xludf.DUMMYFUNCTION("""COMPUTED_VALUE"""),4127.0)</f>
        <v>4127</v>
      </c>
      <c r="D968" s="9" t="str">
        <f>IFERROR(__xludf.DUMMYFUNCTION("""COMPUTED_VALUE"""),"Completed")</f>
        <v>Completed</v>
      </c>
    </row>
    <row r="969">
      <c r="A969" s="9" t="str">
        <f>IFERROR(__xludf.DUMMYFUNCTION("""COMPUTED_VALUE"""),"G-REQ-00968")</f>
        <v>G-REQ-00968</v>
      </c>
      <c r="B969" s="11">
        <f>IFERROR(__xludf.DUMMYFUNCTION("""COMPUTED_VALUE"""),45830.21149218304)</f>
        <v>45830.21149</v>
      </c>
      <c r="C969" s="9">
        <f>IFERROR(__xludf.DUMMYFUNCTION("""COMPUTED_VALUE"""),4131.0)</f>
        <v>4131</v>
      </c>
      <c r="D969" s="9" t="str">
        <f>IFERROR(__xludf.DUMMYFUNCTION("""COMPUTED_VALUE"""),"Completed")</f>
        <v>Completed</v>
      </c>
    </row>
    <row r="970">
      <c r="A970" s="9" t="str">
        <f>IFERROR(__xludf.DUMMYFUNCTION("""COMPUTED_VALUE"""),"G-REQ-00969")</f>
        <v>G-REQ-00969</v>
      </c>
      <c r="B970" s="11">
        <f>IFERROR(__xludf.DUMMYFUNCTION("""COMPUTED_VALUE"""),45830.282667028456)</f>
        <v>45830.28267</v>
      </c>
      <c r="C970" s="9">
        <f>IFERROR(__xludf.DUMMYFUNCTION("""COMPUTED_VALUE"""),4135.0)</f>
        <v>4135</v>
      </c>
      <c r="D970" s="9" t="str">
        <f>IFERROR(__xludf.DUMMYFUNCTION("""COMPUTED_VALUE"""),"Completed")</f>
        <v>Completed</v>
      </c>
    </row>
    <row r="971">
      <c r="A971" s="9" t="str">
        <f>IFERROR(__xludf.DUMMYFUNCTION("""COMPUTED_VALUE"""),"G-REQ-00970")</f>
        <v>G-REQ-00970</v>
      </c>
      <c r="B971" s="11">
        <f>IFERROR(__xludf.DUMMYFUNCTION("""COMPUTED_VALUE"""),45830.353841873875)</f>
        <v>45830.35384</v>
      </c>
      <c r="C971" s="9">
        <f>IFERROR(__xludf.DUMMYFUNCTION("""COMPUTED_VALUE"""),4139.0)</f>
        <v>4139</v>
      </c>
      <c r="D971" s="9" t="str">
        <f>IFERROR(__xludf.DUMMYFUNCTION("""COMPUTED_VALUE"""),"Completed")</f>
        <v>Completed</v>
      </c>
    </row>
    <row r="972">
      <c r="A972" s="9" t="str">
        <f>IFERROR(__xludf.DUMMYFUNCTION("""COMPUTED_VALUE"""),"G-REQ-00971")</f>
        <v>G-REQ-00971</v>
      </c>
      <c r="B972" s="11">
        <f>IFERROR(__xludf.DUMMYFUNCTION("""COMPUTED_VALUE"""),45830.42501671929)</f>
        <v>45830.42502</v>
      </c>
      <c r="C972" s="9">
        <f>IFERROR(__xludf.DUMMYFUNCTION("""COMPUTED_VALUE"""),4143.0)</f>
        <v>4143</v>
      </c>
      <c r="D972" s="9" t="str">
        <f>IFERROR(__xludf.DUMMYFUNCTION("""COMPUTED_VALUE"""),"Completed")</f>
        <v>Completed</v>
      </c>
    </row>
    <row r="973">
      <c r="A973" s="9" t="str">
        <f>IFERROR(__xludf.DUMMYFUNCTION("""COMPUTED_VALUE"""),"G-REQ-00972")</f>
        <v>G-REQ-00972</v>
      </c>
      <c r="B973" s="11">
        <f>IFERROR(__xludf.DUMMYFUNCTION("""COMPUTED_VALUE"""),45830.4961915647)</f>
        <v>45830.49619</v>
      </c>
      <c r="C973" s="9">
        <f>IFERROR(__xludf.DUMMYFUNCTION("""COMPUTED_VALUE"""),4147.0)</f>
        <v>4147</v>
      </c>
      <c r="D973" s="9" t="str">
        <f>IFERROR(__xludf.DUMMYFUNCTION("""COMPUTED_VALUE"""),"Completed")</f>
        <v>Completed</v>
      </c>
    </row>
    <row r="974">
      <c r="A974" s="9" t="str">
        <f>IFERROR(__xludf.DUMMYFUNCTION("""COMPUTED_VALUE"""),"G-REQ-00973")</f>
        <v>G-REQ-00973</v>
      </c>
      <c r="B974" s="11">
        <f>IFERROR(__xludf.DUMMYFUNCTION("""COMPUTED_VALUE"""),45830.56736641012)</f>
        <v>45830.56737</v>
      </c>
      <c r="C974" s="9">
        <f>IFERROR(__xludf.DUMMYFUNCTION("""COMPUTED_VALUE"""),4151.0)</f>
        <v>4151</v>
      </c>
      <c r="D974" s="9" t="str">
        <f>IFERROR(__xludf.DUMMYFUNCTION("""COMPUTED_VALUE"""),"Completed")</f>
        <v>Completed</v>
      </c>
    </row>
    <row r="975">
      <c r="A975" s="9" t="str">
        <f>IFERROR(__xludf.DUMMYFUNCTION("""COMPUTED_VALUE"""),"G-REQ-00974")</f>
        <v>G-REQ-00974</v>
      </c>
      <c r="B975" s="11">
        <f>IFERROR(__xludf.DUMMYFUNCTION("""COMPUTED_VALUE"""),45830.63854125553)</f>
        <v>45830.63854</v>
      </c>
      <c r="C975" s="9">
        <f>IFERROR(__xludf.DUMMYFUNCTION("""COMPUTED_VALUE"""),4155.0)</f>
        <v>4155</v>
      </c>
      <c r="D975" s="9" t="str">
        <f>IFERROR(__xludf.DUMMYFUNCTION("""COMPUTED_VALUE"""),"Completed")</f>
        <v>Completed</v>
      </c>
    </row>
    <row r="976">
      <c r="A976" s="9" t="str">
        <f>IFERROR(__xludf.DUMMYFUNCTION("""COMPUTED_VALUE"""),"G-REQ-00975")</f>
        <v>G-REQ-00975</v>
      </c>
      <c r="B976" s="11">
        <f>IFERROR(__xludf.DUMMYFUNCTION("""COMPUTED_VALUE"""),45830.709716100944)</f>
        <v>45830.70972</v>
      </c>
      <c r="C976" s="9">
        <f>IFERROR(__xludf.DUMMYFUNCTION("""COMPUTED_VALUE"""),4159.0)</f>
        <v>4159</v>
      </c>
      <c r="D976" s="9" t="str">
        <f>IFERROR(__xludf.DUMMYFUNCTION("""COMPUTED_VALUE"""),"Completed")</f>
        <v>Completed</v>
      </c>
    </row>
    <row r="977">
      <c r="A977" s="9" t="str">
        <f>IFERROR(__xludf.DUMMYFUNCTION("""COMPUTED_VALUE"""),"G-REQ-00976")</f>
        <v>G-REQ-00976</v>
      </c>
      <c r="B977" s="11">
        <f>IFERROR(__xludf.DUMMYFUNCTION("""COMPUTED_VALUE"""),45830.780890946364)</f>
        <v>45830.78089</v>
      </c>
      <c r="C977" s="9">
        <f>IFERROR(__xludf.DUMMYFUNCTION("""COMPUTED_VALUE"""),4163.0)</f>
        <v>4163</v>
      </c>
      <c r="D977" s="9" t="str">
        <f>IFERROR(__xludf.DUMMYFUNCTION("""COMPUTED_VALUE"""),"Completed")</f>
        <v>Completed</v>
      </c>
    </row>
    <row r="978">
      <c r="A978" s="9" t="str">
        <f>IFERROR(__xludf.DUMMYFUNCTION("""COMPUTED_VALUE"""),"G-REQ-00977")</f>
        <v>G-REQ-00977</v>
      </c>
      <c r="B978" s="11">
        <f>IFERROR(__xludf.DUMMYFUNCTION("""COMPUTED_VALUE"""),45830.852065791776)</f>
        <v>45830.85207</v>
      </c>
      <c r="C978" s="9">
        <f>IFERROR(__xludf.DUMMYFUNCTION("""COMPUTED_VALUE"""),4167.0)</f>
        <v>4167</v>
      </c>
      <c r="D978" s="9" t="str">
        <f>IFERROR(__xludf.DUMMYFUNCTION("""COMPUTED_VALUE"""),"Completed")</f>
        <v>Completed</v>
      </c>
    </row>
    <row r="979">
      <c r="A979" s="9" t="str">
        <f>IFERROR(__xludf.DUMMYFUNCTION("""COMPUTED_VALUE"""),"G-REQ-00978")</f>
        <v>G-REQ-00978</v>
      </c>
      <c r="B979" s="11">
        <f>IFERROR(__xludf.DUMMYFUNCTION("""COMPUTED_VALUE"""),45830.92324063719)</f>
        <v>45830.92324</v>
      </c>
      <c r="C979" s="9">
        <f>IFERROR(__xludf.DUMMYFUNCTION("""COMPUTED_VALUE"""),4171.0)</f>
        <v>4171</v>
      </c>
      <c r="D979" s="9" t="str">
        <f>IFERROR(__xludf.DUMMYFUNCTION("""COMPUTED_VALUE"""),"Completed")</f>
        <v>Completed</v>
      </c>
    </row>
    <row r="980">
      <c r="A980" s="9" t="str">
        <f>IFERROR(__xludf.DUMMYFUNCTION("""COMPUTED_VALUE"""),"G-REQ-00979")</f>
        <v>G-REQ-00979</v>
      </c>
      <c r="B980" s="11">
        <f>IFERROR(__xludf.DUMMYFUNCTION("""COMPUTED_VALUE"""),45830.98747103816)</f>
        <v>45830.98747</v>
      </c>
      <c r="C980" s="9">
        <f>IFERROR(__xludf.DUMMYFUNCTION("""COMPUTED_VALUE"""),4173.0)</f>
        <v>4173</v>
      </c>
      <c r="D980" s="9" t="str">
        <f>IFERROR(__xludf.DUMMYFUNCTION("""COMPUTED_VALUE"""),"Rejected")</f>
        <v>Rejected</v>
      </c>
    </row>
    <row r="981">
      <c r="A981" s="9" t="str">
        <f>IFERROR(__xludf.DUMMYFUNCTION("""COMPUTED_VALUE"""),"G-REQ-00980")</f>
        <v>G-REQ-00980</v>
      </c>
      <c r="B981" s="11">
        <f>IFERROR(__xludf.DUMMYFUNCTION("""COMPUTED_VALUE"""),45831.06559032803)</f>
        <v>45831.06559</v>
      </c>
      <c r="C981" s="9">
        <f>IFERROR(__xludf.DUMMYFUNCTION("""COMPUTED_VALUE"""),4177.0)</f>
        <v>4177</v>
      </c>
      <c r="D981" s="9" t="str">
        <f>IFERROR(__xludf.DUMMYFUNCTION("""COMPUTED_VALUE"""),"Completed")</f>
        <v>Completed</v>
      </c>
    </row>
    <row r="982">
      <c r="A982" s="9" t="str">
        <f>IFERROR(__xludf.DUMMYFUNCTION("""COMPUTED_VALUE"""),"G-REQ-00981")</f>
        <v>G-REQ-00981</v>
      </c>
      <c r="B982" s="11">
        <f>IFERROR(__xludf.DUMMYFUNCTION("""COMPUTED_VALUE"""),45831.13676517343)</f>
        <v>45831.13677</v>
      </c>
      <c r="C982" s="9">
        <f>IFERROR(__xludf.DUMMYFUNCTION("""COMPUTED_VALUE"""),4181.0)</f>
        <v>4181</v>
      </c>
      <c r="D982" s="9" t="str">
        <f>IFERROR(__xludf.DUMMYFUNCTION("""COMPUTED_VALUE"""),"Completed")</f>
        <v>Completed</v>
      </c>
    </row>
    <row r="983">
      <c r="A983" s="9" t="str">
        <f>IFERROR(__xludf.DUMMYFUNCTION("""COMPUTED_VALUE"""),"G-REQ-00982")</f>
        <v>G-REQ-00982</v>
      </c>
      <c r="B983" s="11">
        <f>IFERROR(__xludf.DUMMYFUNCTION("""COMPUTED_VALUE"""),45831.20794001885)</f>
        <v>45831.20794</v>
      </c>
      <c r="C983" s="9">
        <f>IFERROR(__xludf.DUMMYFUNCTION("""COMPUTED_VALUE"""),4185.0)</f>
        <v>4185</v>
      </c>
      <c r="D983" s="9" t="str">
        <f>IFERROR(__xludf.DUMMYFUNCTION("""COMPUTED_VALUE"""),"Completed")</f>
        <v>Completed</v>
      </c>
    </row>
    <row r="984">
      <c r="A984" s="9" t="str">
        <f>IFERROR(__xludf.DUMMYFUNCTION("""COMPUTED_VALUE"""),"G-REQ-00983")</f>
        <v>G-REQ-00983</v>
      </c>
      <c r="B984" s="11">
        <f>IFERROR(__xludf.DUMMYFUNCTION("""COMPUTED_VALUE"""),45831.27217041983)</f>
        <v>45831.27217</v>
      </c>
      <c r="C984" s="9">
        <f>IFERROR(__xludf.DUMMYFUNCTION("""COMPUTED_VALUE"""),4187.0)</f>
        <v>4187</v>
      </c>
      <c r="D984" s="9" t="str">
        <f>IFERROR(__xludf.DUMMYFUNCTION("""COMPUTED_VALUE"""),"Rejected")</f>
        <v>Rejected</v>
      </c>
    </row>
    <row r="985">
      <c r="A985" s="9" t="str">
        <f>IFERROR(__xludf.DUMMYFUNCTION("""COMPUTED_VALUE"""),"G-REQ-00984")</f>
        <v>G-REQ-00984</v>
      </c>
      <c r="B985" s="11">
        <f>IFERROR(__xludf.DUMMYFUNCTION("""COMPUTED_VALUE"""),45831.34334526524)</f>
        <v>45831.34335</v>
      </c>
      <c r="C985" s="9">
        <f>IFERROR(__xludf.DUMMYFUNCTION("""COMPUTED_VALUE"""),4189.0)</f>
        <v>4189</v>
      </c>
      <c r="D985" s="9" t="str">
        <f>IFERROR(__xludf.DUMMYFUNCTION("""COMPUTED_VALUE"""),"Rejected")</f>
        <v>Rejected</v>
      </c>
    </row>
    <row r="986">
      <c r="A986" s="9" t="str">
        <f>IFERROR(__xludf.DUMMYFUNCTION("""COMPUTED_VALUE"""),"G-REQ-00985")</f>
        <v>G-REQ-00985</v>
      </c>
      <c r="B986" s="11">
        <f>IFERROR(__xludf.DUMMYFUNCTION("""COMPUTED_VALUE"""),45831.4214645551)</f>
        <v>45831.42146</v>
      </c>
      <c r="C986" s="9">
        <f>IFERROR(__xludf.DUMMYFUNCTION("""COMPUTED_VALUE"""),4193.0)</f>
        <v>4193</v>
      </c>
      <c r="D986" s="9" t="str">
        <f>IFERROR(__xludf.DUMMYFUNCTION("""COMPUTED_VALUE"""),"Completed")</f>
        <v>Completed</v>
      </c>
    </row>
    <row r="987">
      <c r="A987" s="9" t="str">
        <f>IFERROR(__xludf.DUMMYFUNCTION("""COMPUTED_VALUE"""),"G-REQ-00986")</f>
        <v>G-REQ-00986</v>
      </c>
      <c r="B987" s="11">
        <f>IFERROR(__xludf.DUMMYFUNCTION("""COMPUTED_VALUE"""),45831.48569495607)</f>
        <v>45831.48569</v>
      </c>
      <c r="C987" s="9">
        <f>IFERROR(__xludf.DUMMYFUNCTION("""COMPUTED_VALUE"""),4195.0)</f>
        <v>4195</v>
      </c>
      <c r="D987" s="9" t="str">
        <f>IFERROR(__xludf.DUMMYFUNCTION("""COMPUTED_VALUE"""),"Cancelled")</f>
        <v>Cancelled</v>
      </c>
    </row>
    <row r="988">
      <c r="A988" s="9" t="str">
        <f>IFERROR(__xludf.DUMMYFUNCTION("""COMPUTED_VALUE"""),"G-REQ-00987")</f>
        <v>G-REQ-00987</v>
      </c>
      <c r="B988" s="11">
        <f>IFERROR(__xludf.DUMMYFUNCTION("""COMPUTED_VALUE"""),45831.56381424593)</f>
        <v>45831.56381</v>
      </c>
      <c r="C988" s="9">
        <f>IFERROR(__xludf.DUMMYFUNCTION("""COMPUTED_VALUE"""),4199.0)</f>
        <v>4199</v>
      </c>
      <c r="D988" s="9" t="str">
        <f>IFERROR(__xludf.DUMMYFUNCTION("""COMPUTED_VALUE"""),"Completed")</f>
        <v>Completed</v>
      </c>
    </row>
    <row r="989">
      <c r="A989" s="9" t="str">
        <f>IFERROR(__xludf.DUMMYFUNCTION("""COMPUTED_VALUE"""),"G-REQ-00988")</f>
        <v>G-REQ-00988</v>
      </c>
      <c r="B989" s="11">
        <f>IFERROR(__xludf.DUMMYFUNCTION("""COMPUTED_VALUE"""),45831.63498909134)</f>
        <v>45831.63499</v>
      </c>
      <c r="C989" s="9">
        <f>IFERROR(__xludf.DUMMYFUNCTION("""COMPUTED_VALUE"""),4203.0)</f>
        <v>4203</v>
      </c>
      <c r="D989" s="9" t="str">
        <f>IFERROR(__xludf.DUMMYFUNCTION("""COMPUTED_VALUE"""),"Completed")</f>
        <v>Completed</v>
      </c>
    </row>
    <row r="990">
      <c r="A990" s="9" t="str">
        <f>IFERROR(__xludf.DUMMYFUNCTION("""COMPUTED_VALUE"""),"G-REQ-00989")</f>
        <v>G-REQ-00989</v>
      </c>
      <c r="B990" s="11">
        <f>IFERROR(__xludf.DUMMYFUNCTION("""COMPUTED_VALUE"""),45831.70616393676)</f>
        <v>45831.70616</v>
      </c>
      <c r="C990" s="9">
        <f>IFERROR(__xludf.DUMMYFUNCTION("""COMPUTED_VALUE"""),4207.0)</f>
        <v>4207</v>
      </c>
      <c r="D990" s="9" t="str">
        <f>IFERROR(__xludf.DUMMYFUNCTION("""COMPUTED_VALUE"""),"Completed")</f>
        <v>Completed</v>
      </c>
    </row>
    <row r="991">
      <c r="A991" s="9" t="str">
        <f>IFERROR(__xludf.DUMMYFUNCTION("""COMPUTED_VALUE"""),"G-REQ-00990")</f>
        <v>G-REQ-00990</v>
      </c>
      <c r="B991" s="11">
        <f>IFERROR(__xludf.DUMMYFUNCTION("""COMPUTED_VALUE"""),45831.77733878217)</f>
        <v>45831.77734</v>
      </c>
      <c r="C991" s="9">
        <f>IFERROR(__xludf.DUMMYFUNCTION("""COMPUTED_VALUE"""),4211.0)</f>
        <v>4211</v>
      </c>
      <c r="D991" s="9" t="str">
        <f>IFERROR(__xludf.DUMMYFUNCTION("""COMPUTED_VALUE"""),"Completed")</f>
        <v>Completed</v>
      </c>
    </row>
    <row r="992">
      <c r="A992" s="9" t="str">
        <f>IFERROR(__xludf.DUMMYFUNCTION("""COMPUTED_VALUE"""),"G-REQ-00991")</f>
        <v>G-REQ-00991</v>
      </c>
      <c r="B992" s="11">
        <f>IFERROR(__xludf.DUMMYFUNCTION("""COMPUTED_VALUE"""),45831.848513627585)</f>
        <v>45831.84851</v>
      </c>
      <c r="C992" s="9">
        <f>IFERROR(__xludf.DUMMYFUNCTION("""COMPUTED_VALUE"""),4215.0)</f>
        <v>4215</v>
      </c>
      <c r="D992" s="9" t="str">
        <f>IFERROR(__xludf.DUMMYFUNCTION("""COMPUTED_VALUE"""),"Completed")</f>
        <v>Completed</v>
      </c>
    </row>
    <row r="993">
      <c r="A993" s="9" t="str">
        <f>IFERROR(__xludf.DUMMYFUNCTION("""COMPUTED_VALUE"""),"G-REQ-00992")</f>
        <v>G-REQ-00992</v>
      </c>
      <c r="B993" s="11">
        <f>IFERROR(__xludf.DUMMYFUNCTION("""COMPUTED_VALUE"""),45831.919688473004)</f>
        <v>45831.91969</v>
      </c>
      <c r="C993" s="9">
        <f>IFERROR(__xludf.DUMMYFUNCTION("""COMPUTED_VALUE"""),4219.0)</f>
        <v>4219</v>
      </c>
      <c r="D993" s="9" t="str">
        <f>IFERROR(__xludf.DUMMYFUNCTION("""COMPUTED_VALUE"""),"Completed")</f>
        <v>Completed</v>
      </c>
    </row>
    <row r="994">
      <c r="A994" s="9" t="str">
        <f>IFERROR(__xludf.DUMMYFUNCTION("""COMPUTED_VALUE"""),"G-REQ-00993")</f>
        <v>G-REQ-00993</v>
      </c>
      <c r="B994" s="11">
        <f>IFERROR(__xludf.DUMMYFUNCTION("""COMPUTED_VALUE"""),45831.99086331842)</f>
        <v>45831.99086</v>
      </c>
      <c r="C994" s="9">
        <f>IFERROR(__xludf.DUMMYFUNCTION("""COMPUTED_VALUE"""),4223.0)</f>
        <v>4223</v>
      </c>
      <c r="D994" s="9" t="str">
        <f>IFERROR(__xludf.DUMMYFUNCTION("""COMPUTED_VALUE"""),"Completed")</f>
        <v>Completed</v>
      </c>
    </row>
    <row r="995">
      <c r="A995" s="9" t="str">
        <f>IFERROR(__xludf.DUMMYFUNCTION("""COMPUTED_VALUE"""),"G-REQ-00994")</f>
        <v>G-REQ-00994</v>
      </c>
      <c r="B995" s="11">
        <f>IFERROR(__xludf.DUMMYFUNCTION("""COMPUTED_VALUE"""),45832.06203816383)</f>
        <v>45832.06204</v>
      </c>
      <c r="C995" s="9">
        <f>IFERROR(__xludf.DUMMYFUNCTION("""COMPUTED_VALUE"""),4227.0)</f>
        <v>4227</v>
      </c>
      <c r="D995" s="9" t="str">
        <f>IFERROR(__xludf.DUMMYFUNCTION("""COMPUTED_VALUE"""),"Completed")</f>
        <v>Completed</v>
      </c>
    </row>
    <row r="996">
      <c r="A996" s="9" t="str">
        <f>IFERROR(__xludf.DUMMYFUNCTION("""COMPUTED_VALUE"""),"G-REQ-00995")</f>
        <v>G-REQ-00995</v>
      </c>
      <c r="B996" s="11">
        <f>IFERROR(__xludf.DUMMYFUNCTION("""COMPUTED_VALUE"""),45832.13321300925)</f>
        <v>45832.13321</v>
      </c>
      <c r="C996" s="9">
        <f>IFERROR(__xludf.DUMMYFUNCTION("""COMPUTED_VALUE"""),4231.0)</f>
        <v>4231</v>
      </c>
      <c r="D996" s="9" t="str">
        <f>IFERROR(__xludf.DUMMYFUNCTION("""COMPUTED_VALUE"""),"Completed")</f>
        <v>Completed</v>
      </c>
    </row>
    <row r="997">
      <c r="A997" s="9" t="str">
        <f>IFERROR(__xludf.DUMMYFUNCTION("""COMPUTED_VALUE"""),"G-REQ-00996")</f>
        <v>G-REQ-00996</v>
      </c>
      <c r="B997" s="11">
        <f>IFERROR(__xludf.DUMMYFUNCTION("""COMPUTED_VALUE"""),45832.20438785467)</f>
        <v>45832.20439</v>
      </c>
      <c r="C997" s="9">
        <f>IFERROR(__xludf.DUMMYFUNCTION("""COMPUTED_VALUE"""),4235.0)</f>
        <v>4235</v>
      </c>
      <c r="D997" s="9" t="str">
        <f>IFERROR(__xludf.DUMMYFUNCTION("""COMPUTED_VALUE"""),"Completed")</f>
        <v>Completed</v>
      </c>
    </row>
    <row r="998">
      <c r="A998" s="9" t="str">
        <f>IFERROR(__xludf.DUMMYFUNCTION("""COMPUTED_VALUE"""),"G-REQ-00997")</f>
        <v>G-REQ-00997</v>
      </c>
      <c r="B998" s="11">
        <f>IFERROR(__xludf.DUMMYFUNCTION("""COMPUTED_VALUE"""),45832.26861825563)</f>
        <v>45832.26862</v>
      </c>
      <c r="C998" s="9">
        <f>IFERROR(__xludf.DUMMYFUNCTION("""COMPUTED_VALUE"""),4237.0)</f>
        <v>4237</v>
      </c>
      <c r="D998" s="9" t="str">
        <f>IFERROR(__xludf.DUMMYFUNCTION("""COMPUTED_VALUE"""),"Rejected")</f>
        <v>Rejected</v>
      </c>
    </row>
    <row r="999">
      <c r="A999" s="9" t="str">
        <f>IFERROR(__xludf.DUMMYFUNCTION("""COMPUTED_VALUE"""),"G-REQ-00998")</f>
        <v>G-REQ-00998</v>
      </c>
      <c r="B999" s="11">
        <f>IFERROR(__xludf.DUMMYFUNCTION("""COMPUTED_VALUE"""),45832.34673754549)</f>
        <v>45832.34674</v>
      </c>
      <c r="C999" s="9">
        <f>IFERROR(__xludf.DUMMYFUNCTION("""COMPUTED_VALUE"""),4241.0)</f>
        <v>4241</v>
      </c>
      <c r="D999" s="9" t="str">
        <f>IFERROR(__xludf.DUMMYFUNCTION("""COMPUTED_VALUE"""),"Completed")</f>
        <v>Completed</v>
      </c>
    </row>
    <row r="1000">
      <c r="A1000" s="9" t="str">
        <f>IFERROR(__xludf.DUMMYFUNCTION("""COMPUTED_VALUE"""),"G-REQ-00999")</f>
        <v>G-REQ-00999</v>
      </c>
      <c r="B1000" s="11">
        <f>IFERROR(__xludf.DUMMYFUNCTION("""COMPUTED_VALUE"""),45832.41791239091)</f>
        <v>45832.41791</v>
      </c>
      <c r="C1000" s="9">
        <f>IFERROR(__xludf.DUMMYFUNCTION("""COMPUTED_VALUE"""),4245.0)</f>
        <v>4245</v>
      </c>
      <c r="D1000" s="9" t="str">
        <f>IFERROR(__xludf.DUMMYFUNCTION("""COMPUTED_VALUE"""),"Completed")</f>
        <v>Completed</v>
      </c>
    </row>
    <row r="1001">
      <c r="A1001" s="9" t="str">
        <f>IFERROR(__xludf.DUMMYFUNCTION("""COMPUTED_VALUE"""),"G-REQ-01000")</f>
        <v>G-REQ-01000</v>
      </c>
      <c r="B1001" s="11">
        <f>IFERROR(__xludf.DUMMYFUNCTION("""COMPUTED_VALUE"""),45832.489087236325)</f>
        <v>45832.48909</v>
      </c>
      <c r="C1001" s="9">
        <f>IFERROR(__xludf.DUMMYFUNCTION("""COMPUTED_VALUE"""),4249.0)</f>
        <v>4249</v>
      </c>
      <c r="D1001" s="9" t="str">
        <f>IFERROR(__xludf.DUMMYFUNCTION("""COMPUTED_VALUE"""),"Completed")</f>
        <v>Completed</v>
      </c>
    </row>
    <row r="1002">
      <c r="A1002" s="9" t="str">
        <f>IFERROR(__xludf.DUMMYFUNCTION("""COMPUTED_VALUE"""),"G-REQ-01001")</f>
        <v>G-REQ-01001</v>
      </c>
      <c r="B1002" s="11">
        <f>IFERROR(__xludf.DUMMYFUNCTION("""COMPUTED_VALUE"""),45832.56026208174)</f>
        <v>45832.56026</v>
      </c>
      <c r="C1002" s="9">
        <f>IFERROR(__xludf.DUMMYFUNCTION("""COMPUTED_VALUE"""),4253.0)</f>
        <v>4253</v>
      </c>
      <c r="D1002" s="9" t="str">
        <f>IFERROR(__xludf.DUMMYFUNCTION("""COMPUTED_VALUE"""),"Completed")</f>
        <v>Completed</v>
      </c>
    </row>
    <row r="1003">
      <c r="A1003" s="9" t="str">
        <f>IFERROR(__xludf.DUMMYFUNCTION("""COMPUTED_VALUE"""),"G-REQ-01002")</f>
        <v>G-REQ-01002</v>
      </c>
      <c r="B1003" s="11">
        <f>IFERROR(__xludf.DUMMYFUNCTION("""COMPUTED_VALUE"""),45832.63143692716)</f>
        <v>45832.63144</v>
      </c>
      <c r="C1003" s="9">
        <f>IFERROR(__xludf.DUMMYFUNCTION("""COMPUTED_VALUE"""),4257.0)</f>
        <v>4257</v>
      </c>
      <c r="D1003" s="9" t="str">
        <f>IFERROR(__xludf.DUMMYFUNCTION("""COMPUTED_VALUE"""),"Completed")</f>
        <v>Completed</v>
      </c>
    </row>
    <row r="1004">
      <c r="A1004" s="9" t="str">
        <f>IFERROR(__xludf.DUMMYFUNCTION("""COMPUTED_VALUE"""),"G-REQ-01003")</f>
        <v>G-REQ-01003</v>
      </c>
      <c r="B1004" s="11">
        <f>IFERROR(__xludf.DUMMYFUNCTION("""COMPUTED_VALUE"""),45832.70261177257)</f>
        <v>45832.70261</v>
      </c>
      <c r="C1004" s="9">
        <f>IFERROR(__xludf.DUMMYFUNCTION("""COMPUTED_VALUE"""),4261.0)</f>
        <v>4261</v>
      </c>
      <c r="D1004" s="9" t="str">
        <f>IFERROR(__xludf.DUMMYFUNCTION("""COMPUTED_VALUE"""),"Completed")</f>
        <v>Completed</v>
      </c>
    </row>
    <row r="1005">
      <c r="A1005" s="9" t="str">
        <f>IFERROR(__xludf.DUMMYFUNCTION("""COMPUTED_VALUE"""),"G-REQ-01004")</f>
        <v>G-REQ-01004</v>
      </c>
      <c r="B1005" s="11">
        <f>IFERROR(__xludf.DUMMYFUNCTION("""COMPUTED_VALUE"""),45832.77378661798)</f>
        <v>45832.77379</v>
      </c>
      <c r="C1005" s="9">
        <f>IFERROR(__xludf.DUMMYFUNCTION("""COMPUTED_VALUE"""),4265.0)</f>
        <v>4265</v>
      </c>
      <c r="D1005" s="9" t="str">
        <f>IFERROR(__xludf.DUMMYFUNCTION("""COMPUTED_VALUE"""),"Completed")</f>
        <v>Completed</v>
      </c>
    </row>
    <row r="1006">
      <c r="A1006" s="9" t="str">
        <f>IFERROR(__xludf.DUMMYFUNCTION("""COMPUTED_VALUE"""),"G-REQ-01005")</f>
        <v>G-REQ-01005</v>
      </c>
      <c r="B1006" s="11">
        <f>IFERROR(__xludf.DUMMYFUNCTION("""COMPUTED_VALUE"""),45832.8449614634)</f>
        <v>45832.84496</v>
      </c>
      <c r="C1006" s="9">
        <f>IFERROR(__xludf.DUMMYFUNCTION("""COMPUTED_VALUE"""),4269.0)</f>
        <v>4269</v>
      </c>
      <c r="D1006" s="9" t="str">
        <f>IFERROR(__xludf.DUMMYFUNCTION("""COMPUTED_VALUE"""),"Completed")</f>
        <v>Completed</v>
      </c>
    </row>
    <row r="1007">
      <c r="A1007" s="9" t="str">
        <f>IFERROR(__xludf.DUMMYFUNCTION("""COMPUTED_VALUE"""),"G-REQ-01006")</f>
        <v>G-REQ-01006</v>
      </c>
      <c r="B1007" s="11">
        <f>IFERROR(__xludf.DUMMYFUNCTION("""COMPUTED_VALUE"""),45832.91613630881)</f>
        <v>45832.91614</v>
      </c>
      <c r="C1007" s="9">
        <f>IFERROR(__xludf.DUMMYFUNCTION("""COMPUTED_VALUE"""),4273.0)</f>
        <v>4273</v>
      </c>
      <c r="D1007" s="9" t="str">
        <f>IFERROR(__xludf.DUMMYFUNCTION("""COMPUTED_VALUE"""),"Completed")</f>
        <v>Completed</v>
      </c>
    </row>
    <row r="1008">
      <c r="A1008" s="9" t="str">
        <f>IFERROR(__xludf.DUMMYFUNCTION("""COMPUTED_VALUE"""),"G-REQ-01007")</f>
        <v>G-REQ-01007</v>
      </c>
      <c r="B1008" s="11">
        <f>IFERROR(__xludf.DUMMYFUNCTION("""COMPUTED_VALUE"""),45832.987311154226)</f>
        <v>45832.98731</v>
      </c>
      <c r="C1008" s="9">
        <f>IFERROR(__xludf.DUMMYFUNCTION("""COMPUTED_VALUE"""),4277.0)</f>
        <v>4277</v>
      </c>
      <c r="D1008" s="9" t="str">
        <f>IFERROR(__xludf.DUMMYFUNCTION("""COMPUTED_VALUE"""),"Completed")</f>
        <v>Completed</v>
      </c>
    </row>
    <row r="1009">
      <c r="A1009" s="9" t="str">
        <f>IFERROR(__xludf.DUMMYFUNCTION("""COMPUTED_VALUE"""),"G-REQ-01008")</f>
        <v>G-REQ-01008</v>
      </c>
      <c r="B1009" s="11">
        <f>IFERROR(__xludf.DUMMYFUNCTION("""COMPUTED_VALUE"""),45833.058485999645)</f>
        <v>45833.05849</v>
      </c>
      <c r="C1009" s="9">
        <f>IFERROR(__xludf.DUMMYFUNCTION("""COMPUTED_VALUE"""),4281.0)</f>
        <v>4281</v>
      </c>
      <c r="D1009" s="9" t="str">
        <f>IFERROR(__xludf.DUMMYFUNCTION("""COMPUTED_VALUE"""),"Completed")</f>
        <v>Completed</v>
      </c>
    </row>
    <row r="1010">
      <c r="A1010" s="9" t="str">
        <f>IFERROR(__xludf.DUMMYFUNCTION("""COMPUTED_VALUE"""),"G-REQ-01009")</f>
        <v>G-REQ-01009</v>
      </c>
      <c r="B1010" s="11">
        <f>IFERROR(__xludf.DUMMYFUNCTION("""COMPUTED_VALUE"""),45833.129660845065)</f>
        <v>45833.12966</v>
      </c>
      <c r="C1010" s="9">
        <f>IFERROR(__xludf.DUMMYFUNCTION("""COMPUTED_VALUE"""),4285.0)</f>
        <v>4285</v>
      </c>
      <c r="D1010" s="9" t="str">
        <f>IFERROR(__xludf.DUMMYFUNCTION("""COMPUTED_VALUE"""),"Completed")</f>
        <v>Completed</v>
      </c>
    </row>
    <row r="1011">
      <c r="A1011" s="9" t="str">
        <f>IFERROR(__xludf.DUMMYFUNCTION("""COMPUTED_VALUE"""),"G-REQ-01010")</f>
        <v>G-REQ-01010</v>
      </c>
      <c r="B1011" s="11">
        <f>IFERROR(__xludf.DUMMYFUNCTION("""COMPUTED_VALUE"""),45833.20083569047)</f>
        <v>45833.20084</v>
      </c>
      <c r="C1011" s="9">
        <f>IFERROR(__xludf.DUMMYFUNCTION("""COMPUTED_VALUE"""),4289.0)</f>
        <v>4289</v>
      </c>
      <c r="D1011" s="9" t="str">
        <f>IFERROR(__xludf.DUMMYFUNCTION("""COMPUTED_VALUE"""),"Completed")</f>
        <v>Completed</v>
      </c>
    </row>
    <row r="1012">
      <c r="A1012" s="9" t="str">
        <f>IFERROR(__xludf.DUMMYFUNCTION("""COMPUTED_VALUE"""),"G-REQ-01011")</f>
        <v>G-REQ-01011</v>
      </c>
      <c r="B1012" s="11">
        <f>IFERROR(__xludf.DUMMYFUNCTION("""COMPUTED_VALUE"""),45833.265066091444)</f>
        <v>45833.26507</v>
      </c>
      <c r="C1012" s="9">
        <f>IFERROR(__xludf.DUMMYFUNCTION("""COMPUTED_VALUE"""),4291.0)</f>
        <v>4291</v>
      </c>
      <c r="D1012" s="9" t="str">
        <f>IFERROR(__xludf.DUMMYFUNCTION("""COMPUTED_VALUE"""),"Rejected")</f>
        <v>Rejected</v>
      </c>
    </row>
    <row r="1013">
      <c r="A1013" s="9" t="str">
        <f>IFERROR(__xludf.DUMMYFUNCTION("""COMPUTED_VALUE"""),"G-REQ-01012")</f>
        <v>G-REQ-01012</v>
      </c>
      <c r="B1013" s="11">
        <f>IFERROR(__xludf.DUMMYFUNCTION("""COMPUTED_VALUE"""),45833.34318538131)</f>
        <v>45833.34319</v>
      </c>
      <c r="C1013" s="9">
        <f>IFERROR(__xludf.DUMMYFUNCTION("""COMPUTED_VALUE"""),4295.0)</f>
        <v>4295</v>
      </c>
      <c r="D1013" s="9" t="str">
        <f>IFERROR(__xludf.DUMMYFUNCTION("""COMPUTED_VALUE"""),"Completed")</f>
        <v>Completed</v>
      </c>
    </row>
    <row r="1014">
      <c r="A1014" s="9" t="str">
        <f>IFERROR(__xludf.DUMMYFUNCTION("""COMPUTED_VALUE"""),"G-REQ-01013")</f>
        <v>G-REQ-01013</v>
      </c>
      <c r="B1014" s="11">
        <f>IFERROR(__xludf.DUMMYFUNCTION("""COMPUTED_VALUE"""),45833.41436022672)</f>
        <v>45833.41436</v>
      </c>
      <c r="C1014" s="9">
        <f>IFERROR(__xludf.DUMMYFUNCTION("""COMPUTED_VALUE"""),4299.0)</f>
        <v>4299</v>
      </c>
      <c r="D1014" s="9" t="str">
        <f>IFERROR(__xludf.DUMMYFUNCTION("""COMPUTED_VALUE"""),"Completed")</f>
        <v>Completed</v>
      </c>
    </row>
    <row r="1015">
      <c r="A1015" s="9" t="str">
        <f>IFERROR(__xludf.DUMMYFUNCTION("""COMPUTED_VALUE"""),"G-REQ-01014")</f>
        <v>G-REQ-01014</v>
      </c>
      <c r="B1015" s="11">
        <f>IFERROR(__xludf.DUMMYFUNCTION("""COMPUTED_VALUE"""),45833.485535072134)</f>
        <v>45833.48554</v>
      </c>
      <c r="C1015" s="9">
        <f>IFERROR(__xludf.DUMMYFUNCTION("""COMPUTED_VALUE"""),4303.0)</f>
        <v>4303</v>
      </c>
      <c r="D1015" s="9" t="str">
        <f>IFERROR(__xludf.DUMMYFUNCTION("""COMPUTED_VALUE"""),"Completed")</f>
        <v>Completed</v>
      </c>
    </row>
    <row r="1016">
      <c r="A1016" s="9" t="str">
        <f>IFERROR(__xludf.DUMMYFUNCTION("""COMPUTED_VALUE"""),"G-REQ-01015")</f>
        <v>G-REQ-01015</v>
      </c>
      <c r="B1016" s="11">
        <f>IFERROR(__xludf.DUMMYFUNCTION("""COMPUTED_VALUE"""),45833.55670991755)</f>
        <v>45833.55671</v>
      </c>
      <c r="C1016" s="9">
        <f>IFERROR(__xludf.DUMMYFUNCTION("""COMPUTED_VALUE"""),4307.0)</f>
        <v>4307</v>
      </c>
      <c r="D1016" s="9" t="str">
        <f>IFERROR(__xludf.DUMMYFUNCTION("""COMPUTED_VALUE"""),"Completed")</f>
        <v>Completed</v>
      </c>
    </row>
    <row r="1017">
      <c r="A1017" s="9" t="str">
        <f>IFERROR(__xludf.DUMMYFUNCTION("""COMPUTED_VALUE"""),"G-REQ-01016")</f>
        <v>G-REQ-01016</v>
      </c>
      <c r="B1017" s="11">
        <f>IFERROR(__xludf.DUMMYFUNCTION("""COMPUTED_VALUE"""),45833.627884762966)</f>
        <v>45833.62788</v>
      </c>
      <c r="C1017" s="9">
        <f>IFERROR(__xludf.DUMMYFUNCTION("""COMPUTED_VALUE"""),4311.0)</f>
        <v>4311</v>
      </c>
      <c r="D1017" s="9" t="str">
        <f>IFERROR(__xludf.DUMMYFUNCTION("""COMPUTED_VALUE"""),"Completed")</f>
        <v>Completed</v>
      </c>
    </row>
    <row r="1018">
      <c r="A1018" s="9" t="str">
        <f>IFERROR(__xludf.DUMMYFUNCTION("""COMPUTED_VALUE"""),"G-REQ-01017")</f>
        <v>G-REQ-01017</v>
      </c>
      <c r="B1018" s="11">
        <f>IFERROR(__xludf.DUMMYFUNCTION("""COMPUTED_VALUE"""),45833.69905960838)</f>
        <v>45833.69906</v>
      </c>
      <c r="C1018" s="9">
        <f>IFERROR(__xludf.DUMMYFUNCTION("""COMPUTED_VALUE"""),4315.0)</f>
        <v>4315</v>
      </c>
      <c r="D1018" s="9" t="str">
        <f>IFERROR(__xludf.DUMMYFUNCTION("""COMPUTED_VALUE"""),"Completed")</f>
        <v>Completed</v>
      </c>
    </row>
    <row r="1019">
      <c r="A1019" s="9" t="str">
        <f>IFERROR(__xludf.DUMMYFUNCTION("""COMPUTED_VALUE"""),"G-REQ-01018")</f>
        <v>G-REQ-01018</v>
      </c>
      <c r="B1019" s="11">
        <f>IFERROR(__xludf.DUMMYFUNCTION("""COMPUTED_VALUE"""),45833.7702344538)</f>
        <v>45833.77023</v>
      </c>
      <c r="C1019" s="9">
        <f>IFERROR(__xludf.DUMMYFUNCTION("""COMPUTED_VALUE"""),4319.0)</f>
        <v>4319</v>
      </c>
      <c r="D1019" s="9" t="str">
        <f>IFERROR(__xludf.DUMMYFUNCTION("""COMPUTED_VALUE"""),"Completed")</f>
        <v>Completed</v>
      </c>
    </row>
    <row r="1020">
      <c r="A1020" s="9" t="str">
        <f>IFERROR(__xludf.DUMMYFUNCTION("""COMPUTED_VALUE"""),"G-REQ-01019")</f>
        <v>G-REQ-01019</v>
      </c>
      <c r="B1020" s="11">
        <f>IFERROR(__xludf.DUMMYFUNCTION("""COMPUTED_VALUE"""),45833.84140929921)</f>
        <v>45833.84141</v>
      </c>
      <c r="C1020" s="9">
        <f>IFERROR(__xludf.DUMMYFUNCTION("""COMPUTED_VALUE"""),4323.0)</f>
        <v>4323</v>
      </c>
      <c r="D1020" s="9" t="str">
        <f>IFERROR(__xludf.DUMMYFUNCTION("""COMPUTED_VALUE"""),"Completed")</f>
        <v>Completed</v>
      </c>
    </row>
    <row r="1021">
      <c r="A1021" s="9" t="str">
        <f>IFERROR(__xludf.DUMMYFUNCTION("""COMPUTED_VALUE"""),"G-REQ-01020")</f>
        <v>G-REQ-01020</v>
      </c>
      <c r="B1021" s="11">
        <f>IFERROR(__xludf.DUMMYFUNCTION("""COMPUTED_VALUE"""),45833.91258414462)</f>
        <v>45833.91258</v>
      </c>
      <c r="C1021" s="9">
        <f>IFERROR(__xludf.DUMMYFUNCTION("""COMPUTED_VALUE"""),4327.0)</f>
        <v>4327</v>
      </c>
      <c r="D1021" s="9" t="str">
        <f>IFERROR(__xludf.DUMMYFUNCTION("""COMPUTED_VALUE"""),"Completed")</f>
        <v>Completed</v>
      </c>
    </row>
    <row r="1022">
      <c r="A1022" s="9" t="str">
        <f>IFERROR(__xludf.DUMMYFUNCTION("""COMPUTED_VALUE"""),"G-REQ-01021")</f>
        <v>G-REQ-01021</v>
      </c>
      <c r="B1022" s="11">
        <f>IFERROR(__xludf.DUMMYFUNCTION("""COMPUTED_VALUE"""),45833.98375899004)</f>
        <v>45833.98376</v>
      </c>
      <c r="C1022" s="9">
        <f>IFERROR(__xludf.DUMMYFUNCTION("""COMPUTED_VALUE"""),4331.0)</f>
        <v>4331</v>
      </c>
      <c r="D1022" s="9" t="str">
        <f>IFERROR(__xludf.DUMMYFUNCTION("""COMPUTED_VALUE"""),"Completed")</f>
        <v>Completed</v>
      </c>
    </row>
    <row r="1023">
      <c r="A1023" s="9" t="str">
        <f>IFERROR(__xludf.DUMMYFUNCTION("""COMPUTED_VALUE"""),"G-REQ-01022")</f>
        <v>G-REQ-01022</v>
      </c>
      <c r="B1023" s="11">
        <f>IFERROR(__xludf.DUMMYFUNCTION("""COMPUTED_VALUE"""),45834.054933835454)</f>
        <v>45834.05493</v>
      </c>
      <c r="C1023" s="9">
        <f>IFERROR(__xludf.DUMMYFUNCTION("""COMPUTED_VALUE"""),4335.0)</f>
        <v>4335</v>
      </c>
      <c r="D1023" s="9" t="str">
        <f>IFERROR(__xludf.DUMMYFUNCTION("""COMPUTED_VALUE"""),"Completed")</f>
        <v>Completed</v>
      </c>
    </row>
    <row r="1024">
      <c r="A1024" s="9" t="str">
        <f>IFERROR(__xludf.DUMMYFUNCTION("""COMPUTED_VALUE"""),"G-REQ-01023")</f>
        <v>G-REQ-01023</v>
      </c>
      <c r="B1024" s="11">
        <f>IFERROR(__xludf.DUMMYFUNCTION("""COMPUTED_VALUE"""),45834.126108680866)</f>
        <v>45834.12611</v>
      </c>
      <c r="C1024" s="9">
        <f>IFERROR(__xludf.DUMMYFUNCTION("""COMPUTED_VALUE"""),4339.0)</f>
        <v>4339</v>
      </c>
      <c r="D1024" s="9" t="str">
        <f>IFERROR(__xludf.DUMMYFUNCTION("""COMPUTED_VALUE"""),"Completed")</f>
        <v>Completed</v>
      </c>
    </row>
    <row r="1025">
      <c r="A1025" s="9" t="str">
        <f>IFERROR(__xludf.DUMMYFUNCTION("""COMPUTED_VALUE"""),"G-REQ-01024")</f>
        <v>G-REQ-01024</v>
      </c>
      <c r="B1025" s="11">
        <f>IFERROR(__xludf.DUMMYFUNCTION("""COMPUTED_VALUE"""),45834.197283526286)</f>
        <v>45834.19728</v>
      </c>
      <c r="C1025" s="9">
        <f>IFERROR(__xludf.DUMMYFUNCTION("""COMPUTED_VALUE"""),4343.0)</f>
        <v>4343</v>
      </c>
      <c r="D1025" s="9" t="str">
        <f>IFERROR(__xludf.DUMMYFUNCTION("""COMPUTED_VALUE"""),"Completed")</f>
        <v>Completed</v>
      </c>
    </row>
    <row r="1026">
      <c r="A1026" s="9" t="str">
        <f>IFERROR(__xludf.DUMMYFUNCTION("""COMPUTED_VALUE"""),"G-REQ-01025")</f>
        <v>G-REQ-01025</v>
      </c>
      <c r="B1026" s="11">
        <f>IFERROR(__xludf.DUMMYFUNCTION("""COMPUTED_VALUE"""),45834.268458371705)</f>
        <v>45834.26846</v>
      </c>
      <c r="C1026" s="9">
        <f>IFERROR(__xludf.DUMMYFUNCTION("""COMPUTED_VALUE"""),4347.0)</f>
        <v>4347</v>
      </c>
      <c r="D1026" s="9" t="str">
        <f>IFERROR(__xludf.DUMMYFUNCTION("""COMPUTED_VALUE"""),"Completed")</f>
        <v>Completed</v>
      </c>
    </row>
    <row r="1027">
      <c r="A1027" s="9" t="str">
        <f>IFERROR(__xludf.DUMMYFUNCTION("""COMPUTED_VALUE"""),"G-REQ-01026")</f>
        <v>G-REQ-01026</v>
      </c>
      <c r="B1027" s="11">
        <f>IFERROR(__xludf.DUMMYFUNCTION("""COMPUTED_VALUE"""),45834.33963321711)</f>
        <v>45834.33963</v>
      </c>
      <c r="C1027" s="9">
        <f>IFERROR(__xludf.DUMMYFUNCTION("""COMPUTED_VALUE"""),4351.0)</f>
        <v>4351</v>
      </c>
      <c r="D1027" s="9" t="str">
        <f>IFERROR(__xludf.DUMMYFUNCTION("""COMPUTED_VALUE"""),"Completed")</f>
        <v>Completed</v>
      </c>
    </row>
    <row r="1028">
      <c r="A1028" s="9" t="str">
        <f>IFERROR(__xludf.DUMMYFUNCTION("""COMPUTED_VALUE"""),"G-REQ-01027")</f>
        <v>G-REQ-01027</v>
      </c>
      <c r="B1028" s="11">
        <f>IFERROR(__xludf.DUMMYFUNCTION("""COMPUTED_VALUE"""),45834.403863618085)</f>
        <v>45834.40386</v>
      </c>
      <c r="C1028" s="9">
        <f>IFERROR(__xludf.DUMMYFUNCTION("""COMPUTED_VALUE"""),4353.0)</f>
        <v>4353</v>
      </c>
      <c r="D1028" s="9" t="str">
        <f>IFERROR(__xludf.DUMMYFUNCTION("""COMPUTED_VALUE"""),"Rejected")</f>
        <v>Rejected</v>
      </c>
    </row>
    <row r="1029">
      <c r="A1029" s="9" t="str">
        <f>IFERROR(__xludf.DUMMYFUNCTION("""COMPUTED_VALUE"""),"G-REQ-01028")</f>
        <v>G-REQ-01028</v>
      </c>
      <c r="B1029" s="11">
        <f>IFERROR(__xludf.DUMMYFUNCTION("""COMPUTED_VALUE"""),45834.475038463504)</f>
        <v>45834.47504</v>
      </c>
      <c r="C1029" s="9">
        <f>IFERROR(__xludf.DUMMYFUNCTION("""COMPUTED_VALUE"""),4355.0)</f>
        <v>4355</v>
      </c>
      <c r="D1029" s="9" t="str">
        <f>IFERROR(__xludf.DUMMYFUNCTION("""COMPUTED_VALUE"""),"Rejected")</f>
        <v>Rejected</v>
      </c>
    </row>
    <row r="1030">
      <c r="A1030" s="9" t="str">
        <f>IFERROR(__xludf.DUMMYFUNCTION("""COMPUTED_VALUE"""),"G-REQ-01029")</f>
        <v>G-REQ-01029</v>
      </c>
      <c r="B1030" s="11">
        <f>IFERROR(__xludf.DUMMYFUNCTION("""COMPUTED_VALUE"""),45834.55315775336)</f>
        <v>45834.55316</v>
      </c>
      <c r="C1030" s="9">
        <f>IFERROR(__xludf.DUMMYFUNCTION("""COMPUTED_VALUE"""),4359.0)</f>
        <v>4359</v>
      </c>
      <c r="D1030" s="9" t="str">
        <f>IFERROR(__xludf.DUMMYFUNCTION("""COMPUTED_VALUE"""),"Completed")</f>
        <v>Completed</v>
      </c>
    </row>
    <row r="1031">
      <c r="A1031" s="9" t="str">
        <f>IFERROR(__xludf.DUMMYFUNCTION("""COMPUTED_VALUE"""),"G-REQ-01030")</f>
        <v>G-REQ-01030</v>
      </c>
      <c r="B1031" s="11">
        <f>IFERROR(__xludf.DUMMYFUNCTION("""COMPUTED_VALUE"""),45834.624332598774)</f>
        <v>45834.62433</v>
      </c>
      <c r="C1031" s="9">
        <f>IFERROR(__xludf.DUMMYFUNCTION("""COMPUTED_VALUE"""),4363.0)</f>
        <v>4363</v>
      </c>
      <c r="D1031" s="9" t="str">
        <f>IFERROR(__xludf.DUMMYFUNCTION("""COMPUTED_VALUE"""),"Completed")</f>
        <v>Completed</v>
      </c>
    </row>
    <row r="1032">
      <c r="A1032" s="9" t="str">
        <f>IFERROR(__xludf.DUMMYFUNCTION("""COMPUTED_VALUE"""),"G-REQ-01031")</f>
        <v>G-REQ-01031</v>
      </c>
      <c r="B1032" s="11">
        <f>IFERROR(__xludf.DUMMYFUNCTION("""COMPUTED_VALUE"""),45834.68856299975)</f>
        <v>45834.68856</v>
      </c>
      <c r="C1032" s="9">
        <f>IFERROR(__xludf.DUMMYFUNCTION("""COMPUTED_VALUE"""),4365.0)</f>
        <v>4365</v>
      </c>
      <c r="D1032" s="9" t="str">
        <f>IFERROR(__xludf.DUMMYFUNCTION("""COMPUTED_VALUE"""),"Rejected")</f>
        <v>Rejected</v>
      </c>
    </row>
    <row r="1033">
      <c r="A1033" s="9" t="str">
        <f>IFERROR(__xludf.DUMMYFUNCTION("""COMPUTED_VALUE"""),"G-REQ-01032")</f>
        <v>G-REQ-01032</v>
      </c>
      <c r="B1033" s="11">
        <f>IFERROR(__xludf.DUMMYFUNCTION("""COMPUTED_VALUE"""),45834.766682289606)</f>
        <v>45834.76668</v>
      </c>
      <c r="C1033" s="9">
        <f>IFERROR(__xludf.DUMMYFUNCTION("""COMPUTED_VALUE"""),4369.0)</f>
        <v>4369</v>
      </c>
      <c r="D1033" s="9" t="str">
        <f>IFERROR(__xludf.DUMMYFUNCTION("""COMPUTED_VALUE"""),"Completed")</f>
        <v>Completed</v>
      </c>
    </row>
    <row r="1034">
      <c r="A1034" s="9" t="str">
        <f>IFERROR(__xludf.DUMMYFUNCTION("""COMPUTED_VALUE"""),"G-REQ-01033")</f>
        <v>G-REQ-01033</v>
      </c>
      <c r="B1034" s="11">
        <f>IFERROR(__xludf.DUMMYFUNCTION("""COMPUTED_VALUE"""),45834.83785713502)</f>
        <v>45834.83786</v>
      </c>
      <c r="C1034" s="9">
        <f>IFERROR(__xludf.DUMMYFUNCTION("""COMPUTED_VALUE"""),4373.0)</f>
        <v>4373</v>
      </c>
      <c r="D1034" s="9" t="str">
        <f>IFERROR(__xludf.DUMMYFUNCTION("""COMPUTED_VALUE"""),"Completed")</f>
        <v>Completed</v>
      </c>
    </row>
    <row r="1035">
      <c r="A1035" s="9" t="str">
        <f>IFERROR(__xludf.DUMMYFUNCTION("""COMPUTED_VALUE"""),"G-REQ-01034")</f>
        <v>G-REQ-01034</v>
      </c>
      <c r="B1035" s="11">
        <f>IFERROR(__xludf.DUMMYFUNCTION("""COMPUTED_VALUE"""),45834.90903198044)</f>
        <v>45834.90903</v>
      </c>
      <c r="C1035" s="9">
        <f>IFERROR(__xludf.DUMMYFUNCTION("""COMPUTED_VALUE"""),4377.0)</f>
        <v>4377</v>
      </c>
      <c r="D1035" s="9" t="str">
        <f>IFERROR(__xludf.DUMMYFUNCTION("""COMPUTED_VALUE"""),"Completed")</f>
        <v>Completed</v>
      </c>
    </row>
    <row r="1036">
      <c r="A1036" s="9" t="str">
        <f>IFERROR(__xludf.DUMMYFUNCTION("""COMPUTED_VALUE"""),"G-REQ-01035")</f>
        <v>G-REQ-01035</v>
      </c>
      <c r="B1036" s="11">
        <f>IFERROR(__xludf.DUMMYFUNCTION("""COMPUTED_VALUE"""),45834.98020682585)</f>
        <v>45834.98021</v>
      </c>
      <c r="C1036" s="9">
        <f>IFERROR(__xludf.DUMMYFUNCTION("""COMPUTED_VALUE"""),4381.0)</f>
        <v>4381</v>
      </c>
      <c r="D1036" s="9" t="str">
        <f>IFERROR(__xludf.DUMMYFUNCTION("""COMPUTED_VALUE"""),"Completed")</f>
        <v>Completed</v>
      </c>
    </row>
    <row r="1037">
      <c r="A1037" s="9" t="str">
        <f>IFERROR(__xludf.DUMMYFUNCTION("""COMPUTED_VALUE"""),"G-REQ-01036")</f>
        <v>G-REQ-01036</v>
      </c>
      <c r="B1037" s="11">
        <f>IFERROR(__xludf.DUMMYFUNCTION("""COMPUTED_VALUE"""),45835.05138167126)</f>
        <v>45835.05138</v>
      </c>
      <c r="C1037" s="9">
        <f>IFERROR(__xludf.DUMMYFUNCTION("""COMPUTED_VALUE"""),4385.0)</f>
        <v>4385</v>
      </c>
      <c r="D1037" s="9" t="str">
        <f>IFERROR(__xludf.DUMMYFUNCTION("""COMPUTED_VALUE"""),"Completed")</f>
        <v>Completed</v>
      </c>
    </row>
    <row r="1038">
      <c r="A1038" s="9" t="str">
        <f>IFERROR(__xludf.DUMMYFUNCTION("""COMPUTED_VALUE"""),"G-REQ-01037")</f>
        <v>G-REQ-01037</v>
      </c>
      <c r="B1038" s="11">
        <f>IFERROR(__xludf.DUMMYFUNCTION("""COMPUTED_VALUE"""),45835.12255651668)</f>
        <v>45835.12256</v>
      </c>
      <c r="C1038" s="9">
        <f>IFERROR(__xludf.DUMMYFUNCTION("""COMPUTED_VALUE"""),4389.0)</f>
        <v>4389</v>
      </c>
      <c r="D1038" s="9" t="str">
        <f>IFERROR(__xludf.DUMMYFUNCTION("""COMPUTED_VALUE"""),"Completed")</f>
        <v>Completed</v>
      </c>
    </row>
    <row r="1039">
      <c r="A1039" s="9" t="str">
        <f>IFERROR(__xludf.DUMMYFUNCTION("""COMPUTED_VALUE"""),"G-REQ-01038")</f>
        <v>G-REQ-01038</v>
      </c>
      <c r="B1039" s="11">
        <f>IFERROR(__xludf.DUMMYFUNCTION("""COMPUTED_VALUE"""),45835.193731362095)</f>
        <v>45835.19373</v>
      </c>
      <c r="C1039" s="9">
        <f>IFERROR(__xludf.DUMMYFUNCTION("""COMPUTED_VALUE"""),4393.0)</f>
        <v>4393</v>
      </c>
      <c r="D1039" s="9" t="str">
        <f>IFERROR(__xludf.DUMMYFUNCTION("""COMPUTED_VALUE"""),"Completed")</f>
        <v>Completed</v>
      </c>
    </row>
    <row r="1040">
      <c r="A1040" s="9" t="str">
        <f>IFERROR(__xludf.DUMMYFUNCTION("""COMPUTED_VALUE"""),"G-REQ-01039")</f>
        <v>G-REQ-01039</v>
      </c>
      <c r="B1040" s="11">
        <f>IFERROR(__xludf.DUMMYFUNCTION("""COMPUTED_VALUE"""),45835.26490620751)</f>
        <v>45835.26491</v>
      </c>
      <c r="C1040" s="9">
        <f>IFERROR(__xludf.DUMMYFUNCTION("""COMPUTED_VALUE"""),4397.0)</f>
        <v>4397</v>
      </c>
      <c r="D1040" s="9" t="str">
        <f>IFERROR(__xludf.DUMMYFUNCTION("""COMPUTED_VALUE"""),"Completed")</f>
        <v>Completed</v>
      </c>
    </row>
    <row r="1041">
      <c r="A1041" s="9" t="str">
        <f>IFERROR(__xludf.DUMMYFUNCTION("""COMPUTED_VALUE"""),"G-REQ-01040")</f>
        <v>G-REQ-01040</v>
      </c>
      <c r="B1041" s="11">
        <f>IFERROR(__xludf.DUMMYFUNCTION("""COMPUTED_VALUE"""),45835.33608105293)</f>
        <v>45835.33608</v>
      </c>
      <c r="C1041" s="9">
        <f>IFERROR(__xludf.DUMMYFUNCTION("""COMPUTED_VALUE"""),4401.0)</f>
        <v>4401</v>
      </c>
      <c r="D1041" s="9" t="str">
        <f>IFERROR(__xludf.DUMMYFUNCTION("""COMPUTED_VALUE"""),"Completed")</f>
        <v>Completed</v>
      </c>
    </row>
    <row r="1042">
      <c r="A1042" s="9" t="str">
        <f>IFERROR(__xludf.DUMMYFUNCTION("""COMPUTED_VALUE"""),"G-REQ-01041")</f>
        <v>G-REQ-01041</v>
      </c>
      <c r="B1042" s="11">
        <f>IFERROR(__xludf.DUMMYFUNCTION("""COMPUTED_VALUE"""),45835.407255898346)</f>
        <v>45835.40726</v>
      </c>
      <c r="C1042" s="9">
        <f>IFERROR(__xludf.DUMMYFUNCTION("""COMPUTED_VALUE"""),4405.0)</f>
        <v>4405</v>
      </c>
      <c r="D1042" s="9" t="str">
        <f>IFERROR(__xludf.DUMMYFUNCTION("""COMPUTED_VALUE"""),"Completed")</f>
        <v>Completed</v>
      </c>
    </row>
    <row r="1043">
      <c r="A1043" s="9" t="str">
        <f>IFERROR(__xludf.DUMMYFUNCTION("""COMPUTED_VALUE"""),"G-REQ-01042")</f>
        <v>G-REQ-01042</v>
      </c>
      <c r="B1043" s="11">
        <f>IFERROR(__xludf.DUMMYFUNCTION("""COMPUTED_VALUE"""),45835.47843074375)</f>
        <v>45835.47843</v>
      </c>
      <c r="C1043" s="9">
        <f>IFERROR(__xludf.DUMMYFUNCTION("""COMPUTED_VALUE"""),4409.0)</f>
        <v>4409</v>
      </c>
      <c r="D1043" s="9" t="str">
        <f>IFERROR(__xludf.DUMMYFUNCTION("""COMPUTED_VALUE"""),"Completed")</f>
        <v>Completed</v>
      </c>
    </row>
    <row r="1044">
      <c r="A1044" s="9" t="str">
        <f>IFERROR(__xludf.DUMMYFUNCTION("""COMPUTED_VALUE"""),"G-REQ-01043")</f>
        <v>G-REQ-01043</v>
      </c>
      <c r="B1044" s="11">
        <f>IFERROR(__xludf.DUMMYFUNCTION("""COMPUTED_VALUE"""),45835.54960558917)</f>
        <v>45835.54961</v>
      </c>
      <c r="C1044" s="9">
        <f>IFERROR(__xludf.DUMMYFUNCTION("""COMPUTED_VALUE"""),4413.0)</f>
        <v>4413</v>
      </c>
      <c r="D1044" s="9" t="str">
        <f>IFERROR(__xludf.DUMMYFUNCTION("""COMPUTED_VALUE"""),"Completed")</f>
        <v>Completed</v>
      </c>
    </row>
    <row r="1045">
      <c r="A1045" s="9" t="str">
        <f>IFERROR(__xludf.DUMMYFUNCTION("""COMPUTED_VALUE"""),"G-REQ-01044")</f>
        <v>G-REQ-01044</v>
      </c>
      <c r="B1045" s="11">
        <f>IFERROR(__xludf.DUMMYFUNCTION("""COMPUTED_VALUE"""),45835.62078043459)</f>
        <v>45835.62078</v>
      </c>
      <c r="C1045" s="9">
        <f>IFERROR(__xludf.DUMMYFUNCTION("""COMPUTED_VALUE"""),4417.0)</f>
        <v>4417</v>
      </c>
      <c r="D1045" s="9" t="str">
        <f>IFERROR(__xludf.DUMMYFUNCTION("""COMPUTED_VALUE"""),"Completed")</f>
        <v>Completed</v>
      </c>
    </row>
    <row r="1046">
      <c r="A1046" s="9" t="str">
        <f>IFERROR(__xludf.DUMMYFUNCTION("""COMPUTED_VALUE"""),"G-REQ-01045")</f>
        <v>G-REQ-01045</v>
      </c>
      <c r="B1046" s="11">
        <f>IFERROR(__xludf.DUMMYFUNCTION("""COMPUTED_VALUE"""),45835.69195528)</f>
        <v>45835.69196</v>
      </c>
      <c r="C1046" s="9">
        <f>IFERROR(__xludf.DUMMYFUNCTION("""COMPUTED_VALUE"""),4421.0)</f>
        <v>4421</v>
      </c>
      <c r="D1046" s="9" t="str">
        <f>IFERROR(__xludf.DUMMYFUNCTION("""COMPUTED_VALUE"""),"Completed")</f>
        <v>Completed</v>
      </c>
    </row>
    <row r="1047">
      <c r="A1047" s="9" t="str">
        <f>IFERROR(__xludf.DUMMYFUNCTION("""COMPUTED_VALUE"""),"G-REQ-01046")</f>
        <v>G-REQ-01046</v>
      </c>
      <c r="B1047" s="11">
        <f>IFERROR(__xludf.DUMMYFUNCTION("""COMPUTED_VALUE"""),45835.763130125415)</f>
        <v>45835.76313</v>
      </c>
      <c r="C1047" s="9">
        <f>IFERROR(__xludf.DUMMYFUNCTION("""COMPUTED_VALUE"""),4425.0)</f>
        <v>4425</v>
      </c>
      <c r="D1047" s="9" t="str">
        <f>IFERROR(__xludf.DUMMYFUNCTION("""COMPUTED_VALUE"""),"Completed")</f>
        <v>Completed</v>
      </c>
    </row>
    <row r="1048">
      <c r="A1048" s="9" t="str">
        <f>IFERROR(__xludf.DUMMYFUNCTION("""COMPUTED_VALUE"""),"G-REQ-01047")</f>
        <v>G-REQ-01047</v>
      </c>
      <c r="B1048" s="11">
        <f>IFERROR(__xludf.DUMMYFUNCTION("""COMPUTED_VALUE"""),45835.834304970835)</f>
        <v>45835.8343</v>
      </c>
      <c r="C1048" s="9">
        <f>IFERROR(__xludf.DUMMYFUNCTION("""COMPUTED_VALUE"""),4429.0)</f>
        <v>4429</v>
      </c>
      <c r="D1048" s="9" t="str">
        <f>IFERROR(__xludf.DUMMYFUNCTION("""COMPUTED_VALUE"""),"Completed")</f>
        <v>Completed</v>
      </c>
    </row>
    <row r="1049">
      <c r="A1049" s="9" t="str">
        <f>IFERROR(__xludf.DUMMYFUNCTION("""COMPUTED_VALUE"""),"G-REQ-01048")</f>
        <v>G-REQ-01048</v>
      </c>
      <c r="B1049" s="11">
        <f>IFERROR(__xludf.DUMMYFUNCTION("""COMPUTED_VALUE"""),45835.90547981625)</f>
        <v>45835.90548</v>
      </c>
      <c r="C1049" s="9">
        <f>IFERROR(__xludf.DUMMYFUNCTION("""COMPUTED_VALUE"""),4433.0)</f>
        <v>4433</v>
      </c>
      <c r="D1049" s="9" t="str">
        <f>IFERROR(__xludf.DUMMYFUNCTION("""COMPUTED_VALUE"""),"Completed")</f>
        <v>Completed</v>
      </c>
    </row>
    <row r="1050">
      <c r="A1050" s="9" t="str">
        <f>IFERROR(__xludf.DUMMYFUNCTION("""COMPUTED_VALUE"""),"G-REQ-01049")</f>
        <v>G-REQ-01049</v>
      </c>
      <c r="B1050" s="11">
        <f>IFERROR(__xludf.DUMMYFUNCTION("""COMPUTED_VALUE"""),45835.97665466166)</f>
        <v>45835.97665</v>
      </c>
      <c r="C1050" s="9">
        <f>IFERROR(__xludf.DUMMYFUNCTION("""COMPUTED_VALUE"""),4437.0)</f>
        <v>4437</v>
      </c>
      <c r="D1050" s="9" t="str">
        <f>IFERROR(__xludf.DUMMYFUNCTION("""COMPUTED_VALUE"""),"Completed")</f>
        <v>Completed</v>
      </c>
    </row>
    <row r="1051">
      <c r="A1051" s="9" t="str">
        <f>IFERROR(__xludf.DUMMYFUNCTION("""COMPUTED_VALUE"""),"G-REQ-01050")</f>
        <v>G-REQ-01050</v>
      </c>
      <c r="B1051" s="11">
        <f>IFERROR(__xludf.DUMMYFUNCTION("""COMPUTED_VALUE"""),45836.04088506263)</f>
        <v>45836.04089</v>
      </c>
      <c r="C1051" s="9">
        <f>IFERROR(__xludf.DUMMYFUNCTION("""COMPUTED_VALUE"""),4439.0)</f>
        <v>4439</v>
      </c>
      <c r="D1051" s="9" t="str">
        <f>IFERROR(__xludf.DUMMYFUNCTION("""COMPUTED_VALUE"""),"Cancelled")</f>
        <v>Cancelled</v>
      </c>
    </row>
    <row r="1052">
      <c r="A1052" s="9" t="str">
        <f>IFERROR(__xludf.DUMMYFUNCTION("""COMPUTED_VALUE"""),"G-REQ-01051")</f>
        <v>G-REQ-01051</v>
      </c>
      <c r="B1052" s="11">
        <f>IFERROR(__xludf.DUMMYFUNCTION("""COMPUTED_VALUE"""),45836.11900435249)</f>
        <v>45836.119</v>
      </c>
      <c r="C1052" s="9">
        <f>IFERROR(__xludf.DUMMYFUNCTION("""COMPUTED_VALUE"""),4443.0)</f>
        <v>4443</v>
      </c>
      <c r="D1052" s="9" t="str">
        <f>IFERROR(__xludf.DUMMYFUNCTION("""COMPUTED_VALUE"""),"Completed")</f>
        <v>Completed</v>
      </c>
    </row>
    <row r="1053">
      <c r="A1053" s="9" t="str">
        <f>IFERROR(__xludf.DUMMYFUNCTION("""COMPUTED_VALUE"""),"G-REQ-01052")</f>
        <v>G-REQ-01052</v>
      </c>
      <c r="B1053" s="11">
        <f>IFERROR(__xludf.DUMMYFUNCTION("""COMPUTED_VALUE"""),45836.18323475346)</f>
        <v>45836.18323</v>
      </c>
      <c r="C1053" s="9">
        <f>IFERROR(__xludf.DUMMYFUNCTION("""COMPUTED_VALUE"""),4445.0)</f>
        <v>4445</v>
      </c>
      <c r="D1053" s="9" t="str">
        <f>IFERROR(__xludf.DUMMYFUNCTION("""COMPUTED_VALUE"""),"Rejected")</f>
        <v>Rejected</v>
      </c>
    </row>
    <row r="1054">
      <c r="A1054" s="9" t="str">
        <f>IFERROR(__xludf.DUMMYFUNCTION("""COMPUTED_VALUE"""),"G-REQ-01053")</f>
        <v>G-REQ-01053</v>
      </c>
      <c r="B1054" s="11">
        <f>IFERROR(__xludf.DUMMYFUNCTION("""COMPUTED_VALUE"""),45836.26135404332)</f>
        <v>45836.26135</v>
      </c>
      <c r="C1054" s="9">
        <f>IFERROR(__xludf.DUMMYFUNCTION("""COMPUTED_VALUE"""),4449.0)</f>
        <v>4449</v>
      </c>
      <c r="D1054" s="9" t="str">
        <f>IFERROR(__xludf.DUMMYFUNCTION("""COMPUTED_VALUE"""),"Completed")</f>
        <v>Completed</v>
      </c>
    </row>
    <row r="1055">
      <c r="A1055" s="9" t="str">
        <f>IFERROR(__xludf.DUMMYFUNCTION("""COMPUTED_VALUE"""),"G-REQ-01054")</f>
        <v>G-REQ-01054</v>
      </c>
      <c r="B1055" s="11">
        <f>IFERROR(__xludf.DUMMYFUNCTION("""COMPUTED_VALUE"""),45836.332528888735)</f>
        <v>45836.33253</v>
      </c>
      <c r="C1055" s="9">
        <f>IFERROR(__xludf.DUMMYFUNCTION("""COMPUTED_VALUE"""),4453.0)</f>
        <v>4453</v>
      </c>
      <c r="D1055" s="9" t="str">
        <f>IFERROR(__xludf.DUMMYFUNCTION("""COMPUTED_VALUE"""),"Completed")</f>
        <v>Completed</v>
      </c>
    </row>
    <row r="1056">
      <c r="A1056" s="9" t="str">
        <f>IFERROR(__xludf.DUMMYFUNCTION("""COMPUTED_VALUE"""),"G-REQ-01055")</f>
        <v>G-REQ-01055</v>
      </c>
      <c r="B1056" s="11">
        <f>IFERROR(__xludf.DUMMYFUNCTION("""COMPUTED_VALUE"""),45836.403703734155)</f>
        <v>45836.4037</v>
      </c>
      <c r="C1056" s="9">
        <f>IFERROR(__xludf.DUMMYFUNCTION("""COMPUTED_VALUE"""),4457.0)</f>
        <v>4457</v>
      </c>
      <c r="D1056" s="9" t="str">
        <f>IFERROR(__xludf.DUMMYFUNCTION("""COMPUTED_VALUE"""),"Completed")</f>
        <v>Completed</v>
      </c>
    </row>
    <row r="1057">
      <c r="A1057" s="9" t="str">
        <f>IFERROR(__xludf.DUMMYFUNCTION("""COMPUTED_VALUE"""),"G-REQ-01056")</f>
        <v>G-REQ-01056</v>
      </c>
      <c r="B1057" s="11">
        <f>IFERROR(__xludf.DUMMYFUNCTION("""COMPUTED_VALUE"""),45836.47487857957)</f>
        <v>45836.47488</v>
      </c>
      <c r="C1057" s="9">
        <f>IFERROR(__xludf.DUMMYFUNCTION("""COMPUTED_VALUE"""),4461.0)</f>
        <v>4461</v>
      </c>
      <c r="D1057" s="9" t="str">
        <f>IFERROR(__xludf.DUMMYFUNCTION("""COMPUTED_VALUE"""),"Completed")</f>
        <v>Completed</v>
      </c>
    </row>
    <row r="1058">
      <c r="A1058" s="9" t="str">
        <f>IFERROR(__xludf.DUMMYFUNCTION("""COMPUTED_VALUE"""),"G-REQ-01057")</f>
        <v>G-REQ-01057</v>
      </c>
      <c r="B1058" s="11">
        <f>IFERROR(__xludf.DUMMYFUNCTION("""COMPUTED_VALUE"""),45836.54605342499)</f>
        <v>45836.54605</v>
      </c>
      <c r="C1058" s="9">
        <f>IFERROR(__xludf.DUMMYFUNCTION("""COMPUTED_VALUE"""),4465.0)</f>
        <v>4465</v>
      </c>
      <c r="D1058" s="9" t="str">
        <f>IFERROR(__xludf.DUMMYFUNCTION("""COMPUTED_VALUE"""),"Completed")</f>
        <v>Completed</v>
      </c>
    </row>
    <row r="1059">
      <c r="A1059" s="9" t="str">
        <f>IFERROR(__xludf.DUMMYFUNCTION("""COMPUTED_VALUE"""),"G-REQ-01058")</f>
        <v>G-REQ-01058</v>
      </c>
      <c r="B1059" s="11">
        <f>IFERROR(__xludf.DUMMYFUNCTION("""COMPUTED_VALUE"""),45836.61722827039)</f>
        <v>45836.61723</v>
      </c>
      <c r="C1059" s="9">
        <f>IFERROR(__xludf.DUMMYFUNCTION("""COMPUTED_VALUE"""),4469.0)</f>
        <v>4469</v>
      </c>
      <c r="D1059" s="9" t="str">
        <f>IFERROR(__xludf.DUMMYFUNCTION("""COMPUTED_VALUE"""),"Completed")</f>
        <v>Completed</v>
      </c>
    </row>
    <row r="1060">
      <c r="A1060" s="9" t="str">
        <f>IFERROR(__xludf.DUMMYFUNCTION("""COMPUTED_VALUE"""),"G-REQ-01059")</f>
        <v>G-REQ-01059</v>
      </c>
      <c r="B1060" s="11">
        <f>IFERROR(__xludf.DUMMYFUNCTION("""COMPUTED_VALUE"""),45836.68840311581)</f>
        <v>45836.6884</v>
      </c>
      <c r="C1060" s="9">
        <f>IFERROR(__xludf.DUMMYFUNCTION("""COMPUTED_VALUE"""),4473.0)</f>
        <v>4473</v>
      </c>
      <c r="D1060" s="9" t="str">
        <f>IFERROR(__xludf.DUMMYFUNCTION("""COMPUTED_VALUE"""),"Completed")</f>
        <v>Completed</v>
      </c>
    </row>
    <row r="1061">
      <c r="A1061" s="9" t="str">
        <f>IFERROR(__xludf.DUMMYFUNCTION("""COMPUTED_VALUE"""),"G-REQ-01060")</f>
        <v>G-REQ-01060</v>
      </c>
      <c r="B1061" s="11">
        <f>IFERROR(__xludf.DUMMYFUNCTION("""COMPUTED_VALUE"""),45836.75957796123)</f>
        <v>45836.75958</v>
      </c>
      <c r="C1061" s="9">
        <f>IFERROR(__xludf.DUMMYFUNCTION("""COMPUTED_VALUE"""),4477.0)</f>
        <v>4477</v>
      </c>
      <c r="D1061" s="9" t="str">
        <f>IFERROR(__xludf.DUMMYFUNCTION("""COMPUTED_VALUE"""),"Completed")</f>
        <v>Completed</v>
      </c>
    </row>
    <row r="1062">
      <c r="A1062" s="9" t="str">
        <f>IFERROR(__xludf.DUMMYFUNCTION("""COMPUTED_VALUE"""),"G-REQ-01061")</f>
        <v>G-REQ-01061</v>
      </c>
      <c r="B1062" s="11">
        <f>IFERROR(__xludf.DUMMYFUNCTION("""COMPUTED_VALUE"""),45836.83075280664)</f>
        <v>45836.83075</v>
      </c>
      <c r="C1062" s="9">
        <f>IFERROR(__xludf.DUMMYFUNCTION("""COMPUTED_VALUE"""),4481.0)</f>
        <v>4481</v>
      </c>
      <c r="D1062" s="9" t="str">
        <f>IFERROR(__xludf.DUMMYFUNCTION("""COMPUTED_VALUE"""),"Completed")</f>
        <v>Completed</v>
      </c>
    </row>
    <row r="1063">
      <c r="A1063" s="9" t="str">
        <f>IFERROR(__xludf.DUMMYFUNCTION("""COMPUTED_VALUE"""),"G-REQ-01062")</f>
        <v>G-REQ-01062</v>
      </c>
      <c r="B1063" s="11">
        <f>IFERROR(__xludf.DUMMYFUNCTION("""COMPUTED_VALUE"""),45836.901927652056)</f>
        <v>45836.90193</v>
      </c>
      <c r="C1063" s="9">
        <f>IFERROR(__xludf.DUMMYFUNCTION("""COMPUTED_VALUE"""),4485.0)</f>
        <v>4485</v>
      </c>
      <c r="D1063" s="9" t="str">
        <f>IFERROR(__xludf.DUMMYFUNCTION("""COMPUTED_VALUE"""),"Completed")</f>
        <v>Completed</v>
      </c>
    </row>
    <row r="1064">
      <c r="A1064" s="9" t="str">
        <f>IFERROR(__xludf.DUMMYFUNCTION("""COMPUTED_VALUE"""),"G-REQ-01063")</f>
        <v>G-REQ-01063</v>
      </c>
      <c r="B1064" s="11">
        <f>IFERROR(__xludf.DUMMYFUNCTION("""COMPUTED_VALUE"""),45836.96615805303)</f>
        <v>45836.96616</v>
      </c>
      <c r="C1064" s="9">
        <f>IFERROR(__xludf.DUMMYFUNCTION("""COMPUTED_VALUE"""),4487.0)</f>
        <v>4487</v>
      </c>
      <c r="D1064" s="9" t="str">
        <f>IFERROR(__xludf.DUMMYFUNCTION("""COMPUTED_VALUE"""),"Cancelled")</f>
        <v>Cancelled</v>
      </c>
    </row>
    <row r="1065">
      <c r="A1065" s="9" t="str">
        <f>IFERROR(__xludf.DUMMYFUNCTION("""COMPUTED_VALUE"""),"G-REQ-01064")</f>
        <v>G-REQ-01064</v>
      </c>
      <c r="B1065" s="11">
        <f>IFERROR(__xludf.DUMMYFUNCTION("""COMPUTED_VALUE"""),45837.03733289844)</f>
        <v>45837.03733</v>
      </c>
      <c r="C1065" s="9">
        <f>IFERROR(__xludf.DUMMYFUNCTION("""COMPUTED_VALUE"""),4489.0)</f>
        <v>4489</v>
      </c>
      <c r="D1065" s="9" t="str">
        <f>IFERROR(__xludf.DUMMYFUNCTION("""COMPUTED_VALUE"""),"Cancelled")</f>
        <v>Cancelled</v>
      </c>
    </row>
    <row r="1066">
      <c r="A1066" s="9" t="str">
        <f>IFERROR(__xludf.DUMMYFUNCTION("""COMPUTED_VALUE"""),"G-REQ-01065")</f>
        <v>G-REQ-01065</v>
      </c>
      <c r="B1066" s="11">
        <f>IFERROR(__xludf.DUMMYFUNCTION("""COMPUTED_VALUE"""),45837.1154521883)</f>
        <v>45837.11545</v>
      </c>
      <c r="C1066" s="9">
        <f>IFERROR(__xludf.DUMMYFUNCTION("""COMPUTED_VALUE"""),4493.0)</f>
        <v>4493</v>
      </c>
      <c r="D1066" s="9" t="str">
        <f>IFERROR(__xludf.DUMMYFUNCTION("""COMPUTED_VALUE"""),"Completed")</f>
        <v>Completed</v>
      </c>
    </row>
    <row r="1067">
      <c r="A1067" s="9" t="str">
        <f>IFERROR(__xludf.DUMMYFUNCTION("""COMPUTED_VALUE"""),"G-REQ-01066")</f>
        <v>G-REQ-01066</v>
      </c>
      <c r="B1067" s="11">
        <f>IFERROR(__xludf.DUMMYFUNCTION("""COMPUTED_VALUE"""),45837.18662703372)</f>
        <v>45837.18663</v>
      </c>
      <c r="C1067" s="9">
        <f>IFERROR(__xludf.DUMMYFUNCTION("""COMPUTED_VALUE"""),4497.0)</f>
        <v>4497</v>
      </c>
      <c r="D1067" s="9" t="str">
        <f>IFERROR(__xludf.DUMMYFUNCTION("""COMPUTED_VALUE"""),"Completed")</f>
        <v>Completed</v>
      </c>
    </row>
    <row r="1068">
      <c r="A1068" s="9" t="str">
        <f>IFERROR(__xludf.DUMMYFUNCTION("""COMPUTED_VALUE"""),"G-REQ-01067")</f>
        <v>G-REQ-01067</v>
      </c>
      <c r="B1068" s="11">
        <f>IFERROR(__xludf.DUMMYFUNCTION("""COMPUTED_VALUE"""),45837.25780187914)</f>
        <v>45837.2578</v>
      </c>
      <c r="C1068" s="9">
        <f>IFERROR(__xludf.DUMMYFUNCTION("""COMPUTED_VALUE"""),4501.0)</f>
        <v>4501</v>
      </c>
      <c r="D1068" s="9" t="str">
        <f>IFERROR(__xludf.DUMMYFUNCTION("""COMPUTED_VALUE"""),"Completed")</f>
        <v>Completed</v>
      </c>
    </row>
    <row r="1069">
      <c r="A1069" s="9" t="str">
        <f>IFERROR(__xludf.DUMMYFUNCTION("""COMPUTED_VALUE"""),"G-REQ-01068")</f>
        <v>G-REQ-01068</v>
      </c>
      <c r="B1069" s="11">
        <f>IFERROR(__xludf.DUMMYFUNCTION("""COMPUTED_VALUE"""),45837.328976724544)</f>
        <v>45837.32898</v>
      </c>
      <c r="C1069" s="9">
        <f>IFERROR(__xludf.DUMMYFUNCTION("""COMPUTED_VALUE"""),4505.0)</f>
        <v>4505</v>
      </c>
      <c r="D1069" s="9" t="str">
        <f>IFERROR(__xludf.DUMMYFUNCTION("""COMPUTED_VALUE"""),"Completed")</f>
        <v>Completed</v>
      </c>
    </row>
    <row r="1070">
      <c r="A1070" s="9" t="str">
        <f>IFERROR(__xludf.DUMMYFUNCTION("""COMPUTED_VALUE"""),"G-REQ-01069")</f>
        <v>G-REQ-01069</v>
      </c>
      <c r="B1070" s="11">
        <f>IFERROR(__xludf.DUMMYFUNCTION("""COMPUTED_VALUE"""),45837.400151569964)</f>
        <v>45837.40015</v>
      </c>
      <c r="C1070" s="9">
        <f>IFERROR(__xludf.DUMMYFUNCTION("""COMPUTED_VALUE"""),4509.0)</f>
        <v>4509</v>
      </c>
      <c r="D1070" s="9" t="str">
        <f>IFERROR(__xludf.DUMMYFUNCTION("""COMPUTED_VALUE"""),"Completed")</f>
        <v>Completed</v>
      </c>
    </row>
    <row r="1071">
      <c r="A1071" s="9" t="str">
        <f>IFERROR(__xludf.DUMMYFUNCTION("""COMPUTED_VALUE"""),"G-REQ-01070")</f>
        <v>G-REQ-01070</v>
      </c>
      <c r="B1071" s="11">
        <f>IFERROR(__xludf.DUMMYFUNCTION("""COMPUTED_VALUE"""),45837.471326415376)</f>
        <v>45837.47133</v>
      </c>
      <c r="C1071" s="9">
        <f>IFERROR(__xludf.DUMMYFUNCTION("""COMPUTED_VALUE"""),4513.0)</f>
        <v>4513</v>
      </c>
      <c r="D1071" s="9" t="str">
        <f>IFERROR(__xludf.DUMMYFUNCTION("""COMPUTED_VALUE"""),"Completed")</f>
        <v>Completed</v>
      </c>
    </row>
    <row r="1072">
      <c r="A1072" s="9" t="str">
        <f>IFERROR(__xludf.DUMMYFUNCTION("""COMPUTED_VALUE"""),"G-REQ-01071")</f>
        <v>G-REQ-01071</v>
      </c>
      <c r="B1072" s="11">
        <f>IFERROR(__xludf.DUMMYFUNCTION("""COMPUTED_VALUE"""),45837.53555681635)</f>
        <v>45837.53556</v>
      </c>
      <c r="C1072" s="9">
        <f>IFERROR(__xludf.DUMMYFUNCTION("""COMPUTED_VALUE"""),4515.0)</f>
        <v>4515</v>
      </c>
      <c r="D1072" s="9" t="str">
        <f>IFERROR(__xludf.DUMMYFUNCTION("""COMPUTED_VALUE"""),"Rejected")</f>
        <v>Rejected</v>
      </c>
    </row>
    <row r="1073">
      <c r="A1073" s="9" t="str">
        <f>IFERROR(__xludf.DUMMYFUNCTION("""COMPUTED_VALUE"""),"G-REQ-01072")</f>
        <v>G-REQ-01072</v>
      </c>
      <c r="B1073" s="11">
        <f>IFERROR(__xludf.DUMMYFUNCTION("""COMPUTED_VALUE"""),45837.61367610621)</f>
        <v>45837.61368</v>
      </c>
      <c r="C1073" s="9">
        <f>IFERROR(__xludf.DUMMYFUNCTION("""COMPUTED_VALUE"""),4519.0)</f>
        <v>4519</v>
      </c>
      <c r="D1073" s="9" t="str">
        <f>IFERROR(__xludf.DUMMYFUNCTION("""COMPUTED_VALUE"""),"Completed")</f>
        <v>Completed</v>
      </c>
    </row>
    <row r="1074">
      <c r="A1074" s="9" t="str">
        <f>IFERROR(__xludf.DUMMYFUNCTION("""COMPUTED_VALUE"""),"G-REQ-01073")</f>
        <v>G-REQ-01073</v>
      </c>
      <c r="B1074" s="11">
        <f>IFERROR(__xludf.DUMMYFUNCTION("""COMPUTED_VALUE"""),45837.68485095163)</f>
        <v>45837.68485</v>
      </c>
      <c r="C1074" s="9">
        <f>IFERROR(__xludf.DUMMYFUNCTION("""COMPUTED_VALUE"""),4523.0)</f>
        <v>4523</v>
      </c>
      <c r="D1074" s="9" t="str">
        <f>IFERROR(__xludf.DUMMYFUNCTION("""COMPUTED_VALUE"""),"Completed")</f>
        <v>Completed</v>
      </c>
    </row>
    <row r="1075">
      <c r="A1075" s="9" t="str">
        <f>IFERROR(__xludf.DUMMYFUNCTION("""COMPUTED_VALUE"""),"G-REQ-01074")</f>
        <v>G-REQ-01074</v>
      </c>
      <c r="B1075" s="11">
        <f>IFERROR(__xludf.DUMMYFUNCTION("""COMPUTED_VALUE"""),45837.75602579703)</f>
        <v>45837.75603</v>
      </c>
      <c r="C1075" s="9">
        <f>IFERROR(__xludf.DUMMYFUNCTION("""COMPUTED_VALUE"""),4527.0)</f>
        <v>4527</v>
      </c>
      <c r="D1075" s="9" t="str">
        <f>IFERROR(__xludf.DUMMYFUNCTION("""COMPUTED_VALUE"""),"Completed")</f>
        <v>Completed</v>
      </c>
    </row>
    <row r="1076">
      <c r="A1076" s="9" t="str">
        <f>IFERROR(__xludf.DUMMYFUNCTION("""COMPUTED_VALUE"""),"G-REQ-01075")</f>
        <v>G-REQ-01075</v>
      </c>
      <c r="B1076" s="11">
        <f>IFERROR(__xludf.DUMMYFUNCTION("""COMPUTED_VALUE"""),45837.82720064245)</f>
        <v>45837.8272</v>
      </c>
      <c r="C1076" s="9">
        <f>IFERROR(__xludf.DUMMYFUNCTION("""COMPUTED_VALUE"""),4531.0)</f>
        <v>4531</v>
      </c>
      <c r="D1076" s="9" t="str">
        <f>IFERROR(__xludf.DUMMYFUNCTION("""COMPUTED_VALUE"""),"Completed")</f>
        <v>Completed</v>
      </c>
    </row>
    <row r="1077">
      <c r="A1077" s="9" t="str">
        <f>IFERROR(__xludf.DUMMYFUNCTION("""COMPUTED_VALUE"""),"G-REQ-01076")</f>
        <v>G-REQ-01076</v>
      </c>
      <c r="B1077" s="11">
        <f>IFERROR(__xludf.DUMMYFUNCTION("""COMPUTED_VALUE"""),45837.89837548787)</f>
        <v>45837.89838</v>
      </c>
      <c r="C1077" s="9">
        <f>IFERROR(__xludf.DUMMYFUNCTION("""COMPUTED_VALUE"""),4535.0)</f>
        <v>4535</v>
      </c>
      <c r="D1077" s="9" t="str">
        <f>IFERROR(__xludf.DUMMYFUNCTION("""COMPUTED_VALUE"""),"Completed")</f>
        <v>Completed</v>
      </c>
    </row>
    <row r="1078">
      <c r="A1078" s="9" t="str">
        <f>IFERROR(__xludf.DUMMYFUNCTION("""COMPUTED_VALUE"""),"G-REQ-01077")</f>
        <v>G-REQ-01077</v>
      </c>
      <c r="B1078" s="11">
        <f>IFERROR(__xludf.DUMMYFUNCTION("""COMPUTED_VALUE"""),45837.969550333284)</f>
        <v>45837.96955</v>
      </c>
      <c r="C1078" s="9">
        <f>IFERROR(__xludf.DUMMYFUNCTION("""COMPUTED_VALUE"""),4539.0)</f>
        <v>4539</v>
      </c>
      <c r="D1078" s="9" t="str">
        <f>IFERROR(__xludf.DUMMYFUNCTION("""COMPUTED_VALUE"""),"Completed")</f>
        <v>Completed</v>
      </c>
    </row>
    <row r="1079">
      <c r="A1079" s="9" t="str">
        <f>IFERROR(__xludf.DUMMYFUNCTION("""COMPUTED_VALUE"""),"G-REQ-01078")</f>
        <v>G-REQ-01078</v>
      </c>
      <c r="B1079" s="11">
        <f>IFERROR(__xludf.DUMMYFUNCTION("""COMPUTED_VALUE"""),45838.0407251787)</f>
        <v>45838.04073</v>
      </c>
      <c r="C1079" s="9">
        <f>IFERROR(__xludf.DUMMYFUNCTION("""COMPUTED_VALUE"""),4543.0)</f>
        <v>4543</v>
      </c>
      <c r="D1079" s="9" t="str">
        <f>IFERROR(__xludf.DUMMYFUNCTION("""COMPUTED_VALUE"""),"Completed")</f>
        <v>Completed</v>
      </c>
    </row>
    <row r="1080">
      <c r="A1080" s="9" t="str">
        <f>IFERROR(__xludf.DUMMYFUNCTION("""COMPUTED_VALUE"""),"G-REQ-01079")</f>
        <v>G-REQ-01079</v>
      </c>
      <c r="B1080" s="11">
        <f>IFERROR(__xludf.DUMMYFUNCTION("""COMPUTED_VALUE"""),45838.111900024116)</f>
        <v>45838.1119</v>
      </c>
      <c r="C1080" s="9">
        <f>IFERROR(__xludf.DUMMYFUNCTION("""COMPUTED_VALUE"""),4547.0)</f>
        <v>4547</v>
      </c>
      <c r="D1080" s="9" t="str">
        <f>IFERROR(__xludf.DUMMYFUNCTION("""COMPUTED_VALUE"""),"Completed")</f>
        <v>Completed</v>
      </c>
    </row>
    <row r="1081">
      <c r="A1081" s="9" t="str">
        <f>IFERROR(__xludf.DUMMYFUNCTION("""COMPUTED_VALUE"""),"G-REQ-01080")</f>
        <v>G-REQ-01080</v>
      </c>
      <c r="B1081" s="11">
        <f>IFERROR(__xludf.DUMMYFUNCTION("""COMPUTED_VALUE"""),45838.18307486953)</f>
        <v>45838.18307</v>
      </c>
      <c r="C1081" s="9">
        <f>IFERROR(__xludf.DUMMYFUNCTION("""COMPUTED_VALUE"""),4551.0)</f>
        <v>4551</v>
      </c>
      <c r="D1081" s="9" t="str">
        <f>IFERROR(__xludf.DUMMYFUNCTION("""COMPUTED_VALUE"""),"Completed")</f>
        <v>Completed</v>
      </c>
    </row>
    <row r="1082">
      <c r="A1082" s="9" t="str">
        <f>IFERROR(__xludf.DUMMYFUNCTION("""COMPUTED_VALUE"""),"G-REQ-01081")</f>
        <v>G-REQ-01081</v>
      </c>
      <c r="B1082" s="11">
        <f>IFERROR(__xludf.DUMMYFUNCTION("""COMPUTED_VALUE"""),45838.25424971494)</f>
        <v>45838.25425</v>
      </c>
      <c r="C1082" s="9">
        <f>IFERROR(__xludf.DUMMYFUNCTION("""COMPUTED_VALUE"""),4555.0)</f>
        <v>4555</v>
      </c>
      <c r="D1082" s="9" t="str">
        <f>IFERROR(__xludf.DUMMYFUNCTION("""COMPUTED_VALUE"""),"Completed")</f>
        <v>Completed</v>
      </c>
    </row>
    <row r="1083">
      <c r="A1083" s="9" t="str">
        <f>IFERROR(__xludf.DUMMYFUNCTION("""COMPUTED_VALUE"""),"G-REQ-01082")</f>
        <v>G-REQ-01082</v>
      </c>
      <c r="B1083" s="11">
        <f>IFERROR(__xludf.DUMMYFUNCTION("""COMPUTED_VALUE"""),45838.32542456036)</f>
        <v>45838.32542</v>
      </c>
      <c r="C1083" s="9">
        <f>IFERROR(__xludf.DUMMYFUNCTION("""COMPUTED_VALUE"""),4559.0)</f>
        <v>4559</v>
      </c>
      <c r="D1083" s="9" t="str">
        <f>IFERROR(__xludf.DUMMYFUNCTION("""COMPUTED_VALUE"""),"Completed")</f>
        <v>Completed</v>
      </c>
    </row>
    <row r="1084">
      <c r="A1084" s="9" t="str">
        <f>IFERROR(__xludf.DUMMYFUNCTION("""COMPUTED_VALUE"""),"G-REQ-01083")</f>
        <v>G-REQ-01083</v>
      </c>
      <c r="B1084" s="11">
        <f>IFERROR(__xludf.DUMMYFUNCTION("""COMPUTED_VALUE"""),45838.39659940578)</f>
        <v>45838.3966</v>
      </c>
      <c r="C1084" s="9">
        <f>IFERROR(__xludf.DUMMYFUNCTION("""COMPUTED_VALUE"""),4563.0)</f>
        <v>4563</v>
      </c>
      <c r="D1084" s="9" t="str">
        <f>IFERROR(__xludf.DUMMYFUNCTION("""COMPUTED_VALUE"""),"Completed")</f>
        <v>Completed</v>
      </c>
    </row>
    <row r="1085">
      <c r="A1085" s="9" t="str">
        <f>IFERROR(__xludf.DUMMYFUNCTION("""COMPUTED_VALUE"""),"G-REQ-01084")</f>
        <v>G-REQ-01084</v>
      </c>
      <c r="B1085" s="11">
        <f>IFERROR(__xludf.DUMMYFUNCTION("""COMPUTED_VALUE"""),45838.467774251185)</f>
        <v>45838.46777</v>
      </c>
      <c r="C1085" s="9">
        <f>IFERROR(__xludf.DUMMYFUNCTION("""COMPUTED_VALUE"""),4567.0)</f>
        <v>4567</v>
      </c>
      <c r="D1085" s="9" t="str">
        <f>IFERROR(__xludf.DUMMYFUNCTION("""COMPUTED_VALUE"""),"Completed")</f>
        <v>Completed</v>
      </c>
    </row>
    <row r="1086">
      <c r="A1086" s="9" t="str">
        <f>IFERROR(__xludf.DUMMYFUNCTION("""COMPUTED_VALUE"""),"G-REQ-01085")</f>
        <v>G-REQ-01085</v>
      </c>
      <c r="B1086" s="11">
        <f>IFERROR(__xludf.DUMMYFUNCTION("""COMPUTED_VALUE"""),45838.538949096604)</f>
        <v>45838.53895</v>
      </c>
      <c r="C1086" s="9">
        <f>IFERROR(__xludf.DUMMYFUNCTION("""COMPUTED_VALUE"""),4571.0)</f>
        <v>4571</v>
      </c>
      <c r="D1086" s="9" t="str">
        <f>IFERROR(__xludf.DUMMYFUNCTION("""COMPUTED_VALUE"""),"Completed")</f>
        <v>Completed</v>
      </c>
    </row>
    <row r="1087">
      <c r="A1087" s="9" t="str">
        <f>IFERROR(__xludf.DUMMYFUNCTION("""COMPUTED_VALUE"""),"G-REQ-01086")</f>
        <v>G-REQ-01086</v>
      </c>
      <c r="B1087" s="11">
        <f>IFERROR(__xludf.DUMMYFUNCTION("""COMPUTED_VALUE"""),45838.610123942024)</f>
        <v>45838.61012</v>
      </c>
      <c r="C1087" s="9">
        <f>IFERROR(__xludf.DUMMYFUNCTION("""COMPUTED_VALUE"""),4575.0)</f>
        <v>4575</v>
      </c>
      <c r="D1087" s="9" t="str">
        <f>IFERROR(__xludf.DUMMYFUNCTION("""COMPUTED_VALUE"""),"Completed")</f>
        <v>Completed</v>
      </c>
    </row>
    <row r="1088">
      <c r="A1088" s="9" t="str">
        <f>IFERROR(__xludf.DUMMYFUNCTION("""COMPUTED_VALUE"""),"G-REQ-01087")</f>
        <v>G-REQ-01087</v>
      </c>
      <c r="B1088" s="11">
        <f>IFERROR(__xludf.DUMMYFUNCTION("""COMPUTED_VALUE"""),45838.68129878744)</f>
        <v>45838.6813</v>
      </c>
      <c r="C1088" s="9">
        <f>IFERROR(__xludf.DUMMYFUNCTION("""COMPUTED_VALUE"""),4579.0)</f>
        <v>4579</v>
      </c>
      <c r="D1088" s="9" t="str">
        <f>IFERROR(__xludf.DUMMYFUNCTION("""COMPUTED_VALUE"""),"Completed")</f>
        <v>Completed</v>
      </c>
    </row>
    <row r="1089">
      <c r="A1089" s="9" t="str">
        <f>IFERROR(__xludf.DUMMYFUNCTION("""COMPUTED_VALUE"""),"G-REQ-01088")</f>
        <v>G-REQ-01088</v>
      </c>
      <c r="B1089" s="11">
        <f>IFERROR(__xludf.DUMMYFUNCTION("""COMPUTED_VALUE"""),45838.75247363285)</f>
        <v>45838.75247</v>
      </c>
      <c r="C1089" s="9">
        <f>IFERROR(__xludf.DUMMYFUNCTION("""COMPUTED_VALUE"""),4583.0)</f>
        <v>4583</v>
      </c>
      <c r="D1089" s="9" t="str">
        <f>IFERROR(__xludf.DUMMYFUNCTION("""COMPUTED_VALUE"""),"Completed")</f>
        <v>Completed</v>
      </c>
    </row>
    <row r="1090">
      <c r="A1090" s="9" t="str">
        <f>IFERROR(__xludf.DUMMYFUNCTION("""COMPUTED_VALUE"""),"G-REQ-01089")</f>
        <v>G-REQ-01089</v>
      </c>
      <c r="B1090" s="11">
        <f>IFERROR(__xludf.DUMMYFUNCTION("""COMPUTED_VALUE"""),45838.82364847827)</f>
        <v>45838.82365</v>
      </c>
      <c r="C1090" s="9">
        <f>IFERROR(__xludf.DUMMYFUNCTION("""COMPUTED_VALUE"""),4587.0)</f>
        <v>4587</v>
      </c>
      <c r="D1090" s="9" t="str">
        <f>IFERROR(__xludf.DUMMYFUNCTION("""COMPUTED_VALUE"""),"Completed")</f>
        <v>Completed</v>
      </c>
    </row>
    <row r="1091">
      <c r="A1091" s="9" t="str">
        <f>IFERROR(__xludf.DUMMYFUNCTION("""COMPUTED_VALUE"""),"G-REQ-01090")</f>
        <v>G-REQ-01090</v>
      </c>
      <c r="B1091" s="11">
        <f>IFERROR(__xludf.DUMMYFUNCTION("""COMPUTED_VALUE"""),45838.89482332368)</f>
        <v>45838.89482</v>
      </c>
      <c r="C1091" s="9">
        <f>IFERROR(__xludf.DUMMYFUNCTION("""COMPUTED_VALUE"""),4591.0)</f>
        <v>4591</v>
      </c>
      <c r="D1091" s="9" t="str">
        <f>IFERROR(__xludf.DUMMYFUNCTION("""COMPUTED_VALUE"""),"Completed")</f>
        <v>Completed</v>
      </c>
    </row>
    <row r="1092">
      <c r="A1092" s="9" t="str">
        <f>IFERROR(__xludf.DUMMYFUNCTION("""COMPUTED_VALUE"""),"G-REQ-01091")</f>
        <v>G-REQ-01091</v>
      </c>
      <c r="B1092" s="11">
        <f>IFERROR(__xludf.DUMMYFUNCTION("""COMPUTED_VALUE"""),45838.96599816909)</f>
        <v>45838.966</v>
      </c>
      <c r="C1092" s="9">
        <f>IFERROR(__xludf.DUMMYFUNCTION("""COMPUTED_VALUE"""),4595.0)</f>
        <v>4595</v>
      </c>
      <c r="D1092" s="9" t="str">
        <f>IFERROR(__xludf.DUMMYFUNCTION("""COMPUTED_VALUE"""),"Completed")</f>
        <v>Completed</v>
      </c>
    </row>
    <row r="1093">
      <c r="A1093" s="9" t="str">
        <f>IFERROR(__xludf.DUMMYFUNCTION("""COMPUTED_VALUE"""),"G-REQ-01092")</f>
        <v>G-REQ-01092</v>
      </c>
      <c r="B1093" s="11">
        <f>IFERROR(__xludf.DUMMYFUNCTION("""COMPUTED_VALUE"""),45839.03717301451)</f>
        <v>45839.03717</v>
      </c>
      <c r="C1093" s="9">
        <f>IFERROR(__xludf.DUMMYFUNCTION("""COMPUTED_VALUE"""),4599.0)</f>
        <v>4599</v>
      </c>
      <c r="D1093" s="9" t="str">
        <f>IFERROR(__xludf.DUMMYFUNCTION("""COMPUTED_VALUE"""),"Completed")</f>
        <v>Completed</v>
      </c>
    </row>
    <row r="1094">
      <c r="A1094" s="9" t="str">
        <f>IFERROR(__xludf.DUMMYFUNCTION("""COMPUTED_VALUE"""),"G-REQ-01093")</f>
        <v>G-REQ-01093</v>
      </c>
      <c r="B1094" s="11">
        <f>IFERROR(__xludf.DUMMYFUNCTION("""COMPUTED_VALUE"""),45839.108347859925)</f>
        <v>45839.10835</v>
      </c>
      <c r="C1094" s="9">
        <f>IFERROR(__xludf.DUMMYFUNCTION("""COMPUTED_VALUE"""),4603.0)</f>
        <v>4603</v>
      </c>
      <c r="D1094" s="9" t="str">
        <f>IFERROR(__xludf.DUMMYFUNCTION("""COMPUTED_VALUE"""),"Completed")</f>
        <v>Completed</v>
      </c>
    </row>
    <row r="1095">
      <c r="A1095" s="9" t="str">
        <f>IFERROR(__xludf.DUMMYFUNCTION("""COMPUTED_VALUE"""),"G-REQ-01094")</f>
        <v>G-REQ-01094</v>
      </c>
      <c r="B1095" s="11">
        <f>IFERROR(__xludf.DUMMYFUNCTION("""COMPUTED_VALUE"""),45839.17952270534)</f>
        <v>45839.17952</v>
      </c>
      <c r="C1095" s="9">
        <f>IFERROR(__xludf.DUMMYFUNCTION("""COMPUTED_VALUE"""),4607.0)</f>
        <v>4607</v>
      </c>
      <c r="D1095" s="9" t="str">
        <f>IFERROR(__xludf.DUMMYFUNCTION("""COMPUTED_VALUE"""),"Completed")</f>
        <v>Completed</v>
      </c>
    </row>
    <row r="1096">
      <c r="A1096" s="9" t="str">
        <f>IFERROR(__xludf.DUMMYFUNCTION("""COMPUTED_VALUE"""),"G-REQ-01095")</f>
        <v>G-REQ-01095</v>
      </c>
      <c r="B1096" s="11">
        <f>IFERROR(__xludf.DUMMYFUNCTION("""COMPUTED_VALUE"""),45839.25069755076)</f>
        <v>45839.2507</v>
      </c>
      <c r="C1096" s="9">
        <f>IFERROR(__xludf.DUMMYFUNCTION("""COMPUTED_VALUE"""),4611.0)</f>
        <v>4611</v>
      </c>
      <c r="D1096" s="9" t="str">
        <f>IFERROR(__xludf.DUMMYFUNCTION("""COMPUTED_VALUE"""),"Completed")</f>
        <v>Completed</v>
      </c>
    </row>
    <row r="1097">
      <c r="A1097" s="9" t="str">
        <f>IFERROR(__xludf.DUMMYFUNCTION("""COMPUTED_VALUE"""),"G-REQ-01096")</f>
        <v>G-REQ-01096</v>
      </c>
      <c r="B1097" s="11">
        <f>IFERROR(__xludf.DUMMYFUNCTION("""COMPUTED_VALUE"""),45839.314927951724)</f>
        <v>45839.31493</v>
      </c>
      <c r="C1097" s="9">
        <f>IFERROR(__xludf.DUMMYFUNCTION("""COMPUTED_VALUE"""),4613.0)</f>
        <v>4613</v>
      </c>
      <c r="D1097" s="9" t="str">
        <f>IFERROR(__xludf.DUMMYFUNCTION("""COMPUTED_VALUE"""),"Rejected")</f>
        <v>Rejected</v>
      </c>
    </row>
    <row r="1098">
      <c r="A1098" s="9" t="str">
        <f>IFERROR(__xludf.DUMMYFUNCTION("""COMPUTED_VALUE"""),"G-REQ-01097")</f>
        <v>G-REQ-01097</v>
      </c>
      <c r="B1098" s="11">
        <f>IFERROR(__xludf.DUMMYFUNCTION("""COMPUTED_VALUE"""),45839.39304724159)</f>
        <v>45839.39305</v>
      </c>
      <c r="C1098" s="9">
        <f>IFERROR(__xludf.DUMMYFUNCTION("""COMPUTED_VALUE"""),4617.0)</f>
        <v>4617</v>
      </c>
      <c r="D1098" s="9" t="str">
        <f>IFERROR(__xludf.DUMMYFUNCTION("""COMPUTED_VALUE"""),"Completed")</f>
        <v>Completed</v>
      </c>
    </row>
    <row r="1099">
      <c r="A1099" s="9" t="str">
        <f>IFERROR(__xludf.DUMMYFUNCTION("""COMPUTED_VALUE"""),"G-REQ-01098")</f>
        <v>G-REQ-01098</v>
      </c>
      <c r="B1099" s="11">
        <f>IFERROR(__xludf.DUMMYFUNCTION("""COMPUTED_VALUE"""),45839.464222087)</f>
        <v>45839.46422</v>
      </c>
      <c r="C1099" s="9">
        <f>IFERROR(__xludf.DUMMYFUNCTION("""COMPUTED_VALUE"""),4621.0)</f>
        <v>4621</v>
      </c>
      <c r="D1099" s="9" t="str">
        <f>IFERROR(__xludf.DUMMYFUNCTION("""COMPUTED_VALUE"""),"Completed")</f>
        <v>Completed</v>
      </c>
    </row>
    <row r="1100">
      <c r="A1100" s="9" t="str">
        <f>IFERROR(__xludf.DUMMYFUNCTION("""COMPUTED_VALUE"""),"G-REQ-01099")</f>
        <v>G-REQ-01099</v>
      </c>
      <c r="B1100" s="11">
        <f>IFERROR(__xludf.DUMMYFUNCTION("""COMPUTED_VALUE"""),45839.53539693242)</f>
        <v>45839.5354</v>
      </c>
      <c r="C1100" s="9">
        <f>IFERROR(__xludf.DUMMYFUNCTION("""COMPUTED_VALUE"""),4625.0)</f>
        <v>4625</v>
      </c>
      <c r="D1100" s="9" t="str">
        <f>IFERROR(__xludf.DUMMYFUNCTION("""COMPUTED_VALUE"""),"Completed")</f>
        <v>Completed</v>
      </c>
    </row>
    <row r="1101">
      <c r="A1101" s="9" t="str">
        <f>IFERROR(__xludf.DUMMYFUNCTION("""COMPUTED_VALUE"""),"G-REQ-01100")</f>
        <v>G-REQ-01100</v>
      </c>
      <c r="B1101" s="11">
        <f>IFERROR(__xludf.DUMMYFUNCTION("""COMPUTED_VALUE"""),45839.606571777826)</f>
        <v>45839.60657</v>
      </c>
      <c r="C1101" s="9">
        <f>IFERROR(__xludf.DUMMYFUNCTION("""COMPUTED_VALUE"""),4629.0)</f>
        <v>4629</v>
      </c>
      <c r="D1101" s="9" t="str">
        <f>IFERROR(__xludf.DUMMYFUNCTION("""COMPUTED_VALUE"""),"Completed")</f>
        <v>Completed</v>
      </c>
    </row>
    <row r="1102">
      <c r="A1102" s="9" t="str">
        <f>IFERROR(__xludf.DUMMYFUNCTION("""COMPUTED_VALUE"""),"G-REQ-01101")</f>
        <v>G-REQ-01101</v>
      </c>
      <c r="B1102" s="11">
        <f>IFERROR(__xludf.DUMMYFUNCTION("""COMPUTED_VALUE"""),45839.677746623245)</f>
        <v>45839.67775</v>
      </c>
      <c r="C1102" s="9">
        <f>IFERROR(__xludf.DUMMYFUNCTION("""COMPUTED_VALUE"""),4633.0)</f>
        <v>4633</v>
      </c>
      <c r="D1102" s="9" t="str">
        <f>IFERROR(__xludf.DUMMYFUNCTION("""COMPUTED_VALUE"""),"Completed")</f>
        <v>Completed</v>
      </c>
    </row>
    <row r="1103">
      <c r="A1103" s="9" t="str">
        <f>IFERROR(__xludf.DUMMYFUNCTION("""COMPUTED_VALUE"""),"G-REQ-01102")</f>
        <v>G-REQ-01102</v>
      </c>
      <c r="B1103" s="11">
        <f>IFERROR(__xludf.DUMMYFUNCTION("""COMPUTED_VALUE"""),45839.748921468665)</f>
        <v>45839.74892</v>
      </c>
      <c r="C1103" s="9">
        <f>IFERROR(__xludf.DUMMYFUNCTION("""COMPUTED_VALUE"""),4637.0)</f>
        <v>4637</v>
      </c>
      <c r="D1103" s="9" t="str">
        <f>IFERROR(__xludf.DUMMYFUNCTION("""COMPUTED_VALUE"""),"Completed")</f>
        <v>Completed</v>
      </c>
    </row>
    <row r="1104">
      <c r="A1104" s="9" t="str">
        <f>IFERROR(__xludf.DUMMYFUNCTION("""COMPUTED_VALUE"""),"G-REQ-01103")</f>
        <v>G-REQ-01103</v>
      </c>
      <c r="B1104" s="11">
        <f>IFERROR(__xludf.DUMMYFUNCTION("""COMPUTED_VALUE"""),45839.82009631408)</f>
        <v>45839.8201</v>
      </c>
      <c r="C1104" s="9">
        <f>IFERROR(__xludf.DUMMYFUNCTION("""COMPUTED_VALUE"""),4641.0)</f>
        <v>4641</v>
      </c>
      <c r="D1104" s="9" t="str">
        <f>IFERROR(__xludf.DUMMYFUNCTION("""COMPUTED_VALUE"""),"Completed")</f>
        <v>Completed</v>
      </c>
    </row>
    <row r="1105">
      <c r="A1105" s="9" t="str">
        <f>IFERROR(__xludf.DUMMYFUNCTION("""COMPUTED_VALUE"""),"G-REQ-01104")</f>
        <v>G-REQ-01104</v>
      </c>
      <c r="B1105" s="11">
        <f>IFERROR(__xludf.DUMMYFUNCTION("""COMPUTED_VALUE"""),45839.89127115949)</f>
        <v>45839.89127</v>
      </c>
      <c r="C1105" s="9">
        <f>IFERROR(__xludf.DUMMYFUNCTION("""COMPUTED_VALUE"""),4645.0)</f>
        <v>4645</v>
      </c>
      <c r="D1105" s="9" t="str">
        <f>IFERROR(__xludf.DUMMYFUNCTION("""COMPUTED_VALUE"""),"Completed")</f>
        <v>Completed</v>
      </c>
    </row>
    <row r="1106">
      <c r="A1106" s="9" t="str">
        <f>IFERROR(__xludf.DUMMYFUNCTION("""COMPUTED_VALUE"""),"G-REQ-01105")</f>
        <v>G-REQ-01105</v>
      </c>
      <c r="B1106" s="11">
        <f>IFERROR(__xludf.DUMMYFUNCTION("""COMPUTED_VALUE"""),45839.96244600491)</f>
        <v>45839.96245</v>
      </c>
      <c r="C1106" s="9">
        <f>IFERROR(__xludf.DUMMYFUNCTION("""COMPUTED_VALUE"""),4649.0)</f>
        <v>4649</v>
      </c>
      <c r="D1106" s="9" t="str">
        <f>IFERROR(__xludf.DUMMYFUNCTION("""COMPUTED_VALUE"""),"Completed")</f>
        <v>Completed</v>
      </c>
    </row>
    <row r="1107">
      <c r="A1107" s="9" t="str">
        <f>IFERROR(__xludf.DUMMYFUNCTION("""COMPUTED_VALUE"""),"G-REQ-01106")</f>
        <v>G-REQ-01106</v>
      </c>
      <c r="B1107" s="11">
        <f>IFERROR(__xludf.DUMMYFUNCTION("""COMPUTED_VALUE"""),45840.026676405876)</f>
        <v>45840.02668</v>
      </c>
      <c r="C1107" s="9">
        <f>IFERROR(__xludf.DUMMYFUNCTION("""COMPUTED_VALUE"""),4651.0)</f>
        <v>4651</v>
      </c>
      <c r="D1107" s="9" t="str">
        <f>IFERROR(__xludf.DUMMYFUNCTION("""COMPUTED_VALUE"""),"Rejected")</f>
        <v>Rejected</v>
      </c>
    </row>
    <row r="1108">
      <c r="A1108" s="9" t="str">
        <f>IFERROR(__xludf.DUMMYFUNCTION("""COMPUTED_VALUE"""),"G-REQ-01107")</f>
        <v>G-REQ-01107</v>
      </c>
      <c r="B1108" s="11">
        <f>IFERROR(__xludf.DUMMYFUNCTION("""COMPUTED_VALUE"""),45840.09785125129)</f>
        <v>45840.09785</v>
      </c>
      <c r="C1108" s="9">
        <f>IFERROR(__xludf.DUMMYFUNCTION("""COMPUTED_VALUE"""),4653.0)</f>
        <v>4653</v>
      </c>
      <c r="D1108" s="9" t="str">
        <f>IFERROR(__xludf.DUMMYFUNCTION("""COMPUTED_VALUE"""),"Rejected")</f>
        <v>Rejected</v>
      </c>
    </row>
    <row r="1109">
      <c r="A1109" s="9" t="str">
        <f>IFERROR(__xludf.DUMMYFUNCTION("""COMPUTED_VALUE"""),"G-REQ-01108")</f>
        <v>G-REQ-01108</v>
      </c>
      <c r="B1109" s="11">
        <f>IFERROR(__xludf.DUMMYFUNCTION("""COMPUTED_VALUE"""),45840.17597054115)</f>
        <v>45840.17597</v>
      </c>
      <c r="C1109" s="9">
        <f>IFERROR(__xludf.DUMMYFUNCTION("""COMPUTED_VALUE"""),4657.0)</f>
        <v>4657</v>
      </c>
      <c r="D1109" s="9" t="str">
        <f>IFERROR(__xludf.DUMMYFUNCTION("""COMPUTED_VALUE"""),"Completed")</f>
        <v>Completed</v>
      </c>
    </row>
    <row r="1110">
      <c r="A1110" s="9" t="str">
        <f>IFERROR(__xludf.DUMMYFUNCTION("""COMPUTED_VALUE"""),"G-REQ-01109")</f>
        <v>G-REQ-01109</v>
      </c>
      <c r="B1110" s="11">
        <f>IFERROR(__xludf.DUMMYFUNCTION("""COMPUTED_VALUE"""),45840.24714538657)</f>
        <v>45840.24715</v>
      </c>
      <c r="C1110" s="9">
        <f>IFERROR(__xludf.DUMMYFUNCTION("""COMPUTED_VALUE"""),4661.0)</f>
        <v>4661</v>
      </c>
      <c r="D1110" s="9" t="str">
        <f>IFERROR(__xludf.DUMMYFUNCTION("""COMPUTED_VALUE"""),"Completed")</f>
        <v>Completed</v>
      </c>
    </row>
    <row r="1111">
      <c r="A1111" s="9" t="str">
        <f>IFERROR(__xludf.DUMMYFUNCTION("""COMPUTED_VALUE"""),"G-REQ-01110")</f>
        <v>G-REQ-01110</v>
      </c>
      <c r="B1111" s="11">
        <f>IFERROR(__xludf.DUMMYFUNCTION("""COMPUTED_VALUE"""),45840.31137578753)</f>
        <v>45840.31138</v>
      </c>
      <c r="C1111" s="9">
        <f>IFERROR(__xludf.DUMMYFUNCTION("""COMPUTED_VALUE"""),4663.0)</f>
        <v>4663</v>
      </c>
      <c r="D1111" s="9" t="str">
        <f>IFERROR(__xludf.DUMMYFUNCTION("""COMPUTED_VALUE"""),"Rejected")</f>
        <v>Rejected</v>
      </c>
    </row>
    <row r="1112">
      <c r="A1112" s="9" t="str">
        <f>IFERROR(__xludf.DUMMYFUNCTION("""COMPUTED_VALUE"""),"G-REQ-01111")</f>
        <v>G-REQ-01111</v>
      </c>
      <c r="B1112" s="11">
        <f>IFERROR(__xludf.DUMMYFUNCTION("""COMPUTED_VALUE"""),45840.3894950774)</f>
        <v>45840.3895</v>
      </c>
      <c r="C1112" s="9">
        <f>IFERROR(__xludf.DUMMYFUNCTION("""COMPUTED_VALUE"""),4667.0)</f>
        <v>4667</v>
      </c>
      <c r="D1112" s="9" t="str">
        <f>IFERROR(__xludf.DUMMYFUNCTION("""COMPUTED_VALUE"""),"Completed")</f>
        <v>Completed</v>
      </c>
    </row>
    <row r="1113">
      <c r="A1113" s="9" t="str">
        <f>IFERROR(__xludf.DUMMYFUNCTION("""COMPUTED_VALUE"""),"G-REQ-01112")</f>
        <v>G-REQ-01112</v>
      </c>
      <c r="B1113" s="11">
        <f>IFERROR(__xludf.DUMMYFUNCTION("""COMPUTED_VALUE"""),45840.46066992281)</f>
        <v>45840.46067</v>
      </c>
      <c r="C1113" s="9">
        <f>IFERROR(__xludf.DUMMYFUNCTION("""COMPUTED_VALUE"""),4671.0)</f>
        <v>4671</v>
      </c>
      <c r="D1113" s="9" t="str">
        <f>IFERROR(__xludf.DUMMYFUNCTION("""COMPUTED_VALUE"""),"Completed")</f>
        <v>Completed</v>
      </c>
    </row>
    <row r="1114">
      <c r="A1114" s="9" t="str">
        <f>IFERROR(__xludf.DUMMYFUNCTION("""COMPUTED_VALUE"""),"G-REQ-01113")</f>
        <v>G-REQ-01113</v>
      </c>
      <c r="B1114" s="11">
        <f>IFERROR(__xludf.DUMMYFUNCTION("""COMPUTED_VALUE"""),45840.53184476823)</f>
        <v>45840.53184</v>
      </c>
      <c r="C1114" s="9">
        <f>IFERROR(__xludf.DUMMYFUNCTION("""COMPUTED_VALUE"""),4675.0)</f>
        <v>4675</v>
      </c>
      <c r="D1114" s="9" t="str">
        <f>IFERROR(__xludf.DUMMYFUNCTION("""COMPUTED_VALUE"""),"Completed")</f>
        <v>Completed</v>
      </c>
    </row>
    <row r="1115">
      <c r="A1115" s="9" t="str">
        <f>IFERROR(__xludf.DUMMYFUNCTION("""COMPUTED_VALUE"""),"G-REQ-01114")</f>
        <v>G-REQ-01114</v>
      </c>
      <c r="B1115" s="11">
        <f>IFERROR(__xludf.DUMMYFUNCTION("""COMPUTED_VALUE"""),45840.60301961364)</f>
        <v>45840.60302</v>
      </c>
      <c r="C1115" s="9">
        <f>IFERROR(__xludf.DUMMYFUNCTION("""COMPUTED_VALUE"""),4679.0)</f>
        <v>4679</v>
      </c>
      <c r="D1115" s="9" t="str">
        <f>IFERROR(__xludf.DUMMYFUNCTION("""COMPUTED_VALUE"""),"Completed")</f>
        <v>Completed</v>
      </c>
    </row>
    <row r="1116">
      <c r="A1116" s="9" t="str">
        <f>IFERROR(__xludf.DUMMYFUNCTION("""COMPUTED_VALUE"""),"G-REQ-01115")</f>
        <v>G-REQ-01115</v>
      </c>
      <c r="B1116" s="11">
        <f>IFERROR(__xludf.DUMMYFUNCTION("""COMPUTED_VALUE"""),45840.67419445906)</f>
        <v>45840.67419</v>
      </c>
      <c r="C1116" s="9">
        <f>IFERROR(__xludf.DUMMYFUNCTION("""COMPUTED_VALUE"""),4683.0)</f>
        <v>4683</v>
      </c>
      <c r="D1116" s="9" t="str">
        <f>IFERROR(__xludf.DUMMYFUNCTION("""COMPUTED_VALUE"""),"Completed")</f>
        <v>Completed</v>
      </c>
    </row>
    <row r="1117">
      <c r="A1117" s="9" t="str">
        <f>IFERROR(__xludf.DUMMYFUNCTION("""COMPUTED_VALUE"""),"G-REQ-01116")</f>
        <v>G-REQ-01116</v>
      </c>
      <c r="B1117" s="11">
        <f>IFERROR(__xludf.DUMMYFUNCTION("""COMPUTED_VALUE"""),45840.745369304466)</f>
        <v>45840.74537</v>
      </c>
      <c r="C1117" s="9">
        <f>IFERROR(__xludf.DUMMYFUNCTION("""COMPUTED_VALUE"""),4687.0)</f>
        <v>4687</v>
      </c>
      <c r="D1117" s="9" t="str">
        <f>IFERROR(__xludf.DUMMYFUNCTION("""COMPUTED_VALUE"""),"Completed")</f>
        <v>Completed</v>
      </c>
    </row>
    <row r="1118">
      <c r="A1118" s="9" t="str">
        <f>IFERROR(__xludf.DUMMYFUNCTION("""COMPUTED_VALUE"""),"G-REQ-01117")</f>
        <v>G-REQ-01117</v>
      </c>
      <c r="B1118" s="11">
        <f>IFERROR(__xludf.DUMMYFUNCTION("""COMPUTED_VALUE"""),45840.816544149886)</f>
        <v>45840.81654</v>
      </c>
      <c r="C1118" s="9">
        <f>IFERROR(__xludf.DUMMYFUNCTION("""COMPUTED_VALUE"""),4691.0)</f>
        <v>4691</v>
      </c>
      <c r="D1118" s="9" t="str">
        <f>IFERROR(__xludf.DUMMYFUNCTION("""COMPUTED_VALUE"""),"Completed")</f>
        <v>Completed</v>
      </c>
    </row>
    <row r="1119">
      <c r="A1119" s="9" t="str">
        <f>IFERROR(__xludf.DUMMYFUNCTION("""COMPUTED_VALUE"""),"G-REQ-01118")</f>
        <v>G-REQ-01118</v>
      </c>
      <c r="B1119" s="11">
        <f>IFERROR(__xludf.DUMMYFUNCTION("""COMPUTED_VALUE"""),45840.887718995305)</f>
        <v>45840.88772</v>
      </c>
      <c r="C1119" s="9">
        <f>IFERROR(__xludf.DUMMYFUNCTION("""COMPUTED_VALUE"""),4695.0)</f>
        <v>4695</v>
      </c>
      <c r="D1119" s="9" t="str">
        <f>IFERROR(__xludf.DUMMYFUNCTION("""COMPUTED_VALUE"""),"Completed")</f>
        <v>Completed</v>
      </c>
    </row>
    <row r="1120">
      <c r="A1120" s="9" t="str">
        <f>IFERROR(__xludf.DUMMYFUNCTION("""COMPUTED_VALUE"""),"G-REQ-01119")</f>
        <v>G-REQ-01119</v>
      </c>
      <c r="B1120" s="11">
        <f>IFERROR(__xludf.DUMMYFUNCTION("""COMPUTED_VALUE"""),45840.95889384072)</f>
        <v>45840.95889</v>
      </c>
      <c r="C1120" s="9">
        <f>IFERROR(__xludf.DUMMYFUNCTION("""COMPUTED_VALUE"""),4699.0)</f>
        <v>4699</v>
      </c>
      <c r="D1120" s="9" t="str">
        <f>IFERROR(__xludf.DUMMYFUNCTION("""COMPUTED_VALUE"""),"Completed")</f>
        <v>Completed</v>
      </c>
    </row>
    <row r="1121">
      <c r="A1121" s="9" t="str">
        <f>IFERROR(__xludf.DUMMYFUNCTION("""COMPUTED_VALUE"""),"G-REQ-01120")</f>
        <v>G-REQ-01120</v>
      </c>
      <c r="B1121" s="11">
        <f>IFERROR(__xludf.DUMMYFUNCTION("""COMPUTED_VALUE"""),45841.03006868613)</f>
        <v>45841.03007</v>
      </c>
      <c r="C1121" s="9">
        <f>IFERROR(__xludf.DUMMYFUNCTION("""COMPUTED_VALUE"""),4703.0)</f>
        <v>4703</v>
      </c>
      <c r="D1121" s="9" t="str">
        <f>IFERROR(__xludf.DUMMYFUNCTION("""COMPUTED_VALUE"""),"Completed")</f>
        <v>Completed</v>
      </c>
    </row>
    <row r="1122">
      <c r="A1122" s="9" t="str">
        <f>IFERROR(__xludf.DUMMYFUNCTION("""COMPUTED_VALUE"""),"G-REQ-01121")</f>
        <v>G-REQ-01121</v>
      </c>
      <c r="B1122" s="11">
        <f>IFERROR(__xludf.DUMMYFUNCTION("""COMPUTED_VALUE"""),45841.10124353155)</f>
        <v>45841.10124</v>
      </c>
      <c r="C1122" s="9">
        <f>IFERROR(__xludf.DUMMYFUNCTION("""COMPUTED_VALUE"""),4707.0)</f>
        <v>4707</v>
      </c>
      <c r="D1122" s="9" t="str">
        <f>IFERROR(__xludf.DUMMYFUNCTION("""COMPUTED_VALUE"""),"Completed")</f>
        <v>Completed</v>
      </c>
    </row>
    <row r="1123">
      <c r="A1123" s="9" t="str">
        <f>IFERROR(__xludf.DUMMYFUNCTION("""COMPUTED_VALUE"""),"G-REQ-01122")</f>
        <v>G-REQ-01122</v>
      </c>
      <c r="B1123" s="11">
        <f>IFERROR(__xludf.DUMMYFUNCTION("""COMPUTED_VALUE"""),45841.17241837696)</f>
        <v>45841.17242</v>
      </c>
      <c r="C1123" s="9">
        <f>IFERROR(__xludf.DUMMYFUNCTION("""COMPUTED_VALUE"""),4711.0)</f>
        <v>4711</v>
      </c>
      <c r="D1123" s="9" t="str">
        <f>IFERROR(__xludf.DUMMYFUNCTION("""COMPUTED_VALUE"""),"Completed")</f>
        <v>Completed</v>
      </c>
    </row>
    <row r="1124">
      <c r="A1124" s="9" t="str">
        <f>IFERROR(__xludf.DUMMYFUNCTION("""COMPUTED_VALUE"""),"G-REQ-01123")</f>
        <v>G-REQ-01123</v>
      </c>
      <c r="B1124" s="11">
        <f>IFERROR(__xludf.DUMMYFUNCTION("""COMPUTED_VALUE"""),45841.243593222374)</f>
        <v>45841.24359</v>
      </c>
      <c r="C1124" s="9">
        <f>IFERROR(__xludf.DUMMYFUNCTION("""COMPUTED_VALUE"""),4715.0)</f>
        <v>4715</v>
      </c>
      <c r="D1124" s="9" t="str">
        <f>IFERROR(__xludf.DUMMYFUNCTION("""COMPUTED_VALUE"""),"Completed")</f>
        <v>Completed</v>
      </c>
    </row>
    <row r="1125">
      <c r="A1125" s="9" t="str">
        <f>IFERROR(__xludf.DUMMYFUNCTION("""COMPUTED_VALUE"""),"G-REQ-01124")</f>
        <v>G-REQ-01124</v>
      </c>
      <c r="B1125" s="11">
        <f>IFERROR(__xludf.DUMMYFUNCTION("""COMPUTED_VALUE"""),45841.314768067794)</f>
        <v>45841.31477</v>
      </c>
      <c r="C1125" s="9">
        <f>IFERROR(__xludf.DUMMYFUNCTION("""COMPUTED_VALUE"""),4719.0)</f>
        <v>4719</v>
      </c>
      <c r="D1125" s="9" t="str">
        <f>IFERROR(__xludf.DUMMYFUNCTION("""COMPUTED_VALUE"""),"Completed")</f>
        <v>Completed</v>
      </c>
    </row>
    <row r="1126">
      <c r="A1126" s="9" t="str">
        <f>IFERROR(__xludf.DUMMYFUNCTION("""COMPUTED_VALUE"""),"G-REQ-01125")</f>
        <v>G-REQ-01125</v>
      </c>
      <c r="B1126" s="11">
        <f>IFERROR(__xludf.DUMMYFUNCTION("""COMPUTED_VALUE"""),45841.38594291321)</f>
        <v>45841.38594</v>
      </c>
      <c r="C1126" s="9">
        <f>IFERROR(__xludf.DUMMYFUNCTION("""COMPUTED_VALUE"""),4723.0)</f>
        <v>4723</v>
      </c>
      <c r="D1126" s="9" t="str">
        <f>IFERROR(__xludf.DUMMYFUNCTION("""COMPUTED_VALUE"""),"Completed")</f>
        <v>Completed</v>
      </c>
    </row>
    <row r="1127">
      <c r="A1127" s="9" t="str">
        <f>IFERROR(__xludf.DUMMYFUNCTION("""COMPUTED_VALUE"""),"G-REQ-01126")</f>
        <v>G-REQ-01126</v>
      </c>
      <c r="B1127" s="11">
        <f>IFERROR(__xludf.DUMMYFUNCTION("""COMPUTED_VALUE"""),45841.45711775862)</f>
        <v>45841.45712</v>
      </c>
      <c r="C1127" s="9">
        <f>IFERROR(__xludf.DUMMYFUNCTION("""COMPUTED_VALUE"""),4727.0)</f>
        <v>4727</v>
      </c>
      <c r="D1127" s="9" t="str">
        <f>IFERROR(__xludf.DUMMYFUNCTION("""COMPUTED_VALUE"""),"Completed")</f>
        <v>Completed</v>
      </c>
    </row>
    <row r="1128">
      <c r="A1128" s="9" t="str">
        <f>IFERROR(__xludf.DUMMYFUNCTION("""COMPUTED_VALUE"""),"G-REQ-01127")</f>
        <v>G-REQ-01127</v>
      </c>
      <c r="B1128" s="11">
        <f>IFERROR(__xludf.DUMMYFUNCTION("""COMPUTED_VALUE"""),45841.52829260404)</f>
        <v>45841.52829</v>
      </c>
      <c r="C1128" s="9">
        <f>IFERROR(__xludf.DUMMYFUNCTION("""COMPUTED_VALUE"""),4731.0)</f>
        <v>4731</v>
      </c>
      <c r="D1128" s="9" t="str">
        <f>IFERROR(__xludf.DUMMYFUNCTION("""COMPUTED_VALUE"""),"Completed")</f>
        <v>Completed</v>
      </c>
    </row>
    <row r="1129">
      <c r="A1129" s="9" t="str">
        <f>IFERROR(__xludf.DUMMYFUNCTION("""COMPUTED_VALUE"""),"G-REQ-01128")</f>
        <v>G-REQ-01128</v>
      </c>
      <c r="B1129" s="11">
        <f>IFERROR(__xludf.DUMMYFUNCTION("""COMPUTED_VALUE"""),45841.59252300501)</f>
        <v>45841.59252</v>
      </c>
      <c r="C1129" s="9">
        <f>IFERROR(__xludf.DUMMYFUNCTION("""COMPUTED_VALUE"""),4733.0)</f>
        <v>4733</v>
      </c>
      <c r="D1129" s="9" t="str">
        <f>IFERROR(__xludf.DUMMYFUNCTION("""COMPUTED_VALUE"""),"Rejected")</f>
        <v>Rejected</v>
      </c>
    </row>
    <row r="1130">
      <c r="A1130" s="9" t="str">
        <f>IFERROR(__xludf.DUMMYFUNCTION("""COMPUTED_VALUE"""),"G-REQ-01129")</f>
        <v>G-REQ-01129</v>
      </c>
      <c r="B1130" s="11">
        <f>IFERROR(__xludf.DUMMYFUNCTION("""COMPUTED_VALUE"""),45841.663697850425)</f>
        <v>45841.6637</v>
      </c>
      <c r="C1130" s="9">
        <f>IFERROR(__xludf.DUMMYFUNCTION("""COMPUTED_VALUE"""),4735.0)</f>
        <v>4735</v>
      </c>
      <c r="D1130" s="9" t="str">
        <f>IFERROR(__xludf.DUMMYFUNCTION("""COMPUTED_VALUE"""),"Rejected")</f>
        <v>Rejected</v>
      </c>
    </row>
    <row r="1131">
      <c r="A1131" s="9" t="str">
        <f>IFERROR(__xludf.DUMMYFUNCTION("""COMPUTED_VALUE"""),"G-REQ-01130")</f>
        <v>G-REQ-01130</v>
      </c>
      <c r="B1131" s="11">
        <f>IFERROR(__xludf.DUMMYFUNCTION("""COMPUTED_VALUE"""),45841.74181714028)</f>
        <v>45841.74182</v>
      </c>
      <c r="C1131" s="9">
        <f>IFERROR(__xludf.DUMMYFUNCTION("""COMPUTED_VALUE"""),4739.0)</f>
        <v>4739</v>
      </c>
      <c r="D1131" s="9" t="str">
        <f>IFERROR(__xludf.DUMMYFUNCTION("""COMPUTED_VALUE"""),"Completed")</f>
        <v>Completed</v>
      </c>
    </row>
    <row r="1132">
      <c r="A1132" s="9" t="str">
        <f>IFERROR(__xludf.DUMMYFUNCTION("""COMPUTED_VALUE"""),"G-REQ-01131")</f>
        <v>G-REQ-01131</v>
      </c>
      <c r="B1132" s="11">
        <f>IFERROR(__xludf.DUMMYFUNCTION("""COMPUTED_VALUE"""),45841.8129919857)</f>
        <v>45841.81299</v>
      </c>
      <c r="C1132" s="9">
        <f>IFERROR(__xludf.DUMMYFUNCTION("""COMPUTED_VALUE"""),4743.0)</f>
        <v>4743</v>
      </c>
      <c r="D1132" s="9" t="str">
        <f>IFERROR(__xludf.DUMMYFUNCTION("""COMPUTED_VALUE"""),"Completed")</f>
        <v>Completed</v>
      </c>
    </row>
    <row r="1133">
      <c r="A1133" s="9" t="str">
        <f>IFERROR(__xludf.DUMMYFUNCTION("""COMPUTED_VALUE"""),"G-REQ-01132")</f>
        <v>G-REQ-01132</v>
      </c>
      <c r="B1133" s="11">
        <f>IFERROR(__xludf.DUMMYFUNCTION("""COMPUTED_VALUE"""),45841.884166831114)</f>
        <v>45841.88417</v>
      </c>
      <c r="C1133" s="9">
        <f>IFERROR(__xludf.DUMMYFUNCTION("""COMPUTED_VALUE"""),4747.0)</f>
        <v>4747</v>
      </c>
      <c r="D1133" s="9" t="str">
        <f>IFERROR(__xludf.DUMMYFUNCTION("""COMPUTED_VALUE"""),"Completed")</f>
        <v>Completed</v>
      </c>
    </row>
    <row r="1134">
      <c r="A1134" s="9" t="str">
        <f>IFERROR(__xludf.DUMMYFUNCTION("""COMPUTED_VALUE"""),"G-REQ-01133")</f>
        <v>G-REQ-01133</v>
      </c>
      <c r="B1134" s="11">
        <f>IFERROR(__xludf.DUMMYFUNCTION("""COMPUTED_VALUE"""),45841.95534167653)</f>
        <v>45841.95534</v>
      </c>
      <c r="C1134" s="9">
        <f>IFERROR(__xludf.DUMMYFUNCTION("""COMPUTED_VALUE"""),4751.0)</f>
        <v>4751</v>
      </c>
      <c r="D1134" s="9" t="str">
        <f>IFERROR(__xludf.DUMMYFUNCTION("""COMPUTED_VALUE"""),"Completed")</f>
        <v>Completed</v>
      </c>
    </row>
    <row r="1135">
      <c r="A1135" s="9" t="str">
        <f>IFERROR(__xludf.DUMMYFUNCTION("""COMPUTED_VALUE"""),"G-REQ-01134")</f>
        <v>G-REQ-01134</v>
      </c>
      <c r="B1135" s="11">
        <f>IFERROR(__xludf.DUMMYFUNCTION("""COMPUTED_VALUE"""),45842.026516521946)</f>
        <v>45842.02652</v>
      </c>
      <c r="C1135" s="9">
        <f>IFERROR(__xludf.DUMMYFUNCTION("""COMPUTED_VALUE"""),4755.0)</f>
        <v>4755</v>
      </c>
      <c r="D1135" s="9" t="str">
        <f>IFERROR(__xludf.DUMMYFUNCTION("""COMPUTED_VALUE"""),"Completed")</f>
        <v>Completed</v>
      </c>
    </row>
    <row r="1136">
      <c r="A1136" s="9" t="str">
        <f>IFERROR(__xludf.DUMMYFUNCTION("""COMPUTED_VALUE"""),"G-REQ-01135")</f>
        <v>G-REQ-01135</v>
      </c>
      <c r="B1136" s="11">
        <f>IFERROR(__xludf.DUMMYFUNCTION("""COMPUTED_VALUE"""),45842.09769136736)</f>
        <v>45842.09769</v>
      </c>
      <c r="C1136" s="9">
        <f>IFERROR(__xludf.DUMMYFUNCTION("""COMPUTED_VALUE"""),4759.0)</f>
        <v>4759</v>
      </c>
      <c r="D1136" s="9" t="str">
        <f>IFERROR(__xludf.DUMMYFUNCTION("""COMPUTED_VALUE"""),"Completed")</f>
        <v>Completed</v>
      </c>
    </row>
    <row r="1137">
      <c r="A1137" s="9" t="str">
        <f>IFERROR(__xludf.DUMMYFUNCTION("""COMPUTED_VALUE"""),"G-REQ-01136")</f>
        <v>G-REQ-01136</v>
      </c>
      <c r="B1137" s="11">
        <f>IFERROR(__xludf.DUMMYFUNCTION("""COMPUTED_VALUE"""),45842.16886621277)</f>
        <v>45842.16887</v>
      </c>
      <c r="C1137" s="9">
        <f>IFERROR(__xludf.DUMMYFUNCTION("""COMPUTED_VALUE"""),4763.0)</f>
        <v>4763</v>
      </c>
      <c r="D1137" s="9" t="str">
        <f>IFERROR(__xludf.DUMMYFUNCTION("""COMPUTED_VALUE"""),"Completed")</f>
        <v>Completed</v>
      </c>
    </row>
    <row r="1138">
      <c r="A1138" s="9" t="str">
        <f>IFERROR(__xludf.DUMMYFUNCTION("""COMPUTED_VALUE"""),"G-REQ-01137")</f>
        <v>G-REQ-01137</v>
      </c>
      <c r="B1138" s="11">
        <f>IFERROR(__xludf.DUMMYFUNCTION("""COMPUTED_VALUE"""),45842.24004105819)</f>
        <v>45842.24004</v>
      </c>
      <c r="C1138" s="9">
        <f>IFERROR(__xludf.DUMMYFUNCTION("""COMPUTED_VALUE"""),4767.0)</f>
        <v>4767</v>
      </c>
      <c r="D1138" s="9" t="str">
        <f>IFERROR(__xludf.DUMMYFUNCTION("""COMPUTED_VALUE"""),"Completed")</f>
        <v>Completed</v>
      </c>
    </row>
    <row r="1139">
      <c r="A1139" s="9" t="str">
        <f>IFERROR(__xludf.DUMMYFUNCTION("""COMPUTED_VALUE"""),"G-REQ-01138")</f>
        <v>G-REQ-01138</v>
      </c>
      <c r="B1139" s="11">
        <f>IFERROR(__xludf.DUMMYFUNCTION("""COMPUTED_VALUE"""),45842.3112159036)</f>
        <v>45842.31122</v>
      </c>
      <c r="C1139" s="9">
        <f>IFERROR(__xludf.DUMMYFUNCTION("""COMPUTED_VALUE"""),4771.0)</f>
        <v>4771</v>
      </c>
      <c r="D1139" s="9" t="str">
        <f>IFERROR(__xludf.DUMMYFUNCTION("""COMPUTED_VALUE"""),"Completed")</f>
        <v>Completed</v>
      </c>
    </row>
    <row r="1140">
      <c r="A1140" s="9" t="str">
        <f>IFERROR(__xludf.DUMMYFUNCTION("""COMPUTED_VALUE"""),"G-REQ-01139")</f>
        <v>G-REQ-01139</v>
      </c>
      <c r="B1140" s="11">
        <f>IFERROR(__xludf.DUMMYFUNCTION("""COMPUTED_VALUE"""),45842.382390749015)</f>
        <v>45842.38239</v>
      </c>
      <c r="C1140" s="9">
        <f>IFERROR(__xludf.DUMMYFUNCTION("""COMPUTED_VALUE"""),4775.0)</f>
        <v>4775</v>
      </c>
      <c r="D1140" s="9" t="str">
        <f>IFERROR(__xludf.DUMMYFUNCTION("""COMPUTED_VALUE"""),"Completed")</f>
        <v>Completed</v>
      </c>
    </row>
    <row r="1141">
      <c r="A1141" s="9" t="str">
        <f>IFERROR(__xludf.DUMMYFUNCTION("""COMPUTED_VALUE"""),"G-REQ-01140")</f>
        <v>G-REQ-01140</v>
      </c>
      <c r="B1141" s="11">
        <f>IFERROR(__xludf.DUMMYFUNCTION("""COMPUTED_VALUE"""),45842.453565594435)</f>
        <v>45842.45357</v>
      </c>
      <c r="C1141" s="9">
        <f>IFERROR(__xludf.DUMMYFUNCTION("""COMPUTED_VALUE"""),4779.0)</f>
        <v>4779</v>
      </c>
      <c r="D1141" s="9" t="str">
        <f>IFERROR(__xludf.DUMMYFUNCTION("""COMPUTED_VALUE"""),"Completed")</f>
        <v>Completed</v>
      </c>
    </row>
    <row r="1142">
      <c r="A1142" s="9" t="str">
        <f>IFERROR(__xludf.DUMMYFUNCTION("""COMPUTED_VALUE"""),"G-REQ-01141")</f>
        <v>G-REQ-01141</v>
      </c>
      <c r="B1142" s="11">
        <f>IFERROR(__xludf.DUMMYFUNCTION("""COMPUTED_VALUE"""),45842.524740439854)</f>
        <v>45842.52474</v>
      </c>
      <c r="C1142" s="9">
        <f>IFERROR(__xludf.DUMMYFUNCTION("""COMPUTED_VALUE"""),4783.0)</f>
        <v>4783</v>
      </c>
      <c r="D1142" s="9" t="str">
        <f>IFERROR(__xludf.DUMMYFUNCTION("""COMPUTED_VALUE"""),"Completed")</f>
        <v>Completed</v>
      </c>
    </row>
    <row r="1143">
      <c r="A1143" s="9" t="str">
        <f>IFERROR(__xludf.DUMMYFUNCTION("""COMPUTED_VALUE"""),"G-REQ-01142")</f>
        <v>G-REQ-01142</v>
      </c>
      <c r="B1143" s="11">
        <f>IFERROR(__xludf.DUMMYFUNCTION("""COMPUTED_VALUE"""),45842.59591528526)</f>
        <v>45842.59592</v>
      </c>
      <c r="C1143" s="9">
        <f>IFERROR(__xludf.DUMMYFUNCTION("""COMPUTED_VALUE"""),4787.0)</f>
        <v>4787</v>
      </c>
      <c r="D1143" s="9" t="str">
        <f>IFERROR(__xludf.DUMMYFUNCTION("""COMPUTED_VALUE"""),"Completed")</f>
        <v>Completed</v>
      </c>
    </row>
    <row r="1144">
      <c r="A1144" s="9" t="str">
        <f>IFERROR(__xludf.DUMMYFUNCTION("""COMPUTED_VALUE"""),"G-REQ-01143")</f>
        <v>G-REQ-01143</v>
      </c>
      <c r="B1144" s="11">
        <f>IFERROR(__xludf.DUMMYFUNCTION("""COMPUTED_VALUE"""),45842.66014568623)</f>
        <v>45842.66015</v>
      </c>
      <c r="C1144" s="9">
        <f>IFERROR(__xludf.DUMMYFUNCTION("""COMPUTED_VALUE"""),4789.0)</f>
        <v>4789</v>
      </c>
      <c r="D1144" s="9" t="str">
        <f>IFERROR(__xludf.DUMMYFUNCTION("""COMPUTED_VALUE"""),"Rejected")</f>
        <v>Rejected</v>
      </c>
    </row>
    <row r="1145">
      <c r="A1145" s="9" t="str">
        <f>IFERROR(__xludf.DUMMYFUNCTION("""COMPUTED_VALUE"""),"G-REQ-01144")</f>
        <v>G-REQ-01144</v>
      </c>
      <c r="B1145" s="11">
        <f>IFERROR(__xludf.DUMMYFUNCTION("""COMPUTED_VALUE"""),45842.7382649761)</f>
        <v>45842.73826</v>
      </c>
      <c r="C1145" s="9">
        <f>IFERROR(__xludf.DUMMYFUNCTION("""COMPUTED_VALUE"""),4793.0)</f>
        <v>4793</v>
      </c>
      <c r="D1145" s="9" t="str">
        <f>IFERROR(__xludf.DUMMYFUNCTION("""COMPUTED_VALUE"""),"Completed")</f>
        <v>Completed</v>
      </c>
    </row>
    <row r="1146">
      <c r="A1146" s="9" t="str">
        <f>IFERROR(__xludf.DUMMYFUNCTION("""COMPUTED_VALUE"""),"G-REQ-01145")</f>
        <v>G-REQ-01145</v>
      </c>
      <c r="B1146" s="11">
        <f>IFERROR(__xludf.DUMMYFUNCTION("""COMPUTED_VALUE"""),45842.80943982151)</f>
        <v>45842.80944</v>
      </c>
      <c r="C1146" s="9">
        <f>IFERROR(__xludf.DUMMYFUNCTION("""COMPUTED_VALUE"""),4797.0)</f>
        <v>4797</v>
      </c>
      <c r="D1146" s="9" t="str">
        <f>IFERROR(__xludf.DUMMYFUNCTION("""COMPUTED_VALUE"""),"Completed")</f>
        <v>Completed</v>
      </c>
    </row>
    <row r="1147">
      <c r="A1147" s="9" t="str">
        <f>IFERROR(__xludf.DUMMYFUNCTION("""COMPUTED_VALUE"""),"G-REQ-01146")</f>
        <v>G-REQ-01146</v>
      </c>
      <c r="B1147" s="11">
        <f>IFERROR(__xludf.DUMMYFUNCTION("""COMPUTED_VALUE"""),45842.88061466692)</f>
        <v>45842.88061</v>
      </c>
      <c r="C1147" s="9">
        <f>IFERROR(__xludf.DUMMYFUNCTION("""COMPUTED_VALUE"""),4801.0)</f>
        <v>4801</v>
      </c>
      <c r="D1147" s="9" t="str">
        <f>IFERROR(__xludf.DUMMYFUNCTION("""COMPUTED_VALUE"""),"Completed")</f>
        <v>Completed</v>
      </c>
    </row>
    <row r="1148">
      <c r="A1148" s="9" t="str">
        <f>IFERROR(__xludf.DUMMYFUNCTION("""COMPUTED_VALUE"""),"G-REQ-01147")</f>
        <v>G-REQ-01147</v>
      </c>
      <c r="B1148" s="11">
        <f>IFERROR(__xludf.DUMMYFUNCTION("""COMPUTED_VALUE"""),45842.95178951234)</f>
        <v>45842.95179</v>
      </c>
      <c r="C1148" s="9">
        <f>IFERROR(__xludf.DUMMYFUNCTION("""COMPUTED_VALUE"""),4805.0)</f>
        <v>4805</v>
      </c>
      <c r="D1148" s="9" t="str">
        <f>IFERROR(__xludf.DUMMYFUNCTION("""COMPUTED_VALUE"""),"Completed")</f>
        <v>Completed</v>
      </c>
    </row>
    <row r="1149">
      <c r="A1149" s="9" t="str">
        <f>IFERROR(__xludf.DUMMYFUNCTION("""COMPUTED_VALUE"""),"G-REQ-01148")</f>
        <v>G-REQ-01148</v>
      </c>
      <c r="B1149" s="11">
        <f>IFERROR(__xludf.DUMMYFUNCTION("""COMPUTED_VALUE"""),45843.01601991331)</f>
        <v>45843.01602</v>
      </c>
      <c r="C1149" s="9">
        <f>IFERROR(__xludf.DUMMYFUNCTION("""COMPUTED_VALUE"""),4807.0)</f>
        <v>4807</v>
      </c>
      <c r="D1149" s="9" t="str">
        <f>IFERROR(__xludf.DUMMYFUNCTION("""COMPUTED_VALUE"""),"Rejected")</f>
        <v>Rejected</v>
      </c>
    </row>
    <row r="1150">
      <c r="A1150" s="9" t="str">
        <f>IFERROR(__xludf.DUMMYFUNCTION("""COMPUTED_VALUE"""),"G-REQ-01149")</f>
        <v>G-REQ-01149</v>
      </c>
      <c r="B1150" s="11">
        <f>IFERROR(__xludf.DUMMYFUNCTION("""COMPUTED_VALUE"""),45843.09413920317)</f>
        <v>45843.09414</v>
      </c>
      <c r="C1150" s="9">
        <f>IFERROR(__xludf.DUMMYFUNCTION("""COMPUTED_VALUE"""),4811.0)</f>
        <v>4811</v>
      </c>
      <c r="D1150" s="9" t="str">
        <f>IFERROR(__xludf.DUMMYFUNCTION("""COMPUTED_VALUE"""),"Completed")</f>
        <v>Completed</v>
      </c>
    </row>
    <row r="1151">
      <c r="A1151" s="9" t="str">
        <f>IFERROR(__xludf.DUMMYFUNCTION("""COMPUTED_VALUE"""),"G-REQ-01150")</f>
        <v>G-REQ-01150</v>
      </c>
      <c r="B1151" s="11">
        <f>IFERROR(__xludf.DUMMYFUNCTION("""COMPUTED_VALUE"""),45843.16531404859)</f>
        <v>45843.16531</v>
      </c>
      <c r="C1151" s="9">
        <f>IFERROR(__xludf.DUMMYFUNCTION("""COMPUTED_VALUE"""),4815.0)</f>
        <v>4815</v>
      </c>
      <c r="D1151" s="9" t="str">
        <f>IFERROR(__xludf.DUMMYFUNCTION("""COMPUTED_VALUE"""),"Completed")</f>
        <v>Completed</v>
      </c>
    </row>
    <row r="1152">
      <c r="A1152" s="9" t="str">
        <f>IFERROR(__xludf.DUMMYFUNCTION("""COMPUTED_VALUE"""),"G-REQ-01151")</f>
        <v>G-REQ-01151</v>
      </c>
      <c r="B1152" s="11">
        <f>IFERROR(__xludf.DUMMYFUNCTION("""COMPUTED_VALUE"""),45843.23648889401)</f>
        <v>45843.23649</v>
      </c>
      <c r="C1152" s="9">
        <f>IFERROR(__xludf.DUMMYFUNCTION("""COMPUTED_VALUE"""),4819.0)</f>
        <v>4819</v>
      </c>
      <c r="D1152" s="9" t="str">
        <f>IFERROR(__xludf.DUMMYFUNCTION("""COMPUTED_VALUE"""),"Completed")</f>
        <v>Completed</v>
      </c>
    </row>
    <row r="1153">
      <c r="A1153" s="9" t="str">
        <f>IFERROR(__xludf.DUMMYFUNCTION("""COMPUTED_VALUE"""),"G-REQ-01152")</f>
        <v>G-REQ-01152</v>
      </c>
      <c r="B1153" s="11">
        <f>IFERROR(__xludf.DUMMYFUNCTION("""COMPUTED_VALUE"""),45843.30766373941)</f>
        <v>45843.30766</v>
      </c>
      <c r="C1153" s="9">
        <f>IFERROR(__xludf.DUMMYFUNCTION("""COMPUTED_VALUE"""),4823.0)</f>
        <v>4823</v>
      </c>
      <c r="D1153" s="9" t="str">
        <f>IFERROR(__xludf.DUMMYFUNCTION("""COMPUTED_VALUE"""),"Completed")</f>
        <v>Completed</v>
      </c>
    </row>
    <row r="1154">
      <c r="A1154" s="9" t="str">
        <f>IFERROR(__xludf.DUMMYFUNCTION("""COMPUTED_VALUE"""),"G-REQ-01153")</f>
        <v>G-REQ-01153</v>
      </c>
      <c r="B1154" s="11">
        <f>IFERROR(__xludf.DUMMYFUNCTION("""COMPUTED_VALUE"""),45843.37883858483)</f>
        <v>45843.37884</v>
      </c>
      <c r="C1154" s="9">
        <f>IFERROR(__xludf.DUMMYFUNCTION("""COMPUTED_VALUE"""),4827.0)</f>
        <v>4827</v>
      </c>
      <c r="D1154" s="9" t="str">
        <f>IFERROR(__xludf.DUMMYFUNCTION("""COMPUTED_VALUE"""),"Completed")</f>
        <v>Completed</v>
      </c>
    </row>
    <row r="1155">
      <c r="A1155" s="9" t="str">
        <f>IFERROR(__xludf.DUMMYFUNCTION("""COMPUTED_VALUE"""),"G-REQ-01154")</f>
        <v>G-REQ-01154</v>
      </c>
      <c r="B1155" s="11">
        <f>IFERROR(__xludf.DUMMYFUNCTION("""COMPUTED_VALUE"""),45843.45001343024)</f>
        <v>45843.45001</v>
      </c>
      <c r="C1155" s="9">
        <f>IFERROR(__xludf.DUMMYFUNCTION("""COMPUTED_VALUE"""),4831.0)</f>
        <v>4831</v>
      </c>
      <c r="D1155" s="9" t="str">
        <f>IFERROR(__xludf.DUMMYFUNCTION("""COMPUTED_VALUE"""),"Completed")</f>
        <v>Completed</v>
      </c>
    </row>
    <row r="1156">
      <c r="A1156" s="9" t="str">
        <f>IFERROR(__xludf.DUMMYFUNCTION("""COMPUTED_VALUE"""),"G-REQ-01155")</f>
        <v>G-REQ-01155</v>
      </c>
      <c r="B1156" s="11">
        <f>IFERROR(__xludf.DUMMYFUNCTION("""COMPUTED_VALUE"""),45843.52118827566)</f>
        <v>45843.52119</v>
      </c>
      <c r="C1156" s="9">
        <f>IFERROR(__xludf.DUMMYFUNCTION("""COMPUTED_VALUE"""),4835.0)</f>
        <v>4835</v>
      </c>
      <c r="D1156" s="9" t="str">
        <f>IFERROR(__xludf.DUMMYFUNCTION("""COMPUTED_VALUE"""),"Completed")</f>
        <v>Completed</v>
      </c>
    </row>
    <row r="1157">
      <c r="A1157" s="9" t="str">
        <f>IFERROR(__xludf.DUMMYFUNCTION("""COMPUTED_VALUE"""),"G-REQ-01156")</f>
        <v>G-REQ-01156</v>
      </c>
      <c r="B1157" s="11">
        <f>IFERROR(__xludf.DUMMYFUNCTION("""COMPUTED_VALUE"""),45843.592363121075)</f>
        <v>45843.59236</v>
      </c>
      <c r="C1157" s="9">
        <f>IFERROR(__xludf.DUMMYFUNCTION("""COMPUTED_VALUE"""),4839.0)</f>
        <v>4839</v>
      </c>
      <c r="D1157" s="9" t="str">
        <f>IFERROR(__xludf.DUMMYFUNCTION("""COMPUTED_VALUE"""),"Completed")</f>
        <v>Completed</v>
      </c>
    </row>
    <row r="1158">
      <c r="A1158" s="9" t="str">
        <f>IFERROR(__xludf.DUMMYFUNCTION("""COMPUTED_VALUE"""),"G-REQ-01157")</f>
        <v>G-REQ-01157</v>
      </c>
      <c r="B1158" s="11">
        <f>IFERROR(__xludf.DUMMYFUNCTION("""COMPUTED_VALUE"""),45843.663537966495)</f>
        <v>45843.66354</v>
      </c>
      <c r="C1158" s="9">
        <f>IFERROR(__xludf.DUMMYFUNCTION("""COMPUTED_VALUE"""),4843.0)</f>
        <v>4843</v>
      </c>
      <c r="D1158" s="9" t="str">
        <f>IFERROR(__xludf.DUMMYFUNCTION("""COMPUTED_VALUE"""),"Completed")</f>
        <v>Completed</v>
      </c>
    </row>
    <row r="1159">
      <c r="A1159" s="9" t="str">
        <f>IFERROR(__xludf.DUMMYFUNCTION("""COMPUTED_VALUE"""),"G-REQ-01158")</f>
        <v>G-REQ-01158</v>
      </c>
      <c r="B1159" s="11">
        <f>IFERROR(__xludf.DUMMYFUNCTION("""COMPUTED_VALUE"""),45843.7347128119)</f>
        <v>45843.73471</v>
      </c>
      <c r="C1159" s="9">
        <f>IFERROR(__xludf.DUMMYFUNCTION("""COMPUTED_VALUE"""),4847.0)</f>
        <v>4847</v>
      </c>
      <c r="D1159" s="9" t="str">
        <f>IFERROR(__xludf.DUMMYFUNCTION("""COMPUTED_VALUE"""),"Completed")</f>
        <v>Completed</v>
      </c>
    </row>
    <row r="1160">
      <c r="A1160" s="9" t="str">
        <f>IFERROR(__xludf.DUMMYFUNCTION("""COMPUTED_VALUE"""),"G-REQ-01159")</f>
        <v>G-REQ-01159</v>
      </c>
      <c r="B1160" s="11">
        <f>IFERROR(__xludf.DUMMYFUNCTION("""COMPUTED_VALUE"""),45843.80588765732)</f>
        <v>45843.80589</v>
      </c>
      <c r="C1160" s="9">
        <f>IFERROR(__xludf.DUMMYFUNCTION("""COMPUTED_VALUE"""),4851.0)</f>
        <v>4851</v>
      </c>
      <c r="D1160" s="9" t="str">
        <f>IFERROR(__xludf.DUMMYFUNCTION("""COMPUTED_VALUE"""),"Completed")</f>
        <v>Completed</v>
      </c>
    </row>
    <row r="1161">
      <c r="A1161" s="9" t="str">
        <f>IFERROR(__xludf.DUMMYFUNCTION("""COMPUTED_VALUE"""),"G-REQ-01160")</f>
        <v>G-REQ-01160</v>
      </c>
      <c r="B1161" s="11">
        <f>IFERROR(__xludf.DUMMYFUNCTION("""COMPUTED_VALUE"""),45843.870118058294)</f>
        <v>45843.87012</v>
      </c>
      <c r="C1161" s="9">
        <f>IFERROR(__xludf.DUMMYFUNCTION("""COMPUTED_VALUE"""),4853.0)</f>
        <v>4853</v>
      </c>
      <c r="D1161" s="9" t="str">
        <f>IFERROR(__xludf.DUMMYFUNCTION("""COMPUTED_VALUE"""),"Rejected")</f>
        <v>Rejected</v>
      </c>
    </row>
    <row r="1162">
      <c r="A1162" s="9" t="str">
        <f>IFERROR(__xludf.DUMMYFUNCTION("""COMPUTED_VALUE"""),"G-REQ-01161")</f>
        <v>G-REQ-01161</v>
      </c>
      <c r="B1162" s="11">
        <f>IFERROR(__xludf.DUMMYFUNCTION("""COMPUTED_VALUE"""),45843.94823734815)</f>
        <v>45843.94824</v>
      </c>
      <c r="C1162" s="9">
        <f>IFERROR(__xludf.DUMMYFUNCTION("""COMPUTED_VALUE"""),4857.0)</f>
        <v>4857</v>
      </c>
      <c r="D1162" s="9" t="str">
        <f>IFERROR(__xludf.DUMMYFUNCTION("""COMPUTED_VALUE"""),"Completed")</f>
        <v>Completed</v>
      </c>
    </row>
    <row r="1163">
      <c r="A1163" s="9" t="str">
        <f>IFERROR(__xludf.DUMMYFUNCTION("""COMPUTED_VALUE"""),"G-REQ-01162")</f>
        <v>G-REQ-01162</v>
      </c>
      <c r="B1163" s="11">
        <f>IFERROR(__xludf.DUMMYFUNCTION("""COMPUTED_VALUE"""),45844.019412193564)</f>
        <v>45844.01941</v>
      </c>
      <c r="C1163" s="9">
        <f>IFERROR(__xludf.DUMMYFUNCTION("""COMPUTED_VALUE"""),4861.0)</f>
        <v>4861</v>
      </c>
      <c r="D1163" s="9" t="str">
        <f>IFERROR(__xludf.DUMMYFUNCTION("""COMPUTED_VALUE"""),"Completed")</f>
        <v>Completed</v>
      </c>
    </row>
    <row r="1164">
      <c r="A1164" s="9" t="str">
        <f>IFERROR(__xludf.DUMMYFUNCTION("""COMPUTED_VALUE"""),"G-REQ-01163")</f>
        <v>G-REQ-01163</v>
      </c>
      <c r="B1164" s="11">
        <f>IFERROR(__xludf.DUMMYFUNCTION("""COMPUTED_VALUE"""),45844.09058703898)</f>
        <v>45844.09059</v>
      </c>
      <c r="C1164" s="9">
        <f>IFERROR(__xludf.DUMMYFUNCTION("""COMPUTED_VALUE"""),4865.0)</f>
        <v>4865</v>
      </c>
      <c r="D1164" s="9" t="str">
        <f>IFERROR(__xludf.DUMMYFUNCTION("""COMPUTED_VALUE"""),"Completed")</f>
        <v>Completed</v>
      </c>
    </row>
    <row r="1165">
      <c r="A1165" s="9" t="str">
        <f>IFERROR(__xludf.DUMMYFUNCTION("""COMPUTED_VALUE"""),"G-REQ-01164")</f>
        <v>G-REQ-01164</v>
      </c>
      <c r="B1165" s="11">
        <f>IFERROR(__xludf.DUMMYFUNCTION("""COMPUTED_VALUE"""),45844.15481743995)</f>
        <v>45844.15482</v>
      </c>
      <c r="C1165" s="9">
        <f>IFERROR(__xludf.DUMMYFUNCTION("""COMPUTED_VALUE"""),4867.0)</f>
        <v>4867</v>
      </c>
      <c r="D1165" s="9" t="str">
        <f>IFERROR(__xludf.DUMMYFUNCTION("""COMPUTED_VALUE"""),"Rejected")</f>
        <v>Rejected</v>
      </c>
    </row>
    <row r="1166">
      <c r="A1166" s="9" t="str">
        <f>IFERROR(__xludf.DUMMYFUNCTION("""COMPUTED_VALUE"""),"G-REQ-01165")</f>
        <v>G-REQ-01165</v>
      </c>
      <c r="B1166" s="11">
        <f>IFERROR(__xludf.DUMMYFUNCTION("""COMPUTED_VALUE"""),45844.23293672981)</f>
        <v>45844.23294</v>
      </c>
      <c r="C1166" s="9">
        <f>IFERROR(__xludf.DUMMYFUNCTION("""COMPUTED_VALUE"""),4871.0)</f>
        <v>4871</v>
      </c>
      <c r="D1166" s="9" t="str">
        <f>IFERROR(__xludf.DUMMYFUNCTION("""COMPUTED_VALUE"""),"Completed")</f>
        <v>Completed</v>
      </c>
    </row>
    <row r="1167">
      <c r="A1167" s="9" t="str">
        <f>IFERROR(__xludf.DUMMYFUNCTION("""COMPUTED_VALUE"""),"G-REQ-01166")</f>
        <v>G-REQ-01166</v>
      </c>
      <c r="B1167" s="11">
        <f>IFERROR(__xludf.DUMMYFUNCTION("""COMPUTED_VALUE"""),45844.30411157523)</f>
        <v>45844.30411</v>
      </c>
      <c r="C1167" s="9">
        <f>IFERROR(__xludf.DUMMYFUNCTION("""COMPUTED_VALUE"""),4875.0)</f>
        <v>4875</v>
      </c>
      <c r="D1167" s="9" t="str">
        <f>IFERROR(__xludf.DUMMYFUNCTION("""COMPUTED_VALUE"""),"Completed")</f>
        <v>Completed</v>
      </c>
    </row>
    <row r="1168">
      <c r="A1168" s="9" t="str">
        <f>IFERROR(__xludf.DUMMYFUNCTION("""COMPUTED_VALUE"""),"G-REQ-01167")</f>
        <v>G-REQ-01167</v>
      </c>
      <c r="B1168" s="11">
        <f>IFERROR(__xludf.DUMMYFUNCTION("""COMPUTED_VALUE"""),45844.3683419762)</f>
        <v>45844.36834</v>
      </c>
      <c r="C1168" s="9">
        <f>IFERROR(__xludf.DUMMYFUNCTION("""COMPUTED_VALUE"""),4877.0)</f>
        <v>4877</v>
      </c>
      <c r="D1168" s="9" t="str">
        <f>IFERROR(__xludf.DUMMYFUNCTION("""COMPUTED_VALUE"""),"Rejected")</f>
        <v>Rejected</v>
      </c>
    </row>
    <row r="1169">
      <c r="A1169" s="9" t="str">
        <f>IFERROR(__xludf.DUMMYFUNCTION("""COMPUTED_VALUE"""),"G-REQ-01168")</f>
        <v>G-REQ-01168</v>
      </c>
      <c r="B1169" s="11">
        <f>IFERROR(__xludf.DUMMYFUNCTION("""COMPUTED_VALUE"""),45844.44646126605)</f>
        <v>45844.44646</v>
      </c>
      <c r="C1169" s="9">
        <f>IFERROR(__xludf.DUMMYFUNCTION("""COMPUTED_VALUE"""),4881.0)</f>
        <v>4881</v>
      </c>
      <c r="D1169" s="9" t="str">
        <f>IFERROR(__xludf.DUMMYFUNCTION("""COMPUTED_VALUE"""),"Completed")</f>
        <v>Completed</v>
      </c>
    </row>
    <row r="1170">
      <c r="A1170" s="9" t="str">
        <f>IFERROR(__xludf.DUMMYFUNCTION("""COMPUTED_VALUE"""),"G-REQ-01169")</f>
        <v>G-REQ-01169</v>
      </c>
      <c r="B1170" s="11">
        <f>IFERROR(__xludf.DUMMYFUNCTION("""COMPUTED_VALUE"""),45844.51763611147)</f>
        <v>45844.51764</v>
      </c>
      <c r="C1170" s="9">
        <f>IFERROR(__xludf.DUMMYFUNCTION("""COMPUTED_VALUE"""),4885.0)</f>
        <v>4885</v>
      </c>
      <c r="D1170" s="9" t="str">
        <f>IFERROR(__xludf.DUMMYFUNCTION("""COMPUTED_VALUE"""),"Completed")</f>
        <v>Completed</v>
      </c>
    </row>
    <row r="1171">
      <c r="A1171" s="9" t="str">
        <f>IFERROR(__xludf.DUMMYFUNCTION("""COMPUTED_VALUE"""),"G-REQ-01170")</f>
        <v>G-REQ-01170</v>
      </c>
      <c r="B1171" s="11">
        <f>IFERROR(__xludf.DUMMYFUNCTION("""COMPUTED_VALUE"""),45844.58881095689)</f>
        <v>45844.58881</v>
      </c>
      <c r="C1171" s="9">
        <f>IFERROR(__xludf.DUMMYFUNCTION("""COMPUTED_VALUE"""),4889.0)</f>
        <v>4889</v>
      </c>
      <c r="D1171" s="9" t="str">
        <f>IFERROR(__xludf.DUMMYFUNCTION("""COMPUTED_VALUE"""),"Completed")</f>
        <v>Completed</v>
      </c>
    </row>
    <row r="1172">
      <c r="A1172" s="9" t="str">
        <f>IFERROR(__xludf.DUMMYFUNCTION("""COMPUTED_VALUE"""),"G-REQ-01171")</f>
        <v>G-REQ-01171</v>
      </c>
      <c r="B1172" s="11">
        <f>IFERROR(__xludf.DUMMYFUNCTION("""COMPUTED_VALUE"""),45844.659985802304)</f>
        <v>45844.65999</v>
      </c>
      <c r="C1172" s="9">
        <f>IFERROR(__xludf.DUMMYFUNCTION("""COMPUTED_VALUE"""),4893.0)</f>
        <v>4893</v>
      </c>
      <c r="D1172" s="9" t="str">
        <f>IFERROR(__xludf.DUMMYFUNCTION("""COMPUTED_VALUE"""),"Completed")</f>
        <v>Completed</v>
      </c>
    </row>
    <row r="1173">
      <c r="A1173" s="9" t="str">
        <f>IFERROR(__xludf.DUMMYFUNCTION("""COMPUTED_VALUE"""),"G-REQ-01172")</f>
        <v>G-REQ-01172</v>
      </c>
      <c r="B1173" s="11">
        <f>IFERROR(__xludf.DUMMYFUNCTION("""COMPUTED_VALUE"""),45844.731160647716)</f>
        <v>45844.73116</v>
      </c>
      <c r="C1173" s="9">
        <f>IFERROR(__xludf.DUMMYFUNCTION("""COMPUTED_VALUE"""),4897.0)</f>
        <v>4897</v>
      </c>
      <c r="D1173" s="9" t="str">
        <f>IFERROR(__xludf.DUMMYFUNCTION("""COMPUTED_VALUE"""),"Completed")</f>
        <v>Completed</v>
      </c>
    </row>
    <row r="1174">
      <c r="A1174" s="9" t="str">
        <f>IFERROR(__xludf.DUMMYFUNCTION("""COMPUTED_VALUE"""),"G-REQ-01173")</f>
        <v>G-REQ-01173</v>
      </c>
      <c r="B1174" s="11">
        <f>IFERROR(__xludf.DUMMYFUNCTION("""COMPUTED_VALUE"""),45844.802335493136)</f>
        <v>45844.80234</v>
      </c>
      <c r="C1174" s="9">
        <f>IFERROR(__xludf.DUMMYFUNCTION("""COMPUTED_VALUE"""),4901.0)</f>
        <v>4901</v>
      </c>
      <c r="D1174" s="9" t="str">
        <f>IFERROR(__xludf.DUMMYFUNCTION("""COMPUTED_VALUE"""),"Completed")</f>
        <v>Completed</v>
      </c>
    </row>
    <row r="1175">
      <c r="A1175" s="9" t="str">
        <f>IFERROR(__xludf.DUMMYFUNCTION("""COMPUTED_VALUE"""),"G-REQ-01174")</f>
        <v>G-REQ-01174</v>
      </c>
      <c r="B1175" s="11">
        <f>IFERROR(__xludf.DUMMYFUNCTION("""COMPUTED_VALUE"""),45844.87351033855)</f>
        <v>45844.87351</v>
      </c>
      <c r="C1175" s="9">
        <f>IFERROR(__xludf.DUMMYFUNCTION("""COMPUTED_VALUE"""),4905.0)</f>
        <v>4905</v>
      </c>
      <c r="D1175" s="9" t="str">
        <f>IFERROR(__xludf.DUMMYFUNCTION("""COMPUTED_VALUE"""),"Completed")</f>
        <v>Completed</v>
      </c>
    </row>
    <row r="1176">
      <c r="A1176" s="9" t="str">
        <f>IFERROR(__xludf.DUMMYFUNCTION("""COMPUTED_VALUE"""),"G-REQ-01175")</f>
        <v>G-REQ-01175</v>
      </c>
      <c r="B1176" s="11">
        <f>IFERROR(__xludf.DUMMYFUNCTION("""COMPUTED_VALUE"""),45844.937740739515)</f>
        <v>45844.93774</v>
      </c>
      <c r="C1176" s="9">
        <f>IFERROR(__xludf.DUMMYFUNCTION("""COMPUTED_VALUE"""),4907.0)</f>
        <v>4907</v>
      </c>
      <c r="D1176" s="9" t="str">
        <f>IFERROR(__xludf.DUMMYFUNCTION("""COMPUTED_VALUE"""),"Cancelled")</f>
        <v>Cancelled</v>
      </c>
    </row>
    <row r="1177">
      <c r="A1177" s="9" t="str">
        <f>IFERROR(__xludf.DUMMYFUNCTION("""COMPUTED_VALUE"""),"G-REQ-01176")</f>
        <v>G-REQ-01176</v>
      </c>
      <c r="B1177" s="11">
        <f>IFERROR(__xludf.DUMMYFUNCTION("""COMPUTED_VALUE"""),45845.01586002938)</f>
        <v>45845.01586</v>
      </c>
      <c r="C1177" s="9">
        <f>IFERROR(__xludf.DUMMYFUNCTION("""COMPUTED_VALUE"""),4911.0)</f>
        <v>4911</v>
      </c>
      <c r="D1177" s="9" t="str">
        <f>IFERROR(__xludf.DUMMYFUNCTION("""COMPUTED_VALUE"""),"Completed")</f>
        <v>Completed</v>
      </c>
    </row>
    <row r="1178">
      <c r="A1178" s="9" t="str">
        <f>IFERROR(__xludf.DUMMYFUNCTION("""COMPUTED_VALUE"""),"G-REQ-01177")</f>
        <v>G-REQ-01177</v>
      </c>
      <c r="B1178" s="11">
        <f>IFERROR(__xludf.DUMMYFUNCTION("""COMPUTED_VALUE"""),45845.08009043035)</f>
        <v>45845.08009</v>
      </c>
      <c r="C1178" s="9">
        <f>IFERROR(__xludf.DUMMYFUNCTION("""COMPUTED_VALUE"""),4913.0)</f>
        <v>4913</v>
      </c>
      <c r="D1178" s="9" t="str">
        <f>IFERROR(__xludf.DUMMYFUNCTION("""COMPUTED_VALUE"""),"Cancelled")</f>
        <v>Cancelled</v>
      </c>
    </row>
    <row r="1179">
      <c r="A1179" s="9" t="str">
        <f>IFERROR(__xludf.DUMMYFUNCTION("""COMPUTED_VALUE"""),"G-REQ-01178")</f>
        <v>G-REQ-01178</v>
      </c>
      <c r="B1179" s="11">
        <f>IFERROR(__xludf.DUMMYFUNCTION("""COMPUTED_VALUE"""),45845.15126527576)</f>
        <v>45845.15127</v>
      </c>
      <c r="C1179" s="9">
        <f>IFERROR(__xludf.DUMMYFUNCTION("""COMPUTED_VALUE"""),4915.0)</f>
        <v>4915</v>
      </c>
      <c r="D1179" s="9" t="str">
        <f>IFERROR(__xludf.DUMMYFUNCTION("""COMPUTED_VALUE"""),"Rejected")</f>
        <v>Rejected</v>
      </c>
    </row>
    <row r="1180">
      <c r="A1180" s="9" t="str">
        <f>IFERROR(__xludf.DUMMYFUNCTION("""COMPUTED_VALUE"""),"G-REQ-01179")</f>
        <v>G-REQ-01179</v>
      </c>
      <c r="B1180" s="11">
        <f>IFERROR(__xludf.DUMMYFUNCTION("""COMPUTED_VALUE"""),45845.229384565624)</f>
        <v>45845.22938</v>
      </c>
      <c r="C1180" s="9">
        <f>IFERROR(__xludf.DUMMYFUNCTION("""COMPUTED_VALUE"""),4919.0)</f>
        <v>4919</v>
      </c>
      <c r="D1180" s="9" t="str">
        <f>IFERROR(__xludf.DUMMYFUNCTION("""COMPUTED_VALUE"""),"Completed")</f>
        <v>Completed</v>
      </c>
    </row>
    <row r="1181">
      <c r="A1181" s="9" t="str">
        <f>IFERROR(__xludf.DUMMYFUNCTION("""COMPUTED_VALUE"""),"G-REQ-01180")</f>
        <v>G-REQ-01180</v>
      </c>
      <c r="B1181" s="11">
        <f>IFERROR(__xludf.DUMMYFUNCTION("""COMPUTED_VALUE"""),45845.29361496659)</f>
        <v>45845.29361</v>
      </c>
      <c r="C1181" s="9">
        <f>IFERROR(__xludf.DUMMYFUNCTION("""COMPUTED_VALUE"""),4921.0)</f>
        <v>4921</v>
      </c>
      <c r="D1181" s="9" t="str">
        <f>IFERROR(__xludf.DUMMYFUNCTION("""COMPUTED_VALUE"""),"Rejected")</f>
        <v>Rejected</v>
      </c>
    </row>
    <row r="1182">
      <c r="A1182" s="9" t="str">
        <f>IFERROR(__xludf.DUMMYFUNCTION("""COMPUTED_VALUE"""),"G-REQ-01181")</f>
        <v>G-REQ-01181</v>
      </c>
      <c r="B1182" s="11">
        <f>IFERROR(__xludf.DUMMYFUNCTION("""COMPUTED_VALUE"""),45845.364789812)</f>
        <v>45845.36479</v>
      </c>
      <c r="C1182" s="9">
        <f>IFERROR(__xludf.DUMMYFUNCTION("""COMPUTED_VALUE"""),4923.0)</f>
        <v>4923</v>
      </c>
      <c r="D1182" s="9" t="str">
        <f>IFERROR(__xludf.DUMMYFUNCTION("""COMPUTED_VALUE"""),"Rejected")</f>
        <v>Rejected</v>
      </c>
    </row>
    <row r="1183">
      <c r="A1183" s="9" t="str">
        <f>IFERROR(__xludf.DUMMYFUNCTION("""COMPUTED_VALUE"""),"G-REQ-01182")</f>
        <v>G-REQ-01182</v>
      </c>
      <c r="B1183" s="11">
        <f>IFERROR(__xludf.DUMMYFUNCTION("""COMPUTED_VALUE"""),45845.44290910187)</f>
        <v>45845.44291</v>
      </c>
      <c r="C1183" s="9">
        <f>IFERROR(__xludf.DUMMYFUNCTION("""COMPUTED_VALUE"""),4927.0)</f>
        <v>4927</v>
      </c>
      <c r="D1183" s="9" t="str">
        <f>IFERROR(__xludf.DUMMYFUNCTION("""COMPUTED_VALUE"""),"Completed")</f>
        <v>Completed</v>
      </c>
    </row>
    <row r="1184">
      <c r="A1184" s="9" t="str">
        <f>IFERROR(__xludf.DUMMYFUNCTION("""COMPUTED_VALUE"""),"G-REQ-01183")</f>
        <v>G-REQ-01183</v>
      </c>
      <c r="B1184" s="11">
        <f>IFERROR(__xludf.DUMMYFUNCTION("""COMPUTED_VALUE"""),45845.50713950284)</f>
        <v>45845.50714</v>
      </c>
      <c r="C1184" s="9">
        <f>IFERROR(__xludf.DUMMYFUNCTION("""COMPUTED_VALUE"""),4929.0)</f>
        <v>4929</v>
      </c>
      <c r="D1184" s="9" t="str">
        <f>IFERROR(__xludf.DUMMYFUNCTION("""COMPUTED_VALUE"""),"Cancelled")</f>
        <v>Cancelled</v>
      </c>
    </row>
    <row r="1185">
      <c r="A1185" s="9" t="str">
        <f>IFERROR(__xludf.DUMMYFUNCTION("""COMPUTED_VALUE"""),"G-REQ-01184")</f>
        <v>G-REQ-01184</v>
      </c>
      <c r="B1185" s="11">
        <f>IFERROR(__xludf.DUMMYFUNCTION("""COMPUTED_VALUE"""),45845.58525879269)</f>
        <v>45845.58526</v>
      </c>
      <c r="C1185" s="9">
        <f>IFERROR(__xludf.DUMMYFUNCTION("""COMPUTED_VALUE"""),4933.0)</f>
        <v>4933</v>
      </c>
      <c r="D1185" s="9" t="str">
        <f>IFERROR(__xludf.DUMMYFUNCTION("""COMPUTED_VALUE"""),"Completed")</f>
        <v>Completed</v>
      </c>
    </row>
    <row r="1186">
      <c r="A1186" s="9" t="str">
        <f>IFERROR(__xludf.DUMMYFUNCTION("""COMPUTED_VALUE"""),"G-REQ-01185")</f>
        <v>G-REQ-01185</v>
      </c>
      <c r="B1186" s="11">
        <f>IFERROR(__xludf.DUMMYFUNCTION("""COMPUTED_VALUE"""),45845.65643363811)</f>
        <v>45845.65643</v>
      </c>
      <c r="C1186" s="9">
        <f>IFERROR(__xludf.DUMMYFUNCTION("""COMPUTED_VALUE"""),4937.0)</f>
        <v>4937</v>
      </c>
      <c r="D1186" s="9" t="str">
        <f>IFERROR(__xludf.DUMMYFUNCTION("""COMPUTED_VALUE"""),"Completed")</f>
        <v>Completed</v>
      </c>
    </row>
    <row r="1187">
      <c r="A1187" s="9" t="str">
        <f>IFERROR(__xludf.DUMMYFUNCTION("""COMPUTED_VALUE"""),"G-REQ-01186")</f>
        <v>G-REQ-01186</v>
      </c>
      <c r="B1187" s="11">
        <f>IFERROR(__xludf.DUMMYFUNCTION("""COMPUTED_VALUE"""),45845.72760848353)</f>
        <v>45845.72761</v>
      </c>
      <c r="C1187" s="9">
        <f>IFERROR(__xludf.DUMMYFUNCTION("""COMPUTED_VALUE"""),4941.0)</f>
        <v>4941</v>
      </c>
      <c r="D1187" s="9" t="str">
        <f>IFERROR(__xludf.DUMMYFUNCTION("""COMPUTED_VALUE"""),"Completed")</f>
        <v>Completed</v>
      </c>
    </row>
    <row r="1188">
      <c r="A1188" s="9" t="str">
        <f>IFERROR(__xludf.DUMMYFUNCTION("""COMPUTED_VALUE"""),"G-REQ-01187")</f>
        <v>G-REQ-01187</v>
      </c>
      <c r="B1188" s="11">
        <f>IFERROR(__xludf.DUMMYFUNCTION("""COMPUTED_VALUE"""),45845.798783328944)</f>
        <v>45845.79878</v>
      </c>
      <c r="C1188" s="9">
        <f>IFERROR(__xludf.DUMMYFUNCTION("""COMPUTED_VALUE"""),4945.0)</f>
        <v>4945</v>
      </c>
      <c r="D1188" s="9" t="str">
        <f>IFERROR(__xludf.DUMMYFUNCTION("""COMPUTED_VALUE"""),"Completed")</f>
        <v>Completed</v>
      </c>
    </row>
    <row r="1189">
      <c r="A1189" s="9" t="str">
        <f>IFERROR(__xludf.DUMMYFUNCTION("""COMPUTED_VALUE"""),"G-REQ-01188")</f>
        <v>G-REQ-01188</v>
      </c>
      <c r="B1189" s="11">
        <f>IFERROR(__xludf.DUMMYFUNCTION("""COMPUTED_VALUE"""),45845.86995817436)</f>
        <v>45845.86996</v>
      </c>
      <c r="C1189" s="9">
        <f>IFERROR(__xludf.DUMMYFUNCTION("""COMPUTED_VALUE"""),4949.0)</f>
        <v>4949</v>
      </c>
      <c r="D1189" s="9" t="str">
        <f>IFERROR(__xludf.DUMMYFUNCTION("""COMPUTED_VALUE"""),"Completed")</f>
        <v>Completed</v>
      </c>
    </row>
    <row r="1190">
      <c r="A1190" s="9" t="str">
        <f>IFERROR(__xludf.DUMMYFUNCTION("""COMPUTED_VALUE"""),"G-REQ-01189")</f>
        <v>G-REQ-01189</v>
      </c>
      <c r="B1190" s="11">
        <f>IFERROR(__xludf.DUMMYFUNCTION("""COMPUTED_VALUE"""),45845.941133019776)</f>
        <v>45845.94113</v>
      </c>
      <c r="C1190" s="9">
        <f>IFERROR(__xludf.DUMMYFUNCTION("""COMPUTED_VALUE"""),4953.0)</f>
        <v>4953</v>
      </c>
      <c r="D1190" s="9" t="str">
        <f>IFERROR(__xludf.DUMMYFUNCTION("""COMPUTED_VALUE"""),"Completed")</f>
        <v>Completed</v>
      </c>
    </row>
    <row r="1191">
      <c r="A1191" s="9" t="str">
        <f>IFERROR(__xludf.DUMMYFUNCTION("""COMPUTED_VALUE"""),"G-REQ-01190")</f>
        <v>G-REQ-01190</v>
      </c>
      <c r="B1191" s="11">
        <f>IFERROR(__xludf.DUMMYFUNCTION("""COMPUTED_VALUE"""),45846.01230786519)</f>
        <v>45846.01231</v>
      </c>
      <c r="C1191" s="9">
        <f>IFERROR(__xludf.DUMMYFUNCTION("""COMPUTED_VALUE"""),4957.0)</f>
        <v>4957</v>
      </c>
      <c r="D1191" s="9" t="str">
        <f>IFERROR(__xludf.DUMMYFUNCTION("""COMPUTED_VALUE"""),"Completed")</f>
        <v>Completed</v>
      </c>
    </row>
    <row r="1192">
      <c r="A1192" s="9" t="str">
        <f>IFERROR(__xludf.DUMMYFUNCTION("""COMPUTED_VALUE"""),"G-REQ-01191")</f>
        <v>G-REQ-01191</v>
      </c>
      <c r="B1192" s="11">
        <f>IFERROR(__xludf.DUMMYFUNCTION("""COMPUTED_VALUE"""),45846.0834827106)</f>
        <v>45846.08348</v>
      </c>
      <c r="C1192" s="9">
        <f>IFERROR(__xludf.DUMMYFUNCTION("""COMPUTED_VALUE"""),4961.0)</f>
        <v>4961</v>
      </c>
      <c r="D1192" s="9" t="str">
        <f>IFERROR(__xludf.DUMMYFUNCTION("""COMPUTED_VALUE"""),"Completed")</f>
        <v>Completed</v>
      </c>
    </row>
    <row r="1193">
      <c r="A1193" s="9" t="str">
        <f>IFERROR(__xludf.DUMMYFUNCTION("""COMPUTED_VALUE"""),"G-REQ-01192")</f>
        <v>G-REQ-01192</v>
      </c>
      <c r="B1193" s="11">
        <f>IFERROR(__xludf.DUMMYFUNCTION("""COMPUTED_VALUE"""),45846.147713111575)</f>
        <v>45846.14771</v>
      </c>
      <c r="C1193" s="9">
        <f>IFERROR(__xludf.DUMMYFUNCTION("""COMPUTED_VALUE"""),4963.0)</f>
        <v>4963</v>
      </c>
      <c r="D1193" s="9" t="str">
        <f>IFERROR(__xludf.DUMMYFUNCTION("""COMPUTED_VALUE"""),"Rejected")</f>
        <v>Rejected</v>
      </c>
    </row>
    <row r="1194">
      <c r="A1194" s="9" t="str">
        <f>IFERROR(__xludf.DUMMYFUNCTION("""COMPUTED_VALUE"""),"G-REQ-01193")</f>
        <v>G-REQ-01193</v>
      </c>
      <c r="B1194" s="11">
        <f>IFERROR(__xludf.DUMMYFUNCTION("""COMPUTED_VALUE"""),45846.22583240144)</f>
        <v>45846.22583</v>
      </c>
      <c r="C1194" s="9">
        <f>IFERROR(__xludf.DUMMYFUNCTION("""COMPUTED_VALUE"""),4967.0)</f>
        <v>4967</v>
      </c>
      <c r="D1194" s="9" t="str">
        <f>IFERROR(__xludf.DUMMYFUNCTION("""COMPUTED_VALUE"""),"Completed")</f>
        <v>Completed</v>
      </c>
    </row>
    <row r="1195">
      <c r="A1195" s="9" t="str">
        <f>IFERROR(__xludf.DUMMYFUNCTION("""COMPUTED_VALUE"""),"G-REQ-01194")</f>
        <v>G-REQ-01194</v>
      </c>
      <c r="B1195" s="11">
        <f>IFERROR(__xludf.DUMMYFUNCTION("""COMPUTED_VALUE"""),45846.2900628024)</f>
        <v>45846.29006</v>
      </c>
      <c r="C1195" s="9">
        <f>IFERROR(__xludf.DUMMYFUNCTION("""COMPUTED_VALUE"""),4969.0)</f>
        <v>4969</v>
      </c>
      <c r="D1195" s="9" t="str">
        <f>IFERROR(__xludf.DUMMYFUNCTION("""COMPUTED_VALUE"""),"Cancelled")</f>
        <v>Cancelled</v>
      </c>
    </row>
    <row r="1196">
      <c r="A1196" s="9" t="str">
        <f>IFERROR(__xludf.DUMMYFUNCTION("""COMPUTED_VALUE"""),"G-REQ-01195")</f>
        <v>G-REQ-01195</v>
      </c>
      <c r="B1196" s="11">
        <f>IFERROR(__xludf.DUMMYFUNCTION("""COMPUTED_VALUE"""),45846.368182092265)</f>
        <v>45846.36818</v>
      </c>
      <c r="C1196" s="9">
        <f>IFERROR(__xludf.DUMMYFUNCTION("""COMPUTED_VALUE"""),4973.0)</f>
        <v>4973</v>
      </c>
      <c r="D1196" s="9" t="str">
        <f>IFERROR(__xludf.DUMMYFUNCTION("""COMPUTED_VALUE"""),"Completed")</f>
        <v>Completed</v>
      </c>
    </row>
    <row r="1197">
      <c r="A1197" s="9" t="str">
        <f>IFERROR(__xludf.DUMMYFUNCTION("""COMPUTED_VALUE"""),"G-REQ-01196")</f>
        <v>G-REQ-01196</v>
      </c>
      <c r="B1197" s="11">
        <f>IFERROR(__xludf.DUMMYFUNCTION("""COMPUTED_VALUE"""),45846.43935693768)</f>
        <v>45846.43936</v>
      </c>
      <c r="C1197" s="9">
        <f>IFERROR(__xludf.DUMMYFUNCTION("""COMPUTED_VALUE"""),4977.0)</f>
        <v>4977</v>
      </c>
      <c r="D1197" s="9" t="str">
        <f>IFERROR(__xludf.DUMMYFUNCTION("""COMPUTED_VALUE"""),"Completed")</f>
        <v>Completed</v>
      </c>
    </row>
    <row r="1198">
      <c r="A1198" s="9" t="str">
        <f>IFERROR(__xludf.DUMMYFUNCTION("""COMPUTED_VALUE"""),"G-REQ-01197")</f>
        <v>G-REQ-01197</v>
      </c>
      <c r="B1198" s="11">
        <f>IFERROR(__xludf.DUMMYFUNCTION("""COMPUTED_VALUE"""),45846.5105317831)</f>
        <v>45846.51053</v>
      </c>
      <c r="C1198" s="9">
        <f>IFERROR(__xludf.DUMMYFUNCTION("""COMPUTED_VALUE"""),4981.0)</f>
        <v>4981</v>
      </c>
      <c r="D1198" s="9" t="str">
        <f>IFERROR(__xludf.DUMMYFUNCTION("""COMPUTED_VALUE"""),"Completed")</f>
        <v>Completed</v>
      </c>
    </row>
    <row r="1199">
      <c r="A1199" s="9" t="str">
        <f>IFERROR(__xludf.DUMMYFUNCTION("""COMPUTED_VALUE"""),"G-REQ-01198")</f>
        <v>G-REQ-01198</v>
      </c>
      <c r="B1199" s="11">
        <f>IFERROR(__xludf.DUMMYFUNCTION("""COMPUTED_VALUE"""),45846.58170662851)</f>
        <v>45846.58171</v>
      </c>
      <c r="C1199" s="9">
        <f>IFERROR(__xludf.DUMMYFUNCTION("""COMPUTED_VALUE"""),4985.0)</f>
        <v>4985</v>
      </c>
      <c r="D1199" s="9" t="str">
        <f>IFERROR(__xludf.DUMMYFUNCTION("""COMPUTED_VALUE"""),"Completed")</f>
        <v>Completed</v>
      </c>
    </row>
    <row r="1200">
      <c r="A1200" s="9" t="str">
        <f>IFERROR(__xludf.DUMMYFUNCTION("""COMPUTED_VALUE"""),"G-REQ-01199")</f>
        <v>G-REQ-01199</v>
      </c>
      <c r="B1200" s="11">
        <f>IFERROR(__xludf.DUMMYFUNCTION("""COMPUTED_VALUE"""),45846.65288147393)</f>
        <v>45846.65288</v>
      </c>
      <c r="C1200" s="9">
        <f>IFERROR(__xludf.DUMMYFUNCTION("""COMPUTED_VALUE"""),4989.0)</f>
        <v>4989</v>
      </c>
      <c r="D1200" s="9" t="str">
        <f>IFERROR(__xludf.DUMMYFUNCTION("""COMPUTED_VALUE"""),"Completed")</f>
        <v>Completed</v>
      </c>
    </row>
    <row r="1201">
      <c r="A1201" s="9" t="str">
        <f>IFERROR(__xludf.DUMMYFUNCTION("""COMPUTED_VALUE"""),"G-REQ-01200")</f>
        <v>G-REQ-01200</v>
      </c>
      <c r="B1201" s="11">
        <f>IFERROR(__xludf.DUMMYFUNCTION("""COMPUTED_VALUE"""),45846.72405631933)</f>
        <v>45846.72406</v>
      </c>
      <c r="C1201" s="9">
        <f>IFERROR(__xludf.DUMMYFUNCTION("""COMPUTED_VALUE"""),4993.0)</f>
        <v>4993</v>
      </c>
      <c r="D1201" s="9" t="str">
        <f>IFERROR(__xludf.DUMMYFUNCTION("""COMPUTED_VALUE"""),"Completed")</f>
        <v>Completed</v>
      </c>
    </row>
    <row r="1202">
      <c r="A1202" s="9" t="str">
        <f>IFERROR(__xludf.DUMMYFUNCTION("""COMPUTED_VALUE"""),"G-REQ-01201")</f>
        <v>G-REQ-01201</v>
      </c>
      <c r="B1202" s="11">
        <f>IFERROR(__xludf.DUMMYFUNCTION("""COMPUTED_VALUE"""),45846.79523116475)</f>
        <v>45846.79523</v>
      </c>
      <c r="C1202" s="9">
        <f>IFERROR(__xludf.DUMMYFUNCTION("""COMPUTED_VALUE"""),4997.0)</f>
        <v>4997</v>
      </c>
      <c r="D1202" s="9" t="str">
        <f>IFERROR(__xludf.DUMMYFUNCTION("""COMPUTED_VALUE"""),"Completed")</f>
        <v>Completed</v>
      </c>
    </row>
    <row r="1203">
      <c r="A1203" s="9" t="str">
        <f>IFERROR(__xludf.DUMMYFUNCTION("""COMPUTED_VALUE"""),"G-REQ-01202")</f>
        <v>G-REQ-01202</v>
      </c>
      <c r="B1203" s="11">
        <f>IFERROR(__xludf.DUMMYFUNCTION("""COMPUTED_VALUE"""),45846.86640601017)</f>
        <v>45846.86641</v>
      </c>
      <c r="C1203" s="9">
        <f>IFERROR(__xludf.DUMMYFUNCTION("""COMPUTED_VALUE"""),5001.0)</f>
        <v>5001</v>
      </c>
      <c r="D1203" s="9" t="str">
        <f>IFERROR(__xludf.DUMMYFUNCTION("""COMPUTED_VALUE"""),"Completed")</f>
        <v>Completed</v>
      </c>
    </row>
    <row r="1204">
      <c r="A1204" s="9" t="str">
        <f>IFERROR(__xludf.DUMMYFUNCTION("""COMPUTED_VALUE"""),"G-REQ-01203")</f>
        <v>G-REQ-01203</v>
      </c>
      <c r="B1204" s="11">
        <f>IFERROR(__xludf.DUMMYFUNCTION("""COMPUTED_VALUE"""),45846.937580855585)</f>
        <v>45846.93758</v>
      </c>
      <c r="C1204" s="9">
        <f>IFERROR(__xludf.DUMMYFUNCTION("""COMPUTED_VALUE"""),5005.0)</f>
        <v>5005</v>
      </c>
      <c r="D1204" s="9" t="str">
        <f>IFERROR(__xludf.DUMMYFUNCTION("""COMPUTED_VALUE"""),"Completed")</f>
        <v>Completed</v>
      </c>
    </row>
    <row r="1205">
      <c r="A1205" s="9" t="str">
        <f>IFERROR(__xludf.DUMMYFUNCTION("""COMPUTED_VALUE"""),"G-REQ-01204")</f>
        <v>G-REQ-01204</v>
      </c>
      <c r="B1205" s="11">
        <f>IFERROR(__xludf.DUMMYFUNCTION("""COMPUTED_VALUE"""),45847.008755701)</f>
        <v>45847.00876</v>
      </c>
      <c r="C1205" s="9">
        <f>IFERROR(__xludf.DUMMYFUNCTION("""COMPUTED_VALUE"""),5009.0)</f>
        <v>5009</v>
      </c>
      <c r="D1205" s="9" t="str">
        <f>IFERROR(__xludf.DUMMYFUNCTION("""COMPUTED_VALUE"""),"Completed")</f>
        <v>Completed</v>
      </c>
    </row>
    <row r="1206">
      <c r="A1206" s="9" t="str">
        <f>IFERROR(__xludf.DUMMYFUNCTION("""COMPUTED_VALUE"""),"G-REQ-01205")</f>
        <v>G-REQ-01205</v>
      </c>
      <c r="B1206" s="11">
        <f>IFERROR(__xludf.DUMMYFUNCTION("""COMPUTED_VALUE"""),45847.07993054642)</f>
        <v>45847.07993</v>
      </c>
      <c r="C1206" s="9">
        <f>IFERROR(__xludf.DUMMYFUNCTION("""COMPUTED_VALUE"""),5013.0)</f>
        <v>5013</v>
      </c>
      <c r="D1206" s="9" t="str">
        <f>IFERROR(__xludf.DUMMYFUNCTION("""COMPUTED_VALUE"""),"Completed")</f>
        <v>Completed</v>
      </c>
    </row>
    <row r="1207">
      <c r="A1207" s="9" t="str">
        <f>IFERROR(__xludf.DUMMYFUNCTION("""COMPUTED_VALUE"""),"G-REQ-01206")</f>
        <v>G-REQ-01206</v>
      </c>
      <c r="B1207" s="11">
        <f>IFERROR(__xludf.DUMMYFUNCTION("""COMPUTED_VALUE"""),45847.15110539183)</f>
        <v>45847.15111</v>
      </c>
      <c r="C1207" s="9">
        <f>IFERROR(__xludf.DUMMYFUNCTION("""COMPUTED_VALUE"""),5017.0)</f>
        <v>5017</v>
      </c>
      <c r="D1207" s="9" t="str">
        <f>IFERROR(__xludf.DUMMYFUNCTION("""COMPUTED_VALUE"""),"Completed")</f>
        <v>Completed</v>
      </c>
    </row>
    <row r="1208">
      <c r="A1208" s="9" t="str">
        <f>IFERROR(__xludf.DUMMYFUNCTION("""COMPUTED_VALUE"""),"G-REQ-01207")</f>
        <v>G-REQ-01207</v>
      </c>
      <c r="B1208" s="11">
        <f>IFERROR(__xludf.DUMMYFUNCTION("""COMPUTED_VALUE"""),45847.2153357928)</f>
        <v>45847.21534</v>
      </c>
      <c r="C1208" s="9">
        <f>IFERROR(__xludf.DUMMYFUNCTION("""COMPUTED_VALUE"""),5019.0)</f>
        <v>5019</v>
      </c>
      <c r="D1208" s="9" t="str">
        <f>IFERROR(__xludf.DUMMYFUNCTION("""COMPUTED_VALUE"""),"Cancelled")</f>
        <v>Cancelled</v>
      </c>
    </row>
    <row r="1209">
      <c r="A1209" s="9" t="str">
        <f>IFERROR(__xludf.DUMMYFUNCTION("""COMPUTED_VALUE"""),"G-REQ-01208")</f>
        <v>G-REQ-01208</v>
      </c>
      <c r="B1209" s="11">
        <f>IFERROR(__xludf.DUMMYFUNCTION("""COMPUTED_VALUE"""),45847.29345508266)</f>
        <v>45847.29346</v>
      </c>
      <c r="C1209" s="9">
        <f>IFERROR(__xludf.DUMMYFUNCTION("""COMPUTED_VALUE"""),5023.0)</f>
        <v>5023</v>
      </c>
      <c r="D1209" s="9" t="str">
        <f>IFERROR(__xludf.DUMMYFUNCTION("""COMPUTED_VALUE"""),"Completed")</f>
        <v>Completed</v>
      </c>
    </row>
    <row r="1210">
      <c r="A1210" s="9" t="str">
        <f>IFERROR(__xludf.DUMMYFUNCTION("""COMPUTED_VALUE"""),"G-REQ-01209")</f>
        <v>G-REQ-01209</v>
      </c>
      <c r="B1210" s="11">
        <f>IFERROR(__xludf.DUMMYFUNCTION("""COMPUTED_VALUE"""),45847.36462992808)</f>
        <v>45847.36463</v>
      </c>
      <c r="C1210" s="9">
        <f>IFERROR(__xludf.DUMMYFUNCTION("""COMPUTED_VALUE"""),5027.0)</f>
        <v>5027</v>
      </c>
      <c r="D1210" s="9" t="str">
        <f>IFERROR(__xludf.DUMMYFUNCTION("""COMPUTED_VALUE"""),"Completed")</f>
        <v>Completed</v>
      </c>
    </row>
    <row r="1211">
      <c r="A1211" s="9" t="str">
        <f>IFERROR(__xludf.DUMMYFUNCTION("""COMPUTED_VALUE"""),"G-REQ-01210")</f>
        <v>G-REQ-01210</v>
      </c>
      <c r="B1211" s="11">
        <f>IFERROR(__xludf.DUMMYFUNCTION("""COMPUTED_VALUE"""),45847.435804773486)</f>
        <v>45847.4358</v>
      </c>
      <c r="C1211" s="9">
        <f>IFERROR(__xludf.DUMMYFUNCTION("""COMPUTED_VALUE"""),5031.0)</f>
        <v>5031</v>
      </c>
      <c r="D1211" s="9" t="str">
        <f>IFERROR(__xludf.DUMMYFUNCTION("""COMPUTED_VALUE"""),"Completed")</f>
        <v>Completed</v>
      </c>
    </row>
    <row r="1212">
      <c r="A1212" s="9" t="str">
        <f>IFERROR(__xludf.DUMMYFUNCTION("""COMPUTED_VALUE"""),"G-REQ-01211")</f>
        <v>G-REQ-01211</v>
      </c>
      <c r="B1212" s="11">
        <f>IFERROR(__xludf.DUMMYFUNCTION("""COMPUTED_VALUE"""),45847.506979618905)</f>
        <v>45847.50698</v>
      </c>
      <c r="C1212" s="9">
        <f>IFERROR(__xludf.DUMMYFUNCTION("""COMPUTED_VALUE"""),5035.0)</f>
        <v>5035</v>
      </c>
      <c r="D1212" s="9" t="str">
        <f>IFERROR(__xludf.DUMMYFUNCTION("""COMPUTED_VALUE"""),"Completed")</f>
        <v>Completed</v>
      </c>
    </row>
    <row r="1213">
      <c r="A1213" s="9" t="str">
        <f>IFERROR(__xludf.DUMMYFUNCTION("""COMPUTED_VALUE"""),"G-REQ-01212")</f>
        <v>G-REQ-01212</v>
      </c>
      <c r="B1213" s="11">
        <f>IFERROR(__xludf.DUMMYFUNCTION("""COMPUTED_VALUE"""),45847.578154464325)</f>
        <v>45847.57815</v>
      </c>
      <c r="C1213" s="9">
        <f>IFERROR(__xludf.DUMMYFUNCTION("""COMPUTED_VALUE"""),5039.0)</f>
        <v>5039</v>
      </c>
      <c r="D1213" s="9" t="str">
        <f>IFERROR(__xludf.DUMMYFUNCTION("""COMPUTED_VALUE"""),"Completed")</f>
        <v>Completed</v>
      </c>
    </row>
    <row r="1214">
      <c r="A1214" s="9" t="str">
        <f>IFERROR(__xludf.DUMMYFUNCTION("""COMPUTED_VALUE"""),"G-REQ-01213")</f>
        <v>G-REQ-01213</v>
      </c>
      <c r="B1214" s="11">
        <f>IFERROR(__xludf.DUMMYFUNCTION("""COMPUTED_VALUE"""),45847.64932930974)</f>
        <v>45847.64933</v>
      </c>
      <c r="C1214" s="9">
        <f>IFERROR(__xludf.DUMMYFUNCTION("""COMPUTED_VALUE"""),5043.0)</f>
        <v>5043</v>
      </c>
      <c r="D1214" s="9" t="str">
        <f>IFERROR(__xludf.DUMMYFUNCTION("""COMPUTED_VALUE"""),"Completed")</f>
        <v>Completed</v>
      </c>
    </row>
    <row r="1215">
      <c r="A1215" s="9" t="str">
        <f>IFERROR(__xludf.DUMMYFUNCTION("""COMPUTED_VALUE"""),"G-REQ-01214")</f>
        <v>G-REQ-01214</v>
      </c>
      <c r="B1215" s="11">
        <f>IFERROR(__xludf.DUMMYFUNCTION("""COMPUTED_VALUE"""),45847.72050415515)</f>
        <v>45847.7205</v>
      </c>
      <c r="C1215" s="9">
        <f>IFERROR(__xludf.DUMMYFUNCTION("""COMPUTED_VALUE"""),5047.0)</f>
        <v>5047</v>
      </c>
      <c r="D1215" s="9" t="str">
        <f>IFERROR(__xludf.DUMMYFUNCTION("""COMPUTED_VALUE"""),"Completed")</f>
        <v>Completed</v>
      </c>
    </row>
    <row r="1216">
      <c r="A1216" s="9" t="str">
        <f>IFERROR(__xludf.DUMMYFUNCTION("""COMPUTED_VALUE"""),"G-REQ-01215")</f>
        <v>G-REQ-01215</v>
      </c>
      <c r="B1216" s="11">
        <f>IFERROR(__xludf.DUMMYFUNCTION("""COMPUTED_VALUE"""),45847.79167900057)</f>
        <v>45847.79168</v>
      </c>
      <c r="C1216" s="9">
        <f>IFERROR(__xludf.DUMMYFUNCTION("""COMPUTED_VALUE"""),5051.0)</f>
        <v>5051</v>
      </c>
      <c r="D1216" s="9" t="str">
        <f>IFERROR(__xludf.DUMMYFUNCTION("""COMPUTED_VALUE"""),"Completed")</f>
        <v>Completed</v>
      </c>
    </row>
    <row r="1217">
      <c r="A1217" s="9" t="str">
        <f>IFERROR(__xludf.DUMMYFUNCTION("""COMPUTED_VALUE"""),"G-REQ-01216")</f>
        <v>G-REQ-01216</v>
      </c>
      <c r="B1217" s="11">
        <f>IFERROR(__xludf.DUMMYFUNCTION("""COMPUTED_VALUE"""),45847.86285384598)</f>
        <v>45847.86285</v>
      </c>
      <c r="C1217" s="9">
        <f>IFERROR(__xludf.DUMMYFUNCTION("""COMPUTED_VALUE"""),5055.0)</f>
        <v>5055</v>
      </c>
      <c r="D1217" s="9" t="str">
        <f>IFERROR(__xludf.DUMMYFUNCTION("""COMPUTED_VALUE"""),"Completed")</f>
        <v>Completed</v>
      </c>
    </row>
    <row r="1218">
      <c r="A1218" s="9" t="str">
        <f>IFERROR(__xludf.DUMMYFUNCTION("""COMPUTED_VALUE"""),"G-REQ-01217")</f>
        <v>G-REQ-01217</v>
      </c>
      <c r="B1218" s="11">
        <f>IFERROR(__xludf.DUMMYFUNCTION("""COMPUTED_VALUE"""),45847.934028691394)</f>
        <v>45847.93403</v>
      </c>
      <c r="C1218" s="9">
        <f>IFERROR(__xludf.DUMMYFUNCTION("""COMPUTED_VALUE"""),5059.0)</f>
        <v>5059</v>
      </c>
      <c r="D1218" s="9" t="str">
        <f>IFERROR(__xludf.DUMMYFUNCTION("""COMPUTED_VALUE"""),"Completed")</f>
        <v>Completed</v>
      </c>
    </row>
    <row r="1219">
      <c r="A1219" s="9" t="str">
        <f>IFERROR(__xludf.DUMMYFUNCTION("""COMPUTED_VALUE"""),"G-REQ-01218")</f>
        <v>G-REQ-01218</v>
      </c>
      <c r="B1219" s="11">
        <f>IFERROR(__xludf.DUMMYFUNCTION("""COMPUTED_VALUE"""),45848.00520353681)</f>
        <v>45848.0052</v>
      </c>
      <c r="C1219" s="9">
        <f>IFERROR(__xludf.DUMMYFUNCTION("""COMPUTED_VALUE"""),5063.0)</f>
        <v>5063</v>
      </c>
      <c r="D1219" s="9" t="str">
        <f>IFERROR(__xludf.DUMMYFUNCTION("""COMPUTED_VALUE"""),"Completed")</f>
        <v>Completed</v>
      </c>
    </row>
    <row r="1220">
      <c r="A1220" s="9" t="str">
        <f>IFERROR(__xludf.DUMMYFUNCTION("""COMPUTED_VALUE"""),"G-REQ-01219")</f>
        <v>G-REQ-01219</v>
      </c>
      <c r="B1220" s="11">
        <f>IFERROR(__xludf.DUMMYFUNCTION("""COMPUTED_VALUE"""),45848.076378382226)</f>
        <v>45848.07638</v>
      </c>
      <c r="C1220" s="9">
        <f>IFERROR(__xludf.DUMMYFUNCTION("""COMPUTED_VALUE"""),5067.0)</f>
        <v>5067</v>
      </c>
      <c r="D1220" s="9" t="str">
        <f>IFERROR(__xludf.DUMMYFUNCTION("""COMPUTED_VALUE"""),"Completed")</f>
        <v>Completed</v>
      </c>
    </row>
    <row r="1221">
      <c r="A1221" s="9" t="str">
        <f>IFERROR(__xludf.DUMMYFUNCTION("""COMPUTED_VALUE"""),"G-REQ-01220")</f>
        <v>G-REQ-01220</v>
      </c>
      <c r="B1221" s="11">
        <f>IFERROR(__xludf.DUMMYFUNCTION("""COMPUTED_VALUE"""),45848.14755322764)</f>
        <v>45848.14755</v>
      </c>
      <c r="C1221" s="9">
        <f>IFERROR(__xludf.DUMMYFUNCTION("""COMPUTED_VALUE"""),5071.0)</f>
        <v>5071</v>
      </c>
      <c r="D1221" s="9" t="str">
        <f>IFERROR(__xludf.DUMMYFUNCTION("""COMPUTED_VALUE"""),"Completed")</f>
        <v>Completed</v>
      </c>
    </row>
    <row r="1222">
      <c r="A1222" s="9" t="str">
        <f>IFERROR(__xludf.DUMMYFUNCTION("""COMPUTED_VALUE"""),"G-REQ-01221")</f>
        <v>G-REQ-01221</v>
      </c>
      <c r="B1222" s="11">
        <f>IFERROR(__xludf.DUMMYFUNCTION("""COMPUTED_VALUE"""),45848.21872807306)</f>
        <v>45848.21873</v>
      </c>
      <c r="C1222" s="9">
        <f>IFERROR(__xludf.DUMMYFUNCTION("""COMPUTED_VALUE"""),5075.0)</f>
        <v>5075</v>
      </c>
      <c r="D1222" s="9" t="str">
        <f>IFERROR(__xludf.DUMMYFUNCTION("""COMPUTED_VALUE"""),"Completed")</f>
        <v>Completed</v>
      </c>
    </row>
    <row r="1223">
      <c r="A1223" s="9" t="str">
        <f>IFERROR(__xludf.DUMMYFUNCTION("""COMPUTED_VALUE"""),"G-REQ-01222")</f>
        <v>G-REQ-01222</v>
      </c>
      <c r="B1223" s="11">
        <f>IFERROR(__xludf.DUMMYFUNCTION("""COMPUTED_VALUE"""),45848.28990291847)</f>
        <v>45848.2899</v>
      </c>
      <c r="C1223" s="9">
        <f>IFERROR(__xludf.DUMMYFUNCTION("""COMPUTED_VALUE"""),5079.0)</f>
        <v>5079</v>
      </c>
      <c r="D1223" s="9" t="str">
        <f>IFERROR(__xludf.DUMMYFUNCTION("""COMPUTED_VALUE"""),"Completed")</f>
        <v>Completed</v>
      </c>
    </row>
    <row r="1224">
      <c r="A1224" s="9" t="str">
        <f>IFERROR(__xludf.DUMMYFUNCTION("""COMPUTED_VALUE"""),"G-REQ-01223")</f>
        <v>G-REQ-01223</v>
      </c>
      <c r="B1224" s="11">
        <f>IFERROR(__xludf.DUMMYFUNCTION("""COMPUTED_VALUE"""),45848.36107776388)</f>
        <v>45848.36108</v>
      </c>
      <c r="C1224" s="9">
        <f>IFERROR(__xludf.DUMMYFUNCTION("""COMPUTED_VALUE"""),5083.0)</f>
        <v>5083</v>
      </c>
      <c r="D1224" s="9" t="str">
        <f>IFERROR(__xludf.DUMMYFUNCTION("""COMPUTED_VALUE"""),"Completed")</f>
        <v>Completed</v>
      </c>
    </row>
    <row r="1225">
      <c r="A1225" s="9" t="str">
        <f>IFERROR(__xludf.DUMMYFUNCTION("""COMPUTED_VALUE"""),"G-REQ-01224")</f>
        <v>G-REQ-01224</v>
      </c>
      <c r="B1225" s="11">
        <f>IFERROR(__xludf.DUMMYFUNCTION("""COMPUTED_VALUE"""),45848.4322526093)</f>
        <v>45848.43225</v>
      </c>
      <c r="C1225" s="9">
        <f>IFERROR(__xludf.DUMMYFUNCTION("""COMPUTED_VALUE"""),5087.0)</f>
        <v>5087</v>
      </c>
      <c r="D1225" s="9" t="str">
        <f>IFERROR(__xludf.DUMMYFUNCTION("""COMPUTED_VALUE"""),"Completed")</f>
        <v>Completed</v>
      </c>
    </row>
    <row r="1226">
      <c r="A1226" s="9" t="str">
        <f>IFERROR(__xludf.DUMMYFUNCTION("""COMPUTED_VALUE"""),"G-REQ-01225")</f>
        <v>G-REQ-01225</v>
      </c>
      <c r="B1226" s="11">
        <f>IFERROR(__xludf.DUMMYFUNCTION("""COMPUTED_VALUE"""),45848.50342745472)</f>
        <v>45848.50343</v>
      </c>
      <c r="C1226" s="9">
        <f>IFERROR(__xludf.DUMMYFUNCTION("""COMPUTED_VALUE"""),5091.0)</f>
        <v>5091</v>
      </c>
      <c r="D1226" s="9" t="str">
        <f>IFERROR(__xludf.DUMMYFUNCTION("""COMPUTED_VALUE"""),"Completed")</f>
        <v>Completed</v>
      </c>
    </row>
    <row r="1227">
      <c r="A1227" s="9" t="str">
        <f>IFERROR(__xludf.DUMMYFUNCTION("""COMPUTED_VALUE"""),"G-REQ-01226")</f>
        <v>G-REQ-01226</v>
      </c>
      <c r="B1227" s="11">
        <f>IFERROR(__xludf.DUMMYFUNCTION("""COMPUTED_VALUE"""),45848.57460230013)</f>
        <v>45848.5746</v>
      </c>
      <c r="C1227" s="9">
        <f>IFERROR(__xludf.DUMMYFUNCTION("""COMPUTED_VALUE"""),5095.0)</f>
        <v>5095</v>
      </c>
      <c r="D1227" s="9" t="str">
        <f>IFERROR(__xludf.DUMMYFUNCTION("""COMPUTED_VALUE"""),"Completed")</f>
        <v>Completed</v>
      </c>
    </row>
    <row r="1228">
      <c r="A1228" s="9" t="str">
        <f>IFERROR(__xludf.DUMMYFUNCTION("""COMPUTED_VALUE"""),"G-REQ-01227")</f>
        <v>G-REQ-01227</v>
      </c>
      <c r="B1228" s="11">
        <f>IFERROR(__xludf.DUMMYFUNCTION("""COMPUTED_VALUE"""),45848.645777145546)</f>
        <v>45848.64578</v>
      </c>
      <c r="C1228" s="9">
        <f>IFERROR(__xludf.DUMMYFUNCTION("""COMPUTED_VALUE"""),5099.0)</f>
        <v>5099</v>
      </c>
      <c r="D1228" s="9" t="str">
        <f>IFERROR(__xludf.DUMMYFUNCTION("""COMPUTED_VALUE"""),"Completed")</f>
        <v>Completed</v>
      </c>
    </row>
    <row r="1229">
      <c r="A1229" s="9" t="str">
        <f>IFERROR(__xludf.DUMMYFUNCTION("""COMPUTED_VALUE"""),"G-REQ-01228")</f>
        <v>G-REQ-01228</v>
      </c>
      <c r="B1229" s="11">
        <f>IFERROR(__xludf.DUMMYFUNCTION("""COMPUTED_VALUE"""),45848.716951990966)</f>
        <v>45848.71695</v>
      </c>
      <c r="C1229" s="9">
        <f>IFERROR(__xludf.DUMMYFUNCTION("""COMPUTED_VALUE"""),5103.0)</f>
        <v>5103</v>
      </c>
      <c r="D1229" s="9" t="str">
        <f>IFERROR(__xludf.DUMMYFUNCTION("""COMPUTED_VALUE"""),"Completed")</f>
        <v>Completed</v>
      </c>
    </row>
    <row r="1230">
      <c r="A1230" s="9" t="str">
        <f>IFERROR(__xludf.DUMMYFUNCTION("""COMPUTED_VALUE"""),"G-REQ-01229")</f>
        <v>G-REQ-01229</v>
      </c>
      <c r="B1230" s="11">
        <f>IFERROR(__xludf.DUMMYFUNCTION("""COMPUTED_VALUE"""),45848.78812683638)</f>
        <v>45848.78813</v>
      </c>
      <c r="C1230" s="9">
        <f>IFERROR(__xludf.DUMMYFUNCTION("""COMPUTED_VALUE"""),5107.0)</f>
        <v>5107</v>
      </c>
      <c r="D1230" s="9" t="str">
        <f>IFERROR(__xludf.DUMMYFUNCTION("""COMPUTED_VALUE"""),"Completed")</f>
        <v>Completed</v>
      </c>
    </row>
    <row r="1231">
      <c r="A1231" s="9" t="str">
        <f>IFERROR(__xludf.DUMMYFUNCTION("""COMPUTED_VALUE"""),"G-REQ-01230")</f>
        <v>G-REQ-01230</v>
      </c>
      <c r="B1231" s="11">
        <f>IFERROR(__xludf.DUMMYFUNCTION("""COMPUTED_VALUE"""),45848.85930168179)</f>
        <v>45848.8593</v>
      </c>
      <c r="C1231" s="9">
        <f>IFERROR(__xludf.DUMMYFUNCTION("""COMPUTED_VALUE"""),5111.0)</f>
        <v>5111</v>
      </c>
      <c r="D1231" s="9" t="str">
        <f>IFERROR(__xludf.DUMMYFUNCTION("""COMPUTED_VALUE"""),"Completed")</f>
        <v>Completed</v>
      </c>
    </row>
    <row r="1232">
      <c r="A1232" s="9" t="str">
        <f>IFERROR(__xludf.DUMMYFUNCTION("""COMPUTED_VALUE"""),"G-REQ-01231")</f>
        <v>G-REQ-01231</v>
      </c>
      <c r="B1232" s="11">
        <f>IFERROR(__xludf.DUMMYFUNCTION("""COMPUTED_VALUE"""),45848.93047652721)</f>
        <v>45848.93048</v>
      </c>
      <c r="C1232" s="9">
        <f>IFERROR(__xludf.DUMMYFUNCTION("""COMPUTED_VALUE"""),5115.0)</f>
        <v>5115</v>
      </c>
      <c r="D1232" s="9" t="str">
        <f>IFERROR(__xludf.DUMMYFUNCTION("""COMPUTED_VALUE"""),"Completed")</f>
        <v>Completed</v>
      </c>
    </row>
    <row r="1233">
      <c r="A1233" s="9" t="str">
        <f>IFERROR(__xludf.DUMMYFUNCTION("""COMPUTED_VALUE"""),"G-REQ-01232")</f>
        <v>G-REQ-01232</v>
      </c>
      <c r="B1233" s="11">
        <f>IFERROR(__xludf.DUMMYFUNCTION("""COMPUTED_VALUE"""),45849.00165137262)</f>
        <v>45849.00165</v>
      </c>
      <c r="C1233" s="9">
        <f>IFERROR(__xludf.DUMMYFUNCTION("""COMPUTED_VALUE"""),5119.0)</f>
        <v>5119</v>
      </c>
      <c r="D1233" s="9" t="str">
        <f>IFERROR(__xludf.DUMMYFUNCTION("""COMPUTED_VALUE"""),"Completed")</f>
        <v>Completed</v>
      </c>
    </row>
    <row r="1234">
      <c r="A1234" s="9" t="str">
        <f>IFERROR(__xludf.DUMMYFUNCTION("""COMPUTED_VALUE"""),"G-REQ-01233")</f>
        <v>G-REQ-01233</v>
      </c>
      <c r="B1234" s="11">
        <f>IFERROR(__xludf.DUMMYFUNCTION("""COMPUTED_VALUE"""),45849.072826218035)</f>
        <v>45849.07283</v>
      </c>
      <c r="C1234" s="9">
        <f>IFERROR(__xludf.DUMMYFUNCTION("""COMPUTED_VALUE"""),5123.0)</f>
        <v>5123</v>
      </c>
      <c r="D1234" s="9" t="str">
        <f>IFERROR(__xludf.DUMMYFUNCTION("""COMPUTED_VALUE"""),"Completed")</f>
        <v>Completed</v>
      </c>
    </row>
    <row r="1235">
      <c r="A1235" s="9" t="str">
        <f>IFERROR(__xludf.DUMMYFUNCTION("""COMPUTED_VALUE"""),"G-REQ-01234")</f>
        <v>G-REQ-01234</v>
      </c>
      <c r="B1235" s="11">
        <f>IFERROR(__xludf.DUMMYFUNCTION("""COMPUTED_VALUE"""),45849.144001063454)</f>
        <v>45849.144</v>
      </c>
      <c r="C1235" s="9">
        <f>IFERROR(__xludf.DUMMYFUNCTION("""COMPUTED_VALUE"""),5127.0)</f>
        <v>5127</v>
      </c>
      <c r="D1235" s="9" t="str">
        <f>IFERROR(__xludf.DUMMYFUNCTION("""COMPUTED_VALUE"""),"Completed")</f>
        <v>Completed</v>
      </c>
    </row>
    <row r="1236">
      <c r="A1236" s="9" t="str">
        <f>IFERROR(__xludf.DUMMYFUNCTION("""COMPUTED_VALUE"""),"G-REQ-01235")</f>
        <v>G-REQ-01235</v>
      </c>
      <c r="B1236" s="11">
        <f>IFERROR(__xludf.DUMMYFUNCTION("""COMPUTED_VALUE"""),45849.21517590887)</f>
        <v>45849.21518</v>
      </c>
      <c r="C1236" s="9">
        <f>IFERROR(__xludf.DUMMYFUNCTION("""COMPUTED_VALUE"""),5131.0)</f>
        <v>5131</v>
      </c>
      <c r="D1236" s="9" t="str">
        <f>IFERROR(__xludf.DUMMYFUNCTION("""COMPUTED_VALUE"""),"Completed")</f>
        <v>Completed</v>
      </c>
    </row>
    <row r="1237">
      <c r="A1237" s="9" t="str">
        <f>IFERROR(__xludf.DUMMYFUNCTION("""COMPUTED_VALUE"""),"G-REQ-01236")</f>
        <v>G-REQ-01236</v>
      </c>
      <c r="B1237" s="11">
        <f>IFERROR(__xludf.DUMMYFUNCTION("""COMPUTED_VALUE"""),45849.28635075428)</f>
        <v>45849.28635</v>
      </c>
      <c r="C1237" s="9">
        <f>IFERROR(__xludf.DUMMYFUNCTION("""COMPUTED_VALUE"""),5135.0)</f>
        <v>5135</v>
      </c>
      <c r="D1237" s="9" t="str">
        <f>IFERROR(__xludf.DUMMYFUNCTION("""COMPUTED_VALUE"""),"Completed")</f>
        <v>Completed</v>
      </c>
    </row>
    <row r="1238">
      <c r="A1238" s="9" t="str">
        <f>IFERROR(__xludf.DUMMYFUNCTION("""COMPUTED_VALUE"""),"G-REQ-01237")</f>
        <v>G-REQ-01237</v>
      </c>
      <c r="B1238" s="11">
        <f>IFERROR(__xludf.DUMMYFUNCTION("""COMPUTED_VALUE"""),45849.3575255997)</f>
        <v>45849.35753</v>
      </c>
      <c r="C1238" s="9">
        <f>IFERROR(__xludf.DUMMYFUNCTION("""COMPUTED_VALUE"""),5139.0)</f>
        <v>5139</v>
      </c>
      <c r="D1238" s="9" t="str">
        <f>IFERROR(__xludf.DUMMYFUNCTION("""COMPUTED_VALUE"""),"Completed")</f>
        <v>Completed</v>
      </c>
    </row>
    <row r="1239">
      <c r="A1239" s="9" t="str">
        <f>IFERROR(__xludf.DUMMYFUNCTION("""COMPUTED_VALUE"""),"G-REQ-01238")</f>
        <v>G-REQ-01238</v>
      </c>
      <c r="B1239" s="11">
        <f>IFERROR(__xludf.DUMMYFUNCTION("""COMPUTED_VALUE"""),45849.42870044511)</f>
        <v>45849.4287</v>
      </c>
      <c r="C1239" s="9">
        <f>IFERROR(__xludf.DUMMYFUNCTION("""COMPUTED_VALUE"""),5143.0)</f>
        <v>5143</v>
      </c>
      <c r="D1239" s="9" t="str">
        <f>IFERROR(__xludf.DUMMYFUNCTION("""COMPUTED_VALUE"""),"Completed")</f>
        <v>Completed</v>
      </c>
    </row>
    <row r="1240">
      <c r="A1240" s="9" t="str">
        <f>IFERROR(__xludf.DUMMYFUNCTION("""COMPUTED_VALUE"""),"G-REQ-01239")</f>
        <v>G-REQ-01239</v>
      </c>
      <c r="B1240" s="11">
        <f>IFERROR(__xludf.DUMMYFUNCTION("""COMPUTED_VALUE"""),45849.49987529052)</f>
        <v>45849.49988</v>
      </c>
      <c r="C1240" s="9">
        <f>IFERROR(__xludf.DUMMYFUNCTION("""COMPUTED_VALUE"""),5147.0)</f>
        <v>5147</v>
      </c>
      <c r="D1240" s="9" t="str">
        <f>IFERROR(__xludf.DUMMYFUNCTION("""COMPUTED_VALUE"""),"Completed")</f>
        <v>Completed</v>
      </c>
    </row>
    <row r="1241">
      <c r="A1241" s="9" t="str">
        <f>IFERROR(__xludf.DUMMYFUNCTION("""COMPUTED_VALUE"""),"G-REQ-01240")</f>
        <v>G-REQ-01240</v>
      </c>
      <c r="B1241" s="11">
        <f>IFERROR(__xludf.DUMMYFUNCTION("""COMPUTED_VALUE"""),45849.57105013594)</f>
        <v>45849.57105</v>
      </c>
      <c r="C1241" s="9">
        <f>IFERROR(__xludf.DUMMYFUNCTION("""COMPUTED_VALUE"""),5151.0)</f>
        <v>5151</v>
      </c>
      <c r="D1241" s="9" t="str">
        <f>IFERROR(__xludf.DUMMYFUNCTION("""COMPUTED_VALUE"""),"Completed")</f>
        <v>Completed</v>
      </c>
    </row>
    <row r="1242">
      <c r="A1242" s="9" t="str">
        <f>IFERROR(__xludf.DUMMYFUNCTION("""COMPUTED_VALUE"""),"G-REQ-01241")</f>
        <v>G-REQ-01241</v>
      </c>
      <c r="B1242" s="11">
        <f>IFERROR(__xludf.DUMMYFUNCTION("""COMPUTED_VALUE"""),45849.64222498136)</f>
        <v>45849.64222</v>
      </c>
      <c r="C1242" s="9">
        <f>IFERROR(__xludf.DUMMYFUNCTION("""COMPUTED_VALUE"""),5155.0)</f>
        <v>5155</v>
      </c>
      <c r="D1242" s="9" t="str">
        <f>IFERROR(__xludf.DUMMYFUNCTION("""COMPUTED_VALUE"""),"Completed")</f>
        <v>Completed</v>
      </c>
    </row>
    <row r="1243">
      <c r="A1243" s="9" t="str">
        <f>IFERROR(__xludf.DUMMYFUNCTION("""COMPUTED_VALUE"""),"G-REQ-01242")</f>
        <v>G-REQ-01242</v>
      </c>
      <c r="B1243" s="11">
        <f>IFERROR(__xludf.DUMMYFUNCTION("""COMPUTED_VALUE"""),45849.71339982677)</f>
        <v>45849.7134</v>
      </c>
      <c r="C1243" s="9">
        <f>IFERROR(__xludf.DUMMYFUNCTION("""COMPUTED_VALUE"""),5159.0)</f>
        <v>5159</v>
      </c>
      <c r="D1243" s="9" t="str">
        <f>IFERROR(__xludf.DUMMYFUNCTION("""COMPUTED_VALUE"""),"Completed")</f>
        <v>Completed</v>
      </c>
    </row>
    <row r="1244">
      <c r="A1244" s="9" t="str">
        <f>IFERROR(__xludf.DUMMYFUNCTION("""COMPUTED_VALUE"""),"G-REQ-01243")</f>
        <v>G-REQ-01243</v>
      </c>
      <c r="B1244" s="11">
        <f>IFERROR(__xludf.DUMMYFUNCTION("""COMPUTED_VALUE"""),45849.78457467219)</f>
        <v>45849.78457</v>
      </c>
      <c r="C1244" s="9">
        <f>IFERROR(__xludf.DUMMYFUNCTION("""COMPUTED_VALUE"""),5163.0)</f>
        <v>5163</v>
      </c>
      <c r="D1244" s="9" t="str">
        <f>IFERROR(__xludf.DUMMYFUNCTION("""COMPUTED_VALUE"""),"Completed")</f>
        <v>Completed</v>
      </c>
    </row>
    <row r="1245">
      <c r="A1245" s="9" t="str">
        <f>IFERROR(__xludf.DUMMYFUNCTION("""COMPUTED_VALUE"""),"G-REQ-01244")</f>
        <v>G-REQ-01244</v>
      </c>
      <c r="B1245" s="11">
        <f>IFERROR(__xludf.DUMMYFUNCTION("""COMPUTED_VALUE"""),45849.85574951761)</f>
        <v>45849.85575</v>
      </c>
      <c r="C1245" s="9">
        <f>IFERROR(__xludf.DUMMYFUNCTION("""COMPUTED_VALUE"""),5167.0)</f>
        <v>5167</v>
      </c>
      <c r="D1245" s="9" t="str">
        <f>IFERROR(__xludf.DUMMYFUNCTION("""COMPUTED_VALUE"""),"Completed")</f>
        <v>Completed</v>
      </c>
    </row>
    <row r="1246">
      <c r="A1246" s="9" t="str">
        <f>IFERROR(__xludf.DUMMYFUNCTION("""COMPUTED_VALUE"""),"G-REQ-01245")</f>
        <v>G-REQ-01245</v>
      </c>
      <c r="B1246" s="11">
        <f>IFERROR(__xludf.DUMMYFUNCTION("""COMPUTED_VALUE"""),45849.92692436302)</f>
        <v>45849.92692</v>
      </c>
      <c r="C1246" s="9">
        <f>IFERROR(__xludf.DUMMYFUNCTION("""COMPUTED_VALUE"""),5171.0)</f>
        <v>5171</v>
      </c>
      <c r="D1246" s="9" t="str">
        <f>IFERROR(__xludf.DUMMYFUNCTION("""COMPUTED_VALUE"""),"Completed")</f>
        <v>Completed</v>
      </c>
    </row>
    <row r="1247">
      <c r="A1247" s="9" t="str">
        <f>IFERROR(__xludf.DUMMYFUNCTION("""COMPUTED_VALUE"""),"G-REQ-01246")</f>
        <v>G-REQ-01246</v>
      </c>
      <c r="B1247" s="11">
        <f>IFERROR(__xludf.DUMMYFUNCTION("""COMPUTED_VALUE"""),45849.991154763986)</f>
        <v>45849.99115</v>
      </c>
      <c r="C1247" s="9">
        <f>IFERROR(__xludf.DUMMYFUNCTION("""COMPUTED_VALUE"""),5173.0)</f>
        <v>5173</v>
      </c>
      <c r="D1247" s="9" t="str">
        <f>IFERROR(__xludf.DUMMYFUNCTION("""COMPUTED_VALUE"""),"Rejected")</f>
        <v>Rejected</v>
      </c>
    </row>
    <row r="1248">
      <c r="A1248" s="9" t="str">
        <f>IFERROR(__xludf.DUMMYFUNCTION("""COMPUTED_VALUE"""),"G-REQ-01247")</f>
        <v>G-REQ-01247</v>
      </c>
      <c r="B1248" s="11">
        <f>IFERROR(__xludf.DUMMYFUNCTION("""COMPUTED_VALUE"""),45850.062329609405)</f>
        <v>45850.06233</v>
      </c>
      <c r="C1248" s="9">
        <f>IFERROR(__xludf.DUMMYFUNCTION("""COMPUTED_VALUE"""),5175.0)</f>
        <v>5175</v>
      </c>
      <c r="D1248" s="9" t="str">
        <f>IFERROR(__xludf.DUMMYFUNCTION("""COMPUTED_VALUE"""),"Cancelled")</f>
        <v>Cancelled</v>
      </c>
    </row>
    <row r="1249">
      <c r="A1249" s="9" t="str">
        <f>IFERROR(__xludf.DUMMYFUNCTION("""COMPUTED_VALUE"""),"G-REQ-01248")</f>
        <v>G-REQ-01248</v>
      </c>
      <c r="B1249" s="11">
        <f>IFERROR(__xludf.DUMMYFUNCTION("""COMPUTED_VALUE"""),45850.13350445482)</f>
        <v>45850.1335</v>
      </c>
      <c r="C1249" s="9">
        <f>IFERROR(__xludf.DUMMYFUNCTION("""COMPUTED_VALUE"""),5177.0)</f>
        <v>5177</v>
      </c>
      <c r="D1249" s="9" t="str">
        <f>IFERROR(__xludf.DUMMYFUNCTION("""COMPUTED_VALUE"""),"Rejected")</f>
        <v>Rejected</v>
      </c>
    </row>
    <row r="1250">
      <c r="A1250" s="9" t="str">
        <f>IFERROR(__xludf.DUMMYFUNCTION("""COMPUTED_VALUE"""),"G-REQ-01249")</f>
        <v>G-REQ-01249</v>
      </c>
      <c r="B1250" s="11">
        <f>IFERROR(__xludf.DUMMYFUNCTION("""COMPUTED_VALUE"""),45850.211623744675)</f>
        <v>45850.21162</v>
      </c>
      <c r="C1250" s="9">
        <f>IFERROR(__xludf.DUMMYFUNCTION("""COMPUTED_VALUE"""),5181.0)</f>
        <v>5181</v>
      </c>
      <c r="D1250" s="9" t="str">
        <f>IFERROR(__xludf.DUMMYFUNCTION("""COMPUTED_VALUE"""),"Completed")</f>
        <v>Completed</v>
      </c>
    </row>
    <row r="1251">
      <c r="A1251" s="9" t="str">
        <f>IFERROR(__xludf.DUMMYFUNCTION("""COMPUTED_VALUE"""),"G-REQ-01250")</f>
        <v>G-REQ-01250</v>
      </c>
      <c r="B1251" s="11">
        <f>IFERROR(__xludf.DUMMYFUNCTION("""COMPUTED_VALUE"""),45850.282798590095)</f>
        <v>45850.2828</v>
      </c>
      <c r="C1251" s="9">
        <f>IFERROR(__xludf.DUMMYFUNCTION("""COMPUTED_VALUE"""),5185.0)</f>
        <v>5185</v>
      </c>
      <c r="D1251" s="9" t="str">
        <f>IFERROR(__xludf.DUMMYFUNCTION("""COMPUTED_VALUE"""),"Completed")</f>
        <v>Completed</v>
      </c>
    </row>
    <row r="1252">
      <c r="A1252" s="9" t="str">
        <f>IFERROR(__xludf.DUMMYFUNCTION("""COMPUTED_VALUE"""),"G-REQ-01251")</f>
        <v>G-REQ-01251</v>
      </c>
      <c r="B1252" s="11">
        <f>IFERROR(__xludf.DUMMYFUNCTION("""COMPUTED_VALUE"""),45850.35397343551)</f>
        <v>45850.35397</v>
      </c>
      <c r="C1252" s="9">
        <f>IFERROR(__xludf.DUMMYFUNCTION("""COMPUTED_VALUE"""),5189.0)</f>
        <v>5189</v>
      </c>
      <c r="D1252" s="9" t="str">
        <f>IFERROR(__xludf.DUMMYFUNCTION("""COMPUTED_VALUE"""),"Completed")</f>
        <v>Completed</v>
      </c>
    </row>
    <row r="1253">
      <c r="A1253" s="9" t="str">
        <f>IFERROR(__xludf.DUMMYFUNCTION("""COMPUTED_VALUE"""),"G-REQ-01252")</f>
        <v>G-REQ-01252</v>
      </c>
      <c r="B1253" s="11">
        <f>IFERROR(__xludf.DUMMYFUNCTION("""COMPUTED_VALUE"""),45850.42514828092)</f>
        <v>45850.42515</v>
      </c>
      <c r="C1253" s="9">
        <f>IFERROR(__xludf.DUMMYFUNCTION("""COMPUTED_VALUE"""),5193.0)</f>
        <v>5193</v>
      </c>
      <c r="D1253" s="9" t="str">
        <f>IFERROR(__xludf.DUMMYFUNCTION("""COMPUTED_VALUE"""),"Completed")</f>
        <v>Completed</v>
      </c>
    </row>
    <row r="1254">
      <c r="A1254" s="9" t="str">
        <f>IFERROR(__xludf.DUMMYFUNCTION("""COMPUTED_VALUE"""),"G-REQ-01253")</f>
        <v>G-REQ-01253</v>
      </c>
      <c r="B1254" s="11">
        <f>IFERROR(__xludf.DUMMYFUNCTION("""COMPUTED_VALUE"""),45850.49632312634)</f>
        <v>45850.49632</v>
      </c>
      <c r="C1254" s="9">
        <f>IFERROR(__xludf.DUMMYFUNCTION("""COMPUTED_VALUE"""),5197.0)</f>
        <v>5197</v>
      </c>
      <c r="D1254" s="9" t="str">
        <f>IFERROR(__xludf.DUMMYFUNCTION("""COMPUTED_VALUE"""),"Completed")</f>
        <v>Completed</v>
      </c>
    </row>
    <row r="1255">
      <c r="A1255" s="9" t="str">
        <f>IFERROR(__xludf.DUMMYFUNCTION("""COMPUTED_VALUE"""),"G-REQ-01254")</f>
        <v>G-REQ-01254</v>
      </c>
      <c r="B1255" s="11">
        <f>IFERROR(__xludf.DUMMYFUNCTION("""COMPUTED_VALUE"""),45850.56749797176)</f>
        <v>45850.5675</v>
      </c>
      <c r="C1255" s="9">
        <f>IFERROR(__xludf.DUMMYFUNCTION("""COMPUTED_VALUE"""),5201.0)</f>
        <v>5201</v>
      </c>
      <c r="D1255" s="9" t="str">
        <f>IFERROR(__xludf.DUMMYFUNCTION("""COMPUTED_VALUE"""),"Completed")</f>
        <v>Completed</v>
      </c>
    </row>
    <row r="1256">
      <c r="A1256" s="9" t="str">
        <f>IFERROR(__xludf.DUMMYFUNCTION("""COMPUTED_VALUE"""),"G-REQ-01255")</f>
        <v>G-REQ-01255</v>
      </c>
      <c r="B1256" s="11">
        <f>IFERROR(__xludf.DUMMYFUNCTION("""COMPUTED_VALUE"""),45850.638672817164)</f>
        <v>45850.63867</v>
      </c>
      <c r="C1256" s="9">
        <f>IFERROR(__xludf.DUMMYFUNCTION("""COMPUTED_VALUE"""),5205.0)</f>
        <v>5205</v>
      </c>
      <c r="D1256" s="9" t="str">
        <f>IFERROR(__xludf.DUMMYFUNCTION("""COMPUTED_VALUE"""),"Completed")</f>
        <v>Completed</v>
      </c>
    </row>
    <row r="1257">
      <c r="A1257" s="9" t="str">
        <f>IFERROR(__xludf.DUMMYFUNCTION("""COMPUTED_VALUE"""),"G-REQ-01256")</f>
        <v>G-REQ-01256</v>
      </c>
      <c r="B1257" s="11">
        <f>IFERROR(__xludf.DUMMYFUNCTION("""COMPUTED_VALUE"""),45850.70984766258)</f>
        <v>45850.70985</v>
      </c>
      <c r="C1257" s="9">
        <f>IFERROR(__xludf.DUMMYFUNCTION("""COMPUTED_VALUE"""),5209.0)</f>
        <v>5209</v>
      </c>
      <c r="D1257" s="9" t="str">
        <f>IFERROR(__xludf.DUMMYFUNCTION("""COMPUTED_VALUE"""),"Completed")</f>
        <v>Completed</v>
      </c>
    </row>
    <row r="1258">
      <c r="A1258" s="9" t="str">
        <f>IFERROR(__xludf.DUMMYFUNCTION("""COMPUTED_VALUE"""),"G-REQ-01257")</f>
        <v>G-REQ-01257</v>
      </c>
      <c r="B1258" s="11">
        <f>IFERROR(__xludf.DUMMYFUNCTION("""COMPUTED_VALUE"""),45850.781022508)</f>
        <v>45850.78102</v>
      </c>
      <c r="C1258" s="9">
        <f>IFERROR(__xludf.DUMMYFUNCTION("""COMPUTED_VALUE"""),5213.0)</f>
        <v>5213</v>
      </c>
      <c r="D1258" s="9" t="str">
        <f>IFERROR(__xludf.DUMMYFUNCTION("""COMPUTED_VALUE"""),"Completed")</f>
        <v>Completed</v>
      </c>
    </row>
    <row r="1259">
      <c r="A1259" s="9" t="str">
        <f>IFERROR(__xludf.DUMMYFUNCTION("""COMPUTED_VALUE"""),"G-REQ-01258")</f>
        <v>G-REQ-01258</v>
      </c>
      <c r="B1259" s="11">
        <f>IFERROR(__xludf.DUMMYFUNCTION("""COMPUTED_VALUE"""),45850.852197353415)</f>
        <v>45850.8522</v>
      </c>
      <c r="C1259" s="9">
        <f>IFERROR(__xludf.DUMMYFUNCTION("""COMPUTED_VALUE"""),5217.0)</f>
        <v>5217</v>
      </c>
      <c r="D1259" s="9" t="str">
        <f>IFERROR(__xludf.DUMMYFUNCTION("""COMPUTED_VALUE"""),"Completed")</f>
        <v>Completed</v>
      </c>
    </row>
    <row r="1260">
      <c r="A1260" s="9" t="str">
        <f>IFERROR(__xludf.DUMMYFUNCTION("""COMPUTED_VALUE"""),"G-REQ-01259")</f>
        <v>G-REQ-01259</v>
      </c>
      <c r="B1260" s="11">
        <f>IFERROR(__xludf.DUMMYFUNCTION("""COMPUTED_VALUE"""),45850.92337219883)</f>
        <v>45850.92337</v>
      </c>
      <c r="C1260" s="9">
        <f>IFERROR(__xludf.DUMMYFUNCTION("""COMPUTED_VALUE"""),5221.0)</f>
        <v>5221</v>
      </c>
      <c r="D1260" s="9" t="str">
        <f>IFERROR(__xludf.DUMMYFUNCTION("""COMPUTED_VALUE"""),"Completed")</f>
        <v>Completed</v>
      </c>
    </row>
    <row r="1261">
      <c r="A1261" s="9" t="str">
        <f>IFERROR(__xludf.DUMMYFUNCTION("""COMPUTED_VALUE"""),"G-REQ-01260")</f>
        <v>G-REQ-01260</v>
      </c>
      <c r="B1261" s="11">
        <f>IFERROR(__xludf.DUMMYFUNCTION("""COMPUTED_VALUE"""),45850.99454704425)</f>
        <v>45850.99455</v>
      </c>
      <c r="C1261" s="9">
        <f>IFERROR(__xludf.DUMMYFUNCTION("""COMPUTED_VALUE"""),5225.0)</f>
        <v>5225</v>
      </c>
      <c r="D1261" s="9" t="str">
        <f>IFERROR(__xludf.DUMMYFUNCTION("""COMPUTED_VALUE"""),"Completed")</f>
        <v>Completed</v>
      </c>
    </row>
    <row r="1262">
      <c r="A1262" s="9" t="str">
        <f>IFERROR(__xludf.DUMMYFUNCTION("""COMPUTED_VALUE"""),"G-REQ-01261")</f>
        <v>G-REQ-01261</v>
      </c>
      <c r="B1262" s="11">
        <f>IFERROR(__xludf.DUMMYFUNCTION("""COMPUTED_VALUE"""),45851.06572188966)</f>
        <v>45851.06572</v>
      </c>
      <c r="C1262" s="9">
        <f>IFERROR(__xludf.DUMMYFUNCTION("""COMPUTED_VALUE"""),5229.0)</f>
        <v>5229</v>
      </c>
      <c r="D1262" s="9" t="str">
        <f>IFERROR(__xludf.DUMMYFUNCTION("""COMPUTED_VALUE"""),"Completed")</f>
        <v>Completed</v>
      </c>
    </row>
    <row r="1263">
      <c r="A1263" s="9" t="str">
        <f>IFERROR(__xludf.DUMMYFUNCTION("""COMPUTED_VALUE"""),"G-REQ-01262")</f>
        <v>G-REQ-01262</v>
      </c>
      <c r="B1263" s="11">
        <f>IFERROR(__xludf.DUMMYFUNCTION("""COMPUTED_VALUE"""),45851.13689673507)</f>
        <v>45851.1369</v>
      </c>
      <c r="C1263" s="9">
        <f>IFERROR(__xludf.DUMMYFUNCTION("""COMPUTED_VALUE"""),5233.0)</f>
        <v>5233</v>
      </c>
      <c r="D1263" s="9" t="str">
        <f>IFERROR(__xludf.DUMMYFUNCTION("""COMPUTED_VALUE"""),"Completed")</f>
        <v>Completed</v>
      </c>
    </row>
    <row r="1264">
      <c r="A1264" s="9" t="str">
        <f>IFERROR(__xludf.DUMMYFUNCTION("""COMPUTED_VALUE"""),"G-REQ-01263")</f>
        <v>G-REQ-01263</v>
      </c>
      <c r="B1264" s="11">
        <f>IFERROR(__xludf.DUMMYFUNCTION("""COMPUTED_VALUE"""),45851.20807158049)</f>
        <v>45851.20807</v>
      </c>
      <c r="C1264" s="9">
        <f>IFERROR(__xludf.DUMMYFUNCTION("""COMPUTED_VALUE"""),5237.0)</f>
        <v>5237</v>
      </c>
      <c r="D1264" s="9" t="str">
        <f>IFERROR(__xludf.DUMMYFUNCTION("""COMPUTED_VALUE"""),"Completed")</f>
        <v>Completed</v>
      </c>
    </row>
    <row r="1265">
      <c r="A1265" s="9" t="str">
        <f>IFERROR(__xludf.DUMMYFUNCTION("""COMPUTED_VALUE"""),"G-REQ-01264")</f>
        <v>G-REQ-01264</v>
      </c>
      <c r="B1265" s="11">
        <f>IFERROR(__xludf.DUMMYFUNCTION("""COMPUTED_VALUE"""),45851.279246425904)</f>
        <v>45851.27925</v>
      </c>
      <c r="C1265" s="9">
        <f>IFERROR(__xludf.DUMMYFUNCTION("""COMPUTED_VALUE"""),5241.0)</f>
        <v>5241</v>
      </c>
      <c r="D1265" s="9" t="str">
        <f>IFERROR(__xludf.DUMMYFUNCTION("""COMPUTED_VALUE"""),"Completed")</f>
        <v>Completed</v>
      </c>
    </row>
    <row r="1266">
      <c r="A1266" s="9" t="str">
        <f>IFERROR(__xludf.DUMMYFUNCTION("""COMPUTED_VALUE"""),"G-REQ-01265")</f>
        <v>G-REQ-01265</v>
      </c>
      <c r="B1266" s="11">
        <f>IFERROR(__xludf.DUMMYFUNCTION("""COMPUTED_VALUE"""),45851.350421271316)</f>
        <v>45851.35042</v>
      </c>
      <c r="C1266" s="9">
        <f>IFERROR(__xludf.DUMMYFUNCTION("""COMPUTED_VALUE"""),5245.0)</f>
        <v>5245</v>
      </c>
      <c r="D1266" s="9" t="str">
        <f>IFERROR(__xludf.DUMMYFUNCTION("""COMPUTED_VALUE"""),"Completed")</f>
        <v>Completed</v>
      </c>
    </row>
    <row r="1267">
      <c r="A1267" s="9" t="str">
        <f>IFERROR(__xludf.DUMMYFUNCTION("""COMPUTED_VALUE"""),"G-REQ-01266")</f>
        <v>G-REQ-01266</v>
      </c>
      <c r="B1267" s="11">
        <f>IFERROR(__xludf.DUMMYFUNCTION("""COMPUTED_VALUE"""),45851.41465167229)</f>
        <v>45851.41465</v>
      </c>
      <c r="C1267" s="9">
        <f>IFERROR(__xludf.DUMMYFUNCTION("""COMPUTED_VALUE"""),5247.0)</f>
        <v>5247</v>
      </c>
      <c r="D1267" s="9" t="str">
        <f>IFERROR(__xludf.DUMMYFUNCTION("""COMPUTED_VALUE"""),"Rejected")</f>
        <v>Rejected</v>
      </c>
    </row>
    <row r="1268">
      <c r="A1268" s="9" t="str">
        <f>IFERROR(__xludf.DUMMYFUNCTION("""COMPUTED_VALUE"""),"G-REQ-01267")</f>
        <v>G-REQ-01267</v>
      </c>
      <c r="B1268" s="11">
        <f>IFERROR(__xludf.DUMMYFUNCTION("""COMPUTED_VALUE"""),45851.49277096215)</f>
        <v>45851.49277</v>
      </c>
      <c r="C1268" s="9">
        <f>IFERROR(__xludf.DUMMYFUNCTION("""COMPUTED_VALUE"""),5251.0)</f>
        <v>5251</v>
      </c>
      <c r="D1268" s="9" t="str">
        <f>IFERROR(__xludf.DUMMYFUNCTION("""COMPUTED_VALUE"""),"Completed")</f>
        <v>Completed</v>
      </c>
    </row>
    <row r="1269">
      <c r="A1269" s="9" t="str">
        <f>IFERROR(__xludf.DUMMYFUNCTION("""COMPUTED_VALUE"""),"G-REQ-01268")</f>
        <v>G-REQ-01268</v>
      </c>
      <c r="B1269" s="11">
        <f>IFERROR(__xludf.DUMMYFUNCTION("""COMPUTED_VALUE"""),45851.56394580756)</f>
        <v>45851.56395</v>
      </c>
      <c r="C1269" s="9">
        <f>IFERROR(__xludf.DUMMYFUNCTION("""COMPUTED_VALUE"""),5255.0)</f>
        <v>5255</v>
      </c>
      <c r="D1269" s="9" t="str">
        <f>IFERROR(__xludf.DUMMYFUNCTION("""COMPUTED_VALUE"""),"Completed")</f>
        <v>Completed</v>
      </c>
    </row>
    <row r="1270">
      <c r="A1270" s="9" t="str">
        <f>IFERROR(__xludf.DUMMYFUNCTION("""COMPUTED_VALUE"""),"G-REQ-01269")</f>
        <v>G-REQ-01269</v>
      </c>
      <c r="B1270" s="11">
        <f>IFERROR(__xludf.DUMMYFUNCTION("""COMPUTED_VALUE"""),45851.63512065298)</f>
        <v>45851.63512</v>
      </c>
      <c r="C1270" s="9">
        <f>IFERROR(__xludf.DUMMYFUNCTION("""COMPUTED_VALUE"""),5259.0)</f>
        <v>5259</v>
      </c>
      <c r="D1270" s="9" t="str">
        <f>IFERROR(__xludf.DUMMYFUNCTION("""COMPUTED_VALUE"""),"Completed")</f>
        <v>Completed</v>
      </c>
    </row>
    <row r="1271">
      <c r="A1271" s="9" t="str">
        <f>IFERROR(__xludf.DUMMYFUNCTION("""COMPUTED_VALUE"""),"G-REQ-01270")</f>
        <v>G-REQ-01270</v>
      </c>
      <c r="B1271" s="11">
        <f>IFERROR(__xludf.DUMMYFUNCTION("""COMPUTED_VALUE"""),45851.699351053954)</f>
        <v>45851.69935</v>
      </c>
      <c r="C1271" s="9">
        <f>IFERROR(__xludf.DUMMYFUNCTION("""COMPUTED_VALUE"""),5261.0)</f>
        <v>5261</v>
      </c>
      <c r="D1271" s="9" t="str">
        <f>IFERROR(__xludf.DUMMYFUNCTION("""COMPUTED_VALUE"""),"Rejected")</f>
        <v>Rejected</v>
      </c>
    </row>
    <row r="1272">
      <c r="A1272" s="9" t="str">
        <f>IFERROR(__xludf.DUMMYFUNCTION("""COMPUTED_VALUE"""),"G-REQ-01271")</f>
        <v>G-REQ-01271</v>
      </c>
      <c r="B1272" s="11">
        <f>IFERROR(__xludf.DUMMYFUNCTION("""COMPUTED_VALUE"""),45851.777470343804)</f>
        <v>45851.77747</v>
      </c>
      <c r="C1272" s="9">
        <f>IFERROR(__xludf.DUMMYFUNCTION("""COMPUTED_VALUE"""),5265.0)</f>
        <v>5265</v>
      </c>
      <c r="D1272" s="9" t="str">
        <f>IFERROR(__xludf.DUMMYFUNCTION("""COMPUTED_VALUE"""),"Completed")</f>
        <v>Completed</v>
      </c>
    </row>
    <row r="1273">
      <c r="A1273" s="9" t="str">
        <f>IFERROR(__xludf.DUMMYFUNCTION("""COMPUTED_VALUE"""),"G-REQ-01272")</f>
        <v>G-REQ-01272</v>
      </c>
      <c r="B1273" s="11">
        <f>IFERROR(__xludf.DUMMYFUNCTION("""COMPUTED_VALUE"""),45851.848645189224)</f>
        <v>45851.84865</v>
      </c>
      <c r="C1273" s="9">
        <f>IFERROR(__xludf.DUMMYFUNCTION("""COMPUTED_VALUE"""),5269.0)</f>
        <v>5269</v>
      </c>
      <c r="D1273" s="9" t="str">
        <f>IFERROR(__xludf.DUMMYFUNCTION("""COMPUTED_VALUE"""),"Completed")</f>
        <v>Completed</v>
      </c>
    </row>
    <row r="1274">
      <c r="A1274" s="9" t="str">
        <f>IFERROR(__xludf.DUMMYFUNCTION("""COMPUTED_VALUE"""),"G-REQ-01273")</f>
        <v>G-REQ-01273</v>
      </c>
      <c r="B1274" s="11">
        <f>IFERROR(__xludf.DUMMYFUNCTION("""COMPUTED_VALUE"""),45851.91982003464)</f>
        <v>45851.91982</v>
      </c>
      <c r="C1274" s="9">
        <f>IFERROR(__xludf.DUMMYFUNCTION("""COMPUTED_VALUE"""),5273.0)</f>
        <v>5273</v>
      </c>
      <c r="D1274" s="9" t="str">
        <f>IFERROR(__xludf.DUMMYFUNCTION("""COMPUTED_VALUE"""),"Completed")</f>
        <v>Completed</v>
      </c>
    </row>
    <row r="1275">
      <c r="A1275" s="9" t="str">
        <f>IFERROR(__xludf.DUMMYFUNCTION("""COMPUTED_VALUE"""),"G-REQ-01274")</f>
        <v>G-REQ-01274</v>
      </c>
      <c r="B1275" s="11">
        <f>IFERROR(__xludf.DUMMYFUNCTION("""COMPUTED_VALUE"""),45851.990994880056)</f>
        <v>45851.99099</v>
      </c>
      <c r="C1275" s="9">
        <f>IFERROR(__xludf.DUMMYFUNCTION("""COMPUTED_VALUE"""),5277.0)</f>
        <v>5277</v>
      </c>
      <c r="D1275" s="9" t="str">
        <f>IFERROR(__xludf.DUMMYFUNCTION("""COMPUTED_VALUE"""),"Completed")</f>
        <v>Completed</v>
      </c>
    </row>
    <row r="1276">
      <c r="A1276" s="9" t="str">
        <f>IFERROR(__xludf.DUMMYFUNCTION("""COMPUTED_VALUE"""),"G-REQ-01275")</f>
        <v>G-REQ-01275</v>
      </c>
      <c r="B1276" s="11">
        <f>IFERROR(__xludf.DUMMYFUNCTION("""COMPUTED_VALUE"""),45852.06216972547)</f>
        <v>45852.06217</v>
      </c>
      <c r="C1276" s="9">
        <f>IFERROR(__xludf.DUMMYFUNCTION("""COMPUTED_VALUE"""),5281.0)</f>
        <v>5281</v>
      </c>
      <c r="D1276" s="9" t="str">
        <f>IFERROR(__xludf.DUMMYFUNCTION("""COMPUTED_VALUE"""),"Completed")</f>
        <v>Completed</v>
      </c>
    </row>
    <row r="1277">
      <c r="A1277" s="9" t="str">
        <f>IFERROR(__xludf.DUMMYFUNCTION("""COMPUTED_VALUE"""),"G-REQ-01276")</f>
        <v>G-REQ-01276</v>
      </c>
      <c r="B1277" s="11">
        <f>IFERROR(__xludf.DUMMYFUNCTION("""COMPUTED_VALUE"""),45852.13334457089)</f>
        <v>45852.13334</v>
      </c>
      <c r="C1277" s="9">
        <f>IFERROR(__xludf.DUMMYFUNCTION("""COMPUTED_VALUE"""),5285.0)</f>
        <v>5285</v>
      </c>
      <c r="D1277" s="9" t="str">
        <f>IFERROR(__xludf.DUMMYFUNCTION("""COMPUTED_VALUE"""),"Completed")</f>
        <v>Completed</v>
      </c>
    </row>
    <row r="1278">
      <c r="A1278" s="9" t="str">
        <f>IFERROR(__xludf.DUMMYFUNCTION("""COMPUTED_VALUE"""),"G-REQ-01277")</f>
        <v>G-REQ-01277</v>
      </c>
      <c r="B1278" s="11">
        <f>IFERROR(__xludf.DUMMYFUNCTION("""COMPUTED_VALUE"""),45852.2045194163)</f>
        <v>45852.20452</v>
      </c>
      <c r="C1278" s="9">
        <f>IFERROR(__xludf.DUMMYFUNCTION("""COMPUTED_VALUE"""),5289.0)</f>
        <v>5289</v>
      </c>
      <c r="D1278" s="9" t="str">
        <f>IFERROR(__xludf.DUMMYFUNCTION("""COMPUTED_VALUE"""),"Completed")</f>
        <v>Completed</v>
      </c>
    </row>
    <row r="1279">
      <c r="A1279" s="9" t="str">
        <f>IFERROR(__xludf.DUMMYFUNCTION("""COMPUTED_VALUE"""),"G-REQ-01278")</f>
        <v>G-REQ-01278</v>
      </c>
      <c r="B1279" s="11">
        <f>IFERROR(__xludf.DUMMYFUNCTION("""COMPUTED_VALUE"""),45852.26874981727)</f>
        <v>45852.26875</v>
      </c>
      <c r="C1279" s="9">
        <f>IFERROR(__xludf.DUMMYFUNCTION("""COMPUTED_VALUE"""),5291.0)</f>
        <v>5291</v>
      </c>
      <c r="D1279" s="9" t="str">
        <f>IFERROR(__xludf.DUMMYFUNCTION("""COMPUTED_VALUE"""),"Rejected")</f>
        <v>Rejected</v>
      </c>
    </row>
    <row r="1280">
      <c r="A1280" s="9" t="str">
        <f>IFERROR(__xludf.DUMMYFUNCTION("""COMPUTED_VALUE"""),"G-REQ-01279")</f>
        <v>G-REQ-01279</v>
      </c>
      <c r="B1280" s="11">
        <f>IFERROR(__xludf.DUMMYFUNCTION("""COMPUTED_VALUE"""),45852.34686910713)</f>
        <v>45852.34687</v>
      </c>
      <c r="C1280" s="9">
        <f>IFERROR(__xludf.DUMMYFUNCTION("""COMPUTED_VALUE"""),5295.0)</f>
        <v>5295</v>
      </c>
      <c r="D1280" s="9" t="str">
        <f>IFERROR(__xludf.DUMMYFUNCTION("""COMPUTED_VALUE"""),"Completed")</f>
        <v>Completed</v>
      </c>
    </row>
    <row r="1281">
      <c r="A1281" s="9" t="str">
        <f>IFERROR(__xludf.DUMMYFUNCTION("""COMPUTED_VALUE"""),"G-REQ-01280")</f>
        <v>G-REQ-01280</v>
      </c>
      <c r="B1281" s="11">
        <f>IFERROR(__xludf.DUMMYFUNCTION("""COMPUTED_VALUE"""),45852.418043952544)</f>
        <v>45852.41804</v>
      </c>
      <c r="C1281" s="9">
        <f>IFERROR(__xludf.DUMMYFUNCTION("""COMPUTED_VALUE"""),5299.0)</f>
        <v>5299</v>
      </c>
      <c r="D1281" s="9" t="str">
        <f>IFERROR(__xludf.DUMMYFUNCTION("""COMPUTED_VALUE"""),"Completed")</f>
        <v>Completed</v>
      </c>
    </row>
    <row r="1282">
      <c r="A1282" s="9" t="str">
        <f>IFERROR(__xludf.DUMMYFUNCTION("""COMPUTED_VALUE"""),"G-REQ-01281")</f>
        <v>G-REQ-01281</v>
      </c>
      <c r="B1282" s="11">
        <f>IFERROR(__xludf.DUMMYFUNCTION("""COMPUTED_VALUE"""),45852.48227435351)</f>
        <v>45852.48227</v>
      </c>
      <c r="C1282" s="9">
        <f>IFERROR(__xludf.DUMMYFUNCTION("""COMPUTED_VALUE"""),5301.0)</f>
        <v>5301</v>
      </c>
      <c r="D1282" s="9" t="str">
        <f>IFERROR(__xludf.DUMMYFUNCTION("""COMPUTED_VALUE"""),"Cancelled")</f>
        <v>Cancelled</v>
      </c>
    </row>
    <row r="1283">
      <c r="A1283" s="9" t="str">
        <f>IFERROR(__xludf.DUMMYFUNCTION("""COMPUTED_VALUE"""),"G-REQ-01282")</f>
        <v>G-REQ-01282</v>
      </c>
      <c r="B1283" s="11">
        <f>IFERROR(__xludf.DUMMYFUNCTION("""COMPUTED_VALUE"""),45852.560393643376)</f>
        <v>45852.56039</v>
      </c>
      <c r="C1283" s="9">
        <f>IFERROR(__xludf.DUMMYFUNCTION("""COMPUTED_VALUE"""),5305.0)</f>
        <v>5305</v>
      </c>
      <c r="D1283" s="9" t="str">
        <f>IFERROR(__xludf.DUMMYFUNCTION("""COMPUTED_VALUE"""),"Completed")</f>
        <v>Completed</v>
      </c>
    </row>
    <row r="1284">
      <c r="A1284" s="9" t="str">
        <f>IFERROR(__xludf.DUMMYFUNCTION("""COMPUTED_VALUE"""),"G-REQ-01283")</f>
        <v>G-REQ-01283</v>
      </c>
      <c r="B1284" s="11">
        <f>IFERROR(__xludf.DUMMYFUNCTION("""COMPUTED_VALUE"""),45852.63156848879)</f>
        <v>45852.63157</v>
      </c>
      <c r="C1284" s="9">
        <f>IFERROR(__xludf.DUMMYFUNCTION("""COMPUTED_VALUE"""),5309.0)</f>
        <v>5309</v>
      </c>
      <c r="D1284" s="9" t="str">
        <f>IFERROR(__xludf.DUMMYFUNCTION("""COMPUTED_VALUE"""),"Completed")</f>
        <v>Completed</v>
      </c>
    </row>
    <row r="1285">
      <c r="A1285" s="9" t="str">
        <f>IFERROR(__xludf.DUMMYFUNCTION("""COMPUTED_VALUE"""),"G-REQ-01284")</f>
        <v>G-REQ-01284</v>
      </c>
      <c r="B1285" s="11">
        <f>IFERROR(__xludf.DUMMYFUNCTION("""COMPUTED_VALUE"""),45852.695798889756)</f>
        <v>45852.6958</v>
      </c>
      <c r="C1285" s="9">
        <f>IFERROR(__xludf.DUMMYFUNCTION("""COMPUTED_VALUE"""),5311.0)</f>
        <v>5311</v>
      </c>
      <c r="D1285" s="9" t="str">
        <f>IFERROR(__xludf.DUMMYFUNCTION("""COMPUTED_VALUE"""),"Rejected")</f>
        <v>Rejected</v>
      </c>
    </row>
    <row r="1286">
      <c r="A1286" s="9" t="str">
        <f>IFERROR(__xludf.DUMMYFUNCTION("""COMPUTED_VALUE"""),"G-REQ-01285")</f>
        <v>G-REQ-01285</v>
      </c>
      <c r="B1286" s="11">
        <f>IFERROR(__xludf.DUMMYFUNCTION("""COMPUTED_VALUE"""),45852.77391817962)</f>
        <v>45852.77392</v>
      </c>
      <c r="C1286" s="9">
        <f>IFERROR(__xludf.DUMMYFUNCTION("""COMPUTED_VALUE"""),5315.0)</f>
        <v>5315</v>
      </c>
      <c r="D1286" s="9" t="str">
        <f>IFERROR(__xludf.DUMMYFUNCTION("""COMPUTED_VALUE"""),"Completed")</f>
        <v>Completed</v>
      </c>
    </row>
    <row r="1287">
      <c r="A1287" s="9" t="str">
        <f>IFERROR(__xludf.DUMMYFUNCTION("""COMPUTED_VALUE"""),"G-REQ-01286")</f>
        <v>G-REQ-01286</v>
      </c>
      <c r="B1287" s="11">
        <f>IFERROR(__xludf.DUMMYFUNCTION("""COMPUTED_VALUE"""),45852.84509302504)</f>
        <v>45852.84509</v>
      </c>
      <c r="C1287" s="9">
        <f>IFERROR(__xludf.DUMMYFUNCTION("""COMPUTED_VALUE"""),5319.0)</f>
        <v>5319</v>
      </c>
      <c r="D1287" s="9" t="str">
        <f>IFERROR(__xludf.DUMMYFUNCTION("""COMPUTED_VALUE"""),"Completed")</f>
        <v>Completed</v>
      </c>
    </row>
    <row r="1288">
      <c r="A1288" s="9" t="str">
        <f>IFERROR(__xludf.DUMMYFUNCTION("""COMPUTED_VALUE"""),"G-REQ-01287")</f>
        <v>G-REQ-01287</v>
      </c>
      <c r="B1288" s="11">
        <f>IFERROR(__xludf.DUMMYFUNCTION("""COMPUTED_VALUE"""),45852.916267870445)</f>
        <v>45852.91627</v>
      </c>
      <c r="C1288" s="9">
        <f>IFERROR(__xludf.DUMMYFUNCTION("""COMPUTED_VALUE"""),5323.0)</f>
        <v>5323</v>
      </c>
      <c r="D1288" s="9" t="str">
        <f>IFERROR(__xludf.DUMMYFUNCTION("""COMPUTED_VALUE"""),"Completed")</f>
        <v>Completed</v>
      </c>
    </row>
    <row r="1289">
      <c r="A1289" s="9" t="str">
        <f>IFERROR(__xludf.DUMMYFUNCTION("""COMPUTED_VALUE"""),"G-REQ-01288")</f>
        <v>G-REQ-01288</v>
      </c>
      <c r="B1289" s="11">
        <f>IFERROR(__xludf.DUMMYFUNCTION("""COMPUTED_VALUE"""),45852.987442715865)</f>
        <v>45852.98744</v>
      </c>
      <c r="C1289" s="9">
        <f>IFERROR(__xludf.DUMMYFUNCTION("""COMPUTED_VALUE"""),5327.0)</f>
        <v>5327</v>
      </c>
      <c r="D1289" s="9" t="str">
        <f>IFERROR(__xludf.DUMMYFUNCTION("""COMPUTED_VALUE"""),"Completed")</f>
        <v>Completed</v>
      </c>
    </row>
    <row r="1290">
      <c r="A1290" s="9" t="str">
        <f>IFERROR(__xludf.DUMMYFUNCTION("""COMPUTED_VALUE"""),"G-REQ-01289")</f>
        <v>G-REQ-01289</v>
      </c>
      <c r="B1290" s="11">
        <f>IFERROR(__xludf.DUMMYFUNCTION("""COMPUTED_VALUE"""),45853.058617561284)</f>
        <v>45853.05862</v>
      </c>
      <c r="C1290" s="9">
        <f>IFERROR(__xludf.DUMMYFUNCTION("""COMPUTED_VALUE"""),5331.0)</f>
        <v>5331</v>
      </c>
      <c r="D1290" s="9" t="str">
        <f>IFERROR(__xludf.DUMMYFUNCTION("""COMPUTED_VALUE"""),"Completed")</f>
        <v>Completed</v>
      </c>
    </row>
    <row r="1291">
      <c r="A1291" s="9" t="str">
        <f>IFERROR(__xludf.DUMMYFUNCTION("""COMPUTED_VALUE"""),"G-REQ-01290")</f>
        <v>G-REQ-01290</v>
      </c>
      <c r="B1291" s="11">
        <f>IFERROR(__xludf.DUMMYFUNCTION("""COMPUTED_VALUE"""),45853.1297924067)</f>
        <v>45853.12979</v>
      </c>
      <c r="C1291" s="9">
        <f>IFERROR(__xludf.DUMMYFUNCTION("""COMPUTED_VALUE"""),5335.0)</f>
        <v>5335</v>
      </c>
      <c r="D1291" s="9" t="str">
        <f>IFERROR(__xludf.DUMMYFUNCTION("""COMPUTED_VALUE"""),"Completed")</f>
        <v>Completed</v>
      </c>
    </row>
    <row r="1292">
      <c r="A1292" s="9" t="str">
        <f>IFERROR(__xludf.DUMMYFUNCTION("""COMPUTED_VALUE"""),"G-REQ-01291")</f>
        <v>G-REQ-01291</v>
      </c>
      <c r="B1292" s="11">
        <f>IFERROR(__xludf.DUMMYFUNCTION("""COMPUTED_VALUE"""),45853.20096725211)</f>
        <v>45853.20097</v>
      </c>
      <c r="C1292" s="9">
        <f>IFERROR(__xludf.DUMMYFUNCTION("""COMPUTED_VALUE"""),5339.0)</f>
        <v>5339</v>
      </c>
      <c r="D1292" s="9" t="str">
        <f>IFERROR(__xludf.DUMMYFUNCTION("""COMPUTED_VALUE"""),"Completed")</f>
        <v>Completed</v>
      </c>
    </row>
    <row r="1293">
      <c r="A1293" s="9" t="str">
        <f>IFERROR(__xludf.DUMMYFUNCTION("""COMPUTED_VALUE"""),"G-REQ-01292")</f>
        <v>G-REQ-01292</v>
      </c>
      <c r="B1293" s="11">
        <f>IFERROR(__xludf.DUMMYFUNCTION("""COMPUTED_VALUE"""),45853.27214209753)</f>
        <v>45853.27214</v>
      </c>
      <c r="C1293" s="9">
        <f>IFERROR(__xludf.DUMMYFUNCTION("""COMPUTED_VALUE"""),5343.0)</f>
        <v>5343</v>
      </c>
      <c r="D1293" s="9" t="str">
        <f>IFERROR(__xludf.DUMMYFUNCTION("""COMPUTED_VALUE"""),"Completed")</f>
        <v>Completed</v>
      </c>
    </row>
    <row r="1294">
      <c r="A1294" s="9" t="str">
        <f>IFERROR(__xludf.DUMMYFUNCTION("""COMPUTED_VALUE"""),"G-REQ-01293")</f>
        <v>G-REQ-01293</v>
      </c>
      <c r="B1294" s="11">
        <f>IFERROR(__xludf.DUMMYFUNCTION("""COMPUTED_VALUE"""),45853.34331694294)</f>
        <v>45853.34332</v>
      </c>
      <c r="C1294" s="9">
        <f>IFERROR(__xludf.DUMMYFUNCTION("""COMPUTED_VALUE"""),5347.0)</f>
        <v>5347</v>
      </c>
      <c r="D1294" s="9" t="str">
        <f>IFERROR(__xludf.DUMMYFUNCTION("""COMPUTED_VALUE"""),"Completed")</f>
        <v>Completed</v>
      </c>
    </row>
    <row r="1295">
      <c r="A1295" s="9" t="str">
        <f>IFERROR(__xludf.DUMMYFUNCTION("""COMPUTED_VALUE"""),"G-REQ-01294")</f>
        <v>G-REQ-01294</v>
      </c>
      <c r="B1295" s="11">
        <f>IFERROR(__xludf.DUMMYFUNCTION("""COMPUTED_VALUE"""),45853.41449178835)</f>
        <v>45853.41449</v>
      </c>
      <c r="C1295" s="9">
        <f>IFERROR(__xludf.DUMMYFUNCTION("""COMPUTED_VALUE"""),5351.0)</f>
        <v>5351</v>
      </c>
      <c r="D1295" s="9" t="str">
        <f>IFERROR(__xludf.DUMMYFUNCTION("""COMPUTED_VALUE"""),"Completed")</f>
        <v>Completed</v>
      </c>
    </row>
    <row r="1296">
      <c r="A1296" s="9" t="str">
        <f>IFERROR(__xludf.DUMMYFUNCTION("""COMPUTED_VALUE"""),"G-REQ-01295")</f>
        <v>G-REQ-01295</v>
      </c>
      <c r="B1296" s="11">
        <f>IFERROR(__xludf.DUMMYFUNCTION("""COMPUTED_VALUE"""),45853.48566663377)</f>
        <v>45853.48567</v>
      </c>
      <c r="C1296" s="9">
        <f>IFERROR(__xludf.DUMMYFUNCTION("""COMPUTED_VALUE"""),5355.0)</f>
        <v>5355</v>
      </c>
      <c r="D1296" s="9" t="str">
        <f>IFERROR(__xludf.DUMMYFUNCTION("""COMPUTED_VALUE"""),"Completed")</f>
        <v>Completed</v>
      </c>
    </row>
    <row r="1297">
      <c r="A1297" s="9" t="str">
        <f>IFERROR(__xludf.DUMMYFUNCTION("""COMPUTED_VALUE"""),"G-REQ-01296")</f>
        <v>G-REQ-01296</v>
      </c>
      <c r="B1297" s="11">
        <f>IFERROR(__xludf.DUMMYFUNCTION("""COMPUTED_VALUE"""),45853.55684147919)</f>
        <v>45853.55684</v>
      </c>
      <c r="C1297" s="9">
        <f>IFERROR(__xludf.DUMMYFUNCTION("""COMPUTED_VALUE"""),5359.0)</f>
        <v>5359</v>
      </c>
      <c r="D1297" s="9" t="str">
        <f>IFERROR(__xludf.DUMMYFUNCTION("""COMPUTED_VALUE"""),"Completed")</f>
        <v>Completed</v>
      </c>
    </row>
    <row r="1298">
      <c r="A1298" s="9" t="str">
        <f>IFERROR(__xludf.DUMMYFUNCTION("""COMPUTED_VALUE"""),"G-REQ-01297")</f>
        <v>G-REQ-01297</v>
      </c>
      <c r="B1298" s="11">
        <f>IFERROR(__xludf.DUMMYFUNCTION("""COMPUTED_VALUE"""),45853.6280163246)</f>
        <v>45853.62802</v>
      </c>
      <c r="C1298" s="9">
        <f>IFERROR(__xludf.DUMMYFUNCTION("""COMPUTED_VALUE"""),5363.0)</f>
        <v>5363</v>
      </c>
      <c r="D1298" s="9" t="str">
        <f>IFERROR(__xludf.DUMMYFUNCTION("""COMPUTED_VALUE"""),"Completed")</f>
        <v>Completed</v>
      </c>
    </row>
    <row r="1299">
      <c r="A1299" s="9" t="str">
        <f>IFERROR(__xludf.DUMMYFUNCTION("""COMPUTED_VALUE"""),"G-REQ-01298")</f>
        <v>G-REQ-01298</v>
      </c>
      <c r="B1299" s="11">
        <f>IFERROR(__xludf.DUMMYFUNCTION("""COMPUTED_VALUE"""),45853.69919117002)</f>
        <v>45853.69919</v>
      </c>
      <c r="C1299" s="9">
        <f>IFERROR(__xludf.DUMMYFUNCTION("""COMPUTED_VALUE"""),5367.0)</f>
        <v>5367</v>
      </c>
      <c r="D1299" s="9" t="str">
        <f>IFERROR(__xludf.DUMMYFUNCTION("""COMPUTED_VALUE"""),"Completed")</f>
        <v>Completed</v>
      </c>
    </row>
    <row r="1300">
      <c r="A1300" s="9" t="str">
        <f>IFERROR(__xludf.DUMMYFUNCTION("""COMPUTED_VALUE"""),"G-REQ-01299")</f>
        <v>G-REQ-01299</v>
      </c>
      <c r="B1300" s="11">
        <f>IFERROR(__xludf.DUMMYFUNCTION("""COMPUTED_VALUE"""),45853.77036601543)</f>
        <v>45853.77037</v>
      </c>
      <c r="C1300" s="9">
        <f>IFERROR(__xludf.DUMMYFUNCTION("""COMPUTED_VALUE"""),5371.0)</f>
        <v>5371</v>
      </c>
      <c r="D1300" s="9" t="str">
        <f>IFERROR(__xludf.DUMMYFUNCTION("""COMPUTED_VALUE"""),"Completed")</f>
        <v>Completed</v>
      </c>
    </row>
    <row r="1301">
      <c r="A1301" s="9" t="str">
        <f>IFERROR(__xludf.DUMMYFUNCTION("""COMPUTED_VALUE"""),"G-REQ-01300")</f>
        <v>G-REQ-01300</v>
      </c>
      <c r="B1301" s="11">
        <f>IFERROR(__xludf.DUMMYFUNCTION("""COMPUTED_VALUE"""),45853.84154086085)</f>
        <v>45853.84154</v>
      </c>
      <c r="C1301" s="9">
        <f>IFERROR(__xludf.DUMMYFUNCTION("""COMPUTED_VALUE"""),5375.0)</f>
        <v>5375</v>
      </c>
      <c r="D1301" s="9" t="str">
        <f>IFERROR(__xludf.DUMMYFUNCTION("""COMPUTED_VALUE"""),"Completed")</f>
        <v>Completed</v>
      </c>
    </row>
    <row r="1302">
      <c r="A1302" s="9" t="str">
        <f>IFERROR(__xludf.DUMMYFUNCTION("""COMPUTED_VALUE"""),"G-REQ-01301")</f>
        <v>G-REQ-01301</v>
      </c>
      <c r="B1302" s="11">
        <f>IFERROR(__xludf.DUMMYFUNCTION("""COMPUTED_VALUE"""),45853.91271570626)</f>
        <v>45853.91272</v>
      </c>
      <c r="C1302" s="9">
        <f>IFERROR(__xludf.DUMMYFUNCTION("""COMPUTED_VALUE"""),5379.0)</f>
        <v>5379</v>
      </c>
      <c r="D1302" s="9" t="str">
        <f>IFERROR(__xludf.DUMMYFUNCTION("""COMPUTED_VALUE"""),"Completed")</f>
        <v>Completed</v>
      </c>
    </row>
    <row r="1303">
      <c r="A1303" s="9" t="str">
        <f>IFERROR(__xludf.DUMMYFUNCTION("""COMPUTED_VALUE"""),"G-REQ-01302")</f>
        <v>G-REQ-01302</v>
      </c>
      <c r="B1303" s="11">
        <f>IFERROR(__xludf.DUMMYFUNCTION("""COMPUTED_VALUE"""),45853.98389055168)</f>
        <v>45853.98389</v>
      </c>
      <c r="C1303" s="9">
        <f>IFERROR(__xludf.DUMMYFUNCTION("""COMPUTED_VALUE"""),5383.0)</f>
        <v>5383</v>
      </c>
      <c r="D1303" s="9" t="str">
        <f>IFERROR(__xludf.DUMMYFUNCTION("""COMPUTED_VALUE"""),"Completed")</f>
        <v>Completed</v>
      </c>
    </row>
    <row r="1304">
      <c r="A1304" s="9" t="str">
        <f>IFERROR(__xludf.DUMMYFUNCTION("""COMPUTED_VALUE"""),"G-REQ-01303")</f>
        <v>G-REQ-01303</v>
      </c>
      <c r="B1304" s="11">
        <f>IFERROR(__xludf.DUMMYFUNCTION("""COMPUTED_VALUE"""),45854.055065397086)</f>
        <v>45854.05507</v>
      </c>
      <c r="C1304" s="9">
        <f>IFERROR(__xludf.DUMMYFUNCTION("""COMPUTED_VALUE"""),5387.0)</f>
        <v>5387</v>
      </c>
      <c r="D1304" s="9" t="str">
        <f>IFERROR(__xludf.DUMMYFUNCTION("""COMPUTED_VALUE"""),"Completed")</f>
        <v>Completed</v>
      </c>
    </row>
    <row r="1305">
      <c r="A1305" s="9" t="str">
        <f>IFERROR(__xludf.DUMMYFUNCTION("""COMPUTED_VALUE"""),"G-REQ-01304")</f>
        <v>G-REQ-01304</v>
      </c>
      <c r="B1305" s="11">
        <f>IFERROR(__xludf.DUMMYFUNCTION("""COMPUTED_VALUE"""),45854.126240242505)</f>
        <v>45854.12624</v>
      </c>
      <c r="C1305" s="9">
        <f>IFERROR(__xludf.DUMMYFUNCTION("""COMPUTED_VALUE"""),5391.0)</f>
        <v>5391</v>
      </c>
      <c r="D1305" s="9" t="str">
        <f>IFERROR(__xludf.DUMMYFUNCTION("""COMPUTED_VALUE"""),"Completed")</f>
        <v>Completed</v>
      </c>
    </row>
    <row r="1306">
      <c r="A1306" s="9" t="str">
        <f>IFERROR(__xludf.DUMMYFUNCTION("""COMPUTED_VALUE"""),"G-REQ-01305")</f>
        <v>G-REQ-01305</v>
      </c>
      <c r="B1306" s="11">
        <f>IFERROR(__xludf.DUMMYFUNCTION("""COMPUTED_VALUE"""),45854.197415087925)</f>
        <v>45854.19742</v>
      </c>
      <c r="C1306" s="9">
        <f>IFERROR(__xludf.DUMMYFUNCTION("""COMPUTED_VALUE"""),5395.0)</f>
        <v>5395</v>
      </c>
      <c r="D1306" s="9" t="str">
        <f>IFERROR(__xludf.DUMMYFUNCTION("""COMPUTED_VALUE"""),"Completed")</f>
        <v>Completed</v>
      </c>
    </row>
    <row r="1307">
      <c r="A1307" s="9" t="str">
        <f>IFERROR(__xludf.DUMMYFUNCTION("""COMPUTED_VALUE"""),"G-REQ-01306")</f>
        <v>G-REQ-01306</v>
      </c>
      <c r="B1307" s="11">
        <f>IFERROR(__xludf.DUMMYFUNCTION("""COMPUTED_VALUE"""),45854.26858993334)</f>
        <v>45854.26859</v>
      </c>
      <c r="C1307" s="9">
        <f>IFERROR(__xludf.DUMMYFUNCTION("""COMPUTED_VALUE"""),5399.0)</f>
        <v>5399</v>
      </c>
      <c r="D1307" s="9" t="str">
        <f>IFERROR(__xludf.DUMMYFUNCTION("""COMPUTED_VALUE"""),"Completed")</f>
        <v>Completed</v>
      </c>
    </row>
    <row r="1308">
      <c r="A1308" s="9" t="str">
        <f>IFERROR(__xludf.DUMMYFUNCTION("""COMPUTED_VALUE"""),"G-REQ-01307")</f>
        <v>G-REQ-01307</v>
      </c>
      <c r="B1308" s="11">
        <f>IFERROR(__xludf.DUMMYFUNCTION("""COMPUTED_VALUE"""),45854.332820334304)</f>
        <v>45854.33282</v>
      </c>
      <c r="C1308" s="9">
        <f>IFERROR(__xludf.DUMMYFUNCTION("""COMPUTED_VALUE"""),5401.0)</f>
        <v>5401</v>
      </c>
      <c r="D1308" s="9" t="str">
        <f>IFERROR(__xludf.DUMMYFUNCTION("""COMPUTED_VALUE"""),"Cancelled")</f>
        <v>Cancelled</v>
      </c>
    </row>
    <row r="1309">
      <c r="A1309" s="9" t="str">
        <f>IFERROR(__xludf.DUMMYFUNCTION("""COMPUTED_VALUE"""),"G-REQ-01308")</f>
        <v>G-REQ-01308</v>
      </c>
      <c r="B1309" s="11">
        <f>IFERROR(__xludf.DUMMYFUNCTION("""COMPUTED_VALUE"""),45854.41093962417)</f>
        <v>45854.41094</v>
      </c>
      <c r="C1309" s="9">
        <f>IFERROR(__xludf.DUMMYFUNCTION("""COMPUTED_VALUE"""),5405.0)</f>
        <v>5405</v>
      </c>
      <c r="D1309" s="9" t="str">
        <f>IFERROR(__xludf.DUMMYFUNCTION("""COMPUTED_VALUE"""),"Completed")</f>
        <v>Completed</v>
      </c>
    </row>
    <row r="1310">
      <c r="A1310" s="9" t="str">
        <f>IFERROR(__xludf.DUMMYFUNCTION("""COMPUTED_VALUE"""),"G-REQ-01309")</f>
        <v>G-REQ-01309</v>
      </c>
      <c r="B1310" s="11">
        <f>IFERROR(__xludf.DUMMYFUNCTION("""COMPUTED_VALUE"""),45854.48211446958)</f>
        <v>45854.48211</v>
      </c>
      <c r="C1310" s="9">
        <f>IFERROR(__xludf.DUMMYFUNCTION("""COMPUTED_VALUE"""),5409.0)</f>
        <v>5409</v>
      </c>
      <c r="D1310" s="9" t="str">
        <f>IFERROR(__xludf.DUMMYFUNCTION("""COMPUTED_VALUE"""),"Completed")</f>
        <v>Completed</v>
      </c>
    </row>
    <row r="1311">
      <c r="A1311" s="9" t="str">
        <f>IFERROR(__xludf.DUMMYFUNCTION("""COMPUTED_VALUE"""),"G-REQ-01310")</f>
        <v>G-REQ-01310</v>
      </c>
      <c r="B1311" s="11">
        <f>IFERROR(__xludf.DUMMYFUNCTION("""COMPUTED_VALUE"""),45854.54634487055)</f>
        <v>45854.54634</v>
      </c>
      <c r="C1311" s="9">
        <f>IFERROR(__xludf.DUMMYFUNCTION("""COMPUTED_VALUE"""),5411.0)</f>
        <v>5411</v>
      </c>
      <c r="D1311" s="9" t="str">
        <f>IFERROR(__xludf.DUMMYFUNCTION("""COMPUTED_VALUE"""),"Cancelled")</f>
        <v>Cancelled</v>
      </c>
    </row>
    <row r="1312">
      <c r="A1312" s="9" t="str">
        <f>IFERROR(__xludf.DUMMYFUNCTION("""COMPUTED_VALUE"""),"G-REQ-01311")</f>
        <v>G-REQ-01311</v>
      </c>
      <c r="B1312" s="11">
        <f>IFERROR(__xludf.DUMMYFUNCTION("""COMPUTED_VALUE"""),45854.62446416041)</f>
        <v>45854.62446</v>
      </c>
      <c r="C1312" s="9">
        <f>IFERROR(__xludf.DUMMYFUNCTION("""COMPUTED_VALUE"""),5415.0)</f>
        <v>5415</v>
      </c>
      <c r="D1312" s="9" t="str">
        <f>IFERROR(__xludf.DUMMYFUNCTION("""COMPUTED_VALUE"""),"Completed")</f>
        <v>Completed</v>
      </c>
    </row>
    <row r="1313">
      <c r="A1313" s="9" t="str">
        <f>IFERROR(__xludf.DUMMYFUNCTION("""COMPUTED_VALUE"""),"G-REQ-01312")</f>
        <v>G-REQ-01312</v>
      </c>
      <c r="B1313" s="11">
        <f>IFERROR(__xludf.DUMMYFUNCTION("""COMPUTED_VALUE"""),45854.69563900583)</f>
        <v>45854.69564</v>
      </c>
      <c r="C1313" s="9">
        <f>IFERROR(__xludf.DUMMYFUNCTION("""COMPUTED_VALUE"""),5419.0)</f>
        <v>5419</v>
      </c>
      <c r="D1313" s="9" t="str">
        <f>IFERROR(__xludf.DUMMYFUNCTION("""COMPUTED_VALUE"""),"Completed")</f>
        <v>Completed</v>
      </c>
    </row>
    <row r="1314">
      <c r="A1314" s="9" t="str">
        <f>IFERROR(__xludf.DUMMYFUNCTION("""COMPUTED_VALUE"""),"G-REQ-01313")</f>
        <v>G-REQ-01313</v>
      </c>
      <c r="B1314" s="11">
        <f>IFERROR(__xludf.DUMMYFUNCTION("""COMPUTED_VALUE"""),45854.76681385124)</f>
        <v>45854.76681</v>
      </c>
      <c r="C1314" s="9">
        <f>IFERROR(__xludf.DUMMYFUNCTION("""COMPUTED_VALUE"""),5423.0)</f>
        <v>5423</v>
      </c>
      <c r="D1314" s="9" t="str">
        <f>IFERROR(__xludf.DUMMYFUNCTION("""COMPUTED_VALUE"""),"Completed")</f>
        <v>Completed</v>
      </c>
    </row>
    <row r="1315">
      <c r="A1315" s="9" t="str">
        <f>IFERROR(__xludf.DUMMYFUNCTION("""COMPUTED_VALUE"""),"G-REQ-01314")</f>
        <v>G-REQ-01314</v>
      </c>
      <c r="B1315" s="11">
        <f>IFERROR(__xludf.DUMMYFUNCTION("""COMPUTED_VALUE"""),45854.83104425221)</f>
        <v>45854.83104</v>
      </c>
      <c r="C1315" s="9">
        <f>IFERROR(__xludf.DUMMYFUNCTION("""COMPUTED_VALUE"""),5425.0)</f>
        <v>5425</v>
      </c>
      <c r="D1315" s="9" t="str">
        <f>IFERROR(__xludf.DUMMYFUNCTION("""COMPUTED_VALUE"""),"Rejected")</f>
        <v>Rejected</v>
      </c>
    </row>
    <row r="1316">
      <c r="A1316" s="9" t="str">
        <f>IFERROR(__xludf.DUMMYFUNCTION("""COMPUTED_VALUE"""),"G-REQ-01315")</f>
        <v>G-REQ-01315</v>
      </c>
      <c r="B1316" s="11">
        <f>IFERROR(__xludf.DUMMYFUNCTION("""COMPUTED_VALUE"""),45854.90916354207)</f>
        <v>45854.90916</v>
      </c>
      <c r="C1316" s="9">
        <f>IFERROR(__xludf.DUMMYFUNCTION("""COMPUTED_VALUE"""),5429.0)</f>
        <v>5429</v>
      </c>
      <c r="D1316" s="9" t="str">
        <f>IFERROR(__xludf.DUMMYFUNCTION("""COMPUTED_VALUE"""),"Completed")</f>
        <v>Completed</v>
      </c>
    </row>
    <row r="1317">
      <c r="A1317" s="9" t="str">
        <f>IFERROR(__xludf.DUMMYFUNCTION("""COMPUTED_VALUE"""),"G-REQ-01316")</f>
        <v>G-REQ-01316</v>
      </c>
      <c r="B1317" s="11">
        <f>IFERROR(__xludf.DUMMYFUNCTION("""COMPUTED_VALUE"""),45854.98033838749)</f>
        <v>45854.98034</v>
      </c>
      <c r="C1317" s="9">
        <f>IFERROR(__xludf.DUMMYFUNCTION("""COMPUTED_VALUE"""),5433.0)</f>
        <v>5433</v>
      </c>
      <c r="D1317" s="9" t="str">
        <f>IFERROR(__xludf.DUMMYFUNCTION("""COMPUTED_VALUE"""),"Completed")</f>
        <v>Completed</v>
      </c>
    </row>
    <row r="1318">
      <c r="A1318" s="9" t="str">
        <f>IFERROR(__xludf.DUMMYFUNCTION("""COMPUTED_VALUE"""),"G-REQ-01317")</f>
        <v>G-REQ-01317</v>
      </c>
      <c r="B1318" s="11">
        <f>IFERROR(__xludf.DUMMYFUNCTION("""COMPUTED_VALUE"""),45855.0515132329)</f>
        <v>45855.05151</v>
      </c>
      <c r="C1318" s="9">
        <f>IFERROR(__xludf.DUMMYFUNCTION("""COMPUTED_VALUE"""),5437.0)</f>
        <v>5437</v>
      </c>
      <c r="D1318" s="9" t="str">
        <f>IFERROR(__xludf.DUMMYFUNCTION("""COMPUTED_VALUE"""),"Completed")</f>
        <v>Completed</v>
      </c>
    </row>
    <row r="1319">
      <c r="A1319" s="9" t="str">
        <f>IFERROR(__xludf.DUMMYFUNCTION("""COMPUTED_VALUE"""),"G-REQ-01318")</f>
        <v>G-REQ-01318</v>
      </c>
      <c r="B1319" s="11">
        <f>IFERROR(__xludf.DUMMYFUNCTION("""COMPUTED_VALUE"""),45855.115743633876)</f>
        <v>45855.11574</v>
      </c>
      <c r="C1319" s="9">
        <f>IFERROR(__xludf.DUMMYFUNCTION("""COMPUTED_VALUE"""),5439.0)</f>
        <v>5439</v>
      </c>
      <c r="D1319" s="9" t="str">
        <f>IFERROR(__xludf.DUMMYFUNCTION("""COMPUTED_VALUE"""),"Cancelled")</f>
        <v>Cancelled</v>
      </c>
    </row>
    <row r="1320">
      <c r="A1320" s="9" t="str">
        <f>IFERROR(__xludf.DUMMYFUNCTION("""COMPUTED_VALUE"""),"G-REQ-01319")</f>
        <v>G-REQ-01319</v>
      </c>
      <c r="B1320" s="11">
        <f>IFERROR(__xludf.DUMMYFUNCTION("""COMPUTED_VALUE"""),45855.193862923734)</f>
        <v>45855.19386</v>
      </c>
      <c r="C1320" s="9">
        <f>IFERROR(__xludf.DUMMYFUNCTION("""COMPUTED_VALUE"""),5443.0)</f>
        <v>5443</v>
      </c>
      <c r="D1320" s="9" t="str">
        <f>IFERROR(__xludf.DUMMYFUNCTION("""COMPUTED_VALUE"""),"Completed")</f>
        <v>Completed</v>
      </c>
    </row>
    <row r="1321">
      <c r="A1321" s="9" t="str">
        <f>IFERROR(__xludf.DUMMYFUNCTION("""COMPUTED_VALUE"""),"G-REQ-01320")</f>
        <v>G-REQ-01320</v>
      </c>
      <c r="B1321" s="11">
        <f>IFERROR(__xludf.DUMMYFUNCTION("""COMPUTED_VALUE"""),45855.265037769146)</f>
        <v>45855.26504</v>
      </c>
      <c r="C1321" s="9">
        <f>IFERROR(__xludf.DUMMYFUNCTION("""COMPUTED_VALUE"""),5447.0)</f>
        <v>5447</v>
      </c>
      <c r="D1321" s="9" t="str">
        <f>IFERROR(__xludf.DUMMYFUNCTION("""COMPUTED_VALUE"""),"Completed")</f>
        <v>Completed</v>
      </c>
    </row>
    <row r="1322">
      <c r="A1322" s="9" t="str">
        <f>IFERROR(__xludf.DUMMYFUNCTION("""COMPUTED_VALUE"""),"G-REQ-01321")</f>
        <v>G-REQ-01321</v>
      </c>
      <c r="B1322" s="11">
        <f>IFERROR(__xludf.DUMMYFUNCTION("""COMPUTED_VALUE"""),45855.336212614566)</f>
        <v>45855.33621</v>
      </c>
      <c r="C1322" s="9">
        <f>IFERROR(__xludf.DUMMYFUNCTION("""COMPUTED_VALUE"""),5451.0)</f>
        <v>5451</v>
      </c>
      <c r="D1322" s="9" t="str">
        <f>IFERROR(__xludf.DUMMYFUNCTION("""COMPUTED_VALUE"""),"Completed")</f>
        <v>Completed</v>
      </c>
    </row>
    <row r="1323">
      <c r="A1323" s="9" t="str">
        <f>IFERROR(__xludf.DUMMYFUNCTION("""COMPUTED_VALUE"""),"G-REQ-01322")</f>
        <v>G-REQ-01322</v>
      </c>
      <c r="B1323" s="11">
        <f>IFERROR(__xludf.DUMMYFUNCTION("""COMPUTED_VALUE"""),45855.40738745998)</f>
        <v>45855.40739</v>
      </c>
      <c r="C1323" s="9">
        <f>IFERROR(__xludf.DUMMYFUNCTION("""COMPUTED_VALUE"""),5455.0)</f>
        <v>5455</v>
      </c>
      <c r="D1323" s="9" t="str">
        <f>IFERROR(__xludf.DUMMYFUNCTION("""COMPUTED_VALUE"""),"Completed")</f>
        <v>Completed</v>
      </c>
    </row>
    <row r="1324">
      <c r="A1324" s="9" t="str">
        <f>IFERROR(__xludf.DUMMYFUNCTION("""COMPUTED_VALUE"""),"G-REQ-01323")</f>
        <v>G-REQ-01323</v>
      </c>
      <c r="B1324" s="11">
        <f>IFERROR(__xludf.DUMMYFUNCTION("""COMPUTED_VALUE"""),45855.47856230539)</f>
        <v>45855.47856</v>
      </c>
      <c r="C1324" s="9">
        <f>IFERROR(__xludf.DUMMYFUNCTION("""COMPUTED_VALUE"""),5459.0)</f>
        <v>5459</v>
      </c>
      <c r="D1324" s="9" t="str">
        <f>IFERROR(__xludf.DUMMYFUNCTION("""COMPUTED_VALUE"""),"Completed")</f>
        <v>Completed</v>
      </c>
    </row>
    <row r="1325">
      <c r="A1325" s="9" t="str">
        <f>IFERROR(__xludf.DUMMYFUNCTION("""COMPUTED_VALUE"""),"G-REQ-01324")</f>
        <v>G-REQ-01324</v>
      </c>
      <c r="B1325" s="11">
        <f>IFERROR(__xludf.DUMMYFUNCTION("""COMPUTED_VALUE"""),45855.54973715081)</f>
        <v>45855.54974</v>
      </c>
      <c r="C1325" s="9">
        <f>IFERROR(__xludf.DUMMYFUNCTION("""COMPUTED_VALUE"""),5463.0)</f>
        <v>5463</v>
      </c>
      <c r="D1325" s="9" t="str">
        <f>IFERROR(__xludf.DUMMYFUNCTION("""COMPUTED_VALUE"""),"Completed")</f>
        <v>Completed</v>
      </c>
    </row>
    <row r="1326">
      <c r="A1326" s="9" t="str">
        <f>IFERROR(__xludf.DUMMYFUNCTION("""COMPUTED_VALUE"""),"G-REQ-01325")</f>
        <v>G-REQ-01325</v>
      </c>
      <c r="B1326" s="11">
        <f>IFERROR(__xludf.DUMMYFUNCTION("""COMPUTED_VALUE"""),45855.62091199622)</f>
        <v>45855.62091</v>
      </c>
      <c r="C1326" s="9">
        <f>IFERROR(__xludf.DUMMYFUNCTION("""COMPUTED_VALUE"""),5467.0)</f>
        <v>5467</v>
      </c>
      <c r="D1326" s="9" t="str">
        <f>IFERROR(__xludf.DUMMYFUNCTION("""COMPUTED_VALUE"""),"Completed")</f>
        <v>Completed</v>
      </c>
    </row>
    <row r="1327">
      <c r="A1327" s="9" t="str">
        <f>IFERROR(__xludf.DUMMYFUNCTION("""COMPUTED_VALUE"""),"G-REQ-01326")</f>
        <v>G-REQ-01326</v>
      </c>
      <c r="B1327" s="11">
        <f>IFERROR(__xludf.DUMMYFUNCTION("""COMPUTED_VALUE"""),45855.692086841635)</f>
        <v>45855.69209</v>
      </c>
      <c r="C1327" s="9">
        <f>IFERROR(__xludf.DUMMYFUNCTION("""COMPUTED_VALUE"""),5471.0)</f>
        <v>5471</v>
      </c>
      <c r="D1327" s="9" t="str">
        <f>IFERROR(__xludf.DUMMYFUNCTION("""COMPUTED_VALUE"""),"Completed")</f>
        <v>Completed</v>
      </c>
    </row>
    <row r="1328">
      <c r="A1328" s="9" t="str">
        <f>IFERROR(__xludf.DUMMYFUNCTION("""COMPUTED_VALUE"""),"G-REQ-01327")</f>
        <v>G-REQ-01327</v>
      </c>
      <c r="B1328" s="11">
        <f>IFERROR(__xludf.DUMMYFUNCTION("""COMPUTED_VALUE"""),45855.763261687054)</f>
        <v>45855.76326</v>
      </c>
      <c r="C1328" s="9">
        <f>IFERROR(__xludf.DUMMYFUNCTION("""COMPUTED_VALUE"""),5475.0)</f>
        <v>5475</v>
      </c>
      <c r="D1328" s="9" t="str">
        <f>IFERROR(__xludf.DUMMYFUNCTION("""COMPUTED_VALUE"""),"Completed")</f>
        <v>Completed</v>
      </c>
    </row>
    <row r="1329">
      <c r="A1329" s="9" t="str">
        <f>IFERROR(__xludf.DUMMYFUNCTION("""COMPUTED_VALUE"""),"G-REQ-01328")</f>
        <v>G-REQ-01328</v>
      </c>
      <c r="B1329" s="11">
        <f>IFERROR(__xludf.DUMMYFUNCTION("""COMPUTED_VALUE"""),45855.834436532474)</f>
        <v>45855.83444</v>
      </c>
      <c r="C1329" s="9">
        <f>IFERROR(__xludf.DUMMYFUNCTION("""COMPUTED_VALUE"""),5479.0)</f>
        <v>5479</v>
      </c>
      <c r="D1329" s="9" t="str">
        <f>IFERROR(__xludf.DUMMYFUNCTION("""COMPUTED_VALUE"""),"Completed")</f>
        <v>Completed</v>
      </c>
    </row>
    <row r="1330">
      <c r="A1330" s="9" t="str">
        <f>IFERROR(__xludf.DUMMYFUNCTION("""COMPUTED_VALUE"""),"G-REQ-01329")</f>
        <v>G-REQ-01329</v>
      </c>
      <c r="B1330" s="11">
        <f>IFERROR(__xludf.DUMMYFUNCTION("""COMPUTED_VALUE"""),45855.89866693343)</f>
        <v>45855.89867</v>
      </c>
      <c r="C1330" s="9">
        <f>IFERROR(__xludf.DUMMYFUNCTION("""COMPUTED_VALUE"""),5481.0)</f>
        <v>5481</v>
      </c>
      <c r="D1330" s="9" t="str">
        <f>IFERROR(__xludf.DUMMYFUNCTION("""COMPUTED_VALUE"""),"Rejected")</f>
        <v>Rejected</v>
      </c>
    </row>
    <row r="1331">
      <c r="A1331" s="9" t="str">
        <f>IFERROR(__xludf.DUMMYFUNCTION("""COMPUTED_VALUE"""),"G-REQ-01330")</f>
        <v>G-REQ-01330</v>
      </c>
      <c r="B1331" s="11">
        <f>IFERROR(__xludf.DUMMYFUNCTION("""COMPUTED_VALUE"""),45855.96984177885)</f>
        <v>45855.96984</v>
      </c>
      <c r="C1331" s="9">
        <f>IFERROR(__xludf.DUMMYFUNCTION("""COMPUTED_VALUE"""),5483.0)</f>
        <v>5483</v>
      </c>
      <c r="D1331" s="9" t="str">
        <f>IFERROR(__xludf.DUMMYFUNCTION("""COMPUTED_VALUE"""),"Rejected")</f>
        <v>Rejected</v>
      </c>
    </row>
    <row r="1332">
      <c r="A1332" s="9" t="str">
        <f>IFERROR(__xludf.DUMMYFUNCTION("""COMPUTED_VALUE"""),"G-REQ-01331")</f>
        <v>G-REQ-01331</v>
      </c>
      <c r="B1332" s="11">
        <f>IFERROR(__xludf.DUMMYFUNCTION("""COMPUTED_VALUE"""),45856.04796106872)</f>
        <v>45856.04796</v>
      </c>
      <c r="C1332" s="9">
        <f>IFERROR(__xludf.DUMMYFUNCTION("""COMPUTED_VALUE"""),5487.0)</f>
        <v>5487</v>
      </c>
      <c r="D1332" s="9" t="str">
        <f>IFERROR(__xludf.DUMMYFUNCTION("""COMPUTED_VALUE"""),"Completed")</f>
        <v>Completed</v>
      </c>
    </row>
    <row r="1333">
      <c r="A1333" s="9" t="str">
        <f>IFERROR(__xludf.DUMMYFUNCTION("""COMPUTED_VALUE"""),"G-REQ-01332")</f>
        <v>G-REQ-01332</v>
      </c>
      <c r="B1333" s="11">
        <f>IFERROR(__xludf.DUMMYFUNCTION("""COMPUTED_VALUE"""),45856.11913591413)</f>
        <v>45856.11914</v>
      </c>
      <c r="C1333" s="9">
        <f>IFERROR(__xludf.DUMMYFUNCTION("""COMPUTED_VALUE"""),5491.0)</f>
        <v>5491</v>
      </c>
      <c r="D1333" s="9" t="str">
        <f>IFERROR(__xludf.DUMMYFUNCTION("""COMPUTED_VALUE"""),"Completed")</f>
        <v>Completed</v>
      </c>
    </row>
    <row r="1334">
      <c r="A1334" s="9" t="str">
        <f>IFERROR(__xludf.DUMMYFUNCTION("""COMPUTED_VALUE"""),"G-REQ-01333")</f>
        <v>G-REQ-01333</v>
      </c>
      <c r="B1334" s="11">
        <f>IFERROR(__xludf.DUMMYFUNCTION("""COMPUTED_VALUE"""),45856.19031075954)</f>
        <v>45856.19031</v>
      </c>
      <c r="C1334" s="9">
        <f>IFERROR(__xludf.DUMMYFUNCTION("""COMPUTED_VALUE"""),5495.0)</f>
        <v>5495</v>
      </c>
      <c r="D1334" s="9" t="str">
        <f>IFERROR(__xludf.DUMMYFUNCTION("""COMPUTED_VALUE"""),"Completed")</f>
        <v>Completed</v>
      </c>
    </row>
    <row r="1335">
      <c r="A1335" s="9" t="str">
        <f>IFERROR(__xludf.DUMMYFUNCTION("""COMPUTED_VALUE"""),"G-REQ-01334")</f>
        <v>G-REQ-01334</v>
      </c>
      <c r="B1335" s="11">
        <f>IFERROR(__xludf.DUMMYFUNCTION("""COMPUTED_VALUE"""),45856.26148560496)</f>
        <v>45856.26149</v>
      </c>
      <c r="C1335" s="9">
        <f>IFERROR(__xludf.DUMMYFUNCTION("""COMPUTED_VALUE"""),5499.0)</f>
        <v>5499</v>
      </c>
      <c r="D1335" s="9" t="str">
        <f>IFERROR(__xludf.DUMMYFUNCTION("""COMPUTED_VALUE"""),"Completed")</f>
        <v>Completed</v>
      </c>
    </row>
    <row r="1336">
      <c r="A1336" s="9" t="str">
        <f>IFERROR(__xludf.DUMMYFUNCTION("""COMPUTED_VALUE"""),"G-REQ-01335")</f>
        <v>G-REQ-01335</v>
      </c>
      <c r="B1336" s="11">
        <f>IFERROR(__xludf.DUMMYFUNCTION("""COMPUTED_VALUE"""),45856.332660450375)</f>
        <v>45856.33266</v>
      </c>
      <c r="C1336" s="9">
        <f>IFERROR(__xludf.DUMMYFUNCTION("""COMPUTED_VALUE"""),5503.0)</f>
        <v>5503</v>
      </c>
      <c r="D1336" s="9" t="str">
        <f>IFERROR(__xludf.DUMMYFUNCTION("""COMPUTED_VALUE"""),"Completed")</f>
        <v>Completed</v>
      </c>
    </row>
    <row r="1337">
      <c r="A1337" s="9" t="str">
        <f>IFERROR(__xludf.DUMMYFUNCTION("""COMPUTED_VALUE"""),"G-REQ-01336")</f>
        <v>G-REQ-01336</v>
      </c>
      <c r="B1337" s="11">
        <f>IFERROR(__xludf.DUMMYFUNCTION("""COMPUTED_VALUE"""),45856.39689085134)</f>
        <v>45856.39689</v>
      </c>
      <c r="C1337" s="9">
        <f>IFERROR(__xludf.DUMMYFUNCTION("""COMPUTED_VALUE"""),5505.0)</f>
        <v>5505</v>
      </c>
      <c r="D1337" s="9" t="str">
        <f>IFERROR(__xludf.DUMMYFUNCTION("""COMPUTED_VALUE"""),"Rejected")</f>
        <v>Rejected</v>
      </c>
    </row>
    <row r="1338">
      <c r="A1338" s="9" t="str">
        <f>IFERROR(__xludf.DUMMYFUNCTION("""COMPUTED_VALUE"""),"G-REQ-01337")</f>
        <v>G-REQ-01337</v>
      </c>
      <c r="B1338" s="11">
        <f>IFERROR(__xludf.DUMMYFUNCTION("""COMPUTED_VALUE"""),45856.47501014121)</f>
        <v>45856.47501</v>
      </c>
      <c r="C1338" s="9">
        <f>IFERROR(__xludf.DUMMYFUNCTION("""COMPUTED_VALUE"""),5509.0)</f>
        <v>5509</v>
      </c>
      <c r="D1338" s="9" t="str">
        <f>IFERROR(__xludf.DUMMYFUNCTION("""COMPUTED_VALUE"""),"Completed")</f>
        <v>Completed</v>
      </c>
    </row>
    <row r="1339">
      <c r="A1339" s="9" t="str">
        <f>IFERROR(__xludf.DUMMYFUNCTION("""COMPUTED_VALUE"""),"G-REQ-01338")</f>
        <v>G-REQ-01338</v>
      </c>
      <c r="B1339" s="11">
        <f>IFERROR(__xludf.DUMMYFUNCTION("""COMPUTED_VALUE"""),45856.546184986626)</f>
        <v>45856.54618</v>
      </c>
      <c r="C1339" s="9">
        <f>IFERROR(__xludf.DUMMYFUNCTION("""COMPUTED_VALUE"""),5513.0)</f>
        <v>5513</v>
      </c>
      <c r="D1339" s="9" t="str">
        <f>IFERROR(__xludf.DUMMYFUNCTION("""COMPUTED_VALUE"""),"Completed")</f>
        <v>Completed</v>
      </c>
    </row>
    <row r="1340">
      <c r="A1340" s="9" t="str">
        <f>IFERROR(__xludf.DUMMYFUNCTION("""COMPUTED_VALUE"""),"G-REQ-01339")</f>
        <v>G-REQ-01339</v>
      </c>
      <c r="B1340" s="11">
        <f>IFERROR(__xludf.DUMMYFUNCTION("""COMPUTED_VALUE"""),45856.61735983203)</f>
        <v>45856.61736</v>
      </c>
      <c r="C1340" s="9">
        <f>IFERROR(__xludf.DUMMYFUNCTION("""COMPUTED_VALUE"""),5517.0)</f>
        <v>5517</v>
      </c>
      <c r="D1340" s="9" t="str">
        <f>IFERROR(__xludf.DUMMYFUNCTION("""COMPUTED_VALUE"""),"Completed")</f>
        <v>Completed</v>
      </c>
    </row>
    <row r="1341">
      <c r="A1341" s="9" t="str">
        <f>IFERROR(__xludf.DUMMYFUNCTION("""COMPUTED_VALUE"""),"G-REQ-01340")</f>
        <v>G-REQ-01340</v>
      </c>
      <c r="B1341" s="11">
        <f>IFERROR(__xludf.DUMMYFUNCTION("""COMPUTED_VALUE"""),45856.68853467745)</f>
        <v>45856.68853</v>
      </c>
      <c r="C1341" s="9">
        <f>IFERROR(__xludf.DUMMYFUNCTION("""COMPUTED_VALUE"""),5521.0)</f>
        <v>5521</v>
      </c>
      <c r="D1341" s="9" t="str">
        <f>IFERROR(__xludf.DUMMYFUNCTION("""COMPUTED_VALUE"""),"Completed")</f>
        <v>Completed</v>
      </c>
    </row>
    <row r="1342">
      <c r="A1342" s="9" t="str">
        <f>IFERROR(__xludf.DUMMYFUNCTION("""COMPUTED_VALUE"""),"G-REQ-01341")</f>
        <v>G-REQ-01341</v>
      </c>
      <c r="B1342" s="11">
        <f>IFERROR(__xludf.DUMMYFUNCTION("""COMPUTED_VALUE"""),45856.75970952286)</f>
        <v>45856.75971</v>
      </c>
      <c r="C1342" s="9">
        <f>IFERROR(__xludf.DUMMYFUNCTION("""COMPUTED_VALUE"""),5525.0)</f>
        <v>5525</v>
      </c>
      <c r="D1342" s="9" t="str">
        <f>IFERROR(__xludf.DUMMYFUNCTION("""COMPUTED_VALUE"""),"Completed")</f>
        <v>Completed</v>
      </c>
    </row>
    <row r="1343">
      <c r="A1343" s="9" t="str">
        <f>IFERROR(__xludf.DUMMYFUNCTION("""COMPUTED_VALUE"""),"G-REQ-01342")</f>
        <v>G-REQ-01342</v>
      </c>
      <c r="B1343" s="11">
        <f>IFERROR(__xludf.DUMMYFUNCTION("""COMPUTED_VALUE"""),45856.83088436828)</f>
        <v>45856.83088</v>
      </c>
      <c r="C1343" s="9">
        <f>IFERROR(__xludf.DUMMYFUNCTION("""COMPUTED_VALUE"""),5529.0)</f>
        <v>5529</v>
      </c>
      <c r="D1343" s="9" t="str">
        <f>IFERROR(__xludf.DUMMYFUNCTION("""COMPUTED_VALUE"""),"Completed")</f>
        <v>Completed</v>
      </c>
    </row>
    <row r="1344">
      <c r="A1344" s="9" t="str">
        <f>IFERROR(__xludf.DUMMYFUNCTION("""COMPUTED_VALUE"""),"G-REQ-01343")</f>
        <v>G-REQ-01343</v>
      </c>
      <c r="B1344" s="11">
        <f>IFERROR(__xludf.DUMMYFUNCTION("""COMPUTED_VALUE"""),45856.902059213695)</f>
        <v>45856.90206</v>
      </c>
      <c r="C1344" s="9">
        <f>IFERROR(__xludf.DUMMYFUNCTION("""COMPUTED_VALUE"""),5533.0)</f>
        <v>5533</v>
      </c>
      <c r="D1344" s="9" t="str">
        <f>IFERROR(__xludf.DUMMYFUNCTION("""COMPUTED_VALUE"""),"Completed")</f>
        <v>Completed</v>
      </c>
    </row>
    <row r="1345">
      <c r="A1345" s="9" t="str">
        <f>IFERROR(__xludf.DUMMYFUNCTION("""COMPUTED_VALUE"""),"G-REQ-01344")</f>
        <v>G-REQ-01344</v>
      </c>
      <c r="B1345" s="11">
        <f>IFERROR(__xludf.DUMMYFUNCTION("""COMPUTED_VALUE"""),45856.973234059114)</f>
        <v>45856.97323</v>
      </c>
      <c r="C1345" s="9">
        <f>IFERROR(__xludf.DUMMYFUNCTION("""COMPUTED_VALUE"""),5537.0)</f>
        <v>5537</v>
      </c>
      <c r="D1345" s="9" t="str">
        <f>IFERROR(__xludf.DUMMYFUNCTION("""COMPUTED_VALUE"""),"Completed")</f>
        <v>Completed</v>
      </c>
    </row>
    <row r="1346">
      <c r="A1346" s="9" t="str">
        <f>IFERROR(__xludf.DUMMYFUNCTION("""COMPUTED_VALUE"""),"G-REQ-01345")</f>
        <v>G-REQ-01345</v>
      </c>
      <c r="B1346" s="11">
        <f>IFERROR(__xludf.DUMMYFUNCTION("""COMPUTED_VALUE"""),45857.04440890452)</f>
        <v>45857.04441</v>
      </c>
      <c r="C1346" s="9">
        <f>IFERROR(__xludf.DUMMYFUNCTION("""COMPUTED_VALUE"""),5541.0)</f>
        <v>5541</v>
      </c>
      <c r="D1346" s="9" t="str">
        <f>IFERROR(__xludf.DUMMYFUNCTION("""COMPUTED_VALUE"""),"Completed")</f>
        <v>Completed</v>
      </c>
    </row>
    <row r="1347">
      <c r="A1347" s="9" t="str">
        <f>IFERROR(__xludf.DUMMYFUNCTION("""COMPUTED_VALUE"""),"G-REQ-01346")</f>
        <v>G-REQ-01346</v>
      </c>
      <c r="B1347" s="11">
        <f>IFERROR(__xludf.DUMMYFUNCTION("""COMPUTED_VALUE"""),45857.11558374994)</f>
        <v>45857.11558</v>
      </c>
      <c r="C1347" s="9">
        <f>IFERROR(__xludf.DUMMYFUNCTION("""COMPUTED_VALUE"""),5545.0)</f>
        <v>5545</v>
      </c>
      <c r="D1347" s="9" t="str">
        <f>IFERROR(__xludf.DUMMYFUNCTION("""COMPUTED_VALUE"""),"Completed")</f>
        <v>Completed</v>
      </c>
    </row>
    <row r="1348">
      <c r="A1348" s="9" t="str">
        <f>IFERROR(__xludf.DUMMYFUNCTION("""COMPUTED_VALUE"""),"G-REQ-01347")</f>
        <v>G-REQ-01347</v>
      </c>
      <c r="B1348" s="11">
        <f>IFERROR(__xludf.DUMMYFUNCTION("""COMPUTED_VALUE"""),45857.17981415091)</f>
        <v>45857.17981</v>
      </c>
      <c r="C1348" s="9">
        <f>IFERROR(__xludf.DUMMYFUNCTION("""COMPUTED_VALUE"""),5547.0)</f>
        <v>5547</v>
      </c>
      <c r="D1348" s="9" t="str">
        <f>IFERROR(__xludf.DUMMYFUNCTION("""COMPUTED_VALUE"""),"Rejected")</f>
        <v>Rejected</v>
      </c>
    </row>
    <row r="1349">
      <c r="A1349" s="9" t="str">
        <f>IFERROR(__xludf.DUMMYFUNCTION("""COMPUTED_VALUE"""),"G-REQ-01348")</f>
        <v>G-REQ-01348</v>
      </c>
      <c r="B1349" s="11">
        <f>IFERROR(__xludf.DUMMYFUNCTION("""COMPUTED_VALUE"""),45857.25793344077)</f>
        <v>45857.25793</v>
      </c>
      <c r="C1349" s="9">
        <f>IFERROR(__xludf.DUMMYFUNCTION("""COMPUTED_VALUE"""),5551.0)</f>
        <v>5551</v>
      </c>
      <c r="D1349" s="9" t="str">
        <f>IFERROR(__xludf.DUMMYFUNCTION("""COMPUTED_VALUE"""),"Completed")</f>
        <v>Completed</v>
      </c>
    </row>
    <row r="1350">
      <c r="A1350" s="9" t="str">
        <f>IFERROR(__xludf.DUMMYFUNCTION("""COMPUTED_VALUE"""),"G-REQ-01349")</f>
        <v>G-REQ-01349</v>
      </c>
      <c r="B1350" s="11">
        <f>IFERROR(__xludf.DUMMYFUNCTION("""COMPUTED_VALUE"""),45857.32910828618)</f>
        <v>45857.32911</v>
      </c>
      <c r="C1350" s="9">
        <f>IFERROR(__xludf.DUMMYFUNCTION("""COMPUTED_VALUE"""),5555.0)</f>
        <v>5555</v>
      </c>
      <c r="D1350" s="9" t="str">
        <f>IFERROR(__xludf.DUMMYFUNCTION("""COMPUTED_VALUE"""),"Completed")</f>
        <v>Completed</v>
      </c>
    </row>
    <row r="1351">
      <c r="A1351" s="9" t="str">
        <f>IFERROR(__xludf.DUMMYFUNCTION("""COMPUTED_VALUE"""),"G-REQ-01350")</f>
        <v>G-REQ-01350</v>
      </c>
      <c r="B1351" s="11">
        <f>IFERROR(__xludf.DUMMYFUNCTION("""COMPUTED_VALUE"""),45857.4002831316)</f>
        <v>45857.40028</v>
      </c>
      <c r="C1351" s="9">
        <f>IFERROR(__xludf.DUMMYFUNCTION("""COMPUTED_VALUE"""),5559.0)</f>
        <v>5559</v>
      </c>
      <c r="D1351" s="9" t="str">
        <f>IFERROR(__xludf.DUMMYFUNCTION("""COMPUTED_VALUE"""),"Completed")</f>
        <v>Completed</v>
      </c>
    </row>
    <row r="1352">
      <c r="A1352" s="9" t="str">
        <f>IFERROR(__xludf.DUMMYFUNCTION("""COMPUTED_VALUE"""),"G-REQ-01351")</f>
        <v>G-REQ-01351</v>
      </c>
      <c r="B1352" s="11">
        <f>IFERROR(__xludf.DUMMYFUNCTION("""COMPUTED_VALUE"""),45857.471457977015)</f>
        <v>45857.47146</v>
      </c>
      <c r="C1352" s="9">
        <f>IFERROR(__xludf.DUMMYFUNCTION("""COMPUTED_VALUE"""),5563.0)</f>
        <v>5563</v>
      </c>
      <c r="D1352" s="9" t="str">
        <f>IFERROR(__xludf.DUMMYFUNCTION("""COMPUTED_VALUE"""),"Completed")</f>
        <v>Completed</v>
      </c>
    </row>
    <row r="1353">
      <c r="A1353" s="9" t="str">
        <f>IFERROR(__xludf.DUMMYFUNCTION("""COMPUTED_VALUE"""),"G-REQ-01352")</f>
        <v>G-REQ-01352</v>
      </c>
      <c r="B1353" s="11">
        <f>IFERROR(__xludf.DUMMYFUNCTION("""COMPUTED_VALUE"""),45857.54263282243)</f>
        <v>45857.54263</v>
      </c>
      <c r="C1353" s="9">
        <f>IFERROR(__xludf.DUMMYFUNCTION("""COMPUTED_VALUE"""),5567.0)</f>
        <v>5567</v>
      </c>
      <c r="D1353" s="9" t="str">
        <f>IFERROR(__xludf.DUMMYFUNCTION("""COMPUTED_VALUE"""),"Completed")</f>
        <v>Completed</v>
      </c>
    </row>
    <row r="1354">
      <c r="A1354" s="9" t="str">
        <f>IFERROR(__xludf.DUMMYFUNCTION("""COMPUTED_VALUE"""),"G-REQ-01353")</f>
        <v>G-REQ-01353</v>
      </c>
      <c r="B1354" s="11">
        <f>IFERROR(__xludf.DUMMYFUNCTION("""COMPUTED_VALUE"""),45857.61380766785)</f>
        <v>45857.61381</v>
      </c>
      <c r="C1354" s="9">
        <f>IFERROR(__xludf.DUMMYFUNCTION("""COMPUTED_VALUE"""),5571.0)</f>
        <v>5571</v>
      </c>
      <c r="D1354" s="9" t="str">
        <f>IFERROR(__xludf.DUMMYFUNCTION("""COMPUTED_VALUE"""),"Completed")</f>
        <v>Completed</v>
      </c>
    </row>
    <row r="1355">
      <c r="A1355" s="9" t="str">
        <f>IFERROR(__xludf.DUMMYFUNCTION("""COMPUTED_VALUE"""),"G-REQ-01354")</f>
        <v>G-REQ-01354</v>
      </c>
      <c r="B1355" s="11">
        <f>IFERROR(__xludf.DUMMYFUNCTION("""COMPUTED_VALUE"""),45857.68498251327)</f>
        <v>45857.68498</v>
      </c>
      <c r="C1355" s="9">
        <f>IFERROR(__xludf.DUMMYFUNCTION("""COMPUTED_VALUE"""),5575.0)</f>
        <v>5575</v>
      </c>
      <c r="D1355" s="9" t="str">
        <f>IFERROR(__xludf.DUMMYFUNCTION("""COMPUTED_VALUE"""),"Completed")</f>
        <v>Completed</v>
      </c>
    </row>
    <row r="1356">
      <c r="A1356" s="9" t="str">
        <f>IFERROR(__xludf.DUMMYFUNCTION("""COMPUTED_VALUE"""),"G-REQ-01355")</f>
        <v>G-REQ-01355</v>
      </c>
      <c r="B1356" s="11">
        <f>IFERROR(__xludf.DUMMYFUNCTION("""COMPUTED_VALUE"""),45857.74921291423)</f>
        <v>45857.74921</v>
      </c>
      <c r="C1356" s="9">
        <f>IFERROR(__xludf.DUMMYFUNCTION("""COMPUTED_VALUE"""),5577.0)</f>
        <v>5577</v>
      </c>
      <c r="D1356" s="9" t="str">
        <f>IFERROR(__xludf.DUMMYFUNCTION("""COMPUTED_VALUE"""),"Cancelled")</f>
        <v>Cancelled</v>
      </c>
    </row>
    <row r="1357">
      <c r="A1357" s="9" t="str">
        <f>IFERROR(__xludf.DUMMYFUNCTION("""COMPUTED_VALUE"""),"G-REQ-01356")</f>
        <v>G-REQ-01356</v>
      </c>
      <c r="B1357" s="11">
        <f>IFERROR(__xludf.DUMMYFUNCTION("""COMPUTED_VALUE"""),45857.82733220409)</f>
        <v>45857.82733</v>
      </c>
      <c r="C1357" s="9">
        <f>IFERROR(__xludf.DUMMYFUNCTION("""COMPUTED_VALUE"""),5581.0)</f>
        <v>5581</v>
      </c>
      <c r="D1357" s="9" t="str">
        <f>IFERROR(__xludf.DUMMYFUNCTION("""COMPUTED_VALUE"""),"Completed")</f>
        <v>Completed</v>
      </c>
    </row>
    <row r="1358">
      <c r="A1358" s="9" t="str">
        <f>IFERROR(__xludf.DUMMYFUNCTION("""COMPUTED_VALUE"""),"G-REQ-01357")</f>
        <v>G-REQ-01357</v>
      </c>
      <c r="B1358" s="11">
        <f>IFERROR(__xludf.DUMMYFUNCTION("""COMPUTED_VALUE"""),45857.898507049504)</f>
        <v>45857.89851</v>
      </c>
      <c r="C1358" s="9">
        <f>IFERROR(__xludf.DUMMYFUNCTION("""COMPUTED_VALUE"""),5585.0)</f>
        <v>5585</v>
      </c>
      <c r="D1358" s="9" t="str">
        <f>IFERROR(__xludf.DUMMYFUNCTION("""COMPUTED_VALUE"""),"Completed")</f>
        <v>Completed</v>
      </c>
    </row>
    <row r="1359">
      <c r="A1359" s="9" t="str">
        <f>IFERROR(__xludf.DUMMYFUNCTION("""COMPUTED_VALUE"""),"G-REQ-01358")</f>
        <v>G-REQ-01358</v>
      </c>
      <c r="B1359" s="11">
        <f>IFERROR(__xludf.DUMMYFUNCTION("""COMPUTED_VALUE"""),45857.96968189492)</f>
        <v>45857.96968</v>
      </c>
      <c r="C1359" s="9">
        <f>IFERROR(__xludf.DUMMYFUNCTION("""COMPUTED_VALUE"""),5589.0)</f>
        <v>5589</v>
      </c>
      <c r="D1359" s="9" t="str">
        <f>IFERROR(__xludf.DUMMYFUNCTION("""COMPUTED_VALUE"""),"Completed")</f>
        <v>Completed</v>
      </c>
    </row>
    <row r="1360">
      <c r="A1360" s="9" t="str">
        <f>IFERROR(__xludf.DUMMYFUNCTION("""COMPUTED_VALUE"""),"G-REQ-01359")</f>
        <v>G-REQ-01359</v>
      </c>
      <c r="B1360" s="11">
        <f>IFERROR(__xludf.DUMMYFUNCTION("""COMPUTED_VALUE"""),45858.040856740336)</f>
        <v>45858.04086</v>
      </c>
      <c r="C1360" s="9">
        <f>IFERROR(__xludf.DUMMYFUNCTION("""COMPUTED_VALUE"""),5593.0)</f>
        <v>5593</v>
      </c>
      <c r="D1360" s="9" t="str">
        <f>IFERROR(__xludf.DUMMYFUNCTION("""COMPUTED_VALUE"""),"Completed")</f>
        <v>Completed</v>
      </c>
    </row>
    <row r="1361">
      <c r="A1361" s="9" t="str">
        <f>IFERROR(__xludf.DUMMYFUNCTION("""COMPUTED_VALUE"""),"G-REQ-01360")</f>
        <v>G-REQ-01360</v>
      </c>
      <c r="B1361" s="11">
        <f>IFERROR(__xludf.DUMMYFUNCTION("""COMPUTED_VALUE"""),45858.112031585755)</f>
        <v>45858.11203</v>
      </c>
      <c r="C1361" s="9">
        <f>IFERROR(__xludf.DUMMYFUNCTION("""COMPUTED_VALUE"""),5597.0)</f>
        <v>5597</v>
      </c>
      <c r="D1361" s="9" t="str">
        <f>IFERROR(__xludf.DUMMYFUNCTION("""COMPUTED_VALUE"""),"Completed")</f>
        <v>Completed</v>
      </c>
    </row>
    <row r="1362">
      <c r="A1362" s="9" t="str">
        <f>IFERROR(__xludf.DUMMYFUNCTION("""COMPUTED_VALUE"""),"G-REQ-01361")</f>
        <v>G-REQ-01361</v>
      </c>
      <c r="B1362" s="11">
        <f>IFERROR(__xludf.DUMMYFUNCTION("""COMPUTED_VALUE"""),45858.18320643117)</f>
        <v>45858.18321</v>
      </c>
      <c r="C1362" s="9">
        <f>IFERROR(__xludf.DUMMYFUNCTION("""COMPUTED_VALUE"""),5601.0)</f>
        <v>5601</v>
      </c>
      <c r="D1362" s="9" t="str">
        <f>IFERROR(__xludf.DUMMYFUNCTION("""COMPUTED_VALUE"""),"Completed")</f>
        <v>Completed</v>
      </c>
    </row>
    <row r="1363">
      <c r="A1363" s="9" t="str">
        <f>IFERROR(__xludf.DUMMYFUNCTION("""COMPUTED_VALUE"""),"G-REQ-01362")</f>
        <v>G-REQ-01362</v>
      </c>
      <c r="B1363" s="11">
        <f>IFERROR(__xludf.DUMMYFUNCTION("""COMPUTED_VALUE"""),45858.25438127658)</f>
        <v>45858.25438</v>
      </c>
      <c r="C1363" s="9">
        <f>IFERROR(__xludf.DUMMYFUNCTION("""COMPUTED_VALUE"""),5605.0)</f>
        <v>5605</v>
      </c>
      <c r="D1363" s="9" t="str">
        <f>IFERROR(__xludf.DUMMYFUNCTION("""COMPUTED_VALUE"""),"Completed")</f>
        <v>Completed</v>
      </c>
    </row>
    <row r="1364">
      <c r="A1364" s="9" t="str">
        <f>IFERROR(__xludf.DUMMYFUNCTION("""COMPUTED_VALUE"""),"G-REQ-01363")</f>
        <v>G-REQ-01363</v>
      </c>
      <c r="B1364" s="11">
        <f>IFERROR(__xludf.DUMMYFUNCTION("""COMPUTED_VALUE"""),45858.325556122)</f>
        <v>45858.32556</v>
      </c>
      <c r="C1364" s="9">
        <f>IFERROR(__xludf.DUMMYFUNCTION("""COMPUTED_VALUE"""),5609.0)</f>
        <v>5609</v>
      </c>
      <c r="D1364" s="9" t="str">
        <f>IFERROR(__xludf.DUMMYFUNCTION("""COMPUTED_VALUE"""),"Completed")</f>
        <v>Completed</v>
      </c>
    </row>
    <row r="1365">
      <c r="A1365" s="9" t="str">
        <f>IFERROR(__xludf.DUMMYFUNCTION("""COMPUTED_VALUE"""),"G-REQ-01364")</f>
        <v>G-REQ-01364</v>
      </c>
      <c r="B1365" s="11">
        <f>IFERROR(__xludf.DUMMYFUNCTION("""COMPUTED_VALUE"""),45858.39673096741)</f>
        <v>45858.39673</v>
      </c>
      <c r="C1365" s="9">
        <f>IFERROR(__xludf.DUMMYFUNCTION("""COMPUTED_VALUE"""),5613.0)</f>
        <v>5613</v>
      </c>
      <c r="D1365" s="9" t="str">
        <f>IFERROR(__xludf.DUMMYFUNCTION("""COMPUTED_VALUE"""),"Completed")</f>
        <v>Completed</v>
      </c>
    </row>
    <row r="1366">
      <c r="A1366" s="9" t="str">
        <f>IFERROR(__xludf.DUMMYFUNCTION("""COMPUTED_VALUE"""),"G-REQ-01365")</f>
        <v>G-REQ-01365</v>
      </c>
      <c r="B1366" s="11">
        <f>IFERROR(__xludf.DUMMYFUNCTION("""COMPUTED_VALUE"""),45858.467905812824)</f>
        <v>45858.46791</v>
      </c>
      <c r="C1366" s="9">
        <f>IFERROR(__xludf.DUMMYFUNCTION("""COMPUTED_VALUE"""),5617.0)</f>
        <v>5617</v>
      </c>
      <c r="D1366" s="9" t="str">
        <f>IFERROR(__xludf.DUMMYFUNCTION("""COMPUTED_VALUE"""),"Completed")</f>
        <v>Completed</v>
      </c>
    </row>
    <row r="1367">
      <c r="A1367" s="9" t="str">
        <f>IFERROR(__xludf.DUMMYFUNCTION("""COMPUTED_VALUE"""),"G-REQ-01366")</f>
        <v>G-REQ-01366</v>
      </c>
      <c r="B1367" s="11">
        <f>IFERROR(__xludf.DUMMYFUNCTION("""COMPUTED_VALUE"""),45858.53908065824)</f>
        <v>45858.53908</v>
      </c>
      <c r="C1367" s="9">
        <f>IFERROR(__xludf.DUMMYFUNCTION("""COMPUTED_VALUE"""),5621.0)</f>
        <v>5621</v>
      </c>
      <c r="D1367" s="9" t="str">
        <f>IFERROR(__xludf.DUMMYFUNCTION("""COMPUTED_VALUE"""),"Completed")</f>
        <v>Completed</v>
      </c>
    </row>
    <row r="1368">
      <c r="A1368" s="9" t="str">
        <f>IFERROR(__xludf.DUMMYFUNCTION("""COMPUTED_VALUE"""),"G-REQ-01367")</f>
        <v>G-REQ-01367</v>
      </c>
      <c r="B1368" s="11">
        <f>IFERROR(__xludf.DUMMYFUNCTION("""COMPUTED_VALUE"""),45858.610255503656)</f>
        <v>45858.61026</v>
      </c>
      <c r="C1368" s="9">
        <f>IFERROR(__xludf.DUMMYFUNCTION("""COMPUTED_VALUE"""),5625.0)</f>
        <v>5625</v>
      </c>
      <c r="D1368" s="9" t="str">
        <f>IFERROR(__xludf.DUMMYFUNCTION("""COMPUTED_VALUE"""),"Completed")</f>
        <v>Completed</v>
      </c>
    </row>
    <row r="1369">
      <c r="A1369" s="9" t="str">
        <f>IFERROR(__xludf.DUMMYFUNCTION("""COMPUTED_VALUE"""),"G-REQ-01368")</f>
        <v>G-REQ-01368</v>
      </c>
      <c r="B1369" s="11">
        <f>IFERROR(__xludf.DUMMYFUNCTION("""COMPUTED_VALUE"""),45858.68143034907)</f>
        <v>45858.68143</v>
      </c>
      <c r="C1369" s="9">
        <f>IFERROR(__xludf.DUMMYFUNCTION("""COMPUTED_VALUE"""),5629.0)</f>
        <v>5629</v>
      </c>
      <c r="D1369" s="9" t="str">
        <f>IFERROR(__xludf.DUMMYFUNCTION("""COMPUTED_VALUE"""),"Completed")</f>
        <v>Completed</v>
      </c>
    </row>
    <row r="1370">
      <c r="A1370" s="9" t="str">
        <f>IFERROR(__xludf.DUMMYFUNCTION("""COMPUTED_VALUE"""),"G-REQ-01369")</f>
        <v>G-REQ-01369</v>
      </c>
      <c r="B1370" s="11">
        <f>IFERROR(__xludf.DUMMYFUNCTION("""COMPUTED_VALUE"""),45858.75260519449)</f>
        <v>45858.75261</v>
      </c>
      <c r="C1370" s="9">
        <f>IFERROR(__xludf.DUMMYFUNCTION("""COMPUTED_VALUE"""),5633.0)</f>
        <v>5633</v>
      </c>
      <c r="D1370" s="9" t="str">
        <f>IFERROR(__xludf.DUMMYFUNCTION("""COMPUTED_VALUE"""),"Completed")</f>
        <v>Completed</v>
      </c>
    </row>
    <row r="1371">
      <c r="A1371" s="9" t="str">
        <f>IFERROR(__xludf.DUMMYFUNCTION("""COMPUTED_VALUE"""),"G-REQ-01370")</f>
        <v>G-REQ-01370</v>
      </c>
      <c r="B1371" s="11">
        <f>IFERROR(__xludf.DUMMYFUNCTION("""COMPUTED_VALUE"""),45858.82378003991)</f>
        <v>45858.82378</v>
      </c>
      <c r="C1371" s="9">
        <f>IFERROR(__xludf.DUMMYFUNCTION("""COMPUTED_VALUE"""),5637.0)</f>
        <v>5637</v>
      </c>
      <c r="D1371" s="9" t="str">
        <f>IFERROR(__xludf.DUMMYFUNCTION("""COMPUTED_VALUE"""),"Completed")</f>
        <v>Completed</v>
      </c>
    </row>
    <row r="1372">
      <c r="A1372" s="9" t="str">
        <f>IFERROR(__xludf.DUMMYFUNCTION("""COMPUTED_VALUE"""),"G-REQ-01371")</f>
        <v>G-REQ-01371</v>
      </c>
      <c r="B1372" s="11">
        <f>IFERROR(__xludf.DUMMYFUNCTION("""COMPUTED_VALUE"""),45858.89495488531)</f>
        <v>45858.89495</v>
      </c>
      <c r="C1372" s="9">
        <f>IFERROR(__xludf.DUMMYFUNCTION("""COMPUTED_VALUE"""),5641.0)</f>
        <v>5641</v>
      </c>
      <c r="D1372" s="9" t="str">
        <f>IFERROR(__xludf.DUMMYFUNCTION("""COMPUTED_VALUE"""),"Completed")</f>
        <v>Completed</v>
      </c>
    </row>
    <row r="1373">
      <c r="A1373" s="9" t="str">
        <f>IFERROR(__xludf.DUMMYFUNCTION("""COMPUTED_VALUE"""),"G-REQ-01372")</f>
        <v>G-REQ-01372</v>
      </c>
      <c r="B1373" s="11">
        <f>IFERROR(__xludf.DUMMYFUNCTION("""COMPUTED_VALUE"""),45858.96612973073)</f>
        <v>45858.96613</v>
      </c>
      <c r="C1373" s="9">
        <f>IFERROR(__xludf.DUMMYFUNCTION("""COMPUTED_VALUE"""),5645.0)</f>
        <v>5645</v>
      </c>
      <c r="D1373" s="9" t="str">
        <f>IFERROR(__xludf.DUMMYFUNCTION("""COMPUTED_VALUE"""),"Completed")</f>
        <v>Completed</v>
      </c>
    </row>
    <row r="1374">
      <c r="A1374" s="9" t="str">
        <f>IFERROR(__xludf.DUMMYFUNCTION("""COMPUTED_VALUE"""),"G-REQ-01373")</f>
        <v>G-REQ-01373</v>
      </c>
      <c r="B1374" s="11">
        <f>IFERROR(__xludf.DUMMYFUNCTION("""COMPUTED_VALUE"""),45859.03730457615)</f>
        <v>45859.0373</v>
      </c>
      <c r="C1374" s="9">
        <f>IFERROR(__xludf.DUMMYFUNCTION("""COMPUTED_VALUE"""),5649.0)</f>
        <v>5649</v>
      </c>
      <c r="D1374" s="9" t="str">
        <f>IFERROR(__xludf.DUMMYFUNCTION("""COMPUTED_VALUE"""),"Completed")</f>
        <v>Completed</v>
      </c>
    </row>
    <row r="1375">
      <c r="A1375" s="9" t="str">
        <f>IFERROR(__xludf.DUMMYFUNCTION("""COMPUTED_VALUE"""),"G-REQ-01374")</f>
        <v>G-REQ-01374</v>
      </c>
      <c r="B1375" s="11">
        <f>IFERROR(__xludf.DUMMYFUNCTION("""COMPUTED_VALUE"""),45859.108479421564)</f>
        <v>45859.10848</v>
      </c>
      <c r="C1375" s="9">
        <f>IFERROR(__xludf.DUMMYFUNCTION("""COMPUTED_VALUE"""),5653.0)</f>
        <v>5653</v>
      </c>
      <c r="D1375" s="9" t="str">
        <f>IFERROR(__xludf.DUMMYFUNCTION("""COMPUTED_VALUE"""),"Completed")</f>
        <v>Completed</v>
      </c>
    </row>
    <row r="1376">
      <c r="A1376" s="9" t="str">
        <f>IFERROR(__xludf.DUMMYFUNCTION("""COMPUTED_VALUE"""),"G-REQ-01375")</f>
        <v>G-REQ-01375</v>
      </c>
      <c r="B1376" s="11">
        <f>IFERROR(__xludf.DUMMYFUNCTION("""COMPUTED_VALUE"""),45859.179654266976)</f>
        <v>45859.17965</v>
      </c>
      <c r="C1376" s="9">
        <f>IFERROR(__xludf.DUMMYFUNCTION("""COMPUTED_VALUE"""),5657.0)</f>
        <v>5657</v>
      </c>
      <c r="D1376" s="9" t="str">
        <f>IFERROR(__xludf.DUMMYFUNCTION("""COMPUTED_VALUE"""),"Completed")</f>
        <v>Completed</v>
      </c>
    </row>
    <row r="1377">
      <c r="A1377" s="9" t="str">
        <f>IFERROR(__xludf.DUMMYFUNCTION("""COMPUTED_VALUE"""),"G-REQ-01376")</f>
        <v>G-REQ-01376</v>
      </c>
      <c r="B1377" s="11">
        <f>IFERROR(__xludf.DUMMYFUNCTION("""COMPUTED_VALUE"""),45859.250829112396)</f>
        <v>45859.25083</v>
      </c>
      <c r="C1377" s="9">
        <f>IFERROR(__xludf.DUMMYFUNCTION("""COMPUTED_VALUE"""),5661.0)</f>
        <v>5661</v>
      </c>
      <c r="D1377" s="9" t="str">
        <f>IFERROR(__xludf.DUMMYFUNCTION("""COMPUTED_VALUE"""),"Completed")</f>
        <v>Completed</v>
      </c>
    </row>
    <row r="1378">
      <c r="A1378" s="9" t="str">
        <f>IFERROR(__xludf.DUMMYFUNCTION("""COMPUTED_VALUE"""),"G-REQ-01377")</f>
        <v>G-REQ-01377</v>
      </c>
      <c r="B1378" s="11">
        <f>IFERROR(__xludf.DUMMYFUNCTION("""COMPUTED_VALUE"""),45859.31505951336)</f>
        <v>45859.31506</v>
      </c>
      <c r="C1378" s="9">
        <f>IFERROR(__xludf.DUMMYFUNCTION("""COMPUTED_VALUE"""),5663.0)</f>
        <v>5663</v>
      </c>
      <c r="D1378" s="9" t="str">
        <f>IFERROR(__xludf.DUMMYFUNCTION("""COMPUTED_VALUE"""),"Rejected")</f>
        <v>Rejected</v>
      </c>
    </row>
    <row r="1379">
      <c r="A1379" s="9" t="str">
        <f>IFERROR(__xludf.DUMMYFUNCTION("""COMPUTED_VALUE"""),"G-REQ-01378")</f>
        <v>G-REQ-01378</v>
      </c>
      <c r="B1379" s="11">
        <f>IFERROR(__xludf.DUMMYFUNCTION("""COMPUTED_VALUE"""),45859.386234358775)</f>
        <v>45859.38623</v>
      </c>
      <c r="C1379" s="9">
        <f>IFERROR(__xludf.DUMMYFUNCTION("""COMPUTED_VALUE"""),5665.0)</f>
        <v>5665</v>
      </c>
      <c r="D1379" s="9" t="str">
        <f>IFERROR(__xludf.DUMMYFUNCTION("""COMPUTED_VALUE"""),"Rejected")</f>
        <v>Rejected</v>
      </c>
    </row>
    <row r="1380">
      <c r="A1380" s="9" t="str">
        <f>IFERROR(__xludf.DUMMYFUNCTION("""COMPUTED_VALUE"""),"G-REQ-01379")</f>
        <v>G-REQ-01379</v>
      </c>
      <c r="B1380" s="11">
        <f>IFERROR(__xludf.DUMMYFUNCTION("""COMPUTED_VALUE"""),45859.46435364864)</f>
        <v>45859.46435</v>
      </c>
      <c r="C1380" s="9">
        <f>IFERROR(__xludf.DUMMYFUNCTION("""COMPUTED_VALUE"""),5669.0)</f>
        <v>5669</v>
      </c>
      <c r="D1380" s="9" t="str">
        <f>IFERROR(__xludf.DUMMYFUNCTION("""COMPUTED_VALUE"""),"Completed")</f>
        <v>Completed</v>
      </c>
    </row>
    <row r="1381">
      <c r="A1381" s="9" t="str">
        <f>IFERROR(__xludf.DUMMYFUNCTION("""COMPUTED_VALUE"""),"G-REQ-01380")</f>
        <v>G-REQ-01380</v>
      </c>
      <c r="B1381" s="11">
        <f>IFERROR(__xludf.DUMMYFUNCTION("""COMPUTED_VALUE"""),45859.53552849405)</f>
        <v>45859.53553</v>
      </c>
      <c r="C1381" s="9">
        <f>IFERROR(__xludf.DUMMYFUNCTION("""COMPUTED_VALUE"""),5673.0)</f>
        <v>5673</v>
      </c>
      <c r="D1381" s="9" t="str">
        <f>IFERROR(__xludf.DUMMYFUNCTION("""COMPUTED_VALUE"""),"Completed")</f>
        <v>Completed</v>
      </c>
    </row>
    <row r="1382">
      <c r="A1382" s="9" t="str">
        <f>IFERROR(__xludf.DUMMYFUNCTION("""COMPUTED_VALUE"""),"G-REQ-01381")</f>
        <v>G-REQ-01381</v>
      </c>
      <c r="B1382" s="11">
        <f>IFERROR(__xludf.DUMMYFUNCTION("""COMPUTED_VALUE"""),45859.59975889502)</f>
        <v>45859.59976</v>
      </c>
      <c r="C1382" s="9">
        <f>IFERROR(__xludf.DUMMYFUNCTION("""COMPUTED_VALUE"""),5675.0)</f>
        <v>5675</v>
      </c>
      <c r="D1382" s="9" t="str">
        <f>IFERROR(__xludf.DUMMYFUNCTION("""COMPUTED_VALUE"""),"Rejected")</f>
        <v>Rejected</v>
      </c>
    </row>
    <row r="1383">
      <c r="A1383" s="9" t="str">
        <f>IFERROR(__xludf.DUMMYFUNCTION("""COMPUTED_VALUE"""),"G-REQ-01382")</f>
        <v>G-REQ-01382</v>
      </c>
      <c r="B1383" s="11">
        <f>IFERROR(__xludf.DUMMYFUNCTION("""COMPUTED_VALUE"""),45859.677878184884)</f>
        <v>45859.67788</v>
      </c>
      <c r="C1383" s="9">
        <f>IFERROR(__xludf.DUMMYFUNCTION("""COMPUTED_VALUE"""),5679.0)</f>
        <v>5679</v>
      </c>
      <c r="D1383" s="9" t="str">
        <f>IFERROR(__xludf.DUMMYFUNCTION("""COMPUTED_VALUE"""),"Completed")</f>
        <v>Completed</v>
      </c>
    </row>
    <row r="1384">
      <c r="A1384" s="9" t="str">
        <f>IFERROR(__xludf.DUMMYFUNCTION("""COMPUTED_VALUE"""),"G-REQ-01383")</f>
        <v>G-REQ-01383</v>
      </c>
      <c r="B1384" s="11">
        <f>IFERROR(__xludf.DUMMYFUNCTION("""COMPUTED_VALUE"""),45859.7490530303)</f>
        <v>45859.74905</v>
      </c>
      <c r="C1384" s="9">
        <f>IFERROR(__xludf.DUMMYFUNCTION("""COMPUTED_VALUE"""),5683.0)</f>
        <v>5683</v>
      </c>
      <c r="D1384" s="9" t="str">
        <f>IFERROR(__xludf.DUMMYFUNCTION("""COMPUTED_VALUE"""),"Completed")</f>
        <v>Completed</v>
      </c>
    </row>
    <row r="1385">
      <c r="A1385" s="9" t="str">
        <f>IFERROR(__xludf.DUMMYFUNCTION("""COMPUTED_VALUE"""),"G-REQ-01384")</f>
        <v>G-REQ-01384</v>
      </c>
      <c r="B1385" s="11">
        <f>IFERROR(__xludf.DUMMYFUNCTION("""COMPUTED_VALUE"""),45859.81328343127)</f>
        <v>45859.81328</v>
      </c>
      <c r="C1385" s="9">
        <f>IFERROR(__xludf.DUMMYFUNCTION("""COMPUTED_VALUE"""),5685.0)</f>
        <v>5685</v>
      </c>
      <c r="D1385" s="9" t="str">
        <f>IFERROR(__xludf.DUMMYFUNCTION("""COMPUTED_VALUE"""),"Rejected")</f>
        <v>Rejected</v>
      </c>
    </row>
    <row r="1386">
      <c r="A1386" s="9" t="str">
        <f>IFERROR(__xludf.DUMMYFUNCTION("""COMPUTED_VALUE"""),"G-REQ-01385")</f>
        <v>G-REQ-01385</v>
      </c>
      <c r="B1386" s="11">
        <f>IFERROR(__xludf.DUMMYFUNCTION("""COMPUTED_VALUE"""),45859.89140272113)</f>
        <v>45859.8914</v>
      </c>
      <c r="C1386" s="9">
        <f>IFERROR(__xludf.DUMMYFUNCTION("""COMPUTED_VALUE"""),5689.0)</f>
        <v>5689</v>
      </c>
      <c r="D1386" s="9" t="str">
        <f>IFERROR(__xludf.DUMMYFUNCTION("""COMPUTED_VALUE"""),"Completed")</f>
        <v>Completed</v>
      </c>
    </row>
    <row r="1387">
      <c r="A1387" s="9" t="str">
        <f>IFERROR(__xludf.DUMMYFUNCTION("""COMPUTED_VALUE"""),"G-REQ-01386")</f>
        <v>G-REQ-01386</v>
      </c>
      <c r="B1387" s="11">
        <f>IFERROR(__xludf.DUMMYFUNCTION("""COMPUTED_VALUE"""),45859.96257756655)</f>
        <v>45859.96258</v>
      </c>
      <c r="C1387" s="9">
        <f>IFERROR(__xludf.DUMMYFUNCTION("""COMPUTED_VALUE"""),5693.0)</f>
        <v>5693</v>
      </c>
      <c r="D1387" s="9" t="str">
        <f>IFERROR(__xludf.DUMMYFUNCTION("""COMPUTED_VALUE"""),"Completed")</f>
        <v>Completed</v>
      </c>
    </row>
    <row r="1388">
      <c r="A1388" s="9" t="str">
        <f>IFERROR(__xludf.DUMMYFUNCTION("""COMPUTED_VALUE"""),"G-REQ-01387")</f>
        <v>G-REQ-01387</v>
      </c>
      <c r="B1388" s="11">
        <f>IFERROR(__xludf.DUMMYFUNCTION("""COMPUTED_VALUE"""),45860.02680796751)</f>
        <v>45860.02681</v>
      </c>
      <c r="C1388" s="9">
        <f>IFERROR(__xludf.DUMMYFUNCTION("""COMPUTED_VALUE"""),5695.0)</f>
        <v>5695</v>
      </c>
      <c r="D1388" s="9" t="str">
        <f>IFERROR(__xludf.DUMMYFUNCTION("""COMPUTED_VALUE"""),"Cancelled")</f>
        <v>Cancelled</v>
      </c>
    </row>
    <row r="1389">
      <c r="A1389" s="9" t="str">
        <f>IFERROR(__xludf.DUMMYFUNCTION("""COMPUTED_VALUE"""),"G-REQ-01388")</f>
        <v>G-REQ-01388</v>
      </c>
      <c r="B1389" s="11">
        <f>IFERROR(__xludf.DUMMYFUNCTION("""COMPUTED_VALUE"""),45860.10492725737)</f>
        <v>45860.10493</v>
      </c>
      <c r="C1389" s="9">
        <f>IFERROR(__xludf.DUMMYFUNCTION("""COMPUTED_VALUE"""),5699.0)</f>
        <v>5699</v>
      </c>
      <c r="D1389" s="9" t="str">
        <f>IFERROR(__xludf.DUMMYFUNCTION("""COMPUTED_VALUE"""),"Completed")</f>
        <v>Completed</v>
      </c>
    </row>
    <row r="1390">
      <c r="A1390" s="9" t="str">
        <f>IFERROR(__xludf.DUMMYFUNCTION("""COMPUTED_VALUE"""),"G-REQ-01389")</f>
        <v>G-REQ-01389</v>
      </c>
      <c r="B1390" s="11">
        <f>IFERROR(__xludf.DUMMYFUNCTION("""COMPUTED_VALUE"""),45860.16915765835)</f>
        <v>45860.16916</v>
      </c>
      <c r="C1390" s="9">
        <f>IFERROR(__xludf.DUMMYFUNCTION("""COMPUTED_VALUE"""),5701.0)</f>
        <v>5701</v>
      </c>
      <c r="D1390" s="9" t="str">
        <f>IFERROR(__xludf.DUMMYFUNCTION("""COMPUTED_VALUE"""),"Rejected")</f>
        <v>Rejected</v>
      </c>
    </row>
    <row r="1391">
      <c r="A1391" s="9" t="str">
        <f>IFERROR(__xludf.DUMMYFUNCTION("""COMPUTED_VALUE"""),"G-REQ-01390")</f>
        <v>G-REQ-01390</v>
      </c>
      <c r="B1391" s="11">
        <f>IFERROR(__xludf.DUMMYFUNCTION("""COMPUTED_VALUE"""),45860.24033250376)</f>
        <v>45860.24033</v>
      </c>
      <c r="C1391" s="9">
        <f>IFERROR(__xludf.DUMMYFUNCTION("""COMPUTED_VALUE"""),5703.0)</f>
        <v>5703</v>
      </c>
      <c r="D1391" s="9" t="str">
        <f>IFERROR(__xludf.DUMMYFUNCTION("""COMPUTED_VALUE"""),"Rejected")</f>
        <v>Rejected</v>
      </c>
    </row>
    <row r="1392">
      <c r="A1392" s="9" t="str">
        <f>IFERROR(__xludf.DUMMYFUNCTION("""COMPUTED_VALUE"""),"G-REQ-01391")</f>
        <v>G-REQ-01391</v>
      </c>
      <c r="B1392" s="11">
        <f>IFERROR(__xludf.DUMMYFUNCTION("""COMPUTED_VALUE"""),45860.31845179362)</f>
        <v>45860.31845</v>
      </c>
      <c r="C1392" s="9">
        <f>IFERROR(__xludf.DUMMYFUNCTION("""COMPUTED_VALUE"""),5707.0)</f>
        <v>5707</v>
      </c>
      <c r="D1392" s="9" t="str">
        <f>IFERROR(__xludf.DUMMYFUNCTION("""COMPUTED_VALUE"""),"Completed")</f>
        <v>Completed</v>
      </c>
    </row>
    <row r="1393">
      <c r="A1393" s="9" t="str">
        <f>IFERROR(__xludf.DUMMYFUNCTION("""COMPUTED_VALUE"""),"G-REQ-01392")</f>
        <v>G-REQ-01392</v>
      </c>
      <c r="B1393" s="11">
        <f>IFERROR(__xludf.DUMMYFUNCTION("""COMPUTED_VALUE"""),45860.38962663904)</f>
        <v>45860.38963</v>
      </c>
      <c r="C1393" s="9">
        <f>IFERROR(__xludf.DUMMYFUNCTION("""COMPUTED_VALUE"""),5711.0)</f>
        <v>5711</v>
      </c>
      <c r="D1393" s="9" t="str">
        <f>IFERROR(__xludf.DUMMYFUNCTION("""COMPUTED_VALUE"""),"Completed")</f>
        <v>Completed</v>
      </c>
    </row>
    <row r="1394">
      <c r="A1394" s="9" t="str">
        <f>IFERROR(__xludf.DUMMYFUNCTION("""COMPUTED_VALUE"""),"G-REQ-01393")</f>
        <v>G-REQ-01393</v>
      </c>
      <c r="B1394" s="11">
        <f>IFERROR(__xludf.DUMMYFUNCTION("""COMPUTED_VALUE"""),45860.46080148445)</f>
        <v>45860.4608</v>
      </c>
      <c r="C1394" s="9">
        <f>IFERROR(__xludf.DUMMYFUNCTION("""COMPUTED_VALUE"""),5715.0)</f>
        <v>5715</v>
      </c>
      <c r="D1394" s="9" t="str">
        <f>IFERROR(__xludf.DUMMYFUNCTION("""COMPUTED_VALUE"""),"Completed")</f>
        <v>Completed</v>
      </c>
    </row>
    <row r="1395">
      <c r="A1395" s="9" t="str">
        <f>IFERROR(__xludf.DUMMYFUNCTION("""COMPUTED_VALUE"""),"G-REQ-01394")</f>
        <v>G-REQ-01394</v>
      </c>
      <c r="B1395" s="11">
        <f>IFERROR(__xludf.DUMMYFUNCTION("""COMPUTED_VALUE"""),45860.525031885416)</f>
        <v>45860.52503</v>
      </c>
      <c r="C1395" s="9">
        <f>IFERROR(__xludf.DUMMYFUNCTION("""COMPUTED_VALUE"""),5717.0)</f>
        <v>5717</v>
      </c>
      <c r="D1395" s="9" t="str">
        <f>IFERROR(__xludf.DUMMYFUNCTION("""COMPUTED_VALUE"""),"Rejected")</f>
        <v>Rejected</v>
      </c>
    </row>
    <row r="1396">
      <c r="A1396" s="9" t="str">
        <f>IFERROR(__xludf.DUMMYFUNCTION("""COMPUTED_VALUE"""),"G-REQ-01395")</f>
        <v>G-REQ-01395</v>
      </c>
      <c r="B1396" s="11">
        <f>IFERROR(__xludf.DUMMYFUNCTION("""COMPUTED_VALUE"""),45860.60315117528)</f>
        <v>45860.60315</v>
      </c>
      <c r="C1396" s="9">
        <f>IFERROR(__xludf.DUMMYFUNCTION("""COMPUTED_VALUE"""),5721.0)</f>
        <v>5721</v>
      </c>
      <c r="D1396" s="9" t="str">
        <f>IFERROR(__xludf.DUMMYFUNCTION("""COMPUTED_VALUE"""),"Completed")</f>
        <v>Completed</v>
      </c>
    </row>
    <row r="1397">
      <c r="A1397" s="9" t="str">
        <f>IFERROR(__xludf.DUMMYFUNCTION("""COMPUTED_VALUE"""),"G-REQ-01396")</f>
        <v>G-REQ-01396</v>
      </c>
      <c r="B1397" s="11">
        <f>IFERROR(__xludf.DUMMYFUNCTION("""COMPUTED_VALUE"""),45860.6743260207)</f>
        <v>45860.67433</v>
      </c>
      <c r="C1397" s="9">
        <f>IFERROR(__xludf.DUMMYFUNCTION("""COMPUTED_VALUE"""),5725.0)</f>
        <v>5725</v>
      </c>
      <c r="D1397" s="9" t="str">
        <f>IFERROR(__xludf.DUMMYFUNCTION("""COMPUTED_VALUE"""),"Completed")</f>
        <v>Completed</v>
      </c>
    </row>
    <row r="1398">
      <c r="A1398" s="9" t="str">
        <f>IFERROR(__xludf.DUMMYFUNCTION("""COMPUTED_VALUE"""),"G-REQ-01397")</f>
        <v>G-REQ-01397</v>
      </c>
      <c r="B1398" s="11">
        <f>IFERROR(__xludf.DUMMYFUNCTION("""COMPUTED_VALUE"""),45860.745500866105)</f>
        <v>45860.7455</v>
      </c>
      <c r="C1398" s="9">
        <f>IFERROR(__xludf.DUMMYFUNCTION("""COMPUTED_VALUE"""),5729.0)</f>
        <v>5729</v>
      </c>
      <c r="D1398" s="9" t="str">
        <f>IFERROR(__xludf.DUMMYFUNCTION("""COMPUTED_VALUE"""),"Completed")</f>
        <v>Completed</v>
      </c>
    </row>
    <row r="1399">
      <c r="A1399" s="9" t="str">
        <f>IFERROR(__xludf.DUMMYFUNCTION("""COMPUTED_VALUE"""),"G-REQ-01398")</f>
        <v>G-REQ-01398</v>
      </c>
      <c r="B1399" s="11">
        <f>IFERROR(__xludf.DUMMYFUNCTION("""COMPUTED_VALUE"""),45860.80973126708)</f>
        <v>45860.80973</v>
      </c>
      <c r="C1399" s="9">
        <f>IFERROR(__xludf.DUMMYFUNCTION("""COMPUTED_VALUE"""),5731.0)</f>
        <v>5731</v>
      </c>
      <c r="D1399" s="9" t="str">
        <f>IFERROR(__xludf.DUMMYFUNCTION("""COMPUTED_VALUE"""),"Rejected")</f>
        <v>Rejected</v>
      </c>
    </row>
    <row r="1400">
      <c r="A1400" s="9" t="str">
        <f>IFERROR(__xludf.DUMMYFUNCTION("""COMPUTED_VALUE"""),"G-REQ-01399")</f>
        <v>G-REQ-01399</v>
      </c>
      <c r="B1400" s="11">
        <f>IFERROR(__xludf.DUMMYFUNCTION("""COMPUTED_VALUE"""),45860.88785055694)</f>
        <v>45860.88785</v>
      </c>
      <c r="C1400" s="9">
        <f>IFERROR(__xludf.DUMMYFUNCTION("""COMPUTED_VALUE"""),5735.0)</f>
        <v>5735</v>
      </c>
      <c r="D1400" s="9" t="str">
        <f>IFERROR(__xludf.DUMMYFUNCTION("""COMPUTED_VALUE"""),"Completed")</f>
        <v>Completed</v>
      </c>
    </row>
    <row r="1401">
      <c r="A1401" s="9" t="str">
        <f>IFERROR(__xludf.DUMMYFUNCTION("""COMPUTED_VALUE"""),"G-REQ-01400")</f>
        <v>G-REQ-01400</v>
      </c>
      <c r="B1401" s="11">
        <f>IFERROR(__xludf.DUMMYFUNCTION("""COMPUTED_VALUE"""),45860.95902540236)</f>
        <v>45860.95903</v>
      </c>
      <c r="C1401" s="9">
        <f>IFERROR(__xludf.DUMMYFUNCTION("""COMPUTED_VALUE"""),5739.0)</f>
        <v>5739</v>
      </c>
      <c r="D1401" s="9" t="str">
        <f>IFERROR(__xludf.DUMMYFUNCTION("""COMPUTED_VALUE"""),"Completed")</f>
        <v>Completed</v>
      </c>
    </row>
    <row r="1402">
      <c r="A1402" s="9" t="str">
        <f>IFERROR(__xludf.DUMMYFUNCTION("""COMPUTED_VALUE"""),"G-REQ-01401")</f>
        <v>G-REQ-01401</v>
      </c>
      <c r="B1402" s="11">
        <f>IFERROR(__xludf.DUMMYFUNCTION("""COMPUTED_VALUE"""),45861.03020024777)</f>
        <v>45861.0302</v>
      </c>
      <c r="C1402" s="9">
        <f>IFERROR(__xludf.DUMMYFUNCTION("""COMPUTED_VALUE"""),5743.0)</f>
        <v>5743</v>
      </c>
      <c r="D1402" s="9" t="str">
        <f>IFERROR(__xludf.DUMMYFUNCTION("""COMPUTED_VALUE"""),"Completed")</f>
        <v>Completed</v>
      </c>
    </row>
    <row r="1403">
      <c r="A1403" s="9" t="str">
        <f>IFERROR(__xludf.DUMMYFUNCTION("""COMPUTED_VALUE"""),"G-REQ-01402")</f>
        <v>G-REQ-01402</v>
      </c>
      <c r="B1403" s="11">
        <f>IFERROR(__xludf.DUMMYFUNCTION("""COMPUTED_VALUE"""),45861.10137509319)</f>
        <v>45861.10138</v>
      </c>
      <c r="C1403" s="9">
        <f>IFERROR(__xludf.DUMMYFUNCTION("""COMPUTED_VALUE"""),5747.0)</f>
        <v>5747</v>
      </c>
      <c r="D1403" s="9" t="str">
        <f>IFERROR(__xludf.DUMMYFUNCTION("""COMPUTED_VALUE"""),"Completed")</f>
        <v>Completed</v>
      </c>
    </row>
    <row r="1404">
      <c r="A1404" s="9" t="str">
        <f>IFERROR(__xludf.DUMMYFUNCTION("""COMPUTED_VALUE"""),"G-REQ-01403")</f>
        <v>G-REQ-01403</v>
      </c>
      <c r="B1404" s="11">
        <f>IFERROR(__xludf.DUMMYFUNCTION("""COMPUTED_VALUE"""),45861.16560549415)</f>
        <v>45861.16561</v>
      </c>
      <c r="C1404" s="9">
        <f>IFERROR(__xludf.DUMMYFUNCTION("""COMPUTED_VALUE"""),5749.0)</f>
        <v>5749</v>
      </c>
      <c r="D1404" s="9" t="str">
        <f>IFERROR(__xludf.DUMMYFUNCTION("""COMPUTED_VALUE"""),"Rejected")</f>
        <v>Rejected</v>
      </c>
    </row>
    <row r="1405">
      <c r="A1405" s="9" t="str">
        <f>IFERROR(__xludf.DUMMYFUNCTION("""COMPUTED_VALUE"""),"G-REQ-01404")</f>
        <v>G-REQ-01404</v>
      </c>
      <c r="B1405" s="11">
        <f>IFERROR(__xludf.DUMMYFUNCTION("""COMPUTED_VALUE"""),45861.24372478401)</f>
        <v>45861.24372</v>
      </c>
      <c r="C1405" s="9">
        <f>IFERROR(__xludf.DUMMYFUNCTION("""COMPUTED_VALUE"""),5753.0)</f>
        <v>5753</v>
      </c>
      <c r="D1405" s="9" t="str">
        <f>IFERROR(__xludf.DUMMYFUNCTION("""COMPUTED_VALUE"""),"Completed")</f>
        <v>Completed</v>
      </c>
    </row>
    <row r="1406">
      <c r="A1406" s="9" t="str">
        <f>IFERROR(__xludf.DUMMYFUNCTION("""COMPUTED_VALUE"""),"G-REQ-01405")</f>
        <v>G-REQ-01405</v>
      </c>
      <c r="B1406" s="11">
        <f>IFERROR(__xludf.DUMMYFUNCTION("""COMPUTED_VALUE"""),45861.31489962943)</f>
        <v>45861.3149</v>
      </c>
      <c r="C1406" s="9">
        <f>IFERROR(__xludf.DUMMYFUNCTION("""COMPUTED_VALUE"""),5757.0)</f>
        <v>5757</v>
      </c>
      <c r="D1406" s="9" t="str">
        <f>IFERROR(__xludf.DUMMYFUNCTION("""COMPUTED_VALUE"""),"Completed")</f>
        <v>Completed</v>
      </c>
    </row>
    <row r="1407">
      <c r="A1407" s="9" t="str">
        <f>IFERROR(__xludf.DUMMYFUNCTION("""COMPUTED_VALUE"""),"G-REQ-01406")</f>
        <v>G-REQ-01406</v>
      </c>
      <c r="B1407" s="11">
        <f>IFERROR(__xludf.DUMMYFUNCTION("""COMPUTED_VALUE"""),45861.386074474845)</f>
        <v>45861.38607</v>
      </c>
      <c r="C1407" s="9">
        <f>IFERROR(__xludf.DUMMYFUNCTION("""COMPUTED_VALUE"""),5761.0)</f>
        <v>5761</v>
      </c>
      <c r="D1407" s="9" t="str">
        <f>IFERROR(__xludf.DUMMYFUNCTION("""COMPUTED_VALUE"""),"Completed")</f>
        <v>Completed</v>
      </c>
    </row>
    <row r="1408">
      <c r="A1408" s="9" t="str">
        <f>IFERROR(__xludf.DUMMYFUNCTION("""COMPUTED_VALUE"""),"G-REQ-01407")</f>
        <v>G-REQ-01407</v>
      </c>
      <c r="B1408" s="11">
        <f>IFERROR(__xludf.DUMMYFUNCTION("""COMPUTED_VALUE"""),45861.45724932026)</f>
        <v>45861.45725</v>
      </c>
      <c r="C1408" s="9">
        <f>IFERROR(__xludf.DUMMYFUNCTION("""COMPUTED_VALUE"""),5765.0)</f>
        <v>5765</v>
      </c>
      <c r="D1408" s="9" t="str">
        <f>IFERROR(__xludf.DUMMYFUNCTION("""COMPUTED_VALUE"""),"Completed")</f>
        <v>Completed</v>
      </c>
    </row>
    <row r="1409">
      <c r="A1409" s="9" t="str">
        <f>IFERROR(__xludf.DUMMYFUNCTION("""COMPUTED_VALUE"""),"G-REQ-01408")</f>
        <v>G-REQ-01408</v>
      </c>
      <c r="B1409" s="11">
        <f>IFERROR(__xludf.DUMMYFUNCTION("""COMPUTED_VALUE"""),45861.52842416568)</f>
        <v>45861.52842</v>
      </c>
      <c r="C1409" s="9">
        <f>IFERROR(__xludf.DUMMYFUNCTION("""COMPUTED_VALUE"""),5769.0)</f>
        <v>5769</v>
      </c>
      <c r="D1409" s="9" t="str">
        <f>IFERROR(__xludf.DUMMYFUNCTION("""COMPUTED_VALUE"""),"Completed")</f>
        <v>Completed</v>
      </c>
    </row>
    <row r="1410">
      <c r="A1410" s="9" t="str">
        <f>IFERROR(__xludf.DUMMYFUNCTION("""COMPUTED_VALUE"""),"G-REQ-01409")</f>
        <v>G-REQ-01409</v>
      </c>
      <c r="B1410" s="11">
        <f>IFERROR(__xludf.DUMMYFUNCTION("""COMPUTED_VALUE"""),45861.59959901109)</f>
        <v>45861.5996</v>
      </c>
      <c r="C1410" s="9">
        <f>IFERROR(__xludf.DUMMYFUNCTION("""COMPUTED_VALUE"""),5773.0)</f>
        <v>5773</v>
      </c>
      <c r="D1410" s="9" t="str">
        <f>IFERROR(__xludf.DUMMYFUNCTION("""COMPUTED_VALUE"""),"Completed")</f>
        <v>Completed</v>
      </c>
    </row>
    <row r="1411">
      <c r="A1411" s="9" t="str">
        <f>IFERROR(__xludf.DUMMYFUNCTION("""COMPUTED_VALUE"""),"G-REQ-01410")</f>
        <v>G-REQ-01410</v>
      </c>
      <c r="B1411" s="11">
        <f>IFERROR(__xludf.DUMMYFUNCTION("""COMPUTED_VALUE"""),45861.6707738565)</f>
        <v>45861.67077</v>
      </c>
      <c r="C1411" s="9">
        <f>IFERROR(__xludf.DUMMYFUNCTION("""COMPUTED_VALUE"""),5777.0)</f>
        <v>5777</v>
      </c>
      <c r="D1411" s="9" t="str">
        <f>IFERROR(__xludf.DUMMYFUNCTION("""COMPUTED_VALUE"""),"Completed")</f>
        <v>Completed</v>
      </c>
    </row>
    <row r="1412">
      <c r="A1412" s="9" t="str">
        <f>IFERROR(__xludf.DUMMYFUNCTION("""COMPUTED_VALUE"""),"G-REQ-01411")</f>
        <v>G-REQ-01411</v>
      </c>
      <c r="B1412" s="11">
        <f>IFERROR(__xludf.DUMMYFUNCTION("""COMPUTED_VALUE"""),45861.74194870192)</f>
        <v>45861.74195</v>
      </c>
      <c r="C1412" s="9">
        <f>IFERROR(__xludf.DUMMYFUNCTION("""COMPUTED_VALUE"""),5781.0)</f>
        <v>5781</v>
      </c>
      <c r="D1412" s="9" t="str">
        <f>IFERROR(__xludf.DUMMYFUNCTION("""COMPUTED_VALUE"""),"Completed")</f>
        <v>Completed</v>
      </c>
    </row>
    <row r="1413">
      <c r="A1413" s="9" t="str">
        <f>IFERROR(__xludf.DUMMYFUNCTION("""COMPUTED_VALUE"""),"G-REQ-01412")</f>
        <v>G-REQ-01412</v>
      </c>
      <c r="B1413" s="11">
        <f>IFERROR(__xludf.DUMMYFUNCTION("""COMPUTED_VALUE"""),45861.81312354734)</f>
        <v>45861.81312</v>
      </c>
      <c r="C1413" s="9">
        <f>IFERROR(__xludf.DUMMYFUNCTION("""COMPUTED_VALUE"""),5785.0)</f>
        <v>5785</v>
      </c>
      <c r="D1413" s="9" t="str">
        <f>IFERROR(__xludf.DUMMYFUNCTION("""COMPUTED_VALUE"""),"Completed")</f>
        <v>Completed</v>
      </c>
    </row>
    <row r="1414">
      <c r="A1414" s="9" t="str">
        <f>IFERROR(__xludf.DUMMYFUNCTION("""COMPUTED_VALUE"""),"G-REQ-01413")</f>
        <v>G-REQ-01413</v>
      </c>
      <c r="B1414" s="11">
        <f>IFERROR(__xludf.DUMMYFUNCTION("""COMPUTED_VALUE"""),45861.884298392746)</f>
        <v>45861.8843</v>
      </c>
      <c r="C1414" s="9">
        <f>IFERROR(__xludf.DUMMYFUNCTION("""COMPUTED_VALUE"""),5789.0)</f>
        <v>5789</v>
      </c>
      <c r="D1414" s="9" t="str">
        <f>IFERROR(__xludf.DUMMYFUNCTION("""COMPUTED_VALUE"""),"Completed")</f>
        <v>Completed</v>
      </c>
    </row>
    <row r="1415">
      <c r="A1415" s="9" t="str">
        <f>IFERROR(__xludf.DUMMYFUNCTION("""COMPUTED_VALUE"""),"G-REQ-01414")</f>
        <v>G-REQ-01414</v>
      </c>
      <c r="B1415" s="11">
        <f>IFERROR(__xludf.DUMMYFUNCTION("""COMPUTED_VALUE"""),45861.955473238166)</f>
        <v>45861.95547</v>
      </c>
      <c r="C1415" s="9">
        <f>IFERROR(__xludf.DUMMYFUNCTION("""COMPUTED_VALUE"""),5793.0)</f>
        <v>5793</v>
      </c>
      <c r="D1415" s="9" t="str">
        <f>IFERROR(__xludf.DUMMYFUNCTION("""COMPUTED_VALUE"""),"Completed")</f>
        <v>Completed</v>
      </c>
    </row>
    <row r="1416">
      <c r="A1416" s="9" t="str">
        <f>IFERROR(__xludf.DUMMYFUNCTION("""COMPUTED_VALUE"""),"G-REQ-01415")</f>
        <v>G-REQ-01415</v>
      </c>
      <c r="B1416" s="11">
        <f>IFERROR(__xludf.DUMMYFUNCTION("""COMPUTED_VALUE"""),45862.026648083585)</f>
        <v>45862.02665</v>
      </c>
      <c r="C1416" s="9">
        <f>IFERROR(__xludf.DUMMYFUNCTION("""COMPUTED_VALUE"""),5797.0)</f>
        <v>5797</v>
      </c>
      <c r="D1416" s="9" t="str">
        <f>IFERROR(__xludf.DUMMYFUNCTION("""COMPUTED_VALUE"""),"Completed")</f>
        <v>Completed</v>
      </c>
    </row>
    <row r="1417">
      <c r="A1417" s="9" t="str">
        <f>IFERROR(__xludf.DUMMYFUNCTION("""COMPUTED_VALUE"""),"G-REQ-01416")</f>
        <v>G-REQ-01416</v>
      </c>
      <c r="B1417" s="11">
        <f>IFERROR(__xludf.DUMMYFUNCTION("""COMPUTED_VALUE"""),45862.097822929)</f>
        <v>45862.09782</v>
      </c>
      <c r="C1417" s="9">
        <f>IFERROR(__xludf.DUMMYFUNCTION("""COMPUTED_VALUE"""),5801.0)</f>
        <v>5801</v>
      </c>
      <c r="D1417" s="9" t="str">
        <f>IFERROR(__xludf.DUMMYFUNCTION("""COMPUTED_VALUE"""),"Completed")</f>
        <v>Completed</v>
      </c>
    </row>
    <row r="1418">
      <c r="A1418" s="9" t="str">
        <f>IFERROR(__xludf.DUMMYFUNCTION("""COMPUTED_VALUE"""),"G-REQ-01417")</f>
        <v>G-REQ-01417</v>
      </c>
      <c r="B1418" s="11">
        <f>IFERROR(__xludf.DUMMYFUNCTION("""COMPUTED_VALUE"""),45862.16899777441)</f>
        <v>45862.169</v>
      </c>
      <c r="C1418" s="9">
        <f>IFERROR(__xludf.DUMMYFUNCTION("""COMPUTED_VALUE"""),5805.0)</f>
        <v>5805</v>
      </c>
      <c r="D1418" s="9" t="str">
        <f>IFERROR(__xludf.DUMMYFUNCTION("""COMPUTED_VALUE"""),"Completed")</f>
        <v>Completed</v>
      </c>
    </row>
    <row r="1419">
      <c r="A1419" s="9" t="str">
        <f>IFERROR(__xludf.DUMMYFUNCTION("""COMPUTED_VALUE"""),"G-REQ-01418")</f>
        <v>G-REQ-01418</v>
      </c>
      <c r="B1419" s="11">
        <f>IFERROR(__xludf.DUMMYFUNCTION("""COMPUTED_VALUE"""),45862.24017261983)</f>
        <v>45862.24017</v>
      </c>
      <c r="C1419" s="9">
        <f>IFERROR(__xludf.DUMMYFUNCTION("""COMPUTED_VALUE"""),5809.0)</f>
        <v>5809</v>
      </c>
      <c r="D1419" s="9" t="str">
        <f>IFERROR(__xludf.DUMMYFUNCTION("""COMPUTED_VALUE"""),"Completed")</f>
        <v>Completed</v>
      </c>
    </row>
    <row r="1420">
      <c r="A1420" s="9" t="str">
        <f>IFERROR(__xludf.DUMMYFUNCTION("""COMPUTED_VALUE"""),"G-REQ-01419")</f>
        <v>G-REQ-01419</v>
      </c>
      <c r="B1420" s="11">
        <f>IFERROR(__xludf.DUMMYFUNCTION("""COMPUTED_VALUE"""),45862.31134746524)</f>
        <v>45862.31135</v>
      </c>
      <c r="C1420" s="9">
        <f>IFERROR(__xludf.DUMMYFUNCTION("""COMPUTED_VALUE"""),5813.0)</f>
        <v>5813</v>
      </c>
      <c r="D1420" s="9" t="str">
        <f>IFERROR(__xludf.DUMMYFUNCTION("""COMPUTED_VALUE"""),"Completed")</f>
        <v>Completed</v>
      </c>
    </row>
    <row r="1421">
      <c r="A1421" s="9" t="str">
        <f>IFERROR(__xludf.DUMMYFUNCTION("""COMPUTED_VALUE"""),"G-REQ-01420")</f>
        <v>G-REQ-01420</v>
      </c>
      <c r="B1421" s="11">
        <f>IFERROR(__xludf.DUMMYFUNCTION("""COMPUTED_VALUE"""),45862.382522310654)</f>
        <v>45862.38252</v>
      </c>
      <c r="C1421" s="9">
        <f>IFERROR(__xludf.DUMMYFUNCTION("""COMPUTED_VALUE"""),5817.0)</f>
        <v>5817</v>
      </c>
      <c r="D1421" s="9" t="str">
        <f>IFERROR(__xludf.DUMMYFUNCTION("""COMPUTED_VALUE"""),"Completed")</f>
        <v>Completed</v>
      </c>
    </row>
    <row r="1422">
      <c r="A1422" s="9" t="str">
        <f>IFERROR(__xludf.DUMMYFUNCTION("""COMPUTED_VALUE"""),"G-REQ-01421")</f>
        <v>G-REQ-01421</v>
      </c>
      <c r="B1422" s="11">
        <f>IFERROR(__xludf.DUMMYFUNCTION("""COMPUTED_VALUE"""),45862.453697156074)</f>
        <v>45862.4537</v>
      </c>
      <c r="C1422" s="9">
        <f>IFERROR(__xludf.DUMMYFUNCTION("""COMPUTED_VALUE"""),5821.0)</f>
        <v>5821</v>
      </c>
      <c r="D1422" s="9" t="str">
        <f>IFERROR(__xludf.DUMMYFUNCTION("""COMPUTED_VALUE"""),"Completed")</f>
        <v>Completed</v>
      </c>
    </row>
    <row r="1423">
      <c r="A1423" s="9" t="str">
        <f>IFERROR(__xludf.DUMMYFUNCTION("""COMPUTED_VALUE"""),"G-REQ-01422")</f>
        <v>G-REQ-01422</v>
      </c>
      <c r="B1423" s="11">
        <f>IFERROR(__xludf.DUMMYFUNCTION("""COMPUTED_VALUE"""),45862.524872001486)</f>
        <v>45862.52487</v>
      </c>
      <c r="C1423" s="9">
        <f>IFERROR(__xludf.DUMMYFUNCTION("""COMPUTED_VALUE"""),5825.0)</f>
        <v>5825</v>
      </c>
      <c r="D1423" s="9" t="str">
        <f>IFERROR(__xludf.DUMMYFUNCTION("""COMPUTED_VALUE"""),"Completed")</f>
        <v>Completed</v>
      </c>
    </row>
    <row r="1424">
      <c r="A1424" s="9" t="str">
        <f>IFERROR(__xludf.DUMMYFUNCTION("""COMPUTED_VALUE"""),"G-REQ-01423")</f>
        <v>G-REQ-01423</v>
      </c>
      <c r="B1424" s="11">
        <f>IFERROR(__xludf.DUMMYFUNCTION("""COMPUTED_VALUE"""),45862.58910240245)</f>
        <v>45862.5891</v>
      </c>
      <c r="C1424" s="9">
        <f>IFERROR(__xludf.DUMMYFUNCTION("""COMPUTED_VALUE"""),5827.0)</f>
        <v>5827</v>
      </c>
      <c r="D1424" s="9" t="str">
        <f>IFERROR(__xludf.DUMMYFUNCTION("""COMPUTED_VALUE"""),"Cancelled")</f>
        <v>Cancelled</v>
      </c>
    </row>
    <row r="1425">
      <c r="A1425" s="9" t="str">
        <f>IFERROR(__xludf.DUMMYFUNCTION("""COMPUTED_VALUE"""),"G-REQ-01424")</f>
        <v>G-REQ-01424</v>
      </c>
      <c r="B1425" s="11">
        <f>IFERROR(__xludf.DUMMYFUNCTION("""COMPUTED_VALUE"""),45862.66722169232)</f>
        <v>45862.66722</v>
      </c>
      <c r="C1425" s="9">
        <f>IFERROR(__xludf.DUMMYFUNCTION("""COMPUTED_VALUE"""),5831.0)</f>
        <v>5831</v>
      </c>
      <c r="D1425" s="9" t="str">
        <f>IFERROR(__xludf.DUMMYFUNCTION("""COMPUTED_VALUE"""),"Completed")</f>
        <v>Completed</v>
      </c>
    </row>
    <row r="1426">
      <c r="A1426" s="9" t="str">
        <f>IFERROR(__xludf.DUMMYFUNCTION("""COMPUTED_VALUE"""),"G-REQ-01425")</f>
        <v>G-REQ-01425</v>
      </c>
      <c r="B1426" s="11">
        <f>IFERROR(__xludf.DUMMYFUNCTION("""COMPUTED_VALUE"""),45862.73839653773)</f>
        <v>45862.7384</v>
      </c>
      <c r="C1426" s="9">
        <f>IFERROR(__xludf.DUMMYFUNCTION("""COMPUTED_VALUE"""),5835.0)</f>
        <v>5835</v>
      </c>
      <c r="D1426" s="9" t="str">
        <f>IFERROR(__xludf.DUMMYFUNCTION("""COMPUTED_VALUE"""),"Completed")</f>
        <v>Completed</v>
      </c>
    </row>
    <row r="1427">
      <c r="A1427" s="9" t="str">
        <f>IFERROR(__xludf.DUMMYFUNCTION("""COMPUTED_VALUE"""),"G-REQ-01426")</f>
        <v>G-REQ-01426</v>
      </c>
      <c r="B1427" s="11">
        <f>IFERROR(__xludf.DUMMYFUNCTION("""COMPUTED_VALUE"""),45862.80957138314)</f>
        <v>45862.80957</v>
      </c>
      <c r="C1427" s="9">
        <f>IFERROR(__xludf.DUMMYFUNCTION("""COMPUTED_VALUE"""),5839.0)</f>
        <v>5839</v>
      </c>
      <c r="D1427" s="9" t="str">
        <f>IFERROR(__xludf.DUMMYFUNCTION("""COMPUTED_VALUE"""),"Completed")</f>
        <v>Completed</v>
      </c>
    </row>
    <row r="1428">
      <c r="A1428" s="9" t="str">
        <f>IFERROR(__xludf.DUMMYFUNCTION("""COMPUTED_VALUE"""),"G-REQ-01427")</f>
        <v>G-REQ-01427</v>
      </c>
      <c r="B1428" s="11">
        <f>IFERROR(__xludf.DUMMYFUNCTION("""COMPUTED_VALUE"""),45862.88074622856)</f>
        <v>45862.88075</v>
      </c>
      <c r="C1428" s="9">
        <f>IFERROR(__xludf.DUMMYFUNCTION("""COMPUTED_VALUE"""),5843.0)</f>
        <v>5843</v>
      </c>
      <c r="D1428" s="9" t="str">
        <f>IFERROR(__xludf.DUMMYFUNCTION("""COMPUTED_VALUE"""),"Completed")</f>
        <v>Completed</v>
      </c>
    </row>
    <row r="1429">
      <c r="A1429" s="9" t="str">
        <f>IFERROR(__xludf.DUMMYFUNCTION("""COMPUTED_VALUE"""),"G-REQ-01428")</f>
        <v>G-REQ-01428</v>
      </c>
      <c r="B1429" s="11">
        <f>IFERROR(__xludf.DUMMYFUNCTION("""COMPUTED_VALUE"""),45862.95192107398)</f>
        <v>45862.95192</v>
      </c>
      <c r="C1429" s="9">
        <f>IFERROR(__xludf.DUMMYFUNCTION("""COMPUTED_VALUE"""),5847.0)</f>
        <v>5847</v>
      </c>
      <c r="D1429" s="9" t="str">
        <f>IFERROR(__xludf.DUMMYFUNCTION("""COMPUTED_VALUE"""),"Completed")</f>
        <v>Completed</v>
      </c>
    </row>
    <row r="1430">
      <c r="A1430" s="9" t="str">
        <f>IFERROR(__xludf.DUMMYFUNCTION("""COMPUTED_VALUE"""),"G-REQ-01429")</f>
        <v>G-REQ-01429</v>
      </c>
      <c r="B1430" s="11">
        <f>IFERROR(__xludf.DUMMYFUNCTION("""COMPUTED_VALUE"""),45863.02309591939)</f>
        <v>45863.0231</v>
      </c>
      <c r="C1430" s="9">
        <f>IFERROR(__xludf.DUMMYFUNCTION("""COMPUTED_VALUE"""),5851.0)</f>
        <v>5851</v>
      </c>
      <c r="D1430" s="9" t="str">
        <f>IFERROR(__xludf.DUMMYFUNCTION("""COMPUTED_VALUE"""),"Completed")</f>
        <v>Completed</v>
      </c>
    </row>
    <row r="1431">
      <c r="A1431" s="9" t="str">
        <f>IFERROR(__xludf.DUMMYFUNCTION("""COMPUTED_VALUE"""),"G-REQ-01430")</f>
        <v>G-REQ-01430</v>
      </c>
      <c r="B1431" s="11">
        <f>IFERROR(__xludf.DUMMYFUNCTION("""COMPUTED_VALUE"""),45863.09427076481)</f>
        <v>45863.09427</v>
      </c>
      <c r="C1431" s="9">
        <f>IFERROR(__xludf.DUMMYFUNCTION("""COMPUTED_VALUE"""),5855.0)</f>
        <v>5855</v>
      </c>
      <c r="D1431" s="9" t="str">
        <f>IFERROR(__xludf.DUMMYFUNCTION("""COMPUTED_VALUE"""),"Completed")</f>
        <v>Completed</v>
      </c>
    </row>
    <row r="1432">
      <c r="A1432" s="9" t="str">
        <f>IFERROR(__xludf.DUMMYFUNCTION("""COMPUTED_VALUE"""),"G-REQ-01431")</f>
        <v>G-REQ-01431</v>
      </c>
      <c r="B1432" s="11">
        <f>IFERROR(__xludf.DUMMYFUNCTION("""COMPUTED_VALUE"""),45863.165445610226)</f>
        <v>45863.16545</v>
      </c>
      <c r="C1432" s="9">
        <f>IFERROR(__xludf.DUMMYFUNCTION("""COMPUTED_VALUE"""),5859.0)</f>
        <v>5859</v>
      </c>
      <c r="D1432" s="9" t="str">
        <f>IFERROR(__xludf.DUMMYFUNCTION("""COMPUTED_VALUE"""),"Completed")</f>
        <v>Completed</v>
      </c>
    </row>
    <row r="1433">
      <c r="A1433" s="9" t="str">
        <f>IFERROR(__xludf.DUMMYFUNCTION("""COMPUTED_VALUE"""),"G-REQ-01432")</f>
        <v>G-REQ-01432</v>
      </c>
      <c r="B1433" s="11">
        <f>IFERROR(__xludf.DUMMYFUNCTION("""COMPUTED_VALUE"""),45863.23662045564)</f>
        <v>45863.23662</v>
      </c>
      <c r="C1433" s="9">
        <f>IFERROR(__xludf.DUMMYFUNCTION("""COMPUTED_VALUE"""),5863.0)</f>
        <v>5863</v>
      </c>
      <c r="D1433" s="9" t="str">
        <f>IFERROR(__xludf.DUMMYFUNCTION("""COMPUTED_VALUE"""),"Completed")</f>
        <v>Completed</v>
      </c>
    </row>
    <row r="1434">
      <c r="A1434" s="9" t="str">
        <f>IFERROR(__xludf.DUMMYFUNCTION("""COMPUTED_VALUE"""),"G-REQ-01433")</f>
        <v>G-REQ-01433</v>
      </c>
      <c r="B1434" s="11">
        <f>IFERROR(__xludf.DUMMYFUNCTION("""COMPUTED_VALUE"""),45863.30779530105)</f>
        <v>45863.3078</v>
      </c>
      <c r="C1434" s="9">
        <f>IFERROR(__xludf.DUMMYFUNCTION("""COMPUTED_VALUE"""),5867.0)</f>
        <v>5867</v>
      </c>
      <c r="D1434" s="9" t="str">
        <f>IFERROR(__xludf.DUMMYFUNCTION("""COMPUTED_VALUE"""),"Completed")</f>
        <v>Completed</v>
      </c>
    </row>
    <row r="1435">
      <c r="A1435" s="9" t="str">
        <f>IFERROR(__xludf.DUMMYFUNCTION("""COMPUTED_VALUE"""),"G-REQ-01434")</f>
        <v>G-REQ-01434</v>
      </c>
      <c r="B1435" s="11">
        <f>IFERROR(__xludf.DUMMYFUNCTION("""COMPUTED_VALUE"""),45863.37897014647)</f>
        <v>45863.37897</v>
      </c>
      <c r="C1435" s="9">
        <f>IFERROR(__xludf.DUMMYFUNCTION("""COMPUTED_VALUE"""),5871.0)</f>
        <v>5871</v>
      </c>
      <c r="D1435" s="9" t="str">
        <f>IFERROR(__xludf.DUMMYFUNCTION("""COMPUTED_VALUE"""),"Completed")</f>
        <v>Completed</v>
      </c>
    </row>
    <row r="1436">
      <c r="A1436" s="9" t="str">
        <f>IFERROR(__xludf.DUMMYFUNCTION("""COMPUTED_VALUE"""),"G-REQ-01435")</f>
        <v>G-REQ-01435</v>
      </c>
      <c r="B1436" s="11">
        <f>IFERROR(__xludf.DUMMYFUNCTION("""COMPUTED_VALUE"""),45863.45014499188)</f>
        <v>45863.45014</v>
      </c>
      <c r="C1436" s="9">
        <f>IFERROR(__xludf.DUMMYFUNCTION("""COMPUTED_VALUE"""),5875.0)</f>
        <v>5875</v>
      </c>
      <c r="D1436" s="9" t="str">
        <f>IFERROR(__xludf.DUMMYFUNCTION("""COMPUTED_VALUE"""),"Completed")</f>
        <v>Completed</v>
      </c>
    </row>
    <row r="1437">
      <c r="A1437" s="9" t="str">
        <f>IFERROR(__xludf.DUMMYFUNCTION("""COMPUTED_VALUE"""),"G-REQ-01436")</f>
        <v>G-REQ-01436</v>
      </c>
      <c r="B1437" s="11">
        <f>IFERROR(__xludf.DUMMYFUNCTION("""COMPUTED_VALUE"""),45863.521319837295)</f>
        <v>45863.52132</v>
      </c>
      <c r="C1437" s="9">
        <f>IFERROR(__xludf.DUMMYFUNCTION("""COMPUTED_VALUE"""),5879.0)</f>
        <v>5879</v>
      </c>
      <c r="D1437" s="9" t="str">
        <f>IFERROR(__xludf.DUMMYFUNCTION("""COMPUTED_VALUE"""),"Completed")</f>
        <v>Completed</v>
      </c>
    </row>
    <row r="1438">
      <c r="A1438" s="9" t="str">
        <f>IFERROR(__xludf.DUMMYFUNCTION("""COMPUTED_VALUE"""),"G-REQ-01437")</f>
        <v>G-REQ-01437</v>
      </c>
      <c r="B1438" s="11">
        <f>IFERROR(__xludf.DUMMYFUNCTION("""COMPUTED_VALUE"""),45863.592494682714)</f>
        <v>45863.59249</v>
      </c>
      <c r="C1438" s="9">
        <f>IFERROR(__xludf.DUMMYFUNCTION("""COMPUTED_VALUE"""),5883.0)</f>
        <v>5883</v>
      </c>
      <c r="D1438" s="9" t="str">
        <f>IFERROR(__xludf.DUMMYFUNCTION("""COMPUTED_VALUE"""),"Completed")</f>
        <v>Completed</v>
      </c>
    </row>
    <row r="1439">
      <c r="A1439" s="9" t="str">
        <f>IFERROR(__xludf.DUMMYFUNCTION("""COMPUTED_VALUE"""),"G-REQ-01438")</f>
        <v>G-REQ-01438</v>
      </c>
      <c r="B1439" s="11">
        <f>IFERROR(__xludf.DUMMYFUNCTION("""COMPUTED_VALUE"""),45863.66366952813)</f>
        <v>45863.66367</v>
      </c>
      <c r="C1439" s="9">
        <f>IFERROR(__xludf.DUMMYFUNCTION("""COMPUTED_VALUE"""),5887.0)</f>
        <v>5887</v>
      </c>
      <c r="D1439" s="9" t="str">
        <f>IFERROR(__xludf.DUMMYFUNCTION("""COMPUTED_VALUE"""),"Completed")</f>
        <v>Completed</v>
      </c>
    </row>
    <row r="1440">
      <c r="A1440" s="9" t="str">
        <f>IFERROR(__xludf.DUMMYFUNCTION("""COMPUTED_VALUE"""),"G-REQ-01439")</f>
        <v>G-REQ-01439</v>
      </c>
      <c r="B1440" s="11">
        <f>IFERROR(__xludf.DUMMYFUNCTION("""COMPUTED_VALUE"""),45863.73484437354)</f>
        <v>45863.73484</v>
      </c>
      <c r="C1440" s="9">
        <f>IFERROR(__xludf.DUMMYFUNCTION("""COMPUTED_VALUE"""),5891.0)</f>
        <v>5891</v>
      </c>
      <c r="D1440" s="9" t="str">
        <f>IFERROR(__xludf.DUMMYFUNCTION("""COMPUTED_VALUE"""),"Completed")</f>
        <v>Completed</v>
      </c>
    </row>
    <row r="1441">
      <c r="A1441" s="9" t="str">
        <f>IFERROR(__xludf.DUMMYFUNCTION("""COMPUTED_VALUE"""),"G-REQ-01440")</f>
        <v>G-REQ-01440</v>
      </c>
      <c r="B1441" s="11">
        <f>IFERROR(__xludf.DUMMYFUNCTION("""COMPUTED_VALUE"""),45863.80601921896)</f>
        <v>45863.80602</v>
      </c>
      <c r="C1441" s="9">
        <f>IFERROR(__xludf.DUMMYFUNCTION("""COMPUTED_VALUE"""),5895.0)</f>
        <v>5895</v>
      </c>
      <c r="D1441" s="9" t="str">
        <f>IFERROR(__xludf.DUMMYFUNCTION("""COMPUTED_VALUE"""),"Completed")</f>
        <v>Completed</v>
      </c>
    </row>
    <row r="1442">
      <c r="A1442" s="9" t="str">
        <f>IFERROR(__xludf.DUMMYFUNCTION("""COMPUTED_VALUE"""),"G-REQ-01441")</f>
        <v>G-REQ-01441</v>
      </c>
      <c r="B1442" s="11">
        <f>IFERROR(__xludf.DUMMYFUNCTION("""COMPUTED_VALUE"""),45863.87719406437)</f>
        <v>45863.87719</v>
      </c>
      <c r="C1442" s="9">
        <f>IFERROR(__xludf.DUMMYFUNCTION("""COMPUTED_VALUE"""),5899.0)</f>
        <v>5899</v>
      </c>
      <c r="D1442" s="9" t="str">
        <f>IFERROR(__xludf.DUMMYFUNCTION("""COMPUTED_VALUE"""),"Completed")</f>
        <v>Completed</v>
      </c>
    </row>
    <row r="1443">
      <c r="A1443" s="9" t="str">
        <f>IFERROR(__xludf.DUMMYFUNCTION("""COMPUTED_VALUE"""),"G-REQ-01442")</f>
        <v>G-REQ-01442</v>
      </c>
      <c r="B1443" s="11">
        <f>IFERROR(__xludf.DUMMYFUNCTION("""COMPUTED_VALUE"""),45863.94836890978)</f>
        <v>45863.94837</v>
      </c>
      <c r="C1443" s="9">
        <f>IFERROR(__xludf.DUMMYFUNCTION("""COMPUTED_VALUE"""),5903.0)</f>
        <v>5903</v>
      </c>
      <c r="D1443" s="9" t="str">
        <f>IFERROR(__xludf.DUMMYFUNCTION("""COMPUTED_VALUE"""),"Completed")</f>
        <v>Completed</v>
      </c>
    </row>
    <row r="1444">
      <c r="A1444" s="9" t="str">
        <f>IFERROR(__xludf.DUMMYFUNCTION("""COMPUTED_VALUE"""),"G-REQ-01443")</f>
        <v>G-REQ-01443</v>
      </c>
      <c r="B1444" s="11">
        <f>IFERROR(__xludf.DUMMYFUNCTION("""COMPUTED_VALUE"""),45864.0195437552)</f>
        <v>45864.01954</v>
      </c>
      <c r="C1444" s="9">
        <f>IFERROR(__xludf.DUMMYFUNCTION("""COMPUTED_VALUE"""),5907.0)</f>
        <v>5907</v>
      </c>
      <c r="D1444" s="9" t="str">
        <f>IFERROR(__xludf.DUMMYFUNCTION("""COMPUTED_VALUE"""),"Completed")</f>
        <v>Completed</v>
      </c>
    </row>
    <row r="1445">
      <c r="A1445" s="9" t="str">
        <f>IFERROR(__xludf.DUMMYFUNCTION("""COMPUTED_VALUE"""),"G-REQ-01444")</f>
        <v>G-REQ-01444</v>
      </c>
      <c r="B1445" s="11">
        <f>IFERROR(__xludf.DUMMYFUNCTION("""COMPUTED_VALUE"""),45864.08377415618)</f>
        <v>45864.08377</v>
      </c>
      <c r="C1445" s="9">
        <f>IFERROR(__xludf.DUMMYFUNCTION("""COMPUTED_VALUE"""),5909.0)</f>
        <v>5909</v>
      </c>
      <c r="D1445" s="9" t="str">
        <f>IFERROR(__xludf.DUMMYFUNCTION("""COMPUTED_VALUE"""),"Rejected")</f>
        <v>Rejected</v>
      </c>
    </row>
    <row r="1446">
      <c r="A1446" s="9" t="str">
        <f>IFERROR(__xludf.DUMMYFUNCTION("""COMPUTED_VALUE"""),"G-REQ-01445")</f>
        <v>G-REQ-01445</v>
      </c>
      <c r="B1446" s="11">
        <f>IFERROR(__xludf.DUMMYFUNCTION("""COMPUTED_VALUE"""),45864.16189344603)</f>
        <v>45864.16189</v>
      </c>
      <c r="C1446" s="9">
        <f>IFERROR(__xludf.DUMMYFUNCTION("""COMPUTED_VALUE"""),5913.0)</f>
        <v>5913</v>
      </c>
      <c r="D1446" s="9" t="str">
        <f>IFERROR(__xludf.DUMMYFUNCTION("""COMPUTED_VALUE"""),"Completed")</f>
        <v>Completed</v>
      </c>
    </row>
    <row r="1447">
      <c r="A1447" s="9" t="str">
        <f>IFERROR(__xludf.DUMMYFUNCTION("""COMPUTED_VALUE"""),"G-REQ-01446")</f>
        <v>G-REQ-01446</v>
      </c>
      <c r="B1447" s="11">
        <f>IFERROR(__xludf.DUMMYFUNCTION("""COMPUTED_VALUE"""),45864.23306829145)</f>
        <v>45864.23307</v>
      </c>
      <c r="C1447" s="9">
        <f>IFERROR(__xludf.DUMMYFUNCTION("""COMPUTED_VALUE"""),5917.0)</f>
        <v>5917</v>
      </c>
      <c r="D1447" s="9" t="str">
        <f>IFERROR(__xludf.DUMMYFUNCTION("""COMPUTED_VALUE"""),"Completed")</f>
        <v>Completed</v>
      </c>
    </row>
    <row r="1448">
      <c r="A1448" s="9" t="str">
        <f>IFERROR(__xludf.DUMMYFUNCTION("""COMPUTED_VALUE"""),"G-REQ-01447")</f>
        <v>G-REQ-01447</v>
      </c>
      <c r="B1448" s="11">
        <f>IFERROR(__xludf.DUMMYFUNCTION("""COMPUTED_VALUE"""),45864.30424313687)</f>
        <v>45864.30424</v>
      </c>
      <c r="C1448" s="9">
        <f>IFERROR(__xludf.DUMMYFUNCTION("""COMPUTED_VALUE"""),5921.0)</f>
        <v>5921</v>
      </c>
      <c r="D1448" s="9" t="str">
        <f>IFERROR(__xludf.DUMMYFUNCTION("""COMPUTED_VALUE"""),"Completed")</f>
        <v>Completed</v>
      </c>
    </row>
    <row r="1449">
      <c r="A1449" s="9" t="str">
        <f>IFERROR(__xludf.DUMMYFUNCTION("""COMPUTED_VALUE"""),"G-REQ-01448")</f>
        <v>G-REQ-01448</v>
      </c>
      <c r="B1449" s="11">
        <f>IFERROR(__xludf.DUMMYFUNCTION("""COMPUTED_VALUE"""),45864.37541798228)</f>
        <v>45864.37542</v>
      </c>
      <c r="C1449" s="9">
        <f>IFERROR(__xludf.DUMMYFUNCTION("""COMPUTED_VALUE"""),5925.0)</f>
        <v>5925</v>
      </c>
      <c r="D1449" s="9" t="str">
        <f>IFERROR(__xludf.DUMMYFUNCTION("""COMPUTED_VALUE"""),"Completed")</f>
        <v>Completed</v>
      </c>
    </row>
    <row r="1450">
      <c r="A1450" s="9" t="str">
        <f>IFERROR(__xludf.DUMMYFUNCTION("""COMPUTED_VALUE"""),"G-REQ-01449")</f>
        <v>G-REQ-01449</v>
      </c>
      <c r="B1450" s="11">
        <f>IFERROR(__xludf.DUMMYFUNCTION("""COMPUTED_VALUE"""),45864.44659282769)</f>
        <v>45864.44659</v>
      </c>
      <c r="C1450" s="9">
        <f>IFERROR(__xludf.DUMMYFUNCTION("""COMPUTED_VALUE"""),5929.0)</f>
        <v>5929</v>
      </c>
      <c r="D1450" s="9" t="str">
        <f>IFERROR(__xludf.DUMMYFUNCTION("""COMPUTED_VALUE"""),"Completed")</f>
        <v>Completed</v>
      </c>
    </row>
    <row r="1451">
      <c r="A1451" s="9" t="str">
        <f>IFERROR(__xludf.DUMMYFUNCTION("""COMPUTED_VALUE"""),"G-REQ-01450")</f>
        <v>G-REQ-01450</v>
      </c>
      <c r="B1451" s="11">
        <f>IFERROR(__xludf.DUMMYFUNCTION("""COMPUTED_VALUE"""),45864.510823228666)</f>
        <v>45864.51082</v>
      </c>
      <c r="C1451" s="9">
        <f>IFERROR(__xludf.DUMMYFUNCTION("""COMPUTED_VALUE"""),5931.0)</f>
        <v>5931</v>
      </c>
      <c r="D1451" s="9" t="str">
        <f>IFERROR(__xludf.DUMMYFUNCTION("""COMPUTED_VALUE"""),"Rejected")</f>
        <v>Rejected</v>
      </c>
    </row>
    <row r="1452">
      <c r="A1452" s="9" t="str">
        <f>IFERROR(__xludf.DUMMYFUNCTION("""COMPUTED_VALUE"""),"G-REQ-01451")</f>
        <v>G-REQ-01451</v>
      </c>
      <c r="B1452" s="11">
        <f>IFERROR(__xludf.DUMMYFUNCTION("""COMPUTED_VALUE"""),45864.58199807408)</f>
        <v>45864.582</v>
      </c>
      <c r="C1452" s="9">
        <f>IFERROR(__xludf.DUMMYFUNCTION("""COMPUTED_VALUE"""),5933.0)</f>
        <v>5933</v>
      </c>
      <c r="D1452" s="9" t="str">
        <f>IFERROR(__xludf.DUMMYFUNCTION("""COMPUTED_VALUE"""),"Cancelled")</f>
        <v>Cancelled</v>
      </c>
    </row>
    <row r="1453">
      <c r="A1453" s="9" t="str">
        <f>IFERROR(__xludf.DUMMYFUNCTION("""COMPUTED_VALUE"""),"G-REQ-01452")</f>
        <v>G-REQ-01452</v>
      </c>
      <c r="B1453" s="11">
        <f>IFERROR(__xludf.DUMMYFUNCTION("""COMPUTED_VALUE"""),45864.660117363936)</f>
        <v>45864.66012</v>
      </c>
      <c r="C1453" s="9">
        <f>IFERROR(__xludf.DUMMYFUNCTION("""COMPUTED_VALUE"""),5937.0)</f>
        <v>5937</v>
      </c>
      <c r="D1453" s="9" t="str">
        <f>IFERROR(__xludf.DUMMYFUNCTION("""COMPUTED_VALUE"""),"Completed")</f>
        <v>Completed</v>
      </c>
    </row>
    <row r="1454">
      <c r="A1454" s="9" t="str">
        <f>IFERROR(__xludf.DUMMYFUNCTION("""COMPUTED_VALUE"""),"G-REQ-01453")</f>
        <v>G-REQ-01453</v>
      </c>
      <c r="B1454" s="11">
        <f>IFERROR(__xludf.DUMMYFUNCTION("""COMPUTED_VALUE"""),45864.731292209355)</f>
        <v>45864.73129</v>
      </c>
      <c r="C1454" s="9">
        <f>IFERROR(__xludf.DUMMYFUNCTION("""COMPUTED_VALUE"""),5941.0)</f>
        <v>5941</v>
      </c>
      <c r="D1454" s="9" t="str">
        <f>IFERROR(__xludf.DUMMYFUNCTION("""COMPUTED_VALUE"""),"Completed")</f>
        <v>Completed</v>
      </c>
    </row>
    <row r="1455">
      <c r="A1455" s="9" t="str">
        <f>IFERROR(__xludf.DUMMYFUNCTION("""COMPUTED_VALUE"""),"G-REQ-01454")</f>
        <v>G-REQ-01454</v>
      </c>
      <c r="B1455" s="11">
        <f>IFERROR(__xludf.DUMMYFUNCTION("""COMPUTED_VALUE"""),45864.80246705477)</f>
        <v>45864.80247</v>
      </c>
      <c r="C1455" s="9">
        <f>IFERROR(__xludf.DUMMYFUNCTION("""COMPUTED_VALUE"""),5945.0)</f>
        <v>5945</v>
      </c>
      <c r="D1455" s="9" t="str">
        <f>IFERROR(__xludf.DUMMYFUNCTION("""COMPUTED_VALUE"""),"Completed")</f>
        <v>Completed</v>
      </c>
    </row>
    <row r="1456">
      <c r="A1456" s="9" t="str">
        <f>IFERROR(__xludf.DUMMYFUNCTION("""COMPUTED_VALUE"""),"G-REQ-01455")</f>
        <v>G-REQ-01455</v>
      </c>
      <c r="B1456" s="11">
        <f>IFERROR(__xludf.DUMMYFUNCTION("""COMPUTED_VALUE"""),45864.87364190018)</f>
        <v>45864.87364</v>
      </c>
      <c r="C1456" s="9">
        <f>IFERROR(__xludf.DUMMYFUNCTION("""COMPUTED_VALUE"""),5949.0)</f>
        <v>5949</v>
      </c>
      <c r="D1456" s="9" t="str">
        <f>IFERROR(__xludf.DUMMYFUNCTION("""COMPUTED_VALUE"""),"Completed")</f>
        <v>Completed</v>
      </c>
    </row>
    <row r="1457">
      <c r="A1457" s="9" t="str">
        <f>IFERROR(__xludf.DUMMYFUNCTION("""COMPUTED_VALUE"""),"G-REQ-01456")</f>
        <v>G-REQ-01456</v>
      </c>
      <c r="B1457" s="11">
        <f>IFERROR(__xludf.DUMMYFUNCTION("""COMPUTED_VALUE"""),45864.937872301154)</f>
        <v>45864.93787</v>
      </c>
      <c r="C1457" s="9">
        <f>IFERROR(__xludf.DUMMYFUNCTION("""COMPUTED_VALUE"""),5951.0)</f>
        <v>5951</v>
      </c>
      <c r="D1457" s="9" t="str">
        <f>IFERROR(__xludf.DUMMYFUNCTION("""COMPUTED_VALUE"""),"Rejected")</f>
        <v>Rejected</v>
      </c>
    </row>
    <row r="1458">
      <c r="A1458" s="9" t="str">
        <f>IFERROR(__xludf.DUMMYFUNCTION("""COMPUTED_VALUE"""),"G-REQ-01457")</f>
        <v>G-REQ-01457</v>
      </c>
      <c r="B1458" s="11">
        <f>IFERROR(__xludf.DUMMYFUNCTION("""COMPUTED_VALUE"""),45865.01599159102)</f>
        <v>45865.01599</v>
      </c>
      <c r="C1458" s="9">
        <f>IFERROR(__xludf.DUMMYFUNCTION("""COMPUTED_VALUE"""),5955.0)</f>
        <v>5955</v>
      </c>
      <c r="D1458" s="9" t="str">
        <f>IFERROR(__xludf.DUMMYFUNCTION("""COMPUTED_VALUE"""),"Completed")</f>
        <v>Completed</v>
      </c>
    </row>
    <row r="1459">
      <c r="A1459" s="9" t="str">
        <f>IFERROR(__xludf.DUMMYFUNCTION("""COMPUTED_VALUE"""),"G-REQ-01458")</f>
        <v>G-REQ-01458</v>
      </c>
      <c r="B1459" s="11">
        <f>IFERROR(__xludf.DUMMYFUNCTION("""COMPUTED_VALUE"""),45865.087166436424)</f>
        <v>45865.08717</v>
      </c>
      <c r="C1459" s="9">
        <f>IFERROR(__xludf.DUMMYFUNCTION("""COMPUTED_VALUE"""),5959.0)</f>
        <v>5959</v>
      </c>
      <c r="D1459" s="9" t="str">
        <f>IFERROR(__xludf.DUMMYFUNCTION("""COMPUTED_VALUE"""),"Completed")</f>
        <v>Completed</v>
      </c>
    </row>
    <row r="1460">
      <c r="A1460" s="9" t="str">
        <f>IFERROR(__xludf.DUMMYFUNCTION("""COMPUTED_VALUE"""),"G-REQ-01459")</f>
        <v>G-REQ-01459</v>
      </c>
      <c r="B1460" s="11">
        <f>IFERROR(__xludf.DUMMYFUNCTION("""COMPUTED_VALUE"""),45865.15834128184)</f>
        <v>45865.15834</v>
      </c>
      <c r="C1460" s="9">
        <f>IFERROR(__xludf.DUMMYFUNCTION("""COMPUTED_VALUE"""),5963.0)</f>
        <v>5963</v>
      </c>
      <c r="D1460" s="9" t="str">
        <f>IFERROR(__xludf.DUMMYFUNCTION("""COMPUTED_VALUE"""),"Completed")</f>
        <v>Completed</v>
      </c>
    </row>
    <row r="1461">
      <c r="A1461" s="9" t="str">
        <f>IFERROR(__xludf.DUMMYFUNCTION("""COMPUTED_VALUE"""),"G-REQ-01460")</f>
        <v>G-REQ-01460</v>
      </c>
      <c r="B1461" s="11">
        <f>IFERROR(__xludf.DUMMYFUNCTION("""COMPUTED_VALUE"""),45865.22951612726)</f>
        <v>45865.22952</v>
      </c>
      <c r="C1461" s="9">
        <f>IFERROR(__xludf.DUMMYFUNCTION("""COMPUTED_VALUE"""),5967.0)</f>
        <v>5967</v>
      </c>
      <c r="D1461" s="9" t="str">
        <f>IFERROR(__xludf.DUMMYFUNCTION("""COMPUTED_VALUE"""),"Completed")</f>
        <v>Completed</v>
      </c>
    </row>
    <row r="1462">
      <c r="A1462" s="9" t="str">
        <f>IFERROR(__xludf.DUMMYFUNCTION("""COMPUTED_VALUE"""),"G-REQ-01461")</f>
        <v>G-REQ-01461</v>
      </c>
      <c r="B1462" s="11">
        <f>IFERROR(__xludf.DUMMYFUNCTION("""COMPUTED_VALUE"""),45865.29374652823)</f>
        <v>45865.29375</v>
      </c>
      <c r="C1462" s="9">
        <f>IFERROR(__xludf.DUMMYFUNCTION("""COMPUTED_VALUE"""),5969.0)</f>
        <v>5969</v>
      </c>
      <c r="D1462" s="9" t="str">
        <f>IFERROR(__xludf.DUMMYFUNCTION("""COMPUTED_VALUE"""),"Cancelled")</f>
        <v>Cancelled</v>
      </c>
    </row>
    <row r="1463">
      <c r="A1463" s="9" t="str">
        <f>IFERROR(__xludf.DUMMYFUNCTION("""COMPUTED_VALUE"""),"G-REQ-01462")</f>
        <v>G-REQ-01462</v>
      </c>
      <c r="B1463" s="11">
        <f>IFERROR(__xludf.DUMMYFUNCTION("""COMPUTED_VALUE"""),45865.37186581809)</f>
        <v>45865.37187</v>
      </c>
      <c r="C1463" s="9">
        <f>IFERROR(__xludf.DUMMYFUNCTION("""COMPUTED_VALUE"""),5973.0)</f>
        <v>5973</v>
      </c>
      <c r="D1463" s="9" t="str">
        <f>IFERROR(__xludf.DUMMYFUNCTION("""COMPUTED_VALUE"""),"Completed")</f>
        <v>Completed</v>
      </c>
    </row>
    <row r="1464">
      <c r="A1464" s="9" t="str">
        <f>IFERROR(__xludf.DUMMYFUNCTION("""COMPUTED_VALUE"""),"G-REQ-01463")</f>
        <v>G-REQ-01463</v>
      </c>
      <c r="B1464" s="11">
        <f>IFERROR(__xludf.DUMMYFUNCTION("""COMPUTED_VALUE"""),45865.44304066351)</f>
        <v>45865.44304</v>
      </c>
      <c r="C1464" s="9">
        <f>IFERROR(__xludf.DUMMYFUNCTION("""COMPUTED_VALUE"""),5977.0)</f>
        <v>5977</v>
      </c>
      <c r="D1464" s="9" t="str">
        <f>IFERROR(__xludf.DUMMYFUNCTION("""COMPUTED_VALUE"""),"Completed")</f>
        <v>Completed</v>
      </c>
    </row>
    <row r="1465">
      <c r="A1465" s="9" t="str">
        <f>IFERROR(__xludf.DUMMYFUNCTION("""COMPUTED_VALUE"""),"G-REQ-01464")</f>
        <v>G-REQ-01464</v>
      </c>
      <c r="B1465" s="11">
        <f>IFERROR(__xludf.DUMMYFUNCTION("""COMPUTED_VALUE"""),45865.51421550892)</f>
        <v>45865.51422</v>
      </c>
      <c r="C1465" s="9">
        <f>IFERROR(__xludf.DUMMYFUNCTION("""COMPUTED_VALUE"""),5981.0)</f>
        <v>5981</v>
      </c>
      <c r="D1465" s="9" t="str">
        <f>IFERROR(__xludf.DUMMYFUNCTION("""COMPUTED_VALUE"""),"Completed")</f>
        <v>Completed</v>
      </c>
    </row>
    <row r="1466">
      <c r="A1466" s="9" t="str">
        <f>IFERROR(__xludf.DUMMYFUNCTION("""COMPUTED_VALUE"""),"G-REQ-01465")</f>
        <v>G-REQ-01465</v>
      </c>
      <c r="B1466" s="11">
        <f>IFERROR(__xludf.DUMMYFUNCTION("""COMPUTED_VALUE"""),45865.58539035433)</f>
        <v>45865.58539</v>
      </c>
      <c r="C1466" s="9">
        <f>IFERROR(__xludf.DUMMYFUNCTION("""COMPUTED_VALUE"""),5985.0)</f>
        <v>5985</v>
      </c>
      <c r="D1466" s="9" t="str">
        <f>IFERROR(__xludf.DUMMYFUNCTION("""COMPUTED_VALUE"""),"Completed")</f>
        <v>Completed</v>
      </c>
    </row>
    <row r="1467">
      <c r="A1467" s="9" t="str">
        <f>IFERROR(__xludf.DUMMYFUNCTION("""COMPUTED_VALUE"""),"G-REQ-01466")</f>
        <v>G-REQ-01466</v>
      </c>
      <c r="B1467" s="11">
        <f>IFERROR(__xludf.DUMMYFUNCTION("""COMPUTED_VALUE"""),45865.65656519975)</f>
        <v>45865.65657</v>
      </c>
      <c r="C1467" s="9">
        <f>IFERROR(__xludf.DUMMYFUNCTION("""COMPUTED_VALUE"""),5989.0)</f>
        <v>5989</v>
      </c>
      <c r="D1467" s="9" t="str">
        <f>IFERROR(__xludf.DUMMYFUNCTION("""COMPUTED_VALUE"""),"Completed")</f>
        <v>Completed</v>
      </c>
    </row>
    <row r="1468">
      <c r="A1468" s="9" t="str">
        <f>IFERROR(__xludf.DUMMYFUNCTION("""COMPUTED_VALUE"""),"G-REQ-01467")</f>
        <v>G-REQ-01467</v>
      </c>
      <c r="B1468" s="11">
        <f>IFERROR(__xludf.DUMMYFUNCTION("""COMPUTED_VALUE"""),45865.727740045164)</f>
        <v>45865.72774</v>
      </c>
      <c r="C1468" s="9">
        <f>IFERROR(__xludf.DUMMYFUNCTION("""COMPUTED_VALUE"""),5993.0)</f>
        <v>5993</v>
      </c>
      <c r="D1468" s="9" t="str">
        <f>IFERROR(__xludf.DUMMYFUNCTION("""COMPUTED_VALUE"""),"Completed")</f>
        <v>Completed</v>
      </c>
    </row>
    <row r="1469">
      <c r="A1469" s="9" t="str">
        <f>IFERROR(__xludf.DUMMYFUNCTION("""COMPUTED_VALUE"""),"G-REQ-01468")</f>
        <v>G-REQ-01468</v>
      </c>
      <c r="B1469" s="11">
        <f>IFERROR(__xludf.DUMMYFUNCTION("""COMPUTED_VALUE"""),45865.798914890576)</f>
        <v>45865.79891</v>
      </c>
      <c r="C1469" s="9">
        <f>IFERROR(__xludf.DUMMYFUNCTION("""COMPUTED_VALUE"""),5997.0)</f>
        <v>5997</v>
      </c>
      <c r="D1469" s="9" t="str">
        <f>IFERROR(__xludf.DUMMYFUNCTION("""COMPUTED_VALUE"""),"Completed")</f>
        <v>Completed</v>
      </c>
    </row>
    <row r="1470">
      <c r="A1470" s="9" t="str">
        <f>IFERROR(__xludf.DUMMYFUNCTION("""COMPUTED_VALUE"""),"G-REQ-01469")</f>
        <v>G-REQ-01469</v>
      </c>
      <c r="B1470" s="11">
        <f>IFERROR(__xludf.DUMMYFUNCTION("""COMPUTED_VALUE"""),45865.870089735996)</f>
        <v>45865.87009</v>
      </c>
      <c r="C1470" s="9">
        <f>IFERROR(__xludf.DUMMYFUNCTION("""COMPUTED_VALUE"""),6001.0)</f>
        <v>6001</v>
      </c>
      <c r="D1470" s="9" t="str">
        <f>IFERROR(__xludf.DUMMYFUNCTION("""COMPUTED_VALUE"""),"Completed")</f>
        <v>Completed</v>
      </c>
    </row>
    <row r="1471">
      <c r="A1471" s="9" t="str">
        <f>IFERROR(__xludf.DUMMYFUNCTION("""COMPUTED_VALUE"""),"G-REQ-01470")</f>
        <v>G-REQ-01470</v>
      </c>
      <c r="B1471" s="11">
        <f>IFERROR(__xludf.DUMMYFUNCTION("""COMPUTED_VALUE"""),45865.93432013696)</f>
        <v>45865.93432</v>
      </c>
      <c r="C1471" s="9">
        <f>IFERROR(__xludf.DUMMYFUNCTION("""COMPUTED_VALUE"""),6003.0)</f>
        <v>6003</v>
      </c>
      <c r="D1471" s="9" t="str">
        <f>IFERROR(__xludf.DUMMYFUNCTION("""COMPUTED_VALUE"""),"Rejected")</f>
        <v>Rejected</v>
      </c>
    </row>
    <row r="1472">
      <c r="A1472" s="9" t="str">
        <f>IFERROR(__xludf.DUMMYFUNCTION("""COMPUTED_VALUE"""),"G-REQ-01471")</f>
        <v>G-REQ-01471</v>
      </c>
      <c r="B1472" s="11">
        <f>IFERROR(__xludf.DUMMYFUNCTION("""COMPUTED_VALUE"""),45866.01243942682)</f>
        <v>45866.01244</v>
      </c>
      <c r="C1472" s="9">
        <f>IFERROR(__xludf.DUMMYFUNCTION("""COMPUTED_VALUE"""),6007.0)</f>
        <v>6007</v>
      </c>
      <c r="D1472" s="9" t="str">
        <f>IFERROR(__xludf.DUMMYFUNCTION("""COMPUTED_VALUE"""),"Completed")</f>
        <v>Completed</v>
      </c>
    </row>
    <row r="1473">
      <c r="A1473" s="9" t="str">
        <f>IFERROR(__xludf.DUMMYFUNCTION("""COMPUTED_VALUE"""),"G-REQ-01472")</f>
        <v>G-REQ-01472</v>
      </c>
      <c r="B1473" s="11">
        <f>IFERROR(__xludf.DUMMYFUNCTION("""COMPUTED_VALUE"""),45866.08361427224)</f>
        <v>45866.08361</v>
      </c>
      <c r="C1473" s="9">
        <f>IFERROR(__xludf.DUMMYFUNCTION("""COMPUTED_VALUE"""),6011.0)</f>
        <v>6011</v>
      </c>
      <c r="D1473" s="9" t="str">
        <f>IFERROR(__xludf.DUMMYFUNCTION("""COMPUTED_VALUE"""),"Completed")</f>
        <v>Completed</v>
      </c>
    </row>
    <row r="1474">
      <c r="A1474" s="9" t="str">
        <f>IFERROR(__xludf.DUMMYFUNCTION("""COMPUTED_VALUE"""),"G-REQ-01473")</f>
        <v>G-REQ-01473</v>
      </c>
      <c r="B1474" s="11">
        <f>IFERROR(__xludf.DUMMYFUNCTION("""COMPUTED_VALUE"""),45866.15478911766)</f>
        <v>45866.15479</v>
      </c>
      <c r="C1474" s="9">
        <f>IFERROR(__xludf.DUMMYFUNCTION("""COMPUTED_VALUE"""),6015.0)</f>
        <v>6015</v>
      </c>
      <c r="D1474" s="9" t="str">
        <f>IFERROR(__xludf.DUMMYFUNCTION("""COMPUTED_VALUE"""),"Completed")</f>
        <v>Completed</v>
      </c>
    </row>
    <row r="1475">
      <c r="A1475" s="9" t="str">
        <f>IFERROR(__xludf.DUMMYFUNCTION("""COMPUTED_VALUE"""),"G-REQ-01474")</f>
        <v>G-REQ-01474</v>
      </c>
      <c r="B1475" s="11">
        <f>IFERROR(__xludf.DUMMYFUNCTION("""COMPUTED_VALUE"""),45866.225963963065)</f>
        <v>45866.22596</v>
      </c>
      <c r="C1475" s="9">
        <f>IFERROR(__xludf.DUMMYFUNCTION("""COMPUTED_VALUE"""),6019.0)</f>
        <v>6019</v>
      </c>
      <c r="D1475" s="9" t="str">
        <f>IFERROR(__xludf.DUMMYFUNCTION("""COMPUTED_VALUE"""),"Completed")</f>
        <v>Completed</v>
      </c>
    </row>
    <row r="1476">
      <c r="A1476" s="9" t="str">
        <f>IFERROR(__xludf.DUMMYFUNCTION("""COMPUTED_VALUE"""),"G-REQ-01475")</f>
        <v>G-REQ-01475</v>
      </c>
      <c r="B1476" s="11">
        <f>IFERROR(__xludf.DUMMYFUNCTION("""COMPUTED_VALUE"""),45866.297138808484)</f>
        <v>45866.29714</v>
      </c>
      <c r="C1476" s="9">
        <f>IFERROR(__xludf.DUMMYFUNCTION("""COMPUTED_VALUE"""),6023.0)</f>
        <v>6023</v>
      </c>
      <c r="D1476" s="9" t="str">
        <f>IFERROR(__xludf.DUMMYFUNCTION("""COMPUTED_VALUE"""),"Completed")</f>
        <v>Completed</v>
      </c>
    </row>
    <row r="1477">
      <c r="A1477" s="9" t="str">
        <f>IFERROR(__xludf.DUMMYFUNCTION("""COMPUTED_VALUE"""),"G-REQ-01476")</f>
        <v>G-REQ-01476</v>
      </c>
      <c r="B1477" s="11">
        <f>IFERROR(__xludf.DUMMYFUNCTION("""COMPUTED_VALUE"""),45866.368313653904)</f>
        <v>45866.36831</v>
      </c>
      <c r="C1477" s="9">
        <f>IFERROR(__xludf.DUMMYFUNCTION("""COMPUTED_VALUE"""),6027.0)</f>
        <v>6027</v>
      </c>
      <c r="D1477" s="9" t="str">
        <f>IFERROR(__xludf.DUMMYFUNCTION("""COMPUTED_VALUE"""),"Completed")</f>
        <v>Completed</v>
      </c>
    </row>
    <row r="1478">
      <c r="A1478" s="9" t="str">
        <f>IFERROR(__xludf.DUMMYFUNCTION("""COMPUTED_VALUE"""),"G-REQ-01477")</f>
        <v>G-REQ-01477</v>
      </c>
      <c r="B1478" s="11">
        <f>IFERROR(__xludf.DUMMYFUNCTION("""COMPUTED_VALUE"""),45866.439488499316)</f>
        <v>45866.43949</v>
      </c>
      <c r="C1478" s="9">
        <f>IFERROR(__xludf.DUMMYFUNCTION("""COMPUTED_VALUE"""),6031.0)</f>
        <v>6031</v>
      </c>
      <c r="D1478" s="9" t="str">
        <f>IFERROR(__xludf.DUMMYFUNCTION("""COMPUTED_VALUE"""),"Completed")</f>
        <v>Completed</v>
      </c>
    </row>
    <row r="1479">
      <c r="A1479" s="9" t="str">
        <f>IFERROR(__xludf.DUMMYFUNCTION("""COMPUTED_VALUE"""),"G-REQ-01478")</f>
        <v>G-REQ-01478</v>
      </c>
      <c r="B1479" s="11">
        <f>IFERROR(__xludf.DUMMYFUNCTION("""COMPUTED_VALUE"""),45866.51066334473)</f>
        <v>45866.51066</v>
      </c>
      <c r="C1479" s="9">
        <f>IFERROR(__xludf.DUMMYFUNCTION("""COMPUTED_VALUE"""),6035.0)</f>
        <v>6035</v>
      </c>
      <c r="D1479" s="9" t="str">
        <f>IFERROR(__xludf.DUMMYFUNCTION("""COMPUTED_VALUE"""),"Completed")</f>
        <v>Completed</v>
      </c>
    </row>
    <row r="1480">
      <c r="A1480" s="9" t="str">
        <f>IFERROR(__xludf.DUMMYFUNCTION("""COMPUTED_VALUE"""),"G-REQ-01479")</f>
        <v>G-REQ-01479</v>
      </c>
      <c r="B1480" s="11">
        <f>IFERROR(__xludf.DUMMYFUNCTION("""COMPUTED_VALUE"""),45866.58183819015)</f>
        <v>45866.58184</v>
      </c>
      <c r="C1480" s="9">
        <f>IFERROR(__xludf.DUMMYFUNCTION("""COMPUTED_VALUE"""),6039.0)</f>
        <v>6039</v>
      </c>
      <c r="D1480" s="9" t="str">
        <f>IFERROR(__xludf.DUMMYFUNCTION("""COMPUTED_VALUE"""),"Completed")</f>
        <v>Completed</v>
      </c>
    </row>
    <row r="1481">
      <c r="A1481" s="9" t="str">
        <f>IFERROR(__xludf.DUMMYFUNCTION("""COMPUTED_VALUE"""),"G-REQ-01480")</f>
        <v>G-REQ-01480</v>
      </c>
      <c r="B1481" s="11">
        <f>IFERROR(__xludf.DUMMYFUNCTION("""COMPUTED_VALUE"""),45866.65301303556)</f>
        <v>45866.65301</v>
      </c>
      <c r="C1481" s="9">
        <f>IFERROR(__xludf.DUMMYFUNCTION("""COMPUTED_VALUE"""),6043.0)</f>
        <v>6043</v>
      </c>
      <c r="D1481" s="9" t="str">
        <f>IFERROR(__xludf.DUMMYFUNCTION("""COMPUTED_VALUE"""),"Completed")</f>
        <v>Completed</v>
      </c>
    </row>
    <row r="1482">
      <c r="A1482" s="9" t="str">
        <f>IFERROR(__xludf.DUMMYFUNCTION("""COMPUTED_VALUE"""),"G-REQ-01481")</f>
        <v>G-REQ-01481</v>
      </c>
      <c r="B1482" s="11">
        <f>IFERROR(__xludf.DUMMYFUNCTION("""COMPUTED_VALUE"""),45866.72418788097)</f>
        <v>45866.72419</v>
      </c>
      <c r="C1482" s="9">
        <f>IFERROR(__xludf.DUMMYFUNCTION("""COMPUTED_VALUE"""),6047.0)</f>
        <v>6047</v>
      </c>
      <c r="D1482" s="9" t="str">
        <f>IFERROR(__xludf.DUMMYFUNCTION("""COMPUTED_VALUE"""),"Completed")</f>
        <v>Completed</v>
      </c>
    </row>
    <row r="1483">
      <c r="A1483" s="9" t="str">
        <f>IFERROR(__xludf.DUMMYFUNCTION("""COMPUTED_VALUE"""),"G-REQ-01482")</f>
        <v>G-REQ-01482</v>
      </c>
      <c r="B1483" s="11">
        <f>IFERROR(__xludf.DUMMYFUNCTION("""COMPUTED_VALUE"""),45866.79536272639)</f>
        <v>45866.79536</v>
      </c>
      <c r="C1483" s="9">
        <f>IFERROR(__xludf.DUMMYFUNCTION("""COMPUTED_VALUE"""),6051.0)</f>
        <v>6051</v>
      </c>
      <c r="D1483" s="9" t="str">
        <f>IFERROR(__xludf.DUMMYFUNCTION("""COMPUTED_VALUE"""),"Completed")</f>
        <v>Completed</v>
      </c>
    </row>
    <row r="1484">
      <c r="A1484" s="9" t="str">
        <f>IFERROR(__xludf.DUMMYFUNCTION("""COMPUTED_VALUE"""),"G-REQ-01483")</f>
        <v>G-REQ-01483</v>
      </c>
      <c r="B1484" s="11">
        <f>IFERROR(__xludf.DUMMYFUNCTION("""COMPUTED_VALUE"""),45866.866537571805)</f>
        <v>45866.86654</v>
      </c>
      <c r="C1484" s="9">
        <f>IFERROR(__xludf.DUMMYFUNCTION("""COMPUTED_VALUE"""),6055.0)</f>
        <v>6055</v>
      </c>
      <c r="D1484" s="9" t="str">
        <f>IFERROR(__xludf.DUMMYFUNCTION("""COMPUTED_VALUE"""),"Completed")</f>
        <v>Completed</v>
      </c>
    </row>
    <row r="1485">
      <c r="A1485" s="9" t="str">
        <f>IFERROR(__xludf.DUMMYFUNCTION("""COMPUTED_VALUE"""),"G-REQ-01484")</f>
        <v>G-REQ-01484</v>
      </c>
      <c r="B1485" s="11">
        <f>IFERROR(__xludf.DUMMYFUNCTION("""COMPUTED_VALUE"""),45866.93771241722)</f>
        <v>45866.93771</v>
      </c>
      <c r="C1485" s="9">
        <f>IFERROR(__xludf.DUMMYFUNCTION("""COMPUTED_VALUE"""),6059.0)</f>
        <v>6059</v>
      </c>
      <c r="D1485" s="9" t="str">
        <f>IFERROR(__xludf.DUMMYFUNCTION("""COMPUTED_VALUE"""),"Completed")</f>
        <v>Completed</v>
      </c>
    </row>
    <row r="1486">
      <c r="A1486" s="9" t="str">
        <f>IFERROR(__xludf.DUMMYFUNCTION("""COMPUTED_VALUE"""),"G-REQ-01485")</f>
        <v>G-REQ-01485</v>
      </c>
      <c r="B1486" s="11">
        <f>IFERROR(__xludf.DUMMYFUNCTION("""COMPUTED_VALUE"""),45867.00888726264)</f>
        <v>45867.00889</v>
      </c>
      <c r="C1486" s="9">
        <f>IFERROR(__xludf.DUMMYFUNCTION("""COMPUTED_VALUE"""),6063.0)</f>
        <v>6063</v>
      </c>
      <c r="D1486" s="9" t="str">
        <f>IFERROR(__xludf.DUMMYFUNCTION("""COMPUTED_VALUE"""),"Completed")</f>
        <v>Completed</v>
      </c>
    </row>
    <row r="1487">
      <c r="A1487" s="9" t="str">
        <f>IFERROR(__xludf.DUMMYFUNCTION("""COMPUTED_VALUE"""),"G-REQ-01486")</f>
        <v>G-REQ-01486</v>
      </c>
      <c r="B1487" s="11">
        <f>IFERROR(__xludf.DUMMYFUNCTION("""COMPUTED_VALUE"""),45867.08006210805)</f>
        <v>45867.08006</v>
      </c>
      <c r="C1487" s="9">
        <f>IFERROR(__xludf.DUMMYFUNCTION("""COMPUTED_VALUE"""),6067.0)</f>
        <v>6067</v>
      </c>
      <c r="D1487" s="9" t="str">
        <f>IFERROR(__xludf.DUMMYFUNCTION("""COMPUTED_VALUE"""),"Completed")</f>
        <v>Completed</v>
      </c>
    </row>
    <row r="1488">
      <c r="A1488" s="9" t="str">
        <f>IFERROR(__xludf.DUMMYFUNCTION("""COMPUTED_VALUE"""),"G-REQ-01487")</f>
        <v>G-REQ-01487</v>
      </c>
      <c r="B1488" s="11">
        <f>IFERROR(__xludf.DUMMYFUNCTION("""COMPUTED_VALUE"""),45867.15123695346)</f>
        <v>45867.15124</v>
      </c>
      <c r="C1488" s="9">
        <f>IFERROR(__xludf.DUMMYFUNCTION("""COMPUTED_VALUE"""),6071.0)</f>
        <v>6071</v>
      </c>
      <c r="D1488" s="9" t="str">
        <f>IFERROR(__xludf.DUMMYFUNCTION("""COMPUTED_VALUE"""),"Completed")</f>
        <v>Completed</v>
      </c>
    </row>
    <row r="1489">
      <c r="A1489" s="9" t="str">
        <f>IFERROR(__xludf.DUMMYFUNCTION("""COMPUTED_VALUE"""),"G-REQ-01488")</f>
        <v>G-REQ-01488</v>
      </c>
      <c r="B1489" s="11">
        <f>IFERROR(__xludf.DUMMYFUNCTION("""COMPUTED_VALUE"""),45867.22241179888)</f>
        <v>45867.22241</v>
      </c>
      <c r="C1489" s="9">
        <f>IFERROR(__xludf.DUMMYFUNCTION("""COMPUTED_VALUE"""),6075.0)</f>
        <v>6075</v>
      </c>
      <c r="D1489" s="9" t="str">
        <f>IFERROR(__xludf.DUMMYFUNCTION("""COMPUTED_VALUE"""),"Completed")</f>
        <v>Completed</v>
      </c>
    </row>
    <row r="1490">
      <c r="A1490" s="9" t="str">
        <f>IFERROR(__xludf.DUMMYFUNCTION("""COMPUTED_VALUE"""),"G-REQ-01489")</f>
        <v>G-REQ-01489</v>
      </c>
      <c r="B1490" s="11">
        <f>IFERROR(__xludf.DUMMYFUNCTION("""COMPUTED_VALUE"""),45867.2935866443)</f>
        <v>45867.29359</v>
      </c>
      <c r="C1490" s="9">
        <f>IFERROR(__xludf.DUMMYFUNCTION("""COMPUTED_VALUE"""),6079.0)</f>
        <v>6079</v>
      </c>
      <c r="D1490" s="9" t="str">
        <f>IFERROR(__xludf.DUMMYFUNCTION("""COMPUTED_VALUE"""),"Completed")</f>
        <v>Completed</v>
      </c>
    </row>
    <row r="1491">
      <c r="A1491" s="9" t="str">
        <f>IFERROR(__xludf.DUMMYFUNCTION("""COMPUTED_VALUE"""),"G-REQ-01490")</f>
        <v>G-REQ-01490</v>
      </c>
      <c r="B1491" s="11">
        <f>IFERROR(__xludf.DUMMYFUNCTION("""COMPUTED_VALUE"""),45867.35781704526)</f>
        <v>45867.35782</v>
      </c>
      <c r="C1491" s="9">
        <f>IFERROR(__xludf.DUMMYFUNCTION("""COMPUTED_VALUE"""),6081.0)</f>
        <v>6081</v>
      </c>
      <c r="D1491" s="9" t="str">
        <f>IFERROR(__xludf.DUMMYFUNCTION("""COMPUTED_VALUE"""),"Cancelled")</f>
        <v>Cancelled</v>
      </c>
    </row>
    <row r="1492">
      <c r="A1492" s="9" t="str">
        <f>IFERROR(__xludf.DUMMYFUNCTION("""COMPUTED_VALUE"""),"G-REQ-01491")</f>
        <v>G-REQ-01491</v>
      </c>
      <c r="B1492" s="11">
        <f>IFERROR(__xludf.DUMMYFUNCTION("""COMPUTED_VALUE"""),45867.435936335125)</f>
        <v>45867.43594</v>
      </c>
      <c r="C1492" s="9">
        <f>IFERROR(__xludf.DUMMYFUNCTION("""COMPUTED_VALUE"""),6085.0)</f>
        <v>6085</v>
      </c>
      <c r="D1492" s="9" t="str">
        <f>IFERROR(__xludf.DUMMYFUNCTION("""COMPUTED_VALUE"""),"Completed")</f>
        <v>Completed</v>
      </c>
    </row>
    <row r="1493">
      <c r="A1493" s="9" t="str">
        <f>IFERROR(__xludf.DUMMYFUNCTION("""COMPUTED_VALUE"""),"G-REQ-01492")</f>
        <v>G-REQ-01492</v>
      </c>
      <c r="B1493" s="11">
        <f>IFERROR(__xludf.DUMMYFUNCTION("""COMPUTED_VALUE"""),45867.507111180545)</f>
        <v>45867.50711</v>
      </c>
      <c r="C1493" s="9">
        <f>IFERROR(__xludf.DUMMYFUNCTION("""COMPUTED_VALUE"""),6089.0)</f>
        <v>6089</v>
      </c>
      <c r="D1493" s="9" t="str">
        <f>IFERROR(__xludf.DUMMYFUNCTION("""COMPUTED_VALUE"""),"Completed")</f>
        <v>Completed</v>
      </c>
    </row>
    <row r="1494">
      <c r="A1494" s="9" t="str">
        <f>IFERROR(__xludf.DUMMYFUNCTION("""COMPUTED_VALUE"""),"G-REQ-01493")</f>
        <v>G-REQ-01493</v>
      </c>
      <c r="B1494" s="11">
        <f>IFERROR(__xludf.DUMMYFUNCTION("""COMPUTED_VALUE"""),45867.57828602596)</f>
        <v>45867.57829</v>
      </c>
      <c r="C1494" s="9">
        <f>IFERROR(__xludf.DUMMYFUNCTION("""COMPUTED_VALUE"""),6093.0)</f>
        <v>6093</v>
      </c>
      <c r="D1494" s="9" t="str">
        <f>IFERROR(__xludf.DUMMYFUNCTION("""COMPUTED_VALUE"""),"Completed")</f>
        <v>Completed</v>
      </c>
    </row>
    <row r="1495">
      <c r="A1495" s="9" t="str">
        <f>IFERROR(__xludf.DUMMYFUNCTION("""COMPUTED_VALUE"""),"G-REQ-01494")</f>
        <v>G-REQ-01494</v>
      </c>
      <c r="B1495" s="11">
        <f>IFERROR(__xludf.DUMMYFUNCTION("""COMPUTED_VALUE"""),45867.64946087137)</f>
        <v>45867.64946</v>
      </c>
      <c r="C1495" s="9">
        <f>IFERROR(__xludf.DUMMYFUNCTION("""COMPUTED_VALUE"""),6097.0)</f>
        <v>6097</v>
      </c>
      <c r="D1495" s="9" t="str">
        <f>IFERROR(__xludf.DUMMYFUNCTION("""COMPUTED_VALUE"""),"Completed")</f>
        <v>Completed</v>
      </c>
    </row>
    <row r="1496">
      <c r="A1496" s="9" t="str">
        <f>IFERROR(__xludf.DUMMYFUNCTION("""COMPUTED_VALUE"""),"G-REQ-01495")</f>
        <v>G-REQ-01495</v>
      </c>
      <c r="B1496" s="11">
        <f>IFERROR(__xludf.DUMMYFUNCTION("""COMPUTED_VALUE"""),45867.72063571679)</f>
        <v>45867.72064</v>
      </c>
      <c r="C1496" s="9">
        <f>IFERROR(__xludf.DUMMYFUNCTION("""COMPUTED_VALUE"""),6101.0)</f>
        <v>6101</v>
      </c>
      <c r="D1496" s="9" t="str">
        <f>IFERROR(__xludf.DUMMYFUNCTION("""COMPUTED_VALUE"""),"Completed")</f>
        <v>Completed</v>
      </c>
    </row>
    <row r="1497">
      <c r="A1497" s="9" t="str">
        <f>IFERROR(__xludf.DUMMYFUNCTION("""COMPUTED_VALUE"""),"G-REQ-01496")</f>
        <v>G-REQ-01496</v>
      </c>
      <c r="B1497" s="11">
        <f>IFERROR(__xludf.DUMMYFUNCTION("""COMPUTED_VALUE"""),45867.7918105622)</f>
        <v>45867.79181</v>
      </c>
      <c r="C1497" s="9">
        <f>IFERROR(__xludf.DUMMYFUNCTION("""COMPUTED_VALUE"""),6105.0)</f>
        <v>6105</v>
      </c>
      <c r="D1497" s="9" t="str">
        <f>IFERROR(__xludf.DUMMYFUNCTION("""COMPUTED_VALUE"""),"Completed")</f>
        <v>Completed</v>
      </c>
    </row>
    <row r="1498">
      <c r="A1498" s="9" t="str">
        <f>IFERROR(__xludf.DUMMYFUNCTION("""COMPUTED_VALUE"""),"G-REQ-01497")</f>
        <v>G-REQ-01497</v>
      </c>
      <c r="B1498" s="11">
        <f>IFERROR(__xludf.DUMMYFUNCTION("""COMPUTED_VALUE"""),45867.86298540761)</f>
        <v>45867.86299</v>
      </c>
      <c r="C1498" s="9">
        <f>IFERROR(__xludf.DUMMYFUNCTION("""COMPUTED_VALUE"""),6109.0)</f>
        <v>6109</v>
      </c>
      <c r="D1498" s="9" t="str">
        <f>IFERROR(__xludf.DUMMYFUNCTION("""COMPUTED_VALUE"""),"Completed")</f>
        <v>Completed</v>
      </c>
    </row>
    <row r="1499">
      <c r="A1499" s="9" t="str">
        <f>IFERROR(__xludf.DUMMYFUNCTION("""COMPUTED_VALUE"""),"G-REQ-01498")</f>
        <v>G-REQ-01498</v>
      </c>
      <c r="B1499" s="11">
        <f>IFERROR(__xludf.DUMMYFUNCTION("""COMPUTED_VALUE"""),45867.93416025303)</f>
        <v>45867.93416</v>
      </c>
      <c r="C1499" s="9">
        <f>IFERROR(__xludf.DUMMYFUNCTION("""COMPUTED_VALUE"""),6113.0)</f>
        <v>6113</v>
      </c>
      <c r="D1499" s="9" t="str">
        <f>IFERROR(__xludf.DUMMYFUNCTION("""COMPUTED_VALUE"""),"Completed")</f>
        <v>Completed</v>
      </c>
    </row>
    <row r="1500">
      <c r="A1500" s="9" t="str">
        <f>IFERROR(__xludf.DUMMYFUNCTION("""COMPUTED_VALUE"""),"G-REQ-01499")</f>
        <v>G-REQ-01499</v>
      </c>
      <c r="B1500" s="11">
        <f>IFERROR(__xludf.DUMMYFUNCTION("""COMPUTED_VALUE"""),45868.00533509845)</f>
        <v>45868.00534</v>
      </c>
      <c r="C1500" s="9">
        <f>IFERROR(__xludf.DUMMYFUNCTION("""COMPUTED_VALUE"""),6117.0)</f>
        <v>6117</v>
      </c>
      <c r="D1500" s="9" t="str">
        <f>IFERROR(__xludf.DUMMYFUNCTION("""COMPUTED_VALUE"""),"Completed")</f>
        <v>Completed</v>
      </c>
    </row>
    <row r="1501">
      <c r="A1501" s="9" t="str">
        <f>IFERROR(__xludf.DUMMYFUNCTION("""COMPUTED_VALUE"""),"G-REQ-01500")</f>
        <v>G-REQ-01500</v>
      </c>
      <c r="B1501" s="11">
        <f>IFERROR(__xludf.DUMMYFUNCTION("""COMPUTED_VALUE"""),45868.07650994386)</f>
        <v>45868.07651</v>
      </c>
      <c r="C1501" s="9">
        <f>IFERROR(__xludf.DUMMYFUNCTION("""COMPUTED_VALUE"""),6121.0)</f>
        <v>6121</v>
      </c>
      <c r="D1501" s="9" t="str">
        <f>IFERROR(__xludf.DUMMYFUNCTION("""COMPUTED_VALUE"""),"Completed")</f>
        <v>Completed</v>
      </c>
    </row>
    <row r="1502">
      <c r="A1502" s="9" t="str">
        <f>IFERROR(__xludf.DUMMYFUNCTION("""COMPUTED_VALUE"""),"G-REQ-01501")</f>
        <v>G-REQ-01501</v>
      </c>
      <c r="B1502" s="11">
        <f>IFERROR(__xludf.DUMMYFUNCTION("""COMPUTED_VALUE"""),45868.14074034483)</f>
        <v>45868.14074</v>
      </c>
      <c r="C1502" s="9">
        <f>IFERROR(__xludf.DUMMYFUNCTION("""COMPUTED_VALUE"""),6123.0)</f>
        <v>6123</v>
      </c>
      <c r="D1502" s="9" t="str">
        <f>IFERROR(__xludf.DUMMYFUNCTION("""COMPUTED_VALUE"""),"Rejected")</f>
        <v>Rejected</v>
      </c>
    </row>
    <row r="1503">
      <c r="A1503" s="9" t="str">
        <f>IFERROR(__xludf.DUMMYFUNCTION("""COMPUTED_VALUE"""),"G-REQ-01502")</f>
        <v>G-REQ-01502</v>
      </c>
      <c r="B1503" s="11">
        <f>IFERROR(__xludf.DUMMYFUNCTION("""COMPUTED_VALUE"""),45868.21885963469)</f>
        <v>45868.21886</v>
      </c>
      <c r="C1503" s="9">
        <f>IFERROR(__xludf.DUMMYFUNCTION("""COMPUTED_VALUE"""),6127.0)</f>
        <v>6127</v>
      </c>
      <c r="D1503" s="9" t="str">
        <f>IFERROR(__xludf.DUMMYFUNCTION("""COMPUTED_VALUE"""),"Completed")</f>
        <v>Completed</v>
      </c>
    </row>
    <row r="1504">
      <c r="A1504" s="9" t="str">
        <f>IFERROR(__xludf.DUMMYFUNCTION("""COMPUTED_VALUE"""),"G-REQ-01503")</f>
        <v>G-REQ-01503</v>
      </c>
      <c r="B1504" s="11">
        <f>IFERROR(__xludf.DUMMYFUNCTION("""COMPUTED_VALUE"""),45868.29003448011)</f>
        <v>45868.29003</v>
      </c>
      <c r="C1504" s="9">
        <f>IFERROR(__xludf.DUMMYFUNCTION("""COMPUTED_VALUE"""),6131.0)</f>
        <v>6131</v>
      </c>
      <c r="D1504" s="9" t="str">
        <f>IFERROR(__xludf.DUMMYFUNCTION("""COMPUTED_VALUE"""),"Completed")</f>
        <v>Completed</v>
      </c>
    </row>
    <row r="1505">
      <c r="A1505" s="9" t="str">
        <f>IFERROR(__xludf.DUMMYFUNCTION("""COMPUTED_VALUE"""),"G-REQ-01504")</f>
        <v>G-REQ-01504</v>
      </c>
      <c r="B1505" s="11">
        <f>IFERROR(__xludf.DUMMYFUNCTION("""COMPUTED_VALUE"""),45868.36120932552)</f>
        <v>45868.36121</v>
      </c>
      <c r="C1505" s="9">
        <f>IFERROR(__xludf.DUMMYFUNCTION("""COMPUTED_VALUE"""),6135.0)</f>
        <v>6135</v>
      </c>
      <c r="D1505" s="9" t="str">
        <f>IFERROR(__xludf.DUMMYFUNCTION("""COMPUTED_VALUE"""),"Completed")</f>
        <v>Completed</v>
      </c>
    </row>
    <row r="1506">
      <c r="A1506" s="9" t="str">
        <f>IFERROR(__xludf.DUMMYFUNCTION("""COMPUTED_VALUE"""),"G-REQ-01505")</f>
        <v>G-REQ-01505</v>
      </c>
      <c r="B1506" s="11">
        <f>IFERROR(__xludf.DUMMYFUNCTION("""COMPUTED_VALUE"""),45868.43238417094)</f>
        <v>45868.43238</v>
      </c>
      <c r="C1506" s="9">
        <f>IFERROR(__xludf.DUMMYFUNCTION("""COMPUTED_VALUE"""),6139.0)</f>
        <v>6139</v>
      </c>
      <c r="D1506" s="9" t="str">
        <f>IFERROR(__xludf.DUMMYFUNCTION("""COMPUTED_VALUE"""),"Completed")</f>
        <v>Completed</v>
      </c>
    </row>
    <row r="1507">
      <c r="A1507" s="9" t="str">
        <f>IFERROR(__xludf.DUMMYFUNCTION("""COMPUTED_VALUE"""),"G-REQ-01506")</f>
        <v>G-REQ-01506</v>
      </c>
      <c r="B1507" s="11">
        <f>IFERROR(__xludf.DUMMYFUNCTION("""COMPUTED_VALUE"""),45868.503559016346)</f>
        <v>45868.50356</v>
      </c>
      <c r="C1507" s="9">
        <f>IFERROR(__xludf.DUMMYFUNCTION("""COMPUTED_VALUE"""),6143.0)</f>
        <v>6143</v>
      </c>
      <c r="D1507" s="9" t="str">
        <f>IFERROR(__xludf.DUMMYFUNCTION("""COMPUTED_VALUE"""),"Completed")</f>
        <v>Completed</v>
      </c>
    </row>
    <row r="1508">
      <c r="A1508" s="9" t="str">
        <f>IFERROR(__xludf.DUMMYFUNCTION("""COMPUTED_VALUE"""),"G-REQ-01507")</f>
        <v>G-REQ-01507</v>
      </c>
      <c r="B1508" s="11">
        <f>IFERROR(__xludf.DUMMYFUNCTION("""COMPUTED_VALUE"""),45868.574733861766)</f>
        <v>45868.57473</v>
      </c>
      <c r="C1508" s="9">
        <f>IFERROR(__xludf.DUMMYFUNCTION("""COMPUTED_VALUE"""),6147.0)</f>
        <v>6147</v>
      </c>
      <c r="D1508" s="9" t="str">
        <f>IFERROR(__xludf.DUMMYFUNCTION("""COMPUTED_VALUE"""),"Completed")</f>
        <v>Completed</v>
      </c>
    </row>
    <row r="1509">
      <c r="A1509" s="9" t="str">
        <f>IFERROR(__xludf.DUMMYFUNCTION("""COMPUTED_VALUE"""),"G-REQ-01508")</f>
        <v>G-REQ-01508</v>
      </c>
      <c r="B1509" s="11">
        <f>IFERROR(__xludf.DUMMYFUNCTION("""COMPUTED_VALUE"""),45868.645908707185)</f>
        <v>45868.64591</v>
      </c>
      <c r="C1509" s="9">
        <f>IFERROR(__xludf.DUMMYFUNCTION("""COMPUTED_VALUE"""),6151.0)</f>
        <v>6151</v>
      </c>
      <c r="D1509" s="9" t="str">
        <f>IFERROR(__xludf.DUMMYFUNCTION("""COMPUTED_VALUE"""),"Completed")</f>
        <v>Completed</v>
      </c>
    </row>
    <row r="1510">
      <c r="A1510" s="9" t="str">
        <f>IFERROR(__xludf.DUMMYFUNCTION("""COMPUTED_VALUE"""),"G-REQ-01509")</f>
        <v>G-REQ-01509</v>
      </c>
      <c r="B1510" s="11">
        <f>IFERROR(__xludf.DUMMYFUNCTION("""COMPUTED_VALUE"""),45868.7170835526)</f>
        <v>45868.71708</v>
      </c>
      <c r="C1510" s="9">
        <f>IFERROR(__xludf.DUMMYFUNCTION("""COMPUTED_VALUE"""),6155.0)</f>
        <v>6155</v>
      </c>
      <c r="D1510" s="9" t="str">
        <f>IFERROR(__xludf.DUMMYFUNCTION("""COMPUTED_VALUE"""),"Completed")</f>
        <v>Completed</v>
      </c>
    </row>
    <row r="1511">
      <c r="A1511" s="9" t="str">
        <f>IFERROR(__xludf.DUMMYFUNCTION("""COMPUTED_VALUE"""),"G-REQ-01510")</f>
        <v>G-REQ-01510</v>
      </c>
      <c r="B1511" s="11">
        <f>IFERROR(__xludf.DUMMYFUNCTION("""COMPUTED_VALUE"""),45868.78825839801)</f>
        <v>45868.78826</v>
      </c>
      <c r="C1511" s="9">
        <f>IFERROR(__xludf.DUMMYFUNCTION("""COMPUTED_VALUE"""),6159.0)</f>
        <v>6159</v>
      </c>
      <c r="D1511" s="9" t="str">
        <f>IFERROR(__xludf.DUMMYFUNCTION("""COMPUTED_VALUE"""),"Completed")</f>
        <v>Completed</v>
      </c>
    </row>
    <row r="1512">
      <c r="A1512" s="9" t="str">
        <f>IFERROR(__xludf.DUMMYFUNCTION("""COMPUTED_VALUE"""),"G-REQ-01511")</f>
        <v>G-REQ-01511</v>
      </c>
      <c r="B1512" s="11">
        <f>IFERROR(__xludf.DUMMYFUNCTION("""COMPUTED_VALUE"""),45868.85943324343)</f>
        <v>45868.85943</v>
      </c>
      <c r="C1512" s="9">
        <f>IFERROR(__xludf.DUMMYFUNCTION("""COMPUTED_VALUE"""),6163.0)</f>
        <v>6163</v>
      </c>
      <c r="D1512" s="9" t="str">
        <f>IFERROR(__xludf.DUMMYFUNCTION("""COMPUTED_VALUE"""),"Completed")</f>
        <v>Completed</v>
      </c>
    </row>
    <row r="1513">
      <c r="A1513" s="9" t="str">
        <f>IFERROR(__xludf.DUMMYFUNCTION("""COMPUTED_VALUE"""),"G-REQ-01512")</f>
        <v>G-REQ-01512</v>
      </c>
      <c r="B1513" s="11">
        <f>IFERROR(__xludf.DUMMYFUNCTION("""COMPUTED_VALUE"""),45868.93060808884)</f>
        <v>45868.93061</v>
      </c>
      <c r="C1513" s="9">
        <f>IFERROR(__xludf.DUMMYFUNCTION("""COMPUTED_VALUE"""),6167.0)</f>
        <v>6167</v>
      </c>
      <c r="D1513" s="9" t="str">
        <f>IFERROR(__xludf.DUMMYFUNCTION("""COMPUTED_VALUE"""),"Completed")</f>
        <v>Completed</v>
      </c>
    </row>
    <row r="1514">
      <c r="A1514" s="9" t="str">
        <f>IFERROR(__xludf.DUMMYFUNCTION("""COMPUTED_VALUE"""),"G-REQ-01513")</f>
        <v>G-REQ-01513</v>
      </c>
      <c r="B1514" s="11">
        <f>IFERROR(__xludf.DUMMYFUNCTION("""COMPUTED_VALUE"""),45869.001782934254)</f>
        <v>45869.00178</v>
      </c>
      <c r="C1514" s="9">
        <f>IFERROR(__xludf.DUMMYFUNCTION("""COMPUTED_VALUE"""),6171.0)</f>
        <v>6171</v>
      </c>
      <c r="D1514" s="9" t="str">
        <f>IFERROR(__xludf.DUMMYFUNCTION("""COMPUTED_VALUE"""),"Completed")</f>
        <v>Completed</v>
      </c>
    </row>
    <row r="1515">
      <c r="A1515" s="9" t="str">
        <f>IFERROR(__xludf.DUMMYFUNCTION("""COMPUTED_VALUE"""),"G-REQ-01514")</f>
        <v>G-REQ-01514</v>
      </c>
      <c r="B1515" s="11">
        <f>IFERROR(__xludf.DUMMYFUNCTION("""COMPUTED_VALUE"""),45869.072957779674)</f>
        <v>45869.07296</v>
      </c>
      <c r="C1515" s="9">
        <f>IFERROR(__xludf.DUMMYFUNCTION("""COMPUTED_VALUE"""),6175.0)</f>
        <v>6175</v>
      </c>
      <c r="D1515" s="9" t="str">
        <f>IFERROR(__xludf.DUMMYFUNCTION("""COMPUTED_VALUE"""),"Completed")</f>
        <v>Completed</v>
      </c>
    </row>
    <row r="1516">
      <c r="A1516" s="9" t="str">
        <f>IFERROR(__xludf.DUMMYFUNCTION("""COMPUTED_VALUE"""),"G-REQ-01515")</f>
        <v>G-REQ-01515</v>
      </c>
      <c r="B1516" s="11">
        <f>IFERROR(__xludf.DUMMYFUNCTION("""COMPUTED_VALUE"""),45869.13718818065)</f>
        <v>45869.13719</v>
      </c>
      <c r="C1516" s="9">
        <f>IFERROR(__xludf.DUMMYFUNCTION("""COMPUTED_VALUE"""),6177.0)</f>
        <v>6177</v>
      </c>
      <c r="D1516" s="9" t="str">
        <f>IFERROR(__xludf.DUMMYFUNCTION("""COMPUTED_VALUE"""),"Rejected")</f>
        <v>Rejected</v>
      </c>
    </row>
    <row r="1517">
      <c r="A1517" s="9" t="str">
        <f>IFERROR(__xludf.DUMMYFUNCTION("""COMPUTED_VALUE"""),"G-REQ-01516")</f>
        <v>G-REQ-01516</v>
      </c>
      <c r="B1517" s="11">
        <f>IFERROR(__xludf.DUMMYFUNCTION("""COMPUTED_VALUE"""),45869.20836302605)</f>
        <v>45869.20836</v>
      </c>
      <c r="C1517" s="9">
        <f>IFERROR(__xludf.DUMMYFUNCTION("""COMPUTED_VALUE"""),6179.0)</f>
        <v>6179</v>
      </c>
      <c r="D1517" s="9" t="str">
        <f>IFERROR(__xludf.DUMMYFUNCTION("""COMPUTED_VALUE"""),"Rejected")</f>
        <v>Rejected</v>
      </c>
    </row>
    <row r="1518">
      <c r="A1518" s="9" t="str">
        <f>IFERROR(__xludf.DUMMYFUNCTION("""COMPUTED_VALUE"""),"G-REQ-01517")</f>
        <v>G-REQ-01517</v>
      </c>
      <c r="B1518" s="11">
        <f>IFERROR(__xludf.DUMMYFUNCTION("""COMPUTED_VALUE"""),45869.28648231592)</f>
        <v>45869.28648</v>
      </c>
      <c r="C1518" s="9">
        <f>IFERROR(__xludf.DUMMYFUNCTION("""COMPUTED_VALUE"""),6183.0)</f>
        <v>6183</v>
      </c>
      <c r="D1518" s="9" t="str">
        <f>IFERROR(__xludf.DUMMYFUNCTION("""COMPUTED_VALUE"""),"Completed")</f>
        <v>Completed</v>
      </c>
    </row>
    <row r="1519">
      <c r="A1519" s="9" t="str">
        <f>IFERROR(__xludf.DUMMYFUNCTION("""COMPUTED_VALUE"""),"G-REQ-01518")</f>
        <v>G-REQ-01518</v>
      </c>
      <c r="B1519" s="11">
        <f>IFERROR(__xludf.DUMMYFUNCTION("""COMPUTED_VALUE"""),45869.35765716134)</f>
        <v>45869.35766</v>
      </c>
      <c r="C1519" s="9">
        <f>IFERROR(__xludf.DUMMYFUNCTION("""COMPUTED_VALUE"""),6187.0)</f>
        <v>6187</v>
      </c>
      <c r="D1519" s="9" t="str">
        <f>IFERROR(__xludf.DUMMYFUNCTION("""COMPUTED_VALUE"""),"Completed")</f>
        <v>Completed</v>
      </c>
    </row>
    <row r="1520">
      <c r="A1520" s="9" t="str">
        <f>IFERROR(__xludf.DUMMYFUNCTION("""COMPUTED_VALUE"""),"G-REQ-01519")</f>
        <v>G-REQ-01519</v>
      </c>
      <c r="B1520" s="11">
        <f>IFERROR(__xludf.DUMMYFUNCTION("""COMPUTED_VALUE"""),45869.42883200675)</f>
        <v>45869.42883</v>
      </c>
      <c r="C1520" s="9">
        <f>IFERROR(__xludf.DUMMYFUNCTION("""COMPUTED_VALUE"""),6191.0)</f>
        <v>6191</v>
      </c>
      <c r="D1520" s="9" t="str">
        <f>IFERROR(__xludf.DUMMYFUNCTION("""COMPUTED_VALUE"""),"Completed")</f>
        <v>Completed</v>
      </c>
    </row>
    <row r="1521">
      <c r="A1521" s="9" t="str">
        <f>IFERROR(__xludf.DUMMYFUNCTION("""COMPUTED_VALUE"""),"G-REQ-01520")</f>
        <v>G-REQ-01520</v>
      </c>
      <c r="B1521" s="11">
        <f>IFERROR(__xludf.DUMMYFUNCTION("""COMPUTED_VALUE"""),45869.50000685216)</f>
        <v>45869.50001</v>
      </c>
      <c r="C1521" s="9">
        <f>IFERROR(__xludf.DUMMYFUNCTION("""COMPUTED_VALUE"""),6195.0)</f>
        <v>6195</v>
      </c>
      <c r="D1521" s="9" t="str">
        <f>IFERROR(__xludf.DUMMYFUNCTION("""COMPUTED_VALUE"""),"Completed")</f>
        <v>Completed</v>
      </c>
    </row>
    <row r="1522">
      <c r="A1522" s="9" t="str">
        <f>IFERROR(__xludf.DUMMYFUNCTION("""COMPUTED_VALUE"""),"G-REQ-01521")</f>
        <v>G-REQ-01521</v>
      </c>
      <c r="B1522" s="11">
        <f>IFERROR(__xludf.DUMMYFUNCTION("""COMPUTED_VALUE"""),45869.57118169758)</f>
        <v>45869.57118</v>
      </c>
      <c r="C1522" s="9">
        <f>IFERROR(__xludf.DUMMYFUNCTION("""COMPUTED_VALUE"""),6199.0)</f>
        <v>6199</v>
      </c>
      <c r="D1522" s="9" t="str">
        <f>IFERROR(__xludf.DUMMYFUNCTION("""COMPUTED_VALUE"""),"Completed")</f>
        <v>Completed</v>
      </c>
    </row>
    <row r="1523">
      <c r="A1523" s="9" t="str">
        <f>IFERROR(__xludf.DUMMYFUNCTION("""COMPUTED_VALUE"""),"G-REQ-01522")</f>
        <v>G-REQ-01522</v>
      </c>
      <c r="B1523" s="11">
        <f>IFERROR(__xludf.DUMMYFUNCTION("""COMPUTED_VALUE"""),45869.63541209855)</f>
        <v>45869.63541</v>
      </c>
      <c r="C1523" s="9">
        <f>IFERROR(__xludf.DUMMYFUNCTION("""COMPUTED_VALUE"""),6201.0)</f>
        <v>6201</v>
      </c>
      <c r="D1523" s="9" t="str">
        <f>IFERROR(__xludf.DUMMYFUNCTION("""COMPUTED_VALUE"""),"Cancelled")</f>
        <v>Cancelled</v>
      </c>
    </row>
    <row r="1524">
      <c r="A1524" s="9" t="str">
        <f>IFERROR(__xludf.DUMMYFUNCTION("""COMPUTED_VALUE"""),"G-REQ-01523")</f>
        <v>G-REQ-01523</v>
      </c>
      <c r="B1524" s="11">
        <f>IFERROR(__xludf.DUMMYFUNCTION("""COMPUTED_VALUE"""),45869.71353138841)</f>
        <v>45869.71353</v>
      </c>
      <c r="C1524" s="9">
        <f>IFERROR(__xludf.DUMMYFUNCTION("""COMPUTED_VALUE"""),6205.0)</f>
        <v>6205</v>
      </c>
      <c r="D1524" s="9" t="str">
        <f>IFERROR(__xludf.DUMMYFUNCTION("""COMPUTED_VALUE"""),"Completed")</f>
        <v>Completed</v>
      </c>
    </row>
    <row r="1525">
      <c r="A1525" s="9" t="str">
        <f>IFERROR(__xludf.DUMMYFUNCTION("""COMPUTED_VALUE"""),"G-REQ-01524")</f>
        <v>G-REQ-01524</v>
      </c>
      <c r="B1525" s="11">
        <f>IFERROR(__xludf.DUMMYFUNCTION("""COMPUTED_VALUE"""),45869.784706233826)</f>
        <v>45869.78471</v>
      </c>
      <c r="C1525" s="9">
        <f>IFERROR(__xludf.DUMMYFUNCTION("""COMPUTED_VALUE"""),6209.0)</f>
        <v>6209</v>
      </c>
      <c r="D1525" s="9" t="str">
        <f>IFERROR(__xludf.DUMMYFUNCTION("""COMPUTED_VALUE"""),"Completed")</f>
        <v>Completed</v>
      </c>
    </row>
    <row r="1526">
      <c r="A1526" s="9" t="str">
        <f>IFERROR(__xludf.DUMMYFUNCTION("""COMPUTED_VALUE"""),"G-REQ-01525")</f>
        <v>G-REQ-01525</v>
      </c>
      <c r="B1526" s="11">
        <f>IFERROR(__xludf.DUMMYFUNCTION("""COMPUTED_VALUE"""),45869.85588107924)</f>
        <v>45869.85588</v>
      </c>
      <c r="C1526" s="9">
        <f>IFERROR(__xludf.DUMMYFUNCTION("""COMPUTED_VALUE"""),6213.0)</f>
        <v>6213</v>
      </c>
      <c r="D1526" s="9" t="str">
        <f>IFERROR(__xludf.DUMMYFUNCTION("""COMPUTED_VALUE"""),"Completed")</f>
        <v>Completed</v>
      </c>
    </row>
    <row r="1527">
      <c r="A1527" s="9" t="str">
        <f>IFERROR(__xludf.DUMMYFUNCTION("""COMPUTED_VALUE"""),"G-REQ-01526")</f>
        <v>G-REQ-01526</v>
      </c>
      <c r="B1527" s="11">
        <f>IFERROR(__xludf.DUMMYFUNCTION("""COMPUTED_VALUE"""),45869.92705592465)</f>
        <v>45869.92706</v>
      </c>
      <c r="C1527" s="9">
        <f>IFERROR(__xludf.DUMMYFUNCTION("""COMPUTED_VALUE"""),6217.0)</f>
        <v>6217</v>
      </c>
      <c r="D1527" s="9" t="str">
        <f>IFERROR(__xludf.DUMMYFUNCTION("""COMPUTED_VALUE"""),"Completed")</f>
        <v>Completed</v>
      </c>
    </row>
    <row r="1528">
      <c r="A1528" s="9" t="str">
        <f>IFERROR(__xludf.DUMMYFUNCTION("""COMPUTED_VALUE"""),"G-REQ-01527")</f>
        <v>G-REQ-01527</v>
      </c>
      <c r="B1528" s="11">
        <f>IFERROR(__xludf.DUMMYFUNCTION("""COMPUTED_VALUE"""),45869.99823077007)</f>
        <v>45869.99823</v>
      </c>
      <c r="C1528" s="9">
        <f>IFERROR(__xludf.DUMMYFUNCTION("""COMPUTED_VALUE"""),6221.0)</f>
        <v>6221</v>
      </c>
      <c r="D1528" s="9" t="str">
        <f>IFERROR(__xludf.DUMMYFUNCTION("""COMPUTED_VALUE"""),"Completed")</f>
        <v>Completed</v>
      </c>
    </row>
    <row r="1529">
      <c r="A1529" s="9" t="str">
        <f>IFERROR(__xludf.DUMMYFUNCTION("""COMPUTED_VALUE"""),"G-REQ-01528")</f>
        <v>G-REQ-01528</v>
      </c>
      <c r="B1529" s="11">
        <f>IFERROR(__xludf.DUMMYFUNCTION("""COMPUTED_VALUE"""),45870.06940561548)</f>
        <v>45870.06941</v>
      </c>
      <c r="C1529" s="9">
        <f>IFERROR(__xludf.DUMMYFUNCTION("""COMPUTED_VALUE"""),6225.0)</f>
        <v>6225</v>
      </c>
      <c r="D1529" s="9" t="str">
        <f>IFERROR(__xludf.DUMMYFUNCTION("""COMPUTED_VALUE"""),"Completed")</f>
        <v>Completed</v>
      </c>
    </row>
    <row r="1530">
      <c r="A1530" s="9" t="str">
        <f>IFERROR(__xludf.DUMMYFUNCTION("""COMPUTED_VALUE"""),"G-REQ-01529")</f>
        <v>G-REQ-01529</v>
      </c>
      <c r="B1530" s="11">
        <f>IFERROR(__xludf.DUMMYFUNCTION("""COMPUTED_VALUE"""),45870.140580460895)</f>
        <v>45870.14058</v>
      </c>
      <c r="C1530" s="9">
        <f>IFERROR(__xludf.DUMMYFUNCTION("""COMPUTED_VALUE"""),6229.0)</f>
        <v>6229</v>
      </c>
      <c r="D1530" s="9" t="str">
        <f>IFERROR(__xludf.DUMMYFUNCTION("""COMPUTED_VALUE"""),"Completed")</f>
        <v>Completed</v>
      </c>
    </row>
    <row r="1531">
      <c r="A1531" s="9" t="str">
        <f>IFERROR(__xludf.DUMMYFUNCTION("""COMPUTED_VALUE"""),"G-REQ-01530")</f>
        <v>G-REQ-01530</v>
      </c>
      <c r="B1531" s="11">
        <f>IFERROR(__xludf.DUMMYFUNCTION("""COMPUTED_VALUE"""),45870.211755306314)</f>
        <v>45870.21176</v>
      </c>
      <c r="C1531" s="9">
        <f>IFERROR(__xludf.DUMMYFUNCTION("""COMPUTED_VALUE"""),6233.0)</f>
        <v>6233</v>
      </c>
      <c r="D1531" s="9" t="str">
        <f>IFERROR(__xludf.DUMMYFUNCTION("""COMPUTED_VALUE"""),"Completed")</f>
        <v>Completed</v>
      </c>
    </row>
    <row r="1532">
      <c r="A1532" s="9" t="str">
        <f>IFERROR(__xludf.DUMMYFUNCTION("""COMPUTED_VALUE"""),"G-REQ-01531")</f>
        <v>G-REQ-01531</v>
      </c>
      <c r="B1532" s="11">
        <f>IFERROR(__xludf.DUMMYFUNCTION("""COMPUTED_VALUE"""),45870.282930151734)</f>
        <v>45870.28293</v>
      </c>
      <c r="C1532" s="9">
        <f>IFERROR(__xludf.DUMMYFUNCTION("""COMPUTED_VALUE"""),6237.0)</f>
        <v>6237</v>
      </c>
      <c r="D1532" s="9" t="str">
        <f>IFERROR(__xludf.DUMMYFUNCTION("""COMPUTED_VALUE"""),"Completed")</f>
        <v>Completed</v>
      </c>
    </row>
    <row r="1533">
      <c r="A1533" s="9" t="str">
        <f>IFERROR(__xludf.DUMMYFUNCTION("""COMPUTED_VALUE"""),"G-REQ-01532")</f>
        <v>G-REQ-01532</v>
      </c>
      <c r="B1533" s="11">
        <f>IFERROR(__xludf.DUMMYFUNCTION("""COMPUTED_VALUE"""),45870.35410499714)</f>
        <v>45870.3541</v>
      </c>
      <c r="C1533" s="9">
        <f>IFERROR(__xludf.DUMMYFUNCTION("""COMPUTED_VALUE"""),6241.0)</f>
        <v>6241</v>
      </c>
      <c r="D1533" s="9" t="str">
        <f>IFERROR(__xludf.DUMMYFUNCTION("""COMPUTED_VALUE"""),"Completed")</f>
        <v>Completed</v>
      </c>
    </row>
    <row r="1534">
      <c r="A1534" s="9" t="str">
        <f>IFERROR(__xludf.DUMMYFUNCTION("""COMPUTED_VALUE"""),"G-REQ-01533")</f>
        <v>G-REQ-01533</v>
      </c>
      <c r="B1534" s="11">
        <f>IFERROR(__xludf.DUMMYFUNCTION("""COMPUTED_VALUE"""),45870.42527984256)</f>
        <v>45870.42528</v>
      </c>
      <c r="C1534" s="9">
        <f>IFERROR(__xludf.DUMMYFUNCTION("""COMPUTED_VALUE"""),6245.0)</f>
        <v>6245</v>
      </c>
      <c r="D1534" s="9" t="str">
        <f>IFERROR(__xludf.DUMMYFUNCTION("""COMPUTED_VALUE"""),"Completed")</f>
        <v>Completed</v>
      </c>
    </row>
    <row r="1535">
      <c r="A1535" s="9" t="str">
        <f>IFERROR(__xludf.DUMMYFUNCTION("""COMPUTED_VALUE"""),"G-REQ-01534")</f>
        <v>G-REQ-01534</v>
      </c>
      <c r="B1535" s="11">
        <f>IFERROR(__xludf.DUMMYFUNCTION("""COMPUTED_VALUE"""),45870.48951024353)</f>
        <v>45870.48951</v>
      </c>
      <c r="C1535" s="9">
        <f>IFERROR(__xludf.DUMMYFUNCTION("""COMPUTED_VALUE"""),6247.0)</f>
        <v>6247</v>
      </c>
      <c r="D1535" s="9" t="str">
        <f>IFERROR(__xludf.DUMMYFUNCTION("""COMPUTED_VALUE"""),"Cancelled")</f>
        <v>Cancelled</v>
      </c>
    </row>
    <row r="1536">
      <c r="A1536" s="9" t="str">
        <f>IFERROR(__xludf.DUMMYFUNCTION("""COMPUTED_VALUE"""),"G-REQ-01535")</f>
        <v>G-REQ-01535</v>
      </c>
      <c r="B1536" s="11">
        <f>IFERROR(__xludf.DUMMYFUNCTION("""COMPUTED_VALUE"""),45870.56762953339)</f>
        <v>45870.56763</v>
      </c>
      <c r="C1536" s="9">
        <f>IFERROR(__xludf.DUMMYFUNCTION("""COMPUTED_VALUE"""),6251.0)</f>
        <v>6251</v>
      </c>
      <c r="D1536" s="9" t="str">
        <f>IFERROR(__xludf.DUMMYFUNCTION("""COMPUTED_VALUE"""),"Completed")</f>
        <v>Completed</v>
      </c>
    </row>
    <row r="1537">
      <c r="A1537" s="9" t="str">
        <f>IFERROR(__xludf.DUMMYFUNCTION("""COMPUTED_VALUE"""),"G-REQ-01536")</f>
        <v>G-REQ-01536</v>
      </c>
      <c r="B1537" s="11">
        <f>IFERROR(__xludf.DUMMYFUNCTION("""COMPUTED_VALUE"""),45870.63185993436)</f>
        <v>45870.63186</v>
      </c>
      <c r="C1537" s="9">
        <f>IFERROR(__xludf.DUMMYFUNCTION("""COMPUTED_VALUE"""),6253.0)</f>
        <v>6253</v>
      </c>
      <c r="D1537" s="9" t="str">
        <f>IFERROR(__xludf.DUMMYFUNCTION("""COMPUTED_VALUE"""),"Cancelled")</f>
        <v>Cancelled</v>
      </c>
    </row>
    <row r="1538">
      <c r="A1538" s="9" t="str">
        <f>IFERROR(__xludf.DUMMYFUNCTION("""COMPUTED_VALUE"""),"G-REQ-01537")</f>
        <v>G-REQ-01537</v>
      </c>
      <c r="B1538" s="11">
        <f>IFERROR(__xludf.DUMMYFUNCTION("""COMPUTED_VALUE"""),45870.70997922422)</f>
        <v>45870.70998</v>
      </c>
      <c r="C1538" s="9">
        <f>IFERROR(__xludf.DUMMYFUNCTION("""COMPUTED_VALUE"""),6257.0)</f>
        <v>6257</v>
      </c>
      <c r="D1538" s="9" t="str">
        <f>IFERROR(__xludf.DUMMYFUNCTION("""COMPUTED_VALUE"""),"Completed")</f>
        <v>Completed</v>
      </c>
    </row>
    <row r="1539">
      <c r="A1539" s="9" t="str">
        <f>IFERROR(__xludf.DUMMYFUNCTION("""COMPUTED_VALUE"""),"G-REQ-01538")</f>
        <v>G-REQ-01538</v>
      </c>
      <c r="B1539" s="11">
        <f>IFERROR(__xludf.DUMMYFUNCTION("""COMPUTED_VALUE"""),45870.781154069635)</f>
        <v>45870.78115</v>
      </c>
      <c r="C1539" s="9">
        <f>IFERROR(__xludf.DUMMYFUNCTION("""COMPUTED_VALUE"""),6261.0)</f>
        <v>6261</v>
      </c>
      <c r="D1539" s="9" t="str">
        <f>IFERROR(__xludf.DUMMYFUNCTION("""COMPUTED_VALUE"""),"Completed")</f>
        <v>Completed</v>
      </c>
    </row>
    <row r="1540">
      <c r="A1540" s="9" t="str">
        <f>IFERROR(__xludf.DUMMYFUNCTION("""COMPUTED_VALUE"""),"G-REQ-01539")</f>
        <v>G-REQ-01539</v>
      </c>
      <c r="B1540" s="11">
        <f>IFERROR(__xludf.DUMMYFUNCTION("""COMPUTED_VALUE"""),45870.85232891505)</f>
        <v>45870.85233</v>
      </c>
      <c r="C1540" s="9">
        <f>IFERROR(__xludf.DUMMYFUNCTION("""COMPUTED_VALUE"""),6265.0)</f>
        <v>6265</v>
      </c>
      <c r="D1540" s="9" t="str">
        <f>IFERROR(__xludf.DUMMYFUNCTION("""COMPUTED_VALUE"""),"Completed")</f>
        <v>Completed</v>
      </c>
    </row>
    <row r="1541">
      <c r="A1541" s="9" t="str">
        <f>IFERROR(__xludf.DUMMYFUNCTION("""COMPUTED_VALUE"""),"G-REQ-01540")</f>
        <v>G-REQ-01540</v>
      </c>
      <c r="B1541" s="11">
        <f>IFERROR(__xludf.DUMMYFUNCTION("""COMPUTED_VALUE"""),45870.92350376047)</f>
        <v>45870.9235</v>
      </c>
      <c r="C1541" s="9">
        <f>IFERROR(__xludf.DUMMYFUNCTION("""COMPUTED_VALUE"""),6269.0)</f>
        <v>6269</v>
      </c>
      <c r="D1541" s="9" t="str">
        <f>IFERROR(__xludf.DUMMYFUNCTION("""COMPUTED_VALUE"""),"Completed")</f>
        <v>Completed</v>
      </c>
    </row>
    <row r="1542">
      <c r="A1542" s="9" t="str">
        <f>IFERROR(__xludf.DUMMYFUNCTION("""COMPUTED_VALUE"""),"G-REQ-01541")</f>
        <v>G-REQ-01541</v>
      </c>
      <c r="B1542" s="11">
        <f>IFERROR(__xludf.DUMMYFUNCTION("""COMPUTED_VALUE"""),45870.994678605886)</f>
        <v>45870.99468</v>
      </c>
      <c r="C1542" s="9">
        <f>IFERROR(__xludf.DUMMYFUNCTION("""COMPUTED_VALUE"""),6273.0)</f>
        <v>6273</v>
      </c>
      <c r="D1542" s="9" t="str">
        <f>IFERROR(__xludf.DUMMYFUNCTION("""COMPUTED_VALUE"""),"Completed")</f>
        <v>Completed</v>
      </c>
    </row>
    <row r="1543">
      <c r="A1543" s="9" t="str">
        <f>IFERROR(__xludf.DUMMYFUNCTION("""COMPUTED_VALUE"""),"G-REQ-01542")</f>
        <v>G-REQ-01542</v>
      </c>
      <c r="B1543" s="11">
        <f>IFERROR(__xludf.DUMMYFUNCTION("""COMPUTED_VALUE"""),45871.06585345129)</f>
        <v>45871.06585</v>
      </c>
      <c r="C1543" s="9">
        <f>IFERROR(__xludf.DUMMYFUNCTION("""COMPUTED_VALUE"""),6277.0)</f>
        <v>6277</v>
      </c>
      <c r="D1543" s="9" t="str">
        <f>IFERROR(__xludf.DUMMYFUNCTION("""COMPUTED_VALUE"""),"Completed")</f>
        <v>Completed</v>
      </c>
    </row>
    <row r="1544">
      <c r="A1544" s="9" t="str">
        <f>IFERROR(__xludf.DUMMYFUNCTION("""COMPUTED_VALUE"""),"G-REQ-01543")</f>
        <v>G-REQ-01543</v>
      </c>
      <c r="B1544" s="11">
        <f>IFERROR(__xludf.DUMMYFUNCTION("""COMPUTED_VALUE"""),45871.13702829671)</f>
        <v>45871.13703</v>
      </c>
      <c r="C1544" s="9">
        <f>IFERROR(__xludf.DUMMYFUNCTION("""COMPUTED_VALUE"""),6281.0)</f>
        <v>6281</v>
      </c>
      <c r="D1544" s="9" t="str">
        <f>IFERROR(__xludf.DUMMYFUNCTION("""COMPUTED_VALUE"""),"Completed")</f>
        <v>Completed</v>
      </c>
    </row>
    <row r="1545">
      <c r="A1545" s="9" t="str">
        <f>IFERROR(__xludf.DUMMYFUNCTION("""COMPUTED_VALUE"""),"G-REQ-01544")</f>
        <v>G-REQ-01544</v>
      </c>
      <c r="B1545" s="11">
        <f>IFERROR(__xludf.DUMMYFUNCTION("""COMPUTED_VALUE"""),45871.20820314212)</f>
        <v>45871.2082</v>
      </c>
      <c r="C1545" s="9">
        <f>IFERROR(__xludf.DUMMYFUNCTION("""COMPUTED_VALUE"""),6285.0)</f>
        <v>6285</v>
      </c>
      <c r="D1545" s="9" t="str">
        <f>IFERROR(__xludf.DUMMYFUNCTION("""COMPUTED_VALUE"""),"Completed")</f>
        <v>Completed</v>
      </c>
    </row>
    <row r="1546">
      <c r="A1546" s="9" t="str">
        <f>IFERROR(__xludf.DUMMYFUNCTION("""COMPUTED_VALUE"""),"G-REQ-01545")</f>
        <v>G-REQ-01545</v>
      </c>
      <c r="B1546" s="11">
        <f>IFERROR(__xludf.DUMMYFUNCTION("""COMPUTED_VALUE"""),45871.27937798754)</f>
        <v>45871.27938</v>
      </c>
      <c r="C1546" s="9">
        <f>IFERROR(__xludf.DUMMYFUNCTION("""COMPUTED_VALUE"""),6289.0)</f>
        <v>6289</v>
      </c>
      <c r="D1546" s="9" t="str">
        <f>IFERROR(__xludf.DUMMYFUNCTION("""COMPUTED_VALUE"""),"Completed")</f>
        <v>Completed</v>
      </c>
    </row>
    <row r="1547">
      <c r="A1547" s="9" t="str">
        <f>IFERROR(__xludf.DUMMYFUNCTION("""COMPUTED_VALUE"""),"G-REQ-01546")</f>
        <v>G-REQ-01546</v>
      </c>
      <c r="B1547" s="11">
        <f>IFERROR(__xludf.DUMMYFUNCTION("""COMPUTED_VALUE"""),45871.350552832955)</f>
        <v>45871.35055</v>
      </c>
      <c r="C1547" s="9">
        <f>IFERROR(__xludf.DUMMYFUNCTION("""COMPUTED_VALUE"""),6293.0)</f>
        <v>6293</v>
      </c>
      <c r="D1547" s="9" t="str">
        <f>IFERROR(__xludf.DUMMYFUNCTION("""COMPUTED_VALUE"""),"Completed")</f>
        <v>Completed</v>
      </c>
    </row>
    <row r="1548">
      <c r="A1548" s="9" t="str">
        <f>IFERROR(__xludf.DUMMYFUNCTION("""COMPUTED_VALUE"""),"G-REQ-01547")</f>
        <v>G-REQ-01547</v>
      </c>
      <c r="B1548" s="11">
        <f>IFERROR(__xludf.DUMMYFUNCTION("""COMPUTED_VALUE"""),45871.41478323393)</f>
        <v>45871.41478</v>
      </c>
      <c r="C1548" s="9">
        <f>IFERROR(__xludf.DUMMYFUNCTION("""COMPUTED_VALUE"""),6295.0)</f>
        <v>6295</v>
      </c>
      <c r="D1548" s="9" t="str">
        <f>IFERROR(__xludf.DUMMYFUNCTION("""COMPUTED_VALUE"""),"Rejected")</f>
        <v>Rejected</v>
      </c>
    </row>
    <row r="1549">
      <c r="A1549" s="9" t="str">
        <f>IFERROR(__xludf.DUMMYFUNCTION("""COMPUTED_VALUE"""),"G-REQ-01548")</f>
        <v>G-REQ-01548</v>
      </c>
      <c r="B1549" s="11">
        <f>IFERROR(__xludf.DUMMYFUNCTION("""COMPUTED_VALUE"""),45871.49290252378)</f>
        <v>45871.4929</v>
      </c>
      <c r="C1549" s="9">
        <f>IFERROR(__xludf.DUMMYFUNCTION("""COMPUTED_VALUE"""),6299.0)</f>
        <v>6299</v>
      </c>
      <c r="D1549" s="9" t="str">
        <f>IFERROR(__xludf.DUMMYFUNCTION("""COMPUTED_VALUE"""),"Completed")</f>
        <v>Completed</v>
      </c>
    </row>
    <row r="1550">
      <c r="A1550" s="9" t="str">
        <f>IFERROR(__xludf.DUMMYFUNCTION("""COMPUTED_VALUE"""),"G-REQ-01549")</f>
        <v>G-REQ-01549</v>
      </c>
      <c r="B1550" s="11">
        <f>IFERROR(__xludf.DUMMYFUNCTION("""COMPUTED_VALUE"""),45871.5640773692)</f>
        <v>45871.56408</v>
      </c>
      <c r="C1550" s="9">
        <f>IFERROR(__xludf.DUMMYFUNCTION("""COMPUTED_VALUE"""),6303.0)</f>
        <v>6303</v>
      </c>
      <c r="D1550" s="9" t="str">
        <f>IFERROR(__xludf.DUMMYFUNCTION("""COMPUTED_VALUE"""),"Completed")</f>
        <v>Completed</v>
      </c>
    </row>
    <row r="1551">
      <c r="A1551" s="9" t="str">
        <f>IFERROR(__xludf.DUMMYFUNCTION("""COMPUTED_VALUE"""),"G-REQ-01550")</f>
        <v>G-REQ-01550</v>
      </c>
      <c r="B1551" s="11">
        <f>IFERROR(__xludf.DUMMYFUNCTION("""COMPUTED_VALUE"""),45871.63525221462)</f>
        <v>45871.63525</v>
      </c>
      <c r="C1551" s="9">
        <f>IFERROR(__xludf.DUMMYFUNCTION("""COMPUTED_VALUE"""),6307.0)</f>
        <v>6307</v>
      </c>
      <c r="D1551" s="9" t="str">
        <f>IFERROR(__xludf.DUMMYFUNCTION("""COMPUTED_VALUE"""),"Completed")</f>
        <v>Completed</v>
      </c>
    </row>
    <row r="1552">
      <c r="A1552" s="9" t="str">
        <f>IFERROR(__xludf.DUMMYFUNCTION("""COMPUTED_VALUE"""),"G-REQ-01551")</f>
        <v>G-REQ-01551</v>
      </c>
      <c r="B1552" s="11">
        <f>IFERROR(__xludf.DUMMYFUNCTION("""COMPUTED_VALUE"""),45871.70642706003)</f>
        <v>45871.70643</v>
      </c>
      <c r="C1552" s="9">
        <f>IFERROR(__xludf.DUMMYFUNCTION("""COMPUTED_VALUE"""),6311.0)</f>
        <v>6311</v>
      </c>
      <c r="D1552" s="9" t="str">
        <f>IFERROR(__xludf.DUMMYFUNCTION("""COMPUTED_VALUE"""),"Completed")</f>
        <v>Completed</v>
      </c>
    </row>
    <row r="1553">
      <c r="A1553" s="9" t="str">
        <f>IFERROR(__xludf.DUMMYFUNCTION("""COMPUTED_VALUE"""),"G-REQ-01552")</f>
        <v>G-REQ-01552</v>
      </c>
      <c r="B1553" s="11">
        <f>IFERROR(__xludf.DUMMYFUNCTION("""COMPUTED_VALUE"""),45871.77760190544)</f>
        <v>45871.7776</v>
      </c>
      <c r="C1553" s="9">
        <f>IFERROR(__xludf.DUMMYFUNCTION("""COMPUTED_VALUE"""),6315.0)</f>
        <v>6315</v>
      </c>
      <c r="D1553" s="9" t="str">
        <f>IFERROR(__xludf.DUMMYFUNCTION("""COMPUTED_VALUE"""),"Completed")</f>
        <v>Completed</v>
      </c>
    </row>
    <row r="1554">
      <c r="A1554" s="9" t="str">
        <f>IFERROR(__xludf.DUMMYFUNCTION("""COMPUTED_VALUE"""),"G-REQ-01553")</f>
        <v>G-REQ-01553</v>
      </c>
      <c r="B1554" s="11">
        <f>IFERROR(__xludf.DUMMYFUNCTION("""COMPUTED_VALUE"""),45871.84877675086)</f>
        <v>45871.84878</v>
      </c>
      <c r="C1554" s="9">
        <f>IFERROR(__xludf.DUMMYFUNCTION("""COMPUTED_VALUE"""),6319.0)</f>
        <v>6319</v>
      </c>
      <c r="D1554" s="9" t="str">
        <f>IFERROR(__xludf.DUMMYFUNCTION("""COMPUTED_VALUE"""),"Completed")</f>
        <v>Completed</v>
      </c>
    </row>
    <row r="1555">
      <c r="A1555" s="9" t="str">
        <f>IFERROR(__xludf.DUMMYFUNCTION("""COMPUTED_VALUE"""),"G-REQ-01554")</f>
        <v>G-REQ-01554</v>
      </c>
      <c r="B1555" s="11">
        <f>IFERROR(__xludf.DUMMYFUNCTION("""COMPUTED_VALUE"""),45871.919951596275)</f>
        <v>45871.91995</v>
      </c>
      <c r="C1555" s="9">
        <f>IFERROR(__xludf.DUMMYFUNCTION("""COMPUTED_VALUE"""),6323.0)</f>
        <v>6323</v>
      </c>
      <c r="D1555" s="9" t="str">
        <f>IFERROR(__xludf.DUMMYFUNCTION("""COMPUTED_VALUE"""),"Completed")</f>
        <v>Completed</v>
      </c>
    </row>
    <row r="1556">
      <c r="A1556" s="9" t="str">
        <f>IFERROR(__xludf.DUMMYFUNCTION("""COMPUTED_VALUE"""),"G-REQ-01555")</f>
        <v>G-REQ-01555</v>
      </c>
      <c r="B1556" s="11">
        <f>IFERROR(__xludf.DUMMYFUNCTION("""COMPUTED_VALUE"""),45871.99112644169)</f>
        <v>45871.99113</v>
      </c>
      <c r="C1556" s="9">
        <f>IFERROR(__xludf.DUMMYFUNCTION("""COMPUTED_VALUE"""),6327.0)</f>
        <v>6327</v>
      </c>
      <c r="D1556" s="9" t="str">
        <f>IFERROR(__xludf.DUMMYFUNCTION("""COMPUTED_VALUE"""),"Completed")</f>
        <v>Completed</v>
      </c>
    </row>
    <row r="1557">
      <c r="A1557" s="9" t="str">
        <f>IFERROR(__xludf.DUMMYFUNCTION("""COMPUTED_VALUE"""),"G-REQ-01556")</f>
        <v>G-REQ-01556</v>
      </c>
      <c r="B1557" s="11">
        <f>IFERROR(__xludf.DUMMYFUNCTION("""COMPUTED_VALUE"""),45872.06230128711)</f>
        <v>45872.0623</v>
      </c>
      <c r="C1557" s="9">
        <f>IFERROR(__xludf.DUMMYFUNCTION("""COMPUTED_VALUE"""),6331.0)</f>
        <v>6331</v>
      </c>
      <c r="D1557" s="9" t="str">
        <f>IFERROR(__xludf.DUMMYFUNCTION("""COMPUTED_VALUE"""),"Completed")</f>
        <v>Completed</v>
      </c>
    </row>
    <row r="1558">
      <c r="A1558" s="9" t="str">
        <f>IFERROR(__xludf.DUMMYFUNCTION("""COMPUTED_VALUE"""),"G-REQ-01557")</f>
        <v>G-REQ-01557</v>
      </c>
      <c r="B1558" s="11">
        <f>IFERROR(__xludf.DUMMYFUNCTION("""COMPUTED_VALUE"""),45872.13347613253)</f>
        <v>45872.13348</v>
      </c>
      <c r="C1558" s="9">
        <f>IFERROR(__xludf.DUMMYFUNCTION("""COMPUTED_VALUE"""),6335.0)</f>
        <v>6335</v>
      </c>
      <c r="D1558" s="9" t="str">
        <f>IFERROR(__xludf.DUMMYFUNCTION("""COMPUTED_VALUE"""),"Completed")</f>
        <v>Completed</v>
      </c>
    </row>
    <row r="1559">
      <c r="A1559" s="9" t="str">
        <f>IFERROR(__xludf.DUMMYFUNCTION("""COMPUTED_VALUE"""),"G-REQ-01558")</f>
        <v>G-REQ-01558</v>
      </c>
      <c r="B1559" s="11">
        <f>IFERROR(__xludf.DUMMYFUNCTION("""COMPUTED_VALUE"""),45872.19770653349)</f>
        <v>45872.19771</v>
      </c>
      <c r="C1559" s="9">
        <f>IFERROR(__xludf.DUMMYFUNCTION("""COMPUTED_VALUE"""),6337.0)</f>
        <v>6337</v>
      </c>
      <c r="D1559" s="9" t="str">
        <f>IFERROR(__xludf.DUMMYFUNCTION("""COMPUTED_VALUE"""),"Rejected")</f>
        <v>Rejected</v>
      </c>
    </row>
    <row r="1560">
      <c r="A1560" s="9" t="str">
        <f>IFERROR(__xludf.DUMMYFUNCTION("""COMPUTED_VALUE"""),"G-REQ-01559")</f>
        <v>G-REQ-01559</v>
      </c>
      <c r="B1560" s="11">
        <f>IFERROR(__xludf.DUMMYFUNCTION("""COMPUTED_VALUE"""),45872.27582582335)</f>
        <v>45872.27583</v>
      </c>
      <c r="C1560" s="9">
        <f>IFERROR(__xludf.DUMMYFUNCTION("""COMPUTED_VALUE"""),6341.0)</f>
        <v>6341</v>
      </c>
      <c r="D1560" s="9" t="str">
        <f>IFERROR(__xludf.DUMMYFUNCTION("""COMPUTED_VALUE"""),"Completed")</f>
        <v>Completed</v>
      </c>
    </row>
    <row r="1561">
      <c r="A1561" s="9" t="str">
        <f>IFERROR(__xludf.DUMMYFUNCTION("""COMPUTED_VALUE"""),"G-REQ-01560")</f>
        <v>G-REQ-01560</v>
      </c>
      <c r="B1561" s="11">
        <f>IFERROR(__xludf.DUMMYFUNCTION("""COMPUTED_VALUE"""),45872.34700066877)</f>
        <v>45872.347</v>
      </c>
      <c r="C1561" s="9">
        <f>IFERROR(__xludf.DUMMYFUNCTION("""COMPUTED_VALUE"""),6345.0)</f>
        <v>6345</v>
      </c>
      <c r="D1561" s="9" t="str">
        <f>IFERROR(__xludf.DUMMYFUNCTION("""COMPUTED_VALUE"""),"Completed")</f>
        <v>Completed</v>
      </c>
    </row>
    <row r="1562">
      <c r="A1562" s="9" t="str">
        <f>IFERROR(__xludf.DUMMYFUNCTION("""COMPUTED_VALUE"""),"G-REQ-01561")</f>
        <v>G-REQ-01561</v>
      </c>
      <c r="B1562" s="11">
        <f>IFERROR(__xludf.DUMMYFUNCTION("""COMPUTED_VALUE"""),45872.41817551418)</f>
        <v>45872.41818</v>
      </c>
      <c r="C1562" s="9">
        <f>IFERROR(__xludf.DUMMYFUNCTION("""COMPUTED_VALUE"""),6349.0)</f>
        <v>6349</v>
      </c>
      <c r="D1562" s="9" t="str">
        <f>IFERROR(__xludf.DUMMYFUNCTION("""COMPUTED_VALUE"""),"Completed")</f>
        <v>Completed</v>
      </c>
    </row>
    <row r="1563">
      <c r="A1563" s="9" t="str">
        <f>IFERROR(__xludf.DUMMYFUNCTION("""COMPUTED_VALUE"""),"G-REQ-01562")</f>
        <v>G-REQ-01562</v>
      </c>
      <c r="B1563" s="11">
        <f>IFERROR(__xludf.DUMMYFUNCTION("""COMPUTED_VALUE"""),45872.489350359596)</f>
        <v>45872.48935</v>
      </c>
      <c r="C1563" s="9">
        <f>IFERROR(__xludf.DUMMYFUNCTION("""COMPUTED_VALUE"""),6353.0)</f>
        <v>6353</v>
      </c>
      <c r="D1563" s="9" t="str">
        <f>IFERROR(__xludf.DUMMYFUNCTION("""COMPUTED_VALUE"""),"Completed")</f>
        <v>Completed</v>
      </c>
    </row>
    <row r="1564">
      <c r="A1564" s="9" t="str">
        <f>IFERROR(__xludf.DUMMYFUNCTION("""COMPUTED_VALUE"""),"G-REQ-01563")</f>
        <v>G-REQ-01563</v>
      </c>
      <c r="B1564" s="11">
        <f>IFERROR(__xludf.DUMMYFUNCTION("""COMPUTED_VALUE"""),45872.55358076057)</f>
        <v>45872.55358</v>
      </c>
      <c r="C1564" s="9">
        <f>IFERROR(__xludf.DUMMYFUNCTION("""COMPUTED_VALUE"""),6355.0)</f>
        <v>6355</v>
      </c>
      <c r="D1564" s="9" t="str">
        <f>IFERROR(__xludf.DUMMYFUNCTION("""COMPUTED_VALUE"""),"Rejected")</f>
        <v>Rejected</v>
      </c>
    </row>
    <row r="1565">
      <c r="A1565" s="9" t="str">
        <f>IFERROR(__xludf.DUMMYFUNCTION("""COMPUTED_VALUE"""),"G-REQ-01564")</f>
        <v>G-REQ-01564</v>
      </c>
      <c r="B1565" s="11">
        <f>IFERROR(__xludf.DUMMYFUNCTION("""COMPUTED_VALUE"""),45872.63170005043)</f>
        <v>45872.6317</v>
      </c>
      <c r="C1565" s="9">
        <f>IFERROR(__xludf.DUMMYFUNCTION("""COMPUTED_VALUE"""),6359.0)</f>
        <v>6359</v>
      </c>
      <c r="D1565" s="9" t="str">
        <f>IFERROR(__xludf.DUMMYFUNCTION("""COMPUTED_VALUE"""),"Completed")</f>
        <v>Completed</v>
      </c>
    </row>
    <row r="1566">
      <c r="A1566" s="9" t="str">
        <f>IFERROR(__xludf.DUMMYFUNCTION("""COMPUTED_VALUE"""),"G-REQ-01565")</f>
        <v>G-REQ-01565</v>
      </c>
      <c r="B1566" s="11">
        <f>IFERROR(__xludf.DUMMYFUNCTION("""COMPUTED_VALUE"""),45872.70287489584)</f>
        <v>45872.70287</v>
      </c>
      <c r="C1566" s="9">
        <f>IFERROR(__xludf.DUMMYFUNCTION("""COMPUTED_VALUE"""),6363.0)</f>
        <v>6363</v>
      </c>
      <c r="D1566" s="9" t="str">
        <f>IFERROR(__xludf.DUMMYFUNCTION("""COMPUTED_VALUE"""),"Completed")</f>
        <v>Completed</v>
      </c>
    </row>
    <row r="1567">
      <c r="A1567" s="9" t="str">
        <f>IFERROR(__xludf.DUMMYFUNCTION("""COMPUTED_VALUE"""),"G-REQ-01566")</f>
        <v>G-REQ-01566</v>
      </c>
      <c r="B1567" s="11">
        <f>IFERROR(__xludf.DUMMYFUNCTION("""COMPUTED_VALUE"""),45872.77404974126)</f>
        <v>45872.77405</v>
      </c>
      <c r="C1567" s="9">
        <f>IFERROR(__xludf.DUMMYFUNCTION("""COMPUTED_VALUE"""),6367.0)</f>
        <v>6367</v>
      </c>
      <c r="D1567" s="9" t="str">
        <f>IFERROR(__xludf.DUMMYFUNCTION("""COMPUTED_VALUE"""),"Completed")</f>
        <v>Completed</v>
      </c>
    </row>
    <row r="1568">
      <c r="A1568" s="9" t="str">
        <f>IFERROR(__xludf.DUMMYFUNCTION("""COMPUTED_VALUE"""),"G-REQ-01567")</f>
        <v>G-REQ-01567</v>
      </c>
      <c r="B1568" s="11">
        <f>IFERROR(__xludf.DUMMYFUNCTION("""COMPUTED_VALUE"""),45872.84522458667)</f>
        <v>45872.84522</v>
      </c>
      <c r="C1568" s="9">
        <f>IFERROR(__xludf.DUMMYFUNCTION("""COMPUTED_VALUE"""),6371.0)</f>
        <v>6371</v>
      </c>
      <c r="D1568" s="9" t="str">
        <f>IFERROR(__xludf.DUMMYFUNCTION("""COMPUTED_VALUE"""),"Completed")</f>
        <v>Completed</v>
      </c>
    </row>
    <row r="1569">
      <c r="A1569" s="9" t="str">
        <f>IFERROR(__xludf.DUMMYFUNCTION("""COMPUTED_VALUE"""),"G-REQ-01568")</f>
        <v>G-REQ-01568</v>
      </c>
      <c r="B1569" s="11">
        <f>IFERROR(__xludf.DUMMYFUNCTION("""COMPUTED_VALUE"""),45872.916399432084)</f>
        <v>45872.9164</v>
      </c>
      <c r="C1569" s="9">
        <f>IFERROR(__xludf.DUMMYFUNCTION("""COMPUTED_VALUE"""),6375.0)</f>
        <v>6375</v>
      </c>
      <c r="D1569" s="9" t="str">
        <f>IFERROR(__xludf.DUMMYFUNCTION("""COMPUTED_VALUE"""),"Completed")</f>
        <v>Completed</v>
      </c>
    </row>
    <row r="1570">
      <c r="A1570" s="9" t="str">
        <f>IFERROR(__xludf.DUMMYFUNCTION("""COMPUTED_VALUE"""),"G-REQ-01569")</f>
        <v>G-REQ-01569</v>
      </c>
      <c r="B1570" s="11">
        <f>IFERROR(__xludf.DUMMYFUNCTION("""COMPUTED_VALUE"""),45872.987574277504)</f>
        <v>45872.98757</v>
      </c>
      <c r="C1570" s="9">
        <f>IFERROR(__xludf.DUMMYFUNCTION("""COMPUTED_VALUE"""),6379.0)</f>
        <v>6379</v>
      </c>
      <c r="D1570" s="9" t="str">
        <f>IFERROR(__xludf.DUMMYFUNCTION("""COMPUTED_VALUE"""),"Completed")</f>
        <v>Completed</v>
      </c>
    </row>
    <row r="1571">
      <c r="A1571" s="9" t="str">
        <f>IFERROR(__xludf.DUMMYFUNCTION("""COMPUTED_VALUE"""),"G-REQ-01570")</f>
        <v>G-REQ-01570</v>
      </c>
      <c r="B1571" s="11">
        <f>IFERROR(__xludf.DUMMYFUNCTION("""COMPUTED_VALUE"""),45873.058749122916)</f>
        <v>45873.05875</v>
      </c>
      <c r="C1571" s="9">
        <f>IFERROR(__xludf.DUMMYFUNCTION("""COMPUTED_VALUE"""),6383.0)</f>
        <v>6383</v>
      </c>
      <c r="D1571" s="9" t="str">
        <f>IFERROR(__xludf.DUMMYFUNCTION("""COMPUTED_VALUE"""),"Completed")</f>
        <v>Completed</v>
      </c>
    </row>
    <row r="1572">
      <c r="A1572" s="9" t="str">
        <f>IFERROR(__xludf.DUMMYFUNCTION("""COMPUTED_VALUE"""),"G-REQ-01571")</f>
        <v>G-REQ-01571</v>
      </c>
      <c r="B1572" s="11">
        <f>IFERROR(__xludf.DUMMYFUNCTION("""COMPUTED_VALUE"""),45873.12297952388)</f>
        <v>45873.12298</v>
      </c>
      <c r="C1572" s="9">
        <f>IFERROR(__xludf.DUMMYFUNCTION("""COMPUTED_VALUE"""),6385.0)</f>
        <v>6385</v>
      </c>
      <c r="D1572" s="9" t="str">
        <f>IFERROR(__xludf.DUMMYFUNCTION("""COMPUTED_VALUE"""),"Rejected")</f>
        <v>Rejected</v>
      </c>
    </row>
    <row r="1573">
      <c r="A1573" s="9" t="str">
        <f>IFERROR(__xludf.DUMMYFUNCTION("""COMPUTED_VALUE"""),"G-REQ-01572")</f>
        <v>G-REQ-01572</v>
      </c>
      <c r="B1573" s="11">
        <f>IFERROR(__xludf.DUMMYFUNCTION("""COMPUTED_VALUE"""),45873.20109881375)</f>
        <v>45873.2011</v>
      </c>
      <c r="C1573" s="9">
        <f>IFERROR(__xludf.DUMMYFUNCTION("""COMPUTED_VALUE"""),6389.0)</f>
        <v>6389</v>
      </c>
      <c r="D1573" s="9" t="str">
        <f>IFERROR(__xludf.DUMMYFUNCTION("""COMPUTED_VALUE"""),"Completed")</f>
        <v>Completed</v>
      </c>
    </row>
    <row r="1574">
      <c r="A1574" s="9" t="str">
        <f>IFERROR(__xludf.DUMMYFUNCTION("""COMPUTED_VALUE"""),"G-REQ-01573")</f>
        <v>G-REQ-01573</v>
      </c>
      <c r="B1574" s="11">
        <f>IFERROR(__xludf.DUMMYFUNCTION("""COMPUTED_VALUE"""),45873.27227365917)</f>
        <v>45873.27227</v>
      </c>
      <c r="C1574" s="9">
        <f>IFERROR(__xludf.DUMMYFUNCTION("""COMPUTED_VALUE"""),6393.0)</f>
        <v>6393</v>
      </c>
      <c r="D1574" s="9" t="str">
        <f>IFERROR(__xludf.DUMMYFUNCTION("""COMPUTED_VALUE"""),"Completed")</f>
        <v>Completed</v>
      </c>
    </row>
    <row r="1575">
      <c r="A1575" s="9" t="str">
        <f>IFERROR(__xludf.DUMMYFUNCTION("""COMPUTED_VALUE"""),"G-REQ-01574")</f>
        <v>G-REQ-01574</v>
      </c>
      <c r="B1575" s="11">
        <f>IFERROR(__xludf.DUMMYFUNCTION("""COMPUTED_VALUE"""),45873.34344850457)</f>
        <v>45873.34345</v>
      </c>
      <c r="C1575" s="9">
        <f>IFERROR(__xludf.DUMMYFUNCTION("""COMPUTED_VALUE"""),6397.0)</f>
        <v>6397</v>
      </c>
      <c r="D1575" s="9" t="str">
        <f>IFERROR(__xludf.DUMMYFUNCTION("""COMPUTED_VALUE"""),"Completed")</f>
        <v>Completed</v>
      </c>
    </row>
    <row r="1576">
      <c r="A1576" s="9" t="str">
        <f>IFERROR(__xludf.DUMMYFUNCTION("""COMPUTED_VALUE"""),"G-REQ-01575")</f>
        <v>G-REQ-01575</v>
      </c>
      <c r="B1576" s="11">
        <f>IFERROR(__xludf.DUMMYFUNCTION("""COMPUTED_VALUE"""),45873.41462334999)</f>
        <v>45873.41462</v>
      </c>
      <c r="C1576" s="9">
        <f>IFERROR(__xludf.DUMMYFUNCTION("""COMPUTED_VALUE"""),6401.0)</f>
        <v>6401</v>
      </c>
      <c r="D1576" s="9" t="str">
        <f>IFERROR(__xludf.DUMMYFUNCTION("""COMPUTED_VALUE"""),"Completed")</f>
        <v>Completed</v>
      </c>
    </row>
    <row r="1577">
      <c r="A1577" s="9" t="str">
        <f>IFERROR(__xludf.DUMMYFUNCTION("""COMPUTED_VALUE"""),"G-REQ-01576")</f>
        <v>G-REQ-01576</v>
      </c>
      <c r="B1577" s="11">
        <f>IFERROR(__xludf.DUMMYFUNCTION("""COMPUTED_VALUE"""),45873.48579819541)</f>
        <v>45873.4858</v>
      </c>
      <c r="C1577" s="9">
        <f>IFERROR(__xludf.DUMMYFUNCTION("""COMPUTED_VALUE"""),6405.0)</f>
        <v>6405</v>
      </c>
      <c r="D1577" s="9" t="str">
        <f>IFERROR(__xludf.DUMMYFUNCTION("""COMPUTED_VALUE"""),"Completed")</f>
        <v>Completed</v>
      </c>
    </row>
    <row r="1578">
      <c r="A1578" s="9" t="str">
        <f>IFERROR(__xludf.DUMMYFUNCTION("""COMPUTED_VALUE"""),"G-REQ-01577")</f>
        <v>G-REQ-01577</v>
      </c>
      <c r="B1578" s="11">
        <f>IFERROR(__xludf.DUMMYFUNCTION("""COMPUTED_VALUE"""),45873.556973040824)</f>
        <v>45873.55697</v>
      </c>
      <c r="C1578" s="9">
        <f>IFERROR(__xludf.DUMMYFUNCTION("""COMPUTED_VALUE"""),6409.0)</f>
        <v>6409</v>
      </c>
      <c r="D1578" s="9" t="str">
        <f>IFERROR(__xludf.DUMMYFUNCTION("""COMPUTED_VALUE"""),"Completed")</f>
        <v>Completed</v>
      </c>
    </row>
    <row r="1579">
      <c r="A1579" s="9" t="str">
        <f>IFERROR(__xludf.DUMMYFUNCTION("""COMPUTED_VALUE"""),"G-REQ-01578")</f>
        <v>G-REQ-01578</v>
      </c>
      <c r="B1579" s="11">
        <f>IFERROR(__xludf.DUMMYFUNCTION("""COMPUTED_VALUE"""),45873.62814788624)</f>
        <v>45873.62815</v>
      </c>
      <c r="C1579" s="9">
        <f>IFERROR(__xludf.DUMMYFUNCTION("""COMPUTED_VALUE"""),6413.0)</f>
        <v>6413</v>
      </c>
      <c r="D1579" s="9" t="str">
        <f>IFERROR(__xludf.DUMMYFUNCTION("""COMPUTED_VALUE"""),"Completed")</f>
        <v>Completed</v>
      </c>
    </row>
    <row r="1580">
      <c r="A1580" s="9" t="str">
        <f>IFERROR(__xludf.DUMMYFUNCTION("""COMPUTED_VALUE"""),"G-REQ-01579")</f>
        <v>G-REQ-01579</v>
      </c>
      <c r="B1580" s="11">
        <f>IFERROR(__xludf.DUMMYFUNCTION("""COMPUTED_VALUE"""),45873.699322731656)</f>
        <v>45873.69932</v>
      </c>
      <c r="C1580" s="9">
        <f>IFERROR(__xludf.DUMMYFUNCTION("""COMPUTED_VALUE"""),6417.0)</f>
        <v>6417</v>
      </c>
      <c r="D1580" s="9" t="str">
        <f>IFERROR(__xludf.DUMMYFUNCTION("""COMPUTED_VALUE"""),"Completed")</f>
        <v>Completed</v>
      </c>
    </row>
    <row r="1581">
      <c r="A1581" s="9" t="str">
        <f>IFERROR(__xludf.DUMMYFUNCTION("""COMPUTED_VALUE"""),"G-REQ-01580")</f>
        <v>G-REQ-01580</v>
      </c>
      <c r="B1581" s="11">
        <f>IFERROR(__xludf.DUMMYFUNCTION("""COMPUTED_VALUE"""),45873.77049757707)</f>
        <v>45873.7705</v>
      </c>
      <c r="C1581" s="9">
        <f>IFERROR(__xludf.DUMMYFUNCTION("""COMPUTED_VALUE"""),6421.0)</f>
        <v>6421</v>
      </c>
      <c r="D1581" s="9" t="str">
        <f>IFERROR(__xludf.DUMMYFUNCTION("""COMPUTED_VALUE"""),"Completed")</f>
        <v>Completed</v>
      </c>
    </row>
    <row r="1582">
      <c r="A1582" s="9" t="str">
        <f>IFERROR(__xludf.DUMMYFUNCTION("""COMPUTED_VALUE"""),"G-REQ-01581")</f>
        <v>G-REQ-01581</v>
      </c>
      <c r="B1582" s="11">
        <f>IFERROR(__xludf.DUMMYFUNCTION("""COMPUTED_VALUE"""),45873.84167242248)</f>
        <v>45873.84167</v>
      </c>
      <c r="C1582" s="9">
        <f>IFERROR(__xludf.DUMMYFUNCTION("""COMPUTED_VALUE"""),6425.0)</f>
        <v>6425</v>
      </c>
      <c r="D1582" s="9" t="str">
        <f>IFERROR(__xludf.DUMMYFUNCTION("""COMPUTED_VALUE"""),"Completed")</f>
        <v>Completed</v>
      </c>
    </row>
    <row r="1583">
      <c r="A1583" s="9" t="str">
        <f>IFERROR(__xludf.DUMMYFUNCTION("""COMPUTED_VALUE"""),"G-REQ-01582")</f>
        <v>G-REQ-01582</v>
      </c>
      <c r="B1583" s="11">
        <f>IFERROR(__xludf.DUMMYFUNCTION("""COMPUTED_VALUE"""),45873.9128472679)</f>
        <v>45873.91285</v>
      </c>
      <c r="C1583" s="9">
        <f>IFERROR(__xludf.DUMMYFUNCTION("""COMPUTED_VALUE"""),6429.0)</f>
        <v>6429</v>
      </c>
      <c r="D1583" s="9" t="str">
        <f>IFERROR(__xludf.DUMMYFUNCTION("""COMPUTED_VALUE"""),"Completed")</f>
        <v>Completed</v>
      </c>
    </row>
    <row r="1584">
      <c r="A1584" s="9" t="str">
        <f>IFERROR(__xludf.DUMMYFUNCTION("""COMPUTED_VALUE"""),"G-REQ-01583")</f>
        <v>G-REQ-01583</v>
      </c>
      <c r="B1584" s="11">
        <f>IFERROR(__xludf.DUMMYFUNCTION("""COMPUTED_VALUE"""),45873.98402211332)</f>
        <v>45873.98402</v>
      </c>
      <c r="C1584" s="9">
        <f>IFERROR(__xludf.DUMMYFUNCTION("""COMPUTED_VALUE"""),6433.0)</f>
        <v>6433</v>
      </c>
      <c r="D1584" s="9" t="str">
        <f>IFERROR(__xludf.DUMMYFUNCTION("""COMPUTED_VALUE"""),"Completed")</f>
        <v>Completed</v>
      </c>
    </row>
    <row r="1585">
      <c r="A1585" s="9" t="str">
        <f>IFERROR(__xludf.DUMMYFUNCTION("""COMPUTED_VALUE"""),"G-REQ-01584")</f>
        <v>G-REQ-01584</v>
      </c>
      <c r="B1585" s="11">
        <f>IFERROR(__xludf.DUMMYFUNCTION("""COMPUTED_VALUE"""),45874.055196958725)</f>
        <v>45874.0552</v>
      </c>
      <c r="C1585" s="9">
        <f>IFERROR(__xludf.DUMMYFUNCTION("""COMPUTED_VALUE"""),6437.0)</f>
        <v>6437</v>
      </c>
      <c r="D1585" s="9" t="str">
        <f>IFERROR(__xludf.DUMMYFUNCTION("""COMPUTED_VALUE"""),"Completed")</f>
        <v>Completed</v>
      </c>
    </row>
    <row r="1586">
      <c r="A1586" s="9" t="str">
        <f>IFERROR(__xludf.DUMMYFUNCTION("""COMPUTED_VALUE"""),"G-REQ-01585")</f>
        <v>G-REQ-01585</v>
      </c>
      <c r="B1586" s="11">
        <f>IFERROR(__xludf.DUMMYFUNCTION("""COMPUTED_VALUE"""),45874.126371804145)</f>
        <v>45874.12637</v>
      </c>
      <c r="C1586" s="9">
        <f>IFERROR(__xludf.DUMMYFUNCTION("""COMPUTED_VALUE"""),6441.0)</f>
        <v>6441</v>
      </c>
      <c r="D1586" s="9" t="str">
        <f>IFERROR(__xludf.DUMMYFUNCTION("""COMPUTED_VALUE"""),"Completed")</f>
        <v>Completed</v>
      </c>
    </row>
    <row r="1587">
      <c r="A1587" s="9" t="str">
        <f>IFERROR(__xludf.DUMMYFUNCTION("""COMPUTED_VALUE"""),"G-REQ-01586")</f>
        <v>G-REQ-01586</v>
      </c>
      <c r="B1587" s="11">
        <f>IFERROR(__xludf.DUMMYFUNCTION("""COMPUTED_VALUE"""),45874.19754664956)</f>
        <v>45874.19755</v>
      </c>
      <c r="C1587" s="9">
        <f>IFERROR(__xludf.DUMMYFUNCTION("""COMPUTED_VALUE"""),6445.0)</f>
        <v>6445</v>
      </c>
      <c r="D1587" s="9" t="str">
        <f>IFERROR(__xludf.DUMMYFUNCTION("""COMPUTED_VALUE"""),"Completed")</f>
        <v>Completed</v>
      </c>
    </row>
    <row r="1588">
      <c r="A1588" s="9" t="str">
        <f>IFERROR(__xludf.DUMMYFUNCTION("""COMPUTED_VALUE"""),"G-REQ-01587")</f>
        <v>G-REQ-01587</v>
      </c>
      <c r="B1588" s="11">
        <f>IFERROR(__xludf.DUMMYFUNCTION("""COMPUTED_VALUE"""),45874.26872149498)</f>
        <v>45874.26872</v>
      </c>
      <c r="C1588" s="9">
        <f>IFERROR(__xludf.DUMMYFUNCTION("""COMPUTED_VALUE"""),6449.0)</f>
        <v>6449</v>
      </c>
      <c r="D1588" s="9" t="str">
        <f>IFERROR(__xludf.DUMMYFUNCTION("""COMPUTED_VALUE"""),"Completed")</f>
        <v>Completed</v>
      </c>
    </row>
    <row r="1589">
      <c r="A1589" s="9" t="str">
        <f>IFERROR(__xludf.DUMMYFUNCTION("""COMPUTED_VALUE"""),"G-REQ-01588")</f>
        <v>G-REQ-01588</v>
      </c>
      <c r="B1589" s="11">
        <f>IFERROR(__xludf.DUMMYFUNCTION("""COMPUTED_VALUE"""),45874.33989634039)</f>
        <v>45874.3399</v>
      </c>
      <c r="C1589" s="9">
        <f>IFERROR(__xludf.DUMMYFUNCTION("""COMPUTED_VALUE"""),6453.0)</f>
        <v>6453</v>
      </c>
      <c r="D1589" s="9" t="str">
        <f>IFERROR(__xludf.DUMMYFUNCTION("""COMPUTED_VALUE"""),"Completed")</f>
        <v>Completed</v>
      </c>
    </row>
    <row r="1590">
      <c r="A1590" s="9" t="str">
        <f>IFERROR(__xludf.DUMMYFUNCTION("""COMPUTED_VALUE"""),"G-REQ-01589")</f>
        <v>G-REQ-01589</v>
      </c>
      <c r="B1590" s="11">
        <f>IFERROR(__xludf.DUMMYFUNCTION("""COMPUTED_VALUE"""),45874.40412674136)</f>
        <v>45874.40413</v>
      </c>
      <c r="C1590" s="9">
        <f>IFERROR(__xludf.DUMMYFUNCTION("""COMPUTED_VALUE"""),6455.0)</f>
        <v>6455</v>
      </c>
      <c r="D1590" s="9" t="str">
        <f>IFERROR(__xludf.DUMMYFUNCTION("""COMPUTED_VALUE"""),"Rejected")</f>
        <v>Rejected</v>
      </c>
    </row>
    <row r="1591">
      <c r="A1591" s="9" t="str">
        <f>IFERROR(__xludf.DUMMYFUNCTION("""COMPUTED_VALUE"""),"G-REQ-01590")</f>
        <v>G-REQ-01590</v>
      </c>
      <c r="B1591" s="11">
        <f>IFERROR(__xludf.DUMMYFUNCTION("""COMPUTED_VALUE"""),45874.47530158677)</f>
        <v>45874.4753</v>
      </c>
      <c r="C1591" s="9">
        <f>IFERROR(__xludf.DUMMYFUNCTION("""COMPUTED_VALUE"""),6457.0)</f>
        <v>6457</v>
      </c>
      <c r="D1591" s="9" t="str">
        <f>IFERROR(__xludf.DUMMYFUNCTION("""COMPUTED_VALUE"""),"Cancelled")</f>
        <v>Cancelled</v>
      </c>
    </row>
    <row r="1592">
      <c r="A1592" s="9" t="str">
        <f>IFERROR(__xludf.DUMMYFUNCTION("""COMPUTED_VALUE"""),"G-REQ-01591")</f>
        <v>G-REQ-01591</v>
      </c>
      <c r="B1592" s="11">
        <f>IFERROR(__xludf.DUMMYFUNCTION("""COMPUTED_VALUE"""),45874.55342087663)</f>
        <v>45874.55342</v>
      </c>
      <c r="C1592" s="9">
        <f>IFERROR(__xludf.DUMMYFUNCTION("""COMPUTED_VALUE"""),6461.0)</f>
        <v>6461</v>
      </c>
      <c r="D1592" s="9" t="str">
        <f>IFERROR(__xludf.DUMMYFUNCTION("""COMPUTED_VALUE"""),"Completed")</f>
        <v>Completed</v>
      </c>
    </row>
    <row r="1593">
      <c r="A1593" s="9" t="str">
        <f>IFERROR(__xludf.DUMMYFUNCTION("""COMPUTED_VALUE"""),"G-REQ-01592")</f>
        <v>G-REQ-01592</v>
      </c>
      <c r="B1593" s="11">
        <f>IFERROR(__xludf.DUMMYFUNCTION("""COMPUTED_VALUE"""),45874.62459572205)</f>
        <v>45874.6246</v>
      </c>
      <c r="C1593" s="9">
        <f>IFERROR(__xludf.DUMMYFUNCTION("""COMPUTED_VALUE"""),6465.0)</f>
        <v>6465</v>
      </c>
      <c r="D1593" s="9" t="str">
        <f>IFERROR(__xludf.DUMMYFUNCTION("""COMPUTED_VALUE"""),"Completed")</f>
        <v>Completed</v>
      </c>
    </row>
    <row r="1594">
      <c r="A1594" s="9" t="str">
        <f>IFERROR(__xludf.DUMMYFUNCTION("""COMPUTED_VALUE"""),"G-REQ-01593")</f>
        <v>G-REQ-01593</v>
      </c>
      <c r="B1594" s="11">
        <f>IFERROR(__xludf.DUMMYFUNCTION("""COMPUTED_VALUE"""),45874.695770567465)</f>
        <v>45874.69577</v>
      </c>
      <c r="C1594" s="9">
        <f>IFERROR(__xludf.DUMMYFUNCTION("""COMPUTED_VALUE"""),6469.0)</f>
        <v>6469</v>
      </c>
      <c r="D1594" s="9" t="str">
        <f>IFERROR(__xludf.DUMMYFUNCTION("""COMPUTED_VALUE"""),"Completed")</f>
        <v>Completed</v>
      </c>
    </row>
    <row r="1595">
      <c r="A1595" s="9" t="str">
        <f>IFERROR(__xludf.DUMMYFUNCTION("""COMPUTED_VALUE"""),"G-REQ-01594")</f>
        <v>G-REQ-01594</v>
      </c>
      <c r="B1595" s="11">
        <f>IFERROR(__xludf.DUMMYFUNCTION("""COMPUTED_VALUE"""),45874.76694541288)</f>
        <v>45874.76695</v>
      </c>
      <c r="C1595" s="9">
        <f>IFERROR(__xludf.DUMMYFUNCTION("""COMPUTED_VALUE"""),6473.0)</f>
        <v>6473</v>
      </c>
      <c r="D1595" s="9" t="str">
        <f>IFERROR(__xludf.DUMMYFUNCTION("""COMPUTED_VALUE"""),"Completed")</f>
        <v>Completed</v>
      </c>
    </row>
    <row r="1596">
      <c r="A1596" s="9" t="str">
        <f>IFERROR(__xludf.DUMMYFUNCTION("""COMPUTED_VALUE"""),"G-REQ-01595")</f>
        <v>G-REQ-01595</v>
      </c>
      <c r="B1596" s="11">
        <f>IFERROR(__xludf.DUMMYFUNCTION("""COMPUTED_VALUE"""),45874.8381202583)</f>
        <v>45874.83812</v>
      </c>
      <c r="C1596" s="9">
        <f>IFERROR(__xludf.DUMMYFUNCTION("""COMPUTED_VALUE"""),6477.0)</f>
        <v>6477</v>
      </c>
      <c r="D1596" s="9" t="str">
        <f>IFERROR(__xludf.DUMMYFUNCTION("""COMPUTED_VALUE"""),"Completed")</f>
        <v>Completed</v>
      </c>
    </row>
    <row r="1597">
      <c r="A1597" s="9" t="str">
        <f>IFERROR(__xludf.DUMMYFUNCTION("""COMPUTED_VALUE"""),"G-REQ-01596")</f>
        <v>G-REQ-01596</v>
      </c>
      <c r="B1597" s="11">
        <f>IFERROR(__xludf.DUMMYFUNCTION("""COMPUTED_VALUE"""),45874.90929510371)</f>
        <v>45874.9093</v>
      </c>
      <c r="C1597" s="9">
        <f>IFERROR(__xludf.DUMMYFUNCTION("""COMPUTED_VALUE"""),6481.0)</f>
        <v>6481</v>
      </c>
      <c r="D1597" s="9" t="str">
        <f>IFERROR(__xludf.DUMMYFUNCTION("""COMPUTED_VALUE"""),"Completed")</f>
        <v>Completed</v>
      </c>
    </row>
    <row r="1598">
      <c r="A1598" s="9" t="str">
        <f>IFERROR(__xludf.DUMMYFUNCTION("""COMPUTED_VALUE"""),"G-REQ-01597")</f>
        <v>G-REQ-01597</v>
      </c>
      <c r="B1598" s="11">
        <f>IFERROR(__xludf.DUMMYFUNCTION("""COMPUTED_VALUE"""),45874.973525504676)</f>
        <v>45874.97353</v>
      </c>
      <c r="C1598" s="9">
        <f>IFERROR(__xludf.DUMMYFUNCTION("""COMPUTED_VALUE"""),6483.0)</f>
        <v>6483</v>
      </c>
      <c r="D1598" s="9" t="str">
        <f>IFERROR(__xludf.DUMMYFUNCTION("""COMPUTED_VALUE"""),"Cancelled")</f>
        <v>Cancelled</v>
      </c>
    </row>
    <row r="1599">
      <c r="A1599" s="9" t="str">
        <f>IFERROR(__xludf.DUMMYFUNCTION("""COMPUTED_VALUE"""),"G-REQ-01598")</f>
        <v>G-REQ-01598</v>
      </c>
      <c r="B1599" s="11">
        <f>IFERROR(__xludf.DUMMYFUNCTION("""COMPUTED_VALUE"""),45875.05164479454)</f>
        <v>45875.05164</v>
      </c>
      <c r="C1599" s="9">
        <f>IFERROR(__xludf.DUMMYFUNCTION("""COMPUTED_VALUE"""),6487.0)</f>
        <v>6487</v>
      </c>
      <c r="D1599" s="9" t="str">
        <f>IFERROR(__xludf.DUMMYFUNCTION("""COMPUTED_VALUE"""),"Completed")</f>
        <v>Completed</v>
      </c>
    </row>
    <row r="1600">
      <c r="A1600" s="9" t="str">
        <f>IFERROR(__xludf.DUMMYFUNCTION("""COMPUTED_VALUE"""),"G-REQ-01599")</f>
        <v>G-REQ-01599</v>
      </c>
      <c r="B1600" s="11">
        <f>IFERROR(__xludf.DUMMYFUNCTION("""COMPUTED_VALUE"""),45875.12281963996)</f>
        <v>45875.12282</v>
      </c>
      <c r="C1600" s="9">
        <f>IFERROR(__xludf.DUMMYFUNCTION("""COMPUTED_VALUE"""),6491.0)</f>
        <v>6491</v>
      </c>
      <c r="D1600" s="9" t="str">
        <f>IFERROR(__xludf.DUMMYFUNCTION("""COMPUTED_VALUE"""),"Completed")</f>
        <v>Completed</v>
      </c>
    </row>
    <row r="1601">
      <c r="A1601" s="9" t="str">
        <f>IFERROR(__xludf.DUMMYFUNCTION("""COMPUTED_VALUE"""),"G-REQ-01600")</f>
        <v>G-REQ-01600</v>
      </c>
      <c r="B1601" s="11">
        <f>IFERROR(__xludf.DUMMYFUNCTION("""COMPUTED_VALUE"""),45875.193994485366)</f>
        <v>45875.19399</v>
      </c>
      <c r="C1601" s="9">
        <f>IFERROR(__xludf.DUMMYFUNCTION("""COMPUTED_VALUE"""),6495.0)</f>
        <v>6495</v>
      </c>
      <c r="D1601" s="9" t="str">
        <f>IFERROR(__xludf.DUMMYFUNCTION("""COMPUTED_VALUE"""),"Completed")</f>
        <v>Completed</v>
      </c>
    </row>
    <row r="1602">
      <c r="A1602" s="9" t="str">
        <f>IFERROR(__xludf.DUMMYFUNCTION("""COMPUTED_VALUE"""),"G-REQ-01601")</f>
        <v>G-REQ-01601</v>
      </c>
      <c r="B1602" s="11">
        <f>IFERROR(__xludf.DUMMYFUNCTION("""COMPUTED_VALUE"""),45875.265169330785)</f>
        <v>45875.26517</v>
      </c>
      <c r="C1602" s="9">
        <f>IFERROR(__xludf.DUMMYFUNCTION("""COMPUTED_VALUE"""),6499.0)</f>
        <v>6499</v>
      </c>
      <c r="D1602" s="9" t="str">
        <f>IFERROR(__xludf.DUMMYFUNCTION("""COMPUTED_VALUE"""),"Completed")</f>
        <v>Completed</v>
      </c>
    </row>
    <row r="1603">
      <c r="A1603" s="9" t="str">
        <f>IFERROR(__xludf.DUMMYFUNCTION("""COMPUTED_VALUE"""),"G-REQ-01602")</f>
        <v>G-REQ-01602</v>
      </c>
      <c r="B1603" s="11">
        <f>IFERROR(__xludf.DUMMYFUNCTION("""COMPUTED_VALUE"""),45875.336344176205)</f>
        <v>45875.33634</v>
      </c>
      <c r="C1603" s="9">
        <f>IFERROR(__xludf.DUMMYFUNCTION("""COMPUTED_VALUE"""),6503.0)</f>
        <v>6503</v>
      </c>
      <c r="D1603" s="9" t="str">
        <f>IFERROR(__xludf.DUMMYFUNCTION("""COMPUTED_VALUE"""),"Completed")</f>
        <v>Completed</v>
      </c>
    </row>
    <row r="1604">
      <c r="A1604" s="9" t="str">
        <f>IFERROR(__xludf.DUMMYFUNCTION("""COMPUTED_VALUE"""),"G-REQ-01603")</f>
        <v>G-REQ-01603</v>
      </c>
      <c r="B1604" s="11">
        <f>IFERROR(__xludf.DUMMYFUNCTION("""COMPUTED_VALUE"""),45875.40751902162)</f>
        <v>45875.40752</v>
      </c>
      <c r="C1604" s="9">
        <f>IFERROR(__xludf.DUMMYFUNCTION("""COMPUTED_VALUE"""),6507.0)</f>
        <v>6507</v>
      </c>
      <c r="D1604" s="9" t="str">
        <f>IFERROR(__xludf.DUMMYFUNCTION("""COMPUTED_VALUE"""),"Completed")</f>
        <v>Completed</v>
      </c>
    </row>
    <row r="1605">
      <c r="A1605" s="9" t="str">
        <f>IFERROR(__xludf.DUMMYFUNCTION("""COMPUTED_VALUE"""),"G-REQ-01604")</f>
        <v>G-REQ-01604</v>
      </c>
      <c r="B1605" s="11">
        <f>IFERROR(__xludf.DUMMYFUNCTION("""COMPUTED_VALUE"""),45875.47869386703)</f>
        <v>45875.47869</v>
      </c>
      <c r="C1605" s="9">
        <f>IFERROR(__xludf.DUMMYFUNCTION("""COMPUTED_VALUE"""),6511.0)</f>
        <v>6511</v>
      </c>
      <c r="D1605" s="9" t="str">
        <f>IFERROR(__xludf.DUMMYFUNCTION("""COMPUTED_VALUE"""),"Completed")</f>
        <v>Completed</v>
      </c>
    </row>
    <row r="1606">
      <c r="A1606" s="9" t="str">
        <f>IFERROR(__xludf.DUMMYFUNCTION("""COMPUTED_VALUE"""),"G-REQ-01605")</f>
        <v>G-REQ-01605</v>
      </c>
      <c r="B1606" s="11">
        <f>IFERROR(__xludf.DUMMYFUNCTION("""COMPUTED_VALUE"""),45875.54986871245)</f>
        <v>45875.54987</v>
      </c>
      <c r="C1606" s="9">
        <f>IFERROR(__xludf.DUMMYFUNCTION("""COMPUTED_VALUE"""),6515.0)</f>
        <v>6515</v>
      </c>
      <c r="D1606" s="9" t="str">
        <f>IFERROR(__xludf.DUMMYFUNCTION("""COMPUTED_VALUE"""),"Completed")</f>
        <v>Completed</v>
      </c>
    </row>
    <row r="1607">
      <c r="A1607" s="9" t="str">
        <f>IFERROR(__xludf.DUMMYFUNCTION("""COMPUTED_VALUE"""),"G-REQ-01606")</f>
        <v>G-REQ-01606</v>
      </c>
      <c r="B1607" s="11">
        <f>IFERROR(__xludf.DUMMYFUNCTION("""COMPUTED_VALUE"""),45875.614099113416)</f>
        <v>45875.6141</v>
      </c>
      <c r="C1607" s="9">
        <f>IFERROR(__xludf.DUMMYFUNCTION("""COMPUTED_VALUE"""),6517.0)</f>
        <v>6517</v>
      </c>
      <c r="D1607" s="9" t="str">
        <f>IFERROR(__xludf.DUMMYFUNCTION("""COMPUTED_VALUE"""),"Cancelled")</f>
        <v>Cancelled</v>
      </c>
    </row>
    <row r="1608">
      <c r="A1608" s="9" t="str">
        <f>IFERROR(__xludf.DUMMYFUNCTION("""COMPUTED_VALUE"""),"G-REQ-01607")</f>
        <v>G-REQ-01607</v>
      </c>
      <c r="B1608" s="11">
        <f>IFERROR(__xludf.DUMMYFUNCTION("""COMPUTED_VALUE"""),45875.692218403274)</f>
        <v>45875.69222</v>
      </c>
      <c r="C1608" s="9">
        <f>IFERROR(__xludf.DUMMYFUNCTION("""COMPUTED_VALUE"""),6521.0)</f>
        <v>6521</v>
      </c>
      <c r="D1608" s="9" t="str">
        <f>IFERROR(__xludf.DUMMYFUNCTION("""COMPUTED_VALUE"""),"Completed")</f>
        <v>Completed</v>
      </c>
    </row>
    <row r="1609">
      <c r="A1609" s="9" t="str">
        <f>IFERROR(__xludf.DUMMYFUNCTION("""COMPUTED_VALUE"""),"G-REQ-01608")</f>
        <v>G-REQ-01608</v>
      </c>
      <c r="B1609" s="11">
        <f>IFERROR(__xludf.DUMMYFUNCTION("""COMPUTED_VALUE"""),45875.75644880425)</f>
        <v>45875.75645</v>
      </c>
      <c r="C1609" s="9">
        <f>IFERROR(__xludf.DUMMYFUNCTION("""COMPUTED_VALUE"""),6523.0)</f>
        <v>6523</v>
      </c>
      <c r="D1609" s="9" t="str">
        <f>IFERROR(__xludf.DUMMYFUNCTION("""COMPUTED_VALUE"""),"Rejected")</f>
        <v>Rejected</v>
      </c>
    </row>
    <row r="1610">
      <c r="A1610" s="9" t="str">
        <f>IFERROR(__xludf.DUMMYFUNCTION("""COMPUTED_VALUE"""),"G-REQ-01609")</f>
        <v>G-REQ-01609</v>
      </c>
      <c r="B1610" s="11">
        <f>IFERROR(__xludf.DUMMYFUNCTION("""COMPUTED_VALUE"""),45875.834568094106)</f>
        <v>45875.83457</v>
      </c>
      <c r="C1610" s="9">
        <f>IFERROR(__xludf.DUMMYFUNCTION("""COMPUTED_VALUE"""),6527.0)</f>
        <v>6527</v>
      </c>
      <c r="D1610" s="9" t="str">
        <f>IFERROR(__xludf.DUMMYFUNCTION("""COMPUTED_VALUE"""),"Completed")</f>
        <v>Completed</v>
      </c>
    </row>
    <row r="1611">
      <c r="A1611" s="9" t="str">
        <f>IFERROR(__xludf.DUMMYFUNCTION("""COMPUTED_VALUE"""),"G-REQ-01610")</f>
        <v>G-REQ-01610</v>
      </c>
      <c r="B1611" s="11">
        <f>IFERROR(__xludf.DUMMYFUNCTION("""COMPUTED_VALUE"""),45875.89879849507)</f>
        <v>45875.8988</v>
      </c>
      <c r="C1611" s="9">
        <f>IFERROR(__xludf.DUMMYFUNCTION("""COMPUTED_VALUE"""),6529.0)</f>
        <v>6529</v>
      </c>
      <c r="D1611" s="9" t="str">
        <f>IFERROR(__xludf.DUMMYFUNCTION("""COMPUTED_VALUE"""),"Cancelled")</f>
        <v>Cancelled</v>
      </c>
    </row>
    <row r="1612">
      <c r="A1612" s="9" t="str">
        <f>IFERROR(__xludf.DUMMYFUNCTION("""COMPUTED_VALUE"""),"G-REQ-01611")</f>
        <v>G-REQ-01611</v>
      </c>
      <c r="B1612" s="11">
        <f>IFERROR(__xludf.DUMMYFUNCTION("""COMPUTED_VALUE"""),45875.97691778494)</f>
        <v>45875.97692</v>
      </c>
      <c r="C1612" s="9">
        <f>IFERROR(__xludf.DUMMYFUNCTION("""COMPUTED_VALUE"""),6533.0)</f>
        <v>6533</v>
      </c>
      <c r="D1612" s="9" t="str">
        <f>IFERROR(__xludf.DUMMYFUNCTION("""COMPUTED_VALUE"""),"Completed")</f>
        <v>Completed</v>
      </c>
    </row>
    <row r="1613">
      <c r="A1613" s="9" t="str">
        <f>IFERROR(__xludf.DUMMYFUNCTION("""COMPUTED_VALUE"""),"G-REQ-01612")</f>
        <v>G-REQ-01612</v>
      </c>
      <c r="B1613" s="11">
        <f>IFERROR(__xludf.DUMMYFUNCTION("""COMPUTED_VALUE"""),45876.04809263035)</f>
        <v>45876.04809</v>
      </c>
      <c r="C1613" s="9">
        <f>IFERROR(__xludf.DUMMYFUNCTION("""COMPUTED_VALUE"""),6537.0)</f>
        <v>6537</v>
      </c>
      <c r="D1613" s="9" t="str">
        <f>IFERROR(__xludf.DUMMYFUNCTION("""COMPUTED_VALUE"""),"Completed")</f>
        <v>Completed</v>
      </c>
    </row>
    <row r="1614">
      <c r="A1614" s="9" t="str">
        <f>IFERROR(__xludf.DUMMYFUNCTION("""COMPUTED_VALUE"""),"G-REQ-01613")</f>
        <v>G-REQ-01613</v>
      </c>
      <c r="B1614" s="11">
        <f>IFERROR(__xludf.DUMMYFUNCTION("""COMPUTED_VALUE"""),45876.11926747576)</f>
        <v>45876.11927</v>
      </c>
      <c r="C1614" s="9">
        <f>IFERROR(__xludf.DUMMYFUNCTION("""COMPUTED_VALUE"""),6541.0)</f>
        <v>6541</v>
      </c>
      <c r="D1614" s="9" t="str">
        <f>IFERROR(__xludf.DUMMYFUNCTION("""COMPUTED_VALUE"""),"Completed")</f>
        <v>Completed</v>
      </c>
    </row>
    <row r="1615">
      <c r="A1615" s="9" t="str">
        <f>IFERROR(__xludf.DUMMYFUNCTION("""COMPUTED_VALUE"""),"G-REQ-01614")</f>
        <v>G-REQ-01614</v>
      </c>
      <c r="B1615" s="11">
        <f>IFERROR(__xludf.DUMMYFUNCTION("""COMPUTED_VALUE"""),45876.19044232118)</f>
        <v>45876.19044</v>
      </c>
      <c r="C1615" s="9">
        <f>IFERROR(__xludf.DUMMYFUNCTION("""COMPUTED_VALUE"""),6545.0)</f>
        <v>6545</v>
      </c>
      <c r="D1615" s="9" t="str">
        <f>IFERROR(__xludf.DUMMYFUNCTION("""COMPUTED_VALUE"""),"Completed")</f>
        <v>Completed</v>
      </c>
    </row>
    <row r="1616">
      <c r="A1616" s="9" t="str">
        <f>IFERROR(__xludf.DUMMYFUNCTION("""COMPUTED_VALUE"""),"G-REQ-01615")</f>
        <v>G-REQ-01615</v>
      </c>
      <c r="B1616" s="11">
        <f>IFERROR(__xludf.DUMMYFUNCTION("""COMPUTED_VALUE"""),45876.2616171666)</f>
        <v>45876.26162</v>
      </c>
      <c r="C1616" s="9">
        <f>IFERROR(__xludf.DUMMYFUNCTION("""COMPUTED_VALUE"""),6549.0)</f>
        <v>6549</v>
      </c>
      <c r="D1616" s="9" t="str">
        <f>IFERROR(__xludf.DUMMYFUNCTION("""COMPUTED_VALUE"""),"Completed")</f>
        <v>Completed</v>
      </c>
    </row>
    <row r="1617">
      <c r="A1617" s="9" t="str">
        <f>IFERROR(__xludf.DUMMYFUNCTION("""COMPUTED_VALUE"""),"G-REQ-01616")</f>
        <v>G-REQ-01616</v>
      </c>
      <c r="B1617" s="11">
        <f>IFERROR(__xludf.DUMMYFUNCTION("""COMPUTED_VALUE"""),45876.32584756756)</f>
        <v>45876.32585</v>
      </c>
      <c r="C1617" s="9">
        <f>IFERROR(__xludf.DUMMYFUNCTION("""COMPUTED_VALUE"""),6551.0)</f>
        <v>6551</v>
      </c>
      <c r="D1617" s="9" t="str">
        <f>IFERROR(__xludf.DUMMYFUNCTION("""COMPUTED_VALUE"""),"Cancelled")</f>
        <v>Cancelled</v>
      </c>
    </row>
    <row r="1618">
      <c r="A1618" s="9" t="str">
        <f>IFERROR(__xludf.DUMMYFUNCTION("""COMPUTED_VALUE"""),"G-REQ-01617")</f>
        <v>G-REQ-01617</v>
      </c>
      <c r="B1618" s="11">
        <f>IFERROR(__xludf.DUMMYFUNCTION("""COMPUTED_VALUE"""),45876.403966857426)</f>
        <v>45876.40397</v>
      </c>
      <c r="C1618" s="9">
        <f>IFERROR(__xludf.DUMMYFUNCTION("""COMPUTED_VALUE"""),6555.0)</f>
        <v>6555</v>
      </c>
      <c r="D1618" s="9" t="str">
        <f>IFERROR(__xludf.DUMMYFUNCTION("""COMPUTED_VALUE"""),"Completed")</f>
        <v>Completed</v>
      </c>
    </row>
    <row r="1619">
      <c r="A1619" s="9" t="str">
        <f>IFERROR(__xludf.DUMMYFUNCTION("""COMPUTED_VALUE"""),"G-REQ-01618")</f>
        <v>G-REQ-01618</v>
      </c>
      <c r="B1619" s="11">
        <f>IFERROR(__xludf.DUMMYFUNCTION("""COMPUTED_VALUE"""),45876.475141702846)</f>
        <v>45876.47514</v>
      </c>
      <c r="C1619" s="9">
        <f>IFERROR(__xludf.DUMMYFUNCTION("""COMPUTED_VALUE"""),6559.0)</f>
        <v>6559</v>
      </c>
      <c r="D1619" s="9" t="str">
        <f>IFERROR(__xludf.DUMMYFUNCTION("""COMPUTED_VALUE"""),"Completed")</f>
        <v>Completed</v>
      </c>
    </row>
    <row r="1620">
      <c r="A1620" s="9" t="str">
        <f>IFERROR(__xludf.DUMMYFUNCTION("""COMPUTED_VALUE"""),"G-REQ-01619")</f>
        <v>G-REQ-01619</v>
      </c>
      <c r="B1620" s="11">
        <f>IFERROR(__xludf.DUMMYFUNCTION("""COMPUTED_VALUE"""),45876.54631654826)</f>
        <v>45876.54632</v>
      </c>
      <c r="C1620" s="9">
        <f>IFERROR(__xludf.DUMMYFUNCTION("""COMPUTED_VALUE"""),6563.0)</f>
        <v>6563</v>
      </c>
      <c r="D1620" s="9" t="str">
        <f>IFERROR(__xludf.DUMMYFUNCTION("""COMPUTED_VALUE"""),"Completed")</f>
        <v>Completed</v>
      </c>
    </row>
    <row r="1621">
      <c r="A1621" s="9" t="str">
        <f>IFERROR(__xludf.DUMMYFUNCTION("""COMPUTED_VALUE"""),"G-REQ-01620")</f>
        <v>G-REQ-01620</v>
      </c>
      <c r="B1621" s="11">
        <f>IFERROR(__xludf.DUMMYFUNCTION("""COMPUTED_VALUE"""),45876.61749139367)</f>
        <v>45876.61749</v>
      </c>
      <c r="C1621" s="9">
        <f>IFERROR(__xludf.DUMMYFUNCTION("""COMPUTED_VALUE"""),6567.0)</f>
        <v>6567</v>
      </c>
      <c r="D1621" s="9" t="str">
        <f>IFERROR(__xludf.DUMMYFUNCTION("""COMPUTED_VALUE"""),"Completed")</f>
        <v>Completed</v>
      </c>
    </row>
    <row r="1622">
      <c r="A1622" s="9" t="str">
        <f>IFERROR(__xludf.DUMMYFUNCTION("""COMPUTED_VALUE"""),"G-REQ-01621")</f>
        <v>G-REQ-01621</v>
      </c>
      <c r="B1622" s="11">
        <f>IFERROR(__xludf.DUMMYFUNCTION("""COMPUTED_VALUE"""),45876.68866623909)</f>
        <v>45876.68867</v>
      </c>
      <c r="C1622" s="9">
        <f>IFERROR(__xludf.DUMMYFUNCTION("""COMPUTED_VALUE"""),6571.0)</f>
        <v>6571</v>
      </c>
      <c r="D1622" s="9" t="str">
        <f>IFERROR(__xludf.DUMMYFUNCTION("""COMPUTED_VALUE"""),"Completed")</f>
        <v>Completed</v>
      </c>
    </row>
    <row r="1623">
      <c r="A1623" s="9" t="str">
        <f>IFERROR(__xludf.DUMMYFUNCTION("""COMPUTED_VALUE"""),"G-REQ-01622")</f>
        <v>G-REQ-01622</v>
      </c>
      <c r="B1623" s="11">
        <f>IFERROR(__xludf.DUMMYFUNCTION("""COMPUTED_VALUE"""),45876.75289664006)</f>
        <v>45876.7529</v>
      </c>
      <c r="C1623" s="9">
        <f>IFERROR(__xludf.DUMMYFUNCTION("""COMPUTED_VALUE"""),6573.0)</f>
        <v>6573</v>
      </c>
      <c r="D1623" s="9" t="str">
        <f>IFERROR(__xludf.DUMMYFUNCTION("""COMPUTED_VALUE"""),"Cancelled")</f>
        <v>Cancelled</v>
      </c>
    </row>
    <row r="1624">
      <c r="A1624" s="9" t="str">
        <f>IFERROR(__xludf.DUMMYFUNCTION("""COMPUTED_VALUE"""),"G-REQ-01623")</f>
        <v>G-REQ-01623</v>
      </c>
      <c r="B1624" s="11">
        <f>IFERROR(__xludf.DUMMYFUNCTION("""COMPUTED_VALUE"""),45876.831015929914)</f>
        <v>45876.83102</v>
      </c>
      <c r="C1624" s="9">
        <f>IFERROR(__xludf.DUMMYFUNCTION("""COMPUTED_VALUE"""),6577.0)</f>
        <v>6577</v>
      </c>
      <c r="D1624" s="9" t="str">
        <f>IFERROR(__xludf.DUMMYFUNCTION("""COMPUTED_VALUE"""),"Completed")</f>
        <v>Completed</v>
      </c>
    </row>
    <row r="1625">
      <c r="A1625" s="9" t="str">
        <f>IFERROR(__xludf.DUMMYFUNCTION("""COMPUTED_VALUE"""),"G-REQ-01624")</f>
        <v>G-REQ-01624</v>
      </c>
      <c r="B1625" s="11">
        <f>IFERROR(__xludf.DUMMYFUNCTION("""COMPUTED_VALUE"""),45876.902190775334)</f>
        <v>45876.90219</v>
      </c>
      <c r="C1625" s="9">
        <f>IFERROR(__xludf.DUMMYFUNCTION("""COMPUTED_VALUE"""),6581.0)</f>
        <v>6581</v>
      </c>
      <c r="D1625" s="9" t="str">
        <f>IFERROR(__xludf.DUMMYFUNCTION("""COMPUTED_VALUE"""),"Completed")</f>
        <v>Completed</v>
      </c>
    </row>
    <row r="1626">
      <c r="A1626" s="9" t="str">
        <f>IFERROR(__xludf.DUMMYFUNCTION("""COMPUTED_VALUE"""),"G-REQ-01625")</f>
        <v>G-REQ-01625</v>
      </c>
      <c r="B1626" s="11">
        <f>IFERROR(__xludf.DUMMYFUNCTION("""COMPUTED_VALUE"""),45876.973365620746)</f>
        <v>45876.97337</v>
      </c>
      <c r="C1626" s="9">
        <f>IFERROR(__xludf.DUMMYFUNCTION("""COMPUTED_VALUE"""),6585.0)</f>
        <v>6585</v>
      </c>
      <c r="D1626" s="9" t="str">
        <f>IFERROR(__xludf.DUMMYFUNCTION("""COMPUTED_VALUE"""),"Completed")</f>
        <v>Completed</v>
      </c>
    </row>
    <row r="1627">
      <c r="A1627" s="9" t="str">
        <f>IFERROR(__xludf.DUMMYFUNCTION("""COMPUTED_VALUE"""),"G-REQ-01626")</f>
        <v>G-REQ-01626</v>
      </c>
      <c r="B1627" s="11">
        <f>IFERROR(__xludf.DUMMYFUNCTION("""COMPUTED_VALUE"""),45877.04454046616)</f>
        <v>45877.04454</v>
      </c>
      <c r="C1627" s="9">
        <f>IFERROR(__xludf.DUMMYFUNCTION("""COMPUTED_VALUE"""),6589.0)</f>
        <v>6589</v>
      </c>
      <c r="D1627" s="9" t="str">
        <f>IFERROR(__xludf.DUMMYFUNCTION("""COMPUTED_VALUE"""),"Completed")</f>
        <v>Completed</v>
      </c>
    </row>
    <row r="1628">
      <c r="A1628" s="9" t="str">
        <f>IFERROR(__xludf.DUMMYFUNCTION("""COMPUTED_VALUE"""),"G-REQ-01627")</f>
        <v>G-REQ-01627</v>
      </c>
      <c r="B1628" s="11">
        <f>IFERROR(__xludf.DUMMYFUNCTION("""COMPUTED_VALUE"""),45877.11571531158)</f>
        <v>45877.11572</v>
      </c>
      <c r="C1628" s="9">
        <f>IFERROR(__xludf.DUMMYFUNCTION("""COMPUTED_VALUE"""),6593.0)</f>
        <v>6593</v>
      </c>
      <c r="D1628" s="9" t="str">
        <f>IFERROR(__xludf.DUMMYFUNCTION("""COMPUTED_VALUE"""),"Completed")</f>
        <v>Completed</v>
      </c>
    </row>
    <row r="1629">
      <c r="A1629" s="9" t="str">
        <f>IFERROR(__xludf.DUMMYFUNCTION("""COMPUTED_VALUE"""),"G-REQ-01628")</f>
        <v>G-REQ-01628</v>
      </c>
      <c r="B1629" s="11">
        <f>IFERROR(__xludf.DUMMYFUNCTION("""COMPUTED_VALUE"""),45877.18689015699)</f>
        <v>45877.18689</v>
      </c>
      <c r="C1629" s="9">
        <f>IFERROR(__xludf.DUMMYFUNCTION("""COMPUTED_VALUE"""),6597.0)</f>
        <v>6597</v>
      </c>
      <c r="D1629" s="9" t="str">
        <f>IFERROR(__xludf.DUMMYFUNCTION("""COMPUTED_VALUE"""),"Completed")</f>
        <v>Completed</v>
      </c>
    </row>
    <row r="1630">
      <c r="A1630" s="9" t="str">
        <f>IFERROR(__xludf.DUMMYFUNCTION("""COMPUTED_VALUE"""),"G-REQ-01629")</f>
        <v>G-REQ-01629</v>
      </c>
      <c r="B1630" s="11">
        <f>IFERROR(__xludf.DUMMYFUNCTION("""COMPUTED_VALUE"""),45877.2580650024)</f>
        <v>45877.25807</v>
      </c>
      <c r="C1630" s="9">
        <f>IFERROR(__xludf.DUMMYFUNCTION("""COMPUTED_VALUE"""),6601.0)</f>
        <v>6601</v>
      </c>
      <c r="D1630" s="9" t="str">
        <f>IFERROR(__xludf.DUMMYFUNCTION("""COMPUTED_VALUE"""),"Completed")</f>
        <v>Completed</v>
      </c>
    </row>
    <row r="1631">
      <c r="A1631" s="9" t="str">
        <f>IFERROR(__xludf.DUMMYFUNCTION("""COMPUTED_VALUE"""),"G-REQ-01630")</f>
        <v>G-REQ-01630</v>
      </c>
      <c r="B1631" s="11">
        <f>IFERROR(__xludf.DUMMYFUNCTION("""COMPUTED_VALUE"""),45877.32923984782)</f>
        <v>45877.32924</v>
      </c>
      <c r="C1631" s="9">
        <f>IFERROR(__xludf.DUMMYFUNCTION("""COMPUTED_VALUE"""),6605.0)</f>
        <v>6605</v>
      </c>
      <c r="D1631" s="9" t="str">
        <f>IFERROR(__xludf.DUMMYFUNCTION("""COMPUTED_VALUE"""),"Completed")</f>
        <v>Completed</v>
      </c>
    </row>
    <row r="1632">
      <c r="A1632" s="9" t="str">
        <f>IFERROR(__xludf.DUMMYFUNCTION("""COMPUTED_VALUE"""),"G-REQ-01631")</f>
        <v>G-REQ-01631</v>
      </c>
      <c r="B1632" s="11">
        <f>IFERROR(__xludf.DUMMYFUNCTION("""COMPUTED_VALUE"""),45877.40041469324)</f>
        <v>45877.40041</v>
      </c>
      <c r="C1632" s="9">
        <f>IFERROR(__xludf.DUMMYFUNCTION("""COMPUTED_VALUE"""),6609.0)</f>
        <v>6609</v>
      </c>
      <c r="D1632" s="9" t="str">
        <f>IFERROR(__xludf.DUMMYFUNCTION("""COMPUTED_VALUE"""),"Completed")</f>
        <v>Completed</v>
      </c>
    </row>
    <row r="1633">
      <c r="A1633" s="9" t="str">
        <f>IFERROR(__xludf.DUMMYFUNCTION("""COMPUTED_VALUE"""),"G-REQ-01632")</f>
        <v>G-REQ-01632</v>
      </c>
      <c r="B1633" s="11">
        <f>IFERROR(__xludf.DUMMYFUNCTION("""COMPUTED_VALUE"""),45877.47158953865)</f>
        <v>45877.47159</v>
      </c>
      <c r="C1633" s="9">
        <f>IFERROR(__xludf.DUMMYFUNCTION("""COMPUTED_VALUE"""),6613.0)</f>
        <v>6613</v>
      </c>
      <c r="D1633" s="9" t="str">
        <f>IFERROR(__xludf.DUMMYFUNCTION("""COMPUTED_VALUE"""),"Completed")</f>
        <v>Completed</v>
      </c>
    </row>
    <row r="1634">
      <c r="A1634" s="9" t="str">
        <f>IFERROR(__xludf.DUMMYFUNCTION("""COMPUTED_VALUE"""),"G-REQ-01633")</f>
        <v>G-REQ-01633</v>
      </c>
      <c r="B1634" s="11">
        <f>IFERROR(__xludf.DUMMYFUNCTION("""COMPUTED_VALUE"""),45877.54276438407)</f>
        <v>45877.54276</v>
      </c>
      <c r="C1634" s="9">
        <f>IFERROR(__xludf.DUMMYFUNCTION("""COMPUTED_VALUE"""),6617.0)</f>
        <v>6617</v>
      </c>
      <c r="D1634" s="9" t="str">
        <f>IFERROR(__xludf.DUMMYFUNCTION("""COMPUTED_VALUE"""),"Completed")</f>
        <v>Completed</v>
      </c>
    </row>
    <row r="1635">
      <c r="A1635" s="9" t="str">
        <f>IFERROR(__xludf.DUMMYFUNCTION("""COMPUTED_VALUE"""),"G-REQ-01634")</f>
        <v>G-REQ-01634</v>
      </c>
      <c r="B1635" s="11">
        <f>IFERROR(__xludf.DUMMYFUNCTION("""COMPUTED_VALUE"""),45877.613939229486)</f>
        <v>45877.61394</v>
      </c>
      <c r="C1635" s="9">
        <f>IFERROR(__xludf.DUMMYFUNCTION("""COMPUTED_VALUE"""),6621.0)</f>
        <v>6621</v>
      </c>
      <c r="D1635" s="9" t="str">
        <f>IFERROR(__xludf.DUMMYFUNCTION("""COMPUTED_VALUE"""),"Completed")</f>
        <v>Completed</v>
      </c>
    </row>
    <row r="1636">
      <c r="A1636" s="9" t="str">
        <f>IFERROR(__xludf.DUMMYFUNCTION("""COMPUTED_VALUE"""),"G-REQ-01635")</f>
        <v>G-REQ-01635</v>
      </c>
      <c r="B1636" s="11">
        <f>IFERROR(__xludf.DUMMYFUNCTION("""COMPUTED_VALUE"""),45877.6851140749)</f>
        <v>45877.68511</v>
      </c>
      <c r="C1636" s="9">
        <f>IFERROR(__xludf.DUMMYFUNCTION("""COMPUTED_VALUE"""),6625.0)</f>
        <v>6625</v>
      </c>
      <c r="D1636" s="9" t="str">
        <f>IFERROR(__xludf.DUMMYFUNCTION("""COMPUTED_VALUE"""),"Completed")</f>
        <v>Completed</v>
      </c>
    </row>
    <row r="1637">
      <c r="A1637" s="9" t="str">
        <f>IFERROR(__xludf.DUMMYFUNCTION("""COMPUTED_VALUE"""),"G-REQ-01636")</f>
        <v>G-REQ-01636</v>
      </c>
      <c r="B1637" s="11">
        <f>IFERROR(__xludf.DUMMYFUNCTION("""COMPUTED_VALUE"""),45877.75628892031)</f>
        <v>45877.75629</v>
      </c>
      <c r="C1637" s="9">
        <f>IFERROR(__xludf.DUMMYFUNCTION("""COMPUTED_VALUE"""),6629.0)</f>
        <v>6629</v>
      </c>
      <c r="D1637" s="9" t="str">
        <f>IFERROR(__xludf.DUMMYFUNCTION("""COMPUTED_VALUE"""),"Completed")</f>
        <v>Completed</v>
      </c>
    </row>
    <row r="1638">
      <c r="A1638" s="9" t="str">
        <f>IFERROR(__xludf.DUMMYFUNCTION("""COMPUTED_VALUE"""),"G-REQ-01637")</f>
        <v>G-REQ-01637</v>
      </c>
      <c r="B1638" s="11">
        <f>IFERROR(__xludf.DUMMYFUNCTION("""COMPUTED_VALUE"""),45877.820519321285)</f>
        <v>45877.82052</v>
      </c>
      <c r="C1638" s="9">
        <f>IFERROR(__xludf.DUMMYFUNCTION("""COMPUTED_VALUE"""),6631.0)</f>
        <v>6631</v>
      </c>
      <c r="D1638" s="9" t="str">
        <f>IFERROR(__xludf.DUMMYFUNCTION("""COMPUTED_VALUE"""),"Rejected")</f>
        <v>Rejected</v>
      </c>
    </row>
    <row r="1639">
      <c r="A1639" s="9" t="str">
        <f>IFERROR(__xludf.DUMMYFUNCTION("""COMPUTED_VALUE"""),"G-REQ-01638")</f>
        <v>G-REQ-01638</v>
      </c>
      <c r="B1639" s="11">
        <f>IFERROR(__xludf.DUMMYFUNCTION("""COMPUTED_VALUE"""),45877.89863861114)</f>
        <v>45877.89864</v>
      </c>
      <c r="C1639" s="9">
        <f>IFERROR(__xludf.DUMMYFUNCTION("""COMPUTED_VALUE"""),6635.0)</f>
        <v>6635</v>
      </c>
      <c r="D1639" s="9" t="str">
        <f>IFERROR(__xludf.DUMMYFUNCTION("""COMPUTED_VALUE"""),"Completed")</f>
        <v>Completed</v>
      </c>
    </row>
    <row r="1640">
      <c r="A1640" s="9" t="str">
        <f>IFERROR(__xludf.DUMMYFUNCTION("""COMPUTED_VALUE"""),"G-REQ-01639")</f>
        <v>G-REQ-01639</v>
      </c>
      <c r="B1640" s="11">
        <f>IFERROR(__xludf.DUMMYFUNCTION("""COMPUTED_VALUE"""),45877.969813456555)</f>
        <v>45877.96981</v>
      </c>
      <c r="C1640" s="9">
        <f>IFERROR(__xludf.DUMMYFUNCTION("""COMPUTED_VALUE"""),6639.0)</f>
        <v>6639</v>
      </c>
      <c r="D1640" s="9" t="str">
        <f>IFERROR(__xludf.DUMMYFUNCTION("""COMPUTED_VALUE"""),"Completed")</f>
        <v>Completed</v>
      </c>
    </row>
    <row r="1641">
      <c r="A1641" s="9" t="str">
        <f>IFERROR(__xludf.DUMMYFUNCTION("""COMPUTED_VALUE"""),"G-REQ-01640")</f>
        <v>G-REQ-01640</v>
      </c>
      <c r="B1641" s="11">
        <f>IFERROR(__xludf.DUMMYFUNCTION("""COMPUTED_VALUE"""),45878.040988301975)</f>
        <v>45878.04099</v>
      </c>
      <c r="C1641" s="9">
        <f>IFERROR(__xludf.DUMMYFUNCTION("""COMPUTED_VALUE"""),6643.0)</f>
        <v>6643</v>
      </c>
      <c r="D1641" s="9" t="str">
        <f>IFERROR(__xludf.DUMMYFUNCTION("""COMPUTED_VALUE"""),"Completed")</f>
        <v>Completed</v>
      </c>
    </row>
    <row r="1642">
      <c r="A1642" s="9" t="str">
        <f>IFERROR(__xludf.DUMMYFUNCTION("""COMPUTED_VALUE"""),"G-REQ-01641")</f>
        <v>G-REQ-01641</v>
      </c>
      <c r="B1642" s="11">
        <f>IFERROR(__xludf.DUMMYFUNCTION("""COMPUTED_VALUE"""),45878.10521870294)</f>
        <v>45878.10522</v>
      </c>
      <c r="C1642" s="9">
        <f>IFERROR(__xludf.DUMMYFUNCTION("""COMPUTED_VALUE"""),6645.0)</f>
        <v>6645</v>
      </c>
      <c r="D1642" s="9" t="str">
        <f>IFERROR(__xludf.DUMMYFUNCTION("""COMPUTED_VALUE"""),"Cancelled")</f>
        <v>Cancelled</v>
      </c>
    </row>
    <row r="1643">
      <c r="A1643" s="9" t="str">
        <f>IFERROR(__xludf.DUMMYFUNCTION("""COMPUTED_VALUE"""),"G-REQ-01642")</f>
        <v>G-REQ-01642</v>
      </c>
      <c r="B1643" s="11">
        <f>IFERROR(__xludf.DUMMYFUNCTION("""COMPUTED_VALUE"""),45878.1833379928)</f>
        <v>45878.18334</v>
      </c>
      <c r="C1643" s="9">
        <f>IFERROR(__xludf.DUMMYFUNCTION("""COMPUTED_VALUE"""),6649.0)</f>
        <v>6649</v>
      </c>
      <c r="D1643" s="9" t="str">
        <f>IFERROR(__xludf.DUMMYFUNCTION("""COMPUTED_VALUE"""),"Completed")</f>
        <v>Completed</v>
      </c>
    </row>
    <row r="1644">
      <c r="A1644" s="9" t="str">
        <f>IFERROR(__xludf.DUMMYFUNCTION("""COMPUTED_VALUE"""),"G-REQ-01643")</f>
        <v>G-REQ-01643</v>
      </c>
      <c r="B1644" s="11">
        <f>IFERROR(__xludf.DUMMYFUNCTION("""COMPUTED_VALUE"""),45878.25451283822)</f>
        <v>45878.25451</v>
      </c>
      <c r="C1644" s="9">
        <f>IFERROR(__xludf.DUMMYFUNCTION("""COMPUTED_VALUE"""),6653.0)</f>
        <v>6653</v>
      </c>
      <c r="D1644" s="9" t="str">
        <f>IFERROR(__xludf.DUMMYFUNCTION("""COMPUTED_VALUE"""),"Completed")</f>
        <v>Completed</v>
      </c>
    </row>
    <row r="1645">
      <c r="A1645" s="9" t="str">
        <f>IFERROR(__xludf.DUMMYFUNCTION("""COMPUTED_VALUE"""),"G-REQ-01644")</f>
        <v>G-REQ-01644</v>
      </c>
      <c r="B1645" s="11">
        <f>IFERROR(__xludf.DUMMYFUNCTION("""COMPUTED_VALUE"""),45878.32568768363)</f>
        <v>45878.32569</v>
      </c>
      <c r="C1645" s="9">
        <f>IFERROR(__xludf.DUMMYFUNCTION("""COMPUTED_VALUE"""),6657.0)</f>
        <v>6657</v>
      </c>
      <c r="D1645" s="9" t="str">
        <f>IFERROR(__xludf.DUMMYFUNCTION("""COMPUTED_VALUE"""),"Completed")</f>
        <v>Completed</v>
      </c>
    </row>
    <row r="1646">
      <c r="A1646" s="9" t="str">
        <f>IFERROR(__xludf.DUMMYFUNCTION("""COMPUTED_VALUE"""),"G-REQ-01645")</f>
        <v>G-REQ-01645</v>
      </c>
      <c r="B1646" s="11">
        <f>IFERROR(__xludf.DUMMYFUNCTION("""COMPUTED_VALUE"""),45878.39686252904)</f>
        <v>45878.39686</v>
      </c>
      <c r="C1646" s="9">
        <f>IFERROR(__xludf.DUMMYFUNCTION("""COMPUTED_VALUE"""),6661.0)</f>
        <v>6661</v>
      </c>
      <c r="D1646" s="9" t="str">
        <f>IFERROR(__xludf.DUMMYFUNCTION("""COMPUTED_VALUE"""),"Completed")</f>
        <v>Completed</v>
      </c>
    </row>
    <row r="1647">
      <c r="A1647" s="9" t="str">
        <f>IFERROR(__xludf.DUMMYFUNCTION("""COMPUTED_VALUE"""),"G-REQ-01646")</f>
        <v>G-REQ-01646</v>
      </c>
      <c r="B1647" s="11">
        <f>IFERROR(__xludf.DUMMYFUNCTION("""COMPUTED_VALUE"""),45878.46803737446)</f>
        <v>45878.46804</v>
      </c>
      <c r="C1647" s="9">
        <f>IFERROR(__xludf.DUMMYFUNCTION("""COMPUTED_VALUE"""),6665.0)</f>
        <v>6665</v>
      </c>
      <c r="D1647" s="9" t="str">
        <f>IFERROR(__xludf.DUMMYFUNCTION("""COMPUTED_VALUE"""),"Completed")</f>
        <v>Completed</v>
      </c>
    </row>
    <row r="1648">
      <c r="A1648" s="9" t="str">
        <f>IFERROR(__xludf.DUMMYFUNCTION("""COMPUTED_VALUE"""),"G-REQ-01647")</f>
        <v>G-REQ-01647</v>
      </c>
      <c r="B1648" s="11">
        <f>IFERROR(__xludf.DUMMYFUNCTION("""COMPUTED_VALUE"""),45878.53921221988)</f>
        <v>45878.53921</v>
      </c>
      <c r="C1648" s="9">
        <f>IFERROR(__xludf.DUMMYFUNCTION("""COMPUTED_VALUE"""),6669.0)</f>
        <v>6669</v>
      </c>
      <c r="D1648" s="9" t="str">
        <f>IFERROR(__xludf.DUMMYFUNCTION("""COMPUTED_VALUE"""),"Completed")</f>
        <v>Completed</v>
      </c>
    </row>
    <row r="1649">
      <c r="A1649" s="9" t="str">
        <f>IFERROR(__xludf.DUMMYFUNCTION("""COMPUTED_VALUE"""),"G-REQ-01648")</f>
        <v>G-REQ-01648</v>
      </c>
      <c r="B1649" s="11">
        <f>IFERROR(__xludf.DUMMYFUNCTION("""COMPUTED_VALUE"""),45878.610387065295)</f>
        <v>45878.61039</v>
      </c>
      <c r="C1649" s="9">
        <f>IFERROR(__xludf.DUMMYFUNCTION("""COMPUTED_VALUE"""),6673.0)</f>
        <v>6673</v>
      </c>
      <c r="D1649" s="9" t="str">
        <f>IFERROR(__xludf.DUMMYFUNCTION("""COMPUTED_VALUE"""),"Completed")</f>
        <v>Completed</v>
      </c>
    </row>
    <row r="1650">
      <c r="A1650" s="9" t="str">
        <f>IFERROR(__xludf.DUMMYFUNCTION("""COMPUTED_VALUE"""),"G-REQ-01649")</f>
        <v>G-REQ-01649</v>
      </c>
      <c r="B1650" s="11">
        <f>IFERROR(__xludf.DUMMYFUNCTION("""COMPUTED_VALUE"""),45878.68156191071)</f>
        <v>45878.68156</v>
      </c>
      <c r="C1650" s="9">
        <f>IFERROR(__xludf.DUMMYFUNCTION("""COMPUTED_VALUE"""),6677.0)</f>
        <v>6677</v>
      </c>
      <c r="D1650" s="9" t="str">
        <f>IFERROR(__xludf.DUMMYFUNCTION("""COMPUTED_VALUE"""),"Completed")</f>
        <v>Completed</v>
      </c>
    </row>
    <row r="1651">
      <c r="A1651" s="9" t="str">
        <f>IFERROR(__xludf.DUMMYFUNCTION("""COMPUTED_VALUE"""),"G-REQ-01650")</f>
        <v>G-REQ-01650</v>
      </c>
      <c r="B1651" s="11">
        <f>IFERROR(__xludf.DUMMYFUNCTION("""COMPUTED_VALUE"""),45878.75273675613)</f>
        <v>45878.75274</v>
      </c>
      <c r="C1651" s="9">
        <f>IFERROR(__xludf.DUMMYFUNCTION("""COMPUTED_VALUE"""),6681.0)</f>
        <v>6681</v>
      </c>
      <c r="D1651" s="9" t="str">
        <f>IFERROR(__xludf.DUMMYFUNCTION("""COMPUTED_VALUE"""),"Completed")</f>
        <v>Completed</v>
      </c>
    </row>
    <row r="1652">
      <c r="A1652" s="9" t="str">
        <f>IFERROR(__xludf.DUMMYFUNCTION("""COMPUTED_VALUE"""),"G-REQ-01651")</f>
        <v>G-REQ-01651</v>
      </c>
      <c r="B1652" s="11">
        <f>IFERROR(__xludf.DUMMYFUNCTION("""COMPUTED_VALUE"""),45878.816967157094)</f>
        <v>45878.81697</v>
      </c>
      <c r="C1652" s="9">
        <f>IFERROR(__xludf.DUMMYFUNCTION("""COMPUTED_VALUE"""),6683.0)</f>
        <v>6683</v>
      </c>
      <c r="D1652" s="9" t="str">
        <f>IFERROR(__xludf.DUMMYFUNCTION("""COMPUTED_VALUE"""),"Rejected")</f>
        <v>Rejected</v>
      </c>
    </row>
    <row r="1653">
      <c r="A1653" s="9" t="str">
        <f>IFERROR(__xludf.DUMMYFUNCTION("""COMPUTED_VALUE"""),"G-REQ-01652")</f>
        <v>G-REQ-01652</v>
      </c>
      <c r="B1653" s="11">
        <f>IFERROR(__xludf.DUMMYFUNCTION("""COMPUTED_VALUE"""),45878.89508644695)</f>
        <v>45878.89509</v>
      </c>
      <c r="C1653" s="9">
        <f>IFERROR(__xludf.DUMMYFUNCTION("""COMPUTED_VALUE"""),6687.0)</f>
        <v>6687</v>
      </c>
      <c r="D1653" s="9" t="str">
        <f>IFERROR(__xludf.DUMMYFUNCTION("""COMPUTED_VALUE"""),"Completed")</f>
        <v>Completed</v>
      </c>
    </row>
    <row r="1654">
      <c r="A1654" s="9" t="str">
        <f>IFERROR(__xludf.DUMMYFUNCTION("""COMPUTED_VALUE"""),"G-REQ-01653")</f>
        <v>G-REQ-01653</v>
      </c>
      <c r="B1654" s="11">
        <f>IFERROR(__xludf.DUMMYFUNCTION("""COMPUTED_VALUE"""),45878.96626129237)</f>
        <v>45878.96626</v>
      </c>
      <c r="C1654" s="9">
        <f>IFERROR(__xludf.DUMMYFUNCTION("""COMPUTED_VALUE"""),6691.0)</f>
        <v>6691</v>
      </c>
      <c r="D1654" s="9" t="str">
        <f>IFERROR(__xludf.DUMMYFUNCTION("""COMPUTED_VALUE"""),"Completed")</f>
        <v>Completed</v>
      </c>
    </row>
    <row r="1655">
      <c r="A1655" s="9" t="str">
        <f>IFERROR(__xludf.DUMMYFUNCTION("""COMPUTED_VALUE"""),"G-REQ-01654")</f>
        <v>G-REQ-01654</v>
      </c>
      <c r="B1655" s="11">
        <f>IFERROR(__xludf.DUMMYFUNCTION("""COMPUTED_VALUE"""),45879.03743613778)</f>
        <v>45879.03744</v>
      </c>
      <c r="C1655" s="9">
        <f>IFERROR(__xludf.DUMMYFUNCTION("""COMPUTED_VALUE"""),6695.0)</f>
        <v>6695</v>
      </c>
      <c r="D1655" s="9" t="str">
        <f>IFERROR(__xludf.DUMMYFUNCTION("""COMPUTED_VALUE"""),"Completed")</f>
        <v>Completed</v>
      </c>
    </row>
    <row r="1656">
      <c r="A1656" s="9" t="str">
        <f>IFERROR(__xludf.DUMMYFUNCTION("""COMPUTED_VALUE"""),"G-REQ-01655")</f>
        <v>G-REQ-01655</v>
      </c>
      <c r="B1656" s="11">
        <f>IFERROR(__xludf.DUMMYFUNCTION("""COMPUTED_VALUE"""),45879.108610983196)</f>
        <v>45879.10861</v>
      </c>
      <c r="C1656" s="9">
        <f>IFERROR(__xludf.DUMMYFUNCTION("""COMPUTED_VALUE"""),6699.0)</f>
        <v>6699</v>
      </c>
      <c r="D1656" s="9" t="str">
        <f>IFERROR(__xludf.DUMMYFUNCTION("""COMPUTED_VALUE"""),"Completed")</f>
        <v>Completed</v>
      </c>
    </row>
    <row r="1657">
      <c r="A1657" s="9" t="str">
        <f>IFERROR(__xludf.DUMMYFUNCTION("""COMPUTED_VALUE"""),"G-REQ-01656")</f>
        <v>G-REQ-01656</v>
      </c>
      <c r="B1657" s="11">
        <f>IFERROR(__xludf.DUMMYFUNCTION("""COMPUTED_VALUE"""),45879.179785828615)</f>
        <v>45879.17979</v>
      </c>
      <c r="C1657" s="9">
        <f>IFERROR(__xludf.DUMMYFUNCTION("""COMPUTED_VALUE"""),6703.0)</f>
        <v>6703</v>
      </c>
      <c r="D1657" s="9" t="str">
        <f>IFERROR(__xludf.DUMMYFUNCTION("""COMPUTED_VALUE"""),"Completed")</f>
        <v>Completed</v>
      </c>
    </row>
    <row r="1658">
      <c r="A1658" s="9" t="str">
        <f>IFERROR(__xludf.DUMMYFUNCTION("""COMPUTED_VALUE"""),"G-REQ-01657")</f>
        <v>G-REQ-01657</v>
      </c>
      <c r="B1658" s="11">
        <f>IFERROR(__xludf.DUMMYFUNCTION("""COMPUTED_VALUE"""),45879.25096067403)</f>
        <v>45879.25096</v>
      </c>
      <c r="C1658" s="9">
        <f>IFERROR(__xludf.DUMMYFUNCTION("""COMPUTED_VALUE"""),6707.0)</f>
        <v>6707</v>
      </c>
      <c r="D1658" s="9" t="str">
        <f>IFERROR(__xludf.DUMMYFUNCTION("""COMPUTED_VALUE"""),"Completed")</f>
        <v>Completed</v>
      </c>
    </row>
    <row r="1659">
      <c r="A1659" s="9" t="str">
        <f>IFERROR(__xludf.DUMMYFUNCTION("""COMPUTED_VALUE"""),"G-REQ-01658")</f>
        <v>G-REQ-01658</v>
      </c>
      <c r="B1659" s="11">
        <f>IFERROR(__xludf.DUMMYFUNCTION("""COMPUTED_VALUE"""),45879.32213551944)</f>
        <v>45879.32214</v>
      </c>
      <c r="C1659" s="9">
        <f>IFERROR(__xludf.DUMMYFUNCTION("""COMPUTED_VALUE"""),6711.0)</f>
        <v>6711</v>
      </c>
      <c r="D1659" s="9" t="str">
        <f>IFERROR(__xludf.DUMMYFUNCTION("""COMPUTED_VALUE"""),"Completed")</f>
        <v>Completed</v>
      </c>
    </row>
    <row r="1660">
      <c r="A1660" s="9" t="str">
        <f>IFERROR(__xludf.DUMMYFUNCTION("""COMPUTED_VALUE"""),"G-REQ-01659")</f>
        <v>G-REQ-01659</v>
      </c>
      <c r="B1660" s="11">
        <f>IFERROR(__xludf.DUMMYFUNCTION("""COMPUTED_VALUE"""),45879.39331036486)</f>
        <v>45879.39331</v>
      </c>
      <c r="C1660" s="9">
        <f>IFERROR(__xludf.DUMMYFUNCTION("""COMPUTED_VALUE"""),6715.0)</f>
        <v>6715</v>
      </c>
      <c r="D1660" s="9" t="str">
        <f>IFERROR(__xludf.DUMMYFUNCTION("""COMPUTED_VALUE"""),"Completed")</f>
        <v>Completed</v>
      </c>
    </row>
    <row r="1661">
      <c r="A1661" s="9" t="str">
        <f>IFERROR(__xludf.DUMMYFUNCTION("""COMPUTED_VALUE"""),"G-REQ-01660")</f>
        <v>G-REQ-01660</v>
      </c>
      <c r="B1661" s="11">
        <f>IFERROR(__xludf.DUMMYFUNCTION("""COMPUTED_VALUE"""),45879.46448521028)</f>
        <v>45879.46449</v>
      </c>
      <c r="C1661" s="9">
        <f>IFERROR(__xludf.DUMMYFUNCTION("""COMPUTED_VALUE"""),6719.0)</f>
        <v>6719</v>
      </c>
      <c r="D1661" s="9" t="str">
        <f>IFERROR(__xludf.DUMMYFUNCTION("""COMPUTED_VALUE"""),"Completed")</f>
        <v>Completed</v>
      </c>
    </row>
    <row r="1662">
      <c r="A1662" s="9" t="str">
        <f>IFERROR(__xludf.DUMMYFUNCTION("""COMPUTED_VALUE"""),"G-REQ-01661")</f>
        <v>G-REQ-01661</v>
      </c>
      <c r="B1662" s="11">
        <f>IFERROR(__xludf.DUMMYFUNCTION("""COMPUTED_VALUE"""),45879.535660055684)</f>
        <v>45879.53566</v>
      </c>
      <c r="C1662" s="9">
        <f>IFERROR(__xludf.DUMMYFUNCTION("""COMPUTED_VALUE"""),6723.0)</f>
        <v>6723</v>
      </c>
      <c r="D1662" s="9" t="str">
        <f>IFERROR(__xludf.DUMMYFUNCTION("""COMPUTED_VALUE"""),"Completed")</f>
        <v>Completed</v>
      </c>
    </row>
    <row r="1663">
      <c r="A1663" s="9" t="str">
        <f>IFERROR(__xludf.DUMMYFUNCTION("""COMPUTED_VALUE"""),"G-REQ-01662")</f>
        <v>G-REQ-01662</v>
      </c>
      <c r="B1663" s="11">
        <f>IFERROR(__xludf.DUMMYFUNCTION("""COMPUTED_VALUE"""),45879.59989045666)</f>
        <v>45879.59989</v>
      </c>
      <c r="C1663" s="9">
        <f>IFERROR(__xludf.DUMMYFUNCTION("""COMPUTED_VALUE"""),6725.0)</f>
        <v>6725</v>
      </c>
      <c r="D1663" s="9" t="str">
        <f>IFERROR(__xludf.DUMMYFUNCTION("""COMPUTED_VALUE"""),"Rejected")</f>
        <v>Rejected</v>
      </c>
    </row>
    <row r="1664">
      <c r="A1664" s="9" t="str">
        <f>IFERROR(__xludf.DUMMYFUNCTION("""COMPUTED_VALUE"""),"G-REQ-01663")</f>
        <v>G-REQ-01663</v>
      </c>
      <c r="B1664" s="11">
        <f>IFERROR(__xludf.DUMMYFUNCTION("""COMPUTED_VALUE"""),45879.67800974652)</f>
        <v>45879.67801</v>
      </c>
      <c r="C1664" s="9">
        <f>IFERROR(__xludf.DUMMYFUNCTION("""COMPUTED_VALUE"""),6729.0)</f>
        <v>6729</v>
      </c>
      <c r="D1664" s="9" t="str">
        <f>IFERROR(__xludf.DUMMYFUNCTION("""COMPUTED_VALUE"""),"Completed")</f>
        <v>Completed</v>
      </c>
    </row>
    <row r="1665">
      <c r="A1665" s="9" t="str">
        <f>IFERROR(__xludf.DUMMYFUNCTION("""COMPUTED_VALUE"""),"G-REQ-01664")</f>
        <v>G-REQ-01664</v>
      </c>
      <c r="B1665" s="11">
        <f>IFERROR(__xludf.DUMMYFUNCTION("""COMPUTED_VALUE"""),45879.749184591936)</f>
        <v>45879.74918</v>
      </c>
      <c r="C1665" s="9">
        <f>IFERROR(__xludf.DUMMYFUNCTION("""COMPUTED_VALUE"""),6733.0)</f>
        <v>6733</v>
      </c>
      <c r="D1665" s="9" t="str">
        <f>IFERROR(__xludf.DUMMYFUNCTION("""COMPUTED_VALUE"""),"Completed")</f>
        <v>Completed</v>
      </c>
    </row>
    <row r="1666">
      <c r="A1666" s="9" t="str">
        <f>IFERROR(__xludf.DUMMYFUNCTION("""COMPUTED_VALUE"""),"G-REQ-01665")</f>
        <v>G-REQ-01665</v>
      </c>
      <c r="B1666" s="11">
        <f>IFERROR(__xludf.DUMMYFUNCTION("""COMPUTED_VALUE"""),45879.82035943735)</f>
        <v>45879.82036</v>
      </c>
      <c r="C1666" s="9">
        <f>IFERROR(__xludf.DUMMYFUNCTION("""COMPUTED_VALUE"""),6737.0)</f>
        <v>6737</v>
      </c>
      <c r="D1666" s="9" t="str">
        <f>IFERROR(__xludf.DUMMYFUNCTION("""COMPUTED_VALUE"""),"Completed")</f>
        <v>Completed</v>
      </c>
    </row>
    <row r="1667">
      <c r="A1667" s="9" t="str">
        <f>IFERROR(__xludf.DUMMYFUNCTION("""COMPUTED_VALUE"""),"G-REQ-01666")</f>
        <v>G-REQ-01666</v>
      </c>
      <c r="B1667" s="11">
        <f>IFERROR(__xludf.DUMMYFUNCTION("""COMPUTED_VALUE"""),45879.89153428277)</f>
        <v>45879.89153</v>
      </c>
      <c r="C1667" s="9">
        <f>IFERROR(__xludf.DUMMYFUNCTION("""COMPUTED_VALUE"""),6741.0)</f>
        <v>6741</v>
      </c>
      <c r="D1667" s="9" t="str">
        <f>IFERROR(__xludf.DUMMYFUNCTION("""COMPUTED_VALUE"""),"Completed")</f>
        <v>Completed</v>
      </c>
    </row>
    <row r="1668">
      <c r="A1668" s="9" t="str">
        <f>IFERROR(__xludf.DUMMYFUNCTION("""COMPUTED_VALUE"""),"G-REQ-01667")</f>
        <v>G-REQ-01667</v>
      </c>
      <c r="B1668" s="11">
        <f>IFERROR(__xludf.DUMMYFUNCTION("""COMPUTED_VALUE"""),45879.955764683735)</f>
        <v>45879.95576</v>
      </c>
      <c r="C1668" s="9">
        <f>IFERROR(__xludf.DUMMYFUNCTION("""COMPUTED_VALUE"""),6743.0)</f>
        <v>6743</v>
      </c>
      <c r="D1668" s="9" t="str">
        <f>IFERROR(__xludf.DUMMYFUNCTION("""COMPUTED_VALUE"""),"Cancelled")</f>
        <v>Cancelled</v>
      </c>
    </row>
    <row r="1669">
      <c r="A1669" s="9" t="str">
        <f>IFERROR(__xludf.DUMMYFUNCTION("""COMPUTED_VALUE"""),"G-REQ-01668")</f>
        <v>G-REQ-01668</v>
      </c>
      <c r="B1669" s="11">
        <f>IFERROR(__xludf.DUMMYFUNCTION("""COMPUTED_VALUE"""),45880.03388397359)</f>
        <v>45880.03388</v>
      </c>
      <c r="C1669" s="9">
        <f>IFERROR(__xludf.DUMMYFUNCTION("""COMPUTED_VALUE"""),6747.0)</f>
        <v>6747</v>
      </c>
      <c r="D1669" s="9" t="str">
        <f>IFERROR(__xludf.DUMMYFUNCTION("""COMPUTED_VALUE"""),"Completed")</f>
        <v>Completed</v>
      </c>
    </row>
    <row r="1670">
      <c r="A1670" s="9" t="str">
        <f>IFERROR(__xludf.DUMMYFUNCTION("""COMPUTED_VALUE"""),"G-REQ-01669")</f>
        <v>G-REQ-01669</v>
      </c>
      <c r="B1670" s="11">
        <f>IFERROR(__xludf.DUMMYFUNCTION("""COMPUTED_VALUE"""),45880.10505881901)</f>
        <v>45880.10506</v>
      </c>
      <c r="C1670" s="9">
        <f>IFERROR(__xludf.DUMMYFUNCTION("""COMPUTED_VALUE"""),6751.0)</f>
        <v>6751</v>
      </c>
      <c r="D1670" s="9" t="str">
        <f>IFERROR(__xludf.DUMMYFUNCTION("""COMPUTED_VALUE"""),"Completed")</f>
        <v>Completed</v>
      </c>
    </row>
    <row r="1671">
      <c r="A1671" s="9" t="str">
        <f>IFERROR(__xludf.DUMMYFUNCTION("""COMPUTED_VALUE"""),"G-REQ-01670")</f>
        <v>G-REQ-01670</v>
      </c>
      <c r="B1671" s="11">
        <f>IFERROR(__xludf.DUMMYFUNCTION("""COMPUTED_VALUE"""),45880.176233664424)</f>
        <v>45880.17623</v>
      </c>
      <c r="C1671" s="9">
        <f>IFERROR(__xludf.DUMMYFUNCTION("""COMPUTED_VALUE"""),6755.0)</f>
        <v>6755</v>
      </c>
      <c r="D1671" s="9" t="str">
        <f>IFERROR(__xludf.DUMMYFUNCTION("""COMPUTED_VALUE"""),"Completed")</f>
        <v>Completed</v>
      </c>
    </row>
    <row r="1672">
      <c r="A1672" s="9" t="str">
        <f>IFERROR(__xludf.DUMMYFUNCTION("""COMPUTED_VALUE"""),"G-REQ-01671")</f>
        <v>G-REQ-01671</v>
      </c>
      <c r="B1672" s="11">
        <f>IFERROR(__xludf.DUMMYFUNCTION("""COMPUTED_VALUE"""),45880.24740850984)</f>
        <v>45880.24741</v>
      </c>
      <c r="C1672" s="9">
        <f>IFERROR(__xludf.DUMMYFUNCTION("""COMPUTED_VALUE"""),6759.0)</f>
        <v>6759</v>
      </c>
      <c r="D1672" s="9" t="str">
        <f>IFERROR(__xludf.DUMMYFUNCTION("""COMPUTED_VALUE"""),"Completed")</f>
        <v>Completed</v>
      </c>
    </row>
    <row r="1673">
      <c r="A1673" s="9" t="str">
        <f>IFERROR(__xludf.DUMMYFUNCTION("""COMPUTED_VALUE"""),"G-REQ-01672")</f>
        <v>G-REQ-01672</v>
      </c>
      <c r="B1673" s="11">
        <f>IFERROR(__xludf.DUMMYFUNCTION("""COMPUTED_VALUE"""),45880.318583355256)</f>
        <v>45880.31858</v>
      </c>
      <c r="C1673" s="9">
        <f>IFERROR(__xludf.DUMMYFUNCTION("""COMPUTED_VALUE"""),6763.0)</f>
        <v>6763</v>
      </c>
      <c r="D1673" s="9" t="str">
        <f>IFERROR(__xludf.DUMMYFUNCTION("""COMPUTED_VALUE"""),"Completed")</f>
        <v>Completed</v>
      </c>
    </row>
    <row r="1674">
      <c r="A1674" s="9" t="str">
        <f>IFERROR(__xludf.DUMMYFUNCTION("""COMPUTED_VALUE"""),"G-REQ-01673")</f>
        <v>G-REQ-01673</v>
      </c>
      <c r="B1674" s="11">
        <f>IFERROR(__xludf.DUMMYFUNCTION("""COMPUTED_VALUE"""),45880.389758200676)</f>
        <v>45880.38976</v>
      </c>
      <c r="C1674" s="9">
        <f>IFERROR(__xludf.DUMMYFUNCTION("""COMPUTED_VALUE"""),6767.0)</f>
        <v>6767</v>
      </c>
      <c r="D1674" s="9" t="str">
        <f>IFERROR(__xludf.DUMMYFUNCTION("""COMPUTED_VALUE"""),"Completed")</f>
        <v>Completed</v>
      </c>
    </row>
    <row r="1675">
      <c r="A1675" s="9" t="str">
        <f>IFERROR(__xludf.DUMMYFUNCTION("""COMPUTED_VALUE"""),"G-REQ-01674")</f>
        <v>G-REQ-01674</v>
      </c>
      <c r="B1675" s="11">
        <f>IFERROR(__xludf.DUMMYFUNCTION("""COMPUTED_VALUE"""),45880.46093304608)</f>
        <v>45880.46093</v>
      </c>
      <c r="C1675" s="9">
        <f>IFERROR(__xludf.DUMMYFUNCTION("""COMPUTED_VALUE"""),6771.0)</f>
        <v>6771</v>
      </c>
      <c r="D1675" s="9" t="str">
        <f>IFERROR(__xludf.DUMMYFUNCTION("""COMPUTED_VALUE"""),"Completed")</f>
        <v>Completed</v>
      </c>
    </row>
    <row r="1676">
      <c r="A1676" s="9" t="str">
        <f>IFERROR(__xludf.DUMMYFUNCTION("""COMPUTED_VALUE"""),"G-REQ-01675")</f>
        <v>G-REQ-01675</v>
      </c>
      <c r="B1676" s="11">
        <f>IFERROR(__xludf.DUMMYFUNCTION("""COMPUTED_VALUE"""),45880.5321078915)</f>
        <v>45880.53211</v>
      </c>
      <c r="C1676" s="9">
        <f>IFERROR(__xludf.DUMMYFUNCTION("""COMPUTED_VALUE"""),6775.0)</f>
        <v>6775</v>
      </c>
      <c r="D1676" s="9" t="str">
        <f>IFERROR(__xludf.DUMMYFUNCTION("""COMPUTED_VALUE"""),"Completed")</f>
        <v>Completed</v>
      </c>
    </row>
    <row r="1677">
      <c r="A1677" s="9" t="str">
        <f>IFERROR(__xludf.DUMMYFUNCTION("""COMPUTED_VALUE"""),"G-REQ-01676")</f>
        <v>G-REQ-01676</v>
      </c>
      <c r="B1677" s="11">
        <f>IFERROR(__xludf.DUMMYFUNCTION("""COMPUTED_VALUE"""),45880.60328273692)</f>
        <v>45880.60328</v>
      </c>
      <c r="C1677" s="9">
        <f>IFERROR(__xludf.DUMMYFUNCTION("""COMPUTED_VALUE"""),6779.0)</f>
        <v>6779</v>
      </c>
      <c r="D1677" s="9" t="str">
        <f>IFERROR(__xludf.DUMMYFUNCTION("""COMPUTED_VALUE"""),"Completed")</f>
        <v>Completed</v>
      </c>
    </row>
    <row r="1678">
      <c r="A1678" s="9" t="str">
        <f>IFERROR(__xludf.DUMMYFUNCTION("""COMPUTED_VALUE"""),"G-REQ-01677")</f>
        <v>G-REQ-01677</v>
      </c>
      <c r="B1678" s="11">
        <f>IFERROR(__xludf.DUMMYFUNCTION("""COMPUTED_VALUE"""),45880.67445758233)</f>
        <v>45880.67446</v>
      </c>
      <c r="C1678" s="9">
        <f>IFERROR(__xludf.DUMMYFUNCTION("""COMPUTED_VALUE"""),6783.0)</f>
        <v>6783</v>
      </c>
      <c r="D1678" s="9" t="str">
        <f>IFERROR(__xludf.DUMMYFUNCTION("""COMPUTED_VALUE"""),"Completed")</f>
        <v>Completed</v>
      </c>
    </row>
    <row r="1679">
      <c r="A1679" s="9" t="str">
        <f>IFERROR(__xludf.DUMMYFUNCTION("""COMPUTED_VALUE"""),"G-REQ-01678")</f>
        <v>G-REQ-01678</v>
      </c>
      <c r="B1679" s="11">
        <f>IFERROR(__xludf.DUMMYFUNCTION("""COMPUTED_VALUE"""),45880.7386879833)</f>
        <v>45880.73869</v>
      </c>
      <c r="C1679" s="9">
        <f>IFERROR(__xludf.DUMMYFUNCTION("""COMPUTED_VALUE"""),6785.0)</f>
        <v>6785</v>
      </c>
      <c r="D1679" s="9" t="str">
        <f>IFERROR(__xludf.DUMMYFUNCTION("""COMPUTED_VALUE"""),"Rejected")</f>
        <v>Rejected</v>
      </c>
    </row>
    <row r="1680">
      <c r="A1680" s="9" t="str">
        <f>IFERROR(__xludf.DUMMYFUNCTION("""COMPUTED_VALUE"""),"G-REQ-01679")</f>
        <v>G-REQ-01679</v>
      </c>
      <c r="B1680" s="11">
        <f>IFERROR(__xludf.DUMMYFUNCTION("""COMPUTED_VALUE"""),45880.816807273164)</f>
        <v>45880.81681</v>
      </c>
      <c r="C1680" s="9">
        <f>IFERROR(__xludf.DUMMYFUNCTION("""COMPUTED_VALUE"""),6789.0)</f>
        <v>6789</v>
      </c>
      <c r="D1680" s="9" t="str">
        <f>IFERROR(__xludf.DUMMYFUNCTION("""COMPUTED_VALUE"""),"Completed")</f>
        <v>Completed</v>
      </c>
    </row>
    <row r="1681">
      <c r="A1681" s="9" t="str">
        <f>IFERROR(__xludf.DUMMYFUNCTION("""COMPUTED_VALUE"""),"G-REQ-01680")</f>
        <v>G-REQ-01680</v>
      </c>
      <c r="B1681" s="11">
        <f>IFERROR(__xludf.DUMMYFUNCTION("""COMPUTED_VALUE"""),45880.88798211858)</f>
        <v>45880.88798</v>
      </c>
      <c r="C1681" s="9">
        <f>IFERROR(__xludf.DUMMYFUNCTION("""COMPUTED_VALUE"""),6793.0)</f>
        <v>6793</v>
      </c>
      <c r="D1681" s="9" t="str">
        <f>IFERROR(__xludf.DUMMYFUNCTION("""COMPUTED_VALUE"""),"Completed")</f>
        <v>Completed</v>
      </c>
    </row>
    <row r="1682">
      <c r="A1682" s="9" t="str">
        <f>IFERROR(__xludf.DUMMYFUNCTION("""COMPUTED_VALUE"""),"G-REQ-01681")</f>
        <v>G-REQ-01681</v>
      </c>
      <c r="B1682" s="11">
        <f>IFERROR(__xludf.DUMMYFUNCTION("""COMPUTED_VALUE"""),45880.95221251954)</f>
        <v>45880.95221</v>
      </c>
      <c r="C1682" s="9">
        <f>IFERROR(__xludf.DUMMYFUNCTION("""COMPUTED_VALUE"""),6795.0)</f>
        <v>6795</v>
      </c>
      <c r="D1682" s="9" t="str">
        <f>IFERROR(__xludf.DUMMYFUNCTION("""COMPUTED_VALUE"""),"Rejected")</f>
        <v>Rejected</v>
      </c>
    </row>
    <row r="1683">
      <c r="A1683" s="9" t="str">
        <f>IFERROR(__xludf.DUMMYFUNCTION("""COMPUTED_VALUE"""),"G-REQ-01682")</f>
        <v>G-REQ-01682</v>
      </c>
      <c r="B1683" s="11">
        <f>IFERROR(__xludf.DUMMYFUNCTION("""COMPUTED_VALUE"""),45881.03033180941)</f>
        <v>45881.03033</v>
      </c>
      <c r="C1683" s="9">
        <f>IFERROR(__xludf.DUMMYFUNCTION("""COMPUTED_VALUE"""),6799.0)</f>
        <v>6799</v>
      </c>
      <c r="D1683" s="9" t="str">
        <f>IFERROR(__xludf.DUMMYFUNCTION("""COMPUTED_VALUE"""),"Completed")</f>
        <v>Completed</v>
      </c>
    </row>
    <row r="1684">
      <c r="A1684" s="9" t="str">
        <f>IFERROR(__xludf.DUMMYFUNCTION("""COMPUTED_VALUE"""),"G-REQ-01683")</f>
        <v>G-REQ-01683</v>
      </c>
      <c r="B1684" s="11">
        <f>IFERROR(__xludf.DUMMYFUNCTION("""COMPUTED_VALUE"""),45881.10150665482)</f>
        <v>45881.10151</v>
      </c>
      <c r="C1684" s="9">
        <f>IFERROR(__xludf.DUMMYFUNCTION("""COMPUTED_VALUE"""),6803.0)</f>
        <v>6803</v>
      </c>
      <c r="D1684" s="9" t="str">
        <f>IFERROR(__xludf.DUMMYFUNCTION("""COMPUTED_VALUE"""),"Completed")</f>
        <v>Completed</v>
      </c>
    </row>
    <row r="1685">
      <c r="A1685" s="9" t="str">
        <f>IFERROR(__xludf.DUMMYFUNCTION("""COMPUTED_VALUE"""),"G-REQ-01684")</f>
        <v>G-REQ-01684</v>
      </c>
      <c r="B1685" s="11">
        <f>IFERROR(__xludf.DUMMYFUNCTION("""COMPUTED_VALUE"""),45881.17268150023)</f>
        <v>45881.17268</v>
      </c>
      <c r="C1685" s="9">
        <f>IFERROR(__xludf.DUMMYFUNCTION("""COMPUTED_VALUE"""),6807.0)</f>
        <v>6807</v>
      </c>
      <c r="D1685" s="9" t="str">
        <f>IFERROR(__xludf.DUMMYFUNCTION("""COMPUTED_VALUE"""),"Completed")</f>
        <v>Completed</v>
      </c>
    </row>
    <row r="1686">
      <c r="A1686" s="9" t="str">
        <f>IFERROR(__xludf.DUMMYFUNCTION("""COMPUTED_VALUE"""),"G-REQ-01685")</f>
        <v>G-REQ-01685</v>
      </c>
      <c r="B1686" s="11">
        <f>IFERROR(__xludf.DUMMYFUNCTION("""COMPUTED_VALUE"""),45881.23691190121)</f>
        <v>45881.23691</v>
      </c>
      <c r="C1686" s="9">
        <f>IFERROR(__xludf.DUMMYFUNCTION("""COMPUTED_VALUE"""),6809.0)</f>
        <v>6809</v>
      </c>
      <c r="D1686" s="9" t="str">
        <f>IFERROR(__xludf.DUMMYFUNCTION("""COMPUTED_VALUE"""),"Rejected")</f>
        <v>Rejected</v>
      </c>
    </row>
    <row r="1687">
      <c r="A1687" s="9" t="str">
        <f>IFERROR(__xludf.DUMMYFUNCTION("""COMPUTED_VALUE"""),"G-REQ-01686")</f>
        <v>G-REQ-01686</v>
      </c>
      <c r="B1687" s="11">
        <f>IFERROR(__xludf.DUMMYFUNCTION("""COMPUTED_VALUE"""),45881.315031191065)</f>
        <v>45881.31503</v>
      </c>
      <c r="C1687" s="9">
        <f>IFERROR(__xludf.DUMMYFUNCTION("""COMPUTED_VALUE"""),6813.0)</f>
        <v>6813</v>
      </c>
      <c r="D1687" s="9" t="str">
        <f>IFERROR(__xludf.DUMMYFUNCTION("""COMPUTED_VALUE"""),"Completed")</f>
        <v>Completed</v>
      </c>
    </row>
    <row r="1688">
      <c r="A1688" s="9" t="str">
        <f>IFERROR(__xludf.DUMMYFUNCTION("""COMPUTED_VALUE"""),"G-REQ-01687")</f>
        <v>G-REQ-01687</v>
      </c>
      <c r="B1688" s="11">
        <f>IFERROR(__xludf.DUMMYFUNCTION("""COMPUTED_VALUE"""),45881.38620603648)</f>
        <v>45881.38621</v>
      </c>
      <c r="C1688" s="9">
        <f>IFERROR(__xludf.DUMMYFUNCTION("""COMPUTED_VALUE"""),6817.0)</f>
        <v>6817</v>
      </c>
      <c r="D1688" s="9" t="str">
        <f>IFERROR(__xludf.DUMMYFUNCTION("""COMPUTED_VALUE"""),"Completed")</f>
        <v>Completed</v>
      </c>
    </row>
    <row r="1689">
      <c r="A1689" s="9" t="str">
        <f>IFERROR(__xludf.DUMMYFUNCTION("""COMPUTED_VALUE"""),"G-REQ-01688")</f>
        <v>G-REQ-01688</v>
      </c>
      <c r="B1689" s="11">
        <f>IFERROR(__xludf.DUMMYFUNCTION("""COMPUTED_VALUE"""),45881.4573808819)</f>
        <v>45881.45738</v>
      </c>
      <c r="C1689" s="9">
        <f>IFERROR(__xludf.DUMMYFUNCTION("""COMPUTED_VALUE"""),6821.0)</f>
        <v>6821</v>
      </c>
      <c r="D1689" s="9" t="str">
        <f>IFERROR(__xludf.DUMMYFUNCTION("""COMPUTED_VALUE"""),"Completed")</f>
        <v>Completed</v>
      </c>
    </row>
    <row r="1690">
      <c r="A1690" s="9" t="str">
        <f>IFERROR(__xludf.DUMMYFUNCTION("""COMPUTED_VALUE"""),"G-REQ-01689")</f>
        <v>G-REQ-01689</v>
      </c>
      <c r="B1690" s="11">
        <f>IFERROR(__xludf.DUMMYFUNCTION("""COMPUTED_VALUE"""),45881.52855572732)</f>
        <v>45881.52856</v>
      </c>
      <c r="C1690" s="9">
        <f>IFERROR(__xludf.DUMMYFUNCTION("""COMPUTED_VALUE"""),6825.0)</f>
        <v>6825</v>
      </c>
      <c r="D1690" s="9" t="str">
        <f>IFERROR(__xludf.DUMMYFUNCTION("""COMPUTED_VALUE"""),"Completed")</f>
        <v>Completed</v>
      </c>
    </row>
    <row r="1691">
      <c r="A1691" s="9" t="str">
        <f>IFERROR(__xludf.DUMMYFUNCTION("""COMPUTED_VALUE"""),"G-REQ-01690")</f>
        <v>G-REQ-01690</v>
      </c>
      <c r="B1691" s="11">
        <f>IFERROR(__xludf.DUMMYFUNCTION("""COMPUTED_VALUE"""),45881.59973057273)</f>
        <v>45881.59973</v>
      </c>
      <c r="C1691" s="9">
        <f>IFERROR(__xludf.DUMMYFUNCTION("""COMPUTED_VALUE"""),6829.0)</f>
        <v>6829</v>
      </c>
      <c r="D1691" s="9" t="str">
        <f>IFERROR(__xludf.DUMMYFUNCTION("""COMPUTED_VALUE"""),"Completed")</f>
        <v>Completed</v>
      </c>
    </row>
    <row r="1692">
      <c r="A1692" s="9" t="str">
        <f>IFERROR(__xludf.DUMMYFUNCTION("""COMPUTED_VALUE"""),"G-REQ-01691")</f>
        <v>G-REQ-01691</v>
      </c>
      <c r="B1692" s="11">
        <f>IFERROR(__xludf.DUMMYFUNCTION("""COMPUTED_VALUE"""),45881.67090541814)</f>
        <v>45881.67091</v>
      </c>
      <c r="C1692" s="9">
        <f>IFERROR(__xludf.DUMMYFUNCTION("""COMPUTED_VALUE"""),6833.0)</f>
        <v>6833</v>
      </c>
      <c r="D1692" s="9" t="str">
        <f>IFERROR(__xludf.DUMMYFUNCTION("""COMPUTED_VALUE"""),"Completed")</f>
        <v>Completed</v>
      </c>
    </row>
    <row r="1693">
      <c r="A1693" s="9" t="str">
        <f>IFERROR(__xludf.DUMMYFUNCTION("""COMPUTED_VALUE"""),"G-REQ-01692")</f>
        <v>G-REQ-01692</v>
      </c>
      <c r="B1693" s="11">
        <f>IFERROR(__xludf.DUMMYFUNCTION("""COMPUTED_VALUE"""),45881.74208026356)</f>
        <v>45881.74208</v>
      </c>
      <c r="C1693" s="9">
        <f>IFERROR(__xludf.DUMMYFUNCTION("""COMPUTED_VALUE"""),6837.0)</f>
        <v>6837</v>
      </c>
      <c r="D1693" s="9" t="str">
        <f>IFERROR(__xludf.DUMMYFUNCTION("""COMPUTED_VALUE"""),"Completed")</f>
        <v>Completed</v>
      </c>
    </row>
    <row r="1694">
      <c r="A1694" s="9" t="str">
        <f>IFERROR(__xludf.DUMMYFUNCTION("""COMPUTED_VALUE"""),"G-REQ-01693")</f>
        <v>G-REQ-01693</v>
      </c>
      <c r="B1694" s="11">
        <f>IFERROR(__xludf.DUMMYFUNCTION("""COMPUTED_VALUE"""),45881.81325510897)</f>
        <v>45881.81326</v>
      </c>
      <c r="C1694" s="9">
        <f>IFERROR(__xludf.DUMMYFUNCTION("""COMPUTED_VALUE"""),6841.0)</f>
        <v>6841</v>
      </c>
      <c r="D1694" s="9" t="str">
        <f>IFERROR(__xludf.DUMMYFUNCTION("""COMPUTED_VALUE"""),"Completed")</f>
        <v>Completed</v>
      </c>
    </row>
    <row r="1695">
      <c r="A1695" s="9" t="str">
        <f>IFERROR(__xludf.DUMMYFUNCTION("""COMPUTED_VALUE"""),"G-REQ-01694")</f>
        <v>G-REQ-01694</v>
      </c>
      <c r="B1695" s="11">
        <f>IFERROR(__xludf.DUMMYFUNCTION("""COMPUTED_VALUE"""),45881.884429954385)</f>
        <v>45881.88443</v>
      </c>
      <c r="C1695" s="9">
        <f>IFERROR(__xludf.DUMMYFUNCTION("""COMPUTED_VALUE"""),6845.0)</f>
        <v>6845</v>
      </c>
      <c r="D1695" s="9" t="str">
        <f>IFERROR(__xludf.DUMMYFUNCTION("""COMPUTED_VALUE"""),"Completed")</f>
        <v>Completed</v>
      </c>
    </row>
    <row r="1696">
      <c r="A1696" s="9" t="str">
        <f>IFERROR(__xludf.DUMMYFUNCTION("""COMPUTED_VALUE"""),"G-REQ-01695")</f>
        <v>G-REQ-01695</v>
      </c>
      <c r="B1696" s="11">
        <f>IFERROR(__xludf.DUMMYFUNCTION("""COMPUTED_VALUE"""),45881.955604799805)</f>
        <v>45881.9556</v>
      </c>
      <c r="C1696" s="9">
        <f>IFERROR(__xludf.DUMMYFUNCTION("""COMPUTED_VALUE"""),6849.0)</f>
        <v>6849</v>
      </c>
      <c r="D1696" s="9" t="str">
        <f>IFERROR(__xludf.DUMMYFUNCTION("""COMPUTED_VALUE"""),"Completed")</f>
        <v>Completed</v>
      </c>
    </row>
    <row r="1697">
      <c r="A1697" s="9" t="str">
        <f>IFERROR(__xludf.DUMMYFUNCTION("""COMPUTED_VALUE"""),"G-REQ-01696")</f>
        <v>G-REQ-01696</v>
      </c>
      <c r="B1697" s="11">
        <f>IFERROR(__xludf.DUMMYFUNCTION("""COMPUTED_VALUE"""),45882.01983520077)</f>
        <v>45882.01984</v>
      </c>
      <c r="C1697" s="9">
        <f>IFERROR(__xludf.DUMMYFUNCTION("""COMPUTED_VALUE"""),6851.0)</f>
        <v>6851</v>
      </c>
      <c r="D1697" s="9" t="str">
        <f>IFERROR(__xludf.DUMMYFUNCTION("""COMPUTED_VALUE"""),"Rejected")</f>
        <v>Rejected</v>
      </c>
    </row>
    <row r="1698">
      <c r="A1698" s="9" t="str">
        <f>IFERROR(__xludf.DUMMYFUNCTION("""COMPUTED_VALUE"""),"G-REQ-01697")</f>
        <v>G-REQ-01697</v>
      </c>
      <c r="B1698" s="11">
        <f>IFERROR(__xludf.DUMMYFUNCTION("""COMPUTED_VALUE"""),45882.09795449063)</f>
        <v>45882.09795</v>
      </c>
      <c r="C1698" s="9">
        <f>IFERROR(__xludf.DUMMYFUNCTION("""COMPUTED_VALUE"""),6855.0)</f>
        <v>6855</v>
      </c>
      <c r="D1698" s="9" t="str">
        <f>IFERROR(__xludf.DUMMYFUNCTION("""COMPUTED_VALUE"""),"Completed")</f>
        <v>Completed</v>
      </c>
    </row>
    <row r="1699">
      <c r="A1699" s="9" t="str">
        <f>IFERROR(__xludf.DUMMYFUNCTION("""COMPUTED_VALUE"""),"G-REQ-01698")</f>
        <v>G-REQ-01698</v>
      </c>
      <c r="B1699" s="11">
        <f>IFERROR(__xludf.DUMMYFUNCTION("""COMPUTED_VALUE"""),45882.16912933605)</f>
        <v>45882.16913</v>
      </c>
      <c r="C1699" s="9">
        <f>IFERROR(__xludf.DUMMYFUNCTION("""COMPUTED_VALUE"""),6859.0)</f>
        <v>6859</v>
      </c>
      <c r="D1699" s="9" t="str">
        <f>IFERROR(__xludf.DUMMYFUNCTION("""COMPUTED_VALUE"""),"Completed")</f>
        <v>Completed</v>
      </c>
    </row>
    <row r="1700">
      <c r="A1700" s="9" t="str">
        <f>IFERROR(__xludf.DUMMYFUNCTION("""COMPUTED_VALUE"""),"G-REQ-01699")</f>
        <v>G-REQ-01699</v>
      </c>
      <c r="B1700" s="11">
        <f>IFERROR(__xludf.DUMMYFUNCTION("""COMPUTED_VALUE"""),45882.24030418146)</f>
        <v>45882.2403</v>
      </c>
      <c r="C1700" s="9">
        <f>IFERROR(__xludf.DUMMYFUNCTION("""COMPUTED_VALUE"""),6863.0)</f>
        <v>6863</v>
      </c>
      <c r="D1700" s="9" t="str">
        <f>IFERROR(__xludf.DUMMYFUNCTION("""COMPUTED_VALUE"""),"Completed")</f>
        <v>Completed</v>
      </c>
    </row>
    <row r="1701">
      <c r="A1701" s="9" t="str">
        <f>IFERROR(__xludf.DUMMYFUNCTION("""COMPUTED_VALUE"""),"G-REQ-01700")</f>
        <v>G-REQ-01700</v>
      </c>
      <c r="B1701" s="11">
        <f>IFERROR(__xludf.DUMMYFUNCTION("""COMPUTED_VALUE"""),45882.311479026874)</f>
        <v>45882.31148</v>
      </c>
      <c r="C1701" s="9">
        <f>IFERROR(__xludf.DUMMYFUNCTION("""COMPUTED_VALUE"""),6867.0)</f>
        <v>6867</v>
      </c>
      <c r="D1701" s="9" t="str">
        <f>IFERROR(__xludf.DUMMYFUNCTION("""COMPUTED_VALUE"""),"Completed")</f>
        <v>Completed</v>
      </c>
    </row>
    <row r="1702">
      <c r="A1702" s="9" t="str">
        <f>IFERROR(__xludf.DUMMYFUNCTION("""COMPUTED_VALUE"""),"G-REQ-01701")</f>
        <v>G-REQ-01701</v>
      </c>
      <c r="B1702" s="11">
        <f>IFERROR(__xludf.DUMMYFUNCTION("""COMPUTED_VALUE"""),45882.38265387229)</f>
        <v>45882.38265</v>
      </c>
      <c r="C1702" s="9">
        <f>IFERROR(__xludf.DUMMYFUNCTION("""COMPUTED_VALUE"""),6871.0)</f>
        <v>6871</v>
      </c>
      <c r="D1702" s="9" t="str">
        <f>IFERROR(__xludf.DUMMYFUNCTION("""COMPUTED_VALUE"""),"Completed")</f>
        <v>Completed</v>
      </c>
    </row>
    <row r="1703">
      <c r="A1703" s="9" t="str">
        <f>IFERROR(__xludf.DUMMYFUNCTION("""COMPUTED_VALUE"""),"G-REQ-01702")</f>
        <v>G-REQ-01702</v>
      </c>
      <c r="B1703" s="11">
        <f>IFERROR(__xludf.DUMMYFUNCTION("""COMPUTED_VALUE"""),45882.45382871771)</f>
        <v>45882.45383</v>
      </c>
      <c r="C1703" s="9">
        <f>IFERROR(__xludf.DUMMYFUNCTION("""COMPUTED_VALUE"""),6875.0)</f>
        <v>6875</v>
      </c>
      <c r="D1703" s="9" t="str">
        <f>IFERROR(__xludf.DUMMYFUNCTION("""COMPUTED_VALUE"""),"Completed")</f>
        <v>Completed</v>
      </c>
    </row>
    <row r="1704">
      <c r="A1704" s="9" t="str">
        <f>IFERROR(__xludf.DUMMYFUNCTION("""COMPUTED_VALUE"""),"G-REQ-01703")</f>
        <v>G-REQ-01703</v>
      </c>
      <c r="B1704" s="11">
        <f>IFERROR(__xludf.DUMMYFUNCTION("""COMPUTED_VALUE"""),45882.52500356312)</f>
        <v>45882.525</v>
      </c>
      <c r="C1704" s="9">
        <f>IFERROR(__xludf.DUMMYFUNCTION("""COMPUTED_VALUE"""),6879.0)</f>
        <v>6879</v>
      </c>
      <c r="D1704" s="9" t="str">
        <f>IFERROR(__xludf.DUMMYFUNCTION("""COMPUTED_VALUE"""),"Completed")</f>
        <v>Completed</v>
      </c>
    </row>
    <row r="1705">
      <c r="A1705" s="9" t="str">
        <f>IFERROR(__xludf.DUMMYFUNCTION("""COMPUTED_VALUE"""),"G-REQ-01704")</f>
        <v>G-REQ-01704</v>
      </c>
      <c r="B1705" s="11">
        <f>IFERROR(__xludf.DUMMYFUNCTION("""COMPUTED_VALUE"""),45882.59617840854)</f>
        <v>45882.59618</v>
      </c>
      <c r="C1705" s="9">
        <f>IFERROR(__xludf.DUMMYFUNCTION("""COMPUTED_VALUE"""),6883.0)</f>
        <v>6883</v>
      </c>
      <c r="D1705" s="9" t="str">
        <f>IFERROR(__xludf.DUMMYFUNCTION("""COMPUTED_VALUE"""),"Completed")</f>
        <v>Completed</v>
      </c>
    </row>
    <row r="1706">
      <c r="A1706" s="9" t="str">
        <f>IFERROR(__xludf.DUMMYFUNCTION("""COMPUTED_VALUE"""),"G-REQ-01705")</f>
        <v>G-REQ-01705</v>
      </c>
      <c r="B1706" s="11">
        <f>IFERROR(__xludf.DUMMYFUNCTION("""COMPUTED_VALUE"""),45882.66735325396)</f>
        <v>45882.66735</v>
      </c>
      <c r="C1706" s="9">
        <f>IFERROR(__xludf.DUMMYFUNCTION("""COMPUTED_VALUE"""),6887.0)</f>
        <v>6887</v>
      </c>
      <c r="D1706" s="9" t="str">
        <f>IFERROR(__xludf.DUMMYFUNCTION("""COMPUTED_VALUE"""),"Completed")</f>
        <v>Completed</v>
      </c>
    </row>
    <row r="1707">
      <c r="A1707" s="9" t="str">
        <f>IFERROR(__xludf.DUMMYFUNCTION("""COMPUTED_VALUE"""),"G-REQ-01706")</f>
        <v>G-REQ-01706</v>
      </c>
      <c r="B1707" s="11">
        <f>IFERROR(__xludf.DUMMYFUNCTION("""COMPUTED_VALUE"""),45882.73852809937)</f>
        <v>45882.73853</v>
      </c>
      <c r="C1707" s="9">
        <f>IFERROR(__xludf.DUMMYFUNCTION("""COMPUTED_VALUE"""),6891.0)</f>
        <v>6891</v>
      </c>
      <c r="D1707" s="9" t="str">
        <f>IFERROR(__xludf.DUMMYFUNCTION("""COMPUTED_VALUE"""),"Completed")</f>
        <v>Completed</v>
      </c>
    </row>
    <row r="1708">
      <c r="A1708" s="9" t="str">
        <f>IFERROR(__xludf.DUMMYFUNCTION("""COMPUTED_VALUE"""),"G-REQ-01707")</f>
        <v>G-REQ-01707</v>
      </c>
      <c r="B1708" s="11">
        <f>IFERROR(__xludf.DUMMYFUNCTION("""COMPUTED_VALUE"""),45882.80970294478)</f>
        <v>45882.8097</v>
      </c>
      <c r="C1708" s="9">
        <f>IFERROR(__xludf.DUMMYFUNCTION("""COMPUTED_VALUE"""),6895.0)</f>
        <v>6895</v>
      </c>
      <c r="D1708" s="9" t="str">
        <f>IFERROR(__xludf.DUMMYFUNCTION("""COMPUTED_VALUE"""),"Completed")</f>
        <v>Completed</v>
      </c>
    </row>
    <row r="1709">
      <c r="A1709" s="9" t="str">
        <f>IFERROR(__xludf.DUMMYFUNCTION("""COMPUTED_VALUE"""),"G-REQ-01708")</f>
        <v>G-REQ-01708</v>
      </c>
      <c r="B1709" s="11">
        <f>IFERROR(__xludf.DUMMYFUNCTION("""COMPUTED_VALUE"""),45882.8808777902)</f>
        <v>45882.88088</v>
      </c>
      <c r="C1709" s="9">
        <f>IFERROR(__xludf.DUMMYFUNCTION("""COMPUTED_VALUE"""),6899.0)</f>
        <v>6899</v>
      </c>
      <c r="D1709" s="9" t="str">
        <f>IFERROR(__xludf.DUMMYFUNCTION("""COMPUTED_VALUE"""),"Completed")</f>
        <v>Completed</v>
      </c>
    </row>
    <row r="1710">
      <c r="A1710" s="9" t="str">
        <f>IFERROR(__xludf.DUMMYFUNCTION("""COMPUTED_VALUE"""),"G-REQ-01709")</f>
        <v>G-REQ-01709</v>
      </c>
      <c r="B1710" s="11">
        <f>IFERROR(__xludf.DUMMYFUNCTION("""COMPUTED_VALUE"""),45882.952052635614)</f>
        <v>45882.95205</v>
      </c>
      <c r="C1710" s="9">
        <f>IFERROR(__xludf.DUMMYFUNCTION("""COMPUTED_VALUE"""),6903.0)</f>
        <v>6903</v>
      </c>
      <c r="D1710" s="9" t="str">
        <f>IFERROR(__xludf.DUMMYFUNCTION("""COMPUTED_VALUE"""),"Completed")</f>
        <v>Completed</v>
      </c>
    </row>
    <row r="1711">
      <c r="A1711" s="9" t="str">
        <f>IFERROR(__xludf.DUMMYFUNCTION("""COMPUTED_VALUE"""),"G-REQ-01710")</f>
        <v>G-REQ-01710</v>
      </c>
      <c r="B1711" s="11">
        <f>IFERROR(__xludf.DUMMYFUNCTION("""COMPUTED_VALUE"""),45883.023227481026)</f>
        <v>45883.02323</v>
      </c>
      <c r="C1711" s="9">
        <f>IFERROR(__xludf.DUMMYFUNCTION("""COMPUTED_VALUE"""),6907.0)</f>
        <v>6907</v>
      </c>
      <c r="D1711" s="9" t="str">
        <f>IFERROR(__xludf.DUMMYFUNCTION("""COMPUTED_VALUE"""),"Completed")</f>
        <v>Completed</v>
      </c>
    </row>
    <row r="1712">
      <c r="A1712" s="9" t="str">
        <f>IFERROR(__xludf.DUMMYFUNCTION("""COMPUTED_VALUE"""),"G-REQ-01711")</f>
        <v>G-REQ-01711</v>
      </c>
      <c r="B1712" s="11">
        <f>IFERROR(__xludf.DUMMYFUNCTION("""COMPUTED_VALUE"""),45883.094402326446)</f>
        <v>45883.0944</v>
      </c>
      <c r="C1712" s="9">
        <f>IFERROR(__xludf.DUMMYFUNCTION("""COMPUTED_VALUE"""),6911.0)</f>
        <v>6911</v>
      </c>
      <c r="D1712" s="9" t="str">
        <f>IFERROR(__xludf.DUMMYFUNCTION("""COMPUTED_VALUE"""),"Completed")</f>
        <v>Completed</v>
      </c>
    </row>
    <row r="1713">
      <c r="A1713" s="9" t="str">
        <f>IFERROR(__xludf.DUMMYFUNCTION("""COMPUTED_VALUE"""),"G-REQ-01712")</f>
        <v>G-REQ-01712</v>
      </c>
      <c r="B1713" s="11">
        <f>IFERROR(__xludf.DUMMYFUNCTION("""COMPUTED_VALUE"""),45883.16557717186)</f>
        <v>45883.16558</v>
      </c>
      <c r="C1713" s="9">
        <f>IFERROR(__xludf.DUMMYFUNCTION("""COMPUTED_VALUE"""),6915.0)</f>
        <v>6915</v>
      </c>
      <c r="D1713" s="9" t="str">
        <f>IFERROR(__xludf.DUMMYFUNCTION("""COMPUTED_VALUE"""),"Completed")</f>
        <v>Completed</v>
      </c>
    </row>
    <row r="1714">
      <c r="A1714" s="9" t="str">
        <f>IFERROR(__xludf.DUMMYFUNCTION("""COMPUTED_VALUE"""),"G-REQ-01713")</f>
        <v>G-REQ-01713</v>
      </c>
      <c r="B1714" s="11">
        <f>IFERROR(__xludf.DUMMYFUNCTION("""COMPUTED_VALUE"""),45883.23675201727)</f>
        <v>45883.23675</v>
      </c>
      <c r="C1714" s="9">
        <f>IFERROR(__xludf.DUMMYFUNCTION("""COMPUTED_VALUE"""),6919.0)</f>
        <v>6919</v>
      </c>
      <c r="D1714" s="9" t="str">
        <f>IFERROR(__xludf.DUMMYFUNCTION("""COMPUTED_VALUE"""),"Completed")</f>
        <v>Completed</v>
      </c>
    </row>
    <row r="1715">
      <c r="A1715" s="9" t="str">
        <f>IFERROR(__xludf.DUMMYFUNCTION("""COMPUTED_VALUE"""),"G-REQ-01714")</f>
        <v>G-REQ-01714</v>
      </c>
      <c r="B1715" s="11">
        <f>IFERROR(__xludf.DUMMYFUNCTION("""COMPUTED_VALUE"""),45883.30792686269)</f>
        <v>45883.30793</v>
      </c>
      <c r="C1715" s="9">
        <f>IFERROR(__xludf.DUMMYFUNCTION("""COMPUTED_VALUE"""),6923.0)</f>
        <v>6923</v>
      </c>
      <c r="D1715" s="9" t="str">
        <f>IFERROR(__xludf.DUMMYFUNCTION("""COMPUTED_VALUE"""),"Completed")</f>
        <v>Completed</v>
      </c>
    </row>
    <row r="1716">
      <c r="A1716" s="9" t="str">
        <f>IFERROR(__xludf.DUMMYFUNCTION("""COMPUTED_VALUE"""),"G-REQ-01715")</f>
        <v>G-REQ-01715</v>
      </c>
      <c r="B1716" s="11">
        <f>IFERROR(__xludf.DUMMYFUNCTION("""COMPUTED_VALUE"""),45883.3791017081)</f>
        <v>45883.3791</v>
      </c>
      <c r="C1716" s="9">
        <f>IFERROR(__xludf.DUMMYFUNCTION("""COMPUTED_VALUE"""),6927.0)</f>
        <v>6927</v>
      </c>
      <c r="D1716" s="9" t="str">
        <f>IFERROR(__xludf.DUMMYFUNCTION("""COMPUTED_VALUE"""),"Completed")</f>
        <v>Completed</v>
      </c>
    </row>
    <row r="1717">
      <c r="A1717" s="9" t="str">
        <f>IFERROR(__xludf.DUMMYFUNCTION("""COMPUTED_VALUE"""),"G-REQ-01716")</f>
        <v>G-REQ-01716</v>
      </c>
      <c r="B1717" s="11">
        <f>IFERROR(__xludf.DUMMYFUNCTION("""COMPUTED_VALUE"""),45883.450276553514)</f>
        <v>45883.45028</v>
      </c>
      <c r="C1717" s="9">
        <f>IFERROR(__xludf.DUMMYFUNCTION("""COMPUTED_VALUE"""),6931.0)</f>
        <v>6931</v>
      </c>
      <c r="D1717" s="9" t="str">
        <f>IFERROR(__xludf.DUMMYFUNCTION("""COMPUTED_VALUE"""),"Completed")</f>
        <v>Completed</v>
      </c>
    </row>
    <row r="1718">
      <c r="A1718" s="9" t="str">
        <f>IFERROR(__xludf.DUMMYFUNCTION("""COMPUTED_VALUE"""),"G-REQ-01717")</f>
        <v>G-REQ-01717</v>
      </c>
      <c r="B1718" s="11">
        <f>IFERROR(__xludf.DUMMYFUNCTION("""COMPUTED_VALUE"""),45883.521451398934)</f>
        <v>45883.52145</v>
      </c>
      <c r="C1718" s="9">
        <f>IFERROR(__xludf.DUMMYFUNCTION("""COMPUTED_VALUE"""),6935.0)</f>
        <v>6935</v>
      </c>
      <c r="D1718" s="9" t="str">
        <f>IFERROR(__xludf.DUMMYFUNCTION("""COMPUTED_VALUE"""),"Completed")</f>
        <v>Completed</v>
      </c>
    </row>
    <row r="1719">
      <c r="A1719" s="9" t="str">
        <f>IFERROR(__xludf.DUMMYFUNCTION("""COMPUTED_VALUE"""),"G-REQ-01718")</f>
        <v>G-REQ-01718</v>
      </c>
      <c r="B1719" s="11">
        <f>IFERROR(__xludf.DUMMYFUNCTION("""COMPUTED_VALUE"""),45883.59262624435)</f>
        <v>45883.59263</v>
      </c>
      <c r="C1719" s="9">
        <f>IFERROR(__xludf.DUMMYFUNCTION("""COMPUTED_VALUE"""),6939.0)</f>
        <v>6939</v>
      </c>
      <c r="D1719" s="9" t="str">
        <f>IFERROR(__xludf.DUMMYFUNCTION("""COMPUTED_VALUE"""),"Completed")</f>
        <v>Completed</v>
      </c>
    </row>
    <row r="1720">
      <c r="A1720" s="9" t="str">
        <f>IFERROR(__xludf.DUMMYFUNCTION("""COMPUTED_VALUE"""),"G-REQ-01719")</f>
        <v>G-REQ-01719</v>
      </c>
      <c r="B1720" s="11">
        <f>IFERROR(__xludf.DUMMYFUNCTION("""COMPUTED_VALUE"""),45883.65685664531)</f>
        <v>45883.65686</v>
      </c>
      <c r="C1720" s="9">
        <f>IFERROR(__xludf.DUMMYFUNCTION("""COMPUTED_VALUE"""),6941.0)</f>
        <v>6941</v>
      </c>
      <c r="D1720" s="9" t="str">
        <f>IFERROR(__xludf.DUMMYFUNCTION("""COMPUTED_VALUE"""),"Cancelled")</f>
        <v>Cancelled</v>
      </c>
    </row>
    <row r="1721">
      <c r="A1721" s="9" t="str">
        <f>IFERROR(__xludf.DUMMYFUNCTION("""COMPUTED_VALUE"""),"G-REQ-01720")</f>
        <v>G-REQ-01720</v>
      </c>
      <c r="B1721" s="11">
        <f>IFERROR(__xludf.DUMMYFUNCTION("""COMPUTED_VALUE"""),45883.73497593518)</f>
        <v>45883.73498</v>
      </c>
      <c r="C1721" s="9">
        <f>IFERROR(__xludf.DUMMYFUNCTION("""COMPUTED_VALUE"""),6945.0)</f>
        <v>6945</v>
      </c>
      <c r="D1721" s="9" t="str">
        <f>IFERROR(__xludf.DUMMYFUNCTION("""COMPUTED_VALUE"""),"Completed")</f>
        <v>Completed</v>
      </c>
    </row>
    <row r="1722">
      <c r="A1722" s="9" t="str">
        <f>IFERROR(__xludf.DUMMYFUNCTION("""COMPUTED_VALUE"""),"G-REQ-01721")</f>
        <v>G-REQ-01721</v>
      </c>
      <c r="B1722" s="11">
        <f>IFERROR(__xludf.DUMMYFUNCTION("""COMPUTED_VALUE"""),45883.8061507806)</f>
        <v>45883.80615</v>
      </c>
      <c r="C1722" s="9">
        <f>IFERROR(__xludf.DUMMYFUNCTION("""COMPUTED_VALUE"""),6949.0)</f>
        <v>6949</v>
      </c>
      <c r="D1722" s="9" t="str">
        <f>IFERROR(__xludf.DUMMYFUNCTION("""COMPUTED_VALUE"""),"Completed")</f>
        <v>Completed</v>
      </c>
    </row>
    <row r="1723">
      <c r="A1723" s="9" t="str">
        <f>IFERROR(__xludf.DUMMYFUNCTION("""COMPUTED_VALUE"""),"G-REQ-01722")</f>
        <v>G-REQ-01722</v>
      </c>
      <c r="B1723" s="11">
        <f>IFERROR(__xludf.DUMMYFUNCTION("""COMPUTED_VALUE"""),45883.87732562601)</f>
        <v>45883.87733</v>
      </c>
      <c r="C1723" s="9">
        <f>IFERROR(__xludf.DUMMYFUNCTION("""COMPUTED_VALUE"""),6953.0)</f>
        <v>6953</v>
      </c>
      <c r="D1723" s="9" t="str">
        <f>IFERROR(__xludf.DUMMYFUNCTION("""COMPUTED_VALUE"""),"Completed")</f>
        <v>Completed</v>
      </c>
    </row>
    <row r="1724">
      <c r="A1724" s="9" t="str">
        <f>IFERROR(__xludf.DUMMYFUNCTION("""COMPUTED_VALUE"""),"G-REQ-01723")</f>
        <v>G-REQ-01723</v>
      </c>
      <c r="B1724" s="11">
        <f>IFERROR(__xludf.DUMMYFUNCTION("""COMPUTED_VALUE"""),45883.94850047142)</f>
        <v>45883.9485</v>
      </c>
      <c r="C1724" s="9">
        <f>IFERROR(__xludf.DUMMYFUNCTION("""COMPUTED_VALUE"""),6957.0)</f>
        <v>6957</v>
      </c>
      <c r="D1724" s="9" t="str">
        <f>IFERROR(__xludf.DUMMYFUNCTION("""COMPUTED_VALUE"""),"Completed")</f>
        <v>Completed</v>
      </c>
    </row>
    <row r="1725">
      <c r="A1725" s="9" t="str">
        <f>IFERROR(__xludf.DUMMYFUNCTION("""COMPUTED_VALUE"""),"G-REQ-01724")</f>
        <v>G-REQ-01724</v>
      </c>
      <c r="B1725" s="11">
        <f>IFERROR(__xludf.DUMMYFUNCTION("""COMPUTED_VALUE"""),45884.01967531684)</f>
        <v>45884.01968</v>
      </c>
      <c r="C1725" s="9">
        <f>IFERROR(__xludf.DUMMYFUNCTION("""COMPUTED_VALUE"""),6961.0)</f>
        <v>6961</v>
      </c>
      <c r="D1725" s="9" t="str">
        <f>IFERROR(__xludf.DUMMYFUNCTION("""COMPUTED_VALUE"""),"Completed")</f>
        <v>Completed</v>
      </c>
    </row>
    <row r="1726">
      <c r="A1726" s="9" t="str">
        <f>IFERROR(__xludf.DUMMYFUNCTION("""COMPUTED_VALUE"""),"G-REQ-01725")</f>
        <v>G-REQ-01725</v>
      </c>
      <c r="B1726" s="11">
        <f>IFERROR(__xludf.DUMMYFUNCTION("""COMPUTED_VALUE"""),45884.08390571781)</f>
        <v>45884.08391</v>
      </c>
      <c r="C1726" s="9">
        <f>IFERROR(__xludf.DUMMYFUNCTION("""COMPUTED_VALUE"""),6963.0)</f>
        <v>6963</v>
      </c>
      <c r="D1726" s="9" t="str">
        <f>IFERROR(__xludf.DUMMYFUNCTION("""COMPUTED_VALUE"""),"Cancelled")</f>
        <v>Cancelled</v>
      </c>
    </row>
    <row r="1727">
      <c r="A1727" s="9" t="str">
        <f>IFERROR(__xludf.DUMMYFUNCTION("""COMPUTED_VALUE"""),"G-REQ-01726")</f>
        <v>G-REQ-01726</v>
      </c>
      <c r="B1727" s="11">
        <f>IFERROR(__xludf.DUMMYFUNCTION("""COMPUTED_VALUE"""),45884.16202500767)</f>
        <v>45884.16203</v>
      </c>
      <c r="C1727" s="9">
        <f>IFERROR(__xludf.DUMMYFUNCTION("""COMPUTED_VALUE"""),6967.0)</f>
        <v>6967</v>
      </c>
      <c r="D1727" s="9" t="str">
        <f>IFERROR(__xludf.DUMMYFUNCTION("""COMPUTED_VALUE"""),"Completed")</f>
        <v>Completed</v>
      </c>
    </row>
    <row r="1728">
      <c r="A1728" s="9" t="str">
        <f>IFERROR(__xludf.DUMMYFUNCTION("""COMPUTED_VALUE"""),"G-REQ-01727")</f>
        <v>G-REQ-01727</v>
      </c>
      <c r="B1728" s="11">
        <f>IFERROR(__xludf.DUMMYFUNCTION("""COMPUTED_VALUE"""),45884.233199853086)</f>
        <v>45884.2332</v>
      </c>
      <c r="C1728" s="9">
        <f>IFERROR(__xludf.DUMMYFUNCTION("""COMPUTED_VALUE"""),6971.0)</f>
        <v>6971</v>
      </c>
      <c r="D1728" s="9" t="str">
        <f>IFERROR(__xludf.DUMMYFUNCTION("""COMPUTED_VALUE"""),"Completed")</f>
        <v>Completed</v>
      </c>
    </row>
    <row r="1729">
      <c r="A1729" s="9" t="str">
        <f>IFERROR(__xludf.DUMMYFUNCTION("""COMPUTED_VALUE"""),"G-REQ-01728")</f>
        <v>G-REQ-01728</v>
      </c>
      <c r="B1729" s="11">
        <f>IFERROR(__xludf.DUMMYFUNCTION("""COMPUTED_VALUE"""),45884.3043746985)</f>
        <v>45884.30437</v>
      </c>
      <c r="C1729" s="9">
        <f>IFERROR(__xludf.DUMMYFUNCTION("""COMPUTED_VALUE"""),6975.0)</f>
        <v>6975</v>
      </c>
      <c r="D1729" s="9" t="str">
        <f>IFERROR(__xludf.DUMMYFUNCTION("""COMPUTED_VALUE"""),"Completed")</f>
        <v>Completed</v>
      </c>
    </row>
    <row r="1730">
      <c r="A1730" s="9" t="str">
        <f>IFERROR(__xludf.DUMMYFUNCTION("""COMPUTED_VALUE"""),"G-REQ-01729")</f>
        <v>G-REQ-01729</v>
      </c>
      <c r="B1730" s="11">
        <f>IFERROR(__xludf.DUMMYFUNCTION("""COMPUTED_VALUE"""),45884.37554954391)</f>
        <v>45884.37555</v>
      </c>
      <c r="C1730" s="9">
        <f>IFERROR(__xludf.DUMMYFUNCTION("""COMPUTED_VALUE"""),6979.0)</f>
        <v>6979</v>
      </c>
      <c r="D1730" s="9" t="str">
        <f>IFERROR(__xludf.DUMMYFUNCTION("""COMPUTED_VALUE"""),"Completed")</f>
        <v>Completed</v>
      </c>
    </row>
    <row r="1731">
      <c r="A1731" s="9" t="str">
        <f>IFERROR(__xludf.DUMMYFUNCTION("""COMPUTED_VALUE"""),"G-REQ-01730")</f>
        <v>G-REQ-01730</v>
      </c>
      <c r="B1731" s="11">
        <f>IFERROR(__xludf.DUMMYFUNCTION("""COMPUTED_VALUE"""),45884.44672438933)</f>
        <v>45884.44672</v>
      </c>
      <c r="C1731" s="9">
        <f>IFERROR(__xludf.DUMMYFUNCTION("""COMPUTED_VALUE"""),6983.0)</f>
        <v>6983</v>
      </c>
      <c r="D1731" s="9" t="str">
        <f>IFERROR(__xludf.DUMMYFUNCTION("""COMPUTED_VALUE"""),"Completed")</f>
        <v>Completed</v>
      </c>
    </row>
    <row r="1732">
      <c r="A1732" s="9" t="str">
        <f>IFERROR(__xludf.DUMMYFUNCTION("""COMPUTED_VALUE"""),"G-REQ-01731")</f>
        <v>G-REQ-01731</v>
      </c>
      <c r="B1732" s="11">
        <f>IFERROR(__xludf.DUMMYFUNCTION("""COMPUTED_VALUE"""),45884.51789923474)</f>
        <v>45884.5179</v>
      </c>
      <c r="C1732" s="9">
        <f>IFERROR(__xludf.DUMMYFUNCTION("""COMPUTED_VALUE"""),6987.0)</f>
        <v>6987</v>
      </c>
      <c r="D1732" s="9" t="str">
        <f>IFERROR(__xludf.DUMMYFUNCTION("""COMPUTED_VALUE"""),"Completed")</f>
        <v>Completed</v>
      </c>
    </row>
    <row r="1733">
      <c r="A1733" s="9" t="str">
        <f>IFERROR(__xludf.DUMMYFUNCTION("""COMPUTED_VALUE"""),"G-REQ-01732")</f>
        <v>G-REQ-01732</v>
      </c>
      <c r="B1733" s="11">
        <f>IFERROR(__xludf.DUMMYFUNCTION("""COMPUTED_VALUE"""),45884.58212963572)</f>
        <v>45884.58213</v>
      </c>
      <c r="C1733" s="9">
        <f>IFERROR(__xludf.DUMMYFUNCTION("""COMPUTED_VALUE"""),6989.0)</f>
        <v>6989</v>
      </c>
      <c r="D1733" s="9" t="str">
        <f>IFERROR(__xludf.DUMMYFUNCTION("""COMPUTED_VALUE"""),"Cancelled")</f>
        <v>Cancelled</v>
      </c>
    </row>
    <row r="1734">
      <c r="A1734" s="9" t="str">
        <f>IFERROR(__xludf.DUMMYFUNCTION("""COMPUTED_VALUE"""),"G-REQ-01733")</f>
        <v>G-REQ-01733</v>
      </c>
      <c r="B1734" s="11">
        <f>IFERROR(__xludf.DUMMYFUNCTION("""COMPUTED_VALUE"""),45884.660248925575)</f>
        <v>45884.66025</v>
      </c>
      <c r="C1734" s="9">
        <f>IFERROR(__xludf.DUMMYFUNCTION("""COMPUTED_VALUE"""),6993.0)</f>
        <v>6993</v>
      </c>
      <c r="D1734" s="9" t="str">
        <f>IFERROR(__xludf.DUMMYFUNCTION("""COMPUTED_VALUE"""),"Completed")</f>
        <v>Completed</v>
      </c>
    </row>
    <row r="1735">
      <c r="A1735" s="9" t="str">
        <f>IFERROR(__xludf.DUMMYFUNCTION("""COMPUTED_VALUE"""),"G-REQ-01734")</f>
        <v>G-REQ-01734</v>
      </c>
      <c r="B1735" s="11">
        <f>IFERROR(__xludf.DUMMYFUNCTION("""COMPUTED_VALUE"""),45884.731423770994)</f>
        <v>45884.73142</v>
      </c>
      <c r="C1735" s="9">
        <f>IFERROR(__xludf.DUMMYFUNCTION("""COMPUTED_VALUE"""),6997.0)</f>
        <v>6997</v>
      </c>
      <c r="D1735" s="9" t="str">
        <f>IFERROR(__xludf.DUMMYFUNCTION("""COMPUTED_VALUE"""),"Completed")</f>
        <v>Completed</v>
      </c>
    </row>
    <row r="1736">
      <c r="A1736" s="9" t="str">
        <f>IFERROR(__xludf.DUMMYFUNCTION("""COMPUTED_VALUE"""),"G-REQ-01735")</f>
        <v>G-REQ-01735</v>
      </c>
      <c r="B1736" s="11">
        <f>IFERROR(__xludf.DUMMYFUNCTION("""COMPUTED_VALUE"""),45884.8025986164)</f>
        <v>45884.8026</v>
      </c>
      <c r="C1736" s="9">
        <f>IFERROR(__xludf.DUMMYFUNCTION("""COMPUTED_VALUE"""),7001.0)</f>
        <v>7001</v>
      </c>
      <c r="D1736" s="9" t="str">
        <f>IFERROR(__xludf.DUMMYFUNCTION("""COMPUTED_VALUE"""),"Completed")</f>
        <v>Completed</v>
      </c>
    </row>
    <row r="1737">
      <c r="A1737" s="9" t="str">
        <f>IFERROR(__xludf.DUMMYFUNCTION("""COMPUTED_VALUE"""),"G-REQ-01736")</f>
        <v>G-REQ-01736</v>
      </c>
      <c r="B1737" s="11">
        <f>IFERROR(__xludf.DUMMYFUNCTION("""COMPUTED_VALUE"""),45884.87377346182)</f>
        <v>45884.87377</v>
      </c>
      <c r="C1737" s="9">
        <f>IFERROR(__xludf.DUMMYFUNCTION("""COMPUTED_VALUE"""),7005.0)</f>
        <v>7005</v>
      </c>
      <c r="D1737" s="9" t="str">
        <f>IFERROR(__xludf.DUMMYFUNCTION("""COMPUTED_VALUE"""),"Completed")</f>
        <v>Completed</v>
      </c>
    </row>
    <row r="1738">
      <c r="A1738" s="9" t="str">
        <f>IFERROR(__xludf.DUMMYFUNCTION("""COMPUTED_VALUE"""),"G-REQ-01737")</f>
        <v>G-REQ-01737</v>
      </c>
      <c r="B1738" s="11">
        <f>IFERROR(__xludf.DUMMYFUNCTION("""COMPUTED_VALUE"""),45884.94494830724)</f>
        <v>45884.94495</v>
      </c>
      <c r="C1738" s="9">
        <f>IFERROR(__xludf.DUMMYFUNCTION("""COMPUTED_VALUE"""),7009.0)</f>
        <v>7009</v>
      </c>
      <c r="D1738" s="9" t="str">
        <f>IFERROR(__xludf.DUMMYFUNCTION("""COMPUTED_VALUE"""),"Completed")</f>
        <v>Completed</v>
      </c>
    </row>
    <row r="1739">
      <c r="A1739" s="9" t="str">
        <f>IFERROR(__xludf.DUMMYFUNCTION("""COMPUTED_VALUE"""),"G-REQ-01738")</f>
        <v>G-REQ-01738</v>
      </c>
      <c r="B1739" s="11">
        <f>IFERROR(__xludf.DUMMYFUNCTION("""COMPUTED_VALUE"""),45885.01612315265)</f>
        <v>45885.01612</v>
      </c>
      <c r="C1739" s="9">
        <f>IFERROR(__xludf.DUMMYFUNCTION("""COMPUTED_VALUE"""),7013.0)</f>
        <v>7013</v>
      </c>
      <c r="D1739" s="9" t="str">
        <f>IFERROR(__xludf.DUMMYFUNCTION("""COMPUTED_VALUE"""),"Completed")</f>
        <v>Completed</v>
      </c>
    </row>
    <row r="1740">
      <c r="A1740" s="9" t="str">
        <f>IFERROR(__xludf.DUMMYFUNCTION("""COMPUTED_VALUE"""),"G-REQ-01739")</f>
        <v>G-REQ-01739</v>
      </c>
      <c r="B1740" s="11">
        <f>IFERROR(__xludf.DUMMYFUNCTION("""COMPUTED_VALUE"""),45885.08729799806)</f>
        <v>45885.0873</v>
      </c>
      <c r="C1740" s="9">
        <f>IFERROR(__xludf.DUMMYFUNCTION("""COMPUTED_VALUE"""),7017.0)</f>
        <v>7017</v>
      </c>
      <c r="D1740" s="9" t="str">
        <f>IFERROR(__xludf.DUMMYFUNCTION("""COMPUTED_VALUE"""),"Completed")</f>
        <v>Completed</v>
      </c>
    </row>
    <row r="1741">
      <c r="A1741" s="9" t="str">
        <f>IFERROR(__xludf.DUMMYFUNCTION("""COMPUTED_VALUE"""),"G-REQ-01740")</f>
        <v>G-REQ-01740</v>
      </c>
      <c r="B1741" s="11">
        <f>IFERROR(__xludf.DUMMYFUNCTION("""COMPUTED_VALUE"""),45885.15847284348)</f>
        <v>45885.15847</v>
      </c>
      <c r="C1741" s="9">
        <f>IFERROR(__xludf.DUMMYFUNCTION("""COMPUTED_VALUE"""),7021.0)</f>
        <v>7021</v>
      </c>
      <c r="D1741" s="9" t="str">
        <f>IFERROR(__xludf.DUMMYFUNCTION("""COMPUTED_VALUE"""),"Completed")</f>
        <v>Completed</v>
      </c>
    </row>
    <row r="1742">
      <c r="A1742" s="9" t="str">
        <f>IFERROR(__xludf.DUMMYFUNCTION("""COMPUTED_VALUE"""),"G-REQ-01741")</f>
        <v>G-REQ-01741</v>
      </c>
      <c r="B1742" s="11">
        <f>IFERROR(__xludf.DUMMYFUNCTION("""COMPUTED_VALUE"""),45885.229647688895)</f>
        <v>45885.22965</v>
      </c>
      <c r="C1742" s="9">
        <f>IFERROR(__xludf.DUMMYFUNCTION("""COMPUTED_VALUE"""),7025.0)</f>
        <v>7025</v>
      </c>
      <c r="D1742" s="9" t="str">
        <f>IFERROR(__xludf.DUMMYFUNCTION("""COMPUTED_VALUE"""),"Completed")</f>
        <v>Completed</v>
      </c>
    </row>
    <row r="1743">
      <c r="A1743" s="9" t="str">
        <f>IFERROR(__xludf.DUMMYFUNCTION("""COMPUTED_VALUE"""),"G-REQ-01742")</f>
        <v>G-REQ-01742</v>
      </c>
      <c r="B1743" s="11">
        <f>IFERROR(__xludf.DUMMYFUNCTION("""COMPUTED_VALUE"""),45885.29387808986)</f>
        <v>45885.29388</v>
      </c>
      <c r="C1743" s="9">
        <f>IFERROR(__xludf.DUMMYFUNCTION("""COMPUTED_VALUE"""),7027.0)</f>
        <v>7027</v>
      </c>
      <c r="D1743" s="9" t="str">
        <f>IFERROR(__xludf.DUMMYFUNCTION("""COMPUTED_VALUE"""),"Rejected")</f>
        <v>Rejected</v>
      </c>
    </row>
    <row r="1744">
      <c r="A1744" s="9" t="str">
        <f>IFERROR(__xludf.DUMMYFUNCTION("""COMPUTED_VALUE"""),"G-REQ-01743")</f>
        <v>G-REQ-01743</v>
      </c>
      <c r="B1744" s="11">
        <f>IFERROR(__xludf.DUMMYFUNCTION("""COMPUTED_VALUE"""),45885.37199737973)</f>
        <v>45885.372</v>
      </c>
      <c r="C1744" s="9">
        <f>IFERROR(__xludf.DUMMYFUNCTION("""COMPUTED_VALUE"""),7031.0)</f>
        <v>7031</v>
      </c>
      <c r="D1744" s="9" t="str">
        <f>IFERROR(__xludf.DUMMYFUNCTION("""COMPUTED_VALUE"""),"Completed")</f>
        <v>Completed</v>
      </c>
    </row>
    <row r="1745">
      <c r="A1745" s="9" t="str">
        <f>IFERROR(__xludf.DUMMYFUNCTION("""COMPUTED_VALUE"""),"G-REQ-01744")</f>
        <v>G-REQ-01744</v>
      </c>
      <c r="B1745" s="11">
        <f>IFERROR(__xludf.DUMMYFUNCTION("""COMPUTED_VALUE"""),45885.44317222515)</f>
        <v>45885.44317</v>
      </c>
      <c r="C1745" s="9">
        <f>IFERROR(__xludf.DUMMYFUNCTION("""COMPUTED_VALUE"""),7035.0)</f>
        <v>7035</v>
      </c>
      <c r="D1745" s="9" t="str">
        <f>IFERROR(__xludf.DUMMYFUNCTION("""COMPUTED_VALUE"""),"Completed")</f>
        <v>Completed</v>
      </c>
    </row>
    <row r="1746">
      <c r="A1746" s="9" t="str">
        <f>IFERROR(__xludf.DUMMYFUNCTION("""COMPUTED_VALUE"""),"G-REQ-01745")</f>
        <v>G-REQ-01745</v>
      </c>
      <c r="B1746" s="11">
        <f>IFERROR(__xludf.DUMMYFUNCTION("""COMPUTED_VALUE"""),45885.51434707055)</f>
        <v>45885.51435</v>
      </c>
      <c r="C1746" s="9">
        <f>IFERROR(__xludf.DUMMYFUNCTION("""COMPUTED_VALUE"""),7039.0)</f>
        <v>7039</v>
      </c>
      <c r="D1746" s="9" t="str">
        <f>IFERROR(__xludf.DUMMYFUNCTION("""COMPUTED_VALUE"""),"Completed")</f>
        <v>Completed</v>
      </c>
    </row>
    <row r="1747">
      <c r="A1747" s="9" t="str">
        <f>IFERROR(__xludf.DUMMYFUNCTION("""COMPUTED_VALUE"""),"G-REQ-01746")</f>
        <v>G-REQ-01746</v>
      </c>
      <c r="B1747" s="11">
        <f>IFERROR(__xludf.DUMMYFUNCTION("""COMPUTED_VALUE"""),45885.58552191597)</f>
        <v>45885.58552</v>
      </c>
      <c r="C1747" s="9">
        <f>IFERROR(__xludf.DUMMYFUNCTION("""COMPUTED_VALUE"""),7043.0)</f>
        <v>7043</v>
      </c>
      <c r="D1747" s="9" t="str">
        <f>IFERROR(__xludf.DUMMYFUNCTION("""COMPUTED_VALUE"""),"Completed")</f>
        <v>Completed</v>
      </c>
    </row>
    <row r="1748">
      <c r="A1748" s="9" t="str">
        <f>IFERROR(__xludf.DUMMYFUNCTION("""COMPUTED_VALUE"""),"G-REQ-01747")</f>
        <v>G-REQ-01747</v>
      </c>
      <c r="B1748" s="11">
        <f>IFERROR(__xludf.DUMMYFUNCTION("""COMPUTED_VALUE"""),45885.65669676138)</f>
        <v>45885.6567</v>
      </c>
      <c r="C1748" s="9">
        <f>IFERROR(__xludf.DUMMYFUNCTION("""COMPUTED_VALUE"""),7047.0)</f>
        <v>7047</v>
      </c>
      <c r="D1748" s="9" t="str">
        <f>IFERROR(__xludf.DUMMYFUNCTION("""COMPUTED_VALUE"""),"Completed")</f>
        <v>Completed</v>
      </c>
    </row>
    <row r="1749">
      <c r="A1749" s="9" t="str">
        <f>IFERROR(__xludf.DUMMYFUNCTION("""COMPUTED_VALUE"""),"G-REQ-01748")</f>
        <v>G-REQ-01748</v>
      </c>
      <c r="B1749" s="11">
        <f>IFERROR(__xludf.DUMMYFUNCTION("""COMPUTED_VALUE"""),45885.7278716068)</f>
        <v>45885.72787</v>
      </c>
      <c r="C1749" s="9">
        <f>IFERROR(__xludf.DUMMYFUNCTION("""COMPUTED_VALUE"""),7051.0)</f>
        <v>7051</v>
      </c>
      <c r="D1749" s="9" t="str">
        <f>IFERROR(__xludf.DUMMYFUNCTION("""COMPUTED_VALUE"""),"Completed")</f>
        <v>Completed</v>
      </c>
    </row>
    <row r="1750">
      <c r="A1750" s="9" t="str">
        <f>IFERROR(__xludf.DUMMYFUNCTION("""COMPUTED_VALUE"""),"G-REQ-01749")</f>
        <v>G-REQ-01749</v>
      </c>
      <c r="B1750" s="11">
        <f>IFERROR(__xludf.DUMMYFUNCTION("""COMPUTED_VALUE"""),45885.799046452215)</f>
        <v>45885.79905</v>
      </c>
      <c r="C1750" s="9">
        <f>IFERROR(__xludf.DUMMYFUNCTION("""COMPUTED_VALUE"""),7055.0)</f>
        <v>7055</v>
      </c>
      <c r="D1750" s="9" t="str">
        <f>IFERROR(__xludf.DUMMYFUNCTION("""COMPUTED_VALUE"""),"Completed")</f>
        <v>Completed</v>
      </c>
    </row>
    <row r="1751">
      <c r="A1751" s="9" t="str">
        <f>IFERROR(__xludf.DUMMYFUNCTION("""COMPUTED_VALUE"""),"G-REQ-01750")</f>
        <v>G-REQ-01750</v>
      </c>
      <c r="B1751" s="11">
        <f>IFERROR(__xludf.DUMMYFUNCTION("""COMPUTED_VALUE"""),45885.870221297635)</f>
        <v>45885.87022</v>
      </c>
      <c r="C1751" s="9">
        <f>IFERROR(__xludf.DUMMYFUNCTION("""COMPUTED_VALUE"""),7059.0)</f>
        <v>7059</v>
      </c>
      <c r="D1751" s="9" t="str">
        <f>IFERROR(__xludf.DUMMYFUNCTION("""COMPUTED_VALUE"""),"Completed")</f>
        <v>Completed</v>
      </c>
    </row>
    <row r="1752">
      <c r="A1752" s="9" t="str">
        <f>IFERROR(__xludf.DUMMYFUNCTION("""COMPUTED_VALUE"""),"G-REQ-01751")</f>
        <v>G-REQ-01751</v>
      </c>
      <c r="B1752" s="11">
        <f>IFERROR(__xludf.DUMMYFUNCTION("""COMPUTED_VALUE"""),45885.934451698595)</f>
        <v>45885.93445</v>
      </c>
      <c r="C1752" s="9">
        <f>IFERROR(__xludf.DUMMYFUNCTION("""COMPUTED_VALUE"""),7061.0)</f>
        <v>7061</v>
      </c>
      <c r="D1752" s="9" t="str">
        <f>IFERROR(__xludf.DUMMYFUNCTION("""COMPUTED_VALUE"""),"Rejected")</f>
        <v>Rejected</v>
      </c>
    </row>
    <row r="1753">
      <c r="A1753" s="9" t="str">
        <f>IFERROR(__xludf.DUMMYFUNCTION("""COMPUTED_VALUE"""),"G-REQ-01752")</f>
        <v>G-REQ-01752</v>
      </c>
      <c r="B1753" s="11">
        <f>IFERROR(__xludf.DUMMYFUNCTION("""COMPUTED_VALUE"""),45886.01257098846)</f>
        <v>45886.01257</v>
      </c>
      <c r="C1753" s="9">
        <f>IFERROR(__xludf.DUMMYFUNCTION("""COMPUTED_VALUE"""),7065.0)</f>
        <v>7065</v>
      </c>
      <c r="D1753" s="9" t="str">
        <f>IFERROR(__xludf.DUMMYFUNCTION("""COMPUTED_VALUE"""),"Completed")</f>
        <v>Completed</v>
      </c>
    </row>
    <row r="1754">
      <c r="A1754" s="9" t="str">
        <f>IFERROR(__xludf.DUMMYFUNCTION("""COMPUTED_VALUE"""),"G-REQ-01753")</f>
        <v>G-REQ-01753</v>
      </c>
      <c r="B1754" s="11">
        <f>IFERROR(__xludf.DUMMYFUNCTION("""COMPUTED_VALUE"""),45886.08374583388)</f>
        <v>45886.08375</v>
      </c>
      <c r="C1754" s="9">
        <f>IFERROR(__xludf.DUMMYFUNCTION("""COMPUTED_VALUE"""),7069.0)</f>
        <v>7069</v>
      </c>
      <c r="D1754" s="9" t="str">
        <f>IFERROR(__xludf.DUMMYFUNCTION("""COMPUTED_VALUE"""),"Completed")</f>
        <v>Completed</v>
      </c>
    </row>
    <row r="1755">
      <c r="A1755" s="9" t="str">
        <f>IFERROR(__xludf.DUMMYFUNCTION("""COMPUTED_VALUE"""),"G-REQ-01754")</f>
        <v>G-REQ-01754</v>
      </c>
      <c r="B1755" s="11">
        <f>IFERROR(__xludf.DUMMYFUNCTION("""COMPUTED_VALUE"""),45886.15492067929)</f>
        <v>45886.15492</v>
      </c>
      <c r="C1755" s="9">
        <f>IFERROR(__xludf.DUMMYFUNCTION("""COMPUTED_VALUE"""),7073.0)</f>
        <v>7073</v>
      </c>
      <c r="D1755" s="9" t="str">
        <f>IFERROR(__xludf.DUMMYFUNCTION("""COMPUTED_VALUE"""),"Completed")</f>
        <v>Completed</v>
      </c>
    </row>
    <row r="1756">
      <c r="A1756" s="9" t="str">
        <f>IFERROR(__xludf.DUMMYFUNCTION("""COMPUTED_VALUE"""),"G-REQ-01755")</f>
        <v>G-REQ-01755</v>
      </c>
      <c r="B1756" s="11">
        <f>IFERROR(__xludf.DUMMYFUNCTION("""COMPUTED_VALUE"""),45886.21915108026)</f>
        <v>45886.21915</v>
      </c>
      <c r="C1756" s="9">
        <f>IFERROR(__xludf.DUMMYFUNCTION("""COMPUTED_VALUE"""),7075.0)</f>
        <v>7075</v>
      </c>
      <c r="D1756" s="9" t="str">
        <f>IFERROR(__xludf.DUMMYFUNCTION("""COMPUTED_VALUE"""),"Rejected")</f>
        <v>Rejected</v>
      </c>
    </row>
    <row r="1757">
      <c r="A1757" s="9" t="str">
        <f>IFERROR(__xludf.DUMMYFUNCTION("""COMPUTED_VALUE"""),"G-REQ-01756")</f>
        <v>G-REQ-01756</v>
      </c>
      <c r="B1757" s="11">
        <f>IFERROR(__xludf.DUMMYFUNCTION("""COMPUTED_VALUE"""),45886.29727037012)</f>
        <v>45886.29727</v>
      </c>
      <c r="C1757" s="9">
        <f>IFERROR(__xludf.DUMMYFUNCTION("""COMPUTED_VALUE"""),7079.0)</f>
        <v>7079</v>
      </c>
      <c r="D1757" s="9" t="str">
        <f>IFERROR(__xludf.DUMMYFUNCTION("""COMPUTED_VALUE"""),"Completed")</f>
        <v>Completed</v>
      </c>
    </row>
    <row r="1758">
      <c r="A1758" s="9" t="str">
        <f>IFERROR(__xludf.DUMMYFUNCTION("""COMPUTED_VALUE"""),"G-REQ-01757")</f>
        <v>G-REQ-01757</v>
      </c>
      <c r="B1758" s="11">
        <f>IFERROR(__xludf.DUMMYFUNCTION("""COMPUTED_VALUE"""),45886.36150077109)</f>
        <v>45886.3615</v>
      </c>
      <c r="C1758" s="9">
        <f>IFERROR(__xludf.DUMMYFUNCTION("""COMPUTED_VALUE"""),7081.0)</f>
        <v>7081</v>
      </c>
      <c r="D1758" s="9" t="str">
        <f>IFERROR(__xludf.DUMMYFUNCTION("""COMPUTED_VALUE"""),"Cancelled")</f>
        <v>Cancelled</v>
      </c>
    </row>
    <row r="1759">
      <c r="A1759" s="9" t="str">
        <f>IFERROR(__xludf.DUMMYFUNCTION("""COMPUTED_VALUE"""),"G-REQ-01758")</f>
        <v>G-REQ-01758</v>
      </c>
      <c r="B1759" s="11">
        <f>IFERROR(__xludf.DUMMYFUNCTION("""COMPUTED_VALUE"""),45886.43962006095)</f>
        <v>45886.43962</v>
      </c>
      <c r="C1759" s="9">
        <f>IFERROR(__xludf.DUMMYFUNCTION("""COMPUTED_VALUE"""),7085.0)</f>
        <v>7085</v>
      </c>
      <c r="D1759" s="9" t="str">
        <f>IFERROR(__xludf.DUMMYFUNCTION("""COMPUTED_VALUE"""),"Completed")</f>
        <v>Completed</v>
      </c>
    </row>
    <row r="1760">
      <c r="A1760" s="9" t="str">
        <f>IFERROR(__xludf.DUMMYFUNCTION("""COMPUTED_VALUE"""),"G-REQ-01759")</f>
        <v>G-REQ-01759</v>
      </c>
      <c r="B1760" s="11">
        <f>IFERROR(__xludf.DUMMYFUNCTION("""COMPUTED_VALUE"""),45886.51079490637)</f>
        <v>45886.51079</v>
      </c>
      <c r="C1760" s="9">
        <f>IFERROR(__xludf.DUMMYFUNCTION("""COMPUTED_VALUE"""),7089.0)</f>
        <v>7089</v>
      </c>
      <c r="D1760" s="9" t="str">
        <f>IFERROR(__xludf.DUMMYFUNCTION("""COMPUTED_VALUE"""),"Completed")</f>
        <v>Completed</v>
      </c>
    </row>
    <row r="1761">
      <c r="A1761" s="9" t="str">
        <f>IFERROR(__xludf.DUMMYFUNCTION("""COMPUTED_VALUE"""),"G-REQ-01760")</f>
        <v>G-REQ-01760</v>
      </c>
      <c r="B1761" s="11">
        <f>IFERROR(__xludf.DUMMYFUNCTION("""COMPUTED_VALUE"""),45886.58196975179)</f>
        <v>45886.58197</v>
      </c>
      <c r="C1761" s="9">
        <f>IFERROR(__xludf.DUMMYFUNCTION("""COMPUTED_VALUE"""),7093.0)</f>
        <v>7093</v>
      </c>
      <c r="D1761" s="9" t="str">
        <f>IFERROR(__xludf.DUMMYFUNCTION("""COMPUTED_VALUE"""),"Completed")</f>
        <v>Completed</v>
      </c>
    </row>
    <row r="1762">
      <c r="A1762" s="9" t="str">
        <f>IFERROR(__xludf.DUMMYFUNCTION("""COMPUTED_VALUE"""),"G-REQ-01761")</f>
        <v>G-REQ-01761</v>
      </c>
      <c r="B1762" s="11">
        <f>IFERROR(__xludf.DUMMYFUNCTION("""COMPUTED_VALUE"""),45886.65314459719)</f>
        <v>45886.65314</v>
      </c>
      <c r="C1762" s="9">
        <f>IFERROR(__xludf.DUMMYFUNCTION("""COMPUTED_VALUE"""),7097.0)</f>
        <v>7097</v>
      </c>
      <c r="D1762" s="9" t="str">
        <f>IFERROR(__xludf.DUMMYFUNCTION("""COMPUTED_VALUE"""),"Completed")</f>
        <v>Completed</v>
      </c>
    </row>
    <row r="1763">
      <c r="A1763" s="9" t="str">
        <f>IFERROR(__xludf.DUMMYFUNCTION("""COMPUTED_VALUE"""),"G-REQ-01762")</f>
        <v>G-REQ-01762</v>
      </c>
      <c r="B1763" s="11">
        <f>IFERROR(__xludf.DUMMYFUNCTION("""COMPUTED_VALUE"""),45886.71737499817)</f>
        <v>45886.71737</v>
      </c>
      <c r="C1763" s="9">
        <f>IFERROR(__xludf.DUMMYFUNCTION("""COMPUTED_VALUE"""),7099.0)</f>
        <v>7099</v>
      </c>
      <c r="D1763" s="9" t="str">
        <f>IFERROR(__xludf.DUMMYFUNCTION("""COMPUTED_VALUE"""),"Cancelled")</f>
        <v>Cancelled</v>
      </c>
    </row>
    <row r="1764">
      <c r="A1764" s="9" t="str">
        <f>IFERROR(__xludf.DUMMYFUNCTION("""COMPUTED_VALUE"""),"G-REQ-01763")</f>
        <v>G-REQ-01763</v>
      </c>
      <c r="B1764" s="11">
        <f>IFERROR(__xludf.DUMMYFUNCTION("""COMPUTED_VALUE"""),45886.79549428803)</f>
        <v>45886.79549</v>
      </c>
      <c r="C1764" s="9">
        <f>IFERROR(__xludf.DUMMYFUNCTION("""COMPUTED_VALUE"""),7103.0)</f>
        <v>7103</v>
      </c>
      <c r="D1764" s="9" t="str">
        <f>IFERROR(__xludf.DUMMYFUNCTION("""COMPUTED_VALUE"""),"Completed")</f>
        <v>Completed</v>
      </c>
    </row>
    <row r="1765">
      <c r="A1765" s="9" t="str">
        <f>IFERROR(__xludf.DUMMYFUNCTION("""COMPUTED_VALUE"""),"G-REQ-01764")</f>
        <v>G-REQ-01764</v>
      </c>
      <c r="B1765" s="11">
        <f>IFERROR(__xludf.DUMMYFUNCTION("""COMPUTED_VALUE"""),45886.866669133444)</f>
        <v>45886.86667</v>
      </c>
      <c r="C1765" s="9">
        <f>IFERROR(__xludf.DUMMYFUNCTION("""COMPUTED_VALUE"""),7107.0)</f>
        <v>7107</v>
      </c>
      <c r="D1765" s="9" t="str">
        <f>IFERROR(__xludf.DUMMYFUNCTION("""COMPUTED_VALUE"""),"Completed")</f>
        <v>Completed</v>
      </c>
    </row>
    <row r="1766">
      <c r="A1766" s="9" t="str">
        <f>IFERROR(__xludf.DUMMYFUNCTION("""COMPUTED_VALUE"""),"G-REQ-01765")</f>
        <v>G-REQ-01765</v>
      </c>
      <c r="B1766" s="11">
        <f>IFERROR(__xludf.DUMMYFUNCTION("""COMPUTED_VALUE"""),45886.937843978856)</f>
        <v>45886.93784</v>
      </c>
      <c r="C1766" s="9">
        <f>IFERROR(__xludf.DUMMYFUNCTION("""COMPUTED_VALUE"""),7111.0)</f>
        <v>7111</v>
      </c>
      <c r="D1766" s="9" t="str">
        <f>IFERROR(__xludf.DUMMYFUNCTION("""COMPUTED_VALUE"""),"Completed")</f>
        <v>Completed</v>
      </c>
    </row>
    <row r="1767">
      <c r="A1767" s="9" t="str">
        <f>IFERROR(__xludf.DUMMYFUNCTION("""COMPUTED_VALUE"""),"G-REQ-01766")</f>
        <v>G-REQ-01766</v>
      </c>
      <c r="B1767" s="11">
        <f>IFERROR(__xludf.DUMMYFUNCTION("""COMPUTED_VALUE"""),45887.00207437983)</f>
        <v>45887.00207</v>
      </c>
      <c r="C1767" s="9">
        <f>IFERROR(__xludf.DUMMYFUNCTION("""COMPUTED_VALUE"""),7113.0)</f>
        <v>7113</v>
      </c>
      <c r="D1767" s="9" t="str">
        <f>IFERROR(__xludf.DUMMYFUNCTION("""COMPUTED_VALUE"""),"Rejected")</f>
        <v>Rejected</v>
      </c>
    </row>
    <row r="1768">
      <c r="A1768" s="9" t="str">
        <f>IFERROR(__xludf.DUMMYFUNCTION("""COMPUTED_VALUE"""),"G-REQ-01767")</f>
        <v>G-REQ-01767</v>
      </c>
      <c r="B1768" s="11">
        <f>IFERROR(__xludf.DUMMYFUNCTION("""COMPUTED_VALUE"""),45887.08019366969)</f>
        <v>45887.08019</v>
      </c>
      <c r="C1768" s="9">
        <f>IFERROR(__xludf.DUMMYFUNCTION("""COMPUTED_VALUE"""),7117.0)</f>
        <v>7117</v>
      </c>
      <c r="D1768" s="9" t="str">
        <f>IFERROR(__xludf.DUMMYFUNCTION("""COMPUTED_VALUE"""),"Completed")</f>
        <v>Completed</v>
      </c>
    </row>
    <row r="1769">
      <c r="A1769" s="9" t="str">
        <f>IFERROR(__xludf.DUMMYFUNCTION("""COMPUTED_VALUE"""),"G-REQ-01768")</f>
        <v>G-REQ-01768</v>
      </c>
      <c r="B1769" s="11">
        <f>IFERROR(__xludf.DUMMYFUNCTION("""COMPUTED_VALUE"""),45887.1513685151)</f>
        <v>45887.15137</v>
      </c>
      <c r="C1769" s="9">
        <f>IFERROR(__xludf.DUMMYFUNCTION("""COMPUTED_VALUE"""),7121.0)</f>
        <v>7121</v>
      </c>
      <c r="D1769" s="9" t="str">
        <f>IFERROR(__xludf.DUMMYFUNCTION("""COMPUTED_VALUE"""),"Completed")</f>
        <v>Completed</v>
      </c>
    </row>
    <row r="1770">
      <c r="A1770" s="9" t="str">
        <f>IFERROR(__xludf.DUMMYFUNCTION("""COMPUTED_VALUE"""),"G-REQ-01769")</f>
        <v>G-REQ-01769</v>
      </c>
      <c r="B1770" s="11">
        <f>IFERROR(__xludf.DUMMYFUNCTION("""COMPUTED_VALUE"""),45887.22254336052)</f>
        <v>45887.22254</v>
      </c>
      <c r="C1770" s="9">
        <f>IFERROR(__xludf.DUMMYFUNCTION("""COMPUTED_VALUE"""),7125.0)</f>
        <v>7125</v>
      </c>
      <c r="D1770" s="9" t="str">
        <f>IFERROR(__xludf.DUMMYFUNCTION("""COMPUTED_VALUE"""),"Completed")</f>
        <v>Completed</v>
      </c>
    </row>
    <row r="1771">
      <c r="A1771" s="9" t="str">
        <f>IFERROR(__xludf.DUMMYFUNCTION("""COMPUTED_VALUE"""),"G-REQ-01770")</f>
        <v>G-REQ-01770</v>
      </c>
      <c r="B1771" s="11">
        <f>IFERROR(__xludf.DUMMYFUNCTION("""COMPUTED_VALUE"""),45887.29371820593)</f>
        <v>45887.29372</v>
      </c>
      <c r="C1771" s="9">
        <f>IFERROR(__xludf.DUMMYFUNCTION("""COMPUTED_VALUE"""),7129.0)</f>
        <v>7129</v>
      </c>
      <c r="D1771" s="9" t="str">
        <f>IFERROR(__xludf.DUMMYFUNCTION("""COMPUTED_VALUE"""),"Completed")</f>
        <v>Completed</v>
      </c>
    </row>
    <row r="1772">
      <c r="A1772" s="9" t="str">
        <f>IFERROR(__xludf.DUMMYFUNCTION("""COMPUTED_VALUE"""),"G-REQ-01771")</f>
        <v>G-REQ-01771</v>
      </c>
      <c r="B1772" s="11">
        <f>IFERROR(__xludf.DUMMYFUNCTION("""COMPUTED_VALUE"""),45887.364893051345)</f>
        <v>45887.36489</v>
      </c>
      <c r="C1772" s="9">
        <f>IFERROR(__xludf.DUMMYFUNCTION("""COMPUTED_VALUE"""),7133.0)</f>
        <v>7133</v>
      </c>
      <c r="D1772" s="9" t="str">
        <f>IFERROR(__xludf.DUMMYFUNCTION("""COMPUTED_VALUE"""),"Completed")</f>
        <v>Completed</v>
      </c>
    </row>
    <row r="1773">
      <c r="A1773" s="9" t="str">
        <f>IFERROR(__xludf.DUMMYFUNCTION("""COMPUTED_VALUE"""),"G-REQ-01772")</f>
        <v>G-REQ-01772</v>
      </c>
      <c r="B1773" s="11">
        <f>IFERROR(__xludf.DUMMYFUNCTION("""COMPUTED_VALUE"""),45887.436067896764)</f>
        <v>45887.43607</v>
      </c>
      <c r="C1773" s="9">
        <f>IFERROR(__xludf.DUMMYFUNCTION("""COMPUTED_VALUE"""),7137.0)</f>
        <v>7137</v>
      </c>
      <c r="D1773" s="9" t="str">
        <f>IFERROR(__xludf.DUMMYFUNCTION("""COMPUTED_VALUE"""),"Completed")</f>
        <v>Completed</v>
      </c>
    </row>
    <row r="1774">
      <c r="A1774" s="9" t="str">
        <f>IFERROR(__xludf.DUMMYFUNCTION("""COMPUTED_VALUE"""),"G-REQ-01773")</f>
        <v>G-REQ-01773</v>
      </c>
      <c r="B1774" s="11">
        <f>IFERROR(__xludf.DUMMYFUNCTION("""COMPUTED_VALUE"""),45887.50724274218)</f>
        <v>45887.50724</v>
      </c>
      <c r="C1774" s="9">
        <f>IFERROR(__xludf.DUMMYFUNCTION("""COMPUTED_VALUE"""),7141.0)</f>
        <v>7141</v>
      </c>
      <c r="D1774" s="9" t="str">
        <f>IFERROR(__xludf.DUMMYFUNCTION("""COMPUTED_VALUE"""),"Completed")</f>
        <v>Completed</v>
      </c>
    </row>
    <row r="1775">
      <c r="A1775" s="9" t="str">
        <f>IFERROR(__xludf.DUMMYFUNCTION("""COMPUTED_VALUE"""),"G-REQ-01774")</f>
        <v>G-REQ-01774</v>
      </c>
      <c r="B1775" s="11">
        <f>IFERROR(__xludf.DUMMYFUNCTION("""COMPUTED_VALUE"""),45887.57841758759)</f>
        <v>45887.57842</v>
      </c>
      <c r="C1775" s="9">
        <f>IFERROR(__xludf.DUMMYFUNCTION("""COMPUTED_VALUE"""),7145.0)</f>
        <v>7145</v>
      </c>
      <c r="D1775" s="9" t="str">
        <f>IFERROR(__xludf.DUMMYFUNCTION("""COMPUTED_VALUE"""),"Completed")</f>
        <v>Completed</v>
      </c>
    </row>
    <row r="1776">
      <c r="A1776" s="9" t="str">
        <f>IFERROR(__xludf.DUMMYFUNCTION("""COMPUTED_VALUE"""),"G-REQ-01775")</f>
        <v>G-REQ-01775</v>
      </c>
      <c r="B1776" s="11">
        <f>IFERROR(__xludf.DUMMYFUNCTION("""COMPUTED_VALUE"""),45887.64959243301)</f>
        <v>45887.64959</v>
      </c>
      <c r="C1776" s="9">
        <f>IFERROR(__xludf.DUMMYFUNCTION("""COMPUTED_VALUE"""),7149.0)</f>
        <v>7149</v>
      </c>
      <c r="D1776" s="9" t="str">
        <f>IFERROR(__xludf.DUMMYFUNCTION("""COMPUTED_VALUE"""),"Completed")</f>
        <v>Completed</v>
      </c>
    </row>
    <row r="1777">
      <c r="A1777" s="9" t="str">
        <f>IFERROR(__xludf.DUMMYFUNCTION("""COMPUTED_VALUE"""),"G-REQ-01776")</f>
        <v>G-REQ-01776</v>
      </c>
      <c r="B1777" s="11">
        <f>IFERROR(__xludf.DUMMYFUNCTION("""COMPUTED_VALUE"""),45887.72076727843)</f>
        <v>45887.72077</v>
      </c>
      <c r="C1777" s="9">
        <f>IFERROR(__xludf.DUMMYFUNCTION("""COMPUTED_VALUE"""),7153.0)</f>
        <v>7153</v>
      </c>
      <c r="D1777" s="9" t="str">
        <f>IFERROR(__xludf.DUMMYFUNCTION("""COMPUTED_VALUE"""),"Completed")</f>
        <v>Completed</v>
      </c>
    </row>
    <row r="1778">
      <c r="A1778" s="9" t="str">
        <f>IFERROR(__xludf.DUMMYFUNCTION("""COMPUTED_VALUE"""),"G-REQ-01777")</f>
        <v>G-REQ-01777</v>
      </c>
      <c r="B1778" s="11">
        <f>IFERROR(__xludf.DUMMYFUNCTION("""COMPUTED_VALUE"""),45887.79194212383)</f>
        <v>45887.79194</v>
      </c>
      <c r="C1778" s="9">
        <f>IFERROR(__xludf.DUMMYFUNCTION("""COMPUTED_VALUE"""),7157.0)</f>
        <v>7157</v>
      </c>
      <c r="D1778" s="9" t="str">
        <f>IFERROR(__xludf.DUMMYFUNCTION("""COMPUTED_VALUE"""),"Completed")</f>
        <v>Completed</v>
      </c>
    </row>
    <row r="1779">
      <c r="A1779" s="9" t="str">
        <f>IFERROR(__xludf.DUMMYFUNCTION("""COMPUTED_VALUE"""),"G-REQ-01778")</f>
        <v>G-REQ-01778</v>
      </c>
      <c r="B1779" s="11">
        <f>IFERROR(__xludf.DUMMYFUNCTION("""COMPUTED_VALUE"""),45887.86311696925)</f>
        <v>45887.86312</v>
      </c>
      <c r="C1779" s="9">
        <f>IFERROR(__xludf.DUMMYFUNCTION("""COMPUTED_VALUE"""),7161.0)</f>
        <v>7161</v>
      </c>
      <c r="D1779" s="9" t="str">
        <f>IFERROR(__xludf.DUMMYFUNCTION("""COMPUTED_VALUE"""),"Completed")</f>
        <v>Completed</v>
      </c>
    </row>
    <row r="1780">
      <c r="A1780" s="9" t="str">
        <f>IFERROR(__xludf.DUMMYFUNCTION("""COMPUTED_VALUE"""),"G-REQ-01779")</f>
        <v>G-REQ-01779</v>
      </c>
      <c r="B1780" s="11">
        <f>IFERROR(__xludf.DUMMYFUNCTION("""COMPUTED_VALUE"""),45887.93429181467)</f>
        <v>45887.93429</v>
      </c>
      <c r="C1780" s="9">
        <f>IFERROR(__xludf.DUMMYFUNCTION("""COMPUTED_VALUE"""),7165.0)</f>
        <v>7165</v>
      </c>
      <c r="D1780" s="9" t="str">
        <f>IFERROR(__xludf.DUMMYFUNCTION("""COMPUTED_VALUE"""),"Completed")</f>
        <v>Completed</v>
      </c>
    </row>
    <row r="1781">
      <c r="A1781" s="9" t="str">
        <f>IFERROR(__xludf.DUMMYFUNCTION("""COMPUTED_VALUE"""),"G-REQ-01780")</f>
        <v>G-REQ-01780</v>
      </c>
      <c r="B1781" s="11">
        <f>IFERROR(__xludf.DUMMYFUNCTION("""COMPUTED_VALUE"""),45888.005466660084)</f>
        <v>45888.00547</v>
      </c>
      <c r="C1781" s="9">
        <f>IFERROR(__xludf.DUMMYFUNCTION("""COMPUTED_VALUE"""),7169.0)</f>
        <v>7169</v>
      </c>
      <c r="D1781" s="9" t="str">
        <f>IFERROR(__xludf.DUMMYFUNCTION("""COMPUTED_VALUE"""),"Completed")</f>
        <v>Completed</v>
      </c>
    </row>
    <row r="1782">
      <c r="A1782" s="9" t="str">
        <f>IFERROR(__xludf.DUMMYFUNCTION("""COMPUTED_VALUE"""),"G-REQ-01781")</f>
        <v>G-REQ-01781</v>
      </c>
      <c r="B1782" s="11">
        <f>IFERROR(__xludf.DUMMYFUNCTION("""COMPUTED_VALUE"""),45888.06969706105)</f>
        <v>45888.0697</v>
      </c>
      <c r="C1782" s="9">
        <f>IFERROR(__xludf.DUMMYFUNCTION("""COMPUTED_VALUE"""),7171.0)</f>
        <v>7171</v>
      </c>
      <c r="D1782" s="9" t="str">
        <f>IFERROR(__xludf.DUMMYFUNCTION("""COMPUTED_VALUE"""),"Rejected")</f>
        <v>Rejected</v>
      </c>
    </row>
    <row r="1783">
      <c r="A1783" s="9" t="str">
        <f>IFERROR(__xludf.DUMMYFUNCTION("""COMPUTED_VALUE"""),"G-REQ-01782")</f>
        <v>G-REQ-01782</v>
      </c>
      <c r="B1783" s="11">
        <f>IFERROR(__xludf.DUMMYFUNCTION("""COMPUTED_VALUE"""),45888.14781635092)</f>
        <v>45888.14782</v>
      </c>
      <c r="C1783" s="9">
        <f>IFERROR(__xludf.DUMMYFUNCTION("""COMPUTED_VALUE"""),7175.0)</f>
        <v>7175</v>
      </c>
      <c r="D1783" s="9" t="str">
        <f>IFERROR(__xludf.DUMMYFUNCTION("""COMPUTED_VALUE"""),"Completed")</f>
        <v>Completed</v>
      </c>
    </row>
    <row r="1784">
      <c r="A1784" s="9" t="str">
        <f>IFERROR(__xludf.DUMMYFUNCTION("""COMPUTED_VALUE"""),"G-REQ-01783")</f>
        <v>G-REQ-01783</v>
      </c>
      <c r="B1784" s="11">
        <f>IFERROR(__xludf.DUMMYFUNCTION("""COMPUTED_VALUE"""),45888.21899119633)</f>
        <v>45888.21899</v>
      </c>
      <c r="C1784" s="9">
        <f>IFERROR(__xludf.DUMMYFUNCTION("""COMPUTED_VALUE"""),7179.0)</f>
        <v>7179</v>
      </c>
      <c r="D1784" s="9" t="str">
        <f>IFERROR(__xludf.DUMMYFUNCTION("""COMPUTED_VALUE"""),"Completed")</f>
        <v>Completed</v>
      </c>
    </row>
    <row r="1785">
      <c r="A1785" s="9" t="str">
        <f>IFERROR(__xludf.DUMMYFUNCTION("""COMPUTED_VALUE"""),"G-REQ-01784")</f>
        <v>G-REQ-01784</v>
      </c>
      <c r="B1785" s="11">
        <f>IFERROR(__xludf.DUMMYFUNCTION("""COMPUTED_VALUE"""),45888.283221597296)</f>
        <v>45888.28322</v>
      </c>
      <c r="C1785" s="9">
        <f>IFERROR(__xludf.DUMMYFUNCTION("""COMPUTED_VALUE"""),7181.0)</f>
        <v>7181</v>
      </c>
      <c r="D1785" s="9" t="str">
        <f>IFERROR(__xludf.DUMMYFUNCTION("""COMPUTED_VALUE"""),"Rejected")</f>
        <v>Rejected</v>
      </c>
    </row>
    <row r="1786">
      <c r="A1786" s="9" t="str">
        <f>IFERROR(__xludf.DUMMYFUNCTION("""COMPUTED_VALUE"""),"G-REQ-01785")</f>
        <v>G-REQ-01785</v>
      </c>
      <c r="B1786" s="11">
        <f>IFERROR(__xludf.DUMMYFUNCTION("""COMPUTED_VALUE"""),45888.36134088716)</f>
        <v>45888.36134</v>
      </c>
      <c r="C1786" s="9">
        <f>IFERROR(__xludf.DUMMYFUNCTION("""COMPUTED_VALUE"""),7185.0)</f>
        <v>7185</v>
      </c>
      <c r="D1786" s="9" t="str">
        <f>IFERROR(__xludf.DUMMYFUNCTION("""COMPUTED_VALUE"""),"Completed")</f>
        <v>Completed</v>
      </c>
    </row>
    <row r="1787">
      <c r="A1787" s="9" t="str">
        <f>IFERROR(__xludf.DUMMYFUNCTION("""COMPUTED_VALUE"""),"G-REQ-01786")</f>
        <v>G-REQ-01786</v>
      </c>
      <c r="B1787" s="11">
        <f>IFERROR(__xludf.DUMMYFUNCTION("""COMPUTED_VALUE"""),45888.43251573258)</f>
        <v>45888.43252</v>
      </c>
      <c r="C1787" s="9">
        <f>IFERROR(__xludf.DUMMYFUNCTION("""COMPUTED_VALUE"""),7189.0)</f>
        <v>7189</v>
      </c>
      <c r="D1787" s="9" t="str">
        <f>IFERROR(__xludf.DUMMYFUNCTION("""COMPUTED_VALUE"""),"Completed")</f>
        <v>Completed</v>
      </c>
    </row>
    <row r="1788">
      <c r="A1788" s="9" t="str">
        <f>IFERROR(__xludf.DUMMYFUNCTION("""COMPUTED_VALUE"""),"G-REQ-01787")</f>
        <v>G-REQ-01787</v>
      </c>
      <c r="B1788" s="11">
        <f>IFERROR(__xludf.DUMMYFUNCTION("""COMPUTED_VALUE"""),45888.503690577985)</f>
        <v>45888.50369</v>
      </c>
      <c r="C1788" s="9">
        <f>IFERROR(__xludf.DUMMYFUNCTION("""COMPUTED_VALUE"""),7193.0)</f>
        <v>7193</v>
      </c>
      <c r="D1788" s="9" t="str">
        <f>IFERROR(__xludf.DUMMYFUNCTION("""COMPUTED_VALUE"""),"Completed")</f>
        <v>Completed</v>
      </c>
    </row>
    <row r="1789">
      <c r="A1789" s="9" t="str">
        <f>IFERROR(__xludf.DUMMYFUNCTION("""COMPUTED_VALUE"""),"G-REQ-01788")</f>
        <v>G-REQ-01788</v>
      </c>
      <c r="B1789" s="11">
        <f>IFERROR(__xludf.DUMMYFUNCTION("""COMPUTED_VALUE"""),45888.574865423405)</f>
        <v>45888.57487</v>
      </c>
      <c r="C1789" s="9">
        <f>IFERROR(__xludf.DUMMYFUNCTION("""COMPUTED_VALUE"""),7197.0)</f>
        <v>7197</v>
      </c>
      <c r="D1789" s="9" t="str">
        <f>IFERROR(__xludf.DUMMYFUNCTION("""COMPUTED_VALUE"""),"Completed")</f>
        <v>Completed</v>
      </c>
    </row>
    <row r="1790">
      <c r="A1790" s="9" t="str">
        <f>IFERROR(__xludf.DUMMYFUNCTION("""COMPUTED_VALUE"""),"G-REQ-01789")</f>
        <v>G-REQ-01789</v>
      </c>
      <c r="B1790" s="11">
        <f>IFERROR(__xludf.DUMMYFUNCTION("""COMPUTED_VALUE"""),45888.64604026882)</f>
        <v>45888.64604</v>
      </c>
      <c r="C1790" s="9">
        <f>IFERROR(__xludf.DUMMYFUNCTION("""COMPUTED_VALUE"""),7201.0)</f>
        <v>7201</v>
      </c>
      <c r="D1790" s="9" t="str">
        <f>IFERROR(__xludf.DUMMYFUNCTION("""COMPUTED_VALUE"""),"Completed")</f>
        <v>Completed</v>
      </c>
    </row>
    <row r="1791">
      <c r="A1791" s="9" t="str">
        <f>IFERROR(__xludf.DUMMYFUNCTION("""COMPUTED_VALUE"""),"G-REQ-01790")</f>
        <v>G-REQ-01790</v>
      </c>
      <c r="B1791" s="11">
        <f>IFERROR(__xludf.DUMMYFUNCTION("""COMPUTED_VALUE"""),45888.71721511424)</f>
        <v>45888.71722</v>
      </c>
      <c r="C1791" s="9">
        <f>IFERROR(__xludf.DUMMYFUNCTION("""COMPUTED_VALUE"""),7205.0)</f>
        <v>7205</v>
      </c>
      <c r="D1791" s="9" t="str">
        <f>IFERROR(__xludf.DUMMYFUNCTION("""COMPUTED_VALUE"""),"Completed")</f>
        <v>Completed</v>
      </c>
    </row>
    <row r="1792">
      <c r="A1792" s="9" t="str">
        <f>IFERROR(__xludf.DUMMYFUNCTION("""COMPUTED_VALUE"""),"G-REQ-01791")</f>
        <v>G-REQ-01791</v>
      </c>
      <c r="B1792" s="11">
        <f>IFERROR(__xludf.DUMMYFUNCTION("""COMPUTED_VALUE"""),45888.78838995965)</f>
        <v>45888.78839</v>
      </c>
      <c r="C1792" s="9">
        <f>IFERROR(__xludf.DUMMYFUNCTION("""COMPUTED_VALUE"""),7209.0)</f>
        <v>7209</v>
      </c>
      <c r="D1792" s="9" t="str">
        <f>IFERROR(__xludf.DUMMYFUNCTION("""COMPUTED_VALUE"""),"Completed")</f>
        <v>Completed</v>
      </c>
    </row>
    <row r="1793">
      <c r="A1793" s="9" t="str">
        <f>IFERROR(__xludf.DUMMYFUNCTION("""COMPUTED_VALUE"""),"G-REQ-01792")</f>
        <v>G-REQ-01792</v>
      </c>
      <c r="B1793" s="11">
        <f>IFERROR(__xludf.DUMMYFUNCTION("""COMPUTED_VALUE"""),45888.85956480507)</f>
        <v>45888.85956</v>
      </c>
      <c r="C1793" s="9">
        <f>IFERROR(__xludf.DUMMYFUNCTION("""COMPUTED_VALUE"""),7213.0)</f>
        <v>7213</v>
      </c>
      <c r="D1793" s="9" t="str">
        <f>IFERROR(__xludf.DUMMYFUNCTION("""COMPUTED_VALUE"""),"Completed")</f>
        <v>Completed</v>
      </c>
    </row>
    <row r="1794">
      <c r="A1794" s="9" t="str">
        <f>IFERROR(__xludf.DUMMYFUNCTION("""COMPUTED_VALUE"""),"G-REQ-01793")</f>
        <v>G-REQ-01793</v>
      </c>
      <c r="B1794" s="11">
        <f>IFERROR(__xludf.DUMMYFUNCTION("""COMPUTED_VALUE"""),45888.930739650474)</f>
        <v>45888.93074</v>
      </c>
      <c r="C1794" s="9">
        <f>IFERROR(__xludf.DUMMYFUNCTION("""COMPUTED_VALUE"""),7217.0)</f>
        <v>7217</v>
      </c>
      <c r="D1794" s="9" t="str">
        <f>IFERROR(__xludf.DUMMYFUNCTION("""COMPUTED_VALUE"""),"Completed")</f>
        <v>Completed</v>
      </c>
    </row>
    <row r="1795">
      <c r="A1795" s="9" t="str">
        <f>IFERROR(__xludf.DUMMYFUNCTION("""COMPUTED_VALUE"""),"G-REQ-01794")</f>
        <v>G-REQ-01794</v>
      </c>
      <c r="B1795" s="11">
        <f>IFERROR(__xludf.DUMMYFUNCTION("""COMPUTED_VALUE"""),45888.99497005145)</f>
        <v>45888.99497</v>
      </c>
      <c r="C1795" s="9">
        <f>IFERROR(__xludf.DUMMYFUNCTION("""COMPUTED_VALUE"""),7219.0)</f>
        <v>7219</v>
      </c>
      <c r="D1795" s="9" t="str">
        <f>IFERROR(__xludf.DUMMYFUNCTION("""COMPUTED_VALUE"""),"Rejected")</f>
        <v>Rejected</v>
      </c>
    </row>
    <row r="1796">
      <c r="A1796" s="9" t="str">
        <f>IFERROR(__xludf.DUMMYFUNCTION("""COMPUTED_VALUE"""),"G-REQ-01795")</f>
        <v>G-REQ-01795</v>
      </c>
      <c r="B1796" s="11">
        <f>IFERROR(__xludf.DUMMYFUNCTION("""COMPUTED_VALUE"""),45889.07308934131)</f>
        <v>45889.07309</v>
      </c>
      <c r="C1796" s="9">
        <f>IFERROR(__xludf.DUMMYFUNCTION("""COMPUTED_VALUE"""),7223.0)</f>
        <v>7223</v>
      </c>
      <c r="D1796" s="9" t="str">
        <f>IFERROR(__xludf.DUMMYFUNCTION("""COMPUTED_VALUE"""),"Completed")</f>
        <v>Completed</v>
      </c>
    </row>
    <row r="1797">
      <c r="A1797" s="9" t="str">
        <f>IFERROR(__xludf.DUMMYFUNCTION("""COMPUTED_VALUE"""),"G-REQ-01796")</f>
        <v>G-REQ-01796</v>
      </c>
      <c r="B1797" s="11">
        <f>IFERROR(__xludf.DUMMYFUNCTION("""COMPUTED_VALUE"""),45889.144264186725)</f>
        <v>45889.14426</v>
      </c>
      <c r="C1797" s="9">
        <f>IFERROR(__xludf.DUMMYFUNCTION("""COMPUTED_VALUE"""),7227.0)</f>
        <v>7227</v>
      </c>
      <c r="D1797" s="9" t="str">
        <f>IFERROR(__xludf.DUMMYFUNCTION("""COMPUTED_VALUE"""),"Completed")</f>
        <v>Completed</v>
      </c>
    </row>
    <row r="1798">
      <c r="A1798" s="9" t="str">
        <f>IFERROR(__xludf.DUMMYFUNCTION("""COMPUTED_VALUE"""),"G-REQ-01797")</f>
        <v>G-REQ-01797</v>
      </c>
      <c r="B1798" s="11">
        <f>IFERROR(__xludf.DUMMYFUNCTION("""COMPUTED_VALUE"""),45889.21543903214)</f>
        <v>45889.21544</v>
      </c>
      <c r="C1798" s="9">
        <f>IFERROR(__xludf.DUMMYFUNCTION("""COMPUTED_VALUE"""),7231.0)</f>
        <v>7231</v>
      </c>
      <c r="D1798" s="9" t="str">
        <f>IFERROR(__xludf.DUMMYFUNCTION("""COMPUTED_VALUE"""),"Completed")</f>
        <v>Completed</v>
      </c>
    </row>
    <row r="1799">
      <c r="A1799" s="9" t="str">
        <f>IFERROR(__xludf.DUMMYFUNCTION("""COMPUTED_VALUE"""),"G-REQ-01798")</f>
        <v>G-REQ-01798</v>
      </c>
      <c r="B1799" s="11">
        <f>IFERROR(__xludf.DUMMYFUNCTION("""COMPUTED_VALUE"""),45889.28661387756)</f>
        <v>45889.28661</v>
      </c>
      <c r="C1799" s="9">
        <f>IFERROR(__xludf.DUMMYFUNCTION("""COMPUTED_VALUE"""),7235.0)</f>
        <v>7235</v>
      </c>
      <c r="D1799" s="9" t="str">
        <f>IFERROR(__xludf.DUMMYFUNCTION("""COMPUTED_VALUE"""),"Completed")</f>
        <v>Completed</v>
      </c>
    </row>
    <row r="1800">
      <c r="A1800" s="9" t="str">
        <f>IFERROR(__xludf.DUMMYFUNCTION("""COMPUTED_VALUE"""),"G-REQ-01799")</f>
        <v>G-REQ-01799</v>
      </c>
      <c r="B1800" s="11">
        <f>IFERROR(__xludf.DUMMYFUNCTION("""COMPUTED_VALUE"""),45889.35778872297)</f>
        <v>45889.35779</v>
      </c>
      <c r="C1800" s="9">
        <f>IFERROR(__xludf.DUMMYFUNCTION("""COMPUTED_VALUE"""),7239.0)</f>
        <v>7239</v>
      </c>
      <c r="D1800" s="9" t="str">
        <f>IFERROR(__xludf.DUMMYFUNCTION("""COMPUTED_VALUE"""),"Completed")</f>
        <v>Completed</v>
      </c>
    </row>
    <row r="1801">
      <c r="A1801" s="9" t="str">
        <f>IFERROR(__xludf.DUMMYFUNCTION("""COMPUTED_VALUE"""),"G-REQ-01800")</f>
        <v>G-REQ-01800</v>
      </c>
      <c r="B1801" s="11">
        <f>IFERROR(__xludf.DUMMYFUNCTION("""COMPUTED_VALUE"""),45889.42896356838)</f>
        <v>45889.42896</v>
      </c>
      <c r="C1801" s="9">
        <f>IFERROR(__xludf.DUMMYFUNCTION("""COMPUTED_VALUE"""),7243.0)</f>
        <v>7243</v>
      </c>
      <c r="D1801" s="9" t="str">
        <f>IFERROR(__xludf.DUMMYFUNCTION("""COMPUTED_VALUE"""),"Completed")</f>
        <v>Completed</v>
      </c>
    </row>
    <row r="1802">
      <c r="A1802" s="9" t="str">
        <f>IFERROR(__xludf.DUMMYFUNCTION("""COMPUTED_VALUE"""),"G-REQ-01801")</f>
        <v>G-REQ-01801</v>
      </c>
      <c r="B1802" s="11">
        <f>IFERROR(__xludf.DUMMYFUNCTION("""COMPUTED_VALUE"""),45889.5001384138)</f>
        <v>45889.50014</v>
      </c>
      <c r="C1802" s="9">
        <f>IFERROR(__xludf.DUMMYFUNCTION("""COMPUTED_VALUE"""),7247.0)</f>
        <v>7247</v>
      </c>
      <c r="D1802" s="9" t="str">
        <f>IFERROR(__xludf.DUMMYFUNCTION("""COMPUTED_VALUE"""),"Completed")</f>
        <v>Completed</v>
      </c>
    </row>
    <row r="1803">
      <c r="A1803" s="9" t="str">
        <f>IFERROR(__xludf.DUMMYFUNCTION("""COMPUTED_VALUE"""),"G-REQ-01802")</f>
        <v>G-REQ-01802</v>
      </c>
      <c r="B1803" s="11">
        <f>IFERROR(__xludf.DUMMYFUNCTION("""COMPUTED_VALUE"""),45889.57131325922)</f>
        <v>45889.57131</v>
      </c>
      <c r="C1803" s="9">
        <f>IFERROR(__xludf.DUMMYFUNCTION("""COMPUTED_VALUE"""),7251.0)</f>
        <v>7251</v>
      </c>
      <c r="D1803" s="9" t="str">
        <f>IFERROR(__xludf.DUMMYFUNCTION("""COMPUTED_VALUE"""),"Completed")</f>
        <v>Completed</v>
      </c>
    </row>
    <row r="1804">
      <c r="A1804" s="9" t="str">
        <f>IFERROR(__xludf.DUMMYFUNCTION("""COMPUTED_VALUE"""),"G-REQ-01803")</f>
        <v>G-REQ-01803</v>
      </c>
      <c r="B1804" s="11">
        <f>IFERROR(__xludf.DUMMYFUNCTION("""COMPUTED_VALUE"""),45889.63554366018)</f>
        <v>45889.63554</v>
      </c>
      <c r="C1804" s="9">
        <f>IFERROR(__xludf.DUMMYFUNCTION("""COMPUTED_VALUE"""),7253.0)</f>
        <v>7253</v>
      </c>
      <c r="D1804" s="9" t="str">
        <f>IFERROR(__xludf.DUMMYFUNCTION("""COMPUTED_VALUE"""),"Rejected")</f>
        <v>Rejected</v>
      </c>
    </row>
    <row r="1805">
      <c r="A1805" s="9" t="str">
        <f>IFERROR(__xludf.DUMMYFUNCTION("""COMPUTED_VALUE"""),"G-REQ-01804")</f>
        <v>G-REQ-01804</v>
      </c>
      <c r="B1805" s="11">
        <f>IFERROR(__xludf.DUMMYFUNCTION("""COMPUTED_VALUE"""),45889.713662950046)</f>
        <v>45889.71366</v>
      </c>
      <c r="C1805" s="9">
        <f>IFERROR(__xludf.DUMMYFUNCTION("""COMPUTED_VALUE"""),7257.0)</f>
        <v>7257</v>
      </c>
      <c r="D1805" s="9" t="str">
        <f>IFERROR(__xludf.DUMMYFUNCTION("""COMPUTED_VALUE"""),"Completed")</f>
        <v>Completed</v>
      </c>
    </row>
    <row r="1806">
      <c r="A1806" s="9" t="str">
        <f>IFERROR(__xludf.DUMMYFUNCTION("""COMPUTED_VALUE"""),"G-REQ-01805")</f>
        <v>G-REQ-01805</v>
      </c>
      <c r="B1806" s="11">
        <f>IFERROR(__xludf.DUMMYFUNCTION("""COMPUTED_VALUE"""),45889.77789335102)</f>
        <v>45889.77789</v>
      </c>
      <c r="C1806" s="9">
        <f>IFERROR(__xludf.DUMMYFUNCTION("""COMPUTED_VALUE"""),7259.0)</f>
        <v>7259</v>
      </c>
      <c r="D1806" s="9" t="str">
        <f>IFERROR(__xludf.DUMMYFUNCTION("""COMPUTED_VALUE"""),"Rejected")</f>
        <v>Rejected</v>
      </c>
    </row>
    <row r="1807">
      <c r="A1807" s="9" t="str">
        <f>IFERROR(__xludf.DUMMYFUNCTION("""COMPUTED_VALUE"""),"G-REQ-01806")</f>
        <v>G-REQ-01806</v>
      </c>
      <c r="B1807" s="11">
        <f>IFERROR(__xludf.DUMMYFUNCTION("""COMPUTED_VALUE"""),45889.84906819643)</f>
        <v>45889.84907</v>
      </c>
      <c r="C1807" s="9">
        <f>IFERROR(__xludf.DUMMYFUNCTION("""COMPUTED_VALUE"""),7261.0)</f>
        <v>7261</v>
      </c>
      <c r="D1807" s="9" t="str">
        <f>IFERROR(__xludf.DUMMYFUNCTION("""COMPUTED_VALUE"""),"Rejected")</f>
        <v>Rejected</v>
      </c>
    </row>
    <row r="1808">
      <c r="A1808" s="9" t="str">
        <f>IFERROR(__xludf.DUMMYFUNCTION("""COMPUTED_VALUE"""),"G-REQ-01807")</f>
        <v>G-REQ-01807</v>
      </c>
      <c r="B1808" s="11">
        <f>IFERROR(__xludf.DUMMYFUNCTION("""COMPUTED_VALUE"""),45889.92718748629)</f>
        <v>45889.92719</v>
      </c>
      <c r="C1808" s="9">
        <f>IFERROR(__xludf.DUMMYFUNCTION("""COMPUTED_VALUE"""),7265.0)</f>
        <v>7265</v>
      </c>
      <c r="D1808" s="9" t="str">
        <f>IFERROR(__xludf.DUMMYFUNCTION("""COMPUTED_VALUE"""),"Completed")</f>
        <v>Completed</v>
      </c>
    </row>
    <row r="1809">
      <c r="A1809" s="9" t="str">
        <f>IFERROR(__xludf.DUMMYFUNCTION("""COMPUTED_VALUE"""),"G-REQ-01808")</f>
        <v>G-REQ-01808</v>
      </c>
      <c r="B1809" s="11">
        <f>IFERROR(__xludf.DUMMYFUNCTION("""COMPUTED_VALUE"""),45889.991417887264)</f>
        <v>45889.99142</v>
      </c>
      <c r="C1809" s="9">
        <f>IFERROR(__xludf.DUMMYFUNCTION("""COMPUTED_VALUE"""),7267.0)</f>
        <v>7267</v>
      </c>
      <c r="D1809" s="9" t="str">
        <f>IFERROR(__xludf.DUMMYFUNCTION("""COMPUTED_VALUE"""),"Cancelled")</f>
        <v>Cancelled</v>
      </c>
    </row>
    <row r="1810">
      <c r="A1810" s="9" t="str">
        <f>IFERROR(__xludf.DUMMYFUNCTION("""COMPUTED_VALUE"""),"G-REQ-01809")</f>
        <v>G-REQ-01809</v>
      </c>
      <c r="B1810" s="11">
        <f>IFERROR(__xludf.DUMMYFUNCTION("""COMPUTED_VALUE"""),45890.06953717712)</f>
        <v>45890.06954</v>
      </c>
      <c r="C1810" s="9">
        <f>IFERROR(__xludf.DUMMYFUNCTION("""COMPUTED_VALUE"""),7271.0)</f>
        <v>7271</v>
      </c>
      <c r="D1810" s="9" t="str">
        <f>IFERROR(__xludf.DUMMYFUNCTION("""COMPUTED_VALUE"""),"Completed")</f>
        <v>Completed</v>
      </c>
    </row>
    <row r="1811">
      <c r="A1811" s="9" t="str">
        <f>IFERROR(__xludf.DUMMYFUNCTION("""COMPUTED_VALUE"""),"G-REQ-01810")</f>
        <v>G-REQ-01810</v>
      </c>
      <c r="B1811" s="11">
        <f>IFERROR(__xludf.DUMMYFUNCTION("""COMPUTED_VALUE"""),45890.13376757809)</f>
        <v>45890.13377</v>
      </c>
      <c r="C1811" s="9">
        <f>IFERROR(__xludf.DUMMYFUNCTION("""COMPUTED_VALUE"""),7273.0)</f>
        <v>7273</v>
      </c>
      <c r="D1811" s="9" t="str">
        <f>IFERROR(__xludf.DUMMYFUNCTION("""COMPUTED_VALUE"""),"Rejected")</f>
        <v>Rejected</v>
      </c>
    </row>
    <row r="1812">
      <c r="A1812" s="9" t="str">
        <f>IFERROR(__xludf.DUMMYFUNCTION("""COMPUTED_VALUE"""),"G-REQ-01811")</f>
        <v>G-REQ-01811</v>
      </c>
      <c r="B1812" s="11">
        <f>IFERROR(__xludf.DUMMYFUNCTION("""COMPUTED_VALUE"""),45890.21188686795)</f>
        <v>45890.21189</v>
      </c>
      <c r="C1812" s="9">
        <f>IFERROR(__xludf.DUMMYFUNCTION("""COMPUTED_VALUE"""),7277.0)</f>
        <v>7277</v>
      </c>
      <c r="D1812" s="9" t="str">
        <f>IFERROR(__xludf.DUMMYFUNCTION("""COMPUTED_VALUE"""),"Completed")</f>
        <v>Completed</v>
      </c>
    </row>
    <row r="1813">
      <c r="A1813" s="9" t="str">
        <f>IFERROR(__xludf.DUMMYFUNCTION("""COMPUTED_VALUE"""),"G-REQ-01812")</f>
        <v>G-REQ-01812</v>
      </c>
      <c r="B1813" s="11">
        <f>IFERROR(__xludf.DUMMYFUNCTION("""COMPUTED_VALUE"""),45890.283061713366)</f>
        <v>45890.28306</v>
      </c>
      <c r="C1813" s="9">
        <f>IFERROR(__xludf.DUMMYFUNCTION("""COMPUTED_VALUE"""),7281.0)</f>
        <v>7281</v>
      </c>
      <c r="D1813" s="9" t="str">
        <f>IFERROR(__xludf.DUMMYFUNCTION("""COMPUTED_VALUE"""),"Completed")</f>
        <v>Completed</v>
      </c>
    </row>
    <row r="1814">
      <c r="A1814" s="9" t="str">
        <f>IFERROR(__xludf.DUMMYFUNCTION("""COMPUTED_VALUE"""),"G-REQ-01813")</f>
        <v>G-REQ-01813</v>
      </c>
      <c r="B1814" s="11">
        <f>IFERROR(__xludf.DUMMYFUNCTION("""COMPUTED_VALUE"""),45890.35423655878)</f>
        <v>45890.35424</v>
      </c>
      <c r="C1814" s="9">
        <f>IFERROR(__xludf.DUMMYFUNCTION("""COMPUTED_VALUE"""),7285.0)</f>
        <v>7285</v>
      </c>
      <c r="D1814" s="9" t="str">
        <f>IFERROR(__xludf.DUMMYFUNCTION("""COMPUTED_VALUE"""),"Completed")</f>
        <v>Completed</v>
      </c>
    </row>
    <row r="1815">
      <c r="A1815" s="9" t="str">
        <f>IFERROR(__xludf.DUMMYFUNCTION("""COMPUTED_VALUE"""),"G-REQ-01814")</f>
        <v>G-REQ-01814</v>
      </c>
      <c r="B1815" s="11">
        <f>IFERROR(__xludf.DUMMYFUNCTION("""COMPUTED_VALUE"""),45890.4254114042)</f>
        <v>45890.42541</v>
      </c>
      <c r="C1815" s="9">
        <f>IFERROR(__xludf.DUMMYFUNCTION("""COMPUTED_VALUE"""),7289.0)</f>
        <v>7289</v>
      </c>
      <c r="D1815" s="9" t="str">
        <f>IFERROR(__xludf.DUMMYFUNCTION("""COMPUTED_VALUE"""),"Completed")</f>
        <v>Completed</v>
      </c>
    </row>
    <row r="1816">
      <c r="A1816" s="9" t="str">
        <f>IFERROR(__xludf.DUMMYFUNCTION("""COMPUTED_VALUE"""),"G-REQ-01815")</f>
        <v>G-REQ-01815</v>
      </c>
      <c r="B1816" s="11">
        <f>IFERROR(__xludf.DUMMYFUNCTION("""COMPUTED_VALUE"""),45890.489641805165)</f>
        <v>45890.48964</v>
      </c>
      <c r="C1816" s="9">
        <f>IFERROR(__xludf.DUMMYFUNCTION("""COMPUTED_VALUE"""),7291.0)</f>
        <v>7291</v>
      </c>
      <c r="D1816" s="9" t="str">
        <f>IFERROR(__xludf.DUMMYFUNCTION("""COMPUTED_VALUE"""),"Rejected")</f>
        <v>Rejected</v>
      </c>
    </row>
    <row r="1817">
      <c r="A1817" s="9" t="str">
        <f>IFERROR(__xludf.DUMMYFUNCTION("""COMPUTED_VALUE"""),"G-REQ-01816")</f>
        <v>G-REQ-01816</v>
      </c>
      <c r="B1817" s="11">
        <f>IFERROR(__xludf.DUMMYFUNCTION("""COMPUTED_VALUE"""),45890.56081665058)</f>
        <v>45890.56082</v>
      </c>
      <c r="C1817" s="9">
        <f>IFERROR(__xludf.DUMMYFUNCTION("""COMPUTED_VALUE"""),7293.0)</f>
        <v>7293</v>
      </c>
      <c r="D1817" s="9" t="str">
        <f>IFERROR(__xludf.DUMMYFUNCTION("""COMPUTED_VALUE"""),"Rejected")</f>
        <v>Rejected</v>
      </c>
    </row>
    <row r="1818">
      <c r="A1818" s="9" t="str">
        <f>IFERROR(__xludf.DUMMYFUNCTION("""COMPUTED_VALUE"""),"G-REQ-01817")</f>
        <v>G-REQ-01817</v>
      </c>
      <c r="B1818" s="11">
        <f>IFERROR(__xludf.DUMMYFUNCTION("""COMPUTED_VALUE"""),45890.631991496)</f>
        <v>45890.63199</v>
      </c>
      <c r="C1818" s="9">
        <f>IFERROR(__xludf.DUMMYFUNCTION("""COMPUTED_VALUE"""),7295.0)</f>
        <v>7295</v>
      </c>
      <c r="D1818" s="9" t="str">
        <f>IFERROR(__xludf.DUMMYFUNCTION("""COMPUTED_VALUE"""),"Rejected")</f>
        <v>Rejected</v>
      </c>
    </row>
    <row r="1819">
      <c r="A1819" s="9" t="str">
        <f>IFERROR(__xludf.DUMMYFUNCTION("""COMPUTED_VALUE"""),"G-REQ-01818")</f>
        <v>G-REQ-01818</v>
      </c>
      <c r="B1819" s="11">
        <f>IFERROR(__xludf.DUMMYFUNCTION("""COMPUTED_VALUE"""),45890.70316634142)</f>
        <v>45890.70317</v>
      </c>
      <c r="C1819" s="9">
        <f>IFERROR(__xludf.DUMMYFUNCTION("""COMPUTED_VALUE"""),7297.0)</f>
        <v>7297</v>
      </c>
      <c r="D1819" s="9" t="str">
        <f>IFERROR(__xludf.DUMMYFUNCTION("""COMPUTED_VALUE"""),"Rejected")</f>
        <v>Rejected</v>
      </c>
    </row>
    <row r="1820">
      <c r="A1820" s="9" t="str">
        <f>IFERROR(__xludf.DUMMYFUNCTION("""COMPUTED_VALUE"""),"G-REQ-01819")</f>
        <v>G-REQ-01819</v>
      </c>
      <c r="B1820" s="11">
        <f>IFERROR(__xludf.DUMMYFUNCTION("""COMPUTED_VALUE"""),45890.77434118682)</f>
        <v>45890.77434</v>
      </c>
      <c r="C1820" s="9">
        <f>IFERROR(__xludf.DUMMYFUNCTION("""COMPUTED_VALUE"""),7299.0)</f>
        <v>7299</v>
      </c>
      <c r="D1820" s="9" t="str">
        <f>IFERROR(__xludf.DUMMYFUNCTION("""COMPUTED_VALUE"""),"Rejected")</f>
        <v>Rejected</v>
      </c>
    </row>
    <row r="1821">
      <c r="A1821" s="9" t="str">
        <f>IFERROR(__xludf.DUMMYFUNCTION("""COMPUTED_VALUE"""),"G-REQ-01820")</f>
        <v>G-REQ-01820</v>
      </c>
      <c r="B1821" s="11">
        <f>IFERROR(__xludf.DUMMYFUNCTION("""COMPUTED_VALUE"""),45890.852460476686)</f>
        <v>45890.85246</v>
      </c>
      <c r="C1821" s="9">
        <f>IFERROR(__xludf.DUMMYFUNCTION("""COMPUTED_VALUE"""),7303.0)</f>
        <v>7303</v>
      </c>
      <c r="D1821" s="9" t="str">
        <f>IFERROR(__xludf.DUMMYFUNCTION("""COMPUTED_VALUE"""),"Completed")</f>
        <v>Completed</v>
      </c>
    </row>
    <row r="1822">
      <c r="A1822" s="9" t="str">
        <f>IFERROR(__xludf.DUMMYFUNCTION("""COMPUTED_VALUE"""),"G-REQ-01821")</f>
        <v>G-REQ-01821</v>
      </c>
      <c r="B1822" s="11">
        <f>IFERROR(__xludf.DUMMYFUNCTION("""COMPUTED_VALUE"""),45890.91669087766)</f>
        <v>45890.91669</v>
      </c>
      <c r="C1822" s="9">
        <f>IFERROR(__xludf.DUMMYFUNCTION("""COMPUTED_VALUE"""),7305.0)</f>
        <v>7305</v>
      </c>
      <c r="D1822" s="9" t="str">
        <f>IFERROR(__xludf.DUMMYFUNCTION("""COMPUTED_VALUE"""),"Cancelled")</f>
        <v>Cancelled</v>
      </c>
    </row>
    <row r="1823">
      <c r="A1823" s="9" t="str">
        <f>IFERROR(__xludf.DUMMYFUNCTION("""COMPUTED_VALUE"""),"G-REQ-01822")</f>
        <v>G-REQ-01822</v>
      </c>
      <c r="B1823" s="11">
        <f>IFERROR(__xludf.DUMMYFUNCTION("""COMPUTED_VALUE"""),45890.98786572307)</f>
        <v>45890.98787</v>
      </c>
      <c r="C1823" s="9">
        <f>IFERROR(__xludf.DUMMYFUNCTION("""COMPUTED_VALUE"""),7307.0)</f>
        <v>7307</v>
      </c>
      <c r="D1823" s="9" t="str">
        <f>IFERROR(__xludf.DUMMYFUNCTION("""COMPUTED_VALUE"""),"Rejected")</f>
        <v>Rejected</v>
      </c>
    </row>
    <row r="1824">
      <c r="A1824" s="9" t="str">
        <f>IFERROR(__xludf.DUMMYFUNCTION("""COMPUTED_VALUE"""),"G-REQ-01823")</f>
        <v>G-REQ-01823</v>
      </c>
      <c r="B1824" s="11">
        <f>IFERROR(__xludf.DUMMYFUNCTION("""COMPUTED_VALUE"""),45891.06598501293)</f>
        <v>45891.06599</v>
      </c>
      <c r="C1824" s="9">
        <f>IFERROR(__xludf.DUMMYFUNCTION("""COMPUTED_VALUE"""),7311.0)</f>
        <v>7311</v>
      </c>
      <c r="D1824" s="9" t="str">
        <f>IFERROR(__xludf.DUMMYFUNCTION("""COMPUTED_VALUE"""),"Completed")</f>
        <v>Completed</v>
      </c>
    </row>
    <row r="1825">
      <c r="A1825" s="9" t="str">
        <f>IFERROR(__xludf.DUMMYFUNCTION("""COMPUTED_VALUE"""),"G-REQ-01824")</f>
        <v>G-REQ-01824</v>
      </c>
      <c r="B1825" s="11">
        <f>IFERROR(__xludf.DUMMYFUNCTION("""COMPUTED_VALUE"""),45891.13715985835)</f>
        <v>45891.13716</v>
      </c>
      <c r="C1825" s="9">
        <f>IFERROR(__xludf.DUMMYFUNCTION("""COMPUTED_VALUE"""),7315.0)</f>
        <v>7315</v>
      </c>
      <c r="D1825" s="9" t="str">
        <f>IFERROR(__xludf.DUMMYFUNCTION("""COMPUTED_VALUE"""),"Completed")</f>
        <v>Completed</v>
      </c>
    </row>
    <row r="1826">
      <c r="A1826" s="9" t="str">
        <f>IFERROR(__xludf.DUMMYFUNCTION("""COMPUTED_VALUE"""),"G-REQ-01825")</f>
        <v>G-REQ-01825</v>
      </c>
      <c r="B1826" s="11">
        <f>IFERROR(__xludf.DUMMYFUNCTION("""COMPUTED_VALUE"""),45891.20833470376)</f>
        <v>45891.20833</v>
      </c>
      <c r="C1826" s="9">
        <f>IFERROR(__xludf.DUMMYFUNCTION("""COMPUTED_VALUE"""),7319.0)</f>
        <v>7319</v>
      </c>
      <c r="D1826" s="9" t="str">
        <f>IFERROR(__xludf.DUMMYFUNCTION("""COMPUTED_VALUE"""),"Completed")</f>
        <v>Completed</v>
      </c>
    </row>
    <row r="1827">
      <c r="A1827" s="9" t="str">
        <f>IFERROR(__xludf.DUMMYFUNCTION("""COMPUTED_VALUE"""),"G-REQ-01826")</f>
        <v>G-REQ-01826</v>
      </c>
      <c r="B1827" s="11">
        <f>IFERROR(__xludf.DUMMYFUNCTION("""COMPUTED_VALUE"""),45891.27256510473)</f>
        <v>45891.27257</v>
      </c>
      <c r="C1827" s="9">
        <f>IFERROR(__xludf.DUMMYFUNCTION("""COMPUTED_VALUE"""),7321.0)</f>
        <v>7321</v>
      </c>
      <c r="D1827" s="9" t="str">
        <f>IFERROR(__xludf.DUMMYFUNCTION("""COMPUTED_VALUE"""),"Rejected")</f>
        <v>Rejected</v>
      </c>
    </row>
    <row r="1828">
      <c r="A1828" s="9" t="str">
        <f>IFERROR(__xludf.DUMMYFUNCTION("""COMPUTED_VALUE"""),"G-REQ-01827")</f>
        <v>G-REQ-01827</v>
      </c>
      <c r="B1828" s="11">
        <f>IFERROR(__xludf.DUMMYFUNCTION("""COMPUTED_VALUE"""),45891.350684394594)</f>
        <v>45891.35068</v>
      </c>
      <c r="C1828" s="9">
        <f>IFERROR(__xludf.DUMMYFUNCTION("""COMPUTED_VALUE"""),7325.0)</f>
        <v>7325</v>
      </c>
      <c r="D1828" s="9" t="str">
        <f>IFERROR(__xludf.DUMMYFUNCTION("""COMPUTED_VALUE"""),"Completed")</f>
        <v>Completed</v>
      </c>
    </row>
    <row r="1829">
      <c r="A1829" s="9" t="str">
        <f>IFERROR(__xludf.DUMMYFUNCTION("""COMPUTED_VALUE"""),"G-REQ-01828")</f>
        <v>G-REQ-01828</v>
      </c>
      <c r="B1829" s="11">
        <f>IFERROR(__xludf.DUMMYFUNCTION("""COMPUTED_VALUE"""),45891.421859240014)</f>
        <v>45891.42186</v>
      </c>
      <c r="C1829" s="9">
        <f>IFERROR(__xludf.DUMMYFUNCTION("""COMPUTED_VALUE"""),7329.0)</f>
        <v>7329</v>
      </c>
      <c r="D1829" s="9" t="str">
        <f>IFERROR(__xludf.DUMMYFUNCTION("""COMPUTED_VALUE"""),"Completed")</f>
        <v>Completed</v>
      </c>
    </row>
    <row r="1830">
      <c r="A1830" s="9" t="str">
        <f>IFERROR(__xludf.DUMMYFUNCTION("""COMPUTED_VALUE"""),"G-REQ-01829")</f>
        <v>G-REQ-01829</v>
      </c>
      <c r="B1830" s="11">
        <f>IFERROR(__xludf.DUMMYFUNCTION("""COMPUTED_VALUE"""),45891.49303408542)</f>
        <v>45891.49303</v>
      </c>
      <c r="C1830" s="9">
        <f>IFERROR(__xludf.DUMMYFUNCTION("""COMPUTED_VALUE"""),7333.0)</f>
        <v>7333</v>
      </c>
      <c r="D1830" s="9" t="str">
        <f>IFERROR(__xludf.DUMMYFUNCTION("""COMPUTED_VALUE"""),"Completed")</f>
        <v>Completed</v>
      </c>
    </row>
    <row r="1831">
      <c r="A1831" s="9" t="str">
        <f>IFERROR(__xludf.DUMMYFUNCTION("""COMPUTED_VALUE"""),"G-REQ-01830")</f>
        <v>G-REQ-01830</v>
      </c>
      <c r="B1831" s="11">
        <f>IFERROR(__xludf.DUMMYFUNCTION("""COMPUTED_VALUE"""),45891.55726448639)</f>
        <v>45891.55726</v>
      </c>
      <c r="C1831" s="9">
        <f>IFERROR(__xludf.DUMMYFUNCTION("""COMPUTED_VALUE"""),7335.0)</f>
        <v>7335</v>
      </c>
      <c r="D1831" s="9" t="str">
        <f>IFERROR(__xludf.DUMMYFUNCTION("""COMPUTED_VALUE"""),"Rejected")</f>
        <v>Rejected</v>
      </c>
    </row>
    <row r="1832">
      <c r="A1832" s="9" t="str">
        <f>IFERROR(__xludf.DUMMYFUNCTION("""COMPUTED_VALUE"""),"G-REQ-01831")</f>
        <v>G-REQ-01831</v>
      </c>
      <c r="B1832" s="11">
        <f>IFERROR(__xludf.DUMMYFUNCTION("""COMPUTED_VALUE"""),45891.63538377625)</f>
        <v>45891.63538</v>
      </c>
      <c r="C1832" s="9">
        <f>IFERROR(__xludf.DUMMYFUNCTION("""COMPUTED_VALUE"""),7339.0)</f>
        <v>7339</v>
      </c>
      <c r="D1832" s="9" t="str">
        <f>IFERROR(__xludf.DUMMYFUNCTION("""COMPUTED_VALUE"""),"Completed")</f>
        <v>Completed</v>
      </c>
    </row>
    <row r="1833">
      <c r="A1833" s="9" t="str">
        <f>IFERROR(__xludf.DUMMYFUNCTION("""COMPUTED_VALUE"""),"G-REQ-01832")</f>
        <v>G-REQ-01832</v>
      </c>
      <c r="B1833" s="11">
        <f>IFERROR(__xludf.DUMMYFUNCTION("""COMPUTED_VALUE"""),45891.699614177225)</f>
        <v>45891.69961</v>
      </c>
      <c r="C1833" s="9">
        <f>IFERROR(__xludf.DUMMYFUNCTION("""COMPUTED_VALUE"""),7341.0)</f>
        <v>7341</v>
      </c>
      <c r="D1833" s="9" t="str">
        <f>IFERROR(__xludf.DUMMYFUNCTION("""COMPUTED_VALUE"""),"Rejected")</f>
        <v>Rejected</v>
      </c>
    </row>
    <row r="1834">
      <c r="A1834" s="9" t="str">
        <f>IFERROR(__xludf.DUMMYFUNCTION("""COMPUTED_VALUE"""),"G-REQ-01833")</f>
        <v>G-REQ-01833</v>
      </c>
      <c r="B1834" s="11">
        <f>IFERROR(__xludf.DUMMYFUNCTION("""COMPUTED_VALUE"""),45891.77078902264)</f>
        <v>45891.77079</v>
      </c>
      <c r="C1834" s="9">
        <f>IFERROR(__xludf.DUMMYFUNCTION("""COMPUTED_VALUE"""),7343.0)</f>
        <v>7343</v>
      </c>
      <c r="D1834" s="9" t="str">
        <f>IFERROR(__xludf.DUMMYFUNCTION("""COMPUTED_VALUE"""),"Rejected")</f>
        <v>Rejected</v>
      </c>
    </row>
    <row r="1835">
      <c r="A1835" s="9" t="str">
        <f>IFERROR(__xludf.DUMMYFUNCTION("""COMPUTED_VALUE"""),"G-REQ-01834")</f>
        <v>G-REQ-01834</v>
      </c>
      <c r="B1835" s="11">
        <f>IFERROR(__xludf.DUMMYFUNCTION("""COMPUTED_VALUE"""),45891.8489083125)</f>
        <v>45891.84891</v>
      </c>
      <c r="C1835" s="9">
        <f>IFERROR(__xludf.DUMMYFUNCTION("""COMPUTED_VALUE"""),7347.0)</f>
        <v>7347</v>
      </c>
      <c r="D1835" s="9" t="str">
        <f>IFERROR(__xludf.DUMMYFUNCTION("""COMPUTED_VALUE"""),"Completed")</f>
        <v>Completed</v>
      </c>
    </row>
    <row r="1836">
      <c r="A1836" s="9" t="str">
        <f>IFERROR(__xludf.DUMMYFUNCTION("""COMPUTED_VALUE"""),"G-REQ-01835")</f>
        <v>G-REQ-01835</v>
      </c>
      <c r="B1836" s="11">
        <f>IFERROR(__xludf.DUMMYFUNCTION("""COMPUTED_VALUE"""),45891.92008315791)</f>
        <v>45891.92008</v>
      </c>
      <c r="C1836" s="9">
        <f>IFERROR(__xludf.DUMMYFUNCTION("""COMPUTED_VALUE"""),7351.0)</f>
        <v>7351</v>
      </c>
      <c r="D1836" s="9" t="str">
        <f>IFERROR(__xludf.DUMMYFUNCTION("""COMPUTED_VALUE"""),"Completed")</f>
        <v>Completed</v>
      </c>
    </row>
    <row r="1837">
      <c r="A1837" s="9" t="str">
        <f>IFERROR(__xludf.DUMMYFUNCTION("""COMPUTED_VALUE"""),"G-REQ-01836")</f>
        <v>G-REQ-01836</v>
      </c>
      <c r="B1837" s="11">
        <f>IFERROR(__xludf.DUMMYFUNCTION("""COMPUTED_VALUE"""),45891.99125800333)</f>
        <v>45891.99126</v>
      </c>
      <c r="C1837" s="9">
        <f>IFERROR(__xludf.DUMMYFUNCTION("""COMPUTED_VALUE"""),7355.0)</f>
        <v>7355</v>
      </c>
      <c r="D1837" s="9" t="str">
        <f>IFERROR(__xludf.DUMMYFUNCTION("""COMPUTED_VALUE"""),"Completed")</f>
        <v>Completed</v>
      </c>
    </row>
    <row r="1838">
      <c r="A1838" s="9" t="str">
        <f>IFERROR(__xludf.DUMMYFUNCTION("""COMPUTED_VALUE"""),"G-REQ-01837")</f>
        <v>G-REQ-01837</v>
      </c>
      <c r="B1838" s="11">
        <f>IFERROR(__xludf.DUMMYFUNCTION("""COMPUTED_VALUE"""),45892.06243284875)</f>
        <v>45892.06243</v>
      </c>
      <c r="C1838" s="9">
        <f>IFERROR(__xludf.DUMMYFUNCTION("""COMPUTED_VALUE"""),7359.0)</f>
        <v>7359</v>
      </c>
      <c r="D1838" s="9" t="str">
        <f>IFERROR(__xludf.DUMMYFUNCTION("""COMPUTED_VALUE"""),"Completed")</f>
        <v>Completed</v>
      </c>
    </row>
    <row r="1839">
      <c r="A1839" s="9" t="str">
        <f>IFERROR(__xludf.DUMMYFUNCTION("""COMPUTED_VALUE"""),"G-REQ-01838")</f>
        <v>G-REQ-01838</v>
      </c>
      <c r="B1839" s="11">
        <f>IFERROR(__xludf.DUMMYFUNCTION("""COMPUTED_VALUE"""),45892.13360769416)</f>
        <v>45892.13361</v>
      </c>
      <c r="C1839" s="9">
        <f>IFERROR(__xludf.DUMMYFUNCTION("""COMPUTED_VALUE"""),7363.0)</f>
        <v>7363</v>
      </c>
      <c r="D1839" s="9" t="str">
        <f>IFERROR(__xludf.DUMMYFUNCTION("""COMPUTED_VALUE"""),"Completed")</f>
        <v>Completed</v>
      </c>
    </row>
    <row r="1840">
      <c r="A1840" s="9" t="str">
        <f>IFERROR(__xludf.DUMMYFUNCTION("""COMPUTED_VALUE"""),"G-REQ-01839")</f>
        <v>G-REQ-01839</v>
      </c>
      <c r="B1840" s="11">
        <f>IFERROR(__xludf.DUMMYFUNCTION("""COMPUTED_VALUE"""),45892.20478253957)</f>
        <v>45892.20478</v>
      </c>
      <c r="C1840" s="9">
        <f>IFERROR(__xludf.DUMMYFUNCTION("""COMPUTED_VALUE"""),7367.0)</f>
        <v>7367</v>
      </c>
      <c r="D1840" s="9" t="str">
        <f>IFERROR(__xludf.DUMMYFUNCTION("""COMPUTED_VALUE"""),"Completed")</f>
        <v>Completed</v>
      </c>
    </row>
    <row r="1841">
      <c r="A1841" s="9" t="str">
        <f>IFERROR(__xludf.DUMMYFUNCTION("""COMPUTED_VALUE"""),"G-REQ-01840")</f>
        <v>G-REQ-01840</v>
      </c>
      <c r="B1841" s="11">
        <f>IFERROR(__xludf.DUMMYFUNCTION("""COMPUTED_VALUE"""),45892.27595738499)</f>
        <v>45892.27596</v>
      </c>
      <c r="C1841" s="9">
        <f>IFERROR(__xludf.DUMMYFUNCTION("""COMPUTED_VALUE"""),7371.0)</f>
        <v>7371</v>
      </c>
      <c r="D1841" s="9" t="str">
        <f>IFERROR(__xludf.DUMMYFUNCTION("""COMPUTED_VALUE"""),"Completed")</f>
        <v>Completed</v>
      </c>
    </row>
    <row r="1842">
      <c r="A1842" s="9" t="str">
        <f>IFERROR(__xludf.DUMMYFUNCTION("""COMPUTED_VALUE"""),"G-REQ-01841")</f>
        <v>G-REQ-01841</v>
      </c>
      <c r="B1842" s="11">
        <f>IFERROR(__xludf.DUMMYFUNCTION("""COMPUTED_VALUE"""),45892.3471322304)</f>
        <v>45892.34713</v>
      </c>
      <c r="C1842" s="9">
        <f>IFERROR(__xludf.DUMMYFUNCTION("""COMPUTED_VALUE"""),7375.0)</f>
        <v>7375</v>
      </c>
      <c r="D1842" s="9" t="str">
        <f>IFERROR(__xludf.DUMMYFUNCTION("""COMPUTED_VALUE"""),"Completed")</f>
        <v>Completed</v>
      </c>
    </row>
    <row r="1843">
      <c r="A1843" s="9" t="str">
        <f>IFERROR(__xludf.DUMMYFUNCTION("""COMPUTED_VALUE"""),"G-REQ-01842")</f>
        <v>G-REQ-01842</v>
      </c>
      <c r="B1843" s="11">
        <f>IFERROR(__xludf.DUMMYFUNCTION("""COMPUTED_VALUE"""),45892.418307075815)</f>
        <v>45892.41831</v>
      </c>
      <c r="C1843" s="9">
        <f>IFERROR(__xludf.DUMMYFUNCTION("""COMPUTED_VALUE"""),7379.0)</f>
        <v>7379</v>
      </c>
      <c r="D1843" s="9" t="str">
        <f>IFERROR(__xludf.DUMMYFUNCTION("""COMPUTED_VALUE"""),"Completed")</f>
        <v>Completed</v>
      </c>
    </row>
    <row r="1844">
      <c r="A1844" s="9" t="str">
        <f>IFERROR(__xludf.DUMMYFUNCTION("""COMPUTED_VALUE"""),"G-REQ-01843")</f>
        <v>G-REQ-01843</v>
      </c>
      <c r="B1844" s="11">
        <f>IFERROR(__xludf.DUMMYFUNCTION("""COMPUTED_VALUE"""),45892.489481921235)</f>
        <v>45892.48948</v>
      </c>
      <c r="C1844" s="9">
        <f>IFERROR(__xludf.DUMMYFUNCTION("""COMPUTED_VALUE"""),7383.0)</f>
        <v>7383</v>
      </c>
      <c r="D1844" s="9" t="str">
        <f>IFERROR(__xludf.DUMMYFUNCTION("""COMPUTED_VALUE"""),"Completed")</f>
        <v>Completed</v>
      </c>
    </row>
    <row r="1845">
      <c r="A1845" s="9" t="str">
        <f>IFERROR(__xludf.DUMMYFUNCTION("""COMPUTED_VALUE"""),"G-REQ-01844")</f>
        <v>G-REQ-01844</v>
      </c>
      <c r="B1845" s="11">
        <f>IFERROR(__xludf.DUMMYFUNCTION("""COMPUTED_VALUE"""),45892.560656766655)</f>
        <v>45892.56066</v>
      </c>
      <c r="C1845" s="9">
        <f>IFERROR(__xludf.DUMMYFUNCTION("""COMPUTED_VALUE"""),7387.0)</f>
        <v>7387</v>
      </c>
      <c r="D1845" s="9" t="str">
        <f>IFERROR(__xludf.DUMMYFUNCTION("""COMPUTED_VALUE"""),"Completed")</f>
        <v>Completed</v>
      </c>
    </row>
    <row r="1846">
      <c r="A1846" s="9" t="str">
        <f>IFERROR(__xludf.DUMMYFUNCTION("""COMPUTED_VALUE"""),"G-REQ-01845")</f>
        <v>G-REQ-01845</v>
      </c>
      <c r="B1846" s="11">
        <f>IFERROR(__xludf.DUMMYFUNCTION("""COMPUTED_VALUE"""),45892.63183161206)</f>
        <v>45892.63183</v>
      </c>
      <c r="C1846" s="9">
        <f>IFERROR(__xludf.DUMMYFUNCTION("""COMPUTED_VALUE"""),7391.0)</f>
        <v>7391</v>
      </c>
      <c r="D1846" s="9" t="str">
        <f>IFERROR(__xludf.DUMMYFUNCTION("""COMPUTED_VALUE"""),"Completed")</f>
        <v>Completed</v>
      </c>
    </row>
    <row r="1847">
      <c r="A1847" s="9" t="str">
        <f>IFERROR(__xludf.DUMMYFUNCTION("""COMPUTED_VALUE"""),"G-REQ-01846")</f>
        <v>G-REQ-01846</v>
      </c>
      <c r="B1847" s="11">
        <f>IFERROR(__xludf.DUMMYFUNCTION("""COMPUTED_VALUE"""),45892.70300645748)</f>
        <v>45892.70301</v>
      </c>
      <c r="C1847" s="9">
        <f>IFERROR(__xludf.DUMMYFUNCTION("""COMPUTED_VALUE"""),7395.0)</f>
        <v>7395</v>
      </c>
      <c r="D1847" s="9" t="str">
        <f>IFERROR(__xludf.DUMMYFUNCTION("""COMPUTED_VALUE"""),"Completed")</f>
        <v>Completed</v>
      </c>
    </row>
    <row r="1848">
      <c r="A1848" s="9" t="str">
        <f>IFERROR(__xludf.DUMMYFUNCTION("""COMPUTED_VALUE"""),"G-REQ-01847")</f>
        <v>G-REQ-01847</v>
      </c>
      <c r="B1848" s="11">
        <f>IFERROR(__xludf.DUMMYFUNCTION("""COMPUTED_VALUE"""),45892.7741813029)</f>
        <v>45892.77418</v>
      </c>
      <c r="C1848" s="9">
        <f>IFERROR(__xludf.DUMMYFUNCTION("""COMPUTED_VALUE"""),7399.0)</f>
        <v>7399</v>
      </c>
      <c r="D1848" s="9" t="str">
        <f>IFERROR(__xludf.DUMMYFUNCTION("""COMPUTED_VALUE"""),"Completed")</f>
        <v>Completed</v>
      </c>
    </row>
    <row r="1849">
      <c r="A1849" s="9" t="str">
        <f>IFERROR(__xludf.DUMMYFUNCTION("""COMPUTED_VALUE"""),"G-REQ-01848")</f>
        <v>G-REQ-01848</v>
      </c>
      <c r="B1849" s="11">
        <f>IFERROR(__xludf.DUMMYFUNCTION("""COMPUTED_VALUE"""),45892.84535614831)</f>
        <v>45892.84536</v>
      </c>
      <c r="C1849" s="9">
        <f>IFERROR(__xludf.DUMMYFUNCTION("""COMPUTED_VALUE"""),7403.0)</f>
        <v>7403</v>
      </c>
      <c r="D1849" s="9" t="str">
        <f>IFERROR(__xludf.DUMMYFUNCTION("""COMPUTED_VALUE"""),"Completed")</f>
        <v>Completed</v>
      </c>
    </row>
    <row r="1850">
      <c r="A1850" s="9" t="str">
        <f>IFERROR(__xludf.DUMMYFUNCTION("""COMPUTED_VALUE"""),"G-REQ-01849")</f>
        <v>G-REQ-01849</v>
      </c>
      <c r="B1850" s="11">
        <f>IFERROR(__xludf.DUMMYFUNCTION("""COMPUTED_VALUE"""),45892.91653099372)</f>
        <v>45892.91653</v>
      </c>
      <c r="C1850" s="9">
        <f>IFERROR(__xludf.DUMMYFUNCTION("""COMPUTED_VALUE"""),7407.0)</f>
        <v>7407</v>
      </c>
      <c r="D1850" s="9" t="str">
        <f>IFERROR(__xludf.DUMMYFUNCTION("""COMPUTED_VALUE"""),"Completed")</f>
        <v>Completed</v>
      </c>
    </row>
    <row r="1851">
      <c r="A1851" s="9" t="str">
        <f>IFERROR(__xludf.DUMMYFUNCTION("""COMPUTED_VALUE"""),"G-REQ-01850")</f>
        <v>G-REQ-01850</v>
      </c>
      <c r="B1851" s="11">
        <f>IFERROR(__xludf.DUMMYFUNCTION("""COMPUTED_VALUE"""),45892.98770583914)</f>
        <v>45892.98771</v>
      </c>
      <c r="C1851" s="9">
        <f>IFERROR(__xludf.DUMMYFUNCTION("""COMPUTED_VALUE"""),7411.0)</f>
        <v>7411</v>
      </c>
      <c r="D1851" s="9" t="str">
        <f>IFERROR(__xludf.DUMMYFUNCTION("""COMPUTED_VALUE"""),"Completed")</f>
        <v>Completed</v>
      </c>
    </row>
    <row r="1852">
      <c r="A1852" s="9" t="str">
        <f>IFERROR(__xludf.DUMMYFUNCTION("""COMPUTED_VALUE"""),"G-REQ-01851")</f>
        <v>G-REQ-01851</v>
      </c>
      <c r="B1852" s="11">
        <f>IFERROR(__xludf.DUMMYFUNCTION("""COMPUTED_VALUE"""),45893.058880684555)</f>
        <v>45893.05888</v>
      </c>
      <c r="C1852" s="9">
        <f>IFERROR(__xludf.DUMMYFUNCTION("""COMPUTED_VALUE"""),7415.0)</f>
        <v>7415</v>
      </c>
      <c r="D1852" s="9" t="str">
        <f>IFERROR(__xludf.DUMMYFUNCTION("""COMPUTED_VALUE"""),"Completed")</f>
        <v>Completed</v>
      </c>
    </row>
    <row r="1853">
      <c r="A1853" s="9" t="str">
        <f>IFERROR(__xludf.DUMMYFUNCTION("""COMPUTED_VALUE"""),"G-REQ-01852")</f>
        <v>G-REQ-01852</v>
      </c>
      <c r="B1853" s="11">
        <f>IFERROR(__xludf.DUMMYFUNCTION("""COMPUTED_VALUE"""),45893.13005552997)</f>
        <v>45893.13006</v>
      </c>
      <c r="C1853" s="9">
        <f>IFERROR(__xludf.DUMMYFUNCTION("""COMPUTED_VALUE"""),7419.0)</f>
        <v>7419</v>
      </c>
      <c r="D1853" s="9" t="str">
        <f>IFERROR(__xludf.DUMMYFUNCTION("""COMPUTED_VALUE"""),"Completed")</f>
        <v>Completed</v>
      </c>
    </row>
    <row r="1854">
      <c r="A1854" s="9" t="str">
        <f>IFERROR(__xludf.DUMMYFUNCTION("""COMPUTED_VALUE"""),"G-REQ-01853")</f>
        <v>G-REQ-01853</v>
      </c>
      <c r="B1854" s="11">
        <f>IFERROR(__xludf.DUMMYFUNCTION("""COMPUTED_VALUE"""),45893.20123037539)</f>
        <v>45893.20123</v>
      </c>
      <c r="C1854" s="9">
        <f>IFERROR(__xludf.DUMMYFUNCTION("""COMPUTED_VALUE"""),7423.0)</f>
        <v>7423</v>
      </c>
      <c r="D1854" s="9" t="str">
        <f>IFERROR(__xludf.DUMMYFUNCTION("""COMPUTED_VALUE"""),"Completed")</f>
        <v>Completed</v>
      </c>
    </row>
    <row r="1855">
      <c r="A1855" s="9" t="str">
        <f>IFERROR(__xludf.DUMMYFUNCTION("""COMPUTED_VALUE"""),"G-REQ-01854")</f>
        <v>G-REQ-01854</v>
      </c>
      <c r="B1855" s="11">
        <f>IFERROR(__xludf.DUMMYFUNCTION("""COMPUTED_VALUE"""),45893.265460776354)</f>
        <v>45893.26546</v>
      </c>
      <c r="C1855" s="9">
        <f>IFERROR(__xludf.DUMMYFUNCTION("""COMPUTED_VALUE"""),7425.0)</f>
        <v>7425</v>
      </c>
      <c r="D1855" s="9" t="str">
        <f>IFERROR(__xludf.DUMMYFUNCTION("""COMPUTED_VALUE"""),"Rejected")</f>
        <v>Rejected</v>
      </c>
    </row>
    <row r="1856">
      <c r="A1856" s="9" t="str">
        <f>IFERROR(__xludf.DUMMYFUNCTION("""COMPUTED_VALUE"""),"G-REQ-01855")</f>
        <v>G-REQ-01855</v>
      </c>
      <c r="B1856" s="11">
        <f>IFERROR(__xludf.DUMMYFUNCTION("""COMPUTED_VALUE"""),45893.34358006621)</f>
        <v>45893.34358</v>
      </c>
      <c r="C1856" s="9">
        <f>IFERROR(__xludf.DUMMYFUNCTION("""COMPUTED_VALUE"""),7429.0)</f>
        <v>7429</v>
      </c>
      <c r="D1856" s="9" t="str">
        <f>IFERROR(__xludf.DUMMYFUNCTION("""COMPUTED_VALUE"""),"Completed")</f>
        <v>Completed</v>
      </c>
    </row>
    <row r="1857">
      <c r="A1857" s="9" t="str">
        <f>IFERROR(__xludf.DUMMYFUNCTION("""COMPUTED_VALUE"""),"G-REQ-01856")</f>
        <v>G-REQ-01856</v>
      </c>
      <c r="B1857" s="11">
        <f>IFERROR(__xludf.DUMMYFUNCTION("""COMPUTED_VALUE"""),45893.41475491163)</f>
        <v>45893.41475</v>
      </c>
      <c r="C1857" s="9">
        <f>IFERROR(__xludf.DUMMYFUNCTION("""COMPUTED_VALUE"""),7433.0)</f>
        <v>7433</v>
      </c>
      <c r="D1857" s="9" t="str">
        <f>IFERROR(__xludf.DUMMYFUNCTION("""COMPUTED_VALUE"""),"Completed")</f>
        <v>Completed</v>
      </c>
    </row>
    <row r="1858">
      <c r="A1858" s="9" t="str">
        <f>IFERROR(__xludf.DUMMYFUNCTION("""COMPUTED_VALUE"""),"G-REQ-01857")</f>
        <v>G-REQ-01857</v>
      </c>
      <c r="B1858" s="11">
        <f>IFERROR(__xludf.DUMMYFUNCTION("""COMPUTED_VALUE"""),45893.485929757044)</f>
        <v>45893.48593</v>
      </c>
      <c r="C1858" s="9">
        <f>IFERROR(__xludf.DUMMYFUNCTION("""COMPUTED_VALUE"""),7437.0)</f>
        <v>7437</v>
      </c>
      <c r="D1858" s="9" t="str">
        <f>IFERROR(__xludf.DUMMYFUNCTION("""COMPUTED_VALUE"""),"Completed")</f>
        <v>Completed</v>
      </c>
    </row>
    <row r="1859">
      <c r="A1859" s="9" t="str">
        <f>IFERROR(__xludf.DUMMYFUNCTION("""COMPUTED_VALUE"""),"G-REQ-01858")</f>
        <v>G-REQ-01858</v>
      </c>
      <c r="B1859" s="11">
        <f>IFERROR(__xludf.DUMMYFUNCTION("""COMPUTED_VALUE"""),45893.557104602456)</f>
        <v>45893.5571</v>
      </c>
      <c r="C1859" s="9">
        <f>IFERROR(__xludf.DUMMYFUNCTION("""COMPUTED_VALUE"""),7441.0)</f>
        <v>7441</v>
      </c>
      <c r="D1859" s="9" t="str">
        <f>IFERROR(__xludf.DUMMYFUNCTION("""COMPUTED_VALUE"""),"Completed")</f>
        <v>Completed</v>
      </c>
    </row>
    <row r="1860">
      <c r="A1860" s="9" t="str">
        <f>IFERROR(__xludf.DUMMYFUNCTION("""COMPUTED_VALUE"""),"G-REQ-01859")</f>
        <v>G-REQ-01859</v>
      </c>
      <c r="B1860" s="11">
        <f>IFERROR(__xludf.DUMMYFUNCTION("""COMPUTED_VALUE"""),45893.62133500343)</f>
        <v>45893.62134</v>
      </c>
      <c r="C1860" s="9">
        <f>IFERROR(__xludf.DUMMYFUNCTION("""COMPUTED_VALUE"""),7443.0)</f>
        <v>7443</v>
      </c>
      <c r="D1860" s="9" t="str">
        <f>IFERROR(__xludf.DUMMYFUNCTION("""COMPUTED_VALUE"""),"Rejected")</f>
        <v>Rejected</v>
      </c>
    </row>
    <row r="1861">
      <c r="A1861" s="9" t="str">
        <f>IFERROR(__xludf.DUMMYFUNCTION("""COMPUTED_VALUE"""),"G-REQ-01860")</f>
        <v>G-REQ-01860</v>
      </c>
      <c r="B1861" s="11">
        <f>IFERROR(__xludf.DUMMYFUNCTION("""COMPUTED_VALUE"""),45893.699454293295)</f>
        <v>45893.69945</v>
      </c>
      <c r="C1861" s="9">
        <f>IFERROR(__xludf.DUMMYFUNCTION("""COMPUTED_VALUE"""),7447.0)</f>
        <v>7447</v>
      </c>
      <c r="D1861" s="9" t="str">
        <f>IFERROR(__xludf.DUMMYFUNCTION("""COMPUTED_VALUE"""),"Completed")</f>
        <v>Completed</v>
      </c>
    </row>
    <row r="1862">
      <c r="A1862" s="9" t="str">
        <f>IFERROR(__xludf.DUMMYFUNCTION("""COMPUTED_VALUE"""),"G-REQ-01861")</f>
        <v>G-REQ-01861</v>
      </c>
      <c r="B1862" s="11">
        <f>IFERROR(__xludf.DUMMYFUNCTION("""COMPUTED_VALUE"""),45893.7706291387)</f>
        <v>45893.77063</v>
      </c>
      <c r="C1862" s="9">
        <f>IFERROR(__xludf.DUMMYFUNCTION("""COMPUTED_VALUE"""),7451.0)</f>
        <v>7451</v>
      </c>
      <c r="D1862" s="9" t="str">
        <f>IFERROR(__xludf.DUMMYFUNCTION("""COMPUTED_VALUE"""),"Completed")</f>
        <v>Completed</v>
      </c>
    </row>
    <row r="1863">
      <c r="A1863" s="9" t="str">
        <f>IFERROR(__xludf.DUMMYFUNCTION("""COMPUTED_VALUE"""),"G-REQ-01862")</f>
        <v>G-REQ-01862</v>
      </c>
      <c r="B1863" s="11">
        <f>IFERROR(__xludf.DUMMYFUNCTION("""COMPUTED_VALUE"""),45893.84180398412)</f>
        <v>45893.8418</v>
      </c>
      <c r="C1863" s="9">
        <f>IFERROR(__xludf.DUMMYFUNCTION("""COMPUTED_VALUE"""),7455.0)</f>
        <v>7455</v>
      </c>
      <c r="D1863" s="9" t="str">
        <f>IFERROR(__xludf.DUMMYFUNCTION("""COMPUTED_VALUE"""),"Completed")</f>
        <v>Completed</v>
      </c>
    </row>
    <row r="1864">
      <c r="A1864" s="9" t="str">
        <f>IFERROR(__xludf.DUMMYFUNCTION("""COMPUTED_VALUE"""),"G-REQ-01863")</f>
        <v>G-REQ-01863</v>
      </c>
      <c r="B1864" s="11">
        <f>IFERROR(__xludf.DUMMYFUNCTION("""COMPUTED_VALUE"""),45893.91297882954)</f>
        <v>45893.91298</v>
      </c>
      <c r="C1864" s="9">
        <f>IFERROR(__xludf.DUMMYFUNCTION("""COMPUTED_VALUE"""),7459.0)</f>
        <v>7459</v>
      </c>
      <c r="D1864" s="9" t="str">
        <f>IFERROR(__xludf.DUMMYFUNCTION("""COMPUTED_VALUE"""),"Completed")</f>
        <v>Completed</v>
      </c>
    </row>
    <row r="1865">
      <c r="A1865" s="9" t="str">
        <f>IFERROR(__xludf.DUMMYFUNCTION("""COMPUTED_VALUE"""),"G-REQ-01864")</f>
        <v>G-REQ-01864</v>
      </c>
      <c r="B1865" s="11">
        <f>IFERROR(__xludf.DUMMYFUNCTION("""COMPUTED_VALUE"""),45893.98415367495)</f>
        <v>45893.98415</v>
      </c>
      <c r="C1865" s="9">
        <f>IFERROR(__xludf.DUMMYFUNCTION("""COMPUTED_VALUE"""),7463.0)</f>
        <v>7463</v>
      </c>
      <c r="D1865" s="9" t="str">
        <f>IFERROR(__xludf.DUMMYFUNCTION("""COMPUTED_VALUE"""),"Completed")</f>
        <v>Completed</v>
      </c>
    </row>
    <row r="1866">
      <c r="A1866" s="9" t="str">
        <f>IFERROR(__xludf.DUMMYFUNCTION("""COMPUTED_VALUE"""),"G-REQ-01865")</f>
        <v>G-REQ-01865</v>
      </c>
      <c r="B1866" s="11">
        <f>IFERROR(__xludf.DUMMYFUNCTION("""COMPUTED_VALUE"""),45894.055328520364)</f>
        <v>45894.05533</v>
      </c>
      <c r="C1866" s="9">
        <f>IFERROR(__xludf.DUMMYFUNCTION("""COMPUTED_VALUE"""),7467.0)</f>
        <v>7467</v>
      </c>
      <c r="D1866" s="9" t="str">
        <f>IFERROR(__xludf.DUMMYFUNCTION("""COMPUTED_VALUE"""),"Completed")</f>
        <v>Completed</v>
      </c>
    </row>
    <row r="1867">
      <c r="A1867" s="9" t="str">
        <f>IFERROR(__xludf.DUMMYFUNCTION("""COMPUTED_VALUE"""),"G-REQ-01866")</f>
        <v>G-REQ-01866</v>
      </c>
      <c r="B1867" s="11">
        <f>IFERROR(__xludf.DUMMYFUNCTION("""COMPUTED_VALUE"""),45894.126503365784)</f>
        <v>45894.1265</v>
      </c>
      <c r="C1867" s="9">
        <f>IFERROR(__xludf.DUMMYFUNCTION("""COMPUTED_VALUE"""),7471.0)</f>
        <v>7471</v>
      </c>
      <c r="D1867" s="9" t="str">
        <f>IFERROR(__xludf.DUMMYFUNCTION("""COMPUTED_VALUE"""),"Completed")</f>
        <v>Completed</v>
      </c>
    </row>
    <row r="1868">
      <c r="A1868" s="9" t="str">
        <f>IFERROR(__xludf.DUMMYFUNCTION("""COMPUTED_VALUE"""),"G-REQ-01867")</f>
        <v>G-REQ-01867</v>
      </c>
      <c r="B1868" s="11">
        <f>IFERROR(__xludf.DUMMYFUNCTION("""COMPUTED_VALUE"""),45894.197678211196)</f>
        <v>45894.19768</v>
      </c>
      <c r="C1868" s="9">
        <f>IFERROR(__xludf.DUMMYFUNCTION("""COMPUTED_VALUE"""),7475.0)</f>
        <v>7475</v>
      </c>
      <c r="D1868" s="9" t="str">
        <f>IFERROR(__xludf.DUMMYFUNCTION("""COMPUTED_VALUE"""),"Completed")</f>
        <v>Completed</v>
      </c>
    </row>
    <row r="1869">
      <c r="A1869" s="9" t="str">
        <f>IFERROR(__xludf.DUMMYFUNCTION("""COMPUTED_VALUE"""),"G-REQ-01868")</f>
        <v>G-REQ-01868</v>
      </c>
      <c r="B1869" s="11">
        <f>IFERROR(__xludf.DUMMYFUNCTION("""COMPUTED_VALUE"""),45894.26885305661)</f>
        <v>45894.26885</v>
      </c>
      <c r="C1869" s="9">
        <f>IFERROR(__xludf.DUMMYFUNCTION("""COMPUTED_VALUE"""),7479.0)</f>
        <v>7479</v>
      </c>
      <c r="D1869" s="9" t="str">
        <f>IFERROR(__xludf.DUMMYFUNCTION("""COMPUTED_VALUE"""),"Completed")</f>
        <v>Completed</v>
      </c>
    </row>
    <row r="1870">
      <c r="A1870" s="9" t="str">
        <f>IFERROR(__xludf.DUMMYFUNCTION("""COMPUTED_VALUE"""),"G-REQ-01869")</f>
        <v>G-REQ-01869</v>
      </c>
      <c r="B1870" s="11">
        <f>IFERROR(__xludf.DUMMYFUNCTION("""COMPUTED_VALUE"""),45894.34002790203)</f>
        <v>45894.34003</v>
      </c>
      <c r="C1870" s="9">
        <f>IFERROR(__xludf.DUMMYFUNCTION("""COMPUTED_VALUE"""),7483.0)</f>
        <v>7483</v>
      </c>
      <c r="D1870" s="9" t="str">
        <f>IFERROR(__xludf.DUMMYFUNCTION("""COMPUTED_VALUE"""),"Completed")</f>
        <v>Completed</v>
      </c>
    </row>
    <row r="1871">
      <c r="A1871" s="9" t="str">
        <f>IFERROR(__xludf.DUMMYFUNCTION("""COMPUTED_VALUE"""),"G-REQ-01870")</f>
        <v>G-REQ-01870</v>
      </c>
      <c r="B1871" s="11">
        <f>IFERROR(__xludf.DUMMYFUNCTION("""COMPUTED_VALUE"""),45894.41120274744)</f>
        <v>45894.4112</v>
      </c>
      <c r="C1871" s="9">
        <f>IFERROR(__xludf.DUMMYFUNCTION("""COMPUTED_VALUE"""),7487.0)</f>
        <v>7487</v>
      </c>
      <c r="D1871" s="9" t="str">
        <f>IFERROR(__xludf.DUMMYFUNCTION("""COMPUTED_VALUE"""),"Completed")</f>
        <v>Completed</v>
      </c>
    </row>
    <row r="1872">
      <c r="A1872" s="9" t="str">
        <f>IFERROR(__xludf.DUMMYFUNCTION("""COMPUTED_VALUE"""),"G-REQ-01871")</f>
        <v>G-REQ-01871</v>
      </c>
      <c r="B1872" s="11">
        <f>IFERROR(__xludf.DUMMYFUNCTION("""COMPUTED_VALUE"""),45894.48237759285)</f>
        <v>45894.48238</v>
      </c>
      <c r="C1872" s="9">
        <f>IFERROR(__xludf.DUMMYFUNCTION("""COMPUTED_VALUE"""),7491.0)</f>
        <v>7491</v>
      </c>
      <c r="D1872" s="9" t="str">
        <f>IFERROR(__xludf.DUMMYFUNCTION("""COMPUTED_VALUE"""),"Completed")</f>
        <v>Completed</v>
      </c>
    </row>
    <row r="1873">
      <c r="A1873" s="9" t="str">
        <f>IFERROR(__xludf.DUMMYFUNCTION("""COMPUTED_VALUE"""),"G-REQ-01872")</f>
        <v>G-REQ-01872</v>
      </c>
      <c r="B1873" s="11">
        <f>IFERROR(__xludf.DUMMYFUNCTION("""COMPUTED_VALUE"""),45894.55355243827)</f>
        <v>45894.55355</v>
      </c>
      <c r="C1873" s="9">
        <f>IFERROR(__xludf.DUMMYFUNCTION("""COMPUTED_VALUE"""),7495.0)</f>
        <v>7495</v>
      </c>
      <c r="D1873" s="9" t="str">
        <f>IFERROR(__xludf.DUMMYFUNCTION("""COMPUTED_VALUE"""),"Completed")</f>
        <v>Completed</v>
      </c>
    </row>
    <row r="1874">
      <c r="A1874" s="9" t="str">
        <f>IFERROR(__xludf.DUMMYFUNCTION("""COMPUTED_VALUE"""),"G-REQ-01873")</f>
        <v>G-REQ-01873</v>
      </c>
      <c r="B1874" s="11">
        <f>IFERROR(__xludf.DUMMYFUNCTION("""COMPUTED_VALUE"""),45894.624727283684)</f>
        <v>45894.62473</v>
      </c>
      <c r="C1874" s="9">
        <f>IFERROR(__xludf.DUMMYFUNCTION("""COMPUTED_VALUE"""),7499.0)</f>
        <v>7499</v>
      </c>
      <c r="D1874" s="9" t="str">
        <f>IFERROR(__xludf.DUMMYFUNCTION("""COMPUTED_VALUE"""),"Completed")</f>
        <v>Completed</v>
      </c>
    </row>
    <row r="1875">
      <c r="A1875" s="9" t="str">
        <f>IFERROR(__xludf.DUMMYFUNCTION("""COMPUTED_VALUE"""),"G-REQ-01874")</f>
        <v>G-REQ-01874</v>
      </c>
      <c r="B1875" s="11">
        <f>IFERROR(__xludf.DUMMYFUNCTION("""COMPUTED_VALUE"""),45894.6959021291)</f>
        <v>45894.6959</v>
      </c>
      <c r="C1875" s="9">
        <f>IFERROR(__xludf.DUMMYFUNCTION("""COMPUTED_VALUE"""),7503.0)</f>
        <v>7503</v>
      </c>
      <c r="D1875" s="9" t="str">
        <f>IFERROR(__xludf.DUMMYFUNCTION("""COMPUTED_VALUE"""),"Completed")</f>
        <v>Completed</v>
      </c>
    </row>
    <row r="1876">
      <c r="A1876" s="9" t="str">
        <f>IFERROR(__xludf.DUMMYFUNCTION("""COMPUTED_VALUE"""),"G-REQ-01875")</f>
        <v>G-REQ-01875</v>
      </c>
      <c r="B1876" s="11">
        <f>IFERROR(__xludf.DUMMYFUNCTION("""COMPUTED_VALUE"""),45894.76707697452)</f>
        <v>45894.76708</v>
      </c>
      <c r="C1876" s="9">
        <f>IFERROR(__xludf.DUMMYFUNCTION("""COMPUTED_VALUE"""),7507.0)</f>
        <v>7507</v>
      </c>
      <c r="D1876" s="9" t="str">
        <f>IFERROR(__xludf.DUMMYFUNCTION("""COMPUTED_VALUE"""),"Completed")</f>
        <v>Completed</v>
      </c>
    </row>
    <row r="1877">
      <c r="A1877" s="9" t="str">
        <f>IFERROR(__xludf.DUMMYFUNCTION("""COMPUTED_VALUE"""),"G-REQ-01876")</f>
        <v>G-REQ-01876</v>
      </c>
      <c r="B1877" s="11">
        <f>IFERROR(__xludf.DUMMYFUNCTION("""COMPUTED_VALUE"""),45894.838251819936)</f>
        <v>45894.83825</v>
      </c>
      <c r="C1877" s="9">
        <f>IFERROR(__xludf.DUMMYFUNCTION("""COMPUTED_VALUE"""),7511.0)</f>
        <v>7511</v>
      </c>
      <c r="D1877" s="9" t="str">
        <f>IFERROR(__xludf.DUMMYFUNCTION("""COMPUTED_VALUE"""),"Completed")</f>
        <v>Completed</v>
      </c>
    </row>
    <row r="1878">
      <c r="A1878" s="9" t="str">
        <f>IFERROR(__xludf.DUMMYFUNCTION("""COMPUTED_VALUE"""),"G-REQ-01877")</f>
        <v>G-REQ-01877</v>
      </c>
      <c r="B1878" s="11">
        <f>IFERROR(__xludf.DUMMYFUNCTION("""COMPUTED_VALUE"""),45894.90942666534)</f>
        <v>45894.90943</v>
      </c>
      <c r="C1878" s="9">
        <f>IFERROR(__xludf.DUMMYFUNCTION("""COMPUTED_VALUE"""),7515.0)</f>
        <v>7515</v>
      </c>
      <c r="D1878" s="9" t="str">
        <f>IFERROR(__xludf.DUMMYFUNCTION("""COMPUTED_VALUE"""),"Completed")</f>
        <v>Completed</v>
      </c>
    </row>
    <row r="1879">
      <c r="A1879" s="9" t="str">
        <f>IFERROR(__xludf.DUMMYFUNCTION("""COMPUTED_VALUE"""),"G-REQ-01878")</f>
        <v>G-REQ-01878</v>
      </c>
      <c r="B1879" s="11">
        <f>IFERROR(__xludf.DUMMYFUNCTION("""COMPUTED_VALUE"""),45894.98060151076)</f>
        <v>45894.9806</v>
      </c>
      <c r="C1879" s="9">
        <f>IFERROR(__xludf.DUMMYFUNCTION("""COMPUTED_VALUE"""),7519.0)</f>
        <v>7519</v>
      </c>
      <c r="D1879" s="9" t="str">
        <f>IFERROR(__xludf.DUMMYFUNCTION("""COMPUTED_VALUE"""),"Completed")</f>
        <v>Completed</v>
      </c>
    </row>
    <row r="1880">
      <c r="A1880" s="9" t="str">
        <f>IFERROR(__xludf.DUMMYFUNCTION("""COMPUTED_VALUE"""),"G-REQ-01879")</f>
        <v>G-REQ-01879</v>
      </c>
      <c r="B1880" s="11">
        <f>IFERROR(__xludf.DUMMYFUNCTION("""COMPUTED_VALUE"""),45895.05177635618)</f>
        <v>45895.05178</v>
      </c>
      <c r="C1880" s="9">
        <f>IFERROR(__xludf.DUMMYFUNCTION("""COMPUTED_VALUE"""),7523.0)</f>
        <v>7523</v>
      </c>
      <c r="D1880" s="9" t="str">
        <f>IFERROR(__xludf.DUMMYFUNCTION("""COMPUTED_VALUE"""),"Completed")</f>
        <v>Completed</v>
      </c>
    </row>
    <row r="1881">
      <c r="A1881" s="9" t="str">
        <f>IFERROR(__xludf.DUMMYFUNCTION("""COMPUTED_VALUE"""),"G-REQ-01880")</f>
        <v>G-REQ-01880</v>
      </c>
      <c r="B1881" s="11">
        <f>IFERROR(__xludf.DUMMYFUNCTION("""COMPUTED_VALUE"""),45895.12295120159)</f>
        <v>45895.12295</v>
      </c>
      <c r="C1881" s="9">
        <f>IFERROR(__xludf.DUMMYFUNCTION("""COMPUTED_VALUE"""),7527.0)</f>
        <v>7527</v>
      </c>
      <c r="D1881" s="9" t="str">
        <f>IFERROR(__xludf.DUMMYFUNCTION("""COMPUTED_VALUE"""),"Completed")</f>
        <v>Completed</v>
      </c>
    </row>
    <row r="1882">
      <c r="A1882" s="9" t="str">
        <f>IFERROR(__xludf.DUMMYFUNCTION("""COMPUTED_VALUE"""),"G-REQ-01881")</f>
        <v>G-REQ-01881</v>
      </c>
      <c r="B1882" s="11">
        <f>IFERROR(__xludf.DUMMYFUNCTION("""COMPUTED_VALUE"""),45895.194126047005)</f>
        <v>45895.19413</v>
      </c>
      <c r="C1882" s="9">
        <f>IFERROR(__xludf.DUMMYFUNCTION("""COMPUTED_VALUE"""),7531.0)</f>
        <v>7531</v>
      </c>
      <c r="D1882" s="9" t="str">
        <f>IFERROR(__xludf.DUMMYFUNCTION("""COMPUTED_VALUE"""),"Completed")</f>
        <v>Completed</v>
      </c>
    </row>
    <row r="1883">
      <c r="A1883" s="9" t="str">
        <f>IFERROR(__xludf.DUMMYFUNCTION("""COMPUTED_VALUE"""),"G-REQ-01882")</f>
        <v>G-REQ-01882</v>
      </c>
      <c r="B1883" s="11">
        <f>IFERROR(__xludf.DUMMYFUNCTION("""COMPUTED_VALUE"""),45895.265300892424)</f>
        <v>45895.2653</v>
      </c>
      <c r="C1883" s="9">
        <f>IFERROR(__xludf.DUMMYFUNCTION("""COMPUTED_VALUE"""),7535.0)</f>
        <v>7535</v>
      </c>
      <c r="D1883" s="9" t="str">
        <f>IFERROR(__xludf.DUMMYFUNCTION("""COMPUTED_VALUE"""),"Completed")</f>
        <v>Completed</v>
      </c>
    </row>
    <row r="1884">
      <c r="A1884" s="9" t="str">
        <f>IFERROR(__xludf.DUMMYFUNCTION("""COMPUTED_VALUE"""),"G-REQ-01883")</f>
        <v>G-REQ-01883</v>
      </c>
      <c r="B1884" s="11">
        <f>IFERROR(__xludf.DUMMYFUNCTION("""COMPUTED_VALUE"""),45895.33647573784)</f>
        <v>45895.33648</v>
      </c>
      <c r="C1884" s="9">
        <f>IFERROR(__xludf.DUMMYFUNCTION("""COMPUTED_VALUE"""),7539.0)</f>
        <v>7539</v>
      </c>
      <c r="D1884" s="9" t="str">
        <f>IFERROR(__xludf.DUMMYFUNCTION("""COMPUTED_VALUE"""),"Completed")</f>
        <v>Completed</v>
      </c>
    </row>
    <row r="1885">
      <c r="A1885" s="9" t="str">
        <f>IFERROR(__xludf.DUMMYFUNCTION("""COMPUTED_VALUE"""),"G-REQ-01884")</f>
        <v>G-REQ-01884</v>
      </c>
      <c r="B1885" s="11">
        <f>IFERROR(__xludf.DUMMYFUNCTION("""COMPUTED_VALUE"""),45895.40765058325)</f>
        <v>45895.40765</v>
      </c>
      <c r="C1885" s="9">
        <f>IFERROR(__xludf.DUMMYFUNCTION("""COMPUTED_VALUE"""),7543.0)</f>
        <v>7543</v>
      </c>
      <c r="D1885" s="9" t="str">
        <f>IFERROR(__xludf.DUMMYFUNCTION("""COMPUTED_VALUE"""),"Completed")</f>
        <v>Completed</v>
      </c>
    </row>
    <row r="1886">
      <c r="A1886" s="9" t="str">
        <f>IFERROR(__xludf.DUMMYFUNCTION("""COMPUTED_VALUE"""),"G-REQ-01885")</f>
        <v>G-REQ-01885</v>
      </c>
      <c r="B1886" s="11">
        <f>IFERROR(__xludf.DUMMYFUNCTION("""COMPUTED_VALUE"""),45895.47882542867)</f>
        <v>45895.47883</v>
      </c>
      <c r="C1886" s="9">
        <f>IFERROR(__xludf.DUMMYFUNCTION("""COMPUTED_VALUE"""),7547.0)</f>
        <v>7547</v>
      </c>
      <c r="D1886" s="9" t="str">
        <f>IFERROR(__xludf.DUMMYFUNCTION("""COMPUTED_VALUE"""),"Completed")</f>
        <v>Completed</v>
      </c>
    </row>
    <row r="1887">
      <c r="A1887" s="9" t="str">
        <f>IFERROR(__xludf.DUMMYFUNCTION("""COMPUTED_VALUE"""),"G-REQ-01886")</f>
        <v>G-REQ-01886</v>
      </c>
      <c r="B1887" s="11">
        <f>IFERROR(__xludf.DUMMYFUNCTION("""COMPUTED_VALUE"""),45895.55000027408)</f>
        <v>45895.55</v>
      </c>
      <c r="C1887" s="9">
        <f>IFERROR(__xludf.DUMMYFUNCTION("""COMPUTED_VALUE"""),7551.0)</f>
        <v>7551</v>
      </c>
      <c r="D1887" s="9" t="str">
        <f>IFERROR(__xludf.DUMMYFUNCTION("""COMPUTED_VALUE"""),"Completed")</f>
        <v>Completed</v>
      </c>
    </row>
    <row r="1888">
      <c r="A1888" s="9" t="str">
        <f>IFERROR(__xludf.DUMMYFUNCTION("""COMPUTED_VALUE"""),"G-REQ-01887")</f>
        <v>G-REQ-01887</v>
      </c>
      <c r="B1888" s="11">
        <f>IFERROR(__xludf.DUMMYFUNCTION("""COMPUTED_VALUE"""),45895.61423067505)</f>
        <v>45895.61423</v>
      </c>
      <c r="C1888" s="9">
        <f>IFERROR(__xludf.DUMMYFUNCTION("""COMPUTED_VALUE"""),7553.0)</f>
        <v>7553</v>
      </c>
      <c r="D1888" s="9" t="str">
        <f>IFERROR(__xludf.DUMMYFUNCTION("""COMPUTED_VALUE"""),"Rejected")</f>
        <v>Rejected</v>
      </c>
    </row>
    <row r="1889">
      <c r="A1889" s="9" t="str">
        <f>IFERROR(__xludf.DUMMYFUNCTION("""COMPUTED_VALUE"""),"G-REQ-01888")</f>
        <v>G-REQ-01888</v>
      </c>
      <c r="B1889" s="11">
        <f>IFERROR(__xludf.DUMMYFUNCTION("""COMPUTED_VALUE"""),45895.69234996491)</f>
        <v>45895.69235</v>
      </c>
      <c r="C1889" s="9">
        <f>IFERROR(__xludf.DUMMYFUNCTION("""COMPUTED_VALUE"""),7557.0)</f>
        <v>7557</v>
      </c>
      <c r="D1889" s="9" t="str">
        <f>IFERROR(__xludf.DUMMYFUNCTION("""COMPUTED_VALUE"""),"Completed")</f>
        <v>Completed</v>
      </c>
    </row>
    <row r="1890">
      <c r="A1890" s="9" t="str">
        <f>IFERROR(__xludf.DUMMYFUNCTION("""COMPUTED_VALUE"""),"G-REQ-01889")</f>
        <v>G-REQ-01889</v>
      </c>
      <c r="B1890" s="11">
        <f>IFERROR(__xludf.DUMMYFUNCTION("""COMPUTED_VALUE"""),45895.76352481033)</f>
        <v>45895.76352</v>
      </c>
      <c r="C1890" s="9">
        <f>IFERROR(__xludf.DUMMYFUNCTION("""COMPUTED_VALUE"""),7561.0)</f>
        <v>7561</v>
      </c>
      <c r="D1890" s="9" t="str">
        <f>IFERROR(__xludf.DUMMYFUNCTION("""COMPUTED_VALUE"""),"Completed")</f>
        <v>Completed</v>
      </c>
    </row>
    <row r="1891">
      <c r="A1891" s="9" t="str">
        <f>IFERROR(__xludf.DUMMYFUNCTION("""COMPUTED_VALUE"""),"G-REQ-01890")</f>
        <v>G-REQ-01890</v>
      </c>
      <c r="B1891" s="11">
        <f>IFERROR(__xludf.DUMMYFUNCTION("""COMPUTED_VALUE"""),45895.83469965574)</f>
        <v>45895.8347</v>
      </c>
      <c r="C1891" s="9">
        <f>IFERROR(__xludf.DUMMYFUNCTION("""COMPUTED_VALUE"""),7565.0)</f>
        <v>7565</v>
      </c>
      <c r="D1891" s="9" t="str">
        <f>IFERROR(__xludf.DUMMYFUNCTION("""COMPUTED_VALUE"""),"Completed")</f>
        <v>Completed</v>
      </c>
    </row>
    <row r="1892">
      <c r="A1892" s="9" t="str">
        <f>IFERROR(__xludf.DUMMYFUNCTION("""COMPUTED_VALUE"""),"G-REQ-01891")</f>
        <v>G-REQ-01891</v>
      </c>
      <c r="B1892" s="11">
        <f>IFERROR(__xludf.DUMMYFUNCTION("""COMPUTED_VALUE"""),45895.90587450116)</f>
        <v>45895.90587</v>
      </c>
      <c r="C1892" s="9">
        <f>IFERROR(__xludf.DUMMYFUNCTION("""COMPUTED_VALUE"""),7569.0)</f>
        <v>7569</v>
      </c>
      <c r="D1892" s="9" t="str">
        <f>IFERROR(__xludf.DUMMYFUNCTION("""COMPUTED_VALUE"""),"Completed")</f>
        <v>Completed</v>
      </c>
    </row>
    <row r="1893">
      <c r="A1893" s="9" t="str">
        <f>IFERROR(__xludf.DUMMYFUNCTION("""COMPUTED_VALUE"""),"G-REQ-01892")</f>
        <v>G-REQ-01892</v>
      </c>
      <c r="B1893" s="11">
        <f>IFERROR(__xludf.DUMMYFUNCTION("""COMPUTED_VALUE"""),45895.97704934658)</f>
        <v>45895.97705</v>
      </c>
      <c r="C1893" s="9">
        <f>IFERROR(__xludf.DUMMYFUNCTION("""COMPUTED_VALUE"""),7573.0)</f>
        <v>7573</v>
      </c>
      <c r="D1893" s="9" t="str">
        <f>IFERROR(__xludf.DUMMYFUNCTION("""COMPUTED_VALUE"""),"Completed")</f>
        <v>Completed</v>
      </c>
    </row>
    <row r="1894">
      <c r="A1894" s="9" t="str">
        <f>IFERROR(__xludf.DUMMYFUNCTION("""COMPUTED_VALUE"""),"G-REQ-01893")</f>
        <v>G-REQ-01893</v>
      </c>
      <c r="B1894" s="11">
        <f>IFERROR(__xludf.DUMMYFUNCTION("""COMPUTED_VALUE"""),45896.04822419199)</f>
        <v>45896.04822</v>
      </c>
      <c r="C1894" s="9">
        <f>IFERROR(__xludf.DUMMYFUNCTION("""COMPUTED_VALUE"""),7577.0)</f>
        <v>7577</v>
      </c>
      <c r="D1894" s="9" t="str">
        <f>IFERROR(__xludf.DUMMYFUNCTION("""COMPUTED_VALUE"""),"Completed")</f>
        <v>Completed</v>
      </c>
    </row>
    <row r="1895">
      <c r="A1895" s="9" t="str">
        <f>IFERROR(__xludf.DUMMYFUNCTION("""COMPUTED_VALUE"""),"G-REQ-01894")</f>
        <v>G-REQ-01894</v>
      </c>
      <c r="B1895" s="11">
        <f>IFERROR(__xludf.DUMMYFUNCTION("""COMPUTED_VALUE"""),45896.1193990374)</f>
        <v>45896.1194</v>
      </c>
      <c r="C1895" s="9">
        <f>IFERROR(__xludf.DUMMYFUNCTION("""COMPUTED_VALUE"""),7581.0)</f>
        <v>7581</v>
      </c>
      <c r="D1895" s="9" t="str">
        <f>IFERROR(__xludf.DUMMYFUNCTION("""COMPUTED_VALUE"""),"Completed")</f>
        <v>Completed</v>
      </c>
    </row>
    <row r="1896">
      <c r="A1896" s="9" t="str">
        <f>IFERROR(__xludf.DUMMYFUNCTION("""COMPUTED_VALUE"""),"G-REQ-01895")</f>
        <v>G-REQ-01895</v>
      </c>
      <c r="B1896" s="11">
        <f>IFERROR(__xludf.DUMMYFUNCTION("""COMPUTED_VALUE"""),45896.19057388282)</f>
        <v>45896.19057</v>
      </c>
      <c r="C1896" s="9">
        <f>IFERROR(__xludf.DUMMYFUNCTION("""COMPUTED_VALUE"""),7585.0)</f>
        <v>7585</v>
      </c>
      <c r="D1896" s="9" t="str">
        <f>IFERROR(__xludf.DUMMYFUNCTION("""COMPUTED_VALUE"""),"Completed")</f>
        <v>Completed</v>
      </c>
    </row>
    <row r="1897">
      <c r="A1897" s="9" t="str">
        <f>IFERROR(__xludf.DUMMYFUNCTION("""COMPUTED_VALUE"""),"G-REQ-01896")</f>
        <v>G-REQ-01896</v>
      </c>
      <c r="B1897" s="11">
        <f>IFERROR(__xludf.DUMMYFUNCTION("""COMPUTED_VALUE"""),45896.26174872823)</f>
        <v>45896.26175</v>
      </c>
      <c r="C1897" s="9">
        <f>IFERROR(__xludf.DUMMYFUNCTION("""COMPUTED_VALUE"""),7589.0)</f>
        <v>7589</v>
      </c>
      <c r="D1897" s="9" t="str">
        <f>IFERROR(__xludf.DUMMYFUNCTION("""COMPUTED_VALUE"""),"Completed")</f>
        <v>Completed</v>
      </c>
    </row>
    <row r="1898">
      <c r="A1898" s="9" t="str">
        <f>IFERROR(__xludf.DUMMYFUNCTION("""COMPUTED_VALUE"""),"G-REQ-01897")</f>
        <v>G-REQ-01897</v>
      </c>
      <c r="B1898" s="11">
        <f>IFERROR(__xludf.DUMMYFUNCTION("""COMPUTED_VALUE"""),45896.332923573646)</f>
        <v>45896.33292</v>
      </c>
      <c r="C1898" s="9">
        <f>IFERROR(__xludf.DUMMYFUNCTION("""COMPUTED_VALUE"""),7593.0)</f>
        <v>7593</v>
      </c>
      <c r="D1898" s="9" t="str">
        <f>IFERROR(__xludf.DUMMYFUNCTION("""COMPUTED_VALUE"""),"Completed")</f>
        <v>Completed</v>
      </c>
    </row>
    <row r="1899">
      <c r="A1899" s="9" t="str">
        <f>IFERROR(__xludf.DUMMYFUNCTION("""COMPUTED_VALUE"""),"G-REQ-01898")</f>
        <v>G-REQ-01898</v>
      </c>
      <c r="B1899" s="11">
        <f>IFERROR(__xludf.DUMMYFUNCTION("""COMPUTED_VALUE"""),45896.404098419065)</f>
        <v>45896.4041</v>
      </c>
      <c r="C1899" s="9">
        <f>IFERROR(__xludf.DUMMYFUNCTION("""COMPUTED_VALUE"""),7597.0)</f>
        <v>7597</v>
      </c>
      <c r="D1899" s="9" t="str">
        <f>IFERROR(__xludf.DUMMYFUNCTION("""COMPUTED_VALUE"""),"Completed")</f>
        <v>Completed</v>
      </c>
    </row>
    <row r="1900">
      <c r="A1900" s="9" t="str">
        <f>IFERROR(__xludf.DUMMYFUNCTION("""COMPUTED_VALUE"""),"G-REQ-01899")</f>
        <v>G-REQ-01899</v>
      </c>
      <c r="B1900" s="11">
        <f>IFERROR(__xludf.DUMMYFUNCTION("""COMPUTED_VALUE"""),45896.47527326448)</f>
        <v>45896.47527</v>
      </c>
      <c r="C1900" s="9">
        <f>IFERROR(__xludf.DUMMYFUNCTION("""COMPUTED_VALUE"""),7601.0)</f>
        <v>7601</v>
      </c>
      <c r="D1900" s="9" t="str">
        <f>IFERROR(__xludf.DUMMYFUNCTION("""COMPUTED_VALUE"""),"Completed")</f>
        <v>Completed</v>
      </c>
    </row>
    <row r="1901">
      <c r="A1901" s="9" t="str">
        <f>IFERROR(__xludf.DUMMYFUNCTION("""COMPUTED_VALUE"""),"G-REQ-01900")</f>
        <v>G-REQ-01900</v>
      </c>
      <c r="B1901" s="11">
        <f>IFERROR(__xludf.DUMMYFUNCTION("""COMPUTED_VALUE"""),45896.54644810989)</f>
        <v>45896.54645</v>
      </c>
      <c r="C1901" s="9">
        <f>IFERROR(__xludf.DUMMYFUNCTION("""COMPUTED_VALUE"""),7605.0)</f>
        <v>7605</v>
      </c>
      <c r="D1901" s="9" t="str">
        <f>IFERROR(__xludf.DUMMYFUNCTION("""COMPUTED_VALUE"""),"Completed")</f>
        <v>Completed</v>
      </c>
    </row>
    <row r="1902">
      <c r="A1902" s="9" t="str">
        <f>IFERROR(__xludf.DUMMYFUNCTION("""COMPUTED_VALUE"""),"G-REQ-01901")</f>
        <v>G-REQ-01901</v>
      </c>
      <c r="B1902" s="11">
        <f>IFERROR(__xludf.DUMMYFUNCTION("""COMPUTED_VALUE"""),45896.61762295531)</f>
        <v>45896.61762</v>
      </c>
      <c r="C1902" s="9">
        <f>IFERROR(__xludf.DUMMYFUNCTION("""COMPUTED_VALUE"""),7609.0)</f>
        <v>7609</v>
      </c>
      <c r="D1902" s="9" t="str">
        <f>IFERROR(__xludf.DUMMYFUNCTION("""COMPUTED_VALUE"""),"Completed")</f>
        <v>Completed</v>
      </c>
    </row>
    <row r="1903">
      <c r="A1903" s="9" t="str">
        <f>IFERROR(__xludf.DUMMYFUNCTION("""COMPUTED_VALUE"""),"G-REQ-01902")</f>
        <v>G-REQ-01902</v>
      </c>
      <c r="B1903" s="11">
        <f>IFERROR(__xludf.DUMMYFUNCTION("""COMPUTED_VALUE"""),45896.68879780072)</f>
        <v>45896.6888</v>
      </c>
      <c r="C1903" s="9">
        <f>IFERROR(__xludf.DUMMYFUNCTION("""COMPUTED_VALUE"""),7613.0)</f>
        <v>7613</v>
      </c>
      <c r="D1903" s="9" t="str">
        <f>IFERROR(__xludf.DUMMYFUNCTION("""COMPUTED_VALUE"""),"Completed")</f>
        <v>Completed</v>
      </c>
    </row>
    <row r="1904">
      <c r="A1904" s="9" t="str">
        <f>IFERROR(__xludf.DUMMYFUNCTION("""COMPUTED_VALUE"""),"G-REQ-01903")</f>
        <v>G-REQ-01903</v>
      </c>
      <c r="B1904" s="11">
        <f>IFERROR(__xludf.DUMMYFUNCTION("""COMPUTED_VALUE"""),45896.759972646134)</f>
        <v>45896.75997</v>
      </c>
      <c r="C1904" s="9">
        <f>IFERROR(__xludf.DUMMYFUNCTION("""COMPUTED_VALUE"""),7617.0)</f>
        <v>7617</v>
      </c>
      <c r="D1904" s="9" t="str">
        <f>IFERROR(__xludf.DUMMYFUNCTION("""COMPUTED_VALUE"""),"Completed")</f>
        <v>Completed</v>
      </c>
    </row>
    <row r="1905">
      <c r="A1905" s="9" t="str">
        <f>IFERROR(__xludf.DUMMYFUNCTION("""COMPUTED_VALUE"""),"G-REQ-01904")</f>
        <v>G-REQ-01904</v>
      </c>
      <c r="B1905" s="11">
        <f>IFERROR(__xludf.DUMMYFUNCTION("""COMPUTED_VALUE"""),45896.83114749155)</f>
        <v>45896.83115</v>
      </c>
      <c r="C1905" s="9">
        <f>IFERROR(__xludf.DUMMYFUNCTION("""COMPUTED_VALUE"""),7621.0)</f>
        <v>7621</v>
      </c>
      <c r="D1905" s="9" t="str">
        <f>IFERROR(__xludf.DUMMYFUNCTION("""COMPUTED_VALUE"""),"Completed")</f>
        <v>Completed</v>
      </c>
    </row>
    <row r="1906">
      <c r="A1906" s="9" t="str">
        <f>IFERROR(__xludf.DUMMYFUNCTION("""COMPUTED_VALUE"""),"G-REQ-01905")</f>
        <v>G-REQ-01905</v>
      </c>
      <c r="B1906" s="11">
        <f>IFERROR(__xludf.DUMMYFUNCTION("""COMPUTED_VALUE"""),45896.90232233697)</f>
        <v>45896.90232</v>
      </c>
      <c r="C1906" s="9">
        <f>IFERROR(__xludf.DUMMYFUNCTION("""COMPUTED_VALUE"""),7625.0)</f>
        <v>7625</v>
      </c>
      <c r="D1906" s="9" t="str">
        <f>IFERROR(__xludf.DUMMYFUNCTION("""COMPUTED_VALUE"""),"Completed")</f>
        <v>Completed</v>
      </c>
    </row>
    <row r="1907">
      <c r="A1907" s="9" t="str">
        <f>IFERROR(__xludf.DUMMYFUNCTION("""COMPUTED_VALUE"""),"G-REQ-01906")</f>
        <v>G-REQ-01906</v>
      </c>
      <c r="B1907" s="11">
        <f>IFERROR(__xludf.DUMMYFUNCTION("""COMPUTED_VALUE"""),45896.97349718238)</f>
        <v>45896.9735</v>
      </c>
      <c r="C1907" s="9">
        <f>IFERROR(__xludf.DUMMYFUNCTION("""COMPUTED_VALUE"""),7629.0)</f>
        <v>7629</v>
      </c>
      <c r="D1907" s="9" t="str">
        <f>IFERROR(__xludf.DUMMYFUNCTION("""COMPUTED_VALUE"""),"Completed")</f>
        <v>Completed</v>
      </c>
    </row>
    <row r="1908">
      <c r="A1908" s="9" t="str">
        <f>IFERROR(__xludf.DUMMYFUNCTION("""COMPUTED_VALUE"""),"G-REQ-01907")</f>
        <v>G-REQ-01907</v>
      </c>
      <c r="B1908" s="11">
        <f>IFERROR(__xludf.DUMMYFUNCTION("""COMPUTED_VALUE"""),45897.0446720278)</f>
        <v>45897.04467</v>
      </c>
      <c r="C1908" s="9">
        <f>IFERROR(__xludf.DUMMYFUNCTION("""COMPUTED_VALUE"""),7633.0)</f>
        <v>7633</v>
      </c>
      <c r="D1908" s="9" t="str">
        <f>IFERROR(__xludf.DUMMYFUNCTION("""COMPUTED_VALUE"""),"Completed")</f>
        <v>Completed</v>
      </c>
    </row>
    <row r="1909">
      <c r="A1909" s="9" t="str">
        <f>IFERROR(__xludf.DUMMYFUNCTION("""COMPUTED_VALUE"""),"G-REQ-01908")</f>
        <v>G-REQ-01908</v>
      </c>
      <c r="B1909" s="11">
        <f>IFERROR(__xludf.DUMMYFUNCTION("""COMPUTED_VALUE"""),45897.11584687322)</f>
        <v>45897.11585</v>
      </c>
      <c r="C1909" s="9">
        <f>IFERROR(__xludf.DUMMYFUNCTION("""COMPUTED_VALUE"""),7637.0)</f>
        <v>7637</v>
      </c>
      <c r="D1909" s="9" t="str">
        <f>IFERROR(__xludf.DUMMYFUNCTION("""COMPUTED_VALUE"""),"Completed")</f>
        <v>Completed</v>
      </c>
    </row>
    <row r="1910">
      <c r="A1910" s="9" t="str">
        <f>IFERROR(__xludf.DUMMYFUNCTION("""COMPUTED_VALUE"""),"G-REQ-01909")</f>
        <v>G-REQ-01909</v>
      </c>
      <c r="B1910" s="11">
        <f>IFERROR(__xludf.DUMMYFUNCTION("""COMPUTED_VALUE"""),45897.18702171863)</f>
        <v>45897.18702</v>
      </c>
      <c r="C1910" s="9">
        <f>IFERROR(__xludf.DUMMYFUNCTION("""COMPUTED_VALUE"""),7641.0)</f>
        <v>7641</v>
      </c>
      <c r="D1910" s="9" t="str">
        <f>IFERROR(__xludf.DUMMYFUNCTION("""COMPUTED_VALUE"""),"Completed")</f>
        <v>Completed</v>
      </c>
    </row>
    <row r="1911">
      <c r="A1911" s="9" t="str">
        <f>IFERROR(__xludf.DUMMYFUNCTION("""COMPUTED_VALUE"""),"G-REQ-01910")</f>
        <v>G-REQ-01910</v>
      </c>
      <c r="B1911" s="11">
        <f>IFERROR(__xludf.DUMMYFUNCTION("""COMPUTED_VALUE"""),45897.25819656404)</f>
        <v>45897.2582</v>
      </c>
      <c r="C1911" s="9">
        <f>IFERROR(__xludf.DUMMYFUNCTION("""COMPUTED_VALUE"""),7645.0)</f>
        <v>7645</v>
      </c>
      <c r="D1911" s="9" t="str">
        <f>IFERROR(__xludf.DUMMYFUNCTION("""COMPUTED_VALUE"""),"Completed")</f>
        <v>Completed</v>
      </c>
    </row>
    <row r="1912">
      <c r="A1912" s="9" t="str">
        <f>IFERROR(__xludf.DUMMYFUNCTION("""COMPUTED_VALUE"""),"G-REQ-01911")</f>
        <v>G-REQ-01911</v>
      </c>
      <c r="B1912" s="11">
        <f>IFERROR(__xludf.DUMMYFUNCTION("""COMPUTED_VALUE"""),45897.32937140946)</f>
        <v>45897.32937</v>
      </c>
      <c r="C1912" s="9">
        <f>IFERROR(__xludf.DUMMYFUNCTION("""COMPUTED_VALUE"""),7649.0)</f>
        <v>7649</v>
      </c>
      <c r="D1912" s="9" t="str">
        <f>IFERROR(__xludf.DUMMYFUNCTION("""COMPUTED_VALUE"""),"Completed")</f>
        <v>Completed</v>
      </c>
    </row>
    <row r="1913">
      <c r="A1913" s="9" t="str">
        <f>IFERROR(__xludf.DUMMYFUNCTION("""COMPUTED_VALUE"""),"G-REQ-01912")</f>
        <v>G-REQ-01912</v>
      </c>
      <c r="B1913" s="11">
        <f>IFERROR(__xludf.DUMMYFUNCTION("""COMPUTED_VALUE"""),45897.400546254874)</f>
        <v>45897.40055</v>
      </c>
      <c r="C1913" s="9">
        <f>IFERROR(__xludf.DUMMYFUNCTION("""COMPUTED_VALUE"""),7653.0)</f>
        <v>7653</v>
      </c>
      <c r="D1913" s="9" t="str">
        <f>IFERROR(__xludf.DUMMYFUNCTION("""COMPUTED_VALUE"""),"Completed")</f>
        <v>Completed</v>
      </c>
    </row>
    <row r="1914">
      <c r="A1914" s="9" t="str">
        <f>IFERROR(__xludf.DUMMYFUNCTION("""COMPUTED_VALUE"""),"G-REQ-01913")</f>
        <v>G-REQ-01913</v>
      </c>
      <c r="B1914" s="11">
        <f>IFERROR(__xludf.DUMMYFUNCTION("""COMPUTED_VALUE"""),45897.471721100286)</f>
        <v>45897.47172</v>
      </c>
      <c r="C1914" s="9">
        <f>IFERROR(__xludf.DUMMYFUNCTION("""COMPUTED_VALUE"""),7657.0)</f>
        <v>7657</v>
      </c>
      <c r="D1914" s="9" t="str">
        <f>IFERROR(__xludf.DUMMYFUNCTION("""COMPUTED_VALUE"""),"Completed")</f>
        <v>Completed</v>
      </c>
    </row>
    <row r="1915">
      <c r="A1915" s="9" t="str">
        <f>IFERROR(__xludf.DUMMYFUNCTION("""COMPUTED_VALUE"""),"G-REQ-01914")</f>
        <v>G-REQ-01914</v>
      </c>
      <c r="B1915" s="11">
        <f>IFERROR(__xludf.DUMMYFUNCTION("""COMPUTED_VALUE"""),45897.542895945706)</f>
        <v>45897.5429</v>
      </c>
      <c r="C1915" s="9">
        <f>IFERROR(__xludf.DUMMYFUNCTION("""COMPUTED_VALUE"""),7661.0)</f>
        <v>7661</v>
      </c>
      <c r="D1915" s="9" t="str">
        <f>IFERROR(__xludf.DUMMYFUNCTION("""COMPUTED_VALUE"""),"Completed")</f>
        <v>Completed</v>
      </c>
    </row>
    <row r="1916">
      <c r="A1916" s="9" t="str">
        <f>IFERROR(__xludf.DUMMYFUNCTION("""COMPUTED_VALUE"""),"G-REQ-01915")</f>
        <v>G-REQ-01915</v>
      </c>
      <c r="B1916" s="11">
        <f>IFERROR(__xludf.DUMMYFUNCTION("""COMPUTED_VALUE"""),45897.61407079112)</f>
        <v>45897.61407</v>
      </c>
      <c r="C1916" s="9">
        <f>IFERROR(__xludf.DUMMYFUNCTION("""COMPUTED_VALUE"""),7665.0)</f>
        <v>7665</v>
      </c>
      <c r="D1916" s="9" t="str">
        <f>IFERROR(__xludf.DUMMYFUNCTION("""COMPUTED_VALUE"""),"Completed")</f>
        <v>Completed</v>
      </c>
    </row>
    <row r="1917">
      <c r="A1917" s="9" t="str">
        <f>IFERROR(__xludf.DUMMYFUNCTION("""COMPUTED_VALUE"""),"G-REQ-01916")</f>
        <v>G-REQ-01916</v>
      </c>
      <c r="B1917" s="11">
        <f>IFERROR(__xludf.DUMMYFUNCTION("""COMPUTED_VALUE"""),45897.68524563653)</f>
        <v>45897.68525</v>
      </c>
      <c r="C1917" s="9">
        <f>IFERROR(__xludf.DUMMYFUNCTION("""COMPUTED_VALUE"""),7669.0)</f>
        <v>7669</v>
      </c>
      <c r="D1917" s="9" t="str">
        <f>IFERROR(__xludf.DUMMYFUNCTION("""COMPUTED_VALUE"""),"Completed")</f>
        <v>Completed</v>
      </c>
    </row>
    <row r="1918">
      <c r="A1918" s="9" t="str">
        <f>IFERROR(__xludf.DUMMYFUNCTION("""COMPUTED_VALUE"""),"G-REQ-01917")</f>
        <v>G-REQ-01917</v>
      </c>
      <c r="B1918" s="11">
        <f>IFERROR(__xludf.DUMMYFUNCTION("""COMPUTED_VALUE"""),45897.75642048195)</f>
        <v>45897.75642</v>
      </c>
      <c r="C1918" s="9">
        <f>IFERROR(__xludf.DUMMYFUNCTION("""COMPUTED_VALUE"""),7673.0)</f>
        <v>7673</v>
      </c>
      <c r="D1918" s="9" t="str">
        <f>IFERROR(__xludf.DUMMYFUNCTION("""COMPUTED_VALUE"""),"Completed")</f>
        <v>Completed</v>
      </c>
    </row>
    <row r="1919">
      <c r="A1919" s="9" t="str">
        <f>IFERROR(__xludf.DUMMYFUNCTION("""COMPUTED_VALUE"""),"G-REQ-01918")</f>
        <v>G-REQ-01918</v>
      </c>
      <c r="B1919" s="11">
        <f>IFERROR(__xludf.DUMMYFUNCTION("""COMPUTED_VALUE"""),45897.82065088292)</f>
        <v>45897.82065</v>
      </c>
      <c r="C1919" s="9">
        <f>IFERROR(__xludf.DUMMYFUNCTION("""COMPUTED_VALUE"""),7675.0)</f>
        <v>7675</v>
      </c>
      <c r="D1919" s="9" t="str">
        <f>IFERROR(__xludf.DUMMYFUNCTION("""COMPUTED_VALUE"""),"Rejected")</f>
        <v>Rejected</v>
      </c>
    </row>
    <row r="1920">
      <c r="A1920" s="9" t="str">
        <f>IFERROR(__xludf.DUMMYFUNCTION("""COMPUTED_VALUE"""),"G-REQ-01919")</f>
        <v>G-REQ-01919</v>
      </c>
      <c r="B1920" s="11">
        <f>IFERROR(__xludf.DUMMYFUNCTION("""COMPUTED_VALUE"""),45897.89182572833)</f>
        <v>45897.89183</v>
      </c>
      <c r="C1920" s="9">
        <f>IFERROR(__xludf.DUMMYFUNCTION("""COMPUTED_VALUE"""),7677.0)</f>
        <v>7677</v>
      </c>
      <c r="D1920" s="9" t="str">
        <f>IFERROR(__xludf.DUMMYFUNCTION("""COMPUTED_VALUE"""),"Rejected")</f>
        <v>Rejected</v>
      </c>
    </row>
    <row r="1921">
      <c r="A1921" s="9" t="str">
        <f>IFERROR(__xludf.DUMMYFUNCTION("""COMPUTED_VALUE"""),"G-REQ-01920")</f>
        <v>G-REQ-01920</v>
      </c>
      <c r="B1921" s="11">
        <f>IFERROR(__xludf.DUMMYFUNCTION("""COMPUTED_VALUE"""),45897.969945018194)</f>
        <v>45897.96995</v>
      </c>
      <c r="C1921" s="9">
        <f>IFERROR(__xludf.DUMMYFUNCTION("""COMPUTED_VALUE"""),7681.0)</f>
        <v>7681</v>
      </c>
      <c r="D1921" s="9" t="str">
        <f>IFERROR(__xludf.DUMMYFUNCTION("""COMPUTED_VALUE"""),"Completed")</f>
        <v>Completed</v>
      </c>
    </row>
    <row r="1922">
      <c r="A1922" s="9" t="str">
        <f>IFERROR(__xludf.DUMMYFUNCTION("""COMPUTED_VALUE"""),"G-REQ-01921")</f>
        <v>G-REQ-01921</v>
      </c>
      <c r="B1922" s="11">
        <f>IFERROR(__xludf.DUMMYFUNCTION("""COMPUTED_VALUE"""),45898.041119863614)</f>
        <v>45898.04112</v>
      </c>
      <c r="C1922" s="9">
        <f>IFERROR(__xludf.DUMMYFUNCTION("""COMPUTED_VALUE"""),7685.0)</f>
        <v>7685</v>
      </c>
      <c r="D1922" s="9" t="str">
        <f>IFERROR(__xludf.DUMMYFUNCTION("""COMPUTED_VALUE"""),"Completed")</f>
        <v>Completed</v>
      </c>
    </row>
    <row r="1923">
      <c r="A1923" s="9" t="str">
        <f>IFERROR(__xludf.DUMMYFUNCTION("""COMPUTED_VALUE"""),"G-REQ-01922")</f>
        <v>G-REQ-01922</v>
      </c>
      <c r="B1923" s="11">
        <f>IFERROR(__xludf.DUMMYFUNCTION("""COMPUTED_VALUE"""),45898.105350264574)</f>
        <v>45898.10535</v>
      </c>
      <c r="C1923" s="9">
        <f>IFERROR(__xludf.DUMMYFUNCTION("""COMPUTED_VALUE"""),7687.0)</f>
        <v>7687</v>
      </c>
      <c r="D1923" s="9" t="str">
        <f>IFERROR(__xludf.DUMMYFUNCTION("""COMPUTED_VALUE"""),"Rejected")</f>
        <v>Rejected</v>
      </c>
    </row>
    <row r="1924">
      <c r="A1924" s="9" t="str">
        <f>IFERROR(__xludf.DUMMYFUNCTION("""COMPUTED_VALUE"""),"G-REQ-01923")</f>
        <v>G-REQ-01923</v>
      </c>
      <c r="B1924" s="11">
        <f>IFERROR(__xludf.DUMMYFUNCTION("""COMPUTED_VALUE"""),45898.18346955444)</f>
        <v>45898.18347</v>
      </c>
      <c r="C1924" s="9">
        <f>IFERROR(__xludf.DUMMYFUNCTION("""COMPUTED_VALUE"""),7691.0)</f>
        <v>7691</v>
      </c>
      <c r="D1924" s="9" t="str">
        <f>IFERROR(__xludf.DUMMYFUNCTION("""COMPUTED_VALUE"""),"Completed")</f>
        <v>Completed</v>
      </c>
    </row>
    <row r="1925">
      <c r="A1925" s="9" t="str">
        <f>IFERROR(__xludf.DUMMYFUNCTION("""COMPUTED_VALUE"""),"G-REQ-01924")</f>
        <v>G-REQ-01924</v>
      </c>
      <c r="B1925" s="11">
        <f>IFERROR(__xludf.DUMMYFUNCTION("""COMPUTED_VALUE"""),45898.25464439986)</f>
        <v>45898.25464</v>
      </c>
      <c r="C1925" s="9">
        <f>IFERROR(__xludf.DUMMYFUNCTION("""COMPUTED_VALUE"""),7695.0)</f>
        <v>7695</v>
      </c>
      <c r="D1925" s="9" t="str">
        <f>IFERROR(__xludf.DUMMYFUNCTION("""COMPUTED_VALUE"""),"Completed")</f>
        <v>Completed</v>
      </c>
    </row>
    <row r="1926">
      <c r="A1926" s="9" t="str">
        <f>IFERROR(__xludf.DUMMYFUNCTION("""COMPUTED_VALUE"""),"G-REQ-01925")</f>
        <v>G-REQ-01925</v>
      </c>
      <c r="B1926" s="11">
        <f>IFERROR(__xludf.DUMMYFUNCTION("""COMPUTED_VALUE"""),45898.32581924527)</f>
        <v>45898.32582</v>
      </c>
      <c r="C1926" s="9">
        <f>IFERROR(__xludf.DUMMYFUNCTION("""COMPUTED_VALUE"""),7699.0)</f>
        <v>7699</v>
      </c>
      <c r="D1926" s="9" t="str">
        <f>IFERROR(__xludf.DUMMYFUNCTION("""COMPUTED_VALUE"""),"Completed")</f>
        <v>Completed</v>
      </c>
    </row>
    <row r="1927">
      <c r="A1927" s="9" t="str">
        <f>IFERROR(__xludf.DUMMYFUNCTION("""COMPUTED_VALUE"""),"G-REQ-01926")</f>
        <v>G-REQ-01926</v>
      </c>
      <c r="B1927" s="11">
        <f>IFERROR(__xludf.DUMMYFUNCTION("""COMPUTED_VALUE"""),45898.39699409068)</f>
        <v>45898.39699</v>
      </c>
      <c r="C1927" s="9">
        <f>IFERROR(__xludf.DUMMYFUNCTION("""COMPUTED_VALUE"""),7703.0)</f>
        <v>7703</v>
      </c>
      <c r="D1927" s="9" t="str">
        <f>IFERROR(__xludf.DUMMYFUNCTION("""COMPUTED_VALUE"""),"Completed")</f>
        <v>Completed</v>
      </c>
    </row>
    <row r="1928">
      <c r="A1928" s="9" t="str">
        <f>IFERROR(__xludf.DUMMYFUNCTION("""COMPUTED_VALUE"""),"G-REQ-01927")</f>
        <v>G-REQ-01927</v>
      </c>
      <c r="B1928" s="11">
        <f>IFERROR(__xludf.DUMMYFUNCTION("""COMPUTED_VALUE"""),45898.4681689361)</f>
        <v>45898.46817</v>
      </c>
      <c r="C1928" s="9">
        <f>IFERROR(__xludf.DUMMYFUNCTION("""COMPUTED_VALUE"""),7707.0)</f>
        <v>7707</v>
      </c>
      <c r="D1928" s="9" t="str">
        <f>IFERROR(__xludf.DUMMYFUNCTION("""COMPUTED_VALUE"""),"Completed")</f>
        <v>Completed</v>
      </c>
    </row>
    <row r="1929">
      <c r="A1929" s="9" t="str">
        <f>IFERROR(__xludf.DUMMYFUNCTION("""COMPUTED_VALUE"""),"G-REQ-01928")</f>
        <v>G-REQ-01928</v>
      </c>
      <c r="B1929" s="11">
        <f>IFERROR(__xludf.DUMMYFUNCTION("""COMPUTED_VALUE"""),45898.539343781515)</f>
        <v>45898.53934</v>
      </c>
      <c r="C1929" s="9">
        <f>IFERROR(__xludf.DUMMYFUNCTION("""COMPUTED_VALUE"""),7711.0)</f>
        <v>7711</v>
      </c>
      <c r="D1929" s="9" t="str">
        <f>IFERROR(__xludf.DUMMYFUNCTION("""COMPUTED_VALUE"""),"Completed")</f>
        <v>Completed</v>
      </c>
    </row>
    <row r="1930">
      <c r="A1930" s="9" t="str">
        <f>IFERROR(__xludf.DUMMYFUNCTION("""COMPUTED_VALUE"""),"G-REQ-01929")</f>
        <v>G-REQ-01929</v>
      </c>
      <c r="B1930" s="11">
        <f>IFERROR(__xludf.DUMMYFUNCTION("""COMPUTED_VALUE"""),45898.61051862693)</f>
        <v>45898.61052</v>
      </c>
      <c r="C1930" s="9">
        <f>IFERROR(__xludf.DUMMYFUNCTION("""COMPUTED_VALUE"""),7715.0)</f>
        <v>7715</v>
      </c>
      <c r="D1930" s="9" t="str">
        <f>IFERROR(__xludf.DUMMYFUNCTION("""COMPUTED_VALUE"""),"Completed")</f>
        <v>Completed</v>
      </c>
    </row>
    <row r="1931">
      <c r="A1931" s="9" t="str">
        <f>IFERROR(__xludf.DUMMYFUNCTION("""COMPUTED_VALUE"""),"G-REQ-01930")</f>
        <v>G-REQ-01930</v>
      </c>
      <c r="B1931" s="11">
        <f>IFERROR(__xludf.DUMMYFUNCTION("""COMPUTED_VALUE"""),45898.68169347235)</f>
        <v>45898.68169</v>
      </c>
      <c r="C1931" s="9">
        <f>IFERROR(__xludf.DUMMYFUNCTION("""COMPUTED_VALUE"""),7719.0)</f>
        <v>7719</v>
      </c>
      <c r="D1931" s="9" t="str">
        <f>IFERROR(__xludf.DUMMYFUNCTION("""COMPUTED_VALUE"""),"Completed")</f>
        <v>Completed</v>
      </c>
    </row>
    <row r="1932">
      <c r="A1932" s="9" t="str">
        <f>IFERROR(__xludf.DUMMYFUNCTION("""COMPUTED_VALUE"""),"G-REQ-01931")</f>
        <v>G-REQ-01931</v>
      </c>
      <c r="B1932" s="11">
        <f>IFERROR(__xludf.DUMMYFUNCTION("""COMPUTED_VALUE"""),45898.74592387332)</f>
        <v>45898.74592</v>
      </c>
      <c r="C1932" s="9">
        <f>IFERROR(__xludf.DUMMYFUNCTION("""COMPUTED_VALUE"""),7721.0)</f>
        <v>7721</v>
      </c>
      <c r="D1932" s="9" t="str">
        <f>IFERROR(__xludf.DUMMYFUNCTION("""COMPUTED_VALUE"""),"Cancelled")</f>
        <v>Cancelled</v>
      </c>
    </row>
    <row r="1933">
      <c r="A1933" s="9" t="str">
        <f>IFERROR(__xludf.DUMMYFUNCTION("""COMPUTED_VALUE"""),"G-REQ-01932")</f>
        <v>G-REQ-01932</v>
      </c>
      <c r="B1933" s="11">
        <f>IFERROR(__xludf.DUMMYFUNCTION("""COMPUTED_VALUE"""),45898.82404316317)</f>
        <v>45898.82404</v>
      </c>
      <c r="C1933" s="9">
        <f>IFERROR(__xludf.DUMMYFUNCTION("""COMPUTED_VALUE"""),7725.0)</f>
        <v>7725</v>
      </c>
      <c r="D1933" s="9" t="str">
        <f>IFERROR(__xludf.DUMMYFUNCTION("""COMPUTED_VALUE"""),"Completed")</f>
        <v>Completed</v>
      </c>
    </row>
    <row r="1934">
      <c r="A1934" s="9" t="str">
        <f>IFERROR(__xludf.DUMMYFUNCTION("""COMPUTED_VALUE"""),"G-REQ-01933")</f>
        <v>G-REQ-01933</v>
      </c>
      <c r="B1934" s="11">
        <f>IFERROR(__xludf.DUMMYFUNCTION("""COMPUTED_VALUE"""),45898.89521800859)</f>
        <v>45898.89522</v>
      </c>
      <c r="C1934" s="9">
        <f>IFERROR(__xludf.DUMMYFUNCTION("""COMPUTED_VALUE"""),7729.0)</f>
        <v>7729</v>
      </c>
      <c r="D1934" s="9" t="str">
        <f>IFERROR(__xludf.DUMMYFUNCTION("""COMPUTED_VALUE"""),"Completed")</f>
        <v>Completed</v>
      </c>
    </row>
    <row r="1935">
      <c r="A1935" s="9" t="str">
        <f>IFERROR(__xludf.DUMMYFUNCTION("""COMPUTED_VALUE"""),"G-REQ-01934")</f>
        <v>G-REQ-01934</v>
      </c>
      <c r="B1935" s="11">
        <f>IFERROR(__xludf.DUMMYFUNCTION("""COMPUTED_VALUE"""),45898.966392854)</f>
        <v>45898.96639</v>
      </c>
      <c r="C1935" s="9">
        <f>IFERROR(__xludf.DUMMYFUNCTION("""COMPUTED_VALUE"""),7733.0)</f>
        <v>7733</v>
      </c>
      <c r="D1935" s="9" t="str">
        <f>IFERROR(__xludf.DUMMYFUNCTION("""COMPUTED_VALUE"""),"Completed")</f>
        <v>Completed</v>
      </c>
    </row>
    <row r="1936">
      <c r="A1936" s="9" t="str">
        <f>IFERROR(__xludf.DUMMYFUNCTION("""COMPUTED_VALUE"""),"G-REQ-01935")</f>
        <v>G-REQ-01935</v>
      </c>
      <c r="B1936" s="11">
        <f>IFERROR(__xludf.DUMMYFUNCTION("""COMPUTED_VALUE"""),45899.03756769942)</f>
        <v>45899.03757</v>
      </c>
      <c r="C1936" s="9">
        <f>IFERROR(__xludf.DUMMYFUNCTION("""COMPUTED_VALUE"""),7737.0)</f>
        <v>7737</v>
      </c>
      <c r="D1936" s="9" t="str">
        <f>IFERROR(__xludf.DUMMYFUNCTION("""COMPUTED_VALUE"""),"Completed")</f>
        <v>Completed</v>
      </c>
    </row>
    <row r="1937">
      <c r="A1937" s="9" t="str">
        <f>IFERROR(__xludf.DUMMYFUNCTION("""COMPUTED_VALUE"""),"G-REQ-01936")</f>
        <v>G-REQ-01936</v>
      </c>
      <c r="B1937" s="11">
        <f>IFERROR(__xludf.DUMMYFUNCTION("""COMPUTED_VALUE"""),45899.108742544835)</f>
        <v>45899.10874</v>
      </c>
      <c r="C1937" s="9">
        <f>IFERROR(__xludf.DUMMYFUNCTION("""COMPUTED_VALUE"""),7741.0)</f>
        <v>7741</v>
      </c>
      <c r="D1937" s="9" t="str">
        <f>IFERROR(__xludf.DUMMYFUNCTION("""COMPUTED_VALUE"""),"Completed")</f>
        <v>Completed</v>
      </c>
    </row>
    <row r="1938">
      <c r="A1938" s="9" t="str">
        <f>IFERROR(__xludf.DUMMYFUNCTION("""COMPUTED_VALUE"""),"G-REQ-01937")</f>
        <v>G-REQ-01937</v>
      </c>
      <c r="B1938" s="11">
        <f>IFERROR(__xludf.DUMMYFUNCTION("""COMPUTED_VALUE"""),45899.179917390255)</f>
        <v>45899.17992</v>
      </c>
      <c r="C1938" s="9">
        <f>IFERROR(__xludf.DUMMYFUNCTION("""COMPUTED_VALUE"""),7745.0)</f>
        <v>7745</v>
      </c>
      <c r="D1938" s="9" t="str">
        <f>IFERROR(__xludf.DUMMYFUNCTION("""COMPUTED_VALUE"""),"Completed")</f>
        <v>Completed</v>
      </c>
    </row>
    <row r="1939">
      <c r="A1939" s="9" t="str">
        <f>IFERROR(__xludf.DUMMYFUNCTION("""COMPUTED_VALUE"""),"G-REQ-01938")</f>
        <v>G-REQ-01938</v>
      </c>
      <c r="B1939" s="11">
        <f>IFERROR(__xludf.DUMMYFUNCTION("""COMPUTED_VALUE"""),45899.25109223566)</f>
        <v>45899.25109</v>
      </c>
      <c r="C1939" s="9">
        <f>IFERROR(__xludf.DUMMYFUNCTION("""COMPUTED_VALUE"""),7749.0)</f>
        <v>7749</v>
      </c>
      <c r="D1939" s="9" t="str">
        <f>IFERROR(__xludf.DUMMYFUNCTION("""COMPUTED_VALUE"""),"Completed")</f>
        <v>Completed</v>
      </c>
    </row>
    <row r="1940">
      <c r="A1940" s="9" t="str">
        <f>IFERROR(__xludf.DUMMYFUNCTION("""COMPUTED_VALUE"""),"G-REQ-01939")</f>
        <v>G-REQ-01939</v>
      </c>
      <c r="B1940" s="11">
        <f>IFERROR(__xludf.DUMMYFUNCTION("""COMPUTED_VALUE"""),45899.32226708108)</f>
        <v>45899.32227</v>
      </c>
      <c r="C1940" s="9">
        <f>IFERROR(__xludf.DUMMYFUNCTION("""COMPUTED_VALUE"""),7753.0)</f>
        <v>7753</v>
      </c>
      <c r="D1940" s="9" t="str">
        <f>IFERROR(__xludf.DUMMYFUNCTION("""COMPUTED_VALUE"""),"Completed")</f>
        <v>Completed</v>
      </c>
    </row>
    <row r="1941">
      <c r="A1941" s="9" t="str">
        <f>IFERROR(__xludf.DUMMYFUNCTION("""COMPUTED_VALUE"""),"G-REQ-01940")</f>
        <v>G-REQ-01940</v>
      </c>
      <c r="B1941" s="11">
        <f>IFERROR(__xludf.DUMMYFUNCTION("""COMPUTED_VALUE"""),45899.3934419265)</f>
        <v>45899.39344</v>
      </c>
      <c r="C1941" s="9">
        <f>IFERROR(__xludf.DUMMYFUNCTION("""COMPUTED_VALUE"""),7757.0)</f>
        <v>7757</v>
      </c>
      <c r="D1941" s="9" t="str">
        <f>IFERROR(__xludf.DUMMYFUNCTION("""COMPUTED_VALUE"""),"Completed")</f>
        <v>Completed</v>
      </c>
    </row>
    <row r="1942">
      <c r="A1942" s="9" t="str">
        <f>IFERROR(__xludf.DUMMYFUNCTION("""COMPUTED_VALUE"""),"G-REQ-01941")</f>
        <v>G-REQ-01941</v>
      </c>
      <c r="B1942" s="11">
        <f>IFERROR(__xludf.DUMMYFUNCTION("""COMPUTED_VALUE"""),45899.46461677191)</f>
        <v>45899.46462</v>
      </c>
      <c r="C1942" s="9">
        <f>IFERROR(__xludf.DUMMYFUNCTION("""COMPUTED_VALUE"""),7761.0)</f>
        <v>7761</v>
      </c>
      <c r="D1942" s="9" t="str">
        <f>IFERROR(__xludf.DUMMYFUNCTION("""COMPUTED_VALUE"""),"Completed")</f>
        <v>Completed</v>
      </c>
    </row>
    <row r="1943">
      <c r="A1943" s="9" t="str">
        <f>IFERROR(__xludf.DUMMYFUNCTION("""COMPUTED_VALUE"""),"G-REQ-01942")</f>
        <v>G-REQ-01942</v>
      </c>
      <c r="B1943" s="11">
        <f>IFERROR(__xludf.DUMMYFUNCTION("""COMPUTED_VALUE"""),45899.53579161732)</f>
        <v>45899.53579</v>
      </c>
      <c r="C1943" s="9">
        <f>IFERROR(__xludf.DUMMYFUNCTION("""COMPUTED_VALUE"""),7765.0)</f>
        <v>7765</v>
      </c>
      <c r="D1943" s="9" t="str">
        <f>IFERROR(__xludf.DUMMYFUNCTION("""COMPUTED_VALUE"""),"Completed")</f>
        <v>Completed</v>
      </c>
    </row>
    <row r="1944">
      <c r="A1944" s="9" t="str">
        <f>IFERROR(__xludf.DUMMYFUNCTION("""COMPUTED_VALUE"""),"G-REQ-01943")</f>
        <v>G-REQ-01943</v>
      </c>
      <c r="B1944" s="11">
        <f>IFERROR(__xludf.DUMMYFUNCTION("""COMPUTED_VALUE"""),45899.6000220183)</f>
        <v>45899.60002</v>
      </c>
      <c r="C1944" s="9">
        <f>IFERROR(__xludf.DUMMYFUNCTION("""COMPUTED_VALUE"""),7767.0)</f>
        <v>7767</v>
      </c>
      <c r="D1944" s="9" t="str">
        <f>IFERROR(__xludf.DUMMYFUNCTION("""COMPUTED_VALUE"""),"Rejected")</f>
        <v>Rejected</v>
      </c>
    </row>
    <row r="1945">
      <c r="A1945" s="9" t="str">
        <f>IFERROR(__xludf.DUMMYFUNCTION("""COMPUTED_VALUE"""),"G-REQ-01944")</f>
        <v>G-REQ-01944</v>
      </c>
      <c r="B1945" s="11">
        <f>IFERROR(__xludf.DUMMYFUNCTION("""COMPUTED_VALUE"""),45899.678141308155)</f>
        <v>45899.67814</v>
      </c>
      <c r="C1945" s="9">
        <f>IFERROR(__xludf.DUMMYFUNCTION("""COMPUTED_VALUE"""),7771.0)</f>
        <v>7771</v>
      </c>
      <c r="D1945" s="9" t="str">
        <f>IFERROR(__xludf.DUMMYFUNCTION("""COMPUTED_VALUE"""),"Completed")</f>
        <v>Completed</v>
      </c>
    </row>
    <row r="1946">
      <c r="A1946" s="9" t="str">
        <f>IFERROR(__xludf.DUMMYFUNCTION("""COMPUTED_VALUE"""),"G-REQ-01945")</f>
        <v>G-REQ-01945</v>
      </c>
      <c r="B1946" s="11">
        <f>IFERROR(__xludf.DUMMYFUNCTION("""COMPUTED_VALUE"""),45899.74931615357)</f>
        <v>45899.74932</v>
      </c>
      <c r="C1946" s="9">
        <f>IFERROR(__xludf.DUMMYFUNCTION("""COMPUTED_VALUE"""),7775.0)</f>
        <v>7775</v>
      </c>
      <c r="D1946" s="9" t="str">
        <f>IFERROR(__xludf.DUMMYFUNCTION("""COMPUTED_VALUE"""),"Completed")</f>
        <v>Completed</v>
      </c>
    </row>
    <row r="1947">
      <c r="A1947" s="9" t="str">
        <f>IFERROR(__xludf.DUMMYFUNCTION("""COMPUTED_VALUE"""),"G-REQ-01946")</f>
        <v>G-REQ-01946</v>
      </c>
      <c r="B1947" s="11">
        <f>IFERROR(__xludf.DUMMYFUNCTION("""COMPUTED_VALUE"""),45899.82049099899)</f>
        <v>45899.82049</v>
      </c>
      <c r="C1947" s="9">
        <f>IFERROR(__xludf.DUMMYFUNCTION("""COMPUTED_VALUE"""),7779.0)</f>
        <v>7779</v>
      </c>
      <c r="D1947" s="9" t="str">
        <f>IFERROR(__xludf.DUMMYFUNCTION("""COMPUTED_VALUE"""),"Completed")</f>
        <v>Completed</v>
      </c>
    </row>
    <row r="1948">
      <c r="A1948" s="9" t="str">
        <f>IFERROR(__xludf.DUMMYFUNCTION("""COMPUTED_VALUE"""),"G-REQ-01947")</f>
        <v>G-REQ-01947</v>
      </c>
      <c r="B1948" s="11">
        <f>IFERROR(__xludf.DUMMYFUNCTION("""COMPUTED_VALUE"""),45899.89166584441)</f>
        <v>45899.89167</v>
      </c>
      <c r="C1948" s="9">
        <f>IFERROR(__xludf.DUMMYFUNCTION("""COMPUTED_VALUE"""),7783.0)</f>
        <v>7783</v>
      </c>
      <c r="D1948" s="9" t="str">
        <f>IFERROR(__xludf.DUMMYFUNCTION("""COMPUTED_VALUE"""),"Completed")</f>
        <v>Completed</v>
      </c>
    </row>
    <row r="1949">
      <c r="A1949" s="9" t="str">
        <f>IFERROR(__xludf.DUMMYFUNCTION("""COMPUTED_VALUE"""),"G-REQ-01948")</f>
        <v>G-REQ-01948</v>
      </c>
      <c r="B1949" s="11">
        <f>IFERROR(__xludf.DUMMYFUNCTION("""COMPUTED_VALUE"""),45899.96284068981)</f>
        <v>45899.96284</v>
      </c>
      <c r="C1949" s="9">
        <f>IFERROR(__xludf.DUMMYFUNCTION("""COMPUTED_VALUE"""),7787.0)</f>
        <v>7787</v>
      </c>
      <c r="D1949" s="9" t="str">
        <f>IFERROR(__xludf.DUMMYFUNCTION("""COMPUTED_VALUE"""),"Completed")</f>
        <v>Completed</v>
      </c>
    </row>
    <row r="1950">
      <c r="A1950" s="9" t="str">
        <f>IFERROR(__xludf.DUMMYFUNCTION("""COMPUTED_VALUE"""),"G-REQ-01949")</f>
        <v>G-REQ-01949</v>
      </c>
      <c r="B1950" s="11">
        <f>IFERROR(__xludf.DUMMYFUNCTION("""COMPUTED_VALUE"""),45900.03401553523)</f>
        <v>45900.03402</v>
      </c>
      <c r="C1950" s="9">
        <f>IFERROR(__xludf.DUMMYFUNCTION("""COMPUTED_VALUE"""),7791.0)</f>
        <v>7791</v>
      </c>
      <c r="D1950" s="9" t="str">
        <f>IFERROR(__xludf.DUMMYFUNCTION("""COMPUTED_VALUE"""),"Completed")</f>
        <v>Completed</v>
      </c>
    </row>
    <row r="1951">
      <c r="A1951" s="9" t="str">
        <f>IFERROR(__xludf.DUMMYFUNCTION("""COMPUTED_VALUE"""),"G-REQ-01950")</f>
        <v>G-REQ-01950</v>
      </c>
      <c r="B1951" s="11">
        <f>IFERROR(__xludf.DUMMYFUNCTION("""COMPUTED_VALUE"""),45900.105190380644)</f>
        <v>45900.10519</v>
      </c>
      <c r="C1951" s="9">
        <f>IFERROR(__xludf.DUMMYFUNCTION("""COMPUTED_VALUE"""),7795.0)</f>
        <v>7795</v>
      </c>
      <c r="D1951" s="9" t="str">
        <f>IFERROR(__xludf.DUMMYFUNCTION("""COMPUTED_VALUE"""),"Completed")</f>
        <v>Completed</v>
      </c>
    </row>
    <row r="1952">
      <c r="A1952" s="9" t="str">
        <f>IFERROR(__xludf.DUMMYFUNCTION("""COMPUTED_VALUE"""),"G-REQ-01951")</f>
        <v>G-REQ-01951</v>
      </c>
      <c r="B1952" s="11">
        <f>IFERROR(__xludf.DUMMYFUNCTION("""COMPUTED_VALUE"""),45900.16942078162)</f>
        <v>45900.16942</v>
      </c>
      <c r="C1952" s="9">
        <f>IFERROR(__xludf.DUMMYFUNCTION("""COMPUTED_VALUE"""),7797.0)</f>
        <v>7797</v>
      </c>
      <c r="D1952" s="9" t="str">
        <f>IFERROR(__xludf.DUMMYFUNCTION("""COMPUTED_VALUE"""),"Rejected")</f>
        <v>Rejected</v>
      </c>
    </row>
    <row r="1953">
      <c r="A1953" s="9" t="str">
        <f>IFERROR(__xludf.DUMMYFUNCTION("""COMPUTED_VALUE"""),"G-REQ-01952")</f>
        <v>G-REQ-01952</v>
      </c>
      <c r="B1953" s="11">
        <f>IFERROR(__xludf.DUMMYFUNCTION("""COMPUTED_VALUE"""),45900.247540071476)</f>
        <v>45900.24754</v>
      </c>
      <c r="C1953" s="9">
        <f>IFERROR(__xludf.DUMMYFUNCTION("""COMPUTED_VALUE"""),7801.0)</f>
        <v>7801</v>
      </c>
      <c r="D1953" s="9" t="str">
        <f>IFERROR(__xludf.DUMMYFUNCTION("""COMPUTED_VALUE"""),"Completed")</f>
        <v>Completed</v>
      </c>
    </row>
    <row r="1954">
      <c r="A1954" s="9" t="str">
        <f>IFERROR(__xludf.DUMMYFUNCTION("""COMPUTED_VALUE"""),"G-REQ-01953")</f>
        <v>G-REQ-01953</v>
      </c>
      <c r="B1954" s="11">
        <f>IFERROR(__xludf.DUMMYFUNCTION("""COMPUTED_VALUE"""),45900.318714916895)</f>
        <v>45900.31871</v>
      </c>
      <c r="C1954" s="9">
        <f>IFERROR(__xludf.DUMMYFUNCTION("""COMPUTED_VALUE"""),7805.0)</f>
        <v>7805</v>
      </c>
      <c r="D1954" s="9" t="str">
        <f>IFERROR(__xludf.DUMMYFUNCTION("""COMPUTED_VALUE"""),"Completed")</f>
        <v>Completed</v>
      </c>
    </row>
    <row r="1955">
      <c r="A1955" s="9" t="str">
        <f>IFERROR(__xludf.DUMMYFUNCTION("""COMPUTED_VALUE"""),"G-REQ-01954")</f>
        <v>G-REQ-01954</v>
      </c>
      <c r="B1955" s="11">
        <f>IFERROR(__xludf.DUMMYFUNCTION("""COMPUTED_VALUE"""),45900.38294531786)</f>
        <v>45900.38295</v>
      </c>
      <c r="C1955" s="9">
        <f>IFERROR(__xludf.DUMMYFUNCTION("""COMPUTED_VALUE"""),7807.0)</f>
        <v>7807</v>
      </c>
      <c r="D1955" s="9" t="str">
        <f>IFERROR(__xludf.DUMMYFUNCTION("""COMPUTED_VALUE"""),"Cancelled")</f>
        <v>Cancelled</v>
      </c>
    </row>
    <row r="1956">
      <c r="A1956" s="9" t="str">
        <f>IFERROR(__xludf.DUMMYFUNCTION("""COMPUTED_VALUE"""),"G-REQ-01955")</f>
        <v>G-REQ-01955</v>
      </c>
      <c r="B1956" s="11">
        <f>IFERROR(__xludf.DUMMYFUNCTION("""COMPUTED_VALUE"""),45900.46106460772)</f>
        <v>45900.46106</v>
      </c>
      <c r="C1956" s="9">
        <f>IFERROR(__xludf.DUMMYFUNCTION("""COMPUTED_VALUE"""),7811.0)</f>
        <v>7811</v>
      </c>
      <c r="D1956" s="9" t="str">
        <f>IFERROR(__xludf.DUMMYFUNCTION("""COMPUTED_VALUE"""),"Completed")</f>
        <v>Completed</v>
      </c>
    </row>
    <row r="1957">
      <c r="A1957" s="9" t="str">
        <f>IFERROR(__xludf.DUMMYFUNCTION("""COMPUTED_VALUE"""),"G-REQ-01956")</f>
        <v>G-REQ-01956</v>
      </c>
      <c r="B1957" s="11">
        <f>IFERROR(__xludf.DUMMYFUNCTION("""COMPUTED_VALUE"""),45900.53223945314)</f>
        <v>45900.53224</v>
      </c>
      <c r="C1957" s="9">
        <f>IFERROR(__xludf.DUMMYFUNCTION("""COMPUTED_VALUE"""),7815.0)</f>
        <v>7815</v>
      </c>
      <c r="D1957" s="9" t="str">
        <f>IFERROR(__xludf.DUMMYFUNCTION("""COMPUTED_VALUE"""),"Completed")</f>
        <v>Completed</v>
      </c>
    </row>
    <row r="1958">
      <c r="A1958" s="9" t="str">
        <f>IFERROR(__xludf.DUMMYFUNCTION("""COMPUTED_VALUE"""),"G-REQ-01957")</f>
        <v>G-REQ-01957</v>
      </c>
      <c r="B1958" s="11">
        <f>IFERROR(__xludf.DUMMYFUNCTION("""COMPUTED_VALUE"""),45900.60341429855)</f>
        <v>45900.60341</v>
      </c>
      <c r="C1958" s="9">
        <f>IFERROR(__xludf.DUMMYFUNCTION("""COMPUTED_VALUE"""),7819.0)</f>
        <v>7819</v>
      </c>
      <c r="D1958" s="9" t="str">
        <f>IFERROR(__xludf.DUMMYFUNCTION("""COMPUTED_VALUE"""),"Completed")</f>
        <v>Completed</v>
      </c>
    </row>
    <row r="1959">
      <c r="A1959" s="9" t="str">
        <f>IFERROR(__xludf.DUMMYFUNCTION("""COMPUTED_VALUE"""),"G-REQ-01958")</f>
        <v>G-REQ-01958</v>
      </c>
      <c r="B1959" s="11">
        <f>IFERROR(__xludf.DUMMYFUNCTION("""COMPUTED_VALUE"""),45900.674589143964)</f>
        <v>45900.67459</v>
      </c>
      <c r="C1959" s="9">
        <f>IFERROR(__xludf.DUMMYFUNCTION("""COMPUTED_VALUE"""),7823.0)</f>
        <v>7823</v>
      </c>
      <c r="D1959" s="9" t="str">
        <f>IFERROR(__xludf.DUMMYFUNCTION("""COMPUTED_VALUE"""),"Completed")</f>
        <v>Completed</v>
      </c>
    </row>
    <row r="1960">
      <c r="A1960" s="9" t="str">
        <f>IFERROR(__xludf.DUMMYFUNCTION("""COMPUTED_VALUE"""),"G-REQ-01959")</f>
        <v>G-REQ-01959</v>
      </c>
      <c r="B1960" s="11">
        <f>IFERROR(__xludf.DUMMYFUNCTION("""COMPUTED_VALUE"""),45900.745763989384)</f>
        <v>45900.74576</v>
      </c>
      <c r="C1960" s="9">
        <f>IFERROR(__xludf.DUMMYFUNCTION("""COMPUTED_VALUE"""),7827.0)</f>
        <v>7827</v>
      </c>
      <c r="D1960" s="9" t="str">
        <f>IFERROR(__xludf.DUMMYFUNCTION("""COMPUTED_VALUE"""),"Completed")</f>
        <v>Completed</v>
      </c>
    </row>
    <row r="1961">
      <c r="A1961" s="9" t="str">
        <f>IFERROR(__xludf.DUMMYFUNCTION("""COMPUTED_VALUE"""),"G-REQ-01960")</f>
        <v>G-REQ-01960</v>
      </c>
      <c r="B1961" s="11">
        <f>IFERROR(__xludf.DUMMYFUNCTION("""COMPUTED_VALUE"""),45900.816938834796)</f>
        <v>45900.81694</v>
      </c>
      <c r="C1961" s="9">
        <f>IFERROR(__xludf.DUMMYFUNCTION("""COMPUTED_VALUE"""),7831.0)</f>
        <v>7831</v>
      </c>
      <c r="D1961" s="9" t="str">
        <f>IFERROR(__xludf.DUMMYFUNCTION("""COMPUTED_VALUE"""),"Completed")</f>
        <v>Completed</v>
      </c>
    </row>
    <row r="1962">
      <c r="A1962" s="9" t="str">
        <f>IFERROR(__xludf.DUMMYFUNCTION("""COMPUTED_VALUE"""),"G-REQ-01961")</f>
        <v>G-REQ-01961</v>
      </c>
      <c r="B1962" s="11">
        <f>IFERROR(__xludf.DUMMYFUNCTION("""COMPUTED_VALUE"""),45900.88116923576)</f>
        <v>45900.88117</v>
      </c>
      <c r="C1962" s="9">
        <f>IFERROR(__xludf.DUMMYFUNCTION("""COMPUTED_VALUE"""),7833.0)</f>
        <v>7833</v>
      </c>
      <c r="D1962" s="9" t="str">
        <f>IFERROR(__xludf.DUMMYFUNCTION("""COMPUTED_VALUE"""),"Cancelled")</f>
        <v>Cancelled</v>
      </c>
    </row>
    <row r="1963">
      <c r="A1963" s="9" t="str">
        <f>IFERROR(__xludf.DUMMYFUNCTION("""COMPUTED_VALUE"""),"G-REQ-01962")</f>
        <v>G-REQ-01962</v>
      </c>
      <c r="B1963" s="11">
        <f>IFERROR(__xludf.DUMMYFUNCTION("""COMPUTED_VALUE"""),45900.95928852563)</f>
        <v>45900.95929</v>
      </c>
      <c r="C1963" s="9">
        <f>IFERROR(__xludf.DUMMYFUNCTION("""COMPUTED_VALUE"""),7837.0)</f>
        <v>7837</v>
      </c>
      <c r="D1963" s="9" t="str">
        <f>IFERROR(__xludf.DUMMYFUNCTION("""COMPUTED_VALUE"""),"Completed")</f>
        <v>Completed</v>
      </c>
    </row>
    <row r="1964">
      <c r="A1964" s="9" t="str">
        <f>IFERROR(__xludf.DUMMYFUNCTION("""COMPUTED_VALUE"""),"G-REQ-01963")</f>
        <v>G-REQ-01963</v>
      </c>
      <c r="B1964" s="11">
        <f>IFERROR(__xludf.DUMMYFUNCTION("""COMPUTED_VALUE"""),45901.03046337105)</f>
        <v>45901.03046</v>
      </c>
      <c r="C1964" s="9">
        <f>IFERROR(__xludf.DUMMYFUNCTION("""COMPUTED_VALUE"""),7841.0)</f>
        <v>7841</v>
      </c>
      <c r="D1964" s="9" t="str">
        <f>IFERROR(__xludf.DUMMYFUNCTION("""COMPUTED_VALUE"""),"Completed")</f>
        <v>Completed</v>
      </c>
    </row>
    <row r="1965">
      <c r="A1965" s="9" t="str">
        <f>IFERROR(__xludf.DUMMYFUNCTION("""COMPUTED_VALUE"""),"G-REQ-01964")</f>
        <v>G-REQ-01964</v>
      </c>
      <c r="B1965" s="11">
        <f>IFERROR(__xludf.DUMMYFUNCTION("""COMPUTED_VALUE"""),45901.10163821645)</f>
        <v>45901.10164</v>
      </c>
      <c r="C1965" s="9">
        <f>IFERROR(__xludf.DUMMYFUNCTION("""COMPUTED_VALUE"""),7845.0)</f>
        <v>7845</v>
      </c>
      <c r="D1965" s="9" t="str">
        <f>IFERROR(__xludf.DUMMYFUNCTION("""COMPUTED_VALUE"""),"Completed")</f>
        <v>Completed</v>
      </c>
    </row>
    <row r="1966">
      <c r="A1966" s="9" t="str">
        <f>IFERROR(__xludf.DUMMYFUNCTION("""COMPUTED_VALUE"""),"G-REQ-01965")</f>
        <v>G-REQ-01965</v>
      </c>
      <c r="B1966" s="11">
        <f>IFERROR(__xludf.DUMMYFUNCTION("""COMPUTED_VALUE"""),45901.16586861743)</f>
        <v>45901.16587</v>
      </c>
      <c r="C1966" s="9">
        <f>IFERROR(__xludf.DUMMYFUNCTION("""COMPUTED_VALUE"""),7847.0)</f>
        <v>7847</v>
      </c>
      <c r="D1966" s="9" t="str">
        <f>IFERROR(__xludf.DUMMYFUNCTION("""COMPUTED_VALUE"""),"Cancelled")</f>
        <v>Cancelled</v>
      </c>
    </row>
    <row r="1967">
      <c r="A1967" s="9" t="str">
        <f>IFERROR(__xludf.DUMMYFUNCTION("""COMPUTED_VALUE"""),"G-REQ-01966")</f>
        <v>G-REQ-01966</v>
      </c>
      <c r="B1967" s="11">
        <f>IFERROR(__xludf.DUMMYFUNCTION("""COMPUTED_VALUE"""),45901.23704346285)</f>
        <v>45901.23704</v>
      </c>
      <c r="C1967" s="9">
        <f>IFERROR(__xludf.DUMMYFUNCTION("""COMPUTED_VALUE"""),7849.0)</f>
        <v>7849</v>
      </c>
      <c r="D1967" s="9" t="str">
        <f>IFERROR(__xludf.DUMMYFUNCTION("""COMPUTED_VALUE"""),"Rejected")</f>
        <v>Rejected</v>
      </c>
    </row>
    <row r="1968">
      <c r="A1968" s="9" t="str">
        <f>IFERROR(__xludf.DUMMYFUNCTION("""COMPUTED_VALUE"""),"G-REQ-01967")</f>
        <v>G-REQ-01967</v>
      </c>
      <c r="B1968" s="11">
        <f>IFERROR(__xludf.DUMMYFUNCTION("""COMPUTED_VALUE"""),45901.315162752704)</f>
        <v>45901.31516</v>
      </c>
      <c r="C1968" s="9">
        <f>IFERROR(__xludf.DUMMYFUNCTION("""COMPUTED_VALUE"""),7853.0)</f>
        <v>7853</v>
      </c>
      <c r="D1968" s="9" t="str">
        <f>IFERROR(__xludf.DUMMYFUNCTION("""COMPUTED_VALUE"""),"Completed")</f>
        <v>Completed</v>
      </c>
    </row>
    <row r="1969">
      <c r="A1969" s="9" t="str">
        <f>IFERROR(__xludf.DUMMYFUNCTION("""COMPUTED_VALUE"""),"G-REQ-01968")</f>
        <v>G-REQ-01968</v>
      </c>
      <c r="B1969" s="11">
        <f>IFERROR(__xludf.DUMMYFUNCTION("""COMPUTED_VALUE"""),45901.38633759812)</f>
        <v>45901.38634</v>
      </c>
      <c r="C1969" s="9">
        <f>IFERROR(__xludf.DUMMYFUNCTION("""COMPUTED_VALUE"""),7857.0)</f>
        <v>7857</v>
      </c>
      <c r="D1969" s="9" t="str">
        <f>IFERROR(__xludf.DUMMYFUNCTION("""COMPUTED_VALUE"""),"Completed")</f>
        <v>Completed</v>
      </c>
    </row>
    <row r="1970">
      <c r="A1970" s="9" t="str">
        <f>IFERROR(__xludf.DUMMYFUNCTION("""COMPUTED_VALUE"""),"G-REQ-01969")</f>
        <v>G-REQ-01969</v>
      </c>
      <c r="B1970" s="11">
        <f>IFERROR(__xludf.DUMMYFUNCTION("""COMPUTED_VALUE"""),45901.457512443536)</f>
        <v>45901.45751</v>
      </c>
      <c r="C1970" s="9">
        <f>IFERROR(__xludf.DUMMYFUNCTION("""COMPUTED_VALUE"""),7861.0)</f>
        <v>7861</v>
      </c>
      <c r="D1970" s="9" t="str">
        <f>IFERROR(__xludf.DUMMYFUNCTION("""COMPUTED_VALUE"""),"Completed")</f>
        <v>Completed</v>
      </c>
    </row>
    <row r="1971">
      <c r="A1971" s="9" t="str">
        <f>IFERROR(__xludf.DUMMYFUNCTION("""COMPUTED_VALUE"""),"G-REQ-01970")</f>
        <v>G-REQ-01970</v>
      </c>
      <c r="B1971" s="11">
        <f>IFERROR(__xludf.DUMMYFUNCTION("""COMPUTED_VALUE"""),45901.52868728895)</f>
        <v>45901.52869</v>
      </c>
      <c r="C1971" s="9">
        <f>IFERROR(__xludf.DUMMYFUNCTION("""COMPUTED_VALUE"""),7865.0)</f>
        <v>7865</v>
      </c>
      <c r="D1971" s="9" t="str">
        <f>IFERROR(__xludf.DUMMYFUNCTION("""COMPUTED_VALUE"""),"Completed")</f>
        <v>Completed</v>
      </c>
    </row>
    <row r="1972">
      <c r="A1972" s="9" t="str">
        <f>IFERROR(__xludf.DUMMYFUNCTION("""COMPUTED_VALUE"""),"G-REQ-01971")</f>
        <v>G-REQ-01971</v>
      </c>
      <c r="B1972" s="11">
        <f>IFERROR(__xludf.DUMMYFUNCTION("""COMPUTED_VALUE"""),45901.59986213436)</f>
        <v>45901.59986</v>
      </c>
      <c r="C1972" s="9">
        <f>IFERROR(__xludf.DUMMYFUNCTION("""COMPUTED_VALUE"""),7869.0)</f>
        <v>7869</v>
      </c>
      <c r="D1972" s="9" t="str">
        <f>IFERROR(__xludf.DUMMYFUNCTION("""COMPUTED_VALUE"""),"Completed")</f>
        <v>Completed</v>
      </c>
    </row>
    <row r="1973">
      <c r="A1973" s="9" t="str">
        <f>IFERROR(__xludf.DUMMYFUNCTION("""COMPUTED_VALUE"""),"G-REQ-01972")</f>
        <v>G-REQ-01972</v>
      </c>
      <c r="B1973" s="11">
        <f>IFERROR(__xludf.DUMMYFUNCTION("""COMPUTED_VALUE"""),45901.664092535335)</f>
        <v>45901.66409</v>
      </c>
      <c r="C1973" s="9">
        <f>IFERROR(__xludf.DUMMYFUNCTION("""COMPUTED_VALUE"""),7871.0)</f>
        <v>7871</v>
      </c>
      <c r="D1973" s="9" t="str">
        <f>IFERROR(__xludf.DUMMYFUNCTION("""COMPUTED_VALUE"""),"Cancelled")</f>
        <v>Cancelled</v>
      </c>
    </row>
    <row r="1974">
      <c r="A1974" s="9" t="str">
        <f>IFERROR(__xludf.DUMMYFUNCTION("""COMPUTED_VALUE"""),"G-REQ-01973")</f>
        <v>G-REQ-01973</v>
      </c>
      <c r="B1974" s="11">
        <f>IFERROR(__xludf.DUMMYFUNCTION("""COMPUTED_VALUE"""),45901.7422118252)</f>
        <v>45901.74221</v>
      </c>
      <c r="C1974" s="9">
        <f>IFERROR(__xludf.DUMMYFUNCTION("""COMPUTED_VALUE"""),7875.0)</f>
        <v>7875</v>
      </c>
      <c r="D1974" s="9" t="str">
        <f>IFERROR(__xludf.DUMMYFUNCTION("""COMPUTED_VALUE"""),"Completed")</f>
        <v>Completed</v>
      </c>
    </row>
    <row r="1975">
      <c r="A1975" s="9" t="str">
        <f>IFERROR(__xludf.DUMMYFUNCTION("""COMPUTED_VALUE"""),"G-REQ-01974")</f>
        <v>G-REQ-01974</v>
      </c>
      <c r="B1975" s="11">
        <f>IFERROR(__xludf.DUMMYFUNCTION("""COMPUTED_VALUE"""),45901.813386670605)</f>
        <v>45901.81339</v>
      </c>
      <c r="C1975" s="9">
        <f>IFERROR(__xludf.DUMMYFUNCTION("""COMPUTED_VALUE"""),7879.0)</f>
        <v>7879</v>
      </c>
      <c r="D1975" s="9" t="str">
        <f>IFERROR(__xludf.DUMMYFUNCTION("""COMPUTED_VALUE"""),"Completed")</f>
        <v>Completed</v>
      </c>
    </row>
    <row r="1976">
      <c r="A1976" s="9" t="str">
        <f>IFERROR(__xludf.DUMMYFUNCTION("""COMPUTED_VALUE"""),"G-REQ-01975")</f>
        <v>G-REQ-01975</v>
      </c>
      <c r="B1976" s="11">
        <f>IFERROR(__xludf.DUMMYFUNCTION("""COMPUTED_VALUE"""),45901.87761707158)</f>
        <v>45901.87762</v>
      </c>
      <c r="C1976" s="9">
        <f>IFERROR(__xludf.DUMMYFUNCTION("""COMPUTED_VALUE"""),7881.0)</f>
        <v>7881</v>
      </c>
      <c r="D1976" s="9" t="str">
        <f>IFERROR(__xludf.DUMMYFUNCTION("""COMPUTED_VALUE"""),"Rejected")</f>
        <v>Rejected</v>
      </c>
    </row>
    <row r="1977">
      <c r="A1977" s="9" t="str">
        <f>IFERROR(__xludf.DUMMYFUNCTION("""COMPUTED_VALUE"""),"G-REQ-01976")</f>
        <v>G-REQ-01976</v>
      </c>
      <c r="B1977" s="11">
        <f>IFERROR(__xludf.DUMMYFUNCTION("""COMPUTED_VALUE"""),45901.94879191699)</f>
        <v>45901.94879</v>
      </c>
      <c r="C1977" s="9">
        <f>IFERROR(__xludf.DUMMYFUNCTION("""COMPUTED_VALUE"""),7883.0)</f>
        <v>7883</v>
      </c>
      <c r="D1977" s="9" t="str">
        <f>IFERROR(__xludf.DUMMYFUNCTION("""COMPUTED_VALUE"""),"Cancelled")</f>
        <v>Cancelled</v>
      </c>
    </row>
    <row r="1978">
      <c r="A1978" s="9" t="str">
        <f>IFERROR(__xludf.DUMMYFUNCTION("""COMPUTED_VALUE"""),"G-REQ-01977")</f>
        <v>G-REQ-01977</v>
      </c>
      <c r="B1978" s="11">
        <f>IFERROR(__xludf.DUMMYFUNCTION("""COMPUTED_VALUE"""),45902.026911206856)</f>
        <v>45902.02691</v>
      </c>
      <c r="C1978" s="9">
        <f>IFERROR(__xludf.DUMMYFUNCTION("""COMPUTED_VALUE"""),7887.0)</f>
        <v>7887</v>
      </c>
      <c r="D1978" s="9" t="str">
        <f>IFERROR(__xludf.DUMMYFUNCTION("""COMPUTED_VALUE"""),"Completed")</f>
        <v>Completed</v>
      </c>
    </row>
    <row r="1979">
      <c r="A1979" s="9" t="str">
        <f>IFERROR(__xludf.DUMMYFUNCTION("""COMPUTED_VALUE"""),"G-REQ-01978")</f>
        <v>G-REQ-01978</v>
      </c>
      <c r="B1979" s="11">
        <f>IFERROR(__xludf.DUMMYFUNCTION("""COMPUTED_VALUE"""),45902.09808605227)</f>
        <v>45902.09809</v>
      </c>
      <c r="C1979" s="9">
        <f>IFERROR(__xludf.DUMMYFUNCTION("""COMPUTED_VALUE"""),7891.0)</f>
        <v>7891</v>
      </c>
      <c r="D1979" s="9" t="str">
        <f>IFERROR(__xludf.DUMMYFUNCTION("""COMPUTED_VALUE"""),"Completed")</f>
        <v>Completed</v>
      </c>
    </row>
    <row r="1980">
      <c r="A1980" s="9" t="str">
        <f>IFERROR(__xludf.DUMMYFUNCTION("""COMPUTED_VALUE"""),"G-REQ-01979")</f>
        <v>G-REQ-01979</v>
      </c>
      <c r="B1980" s="11">
        <f>IFERROR(__xludf.DUMMYFUNCTION("""COMPUTED_VALUE"""),45902.16926089769)</f>
        <v>45902.16926</v>
      </c>
      <c r="C1980" s="9">
        <f>IFERROR(__xludf.DUMMYFUNCTION("""COMPUTED_VALUE"""),7895.0)</f>
        <v>7895</v>
      </c>
      <c r="D1980" s="9" t="str">
        <f>IFERROR(__xludf.DUMMYFUNCTION("""COMPUTED_VALUE"""),"Completed")</f>
        <v>Completed</v>
      </c>
    </row>
    <row r="1981">
      <c r="A1981" s="9" t="str">
        <f>IFERROR(__xludf.DUMMYFUNCTION("""COMPUTED_VALUE"""),"G-REQ-01980")</f>
        <v>G-REQ-01980</v>
      </c>
      <c r="B1981" s="11">
        <f>IFERROR(__xludf.DUMMYFUNCTION("""COMPUTED_VALUE"""),45902.24043574309)</f>
        <v>45902.24044</v>
      </c>
      <c r="C1981" s="9">
        <f>IFERROR(__xludf.DUMMYFUNCTION("""COMPUTED_VALUE"""),7899.0)</f>
        <v>7899</v>
      </c>
      <c r="D1981" s="9" t="str">
        <f>IFERROR(__xludf.DUMMYFUNCTION("""COMPUTED_VALUE"""),"Completed")</f>
        <v>Completed</v>
      </c>
    </row>
    <row r="1982">
      <c r="A1982" s="9" t="str">
        <f>IFERROR(__xludf.DUMMYFUNCTION("""COMPUTED_VALUE"""),"G-REQ-01981")</f>
        <v>G-REQ-01981</v>
      </c>
      <c r="B1982" s="11">
        <f>IFERROR(__xludf.DUMMYFUNCTION("""COMPUTED_VALUE"""),45902.31161058851)</f>
        <v>45902.31161</v>
      </c>
      <c r="C1982" s="9">
        <f>IFERROR(__xludf.DUMMYFUNCTION("""COMPUTED_VALUE"""),7903.0)</f>
        <v>7903</v>
      </c>
      <c r="D1982" s="9" t="str">
        <f>IFERROR(__xludf.DUMMYFUNCTION("""COMPUTED_VALUE"""),"Completed")</f>
        <v>Completed</v>
      </c>
    </row>
    <row r="1983">
      <c r="A1983" s="9" t="str">
        <f>IFERROR(__xludf.DUMMYFUNCTION("""COMPUTED_VALUE"""),"G-REQ-01982")</f>
        <v>G-REQ-01982</v>
      </c>
      <c r="B1983" s="11">
        <f>IFERROR(__xludf.DUMMYFUNCTION("""COMPUTED_VALUE"""),45902.38278543393)</f>
        <v>45902.38279</v>
      </c>
      <c r="C1983" s="9">
        <f>IFERROR(__xludf.DUMMYFUNCTION("""COMPUTED_VALUE"""),7907.0)</f>
        <v>7907</v>
      </c>
      <c r="D1983" s="9" t="str">
        <f>IFERROR(__xludf.DUMMYFUNCTION("""COMPUTED_VALUE"""),"Completed")</f>
        <v>Completed</v>
      </c>
    </row>
    <row r="1984">
      <c r="A1984" s="9" t="str">
        <f>IFERROR(__xludf.DUMMYFUNCTION("""COMPUTED_VALUE"""),"G-REQ-01983")</f>
        <v>G-REQ-01983</v>
      </c>
      <c r="B1984" s="11">
        <f>IFERROR(__xludf.DUMMYFUNCTION("""COMPUTED_VALUE"""),45902.453960279345)</f>
        <v>45902.45396</v>
      </c>
      <c r="C1984" s="9">
        <f>IFERROR(__xludf.DUMMYFUNCTION("""COMPUTED_VALUE"""),7911.0)</f>
        <v>7911</v>
      </c>
      <c r="D1984" s="9" t="str">
        <f>IFERROR(__xludf.DUMMYFUNCTION("""COMPUTED_VALUE"""),"Completed")</f>
        <v>Completed</v>
      </c>
    </row>
    <row r="1985">
      <c r="A1985" s="9" t="str">
        <f>IFERROR(__xludf.DUMMYFUNCTION("""COMPUTED_VALUE"""),"G-REQ-01984")</f>
        <v>G-REQ-01984</v>
      </c>
      <c r="B1985" s="11">
        <f>IFERROR(__xludf.DUMMYFUNCTION("""COMPUTED_VALUE"""),45902.52513512476)</f>
        <v>45902.52514</v>
      </c>
      <c r="C1985" s="9">
        <f>IFERROR(__xludf.DUMMYFUNCTION("""COMPUTED_VALUE"""),7915.0)</f>
        <v>7915</v>
      </c>
      <c r="D1985" s="9" t="str">
        <f>IFERROR(__xludf.DUMMYFUNCTION("""COMPUTED_VALUE"""),"Completed")</f>
        <v>Completed</v>
      </c>
    </row>
    <row r="1986">
      <c r="A1986" s="9" t="str">
        <f>IFERROR(__xludf.DUMMYFUNCTION("""COMPUTED_VALUE"""),"G-REQ-01985")</f>
        <v>G-REQ-01985</v>
      </c>
      <c r="B1986" s="11">
        <f>IFERROR(__xludf.DUMMYFUNCTION("""COMPUTED_VALUE"""),45902.59630997018)</f>
        <v>45902.59631</v>
      </c>
      <c r="C1986" s="9">
        <f>IFERROR(__xludf.DUMMYFUNCTION("""COMPUTED_VALUE"""),7919.0)</f>
        <v>7919</v>
      </c>
      <c r="D1986" s="9" t="str">
        <f>IFERROR(__xludf.DUMMYFUNCTION("""COMPUTED_VALUE"""),"Completed")</f>
        <v>Completed</v>
      </c>
    </row>
    <row r="1987">
      <c r="A1987" s="9" t="str">
        <f>IFERROR(__xludf.DUMMYFUNCTION("""COMPUTED_VALUE"""),"G-REQ-01986")</f>
        <v>G-REQ-01986</v>
      </c>
      <c r="B1987" s="11">
        <f>IFERROR(__xludf.DUMMYFUNCTION("""COMPUTED_VALUE"""),45902.660540371144)</f>
        <v>45902.66054</v>
      </c>
      <c r="C1987" s="9">
        <f>IFERROR(__xludf.DUMMYFUNCTION("""COMPUTED_VALUE"""),7921.0)</f>
        <v>7921</v>
      </c>
      <c r="D1987" s="9" t="str">
        <f>IFERROR(__xludf.DUMMYFUNCTION("""COMPUTED_VALUE"""),"Cancelled")</f>
        <v>Cancelled</v>
      </c>
    </row>
    <row r="1988">
      <c r="A1988" s="9" t="str">
        <f>IFERROR(__xludf.DUMMYFUNCTION("""COMPUTED_VALUE"""),"G-REQ-01987")</f>
        <v>G-REQ-01987</v>
      </c>
      <c r="B1988" s="11">
        <f>IFERROR(__xludf.DUMMYFUNCTION("""COMPUTED_VALUE"""),45902.738659661)</f>
        <v>45902.73866</v>
      </c>
      <c r="C1988" s="9">
        <f>IFERROR(__xludf.DUMMYFUNCTION("""COMPUTED_VALUE"""),7925.0)</f>
        <v>7925</v>
      </c>
      <c r="D1988" s="9" t="str">
        <f>IFERROR(__xludf.DUMMYFUNCTION("""COMPUTED_VALUE"""),"Completed")</f>
        <v>Completed</v>
      </c>
    </row>
    <row r="1989">
      <c r="A1989" s="9" t="str">
        <f>IFERROR(__xludf.DUMMYFUNCTION("""COMPUTED_VALUE"""),"G-REQ-01988")</f>
        <v>G-REQ-01988</v>
      </c>
      <c r="B1989" s="11">
        <f>IFERROR(__xludf.DUMMYFUNCTION("""COMPUTED_VALUE"""),45902.80983450642)</f>
        <v>45902.80983</v>
      </c>
      <c r="C1989" s="9">
        <f>IFERROR(__xludf.DUMMYFUNCTION("""COMPUTED_VALUE"""),7929.0)</f>
        <v>7929</v>
      </c>
      <c r="D1989" s="9" t="str">
        <f>IFERROR(__xludf.DUMMYFUNCTION("""COMPUTED_VALUE"""),"Completed")</f>
        <v>Completed</v>
      </c>
    </row>
    <row r="1990">
      <c r="A1990" s="9" t="str">
        <f>IFERROR(__xludf.DUMMYFUNCTION("""COMPUTED_VALUE"""),"G-REQ-01989")</f>
        <v>G-REQ-01989</v>
      </c>
      <c r="B1990" s="11">
        <f>IFERROR(__xludf.DUMMYFUNCTION("""COMPUTED_VALUE"""),45902.874064907395)</f>
        <v>45902.87406</v>
      </c>
      <c r="C1990" s="9">
        <f>IFERROR(__xludf.DUMMYFUNCTION("""COMPUTED_VALUE"""),7931.0)</f>
        <v>7931</v>
      </c>
      <c r="D1990" s="9" t="str">
        <f>IFERROR(__xludf.DUMMYFUNCTION("""COMPUTED_VALUE"""),"Rejected")</f>
        <v>Rejected</v>
      </c>
    </row>
    <row r="1991">
      <c r="A1991" s="9" t="str">
        <f>IFERROR(__xludf.DUMMYFUNCTION("""COMPUTED_VALUE"""),"G-REQ-01990")</f>
        <v>G-REQ-01990</v>
      </c>
      <c r="B1991" s="11">
        <f>IFERROR(__xludf.DUMMYFUNCTION("""COMPUTED_VALUE"""),45902.952184197246)</f>
        <v>45902.95218</v>
      </c>
      <c r="C1991" s="9">
        <f>IFERROR(__xludf.DUMMYFUNCTION("""COMPUTED_VALUE"""),7935.0)</f>
        <v>7935</v>
      </c>
      <c r="D1991" s="9" t="str">
        <f>IFERROR(__xludf.DUMMYFUNCTION("""COMPUTED_VALUE"""),"Completed")</f>
        <v>Completed</v>
      </c>
    </row>
    <row r="1992">
      <c r="A1992" s="9" t="str">
        <f>IFERROR(__xludf.DUMMYFUNCTION("""COMPUTED_VALUE"""),"G-REQ-01991")</f>
        <v>G-REQ-01991</v>
      </c>
      <c r="B1992" s="11">
        <f>IFERROR(__xludf.DUMMYFUNCTION("""COMPUTED_VALUE"""),45903.023359042665)</f>
        <v>45903.02336</v>
      </c>
      <c r="C1992" s="9">
        <f>IFERROR(__xludf.DUMMYFUNCTION("""COMPUTED_VALUE"""),7939.0)</f>
        <v>7939</v>
      </c>
      <c r="D1992" s="9" t="str">
        <f>IFERROR(__xludf.DUMMYFUNCTION("""COMPUTED_VALUE"""),"Completed")</f>
        <v>Completed</v>
      </c>
    </row>
    <row r="1993">
      <c r="A1993" s="9" t="str">
        <f>IFERROR(__xludf.DUMMYFUNCTION("""COMPUTED_VALUE"""),"G-REQ-01992")</f>
        <v>G-REQ-01992</v>
      </c>
      <c r="B1993" s="11">
        <f>IFERROR(__xludf.DUMMYFUNCTION("""COMPUTED_VALUE"""),45903.09453388808)</f>
        <v>45903.09453</v>
      </c>
      <c r="C1993" s="9">
        <f>IFERROR(__xludf.DUMMYFUNCTION("""COMPUTED_VALUE"""),7943.0)</f>
        <v>7943</v>
      </c>
      <c r="D1993" s="9" t="str">
        <f>IFERROR(__xludf.DUMMYFUNCTION("""COMPUTED_VALUE"""),"Completed")</f>
        <v>Completed</v>
      </c>
    </row>
    <row r="1994">
      <c r="A1994" s="9" t="str">
        <f>IFERROR(__xludf.DUMMYFUNCTION("""COMPUTED_VALUE"""),"G-REQ-01993")</f>
        <v>G-REQ-01993</v>
      </c>
      <c r="B1994" s="11">
        <f>IFERROR(__xludf.DUMMYFUNCTION("""COMPUTED_VALUE"""),45903.1657087335)</f>
        <v>45903.16571</v>
      </c>
      <c r="C1994" s="9">
        <f>IFERROR(__xludf.DUMMYFUNCTION("""COMPUTED_VALUE"""),7947.0)</f>
        <v>7947</v>
      </c>
      <c r="D1994" s="9" t="str">
        <f>IFERROR(__xludf.DUMMYFUNCTION("""COMPUTED_VALUE"""),"Completed")</f>
        <v>Completed</v>
      </c>
    </row>
    <row r="1995">
      <c r="A1995" s="9" t="str">
        <f>IFERROR(__xludf.DUMMYFUNCTION("""COMPUTED_VALUE"""),"G-REQ-01994")</f>
        <v>G-REQ-01994</v>
      </c>
      <c r="B1995" s="11">
        <f>IFERROR(__xludf.DUMMYFUNCTION("""COMPUTED_VALUE"""),45903.23688357891)</f>
        <v>45903.23688</v>
      </c>
      <c r="C1995" s="9">
        <f>IFERROR(__xludf.DUMMYFUNCTION("""COMPUTED_VALUE"""),7951.0)</f>
        <v>7951</v>
      </c>
      <c r="D1995" s="9" t="str">
        <f>IFERROR(__xludf.DUMMYFUNCTION("""COMPUTED_VALUE"""),"Completed")</f>
        <v>Completed</v>
      </c>
    </row>
    <row r="1996">
      <c r="A1996" s="9" t="str">
        <f>IFERROR(__xludf.DUMMYFUNCTION("""COMPUTED_VALUE"""),"G-REQ-01995")</f>
        <v>G-REQ-01995</v>
      </c>
      <c r="B1996" s="11">
        <f>IFERROR(__xludf.DUMMYFUNCTION("""COMPUTED_VALUE"""),45903.30805842433)</f>
        <v>45903.30806</v>
      </c>
      <c r="C1996" s="9">
        <f>IFERROR(__xludf.DUMMYFUNCTION("""COMPUTED_VALUE"""),7955.0)</f>
        <v>7955</v>
      </c>
      <c r="D1996" s="9" t="str">
        <f>IFERROR(__xludf.DUMMYFUNCTION("""COMPUTED_VALUE"""),"Completed")</f>
        <v>Completed</v>
      </c>
    </row>
    <row r="1997">
      <c r="A1997" s="9" t="str">
        <f>IFERROR(__xludf.DUMMYFUNCTION("""COMPUTED_VALUE"""),"G-REQ-01996")</f>
        <v>G-REQ-01996</v>
      </c>
      <c r="B1997" s="11">
        <f>IFERROR(__xludf.DUMMYFUNCTION("""COMPUTED_VALUE"""),45903.37923326974)</f>
        <v>45903.37923</v>
      </c>
      <c r="C1997" s="9">
        <f>IFERROR(__xludf.DUMMYFUNCTION("""COMPUTED_VALUE"""),7959.0)</f>
        <v>7959</v>
      </c>
      <c r="D1997" s="9" t="str">
        <f>IFERROR(__xludf.DUMMYFUNCTION("""COMPUTED_VALUE"""),"Completed")</f>
        <v>Completed</v>
      </c>
    </row>
    <row r="1998">
      <c r="A1998" s="9" t="str">
        <f>IFERROR(__xludf.DUMMYFUNCTION("""COMPUTED_VALUE"""),"G-REQ-01997")</f>
        <v>G-REQ-01997</v>
      </c>
      <c r="B1998" s="11">
        <f>IFERROR(__xludf.DUMMYFUNCTION("""COMPUTED_VALUE"""),45903.45040811515)</f>
        <v>45903.45041</v>
      </c>
      <c r="C1998" s="9">
        <f>IFERROR(__xludf.DUMMYFUNCTION("""COMPUTED_VALUE"""),7963.0)</f>
        <v>7963</v>
      </c>
      <c r="D1998" s="9" t="str">
        <f>IFERROR(__xludf.DUMMYFUNCTION("""COMPUTED_VALUE"""),"Completed")</f>
        <v>Completed</v>
      </c>
    </row>
    <row r="1999">
      <c r="A1999" s="9" t="str">
        <f>IFERROR(__xludf.DUMMYFUNCTION("""COMPUTED_VALUE"""),"G-REQ-01998")</f>
        <v>G-REQ-01998</v>
      </c>
      <c r="B1999" s="11">
        <f>IFERROR(__xludf.DUMMYFUNCTION("""COMPUTED_VALUE"""),45903.52158296057)</f>
        <v>45903.52158</v>
      </c>
      <c r="C1999" s="9">
        <f>IFERROR(__xludf.DUMMYFUNCTION("""COMPUTED_VALUE"""),7967.0)</f>
        <v>7967</v>
      </c>
      <c r="D1999" s="9" t="str">
        <f>IFERROR(__xludf.DUMMYFUNCTION("""COMPUTED_VALUE"""),"Completed")</f>
        <v>Completed</v>
      </c>
    </row>
    <row r="2000">
      <c r="A2000" s="9" t="str">
        <f>IFERROR(__xludf.DUMMYFUNCTION("""COMPUTED_VALUE"""),"G-REQ-01999")</f>
        <v>G-REQ-01999</v>
      </c>
      <c r="B2000" s="11">
        <f>IFERROR(__xludf.DUMMYFUNCTION("""COMPUTED_VALUE"""),45903.592757805985)</f>
        <v>45903.59276</v>
      </c>
      <c r="C2000" s="9">
        <f>IFERROR(__xludf.DUMMYFUNCTION("""COMPUTED_VALUE"""),7971.0)</f>
        <v>7971</v>
      </c>
      <c r="D2000" s="9" t="str">
        <f>IFERROR(__xludf.DUMMYFUNCTION("""COMPUTED_VALUE"""),"Completed")</f>
        <v>Completed</v>
      </c>
    </row>
    <row r="2001">
      <c r="A2001" s="9" t="str">
        <f>IFERROR(__xludf.DUMMYFUNCTION("""COMPUTED_VALUE"""),"G-REQ-02000")</f>
        <v>G-REQ-02000</v>
      </c>
      <c r="B2001" s="11">
        <f>IFERROR(__xludf.DUMMYFUNCTION("""COMPUTED_VALUE"""),45903.6639326514)</f>
        <v>45903.66393</v>
      </c>
      <c r="C2001" s="9">
        <f>IFERROR(__xludf.DUMMYFUNCTION("""COMPUTED_VALUE"""),7975.0)</f>
        <v>7975</v>
      </c>
      <c r="D2001" s="9" t="str">
        <f>IFERROR(__xludf.DUMMYFUNCTION("""COMPUTED_VALUE"""),"Completed")</f>
        <v>Completed</v>
      </c>
    </row>
    <row r="2002">
      <c r="A2002" s="9" t="str">
        <f>IFERROR(__xludf.DUMMYFUNCTION("""COMPUTED_VALUE"""),"G-REQ-02001")</f>
        <v>G-REQ-02001</v>
      </c>
      <c r="B2002" s="11">
        <f>IFERROR(__xludf.DUMMYFUNCTION("""COMPUTED_VALUE"""),45903.73510749682)</f>
        <v>45903.73511</v>
      </c>
      <c r="C2002" s="9">
        <f>IFERROR(__xludf.DUMMYFUNCTION("""COMPUTED_VALUE"""),7979.0)</f>
        <v>7979</v>
      </c>
      <c r="D2002" s="9" t="str">
        <f>IFERROR(__xludf.DUMMYFUNCTION("""COMPUTED_VALUE"""),"Completed")</f>
        <v>Completed</v>
      </c>
    </row>
    <row r="2003">
      <c r="A2003" s="9" t="str">
        <f>IFERROR(__xludf.DUMMYFUNCTION("""COMPUTED_VALUE"""),"G-REQ-02002")</f>
        <v>G-REQ-02002</v>
      </c>
      <c r="B2003" s="11">
        <f>IFERROR(__xludf.DUMMYFUNCTION("""COMPUTED_VALUE"""),45903.80628234223)</f>
        <v>45903.80628</v>
      </c>
      <c r="C2003" s="9">
        <f>IFERROR(__xludf.DUMMYFUNCTION("""COMPUTED_VALUE"""),7983.0)</f>
        <v>7983</v>
      </c>
      <c r="D2003" s="9" t="str">
        <f>IFERROR(__xludf.DUMMYFUNCTION("""COMPUTED_VALUE"""),"Completed")</f>
        <v>Completed</v>
      </c>
    </row>
    <row r="2004">
      <c r="A2004" s="9" t="str">
        <f>IFERROR(__xludf.DUMMYFUNCTION("""COMPUTED_VALUE"""),"G-REQ-02003")</f>
        <v>G-REQ-02003</v>
      </c>
      <c r="B2004" s="11">
        <f>IFERROR(__xludf.DUMMYFUNCTION("""COMPUTED_VALUE"""),45903.87745718764)</f>
        <v>45903.87746</v>
      </c>
      <c r="C2004" s="9">
        <f>IFERROR(__xludf.DUMMYFUNCTION("""COMPUTED_VALUE"""),7987.0)</f>
        <v>7987</v>
      </c>
      <c r="D2004" s="9" t="str">
        <f>IFERROR(__xludf.DUMMYFUNCTION("""COMPUTED_VALUE"""),"Completed")</f>
        <v>Completed</v>
      </c>
    </row>
    <row r="2005">
      <c r="A2005" s="9" t="str">
        <f>IFERROR(__xludf.DUMMYFUNCTION("""COMPUTED_VALUE"""),"G-REQ-02004")</f>
        <v>G-REQ-02004</v>
      </c>
      <c r="B2005" s="11">
        <f>IFERROR(__xludf.DUMMYFUNCTION("""COMPUTED_VALUE"""),45903.94863203306)</f>
        <v>45903.94863</v>
      </c>
      <c r="C2005" s="9">
        <f>IFERROR(__xludf.DUMMYFUNCTION("""COMPUTED_VALUE"""),7991.0)</f>
        <v>7991</v>
      </c>
      <c r="D2005" s="9" t="str">
        <f>IFERROR(__xludf.DUMMYFUNCTION("""COMPUTED_VALUE"""),"Completed")</f>
        <v>Completed</v>
      </c>
    </row>
    <row r="2006">
      <c r="A2006" s="9" t="str">
        <f>IFERROR(__xludf.DUMMYFUNCTION("""COMPUTED_VALUE"""),"G-REQ-02005")</f>
        <v>G-REQ-02005</v>
      </c>
      <c r="B2006" s="11">
        <f>IFERROR(__xludf.DUMMYFUNCTION("""COMPUTED_VALUE"""),45904.012862434036)</f>
        <v>45904.01286</v>
      </c>
      <c r="C2006" s="9">
        <f>IFERROR(__xludf.DUMMYFUNCTION("""COMPUTED_VALUE"""),7993.0)</f>
        <v>7993</v>
      </c>
      <c r="D2006" s="9" t="str">
        <f>IFERROR(__xludf.DUMMYFUNCTION("""COMPUTED_VALUE"""),"Rejected")</f>
        <v>Rejected</v>
      </c>
    </row>
    <row r="2007">
      <c r="A2007" s="9" t="str">
        <f>IFERROR(__xludf.DUMMYFUNCTION("""COMPUTED_VALUE"""),"G-REQ-02006")</f>
        <v>G-REQ-02006</v>
      </c>
      <c r="B2007" s="11">
        <f>IFERROR(__xludf.DUMMYFUNCTION("""COMPUTED_VALUE"""),45904.090981723886)</f>
        <v>45904.09098</v>
      </c>
      <c r="C2007" s="9">
        <f>IFERROR(__xludf.DUMMYFUNCTION("""COMPUTED_VALUE"""),7997.0)</f>
        <v>7997</v>
      </c>
      <c r="D2007" s="9" t="str">
        <f>IFERROR(__xludf.DUMMYFUNCTION("""COMPUTED_VALUE"""),"Completed")</f>
        <v>Completed</v>
      </c>
    </row>
    <row r="2008">
      <c r="A2008" s="9" t="str">
        <f>IFERROR(__xludf.DUMMYFUNCTION("""COMPUTED_VALUE"""),"G-REQ-02007")</f>
        <v>G-REQ-02007</v>
      </c>
      <c r="B2008" s="11">
        <f>IFERROR(__xludf.DUMMYFUNCTION("""COMPUTED_VALUE"""),45904.162156569306)</f>
        <v>45904.16216</v>
      </c>
      <c r="C2008" s="9">
        <f>IFERROR(__xludf.DUMMYFUNCTION("""COMPUTED_VALUE"""),8001.0)</f>
        <v>8001</v>
      </c>
      <c r="D2008" s="9" t="str">
        <f>IFERROR(__xludf.DUMMYFUNCTION("""COMPUTED_VALUE"""),"Completed")</f>
        <v>Completed</v>
      </c>
    </row>
    <row r="2009">
      <c r="A2009" s="9" t="str">
        <f>IFERROR(__xludf.DUMMYFUNCTION("""COMPUTED_VALUE"""),"G-REQ-02008")</f>
        <v>G-REQ-02008</v>
      </c>
      <c r="B2009" s="11">
        <f>IFERROR(__xludf.DUMMYFUNCTION("""COMPUTED_VALUE"""),45904.233331414725)</f>
        <v>45904.23333</v>
      </c>
      <c r="C2009" s="9">
        <f>IFERROR(__xludf.DUMMYFUNCTION("""COMPUTED_VALUE"""),8005.0)</f>
        <v>8005</v>
      </c>
      <c r="D2009" s="9" t="str">
        <f>IFERROR(__xludf.DUMMYFUNCTION("""COMPUTED_VALUE"""),"Completed")</f>
        <v>Completed</v>
      </c>
    </row>
    <row r="2010">
      <c r="A2010" s="9" t="str">
        <f>IFERROR(__xludf.DUMMYFUNCTION("""COMPUTED_VALUE"""),"G-REQ-02009")</f>
        <v>G-REQ-02009</v>
      </c>
      <c r="B2010" s="11">
        <f>IFERROR(__xludf.DUMMYFUNCTION("""COMPUTED_VALUE"""),45904.30450626014)</f>
        <v>45904.30451</v>
      </c>
      <c r="C2010" s="9">
        <f>IFERROR(__xludf.DUMMYFUNCTION("""COMPUTED_VALUE"""),8009.0)</f>
        <v>8009</v>
      </c>
      <c r="D2010" s="9" t="str">
        <f>IFERROR(__xludf.DUMMYFUNCTION("""COMPUTED_VALUE"""),"Completed")</f>
        <v>Completed</v>
      </c>
    </row>
    <row r="2011">
      <c r="A2011" s="9" t="str">
        <f>IFERROR(__xludf.DUMMYFUNCTION("""COMPUTED_VALUE"""),"G-REQ-02010")</f>
        <v>G-REQ-02010</v>
      </c>
      <c r="B2011" s="11">
        <f>IFERROR(__xludf.DUMMYFUNCTION("""COMPUTED_VALUE"""),45904.37568110555)</f>
        <v>45904.37568</v>
      </c>
      <c r="C2011" s="9">
        <f>IFERROR(__xludf.DUMMYFUNCTION("""COMPUTED_VALUE"""),8013.0)</f>
        <v>8013</v>
      </c>
      <c r="D2011" s="9" t="str">
        <f>IFERROR(__xludf.DUMMYFUNCTION("""COMPUTED_VALUE"""),"Completed")</f>
        <v>Completed</v>
      </c>
    </row>
    <row r="2012">
      <c r="A2012" s="9" t="str">
        <f>IFERROR(__xludf.DUMMYFUNCTION("""COMPUTED_VALUE"""),"G-REQ-02011")</f>
        <v>G-REQ-02011</v>
      </c>
      <c r="B2012" s="11">
        <f>IFERROR(__xludf.DUMMYFUNCTION("""COMPUTED_VALUE"""),45904.44685595097)</f>
        <v>45904.44686</v>
      </c>
      <c r="C2012" s="9">
        <f>IFERROR(__xludf.DUMMYFUNCTION("""COMPUTED_VALUE"""),8017.0)</f>
        <v>8017</v>
      </c>
      <c r="D2012" s="9" t="str">
        <f>IFERROR(__xludf.DUMMYFUNCTION("""COMPUTED_VALUE"""),"Completed")</f>
        <v>Completed</v>
      </c>
    </row>
    <row r="2013">
      <c r="A2013" s="9" t="str">
        <f>IFERROR(__xludf.DUMMYFUNCTION("""COMPUTED_VALUE"""),"G-REQ-02012")</f>
        <v>G-REQ-02012</v>
      </c>
      <c r="B2013" s="11">
        <f>IFERROR(__xludf.DUMMYFUNCTION("""COMPUTED_VALUE"""),45904.51108635194)</f>
        <v>45904.51109</v>
      </c>
      <c r="C2013" s="9">
        <f>IFERROR(__xludf.DUMMYFUNCTION("""COMPUTED_VALUE"""),8019.0)</f>
        <v>8019</v>
      </c>
      <c r="D2013" s="9" t="str">
        <f>IFERROR(__xludf.DUMMYFUNCTION("""COMPUTED_VALUE"""),"Rejected")</f>
        <v>Rejected</v>
      </c>
    </row>
    <row r="2014">
      <c r="A2014" s="9" t="str">
        <f>IFERROR(__xludf.DUMMYFUNCTION("""COMPUTED_VALUE"""),"G-REQ-02013")</f>
        <v>G-REQ-02013</v>
      </c>
      <c r="B2014" s="11">
        <f>IFERROR(__xludf.DUMMYFUNCTION("""COMPUTED_VALUE"""),45904.589205641794)</f>
        <v>45904.58921</v>
      </c>
      <c r="C2014" s="9">
        <f>IFERROR(__xludf.DUMMYFUNCTION("""COMPUTED_VALUE"""),8023.0)</f>
        <v>8023</v>
      </c>
      <c r="D2014" s="9" t="str">
        <f>IFERROR(__xludf.DUMMYFUNCTION("""COMPUTED_VALUE"""),"Completed")</f>
        <v>Completed</v>
      </c>
    </row>
    <row r="2015">
      <c r="A2015" s="9" t="str">
        <f>IFERROR(__xludf.DUMMYFUNCTION("""COMPUTED_VALUE"""),"G-REQ-02014")</f>
        <v>G-REQ-02014</v>
      </c>
      <c r="B2015" s="11">
        <f>IFERROR(__xludf.DUMMYFUNCTION("""COMPUTED_VALUE"""),45904.660380487214)</f>
        <v>45904.66038</v>
      </c>
      <c r="C2015" s="9">
        <f>IFERROR(__xludf.DUMMYFUNCTION("""COMPUTED_VALUE"""),8027.0)</f>
        <v>8027</v>
      </c>
      <c r="D2015" s="9" t="str">
        <f>IFERROR(__xludf.DUMMYFUNCTION("""COMPUTED_VALUE"""),"Completed")</f>
        <v>Completed</v>
      </c>
    </row>
    <row r="2016">
      <c r="A2016" s="9" t="str">
        <f>IFERROR(__xludf.DUMMYFUNCTION("""COMPUTED_VALUE"""),"G-REQ-02015")</f>
        <v>G-REQ-02015</v>
      </c>
      <c r="B2016" s="11">
        <f>IFERROR(__xludf.DUMMYFUNCTION("""COMPUTED_VALUE"""),45904.731555332626)</f>
        <v>45904.73156</v>
      </c>
      <c r="C2016" s="9">
        <f>IFERROR(__xludf.DUMMYFUNCTION("""COMPUTED_VALUE"""),8031.0)</f>
        <v>8031</v>
      </c>
      <c r="D2016" s="9" t="str">
        <f>IFERROR(__xludf.DUMMYFUNCTION("""COMPUTED_VALUE"""),"Completed")</f>
        <v>Completed</v>
      </c>
    </row>
    <row r="2017">
      <c r="A2017" s="9" t="str">
        <f>IFERROR(__xludf.DUMMYFUNCTION("""COMPUTED_VALUE"""),"G-REQ-02016")</f>
        <v>G-REQ-02016</v>
      </c>
      <c r="B2017" s="11">
        <f>IFERROR(__xludf.DUMMYFUNCTION("""COMPUTED_VALUE"""),45904.79578573359)</f>
        <v>45904.79579</v>
      </c>
      <c r="C2017" s="9">
        <f>IFERROR(__xludf.DUMMYFUNCTION("""COMPUTED_VALUE"""),8033.0)</f>
        <v>8033</v>
      </c>
      <c r="D2017" s="9" t="str">
        <f>IFERROR(__xludf.DUMMYFUNCTION("""COMPUTED_VALUE"""),"Rejected")</f>
        <v>Rejected</v>
      </c>
    </row>
    <row r="2018">
      <c r="A2018" s="9" t="str">
        <f>IFERROR(__xludf.DUMMYFUNCTION("""COMPUTED_VALUE"""),"G-REQ-02017")</f>
        <v>G-REQ-02017</v>
      </c>
      <c r="B2018" s="11">
        <f>IFERROR(__xludf.DUMMYFUNCTION("""COMPUTED_VALUE"""),45904.87390502346)</f>
        <v>45904.87391</v>
      </c>
      <c r="C2018" s="9">
        <f>IFERROR(__xludf.DUMMYFUNCTION("""COMPUTED_VALUE"""),8037.0)</f>
        <v>8037</v>
      </c>
      <c r="D2018" s="9" t="str">
        <f>IFERROR(__xludf.DUMMYFUNCTION("""COMPUTED_VALUE"""),"Completed")</f>
        <v>Completed</v>
      </c>
    </row>
    <row r="2019">
      <c r="A2019" s="9" t="str">
        <f>IFERROR(__xludf.DUMMYFUNCTION("""COMPUTED_VALUE"""),"G-REQ-02018")</f>
        <v>G-REQ-02018</v>
      </c>
      <c r="B2019" s="11">
        <f>IFERROR(__xludf.DUMMYFUNCTION("""COMPUTED_VALUE"""),45904.94507986887)</f>
        <v>45904.94508</v>
      </c>
      <c r="C2019" s="9">
        <f>IFERROR(__xludf.DUMMYFUNCTION("""COMPUTED_VALUE"""),8041.0)</f>
        <v>8041</v>
      </c>
      <c r="D2019" s="9" t="str">
        <f>IFERROR(__xludf.DUMMYFUNCTION("""COMPUTED_VALUE"""),"Completed")</f>
        <v>Completed</v>
      </c>
    </row>
    <row r="2020">
      <c r="A2020" s="9" t="str">
        <f>IFERROR(__xludf.DUMMYFUNCTION("""COMPUTED_VALUE"""),"G-REQ-02019")</f>
        <v>G-REQ-02019</v>
      </c>
      <c r="B2020" s="11">
        <f>IFERROR(__xludf.DUMMYFUNCTION("""COMPUTED_VALUE"""),45905.009310269845)</f>
        <v>45905.00931</v>
      </c>
      <c r="C2020" s="9">
        <f>IFERROR(__xludf.DUMMYFUNCTION("""COMPUTED_VALUE"""),8043.0)</f>
        <v>8043</v>
      </c>
      <c r="D2020" s="9" t="str">
        <f>IFERROR(__xludf.DUMMYFUNCTION("""COMPUTED_VALUE"""),"Cancelled")</f>
        <v>Cancelled</v>
      </c>
    </row>
    <row r="2021">
      <c r="A2021" s="9" t="str">
        <f>IFERROR(__xludf.DUMMYFUNCTION("""COMPUTED_VALUE"""),"G-REQ-02020")</f>
        <v>G-REQ-02020</v>
      </c>
      <c r="B2021" s="11">
        <f>IFERROR(__xludf.DUMMYFUNCTION("""COMPUTED_VALUE"""),45905.0874295597)</f>
        <v>45905.08743</v>
      </c>
      <c r="C2021" s="9">
        <f>IFERROR(__xludf.DUMMYFUNCTION("""COMPUTED_VALUE"""),8047.0)</f>
        <v>8047</v>
      </c>
      <c r="D2021" s="9" t="str">
        <f>IFERROR(__xludf.DUMMYFUNCTION("""COMPUTED_VALUE"""),"Completed")</f>
        <v>Completed</v>
      </c>
    </row>
    <row r="2022">
      <c r="A2022" s="9" t="str">
        <f>IFERROR(__xludf.DUMMYFUNCTION("""COMPUTED_VALUE"""),"G-REQ-02021")</f>
        <v>G-REQ-02021</v>
      </c>
      <c r="B2022" s="11">
        <f>IFERROR(__xludf.DUMMYFUNCTION("""COMPUTED_VALUE"""),45905.15860440512)</f>
        <v>45905.1586</v>
      </c>
      <c r="C2022" s="9">
        <f>IFERROR(__xludf.DUMMYFUNCTION("""COMPUTED_VALUE"""),8051.0)</f>
        <v>8051</v>
      </c>
      <c r="D2022" s="9" t="str">
        <f>IFERROR(__xludf.DUMMYFUNCTION("""COMPUTED_VALUE"""),"Completed")</f>
        <v>Completed</v>
      </c>
    </row>
    <row r="2023">
      <c r="A2023" s="9" t="str">
        <f>IFERROR(__xludf.DUMMYFUNCTION("""COMPUTED_VALUE"""),"G-REQ-02022")</f>
        <v>G-REQ-02022</v>
      </c>
      <c r="B2023" s="11">
        <f>IFERROR(__xludf.DUMMYFUNCTION("""COMPUTED_VALUE"""),45905.22977925053)</f>
        <v>45905.22978</v>
      </c>
      <c r="C2023" s="9">
        <f>IFERROR(__xludf.DUMMYFUNCTION("""COMPUTED_VALUE"""),8055.0)</f>
        <v>8055</v>
      </c>
      <c r="D2023" s="9" t="str">
        <f>IFERROR(__xludf.DUMMYFUNCTION("""COMPUTED_VALUE"""),"Completed")</f>
        <v>Completed</v>
      </c>
    </row>
    <row r="2024">
      <c r="A2024" s="9" t="str">
        <f>IFERROR(__xludf.DUMMYFUNCTION("""COMPUTED_VALUE"""),"G-REQ-02023")</f>
        <v>G-REQ-02023</v>
      </c>
      <c r="B2024" s="11">
        <f>IFERROR(__xludf.DUMMYFUNCTION("""COMPUTED_VALUE"""),45905.2940096515)</f>
        <v>45905.29401</v>
      </c>
      <c r="C2024" s="9">
        <f>IFERROR(__xludf.DUMMYFUNCTION("""COMPUTED_VALUE"""),8057.0)</f>
        <v>8057</v>
      </c>
      <c r="D2024" s="9" t="str">
        <f>IFERROR(__xludf.DUMMYFUNCTION("""COMPUTED_VALUE"""),"Rejected")</f>
        <v>Rejected</v>
      </c>
    </row>
    <row r="2025">
      <c r="A2025" s="9" t="str">
        <f>IFERROR(__xludf.DUMMYFUNCTION("""COMPUTED_VALUE"""),"G-REQ-02024")</f>
        <v>G-REQ-02024</v>
      </c>
      <c r="B2025" s="11">
        <f>IFERROR(__xludf.DUMMYFUNCTION("""COMPUTED_VALUE"""),45905.372128941366)</f>
        <v>45905.37213</v>
      </c>
      <c r="C2025" s="9">
        <f>IFERROR(__xludf.DUMMYFUNCTION("""COMPUTED_VALUE"""),8061.0)</f>
        <v>8061</v>
      </c>
      <c r="D2025" s="9" t="str">
        <f>IFERROR(__xludf.DUMMYFUNCTION("""COMPUTED_VALUE"""),"Completed")</f>
        <v>Completed</v>
      </c>
    </row>
    <row r="2026">
      <c r="A2026" s="9" t="str">
        <f>IFERROR(__xludf.DUMMYFUNCTION("""COMPUTED_VALUE"""),"G-REQ-02025")</f>
        <v>G-REQ-02025</v>
      </c>
      <c r="B2026" s="11">
        <f>IFERROR(__xludf.DUMMYFUNCTION("""COMPUTED_VALUE"""),45905.44330378678)</f>
        <v>45905.4433</v>
      </c>
      <c r="C2026" s="9">
        <f>IFERROR(__xludf.DUMMYFUNCTION("""COMPUTED_VALUE"""),8065.0)</f>
        <v>8065</v>
      </c>
      <c r="D2026" s="9" t="str">
        <f>IFERROR(__xludf.DUMMYFUNCTION("""COMPUTED_VALUE"""),"Completed")</f>
        <v>Completed</v>
      </c>
    </row>
    <row r="2027">
      <c r="A2027" s="9" t="str">
        <f>IFERROR(__xludf.DUMMYFUNCTION("""COMPUTED_VALUE"""),"G-REQ-02026")</f>
        <v>G-REQ-02026</v>
      </c>
      <c r="B2027" s="11">
        <f>IFERROR(__xludf.DUMMYFUNCTION("""COMPUTED_VALUE"""),45905.51447863219)</f>
        <v>45905.51448</v>
      </c>
      <c r="C2027" s="9">
        <f>IFERROR(__xludf.DUMMYFUNCTION("""COMPUTED_VALUE"""),8069.0)</f>
        <v>8069</v>
      </c>
      <c r="D2027" s="9" t="str">
        <f>IFERROR(__xludf.DUMMYFUNCTION("""COMPUTED_VALUE"""),"Completed")</f>
        <v>Completed</v>
      </c>
    </row>
    <row r="2028">
      <c r="A2028" s="9" t="str">
        <f>IFERROR(__xludf.DUMMYFUNCTION("""COMPUTED_VALUE"""),"G-REQ-02027")</f>
        <v>G-REQ-02027</v>
      </c>
      <c r="B2028" s="11">
        <f>IFERROR(__xludf.DUMMYFUNCTION("""COMPUTED_VALUE"""),45905.58565347761)</f>
        <v>45905.58565</v>
      </c>
      <c r="C2028" s="9">
        <f>IFERROR(__xludf.DUMMYFUNCTION("""COMPUTED_VALUE"""),8073.0)</f>
        <v>8073</v>
      </c>
      <c r="D2028" s="9" t="str">
        <f>IFERROR(__xludf.DUMMYFUNCTION("""COMPUTED_VALUE"""),"Completed")</f>
        <v>Completed</v>
      </c>
    </row>
    <row r="2029">
      <c r="A2029" s="9" t="str">
        <f>IFERROR(__xludf.DUMMYFUNCTION("""COMPUTED_VALUE"""),"G-REQ-02028")</f>
        <v>G-REQ-02028</v>
      </c>
      <c r="B2029" s="11">
        <f>IFERROR(__xludf.DUMMYFUNCTION("""COMPUTED_VALUE"""),45905.65682832302)</f>
        <v>45905.65683</v>
      </c>
      <c r="C2029" s="9">
        <f>IFERROR(__xludf.DUMMYFUNCTION("""COMPUTED_VALUE"""),8077.0)</f>
        <v>8077</v>
      </c>
      <c r="D2029" s="9" t="str">
        <f>IFERROR(__xludf.DUMMYFUNCTION("""COMPUTED_VALUE"""),"Completed")</f>
        <v>Completed</v>
      </c>
    </row>
    <row r="2030">
      <c r="A2030" s="9" t="str">
        <f>IFERROR(__xludf.DUMMYFUNCTION("""COMPUTED_VALUE"""),"G-REQ-02029")</f>
        <v>G-REQ-02029</v>
      </c>
      <c r="B2030" s="11">
        <f>IFERROR(__xludf.DUMMYFUNCTION("""COMPUTED_VALUE"""),45905.728003168435)</f>
        <v>45905.728</v>
      </c>
      <c r="C2030" s="9">
        <f>IFERROR(__xludf.DUMMYFUNCTION("""COMPUTED_VALUE"""),8081.0)</f>
        <v>8081</v>
      </c>
      <c r="D2030" s="9" t="str">
        <f>IFERROR(__xludf.DUMMYFUNCTION("""COMPUTED_VALUE"""),"Completed")</f>
        <v>Completed</v>
      </c>
    </row>
    <row r="2031">
      <c r="A2031" s="9" t="str">
        <f>IFERROR(__xludf.DUMMYFUNCTION("""COMPUTED_VALUE"""),"G-REQ-02030")</f>
        <v>G-REQ-02030</v>
      </c>
      <c r="B2031" s="11">
        <f>IFERROR(__xludf.DUMMYFUNCTION("""COMPUTED_VALUE"""),45905.799178013855)</f>
        <v>45905.79918</v>
      </c>
      <c r="C2031" s="9">
        <f>IFERROR(__xludf.DUMMYFUNCTION("""COMPUTED_VALUE"""),8085.0)</f>
        <v>8085</v>
      </c>
      <c r="D2031" s="9" t="str">
        <f>IFERROR(__xludf.DUMMYFUNCTION("""COMPUTED_VALUE"""),"Completed")</f>
        <v>Completed</v>
      </c>
    </row>
    <row r="2032">
      <c r="A2032" s="9" t="str">
        <f>IFERROR(__xludf.DUMMYFUNCTION("""COMPUTED_VALUE"""),"G-REQ-02031")</f>
        <v>G-REQ-02031</v>
      </c>
      <c r="B2032" s="11">
        <f>IFERROR(__xludf.DUMMYFUNCTION("""COMPUTED_VALUE"""),45905.870352859274)</f>
        <v>45905.87035</v>
      </c>
      <c r="C2032" s="9">
        <f>IFERROR(__xludf.DUMMYFUNCTION("""COMPUTED_VALUE"""),8089.0)</f>
        <v>8089</v>
      </c>
      <c r="D2032" s="9" t="str">
        <f>IFERROR(__xludf.DUMMYFUNCTION("""COMPUTED_VALUE"""),"Completed")</f>
        <v>Completed</v>
      </c>
    </row>
    <row r="2033">
      <c r="A2033" s="9" t="str">
        <f>IFERROR(__xludf.DUMMYFUNCTION("""COMPUTED_VALUE"""),"G-REQ-02032")</f>
        <v>G-REQ-02032</v>
      </c>
      <c r="B2033" s="11">
        <f>IFERROR(__xludf.DUMMYFUNCTION("""COMPUTED_VALUE"""),45905.94152770468)</f>
        <v>45905.94153</v>
      </c>
      <c r="C2033" s="9">
        <f>IFERROR(__xludf.DUMMYFUNCTION("""COMPUTED_VALUE"""),8093.0)</f>
        <v>8093</v>
      </c>
      <c r="D2033" s="9" t="str">
        <f>IFERROR(__xludf.DUMMYFUNCTION("""COMPUTED_VALUE"""),"Completed")</f>
        <v>Completed</v>
      </c>
    </row>
    <row r="2034">
      <c r="A2034" s="9" t="str">
        <f>IFERROR(__xludf.DUMMYFUNCTION("""COMPUTED_VALUE"""),"G-REQ-02033")</f>
        <v>G-REQ-02033</v>
      </c>
      <c r="B2034" s="11">
        <f>IFERROR(__xludf.DUMMYFUNCTION("""COMPUTED_VALUE"""),45906.0127025501)</f>
        <v>45906.0127</v>
      </c>
      <c r="C2034" s="9">
        <f>IFERROR(__xludf.DUMMYFUNCTION("""COMPUTED_VALUE"""),8097.0)</f>
        <v>8097</v>
      </c>
      <c r="D2034" s="9" t="str">
        <f>IFERROR(__xludf.DUMMYFUNCTION("""COMPUTED_VALUE"""),"Completed")</f>
        <v>Completed</v>
      </c>
    </row>
    <row r="2035">
      <c r="A2035" s="9" t="str">
        <f>IFERROR(__xludf.DUMMYFUNCTION("""COMPUTED_VALUE"""),"G-REQ-02034")</f>
        <v>G-REQ-02034</v>
      </c>
      <c r="B2035" s="11">
        <f>IFERROR(__xludf.DUMMYFUNCTION("""COMPUTED_VALUE"""),45906.08387739551)</f>
        <v>45906.08388</v>
      </c>
      <c r="C2035" s="9">
        <f>IFERROR(__xludf.DUMMYFUNCTION("""COMPUTED_VALUE"""),8101.0)</f>
        <v>8101</v>
      </c>
      <c r="D2035" s="9" t="str">
        <f>IFERROR(__xludf.DUMMYFUNCTION("""COMPUTED_VALUE"""),"Completed")</f>
        <v>Completed</v>
      </c>
    </row>
    <row r="2036">
      <c r="A2036" s="9" t="str">
        <f>IFERROR(__xludf.DUMMYFUNCTION("""COMPUTED_VALUE"""),"G-REQ-02035")</f>
        <v>G-REQ-02035</v>
      </c>
      <c r="B2036" s="11">
        <f>IFERROR(__xludf.DUMMYFUNCTION("""COMPUTED_VALUE"""),45906.15505224093)</f>
        <v>45906.15505</v>
      </c>
      <c r="C2036" s="9">
        <f>IFERROR(__xludf.DUMMYFUNCTION("""COMPUTED_VALUE"""),8105.0)</f>
        <v>8105</v>
      </c>
      <c r="D2036" s="9" t="str">
        <f>IFERROR(__xludf.DUMMYFUNCTION("""COMPUTED_VALUE"""),"Completed")</f>
        <v>Completed</v>
      </c>
    </row>
    <row r="2037">
      <c r="A2037" s="9" t="str">
        <f>IFERROR(__xludf.DUMMYFUNCTION("""COMPUTED_VALUE"""),"G-REQ-02036")</f>
        <v>G-REQ-02036</v>
      </c>
      <c r="B2037" s="11">
        <f>IFERROR(__xludf.DUMMYFUNCTION("""COMPUTED_VALUE"""),45906.22622708634)</f>
        <v>45906.22623</v>
      </c>
      <c r="C2037" s="9">
        <f>IFERROR(__xludf.DUMMYFUNCTION("""COMPUTED_VALUE"""),8109.0)</f>
        <v>8109</v>
      </c>
      <c r="D2037" s="9" t="str">
        <f>IFERROR(__xludf.DUMMYFUNCTION("""COMPUTED_VALUE"""),"Completed")</f>
        <v>Completed</v>
      </c>
    </row>
    <row r="2038">
      <c r="A2038" s="9" t="str">
        <f>IFERROR(__xludf.DUMMYFUNCTION("""COMPUTED_VALUE"""),"G-REQ-02037")</f>
        <v>G-REQ-02037</v>
      </c>
      <c r="B2038" s="11">
        <f>IFERROR(__xludf.DUMMYFUNCTION("""COMPUTED_VALUE"""),45906.29740193176)</f>
        <v>45906.2974</v>
      </c>
      <c r="C2038" s="9">
        <f>IFERROR(__xludf.DUMMYFUNCTION("""COMPUTED_VALUE"""),8113.0)</f>
        <v>8113</v>
      </c>
      <c r="D2038" s="9" t="str">
        <f>IFERROR(__xludf.DUMMYFUNCTION("""COMPUTED_VALUE"""),"Completed")</f>
        <v>Completed</v>
      </c>
    </row>
    <row r="2039">
      <c r="A2039" s="9" t="str">
        <f>IFERROR(__xludf.DUMMYFUNCTION("""COMPUTED_VALUE"""),"G-REQ-02038")</f>
        <v>G-REQ-02038</v>
      </c>
      <c r="B2039" s="11">
        <f>IFERROR(__xludf.DUMMYFUNCTION("""COMPUTED_VALUE"""),45906.368576777175)</f>
        <v>45906.36858</v>
      </c>
      <c r="C2039" s="9">
        <f>IFERROR(__xludf.DUMMYFUNCTION("""COMPUTED_VALUE"""),8117.0)</f>
        <v>8117</v>
      </c>
      <c r="D2039" s="9" t="str">
        <f>IFERROR(__xludf.DUMMYFUNCTION("""COMPUTED_VALUE"""),"Completed")</f>
        <v>Completed</v>
      </c>
    </row>
    <row r="2040">
      <c r="A2040" s="9" t="str">
        <f>IFERROR(__xludf.DUMMYFUNCTION("""COMPUTED_VALUE"""),"G-REQ-02039")</f>
        <v>G-REQ-02039</v>
      </c>
      <c r="B2040" s="11">
        <f>IFERROR(__xludf.DUMMYFUNCTION("""COMPUTED_VALUE"""),45906.43975162259)</f>
        <v>45906.43975</v>
      </c>
      <c r="C2040" s="9">
        <f>IFERROR(__xludf.DUMMYFUNCTION("""COMPUTED_VALUE"""),8121.0)</f>
        <v>8121</v>
      </c>
      <c r="D2040" s="9" t="str">
        <f>IFERROR(__xludf.DUMMYFUNCTION("""COMPUTED_VALUE"""),"Completed")</f>
        <v>Completed</v>
      </c>
    </row>
    <row r="2041">
      <c r="A2041" s="9" t="str">
        <f>IFERROR(__xludf.DUMMYFUNCTION("""COMPUTED_VALUE"""),"G-REQ-02040")</f>
        <v>G-REQ-02040</v>
      </c>
      <c r="B2041" s="11">
        <f>IFERROR(__xludf.DUMMYFUNCTION("""COMPUTED_VALUE"""),45906.51092646801)</f>
        <v>45906.51093</v>
      </c>
      <c r="C2041" s="9">
        <f>IFERROR(__xludf.DUMMYFUNCTION("""COMPUTED_VALUE"""),8125.0)</f>
        <v>8125</v>
      </c>
      <c r="D2041" s="9" t="str">
        <f>IFERROR(__xludf.DUMMYFUNCTION("""COMPUTED_VALUE"""),"Completed")</f>
        <v>Completed</v>
      </c>
    </row>
    <row r="2042">
      <c r="A2042" s="9" t="str">
        <f>IFERROR(__xludf.DUMMYFUNCTION("""COMPUTED_VALUE"""),"G-REQ-02041")</f>
        <v>G-REQ-02041</v>
      </c>
      <c r="B2042" s="11">
        <f>IFERROR(__xludf.DUMMYFUNCTION("""COMPUTED_VALUE"""),45906.58210131342)</f>
        <v>45906.5821</v>
      </c>
      <c r="C2042" s="9">
        <f>IFERROR(__xludf.DUMMYFUNCTION("""COMPUTED_VALUE"""),8129.0)</f>
        <v>8129</v>
      </c>
      <c r="D2042" s="9" t="str">
        <f>IFERROR(__xludf.DUMMYFUNCTION("""COMPUTED_VALUE"""),"Completed")</f>
        <v>Completed</v>
      </c>
    </row>
    <row r="2043">
      <c r="A2043" s="9" t="str">
        <f>IFERROR(__xludf.DUMMYFUNCTION("""COMPUTED_VALUE"""),"G-REQ-02042")</f>
        <v>G-REQ-02042</v>
      </c>
      <c r="B2043" s="11">
        <f>IFERROR(__xludf.DUMMYFUNCTION("""COMPUTED_VALUE"""),45906.65327615883)</f>
        <v>45906.65328</v>
      </c>
      <c r="C2043" s="9">
        <f>IFERROR(__xludf.DUMMYFUNCTION("""COMPUTED_VALUE"""),8133.0)</f>
        <v>8133</v>
      </c>
      <c r="D2043" s="9" t="str">
        <f>IFERROR(__xludf.DUMMYFUNCTION("""COMPUTED_VALUE"""),"Completed")</f>
        <v>Completed</v>
      </c>
    </row>
    <row r="2044">
      <c r="A2044" s="9" t="str">
        <f>IFERROR(__xludf.DUMMYFUNCTION("""COMPUTED_VALUE"""),"G-REQ-02043")</f>
        <v>G-REQ-02043</v>
      </c>
      <c r="B2044" s="11">
        <f>IFERROR(__xludf.DUMMYFUNCTION("""COMPUTED_VALUE"""),45906.717506559806)</f>
        <v>45906.71751</v>
      </c>
      <c r="C2044" s="9">
        <f>IFERROR(__xludf.DUMMYFUNCTION("""COMPUTED_VALUE"""),8135.0)</f>
        <v>8135</v>
      </c>
      <c r="D2044" s="9" t="str">
        <f>IFERROR(__xludf.DUMMYFUNCTION("""COMPUTED_VALUE"""),"Rejected")</f>
        <v>Rejected</v>
      </c>
    </row>
    <row r="2045">
      <c r="A2045" s="9" t="str">
        <f>IFERROR(__xludf.DUMMYFUNCTION("""COMPUTED_VALUE"""),"G-REQ-02044")</f>
        <v>G-REQ-02044</v>
      </c>
      <c r="B2045" s="11">
        <f>IFERROR(__xludf.DUMMYFUNCTION("""COMPUTED_VALUE"""),45906.79562584966)</f>
        <v>45906.79563</v>
      </c>
      <c r="C2045" s="9">
        <f>IFERROR(__xludf.DUMMYFUNCTION("""COMPUTED_VALUE"""),8139.0)</f>
        <v>8139</v>
      </c>
      <c r="D2045" s="9" t="str">
        <f>IFERROR(__xludf.DUMMYFUNCTION("""COMPUTED_VALUE"""),"Completed")</f>
        <v>Completed</v>
      </c>
    </row>
    <row r="2046">
      <c r="A2046" s="9" t="str">
        <f>IFERROR(__xludf.DUMMYFUNCTION("""COMPUTED_VALUE"""),"G-REQ-02045")</f>
        <v>G-REQ-02045</v>
      </c>
      <c r="B2046" s="11">
        <f>IFERROR(__xludf.DUMMYFUNCTION("""COMPUTED_VALUE"""),45906.866800695076)</f>
        <v>45906.8668</v>
      </c>
      <c r="C2046" s="9">
        <f>IFERROR(__xludf.DUMMYFUNCTION("""COMPUTED_VALUE"""),8143.0)</f>
        <v>8143</v>
      </c>
      <c r="D2046" s="9" t="str">
        <f>IFERROR(__xludf.DUMMYFUNCTION("""COMPUTED_VALUE"""),"Completed")</f>
        <v>Completed</v>
      </c>
    </row>
    <row r="2047">
      <c r="A2047" s="9" t="str">
        <f>IFERROR(__xludf.DUMMYFUNCTION("""COMPUTED_VALUE"""),"G-REQ-02046")</f>
        <v>G-REQ-02046</v>
      </c>
      <c r="B2047" s="11">
        <f>IFERROR(__xludf.DUMMYFUNCTION("""COMPUTED_VALUE"""),45906.937975540495)</f>
        <v>45906.93798</v>
      </c>
      <c r="C2047" s="9">
        <f>IFERROR(__xludf.DUMMYFUNCTION("""COMPUTED_VALUE"""),8147.0)</f>
        <v>8147</v>
      </c>
      <c r="D2047" s="9" t="str">
        <f>IFERROR(__xludf.DUMMYFUNCTION("""COMPUTED_VALUE"""),"Completed")</f>
        <v>Completed</v>
      </c>
    </row>
    <row r="2048">
      <c r="A2048" s="9" t="str">
        <f>IFERROR(__xludf.DUMMYFUNCTION("""COMPUTED_VALUE"""),"G-REQ-02047")</f>
        <v>G-REQ-02047</v>
      </c>
      <c r="B2048" s="11">
        <f>IFERROR(__xludf.DUMMYFUNCTION("""COMPUTED_VALUE"""),45907.009150385915)</f>
        <v>45907.00915</v>
      </c>
      <c r="C2048" s="9">
        <f>IFERROR(__xludf.DUMMYFUNCTION("""COMPUTED_VALUE"""),8151.0)</f>
        <v>8151</v>
      </c>
      <c r="D2048" s="9" t="str">
        <f>IFERROR(__xludf.DUMMYFUNCTION("""COMPUTED_VALUE"""),"Completed")</f>
        <v>Completed</v>
      </c>
    </row>
    <row r="2049">
      <c r="A2049" s="9" t="str">
        <f>IFERROR(__xludf.DUMMYFUNCTION("""COMPUTED_VALUE"""),"G-REQ-02048")</f>
        <v>G-REQ-02048</v>
      </c>
      <c r="B2049" s="11">
        <f>IFERROR(__xludf.DUMMYFUNCTION("""COMPUTED_VALUE"""),45907.08032523132)</f>
        <v>45907.08033</v>
      </c>
      <c r="C2049" s="9">
        <f>IFERROR(__xludf.DUMMYFUNCTION("""COMPUTED_VALUE"""),8155.0)</f>
        <v>8155</v>
      </c>
      <c r="D2049" s="9" t="str">
        <f>IFERROR(__xludf.DUMMYFUNCTION("""COMPUTED_VALUE"""),"Completed")</f>
        <v>Completed</v>
      </c>
    </row>
    <row r="2050">
      <c r="A2050" s="9" t="str">
        <f>IFERROR(__xludf.DUMMYFUNCTION("""COMPUTED_VALUE"""),"G-REQ-02049")</f>
        <v>G-REQ-02049</v>
      </c>
      <c r="B2050" s="11">
        <f>IFERROR(__xludf.DUMMYFUNCTION("""COMPUTED_VALUE"""),45907.15150007674)</f>
        <v>45907.1515</v>
      </c>
      <c r="C2050" s="9">
        <f>IFERROR(__xludf.DUMMYFUNCTION("""COMPUTED_VALUE"""),8159.0)</f>
        <v>8159</v>
      </c>
      <c r="D2050" s="9" t="str">
        <f>IFERROR(__xludf.DUMMYFUNCTION("""COMPUTED_VALUE"""),"Completed")</f>
        <v>Completed</v>
      </c>
    </row>
    <row r="2051">
      <c r="A2051" s="9" t="str">
        <f>IFERROR(__xludf.DUMMYFUNCTION("""COMPUTED_VALUE"""),"G-REQ-02050")</f>
        <v>G-REQ-02050</v>
      </c>
      <c r="B2051" s="11">
        <f>IFERROR(__xludf.DUMMYFUNCTION("""COMPUTED_VALUE"""),45907.22267492216)</f>
        <v>45907.22267</v>
      </c>
      <c r="C2051" s="9">
        <f>IFERROR(__xludf.DUMMYFUNCTION("""COMPUTED_VALUE"""),8163.0)</f>
        <v>8163</v>
      </c>
      <c r="D2051" s="9" t="str">
        <f>IFERROR(__xludf.DUMMYFUNCTION("""COMPUTED_VALUE"""),"Completed")</f>
        <v>Completed</v>
      </c>
    </row>
    <row r="2052">
      <c r="A2052" s="9" t="str">
        <f>IFERROR(__xludf.DUMMYFUNCTION("""COMPUTED_VALUE"""),"G-REQ-02051")</f>
        <v>G-REQ-02051</v>
      </c>
      <c r="B2052" s="11">
        <f>IFERROR(__xludf.DUMMYFUNCTION("""COMPUTED_VALUE"""),45907.29384976757)</f>
        <v>45907.29385</v>
      </c>
      <c r="C2052" s="9">
        <f>IFERROR(__xludf.DUMMYFUNCTION("""COMPUTED_VALUE"""),8167.0)</f>
        <v>8167</v>
      </c>
      <c r="D2052" s="9" t="str">
        <f>IFERROR(__xludf.DUMMYFUNCTION("""COMPUTED_VALUE"""),"Completed")</f>
        <v>Completed</v>
      </c>
    </row>
    <row r="2053">
      <c r="A2053" s="9" t="str">
        <f>IFERROR(__xludf.DUMMYFUNCTION("""COMPUTED_VALUE"""),"G-REQ-02052")</f>
        <v>G-REQ-02052</v>
      </c>
      <c r="B2053" s="11">
        <f>IFERROR(__xludf.DUMMYFUNCTION("""COMPUTED_VALUE"""),45907.365024612984)</f>
        <v>45907.36502</v>
      </c>
      <c r="C2053" s="9">
        <f>IFERROR(__xludf.DUMMYFUNCTION("""COMPUTED_VALUE"""),8171.0)</f>
        <v>8171</v>
      </c>
      <c r="D2053" s="9" t="str">
        <f>IFERROR(__xludf.DUMMYFUNCTION("""COMPUTED_VALUE"""),"Completed")</f>
        <v>Completed</v>
      </c>
    </row>
    <row r="2054">
      <c r="A2054" s="9" t="str">
        <f>IFERROR(__xludf.DUMMYFUNCTION("""COMPUTED_VALUE"""),"G-REQ-02053")</f>
        <v>G-REQ-02053</v>
      </c>
      <c r="B2054" s="11">
        <f>IFERROR(__xludf.DUMMYFUNCTION("""COMPUTED_VALUE"""),45907.4361994584)</f>
        <v>45907.4362</v>
      </c>
      <c r="C2054" s="9">
        <f>IFERROR(__xludf.DUMMYFUNCTION("""COMPUTED_VALUE"""),8175.0)</f>
        <v>8175</v>
      </c>
      <c r="D2054" s="9" t="str">
        <f>IFERROR(__xludf.DUMMYFUNCTION("""COMPUTED_VALUE"""),"Completed")</f>
        <v>Completed</v>
      </c>
    </row>
    <row r="2055">
      <c r="A2055" s="9" t="str">
        <f>IFERROR(__xludf.DUMMYFUNCTION("""COMPUTED_VALUE"""),"G-REQ-02054")</f>
        <v>G-REQ-02054</v>
      </c>
      <c r="B2055" s="11">
        <f>IFERROR(__xludf.DUMMYFUNCTION("""COMPUTED_VALUE"""),45907.507374303816)</f>
        <v>45907.50737</v>
      </c>
      <c r="C2055" s="9">
        <f>IFERROR(__xludf.DUMMYFUNCTION("""COMPUTED_VALUE"""),8179.0)</f>
        <v>8179</v>
      </c>
      <c r="D2055" s="9" t="str">
        <f>IFERROR(__xludf.DUMMYFUNCTION("""COMPUTED_VALUE"""),"Completed")</f>
        <v>Completed</v>
      </c>
    </row>
    <row r="2056">
      <c r="A2056" s="9" t="str">
        <f>IFERROR(__xludf.DUMMYFUNCTION("""COMPUTED_VALUE"""),"G-REQ-02055")</f>
        <v>G-REQ-02055</v>
      </c>
      <c r="B2056" s="11">
        <f>IFERROR(__xludf.DUMMYFUNCTION("""COMPUTED_VALUE"""),45907.57854914923)</f>
        <v>45907.57855</v>
      </c>
      <c r="C2056" s="9">
        <f>IFERROR(__xludf.DUMMYFUNCTION("""COMPUTED_VALUE"""),8183.0)</f>
        <v>8183</v>
      </c>
      <c r="D2056" s="9" t="str">
        <f>IFERROR(__xludf.DUMMYFUNCTION("""COMPUTED_VALUE"""),"Completed")</f>
        <v>Completed</v>
      </c>
    </row>
    <row r="2057">
      <c r="A2057" s="9" t="str">
        <f>IFERROR(__xludf.DUMMYFUNCTION("""COMPUTED_VALUE"""),"G-REQ-02056")</f>
        <v>G-REQ-02056</v>
      </c>
      <c r="B2057" s="11">
        <f>IFERROR(__xludf.DUMMYFUNCTION("""COMPUTED_VALUE"""),45907.64972399465)</f>
        <v>45907.64972</v>
      </c>
      <c r="C2057" s="9">
        <f>IFERROR(__xludf.DUMMYFUNCTION("""COMPUTED_VALUE"""),8187.0)</f>
        <v>8187</v>
      </c>
      <c r="D2057" s="9" t="str">
        <f>IFERROR(__xludf.DUMMYFUNCTION("""COMPUTED_VALUE"""),"Completed")</f>
        <v>Completed</v>
      </c>
    </row>
    <row r="2058">
      <c r="A2058" s="9" t="str">
        <f>IFERROR(__xludf.DUMMYFUNCTION("""COMPUTED_VALUE"""),"G-REQ-02057")</f>
        <v>G-REQ-02057</v>
      </c>
      <c r="B2058" s="11">
        <f>IFERROR(__xludf.DUMMYFUNCTION("""COMPUTED_VALUE"""),45907.713954395615)</f>
        <v>45907.71395</v>
      </c>
      <c r="C2058" s="9">
        <f>IFERROR(__xludf.DUMMYFUNCTION("""COMPUTED_VALUE"""),8189.0)</f>
        <v>8189</v>
      </c>
      <c r="D2058" s="9" t="str">
        <f>IFERROR(__xludf.DUMMYFUNCTION("""COMPUTED_VALUE"""),"Cancelled")</f>
        <v>Cancelled</v>
      </c>
    </row>
    <row r="2059">
      <c r="A2059" s="9" t="str">
        <f>IFERROR(__xludf.DUMMYFUNCTION("""COMPUTED_VALUE"""),"G-REQ-02058")</f>
        <v>G-REQ-02058</v>
      </c>
      <c r="B2059" s="11">
        <f>IFERROR(__xludf.DUMMYFUNCTION("""COMPUTED_VALUE"""),45907.79207368547)</f>
        <v>45907.79207</v>
      </c>
      <c r="C2059" s="9">
        <f>IFERROR(__xludf.DUMMYFUNCTION("""COMPUTED_VALUE"""),8193.0)</f>
        <v>8193</v>
      </c>
      <c r="D2059" s="9" t="str">
        <f>IFERROR(__xludf.DUMMYFUNCTION("""COMPUTED_VALUE"""),"Completed")</f>
        <v>Completed</v>
      </c>
    </row>
    <row r="2060">
      <c r="A2060" s="9" t="str">
        <f>IFERROR(__xludf.DUMMYFUNCTION("""COMPUTED_VALUE"""),"G-REQ-02059")</f>
        <v>G-REQ-02059</v>
      </c>
      <c r="B2060" s="11">
        <f>IFERROR(__xludf.DUMMYFUNCTION("""COMPUTED_VALUE"""),45907.86324853089)</f>
        <v>45907.86325</v>
      </c>
      <c r="C2060" s="9">
        <f>IFERROR(__xludf.DUMMYFUNCTION("""COMPUTED_VALUE"""),8197.0)</f>
        <v>8197</v>
      </c>
      <c r="D2060" s="9" t="str">
        <f>IFERROR(__xludf.DUMMYFUNCTION("""COMPUTED_VALUE"""),"Completed")</f>
        <v>Completed</v>
      </c>
    </row>
    <row r="2061">
      <c r="A2061" s="9" t="str">
        <f>IFERROR(__xludf.DUMMYFUNCTION("""COMPUTED_VALUE"""),"G-REQ-02060")</f>
        <v>G-REQ-02060</v>
      </c>
      <c r="B2061" s="11">
        <f>IFERROR(__xludf.DUMMYFUNCTION("""COMPUTED_VALUE"""),45907.934423376304)</f>
        <v>45907.93442</v>
      </c>
      <c r="C2061" s="9">
        <f>IFERROR(__xludf.DUMMYFUNCTION("""COMPUTED_VALUE"""),8201.0)</f>
        <v>8201</v>
      </c>
      <c r="D2061" s="9" t="str">
        <f>IFERROR(__xludf.DUMMYFUNCTION("""COMPUTED_VALUE"""),"Completed")</f>
        <v>Completed</v>
      </c>
    </row>
    <row r="2062">
      <c r="A2062" s="9" t="str">
        <f>IFERROR(__xludf.DUMMYFUNCTION("""COMPUTED_VALUE"""),"G-REQ-02061")</f>
        <v>G-REQ-02061</v>
      </c>
      <c r="B2062" s="11">
        <f>IFERROR(__xludf.DUMMYFUNCTION("""COMPUTED_VALUE"""),45908.005598221716)</f>
        <v>45908.0056</v>
      </c>
      <c r="C2062" s="9">
        <f>IFERROR(__xludf.DUMMYFUNCTION("""COMPUTED_VALUE"""),8205.0)</f>
        <v>8205</v>
      </c>
      <c r="D2062" s="9" t="str">
        <f>IFERROR(__xludf.DUMMYFUNCTION("""COMPUTED_VALUE"""),"Completed")</f>
        <v>Completed</v>
      </c>
    </row>
    <row r="2063">
      <c r="A2063" s="9" t="str">
        <f>IFERROR(__xludf.DUMMYFUNCTION("""COMPUTED_VALUE"""),"G-REQ-02062")</f>
        <v>G-REQ-02062</v>
      </c>
      <c r="B2063" s="11">
        <f>IFERROR(__xludf.DUMMYFUNCTION("""COMPUTED_VALUE"""),45908.076773067136)</f>
        <v>45908.07677</v>
      </c>
      <c r="C2063" s="9">
        <f>IFERROR(__xludf.DUMMYFUNCTION("""COMPUTED_VALUE"""),8209.0)</f>
        <v>8209</v>
      </c>
      <c r="D2063" s="9" t="str">
        <f>IFERROR(__xludf.DUMMYFUNCTION("""COMPUTED_VALUE"""),"Completed")</f>
        <v>Completed</v>
      </c>
    </row>
    <row r="2064">
      <c r="A2064" s="9" t="str">
        <f>IFERROR(__xludf.DUMMYFUNCTION("""COMPUTED_VALUE"""),"G-REQ-02063")</f>
        <v>G-REQ-02063</v>
      </c>
      <c r="B2064" s="11">
        <f>IFERROR(__xludf.DUMMYFUNCTION("""COMPUTED_VALUE"""),45908.147947912556)</f>
        <v>45908.14795</v>
      </c>
      <c r="C2064" s="9">
        <f>IFERROR(__xludf.DUMMYFUNCTION("""COMPUTED_VALUE"""),8213.0)</f>
        <v>8213</v>
      </c>
      <c r="D2064" s="9" t="str">
        <f>IFERROR(__xludf.DUMMYFUNCTION("""COMPUTED_VALUE"""),"Completed")</f>
        <v>Completed</v>
      </c>
    </row>
    <row r="2065">
      <c r="A2065" s="9" t="str">
        <f>IFERROR(__xludf.DUMMYFUNCTION("""COMPUTED_VALUE"""),"G-REQ-02064")</f>
        <v>G-REQ-02064</v>
      </c>
      <c r="B2065" s="11">
        <f>IFERROR(__xludf.DUMMYFUNCTION("""COMPUTED_VALUE"""),45908.21912275796)</f>
        <v>45908.21912</v>
      </c>
      <c r="C2065" s="9">
        <f>IFERROR(__xludf.DUMMYFUNCTION("""COMPUTED_VALUE"""),8217.0)</f>
        <v>8217</v>
      </c>
      <c r="D2065" s="9" t="str">
        <f>IFERROR(__xludf.DUMMYFUNCTION("""COMPUTED_VALUE"""),"Completed")</f>
        <v>Completed</v>
      </c>
    </row>
    <row r="2066">
      <c r="A2066" s="9" t="str">
        <f>IFERROR(__xludf.DUMMYFUNCTION("""COMPUTED_VALUE"""),"G-REQ-02065")</f>
        <v>G-REQ-02065</v>
      </c>
      <c r="B2066" s="11">
        <f>IFERROR(__xludf.DUMMYFUNCTION("""COMPUTED_VALUE"""),45908.29029760338)</f>
        <v>45908.2903</v>
      </c>
      <c r="C2066" s="9">
        <f>IFERROR(__xludf.DUMMYFUNCTION("""COMPUTED_VALUE"""),8221.0)</f>
        <v>8221</v>
      </c>
      <c r="D2066" s="9" t="str">
        <f>IFERROR(__xludf.DUMMYFUNCTION("""COMPUTED_VALUE"""),"Completed")</f>
        <v>Completed</v>
      </c>
    </row>
    <row r="2067">
      <c r="A2067" s="9" t="str">
        <f>IFERROR(__xludf.DUMMYFUNCTION("""COMPUTED_VALUE"""),"G-REQ-02066")</f>
        <v>G-REQ-02066</v>
      </c>
      <c r="B2067" s="11">
        <f>IFERROR(__xludf.DUMMYFUNCTION("""COMPUTED_VALUE"""),45908.354528004355)</f>
        <v>45908.35453</v>
      </c>
      <c r="C2067" s="9">
        <f>IFERROR(__xludf.DUMMYFUNCTION("""COMPUTED_VALUE"""),8223.0)</f>
        <v>8223</v>
      </c>
      <c r="D2067" s="9" t="str">
        <f>IFERROR(__xludf.DUMMYFUNCTION("""COMPUTED_VALUE"""),"Rejected")</f>
        <v>Rejected</v>
      </c>
    </row>
    <row r="2068">
      <c r="A2068" s="9" t="str">
        <f>IFERROR(__xludf.DUMMYFUNCTION("""COMPUTED_VALUE"""),"G-REQ-02067")</f>
        <v>G-REQ-02067</v>
      </c>
      <c r="B2068" s="11">
        <f>IFERROR(__xludf.DUMMYFUNCTION("""COMPUTED_VALUE"""),45908.43264729421)</f>
        <v>45908.43265</v>
      </c>
      <c r="C2068" s="9">
        <f>IFERROR(__xludf.DUMMYFUNCTION("""COMPUTED_VALUE"""),8227.0)</f>
        <v>8227</v>
      </c>
      <c r="D2068" s="9" t="str">
        <f>IFERROR(__xludf.DUMMYFUNCTION("""COMPUTED_VALUE"""),"Completed")</f>
        <v>Completed</v>
      </c>
    </row>
    <row r="2069">
      <c r="A2069" s="9" t="str">
        <f>IFERROR(__xludf.DUMMYFUNCTION("""COMPUTED_VALUE"""),"G-REQ-02068")</f>
        <v>G-REQ-02068</v>
      </c>
      <c r="B2069" s="11">
        <f>IFERROR(__xludf.DUMMYFUNCTION("""COMPUTED_VALUE"""),45908.503822139624)</f>
        <v>45908.50382</v>
      </c>
      <c r="C2069" s="9">
        <f>IFERROR(__xludf.DUMMYFUNCTION("""COMPUTED_VALUE"""),8231.0)</f>
        <v>8231</v>
      </c>
      <c r="D2069" s="9" t="str">
        <f>IFERROR(__xludf.DUMMYFUNCTION("""COMPUTED_VALUE"""),"Completed")</f>
        <v>Completed</v>
      </c>
    </row>
    <row r="2070">
      <c r="A2070" s="9" t="str">
        <f>IFERROR(__xludf.DUMMYFUNCTION("""COMPUTED_VALUE"""),"G-REQ-02069")</f>
        <v>G-REQ-02069</v>
      </c>
      <c r="B2070" s="11">
        <f>IFERROR(__xludf.DUMMYFUNCTION("""COMPUTED_VALUE"""),45908.5680525406)</f>
        <v>45908.56805</v>
      </c>
      <c r="C2070" s="9">
        <f>IFERROR(__xludf.DUMMYFUNCTION("""COMPUTED_VALUE"""),8233.0)</f>
        <v>8233</v>
      </c>
      <c r="D2070" s="9" t="str">
        <f>IFERROR(__xludf.DUMMYFUNCTION("""COMPUTED_VALUE"""),"Rejected")</f>
        <v>Rejected</v>
      </c>
    </row>
    <row r="2071">
      <c r="A2071" s="9" t="str">
        <f>IFERROR(__xludf.DUMMYFUNCTION("""COMPUTED_VALUE"""),"G-REQ-02070")</f>
        <v>G-REQ-02070</v>
      </c>
      <c r="B2071" s="11">
        <f>IFERROR(__xludf.DUMMYFUNCTION("""COMPUTED_VALUE"""),45908.646171830456)</f>
        <v>45908.64617</v>
      </c>
      <c r="C2071" s="9">
        <f>IFERROR(__xludf.DUMMYFUNCTION("""COMPUTED_VALUE"""),8237.0)</f>
        <v>8237</v>
      </c>
      <c r="D2071" s="9" t="str">
        <f>IFERROR(__xludf.DUMMYFUNCTION("""COMPUTED_VALUE"""),"Completed")</f>
        <v>Completed</v>
      </c>
    </row>
    <row r="2072">
      <c r="A2072" s="9" t="str">
        <f>IFERROR(__xludf.DUMMYFUNCTION("""COMPUTED_VALUE"""),"G-REQ-02071")</f>
        <v>G-REQ-02071</v>
      </c>
      <c r="B2072" s="11">
        <f>IFERROR(__xludf.DUMMYFUNCTION("""COMPUTED_VALUE"""),45908.71734667587)</f>
        <v>45908.71735</v>
      </c>
      <c r="C2072" s="9">
        <f>IFERROR(__xludf.DUMMYFUNCTION("""COMPUTED_VALUE"""),8241.0)</f>
        <v>8241</v>
      </c>
      <c r="D2072" s="9" t="str">
        <f>IFERROR(__xludf.DUMMYFUNCTION("""COMPUTED_VALUE"""),"Completed")</f>
        <v>Completed</v>
      </c>
    </row>
    <row r="2073">
      <c r="A2073" s="9" t="str">
        <f>IFERROR(__xludf.DUMMYFUNCTION("""COMPUTED_VALUE"""),"G-REQ-02072")</f>
        <v>G-REQ-02072</v>
      </c>
      <c r="B2073" s="11">
        <f>IFERROR(__xludf.DUMMYFUNCTION("""COMPUTED_VALUE"""),45908.78852152129)</f>
        <v>45908.78852</v>
      </c>
      <c r="C2073" s="9">
        <f>IFERROR(__xludf.DUMMYFUNCTION("""COMPUTED_VALUE"""),8245.0)</f>
        <v>8245</v>
      </c>
      <c r="D2073" s="9" t="str">
        <f>IFERROR(__xludf.DUMMYFUNCTION("""COMPUTED_VALUE"""),"Completed")</f>
        <v>Completed</v>
      </c>
    </row>
    <row r="2074">
      <c r="A2074" s="9" t="str">
        <f>IFERROR(__xludf.DUMMYFUNCTION("""COMPUTED_VALUE"""),"G-REQ-02073")</f>
        <v>G-REQ-02073</v>
      </c>
      <c r="B2074" s="11">
        <f>IFERROR(__xludf.DUMMYFUNCTION("""COMPUTED_VALUE"""),45908.8596963667)</f>
        <v>45908.8597</v>
      </c>
      <c r="C2074" s="9">
        <f>IFERROR(__xludf.DUMMYFUNCTION("""COMPUTED_VALUE"""),8249.0)</f>
        <v>8249</v>
      </c>
      <c r="D2074" s="9" t="str">
        <f>IFERROR(__xludf.DUMMYFUNCTION("""COMPUTED_VALUE"""),"Completed")</f>
        <v>Completed</v>
      </c>
    </row>
    <row r="2075">
      <c r="A2075" s="9" t="str">
        <f>IFERROR(__xludf.DUMMYFUNCTION("""COMPUTED_VALUE"""),"G-REQ-02074")</f>
        <v>G-REQ-02074</v>
      </c>
      <c r="B2075" s="11">
        <f>IFERROR(__xludf.DUMMYFUNCTION("""COMPUTED_VALUE"""),45908.93087121211)</f>
        <v>45908.93087</v>
      </c>
      <c r="C2075" s="9">
        <f>IFERROR(__xludf.DUMMYFUNCTION("""COMPUTED_VALUE"""),8253.0)</f>
        <v>8253</v>
      </c>
      <c r="D2075" s="9" t="str">
        <f>IFERROR(__xludf.DUMMYFUNCTION("""COMPUTED_VALUE"""),"Completed")</f>
        <v>Completed</v>
      </c>
    </row>
    <row r="2076">
      <c r="A2076" s="9" t="str">
        <f>IFERROR(__xludf.DUMMYFUNCTION("""COMPUTED_VALUE"""),"G-REQ-02075")</f>
        <v>G-REQ-02075</v>
      </c>
      <c r="B2076" s="11">
        <f>IFERROR(__xludf.DUMMYFUNCTION("""COMPUTED_VALUE"""),45909.00204605753)</f>
        <v>45909.00205</v>
      </c>
      <c r="C2076" s="9">
        <f>IFERROR(__xludf.DUMMYFUNCTION("""COMPUTED_VALUE"""),8257.0)</f>
        <v>8257</v>
      </c>
      <c r="D2076" s="9" t="str">
        <f>IFERROR(__xludf.DUMMYFUNCTION("""COMPUTED_VALUE"""),"Completed")</f>
        <v>Completed</v>
      </c>
    </row>
    <row r="2077">
      <c r="A2077" s="9" t="str">
        <f>IFERROR(__xludf.DUMMYFUNCTION("""COMPUTED_VALUE"""),"G-REQ-02076")</f>
        <v>G-REQ-02076</v>
      </c>
      <c r="B2077" s="11">
        <f>IFERROR(__xludf.DUMMYFUNCTION("""COMPUTED_VALUE"""),45909.073220902945)</f>
        <v>45909.07322</v>
      </c>
      <c r="C2077" s="9">
        <f>IFERROR(__xludf.DUMMYFUNCTION("""COMPUTED_VALUE"""),8261.0)</f>
        <v>8261</v>
      </c>
      <c r="D2077" s="9" t="str">
        <f>IFERROR(__xludf.DUMMYFUNCTION("""COMPUTED_VALUE"""),"Completed")</f>
        <v>Completed</v>
      </c>
    </row>
    <row r="2078">
      <c r="A2078" s="9" t="str">
        <f>IFERROR(__xludf.DUMMYFUNCTION("""COMPUTED_VALUE"""),"G-REQ-02077")</f>
        <v>G-REQ-02077</v>
      </c>
      <c r="B2078" s="11">
        <f>IFERROR(__xludf.DUMMYFUNCTION("""COMPUTED_VALUE"""),45909.14439574836)</f>
        <v>45909.1444</v>
      </c>
      <c r="C2078" s="9">
        <f>IFERROR(__xludf.DUMMYFUNCTION("""COMPUTED_VALUE"""),8265.0)</f>
        <v>8265</v>
      </c>
      <c r="D2078" s="9" t="str">
        <f>IFERROR(__xludf.DUMMYFUNCTION("""COMPUTED_VALUE"""),"Completed")</f>
        <v>Completed</v>
      </c>
    </row>
    <row r="2079">
      <c r="A2079" s="9" t="str">
        <f>IFERROR(__xludf.DUMMYFUNCTION("""COMPUTED_VALUE"""),"G-REQ-02078")</f>
        <v>G-REQ-02078</v>
      </c>
      <c r="B2079" s="11">
        <f>IFERROR(__xludf.DUMMYFUNCTION("""COMPUTED_VALUE"""),45909.21557059378)</f>
        <v>45909.21557</v>
      </c>
      <c r="C2079" s="9">
        <f>IFERROR(__xludf.DUMMYFUNCTION("""COMPUTED_VALUE"""),8269.0)</f>
        <v>8269</v>
      </c>
      <c r="D2079" s="9" t="str">
        <f>IFERROR(__xludf.DUMMYFUNCTION("""COMPUTED_VALUE"""),"Completed")</f>
        <v>Completed</v>
      </c>
    </row>
    <row r="2080">
      <c r="A2080" s="9" t="str">
        <f>IFERROR(__xludf.DUMMYFUNCTION("""COMPUTED_VALUE"""),"G-REQ-02079")</f>
        <v>G-REQ-02079</v>
      </c>
      <c r="B2080" s="11">
        <f>IFERROR(__xludf.DUMMYFUNCTION("""COMPUTED_VALUE"""),45909.286745439196)</f>
        <v>45909.28675</v>
      </c>
      <c r="C2080" s="9">
        <f>IFERROR(__xludf.DUMMYFUNCTION("""COMPUTED_VALUE"""),8273.0)</f>
        <v>8273</v>
      </c>
      <c r="D2080" s="9" t="str">
        <f>IFERROR(__xludf.DUMMYFUNCTION("""COMPUTED_VALUE"""),"Completed")</f>
        <v>Completed</v>
      </c>
    </row>
    <row r="2081">
      <c r="A2081" s="9" t="str">
        <f>IFERROR(__xludf.DUMMYFUNCTION("""COMPUTED_VALUE"""),"G-REQ-02080")</f>
        <v>G-REQ-02080</v>
      </c>
      <c r="B2081" s="11">
        <f>IFERROR(__xludf.DUMMYFUNCTION("""COMPUTED_VALUE"""),45909.3579202846)</f>
        <v>45909.35792</v>
      </c>
      <c r="C2081" s="9">
        <f>IFERROR(__xludf.DUMMYFUNCTION("""COMPUTED_VALUE"""),8277.0)</f>
        <v>8277</v>
      </c>
      <c r="D2081" s="9" t="str">
        <f>IFERROR(__xludf.DUMMYFUNCTION("""COMPUTED_VALUE"""),"Completed")</f>
        <v>Completed</v>
      </c>
    </row>
    <row r="2082">
      <c r="A2082" s="9" t="str">
        <f>IFERROR(__xludf.DUMMYFUNCTION("""COMPUTED_VALUE"""),"G-REQ-02081")</f>
        <v>G-REQ-02081</v>
      </c>
      <c r="B2082" s="11">
        <f>IFERROR(__xludf.DUMMYFUNCTION("""COMPUTED_VALUE"""),45909.42909513002)</f>
        <v>45909.4291</v>
      </c>
      <c r="C2082" s="9">
        <f>IFERROR(__xludf.DUMMYFUNCTION("""COMPUTED_VALUE"""),8281.0)</f>
        <v>8281</v>
      </c>
      <c r="D2082" s="9" t="str">
        <f>IFERROR(__xludf.DUMMYFUNCTION("""COMPUTED_VALUE"""),"Completed")</f>
        <v>Completed</v>
      </c>
    </row>
    <row r="2083">
      <c r="A2083" s="9" t="str">
        <f>IFERROR(__xludf.DUMMYFUNCTION("""COMPUTED_VALUE"""),"G-REQ-02082")</f>
        <v>G-REQ-02082</v>
      </c>
      <c r="B2083" s="11">
        <f>IFERROR(__xludf.DUMMYFUNCTION("""COMPUTED_VALUE"""),45909.50026997544)</f>
        <v>45909.50027</v>
      </c>
      <c r="C2083" s="9">
        <f>IFERROR(__xludf.DUMMYFUNCTION("""COMPUTED_VALUE"""),8285.0)</f>
        <v>8285</v>
      </c>
      <c r="D2083" s="9" t="str">
        <f>IFERROR(__xludf.DUMMYFUNCTION("""COMPUTED_VALUE"""),"Completed")</f>
        <v>Completed</v>
      </c>
    </row>
    <row r="2084">
      <c r="A2084" s="9" t="str">
        <f>IFERROR(__xludf.DUMMYFUNCTION("""COMPUTED_VALUE"""),"G-REQ-02083")</f>
        <v>G-REQ-02083</v>
      </c>
      <c r="B2084" s="11">
        <f>IFERROR(__xludf.DUMMYFUNCTION("""COMPUTED_VALUE"""),45909.57144482085)</f>
        <v>45909.57144</v>
      </c>
      <c r="C2084" s="9">
        <f>IFERROR(__xludf.DUMMYFUNCTION("""COMPUTED_VALUE"""),8289.0)</f>
        <v>8289</v>
      </c>
      <c r="D2084" s="9" t="str">
        <f>IFERROR(__xludf.DUMMYFUNCTION("""COMPUTED_VALUE"""),"Completed")</f>
        <v>Completed</v>
      </c>
    </row>
    <row r="2085">
      <c r="A2085" s="9" t="str">
        <f>IFERROR(__xludf.DUMMYFUNCTION("""COMPUTED_VALUE"""),"G-REQ-02084")</f>
        <v>G-REQ-02084</v>
      </c>
      <c r="B2085" s="11">
        <f>IFERROR(__xludf.DUMMYFUNCTION("""COMPUTED_VALUE"""),45909.642619666265)</f>
        <v>45909.64262</v>
      </c>
      <c r="C2085" s="9">
        <f>IFERROR(__xludf.DUMMYFUNCTION("""COMPUTED_VALUE"""),8293.0)</f>
        <v>8293</v>
      </c>
      <c r="D2085" s="9" t="str">
        <f>IFERROR(__xludf.DUMMYFUNCTION("""COMPUTED_VALUE"""),"Completed")</f>
        <v>Completed</v>
      </c>
    </row>
    <row r="2086">
      <c r="A2086" s="9" t="str">
        <f>IFERROR(__xludf.DUMMYFUNCTION("""COMPUTED_VALUE"""),"G-REQ-02085")</f>
        <v>G-REQ-02085</v>
      </c>
      <c r="B2086" s="11">
        <f>IFERROR(__xludf.DUMMYFUNCTION("""COMPUTED_VALUE"""),45909.713794511685)</f>
        <v>45909.71379</v>
      </c>
      <c r="C2086" s="9">
        <f>IFERROR(__xludf.DUMMYFUNCTION("""COMPUTED_VALUE"""),8297.0)</f>
        <v>8297</v>
      </c>
      <c r="D2086" s="9" t="str">
        <f>IFERROR(__xludf.DUMMYFUNCTION("""COMPUTED_VALUE"""),"Completed")</f>
        <v>Completed</v>
      </c>
    </row>
    <row r="2087">
      <c r="A2087" s="9" t="str">
        <f>IFERROR(__xludf.DUMMYFUNCTION("""COMPUTED_VALUE"""),"G-REQ-02086")</f>
        <v>G-REQ-02086</v>
      </c>
      <c r="B2087" s="11">
        <f>IFERROR(__xludf.DUMMYFUNCTION("""COMPUTED_VALUE"""),45909.7849693571)</f>
        <v>45909.78497</v>
      </c>
      <c r="C2087" s="9">
        <f>IFERROR(__xludf.DUMMYFUNCTION("""COMPUTED_VALUE"""),8301.0)</f>
        <v>8301</v>
      </c>
      <c r="D2087" s="9" t="str">
        <f>IFERROR(__xludf.DUMMYFUNCTION("""COMPUTED_VALUE"""),"Completed")</f>
        <v>Completed</v>
      </c>
    </row>
    <row r="2088">
      <c r="A2088" s="9" t="str">
        <f>IFERROR(__xludf.DUMMYFUNCTION("""COMPUTED_VALUE"""),"G-REQ-02087")</f>
        <v>G-REQ-02087</v>
      </c>
      <c r="B2088" s="11">
        <f>IFERROR(__xludf.DUMMYFUNCTION("""COMPUTED_VALUE"""),45909.85614420251)</f>
        <v>45909.85614</v>
      </c>
      <c r="C2088" s="9">
        <f>IFERROR(__xludf.DUMMYFUNCTION("""COMPUTED_VALUE"""),8305.0)</f>
        <v>8305</v>
      </c>
      <c r="D2088" s="9" t="str">
        <f>IFERROR(__xludf.DUMMYFUNCTION("""COMPUTED_VALUE"""),"Completed")</f>
        <v>Completed</v>
      </c>
    </row>
    <row r="2089">
      <c r="A2089" s="9" t="str">
        <f>IFERROR(__xludf.DUMMYFUNCTION("""COMPUTED_VALUE"""),"G-REQ-02088")</f>
        <v>G-REQ-02088</v>
      </c>
      <c r="B2089" s="11">
        <f>IFERROR(__xludf.DUMMYFUNCTION("""COMPUTED_VALUE"""),45909.92731904793)</f>
        <v>45909.92732</v>
      </c>
      <c r="C2089" s="9">
        <f>IFERROR(__xludf.DUMMYFUNCTION("""COMPUTED_VALUE"""),8309.0)</f>
        <v>8309</v>
      </c>
      <c r="D2089" s="9" t="str">
        <f>IFERROR(__xludf.DUMMYFUNCTION("""COMPUTED_VALUE"""),"Completed")</f>
        <v>Completed</v>
      </c>
    </row>
    <row r="2090">
      <c r="A2090" s="9" t="str">
        <f>IFERROR(__xludf.DUMMYFUNCTION("""COMPUTED_VALUE"""),"G-REQ-02089")</f>
        <v>G-REQ-02089</v>
      </c>
      <c r="B2090" s="11">
        <f>IFERROR(__xludf.DUMMYFUNCTION("""COMPUTED_VALUE"""),45909.99849389334)</f>
        <v>45909.99849</v>
      </c>
      <c r="C2090" s="9">
        <f>IFERROR(__xludf.DUMMYFUNCTION("""COMPUTED_VALUE"""),8313.0)</f>
        <v>8313</v>
      </c>
      <c r="D2090" s="9" t="str">
        <f>IFERROR(__xludf.DUMMYFUNCTION("""COMPUTED_VALUE"""),"Completed")</f>
        <v>Completed</v>
      </c>
    </row>
    <row r="2091">
      <c r="A2091" s="9" t="str">
        <f>IFERROR(__xludf.DUMMYFUNCTION("""COMPUTED_VALUE"""),"G-REQ-02090")</f>
        <v>G-REQ-02090</v>
      </c>
      <c r="B2091" s="11">
        <f>IFERROR(__xludf.DUMMYFUNCTION("""COMPUTED_VALUE"""),45910.06966873875)</f>
        <v>45910.06967</v>
      </c>
      <c r="C2091" s="9">
        <f>IFERROR(__xludf.DUMMYFUNCTION("""COMPUTED_VALUE"""),8317.0)</f>
        <v>8317</v>
      </c>
      <c r="D2091" s="9" t="str">
        <f>IFERROR(__xludf.DUMMYFUNCTION("""COMPUTED_VALUE"""),"Completed")</f>
        <v>Completed</v>
      </c>
    </row>
    <row r="2092">
      <c r="A2092" s="9" t="str">
        <f>IFERROR(__xludf.DUMMYFUNCTION("""COMPUTED_VALUE"""),"G-REQ-02091")</f>
        <v>G-REQ-02091</v>
      </c>
      <c r="B2092" s="11">
        <f>IFERROR(__xludf.DUMMYFUNCTION("""COMPUTED_VALUE"""),45910.14084358417)</f>
        <v>45910.14084</v>
      </c>
      <c r="C2092" s="9">
        <f>IFERROR(__xludf.DUMMYFUNCTION("""COMPUTED_VALUE"""),8321.0)</f>
        <v>8321</v>
      </c>
      <c r="D2092" s="9" t="str">
        <f>IFERROR(__xludf.DUMMYFUNCTION("""COMPUTED_VALUE"""),"Completed")</f>
        <v>Completed</v>
      </c>
    </row>
    <row r="2093">
      <c r="A2093" s="9" t="str">
        <f>IFERROR(__xludf.DUMMYFUNCTION("""COMPUTED_VALUE"""),"G-REQ-02092")</f>
        <v>G-REQ-02092</v>
      </c>
      <c r="B2093" s="11">
        <f>IFERROR(__xludf.DUMMYFUNCTION("""COMPUTED_VALUE"""),45910.21201842959)</f>
        <v>45910.21202</v>
      </c>
      <c r="C2093" s="9">
        <f>IFERROR(__xludf.DUMMYFUNCTION("""COMPUTED_VALUE"""),8325.0)</f>
        <v>8325</v>
      </c>
      <c r="D2093" s="9" t="str">
        <f>IFERROR(__xludf.DUMMYFUNCTION("""COMPUTED_VALUE"""),"Completed")</f>
        <v>Completed</v>
      </c>
    </row>
    <row r="2094">
      <c r="A2094" s="9" t="str">
        <f>IFERROR(__xludf.DUMMYFUNCTION("""COMPUTED_VALUE"""),"G-REQ-02093")</f>
        <v>G-REQ-02093</v>
      </c>
      <c r="B2094" s="11">
        <f>IFERROR(__xludf.DUMMYFUNCTION("""COMPUTED_VALUE"""),45910.27624883055)</f>
        <v>45910.27625</v>
      </c>
      <c r="C2094" s="9">
        <f>IFERROR(__xludf.DUMMYFUNCTION("""COMPUTED_VALUE"""),8327.0)</f>
        <v>8327</v>
      </c>
      <c r="D2094" s="9" t="str">
        <f>IFERROR(__xludf.DUMMYFUNCTION("""COMPUTED_VALUE"""),"Rejected")</f>
        <v>Rejected</v>
      </c>
    </row>
    <row r="2095">
      <c r="A2095" s="9" t="str">
        <f>IFERROR(__xludf.DUMMYFUNCTION("""COMPUTED_VALUE"""),"G-REQ-02094")</f>
        <v>G-REQ-02094</v>
      </c>
      <c r="B2095" s="11">
        <f>IFERROR(__xludf.DUMMYFUNCTION("""COMPUTED_VALUE"""),45910.35436812042)</f>
        <v>45910.35437</v>
      </c>
      <c r="C2095" s="9">
        <f>IFERROR(__xludf.DUMMYFUNCTION("""COMPUTED_VALUE"""),8331.0)</f>
        <v>8331</v>
      </c>
      <c r="D2095" s="9" t="str">
        <f>IFERROR(__xludf.DUMMYFUNCTION("""COMPUTED_VALUE"""),"Completed")</f>
        <v>Completed</v>
      </c>
    </row>
    <row r="2096">
      <c r="A2096" s="9" t="str">
        <f>IFERROR(__xludf.DUMMYFUNCTION("""COMPUTED_VALUE"""),"G-REQ-02095")</f>
        <v>G-REQ-02095</v>
      </c>
      <c r="B2096" s="11">
        <f>IFERROR(__xludf.DUMMYFUNCTION("""COMPUTED_VALUE"""),45910.42554296584)</f>
        <v>45910.42554</v>
      </c>
      <c r="C2096" s="9">
        <f>IFERROR(__xludf.DUMMYFUNCTION("""COMPUTED_VALUE"""),8335.0)</f>
        <v>8335</v>
      </c>
      <c r="D2096" s="9" t="str">
        <f>IFERROR(__xludf.DUMMYFUNCTION("""COMPUTED_VALUE"""),"Completed")</f>
        <v>Completed</v>
      </c>
    </row>
    <row r="2097">
      <c r="A2097" s="9" t="str">
        <f>IFERROR(__xludf.DUMMYFUNCTION("""COMPUTED_VALUE"""),"G-REQ-02096")</f>
        <v>G-REQ-02096</v>
      </c>
      <c r="B2097" s="11">
        <f>IFERROR(__xludf.DUMMYFUNCTION("""COMPUTED_VALUE"""),45910.49671781125)</f>
        <v>45910.49672</v>
      </c>
      <c r="C2097" s="9">
        <f>IFERROR(__xludf.DUMMYFUNCTION("""COMPUTED_VALUE"""),8339.0)</f>
        <v>8339</v>
      </c>
      <c r="D2097" s="9" t="str">
        <f>IFERROR(__xludf.DUMMYFUNCTION("""COMPUTED_VALUE"""),"Completed")</f>
        <v>Completed</v>
      </c>
    </row>
    <row r="2098">
      <c r="A2098" s="9" t="str">
        <f>IFERROR(__xludf.DUMMYFUNCTION("""COMPUTED_VALUE"""),"G-REQ-02097")</f>
        <v>G-REQ-02097</v>
      </c>
      <c r="B2098" s="11">
        <f>IFERROR(__xludf.DUMMYFUNCTION("""COMPUTED_VALUE"""),45910.56789265666)</f>
        <v>45910.56789</v>
      </c>
      <c r="C2098" s="9">
        <f>IFERROR(__xludf.DUMMYFUNCTION("""COMPUTED_VALUE"""),8343.0)</f>
        <v>8343</v>
      </c>
      <c r="D2098" s="9" t="str">
        <f>IFERROR(__xludf.DUMMYFUNCTION("""COMPUTED_VALUE"""),"Completed")</f>
        <v>Completed</v>
      </c>
    </row>
    <row r="2099">
      <c r="A2099" s="9" t="str">
        <f>IFERROR(__xludf.DUMMYFUNCTION("""COMPUTED_VALUE"""),"G-REQ-02098")</f>
        <v>G-REQ-02098</v>
      </c>
      <c r="B2099" s="11">
        <f>IFERROR(__xludf.DUMMYFUNCTION("""COMPUTED_VALUE"""),45910.63906750208)</f>
        <v>45910.63907</v>
      </c>
      <c r="C2099" s="9">
        <f>IFERROR(__xludf.DUMMYFUNCTION("""COMPUTED_VALUE"""),8347.0)</f>
        <v>8347</v>
      </c>
      <c r="D2099" s="9" t="str">
        <f>IFERROR(__xludf.DUMMYFUNCTION("""COMPUTED_VALUE"""),"Completed")</f>
        <v>Completed</v>
      </c>
    </row>
    <row r="2100">
      <c r="A2100" s="9" t="str">
        <f>IFERROR(__xludf.DUMMYFUNCTION("""COMPUTED_VALUE"""),"G-REQ-02099")</f>
        <v>G-REQ-02099</v>
      </c>
      <c r="B2100" s="11">
        <f>IFERROR(__xludf.DUMMYFUNCTION("""COMPUTED_VALUE"""),45910.71024234749)</f>
        <v>45910.71024</v>
      </c>
      <c r="C2100" s="9">
        <f>IFERROR(__xludf.DUMMYFUNCTION("""COMPUTED_VALUE"""),8351.0)</f>
        <v>8351</v>
      </c>
      <c r="D2100" s="9" t="str">
        <f>IFERROR(__xludf.DUMMYFUNCTION("""COMPUTED_VALUE"""),"Completed")</f>
        <v>Completed</v>
      </c>
    </row>
    <row r="2101">
      <c r="A2101" s="9" t="str">
        <f>IFERROR(__xludf.DUMMYFUNCTION("""COMPUTED_VALUE"""),"G-REQ-02100")</f>
        <v>G-REQ-02100</v>
      </c>
      <c r="B2101" s="11">
        <f>IFERROR(__xludf.DUMMYFUNCTION("""COMPUTED_VALUE"""),45910.781417192906)</f>
        <v>45910.78142</v>
      </c>
      <c r="C2101" s="9">
        <f>IFERROR(__xludf.DUMMYFUNCTION("""COMPUTED_VALUE"""),8355.0)</f>
        <v>8355</v>
      </c>
      <c r="D2101" s="9" t="str">
        <f>IFERROR(__xludf.DUMMYFUNCTION("""COMPUTED_VALUE"""),"Completed")</f>
        <v>Completed</v>
      </c>
    </row>
    <row r="2102">
      <c r="A2102" s="9" t="str">
        <f>IFERROR(__xludf.DUMMYFUNCTION("""COMPUTED_VALUE"""),"G-REQ-02101")</f>
        <v>G-REQ-02101</v>
      </c>
      <c r="B2102" s="11">
        <f>IFERROR(__xludf.DUMMYFUNCTION("""COMPUTED_VALUE"""),45910.852592038325)</f>
        <v>45910.85259</v>
      </c>
      <c r="C2102" s="9">
        <f>IFERROR(__xludf.DUMMYFUNCTION("""COMPUTED_VALUE"""),8359.0)</f>
        <v>8359</v>
      </c>
      <c r="D2102" s="9" t="str">
        <f>IFERROR(__xludf.DUMMYFUNCTION("""COMPUTED_VALUE"""),"Completed")</f>
        <v>Completed</v>
      </c>
    </row>
    <row r="2103">
      <c r="A2103" s="9" t="str">
        <f>IFERROR(__xludf.DUMMYFUNCTION("""COMPUTED_VALUE"""),"G-REQ-02102")</f>
        <v>G-REQ-02102</v>
      </c>
      <c r="B2103" s="11">
        <f>IFERROR(__xludf.DUMMYFUNCTION("""COMPUTED_VALUE"""),45910.92376688374)</f>
        <v>45910.92377</v>
      </c>
      <c r="C2103" s="9">
        <f>IFERROR(__xludf.DUMMYFUNCTION("""COMPUTED_VALUE"""),8363.0)</f>
        <v>8363</v>
      </c>
      <c r="D2103" s="9" t="str">
        <f>IFERROR(__xludf.DUMMYFUNCTION("""COMPUTED_VALUE"""),"Completed")</f>
        <v>Completed</v>
      </c>
    </row>
    <row r="2104">
      <c r="A2104" s="9" t="str">
        <f>IFERROR(__xludf.DUMMYFUNCTION("""COMPUTED_VALUE"""),"G-REQ-02103")</f>
        <v>G-REQ-02103</v>
      </c>
      <c r="B2104" s="11">
        <f>IFERROR(__xludf.DUMMYFUNCTION("""COMPUTED_VALUE"""),45910.99494172915)</f>
        <v>45910.99494</v>
      </c>
      <c r="C2104" s="9">
        <f>IFERROR(__xludf.DUMMYFUNCTION("""COMPUTED_VALUE"""),8367.0)</f>
        <v>8367</v>
      </c>
      <c r="D2104" s="9" t="str">
        <f>IFERROR(__xludf.DUMMYFUNCTION("""COMPUTED_VALUE"""),"Completed")</f>
        <v>Completed</v>
      </c>
    </row>
    <row r="2105">
      <c r="A2105" s="9" t="str">
        <f>IFERROR(__xludf.DUMMYFUNCTION("""COMPUTED_VALUE"""),"G-REQ-02104")</f>
        <v>G-REQ-02104</v>
      </c>
      <c r="B2105" s="11">
        <f>IFERROR(__xludf.DUMMYFUNCTION("""COMPUTED_VALUE"""),45911.06611657457)</f>
        <v>45911.06612</v>
      </c>
      <c r="C2105" s="9">
        <f>IFERROR(__xludf.DUMMYFUNCTION("""COMPUTED_VALUE"""),8371.0)</f>
        <v>8371</v>
      </c>
      <c r="D2105" s="9" t="str">
        <f>IFERROR(__xludf.DUMMYFUNCTION("""COMPUTED_VALUE"""),"Completed")</f>
        <v>Completed</v>
      </c>
    </row>
    <row r="2106">
      <c r="A2106" s="9" t="str">
        <f>IFERROR(__xludf.DUMMYFUNCTION("""COMPUTED_VALUE"""),"G-REQ-02105")</f>
        <v>G-REQ-02105</v>
      </c>
      <c r="B2106" s="11">
        <f>IFERROR(__xludf.DUMMYFUNCTION("""COMPUTED_VALUE"""),45911.13729141998)</f>
        <v>45911.13729</v>
      </c>
      <c r="C2106" s="9">
        <f>IFERROR(__xludf.DUMMYFUNCTION("""COMPUTED_VALUE"""),8375.0)</f>
        <v>8375</v>
      </c>
      <c r="D2106" s="9" t="str">
        <f>IFERROR(__xludf.DUMMYFUNCTION("""COMPUTED_VALUE"""),"Completed")</f>
        <v>Completed</v>
      </c>
    </row>
    <row r="2107">
      <c r="A2107" s="9" t="str">
        <f>IFERROR(__xludf.DUMMYFUNCTION("""COMPUTED_VALUE"""),"G-REQ-02106")</f>
        <v>G-REQ-02106</v>
      </c>
      <c r="B2107" s="11">
        <f>IFERROR(__xludf.DUMMYFUNCTION("""COMPUTED_VALUE"""),45911.208466265394)</f>
        <v>45911.20847</v>
      </c>
      <c r="C2107" s="9">
        <f>IFERROR(__xludf.DUMMYFUNCTION("""COMPUTED_VALUE"""),8379.0)</f>
        <v>8379</v>
      </c>
      <c r="D2107" s="9" t="str">
        <f>IFERROR(__xludf.DUMMYFUNCTION("""COMPUTED_VALUE"""),"Completed")</f>
        <v>Completed</v>
      </c>
    </row>
    <row r="2108">
      <c r="A2108" s="9" t="str">
        <f>IFERROR(__xludf.DUMMYFUNCTION("""COMPUTED_VALUE"""),"G-REQ-02107")</f>
        <v>G-REQ-02107</v>
      </c>
      <c r="B2108" s="11">
        <f>IFERROR(__xludf.DUMMYFUNCTION("""COMPUTED_VALUE"""),45911.27269666637)</f>
        <v>45911.2727</v>
      </c>
      <c r="C2108" s="9">
        <f>IFERROR(__xludf.DUMMYFUNCTION("""COMPUTED_VALUE"""),8381.0)</f>
        <v>8381</v>
      </c>
      <c r="D2108" s="9" t="str">
        <f>IFERROR(__xludf.DUMMYFUNCTION("""COMPUTED_VALUE"""),"Rejected")</f>
        <v>Rejected</v>
      </c>
    </row>
    <row r="2109">
      <c r="A2109" s="9" t="str">
        <f>IFERROR(__xludf.DUMMYFUNCTION("""COMPUTED_VALUE"""),"G-REQ-02108")</f>
        <v>G-REQ-02108</v>
      </c>
      <c r="B2109" s="11">
        <f>IFERROR(__xludf.DUMMYFUNCTION("""COMPUTED_VALUE"""),45911.35081595623)</f>
        <v>45911.35082</v>
      </c>
      <c r="C2109" s="9">
        <f>IFERROR(__xludf.DUMMYFUNCTION("""COMPUTED_VALUE"""),8385.0)</f>
        <v>8385</v>
      </c>
      <c r="D2109" s="9" t="str">
        <f>IFERROR(__xludf.DUMMYFUNCTION("""COMPUTED_VALUE"""),"Completed")</f>
        <v>Completed</v>
      </c>
    </row>
    <row r="2110">
      <c r="A2110" s="9" t="str">
        <f>IFERROR(__xludf.DUMMYFUNCTION("""COMPUTED_VALUE"""),"G-REQ-02109")</f>
        <v>G-REQ-02109</v>
      </c>
      <c r="B2110" s="11">
        <f>IFERROR(__xludf.DUMMYFUNCTION("""COMPUTED_VALUE"""),45911.42199080164)</f>
        <v>45911.42199</v>
      </c>
      <c r="C2110" s="9">
        <f>IFERROR(__xludf.DUMMYFUNCTION("""COMPUTED_VALUE"""),8389.0)</f>
        <v>8389</v>
      </c>
      <c r="D2110" s="9" t="str">
        <f>IFERROR(__xludf.DUMMYFUNCTION("""COMPUTED_VALUE"""),"Completed")</f>
        <v>Completed</v>
      </c>
    </row>
    <row r="2111">
      <c r="A2111" s="9" t="str">
        <f>IFERROR(__xludf.DUMMYFUNCTION("""COMPUTED_VALUE"""),"G-REQ-02110")</f>
        <v>G-REQ-02110</v>
      </c>
      <c r="B2111" s="11">
        <f>IFERROR(__xludf.DUMMYFUNCTION("""COMPUTED_VALUE"""),45911.49316564706)</f>
        <v>45911.49317</v>
      </c>
      <c r="C2111" s="9">
        <f>IFERROR(__xludf.DUMMYFUNCTION("""COMPUTED_VALUE"""),8393.0)</f>
        <v>8393</v>
      </c>
      <c r="D2111" s="9" t="str">
        <f>IFERROR(__xludf.DUMMYFUNCTION("""COMPUTED_VALUE"""),"Completed")</f>
        <v>Completed</v>
      </c>
    </row>
    <row r="2112">
      <c r="A2112" s="9" t="str">
        <f>IFERROR(__xludf.DUMMYFUNCTION("""COMPUTED_VALUE"""),"G-REQ-02111")</f>
        <v>G-REQ-02111</v>
      </c>
      <c r="B2112" s="11">
        <f>IFERROR(__xludf.DUMMYFUNCTION("""COMPUTED_VALUE"""),45911.56434049248)</f>
        <v>45911.56434</v>
      </c>
      <c r="C2112" s="9">
        <f>IFERROR(__xludf.DUMMYFUNCTION("""COMPUTED_VALUE"""),8397.0)</f>
        <v>8397</v>
      </c>
      <c r="D2112" s="9" t="str">
        <f>IFERROR(__xludf.DUMMYFUNCTION("""COMPUTED_VALUE"""),"Completed")</f>
        <v>Completed</v>
      </c>
    </row>
    <row r="2113">
      <c r="A2113" s="9" t="str">
        <f>IFERROR(__xludf.DUMMYFUNCTION("""COMPUTED_VALUE"""),"G-REQ-02112")</f>
        <v>G-REQ-02112</v>
      </c>
      <c r="B2113" s="11">
        <f>IFERROR(__xludf.DUMMYFUNCTION("""COMPUTED_VALUE"""),45911.63551533789)</f>
        <v>45911.63552</v>
      </c>
      <c r="C2113" s="9">
        <f>IFERROR(__xludf.DUMMYFUNCTION("""COMPUTED_VALUE"""),8401.0)</f>
        <v>8401</v>
      </c>
      <c r="D2113" s="9" t="str">
        <f>IFERROR(__xludf.DUMMYFUNCTION("""COMPUTED_VALUE"""),"Completed")</f>
        <v>Completed</v>
      </c>
    </row>
    <row r="2114">
      <c r="A2114" s="9" t="str">
        <f>IFERROR(__xludf.DUMMYFUNCTION("""COMPUTED_VALUE"""),"G-REQ-02113")</f>
        <v>G-REQ-02113</v>
      </c>
      <c r="B2114" s="11">
        <f>IFERROR(__xludf.DUMMYFUNCTION("""COMPUTED_VALUE"""),45911.69974573886)</f>
        <v>45911.69975</v>
      </c>
      <c r="C2114" s="9">
        <f>IFERROR(__xludf.DUMMYFUNCTION("""COMPUTED_VALUE"""),8403.0)</f>
        <v>8403</v>
      </c>
      <c r="D2114" s="9" t="str">
        <f>IFERROR(__xludf.DUMMYFUNCTION("""COMPUTED_VALUE"""),"Cancelled")</f>
        <v>Cancelled</v>
      </c>
    </row>
    <row r="2115">
      <c r="A2115" s="9" t="str">
        <f>IFERROR(__xludf.DUMMYFUNCTION("""COMPUTED_VALUE"""),"G-REQ-02114")</f>
        <v>G-REQ-02114</v>
      </c>
      <c r="B2115" s="11">
        <f>IFERROR(__xludf.DUMMYFUNCTION("""COMPUTED_VALUE"""),45911.77786502872)</f>
        <v>45911.77787</v>
      </c>
      <c r="C2115" s="9">
        <f>IFERROR(__xludf.DUMMYFUNCTION("""COMPUTED_VALUE"""),8407.0)</f>
        <v>8407</v>
      </c>
      <c r="D2115" s="9" t="str">
        <f>IFERROR(__xludf.DUMMYFUNCTION("""COMPUTED_VALUE"""),"Completed")</f>
        <v>Completed</v>
      </c>
    </row>
    <row r="2116">
      <c r="A2116" s="9" t="str">
        <f>IFERROR(__xludf.DUMMYFUNCTION("""COMPUTED_VALUE"""),"G-REQ-02115")</f>
        <v>G-REQ-02115</v>
      </c>
      <c r="B2116" s="11">
        <f>IFERROR(__xludf.DUMMYFUNCTION("""COMPUTED_VALUE"""),45911.849039874134)</f>
        <v>45911.84904</v>
      </c>
      <c r="C2116" s="9">
        <f>IFERROR(__xludf.DUMMYFUNCTION("""COMPUTED_VALUE"""),8411.0)</f>
        <v>8411</v>
      </c>
      <c r="D2116" s="9" t="str">
        <f>IFERROR(__xludf.DUMMYFUNCTION("""COMPUTED_VALUE"""),"Completed")</f>
        <v>Completed</v>
      </c>
    </row>
    <row r="2117">
      <c r="A2117" s="9" t="str">
        <f>IFERROR(__xludf.DUMMYFUNCTION("""COMPUTED_VALUE"""),"G-REQ-02116")</f>
        <v>G-REQ-02116</v>
      </c>
      <c r="B2117" s="11">
        <f>IFERROR(__xludf.DUMMYFUNCTION("""COMPUTED_VALUE"""),45911.92021471955)</f>
        <v>45911.92021</v>
      </c>
      <c r="C2117" s="9">
        <f>IFERROR(__xludf.DUMMYFUNCTION("""COMPUTED_VALUE"""),8415.0)</f>
        <v>8415</v>
      </c>
      <c r="D2117" s="9" t="str">
        <f>IFERROR(__xludf.DUMMYFUNCTION("""COMPUTED_VALUE"""),"Completed")</f>
        <v>Completed</v>
      </c>
    </row>
    <row r="2118">
      <c r="A2118" s="9" t="str">
        <f>IFERROR(__xludf.DUMMYFUNCTION("""COMPUTED_VALUE"""),"G-REQ-02117")</f>
        <v>G-REQ-02117</v>
      </c>
      <c r="B2118" s="11">
        <f>IFERROR(__xludf.DUMMYFUNCTION("""COMPUTED_VALUE"""),45911.991389564966)</f>
        <v>45911.99139</v>
      </c>
      <c r="C2118" s="9">
        <f>IFERROR(__xludf.DUMMYFUNCTION("""COMPUTED_VALUE"""),8419.0)</f>
        <v>8419</v>
      </c>
      <c r="D2118" s="9" t="str">
        <f>IFERROR(__xludf.DUMMYFUNCTION("""COMPUTED_VALUE"""),"Completed")</f>
        <v>Completed</v>
      </c>
    </row>
    <row r="2119">
      <c r="A2119" s="9" t="str">
        <f>IFERROR(__xludf.DUMMYFUNCTION("""COMPUTED_VALUE"""),"G-REQ-02118")</f>
        <v>G-REQ-02118</v>
      </c>
      <c r="B2119" s="11">
        <f>IFERROR(__xludf.DUMMYFUNCTION("""COMPUTED_VALUE"""),45912.06256441038)</f>
        <v>45912.06256</v>
      </c>
      <c r="C2119" s="9">
        <f>IFERROR(__xludf.DUMMYFUNCTION("""COMPUTED_VALUE"""),8423.0)</f>
        <v>8423</v>
      </c>
      <c r="D2119" s="9" t="str">
        <f>IFERROR(__xludf.DUMMYFUNCTION("""COMPUTED_VALUE"""),"Completed")</f>
        <v>Completed</v>
      </c>
    </row>
    <row r="2120">
      <c r="A2120" s="9" t="str">
        <f>IFERROR(__xludf.DUMMYFUNCTION("""COMPUTED_VALUE"""),"G-REQ-02119")</f>
        <v>G-REQ-02119</v>
      </c>
      <c r="B2120" s="11">
        <f>IFERROR(__xludf.DUMMYFUNCTION("""COMPUTED_VALUE"""),45912.13373925579)</f>
        <v>45912.13374</v>
      </c>
      <c r="C2120" s="9">
        <f>IFERROR(__xludf.DUMMYFUNCTION("""COMPUTED_VALUE"""),8427.0)</f>
        <v>8427</v>
      </c>
      <c r="D2120" s="9" t="str">
        <f>IFERROR(__xludf.DUMMYFUNCTION("""COMPUTED_VALUE"""),"Completed")</f>
        <v>Completed</v>
      </c>
    </row>
    <row r="2121">
      <c r="A2121" s="9" t="str">
        <f>IFERROR(__xludf.DUMMYFUNCTION("""COMPUTED_VALUE"""),"G-REQ-02120")</f>
        <v>G-REQ-02120</v>
      </c>
      <c r="B2121" s="11">
        <f>IFERROR(__xludf.DUMMYFUNCTION("""COMPUTED_VALUE"""),45912.20491410121)</f>
        <v>45912.20491</v>
      </c>
      <c r="C2121" s="9">
        <f>IFERROR(__xludf.DUMMYFUNCTION("""COMPUTED_VALUE"""),8431.0)</f>
        <v>8431</v>
      </c>
      <c r="D2121" s="9" t="str">
        <f>IFERROR(__xludf.DUMMYFUNCTION("""COMPUTED_VALUE"""),"Completed")</f>
        <v>Completed</v>
      </c>
    </row>
    <row r="2122">
      <c r="A2122" s="9" t="str">
        <f>IFERROR(__xludf.DUMMYFUNCTION("""COMPUTED_VALUE"""),"G-REQ-02121")</f>
        <v>G-REQ-02121</v>
      </c>
      <c r="B2122" s="11">
        <f>IFERROR(__xludf.DUMMYFUNCTION("""COMPUTED_VALUE"""),45912.27608894662)</f>
        <v>45912.27609</v>
      </c>
      <c r="C2122" s="9">
        <f>IFERROR(__xludf.DUMMYFUNCTION("""COMPUTED_VALUE"""),8435.0)</f>
        <v>8435</v>
      </c>
      <c r="D2122" s="9" t="str">
        <f>IFERROR(__xludf.DUMMYFUNCTION("""COMPUTED_VALUE"""),"Completed")</f>
        <v>Completed</v>
      </c>
    </row>
    <row r="2123">
      <c r="A2123" s="9" t="str">
        <f>IFERROR(__xludf.DUMMYFUNCTION("""COMPUTED_VALUE"""),"G-REQ-02122")</f>
        <v>G-REQ-02122</v>
      </c>
      <c r="B2123" s="11">
        <f>IFERROR(__xludf.DUMMYFUNCTION("""COMPUTED_VALUE"""),45912.347263792035)</f>
        <v>45912.34726</v>
      </c>
      <c r="C2123" s="9">
        <f>IFERROR(__xludf.DUMMYFUNCTION("""COMPUTED_VALUE"""),8439.0)</f>
        <v>8439</v>
      </c>
      <c r="D2123" s="9" t="str">
        <f>IFERROR(__xludf.DUMMYFUNCTION("""COMPUTED_VALUE"""),"Completed")</f>
        <v>Completed</v>
      </c>
    </row>
    <row r="2124">
      <c r="A2124" s="9" t="str">
        <f>IFERROR(__xludf.DUMMYFUNCTION("""COMPUTED_VALUE"""),"G-REQ-02123")</f>
        <v>G-REQ-02123</v>
      </c>
      <c r="B2124" s="11">
        <f>IFERROR(__xludf.DUMMYFUNCTION("""COMPUTED_VALUE"""),45912.41149419301)</f>
        <v>45912.41149</v>
      </c>
      <c r="C2124" s="9">
        <f>IFERROR(__xludf.DUMMYFUNCTION("""COMPUTED_VALUE"""),8441.0)</f>
        <v>8441</v>
      </c>
      <c r="D2124" s="9" t="str">
        <f>IFERROR(__xludf.DUMMYFUNCTION("""COMPUTED_VALUE"""),"Rejected")</f>
        <v>Rejected</v>
      </c>
    </row>
    <row r="2125">
      <c r="A2125" s="9" t="str">
        <f>IFERROR(__xludf.DUMMYFUNCTION("""COMPUTED_VALUE"""),"G-REQ-02124")</f>
        <v>G-REQ-02124</v>
      </c>
      <c r="B2125" s="11">
        <f>IFERROR(__xludf.DUMMYFUNCTION("""COMPUTED_VALUE"""),45912.489613482874)</f>
        <v>45912.48961</v>
      </c>
      <c r="C2125" s="9">
        <f>IFERROR(__xludf.DUMMYFUNCTION("""COMPUTED_VALUE"""),8445.0)</f>
        <v>8445</v>
      </c>
      <c r="D2125" s="9" t="str">
        <f>IFERROR(__xludf.DUMMYFUNCTION("""COMPUTED_VALUE"""),"Completed")</f>
        <v>Completed</v>
      </c>
    </row>
    <row r="2126">
      <c r="A2126" s="9" t="str">
        <f>IFERROR(__xludf.DUMMYFUNCTION("""COMPUTED_VALUE"""),"G-REQ-02125")</f>
        <v>G-REQ-02125</v>
      </c>
      <c r="B2126" s="11">
        <f>IFERROR(__xludf.DUMMYFUNCTION("""COMPUTED_VALUE"""),45912.56078832828)</f>
        <v>45912.56079</v>
      </c>
      <c r="C2126" s="9">
        <f>IFERROR(__xludf.DUMMYFUNCTION("""COMPUTED_VALUE"""),8449.0)</f>
        <v>8449</v>
      </c>
      <c r="D2126" s="9" t="str">
        <f>IFERROR(__xludf.DUMMYFUNCTION("""COMPUTED_VALUE"""),"Completed")</f>
        <v>Completed</v>
      </c>
    </row>
    <row r="2127">
      <c r="A2127" s="9" t="str">
        <f>IFERROR(__xludf.DUMMYFUNCTION("""COMPUTED_VALUE"""),"G-REQ-02126")</f>
        <v>G-REQ-02126</v>
      </c>
      <c r="B2127" s="11">
        <f>IFERROR(__xludf.DUMMYFUNCTION("""COMPUTED_VALUE"""),45912.6319631737)</f>
        <v>45912.63196</v>
      </c>
      <c r="C2127" s="9">
        <f>IFERROR(__xludf.DUMMYFUNCTION("""COMPUTED_VALUE"""),8453.0)</f>
        <v>8453</v>
      </c>
      <c r="D2127" s="9" t="str">
        <f>IFERROR(__xludf.DUMMYFUNCTION("""COMPUTED_VALUE"""),"Completed")</f>
        <v>Completed</v>
      </c>
    </row>
    <row r="2128">
      <c r="A2128" s="9" t="str">
        <f>IFERROR(__xludf.DUMMYFUNCTION("""COMPUTED_VALUE"""),"G-REQ-02127")</f>
        <v>G-REQ-02127</v>
      </c>
      <c r="B2128" s="11">
        <f>IFERROR(__xludf.DUMMYFUNCTION("""COMPUTED_VALUE"""),45912.70313801912)</f>
        <v>45912.70314</v>
      </c>
      <c r="C2128" s="9">
        <f>IFERROR(__xludf.DUMMYFUNCTION("""COMPUTED_VALUE"""),8457.0)</f>
        <v>8457</v>
      </c>
      <c r="D2128" s="9" t="str">
        <f>IFERROR(__xludf.DUMMYFUNCTION("""COMPUTED_VALUE"""),"Completed")</f>
        <v>Completed</v>
      </c>
    </row>
    <row r="2129">
      <c r="A2129" s="9" t="str">
        <f>IFERROR(__xludf.DUMMYFUNCTION("""COMPUTED_VALUE"""),"G-REQ-02128")</f>
        <v>G-REQ-02128</v>
      </c>
      <c r="B2129" s="11">
        <f>IFERROR(__xludf.DUMMYFUNCTION("""COMPUTED_VALUE"""),45912.77431286453)</f>
        <v>45912.77431</v>
      </c>
      <c r="C2129" s="9">
        <f>IFERROR(__xludf.DUMMYFUNCTION("""COMPUTED_VALUE"""),8461.0)</f>
        <v>8461</v>
      </c>
      <c r="D2129" s="9" t="str">
        <f>IFERROR(__xludf.DUMMYFUNCTION("""COMPUTED_VALUE"""),"Completed")</f>
        <v>Completed</v>
      </c>
    </row>
    <row r="2130">
      <c r="A2130" s="9" t="str">
        <f>IFERROR(__xludf.DUMMYFUNCTION("""COMPUTED_VALUE"""),"G-REQ-02129")</f>
        <v>G-REQ-02129</v>
      </c>
      <c r="B2130" s="11">
        <f>IFERROR(__xludf.DUMMYFUNCTION("""COMPUTED_VALUE"""),45912.84548770994)</f>
        <v>45912.84549</v>
      </c>
      <c r="C2130" s="9">
        <f>IFERROR(__xludf.DUMMYFUNCTION("""COMPUTED_VALUE"""),8465.0)</f>
        <v>8465</v>
      </c>
      <c r="D2130" s="9" t="str">
        <f>IFERROR(__xludf.DUMMYFUNCTION("""COMPUTED_VALUE"""),"Completed")</f>
        <v>Completed</v>
      </c>
    </row>
    <row r="2131">
      <c r="A2131" s="9" t="str">
        <f>IFERROR(__xludf.DUMMYFUNCTION("""COMPUTED_VALUE"""),"G-REQ-02130")</f>
        <v>G-REQ-02130</v>
      </c>
      <c r="B2131" s="11">
        <f>IFERROR(__xludf.DUMMYFUNCTION("""COMPUTED_VALUE"""),45912.91666255536)</f>
        <v>45912.91666</v>
      </c>
      <c r="C2131" s="9">
        <f>IFERROR(__xludf.DUMMYFUNCTION("""COMPUTED_VALUE"""),8469.0)</f>
        <v>8469</v>
      </c>
      <c r="D2131" s="9" t="str">
        <f>IFERROR(__xludf.DUMMYFUNCTION("""COMPUTED_VALUE"""),"Completed")</f>
        <v>Completed</v>
      </c>
    </row>
    <row r="2132">
      <c r="A2132" s="9" t="str">
        <f>IFERROR(__xludf.DUMMYFUNCTION("""COMPUTED_VALUE"""),"G-REQ-02131")</f>
        <v>G-REQ-02131</v>
      </c>
      <c r="B2132" s="11">
        <f>IFERROR(__xludf.DUMMYFUNCTION("""COMPUTED_VALUE"""),45912.987837400775)</f>
        <v>45912.98784</v>
      </c>
      <c r="C2132" s="9">
        <f>IFERROR(__xludf.DUMMYFUNCTION("""COMPUTED_VALUE"""),8473.0)</f>
        <v>8473</v>
      </c>
      <c r="D2132" s="9" t="str">
        <f>IFERROR(__xludf.DUMMYFUNCTION("""COMPUTED_VALUE"""),"Completed")</f>
        <v>Completed</v>
      </c>
    </row>
    <row r="2133">
      <c r="A2133" s="9" t="str">
        <f>IFERROR(__xludf.DUMMYFUNCTION("""COMPUTED_VALUE"""),"G-REQ-02132")</f>
        <v>G-REQ-02132</v>
      </c>
      <c r="B2133" s="11">
        <f>IFERROR(__xludf.DUMMYFUNCTION("""COMPUTED_VALUE"""),45913.05901224619)</f>
        <v>45913.05901</v>
      </c>
      <c r="C2133" s="9">
        <f>IFERROR(__xludf.DUMMYFUNCTION("""COMPUTED_VALUE"""),8477.0)</f>
        <v>8477</v>
      </c>
      <c r="D2133" s="9" t="str">
        <f>IFERROR(__xludf.DUMMYFUNCTION("""COMPUTED_VALUE"""),"Completed")</f>
        <v>Completed</v>
      </c>
    </row>
    <row r="2134">
      <c r="A2134" s="9" t="str">
        <f>IFERROR(__xludf.DUMMYFUNCTION("""COMPUTED_VALUE"""),"G-REQ-02133")</f>
        <v>G-REQ-02133</v>
      </c>
      <c r="B2134" s="11">
        <f>IFERROR(__xludf.DUMMYFUNCTION("""COMPUTED_VALUE"""),45913.13018709161)</f>
        <v>45913.13019</v>
      </c>
      <c r="C2134" s="9">
        <f>IFERROR(__xludf.DUMMYFUNCTION("""COMPUTED_VALUE"""),8481.0)</f>
        <v>8481</v>
      </c>
      <c r="D2134" s="9" t="str">
        <f>IFERROR(__xludf.DUMMYFUNCTION("""COMPUTED_VALUE"""),"Completed")</f>
        <v>Completed</v>
      </c>
    </row>
    <row r="2135">
      <c r="A2135" s="9" t="str">
        <f>IFERROR(__xludf.DUMMYFUNCTION("""COMPUTED_VALUE"""),"G-REQ-02134")</f>
        <v>G-REQ-02134</v>
      </c>
      <c r="B2135" s="11">
        <f>IFERROR(__xludf.DUMMYFUNCTION("""COMPUTED_VALUE"""),45913.20136193703)</f>
        <v>45913.20136</v>
      </c>
      <c r="C2135" s="9">
        <f>IFERROR(__xludf.DUMMYFUNCTION("""COMPUTED_VALUE"""),8485.0)</f>
        <v>8485</v>
      </c>
      <c r="D2135" s="9" t="str">
        <f>IFERROR(__xludf.DUMMYFUNCTION("""COMPUTED_VALUE"""),"Completed")</f>
        <v>Completed</v>
      </c>
    </row>
    <row r="2136">
      <c r="A2136" s="9" t="str">
        <f>IFERROR(__xludf.DUMMYFUNCTION("""COMPUTED_VALUE"""),"G-REQ-02135")</f>
        <v>G-REQ-02135</v>
      </c>
      <c r="B2136" s="11">
        <f>IFERROR(__xludf.DUMMYFUNCTION("""COMPUTED_VALUE"""),45913.27253678243)</f>
        <v>45913.27254</v>
      </c>
      <c r="C2136" s="9">
        <f>IFERROR(__xludf.DUMMYFUNCTION("""COMPUTED_VALUE"""),8489.0)</f>
        <v>8489</v>
      </c>
      <c r="D2136" s="9" t="str">
        <f>IFERROR(__xludf.DUMMYFUNCTION("""COMPUTED_VALUE"""),"Completed")</f>
        <v>Completed</v>
      </c>
    </row>
    <row r="2137">
      <c r="A2137" s="9" t="str">
        <f>IFERROR(__xludf.DUMMYFUNCTION("""COMPUTED_VALUE"""),"G-REQ-02136")</f>
        <v>G-REQ-02136</v>
      </c>
      <c r="B2137" s="11">
        <f>IFERROR(__xludf.DUMMYFUNCTION("""COMPUTED_VALUE"""),45913.336767183406)</f>
        <v>45913.33677</v>
      </c>
      <c r="C2137" s="9">
        <f>IFERROR(__xludf.DUMMYFUNCTION("""COMPUTED_VALUE"""),8491.0)</f>
        <v>8491</v>
      </c>
      <c r="D2137" s="9" t="str">
        <f>IFERROR(__xludf.DUMMYFUNCTION("""COMPUTED_VALUE"""),"Rejected")</f>
        <v>Rejected</v>
      </c>
    </row>
    <row r="2138">
      <c r="A2138" s="9" t="str">
        <f>IFERROR(__xludf.DUMMYFUNCTION("""COMPUTED_VALUE"""),"G-REQ-02137")</f>
        <v>G-REQ-02137</v>
      </c>
      <c r="B2138" s="11">
        <f>IFERROR(__xludf.DUMMYFUNCTION("""COMPUTED_VALUE"""),45913.41488647326)</f>
        <v>45913.41489</v>
      </c>
      <c r="C2138" s="9">
        <f>IFERROR(__xludf.DUMMYFUNCTION("""COMPUTED_VALUE"""),8495.0)</f>
        <v>8495</v>
      </c>
      <c r="D2138" s="9" t="str">
        <f>IFERROR(__xludf.DUMMYFUNCTION("""COMPUTED_VALUE"""),"Completed")</f>
        <v>Completed</v>
      </c>
    </row>
    <row r="2139">
      <c r="A2139" s="9" t="str">
        <f>IFERROR(__xludf.DUMMYFUNCTION("""COMPUTED_VALUE"""),"G-REQ-02138")</f>
        <v>G-REQ-02138</v>
      </c>
      <c r="B2139" s="11">
        <f>IFERROR(__xludf.DUMMYFUNCTION("""COMPUTED_VALUE"""),45913.48606131868)</f>
        <v>45913.48606</v>
      </c>
      <c r="C2139" s="9">
        <f>IFERROR(__xludf.DUMMYFUNCTION("""COMPUTED_VALUE"""),8499.0)</f>
        <v>8499</v>
      </c>
      <c r="D2139" s="9" t="str">
        <f>IFERROR(__xludf.DUMMYFUNCTION("""COMPUTED_VALUE"""),"Completed")</f>
        <v>Completed</v>
      </c>
    </row>
    <row r="2140">
      <c r="A2140" s="9" t="str">
        <f>IFERROR(__xludf.DUMMYFUNCTION("""COMPUTED_VALUE"""),"G-REQ-02139")</f>
        <v>G-REQ-02139</v>
      </c>
      <c r="B2140" s="11">
        <f>IFERROR(__xludf.DUMMYFUNCTION("""COMPUTED_VALUE"""),45913.557236164095)</f>
        <v>45913.55724</v>
      </c>
      <c r="C2140" s="9">
        <f>IFERROR(__xludf.DUMMYFUNCTION("""COMPUTED_VALUE"""),8503.0)</f>
        <v>8503</v>
      </c>
      <c r="D2140" s="9" t="str">
        <f>IFERROR(__xludf.DUMMYFUNCTION("""COMPUTED_VALUE"""),"Completed")</f>
        <v>Completed</v>
      </c>
    </row>
    <row r="2141">
      <c r="A2141" s="9" t="str">
        <f>IFERROR(__xludf.DUMMYFUNCTION("""COMPUTED_VALUE"""),"G-REQ-02140")</f>
        <v>G-REQ-02140</v>
      </c>
      <c r="B2141" s="11">
        <f>IFERROR(__xludf.DUMMYFUNCTION("""COMPUTED_VALUE"""),45913.628411009515)</f>
        <v>45913.62841</v>
      </c>
      <c r="C2141" s="9">
        <f>IFERROR(__xludf.DUMMYFUNCTION("""COMPUTED_VALUE"""),8507.0)</f>
        <v>8507</v>
      </c>
      <c r="D2141" s="9" t="str">
        <f>IFERROR(__xludf.DUMMYFUNCTION("""COMPUTED_VALUE"""),"Completed")</f>
        <v>Completed</v>
      </c>
    </row>
    <row r="2142">
      <c r="A2142" s="9" t="str">
        <f>IFERROR(__xludf.DUMMYFUNCTION("""COMPUTED_VALUE"""),"G-REQ-02141")</f>
        <v>G-REQ-02141</v>
      </c>
      <c r="B2142" s="11">
        <f>IFERROR(__xludf.DUMMYFUNCTION("""COMPUTED_VALUE"""),45913.69958585493)</f>
        <v>45913.69959</v>
      </c>
      <c r="C2142" s="9">
        <f>IFERROR(__xludf.DUMMYFUNCTION("""COMPUTED_VALUE"""),8511.0)</f>
        <v>8511</v>
      </c>
      <c r="D2142" s="9" t="str">
        <f>IFERROR(__xludf.DUMMYFUNCTION("""COMPUTED_VALUE"""),"Completed")</f>
        <v>Completed</v>
      </c>
    </row>
    <row r="2143">
      <c r="A2143" s="9" t="str">
        <f>IFERROR(__xludf.DUMMYFUNCTION("""COMPUTED_VALUE"""),"G-REQ-02142")</f>
        <v>G-REQ-02142</v>
      </c>
      <c r="B2143" s="11">
        <f>IFERROR(__xludf.DUMMYFUNCTION("""COMPUTED_VALUE"""),45913.77076070034)</f>
        <v>45913.77076</v>
      </c>
      <c r="C2143" s="9">
        <f>IFERROR(__xludf.DUMMYFUNCTION("""COMPUTED_VALUE"""),8515.0)</f>
        <v>8515</v>
      </c>
      <c r="D2143" s="9" t="str">
        <f>IFERROR(__xludf.DUMMYFUNCTION("""COMPUTED_VALUE"""),"Completed")</f>
        <v>Completed</v>
      </c>
    </row>
    <row r="2144">
      <c r="A2144" s="9" t="str">
        <f>IFERROR(__xludf.DUMMYFUNCTION("""COMPUTED_VALUE"""),"G-REQ-02143")</f>
        <v>G-REQ-02143</v>
      </c>
      <c r="B2144" s="11">
        <f>IFERROR(__xludf.DUMMYFUNCTION("""COMPUTED_VALUE"""),45913.84193554576)</f>
        <v>45913.84194</v>
      </c>
      <c r="C2144" s="9">
        <f>IFERROR(__xludf.DUMMYFUNCTION("""COMPUTED_VALUE"""),8519.0)</f>
        <v>8519</v>
      </c>
      <c r="D2144" s="9" t="str">
        <f>IFERROR(__xludf.DUMMYFUNCTION("""COMPUTED_VALUE"""),"Completed")</f>
        <v>Completed</v>
      </c>
    </row>
    <row r="2145">
      <c r="A2145" s="9" t="str">
        <f>IFERROR(__xludf.DUMMYFUNCTION("""COMPUTED_VALUE"""),"G-REQ-02144")</f>
        <v>G-REQ-02144</v>
      </c>
      <c r="B2145" s="11">
        <f>IFERROR(__xludf.DUMMYFUNCTION("""COMPUTED_VALUE"""),45913.91311039117)</f>
        <v>45913.91311</v>
      </c>
      <c r="C2145" s="9">
        <f>IFERROR(__xludf.DUMMYFUNCTION("""COMPUTED_VALUE"""),8523.0)</f>
        <v>8523</v>
      </c>
      <c r="D2145" s="9" t="str">
        <f>IFERROR(__xludf.DUMMYFUNCTION("""COMPUTED_VALUE"""),"Completed")</f>
        <v>Completed</v>
      </c>
    </row>
    <row r="2146">
      <c r="A2146" s="9" t="str">
        <f>IFERROR(__xludf.DUMMYFUNCTION("""COMPUTED_VALUE"""),"G-REQ-02145")</f>
        <v>G-REQ-02145</v>
      </c>
      <c r="B2146" s="11">
        <f>IFERROR(__xludf.DUMMYFUNCTION("""COMPUTED_VALUE"""),45913.984285236584)</f>
        <v>45913.98429</v>
      </c>
      <c r="C2146" s="9">
        <f>IFERROR(__xludf.DUMMYFUNCTION("""COMPUTED_VALUE"""),8527.0)</f>
        <v>8527</v>
      </c>
      <c r="D2146" s="9" t="str">
        <f>IFERROR(__xludf.DUMMYFUNCTION("""COMPUTED_VALUE"""),"Completed")</f>
        <v>Completed</v>
      </c>
    </row>
    <row r="2147">
      <c r="A2147" s="9" t="str">
        <f>IFERROR(__xludf.DUMMYFUNCTION("""COMPUTED_VALUE"""),"G-REQ-02146")</f>
        <v>G-REQ-02146</v>
      </c>
      <c r="B2147" s="11">
        <f>IFERROR(__xludf.DUMMYFUNCTION("""COMPUTED_VALUE"""),45914.055460082)</f>
        <v>45914.05546</v>
      </c>
      <c r="C2147" s="9">
        <f>IFERROR(__xludf.DUMMYFUNCTION("""COMPUTED_VALUE"""),8531.0)</f>
        <v>8531</v>
      </c>
      <c r="D2147" s="9" t="str">
        <f>IFERROR(__xludf.DUMMYFUNCTION("""COMPUTED_VALUE"""),"Completed")</f>
        <v>Completed</v>
      </c>
    </row>
    <row r="2148">
      <c r="A2148" s="9" t="str">
        <f>IFERROR(__xludf.DUMMYFUNCTION("""COMPUTED_VALUE"""),"G-REQ-02147")</f>
        <v>G-REQ-02147</v>
      </c>
      <c r="B2148" s="11">
        <f>IFERROR(__xludf.DUMMYFUNCTION("""COMPUTED_VALUE"""),45914.126634927416)</f>
        <v>45914.12663</v>
      </c>
      <c r="C2148" s="9">
        <f>IFERROR(__xludf.DUMMYFUNCTION("""COMPUTED_VALUE"""),8535.0)</f>
        <v>8535</v>
      </c>
      <c r="D2148" s="9" t="str">
        <f>IFERROR(__xludf.DUMMYFUNCTION("""COMPUTED_VALUE"""),"Completed")</f>
        <v>Completed</v>
      </c>
    </row>
    <row r="2149">
      <c r="A2149" s="9" t="str">
        <f>IFERROR(__xludf.DUMMYFUNCTION("""COMPUTED_VALUE"""),"G-REQ-02148")</f>
        <v>G-REQ-02148</v>
      </c>
      <c r="B2149" s="11">
        <f>IFERROR(__xludf.DUMMYFUNCTION("""COMPUTED_VALUE"""),45914.19780977283)</f>
        <v>45914.19781</v>
      </c>
      <c r="C2149" s="9">
        <f>IFERROR(__xludf.DUMMYFUNCTION("""COMPUTED_VALUE"""),8539.0)</f>
        <v>8539</v>
      </c>
      <c r="D2149" s="9" t="str">
        <f>IFERROR(__xludf.DUMMYFUNCTION("""COMPUTED_VALUE"""),"Completed")</f>
        <v>Completed</v>
      </c>
    </row>
    <row r="2150">
      <c r="A2150" s="9" t="str">
        <f>IFERROR(__xludf.DUMMYFUNCTION("""COMPUTED_VALUE"""),"G-REQ-02149")</f>
        <v>G-REQ-02149</v>
      </c>
      <c r="B2150" s="11">
        <f>IFERROR(__xludf.DUMMYFUNCTION("""COMPUTED_VALUE"""),45914.26898461825)</f>
        <v>45914.26898</v>
      </c>
      <c r="C2150" s="9">
        <f>IFERROR(__xludf.DUMMYFUNCTION("""COMPUTED_VALUE"""),8543.0)</f>
        <v>8543</v>
      </c>
      <c r="D2150" s="9" t="str">
        <f>IFERROR(__xludf.DUMMYFUNCTION("""COMPUTED_VALUE"""),"Completed")</f>
        <v>Completed</v>
      </c>
    </row>
    <row r="2151">
      <c r="A2151" s="9" t="str">
        <f>IFERROR(__xludf.DUMMYFUNCTION("""COMPUTED_VALUE"""),"G-REQ-02150")</f>
        <v>G-REQ-02150</v>
      </c>
      <c r="B2151" s="11">
        <f>IFERROR(__xludf.DUMMYFUNCTION("""COMPUTED_VALUE"""),45914.34015946367)</f>
        <v>45914.34016</v>
      </c>
      <c r="C2151" s="9">
        <f>IFERROR(__xludf.DUMMYFUNCTION("""COMPUTED_VALUE"""),8547.0)</f>
        <v>8547</v>
      </c>
      <c r="D2151" s="9" t="str">
        <f>IFERROR(__xludf.DUMMYFUNCTION("""COMPUTED_VALUE"""),"Completed")</f>
        <v>Completed</v>
      </c>
    </row>
    <row r="2152">
      <c r="A2152" s="9" t="str">
        <f>IFERROR(__xludf.DUMMYFUNCTION("""COMPUTED_VALUE"""),"G-REQ-02151")</f>
        <v>G-REQ-02151</v>
      </c>
      <c r="B2152" s="11">
        <f>IFERROR(__xludf.DUMMYFUNCTION("""COMPUTED_VALUE"""),45914.41133430907)</f>
        <v>45914.41133</v>
      </c>
      <c r="C2152" s="9">
        <f>IFERROR(__xludf.DUMMYFUNCTION("""COMPUTED_VALUE"""),8551.0)</f>
        <v>8551</v>
      </c>
      <c r="D2152" s="9" t="str">
        <f>IFERROR(__xludf.DUMMYFUNCTION("""COMPUTED_VALUE"""),"Completed")</f>
        <v>Completed</v>
      </c>
    </row>
    <row r="2153">
      <c r="A2153" s="9" t="str">
        <f>IFERROR(__xludf.DUMMYFUNCTION("""COMPUTED_VALUE"""),"G-REQ-02152")</f>
        <v>G-REQ-02152</v>
      </c>
      <c r="B2153" s="11">
        <f>IFERROR(__xludf.DUMMYFUNCTION("""COMPUTED_VALUE"""),45914.47556471005)</f>
        <v>45914.47556</v>
      </c>
      <c r="C2153" s="9">
        <f>IFERROR(__xludf.DUMMYFUNCTION("""COMPUTED_VALUE"""),8553.0)</f>
        <v>8553</v>
      </c>
      <c r="D2153" s="9" t="str">
        <f>IFERROR(__xludf.DUMMYFUNCTION("""COMPUTED_VALUE"""),"Rejected")</f>
        <v>Rejected</v>
      </c>
    </row>
    <row r="2154">
      <c r="A2154" s="9" t="str">
        <f>IFERROR(__xludf.DUMMYFUNCTION("""COMPUTED_VALUE"""),"G-REQ-02153")</f>
        <v>G-REQ-02153</v>
      </c>
      <c r="B2154" s="11">
        <f>IFERROR(__xludf.DUMMYFUNCTION("""COMPUTED_VALUE"""),45914.55368399991)</f>
        <v>45914.55368</v>
      </c>
      <c r="C2154" s="9">
        <f>IFERROR(__xludf.DUMMYFUNCTION("""COMPUTED_VALUE"""),8557.0)</f>
        <v>8557</v>
      </c>
      <c r="D2154" s="9" t="str">
        <f>IFERROR(__xludf.DUMMYFUNCTION("""COMPUTED_VALUE"""),"Completed")</f>
        <v>Completed</v>
      </c>
    </row>
    <row r="2155">
      <c r="A2155" s="9" t="str">
        <f>IFERROR(__xludf.DUMMYFUNCTION("""COMPUTED_VALUE"""),"G-REQ-02154")</f>
        <v>G-REQ-02154</v>
      </c>
      <c r="B2155" s="11">
        <f>IFERROR(__xludf.DUMMYFUNCTION("""COMPUTED_VALUE"""),45914.62485884532)</f>
        <v>45914.62486</v>
      </c>
      <c r="C2155" s="9">
        <f>IFERROR(__xludf.DUMMYFUNCTION("""COMPUTED_VALUE"""),8561.0)</f>
        <v>8561</v>
      </c>
      <c r="D2155" s="9" t="str">
        <f>IFERROR(__xludf.DUMMYFUNCTION("""COMPUTED_VALUE"""),"Completed")</f>
        <v>Completed</v>
      </c>
    </row>
    <row r="2156">
      <c r="A2156" s="9" t="str">
        <f>IFERROR(__xludf.DUMMYFUNCTION("""COMPUTED_VALUE"""),"G-REQ-02155")</f>
        <v>G-REQ-02155</v>
      </c>
      <c r="B2156" s="11">
        <f>IFERROR(__xludf.DUMMYFUNCTION("""COMPUTED_VALUE"""),45914.68908924629)</f>
        <v>45914.68909</v>
      </c>
      <c r="C2156" s="9">
        <f>IFERROR(__xludf.DUMMYFUNCTION("""COMPUTED_VALUE"""),8563.0)</f>
        <v>8563</v>
      </c>
      <c r="D2156" s="9" t="str">
        <f>IFERROR(__xludf.DUMMYFUNCTION("""COMPUTED_VALUE"""),"Cancelled")</f>
        <v>Cancelled</v>
      </c>
    </row>
    <row r="2157">
      <c r="A2157" s="9" t="str">
        <f>IFERROR(__xludf.DUMMYFUNCTION("""COMPUTED_VALUE"""),"G-REQ-02156")</f>
        <v>G-REQ-02156</v>
      </c>
      <c r="B2157" s="11">
        <f>IFERROR(__xludf.DUMMYFUNCTION("""COMPUTED_VALUE"""),45914.767208536156)</f>
        <v>45914.76721</v>
      </c>
      <c r="C2157" s="9">
        <f>IFERROR(__xludf.DUMMYFUNCTION("""COMPUTED_VALUE"""),8567.0)</f>
        <v>8567</v>
      </c>
      <c r="D2157" s="9" t="str">
        <f>IFERROR(__xludf.DUMMYFUNCTION("""COMPUTED_VALUE"""),"Completed")</f>
        <v>Completed</v>
      </c>
    </row>
    <row r="2158">
      <c r="A2158" s="9" t="str">
        <f>IFERROR(__xludf.DUMMYFUNCTION("""COMPUTED_VALUE"""),"G-REQ-02157")</f>
        <v>G-REQ-02157</v>
      </c>
      <c r="B2158" s="11">
        <f>IFERROR(__xludf.DUMMYFUNCTION("""COMPUTED_VALUE"""),45914.83838338157)</f>
        <v>45914.83838</v>
      </c>
      <c r="C2158" s="9">
        <f>IFERROR(__xludf.DUMMYFUNCTION("""COMPUTED_VALUE"""),8571.0)</f>
        <v>8571</v>
      </c>
      <c r="D2158" s="9" t="str">
        <f>IFERROR(__xludf.DUMMYFUNCTION("""COMPUTED_VALUE"""),"Completed")</f>
        <v>Completed</v>
      </c>
    </row>
    <row r="2159">
      <c r="A2159" s="9" t="str">
        <f>IFERROR(__xludf.DUMMYFUNCTION("""COMPUTED_VALUE"""),"G-REQ-02158")</f>
        <v>G-REQ-02158</v>
      </c>
      <c r="B2159" s="11">
        <f>IFERROR(__xludf.DUMMYFUNCTION("""COMPUTED_VALUE"""),45914.90955822698)</f>
        <v>45914.90956</v>
      </c>
      <c r="C2159" s="9">
        <f>IFERROR(__xludf.DUMMYFUNCTION("""COMPUTED_VALUE"""),8575.0)</f>
        <v>8575</v>
      </c>
      <c r="D2159" s="9" t="str">
        <f>IFERROR(__xludf.DUMMYFUNCTION("""COMPUTED_VALUE"""),"Completed")</f>
        <v>Completed</v>
      </c>
    </row>
    <row r="2160">
      <c r="A2160" s="9" t="str">
        <f>IFERROR(__xludf.DUMMYFUNCTION("""COMPUTED_VALUE"""),"G-REQ-02159")</f>
        <v>G-REQ-02159</v>
      </c>
      <c r="B2160" s="11">
        <f>IFERROR(__xludf.DUMMYFUNCTION("""COMPUTED_VALUE"""),45914.9807330724)</f>
        <v>45914.98073</v>
      </c>
      <c r="C2160" s="9">
        <f>IFERROR(__xludf.DUMMYFUNCTION("""COMPUTED_VALUE"""),8579.0)</f>
        <v>8579</v>
      </c>
      <c r="D2160" s="9" t="str">
        <f>IFERROR(__xludf.DUMMYFUNCTION("""COMPUTED_VALUE"""),"Completed")</f>
        <v>Completed</v>
      </c>
    </row>
    <row r="2161">
      <c r="A2161" s="9" t="str">
        <f>IFERROR(__xludf.DUMMYFUNCTION("""COMPUTED_VALUE"""),"G-REQ-02160")</f>
        <v>G-REQ-02160</v>
      </c>
      <c r="B2161" s="11">
        <f>IFERROR(__xludf.DUMMYFUNCTION("""COMPUTED_VALUE"""),45915.05190791781)</f>
        <v>45915.05191</v>
      </c>
      <c r="C2161" s="9">
        <f>IFERROR(__xludf.DUMMYFUNCTION("""COMPUTED_VALUE"""),8583.0)</f>
        <v>8583</v>
      </c>
      <c r="D2161" s="9" t="str">
        <f>IFERROR(__xludf.DUMMYFUNCTION("""COMPUTED_VALUE"""),"Completed")</f>
        <v>Completed</v>
      </c>
    </row>
    <row r="2162">
      <c r="A2162" s="9" t="str">
        <f>IFERROR(__xludf.DUMMYFUNCTION("""COMPUTED_VALUE"""),"G-REQ-02161")</f>
        <v>G-REQ-02161</v>
      </c>
      <c r="B2162" s="11">
        <f>IFERROR(__xludf.DUMMYFUNCTION("""COMPUTED_VALUE"""),45915.123082763224)</f>
        <v>45915.12308</v>
      </c>
      <c r="C2162" s="9">
        <f>IFERROR(__xludf.DUMMYFUNCTION("""COMPUTED_VALUE"""),8587.0)</f>
        <v>8587</v>
      </c>
      <c r="D2162" s="9" t="str">
        <f>IFERROR(__xludf.DUMMYFUNCTION("""COMPUTED_VALUE"""),"Completed")</f>
        <v>Completed</v>
      </c>
    </row>
    <row r="2163">
      <c r="A2163" s="9" t="str">
        <f>IFERROR(__xludf.DUMMYFUNCTION("""COMPUTED_VALUE"""),"G-REQ-02162")</f>
        <v>G-REQ-02162</v>
      </c>
      <c r="B2163" s="11">
        <f>IFERROR(__xludf.DUMMYFUNCTION("""COMPUTED_VALUE"""),45915.194257608644)</f>
        <v>45915.19426</v>
      </c>
      <c r="C2163" s="9">
        <f>IFERROR(__xludf.DUMMYFUNCTION("""COMPUTED_VALUE"""),8591.0)</f>
        <v>8591</v>
      </c>
      <c r="D2163" s="9" t="str">
        <f>IFERROR(__xludf.DUMMYFUNCTION("""COMPUTED_VALUE"""),"Completed")</f>
        <v>Completed</v>
      </c>
    </row>
    <row r="2164">
      <c r="A2164" s="9" t="str">
        <f>IFERROR(__xludf.DUMMYFUNCTION("""COMPUTED_VALUE"""),"G-REQ-02163")</f>
        <v>G-REQ-02163</v>
      </c>
      <c r="B2164" s="11">
        <f>IFERROR(__xludf.DUMMYFUNCTION("""COMPUTED_VALUE"""),45915.25848800961)</f>
        <v>45915.25849</v>
      </c>
      <c r="C2164" s="9">
        <f>IFERROR(__xludf.DUMMYFUNCTION("""COMPUTED_VALUE"""),8593.0)</f>
        <v>8593</v>
      </c>
      <c r="D2164" s="9" t="str">
        <f>IFERROR(__xludf.DUMMYFUNCTION("""COMPUTED_VALUE"""),"Rejected")</f>
        <v>Rejected</v>
      </c>
    </row>
    <row r="2165">
      <c r="A2165" s="9" t="str">
        <f>IFERROR(__xludf.DUMMYFUNCTION("""COMPUTED_VALUE"""),"G-REQ-02164")</f>
        <v>G-REQ-02164</v>
      </c>
      <c r="B2165" s="11">
        <f>IFERROR(__xludf.DUMMYFUNCTION("""COMPUTED_VALUE"""),45915.33660729947)</f>
        <v>45915.33661</v>
      </c>
      <c r="C2165" s="9">
        <f>IFERROR(__xludf.DUMMYFUNCTION("""COMPUTED_VALUE"""),8597.0)</f>
        <v>8597</v>
      </c>
      <c r="D2165" s="9" t="str">
        <f>IFERROR(__xludf.DUMMYFUNCTION("""COMPUTED_VALUE"""),"Completed")</f>
        <v>Completed</v>
      </c>
    </row>
    <row r="2166">
      <c r="A2166" s="9" t="str">
        <f>IFERROR(__xludf.DUMMYFUNCTION("""COMPUTED_VALUE"""),"G-REQ-02165")</f>
        <v>G-REQ-02165</v>
      </c>
      <c r="B2166" s="11">
        <f>IFERROR(__xludf.DUMMYFUNCTION("""COMPUTED_VALUE"""),45915.40778214489)</f>
        <v>45915.40778</v>
      </c>
      <c r="C2166" s="9">
        <f>IFERROR(__xludf.DUMMYFUNCTION("""COMPUTED_VALUE"""),8601.0)</f>
        <v>8601</v>
      </c>
      <c r="D2166" s="9" t="str">
        <f>IFERROR(__xludf.DUMMYFUNCTION("""COMPUTED_VALUE"""),"Completed")</f>
        <v>Completed</v>
      </c>
    </row>
    <row r="2167">
      <c r="A2167" s="9" t="str">
        <f>IFERROR(__xludf.DUMMYFUNCTION("""COMPUTED_VALUE"""),"G-REQ-02166")</f>
        <v>G-REQ-02166</v>
      </c>
      <c r="B2167" s="11">
        <f>IFERROR(__xludf.DUMMYFUNCTION("""COMPUTED_VALUE"""),45915.47895699031)</f>
        <v>45915.47896</v>
      </c>
      <c r="C2167" s="9">
        <f>IFERROR(__xludf.DUMMYFUNCTION("""COMPUTED_VALUE"""),8605.0)</f>
        <v>8605</v>
      </c>
      <c r="D2167" s="9" t="str">
        <f>IFERROR(__xludf.DUMMYFUNCTION("""COMPUTED_VALUE"""),"Completed")</f>
        <v>Completed</v>
      </c>
    </row>
    <row r="2168">
      <c r="A2168" s="9" t="str">
        <f>IFERROR(__xludf.DUMMYFUNCTION("""COMPUTED_VALUE"""),"G-REQ-02167")</f>
        <v>G-REQ-02167</v>
      </c>
      <c r="B2168" s="11">
        <f>IFERROR(__xludf.DUMMYFUNCTION("""COMPUTED_VALUE"""),45915.55013183571)</f>
        <v>45915.55013</v>
      </c>
      <c r="C2168" s="9">
        <f>IFERROR(__xludf.DUMMYFUNCTION("""COMPUTED_VALUE"""),8609.0)</f>
        <v>8609</v>
      </c>
      <c r="D2168" s="9" t="str">
        <f>IFERROR(__xludf.DUMMYFUNCTION("""COMPUTED_VALUE"""),"Completed")</f>
        <v>Completed</v>
      </c>
    </row>
    <row r="2169">
      <c r="A2169" s="9" t="str">
        <f>IFERROR(__xludf.DUMMYFUNCTION("""COMPUTED_VALUE"""),"G-REQ-02168")</f>
        <v>G-REQ-02168</v>
      </c>
      <c r="B2169" s="11">
        <f>IFERROR(__xludf.DUMMYFUNCTION("""COMPUTED_VALUE"""),45915.61436223669)</f>
        <v>45915.61436</v>
      </c>
      <c r="C2169" s="9">
        <f>IFERROR(__xludf.DUMMYFUNCTION("""COMPUTED_VALUE"""),8611.0)</f>
        <v>8611</v>
      </c>
      <c r="D2169" s="9" t="str">
        <f>IFERROR(__xludf.DUMMYFUNCTION("""COMPUTED_VALUE"""),"Cancelled")</f>
        <v>Cancelled</v>
      </c>
    </row>
    <row r="2170">
      <c r="A2170" s="9" t="str">
        <f>IFERROR(__xludf.DUMMYFUNCTION("""COMPUTED_VALUE"""),"G-REQ-02169")</f>
        <v>G-REQ-02169</v>
      </c>
      <c r="B2170" s="11">
        <f>IFERROR(__xludf.DUMMYFUNCTION("""COMPUTED_VALUE"""),45915.69248152655)</f>
        <v>45915.69248</v>
      </c>
      <c r="C2170" s="9">
        <f>IFERROR(__xludf.DUMMYFUNCTION("""COMPUTED_VALUE"""),8615.0)</f>
        <v>8615</v>
      </c>
      <c r="D2170" s="9" t="str">
        <f>IFERROR(__xludf.DUMMYFUNCTION("""COMPUTED_VALUE"""),"Completed")</f>
        <v>Completed</v>
      </c>
    </row>
    <row r="2171">
      <c r="A2171" s="9" t="str">
        <f>IFERROR(__xludf.DUMMYFUNCTION("""COMPUTED_VALUE"""),"G-REQ-02170")</f>
        <v>G-REQ-02170</v>
      </c>
      <c r="B2171" s="11">
        <f>IFERROR(__xludf.DUMMYFUNCTION("""COMPUTED_VALUE"""),45915.75671192752)</f>
        <v>45915.75671</v>
      </c>
      <c r="C2171" s="9">
        <f>IFERROR(__xludf.DUMMYFUNCTION("""COMPUTED_VALUE"""),8617.0)</f>
        <v>8617</v>
      </c>
      <c r="D2171" s="9" t="str">
        <f>IFERROR(__xludf.DUMMYFUNCTION("""COMPUTED_VALUE"""),"Rejected")</f>
        <v>Rejected</v>
      </c>
    </row>
    <row r="2172">
      <c r="A2172" s="9" t="str">
        <f>IFERROR(__xludf.DUMMYFUNCTION("""COMPUTED_VALUE"""),"G-REQ-02171")</f>
        <v>G-REQ-02171</v>
      </c>
      <c r="B2172" s="11">
        <f>IFERROR(__xludf.DUMMYFUNCTION("""COMPUTED_VALUE"""),45915.83483121738)</f>
        <v>45915.83483</v>
      </c>
      <c r="C2172" s="9">
        <f>IFERROR(__xludf.DUMMYFUNCTION("""COMPUTED_VALUE"""),8621.0)</f>
        <v>8621</v>
      </c>
      <c r="D2172" s="9" t="str">
        <f>IFERROR(__xludf.DUMMYFUNCTION("""COMPUTED_VALUE"""),"Completed")</f>
        <v>Completed</v>
      </c>
    </row>
    <row r="2173">
      <c r="A2173" s="9" t="str">
        <f>IFERROR(__xludf.DUMMYFUNCTION("""COMPUTED_VALUE"""),"G-REQ-02172")</f>
        <v>G-REQ-02172</v>
      </c>
      <c r="B2173" s="11">
        <f>IFERROR(__xludf.DUMMYFUNCTION("""COMPUTED_VALUE"""),45915.906006062796)</f>
        <v>45915.90601</v>
      </c>
      <c r="C2173" s="9">
        <f>IFERROR(__xludf.DUMMYFUNCTION("""COMPUTED_VALUE"""),8625.0)</f>
        <v>8625</v>
      </c>
      <c r="D2173" s="9" t="str">
        <f>IFERROR(__xludf.DUMMYFUNCTION("""COMPUTED_VALUE"""),"Completed")</f>
        <v>Completed</v>
      </c>
    </row>
    <row r="2174">
      <c r="A2174" s="9" t="str">
        <f>IFERROR(__xludf.DUMMYFUNCTION("""COMPUTED_VALUE"""),"G-REQ-02173")</f>
        <v>G-REQ-02173</v>
      </c>
      <c r="B2174" s="11">
        <f>IFERROR(__xludf.DUMMYFUNCTION("""COMPUTED_VALUE"""),45915.97718090821)</f>
        <v>45915.97718</v>
      </c>
      <c r="C2174" s="9">
        <f>IFERROR(__xludf.DUMMYFUNCTION("""COMPUTED_VALUE"""),8629.0)</f>
        <v>8629</v>
      </c>
      <c r="D2174" s="9" t="str">
        <f>IFERROR(__xludf.DUMMYFUNCTION("""COMPUTED_VALUE"""),"Completed")</f>
        <v>Completed</v>
      </c>
    </row>
    <row r="2175">
      <c r="A2175" s="9" t="str">
        <f>IFERROR(__xludf.DUMMYFUNCTION("""COMPUTED_VALUE"""),"G-REQ-02174")</f>
        <v>G-REQ-02174</v>
      </c>
      <c r="B2175" s="11">
        <f>IFERROR(__xludf.DUMMYFUNCTION("""COMPUTED_VALUE"""),45916.04835575362)</f>
        <v>45916.04836</v>
      </c>
      <c r="C2175" s="9">
        <f>IFERROR(__xludf.DUMMYFUNCTION("""COMPUTED_VALUE"""),8633.0)</f>
        <v>8633</v>
      </c>
      <c r="D2175" s="9" t="str">
        <f>IFERROR(__xludf.DUMMYFUNCTION("""COMPUTED_VALUE"""),"Completed")</f>
        <v>Completed</v>
      </c>
    </row>
    <row r="2176">
      <c r="A2176" s="9" t="str">
        <f>IFERROR(__xludf.DUMMYFUNCTION("""COMPUTED_VALUE"""),"G-REQ-02175")</f>
        <v>G-REQ-02175</v>
      </c>
      <c r="B2176" s="11">
        <f>IFERROR(__xludf.DUMMYFUNCTION("""COMPUTED_VALUE"""),45916.11953059904)</f>
        <v>45916.11953</v>
      </c>
      <c r="C2176" s="9">
        <f>IFERROR(__xludf.DUMMYFUNCTION("""COMPUTED_VALUE"""),8637.0)</f>
        <v>8637</v>
      </c>
      <c r="D2176" s="9" t="str">
        <f>IFERROR(__xludf.DUMMYFUNCTION("""COMPUTED_VALUE"""),"Completed")</f>
        <v>Completed</v>
      </c>
    </row>
    <row r="2177">
      <c r="A2177" s="9" t="str">
        <f>IFERROR(__xludf.DUMMYFUNCTION("""COMPUTED_VALUE"""),"G-REQ-02176")</f>
        <v>G-REQ-02176</v>
      </c>
      <c r="B2177" s="11">
        <f>IFERROR(__xludf.DUMMYFUNCTION("""COMPUTED_VALUE"""),45916.19070544446)</f>
        <v>45916.19071</v>
      </c>
      <c r="C2177" s="9">
        <f>IFERROR(__xludf.DUMMYFUNCTION("""COMPUTED_VALUE"""),8641.0)</f>
        <v>8641</v>
      </c>
      <c r="D2177" s="9" t="str">
        <f>IFERROR(__xludf.DUMMYFUNCTION("""COMPUTED_VALUE"""),"Completed")</f>
        <v>Completed</v>
      </c>
    </row>
    <row r="2178">
      <c r="A2178" s="9" t="str">
        <f>IFERROR(__xludf.DUMMYFUNCTION("""COMPUTED_VALUE"""),"G-REQ-02177")</f>
        <v>G-REQ-02177</v>
      </c>
      <c r="B2178" s="11">
        <f>IFERROR(__xludf.DUMMYFUNCTION("""COMPUTED_VALUE"""),45916.261880289865)</f>
        <v>45916.26188</v>
      </c>
      <c r="C2178" s="9">
        <f>IFERROR(__xludf.DUMMYFUNCTION("""COMPUTED_VALUE"""),8645.0)</f>
        <v>8645</v>
      </c>
      <c r="D2178" s="9" t="str">
        <f>IFERROR(__xludf.DUMMYFUNCTION("""COMPUTED_VALUE"""),"Completed")</f>
        <v>Completed</v>
      </c>
    </row>
    <row r="2179">
      <c r="A2179" s="9" t="str">
        <f>IFERROR(__xludf.DUMMYFUNCTION("""COMPUTED_VALUE"""),"G-REQ-02178")</f>
        <v>G-REQ-02178</v>
      </c>
      <c r="B2179" s="11">
        <f>IFERROR(__xludf.DUMMYFUNCTION("""COMPUTED_VALUE"""),45916.333055135285)</f>
        <v>45916.33306</v>
      </c>
      <c r="C2179" s="9">
        <f>IFERROR(__xludf.DUMMYFUNCTION("""COMPUTED_VALUE"""),8649.0)</f>
        <v>8649</v>
      </c>
      <c r="D2179" s="9" t="str">
        <f>IFERROR(__xludf.DUMMYFUNCTION("""COMPUTED_VALUE"""),"Completed")</f>
        <v>Completed</v>
      </c>
    </row>
    <row r="2180">
      <c r="A2180" s="9" t="str">
        <f>IFERROR(__xludf.DUMMYFUNCTION("""COMPUTED_VALUE"""),"G-REQ-02179")</f>
        <v>G-REQ-02179</v>
      </c>
      <c r="B2180" s="11">
        <f>IFERROR(__xludf.DUMMYFUNCTION("""COMPUTED_VALUE"""),45916.4042299807)</f>
        <v>45916.40423</v>
      </c>
      <c r="C2180" s="9">
        <f>IFERROR(__xludf.DUMMYFUNCTION("""COMPUTED_VALUE"""),8653.0)</f>
        <v>8653</v>
      </c>
      <c r="D2180" s="9" t="str">
        <f>IFERROR(__xludf.DUMMYFUNCTION("""COMPUTED_VALUE"""),"Completed")</f>
        <v>Completed</v>
      </c>
    </row>
    <row r="2181">
      <c r="A2181" s="9" t="str">
        <f>IFERROR(__xludf.DUMMYFUNCTION("""COMPUTED_VALUE"""),"G-REQ-02180")</f>
        <v>G-REQ-02180</v>
      </c>
      <c r="B2181" s="11">
        <f>IFERROR(__xludf.DUMMYFUNCTION("""COMPUTED_VALUE"""),45916.47540482612)</f>
        <v>45916.4754</v>
      </c>
      <c r="C2181" s="9">
        <f>IFERROR(__xludf.DUMMYFUNCTION("""COMPUTED_VALUE"""),8657.0)</f>
        <v>8657</v>
      </c>
      <c r="D2181" s="9" t="str">
        <f>IFERROR(__xludf.DUMMYFUNCTION("""COMPUTED_VALUE"""),"Completed")</f>
        <v>Completed</v>
      </c>
    </row>
    <row r="2182">
      <c r="A2182" s="9" t="str">
        <f>IFERROR(__xludf.DUMMYFUNCTION("""COMPUTED_VALUE"""),"G-REQ-02181")</f>
        <v>G-REQ-02181</v>
      </c>
      <c r="B2182" s="11">
        <f>IFERROR(__xludf.DUMMYFUNCTION("""COMPUTED_VALUE"""),45916.54657967153)</f>
        <v>45916.54658</v>
      </c>
      <c r="C2182" s="9">
        <f>IFERROR(__xludf.DUMMYFUNCTION("""COMPUTED_VALUE"""),8661.0)</f>
        <v>8661</v>
      </c>
      <c r="D2182" s="9" t="str">
        <f>IFERROR(__xludf.DUMMYFUNCTION("""COMPUTED_VALUE"""),"Completed")</f>
        <v>Completed</v>
      </c>
    </row>
    <row r="2183">
      <c r="A2183" s="9" t="str">
        <f>IFERROR(__xludf.DUMMYFUNCTION("""COMPUTED_VALUE"""),"G-REQ-02182")</f>
        <v>G-REQ-02182</v>
      </c>
      <c r="B2183" s="11">
        <f>IFERROR(__xludf.DUMMYFUNCTION("""COMPUTED_VALUE"""),45916.61775451695)</f>
        <v>45916.61775</v>
      </c>
      <c r="C2183" s="9">
        <f>IFERROR(__xludf.DUMMYFUNCTION("""COMPUTED_VALUE"""),8665.0)</f>
        <v>8665</v>
      </c>
      <c r="D2183" s="9" t="str">
        <f>IFERROR(__xludf.DUMMYFUNCTION("""COMPUTED_VALUE"""),"Completed")</f>
        <v>Completed</v>
      </c>
    </row>
    <row r="2184">
      <c r="A2184" s="9" t="str">
        <f>IFERROR(__xludf.DUMMYFUNCTION("""COMPUTED_VALUE"""),"G-REQ-02183")</f>
        <v>G-REQ-02183</v>
      </c>
      <c r="B2184" s="11">
        <f>IFERROR(__xludf.DUMMYFUNCTION("""COMPUTED_VALUE"""),45916.68892936235)</f>
        <v>45916.68893</v>
      </c>
      <c r="C2184" s="9">
        <f>IFERROR(__xludf.DUMMYFUNCTION("""COMPUTED_VALUE"""),8669.0)</f>
        <v>8669</v>
      </c>
      <c r="D2184" s="9" t="str">
        <f>IFERROR(__xludf.DUMMYFUNCTION("""COMPUTED_VALUE"""),"Completed")</f>
        <v>Completed</v>
      </c>
    </row>
    <row r="2185">
      <c r="A2185" s="9" t="str">
        <f>IFERROR(__xludf.DUMMYFUNCTION("""COMPUTED_VALUE"""),"G-REQ-02184")</f>
        <v>G-REQ-02184</v>
      </c>
      <c r="B2185" s="11">
        <f>IFERROR(__xludf.DUMMYFUNCTION("""COMPUTED_VALUE"""),45916.76010420777)</f>
        <v>45916.7601</v>
      </c>
      <c r="C2185" s="9">
        <f>IFERROR(__xludf.DUMMYFUNCTION("""COMPUTED_VALUE"""),8673.0)</f>
        <v>8673</v>
      </c>
      <c r="D2185" s="9" t="str">
        <f>IFERROR(__xludf.DUMMYFUNCTION("""COMPUTED_VALUE"""),"Completed")</f>
        <v>Completed</v>
      </c>
    </row>
    <row r="2186">
      <c r="A2186" s="9" t="str">
        <f>IFERROR(__xludf.DUMMYFUNCTION("""COMPUTED_VALUE"""),"G-REQ-02185")</f>
        <v>G-REQ-02185</v>
      </c>
      <c r="B2186" s="11">
        <f>IFERROR(__xludf.DUMMYFUNCTION("""COMPUTED_VALUE"""),45916.83127905319)</f>
        <v>45916.83128</v>
      </c>
      <c r="C2186" s="9">
        <f>IFERROR(__xludf.DUMMYFUNCTION("""COMPUTED_VALUE"""),8677.0)</f>
        <v>8677</v>
      </c>
      <c r="D2186" s="9" t="str">
        <f>IFERROR(__xludf.DUMMYFUNCTION("""COMPUTED_VALUE"""),"Completed")</f>
        <v>Completed</v>
      </c>
    </row>
    <row r="2187">
      <c r="A2187" s="9" t="str">
        <f>IFERROR(__xludf.DUMMYFUNCTION("""COMPUTED_VALUE"""),"G-REQ-02186")</f>
        <v>G-REQ-02186</v>
      </c>
      <c r="B2187" s="11">
        <f>IFERROR(__xludf.DUMMYFUNCTION("""COMPUTED_VALUE"""),45916.89550945416)</f>
        <v>45916.89551</v>
      </c>
      <c r="C2187" s="9">
        <f>IFERROR(__xludf.DUMMYFUNCTION("""COMPUTED_VALUE"""),8679.0)</f>
        <v>8679</v>
      </c>
      <c r="D2187" s="9" t="str">
        <f>IFERROR(__xludf.DUMMYFUNCTION("""COMPUTED_VALUE"""),"Rejected")</f>
        <v>Rejected</v>
      </c>
    </row>
    <row r="2188">
      <c r="A2188" s="9" t="str">
        <f>IFERROR(__xludf.DUMMYFUNCTION("""COMPUTED_VALUE"""),"G-REQ-02187")</f>
        <v>G-REQ-02187</v>
      </c>
      <c r="B2188" s="11">
        <f>IFERROR(__xludf.DUMMYFUNCTION("""COMPUTED_VALUE"""),45916.97362874402)</f>
        <v>45916.97363</v>
      </c>
      <c r="C2188" s="9">
        <f>IFERROR(__xludf.DUMMYFUNCTION("""COMPUTED_VALUE"""),8683.0)</f>
        <v>8683</v>
      </c>
      <c r="D2188" s="9" t="str">
        <f>IFERROR(__xludf.DUMMYFUNCTION("""COMPUTED_VALUE"""),"Completed")</f>
        <v>Completed</v>
      </c>
    </row>
    <row r="2189">
      <c r="A2189" s="9" t="str">
        <f>IFERROR(__xludf.DUMMYFUNCTION("""COMPUTED_VALUE"""),"G-REQ-02188")</f>
        <v>G-REQ-02188</v>
      </c>
      <c r="B2189" s="11">
        <f>IFERROR(__xludf.DUMMYFUNCTION("""COMPUTED_VALUE"""),45917.04480358944)</f>
        <v>45917.0448</v>
      </c>
      <c r="C2189" s="9">
        <f>IFERROR(__xludf.DUMMYFUNCTION("""COMPUTED_VALUE"""),8687.0)</f>
        <v>8687</v>
      </c>
      <c r="D2189" s="9" t="str">
        <f>IFERROR(__xludf.DUMMYFUNCTION("""COMPUTED_VALUE"""),"Completed")</f>
        <v>Completed</v>
      </c>
    </row>
    <row r="2190">
      <c r="A2190" s="9" t="str">
        <f>IFERROR(__xludf.DUMMYFUNCTION("""COMPUTED_VALUE"""),"G-REQ-02189")</f>
        <v>G-REQ-02189</v>
      </c>
      <c r="B2190" s="11">
        <f>IFERROR(__xludf.DUMMYFUNCTION("""COMPUTED_VALUE"""),45917.11597843485)</f>
        <v>45917.11598</v>
      </c>
      <c r="C2190" s="9">
        <f>IFERROR(__xludf.DUMMYFUNCTION("""COMPUTED_VALUE"""),8691.0)</f>
        <v>8691</v>
      </c>
      <c r="D2190" s="9" t="str">
        <f>IFERROR(__xludf.DUMMYFUNCTION("""COMPUTED_VALUE"""),"Completed")</f>
        <v>Completed</v>
      </c>
    </row>
    <row r="2191">
      <c r="A2191" s="9" t="str">
        <f>IFERROR(__xludf.DUMMYFUNCTION("""COMPUTED_VALUE"""),"G-REQ-02190")</f>
        <v>G-REQ-02190</v>
      </c>
      <c r="B2191" s="11">
        <f>IFERROR(__xludf.DUMMYFUNCTION("""COMPUTED_VALUE"""),45917.18715328026)</f>
        <v>45917.18715</v>
      </c>
      <c r="C2191" s="9">
        <f>IFERROR(__xludf.DUMMYFUNCTION("""COMPUTED_VALUE"""),8695.0)</f>
        <v>8695</v>
      </c>
      <c r="D2191" s="9" t="str">
        <f>IFERROR(__xludf.DUMMYFUNCTION("""COMPUTED_VALUE"""),"Completed")</f>
        <v>Completed</v>
      </c>
    </row>
    <row r="2192">
      <c r="A2192" s="9" t="str">
        <f>IFERROR(__xludf.DUMMYFUNCTION("""COMPUTED_VALUE"""),"G-REQ-02191")</f>
        <v>G-REQ-02191</v>
      </c>
      <c r="B2192" s="11">
        <f>IFERROR(__xludf.DUMMYFUNCTION("""COMPUTED_VALUE"""),45917.251383681236)</f>
        <v>45917.25138</v>
      </c>
      <c r="C2192" s="9">
        <f>IFERROR(__xludf.DUMMYFUNCTION("""COMPUTED_VALUE"""),8697.0)</f>
        <v>8697</v>
      </c>
      <c r="D2192" s="9" t="str">
        <f>IFERROR(__xludf.DUMMYFUNCTION("""COMPUTED_VALUE"""),"Rejected")</f>
        <v>Rejected</v>
      </c>
    </row>
    <row r="2193">
      <c r="A2193" s="9" t="str">
        <f>IFERROR(__xludf.DUMMYFUNCTION("""COMPUTED_VALUE"""),"G-REQ-02192")</f>
        <v>G-REQ-02192</v>
      </c>
      <c r="B2193" s="11">
        <f>IFERROR(__xludf.DUMMYFUNCTION("""COMPUTED_VALUE"""),45917.3295029711)</f>
        <v>45917.3295</v>
      </c>
      <c r="C2193" s="9">
        <f>IFERROR(__xludf.DUMMYFUNCTION("""COMPUTED_VALUE"""),8701.0)</f>
        <v>8701</v>
      </c>
      <c r="D2193" s="9" t="str">
        <f>IFERROR(__xludf.DUMMYFUNCTION("""COMPUTED_VALUE"""),"Completed")</f>
        <v>Completed</v>
      </c>
    </row>
    <row r="2194">
      <c r="A2194" s="9" t="str">
        <f>IFERROR(__xludf.DUMMYFUNCTION("""COMPUTED_VALUE"""),"G-REQ-02193")</f>
        <v>G-REQ-02193</v>
      </c>
      <c r="B2194" s="11">
        <f>IFERROR(__xludf.DUMMYFUNCTION("""COMPUTED_VALUE"""),45917.400677816506)</f>
        <v>45917.40068</v>
      </c>
      <c r="C2194" s="9">
        <f>IFERROR(__xludf.DUMMYFUNCTION("""COMPUTED_VALUE"""),8705.0)</f>
        <v>8705</v>
      </c>
      <c r="D2194" s="9" t="str">
        <f>IFERROR(__xludf.DUMMYFUNCTION("""COMPUTED_VALUE"""),"Completed")</f>
        <v>Completed</v>
      </c>
    </row>
    <row r="2195">
      <c r="A2195" s="9" t="str">
        <f>IFERROR(__xludf.DUMMYFUNCTION("""COMPUTED_VALUE"""),"G-REQ-02194")</f>
        <v>G-REQ-02194</v>
      </c>
      <c r="B2195" s="11">
        <f>IFERROR(__xludf.DUMMYFUNCTION("""COMPUTED_VALUE"""),45917.471852661925)</f>
        <v>45917.47185</v>
      </c>
      <c r="C2195" s="9">
        <f>IFERROR(__xludf.DUMMYFUNCTION("""COMPUTED_VALUE"""),8709.0)</f>
        <v>8709</v>
      </c>
      <c r="D2195" s="9" t="str">
        <f>IFERROR(__xludf.DUMMYFUNCTION("""COMPUTED_VALUE"""),"Completed")</f>
        <v>Completed</v>
      </c>
    </row>
    <row r="2196">
      <c r="A2196" s="9" t="str">
        <f>IFERROR(__xludf.DUMMYFUNCTION("""COMPUTED_VALUE"""),"G-REQ-02195")</f>
        <v>G-REQ-02195</v>
      </c>
      <c r="B2196" s="11">
        <f>IFERROR(__xludf.DUMMYFUNCTION("""COMPUTED_VALUE"""),45917.543027507345)</f>
        <v>45917.54303</v>
      </c>
      <c r="C2196" s="9">
        <f>IFERROR(__xludf.DUMMYFUNCTION("""COMPUTED_VALUE"""),8713.0)</f>
        <v>8713</v>
      </c>
      <c r="D2196" s="9" t="str">
        <f>IFERROR(__xludf.DUMMYFUNCTION("""COMPUTED_VALUE"""),"Completed")</f>
        <v>Completed</v>
      </c>
    </row>
    <row r="2197">
      <c r="A2197" s="9" t="str">
        <f>IFERROR(__xludf.DUMMYFUNCTION("""COMPUTED_VALUE"""),"G-REQ-02196")</f>
        <v>G-REQ-02196</v>
      </c>
      <c r="B2197" s="11">
        <f>IFERROR(__xludf.DUMMYFUNCTION("""COMPUTED_VALUE"""),45917.61420235276)</f>
        <v>45917.6142</v>
      </c>
      <c r="C2197" s="9">
        <f>IFERROR(__xludf.DUMMYFUNCTION("""COMPUTED_VALUE"""),8717.0)</f>
        <v>8717</v>
      </c>
      <c r="D2197" s="9" t="str">
        <f>IFERROR(__xludf.DUMMYFUNCTION("""COMPUTED_VALUE"""),"Completed")</f>
        <v>Completed</v>
      </c>
    </row>
    <row r="2198">
      <c r="A2198" s="9" t="str">
        <f>IFERROR(__xludf.DUMMYFUNCTION("""COMPUTED_VALUE"""),"G-REQ-02197")</f>
        <v>G-REQ-02197</v>
      </c>
      <c r="B2198" s="11">
        <f>IFERROR(__xludf.DUMMYFUNCTION("""COMPUTED_VALUE"""),45917.68537719817)</f>
        <v>45917.68538</v>
      </c>
      <c r="C2198" s="9">
        <f>IFERROR(__xludf.DUMMYFUNCTION("""COMPUTED_VALUE"""),8721.0)</f>
        <v>8721</v>
      </c>
      <c r="D2198" s="9" t="str">
        <f>IFERROR(__xludf.DUMMYFUNCTION("""COMPUTED_VALUE"""),"Completed")</f>
        <v>Completed</v>
      </c>
    </row>
    <row r="2199">
      <c r="A2199" s="9" t="str">
        <f>IFERROR(__xludf.DUMMYFUNCTION("""COMPUTED_VALUE"""),"G-REQ-02198")</f>
        <v>G-REQ-02198</v>
      </c>
      <c r="B2199" s="11">
        <f>IFERROR(__xludf.DUMMYFUNCTION("""COMPUTED_VALUE"""),45917.75655204359)</f>
        <v>45917.75655</v>
      </c>
      <c r="C2199" s="9">
        <f>IFERROR(__xludf.DUMMYFUNCTION("""COMPUTED_VALUE"""),8725.0)</f>
        <v>8725</v>
      </c>
      <c r="D2199" s="9" t="str">
        <f>IFERROR(__xludf.DUMMYFUNCTION("""COMPUTED_VALUE"""),"Completed")</f>
        <v>Completed</v>
      </c>
    </row>
    <row r="2200">
      <c r="A2200" s="9" t="str">
        <f>IFERROR(__xludf.DUMMYFUNCTION("""COMPUTED_VALUE"""),"G-REQ-02199")</f>
        <v>G-REQ-02199</v>
      </c>
      <c r="B2200" s="11">
        <f>IFERROR(__xludf.DUMMYFUNCTION("""COMPUTED_VALUE"""),45917.827726889)</f>
        <v>45917.82773</v>
      </c>
      <c r="C2200" s="9">
        <f>IFERROR(__xludf.DUMMYFUNCTION("""COMPUTED_VALUE"""),8729.0)</f>
        <v>8729</v>
      </c>
      <c r="D2200" s="9" t="str">
        <f>IFERROR(__xludf.DUMMYFUNCTION("""COMPUTED_VALUE"""),"Completed")</f>
        <v>Completed</v>
      </c>
    </row>
    <row r="2201">
      <c r="A2201" s="9" t="str">
        <f>IFERROR(__xludf.DUMMYFUNCTION("""COMPUTED_VALUE"""),"G-REQ-02200")</f>
        <v>G-REQ-02200</v>
      </c>
      <c r="B2201" s="11">
        <f>IFERROR(__xludf.DUMMYFUNCTION("""COMPUTED_VALUE"""),45917.898901734414)</f>
        <v>45917.8989</v>
      </c>
      <c r="C2201" s="9">
        <f>IFERROR(__xludf.DUMMYFUNCTION("""COMPUTED_VALUE"""),8733.0)</f>
        <v>8733</v>
      </c>
      <c r="D2201" s="9" t="str">
        <f>IFERROR(__xludf.DUMMYFUNCTION("""COMPUTED_VALUE"""),"Completed")</f>
        <v>Completed</v>
      </c>
    </row>
    <row r="2202">
      <c r="A2202" s="9" t="str">
        <f>IFERROR(__xludf.DUMMYFUNCTION("""COMPUTED_VALUE"""),"G-REQ-02201")</f>
        <v>G-REQ-02201</v>
      </c>
      <c r="B2202" s="11">
        <f>IFERROR(__xludf.DUMMYFUNCTION("""COMPUTED_VALUE"""),45917.97007657983)</f>
        <v>45917.97008</v>
      </c>
      <c r="C2202" s="9">
        <f>IFERROR(__xludf.DUMMYFUNCTION("""COMPUTED_VALUE"""),8737.0)</f>
        <v>8737</v>
      </c>
      <c r="D2202" s="9" t="str">
        <f>IFERROR(__xludf.DUMMYFUNCTION("""COMPUTED_VALUE"""),"Completed")</f>
        <v>Completed</v>
      </c>
    </row>
    <row r="2203">
      <c r="A2203" s="9" t="str">
        <f>IFERROR(__xludf.DUMMYFUNCTION("""COMPUTED_VALUE"""),"G-REQ-02202")</f>
        <v>G-REQ-02202</v>
      </c>
      <c r="B2203" s="11">
        <f>IFERROR(__xludf.DUMMYFUNCTION("""COMPUTED_VALUE"""),45918.041251425246)</f>
        <v>45918.04125</v>
      </c>
      <c r="C2203" s="9">
        <f>IFERROR(__xludf.DUMMYFUNCTION("""COMPUTED_VALUE"""),8741.0)</f>
        <v>8741</v>
      </c>
      <c r="D2203" s="9" t="str">
        <f>IFERROR(__xludf.DUMMYFUNCTION("""COMPUTED_VALUE"""),"Completed")</f>
        <v>Completed</v>
      </c>
    </row>
    <row r="2204">
      <c r="A2204" s="9" t="str">
        <f>IFERROR(__xludf.DUMMYFUNCTION("""COMPUTED_VALUE"""),"G-REQ-02203")</f>
        <v>G-REQ-02203</v>
      </c>
      <c r="B2204" s="11">
        <f>IFERROR(__xludf.DUMMYFUNCTION("""COMPUTED_VALUE"""),45918.10548182621)</f>
        <v>45918.10548</v>
      </c>
      <c r="C2204" s="9">
        <f>IFERROR(__xludf.DUMMYFUNCTION("""COMPUTED_VALUE"""),8743.0)</f>
        <v>8743</v>
      </c>
      <c r="D2204" s="9" t="str">
        <f>IFERROR(__xludf.DUMMYFUNCTION("""COMPUTED_VALUE"""),"Rejected")</f>
        <v>Rejected</v>
      </c>
    </row>
    <row r="2205">
      <c r="A2205" s="9" t="str">
        <f>IFERROR(__xludf.DUMMYFUNCTION("""COMPUTED_VALUE"""),"G-REQ-02204")</f>
        <v>G-REQ-02204</v>
      </c>
      <c r="B2205" s="11">
        <f>IFERROR(__xludf.DUMMYFUNCTION("""COMPUTED_VALUE"""),45918.18360111608)</f>
        <v>45918.1836</v>
      </c>
      <c r="C2205" s="9">
        <f>IFERROR(__xludf.DUMMYFUNCTION("""COMPUTED_VALUE"""),8747.0)</f>
        <v>8747</v>
      </c>
      <c r="D2205" s="9" t="str">
        <f>IFERROR(__xludf.DUMMYFUNCTION("""COMPUTED_VALUE"""),"Completed")</f>
        <v>Completed</v>
      </c>
    </row>
    <row r="2206">
      <c r="A2206" s="9" t="str">
        <f>IFERROR(__xludf.DUMMYFUNCTION("""COMPUTED_VALUE"""),"G-REQ-02205")</f>
        <v>G-REQ-02205</v>
      </c>
      <c r="B2206" s="11">
        <f>IFERROR(__xludf.DUMMYFUNCTION("""COMPUTED_VALUE"""),45918.25477596149)</f>
        <v>45918.25478</v>
      </c>
      <c r="C2206" s="9">
        <f>IFERROR(__xludf.DUMMYFUNCTION("""COMPUTED_VALUE"""),8751.0)</f>
        <v>8751</v>
      </c>
      <c r="D2206" s="9" t="str">
        <f>IFERROR(__xludf.DUMMYFUNCTION("""COMPUTED_VALUE"""),"Completed")</f>
        <v>Completed</v>
      </c>
    </row>
    <row r="2207">
      <c r="A2207" s="9" t="str">
        <f>IFERROR(__xludf.DUMMYFUNCTION("""COMPUTED_VALUE"""),"G-REQ-02206")</f>
        <v>G-REQ-02206</v>
      </c>
      <c r="B2207" s="11">
        <f>IFERROR(__xludf.DUMMYFUNCTION("""COMPUTED_VALUE"""),45918.3259508069)</f>
        <v>45918.32595</v>
      </c>
      <c r="C2207" s="9">
        <f>IFERROR(__xludf.DUMMYFUNCTION("""COMPUTED_VALUE"""),8755.0)</f>
        <v>8755</v>
      </c>
      <c r="D2207" s="9" t="str">
        <f>IFERROR(__xludf.DUMMYFUNCTION("""COMPUTED_VALUE"""),"Completed")</f>
        <v>Completed</v>
      </c>
    </row>
    <row r="2208">
      <c r="A2208" s="9" t="str">
        <f>IFERROR(__xludf.DUMMYFUNCTION("""COMPUTED_VALUE"""),"G-REQ-02207")</f>
        <v>G-REQ-02207</v>
      </c>
      <c r="B2208" s="11">
        <f>IFERROR(__xludf.DUMMYFUNCTION("""COMPUTED_VALUE"""),45918.39712565232)</f>
        <v>45918.39713</v>
      </c>
      <c r="C2208" s="9">
        <f>IFERROR(__xludf.DUMMYFUNCTION("""COMPUTED_VALUE"""),8759.0)</f>
        <v>8759</v>
      </c>
      <c r="D2208" s="9" t="str">
        <f>IFERROR(__xludf.DUMMYFUNCTION("""COMPUTED_VALUE"""),"Completed")</f>
        <v>Completed</v>
      </c>
    </row>
    <row r="2209">
      <c r="A2209" s="9" t="str">
        <f>IFERROR(__xludf.DUMMYFUNCTION("""COMPUTED_VALUE"""),"G-REQ-02208")</f>
        <v>G-REQ-02208</v>
      </c>
      <c r="B2209" s="11">
        <f>IFERROR(__xludf.DUMMYFUNCTION("""COMPUTED_VALUE"""),45918.46830049774)</f>
        <v>45918.4683</v>
      </c>
      <c r="C2209" s="9">
        <f>IFERROR(__xludf.DUMMYFUNCTION("""COMPUTED_VALUE"""),8763.0)</f>
        <v>8763</v>
      </c>
      <c r="D2209" s="9" t="str">
        <f>IFERROR(__xludf.DUMMYFUNCTION("""COMPUTED_VALUE"""),"Completed")</f>
        <v>Completed</v>
      </c>
    </row>
    <row r="2210">
      <c r="A2210" s="9" t="str">
        <f>IFERROR(__xludf.DUMMYFUNCTION("""COMPUTED_VALUE"""),"G-REQ-02209")</f>
        <v>G-REQ-02209</v>
      </c>
      <c r="B2210" s="11">
        <f>IFERROR(__xludf.DUMMYFUNCTION("""COMPUTED_VALUE"""),45918.53947534315)</f>
        <v>45918.53948</v>
      </c>
      <c r="C2210" s="9">
        <f>IFERROR(__xludf.DUMMYFUNCTION("""COMPUTED_VALUE"""),8767.0)</f>
        <v>8767</v>
      </c>
      <c r="D2210" s="9" t="str">
        <f>IFERROR(__xludf.DUMMYFUNCTION("""COMPUTED_VALUE"""),"Completed")</f>
        <v>Completed</v>
      </c>
    </row>
    <row r="2211">
      <c r="A2211" s="9" t="str">
        <f>IFERROR(__xludf.DUMMYFUNCTION("""COMPUTED_VALUE"""),"G-REQ-02210")</f>
        <v>G-REQ-02210</v>
      </c>
      <c r="B2211" s="11">
        <f>IFERROR(__xludf.DUMMYFUNCTION("""COMPUTED_VALUE"""),45918.610650188566)</f>
        <v>45918.61065</v>
      </c>
      <c r="C2211" s="9">
        <f>IFERROR(__xludf.DUMMYFUNCTION("""COMPUTED_VALUE"""),8771.0)</f>
        <v>8771</v>
      </c>
      <c r="D2211" s="9" t="str">
        <f>IFERROR(__xludf.DUMMYFUNCTION("""COMPUTED_VALUE"""),"Completed")</f>
        <v>Completed</v>
      </c>
    </row>
    <row r="2212">
      <c r="A2212" s="9" t="str">
        <f>IFERROR(__xludf.DUMMYFUNCTION("""COMPUTED_VALUE"""),"G-REQ-02211")</f>
        <v>G-REQ-02211</v>
      </c>
      <c r="B2212" s="11">
        <f>IFERROR(__xludf.DUMMYFUNCTION("""COMPUTED_VALUE"""),45918.681825033986)</f>
        <v>45918.68183</v>
      </c>
      <c r="C2212" s="9">
        <f>IFERROR(__xludf.DUMMYFUNCTION("""COMPUTED_VALUE"""),8775.0)</f>
        <v>8775</v>
      </c>
      <c r="D2212" s="9" t="str">
        <f>IFERROR(__xludf.DUMMYFUNCTION("""COMPUTED_VALUE"""),"Completed")</f>
        <v>Completed</v>
      </c>
    </row>
    <row r="2213">
      <c r="A2213" s="9" t="str">
        <f>IFERROR(__xludf.DUMMYFUNCTION("""COMPUTED_VALUE"""),"G-REQ-02212")</f>
        <v>G-REQ-02212</v>
      </c>
      <c r="B2213" s="11">
        <f>IFERROR(__xludf.DUMMYFUNCTION("""COMPUTED_VALUE"""),45918.7529998794)</f>
        <v>45918.753</v>
      </c>
      <c r="C2213" s="9">
        <f>IFERROR(__xludf.DUMMYFUNCTION("""COMPUTED_VALUE"""),8779.0)</f>
        <v>8779</v>
      </c>
      <c r="D2213" s="9" t="str">
        <f>IFERROR(__xludf.DUMMYFUNCTION("""COMPUTED_VALUE"""),"Completed")</f>
        <v>Completed</v>
      </c>
    </row>
    <row r="2214">
      <c r="A2214" s="9" t="str">
        <f>IFERROR(__xludf.DUMMYFUNCTION("""COMPUTED_VALUE"""),"G-REQ-02213")</f>
        <v>G-REQ-02213</v>
      </c>
      <c r="B2214" s="11">
        <f>IFERROR(__xludf.DUMMYFUNCTION("""COMPUTED_VALUE"""),45918.82417472481)</f>
        <v>45918.82417</v>
      </c>
      <c r="C2214" s="9">
        <f>IFERROR(__xludf.DUMMYFUNCTION("""COMPUTED_VALUE"""),8783.0)</f>
        <v>8783</v>
      </c>
      <c r="D2214" s="9" t="str">
        <f>IFERROR(__xludf.DUMMYFUNCTION("""COMPUTED_VALUE"""),"Completed")</f>
        <v>Completed</v>
      </c>
    </row>
    <row r="2215">
      <c r="A2215" s="9" t="str">
        <f>IFERROR(__xludf.DUMMYFUNCTION("""COMPUTED_VALUE"""),"G-REQ-02214")</f>
        <v>G-REQ-02214</v>
      </c>
      <c r="B2215" s="11">
        <f>IFERROR(__xludf.DUMMYFUNCTION("""COMPUTED_VALUE"""),45918.89534957023)</f>
        <v>45918.89535</v>
      </c>
      <c r="C2215" s="9">
        <f>IFERROR(__xludf.DUMMYFUNCTION("""COMPUTED_VALUE"""),8787.0)</f>
        <v>8787</v>
      </c>
      <c r="D2215" s="9" t="str">
        <f>IFERROR(__xludf.DUMMYFUNCTION("""COMPUTED_VALUE"""),"Completed")</f>
        <v>Completed</v>
      </c>
    </row>
    <row r="2216">
      <c r="A2216" s="9" t="str">
        <f>IFERROR(__xludf.DUMMYFUNCTION("""COMPUTED_VALUE"""),"G-REQ-02215")</f>
        <v>G-REQ-02215</v>
      </c>
      <c r="B2216" s="11">
        <f>IFERROR(__xludf.DUMMYFUNCTION("""COMPUTED_VALUE"""),45918.96652441564)</f>
        <v>45918.96652</v>
      </c>
      <c r="C2216" s="9">
        <f>IFERROR(__xludf.DUMMYFUNCTION("""COMPUTED_VALUE"""),8791.0)</f>
        <v>8791</v>
      </c>
      <c r="D2216" s="9" t="str">
        <f>IFERROR(__xludf.DUMMYFUNCTION("""COMPUTED_VALUE"""),"Completed")</f>
        <v>Completed</v>
      </c>
    </row>
    <row r="2217">
      <c r="A2217" s="9" t="str">
        <f>IFERROR(__xludf.DUMMYFUNCTION("""COMPUTED_VALUE"""),"G-REQ-02216")</f>
        <v>G-REQ-02216</v>
      </c>
      <c r="B2217" s="11">
        <f>IFERROR(__xludf.DUMMYFUNCTION("""COMPUTED_VALUE"""),45919.03075481661)</f>
        <v>45919.03075</v>
      </c>
      <c r="C2217" s="9">
        <f>IFERROR(__xludf.DUMMYFUNCTION("""COMPUTED_VALUE"""),8793.0)</f>
        <v>8793</v>
      </c>
      <c r="D2217" s="9" t="str">
        <f>IFERROR(__xludf.DUMMYFUNCTION("""COMPUTED_VALUE"""),"Cancelled")</f>
        <v>Cancelled</v>
      </c>
    </row>
    <row r="2218">
      <c r="A2218" s="9" t="str">
        <f>IFERROR(__xludf.DUMMYFUNCTION("""COMPUTED_VALUE"""),"G-REQ-02217")</f>
        <v>G-REQ-02217</v>
      </c>
      <c r="B2218" s="11">
        <f>IFERROR(__xludf.DUMMYFUNCTION("""COMPUTED_VALUE"""),45919.108874106474)</f>
        <v>45919.10887</v>
      </c>
      <c r="C2218" s="9">
        <f>IFERROR(__xludf.DUMMYFUNCTION("""COMPUTED_VALUE"""),8797.0)</f>
        <v>8797</v>
      </c>
      <c r="D2218" s="9" t="str">
        <f>IFERROR(__xludf.DUMMYFUNCTION("""COMPUTED_VALUE"""),"Completed")</f>
        <v>Completed</v>
      </c>
    </row>
    <row r="2219">
      <c r="A2219" s="9" t="str">
        <f>IFERROR(__xludf.DUMMYFUNCTION("""COMPUTED_VALUE"""),"G-REQ-02218")</f>
        <v>G-REQ-02218</v>
      </c>
      <c r="B2219" s="11">
        <f>IFERROR(__xludf.DUMMYFUNCTION("""COMPUTED_VALUE"""),45919.17310450745)</f>
        <v>45919.1731</v>
      </c>
      <c r="C2219" s="9">
        <f>IFERROR(__xludf.DUMMYFUNCTION("""COMPUTED_VALUE"""),8799.0)</f>
        <v>8799</v>
      </c>
      <c r="D2219" s="9" t="str">
        <f>IFERROR(__xludf.DUMMYFUNCTION("""COMPUTED_VALUE"""),"Rejected")</f>
        <v>Rejected</v>
      </c>
    </row>
    <row r="2220">
      <c r="A2220" s="9" t="str">
        <f>IFERROR(__xludf.DUMMYFUNCTION("""COMPUTED_VALUE"""),"G-REQ-02219")</f>
        <v>G-REQ-02219</v>
      </c>
      <c r="B2220" s="11">
        <f>IFERROR(__xludf.DUMMYFUNCTION("""COMPUTED_VALUE"""),45919.2512237973)</f>
        <v>45919.25122</v>
      </c>
      <c r="C2220" s="9">
        <f>IFERROR(__xludf.DUMMYFUNCTION("""COMPUTED_VALUE"""),8803.0)</f>
        <v>8803</v>
      </c>
      <c r="D2220" s="9" t="str">
        <f>IFERROR(__xludf.DUMMYFUNCTION("""COMPUTED_VALUE"""),"Completed")</f>
        <v>Completed</v>
      </c>
    </row>
    <row r="2221">
      <c r="A2221" s="9" t="str">
        <f>IFERROR(__xludf.DUMMYFUNCTION("""COMPUTED_VALUE"""),"G-REQ-02220")</f>
        <v>G-REQ-02220</v>
      </c>
      <c r="B2221" s="11">
        <f>IFERROR(__xludf.DUMMYFUNCTION("""COMPUTED_VALUE"""),45919.32239864272)</f>
        <v>45919.3224</v>
      </c>
      <c r="C2221" s="9">
        <f>IFERROR(__xludf.DUMMYFUNCTION("""COMPUTED_VALUE"""),8807.0)</f>
        <v>8807</v>
      </c>
      <c r="D2221" s="9" t="str">
        <f>IFERROR(__xludf.DUMMYFUNCTION("""COMPUTED_VALUE"""),"Completed")</f>
        <v>Completed</v>
      </c>
    </row>
    <row r="2222">
      <c r="A2222" s="9" t="str">
        <f>IFERROR(__xludf.DUMMYFUNCTION("""COMPUTED_VALUE"""),"G-REQ-02221")</f>
        <v>G-REQ-02221</v>
      </c>
      <c r="B2222" s="11">
        <f>IFERROR(__xludf.DUMMYFUNCTION("""COMPUTED_VALUE"""),45919.39357348813)</f>
        <v>45919.39357</v>
      </c>
      <c r="C2222" s="9">
        <f>IFERROR(__xludf.DUMMYFUNCTION("""COMPUTED_VALUE"""),8811.0)</f>
        <v>8811</v>
      </c>
      <c r="D2222" s="9" t="str">
        <f>IFERROR(__xludf.DUMMYFUNCTION("""COMPUTED_VALUE"""),"Completed")</f>
        <v>Completed</v>
      </c>
    </row>
    <row r="2223">
      <c r="A2223" s="9" t="str">
        <f>IFERROR(__xludf.DUMMYFUNCTION("""COMPUTED_VALUE"""),"G-REQ-02222")</f>
        <v>G-REQ-02222</v>
      </c>
      <c r="B2223" s="11">
        <f>IFERROR(__xludf.DUMMYFUNCTION("""COMPUTED_VALUE"""),45919.46474833355)</f>
        <v>45919.46475</v>
      </c>
      <c r="C2223" s="9">
        <f>IFERROR(__xludf.DUMMYFUNCTION("""COMPUTED_VALUE"""),8815.0)</f>
        <v>8815</v>
      </c>
      <c r="D2223" s="9" t="str">
        <f>IFERROR(__xludf.DUMMYFUNCTION("""COMPUTED_VALUE"""),"Completed")</f>
        <v>Completed</v>
      </c>
    </row>
    <row r="2224">
      <c r="A2224" s="9" t="str">
        <f>IFERROR(__xludf.DUMMYFUNCTION("""COMPUTED_VALUE"""),"G-REQ-02223")</f>
        <v>G-REQ-02223</v>
      </c>
      <c r="B2224" s="11">
        <f>IFERROR(__xludf.DUMMYFUNCTION("""COMPUTED_VALUE"""),45919.53592317896)</f>
        <v>45919.53592</v>
      </c>
      <c r="C2224" s="9">
        <f>IFERROR(__xludf.DUMMYFUNCTION("""COMPUTED_VALUE"""),8819.0)</f>
        <v>8819</v>
      </c>
      <c r="D2224" s="9" t="str">
        <f>IFERROR(__xludf.DUMMYFUNCTION("""COMPUTED_VALUE"""),"Completed")</f>
        <v>Completed</v>
      </c>
    </row>
    <row r="2225">
      <c r="A2225" s="9" t="str">
        <f>IFERROR(__xludf.DUMMYFUNCTION("""COMPUTED_VALUE"""),"G-REQ-02224")</f>
        <v>G-REQ-02224</v>
      </c>
      <c r="B2225" s="11">
        <f>IFERROR(__xludf.DUMMYFUNCTION("""COMPUTED_VALUE"""),45919.60709802438)</f>
        <v>45919.6071</v>
      </c>
      <c r="C2225" s="9">
        <f>IFERROR(__xludf.DUMMYFUNCTION("""COMPUTED_VALUE"""),8823.0)</f>
        <v>8823</v>
      </c>
      <c r="D2225" s="9" t="str">
        <f>IFERROR(__xludf.DUMMYFUNCTION("""COMPUTED_VALUE"""),"Completed")</f>
        <v>Completed</v>
      </c>
    </row>
    <row r="2226">
      <c r="A2226" s="9" t="str">
        <f>IFERROR(__xludf.DUMMYFUNCTION("""COMPUTED_VALUE"""),"G-REQ-02225")</f>
        <v>G-REQ-02225</v>
      </c>
      <c r="B2226" s="11">
        <f>IFERROR(__xludf.DUMMYFUNCTION("""COMPUTED_VALUE"""),45919.67827286979)</f>
        <v>45919.67827</v>
      </c>
      <c r="C2226" s="9">
        <f>IFERROR(__xludf.DUMMYFUNCTION("""COMPUTED_VALUE"""),8827.0)</f>
        <v>8827</v>
      </c>
      <c r="D2226" s="9" t="str">
        <f>IFERROR(__xludf.DUMMYFUNCTION("""COMPUTED_VALUE"""),"Completed")</f>
        <v>Completed</v>
      </c>
    </row>
    <row r="2227">
      <c r="A2227" s="9" t="str">
        <f>IFERROR(__xludf.DUMMYFUNCTION("""COMPUTED_VALUE"""),"G-REQ-02226")</f>
        <v>G-REQ-02226</v>
      </c>
      <c r="B2227" s="11">
        <f>IFERROR(__xludf.DUMMYFUNCTION("""COMPUTED_VALUE"""),45919.74250327076)</f>
        <v>45919.7425</v>
      </c>
      <c r="C2227" s="9">
        <f>IFERROR(__xludf.DUMMYFUNCTION("""COMPUTED_VALUE"""),8829.0)</f>
        <v>8829</v>
      </c>
      <c r="D2227" s="9" t="str">
        <f>IFERROR(__xludf.DUMMYFUNCTION("""COMPUTED_VALUE"""),"Rejected")</f>
        <v>Rejected</v>
      </c>
    </row>
    <row r="2228">
      <c r="A2228" s="9" t="str">
        <f>IFERROR(__xludf.DUMMYFUNCTION("""COMPUTED_VALUE"""),"G-REQ-02227")</f>
        <v>G-REQ-02227</v>
      </c>
      <c r="B2228" s="11">
        <f>IFERROR(__xludf.DUMMYFUNCTION("""COMPUTED_VALUE"""),45919.820622560626)</f>
        <v>45919.82062</v>
      </c>
      <c r="C2228" s="9">
        <f>IFERROR(__xludf.DUMMYFUNCTION("""COMPUTED_VALUE"""),8833.0)</f>
        <v>8833</v>
      </c>
      <c r="D2228" s="9" t="str">
        <f>IFERROR(__xludf.DUMMYFUNCTION("""COMPUTED_VALUE"""),"Completed")</f>
        <v>Completed</v>
      </c>
    </row>
    <row r="2229">
      <c r="A2229" s="9" t="str">
        <f>IFERROR(__xludf.DUMMYFUNCTION("""COMPUTED_VALUE"""),"G-REQ-02228")</f>
        <v>G-REQ-02228</v>
      </c>
      <c r="B2229" s="11">
        <f>IFERROR(__xludf.DUMMYFUNCTION("""COMPUTED_VALUE"""),45919.89179740604)</f>
        <v>45919.8918</v>
      </c>
      <c r="C2229" s="9">
        <f>IFERROR(__xludf.DUMMYFUNCTION("""COMPUTED_VALUE"""),8837.0)</f>
        <v>8837</v>
      </c>
      <c r="D2229" s="9" t="str">
        <f>IFERROR(__xludf.DUMMYFUNCTION("""COMPUTED_VALUE"""),"Completed")</f>
        <v>Completed</v>
      </c>
    </row>
    <row r="2230">
      <c r="A2230" s="9" t="str">
        <f>IFERROR(__xludf.DUMMYFUNCTION("""COMPUTED_VALUE"""),"G-REQ-02229")</f>
        <v>G-REQ-02229</v>
      </c>
      <c r="B2230" s="11">
        <f>IFERROR(__xludf.DUMMYFUNCTION("""COMPUTED_VALUE"""),45919.96297225145)</f>
        <v>45919.96297</v>
      </c>
      <c r="C2230" s="9">
        <f>IFERROR(__xludf.DUMMYFUNCTION("""COMPUTED_VALUE"""),8841.0)</f>
        <v>8841</v>
      </c>
      <c r="D2230" s="9" t="str">
        <f>IFERROR(__xludf.DUMMYFUNCTION("""COMPUTED_VALUE"""),"Completed")</f>
        <v>Completed</v>
      </c>
    </row>
    <row r="2231">
      <c r="A2231" s="9" t="str">
        <f>IFERROR(__xludf.DUMMYFUNCTION("""COMPUTED_VALUE"""),"G-REQ-02230")</f>
        <v>G-REQ-02230</v>
      </c>
      <c r="B2231" s="11">
        <f>IFERROR(__xludf.DUMMYFUNCTION("""COMPUTED_VALUE"""),45920.03414709687)</f>
        <v>45920.03415</v>
      </c>
      <c r="C2231" s="9">
        <f>IFERROR(__xludf.DUMMYFUNCTION("""COMPUTED_VALUE"""),8845.0)</f>
        <v>8845</v>
      </c>
      <c r="D2231" s="9" t="str">
        <f>IFERROR(__xludf.DUMMYFUNCTION("""COMPUTED_VALUE"""),"Completed")</f>
        <v>Completed</v>
      </c>
    </row>
    <row r="2232">
      <c r="A2232" s="9" t="str">
        <f>IFERROR(__xludf.DUMMYFUNCTION("""COMPUTED_VALUE"""),"G-REQ-02231")</f>
        <v>G-REQ-02231</v>
      </c>
      <c r="B2232" s="11">
        <f>IFERROR(__xludf.DUMMYFUNCTION("""COMPUTED_VALUE"""),45920.09837749784)</f>
        <v>45920.09838</v>
      </c>
      <c r="C2232" s="9">
        <f>IFERROR(__xludf.DUMMYFUNCTION("""COMPUTED_VALUE"""),8847.0)</f>
        <v>8847</v>
      </c>
      <c r="D2232" s="9" t="str">
        <f>IFERROR(__xludf.DUMMYFUNCTION("""COMPUTED_VALUE"""),"Rejected")</f>
        <v>Rejected</v>
      </c>
    </row>
    <row r="2233">
      <c r="A2233" s="9" t="str">
        <f>IFERROR(__xludf.DUMMYFUNCTION("""COMPUTED_VALUE"""),"G-REQ-02232")</f>
        <v>G-REQ-02232</v>
      </c>
      <c r="B2233" s="11">
        <f>IFERROR(__xludf.DUMMYFUNCTION("""COMPUTED_VALUE"""),45920.176496787695)</f>
        <v>45920.1765</v>
      </c>
      <c r="C2233" s="9">
        <f>IFERROR(__xludf.DUMMYFUNCTION("""COMPUTED_VALUE"""),8851.0)</f>
        <v>8851</v>
      </c>
      <c r="D2233" s="9" t="str">
        <f>IFERROR(__xludf.DUMMYFUNCTION("""COMPUTED_VALUE"""),"Completed")</f>
        <v>Completed</v>
      </c>
    </row>
    <row r="2234">
      <c r="A2234" s="9" t="str">
        <f>IFERROR(__xludf.DUMMYFUNCTION("""COMPUTED_VALUE"""),"G-REQ-02233")</f>
        <v>G-REQ-02233</v>
      </c>
      <c r="B2234" s="11">
        <f>IFERROR(__xludf.DUMMYFUNCTION("""COMPUTED_VALUE"""),45920.247671633115)</f>
        <v>45920.24767</v>
      </c>
      <c r="C2234" s="9">
        <f>IFERROR(__xludf.DUMMYFUNCTION("""COMPUTED_VALUE"""),8855.0)</f>
        <v>8855</v>
      </c>
      <c r="D2234" s="9" t="str">
        <f>IFERROR(__xludf.DUMMYFUNCTION("""COMPUTED_VALUE"""),"Completed")</f>
        <v>Completed</v>
      </c>
    </row>
    <row r="2235">
      <c r="A2235" s="9" t="str">
        <f>IFERROR(__xludf.DUMMYFUNCTION("""COMPUTED_VALUE"""),"G-REQ-02234")</f>
        <v>G-REQ-02234</v>
      </c>
      <c r="B2235" s="11">
        <f>IFERROR(__xludf.DUMMYFUNCTION("""COMPUTED_VALUE"""),45920.318846478534)</f>
        <v>45920.31885</v>
      </c>
      <c r="C2235" s="9">
        <f>IFERROR(__xludf.DUMMYFUNCTION("""COMPUTED_VALUE"""),8859.0)</f>
        <v>8859</v>
      </c>
      <c r="D2235" s="9" t="str">
        <f>IFERROR(__xludf.DUMMYFUNCTION("""COMPUTED_VALUE"""),"Completed")</f>
        <v>Completed</v>
      </c>
    </row>
    <row r="2236">
      <c r="A2236" s="9" t="str">
        <f>IFERROR(__xludf.DUMMYFUNCTION("""COMPUTED_VALUE"""),"G-REQ-02235")</f>
        <v>G-REQ-02235</v>
      </c>
      <c r="B2236" s="11">
        <f>IFERROR(__xludf.DUMMYFUNCTION("""COMPUTED_VALUE"""),45920.39002132394)</f>
        <v>45920.39002</v>
      </c>
      <c r="C2236" s="9">
        <f>IFERROR(__xludf.DUMMYFUNCTION("""COMPUTED_VALUE"""),8863.0)</f>
        <v>8863</v>
      </c>
      <c r="D2236" s="9" t="str">
        <f>IFERROR(__xludf.DUMMYFUNCTION("""COMPUTED_VALUE"""),"Completed")</f>
        <v>Completed</v>
      </c>
    </row>
    <row r="2237">
      <c r="A2237" s="9" t="str">
        <f>IFERROR(__xludf.DUMMYFUNCTION("""COMPUTED_VALUE"""),"G-REQ-02236")</f>
        <v>G-REQ-02236</v>
      </c>
      <c r="B2237" s="11">
        <f>IFERROR(__xludf.DUMMYFUNCTION("""COMPUTED_VALUE"""),45920.46119616936)</f>
        <v>45920.4612</v>
      </c>
      <c r="C2237" s="9">
        <f>IFERROR(__xludf.DUMMYFUNCTION("""COMPUTED_VALUE"""),8867.0)</f>
        <v>8867</v>
      </c>
      <c r="D2237" s="9" t="str">
        <f>IFERROR(__xludf.DUMMYFUNCTION("""COMPUTED_VALUE"""),"Completed")</f>
        <v>Completed</v>
      </c>
    </row>
    <row r="2238">
      <c r="A2238" s="9" t="str">
        <f>IFERROR(__xludf.DUMMYFUNCTION("""COMPUTED_VALUE"""),"G-REQ-02237")</f>
        <v>G-REQ-02237</v>
      </c>
      <c r="B2238" s="11">
        <f>IFERROR(__xludf.DUMMYFUNCTION("""COMPUTED_VALUE"""),45920.53237101478)</f>
        <v>45920.53237</v>
      </c>
      <c r="C2238" s="9">
        <f>IFERROR(__xludf.DUMMYFUNCTION("""COMPUTED_VALUE"""),8871.0)</f>
        <v>8871</v>
      </c>
      <c r="D2238" s="9" t="str">
        <f>IFERROR(__xludf.DUMMYFUNCTION("""COMPUTED_VALUE"""),"Completed")</f>
        <v>Completed</v>
      </c>
    </row>
    <row r="2239">
      <c r="A2239" s="9" t="str">
        <f>IFERROR(__xludf.DUMMYFUNCTION("""COMPUTED_VALUE"""),"G-REQ-02238")</f>
        <v>G-REQ-02238</v>
      </c>
      <c r="B2239" s="11">
        <f>IFERROR(__xludf.DUMMYFUNCTION("""COMPUTED_VALUE"""),45920.60354586019)</f>
        <v>45920.60355</v>
      </c>
      <c r="C2239" s="9">
        <f>IFERROR(__xludf.DUMMYFUNCTION("""COMPUTED_VALUE"""),8875.0)</f>
        <v>8875</v>
      </c>
      <c r="D2239" s="9" t="str">
        <f>IFERROR(__xludf.DUMMYFUNCTION("""COMPUTED_VALUE"""),"Completed")</f>
        <v>Completed</v>
      </c>
    </row>
    <row r="2240">
      <c r="A2240" s="9" t="str">
        <f>IFERROR(__xludf.DUMMYFUNCTION("""COMPUTED_VALUE"""),"G-REQ-02239")</f>
        <v>G-REQ-02239</v>
      </c>
      <c r="B2240" s="11">
        <f>IFERROR(__xludf.DUMMYFUNCTION("""COMPUTED_VALUE"""),45920.6747207056)</f>
        <v>45920.67472</v>
      </c>
      <c r="C2240" s="9">
        <f>IFERROR(__xludf.DUMMYFUNCTION("""COMPUTED_VALUE"""),8879.0)</f>
        <v>8879</v>
      </c>
      <c r="D2240" s="9" t="str">
        <f>IFERROR(__xludf.DUMMYFUNCTION("""COMPUTED_VALUE"""),"Completed")</f>
        <v>Completed</v>
      </c>
    </row>
    <row r="2241">
      <c r="A2241" s="9" t="str">
        <f>IFERROR(__xludf.DUMMYFUNCTION("""COMPUTED_VALUE"""),"G-REQ-02240")</f>
        <v>G-REQ-02240</v>
      </c>
      <c r="B2241" s="11">
        <f>IFERROR(__xludf.DUMMYFUNCTION("""COMPUTED_VALUE"""),45920.74589555102)</f>
        <v>45920.7459</v>
      </c>
      <c r="C2241" s="9">
        <f>IFERROR(__xludf.DUMMYFUNCTION("""COMPUTED_VALUE"""),8883.0)</f>
        <v>8883</v>
      </c>
      <c r="D2241" s="9" t="str">
        <f>IFERROR(__xludf.DUMMYFUNCTION("""COMPUTED_VALUE"""),"Completed")</f>
        <v>Completed</v>
      </c>
    </row>
    <row r="2242">
      <c r="A2242" s="9" t="str">
        <f>IFERROR(__xludf.DUMMYFUNCTION("""COMPUTED_VALUE"""),"G-REQ-02241")</f>
        <v>G-REQ-02241</v>
      </c>
      <c r="B2242" s="11">
        <f>IFERROR(__xludf.DUMMYFUNCTION("""COMPUTED_VALUE"""),45920.81012595199)</f>
        <v>45920.81013</v>
      </c>
      <c r="C2242" s="9">
        <f>IFERROR(__xludf.DUMMYFUNCTION("""COMPUTED_VALUE"""),8885.0)</f>
        <v>8885</v>
      </c>
      <c r="D2242" s="9" t="str">
        <f>IFERROR(__xludf.DUMMYFUNCTION("""COMPUTED_VALUE"""),"Cancelled")</f>
        <v>Cancelled</v>
      </c>
    </row>
    <row r="2243">
      <c r="A2243" s="9" t="str">
        <f>IFERROR(__xludf.DUMMYFUNCTION("""COMPUTED_VALUE"""),"G-REQ-02242")</f>
        <v>G-REQ-02242</v>
      </c>
      <c r="B2243" s="11">
        <f>IFERROR(__xludf.DUMMYFUNCTION("""COMPUTED_VALUE"""),45920.88824524185)</f>
        <v>45920.88825</v>
      </c>
      <c r="C2243" s="9">
        <f>IFERROR(__xludf.DUMMYFUNCTION("""COMPUTED_VALUE"""),8889.0)</f>
        <v>8889</v>
      </c>
      <c r="D2243" s="9" t="str">
        <f>IFERROR(__xludf.DUMMYFUNCTION("""COMPUTED_VALUE"""),"Completed")</f>
        <v>Completed</v>
      </c>
    </row>
    <row r="2244">
      <c r="A2244" s="9" t="str">
        <f>IFERROR(__xludf.DUMMYFUNCTION("""COMPUTED_VALUE"""),"G-REQ-02243")</f>
        <v>G-REQ-02243</v>
      </c>
      <c r="B2244" s="11">
        <f>IFERROR(__xludf.DUMMYFUNCTION("""COMPUTED_VALUE"""),45920.95247564282)</f>
        <v>45920.95248</v>
      </c>
      <c r="C2244" s="9">
        <f>IFERROR(__xludf.DUMMYFUNCTION("""COMPUTED_VALUE"""),8891.0)</f>
        <v>8891</v>
      </c>
      <c r="D2244" s="9" t="str">
        <f>IFERROR(__xludf.DUMMYFUNCTION("""COMPUTED_VALUE"""),"Rejected")</f>
        <v>Rejected</v>
      </c>
    </row>
    <row r="2245">
      <c r="A2245" s="9" t="str">
        <f>IFERROR(__xludf.DUMMYFUNCTION("""COMPUTED_VALUE"""),"G-REQ-02244")</f>
        <v>G-REQ-02244</v>
      </c>
      <c r="B2245" s="11">
        <f>IFERROR(__xludf.DUMMYFUNCTION("""COMPUTED_VALUE"""),45921.03059493268)</f>
        <v>45921.03059</v>
      </c>
      <c r="C2245" s="9">
        <f>IFERROR(__xludf.DUMMYFUNCTION("""COMPUTED_VALUE"""),8895.0)</f>
        <v>8895</v>
      </c>
      <c r="D2245" s="9" t="str">
        <f>IFERROR(__xludf.DUMMYFUNCTION("""COMPUTED_VALUE"""),"Completed")</f>
        <v>Completed</v>
      </c>
    </row>
    <row r="2246">
      <c r="A2246" s="9" t="str">
        <f>IFERROR(__xludf.DUMMYFUNCTION("""COMPUTED_VALUE"""),"G-REQ-02245")</f>
        <v>G-REQ-02245</v>
      </c>
      <c r="B2246" s="11">
        <f>IFERROR(__xludf.DUMMYFUNCTION("""COMPUTED_VALUE"""),45921.10176977809)</f>
        <v>45921.10177</v>
      </c>
      <c r="C2246" s="9">
        <f>IFERROR(__xludf.DUMMYFUNCTION("""COMPUTED_VALUE"""),8899.0)</f>
        <v>8899</v>
      </c>
      <c r="D2246" s="9" t="str">
        <f>IFERROR(__xludf.DUMMYFUNCTION("""COMPUTED_VALUE"""),"Completed")</f>
        <v>Completed</v>
      </c>
    </row>
    <row r="2247">
      <c r="A2247" s="9" t="str">
        <f>IFERROR(__xludf.DUMMYFUNCTION("""COMPUTED_VALUE"""),"G-REQ-02246")</f>
        <v>G-REQ-02246</v>
      </c>
      <c r="B2247" s="11">
        <f>IFERROR(__xludf.DUMMYFUNCTION("""COMPUTED_VALUE"""),45921.17294462351)</f>
        <v>45921.17294</v>
      </c>
      <c r="C2247" s="9">
        <f>IFERROR(__xludf.DUMMYFUNCTION("""COMPUTED_VALUE"""),8903.0)</f>
        <v>8903</v>
      </c>
      <c r="D2247" s="9" t="str">
        <f>IFERROR(__xludf.DUMMYFUNCTION("""COMPUTED_VALUE"""),"Completed")</f>
        <v>Completed</v>
      </c>
    </row>
    <row r="2248">
      <c r="A2248" s="9" t="str">
        <f>IFERROR(__xludf.DUMMYFUNCTION("""COMPUTED_VALUE"""),"G-REQ-02247")</f>
        <v>G-REQ-02247</v>
      </c>
      <c r="B2248" s="11">
        <f>IFERROR(__xludf.DUMMYFUNCTION("""COMPUTED_VALUE"""),45921.24411946892)</f>
        <v>45921.24412</v>
      </c>
      <c r="C2248" s="9">
        <f>IFERROR(__xludf.DUMMYFUNCTION("""COMPUTED_VALUE"""),8907.0)</f>
        <v>8907</v>
      </c>
      <c r="D2248" s="9" t="str">
        <f>IFERROR(__xludf.DUMMYFUNCTION("""COMPUTED_VALUE"""),"Completed")</f>
        <v>Completed</v>
      </c>
    </row>
    <row r="2249">
      <c r="A2249" s="9" t="str">
        <f>IFERROR(__xludf.DUMMYFUNCTION("""COMPUTED_VALUE"""),"G-REQ-02248")</f>
        <v>G-REQ-02248</v>
      </c>
      <c r="B2249" s="11">
        <f>IFERROR(__xludf.DUMMYFUNCTION("""COMPUTED_VALUE"""),45921.315294314336)</f>
        <v>45921.31529</v>
      </c>
      <c r="C2249" s="9">
        <f>IFERROR(__xludf.DUMMYFUNCTION("""COMPUTED_VALUE"""),8911.0)</f>
        <v>8911</v>
      </c>
      <c r="D2249" s="9" t="str">
        <f>IFERROR(__xludf.DUMMYFUNCTION("""COMPUTED_VALUE"""),"Completed")</f>
        <v>Completed</v>
      </c>
    </row>
    <row r="2250">
      <c r="A2250" s="9" t="str">
        <f>IFERROR(__xludf.DUMMYFUNCTION("""COMPUTED_VALUE"""),"G-REQ-02249")</f>
        <v>G-REQ-02249</v>
      </c>
      <c r="B2250" s="11">
        <f>IFERROR(__xludf.DUMMYFUNCTION("""COMPUTED_VALUE"""),45921.386469159756)</f>
        <v>45921.38647</v>
      </c>
      <c r="C2250" s="9">
        <f>IFERROR(__xludf.DUMMYFUNCTION("""COMPUTED_VALUE"""),8915.0)</f>
        <v>8915</v>
      </c>
      <c r="D2250" s="9" t="str">
        <f>IFERROR(__xludf.DUMMYFUNCTION("""COMPUTED_VALUE"""),"Completed")</f>
        <v>Completed</v>
      </c>
    </row>
    <row r="2251">
      <c r="A2251" s="9" t="str">
        <f>IFERROR(__xludf.DUMMYFUNCTION("""COMPUTED_VALUE"""),"G-REQ-02250")</f>
        <v>G-REQ-02250</v>
      </c>
      <c r="B2251" s="11">
        <f>IFERROR(__xludf.DUMMYFUNCTION("""COMPUTED_VALUE"""),45921.457644005175)</f>
        <v>45921.45764</v>
      </c>
      <c r="C2251" s="9">
        <f>IFERROR(__xludf.DUMMYFUNCTION("""COMPUTED_VALUE"""),8919.0)</f>
        <v>8919</v>
      </c>
      <c r="D2251" s="9" t="str">
        <f>IFERROR(__xludf.DUMMYFUNCTION("""COMPUTED_VALUE"""),"Completed")</f>
        <v>Completed</v>
      </c>
    </row>
    <row r="2252">
      <c r="A2252" s="9" t="str">
        <f>IFERROR(__xludf.DUMMYFUNCTION("""COMPUTED_VALUE"""),"G-REQ-02251")</f>
        <v>G-REQ-02251</v>
      </c>
      <c r="B2252" s="11">
        <f>IFERROR(__xludf.DUMMYFUNCTION("""COMPUTED_VALUE"""),45921.52881885058)</f>
        <v>45921.52882</v>
      </c>
      <c r="C2252" s="9">
        <f>IFERROR(__xludf.DUMMYFUNCTION("""COMPUTED_VALUE"""),8923.0)</f>
        <v>8923</v>
      </c>
      <c r="D2252" s="9" t="str">
        <f>IFERROR(__xludf.DUMMYFUNCTION("""COMPUTED_VALUE"""),"Completed")</f>
        <v>Completed</v>
      </c>
    </row>
    <row r="2253">
      <c r="A2253" s="9" t="str">
        <f>IFERROR(__xludf.DUMMYFUNCTION("""COMPUTED_VALUE"""),"G-REQ-02252")</f>
        <v>G-REQ-02252</v>
      </c>
      <c r="B2253" s="11">
        <f>IFERROR(__xludf.DUMMYFUNCTION("""COMPUTED_VALUE"""),45921.599993696)</f>
        <v>45921.59999</v>
      </c>
      <c r="C2253" s="9">
        <f>IFERROR(__xludf.DUMMYFUNCTION("""COMPUTED_VALUE"""),8927.0)</f>
        <v>8927</v>
      </c>
      <c r="D2253" s="9" t="str">
        <f>IFERROR(__xludf.DUMMYFUNCTION("""COMPUTED_VALUE"""),"Completed")</f>
        <v>Completed</v>
      </c>
    </row>
    <row r="2254">
      <c r="A2254" s="9" t="str">
        <f>IFERROR(__xludf.DUMMYFUNCTION("""COMPUTED_VALUE"""),"G-REQ-02253")</f>
        <v>G-REQ-02253</v>
      </c>
      <c r="B2254" s="11">
        <f>IFERROR(__xludf.DUMMYFUNCTION("""COMPUTED_VALUE"""),45921.67116854142)</f>
        <v>45921.67117</v>
      </c>
      <c r="C2254" s="9">
        <f>IFERROR(__xludf.DUMMYFUNCTION("""COMPUTED_VALUE"""),8931.0)</f>
        <v>8931</v>
      </c>
      <c r="D2254" s="9" t="str">
        <f>IFERROR(__xludf.DUMMYFUNCTION("""COMPUTED_VALUE"""),"Completed")</f>
        <v>Completed</v>
      </c>
    </row>
    <row r="2255">
      <c r="A2255" s="9" t="str">
        <f>IFERROR(__xludf.DUMMYFUNCTION("""COMPUTED_VALUE"""),"G-REQ-02254")</f>
        <v>G-REQ-02254</v>
      </c>
      <c r="B2255" s="11">
        <f>IFERROR(__xludf.DUMMYFUNCTION("""COMPUTED_VALUE"""),45921.74234338683)</f>
        <v>45921.74234</v>
      </c>
      <c r="C2255" s="9">
        <f>IFERROR(__xludf.DUMMYFUNCTION("""COMPUTED_VALUE"""),8935.0)</f>
        <v>8935</v>
      </c>
      <c r="D2255" s="9" t="str">
        <f>IFERROR(__xludf.DUMMYFUNCTION("""COMPUTED_VALUE"""),"Completed")</f>
        <v>Completed</v>
      </c>
    </row>
    <row r="2256">
      <c r="A2256" s="9" t="str">
        <f>IFERROR(__xludf.DUMMYFUNCTION("""COMPUTED_VALUE"""),"G-REQ-02255")</f>
        <v>G-REQ-02255</v>
      </c>
      <c r="B2256" s="11">
        <f>IFERROR(__xludf.DUMMYFUNCTION("""COMPUTED_VALUE"""),45921.813518232244)</f>
        <v>45921.81352</v>
      </c>
      <c r="C2256" s="9">
        <f>IFERROR(__xludf.DUMMYFUNCTION("""COMPUTED_VALUE"""),8939.0)</f>
        <v>8939</v>
      </c>
      <c r="D2256" s="9" t="str">
        <f>IFERROR(__xludf.DUMMYFUNCTION("""COMPUTED_VALUE"""),"Completed")</f>
        <v>Completed</v>
      </c>
    </row>
    <row r="2257">
      <c r="A2257" s="9" t="str">
        <f>IFERROR(__xludf.DUMMYFUNCTION("""COMPUTED_VALUE"""),"G-REQ-02256")</f>
        <v>G-REQ-02256</v>
      </c>
      <c r="B2257" s="11">
        <f>IFERROR(__xludf.DUMMYFUNCTION("""COMPUTED_VALUE"""),45921.88469307766)</f>
        <v>45921.88469</v>
      </c>
      <c r="C2257" s="9">
        <f>IFERROR(__xludf.DUMMYFUNCTION("""COMPUTED_VALUE"""),8943.0)</f>
        <v>8943</v>
      </c>
      <c r="D2257" s="9" t="str">
        <f>IFERROR(__xludf.DUMMYFUNCTION("""COMPUTED_VALUE"""),"Completed")</f>
        <v>Completed</v>
      </c>
    </row>
    <row r="2258">
      <c r="A2258" s="9" t="str">
        <f>IFERROR(__xludf.DUMMYFUNCTION("""COMPUTED_VALUE"""),"G-REQ-02257")</f>
        <v>G-REQ-02257</v>
      </c>
      <c r="B2258" s="11">
        <f>IFERROR(__xludf.DUMMYFUNCTION("""COMPUTED_VALUE"""),45921.955867923076)</f>
        <v>45921.95587</v>
      </c>
      <c r="C2258" s="9">
        <f>IFERROR(__xludf.DUMMYFUNCTION("""COMPUTED_VALUE"""),8947.0)</f>
        <v>8947</v>
      </c>
      <c r="D2258" s="9" t="str">
        <f>IFERROR(__xludf.DUMMYFUNCTION("""COMPUTED_VALUE"""),"Completed")</f>
        <v>Completed</v>
      </c>
    </row>
    <row r="2259">
      <c r="A2259" s="9" t="str">
        <f>IFERROR(__xludf.DUMMYFUNCTION("""COMPUTED_VALUE"""),"G-REQ-02258")</f>
        <v>G-REQ-02258</v>
      </c>
      <c r="B2259" s="11">
        <f>IFERROR(__xludf.DUMMYFUNCTION("""COMPUTED_VALUE"""),45922.02704276849)</f>
        <v>45922.02704</v>
      </c>
      <c r="C2259" s="9">
        <f>IFERROR(__xludf.DUMMYFUNCTION("""COMPUTED_VALUE"""),8951.0)</f>
        <v>8951</v>
      </c>
      <c r="D2259" s="9" t="str">
        <f>IFERROR(__xludf.DUMMYFUNCTION("""COMPUTED_VALUE"""),"Completed")</f>
        <v>Completed</v>
      </c>
    </row>
    <row r="2260">
      <c r="A2260" s="9" t="str">
        <f>IFERROR(__xludf.DUMMYFUNCTION("""COMPUTED_VALUE"""),"G-REQ-02259")</f>
        <v>G-REQ-02259</v>
      </c>
      <c r="B2260" s="11">
        <f>IFERROR(__xludf.DUMMYFUNCTION("""COMPUTED_VALUE"""),45922.09127316946)</f>
        <v>45922.09127</v>
      </c>
      <c r="C2260" s="9">
        <f>IFERROR(__xludf.DUMMYFUNCTION("""COMPUTED_VALUE"""),8953.0)</f>
        <v>8953</v>
      </c>
      <c r="D2260" s="9" t="str">
        <f>IFERROR(__xludf.DUMMYFUNCTION("""COMPUTED_VALUE"""),"Rejected")</f>
        <v>Rejected</v>
      </c>
    </row>
    <row r="2261">
      <c r="A2261" s="9" t="str">
        <f>IFERROR(__xludf.DUMMYFUNCTION("""COMPUTED_VALUE"""),"G-REQ-02260")</f>
        <v>G-REQ-02260</v>
      </c>
      <c r="B2261" s="11">
        <f>IFERROR(__xludf.DUMMYFUNCTION("""COMPUTED_VALUE"""),45922.16939245933)</f>
        <v>45922.16939</v>
      </c>
      <c r="C2261" s="9">
        <f>IFERROR(__xludf.DUMMYFUNCTION("""COMPUTED_VALUE"""),8957.0)</f>
        <v>8957</v>
      </c>
      <c r="D2261" s="9" t="str">
        <f>IFERROR(__xludf.DUMMYFUNCTION("""COMPUTED_VALUE"""),"Completed")</f>
        <v>Completed</v>
      </c>
    </row>
    <row r="2262">
      <c r="A2262" s="9" t="str">
        <f>IFERROR(__xludf.DUMMYFUNCTION("""COMPUTED_VALUE"""),"G-REQ-02261")</f>
        <v>G-REQ-02261</v>
      </c>
      <c r="B2262" s="11">
        <f>IFERROR(__xludf.DUMMYFUNCTION("""COMPUTED_VALUE"""),45922.24056730473)</f>
        <v>45922.24057</v>
      </c>
      <c r="C2262" s="9">
        <f>IFERROR(__xludf.DUMMYFUNCTION("""COMPUTED_VALUE"""),8961.0)</f>
        <v>8961</v>
      </c>
      <c r="D2262" s="9" t="str">
        <f>IFERROR(__xludf.DUMMYFUNCTION("""COMPUTED_VALUE"""),"Completed")</f>
        <v>Completed</v>
      </c>
    </row>
    <row r="2263">
      <c r="A2263" s="9" t="str">
        <f>IFERROR(__xludf.DUMMYFUNCTION("""COMPUTED_VALUE"""),"G-REQ-02262")</f>
        <v>G-REQ-02262</v>
      </c>
      <c r="B2263" s="11">
        <f>IFERROR(__xludf.DUMMYFUNCTION("""COMPUTED_VALUE"""),45922.31174215015)</f>
        <v>45922.31174</v>
      </c>
      <c r="C2263" s="9">
        <f>IFERROR(__xludf.DUMMYFUNCTION("""COMPUTED_VALUE"""),8965.0)</f>
        <v>8965</v>
      </c>
      <c r="D2263" s="9" t="str">
        <f>IFERROR(__xludf.DUMMYFUNCTION("""COMPUTED_VALUE"""),"Completed")</f>
        <v>Completed</v>
      </c>
    </row>
    <row r="2264">
      <c r="A2264" s="9" t="str">
        <f>IFERROR(__xludf.DUMMYFUNCTION("""COMPUTED_VALUE"""),"G-REQ-02263")</f>
        <v>G-REQ-02263</v>
      </c>
      <c r="B2264" s="11">
        <f>IFERROR(__xludf.DUMMYFUNCTION("""COMPUTED_VALUE"""),45922.382916995564)</f>
        <v>45922.38292</v>
      </c>
      <c r="C2264" s="9">
        <f>IFERROR(__xludf.DUMMYFUNCTION("""COMPUTED_VALUE"""),8969.0)</f>
        <v>8969</v>
      </c>
      <c r="D2264" s="9" t="str">
        <f>IFERROR(__xludf.DUMMYFUNCTION("""COMPUTED_VALUE"""),"Completed")</f>
        <v>Completed</v>
      </c>
    </row>
    <row r="2265">
      <c r="A2265" s="9" t="str">
        <f>IFERROR(__xludf.DUMMYFUNCTION("""COMPUTED_VALUE"""),"G-REQ-02264")</f>
        <v>G-REQ-02264</v>
      </c>
      <c r="B2265" s="11">
        <f>IFERROR(__xludf.DUMMYFUNCTION("""COMPUTED_VALUE"""),45922.454091840984)</f>
        <v>45922.45409</v>
      </c>
      <c r="C2265" s="9">
        <f>IFERROR(__xludf.DUMMYFUNCTION("""COMPUTED_VALUE"""),8973.0)</f>
        <v>8973</v>
      </c>
      <c r="D2265" s="9" t="str">
        <f>IFERROR(__xludf.DUMMYFUNCTION("""COMPUTED_VALUE"""),"Completed")</f>
        <v>Completed</v>
      </c>
    </row>
    <row r="2266">
      <c r="A2266" s="9" t="str">
        <f>IFERROR(__xludf.DUMMYFUNCTION("""COMPUTED_VALUE"""),"G-REQ-02265")</f>
        <v>G-REQ-02265</v>
      </c>
      <c r="B2266" s="11">
        <f>IFERROR(__xludf.DUMMYFUNCTION("""COMPUTED_VALUE"""),45922.51832224195)</f>
        <v>45922.51832</v>
      </c>
      <c r="C2266" s="9">
        <f>IFERROR(__xludf.DUMMYFUNCTION("""COMPUTED_VALUE"""),8975.0)</f>
        <v>8975</v>
      </c>
      <c r="D2266" s="9" t="str">
        <f>IFERROR(__xludf.DUMMYFUNCTION("""COMPUTED_VALUE"""),"Cancelled")</f>
        <v>Cancelled</v>
      </c>
    </row>
    <row r="2267">
      <c r="A2267" s="9" t="str">
        <f>IFERROR(__xludf.DUMMYFUNCTION("""COMPUTED_VALUE"""),"G-REQ-02266")</f>
        <v>G-REQ-02266</v>
      </c>
      <c r="B2267" s="11">
        <f>IFERROR(__xludf.DUMMYFUNCTION("""COMPUTED_VALUE"""),45922.596441531816)</f>
        <v>45922.59644</v>
      </c>
      <c r="C2267" s="9">
        <f>IFERROR(__xludf.DUMMYFUNCTION("""COMPUTED_VALUE"""),8979.0)</f>
        <v>8979</v>
      </c>
      <c r="D2267" s="9" t="str">
        <f>IFERROR(__xludf.DUMMYFUNCTION("""COMPUTED_VALUE"""),"Completed")</f>
        <v>Completed</v>
      </c>
    </row>
    <row r="2268">
      <c r="A2268" s="9" t="str">
        <f>IFERROR(__xludf.DUMMYFUNCTION("""COMPUTED_VALUE"""),"G-REQ-02267")</f>
        <v>G-REQ-02267</v>
      </c>
      <c r="B2268" s="11">
        <f>IFERROR(__xludf.DUMMYFUNCTION("""COMPUTED_VALUE"""),45922.66761637722)</f>
        <v>45922.66762</v>
      </c>
      <c r="C2268" s="9">
        <f>IFERROR(__xludf.DUMMYFUNCTION("""COMPUTED_VALUE"""),8983.0)</f>
        <v>8983</v>
      </c>
      <c r="D2268" s="9" t="str">
        <f>IFERROR(__xludf.DUMMYFUNCTION("""COMPUTED_VALUE"""),"Completed")</f>
        <v>Completed</v>
      </c>
    </row>
    <row r="2269">
      <c r="A2269" s="9" t="str">
        <f>IFERROR(__xludf.DUMMYFUNCTION("""COMPUTED_VALUE"""),"G-REQ-02268")</f>
        <v>G-REQ-02268</v>
      </c>
      <c r="B2269" s="11">
        <f>IFERROR(__xludf.DUMMYFUNCTION("""COMPUTED_VALUE"""),45922.73879122264)</f>
        <v>45922.73879</v>
      </c>
      <c r="C2269" s="9">
        <f>IFERROR(__xludf.DUMMYFUNCTION("""COMPUTED_VALUE"""),8987.0)</f>
        <v>8987</v>
      </c>
      <c r="D2269" s="9" t="str">
        <f>IFERROR(__xludf.DUMMYFUNCTION("""COMPUTED_VALUE"""),"Completed")</f>
        <v>Completed</v>
      </c>
    </row>
    <row r="2270">
      <c r="A2270" s="9" t="str">
        <f>IFERROR(__xludf.DUMMYFUNCTION("""COMPUTED_VALUE"""),"G-REQ-02269")</f>
        <v>G-REQ-02269</v>
      </c>
      <c r="B2270" s="11">
        <f>IFERROR(__xludf.DUMMYFUNCTION("""COMPUTED_VALUE"""),45922.80996606806)</f>
        <v>45922.80997</v>
      </c>
      <c r="C2270" s="9">
        <f>IFERROR(__xludf.DUMMYFUNCTION("""COMPUTED_VALUE"""),8991.0)</f>
        <v>8991</v>
      </c>
      <c r="D2270" s="9" t="str">
        <f>IFERROR(__xludf.DUMMYFUNCTION("""COMPUTED_VALUE"""),"Completed")</f>
        <v>Completed</v>
      </c>
    </row>
    <row r="2271">
      <c r="A2271" s="9" t="str">
        <f>IFERROR(__xludf.DUMMYFUNCTION("""COMPUTED_VALUE"""),"G-REQ-02270")</f>
        <v>G-REQ-02270</v>
      </c>
      <c r="B2271" s="11">
        <f>IFERROR(__xludf.DUMMYFUNCTION("""COMPUTED_VALUE"""),45922.88114091347)</f>
        <v>45922.88114</v>
      </c>
      <c r="C2271" s="9">
        <f>IFERROR(__xludf.DUMMYFUNCTION("""COMPUTED_VALUE"""),8995.0)</f>
        <v>8995</v>
      </c>
      <c r="D2271" s="9" t="str">
        <f>IFERROR(__xludf.DUMMYFUNCTION("""COMPUTED_VALUE"""),"Completed")</f>
        <v>Completed</v>
      </c>
    </row>
    <row r="2272">
      <c r="A2272" s="9" t="str">
        <f>IFERROR(__xludf.DUMMYFUNCTION("""COMPUTED_VALUE"""),"G-REQ-02271")</f>
        <v>G-REQ-02271</v>
      </c>
      <c r="B2272" s="11">
        <f>IFERROR(__xludf.DUMMYFUNCTION("""COMPUTED_VALUE"""),45922.952315758885)</f>
        <v>45922.95232</v>
      </c>
      <c r="C2272" s="9">
        <f>IFERROR(__xludf.DUMMYFUNCTION("""COMPUTED_VALUE"""),8999.0)</f>
        <v>8999</v>
      </c>
      <c r="D2272" s="9" t="str">
        <f>IFERROR(__xludf.DUMMYFUNCTION("""COMPUTED_VALUE"""),"Completed")</f>
        <v>Completed</v>
      </c>
    </row>
    <row r="2273">
      <c r="A2273" s="9" t="str">
        <f>IFERROR(__xludf.DUMMYFUNCTION("""COMPUTED_VALUE"""),"G-REQ-02272")</f>
        <v>G-REQ-02272</v>
      </c>
      <c r="B2273" s="11">
        <f>IFERROR(__xludf.DUMMYFUNCTION("""COMPUTED_VALUE"""),45923.023490604304)</f>
        <v>45923.02349</v>
      </c>
      <c r="C2273" s="9">
        <f>IFERROR(__xludf.DUMMYFUNCTION("""COMPUTED_VALUE"""),9003.0)</f>
        <v>9003</v>
      </c>
      <c r="D2273" s="9" t="str">
        <f>IFERROR(__xludf.DUMMYFUNCTION("""COMPUTED_VALUE"""),"Completed")</f>
        <v>Completed</v>
      </c>
    </row>
    <row r="2274">
      <c r="A2274" s="9" t="str">
        <f>IFERROR(__xludf.DUMMYFUNCTION("""COMPUTED_VALUE"""),"G-REQ-02273")</f>
        <v>G-REQ-02273</v>
      </c>
      <c r="B2274" s="11">
        <f>IFERROR(__xludf.DUMMYFUNCTION("""COMPUTED_VALUE"""),45923.08772100527)</f>
        <v>45923.08772</v>
      </c>
      <c r="C2274" s="9">
        <f>IFERROR(__xludf.DUMMYFUNCTION("""COMPUTED_VALUE"""),9005.0)</f>
        <v>9005</v>
      </c>
      <c r="D2274" s="9" t="str">
        <f>IFERROR(__xludf.DUMMYFUNCTION("""COMPUTED_VALUE"""),"Cancelled")</f>
        <v>Cancelled</v>
      </c>
    </row>
    <row r="2275">
      <c r="A2275" s="9" t="str">
        <f>IFERROR(__xludf.DUMMYFUNCTION("""COMPUTED_VALUE"""),"G-REQ-02274")</f>
        <v>G-REQ-02274</v>
      </c>
      <c r="B2275" s="11">
        <f>IFERROR(__xludf.DUMMYFUNCTION("""COMPUTED_VALUE"""),45923.16584029513)</f>
        <v>45923.16584</v>
      </c>
      <c r="C2275" s="9">
        <f>IFERROR(__xludf.DUMMYFUNCTION("""COMPUTED_VALUE"""),9009.0)</f>
        <v>9009</v>
      </c>
      <c r="D2275" s="9" t="str">
        <f>IFERROR(__xludf.DUMMYFUNCTION("""COMPUTED_VALUE"""),"Completed")</f>
        <v>Completed</v>
      </c>
    </row>
    <row r="2276">
      <c r="A2276" s="9" t="str">
        <f>IFERROR(__xludf.DUMMYFUNCTION("""COMPUTED_VALUE"""),"G-REQ-02275")</f>
        <v>G-REQ-02275</v>
      </c>
      <c r="B2276" s="11">
        <f>IFERROR(__xludf.DUMMYFUNCTION("""COMPUTED_VALUE"""),45923.23701514055)</f>
        <v>45923.23702</v>
      </c>
      <c r="C2276" s="9">
        <f>IFERROR(__xludf.DUMMYFUNCTION("""COMPUTED_VALUE"""),9013.0)</f>
        <v>9013</v>
      </c>
      <c r="D2276" s="9" t="str">
        <f>IFERROR(__xludf.DUMMYFUNCTION("""COMPUTED_VALUE"""),"Completed")</f>
        <v>Completed</v>
      </c>
    </row>
    <row r="2277">
      <c r="A2277" s="9" t="str">
        <f>IFERROR(__xludf.DUMMYFUNCTION("""COMPUTED_VALUE"""),"G-REQ-02276")</f>
        <v>G-REQ-02276</v>
      </c>
      <c r="B2277" s="11">
        <f>IFERROR(__xludf.DUMMYFUNCTION("""COMPUTED_VALUE"""),45923.30818998597)</f>
        <v>45923.30819</v>
      </c>
      <c r="C2277" s="9">
        <f>IFERROR(__xludf.DUMMYFUNCTION("""COMPUTED_VALUE"""),9017.0)</f>
        <v>9017</v>
      </c>
      <c r="D2277" s="9" t="str">
        <f>IFERROR(__xludf.DUMMYFUNCTION("""COMPUTED_VALUE"""),"Completed")</f>
        <v>Completed</v>
      </c>
    </row>
    <row r="2278">
      <c r="A2278" s="9" t="str">
        <f>IFERROR(__xludf.DUMMYFUNCTION("""COMPUTED_VALUE"""),"G-REQ-02277")</f>
        <v>G-REQ-02277</v>
      </c>
      <c r="B2278" s="11">
        <f>IFERROR(__xludf.DUMMYFUNCTION("""COMPUTED_VALUE"""),45923.37936483137)</f>
        <v>45923.37936</v>
      </c>
      <c r="C2278" s="9">
        <f>IFERROR(__xludf.DUMMYFUNCTION("""COMPUTED_VALUE"""),9021.0)</f>
        <v>9021</v>
      </c>
      <c r="D2278" s="9" t="str">
        <f>IFERROR(__xludf.DUMMYFUNCTION("""COMPUTED_VALUE"""),"Completed")</f>
        <v>Completed</v>
      </c>
    </row>
    <row r="2279">
      <c r="A2279" s="9" t="str">
        <f>IFERROR(__xludf.DUMMYFUNCTION("""COMPUTED_VALUE"""),"G-REQ-02278")</f>
        <v>G-REQ-02278</v>
      </c>
      <c r="B2279" s="11">
        <f>IFERROR(__xludf.DUMMYFUNCTION("""COMPUTED_VALUE"""),45923.44359523235)</f>
        <v>45923.4436</v>
      </c>
      <c r="C2279" s="9">
        <f>IFERROR(__xludf.DUMMYFUNCTION("""COMPUTED_VALUE"""),9023.0)</f>
        <v>9023</v>
      </c>
      <c r="D2279" s="9" t="str">
        <f>IFERROR(__xludf.DUMMYFUNCTION("""COMPUTED_VALUE"""),"Rejected")</f>
        <v>Rejected</v>
      </c>
    </row>
    <row r="2280">
      <c r="A2280" s="9" t="str">
        <f>IFERROR(__xludf.DUMMYFUNCTION("""COMPUTED_VALUE"""),"G-REQ-02279")</f>
        <v>G-REQ-02279</v>
      </c>
      <c r="B2280" s="11">
        <f>IFERROR(__xludf.DUMMYFUNCTION("""COMPUTED_VALUE"""),45923.52171452221)</f>
        <v>45923.52171</v>
      </c>
      <c r="C2280" s="9">
        <f>IFERROR(__xludf.DUMMYFUNCTION("""COMPUTED_VALUE"""),9027.0)</f>
        <v>9027</v>
      </c>
      <c r="D2280" s="9" t="str">
        <f>IFERROR(__xludf.DUMMYFUNCTION("""COMPUTED_VALUE"""),"Completed")</f>
        <v>Completed</v>
      </c>
    </row>
    <row r="2281">
      <c r="A2281" s="9" t="str">
        <f>IFERROR(__xludf.DUMMYFUNCTION("""COMPUTED_VALUE"""),"G-REQ-02280")</f>
        <v>G-REQ-02280</v>
      </c>
      <c r="B2281" s="11">
        <f>IFERROR(__xludf.DUMMYFUNCTION("""COMPUTED_VALUE"""),45923.592889367625)</f>
        <v>45923.59289</v>
      </c>
      <c r="C2281" s="9">
        <f>IFERROR(__xludf.DUMMYFUNCTION("""COMPUTED_VALUE"""),9031.0)</f>
        <v>9031</v>
      </c>
      <c r="D2281" s="9" t="str">
        <f>IFERROR(__xludf.DUMMYFUNCTION("""COMPUTED_VALUE"""),"Completed")</f>
        <v>Completed</v>
      </c>
    </row>
    <row r="2282">
      <c r="A2282" s="9" t="str">
        <f>IFERROR(__xludf.DUMMYFUNCTION("""COMPUTED_VALUE"""),"G-REQ-02281")</f>
        <v>G-REQ-02281</v>
      </c>
      <c r="B2282" s="11">
        <f>IFERROR(__xludf.DUMMYFUNCTION("""COMPUTED_VALUE"""),45923.66406421304)</f>
        <v>45923.66406</v>
      </c>
      <c r="C2282" s="9">
        <f>IFERROR(__xludf.DUMMYFUNCTION("""COMPUTED_VALUE"""),9035.0)</f>
        <v>9035</v>
      </c>
      <c r="D2282" s="9" t="str">
        <f>IFERROR(__xludf.DUMMYFUNCTION("""COMPUTED_VALUE"""),"Completed")</f>
        <v>Completed</v>
      </c>
    </row>
    <row r="2283">
      <c r="A2283" s="9" t="str">
        <f>IFERROR(__xludf.DUMMYFUNCTION("""COMPUTED_VALUE"""),"G-REQ-02282")</f>
        <v>G-REQ-02282</v>
      </c>
      <c r="B2283" s="11">
        <f>IFERROR(__xludf.DUMMYFUNCTION("""COMPUTED_VALUE"""),45923.73523905846)</f>
        <v>45923.73524</v>
      </c>
      <c r="C2283" s="9">
        <f>IFERROR(__xludf.DUMMYFUNCTION("""COMPUTED_VALUE"""),9039.0)</f>
        <v>9039</v>
      </c>
      <c r="D2283" s="9" t="str">
        <f>IFERROR(__xludf.DUMMYFUNCTION("""COMPUTED_VALUE"""),"Completed")</f>
        <v>Completed</v>
      </c>
    </row>
    <row r="2284">
      <c r="A2284" s="9" t="str">
        <f>IFERROR(__xludf.DUMMYFUNCTION("""COMPUTED_VALUE"""),"G-REQ-02283")</f>
        <v>G-REQ-02283</v>
      </c>
      <c r="B2284" s="11">
        <f>IFERROR(__xludf.DUMMYFUNCTION("""COMPUTED_VALUE"""),45923.80641390387)</f>
        <v>45923.80641</v>
      </c>
      <c r="C2284" s="9">
        <f>IFERROR(__xludf.DUMMYFUNCTION("""COMPUTED_VALUE"""),9043.0)</f>
        <v>9043</v>
      </c>
      <c r="D2284" s="9" t="str">
        <f>IFERROR(__xludf.DUMMYFUNCTION("""COMPUTED_VALUE"""),"Completed")</f>
        <v>Completed</v>
      </c>
    </row>
    <row r="2285">
      <c r="A2285" s="9" t="str">
        <f>IFERROR(__xludf.DUMMYFUNCTION("""COMPUTED_VALUE"""),"G-REQ-02284")</f>
        <v>G-REQ-02284</v>
      </c>
      <c r="B2285" s="11">
        <f>IFERROR(__xludf.DUMMYFUNCTION("""COMPUTED_VALUE"""),45923.870644304836)</f>
        <v>45923.87064</v>
      </c>
      <c r="C2285" s="9">
        <f>IFERROR(__xludf.DUMMYFUNCTION("""COMPUTED_VALUE"""),9045.0)</f>
        <v>9045</v>
      </c>
      <c r="D2285" s="9" t="str">
        <f>IFERROR(__xludf.DUMMYFUNCTION("""COMPUTED_VALUE"""),"Cancelled")</f>
        <v>Cancelled</v>
      </c>
    </row>
    <row r="2286">
      <c r="A2286" s="9" t="str">
        <f>IFERROR(__xludf.DUMMYFUNCTION("""COMPUTED_VALUE"""),"G-REQ-02285")</f>
        <v>G-REQ-02285</v>
      </c>
      <c r="B2286" s="11">
        <f>IFERROR(__xludf.DUMMYFUNCTION("""COMPUTED_VALUE"""),45923.9487635947)</f>
        <v>45923.94876</v>
      </c>
      <c r="C2286" s="9">
        <f>IFERROR(__xludf.DUMMYFUNCTION("""COMPUTED_VALUE"""),9049.0)</f>
        <v>9049</v>
      </c>
      <c r="D2286" s="9" t="str">
        <f>IFERROR(__xludf.DUMMYFUNCTION("""COMPUTED_VALUE"""),"Completed")</f>
        <v>Completed</v>
      </c>
    </row>
    <row r="2287">
      <c r="A2287" s="9" t="str">
        <f>IFERROR(__xludf.DUMMYFUNCTION("""COMPUTED_VALUE"""),"G-REQ-02286")</f>
        <v>G-REQ-02286</v>
      </c>
      <c r="B2287" s="11">
        <f>IFERROR(__xludf.DUMMYFUNCTION("""COMPUTED_VALUE"""),45924.01993844011)</f>
        <v>45924.01994</v>
      </c>
      <c r="C2287" s="9">
        <f>IFERROR(__xludf.DUMMYFUNCTION("""COMPUTED_VALUE"""),9053.0)</f>
        <v>9053</v>
      </c>
      <c r="D2287" s="9" t="str">
        <f>IFERROR(__xludf.DUMMYFUNCTION("""COMPUTED_VALUE"""),"Completed")</f>
        <v>Completed</v>
      </c>
    </row>
    <row r="2288">
      <c r="A2288" s="9" t="str">
        <f>IFERROR(__xludf.DUMMYFUNCTION("""COMPUTED_VALUE"""),"G-REQ-02287")</f>
        <v>G-REQ-02287</v>
      </c>
      <c r="B2288" s="11">
        <f>IFERROR(__xludf.DUMMYFUNCTION("""COMPUTED_VALUE"""),45924.091113285525)</f>
        <v>45924.09111</v>
      </c>
      <c r="C2288" s="9">
        <f>IFERROR(__xludf.DUMMYFUNCTION("""COMPUTED_VALUE"""),9057.0)</f>
        <v>9057</v>
      </c>
      <c r="D2288" s="9" t="str">
        <f>IFERROR(__xludf.DUMMYFUNCTION("""COMPUTED_VALUE"""),"Completed")</f>
        <v>Completed</v>
      </c>
    </row>
    <row r="2289">
      <c r="A2289" s="9" t="str">
        <f>IFERROR(__xludf.DUMMYFUNCTION("""COMPUTED_VALUE"""),"G-REQ-02288")</f>
        <v>G-REQ-02288</v>
      </c>
      <c r="B2289" s="11">
        <f>IFERROR(__xludf.DUMMYFUNCTION("""COMPUTED_VALUE"""),45924.162288130945)</f>
        <v>45924.16229</v>
      </c>
      <c r="C2289" s="9">
        <f>IFERROR(__xludf.DUMMYFUNCTION("""COMPUTED_VALUE"""),9061.0)</f>
        <v>9061</v>
      </c>
      <c r="D2289" s="9" t="str">
        <f>IFERROR(__xludf.DUMMYFUNCTION("""COMPUTED_VALUE"""),"Completed")</f>
        <v>Completed</v>
      </c>
    </row>
    <row r="2290">
      <c r="A2290" s="9" t="str">
        <f>IFERROR(__xludf.DUMMYFUNCTION("""COMPUTED_VALUE"""),"G-REQ-02289")</f>
        <v>G-REQ-02289</v>
      </c>
      <c r="B2290" s="11">
        <f>IFERROR(__xludf.DUMMYFUNCTION("""COMPUTED_VALUE"""),45924.23346297636)</f>
        <v>45924.23346</v>
      </c>
      <c r="C2290" s="9">
        <f>IFERROR(__xludf.DUMMYFUNCTION("""COMPUTED_VALUE"""),9065.0)</f>
        <v>9065</v>
      </c>
      <c r="D2290" s="9" t="str">
        <f>IFERROR(__xludf.DUMMYFUNCTION("""COMPUTED_VALUE"""),"Completed")</f>
        <v>Completed</v>
      </c>
    </row>
    <row r="2291">
      <c r="A2291" s="9" t="str">
        <f>IFERROR(__xludf.DUMMYFUNCTION("""COMPUTED_VALUE"""),"G-REQ-02290")</f>
        <v>G-REQ-02290</v>
      </c>
      <c r="B2291" s="11">
        <f>IFERROR(__xludf.DUMMYFUNCTION("""COMPUTED_VALUE"""),45924.30463782177)</f>
        <v>45924.30464</v>
      </c>
      <c r="C2291" s="9">
        <f>IFERROR(__xludf.DUMMYFUNCTION("""COMPUTED_VALUE"""),9069.0)</f>
        <v>9069</v>
      </c>
      <c r="D2291" s="9" t="str">
        <f>IFERROR(__xludf.DUMMYFUNCTION("""COMPUTED_VALUE"""),"Completed")</f>
        <v>Completed</v>
      </c>
    </row>
    <row r="2292">
      <c r="A2292" s="9" t="str">
        <f>IFERROR(__xludf.DUMMYFUNCTION("""COMPUTED_VALUE"""),"G-REQ-02291")</f>
        <v>G-REQ-02291</v>
      </c>
      <c r="B2292" s="11">
        <f>IFERROR(__xludf.DUMMYFUNCTION("""COMPUTED_VALUE"""),45924.37581266719)</f>
        <v>45924.37581</v>
      </c>
      <c r="C2292" s="9">
        <f>IFERROR(__xludf.DUMMYFUNCTION("""COMPUTED_VALUE"""),9073.0)</f>
        <v>9073</v>
      </c>
      <c r="D2292" s="9" t="str">
        <f>IFERROR(__xludf.DUMMYFUNCTION("""COMPUTED_VALUE"""),"Completed")</f>
        <v>Completed</v>
      </c>
    </row>
    <row r="2293">
      <c r="A2293" s="9" t="str">
        <f>IFERROR(__xludf.DUMMYFUNCTION("""COMPUTED_VALUE"""),"G-REQ-02292")</f>
        <v>G-REQ-02292</v>
      </c>
      <c r="B2293" s="11">
        <f>IFERROR(__xludf.DUMMYFUNCTION("""COMPUTED_VALUE"""),45924.44698751261)</f>
        <v>45924.44699</v>
      </c>
      <c r="C2293" s="9">
        <f>IFERROR(__xludf.DUMMYFUNCTION("""COMPUTED_VALUE"""),9077.0)</f>
        <v>9077</v>
      </c>
      <c r="D2293" s="9" t="str">
        <f>IFERROR(__xludf.DUMMYFUNCTION("""COMPUTED_VALUE"""),"Completed")</f>
        <v>Completed</v>
      </c>
    </row>
    <row r="2294">
      <c r="A2294" s="9" t="str">
        <f>IFERROR(__xludf.DUMMYFUNCTION("""COMPUTED_VALUE"""),"G-REQ-02293")</f>
        <v>G-REQ-02293</v>
      </c>
      <c r="B2294" s="11">
        <f>IFERROR(__xludf.DUMMYFUNCTION("""COMPUTED_VALUE"""),45924.518162358014)</f>
        <v>45924.51816</v>
      </c>
      <c r="C2294" s="9">
        <f>IFERROR(__xludf.DUMMYFUNCTION("""COMPUTED_VALUE"""),9081.0)</f>
        <v>9081</v>
      </c>
      <c r="D2294" s="9" t="str">
        <f>IFERROR(__xludf.DUMMYFUNCTION("""COMPUTED_VALUE"""),"Completed")</f>
        <v>Completed</v>
      </c>
    </row>
    <row r="2295">
      <c r="A2295" s="9" t="str">
        <f>IFERROR(__xludf.DUMMYFUNCTION("""COMPUTED_VALUE"""),"G-REQ-02294")</f>
        <v>G-REQ-02294</v>
      </c>
      <c r="B2295" s="11">
        <f>IFERROR(__xludf.DUMMYFUNCTION("""COMPUTED_VALUE"""),45924.58933720343)</f>
        <v>45924.58934</v>
      </c>
      <c r="C2295" s="9">
        <f>IFERROR(__xludf.DUMMYFUNCTION("""COMPUTED_VALUE"""),9085.0)</f>
        <v>9085</v>
      </c>
      <c r="D2295" s="9" t="str">
        <f>IFERROR(__xludf.DUMMYFUNCTION("""COMPUTED_VALUE"""),"Completed")</f>
        <v>Completed</v>
      </c>
    </row>
    <row r="2296">
      <c r="A2296" s="9" t="str">
        <f>IFERROR(__xludf.DUMMYFUNCTION("""COMPUTED_VALUE"""),"G-REQ-02295")</f>
        <v>G-REQ-02295</v>
      </c>
      <c r="B2296" s="11">
        <f>IFERROR(__xludf.DUMMYFUNCTION("""COMPUTED_VALUE"""),45924.66051204885)</f>
        <v>45924.66051</v>
      </c>
      <c r="C2296" s="9">
        <f>IFERROR(__xludf.DUMMYFUNCTION("""COMPUTED_VALUE"""),9089.0)</f>
        <v>9089</v>
      </c>
      <c r="D2296" s="9" t="str">
        <f>IFERROR(__xludf.DUMMYFUNCTION("""COMPUTED_VALUE"""),"Completed")</f>
        <v>Completed</v>
      </c>
    </row>
    <row r="2297">
      <c r="A2297" s="9" t="str">
        <f>IFERROR(__xludf.DUMMYFUNCTION("""COMPUTED_VALUE"""),"G-REQ-02296")</f>
        <v>G-REQ-02296</v>
      </c>
      <c r="B2297" s="11">
        <f>IFERROR(__xludf.DUMMYFUNCTION("""COMPUTED_VALUE"""),45924.731686894265)</f>
        <v>45924.73169</v>
      </c>
      <c r="C2297" s="9">
        <f>IFERROR(__xludf.DUMMYFUNCTION("""COMPUTED_VALUE"""),9093.0)</f>
        <v>9093</v>
      </c>
      <c r="D2297" s="9" t="str">
        <f>IFERROR(__xludf.DUMMYFUNCTION("""COMPUTED_VALUE"""),"Completed")</f>
        <v>Completed</v>
      </c>
    </row>
    <row r="2298">
      <c r="A2298" s="9" t="str">
        <f>IFERROR(__xludf.DUMMYFUNCTION("""COMPUTED_VALUE"""),"G-REQ-02297")</f>
        <v>G-REQ-02297</v>
      </c>
      <c r="B2298" s="11">
        <f>IFERROR(__xludf.DUMMYFUNCTION("""COMPUTED_VALUE"""),45924.80286173968)</f>
        <v>45924.80286</v>
      </c>
      <c r="C2298" s="9">
        <f>IFERROR(__xludf.DUMMYFUNCTION("""COMPUTED_VALUE"""),9097.0)</f>
        <v>9097</v>
      </c>
      <c r="D2298" s="9" t="str">
        <f>IFERROR(__xludf.DUMMYFUNCTION("""COMPUTED_VALUE"""),"Completed")</f>
        <v>Completed</v>
      </c>
    </row>
    <row r="2299">
      <c r="A2299" s="9" t="str">
        <f>IFERROR(__xludf.DUMMYFUNCTION("""COMPUTED_VALUE"""),"G-REQ-02298")</f>
        <v>G-REQ-02298</v>
      </c>
      <c r="B2299" s="11">
        <f>IFERROR(__xludf.DUMMYFUNCTION("""COMPUTED_VALUE"""),45924.8740365851)</f>
        <v>45924.87404</v>
      </c>
      <c r="C2299" s="9">
        <f>IFERROR(__xludf.DUMMYFUNCTION("""COMPUTED_VALUE"""),9101.0)</f>
        <v>9101</v>
      </c>
      <c r="D2299" s="9" t="str">
        <f>IFERROR(__xludf.DUMMYFUNCTION("""COMPUTED_VALUE"""),"Completed")</f>
        <v>Completed</v>
      </c>
    </row>
    <row r="2300">
      <c r="A2300" s="9" t="str">
        <f>IFERROR(__xludf.DUMMYFUNCTION("""COMPUTED_VALUE"""),"G-REQ-02299")</f>
        <v>G-REQ-02299</v>
      </c>
      <c r="B2300" s="11">
        <f>IFERROR(__xludf.DUMMYFUNCTION("""COMPUTED_VALUE"""),45924.94521143051)</f>
        <v>45924.94521</v>
      </c>
      <c r="C2300" s="9">
        <f>IFERROR(__xludf.DUMMYFUNCTION("""COMPUTED_VALUE"""),9105.0)</f>
        <v>9105</v>
      </c>
      <c r="D2300" s="9" t="str">
        <f>IFERROR(__xludf.DUMMYFUNCTION("""COMPUTED_VALUE"""),"Completed")</f>
        <v>Completed</v>
      </c>
    </row>
    <row r="2301">
      <c r="A2301" s="9" t="str">
        <f>IFERROR(__xludf.DUMMYFUNCTION("""COMPUTED_VALUE"""),"G-REQ-02300")</f>
        <v>G-REQ-02300</v>
      </c>
      <c r="B2301" s="11">
        <f>IFERROR(__xludf.DUMMYFUNCTION("""COMPUTED_VALUE"""),45925.01638627592)</f>
        <v>45925.01639</v>
      </c>
      <c r="C2301" s="9">
        <f>IFERROR(__xludf.DUMMYFUNCTION("""COMPUTED_VALUE"""),9109.0)</f>
        <v>9109</v>
      </c>
      <c r="D2301" s="9" t="str">
        <f>IFERROR(__xludf.DUMMYFUNCTION("""COMPUTED_VALUE"""),"Completed")</f>
        <v>Completed</v>
      </c>
    </row>
    <row r="2302">
      <c r="A2302" s="9" t="str">
        <f>IFERROR(__xludf.DUMMYFUNCTION("""COMPUTED_VALUE"""),"G-REQ-02301")</f>
        <v>G-REQ-02301</v>
      </c>
      <c r="B2302" s="11">
        <f>IFERROR(__xludf.DUMMYFUNCTION("""COMPUTED_VALUE"""),45925.08756112134)</f>
        <v>45925.08756</v>
      </c>
      <c r="C2302" s="9">
        <f>IFERROR(__xludf.DUMMYFUNCTION("""COMPUTED_VALUE"""),9113.0)</f>
        <v>9113</v>
      </c>
      <c r="D2302" s="9" t="str">
        <f>IFERROR(__xludf.DUMMYFUNCTION("""COMPUTED_VALUE"""),"Completed")</f>
        <v>Completed</v>
      </c>
    </row>
    <row r="2303">
      <c r="A2303" s="9" t="str">
        <f>IFERROR(__xludf.DUMMYFUNCTION("""COMPUTED_VALUE"""),"G-REQ-02302")</f>
        <v>G-REQ-02302</v>
      </c>
      <c r="B2303" s="11">
        <f>IFERROR(__xludf.DUMMYFUNCTION("""COMPUTED_VALUE"""),45925.158735966754)</f>
        <v>45925.15874</v>
      </c>
      <c r="C2303" s="9">
        <f>IFERROR(__xludf.DUMMYFUNCTION("""COMPUTED_VALUE"""),9117.0)</f>
        <v>9117</v>
      </c>
      <c r="D2303" s="9" t="str">
        <f>IFERROR(__xludf.DUMMYFUNCTION("""COMPUTED_VALUE"""),"Completed")</f>
        <v>Completed</v>
      </c>
    </row>
    <row r="2304">
      <c r="A2304" s="9" t="str">
        <f>IFERROR(__xludf.DUMMYFUNCTION("""COMPUTED_VALUE"""),"G-REQ-02303")</f>
        <v>G-REQ-02303</v>
      </c>
      <c r="B2304" s="11">
        <f>IFERROR(__xludf.DUMMYFUNCTION("""COMPUTED_VALUE"""),45925.229910812166)</f>
        <v>45925.22991</v>
      </c>
      <c r="C2304" s="9">
        <f>IFERROR(__xludf.DUMMYFUNCTION("""COMPUTED_VALUE"""),9121.0)</f>
        <v>9121</v>
      </c>
      <c r="D2304" s="9" t="str">
        <f>IFERROR(__xludf.DUMMYFUNCTION("""COMPUTED_VALUE"""),"Completed")</f>
        <v>Completed</v>
      </c>
    </row>
    <row r="2305">
      <c r="A2305" s="9" t="str">
        <f>IFERROR(__xludf.DUMMYFUNCTION("""COMPUTED_VALUE"""),"G-REQ-02304")</f>
        <v>G-REQ-02304</v>
      </c>
      <c r="B2305" s="11">
        <f>IFERROR(__xludf.DUMMYFUNCTION("""COMPUTED_VALUE"""),45925.301085657586)</f>
        <v>45925.30109</v>
      </c>
      <c r="C2305" s="9">
        <f>IFERROR(__xludf.DUMMYFUNCTION("""COMPUTED_VALUE"""),9125.0)</f>
        <v>9125</v>
      </c>
      <c r="D2305" s="9" t="str">
        <f>IFERROR(__xludf.DUMMYFUNCTION("""COMPUTED_VALUE"""),"Completed")</f>
        <v>Completed</v>
      </c>
    </row>
    <row r="2306">
      <c r="A2306" s="9" t="str">
        <f>IFERROR(__xludf.DUMMYFUNCTION("""COMPUTED_VALUE"""),"G-REQ-02305")</f>
        <v>G-REQ-02305</v>
      </c>
      <c r="B2306" s="11">
        <f>IFERROR(__xludf.DUMMYFUNCTION("""COMPUTED_VALUE"""),45925.372260503)</f>
        <v>45925.37226</v>
      </c>
      <c r="C2306" s="9">
        <f>IFERROR(__xludf.DUMMYFUNCTION("""COMPUTED_VALUE"""),9129.0)</f>
        <v>9129</v>
      </c>
      <c r="D2306" s="9" t="str">
        <f>IFERROR(__xludf.DUMMYFUNCTION("""COMPUTED_VALUE"""),"Completed")</f>
        <v>Completed</v>
      </c>
    </row>
    <row r="2307">
      <c r="A2307" s="9" t="str">
        <f>IFERROR(__xludf.DUMMYFUNCTION("""COMPUTED_VALUE"""),"G-REQ-02306")</f>
        <v>G-REQ-02306</v>
      </c>
      <c r="B2307" s="11">
        <f>IFERROR(__xludf.DUMMYFUNCTION("""COMPUTED_VALUE"""),45925.44343534841)</f>
        <v>45925.44344</v>
      </c>
      <c r="C2307" s="9">
        <f>IFERROR(__xludf.DUMMYFUNCTION("""COMPUTED_VALUE"""),9133.0)</f>
        <v>9133</v>
      </c>
      <c r="D2307" s="9" t="str">
        <f>IFERROR(__xludf.DUMMYFUNCTION("""COMPUTED_VALUE"""),"Completed")</f>
        <v>Completed</v>
      </c>
    </row>
    <row r="2308">
      <c r="A2308" s="9" t="str">
        <f>IFERROR(__xludf.DUMMYFUNCTION("""COMPUTED_VALUE"""),"G-REQ-02307")</f>
        <v>G-REQ-02307</v>
      </c>
      <c r="B2308" s="11">
        <f>IFERROR(__xludf.DUMMYFUNCTION("""COMPUTED_VALUE"""),45925.51461019383)</f>
        <v>45925.51461</v>
      </c>
      <c r="C2308" s="9">
        <f>IFERROR(__xludf.DUMMYFUNCTION("""COMPUTED_VALUE"""),9137.0)</f>
        <v>9137</v>
      </c>
      <c r="D2308" s="9" t="str">
        <f>IFERROR(__xludf.DUMMYFUNCTION("""COMPUTED_VALUE"""),"Completed")</f>
        <v>Completed</v>
      </c>
    </row>
    <row r="2309">
      <c r="A2309" s="9" t="str">
        <f>IFERROR(__xludf.DUMMYFUNCTION("""COMPUTED_VALUE"""),"G-REQ-02308")</f>
        <v>G-REQ-02308</v>
      </c>
      <c r="B2309" s="11">
        <f>IFERROR(__xludf.DUMMYFUNCTION("""COMPUTED_VALUE"""),45925.578840594804)</f>
        <v>45925.57884</v>
      </c>
      <c r="C2309" s="9">
        <f>IFERROR(__xludf.DUMMYFUNCTION("""COMPUTED_VALUE"""),9139.0)</f>
        <v>9139</v>
      </c>
      <c r="D2309" s="9" t="str">
        <f>IFERROR(__xludf.DUMMYFUNCTION("""COMPUTED_VALUE"""),"Rejected")</f>
        <v>Rejected</v>
      </c>
    </row>
    <row r="2310">
      <c r="A2310" s="9" t="str">
        <f>IFERROR(__xludf.DUMMYFUNCTION("""COMPUTED_VALUE"""),"G-REQ-02309")</f>
        <v>G-REQ-02309</v>
      </c>
      <c r="B2310" s="11">
        <f>IFERROR(__xludf.DUMMYFUNCTION("""COMPUTED_VALUE"""),45925.656959884654)</f>
        <v>45925.65696</v>
      </c>
      <c r="C2310" s="9">
        <f>IFERROR(__xludf.DUMMYFUNCTION("""COMPUTED_VALUE"""),9143.0)</f>
        <v>9143</v>
      </c>
      <c r="D2310" s="9" t="str">
        <f>IFERROR(__xludf.DUMMYFUNCTION("""COMPUTED_VALUE"""),"Completed")</f>
        <v>Completed</v>
      </c>
    </row>
    <row r="2311">
      <c r="A2311" s="9" t="str">
        <f>IFERROR(__xludf.DUMMYFUNCTION("""COMPUTED_VALUE"""),"G-REQ-02310")</f>
        <v>G-REQ-02310</v>
      </c>
      <c r="B2311" s="11">
        <f>IFERROR(__xludf.DUMMYFUNCTION("""COMPUTED_VALUE"""),45925.72119028563)</f>
        <v>45925.72119</v>
      </c>
      <c r="C2311" s="9">
        <f>IFERROR(__xludf.DUMMYFUNCTION("""COMPUTED_VALUE"""),9145.0)</f>
        <v>9145</v>
      </c>
      <c r="D2311" s="9" t="str">
        <f>IFERROR(__xludf.DUMMYFUNCTION("""COMPUTED_VALUE"""),"Rejected")</f>
        <v>Rejected</v>
      </c>
    </row>
    <row r="2312">
      <c r="A2312" s="9" t="str">
        <f>IFERROR(__xludf.DUMMYFUNCTION("""COMPUTED_VALUE"""),"G-REQ-02311")</f>
        <v>G-REQ-02311</v>
      </c>
      <c r="B2312" s="11">
        <f>IFERROR(__xludf.DUMMYFUNCTION("""COMPUTED_VALUE"""),45925.799309575494)</f>
        <v>45925.79931</v>
      </c>
      <c r="C2312" s="9">
        <f>IFERROR(__xludf.DUMMYFUNCTION("""COMPUTED_VALUE"""),9149.0)</f>
        <v>9149</v>
      </c>
      <c r="D2312" s="9" t="str">
        <f>IFERROR(__xludf.DUMMYFUNCTION("""COMPUTED_VALUE"""),"Completed")</f>
        <v>Completed</v>
      </c>
    </row>
    <row r="2313">
      <c r="A2313" s="9" t="str">
        <f>IFERROR(__xludf.DUMMYFUNCTION("""COMPUTED_VALUE"""),"G-REQ-02312")</f>
        <v>G-REQ-02312</v>
      </c>
      <c r="B2313" s="11">
        <f>IFERROR(__xludf.DUMMYFUNCTION("""COMPUTED_VALUE"""),45925.870484420906)</f>
        <v>45925.87048</v>
      </c>
      <c r="C2313" s="9">
        <f>IFERROR(__xludf.DUMMYFUNCTION("""COMPUTED_VALUE"""),9153.0)</f>
        <v>9153</v>
      </c>
      <c r="D2313" s="9" t="str">
        <f>IFERROR(__xludf.DUMMYFUNCTION("""COMPUTED_VALUE"""),"Completed")</f>
        <v>Completed</v>
      </c>
    </row>
    <row r="2314">
      <c r="A2314" s="9" t="str">
        <f>IFERROR(__xludf.DUMMYFUNCTION("""COMPUTED_VALUE"""),"G-REQ-02313")</f>
        <v>G-REQ-02313</v>
      </c>
      <c r="B2314" s="11">
        <f>IFERROR(__xludf.DUMMYFUNCTION("""COMPUTED_VALUE"""),45925.94165926632)</f>
        <v>45925.94166</v>
      </c>
      <c r="C2314" s="9">
        <f>IFERROR(__xludf.DUMMYFUNCTION("""COMPUTED_VALUE"""),9157.0)</f>
        <v>9157</v>
      </c>
      <c r="D2314" s="9" t="str">
        <f>IFERROR(__xludf.DUMMYFUNCTION("""COMPUTED_VALUE"""),"Completed")</f>
        <v>Completed</v>
      </c>
    </row>
    <row r="2315">
      <c r="A2315" s="9" t="str">
        <f>IFERROR(__xludf.DUMMYFUNCTION("""COMPUTED_VALUE"""),"G-REQ-02314")</f>
        <v>G-REQ-02314</v>
      </c>
      <c r="B2315" s="11">
        <f>IFERROR(__xludf.DUMMYFUNCTION("""COMPUTED_VALUE"""),45926.01283411174)</f>
        <v>45926.01283</v>
      </c>
      <c r="C2315" s="9">
        <f>IFERROR(__xludf.DUMMYFUNCTION("""COMPUTED_VALUE"""),9161.0)</f>
        <v>9161</v>
      </c>
      <c r="D2315" s="9" t="str">
        <f>IFERROR(__xludf.DUMMYFUNCTION("""COMPUTED_VALUE"""),"Completed")</f>
        <v>Completed</v>
      </c>
    </row>
    <row r="2316">
      <c r="A2316" s="9" t="str">
        <f>IFERROR(__xludf.DUMMYFUNCTION("""COMPUTED_VALUE"""),"G-REQ-02315")</f>
        <v>G-REQ-02315</v>
      </c>
      <c r="B2316" s="11">
        <f>IFERROR(__xludf.DUMMYFUNCTION("""COMPUTED_VALUE"""),45926.08400895715)</f>
        <v>45926.08401</v>
      </c>
      <c r="C2316" s="9">
        <f>IFERROR(__xludf.DUMMYFUNCTION("""COMPUTED_VALUE"""),9165.0)</f>
        <v>9165</v>
      </c>
      <c r="D2316" s="9" t="str">
        <f>IFERROR(__xludf.DUMMYFUNCTION("""COMPUTED_VALUE"""),"Completed")</f>
        <v>Completed</v>
      </c>
    </row>
    <row r="2317">
      <c r="A2317" s="9" t="str">
        <f>IFERROR(__xludf.DUMMYFUNCTION("""COMPUTED_VALUE"""),"G-REQ-02316")</f>
        <v>G-REQ-02316</v>
      </c>
      <c r="B2317" s="11">
        <f>IFERROR(__xludf.DUMMYFUNCTION("""COMPUTED_VALUE"""),45926.15518380256)</f>
        <v>45926.15518</v>
      </c>
      <c r="C2317" s="9">
        <f>IFERROR(__xludf.DUMMYFUNCTION("""COMPUTED_VALUE"""),9169.0)</f>
        <v>9169</v>
      </c>
      <c r="D2317" s="9" t="str">
        <f>IFERROR(__xludf.DUMMYFUNCTION("""COMPUTED_VALUE"""),"Completed")</f>
        <v>Completed</v>
      </c>
    </row>
    <row r="2318">
      <c r="A2318" s="9" t="str">
        <f>IFERROR(__xludf.DUMMYFUNCTION("""COMPUTED_VALUE"""),"G-REQ-02317")</f>
        <v>G-REQ-02317</v>
      </c>
      <c r="B2318" s="11">
        <f>IFERROR(__xludf.DUMMYFUNCTION("""COMPUTED_VALUE"""),45926.22635864798)</f>
        <v>45926.22636</v>
      </c>
      <c r="C2318" s="9">
        <f>IFERROR(__xludf.DUMMYFUNCTION("""COMPUTED_VALUE"""),9173.0)</f>
        <v>9173</v>
      </c>
      <c r="D2318" s="9" t="str">
        <f>IFERROR(__xludf.DUMMYFUNCTION("""COMPUTED_VALUE"""),"Completed")</f>
        <v>Completed</v>
      </c>
    </row>
    <row r="2319">
      <c r="A2319" s="9" t="str">
        <f>IFERROR(__xludf.DUMMYFUNCTION("""COMPUTED_VALUE"""),"G-REQ-02318")</f>
        <v>G-REQ-02318</v>
      </c>
      <c r="B2319" s="11">
        <f>IFERROR(__xludf.DUMMYFUNCTION("""COMPUTED_VALUE"""),45926.297533493394)</f>
        <v>45926.29753</v>
      </c>
      <c r="C2319" s="9">
        <f>IFERROR(__xludf.DUMMYFUNCTION("""COMPUTED_VALUE"""),9177.0)</f>
        <v>9177</v>
      </c>
      <c r="D2319" s="9" t="str">
        <f>IFERROR(__xludf.DUMMYFUNCTION("""COMPUTED_VALUE"""),"Completed")</f>
        <v>Completed</v>
      </c>
    </row>
    <row r="2320">
      <c r="A2320" s="9" t="str">
        <f>IFERROR(__xludf.DUMMYFUNCTION("""COMPUTED_VALUE"""),"G-REQ-02319")</f>
        <v>G-REQ-02319</v>
      </c>
      <c r="B2320" s="11">
        <f>IFERROR(__xludf.DUMMYFUNCTION("""COMPUTED_VALUE"""),45926.36870833881)</f>
        <v>45926.36871</v>
      </c>
      <c r="C2320" s="9">
        <f>IFERROR(__xludf.DUMMYFUNCTION("""COMPUTED_VALUE"""),9181.0)</f>
        <v>9181</v>
      </c>
      <c r="D2320" s="9" t="str">
        <f>IFERROR(__xludf.DUMMYFUNCTION("""COMPUTED_VALUE"""),"Completed")</f>
        <v>Completed</v>
      </c>
    </row>
    <row r="2321">
      <c r="A2321" s="9" t="str">
        <f>IFERROR(__xludf.DUMMYFUNCTION("""COMPUTED_VALUE"""),"G-REQ-02320")</f>
        <v>G-REQ-02320</v>
      </c>
      <c r="B2321" s="11">
        <f>IFERROR(__xludf.DUMMYFUNCTION("""COMPUTED_VALUE"""),45926.439883184226)</f>
        <v>45926.43988</v>
      </c>
      <c r="C2321" s="9">
        <f>IFERROR(__xludf.DUMMYFUNCTION("""COMPUTED_VALUE"""),9185.0)</f>
        <v>9185</v>
      </c>
      <c r="D2321" s="9" t="str">
        <f>IFERROR(__xludf.DUMMYFUNCTION("""COMPUTED_VALUE"""),"Completed")</f>
        <v>Completed</v>
      </c>
    </row>
    <row r="2322">
      <c r="A2322" s="9" t="str">
        <f>IFERROR(__xludf.DUMMYFUNCTION("""COMPUTED_VALUE"""),"G-REQ-02321")</f>
        <v>G-REQ-02321</v>
      </c>
      <c r="B2322" s="11">
        <f>IFERROR(__xludf.DUMMYFUNCTION("""COMPUTED_VALUE"""),45926.51105802964)</f>
        <v>45926.51106</v>
      </c>
      <c r="C2322" s="9">
        <f>IFERROR(__xludf.DUMMYFUNCTION("""COMPUTED_VALUE"""),9189.0)</f>
        <v>9189</v>
      </c>
      <c r="D2322" s="9" t="str">
        <f>IFERROR(__xludf.DUMMYFUNCTION("""COMPUTED_VALUE"""),"Completed")</f>
        <v>Completed</v>
      </c>
    </row>
    <row r="2323">
      <c r="A2323" s="9" t="str">
        <f>IFERROR(__xludf.DUMMYFUNCTION("""COMPUTED_VALUE"""),"G-REQ-02322")</f>
        <v>G-REQ-02322</v>
      </c>
      <c r="B2323" s="11">
        <f>IFERROR(__xludf.DUMMYFUNCTION("""COMPUTED_VALUE"""),45926.58223287505)</f>
        <v>45926.58223</v>
      </c>
      <c r="C2323" s="9">
        <f>IFERROR(__xludf.DUMMYFUNCTION("""COMPUTED_VALUE"""),9193.0)</f>
        <v>9193</v>
      </c>
      <c r="D2323" s="9" t="str">
        <f>IFERROR(__xludf.DUMMYFUNCTION("""COMPUTED_VALUE"""),"Completed")</f>
        <v>Completed</v>
      </c>
    </row>
    <row r="2324">
      <c r="A2324" s="9" t="str">
        <f>IFERROR(__xludf.DUMMYFUNCTION("""COMPUTED_VALUE"""),"G-REQ-02323")</f>
        <v>G-REQ-02323</v>
      </c>
      <c r="B2324" s="11">
        <f>IFERROR(__xludf.DUMMYFUNCTION("""COMPUTED_VALUE"""),45926.65340772047)</f>
        <v>45926.65341</v>
      </c>
      <c r="C2324" s="9">
        <f>IFERROR(__xludf.DUMMYFUNCTION("""COMPUTED_VALUE"""),9197.0)</f>
        <v>9197</v>
      </c>
      <c r="D2324" s="9" t="str">
        <f>IFERROR(__xludf.DUMMYFUNCTION("""COMPUTED_VALUE"""),"Completed")</f>
        <v>Completed</v>
      </c>
    </row>
    <row r="2325">
      <c r="A2325" s="9" t="str">
        <f>IFERROR(__xludf.DUMMYFUNCTION("""COMPUTED_VALUE"""),"G-REQ-02324")</f>
        <v>G-REQ-02324</v>
      </c>
      <c r="B2325" s="11">
        <f>IFERROR(__xludf.DUMMYFUNCTION("""COMPUTED_VALUE"""),45926.72458256589)</f>
        <v>45926.72458</v>
      </c>
      <c r="C2325" s="9">
        <f>IFERROR(__xludf.DUMMYFUNCTION("""COMPUTED_VALUE"""),9201.0)</f>
        <v>9201</v>
      </c>
      <c r="D2325" s="9" t="str">
        <f>IFERROR(__xludf.DUMMYFUNCTION("""COMPUTED_VALUE"""),"Completed")</f>
        <v>Completed</v>
      </c>
    </row>
    <row r="2326">
      <c r="A2326" s="9" t="str">
        <f>IFERROR(__xludf.DUMMYFUNCTION("""COMPUTED_VALUE"""),"G-REQ-02325")</f>
        <v>G-REQ-02325</v>
      </c>
      <c r="B2326" s="11">
        <f>IFERROR(__xludf.DUMMYFUNCTION("""COMPUTED_VALUE"""),45926.7957574113)</f>
        <v>45926.79576</v>
      </c>
      <c r="C2326" s="9">
        <f>IFERROR(__xludf.DUMMYFUNCTION("""COMPUTED_VALUE"""),9205.0)</f>
        <v>9205</v>
      </c>
      <c r="D2326" s="9" t="str">
        <f>IFERROR(__xludf.DUMMYFUNCTION("""COMPUTED_VALUE"""),"Completed")</f>
        <v>Completed</v>
      </c>
    </row>
    <row r="2327">
      <c r="A2327" s="9" t="str">
        <f>IFERROR(__xludf.DUMMYFUNCTION("""COMPUTED_VALUE"""),"G-REQ-02326")</f>
        <v>G-REQ-02326</v>
      </c>
      <c r="B2327" s="11">
        <f>IFERROR(__xludf.DUMMYFUNCTION("""COMPUTED_VALUE"""),45926.866932256715)</f>
        <v>45926.86693</v>
      </c>
      <c r="C2327" s="9">
        <f>IFERROR(__xludf.DUMMYFUNCTION("""COMPUTED_VALUE"""),9209.0)</f>
        <v>9209</v>
      </c>
      <c r="D2327" s="9" t="str">
        <f>IFERROR(__xludf.DUMMYFUNCTION("""COMPUTED_VALUE"""),"Completed")</f>
        <v>Completed</v>
      </c>
    </row>
    <row r="2328">
      <c r="A2328" s="9" t="str">
        <f>IFERROR(__xludf.DUMMYFUNCTION("""COMPUTED_VALUE"""),"G-REQ-02327")</f>
        <v>G-REQ-02327</v>
      </c>
      <c r="B2328" s="11">
        <f>IFERROR(__xludf.DUMMYFUNCTION("""COMPUTED_VALUE"""),45926.938107102134)</f>
        <v>45926.93811</v>
      </c>
      <c r="C2328" s="9">
        <f>IFERROR(__xludf.DUMMYFUNCTION("""COMPUTED_VALUE"""),9213.0)</f>
        <v>9213</v>
      </c>
      <c r="D2328" s="9" t="str">
        <f>IFERROR(__xludf.DUMMYFUNCTION("""COMPUTED_VALUE"""),"Completed")</f>
        <v>Completed</v>
      </c>
    </row>
    <row r="2329">
      <c r="A2329" s="9" t="str">
        <f>IFERROR(__xludf.DUMMYFUNCTION("""COMPUTED_VALUE"""),"G-REQ-02328")</f>
        <v>G-REQ-02328</v>
      </c>
      <c r="B2329" s="11">
        <f>IFERROR(__xludf.DUMMYFUNCTION("""COMPUTED_VALUE"""),45927.00928194755)</f>
        <v>45927.00928</v>
      </c>
      <c r="C2329" s="9">
        <f>IFERROR(__xludf.DUMMYFUNCTION("""COMPUTED_VALUE"""),9217.0)</f>
        <v>9217</v>
      </c>
      <c r="D2329" s="9" t="str">
        <f>IFERROR(__xludf.DUMMYFUNCTION("""COMPUTED_VALUE"""),"Completed")</f>
        <v>Completed</v>
      </c>
    </row>
    <row r="2330">
      <c r="A2330" s="9" t="str">
        <f>IFERROR(__xludf.DUMMYFUNCTION("""COMPUTED_VALUE"""),"G-REQ-02329")</f>
        <v>G-REQ-02329</v>
      </c>
      <c r="B2330" s="11">
        <f>IFERROR(__xludf.DUMMYFUNCTION("""COMPUTED_VALUE"""),45927.08045679296)</f>
        <v>45927.08046</v>
      </c>
      <c r="C2330" s="9">
        <f>IFERROR(__xludf.DUMMYFUNCTION("""COMPUTED_VALUE"""),9221.0)</f>
        <v>9221</v>
      </c>
      <c r="D2330" s="9" t="str">
        <f>IFERROR(__xludf.DUMMYFUNCTION("""COMPUTED_VALUE"""),"Completed")</f>
        <v>Completed</v>
      </c>
    </row>
    <row r="2331">
      <c r="A2331" s="9" t="str">
        <f>IFERROR(__xludf.DUMMYFUNCTION("""COMPUTED_VALUE"""),"G-REQ-02330")</f>
        <v>G-REQ-02330</v>
      </c>
      <c r="B2331" s="11">
        <f>IFERROR(__xludf.DUMMYFUNCTION("""COMPUTED_VALUE"""),45927.15163163838)</f>
        <v>45927.15163</v>
      </c>
      <c r="C2331" s="9">
        <f>IFERROR(__xludf.DUMMYFUNCTION("""COMPUTED_VALUE"""),9225.0)</f>
        <v>9225</v>
      </c>
      <c r="D2331" s="9" t="str">
        <f>IFERROR(__xludf.DUMMYFUNCTION("""COMPUTED_VALUE"""),"Completed")</f>
        <v>Completed</v>
      </c>
    </row>
    <row r="2332">
      <c r="A2332" s="9" t="str">
        <f>IFERROR(__xludf.DUMMYFUNCTION("""COMPUTED_VALUE"""),"G-REQ-02331")</f>
        <v>G-REQ-02331</v>
      </c>
      <c r="B2332" s="11">
        <f>IFERROR(__xludf.DUMMYFUNCTION("""COMPUTED_VALUE"""),45927.22280648379)</f>
        <v>45927.22281</v>
      </c>
      <c r="C2332" s="9">
        <f>IFERROR(__xludf.DUMMYFUNCTION("""COMPUTED_VALUE"""),9229.0)</f>
        <v>9229</v>
      </c>
      <c r="D2332" s="9" t="str">
        <f>IFERROR(__xludf.DUMMYFUNCTION("""COMPUTED_VALUE"""),"Completed")</f>
        <v>Completed</v>
      </c>
    </row>
    <row r="2333">
      <c r="A2333" s="9" t="str">
        <f>IFERROR(__xludf.DUMMYFUNCTION("""COMPUTED_VALUE"""),"G-REQ-02332")</f>
        <v>G-REQ-02332</v>
      </c>
      <c r="B2333" s="11">
        <f>IFERROR(__xludf.DUMMYFUNCTION("""COMPUTED_VALUE"""),45927.2939813292)</f>
        <v>45927.29398</v>
      </c>
      <c r="C2333" s="9">
        <f>IFERROR(__xludf.DUMMYFUNCTION("""COMPUTED_VALUE"""),9233.0)</f>
        <v>9233</v>
      </c>
      <c r="D2333" s="9" t="str">
        <f>IFERROR(__xludf.DUMMYFUNCTION("""COMPUTED_VALUE"""),"Completed")</f>
        <v>Completed</v>
      </c>
    </row>
    <row r="2334">
      <c r="A2334" s="9" t="str">
        <f>IFERROR(__xludf.DUMMYFUNCTION("""COMPUTED_VALUE"""),"G-REQ-02333")</f>
        <v>G-REQ-02333</v>
      </c>
      <c r="B2334" s="11">
        <f>IFERROR(__xludf.DUMMYFUNCTION("""COMPUTED_VALUE"""),45927.36515617462)</f>
        <v>45927.36516</v>
      </c>
      <c r="C2334" s="9">
        <f>IFERROR(__xludf.DUMMYFUNCTION("""COMPUTED_VALUE"""),9237.0)</f>
        <v>9237</v>
      </c>
      <c r="D2334" s="9" t="str">
        <f>IFERROR(__xludf.DUMMYFUNCTION("""COMPUTED_VALUE"""),"Completed")</f>
        <v>Completed</v>
      </c>
    </row>
    <row r="2335">
      <c r="A2335" s="9" t="str">
        <f>IFERROR(__xludf.DUMMYFUNCTION("""COMPUTED_VALUE"""),"G-REQ-02334")</f>
        <v>G-REQ-02334</v>
      </c>
      <c r="B2335" s="11">
        <f>IFERROR(__xludf.DUMMYFUNCTION("""COMPUTED_VALUE"""),45927.436331020035)</f>
        <v>45927.43633</v>
      </c>
      <c r="C2335" s="9">
        <f>IFERROR(__xludf.DUMMYFUNCTION("""COMPUTED_VALUE"""),9241.0)</f>
        <v>9241</v>
      </c>
      <c r="D2335" s="9" t="str">
        <f>IFERROR(__xludf.DUMMYFUNCTION("""COMPUTED_VALUE"""),"Completed")</f>
        <v>Completed</v>
      </c>
    </row>
    <row r="2336">
      <c r="A2336" s="9" t="str">
        <f>IFERROR(__xludf.DUMMYFUNCTION("""COMPUTED_VALUE"""),"G-REQ-02335")</f>
        <v>G-REQ-02335</v>
      </c>
      <c r="B2336" s="11">
        <f>IFERROR(__xludf.DUMMYFUNCTION("""COMPUTED_VALUE"""),45927.50750586545)</f>
        <v>45927.50751</v>
      </c>
      <c r="C2336" s="9">
        <f>IFERROR(__xludf.DUMMYFUNCTION("""COMPUTED_VALUE"""),9245.0)</f>
        <v>9245</v>
      </c>
      <c r="D2336" s="9" t="str">
        <f>IFERROR(__xludf.DUMMYFUNCTION("""COMPUTED_VALUE"""),"Completed")</f>
        <v>Completed</v>
      </c>
    </row>
    <row r="2337">
      <c r="A2337" s="9" t="str">
        <f>IFERROR(__xludf.DUMMYFUNCTION("""COMPUTED_VALUE"""),"G-REQ-02336")</f>
        <v>G-REQ-02336</v>
      </c>
      <c r="B2337" s="11">
        <f>IFERROR(__xludf.DUMMYFUNCTION("""COMPUTED_VALUE"""),45927.57173626642)</f>
        <v>45927.57174</v>
      </c>
      <c r="C2337" s="9">
        <f>IFERROR(__xludf.DUMMYFUNCTION("""COMPUTED_VALUE"""),9247.0)</f>
        <v>9247</v>
      </c>
      <c r="D2337" s="9" t="str">
        <f>IFERROR(__xludf.DUMMYFUNCTION("""COMPUTED_VALUE"""),"Cancelled")</f>
        <v>Cancelled</v>
      </c>
    </row>
    <row r="2338">
      <c r="A2338" s="9" t="str">
        <f>IFERROR(__xludf.DUMMYFUNCTION("""COMPUTED_VALUE"""),"G-REQ-02337")</f>
        <v>G-REQ-02337</v>
      </c>
      <c r="B2338" s="11">
        <f>IFERROR(__xludf.DUMMYFUNCTION("""COMPUTED_VALUE"""),45927.64985555629)</f>
        <v>45927.64986</v>
      </c>
      <c r="C2338" s="9">
        <f>IFERROR(__xludf.DUMMYFUNCTION("""COMPUTED_VALUE"""),9251.0)</f>
        <v>9251</v>
      </c>
      <c r="D2338" s="9" t="str">
        <f>IFERROR(__xludf.DUMMYFUNCTION("""COMPUTED_VALUE"""),"Completed")</f>
        <v>Completed</v>
      </c>
    </row>
    <row r="2339">
      <c r="A2339" s="9" t="str">
        <f>IFERROR(__xludf.DUMMYFUNCTION("""COMPUTED_VALUE"""),"G-REQ-02338")</f>
        <v>G-REQ-02338</v>
      </c>
      <c r="B2339" s="11">
        <f>IFERROR(__xludf.DUMMYFUNCTION("""COMPUTED_VALUE"""),45927.72103040169)</f>
        <v>45927.72103</v>
      </c>
      <c r="C2339" s="9">
        <f>IFERROR(__xludf.DUMMYFUNCTION("""COMPUTED_VALUE"""),9255.0)</f>
        <v>9255</v>
      </c>
      <c r="D2339" s="9" t="str">
        <f>IFERROR(__xludf.DUMMYFUNCTION("""COMPUTED_VALUE"""),"Completed")</f>
        <v>Completed</v>
      </c>
    </row>
    <row r="2340">
      <c r="A2340" s="9" t="str">
        <f>IFERROR(__xludf.DUMMYFUNCTION("""COMPUTED_VALUE"""),"G-REQ-02339")</f>
        <v>G-REQ-02339</v>
      </c>
      <c r="B2340" s="11">
        <f>IFERROR(__xludf.DUMMYFUNCTION("""COMPUTED_VALUE"""),45927.79220524711)</f>
        <v>45927.79221</v>
      </c>
      <c r="C2340" s="9">
        <f>IFERROR(__xludf.DUMMYFUNCTION("""COMPUTED_VALUE"""),9259.0)</f>
        <v>9259</v>
      </c>
      <c r="D2340" s="9" t="str">
        <f>IFERROR(__xludf.DUMMYFUNCTION("""COMPUTED_VALUE"""),"Completed")</f>
        <v>Completed</v>
      </c>
    </row>
    <row r="2341">
      <c r="A2341" s="9" t="str">
        <f>IFERROR(__xludf.DUMMYFUNCTION("""COMPUTED_VALUE"""),"G-REQ-02340")</f>
        <v>G-REQ-02340</v>
      </c>
      <c r="B2341" s="11">
        <f>IFERROR(__xludf.DUMMYFUNCTION("""COMPUTED_VALUE"""),45927.86338009253)</f>
        <v>45927.86338</v>
      </c>
      <c r="C2341" s="9">
        <f>IFERROR(__xludf.DUMMYFUNCTION("""COMPUTED_VALUE"""),9263.0)</f>
        <v>9263</v>
      </c>
      <c r="D2341" s="9" t="str">
        <f>IFERROR(__xludf.DUMMYFUNCTION("""COMPUTED_VALUE"""),"Completed")</f>
        <v>Completed</v>
      </c>
    </row>
    <row r="2342">
      <c r="A2342" s="9" t="str">
        <f>IFERROR(__xludf.DUMMYFUNCTION("""COMPUTED_VALUE"""),"G-REQ-02341")</f>
        <v>G-REQ-02341</v>
      </c>
      <c r="B2342" s="11">
        <f>IFERROR(__xludf.DUMMYFUNCTION("""COMPUTED_VALUE"""),45927.93455493794)</f>
        <v>45927.93455</v>
      </c>
      <c r="C2342" s="9">
        <f>IFERROR(__xludf.DUMMYFUNCTION("""COMPUTED_VALUE"""),9267.0)</f>
        <v>9267</v>
      </c>
      <c r="D2342" s="9" t="str">
        <f>IFERROR(__xludf.DUMMYFUNCTION("""COMPUTED_VALUE"""),"Completed")</f>
        <v>Completed</v>
      </c>
    </row>
    <row r="2343">
      <c r="A2343" s="9" t="str">
        <f>IFERROR(__xludf.DUMMYFUNCTION("""COMPUTED_VALUE"""),"G-REQ-02342")</f>
        <v>G-REQ-02342</v>
      </c>
      <c r="B2343" s="11">
        <f>IFERROR(__xludf.DUMMYFUNCTION("""COMPUTED_VALUE"""),45928.005729783355)</f>
        <v>45928.00573</v>
      </c>
      <c r="C2343" s="9">
        <f>IFERROR(__xludf.DUMMYFUNCTION("""COMPUTED_VALUE"""),9271.0)</f>
        <v>9271</v>
      </c>
      <c r="D2343" s="9" t="str">
        <f>IFERROR(__xludf.DUMMYFUNCTION("""COMPUTED_VALUE"""),"Completed")</f>
        <v>Completed</v>
      </c>
    </row>
    <row r="2344">
      <c r="A2344" s="9" t="str">
        <f>IFERROR(__xludf.DUMMYFUNCTION("""COMPUTED_VALUE"""),"G-REQ-02343")</f>
        <v>G-REQ-02343</v>
      </c>
      <c r="B2344" s="11">
        <f>IFERROR(__xludf.DUMMYFUNCTION("""COMPUTED_VALUE"""),45928.076904628775)</f>
        <v>45928.0769</v>
      </c>
      <c r="C2344" s="9">
        <f>IFERROR(__xludf.DUMMYFUNCTION("""COMPUTED_VALUE"""),9275.0)</f>
        <v>9275</v>
      </c>
      <c r="D2344" s="9" t="str">
        <f>IFERROR(__xludf.DUMMYFUNCTION("""COMPUTED_VALUE"""),"Completed")</f>
        <v>Completed</v>
      </c>
    </row>
    <row r="2345">
      <c r="A2345" s="9" t="str">
        <f>IFERROR(__xludf.DUMMYFUNCTION("""COMPUTED_VALUE"""),"G-REQ-02344")</f>
        <v>G-REQ-02344</v>
      </c>
      <c r="B2345" s="11">
        <f>IFERROR(__xludf.DUMMYFUNCTION("""COMPUTED_VALUE"""),45928.14807947419)</f>
        <v>45928.14808</v>
      </c>
      <c r="C2345" s="9">
        <f>IFERROR(__xludf.DUMMYFUNCTION("""COMPUTED_VALUE"""),9279.0)</f>
        <v>9279</v>
      </c>
      <c r="D2345" s="9" t="str">
        <f>IFERROR(__xludf.DUMMYFUNCTION("""COMPUTED_VALUE"""),"Completed")</f>
        <v>Completed</v>
      </c>
    </row>
    <row r="2346">
      <c r="A2346" s="9" t="str">
        <f>IFERROR(__xludf.DUMMYFUNCTION("""COMPUTED_VALUE"""),"G-REQ-02345")</f>
        <v>G-REQ-02345</v>
      </c>
      <c r="B2346" s="11">
        <f>IFERROR(__xludf.DUMMYFUNCTION("""COMPUTED_VALUE"""),45928.2192543196)</f>
        <v>45928.21925</v>
      </c>
      <c r="C2346" s="9">
        <f>IFERROR(__xludf.DUMMYFUNCTION("""COMPUTED_VALUE"""),9283.0)</f>
        <v>9283</v>
      </c>
      <c r="D2346" s="9" t="str">
        <f>IFERROR(__xludf.DUMMYFUNCTION("""COMPUTED_VALUE"""),"Completed")</f>
        <v>Completed</v>
      </c>
    </row>
    <row r="2347">
      <c r="A2347" s="9" t="str">
        <f>IFERROR(__xludf.DUMMYFUNCTION("""COMPUTED_VALUE"""),"G-REQ-02346")</f>
        <v>G-REQ-02346</v>
      </c>
      <c r="B2347" s="11">
        <f>IFERROR(__xludf.DUMMYFUNCTION("""COMPUTED_VALUE"""),45928.29042916502)</f>
        <v>45928.29043</v>
      </c>
      <c r="C2347" s="9">
        <f>IFERROR(__xludf.DUMMYFUNCTION("""COMPUTED_VALUE"""),9287.0)</f>
        <v>9287</v>
      </c>
      <c r="D2347" s="9" t="str">
        <f>IFERROR(__xludf.DUMMYFUNCTION("""COMPUTED_VALUE"""),"Completed")</f>
        <v>Completed</v>
      </c>
    </row>
    <row r="2348">
      <c r="A2348" s="9" t="str">
        <f>IFERROR(__xludf.DUMMYFUNCTION("""COMPUTED_VALUE"""),"G-REQ-02347")</f>
        <v>G-REQ-02347</v>
      </c>
      <c r="B2348" s="11">
        <f>IFERROR(__xludf.DUMMYFUNCTION("""COMPUTED_VALUE"""),45928.36160401043)</f>
        <v>45928.3616</v>
      </c>
      <c r="C2348" s="9">
        <f>IFERROR(__xludf.DUMMYFUNCTION("""COMPUTED_VALUE"""),9291.0)</f>
        <v>9291</v>
      </c>
      <c r="D2348" s="9" t="str">
        <f>IFERROR(__xludf.DUMMYFUNCTION("""COMPUTED_VALUE"""),"Completed")</f>
        <v>Completed</v>
      </c>
    </row>
    <row r="2349">
      <c r="A2349" s="9" t="str">
        <f>IFERROR(__xludf.DUMMYFUNCTION("""COMPUTED_VALUE"""),"G-REQ-02348")</f>
        <v>G-REQ-02348</v>
      </c>
      <c r="B2349" s="11">
        <f>IFERROR(__xludf.DUMMYFUNCTION("""COMPUTED_VALUE"""),45928.4258344114)</f>
        <v>45928.42583</v>
      </c>
      <c r="C2349" s="9">
        <f>IFERROR(__xludf.DUMMYFUNCTION("""COMPUTED_VALUE"""),9293.0)</f>
        <v>9293</v>
      </c>
      <c r="D2349" s="9" t="str">
        <f>IFERROR(__xludf.DUMMYFUNCTION("""COMPUTED_VALUE"""),"Rejected")</f>
        <v>Rejected</v>
      </c>
    </row>
    <row r="2350">
      <c r="A2350" s="9" t="str">
        <f>IFERROR(__xludf.DUMMYFUNCTION("""COMPUTED_VALUE"""),"G-REQ-02349")</f>
        <v>G-REQ-02349</v>
      </c>
      <c r="B2350" s="11">
        <f>IFERROR(__xludf.DUMMYFUNCTION("""COMPUTED_VALUE"""),45928.50395370126)</f>
        <v>45928.50395</v>
      </c>
      <c r="C2350" s="9">
        <f>IFERROR(__xludf.DUMMYFUNCTION("""COMPUTED_VALUE"""),9297.0)</f>
        <v>9297</v>
      </c>
      <c r="D2350" s="9" t="str">
        <f>IFERROR(__xludf.DUMMYFUNCTION("""COMPUTED_VALUE"""),"Completed")</f>
        <v>Completed</v>
      </c>
    </row>
    <row r="2351">
      <c r="A2351" s="9" t="str">
        <f>IFERROR(__xludf.DUMMYFUNCTION("""COMPUTED_VALUE"""),"G-REQ-02350")</f>
        <v>G-REQ-02350</v>
      </c>
      <c r="B2351" s="11">
        <f>IFERROR(__xludf.DUMMYFUNCTION("""COMPUTED_VALUE"""),45928.575128546676)</f>
        <v>45928.57513</v>
      </c>
      <c r="C2351" s="9">
        <f>IFERROR(__xludf.DUMMYFUNCTION("""COMPUTED_VALUE"""),9301.0)</f>
        <v>9301</v>
      </c>
      <c r="D2351" s="9" t="str">
        <f>IFERROR(__xludf.DUMMYFUNCTION("""COMPUTED_VALUE"""),"Completed")</f>
        <v>Completed</v>
      </c>
    </row>
    <row r="2352">
      <c r="A2352" s="9" t="str">
        <f>IFERROR(__xludf.DUMMYFUNCTION("""COMPUTED_VALUE"""),"G-REQ-02351")</f>
        <v>G-REQ-02351</v>
      </c>
      <c r="B2352" s="11">
        <f>IFERROR(__xludf.DUMMYFUNCTION("""COMPUTED_VALUE"""),45928.64630339209)</f>
        <v>45928.6463</v>
      </c>
      <c r="C2352" s="9">
        <f>IFERROR(__xludf.DUMMYFUNCTION("""COMPUTED_VALUE"""),9305.0)</f>
        <v>9305</v>
      </c>
      <c r="D2352" s="9" t="str">
        <f>IFERROR(__xludf.DUMMYFUNCTION("""COMPUTED_VALUE"""),"Completed")</f>
        <v>Completed</v>
      </c>
    </row>
    <row r="2353">
      <c r="A2353" s="9" t="str">
        <f>IFERROR(__xludf.DUMMYFUNCTION("""COMPUTED_VALUE"""),"G-REQ-02352")</f>
        <v>G-REQ-02352</v>
      </c>
      <c r="B2353" s="11">
        <f>IFERROR(__xludf.DUMMYFUNCTION("""COMPUTED_VALUE"""),45928.71747823751)</f>
        <v>45928.71748</v>
      </c>
      <c r="C2353" s="9">
        <f>IFERROR(__xludf.DUMMYFUNCTION("""COMPUTED_VALUE"""),9309.0)</f>
        <v>9309</v>
      </c>
      <c r="D2353" s="9" t="str">
        <f>IFERROR(__xludf.DUMMYFUNCTION("""COMPUTED_VALUE"""),"Completed")</f>
        <v>Completed</v>
      </c>
    </row>
    <row r="2354">
      <c r="A2354" s="9" t="str">
        <f>IFERROR(__xludf.DUMMYFUNCTION("""COMPUTED_VALUE"""),"G-REQ-02353")</f>
        <v>G-REQ-02353</v>
      </c>
      <c r="B2354" s="11">
        <f>IFERROR(__xludf.DUMMYFUNCTION("""COMPUTED_VALUE"""),45928.78865308293)</f>
        <v>45928.78865</v>
      </c>
      <c r="C2354" s="9">
        <f>IFERROR(__xludf.DUMMYFUNCTION("""COMPUTED_VALUE"""),9313.0)</f>
        <v>9313</v>
      </c>
      <c r="D2354" s="9" t="str">
        <f>IFERROR(__xludf.DUMMYFUNCTION("""COMPUTED_VALUE"""),"Completed")</f>
        <v>Completed</v>
      </c>
    </row>
    <row r="2355">
      <c r="A2355" s="9" t="str">
        <f>IFERROR(__xludf.DUMMYFUNCTION("""COMPUTED_VALUE"""),"G-REQ-02354")</f>
        <v>G-REQ-02354</v>
      </c>
      <c r="B2355" s="11">
        <f>IFERROR(__xludf.DUMMYFUNCTION("""COMPUTED_VALUE"""),45928.85982792833)</f>
        <v>45928.85983</v>
      </c>
      <c r="C2355" s="9">
        <f>IFERROR(__xludf.DUMMYFUNCTION("""COMPUTED_VALUE"""),9317.0)</f>
        <v>9317</v>
      </c>
      <c r="D2355" s="9" t="str">
        <f>IFERROR(__xludf.DUMMYFUNCTION("""COMPUTED_VALUE"""),"Completed")</f>
        <v>Completed</v>
      </c>
    </row>
    <row r="2356">
      <c r="A2356" s="9" t="str">
        <f>IFERROR(__xludf.DUMMYFUNCTION("""COMPUTED_VALUE"""),"G-REQ-02355")</f>
        <v>G-REQ-02355</v>
      </c>
      <c r="B2356" s="11">
        <f>IFERROR(__xludf.DUMMYFUNCTION("""COMPUTED_VALUE"""),45928.93100277375)</f>
        <v>45928.931</v>
      </c>
      <c r="C2356" s="9">
        <f>IFERROR(__xludf.DUMMYFUNCTION("""COMPUTED_VALUE"""),9321.0)</f>
        <v>9321</v>
      </c>
      <c r="D2356" s="9" t="str">
        <f>IFERROR(__xludf.DUMMYFUNCTION("""COMPUTED_VALUE"""),"Completed")</f>
        <v>Completed</v>
      </c>
    </row>
    <row r="2357">
      <c r="A2357" s="9" t="str">
        <f>IFERROR(__xludf.DUMMYFUNCTION("""COMPUTED_VALUE"""),"G-REQ-02356")</f>
        <v>G-REQ-02356</v>
      </c>
      <c r="B2357" s="11">
        <f>IFERROR(__xludf.DUMMYFUNCTION("""COMPUTED_VALUE"""),45929.00217761917)</f>
        <v>45929.00218</v>
      </c>
      <c r="C2357" s="9">
        <f>IFERROR(__xludf.DUMMYFUNCTION("""COMPUTED_VALUE"""),9325.0)</f>
        <v>9325</v>
      </c>
      <c r="D2357" s="9" t="str">
        <f>IFERROR(__xludf.DUMMYFUNCTION("""COMPUTED_VALUE"""),"Completed")</f>
        <v>Completed</v>
      </c>
    </row>
    <row r="2358">
      <c r="A2358" s="9" t="str">
        <f>IFERROR(__xludf.DUMMYFUNCTION("""COMPUTED_VALUE"""),"G-REQ-02357")</f>
        <v>G-REQ-02357</v>
      </c>
      <c r="B2358" s="11">
        <f>IFERROR(__xludf.DUMMYFUNCTION("""COMPUTED_VALUE"""),45929.073352464584)</f>
        <v>45929.07335</v>
      </c>
      <c r="C2358" s="9">
        <f>IFERROR(__xludf.DUMMYFUNCTION("""COMPUTED_VALUE"""),9329.0)</f>
        <v>9329</v>
      </c>
      <c r="D2358" s="9" t="str">
        <f>IFERROR(__xludf.DUMMYFUNCTION("""COMPUTED_VALUE"""),"Completed")</f>
        <v>Completed</v>
      </c>
    </row>
    <row r="2359">
      <c r="A2359" s="9" t="str">
        <f>IFERROR(__xludf.DUMMYFUNCTION("""COMPUTED_VALUE"""),"G-REQ-02358")</f>
        <v>G-REQ-02358</v>
      </c>
      <c r="B2359" s="11">
        <f>IFERROR(__xludf.DUMMYFUNCTION("""COMPUTED_VALUE"""),45929.144527309996)</f>
        <v>45929.14453</v>
      </c>
      <c r="C2359" s="9">
        <f>IFERROR(__xludf.DUMMYFUNCTION("""COMPUTED_VALUE"""),9333.0)</f>
        <v>9333</v>
      </c>
      <c r="D2359" s="9" t="str">
        <f>IFERROR(__xludf.DUMMYFUNCTION("""COMPUTED_VALUE"""),"Completed")</f>
        <v>Completed</v>
      </c>
    </row>
    <row r="2360">
      <c r="A2360" s="9" t="str">
        <f>IFERROR(__xludf.DUMMYFUNCTION("""COMPUTED_VALUE"""),"G-REQ-02359")</f>
        <v>G-REQ-02359</v>
      </c>
      <c r="B2360" s="11">
        <f>IFERROR(__xludf.DUMMYFUNCTION("""COMPUTED_VALUE"""),45929.215702155416)</f>
        <v>45929.2157</v>
      </c>
      <c r="C2360" s="9">
        <f>IFERROR(__xludf.DUMMYFUNCTION("""COMPUTED_VALUE"""),9337.0)</f>
        <v>9337</v>
      </c>
      <c r="D2360" s="9" t="str">
        <f>IFERROR(__xludf.DUMMYFUNCTION("""COMPUTED_VALUE"""),"Completed")</f>
        <v>Completed</v>
      </c>
    </row>
    <row r="2361">
      <c r="A2361" s="9" t="str">
        <f>IFERROR(__xludf.DUMMYFUNCTION("""COMPUTED_VALUE"""),"G-REQ-02360")</f>
        <v>G-REQ-02360</v>
      </c>
      <c r="B2361" s="11">
        <f>IFERROR(__xludf.DUMMYFUNCTION("""COMPUTED_VALUE"""),45929.28687700083)</f>
        <v>45929.28688</v>
      </c>
      <c r="C2361" s="9">
        <f>IFERROR(__xludf.DUMMYFUNCTION("""COMPUTED_VALUE"""),9341.0)</f>
        <v>9341</v>
      </c>
      <c r="D2361" s="9" t="str">
        <f>IFERROR(__xludf.DUMMYFUNCTION("""COMPUTED_VALUE"""),"Completed")</f>
        <v>Completed</v>
      </c>
    </row>
    <row r="2362">
      <c r="A2362" s="9" t="str">
        <f>IFERROR(__xludf.DUMMYFUNCTION("""COMPUTED_VALUE"""),"G-REQ-02361")</f>
        <v>G-REQ-02361</v>
      </c>
      <c r="B2362" s="11">
        <f>IFERROR(__xludf.DUMMYFUNCTION("""COMPUTED_VALUE"""),45929.35805184624)</f>
        <v>45929.35805</v>
      </c>
      <c r="C2362" s="9">
        <f>IFERROR(__xludf.DUMMYFUNCTION("""COMPUTED_VALUE"""),9345.0)</f>
        <v>9345</v>
      </c>
      <c r="D2362" s="9" t="str">
        <f>IFERROR(__xludf.DUMMYFUNCTION("""COMPUTED_VALUE"""),"Completed")</f>
        <v>Completed</v>
      </c>
    </row>
    <row r="2363">
      <c r="A2363" s="9" t="str">
        <f>IFERROR(__xludf.DUMMYFUNCTION("""COMPUTED_VALUE"""),"G-REQ-02362")</f>
        <v>G-REQ-02362</v>
      </c>
      <c r="B2363" s="11">
        <f>IFERROR(__xludf.DUMMYFUNCTION("""COMPUTED_VALUE"""),45929.42922669166)</f>
        <v>45929.42923</v>
      </c>
      <c r="C2363" s="9">
        <f>IFERROR(__xludf.DUMMYFUNCTION("""COMPUTED_VALUE"""),9349.0)</f>
        <v>9349</v>
      </c>
      <c r="D2363" s="9" t="str">
        <f>IFERROR(__xludf.DUMMYFUNCTION("""COMPUTED_VALUE"""),"Completed")</f>
        <v>Completed</v>
      </c>
    </row>
    <row r="2364">
      <c r="A2364" s="9" t="str">
        <f>IFERROR(__xludf.DUMMYFUNCTION("""COMPUTED_VALUE"""),"G-REQ-02363")</f>
        <v>G-REQ-02363</v>
      </c>
      <c r="B2364" s="11">
        <f>IFERROR(__xludf.DUMMYFUNCTION("""COMPUTED_VALUE"""),45929.50040153707)</f>
        <v>45929.5004</v>
      </c>
      <c r="C2364" s="9">
        <f>IFERROR(__xludf.DUMMYFUNCTION("""COMPUTED_VALUE"""),9353.0)</f>
        <v>9353</v>
      </c>
      <c r="D2364" s="9" t="str">
        <f>IFERROR(__xludf.DUMMYFUNCTION("""COMPUTED_VALUE"""),"Completed")</f>
        <v>Completed</v>
      </c>
    </row>
    <row r="2365">
      <c r="A2365" s="9" t="str">
        <f>IFERROR(__xludf.DUMMYFUNCTION("""COMPUTED_VALUE"""),"G-REQ-02364")</f>
        <v>G-REQ-02364</v>
      </c>
      <c r="B2365" s="11">
        <f>IFERROR(__xludf.DUMMYFUNCTION("""COMPUTED_VALUE"""),45929.571576382485)</f>
        <v>45929.57158</v>
      </c>
      <c r="C2365" s="9">
        <f>IFERROR(__xludf.DUMMYFUNCTION("""COMPUTED_VALUE"""),9357.0)</f>
        <v>9357</v>
      </c>
      <c r="D2365" s="9" t="str">
        <f>IFERROR(__xludf.DUMMYFUNCTION("""COMPUTED_VALUE"""),"Completed")</f>
        <v>Completed</v>
      </c>
    </row>
    <row r="2366">
      <c r="A2366" s="9" t="str">
        <f>IFERROR(__xludf.DUMMYFUNCTION("""COMPUTED_VALUE"""),"G-REQ-02365")</f>
        <v>G-REQ-02365</v>
      </c>
      <c r="B2366" s="11">
        <f>IFERROR(__xludf.DUMMYFUNCTION("""COMPUTED_VALUE"""),45929.642751227904)</f>
        <v>45929.64275</v>
      </c>
      <c r="C2366" s="9">
        <f>IFERROR(__xludf.DUMMYFUNCTION("""COMPUTED_VALUE"""),9361.0)</f>
        <v>9361</v>
      </c>
      <c r="D2366" s="9" t="str">
        <f>IFERROR(__xludf.DUMMYFUNCTION("""COMPUTED_VALUE"""),"Completed")</f>
        <v>Completed</v>
      </c>
    </row>
    <row r="2367">
      <c r="A2367" s="9" t="str">
        <f>IFERROR(__xludf.DUMMYFUNCTION("""COMPUTED_VALUE"""),"G-REQ-02366")</f>
        <v>G-REQ-02366</v>
      </c>
      <c r="B2367" s="11">
        <f>IFERROR(__xludf.DUMMYFUNCTION("""COMPUTED_VALUE"""),45929.71392607332)</f>
        <v>45929.71393</v>
      </c>
      <c r="C2367" s="9">
        <f>IFERROR(__xludf.DUMMYFUNCTION("""COMPUTED_VALUE"""),9365.0)</f>
        <v>9365</v>
      </c>
      <c r="D2367" s="9" t="str">
        <f>IFERROR(__xludf.DUMMYFUNCTION("""COMPUTED_VALUE"""),"Completed")</f>
        <v>Completed</v>
      </c>
    </row>
    <row r="2368">
      <c r="A2368" s="9" t="str">
        <f>IFERROR(__xludf.DUMMYFUNCTION("""COMPUTED_VALUE"""),"G-REQ-02367")</f>
        <v>G-REQ-02367</v>
      </c>
      <c r="B2368" s="11">
        <f>IFERROR(__xludf.DUMMYFUNCTION("""COMPUTED_VALUE"""),45929.78510091873)</f>
        <v>45929.7851</v>
      </c>
      <c r="C2368" s="9">
        <f>IFERROR(__xludf.DUMMYFUNCTION("""COMPUTED_VALUE"""),9369.0)</f>
        <v>9369</v>
      </c>
      <c r="D2368" s="9" t="str">
        <f>IFERROR(__xludf.DUMMYFUNCTION("""COMPUTED_VALUE"""),"Completed")</f>
        <v>Completed</v>
      </c>
    </row>
    <row r="2369">
      <c r="A2369" s="9" t="str">
        <f>IFERROR(__xludf.DUMMYFUNCTION("""COMPUTED_VALUE"""),"G-REQ-02368")</f>
        <v>G-REQ-02368</v>
      </c>
      <c r="B2369" s="11">
        <f>IFERROR(__xludf.DUMMYFUNCTION("""COMPUTED_VALUE"""),45929.85627576415)</f>
        <v>45929.85628</v>
      </c>
      <c r="C2369" s="9">
        <f>IFERROR(__xludf.DUMMYFUNCTION("""COMPUTED_VALUE"""),9373.0)</f>
        <v>9373</v>
      </c>
      <c r="D2369" s="9" t="str">
        <f>IFERROR(__xludf.DUMMYFUNCTION("""COMPUTED_VALUE"""),"Completed")</f>
        <v>Completed</v>
      </c>
    </row>
    <row r="2370">
      <c r="A2370" s="9" t="str">
        <f>IFERROR(__xludf.DUMMYFUNCTION("""COMPUTED_VALUE"""),"G-REQ-02369")</f>
        <v>G-REQ-02369</v>
      </c>
      <c r="B2370" s="11">
        <f>IFERROR(__xludf.DUMMYFUNCTION("""COMPUTED_VALUE"""),45929.92745060957)</f>
        <v>45929.92745</v>
      </c>
      <c r="C2370" s="9">
        <f>IFERROR(__xludf.DUMMYFUNCTION("""COMPUTED_VALUE"""),9377.0)</f>
        <v>9377</v>
      </c>
      <c r="D2370" s="9" t="str">
        <f>IFERROR(__xludf.DUMMYFUNCTION("""COMPUTED_VALUE"""),"Completed")</f>
        <v>Completed</v>
      </c>
    </row>
    <row r="2371">
      <c r="A2371" s="9" t="str">
        <f>IFERROR(__xludf.DUMMYFUNCTION("""COMPUTED_VALUE"""),"G-REQ-02370")</f>
        <v>G-REQ-02370</v>
      </c>
      <c r="B2371" s="11">
        <f>IFERROR(__xludf.DUMMYFUNCTION("""COMPUTED_VALUE"""),45929.99168101053)</f>
        <v>45929.99168</v>
      </c>
      <c r="C2371" s="9">
        <f>IFERROR(__xludf.DUMMYFUNCTION("""COMPUTED_VALUE"""),9379.0)</f>
        <v>9379</v>
      </c>
      <c r="D2371" s="9" t="str">
        <f>IFERROR(__xludf.DUMMYFUNCTION("""COMPUTED_VALUE"""),"Cancelled")</f>
        <v>Cancelled</v>
      </c>
    </row>
    <row r="2372">
      <c r="A2372" s="9" t="str">
        <f>IFERROR(__xludf.DUMMYFUNCTION("""COMPUTED_VALUE"""),"G-REQ-02371")</f>
        <v>G-REQ-02371</v>
      </c>
      <c r="B2372" s="11">
        <f>IFERROR(__xludf.DUMMYFUNCTION("""COMPUTED_VALUE"""),45930.06285585595)</f>
        <v>45930.06286</v>
      </c>
      <c r="C2372" s="9">
        <f>IFERROR(__xludf.DUMMYFUNCTION("""COMPUTED_VALUE"""),9381.0)</f>
        <v>9381</v>
      </c>
      <c r="D2372" s="9" t="str">
        <f>IFERROR(__xludf.DUMMYFUNCTION("""COMPUTED_VALUE"""),"Rejected")</f>
        <v>Rejected</v>
      </c>
    </row>
    <row r="2373">
      <c r="A2373" s="9" t="str">
        <f>IFERROR(__xludf.DUMMYFUNCTION("""COMPUTED_VALUE"""),"G-REQ-02372")</f>
        <v>G-REQ-02372</v>
      </c>
      <c r="B2373" s="11">
        <f>IFERROR(__xludf.DUMMYFUNCTION("""COMPUTED_VALUE"""),45930.14097514581)</f>
        <v>45930.14098</v>
      </c>
      <c r="C2373" s="9">
        <f>IFERROR(__xludf.DUMMYFUNCTION("""COMPUTED_VALUE"""),9385.0)</f>
        <v>9385</v>
      </c>
      <c r="D2373" s="9" t="str">
        <f>IFERROR(__xludf.DUMMYFUNCTION("""COMPUTED_VALUE"""),"Completed")</f>
        <v>Completed</v>
      </c>
    </row>
    <row r="2374">
      <c r="A2374" s="9" t="str">
        <f>IFERROR(__xludf.DUMMYFUNCTION("""COMPUTED_VALUE"""),"G-REQ-02373")</f>
        <v>G-REQ-02373</v>
      </c>
      <c r="B2374" s="11">
        <f>IFERROR(__xludf.DUMMYFUNCTION("""COMPUTED_VALUE"""),45930.212149991225)</f>
        <v>45930.21215</v>
      </c>
      <c r="C2374" s="9">
        <f>IFERROR(__xludf.DUMMYFUNCTION("""COMPUTED_VALUE"""),9389.0)</f>
        <v>9389</v>
      </c>
      <c r="D2374" s="9" t="str">
        <f>IFERROR(__xludf.DUMMYFUNCTION("""COMPUTED_VALUE"""),"Completed")</f>
        <v>Completed</v>
      </c>
    </row>
    <row r="2375">
      <c r="A2375" s="9" t="str">
        <f>IFERROR(__xludf.DUMMYFUNCTION("""COMPUTED_VALUE"""),"G-REQ-02374")</f>
        <v>G-REQ-02374</v>
      </c>
      <c r="B2375" s="11">
        <f>IFERROR(__xludf.DUMMYFUNCTION("""COMPUTED_VALUE"""),45930.27638039219)</f>
        <v>45930.27638</v>
      </c>
      <c r="C2375" s="9">
        <f>IFERROR(__xludf.DUMMYFUNCTION("""COMPUTED_VALUE"""),9391.0)</f>
        <v>9391</v>
      </c>
      <c r="D2375" s="9" t="str">
        <f>IFERROR(__xludf.DUMMYFUNCTION("""COMPUTED_VALUE"""),"Cancelled")</f>
        <v>Cancelled</v>
      </c>
    </row>
    <row r="2376">
      <c r="A2376" s="9" t="str">
        <f>IFERROR(__xludf.DUMMYFUNCTION("""COMPUTED_VALUE"""),"G-REQ-02375")</f>
        <v>G-REQ-02375</v>
      </c>
      <c r="B2376" s="11">
        <f>IFERROR(__xludf.DUMMYFUNCTION("""COMPUTED_VALUE"""),45930.35449968206)</f>
        <v>45930.3545</v>
      </c>
      <c r="C2376" s="9">
        <f>IFERROR(__xludf.DUMMYFUNCTION("""COMPUTED_VALUE"""),9395.0)</f>
        <v>9395</v>
      </c>
      <c r="D2376" s="9" t="str">
        <f>IFERROR(__xludf.DUMMYFUNCTION("""COMPUTED_VALUE"""),"Completed")</f>
        <v>Completed</v>
      </c>
    </row>
    <row r="2377">
      <c r="A2377" s="9" t="str">
        <f>IFERROR(__xludf.DUMMYFUNCTION("""COMPUTED_VALUE"""),"G-REQ-02376")</f>
        <v>G-REQ-02376</v>
      </c>
      <c r="B2377" s="11">
        <f>IFERROR(__xludf.DUMMYFUNCTION("""COMPUTED_VALUE"""),45930.42567452747)</f>
        <v>45930.42567</v>
      </c>
      <c r="C2377" s="9">
        <f>IFERROR(__xludf.DUMMYFUNCTION("""COMPUTED_VALUE"""),9399.0)</f>
        <v>9399</v>
      </c>
      <c r="D2377" s="9" t="str">
        <f>IFERROR(__xludf.DUMMYFUNCTION("""COMPUTED_VALUE"""),"Completed")</f>
        <v>Completed</v>
      </c>
    </row>
    <row r="2378">
      <c r="A2378" s="9" t="str">
        <f>IFERROR(__xludf.DUMMYFUNCTION("""COMPUTED_VALUE"""),"G-REQ-02377")</f>
        <v>G-REQ-02377</v>
      </c>
      <c r="B2378" s="11">
        <f>IFERROR(__xludf.DUMMYFUNCTION("""COMPUTED_VALUE"""),45930.49684937288)</f>
        <v>45930.49685</v>
      </c>
      <c r="C2378" s="9">
        <f>IFERROR(__xludf.DUMMYFUNCTION("""COMPUTED_VALUE"""),9403.0)</f>
        <v>9403</v>
      </c>
      <c r="D2378" s="9" t="str">
        <f>IFERROR(__xludf.DUMMYFUNCTION("""COMPUTED_VALUE"""),"Completed")</f>
        <v>Completed</v>
      </c>
    </row>
    <row r="2379">
      <c r="A2379" s="9" t="str">
        <f>IFERROR(__xludf.DUMMYFUNCTION("""COMPUTED_VALUE"""),"G-REQ-02378")</f>
        <v>G-REQ-02378</v>
      </c>
      <c r="B2379" s="11">
        <f>IFERROR(__xludf.DUMMYFUNCTION("""COMPUTED_VALUE"""),45930.5680242183)</f>
        <v>45930.56802</v>
      </c>
      <c r="C2379" s="9">
        <f>IFERROR(__xludf.DUMMYFUNCTION("""COMPUTED_VALUE"""),9407.0)</f>
        <v>9407</v>
      </c>
      <c r="D2379" s="9" t="str">
        <f>IFERROR(__xludf.DUMMYFUNCTION("""COMPUTED_VALUE"""),"Completed")</f>
        <v>Completed</v>
      </c>
    </row>
    <row r="2380">
      <c r="A2380" s="9" t="str">
        <f>IFERROR(__xludf.DUMMYFUNCTION("""COMPUTED_VALUE"""),"G-REQ-02379")</f>
        <v>G-REQ-02379</v>
      </c>
      <c r="B2380" s="11">
        <f>IFERROR(__xludf.DUMMYFUNCTION("""COMPUTED_VALUE"""),45930.63919906372)</f>
        <v>45930.6392</v>
      </c>
      <c r="C2380" s="9">
        <f>IFERROR(__xludf.DUMMYFUNCTION("""COMPUTED_VALUE"""),9411.0)</f>
        <v>9411</v>
      </c>
      <c r="D2380" s="9" t="str">
        <f>IFERROR(__xludf.DUMMYFUNCTION("""COMPUTED_VALUE"""),"Completed")</f>
        <v>Completed</v>
      </c>
    </row>
    <row r="2381">
      <c r="A2381" s="9" t="str">
        <f>IFERROR(__xludf.DUMMYFUNCTION("""COMPUTED_VALUE"""),"G-REQ-02380")</f>
        <v>G-REQ-02380</v>
      </c>
      <c r="B2381" s="11">
        <f>IFERROR(__xludf.DUMMYFUNCTION("""COMPUTED_VALUE"""),45930.710373909125)</f>
        <v>45930.71037</v>
      </c>
      <c r="C2381" s="9">
        <f>IFERROR(__xludf.DUMMYFUNCTION("""COMPUTED_VALUE"""),9415.0)</f>
        <v>9415</v>
      </c>
      <c r="D2381" s="9" t="str">
        <f>IFERROR(__xludf.DUMMYFUNCTION("""COMPUTED_VALUE"""),"Completed")</f>
        <v>Completed</v>
      </c>
    </row>
    <row r="2382">
      <c r="A2382" s="9" t="str">
        <f>IFERROR(__xludf.DUMMYFUNCTION("""COMPUTED_VALUE"""),"G-REQ-02381")</f>
        <v>G-REQ-02381</v>
      </c>
      <c r="B2382" s="11">
        <f>IFERROR(__xludf.DUMMYFUNCTION("""COMPUTED_VALUE"""),45930.781548754545)</f>
        <v>45930.78155</v>
      </c>
      <c r="C2382" s="9">
        <f>IFERROR(__xludf.DUMMYFUNCTION("""COMPUTED_VALUE"""),9419.0)</f>
        <v>9419</v>
      </c>
      <c r="D2382" s="9" t="str">
        <f>IFERROR(__xludf.DUMMYFUNCTION("""COMPUTED_VALUE"""),"Completed")</f>
        <v>Completed</v>
      </c>
    </row>
    <row r="2383">
      <c r="A2383" s="9" t="str">
        <f>IFERROR(__xludf.DUMMYFUNCTION("""COMPUTED_VALUE"""),"G-REQ-02382")</f>
        <v>G-REQ-02382</v>
      </c>
      <c r="B2383" s="11">
        <f>IFERROR(__xludf.DUMMYFUNCTION("""COMPUTED_VALUE"""),45930.85272359996)</f>
        <v>45930.85272</v>
      </c>
      <c r="C2383" s="9">
        <f>IFERROR(__xludf.DUMMYFUNCTION("""COMPUTED_VALUE"""),9423.0)</f>
        <v>9423</v>
      </c>
      <c r="D2383" s="9" t="str">
        <f>IFERROR(__xludf.DUMMYFUNCTION("""COMPUTED_VALUE"""),"Completed")</f>
        <v>Completed</v>
      </c>
    </row>
    <row r="2384">
      <c r="A2384" s="9" t="str">
        <f>IFERROR(__xludf.DUMMYFUNCTION("""COMPUTED_VALUE"""),"G-REQ-02383")</f>
        <v>G-REQ-02383</v>
      </c>
      <c r="B2384" s="11">
        <f>IFERROR(__xludf.DUMMYFUNCTION("""COMPUTED_VALUE"""),45930.92389844538)</f>
        <v>45930.9239</v>
      </c>
      <c r="C2384" s="9">
        <f>IFERROR(__xludf.DUMMYFUNCTION("""COMPUTED_VALUE"""),9427.0)</f>
        <v>9427</v>
      </c>
      <c r="D2384" s="9" t="str">
        <f>IFERROR(__xludf.DUMMYFUNCTION("""COMPUTED_VALUE"""),"Completed")</f>
        <v>Completed</v>
      </c>
    </row>
    <row r="2385">
      <c r="A2385" s="9" t="str">
        <f>IFERROR(__xludf.DUMMYFUNCTION("""COMPUTED_VALUE"""),"G-REQ-02384")</f>
        <v>G-REQ-02384</v>
      </c>
      <c r="B2385" s="11">
        <f>IFERROR(__xludf.DUMMYFUNCTION("""COMPUTED_VALUE"""),45930.99507329079)</f>
        <v>45930.99507</v>
      </c>
      <c r="C2385" s="9">
        <f>IFERROR(__xludf.DUMMYFUNCTION("""COMPUTED_VALUE"""),9431.0)</f>
        <v>9431</v>
      </c>
      <c r="D2385" s="9" t="str">
        <f>IFERROR(__xludf.DUMMYFUNCTION("""COMPUTED_VALUE"""),"Completed")</f>
        <v>Completed</v>
      </c>
    </row>
    <row r="2386">
      <c r="A2386" s="9" t="str">
        <f>IFERROR(__xludf.DUMMYFUNCTION("""COMPUTED_VALUE"""),"G-REQ-02385")</f>
        <v>G-REQ-02385</v>
      </c>
      <c r="B2386" s="11">
        <f>IFERROR(__xludf.DUMMYFUNCTION("""COMPUTED_VALUE"""),45931.05930369176)</f>
        <v>45931.0593</v>
      </c>
      <c r="C2386" s="9">
        <f>IFERROR(__xludf.DUMMYFUNCTION("""COMPUTED_VALUE"""),9433.0)</f>
        <v>9433</v>
      </c>
      <c r="D2386" s="9" t="str">
        <f>IFERROR(__xludf.DUMMYFUNCTION("""COMPUTED_VALUE"""),"Rejected")</f>
        <v>Rejected</v>
      </c>
    </row>
    <row r="2387">
      <c r="A2387" s="9" t="str">
        <f>IFERROR(__xludf.DUMMYFUNCTION("""COMPUTED_VALUE"""),"G-REQ-02386")</f>
        <v>G-REQ-02386</v>
      </c>
      <c r="B2387" s="11">
        <f>IFERROR(__xludf.DUMMYFUNCTION("""COMPUTED_VALUE"""),45931.137422981614)</f>
        <v>45931.13742</v>
      </c>
      <c r="C2387" s="9">
        <f>IFERROR(__xludf.DUMMYFUNCTION("""COMPUTED_VALUE"""),9437.0)</f>
        <v>9437</v>
      </c>
      <c r="D2387" s="9" t="str">
        <f>IFERROR(__xludf.DUMMYFUNCTION("""COMPUTED_VALUE"""),"Completed")</f>
        <v>Completed</v>
      </c>
    </row>
    <row r="2388">
      <c r="A2388" s="9" t="str">
        <f>IFERROR(__xludf.DUMMYFUNCTION("""COMPUTED_VALUE"""),"G-REQ-02387")</f>
        <v>G-REQ-02387</v>
      </c>
      <c r="B2388" s="11">
        <f>IFERROR(__xludf.DUMMYFUNCTION("""COMPUTED_VALUE"""),45931.20859782703)</f>
        <v>45931.2086</v>
      </c>
      <c r="C2388" s="9">
        <f>IFERROR(__xludf.DUMMYFUNCTION("""COMPUTED_VALUE"""),9441.0)</f>
        <v>9441</v>
      </c>
      <c r="D2388" s="9" t="str">
        <f>IFERROR(__xludf.DUMMYFUNCTION("""COMPUTED_VALUE"""),"Completed")</f>
        <v>Completed</v>
      </c>
    </row>
    <row r="2389">
      <c r="A2389" s="9" t="str">
        <f>IFERROR(__xludf.DUMMYFUNCTION("""COMPUTED_VALUE"""),"G-REQ-02388")</f>
        <v>G-REQ-02388</v>
      </c>
      <c r="B2389" s="11">
        <f>IFERROR(__xludf.DUMMYFUNCTION("""COMPUTED_VALUE"""),45931.27282822801)</f>
        <v>45931.27283</v>
      </c>
      <c r="C2389" s="9">
        <f>IFERROR(__xludf.DUMMYFUNCTION("""COMPUTED_VALUE"""),9443.0)</f>
        <v>9443</v>
      </c>
      <c r="D2389" s="9" t="str">
        <f>IFERROR(__xludf.DUMMYFUNCTION("""COMPUTED_VALUE"""),"Rejected")</f>
        <v>Rejected</v>
      </c>
    </row>
    <row r="2390">
      <c r="A2390" s="9" t="str">
        <f>IFERROR(__xludf.DUMMYFUNCTION("""COMPUTED_VALUE"""),"G-REQ-02389")</f>
        <v>G-REQ-02389</v>
      </c>
      <c r="B2390" s="11">
        <f>IFERROR(__xludf.DUMMYFUNCTION("""COMPUTED_VALUE"""),45931.350947517865)</f>
        <v>45931.35095</v>
      </c>
      <c r="C2390" s="9">
        <f>IFERROR(__xludf.DUMMYFUNCTION("""COMPUTED_VALUE"""),9447.0)</f>
        <v>9447</v>
      </c>
      <c r="D2390" s="9" t="str">
        <f>IFERROR(__xludf.DUMMYFUNCTION("""COMPUTED_VALUE"""),"Completed")</f>
        <v>Completed</v>
      </c>
    </row>
    <row r="2391">
      <c r="A2391" s="9" t="str">
        <f>IFERROR(__xludf.DUMMYFUNCTION("""COMPUTED_VALUE"""),"G-REQ-02390")</f>
        <v>G-REQ-02390</v>
      </c>
      <c r="B2391" s="11">
        <f>IFERROR(__xludf.DUMMYFUNCTION("""COMPUTED_VALUE"""),45931.42212236328)</f>
        <v>45931.42212</v>
      </c>
      <c r="C2391" s="9">
        <f>IFERROR(__xludf.DUMMYFUNCTION("""COMPUTED_VALUE"""),9451.0)</f>
        <v>9451</v>
      </c>
      <c r="D2391" s="9" t="str">
        <f>IFERROR(__xludf.DUMMYFUNCTION("""COMPUTED_VALUE"""),"Completed")</f>
        <v>Completed</v>
      </c>
    </row>
    <row r="2392">
      <c r="A2392" s="9" t="str">
        <f>IFERROR(__xludf.DUMMYFUNCTION("""COMPUTED_VALUE"""),"G-REQ-02391")</f>
        <v>G-REQ-02391</v>
      </c>
      <c r="B2392" s="11">
        <f>IFERROR(__xludf.DUMMYFUNCTION("""COMPUTED_VALUE"""),45931.4932972087)</f>
        <v>45931.4933</v>
      </c>
      <c r="C2392" s="9">
        <f>IFERROR(__xludf.DUMMYFUNCTION("""COMPUTED_VALUE"""),9455.0)</f>
        <v>9455</v>
      </c>
      <c r="D2392" s="9" t="str">
        <f>IFERROR(__xludf.DUMMYFUNCTION("""COMPUTED_VALUE"""),"Completed")</f>
        <v>Completed</v>
      </c>
    </row>
    <row r="2393">
      <c r="A2393" s="9" t="str">
        <f>IFERROR(__xludf.DUMMYFUNCTION("""COMPUTED_VALUE"""),"G-REQ-02392")</f>
        <v>G-REQ-02392</v>
      </c>
      <c r="B2393" s="11">
        <f>IFERROR(__xludf.DUMMYFUNCTION("""COMPUTED_VALUE"""),45931.56447205411)</f>
        <v>45931.56447</v>
      </c>
      <c r="C2393" s="9">
        <f>IFERROR(__xludf.DUMMYFUNCTION("""COMPUTED_VALUE"""),9459.0)</f>
        <v>9459</v>
      </c>
      <c r="D2393" s="9" t="str">
        <f>IFERROR(__xludf.DUMMYFUNCTION("""COMPUTED_VALUE"""),"Completed")</f>
        <v>Completed</v>
      </c>
    </row>
    <row r="2394">
      <c r="A2394" s="9" t="str">
        <f>IFERROR(__xludf.DUMMYFUNCTION("""COMPUTED_VALUE"""),"G-REQ-02393")</f>
        <v>G-REQ-02393</v>
      </c>
      <c r="B2394" s="11">
        <f>IFERROR(__xludf.DUMMYFUNCTION("""COMPUTED_VALUE"""),45931.63564689952)</f>
        <v>45931.63565</v>
      </c>
      <c r="C2394" s="9">
        <f>IFERROR(__xludf.DUMMYFUNCTION("""COMPUTED_VALUE"""),9463.0)</f>
        <v>9463</v>
      </c>
      <c r="D2394" s="9" t="str">
        <f>IFERROR(__xludf.DUMMYFUNCTION("""COMPUTED_VALUE"""),"Completed")</f>
        <v>Completed</v>
      </c>
    </row>
    <row r="2395">
      <c r="A2395" s="9" t="str">
        <f>IFERROR(__xludf.DUMMYFUNCTION("""COMPUTED_VALUE"""),"G-REQ-02394")</f>
        <v>G-REQ-02394</v>
      </c>
      <c r="B2395" s="11">
        <f>IFERROR(__xludf.DUMMYFUNCTION("""COMPUTED_VALUE"""),45931.70682174494)</f>
        <v>45931.70682</v>
      </c>
      <c r="C2395" s="9">
        <f>IFERROR(__xludf.DUMMYFUNCTION("""COMPUTED_VALUE"""),9467.0)</f>
        <v>9467</v>
      </c>
      <c r="D2395" s="9" t="str">
        <f>IFERROR(__xludf.DUMMYFUNCTION("""COMPUTED_VALUE"""),"Completed")</f>
        <v>Completed</v>
      </c>
    </row>
    <row r="2396">
      <c r="A2396" s="9" t="str">
        <f>IFERROR(__xludf.DUMMYFUNCTION("""COMPUTED_VALUE"""),"G-REQ-02395")</f>
        <v>G-REQ-02395</v>
      </c>
      <c r="B2396" s="11">
        <f>IFERROR(__xludf.DUMMYFUNCTION("""COMPUTED_VALUE"""),45931.77799659036)</f>
        <v>45931.778</v>
      </c>
      <c r="C2396" s="9">
        <f>IFERROR(__xludf.DUMMYFUNCTION("""COMPUTED_VALUE"""),9471.0)</f>
        <v>9471</v>
      </c>
      <c r="D2396" s="9" t="str">
        <f>IFERROR(__xludf.DUMMYFUNCTION("""COMPUTED_VALUE"""),"Completed")</f>
        <v>Completed</v>
      </c>
    </row>
    <row r="2397">
      <c r="A2397" s="9" t="str">
        <f>IFERROR(__xludf.DUMMYFUNCTION("""COMPUTED_VALUE"""),"G-REQ-02396")</f>
        <v>G-REQ-02396</v>
      </c>
      <c r="B2397" s="11">
        <f>IFERROR(__xludf.DUMMYFUNCTION("""COMPUTED_VALUE"""),45931.84222699132)</f>
        <v>45931.84223</v>
      </c>
      <c r="C2397" s="9">
        <f>IFERROR(__xludf.DUMMYFUNCTION("""COMPUTED_VALUE"""),9473.0)</f>
        <v>9473</v>
      </c>
      <c r="D2397" s="9" t="str">
        <f>IFERROR(__xludf.DUMMYFUNCTION("""COMPUTED_VALUE"""),"Cancelled")</f>
        <v>Cancelled</v>
      </c>
    </row>
    <row r="2398">
      <c r="A2398" s="9" t="str">
        <f>IFERROR(__xludf.DUMMYFUNCTION("""COMPUTED_VALUE"""),"G-REQ-02397")</f>
        <v>G-REQ-02397</v>
      </c>
      <c r="B2398" s="11">
        <f>IFERROR(__xludf.DUMMYFUNCTION("""COMPUTED_VALUE"""),45931.920346281186)</f>
        <v>45931.92035</v>
      </c>
      <c r="C2398" s="9">
        <f>IFERROR(__xludf.DUMMYFUNCTION("""COMPUTED_VALUE"""),9477.0)</f>
        <v>9477</v>
      </c>
      <c r="D2398" s="9" t="str">
        <f>IFERROR(__xludf.DUMMYFUNCTION("""COMPUTED_VALUE"""),"Completed")</f>
        <v>Completed</v>
      </c>
    </row>
    <row r="2399">
      <c r="A2399" s="9" t="str">
        <f>IFERROR(__xludf.DUMMYFUNCTION("""COMPUTED_VALUE"""),"G-REQ-02398")</f>
        <v>G-REQ-02398</v>
      </c>
      <c r="B2399" s="11">
        <f>IFERROR(__xludf.DUMMYFUNCTION("""COMPUTED_VALUE"""),45931.991521126605)</f>
        <v>45931.99152</v>
      </c>
      <c r="C2399" s="9">
        <f>IFERROR(__xludf.DUMMYFUNCTION("""COMPUTED_VALUE"""),9481.0)</f>
        <v>9481</v>
      </c>
      <c r="D2399" s="9" t="str">
        <f>IFERROR(__xludf.DUMMYFUNCTION("""COMPUTED_VALUE"""),"Completed")</f>
        <v>Completed</v>
      </c>
    </row>
    <row r="2400">
      <c r="A2400" s="9" t="str">
        <f>IFERROR(__xludf.DUMMYFUNCTION("""COMPUTED_VALUE"""),"G-REQ-02399")</f>
        <v>G-REQ-02399</v>
      </c>
      <c r="B2400" s="11">
        <f>IFERROR(__xludf.DUMMYFUNCTION("""COMPUTED_VALUE"""),45932.06269597202)</f>
        <v>45932.0627</v>
      </c>
      <c r="C2400" s="9">
        <f>IFERROR(__xludf.DUMMYFUNCTION("""COMPUTED_VALUE"""),9485.0)</f>
        <v>9485</v>
      </c>
      <c r="D2400" s="9" t="str">
        <f>IFERROR(__xludf.DUMMYFUNCTION("""COMPUTED_VALUE"""),"Completed")</f>
        <v>Completed</v>
      </c>
    </row>
    <row r="2401">
      <c r="A2401" s="9" t="str">
        <f>IFERROR(__xludf.DUMMYFUNCTION("""COMPUTED_VALUE"""),"G-REQ-02400")</f>
        <v>G-REQ-02400</v>
      </c>
      <c r="B2401" s="11">
        <f>IFERROR(__xludf.DUMMYFUNCTION("""COMPUTED_VALUE"""),45932.13387081743)</f>
        <v>45932.13387</v>
      </c>
      <c r="C2401" s="9">
        <f>IFERROR(__xludf.DUMMYFUNCTION("""COMPUTED_VALUE"""),9489.0)</f>
        <v>9489</v>
      </c>
      <c r="D2401" s="9" t="str">
        <f>IFERROR(__xludf.DUMMYFUNCTION("""COMPUTED_VALUE"""),"Completed")</f>
        <v>Completed</v>
      </c>
    </row>
    <row r="2402">
      <c r="A2402" s="9" t="str">
        <f>IFERROR(__xludf.DUMMYFUNCTION("""COMPUTED_VALUE"""),"G-REQ-02401")</f>
        <v>G-REQ-02401</v>
      </c>
      <c r="B2402" s="11">
        <f>IFERROR(__xludf.DUMMYFUNCTION("""COMPUTED_VALUE"""),45932.198101218404)</f>
        <v>45932.1981</v>
      </c>
      <c r="C2402" s="9">
        <f>IFERROR(__xludf.DUMMYFUNCTION("""COMPUTED_VALUE"""),9491.0)</f>
        <v>9491</v>
      </c>
      <c r="D2402" s="9" t="str">
        <f>IFERROR(__xludf.DUMMYFUNCTION("""COMPUTED_VALUE"""),"Cancelled")</f>
        <v>Cancelled</v>
      </c>
    </row>
    <row r="2403">
      <c r="A2403" s="9" t="str">
        <f>IFERROR(__xludf.DUMMYFUNCTION("""COMPUTED_VALUE"""),"G-REQ-02402")</f>
        <v>G-REQ-02402</v>
      </c>
      <c r="B2403" s="11">
        <f>IFERROR(__xludf.DUMMYFUNCTION("""COMPUTED_VALUE"""),45932.27622050826)</f>
        <v>45932.27622</v>
      </c>
      <c r="C2403" s="9">
        <f>IFERROR(__xludf.DUMMYFUNCTION("""COMPUTED_VALUE"""),9495.0)</f>
        <v>9495</v>
      </c>
      <c r="D2403" s="9" t="str">
        <f>IFERROR(__xludf.DUMMYFUNCTION("""COMPUTED_VALUE"""),"Completed")</f>
        <v>Completed</v>
      </c>
    </row>
    <row r="2404">
      <c r="A2404" s="9" t="str">
        <f>IFERROR(__xludf.DUMMYFUNCTION("""COMPUTED_VALUE"""),"G-REQ-02403")</f>
        <v>G-REQ-02403</v>
      </c>
      <c r="B2404" s="11">
        <f>IFERROR(__xludf.DUMMYFUNCTION("""COMPUTED_VALUE"""),45932.347395353674)</f>
        <v>45932.3474</v>
      </c>
      <c r="C2404" s="9">
        <f>IFERROR(__xludf.DUMMYFUNCTION("""COMPUTED_VALUE"""),9499.0)</f>
        <v>9499</v>
      </c>
      <c r="D2404" s="9" t="str">
        <f>IFERROR(__xludf.DUMMYFUNCTION("""COMPUTED_VALUE"""),"Completed")</f>
        <v>Completed</v>
      </c>
    </row>
    <row r="2405">
      <c r="A2405" s="9" t="str">
        <f>IFERROR(__xludf.DUMMYFUNCTION("""COMPUTED_VALUE"""),"G-REQ-02404")</f>
        <v>G-REQ-02404</v>
      </c>
      <c r="B2405" s="11">
        <f>IFERROR(__xludf.DUMMYFUNCTION("""COMPUTED_VALUE"""),45932.41162575465)</f>
        <v>45932.41163</v>
      </c>
      <c r="C2405" s="9">
        <f>IFERROR(__xludf.DUMMYFUNCTION("""COMPUTED_VALUE"""),9501.0)</f>
        <v>9501</v>
      </c>
      <c r="D2405" s="9" t="str">
        <f>IFERROR(__xludf.DUMMYFUNCTION("""COMPUTED_VALUE"""),"Rejected")</f>
        <v>Rejected</v>
      </c>
    </row>
    <row r="2406">
      <c r="A2406" s="9" t="str">
        <f>IFERROR(__xludf.DUMMYFUNCTION("""COMPUTED_VALUE"""),"G-REQ-02405")</f>
        <v>G-REQ-02405</v>
      </c>
      <c r="B2406" s="11">
        <f>IFERROR(__xludf.DUMMYFUNCTION("""COMPUTED_VALUE"""),45932.489745044506)</f>
        <v>45932.48975</v>
      </c>
      <c r="C2406" s="9">
        <f>IFERROR(__xludf.DUMMYFUNCTION("""COMPUTED_VALUE"""),9505.0)</f>
        <v>9505</v>
      </c>
      <c r="D2406" s="9" t="str">
        <f>IFERROR(__xludf.DUMMYFUNCTION("""COMPUTED_VALUE"""),"Completed")</f>
        <v>Completed</v>
      </c>
    </row>
    <row r="2407">
      <c r="A2407" s="9" t="str">
        <f>IFERROR(__xludf.DUMMYFUNCTION("""COMPUTED_VALUE"""),"G-REQ-02406")</f>
        <v>G-REQ-02406</v>
      </c>
      <c r="B2407" s="11">
        <f>IFERROR(__xludf.DUMMYFUNCTION("""COMPUTED_VALUE"""),45932.56091988992)</f>
        <v>45932.56092</v>
      </c>
      <c r="C2407" s="9">
        <f>IFERROR(__xludf.DUMMYFUNCTION("""COMPUTED_VALUE"""),9509.0)</f>
        <v>9509</v>
      </c>
      <c r="D2407" s="9" t="str">
        <f>IFERROR(__xludf.DUMMYFUNCTION("""COMPUTED_VALUE"""),"Completed")</f>
        <v>Completed</v>
      </c>
    </row>
    <row r="2408">
      <c r="A2408" s="9" t="str">
        <f>IFERROR(__xludf.DUMMYFUNCTION("""COMPUTED_VALUE"""),"G-REQ-02407")</f>
        <v>G-REQ-02407</v>
      </c>
      <c r="B2408" s="11">
        <f>IFERROR(__xludf.DUMMYFUNCTION("""COMPUTED_VALUE"""),45932.63209473534)</f>
        <v>45932.63209</v>
      </c>
      <c r="C2408" s="9">
        <f>IFERROR(__xludf.DUMMYFUNCTION("""COMPUTED_VALUE"""),9513.0)</f>
        <v>9513</v>
      </c>
      <c r="D2408" s="9" t="str">
        <f>IFERROR(__xludf.DUMMYFUNCTION("""COMPUTED_VALUE"""),"Completed")</f>
        <v>Completed</v>
      </c>
    </row>
    <row r="2409">
      <c r="A2409" s="9" t="str">
        <f>IFERROR(__xludf.DUMMYFUNCTION("""COMPUTED_VALUE"""),"G-REQ-02408")</f>
        <v>G-REQ-02408</v>
      </c>
      <c r="B2409" s="11">
        <f>IFERROR(__xludf.DUMMYFUNCTION("""COMPUTED_VALUE"""),45932.70326958075)</f>
        <v>45932.70327</v>
      </c>
      <c r="C2409" s="9">
        <f>IFERROR(__xludf.DUMMYFUNCTION("""COMPUTED_VALUE"""),9517.0)</f>
        <v>9517</v>
      </c>
      <c r="D2409" s="9" t="str">
        <f>IFERROR(__xludf.DUMMYFUNCTION("""COMPUTED_VALUE"""),"Completed")</f>
        <v>Completed</v>
      </c>
    </row>
    <row r="2410">
      <c r="A2410" s="9" t="str">
        <f>IFERROR(__xludf.DUMMYFUNCTION("""COMPUTED_VALUE"""),"G-REQ-02409")</f>
        <v>G-REQ-02409</v>
      </c>
      <c r="B2410" s="11">
        <f>IFERROR(__xludf.DUMMYFUNCTION("""COMPUTED_VALUE"""),45932.77444442616)</f>
        <v>45932.77444</v>
      </c>
      <c r="C2410" s="9">
        <f>IFERROR(__xludf.DUMMYFUNCTION("""COMPUTED_VALUE"""),9521.0)</f>
        <v>9521</v>
      </c>
      <c r="D2410" s="9" t="str">
        <f>IFERROR(__xludf.DUMMYFUNCTION("""COMPUTED_VALUE"""),"Completed")</f>
        <v>Completed</v>
      </c>
    </row>
    <row r="2411">
      <c r="A2411" s="9" t="str">
        <f>IFERROR(__xludf.DUMMYFUNCTION("""COMPUTED_VALUE"""),"G-REQ-02410")</f>
        <v>G-REQ-02410</v>
      </c>
      <c r="B2411" s="11">
        <f>IFERROR(__xludf.DUMMYFUNCTION("""COMPUTED_VALUE"""),45932.84561927158)</f>
        <v>45932.84562</v>
      </c>
      <c r="C2411" s="9">
        <f>IFERROR(__xludf.DUMMYFUNCTION("""COMPUTED_VALUE"""),9525.0)</f>
        <v>9525</v>
      </c>
      <c r="D2411" s="9" t="str">
        <f>IFERROR(__xludf.DUMMYFUNCTION("""COMPUTED_VALUE"""),"Completed")</f>
        <v>Completed</v>
      </c>
    </row>
    <row r="2412">
      <c r="A2412" s="9" t="str">
        <f>IFERROR(__xludf.DUMMYFUNCTION("""COMPUTED_VALUE"""),"G-REQ-02411")</f>
        <v>G-REQ-02411</v>
      </c>
      <c r="B2412" s="11">
        <f>IFERROR(__xludf.DUMMYFUNCTION("""COMPUTED_VALUE"""),45932.916794117)</f>
        <v>45932.91679</v>
      </c>
      <c r="C2412" s="9">
        <f>IFERROR(__xludf.DUMMYFUNCTION("""COMPUTED_VALUE"""),9529.0)</f>
        <v>9529</v>
      </c>
      <c r="D2412" s="9" t="str">
        <f>IFERROR(__xludf.DUMMYFUNCTION("""COMPUTED_VALUE"""),"Completed")</f>
        <v>Completed</v>
      </c>
    </row>
    <row r="2413">
      <c r="A2413" s="9" t="str">
        <f>IFERROR(__xludf.DUMMYFUNCTION("""COMPUTED_VALUE"""),"G-REQ-02412")</f>
        <v>G-REQ-02412</v>
      </c>
      <c r="B2413" s="11">
        <f>IFERROR(__xludf.DUMMYFUNCTION("""COMPUTED_VALUE"""),45932.98102451796)</f>
        <v>45932.98102</v>
      </c>
      <c r="C2413" s="9">
        <f>IFERROR(__xludf.DUMMYFUNCTION("""COMPUTED_VALUE"""),9531.0)</f>
        <v>9531</v>
      </c>
      <c r="D2413" s="9" t="str">
        <f>IFERROR(__xludf.DUMMYFUNCTION("""COMPUTED_VALUE"""),"Rejected")</f>
        <v>Rejected</v>
      </c>
    </row>
    <row r="2414">
      <c r="A2414" s="9" t="str">
        <f>IFERROR(__xludf.DUMMYFUNCTION("""COMPUTED_VALUE"""),"G-REQ-02413")</f>
        <v>G-REQ-02413</v>
      </c>
      <c r="B2414" s="11">
        <f>IFERROR(__xludf.DUMMYFUNCTION("""COMPUTED_VALUE"""),45933.05219936338)</f>
        <v>45933.0522</v>
      </c>
      <c r="C2414" s="9">
        <f>IFERROR(__xludf.DUMMYFUNCTION("""COMPUTED_VALUE"""),9533.0)</f>
        <v>9533</v>
      </c>
      <c r="D2414" s="9" t="str">
        <f>IFERROR(__xludf.DUMMYFUNCTION("""COMPUTED_VALUE"""),"Cancelled")</f>
        <v>Cancelled</v>
      </c>
    </row>
    <row r="2415">
      <c r="A2415" s="9" t="str">
        <f>IFERROR(__xludf.DUMMYFUNCTION("""COMPUTED_VALUE"""),"G-REQ-02414")</f>
        <v>G-REQ-02414</v>
      </c>
      <c r="B2415" s="11">
        <f>IFERROR(__xludf.DUMMYFUNCTION("""COMPUTED_VALUE"""),45933.130318653246)</f>
        <v>45933.13032</v>
      </c>
      <c r="C2415" s="9">
        <f>IFERROR(__xludf.DUMMYFUNCTION("""COMPUTED_VALUE"""),9537.0)</f>
        <v>9537</v>
      </c>
      <c r="D2415" s="9" t="str">
        <f>IFERROR(__xludf.DUMMYFUNCTION("""COMPUTED_VALUE"""),"Completed")</f>
        <v>Completed</v>
      </c>
    </row>
    <row r="2416">
      <c r="A2416" s="9" t="str">
        <f>IFERROR(__xludf.DUMMYFUNCTION("""COMPUTED_VALUE"""),"G-REQ-02415")</f>
        <v>G-REQ-02415</v>
      </c>
      <c r="B2416" s="11">
        <f>IFERROR(__xludf.DUMMYFUNCTION("""COMPUTED_VALUE"""),45933.19454905421)</f>
        <v>45933.19455</v>
      </c>
      <c r="C2416" s="9">
        <f>IFERROR(__xludf.DUMMYFUNCTION("""COMPUTED_VALUE"""),9539.0)</f>
        <v>9539</v>
      </c>
      <c r="D2416" s="9" t="str">
        <f>IFERROR(__xludf.DUMMYFUNCTION("""COMPUTED_VALUE"""),"Cancelled")</f>
        <v>Cancelled</v>
      </c>
    </row>
    <row r="2417">
      <c r="A2417" s="9" t="str">
        <f>IFERROR(__xludf.DUMMYFUNCTION("""COMPUTED_VALUE"""),"G-REQ-02416")</f>
        <v>G-REQ-02416</v>
      </c>
      <c r="B2417" s="11">
        <f>IFERROR(__xludf.DUMMYFUNCTION("""COMPUTED_VALUE"""),45933.27266834407)</f>
        <v>45933.27267</v>
      </c>
      <c r="C2417" s="9">
        <f>IFERROR(__xludf.DUMMYFUNCTION("""COMPUTED_VALUE"""),9543.0)</f>
        <v>9543</v>
      </c>
      <c r="D2417" s="9" t="str">
        <f>IFERROR(__xludf.DUMMYFUNCTION("""COMPUTED_VALUE"""),"Completed")</f>
        <v>Completed</v>
      </c>
    </row>
    <row r="2418">
      <c r="A2418" s="9" t="str">
        <f>IFERROR(__xludf.DUMMYFUNCTION("""COMPUTED_VALUE"""),"G-REQ-02417")</f>
        <v>G-REQ-02417</v>
      </c>
      <c r="B2418" s="11">
        <f>IFERROR(__xludf.DUMMYFUNCTION("""COMPUTED_VALUE"""),45933.34384318949)</f>
        <v>45933.34384</v>
      </c>
      <c r="C2418" s="9">
        <f>IFERROR(__xludf.DUMMYFUNCTION("""COMPUTED_VALUE"""),9547.0)</f>
        <v>9547</v>
      </c>
      <c r="D2418" s="9" t="str">
        <f>IFERROR(__xludf.DUMMYFUNCTION("""COMPUTED_VALUE"""),"Completed")</f>
        <v>Completed</v>
      </c>
    </row>
    <row r="2419">
      <c r="A2419" s="9" t="str">
        <f>IFERROR(__xludf.DUMMYFUNCTION("""COMPUTED_VALUE"""),"G-REQ-02418")</f>
        <v>G-REQ-02418</v>
      </c>
      <c r="B2419" s="11">
        <f>IFERROR(__xludf.DUMMYFUNCTION("""COMPUTED_VALUE"""),45933.4150180349)</f>
        <v>45933.41502</v>
      </c>
      <c r="C2419" s="9">
        <f>IFERROR(__xludf.DUMMYFUNCTION("""COMPUTED_VALUE"""),9551.0)</f>
        <v>9551</v>
      </c>
      <c r="D2419" s="9" t="str">
        <f>IFERROR(__xludf.DUMMYFUNCTION("""COMPUTED_VALUE"""),"Completed")</f>
        <v>Completed</v>
      </c>
    </row>
    <row r="2420">
      <c r="A2420" s="9" t="str">
        <f>IFERROR(__xludf.DUMMYFUNCTION("""COMPUTED_VALUE"""),"G-REQ-02419")</f>
        <v>G-REQ-02419</v>
      </c>
      <c r="B2420" s="11">
        <f>IFERROR(__xludf.DUMMYFUNCTION("""COMPUTED_VALUE"""),45933.486192880315)</f>
        <v>45933.48619</v>
      </c>
      <c r="C2420" s="9">
        <f>IFERROR(__xludf.DUMMYFUNCTION("""COMPUTED_VALUE"""),9555.0)</f>
        <v>9555</v>
      </c>
      <c r="D2420" s="9" t="str">
        <f>IFERROR(__xludf.DUMMYFUNCTION("""COMPUTED_VALUE"""),"Completed")</f>
        <v>Completed</v>
      </c>
    </row>
    <row r="2421">
      <c r="A2421" s="9" t="str">
        <f>IFERROR(__xludf.DUMMYFUNCTION("""COMPUTED_VALUE"""),"G-REQ-02420")</f>
        <v>G-REQ-02420</v>
      </c>
      <c r="B2421" s="11">
        <f>IFERROR(__xludf.DUMMYFUNCTION("""COMPUTED_VALUE"""),45933.557367725734)</f>
        <v>45933.55737</v>
      </c>
      <c r="C2421" s="9">
        <f>IFERROR(__xludf.DUMMYFUNCTION("""COMPUTED_VALUE"""),9559.0)</f>
        <v>9559</v>
      </c>
      <c r="D2421" s="9" t="str">
        <f>IFERROR(__xludf.DUMMYFUNCTION("""COMPUTED_VALUE"""),"Completed")</f>
        <v>Completed</v>
      </c>
    </row>
    <row r="2422">
      <c r="A2422" s="9" t="str">
        <f>IFERROR(__xludf.DUMMYFUNCTION("""COMPUTED_VALUE"""),"G-REQ-02421")</f>
        <v>G-REQ-02421</v>
      </c>
      <c r="B2422" s="11">
        <f>IFERROR(__xludf.DUMMYFUNCTION("""COMPUTED_VALUE"""),45933.628542571154)</f>
        <v>45933.62854</v>
      </c>
      <c r="C2422" s="9">
        <f>IFERROR(__xludf.DUMMYFUNCTION("""COMPUTED_VALUE"""),9563.0)</f>
        <v>9563</v>
      </c>
      <c r="D2422" s="9" t="str">
        <f>IFERROR(__xludf.DUMMYFUNCTION("""COMPUTED_VALUE"""),"Completed")</f>
        <v>Completed</v>
      </c>
    </row>
    <row r="2423">
      <c r="A2423" s="9" t="str">
        <f>IFERROR(__xludf.DUMMYFUNCTION("""COMPUTED_VALUE"""),"G-REQ-02422")</f>
        <v>G-REQ-02422</v>
      </c>
      <c r="B2423" s="11">
        <f>IFERROR(__xludf.DUMMYFUNCTION("""COMPUTED_VALUE"""),45933.692772972114)</f>
        <v>45933.69277</v>
      </c>
      <c r="C2423" s="9">
        <f>IFERROR(__xludf.DUMMYFUNCTION("""COMPUTED_VALUE"""),9565.0)</f>
        <v>9565</v>
      </c>
      <c r="D2423" s="9" t="str">
        <f>IFERROR(__xludf.DUMMYFUNCTION("""COMPUTED_VALUE"""),"Rejected")</f>
        <v>Rejected</v>
      </c>
    </row>
    <row r="2424">
      <c r="A2424" s="9" t="str">
        <f>IFERROR(__xludf.DUMMYFUNCTION("""COMPUTED_VALUE"""),"G-REQ-02423")</f>
        <v>G-REQ-02423</v>
      </c>
      <c r="B2424" s="11">
        <f>IFERROR(__xludf.DUMMYFUNCTION("""COMPUTED_VALUE"""),45933.77089226198)</f>
        <v>45933.77089</v>
      </c>
      <c r="C2424" s="9">
        <f>IFERROR(__xludf.DUMMYFUNCTION("""COMPUTED_VALUE"""),9569.0)</f>
        <v>9569</v>
      </c>
      <c r="D2424" s="9" t="str">
        <f>IFERROR(__xludf.DUMMYFUNCTION("""COMPUTED_VALUE"""),"Completed")</f>
        <v>Completed</v>
      </c>
    </row>
    <row r="2425">
      <c r="A2425" s="9" t="str">
        <f>IFERROR(__xludf.DUMMYFUNCTION("""COMPUTED_VALUE"""),"G-REQ-02424")</f>
        <v>G-REQ-02424</v>
      </c>
      <c r="B2425" s="11">
        <f>IFERROR(__xludf.DUMMYFUNCTION("""COMPUTED_VALUE"""),45933.84206710739)</f>
        <v>45933.84207</v>
      </c>
      <c r="C2425" s="9">
        <f>IFERROR(__xludf.DUMMYFUNCTION("""COMPUTED_VALUE"""),9573.0)</f>
        <v>9573</v>
      </c>
      <c r="D2425" s="9" t="str">
        <f>IFERROR(__xludf.DUMMYFUNCTION("""COMPUTED_VALUE"""),"Completed")</f>
        <v>Completed</v>
      </c>
    </row>
    <row r="2426">
      <c r="A2426" s="9" t="str">
        <f>IFERROR(__xludf.DUMMYFUNCTION("""COMPUTED_VALUE"""),"G-REQ-02425")</f>
        <v>G-REQ-02425</v>
      </c>
      <c r="B2426" s="11">
        <f>IFERROR(__xludf.DUMMYFUNCTION("""COMPUTED_VALUE"""),45933.91324195281)</f>
        <v>45933.91324</v>
      </c>
      <c r="C2426" s="9">
        <f>IFERROR(__xludf.DUMMYFUNCTION("""COMPUTED_VALUE"""),9577.0)</f>
        <v>9577</v>
      </c>
      <c r="D2426" s="9" t="str">
        <f>IFERROR(__xludf.DUMMYFUNCTION("""COMPUTED_VALUE"""),"Completed")</f>
        <v>Completed</v>
      </c>
    </row>
    <row r="2427">
      <c r="A2427" s="9" t="str">
        <f>IFERROR(__xludf.DUMMYFUNCTION("""COMPUTED_VALUE"""),"G-REQ-02426")</f>
        <v>G-REQ-02426</v>
      </c>
      <c r="B2427" s="11">
        <f>IFERROR(__xludf.DUMMYFUNCTION("""COMPUTED_VALUE"""),45933.98441679822)</f>
        <v>45933.98442</v>
      </c>
      <c r="C2427" s="9">
        <f>IFERROR(__xludf.DUMMYFUNCTION("""COMPUTED_VALUE"""),9581.0)</f>
        <v>9581</v>
      </c>
      <c r="D2427" s="9" t="str">
        <f>IFERROR(__xludf.DUMMYFUNCTION("""COMPUTED_VALUE"""),"Completed")</f>
        <v>Completed</v>
      </c>
    </row>
    <row r="2428">
      <c r="A2428" s="9" t="str">
        <f>IFERROR(__xludf.DUMMYFUNCTION("""COMPUTED_VALUE"""),"G-REQ-02427")</f>
        <v>G-REQ-02427</v>
      </c>
      <c r="B2428" s="11">
        <f>IFERROR(__xludf.DUMMYFUNCTION("""COMPUTED_VALUE"""),45934.05559164364)</f>
        <v>45934.05559</v>
      </c>
      <c r="C2428" s="9">
        <f>IFERROR(__xludf.DUMMYFUNCTION("""COMPUTED_VALUE"""),9585.0)</f>
        <v>9585</v>
      </c>
      <c r="D2428" s="9" t="str">
        <f>IFERROR(__xludf.DUMMYFUNCTION("""COMPUTED_VALUE"""),"Completed")</f>
        <v>Completed</v>
      </c>
    </row>
    <row r="2429">
      <c r="A2429" s="9" t="str">
        <f>IFERROR(__xludf.DUMMYFUNCTION("""COMPUTED_VALUE"""),"G-REQ-02428")</f>
        <v>G-REQ-02428</v>
      </c>
      <c r="B2429" s="11">
        <f>IFERROR(__xludf.DUMMYFUNCTION("""COMPUTED_VALUE"""),45934.1198220446)</f>
        <v>45934.11982</v>
      </c>
      <c r="C2429" s="9">
        <f>IFERROR(__xludf.DUMMYFUNCTION("""COMPUTED_VALUE"""),9587.0)</f>
        <v>9587</v>
      </c>
      <c r="D2429" s="9" t="str">
        <f>IFERROR(__xludf.DUMMYFUNCTION("""COMPUTED_VALUE"""),"Rejected")</f>
        <v>Rejected</v>
      </c>
    </row>
    <row r="2430">
      <c r="A2430" s="9" t="str">
        <f>IFERROR(__xludf.DUMMYFUNCTION("""COMPUTED_VALUE"""),"G-REQ-02429")</f>
        <v>G-REQ-02429</v>
      </c>
      <c r="B2430" s="11">
        <f>IFERROR(__xludf.DUMMYFUNCTION("""COMPUTED_VALUE"""),45934.19794133447)</f>
        <v>45934.19794</v>
      </c>
      <c r="C2430" s="9">
        <f>IFERROR(__xludf.DUMMYFUNCTION("""COMPUTED_VALUE"""),9591.0)</f>
        <v>9591</v>
      </c>
      <c r="D2430" s="9" t="str">
        <f>IFERROR(__xludf.DUMMYFUNCTION("""COMPUTED_VALUE"""),"Completed")</f>
        <v>Completed</v>
      </c>
    </row>
    <row r="2431">
      <c r="A2431" s="9" t="str">
        <f>IFERROR(__xludf.DUMMYFUNCTION("""COMPUTED_VALUE"""),"G-REQ-02430")</f>
        <v>G-REQ-02430</v>
      </c>
      <c r="B2431" s="11">
        <f>IFERROR(__xludf.DUMMYFUNCTION("""COMPUTED_VALUE"""),45934.26217173544)</f>
        <v>45934.26217</v>
      </c>
      <c r="C2431" s="9">
        <f>IFERROR(__xludf.DUMMYFUNCTION("""COMPUTED_VALUE"""),9593.0)</f>
        <v>9593</v>
      </c>
      <c r="D2431" s="9" t="str">
        <f>IFERROR(__xludf.DUMMYFUNCTION("""COMPUTED_VALUE"""),"Cancelled")</f>
        <v>Cancelled</v>
      </c>
    </row>
    <row r="2432">
      <c r="A2432" s="9" t="str">
        <f>IFERROR(__xludf.DUMMYFUNCTION("""COMPUTED_VALUE"""),"G-REQ-02431")</f>
        <v>G-REQ-02431</v>
      </c>
      <c r="B2432" s="11">
        <f>IFERROR(__xludf.DUMMYFUNCTION("""COMPUTED_VALUE"""),45934.3402910253)</f>
        <v>45934.34029</v>
      </c>
      <c r="C2432" s="9">
        <f>IFERROR(__xludf.DUMMYFUNCTION("""COMPUTED_VALUE"""),9597.0)</f>
        <v>9597</v>
      </c>
      <c r="D2432" s="9" t="str">
        <f>IFERROR(__xludf.DUMMYFUNCTION("""COMPUTED_VALUE"""),"Completed")</f>
        <v>Completed</v>
      </c>
    </row>
    <row r="2433">
      <c r="A2433" s="9" t="str">
        <f>IFERROR(__xludf.DUMMYFUNCTION("""COMPUTED_VALUE"""),"G-REQ-02432")</f>
        <v>G-REQ-02432</v>
      </c>
      <c r="B2433" s="11">
        <f>IFERROR(__xludf.DUMMYFUNCTION("""COMPUTED_VALUE"""),45934.41146587071)</f>
        <v>45934.41147</v>
      </c>
      <c r="C2433" s="9">
        <f>IFERROR(__xludf.DUMMYFUNCTION("""COMPUTED_VALUE"""),9601.0)</f>
        <v>9601</v>
      </c>
      <c r="D2433" s="9" t="str">
        <f>IFERROR(__xludf.DUMMYFUNCTION("""COMPUTED_VALUE"""),"Completed")</f>
        <v>Completed</v>
      </c>
    </row>
    <row r="2434">
      <c r="A2434" s="9" t="str">
        <f>IFERROR(__xludf.DUMMYFUNCTION("""COMPUTED_VALUE"""),"G-REQ-02433")</f>
        <v>G-REQ-02433</v>
      </c>
      <c r="B2434" s="11">
        <f>IFERROR(__xludf.DUMMYFUNCTION("""COMPUTED_VALUE"""),45934.48264071613)</f>
        <v>45934.48264</v>
      </c>
      <c r="C2434" s="9">
        <f>IFERROR(__xludf.DUMMYFUNCTION("""COMPUTED_VALUE"""),9605.0)</f>
        <v>9605</v>
      </c>
      <c r="D2434" s="9" t="str">
        <f>IFERROR(__xludf.DUMMYFUNCTION("""COMPUTED_VALUE"""),"Completed")</f>
        <v>Completed</v>
      </c>
    </row>
    <row r="2435">
      <c r="A2435" s="9" t="str">
        <f>IFERROR(__xludf.DUMMYFUNCTION("""COMPUTED_VALUE"""),"G-REQ-02434")</f>
        <v>G-REQ-02434</v>
      </c>
      <c r="B2435" s="11">
        <f>IFERROR(__xludf.DUMMYFUNCTION("""COMPUTED_VALUE"""),45934.55381556154)</f>
        <v>45934.55382</v>
      </c>
      <c r="C2435" s="9">
        <f>IFERROR(__xludf.DUMMYFUNCTION("""COMPUTED_VALUE"""),9609.0)</f>
        <v>9609</v>
      </c>
      <c r="D2435" s="9" t="str">
        <f>IFERROR(__xludf.DUMMYFUNCTION("""COMPUTED_VALUE"""),"Completed")</f>
        <v>Completed</v>
      </c>
    </row>
    <row r="2436">
      <c r="A2436" s="9" t="str">
        <f>IFERROR(__xludf.DUMMYFUNCTION("""COMPUTED_VALUE"""),"G-REQ-02435")</f>
        <v>G-REQ-02435</v>
      </c>
      <c r="B2436" s="11">
        <f>IFERROR(__xludf.DUMMYFUNCTION("""COMPUTED_VALUE"""),45934.624990406955)</f>
        <v>45934.62499</v>
      </c>
      <c r="C2436" s="9">
        <f>IFERROR(__xludf.DUMMYFUNCTION("""COMPUTED_VALUE"""),9613.0)</f>
        <v>9613</v>
      </c>
      <c r="D2436" s="9" t="str">
        <f>IFERROR(__xludf.DUMMYFUNCTION("""COMPUTED_VALUE"""),"Completed")</f>
        <v>Completed</v>
      </c>
    </row>
    <row r="2437">
      <c r="A2437" s="9" t="str">
        <f>IFERROR(__xludf.DUMMYFUNCTION("""COMPUTED_VALUE"""),"G-REQ-02436")</f>
        <v>G-REQ-02436</v>
      </c>
      <c r="B2437" s="11">
        <f>IFERROR(__xludf.DUMMYFUNCTION("""COMPUTED_VALUE"""),45934.696165252375)</f>
        <v>45934.69617</v>
      </c>
      <c r="C2437" s="9">
        <f>IFERROR(__xludf.DUMMYFUNCTION("""COMPUTED_VALUE"""),9617.0)</f>
        <v>9617</v>
      </c>
      <c r="D2437" s="9" t="str">
        <f>IFERROR(__xludf.DUMMYFUNCTION("""COMPUTED_VALUE"""),"Completed")</f>
        <v>Completed</v>
      </c>
    </row>
    <row r="2438">
      <c r="A2438" s="9" t="str">
        <f>IFERROR(__xludf.DUMMYFUNCTION("""COMPUTED_VALUE"""),"G-REQ-02437")</f>
        <v>G-REQ-02437</v>
      </c>
      <c r="B2438" s="11">
        <f>IFERROR(__xludf.DUMMYFUNCTION("""COMPUTED_VALUE"""),45934.767340097795)</f>
        <v>45934.76734</v>
      </c>
      <c r="C2438" s="9">
        <f>IFERROR(__xludf.DUMMYFUNCTION("""COMPUTED_VALUE"""),9621.0)</f>
        <v>9621</v>
      </c>
      <c r="D2438" s="9" t="str">
        <f>IFERROR(__xludf.DUMMYFUNCTION("""COMPUTED_VALUE"""),"Completed")</f>
        <v>Completed</v>
      </c>
    </row>
    <row r="2439">
      <c r="A2439" s="9" t="str">
        <f>IFERROR(__xludf.DUMMYFUNCTION("""COMPUTED_VALUE"""),"G-REQ-02438")</f>
        <v>G-REQ-02438</v>
      </c>
      <c r="B2439" s="11">
        <f>IFERROR(__xludf.DUMMYFUNCTION("""COMPUTED_VALUE"""),45934.8385149432)</f>
        <v>45934.83851</v>
      </c>
      <c r="C2439" s="9">
        <f>IFERROR(__xludf.DUMMYFUNCTION("""COMPUTED_VALUE"""),9625.0)</f>
        <v>9625</v>
      </c>
      <c r="D2439" s="9" t="str">
        <f>IFERROR(__xludf.DUMMYFUNCTION("""COMPUTED_VALUE"""),"Completed")</f>
        <v>Completed</v>
      </c>
    </row>
    <row r="2440">
      <c r="A2440" s="9" t="str">
        <f>IFERROR(__xludf.DUMMYFUNCTION("""COMPUTED_VALUE"""),"G-REQ-02439")</f>
        <v>G-REQ-02439</v>
      </c>
      <c r="B2440" s="11">
        <f>IFERROR(__xludf.DUMMYFUNCTION("""COMPUTED_VALUE"""),45934.90968978862)</f>
        <v>45934.90969</v>
      </c>
      <c r="C2440" s="9">
        <f>IFERROR(__xludf.DUMMYFUNCTION("""COMPUTED_VALUE"""),9629.0)</f>
        <v>9629</v>
      </c>
      <c r="D2440" s="9" t="str">
        <f>IFERROR(__xludf.DUMMYFUNCTION("""COMPUTED_VALUE"""),"Completed")</f>
        <v>Completed</v>
      </c>
    </row>
    <row r="2441">
      <c r="A2441" s="9" t="str">
        <f>IFERROR(__xludf.DUMMYFUNCTION("""COMPUTED_VALUE"""),"G-REQ-02440")</f>
        <v>G-REQ-02440</v>
      </c>
      <c r="B2441" s="11">
        <f>IFERROR(__xludf.DUMMYFUNCTION("""COMPUTED_VALUE"""),45934.98086463404)</f>
        <v>45934.98086</v>
      </c>
      <c r="C2441" s="9">
        <f>IFERROR(__xludf.DUMMYFUNCTION("""COMPUTED_VALUE"""),9633.0)</f>
        <v>9633</v>
      </c>
      <c r="D2441" s="9" t="str">
        <f>IFERROR(__xludf.DUMMYFUNCTION("""COMPUTED_VALUE"""),"Completed")</f>
        <v>Completed</v>
      </c>
    </row>
    <row r="2442">
      <c r="A2442" s="9" t="str">
        <f>IFERROR(__xludf.DUMMYFUNCTION("""COMPUTED_VALUE"""),"G-REQ-02441")</f>
        <v>G-REQ-02441</v>
      </c>
      <c r="B2442" s="11">
        <f>IFERROR(__xludf.DUMMYFUNCTION("""COMPUTED_VALUE"""),45935.05203947945)</f>
        <v>45935.05204</v>
      </c>
      <c r="C2442" s="9">
        <f>IFERROR(__xludf.DUMMYFUNCTION("""COMPUTED_VALUE"""),9637.0)</f>
        <v>9637</v>
      </c>
      <c r="D2442" s="9" t="str">
        <f>IFERROR(__xludf.DUMMYFUNCTION("""COMPUTED_VALUE"""),"Completed")</f>
        <v>Completed</v>
      </c>
    </row>
    <row r="2443">
      <c r="A2443" s="9" t="str">
        <f>IFERROR(__xludf.DUMMYFUNCTION("""COMPUTED_VALUE"""),"G-REQ-02442")</f>
        <v>G-REQ-02442</v>
      </c>
      <c r="B2443" s="11">
        <f>IFERROR(__xludf.DUMMYFUNCTION("""COMPUTED_VALUE"""),45935.12321432486)</f>
        <v>45935.12321</v>
      </c>
      <c r="C2443" s="9">
        <f>IFERROR(__xludf.DUMMYFUNCTION("""COMPUTED_VALUE"""),9641.0)</f>
        <v>9641</v>
      </c>
      <c r="D2443" s="9" t="str">
        <f>IFERROR(__xludf.DUMMYFUNCTION("""COMPUTED_VALUE"""),"Completed")</f>
        <v>Completed</v>
      </c>
    </row>
    <row r="2444">
      <c r="A2444" s="9" t="str">
        <f>IFERROR(__xludf.DUMMYFUNCTION("""COMPUTED_VALUE"""),"G-REQ-02443")</f>
        <v>G-REQ-02443</v>
      </c>
      <c r="B2444" s="11">
        <f>IFERROR(__xludf.DUMMYFUNCTION("""COMPUTED_VALUE"""),45935.19438917028)</f>
        <v>45935.19439</v>
      </c>
      <c r="C2444" s="9">
        <f>IFERROR(__xludf.DUMMYFUNCTION("""COMPUTED_VALUE"""),9645.0)</f>
        <v>9645</v>
      </c>
      <c r="D2444" s="9" t="str">
        <f>IFERROR(__xludf.DUMMYFUNCTION("""COMPUTED_VALUE"""),"Completed")</f>
        <v>Completed</v>
      </c>
    </row>
    <row r="2445">
      <c r="A2445" s="9" t="str">
        <f>IFERROR(__xludf.DUMMYFUNCTION("""COMPUTED_VALUE"""),"G-REQ-02444")</f>
        <v>G-REQ-02444</v>
      </c>
      <c r="B2445" s="11">
        <f>IFERROR(__xludf.DUMMYFUNCTION("""COMPUTED_VALUE"""),45935.265564015695)</f>
        <v>45935.26556</v>
      </c>
      <c r="C2445" s="9">
        <f>IFERROR(__xludf.DUMMYFUNCTION("""COMPUTED_VALUE"""),9649.0)</f>
        <v>9649</v>
      </c>
      <c r="D2445" s="9" t="str">
        <f>IFERROR(__xludf.DUMMYFUNCTION("""COMPUTED_VALUE"""),"Completed")</f>
        <v>Completed</v>
      </c>
    </row>
    <row r="2446">
      <c r="A2446" s="9" t="str">
        <f>IFERROR(__xludf.DUMMYFUNCTION("""COMPUTED_VALUE"""),"G-REQ-02445")</f>
        <v>G-REQ-02445</v>
      </c>
      <c r="B2446" s="11">
        <f>IFERROR(__xludf.DUMMYFUNCTION("""COMPUTED_VALUE"""),45935.32979441666)</f>
        <v>45935.32979</v>
      </c>
      <c r="C2446" s="9">
        <f>IFERROR(__xludf.DUMMYFUNCTION("""COMPUTED_VALUE"""),9651.0)</f>
        <v>9651</v>
      </c>
      <c r="D2446" s="9" t="str">
        <f>IFERROR(__xludf.DUMMYFUNCTION("""COMPUTED_VALUE"""),"Rejected")</f>
        <v>Rejected</v>
      </c>
    </row>
    <row r="2447">
      <c r="A2447" s="9" t="str">
        <f>IFERROR(__xludf.DUMMYFUNCTION("""COMPUTED_VALUE"""),"G-REQ-02446")</f>
        <v>G-REQ-02446</v>
      </c>
      <c r="B2447" s="11">
        <f>IFERROR(__xludf.DUMMYFUNCTION("""COMPUTED_VALUE"""),45935.40791370653)</f>
        <v>45935.40791</v>
      </c>
      <c r="C2447" s="9">
        <f>IFERROR(__xludf.DUMMYFUNCTION("""COMPUTED_VALUE"""),9655.0)</f>
        <v>9655</v>
      </c>
      <c r="D2447" s="9" t="str">
        <f>IFERROR(__xludf.DUMMYFUNCTION("""COMPUTED_VALUE"""),"Completed")</f>
        <v>Completed</v>
      </c>
    </row>
    <row r="2448">
      <c r="A2448" s="9" t="str">
        <f>IFERROR(__xludf.DUMMYFUNCTION("""COMPUTED_VALUE"""),"G-REQ-02447")</f>
        <v>G-REQ-02447</v>
      </c>
      <c r="B2448" s="11">
        <f>IFERROR(__xludf.DUMMYFUNCTION("""COMPUTED_VALUE"""),45935.472144107494)</f>
        <v>45935.47214</v>
      </c>
      <c r="C2448" s="9">
        <f>IFERROR(__xludf.DUMMYFUNCTION("""COMPUTED_VALUE"""),9657.0)</f>
        <v>9657</v>
      </c>
      <c r="D2448" s="9" t="str">
        <f>IFERROR(__xludf.DUMMYFUNCTION("""COMPUTED_VALUE"""),"Cancelled")</f>
        <v>Cancelled</v>
      </c>
    </row>
    <row r="2449">
      <c r="A2449" s="9" t="str">
        <f>IFERROR(__xludf.DUMMYFUNCTION("""COMPUTED_VALUE"""),"G-REQ-02448")</f>
        <v>G-REQ-02448</v>
      </c>
      <c r="B2449" s="11">
        <f>IFERROR(__xludf.DUMMYFUNCTION("""COMPUTED_VALUE"""),45935.55026339735)</f>
        <v>45935.55026</v>
      </c>
      <c r="C2449" s="9">
        <f>IFERROR(__xludf.DUMMYFUNCTION("""COMPUTED_VALUE"""),9661.0)</f>
        <v>9661</v>
      </c>
      <c r="D2449" s="9" t="str">
        <f>IFERROR(__xludf.DUMMYFUNCTION("""COMPUTED_VALUE"""),"Completed")</f>
        <v>Completed</v>
      </c>
    </row>
    <row r="2450">
      <c r="A2450" s="9" t="str">
        <f>IFERROR(__xludf.DUMMYFUNCTION("""COMPUTED_VALUE"""),"G-REQ-02449")</f>
        <v>G-REQ-02449</v>
      </c>
      <c r="B2450" s="11">
        <f>IFERROR(__xludf.DUMMYFUNCTION("""COMPUTED_VALUE"""),45935.62143824277)</f>
        <v>45935.62144</v>
      </c>
      <c r="C2450" s="9">
        <f>IFERROR(__xludf.DUMMYFUNCTION("""COMPUTED_VALUE"""),9665.0)</f>
        <v>9665</v>
      </c>
      <c r="D2450" s="9" t="str">
        <f>IFERROR(__xludf.DUMMYFUNCTION("""COMPUTED_VALUE"""),"Completed")</f>
        <v>Completed</v>
      </c>
    </row>
    <row r="2451">
      <c r="A2451" s="9" t="str">
        <f>IFERROR(__xludf.DUMMYFUNCTION("""COMPUTED_VALUE"""),"G-REQ-02450")</f>
        <v>G-REQ-02450</v>
      </c>
      <c r="B2451" s="11">
        <f>IFERROR(__xludf.DUMMYFUNCTION("""COMPUTED_VALUE"""),45935.68566864374)</f>
        <v>45935.68567</v>
      </c>
      <c r="C2451" s="9">
        <f>IFERROR(__xludf.DUMMYFUNCTION("""COMPUTED_VALUE"""),9667.0)</f>
        <v>9667</v>
      </c>
      <c r="D2451" s="9" t="str">
        <f>IFERROR(__xludf.DUMMYFUNCTION("""COMPUTED_VALUE"""),"Rejected")</f>
        <v>Rejected</v>
      </c>
    </row>
    <row r="2452">
      <c r="A2452" s="9" t="str">
        <f>IFERROR(__xludf.DUMMYFUNCTION("""COMPUTED_VALUE"""),"G-REQ-02451")</f>
        <v>G-REQ-02451</v>
      </c>
      <c r="B2452" s="11">
        <f>IFERROR(__xludf.DUMMYFUNCTION("""COMPUTED_VALUE"""),45935.763787933596)</f>
        <v>45935.76379</v>
      </c>
      <c r="C2452" s="9">
        <f>IFERROR(__xludf.DUMMYFUNCTION("""COMPUTED_VALUE"""),9671.0)</f>
        <v>9671</v>
      </c>
      <c r="D2452" s="9" t="str">
        <f>IFERROR(__xludf.DUMMYFUNCTION("""COMPUTED_VALUE"""),"Completed")</f>
        <v>Completed</v>
      </c>
    </row>
    <row r="2453">
      <c r="A2453" s="9" t="str">
        <f>IFERROR(__xludf.DUMMYFUNCTION("""COMPUTED_VALUE"""),"G-REQ-02452")</f>
        <v>G-REQ-02452</v>
      </c>
      <c r="B2453" s="11">
        <f>IFERROR(__xludf.DUMMYFUNCTION("""COMPUTED_VALUE"""),45935.834962779016)</f>
        <v>45935.83496</v>
      </c>
      <c r="C2453" s="9">
        <f>IFERROR(__xludf.DUMMYFUNCTION("""COMPUTED_VALUE"""),9675.0)</f>
        <v>9675</v>
      </c>
      <c r="D2453" s="9" t="str">
        <f>IFERROR(__xludf.DUMMYFUNCTION("""COMPUTED_VALUE"""),"Completed")</f>
        <v>Completed</v>
      </c>
    </row>
    <row r="2454">
      <c r="A2454" s="9" t="str">
        <f>IFERROR(__xludf.DUMMYFUNCTION("""COMPUTED_VALUE"""),"G-REQ-02453")</f>
        <v>G-REQ-02453</v>
      </c>
      <c r="B2454" s="11">
        <f>IFERROR(__xludf.DUMMYFUNCTION("""COMPUTED_VALUE"""),45935.906137624435)</f>
        <v>45935.90614</v>
      </c>
      <c r="C2454" s="9">
        <f>IFERROR(__xludf.DUMMYFUNCTION("""COMPUTED_VALUE"""),9679.0)</f>
        <v>9679</v>
      </c>
      <c r="D2454" s="9" t="str">
        <f>IFERROR(__xludf.DUMMYFUNCTION("""COMPUTED_VALUE"""),"Completed")</f>
        <v>Completed</v>
      </c>
    </row>
    <row r="2455">
      <c r="A2455" s="9" t="str">
        <f>IFERROR(__xludf.DUMMYFUNCTION("""COMPUTED_VALUE"""),"G-REQ-02454")</f>
        <v>G-REQ-02454</v>
      </c>
      <c r="B2455" s="11">
        <f>IFERROR(__xludf.DUMMYFUNCTION("""COMPUTED_VALUE"""),45935.97731246984)</f>
        <v>45935.97731</v>
      </c>
      <c r="C2455" s="9">
        <f>IFERROR(__xludf.DUMMYFUNCTION("""COMPUTED_VALUE"""),9683.0)</f>
        <v>9683</v>
      </c>
      <c r="D2455" s="9" t="str">
        <f>IFERROR(__xludf.DUMMYFUNCTION("""COMPUTED_VALUE"""),"Completed")</f>
        <v>Completed</v>
      </c>
    </row>
    <row r="2456">
      <c r="A2456" s="9" t="str">
        <f>IFERROR(__xludf.DUMMYFUNCTION("""COMPUTED_VALUE"""),"G-REQ-02455")</f>
        <v>G-REQ-02455</v>
      </c>
      <c r="B2456" s="11">
        <f>IFERROR(__xludf.DUMMYFUNCTION("""COMPUTED_VALUE"""),45936.04848731526)</f>
        <v>45936.04849</v>
      </c>
      <c r="C2456" s="9">
        <f>IFERROR(__xludf.DUMMYFUNCTION("""COMPUTED_VALUE"""),9687.0)</f>
        <v>9687</v>
      </c>
      <c r="D2456" s="9" t="str">
        <f>IFERROR(__xludf.DUMMYFUNCTION("""COMPUTED_VALUE"""),"Completed")</f>
        <v>Completed</v>
      </c>
    </row>
    <row r="2457">
      <c r="A2457" s="9" t="str">
        <f>IFERROR(__xludf.DUMMYFUNCTION("""COMPUTED_VALUE"""),"G-REQ-02456")</f>
        <v>G-REQ-02456</v>
      </c>
      <c r="B2457" s="11">
        <f>IFERROR(__xludf.DUMMYFUNCTION("""COMPUTED_VALUE"""),45936.11966216068)</f>
        <v>45936.11966</v>
      </c>
      <c r="C2457" s="9">
        <f>IFERROR(__xludf.DUMMYFUNCTION("""COMPUTED_VALUE"""),9691.0)</f>
        <v>9691</v>
      </c>
      <c r="D2457" s="9" t="str">
        <f>IFERROR(__xludf.DUMMYFUNCTION("""COMPUTED_VALUE"""),"Completed")</f>
        <v>Completed</v>
      </c>
    </row>
    <row r="2458">
      <c r="A2458" s="9" t="str">
        <f>IFERROR(__xludf.DUMMYFUNCTION("""COMPUTED_VALUE"""),"G-REQ-02457")</f>
        <v>G-REQ-02457</v>
      </c>
      <c r="B2458" s="11">
        <f>IFERROR(__xludf.DUMMYFUNCTION("""COMPUTED_VALUE"""),45936.19083700609)</f>
        <v>45936.19084</v>
      </c>
      <c r="C2458" s="9">
        <f>IFERROR(__xludf.DUMMYFUNCTION("""COMPUTED_VALUE"""),9695.0)</f>
        <v>9695</v>
      </c>
      <c r="D2458" s="9" t="str">
        <f>IFERROR(__xludf.DUMMYFUNCTION("""COMPUTED_VALUE"""),"Completed")</f>
        <v>Completed</v>
      </c>
    </row>
    <row r="2459">
      <c r="A2459" s="9" t="str">
        <f>IFERROR(__xludf.DUMMYFUNCTION("""COMPUTED_VALUE"""),"G-REQ-02458")</f>
        <v>G-REQ-02458</v>
      </c>
      <c r="B2459" s="11">
        <f>IFERROR(__xludf.DUMMYFUNCTION("""COMPUTED_VALUE"""),45936.262011851504)</f>
        <v>45936.26201</v>
      </c>
      <c r="C2459" s="9">
        <f>IFERROR(__xludf.DUMMYFUNCTION("""COMPUTED_VALUE"""),9699.0)</f>
        <v>9699</v>
      </c>
      <c r="D2459" s="9" t="str">
        <f>IFERROR(__xludf.DUMMYFUNCTION("""COMPUTED_VALUE"""),"Completed")</f>
        <v>Completed</v>
      </c>
    </row>
    <row r="2460">
      <c r="A2460" s="9" t="str">
        <f>IFERROR(__xludf.DUMMYFUNCTION("""COMPUTED_VALUE"""),"G-REQ-02459")</f>
        <v>G-REQ-02459</v>
      </c>
      <c r="B2460" s="11">
        <f>IFERROR(__xludf.DUMMYFUNCTION("""COMPUTED_VALUE"""),45936.333186696924)</f>
        <v>45936.33319</v>
      </c>
      <c r="C2460" s="9">
        <f>IFERROR(__xludf.DUMMYFUNCTION("""COMPUTED_VALUE"""),9703.0)</f>
        <v>9703</v>
      </c>
      <c r="D2460" s="9" t="str">
        <f>IFERROR(__xludf.DUMMYFUNCTION("""COMPUTED_VALUE"""),"Completed")</f>
        <v>Completed</v>
      </c>
    </row>
    <row r="2461">
      <c r="A2461" s="9" t="str">
        <f>IFERROR(__xludf.DUMMYFUNCTION("""COMPUTED_VALUE"""),"G-REQ-02460")</f>
        <v>G-REQ-02460</v>
      </c>
      <c r="B2461" s="11">
        <f>IFERROR(__xludf.DUMMYFUNCTION("""COMPUTED_VALUE"""),45936.404361542336)</f>
        <v>45936.40436</v>
      </c>
      <c r="C2461" s="9">
        <f>IFERROR(__xludf.DUMMYFUNCTION("""COMPUTED_VALUE"""),9707.0)</f>
        <v>9707</v>
      </c>
      <c r="D2461" s="9" t="str">
        <f>IFERROR(__xludf.DUMMYFUNCTION("""COMPUTED_VALUE"""),"Completed")</f>
        <v>Completed</v>
      </c>
    </row>
    <row r="2462">
      <c r="A2462" s="9" t="str">
        <f>IFERROR(__xludf.DUMMYFUNCTION("""COMPUTED_VALUE"""),"G-REQ-02461")</f>
        <v>G-REQ-02461</v>
      </c>
      <c r="B2462" s="11">
        <f>IFERROR(__xludf.DUMMYFUNCTION("""COMPUTED_VALUE"""),45936.47553638775)</f>
        <v>45936.47554</v>
      </c>
      <c r="C2462" s="9">
        <f>IFERROR(__xludf.DUMMYFUNCTION("""COMPUTED_VALUE"""),9711.0)</f>
        <v>9711</v>
      </c>
      <c r="D2462" s="9" t="str">
        <f>IFERROR(__xludf.DUMMYFUNCTION("""COMPUTED_VALUE"""),"Completed")</f>
        <v>Completed</v>
      </c>
    </row>
    <row r="2463">
      <c r="A2463" s="9" t="str">
        <f>IFERROR(__xludf.DUMMYFUNCTION("""COMPUTED_VALUE"""),"G-REQ-02462")</f>
        <v>G-REQ-02462</v>
      </c>
      <c r="B2463" s="11">
        <f>IFERROR(__xludf.DUMMYFUNCTION("""COMPUTED_VALUE"""),45936.54671123317)</f>
        <v>45936.54671</v>
      </c>
      <c r="C2463" s="9">
        <f>IFERROR(__xludf.DUMMYFUNCTION("""COMPUTED_VALUE"""),9715.0)</f>
        <v>9715</v>
      </c>
      <c r="D2463" s="9" t="str">
        <f>IFERROR(__xludf.DUMMYFUNCTION("""COMPUTED_VALUE"""),"Completed")</f>
        <v>Completed</v>
      </c>
    </row>
    <row r="2464">
      <c r="A2464" s="9" t="str">
        <f>IFERROR(__xludf.DUMMYFUNCTION("""COMPUTED_VALUE"""),"G-REQ-02463")</f>
        <v>G-REQ-02463</v>
      </c>
      <c r="B2464" s="11">
        <f>IFERROR(__xludf.DUMMYFUNCTION("""COMPUTED_VALUE"""),45936.61788607859)</f>
        <v>45936.61789</v>
      </c>
      <c r="C2464" s="9">
        <f>IFERROR(__xludf.DUMMYFUNCTION("""COMPUTED_VALUE"""),9719.0)</f>
        <v>9719</v>
      </c>
      <c r="D2464" s="9" t="str">
        <f>IFERROR(__xludf.DUMMYFUNCTION("""COMPUTED_VALUE"""),"Completed")</f>
        <v>Completed</v>
      </c>
    </row>
    <row r="2465">
      <c r="A2465" s="9" t="str">
        <f>IFERROR(__xludf.DUMMYFUNCTION("""COMPUTED_VALUE"""),"G-REQ-02464")</f>
        <v>G-REQ-02464</v>
      </c>
      <c r="B2465" s="11">
        <f>IFERROR(__xludf.DUMMYFUNCTION("""COMPUTED_VALUE"""),45936.68906092399)</f>
        <v>45936.68906</v>
      </c>
      <c r="C2465" s="9">
        <f>IFERROR(__xludf.DUMMYFUNCTION("""COMPUTED_VALUE"""),9723.0)</f>
        <v>9723</v>
      </c>
      <c r="D2465" s="9" t="str">
        <f>IFERROR(__xludf.DUMMYFUNCTION("""COMPUTED_VALUE"""),"Completed")</f>
        <v>Completed</v>
      </c>
    </row>
    <row r="2466">
      <c r="A2466" s="9" t="str">
        <f>IFERROR(__xludf.DUMMYFUNCTION("""COMPUTED_VALUE"""),"G-REQ-02465")</f>
        <v>G-REQ-02465</v>
      </c>
      <c r="B2466" s="11">
        <f>IFERROR(__xludf.DUMMYFUNCTION("""COMPUTED_VALUE"""),45936.76023576941)</f>
        <v>45936.76024</v>
      </c>
      <c r="C2466" s="9">
        <f>IFERROR(__xludf.DUMMYFUNCTION("""COMPUTED_VALUE"""),9727.0)</f>
        <v>9727</v>
      </c>
      <c r="D2466" s="9" t="str">
        <f>IFERROR(__xludf.DUMMYFUNCTION("""COMPUTED_VALUE"""),"Completed")</f>
        <v>Completed</v>
      </c>
    </row>
    <row r="2467">
      <c r="A2467" s="9" t="str">
        <f>IFERROR(__xludf.DUMMYFUNCTION("""COMPUTED_VALUE"""),"G-REQ-02466")</f>
        <v>G-REQ-02466</v>
      </c>
      <c r="B2467" s="11">
        <f>IFERROR(__xludf.DUMMYFUNCTION("""COMPUTED_VALUE"""),45936.82446617038)</f>
        <v>45936.82447</v>
      </c>
      <c r="C2467" s="9">
        <f>IFERROR(__xludf.DUMMYFUNCTION("""COMPUTED_VALUE"""),9729.0)</f>
        <v>9729</v>
      </c>
      <c r="D2467" s="9" t="str">
        <f>IFERROR(__xludf.DUMMYFUNCTION("""COMPUTED_VALUE"""),"Rejected")</f>
        <v>Rejected</v>
      </c>
    </row>
    <row r="2468">
      <c r="A2468" s="9" t="str">
        <f>IFERROR(__xludf.DUMMYFUNCTION("""COMPUTED_VALUE"""),"G-REQ-02467")</f>
        <v>G-REQ-02467</v>
      </c>
      <c r="B2468" s="11">
        <f>IFERROR(__xludf.DUMMYFUNCTION("""COMPUTED_VALUE"""),45936.902585460244)</f>
        <v>45936.90259</v>
      </c>
      <c r="C2468" s="9">
        <f>IFERROR(__xludf.DUMMYFUNCTION("""COMPUTED_VALUE"""),9733.0)</f>
        <v>9733</v>
      </c>
      <c r="D2468" s="9" t="str">
        <f>IFERROR(__xludf.DUMMYFUNCTION("""COMPUTED_VALUE"""),"Completed")</f>
        <v>Completed</v>
      </c>
    </row>
    <row r="2469">
      <c r="A2469" s="9" t="str">
        <f>IFERROR(__xludf.DUMMYFUNCTION("""COMPUTED_VALUE"""),"G-REQ-02468")</f>
        <v>G-REQ-02468</v>
      </c>
      <c r="B2469" s="11">
        <f>IFERROR(__xludf.DUMMYFUNCTION("""COMPUTED_VALUE"""),45936.97376030566)</f>
        <v>45936.97376</v>
      </c>
      <c r="C2469" s="9">
        <f>IFERROR(__xludf.DUMMYFUNCTION("""COMPUTED_VALUE"""),9737.0)</f>
        <v>9737</v>
      </c>
      <c r="D2469" s="9" t="str">
        <f>IFERROR(__xludf.DUMMYFUNCTION("""COMPUTED_VALUE"""),"Completed")</f>
        <v>Completed</v>
      </c>
    </row>
    <row r="2470">
      <c r="A2470" s="9" t="str">
        <f>IFERROR(__xludf.DUMMYFUNCTION("""COMPUTED_VALUE"""),"G-REQ-02469")</f>
        <v>G-REQ-02469</v>
      </c>
      <c r="B2470" s="11">
        <f>IFERROR(__xludf.DUMMYFUNCTION("""COMPUTED_VALUE"""),45937.03799070663)</f>
        <v>45937.03799</v>
      </c>
      <c r="C2470" s="9">
        <f>IFERROR(__xludf.DUMMYFUNCTION("""COMPUTED_VALUE"""),9739.0)</f>
        <v>9739</v>
      </c>
      <c r="D2470" s="9" t="str">
        <f>IFERROR(__xludf.DUMMYFUNCTION("""COMPUTED_VALUE"""),"Rejected")</f>
        <v>Rejected</v>
      </c>
    </row>
    <row r="2471">
      <c r="A2471" s="9" t="str">
        <f>IFERROR(__xludf.DUMMYFUNCTION("""COMPUTED_VALUE"""),"G-REQ-02470")</f>
        <v>G-REQ-02470</v>
      </c>
      <c r="B2471" s="11">
        <f>IFERROR(__xludf.DUMMYFUNCTION("""COMPUTED_VALUE"""),45937.11610999648)</f>
        <v>45937.11611</v>
      </c>
      <c r="C2471" s="9">
        <f>IFERROR(__xludf.DUMMYFUNCTION("""COMPUTED_VALUE"""),9743.0)</f>
        <v>9743</v>
      </c>
      <c r="D2471" s="9" t="str">
        <f>IFERROR(__xludf.DUMMYFUNCTION("""COMPUTED_VALUE"""),"Completed")</f>
        <v>Completed</v>
      </c>
    </row>
    <row r="2472">
      <c r="A2472" s="9" t="str">
        <f>IFERROR(__xludf.DUMMYFUNCTION("""COMPUTED_VALUE"""),"G-REQ-02471")</f>
        <v>G-REQ-02471</v>
      </c>
      <c r="B2472" s="11">
        <f>IFERROR(__xludf.DUMMYFUNCTION("""COMPUTED_VALUE"""),45937.1872848419)</f>
        <v>45937.18728</v>
      </c>
      <c r="C2472" s="9">
        <f>IFERROR(__xludf.DUMMYFUNCTION("""COMPUTED_VALUE"""),9747.0)</f>
        <v>9747</v>
      </c>
      <c r="D2472" s="9" t="str">
        <f>IFERROR(__xludf.DUMMYFUNCTION("""COMPUTED_VALUE"""),"Completed")</f>
        <v>Completed</v>
      </c>
    </row>
    <row r="2473">
      <c r="A2473" s="9" t="str">
        <f>IFERROR(__xludf.DUMMYFUNCTION("""COMPUTED_VALUE"""),"G-REQ-02472")</f>
        <v>G-REQ-02472</v>
      </c>
      <c r="B2473" s="11">
        <f>IFERROR(__xludf.DUMMYFUNCTION("""COMPUTED_VALUE"""),45937.25845968732)</f>
        <v>45937.25846</v>
      </c>
      <c r="C2473" s="9">
        <f>IFERROR(__xludf.DUMMYFUNCTION("""COMPUTED_VALUE"""),9751.0)</f>
        <v>9751</v>
      </c>
      <c r="D2473" s="9" t="str">
        <f>IFERROR(__xludf.DUMMYFUNCTION("""COMPUTED_VALUE"""),"Completed")</f>
        <v>Completed</v>
      </c>
    </row>
    <row r="2474">
      <c r="A2474" s="9" t="str">
        <f>IFERROR(__xludf.DUMMYFUNCTION("""COMPUTED_VALUE"""),"G-REQ-02473")</f>
        <v>G-REQ-02473</v>
      </c>
      <c r="B2474" s="11">
        <f>IFERROR(__xludf.DUMMYFUNCTION("""COMPUTED_VALUE"""),45937.32269008829)</f>
        <v>45937.32269</v>
      </c>
      <c r="C2474" s="9">
        <f>IFERROR(__xludf.DUMMYFUNCTION("""COMPUTED_VALUE"""),9753.0)</f>
        <v>9753</v>
      </c>
      <c r="D2474" s="9" t="str">
        <f>IFERROR(__xludf.DUMMYFUNCTION("""COMPUTED_VALUE"""),"Rejected")</f>
        <v>Rejected</v>
      </c>
    </row>
    <row r="2475">
      <c r="A2475" s="9" t="str">
        <f>IFERROR(__xludf.DUMMYFUNCTION("""COMPUTED_VALUE"""),"G-REQ-02474")</f>
        <v>G-REQ-02474</v>
      </c>
      <c r="B2475" s="11">
        <f>IFERROR(__xludf.DUMMYFUNCTION("""COMPUTED_VALUE"""),45937.400809378145)</f>
        <v>45937.40081</v>
      </c>
      <c r="C2475" s="9">
        <f>IFERROR(__xludf.DUMMYFUNCTION("""COMPUTED_VALUE"""),9757.0)</f>
        <v>9757</v>
      </c>
      <c r="D2475" s="9" t="str">
        <f>IFERROR(__xludf.DUMMYFUNCTION("""COMPUTED_VALUE"""),"Completed")</f>
        <v>Completed</v>
      </c>
    </row>
    <row r="2476">
      <c r="A2476" s="9" t="str">
        <f>IFERROR(__xludf.DUMMYFUNCTION("""COMPUTED_VALUE"""),"G-REQ-02475")</f>
        <v>G-REQ-02475</v>
      </c>
      <c r="B2476" s="11">
        <f>IFERROR(__xludf.DUMMYFUNCTION("""COMPUTED_VALUE"""),45937.471984223565)</f>
        <v>45937.47198</v>
      </c>
      <c r="C2476" s="9">
        <f>IFERROR(__xludf.DUMMYFUNCTION("""COMPUTED_VALUE"""),9761.0)</f>
        <v>9761</v>
      </c>
      <c r="D2476" s="9" t="str">
        <f>IFERROR(__xludf.DUMMYFUNCTION("""COMPUTED_VALUE"""),"Completed")</f>
        <v>Completed</v>
      </c>
    </row>
    <row r="2477">
      <c r="A2477" s="9" t="str">
        <f>IFERROR(__xludf.DUMMYFUNCTION("""COMPUTED_VALUE"""),"G-REQ-02476")</f>
        <v>G-REQ-02476</v>
      </c>
      <c r="B2477" s="11">
        <f>IFERROR(__xludf.DUMMYFUNCTION("""COMPUTED_VALUE"""),45937.54315906898)</f>
        <v>45937.54316</v>
      </c>
      <c r="C2477" s="9">
        <f>IFERROR(__xludf.DUMMYFUNCTION("""COMPUTED_VALUE"""),9765.0)</f>
        <v>9765</v>
      </c>
      <c r="D2477" s="9" t="str">
        <f>IFERROR(__xludf.DUMMYFUNCTION("""COMPUTED_VALUE"""),"Completed")</f>
        <v>Completed</v>
      </c>
    </row>
    <row r="2478">
      <c r="A2478" s="9" t="str">
        <f>IFERROR(__xludf.DUMMYFUNCTION("""COMPUTED_VALUE"""),"G-REQ-02477")</f>
        <v>G-REQ-02477</v>
      </c>
      <c r="B2478" s="11">
        <f>IFERROR(__xludf.DUMMYFUNCTION("""COMPUTED_VALUE"""),45937.61433391439)</f>
        <v>45937.61433</v>
      </c>
      <c r="C2478" s="9">
        <f>IFERROR(__xludf.DUMMYFUNCTION("""COMPUTED_VALUE"""),9769.0)</f>
        <v>9769</v>
      </c>
      <c r="D2478" s="9" t="str">
        <f>IFERROR(__xludf.DUMMYFUNCTION("""COMPUTED_VALUE"""),"Completed")</f>
        <v>Completed</v>
      </c>
    </row>
    <row r="2479">
      <c r="A2479" s="9" t="str">
        <f>IFERROR(__xludf.DUMMYFUNCTION("""COMPUTED_VALUE"""),"G-REQ-02478")</f>
        <v>G-REQ-02478</v>
      </c>
      <c r="B2479" s="11">
        <f>IFERROR(__xludf.DUMMYFUNCTION("""COMPUTED_VALUE"""),45937.68550875981)</f>
        <v>45937.68551</v>
      </c>
      <c r="C2479" s="9">
        <f>IFERROR(__xludf.DUMMYFUNCTION("""COMPUTED_VALUE"""),9773.0)</f>
        <v>9773</v>
      </c>
      <c r="D2479" s="9" t="str">
        <f>IFERROR(__xludf.DUMMYFUNCTION("""COMPUTED_VALUE"""),"Completed")</f>
        <v>Completed</v>
      </c>
    </row>
    <row r="2480">
      <c r="A2480" s="9" t="str">
        <f>IFERROR(__xludf.DUMMYFUNCTION("""COMPUTED_VALUE"""),"G-REQ-02479")</f>
        <v>G-REQ-02479</v>
      </c>
      <c r="B2480" s="11">
        <f>IFERROR(__xludf.DUMMYFUNCTION("""COMPUTED_VALUE"""),45937.75668360523)</f>
        <v>45937.75668</v>
      </c>
      <c r="C2480" s="9">
        <f>IFERROR(__xludf.DUMMYFUNCTION("""COMPUTED_VALUE"""),9777.0)</f>
        <v>9777</v>
      </c>
      <c r="D2480" s="9" t="str">
        <f>IFERROR(__xludf.DUMMYFUNCTION("""COMPUTED_VALUE"""),"Completed")</f>
        <v>Completed</v>
      </c>
    </row>
    <row r="2481">
      <c r="A2481" s="9" t="str">
        <f>IFERROR(__xludf.DUMMYFUNCTION("""COMPUTED_VALUE"""),"G-REQ-02480")</f>
        <v>G-REQ-02480</v>
      </c>
      <c r="B2481" s="11">
        <f>IFERROR(__xludf.DUMMYFUNCTION("""COMPUTED_VALUE"""),45937.82785845063)</f>
        <v>45937.82786</v>
      </c>
      <c r="C2481" s="9">
        <f>IFERROR(__xludf.DUMMYFUNCTION("""COMPUTED_VALUE"""),9781.0)</f>
        <v>9781</v>
      </c>
      <c r="D2481" s="9" t="str">
        <f>IFERROR(__xludf.DUMMYFUNCTION("""COMPUTED_VALUE"""),"Completed")</f>
        <v>Completed</v>
      </c>
    </row>
    <row r="2482">
      <c r="A2482" s="9" t="str">
        <f>IFERROR(__xludf.DUMMYFUNCTION("""COMPUTED_VALUE"""),"G-REQ-02481")</f>
        <v>G-REQ-02481</v>
      </c>
      <c r="B2482" s="11">
        <f>IFERROR(__xludf.DUMMYFUNCTION("""COMPUTED_VALUE"""),45937.89903329605)</f>
        <v>45937.89903</v>
      </c>
      <c r="C2482" s="9">
        <f>IFERROR(__xludf.DUMMYFUNCTION("""COMPUTED_VALUE"""),9785.0)</f>
        <v>9785</v>
      </c>
      <c r="D2482" s="9" t="str">
        <f>IFERROR(__xludf.DUMMYFUNCTION("""COMPUTED_VALUE"""),"Completed")</f>
        <v>Completed</v>
      </c>
    </row>
    <row r="2483">
      <c r="A2483" s="9" t="str">
        <f>IFERROR(__xludf.DUMMYFUNCTION("""COMPUTED_VALUE"""),"G-REQ-02482")</f>
        <v>G-REQ-02482</v>
      </c>
      <c r="B2483" s="11">
        <f>IFERROR(__xludf.DUMMYFUNCTION("""COMPUTED_VALUE"""),45937.97020814147)</f>
        <v>45937.97021</v>
      </c>
      <c r="C2483" s="9">
        <f>IFERROR(__xludf.DUMMYFUNCTION("""COMPUTED_VALUE"""),9789.0)</f>
        <v>9789</v>
      </c>
      <c r="D2483" s="9" t="str">
        <f>IFERROR(__xludf.DUMMYFUNCTION("""COMPUTED_VALUE"""),"Completed")</f>
        <v>Completed</v>
      </c>
    </row>
    <row r="2484">
      <c r="A2484" s="9" t="str">
        <f>IFERROR(__xludf.DUMMYFUNCTION("""COMPUTED_VALUE"""),"G-REQ-02483")</f>
        <v>G-REQ-02483</v>
      </c>
      <c r="B2484" s="11">
        <f>IFERROR(__xludf.DUMMYFUNCTION("""COMPUTED_VALUE"""),45938.041382986885)</f>
        <v>45938.04138</v>
      </c>
      <c r="C2484" s="9">
        <f>IFERROR(__xludf.DUMMYFUNCTION("""COMPUTED_VALUE"""),9793.0)</f>
        <v>9793</v>
      </c>
      <c r="D2484" s="9" t="str">
        <f>IFERROR(__xludf.DUMMYFUNCTION("""COMPUTED_VALUE"""),"Completed")</f>
        <v>Completed</v>
      </c>
    </row>
    <row r="2485">
      <c r="A2485" s="9" t="str">
        <f>IFERROR(__xludf.DUMMYFUNCTION("""COMPUTED_VALUE"""),"G-REQ-02484")</f>
        <v>G-REQ-02484</v>
      </c>
      <c r="B2485" s="11">
        <f>IFERROR(__xludf.DUMMYFUNCTION("""COMPUTED_VALUE"""),45938.10561338785)</f>
        <v>45938.10561</v>
      </c>
      <c r="C2485" s="9">
        <f>IFERROR(__xludf.DUMMYFUNCTION("""COMPUTED_VALUE"""),9795.0)</f>
        <v>9795</v>
      </c>
      <c r="D2485" s="9" t="str">
        <f>IFERROR(__xludf.DUMMYFUNCTION("""COMPUTED_VALUE"""),"Rejected")</f>
        <v>Rejected</v>
      </c>
    </row>
    <row r="2486">
      <c r="A2486" s="9" t="str">
        <f>IFERROR(__xludf.DUMMYFUNCTION("""COMPUTED_VALUE"""),"G-REQ-02485")</f>
        <v>G-REQ-02485</v>
      </c>
      <c r="B2486" s="11">
        <f>IFERROR(__xludf.DUMMYFUNCTION("""COMPUTED_VALUE"""),45938.18373267772)</f>
        <v>45938.18373</v>
      </c>
      <c r="C2486" s="9">
        <f>IFERROR(__xludf.DUMMYFUNCTION("""COMPUTED_VALUE"""),9799.0)</f>
        <v>9799</v>
      </c>
      <c r="D2486" s="9" t="str">
        <f>IFERROR(__xludf.DUMMYFUNCTION("""COMPUTED_VALUE"""),"Completed")</f>
        <v>Completed</v>
      </c>
    </row>
    <row r="2487">
      <c r="A2487" s="9" t="str">
        <f>IFERROR(__xludf.DUMMYFUNCTION("""COMPUTED_VALUE"""),"G-REQ-02486")</f>
        <v>G-REQ-02486</v>
      </c>
      <c r="B2487" s="11">
        <f>IFERROR(__xludf.DUMMYFUNCTION("""COMPUTED_VALUE"""),45938.25490752313)</f>
        <v>45938.25491</v>
      </c>
      <c r="C2487" s="9">
        <f>IFERROR(__xludf.DUMMYFUNCTION("""COMPUTED_VALUE"""),9803.0)</f>
        <v>9803</v>
      </c>
      <c r="D2487" s="9" t="str">
        <f>IFERROR(__xludf.DUMMYFUNCTION("""COMPUTED_VALUE"""),"Completed")</f>
        <v>Completed</v>
      </c>
    </row>
    <row r="2488">
      <c r="A2488" s="9" t="str">
        <f>IFERROR(__xludf.DUMMYFUNCTION("""COMPUTED_VALUE"""),"G-REQ-02487")</f>
        <v>G-REQ-02487</v>
      </c>
      <c r="B2488" s="11">
        <f>IFERROR(__xludf.DUMMYFUNCTION("""COMPUTED_VALUE"""),45938.32608236854)</f>
        <v>45938.32608</v>
      </c>
      <c r="C2488" s="9">
        <f>IFERROR(__xludf.DUMMYFUNCTION("""COMPUTED_VALUE"""),9807.0)</f>
        <v>9807</v>
      </c>
      <c r="D2488" s="9" t="str">
        <f>IFERROR(__xludf.DUMMYFUNCTION("""COMPUTED_VALUE"""),"Completed")</f>
        <v>Completed</v>
      </c>
    </row>
    <row r="2489">
      <c r="A2489" s="9" t="str">
        <f>IFERROR(__xludf.DUMMYFUNCTION("""COMPUTED_VALUE"""),"G-REQ-02488")</f>
        <v>G-REQ-02488</v>
      </c>
      <c r="B2489" s="11">
        <f>IFERROR(__xludf.DUMMYFUNCTION("""COMPUTED_VALUE"""),45938.39725721396)</f>
        <v>45938.39726</v>
      </c>
      <c r="C2489" s="9">
        <f>IFERROR(__xludf.DUMMYFUNCTION("""COMPUTED_VALUE"""),9811.0)</f>
        <v>9811</v>
      </c>
      <c r="D2489" s="9" t="str">
        <f>IFERROR(__xludf.DUMMYFUNCTION("""COMPUTED_VALUE"""),"Completed")</f>
        <v>Completed</v>
      </c>
    </row>
    <row r="2490">
      <c r="A2490" s="9" t="str">
        <f>IFERROR(__xludf.DUMMYFUNCTION("""COMPUTED_VALUE"""),"G-REQ-02489")</f>
        <v>G-REQ-02489</v>
      </c>
      <c r="B2490" s="11">
        <f>IFERROR(__xludf.DUMMYFUNCTION("""COMPUTED_VALUE"""),45938.46843205937)</f>
        <v>45938.46843</v>
      </c>
      <c r="C2490" s="9">
        <f>IFERROR(__xludf.DUMMYFUNCTION("""COMPUTED_VALUE"""),9815.0)</f>
        <v>9815</v>
      </c>
      <c r="D2490" s="9" t="str">
        <f>IFERROR(__xludf.DUMMYFUNCTION("""COMPUTED_VALUE"""),"Completed")</f>
        <v>Completed</v>
      </c>
    </row>
    <row r="2491">
      <c r="A2491" s="9" t="str">
        <f>IFERROR(__xludf.DUMMYFUNCTION("""COMPUTED_VALUE"""),"G-REQ-02490")</f>
        <v>G-REQ-02490</v>
      </c>
      <c r="B2491" s="11">
        <f>IFERROR(__xludf.DUMMYFUNCTION("""COMPUTED_VALUE"""),45938.539606904786)</f>
        <v>45938.53961</v>
      </c>
      <c r="C2491" s="9">
        <f>IFERROR(__xludf.DUMMYFUNCTION("""COMPUTED_VALUE"""),9819.0)</f>
        <v>9819</v>
      </c>
      <c r="D2491" s="9" t="str">
        <f>IFERROR(__xludf.DUMMYFUNCTION("""COMPUTED_VALUE"""),"Completed")</f>
        <v>Completed</v>
      </c>
    </row>
    <row r="2492">
      <c r="A2492" s="9" t="str">
        <f>IFERROR(__xludf.DUMMYFUNCTION("""COMPUTED_VALUE"""),"G-REQ-02491")</f>
        <v>G-REQ-02491</v>
      </c>
      <c r="B2492" s="11">
        <f>IFERROR(__xludf.DUMMYFUNCTION("""COMPUTED_VALUE"""),45938.610781750205)</f>
        <v>45938.61078</v>
      </c>
      <c r="C2492" s="9">
        <f>IFERROR(__xludf.DUMMYFUNCTION("""COMPUTED_VALUE"""),9823.0)</f>
        <v>9823</v>
      </c>
      <c r="D2492" s="9" t="str">
        <f>IFERROR(__xludf.DUMMYFUNCTION("""COMPUTED_VALUE"""),"Completed")</f>
        <v>Completed</v>
      </c>
    </row>
    <row r="2493">
      <c r="A2493" s="9" t="str">
        <f>IFERROR(__xludf.DUMMYFUNCTION("""COMPUTED_VALUE"""),"G-REQ-02492")</f>
        <v>G-REQ-02492</v>
      </c>
      <c r="B2493" s="11">
        <f>IFERROR(__xludf.DUMMYFUNCTION("""COMPUTED_VALUE"""),45938.68195659562)</f>
        <v>45938.68196</v>
      </c>
      <c r="C2493" s="9">
        <f>IFERROR(__xludf.DUMMYFUNCTION("""COMPUTED_VALUE"""),9827.0)</f>
        <v>9827</v>
      </c>
      <c r="D2493" s="9" t="str">
        <f>IFERROR(__xludf.DUMMYFUNCTION("""COMPUTED_VALUE"""),"Completed")</f>
        <v>Completed</v>
      </c>
    </row>
    <row r="2494">
      <c r="A2494" s="9" t="str">
        <f>IFERROR(__xludf.DUMMYFUNCTION("""COMPUTED_VALUE"""),"G-REQ-02493")</f>
        <v>G-REQ-02493</v>
      </c>
      <c r="B2494" s="11">
        <f>IFERROR(__xludf.DUMMYFUNCTION("""COMPUTED_VALUE"""),45938.75313144103)</f>
        <v>45938.75313</v>
      </c>
      <c r="C2494" s="9">
        <f>IFERROR(__xludf.DUMMYFUNCTION("""COMPUTED_VALUE"""),9831.0)</f>
        <v>9831</v>
      </c>
      <c r="D2494" s="9" t="str">
        <f>IFERROR(__xludf.DUMMYFUNCTION("""COMPUTED_VALUE"""),"Completed")</f>
        <v>Completed</v>
      </c>
    </row>
    <row r="2495">
      <c r="A2495" s="9" t="str">
        <f>IFERROR(__xludf.DUMMYFUNCTION("""COMPUTED_VALUE"""),"G-REQ-02494")</f>
        <v>G-REQ-02494</v>
      </c>
      <c r="B2495" s="11">
        <f>IFERROR(__xludf.DUMMYFUNCTION("""COMPUTED_VALUE"""),45938.82430628645)</f>
        <v>45938.82431</v>
      </c>
      <c r="C2495" s="9">
        <f>IFERROR(__xludf.DUMMYFUNCTION("""COMPUTED_VALUE"""),9835.0)</f>
        <v>9835</v>
      </c>
      <c r="D2495" s="9" t="str">
        <f>IFERROR(__xludf.DUMMYFUNCTION("""COMPUTED_VALUE"""),"Completed")</f>
        <v>Completed</v>
      </c>
    </row>
    <row r="2496">
      <c r="A2496" s="9" t="str">
        <f>IFERROR(__xludf.DUMMYFUNCTION("""COMPUTED_VALUE"""),"G-REQ-02495")</f>
        <v>G-REQ-02495</v>
      </c>
      <c r="B2496" s="11">
        <f>IFERROR(__xludf.DUMMYFUNCTION("""COMPUTED_VALUE"""),45938.89548113187)</f>
        <v>45938.89548</v>
      </c>
      <c r="C2496" s="9">
        <f>IFERROR(__xludf.DUMMYFUNCTION("""COMPUTED_VALUE"""),9839.0)</f>
        <v>9839</v>
      </c>
      <c r="D2496" s="9" t="str">
        <f>IFERROR(__xludf.DUMMYFUNCTION("""COMPUTED_VALUE"""),"Completed")</f>
        <v>Completed</v>
      </c>
    </row>
    <row r="2497">
      <c r="A2497" s="9" t="str">
        <f>IFERROR(__xludf.DUMMYFUNCTION("""COMPUTED_VALUE"""),"G-REQ-02496")</f>
        <v>G-REQ-02496</v>
      </c>
      <c r="B2497" s="11">
        <f>IFERROR(__xludf.DUMMYFUNCTION("""COMPUTED_VALUE"""),45938.95971153283)</f>
        <v>45938.95971</v>
      </c>
      <c r="C2497" s="9">
        <f>IFERROR(__xludf.DUMMYFUNCTION("""COMPUTED_VALUE"""),9841.0)</f>
        <v>9841</v>
      </c>
      <c r="D2497" s="9" t="str">
        <f>IFERROR(__xludf.DUMMYFUNCTION("""COMPUTED_VALUE"""),"Cancelled")</f>
        <v>Cancelled</v>
      </c>
    </row>
    <row r="2498">
      <c r="A2498" s="9" t="str">
        <f>IFERROR(__xludf.DUMMYFUNCTION("""COMPUTED_VALUE"""),"G-REQ-02497")</f>
        <v>G-REQ-02497</v>
      </c>
      <c r="B2498" s="11">
        <f>IFERROR(__xludf.DUMMYFUNCTION("""COMPUTED_VALUE"""),45939.037830822694)</f>
        <v>45939.03783</v>
      </c>
      <c r="C2498" s="9">
        <f>IFERROR(__xludf.DUMMYFUNCTION("""COMPUTED_VALUE"""),9845.0)</f>
        <v>9845</v>
      </c>
      <c r="D2498" s="9" t="str">
        <f>IFERROR(__xludf.DUMMYFUNCTION("""COMPUTED_VALUE"""),"Completed")</f>
        <v>Completed</v>
      </c>
    </row>
    <row r="2499">
      <c r="A2499" s="9" t="str">
        <f>IFERROR(__xludf.DUMMYFUNCTION("""COMPUTED_VALUE"""),"G-REQ-02498")</f>
        <v>G-REQ-02498</v>
      </c>
      <c r="B2499" s="11">
        <f>IFERROR(__xludf.DUMMYFUNCTION("""COMPUTED_VALUE"""),45939.10900566811)</f>
        <v>45939.10901</v>
      </c>
      <c r="C2499" s="9">
        <f>IFERROR(__xludf.DUMMYFUNCTION("""COMPUTED_VALUE"""),9849.0)</f>
        <v>9849</v>
      </c>
      <c r="D2499" s="9" t="str">
        <f>IFERROR(__xludf.DUMMYFUNCTION("""COMPUTED_VALUE"""),"Completed")</f>
        <v>Completed</v>
      </c>
    </row>
    <row r="2500">
      <c r="A2500" s="9" t="str">
        <f>IFERROR(__xludf.DUMMYFUNCTION("""COMPUTED_VALUE"""),"G-REQ-02499")</f>
        <v>G-REQ-02499</v>
      </c>
      <c r="B2500" s="11">
        <f>IFERROR(__xludf.DUMMYFUNCTION("""COMPUTED_VALUE"""),45939.180180513526)</f>
        <v>45939.18018</v>
      </c>
      <c r="C2500" s="9">
        <f>IFERROR(__xludf.DUMMYFUNCTION("""COMPUTED_VALUE"""),9853.0)</f>
        <v>9853</v>
      </c>
      <c r="D2500" s="9" t="str">
        <f>IFERROR(__xludf.DUMMYFUNCTION("""COMPUTED_VALUE"""),"Completed")</f>
        <v>Completed</v>
      </c>
    </row>
    <row r="2501">
      <c r="A2501" s="9" t="str">
        <f>IFERROR(__xludf.DUMMYFUNCTION("""COMPUTED_VALUE"""),"G-REQ-02500")</f>
        <v>G-REQ-02500</v>
      </c>
      <c r="B2501" s="11">
        <f>IFERROR(__xludf.DUMMYFUNCTION("""COMPUTED_VALUE"""),45939.24441091449)</f>
        <v>45939.24441</v>
      </c>
      <c r="C2501" s="9">
        <f>IFERROR(__xludf.DUMMYFUNCTION("""COMPUTED_VALUE"""),9855.0)</f>
        <v>9855</v>
      </c>
      <c r="D2501" s="9" t="str">
        <f>IFERROR(__xludf.DUMMYFUNCTION("""COMPUTED_VALUE"""),"Cancelled")</f>
        <v>Cancelled</v>
      </c>
    </row>
    <row r="2502">
      <c r="A2502" s="9" t="str">
        <f>IFERROR(__xludf.DUMMYFUNCTION("""COMPUTED_VALUE"""),"G-REQ-02501")</f>
        <v>G-REQ-02501</v>
      </c>
      <c r="B2502" s="11">
        <f>IFERROR(__xludf.DUMMYFUNCTION("""COMPUTED_VALUE"""),45939.31558575991)</f>
        <v>45939.31559</v>
      </c>
      <c r="C2502" s="9">
        <f>IFERROR(__xludf.DUMMYFUNCTION("""COMPUTED_VALUE"""),9857.0)</f>
        <v>9857</v>
      </c>
      <c r="D2502" s="9" t="str">
        <f>IFERROR(__xludf.DUMMYFUNCTION("""COMPUTED_VALUE"""),"Cancelled")</f>
        <v>Cancelled</v>
      </c>
    </row>
    <row r="2503">
      <c r="A2503" s="9" t="str">
        <f>IFERROR(__xludf.DUMMYFUNCTION("""COMPUTED_VALUE"""),"G-REQ-02502")</f>
        <v>G-REQ-02502</v>
      </c>
      <c r="B2503" s="11">
        <f>IFERROR(__xludf.DUMMYFUNCTION("""COMPUTED_VALUE"""),45939.39370504977)</f>
        <v>45939.39371</v>
      </c>
      <c r="C2503" s="9">
        <f>IFERROR(__xludf.DUMMYFUNCTION("""COMPUTED_VALUE"""),9861.0)</f>
        <v>9861</v>
      </c>
      <c r="D2503" s="9" t="str">
        <f>IFERROR(__xludf.DUMMYFUNCTION("""COMPUTED_VALUE"""),"Completed")</f>
        <v>Completed</v>
      </c>
    </row>
    <row r="2504">
      <c r="A2504" s="9" t="str">
        <f>IFERROR(__xludf.DUMMYFUNCTION("""COMPUTED_VALUE"""),"G-REQ-02503")</f>
        <v>G-REQ-02503</v>
      </c>
      <c r="B2504" s="11">
        <f>IFERROR(__xludf.DUMMYFUNCTION("""COMPUTED_VALUE"""),45939.46487989518)</f>
        <v>45939.46488</v>
      </c>
      <c r="C2504" s="9">
        <f>IFERROR(__xludf.DUMMYFUNCTION("""COMPUTED_VALUE"""),9865.0)</f>
        <v>9865</v>
      </c>
      <c r="D2504" s="9" t="str">
        <f>IFERROR(__xludf.DUMMYFUNCTION("""COMPUTED_VALUE"""),"Completed")</f>
        <v>Completed</v>
      </c>
    </row>
    <row r="2505">
      <c r="A2505" s="9" t="str">
        <f>IFERROR(__xludf.DUMMYFUNCTION("""COMPUTED_VALUE"""),"G-REQ-02504")</f>
        <v>G-REQ-02504</v>
      </c>
      <c r="B2505" s="11">
        <f>IFERROR(__xludf.DUMMYFUNCTION("""COMPUTED_VALUE"""),45939.5360547406)</f>
        <v>45939.53605</v>
      </c>
      <c r="C2505" s="9">
        <f>IFERROR(__xludf.DUMMYFUNCTION("""COMPUTED_VALUE"""),9869.0)</f>
        <v>9869</v>
      </c>
      <c r="D2505" s="9" t="str">
        <f>IFERROR(__xludf.DUMMYFUNCTION("""COMPUTED_VALUE"""),"Completed")</f>
        <v>Completed</v>
      </c>
    </row>
    <row r="2506">
      <c r="A2506" s="9" t="str">
        <f>IFERROR(__xludf.DUMMYFUNCTION("""COMPUTED_VALUE"""),"G-REQ-02505")</f>
        <v>G-REQ-02505</v>
      </c>
      <c r="B2506" s="11">
        <f>IFERROR(__xludf.DUMMYFUNCTION("""COMPUTED_VALUE"""),45939.607229586014)</f>
        <v>45939.60723</v>
      </c>
      <c r="C2506" s="9">
        <f>IFERROR(__xludf.DUMMYFUNCTION("""COMPUTED_VALUE"""),9873.0)</f>
        <v>9873</v>
      </c>
      <c r="D2506" s="9" t="str">
        <f>IFERROR(__xludf.DUMMYFUNCTION("""COMPUTED_VALUE"""),"Completed")</f>
        <v>Completed</v>
      </c>
    </row>
    <row r="2507">
      <c r="A2507" s="9" t="str">
        <f>IFERROR(__xludf.DUMMYFUNCTION("""COMPUTED_VALUE"""),"G-REQ-02506")</f>
        <v>G-REQ-02506</v>
      </c>
      <c r="B2507" s="11">
        <f>IFERROR(__xludf.DUMMYFUNCTION("""COMPUTED_VALUE"""),45939.678404431426)</f>
        <v>45939.6784</v>
      </c>
      <c r="C2507" s="9">
        <f>IFERROR(__xludf.DUMMYFUNCTION("""COMPUTED_VALUE"""),9877.0)</f>
        <v>9877</v>
      </c>
      <c r="D2507" s="9" t="str">
        <f>IFERROR(__xludf.DUMMYFUNCTION("""COMPUTED_VALUE"""),"Completed")</f>
        <v>Completed</v>
      </c>
    </row>
    <row r="2508">
      <c r="A2508" s="9" t="str">
        <f>IFERROR(__xludf.DUMMYFUNCTION("""COMPUTED_VALUE"""),"G-REQ-02507")</f>
        <v>G-REQ-02507</v>
      </c>
      <c r="B2508" s="11">
        <f>IFERROR(__xludf.DUMMYFUNCTION("""COMPUTED_VALUE"""),45939.749579276846)</f>
        <v>45939.74958</v>
      </c>
      <c r="C2508" s="9">
        <f>IFERROR(__xludf.DUMMYFUNCTION("""COMPUTED_VALUE"""),9881.0)</f>
        <v>9881</v>
      </c>
      <c r="D2508" s="9" t="str">
        <f>IFERROR(__xludf.DUMMYFUNCTION("""COMPUTED_VALUE"""),"Completed")</f>
        <v>Completed</v>
      </c>
    </row>
    <row r="2509">
      <c r="A2509" s="9" t="str">
        <f>IFERROR(__xludf.DUMMYFUNCTION("""COMPUTED_VALUE"""),"G-REQ-02508")</f>
        <v>G-REQ-02508</v>
      </c>
      <c r="B2509" s="11">
        <f>IFERROR(__xludf.DUMMYFUNCTION("""COMPUTED_VALUE"""),45939.82075412226)</f>
        <v>45939.82075</v>
      </c>
      <c r="C2509" s="9">
        <f>IFERROR(__xludf.DUMMYFUNCTION("""COMPUTED_VALUE"""),9885.0)</f>
        <v>9885</v>
      </c>
      <c r="D2509" s="9" t="str">
        <f>IFERROR(__xludf.DUMMYFUNCTION("""COMPUTED_VALUE"""),"Completed")</f>
        <v>Completed</v>
      </c>
    </row>
    <row r="2510">
      <c r="A2510" s="9" t="str">
        <f>IFERROR(__xludf.DUMMYFUNCTION("""COMPUTED_VALUE"""),"G-REQ-02509")</f>
        <v>G-REQ-02509</v>
      </c>
      <c r="B2510" s="11">
        <f>IFERROR(__xludf.DUMMYFUNCTION("""COMPUTED_VALUE"""),45939.89192896767)</f>
        <v>45939.89193</v>
      </c>
      <c r="C2510" s="9">
        <f>IFERROR(__xludf.DUMMYFUNCTION("""COMPUTED_VALUE"""),9889.0)</f>
        <v>9889</v>
      </c>
      <c r="D2510" s="9" t="str">
        <f>IFERROR(__xludf.DUMMYFUNCTION("""COMPUTED_VALUE"""),"Completed")</f>
        <v>Completed</v>
      </c>
    </row>
    <row r="2511">
      <c r="A2511" s="9" t="str">
        <f>IFERROR(__xludf.DUMMYFUNCTION("""COMPUTED_VALUE"""),"G-REQ-02510")</f>
        <v>G-REQ-02510</v>
      </c>
      <c r="B2511" s="11">
        <f>IFERROR(__xludf.DUMMYFUNCTION("""COMPUTED_VALUE"""),45939.96310381309)</f>
        <v>45939.9631</v>
      </c>
      <c r="C2511" s="9">
        <f>IFERROR(__xludf.DUMMYFUNCTION("""COMPUTED_VALUE"""),9893.0)</f>
        <v>9893</v>
      </c>
      <c r="D2511" s="9" t="str">
        <f>IFERROR(__xludf.DUMMYFUNCTION("""COMPUTED_VALUE"""),"Completed")</f>
        <v>Completed</v>
      </c>
    </row>
    <row r="2512">
      <c r="A2512" s="9" t="str">
        <f>IFERROR(__xludf.DUMMYFUNCTION("""COMPUTED_VALUE"""),"G-REQ-02511")</f>
        <v>G-REQ-02511</v>
      </c>
      <c r="B2512" s="11">
        <f>IFERROR(__xludf.DUMMYFUNCTION("""COMPUTED_VALUE"""),45940.03427865851)</f>
        <v>45940.03428</v>
      </c>
      <c r="C2512" s="9">
        <f>IFERROR(__xludf.DUMMYFUNCTION("""COMPUTED_VALUE"""),9897.0)</f>
        <v>9897</v>
      </c>
      <c r="D2512" s="9" t="str">
        <f>IFERROR(__xludf.DUMMYFUNCTION("""COMPUTED_VALUE"""),"Completed")</f>
        <v>Completed</v>
      </c>
    </row>
    <row r="2513">
      <c r="A2513" s="9" t="str">
        <f>IFERROR(__xludf.DUMMYFUNCTION("""COMPUTED_VALUE"""),"G-REQ-02512")</f>
        <v>G-REQ-02512</v>
      </c>
      <c r="B2513" s="11">
        <f>IFERROR(__xludf.DUMMYFUNCTION("""COMPUTED_VALUE"""),45940.105453503915)</f>
        <v>45940.10545</v>
      </c>
      <c r="C2513" s="9">
        <f>IFERROR(__xludf.DUMMYFUNCTION("""COMPUTED_VALUE"""),9901.0)</f>
        <v>9901</v>
      </c>
      <c r="D2513" s="9" t="str">
        <f>IFERROR(__xludf.DUMMYFUNCTION("""COMPUTED_VALUE"""),"Completed")</f>
        <v>Completed</v>
      </c>
    </row>
    <row r="2514">
      <c r="A2514" s="9" t="str">
        <f>IFERROR(__xludf.DUMMYFUNCTION("""COMPUTED_VALUE"""),"G-REQ-02513")</f>
        <v>G-REQ-02513</v>
      </c>
      <c r="B2514" s="11">
        <f>IFERROR(__xludf.DUMMYFUNCTION("""COMPUTED_VALUE"""),45940.176628349334)</f>
        <v>45940.17663</v>
      </c>
      <c r="C2514" s="9">
        <f>IFERROR(__xludf.DUMMYFUNCTION("""COMPUTED_VALUE"""),9905.0)</f>
        <v>9905</v>
      </c>
      <c r="D2514" s="9" t="str">
        <f>IFERROR(__xludf.DUMMYFUNCTION("""COMPUTED_VALUE"""),"Completed")</f>
        <v>Completed</v>
      </c>
    </row>
    <row r="2515">
      <c r="A2515" s="9" t="str">
        <f>IFERROR(__xludf.DUMMYFUNCTION("""COMPUTED_VALUE"""),"G-REQ-02514")</f>
        <v>G-REQ-02514</v>
      </c>
      <c r="B2515" s="11">
        <f>IFERROR(__xludf.DUMMYFUNCTION("""COMPUTED_VALUE"""),45940.247803194754)</f>
        <v>45940.2478</v>
      </c>
      <c r="C2515" s="9">
        <f>IFERROR(__xludf.DUMMYFUNCTION("""COMPUTED_VALUE"""),9909.0)</f>
        <v>9909</v>
      </c>
      <c r="D2515" s="9" t="str">
        <f>IFERROR(__xludf.DUMMYFUNCTION("""COMPUTED_VALUE"""),"Completed")</f>
        <v>Completed</v>
      </c>
    </row>
    <row r="2516">
      <c r="A2516" s="9" t="str">
        <f>IFERROR(__xludf.DUMMYFUNCTION("""COMPUTED_VALUE"""),"G-REQ-02515")</f>
        <v>G-REQ-02515</v>
      </c>
      <c r="B2516" s="11">
        <f>IFERROR(__xludf.DUMMYFUNCTION("""COMPUTED_VALUE"""),45940.318978040166)</f>
        <v>45940.31898</v>
      </c>
      <c r="C2516" s="9">
        <f>IFERROR(__xludf.DUMMYFUNCTION("""COMPUTED_VALUE"""),9913.0)</f>
        <v>9913</v>
      </c>
      <c r="D2516" s="9" t="str">
        <f>IFERROR(__xludf.DUMMYFUNCTION("""COMPUTED_VALUE"""),"Completed")</f>
        <v>Completed</v>
      </c>
    </row>
    <row r="2517">
      <c r="A2517" s="9" t="str">
        <f>IFERROR(__xludf.DUMMYFUNCTION("""COMPUTED_VALUE"""),"G-REQ-02516")</f>
        <v>G-REQ-02516</v>
      </c>
      <c r="B2517" s="11">
        <f>IFERROR(__xludf.DUMMYFUNCTION("""COMPUTED_VALUE"""),45940.39015288558)</f>
        <v>45940.39015</v>
      </c>
      <c r="C2517" s="9">
        <f>IFERROR(__xludf.DUMMYFUNCTION("""COMPUTED_VALUE"""),9917.0)</f>
        <v>9917</v>
      </c>
      <c r="D2517" s="9" t="str">
        <f>IFERROR(__xludf.DUMMYFUNCTION("""COMPUTED_VALUE"""),"Completed")</f>
        <v>Completed</v>
      </c>
    </row>
    <row r="2518">
      <c r="A2518" s="9" t="str">
        <f>IFERROR(__xludf.DUMMYFUNCTION("""COMPUTED_VALUE"""),"G-REQ-02517")</f>
        <v>G-REQ-02517</v>
      </c>
      <c r="B2518" s="11">
        <f>IFERROR(__xludf.DUMMYFUNCTION("""COMPUTED_VALUE"""),45940.45438328655)</f>
        <v>45940.45438</v>
      </c>
      <c r="C2518" s="9">
        <f>IFERROR(__xludf.DUMMYFUNCTION("""COMPUTED_VALUE"""),9919.0)</f>
        <v>9919</v>
      </c>
      <c r="D2518" s="9" t="str">
        <f>IFERROR(__xludf.DUMMYFUNCTION("""COMPUTED_VALUE"""),"Rejected")</f>
        <v>Rejected</v>
      </c>
    </row>
    <row r="2519">
      <c r="A2519" s="9" t="str">
        <f>IFERROR(__xludf.DUMMYFUNCTION("""COMPUTED_VALUE"""),"G-REQ-02518")</f>
        <v>G-REQ-02518</v>
      </c>
      <c r="B2519" s="11">
        <f>IFERROR(__xludf.DUMMYFUNCTION("""COMPUTED_VALUE"""),45940.53250257641)</f>
        <v>45940.5325</v>
      </c>
      <c r="C2519" s="9">
        <f>IFERROR(__xludf.DUMMYFUNCTION("""COMPUTED_VALUE"""),9923.0)</f>
        <v>9923</v>
      </c>
      <c r="D2519" s="9" t="str">
        <f>IFERROR(__xludf.DUMMYFUNCTION("""COMPUTED_VALUE"""),"Completed")</f>
        <v>Completed</v>
      </c>
    </row>
    <row r="2520">
      <c r="A2520" s="9" t="str">
        <f>IFERROR(__xludf.DUMMYFUNCTION("""COMPUTED_VALUE"""),"G-REQ-02519")</f>
        <v>G-REQ-02519</v>
      </c>
      <c r="B2520" s="11">
        <f>IFERROR(__xludf.DUMMYFUNCTION("""COMPUTED_VALUE"""),45940.60367742182)</f>
        <v>45940.60368</v>
      </c>
      <c r="C2520" s="9">
        <f>IFERROR(__xludf.DUMMYFUNCTION("""COMPUTED_VALUE"""),9927.0)</f>
        <v>9927</v>
      </c>
      <c r="D2520" s="9" t="str">
        <f>IFERROR(__xludf.DUMMYFUNCTION("""COMPUTED_VALUE"""),"Completed")</f>
        <v>Completed</v>
      </c>
    </row>
    <row r="2521">
      <c r="A2521" s="9" t="str">
        <f>IFERROR(__xludf.DUMMYFUNCTION("""COMPUTED_VALUE"""),"G-REQ-02520")</f>
        <v>G-REQ-02520</v>
      </c>
      <c r="B2521" s="11">
        <f>IFERROR(__xludf.DUMMYFUNCTION("""COMPUTED_VALUE"""),45940.6679078228)</f>
        <v>45940.66791</v>
      </c>
      <c r="C2521" s="9">
        <f>IFERROR(__xludf.DUMMYFUNCTION("""COMPUTED_VALUE"""),9929.0)</f>
        <v>9929</v>
      </c>
      <c r="D2521" s="9" t="str">
        <f>IFERROR(__xludf.DUMMYFUNCTION("""COMPUTED_VALUE"""),"Rejected")</f>
        <v>Rejected</v>
      </c>
    </row>
    <row r="2522">
      <c r="A2522" s="9" t="str">
        <f>IFERROR(__xludf.DUMMYFUNCTION("""COMPUTED_VALUE"""),"G-REQ-02521")</f>
        <v>G-REQ-02521</v>
      </c>
      <c r="B2522" s="11">
        <f>IFERROR(__xludf.DUMMYFUNCTION("""COMPUTED_VALUE"""),45940.746027112655)</f>
        <v>45940.74603</v>
      </c>
      <c r="C2522" s="9">
        <f>IFERROR(__xludf.DUMMYFUNCTION("""COMPUTED_VALUE"""),9933.0)</f>
        <v>9933</v>
      </c>
      <c r="D2522" s="9" t="str">
        <f>IFERROR(__xludf.DUMMYFUNCTION("""COMPUTED_VALUE"""),"Completed")</f>
        <v>Completed</v>
      </c>
    </row>
    <row r="2523">
      <c r="A2523" s="9" t="str">
        <f>IFERROR(__xludf.DUMMYFUNCTION("""COMPUTED_VALUE"""),"G-REQ-02522")</f>
        <v>G-REQ-02522</v>
      </c>
      <c r="B2523" s="11">
        <f>IFERROR(__xludf.DUMMYFUNCTION("""COMPUTED_VALUE"""),45940.81720195807)</f>
        <v>45940.8172</v>
      </c>
      <c r="C2523" s="9">
        <f>IFERROR(__xludf.DUMMYFUNCTION("""COMPUTED_VALUE"""),9937.0)</f>
        <v>9937</v>
      </c>
      <c r="D2523" s="9" t="str">
        <f>IFERROR(__xludf.DUMMYFUNCTION("""COMPUTED_VALUE"""),"Completed")</f>
        <v>Completed</v>
      </c>
    </row>
    <row r="2524">
      <c r="A2524" s="9" t="str">
        <f>IFERROR(__xludf.DUMMYFUNCTION("""COMPUTED_VALUE"""),"G-REQ-02523")</f>
        <v>G-REQ-02523</v>
      </c>
      <c r="B2524" s="11">
        <f>IFERROR(__xludf.DUMMYFUNCTION("""COMPUTED_VALUE"""),45940.88837680349)</f>
        <v>45940.88838</v>
      </c>
      <c r="C2524" s="9">
        <f>IFERROR(__xludf.DUMMYFUNCTION("""COMPUTED_VALUE"""),9941.0)</f>
        <v>9941</v>
      </c>
      <c r="D2524" s="9" t="str">
        <f>IFERROR(__xludf.DUMMYFUNCTION("""COMPUTED_VALUE"""),"Completed")</f>
        <v>Completed</v>
      </c>
    </row>
    <row r="2525">
      <c r="A2525" s="9" t="str">
        <f>IFERROR(__xludf.DUMMYFUNCTION("""COMPUTED_VALUE"""),"G-REQ-02524")</f>
        <v>G-REQ-02524</v>
      </c>
      <c r="B2525" s="11">
        <f>IFERROR(__xludf.DUMMYFUNCTION("""COMPUTED_VALUE"""),45940.95260720446)</f>
        <v>45940.95261</v>
      </c>
      <c r="C2525" s="9">
        <f>IFERROR(__xludf.DUMMYFUNCTION("""COMPUTED_VALUE"""),9943.0)</f>
        <v>9943</v>
      </c>
      <c r="D2525" s="9" t="str">
        <f>IFERROR(__xludf.DUMMYFUNCTION("""COMPUTED_VALUE"""),"Rejected")</f>
        <v>Rejected</v>
      </c>
    </row>
    <row r="2526">
      <c r="A2526" s="9" t="str">
        <f>IFERROR(__xludf.DUMMYFUNCTION("""COMPUTED_VALUE"""),"G-REQ-02525")</f>
        <v>G-REQ-02525</v>
      </c>
      <c r="B2526" s="11">
        <f>IFERROR(__xludf.DUMMYFUNCTION("""COMPUTED_VALUE"""),45941.03072649431)</f>
        <v>45941.03073</v>
      </c>
      <c r="C2526" s="9">
        <f>IFERROR(__xludf.DUMMYFUNCTION("""COMPUTED_VALUE"""),9947.0)</f>
        <v>9947</v>
      </c>
      <c r="D2526" s="9" t="str">
        <f>IFERROR(__xludf.DUMMYFUNCTION("""COMPUTED_VALUE"""),"Completed")</f>
        <v>Completed</v>
      </c>
    </row>
    <row r="2527">
      <c r="A2527" s="9" t="str">
        <f>IFERROR(__xludf.DUMMYFUNCTION("""COMPUTED_VALUE"""),"G-REQ-02526")</f>
        <v>G-REQ-02526</v>
      </c>
      <c r="B2527" s="11">
        <f>IFERROR(__xludf.DUMMYFUNCTION("""COMPUTED_VALUE"""),45941.10190133973)</f>
        <v>45941.1019</v>
      </c>
      <c r="C2527" s="9">
        <f>IFERROR(__xludf.DUMMYFUNCTION("""COMPUTED_VALUE"""),9951.0)</f>
        <v>9951</v>
      </c>
      <c r="D2527" s="9" t="str">
        <f>IFERROR(__xludf.DUMMYFUNCTION("""COMPUTED_VALUE"""),"Completed")</f>
        <v>Completed</v>
      </c>
    </row>
    <row r="2528">
      <c r="A2528" s="9" t="str">
        <f>IFERROR(__xludf.DUMMYFUNCTION("""COMPUTED_VALUE"""),"G-REQ-02527")</f>
        <v>G-REQ-02527</v>
      </c>
      <c r="B2528" s="11">
        <f>IFERROR(__xludf.DUMMYFUNCTION("""COMPUTED_VALUE"""),45941.17307618515)</f>
        <v>45941.17308</v>
      </c>
      <c r="C2528" s="9">
        <f>IFERROR(__xludf.DUMMYFUNCTION("""COMPUTED_VALUE"""),9955.0)</f>
        <v>9955</v>
      </c>
      <c r="D2528" s="9" t="str">
        <f>IFERROR(__xludf.DUMMYFUNCTION("""COMPUTED_VALUE"""),"Completed")</f>
        <v>Completed</v>
      </c>
    </row>
    <row r="2529">
      <c r="A2529" s="9" t="str">
        <f>IFERROR(__xludf.DUMMYFUNCTION("""COMPUTED_VALUE"""),"G-REQ-02528")</f>
        <v>G-REQ-02528</v>
      </c>
      <c r="B2529" s="11">
        <f>IFERROR(__xludf.DUMMYFUNCTION("""COMPUTED_VALUE"""),45941.24425103056)</f>
        <v>45941.24425</v>
      </c>
      <c r="C2529" s="9">
        <f>IFERROR(__xludf.DUMMYFUNCTION("""COMPUTED_VALUE"""),9959.0)</f>
        <v>9959</v>
      </c>
      <c r="D2529" s="9" t="str">
        <f>IFERROR(__xludf.DUMMYFUNCTION("""COMPUTED_VALUE"""),"Completed")</f>
        <v>Completed</v>
      </c>
    </row>
    <row r="2530">
      <c r="A2530" s="9" t="str">
        <f>IFERROR(__xludf.DUMMYFUNCTION("""COMPUTED_VALUE"""),"G-REQ-02529")</f>
        <v>G-REQ-02529</v>
      </c>
      <c r="B2530" s="11">
        <f>IFERROR(__xludf.DUMMYFUNCTION("""COMPUTED_VALUE"""),45941.315425875975)</f>
        <v>45941.31543</v>
      </c>
      <c r="C2530" s="9">
        <f>IFERROR(__xludf.DUMMYFUNCTION("""COMPUTED_VALUE"""),9963.0)</f>
        <v>9963</v>
      </c>
      <c r="D2530" s="9" t="str">
        <f>IFERROR(__xludf.DUMMYFUNCTION("""COMPUTED_VALUE"""),"Completed")</f>
        <v>Completed</v>
      </c>
    </row>
    <row r="2531">
      <c r="A2531" s="9" t="str">
        <f>IFERROR(__xludf.DUMMYFUNCTION("""COMPUTED_VALUE"""),"G-REQ-02530")</f>
        <v>G-REQ-02530</v>
      </c>
      <c r="B2531" s="11">
        <f>IFERROR(__xludf.DUMMYFUNCTION("""COMPUTED_VALUE"""),45941.386600721395)</f>
        <v>45941.3866</v>
      </c>
      <c r="C2531" s="9">
        <f>IFERROR(__xludf.DUMMYFUNCTION("""COMPUTED_VALUE"""),9967.0)</f>
        <v>9967</v>
      </c>
      <c r="D2531" s="9" t="str">
        <f>IFERROR(__xludf.DUMMYFUNCTION("""COMPUTED_VALUE"""),"Completed")</f>
        <v>Completed</v>
      </c>
    </row>
    <row r="2532">
      <c r="A2532" s="9" t="str">
        <f>IFERROR(__xludf.DUMMYFUNCTION("""COMPUTED_VALUE"""),"G-REQ-02531")</f>
        <v>G-REQ-02531</v>
      </c>
      <c r="B2532" s="11">
        <f>IFERROR(__xludf.DUMMYFUNCTION("""COMPUTED_VALUE"""),45941.45777556681)</f>
        <v>45941.45778</v>
      </c>
      <c r="C2532" s="9">
        <f>IFERROR(__xludf.DUMMYFUNCTION("""COMPUTED_VALUE"""),9971.0)</f>
        <v>9971</v>
      </c>
      <c r="D2532" s="9" t="str">
        <f>IFERROR(__xludf.DUMMYFUNCTION("""COMPUTED_VALUE"""),"Completed")</f>
        <v>Completed</v>
      </c>
    </row>
    <row r="2533">
      <c r="A2533" s="9" t="str">
        <f>IFERROR(__xludf.DUMMYFUNCTION("""COMPUTED_VALUE"""),"G-REQ-02532")</f>
        <v>G-REQ-02532</v>
      </c>
      <c r="B2533" s="11">
        <f>IFERROR(__xludf.DUMMYFUNCTION("""COMPUTED_VALUE"""),45941.52895041222)</f>
        <v>45941.52895</v>
      </c>
      <c r="C2533" s="9">
        <f>IFERROR(__xludf.DUMMYFUNCTION("""COMPUTED_VALUE"""),9975.0)</f>
        <v>9975</v>
      </c>
      <c r="D2533" s="9" t="str">
        <f>IFERROR(__xludf.DUMMYFUNCTION("""COMPUTED_VALUE"""),"Completed")</f>
        <v>Completed</v>
      </c>
    </row>
    <row r="2534">
      <c r="A2534" s="9" t="str">
        <f>IFERROR(__xludf.DUMMYFUNCTION("""COMPUTED_VALUE"""),"G-REQ-02533")</f>
        <v>G-REQ-02533</v>
      </c>
      <c r="B2534" s="11">
        <f>IFERROR(__xludf.DUMMYFUNCTION("""COMPUTED_VALUE"""),45941.59318081319)</f>
        <v>45941.59318</v>
      </c>
      <c r="C2534" s="9">
        <f>IFERROR(__xludf.DUMMYFUNCTION("""COMPUTED_VALUE"""),9977.0)</f>
        <v>9977</v>
      </c>
      <c r="D2534" s="9" t="str">
        <f>IFERROR(__xludf.DUMMYFUNCTION("""COMPUTED_VALUE"""),"Rejected")</f>
        <v>Rejected</v>
      </c>
    </row>
    <row r="2535">
      <c r="A2535" s="9" t="str">
        <f>IFERROR(__xludf.DUMMYFUNCTION("""COMPUTED_VALUE"""),"G-REQ-02534")</f>
        <v>G-REQ-02534</v>
      </c>
      <c r="B2535" s="11">
        <f>IFERROR(__xludf.DUMMYFUNCTION("""COMPUTED_VALUE"""),45941.67130010305)</f>
        <v>45941.6713</v>
      </c>
      <c r="C2535" s="9">
        <f>IFERROR(__xludf.DUMMYFUNCTION("""COMPUTED_VALUE"""),9981.0)</f>
        <v>9981</v>
      </c>
      <c r="D2535" s="9" t="str">
        <f>IFERROR(__xludf.DUMMYFUNCTION("""COMPUTED_VALUE"""),"Completed")</f>
        <v>Completed</v>
      </c>
    </row>
    <row r="2536">
      <c r="A2536" s="9" t="str">
        <f>IFERROR(__xludf.DUMMYFUNCTION("""COMPUTED_VALUE"""),"G-REQ-02535")</f>
        <v>G-REQ-02535</v>
      </c>
      <c r="B2536" s="11">
        <f>IFERROR(__xludf.DUMMYFUNCTION("""COMPUTED_VALUE"""),45941.74247494846)</f>
        <v>45941.74247</v>
      </c>
      <c r="C2536" s="9">
        <f>IFERROR(__xludf.DUMMYFUNCTION("""COMPUTED_VALUE"""),9985.0)</f>
        <v>9985</v>
      </c>
      <c r="D2536" s="9" t="str">
        <f>IFERROR(__xludf.DUMMYFUNCTION("""COMPUTED_VALUE"""),"Completed")</f>
        <v>Completed</v>
      </c>
    </row>
    <row r="2537">
      <c r="A2537" s="9" t="str">
        <f>IFERROR(__xludf.DUMMYFUNCTION("""COMPUTED_VALUE"""),"G-REQ-02536")</f>
        <v>G-REQ-02536</v>
      </c>
      <c r="B2537" s="11">
        <f>IFERROR(__xludf.DUMMYFUNCTION("""COMPUTED_VALUE"""),45941.81364979388)</f>
        <v>45941.81365</v>
      </c>
      <c r="C2537" s="9">
        <f>IFERROR(__xludf.DUMMYFUNCTION("""COMPUTED_VALUE"""),9989.0)</f>
        <v>9989</v>
      </c>
      <c r="D2537" s="9" t="str">
        <f>IFERROR(__xludf.DUMMYFUNCTION("""COMPUTED_VALUE"""),"Completed")</f>
        <v>Completed</v>
      </c>
    </row>
    <row r="2538">
      <c r="A2538" s="9" t="str">
        <f>IFERROR(__xludf.DUMMYFUNCTION("""COMPUTED_VALUE"""),"G-REQ-02537")</f>
        <v>G-REQ-02537</v>
      </c>
      <c r="B2538" s="11">
        <f>IFERROR(__xludf.DUMMYFUNCTION("""COMPUTED_VALUE"""),45941.884824639295)</f>
        <v>45941.88482</v>
      </c>
      <c r="C2538" s="9">
        <f>IFERROR(__xludf.DUMMYFUNCTION("""COMPUTED_VALUE"""),9993.0)</f>
        <v>9993</v>
      </c>
      <c r="D2538" s="9" t="str">
        <f>IFERROR(__xludf.DUMMYFUNCTION("""COMPUTED_VALUE"""),"Completed")</f>
        <v>Completed</v>
      </c>
    </row>
    <row r="2539">
      <c r="A2539" s="9" t="str">
        <f>IFERROR(__xludf.DUMMYFUNCTION("""COMPUTED_VALUE"""),"G-REQ-02538")</f>
        <v>G-REQ-02538</v>
      </c>
      <c r="B2539" s="11">
        <f>IFERROR(__xludf.DUMMYFUNCTION("""COMPUTED_VALUE"""),45941.94905504026)</f>
        <v>45941.94906</v>
      </c>
      <c r="C2539" s="9">
        <f>IFERROR(__xludf.DUMMYFUNCTION("""COMPUTED_VALUE"""),9995.0)</f>
        <v>9995</v>
      </c>
      <c r="D2539" s="9" t="str">
        <f>IFERROR(__xludf.DUMMYFUNCTION("""COMPUTED_VALUE"""),"Rejected")</f>
        <v>Rejected</v>
      </c>
    </row>
    <row r="2540">
      <c r="A2540" s="9" t="str">
        <f>IFERROR(__xludf.DUMMYFUNCTION("""COMPUTED_VALUE"""),"G-REQ-02539")</f>
        <v>G-REQ-02539</v>
      </c>
      <c r="B2540" s="11">
        <f>IFERROR(__xludf.DUMMYFUNCTION("""COMPUTED_VALUE"""),45942.02717433013)</f>
        <v>45942.02717</v>
      </c>
      <c r="C2540" s="9">
        <f>IFERROR(__xludf.DUMMYFUNCTION("""COMPUTED_VALUE"""),9999.0)</f>
        <v>9999</v>
      </c>
      <c r="D2540" s="9" t="str">
        <f>IFERROR(__xludf.DUMMYFUNCTION("""COMPUTED_VALUE"""),"Completed")</f>
        <v>Completed</v>
      </c>
    </row>
    <row r="2541">
      <c r="A2541" s="9" t="str">
        <f>IFERROR(__xludf.DUMMYFUNCTION("""COMPUTED_VALUE"""),"G-REQ-02540")</f>
        <v>G-REQ-02540</v>
      </c>
      <c r="B2541" s="11">
        <f>IFERROR(__xludf.DUMMYFUNCTION("""COMPUTED_VALUE"""),45942.0914047311)</f>
        <v>45942.0914</v>
      </c>
      <c r="C2541" s="9">
        <f>IFERROR(__xludf.DUMMYFUNCTION("""COMPUTED_VALUE"""),10001.0)</f>
        <v>10001</v>
      </c>
      <c r="D2541" s="9" t="str">
        <f>IFERROR(__xludf.DUMMYFUNCTION("""COMPUTED_VALUE"""),"Cancelled")</f>
        <v>Cancelled</v>
      </c>
    </row>
    <row r="2542">
      <c r="A2542" s="9" t="str">
        <f>IFERROR(__xludf.DUMMYFUNCTION("""COMPUTED_VALUE"""),"G-REQ-02541")</f>
        <v>G-REQ-02541</v>
      </c>
      <c r="B2542" s="11">
        <f>IFERROR(__xludf.DUMMYFUNCTION("""COMPUTED_VALUE"""),45942.16952402095)</f>
        <v>45942.16952</v>
      </c>
      <c r="C2542" s="9">
        <f>IFERROR(__xludf.DUMMYFUNCTION("""COMPUTED_VALUE"""),10005.0)</f>
        <v>10005</v>
      </c>
      <c r="D2542" s="9" t="str">
        <f>IFERROR(__xludf.DUMMYFUNCTION("""COMPUTED_VALUE"""),"Completed")</f>
        <v>Completed</v>
      </c>
    </row>
    <row r="2543">
      <c r="A2543" s="9" t="str">
        <f>IFERROR(__xludf.DUMMYFUNCTION("""COMPUTED_VALUE"""),"G-REQ-02542")</f>
        <v>G-REQ-02542</v>
      </c>
      <c r="B2543" s="11">
        <f>IFERROR(__xludf.DUMMYFUNCTION("""COMPUTED_VALUE"""),45942.24069886637)</f>
        <v>45942.2407</v>
      </c>
      <c r="C2543" s="9">
        <f>IFERROR(__xludf.DUMMYFUNCTION("""COMPUTED_VALUE"""),10009.0)</f>
        <v>10009</v>
      </c>
      <c r="D2543" s="9" t="str">
        <f>IFERROR(__xludf.DUMMYFUNCTION("""COMPUTED_VALUE"""),"Completed")</f>
        <v>Completed</v>
      </c>
    </row>
    <row r="2544">
      <c r="A2544" s="9" t="str">
        <f>IFERROR(__xludf.DUMMYFUNCTION("""COMPUTED_VALUE"""),"G-REQ-02543")</f>
        <v>G-REQ-02543</v>
      </c>
      <c r="B2544" s="11">
        <f>IFERROR(__xludf.DUMMYFUNCTION("""COMPUTED_VALUE"""),45942.31187371179)</f>
        <v>45942.31187</v>
      </c>
      <c r="C2544" s="9">
        <f>IFERROR(__xludf.DUMMYFUNCTION("""COMPUTED_VALUE"""),10013.0)</f>
        <v>10013</v>
      </c>
      <c r="D2544" s="9" t="str">
        <f>IFERROR(__xludf.DUMMYFUNCTION("""COMPUTED_VALUE"""),"Completed")</f>
        <v>Completed</v>
      </c>
    </row>
    <row r="2545">
      <c r="A2545" s="9" t="str">
        <f>IFERROR(__xludf.DUMMYFUNCTION("""COMPUTED_VALUE"""),"G-REQ-02544")</f>
        <v>G-REQ-02544</v>
      </c>
      <c r="B2545" s="11">
        <f>IFERROR(__xludf.DUMMYFUNCTION("""COMPUTED_VALUE"""),45942.3830485572)</f>
        <v>45942.38305</v>
      </c>
      <c r="C2545" s="9">
        <f>IFERROR(__xludf.DUMMYFUNCTION("""COMPUTED_VALUE"""),10017.0)</f>
        <v>10017</v>
      </c>
      <c r="D2545" s="9" t="str">
        <f>IFERROR(__xludf.DUMMYFUNCTION("""COMPUTED_VALUE"""),"Completed")</f>
        <v>Completed</v>
      </c>
    </row>
    <row r="2546">
      <c r="A2546" s="9" t="str">
        <f>IFERROR(__xludf.DUMMYFUNCTION("""COMPUTED_VALUE"""),"G-REQ-02545")</f>
        <v>G-REQ-02545</v>
      </c>
      <c r="B2546" s="11">
        <f>IFERROR(__xludf.DUMMYFUNCTION("""COMPUTED_VALUE"""),45942.454223402616)</f>
        <v>45942.45422</v>
      </c>
      <c r="C2546" s="9">
        <f>IFERROR(__xludf.DUMMYFUNCTION("""COMPUTED_VALUE"""),10021.0)</f>
        <v>10021</v>
      </c>
      <c r="D2546" s="9" t="str">
        <f>IFERROR(__xludf.DUMMYFUNCTION("""COMPUTED_VALUE"""),"Completed")</f>
        <v>Completed</v>
      </c>
    </row>
    <row r="2547">
      <c r="A2547" s="9" t="str">
        <f>IFERROR(__xludf.DUMMYFUNCTION("""COMPUTED_VALUE"""),"G-REQ-02546")</f>
        <v>G-REQ-02546</v>
      </c>
      <c r="B2547" s="11">
        <f>IFERROR(__xludf.DUMMYFUNCTION("""COMPUTED_VALUE"""),45942.51845380359)</f>
        <v>45942.51845</v>
      </c>
      <c r="C2547" s="9">
        <f>IFERROR(__xludf.DUMMYFUNCTION("""COMPUTED_VALUE"""),10023.0)</f>
        <v>10023</v>
      </c>
      <c r="D2547" s="9" t="str">
        <f>IFERROR(__xludf.DUMMYFUNCTION("""COMPUTED_VALUE"""),"Rejected")</f>
        <v>Rejected</v>
      </c>
    </row>
    <row r="2548">
      <c r="A2548" s="9" t="str">
        <f>IFERROR(__xludf.DUMMYFUNCTION("""COMPUTED_VALUE"""),"G-REQ-02547")</f>
        <v>G-REQ-02547</v>
      </c>
      <c r="B2548" s="11">
        <f>IFERROR(__xludf.DUMMYFUNCTION("""COMPUTED_VALUE"""),45942.59657309345)</f>
        <v>45942.59657</v>
      </c>
      <c r="C2548" s="9">
        <f>IFERROR(__xludf.DUMMYFUNCTION("""COMPUTED_VALUE"""),10027.0)</f>
        <v>10027</v>
      </c>
      <c r="D2548" s="9" t="str">
        <f>IFERROR(__xludf.DUMMYFUNCTION("""COMPUTED_VALUE"""),"Completed")</f>
        <v>Completed</v>
      </c>
    </row>
    <row r="2549">
      <c r="A2549" s="9" t="str">
        <f>IFERROR(__xludf.DUMMYFUNCTION("""COMPUTED_VALUE"""),"G-REQ-02548")</f>
        <v>G-REQ-02548</v>
      </c>
      <c r="B2549" s="11">
        <f>IFERROR(__xludf.DUMMYFUNCTION("""COMPUTED_VALUE"""),45942.66774793886)</f>
        <v>45942.66775</v>
      </c>
      <c r="C2549" s="9">
        <f>IFERROR(__xludf.DUMMYFUNCTION("""COMPUTED_VALUE"""),10031.0)</f>
        <v>10031</v>
      </c>
      <c r="D2549" s="9" t="str">
        <f>IFERROR(__xludf.DUMMYFUNCTION("""COMPUTED_VALUE"""),"Completed")</f>
        <v>Completed</v>
      </c>
    </row>
    <row r="2550">
      <c r="A2550" s="9" t="str">
        <f>IFERROR(__xludf.DUMMYFUNCTION("""COMPUTED_VALUE"""),"G-REQ-02549")</f>
        <v>G-REQ-02549</v>
      </c>
      <c r="B2550" s="11">
        <f>IFERROR(__xludf.DUMMYFUNCTION("""COMPUTED_VALUE"""),45942.73892278428)</f>
        <v>45942.73892</v>
      </c>
      <c r="C2550" s="9">
        <f>IFERROR(__xludf.DUMMYFUNCTION("""COMPUTED_VALUE"""),10035.0)</f>
        <v>10035</v>
      </c>
      <c r="D2550" s="9" t="str">
        <f>IFERROR(__xludf.DUMMYFUNCTION("""COMPUTED_VALUE"""),"Completed")</f>
        <v>Completed</v>
      </c>
    </row>
    <row r="2551">
      <c r="A2551" s="9" t="str">
        <f>IFERROR(__xludf.DUMMYFUNCTION("""COMPUTED_VALUE"""),"G-REQ-02550")</f>
        <v>G-REQ-02550</v>
      </c>
      <c r="B2551" s="11">
        <f>IFERROR(__xludf.DUMMYFUNCTION("""COMPUTED_VALUE"""),45942.81009762969)</f>
        <v>45942.8101</v>
      </c>
      <c r="C2551" s="9">
        <f>IFERROR(__xludf.DUMMYFUNCTION("""COMPUTED_VALUE"""),10039.0)</f>
        <v>10039</v>
      </c>
      <c r="D2551" s="9" t="str">
        <f>IFERROR(__xludf.DUMMYFUNCTION("""COMPUTED_VALUE"""),"Completed")</f>
        <v>Completed</v>
      </c>
    </row>
    <row r="2552">
      <c r="A2552" s="9" t="str">
        <f>IFERROR(__xludf.DUMMYFUNCTION("""COMPUTED_VALUE"""),"G-REQ-02551")</f>
        <v>G-REQ-02551</v>
      </c>
      <c r="B2552" s="11">
        <f>IFERROR(__xludf.DUMMYFUNCTION("""COMPUTED_VALUE"""),45942.881272475104)</f>
        <v>45942.88127</v>
      </c>
      <c r="C2552" s="9">
        <f>IFERROR(__xludf.DUMMYFUNCTION("""COMPUTED_VALUE"""),10043.0)</f>
        <v>10043</v>
      </c>
      <c r="D2552" s="9" t="str">
        <f>IFERROR(__xludf.DUMMYFUNCTION("""COMPUTED_VALUE"""),"Completed")</f>
        <v>Completed</v>
      </c>
    </row>
    <row r="2553">
      <c r="A2553" s="9" t="str">
        <f>IFERROR(__xludf.DUMMYFUNCTION("""COMPUTED_VALUE"""),"G-REQ-02552")</f>
        <v>G-REQ-02552</v>
      </c>
      <c r="B2553" s="11">
        <f>IFERROR(__xludf.DUMMYFUNCTION("""COMPUTED_VALUE"""),45942.952447320524)</f>
        <v>45942.95245</v>
      </c>
      <c r="C2553" s="9">
        <f>IFERROR(__xludf.DUMMYFUNCTION("""COMPUTED_VALUE"""),10047.0)</f>
        <v>10047</v>
      </c>
      <c r="D2553" s="9" t="str">
        <f>IFERROR(__xludf.DUMMYFUNCTION("""COMPUTED_VALUE"""),"Completed")</f>
        <v>Completed</v>
      </c>
    </row>
    <row r="2554">
      <c r="A2554" s="9" t="str">
        <f>IFERROR(__xludf.DUMMYFUNCTION("""COMPUTED_VALUE"""),"G-REQ-02553")</f>
        <v>G-REQ-02553</v>
      </c>
      <c r="B2554" s="11">
        <f>IFERROR(__xludf.DUMMYFUNCTION("""COMPUTED_VALUE"""),45943.023622165936)</f>
        <v>45943.02362</v>
      </c>
      <c r="C2554" s="9">
        <f>IFERROR(__xludf.DUMMYFUNCTION("""COMPUTED_VALUE"""),10051.0)</f>
        <v>10051</v>
      </c>
      <c r="D2554" s="9" t="str">
        <f>IFERROR(__xludf.DUMMYFUNCTION("""COMPUTED_VALUE"""),"Completed")</f>
        <v>Completed</v>
      </c>
    </row>
    <row r="2555">
      <c r="A2555" s="9" t="str">
        <f>IFERROR(__xludf.DUMMYFUNCTION("""COMPUTED_VALUE"""),"G-REQ-02554")</f>
        <v>G-REQ-02554</v>
      </c>
      <c r="B2555" s="11">
        <f>IFERROR(__xludf.DUMMYFUNCTION("""COMPUTED_VALUE"""),45943.09479701135)</f>
        <v>45943.0948</v>
      </c>
      <c r="C2555" s="9">
        <f>IFERROR(__xludf.DUMMYFUNCTION("""COMPUTED_VALUE"""),10055.0)</f>
        <v>10055</v>
      </c>
      <c r="D2555" s="9" t="str">
        <f>IFERROR(__xludf.DUMMYFUNCTION("""COMPUTED_VALUE"""),"Completed")</f>
        <v>Completed</v>
      </c>
    </row>
    <row r="2556">
      <c r="A2556" s="9" t="str">
        <f>IFERROR(__xludf.DUMMYFUNCTION("""COMPUTED_VALUE"""),"G-REQ-02555")</f>
        <v>G-REQ-02555</v>
      </c>
      <c r="B2556" s="11">
        <f>IFERROR(__xludf.DUMMYFUNCTION("""COMPUTED_VALUE"""),45943.16597185677)</f>
        <v>45943.16597</v>
      </c>
      <c r="C2556" s="9">
        <f>IFERROR(__xludf.DUMMYFUNCTION("""COMPUTED_VALUE"""),10059.0)</f>
        <v>10059</v>
      </c>
      <c r="D2556" s="9" t="str">
        <f>IFERROR(__xludf.DUMMYFUNCTION("""COMPUTED_VALUE"""),"Completed")</f>
        <v>Completed</v>
      </c>
    </row>
    <row r="2557">
      <c r="A2557" s="9" t="str">
        <f>IFERROR(__xludf.DUMMYFUNCTION("""COMPUTED_VALUE"""),"G-REQ-02556")</f>
        <v>G-REQ-02556</v>
      </c>
      <c r="B2557" s="11">
        <f>IFERROR(__xludf.DUMMYFUNCTION("""COMPUTED_VALUE"""),45943.23714670219)</f>
        <v>45943.23715</v>
      </c>
      <c r="C2557" s="9">
        <f>IFERROR(__xludf.DUMMYFUNCTION("""COMPUTED_VALUE"""),10063.0)</f>
        <v>10063</v>
      </c>
      <c r="D2557" s="9" t="str">
        <f>IFERROR(__xludf.DUMMYFUNCTION("""COMPUTED_VALUE"""),"Completed")</f>
        <v>Completed</v>
      </c>
    </row>
    <row r="2558">
      <c r="A2558" s="9" t="str">
        <f>IFERROR(__xludf.DUMMYFUNCTION("""COMPUTED_VALUE"""),"G-REQ-02557")</f>
        <v>G-REQ-02557</v>
      </c>
      <c r="B2558" s="11">
        <f>IFERROR(__xludf.DUMMYFUNCTION("""COMPUTED_VALUE"""),45943.30832154759)</f>
        <v>45943.30832</v>
      </c>
      <c r="C2558" s="9">
        <f>IFERROR(__xludf.DUMMYFUNCTION("""COMPUTED_VALUE"""),10067.0)</f>
        <v>10067</v>
      </c>
      <c r="D2558" s="9" t="str">
        <f>IFERROR(__xludf.DUMMYFUNCTION("""COMPUTED_VALUE"""),"Completed")</f>
        <v>Completed</v>
      </c>
    </row>
    <row r="2559">
      <c r="A2559" s="9" t="str">
        <f>IFERROR(__xludf.DUMMYFUNCTION("""COMPUTED_VALUE"""),"G-REQ-02558")</f>
        <v>G-REQ-02558</v>
      </c>
      <c r="B2559" s="11">
        <f>IFERROR(__xludf.DUMMYFUNCTION("""COMPUTED_VALUE"""),45943.37949639301)</f>
        <v>45943.3795</v>
      </c>
      <c r="C2559" s="9">
        <f>IFERROR(__xludf.DUMMYFUNCTION("""COMPUTED_VALUE"""),10071.0)</f>
        <v>10071</v>
      </c>
      <c r="D2559" s="9" t="str">
        <f>IFERROR(__xludf.DUMMYFUNCTION("""COMPUTED_VALUE"""),"Completed")</f>
        <v>Completed</v>
      </c>
    </row>
    <row r="2560">
      <c r="A2560" s="9" t="str">
        <f>IFERROR(__xludf.DUMMYFUNCTION("""COMPUTED_VALUE"""),"G-REQ-02559")</f>
        <v>G-REQ-02559</v>
      </c>
      <c r="B2560" s="11">
        <f>IFERROR(__xludf.DUMMYFUNCTION("""COMPUTED_VALUE"""),45943.45067123843)</f>
        <v>45943.45067</v>
      </c>
      <c r="C2560" s="9">
        <f>IFERROR(__xludf.DUMMYFUNCTION("""COMPUTED_VALUE"""),10075.0)</f>
        <v>10075</v>
      </c>
      <c r="D2560" s="9" t="str">
        <f>IFERROR(__xludf.DUMMYFUNCTION("""COMPUTED_VALUE"""),"Completed")</f>
        <v>Completed</v>
      </c>
    </row>
    <row r="2561">
      <c r="A2561" s="9" t="str">
        <f>IFERROR(__xludf.DUMMYFUNCTION("""COMPUTED_VALUE"""),"G-REQ-02560")</f>
        <v>G-REQ-02560</v>
      </c>
      <c r="B2561" s="11">
        <f>IFERROR(__xludf.DUMMYFUNCTION("""COMPUTED_VALUE"""),45943.521846083844)</f>
        <v>45943.52185</v>
      </c>
      <c r="C2561" s="9">
        <f>IFERROR(__xludf.DUMMYFUNCTION("""COMPUTED_VALUE"""),10079.0)</f>
        <v>10079</v>
      </c>
      <c r="D2561" s="9" t="str">
        <f>IFERROR(__xludf.DUMMYFUNCTION("""COMPUTED_VALUE"""),"Completed")</f>
        <v>Completed</v>
      </c>
    </row>
    <row r="2562">
      <c r="A2562" s="9" t="str">
        <f>IFERROR(__xludf.DUMMYFUNCTION("""COMPUTED_VALUE"""),"G-REQ-02561")</f>
        <v>G-REQ-02561</v>
      </c>
      <c r="B2562" s="11">
        <f>IFERROR(__xludf.DUMMYFUNCTION("""COMPUTED_VALUE"""),45943.59302092926)</f>
        <v>45943.59302</v>
      </c>
      <c r="C2562" s="9">
        <f>IFERROR(__xludf.DUMMYFUNCTION("""COMPUTED_VALUE"""),10083.0)</f>
        <v>10083</v>
      </c>
      <c r="D2562" s="9" t="str">
        <f>IFERROR(__xludf.DUMMYFUNCTION("""COMPUTED_VALUE"""),"Completed")</f>
        <v>Completed</v>
      </c>
    </row>
    <row r="2563">
      <c r="A2563" s="9" t="str">
        <f>IFERROR(__xludf.DUMMYFUNCTION("""COMPUTED_VALUE"""),"G-REQ-02562")</f>
        <v>G-REQ-02562</v>
      </c>
      <c r="B2563" s="11">
        <f>IFERROR(__xludf.DUMMYFUNCTION("""COMPUTED_VALUE"""),45943.664195774676)</f>
        <v>45943.6642</v>
      </c>
      <c r="C2563" s="9">
        <f>IFERROR(__xludf.DUMMYFUNCTION("""COMPUTED_VALUE"""),10087.0)</f>
        <v>10087</v>
      </c>
      <c r="D2563" s="9" t="str">
        <f>IFERROR(__xludf.DUMMYFUNCTION("""COMPUTED_VALUE"""),"Completed")</f>
        <v>Completed</v>
      </c>
    </row>
    <row r="2564">
      <c r="A2564" s="9" t="str">
        <f>IFERROR(__xludf.DUMMYFUNCTION("""COMPUTED_VALUE"""),"G-REQ-02563")</f>
        <v>G-REQ-02563</v>
      </c>
      <c r="B2564" s="11">
        <f>IFERROR(__xludf.DUMMYFUNCTION("""COMPUTED_VALUE"""),45943.73537062009)</f>
        <v>45943.73537</v>
      </c>
      <c r="C2564" s="9">
        <f>IFERROR(__xludf.DUMMYFUNCTION("""COMPUTED_VALUE"""),10091.0)</f>
        <v>10091</v>
      </c>
      <c r="D2564" s="9" t="str">
        <f>IFERROR(__xludf.DUMMYFUNCTION("""COMPUTED_VALUE"""),"Completed")</f>
        <v>Completed</v>
      </c>
    </row>
    <row r="2565">
      <c r="A2565" s="9" t="str">
        <f>IFERROR(__xludf.DUMMYFUNCTION("""COMPUTED_VALUE"""),"G-REQ-02564")</f>
        <v>G-REQ-02564</v>
      </c>
      <c r="B2565" s="11">
        <f>IFERROR(__xludf.DUMMYFUNCTION("""COMPUTED_VALUE"""),45943.8065454655)</f>
        <v>45943.80655</v>
      </c>
      <c r="C2565" s="9">
        <f>IFERROR(__xludf.DUMMYFUNCTION("""COMPUTED_VALUE"""),10095.0)</f>
        <v>10095</v>
      </c>
      <c r="D2565" s="9" t="str">
        <f>IFERROR(__xludf.DUMMYFUNCTION("""COMPUTED_VALUE"""),"Completed")</f>
        <v>Completed</v>
      </c>
    </row>
    <row r="2566">
      <c r="A2566" s="9" t="str">
        <f>IFERROR(__xludf.DUMMYFUNCTION("""COMPUTED_VALUE"""),"G-REQ-02565")</f>
        <v>G-REQ-02565</v>
      </c>
      <c r="B2566" s="11">
        <f>IFERROR(__xludf.DUMMYFUNCTION("""COMPUTED_VALUE"""),45943.870775866475)</f>
        <v>45943.87078</v>
      </c>
      <c r="C2566" s="9">
        <f>IFERROR(__xludf.DUMMYFUNCTION("""COMPUTED_VALUE"""),10097.0)</f>
        <v>10097</v>
      </c>
      <c r="D2566" s="9" t="str">
        <f>IFERROR(__xludf.DUMMYFUNCTION("""COMPUTED_VALUE"""),"Rejected")</f>
        <v>Rejected</v>
      </c>
    </row>
    <row r="2567">
      <c r="A2567" s="9" t="str">
        <f>IFERROR(__xludf.DUMMYFUNCTION("""COMPUTED_VALUE"""),"G-REQ-02566")</f>
        <v>G-REQ-02566</v>
      </c>
      <c r="B2567" s="11">
        <f>IFERROR(__xludf.DUMMYFUNCTION("""COMPUTED_VALUE"""),45943.94889515634)</f>
        <v>45943.9489</v>
      </c>
      <c r="C2567" s="9">
        <f>IFERROR(__xludf.DUMMYFUNCTION("""COMPUTED_VALUE"""),10101.0)</f>
        <v>10101</v>
      </c>
      <c r="D2567" s="9" t="str">
        <f>IFERROR(__xludf.DUMMYFUNCTION("""COMPUTED_VALUE"""),"Completed")</f>
        <v>Completed</v>
      </c>
    </row>
    <row r="2568">
      <c r="A2568" s="9" t="str">
        <f>IFERROR(__xludf.DUMMYFUNCTION("""COMPUTED_VALUE"""),"G-REQ-02567")</f>
        <v>G-REQ-02567</v>
      </c>
      <c r="B2568" s="11">
        <f>IFERROR(__xludf.DUMMYFUNCTION("""COMPUTED_VALUE"""),45944.020070001745)</f>
        <v>45944.02007</v>
      </c>
      <c r="C2568" s="9">
        <f>IFERROR(__xludf.DUMMYFUNCTION("""COMPUTED_VALUE"""),10105.0)</f>
        <v>10105</v>
      </c>
      <c r="D2568" s="9" t="str">
        <f>IFERROR(__xludf.DUMMYFUNCTION("""COMPUTED_VALUE"""),"Completed")</f>
        <v>Completed</v>
      </c>
    </row>
    <row r="2569">
      <c r="A2569" s="9" t="str">
        <f>IFERROR(__xludf.DUMMYFUNCTION("""COMPUTED_VALUE"""),"G-REQ-02568")</f>
        <v>G-REQ-02568</v>
      </c>
      <c r="B2569" s="11">
        <f>IFERROR(__xludf.DUMMYFUNCTION("""COMPUTED_VALUE"""),45944.091244847164)</f>
        <v>45944.09124</v>
      </c>
      <c r="C2569" s="9">
        <f>IFERROR(__xludf.DUMMYFUNCTION("""COMPUTED_VALUE"""),10109.0)</f>
        <v>10109</v>
      </c>
      <c r="D2569" s="9" t="str">
        <f>IFERROR(__xludf.DUMMYFUNCTION("""COMPUTED_VALUE"""),"Completed")</f>
        <v>Completed</v>
      </c>
    </row>
    <row r="2570">
      <c r="A2570" s="9" t="str">
        <f>IFERROR(__xludf.DUMMYFUNCTION("""COMPUTED_VALUE"""),"G-REQ-02569")</f>
        <v>G-REQ-02569</v>
      </c>
      <c r="B2570" s="11">
        <f>IFERROR(__xludf.DUMMYFUNCTION("""COMPUTED_VALUE"""),45944.16241969258)</f>
        <v>45944.16242</v>
      </c>
      <c r="C2570" s="9">
        <f>IFERROR(__xludf.DUMMYFUNCTION("""COMPUTED_VALUE"""),10113.0)</f>
        <v>10113</v>
      </c>
      <c r="D2570" s="9" t="str">
        <f>IFERROR(__xludf.DUMMYFUNCTION("""COMPUTED_VALUE"""),"Completed")</f>
        <v>Completed</v>
      </c>
    </row>
    <row r="2571">
      <c r="A2571" s="9" t="str">
        <f>IFERROR(__xludf.DUMMYFUNCTION("""COMPUTED_VALUE"""),"G-REQ-02570")</f>
        <v>G-REQ-02570</v>
      </c>
      <c r="B2571" s="11">
        <f>IFERROR(__xludf.DUMMYFUNCTION("""COMPUTED_VALUE"""),45944.233594538)</f>
        <v>45944.23359</v>
      </c>
      <c r="C2571" s="9">
        <f>IFERROR(__xludf.DUMMYFUNCTION("""COMPUTED_VALUE"""),10117.0)</f>
        <v>10117</v>
      </c>
      <c r="D2571" s="9" t="str">
        <f>IFERROR(__xludf.DUMMYFUNCTION("""COMPUTED_VALUE"""),"Completed")</f>
        <v>Completed</v>
      </c>
    </row>
    <row r="2572">
      <c r="A2572" s="9" t="str">
        <f>IFERROR(__xludf.DUMMYFUNCTION("""COMPUTED_VALUE"""),"G-REQ-02571")</f>
        <v>G-REQ-02571</v>
      </c>
      <c r="B2572" s="11">
        <f>IFERROR(__xludf.DUMMYFUNCTION("""COMPUTED_VALUE"""),45944.30476938341)</f>
        <v>45944.30477</v>
      </c>
      <c r="C2572" s="9">
        <f>IFERROR(__xludf.DUMMYFUNCTION("""COMPUTED_VALUE"""),10121.0)</f>
        <v>10121</v>
      </c>
      <c r="D2572" s="9" t="str">
        <f>IFERROR(__xludf.DUMMYFUNCTION("""COMPUTED_VALUE"""),"Completed")</f>
        <v>Completed</v>
      </c>
    </row>
    <row r="2573">
      <c r="A2573" s="9" t="str">
        <f>IFERROR(__xludf.DUMMYFUNCTION("""COMPUTED_VALUE"""),"G-REQ-02572")</f>
        <v>G-REQ-02572</v>
      </c>
      <c r="B2573" s="11">
        <f>IFERROR(__xludf.DUMMYFUNCTION("""COMPUTED_VALUE"""),45944.37594422883)</f>
        <v>45944.37594</v>
      </c>
      <c r="C2573" s="9">
        <f>IFERROR(__xludf.DUMMYFUNCTION("""COMPUTED_VALUE"""),10125.0)</f>
        <v>10125</v>
      </c>
      <c r="D2573" s="9" t="str">
        <f>IFERROR(__xludf.DUMMYFUNCTION("""COMPUTED_VALUE"""),"Completed")</f>
        <v>Completed</v>
      </c>
    </row>
    <row r="2574">
      <c r="A2574" s="9" t="str">
        <f>IFERROR(__xludf.DUMMYFUNCTION("""COMPUTED_VALUE"""),"G-REQ-02573")</f>
        <v>G-REQ-02573</v>
      </c>
      <c r="B2574" s="11">
        <f>IFERROR(__xludf.DUMMYFUNCTION("""COMPUTED_VALUE"""),45944.44711907423)</f>
        <v>45944.44712</v>
      </c>
      <c r="C2574" s="9">
        <f>IFERROR(__xludf.DUMMYFUNCTION("""COMPUTED_VALUE"""),10129.0)</f>
        <v>10129</v>
      </c>
      <c r="D2574" s="9" t="str">
        <f>IFERROR(__xludf.DUMMYFUNCTION("""COMPUTED_VALUE"""),"Completed")</f>
        <v>Completed</v>
      </c>
    </row>
    <row r="2575">
      <c r="A2575" s="9" t="str">
        <f>IFERROR(__xludf.DUMMYFUNCTION("""COMPUTED_VALUE"""),"G-REQ-02574")</f>
        <v>G-REQ-02574</v>
      </c>
      <c r="B2575" s="11">
        <f>IFERROR(__xludf.DUMMYFUNCTION("""COMPUTED_VALUE"""),45944.51829391965)</f>
        <v>45944.51829</v>
      </c>
      <c r="C2575" s="9">
        <f>IFERROR(__xludf.DUMMYFUNCTION("""COMPUTED_VALUE"""),10133.0)</f>
        <v>10133</v>
      </c>
      <c r="D2575" s="9" t="str">
        <f>IFERROR(__xludf.DUMMYFUNCTION("""COMPUTED_VALUE"""),"Completed")</f>
        <v>Completed</v>
      </c>
    </row>
    <row r="2576">
      <c r="A2576" s="9" t="str">
        <f>IFERROR(__xludf.DUMMYFUNCTION("""COMPUTED_VALUE"""),"G-REQ-02575")</f>
        <v>G-REQ-02575</v>
      </c>
      <c r="B2576" s="11">
        <f>IFERROR(__xludf.DUMMYFUNCTION("""COMPUTED_VALUE"""),45944.58946876507)</f>
        <v>45944.58947</v>
      </c>
      <c r="C2576" s="9">
        <f>IFERROR(__xludf.DUMMYFUNCTION("""COMPUTED_VALUE"""),10137.0)</f>
        <v>10137</v>
      </c>
      <c r="D2576" s="9" t="str">
        <f>IFERROR(__xludf.DUMMYFUNCTION("""COMPUTED_VALUE"""),"Completed")</f>
        <v>Completed</v>
      </c>
    </row>
    <row r="2577">
      <c r="A2577" s="9" t="str">
        <f>IFERROR(__xludf.DUMMYFUNCTION("""COMPUTED_VALUE"""),"G-REQ-02576")</f>
        <v>G-REQ-02576</v>
      </c>
      <c r="B2577" s="11">
        <f>IFERROR(__xludf.DUMMYFUNCTION("""COMPUTED_VALUE"""),45944.65369916604)</f>
        <v>45944.6537</v>
      </c>
      <c r="C2577" s="9">
        <f>IFERROR(__xludf.DUMMYFUNCTION("""COMPUTED_VALUE"""),10139.0)</f>
        <v>10139</v>
      </c>
      <c r="D2577" s="9" t="str">
        <f>IFERROR(__xludf.DUMMYFUNCTION("""COMPUTED_VALUE"""),"Cancelled")</f>
        <v>Cancelled</v>
      </c>
    </row>
    <row r="2578">
      <c r="A2578" s="9" t="str">
        <f>IFERROR(__xludf.DUMMYFUNCTION("""COMPUTED_VALUE"""),"G-REQ-02577")</f>
        <v>G-REQ-02577</v>
      </c>
      <c r="B2578" s="11">
        <f>IFERROR(__xludf.DUMMYFUNCTION("""COMPUTED_VALUE"""),45944.7318184559)</f>
        <v>45944.73182</v>
      </c>
      <c r="C2578" s="9">
        <f>IFERROR(__xludf.DUMMYFUNCTION("""COMPUTED_VALUE"""),10143.0)</f>
        <v>10143</v>
      </c>
      <c r="D2578" s="9" t="str">
        <f>IFERROR(__xludf.DUMMYFUNCTION("""COMPUTED_VALUE"""),"Completed")</f>
        <v>Completed</v>
      </c>
    </row>
    <row r="2579">
      <c r="A2579" s="9" t="str">
        <f>IFERROR(__xludf.DUMMYFUNCTION("""COMPUTED_VALUE"""),"G-REQ-02578")</f>
        <v>G-REQ-02578</v>
      </c>
      <c r="B2579" s="11">
        <f>IFERROR(__xludf.DUMMYFUNCTION("""COMPUTED_VALUE"""),45944.80299330132)</f>
        <v>45944.80299</v>
      </c>
      <c r="C2579" s="9">
        <f>IFERROR(__xludf.DUMMYFUNCTION("""COMPUTED_VALUE"""),10147.0)</f>
        <v>10147</v>
      </c>
      <c r="D2579" s="9" t="str">
        <f>IFERROR(__xludf.DUMMYFUNCTION("""COMPUTED_VALUE"""),"Completed")</f>
        <v>Completed</v>
      </c>
    </row>
    <row r="2580">
      <c r="A2580" s="9" t="str">
        <f>IFERROR(__xludf.DUMMYFUNCTION("""COMPUTED_VALUE"""),"G-REQ-02579")</f>
        <v>G-REQ-02579</v>
      </c>
      <c r="B2580" s="11">
        <f>IFERROR(__xludf.DUMMYFUNCTION("""COMPUTED_VALUE"""),45944.87416814673)</f>
        <v>45944.87417</v>
      </c>
      <c r="C2580" s="9">
        <f>IFERROR(__xludf.DUMMYFUNCTION("""COMPUTED_VALUE"""),10151.0)</f>
        <v>10151</v>
      </c>
      <c r="D2580" s="9" t="str">
        <f>IFERROR(__xludf.DUMMYFUNCTION("""COMPUTED_VALUE"""),"Completed")</f>
        <v>Completed</v>
      </c>
    </row>
    <row r="2581">
      <c r="A2581" s="9" t="str">
        <f>IFERROR(__xludf.DUMMYFUNCTION("""COMPUTED_VALUE"""),"G-REQ-02580")</f>
        <v>G-REQ-02580</v>
      </c>
      <c r="B2581" s="11">
        <f>IFERROR(__xludf.DUMMYFUNCTION("""COMPUTED_VALUE"""),45944.94534299214)</f>
        <v>45944.94534</v>
      </c>
      <c r="C2581" s="9">
        <f>IFERROR(__xludf.DUMMYFUNCTION("""COMPUTED_VALUE"""),10155.0)</f>
        <v>10155</v>
      </c>
      <c r="D2581" s="9" t="str">
        <f>IFERROR(__xludf.DUMMYFUNCTION("""COMPUTED_VALUE"""),"Completed")</f>
        <v>Completed</v>
      </c>
    </row>
    <row r="2582">
      <c r="A2582" s="9" t="str">
        <f>IFERROR(__xludf.DUMMYFUNCTION("""COMPUTED_VALUE"""),"G-REQ-02581")</f>
        <v>G-REQ-02581</v>
      </c>
      <c r="B2582" s="11">
        <f>IFERROR(__xludf.DUMMYFUNCTION("""COMPUTED_VALUE"""),45945.01651783756)</f>
        <v>45945.01652</v>
      </c>
      <c r="C2582" s="9">
        <f>IFERROR(__xludf.DUMMYFUNCTION("""COMPUTED_VALUE"""),10159.0)</f>
        <v>10159</v>
      </c>
      <c r="D2582" s="9" t="str">
        <f>IFERROR(__xludf.DUMMYFUNCTION("""COMPUTED_VALUE"""),"Completed")</f>
        <v>Completed</v>
      </c>
    </row>
    <row r="2583">
      <c r="A2583" s="9" t="str">
        <f>IFERROR(__xludf.DUMMYFUNCTION("""COMPUTED_VALUE"""),"G-REQ-02582")</f>
        <v>G-REQ-02582</v>
      </c>
      <c r="B2583" s="11">
        <f>IFERROR(__xludf.DUMMYFUNCTION("""COMPUTED_VALUE"""),45945.08769268298)</f>
        <v>45945.08769</v>
      </c>
      <c r="C2583" s="9">
        <f>IFERROR(__xludf.DUMMYFUNCTION("""COMPUTED_VALUE"""),10163.0)</f>
        <v>10163</v>
      </c>
      <c r="D2583" s="9" t="str">
        <f>IFERROR(__xludf.DUMMYFUNCTION("""COMPUTED_VALUE"""),"Completed")</f>
        <v>Completed</v>
      </c>
    </row>
    <row r="2584">
      <c r="A2584" s="9" t="str">
        <f>IFERROR(__xludf.DUMMYFUNCTION("""COMPUTED_VALUE"""),"G-REQ-02583")</f>
        <v>G-REQ-02583</v>
      </c>
      <c r="B2584" s="11">
        <f>IFERROR(__xludf.DUMMYFUNCTION("""COMPUTED_VALUE"""),45945.158867528386)</f>
        <v>45945.15887</v>
      </c>
      <c r="C2584" s="9">
        <f>IFERROR(__xludf.DUMMYFUNCTION("""COMPUTED_VALUE"""),10167.0)</f>
        <v>10167</v>
      </c>
      <c r="D2584" s="9" t="str">
        <f>IFERROR(__xludf.DUMMYFUNCTION("""COMPUTED_VALUE"""),"Completed")</f>
        <v>Completed</v>
      </c>
    </row>
    <row r="2585">
      <c r="A2585" s="9" t="str">
        <f>IFERROR(__xludf.DUMMYFUNCTION("""COMPUTED_VALUE"""),"G-REQ-02584")</f>
        <v>G-REQ-02584</v>
      </c>
      <c r="B2585" s="11">
        <f>IFERROR(__xludf.DUMMYFUNCTION("""COMPUTED_VALUE"""),45945.230042373805)</f>
        <v>45945.23004</v>
      </c>
      <c r="C2585" s="9">
        <f>IFERROR(__xludf.DUMMYFUNCTION("""COMPUTED_VALUE"""),10171.0)</f>
        <v>10171</v>
      </c>
      <c r="D2585" s="9" t="str">
        <f>IFERROR(__xludf.DUMMYFUNCTION("""COMPUTED_VALUE"""),"Completed")</f>
        <v>Completed</v>
      </c>
    </row>
    <row r="2586">
      <c r="A2586" s="9" t="str">
        <f>IFERROR(__xludf.DUMMYFUNCTION("""COMPUTED_VALUE"""),"G-REQ-02585")</f>
        <v>G-REQ-02585</v>
      </c>
      <c r="B2586" s="11">
        <f>IFERROR(__xludf.DUMMYFUNCTION("""COMPUTED_VALUE"""),45945.30121721922)</f>
        <v>45945.30122</v>
      </c>
      <c r="C2586" s="9">
        <f>IFERROR(__xludf.DUMMYFUNCTION("""COMPUTED_VALUE"""),10175.0)</f>
        <v>10175</v>
      </c>
      <c r="D2586" s="9" t="str">
        <f>IFERROR(__xludf.DUMMYFUNCTION("""COMPUTED_VALUE"""),"Completed")</f>
        <v>Completed</v>
      </c>
    </row>
    <row r="2587">
      <c r="A2587" s="9" t="str">
        <f>IFERROR(__xludf.DUMMYFUNCTION("""COMPUTED_VALUE"""),"G-REQ-02586")</f>
        <v>G-REQ-02586</v>
      </c>
      <c r="B2587" s="11">
        <f>IFERROR(__xludf.DUMMYFUNCTION("""COMPUTED_VALUE"""),45945.37239206464)</f>
        <v>45945.37239</v>
      </c>
      <c r="C2587" s="9">
        <f>IFERROR(__xludf.DUMMYFUNCTION("""COMPUTED_VALUE"""),10179.0)</f>
        <v>10179</v>
      </c>
      <c r="D2587" s="9" t="str">
        <f>IFERROR(__xludf.DUMMYFUNCTION("""COMPUTED_VALUE"""),"Completed")</f>
        <v>Completed</v>
      </c>
    </row>
    <row r="2588">
      <c r="A2588" s="9" t="str">
        <f>IFERROR(__xludf.DUMMYFUNCTION("""COMPUTED_VALUE"""),"G-REQ-02587")</f>
        <v>G-REQ-02587</v>
      </c>
      <c r="B2588" s="11">
        <f>IFERROR(__xludf.DUMMYFUNCTION("""COMPUTED_VALUE"""),45945.44356691005)</f>
        <v>45945.44357</v>
      </c>
      <c r="C2588" s="9">
        <f>IFERROR(__xludf.DUMMYFUNCTION("""COMPUTED_VALUE"""),10183.0)</f>
        <v>10183</v>
      </c>
      <c r="D2588" s="9" t="str">
        <f>IFERROR(__xludf.DUMMYFUNCTION("""COMPUTED_VALUE"""),"Completed")</f>
        <v>Completed</v>
      </c>
    </row>
    <row r="2589">
      <c r="A2589" s="9" t="str">
        <f>IFERROR(__xludf.DUMMYFUNCTION("""COMPUTED_VALUE"""),"G-REQ-02588")</f>
        <v>G-REQ-02588</v>
      </c>
      <c r="B2589" s="11">
        <f>IFERROR(__xludf.DUMMYFUNCTION("""COMPUTED_VALUE"""),45945.51474175547)</f>
        <v>45945.51474</v>
      </c>
      <c r="C2589" s="9">
        <f>IFERROR(__xludf.DUMMYFUNCTION("""COMPUTED_VALUE"""),10187.0)</f>
        <v>10187</v>
      </c>
      <c r="D2589" s="9" t="str">
        <f>IFERROR(__xludf.DUMMYFUNCTION("""COMPUTED_VALUE"""),"Completed")</f>
        <v>Completed</v>
      </c>
    </row>
    <row r="2590">
      <c r="A2590" s="9" t="str">
        <f>IFERROR(__xludf.DUMMYFUNCTION("""COMPUTED_VALUE"""),"G-REQ-02589")</f>
        <v>G-REQ-02589</v>
      </c>
      <c r="B2590" s="11">
        <f>IFERROR(__xludf.DUMMYFUNCTION("""COMPUTED_VALUE"""),45945.58591660088)</f>
        <v>45945.58592</v>
      </c>
      <c r="C2590" s="9">
        <f>IFERROR(__xludf.DUMMYFUNCTION("""COMPUTED_VALUE"""),10191.0)</f>
        <v>10191</v>
      </c>
      <c r="D2590" s="9" t="str">
        <f>IFERROR(__xludf.DUMMYFUNCTION("""COMPUTED_VALUE"""),"Completed")</f>
        <v>Completed</v>
      </c>
    </row>
    <row r="2591">
      <c r="A2591" s="9" t="str">
        <f>IFERROR(__xludf.DUMMYFUNCTION("""COMPUTED_VALUE"""),"G-REQ-02590")</f>
        <v>G-REQ-02590</v>
      </c>
      <c r="B2591" s="11">
        <f>IFERROR(__xludf.DUMMYFUNCTION("""COMPUTED_VALUE"""),45945.65709144629)</f>
        <v>45945.65709</v>
      </c>
      <c r="C2591" s="9">
        <f>IFERROR(__xludf.DUMMYFUNCTION("""COMPUTED_VALUE"""),10195.0)</f>
        <v>10195</v>
      </c>
      <c r="D2591" s="9" t="str">
        <f>IFERROR(__xludf.DUMMYFUNCTION("""COMPUTED_VALUE"""),"Completed")</f>
        <v>Completed</v>
      </c>
    </row>
    <row r="2592">
      <c r="A2592" s="9" t="str">
        <f>IFERROR(__xludf.DUMMYFUNCTION("""COMPUTED_VALUE"""),"G-REQ-02591")</f>
        <v>G-REQ-02591</v>
      </c>
      <c r="B2592" s="11">
        <f>IFERROR(__xludf.DUMMYFUNCTION("""COMPUTED_VALUE"""),45945.72826629171)</f>
        <v>45945.72827</v>
      </c>
      <c r="C2592" s="9">
        <f>IFERROR(__xludf.DUMMYFUNCTION("""COMPUTED_VALUE"""),10199.0)</f>
        <v>10199</v>
      </c>
      <c r="D2592" s="9" t="str">
        <f>IFERROR(__xludf.DUMMYFUNCTION("""COMPUTED_VALUE"""),"Completed")</f>
        <v>Completed</v>
      </c>
    </row>
    <row r="2593">
      <c r="A2593" s="9" t="str">
        <f>IFERROR(__xludf.DUMMYFUNCTION("""COMPUTED_VALUE"""),"G-REQ-02592")</f>
        <v>G-REQ-02592</v>
      </c>
      <c r="B2593" s="11">
        <f>IFERROR(__xludf.DUMMYFUNCTION("""COMPUTED_VALUE"""),45945.799441137126)</f>
        <v>45945.79944</v>
      </c>
      <c r="C2593" s="9">
        <f>IFERROR(__xludf.DUMMYFUNCTION("""COMPUTED_VALUE"""),10203.0)</f>
        <v>10203</v>
      </c>
      <c r="D2593" s="9" t="str">
        <f>IFERROR(__xludf.DUMMYFUNCTION("""COMPUTED_VALUE"""),"Completed")</f>
        <v>Completed</v>
      </c>
    </row>
    <row r="2594">
      <c r="A2594" s="9" t="str">
        <f>IFERROR(__xludf.DUMMYFUNCTION("""COMPUTED_VALUE"""),"G-REQ-02593")</f>
        <v>G-REQ-02593</v>
      </c>
      <c r="B2594" s="11">
        <f>IFERROR(__xludf.DUMMYFUNCTION("""COMPUTED_VALUE"""),45945.87061598254)</f>
        <v>45945.87062</v>
      </c>
      <c r="C2594" s="9">
        <f>IFERROR(__xludf.DUMMYFUNCTION("""COMPUTED_VALUE"""),10207.0)</f>
        <v>10207</v>
      </c>
      <c r="D2594" s="9" t="str">
        <f>IFERROR(__xludf.DUMMYFUNCTION("""COMPUTED_VALUE"""),"Completed")</f>
        <v>Completed</v>
      </c>
    </row>
    <row r="2595">
      <c r="A2595" s="9" t="str">
        <f>IFERROR(__xludf.DUMMYFUNCTION("""COMPUTED_VALUE"""),"G-REQ-02594")</f>
        <v>G-REQ-02594</v>
      </c>
      <c r="B2595" s="11">
        <f>IFERROR(__xludf.DUMMYFUNCTION("""COMPUTED_VALUE"""),45945.94179082796)</f>
        <v>45945.94179</v>
      </c>
      <c r="C2595" s="9">
        <f>IFERROR(__xludf.DUMMYFUNCTION("""COMPUTED_VALUE"""),10211.0)</f>
        <v>10211</v>
      </c>
      <c r="D2595" s="9" t="str">
        <f>IFERROR(__xludf.DUMMYFUNCTION("""COMPUTED_VALUE"""),"Completed")</f>
        <v>Completed</v>
      </c>
    </row>
    <row r="2596">
      <c r="A2596" s="9" t="str">
        <f>IFERROR(__xludf.DUMMYFUNCTION("""COMPUTED_VALUE"""),"G-REQ-02595")</f>
        <v>G-REQ-02595</v>
      </c>
      <c r="B2596" s="11">
        <f>IFERROR(__xludf.DUMMYFUNCTION("""COMPUTED_VALUE"""),45946.01296567337)</f>
        <v>45946.01297</v>
      </c>
      <c r="C2596" s="9">
        <f>IFERROR(__xludf.DUMMYFUNCTION("""COMPUTED_VALUE"""),10215.0)</f>
        <v>10215</v>
      </c>
      <c r="D2596" s="9" t="str">
        <f>IFERROR(__xludf.DUMMYFUNCTION("""COMPUTED_VALUE"""),"Completed")</f>
        <v>Completed</v>
      </c>
    </row>
    <row r="2597">
      <c r="A2597" s="9" t="str">
        <f>IFERROR(__xludf.DUMMYFUNCTION("""COMPUTED_VALUE"""),"G-REQ-02596")</f>
        <v>G-REQ-02596</v>
      </c>
      <c r="B2597" s="11">
        <f>IFERROR(__xludf.DUMMYFUNCTION("""COMPUTED_VALUE"""),45946.08414051878)</f>
        <v>45946.08414</v>
      </c>
      <c r="C2597" s="9">
        <f>IFERROR(__xludf.DUMMYFUNCTION("""COMPUTED_VALUE"""),10219.0)</f>
        <v>10219</v>
      </c>
      <c r="D2597" s="9" t="str">
        <f>IFERROR(__xludf.DUMMYFUNCTION("""COMPUTED_VALUE"""),"Completed")</f>
        <v>Completed</v>
      </c>
    </row>
    <row r="2598">
      <c r="A2598" s="9" t="str">
        <f>IFERROR(__xludf.DUMMYFUNCTION("""COMPUTED_VALUE"""),"G-REQ-02597")</f>
        <v>G-REQ-02597</v>
      </c>
      <c r="B2598" s="11">
        <f>IFERROR(__xludf.DUMMYFUNCTION("""COMPUTED_VALUE"""),45946.1553153642)</f>
        <v>45946.15532</v>
      </c>
      <c r="C2598" s="9">
        <f>IFERROR(__xludf.DUMMYFUNCTION("""COMPUTED_VALUE"""),10223.0)</f>
        <v>10223</v>
      </c>
      <c r="D2598" s="9" t="str">
        <f>IFERROR(__xludf.DUMMYFUNCTION("""COMPUTED_VALUE"""),"Completed")</f>
        <v>Completed</v>
      </c>
    </row>
    <row r="2599">
      <c r="A2599" s="9" t="str">
        <f>IFERROR(__xludf.DUMMYFUNCTION("""COMPUTED_VALUE"""),"G-REQ-02598")</f>
        <v>G-REQ-02598</v>
      </c>
      <c r="B2599" s="11">
        <f>IFERROR(__xludf.DUMMYFUNCTION("""COMPUTED_VALUE"""),45946.22649020962)</f>
        <v>45946.22649</v>
      </c>
      <c r="C2599" s="9">
        <f>IFERROR(__xludf.DUMMYFUNCTION("""COMPUTED_VALUE"""),10227.0)</f>
        <v>10227</v>
      </c>
      <c r="D2599" s="9" t="str">
        <f>IFERROR(__xludf.DUMMYFUNCTION("""COMPUTED_VALUE"""),"Completed")</f>
        <v>Completed</v>
      </c>
    </row>
    <row r="2600">
      <c r="A2600" s="9" t="str">
        <f>IFERROR(__xludf.DUMMYFUNCTION("""COMPUTED_VALUE"""),"G-REQ-02599")</f>
        <v>G-REQ-02599</v>
      </c>
      <c r="B2600" s="11">
        <f>IFERROR(__xludf.DUMMYFUNCTION("""COMPUTED_VALUE"""),45946.29072061058)</f>
        <v>45946.29072</v>
      </c>
      <c r="C2600" s="9">
        <f>IFERROR(__xludf.DUMMYFUNCTION("""COMPUTED_VALUE"""),10229.0)</f>
        <v>10229</v>
      </c>
      <c r="D2600" s="9" t="str">
        <f>IFERROR(__xludf.DUMMYFUNCTION("""COMPUTED_VALUE"""),"Cancelled")</f>
        <v>Cancelled</v>
      </c>
    </row>
    <row r="2601">
      <c r="A2601" s="9" t="str">
        <f>IFERROR(__xludf.DUMMYFUNCTION("""COMPUTED_VALUE"""),"G-REQ-02600")</f>
        <v>G-REQ-02600</v>
      </c>
      <c r="B2601" s="11">
        <f>IFERROR(__xludf.DUMMYFUNCTION("""COMPUTED_VALUE"""),45946.368839900446)</f>
        <v>45946.36884</v>
      </c>
      <c r="C2601" s="9">
        <f>IFERROR(__xludf.DUMMYFUNCTION("""COMPUTED_VALUE"""),10233.0)</f>
        <v>10233</v>
      </c>
      <c r="D2601" s="9" t="str">
        <f>IFERROR(__xludf.DUMMYFUNCTION("""COMPUTED_VALUE"""),"Completed")</f>
        <v>Completed</v>
      </c>
    </row>
    <row r="2602">
      <c r="A2602" s="9" t="str">
        <f>IFERROR(__xludf.DUMMYFUNCTION("""COMPUTED_VALUE"""),"G-REQ-02601")</f>
        <v>G-REQ-02601</v>
      </c>
      <c r="B2602" s="11">
        <f>IFERROR(__xludf.DUMMYFUNCTION("""COMPUTED_VALUE"""),45946.440014745865)</f>
        <v>45946.44001</v>
      </c>
      <c r="C2602" s="9">
        <f>IFERROR(__xludf.DUMMYFUNCTION("""COMPUTED_VALUE"""),10237.0)</f>
        <v>10237</v>
      </c>
      <c r="D2602" s="9" t="str">
        <f>IFERROR(__xludf.DUMMYFUNCTION("""COMPUTED_VALUE"""),"Completed")</f>
        <v>Completed</v>
      </c>
    </row>
    <row r="2603">
      <c r="A2603" s="9" t="str">
        <f>IFERROR(__xludf.DUMMYFUNCTION("""COMPUTED_VALUE"""),"G-REQ-02602")</f>
        <v>G-REQ-02602</v>
      </c>
      <c r="B2603" s="11">
        <f>IFERROR(__xludf.DUMMYFUNCTION("""COMPUTED_VALUE"""),45946.51118959128)</f>
        <v>45946.51119</v>
      </c>
      <c r="C2603" s="9">
        <f>IFERROR(__xludf.DUMMYFUNCTION("""COMPUTED_VALUE"""),10241.0)</f>
        <v>10241</v>
      </c>
      <c r="D2603" s="9" t="str">
        <f>IFERROR(__xludf.DUMMYFUNCTION("""COMPUTED_VALUE"""),"Completed")</f>
        <v>Completed</v>
      </c>
    </row>
    <row r="2604">
      <c r="A2604" s="9" t="str">
        <f>IFERROR(__xludf.DUMMYFUNCTION("""COMPUTED_VALUE"""),"G-REQ-02603")</f>
        <v>G-REQ-02603</v>
      </c>
      <c r="B2604" s="11">
        <f>IFERROR(__xludf.DUMMYFUNCTION("""COMPUTED_VALUE"""),45946.58236443669)</f>
        <v>45946.58236</v>
      </c>
      <c r="C2604" s="9">
        <f>IFERROR(__xludf.DUMMYFUNCTION("""COMPUTED_VALUE"""),10245.0)</f>
        <v>10245</v>
      </c>
      <c r="D2604" s="9" t="str">
        <f>IFERROR(__xludf.DUMMYFUNCTION("""COMPUTED_VALUE"""),"Completed")</f>
        <v>Completed</v>
      </c>
    </row>
    <row r="2605">
      <c r="A2605" s="9" t="str">
        <f>IFERROR(__xludf.DUMMYFUNCTION("""COMPUTED_VALUE"""),"G-REQ-02604")</f>
        <v>G-REQ-02604</v>
      </c>
      <c r="B2605" s="11">
        <f>IFERROR(__xludf.DUMMYFUNCTION("""COMPUTED_VALUE"""),45946.65353928211)</f>
        <v>45946.65354</v>
      </c>
      <c r="C2605" s="9">
        <f>IFERROR(__xludf.DUMMYFUNCTION("""COMPUTED_VALUE"""),10249.0)</f>
        <v>10249</v>
      </c>
      <c r="D2605" s="9" t="str">
        <f>IFERROR(__xludf.DUMMYFUNCTION("""COMPUTED_VALUE"""),"Completed")</f>
        <v>Completed</v>
      </c>
    </row>
    <row r="2606">
      <c r="A2606" s="9" t="str">
        <f>IFERROR(__xludf.DUMMYFUNCTION("""COMPUTED_VALUE"""),"G-REQ-02605")</f>
        <v>G-REQ-02605</v>
      </c>
      <c r="B2606" s="11">
        <f>IFERROR(__xludf.DUMMYFUNCTION("""COMPUTED_VALUE"""),45946.72471412752)</f>
        <v>45946.72471</v>
      </c>
      <c r="C2606" s="9">
        <f>IFERROR(__xludf.DUMMYFUNCTION("""COMPUTED_VALUE"""),10253.0)</f>
        <v>10253</v>
      </c>
      <c r="D2606" s="9" t="str">
        <f>IFERROR(__xludf.DUMMYFUNCTION("""COMPUTED_VALUE"""),"Completed")</f>
        <v>Completed</v>
      </c>
    </row>
    <row r="2607">
      <c r="A2607" s="9" t="str">
        <f>IFERROR(__xludf.DUMMYFUNCTION("""COMPUTED_VALUE"""),"G-REQ-02606")</f>
        <v>G-REQ-02606</v>
      </c>
      <c r="B2607" s="11">
        <f>IFERROR(__xludf.DUMMYFUNCTION("""COMPUTED_VALUE"""),45946.795888972934)</f>
        <v>45946.79589</v>
      </c>
      <c r="C2607" s="9">
        <f>IFERROR(__xludf.DUMMYFUNCTION("""COMPUTED_VALUE"""),10257.0)</f>
        <v>10257</v>
      </c>
      <c r="D2607" s="9" t="str">
        <f>IFERROR(__xludf.DUMMYFUNCTION("""COMPUTED_VALUE"""),"Completed")</f>
        <v>Completed</v>
      </c>
    </row>
    <row r="2608">
      <c r="A2608" s="9" t="str">
        <f>IFERROR(__xludf.DUMMYFUNCTION("""COMPUTED_VALUE"""),"G-REQ-02607")</f>
        <v>G-REQ-02607</v>
      </c>
      <c r="B2608" s="11">
        <f>IFERROR(__xludf.DUMMYFUNCTION("""COMPUTED_VALUE"""),45946.867063818354)</f>
        <v>45946.86706</v>
      </c>
      <c r="C2608" s="9">
        <f>IFERROR(__xludf.DUMMYFUNCTION("""COMPUTED_VALUE"""),10261.0)</f>
        <v>10261</v>
      </c>
      <c r="D2608" s="9" t="str">
        <f>IFERROR(__xludf.DUMMYFUNCTION("""COMPUTED_VALUE"""),"Completed")</f>
        <v>Completed</v>
      </c>
    </row>
    <row r="2609">
      <c r="A2609" s="9" t="str">
        <f>IFERROR(__xludf.DUMMYFUNCTION("""COMPUTED_VALUE"""),"G-REQ-02608")</f>
        <v>G-REQ-02608</v>
      </c>
      <c r="B2609" s="11">
        <f>IFERROR(__xludf.DUMMYFUNCTION("""COMPUTED_VALUE"""),45946.938238663766)</f>
        <v>45946.93824</v>
      </c>
      <c r="C2609" s="9">
        <f>IFERROR(__xludf.DUMMYFUNCTION("""COMPUTED_VALUE"""),10265.0)</f>
        <v>10265</v>
      </c>
      <c r="D2609" s="9" t="str">
        <f>IFERROR(__xludf.DUMMYFUNCTION("""COMPUTED_VALUE"""),"Completed")</f>
        <v>Completed</v>
      </c>
    </row>
    <row r="2610">
      <c r="A2610" s="9" t="str">
        <f>IFERROR(__xludf.DUMMYFUNCTION("""COMPUTED_VALUE"""),"G-REQ-02609")</f>
        <v>G-REQ-02609</v>
      </c>
      <c r="B2610" s="11">
        <f>IFERROR(__xludf.DUMMYFUNCTION("""COMPUTED_VALUE"""),45947.00941350918)</f>
        <v>45947.00941</v>
      </c>
      <c r="C2610" s="9">
        <f>IFERROR(__xludf.DUMMYFUNCTION("""COMPUTED_VALUE"""),10269.0)</f>
        <v>10269</v>
      </c>
      <c r="D2610" s="9" t="str">
        <f>IFERROR(__xludf.DUMMYFUNCTION("""COMPUTED_VALUE"""),"Completed")</f>
        <v>Completed</v>
      </c>
    </row>
    <row r="2611">
      <c r="A2611" s="9" t="str">
        <f>IFERROR(__xludf.DUMMYFUNCTION("""COMPUTED_VALUE"""),"G-REQ-02610")</f>
        <v>G-REQ-02610</v>
      </c>
      <c r="B2611" s="11">
        <f>IFERROR(__xludf.DUMMYFUNCTION("""COMPUTED_VALUE"""),45947.0805883546)</f>
        <v>45947.08059</v>
      </c>
      <c r="C2611" s="9">
        <f>IFERROR(__xludf.DUMMYFUNCTION("""COMPUTED_VALUE"""),10273.0)</f>
        <v>10273</v>
      </c>
      <c r="D2611" s="9" t="str">
        <f>IFERROR(__xludf.DUMMYFUNCTION("""COMPUTED_VALUE"""),"Completed")</f>
        <v>Completed</v>
      </c>
    </row>
    <row r="2612">
      <c r="A2612" s="9" t="str">
        <f>IFERROR(__xludf.DUMMYFUNCTION("""COMPUTED_VALUE"""),"G-REQ-02611")</f>
        <v>G-REQ-02611</v>
      </c>
      <c r="B2612" s="11">
        <f>IFERROR(__xludf.DUMMYFUNCTION("""COMPUTED_VALUE"""),45947.15176320001)</f>
        <v>45947.15176</v>
      </c>
      <c r="C2612" s="9">
        <f>IFERROR(__xludf.DUMMYFUNCTION("""COMPUTED_VALUE"""),10277.0)</f>
        <v>10277</v>
      </c>
      <c r="D2612" s="9" t="str">
        <f>IFERROR(__xludf.DUMMYFUNCTION("""COMPUTED_VALUE"""),"Completed")</f>
        <v>Completed</v>
      </c>
    </row>
    <row r="2613">
      <c r="A2613" s="9" t="str">
        <f>IFERROR(__xludf.DUMMYFUNCTION("""COMPUTED_VALUE"""),"G-REQ-02612")</f>
        <v>G-REQ-02612</v>
      </c>
      <c r="B2613" s="11">
        <f>IFERROR(__xludf.DUMMYFUNCTION("""COMPUTED_VALUE"""),45947.22293804543)</f>
        <v>45947.22294</v>
      </c>
      <c r="C2613" s="9">
        <f>IFERROR(__xludf.DUMMYFUNCTION("""COMPUTED_VALUE"""),10281.0)</f>
        <v>10281</v>
      </c>
      <c r="D2613" s="9" t="str">
        <f>IFERROR(__xludf.DUMMYFUNCTION("""COMPUTED_VALUE"""),"Completed")</f>
        <v>Completed</v>
      </c>
    </row>
    <row r="2614">
      <c r="A2614" s="9" t="str">
        <f>IFERROR(__xludf.DUMMYFUNCTION("""COMPUTED_VALUE"""),"G-REQ-02613")</f>
        <v>G-REQ-02613</v>
      </c>
      <c r="B2614" s="11">
        <f>IFERROR(__xludf.DUMMYFUNCTION("""COMPUTED_VALUE"""),45947.29411289084)</f>
        <v>45947.29411</v>
      </c>
      <c r="C2614" s="9">
        <f>IFERROR(__xludf.DUMMYFUNCTION("""COMPUTED_VALUE"""),10285.0)</f>
        <v>10285</v>
      </c>
      <c r="D2614" s="9" t="str">
        <f>IFERROR(__xludf.DUMMYFUNCTION("""COMPUTED_VALUE"""),"Completed")</f>
        <v>Completed</v>
      </c>
    </row>
    <row r="2615">
      <c r="A2615" s="9" t="str">
        <f>IFERROR(__xludf.DUMMYFUNCTION("""COMPUTED_VALUE"""),"G-REQ-02614")</f>
        <v>G-REQ-02614</v>
      </c>
      <c r="B2615" s="11">
        <f>IFERROR(__xludf.DUMMYFUNCTION("""COMPUTED_VALUE"""),45947.36528773626)</f>
        <v>45947.36529</v>
      </c>
      <c r="C2615" s="9">
        <f>IFERROR(__xludf.DUMMYFUNCTION("""COMPUTED_VALUE"""),10289.0)</f>
        <v>10289</v>
      </c>
      <c r="D2615" s="9" t="str">
        <f>IFERROR(__xludf.DUMMYFUNCTION("""COMPUTED_VALUE"""),"Completed")</f>
        <v>Completed</v>
      </c>
    </row>
    <row r="2616">
      <c r="A2616" s="9" t="str">
        <f>IFERROR(__xludf.DUMMYFUNCTION("""COMPUTED_VALUE"""),"G-REQ-02615")</f>
        <v>G-REQ-02615</v>
      </c>
      <c r="B2616" s="11">
        <f>IFERROR(__xludf.DUMMYFUNCTION("""COMPUTED_VALUE"""),45947.43646258167)</f>
        <v>45947.43646</v>
      </c>
      <c r="C2616" s="9">
        <f>IFERROR(__xludf.DUMMYFUNCTION("""COMPUTED_VALUE"""),10293.0)</f>
        <v>10293</v>
      </c>
      <c r="D2616" s="9" t="str">
        <f>IFERROR(__xludf.DUMMYFUNCTION("""COMPUTED_VALUE"""),"Completed")</f>
        <v>Completed</v>
      </c>
    </row>
    <row r="2617">
      <c r="A2617" s="9" t="str">
        <f>IFERROR(__xludf.DUMMYFUNCTION("""COMPUTED_VALUE"""),"G-REQ-02616")</f>
        <v>G-REQ-02616</v>
      </c>
      <c r="B2617" s="11">
        <f>IFERROR(__xludf.DUMMYFUNCTION("""COMPUTED_VALUE"""),45947.50763742709)</f>
        <v>45947.50764</v>
      </c>
      <c r="C2617" s="9">
        <f>IFERROR(__xludf.DUMMYFUNCTION("""COMPUTED_VALUE"""),10297.0)</f>
        <v>10297</v>
      </c>
      <c r="D2617" s="9" t="str">
        <f>IFERROR(__xludf.DUMMYFUNCTION("""COMPUTED_VALUE"""),"Completed")</f>
        <v>Completed</v>
      </c>
    </row>
    <row r="2618">
      <c r="A2618" s="9" t="str">
        <f>IFERROR(__xludf.DUMMYFUNCTION("""COMPUTED_VALUE"""),"G-REQ-02617")</f>
        <v>G-REQ-02617</v>
      </c>
      <c r="B2618" s="11">
        <f>IFERROR(__xludf.DUMMYFUNCTION("""COMPUTED_VALUE"""),45947.578812272506)</f>
        <v>45947.57881</v>
      </c>
      <c r="C2618" s="9">
        <f>IFERROR(__xludf.DUMMYFUNCTION("""COMPUTED_VALUE"""),10301.0)</f>
        <v>10301</v>
      </c>
      <c r="D2618" s="9" t="str">
        <f>IFERROR(__xludf.DUMMYFUNCTION("""COMPUTED_VALUE"""),"Completed")</f>
        <v>Completed</v>
      </c>
    </row>
    <row r="2619">
      <c r="A2619" s="9" t="str">
        <f>IFERROR(__xludf.DUMMYFUNCTION("""COMPUTED_VALUE"""),"G-REQ-02618")</f>
        <v>G-REQ-02618</v>
      </c>
      <c r="B2619" s="11">
        <f>IFERROR(__xludf.DUMMYFUNCTION("""COMPUTED_VALUE"""),45947.64998711792)</f>
        <v>45947.64999</v>
      </c>
      <c r="C2619" s="9">
        <f>IFERROR(__xludf.DUMMYFUNCTION("""COMPUTED_VALUE"""),10305.0)</f>
        <v>10305</v>
      </c>
      <c r="D2619" s="9" t="str">
        <f>IFERROR(__xludf.DUMMYFUNCTION("""COMPUTED_VALUE"""),"Completed")</f>
        <v>Completed</v>
      </c>
    </row>
    <row r="2620">
      <c r="A2620" s="9" t="str">
        <f>IFERROR(__xludf.DUMMYFUNCTION("""COMPUTED_VALUE"""),"G-REQ-02619")</f>
        <v>G-REQ-02619</v>
      </c>
      <c r="B2620" s="11">
        <f>IFERROR(__xludf.DUMMYFUNCTION("""COMPUTED_VALUE"""),45947.72116196333)</f>
        <v>45947.72116</v>
      </c>
      <c r="C2620" s="9">
        <f>IFERROR(__xludf.DUMMYFUNCTION("""COMPUTED_VALUE"""),10309.0)</f>
        <v>10309</v>
      </c>
      <c r="D2620" s="9" t="str">
        <f>IFERROR(__xludf.DUMMYFUNCTION("""COMPUTED_VALUE"""),"Completed")</f>
        <v>Completed</v>
      </c>
    </row>
    <row r="2621">
      <c r="A2621" s="9" t="str">
        <f>IFERROR(__xludf.DUMMYFUNCTION("""COMPUTED_VALUE"""),"G-REQ-02620")</f>
        <v>G-REQ-02620</v>
      </c>
      <c r="B2621" s="11">
        <f>IFERROR(__xludf.DUMMYFUNCTION("""COMPUTED_VALUE"""),45947.79233680875)</f>
        <v>45947.79234</v>
      </c>
      <c r="C2621" s="9">
        <f>IFERROR(__xludf.DUMMYFUNCTION("""COMPUTED_VALUE"""),10313.0)</f>
        <v>10313</v>
      </c>
      <c r="D2621" s="9" t="str">
        <f>IFERROR(__xludf.DUMMYFUNCTION("""COMPUTED_VALUE"""),"Completed")</f>
        <v>Completed</v>
      </c>
    </row>
    <row r="2622">
      <c r="A2622" s="9" t="str">
        <f>IFERROR(__xludf.DUMMYFUNCTION("""COMPUTED_VALUE"""),"G-REQ-02621")</f>
        <v>G-REQ-02621</v>
      </c>
      <c r="B2622" s="11">
        <f>IFERROR(__xludf.DUMMYFUNCTION("""COMPUTED_VALUE"""),45947.86351165416)</f>
        <v>45947.86351</v>
      </c>
      <c r="C2622" s="9">
        <f>IFERROR(__xludf.DUMMYFUNCTION("""COMPUTED_VALUE"""),10317.0)</f>
        <v>10317</v>
      </c>
      <c r="D2622" s="9" t="str">
        <f>IFERROR(__xludf.DUMMYFUNCTION("""COMPUTED_VALUE"""),"Completed")</f>
        <v>Completed</v>
      </c>
    </row>
    <row r="2623">
      <c r="A2623" s="9" t="str">
        <f>IFERROR(__xludf.DUMMYFUNCTION("""COMPUTED_VALUE"""),"G-REQ-02622")</f>
        <v>G-REQ-02622</v>
      </c>
      <c r="B2623" s="11">
        <f>IFERROR(__xludf.DUMMYFUNCTION("""COMPUTED_VALUE"""),45947.934686499575)</f>
        <v>45947.93469</v>
      </c>
      <c r="C2623" s="9">
        <f>IFERROR(__xludf.DUMMYFUNCTION("""COMPUTED_VALUE"""),10321.0)</f>
        <v>10321</v>
      </c>
      <c r="D2623" s="9" t="str">
        <f>IFERROR(__xludf.DUMMYFUNCTION("""COMPUTED_VALUE"""),"Completed")</f>
        <v>Completed</v>
      </c>
    </row>
    <row r="2624">
      <c r="A2624" s="9" t="str">
        <f>IFERROR(__xludf.DUMMYFUNCTION("""COMPUTED_VALUE"""),"G-REQ-02623")</f>
        <v>G-REQ-02623</v>
      </c>
      <c r="B2624" s="11">
        <f>IFERROR(__xludf.DUMMYFUNCTION("""COMPUTED_VALUE"""),45948.005861344995)</f>
        <v>45948.00586</v>
      </c>
      <c r="C2624" s="9">
        <f>IFERROR(__xludf.DUMMYFUNCTION("""COMPUTED_VALUE"""),10325.0)</f>
        <v>10325</v>
      </c>
      <c r="D2624" s="9" t="str">
        <f>IFERROR(__xludf.DUMMYFUNCTION("""COMPUTED_VALUE"""),"Completed")</f>
        <v>Completed</v>
      </c>
    </row>
    <row r="2625">
      <c r="A2625" s="9" t="str">
        <f>IFERROR(__xludf.DUMMYFUNCTION("""COMPUTED_VALUE"""),"G-REQ-02624")</f>
        <v>G-REQ-02624</v>
      </c>
      <c r="B2625" s="11">
        <f>IFERROR(__xludf.DUMMYFUNCTION("""COMPUTED_VALUE"""),45948.077036190414)</f>
        <v>45948.07704</v>
      </c>
      <c r="C2625" s="9">
        <f>IFERROR(__xludf.DUMMYFUNCTION("""COMPUTED_VALUE"""),10329.0)</f>
        <v>10329</v>
      </c>
      <c r="D2625" s="9" t="str">
        <f>IFERROR(__xludf.DUMMYFUNCTION("""COMPUTED_VALUE"""),"Completed")</f>
        <v>Completed</v>
      </c>
    </row>
    <row r="2626">
      <c r="A2626" s="9" t="str">
        <f>IFERROR(__xludf.DUMMYFUNCTION("""COMPUTED_VALUE"""),"G-REQ-02625")</f>
        <v>G-REQ-02625</v>
      </c>
      <c r="B2626" s="11">
        <f>IFERROR(__xludf.DUMMYFUNCTION("""COMPUTED_VALUE"""),45948.14821103582)</f>
        <v>45948.14821</v>
      </c>
      <c r="C2626" s="9">
        <f>IFERROR(__xludf.DUMMYFUNCTION("""COMPUTED_VALUE"""),10333.0)</f>
        <v>10333</v>
      </c>
      <c r="D2626" s="9" t="str">
        <f>IFERROR(__xludf.DUMMYFUNCTION("""COMPUTED_VALUE"""),"Completed")</f>
        <v>Completed</v>
      </c>
    </row>
    <row r="2627">
      <c r="A2627" s="9" t="str">
        <f>IFERROR(__xludf.DUMMYFUNCTION("""COMPUTED_VALUE"""),"G-REQ-02626")</f>
        <v>G-REQ-02626</v>
      </c>
      <c r="B2627" s="11">
        <f>IFERROR(__xludf.DUMMYFUNCTION("""COMPUTED_VALUE"""),45948.21938588124)</f>
        <v>45948.21939</v>
      </c>
      <c r="C2627" s="9">
        <f>IFERROR(__xludf.DUMMYFUNCTION("""COMPUTED_VALUE"""),10337.0)</f>
        <v>10337</v>
      </c>
      <c r="D2627" s="9" t="str">
        <f>IFERROR(__xludf.DUMMYFUNCTION("""COMPUTED_VALUE"""),"Completed")</f>
        <v>Completed</v>
      </c>
    </row>
    <row r="2628">
      <c r="A2628" s="9" t="str">
        <f>IFERROR(__xludf.DUMMYFUNCTION("""COMPUTED_VALUE"""),"G-REQ-02627")</f>
        <v>G-REQ-02627</v>
      </c>
      <c r="B2628" s="11">
        <f>IFERROR(__xludf.DUMMYFUNCTION("""COMPUTED_VALUE"""),45948.29056072665)</f>
        <v>45948.29056</v>
      </c>
      <c r="C2628" s="9">
        <f>IFERROR(__xludf.DUMMYFUNCTION("""COMPUTED_VALUE"""),10341.0)</f>
        <v>10341</v>
      </c>
      <c r="D2628" s="9" t="str">
        <f>IFERROR(__xludf.DUMMYFUNCTION("""COMPUTED_VALUE"""),"Completed")</f>
        <v>Completed</v>
      </c>
    </row>
    <row r="2629">
      <c r="A2629" s="9" t="str">
        <f>IFERROR(__xludf.DUMMYFUNCTION("""COMPUTED_VALUE"""),"G-REQ-02628")</f>
        <v>G-REQ-02628</v>
      </c>
      <c r="B2629" s="11">
        <f>IFERROR(__xludf.DUMMYFUNCTION("""COMPUTED_VALUE"""),45948.36173557207)</f>
        <v>45948.36174</v>
      </c>
      <c r="C2629" s="9">
        <f>IFERROR(__xludf.DUMMYFUNCTION("""COMPUTED_VALUE"""),10345.0)</f>
        <v>10345</v>
      </c>
      <c r="D2629" s="9" t="str">
        <f>IFERROR(__xludf.DUMMYFUNCTION("""COMPUTED_VALUE"""),"Completed")</f>
        <v>Completed</v>
      </c>
    </row>
    <row r="2630">
      <c r="A2630" s="9" t="str">
        <f>IFERROR(__xludf.DUMMYFUNCTION("""COMPUTED_VALUE"""),"G-REQ-02629")</f>
        <v>G-REQ-02629</v>
      </c>
      <c r="B2630" s="11">
        <f>IFERROR(__xludf.DUMMYFUNCTION("""COMPUTED_VALUE"""),45948.43291041748)</f>
        <v>45948.43291</v>
      </c>
      <c r="C2630" s="9">
        <f>IFERROR(__xludf.DUMMYFUNCTION("""COMPUTED_VALUE"""),10349.0)</f>
        <v>10349</v>
      </c>
      <c r="D2630" s="9" t="str">
        <f>IFERROR(__xludf.DUMMYFUNCTION("""COMPUTED_VALUE"""),"Completed")</f>
        <v>Completed</v>
      </c>
    </row>
    <row r="2631">
      <c r="A2631" s="9" t="str">
        <f>IFERROR(__xludf.DUMMYFUNCTION("""COMPUTED_VALUE"""),"G-REQ-02630")</f>
        <v>G-REQ-02630</v>
      </c>
      <c r="B2631" s="11">
        <f>IFERROR(__xludf.DUMMYFUNCTION("""COMPUTED_VALUE"""),45948.5040852629)</f>
        <v>45948.50409</v>
      </c>
      <c r="C2631" s="9">
        <f>IFERROR(__xludf.DUMMYFUNCTION("""COMPUTED_VALUE"""),10353.0)</f>
        <v>10353</v>
      </c>
      <c r="D2631" s="9" t="str">
        <f>IFERROR(__xludf.DUMMYFUNCTION("""COMPUTED_VALUE"""),"Completed")</f>
        <v>Completed</v>
      </c>
    </row>
    <row r="2632">
      <c r="A2632" s="9" t="str">
        <f>IFERROR(__xludf.DUMMYFUNCTION("""COMPUTED_VALUE"""),"G-REQ-02631")</f>
        <v>G-REQ-02631</v>
      </c>
      <c r="B2632" s="11">
        <f>IFERROR(__xludf.DUMMYFUNCTION("""COMPUTED_VALUE"""),45948.56831566387)</f>
        <v>45948.56832</v>
      </c>
      <c r="C2632" s="9">
        <f>IFERROR(__xludf.DUMMYFUNCTION("""COMPUTED_VALUE"""),10355.0)</f>
        <v>10355</v>
      </c>
      <c r="D2632" s="9" t="str">
        <f>IFERROR(__xludf.DUMMYFUNCTION("""COMPUTED_VALUE"""),"Rejected")</f>
        <v>Rejected</v>
      </c>
    </row>
    <row r="2633">
      <c r="A2633" s="9" t="str">
        <f>IFERROR(__xludf.DUMMYFUNCTION("""COMPUTED_VALUE"""),"G-REQ-02632")</f>
        <v>G-REQ-02632</v>
      </c>
      <c r="B2633" s="11">
        <f>IFERROR(__xludf.DUMMYFUNCTION("""COMPUTED_VALUE"""),45948.64643495373)</f>
        <v>45948.64643</v>
      </c>
      <c r="C2633" s="9">
        <f>IFERROR(__xludf.DUMMYFUNCTION("""COMPUTED_VALUE"""),10359.0)</f>
        <v>10359</v>
      </c>
      <c r="D2633" s="9" t="str">
        <f>IFERROR(__xludf.DUMMYFUNCTION("""COMPUTED_VALUE"""),"Completed")</f>
        <v>Completed</v>
      </c>
    </row>
    <row r="2634">
      <c r="A2634" s="9" t="str">
        <f>IFERROR(__xludf.DUMMYFUNCTION("""COMPUTED_VALUE"""),"G-REQ-02633")</f>
        <v>G-REQ-02633</v>
      </c>
      <c r="B2634" s="11">
        <f>IFERROR(__xludf.DUMMYFUNCTION("""COMPUTED_VALUE"""),45948.71760979915)</f>
        <v>45948.71761</v>
      </c>
      <c r="C2634" s="9">
        <f>IFERROR(__xludf.DUMMYFUNCTION("""COMPUTED_VALUE"""),10363.0)</f>
        <v>10363</v>
      </c>
      <c r="D2634" s="9" t="str">
        <f>IFERROR(__xludf.DUMMYFUNCTION("""COMPUTED_VALUE"""),"Completed")</f>
        <v>Completed</v>
      </c>
    </row>
    <row r="2635">
      <c r="A2635" s="9" t="str">
        <f>IFERROR(__xludf.DUMMYFUNCTION("""COMPUTED_VALUE"""),"G-REQ-02634")</f>
        <v>G-REQ-02634</v>
      </c>
      <c r="B2635" s="11">
        <f>IFERROR(__xludf.DUMMYFUNCTION("""COMPUTED_VALUE"""),45948.78878464456)</f>
        <v>45948.78878</v>
      </c>
      <c r="C2635" s="9">
        <f>IFERROR(__xludf.DUMMYFUNCTION("""COMPUTED_VALUE"""),10367.0)</f>
        <v>10367</v>
      </c>
      <c r="D2635" s="9" t="str">
        <f>IFERROR(__xludf.DUMMYFUNCTION("""COMPUTED_VALUE"""),"Completed")</f>
        <v>Completed</v>
      </c>
    </row>
    <row r="2636">
      <c r="A2636" s="9" t="str">
        <f>IFERROR(__xludf.DUMMYFUNCTION("""COMPUTED_VALUE"""),"G-REQ-02635")</f>
        <v>G-REQ-02635</v>
      </c>
      <c r="B2636" s="11">
        <f>IFERROR(__xludf.DUMMYFUNCTION("""COMPUTED_VALUE"""),45948.85995948997)</f>
        <v>45948.85996</v>
      </c>
      <c r="C2636" s="9">
        <f>IFERROR(__xludf.DUMMYFUNCTION("""COMPUTED_VALUE"""),10371.0)</f>
        <v>10371</v>
      </c>
      <c r="D2636" s="9" t="str">
        <f>IFERROR(__xludf.DUMMYFUNCTION("""COMPUTED_VALUE"""),"Completed")</f>
        <v>Completed</v>
      </c>
    </row>
    <row r="2637">
      <c r="A2637" s="9" t="str">
        <f>IFERROR(__xludf.DUMMYFUNCTION("""COMPUTED_VALUE"""),"G-REQ-02636")</f>
        <v>G-REQ-02636</v>
      </c>
      <c r="B2637" s="11">
        <f>IFERROR(__xludf.DUMMYFUNCTION("""COMPUTED_VALUE"""),45948.93113433539)</f>
        <v>45948.93113</v>
      </c>
      <c r="C2637" s="9">
        <f>IFERROR(__xludf.DUMMYFUNCTION("""COMPUTED_VALUE"""),10375.0)</f>
        <v>10375</v>
      </c>
      <c r="D2637" s="9" t="str">
        <f>IFERROR(__xludf.DUMMYFUNCTION("""COMPUTED_VALUE"""),"Completed")</f>
        <v>Completed</v>
      </c>
    </row>
    <row r="2638">
      <c r="A2638" s="9" t="str">
        <f>IFERROR(__xludf.DUMMYFUNCTION("""COMPUTED_VALUE"""),"G-REQ-02637")</f>
        <v>G-REQ-02637</v>
      </c>
      <c r="B2638" s="11">
        <f>IFERROR(__xludf.DUMMYFUNCTION("""COMPUTED_VALUE"""),45949.0023091808)</f>
        <v>45949.00231</v>
      </c>
      <c r="C2638" s="9">
        <f>IFERROR(__xludf.DUMMYFUNCTION("""COMPUTED_VALUE"""),10379.0)</f>
        <v>10379</v>
      </c>
      <c r="D2638" s="9" t="str">
        <f>IFERROR(__xludf.DUMMYFUNCTION("""COMPUTED_VALUE"""),"Completed")</f>
        <v>Completed</v>
      </c>
    </row>
    <row r="2639">
      <c r="A2639" s="9" t="str">
        <f>IFERROR(__xludf.DUMMYFUNCTION("""COMPUTED_VALUE"""),"G-REQ-02638")</f>
        <v>G-REQ-02638</v>
      </c>
      <c r="B2639" s="11">
        <f>IFERROR(__xludf.DUMMYFUNCTION("""COMPUTED_VALUE"""),45949.073484026216)</f>
        <v>45949.07348</v>
      </c>
      <c r="C2639" s="9">
        <f>IFERROR(__xludf.DUMMYFUNCTION("""COMPUTED_VALUE"""),10383.0)</f>
        <v>10383</v>
      </c>
      <c r="D2639" s="9" t="str">
        <f>IFERROR(__xludf.DUMMYFUNCTION("""COMPUTED_VALUE"""),"Completed")</f>
        <v>Completed</v>
      </c>
    </row>
    <row r="2640">
      <c r="A2640" s="9" t="str">
        <f>IFERROR(__xludf.DUMMYFUNCTION("""COMPUTED_VALUE"""),"G-REQ-02639")</f>
        <v>G-REQ-02639</v>
      </c>
      <c r="B2640" s="11">
        <f>IFERROR(__xludf.DUMMYFUNCTION("""COMPUTED_VALUE"""),45949.144658871635)</f>
        <v>45949.14466</v>
      </c>
      <c r="C2640" s="9">
        <f>IFERROR(__xludf.DUMMYFUNCTION("""COMPUTED_VALUE"""),10387.0)</f>
        <v>10387</v>
      </c>
      <c r="D2640" s="9" t="str">
        <f>IFERROR(__xludf.DUMMYFUNCTION("""COMPUTED_VALUE"""),"Completed")</f>
        <v>Completed</v>
      </c>
    </row>
    <row r="2641">
      <c r="A2641" s="9" t="str">
        <f>IFERROR(__xludf.DUMMYFUNCTION("""COMPUTED_VALUE"""),"G-REQ-02640")</f>
        <v>G-REQ-02640</v>
      </c>
      <c r="B2641" s="11">
        <f>IFERROR(__xludf.DUMMYFUNCTION("""COMPUTED_VALUE"""),45949.215833717055)</f>
        <v>45949.21583</v>
      </c>
      <c r="C2641" s="9">
        <f>IFERROR(__xludf.DUMMYFUNCTION("""COMPUTED_VALUE"""),10391.0)</f>
        <v>10391</v>
      </c>
      <c r="D2641" s="9" t="str">
        <f>IFERROR(__xludf.DUMMYFUNCTION("""COMPUTED_VALUE"""),"Completed")</f>
        <v>Completed</v>
      </c>
    </row>
    <row r="2642">
      <c r="A2642" s="9" t="str">
        <f>IFERROR(__xludf.DUMMYFUNCTION("""COMPUTED_VALUE"""),"G-REQ-02641")</f>
        <v>G-REQ-02641</v>
      </c>
      <c r="B2642" s="11">
        <f>IFERROR(__xludf.DUMMYFUNCTION("""COMPUTED_VALUE"""),45949.28700856246)</f>
        <v>45949.28701</v>
      </c>
      <c r="C2642" s="9">
        <f>IFERROR(__xludf.DUMMYFUNCTION("""COMPUTED_VALUE"""),10395.0)</f>
        <v>10395</v>
      </c>
      <c r="D2642" s="9" t="str">
        <f>IFERROR(__xludf.DUMMYFUNCTION("""COMPUTED_VALUE"""),"Completed")</f>
        <v>Completed</v>
      </c>
    </row>
    <row r="2643">
      <c r="A2643" s="9" t="str">
        <f>IFERROR(__xludf.DUMMYFUNCTION("""COMPUTED_VALUE"""),"G-REQ-02642")</f>
        <v>G-REQ-02642</v>
      </c>
      <c r="B2643" s="11">
        <f>IFERROR(__xludf.DUMMYFUNCTION("""COMPUTED_VALUE"""),45949.35818340788)</f>
        <v>45949.35818</v>
      </c>
      <c r="C2643" s="9">
        <f>IFERROR(__xludf.DUMMYFUNCTION("""COMPUTED_VALUE"""),10399.0)</f>
        <v>10399</v>
      </c>
      <c r="D2643" s="9" t="str">
        <f>IFERROR(__xludf.DUMMYFUNCTION("""COMPUTED_VALUE"""),"Completed")</f>
        <v>Completed</v>
      </c>
    </row>
    <row r="2644">
      <c r="A2644" s="9" t="str">
        <f>IFERROR(__xludf.DUMMYFUNCTION("""COMPUTED_VALUE"""),"G-REQ-02643")</f>
        <v>G-REQ-02643</v>
      </c>
      <c r="B2644" s="11">
        <f>IFERROR(__xludf.DUMMYFUNCTION("""COMPUTED_VALUE"""),45949.4293582533)</f>
        <v>45949.42936</v>
      </c>
      <c r="C2644" s="9">
        <f>IFERROR(__xludf.DUMMYFUNCTION("""COMPUTED_VALUE"""),10403.0)</f>
        <v>10403</v>
      </c>
      <c r="D2644" s="9" t="str">
        <f>IFERROR(__xludf.DUMMYFUNCTION("""COMPUTED_VALUE"""),"Completed")</f>
        <v>Completed</v>
      </c>
    </row>
    <row r="2645">
      <c r="A2645" s="9" t="str">
        <f>IFERROR(__xludf.DUMMYFUNCTION("""COMPUTED_VALUE"""),"G-REQ-02644")</f>
        <v>G-REQ-02644</v>
      </c>
      <c r="B2645" s="11">
        <f>IFERROR(__xludf.DUMMYFUNCTION("""COMPUTED_VALUE"""),45949.50053309871)</f>
        <v>45949.50053</v>
      </c>
      <c r="C2645" s="9">
        <f>IFERROR(__xludf.DUMMYFUNCTION("""COMPUTED_VALUE"""),10407.0)</f>
        <v>10407</v>
      </c>
      <c r="D2645" s="9" t="str">
        <f>IFERROR(__xludf.DUMMYFUNCTION("""COMPUTED_VALUE"""),"Completed")</f>
        <v>Completed</v>
      </c>
    </row>
    <row r="2646">
      <c r="A2646" s="9" t="str">
        <f>IFERROR(__xludf.DUMMYFUNCTION("""COMPUTED_VALUE"""),"G-REQ-02645")</f>
        <v>G-REQ-02645</v>
      </c>
      <c r="B2646" s="11">
        <f>IFERROR(__xludf.DUMMYFUNCTION("""COMPUTED_VALUE"""),45949.571707944124)</f>
        <v>45949.57171</v>
      </c>
      <c r="C2646" s="9">
        <f>IFERROR(__xludf.DUMMYFUNCTION("""COMPUTED_VALUE"""),10411.0)</f>
        <v>10411</v>
      </c>
      <c r="D2646" s="9" t="str">
        <f>IFERROR(__xludf.DUMMYFUNCTION("""COMPUTED_VALUE"""),"Completed")</f>
        <v>Completed</v>
      </c>
    </row>
    <row r="2647">
      <c r="A2647" s="9" t="str">
        <f>IFERROR(__xludf.DUMMYFUNCTION("""COMPUTED_VALUE"""),"G-REQ-02646")</f>
        <v>G-REQ-02646</v>
      </c>
      <c r="B2647" s="11">
        <f>IFERROR(__xludf.DUMMYFUNCTION("""COMPUTED_VALUE"""),45949.64288278954)</f>
        <v>45949.64288</v>
      </c>
      <c r="C2647" s="9">
        <f>IFERROR(__xludf.DUMMYFUNCTION("""COMPUTED_VALUE"""),10415.0)</f>
        <v>10415</v>
      </c>
      <c r="D2647" s="9" t="str">
        <f>IFERROR(__xludf.DUMMYFUNCTION("""COMPUTED_VALUE"""),"Completed")</f>
        <v>Completed</v>
      </c>
    </row>
    <row r="2648">
      <c r="A2648" s="9" t="str">
        <f>IFERROR(__xludf.DUMMYFUNCTION("""COMPUTED_VALUE"""),"G-REQ-02647")</f>
        <v>G-REQ-02647</v>
      </c>
      <c r="B2648" s="11">
        <f>IFERROR(__xludf.DUMMYFUNCTION("""COMPUTED_VALUE"""),45949.714057634956)</f>
        <v>45949.71406</v>
      </c>
      <c r="C2648" s="9">
        <f>IFERROR(__xludf.DUMMYFUNCTION("""COMPUTED_VALUE"""),10419.0)</f>
        <v>10419</v>
      </c>
      <c r="D2648" s="9" t="str">
        <f>IFERROR(__xludf.DUMMYFUNCTION("""COMPUTED_VALUE"""),"Completed")</f>
        <v>Completed</v>
      </c>
    </row>
    <row r="2649">
      <c r="A2649" s="9" t="str">
        <f>IFERROR(__xludf.DUMMYFUNCTION("""COMPUTED_VALUE"""),"G-REQ-02648")</f>
        <v>G-REQ-02648</v>
      </c>
      <c r="B2649" s="11">
        <f>IFERROR(__xludf.DUMMYFUNCTION("""COMPUTED_VALUE"""),45949.78523248037)</f>
        <v>45949.78523</v>
      </c>
      <c r="C2649" s="9">
        <f>IFERROR(__xludf.DUMMYFUNCTION("""COMPUTED_VALUE"""),10423.0)</f>
        <v>10423</v>
      </c>
      <c r="D2649" s="9" t="str">
        <f>IFERROR(__xludf.DUMMYFUNCTION("""COMPUTED_VALUE"""),"Completed")</f>
        <v>Completed</v>
      </c>
    </row>
    <row r="2650">
      <c r="A2650" s="9" t="str">
        <f>IFERROR(__xludf.DUMMYFUNCTION("""COMPUTED_VALUE"""),"G-REQ-02649")</f>
        <v>G-REQ-02649</v>
      </c>
      <c r="B2650" s="11">
        <f>IFERROR(__xludf.DUMMYFUNCTION("""COMPUTED_VALUE"""),45949.85640732579)</f>
        <v>45949.85641</v>
      </c>
      <c r="C2650" s="9">
        <f>IFERROR(__xludf.DUMMYFUNCTION("""COMPUTED_VALUE"""),10427.0)</f>
        <v>10427</v>
      </c>
      <c r="D2650" s="9" t="str">
        <f>IFERROR(__xludf.DUMMYFUNCTION("""COMPUTED_VALUE"""),"Completed")</f>
        <v>Completed</v>
      </c>
    </row>
    <row r="2651">
      <c r="A2651" s="9" t="str">
        <f>IFERROR(__xludf.DUMMYFUNCTION("""COMPUTED_VALUE"""),"G-REQ-02650")</f>
        <v>G-REQ-02650</v>
      </c>
      <c r="B2651" s="11">
        <f>IFERROR(__xludf.DUMMYFUNCTION("""COMPUTED_VALUE"""),45949.920637726755)</f>
        <v>45949.92064</v>
      </c>
      <c r="C2651" s="9">
        <f>IFERROR(__xludf.DUMMYFUNCTION("""COMPUTED_VALUE"""),10429.0)</f>
        <v>10429</v>
      </c>
      <c r="D2651" s="9" t="str">
        <f>IFERROR(__xludf.DUMMYFUNCTION("""COMPUTED_VALUE"""),"Cancelled")</f>
        <v>Cancelled</v>
      </c>
    </row>
    <row r="2652">
      <c r="A2652" s="9" t="str">
        <f>IFERROR(__xludf.DUMMYFUNCTION("""COMPUTED_VALUE"""),"G-REQ-02651")</f>
        <v>G-REQ-02651</v>
      </c>
      <c r="B2652" s="11">
        <f>IFERROR(__xludf.DUMMYFUNCTION("""COMPUTED_VALUE"""),45949.99875701661)</f>
        <v>45949.99876</v>
      </c>
      <c r="C2652" s="9">
        <f>IFERROR(__xludf.DUMMYFUNCTION("""COMPUTED_VALUE"""),10433.0)</f>
        <v>10433</v>
      </c>
      <c r="D2652" s="9" t="str">
        <f>IFERROR(__xludf.DUMMYFUNCTION("""COMPUTED_VALUE"""),"Completed")</f>
        <v>Completed</v>
      </c>
    </row>
    <row r="2653">
      <c r="A2653" s="9" t="str">
        <f>IFERROR(__xludf.DUMMYFUNCTION("""COMPUTED_VALUE"""),"G-REQ-02652")</f>
        <v>G-REQ-02652</v>
      </c>
      <c r="B2653" s="11">
        <f>IFERROR(__xludf.DUMMYFUNCTION("""COMPUTED_VALUE"""),45950.06993186203)</f>
        <v>45950.06993</v>
      </c>
      <c r="C2653" s="9">
        <f>IFERROR(__xludf.DUMMYFUNCTION("""COMPUTED_VALUE"""),10437.0)</f>
        <v>10437</v>
      </c>
      <c r="D2653" s="9" t="str">
        <f>IFERROR(__xludf.DUMMYFUNCTION("""COMPUTED_VALUE"""),"Completed")</f>
        <v>Completed</v>
      </c>
    </row>
    <row r="2654">
      <c r="A2654" s="9" t="str">
        <f>IFERROR(__xludf.DUMMYFUNCTION("""COMPUTED_VALUE"""),"G-REQ-02653")</f>
        <v>G-REQ-02653</v>
      </c>
      <c r="B2654" s="11">
        <f>IFERROR(__xludf.DUMMYFUNCTION("""COMPUTED_VALUE"""),45950.141106707444)</f>
        <v>45950.14111</v>
      </c>
      <c r="C2654" s="9">
        <f>IFERROR(__xludf.DUMMYFUNCTION("""COMPUTED_VALUE"""),10441.0)</f>
        <v>10441</v>
      </c>
      <c r="D2654" s="9" t="str">
        <f>IFERROR(__xludf.DUMMYFUNCTION("""COMPUTED_VALUE"""),"Completed")</f>
        <v>Completed</v>
      </c>
    </row>
    <row r="2655">
      <c r="A2655" s="9" t="str">
        <f>IFERROR(__xludf.DUMMYFUNCTION("""COMPUTED_VALUE"""),"G-REQ-02654")</f>
        <v>G-REQ-02654</v>
      </c>
      <c r="B2655" s="11">
        <f>IFERROR(__xludf.DUMMYFUNCTION("""COMPUTED_VALUE"""),45950.212281552864)</f>
        <v>45950.21228</v>
      </c>
      <c r="C2655" s="9">
        <f>IFERROR(__xludf.DUMMYFUNCTION("""COMPUTED_VALUE"""),10445.0)</f>
        <v>10445</v>
      </c>
      <c r="D2655" s="9" t="str">
        <f>IFERROR(__xludf.DUMMYFUNCTION("""COMPUTED_VALUE"""),"Completed")</f>
        <v>Completed</v>
      </c>
    </row>
    <row r="2656">
      <c r="A2656" s="9" t="str">
        <f>IFERROR(__xludf.DUMMYFUNCTION("""COMPUTED_VALUE"""),"G-REQ-02655")</f>
        <v>G-REQ-02655</v>
      </c>
      <c r="B2656" s="11">
        <f>IFERROR(__xludf.DUMMYFUNCTION("""COMPUTED_VALUE"""),45950.283456398276)</f>
        <v>45950.28346</v>
      </c>
      <c r="C2656" s="9">
        <f>IFERROR(__xludf.DUMMYFUNCTION("""COMPUTED_VALUE"""),10449.0)</f>
        <v>10449</v>
      </c>
      <c r="D2656" s="9" t="str">
        <f>IFERROR(__xludf.DUMMYFUNCTION("""COMPUTED_VALUE"""),"Completed")</f>
        <v>Completed</v>
      </c>
    </row>
    <row r="2657">
      <c r="A2657" s="9" t="str">
        <f>IFERROR(__xludf.DUMMYFUNCTION("""COMPUTED_VALUE"""),"G-REQ-02656")</f>
        <v>G-REQ-02656</v>
      </c>
      <c r="B2657" s="11">
        <f>IFERROR(__xludf.DUMMYFUNCTION("""COMPUTED_VALUE"""),45950.354631243696)</f>
        <v>45950.35463</v>
      </c>
      <c r="C2657" s="9">
        <f>IFERROR(__xludf.DUMMYFUNCTION("""COMPUTED_VALUE"""),10453.0)</f>
        <v>10453</v>
      </c>
      <c r="D2657" s="9" t="str">
        <f>IFERROR(__xludf.DUMMYFUNCTION("""COMPUTED_VALUE"""),"Completed")</f>
        <v>Completed</v>
      </c>
    </row>
    <row r="2658">
      <c r="A2658" s="9" t="str">
        <f>IFERROR(__xludf.DUMMYFUNCTION("""COMPUTED_VALUE"""),"G-REQ-02657")</f>
        <v>G-REQ-02657</v>
      </c>
      <c r="B2658" s="11">
        <f>IFERROR(__xludf.DUMMYFUNCTION("""COMPUTED_VALUE"""),45950.4258060891)</f>
        <v>45950.42581</v>
      </c>
      <c r="C2658" s="9">
        <f>IFERROR(__xludf.DUMMYFUNCTION("""COMPUTED_VALUE"""),10457.0)</f>
        <v>10457</v>
      </c>
      <c r="D2658" s="9" t="str">
        <f>IFERROR(__xludf.DUMMYFUNCTION("""COMPUTED_VALUE"""),"Completed")</f>
        <v>Completed</v>
      </c>
    </row>
    <row r="2659">
      <c r="A2659" s="9" t="str">
        <f>IFERROR(__xludf.DUMMYFUNCTION("""COMPUTED_VALUE"""),"G-REQ-02658")</f>
        <v>G-REQ-02658</v>
      </c>
      <c r="B2659" s="11">
        <f>IFERROR(__xludf.DUMMYFUNCTION("""COMPUTED_VALUE"""),45950.49698093452)</f>
        <v>45950.49698</v>
      </c>
      <c r="C2659" s="9">
        <f>IFERROR(__xludf.DUMMYFUNCTION("""COMPUTED_VALUE"""),10461.0)</f>
        <v>10461</v>
      </c>
      <c r="D2659" s="9" t="str">
        <f>IFERROR(__xludf.DUMMYFUNCTION("""COMPUTED_VALUE"""),"Completed")</f>
        <v>Completed</v>
      </c>
    </row>
    <row r="2660">
      <c r="A2660" s="9" t="str">
        <f>IFERROR(__xludf.DUMMYFUNCTION("""COMPUTED_VALUE"""),"G-REQ-02659")</f>
        <v>G-REQ-02659</v>
      </c>
      <c r="B2660" s="11">
        <f>IFERROR(__xludf.DUMMYFUNCTION("""COMPUTED_VALUE"""),45950.56815577994)</f>
        <v>45950.56816</v>
      </c>
      <c r="C2660" s="9">
        <f>IFERROR(__xludf.DUMMYFUNCTION("""COMPUTED_VALUE"""),10465.0)</f>
        <v>10465</v>
      </c>
      <c r="D2660" s="9" t="str">
        <f>IFERROR(__xludf.DUMMYFUNCTION("""COMPUTED_VALUE"""),"Completed")</f>
        <v>Completed</v>
      </c>
    </row>
    <row r="2661">
      <c r="A2661" s="9" t="str">
        <f>IFERROR(__xludf.DUMMYFUNCTION("""COMPUTED_VALUE"""),"G-REQ-02660")</f>
        <v>G-REQ-02660</v>
      </c>
      <c r="B2661" s="11">
        <f>IFERROR(__xludf.DUMMYFUNCTION("""COMPUTED_VALUE"""),45950.63933062535)</f>
        <v>45950.63933</v>
      </c>
      <c r="C2661" s="9">
        <f>IFERROR(__xludf.DUMMYFUNCTION("""COMPUTED_VALUE"""),10469.0)</f>
        <v>10469</v>
      </c>
      <c r="D2661" s="9" t="str">
        <f>IFERROR(__xludf.DUMMYFUNCTION("""COMPUTED_VALUE"""),"Completed")</f>
        <v>Completed</v>
      </c>
    </row>
    <row r="2662">
      <c r="A2662" s="9" t="str">
        <f>IFERROR(__xludf.DUMMYFUNCTION("""COMPUTED_VALUE"""),"G-REQ-02661")</f>
        <v>G-REQ-02661</v>
      </c>
      <c r="B2662" s="11">
        <f>IFERROR(__xludf.DUMMYFUNCTION("""COMPUTED_VALUE"""),45950.710505470764)</f>
        <v>45950.71051</v>
      </c>
      <c r="C2662" s="9">
        <f>IFERROR(__xludf.DUMMYFUNCTION("""COMPUTED_VALUE"""),10473.0)</f>
        <v>10473</v>
      </c>
      <c r="D2662" s="9" t="str">
        <f>IFERROR(__xludf.DUMMYFUNCTION("""COMPUTED_VALUE"""),"Completed")</f>
        <v>Completed</v>
      </c>
    </row>
    <row r="2663">
      <c r="A2663" s="9" t="str">
        <f>IFERROR(__xludf.DUMMYFUNCTION("""COMPUTED_VALUE"""),"G-REQ-02662")</f>
        <v>G-REQ-02662</v>
      </c>
      <c r="B2663" s="11">
        <f>IFERROR(__xludf.DUMMYFUNCTION("""COMPUTED_VALUE"""),45950.781680316184)</f>
        <v>45950.78168</v>
      </c>
      <c r="C2663" s="9">
        <f>IFERROR(__xludf.DUMMYFUNCTION("""COMPUTED_VALUE"""),10477.0)</f>
        <v>10477</v>
      </c>
      <c r="D2663" s="9" t="str">
        <f>IFERROR(__xludf.DUMMYFUNCTION("""COMPUTED_VALUE"""),"Completed")</f>
        <v>Completed</v>
      </c>
    </row>
    <row r="2664">
      <c r="A2664" s="9" t="str">
        <f>IFERROR(__xludf.DUMMYFUNCTION("""COMPUTED_VALUE"""),"G-REQ-02663")</f>
        <v>G-REQ-02663</v>
      </c>
      <c r="B2664" s="11">
        <f>IFERROR(__xludf.DUMMYFUNCTION("""COMPUTED_VALUE"""),45950.8528551616)</f>
        <v>45950.85286</v>
      </c>
      <c r="C2664" s="9">
        <f>IFERROR(__xludf.DUMMYFUNCTION("""COMPUTED_VALUE"""),10481.0)</f>
        <v>10481</v>
      </c>
      <c r="D2664" s="9" t="str">
        <f>IFERROR(__xludf.DUMMYFUNCTION("""COMPUTED_VALUE"""),"Completed")</f>
        <v>Completed</v>
      </c>
    </row>
    <row r="2665">
      <c r="A2665" s="9" t="str">
        <f>IFERROR(__xludf.DUMMYFUNCTION("""COMPUTED_VALUE"""),"G-REQ-02664")</f>
        <v>G-REQ-02664</v>
      </c>
      <c r="B2665" s="11">
        <f>IFERROR(__xludf.DUMMYFUNCTION("""COMPUTED_VALUE"""),45950.92403000701)</f>
        <v>45950.92403</v>
      </c>
      <c r="C2665" s="9">
        <f>IFERROR(__xludf.DUMMYFUNCTION("""COMPUTED_VALUE"""),10485.0)</f>
        <v>10485</v>
      </c>
      <c r="D2665" s="9" t="str">
        <f>IFERROR(__xludf.DUMMYFUNCTION("""COMPUTED_VALUE"""),"Completed")</f>
        <v>Completed</v>
      </c>
    </row>
    <row r="2666">
      <c r="A2666" s="9" t="str">
        <f>IFERROR(__xludf.DUMMYFUNCTION("""COMPUTED_VALUE"""),"G-REQ-02665")</f>
        <v>G-REQ-02665</v>
      </c>
      <c r="B2666" s="11">
        <f>IFERROR(__xludf.DUMMYFUNCTION("""COMPUTED_VALUE"""),45950.99520485243)</f>
        <v>45950.9952</v>
      </c>
      <c r="C2666" s="9">
        <f>IFERROR(__xludf.DUMMYFUNCTION("""COMPUTED_VALUE"""),10489.0)</f>
        <v>10489</v>
      </c>
      <c r="D2666" s="9" t="str">
        <f>IFERROR(__xludf.DUMMYFUNCTION("""COMPUTED_VALUE"""),"Completed")</f>
        <v>Completed</v>
      </c>
    </row>
    <row r="2667">
      <c r="A2667" s="9" t="str">
        <f>IFERROR(__xludf.DUMMYFUNCTION("""COMPUTED_VALUE"""),"G-REQ-02666")</f>
        <v>G-REQ-02666</v>
      </c>
      <c r="B2667" s="11">
        <f>IFERROR(__xludf.DUMMYFUNCTION("""COMPUTED_VALUE"""),45951.06637969785)</f>
        <v>45951.06638</v>
      </c>
      <c r="C2667" s="9">
        <f>IFERROR(__xludf.DUMMYFUNCTION("""COMPUTED_VALUE"""),10493.0)</f>
        <v>10493</v>
      </c>
      <c r="D2667" s="9" t="str">
        <f>IFERROR(__xludf.DUMMYFUNCTION("""COMPUTED_VALUE"""),"Completed")</f>
        <v>Completed</v>
      </c>
    </row>
    <row r="2668">
      <c r="A2668" s="9" t="str">
        <f>IFERROR(__xludf.DUMMYFUNCTION("""COMPUTED_VALUE"""),"G-REQ-02667")</f>
        <v>G-REQ-02667</v>
      </c>
      <c r="B2668" s="11">
        <f>IFERROR(__xludf.DUMMYFUNCTION("""COMPUTED_VALUE"""),45951.13755454325)</f>
        <v>45951.13755</v>
      </c>
      <c r="C2668" s="9">
        <f>IFERROR(__xludf.DUMMYFUNCTION("""COMPUTED_VALUE"""),10497.0)</f>
        <v>10497</v>
      </c>
      <c r="D2668" s="9" t="str">
        <f>IFERROR(__xludf.DUMMYFUNCTION("""COMPUTED_VALUE"""),"Completed")</f>
        <v>Completed</v>
      </c>
    </row>
    <row r="2669">
      <c r="A2669" s="9" t="str">
        <f>IFERROR(__xludf.DUMMYFUNCTION("""COMPUTED_VALUE"""),"G-REQ-02668")</f>
        <v>G-REQ-02668</v>
      </c>
      <c r="B2669" s="11">
        <f>IFERROR(__xludf.DUMMYFUNCTION("""COMPUTED_VALUE"""),45951.20872938867)</f>
        <v>45951.20873</v>
      </c>
      <c r="C2669" s="9">
        <f>IFERROR(__xludf.DUMMYFUNCTION("""COMPUTED_VALUE"""),10501.0)</f>
        <v>10501</v>
      </c>
      <c r="D2669" s="9" t="str">
        <f>IFERROR(__xludf.DUMMYFUNCTION("""COMPUTED_VALUE"""),"Completed")</f>
        <v>Completed</v>
      </c>
    </row>
    <row r="2670">
      <c r="A2670" s="9" t="str">
        <f>IFERROR(__xludf.DUMMYFUNCTION("""COMPUTED_VALUE"""),"G-REQ-02669")</f>
        <v>G-REQ-02669</v>
      </c>
      <c r="B2670" s="11">
        <f>IFERROR(__xludf.DUMMYFUNCTION("""COMPUTED_VALUE"""),45951.279904234085)</f>
        <v>45951.2799</v>
      </c>
      <c r="C2670" s="9">
        <f>IFERROR(__xludf.DUMMYFUNCTION("""COMPUTED_VALUE"""),10505.0)</f>
        <v>10505</v>
      </c>
      <c r="D2670" s="9" t="str">
        <f>IFERROR(__xludf.DUMMYFUNCTION("""COMPUTED_VALUE"""),"Completed")</f>
        <v>Completed</v>
      </c>
    </row>
    <row r="2671">
      <c r="A2671" s="9" t="str">
        <f>IFERROR(__xludf.DUMMYFUNCTION("""COMPUTED_VALUE"""),"G-REQ-02670")</f>
        <v>G-REQ-02670</v>
      </c>
      <c r="B2671" s="11">
        <f>IFERROR(__xludf.DUMMYFUNCTION("""COMPUTED_VALUE"""),45951.351079079504)</f>
        <v>45951.35108</v>
      </c>
      <c r="C2671" s="9">
        <f>IFERROR(__xludf.DUMMYFUNCTION("""COMPUTED_VALUE"""),10509.0)</f>
        <v>10509</v>
      </c>
      <c r="D2671" s="9" t="str">
        <f>IFERROR(__xludf.DUMMYFUNCTION("""COMPUTED_VALUE"""),"Completed")</f>
        <v>Completed</v>
      </c>
    </row>
    <row r="2672">
      <c r="A2672" s="9" t="str">
        <f>IFERROR(__xludf.DUMMYFUNCTION("""COMPUTED_VALUE"""),"G-REQ-02671")</f>
        <v>G-REQ-02671</v>
      </c>
      <c r="B2672" s="11">
        <f>IFERROR(__xludf.DUMMYFUNCTION("""COMPUTED_VALUE"""),45951.42225392492)</f>
        <v>45951.42225</v>
      </c>
      <c r="C2672" s="9">
        <f>IFERROR(__xludf.DUMMYFUNCTION("""COMPUTED_VALUE"""),10513.0)</f>
        <v>10513</v>
      </c>
      <c r="D2672" s="9" t="str">
        <f>IFERROR(__xludf.DUMMYFUNCTION("""COMPUTED_VALUE"""),"Completed")</f>
        <v>Completed</v>
      </c>
    </row>
    <row r="2673">
      <c r="A2673" s="9" t="str">
        <f>IFERROR(__xludf.DUMMYFUNCTION("""COMPUTED_VALUE"""),"G-REQ-02672")</f>
        <v>G-REQ-02672</v>
      </c>
      <c r="B2673" s="11">
        <f>IFERROR(__xludf.DUMMYFUNCTION("""COMPUTED_VALUE"""),45951.493428770336)</f>
        <v>45951.49343</v>
      </c>
      <c r="C2673" s="9">
        <f>IFERROR(__xludf.DUMMYFUNCTION("""COMPUTED_VALUE"""),10517.0)</f>
        <v>10517</v>
      </c>
      <c r="D2673" s="9" t="str">
        <f>IFERROR(__xludf.DUMMYFUNCTION("""COMPUTED_VALUE"""),"Completed")</f>
        <v>Completed</v>
      </c>
    </row>
    <row r="2674">
      <c r="A2674" s="9" t="str">
        <f>IFERROR(__xludf.DUMMYFUNCTION("""COMPUTED_VALUE"""),"G-REQ-02673")</f>
        <v>G-REQ-02673</v>
      </c>
      <c r="B2674" s="11">
        <f>IFERROR(__xludf.DUMMYFUNCTION("""COMPUTED_VALUE"""),45951.56460361574)</f>
        <v>45951.5646</v>
      </c>
      <c r="C2674" s="9">
        <f>IFERROR(__xludf.DUMMYFUNCTION("""COMPUTED_VALUE"""),10521.0)</f>
        <v>10521</v>
      </c>
      <c r="D2674" s="9" t="str">
        <f>IFERROR(__xludf.DUMMYFUNCTION("""COMPUTED_VALUE"""),"Completed")</f>
        <v>Completed</v>
      </c>
    </row>
    <row r="2675">
      <c r="A2675" s="9" t="str">
        <f>IFERROR(__xludf.DUMMYFUNCTION("""COMPUTED_VALUE"""),"G-REQ-02674")</f>
        <v>G-REQ-02674</v>
      </c>
      <c r="B2675" s="11">
        <f>IFERROR(__xludf.DUMMYFUNCTION("""COMPUTED_VALUE"""),45951.63577846116)</f>
        <v>45951.63578</v>
      </c>
      <c r="C2675" s="9">
        <f>IFERROR(__xludf.DUMMYFUNCTION("""COMPUTED_VALUE"""),10525.0)</f>
        <v>10525</v>
      </c>
      <c r="D2675" s="9" t="str">
        <f>IFERROR(__xludf.DUMMYFUNCTION("""COMPUTED_VALUE"""),"Completed")</f>
        <v>Completed</v>
      </c>
    </row>
    <row r="2676">
      <c r="A2676" s="9" t="str">
        <f>IFERROR(__xludf.DUMMYFUNCTION("""COMPUTED_VALUE"""),"G-REQ-02675")</f>
        <v>G-REQ-02675</v>
      </c>
      <c r="B2676" s="11">
        <f>IFERROR(__xludf.DUMMYFUNCTION("""COMPUTED_VALUE"""),45951.70695330658)</f>
        <v>45951.70695</v>
      </c>
      <c r="C2676" s="9">
        <f>IFERROR(__xludf.DUMMYFUNCTION("""COMPUTED_VALUE"""),10529.0)</f>
        <v>10529</v>
      </c>
      <c r="D2676" s="9" t="str">
        <f>IFERROR(__xludf.DUMMYFUNCTION("""COMPUTED_VALUE"""),"Completed")</f>
        <v>Completed</v>
      </c>
    </row>
    <row r="2677">
      <c r="A2677" s="9" t="str">
        <f>IFERROR(__xludf.DUMMYFUNCTION("""COMPUTED_VALUE"""),"G-REQ-02676")</f>
        <v>G-REQ-02676</v>
      </c>
      <c r="B2677" s="11">
        <f>IFERROR(__xludf.DUMMYFUNCTION("""COMPUTED_VALUE"""),45951.77812815199)</f>
        <v>45951.77813</v>
      </c>
      <c r="C2677" s="9">
        <f>IFERROR(__xludf.DUMMYFUNCTION("""COMPUTED_VALUE"""),10533.0)</f>
        <v>10533</v>
      </c>
      <c r="D2677" s="9" t="str">
        <f>IFERROR(__xludf.DUMMYFUNCTION("""COMPUTED_VALUE"""),"Completed")</f>
        <v>Completed</v>
      </c>
    </row>
    <row r="2678">
      <c r="A2678" s="9" t="str">
        <f>IFERROR(__xludf.DUMMYFUNCTION("""COMPUTED_VALUE"""),"G-REQ-02677")</f>
        <v>G-REQ-02677</v>
      </c>
      <c r="B2678" s="11">
        <f>IFERROR(__xludf.DUMMYFUNCTION("""COMPUTED_VALUE"""),45951.849302997405)</f>
        <v>45951.8493</v>
      </c>
      <c r="C2678" s="9">
        <f>IFERROR(__xludf.DUMMYFUNCTION("""COMPUTED_VALUE"""),10537.0)</f>
        <v>10537</v>
      </c>
      <c r="D2678" s="9" t="str">
        <f>IFERROR(__xludf.DUMMYFUNCTION("""COMPUTED_VALUE"""),"Completed")</f>
        <v>Completed</v>
      </c>
    </row>
    <row r="2679">
      <c r="A2679" s="9" t="str">
        <f>IFERROR(__xludf.DUMMYFUNCTION("""COMPUTED_VALUE"""),"G-REQ-02678")</f>
        <v>G-REQ-02678</v>
      </c>
      <c r="B2679" s="11">
        <f>IFERROR(__xludf.DUMMYFUNCTION("""COMPUTED_VALUE"""),45951.920477842825)</f>
        <v>45951.92048</v>
      </c>
      <c r="C2679" s="9">
        <f>IFERROR(__xludf.DUMMYFUNCTION("""COMPUTED_VALUE"""),10541.0)</f>
        <v>10541</v>
      </c>
      <c r="D2679" s="9" t="str">
        <f>IFERROR(__xludf.DUMMYFUNCTION("""COMPUTED_VALUE"""),"Completed")</f>
        <v>Completed</v>
      </c>
    </row>
    <row r="2680">
      <c r="A2680" s="9" t="str">
        <f>IFERROR(__xludf.DUMMYFUNCTION("""COMPUTED_VALUE"""),"G-REQ-02679")</f>
        <v>G-REQ-02679</v>
      </c>
      <c r="B2680" s="11">
        <f>IFERROR(__xludf.DUMMYFUNCTION("""COMPUTED_VALUE"""),45951.99165268824)</f>
        <v>45951.99165</v>
      </c>
      <c r="C2680" s="9">
        <f>IFERROR(__xludf.DUMMYFUNCTION("""COMPUTED_VALUE"""),10545.0)</f>
        <v>10545</v>
      </c>
      <c r="D2680" s="9" t="str">
        <f>IFERROR(__xludf.DUMMYFUNCTION("""COMPUTED_VALUE"""),"Completed")</f>
        <v>Completed</v>
      </c>
    </row>
    <row r="2681">
      <c r="A2681" s="9" t="str">
        <f>IFERROR(__xludf.DUMMYFUNCTION("""COMPUTED_VALUE"""),"G-REQ-02680")</f>
        <v>G-REQ-02680</v>
      </c>
      <c r="B2681" s="11">
        <f>IFERROR(__xludf.DUMMYFUNCTION("""COMPUTED_VALUE"""),45952.055883089204)</f>
        <v>45952.05588</v>
      </c>
      <c r="C2681" s="9">
        <f>IFERROR(__xludf.DUMMYFUNCTION("""COMPUTED_VALUE"""),10547.0)</f>
        <v>10547</v>
      </c>
      <c r="D2681" s="9" t="str">
        <f>IFERROR(__xludf.DUMMYFUNCTION("""COMPUTED_VALUE"""),"Rejected")</f>
        <v>Rejected</v>
      </c>
    </row>
    <row r="2682">
      <c r="A2682" s="9" t="str">
        <f>IFERROR(__xludf.DUMMYFUNCTION("""COMPUTED_VALUE"""),"G-REQ-02681")</f>
        <v>G-REQ-02681</v>
      </c>
      <c r="B2682" s="11">
        <f>IFERROR(__xludf.DUMMYFUNCTION("""COMPUTED_VALUE"""),45952.13400237907)</f>
        <v>45952.134</v>
      </c>
      <c r="C2682" s="9">
        <f>IFERROR(__xludf.DUMMYFUNCTION("""COMPUTED_VALUE"""),10551.0)</f>
        <v>10551</v>
      </c>
      <c r="D2682" s="9" t="str">
        <f>IFERROR(__xludf.DUMMYFUNCTION("""COMPUTED_VALUE"""),"Completed")</f>
        <v>Completed</v>
      </c>
    </row>
    <row r="2683">
      <c r="A2683" s="9" t="str">
        <f>IFERROR(__xludf.DUMMYFUNCTION("""COMPUTED_VALUE"""),"G-REQ-02682")</f>
        <v>G-REQ-02682</v>
      </c>
      <c r="B2683" s="11">
        <f>IFERROR(__xludf.DUMMYFUNCTION("""COMPUTED_VALUE"""),45952.20517722449)</f>
        <v>45952.20518</v>
      </c>
      <c r="C2683" s="9">
        <f>IFERROR(__xludf.DUMMYFUNCTION("""COMPUTED_VALUE"""),10555.0)</f>
        <v>10555</v>
      </c>
      <c r="D2683" s="9" t="str">
        <f>IFERROR(__xludf.DUMMYFUNCTION("""COMPUTED_VALUE"""),"Completed")</f>
        <v>Completed</v>
      </c>
    </row>
    <row r="2684">
      <c r="A2684" s="9" t="str">
        <f>IFERROR(__xludf.DUMMYFUNCTION("""COMPUTED_VALUE"""),"G-REQ-02683")</f>
        <v>G-REQ-02683</v>
      </c>
      <c r="B2684" s="11">
        <f>IFERROR(__xludf.DUMMYFUNCTION("""COMPUTED_VALUE"""),45952.27635206989)</f>
        <v>45952.27635</v>
      </c>
      <c r="C2684" s="9">
        <f>IFERROR(__xludf.DUMMYFUNCTION("""COMPUTED_VALUE"""),10559.0)</f>
        <v>10559</v>
      </c>
      <c r="D2684" s="9" t="str">
        <f>IFERROR(__xludf.DUMMYFUNCTION("""COMPUTED_VALUE"""),"Completed")</f>
        <v>Completed</v>
      </c>
    </row>
    <row r="2685">
      <c r="A2685" s="9" t="str">
        <f>IFERROR(__xludf.DUMMYFUNCTION("""COMPUTED_VALUE"""),"G-REQ-02684")</f>
        <v>G-REQ-02684</v>
      </c>
      <c r="B2685" s="11">
        <f>IFERROR(__xludf.DUMMYFUNCTION("""COMPUTED_VALUE"""),45952.34752691531)</f>
        <v>45952.34753</v>
      </c>
      <c r="C2685" s="9">
        <f>IFERROR(__xludf.DUMMYFUNCTION("""COMPUTED_VALUE"""),10563.0)</f>
        <v>10563</v>
      </c>
      <c r="D2685" s="9" t="str">
        <f>IFERROR(__xludf.DUMMYFUNCTION("""COMPUTED_VALUE"""),"Completed")</f>
        <v>Completed</v>
      </c>
    </row>
    <row r="2686">
      <c r="A2686" s="9" t="str">
        <f>IFERROR(__xludf.DUMMYFUNCTION("""COMPUTED_VALUE"""),"G-REQ-02685")</f>
        <v>G-REQ-02685</v>
      </c>
      <c r="B2686" s="11">
        <f>IFERROR(__xludf.DUMMYFUNCTION("""COMPUTED_VALUE"""),45952.41175731629)</f>
        <v>45952.41176</v>
      </c>
      <c r="C2686" s="9">
        <f>IFERROR(__xludf.DUMMYFUNCTION("""COMPUTED_VALUE"""),10565.0)</f>
        <v>10565</v>
      </c>
      <c r="D2686" s="9" t="str">
        <f>IFERROR(__xludf.DUMMYFUNCTION("""COMPUTED_VALUE"""),"Cancelled")</f>
        <v>Cancelled</v>
      </c>
    </row>
    <row r="2687">
      <c r="A2687" s="9" t="str">
        <f>IFERROR(__xludf.DUMMYFUNCTION("""COMPUTED_VALUE"""),"G-REQ-02686")</f>
        <v>G-REQ-02686</v>
      </c>
      <c r="B2687" s="11">
        <f>IFERROR(__xludf.DUMMYFUNCTION("""COMPUTED_VALUE"""),45952.489876606145)</f>
        <v>45952.48988</v>
      </c>
      <c r="C2687" s="9">
        <f>IFERROR(__xludf.DUMMYFUNCTION("""COMPUTED_VALUE"""),10569.0)</f>
        <v>10569</v>
      </c>
      <c r="D2687" s="9" t="str">
        <f>IFERROR(__xludf.DUMMYFUNCTION("""COMPUTED_VALUE"""),"Completed")</f>
        <v>Completed</v>
      </c>
    </row>
    <row r="2688">
      <c r="A2688" s="9" t="str">
        <f>IFERROR(__xludf.DUMMYFUNCTION("""COMPUTED_VALUE"""),"G-REQ-02687")</f>
        <v>G-REQ-02687</v>
      </c>
      <c r="B2688" s="11">
        <f>IFERROR(__xludf.DUMMYFUNCTION("""COMPUTED_VALUE"""),45952.56105145156)</f>
        <v>45952.56105</v>
      </c>
      <c r="C2688" s="9">
        <f>IFERROR(__xludf.DUMMYFUNCTION("""COMPUTED_VALUE"""),10573.0)</f>
        <v>10573</v>
      </c>
      <c r="D2688" s="9" t="str">
        <f>IFERROR(__xludf.DUMMYFUNCTION("""COMPUTED_VALUE"""),"Completed")</f>
        <v>Completed</v>
      </c>
    </row>
    <row r="2689">
      <c r="A2689" s="9" t="str">
        <f>IFERROR(__xludf.DUMMYFUNCTION("""COMPUTED_VALUE"""),"G-REQ-02688")</f>
        <v>G-REQ-02688</v>
      </c>
      <c r="B2689" s="11">
        <f>IFERROR(__xludf.DUMMYFUNCTION("""COMPUTED_VALUE"""),45952.63222629698)</f>
        <v>45952.63223</v>
      </c>
      <c r="C2689" s="9">
        <f>IFERROR(__xludf.DUMMYFUNCTION("""COMPUTED_VALUE"""),10577.0)</f>
        <v>10577</v>
      </c>
      <c r="D2689" s="9" t="str">
        <f>IFERROR(__xludf.DUMMYFUNCTION("""COMPUTED_VALUE"""),"Completed")</f>
        <v>Completed</v>
      </c>
    </row>
    <row r="2690">
      <c r="A2690" s="9" t="str">
        <f>IFERROR(__xludf.DUMMYFUNCTION("""COMPUTED_VALUE"""),"G-REQ-02689")</f>
        <v>G-REQ-02689</v>
      </c>
      <c r="B2690" s="11">
        <f>IFERROR(__xludf.DUMMYFUNCTION("""COMPUTED_VALUE"""),45952.696456697944)</f>
        <v>45952.69646</v>
      </c>
      <c r="C2690" s="9">
        <f>IFERROR(__xludf.DUMMYFUNCTION("""COMPUTED_VALUE"""),10579.0)</f>
        <v>10579</v>
      </c>
      <c r="D2690" s="9" t="str">
        <f>IFERROR(__xludf.DUMMYFUNCTION("""COMPUTED_VALUE"""),"Rejected")</f>
        <v>Rejected</v>
      </c>
    </row>
    <row r="2691">
      <c r="A2691" s="9" t="str">
        <f>IFERROR(__xludf.DUMMYFUNCTION("""COMPUTED_VALUE"""),"G-REQ-02690")</f>
        <v>G-REQ-02690</v>
      </c>
      <c r="B2691" s="11">
        <f>IFERROR(__xludf.DUMMYFUNCTION("""COMPUTED_VALUE"""),45952.7745759878)</f>
        <v>45952.77458</v>
      </c>
      <c r="C2691" s="9">
        <f>IFERROR(__xludf.DUMMYFUNCTION("""COMPUTED_VALUE"""),10583.0)</f>
        <v>10583</v>
      </c>
      <c r="D2691" s="9" t="str">
        <f>IFERROR(__xludf.DUMMYFUNCTION("""COMPUTED_VALUE"""),"Completed")</f>
        <v>Completed</v>
      </c>
    </row>
    <row r="2692">
      <c r="A2692" s="9" t="str">
        <f>IFERROR(__xludf.DUMMYFUNCTION("""COMPUTED_VALUE"""),"G-REQ-02691")</f>
        <v>G-REQ-02691</v>
      </c>
      <c r="B2692" s="11">
        <f>IFERROR(__xludf.DUMMYFUNCTION("""COMPUTED_VALUE"""),45952.84575083322)</f>
        <v>45952.84575</v>
      </c>
      <c r="C2692" s="9">
        <f>IFERROR(__xludf.DUMMYFUNCTION("""COMPUTED_VALUE"""),10587.0)</f>
        <v>10587</v>
      </c>
      <c r="D2692" s="9" t="str">
        <f>IFERROR(__xludf.DUMMYFUNCTION("""COMPUTED_VALUE"""),"Completed")</f>
        <v>Completed</v>
      </c>
    </row>
    <row r="2693">
      <c r="A2693" s="9" t="str">
        <f>IFERROR(__xludf.DUMMYFUNCTION("""COMPUTED_VALUE"""),"G-REQ-02692")</f>
        <v>G-REQ-02692</v>
      </c>
      <c r="B2693" s="11">
        <f>IFERROR(__xludf.DUMMYFUNCTION("""COMPUTED_VALUE"""),45952.91692567863)</f>
        <v>45952.91693</v>
      </c>
      <c r="C2693" s="9">
        <f>IFERROR(__xludf.DUMMYFUNCTION("""COMPUTED_VALUE"""),10591.0)</f>
        <v>10591</v>
      </c>
      <c r="D2693" s="9" t="str">
        <f>IFERROR(__xludf.DUMMYFUNCTION("""COMPUTED_VALUE"""),"Completed")</f>
        <v>Completed</v>
      </c>
    </row>
    <row r="2694">
      <c r="A2694" s="9" t="str">
        <f>IFERROR(__xludf.DUMMYFUNCTION("""COMPUTED_VALUE"""),"G-REQ-02693")</f>
        <v>G-REQ-02693</v>
      </c>
      <c r="B2694" s="11">
        <f>IFERROR(__xludf.DUMMYFUNCTION("""COMPUTED_VALUE"""),45952.988100524046)</f>
        <v>45952.9881</v>
      </c>
      <c r="C2694" s="9">
        <f>IFERROR(__xludf.DUMMYFUNCTION("""COMPUTED_VALUE"""),10595.0)</f>
        <v>10595</v>
      </c>
      <c r="D2694" s="9" t="str">
        <f>IFERROR(__xludf.DUMMYFUNCTION("""COMPUTED_VALUE"""),"Completed")</f>
        <v>Completed</v>
      </c>
    </row>
    <row r="2695">
      <c r="A2695" s="9" t="str">
        <f>IFERROR(__xludf.DUMMYFUNCTION("""COMPUTED_VALUE"""),"G-REQ-02694")</f>
        <v>G-REQ-02694</v>
      </c>
      <c r="B2695" s="11">
        <f>IFERROR(__xludf.DUMMYFUNCTION("""COMPUTED_VALUE"""),45953.059275369465)</f>
        <v>45953.05928</v>
      </c>
      <c r="C2695" s="9">
        <f>IFERROR(__xludf.DUMMYFUNCTION("""COMPUTED_VALUE"""),10599.0)</f>
        <v>10599</v>
      </c>
      <c r="D2695" s="9" t="str">
        <f>IFERROR(__xludf.DUMMYFUNCTION("""COMPUTED_VALUE"""),"Completed")</f>
        <v>Completed</v>
      </c>
    </row>
    <row r="2696">
      <c r="A2696" s="9" t="str">
        <f>IFERROR(__xludf.DUMMYFUNCTION("""COMPUTED_VALUE"""),"G-REQ-02695")</f>
        <v>G-REQ-02695</v>
      </c>
      <c r="B2696" s="11">
        <f>IFERROR(__xludf.DUMMYFUNCTION("""COMPUTED_VALUE"""),45953.13045021488)</f>
        <v>45953.13045</v>
      </c>
      <c r="C2696" s="9">
        <f>IFERROR(__xludf.DUMMYFUNCTION("""COMPUTED_VALUE"""),10603.0)</f>
        <v>10603</v>
      </c>
      <c r="D2696" s="9" t="str">
        <f>IFERROR(__xludf.DUMMYFUNCTION("""COMPUTED_VALUE"""),"Completed")</f>
        <v>Completed</v>
      </c>
    </row>
    <row r="2697">
      <c r="A2697" s="9" t="str">
        <f>IFERROR(__xludf.DUMMYFUNCTION("""COMPUTED_VALUE"""),"G-REQ-02696")</f>
        <v>G-REQ-02696</v>
      </c>
      <c r="B2697" s="11">
        <f>IFERROR(__xludf.DUMMYFUNCTION("""COMPUTED_VALUE"""),45953.2016250603)</f>
        <v>45953.20163</v>
      </c>
      <c r="C2697" s="9">
        <f>IFERROR(__xludf.DUMMYFUNCTION("""COMPUTED_VALUE"""),10607.0)</f>
        <v>10607</v>
      </c>
      <c r="D2697" s="9" t="str">
        <f>IFERROR(__xludf.DUMMYFUNCTION("""COMPUTED_VALUE"""),"Completed")</f>
        <v>Completed</v>
      </c>
    </row>
    <row r="2698">
      <c r="A2698" s="9" t="str">
        <f>IFERROR(__xludf.DUMMYFUNCTION("""COMPUTED_VALUE"""),"G-REQ-02697")</f>
        <v>G-REQ-02697</v>
      </c>
      <c r="B2698" s="11">
        <f>IFERROR(__xludf.DUMMYFUNCTION("""COMPUTED_VALUE"""),45953.27279990571)</f>
        <v>45953.2728</v>
      </c>
      <c r="C2698" s="9">
        <f>IFERROR(__xludf.DUMMYFUNCTION("""COMPUTED_VALUE"""),10611.0)</f>
        <v>10611</v>
      </c>
      <c r="D2698" s="9" t="str">
        <f>IFERROR(__xludf.DUMMYFUNCTION("""COMPUTED_VALUE"""),"Completed")</f>
        <v>Completed</v>
      </c>
    </row>
    <row r="2699">
      <c r="A2699" s="9" t="str">
        <f>IFERROR(__xludf.DUMMYFUNCTION("""COMPUTED_VALUE"""),"G-REQ-02698")</f>
        <v>G-REQ-02698</v>
      </c>
      <c r="B2699" s="11">
        <f>IFERROR(__xludf.DUMMYFUNCTION("""COMPUTED_VALUE"""),45953.34397475113)</f>
        <v>45953.34397</v>
      </c>
      <c r="C2699" s="9">
        <f>IFERROR(__xludf.DUMMYFUNCTION("""COMPUTED_VALUE"""),10615.0)</f>
        <v>10615</v>
      </c>
      <c r="D2699" s="9" t="str">
        <f>IFERROR(__xludf.DUMMYFUNCTION("""COMPUTED_VALUE"""),"Completed")</f>
        <v>Completed</v>
      </c>
    </row>
    <row r="2700">
      <c r="A2700" s="9" t="str">
        <f>IFERROR(__xludf.DUMMYFUNCTION("""COMPUTED_VALUE"""),"G-REQ-02699")</f>
        <v>G-REQ-02699</v>
      </c>
      <c r="B2700" s="11">
        <f>IFERROR(__xludf.DUMMYFUNCTION("""COMPUTED_VALUE"""),45953.415149596534)</f>
        <v>45953.41515</v>
      </c>
      <c r="C2700" s="9">
        <f>IFERROR(__xludf.DUMMYFUNCTION("""COMPUTED_VALUE"""),10619.0)</f>
        <v>10619</v>
      </c>
      <c r="D2700" s="9" t="str">
        <f>IFERROR(__xludf.DUMMYFUNCTION("""COMPUTED_VALUE"""),"Completed")</f>
        <v>Completed</v>
      </c>
    </row>
    <row r="2701">
      <c r="A2701" s="9" t="str">
        <f>IFERROR(__xludf.DUMMYFUNCTION("""COMPUTED_VALUE"""),"G-REQ-02700")</f>
        <v>G-REQ-02700</v>
      </c>
      <c r="B2701" s="11">
        <f>IFERROR(__xludf.DUMMYFUNCTION("""COMPUTED_VALUE"""),45953.486324441954)</f>
        <v>45953.48632</v>
      </c>
      <c r="C2701" s="9">
        <f>IFERROR(__xludf.DUMMYFUNCTION("""COMPUTED_VALUE"""),10623.0)</f>
        <v>10623</v>
      </c>
      <c r="D2701" s="9" t="str">
        <f>IFERROR(__xludf.DUMMYFUNCTION("""COMPUTED_VALUE"""),"Completed")</f>
        <v>Completed</v>
      </c>
    </row>
    <row r="2702">
      <c r="A2702" s="9" t="str">
        <f>IFERROR(__xludf.DUMMYFUNCTION("""COMPUTED_VALUE"""),"G-REQ-02701")</f>
        <v>G-REQ-02701</v>
      </c>
      <c r="B2702" s="11">
        <f>IFERROR(__xludf.DUMMYFUNCTION("""COMPUTED_VALUE"""),45953.55749928737)</f>
        <v>45953.5575</v>
      </c>
      <c r="C2702" s="9">
        <f>IFERROR(__xludf.DUMMYFUNCTION("""COMPUTED_VALUE"""),10627.0)</f>
        <v>10627</v>
      </c>
      <c r="D2702" s="9" t="str">
        <f>IFERROR(__xludf.DUMMYFUNCTION("""COMPUTED_VALUE"""),"Completed")</f>
        <v>Completed</v>
      </c>
    </row>
    <row r="2703">
      <c r="A2703" s="9" t="str">
        <f>IFERROR(__xludf.DUMMYFUNCTION("""COMPUTED_VALUE"""),"G-REQ-02702")</f>
        <v>G-REQ-02702</v>
      </c>
      <c r="B2703" s="11">
        <f>IFERROR(__xludf.DUMMYFUNCTION("""COMPUTED_VALUE"""),45953.628674132786)</f>
        <v>45953.62867</v>
      </c>
      <c r="C2703" s="9">
        <f>IFERROR(__xludf.DUMMYFUNCTION("""COMPUTED_VALUE"""),10631.0)</f>
        <v>10631</v>
      </c>
      <c r="D2703" s="9" t="str">
        <f>IFERROR(__xludf.DUMMYFUNCTION("""COMPUTED_VALUE"""),"Completed")</f>
        <v>Completed</v>
      </c>
    </row>
    <row r="2704">
      <c r="A2704" s="9" t="str">
        <f>IFERROR(__xludf.DUMMYFUNCTION("""COMPUTED_VALUE"""),"G-REQ-02703")</f>
        <v>G-REQ-02703</v>
      </c>
      <c r="B2704" s="11">
        <f>IFERROR(__xludf.DUMMYFUNCTION("""COMPUTED_VALUE"""),45953.6998489782)</f>
        <v>45953.69985</v>
      </c>
      <c r="C2704" s="9">
        <f>IFERROR(__xludf.DUMMYFUNCTION("""COMPUTED_VALUE"""),10635.0)</f>
        <v>10635</v>
      </c>
      <c r="D2704" s="9" t="str">
        <f>IFERROR(__xludf.DUMMYFUNCTION("""COMPUTED_VALUE"""),"Completed")</f>
        <v>Completed</v>
      </c>
    </row>
    <row r="2705">
      <c r="A2705" s="9" t="str">
        <f>IFERROR(__xludf.DUMMYFUNCTION("""COMPUTED_VALUE"""),"G-REQ-02704")</f>
        <v>G-REQ-02704</v>
      </c>
      <c r="B2705" s="11">
        <f>IFERROR(__xludf.DUMMYFUNCTION("""COMPUTED_VALUE"""),45953.77102382362)</f>
        <v>45953.77102</v>
      </c>
      <c r="C2705" s="9">
        <f>IFERROR(__xludf.DUMMYFUNCTION("""COMPUTED_VALUE"""),10639.0)</f>
        <v>10639</v>
      </c>
      <c r="D2705" s="9" t="str">
        <f>IFERROR(__xludf.DUMMYFUNCTION("""COMPUTED_VALUE"""),"Completed")</f>
        <v>Completed</v>
      </c>
    </row>
    <row r="2706">
      <c r="A2706" s="9" t="str">
        <f>IFERROR(__xludf.DUMMYFUNCTION("""COMPUTED_VALUE"""),"G-REQ-02705")</f>
        <v>G-REQ-02705</v>
      </c>
      <c r="B2706" s="11">
        <f>IFERROR(__xludf.DUMMYFUNCTION("""COMPUTED_VALUE"""),45953.84219866903)</f>
        <v>45953.8422</v>
      </c>
      <c r="C2706" s="9">
        <f>IFERROR(__xludf.DUMMYFUNCTION("""COMPUTED_VALUE"""),10643.0)</f>
        <v>10643</v>
      </c>
      <c r="D2706" s="9" t="str">
        <f>IFERROR(__xludf.DUMMYFUNCTION("""COMPUTED_VALUE"""),"Completed")</f>
        <v>Completed</v>
      </c>
    </row>
    <row r="2707">
      <c r="A2707" s="9" t="str">
        <f>IFERROR(__xludf.DUMMYFUNCTION("""COMPUTED_VALUE"""),"G-REQ-02706")</f>
        <v>G-REQ-02706</v>
      </c>
      <c r="B2707" s="11">
        <f>IFERROR(__xludf.DUMMYFUNCTION("""COMPUTED_VALUE"""),45953.91337351444)</f>
        <v>45953.91337</v>
      </c>
      <c r="C2707" s="9">
        <f>IFERROR(__xludf.DUMMYFUNCTION("""COMPUTED_VALUE"""),10647.0)</f>
        <v>10647</v>
      </c>
      <c r="D2707" s="9" t="str">
        <f>IFERROR(__xludf.DUMMYFUNCTION("""COMPUTED_VALUE"""),"Completed")</f>
        <v>Completed</v>
      </c>
    </row>
    <row r="2708">
      <c r="A2708" s="9" t="str">
        <f>IFERROR(__xludf.DUMMYFUNCTION("""COMPUTED_VALUE"""),"G-REQ-02707")</f>
        <v>G-REQ-02707</v>
      </c>
      <c r="B2708" s="11">
        <f>IFERROR(__xludf.DUMMYFUNCTION("""COMPUTED_VALUE"""),45953.98454835986)</f>
        <v>45953.98455</v>
      </c>
      <c r="C2708" s="9">
        <f>IFERROR(__xludf.DUMMYFUNCTION("""COMPUTED_VALUE"""),10651.0)</f>
        <v>10651</v>
      </c>
      <c r="D2708" s="9" t="str">
        <f>IFERROR(__xludf.DUMMYFUNCTION("""COMPUTED_VALUE"""),"Completed")</f>
        <v>Completed</v>
      </c>
    </row>
    <row r="2709">
      <c r="A2709" s="9" t="str">
        <f>IFERROR(__xludf.DUMMYFUNCTION("""COMPUTED_VALUE"""),"G-REQ-02708")</f>
        <v>G-REQ-02708</v>
      </c>
      <c r="B2709" s="11">
        <f>IFERROR(__xludf.DUMMYFUNCTION("""COMPUTED_VALUE"""),45954.05572320528)</f>
        <v>45954.05572</v>
      </c>
      <c r="C2709" s="9">
        <f>IFERROR(__xludf.DUMMYFUNCTION("""COMPUTED_VALUE"""),10655.0)</f>
        <v>10655</v>
      </c>
      <c r="D2709" s="9" t="str">
        <f>IFERROR(__xludf.DUMMYFUNCTION("""COMPUTED_VALUE"""),"Completed")</f>
        <v>Completed</v>
      </c>
    </row>
    <row r="2710">
      <c r="A2710" s="9" t="str">
        <f>IFERROR(__xludf.DUMMYFUNCTION("""COMPUTED_VALUE"""),"G-REQ-02709")</f>
        <v>G-REQ-02709</v>
      </c>
      <c r="B2710" s="11">
        <f>IFERROR(__xludf.DUMMYFUNCTION("""COMPUTED_VALUE"""),45954.12689805069)</f>
        <v>45954.1269</v>
      </c>
      <c r="C2710" s="9">
        <f>IFERROR(__xludf.DUMMYFUNCTION("""COMPUTED_VALUE"""),10659.0)</f>
        <v>10659</v>
      </c>
      <c r="D2710" s="9" t="str">
        <f>IFERROR(__xludf.DUMMYFUNCTION("""COMPUTED_VALUE"""),"Completed")</f>
        <v>Completed</v>
      </c>
    </row>
    <row r="2711">
      <c r="A2711" s="9" t="str">
        <f>IFERROR(__xludf.DUMMYFUNCTION("""COMPUTED_VALUE"""),"G-REQ-02710")</f>
        <v>G-REQ-02710</v>
      </c>
      <c r="B2711" s="11">
        <f>IFERROR(__xludf.DUMMYFUNCTION("""COMPUTED_VALUE"""),45954.198072896106)</f>
        <v>45954.19807</v>
      </c>
      <c r="C2711" s="9">
        <f>IFERROR(__xludf.DUMMYFUNCTION("""COMPUTED_VALUE"""),10663.0)</f>
        <v>10663</v>
      </c>
      <c r="D2711" s="9" t="str">
        <f>IFERROR(__xludf.DUMMYFUNCTION("""COMPUTED_VALUE"""),"Completed")</f>
        <v>Completed</v>
      </c>
    </row>
    <row r="2712">
      <c r="A2712" s="9" t="str">
        <f>IFERROR(__xludf.DUMMYFUNCTION("""COMPUTED_VALUE"""),"G-REQ-02711")</f>
        <v>G-REQ-02711</v>
      </c>
      <c r="B2712" s="11">
        <f>IFERROR(__xludf.DUMMYFUNCTION("""COMPUTED_VALUE"""),45954.26924774152)</f>
        <v>45954.26925</v>
      </c>
      <c r="C2712" s="9">
        <f>IFERROR(__xludf.DUMMYFUNCTION("""COMPUTED_VALUE"""),10667.0)</f>
        <v>10667</v>
      </c>
      <c r="D2712" s="9" t="str">
        <f>IFERROR(__xludf.DUMMYFUNCTION("""COMPUTED_VALUE"""),"Completed")</f>
        <v>Completed</v>
      </c>
    </row>
    <row r="2713">
      <c r="A2713" s="9" t="str">
        <f>IFERROR(__xludf.DUMMYFUNCTION("""COMPUTED_VALUE"""),"G-REQ-02712")</f>
        <v>G-REQ-02712</v>
      </c>
      <c r="B2713" s="11">
        <f>IFERROR(__xludf.DUMMYFUNCTION("""COMPUTED_VALUE"""),45954.34042258694)</f>
        <v>45954.34042</v>
      </c>
      <c r="C2713" s="9">
        <f>IFERROR(__xludf.DUMMYFUNCTION("""COMPUTED_VALUE"""),10671.0)</f>
        <v>10671</v>
      </c>
      <c r="D2713" s="9" t="str">
        <f>IFERROR(__xludf.DUMMYFUNCTION("""COMPUTED_VALUE"""),"Completed")</f>
        <v>Completed</v>
      </c>
    </row>
    <row r="2714">
      <c r="A2714" s="9" t="str">
        <f>IFERROR(__xludf.DUMMYFUNCTION("""COMPUTED_VALUE"""),"G-REQ-02713")</f>
        <v>G-REQ-02713</v>
      </c>
      <c r="B2714" s="11">
        <f>IFERROR(__xludf.DUMMYFUNCTION("""COMPUTED_VALUE"""),45954.41159743235)</f>
        <v>45954.4116</v>
      </c>
      <c r="C2714" s="9">
        <f>IFERROR(__xludf.DUMMYFUNCTION("""COMPUTED_VALUE"""),10675.0)</f>
        <v>10675</v>
      </c>
      <c r="D2714" s="9" t="str">
        <f>IFERROR(__xludf.DUMMYFUNCTION("""COMPUTED_VALUE"""),"Completed")</f>
        <v>Completed</v>
      </c>
    </row>
    <row r="2715">
      <c r="A2715" s="9" t="str">
        <f>IFERROR(__xludf.DUMMYFUNCTION("""COMPUTED_VALUE"""),"G-REQ-02714")</f>
        <v>G-REQ-02714</v>
      </c>
      <c r="B2715" s="11">
        <f>IFERROR(__xludf.DUMMYFUNCTION("""COMPUTED_VALUE"""),45954.48277227777)</f>
        <v>45954.48277</v>
      </c>
      <c r="C2715" s="9">
        <f>IFERROR(__xludf.DUMMYFUNCTION("""COMPUTED_VALUE"""),10679.0)</f>
        <v>10679</v>
      </c>
      <c r="D2715" s="9" t="str">
        <f>IFERROR(__xludf.DUMMYFUNCTION("""COMPUTED_VALUE"""),"Completed")</f>
        <v>Completed</v>
      </c>
    </row>
    <row r="2716">
      <c r="A2716" s="9" t="str">
        <f>IFERROR(__xludf.DUMMYFUNCTION("""COMPUTED_VALUE"""),"G-REQ-02715")</f>
        <v>G-REQ-02715</v>
      </c>
      <c r="B2716" s="11">
        <f>IFERROR(__xludf.DUMMYFUNCTION("""COMPUTED_VALUE"""),45954.553947123175)</f>
        <v>45954.55395</v>
      </c>
      <c r="C2716" s="9">
        <f>IFERROR(__xludf.DUMMYFUNCTION("""COMPUTED_VALUE"""),10683.0)</f>
        <v>10683</v>
      </c>
      <c r="D2716" s="9" t="str">
        <f>IFERROR(__xludf.DUMMYFUNCTION("""COMPUTED_VALUE"""),"Completed")</f>
        <v>Completed</v>
      </c>
    </row>
    <row r="2717">
      <c r="A2717" s="9" t="str">
        <f>IFERROR(__xludf.DUMMYFUNCTION("""COMPUTED_VALUE"""),"G-REQ-02716")</f>
        <v>G-REQ-02716</v>
      </c>
      <c r="B2717" s="11">
        <f>IFERROR(__xludf.DUMMYFUNCTION("""COMPUTED_VALUE"""),45954.625121968595)</f>
        <v>45954.62512</v>
      </c>
      <c r="C2717" s="9">
        <f>IFERROR(__xludf.DUMMYFUNCTION("""COMPUTED_VALUE"""),10687.0)</f>
        <v>10687</v>
      </c>
      <c r="D2717" s="9" t="str">
        <f>IFERROR(__xludf.DUMMYFUNCTION("""COMPUTED_VALUE"""),"Completed")</f>
        <v>Completed</v>
      </c>
    </row>
    <row r="2718">
      <c r="A2718" s="9" t="str">
        <f>IFERROR(__xludf.DUMMYFUNCTION("""COMPUTED_VALUE"""),"G-REQ-02717")</f>
        <v>G-REQ-02717</v>
      </c>
      <c r="B2718" s="11">
        <f>IFERROR(__xludf.DUMMYFUNCTION("""COMPUTED_VALUE"""),45954.696296814014)</f>
        <v>45954.6963</v>
      </c>
      <c r="C2718" s="9">
        <f>IFERROR(__xludf.DUMMYFUNCTION("""COMPUTED_VALUE"""),10691.0)</f>
        <v>10691</v>
      </c>
      <c r="D2718" s="9" t="str">
        <f>IFERROR(__xludf.DUMMYFUNCTION("""COMPUTED_VALUE"""),"Completed")</f>
        <v>Completed</v>
      </c>
    </row>
    <row r="2719">
      <c r="A2719" s="9" t="str">
        <f>IFERROR(__xludf.DUMMYFUNCTION("""COMPUTED_VALUE"""),"G-REQ-02718")</f>
        <v>G-REQ-02718</v>
      </c>
      <c r="B2719" s="11">
        <f>IFERROR(__xludf.DUMMYFUNCTION("""COMPUTED_VALUE"""),45954.76747165943)</f>
        <v>45954.76747</v>
      </c>
      <c r="C2719" s="9">
        <f>IFERROR(__xludf.DUMMYFUNCTION("""COMPUTED_VALUE"""),10695.0)</f>
        <v>10695</v>
      </c>
      <c r="D2719" s="9" t="str">
        <f>IFERROR(__xludf.DUMMYFUNCTION("""COMPUTED_VALUE"""),"Completed")</f>
        <v>Completed</v>
      </c>
    </row>
    <row r="2720">
      <c r="A2720" s="9" t="str">
        <f>IFERROR(__xludf.DUMMYFUNCTION("""COMPUTED_VALUE"""),"G-REQ-02719")</f>
        <v>G-REQ-02719</v>
      </c>
      <c r="B2720" s="11">
        <f>IFERROR(__xludf.DUMMYFUNCTION("""COMPUTED_VALUE"""),45954.83864650484)</f>
        <v>45954.83865</v>
      </c>
      <c r="C2720" s="9">
        <f>IFERROR(__xludf.DUMMYFUNCTION("""COMPUTED_VALUE"""),10699.0)</f>
        <v>10699</v>
      </c>
      <c r="D2720" s="9" t="str">
        <f>IFERROR(__xludf.DUMMYFUNCTION("""COMPUTED_VALUE"""),"Completed")</f>
        <v>Completed</v>
      </c>
    </row>
    <row r="2721">
      <c r="A2721" s="9" t="str">
        <f>IFERROR(__xludf.DUMMYFUNCTION("""COMPUTED_VALUE"""),"G-REQ-02720")</f>
        <v>G-REQ-02720</v>
      </c>
      <c r="B2721" s="11">
        <f>IFERROR(__xludf.DUMMYFUNCTION("""COMPUTED_VALUE"""),45954.90982135026)</f>
        <v>45954.90982</v>
      </c>
      <c r="C2721" s="9">
        <f>IFERROR(__xludf.DUMMYFUNCTION("""COMPUTED_VALUE"""),10703.0)</f>
        <v>10703</v>
      </c>
      <c r="D2721" s="9" t="str">
        <f>IFERROR(__xludf.DUMMYFUNCTION("""COMPUTED_VALUE"""),"Completed")</f>
        <v>Completed</v>
      </c>
    </row>
    <row r="2722">
      <c r="A2722" s="9" t="str">
        <f>IFERROR(__xludf.DUMMYFUNCTION("""COMPUTED_VALUE"""),"G-REQ-02721")</f>
        <v>G-REQ-02721</v>
      </c>
      <c r="B2722" s="11">
        <f>IFERROR(__xludf.DUMMYFUNCTION("""COMPUTED_VALUE"""),45954.98099619567)</f>
        <v>45954.981</v>
      </c>
      <c r="C2722" s="9">
        <f>IFERROR(__xludf.DUMMYFUNCTION("""COMPUTED_VALUE"""),10707.0)</f>
        <v>10707</v>
      </c>
      <c r="D2722" s="9" t="str">
        <f>IFERROR(__xludf.DUMMYFUNCTION("""COMPUTED_VALUE"""),"Completed")</f>
        <v>Completed</v>
      </c>
    </row>
    <row r="2723">
      <c r="A2723" s="9" t="str">
        <f>IFERROR(__xludf.DUMMYFUNCTION("""COMPUTED_VALUE"""),"G-REQ-02722")</f>
        <v>G-REQ-02722</v>
      </c>
      <c r="B2723" s="11">
        <f>IFERROR(__xludf.DUMMYFUNCTION("""COMPUTED_VALUE"""),45955.05217104108)</f>
        <v>45955.05217</v>
      </c>
      <c r="C2723" s="9">
        <f>IFERROR(__xludf.DUMMYFUNCTION("""COMPUTED_VALUE"""),10711.0)</f>
        <v>10711</v>
      </c>
      <c r="D2723" s="9" t="str">
        <f>IFERROR(__xludf.DUMMYFUNCTION("""COMPUTED_VALUE"""),"Completed")</f>
        <v>Completed</v>
      </c>
    </row>
    <row r="2724">
      <c r="A2724" s="9" t="str">
        <f>IFERROR(__xludf.DUMMYFUNCTION("""COMPUTED_VALUE"""),"G-REQ-02723")</f>
        <v>G-REQ-02723</v>
      </c>
      <c r="B2724" s="11">
        <f>IFERROR(__xludf.DUMMYFUNCTION("""COMPUTED_VALUE"""),45955.1233458865)</f>
        <v>45955.12335</v>
      </c>
      <c r="C2724" s="9">
        <f>IFERROR(__xludf.DUMMYFUNCTION("""COMPUTED_VALUE"""),10715.0)</f>
        <v>10715</v>
      </c>
      <c r="D2724" s="9" t="str">
        <f>IFERROR(__xludf.DUMMYFUNCTION("""COMPUTED_VALUE"""),"Completed")</f>
        <v>Completed</v>
      </c>
    </row>
    <row r="2725">
      <c r="A2725" s="9" t="str">
        <f>IFERROR(__xludf.DUMMYFUNCTION("""COMPUTED_VALUE"""),"G-REQ-02724")</f>
        <v>G-REQ-02724</v>
      </c>
      <c r="B2725" s="11">
        <f>IFERROR(__xludf.DUMMYFUNCTION("""COMPUTED_VALUE"""),45955.19452073192)</f>
        <v>45955.19452</v>
      </c>
      <c r="C2725" s="9">
        <f>IFERROR(__xludf.DUMMYFUNCTION("""COMPUTED_VALUE"""),10719.0)</f>
        <v>10719</v>
      </c>
      <c r="D2725" s="9" t="str">
        <f>IFERROR(__xludf.DUMMYFUNCTION("""COMPUTED_VALUE"""),"Completed")</f>
        <v>Completed</v>
      </c>
    </row>
    <row r="2726">
      <c r="A2726" s="9" t="str">
        <f>IFERROR(__xludf.DUMMYFUNCTION("""COMPUTED_VALUE"""),"G-REQ-02725")</f>
        <v>G-REQ-02725</v>
      </c>
      <c r="B2726" s="11">
        <f>IFERROR(__xludf.DUMMYFUNCTION("""COMPUTED_VALUE"""),45955.26569557733)</f>
        <v>45955.2657</v>
      </c>
      <c r="C2726" s="9">
        <f>IFERROR(__xludf.DUMMYFUNCTION("""COMPUTED_VALUE"""),10723.0)</f>
        <v>10723</v>
      </c>
      <c r="D2726" s="9" t="str">
        <f>IFERROR(__xludf.DUMMYFUNCTION("""COMPUTED_VALUE"""),"Completed")</f>
        <v>Completed</v>
      </c>
    </row>
    <row r="2727">
      <c r="A2727" s="9" t="str">
        <f>IFERROR(__xludf.DUMMYFUNCTION("""COMPUTED_VALUE"""),"G-REQ-02726")</f>
        <v>G-REQ-02726</v>
      </c>
      <c r="B2727" s="11">
        <f>IFERROR(__xludf.DUMMYFUNCTION("""COMPUTED_VALUE"""),45955.33687042275)</f>
        <v>45955.33687</v>
      </c>
      <c r="C2727" s="9">
        <f>IFERROR(__xludf.DUMMYFUNCTION("""COMPUTED_VALUE"""),10727.0)</f>
        <v>10727</v>
      </c>
      <c r="D2727" s="9" t="str">
        <f>IFERROR(__xludf.DUMMYFUNCTION("""COMPUTED_VALUE"""),"Completed")</f>
        <v>Completed</v>
      </c>
    </row>
    <row r="2728">
      <c r="A2728" s="9" t="str">
        <f>IFERROR(__xludf.DUMMYFUNCTION("""COMPUTED_VALUE"""),"G-REQ-02727")</f>
        <v>G-REQ-02727</v>
      </c>
      <c r="B2728" s="11">
        <f>IFERROR(__xludf.DUMMYFUNCTION("""COMPUTED_VALUE"""),45955.40110082372)</f>
        <v>45955.4011</v>
      </c>
      <c r="C2728" s="9">
        <f>IFERROR(__xludf.DUMMYFUNCTION("""COMPUTED_VALUE"""),10729.0)</f>
        <v>10729</v>
      </c>
      <c r="D2728" s="9" t="str">
        <f>IFERROR(__xludf.DUMMYFUNCTION("""COMPUTED_VALUE"""),"Rejected")</f>
        <v>Rejected</v>
      </c>
    </row>
    <row r="2729">
      <c r="A2729" s="9" t="str">
        <f>IFERROR(__xludf.DUMMYFUNCTION("""COMPUTED_VALUE"""),"G-REQ-02728")</f>
        <v>G-REQ-02728</v>
      </c>
      <c r="B2729" s="11">
        <f>IFERROR(__xludf.DUMMYFUNCTION("""COMPUTED_VALUE"""),45955.47922011358)</f>
        <v>45955.47922</v>
      </c>
      <c r="C2729" s="9">
        <f>IFERROR(__xludf.DUMMYFUNCTION("""COMPUTED_VALUE"""),10733.0)</f>
        <v>10733</v>
      </c>
      <c r="D2729" s="9" t="str">
        <f>IFERROR(__xludf.DUMMYFUNCTION("""COMPUTED_VALUE"""),"Completed")</f>
        <v>Completed</v>
      </c>
    </row>
    <row r="2730">
      <c r="A2730" s="9" t="str">
        <f>IFERROR(__xludf.DUMMYFUNCTION("""COMPUTED_VALUE"""),"G-REQ-02729")</f>
        <v>G-REQ-02729</v>
      </c>
      <c r="B2730" s="11">
        <f>IFERROR(__xludf.DUMMYFUNCTION("""COMPUTED_VALUE"""),45955.55039495899)</f>
        <v>45955.55039</v>
      </c>
      <c r="C2730" s="9">
        <f>IFERROR(__xludf.DUMMYFUNCTION("""COMPUTED_VALUE"""),10737.0)</f>
        <v>10737</v>
      </c>
      <c r="D2730" s="9" t="str">
        <f>IFERROR(__xludf.DUMMYFUNCTION("""COMPUTED_VALUE"""),"Completed")</f>
        <v>Completed</v>
      </c>
    </row>
    <row r="2731">
      <c r="A2731" s="9" t="str">
        <f>IFERROR(__xludf.DUMMYFUNCTION("""COMPUTED_VALUE"""),"G-REQ-02730")</f>
        <v>G-REQ-02730</v>
      </c>
      <c r="B2731" s="11">
        <f>IFERROR(__xludf.DUMMYFUNCTION("""COMPUTED_VALUE"""),45955.62156980441)</f>
        <v>45955.62157</v>
      </c>
      <c r="C2731" s="9">
        <f>IFERROR(__xludf.DUMMYFUNCTION("""COMPUTED_VALUE"""),10741.0)</f>
        <v>10741</v>
      </c>
      <c r="D2731" s="9" t="str">
        <f>IFERROR(__xludf.DUMMYFUNCTION("""COMPUTED_VALUE"""),"Completed")</f>
        <v>Completed</v>
      </c>
    </row>
    <row r="2732">
      <c r="A2732" s="9" t="str">
        <f>IFERROR(__xludf.DUMMYFUNCTION("""COMPUTED_VALUE"""),"G-REQ-02731")</f>
        <v>G-REQ-02731</v>
      </c>
      <c r="B2732" s="11">
        <f>IFERROR(__xludf.DUMMYFUNCTION("""COMPUTED_VALUE"""),45955.69274464982)</f>
        <v>45955.69274</v>
      </c>
      <c r="C2732" s="9">
        <f>IFERROR(__xludf.DUMMYFUNCTION("""COMPUTED_VALUE"""),10745.0)</f>
        <v>10745</v>
      </c>
      <c r="D2732" s="9" t="str">
        <f>IFERROR(__xludf.DUMMYFUNCTION("""COMPUTED_VALUE"""),"Completed")</f>
        <v>Completed</v>
      </c>
    </row>
    <row r="2733">
      <c r="A2733" s="9" t="str">
        <f>IFERROR(__xludf.DUMMYFUNCTION("""COMPUTED_VALUE"""),"G-REQ-02732")</f>
        <v>G-REQ-02732</v>
      </c>
      <c r="B2733" s="11">
        <f>IFERROR(__xludf.DUMMYFUNCTION("""COMPUTED_VALUE"""),45955.763919495235)</f>
        <v>45955.76392</v>
      </c>
      <c r="C2733" s="9">
        <f>IFERROR(__xludf.DUMMYFUNCTION("""COMPUTED_VALUE"""),10749.0)</f>
        <v>10749</v>
      </c>
      <c r="D2733" s="9" t="str">
        <f>IFERROR(__xludf.DUMMYFUNCTION("""COMPUTED_VALUE"""),"Completed")</f>
        <v>Completed</v>
      </c>
    </row>
    <row r="2734">
      <c r="A2734" s="9" t="str">
        <f>IFERROR(__xludf.DUMMYFUNCTION("""COMPUTED_VALUE"""),"G-REQ-02733")</f>
        <v>G-REQ-02733</v>
      </c>
      <c r="B2734" s="11">
        <f>IFERROR(__xludf.DUMMYFUNCTION("""COMPUTED_VALUE"""),45955.82814989621)</f>
        <v>45955.82815</v>
      </c>
      <c r="C2734" s="9">
        <f>IFERROR(__xludf.DUMMYFUNCTION("""COMPUTED_VALUE"""),10751.0)</f>
        <v>10751</v>
      </c>
      <c r="D2734" s="9" t="str">
        <f>IFERROR(__xludf.DUMMYFUNCTION("""COMPUTED_VALUE"""),"Cancelled")</f>
        <v>Cancelled</v>
      </c>
    </row>
    <row r="2735">
      <c r="A2735" s="9" t="str">
        <f>IFERROR(__xludf.DUMMYFUNCTION("""COMPUTED_VALUE"""),"G-REQ-02734")</f>
        <v>G-REQ-02734</v>
      </c>
      <c r="B2735" s="11">
        <f>IFERROR(__xludf.DUMMYFUNCTION("""COMPUTED_VALUE"""),45955.89932474162)</f>
        <v>45955.89932</v>
      </c>
      <c r="C2735" s="9">
        <f>IFERROR(__xludf.DUMMYFUNCTION("""COMPUTED_VALUE"""),10753.0)</f>
        <v>10753</v>
      </c>
      <c r="D2735" s="9" t="str">
        <f>IFERROR(__xludf.DUMMYFUNCTION("""COMPUTED_VALUE"""),"Rejected")</f>
        <v>Rejected</v>
      </c>
    </row>
    <row r="2736">
      <c r="A2736" s="9" t="str">
        <f>IFERROR(__xludf.DUMMYFUNCTION("""COMPUTED_VALUE"""),"G-REQ-02735")</f>
        <v>G-REQ-02735</v>
      </c>
      <c r="B2736" s="11">
        <f>IFERROR(__xludf.DUMMYFUNCTION("""COMPUTED_VALUE"""),45955.97744403148)</f>
        <v>45955.97744</v>
      </c>
      <c r="C2736" s="9">
        <f>IFERROR(__xludf.DUMMYFUNCTION("""COMPUTED_VALUE"""),10757.0)</f>
        <v>10757</v>
      </c>
      <c r="D2736" s="9" t="str">
        <f>IFERROR(__xludf.DUMMYFUNCTION("""COMPUTED_VALUE"""),"Completed")</f>
        <v>Completed</v>
      </c>
    </row>
    <row r="2737">
      <c r="A2737" s="9" t="str">
        <f>IFERROR(__xludf.DUMMYFUNCTION("""COMPUTED_VALUE"""),"G-REQ-02736")</f>
        <v>G-REQ-02736</v>
      </c>
      <c r="B2737" s="11">
        <f>IFERROR(__xludf.DUMMYFUNCTION("""COMPUTED_VALUE"""),45956.0486188769)</f>
        <v>45956.04862</v>
      </c>
      <c r="C2737" s="9">
        <f>IFERROR(__xludf.DUMMYFUNCTION("""COMPUTED_VALUE"""),10761.0)</f>
        <v>10761</v>
      </c>
      <c r="D2737" s="9" t="str">
        <f>IFERROR(__xludf.DUMMYFUNCTION("""COMPUTED_VALUE"""),"Completed")</f>
        <v>Completed</v>
      </c>
    </row>
    <row r="2738">
      <c r="A2738" s="9" t="str">
        <f>IFERROR(__xludf.DUMMYFUNCTION("""COMPUTED_VALUE"""),"G-REQ-02737")</f>
        <v>G-REQ-02737</v>
      </c>
      <c r="B2738" s="11">
        <f>IFERROR(__xludf.DUMMYFUNCTION("""COMPUTED_VALUE"""),45956.11979372231)</f>
        <v>45956.11979</v>
      </c>
      <c r="C2738" s="9">
        <f>IFERROR(__xludf.DUMMYFUNCTION("""COMPUTED_VALUE"""),10765.0)</f>
        <v>10765</v>
      </c>
      <c r="D2738" s="9" t="str">
        <f>IFERROR(__xludf.DUMMYFUNCTION("""COMPUTED_VALUE"""),"Completed")</f>
        <v>Completed</v>
      </c>
    </row>
    <row r="2739">
      <c r="A2739" s="9" t="str">
        <f>IFERROR(__xludf.DUMMYFUNCTION("""COMPUTED_VALUE"""),"G-REQ-02738")</f>
        <v>G-REQ-02738</v>
      </c>
      <c r="B2739" s="11">
        <f>IFERROR(__xludf.DUMMYFUNCTION("""COMPUTED_VALUE"""),45956.190968567724)</f>
        <v>45956.19097</v>
      </c>
      <c r="C2739" s="9">
        <f>IFERROR(__xludf.DUMMYFUNCTION("""COMPUTED_VALUE"""),10769.0)</f>
        <v>10769</v>
      </c>
      <c r="D2739" s="9" t="str">
        <f>IFERROR(__xludf.DUMMYFUNCTION("""COMPUTED_VALUE"""),"Completed")</f>
        <v>Completed</v>
      </c>
    </row>
    <row r="2740">
      <c r="A2740" s="9" t="str">
        <f>IFERROR(__xludf.DUMMYFUNCTION("""COMPUTED_VALUE"""),"G-REQ-02739")</f>
        <v>G-REQ-02739</v>
      </c>
      <c r="B2740" s="11">
        <f>IFERROR(__xludf.DUMMYFUNCTION("""COMPUTED_VALUE"""),45956.26214341314)</f>
        <v>45956.26214</v>
      </c>
      <c r="C2740" s="9">
        <f>IFERROR(__xludf.DUMMYFUNCTION("""COMPUTED_VALUE"""),10773.0)</f>
        <v>10773</v>
      </c>
      <c r="D2740" s="9" t="str">
        <f>IFERROR(__xludf.DUMMYFUNCTION("""COMPUTED_VALUE"""),"Completed")</f>
        <v>Completed</v>
      </c>
    </row>
    <row r="2741">
      <c r="A2741" s="9" t="str">
        <f>IFERROR(__xludf.DUMMYFUNCTION("""COMPUTED_VALUE"""),"G-REQ-02740")</f>
        <v>G-REQ-02740</v>
      </c>
      <c r="B2741" s="11">
        <f>IFERROR(__xludf.DUMMYFUNCTION("""COMPUTED_VALUE"""),45956.33331825856)</f>
        <v>45956.33332</v>
      </c>
      <c r="C2741" s="9">
        <f>IFERROR(__xludf.DUMMYFUNCTION("""COMPUTED_VALUE"""),10777.0)</f>
        <v>10777</v>
      </c>
      <c r="D2741" s="9" t="str">
        <f>IFERROR(__xludf.DUMMYFUNCTION("""COMPUTED_VALUE"""),"Completed")</f>
        <v>Completed</v>
      </c>
    </row>
    <row r="2742">
      <c r="A2742" s="9" t="str">
        <f>IFERROR(__xludf.DUMMYFUNCTION("""COMPUTED_VALUE"""),"G-REQ-02741")</f>
        <v>G-REQ-02741</v>
      </c>
      <c r="B2742" s="11">
        <f>IFERROR(__xludf.DUMMYFUNCTION("""COMPUTED_VALUE"""),45956.39754865952)</f>
        <v>45956.39755</v>
      </c>
      <c r="C2742" s="9">
        <f>IFERROR(__xludf.DUMMYFUNCTION("""COMPUTED_VALUE"""),10779.0)</f>
        <v>10779</v>
      </c>
      <c r="D2742" s="9" t="str">
        <f>IFERROR(__xludf.DUMMYFUNCTION("""COMPUTED_VALUE"""),"Rejected")</f>
        <v>Rejected</v>
      </c>
    </row>
    <row r="2743">
      <c r="A2743" s="9" t="str">
        <f>IFERROR(__xludf.DUMMYFUNCTION("""COMPUTED_VALUE"""),"G-REQ-02742")</f>
        <v>G-REQ-02742</v>
      </c>
      <c r="B2743" s="11">
        <f>IFERROR(__xludf.DUMMYFUNCTION("""COMPUTED_VALUE"""),45956.47566794939)</f>
        <v>45956.47567</v>
      </c>
      <c r="C2743" s="9">
        <f>IFERROR(__xludf.DUMMYFUNCTION("""COMPUTED_VALUE"""),10783.0)</f>
        <v>10783</v>
      </c>
      <c r="D2743" s="9" t="str">
        <f>IFERROR(__xludf.DUMMYFUNCTION("""COMPUTED_VALUE"""),"Completed")</f>
        <v>Completed</v>
      </c>
    </row>
    <row r="2744">
      <c r="A2744" s="9" t="str">
        <f>IFERROR(__xludf.DUMMYFUNCTION("""COMPUTED_VALUE"""),"G-REQ-02743")</f>
        <v>G-REQ-02743</v>
      </c>
      <c r="B2744" s="11">
        <f>IFERROR(__xludf.DUMMYFUNCTION("""COMPUTED_VALUE"""),45956.53989835036)</f>
        <v>45956.5399</v>
      </c>
      <c r="C2744" s="9">
        <f>IFERROR(__xludf.DUMMYFUNCTION("""COMPUTED_VALUE"""),10785.0)</f>
        <v>10785</v>
      </c>
      <c r="D2744" s="9" t="str">
        <f>IFERROR(__xludf.DUMMYFUNCTION("""COMPUTED_VALUE"""),"Rejected")</f>
        <v>Rejected</v>
      </c>
    </row>
    <row r="2745">
      <c r="A2745" s="9" t="str">
        <f>IFERROR(__xludf.DUMMYFUNCTION("""COMPUTED_VALUE"""),"G-REQ-02744")</f>
        <v>G-REQ-02744</v>
      </c>
      <c r="B2745" s="11">
        <f>IFERROR(__xludf.DUMMYFUNCTION("""COMPUTED_VALUE"""),45956.61801764022)</f>
        <v>45956.61802</v>
      </c>
      <c r="C2745" s="9">
        <f>IFERROR(__xludf.DUMMYFUNCTION("""COMPUTED_VALUE"""),10789.0)</f>
        <v>10789</v>
      </c>
      <c r="D2745" s="9" t="str">
        <f>IFERROR(__xludf.DUMMYFUNCTION("""COMPUTED_VALUE"""),"Completed")</f>
        <v>Completed</v>
      </c>
    </row>
    <row r="2746">
      <c r="A2746" s="9" t="str">
        <f>IFERROR(__xludf.DUMMYFUNCTION("""COMPUTED_VALUE"""),"G-REQ-02745")</f>
        <v>G-REQ-02745</v>
      </c>
      <c r="B2746" s="11">
        <f>IFERROR(__xludf.DUMMYFUNCTION("""COMPUTED_VALUE"""),45956.68919248563)</f>
        <v>45956.68919</v>
      </c>
      <c r="C2746" s="9">
        <f>IFERROR(__xludf.DUMMYFUNCTION("""COMPUTED_VALUE"""),10793.0)</f>
        <v>10793</v>
      </c>
      <c r="D2746" s="9" t="str">
        <f>IFERROR(__xludf.DUMMYFUNCTION("""COMPUTED_VALUE"""),"Completed")</f>
        <v>Completed</v>
      </c>
    </row>
    <row r="2747">
      <c r="A2747" s="9" t="str">
        <f>IFERROR(__xludf.DUMMYFUNCTION("""COMPUTED_VALUE"""),"G-REQ-02746")</f>
        <v>G-REQ-02746</v>
      </c>
      <c r="B2747" s="11">
        <f>IFERROR(__xludf.DUMMYFUNCTION("""COMPUTED_VALUE"""),45956.76036733105)</f>
        <v>45956.76037</v>
      </c>
      <c r="C2747" s="9">
        <f>IFERROR(__xludf.DUMMYFUNCTION("""COMPUTED_VALUE"""),10797.0)</f>
        <v>10797</v>
      </c>
      <c r="D2747" s="9" t="str">
        <f>IFERROR(__xludf.DUMMYFUNCTION("""COMPUTED_VALUE"""),"Completed")</f>
        <v>Completed</v>
      </c>
    </row>
    <row r="2748">
      <c r="A2748" s="9" t="str">
        <f>IFERROR(__xludf.DUMMYFUNCTION("""COMPUTED_VALUE"""),"G-REQ-02747")</f>
        <v>G-REQ-02747</v>
      </c>
      <c r="B2748" s="11">
        <f>IFERROR(__xludf.DUMMYFUNCTION("""COMPUTED_VALUE"""),45956.831542176464)</f>
        <v>45956.83154</v>
      </c>
      <c r="C2748" s="9">
        <f>IFERROR(__xludf.DUMMYFUNCTION("""COMPUTED_VALUE"""),10801.0)</f>
        <v>10801</v>
      </c>
      <c r="D2748" s="9" t="str">
        <f>IFERROR(__xludf.DUMMYFUNCTION("""COMPUTED_VALUE"""),"Completed")</f>
        <v>Completed</v>
      </c>
    </row>
    <row r="2749">
      <c r="A2749" s="9" t="str">
        <f>IFERROR(__xludf.DUMMYFUNCTION("""COMPUTED_VALUE"""),"G-REQ-02748")</f>
        <v>G-REQ-02748</v>
      </c>
      <c r="B2749" s="11">
        <f>IFERROR(__xludf.DUMMYFUNCTION("""COMPUTED_VALUE"""),45956.902717021876)</f>
        <v>45956.90272</v>
      </c>
      <c r="C2749" s="9">
        <f>IFERROR(__xludf.DUMMYFUNCTION("""COMPUTED_VALUE"""),10805.0)</f>
        <v>10805</v>
      </c>
      <c r="D2749" s="9" t="str">
        <f>IFERROR(__xludf.DUMMYFUNCTION("""COMPUTED_VALUE"""),"Completed")</f>
        <v>Completed</v>
      </c>
    </row>
    <row r="2750">
      <c r="A2750" s="9" t="str">
        <f>IFERROR(__xludf.DUMMYFUNCTION("""COMPUTED_VALUE"""),"G-REQ-02749")</f>
        <v>G-REQ-02749</v>
      </c>
      <c r="B2750" s="11">
        <f>IFERROR(__xludf.DUMMYFUNCTION("""COMPUTED_VALUE"""),45956.973891867296)</f>
        <v>45956.97389</v>
      </c>
      <c r="C2750" s="9">
        <f>IFERROR(__xludf.DUMMYFUNCTION("""COMPUTED_VALUE"""),10809.0)</f>
        <v>10809</v>
      </c>
      <c r="D2750" s="9" t="str">
        <f>IFERROR(__xludf.DUMMYFUNCTION("""COMPUTED_VALUE"""),"Completed")</f>
        <v>Completed</v>
      </c>
    </row>
    <row r="2751">
      <c r="A2751" s="9" t="str">
        <f>IFERROR(__xludf.DUMMYFUNCTION("""COMPUTED_VALUE"""),"G-REQ-02750")</f>
        <v>G-REQ-02750</v>
      </c>
      <c r="B2751" s="11">
        <f>IFERROR(__xludf.DUMMYFUNCTION("""COMPUTED_VALUE"""),45957.04506671271)</f>
        <v>45957.04507</v>
      </c>
      <c r="C2751" s="9">
        <f>IFERROR(__xludf.DUMMYFUNCTION("""COMPUTED_VALUE"""),10813.0)</f>
        <v>10813</v>
      </c>
      <c r="D2751" s="9" t="str">
        <f>IFERROR(__xludf.DUMMYFUNCTION("""COMPUTED_VALUE"""),"Completed")</f>
        <v>Completed</v>
      </c>
    </row>
    <row r="2752">
      <c r="A2752" s="9" t="str">
        <f>IFERROR(__xludf.DUMMYFUNCTION("""COMPUTED_VALUE"""),"G-REQ-02751")</f>
        <v>G-REQ-02751</v>
      </c>
      <c r="B2752" s="11">
        <f>IFERROR(__xludf.DUMMYFUNCTION("""COMPUTED_VALUE"""),45957.11624155812)</f>
        <v>45957.11624</v>
      </c>
      <c r="C2752" s="9">
        <f>IFERROR(__xludf.DUMMYFUNCTION("""COMPUTED_VALUE"""),10817.0)</f>
        <v>10817</v>
      </c>
      <c r="D2752" s="9" t="str">
        <f>IFERROR(__xludf.DUMMYFUNCTION("""COMPUTED_VALUE"""),"Completed")</f>
        <v>Completed</v>
      </c>
    </row>
    <row r="2753">
      <c r="A2753" s="9" t="str">
        <f>IFERROR(__xludf.DUMMYFUNCTION("""COMPUTED_VALUE"""),"G-REQ-02752")</f>
        <v>G-REQ-02752</v>
      </c>
      <c r="B2753" s="11">
        <f>IFERROR(__xludf.DUMMYFUNCTION("""COMPUTED_VALUE"""),45957.18741640354)</f>
        <v>45957.18742</v>
      </c>
      <c r="C2753" s="9">
        <f>IFERROR(__xludf.DUMMYFUNCTION("""COMPUTED_VALUE"""),10821.0)</f>
        <v>10821</v>
      </c>
      <c r="D2753" s="9" t="str">
        <f>IFERROR(__xludf.DUMMYFUNCTION("""COMPUTED_VALUE"""),"Completed")</f>
        <v>Completed</v>
      </c>
    </row>
    <row r="2754">
      <c r="A2754" s="9" t="str">
        <f>IFERROR(__xludf.DUMMYFUNCTION("""COMPUTED_VALUE"""),"G-REQ-02753")</f>
        <v>G-REQ-02753</v>
      </c>
      <c r="B2754" s="11">
        <f>IFERROR(__xludf.DUMMYFUNCTION("""COMPUTED_VALUE"""),45957.25859124895)</f>
        <v>45957.25859</v>
      </c>
      <c r="C2754" s="9">
        <f>IFERROR(__xludf.DUMMYFUNCTION("""COMPUTED_VALUE"""),10825.0)</f>
        <v>10825</v>
      </c>
      <c r="D2754" s="9" t="str">
        <f>IFERROR(__xludf.DUMMYFUNCTION("""COMPUTED_VALUE"""),"Completed")</f>
        <v>Completed</v>
      </c>
    </row>
    <row r="2755">
      <c r="A2755" s="9" t="str">
        <f>IFERROR(__xludf.DUMMYFUNCTION("""COMPUTED_VALUE"""),"G-REQ-02754")</f>
        <v>G-REQ-02754</v>
      </c>
      <c r="B2755" s="11">
        <f>IFERROR(__xludf.DUMMYFUNCTION("""COMPUTED_VALUE"""),45957.329766094364)</f>
        <v>45957.32977</v>
      </c>
      <c r="C2755" s="9">
        <f>IFERROR(__xludf.DUMMYFUNCTION("""COMPUTED_VALUE"""),10829.0)</f>
        <v>10829</v>
      </c>
      <c r="D2755" s="9" t="str">
        <f>IFERROR(__xludf.DUMMYFUNCTION("""COMPUTED_VALUE"""),"Completed")</f>
        <v>Completed</v>
      </c>
    </row>
    <row r="2756">
      <c r="A2756" s="9" t="str">
        <f>IFERROR(__xludf.DUMMYFUNCTION("""COMPUTED_VALUE"""),"G-REQ-02755")</f>
        <v>G-REQ-02755</v>
      </c>
      <c r="B2756" s="11">
        <f>IFERROR(__xludf.DUMMYFUNCTION("""COMPUTED_VALUE"""),45957.400940939784)</f>
        <v>45957.40094</v>
      </c>
      <c r="C2756" s="9">
        <f>IFERROR(__xludf.DUMMYFUNCTION("""COMPUTED_VALUE"""),10833.0)</f>
        <v>10833</v>
      </c>
      <c r="D2756" s="9" t="str">
        <f>IFERROR(__xludf.DUMMYFUNCTION("""COMPUTED_VALUE"""),"Completed")</f>
        <v>Completed</v>
      </c>
    </row>
    <row r="2757">
      <c r="A2757" s="9" t="str">
        <f>IFERROR(__xludf.DUMMYFUNCTION("""COMPUTED_VALUE"""),"G-REQ-02756")</f>
        <v>G-REQ-02756</v>
      </c>
      <c r="B2757" s="11">
        <f>IFERROR(__xludf.DUMMYFUNCTION("""COMPUTED_VALUE"""),45957.472115785204)</f>
        <v>45957.47212</v>
      </c>
      <c r="C2757" s="9">
        <f>IFERROR(__xludf.DUMMYFUNCTION("""COMPUTED_VALUE"""),10837.0)</f>
        <v>10837</v>
      </c>
      <c r="D2757" s="9" t="str">
        <f>IFERROR(__xludf.DUMMYFUNCTION("""COMPUTED_VALUE"""),"Completed")</f>
        <v>Completed</v>
      </c>
    </row>
    <row r="2758">
      <c r="A2758" s="9" t="str">
        <f>IFERROR(__xludf.DUMMYFUNCTION("""COMPUTED_VALUE"""),"G-REQ-02757")</f>
        <v>G-REQ-02757</v>
      </c>
      <c r="B2758" s="11">
        <f>IFERROR(__xludf.DUMMYFUNCTION("""COMPUTED_VALUE"""),45957.54329063061)</f>
        <v>45957.54329</v>
      </c>
      <c r="C2758" s="9">
        <f>IFERROR(__xludf.DUMMYFUNCTION("""COMPUTED_VALUE"""),10841.0)</f>
        <v>10841</v>
      </c>
      <c r="D2758" s="9" t="str">
        <f>IFERROR(__xludf.DUMMYFUNCTION("""COMPUTED_VALUE"""),"Completed")</f>
        <v>Completed</v>
      </c>
    </row>
    <row r="2759">
      <c r="A2759" s="9" t="str">
        <f>IFERROR(__xludf.DUMMYFUNCTION("""COMPUTED_VALUE"""),"G-REQ-02758")</f>
        <v>G-REQ-02758</v>
      </c>
      <c r="B2759" s="11">
        <f>IFERROR(__xludf.DUMMYFUNCTION("""COMPUTED_VALUE"""),45957.61446547603)</f>
        <v>45957.61447</v>
      </c>
      <c r="C2759" s="9">
        <f>IFERROR(__xludf.DUMMYFUNCTION("""COMPUTED_VALUE"""),10845.0)</f>
        <v>10845</v>
      </c>
      <c r="D2759" s="9" t="str">
        <f>IFERROR(__xludf.DUMMYFUNCTION("""COMPUTED_VALUE"""),"Completed")</f>
        <v>Completed</v>
      </c>
    </row>
    <row r="2760">
      <c r="A2760" s="9" t="str">
        <f>IFERROR(__xludf.DUMMYFUNCTION("""COMPUTED_VALUE"""),"G-REQ-02759")</f>
        <v>G-REQ-02759</v>
      </c>
      <c r="B2760" s="11">
        <f>IFERROR(__xludf.DUMMYFUNCTION("""COMPUTED_VALUE"""),45957.68564032145)</f>
        <v>45957.68564</v>
      </c>
      <c r="C2760" s="9">
        <f>IFERROR(__xludf.DUMMYFUNCTION("""COMPUTED_VALUE"""),10849.0)</f>
        <v>10849</v>
      </c>
      <c r="D2760" s="9" t="str">
        <f>IFERROR(__xludf.DUMMYFUNCTION("""COMPUTED_VALUE"""),"Completed")</f>
        <v>Completed</v>
      </c>
    </row>
    <row r="2761">
      <c r="A2761" s="9" t="str">
        <f>IFERROR(__xludf.DUMMYFUNCTION("""COMPUTED_VALUE"""),"G-REQ-02760")</f>
        <v>G-REQ-02760</v>
      </c>
      <c r="B2761" s="11">
        <f>IFERROR(__xludf.DUMMYFUNCTION("""COMPUTED_VALUE"""),45957.75681516686)</f>
        <v>45957.75682</v>
      </c>
      <c r="C2761" s="9">
        <f>IFERROR(__xludf.DUMMYFUNCTION("""COMPUTED_VALUE"""),10853.0)</f>
        <v>10853</v>
      </c>
      <c r="D2761" s="9" t="str">
        <f>IFERROR(__xludf.DUMMYFUNCTION("""COMPUTED_VALUE"""),"Completed")</f>
        <v>Completed</v>
      </c>
    </row>
    <row r="2762">
      <c r="A2762" s="9" t="str">
        <f>IFERROR(__xludf.DUMMYFUNCTION("""COMPUTED_VALUE"""),"G-REQ-02761")</f>
        <v>G-REQ-02761</v>
      </c>
      <c r="B2762" s="11">
        <f>IFERROR(__xludf.DUMMYFUNCTION("""COMPUTED_VALUE"""),45957.82799001227)</f>
        <v>45957.82799</v>
      </c>
      <c r="C2762" s="9">
        <f>IFERROR(__xludf.DUMMYFUNCTION("""COMPUTED_VALUE"""),10857.0)</f>
        <v>10857</v>
      </c>
      <c r="D2762" s="9" t="str">
        <f>IFERROR(__xludf.DUMMYFUNCTION("""COMPUTED_VALUE"""),"Completed")</f>
        <v>Completed</v>
      </c>
    </row>
    <row r="2763">
      <c r="A2763" s="9" t="str">
        <f>IFERROR(__xludf.DUMMYFUNCTION("""COMPUTED_VALUE"""),"G-REQ-02762")</f>
        <v>G-REQ-02762</v>
      </c>
      <c r="B2763" s="11">
        <f>IFERROR(__xludf.DUMMYFUNCTION("""COMPUTED_VALUE"""),45957.89222041325)</f>
        <v>45957.89222</v>
      </c>
      <c r="C2763" s="9">
        <f>IFERROR(__xludf.DUMMYFUNCTION("""COMPUTED_VALUE"""),10859.0)</f>
        <v>10859</v>
      </c>
      <c r="D2763" s="9" t="str">
        <f>IFERROR(__xludf.DUMMYFUNCTION("""COMPUTED_VALUE"""),"Rejected")</f>
        <v>Rejected</v>
      </c>
    </row>
    <row r="2764">
      <c r="A2764" s="9" t="str">
        <f>IFERROR(__xludf.DUMMYFUNCTION("""COMPUTED_VALUE"""),"G-REQ-02763")</f>
        <v>G-REQ-02763</v>
      </c>
      <c r="B2764" s="11">
        <f>IFERROR(__xludf.DUMMYFUNCTION("""COMPUTED_VALUE"""),45957.970339703104)</f>
        <v>45957.97034</v>
      </c>
      <c r="C2764" s="9">
        <f>IFERROR(__xludf.DUMMYFUNCTION("""COMPUTED_VALUE"""),10863.0)</f>
        <v>10863</v>
      </c>
      <c r="D2764" s="9" t="str">
        <f>IFERROR(__xludf.DUMMYFUNCTION("""COMPUTED_VALUE"""),"Completed")</f>
        <v>Completed</v>
      </c>
    </row>
    <row r="2765">
      <c r="A2765" s="9" t="str">
        <f>IFERROR(__xludf.DUMMYFUNCTION("""COMPUTED_VALUE"""),"G-REQ-02764")</f>
        <v>G-REQ-02764</v>
      </c>
      <c r="B2765" s="11">
        <f>IFERROR(__xludf.DUMMYFUNCTION("""COMPUTED_VALUE"""),45958.04151454852)</f>
        <v>45958.04151</v>
      </c>
      <c r="C2765" s="9">
        <f>IFERROR(__xludf.DUMMYFUNCTION("""COMPUTED_VALUE"""),10867.0)</f>
        <v>10867</v>
      </c>
      <c r="D2765" s="9" t="str">
        <f>IFERROR(__xludf.DUMMYFUNCTION("""COMPUTED_VALUE"""),"Completed")</f>
        <v>Completed</v>
      </c>
    </row>
    <row r="2766">
      <c r="A2766" s="9" t="str">
        <f>IFERROR(__xludf.DUMMYFUNCTION("""COMPUTED_VALUE"""),"G-REQ-02765")</f>
        <v>G-REQ-02765</v>
      </c>
      <c r="B2766" s="11">
        <f>IFERROR(__xludf.DUMMYFUNCTION("""COMPUTED_VALUE"""),45958.112689393936)</f>
        <v>45958.11269</v>
      </c>
      <c r="C2766" s="9">
        <f>IFERROR(__xludf.DUMMYFUNCTION("""COMPUTED_VALUE"""),10871.0)</f>
        <v>10871</v>
      </c>
      <c r="D2766" s="9" t="str">
        <f>IFERROR(__xludf.DUMMYFUNCTION("""COMPUTED_VALUE"""),"Completed")</f>
        <v>Completed</v>
      </c>
    </row>
    <row r="2767">
      <c r="A2767" s="9" t="str">
        <f>IFERROR(__xludf.DUMMYFUNCTION("""COMPUTED_VALUE"""),"G-REQ-02766")</f>
        <v>G-REQ-02766</v>
      </c>
      <c r="B2767" s="11">
        <f>IFERROR(__xludf.DUMMYFUNCTION("""COMPUTED_VALUE"""),45958.18386423935)</f>
        <v>45958.18386</v>
      </c>
      <c r="C2767" s="9">
        <f>IFERROR(__xludf.DUMMYFUNCTION("""COMPUTED_VALUE"""),10875.0)</f>
        <v>10875</v>
      </c>
      <c r="D2767" s="9" t="str">
        <f>IFERROR(__xludf.DUMMYFUNCTION("""COMPUTED_VALUE"""),"Completed")</f>
        <v>Completed</v>
      </c>
    </row>
    <row r="2768">
      <c r="A2768" s="9" t="str">
        <f>IFERROR(__xludf.DUMMYFUNCTION("""COMPUTED_VALUE"""),"G-REQ-02767")</f>
        <v>G-REQ-02767</v>
      </c>
      <c r="B2768" s="11">
        <f>IFERROR(__xludf.DUMMYFUNCTION("""COMPUTED_VALUE"""),45958.25503908476)</f>
        <v>45958.25504</v>
      </c>
      <c r="C2768" s="9">
        <f>IFERROR(__xludf.DUMMYFUNCTION("""COMPUTED_VALUE"""),10879.0)</f>
        <v>10879</v>
      </c>
      <c r="D2768" s="9" t="str">
        <f>IFERROR(__xludf.DUMMYFUNCTION("""COMPUTED_VALUE"""),"Completed")</f>
        <v>Completed</v>
      </c>
    </row>
    <row r="2769">
      <c r="A2769" s="9" t="str">
        <f>IFERROR(__xludf.DUMMYFUNCTION("""COMPUTED_VALUE"""),"G-REQ-02768")</f>
        <v>G-REQ-02768</v>
      </c>
      <c r="B2769" s="11">
        <f>IFERROR(__xludf.DUMMYFUNCTION("""COMPUTED_VALUE"""),45958.319269485735)</f>
        <v>45958.31927</v>
      </c>
      <c r="C2769" s="9">
        <f>IFERROR(__xludf.DUMMYFUNCTION("""COMPUTED_VALUE"""),10881.0)</f>
        <v>10881</v>
      </c>
      <c r="D2769" s="9" t="str">
        <f>IFERROR(__xludf.DUMMYFUNCTION("""COMPUTED_VALUE"""),"Rejected")</f>
        <v>Rejected</v>
      </c>
    </row>
    <row r="2770">
      <c r="A2770" s="9" t="str">
        <f>IFERROR(__xludf.DUMMYFUNCTION("""COMPUTED_VALUE"""),"G-REQ-02769")</f>
        <v>G-REQ-02769</v>
      </c>
      <c r="B2770" s="11">
        <f>IFERROR(__xludf.DUMMYFUNCTION("""COMPUTED_VALUE"""),45958.3973887756)</f>
        <v>45958.39739</v>
      </c>
      <c r="C2770" s="9">
        <f>IFERROR(__xludf.DUMMYFUNCTION("""COMPUTED_VALUE"""),10885.0)</f>
        <v>10885</v>
      </c>
      <c r="D2770" s="9" t="str">
        <f>IFERROR(__xludf.DUMMYFUNCTION("""COMPUTED_VALUE"""),"Completed")</f>
        <v>Completed</v>
      </c>
    </row>
    <row r="2771">
      <c r="A2771" s="9" t="str">
        <f>IFERROR(__xludf.DUMMYFUNCTION("""COMPUTED_VALUE"""),"G-REQ-02770")</f>
        <v>G-REQ-02770</v>
      </c>
      <c r="B2771" s="11">
        <f>IFERROR(__xludf.DUMMYFUNCTION("""COMPUTED_VALUE"""),45958.468563621005)</f>
        <v>45958.46856</v>
      </c>
      <c r="C2771" s="9">
        <f>IFERROR(__xludf.DUMMYFUNCTION("""COMPUTED_VALUE"""),10889.0)</f>
        <v>10889</v>
      </c>
      <c r="D2771" s="9" t="str">
        <f>IFERROR(__xludf.DUMMYFUNCTION("""COMPUTED_VALUE"""),"Completed")</f>
        <v>Completed</v>
      </c>
    </row>
    <row r="2772">
      <c r="A2772" s="9" t="str">
        <f>IFERROR(__xludf.DUMMYFUNCTION("""COMPUTED_VALUE"""),"G-REQ-02771")</f>
        <v>G-REQ-02771</v>
      </c>
      <c r="B2772" s="11">
        <f>IFERROR(__xludf.DUMMYFUNCTION("""COMPUTED_VALUE"""),45958.53279402198)</f>
        <v>45958.53279</v>
      </c>
      <c r="C2772" s="9">
        <f>IFERROR(__xludf.DUMMYFUNCTION("""COMPUTED_VALUE"""),10891.0)</f>
        <v>10891</v>
      </c>
      <c r="D2772" s="9" t="str">
        <f>IFERROR(__xludf.DUMMYFUNCTION("""COMPUTED_VALUE"""),"Cancelled")</f>
        <v>Cancelled</v>
      </c>
    </row>
    <row r="2773">
      <c r="A2773" s="9" t="str">
        <f>IFERROR(__xludf.DUMMYFUNCTION("""COMPUTED_VALUE"""),"G-REQ-02772")</f>
        <v>G-REQ-02772</v>
      </c>
      <c r="B2773" s="11">
        <f>IFERROR(__xludf.DUMMYFUNCTION("""COMPUTED_VALUE"""),45958.610913311844)</f>
        <v>45958.61091</v>
      </c>
      <c r="C2773" s="9">
        <f>IFERROR(__xludf.DUMMYFUNCTION("""COMPUTED_VALUE"""),10895.0)</f>
        <v>10895</v>
      </c>
      <c r="D2773" s="9" t="str">
        <f>IFERROR(__xludf.DUMMYFUNCTION("""COMPUTED_VALUE"""),"Completed")</f>
        <v>Completed</v>
      </c>
    </row>
    <row r="2774">
      <c r="A2774" s="9" t="str">
        <f>IFERROR(__xludf.DUMMYFUNCTION("""COMPUTED_VALUE"""),"G-REQ-02773")</f>
        <v>G-REQ-02773</v>
      </c>
      <c r="B2774" s="11">
        <f>IFERROR(__xludf.DUMMYFUNCTION("""COMPUTED_VALUE"""),45958.67514371281)</f>
        <v>45958.67514</v>
      </c>
      <c r="C2774" s="9">
        <f>IFERROR(__xludf.DUMMYFUNCTION("""COMPUTED_VALUE"""),10897.0)</f>
        <v>10897</v>
      </c>
      <c r="D2774" s="9" t="str">
        <f>IFERROR(__xludf.DUMMYFUNCTION("""COMPUTED_VALUE"""),"Cancelled")</f>
        <v>Cancelled</v>
      </c>
    </row>
    <row r="2775">
      <c r="A2775" s="9" t="str">
        <f>IFERROR(__xludf.DUMMYFUNCTION("""COMPUTED_VALUE"""),"G-REQ-02774")</f>
        <v>G-REQ-02774</v>
      </c>
      <c r="B2775" s="11">
        <f>IFERROR(__xludf.DUMMYFUNCTION("""COMPUTED_VALUE"""),45958.746318558224)</f>
        <v>45958.74632</v>
      </c>
      <c r="C2775" s="9">
        <f>IFERROR(__xludf.DUMMYFUNCTION("""COMPUTED_VALUE"""),10899.0)</f>
        <v>10899</v>
      </c>
      <c r="D2775" s="9" t="str">
        <f>IFERROR(__xludf.DUMMYFUNCTION("""COMPUTED_VALUE"""),"Rejected")</f>
        <v>Rejected</v>
      </c>
    </row>
    <row r="2776">
      <c r="A2776" s="9" t="str">
        <f>IFERROR(__xludf.DUMMYFUNCTION("""COMPUTED_VALUE"""),"G-REQ-02775")</f>
        <v>G-REQ-02775</v>
      </c>
      <c r="B2776" s="11">
        <f>IFERROR(__xludf.DUMMYFUNCTION("""COMPUTED_VALUE"""),45958.81749340364)</f>
        <v>45958.81749</v>
      </c>
      <c r="C2776" s="9">
        <f>IFERROR(__xludf.DUMMYFUNCTION("""COMPUTED_VALUE"""),10901.0)</f>
        <v>10901</v>
      </c>
      <c r="D2776" s="9" t="str">
        <f>IFERROR(__xludf.DUMMYFUNCTION("""COMPUTED_VALUE"""),"Cancelled")</f>
        <v>Cancelled</v>
      </c>
    </row>
    <row r="2777">
      <c r="A2777" s="9" t="str">
        <f>IFERROR(__xludf.DUMMYFUNCTION("""COMPUTED_VALUE"""),"G-REQ-02776")</f>
        <v>G-REQ-02776</v>
      </c>
      <c r="B2777" s="11">
        <f>IFERROR(__xludf.DUMMYFUNCTION("""COMPUTED_VALUE"""),45958.8956126935)</f>
        <v>45958.89561</v>
      </c>
      <c r="C2777" s="9">
        <f>IFERROR(__xludf.DUMMYFUNCTION("""COMPUTED_VALUE"""),10905.0)</f>
        <v>10905</v>
      </c>
      <c r="D2777" s="9" t="str">
        <f>IFERROR(__xludf.DUMMYFUNCTION("""COMPUTED_VALUE"""),"Completed")</f>
        <v>Completed</v>
      </c>
    </row>
    <row r="2778">
      <c r="A2778" s="9" t="str">
        <f>IFERROR(__xludf.DUMMYFUNCTION("""COMPUTED_VALUE"""),"G-REQ-02777")</f>
        <v>G-REQ-02777</v>
      </c>
      <c r="B2778" s="11">
        <f>IFERROR(__xludf.DUMMYFUNCTION("""COMPUTED_VALUE"""),45958.96678753891)</f>
        <v>45958.96679</v>
      </c>
      <c r="C2778" s="9">
        <f>IFERROR(__xludf.DUMMYFUNCTION("""COMPUTED_VALUE"""),10909.0)</f>
        <v>10909</v>
      </c>
      <c r="D2778" s="9" t="str">
        <f>IFERROR(__xludf.DUMMYFUNCTION("""COMPUTED_VALUE"""),"Completed")</f>
        <v>Completed</v>
      </c>
    </row>
    <row r="2779">
      <c r="A2779" s="9" t="str">
        <f>IFERROR(__xludf.DUMMYFUNCTION("""COMPUTED_VALUE"""),"G-REQ-02778")</f>
        <v>G-REQ-02778</v>
      </c>
      <c r="B2779" s="11">
        <f>IFERROR(__xludf.DUMMYFUNCTION("""COMPUTED_VALUE"""),45959.03796238433)</f>
        <v>45959.03796</v>
      </c>
      <c r="C2779" s="9">
        <f>IFERROR(__xludf.DUMMYFUNCTION("""COMPUTED_VALUE"""),10913.0)</f>
        <v>10913</v>
      </c>
      <c r="D2779" s="9" t="str">
        <f>IFERROR(__xludf.DUMMYFUNCTION("""COMPUTED_VALUE"""),"Completed")</f>
        <v>Completed</v>
      </c>
    </row>
    <row r="2780">
      <c r="A2780" s="9" t="str">
        <f>IFERROR(__xludf.DUMMYFUNCTION("""COMPUTED_VALUE"""),"G-REQ-02779")</f>
        <v>G-REQ-02779</v>
      </c>
      <c r="B2780" s="11">
        <f>IFERROR(__xludf.DUMMYFUNCTION("""COMPUTED_VALUE"""),45959.109137229745)</f>
        <v>45959.10914</v>
      </c>
      <c r="C2780" s="9">
        <f>IFERROR(__xludf.DUMMYFUNCTION("""COMPUTED_VALUE"""),10917.0)</f>
        <v>10917</v>
      </c>
      <c r="D2780" s="9" t="str">
        <f>IFERROR(__xludf.DUMMYFUNCTION("""COMPUTED_VALUE"""),"Completed")</f>
        <v>Completed</v>
      </c>
    </row>
    <row r="2781">
      <c r="A2781" s="9" t="str">
        <f>IFERROR(__xludf.DUMMYFUNCTION("""COMPUTED_VALUE"""),"G-REQ-02780")</f>
        <v>G-REQ-02780</v>
      </c>
      <c r="B2781" s="11">
        <f>IFERROR(__xludf.DUMMYFUNCTION("""COMPUTED_VALUE"""),45959.18031207516)</f>
        <v>45959.18031</v>
      </c>
      <c r="C2781" s="9">
        <f>IFERROR(__xludf.DUMMYFUNCTION("""COMPUTED_VALUE"""),10921.0)</f>
        <v>10921</v>
      </c>
      <c r="D2781" s="9" t="str">
        <f>IFERROR(__xludf.DUMMYFUNCTION("""COMPUTED_VALUE"""),"Completed")</f>
        <v>Completed</v>
      </c>
    </row>
    <row r="2782">
      <c r="A2782" s="9" t="str">
        <f>IFERROR(__xludf.DUMMYFUNCTION("""COMPUTED_VALUE"""),"G-REQ-02781")</f>
        <v>G-REQ-02781</v>
      </c>
      <c r="B2782" s="11">
        <f>IFERROR(__xludf.DUMMYFUNCTION("""COMPUTED_VALUE"""),45959.25148692058)</f>
        <v>45959.25149</v>
      </c>
      <c r="C2782" s="9">
        <f>IFERROR(__xludf.DUMMYFUNCTION("""COMPUTED_VALUE"""),10925.0)</f>
        <v>10925</v>
      </c>
      <c r="D2782" s="9" t="str">
        <f>IFERROR(__xludf.DUMMYFUNCTION("""COMPUTED_VALUE"""),"Completed")</f>
        <v>Completed</v>
      </c>
    </row>
    <row r="2783">
      <c r="A2783" s="9" t="str">
        <f>IFERROR(__xludf.DUMMYFUNCTION("""COMPUTED_VALUE"""),"G-REQ-02782")</f>
        <v>G-REQ-02782</v>
      </c>
      <c r="B2783" s="11">
        <f>IFERROR(__xludf.DUMMYFUNCTION("""COMPUTED_VALUE"""),45959.32266176599)</f>
        <v>45959.32266</v>
      </c>
      <c r="C2783" s="9">
        <f>IFERROR(__xludf.DUMMYFUNCTION("""COMPUTED_VALUE"""),10929.0)</f>
        <v>10929</v>
      </c>
      <c r="D2783" s="9" t="str">
        <f>IFERROR(__xludf.DUMMYFUNCTION("""COMPUTED_VALUE"""),"Completed")</f>
        <v>Completed</v>
      </c>
    </row>
    <row r="2784">
      <c r="A2784" s="9" t="str">
        <f>IFERROR(__xludf.DUMMYFUNCTION("""COMPUTED_VALUE"""),"G-REQ-02783")</f>
        <v>G-REQ-02783</v>
      </c>
      <c r="B2784" s="11">
        <f>IFERROR(__xludf.DUMMYFUNCTION("""COMPUTED_VALUE"""),45959.3938366114)</f>
        <v>45959.39384</v>
      </c>
      <c r="C2784" s="9">
        <f>IFERROR(__xludf.DUMMYFUNCTION("""COMPUTED_VALUE"""),10933.0)</f>
        <v>10933</v>
      </c>
      <c r="D2784" s="9" t="str">
        <f>IFERROR(__xludf.DUMMYFUNCTION("""COMPUTED_VALUE"""),"Completed")</f>
        <v>Completed</v>
      </c>
    </row>
    <row r="2785">
      <c r="A2785" s="9" t="str">
        <f>IFERROR(__xludf.DUMMYFUNCTION("""COMPUTED_VALUE"""),"G-REQ-02784")</f>
        <v>G-REQ-02784</v>
      </c>
      <c r="B2785" s="11">
        <f>IFERROR(__xludf.DUMMYFUNCTION("""COMPUTED_VALUE"""),45959.46501145682)</f>
        <v>45959.46501</v>
      </c>
      <c r="C2785" s="9">
        <f>IFERROR(__xludf.DUMMYFUNCTION("""COMPUTED_VALUE"""),10937.0)</f>
        <v>10937</v>
      </c>
      <c r="D2785" s="9" t="str">
        <f>IFERROR(__xludf.DUMMYFUNCTION("""COMPUTED_VALUE"""),"Completed")</f>
        <v>Completed</v>
      </c>
    </row>
    <row r="2786">
      <c r="A2786" s="9" t="str">
        <f>IFERROR(__xludf.DUMMYFUNCTION("""COMPUTED_VALUE"""),"G-REQ-02785")</f>
        <v>G-REQ-02785</v>
      </c>
      <c r="B2786" s="11">
        <f>IFERROR(__xludf.DUMMYFUNCTION("""COMPUTED_VALUE"""),45959.53618630224)</f>
        <v>45959.53619</v>
      </c>
      <c r="C2786" s="9">
        <f>IFERROR(__xludf.DUMMYFUNCTION("""COMPUTED_VALUE"""),10941.0)</f>
        <v>10941</v>
      </c>
      <c r="D2786" s="9" t="str">
        <f>IFERROR(__xludf.DUMMYFUNCTION("""COMPUTED_VALUE"""),"Completed")</f>
        <v>Completed</v>
      </c>
    </row>
    <row r="2787">
      <c r="A2787" s="9" t="str">
        <f>IFERROR(__xludf.DUMMYFUNCTION("""COMPUTED_VALUE"""),"G-REQ-02786")</f>
        <v>G-REQ-02786</v>
      </c>
      <c r="B2787" s="11">
        <f>IFERROR(__xludf.DUMMYFUNCTION("""COMPUTED_VALUE"""),45959.607361147646)</f>
        <v>45959.60736</v>
      </c>
      <c r="C2787" s="9">
        <f>IFERROR(__xludf.DUMMYFUNCTION("""COMPUTED_VALUE"""),10945.0)</f>
        <v>10945</v>
      </c>
      <c r="D2787" s="9" t="str">
        <f>IFERROR(__xludf.DUMMYFUNCTION("""COMPUTED_VALUE"""),"Completed")</f>
        <v>Completed</v>
      </c>
    </row>
    <row r="2788">
      <c r="A2788" s="9" t="str">
        <f>IFERROR(__xludf.DUMMYFUNCTION("""COMPUTED_VALUE"""),"G-REQ-02787")</f>
        <v>G-REQ-02787</v>
      </c>
      <c r="B2788" s="11">
        <f>IFERROR(__xludf.DUMMYFUNCTION("""COMPUTED_VALUE"""),45959.67159154862)</f>
        <v>45959.67159</v>
      </c>
      <c r="C2788" s="9">
        <f>IFERROR(__xludf.DUMMYFUNCTION("""COMPUTED_VALUE"""),10947.0)</f>
        <v>10947</v>
      </c>
      <c r="D2788" s="9" t="str">
        <f>IFERROR(__xludf.DUMMYFUNCTION("""COMPUTED_VALUE"""),"Rejected")</f>
        <v>Rejected</v>
      </c>
    </row>
    <row r="2789">
      <c r="A2789" s="9" t="str">
        <f>IFERROR(__xludf.DUMMYFUNCTION("""COMPUTED_VALUE"""),"G-REQ-02788")</f>
        <v>G-REQ-02788</v>
      </c>
      <c r="B2789" s="11">
        <f>IFERROR(__xludf.DUMMYFUNCTION("""COMPUTED_VALUE"""),45959.74276639404)</f>
        <v>45959.74277</v>
      </c>
      <c r="C2789" s="9">
        <f>IFERROR(__xludf.DUMMYFUNCTION("""COMPUTED_VALUE"""),10949.0)</f>
        <v>10949</v>
      </c>
      <c r="D2789" s="9" t="str">
        <f>IFERROR(__xludf.DUMMYFUNCTION("""COMPUTED_VALUE"""),"Rejected")</f>
        <v>Rejected</v>
      </c>
    </row>
    <row r="2790">
      <c r="A2790" s="9" t="str">
        <f>IFERROR(__xludf.DUMMYFUNCTION("""COMPUTED_VALUE"""),"G-REQ-02789")</f>
        <v>G-REQ-02789</v>
      </c>
      <c r="B2790" s="11">
        <f>IFERROR(__xludf.DUMMYFUNCTION("""COMPUTED_VALUE"""),45959.8208856839)</f>
        <v>45959.82089</v>
      </c>
      <c r="C2790" s="9">
        <f>IFERROR(__xludf.DUMMYFUNCTION("""COMPUTED_VALUE"""),10953.0)</f>
        <v>10953</v>
      </c>
      <c r="D2790" s="9" t="str">
        <f>IFERROR(__xludf.DUMMYFUNCTION("""COMPUTED_VALUE"""),"Completed")</f>
        <v>Completed</v>
      </c>
    </row>
    <row r="2791">
      <c r="A2791" s="9" t="str">
        <f>IFERROR(__xludf.DUMMYFUNCTION("""COMPUTED_VALUE"""),"G-REQ-02790")</f>
        <v>G-REQ-02790</v>
      </c>
      <c r="B2791" s="11">
        <f>IFERROR(__xludf.DUMMYFUNCTION("""COMPUTED_VALUE"""),45959.89206052931)</f>
        <v>45959.89206</v>
      </c>
      <c r="C2791" s="9">
        <f>IFERROR(__xludf.DUMMYFUNCTION("""COMPUTED_VALUE"""),10957.0)</f>
        <v>10957</v>
      </c>
      <c r="D2791" s="9" t="str">
        <f>IFERROR(__xludf.DUMMYFUNCTION("""COMPUTED_VALUE"""),"Completed")</f>
        <v>Completed</v>
      </c>
    </row>
    <row r="2792">
      <c r="A2792" s="9" t="str">
        <f>IFERROR(__xludf.DUMMYFUNCTION("""COMPUTED_VALUE"""),"G-REQ-02791")</f>
        <v>G-REQ-02791</v>
      </c>
      <c r="B2792" s="11">
        <f>IFERROR(__xludf.DUMMYFUNCTION("""COMPUTED_VALUE"""),45959.96323537473)</f>
        <v>45959.96324</v>
      </c>
      <c r="C2792" s="9">
        <f>IFERROR(__xludf.DUMMYFUNCTION("""COMPUTED_VALUE"""),10961.0)</f>
        <v>10961</v>
      </c>
      <c r="D2792" s="9" t="str">
        <f>IFERROR(__xludf.DUMMYFUNCTION("""COMPUTED_VALUE"""),"Completed")</f>
        <v>Completed</v>
      </c>
    </row>
    <row r="2793">
      <c r="A2793" s="9" t="str">
        <f>IFERROR(__xludf.DUMMYFUNCTION("""COMPUTED_VALUE"""),"G-REQ-02792")</f>
        <v>G-REQ-02792</v>
      </c>
      <c r="B2793" s="11">
        <f>IFERROR(__xludf.DUMMYFUNCTION("""COMPUTED_VALUE"""),45960.027465775696)</f>
        <v>45960.02747</v>
      </c>
      <c r="C2793" s="9">
        <f>IFERROR(__xludf.DUMMYFUNCTION("""COMPUTED_VALUE"""),10963.0)</f>
        <v>10963</v>
      </c>
      <c r="D2793" s="9" t="str">
        <f>IFERROR(__xludf.DUMMYFUNCTION("""COMPUTED_VALUE"""),"Rejected")</f>
        <v>Rejected</v>
      </c>
    </row>
    <row r="2794">
      <c r="A2794" s="9" t="str">
        <f>IFERROR(__xludf.DUMMYFUNCTION("""COMPUTED_VALUE"""),"G-REQ-02793")</f>
        <v>G-REQ-02793</v>
      </c>
      <c r="B2794" s="11">
        <f>IFERROR(__xludf.DUMMYFUNCTION("""COMPUTED_VALUE"""),45960.105585065554)</f>
        <v>45960.10559</v>
      </c>
      <c r="C2794" s="9">
        <f>IFERROR(__xludf.DUMMYFUNCTION("""COMPUTED_VALUE"""),10967.0)</f>
        <v>10967</v>
      </c>
      <c r="D2794" s="9" t="str">
        <f>IFERROR(__xludf.DUMMYFUNCTION("""COMPUTED_VALUE"""),"Completed")</f>
        <v>Completed</v>
      </c>
    </row>
    <row r="2795">
      <c r="A2795" s="9" t="str">
        <f>IFERROR(__xludf.DUMMYFUNCTION("""COMPUTED_VALUE"""),"G-REQ-02794")</f>
        <v>G-REQ-02794</v>
      </c>
      <c r="B2795" s="11">
        <f>IFERROR(__xludf.DUMMYFUNCTION("""COMPUTED_VALUE"""),45960.17675991097)</f>
        <v>45960.17676</v>
      </c>
      <c r="C2795" s="9">
        <f>IFERROR(__xludf.DUMMYFUNCTION("""COMPUTED_VALUE"""),10971.0)</f>
        <v>10971</v>
      </c>
      <c r="D2795" s="9" t="str">
        <f>IFERROR(__xludf.DUMMYFUNCTION("""COMPUTED_VALUE"""),"Completed")</f>
        <v>Completed</v>
      </c>
    </row>
    <row r="2796">
      <c r="A2796" s="9" t="str">
        <f>IFERROR(__xludf.DUMMYFUNCTION("""COMPUTED_VALUE"""),"G-REQ-02795")</f>
        <v>G-REQ-02795</v>
      </c>
      <c r="B2796" s="11">
        <f>IFERROR(__xludf.DUMMYFUNCTION("""COMPUTED_VALUE"""),45960.247934756386)</f>
        <v>45960.24793</v>
      </c>
      <c r="C2796" s="9">
        <f>IFERROR(__xludf.DUMMYFUNCTION("""COMPUTED_VALUE"""),10975.0)</f>
        <v>10975</v>
      </c>
      <c r="D2796" s="9" t="str">
        <f>IFERROR(__xludf.DUMMYFUNCTION("""COMPUTED_VALUE"""),"Completed")</f>
        <v>Completed</v>
      </c>
    </row>
    <row r="2797">
      <c r="A2797" s="9" t="str">
        <f>IFERROR(__xludf.DUMMYFUNCTION("""COMPUTED_VALUE"""),"G-REQ-02796")</f>
        <v>G-REQ-02796</v>
      </c>
      <c r="B2797" s="11">
        <f>IFERROR(__xludf.DUMMYFUNCTION("""COMPUTED_VALUE"""),45960.3191096018)</f>
        <v>45960.31911</v>
      </c>
      <c r="C2797" s="9">
        <f>IFERROR(__xludf.DUMMYFUNCTION("""COMPUTED_VALUE"""),10979.0)</f>
        <v>10979</v>
      </c>
      <c r="D2797" s="9" t="str">
        <f>IFERROR(__xludf.DUMMYFUNCTION("""COMPUTED_VALUE"""),"Completed")</f>
        <v>Completed</v>
      </c>
    </row>
    <row r="2798">
      <c r="A2798" s="9" t="str">
        <f>IFERROR(__xludf.DUMMYFUNCTION("""COMPUTED_VALUE"""),"G-REQ-02797")</f>
        <v>G-REQ-02797</v>
      </c>
      <c r="B2798" s="11">
        <f>IFERROR(__xludf.DUMMYFUNCTION("""COMPUTED_VALUE"""),45960.39028444722)</f>
        <v>45960.39028</v>
      </c>
      <c r="C2798" s="9">
        <f>IFERROR(__xludf.DUMMYFUNCTION("""COMPUTED_VALUE"""),10983.0)</f>
        <v>10983</v>
      </c>
      <c r="D2798" s="9" t="str">
        <f>IFERROR(__xludf.DUMMYFUNCTION("""COMPUTED_VALUE"""),"Completed")</f>
        <v>Completed</v>
      </c>
    </row>
    <row r="2799">
      <c r="A2799" s="9" t="str">
        <f>IFERROR(__xludf.DUMMYFUNCTION("""COMPUTED_VALUE"""),"G-REQ-02798")</f>
        <v>G-REQ-02798</v>
      </c>
      <c r="B2799" s="11">
        <f>IFERROR(__xludf.DUMMYFUNCTION("""COMPUTED_VALUE"""),45960.46145929263)</f>
        <v>45960.46146</v>
      </c>
      <c r="C2799" s="9">
        <f>IFERROR(__xludf.DUMMYFUNCTION("""COMPUTED_VALUE"""),10987.0)</f>
        <v>10987</v>
      </c>
      <c r="D2799" s="9" t="str">
        <f>IFERROR(__xludf.DUMMYFUNCTION("""COMPUTED_VALUE"""),"Completed")</f>
        <v>Completed</v>
      </c>
    </row>
    <row r="2800">
      <c r="A2800" s="9" t="str">
        <f>IFERROR(__xludf.DUMMYFUNCTION("""COMPUTED_VALUE"""),"G-REQ-02799")</f>
        <v>G-REQ-02799</v>
      </c>
      <c r="B2800" s="11">
        <f>IFERROR(__xludf.DUMMYFUNCTION("""COMPUTED_VALUE"""),45960.53263413804)</f>
        <v>45960.53263</v>
      </c>
      <c r="C2800" s="9">
        <f>IFERROR(__xludf.DUMMYFUNCTION("""COMPUTED_VALUE"""),10991.0)</f>
        <v>10991</v>
      </c>
      <c r="D2800" s="9" t="str">
        <f>IFERROR(__xludf.DUMMYFUNCTION("""COMPUTED_VALUE"""),"Completed")</f>
        <v>Completed</v>
      </c>
    </row>
    <row r="2801">
      <c r="A2801" s="9" t="str">
        <f>IFERROR(__xludf.DUMMYFUNCTION("""COMPUTED_VALUE"""),"G-REQ-02800")</f>
        <v>G-REQ-02800</v>
      </c>
      <c r="B2801" s="11">
        <f>IFERROR(__xludf.DUMMYFUNCTION("""COMPUTED_VALUE"""),45960.60380898346)</f>
        <v>45960.60381</v>
      </c>
      <c r="C2801" s="9">
        <f>IFERROR(__xludf.DUMMYFUNCTION("""COMPUTED_VALUE"""),10995.0)</f>
        <v>10995</v>
      </c>
      <c r="D2801" s="9" t="str">
        <f>IFERROR(__xludf.DUMMYFUNCTION("""COMPUTED_VALUE"""),"Completed")</f>
        <v>Completed</v>
      </c>
    </row>
    <row r="2802">
      <c r="A2802" s="9" t="str">
        <f>IFERROR(__xludf.DUMMYFUNCTION("""COMPUTED_VALUE"""),"G-REQ-02801")</f>
        <v>G-REQ-02801</v>
      </c>
      <c r="B2802" s="11">
        <f>IFERROR(__xludf.DUMMYFUNCTION("""COMPUTED_VALUE"""),45960.67498382888)</f>
        <v>45960.67498</v>
      </c>
      <c r="C2802" s="9">
        <f>IFERROR(__xludf.DUMMYFUNCTION("""COMPUTED_VALUE"""),10999.0)</f>
        <v>10999</v>
      </c>
      <c r="D2802" s="9" t="str">
        <f>IFERROR(__xludf.DUMMYFUNCTION("""COMPUTED_VALUE"""),"Completed")</f>
        <v>Completed</v>
      </c>
    </row>
    <row r="2803">
      <c r="A2803" s="9" t="str">
        <f>IFERROR(__xludf.DUMMYFUNCTION("""COMPUTED_VALUE"""),"G-REQ-02802")</f>
        <v>G-REQ-02802</v>
      </c>
      <c r="B2803" s="11">
        <f>IFERROR(__xludf.DUMMYFUNCTION("""COMPUTED_VALUE"""),45960.74615867429)</f>
        <v>45960.74616</v>
      </c>
      <c r="C2803" s="9">
        <f>IFERROR(__xludf.DUMMYFUNCTION("""COMPUTED_VALUE"""),11003.0)</f>
        <v>11003</v>
      </c>
      <c r="D2803" s="9" t="str">
        <f>IFERROR(__xludf.DUMMYFUNCTION("""COMPUTED_VALUE"""),"Completed")</f>
        <v>Completed</v>
      </c>
    </row>
    <row r="2804">
      <c r="A2804" s="9" t="str">
        <f>IFERROR(__xludf.DUMMYFUNCTION("""COMPUTED_VALUE"""),"G-REQ-02803")</f>
        <v>G-REQ-02803</v>
      </c>
      <c r="B2804" s="11">
        <f>IFERROR(__xludf.DUMMYFUNCTION("""COMPUTED_VALUE"""),45960.817333519706)</f>
        <v>45960.81733</v>
      </c>
      <c r="C2804" s="9">
        <f>IFERROR(__xludf.DUMMYFUNCTION("""COMPUTED_VALUE"""),11007.0)</f>
        <v>11007</v>
      </c>
      <c r="D2804" s="9" t="str">
        <f>IFERROR(__xludf.DUMMYFUNCTION("""COMPUTED_VALUE"""),"Completed")</f>
        <v>Completed</v>
      </c>
    </row>
    <row r="2805">
      <c r="A2805" s="9" t="str">
        <f>IFERROR(__xludf.DUMMYFUNCTION("""COMPUTED_VALUE"""),"G-REQ-02804")</f>
        <v>G-REQ-02804</v>
      </c>
      <c r="B2805" s="11">
        <f>IFERROR(__xludf.DUMMYFUNCTION("""COMPUTED_VALUE"""),45960.888508365126)</f>
        <v>45960.88851</v>
      </c>
      <c r="C2805" s="9">
        <f>IFERROR(__xludf.DUMMYFUNCTION("""COMPUTED_VALUE"""),11011.0)</f>
        <v>11011</v>
      </c>
      <c r="D2805" s="9" t="str">
        <f>IFERROR(__xludf.DUMMYFUNCTION("""COMPUTED_VALUE"""),"Completed")</f>
        <v>Completed</v>
      </c>
    </row>
    <row r="2806">
      <c r="A2806" s="9" t="str">
        <f>IFERROR(__xludf.DUMMYFUNCTION("""COMPUTED_VALUE"""),"G-REQ-02805")</f>
        <v>G-REQ-02805</v>
      </c>
      <c r="B2806" s="11">
        <f>IFERROR(__xludf.DUMMYFUNCTION("""COMPUTED_VALUE"""),45960.95968321054)</f>
        <v>45960.95968</v>
      </c>
      <c r="C2806" s="9">
        <f>IFERROR(__xludf.DUMMYFUNCTION("""COMPUTED_VALUE"""),11015.0)</f>
        <v>11015</v>
      </c>
      <c r="D2806" s="9" t="str">
        <f>IFERROR(__xludf.DUMMYFUNCTION("""COMPUTED_VALUE"""),"Completed")</f>
        <v>Completed</v>
      </c>
    </row>
    <row r="2807">
      <c r="A2807" s="9" t="str">
        <f>IFERROR(__xludf.DUMMYFUNCTION("""COMPUTED_VALUE"""),"G-REQ-02806")</f>
        <v>G-REQ-02806</v>
      </c>
      <c r="B2807" s="11">
        <f>IFERROR(__xludf.DUMMYFUNCTION("""COMPUTED_VALUE"""),45961.03085805595)</f>
        <v>45961.03086</v>
      </c>
      <c r="C2807" s="9">
        <f>IFERROR(__xludf.DUMMYFUNCTION("""COMPUTED_VALUE"""),11019.0)</f>
        <v>11019</v>
      </c>
      <c r="D2807" s="9" t="str">
        <f>IFERROR(__xludf.DUMMYFUNCTION("""COMPUTED_VALUE"""),"Completed")</f>
        <v>Completed</v>
      </c>
    </row>
    <row r="2808">
      <c r="A2808" s="9" t="str">
        <f>IFERROR(__xludf.DUMMYFUNCTION("""COMPUTED_VALUE"""),"G-REQ-02807")</f>
        <v>G-REQ-02807</v>
      </c>
      <c r="B2808" s="11">
        <f>IFERROR(__xludf.DUMMYFUNCTION("""COMPUTED_VALUE"""),45961.095088456925)</f>
        <v>45961.09509</v>
      </c>
      <c r="C2808" s="9">
        <f>IFERROR(__xludf.DUMMYFUNCTION("""COMPUTED_VALUE"""),11021.0)</f>
        <v>11021</v>
      </c>
      <c r="D2808" s="9" t="str">
        <f>IFERROR(__xludf.DUMMYFUNCTION("""COMPUTED_VALUE"""),"Cancelled")</f>
        <v>Cancelled</v>
      </c>
    </row>
    <row r="2809">
      <c r="A2809" s="9" t="str">
        <f>IFERROR(__xludf.DUMMYFUNCTION("""COMPUTED_VALUE"""),"G-REQ-02808")</f>
        <v>G-REQ-02808</v>
      </c>
      <c r="B2809" s="11">
        <f>IFERROR(__xludf.DUMMYFUNCTION("""COMPUTED_VALUE"""),45961.17320774678)</f>
        <v>45961.17321</v>
      </c>
      <c r="C2809" s="9">
        <f>IFERROR(__xludf.DUMMYFUNCTION("""COMPUTED_VALUE"""),11025.0)</f>
        <v>11025</v>
      </c>
      <c r="D2809" s="9" t="str">
        <f>IFERROR(__xludf.DUMMYFUNCTION("""COMPUTED_VALUE"""),"Completed")</f>
        <v>Completed</v>
      </c>
    </row>
    <row r="2810">
      <c r="A2810" s="9" t="str">
        <f>IFERROR(__xludf.DUMMYFUNCTION("""COMPUTED_VALUE"""),"G-REQ-02809")</f>
        <v>G-REQ-02809</v>
      </c>
      <c r="B2810" s="11">
        <f>IFERROR(__xludf.DUMMYFUNCTION("""COMPUTED_VALUE"""),45961.244382592195)</f>
        <v>45961.24438</v>
      </c>
      <c r="C2810" s="9">
        <f>IFERROR(__xludf.DUMMYFUNCTION("""COMPUTED_VALUE"""),11029.0)</f>
        <v>11029</v>
      </c>
      <c r="D2810" s="9" t="str">
        <f>IFERROR(__xludf.DUMMYFUNCTION("""COMPUTED_VALUE"""),"Completed")</f>
        <v>Completed</v>
      </c>
    </row>
    <row r="2811">
      <c r="A2811" s="9" t="str">
        <f>IFERROR(__xludf.DUMMYFUNCTION("""COMPUTED_VALUE"""),"G-REQ-02810")</f>
        <v>G-REQ-02810</v>
      </c>
      <c r="B2811" s="11">
        <f>IFERROR(__xludf.DUMMYFUNCTION("""COMPUTED_VALUE"""),45961.315557437614)</f>
        <v>45961.31556</v>
      </c>
      <c r="C2811" s="9">
        <f>IFERROR(__xludf.DUMMYFUNCTION("""COMPUTED_VALUE"""),11033.0)</f>
        <v>11033</v>
      </c>
      <c r="D2811" s="9" t="str">
        <f>IFERROR(__xludf.DUMMYFUNCTION("""COMPUTED_VALUE"""),"Completed")</f>
        <v>Completed</v>
      </c>
    </row>
    <row r="2812">
      <c r="A2812" s="9" t="str">
        <f>IFERROR(__xludf.DUMMYFUNCTION("""COMPUTED_VALUE"""),"G-REQ-02811")</f>
        <v>G-REQ-02811</v>
      </c>
      <c r="B2812" s="11">
        <f>IFERROR(__xludf.DUMMYFUNCTION("""COMPUTED_VALUE"""),45961.386732283034)</f>
        <v>45961.38673</v>
      </c>
      <c r="C2812" s="9">
        <f>IFERROR(__xludf.DUMMYFUNCTION("""COMPUTED_VALUE"""),11037.0)</f>
        <v>11037</v>
      </c>
      <c r="D2812" s="9" t="str">
        <f>IFERROR(__xludf.DUMMYFUNCTION("""COMPUTED_VALUE"""),"Completed")</f>
        <v>Completed</v>
      </c>
    </row>
    <row r="2813">
      <c r="A2813" s="9" t="str">
        <f>IFERROR(__xludf.DUMMYFUNCTION("""COMPUTED_VALUE"""),"G-REQ-02812")</f>
        <v>G-REQ-02812</v>
      </c>
      <c r="B2813" s="11">
        <f>IFERROR(__xludf.DUMMYFUNCTION("""COMPUTED_VALUE"""),45961.45790712844)</f>
        <v>45961.45791</v>
      </c>
      <c r="C2813" s="9">
        <f>IFERROR(__xludf.DUMMYFUNCTION("""COMPUTED_VALUE"""),11041.0)</f>
        <v>11041</v>
      </c>
      <c r="D2813" s="9" t="str">
        <f>IFERROR(__xludf.DUMMYFUNCTION("""COMPUTED_VALUE"""),"Completed")</f>
        <v>Completed</v>
      </c>
    </row>
    <row r="2814">
      <c r="A2814" s="9" t="str">
        <f>IFERROR(__xludf.DUMMYFUNCTION("""COMPUTED_VALUE"""),"G-REQ-02813")</f>
        <v>G-REQ-02813</v>
      </c>
      <c r="B2814" s="11">
        <f>IFERROR(__xludf.DUMMYFUNCTION("""COMPUTED_VALUE"""),45961.52908197386)</f>
        <v>45961.52908</v>
      </c>
      <c r="C2814" s="9">
        <f>IFERROR(__xludf.DUMMYFUNCTION("""COMPUTED_VALUE"""),11045.0)</f>
        <v>11045</v>
      </c>
      <c r="D2814" s="9" t="str">
        <f>IFERROR(__xludf.DUMMYFUNCTION("""COMPUTED_VALUE"""),"Completed")</f>
        <v>Completed</v>
      </c>
    </row>
    <row r="2815">
      <c r="A2815" s="9" t="str">
        <f>IFERROR(__xludf.DUMMYFUNCTION("""COMPUTED_VALUE"""),"G-REQ-02814")</f>
        <v>G-REQ-02814</v>
      </c>
      <c r="B2815" s="11">
        <f>IFERROR(__xludf.DUMMYFUNCTION("""COMPUTED_VALUE"""),45961.593312374825)</f>
        <v>45961.59331</v>
      </c>
      <c r="C2815" s="9">
        <f>IFERROR(__xludf.DUMMYFUNCTION("""COMPUTED_VALUE"""),11047.0)</f>
        <v>11047</v>
      </c>
      <c r="D2815" s="9" t="str">
        <f>IFERROR(__xludf.DUMMYFUNCTION("""COMPUTED_VALUE"""),"Rejected")</f>
        <v>Rejected</v>
      </c>
    </row>
    <row r="2816">
      <c r="A2816" s="9" t="str">
        <f>IFERROR(__xludf.DUMMYFUNCTION("""COMPUTED_VALUE"""),"G-REQ-02815")</f>
        <v>G-REQ-02815</v>
      </c>
      <c r="B2816" s="11">
        <f>IFERROR(__xludf.DUMMYFUNCTION("""COMPUTED_VALUE"""),45961.67143166469)</f>
        <v>45961.67143</v>
      </c>
      <c r="C2816" s="9">
        <f>IFERROR(__xludf.DUMMYFUNCTION("""COMPUTED_VALUE"""),11051.0)</f>
        <v>11051</v>
      </c>
      <c r="D2816" s="9" t="str">
        <f>IFERROR(__xludf.DUMMYFUNCTION("""COMPUTED_VALUE"""),"Completed")</f>
        <v>Completed</v>
      </c>
    </row>
    <row r="2817">
      <c r="A2817" s="9" t="str">
        <f>IFERROR(__xludf.DUMMYFUNCTION("""COMPUTED_VALUE"""),"G-REQ-02816")</f>
        <v>G-REQ-02816</v>
      </c>
      <c r="B2817" s="11">
        <f>IFERROR(__xludf.DUMMYFUNCTION("""COMPUTED_VALUE"""),45961.7426065101)</f>
        <v>45961.74261</v>
      </c>
      <c r="C2817" s="9">
        <f>IFERROR(__xludf.DUMMYFUNCTION("""COMPUTED_VALUE"""),11055.0)</f>
        <v>11055</v>
      </c>
      <c r="D2817" s="9" t="str">
        <f>IFERROR(__xludf.DUMMYFUNCTION("""COMPUTED_VALUE"""),"Completed")</f>
        <v>Completed</v>
      </c>
    </row>
    <row r="2818">
      <c r="A2818" s="9" t="str">
        <f>IFERROR(__xludf.DUMMYFUNCTION("""COMPUTED_VALUE"""),"G-REQ-02817")</f>
        <v>G-REQ-02817</v>
      </c>
      <c r="B2818" s="11">
        <f>IFERROR(__xludf.DUMMYFUNCTION("""COMPUTED_VALUE"""),45961.81378135552)</f>
        <v>45961.81378</v>
      </c>
      <c r="C2818" s="9">
        <f>IFERROR(__xludf.DUMMYFUNCTION("""COMPUTED_VALUE"""),11059.0)</f>
        <v>11059</v>
      </c>
      <c r="D2818" s="9" t="str">
        <f>IFERROR(__xludf.DUMMYFUNCTION("""COMPUTED_VALUE"""),"Completed")</f>
        <v>Completed</v>
      </c>
    </row>
    <row r="2819">
      <c r="A2819" s="9" t="str">
        <f>IFERROR(__xludf.DUMMYFUNCTION("""COMPUTED_VALUE"""),"G-REQ-02818")</f>
        <v>G-REQ-02818</v>
      </c>
      <c r="B2819" s="11">
        <f>IFERROR(__xludf.DUMMYFUNCTION("""COMPUTED_VALUE"""),45961.88495620093)</f>
        <v>45961.88496</v>
      </c>
      <c r="C2819" s="9">
        <f>IFERROR(__xludf.DUMMYFUNCTION("""COMPUTED_VALUE"""),11063.0)</f>
        <v>11063</v>
      </c>
      <c r="D2819" s="9" t="str">
        <f>IFERROR(__xludf.DUMMYFUNCTION("""COMPUTED_VALUE"""),"Completed")</f>
        <v>Completed</v>
      </c>
    </row>
    <row r="2820">
      <c r="A2820" s="9" t="str">
        <f>IFERROR(__xludf.DUMMYFUNCTION("""COMPUTED_VALUE"""),"G-REQ-02819")</f>
        <v>G-REQ-02819</v>
      </c>
      <c r="B2820" s="11">
        <f>IFERROR(__xludf.DUMMYFUNCTION("""COMPUTED_VALUE"""),45961.95613104635)</f>
        <v>45961.95613</v>
      </c>
      <c r="C2820" s="9">
        <f>IFERROR(__xludf.DUMMYFUNCTION("""COMPUTED_VALUE"""),11067.0)</f>
        <v>11067</v>
      </c>
      <c r="D2820" s="9" t="str">
        <f>IFERROR(__xludf.DUMMYFUNCTION("""COMPUTED_VALUE"""),"Completed")</f>
        <v>Completed</v>
      </c>
    </row>
    <row r="2821">
      <c r="A2821" s="9" t="str">
        <f>IFERROR(__xludf.DUMMYFUNCTION("""COMPUTED_VALUE"""),"G-REQ-02820")</f>
        <v>G-REQ-02820</v>
      </c>
      <c r="B2821" s="11">
        <f>IFERROR(__xludf.DUMMYFUNCTION("""COMPUTED_VALUE"""),45962.02036144732)</f>
        <v>45962.02036</v>
      </c>
      <c r="C2821" s="9">
        <f>IFERROR(__xludf.DUMMYFUNCTION("""COMPUTED_VALUE"""),11069.0)</f>
        <v>11069</v>
      </c>
      <c r="D2821" s="9" t="str">
        <f>IFERROR(__xludf.DUMMYFUNCTION("""COMPUTED_VALUE"""),"Cancelled")</f>
        <v>Cancelled</v>
      </c>
    </row>
    <row r="2822">
      <c r="A2822" s="9" t="str">
        <f>IFERROR(__xludf.DUMMYFUNCTION("""COMPUTED_VALUE"""),"G-REQ-02821")</f>
        <v>G-REQ-02821</v>
      </c>
      <c r="B2822" s="11">
        <f>IFERROR(__xludf.DUMMYFUNCTION("""COMPUTED_VALUE"""),45962.09848073718)</f>
        <v>45962.09848</v>
      </c>
      <c r="C2822" s="9">
        <f>IFERROR(__xludf.DUMMYFUNCTION("""COMPUTED_VALUE"""),11073.0)</f>
        <v>11073</v>
      </c>
      <c r="D2822" s="9" t="str">
        <f>IFERROR(__xludf.DUMMYFUNCTION("""COMPUTED_VALUE"""),"Completed")</f>
        <v>Completed</v>
      </c>
    </row>
    <row r="2823">
      <c r="A2823" s="9" t="str">
        <f>IFERROR(__xludf.DUMMYFUNCTION("""COMPUTED_VALUE"""),"G-REQ-02822")</f>
        <v>G-REQ-02822</v>
      </c>
      <c r="B2823" s="11">
        <f>IFERROR(__xludf.DUMMYFUNCTION("""COMPUTED_VALUE"""),45962.16965558259)</f>
        <v>45962.16966</v>
      </c>
      <c r="C2823" s="9">
        <f>IFERROR(__xludf.DUMMYFUNCTION("""COMPUTED_VALUE"""),11077.0)</f>
        <v>11077</v>
      </c>
      <c r="D2823" s="9" t="str">
        <f>IFERROR(__xludf.DUMMYFUNCTION("""COMPUTED_VALUE"""),"Completed")</f>
        <v>Completed</v>
      </c>
    </row>
    <row r="2824">
      <c r="A2824" s="9" t="str">
        <f>IFERROR(__xludf.DUMMYFUNCTION("""COMPUTED_VALUE"""),"G-REQ-02823")</f>
        <v>G-REQ-02823</v>
      </c>
      <c r="B2824" s="11">
        <f>IFERROR(__xludf.DUMMYFUNCTION("""COMPUTED_VALUE"""),45962.24083042801)</f>
        <v>45962.24083</v>
      </c>
      <c r="C2824" s="9">
        <f>IFERROR(__xludf.DUMMYFUNCTION("""COMPUTED_VALUE"""),11081.0)</f>
        <v>11081</v>
      </c>
      <c r="D2824" s="9" t="str">
        <f>IFERROR(__xludf.DUMMYFUNCTION("""COMPUTED_VALUE"""),"Completed")</f>
        <v>Completed</v>
      </c>
    </row>
    <row r="2825">
      <c r="A2825" s="9" t="str">
        <f>IFERROR(__xludf.DUMMYFUNCTION("""COMPUTED_VALUE"""),"G-REQ-02824")</f>
        <v>G-REQ-02824</v>
      </c>
      <c r="B2825" s="11">
        <f>IFERROR(__xludf.DUMMYFUNCTION("""COMPUTED_VALUE"""),45962.31200527342)</f>
        <v>45962.31201</v>
      </c>
      <c r="C2825" s="9">
        <f>IFERROR(__xludf.DUMMYFUNCTION("""COMPUTED_VALUE"""),11085.0)</f>
        <v>11085</v>
      </c>
      <c r="D2825" s="9" t="str">
        <f>IFERROR(__xludf.DUMMYFUNCTION("""COMPUTED_VALUE"""),"Completed")</f>
        <v>Completed</v>
      </c>
    </row>
    <row r="2826">
      <c r="A2826" s="9" t="str">
        <f>IFERROR(__xludf.DUMMYFUNCTION("""COMPUTED_VALUE"""),"G-REQ-02825")</f>
        <v>G-REQ-02825</v>
      </c>
      <c r="B2826" s="11">
        <f>IFERROR(__xludf.DUMMYFUNCTION("""COMPUTED_VALUE"""),45962.383180118835)</f>
        <v>45962.38318</v>
      </c>
      <c r="C2826" s="9">
        <f>IFERROR(__xludf.DUMMYFUNCTION("""COMPUTED_VALUE"""),11089.0)</f>
        <v>11089</v>
      </c>
      <c r="D2826" s="9" t="str">
        <f>IFERROR(__xludf.DUMMYFUNCTION("""COMPUTED_VALUE"""),"Completed")</f>
        <v>Completed</v>
      </c>
    </row>
    <row r="2827">
      <c r="A2827" s="9" t="str">
        <f>IFERROR(__xludf.DUMMYFUNCTION("""COMPUTED_VALUE"""),"G-REQ-02826")</f>
        <v>G-REQ-02826</v>
      </c>
      <c r="B2827" s="11">
        <f>IFERROR(__xludf.DUMMYFUNCTION("""COMPUTED_VALUE"""),45962.454354964255)</f>
        <v>45962.45435</v>
      </c>
      <c r="C2827" s="9">
        <f>IFERROR(__xludf.DUMMYFUNCTION("""COMPUTED_VALUE"""),11093.0)</f>
        <v>11093</v>
      </c>
      <c r="D2827" s="9" t="str">
        <f>IFERROR(__xludf.DUMMYFUNCTION("""COMPUTED_VALUE"""),"Completed")</f>
        <v>Completed</v>
      </c>
    </row>
    <row r="2828">
      <c r="A2828" s="9" t="str">
        <f>IFERROR(__xludf.DUMMYFUNCTION("""COMPUTED_VALUE"""),"G-REQ-02827")</f>
        <v>G-REQ-02827</v>
      </c>
      <c r="B2828" s="11">
        <f>IFERROR(__xludf.DUMMYFUNCTION("""COMPUTED_VALUE"""),45962.525529809674)</f>
        <v>45962.52553</v>
      </c>
      <c r="C2828" s="9">
        <f>IFERROR(__xludf.DUMMYFUNCTION("""COMPUTED_VALUE"""),11097.0)</f>
        <v>11097</v>
      </c>
      <c r="D2828" s="9" t="str">
        <f>IFERROR(__xludf.DUMMYFUNCTION("""COMPUTED_VALUE"""),"Completed")</f>
        <v>Completed</v>
      </c>
    </row>
    <row r="2829">
      <c r="A2829" s="9" t="str">
        <f>IFERROR(__xludf.DUMMYFUNCTION("""COMPUTED_VALUE"""),"G-REQ-02828")</f>
        <v>G-REQ-02828</v>
      </c>
      <c r="B2829" s="11">
        <f>IFERROR(__xludf.DUMMYFUNCTION("""COMPUTED_VALUE"""),45962.59670465508)</f>
        <v>45962.5967</v>
      </c>
      <c r="C2829" s="9">
        <f>IFERROR(__xludf.DUMMYFUNCTION("""COMPUTED_VALUE"""),11101.0)</f>
        <v>11101</v>
      </c>
      <c r="D2829" s="9" t="str">
        <f>IFERROR(__xludf.DUMMYFUNCTION("""COMPUTED_VALUE"""),"Completed")</f>
        <v>Completed</v>
      </c>
    </row>
    <row r="2830">
      <c r="A2830" s="9" t="str">
        <f>IFERROR(__xludf.DUMMYFUNCTION("""COMPUTED_VALUE"""),"G-REQ-02829")</f>
        <v>G-REQ-02829</v>
      </c>
      <c r="B2830" s="11">
        <f>IFERROR(__xludf.DUMMYFUNCTION("""COMPUTED_VALUE"""),45962.6678795005)</f>
        <v>45962.66788</v>
      </c>
      <c r="C2830" s="9">
        <f>IFERROR(__xludf.DUMMYFUNCTION("""COMPUTED_VALUE"""),11105.0)</f>
        <v>11105</v>
      </c>
      <c r="D2830" s="9" t="str">
        <f>IFERROR(__xludf.DUMMYFUNCTION("""COMPUTED_VALUE"""),"Completed")</f>
        <v>Completed</v>
      </c>
    </row>
    <row r="2831">
      <c r="A2831" s="9" t="str">
        <f>IFERROR(__xludf.DUMMYFUNCTION("""COMPUTED_VALUE"""),"G-REQ-02830")</f>
        <v>G-REQ-02830</v>
      </c>
      <c r="B2831" s="11">
        <f>IFERROR(__xludf.DUMMYFUNCTION("""COMPUTED_VALUE"""),45962.73905434592)</f>
        <v>45962.73905</v>
      </c>
      <c r="C2831" s="9">
        <f>IFERROR(__xludf.DUMMYFUNCTION("""COMPUTED_VALUE"""),11109.0)</f>
        <v>11109</v>
      </c>
      <c r="D2831" s="9" t="str">
        <f>IFERROR(__xludf.DUMMYFUNCTION("""COMPUTED_VALUE"""),"Completed")</f>
        <v>Completed</v>
      </c>
    </row>
    <row r="2832">
      <c r="A2832" s="9" t="str">
        <f>IFERROR(__xludf.DUMMYFUNCTION("""COMPUTED_VALUE"""),"G-REQ-02831")</f>
        <v>G-REQ-02831</v>
      </c>
      <c r="B2832" s="11">
        <f>IFERROR(__xludf.DUMMYFUNCTION("""COMPUTED_VALUE"""),45962.81022919133)</f>
        <v>45962.81023</v>
      </c>
      <c r="C2832" s="9">
        <f>IFERROR(__xludf.DUMMYFUNCTION("""COMPUTED_VALUE"""),11113.0)</f>
        <v>11113</v>
      </c>
      <c r="D2832" s="9" t="str">
        <f>IFERROR(__xludf.DUMMYFUNCTION("""COMPUTED_VALUE"""),"Completed")</f>
        <v>Completed</v>
      </c>
    </row>
    <row r="2833">
      <c r="A2833" s="9" t="str">
        <f>IFERROR(__xludf.DUMMYFUNCTION("""COMPUTED_VALUE"""),"G-REQ-02832")</f>
        <v>G-REQ-02832</v>
      </c>
      <c r="B2833" s="11">
        <f>IFERROR(__xludf.DUMMYFUNCTION("""COMPUTED_VALUE"""),45962.8744595923)</f>
        <v>45962.87446</v>
      </c>
      <c r="C2833" s="9">
        <f>IFERROR(__xludf.DUMMYFUNCTION("""COMPUTED_VALUE"""),11115.0)</f>
        <v>11115</v>
      </c>
      <c r="D2833" s="9" t="str">
        <f>IFERROR(__xludf.DUMMYFUNCTION("""COMPUTED_VALUE"""),"Rejected")</f>
        <v>Rejected</v>
      </c>
    </row>
    <row r="2834">
      <c r="A2834" s="9" t="str">
        <f>IFERROR(__xludf.DUMMYFUNCTION("""COMPUTED_VALUE"""),"G-REQ-02833")</f>
        <v>G-REQ-02833</v>
      </c>
      <c r="B2834" s="11">
        <f>IFERROR(__xludf.DUMMYFUNCTION("""COMPUTED_VALUE"""),45962.95257888216)</f>
        <v>45962.95258</v>
      </c>
      <c r="C2834" s="9">
        <f>IFERROR(__xludf.DUMMYFUNCTION("""COMPUTED_VALUE"""),11119.0)</f>
        <v>11119</v>
      </c>
      <c r="D2834" s="9" t="str">
        <f>IFERROR(__xludf.DUMMYFUNCTION("""COMPUTED_VALUE"""),"Completed")</f>
        <v>Completed</v>
      </c>
    </row>
    <row r="2835">
      <c r="A2835" s="9" t="str">
        <f>IFERROR(__xludf.DUMMYFUNCTION("""COMPUTED_VALUE"""),"G-REQ-02834")</f>
        <v>G-REQ-02834</v>
      </c>
      <c r="B2835" s="11">
        <f>IFERROR(__xludf.DUMMYFUNCTION("""COMPUTED_VALUE"""),45963.023753727575)</f>
        <v>45963.02375</v>
      </c>
      <c r="C2835" s="9">
        <f>IFERROR(__xludf.DUMMYFUNCTION("""COMPUTED_VALUE"""),11123.0)</f>
        <v>11123</v>
      </c>
      <c r="D2835" s="9" t="str">
        <f>IFERROR(__xludf.DUMMYFUNCTION("""COMPUTED_VALUE"""),"Completed")</f>
        <v>Completed</v>
      </c>
    </row>
    <row r="2836">
      <c r="A2836" s="9" t="str">
        <f>IFERROR(__xludf.DUMMYFUNCTION("""COMPUTED_VALUE"""),"G-REQ-02835")</f>
        <v>G-REQ-02835</v>
      </c>
      <c r="B2836" s="11">
        <f>IFERROR(__xludf.DUMMYFUNCTION("""COMPUTED_VALUE"""),45963.09492857299)</f>
        <v>45963.09493</v>
      </c>
      <c r="C2836" s="9">
        <f>IFERROR(__xludf.DUMMYFUNCTION("""COMPUTED_VALUE"""),11127.0)</f>
        <v>11127</v>
      </c>
      <c r="D2836" s="9" t="str">
        <f>IFERROR(__xludf.DUMMYFUNCTION("""COMPUTED_VALUE"""),"Completed")</f>
        <v>Completed</v>
      </c>
    </row>
    <row r="2837">
      <c r="A2837" s="9" t="str">
        <f>IFERROR(__xludf.DUMMYFUNCTION("""COMPUTED_VALUE"""),"G-REQ-02836")</f>
        <v>G-REQ-02836</v>
      </c>
      <c r="B2837" s="11">
        <f>IFERROR(__xludf.DUMMYFUNCTION("""COMPUTED_VALUE"""),45963.16610341841)</f>
        <v>45963.1661</v>
      </c>
      <c r="C2837" s="9">
        <f>IFERROR(__xludf.DUMMYFUNCTION("""COMPUTED_VALUE"""),11131.0)</f>
        <v>11131</v>
      </c>
      <c r="D2837" s="9" t="str">
        <f>IFERROR(__xludf.DUMMYFUNCTION("""COMPUTED_VALUE"""),"Completed")</f>
        <v>Completed</v>
      </c>
    </row>
    <row r="2838">
      <c r="A2838" s="9" t="str">
        <f>IFERROR(__xludf.DUMMYFUNCTION("""COMPUTED_VALUE"""),"G-REQ-02837")</f>
        <v>G-REQ-02837</v>
      </c>
      <c r="B2838" s="11">
        <f>IFERROR(__xludf.DUMMYFUNCTION("""COMPUTED_VALUE"""),45963.23727826382)</f>
        <v>45963.23728</v>
      </c>
      <c r="C2838" s="9">
        <f>IFERROR(__xludf.DUMMYFUNCTION("""COMPUTED_VALUE"""),11135.0)</f>
        <v>11135</v>
      </c>
      <c r="D2838" s="9" t="str">
        <f>IFERROR(__xludf.DUMMYFUNCTION("""COMPUTED_VALUE"""),"Completed")</f>
        <v>Completed</v>
      </c>
    </row>
    <row r="2839">
      <c r="A2839" s="9" t="str">
        <f>IFERROR(__xludf.DUMMYFUNCTION("""COMPUTED_VALUE"""),"G-REQ-02838")</f>
        <v>G-REQ-02838</v>
      </c>
      <c r="B2839" s="11">
        <f>IFERROR(__xludf.DUMMYFUNCTION("""COMPUTED_VALUE"""),45963.30845310923)</f>
        <v>45963.30845</v>
      </c>
      <c r="C2839" s="9">
        <f>IFERROR(__xludf.DUMMYFUNCTION("""COMPUTED_VALUE"""),11139.0)</f>
        <v>11139</v>
      </c>
      <c r="D2839" s="9" t="str">
        <f>IFERROR(__xludf.DUMMYFUNCTION("""COMPUTED_VALUE"""),"Completed")</f>
        <v>Completed</v>
      </c>
    </row>
    <row r="2840">
      <c r="A2840" s="9" t="str">
        <f>IFERROR(__xludf.DUMMYFUNCTION("""COMPUTED_VALUE"""),"G-REQ-02839")</f>
        <v>G-REQ-02839</v>
      </c>
      <c r="B2840" s="11">
        <f>IFERROR(__xludf.DUMMYFUNCTION("""COMPUTED_VALUE"""),45963.37962795465)</f>
        <v>45963.37963</v>
      </c>
      <c r="C2840" s="9">
        <f>IFERROR(__xludf.DUMMYFUNCTION("""COMPUTED_VALUE"""),11143.0)</f>
        <v>11143</v>
      </c>
      <c r="D2840" s="9" t="str">
        <f>IFERROR(__xludf.DUMMYFUNCTION("""COMPUTED_VALUE"""),"Completed")</f>
        <v>Completed</v>
      </c>
    </row>
    <row r="2841">
      <c r="A2841" s="9" t="str">
        <f>IFERROR(__xludf.DUMMYFUNCTION("""COMPUTED_VALUE"""),"G-REQ-02840")</f>
        <v>G-REQ-02840</v>
      </c>
      <c r="B2841" s="11">
        <f>IFERROR(__xludf.DUMMYFUNCTION("""COMPUTED_VALUE"""),45963.44385835562)</f>
        <v>45963.44386</v>
      </c>
      <c r="C2841" s="9">
        <f>IFERROR(__xludf.DUMMYFUNCTION("""COMPUTED_VALUE"""),11145.0)</f>
        <v>11145</v>
      </c>
      <c r="D2841" s="9" t="str">
        <f>IFERROR(__xludf.DUMMYFUNCTION("""COMPUTED_VALUE"""),"Rejected")</f>
        <v>Rejected</v>
      </c>
    </row>
    <row r="2842">
      <c r="A2842" s="9" t="str">
        <f>IFERROR(__xludf.DUMMYFUNCTION("""COMPUTED_VALUE"""),"G-REQ-02841")</f>
        <v>G-REQ-02841</v>
      </c>
      <c r="B2842" s="11">
        <f>IFERROR(__xludf.DUMMYFUNCTION("""COMPUTED_VALUE"""),45963.521977645476)</f>
        <v>45963.52198</v>
      </c>
      <c r="C2842" s="9">
        <f>IFERROR(__xludf.DUMMYFUNCTION("""COMPUTED_VALUE"""),11149.0)</f>
        <v>11149</v>
      </c>
      <c r="D2842" s="9" t="str">
        <f>IFERROR(__xludf.DUMMYFUNCTION("""COMPUTED_VALUE"""),"Completed")</f>
        <v>Completed</v>
      </c>
    </row>
    <row r="2843">
      <c r="A2843" s="9" t="str">
        <f>IFERROR(__xludf.DUMMYFUNCTION("""COMPUTED_VALUE"""),"G-REQ-02842")</f>
        <v>G-REQ-02842</v>
      </c>
      <c r="B2843" s="11">
        <f>IFERROR(__xludf.DUMMYFUNCTION("""COMPUTED_VALUE"""),45963.593152490896)</f>
        <v>45963.59315</v>
      </c>
      <c r="C2843" s="9">
        <f>IFERROR(__xludf.DUMMYFUNCTION("""COMPUTED_VALUE"""),11153.0)</f>
        <v>11153</v>
      </c>
      <c r="D2843" s="9" t="str">
        <f>IFERROR(__xludf.DUMMYFUNCTION("""COMPUTED_VALUE"""),"Completed")</f>
        <v>Completed</v>
      </c>
    </row>
    <row r="2844">
      <c r="A2844" s="9" t="str">
        <f>IFERROR(__xludf.DUMMYFUNCTION("""COMPUTED_VALUE"""),"G-REQ-02843")</f>
        <v>G-REQ-02843</v>
      </c>
      <c r="B2844" s="11">
        <f>IFERROR(__xludf.DUMMYFUNCTION("""COMPUTED_VALUE"""),45963.664327336315)</f>
        <v>45963.66433</v>
      </c>
      <c r="C2844" s="9">
        <f>IFERROR(__xludf.DUMMYFUNCTION("""COMPUTED_VALUE"""),11157.0)</f>
        <v>11157</v>
      </c>
      <c r="D2844" s="9" t="str">
        <f>IFERROR(__xludf.DUMMYFUNCTION("""COMPUTED_VALUE"""),"Completed")</f>
        <v>Completed</v>
      </c>
    </row>
    <row r="2845">
      <c r="A2845" s="9" t="str">
        <f>IFERROR(__xludf.DUMMYFUNCTION("""COMPUTED_VALUE"""),"G-REQ-02844")</f>
        <v>G-REQ-02844</v>
      </c>
      <c r="B2845" s="11">
        <f>IFERROR(__xludf.DUMMYFUNCTION("""COMPUTED_VALUE"""),45963.73550218172)</f>
        <v>45963.7355</v>
      </c>
      <c r="C2845" s="9">
        <f>IFERROR(__xludf.DUMMYFUNCTION("""COMPUTED_VALUE"""),11161.0)</f>
        <v>11161</v>
      </c>
      <c r="D2845" s="9" t="str">
        <f>IFERROR(__xludf.DUMMYFUNCTION("""COMPUTED_VALUE"""),"Completed")</f>
        <v>Completed</v>
      </c>
    </row>
    <row r="2846">
      <c r="A2846" s="9" t="str">
        <f>IFERROR(__xludf.DUMMYFUNCTION("""COMPUTED_VALUE"""),"G-REQ-02845")</f>
        <v>G-REQ-02845</v>
      </c>
      <c r="B2846" s="11">
        <f>IFERROR(__xludf.DUMMYFUNCTION("""COMPUTED_VALUE"""),45963.80667702714)</f>
        <v>45963.80668</v>
      </c>
      <c r="C2846" s="9">
        <f>IFERROR(__xludf.DUMMYFUNCTION("""COMPUTED_VALUE"""),11165.0)</f>
        <v>11165</v>
      </c>
      <c r="D2846" s="9" t="str">
        <f>IFERROR(__xludf.DUMMYFUNCTION("""COMPUTED_VALUE"""),"Completed")</f>
        <v>Completed</v>
      </c>
    </row>
    <row r="2847">
      <c r="A2847" s="9" t="str">
        <f>IFERROR(__xludf.DUMMYFUNCTION("""COMPUTED_VALUE"""),"G-REQ-02846")</f>
        <v>G-REQ-02846</v>
      </c>
      <c r="B2847" s="11">
        <f>IFERROR(__xludf.DUMMYFUNCTION("""COMPUTED_VALUE"""),45963.87785187256)</f>
        <v>45963.87785</v>
      </c>
      <c r="C2847" s="9">
        <f>IFERROR(__xludf.DUMMYFUNCTION("""COMPUTED_VALUE"""),11169.0)</f>
        <v>11169</v>
      </c>
      <c r="D2847" s="9" t="str">
        <f>IFERROR(__xludf.DUMMYFUNCTION("""COMPUTED_VALUE"""),"Completed")</f>
        <v>Completed</v>
      </c>
    </row>
    <row r="2848">
      <c r="A2848" s="9" t="str">
        <f>IFERROR(__xludf.DUMMYFUNCTION("""COMPUTED_VALUE"""),"G-REQ-02847")</f>
        <v>G-REQ-02847</v>
      </c>
      <c r="B2848" s="11">
        <f>IFERROR(__xludf.DUMMYFUNCTION("""COMPUTED_VALUE"""),45963.94902671797)</f>
        <v>45963.94903</v>
      </c>
      <c r="C2848" s="9">
        <f>IFERROR(__xludf.DUMMYFUNCTION("""COMPUTED_VALUE"""),11173.0)</f>
        <v>11173</v>
      </c>
      <c r="D2848" s="9" t="str">
        <f>IFERROR(__xludf.DUMMYFUNCTION("""COMPUTED_VALUE"""),"Completed")</f>
        <v>Completed</v>
      </c>
    </row>
    <row r="2849">
      <c r="A2849" s="9" t="str">
        <f>IFERROR(__xludf.DUMMYFUNCTION("""COMPUTED_VALUE"""),"G-REQ-02848")</f>
        <v>G-REQ-02848</v>
      </c>
      <c r="B2849" s="11">
        <f>IFERROR(__xludf.DUMMYFUNCTION("""COMPUTED_VALUE"""),45964.020201563384)</f>
        <v>45964.0202</v>
      </c>
      <c r="C2849" s="9">
        <f>IFERROR(__xludf.DUMMYFUNCTION("""COMPUTED_VALUE"""),11177.0)</f>
        <v>11177</v>
      </c>
      <c r="D2849" s="9" t="str">
        <f>IFERROR(__xludf.DUMMYFUNCTION("""COMPUTED_VALUE"""),"Completed")</f>
        <v>Completed</v>
      </c>
    </row>
    <row r="2850">
      <c r="A2850" s="9" t="str">
        <f>IFERROR(__xludf.DUMMYFUNCTION("""COMPUTED_VALUE"""),"G-REQ-02849")</f>
        <v>G-REQ-02849</v>
      </c>
      <c r="B2850" s="11">
        <f>IFERROR(__xludf.DUMMYFUNCTION("""COMPUTED_VALUE"""),45964.0913764088)</f>
        <v>45964.09138</v>
      </c>
      <c r="C2850" s="9">
        <f>IFERROR(__xludf.DUMMYFUNCTION("""COMPUTED_VALUE"""),11181.0)</f>
        <v>11181</v>
      </c>
      <c r="D2850" s="9" t="str">
        <f>IFERROR(__xludf.DUMMYFUNCTION("""COMPUTED_VALUE"""),"Completed")</f>
        <v>Completed</v>
      </c>
    </row>
    <row r="2851">
      <c r="A2851" s="9" t="str">
        <f>IFERROR(__xludf.DUMMYFUNCTION("""COMPUTED_VALUE"""),"G-REQ-02850")</f>
        <v>G-REQ-02850</v>
      </c>
      <c r="B2851" s="11">
        <f>IFERROR(__xludf.DUMMYFUNCTION("""COMPUTED_VALUE"""),45964.15560680977)</f>
        <v>45964.15561</v>
      </c>
      <c r="C2851" s="9">
        <f>IFERROR(__xludf.DUMMYFUNCTION("""COMPUTED_VALUE"""),11183.0)</f>
        <v>11183</v>
      </c>
      <c r="D2851" s="9" t="str">
        <f>IFERROR(__xludf.DUMMYFUNCTION("""COMPUTED_VALUE"""),"Rejected")</f>
        <v>Rejected</v>
      </c>
    </row>
    <row r="2852">
      <c r="A2852" s="9" t="str">
        <f>IFERROR(__xludf.DUMMYFUNCTION("""COMPUTED_VALUE"""),"G-REQ-02851")</f>
        <v>G-REQ-02851</v>
      </c>
      <c r="B2852" s="11">
        <f>IFERROR(__xludf.DUMMYFUNCTION("""COMPUTED_VALUE"""),45964.23372609963)</f>
        <v>45964.23373</v>
      </c>
      <c r="C2852" s="9">
        <f>IFERROR(__xludf.DUMMYFUNCTION("""COMPUTED_VALUE"""),11187.0)</f>
        <v>11187</v>
      </c>
      <c r="D2852" s="9" t="str">
        <f>IFERROR(__xludf.DUMMYFUNCTION("""COMPUTED_VALUE"""),"Completed")</f>
        <v>Completed</v>
      </c>
    </row>
    <row r="2853">
      <c r="A2853" s="9" t="str">
        <f>IFERROR(__xludf.DUMMYFUNCTION("""COMPUTED_VALUE"""),"G-REQ-02852")</f>
        <v>G-REQ-02852</v>
      </c>
      <c r="B2853" s="11">
        <f>IFERROR(__xludf.DUMMYFUNCTION("""COMPUTED_VALUE"""),45964.30490094505)</f>
        <v>45964.3049</v>
      </c>
      <c r="C2853" s="9">
        <f>IFERROR(__xludf.DUMMYFUNCTION("""COMPUTED_VALUE"""),11191.0)</f>
        <v>11191</v>
      </c>
      <c r="D2853" s="9" t="str">
        <f>IFERROR(__xludf.DUMMYFUNCTION("""COMPUTED_VALUE"""),"Completed")</f>
        <v>Completed</v>
      </c>
    </row>
    <row r="2854">
      <c r="A2854" s="9" t="str">
        <f>IFERROR(__xludf.DUMMYFUNCTION("""COMPUTED_VALUE"""),"G-REQ-02853")</f>
        <v>G-REQ-02853</v>
      </c>
      <c r="B2854" s="11">
        <f>IFERROR(__xludf.DUMMYFUNCTION("""COMPUTED_VALUE"""),45964.37607579047)</f>
        <v>45964.37608</v>
      </c>
      <c r="C2854" s="9">
        <f>IFERROR(__xludf.DUMMYFUNCTION("""COMPUTED_VALUE"""),11195.0)</f>
        <v>11195</v>
      </c>
      <c r="D2854" s="9" t="str">
        <f>IFERROR(__xludf.DUMMYFUNCTION("""COMPUTED_VALUE"""),"Completed")</f>
        <v>Completed</v>
      </c>
    </row>
    <row r="2855">
      <c r="A2855" s="9" t="str">
        <f>IFERROR(__xludf.DUMMYFUNCTION("""COMPUTED_VALUE"""),"G-REQ-02854")</f>
        <v>G-REQ-02854</v>
      </c>
      <c r="B2855" s="11">
        <f>IFERROR(__xludf.DUMMYFUNCTION("""COMPUTED_VALUE"""),45964.44725063587)</f>
        <v>45964.44725</v>
      </c>
      <c r="C2855" s="9">
        <f>IFERROR(__xludf.DUMMYFUNCTION("""COMPUTED_VALUE"""),11199.0)</f>
        <v>11199</v>
      </c>
      <c r="D2855" s="9" t="str">
        <f>IFERROR(__xludf.DUMMYFUNCTION("""COMPUTED_VALUE"""),"Completed")</f>
        <v>Completed</v>
      </c>
    </row>
    <row r="2856">
      <c r="A2856" s="9" t="str">
        <f>IFERROR(__xludf.DUMMYFUNCTION("""COMPUTED_VALUE"""),"G-REQ-02855")</f>
        <v>G-REQ-02855</v>
      </c>
      <c r="B2856" s="11">
        <f>IFERROR(__xludf.DUMMYFUNCTION("""COMPUTED_VALUE"""),45964.51842548129)</f>
        <v>45964.51843</v>
      </c>
      <c r="C2856" s="9">
        <f>IFERROR(__xludf.DUMMYFUNCTION("""COMPUTED_VALUE"""),11203.0)</f>
        <v>11203</v>
      </c>
      <c r="D2856" s="9" t="str">
        <f>IFERROR(__xludf.DUMMYFUNCTION("""COMPUTED_VALUE"""),"Completed")</f>
        <v>Completed</v>
      </c>
    </row>
    <row r="2857">
      <c r="A2857" s="9" t="str">
        <f>IFERROR(__xludf.DUMMYFUNCTION("""COMPUTED_VALUE"""),"G-REQ-02856")</f>
        <v>G-REQ-02856</v>
      </c>
      <c r="B2857" s="11">
        <f>IFERROR(__xludf.DUMMYFUNCTION("""COMPUTED_VALUE"""),45964.589600326704)</f>
        <v>45964.5896</v>
      </c>
      <c r="C2857" s="9">
        <f>IFERROR(__xludf.DUMMYFUNCTION("""COMPUTED_VALUE"""),11207.0)</f>
        <v>11207</v>
      </c>
      <c r="D2857" s="9" t="str">
        <f>IFERROR(__xludf.DUMMYFUNCTION("""COMPUTED_VALUE"""),"Completed")</f>
        <v>Completed</v>
      </c>
    </row>
    <row r="2858">
      <c r="A2858" s="9" t="str">
        <f>IFERROR(__xludf.DUMMYFUNCTION("""COMPUTED_VALUE"""),"G-REQ-02857")</f>
        <v>G-REQ-02857</v>
      </c>
      <c r="B2858" s="11">
        <f>IFERROR(__xludf.DUMMYFUNCTION("""COMPUTED_VALUE"""),45964.65383072768)</f>
        <v>45964.65383</v>
      </c>
      <c r="C2858" s="9">
        <f>IFERROR(__xludf.DUMMYFUNCTION("""COMPUTED_VALUE"""),11209.0)</f>
        <v>11209</v>
      </c>
      <c r="D2858" s="9" t="str">
        <f>IFERROR(__xludf.DUMMYFUNCTION("""COMPUTED_VALUE"""),"Rejected")</f>
        <v>Rejected</v>
      </c>
    </row>
    <row r="2859">
      <c r="A2859" s="9" t="str">
        <f>IFERROR(__xludf.DUMMYFUNCTION("""COMPUTED_VALUE"""),"G-REQ-02858")</f>
        <v>G-REQ-02858</v>
      </c>
      <c r="B2859" s="11">
        <f>IFERROR(__xludf.DUMMYFUNCTION("""COMPUTED_VALUE"""),45964.731950017536)</f>
        <v>45964.73195</v>
      </c>
      <c r="C2859" s="9">
        <f>IFERROR(__xludf.DUMMYFUNCTION("""COMPUTED_VALUE"""),11213.0)</f>
        <v>11213</v>
      </c>
      <c r="D2859" s="9" t="str">
        <f>IFERROR(__xludf.DUMMYFUNCTION("""COMPUTED_VALUE"""),"Completed")</f>
        <v>Completed</v>
      </c>
    </row>
    <row r="2860">
      <c r="A2860" s="9" t="str">
        <f>IFERROR(__xludf.DUMMYFUNCTION("""COMPUTED_VALUE"""),"G-REQ-02859")</f>
        <v>G-REQ-02859</v>
      </c>
      <c r="B2860" s="11">
        <f>IFERROR(__xludf.DUMMYFUNCTION("""COMPUTED_VALUE"""),45964.803124862956)</f>
        <v>45964.80312</v>
      </c>
      <c r="C2860" s="9">
        <f>IFERROR(__xludf.DUMMYFUNCTION("""COMPUTED_VALUE"""),11217.0)</f>
        <v>11217</v>
      </c>
      <c r="D2860" s="9" t="str">
        <f>IFERROR(__xludf.DUMMYFUNCTION("""COMPUTED_VALUE"""),"Completed")</f>
        <v>Completed</v>
      </c>
    </row>
    <row r="2861">
      <c r="A2861" s="9" t="str">
        <f>IFERROR(__xludf.DUMMYFUNCTION("""COMPUTED_VALUE"""),"G-REQ-02860")</f>
        <v>G-REQ-02860</v>
      </c>
      <c r="B2861" s="11">
        <f>IFERROR(__xludf.DUMMYFUNCTION("""COMPUTED_VALUE"""),45964.87429970836)</f>
        <v>45964.8743</v>
      </c>
      <c r="C2861" s="9">
        <f>IFERROR(__xludf.DUMMYFUNCTION("""COMPUTED_VALUE"""),11221.0)</f>
        <v>11221</v>
      </c>
      <c r="D2861" s="9" t="str">
        <f>IFERROR(__xludf.DUMMYFUNCTION("""COMPUTED_VALUE"""),"Completed")</f>
        <v>Completed</v>
      </c>
    </row>
    <row r="2862">
      <c r="A2862" s="9" t="str">
        <f>IFERROR(__xludf.DUMMYFUNCTION("""COMPUTED_VALUE"""),"G-REQ-02861")</f>
        <v>G-REQ-02861</v>
      </c>
      <c r="B2862" s="11">
        <f>IFERROR(__xludf.DUMMYFUNCTION("""COMPUTED_VALUE"""),45964.94547455378)</f>
        <v>45964.94547</v>
      </c>
      <c r="C2862" s="9">
        <f>IFERROR(__xludf.DUMMYFUNCTION("""COMPUTED_VALUE"""),11225.0)</f>
        <v>11225</v>
      </c>
      <c r="D2862" s="9" t="str">
        <f>IFERROR(__xludf.DUMMYFUNCTION("""COMPUTED_VALUE"""),"Completed")</f>
        <v>Completed</v>
      </c>
    </row>
    <row r="2863">
      <c r="A2863" s="9" t="str">
        <f>IFERROR(__xludf.DUMMYFUNCTION("""COMPUTED_VALUE"""),"G-REQ-02862")</f>
        <v>G-REQ-02862</v>
      </c>
      <c r="B2863" s="11">
        <f>IFERROR(__xludf.DUMMYFUNCTION("""COMPUTED_VALUE"""),45965.0166493992)</f>
        <v>45965.01665</v>
      </c>
      <c r="C2863" s="9">
        <f>IFERROR(__xludf.DUMMYFUNCTION("""COMPUTED_VALUE"""),11229.0)</f>
        <v>11229</v>
      </c>
      <c r="D2863" s="9" t="str">
        <f>IFERROR(__xludf.DUMMYFUNCTION("""COMPUTED_VALUE"""),"Completed")</f>
        <v>Completed</v>
      </c>
    </row>
    <row r="2864">
      <c r="A2864" s="9" t="str">
        <f>IFERROR(__xludf.DUMMYFUNCTION("""COMPUTED_VALUE"""),"G-REQ-02863")</f>
        <v>G-REQ-02863</v>
      </c>
      <c r="B2864" s="11">
        <f>IFERROR(__xludf.DUMMYFUNCTION("""COMPUTED_VALUE"""),45965.08782424461)</f>
        <v>45965.08782</v>
      </c>
      <c r="C2864" s="9">
        <f>IFERROR(__xludf.DUMMYFUNCTION("""COMPUTED_VALUE"""),11233.0)</f>
        <v>11233</v>
      </c>
      <c r="D2864" s="9" t="str">
        <f>IFERROR(__xludf.DUMMYFUNCTION("""COMPUTED_VALUE"""),"Completed")</f>
        <v>Completed</v>
      </c>
    </row>
    <row r="2865">
      <c r="A2865" s="9" t="str">
        <f>IFERROR(__xludf.DUMMYFUNCTION("""COMPUTED_VALUE"""),"G-REQ-02864")</f>
        <v>G-REQ-02864</v>
      </c>
      <c r="B2865" s="11">
        <f>IFERROR(__xludf.DUMMYFUNCTION("""COMPUTED_VALUE"""),45965.158999090025)</f>
        <v>45965.159</v>
      </c>
      <c r="C2865" s="9">
        <f>IFERROR(__xludf.DUMMYFUNCTION("""COMPUTED_VALUE"""),11237.0)</f>
        <v>11237</v>
      </c>
      <c r="D2865" s="9" t="str">
        <f>IFERROR(__xludf.DUMMYFUNCTION("""COMPUTED_VALUE"""),"Completed")</f>
        <v>Completed</v>
      </c>
    </row>
    <row r="2866">
      <c r="A2866" s="9" t="str">
        <f>IFERROR(__xludf.DUMMYFUNCTION("""COMPUTED_VALUE"""),"G-REQ-02865")</f>
        <v>G-REQ-02865</v>
      </c>
      <c r="B2866" s="11">
        <f>IFERROR(__xludf.DUMMYFUNCTION("""COMPUTED_VALUE"""),45965.223229491)</f>
        <v>45965.22323</v>
      </c>
      <c r="C2866" s="9">
        <f>IFERROR(__xludf.DUMMYFUNCTION("""COMPUTED_VALUE"""),11239.0)</f>
        <v>11239</v>
      </c>
      <c r="D2866" s="9" t="str">
        <f>IFERROR(__xludf.DUMMYFUNCTION("""COMPUTED_VALUE"""),"Cancelled")</f>
        <v>Cancelled</v>
      </c>
    </row>
    <row r="2867">
      <c r="A2867" s="9" t="str">
        <f>IFERROR(__xludf.DUMMYFUNCTION("""COMPUTED_VALUE"""),"G-REQ-02866")</f>
        <v>G-REQ-02866</v>
      </c>
      <c r="B2867" s="11">
        <f>IFERROR(__xludf.DUMMYFUNCTION("""COMPUTED_VALUE"""),45965.30134878086)</f>
        <v>45965.30135</v>
      </c>
      <c r="C2867" s="9">
        <f>IFERROR(__xludf.DUMMYFUNCTION("""COMPUTED_VALUE"""),11243.0)</f>
        <v>11243</v>
      </c>
      <c r="D2867" s="9" t="str">
        <f>IFERROR(__xludf.DUMMYFUNCTION("""COMPUTED_VALUE"""),"Completed")</f>
        <v>Completed</v>
      </c>
    </row>
    <row r="2868">
      <c r="A2868" s="9" t="str">
        <f>IFERROR(__xludf.DUMMYFUNCTION("""COMPUTED_VALUE"""),"G-REQ-02867")</f>
        <v>G-REQ-02867</v>
      </c>
      <c r="B2868" s="11">
        <f>IFERROR(__xludf.DUMMYFUNCTION("""COMPUTED_VALUE"""),45965.37252362627)</f>
        <v>45965.37252</v>
      </c>
      <c r="C2868" s="9">
        <f>IFERROR(__xludf.DUMMYFUNCTION("""COMPUTED_VALUE"""),11247.0)</f>
        <v>11247</v>
      </c>
      <c r="D2868" s="9" t="str">
        <f>IFERROR(__xludf.DUMMYFUNCTION("""COMPUTED_VALUE"""),"Completed")</f>
        <v>Completed</v>
      </c>
    </row>
    <row r="2869">
      <c r="A2869" s="9" t="str">
        <f>IFERROR(__xludf.DUMMYFUNCTION("""COMPUTED_VALUE"""),"G-REQ-02868")</f>
        <v>G-REQ-02868</v>
      </c>
      <c r="B2869" s="11">
        <f>IFERROR(__xludf.DUMMYFUNCTION("""COMPUTED_VALUE"""),45965.44369847169)</f>
        <v>45965.4437</v>
      </c>
      <c r="C2869" s="9">
        <f>IFERROR(__xludf.DUMMYFUNCTION("""COMPUTED_VALUE"""),11251.0)</f>
        <v>11251</v>
      </c>
      <c r="D2869" s="9" t="str">
        <f>IFERROR(__xludf.DUMMYFUNCTION("""COMPUTED_VALUE"""),"Completed")</f>
        <v>Completed</v>
      </c>
    </row>
    <row r="2870">
      <c r="A2870" s="9" t="str">
        <f>IFERROR(__xludf.DUMMYFUNCTION("""COMPUTED_VALUE"""),"G-REQ-02869")</f>
        <v>G-REQ-02869</v>
      </c>
      <c r="B2870" s="11">
        <f>IFERROR(__xludf.DUMMYFUNCTION("""COMPUTED_VALUE"""),45965.50792887266)</f>
        <v>45965.50793</v>
      </c>
      <c r="C2870" s="9">
        <f>IFERROR(__xludf.DUMMYFUNCTION("""COMPUTED_VALUE"""),11253.0)</f>
        <v>11253</v>
      </c>
      <c r="D2870" s="9" t="str">
        <f>IFERROR(__xludf.DUMMYFUNCTION("""COMPUTED_VALUE"""),"Rejected")</f>
        <v>Rejected</v>
      </c>
    </row>
    <row r="2871">
      <c r="A2871" s="9" t="str">
        <f>IFERROR(__xludf.DUMMYFUNCTION("""COMPUTED_VALUE"""),"G-REQ-02870")</f>
        <v>G-REQ-02870</v>
      </c>
      <c r="B2871" s="11">
        <f>IFERROR(__xludf.DUMMYFUNCTION("""COMPUTED_VALUE"""),45965.58604816251)</f>
        <v>45965.58605</v>
      </c>
      <c r="C2871" s="9">
        <f>IFERROR(__xludf.DUMMYFUNCTION("""COMPUTED_VALUE"""),11257.0)</f>
        <v>11257</v>
      </c>
      <c r="D2871" s="9" t="str">
        <f>IFERROR(__xludf.DUMMYFUNCTION("""COMPUTED_VALUE"""),"Completed")</f>
        <v>Completed</v>
      </c>
    </row>
    <row r="2872">
      <c r="A2872" s="9" t="str">
        <f>IFERROR(__xludf.DUMMYFUNCTION("""COMPUTED_VALUE"""),"G-REQ-02871")</f>
        <v>G-REQ-02871</v>
      </c>
      <c r="B2872" s="11">
        <f>IFERROR(__xludf.DUMMYFUNCTION("""COMPUTED_VALUE"""),45965.65722300793)</f>
        <v>45965.65722</v>
      </c>
      <c r="C2872" s="9">
        <f>IFERROR(__xludf.DUMMYFUNCTION("""COMPUTED_VALUE"""),11261.0)</f>
        <v>11261</v>
      </c>
      <c r="D2872" s="9" t="str">
        <f>IFERROR(__xludf.DUMMYFUNCTION("""COMPUTED_VALUE"""),"Completed")</f>
        <v>Completed</v>
      </c>
    </row>
    <row r="2873">
      <c r="A2873" s="9" t="str">
        <f>IFERROR(__xludf.DUMMYFUNCTION("""COMPUTED_VALUE"""),"G-REQ-02872")</f>
        <v>G-REQ-02872</v>
      </c>
      <c r="B2873" s="11">
        <f>IFERROR(__xludf.DUMMYFUNCTION("""COMPUTED_VALUE"""),45965.72839785335)</f>
        <v>45965.7284</v>
      </c>
      <c r="C2873" s="9">
        <f>IFERROR(__xludf.DUMMYFUNCTION("""COMPUTED_VALUE"""),11265.0)</f>
        <v>11265</v>
      </c>
      <c r="D2873" s="9" t="str">
        <f>IFERROR(__xludf.DUMMYFUNCTION("""COMPUTED_VALUE"""),"Completed")</f>
        <v>Completed</v>
      </c>
    </row>
    <row r="2874">
      <c r="A2874" s="9" t="str">
        <f>IFERROR(__xludf.DUMMYFUNCTION("""COMPUTED_VALUE"""),"G-REQ-02873")</f>
        <v>G-REQ-02873</v>
      </c>
      <c r="B2874" s="11">
        <f>IFERROR(__xludf.DUMMYFUNCTION("""COMPUTED_VALUE"""),45965.799572698765)</f>
        <v>45965.79957</v>
      </c>
      <c r="C2874" s="9">
        <f>IFERROR(__xludf.DUMMYFUNCTION("""COMPUTED_VALUE"""),11269.0)</f>
        <v>11269</v>
      </c>
      <c r="D2874" s="9" t="str">
        <f>IFERROR(__xludf.DUMMYFUNCTION("""COMPUTED_VALUE"""),"Completed")</f>
        <v>Completed</v>
      </c>
    </row>
    <row r="2875">
      <c r="A2875" s="9" t="str">
        <f>IFERROR(__xludf.DUMMYFUNCTION("""COMPUTED_VALUE"""),"G-REQ-02874")</f>
        <v>G-REQ-02874</v>
      </c>
      <c r="B2875" s="11">
        <f>IFERROR(__xludf.DUMMYFUNCTION("""COMPUTED_VALUE"""),45965.87074754418)</f>
        <v>45965.87075</v>
      </c>
      <c r="C2875" s="9">
        <f>IFERROR(__xludf.DUMMYFUNCTION("""COMPUTED_VALUE"""),11273.0)</f>
        <v>11273</v>
      </c>
      <c r="D2875" s="9" t="str">
        <f>IFERROR(__xludf.DUMMYFUNCTION("""COMPUTED_VALUE"""),"Completed")</f>
        <v>Completed</v>
      </c>
    </row>
    <row r="2876">
      <c r="A2876" s="9" t="str">
        <f>IFERROR(__xludf.DUMMYFUNCTION("""COMPUTED_VALUE"""),"G-REQ-02875")</f>
        <v>G-REQ-02875</v>
      </c>
      <c r="B2876" s="11">
        <f>IFERROR(__xludf.DUMMYFUNCTION("""COMPUTED_VALUE"""),45965.9419223896)</f>
        <v>45965.94192</v>
      </c>
      <c r="C2876" s="9">
        <f>IFERROR(__xludf.DUMMYFUNCTION("""COMPUTED_VALUE"""),11277.0)</f>
        <v>11277</v>
      </c>
      <c r="D2876" s="9" t="str">
        <f>IFERROR(__xludf.DUMMYFUNCTION("""COMPUTED_VALUE"""),"Completed")</f>
        <v>Completed</v>
      </c>
    </row>
    <row r="2877">
      <c r="A2877" s="9" t="str">
        <f>IFERROR(__xludf.DUMMYFUNCTION("""COMPUTED_VALUE"""),"G-REQ-02876")</f>
        <v>G-REQ-02876</v>
      </c>
      <c r="B2877" s="11">
        <f>IFERROR(__xludf.DUMMYFUNCTION("""COMPUTED_VALUE"""),45966.01309723501)</f>
        <v>45966.0131</v>
      </c>
      <c r="C2877" s="9">
        <f>IFERROR(__xludf.DUMMYFUNCTION("""COMPUTED_VALUE"""),11281.0)</f>
        <v>11281</v>
      </c>
      <c r="D2877" s="9" t="str">
        <f>IFERROR(__xludf.DUMMYFUNCTION("""COMPUTED_VALUE"""),"Completed")</f>
        <v>Completed</v>
      </c>
    </row>
    <row r="2878">
      <c r="A2878" s="9" t="str">
        <f>IFERROR(__xludf.DUMMYFUNCTION("""COMPUTED_VALUE"""),"G-REQ-02877")</f>
        <v>G-REQ-02877</v>
      </c>
      <c r="B2878" s="11">
        <f>IFERROR(__xludf.DUMMYFUNCTION("""COMPUTED_VALUE"""),45966.077327635976)</f>
        <v>45966.07733</v>
      </c>
      <c r="C2878" s="9">
        <f>IFERROR(__xludf.DUMMYFUNCTION("""COMPUTED_VALUE"""),11283.0)</f>
        <v>11283</v>
      </c>
      <c r="D2878" s="9" t="str">
        <f>IFERROR(__xludf.DUMMYFUNCTION("""COMPUTED_VALUE"""),"Rejected")</f>
        <v>Rejected</v>
      </c>
    </row>
    <row r="2879">
      <c r="A2879" s="9" t="str">
        <f>IFERROR(__xludf.DUMMYFUNCTION("""COMPUTED_VALUE"""),"G-REQ-02878")</f>
        <v>G-REQ-02878</v>
      </c>
      <c r="B2879" s="11">
        <f>IFERROR(__xludf.DUMMYFUNCTION("""COMPUTED_VALUE"""),45966.15544692584)</f>
        <v>45966.15545</v>
      </c>
      <c r="C2879" s="9">
        <f>IFERROR(__xludf.DUMMYFUNCTION("""COMPUTED_VALUE"""),11287.0)</f>
        <v>11287</v>
      </c>
      <c r="D2879" s="9" t="str">
        <f>IFERROR(__xludf.DUMMYFUNCTION("""COMPUTED_VALUE"""),"Completed")</f>
        <v>Completed</v>
      </c>
    </row>
    <row r="2880">
      <c r="A2880" s="9" t="str">
        <f>IFERROR(__xludf.DUMMYFUNCTION("""COMPUTED_VALUE"""),"G-REQ-02879")</f>
        <v>G-REQ-02879</v>
      </c>
      <c r="B2880" s="11">
        <f>IFERROR(__xludf.DUMMYFUNCTION("""COMPUTED_VALUE"""),45966.22662177125)</f>
        <v>45966.22662</v>
      </c>
      <c r="C2880" s="9">
        <f>IFERROR(__xludf.DUMMYFUNCTION("""COMPUTED_VALUE"""),11291.0)</f>
        <v>11291</v>
      </c>
      <c r="D2880" s="9" t="str">
        <f>IFERROR(__xludf.DUMMYFUNCTION("""COMPUTED_VALUE"""),"Completed")</f>
        <v>Completed</v>
      </c>
    </row>
    <row r="2881">
      <c r="A2881" s="9" t="str">
        <f>IFERROR(__xludf.DUMMYFUNCTION("""COMPUTED_VALUE"""),"G-REQ-02880")</f>
        <v>G-REQ-02880</v>
      </c>
      <c r="B2881" s="11">
        <f>IFERROR(__xludf.DUMMYFUNCTION("""COMPUTED_VALUE"""),45966.297796616665)</f>
        <v>45966.2978</v>
      </c>
      <c r="C2881" s="9">
        <f>IFERROR(__xludf.DUMMYFUNCTION("""COMPUTED_VALUE"""),11295.0)</f>
        <v>11295</v>
      </c>
      <c r="D2881" s="9" t="str">
        <f>IFERROR(__xludf.DUMMYFUNCTION("""COMPUTED_VALUE"""),"Completed")</f>
        <v>Completed</v>
      </c>
    </row>
    <row r="2882">
      <c r="A2882" s="9" t="str">
        <f>IFERROR(__xludf.DUMMYFUNCTION("""COMPUTED_VALUE"""),"G-REQ-02881")</f>
        <v>G-REQ-02881</v>
      </c>
      <c r="B2882" s="11">
        <f>IFERROR(__xludf.DUMMYFUNCTION("""COMPUTED_VALUE"""),45966.368971462085)</f>
        <v>45966.36897</v>
      </c>
      <c r="C2882" s="9">
        <f>IFERROR(__xludf.DUMMYFUNCTION("""COMPUTED_VALUE"""),11299.0)</f>
        <v>11299</v>
      </c>
      <c r="D2882" s="9" t="str">
        <f>IFERROR(__xludf.DUMMYFUNCTION("""COMPUTED_VALUE"""),"Completed")</f>
        <v>Completed</v>
      </c>
    </row>
    <row r="2883">
      <c r="A2883" s="9" t="str">
        <f>IFERROR(__xludf.DUMMYFUNCTION("""COMPUTED_VALUE"""),"G-REQ-02882")</f>
        <v>G-REQ-02882</v>
      </c>
      <c r="B2883" s="11">
        <f>IFERROR(__xludf.DUMMYFUNCTION("""COMPUTED_VALUE"""),45966.43320186305)</f>
        <v>45966.4332</v>
      </c>
      <c r="C2883" s="9">
        <f>IFERROR(__xludf.DUMMYFUNCTION("""COMPUTED_VALUE"""),11301.0)</f>
        <v>11301</v>
      </c>
      <c r="D2883" s="9" t="str">
        <f>IFERROR(__xludf.DUMMYFUNCTION("""COMPUTED_VALUE"""),"Rejected")</f>
        <v>Rejected</v>
      </c>
    </row>
    <row r="2884">
      <c r="A2884" s="9" t="str">
        <f>IFERROR(__xludf.DUMMYFUNCTION("""COMPUTED_VALUE"""),"G-REQ-02883")</f>
        <v>G-REQ-02883</v>
      </c>
      <c r="B2884" s="11">
        <f>IFERROR(__xludf.DUMMYFUNCTION("""COMPUTED_VALUE"""),45966.51132115291)</f>
        <v>45966.51132</v>
      </c>
      <c r="C2884" s="9">
        <f>IFERROR(__xludf.DUMMYFUNCTION("""COMPUTED_VALUE"""),11305.0)</f>
        <v>11305</v>
      </c>
      <c r="D2884" s="9" t="str">
        <f>IFERROR(__xludf.DUMMYFUNCTION("""COMPUTED_VALUE"""),"Completed")</f>
        <v>Completed</v>
      </c>
    </row>
    <row r="2885">
      <c r="A2885" s="9" t="str">
        <f>IFERROR(__xludf.DUMMYFUNCTION("""COMPUTED_VALUE"""),"G-REQ-02884")</f>
        <v>G-REQ-02884</v>
      </c>
      <c r="B2885" s="11">
        <f>IFERROR(__xludf.DUMMYFUNCTION("""COMPUTED_VALUE"""),45966.58249599833)</f>
        <v>45966.5825</v>
      </c>
      <c r="C2885" s="9">
        <f>IFERROR(__xludf.DUMMYFUNCTION("""COMPUTED_VALUE"""),11309.0)</f>
        <v>11309</v>
      </c>
      <c r="D2885" s="9" t="str">
        <f>IFERROR(__xludf.DUMMYFUNCTION("""COMPUTED_VALUE"""),"Completed")</f>
        <v>Completed</v>
      </c>
    </row>
    <row r="2886">
      <c r="A2886" s="9" t="str">
        <f>IFERROR(__xludf.DUMMYFUNCTION("""COMPUTED_VALUE"""),"G-REQ-02885")</f>
        <v>G-REQ-02885</v>
      </c>
      <c r="B2886" s="11">
        <f>IFERROR(__xludf.DUMMYFUNCTION("""COMPUTED_VALUE"""),45966.65367084375)</f>
        <v>45966.65367</v>
      </c>
      <c r="C2886" s="9">
        <f>IFERROR(__xludf.DUMMYFUNCTION("""COMPUTED_VALUE"""),11313.0)</f>
        <v>11313</v>
      </c>
      <c r="D2886" s="9" t="str">
        <f>IFERROR(__xludf.DUMMYFUNCTION("""COMPUTED_VALUE"""),"Completed")</f>
        <v>Completed</v>
      </c>
    </row>
    <row r="2887">
      <c r="A2887" s="9" t="str">
        <f>IFERROR(__xludf.DUMMYFUNCTION("""COMPUTED_VALUE"""),"G-REQ-02886")</f>
        <v>G-REQ-02886</v>
      </c>
      <c r="B2887" s="11">
        <f>IFERROR(__xludf.DUMMYFUNCTION("""COMPUTED_VALUE"""),45966.724845689154)</f>
        <v>45966.72485</v>
      </c>
      <c r="C2887" s="9">
        <f>IFERROR(__xludf.DUMMYFUNCTION("""COMPUTED_VALUE"""),11317.0)</f>
        <v>11317</v>
      </c>
      <c r="D2887" s="9" t="str">
        <f>IFERROR(__xludf.DUMMYFUNCTION("""COMPUTED_VALUE"""),"Completed")</f>
        <v>Completed</v>
      </c>
    </row>
    <row r="2888">
      <c r="A2888" s="9" t="str">
        <f>IFERROR(__xludf.DUMMYFUNCTION("""COMPUTED_VALUE"""),"G-REQ-02887")</f>
        <v>G-REQ-02887</v>
      </c>
      <c r="B2888" s="11">
        <f>IFERROR(__xludf.DUMMYFUNCTION("""COMPUTED_VALUE"""),45966.79602053457)</f>
        <v>45966.79602</v>
      </c>
      <c r="C2888" s="9">
        <f>IFERROR(__xludf.DUMMYFUNCTION("""COMPUTED_VALUE"""),11321.0)</f>
        <v>11321</v>
      </c>
      <c r="D2888" s="9" t="str">
        <f>IFERROR(__xludf.DUMMYFUNCTION("""COMPUTED_VALUE"""),"Completed")</f>
        <v>Completed</v>
      </c>
    </row>
    <row r="2889">
      <c r="A2889" s="9" t="str">
        <f>IFERROR(__xludf.DUMMYFUNCTION("""COMPUTED_VALUE"""),"G-REQ-02888")</f>
        <v>G-REQ-02888</v>
      </c>
      <c r="B2889" s="11">
        <f>IFERROR(__xludf.DUMMYFUNCTION("""COMPUTED_VALUE"""),45966.86025093555)</f>
        <v>45966.86025</v>
      </c>
      <c r="C2889" s="9">
        <f>IFERROR(__xludf.DUMMYFUNCTION("""COMPUTED_VALUE"""),11323.0)</f>
        <v>11323</v>
      </c>
      <c r="D2889" s="9" t="str">
        <f>IFERROR(__xludf.DUMMYFUNCTION("""COMPUTED_VALUE"""),"Rejected")</f>
        <v>Rejected</v>
      </c>
    </row>
    <row r="2890">
      <c r="A2890" s="9" t="str">
        <f>IFERROR(__xludf.DUMMYFUNCTION("""COMPUTED_VALUE"""),"G-REQ-02889")</f>
        <v>G-REQ-02889</v>
      </c>
      <c r="B2890" s="11">
        <f>IFERROR(__xludf.DUMMYFUNCTION("""COMPUTED_VALUE"""),45966.938370225405)</f>
        <v>45966.93837</v>
      </c>
      <c r="C2890" s="9">
        <f>IFERROR(__xludf.DUMMYFUNCTION("""COMPUTED_VALUE"""),11327.0)</f>
        <v>11327</v>
      </c>
      <c r="D2890" s="9" t="str">
        <f>IFERROR(__xludf.DUMMYFUNCTION("""COMPUTED_VALUE"""),"Completed")</f>
        <v>Completed</v>
      </c>
    </row>
    <row r="2891">
      <c r="A2891" s="9" t="str">
        <f>IFERROR(__xludf.DUMMYFUNCTION("""COMPUTED_VALUE"""),"G-REQ-02890")</f>
        <v>G-REQ-02890</v>
      </c>
      <c r="B2891" s="11">
        <f>IFERROR(__xludf.DUMMYFUNCTION("""COMPUTED_VALUE"""),45967.00954507082)</f>
        <v>45967.00955</v>
      </c>
      <c r="C2891" s="9">
        <f>IFERROR(__xludf.DUMMYFUNCTION("""COMPUTED_VALUE"""),11331.0)</f>
        <v>11331</v>
      </c>
      <c r="D2891" s="9" t="str">
        <f>IFERROR(__xludf.DUMMYFUNCTION("""COMPUTED_VALUE"""),"Completed")</f>
        <v>Completed</v>
      </c>
    </row>
    <row r="2892">
      <c r="A2892" s="9" t="str">
        <f>IFERROR(__xludf.DUMMYFUNCTION("""COMPUTED_VALUE"""),"G-REQ-02891")</f>
        <v>G-REQ-02891</v>
      </c>
      <c r="B2892" s="11">
        <f>IFERROR(__xludf.DUMMYFUNCTION("""COMPUTED_VALUE"""),45967.08071991624)</f>
        <v>45967.08072</v>
      </c>
      <c r="C2892" s="9">
        <f>IFERROR(__xludf.DUMMYFUNCTION("""COMPUTED_VALUE"""),11335.0)</f>
        <v>11335</v>
      </c>
      <c r="D2892" s="9" t="str">
        <f>IFERROR(__xludf.DUMMYFUNCTION("""COMPUTED_VALUE"""),"Completed")</f>
        <v>Completed</v>
      </c>
    </row>
    <row r="2893">
      <c r="A2893" s="9" t="str">
        <f>IFERROR(__xludf.DUMMYFUNCTION("""COMPUTED_VALUE"""),"G-REQ-02892")</f>
        <v>G-REQ-02892</v>
      </c>
      <c r="B2893" s="11">
        <f>IFERROR(__xludf.DUMMYFUNCTION("""COMPUTED_VALUE"""),45967.144950317204)</f>
        <v>45967.14495</v>
      </c>
      <c r="C2893" s="9">
        <f>IFERROR(__xludf.DUMMYFUNCTION("""COMPUTED_VALUE"""),11337.0)</f>
        <v>11337</v>
      </c>
      <c r="D2893" s="9" t="str">
        <f>IFERROR(__xludf.DUMMYFUNCTION("""COMPUTED_VALUE"""),"Rejected")</f>
        <v>Rejected</v>
      </c>
    </row>
    <row r="2894">
      <c r="A2894" s="9" t="str">
        <f>IFERROR(__xludf.DUMMYFUNCTION("""COMPUTED_VALUE"""),"G-REQ-02893")</f>
        <v>G-REQ-02893</v>
      </c>
      <c r="B2894" s="11">
        <f>IFERROR(__xludf.DUMMYFUNCTION("""COMPUTED_VALUE"""),45967.22306960706)</f>
        <v>45967.22307</v>
      </c>
      <c r="C2894" s="9">
        <f>IFERROR(__xludf.DUMMYFUNCTION("""COMPUTED_VALUE"""),11341.0)</f>
        <v>11341</v>
      </c>
      <c r="D2894" s="9" t="str">
        <f>IFERROR(__xludf.DUMMYFUNCTION("""COMPUTED_VALUE"""),"Completed")</f>
        <v>Completed</v>
      </c>
    </row>
    <row r="2895">
      <c r="A2895" s="9" t="str">
        <f>IFERROR(__xludf.DUMMYFUNCTION("""COMPUTED_VALUE"""),"G-REQ-02894")</f>
        <v>G-REQ-02894</v>
      </c>
      <c r="B2895" s="11">
        <f>IFERROR(__xludf.DUMMYFUNCTION("""COMPUTED_VALUE"""),45967.287300008036)</f>
        <v>45967.2873</v>
      </c>
      <c r="C2895" s="9">
        <f>IFERROR(__xludf.DUMMYFUNCTION("""COMPUTED_VALUE"""),11343.0)</f>
        <v>11343</v>
      </c>
      <c r="D2895" s="9" t="str">
        <f>IFERROR(__xludf.DUMMYFUNCTION("""COMPUTED_VALUE"""),"Cancelled")</f>
        <v>Cancelled</v>
      </c>
    </row>
    <row r="2896">
      <c r="A2896" s="9" t="str">
        <f>IFERROR(__xludf.DUMMYFUNCTION("""COMPUTED_VALUE"""),"G-REQ-02895")</f>
        <v>G-REQ-02895</v>
      </c>
      <c r="B2896" s="11">
        <f>IFERROR(__xludf.DUMMYFUNCTION("""COMPUTED_VALUE"""),45967.3654192979)</f>
        <v>45967.36542</v>
      </c>
      <c r="C2896" s="9">
        <f>IFERROR(__xludf.DUMMYFUNCTION("""COMPUTED_VALUE"""),11347.0)</f>
        <v>11347</v>
      </c>
      <c r="D2896" s="9" t="str">
        <f>IFERROR(__xludf.DUMMYFUNCTION("""COMPUTED_VALUE"""),"Completed")</f>
        <v>Completed</v>
      </c>
    </row>
    <row r="2897">
      <c r="A2897" s="9" t="str">
        <f>IFERROR(__xludf.DUMMYFUNCTION("""COMPUTED_VALUE"""),"G-REQ-02896")</f>
        <v>G-REQ-02896</v>
      </c>
      <c r="B2897" s="11">
        <f>IFERROR(__xludf.DUMMYFUNCTION("""COMPUTED_VALUE"""),45967.436594143306)</f>
        <v>45967.43659</v>
      </c>
      <c r="C2897" s="9">
        <f>IFERROR(__xludf.DUMMYFUNCTION("""COMPUTED_VALUE"""),11351.0)</f>
        <v>11351</v>
      </c>
      <c r="D2897" s="9" t="str">
        <f>IFERROR(__xludf.DUMMYFUNCTION("""COMPUTED_VALUE"""),"Completed")</f>
        <v>Completed</v>
      </c>
    </row>
    <row r="2898">
      <c r="A2898" s="9" t="str">
        <f>IFERROR(__xludf.DUMMYFUNCTION("""COMPUTED_VALUE"""),"G-REQ-02897")</f>
        <v>G-REQ-02897</v>
      </c>
      <c r="B2898" s="11">
        <f>IFERROR(__xludf.DUMMYFUNCTION("""COMPUTED_VALUE"""),45967.50082454428)</f>
        <v>45967.50082</v>
      </c>
      <c r="C2898" s="9">
        <f>IFERROR(__xludf.DUMMYFUNCTION("""COMPUTED_VALUE"""),11353.0)</f>
        <v>11353</v>
      </c>
      <c r="D2898" s="9" t="str">
        <f>IFERROR(__xludf.DUMMYFUNCTION("""COMPUTED_VALUE"""),"Rejected")</f>
        <v>Rejected</v>
      </c>
    </row>
    <row r="2899">
      <c r="A2899" s="9" t="str">
        <f>IFERROR(__xludf.DUMMYFUNCTION("""COMPUTED_VALUE"""),"G-REQ-02898")</f>
        <v>G-REQ-02898</v>
      </c>
      <c r="B2899" s="11">
        <f>IFERROR(__xludf.DUMMYFUNCTION("""COMPUTED_VALUE"""),45967.57894383414)</f>
        <v>45967.57894</v>
      </c>
      <c r="C2899" s="9">
        <f>IFERROR(__xludf.DUMMYFUNCTION("""COMPUTED_VALUE"""),11357.0)</f>
        <v>11357</v>
      </c>
      <c r="D2899" s="9" t="str">
        <f>IFERROR(__xludf.DUMMYFUNCTION("""COMPUTED_VALUE"""),"Completed")</f>
        <v>Completed</v>
      </c>
    </row>
    <row r="2900">
      <c r="A2900" s="9" t="str">
        <f>IFERROR(__xludf.DUMMYFUNCTION("""COMPUTED_VALUE"""),"G-REQ-02899")</f>
        <v>G-REQ-02899</v>
      </c>
      <c r="B2900" s="11">
        <f>IFERROR(__xludf.DUMMYFUNCTION("""COMPUTED_VALUE"""),45967.65011867956)</f>
        <v>45967.65012</v>
      </c>
      <c r="C2900" s="9">
        <f>IFERROR(__xludf.DUMMYFUNCTION("""COMPUTED_VALUE"""),11361.0)</f>
        <v>11361</v>
      </c>
      <c r="D2900" s="9" t="str">
        <f>IFERROR(__xludf.DUMMYFUNCTION("""COMPUTED_VALUE"""),"Completed")</f>
        <v>Completed</v>
      </c>
    </row>
    <row r="2901">
      <c r="A2901" s="9" t="str">
        <f>IFERROR(__xludf.DUMMYFUNCTION("""COMPUTED_VALUE"""),"G-REQ-02900")</f>
        <v>G-REQ-02900</v>
      </c>
      <c r="B2901" s="11">
        <f>IFERROR(__xludf.DUMMYFUNCTION("""COMPUTED_VALUE"""),45967.72129352497)</f>
        <v>45967.72129</v>
      </c>
      <c r="C2901" s="9">
        <f>IFERROR(__xludf.DUMMYFUNCTION("""COMPUTED_VALUE"""),11365.0)</f>
        <v>11365</v>
      </c>
      <c r="D2901" s="9" t="str">
        <f>IFERROR(__xludf.DUMMYFUNCTION("""COMPUTED_VALUE"""),"Completed")</f>
        <v>Completed</v>
      </c>
    </row>
    <row r="2902">
      <c r="A2902" s="9" t="str">
        <f>IFERROR(__xludf.DUMMYFUNCTION("""COMPUTED_VALUE"""),"G-REQ-02901")</f>
        <v>G-REQ-02901</v>
      </c>
      <c r="B2902" s="11">
        <f>IFERROR(__xludf.DUMMYFUNCTION("""COMPUTED_VALUE"""),45967.785523925944)</f>
        <v>45967.78552</v>
      </c>
      <c r="C2902" s="9">
        <f>IFERROR(__xludf.DUMMYFUNCTION("""COMPUTED_VALUE"""),11367.0)</f>
        <v>11367</v>
      </c>
      <c r="D2902" s="9" t="str">
        <f>IFERROR(__xludf.DUMMYFUNCTION("""COMPUTED_VALUE"""),"Rejected")</f>
        <v>Rejected</v>
      </c>
    </row>
    <row r="2903">
      <c r="A2903" s="9" t="str">
        <f>IFERROR(__xludf.DUMMYFUNCTION("""COMPUTED_VALUE"""),"G-REQ-02902")</f>
        <v>G-REQ-02902</v>
      </c>
      <c r="B2903" s="11">
        <f>IFERROR(__xludf.DUMMYFUNCTION("""COMPUTED_VALUE"""),45967.863643215795)</f>
        <v>45967.86364</v>
      </c>
      <c r="C2903" s="9">
        <f>IFERROR(__xludf.DUMMYFUNCTION("""COMPUTED_VALUE"""),11371.0)</f>
        <v>11371</v>
      </c>
      <c r="D2903" s="9" t="str">
        <f>IFERROR(__xludf.DUMMYFUNCTION("""COMPUTED_VALUE"""),"Completed")</f>
        <v>Completed</v>
      </c>
    </row>
    <row r="2904">
      <c r="A2904" s="9" t="str">
        <f>IFERROR(__xludf.DUMMYFUNCTION("""COMPUTED_VALUE"""),"G-REQ-02903")</f>
        <v>G-REQ-02903</v>
      </c>
      <c r="B2904" s="11">
        <f>IFERROR(__xludf.DUMMYFUNCTION("""COMPUTED_VALUE"""),45967.934818061214)</f>
        <v>45967.93482</v>
      </c>
      <c r="C2904" s="9">
        <f>IFERROR(__xludf.DUMMYFUNCTION("""COMPUTED_VALUE"""),11375.0)</f>
        <v>11375</v>
      </c>
      <c r="D2904" s="9" t="str">
        <f>IFERROR(__xludf.DUMMYFUNCTION("""COMPUTED_VALUE"""),"Completed")</f>
        <v>Completed</v>
      </c>
    </row>
    <row r="2905">
      <c r="A2905" s="9" t="str">
        <f>IFERROR(__xludf.DUMMYFUNCTION("""COMPUTED_VALUE"""),"G-REQ-02904")</f>
        <v>G-REQ-02904</v>
      </c>
      <c r="B2905" s="11">
        <f>IFERROR(__xludf.DUMMYFUNCTION("""COMPUTED_VALUE"""),45968.005992906634)</f>
        <v>45968.00599</v>
      </c>
      <c r="C2905" s="9">
        <f>IFERROR(__xludf.DUMMYFUNCTION("""COMPUTED_VALUE"""),11379.0)</f>
        <v>11379</v>
      </c>
      <c r="D2905" s="9" t="str">
        <f>IFERROR(__xludf.DUMMYFUNCTION("""COMPUTED_VALUE"""),"Completed")</f>
        <v>Completed</v>
      </c>
    </row>
    <row r="2906">
      <c r="A2906" s="9" t="str">
        <f>IFERROR(__xludf.DUMMYFUNCTION("""COMPUTED_VALUE"""),"G-REQ-02905")</f>
        <v>G-REQ-02905</v>
      </c>
      <c r="B2906" s="11">
        <f>IFERROR(__xludf.DUMMYFUNCTION("""COMPUTED_VALUE"""),45968.077167752046)</f>
        <v>45968.07717</v>
      </c>
      <c r="C2906" s="9">
        <f>IFERROR(__xludf.DUMMYFUNCTION("""COMPUTED_VALUE"""),11383.0)</f>
        <v>11383</v>
      </c>
      <c r="D2906" s="9" t="str">
        <f>IFERROR(__xludf.DUMMYFUNCTION("""COMPUTED_VALUE"""),"Completed")</f>
        <v>Completed</v>
      </c>
    </row>
    <row r="2907">
      <c r="A2907" s="9" t="str">
        <f>IFERROR(__xludf.DUMMYFUNCTION("""COMPUTED_VALUE"""),"G-REQ-02906")</f>
        <v>G-REQ-02906</v>
      </c>
      <c r="B2907" s="11">
        <f>IFERROR(__xludf.DUMMYFUNCTION("""COMPUTED_VALUE"""),45968.14834259746)</f>
        <v>45968.14834</v>
      </c>
      <c r="C2907" s="9">
        <f>IFERROR(__xludf.DUMMYFUNCTION("""COMPUTED_VALUE"""),11387.0)</f>
        <v>11387</v>
      </c>
      <c r="D2907" s="9" t="str">
        <f>IFERROR(__xludf.DUMMYFUNCTION("""COMPUTED_VALUE"""),"Completed")</f>
        <v>Completed</v>
      </c>
    </row>
    <row r="2908">
      <c r="A2908" s="9" t="str">
        <f>IFERROR(__xludf.DUMMYFUNCTION("""COMPUTED_VALUE"""),"G-REQ-02907")</f>
        <v>G-REQ-02907</v>
      </c>
      <c r="B2908" s="11">
        <f>IFERROR(__xludf.DUMMYFUNCTION("""COMPUTED_VALUE"""),45968.21951744288)</f>
        <v>45968.21952</v>
      </c>
      <c r="C2908" s="9">
        <f>IFERROR(__xludf.DUMMYFUNCTION("""COMPUTED_VALUE"""),11391.0)</f>
        <v>11391</v>
      </c>
      <c r="D2908" s="9" t="str">
        <f>IFERROR(__xludf.DUMMYFUNCTION("""COMPUTED_VALUE"""),"Completed")</f>
        <v>Completed</v>
      </c>
    </row>
    <row r="2909">
      <c r="A2909" s="9" t="str">
        <f>IFERROR(__xludf.DUMMYFUNCTION("""COMPUTED_VALUE"""),"G-REQ-02908")</f>
        <v>G-REQ-02908</v>
      </c>
      <c r="B2909" s="11">
        <f>IFERROR(__xludf.DUMMYFUNCTION("""COMPUTED_VALUE"""),45968.29069228829)</f>
        <v>45968.29069</v>
      </c>
      <c r="C2909" s="9">
        <f>IFERROR(__xludf.DUMMYFUNCTION("""COMPUTED_VALUE"""),11395.0)</f>
        <v>11395</v>
      </c>
      <c r="D2909" s="9" t="str">
        <f>IFERROR(__xludf.DUMMYFUNCTION("""COMPUTED_VALUE"""),"Completed")</f>
        <v>Completed</v>
      </c>
    </row>
    <row r="2910">
      <c r="A2910" s="9" t="str">
        <f>IFERROR(__xludf.DUMMYFUNCTION("""COMPUTED_VALUE"""),"G-REQ-02909")</f>
        <v>G-REQ-02909</v>
      </c>
      <c r="B2910" s="11">
        <f>IFERROR(__xludf.DUMMYFUNCTION("""COMPUTED_VALUE"""),45968.3618671337)</f>
        <v>45968.36187</v>
      </c>
      <c r="C2910" s="9">
        <f>IFERROR(__xludf.DUMMYFUNCTION("""COMPUTED_VALUE"""),11399.0)</f>
        <v>11399</v>
      </c>
      <c r="D2910" s="9" t="str">
        <f>IFERROR(__xludf.DUMMYFUNCTION("""COMPUTED_VALUE"""),"Completed")</f>
        <v>Completed</v>
      </c>
    </row>
    <row r="2911">
      <c r="A2911" s="9" t="str">
        <f>IFERROR(__xludf.DUMMYFUNCTION("""COMPUTED_VALUE"""),"G-REQ-02910")</f>
        <v>G-REQ-02910</v>
      </c>
      <c r="B2911" s="11">
        <f>IFERROR(__xludf.DUMMYFUNCTION("""COMPUTED_VALUE"""),45968.43304197912)</f>
        <v>45968.43304</v>
      </c>
      <c r="C2911" s="9">
        <f>IFERROR(__xludf.DUMMYFUNCTION("""COMPUTED_VALUE"""),11403.0)</f>
        <v>11403</v>
      </c>
      <c r="D2911" s="9" t="str">
        <f>IFERROR(__xludf.DUMMYFUNCTION("""COMPUTED_VALUE"""),"Completed")</f>
        <v>Completed</v>
      </c>
    </row>
    <row r="2912">
      <c r="A2912" s="9" t="str">
        <f>IFERROR(__xludf.DUMMYFUNCTION("""COMPUTED_VALUE"""),"G-REQ-02911")</f>
        <v>G-REQ-02911</v>
      </c>
      <c r="B2912" s="11">
        <f>IFERROR(__xludf.DUMMYFUNCTION("""COMPUTED_VALUE"""),45968.50421682454)</f>
        <v>45968.50422</v>
      </c>
      <c r="C2912" s="9">
        <f>IFERROR(__xludf.DUMMYFUNCTION("""COMPUTED_VALUE"""),11407.0)</f>
        <v>11407</v>
      </c>
      <c r="D2912" s="9" t="str">
        <f>IFERROR(__xludf.DUMMYFUNCTION("""COMPUTED_VALUE"""),"Completed")</f>
        <v>Completed</v>
      </c>
    </row>
    <row r="2913">
      <c r="A2913" s="9" t="str">
        <f>IFERROR(__xludf.DUMMYFUNCTION("""COMPUTED_VALUE"""),"G-REQ-02912")</f>
        <v>G-REQ-02912</v>
      </c>
      <c r="B2913" s="11">
        <f>IFERROR(__xludf.DUMMYFUNCTION("""COMPUTED_VALUE"""),45968.57539166995)</f>
        <v>45968.57539</v>
      </c>
      <c r="C2913" s="9">
        <f>IFERROR(__xludf.DUMMYFUNCTION("""COMPUTED_VALUE"""),11411.0)</f>
        <v>11411</v>
      </c>
      <c r="D2913" s="9" t="str">
        <f>IFERROR(__xludf.DUMMYFUNCTION("""COMPUTED_VALUE"""),"Completed")</f>
        <v>Completed</v>
      </c>
    </row>
    <row r="2914">
      <c r="A2914" s="9" t="str">
        <f>IFERROR(__xludf.DUMMYFUNCTION("""COMPUTED_VALUE"""),"G-REQ-02913")</f>
        <v>G-REQ-02913</v>
      </c>
      <c r="B2914" s="11">
        <f>IFERROR(__xludf.DUMMYFUNCTION("""COMPUTED_VALUE"""),45968.64656651537)</f>
        <v>45968.64657</v>
      </c>
      <c r="C2914" s="9">
        <f>IFERROR(__xludf.DUMMYFUNCTION("""COMPUTED_VALUE"""),11415.0)</f>
        <v>11415</v>
      </c>
      <c r="D2914" s="9" t="str">
        <f>IFERROR(__xludf.DUMMYFUNCTION("""COMPUTED_VALUE"""),"Completed")</f>
        <v>Completed</v>
      </c>
    </row>
    <row r="2915">
      <c r="A2915" s="9" t="str">
        <f>IFERROR(__xludf.DUMMYFUNCTION("""COMPUTED_VALUE"""),"G-REQ-02914")</f>
        <v>G-REQ-02914</v>
      </c>
      <c r="B2915" s="11">
        <f>IFERROR(__xludf.DUMMYFUNCTION("""COMPUTED_VALUE"""),45968.71774136078)</f>
        <v>45968.71774</v>
      </c>
      <c r="C2915" s="9">
        <f>IFERROR(__xludf.DUMMYFUNCTION("""COMPUTED_VALUE"""),11419.0)</f>
        <v>11419</v>
      </c>
      <c r="D2915" s="9" t="str">
        <f>IFERROR(__xludf.DUMMYFUNCTION("""COMPUTED_VALUE"""),"Completed")</f>
        <v>Completed</v>
      </c>
    </row>
    <row r="2916">
      <c r="A2916" s="9" t="str">
        <f>IFERROR(__xludf.DUMMYFUNCTION("""COMPUTED_VALUE"""),"G-REQ-02915")</f>
        <v>G-REQ-02915</v>
      </c>
      <c r="B2916" s="11">
        <f>IFERROR(__xludf.DUMMYFUNCTION("""COMPUTED_VALUE"""),45968.7889162062)</f>
        <v>45968.78892</v>
      </c>
      <c r="C2916" s="9">
        <f>IFERROR(__xludf.DUMMYFUNCTION("""COMPUTED_VALUE"""),11423.0)</f>
        <v>11423</v>
      </c>
      <c r="D2916" s="9" t="str">
        <f>IFERROR(__xludf.DUMMYFUNCTION("""COMPUTED_VALUE"""),"Completed")</f>
        <v>Completed</v>
      </c>
    </row>
    <row r="2917">
      <c r="A2917" s="9" t="str">
        <f>IFERROR(__xludf.DUMMYFUNCTION("""COMPUTED_VALUE"""),"G-REQ-02916")</f>
        <v>G-REQ-02916</v>
      </c>
      <c r="B2917" s="11">
        <f>IFERROR(__xludf.DUMMYFUNCTION("""COMPUTED_VALUE"""),45968.86009105161)</f>
        <v>45968.86009</v>
      </c>
      <c r="C2917" s="9">
        <f>IFERROR(__xludf.DUMMYFUNCTION("""COMPUTED_VALUE"""),11427.0)</f>
        <v>11427</v>
      </c>
      <c r="D2917" s="9" t="str">
        <f>IFERROR(__xludf.DUMMYFUNCTION("""COMPUTED_VALUE"""),"Completed")</f>
        <v>Completed</v>
      </c>
    </row>
    <row r="2918">
      <c r="A2918" s="9" t="str">
        <f>IFERROR(__xludf.DUMMYFUNCTION("""COMPUTED_VALUE"""),"G-REQ-02917")</f>
        <v>G-REQ-02917</v>
      </c>
      <c r="B2918" s="11">
        <f>IFERROR(__xludf.DUMMYFUNCTION("""COMPUTED_VALUE"""),45968.93126589703)</f>
        <v>45968.93127</v>
      </c>
      <c r="C2918" s="9">
        <f>IFERROR(__xludf.DUMMYFUNCTION("""COMPUTED_VALUE"""),11431.0)</f>
        <v>11431</v>
      </c>
      <c r="D2918" s="9" t="str">
        <f>IFERROR(__xludf.DUMMYFUNCTION("""COMPUTED_VALUE"""),"Completed")</f>
        <v>Completed</v>
      </c>
    </row>
    <row r="2919">
      <c r="A2919" s="9" t="str">
        <f>IFERROR(__xludf.DUMMYFUNCTION("""COMPUTED_VALUE"""),"G-REQ-02918")</f>
        <v>G-REQ-02918</v>
      </c>
      <c r="B2919" s="11">
        <f>IFERROR(__xludf.DUMMYFUNCTION("""COMPUTED_VALUE"""),45969.00244074244)</f>
        <v>45969.00244</v>
      </c>
      <c r="C2919" s="9">
        <f>IFERROR(__xludf.DUMMYFUNCTION("""COMPUTED_VALUE"""),11435.0)</f>
        <v>11435</v>
      </c>
      <c r="D2919" s="9" t="str">
        <f>IFERROR(__xludf.DUMMYFUNCTION("""COMPUTED_VALUE"""),"Completed")</f>
        <v>Completed</v>
      </c>
    </row>
    <row r="2920">
      <c r="A2920" s="9" t="str">
        <f>IFERROR(__xludf.DUMMYFUNCTION("""COMPUTED_VALUE"""),"G-REQ-02919")</f>
        <v>G-REQ-02919</v>
      </c>
      <c r="B2920" s="11">
        <f>IFERROR(__xludf.DUMMYFUNCTION("""COMPUTED_VALUE"""),45969.073615587855)</f>
        <v>45969.07362</v>
      </c>
      <c r="C2920" s="9">
        <f>IFERROR(__xludf.DUMMYFUNCTION("""COMPUTED_VALUE"""),11439.0)</f>
        <v>11439</v>
      </c>
      <c r="D2920" s="9" t="str">
        <f>IFERROR(__xludf.DUMMYFUNCTION("""COMPUTED_VALUE"""),"Completed")</f>
        <v>Completed</v>
      </c>
    </row>
    <row r="2921">
      <c r="A2921" s="9" t="str">
        <f>IFERROR(__xludf.DUMMYFUNCTION("""COMPUTED_VALUE"""),"G-REQ-02920")</f>
        <v>G-REQ-02920</v>
      </c>
      <c r="B2921" s="11">
        <f>IFERROR(__xludf.DUMMYFUNCTION("""COMPUTED_VALUE"""),45969.144790433274)</f>
        <v>45969.14479</v>
      </c>
      <c r="C2921" s="9">
        <f>IFERROR(__xludf.DUMMYFUNCTION("""COMPUTED_VALUE"""),11443.0)</f>
        <v>11443</v>
      </c>
      <c r="D2921" s="9" t="str">
        <f>IFERROR(__xludf.DUMMYFUNCTION("""COMPUTED_VALUE"""),"Completed")</f>
        <v>Completed</v>
      </c>
    </row>
    <row r="2922">
      <c r="A2922" s="9" t="str">
        <f>IFERROR(__xludf.DUMMYFUNCTION("""COMPUTED_VALUE"""),"G-REQ-02921")</f>
        <v>G-REQ-02921</v>
      </c>
      <c r="B2922" s="11">
        <f>IFERROR(__xludf.DUMMYFUNCTION("""COMPUTED_VALUE"""),45969.21596527869)</f>
        <v>45969.21597</v>
      </c>
      <c r="C2922" s="9">
        <f>IFERROR(__xludf.DUMMYFUNCTION("""COMPUTED_VALUE"""),11447.0)</f>
        <v>11447</v>
      </c>
      <c r="D2922" s="9" t="str">
        <f>IFERROR(__xludf.DUMMYFUNCTION("""COMPUTED_VALUE"""),"Completed")</f>
        <v>Completed</v>
      </c>
    </row>
    <row r="2923">
      <c r="A2923" s="9" t="str">
        <f>IFERROR(__xludf.DUMMYFUNCTION("""COMPUTED_VALUE"""),"G-REQ-02922")</f>
        <v>G-REQ-02922</v>
      </c>
      <c r="B2923" s="11">
        <f>IFERROR(__xludf.DUMMYFUNCTION("""COMPUTED_VALUE"""),45969.2871401241)</f>
        <v>45969.28714</v>
      </c>
      <c r="C2923" s="9">
        <f>IFERROR(__xludf.DUMMYFUNCTION("""COMPUTED_VALUE"""),11451.0)</f>
        <v>11451</v>
      </c>
      <c r="D2923" s="9" t="str">
        <f>IFERROR(__xludf.DUMMYFUNCTION("""COMPUTED_VALUE"""),"Completed")</f>
        <v>Completed</v>
      </c>
    </row>
    <row r="2924">
      <c r="A2924" s="9" t="str">
        <f>IFERROR(__xludf.DUMMYFUNCTION("""COMPUTED_VALUE"""),"G-REQ-02923")</f>
        <v>G-REQ-02923</v>
      </c>
      <c r="B2924" s="11">
        <f>IFERROR(__xludf.DUMMYFUNCTION("""COMPUTED_VALUE"""),45969.35831496952)</f>
        <v>45969.35831</v>
      </c>
      <c r="C2924" s="9">
        <f>IFERROR(__xludf.DUMMYFUNCTION("""COMPUTED_VALUE"""),11455.0)</f>
        <v>11455</v>
      </c>
      <c r="D2924" s="9" t="str">
        <f>IFERROR(__xludf.DUMMYFUNCTION("""COMPUTED_VALUE"""),"Completed")</f>
        <v>Completed</v>
      </c>
    </row>
    <row r="2925">
      <c r="A2925" s="9" t="str">
        <f>IFERROR(__xludf.DUMMYFUNCTION("""COMPUTED_VALUE"""),"G-REQ-02924")</f>
        <v>G-REQ-02924</v>
      </c>
      <c r="B2925" s="11">
        <f>IFERROR(__xludf.DUMMYFUNCTION("""COMPUTED_VALUE"""),45969.422545370486)</f>
        <v>45969.42255</v>
      </c>
      <c r="C2925" s="9">
        <f>IFERROR(__xludf.DUMMYFUNCTION("""COMPUTED_VALUE"""),11457.0)</f>
        <v>11457</v>
      </c>
      <c r="D2925" s="9" t="str">
        <f>IFERROR(__xludf.DUMMYFUNCTION("""COMPUTED_VALUE"""),"Rejected")</f>
        <v>Rejected</v>
      </c>
    </row>
    <row r="2926">
      <c r="A2926" s="9" t="str">
        <f>IFERROR(__xludf.DUMMYFUNCTION("""COMPUTED_VALUE"""),"G-REQ-02925")</f>
        <v>G-REQ-02925</v>
      </c>
      <c r="B2926" s="11">
        <f>IFERROR(__xludf.DUMMYFUNCTION("""COMPUTED_VALUE"""),45969.50066466034)</f>
        <v>45969.50066</v>
      </c>
      <c r="C2926" s="9">
        <f>IFERROR(__xludf.DUMMYFUNCTION("""COMPUTED_VALUE"""),11461.0)</f>
        <v>11461</v>
      </c>
      <c r="D2926" s="9" t="str">
        <f>IFERROR(__xludf.DUMMYFUNCTION("""COMPUTED_VALUE"""),"Completed")</f>
        <v>Completed</v>
      </c>
    </row>
    <row r="2927">
      <c r="A2927" s="9" t="str">
        <f>IFERROR(__xludf.DUMMYFUNCTION("""COMPUTED_VALUE"""),"G-REQ-02926")</f>
        <v>G-REQ-02926</v>
      </c>
      <c r="B2927" s="11">
        <f>IFERROR(__xludf.DUMMYFUNCTION("""COMPUTED_VALUE"""),45969.57183950576)</f>
        <v>45969.57184</v>
      </c>
      <c r="C2927" s="9">
        <f>IFERROR(__xludf.DUMMYFUNCTION("""COMPUTED_VALUE"""),11465.0)</f>
        <v>11465</v>
      </c>
      <c r="D2927" s="9" t="str">
        <f>IFERROR(__xludf.DUMMYFUNCTION("""COMPUTED_VALUE"""),"Completed")</f>
        <v>Completed</v>
      </c>
    </row>
    <row r="2928">
      <c r="A2928" s="9" t="str">
        <f>IFERROR(__xludf.DUMMYFUNCTION("""COMPUTED_VALUE"""),"G-REQ-02927")</f>
        <v>G-REQ-02927</v>
      </c>
      <c r="B2928" s="11">
        <f>IFERROR(__xludf.DUMMYFUNCTION("""COMPUTED_VALUE"""),45969.64301435118)</f>
        <v>45969.64301</v>
      </c>
      <c r="C2928" s="9">
        <f>IFERROR(__xludf.DUMMYFUNCTION("""COMPUTED_VALUE"""),11469.0)</f>
        <v>11469</v>
      </c>
      <c r="D2928" s="9" t="str">
        <f>IFERROR(__xludf.DUMMYFUNCTION("""COMPUTED_VALUE"""),"Completed")</f>
        <v>Completed</v>
      </c>
    </row>
    <row r="2929">
      <c r="A2929" s="9" t="str">
        <f>IFERROR(__xludf.DUMMYFUNCTION("""COMPUTED_VALUE"""),"G-REQ-02928")</f>
        <v>G-REQ-02928</v>
      </c>
      <c r="B2929" s="11">
        <f>IFERROR(__xludf.DUMMYFUNCTION("""COMPUTED_VALUE"""),45969.71418919659)</f>
        <v>45969.71419</v>
      </c>
      <c r="C2929" s="9">
        <f>IFERROR(__xludf.DUMMYFUNCTION("""COMPUTED_VALUE"""),11473.0)</f>
        <v>11473</v>
      </c>
      <c r="D2929" s="9" t="str">
        <f>IFERROR(__xludf.DUMMYFUNCTION("""COMPUTED_VALUE"""),"Completed")</f>
        <v>Completed</v>
      </c>
    </row>
    <row r="2930">
      <c r="A2930" s="9" t="str">
        <f>IFERROR(__xludf.DUMMYFUNCTION("""COMPUTED_VALUE"""),"G-REQ-02929")</f>
        <v>G-REQ-02929</v>
      </c>
      <c r="B2930" s="11">
        <f>IFERROR(__xludf.DUMMYFUNCTION("""COMPUTED_VALUE"""),45969.78536404201)</f>
        <v>45969.78536</v>
      </c>
      <c r="C2930" s="9">
        <f>IFERROR(__xludf.DUMMYFUNCTION("""COMPUTED_VALUE"""),11477.0)</f>
        <v>11477</v>
      </c>
      <c r="D2930" s="9" t="str">
        <f>IFERROR(__xludf.DUMMYFUNCTION("""COMPUTED_VALUE"""),"Completed")</f>
        <v>Completed</v>
      </c>
    </row>
    <row r="2931">
      <c r="A2931" s="9" t="str">
        <f>IFERROR(__xludf.DUMMYFUNCTION("""COMPUTED_VALUE"""),"G-REQ-02930")</f>
        <v>G-REQ-02930</v>
      </c>
      <c r="B2931" s="11">
        <f>IFERROR(__xludf.DUMMYFUNCTION("""COMPUTED_VALUE"""),45969.85653888743)</f>
        <v>45969.85654</v>
      </c>
      <c r="C2931" s="9">
        <f>IFERROR(__xludf.DUMMYFUNCTION("""COMPUTED_VALUE"""),11481.0)</f>
        <v>11481</v>
      </c>
      <c r="D2931" s="9" t="str">
        <f>IFERROR(__xludf.DUMMYFUNCTION("""COMPUTED_VALUE"""),"Completed")</f>
        <v>Completed</v>
      </c>
    </row>
    <row r="2932">
      <c r="A2932" s="9" t="str">
        <f>IFERROR(__xludf.DUMMYFUNCTION("""COMPUTED_VALUE"""),"G-REQ-02931")</f>
        <v>G-REQ-02931</v>
      </c>
      <c r="B2932" s="11">
        <f>IFERROR(__xludf.DUMMYFUNCTION("""COMPUTED_VALUE"""),45969.92771373284)</f>
        <v>45969.92771</v>
      </c>
      <c r="C2932" s="9">
        <f>IFERROR(__xludf.DUMMYFUNCTION("""COMPUTED_VALUE"""),11485.0)</f>
        <v>11485</v>
      </c>
      <c r="D2932" s="9" t="str">
        <f>IFERROR(__xludf.DUMMYFUNCTION("""COMPUTED_VALUE"""),"Completed")</f>
        <v>Completed</v>
      </c>
    </row>
    <row r="2933">
      <c r="A2933" s="9" t="str">
        <f>IFERROR(__xludf.DUMMYFUNCTION("""COMPUTED_VALUE"""),"G-REQ-02932")</f>
        <v>G-REQ-02932</v>
      </c>
      <c r="B2933" s="11">
        <f>IFERROR(__xludf.DUMMYFUNCTION("""COMPUTED_VALUE"""),45969.99888857825)</f>
        <v>45969.99889</v>
      </c>
      <c r="C2933" s="9">
        <f>IFERROR(__xludf.DUMMYFUNCTION("""COMPUTED_VALUE"""),11489.0)</f>
        <v>11489</v>
      </c>
      <c r="D2933" s="9" t="str">
        <f>IFERROR(__xludf.DUMMYFUNCTION("""COMPUTED_VALUE"""),"Completed")</f>
        <v>Completed</v>
      </c>
    </row>
    <row r="2934">
      <c r="A2934" s="9" t="str">
        <f>IFERROR(__xludf.DUMMYFUNCTION("""COMPUTED_VALUE"""),"G-REQ-02933")</f>
        <v>G-REQ-02933</v>
      </c>
      <c r="B2934" s="11">
        <f>IFERROR(__xludf.DUMMYFUNCTION("""COMPUTED_VALUE"""),45970.063118979226)</f>
        <v>45970.06312</v>
      </c>
      <c r="C2934" s="9">
        <f>IFERROR(__xludf.DUMMYFUNCTION("""COMPUTED_VALUE"""),11491.0)</f>
        <v>11491</v>
      </c>
      <c r="D2934" s="9" t="str">
        <f>IFERROR(__xludf.DUMMYFUNCTION("""COMPUTED_VALUE"""),"Rejected")</f>
        <v>Rejected</v>
      </c>
    </row>
    <row r="2935">
      <c r="A2935" s="9" t="str">
        <f>IFERROR(__xludf.DUMMYFUNCTION("""COMPUTED_VALUE"""),"G-REQ-02934")</f>
        <v>G-REQ-02934</v>
      </c>
      <c r="B2935" s="11">
        <f>IFERROR(__xludf.DUMMYFUNCTION("""COMPUTED_VALUE"""),45970.14123826908)</f>
        <v>45970.14124</v>
      </c>
      <c r="C2935" s="9">
        <f>IFERROR(__xludf.DUMMYFUNCTION("""COMPUTED_VALUE"""),11495.0)</f>
        <v>11495</v>
      </c>
      <c r="D2935" s="9" t="str">
        <f>IFERROR(__xludf.DUMMYFUNCTION("""COMPUTED_VALUE"""),"Completed")</f>
        <v>Completed</v>
      </c>
    </row>
    <row r="2936">
      <c r="A2936" s="9" t="str">
        <f>IFERROR(__xludf.DUMMYFUNCTION("""COMPUTED_VALUE"""),"G-REQ-02935")</f>
        <v>G-REQ-02935</v>
      </c>
      <c r="B2936" s="11">
        <f>IFERROR(__xludf.DUMMYFUNCTION("""COMPUTED_VALUE"""),45970.212413114496)</f>
        <v>45970.21241</v>
      </c>
      <c r="C2936" s="9">
        <f>IFERROR(__xludf.DUMMYFUNCTION("""COMPUTED_VALUE"""),11499.0)</f>
        <v>11499</v>
      </c>
      <c r="D2936" s="9" t="str">
        <f>IFERROR(__xludf.DUMMYFUNCTION("""COMPUTED_VALUE"""),"Completed")</f>
        <v>Completed</v>
      </c>
    </row>
    <row r="2937">
      <c r="A2937" s="9" t="str">
        <f>IFERROR(__xludf.DUMMYFUNCTION("""COMPUTED_VALUE"""),"G-REQ-02936")</f>
        <v>G-REQ-02936</v>
      </c>
      <c r="B2937" s="11">
        <f>IFERROR(__xludf.DUMMYFUNCTION("""COMPUTED_VALUE"""),45970.283587959915)</f>
        <v>45970.28359</v>
      </c>
      <c r="C2937" s="9">
        <f>IFERROR(__xludf.DUMMYFUNCTION("""COMPUTED_VALUE"""),11503.0)</f>
        <v>11503</v>
      </c>
      <c r="D2937" s="9" t="str">
        <f>IFERROR(__xludf.DUMMYFUNCTION("""COMPUTED_VALUE"""),"Completed")</f>
        <v>Completed</v>
      </c>
    </row>
    <row r="2938">
      <c r="A2938" s="9" t="str">
        <f>IFERROR(__xludf.DUMMYFUNCTION("""COMPUTED_VALUE"""),"G-REQ-02937")</f>
        <v>G-REQ-02937</v>
      </c>
      <c r="B2938" s="11">
        <f>IFERROR(__xludf.DUMMYFUNCTION("""COMPUTED_VALUE"""),45970.35476280533)</f>
        <v>45970.35476</v>
      </c>
      <c r="C2938" s="9">
        <f>IFERROR(__xludf.DUMMYFUNCTION("""COMPUTED_VALUE"""),11507.0)</f>
        <v>11507</v>
      </c>
      <c r="D2938" s="9" t="str">
        <f>IFERROR(__xludf.DUMMYFUNCTION("""COMPUTED_VALUE"""),"Completed")</f>
        <v>Completed</v>
      </c>
    </row>
    <row r="2939">
      <c r="A2939" s="9" t="str">
        <f>IFERROR(__xludf.DUMMYFUNCTION("""COMPUTED_VALUE"""),"G-REQ-02938")</f>
        <v>G-REQ-02938</v>
      </c>
      <c r="B2939" s="11">
        <f>IFERROR(__xludf.DUMMYFUNCTION("""COMPUTED_VALUE"""),45970.418993206295)</f>
        <v>45970.41899</v>
      </c>
      <c r="C2939" s="9">
        <f>IFERROR(__xludf.DUMMYFUNCTION("""COMPUTED_VALUE"""),11509.0)</f>
        <v>11509</v>
      </c>
      <c r="D2939" s="9" t="str">
        <f>IFERROR(__xludf.DUMMYFUNCTION("""COMPUTED_VALUE"""),"Cancelled")</f>
        <v>Cancelled</v>
      </c>
    </row>
    <row r="2940">
      <c r="A2940" s="9" t="str">
        <f>IFERROR(__xludf.DUMMYFUNCTION("""COMPUTED_VALUE"""),"G-REQ-02939")</f>
        <v>G-REQ-02939</v>
      </c>
      <c r="B2940" s="11">
        <f>IFERROR(__xludf.DUMMYFUNCTION("""COMPUTED_VALUE"""),45970.49711249616)</f>
        <v>45970.49711</v>
      </c>
      <c r="C2940" s="9">
        <f>IFERROR(__xludf.DUMMYFUNCTION("""COMPUTED_VALUE"""),11513.0)</f>
        <v>11513</v>
      </c>
      <c r="D2940" s="9" t="str">
        <f>IFERROR(__xludf.DUMMYFUNCTION("""COMPUTED_VALUE"""),"Completed")</f>
        <v>Completed</v>
      </c>
    </row>
    <row r="2941">
      <c r="A2941" s="9" t="str">
        <f>IFERROR(__xludf.DUMMYFUNCTION("""COMPUTED_VALUE"""),"G-REQ-02940")</f>
        <v>G-REQ-02940</v>
      </c>
      <c r="B2941" s="11">
        <f>IFERROR(__xludf.DUMMYFUNCTION("""COMPUTED_VALUE"""),45970.56828734157)</f>
        <v>45970.56829</v>
      </c>
      <c r="C2941" s="9">
        <f>IFERROR(__xludf.DUMMYFUNCTION("""COMPUTED_VALUE"""),11517.0)</f>
        <v>11517</v>
      </c>
      <c r="D2941" s="9" t="str">
        <f>IFERROR(__xludf.DUMMYFUNCTION("""COMPUTED_VALUE"""),"Completed")</f>
        <v>Completed</v>
      </c>
    </row>
    <row r="2942">
      <c r="A2942" s="9" t="str">
        <f>IFERROR(__xludf.DUMMYFUNCTION("""COMPUTED_VALUE"""),"G-REQ-02941")</f>
        <v>G-REQ-02941</v>
      </c>
      <c r="B2942" s="11">
        <f>IFERROR(__xludf.DUMMYFUNCTION("""COMPUTED_VALUE"""),45970.639462186984)</f>
        <v>45970.63946</v>
      </c>
      <c r="C2942" s="9">
        <f>IFERROR(__xludf.DUMMYFUNCTION("""COMPUTED_VALUE"""),11521.0)</f>
        <v>11521</v>
      </c>
      <c r="D2942" s="9" t="str">
        <f>IFERROR(__xludf.DUMMYFUNCTION("""COMPUTED_VALUE"""),"Completed")</f>
        <v>Completed</v>
      </c>
    </row>
    <row r="2943">
      <c r="A2943" s="9" t="str">
        <f>IFERROR(__xludf.DUMMYFUNCTION("""COMPUTED_VALUE"""),"G-REQ-02942")</f>
        <v>G-REQ-02942</v>
      </c>
      <c r="B2943" s="11">
        <f>IFERROR(__xludf.DUMMYFUNCTION("""COMPUTED_VALUE"""),45970.7106370324)</f>
        <v>45970.71064</v>
      </c>
      <c r="C2943" s="9">
        <f>IFERROR(__xludf.DUMMYFUNCTION("""COMPUTED_VALUE"""),11525.0)</f>
        <v>11525</v>
      </c>
      <c r="D2943" s="9" t="str">
        <f>IFERROR(__xludf.DUMMYFUNCTION("""COMPUTED_VALUE"""),"Completed")</f>
        <v>Completed</v>
      </c>
    </row>
    <row r="2944">
      <c r="A2944" s="9" t="str">
        <f>IFERROR(__xludf.DUMMYFUNCTION("""COMPUTED_VALUE"""),"G-REQ-02943")</f>
        <v>G-REQ-02943</v>
      </c>
      <c r="B2944" s="11">
        <f>IFERROR(__xludf.DUMMYFUNCTION("""COMPUTED_VALUE"""),45970.78181187782)</f>
        <v>45970.78181</v>
      </c>
      <c r="C2944" s="9">
        <f>IFERROR(__xludf.DUMMYFUNCTION("""COMPUTED_VALUE"""),11529.0)</f>
        <v>11529</v>
      </c>
      <c r="D2944" s="9" t="str">
        <f>IFERROR(__xludf.DUMMYFUNCTION("""COMPUTED_VALUE"""),"Completed")</f>
        <v>Completed</v>
      </c>
    </row>
    <row r="2945">
      <c r="A2945" s="9" t="str">
        <f>IFERROR(__xludf.DUMMYFUNCTION("""COMPUTED_VALUE"""),"G-REQ-02944")</f>
        <v>G-REQ-02944</v>
      </c>
      <c r="B2945" s="11">
        <f>IFERROR(__xludf.DUMMYFUNCTION("""COMPUTED_VALUE"""),45970.85298672323)</f>
        <v>45970.85299</v>
      </c>
      <c r="C2945" s="9">
        <f>IFERROR(__xludf.DUMMYFUNCTION("""COMPUTED_VALUE"""),11533.0)</f>
        <v>11533</v>
      </c>
      <c r="D2945" s="9" t="str">
        <f>IFERROR(__xludf.DUMMYFUNCTION("""COMPUTED_VALUE"""),"Completed")</f>
        <v>Completed</v>
      </c>
    </row>
    <row r="2946">
      <c r="A2946" s="9" t="str">
        <f>IFERROR(__xludf.DUMMYFUNCTION("""COMPUTED_VALUE"""),"G-REQ-02945")</f>
        <v>G-REQ-02945</v>
      </c>
      <c r="B2946" s="11">
        <f>IFERROR(__xludf.DUMMYFUNCTION("""COMPUTED_VALUE"""),45970.92416156865)</f>
        <v>45970.92416</v>
      </c>
      <c r="C2946" s="9">
        <f>IFERROR(__xludf.DUMMYFUNCTION("""COMPUTED_VALUE"""),11537.0)</f>
        <v>11537</v>
      </c>
      <c r="D2946" s="9" t="str">
        <f>IFERROR(__xludf.DUMMYFUNCTION("""COMPUTED_VALUE"""),"Completed")</f>
        <v>Completed</v>
      </c>
    </row>
    <row r="2947">
      <c r="A2947" s="9" t="str">
        <f>IFERROR(__xludf.DUMMYFUNCTION("""COMPUTED_VALUE"""),"G-REQ-02946")</f>
        <v>G-REQ-02946</v>
      </c>
      <c r="B2947" s="11">
        <f>IFERROR(__xludf.DUMMYFUNCTION("""COMPUTED_VALUE"""),45970.99533641407)</f>
        <v>45970.99534</v>
      </c>
      <c r="C2947" s="9">
        <f>IFERROR(__xludf.DUMMYFUNCTION("""COMPUTED_VALUE"""),11541.0)</f>
        <v>11541</v>
      </c>
      <c r="D2947" s="9" t="str">
        <f>IFERROR(__xludf.DUMMYFUNCTION("""COMPUTED_VALUE"""),"Completed")</f>
        <v>Completed</v>
      </c>
    </row>
    <row r="2948">
      <c r="A2948" s="9" t="str">
        <f>IFERROR(__xludf.DUMMYFUNCTION("""COMPUTED_VALUE"""),"G-REQ-02947")</f>
        <v>G-REQ-02947</v>
      </c>
      <c r="B2948" s="11">
        <f>IFERROR(__xludf.DUMMYFUNCTION("""COMPUTED_VALUE"""),45971.06651125948)</f>
        <v>45971.06651</v>
      </c>
      <c r="C2948" s="9">
        <f>IFERROR(__xludf.DUMMYFUNCTION("""COMPUTED_VALUE"""),11545.0)</f>
        <v>11545</v>
      </c>
      <c r="D2948" s="9" t="str">
        <f>IFERROR(__xludf.DUMMYFUNCTION("""COMPUTED_VALUE"""),"Completed")</f>
        <v>Completed</v>
      </c>
    </row>
    <row r="2949">
      <c r="A2949" s="9" t="str">
        <f>IFERROR(__xludf.DUMMYFUNCTION("""COMPUTED_VALUE"""),"G-REQ-02948")</f>
        <v>G-REQ-02948</v>
      </c>
      <c r="B2949" s="11">
        <f>IFERROR(__xludf.DUMMYFUNCTION("""COMPUTED_VALUE"""),45971.13768610489)</f>
        <v>45971.13769</v>
      </c>
      <c r="C2949" s="9">
        <f>IFERROR(__xludf.DUMMYFUNCTION("""COMPUTED_VALUE"""),11549.0)</f>
        <v>11549</v>
      </c>
      <c r="D2949" s="9" t="str">
        <f>IFERROR(__xludf.DUMMYFUNCTION("""COMPUTED_VALUE"""),"Completed")</f>
        <v>Completed</v>
      </c>
    </row>
    <row r="2950">
      <c r="A2950" s="9" t="str">
        <f>IFERROR(__xludf.DUMMYFUNCTION("""COMPUTED_VALUE"""),"G-REQ-02949")</f>
        <v>G-REQ-02949</v>
      </c>
      <c r="B2950" s="11">
        <f>IFERROR(__xludf.DUMMYFUNCTION("""COMPUTED_VALUE"""),45971.20886095031)</f>
        <v>45971.20886</v>
      </c>
      <c r="C2950" s="9">
        <f>IFERROR(__xludf.DUMMYFUNCTION("""COMPUTED_VALUE"""),11553.0)</f>
        <v>11553</v>
      </c>
      <c r="D2950" s="9" t="str">
        <f>IFERROR(__xludf.DUMMYFUNCTION("""COMPUTED_VALUE"""),"Completed")</f>
        <v>Completed</v>
      </c>
    </row>
    <row r="2951">
      <c r="A2951" s="9" t="str">
        <f>IFERROR(__xludf.DUMMYFUNCTION("""COMPUTED_VALUE"""),"G-REQ-02950")</f>
        <v>G-REQ-02950</v>
      </c>
      <c r="B2951" s="11">
        <f>IFERROR(__xludf.DUMMYFUNCTION("""COMPUTED_VALUE"""),45971.280035795724)</f>
        <v>45971.28004</v>
      </c>
      <c r="C2951" s="9">
        <f>IFERROR(__xludf.DUMMYFUNCTION("""COMPUTED_VALUE"""),11557.0)</f>
        <v>11557</v>
      </c>
      <c r="D2951" s="9" t="str">
        <f>IFERROR(__xludf.DUMMYFUNCTION("""COMPUTED_VALUE"""),"Completed")</f>
        <v>Completed</v>
      </c>
    </row>
    <row r="2952">
      <c r="A2952" s="9" t="str">
        <f>IFERROR(__xludf.DUMMYFUNCTION("""COMPUTED_VALUE"""),"G-REQ-02951")</f>
        <v>G-REQ-02951</v>
      </c>
      <c r="B2952" s="11">
        <f>IFERROR(__xludf.DUMMYFUNCTION("""COMPUTED_VALUE"""),45971.351210641136)</f>
        <v>45971.35121</v>
      </c>
      <c r="C2952" s="9">
        <f>IFERROR(__xludf.DUMMYFUNCTION("""COMPUTED_VALUE"""),11561.0)</f>
        <v>11561</v>
      </c>
      <c r="D2952" s="9" t="str">
        <f>IFERROR(__xludf.DUMMYFUNCTION("""COMPUTED_VALUE"""),"Completed")</f>
        <v>Completed</v>
      </c>
    </row>
    <row r="2953">
      <c r="A2953" s="9" t="str">
        <f>IFERROR(__xludf.DUMMYFUNCTION("""COMPUTED_VALUE"""),"G-REQ-02952")</f>
        <v>G-REQ-02952</v>
      </c>
      <c r="B2953" s="11">
        <f>IFERROR(__xludf.DUMMYFUNCTION("""COMPUTED_VALUE"""),45971.422385486556)</f>
        <v>45971.42239</v>
      </c>
      <c r="C2953" s="9">
        <f>IFERROR(__xludf.DUMMYFUNCTION("""COMPUTED_VALUE"""),11565.0)</f>
        <v>11565</v>
      </c>
      <c r="D2953" s="9" t="str">
        <f>IFERROR(__xludf.DUMMYFUNCTION("""COMPUTED_VALUE"""),"Completed")</f>
        <v>Completed</v>
      </c>
    </row>
    <row r="2954">
      <c r="A2954" s="9" t="str">
        <f>IFERROR(__xludf.DUMMYFUNCTION("""COMPUTED_VALUE"""),"G-REQ-02953")</f>
        <v>G-REQ-02953</v>
      </c>
      <c r="B2954" s="11">
        <f>IFERROR(__xludf.DUMMYFUNCTION("""COMPUTED_VALUE"""),45971.49356033197)</f>
        <v>45971.49356</v>
      </c>
      <c r="C2954" s="9">
        <f>IFERROR(__xludf.DUMMYFUNCTION("""COMPUTED_VALUE"""),11569.0)</f>
        <v>11569</v>
      </c>
      <c r="D2954" s="9" t="str">
        <f>IFERROR(__xludf.DUMMYFUNCTION("""COMPUTED_VALUE"""),"Completed")</f>
        <v>Completed</v>
      </c>
    </row>
    <row r="2955">
      <c r="A2955" s="9" t="str">
        <f>IFERROR(__xludf.DUMMYFUNCTION("""COMPUTED_VALUE"""),"G-REQ-02954")</f>
        <v>G-REQ-02954</v>
      </c>
      <c r="B2955" s="11">
        <f>IFERROR(__xludf.DUMMYFUNCTION("""COMPUTED_VALUE"""),45971.557790732935)</f>
        <v>45971.55779</v>
      </c>
      <c r="C2955" s="9">
        <f>IFERROR(__xludf.DUMMYFUNCTION("""COMPUTED_VALUE"""),11571.0)</f>
        <v>11571</v>
      </c>
      <c r="D2955" s="9" t="str">
        <f>IFERROR(__xludf.DUMMYFUNCTION("""COMPUTED_VALUE"""),"Rejected")</f>
        <v>Rejected</v>
      </c>
    </row>
    <row r="2956">
      <c r="A2956" s="9" t="str">
        <f>IFERROR(__xludf.DUMMYFUNCTION("""COMPUTED_VALUE"""),"G-REQ-02955")</f>
        <v>G-REQ-02955</v>
      </c>
      <c r="B2956" s="11">
        <f>IFERROR(__xludf.DUMMYFUNCTION("""COMPUTED_VALUE"""),45971.6359100228)</f>
        <v>45971.63591</v>
      </c>
      <c r="C2956" s="9">
        <f>IFERROR(__xludf.DUMMYFUNCTION("""COMPUTED_VALUE"""),11575.0)</f>
        <v>11575</v>
      </c>
      <c r="D2956" s="9" t="str">
        <f>IFERROR(__xludf.DUMMYFUNCTION("""COMPUTED_VALUE"""),"Completed")</f>
        <v>Completed</v>
      </c>
    </row>
    <row r="2957">
      <c r="A2957" s="9" t="str">
        <f>IFERROR(__xludf.DUMMYFUNCTION("""COMPUTED_VALUE"""),"G-REQ-02956")</f>
        <v>G-REQ-02956</v>
      </c>
      <c r="B2957" s="11">
        <f>IFERROR(__xludf.DUMMYFUNCTION("""COMPUTED_VALUE"""),45971.70708486821)</f>
        <v>45971.70708</v>
      </c>
      <c r="C2957" s="9">
        <f>IFERROR(__xludf.DUMMYFUNCTION("""COMPUTED_VALUE"""),11579.0)</f>
        <v>11579</v>
      </c>
      <c r="D2957" s="9" t="str">
        <f>IFERROR(__xludf.DUMMYFUNCTION("""COMPUTED_VALUE"""),"Completed")</f>
        <v>Completed</v>
      </c>
    </row>
    <row r="2958">
      <c r="A2958" s="9" t="str">
        <f>IFERROR(__xludf.DUMMYFUNCTION("""COMPUTED_VALUE"""),"G-REQ-02957")</f>
        <v>G-REQ-02957</v>
      </c>
      <c r="B2958" s="11">
        <f>IFERROR(__xludf.DUMMYFUNCTION("""COMPUTED_VALUE"""),45971.778259713625)</f>
        <v>45971.77826</v>
      </c>
      <c r="C2958" s="9">
        <f>IFERROR(__xludf.DUMMYFUNCTION("""COMPUTED_VALUE"""),11583.0)</f>
        <v>11583</v>
      </c>
      <c r="D2958" s="9" t="str">
        <f>IFERROR(__xludf.DUMMYFUNCTION("""COMPUTED_VALUE"""),"Completed")</f>
        <v>Completed</v>
      </c>
    </row>
    <row r="2959">
      <c r="A2959" s="9" t="str">
        <f>IFERROR(__xludf.DUMMYFUNCTION("""COMPUTED_VALUE"""),"G-REQ-02958")</f>
        <v>G-REQ-02958</v>
      </c>
      <c r="B2959" s="11">
        <f>IFERROR(__xludf.DUMMYFUNCTION("""COMPUTED_VALUE"""),45971.849434559044)</f>
        <v>45971.84943</v>
      </c>
      <c r="C2959" s="9">
        <f>IFERROR(__xludf.DUMMYFUNCTION("""COMPUTED_VALUE"""),11587.0)</f>
        <v>11587</v>
      </c>
      <c r="D2959" s="9" t="str">
        <f>IFERROR(__xludf.DUMMYFUNCTION("""COMPUTED_VALUE"""),"Completed")</f>
        <v>Completed</v>
      </c>
    </row>
    <row r="2960">
      <c r="A2960" s="9" t="str">
        <f>IFERROR(__xludf.DUMMYFUNCTION("""COMPUTED_VALUE"""),"G-REQ-02959")</f>
        <v>G-REQ-02959</v>
      </c>
      <c r="B2960" s="11">
        <f>IFERROR(__xludf.DUMMYFUNCTION("""COMPUTED_VALUE"""),45971.920609404464)</f>
        <v>45971.92061</v>
      </c>
      <c r="C2960" s="9">
        <f>IFERROR(__xludf.DUMMYFUNCTION("""COMPUTED_VALUE"""),11591.0)</f>
        <v>11591</v>
      </c>
      <c r="D2960" s="9" t="str">
        <f>IFERROR(__xludf.DUMMYFUNCTION("""COMPUTED_VALUE"""),"Completed")</f>
        <v>Completed</v>
      </c>
    </row>
    <row r="2961">
      <c r="A2961" s="9" t="str">
        <f>IFERROR(__xludf.DUMMYFUNCTION("""COMPUTED_VALUE"""),"G-REQ-02960")</f>
        <v>G-REQ-02960</v>
      </c>
      <c r="B2961" s="11">
        <f>IFERROR(__xludf.DUMMYFUNCTION("""COMPUTED_VALUE"""),45971.991784249876)</f>
        <v>45971.99178</v>
      </c>
      <c r="C2961" s="9">
        <f>IFERROR(__xludf.DUMMYFUNCTION("""COMPUTED_VALUE"""),11595.0)</f>
        <v>11595</v>
      </c>
      <c r="D2961" s="9" t="str">
        <f>IFERROR(__xludf.DUMMYFUNCTION("""COMPUTED_VALUE"""),"Completed")</f>
        <v>Completed</v>
      </c>
    </row>
    <row r="2962">
      <c r="A2962" s="9" t="str">
        <f>IFERROR(__xludf.DUMMYFUNCTION("""COMPUTED_VALUE"""),"G-REQ-02961")</f>
        <v>G-REQ-02961</v>
      </c>
      <c r="B2962" s="11">
        <f>IFERROR(__xludf.DUMMYFUNCTION("""COMPUTED_VALUE"""),45972.06295909529)</f>
        <v>45972.06296</v>
      </c>
      <c r="C2962" s="9">
        <f>IFERROR(__xludf.DUMMYFUNCTION("""COMPUTED_VALUE"""),11599.0)</f>
        <v>11599</v>
      </c>
      <c r="D2962" s="9" t="str">
        <f>IFERROR(__xludf.DUMMYFUNCTION("""COMPUTED_VALUE"""),"Completed")</f>
        <v>Completed</v>
      </c>
    </row>
    <row r="2963">
      <c r="A2963" s="9" t="str">
        <f>IFERROR(__xludf.DUMMYFUNCTION("""COMPUTED_VALUE"""),"G-REQ-02962")</f>
        <v>G-REQ-02962</v>
      </c>
      <c r="B2963" s="11">
        <f>IFERROR(__xludf.DUMMYFUNCTION("""COMPUTED_VALUE"""),45972.13413394071)</f>
        <v>45972.13413</v>
      </c>
      <c r="C2963" s="9">
        <f>IFERROR(__xludf.DUMMYFUNCTION("""COMPUTED_VALUE"""),11603.0)</f>
        <v>11603</v>
      </c>
      <c r="D2963" s="9" t="str">
        <f>IFERROR(__xludf.DUMMYFUNCTION("""COMPUTED_VALUE"""),"Completed")</f>
        <v>Completed</v>
      </c>
    </row>
    <row r="2964">
      <c r="A2964" s="9" t="str">
        <f>IFERROR(__xludf.DUMMYFUNCTION("""COMPUTED_VALUE"""),"G-REQ-02963")</f>
        <v>G-REQ-02963</v>
      </c>
      <c r="B2964" s="11">
        <f>IFERROR(__xludf.DUMMYFUNCTION("""COMPUTED_VALUE"""),45972.20530878612)</f>
        <v>45972.20531</v>
      </c>
      <c r="C2964" s="9">
        <f>IFERROR(__xludf.DUMMYFUNCTION("""COMPUTED_VALUE"""),11607.0)</f>
        <v>11607</v>
      </c>
      <c r="D2964" s="9" t="str">
        <f>IFERROR(__xludf.DUMMYFUNCTION("""COMPUTED_VALUE"""),"Completed")</f>
        <v>Completed</v>
      </c>
    </row>
    <row r="2965">
      <c r="A2965" s="9" t="str">
        <f>IFERROR(__xludf.DUMMYFUNCTION("""COMPUTED_VALUE"""),"G-REQ-02964")</f>
        <v>G-REQ-02964</v>
      </c>
      <c r="B2965" s="11">
        <f>IFERROR(__xludf.DUMMYFUNCTION("""COMPUTED_VALUE"""),45972.27648363153)</f>
        <v>45972.27648</v>
      </c>
      <c r="C2965" s="9">
        <f>IFERROR(__xludf.DUMMYFUNCTION("""COMPUTED_VALUE"""),11611.0)</f>
        <v>11611</v>
      </c>
      <c r="D2965" s="9" t="str">
        <f>IFERROR(__xludf.DUMMYFUNCTION("""COMPUTED_VALUE"""),"Completed")</f>
        <v>Completed</v>
      </c>
    </row>
    <row r="2966">
      <c r="A2966" s="9" t="str">
        <f>IFERROR(__xludf.DUMMYFUNCTION("""COMPUTED_VALUE"""),"G-REQ-02965")</f>
        <v>G-REQ-02965</v>
      </c>
      <c r="B2966" s="11">
        <f>IFERROR(__xludf.DUMMYFUNCTION("""COMPUTED_VALUE"""),45972.34765847695)</f>
        <v>45972.34766</v>
      </c>
      <c r="C2966" s="9">
        <f>IFERROR(__xludf.DUMMYFUNCTION("""COMPUTED_VALUE"""),11615.0)</f>
        <v>11615</v>
      </c>
      <c r="D2966" s="9" t="str">
        <f>IFERROR(__xludf.DUMMYFUNCTION("""COMPUTED_VALUE"""),"Completed")</f>
        <v>Completed</v>
      </c>
    </row>
    <row r="2967">
      <c r="A2967" s="9" t="str">
        <f>IFERROR(__xludf.DUMMYFUNCTION("""COMPUTED_VALUE"""),"G-REQ-02966")</f>
        <v>G-REQ-02966</v>
      </c>
      <c r="B2967" s="11">
        <f>IFERROR(__xludf.DUMMYFUNCTION("""COMPUTED_VALUE"""),45972.418833322365)</f>
        <v>45972.41883</v>
      </c>
      <c r="C2967" s="9">
        <f>IFERROR(__xludf.DUMMYFUNCTION("""COMPUTED_VALUE"""),11619.0)</f>
        <v>11619</v>
      </c>
      <c r="D2967" s="9" t="str">
        <f>IFERROR(__xludf.DUMMYFUNCTION("""COMPUTED_VALUE"""),"Completed")</f>
        <v>Completed</v>
      </c>
    </row>
    <row r="2968">
      <c r="A2968" s="9" t="str">
        <f>IFERROR(__xludf.DUMMYFUNCTION("""COMPUTED_VALUE"""),"G-REQ-02967")</f>
        <v>G-REQ-02967</v>
      </c>
      <c r="B2968" s="11">
        <f>IFERROR(__xludf.DUMMYFUNCTION("""COMPUTED_VALUE"""),45972.49000816778)</f>
        <v>45972.49001</v>
      </c>
      <c r="C2968" s="9">
        <f>IFERROR(__xludf.DUMMYFUNCTION("""COMPUTED_VALUE"""),11623.0)</f>
        <v>11623</v>
      </c>
      <c r="D2968" s="9" t="str">
        <f>IFERROR(__xludf.DUMMYFUNCTION("""COMPUTED_VALUE"""),"Completed")</f>
        <v>Completed</v>
      </c>
    </row>
    <row r="2969">
      <c r="A2969" s="9" t="str">
        <f>IFERROR(__xludf.DUMMYFUNCTION("""COMPUTED_VALUE"""),"G-REQ-02968")</f>
        <v>G-REQ-02968</v>
      </c>
      <c r="B2969" s="11">
        <f>IFERROR(__xludf.DUMMYFUNCTION("""COMPUTED_VALUE"""),45972.5611830132)</f>
        <v>45972.56118</v>
      </c>
      <c r="C2969" s="9">
        <f>IFERROR(__xludf.DUMMYFUNCTION("""COMPUTED_VALUE"""),11627.0)</f>
        <v>11627</v>
      </c>
      <c r="D2969" s="9" t="str">
        <f>IFERROR(__xludf.DUMMYFUNCTION("""COMPUTED_VALUE"""),"Completed")</f>
        <v>Completed</v>
      </c>
    </row>
    <row r="2970">
      <c r="A2970" s="9" t="str">
        <f>IFERROR(__xludf.DUMMYFUNCTION("""COMPUTED_VALUE"""),"G-REQ-02969")</f>
        <v>G-REQ-02969</v>
      </c>
      <c r="B2970" s="11">
        <f>IFERROR(__xludf.DUMMYFUNCTION("""COMPUTED_VALUE"""),45972.63235785861)</f>
        <v>45972.63236</v>
      </c>
      <c r="C2970" s="9">
        <f>IFERROR(__xludf.DUMMYFUNCTION("""COMPUTED_VALUE"""),11631.0)</f>
        <v>11631</v>
      </c>
      <c r="D2970" s="9" t="str">
        <f>IFERROR(__xludf.DUMMYFUNCTION("""COMPUTED_VALUE"""),"Completed")</f>
        <v>Completed</v>
      </c>
    </row>
    <row r="2971">
      <c r="A2971" s="9" t="str">
        <f>IFERROR(__xludf.DUMMYFUNCTION("""COMPUTED_VALUE"""),"G-REQ-02970")</f>
        <v>G-REQ-02970</v>
      </c>
      <c r="B2971" s="11">
        <f>IFERROR(__xludf.DUMMYFUNCTION("""COMPUTED_VALUE"""),45972.70353270402)</f>
        <v>45972.70353</v>
      </c>
      <c r="C2971" s="9">
        <f>IFERROR(__xludf.DUMMYFUNCTION("""COMPUTED_VALUE"""),11635.0)</f>
        <v>11635</v>
      </c>
      <c r="D2971" s="9" t="str">
        <f>IFERROR(__xludf.DUMMYFUNCTION("""COMPUTED_VALUE"""),"Completed")</f>
        <v>Completed</v>
      </c>
    </row>
    <row r="2972">
      <c r="A2972" s="9" t="str">
        <f>IFERROR(__xludf.DUMMYFUNCTION("""COMPUTED_VALUE"""),"G-REQ-02971")</f>
        <v>G-REQ-02971</v>
      </c>
      <c r="B2972" s="11">
        <f>IFERROR(__xludf.DUMMYFUNCTION("""COMPUTED_VALUE"""),45972.77470754944)</f>
        <v>45972.77471</v>
      </c>
      <c r="C2972" s="9">
        <f>IFERROR(__xludf.DUMMYFUNCTION("""COMPUTED_VALUE"""),11639.0)</f>
        <v>11639</v>
      </c>
      <c r="D2972" s="9" t="str">
        <f>IFERROR(__xludf.DUMMYFUNCTION("""COMPUTED_VALUE"""),"Completed")</f>
        <v>Completed</v>
      </c>
    </row>
    <row r="2973">
      <c r="A2973" s="9" t="str">
        <f>IFERROR(__xludf.DUMMYFUNCTION("""COMPUTED_VALUE"""),"G-REQ-02972")</f>
        <v>G-REQ-02972</v>
      </c>
      <c r="B2973" s="11">
        <f>IFERROR(__xludf.DUMMYFUNCTION("""COMPUTED_VALUE"""),45972.84588239486)</f>
        <v>45972.84588</v>
      </c>
      <c r="C2973" s="9">
        <f>IFERROR(__xludf.DUMMYFUNCTION("""COMPUTED_VALUE"""),11643.0)</f>
        <v>11643</v>
      </c>
      <c r="D2973" s="9" t="str">
        <f>IFERROR(__xludf.DUMMYFUNCTION("""COMPUTED_VALUE"""),"Completed")</f>
        <v>Completed</v>
      </c>
    </row>
    <row r="2974">
      <c r="A2974" s="9" t="str">
        <f>IFERROR(__xludf.DUMMYFUNCTION("""COMPUTED_VALUE"""),"G-REQ-02973")</f>
        <v>G-REQ-02973</v>
      </c>
      <c r="B2974" s="11">
        <f>IFERROR(__xludf.DUMMYFUNCTION("""COMPUTED_VALUE"""),45972.917057240265)</f>
        <v>45972.91706</v>
      </c>
      <c r="C2974" s="9">
        <f>IFERROR(__xludf.DUMMYFUNCTION("""COMPUTED_VALUE"""),11647.0)</f>
        <v>11647</v>
      </c>
      <c r="D2974" s="9" t="str">
        <f>IFERROR(__xludf.DUMMYFUNCTION("""COMPUTED_VALUE"""),"Completed")</f>
        <v>Completed</v>
      </c>
    </row>
    <row r="2975">
      <c r="A2975" s="9" t="str">
        <f>IFERROR(__xludf.DUMMYFUNCTION("""COMPUTED_VALUE"""),"G-REQ-02974")</f>
        <v>G-REQ-02974</v>
      </c>
      <c r="B2975" s="11">
        <f>IFERROR(__xludf.DUMMYFUNCTION("""COMPUTED_VALUE"""),45972.988232085685)</f>
        <v>45972.98823</v>
      </c>
      <c r="C2975" s="9">
        <f>IFERROR(__xludf.DUMMYFUNCTION("""COMPUTED_VALUE"""),11651.0)</f>
        <v>11651</v>
      </c>
      <c r="D2975" s="9" t="str">
        <f>IFERROR(__xludf.DUMMYFUNCTION("""COMPUTED_VALUE"""),"Completed")</f>
        <v>Completed</v>
      </c>
    </row>
    <row r="2976">
      <c r="A2976" s="9" t="str">
        <f>IFERROR(__xludf.DUMMYFUNCTION("""COMPUTED_VALUE"""),"G-REQ-02975")</f>
        <v>G-REQ-02975</v>
      </c>
      <c r="B2976" s="11">
        <f>IFERROR(__xludf.DUMMYFUNCTION("""COMPUTED_VALUE"""),45973.059406931105)</f>
        <v>45973.05941</v>
      </c>
      <c r="C2976" s="9">
        <f>IFERROR(__xludf.DUMMYFUNCTION("""COMPUTED_VALUE"""),11655.0)</f>
        <v>11655</v>
      </c>
      <c r="D2976" s="9" t="str">
        <f>IFERROR(__xludf.DUMMYFUNCTION("""COMPUTED_VALUE"""),"Completed")</f>
        <v>Completed</v>
      </c>
    </row>
    <row r="2977">
      <c r="A2977" s="9" t="str">
        <f>IFERROR(__xludf.DUMMYFUNCTION("""COMPUTED_VALUE"""),"G-REQ-02976")</f>
        <v>G-REQ-02976</v>
      </c>
      <c r="B2977" s="11">
        <f>IFERROR(__xludf.DUMMYFUNCTION("""COMPUTED_VALUE"""),45973.13058177652)</f>
        <v>45973.13058</v>
      </c>
      <c r="C2977" s="9">
        <f>IFERROR(__xludf.DUMMYFUNCTION("""COMPUTED_VALUE"""),11659.0)</f>
        <v>11659</v>
      </c>
      <c r="D2977" s="9" t="str">
        <f>IFERROR(__xludf.DUMMYFUNCTION("""COMPUTED_VALUE"""),"Completed")</f>
        <v>Completed</v>
      </c>
    </row>
    <row r="2978">
      <c r="A2978" s="9" t="str">
        <f>IFERROR(__xludf.DUMMYFUNCTION("""COMPUTED_VALUE"""),"G-REQ-02977")</f>
        <v>G-REQ-02977</v>
      </c>
      <c r="B2978" s="11">
        <f>IFERROR(__xludf.DUMMYFUNCTION("""COMPUTED_VALUE"""),45973.20175662193)</f>
        <v>45973.20176</v>
      </c>
      <c r="C2978" s="9">
        <f>IFERROR(__xludf.DUMMYFUNCTION("""COMPUTED_VALUE"""),11663.0)</f>
        <v>11663</v>
      </c>
      <c r="D2978" s="9" t="str">
        <f>IFERROR(__xludf.DUMMYFUNCTION("""COMPUTED_VALUE"""),"Completed")</f>
        <v>Completed</v>
      </c>
    </row>
    <row r="2979">
      <c r="A2979" s="9" t="str">
        <f>IFERROR(__xludf.DUMMYFUNCTION("""COMPUTED_VALUE"""),"G-REQ-02978")</f>
        <v>G-REQ-02978</v>
      </c>
      <c r="B2979" s="11">
        <f>IFERROR(__xludf.DUMMYFUNCTION("""COMPUTED_VALUE"""),45973.27293146735)</f>
        <v>45973.27293</v>
      </c>
      <c r="C2979" s="9">
        <f>IFERROR(__xludf.DUMMYFUNCTION("""COMPUTED_VALUE"""),11667.0)</f>
        <v>11667</v>
      </c>
      <c r="D2979" s="9" t="str">
        <f>IFERROR(__xludf.DUMMYFUNCTION("""COMPUTED_VALUE"""),"Completed")</f>
        <v>Completed</v>
      </c>
    </row>
    <row r="2980">
      <c r="A2980" s="9" t="str">
        <f>IFERROR(__xludf.DUMMYFUNCTION("""COMPUTED_VALUE"""),"G-REQ-02979")</f>
        <v>G-REQ-02979</v>
      </c>
      <c r="B2980" s="11">
        <f>IFERROR(__xludf.DUMMYFUNCTION("""COMPUTED_VALUE"""),45973.34410631276)</f>
        <v>45973.34411</v>
      </c>
      <c r="C2980" s="9">
        <f>IFERROR(__xludf.DUMMYFUNCTION("""COMPUTED_VALUE"""),11671.0)</f>
        <v>11671</v>
      </c>
      <c r="D2980" s="9" t="str">
        <f>IFERROR(__xludf.DUMMYFUNCTION("""COMPUTED_VALUE"""),"Completed")</f>
        <v>Completed</v>
      </c>
    </row>
    <row r="2981">
      <c r="A2981" s="9" t="str">
        <f>IFERROR(__xludf.DUMMYFUNCTION("""COMPUTED_VALUE"""),"G-REQ-02980")</f>
        <v>G-REQ-02980</v>
      </c>
      <c r="B2981" s="11">
        <f>IFERROR(__xludf.DUMMYFUNCTION("""COMPUTED_VALUE"""),45973.41528115817)</f>
        <v>45973.41528</v>
      </c>
      <c r="C2981" s="9">
        <f>IFERROR(__xludf.DUMMYFUNCTION("""COMPUTED_VALUE"""),11675.0)</f>
        <v>11675</v>
      </c>
      <c r="D2981" s="9" t="str">
        <f>IFERROR(__xludf.DUMMYFUNCTION("""COMPUTED_VALUE"""),"Completed")</f>
        <v>Completed</v>
      </c>
    </row>
    <row r="2982">
      <c r="A2982" s="9" t="str">
        <f>IFERROR(__xludf.DUMMYFUNCTION("""COMPUTED_VALUE"""),"G-REQ-02981")</f>
        <v>G-REQ-02981</v>
      </c>
      <c r="B2982" s="11">
        <f>IFERROR(__xludf.DUMMYFUNCTION("""COMPUTED_VALUE"""),45973.48645600359)</f>
        <v>45973.48646</v>
      </c>
      <c r="C2982" s="9">
        <f>IFERROR(__xludf.DUMMYFUNCTION("""COMPUTED_VALUE"""),11679.0)</f>
        <v>11679</v>
      </c>
      <c r="D2982" s="9" t="str">
        <f>IFERROR(__xludf.DUMMYFUNCTION("""COMPUTED_VALUE"""),"Completed")</f>
        <v>Completed</v>
      </c>
    </row>
    <row r="2983">
      <c r="A2983" s="9" t="str">
        <f>IFERROR(__xludf.DUMMYFUNCTION("""COMPUTED_VALUE"""),"G-REQ-02982")</f>
        <v>G-REQ-02982</v>
      </c>
      <c r="B2983" s="11">
        <f>IFERROR(__xludf.DUMMYFUNCTION("""COMPUTED_VALUE"""),45973.557630849005)</f>
        <v>45973.55763</v>
      </c>
      <c r="C2983" s="9">
        <f>IFERROR(__xludf.DUMMYFUNCTION("""COMPUTED_VALUE"""),11683.0)</f>
        <v>11683</v>
      </c>
      <c r="D2983" s="9" t="str">
        <f>IFERROR(__xludf.DUMMYFUNCTION("""COMPUTED_VALUE"""),"Completed")</f>
        <v>Completed</v>
      </c>
    </row>
    <row r="2984">
      <c r="A2984" s="9" t="str">
        <f>IFERROR(__xludf.DUMMYFUNCTION("""COMPUTED_VALUE"""),"G-REQ-02983")</f>
        <v>G-REQ-02983</v>
      </c>
      <c r="B2984" s="11">
        <f>IFERROR(__xludf.DUMMYFUNCTION("""COMPUTED_VALUE"""),45973.62880569442)</f>
        <v>45973.62881</v>
      </c>
      <c r="C2984" s="9">
        <f>IFERROR(__xludf.DUMMYFUNCTION("""COMPUTED_VALUE"""),11687.0)</f>
        <v>11687</v>
      </c>
      <c r="D2984" s="9" t="str">
        <f>IFERROR(__xludf.DUMMYFUNCTION("""COMPUTED_VALUE"""),"Completed")</f>
        <v>Completed</v>
      </c>
    </row>
    <row r="2985">
      <c r="A2985" s="9" t="str">
        <f>IFERROR(__xludf.DUMMYFUNCTION("""COMPUTED_VALUE"""),"G-REQ-02984")</f>
        <v>G-REQ-02984</v>
      </c>
      <c r="B2985" s="11">
        <f>IFERROR(__xludf.DUMMYFUNCTION("""COMPUTED_VALUE"""),45973.69998053984)</f>
        <v>45973.69998</v>
      </c>
      <c r="C2985" s="9">
        <f>IFERROR(__xludf.DUMMYFUNCTION("""COMPUTED_VALUE"""),11691.0)</f>
        <v>11691</v>
      </c>
      <c r="D2985" s="9" t="str">
        <f>IFERROR(__xludf.DUMMYFUNCTION("""COMPUTED_VALUE"""),"Completed")</f>
        <v>Completed</v>
      </c>
    </row>
    <row r="2986">
      <c r="A2986" s="9" t="str">
        <f>IFERROR(__xludf.DUMMYFUNCTION("""COMPUTED_VALUE"""),"G-REQ-02985")</f>
        <v>G-REQ-02985</v>
      </c>
      <c r="B2986" s="11">
        <f>IFERROR(__xludf.DUMMYFUNCTION("""COMPUTED_VALUE"""),45973.77115538525)</f>
        <v>45973.77116</v>
      </c>
      <c r="C2986" s="9">
        <f>IFERROR(__xludf.DUMMYFUNCTION("""COMPUTED_VALUE"""),11695.0)</f>
        <v>11695</v>
      </c>
      <c r="D2986" s="9" t="str">
        <f>IFERROR(__xludf.DUMMYFUNCTION("""COMPUTED_VALUE"""),"Completed")</f>
        <v>Completed</v>
      </c>
    </row>
    <row r="2987">
      <c r="A2987" s="9" t="str">
        <f>IFERROR(__xludf.DUMMYFUNCTION("""COMPUTED_VALUE"""),"G-REQ-02986")</f>
        <v>G-REQ-02986</v>
      </c>
      <c r="B2987" s="11">
        <f>IFERROR(__xludf.DUMMYFUNCTION("""COMPUTED_VALUE"""),45973.84233023066)</f>
        <v>45973.84233</v>
      </c>
      <c r="C2987" s="9">
        <f>IFERROR(__xludf.DUMMYFUNCTION("""COMPUTED_VALUE"""),11699.0)</f>
        <v>11699</v>
      </c>
      <c r="D2987" s="9" t="str">
        <f>IFERROR(__xludf.DUMMYFUNCTION("""COMPUTED_VALUE"""),"Completed")</f>
        <v>Completed</v>
      </c>
    </row>
    <row r="2988">
      <c r="A2988" s="9" t="str">
        <f>IFERROR(__xludf.DUMMYFUNCTION("""COMPUTED_VALUE"""),"G-REQ-02987")</f>
        <v>G-REQ-02987</v>
      </c>
      <c r="B2988" s="11">
        <f>IFERROR(__xludf.DUMMYFUNCTION("""COMPUTED_VALUE"""),45973.91350507608)</f>
        <v>45973.91351</v>
      </c>
      <c r="C2988" s="9">
        <f>IFERROR(__xludf.DUMMYFUNCTION("""COMPUTED_VALUE"""),11703.0)</f>
        <v>11703</v>
      </c>
      <c r="D2988" s="9" t="str">
        <f>IFERROR(__xludf.DUMMYFUNCTION("""COMPUTED_VALUE"""),"Completed")</f>
        <v>Completed</v>
      </c>
    </row>
    <row r="2989">
      <c r="A2989" s="9" t="str">
        <f>IFERROR(__xludf.DUMMYFUNCTION("""COMPUTED_VALUE"""),"G-REQ-02988")</f>
        <v>G-REQ-02988</v>
      </c>
      <c r="B2989" s="11">
        <f>IFERROR(__xludf.DUMMYFUNCTION("""COMPUTED_VALUE"""),45973.9846799215)</f>
        <v>45973.98468</v>
      </c>
      <c r="C2989" s="9">
        <f>IFERROR(__xludf.DUMMYFUNCTION("""COMPUTED_VALUE"""),11707.0)</f>
        <v>11707</v>
      </c>
      <c r="D2989" s="9" t="str">
        <f>IFERROR(__xludf.DUMMYFUNCTION("""COMPUTED_VALUE"""),"Completed")</f>
        <v>Completed</v>
      </c>
    </row>
    <row r="2990">
      <c r="A2990" s="9" t="str">
        <f>IFERROR(__xludf.DUMMYFUNCTION("""COMPUTED_VALUE"""),"G-REQ-02989")</f>
        <v>G-REQ-02989</v>
      </c>
      <c r="B2990" s="11">
        <f>IFERROR(__xludf.DUMMYFUNCTION("""COMPUTED_VALUE"""),45974.055854766906)</f>
        <v>45974.05585</v>
      </c>
      <c r="C2990" s="9">
        <f>IFERROR(__xludf.DUMMYFUNCTION("""COMPUTED_VALUE"""),11711.0)</f>
        <v>11711</v>
      </c>
      <c r="D2990" s="9" t="str">
        <f>IFERROR(__xludf.DUMMYFUNCTION("""COMPUTED_VALUE"""),"Completed")</f>
        <v>Completed</v>
      </c>
    </row>
    <row r="2991">
      <c r="A2991" s="9" t="str">
        <f>IFERROR(__xludf.DUMMYFUNCTION("""COMPUTED_VALUE"""),"G-REQ-02990")</f>
        <v>G-REQ-02990</v>
      </c>
      <c r="B2991" s="11">
        <f>IFERROR(__xludf.DUMMYFUNCTION("""COMPUTED_VALUE"""),45974.127029612326)</f>
        <v>45974.12703</v>
      </c>
      <c r="C2991" s="9">
        <f>IFERROR(__xludf.DUMMYFUNCTION("""COMPUTED_VALUE"""),11715.0)</f>
        <v>11715</v>
      </c>
      <c r="D2991" s="9" t="str">
        <f>IFERROR(__xludf.DUMMYFUNCTION("""COMPUTED_VALUE"""),"Completed")</f>
        <v>Completed</v>
      </c>
    </row>
    <row r="2992">
      <c r="A2992" s="9" t="str">
        <f>IFERROR(__xludf.DUMMYFUNCTION("""COMPUTED_VALUE"""),"G-REQ-02991")</f>
        <v>G-REQ-02991</v>
      </c>
      <c r="B2992" s="11">
        <f>IFERROR(__xludf.DUMMYFUNCTION("""COMPUTED_VALUE"""),45974.198204457745)</f>
        <v>45974.1982</v>
      </c>
      <c r="C2992" s="9">
        <f>IFERROR(__xludf.DUMMYFUNCTION("""COMPUTED_VALUE"""),11719.0)</f>
        <v>11719</v>
      </c>
      <c r="D2992" s="9" t="str">
        <f>IFERROR(__xludf.DUMMYFUNCTION("""COMPUTED_VALUE"""),"Completed")</f>
        <v>Completed</v>
      </c>
    </row>
    <row r="2993">
      <c r="A2993" s="9" t="str">
        <f>IFERROR(__xludf.DUMMYFUNCTION("""COMPUTED_VALUE"""),"G-REQ-02992")</f>
        <v>G-REQ-02992</v>
      </c>
      <c r="B2993" s="11">
        <f>IFERROR(__xludf.DUMMYFUNCTION("""COMPUTED_VALUE"""),45974.26243485871)</f>
        <v>45974.26243</v>
      </c>
      <c r="C2993" s="9">
        <f>IFERROR(__xludf.DUMMYFUNCTION("""COMPUTED_VALUE"""),11721.0)</f>
        <v>11721</v>
      </c>
      <c r="D2993" s="9" t="str">
        <f>IFERROR(__xludf.DUMMYFUNCTION("""COMPUTED_VALUE"""),"Rejected")</f>
        <v>Rejected</v>
      </c>
    </row>
    <row r="2994">
      <c r="A2994" s="9" t="str">
        <f>IFERROR(__xludf.DUMMYFUNCTION("""COMPUTED_VALUE"""),"G-REQ-02993")</f>
        <v>G-REQ-02993</v>
      </c>
      <c r="B2994" s="11">
        <f>IFERROR(__xludf.DUMMYFUNCTION("""COMPUTED_VALUE"""),45974.34055414857)</f>
        <v>45974.34055</v>
      </c>
      <c r="C2994" s="9">
        <f>IFERROR(__xludf.DUMMYFUNCTION("""COMPUTED_VALUE"""),11725.0)</f>
        <v>11725</v>
      </c>
      <c r="D2994" s="9" t="str">
        <f>IFERROR(__xludf.DUMMYFUNCTION("""COMPUTED_VALUE"""),"Completed")</f>
        <v>Completed</v>
      </c>
    </row>
    <row r="2995">
      <c r="A2995" s="9" t="str">
        <f>IFERROR(__xludf.DUMMYFUNCTION("""COMPUTED_VALUE"""),"G-REQ-02994")</f>
        <v>G-REQ-02994</v>
      </c>
      <c r="B2995" s="11">
        <f>IFERROR(__xludf.DUMMYFUNCTION("""COMPUTED_VALUE"""),45974.41172899399)</f>
        <v>45974.41173</v>
      </c>
      <c r="C2995" s="9">
        <f>IFERROR(__xludf.DUMMYFUNCTION("""COMPUTED_VALUE"""),11729.0)</f>
        <v>11729</v>
      </c>
      <c r="D2995" s="9" t="str">
        <f>IFERROR(__xludf.DUMMYFUNCTION("""COMPUTED_VALUE"""),"Completed")</f>
        <v>Completed</v>
      </c>
    </row>
    <row r="2996">
      <c r="A2996" s="9" t="str">
        <f>IFERROR(__xludf.DUMMYFUNCTION("""COMPUTED_VALUE"""),"G-REQ-02995")</f>
        <v>G-REQ-02995</v>
      </c>
      <c r="B2996" s="11">
        <f>IFERROR(__xludf.DUMMYFUNCTION("""COMPUTED_VALUE"""),45974.4829038394)</f>
        <v>45974.4829</v>
      </c>
      <c r="C2996" s="9">
        <f>IFERROR(__xludf.DUMMYFUNCTION("""COMPUTED_VALUE"""),11733.0)</f>
        <v>11733</v>
      </c>
      <c r="D2996" s="9" t="str">
        <f>IFERROR(__xludf.DUMMYFUNCTION("""COMPUTED_VALUE"""),"Completed")</f>
        <v>Completed</v>
      </c>
    </row>
    <row r="2997">
      <c r="A2997" s="9" t="str">
        <f>IFERROR(__xludf.DUMMYFUNCTION("""COMPUTED_VALUE"""),"G-REQ-02996")</f>
        <v>G-REQ-02996</v>
      </c>
      <c r="B2997" s="11">
        <f>IFERROR(__xludf.DUMMYFUNCTION("""COMPUTED_VALUE"""),45974.554078684814)</f>
        <v>45974.55408</v>
      </c>
      <c r="C2997" s="9">
        <f>IFERROR(__xludf.DUMMYFUNCTION("""COMPUTED_VALUE"""),11737.0)</f>
        <v>11737</v>
      </c>
      <c r="D2997" s="9" t="str">
        <f>IFERROR(__xludf.DUMMYFUNCTION("""COMPUTED_VALUE"""),"Completed")</f>
        <v>Completed</v>
      </c>
    </row>
    <row r="2998">
      <c r="A2998" s="9" t="str">
        <f>IFERROR(__xludf.DUMMYFUNCTION("""COMPUTED_VALUE"""),"G-REQ-02997")</f>
        <v>G-REQ-02997</v>
      </c>
      <c r="B2998" s="11">
        <f>IFERROR(__xludf.DUMMYFUNCTION("""COMPUTED_VALUE"""),45974.625253530234)</f>
        <v>45974.62525</v>
      </c>
      <c r="C2998" s="9">
        <f>IFERROR(__xludf.DUMMYFUNCTION("""COMPUTED_VALUE"""),11741.0)</f>
        <v>11741</v>
      </c>
      <c r="D2998" s="9" t="str">
        <f>IFERROR(__xludf.DUMMYFUNCTION("""COMPUTED_VALUE"""),"Completed")</f>
        <v>Completed</v>
      </c>
    </row>
    <row r="2999">
      <c r="A2999" s="9" t="str">
        <f>IFERROR(__xludf.DUMMYFUNCTION("""COMPUTED_VALUE"""),"G-REQ-02998")</f>
        <v>G-REQ-02998</v>
      </c>
      <c r="B2999" s="11">
        <f>IFERROR(__xludf.DUMMYFUNCTION("""COMPUTED_VALUE"""),45974.696428375646)</f>
        <v>45974.69643</v>
      </c>
      <c r="C2999" s="9">
        <f>IFERROR(__xludf.DUMMYFUNCTION("""COMPUTED_VALUE"""),11745.0)</f>
        <v>11745</v>
      </c>
      <c r="D2999" s="9" t="str">
        <f>IFERROR(__xludf.DUMMYFUNCTION("""COMPUTED_VALUE"""),"Completed")</f>
        <v>Completed</v>
      </c>
    </row>
    <row r="3000">
      <c r="A3000" s="9" t="str">
        <f>IFERROR(__xludf.DUMMYFUNCTION("""COMPUTED_VALUE"""),"G-REQ-02999")</f>
        <v>G-REQ-02999</v>
      </c>
      <c r="B3000" s="11">
        <f>IFERROR(__xludf.DUMMYFUNCTION("""COMPUTED_VALUE"""),45974.76760322106)</f>
        <v>45974.7676</v>
      </c>
      <c r="C3000" s="9">
        <f>IFERROR(__xludf.DUMMYFUNCTION("""COMPUTED_VALUE"""),11749.0)</f>
        <v>11749</v>
      </c>
      <c r="D3000" s="9" t="str">
        <f>IFERROR(__xludf.DUMMYFUNCTION("""COMPUTED_VALUE"""),"Completed")</f>
        <v>Completed</v>
      </c>
    </row>
    <row r="3001">
      <c r="A3001" s="9" t="str">
        <f>IFERROR(__xludf.DUMMYFUNCTION("""COMPUTED_VALUE"""),"G-REQ-03000")</f>
        <v>G-REQ-03000</v>
      </c>
      <c r="B3001" s="11">
        <f>IFERROR(__xludf.DUMMYFUNCTION("""COMPUTED_VALUE"""),45974.83877806648)</f>
        <v>45974.83878</v>
      </c>
      <c r="C3001" s="9">
        <f>IFERROR(__xludf.DUMMYFUNCTION("""COMPUTED_VALUE"""),11753.0)</f>
        <v>11753</v>
      </c>
      <c r="D3001" s="9" t="str">
        <f>IFERROR(__xludf.DUMMYFUNCTION("""COMPUTED_VALUE"""),"Completed")</f>
        <v>Completed</v>
      </c>
    </row>
    <row r="3002">
      <c r="A3002" s="9" t="str">
        <f>IFERROR(__xludf.DUMMYFUNCTION("""COMPUTED_VALUE"""),"G-REQ-03001")</f>
        <v>G-REQ-03001</v>
      </c>
      <c r="B3002" s="11">
        <f>IFERROR(__xludf.DUMMYFUNCTION("""COMPUTED_VALUE"""),45974.90995291189)</f>
        <v>45974.90995</v>
      </c>
      <c r="C3002" s="9">
        <f>IFERROR(__xludf.DUMMYFUNCTION("""COMPUTED_VALUE"""),11757.0)</f>
        <v>11757</v>
      </c>
      <c r="D3002" s="9" t="str">
        <f>IFERROR(__xludf.DUMMYFUNCTION("""COMPUTED_VALUE"""),"Completed")</f>
        <v>Completed</v>
      </c>
    </row>
    <row r="3003">
      <c r="A3003" s="9" t="str">
        <f>IFERROR(__xludf.DUMMYFUNCTION("""COMPUTED_VALUE"""),"G-REQ-03002")</f>
        <v>G-REQ-03002</v>
      </c>
      <c r="B3003" s="11">
        <f>IFERROR(__xludf.DUMMYFUNCTION("""COMPUTED_VALUE"""),45974.98112775731)</f>
        <v>45974.98113</v>
      </c>
      <c r="C3003" s="9">
        <f>IFERROR(__xludf.DUMMYFUNCTION("""COMPUTED_VALUE"""),11761.0)</f>
        <v>11761</v>
      </c>
      <c r="D3003" s="9" t="str">
        <f>IFERROR(__xludf.DUMMYFUNCTION("""COMPUTED_VALUE"""),"Completed")</f>
        <v>Completed</v>
      </c>
    </row>
    <row r="3004">
      <c r="A3004" s="9" t="str">
        <f>IFERROR(__xludf.DUMMYFUNCTION("""COMPUTED_VALUE"""),"G-REQ-03003")</f>
        <v>G-REQ-03003</v>
      </c>
      <c r="B3004" s="11">
        <f>IFERROR(__xludf.DUMMYFUNCTION("""COMPUTED_VALUE"""),45975.04535815828)</f>
        <v>45975.04536</v>
      </c>
      <c r="C3004" s="9">
        <f>IFERROR(__xludf.DUMMYFUNCTION("""COMPUTED_VALUE"""),11763.0)</f>
        <v>11763</v>
      </c>
      <c r="D3004" s="9" t="str">
        <f>IFERROR(__xludf.DUMMYFUNCTION("""COMPUTED_VALUE"""),"Rejected")</f>
        <v>Rejected</v>
      </c>
    </row>
    <row r="3005">
      <c r="A3005" s="9" t="str">
        <f>IFERROR(__xludf.DUMMYFUNCTION("""COMPUTED_VALUE"""),"G-REQ-03004")</f>
        <v>G-REQ-03004</v>
      </c>
      <c r="B3005" s="11">
        <f>IFERROR(__xludf.DUMMYFUNCTION("""COMPUTED_VALUE"""),45975.12347744814)</f>
        <v>45975.12348</v>
      </c>
      <c r="C3005" s="9">
        <f>IFERROR(__xludf.DUMMYFUNCTION("""COMPUTED_VALUE"""),11767.0)</f>
        <v>11767</v>
      </c>
      <c r="D3005" s="9" t="str">
        <f>IFERROR(__xludf.DUMMYFUNCTION("""COMPUTED_VALUE"""),"Completed")</f>
        <v>Completed</v>
      </c>
    </row>
    <row r="3006">
      <c r="A3006" s="9" t="str">
        <f>IFERROR(__xludf.DUMMYFUNCTION("""COMPUTED_VALUE"""),"G-REQ-03005")</f>
        <v>G-REQ-03005</v>
      </c>
      <c r="B3006" s="11">
        <f>IFERROR(__xludf.DUMMYFUNCTION("""COMPUTED_VALUE"""),45975.19465229355)</f>
        <v>45975.19465</v>
      </c>
      <c r="C3006" s="9">
        <f>IFERROR(__xludf.DUMMYFUNCTION("""COMPUTED_VALUE"""),11771.0)</f>
        <v>11771</v>
      </c>
      <c r="D3006" s="9" t="str">
        <f>IFERROR(__xludf.DUMMYFUNCTION("""COMPUTED_VALUE"""),"Completed")</f>
        <v>Completed</v>
      </c>
    </row>
    <row r="3007">
      <c r="A3007" s="9" t="str">
        <f>IFERROR(__xludf.DUMMYFUNCTION("""COMPUTED_VALUE"""),"G-REQ-03006")</f>
        <v>G-REQ-03006</v>
      </c>
      <c r="B3007" s="11">
        <f>IFERROR(__xludf.DUMMYFUNCTION("""COMPUTED_VALUE"""),45975.26582713897)</f>
        <v>45975.26583</v>
      </c>
      <c r="C3007" s="9">
        <f>IFERROR(__xludf.DUMMYFUNCTION("""COMPUTED_VALUE"""),11775.0)</f>
        <v>11775</v>
      </c>
      <c r="D3007" s="9" t="str">
        <f>IFERROR(__xludf.DUMMYFUNCTION("""COMPUTED_VALUE"""),"Completed")</f>
        <v>Completed</v>
      </c>
    </row>
    <row r="3008">
      <c r="A3008" s="9" t="str">
        <f>IFERROR(__xludf.DUMMYFUNCTION("""COMPUTED_VALUE"""),"G-REQ-03007")</f>
        <v>G-REQ-03007</v>
      </c>
      <c r="B3008" s="11">
        <f>IFERROR(__xludf.DUMMYFUNCTION("""COMPUTED_VALUE"""),45975.337001984386)</f>
        <v>45975.337</v>
      </c>
      <c r="C3008" s="9">
        <f>IFERROR(__xludf.DUMMYFUNCTION("""COMPUTED_VALUE"""),11779.0)</f>
        <v>11779</v>
      </c>
      <c r="D3008" s="9" t="str">
        <f>IFERROR(__xludf.DUMMYFUNCTION("""COMPUTED_VALUE"""),"Completed")</f>
        <v>Completed</v>
      </c>
    </row>
    <row r="3009">
      <c r="A3009" s="9" t="str">
        <f>IFERROR(__xludf.DUMMYFUNCTION("""COMPUTED_VALUE"""),"G-REQ-03008")</f>
        <v>G-REQ-03008</v>
      </c>
      <c r="B3009" s="11">
        <f>IFERROR(__xludf.DUMMYFUNCTION("""COMPUTED_VALUE"""),45975.4081768298)</f>
        <v>45975.40818</v>
      </c>
      <c r="C3009" s="9">
        <f>IFERROR(__xludf.DUMMYFUNCTION("""COMPUTED_VALUE"""),11783.0)</f>
        <v>11783</v>
      </c>
      <c r="D3009" s="9" t="str">
        <f>IFERROR(__xludf.DUMMYFUNCTION("""COMPUTED_VALUE"""),"Completed")</f>
        <v>Completed</v>
      </c>
    </row>
    <row r="3010">
      <c r="A3010" s="9" t="str">
        <f>IFERROR(__xludf.DUMMYFUNCTION("""COMPUTED_VALUE"""),"G-REQ-03009")</f>
        <v>G-REQ-03009</v>
      </c>
      <c r="B3010" s="11">
        <f>IFERROR(__xludf.DUMMYFUNCTION("""COMPUTED_VALUE"""),45975.47935167521)</f>
        <v>45975.47935</v>
      </c>
      <c r="C3010" s="9">
        <f>IFERROR(__xludf.DUMMYFUNCTION("""COMPUTED_VALUE"""),11787.0)</f>
        <v>11787</v>
      </c>
      <c r="D3010" s="9" t="str">
        <f>IFERROR(__xludf.DUMMYFUNCTION("""COMPUTED_VALUE"""),"Completed")</f>
        <v>Completed</v>
      </c>
    </row>
    <row r="3011">
      <c r="A3011" s="9" t="str">
        <f>IFERROR(__xludf.DUMMYFUNCTION("""COMPUTED_VALUE"""),"G-REQ-03010")</f>
        <v>G-REQ-03010</v>
      </c>
      <c r="B3011" s="11">
        <f>IFERROR(__xludf.DUMMYFUNCTION("""COMPUTED_VALUE"""),45975.55052652063)</f>
        <v>45975.55053</v>
      </c>
      <c r="C3011" s="9">
        <f>IFERROR(__xludf.DUMMYFUNCTION("""COMPUTED_VALUE"""),11791.0)</f>
        <v>11791</v>
      </c>
      <c r="D3011" s="9" t="str">
        <f>IFERROR(__xludf.DUMMYFUNCTION("""COMPUTED_VALUE"""),"Completed")</f>
        <v>Completed</v>
      </c>
    </row>
    <row r="3012">
      <c r="A3012" s="9" t="str">
        <f>IFERROR(__xludf.DUMMYFUNCTION("""COMPUTED_VALUE"""),"G-REQ-03011")</f>
        <v>G-REQ-03011</v>
      </c>
      <c r="B3012" s="11">
        <f>IFERROR(__xludf.DUMMYFUNCTION("""COMPUTED_VALUE"""),45975.62170136604)</f>
        <v>45975.6217</v>
      </c>
      <c r="C3012" s="9">
        <f>IFERROR(__xludf.DUMMYFUNCTION("""COMPUTED_VALUE"""),11795.0)</f>
        <v>11795</v>
      </c>
      <c r="D3012" s="9" t="str">
        <f>IFERROR(__xludf.DUMMYFUNCTION("""COMPUTED_VALUE"""),"Completed")</f>
        <v>Completed</v>
      </c>
    </row>
    <row r="3013">
      <c r="A3013" s="9" t="str">
        <f>IFERROR(__xludf.DUMMYFUNCTION("""COMPUTED_VALUE"""),"G-REQ-03012")</f>
        <v>G-REQ-03012</v>
      </c>
      <c r="B3013" s="11">
        <f>IFERROR(__xludf.DUMMYFUNCTION("""COMPUTED_VALUE"""),45975.68593176701)</f>
        <v>45975.68593</v>
      </c>
      <c r="C3013" s="9">
        <f>IFERROR(__xludf.DUMMYFUNCTION("""COMPUTED_VALUE"""),11797.0)</f>
        <v>11797</v>
      </c>
      <c r="D3013" s="9" t="str">
        <f>IFERROR(__xludf.DUMMYFUNCTION("""COMPUTED_VALUE"""),"Rejected")</f>
        <v>Rejected</v>
      </c>
    </row>
    <row r="3014">
      <c r="A3014" s="9" t="str">
        <f>IFERROR(__xludf.DUMMYFUNCTION("""COMPUTED_VALUE"""),"G-REQ-03013")</f>
        <v>G-REQ-03013</v>
      </c>
      <c r="B3014" s="11">
        <f>IFERROR(__xludf.DUMMYFUNCTION("""COMPUTED_VALUE"""),45975.764051056874)</f>
        <v>45975.76405</v>
      </c>
      <c r="C3014" s="9">
        <f>IFERROR(__xludf.DUMMYFUNCTION("""COMPUTED_VALUE"""),11801.0)</f>
        <v>11801</v>
      </c>
      <c r="D3014" s="9" t="str">
        <f>IFERROR(__xludf.DUMMYFUNCTION("""COMPUTED_VALUE"""),"Completed")</f>
        <v>Completed</v>
      </c>
    </row>
    <row r="3015">
      <c r="A3015" s="9" t="str">
        <f>IFERROR(__xludf.DUMMYFUNCTION("""COMPUTED_VALUE"""),"G-REQ-03014")</f>
        <v>G-REQ-03014</v>
      </c>
      <c r="B3015" s="11">
        <f>IFERROR(__xludf.DUMMYFUNCTION("""COMPUTED_VALUE"""),45975.835225902294)</f>
        <v>45975.83523</v>
      </c>
      <c r="C3015" s="9">
        <f>IFERROR(__xludf.DUMMYFUNCTION("""COMPUTED_VALUE"""),11805.0)</f>
        <v>11805</v>
      </c>
      <c r="D3015" s="9" t="str">
        <f>IFERROR(__xludf.DUMMYFUNCTION("""COMPUTED_VALUE"""),"Completed")</f>
        <v>Completed</v>
      </c>
    </row>
    <row r="3016">
      <c r="A3016" s="9" t="str">
        <f>IFERROR(__xludf.DUMMYFUNCTION("""COMPUTED_VALUE"""),"G-REQ-03015")</f>
        <v>G-REQ-03015</v>
      </c>
      <c r="B3016" s="11">
        <f>IFERROR(__xludf.DUMMYFUNCTION("""COMPUTED_VALUE"""),45975.9064007477)</f>
        <v>45975.9064</v>
      </c>
      <c r="C3016" s="9">
        <f>IFERROR(__xludf.DUMMYFUNCTION("""COMPUTED_VALUE"""),11809.0)</f>
        <v>11809</v>
      </c>
      <c r="D3016" s="9" t="str">
        <f>IFERROR(__xludf.DUMMYFUNCTION("""COMPUTED_VALUE"""),"Completed")</f>
        <v>Completed</v>
      </c>
    </row>
    <row r="3017">
      <c r="A3017" s="9" t="str">
        <f>IFERROR(__xludf.DUMMYFUNCTION("""COMPUTED_VALUE"""),"G-REQ-03016")</f>
        <v>G-REQ-03016</v>
      </c>
      <c r="B3017" s="11">
        <f>IFERROR(__xludf.DUMMYFUNCTION("""COMPUTED_VALUE"""),45975.97757559312)</f>
        <v>45975.97758</v>
      </c>
      <c r="C3017" s="9">
        <f>IFERROR(__xludf.DUMMYFUNCTION("""COMPUTED_VALUE"""),11813.0)</f>
        <v>11813</v>
      </c>
      <c r="D3017" s="9" t="str">
        <f>IFERROR(__xludf.DUMMYFUNCTION("""COMPUTED_VALUE"""),"Completed")</f>
        <v>Completed</v>
      </c>
    </row>
    <row r="3018">
      <c r="A3018" s="9" t="str">
        <f>IFERROR(__xludf.DUMMYFUNCTION("""COMPUTED_VALUE"""),"G-REQ-03017")</f>
        <v>G-REQ-03017</v>
      </c>
      <c r="B3018" s="11">
        <f>IFERROR(__xludf.DUMMYFUNCTION("""COMPUTED_VALUE"""),45976.04875043853)</f>
        <v>45976.04875</v>
      </c>
      <c r="C3018" s="9">
        <f>IFERROR(__xludf.DUMMYFUNCTION("""COMPUTED_VALUE"""),11817.0)</f>
        <v>11817</v>
      </c>
      <c r="D3018" s="9" t="str">
        <f>IFERROR(__xludf.DUMMYFUNCTION("""COMPUTED_VALUE"""),"Completed")</f>
        <v>Completed</v>
      </c>
    </row>
    <row r="3019">
      <c r="A3019" s="9" t="str">
        <f>IFERROR(__xludf.DUMMYFUNCTION("""COMPUTED_VALUE"""),"G-REQ-03018")</f>
        <v>G-REQ-03018</v>
      </c>
      <c r="B3019" s="11">
        <f>IFERROR(__xludf.DUMMYFUNCTION("""COMPUTED_VALUE"""),45976.11992528395)</f>
        <v>45976.11993</v>
      </c>
      <c r="C3019" s="9">
        <f>IFERROR(__xludf.DUMMYFUNCTION("""COMPUTED_VALUE"""),11821.0)</f>
        <v>11821</v>
      </c>
      <c r="D3019" s="9" t="str">
        <f>IFERROR(__xludf.DUMMYFUNCTION("""COMPUTED_VALUE"""),"Completed")</f>
        <v>Completed</v>
      </c>
    </row>
    <row r="3020">
      <c r="A3020" s="9" t="str">
        <f>IFERROR(__xludf.DUMMYFUNCTION("""COMPUTED_VALUE"""),"G-REQ-03019")</f>
        <v>G-REQ-03019</v>
      </c>
      <c r="B3020" s="11">
        <f>IFERROR(__xludf.DUMMYFUNCTION("""COMPUTED_VALUE"""),45976.19110012936)</f>
        <v>45976.1911</v>
      </c>
      <c r="C3020" s="9">
        <f>IFERROR(__xludf.DUMMYFUNCTION("""COMPUTED_VALUE"""),11825.0)</f>
        <v>11825</v>
      </c>
      <c r="D3020" s="9" t="str">
        <f>IFERROR(__xludf.DUMMYFUNCTION("""COMPUTED_VALUE"""),"Completed")</f>
        <v>Completed</v>
      </c>
    </row>
    <row r="3021">
      <c r="A3021" s="9" t="str">
        <f>IFERROR(__xludf.DUMMYFUNCTION("""COMPUTED_VALUE"""),"G-REQ-03020")</f>
        <v>G-REQ-03020</v>
      </c>
      <c r="B3021" s="11">
        <f>IFERROR(__xludf.DUMMYFUNCTION("""COMPUTED_VALUE"""),45976.26227497478)</f>
        <v>45976.26227</v>
      </c>
      <c r="C3021" s="9">
        <f>IFERROR(__xludf.DUMMYFUNCTION("""COMPUTED_VALUE"""),11829.0)</f>
        <v>11829</v>
      </c>
      <c r="D3021" s="9" t="str">
        <f>IFERROR(__xludf.DUMMYFUNCTION("""COMPUTED_VALUE"""),"Completed")</f>
        <v>Completed</v>
      </c>
    </row>
    <row r="3022">
      <c r="A3022" s="9" t="str">
        <f>IFERROR(__xludf.DUMMYFUNCTION("""COMPUTED_VALUE"""),"G-REQ-03021")</f>
        <v>G-REQ-03021</v>
      </c>
      <c r="B3022" s="11">
        <f>IFERROR(__xludf.DUMMYFUNCTION("""COMPUTED_VALUE"""),45976.33344982019)</f>
        <v>45976.33345</v>
      </c>
      <c r="C3022" s="9">
        <f>IFERROR(__xludf.DUMMYFUNCTION("""COMPUTED_VALUE"""),11833.0)</f>
        <v>11833</v>
      </c>
      <c r="D3022" s="9" t="str">
        <f>IFERROR(__xludf.DUMMYFUNCTION("""COMPUTED_VALUE"""),"Completed")</f>
        <v>Completed</v>
      </c>
    </row>
    <row r="3023">
      <c r="A3023" s="9" t="str">
        <f>IFERROR(__xludf.DUMMYFUNCTION("""COMPUTED_VALUE"""),"G-REQ-03022")</f>
        <v>G-REQ-03022</v>
      </c>
      <c r="B3023" s="11">
        <f>IFERROR(__xludf.DUMMYFUNCTION("""COMPUTED_VALUE"""),45976.40462466561)</f>
        <v>45976.40462</v>
      </c>
      <c r="C3023" s="9">
        <f>IFERROR(__xludf.DUMMYFUNCTION("""COMPUTED_VALUE"""),11837.0)</f>
        <v>11837</v>
      </c>
      <c r="D3023" s="9" t="str">
        <f>IFERROR(__xludf.DUMMYFUNCTION("""COMPUTED_VALUE"""),"Completed")</f>
        <v>Completed</v>
      </c>
    </row>
    <row r="3024">
      <c r="A3024" s="9" t="str">
        <f>IFERROR(__xludf.DUMMYFUNCTION("""COMPUTED_VALUE"""),"G-REQ-03023")</f>
        <v>G-REQ-03023</v>
      </c>
      <c r="B3024" s="11">
        <f>IFERROR(__xludf.DUMMYFUNCTION("""COMPUTED_VALUE"""),45976.47579951103)</f>
        <v>45976.4758</v>
      </c>
      <c r="C3024" s="9">
        <f>IFERROR(__xludf.DUMMYFUNCTION("""COMPUTED_VALUE"""),11841.0)</f>
        <v>11841</v>
      </c>
      <c r="D3024" s="9" t="str">
        <f>IFERROR(__xludf.DUMMYFUNCTION("""COMPUTED_VALUE"""),"Completed")</f>
        <v>Completed</v>
      </c>
    </row>
    <row r="3025">
      <c r="A3025" s="9" t="str">
        <f>IFERROR(__xludf.DUMMYFUNCTION("""COMPUTED_VALUE"""),"G-REQ-03024")</f>
        <v>G-REQ-03024</v>
      </c>
      <c r="B3025" s="11">
        <f>IFERROR(__xludf.DUMMYFUNCTION("""COMPUTED_VALUE"""),45976.54697435644)</f>
        <v>45976.54697</v>
      </c>
      <c r="C3025" s="9">
        <f>IFERROR(__xludf.DUMMYFUNCTION("""COMPUTED_VALUE"""),11845.0)</f>
        <v>11845</v>
      </c>
      <c r="D3025" s="9" t="str">
        <f>IFERROR(__xludf.DUMMYFUNCTION("""COMPUTED_VALUE"""),"Completed")</f>
        <v>Completed</v>
      </c>
    </row>
    <row r="3026">
      <c r="A3026" s="9" t="str">
        <f>IFERROR(__xludf.DUMMYFUNCTION("""COMPUTED_VALUE"""),"G-REQ-03025")</f>
        <v>G-REQ-03025</v>
      </c>
      <c r="B3026" s="11">
        <f>IFERROR(__xludf.DUMMYFUNCTION("""COMPUTED_VALUE"""),45976.61814920185)</f>
        <v>45976.61815</v>
      </c>
      <c r="C3026" s="9">
        <f>IFERROR(__xludf.DUMMYFUNCTION("""COMPUTED_VALUE"""),11849.0)</f>
        <v>11849</v>
      </c>
      <c r="D3026" s="9" t="str">
        <f>IFERROR(__xludf.DUMMYFUNCTION("""COMPUTED_VALUE"""),"Completed")</f>
        <v>Completed</v>
      </c>
    </row>
    <row r="3027">
      <c r="A3027" s="9" t="str">
        <f>IFERROR(__xludf.DUMMYFUNCTION("""COMPUTED_VALUE"""),"G-REQ-03026")</f>
        <v>G-REQ-03026</v>
      </c>
      <c r="B3027" s="11">
        <f>IFERROR(__xludf.DUMMYFUNCTION("""COMPUTED_VALUE"""),45976.68932404727)</f>
        <v>45976.68932</v>
      </c>
      <c r="C3027" s="9">
        <f>IFERROR(__xludf.DUMMYFUNCTION("""COMPUTED_VALUE"""),11853.0)</f>
        <v>11853</v>
      </c>
      <c r="D3027" s="9" t="str">
        <f>IFERROR(__xludf.DUMMYFUNCTION("""COMPUTED_VALUE"""),"Completed")</f>
        <v>Completed</v>
      </c>
    </row>
    <row r="3028">
      <c r="A3028" s="9" t="str">
        <f>IFERROR(__xludf.DUMMYFUNCTION("""COMPUTED_VALUE"""),"G-REQ-03027")</f>
        <v>G-REQ-03027</v>
      </c>
      <c r="B3028" s="11">
        <f>IFERROR(__xludf.DUMMYFUNCTION("""COMPUTED_VALUE"""),45976.76049889268)</f>
        <v>45976.7605</v>
      </c>
      <c r="C3028" s="9">
        <f>IFERROR(__xludf.DUMMYFUNCTION("""COMPUTED_VALUE"""),11857.0)</f>
        <v>11857</v>
      </c>
      <c r="D3028" s="9" t="str">
        <f>IFERROR(__xludf.DUMMYFUNCTION("""COMPUTED_VALUE"""),"Completed")</f>
        <v>Completed</v>
      </c>
    </row>
    <row r="3029">
      <c r="A3029" s="9" t="str">
        <f>IFERROR(__xludf.DUMMYFUNCTION("""COMPUTED_VALUE"""),"G-REQ-03028")</f>
        <v>G-REQ-03028</v>
      </c>
      <c r="B3029" s="11">
        <f>IFERROR(__xludf.DUMMYFUNCTION("""COMPUTED_VALUE"""),45976.831673738096)</f>
        <v>45976.83167</v>
      </c>
      <c r="C3029" s="9">
        <f>IFERROR(__xludf.DUMMYFUNCTION("""COMPUTED_VALUE"""),11861.0)</f>
        <v>11861</v>
      </c>
      <c r="D3029" s="9" t="str">
        <f>IFERROR(__xludf.DUMMYFUNCTION("""COMPUTED_VALUE"""),"Completed")</f>
        <v>Completed</v>
      </c>
    </row>
    <row r="3030">
      <c r="A3030" s="9" t="str">
        <f>IFERROR(__xludf.DUMMYFUNCTION("""COMPUTED_VALUE"""),"G-REQ-03029")</f>
        <v>G-REQ-03029</v>
      </c>
      <c r="B3030" s="11">
        <f>IFERROR(__xludf.DUMMYFUNCTION("""COMPUTED_VALUE"""),45976.902848583515)</f>
        <v>45976.90285</v>
      </c>
      <c r="C3030" s="9">
        <f>IFERROR(__xludf.DUMMYFUNCTION("""COMPUTED_VALUE"""),11865.0)</f>
        <v>11865</v>
      </c>
      <c r="D3030" s="9" t="str">
        <f>IFERROR(__xludf.DUMMYFUNCTION("""COMPUTED_VALUE"""),"Completed")</f>
        <v>Completed</v>
      </c>
    </row>
    <row r="3031">
      <c r="A3031" s="9" t="str">
        <f>IFERROR(__xludf.DUMMYFUNCTION("""COMPUTED_VALUE"""),"G-REQ-03030")</f>
        <v>G-REQ-03030</v>
      </c>
      <c r="B3031" s="11">
        <f>IFERROR(__xludf.DUMMYFUNCTION("""COMPUTED_VALUE"""),45976.974023428935)</f>
        <v>45976.97402</v>
      </c>
      <c r="C3031" s="9">
        <f>IFERROR(__xludf.DUMMYFUNCTION("""COMPUTED_VALUE"""),11869.0)</f>
        <v>11869</v>
      </c>
      <c r="D3031" s="9" t="str">
        <f>IFERROR(__xludf.DUMMYFUNCTION("""COMPUTED_VALUE"""),"Completed")</f>
        <v>Completed</v>
      </c>
    </row>
    <row r="3032">
      <c r="A3032" s="9" t="str">
        <f>IFERROR(__xludf.DUMMYFUNCTION("""COMPUTED_VALUE"""),"G-REQ-03031")</f>
        <v>G-REQ-03031</v>
      </c>
      <c r="B3032" s="11">
        <f>IFERROR(__xludf.DUMMYFUNCTION("""COMPUTED_VALUE"""),45977.04519827434)</f>
        <v>45977.0452</v>
      </c>
      <c r="C3032" s="9">
        <f>IFERROR(__xludf.DUMMYFUNCTION("""COMPUTED_VALUE"""),11873.0)</f>
        <v>11873</v>
      </c>
      <c r="D3032" s="9" t="str">
        <f>IFERROR(__xludf.DUMMYFUNCTION("""COMPUTED_VALUE"""),"Completed")</f>
        <v>Completed</v>
      </c>
    </row>
    <row r="3033">
      <c r="A3033" s="9" t="str">
        <f>IFERROR(__xludf.DUMMYFUNCTION("""COMPUTED_VALUE"""),"G-REQ-03032")</f>
        <v>G-REQ-03032</v>
      </c>
      <c r="B3033" s="11">
        <f>IFERROR(__xludf.DUMMYFUNCTION("""COMPUTED_VALUE"""),45977.11637311976)</f>
        <v>45977.11637</v>
      </c>
      <c r="C3033" s="9">
        <f>IFERROR(__xludf.DUMMYFUNCTION("""COMPUTED_VALUE"""),11877.0)</f>
        <v>11877</v>
      </c>
      <c r="D3033" s="9" t="str">
        <f>IFERROR(__xludf.DUMMYFUNCTION("""COMPUTED_VALUE"""),"Completed")</f>
        <v>Completed</v>
      </c>
    </row>
    <row r="3034">
      <c r="A3034" s="9" t="str">
        <f>IFERROR(__xludf.DUMMYFUNCTION("""COMPUTED_VALUE"""),"G-REQ-03033")</f>
        <v>G-REQ-03033</v>
      </c>
      <c r="B3034" s="11">
        <f>IFERROR(__xludf.DUMMYFUNCTION("""COMPUTED_VALUE"""),45977.18754796518)</f>
        <v>45977.18755</v>
      </c>
      <c r="C3034" s="9">
        <f>IFERROR(__xludf.DUMMYFUNCTION("""COMPUTED_VALUE"""),11881.0)</f>
        <v>11881</v>
      </c>
      <c r="D3034" s="9" t="str">
        <f>IFERROR(__xludf.DUMMYFUNCTION("""COMPUTED_VALUE"""),"Completed")</f>
        <v>Completed</v>
      </c>
    </row>
    <row r="3035">
      <c r="A3035" s="9" t="str">
        <f>IFERROR(__xludf.DUMMYFUNCTION("""COMPUTED_VALUE"""),"G-REQ-03034")</f>
        <v>G-REQ-03034</v>
      </c>
      <c r="B3035" s="11">
        <f>IFERROR(__xludf.DUMMYFUNCTION("""COMPUTED_VALUE"""),45977.25872281059)</f>
        <v>45977.25872</v>
      </c>
      <c r="C3035" s="9">
        <f>IFERROR(__xludf.DUMMYFUNCTION("""COMPUTED_VALUE"""),11885.0)</f>
        <v>11885</v>
      </c>
      <c r="D3035" s="9" t="str">
        <f>IFERROR(__xludf.DUMMYFUNCTION("""COMPUTED_VALUE"""),"Completed")</f>
        <v>Completed</v>
      </c>
    </row>
    <row r="3036">
      <c r="A3036" s="9" t="str">
        <f>IFERROR(__xludf.DUMMYFUNCTION("""COMPUTED_VALUE"""),"G-REQ-03035")</f>
        <v>G-REQ-03035</v>
      </c>
      <c r="B3036" s="11">
        <f>IFERROR(__xludf.DUMMYFUNCTION("""COMPUTED_VALUE"""),45977.329897656)</f>
        <v>45977.3299</v>
      </c>
      <c r="C3036" s="9">
        <f>IFERROR(__xludf.DUMMYFUNCTION("""COMPUTED_VALUE"""),11889.0)</f>
        <v>11889</v>
      </c>
      <c r="D3036" s="9" t="str">
        <f>IFERROR(__xludf.DUMMYFUNCTION("""COMPUTED_VALUE"""),"Completed")</f>
        <v>Completed</v>
      </c>
    </row>
    <row r="3037">
      <c r="A3037" s="9" t="str">
        <f>IFERROR(__xludf.DUMMYFUNCTION("""COMPUTED_VALUE"""),"G-REQ-03036")</f>
        <v>G-REQ-03036</v>
      </c>
      <c r="B3037" s="11">
        <f>IFERROR(__xludf.DUMMYFUNCTION("""COMPUTED_VALUE"""),45977.39412805698)</f>
        <v>45977.39413</v>
      </c>
      <c r="C3037" s="9">
        <f>IFERROR(__xludf.DUMMYFUNCTION("""COMPUTED_VALUE"""),11891.0)</f>
        <v>11891</v>
      </c>
      <c r="D3037" s="9" t="str">
        <f>IFERROR(__xludf.DUMMYFUNCTION("""COMPUTED_VALUE"""),"Rejected")</f>
        <v>Rejected</v>
      </c>
    </row>
    <row r="3038">
      <c r="A3038" s="9" t="str">
        <f>IFERROR(__xludf.DUMMYFUNCTION("""COMPUTED_VALUE"""),"G-REQ-03037")</f>
        <v>G-REQ-03037</v>
      </c>
      <c r="B3038" s="11">
        <f>IFERROR(__xludf.DUMMYFUNCTION("""COMPUTED_VALUE"""),45977.472247346836)</f>
        <v>45977.47225</v>
      </c>
      <c r="C3038" s="9">
        <f>IFERROR(__xludf.DUMMYFUNCTION("""COMPUTED_VALUE"""),11895.0)</f>
        <v>11895</v>
      </c>
      <c r="D3038" s="9" t="str">
        <f>IFERROR(__xludf.DUMMYFUNCTION("""COMPUTED_VALUE"""),"Completed")</f>
        <v>Completed</v>
      </c>
    </row>
    <row r="3039">
      <c r="A3039" s="9" t="str">
        <f>IFERROR(__xludf.DUMMYFUNCTION("""COMPUTED_VALUE"""),"G-REQ-03038")</f>
        <v>G-REQ-03038</v>
      </c>
      <c r="B3039" s="11">
        <f>IFERROR(__xludf.DUMMYFUNCTION("""COMPUTED_VALUE"""),45977.54342219225)</f>
        <v>45977.54342</v>
      </c>
      <c r="C3039" s="9">
        <f>IFERROR(__xludf.DUMMYFUNCTION("""COMPUTED_VALUE"""),11899.0)</f>
        <v>11899</v>
      </c>
      <c r="D3039" s="9" t="str">
        <f>IFERROR(__xludf.DUMMYFUNCTION("""COMPUTED_VALUE"""),"Completed")</f>
        <v>Completed</v>
      </c>
    </row>
    <row r="3040">
      <c r="A3040" s="9" t="str">
        <f>IFERROR(__xludf.DUMMYFUNCTION("""COMPUTED_VALUE"""),"G-REQ-03039")</f>
        <v>G-REQ-03039</v>
      </c>
      <c r="B3040" s="11">
        <f>IFERROR(__xludf.DUMMYFUNCTION("""COMPUTED_VALUE"""),45977.61459703767)</f>
        <v>45977.6146</v>
      </c>
      <c r="C3040" s="9">
        <f>IFERROR(__xludf.DUMMYFUNCTION("""COMPUTED_VALUE"""),11903.0)</f>
        <v>11903</v>
      </c>
      <c r="D3040" s="9" t="str">
        <f>IFERROR(__xludf.DUMMYFUNCTION("""COMPUTED_VALUE"""),"Completed")</f>
        <v>Completed</v>
      </c>
    </row>
    <row r="3041">
      <c r="A3041" s="9" t="str">
        <f>IFERROR(__xludf.DUMMYFUNCTION("""COMPUTED_VALUE"""),"G-REQ-03040")</f>
        <v>G-REQ-03040</v>
      </c>
      <c r="B3041" s="11">
        <f>IFERROR(__xludf.DUMMYFUNCTION("""COMPUTED_VALUE"""),45977.68577188308)</f>
        <v>45977.68577</v>
      </c>
      <c r="C3041" s="9">
        <f>IFERROR(__xludf.DUMMYFUNCTION("""COMPUTED_VALUE"""),11907.0)</f>
        <v>11907</v>
      </c>
      <c r="D3041" s="9" t="str">
        <f>IFERROR(__xludf.DUMMYFUNCTION("""COMPUTED_VALUE"""),"Completed")</f>
        <v>Completed</v>
      </c>
    </row>
    <row r="3042">
      <c r="A3042" s="9" t="str">
        <f>IFERROR(__xludf.DUMMYFUNCTION("""COMPUTED_VALUE"""),"G-REQ-03041")</f>
        <v>G-REQ-03041</v>
      </c>
      <c r="B3042" s="11">
        <f>IFERROR(__xludf.DUMMYFUNCTION("""COMPUTED_VALUE"""),45977.75694672849)</f>
        <v>45977.75695</v>
      </c>
      <c r="C3042" s="9">
        <f>IFERROR(__xludf.DUMMYFUNCTION("""COMPUTED_VALUE"""),11911.0)</f>
        <v>11911</v>
      </c>
      <c r="D3042" s="9" t="str">
        <f>IFERROR(__xludf.DUMMYFUNCTION("""COMPUTED_VALUE"""),"Completed")</f>
        <v>Completed</v>
      </c>
    </row>
    <row r="3043">
      <c r="A3043" s="9" t="str">
        <f>IFERROR(__xludf.DUMMYFUNCTION("""COMPUTED_VALUE"""),"G-REQ-03042")</f>
        <v>G-REQ-03042</v>
      </c>
      <c r="B3043" s="11">
        <f>IFERROR(__xludf.DUMMYFUNCTION("""COMPUTED_VALUE"""),45977.82812157391)</f>
        <v>45977.82812</v>
      </c>
      <c r="C3043" s="9">
        <f>IFERROR(__xludf.DUMMYFUNCTION("""COMPUTED_VALUE"""),11915.0)</f>
        <v>11915</v>
      </c>
      <c r="D3043" s="9" t="str">
        <f>IFERROR(__xludf.DUMMYFUNCTION("""COMPUTED_VALUE"""),"Completed")</f>
        <v>Completed</v>
      </c>
    </row>
    <row r="3044">
      <c r="A3044" s="9" t="str">
        <f>IFERROR(__xludf.DUMMYFUNCTION("""COMPUTED_VALUE"""),"G-REQ-03043")</f>
        <v>G-REQ-03043</v>
      </c>
      <c r="B3044" s="11">
        <f>IFERROR(__xludf.DUMMYFUNCTION("""COMPUTED_VALUE"""),45977.899296419324)</f>
        <v>45977.8993</v>
      </c>
      <c r="C3044" s="9">
        <f>IFERROR(__xludf.DUMMYFUNCTION("""COMPUTED_VALUE"""),11919.0)</f>
        <v>11919</v>
      </c>
      <c r="D3044" s="9" t="str">
        <f>IFERROR(__xludf.DUMMYFUNCTION("""COMPUTED_VALUE"""),"Completed")</f>
        <v>Completed</v>
      </c>
    </row>
    <row r="3045">
      <c r="A3045" s="9" t="str">
        <f>IFERROR(__xludf.DUMMYFUNCTION("""COMPUTED_VALUE"""),"G-REQ-03044")</f>
        <v>G-REQ-03044</v>
      </c>
      <c r="B3045" s="11">
        <f>IFERROR(__xludf.DUMMYFUNCTION("""COMPUTED_VALUE"""),45977.970471264736)</f>
        <v>45977.97047</v>
      </c>
      <c r="C3045" s="9">
        <f>IFERROR(__xludf.DUMMYFUNCTION("""COMPUTED_VALUE"""),11923.0)</f>
        <v>11923</v>
      </c>
      <c r="D3045" s="9" t="str">
        <f>IFERROR(__xludf.DUMMYFUNCTION("""COMPUTED_VALUE"""),"Completed")</f>
        <v>Completed</v>
      </c>
    </row>
    <row r="3046">
      <c r="A3046" s="9" t="str">
        <f>IFERROR(__xludf.DUMMYFUNCTION("""COMPUTED_VALUE"""),"G-REQ-03045")</f>
        <v>G-REQ-03045</v>
      </c>
      <c r="B3046" s="11">
        <f>IFERROR(__xludf.DUMMYFUNCTION("""COMPUTED_VALUE"""),45978.03470166571)</f>
        <v>45978.0347</v>
      </c>
      <c r="C3046" s="9">
        <f>IFERROR(__xludf.DUMMYFUNCTION("""COMPUTED_VALUE"""),11925.0)</f>
        <v>11925</v>
      </c>
      <c r="D3046" s="9" t="str">
        <f>IFERROR(__xludf.DUMMYFUNCTION("""COMPUTED_VALUE"""),"Cancelled")</f>
        <v>Cancelled</v>
      </c>
    </row>
    <row r="3047">
      <c r="A3047" s="9" t="str">
        <f>IFERROR(__xludf.DUMMYFUNCTION("""COMPUTED_VALUE"""),"G-REQ-03046")</f>
        <v>G-REQ-03046</v>
      </c>
      <c r="B3047" s="11">
        <f>IFERROR(__xludf.DUMMYFUNCTION("""COMPUTED_VALUE"""),45978.10587651113)</f>
        <v>45978.10588</v>
      </c>
      <c r="C3047" s="9">
        <f>IFERROR(__xludf.DUMMYFUNCTION("""COMPUTED_VALUE"""),11927.0)</f>
        <v>11927</v>
      </c>
      <c r="D3047" s="9" t="str">
        <f>IFERROR(__xludf.DUMMYFUNCTION("""COMPUTED_VALUE"""),"Rejected")</f>
        <v>Rejected</v>
      </c>
    </row>
    <row r="3048">
      <c r="A3048" s="9" t="str">
        <f>IFERROR(__xludf.DUMMYFUNCTION("""COMPUTED_VALUE"""),"G-REQ-03047")</f>
        <v>G-REQ-03047</v>
      </c>
      <c r="B3048" s="11">
        <f>IFERROR(__xludf.DUMMYFUNCTION("""COMPUTED_VALUE"""),45978.18399580098)</f>
        <v>45978.184</v>
      </c>
      <c r="C3048" s="9">
        <f>IFERROR(__xludf.DUMMYFUNCTION("""COMPUTED_VALUE"""),11931.0)</f>
        <v>11931</v>
      </c>
      <c r="D3048" s="9" t="str">
        <f>IFERROR(__xludf.DUMMYFUNCTION("""COMPUTED_VALUE"""),"Completed")</f>
        <v>Completed</v>
      </c>
    </row>
    <row r="3049">
      <c r="A3049" s="9" t="str">
        <f>IFERROR(__xludf.DUMMYFUNCTION("""COMPUTED_VALUE"""),"G-REQ-03048")</f>
        <v>G-REQ-03048</v>
      </c>
      <c r="B3049" s="11">
        <f>IFERROR(__xludf.DUMMYFUNCTION("""COMPUTED_VALUE"""),45978.2551706464)</f>
        <v>45978.25517</v>
      </c>
      <c r="C3049" s="9">
        <f>IFERROR(__xludf.DUMMYFUNCTION("""COMPUTED_VALUE"""),11935.0)</f>
        <v>11935</v>
      </c>
      <c r="D3049" s="9" t="str">
        <f>IFERROR(__xludf.DUMMYFUNCTION("""COMPUTED_VALUE"""),"Completed")</f>
        <v>Completed</v>
      </c>
    </row>
    <row r="3050">
      <c r="A3050" s="9" t="str">
        <f>IFERROR(__xludf.DUMMYFUNCTION("""COMPUTED_VALUE"""),"G-REQ-03049")</f>
        <v>G-REQ-03049</v>
      </c>
      <c r="B3050" s="11">
        <f>IFERROR(__xludf.DUMMYFUNCTION("""COMPUTED_VALUE"""),45978.32634549182)</f>
        <v>45978.32635</v>
      </c>
      <c r="C3050" s="9">
        <f>IFERROR(__xludf.DUMMYFUNCTION("""COMPUTED_VALUE"""),11939.0)</f>
        <v>11939</v>
      </c>
      <c r="D3050" s="9" t="str">
        <f>IFERROR(__xludf.DUMMYFUNCTION("""COMPUTED_VALUE"""),"Completed")</f>
        <v>Completed</v>
      </c>
    </row>
    <row r="3051">
      <c r="A3051" s="9" t="str">
        <f>IFERROR(__xludf.DUMMYFUNCTION("""COMPUTED_VALUE"""),"G-REQ-03050")</f>
        <v>G-REQ-03050</v>
      </c>
      <c r="B3051" s="11">
        <f>IFERROR(__xludf.DUMMYFUNCTION("""COMPUTED_VALUE"""),45978.39752033723)</f>
        <v>45978.39752</v>
      </c>
      <c r="C3051" s="9">
        <f>IFERROR(__xludf.DUMMYFUNCTION("""COMPUTED_VALUE"""),11943.0)</f>
        <v>11943</v>
      </c>
      <c r="D3051" s="9" t="str">
        <f>IFERROR(__xludf.DUMMYFUNCTION("""COMPUTED_VALUE"""),"Completed")</f>
        <v>Completed</v>
      </c>
    </row>
    <row r="3052">
      <c r="A3052" s="9" t="str">
        <f>IFERROR(__xludf.DUMMYFUNCTION("""COMPUTED_VALUE"""),"G-REQ-03051")</f>
        <v>G-REQ-03051</v>
      </c>
      <c r="B3052" s="11">
        <f>IFERROR(__xludf.DUMMYFUNCTION("""COMPUTED_VALUE"""),45978.4617507382)</f>
        <v>45978.46175</v>
      </c>
      <c r="C3052" s="9">
        <f>IFERROR(__xludf.DUMMYFUNCTION("""COMPUTED_VALUE"""),11945.0)</f>
        <v>11945</v>
      </c>
      <c r="D3052" s="9" t="str">
        <f>IFERROR(__xludf.DUMMYFUNCTION("""COMPUTED_VALUE"""),"Rejected")</f>
        <v>Rejected</v>
      </c>
    </row>
    <row r="3053">
      <c r="A3053" s="9" t="str">
        <f>IFERROR(__xludf.DUMMYFUNCTION("""COMPUTED_VALUE"""),"G-REQ-03052")</f>
        <v>G-REQ-03052</v>
      </c>
      <c r="B3053" s="11">
        <f>IFERROR(__xludf.DUMMYFUNCTION("""COMPUTED_VALUE"""),45978.53292558362)</f>
        <v>45978.53293</v>
      </c>
      <c r="C3053" s="9">
        <f>IFERROR(__xludf.DUMMYFUNCTION("""COMPUTED_VALUE"""),11947.0)</f>
        <v>11947</v>
      </c>
      <c r="D3053" s="9" t="str">
        <f>IFERROR(__xludf.DUMMYFUNCTION("""COMPUTED_VALUE"""),"Cancelled")</f>
        <v>Cancelled</v>
      </c>
    </row>
    <row r="3054">
      <c r="A3054" s="9" t="str">
        <f>IFERROR(__xludf.DUMMYFUNCTION("""COMPUTED_VALUE"""),"G-REQ-03053")</f>
        <v>G-REQ-03053</v>
      </c>
      <c r="B3054" s="11">
        <f>IFERROR(__xludf.DUMMYFUNCTION("""COMPUTED_VALUE"""),45978.611044873476)</f>
        <v>45978.61104</v>
      </c>
      <c r="C3054" s="9">
        <f>IFERROR(__xludf.DUMMYFUNCTION("""COMPUTED_VALUE"""),11951.0)</f>
        <v>11951</v>
      </c>
      <c r="D3054" s="9" t="str">
        <f>IFERROR(__xludf.DUMMYFUNCTION("""COMPUTED_VALUE"""),"Completed")</f>
        <v>Completed</v>
      </c>
    </row>
    <row r="3055">
      <c r="A3055" s="9" t="str">
        <f>IFERROR(__xludf.DUMMYFUNCTION("""COMPUTED_VALUE"""),"G-REQ-03054")</f>
        <v>G-REQ-03054</v>
      </c>
      <c r="B3055" s="11">
        <f>IFERROR(__xludf.DUMMYFUNCTION("""COMPUTED_VALUE"""),45978.68221971889)</f>
        <v>45978.68222</v>
      </c>
      <c r="C3055" s="9">
        <f>IFERROR(__xludf.DUMMYFUNCTION("""COMPUTED_VALUE"""),11955.0)</f>
        <v>11955</v>
      </c>
      <c r="D3055" s="9" t="str">
        <f>IFERROR(__xludf.DUMMYFUNCTION("""COMPUTED_VALUE"""),"Completed")</f>
        <v>Completed</v>
      </c>
    </row>
    <row r="3056">
      <c r="A3056" s="9" t="str">
        <f>IFERROR(__xludf.DUMMYFUNCTION("""COMPUTED_VALUE"""),"G-REQ-03055")</f>
        <v>G-REQ-03055</v>
      </c>
      <c r="B3056" s="11">
        <f>IFERROR(__xludf.DUMMYFUNCTION("""COMPUTED_VALUE"""),45978.75339456431)</f>
        <v>45978.75339</v>
      </c>
      <c r="C3056" s="9">
        <f>IFERROR(__xludf.DUMMYFUNCTION("""COMPUTED_VALUE"""),11959.0)</f>
        <v>11959</v>
      </c>
      <c r="D3056" s="9" t="str">
        <f>IFERROR(__xludf.DUMMYFUNCTION("""COMPUTED_VALUE"""),"Completed")</f>
        <v>Completed</v>
      </c>
    </row>
    <row r="3057">
      <c r="A3057" s="9" t="str">
        <f>IFERROR(__xludf.DUMMYFUNCTION("""COMPUTED_VALUE"""),"G-REQ-03056")</f>
        <v>G-REQ-03056</v>
      </c>
      <c r="B3057" s="11">
        <f>IFERROR(__xludf.DUMMYFUNCTION("""COMPUTED_VALUE"""),45978.81762496528)</f>
        <v>45978.81762</v>
      </c>
      <c r="C3057" s="9">
        <f>IFERROR(__xludf.DUMMYFUNCTION("""COMPUTED_VALUE"""),11961.0)</f>
        <v>11961</v>
      </c>
      <c r="D3057" s="9" t="str">
        <f>IFERROR(__xludf.DUMMYFUNCTION("""COMPUTED_VALUE"""),"Rejected")</f>
        <v>Rejected</v>
      </c>
    </row>
    <row r="3058">
      <c r="A3058" s="9" t="str">
        <f>IFERROR(__xludf.DUMMYFUNCTION("""COMPUTED_VALUE"""),"G-REQ-03057")</f>
        <v>G-REQ-03057</v>
      </c>
      <c r="B3058" s="11">
        <f>IFERROR(__xludf.DUMMYFUNCTION("""COMPUTED_VALUE"""),45978.89574425513)</f>
        <v>45978.89574</v>
      </c>
      <c r="C3058" s="9">
        <f>IFERROR(__xludf.DUMMYFUNCTION("""COMPUTED_VALUE"""),11965.0)</f>
        <v>11965</v>
      </c>
      <c r="D3058" s="9" t="str">
        <f>IFERROR(__xludf.DUMMYFUNCTION("""COMPUTED_VALUE"""),"Completed")</f>
        <v>Completed</v>
      </c>
    </row>
    <row r="3059">
      <c r="A3059" s="9" t="str">
        <f>IFERROR(__xludf.DUMMYFUNCTION("""COMPUTED_VALUE"""),"G-REQ-03058")</f>
        <v>G-REQ-03058</v>
      </c>
      <c r="B3059" s="11">
        <f>IFERROR(__xludf.DUMMYFUNCTION("""COMPUTED_VALUE"""),45978.96691910055)</f>
        <v>45978.96692</v>
      </c>
      <c r="C3059" s="9">
        <f>IFERROR(__xludf.DUMMYFUNCTION("""COMPUTED_VALUE"""),11969.0)</f>
        <v>11969</v>
      </c>
      <c r="D3059" s="9" t="str">
        <f>IFERROR(__xludf.DUMMYFUNCTION("""COMPUTED_VALUE"""),"Completed")</f>
        <v>Completed</v>
      </c>
    </row>
    <row r="3060">
      <c r="A3060" s="9" t="str">
        <f>IFERROR(__xludf.DUMMYFUNCTION("""COMPUTED_VALUE"""),"G-REQ-03059")</f>
        <v>G-REQ-03059</v>
      </c>
      <c r="B3060" s="11">
        <f>IFERROR(__xludf.DUMMYFUNCTION("""COMPUTED_VALUE"""),45979.038093945965)</f>
        <v>45979.03809</v>
      </c>
      <c r="C3060" s="9">
        <f>IFERROR(__xludf.DUMMYFUNCTION("""COMPUTED_VALUE"""),11973.0)</f>
        <v>11973</v>
      </c>
      <c r="D3060" s="9" t="str">
        <f>IFERROR(__xludf.DUMMYFUNCTION("""COMPUTED_VALUE"""),"Completed")</f>
        <v>Completed</v>
      </c>
    </row>
    <row r="3061">
      <c r="A3061" s="9" t="str">
        <f>IFERROR(__xludf.DUMMYFUNCTION("""COMPUTED_VALUE"""),"G-REQ-03060")</f>
        <v>G-REQ-03060</v>
      </c>
      <c r="B3061" s="11">
        <f>IFERROR(__xludf.DUMMYFUNCTION("""COMPUTED_VALUE"""),45979.109268791384)</f>
        <v>45979.10927</v>
      </c>
      <c r="C3061" s="9">
        <f>IFERROR(__xludf.DUMMYFUNCTION("""COMPUTED_VALUE"""),11977.0)</f>
        <v>11977</v>
      </c>
      <c r="D3061" s="9" t="str">
        <f>IFERROR(__xludf.DUMMYFUNCTION("""COMPUTED_VALUE"""),"Completed")</f>
        <v>Completed</v>
      </c>
    </row>
    <row r="3062">
      <c r="A3062" s="9" t="str">
        <f>IFERROR(__xludf.DUMMYFUNCTION("""COMPUTED_VALUE"""),"G-REQ-03061")</f>
        <v>G-REQ-03061</v>
      </c>
      <c r="B3062" s="11">
        <f>IFERROR(__xludf.DUMMYFUNCTION("""COMPUTED_VALUE"""),45979.1804436368)</f>
        <v>45979.18044</v>
      </c>
      <c r="C3062" s="9">
        <f>IFERROR(__xludf.DUMMYFUNCTION("""COMPUTED_VALUE"""),11981.0)</f>
        <v>11981</v>
      </c>
      <c r="D3062" s="9" t="str">
        <f>IFERROR(__xludf.DUMMYFUNCTION("""COMPUTED_VALUE"""),"Completed")</f>
        <v>Completed</v>
      </c>
    </row>
    <row r="3063">
      <c r="A3063" s="9" t="str">
        <f>IFERROR(__xludf.DUMMYFUNCTION("""COMPUTED_VALUE"""),"G-REQ-03062")</f>
        <v>G-REQ-03062</v>
      </c>
      <c r="B3063" s="11">
        <f>IFERROR(__xludf.DUMMYFUNCTION("""COMPUTED_VALUE"""),45979.251618482216)</f>
        <v>45979.25162</v>
      </c>
      <c r="C3063" s="9">
        <f>IFERROR(__xludf.DUMMYFUNCTION("""COMPUTED_VALUE"""),11985.0)</f>
        <v>11985</v>
      </c>
      <c r="D3063" s="9" t="str">
        <f>IFERROR(__xludf.DUMMYFUNCTION("""COMPUTED_VALUE"""),"Completed")</f>
        <v>Completed</v>
      </c>
    </row>
    <row r="3064">
      <c r="A3064" s="9" t="str">
        <f>IFERROR(__xludf.DUMMYFUNCTION("""COMPUTED_VALUE"""),"G-REQ-03063")</f>
        <v>G-REQ-03063</v>
      </c>
      <c r="B3064" s="11">
        <f>IFERROR(__xludf.DUMMYFUNCTION("""COMPUTED_VALUE"""),45979.32279332762)</f>
        <v>45979.32279</v>
      </c>
      <c r="C3064" s="9">
        <f>IFERROR(__xludf.DUMMYFUNCTION("""COMPUTED_VALUE"""),11989.0)</f>
        <v>11989</v>
      </c>
      <c r="D3064" s="9" t="str">
        <f>IFERROR(__xludf.DUMMYFUNCTION("""COMPUTED_VALUE"""),"Completed")</f>
        <v>Completed</v>
      </c>
    </row>
    <row r="3065">
      <c r="A3065" s="9" t="str">
        <f>IFERROR(__xludf.DUMMYFUNCTION("""COMPUTED_VALUE"""),"G-REQ-03064")</f>
        <v>G-REQ-03064</v>
      </c>
      <c r="B3065" s="11">
        <f>IFERROR(__xludf.DUMMYFUNCTION("""COMPUTED_VALUE"""),45979.39396817304)</f>
        <v>45979.39397</v>
      </c>
      <c r="C3065" s="9">
        <f>IFERROR(__xludf.DUMMYFUNCTION("""COMPUTED_VALUE"""),11993.0)</f>
        <v>11993</v>
      </c>
      <c r="D3065" s="9" t="str">
        <f>IFERROR(__xludf.DUMMYFUNCTION("""COMPUTED_VALUE"""),"Completed")</f>
        <v>Completed</v>
      </c>
    </row>
    <row r="3066">
      <c r="A3066" s="9" t="str">
        <f>IFERROR(__xludf.DUMMYFUNCTION("""COMPUTED_VALUE"""),"G-REQ-03065")</f>
        <v>G-REQ-03065</v>
      </c>
      <c r="B3066" s="11">
        <f>IFERROR(__xludf.DUMMYFUNCTION("""COMPUTED_VALUE"""),45979.46514301846)</f>
        <v>45979.46514</v>
      </c>
      <c r="C3066" s="9">
        <f>IFERROR(__xludf.DUMMYFUNCTION("""COMPUTED_VALUE"""),11997.0)</f>
        <v>11997</v>
      </c>
      <c r="D3066" s="9" t="str">
        <f>IFERROR(__xludf.DUMMYFUNCTION("""COMPUTED_VALUE"""),"Completed")</f>
        <v>Completed</v>
      </c>
    </row>
    <row r="3067">
      <c r="A3067" s="9" t="str">
        <f>IFERROR(__xludf.DUMMYFUNCTION("""COMPUTED_VALUE"""),"G-REQ-03066")</f>
        <v>G-REQ-03066</v>
      </c>
      <c r="B3067" s="11">
        <f>IFERROR(__xludf.DUMMYFUNCTION("""COMPUTED_VALUE"""),45979.53631786387)</f>
        <v>45979.53632</v>
      </c>
      <c r="C3067" s="9">
        <f>IFERROR(__xludf.DUMMYFUNCTION("""COMPUTED_VALUE"""),12001.0)</f>
        <v>12001</v>
      </c>
      <c r="D3067" s="9" t="str">
        <f>IFERROR(__xludf.DUMMYFUNCTION("""COMPUTED_VALUE"""),"Completed")</f>
        <v>Completed</v>
      </c>
    </row>
    <row r="3068">
      <c r="A3068" s="9" t="str">
        <f>IFERROR(__xludf.DUMMYFUNCTION("""COMPUTED_VALUE"""),"G-REQ-03067")</f>
        <v>G-REQ-03067</v>
      </c>
      <c r="B3068" s="11">
        <f>IFERROR(__xludf.DUMMYFUNCTION("""COMPUTED_VALUE"""),45979.607492709285)</f>
        <v>45979.60749</v>
      </c>
      <c r="C3068" s="9">
        <f>IFERROR(__xludf.DUMMYFUNCTION("""COMPUTED_VALUE"""),12005.0)</f>
        <v>12005</v>
      </c>
      <c r="D3068" s="9" t="str">
        <f>IFERROR(__xludf.DUMMYFUNCTION("""COMPUTED_VALUE"""),"Completed")</f>
        <v>Completed</v>
      </c>
    </row>
    <row r="3069">
      <c r="A3069" s="9" t="str">
        <f>IFERROR(__xludf.DUMMYFUNCTION("""COMPUTED_VALUE"""),"G-REQ-03068")</f>
        <v>G-REQ-03068</v>
      </c>
      <c r="B3069" s="11">
        <f>IFERROR(__xludf.DUMMYFUNCTION("""COMPUTED_VALUE"""),45979.678667554705)</f>
        <v>45979.67867</v>
      </c>
      <c r="C3069" s="9">
        <f>IFERROR(__xludf.DUMMYFUNCTION("""COMPUTED_VALUE"""),12009.0)</f>
        <v>12009</v>
      </c>
      <c r="D3069" s="9" t="str">
        <f>IFERROR(__xludf.DUMMYFUNCTION("""COMPUTED_VALUE"""),"Completed")</f>
        <v>Completed</v>
      </c>
    </row>
    <row r="3070">
      <c r="A3070" s="9" t="str">
        <f>IFERROR(__xludf.DUMMYFUNCTION("""COMPUTED_VALUE"""),"G-REQ-03069")</f>
        <v>G-REQ-03069</v>
      </c>
      <c r="B3070" s="11">
        <f>IFERROR(__xludf.DUMMYFUNCTION("""COMPUTED_VALUE"""),45979.74984240012)</f>
        <v>45979.74984</v>
      </c>
      <c r="C3070" s="9">
        <f>IFERROR(__xludf.DUMMYFUNCTION("""COMPUTED_VALUE"""),12013.0)</f>
        <v>12013</v>
      </c>
      <c r="D3070" s="9" t="str">
        <f>IFERROR(__xludf.DUMMYFUNCTION("""COMPUTED_VALUE"""),"Completed")</f>
        <v>Completed</v>
      </c>
    </row>
    <row r="3071">
      <c r="A3071" s="9" t="str">
        <f>IFERROR(__xludf.DUMMYFUNCTION("""COMPUTED_VALUE"""),"G-REQ-03070")</f>
        <v>G-REQ-03070</v>
      </c>
      <c r="B3071" s="11">
        <f>IFERROR(__xludf.DUMMYFUNCTION("""COMPUTED_VALUE"""),45979.82101724553)</f>
        <v>45979.82102</v>
      </c>
      <c r="C3071" s="9">
        <f>IFERROR(__xludf.DUMMYFUNCTION("""COMPUTED_VALUE"""),12017.0)</f>
        <v>12017</v>
      </c>
      <c r="D3071" s="9" t="str">
        <f>IFERROR(__xludf.DUMMYFUNCTION("""COMPUTED_VALUE"""),"Completed")</f>
        <v>Completed</v>
      </c>
    </row>
    <row r="3072">
      <c r="A3072" s="9" t="str">
        <f>IFERROR(__xludf.DUMMYFUNCTION("""COMPUTED_VALUE"""),"G-REQ-03071")</f>
        <v>G-REQ-03071</v>
      </c>
      <c r="B3072" s="11">
        <f>IFERROR(__xludf.DUMMYFUNCTION("""COMPUTED_VALUE"""),45979.8852476465)</f>
        <v>45979.88525</v>
      </c>
      <c r="C3072" s="9">
        <f>IFERROR(__xludf.DUMMYFUNCTION("""COMPUTED_VALUE"""),12019.0)</f>
        <v>12019</v>
      </c>
      <c r="D3072" s="9" t="str">
        <f>IFERROR(__xludf.DUMMYFUNCTION("""COMPUTED_VALUE"""),"Rejected")</f>
        <v>Rejected</v>
      </c>
    </row>
    <row r="3073">
      <c r="A3073" s="9" t="str">
        <f>IFERROR(__xludf.DUMMYFUNCTION("""COMPUTED_VALUE"""),"G-REQ-03072")</f>
        <v>G-REQ-03072</v>
      </c>
      <c r="B3073" s="11">
        <f>IFERROR(__xludf.DUMMYFUNCTION("""COMPUTED_VALUE"""),45979.96336693637)</f>
        <v>45979.96337</v>
      </c>
      <c r="C3073" s="9">
        <f>IFERROR(__xludf.DUMMYFUNCTION("""COMPUTED_VALUE"""),12023.0)</f>
        <v>12023</v>
      </c>
      <c r="D3073" s="9" t="str">
        <f>IFERROR(__xludf.DUMMYFUNCTION("""COMPUTED_VALUE"""),"Completed")</f>
        <v>Completed</v>
      </c>
    </row>
    <row r="3074">
      <c r="A3074" s="9" t="str">
        <f>IFERROR(__xludf.DUMMYFUNCTION("""COMPUTED_VALUE"""),"G-REQ-03073")</f>
        <v>G-REQ-03073</v>
      </c>
      <c r="B3074" s="11">
        <f>IFERROR(__xludf.DUMMYFUNCTION("""COMPUTED_VALUE"""),45980.03454178177)</f>
        <v>45980.03454</v>
      </c>
      <c r="C3074" s="9">
        <f>IFERROR(__xludf.DUMMYFUNCTION("""COMPUTED_VALUE"""),12027.0)</f>
        <v>12027</v>
      </c>
      <c r="D3074" s="9" t="str">
        <f>IFERROR(__xludf.DUMMYFUNCTION("""COMPUTED_VALUE"""),"Completed")</f>
        <v>Completed</v>
      </c>
    </row>
    <row r="3075">
      <c r="A3075" s="9" t="str">
        <f>IFERROR(__xludf.DUMMYFUNCTION("""COMPUTED_VALUE"""),"G-REQ-03074")</f>
        <v>G-REQ-03074</v>
      </c>
      <c r="B3075" s="11">
        <f>IFERROR(__xludf.DUMMYFUNCTION("""COMPUTED_VALUE"""),45980.10571662719)</f>
        <v>45980.10572</v>
      </c>
      <c r="C3075" s="9">
        <f>IFERROR(__xludf.DUMMYFUNCTION("""COMPUTED_VALUE"""),12031.0)</f>
        <v>12031</v>
      </c>
      <c r="D3075" s="9" t="str">
        <f>IFERROR(__xludf.DUMMYFUNCTION("""COMPUTED_VALUE"""),"Completed")</f>
        <v>Completed</v>
      </c>
    </row>
    <row r="3076">
      <c r="A3076" s="9" t="str">
        <f>IFERROR(__xludf.DUMMYFUNCTION("""COMPUTED_VALUE"""),"G-REQ-03075")</f>
        <v>G-REQ-03075</v>
      </c>
      <c r="B3076" s="11">
        <f>IFERROR(__xludf.DUMMYFUNCTION("""COMPUTED_VALUE"""),45980.17689147261)</f>
        <v>45980.17689</v>
      </c>
      <c r="C3076" s="9">
        <f>IFERROR(__xludf.DUMMYFUNCTION("""COMPUTED_VALUE"""),12035.0)</f>
        <v>12035</v>
      </c>
      <c r="D3076" s="9" t="str">
        <f>IFERROR(__xludf.DUMMYFUNCTION("""COMPUTED_VALUE"""),"Completed")</f>
        <v>Completed</v>
      </c>
    </row>
    <row r="3077">
      <c r="A3077" s="9" t="str">
        <f>IFERROR(__xludf.DUMMYFUNCTION("""COMPUTED_VALUE"""),"G-REQ-03076")</f>
        <v>G-REQ-03076</v>
      </c>
      <c r="B3077" s="11">
        <f>IFERROR(__xludf.DUMMYFUNCTION("""COMPUTED_VALUE"""),45980.248066318025)</f>
        <v>45980.24807</v>
      </c>
      <c r="C3077" s="9">
        <f>IFERROR(__xludf.DUMMYFUNCTION("""COMPUTED_VALUE"""),12039.0)</f>
        <v>12039</v>
      </c>
      <c r="D3077" s="9" t="str">
        <f>IFERROR(__xludf.DUMMYFUNCTION("""COMPUTED_VALUE"""),"Completed")</f>
        <v>Completed</v>
      </c>
    </row>
    <row r="3078">
      <c r="A3078" s="9" t="str">
        <f>IFERROR(__xludf.DUMMYFUNCTION("""COMPUTED_VALUE"""),"G-REQ-03077")</f>
        <v>G-REQ-03077</v>
      </c>
      <c r="B3078" s="11">
        <f>IFERROR(__xludf.DUMMYFUNCTION("""COMPUTED_VALUE"""),45980.31924116344)</f>
        <v>45980.31924</v>
      </c>
      <c r="C3078" s="9">
        <f>IFERROR(__xludf.DUMMYFUNCTION("""COMPUTED_VALUE"""),12043.0)</f>
        <v>12043</v>
      </c>
      <c r="D3078" s="9" t="str">
        <f>IFERROR(__xludf.DUMMYFUNCTION("""COMPUTED_VALUE"""),"Completed")</f>
        <v>Completed</v>
      </c>
    </row>
    <row r="3079">
      <c r="A3079" s="9" t="str">
        <f>IFERROR(__xludf.DUMMYFUNCTION("""COMPUTED_VALUE"""),"G-REQ-03078")</f>
        <v>G-REQ-03078</v>
      </c>
      <c r="B3079" s="11">
        <f>IFERROR(__xludf.DUMMYFUNCTION("""COMPUTED_VALUE"""),45980.39041600886)</f>
        <v>45980.39042</v>
      </c>
      <c r="C3079" s="9">
        <f>IFERROR(__xludf.DUMMYFUNCTION("""COMPUTED_VALUE"""),12047.0)</f>
        <v>12047</v>
      </c>
      <c r="D3079" s="9" t="str">
        <f>IFERROR(__xludf.DUMMYFUNCTION("""COMPUTED_VALUE"""),"Completed")</f>
        <v>Completed</v>
      </c>
    </row>
    <row r="3080">
      <c r="A3080" s="9" t="str">
        <f>IFERROR(__xludf.DUMMYFUNCTION("""COMPUTED_VALUE"""),"G-REQ-03079")</f>
        <v>G-REQ-03079</v>
      </c>
      <c r="B3080" s="11">
        <f>IFERROR(__xludf.DUMMYFUNCTION("""COMPUTED_VALUE"""),45980.46159085427)</f>
        <v>45980.46159</v>
      </c>
      <c r="C3080" s="9">
        <f>IFERROR(__xludf.DUMMYFUNCTION("""COMPUTED_VALUE"""),12051.0)</f>
        <v>12051</v>
      </c>
      <c r="D3080" s="9" t="str">
        <f>IFERROR(__xludf.DUMMYFUNCTION("""COMPUTED_VALUE"""),"Completed")</f>
        <v>Completed</v>
      </c>
    </row>
    <row r="3081">
      <c r="A3081" s="9" t="str">
        <f>IFERROR(__xludf.DUMMYFUNCTION("""COMPUTED_VALUE"""),"G-REQ-03080")</f>
        <v>G-REQ-03080</v>
      </c>
      <c r="B3081" s="11">
        <f>IFERROR(__xludf.DUMMYFUNCTION("""COMPUTED_VALUE"""),45980.53276569968)</f>
        <v>45980.53277</v>
      </c>
      <c r="C3081" s="9">
        <f>IFERROR(__xludf.DUMMYFUNCTION("""COMPUTED_VALUE"""),12055.0)</f>
        <v>12055</v>
      </c>
      <c r="D3081" s="9" t="str">
        <f>IFERROR(__xludf.DUMMYFUNCTION("""COMPUTED_VALUE"""),"Completed")</f>
        <v>Completed</v>
      </c>
    </row>
    <row r="3082">
      <c r="A3082" s="9" t="str">
        <f>IFERROR(__xludf.DUMMYFUNCTION("""COMPUTED_VALUE"""),"G-REQ-03081")</f>
        <v>G-REQ-03081</v>
      </c>
      <c r="B3082" s="11">
        <f>IFERROR(__xludf.DUMMYFUNCTION("""COMPUTED_VALUE"""),45980.6039405451)</f>
        <v>45980.60394</v>
      </c>
      <c r="C3082" s="9">
        <f>IFERROR(__xludf.DUMMYFUNCTION("""COMPUTED_VALUE"""),12059.0)</f>
        <v>12059</v>
      </c>
      <c r="D3082" s="9" t="str">
        <f>IFERROR(__xludf.DUMMYFUNCTION("""COMPUTED_VALUE"""),"Completed")</f>
        <v>Completed</v>
      </c>
    </row>
    <row r="3083">
      <c r="A3083" s="9" t="str">
        <f>IFERROR(__xludf.DUMMYFUNCTION("""COMPUTED_VALUE"""),"G-REQ-03082")</f>
        <v>G-REQ-03082</v>
      </c>
      <c r="B3083" s="11">
        <f>IFERROR(__xludf.DUMMYFUNCTION("""COMPUTED_VALUE"""),45980.67511539051)</f>
        <v>45980.67512</v>
      </c>
      <c r="C3083" s="9">
        <f>IFERROR(__xludf.DUMMYFUNCTION("""COMPUTED_VALUE"""),12063.0)</f>
        <v>12063</v>
      </c>
      <c r="D3083" s="9" t="str">
        <f>IFERROR(__xludf.DUMMYFUNCTION("""COMPUTED_VALUE"""),"Completed")</f>
        <v>Completed</v>
      </c>
    </row>
    <row r="3084">
      <c r="A3084" s="9" t="str">
        <f>IFERROR(__xludf.DUMMYFUNCTION("""COMPUTED_VALUE"""),"G-REQ-03083")</f>
        <v>G-REQ-03083</v>
      </c>
      <c r="B3084" s="11">
        <f>IFERROR(__xludf.DUMMYFUNCTION("""COMPUTED_VALUE"""),45980.73934579148)</f>
        <v>45980.73935</v>
      </c>
      <c r="C3084" s="9">
        <f>IFERROR(__xludf.DUMMYFUNCTION("""COMPUTED_VALUE"""),12065.0)</f>
        <v>12065</v>
      </c>
      <c r="D3084" s="9" t="str">
        <f>IFERROR(__xludf.DUMMYFUNCTION("""COMPUTED_VALUE"""),"Rejected")</f>
        <v>Rejected</v>
      </c>
    </row>
    <row r="3085">
      <c r="A3085" s="9" t="str">
        <f>IFERROR(__xludf.DUMMYFUNCTION("""COMPUTED_VALUE"""),"G-REQ-03084")</f>
        <v>G-REQ-03084</v>
      </c>
      <c r="B3085" s="11">
        <f>IFERROR(__xludf.DUMMYFUNCTION("""COMPUTED_VALUE"""),45980.817465081345)</f>
        <v>45980.81747</v>
      </c>
      <c r="C3085" s="9">
        <f>IFERROR(__xludf.DUMMYFUNCTION("""COMPUTED_VALUE"""),12069.0)</f>
        <v>12069</v>
      </c>
      <c r="D3085" s="9" t="str">
        <f>IFERROR(__xludf.DUMMYFUNCTION("""COMPUTED_VALUE"""),"Completed")</f>
        <v>Completed</v>
      </c>
    </row>
    <row r="3086">
      <c r="A3086" s="9" t="str">
        <f>IFERROR(__xludf.DUMMYFUNCTION("""COMPUTED_VALUE"""),"G-REQ-03085")</f>
        <v>G-REQ-03085</v>
      </c>
      <c r="B3086" s="11">
        <f>IFERROR(__xludf.DUMMYFUNCTION("""COMPUTED_VALUE"""),45980.88863992676)</f>
        <v>45980.88864</v>
      </c>
      <c r="C3086" s="9">
        <f>IFERROR(__xludf.DUMMYFUNCTION("""COMPUTED_VALUE"""),12073.0)</f>
        <v>12073</v>
      </c>
      <c r="D3086" s="9" t="str">
        <f>IFERROR(__xludf.DUMMYFUNCTION("""COMPUTED_VALUE"""),"Completed")</f>
        <v>Completed</v>
      </c>
    </row>
    <row r="3087">
      <c r="A3087" s="9" t="str">
        <f>IFERROR(__xludf.DUMMYFUNCTION("""COMPUTED_VALUE"""),"G-REQ-03086")</f>
        <v>G-REQ-03086</v>
      </c>
      <c r="B3087" s="11">
        <f>IFERROR(__xludf.DUMMYFUNCTION("""COMPUTED_VALUE"""),45980.95981477217)</f>
        <v>45980.95981</v>
      </c>
      <c r="C3087" s="9">
        <f>IFERROR(__xludf.DUMMYFUNCTION("""COMPUTED_VALUE"""),12077.0)</f>
        <v>12077</v>
      </c>
      <c r="D3087" s="9" t="str">
        <f>IFERROR(__xludf.DUMMYFUNCTION("""COMPUTED_VALUE"""),"Completed")</f>
        <v>Completed</v>
      </c>
    </row>
    <row r="3088">
      <c r="A3088" s="9" t="str">
        <f>IFERROR(__xludf.DUMMYFUNCTION("""COMPUTED_VALUE"""),"G-REQ-03087")</f>
        <v>G-REQ-03087</v>
      </c>
      <c r="B3088" s="11">
        <f>IFERROR(__xludf.DUMMYFUNCTION("""COMPUTED_VALUE"""),45981.03098961759)</f>
        <v>45981.03099</v>
      </c>
      <c r="C3088" s="9">
        <f>IFERROR(__xludf.DUMMYFUNCTION("""COMPUTED_VALUE"""),12081.0)</f>
        <v>12081</v>
      </c>
      <c r="D3088" s="9" t="str">
        <f>IFERROR(__xludf.DUMMYFUNCTION("""COMPUTED_VALUE"""),"Completed")</f>
        <v>Completed</v>
      </c>
    </row>
    <row r="3089">
      <c r="A3089" s="9" t="str">
        <f>IFERROR(__xludf.DUMMYFUNCTION("""COMPUTED_VALUE"""),"G-REQ-03088")</f>
        <v>G-REQ-03088</v>
      </c>
      <c r="B3089" s="11">
        <f>IFERROR(__xludf.DUMMYFUNCTION("""COMPUTED_VALUE"""),45981.10216446301)</f>
        <v>45981.10216</v>
      </c>
      <c r="C3089" s="9">
        <f>IFERROR(__xludf.DUMMYFUNCTION("""COMPUTED_VALUE"""),12085.0)</f>
        <v>12085</v>
      </c>
      <c r="D3089" s="9" t="str">
        <f>IFERROR(__xludf.DUMMYFUNCTION("""COMPUTED_VALUE"""),"Completed")</f>
        <v>Completed</v>
      </c>
    </row>
    <row r="3090">
      <c r="A3090" s="9" t="str">
        <f>IFERROR(__xludf.DUMMYFUNCTION("""COMPUTED_VALUE"""),"G-REQ-03089")</f>
        <v>G-REQ-03089</v>
      </c>
      <c r="B3090" s="11">
        <f>IFERROR(__xludf.DUMMYFUNCTION("""COMPUTED_VALUE"""),45981.173339308414)</f>
        <v>45981.17334</v>
      </c>
      <c r="C3090" s="9">
        <f>IFERROR(__xludf.DUMMYFUNCTION("""COMPUTED_VALUE"""),12089.0)</f>
        <v>12089</v>
      </c>
      <c r="D3090" s="9" t="str">
        <f>IFERROR(__xludf.DUMMYFUNCTION("""COMPUTED_VALUE"""),"Completed")</f>
        <v>Completed</v>
      </c>
    </row>
    <row r="3091">
      <c r="A3091" s="9" t="str">
        <f>IFERROR(__xludf.DUMMYFUNCTION("""COMPUTED_VALUE"""),"G-REQ-03090")</f>
        <v>G-REQ-03090</v>
      </c>
      <c r="B3091" s="11">
        <f>IFERROR(__xludf.DUMMYFUNCTION("""COMPUTED_VALUE"""),45981.244514153834)</f>
        <v>45981.24451</v>
      </c>
      <c r="C3091" s="9">
        <f>IFERROR(__xludf.DUMMYFUNCTION("""COMPUTED_VALUE"""),12093.0)</f>
        <v>12093</v>
      </c>
      <c r="D3091" s="9" t="str">
        <f>IFERROR(__xludf.DUMMYFUNCTION("""COMPUTED_VALUE"""),"Completed")</f>
        <v>Completed</v>
      </c>
    </row>
    <row r="3092">
      <c r="A3092" s="9" t="str">
        <f>IFERROR(__xludf.DUMMYFUNCTION("""COMPUTED_VALUE"""),"G-REQ-03091")</f>
        <v>G-REQ-03091</v>
      </c>
      <c r="B3092" s="11">
        <f>IFERROR(__xludf.DUMMYFUNCTION("""COMPUTED_VALUE"""),45981.31568899925)</f>
        <v>45981.31569</v>
      </c>
      <c r="C3092" s="9">
        <f>IFERROR(__xludf.DUMMYFUNCTION("""COMPUTED_VALUE"""),12097.0)</f>
        <v>12097</v>
      </c>
      <c r="D3092" s="9" t="str">
        <f>IFERROR(__xludf.DUMMYFUNCTION("""COMPUTED_VALUE"""),"Completed")</f>
        <v>Completed</v>
      </c>
    </row>
    <row r="3093">
      <c r="A3093" s="9" t="str">
        <f>IFERROR(__xludf.DUMMYFUNCTION("""COMPUTED_VALUE"""),"G-REQ-03092")</f>
        <v>G-REQ-03092</v>
      </c>
      <c r="B3093" s="11">
        <f>IFERROR(__xludf.DUMMYFUNCTION("""COMPUTED_VALUE"""),45981.37991940022)</f>
        <v>45981.37992</v>
      </c>
      <c r="C3093" s="9">
        <f>IFERROR(__xludf.DUMMYFUNCTION("""COMPUTED_VALUE"""),12099.0)</f>
        <v>12099</v>
      </c>
      <c r="D3093" s="9" t="str">
        <f>IFERROR(__xludf.DUMMYFUNCTION("""COMPUTED_VALUE"""),"Cancelled")</f>
        <v>Cancelled</v>
      </c>
    </row>
    <row r="3094">
      <c r="A3094" s="9" t="str">
        <f>IFERROR(__xludf.DUMMYFUNCTION("""COMPUTED_VALUE"""),"G-REQ-03093")</f>
        <v>G-REQ-03093</v>
      </c>
      <c r="B3094" s="11">
        <f>IFERROR(__xludf.DUMMYFUNCTION("""COMPUTED_VALUE"""),45981.45803869008)</f>
        <v>45981.45804</v>
      </c>
      <c r="C3094" s="9">
        <f>IFERROR(__xludf.DUMMYFUNCTION("""COMPUTED_VALUE"""),12103.0)</f>
        <v>12103</v>
      </c>
      <c r="D3094" s="9" t="str">
        <f>IFERROR(__xludf.DUMMYFUNCTION("""COMPUTED_VALUE"""),"Completed")</f>
        <v>Completed</v>
      </c>
    </row>
    <row r="3095">
      <c r="A3095" s="9" t="str">
        <f>IFERROR(__xludf.DUMMYFUNCTION("""COMPUTED_VALUE"""),"G-REQ-03094")</f>
        <v>G-REQ-03094</v>
      </c>
      <c r="B3095" s="11">
        <f>IFERROR(__xludf.DUMMYFUNCTION("""COMPUTED_VALUE"""),45981.5292135355)</f>
        <v>45981.52921</v>
      </c>
      <c r="C3095" s="9">
        <f>IFERROR(__xludf.DUMMYFUNCTION("""COMPUTED_VALUE"""),12107.0)</f>
        <v>12107</v>
      </c>
      <c r="D3095" s="9" t="str">
        <f>IFERROR(__xludf.DUMMYFUNCTION("""COMPUTED_VALUE"""),"Completed")</f>
        <v>Completed</v>
      </c>
    </row>
    <row r="3096">
      <c r="A3096" s="9" t="str">
        <f>IFERROR(__xludf.DUMMYFUNCTION("""COMPUTED_VALUE"""),"G-REQ-03095")</f>
        <v>G-REQ-03095</v>
      </c>
      <c r="B3096" s="11">
        <f>IFERROR(__xludf.DUMMYFUNCTION("""COMPUTED_VALUE"""),45981.60038838091)</f>
        <v>45981.60039</v>
      </c>
      <c r="C3096" s="9">
        <f>IFERROR(__xludf.DUMMYFUNCTION("""COMPUTED_VALUE"""),12111.0)</f>
        <v>12111</v>
      </c>
      <c r="D3096" s="9" t="str">
        <f>IFERROR(__xludf.DUMMYFUNCTION("""COMPUTED_VALUE"""),"Completed")</f>
        <v>Completed</v>
      </c>
    </row>
    <row r="3097">
      <c r="A3097" s="9" t="str">
        <f>IFERROR(__xludf.DUMMYFUNCTION("""COMPUTED_VALUE"""),"G-REQ-03096")</f>
        <v>G-REQ-03096</v>
      </c>
      <c r="B3097" s="11">
        <f>IFERROR(__xludf.DUMMYFUNCTION("""COMPUTED_VALUE"""),45981.67156322632)</f>
        <v>45981.67156</v>
      </c>
      <c r="C3097" s="9">
        <f>IFERROR(__xludf.DUMMYFUNCTION("""COMPUTED_VALUE"""),12115.0)</f>
        <v>12115</v>
      </c>
      <c r="D3097" s="9" t="str">
        <f>IFERROR(__xludf.DUMMYFUNCTION("""COMPUTED_VALUE"""),"Completed")</f>
        <v>Completed</v>
      </c>
    </row>
    <row r="3098">
      <c r="A3098" s="9" t="str">
        <f>IFERROR(__xludf.DUMMYFUNCTION("""COMPUTED_VALUE"""),"G-REQ-03097")</f>
        <v>G-REQ-03097</v>
      </c>
      <c r="B3098" s="11">
        <f>IFERROR(__xludf.DUMMYFUNCTION("""COMPUTED_VALUE"""),45981.74273807174)</f>
        <v>45981.74274</v>
      </c>
      <c r="C3098" s="9">
        <f>IFERROR(__xludf.DUMMYFUNCTION("""COMPUTED_VALUE"""),12119.0)</f>
        <v>12119</v>
      </c>
      <c r="D3098" s="9" t="str">
        <f>IFERROR(__xludf.DUMMYFUNCTION("""COMPUTED_VALUE"""),"Completed")</f>
        <v>Completed</v>
      </c>
    </row>
    <row r="3099">
      <c r="A3099" s="9" t="str">
        <f>IFERROR(__xludf.DUMMYFUNCTION("""COMPUTED_VALUE"""),"G-REQ-03098")</f>
        <v>G-REQ-03098</v>
      </c>
      <c r="B3099" s="11">
        <f>IFERROR(__xludf.DUMMYFUNCTION("""COMPUTED_VALUE"""),45981.81391291716)</f>
        <v>45981.81391</v>
      </c>
      <c r="C3099" s="9">
        <f>IFERROR(__xludf.DUMMYFUNCTION("""COMPUTED_VALUE"""),12123.0)</f>
        <v>12123</v>
      </c>
      <c r="D3099" s="9" t="str">
        <f>IFERROR(__xludf.DUMMYFUNCTION("""COMPUTED_VALUE"""),"Completed")</f>
        <v>Completed</v>
      </c>
    </row>
    <row r="3100">
      <c r="A3100" s="9" t="str">
        <f>IFERROR(__xludf.DUMMYFUNCTION("""COMPUTED_VALUE"""),"G-REQ-03099")</f>
        <v>G-REQ-03099</v>
      </c>
      <c r="B3100" s="11">
        <f>IFERROR(__xludf.DUMMYFUNCTION("""COMPUTED_VALUE"""),45981.88508776257)</f>
        <v>45981.88509</v>
      </c>
      <c r="C3100" s="9">
        <f>IFERROR(__xludf.DUMMYFUNCTION("""COMPUTED_VALUE"""),12127.0)</f>
        <v>12127</v>
      </c>
      <c r="D3100" s="9" t="str">
        <f>IFERROR(__xludf.DUMMYFUNCTION("""COMPUTED_VALUE"""),"Completed")</f>
        <v>Completed</v>
      </c>
    </row>
    <row r="3101">
      <c r="A3101" s="9" t="str">
        <f>IFERROR(__xludf.DUMMYFUNCTION("""COMPUTED_VALUE"""),"G-REQ-03100")</f>
        <v>G-REQ-03100</v>
      </c>
      <c r="B3101" s="11">
        <f>IFERROR(__xludf.DUMMYFUNCTION("""COMPUTED_VALUE"""),45981.94931816354)</f>
        <v>45981.94932</v>
      </c>
      <c r="C3101" s="9">
        <f>IFERROR(__xludf.DUMMYFUNCTION("""COMPUTED_VALUE"""),12129.0)</f>
        <v>12129</v>
      </c>
      <c r="D3101" s="9" t="str">
        <f>IFERROR(__xludf.DUMMYFUNCTION("""COMPUTED_VALUE"""),"Cancelled")</f>
        <v>Cancelled</v>
      </c>
    </row>
    <row r="3102">
      <c r="A3102" s="9" t="str">
        <f>IFERROR(__xludf.DUMMYFUNCTION("""COMPUTED_VALUE"""),"G-REQ-03101")</f>
        <v>G-REQ-03101</v>
      </c>
      <c r="B3102" s="11">
        <f>IFERROR(__xludf.DUMMYFUNCTION("""COMPUTED_VALUE"""),45982.0274374534)</f>
        <v>45982.02744</v>
      </c>
      <c r="C3102" s="9">
        <f>IFERROR(__xludf.DUMMYFUNCTION("""COMPUTED_VALUE"""),12133.0)</f>
        <v>12133</v>
      </c>
      <c r="D3102" s="9" t="str">
        <f>IFERROR(__xludf.DUMMYFUNCTION("""COMPUTED_VALUE"""),"Completed")</f>
        <v>Completed</v>
      </c>
    </row>
    <row r="3103">
      <c r="A3103" s="9" t="str">
        <f>IFERROR(__xludf.DUMMYFUNCTION("""COMPUTED_VALUE"""),"G-REQ-03102")</f>
        <v>G-REQ-03102</v>
      </c>
      <c r="B3103" s="11">
        <f>IFERROR(__xludf.DUMMYFUNCTION("""COMPUTED_VALUE"""),45982.09861229882)</f>
        <v>45982.09861</v>
      </c>
      <c r="C3103" s="9">
        <f>IFERROR(__xludf.DUMMYFUNCTION("""COMPUTED_VALUE"""),12137.0)</f>
        <v>12137</v>
      </c>
      <c r="D3103" s="9" t="str">
        <f>IFERROR(__xludf.DUMMYFUNCTION("""COMPUTED_VALUE"""),"Completed")</f>
        <v>Completed</v>
      </c>
    </row>
    <row r="3104">
      <c r="A3104" s="9" t="str">
        <f>IFERROR(__xludf.DUMMYFUNCTION("""COMPUTED_VALUE"""),"G-REQ-03103")</f>
        <v>G-REQ-03103</v>
      </c>
      <c r="B3104" s="11">
        <f>IFERROR(__xludf.DUMMYFUNCTION("""COMPUTED_VALUE"""),45982.16978714423)</f>
        <v>45982.16979</v>
      </c>
      <c r="C3104" s="9">
        <f>IFERROR(__xludf.DUMMYFUNCTION("""COMPUTED_VALUE"""),12141.0)</f>
        <v>12141</v>
      </c>
      <c r="D3104" s="9" t="str">
        <f>IFERROR(__xludf.DUMMYFUNCTION("""COMPUTED_VALUE"""),"Completed")</f>
        <v>Completed</v>
      </c>
    </row>
    <row r="3105">
      <c r="A3105" s="9" t="str">
        <f>IFERROR(__xludf.DUMMYFUNCTION("""COMPUTED_VALUE"""),"G-REQ-03104")</f>
        <v>G-REQ-03104</v>
      </c>
      <c r="B3105" s="11">
        <f>IFERROR(__xludf.DUMMYFUNCTION("""COMPUTED_VALUE"""),45982.24096198965)</f>
        <v>45982.24096</v>
      </c>
      <c r="C3105" s="9">
        <f>IFERROR(__xludf.DUMMYFUNCTION("""COMPUTED_VALUE"""),12145.0)</f>
        <v>12145</v>
      </c>
      <c r="D3105" s="9" t="str">
        <f>IFERROR(__xludf.DUMMYFUNCTION("""COMPUTED_VALUE"""),"Completed")</f>
        <v>Completed</v>
      </c>
    </row>
    <row r="3106">
      <c r="A3106" s="9" t="str">
        <f>IFERROR(__xludf.DUMMYFUNCTION("""COMPUTED_VALUE"""),"G-REQ-03105")</f>
        <v>G-REQ-03105</v>
      </c>
      <c r="B3106" s="11">
        <f>IFERROR(__xludf.DUMMYFUNCTION("""COMPUTED_VALUE"""),45982.30519239061)</f>
        <v>45982.30519</v>
      </c>
      <c r="C3106" s="9">
        <f>IFERROR(__xludf.DUMMYFUNCTION("""COMPUTED_VALUE"""),12147.0)</f>
        <v>12147</v>
      </c>
      <c r="D3106" s="9" t="str">
        <f>IFERROR(__xludf.DUMMYFUNCTION("""COMPUTED_VALUE"""),"Cancelled")</f>
        <v>Cancelled</v>
      </c>
    </row>
    <row r="3107">
      <c r="A3107" s="9" t="str">
        <f>IFERROR(__xludf.DUMMYFUNCTION("""COMPUTED_VALUE"""),"G-REQ-03106")</f>
        <v>G-REQ-03106</v>
      </c>
      <c r="B3107" s="11">
        <f>IFERROR(__xludf.DUMMYFUNCTION("""COMPUTED_VALUE"""),45982.383311680474)</f>
        <v>45982.38331</v>
      </c>
      <c r="C3107" s="9">
        <f>IFERROR(__xludf.DUMMYFUNCTION("""COMPUTED_VALUE"""),12151.0)</f>
        <v>12151</v>
      </c>
      <c r="D3107" s="9" t="str">
        <f>IFERROR(__xludf.DUMMYFUNCTION("""COMPUTED_VALUE"""),"Completed")</f>
        <v>Completed</v>
      </c>
    </row>
    <row r="3108">
      <c r="A3108" s="9" t="str">
        <f>IFERROR(__xludf.DUMMYFUNCTION("""COMPUTED_VALUE"""),"G-REQ-03107")</f>
        <v>G-REQ-03107</v>
      </c>
      <c r="B3108" s="11">
        <f>IFERROR(__xludf.DUMMYFUNCTION("""COMPUTED_VALUE"""),45982.454486525894)</f>
        <v>45982.45449</v>
      </c>
      <c r="C3108" s="9">
        <f>IFERROR(__xludf.DUMMYFUNCTION("""COMPUTED_VALUE"""),12155.0)</f>
        <v>12155</v>
      </c>
      <c r="D3108" s="9" t="str">
        <f>IFERROR(__xludf.DUMMYFUNCTION("""COMPUTED_VALUE"""),"Completed")</f>
        <v>Completed</v>
      </c>
    </row>
    <row r="3109">
      <c r="A3109" s="9" t="str">
        <f>IFERROR(__xludf.DUMMYFUNCTION("""COMPUTED_VALUE"""),"G-REQ-03108")</f>
        <v>G-REQ-03108</v>
      </c>
      <c r="B3109" s="11">
        <f>IFERROR(__xludf.DUMMYFUNCTION("""COMPUTED_VALUE"""),45982.525661371306)</f>
        <v>45982.52566</v>
      </c>
      <c r="C3109" s="9">
        <f>IFERROR(__xludf.DUMMYFUNCTION("""COMPUTED_VALUE"""),12159.0)</f>
        <v>12159</v>
      </c>
      <c r="D3109" s="9" t="str">
        <f>IFERROR(__xludf.DUMMYFUNCTION("""COMPUTED_VALUE"""),"Completed")</f>
        <v>Completed</v>
      </c>
    </row>
    <row r="3110">
      <c r="A3110" s="9" t="str">
        <f>IFERROR(__xludf.DUMMYFUNCTION("""COMPUTED_VALUE"""),"G-REQ-03109")</f>
        <v>G-REQ-03109</v>
      </c>
      <c r="B3110" s="11">
        <f>IFERROR(__xludf.DUMMYFUNCTION("""COMPUTED_VALUE"""),45982.59683621672)</f>
        <v>45982.59684</v>
      </c>
      <c r="C3110" s="9">
        <f>IFERROR(__xludf.DUMMYFUNCTION("""COMPUTED_VALUE"""),12163.0)</f>
        <v>12163</v>
      </c>
      <c r="D3110" s="9" t="str">
        <f>IFERROR(__xludf.DUMMYFUNCTION("""COMPUTED_VALUE"""),"Completed")</f>
        <v>Completed</v>
      </c>
    </row>
    <row r="3111">
      <c r="A3111" s="9" t="str">
        <f>IFERROR(__xludf.DUMMYFUNCTION("""COMPUTED_VALUE"""),"G-REQ-03110")</f>
        <v>G-REQ-03110</v>
      </c>
      <c r="B3111" s="11">
        <f>IFERROR(__xludf.DUMMYFUNCTION("""COMPUTED_VALUE"""),45982.66801106214)</f>
        <v>45982.66801</v>
      </c>
      <c r="C3111" s="9">
        <f>IFERROR(__xludf.DUMMYFUNCTION("""COMPUTED_VALUE"""),12167.0)</f>
        <v>12167</v>
      </c>
      <c r="D3111" s="9" t="str">
        <f>IFERROR(__xludf.DUMMYFUNCTION("""COMPUTED_VALUE"""),"Completed")</f>
        <v>Completed</v>
      </c>
    </row>
    <row r="3112">
      <c r="A3112" s="9" t="str">
        <f>IFERROR(__xludf.DUMMYFUNCTION("""COMPUTED_VALUE"""),"G-REQ-03111")</f>
        <v>G-REQ-03111</v>
      </c>
      <c r="B3112" s="11">
        <f>IFERROR(__xludf.DUMMYFUNCTION("""COMPUTED_VALUE"""),45982.73918590755)</f>
        <v>45982.73919</v>
      </c>
      <c r="C3112" s="9">
        <f>IFERROR(__xludf.DUMMYFUNCTION("""COMPUTED_VALUE"""),12171.0)</f>
        <v>12171</v>
      </c>
      <c r="D3112" s="9" t="str">
        <f>IFERROR(__xludf.DUMMYFUNCTION("""COMPUTED_VALUE"""),"Completed")</f>
        <v>Completed</v>
      </c>
    </row>
    <row r="3113">
      <c r="A3113" s="9" t="str">
        <f>IFERROR(__xludf.DUMMYFUNCTION("""COMPUTED_VALUE"""),"G-REQ-03112")</f>
        <v>G-REQ-03112</v>
      </c>
      <c r="B3113" s="11">
        <f>IFERROR(__xludf.DUMMYFUNCTION("""COMPUTED_VALUE"""),45982.81036075296)</f>
        <v>45982.81036</v>
      </c>
      <c r="C3113" s="9">
        <f>IFERROR(__xludf.DUMMYFUNCTION("""COMPUTED_VALUE"""),12175.0)</f>
        <v>12175</v>
      </c>
      <c r="D3113" s="9" t="str">
        <f>IFERROR(__xludf.DUMMYFUNCTION("""COMPUTED_VALUE"""),"Completed")</f>
        <v>Completed</v>
      </c>
    </row>
    <row r="3114">
      <c r="A3114" s="9" t="str">
        <f>IFERROR(__xludf.DUMMYFUNCTION("""COMPUTED_VALUE"""),"G-REQ-03113")</f>
        <v>G-REQ-03113</v>
      </c>
      <c r="B3114" s="11">
        <f>IFERROR(__xludf.DUMMYFUNCTION("""COMPUTED_VALUE"""),45982.88153559838)</f>
        <v>45982.88154</v>
      </c>
      <c r="C3114" s="9">
        <f>IFERROR(__xludf.DUMMYFUNCTION("""COMPUTED_VALUE"""),12179.0)</f>
        <v>12179</v>
      </c>
      <c r="D3114" s="9" t="str">
        <f>IFERROR(__xludf.DUMMYFUNCTION("""COMPUTED_VALUE"""),"Completed")</f>
        <v>Completed</v>
      </c>
    </row>
    <row r="3115">
      <c r="A3115" s="9" t="str">
        <f>IFERROR(__xludf.DUMMYFUNCTION("""COMPUTED_VALUE"""),"G-REQ-03114")</f>
        <v>G-REQ-03114</v>
      </c>
      <c r="B3115" s="11">
        <f>IFERROR(__xludf.DUMMYFUNCTION("""COMPUTED_VALUE"""),45982.9527104438)</f>
        <v>45982.95271</v>
      </c>
      <c r="C3115" s="9">
        <f>IFERROR(__xludf.DUMMYFUNCTION("""COMPUTED_VALUE"""),12183.0)</f>
        <v>12183</v>
      </c>
      <c r="D3115" s="9" t="str">
        <f>IFERROR(__xludf.DUMMYFUNCTION("""COMPUTED_VALUE"""),"Completed")</f>
        <v>Completed</v>
      </c>
    </row>
    <row r="3116">
      <c r="A3116" s="9" t="str">
        <f>IFERROR(__xludf.DUMMYFUNCTION("""COMPUTED_VALUE"""),"G-REQ-03115")</f>
        <v>G-REQ-03115</v>
      </c>
      <c r="B3116" s="11">
        <f>IFERROR(__xludf.DUMMYFUNCTION("""COMPUTED_VALUE"""),45983.02388528921)</f>
        <v>45983.02389</v>
      </c>
      <c r="C3116" s="9">
        <f>IFERROR(__xludf.DUMMYFUNCTION("""COMPUTED_VALUE"""),12187.0)</f>
        <v>12187</v>
      </c>
      <c r="D3116" s="9" t="str">
        <f>IFERROR(__xludf.DUMMYFUNCTION("""COMPUTED_VALUE"""),"Completed")</f>
        <v>Completed</v>
      </c>
    </row>
    <row r="3117">
      <c r="A3117" s="9" t="str">
        <f>IFERROR(__xludf.DUMMYFUNCTION("""COMPUTED_VALUE"""),"G-REQ-03116")</f>
        <v>G-REQ-03116</v>
      </c>
      <c r="B3117" s="11">
        <f>IFERROR(__xludf.DUMMYFUNCTION("""COMPUTED_VALUE"""),45983.09506013463)</f>
        <v>45983.09506</v>
      </c>
      <c r="C3117" s="9">
        <f>IFERROR(__xludf.DUMMYFUNCTION("""COMPUTED_VALUE"""),12191.0)</f>
        <v>12191</v>
      </c>
      <c r="D3117" s="9" t="str">
        <f>IFERROR(__xludf.DUMMYFUNCTION("""COMPUTED_VALUE"""),"Completed")</f>
        <v>Completed</v>
      </c>
    </row>
    <row r="3118">
      <c r="A3118" s="9" t="str">
        <f>IFERROR(__xludf.DUMMYFUNCTION("""COMPUTED_VALUE"""),"G-REQ-03117")</f>
        <v>G-REQ-03117</v>
      </c>
      <c r="B3118" s="11">
        <f>IFERROR(__xludf.DUMMYFUNCTION("""COMPUTED_VALUE"""),45983.166234980046)</f>
        <v>45983.16623</v>
      </c>
      <c r="C3118" s="9">
        <f>IFERROR(__xludf.DUMMYFUNCTION("""COMPUTED_VALUE"""),12195.0)</f>
        <v>12195</v>
      </c>
      <c r="D3118" s="9" t="str">
        <f>IFERROR(__xludf.DUMMYFUNCTION("""COMPUTED_VALUE"""),"Completed")</f>
        <v>Completed</v>
      </c>
    </row>
    <row r="3119">
      <c r="A3119" s="9" t="str">
        <f>IFERROR(__xludf.DUMMYFUNCTION("""COMPUTED_VALUE"""),"G-REQ-03118")</f>
        <v>G-REQ-03118</v>
      </c>
      <c r="B3119" s="11">
        <f>IFERROR(__xludf.DUMMYFUNCTION("""COMPUTED_VALUE"""),45983.23740982546)</f>
        <v>45983.23741</v>
      </c>
      <c r="C3119" s="9">
        <f>IFERROR(__xludf.DUMMYFUNCTION("""COMPUTED_VALUE"""),12199.0)</f>
        <v>12199</v>
      </c>
      <c r="D3119" s="9" t="str">
        <f>IFERROR(__xludf.DUMMYFUNCTION("""COMPUTED_VALUE"""),"Completed")</f>
        <v>Completed</v>
      </c>
    </row>
    <row r="3120">
      <c r="A3120" s="9" t="str">
        <f>IFERROR(__xludf.DUMMYFUNCTION("""COMPUTED_VALUE"""),"G-REQ-03119")</f>
        <v>G-REQ-03119</v>
      </c>
      <c r="B3120" s="11">
        <f>IFERROR(__xludf.DUMMYFUNCTION("""COMPUTED_VALUE"""),45983.30858467087)</f>
        <v>45983.30858</v>
      </c>
      <c r="C3120" s="9">
        <f>IFERROR(__xludf.DUMMYFUNCTION("""COMPUTED_VALUE"""),12203.0)</f>
        <v>12203</v>
      </c>
      <c r="D3120" s="9" t="str">
        <f>IFERROR(__xludf.DUMMYFUNCTION("""COMPUTED_VALUE"""),"Completed")</f>
        <v>Completed</v>
      </c>
    </row>
    <row r="3121">
      <c r="A3121" s="9" t="str">
        <f>IFERROR(__xludf.DUMMYFUNCTION("""COMPUTED_VALUE"""),"G-REQ-03120")</f>
        <v>G-REQ-03120</v>
      </c>
      <c r="B3121" s="11">
        <f>IFERROR(__xludf.DUMMYFUNCTION("""COMPUTED_VALUE"""),45983.37975951629)</f>
        <v>45983.37976</v>
      </c>
      <c r="C3121" s="9">
        <f>IFERROR(__xludf.DUMMYFUNCTION("""COMPUTED_VALUE"""),12207.0)</f>
        <v>12207</v>
      </c>
      <c r="D3121" s="9" t="str">
        <f>IFERROR(__xludf.DUMMYFUNCTION("""COMPUTED_VALUE"""),"Completed")</f>
        <v>Completed</v>
      </c>
    </row>
    <row r="3122">
      <c r="A3122" s="9" t="str">
        <f>IFERROR(__xludf.DUMMYFUNCTION("""COMPUTED_VALUE"""),"G-REQ-03121")</f>
        <v>G-REQ-03121</v>
      </c>
      <c r="B3122" s="11">
        <f>IFERROR(__xludf.DUMMYFUNCTION("""COMPUTED_VALUE"""),45983.4509343617)</f>
        <v>45983.45093</v>
      </c>
      <c r="C3122" s="9">
        <f>IFERROR(__xludf.DUMMYFUNCTION("""COMPUTED_VALUE"""),12211.0)</f>
        <v>12211</v>
      </c>
      <c r="D3122" s="9" t="str">
        <f>IFERROR(__xludf.DUMMYFUNCTION("""COMPUTED_VALUE"""),"Completed")</f>
        <v>Completed</v>
      </c>
    </row>
    <row r="3123">
      <c r="A3123" s="9" t="str">
        <f>IFERROR(__xludf.DUMMYFUNCTION("""COMPUTED_VALUE"""),"G-REQ-03122")</f>
        <v>G-REQ-03122</v>
      </c>
      <c r="B3123" s="11">
        <f>IFERROR(__xludf.DUMMYFUNCTION("""COMPUTED_VALUE"""),45983.522109207115)</f>
        <v>45983.52211</v>
      </c>
      <c r="C3123" s="9">
        <f>IFERROR(__xludf.DUMMYFUNCTION("""COMPUTED_VALUE"""),12215.0)</f>
        <v>12215</v>
      </c>
      <c r="D3123" s="9" t="str">
        <f>IFERROR(__xludf.DUMMYFUNCTION("""COMPUTED_VALUE"""),"Completed")</f>
        <v>Completed</v>
      </c>
    </row>
    <row r="3124">
      <c r="A3124" s="9" t="str">
        <f>IFERROR(__xludf.DUMMYFUNCTION("""COMPUTED_VALUE"""),"G-REQ-03123")</f>
        <v>G-REQ-03123</v>
      </c>
      <c r="B3124" s="11">
        <f>IFERROR(__xludf.DUMMYFUNCTION("""COMPUTED_VALUE"""),45983.593284052535)</f>
        <v>45983.59328</v>
      </c>
      <c r="C3124" s="9">
        <f>IFERROR(__xludf.DUMMYFUNCTION("""COMPUTED_VALUE"""),12219.0)</f>
        <v>12219</v>
      </c>
      <c r="D3124" s="9" t="str">
        <f>IFERROR(__xludf.DUMMYFUNCTION("""COMPUTED_VALUE"""),"Completed")</f>
        <v>Completed</v>
      </c>
    </row>
    <row r="3125">
      <c r="A3125" s="9" t="str">
        <f>IFERROR(__xludf.DUMMYFUNCTION("""COMPUTED_VALUE"""),"G-REQ-03124")</f>
        <v>G-REQ-03124</v>
      </c>
      <c r="B3125" s="11">
        <f>IFERROR(__xludf.DUMMYFUNCTION("""COMPUTED_VALUE"""),45983.6575144535)</f>
        <v>45983.65751</v>
      </c>
      <c r="C3125" s="9">
        <f>IFERROR(__xludf.DUMMYFUNCTION("""COMPUTED_VALUE"""),12221.0)</f>
        <v>12221</v>
      </c>
      <c r="D3125" s="9" t="str">
        <f>IFERROR(__xludf.DUMMYFUNCTION("""COMPUTED_VALUE"""),"Rejected")</f>
        <v>Rejected</v>
      </c>
    </row>
    <row r="3126">
      <c r="A3126" s="9" t="str">
        <f>IFERROR(__xludf.DUMMYFUNCTION("""COMPUTED_VALUE"""),"G-REQ-03125")</f>
        <v>G-REQ-03125</v>
      </c>
      <c r="B3126" s="11">
        <f>IFERROR(__xludf.DUMMYFUNCTION("""COMPUTED_VALUE"""),45983.73563374336)</f>
        <v>45983.73563</v>
      </c>
      <c r="C3126" s="9">
        <f>IFERROR(__xludf.DUMMYFUNCTION("""COMPUTED_VALUE"""),12225.0)</f>
        <v>12225</v>
      </c>
      <c r="D3126" s="9" t="str">
        <f>IFERROR(__xludf.DUMMYFUNCTION("""COMPUTED_VALUE"""),"Completed")</f>
        <v>Completed</v>
      </c>
    </row>
    <row r="3127">
      <c r="A3127" s="9" t="str">
        <f>IFERROR(__xludf.DUMMYFUNCTION("""COMPUTED_VALUE"""),"G-REQ-03126")</f>
        <v>G-REQ-03126</v>
      </c>
      <c r="B3127" s="11">
        <f>IFERROR(__xludf.DUMMYFUNCTION("""COMPUTED_VALUE"""),45983.80680858878)</f>
        <v>45983.80681</v>
      </c>
      <c r="C3127" s="9">
        <f>IFERROR(__xludf.DUMMYFUNCTION("""COMPUTED_VALUE"""),12229.0)</f>
        <v>12229</v>
      </c>
      <c r="D3127" s="9" t="str">
        <f>IFERROR(__xludf.DUMMYFUNCTION("""COMPUTED_VALUE"""),"Completed")</f>
        <v>Completed</v>
      </c>
    </row>
    <row r="3128">
      <c r="A3128" s="9" t="str">
        <f>IFERROR(__xludf.DUMMYFUNCTION("""COMPUTED_VALUE"""),"G-REQ-03127")</f>
        <v>G-REQ-03127</v>
      </c>
      <c r="B3128" s="11">
        <f>IFERROR(__xludf.DUMMYFUNCTION("""COMPUTED_VALUE"""),45983.87798343419)</f>
        <v>45983.87798</v>
      </c>
      <c r="C3128" s="9">
        <f>IFERROR(__xludf.DUMMYFUNCTION("""COMPUTED_VALUE"""),12233.0)</f>
        <v>12233</v>
      </c>
      <c r="D3128" s="9" t="str">
        <f>IFERROR(__xludf.DUMMYFUNCTION("""COMPUTED_VALUE"""),"Completed")</f>
        <v>Completed</v>
      </c>
    </row>
    <row r="3129">
      <c r="A3129" s="9" t="str">
        <f>IFERROR(__xludf.DUMMYFUNCTION("""COMPUTED_VALUE"""),"G-REQ-03128")</f>
        <v>G-REQ-03128</v>
      </c>
      <c r="B3129" s="11">
        <f>IFERROR(__xludf.DUMMYFUNCTION("""COMPUTED_VALUE"""),45983.9491582796)</f>
        <v>45983.94916</v>
      </c>
      <c r="C3129" s="9">
        <f>IFERROR(__xludf.DUMMYFUNCTION("""COMPUTED_VALUE"""),12237.0)</f>
        <v>12237</v>
      </c>
      <c r="D3129" s="9" t="str">
        <f>IFERROR(__xludf.DUMMYFUNCTION("""COMPUTED_VALUE"""),"Completed")</f>
        <v>Completed</v>
      </c>
    </row>
    <row r="3130">
      <c r="A3130" s="9" t="str">
        <f>IFERROR(__xludf.DUMMYFUNCTION("""COMPUTED_VALUE"""),"G-REQ-03129")</f>
        <v>G-REQ-03129</v>
      </c>
      <c r="B3130" s="11">
        <f>IFERROR(__xludf.DUMMYFUNCTION("""COMPUTED_VALUE"""),45984.02033312502)</f>
        <v>45984.02033</v>
      </c>
      <c r="C3130" s="9">
        <f>IFERROR(__xludf.DUMMYFUNCTION("""COMPUTED_VALUE"""),12241.0)</f>
        <v>12241</v>
      </c>
      <c r="D3130" s="9" t="str">
        <f>IFERROR(__xludf.DUMMYFUNCTION("""COMPUTED_VALUE"""),"Completed")</f>
        <v>Completed</v>
      </c>
    </row>
    <row r="3131">
      <c r="A3131" s="9" t="str">
        <f>IFERROR(__xludf.DUMMYFUNCTION("""COMPUTED_VALUE"""),"G-REQ-03130")</f>
        <v>G-REQ-03130</v>
      </c>
      <c r="B3131" s="11">
        <f>IFERROR(__xludf.DUMMYFUNCTION("""COMPUTED_VALUE"""),45984.084563526)</f>
        <v>45984.08456</v>
      </c>
      <c r="C3131" s="9">
        <f>IFERROR(__xludf.DUMMYFUNCTION("""COMPUTED_VALUE"""),12243.0)</f>
        <v>12243</v>
      </c>
      <c r="D3131" s="9" t="str">
        <f>IFERROR(__xludf.DUMMYFUNCTION("""COMPUTED_VALUE"""),"Cancelled")</f>
        <v>Cancelled</v>
      </c>
    </row>
    <row r="3132">
      <c r="A3132" s="9" t="str">
        <f>IFERROR(__xludf.DUMMYFUNCTION("""COMPUTED_VALUE"""),"G-REQ-03131")</f>
        <v>G-REQ-03131</v>
      </c>
      <c r="B3132" s="11">
        <f>IFERROR(__xludf.DUMMYFUNCTION("""COMPUTED_VALUE"""),45984.16268281585)</f>
        <v>45984.16268</v>
      </c>
      <c r="C3132" s="9">
        <f>IFERROR(__xludf.DUMMYFUNCTION("""COMPUTED_VALUE"""),12247.0)</f>
        <v>12247</v>
      </c>
      <c r="D3132" s="9" t="str">
        <f>IFERROR(__xludf.DUMMYFUNCTION("""COMPUTED_VALUE"""),"Completed")</f>
        <v>Completed</v>
      </c>
    </row>
    <row r="3133">
      <c r="A3133" s="9" t="str">
        <f>IFERROR(__xludf.DUMMYFUNCTION("""COMPUTED_VALUE"""),"G-REQ-03132")</f>
        <v>G-REQ-03132</v>
      </c>
      <c r="B3133" s="11">
        <f>IFERROR(__xludf.DUMMYFUNCTION("""COMPUTED_VALUE"""),45984.23385766127)</f>
        <v>45984.23386</v>
      </c>
      <c r="C3133" s="9">
        <f>IFERROR(__xludf.DUMMYFUNCTION("""COMPUTED_VALUE"""),12251.0)</f>
        <v>12251</v>
      </c>
      <c r="D3133" s="9" t="str">
        <f>IFERROR(__xludf.DUMMYFUNCTION("""COMPUTED_VALUE"""),"Completed")</f>
        <v>Completed</v>
      </c>
    </row>
    <row r="3134">
      <c r="A3134" s="9" t="str">
        <f>IFERROR(__xludf.DUMMYFUNCTION("""COMPUTED_VALUE"""),"G-REQ-03133")</f>
        <v>G-REQ-03133</v>
      </c>
      <c r="B3134" s="11">
        <f>IFERROR(__xludf.DUMMYFUNCTION("""COMPUTED_VALUE"""),45984.29808806224)</f>
        <v>45984.29809</v>
      </c>
      <c r="C3134" s="9">
        <f>IFERROR(__xludf.DUMMYFUNCTION("""COMPUTED_VALUE"""),12253.0)</f>
        <v>12253</v>
      </c>
      <c r="D3134" s="9" t="str">
        <f>IFERROR(__xludf.DUMMYFUNCTION("""COMPUTED_VALUE"""),"Rejected")</f>
        <v>Rejected</v>
      </c>
    </row>
    <row r="3135">
      <c r="A3135" s="9" t="str">
        <f>IFERROR(__xludf.DUMMYFUNCTION("""COMPUTED_VALUE"""),"G-REQ-03134")</f>
        <v>G-REQ-03134</v>
      </c>
      <c r="B3135" s="11">
        <f>IFERROR(__xludf.DUMMYFUNCTION("""COMPUTED_VALUE"""),45984.3762073521)</f>
        <v>45984.37621</v>
      </c>
      <c r="C3135" s="9">
        <f>IFERROR(__xludf.DUMMYFUNCTION("""COMPUTED_VALUE"""),12257.0)</f>
        <v>12257</v>
      </c>
      <c r="D3135" s="9" t="str">
        <f>IFERROR(__xludf.DUMMYFUNCTION("""COMPUTED_VALUE"""),"Completed")</f>
        <v>Completed</v>
      </c>
    </row>
    <row r="3136">
      <c r="A3136" s="9" t="str">
        <f>IFERROR(__xludf.DUMMYFUNCTION("""COMPUTED_VALUE"""),"G-REQ-03135")</f>
        <v>G-REQ-03135</v>
      </c>
      <c r="B3136" s="11">
        <f>IFERROR(__xludf.DUMMYFUNCTION("""COMPUTED_VALUE"""),45984.44738219751)</f>
        <v>45984.44738</v>
      </c>
      <c r="C3136" s="9">
        <f>IFERROR(__xludf.DUMMYFUNCTION("""COMPUTED_VALUE"""),12261.0)</f>
        <v>12261</v>
      </c>
      <c r="D3136" s="9" t="str">
        <f>IFERROR(__xludf.DUMMYFUNCTION("""COMPUTED_VALUE"""),"Completed")</f>
        <v>Completed</v>
      </c>
    </row>
    <row r="3137">
      <c r="A3137" s="9" t="str">
        <f>IFERROR(__xludf.DUMMYFUNCTION("""COMPUTED_VALUE"""),"G-REQ-03136")</f>
        <v>G-REQ-03136</v>
      </c>
      <c r="B3137" s="11">
        <f>IFERROR(__xludf.DUMMYFUNCTION("""COMPUTED_VALUE"""),45984.51855704293)</f>
        <v>45984.51856</v>
      </c>
      <c r="C3137" s="9">
        <f>IFERROR(__xludf.DUMMYFUNCTION("""COMPUTED_VALUE"""),12265.0)</f>
        <v>12265</v>
      </c>
      <c r="D3137" s="9" t="str">
        <f>IFERROR(__xludf.DUMMYFUNCTION("""COMPUTED_VALUE"""),"Completed")</f>
        <v>Completed</v>
      </c>
    </row>
    <row r="3138">
      <c r="A3138" s="9" t="str">
        <f>IFERROR(__xludf.DUMMYFUNCTION("""COMPUTED_VALUE"""),"G-REQ-03137")</f>
        <v>G-REQ-03137</v>
      </c>
      <c r="B3138" s="11">
        <f>IFERROR(__xludf.DUMMYFUNCTION("""COMPUTED_VALUE"""),45984.5827874439)</f>
        <v>45984.58279</v>
      </c>
      <c r="C3138" s="9">
        <f>IFERROR(__xludf.DUMMYFUNCTION("""COMPUTED_VALUE"""),12267.0)</f>
        <v>12267</v>
      </c>
      <c r="D3138" s="9" t="str">
        <f>IFERROR(__xludf.DUMMYFUNCTION("""COMPUTED_VALUE"""),"Cancelled")</f>
        <v>Cancelled</v>
      </c>
    </row>
    <row r="3139">
      <c r="A3139" s="9" t="str">
        <f>IFERROR(__xludf.DUMMYFUNCTION("""COMPUTED_VALUE"""),"G-REQ-03138")</f>
        <v>G-REQ-03138</v>
      </c>
      <c r="B3139" s="11">
        <f>IFERROR(__xludf.DUMMYFUNCTION("""COMPUTED_VALUE"""),45984.660906733756)</f>
        <v>45984.66091</v>
      </c>
      <c r="C3139" s="9">
        <f>IFERROR(__xludf.DUMMYFUNCTION("""COMPUTED_VALUE"""),12271.0)</f>
        <v>12271</v>
      </c>
      <c r="D3139" s="9" t="str">
        <f>IFERROR(__xludf.DUMMYFUNCTION("""COMPUTED_VALUE"""),"Completed")</f>
        <v>Completed</v>
      </c>
    </row>
    <row r="3140">
      <c r="A3140" s="9" t="str">
        <f>IFERROR(__xludf.DUMMYFUNCTION("""COMPUTED_VALUE"""),"G-REQ-03139")</f>
        <v>G-REQ-03139</v>
      </c>
      <c r="B3140" s="11">
        <f>IFERROR(__xludf.DUMMYFUNCTION("""COMPUTED_VALUE"""),45984.732081579175)</f>
        <v>45984.73208</v>
      </c>
      <c r="C3140" s="9">
        <f>IFERROR(__xludf.DUMMYFUNCTION("""COMPUTED_VALUE"""),12275.0)</f>
        <v>12275</v>
      </c>
      <c r="D3140" s="9" t="str">
        <f>IFERROR(__xludf.DUMMYFUNCTION("""COMPUTED_VALUE"""),"Completed")</f>
        <v>Completed</v>
      </c>
    </row>
    <row r="3141">
      <c r="A3141" s="9" t="str">
        <f>IFERROR(__xludf.DUMMYFUNCTION("""COMPUTED_VALUE"""),"G-REQ-03140")</f>
        <v>G-REQ-03140</v>
      </c>
      <c r="B3141" s="11">
        <f>IFERROR(__xludf.DUMMYFUNCTION("""COMPUTED_VALUE"""),45984.803256424595)</f>
        <v>45984.80326</v>
      </c>
      <c r="C3141" s="9">
        <f>IFERROR(__xludf.DUMMYFUNCTION("""COMPUTED_VALUE"""),12279.0)</f>
        <v>12279</v>
      </c>
      <c r="D3141" s="9" t="str">
        <f>IFERROR(__xludf.DUMMYFUNCTION("""COMPUTED_VALUE"""),"Completed")</f>
        <v>Completed</v>
      </c>
    </row>
    <row r="3142">
      <c r="A3142" s="9" t="str">
        <f>IFERROR(__xludf.DUMMYFUNCTION("""COMPUTED_VALUE"""),"G-REQ-03141")</f>
        <v>G-REQ-03141</v>
      </c>
      <c r="B3142" s="11">
        <f>IFERROR(__xludf.DUMMYFUNCTION("""COMPUTED_VALUE"""),45984.87443127)</f>
        <v>45984.87443</v>
      </c>
      <c r="C3142" s="9">
        <f>IFERROR(__xludf.DUMMYFUNCTION("""COMPUTED_VALUE"""),12283.0)</f>
        <v>12283</v>
      </c>
      <c r="D3142" s="9" t="str">
        <f>IFERROR(__xludf.DUMMYFUNCTION("""COMPUTED_VALUE"""),"Completed")</f>
        <v>Completed</v>
      </c>
    </row>
    <row r="3143">
      <c r="A3143" s="9" t="str">
        <f>IFERROR(__xludf.DUMMYFUNCTION("""COMPUTED_VALUE"""),"G-REQ-03142")</f>
        <v>G-REQ-03142</v>
      </c>
      <c r="B3143" s="11">
        <f>IFERROR(__xludf.DUMMYFUNCTION("""COMPUTED_VALUE"""),45984.94560611542)</f>
        <v>45984.94561</v>
      </c>
      <c r="C3143" s="9">
        <f>IFERROR(__xludf.DUMMYFUNCTION("""COMPUTED_VALUE"""),12287.0)</f>
        <v>12287</v>
      </c>
      <c r="D3143" s="9" t="str">
        <f>IFERROR(__xludf.DUMMYFUNCTION("""COMPUTED_VALUE"""),"Completed")</f>
        <v>Completed</v>
      </c>
    </row>
    <row r="3144">
      <c r="A3144" s="9" t="str">
        <f>IFERROR(__xludf.DUMMYFUNCTION("""COMPUTED_VALUE"""),"G-REQ-03143")</f>
        <v>G-REQ-03143</v>
      </c>
      <c r="B3144" s="11">
        <f>IFERROR(__xludf.DUMMYFUNCTION("""COMPUTED_VALUE"""),45985.01678096083)</f>
        <v>45985.01678</v>
      </c>
      <c r="C3144" s="9">
        <f>IFERROR(__xludf.DUMMYFUNCTION("""COMPUTED_VALUE"""),12291.0)</f>
        <v>12291</v>
      </c>
      <c r="D3144" s="9" t="str">
        <f>IFERROR(__xludf.DUMMYFUNCTION("""COMPUTED_VALUE"""),"Completed")</f>
        <v>Completed</v>
      </c>
    </row>
    <row r="3145">
      <c r="A3145" s="9" t="str">
        <f>IFERROR(__xludf.DUMMYFUNCTION("""COMPUTED_VALUE"""),"G-REQ-03144")</f>
        <v>G-REQ-03144</v>
      </c>
      <c r="B3145" s="11">
        <f>IFERROR(__xludf.DUMMYFUNCTION("""COMPUTED_VALUE"""),45985.08795580625)</f>
        <v>45985.08796</v>
      </c>
      <c r="C3145" s="9">
        <f>IFERROR(__xludf.DUMMYFUNCTION("""COMPUTED_VALUE"""),12295.0)</f>
        <v>12295</v>
      </c>
      <c r="D3145" s="9" t="str">
        <f>IFERROR(__xludf.DUMMYFUNCTION("""COMPUTED_VALUE"""),"Completed")</f>
        <v>Completed</v>
      </c>
    </row>
    <row r="3146">
      <c r="A3146" s="9" t="str">
        <f>IFERROR(__xludf.DUMMYFUNCTION("""COMPUTED_VALUE"""),"G-REQ-03145")</f>
        <v>G-REQ-03145</v>
      </c>
      <c r="B3146" s="11">
        <f>IFERROR(__xludf.DUMMYFUNCTION("""COMPUTED_VALUE"""),45985.159130651664)</f>
        <v>45985.15913</v>
      </c>
      <c r="C3146" s="9">
        <f>IFERROR(__xludf.DUMMYFUNCTION("""COMPUTED_VALUE"""),12299.0)</f>
        <v>12299</v>
      </c>
      <c r="D3146" s="9" t="str">
        <f>IFERROR(__xludf.DUMMYFUNCTION("""COMPUTED_VALUE"""),"Completed")</f>
        <v>Completed</v>
      </c>
    </row>
    <row r="3147">
      <c r="A3147" s="9" t="str">
        <f>IFERROR(__xludf.DUMMYFUNCTION("""COMPUTED_VALUE"""),"G-REQ-03146")</f>
        <v>G-REQ-03146</v>
      </c>
      <c r="B3147" s="11">
        <f>IFERROR(__xludf.DUMMYFUNCTION("""COMPUTED_VALUE"""),45985.23030549708)</f>
        <v>45985.23031</v>
      </c>
      <c r="C3147" s="9">
        <f>IFERROR(__xludf.DUMMYFUNCTION("""COMPUTED_VALUE"""),12303.0)</f>
        <v>12303</v>
      </c>
      <c r="D3147" s="9" t="str">
        <f>IFERROR(__xludf.DUMMYFUNCTION("""COMPUTED_VALUE"""),"Completed")</f>
        <v>Completed</v>
      </c>
    </row>
    <row r="3148">
      <c r="A3148" s="9" t="str">
        <f>IFERROR(__xludf.DUMMYFUNCTION("""COMPUTED_VALUE"""),"G-REQ-03147")</f>
        <v>G-REQ-03147</v>
      </c>
      <c r="B3148" s="11">
        <f>IFERROR(__xludf.DUMMYFUNCTION("""COMPUTED_VALUE"""),45985.30148034249)</f>
        <v>45985.30148</v>
      </c>
      <c r="C3148" s="9">
        <f>IFERROR(__xludf.DUMMYFUNCTION("""COMPUTED_VALUE"""),12307.0)</f>
        <v>12307</v>
      </c>
      <c r="D3148" s="9" t="str">
        <f>IFERROR(__xludf.DUMMYFUNCTION("""COMPUTED_VALUE"""),"Completed")</f>
        <v>Completed</v>
      </c>
    </row>
    <row r="3149">
      <c r="A3149" s="9" t="str">
        <f>IFERROR(__xludf.DUMMYFUNCTION("""COMPUTED_VALUE"""),"G-REQ-03148")</f>
        <v>G-REQ-03148</v>
      </c>
      <c r="B3149" s="11">
        <f>IFERROR(__xludf.DUMMYFUNCTION("""COMPUTED_VALUE"""),45985.37265518791)</f>
        <v>45985.37266</v>
      </c>
      <c r="C3149" s="9">
        <f>IFERROR(__xludf.DUMMYFUNCTION("""COMPUTED_VALUE"""),12311.0)</f>
        <v>12311</v>
      </c>
      <c r="D3149" s="9" t="str">
        <f>IFERROR(__xludf.DUMMYFUNCTION("""COMPUTED_VALUE"""),"Completed")</f>
        <v>Completed</v>
      </c>
    </row>
    <row r="3150">
      <c r="A3150" s="9" t="str">
        <f>IFERROR(__xludf.DUMMYFUNCTION("""COMPUTED_VALUE"""),"G-REQ-03149")</f>
        <v>G-REQ-03149</v>
      </c>
      <c r="B3150" s="11">
        <f>IFERROR(__xludf.DUMMYFUNCTION("""COMPUTED_VALUE"""),45985.44383003333)</f>
        <v>45985.44383</v>
      </c>
      <c r="C3150" s="9">
        <f>IFERROR(__xludf.DUMMYFUNCTION("""COMPUTED_VALUE"""),12315.0)</f>
        <v>12315</v>
      </c>
      <c r="D3150" s="9" t="str">
        <f>IFERROR(__xludf.DUMMYFUNCTION("""COMPUTED_VALUE"""),"Completed")</f>
        <v>Completed</v>
      </c>
    </row>
    <row r="3151">
      <c r="A3151" s="9" t="str">
        <f>IFERROR(__xludf.DUMMYFUNCTION("""COMPUTED_VALUE"""),"G-REQ-03150")</f>
        <v>G-REQ-03150</v>
      </c>
      <c r="B3151" s="11">
        <f>IFERROR(__xludf.DUMMYFUNCTION("""COMPUTED_VALUE"""),45985.508060434295)</f>
        <v>45985.50806</v>
      </c>
      <c r="C3151" s="9">
        <f>IFERROR(__xludf.DUMMYFUNCTION("""COMPUTED_VALUE"""),12317.0)</f>
        <v>12317</v>
      </c>
      <c r="D3151" s="9" t="str">
        <f>IFERROR(__xludf.DUMMYFUNCTION("""COMPUTED_VALUE"""),"Rejected")</f>
        <v>Rejected</v>
      </c>
    </row>
    <row r="3152">
      <c r="A3152" s="9" t="str">
        <f>IFERROR(__xludf.DUMMYFUNCTION("""COMPUTED_VALUE"""),"G-REQ-03151")</f>
        <v>G-REQ-03151</v>
      </c>
      <c r="B3152" s="11">
        <f>IFERROR(__xludf.DUMMYFUNCTION("""COMPUTED_VALUE"""),45985.58617972415)</f>
        <v>45985.58618</v>
      </c>
      <c r="C3152" s="9">
        <f>IFERROR(__xludf.DUMMYFUNCTION("""COMPUTED_VALUE"""),12321.0)</f>
        <v>12321</v>
      </c>
      <c r="D3152" s="9" t="str">
        <f>IFERROR(__xludf.DUMMYFUNCTION("""COMPUTED_VALUE"""),"Completed")</f>
        <v>Completed</v>
      </c>
    </row>
    <row r="3153">
      <c r="A3153" s="9" t="str">
        <f>IFERROR(__xludf.DUMMYFUNCTION("""COMPUTED_VALUE"""),"G-REQ-03152")</f>
        <v>G-REQ-03152</v>
      </c>
      <c r="B3153" s="11">
        <f>IFERROR(__xludf.DUMMYFUNCTION("""COMPUTED_VALUE"""),45985.65735456957)</f>
        <v>45985.65735</v>
      </c>
      <c r="C3153" s="9">
        <f>IFERROR(__xludf.DUMMYFUNCTION("""COMPUTED_VALUE"""),12325.0)</f>
        <v>12325</v>
      </c>
      <c r="D3153" s="9" t="str">
        <f>IFERROR(__xludf.DUMMYFUNCTION("""COMPUTED_VALUE"""),"Completed")</f>
        <v>Completed</v>
      </c>
    </row>
    <row r="3154">
      <c r="A3154" s="9" t="str">
        <f>IFERROR(__xludf.DUMMYFUNCTION("""COMPUTED_VALUE"""),"G-REQ-03153")</f>
        <v>G-REQ-03153</v>
      </c>
      <c r="B3154" s="11">
        <f>IFERROR(__xludf.DUMMYFUNCTION("""COMPUTED_VALUE"""),45985.728529414984)</f>
        <v>45985.72853</v>
      </c>
      <c r="C3154" s="9">
        <f>IFERROR(__xludf.DUMMYFUNCTION("""COMPUTED_VALUE"""),12329.0)</f>
        <v>12329</v>
      </c>
      <c r="D3154" s="9" t="str">
        <f>IFERROR(__xludf.DUMMYFUNCTION("""COMPUTED_VALUE"""),"Completed")</f>
        <v>Completed</v>
      </c>
    </row>
    <row r="3155">
      <c r="A3155" s="9" t="str">
        <f>IFERROR(__xludf.DUMMYFUNCTION("""COMPUTED_VALUE"""),"G-REQ-03154")</f>
        <v>G-REQ-03154</v>
      </c>
      <c r="B3155" s="11">
        <f>IFERROR(__xludf.DUMMYFUNCTION("""COMPUTED_VALUE"""),45985.7997042604)</f>
        <v>45985.7997</v>
      </c>
      <c r="C3155" s="9">
        <f>IFERROR(__xludf.DUMMYFUNCTION("""COMPUTED_VALUE"""),12333.0)</f>
        <v>12333</v>
      </c>
      <c r="D3155" s="9" t="str">
        <f>IFERROR(__xludf.DUMMYFUNCTION("""COMPUTED_VALUE"""),"Completed")</f>
        <v>Completed</v>
      </c>
    </row>
    <row r="3156">
      <c r="A3156" s="9" t="str">
        <f>IFERROR(__xludf.DUMMYFUNCTION("""COMPUTED_VALUE"""),"G-REQ-03155")</f>
        <v>G-REQ-03155</v>
      </c>
      <c r="B3156" s="11">
        <f>IFERROR(__xludf.DUMMYFUNCTION("""COMPUTED_VALUE"""),45985.86393466137)</f>
        <v>45985.86393</v>
      </c>
      <c r="C3156" s="9">
        <f>IFERROR(__xludf.DUMMYFUNCTION("""COMPUTED_VALUE"""),12335.0)</f>
        <v>12335</v>
      </c>
      <c r="D3156" s="9" t="str">
        <f>IFERROR(__xludf.DUMMYFUNCTION("""COMPUTED_VALUE"""),"Rejected")</f>
        <v>Rejected</v>
      </c>
    </row>
    <row r="3157">
      <c r="A3157" s="9" t="str">
        <f>IFERROR(__xludf.DUMMYFUNCTION("""COMPUTED_VALUE"""),"G-REQ-03156")</f>
        <v>G-REQ-03156</v>
      </c>
      <c r="B3157" s="11">
        <f>IFERROR(__xludf.DUMMYFUNCTION("""COMPUTED_VALUE"""),45985.93510950679)</f>
        <v>45985.93511</v>
      </c>
      <c r="C3157" s="9">
        <f>IFERROR(__xludf.DUMMYFUNCTION("""COMPUTED_VALUE"""),12337.0)</f>
        <v>12337</v>
      </c>
      <c r="D3157" s="9" t="str">
        <f>IFERROR(__xludf.DUMMYFUNCTION("""COMPUTED_VALUE"""),"Cancelled")</f>
        <v>Cancelled</v>
      </c>
    </row>
    <row r="3158">
      <c r="A3158" s="9" t="str">
        <f>IFERROR(__xludf.DUMMYFUNCTION("""COMPUTED_VALUE"""),"G-REQ-03157")</f>
        <v>G-REQ-03157</v>
      </c>
      <c r="B3158" s="11">
        <f>IFERROR(__xludf.DUMMYFUNCTION("""COMPUTED_VALUE"""),45986.01322879664)</f>
        <v>45986.01323</v>
      </c>
      <c r="C3158" s="9">
        <f>IFERROR(__xludf.DUMMYFUNCTION("""COMPUTED_VALUE"""),12341.0)</f>
        <v>12341</v>
      </c>
      <c r="D3158" s="9" t="str">
        <f>IFERROR(__xludf.DUMMYFUNCTION("""COMPUTED_VALUE"""),"Completed")</f>
        <v>Completed</v>
      </c>
    </row>
    <row r="3159">
      <c r="A3159" s="9" t="str">
        <f>IFERROR(__xludf.DUMMYFUNCTION("""COMPUTED_VALUE"""),"G-REQ-03158")</f>
        <v>G-REQ-03158</v>
      </c>
      <c r="B3159" s="11">
        <f>IFERROR(__xludf.DUMMYFUNCTION("""COMPUTED_VALUE"""),45986.08440364206)</f>
        <v>45986.0844</v>
      </c>
      <c r="C3159" s="9">
        <f>IFERROR(__xludf.DUMMYFUNCTION("""COMPUTED_VALUE"""),12345.0)</f>
        <v>12345</v>
      </c>
      <c r="D3159" s="9" t="str">
        <f>IFERROR(__xludf.DUMMYFUNCTION("""COMPUTED_VALUE"""),"Completed")</f>
        <v>Completed</v>
      </c>
    </row>
    <row r="3160">
      <c r="A3160" s="9" t="str">
        <f>IFERROR(__xludf.DUMMYFUNCTION("""COMPUTED_VALUE"""),"G-REQ-03159")</f>
        <v>G-REQ-03159</v>
      </c>
      <c r="B3160" s="11">
        <f>IFERROR(__xludf.DUMMYFUNCTION("""COMPUTED_VALUE"""),45986.15557848748)</f>
        <v>45986.15558</v>
      </c>
      <c r="C3160" s="9">
        <f>IFERROR(__xludf.DUMMYFUNCTION("""COMPUTED_VALUE"""),12349.0)</f>
        <v>12349</v>
      </c>
      <c r="D3160" s="9" t="str">
        <f>IFERROR(__xludf.DUMMYFUNCTION("""COMPUTED_VALUE"""),"Completed")</f>
        <v>Completed</v>
      </c>
    </row>
    <row r="3161">
      <c r="A3161" s="9" t="str">
        <f>IFERROR(__xludf.DUMMYFUNCTION("""COMPUTED_VALUE"""),"G-REQ-03160")</f>
        <v>G-REQ-03160</v>
      </c>
      <c r="B3161" s="11">
        <f>IFERROR(__xludf.DUMMYFUNCTION("""COMPUTED_VALUE"""),45986.22675333289)</f>
        <v>45986.22675</v>
      </c>
      <c r="C3161" s="9">
        <f>IFERROR(__xludf.DUMMYFUNCTION("""COMPUTED_VALUE"""),12353.0)</f>
        <v>12353</v>
      </c>
      <c r="D3161" s="9" t="str">
        <f>IFERROR(__xludf.DUMMYFUNCTION("""COMPUTED_VALUE"""),"Completed")</f>
        <v>Completed</v>
      </c>
    </row>
    <row r="3162">
      <c r="A3162" s="9" t="str">
        <f>IFERROR(__xludf.DUMMYFUNCTION("""COMPUTED_VALUE"""),"G-REQ-03161")</f>
        <v>G-REQ-03161</v>
      </c>
      <c r="B3162" s="11">
        <f>IFERROR(__xludf.DUMMYFUNCTION("""COMPUTED_VALUE"""),45986.297928178305)</f>
        <v>45986.29793</v>
      </c>
      <c r="C3162" s="9">
        <f>IFERROR(__xludf.DUMMYFUNCTION("""COMPUTED_VALUE"""),12357.0)</f>
        <v>12357</v>
      </c>
      <c r="D3162" s="9" t="str">
        <f>IFERROR(__xludf.DUMMYFUNCTION("""COMPUTED_VALUE"""),"Completed")</f>
        <v>Completed</v>
      </c>
    </row>
    <row r="3163">
      <c r="A3163" s="9" t="str">
        <f>IFERROR(__xludf.DUMMYFUNCTION("""COMPUTED_VALUE"""),"G-REQ-03162")</f>
        <v>G-REQ-03162</v>
      </c>
      <c r="B3163" s="11">
        <f>IFERROR(__xludf.DUMMYFUNCTION("""COMPUTED_VALUE"""),45986.369103023724)</f>
        <v>45986.3691</v>
      </c>
      <c r="C3163" s="9">
        <f>IFERROR(__xludf.DUMMYFUNCTION("""COMPUTED_VALUE"""),12361.0)</f>
        <v>12361</v>
      </c>
      <c r="D3163" s="9" t="str">
        <f>IFERROR(__xludf.DUMMYFUNCTION("""COMPUTED_VALUE"""),"Completed")</f>
        <v>Completed</v>
      </c>
    </row>
    <row r="3164">
      <c r="A3164" s="9" t="str">
        <f>IFERROR(__xludf.DUMMYFUNCTION("""COMPUTED_VALUE"""),"G-REQ-03163")</f>
        <v>G-REQ-03163</v>
      </c>
      <c r="B3164" s="11">
        <f>IFERROR(__xludf.DUMMYFUNCTION("""COMPUTED_VALUE"""),45986.44027786914)</f>
        <v>45986.44028</v>
      </c>
      <c r="C3164" s="9">
        <f>IFERROR(__xludf.DUMMYFUNCTION("""COMPUTED_VALUE"""),12365.0)</f>
        <v>12365</v>
      </c>
      <c r="D3164" s="9" t="str">
        <f>IFERROR(__xludf.DUMMYFUNCTION("""COMPUTED_VALUE"""),"Completed")</f>
        <v>Completed</v>
      </c>
    </row>
    <row r="3165">
      <c r="A3165" s="9" t="str">
        <f>IFERROR(__xludf.DUMMYFUNCTION("""COMPUTED_VALUE"""),"G-REQ-03164")</f>
        <v>G-REQ-03164</v>
      </c>
      <c r="B3165" s="11">
        <f>IFERROR(__xludf.DUMMYFUNCTION("""COMPUTED_VALUE"""),45986.51145271455)</f>
        <v>45986.51145</v>
      </c>
      <c r="C3165" s="9">
        <f>IFERROR(__xludf.DUMMYFUNCTION("""COMPUTED_VALUE"""),12369.0)</f>
        <v>12369</v>
      </c>
      <c r="D3165" s="9" t="str">
        <f>IFERROR(__xludf.DUMMYFUNCTION("""COMPUTED_VALUE"""),"Completed")</f>
        <v>Completed</v>
      </c>
    </row>
    <row r="3166">
      <c r="A3166" s="9" t="str">
        <f>IFERROR(__xludf.DUMMYFUNCTION("""COMPUTED_VALUE"""),"G-REQ-03165")</f>
        <v>G-REQ-03165</v>
      </c>
      <c r="B3166" s="11">
        <f>IFERROR(__xludf.DUMMYFUNCTION("""COMPUTED_VALUE"""),45986.58262755997)</f>
        <v>45986.58263</v>
      </c>
      <c r="C3166" s="9">
        <f>IFERROR(__xludf.DUMMYFUNCTION("""COMPUTED_VALUE"""),12373.0)</f>
        <v>12373</v>
      </c>
      <c r="D3166" s="9" t="str">
        <f>IFERROR(__xludf.DUMMYFUNCTION("""COMPUTED_VALUE"""),"Completed")</f>
        <v>Completed</v>
      </c>
    </row>
    <row r="3167">
      <c r="A3167" s="9" t="str">
        <f>IFERROR(__xludf.DUMMYFUNCTION("""COMPUTED_VALUE"""),"G-REQ-03166")</f>
        <v>G-REQ-03166</v>
      </c>
      <c r="B3167" s="11">
        <f>IFERROR(__xludf.DUMMYFUNCTION("""COMPUTED_VALUE"""),45986.646857960935)</f>
        <v>45986.64686</v>
      </c>
      <c r="C3167" s="9">
        <f>IFERROR(__xludf.DUMMYFUNCTION("""COMPUTED_VALUE"""),12375.0)</f>
        <v>12375</v>
      </c>
      <c r="D3167" s="9" t="str">
        <f>IFERROR(__xludf.DUMMYFUNCTION("""COMPUTED_VALUE"""),"Cancelled")</f>
        <v>Cancelled</v>
      </c>
    </row>
    <row r="3168">
      <c r="A3168" s="9" t="str">
        <f>IFERROR(__xludf.DUMMYFUNCTION("""COMPUTED_VALUE"""),"G-REQ-03167")</f>
        <v>G-REQ-03167</v>
      </c>
      <c r="B3168" s="11">
        <f>IFERROR(__xludf.DUMMYFUNCTION("""COMPUTED_VALUE"""),45986.72497725079)</f>
        <v>45986.72498</v>
      </c>
      <c r="C3168" s="9">
        <f>IFERROR(__xludf.DUMMYFUNCTION("""COMPUTED_VALUE"""),12379.0)</f>
        <v>12379</v>
      </c>
      <c r="D3168" s="9" t="str">
        <f>IFERROR(__xludf.DUMMYFUNCTION("""COMPUTED_VALUE"""),"Completed")</f>
        <v>Completed</v>
      </c>
    </row>
    <row r="3169">
      <c r="A3169" s="9" t="str">
        <f>IFERROR(__xludf.DUMMYFUNCTION("""COMPUTED_VALUE"""),"G-REQ-03168")</f>
        <v>G-REQ-03168</v>
      </c>
      <c r="B3169" s="11">
        <f>IFERROR(__xludf.DUMMYFUNCTION("""COMPUTED_VALUE"""),45986.79615209621)</f>
        <v>45986.79615</v>
      </c>
      <c r="C3169" s="9">
        <f>IFERROR(__xludf.DUMMYFUNCTION("""COMPUTED_VALUE"""),12383.0)</f>
        <v>12383</v>
      </c>
      <c r="D3169" s="9" t="str">
        <f>IFERROR(__xludf.DUMMYFUNCTION("""COMPUTED_VALUE"""),"Completed")</f>
        <v>Completed</v>
      </c>
    </row>
    <row r="3170">
      <c r="A3170" s="9" t="str">
        <f>IFERROR(__xludf.DUMMYFUNCTION("""COMPUTED_VALUE"""),"G-REQ-03169")</f>
        <v>G-REQ-03169</v>
      </c>
      <c r="B3170" s="11">
        <f>IFERROR(__xludf.DUMMYFUNCTION("""COMPUTED_VALUE"""),45986.867326941625)</f>
        <v>45986.86733</v>
      </c>
      <c r="C3170" s="9">
        <f>IFERROR(__xludf.DUMMYFUNCTION("""COMPUTED_VALUE"""),12387.0)</f>
        <v>12387</v>
      </c>
      <c r="D3170" s="9" t="str">
        <f>IFERROR(__xludf.DUMMYFUNCTION("""COMPUTED_VALUE"""),"Completed")</f>
        <v>Completed</v>
      </c>
    </row>
    <row r="3171">
      <c r="A3171" s="9" t="str">
        <f>IFERROR(__xludf.DUMMYFUNCTION("""COMPUTED_VALUE"""),"G-REQ-03170")</f>
        <v>G-REQ-03170</v>
      </c>
      <c r="B3171" s="11">
        <f>IFERROR(__xludf.DUMMYFUNCTION("""COMPUTED_VALUE"""),45986.93850178704)</f>
        <v>45986.9385</v>
      </c>
      <c r="C3171" s="9">
        <f>IFERROR(__xludf.DUMMYFUNCTION("""COMPUTED_VALUE"""),12391.0)</f>
        <v>12391</v>
      </c>
      <c r="D3171" s="9" t="str">
        <f>IFERROR(__xludf.DUMMYFUNCTION("""COMPUTED_VALUE"""),"Completed")</f>
        <v>Completed</v>
      </c>
    </row>
    <row r="3172">
      <c r="A3172" s="9" t="str">
        <f>IFERROR(__xludf.DUMMYFUNCTION("""COMPUTED_VALUE"""),"G-REQ-03171")</f>
        <v>G-REQ-03171</v>
      </c>
      <c r="B3172" s="11">
        <f>IFERROR(__xludf.DUMMYFUNCTION("""COMPUTED_VALUE"""),45987.00967663246)</f>
        <v>45987.00968</v>
      </c>
      <c r="C3172" s="9">
        <f>IFERROR(__xludf.DUMMYFUNCTION("""COMPUTED_VALUE"""),12395.0)</f>
        <v>12395</v>
      </c>
      <c r="D3172" s="9" t="str">
        <f>IFERROR(__xludf.DUMMYFUNCTION("""COMPUTED_VALUE"""),"Completed")</f>
        <v>Completed</v>
      </c>
    </row>
    <row r="3173">
      <c r="A3173" s="9" t="str">
        <f>IFERROR(__xludf.DUMMYFUNCTION("""COMPUTED_VALUE"""),"G-REQ-03172")</f>
        <v>G-REQ-03172</v>
      </c>
      <c r="B3173" s="11">
        <f>IFERROR(__xludf.DUMMYFUNCTION("""COMPUTED_VALUE"""),45987.08085147788)</f>
        <v>45987.08085</v>
      </c>
      <c r="C3173" s="9">
        <f>IFERROR(__xludf.DUMMYFUNCTION("""COMPUTED_VALUE"""),12399.0)</f>
        <v>12399</v>
      </c>
      <c r="D3173" s="9" t="str">
        <f>IFERROR(__xludf.DUMMYFUNCTION("""COMPUTED_VALUE"""),"Completed")</f>
        <v>Completed</v>
      </c>
    </row>
    <row r="3174">
      <c r="A3174" s="9" t="str">
        <f>IFERROR(__xludf.DUMMYFUNCTION("""COMPUTED_VALUE"""),"G-REQ-03173")</f>
        <v>G-REQ-03173</v>
      </c>
      <c r="B3174" s="11">
        <f>IFERROR(__xludf.DUMMYFUNCTION("""COMPUTED_VALUE"""),45987.15202632328)</f>
        <v>45987.15203</v>
      </c>
      <c r="C3174" s="9">
        <f>IFERROR(__xludf.DUMMYFUNCTION("""COMPUTED_VALUE"""),12403.0)</f>
        <v>12403</v>
      </c>
      <c r="D3174" s="9" t="str">
        <f>IFERROR(__xludf.DUMMYFUNCTION("""COMPUTED_VALUE"""),"Completed")</f>
        <v>Completed</v>
      </c>
    </row>
    <row r="3175">
      <c r="A3175" s="9" t="str">
        <f>IFERROR(__xludf.DUMMYFUNCTION("""COMPUTED_VALUE"""),"G-REQ-03174")</f>
        <v>G-REQ-03174</v>
      </c>
      <c r="B3175" s="11">
        <f>IFERROR(__xludf.DUMMYFUNCTION("""COMPUTED_VALUE"""),45987.2232011687)</f>
        <v>45987.2232</v>
      </c>
      <c r="C3175" s="9">
        <f>IFERROR(__xludf.DUMMYFUNCTION("""COMPUTED_VALUE"""),12407.0)</f>
        <v>12407</v>
      </c>
      <c r="D3175" s="9" t="str">
        <f>IFERROR(__xludf.DUMMYFUNCTION("""COMPUTED_VALUE"""),"Completed")</f>
        <v>Completed</v>
      </c>
    </row>
    <row r="3176">
      <c r="A3176" s="9" t="str">
        <f>IFERROR(__xludf.DUMMYFUNCTION("""COMPUTED_VALUE"""),"G-REQ-03175")</f>
        <v>G-REQ-03175</v>
      </c>
      <c r="B3176" s="11">
        <f>IFERROR(__xludf.DUMMYFUNCTION("""COMPUTED_VALUE"""),45987.287431569675)</f>
        <v>45987.28743</v>
      </c>
      <c r="C3176" s="9">
        <f>IFERROR(__xludf.DUMMYFUNCTION("""COMPUTED_VALUE"""),12409.0)</f>
        <v>12409</v>
      </c>
      <c r="D3176" s="9" t="str">
        <f>IFERROR(__xludf.DUMMYFUNCTION("""COMPUTED_VALUE"""),"Rejected")</f>
        <v>Rejected</v>
      </c>
    </row>
    <row r="3177">
      <c r="A3177" s="9" t="str">
        <f>IFERROR(__xludf.DUMMYFUNCTION("""COMPUTED_VALUE"""),"G-REQ-03176")</f>
        <v>G-REQ-03176</v>
      </c>
      <c r="B3177" s="11">
        <f>IFERROR(__xludf.DUMMYFUNCTION("""COMPUTED_VALUE"""),45987.35860641509)</f>
        <v>45987.35861</v>
      </c>
      <c r="C3177" s="9">
        <f>IFERROR(__xludf.DUMMYFUNCTION("""COMPUTED_VALUE"""),12411.0)</f>
        <v>12411</v>
      </c>
      <c r="D3177" s="9" t="str">
        <f>IFERROR(__xludf.DUMMYFUNCTION("""COMPUTED_VALUE"""),"Cancelled")</f>
        <v>Cancelled</v>
      </c>
    </row>
    <row r="3178">
      <c r="A3178" s="9" t="str">
        <f>IFERROR(__xludf.DUMMYFUNCTION("""COMPUTED_VALUE"""),"G-REQ-03177")</f>
        <v>G-REQ-03177</v>
      </c>
      <c r="B3178" s="11">
        <f>IFERROR(__xludf.DUMMYFUNCTION("""COMPUTED_VALUE"""),45987.4297812605)</f>
        <v>45987.42978</v>
      </c>
      <c r="C3178" s="9">
        <f>IFERROR(__xludf.DUMMYFUNCTION("""COMPUTED_VALUE"""),12413.0)</f>
        <v>12413</v>
      </c>
      <c r="D3178" s="9" t="str">
        <f>IFERROR(__xludf.DUMMYFUNCTION("""COMPUTED_VALUE"""),"Cancelled")</f>
        <v>Cancelled</v>
      </c>
    </row>
    <row r="3179">
      <c r="A3179" s="9" t="str">
        <f>IFERROR(__xludf.DUMMYFUNCTION("""COMPUTED_VALUE"""),"G-REQ-03178")</f>
        <v>G-REQ-03178</v>
      </c>
      <c r="B3179" s="11">
        <f>IFERROR(__xludf.DUMMYFUNCTION("""COMPUTED_VALUE"""),45987.507900550365)</f>
        <v>45987.5079</v>
      </c>
      <c r="C3179" s="9">
        <f>IFERROR(__xludf.DUMMYFUNCTION("""COMPUTED_VALUE"""),12417.0)</f>
        <v>12417</v>
      </c>
      <c r="D3179" s="9" t="str">
        <f>IFERROR(__xludf.DUMMYFUNCTION("""COMPUTED_VALUE"""),"Completed")</f>
        <v>Completed</v>
      </c>
    </row>
    <row r="3180">
      <c r="A3180" s="9" t="str">
        <f>IFERROR(__xludf.DUMMYFUNCTION("""COMPUTED_VALUE"""),"G-REQ-03179")</f>
        <v>G-REQ-03179</v>
      </c>
      <c r="B3180" s="11">
        <f>IFERROR(__xludf.DUMMYFUNCTION("""COMPUTED_VALUE"""),45987.57907539578)</f>
        <v>45987.57908</v>
      </c>
      <c r="C3180" s="9">
        <f>IFERROR(__xludf.DUMMYFUNCTION("""COMPUTED_VALUE"""),12421.0)</f>
        <v>12421</v>
      </c>
      <c r="D3180" s="9" t="str">
        <f>IFERROR(__xludf.DUMMYFUNCTION("""COMPUTED_VALUE"""),"Completed")</f>
        <v>Completed</v>
      </c>
    </row>
    <row r="3181">
      <c r="A3181" s="9" t="str">
        <f>IFERROR(__xludf.DUMMYFUNCTION("""COMPUTED_VALUE"""),"G-REQ-03180")</f>
        <v>G-REQ-03180</v>
      </c>
      <c r="B3181" s="11">
        <f>IFERROR(__xludf.DUMMYFUNCTION("""COMPUTED_VALUE"""),45987.643305796744)</f>
        <v>45987.64331</v>
      </c>
      <c r="C3181" s="9">
        <f>IFERROR(__xludf.DUMMYFUNCTION("""COMPUTED_VALUE"""),12423.0)</f>
        <v>12423</v>
      </c>
      <c r="D3181" s="9" t="str">
        <f>IFERROR(__xludf.DUMMYFUNCTION("""COMPUTED_VALUE"""),"Rejected")</f>
        <v>Rejected</v>
      </c>
    </row>
    <row r="3182">
      <c r="A3182" s="9" t="str">
        <f>IFERROR(__xludf.DUMMYFUNCTION("""COMPUTED_VALUE"""),"G-REQ-03181")</f>
        <v>G-REQ-03181</v>
      </c>
      <c r="B3182" s="11">
        <f>IFERROR(__xludf.DUMMYFUNCTION("""COMPUTED_VALUE"""),45987.72142508661)</f>
        <v>45987.72143</v>
      </c>
      <c r="C3182" s="9">
        <f>IFERROR(__xludf.DUMMYFUNCTION("""COMPUTED_VALUE"""),12427.0)</f>
        <v>12427</v>
      </c>
      <c r="D3182" s="9" t="str">
        <f>IFERROR(__xludf.DUMMYFUNCTION("""COMPUTED_VALUE"""),"Completed")</f>
        <v>Completed</v>
      </c>
    </row>
    <row r="3183">
      <c r="A3183" s="9" t="str">
        <f>IFERROR(__xludf.DUMMYFUNCTION("""COMPUTED_VALUE"""),"G-REQ-03182")</f>
        <v>G-REQ-03182</v>
      </c>
      <c r="B3183" s="11">
        <f>IFERROR(__xludf.DUMMYFUNCTION("""COMPUTED_VALUE"""),45987.79259993202)</f>
        <v>45987.7926</v>
      </c>
      <c r="C3183" s="9">
        <f>IFERROR(__xludf.DUMMYFUNCTION("""COMPUTED_VALUE"""),12431.0)</f>
        <v>12431</v>
      </c>
      <c r="D3183" s="9" t="str">
        <f>IFERROR(__xludf.DUMMYFUNCTION("""COMPUTED_VALUE"""),"Completed")</f>
        <v>Completed</v>
      </c>
    </row>
    <row r="3184">
      <c r="A3184" s="9" t="str">
        <f>IFERROR(__xludf.DUMMYFUNCTION("""COMPUTED_VALUE"""),"G-REQ-03183")</f>
        <v>G-REQ-03183</v>
      </c>
      <c r="B3184" s="11">
        <f>IFERROR(__xludf.DUMMYFUNCTION("""COMPUTED_VALUE"""),45987.863774777434)</f>
        <v>45987.86377</v>
      </c>
      <c r="C3184" s="9">
        <f>IFERROR(__xludf.DUMMYFUNCTION("""COMPUTED_VALUE"""),12435.0)</f>
        <v>12435</v>
      </c>
      <c r="D3184" s="9" t="str">
        <f>IFERROR(__xludf.DUMMYFUNCTION("""COMPUTED_VALUE"""),"Completed")</f>
        <v>Completed</v>
      </c>
    </row>
    <row r="3185">
      <c r="A3185" s="9" t="str">
        <f>IFERROR(__xludf.DUMMYFUNCTION("""COMPUTED_VALUE"""),"G-REQ-03184")</f>
        <v>G-REQ-03184</v>
      </c>
      <c r="B3185" s="11">
        <f>IFERROR(__xludf.DUMMYFUNCTION("""COMPUTED_VALUE"""),45987.92800517841)</f>
        <v>45987.92801</v>
      </c>
      <c r="C3185" s="9">
        <f>IFERROR(__xludf.DUMMYFUNCTION("""COMPUTED_VALUE"""),12437.0)</f>
        <v>12437</v>
      </c>
      <c r="D3185" s="9" t="str">
        <f>IFERROR(__xludf.DUMMYFUNCTION("""COMPUTED_VALUE"""),"Rejected")</f>
        <v>Rejected</v>
      </c>
    </row>
    <row r="3186">
      <c r="A3186" s="9" t="str">
        <f>IFERROR(__xludf.DUMMYFUNCTION("""COMPUTED_VALUE"""),"G-REQ-03185")</f>
        <v>G-REQ-03185</v>
      </c>
      <c r="B3186" s="11">
        <f>IFERROR(__xludf.DUMMYFUNCTION("""COMPUTED_VALUE"""),45988.006124468266)</f>
        <v>45988.00612</v>
      </c>
      <c r="C3186" s="9">
        <f>IFERROR(__xludf.DUMMYFUNCTION("""COMPUTED_VALUE"""),12441.0)</f>
        <v>12441</v>
      </c>
      <c r="D3186" s="9" t="str">
        <f>IFERROR(__xludf.DUMMYFUNCTION("""COMPUTED_VALUE"""),"Completed")</f>
        <v>Completed</v>
      </c>
    </row>
    <row r="3187">
      <c r="A3187" s="9" t="str">
        <f>IFERROR(__xludf.DUMMYFUNCTION("""COMPUTED_VALUE"""),"G-REQ-03186")</f>
        <v>G-REQ-03186</v>
      </c>
      <c r="B3187" s="11">
        <f>IFERROR(__xludf.DUMMYFUNCTION("""COMPUTED_VALUE"""),45988.07729931368)</f>
        <v>45988.0773</v>
      </c>
      <c r="C3187" s="9">
        <f>IFERROR(__xludf.DUMMYFUNCTION("""COMPUTED_VALUE"""),12445.0)</f>
        <v>12445</v>
      </c>
      <c r="D3187" s="9" t="str">
        <f>IFERROR(__xludf.DUMMYFUNCTION("""COMPUTED_VALUE"""),"Completed")</f>
        <v>Completed</v>
      </c>
    </row>
    <row r="3188">
      <c r="A3188" s="9" t="str">
        <f>IFERROR(__xludf.DUMMYFUNCTION("""COMPUTED_VALUE"""),"G-REQ-03187")</f>
        <v>G-REQ-03187</v>
      </c>
      <c r="B3188" s="11">
        <f>IFERROR(__xludf.DUMMYFUNCTION("""COMPUTED_VALUE"""),45988.1484741591)</f>
        <v>45988.14847</v>
      </c>
      <c r="C3188" s="9">
        <f>IFERROR(__xludf.DUMMYFUNCTION("""COMPUTED_VALUE"""),12449.0)</f>
        <v>12449</v>
      </c>
      <c r="D3188" s="9" t="str">
        <f>IFERROR(__xludf.DUMMYFUNCTION("""COMPUTED_VALUE"""),"Completed")</f>
        <v>Completed</v>
      </c>
    </row>
    <row r="3189">
      <c r="A3189" s="9" t="str">
        <f>IFERROR(__xludf.DUMMYFUNCTION("""COMPUTED_VALUE"""),"G-REQ-03188")</f>
        <v>G-REQ-03188</v>
      </c>
      <c r="B3189" s="11">
        <f>IFERROR(__xludf.DUMMYFUNCTION("""COMPUTED_VALUE"""),45988.21270456007)</f>
        <v>45988.2127</v>
      </c>
      <c r="C3189" s="9">
        <f>IFERROR(__xludf.DUMMYFUNCTION("""COMPUTED_VALUE"""),12451.0)</f>
        <v>12451</v>
      </c>
      <c r="D3189" s="9" t="str">
        <f>IFERROR(__xludf.DUMMYFUNCTION("""COMPUTED_VALUE"""),"Rejected")</f>
        <v>Rejected</v>
      </c>
    </row>
    <row r="3190">
      <c r="A3190" s="9" t="str">
        <f>IFERROR(__xludf.DUMMYFUNCTION("""COMPUTED_VALUE"""),"G-REQ-03189")</f>
        <v>G-REQ-03189</v>
      </c>
      <c r="B3190" s="11">
        <f>IFERROR(__xludf.DUMMYFUNCTION("""COMPUTED_VALUE"""),45988.29082384992)</f>
        <v>45988.29082</v>
      </c>
      <c r="C3190" s="9">
        <f>IFERROR(__xludf.DUMMYFUNCTION("""COMPUTED_VALUE"""),12455.0)</f>
        <v>12455</v>
      </c>
      <c r="D3190" s="9" t="str">
        <f>IFERROR(__xludf.DUMMYFUNCTION("""COMPUTED_VALUE"""),"Completed")</f>
        <v>Completed</v>
      </c>
    </row>
    <row r="3191">
      <c r="A3191" s="9" t="str">
        <f>IFERROR(__xludf.DUMMYFUNCTION("""COMPUTED_VALUE"""),"G-REQ-03190")</f>
        <v>G-REQ-03190</v>
      </c>
      <c r="B3191" s="11">
        <f>IFERROR(__xludf.DUMMYFUNCTION("""COMPUTED_VALUE"""),45988.36199869534)</f>
        <v>45988.362</v>
      </c>
      <c r="C3191" s="9">
        <f>IFERROR(__xludf.DUMMYFUNCTION("""COMPUTED_VALUE"""),12459.0)</f>
        <v>12459</v>
      </c>
      <c r="D3191" s="9" t="str">
        <f>IFERROR(__xludf.DUMMYFUNCTION("""COMPUTED_VALUE"""),"Completed")</f>
        <v>Completed</v>
      </c>
    </row>
    <row r="3192">
      <c r="A3192" s="9" t="str">
        <f>IFERROR(__xludf.DUMMYFUNCTION("""COMPUTED_VALUE"""),"G-REQ-03191")</f>
        <v>G-REQ-03191</v>
      </c>
      <c r="B3192" s="11">
        <f>IFERROR(__xludf.DUMMYFUNCTION("""COMPUTED_VALUE"""),45988.426229096316)</f>
        <v>45988.42623</v>
      </c>
      <c r="C3192" s="9">
        <f>IFERROR(__xludf.DUMMYFUNCTION("""COMPUTED_VALUE"""),12461.0)</f>
        <v>12461</v>
      </c>
      <c r="D3192" s="9" t="str">
        <f>IFERROR(__xludf.DUMMYFUNCTION("""COMPUTED_VALUE"""),"Cancelled")</f>
        <v>Cancelled</v>
      </c>
    </row>
    <row r="3193">
      <c r="A3193" s="9" t="str">
        <f>IFERROR(__xludf.DUMMYFUNCTION("""COMPUTED_VALUE"""),"G-REQ-03192")</f>
        <v>G-REQ-03192</v>
      </c>
      <c r="B3193" s="11">
        <f>IFERROR(__xludf.DUMMYFUNCTION("""COMPUTED_VALUE"""),45988.504348386174)</f>
        <v>45988.50435</v>
      </c>
      <c r="C3193" s="9">
        <f>IFERROR(__xludf.DUMMYFUNCTION("""COMPUTED_VALUE"""),12465.0)</f>
        <v>12465</v>
      </c>
      <c r="D3193" s="9" t="str">
        <f>IFERROR(__xludf.DUMMYFUNCTION("""COMPUTED_VALUE"""),"Completed")</f>
        <v>Completed</v>
      </c>
    </row>
    <row r="3194">
      <c r="A3194" s="9" t="str">
        <f>IFERROR(__xludf.DUMMYFUNCTION("""COMPUTED_VALUE"""),"G-REQ-03193")</f>
        <v>G-REQ-03193</v>
      </c>
      <c r="B3194" s="11">
        <f>IFERROR(__xludf.DUMMYFUNCTION("""COMPUTED_VALUE"""),45988.56857878714)</f>
        <v>45988.56858</v>
      </c>
      <c r="C3194" s="9">
        <f>IFERROR(__xludf.DUMMYFUNCTION("""COMPUTED_VALUE"""),12467.0)</f>
        <v>12467</v>
      </c>
      <c r="D3194" s="9" t="str">
        <f>IFERROR(__xludf.DUMMYFUNCTION("""COMPUTED_VALUE"""),"Rejected")</f>
        <v>Rejected</v>
      </c>
    </row>
    <row r="3195">
      <c r="A3195" s="9" t="str">
        <f>IFERROR(__xludf.DUMMYFUNCTION("""COMPUTED_VALUE"""),"G-REQ-03194")</f>
        <v>G-REQ-03194</v>
      </c>
      <c r="B3195" s="11">
        <f>IFERROR(__xludf.DUMMYFUNCTION("""COMPUTED_VALUE"""),45988.646698077006)</f>
        <v>45988.6467</v>
      </c>
      <c r="C3195" s="9">
        <f>IFERROR(__xludf.DUMMYFUNCTION("""COMPUTED_VALUE"""),12471.0)</f>
        <v>12471</v>
      </c>
      <c r="D3195" s="9" t="str">
        <f>IFERROR(__xludf.DUMMYFUNCTION("""COMPUTED_VALUE"""),"Completed")</f>
        <v>Completed</v>
      </c>
    </row>
    <row r="3196">
      <c r="A3196" s="9" t="str">
        <f>IFERROR(__xludf.DUMMYFUNCTION("""COMPUTED_VALUE"""),"G-REQ-03195")</f>
        <v>G-REQ-03195</v>
      </c>
      <c r="B3196" s="11">
        <f>IFERROR(__xludf.DUMMYFUNCTION("""COMPUTED_VALUE"""),45988.71787292242)</f>
        <v>45988.71787</v>
      </c>
      <c r="C3196" s="9">
        <f>IFERROR(__xludf.DUMMYFUNCTION("""COMPUTED_VALUE"""),12475.0)</f>
        <v>12475</v>
      </c>
      <c r="D3196" s="9" t="str">
        <f>IFERROR(__xludf.DUMMYFUNCTION("""COMPUTED_VALUE"""),"Completed")</f>
        <v>Completed</v>
      </c>
    </row>
    <row r="3197">
      <c r="A3197" s="9" t="str">
        <f>IFERROR(__xludf.DUMMYFUNCTION("""COMPUTED_VALUE"""),"G-REQ-03196")</f>
        <v>G-REQ-03196</v>
      </c>
      <c r="B3197" s="11">
        <f>IFERROR(__xludf.DUMMYFUNCTION("""COMPUTED_VALUE"""),45988.78904776783)</f>
        <v>45988.78905</v>
      </c>
      <c r="C3197" s="9">
        <f>IFERROR(__xludf.DUMMYFUNCTION("""COMPUTED_VALUE"""),12479.0)</f>
        <v>12479</v>
      </c>
      <c r="D3197" s="9" t="str">
        <f>IFERROR(__xludf.DUMMYFUNCTION("""COMPUTED_VALUE"""),"Completed")</f>
        <v>Completed</v>
      </c>
    </row>
    <row r="3198">
      <c r="A3198" s="9" t="str">
        <f>IFERROR(__xludf.DUMMYFUNCTION("""COMPUTED_VALUE"""),"G-REQ-03197")</f>
        <v>G-REQ-03197</v>
      </c>
      <c r="B3198" s="11">
        <f>IFERROR(__xludf.DUMMYFUNCTION("""COMPUTED_VALUE"""),45988.86022261325)</f>
        <v>45988.86022</v>
      </c>
      <c r="C3198" s="9">
        <f>IFERROR(__xludf.DUMMYFUNCTION("""COMPUTED_VALUE"""),12483.0)</f>
        <v>12483</v>
      </c>
      <c r="D3198" s="9" t="str">
        <f>IFERROR(__xludf.DUMMYFUNCTION("""COMPUTED_VALUE"""),"Completed")</f>
        <v>Completed</v>
      </c>
    </row>
    <row r="3199">
      <c r="A3199" s="9" t="str">
        <f>IFERROR(__xludf.DUMMYFUNCTION("""COMPUTED_VALUE"""),"G-REQ-03198")</f>
        <v>G-REQ-03198</v>
      </c>
      <c r="B3199" s="11">
        <f>IFERROR(__xludf.DUMMYFUNCTION("""COMPUTED_VALUE"""),45988.93139745866)</f>
        <v>45988.9314</v>
      </c>
      <c r="C3199" s="9">
        <f>IFERROR(__xludf.DUMMYFUNCTION("""COMPUTED_VALUE"""),12487.0)</f>
        <v>12487</v>
      </c>
      <c r="D3199" s="9" t="str">
        <f>IFERROR(__xludf.DUMMYFUNCTION("""COMPUTED_VALUE"""),"Completed")</f>
        <v>Completed</v>
      </c>
    </row>
    <row r="3200">
      <c r="A3200" s="9" t="str">
        <f>IFERROR(__xludf.DUMMYFUNCTION("""COMPUTED_VALUE"""),"G-REQ-03199")</f>
        <v>G-REQ-03199</v>
      </c>
      <c r="B3200" s="11">
        <f>IFERROR(__xludf.DUMMYFUNCTION("""COMPUTED_VALUE"""),45989.002572304074)</f>
        <v>45989.00257</v>
      </c>
      <c r="C3200" s="9">
        <f>IFERROR(__xludf.DUMMYFUNCTION("""COMPUTED_VALUE"""),12491.0)</f>
        <v>12491</v>
      </c>
      <c r="D3200" s="9" t="str">
        <f>IFERROR(__xludf.DUMMYFUNCTION("""COMPUTED_VALUE"""),"Completed")</f>
        <v>Completed</v>
      </c>
    </row>
    <row r="3201">
      <c r="A3201" s="9" t="str">
        <f>IFERROR(__xludf.DUMMYFUNCTION("""COMPUTED_VALUE"""),"G-REQ-03200")</f>
        <v>G-REQ-03200</v>
      </c>
      <c r="B3201" s="11">
        <f>IFERROR(__xludf.DUMMYFUNCTION("""COMPUTED_VALUE"""),45989.073747149494)</f>
        <v>45989.07375</v>
      </c>
      <c r="C3201" s="9">
        <f>IFERROR(__xludf.DUMMYFUNCTION("""COMPUTED_VALUE"""),12495.0)</f>
        <v>12495</v>
      </c>
      <c r="D3201" s="9" t="str">
        <f>IFERROR(__xludf.DUMMYFUNCTION("""COMPUTED_VALUE"""),"Completed")</f>
        <v>Completed</v>
      </c>
    </row>
    <row r="3202">
      <c r="A3202" s="9" t="str">
        <f>IFERROR(__xludf.DUMMYFUNCTION("""COMPUTED_VALUE"""),"G-REQ-03201")</f>
        <v>G-REQ-03201</v>
      </c>
      <c r="B3202" s="11">
        <f>IFERROR(__xludf.DUMMYFUNCTION("""COMPUTED_VALUE"""),45989.14492199491)</f>
        <v>45989.14492</v>
      </c>
      <c r="C3202" s="9">
        <f>IFERROR(__xludf.DUMMYFUNCTION("""COMPUTED_VALUE"""),12499.0)</f>
        <v>12499</v>
      </c>
      <c r="D3202" s="9" t="str">
        <f>IFERROR(__xludf.DUMMYFUNCTION("""COMPUTED_VALUE"""),"Completed")</f>
        <v>Completed</v>
      </c>
    </row>
    <row r="3203">
      <c r="A3203" s="9" t="str">
        <f>IFERROR(__xludf.DUMMYFUNCTION("""COMPUTED_VALUE"""),"G-REQ-03202")</f>
        <v>G-REQ-03202</v>
      </c>
      <c r="B3203" s="11">
        <f>IFERROR(__xludf.DUMMYFUNCTION("""COMPUTED_VALUE"""),45989.21609684032)</f>
        <v>45989.2161</v>
      </c>
      <c r="C3203" s="9">
        <f>IFERROR(__xludf.DUMMYFUNCTION("""COMPUTED_VALUE"""),12503.0)</f>
        <v>12503</v>
      </c>
      <c r="D3203" s="9" t="str">
        <f>IFERROR(__xludf.DUMMYFUNCTION("""COMPUTED_VALUE"""),"Completed")</f>
        <v>Completed</v>
      </c>
    </row>
    <row r="3204">
      <c r="A3204" s="9" t="str">
        <f>IFERROR(__xludf.DUMMYFUNCTION("""COMPUTED_VALUE"""),"G-REQ-03203")</f>
        <v>G-REQ-03203</v>
      </c>
      <c r="B3204" s="11">
        <f>IFERROR(__xludf.DUMMYFUNCTION("""COMPUTED_VALUE"""),45989.28727168574)</f>
        <v>45989.28727</v>
      </c>
      <c r="C3204" s="9">
        <f>IFERROR(__xludf.DUMMYFUNCTION("""COMPUTED_VALUE"""),12507.0)</f>
        <v>12507</v>
      </c>
      <c r="D3204" s="9" t="str">
        <f>IFERROR(__xludf.DUMMYFUNCTION("""COMPUTED_VALUE"""),"Completed")</f>
        <v>Completed</v>
      </c>
    </row>
    <row r="3205">
      <c r="A3205" s="9" t="str">
        <f>IFERROR(__xludf.DUMMYFUNCTION("""COMPUTED_VALUE"""),"G-REQ-03204")</f>
        <v>G-REQ-03204</v>
      </c>
      <c r="B3205" s="11">
        <f>IFERROR(__xludf.DUMMYFUNCTION("""COMPUTED_VALUE"""),45989.35844653116)</f>
        <v>45989.35845</v>
      </c>
      <c r="C3205" s="9">
        <f>IFERROR(__xludf.DUMMYFUNCTION("""COMPUTED_VALUE"""),12511.0)</f>
        <v>12511</v>
      </c>
      <c r="D3205" s="9" t="str">
        <f>IFERROR(__xludf.DUMMYFUNCTION("""COMPUTED_VALUE"""),"Completed")</f>
        <v>Completed</v>
      </c>
    </row>
    <row r="3206">
      <c r="A3206" s="9" t="str">
        <f>IFERROR(__xludf.DUMMYFUNCTION("""COMPUTED_VALUE"""),"G-REQ-03205")</f>
        <v>G-REQ-03205</v>
      </c>
      <c r="B3206" s="11">
        <f>IFERROR(__xludf.DUMMYFUNCTION("""COMPUTED_VALUE"""),45989.422676932125)</f>
        <v>45989.42268</v>
      </c>
      <c r="C3206" s="9">
        <f>IFERROR(__xludf.DUMMYFUNCTION("""COMPUTED_VALUE"""),12513.0)</f>
        <v>12513</v>
      </c>
      <c r="D3206" s="9" t="str">
        <f>IFERROR(__xludf.DUMMYFUNCTION("""COMPUTED_VALUE"""),"Rejected")</f>
        <v>Rejected</v>
      </c>
    </row>
    <row r="3207">
      <c r="A3207" s="9" t="str">
        <f>IFERROR(__xludf.DUMMYFUNCTION("""COMPUTED_VALUE"""),"G-REQ-03206")</f>
        <v>G-REQ-03206</v>
      </c>
      <c r="B3207" s="11">
        <f>IFERROR(__xludf.DUMMYFUNCTION("""COMPUTED_VALUE"""),45989.50079622198)</f>
        <v>45989.5008</v>
      </c>
      <c r="C3207" s="9">
        <f>IFERROR(__xludf.DUMMYFUNCTION("""COMPUTED_VALUE"""),12517.0)</f>
        <v>12517</v>
      </c>
      <c r="D3207" s="9" t="str">
        <f>IFERROR(__xludf.DUMMYFUNCTION("""COMPUTED_VALUE"""),"Completed")</f>
        <v>Completed</v>
      </c>
    </row>
    <row r="3208">
      <c r="A3208" s="9" t="str">
        <f>IFERROR(__xludf.DUMMYFUNCTION("""COMPUTED_VALUE"""),"G-REQ-03207")</f>
        <v>G-REQ-03207</v>
      </c>
      <c r="B3208" s="11">
        <f>IFERROR(__xludf.DUMMYFUNCTION("""COMPUTED_VALUE"""),45989.5719710674)</f>
        <v>45989.57197</v>
      </c>
      <c r="C3208" s="9">
        <f>IFERROR(__xludf.DUMMYFUNCTION("""COMPUTED_VALUE"""),12521.0)</f>
        <v>12521</v>
      </c>
      <c r="D3208" s="9" t="str">
        <f>IFERROR(__xludf.DUMMYFUNCTION("""COMPUTED_VALUE"""),"Completed")</f>
        <v>Completed</v>
      </c>
    </row>
    <row r="3209">
      <c r="A3209" s="9" t="str">
        <f>IFERROR(__xludf.DUMMYFUNCTION("""COMPUTED_VALUE"""),"G-REQ-03208")</f>
        <v>G-REQ-03208</v>
      </c>
      <c r="B3209" s="11">
        <f>IFERROR(__xludf.DUMMYFUNCTION("""COMPUTED_VALUE"""),45989.643145912814)</f>
        <v>45989.64315</v>
      </c>
      <c r="C3209" s="9">
        <f>IFERROR(__xludf.DUMMYFUNCTION("""COMPUTED_VALUE"""),12525.0)</f>
        <v>12525</v>
      </c>
      <c r="D3209" s="9" t="str">
        <f>IFERROR(__xludf.DUMMYFUNCTION("""COMPUTED_VALUE"""),"Completed")</f>
        <v>Completed</v>
      </c>
    </row>
    <row r="3210">
      <c r="A3210" s="9" t="str">
        <f>IFERROR(__xludf.DUMMYFUNCTION("""COMPUTED_VALUE"""),"G-REQ-03209")</f>
        <v>G-REQ-03209</v>
      </c>
      <c r="B3210" s="11">
        <f>IFERROR(__xludf.DUMMYFUNCTION("""COMPUTED_VALUE"""),45989.71432075823)</f>
        <v>45989.71432</v>
      </c>
      <c r="C3210" s="9">
        <f>IFERROR(__xludf.DUMMYFUNCTION("""COMPUTED_VALUE"""),12529.0)</f>
        <v>12529</v>
      </c>
      <c r="D3210" s="9" t="str">
        <f>IFERROR(__xludf.DUMMYFUNCTION("""COMPUTED_VALUE"""),"Completed")</f>
        <v>Completed</v>
      </c>
    </row>
    <row r="3211">
      <c r="A3211" s="9" t="str">
        <f>IFERROR(__xludf.DUMMYFUNCTION("""COMPUTED_VALUE"""),"G-REQ-03210")</f>
        <v>G-REQ-03210</v>
      </c>
      <c r="B3211" s="11">
        <f>IFERROR(__xludf.DUMMYFUNCTION("""COMPUTED_VALUE"""),45989.7785511592)</f>
        <v>45989.77855</v>
      </c>
      <c r="C3211" s="9">
        <f>IFERROR(__xludf.DUMMYFUNCTION("""COMPUTED_VALUE"""),12531.0)</f>
        <v>12531</v>
      </c>
      <c r="D3211" s="9" t="str">
        <f>IFERROR(__xludf.DUMMYFUNCTION("""COMPUTED_VALUE"""),"Rejected")</f>
        <v>Rejected</v>
      </c>
    </row>
    <row r="3212">
      <c r="A3212" s="9" t="str">
        <f>IFERROR(__xludf.DUMMYFUNCTION("""COMPUTED_VALUE"""),"G-REQ-03211")</f>
        <v>G-REQ-03211</v>
      </c>
      <c r="B3212" s="11">
        <f>IFERROR(__xludf.DUMMYFUNCTION("""COMPUTED_VALUE"""),45989.85667044906)</f>
        <v>45989.85667</v>
      </c>
      <c r="C3212" s="9">
        <f>IFERROR(__xludf.DUMMYFUNCTION("""COMPUTED_VALUE"""),12535.0)</f>
        <v>12535</v>
      </c>
      <c r="D3212" s="9" t="str">
        <f>IFERROR(__xludf.DUMMYFUNCTION("""COMPUTED_VALUE"""),"Completed")</f>
        <v>Completed</v>
      </c>
    </row>
    <row r="3213">
      <c r="A3213" s="9" t="str">
        <f>IFERROR(__xludf.DUMMYFUNCTION("""COMPUTED_VALUE"""),"G-REQ-03212")</f>
        <v>G-REQ-03212</v>
      </c>
      <c r="B3213" s="11">
        <f>IFERROR(__xludf.DUMMYFUNCTION("""COMPUTED_VALUE"""),45989.92784529447)</f>
        <v>45989.92785</v>
      </c>
      <c r="C3213" s="9">
        <f>IFERROR(__xludf.DUMMYFUNCTION("""COMPUTED_VALUE"""),12539.0)</f>
        <v>12539</v>
      </c>
      <c r="D3213" s="9" t="str">
        <f>IFERROR(__xludf.DUMMYFUNCTION("""COMPUTED_VALUE"""),"Completed")</f>
        <v>Completed</v>
      </c>
    </row>
    <row r="3214">
      <c r="A3214" s="9" t="str">
        <f>IFERROR(__xludf.DUMMYFUNCTION("""COMPUTED_VALUE"""),"G-REQ-03213")</f>
        <v>G-REQ-03213</v>
      </c>
      <c r="B3214" s="11">
        <f>IFERROR(__xludf.DUMMYFUNCTION("""COMPUTED_VALUE"""),45989.99902013989)</f>
        <v>45989.99902</v>
      </c>
      <c r="C3214" s="9">
        <f>IFERROR(__xludf.DUMMYFUNCTION("""COMPUTED_VALUE"""),12543.0)</f>
        <v>12543</v>
      </c>
      <c r="D3214" s="9" t="str">
        <f>IFERROR(__xludf.DUMMYFUNCTION("""COMPUTED_VALUE"""),"Completed")</f>
        <v>Completed</v>
      </c>
    </row>
    <row r="3215">
      <c r="A3215" s="9" t="str">
        <f>IFERROR(__xludf.DUMMYFUNCTION("""COMPUTED_VALUE"""),"G-REQ-03214")</f>
        <v>G-REQ-03214</v>
      </c>
      <c r="B3215" s="11">
        <f>IFERROR(__xludf.DUMMYFUNCTION("""COMPUTED_VALUE"""),45990.0701949853)</f>
        <v>45990.07019</v>
      </c>
      <c r="C3215" s="9">
        <f>IFERROR(__xludf.DUMMYFUNCTION("""COMPUTED_VALUE"""),12547.0)</f>
        <v>12547</v>
      </c>
      <c r="D3215" s="9" t="str">
        <f>IFERROR(__xludf.DUMMYFUNCTION("""COMPUTED_VALUE"""),"Completed")</f>
        <v>Completed</v>
      </c>
    </row>
    <row r="3216">
      <c r="A3216" s="9" t="str">
        <f>IFERROR(__xludf.DUMMYFUNCTION("""COMPUTED_VALUE"""),"G-REQ-03215")</f>
        <v>G-REQ-03215</v>
      </c>
      <c r="B3216" s="11">
        <f>IFERROR(__xludf.DUMMYFUNCTION("""COMPUTED_VALUE"""),45990.141369830715)</f>
        <v>45990.14137</v>
      </c>
      <c r="C3216" s="9">
        <f>IFERROR(__xludf.DUMMYFUNCTION("""COMPUTED_VALUE"""),12551.0)</f>
        <v>12551</v>
      </c>
      <c r="D3216" s="9" t="str">
        <f>IFERROR(__xludf.DUMMYFUNCTION("""COMPUTED_VALUE"""),"Completed")</f>
        <v>Completed</v>
      </c>
    </row>
    <row r="3217">
      <c r="A3217" s="9" t="str">
        <f>IFERROR(__xludf.DUMMYFUNCTION("""COMPUTED_VALUE"""),"G-REQ-03216")</f>
        <v>G-REQ-03216</v>
      </c>
      <c r="B3217" s="11">
        <f>IFERROR(__xludf.DUMMYFUNCTION("""COMPUTED_VALUE"""),45990.212544676135)</f>
        <v>45990.21254</v>
      </c>
      <c r="C3217" s="9">
        <f>IFERROR(__xludf.DUMMYFUNCTION("""COMPUTED_VALUE"""),12555.0)</f>
        <v>12555</v>
      </c>
      <c r="D3217" s="9" t="str">
        <f>IFERROR(__xludf.DUMMYFUNCTION("""COMPUTED_VALUE"""),"Completed")</f>
        <v>Completed</v>
      </c>
    </row>
    <row r="3218">
      <c r="A3218" s="9" t="str">
        <f>IFERROR(__xludf.DUMMYFUNCTION("""COMPUTED_VALUE"""),"G-REQ-03217")</f>
        <v>G-REQ-03217</v>
      </c>
      <c r="B3218" s="11">
        <f>IFERROR(__xludf.DUMMYFUNCTION("""COMPUTED_VALUE"""),45990.283719521554)</f>
        <v>45990.28372</v>
      </c>
      <c r="C3218" s="9">
        <f>IFERROR(__xludf.DUMMYFUNCTION("""COMPUTED_VALUE"""),12559.0)</f>
        <v>12559</v>
      </c>
      <c r="D3218" s="9" t="str">
        <f>IFERROR(__xludf.DUMMYFUNCTION("""COMPUTED_VALUE"""),"Completed")</f>
        <v>Completed</v>
      </c>
    </row>
    <row r="3219">
      <c r="A3219" s="9" t="str">
        <f>IFERROR(__xludf.DUMMYFUNCTION("""COMPUTED_VALUE"""),"G-REQ-03218")</f>
        <v>G-REQ-03218</v>
      </c>
      <c r="B3219" s="11">
        <f>IFERROR(__xludf.DUMMYFUNCTION("""COMPUTED_VALUE"""),45990.35489436696)</f>
        <v>45990.35489</v>
      </c>
      <c r="C3219" s="9">
        <f>IFERROR(__xludf.DUMMYFUNCTION("""COMPUTED_VALUE"""),12563.0)</f>
        <v>12563</v>
      </c>
      <c r="D3219" s="9" t="str">
        <f>IFERROR(__xludf.DUMMYFUNCTION("""COMPUTED_VALUE"""),"Completed")</f>
        <v>Completed</v>
      </c>
    </row>
    <row r="3220">
      <c r="A3220" s="9" t="str">
        <f>IFERROR(__xludf.DUMMYFUNCTION("""COMPUTED_VALUE"""),"G-REQ-03219")</f>
        <v>G-REQ-03219</v>
      </c>
      <c r="B3220" s="11">
        <f>IFERROR(__xludf.DUMMYFUNCTION("""COMPUTED_VALUE"""),45990.42606921238)</f>
        <v>45990.42607</v>
      </c>
      <c r="C3220" s="9">
        <f>IFERROR(__xludf.DUMMYFUNCTION("""COMPUTED_VALUE"""),12567.0)</f>
        <v>12567</v>
      </c>
      <c r="D3220" s="9" t="str">
        <f>IFERROR(__xludf.DUMMYFUNCTION("""COMPUTED_VALUE"""),"Completed")</f>
        <v>Completed</v>
      </c>
    </row>
    <row r="3221">
      <c r="A3221" s="9" t="str">
        <f>IFERROR(__xludf.DUMMYFUNCTION("""COMPUTED_VALUE"""),"G-REQ-03220")</f>
        <v>G-REQ-03220</v>
      </c>
      <c r="B3221" s="11">
        <f>IFERROR(__xludf.DUMMYFUNCTION("""COMPUTED_VALUE"""),45990.4972440578)</f>
        <v>45990.49724</v>
      </c>
      <c r="C3221" s="9">
        <f>IFERROR(__xludf.DUMMYFUNCTION("""COMPUTED_VALUE"""),12571.0)</f>
        <v>12571</v>
      </c>
      <c r="D3221" s="9" t="str">
        <f>IFERROR(__xludf.DUMMYFUNCTION("""COMPUTED_VALUE"""),"Completed")</f>
        <v>Completed</v>
      </c>
    </row>
    <row r="3222">
      <c r="A3222" s="9" t="str">
        <f>IFERROR(__xludf.DUMMYFUNCTION("""COMPUTED_VALUE"""),"G-REQ-03221")</f>
        <v>G-REQ-03221</v>
      </c>
      <c r="B3222" s="11">
        <f>IFERROR(__xludf.DUMMYFUNCTION("""COMPUTED_VALUE"""),45990.56841890321)</f>
        <v>45990.56842</v>
      </c>
      <c r="C3222" s="9">
        <f>IFERROR(__xludf.DUMMYFUNCTION("""COMPUTED_VALUE"""),12575.0)</f>
        <v>12575</v>
      </c>
      <c r="D3222" s="9" t="str">
        <f>IFERROR(__xludf.DUMMYFUNCTION("""COMPUTED_VALUE"""),"Completed")</f>
        <v>Completed</v>
      </c>
    </row>
    <row r="3223">
      <c r="A3223" s="9" t="str">
        <f>IFERROR(__xludf.DUMMYFUNCTION("""COMPUTED_VALUE"""),"G-REQ-03222")</f>
        <v>G-REQ-03222</v>
      </c>
      <c r="B3223" s="11">
        <f>IFERROR(__xludf.DUMMYFUNCTION("""COMPUTED_VALUE"""),45990.63959374862)</f>
        <v>45990.63959</v>
      </c>
      <c r="C3223" s="9">
        <f>IFERROR(__xludf.DUMMYFUNCTION("""COMPUTED_VALUE"""),12579.0)</f>
        <v>12579</v>
      </c>
      <c r="D3223" s="9" t="str">
        <f>IFERROR(__xludf.DUMMYFUNCTION("""COMPUTED_VALUE"""),"Completed")</f>
        <v>Completed</v>
      </c>
    </row>
    <row r="3224">
      <c r="A3224" s="9" t="str">
        <f>IFERROR(__xludf.DUMMYFUNCTION("""COMPUTED_VALUE"""),"G-REQ-03223")</f>
        <v>G-REQ-03223</v>
      </c>
      <c r="B3224" s="11">
        <f>IFERROR(__xludf.DUMMYFUNCTION("""COMPUTED_VALUE"""),45990.7038241496)</f>
        <v>45990.70382</v>
      </c>
      <c r="C3224" s="9">
        <f>IFERROR(__xludf.DUMMYFUNCTION("""COMPUTED_VALUE"""),12581.0)</f>
        <v>12581</v>
      </c>
      <c r="D3224" s="9" t="str">
        <f>IFERROR(__xludf.DUMMYFUNCTION("""COMPUTED_VALUE"""),"Rejected")</f>
        <v>Rejected</v>
      </c>
    </row>
    <row r="3225">
      <c r="A3225" s="9" t="str">
        <f>IFERROR(__xludf.DUMMYFUNCTION("""COMPUTED_VALUE"""),"G-REQ-03224")</f>
        <v>G-REQ-03224</v>
      </c>
      <c r="B3225" s="11">
        <f>IFERROR(__xludf.DUMMYFUNCTION("""COMPUTED_VALUE"""),45990.781943439455)</f>
        <v>45990.78194</v>
      </c>
      <c r="C3225" s="9">
        <f>IFERROR(__xludf.DUMMYFUNCTION("""COMPUTED_VALUE"""),12585.0)</f>
        <v>12585</v>
      </c>
      <c r="D3225" s="9" t="str">
        <f>IFERROR(__xludf.DUMMYFUNCTION("""COMPUTED_VALUE"""),"Completed")</f>
        <v>Completed</v>
      </c>
    </row>
    <row r="3226">
      <c r="A3226" s="9" t="str">
        <f>IFERROR(__xludf.DUMMYFUNCTION("""COMPUTED_VALUE"""),"G-REQ-03225")</f>
        <v>G-REQ-03225</v>
      </c>
      <c r="B3226" s="11">
        <f>IFERROR(__xludf.DUMMYFUNCTION("""COMPUTED_VALUE"""),45990.85311828487)</f>
        <v>45990.85312</v>
      </c>
      <c r="C3226" s="9">
        <f>IFERROR(__xludf.DUMMYFUNCTION("""COMPUTED_VALUE"""),12589.0)</f>
        <v>12589</v>
      </c>
      <c r="D3226" s="9" t="str">
        <f>IFERROR(__xludf.DUMMYFUNCTION("""COMPUTED_VALUE"""),"Completed")</f>
        <v>Completed</v>
      </c>
    </row>
    <row r="3227">
      <c r="A3227" s="9" t="str">
        <f>IFERROR(__xludf.DUMMYFUNCTION("""COMPUTED_VALUE"""),"G-REQ-03226")</f>
        <v>G-REQ-03226</v>
      </c>
      <c r="B3227" s="11">
        <f>IFERROR(__xludf.DUMMYFUNCTION("""COMPUTED_VALUE"""),45990.91734868584)</f>
        <v>45990.91735</v>
      </c>
      <c r="C3227" s="9">
        <f>IFERROR(__xludf.DUMMYFUNCTION("""COMPUTED_VALUE"""),12591.0)</f>
        <v>12591</v>
      </c>
      <c r="D3227" s="9" t="str">
        <f>IFERROR(__xludf.DUMMYFUNCTION("""COMPUTED_VALUE"""),"Rejected")</f>
        <v>Rejected</v>
      </c>
    </row>
    <row r="3228">
      <c r="A3228" s="9" t="str">
        <f>IFERROR(__xludf.DUMMYFUNCTION("""COMPUTED_VALUE"""),"G-REQ-03227")</f>
        <v>G-REQ-03227</v>
      </c>
      <c r="B3228" s="11">
        <f>IFERROR(__xludf.DUMMYFUNCTION("""COMPUTED_VALUE"""),45990.9954679757)</f>
        <v>45990.99547</v>
      </c>
      <c r="C3228" s="9">
        <f>IFERROR(__xludf.DUMMYFUNCTION("""COMPUTED_VALUE"""),12595.0)</f>
        <v>12595</v>
      </c>
      <c r="D3228" s="9" t="str">
        <f>IFERROR(__xludf.DUMMYFUNCTION("""COMPUTED_VALUE"""),"Completed")</f>
        <v>Completed</v>
      </c>
    </row>
    <row r="3229">
      <c r="A3229" s="9" t="str">
        <f>IFERROR(__xludf.DUMMYFUNCTION("""COMPUTED_VALUE"""),"G-REQ-03228")</f>
        <v>G-REQ-03228</v>
      </c>
      <c r="B3229" s="11">
        <f>IFERROR(__xludf.DUMMYFUNCTION("""COMPUTED_VALUE"""),45991.059698376666)</f>
        <v>45991.0597</v>
      </c>
      <c r="C3229" s="9">
        <f>IFERROR(__xludf.DUMMYFUNCTION("""COMPUTED_VALUE"""),12597.0)</f>
        <v>12597</v>
      </c>
      <c r="D3229" s="9" t="str">
        <f>IFERROR(__xludf.DUMMYFUNCTION("""COMPUTED_VALUE"""),"Rejected")</f>
        <v>Rejected</v>
      </c>
    </row>
    <row r="3230">
      <c r="A3230" s="9" t="str">
        <f>IFERROR(__xludf.DUMMYFUNCTION("""COMPUTED_VALUE"""),"G-REQ-03229")</f>
        <v>G-REQ-03229</v>
      </c>
      <c r="B3230" s="11">
        <f>IFERROR(__xludf.DUMMYFUNCTION("""COMPUTED_VALUE"""),45991.13781766653)</f>
        <v>45991.13782</v>
      </c>
      <c r="C3230" s="9">
        <f>IFERROR(__xludf.DUMMYFUNCTION("""COMPUTED_VALUE"""),12601.0)</f>
        <v>12601</v>
      </c>
      <c r="D3230" s="9" t="str">
        <f>IFERROR(__xludf.DUMMYFUNCTION("""COMPUTED_VALUE"""),"Completed")</f>
        <v>Completed</v>
      </c>
    </row>
    <row r="3231">
      <c r="A3231" s="9" t="str">
        <f>IFERROR(__xludf.DUMMYFUNCTION("""COMPUTED_VALUE"""),"G-REQ-03230")</f>
        <v>G-REQ-03230</v>
      </c>
      <c r="B3231" s="11">
        <f>IFERROR(__xludf.DUMMYFUNCTION("""COMPUTED_VALUE"""),45991.20899251194)</f>
        <v>45991.20899</v>
      </c>
      <c r="C3231" s="9">
        <f>IFERROR(__xludf.DUMMYFUNCTION("""COMPUTED_VALUE"""),12605.0)</f>
        <v>12605</v>
      </c>
      <c r="D3231" s="9" t="str">
        <f>IFERROR(__xludf.DUMMYFUNCTION("""COMPUTED_VALUE"""),"Completed")</f>
        <v>Completed</v>
      </c>
    </row>
    <row r="3232">
      <c r="A3232" s="9" t="str">
        <f>IFERROR(__xludf.DUMMYFUNCTION("""COMPUTED_VALUE"""),"G-REQ-03231")</f>
        <v>G-REQ-03231</v>
      </c>
      <c r="B3232" s="11">
        <f>IFERROR(__xludf.DUMMYFUNCTION("""COMPUTED_VALUE"""),45991.280167357356)</f>
        <v>45991.28017</v>
      </c>
      <c r="C3232" s="9">
        <f>IFERROR(__xludf.DUMMYFUNCTION("""COMPUTED_VALUE"""),12609.0)</f>
        <v>12609</v>
      </c>
      <c r="D3232" s="9" t="str">
        <f>IFERROR(__xludf.DUMMYFUNCTION("""COMPUTED_VALUE"""),"Completed")</f>
        <v>Completed</v>
      </c>
    </row>
    <row r="3233">
      <c r="A3233" s="9" t="str">
        <f>IFERROR(__xludf.DUMMYFUNCTION("""COMPUTED_VALUE"""),"G-REQ-03232")</f>
        <v>G-REQ-03232</v>
      </c>
      <c r="B3233" s="11">
        <f>IFERROR(__xludf.DUMMYFUNCTION("""COMPUTED_VALUE"""),45991.351342202775)</f>
        <v>45991.35134</v>
      </c>
      <c r="C3233" s="9">
        <f>IFERROR(__xludf.DUMMYFUNCTION("""COMPUTED_VALUE"""),12613.0)</f>
        <v>12613</v>
      </c>
      <c r="D3233" s="9" t="str">
        <f>IFERROR(__xludf.DUMMYFUNCTION("""COMPUTED_VALUE"""),"Completed")</f>
        <v>Completed</v>
      </c>
    </row>
    <row r="3234">
      <c r="A3234" s="9" t="str">
        <f>IFERROR(__xludf.DUMMYFUNCTION("""COMPUTED_VALUE"""),"G-REQ-03233")</f>
        <v>G-REQ-03233</v>
      </c>
      <c r="B3234" s="11">
        <f>IFERROR(__xludf.DUMMYFUNCTION("""COMPUTED_VALUE"""),45991.422517048195)</f>
        <v>45991.42252</v>
      </c>
      <c r="C3234" s="9">
        <f>IFERROR(__xludf.DUMMYFUNCTION("""COMPUTED_VALUE"""),12617.0)</f>
        <v>12617</v>
      </c>
      <c r="D3234" s="9" t="str">
        <f>IFERROR(__xludf.DUMMYFUNCTION("""COMPUTED_VALUE"""),"Completed")</f>
        <v>Completed</v>
      </c>
    </row>
    <row r="3235">
      <c r="A3235" s="9" t="str">
        <f>IFERROR(__xludf.DUMMYFUNCTION("""COMPUTED_VALUE"""),"G-REQ-03234")</f>
        <v>G-REQ-03234</v>
      </c>
      <c r="B3235" s="11">
        <f>IFERROR(__xludf.DUMMYFUNCTION("""COMPUTED_VALUE"""),45991.4936918936)</f>
        <v>45991.49369</v>
      </c>
      <c r="C3235" s="9">
        <f>IFERROR(__xludf.DUMMYFUNCTION("""COMPUTED_VALUE"""),12621.0)</f>
        <v>12621</v>
      </c>
      <c r="D3235" s="9" t="str">
        <f>IFERROR(__xludf.DUMMYFUNCTION("""COMPUTED_VALUE"""),"Completed")</f>
        <v>Completed</v>
      </c>
    </row>
    <row r="3236">
      <c r="A3236" s="9" t="str">
        <f>IFERROR(__xludf.DUMMYFUNCTION("""COMPUTED_VALUE"""),"G-REQ-03235")</f>
        <v>G-REQ-03235</v>
      </c>
      <c r="B3236" s="11">
        <f>IFERROR(__xludf.DUMMYFUNCTION("""COMPUTED_VALUE"""),45991.557922294574)</f>
        <v>45991.55792</v>
      </c>
      <c r="C3236" s="9">
        <f>IFERROR(__xludf.DUMMYFUNCTION("""COMPUTED_VALUE"""),12623.0)</f>
        <v>12623</v>
      </c>
      <c r="D3236" s="9" t="str">
        <f>IFERROR(__xludf.DUMMYFUNCTION("""COMPUTED_VALUE"""),"Rejected")</f>
        <v>Rejected</v>
      </c>
    </row>
    <row r="3237">
      <c r="A3237" s="9" t="str">
        <f>IFERROR(__xludf.DUMMYFUNCTION("""COMPUTED_VALUE"""),"G-REQ-03236")</f>
        <v>G-REQ-03236</v>
      </c>
      <c r="B3237" s="11">
        <f>IFERROR(__xludf.DUMMYFUNCTION("""COMPUTED_VALUE"""),45991.63604158444)</f>
        <v>45991.63604</v>
      </c>
      <c r="C3237" s="9">
        <f>IFERROR(__xludf.DUMMYFUNCTION("""COMPUTED_VALUE"""),12627.0)</f>
        <v>12627</v>
      </c>
      <c r="D3237" s="9" t="str">
        <f>IFERROR(__xludf.DUMMYFUNCTION("""COMPUTED_VALUE"""),"Completed")</f>
        <v>Completed</v>
      </c>
    </row>
    <row r="3238">
      <c r="A3238" s="9" t="str">
        <f>IFERROR(__xludf.DUMMYFUNCTION("""COMPUTED_VALUE"""),"G-REQ-03237")</f>
        <v>G-REQ-03237</v>
      </c>
      <c r="B3238" s="11">
        <f>IFERROR(__xludf.DUMMYFUNCTION("""COMPUTED_VALUE"""),45991.70721642985)</f>
        <v>45991.70722</v>
      </c>
      <c r="C3238" s="9">
        <f>IFERROR(__xludf.DUMMYFUNCTION("""COMPUTED_VALUE"""),12631.0)</f>
        <v>12631</v>
      </c>
      <c r="D3238" s="9" t="str">
        <f>IFERROR(__xludf.DUMMYFUNCTION("""COMPUTED_VALUE"""),"Completed")</f>
        <v>Completed</v>
      </c>
    </row>
    <row r="3239">
      <c r="A3239" s="9" t="str">
        <f>IFERROR(__xludf.DUMMYFUNCTION("""COMPUTED_VALUE"""),"G-REQ-03238")</f>
        <v>G-REQ-03238</v>
      </c>
      <c r="B3239" s="11">
        <f>IFERROR(__xludf.DUMMYFUNCTION("""COMPUTED_VALUE"""),45991.77144683082)</f>
        <v>45991.77145</v>
      </c>
      <c r="C3239" s="9">
        <f>IFERROR(__xludf.DUMMYFUNCTION("""COMPUTED_VALUE"""),12633.0)</f>
        <v>12633</v>
      </c>
      <c r="D3239" s="9" t="str">
        <f>IFERROR(__xludf.DUMMYFUNCTION("""COMPUTED_VALUE"""),"Rejected")</f>
        <v>Rejected</v>
      </c>
    </row>
    <row r="3240">
      <c r="A3240" s="9" t="str">
        <f>IFERROR(__xludf.DUMMYFUNCTION("""COMPUTED_VALUE"""),"G-REQ-03239")</f>
        <v>G-REQ-03239</v>
      </c>
      <c r="B3240" s="11">
        <f>IFERROR(__xludf.DUMMYFUNCTION("""COMPUTED_VALUE"""),45991.84956612068)</f>
        <v>45991.84957</v>
      </c>
      <c r="C3240" s="9">
        <f>IFERROR(__xludf.DUMMYFUNCTION("""COMPUTED_VALUE"""),12637.0)</f>
        <v>12637</v>
      </c>
      <c r="D3240" s="9" t="str">
        <f>IFERROR(__xludf.DUMMYFUNCTION("""COMPUTED_VALUE"""),"Completed")</f>
        <v>Completed</v>
      </c>
    </row>
    <row r="3241">
      <c r="A3241" s="9" t="str">
        <f>IFERROR(__xludf.DUMMYFUNCTION("""COMPUTED_VALUE"""),"G-REQ-03240")</f>
        <v>G-REQ-03240</v>
      </c>
      <c r="B3241" s="11">
        <f>IFERROR(__xludf.DUMMYFUNCTION("""COMPUTED_VALUE"""),45991.920740966096)</f>
        <v>45991.92074</v>
      </c>
      <c r="C3241" s="9">
        <f>IFERROR(__xludf.DUMMYFUNCTION("""COMPUTED_VALUE"""),12641.0)</f>
        <v>12641</v>
      </c>
      <c r="D3241" s="9" t="str">
        <f>IFERROR(__xludf.DUMMYFUNCTION("""COMPUTED_VALUE"""),"Completed")</f>
        <v>Completed</v>
      </c>
    </row>
    <row r="3242">
      <c r="A3242" s="9" t="str">
        <f>IFERROR(__xludf.DUMMYFUNCTION("""COMPUTED_VALUE"""),"G-REQ-03241")</f>
        <v>G-REQ-03241</v>
      </c>
      <c r="B3242" s="11">
        <f>IFERROR(__xludf.DUMMYFUNCTION("""COMPUTED_VALUE"""),45991.99191581151)</f>
        <v>45991.99192</v>
      </c>
      <c r="C3242" s="9">
        <f>IFERROR(__xludf.DUMMYFUNCTION("""COMPUTED_VALUE"""),12645.0)</f>
        <v>12645</v>
      </c>
      <c r="D3242" s="9" t="str">
        <f>IFERROR(__xludf.DUMMYFUNCTION("""COMPUTED_VALUE"""),"Completed")</f>
        <v>Completed</v>
      </c>
    </row>
    <row r="3243">
      <c r="A3243" s="9" t="str">
        <f>IFERROR(__xludf.DUMMYFUNCTION("""COMPUTED_VALUE"""),"G-REQ-03242")</f>
        <v>G-REQ-03242</v>
      </c>
      <c r="B3243" s="11">
        <f>IFERROR(__xludf.DUMMYFUNCTION("""COMPUTED_VALUE"""),45992.06309065693)</f>
        <v>45992.06309</v>
      </c>
      <c r="C3243" s="9">
        <f>IFERROR(__xludf.DUMMYFUNCTION("""COMPUTED_VALUE"""),12649.0)</f>
        <v>12649</v>
      </c>
      <c r="D3243" s="9" t="str">
        <f>IFERROR(__xludf.DUMMYFUNCTION("""COMPUTED_VALUE"""),"Completed")</f>
        <v>Completed</v>
      </c>
    </row>
    <row r="3244">
      <c r="A3244" s="9" t="str">
        <f>IFERROR(__xludf.DUMMYFUNCTION("""COMPUTED_VALUE"""),"G-REQ-03243")</f>
        <v>G-REQ-03243</v>
      </c>
      <c r="B3244" s="11">
        <f>IFERROR(__xludf.DUMMYFUNCTION("""COMPUTED_VALUE"""),45992.13426550235)</f>
        <v>45992.13427</v>
      </c>
      <c r="C3244" s="9">
        <f>IFERROR(__xludf.DUMMYFUNCTION("""COMPUTED_VALUE"""),12653.0)</f>
        <v>12653</v>
      </c>
      <c r="D3244" s="9" t="str">
        <f>IFERROR(__xludf.DUMMYFUNCTION("""COMPUTED_VALUE"""),"Completed")</f>
        <v>Completed</v>
      </c>
    </row>
    <row r="3245">
      <c r="A3245" s="9" t="str">
        <f>IFERROR(__xludf.DUMMYFUNCTION("""COMPUTED_VALUE"""),"G-REQ-03244")</f>
        <v>G-REQ-03244</v>
      </c>
      <c r="B3245" s="11">
        <f>IFERROR(__xludf.DUMMYFUNCTION("""COMPUTED_VALUE"""),45992.20544034775)</f>
        <v>45992.20544</v>
      </c>
      <c r="C3245" s="9">
        <f>IFERROR(__xludf.DUMMYFUNCTION("""COMPUTED_VALUE"""),12657.0)</f>
        <v>12657</v>
      </c>
      <c r="D3245" s="9" t="str">
        <f>IFERROR(__xludf.DUMMYFUNCTION("""COMPUTED_VALUE"""),"Completed")</f>
        <v>Completed</v>
      </c>
    </row>
    <row r="3246">
      <c r="A3246" s="9" t="str">
        <f>IFERROR(__xludf.DUMMYFUNCTION("""COMPUTED_VALUE"""),"G-REQ-03245")</f>
        <v>G-REQ-03245</v>
      </c>
      <c r="B3246" s="11">
        <f>IFERROR(__xludf.DUMMYFUNCTION("""COMPUTED_VALUE"""),45992.27661519317)</f>
        <v>45992.27662</v>
      </c>
      <c r="C3246" s="9">
        <f>IFERROR(__xludf.DUMMYFUNCTION("""COMPUTED_VALUE"""),12661.0)</f>
        <v>12661</v>
      </c>
      <c r="D3246" s="9" t="str">
        <f>IFERROR(__xludf.DUMMYFUNCTION("""COMPUTED_VALUE"""),"Completed")</f>
        <v>Completed</v>
      </c>
    </row>
    <row r="3247">
      <c r="A3247" s="9" t="str">
        <f>IFERROR(__xludf.DUMMYFUNCTION("""COMPUTED_VALUE"""),"G-REQ-03246")</f>
        <v>G-REQ-03246</v>
      </c>
      <c r="B3247" s="11">
        <f>IFERROR(__xludf.DUMMYFUNCTION("""COMPUTED_VALUE"""),45992.347790038584)</f>
        <v>45992.34779</v>
      </c>
      <c r="C3247" s="9">
        <f>IFERROR(__xludf.DUMMYFUNCTION("""COMPUTED_VALUE"""),12665.0)</f>
        <v>12665</v>
      </c>
      <c r="D3247" s="9" t="str">
        <f>IFERROR(__xludf.DUMMYFUNCTION("""COMPUTED_VALUE"""),"Completed")</f>
        <v>Completed</v>
      </c>
    </row>
    <row r="3248">
      <c r="A3248" s="9" t="str">
        <f>IFERROR(__xludf.DUMMYFUNCTION("""COMPUTED_VALUE"""),"G-REQ-03247")</f>
        <v>G-REQ-03247</v>
      </c>
      <c r="B3248" s="11">
        <f>IFERROR(__xludf.DUMMYFUNCTION("""COMPUTED_VALUE"""),45992.41202043956)</f>
        <v>45992.41202</v>
      </c>
      <c r="C3248" s="9">
        <f>IFERROR(__xludf.DUMMYFUNCTION("""COMPUTED_VALUE"""),12667.0)</f>
        <v>12667</v>
      </c>
      <c r="D3248" s="9" t="str">
        <f>IFERROR(__xludf.DUMMYFUNCTION("""COMPUTED_VALUE"""),"Rejected")</f>
        <v>Rejected</v>
      </c>
    </row>
    <row r="3249">
      <c r="A3249" s="9" t="str">
        <f>IFERROR(__xludf.DUMMYFUNCTION("""COMPUTED_VALUE"""),"G-REQ-03248")</f>
        <v>G-REQ-03248</v>
      </c>
      <c r="B3249" s="11">
        <f>IFERROR(__xludf.DUMMYFUNCTION("""COMPUTED_VALUE"""),45992.490139729416)</f>
        <v>45992.49014</v>
      </c>
      <c r="C3249" s="9">
        <f>IFERROR(__xludf.DUMMYFUNCTION("""COMPUTED_VALUE"""),12671.0)</f>
        <v>12671</v>
      </c>
      <c r="D3249" s="9" t="str">
        <f>IFERROR(__xludf.DUMMYFUNCTION("""COMPUTED_VALUE"""),"Completed")</f>
        <v>Completed</v>
      </c>
    </row>
    <row r="3250">
      <c r="A3250" s="9" t="str">
        <f>IFERROR(__xludf.DUMMYFUNCTION("""COMPUTED_VALUE"""),"G-REQ-03249")</f>
        <v>G-REQ-03249</v>
      </c>
      <c r="B3250" s="11">
        <f>IFERROR(__xludf.DUMMYFUNCTION("""COMPUTED_VALUE"""),45992.561314574836)</f>
        <v>45992.56131</v>
      </c>
      <c r="C3250" s="9">
        <f>IFERROR(__xludf.DUMMYFUNCTION("""COMPUTED_VALUE"""),12675.0)</f>
        <v>12675</v>
      </c>
      <c r="D3250" s="9" t="str">
        <f>IFERROR(__xludf.DUMMYFUNCTION("""COMPUTED_VALUE"""),"Completed")</f>
        <v>Completed</v>
      </c>
    </row>
    <row r="3251">
      <c r="A3251" s="9" t="str">
        <f>IFERROR(__xludf.DUMMYFUNCTION("""COMPUTED_VALUE"""),"G-REQ-03250")</f>
        <v>G-REQ-03250</v>
      </c>
      <c r="B3251" s="11">
        <f>IFERROR(__xludf.DUMMYFUNCTION("""COMPUTED_VALUE"""),45992.63248942024)</f>
        <v>45992.63249</v>
      </c>
      <c r="C3251" s="9">
        <f>IFERROR(__xludf.DUMMYFUNCTION("""COMPUTED_VALUE"""),12679.0)</f>
        <v>12679</v>
      </c>
      <c r="D3251" s="9" t="str">
        <f>IFERROR(__xludf.DUMMYFUNCTION("""COMPUTED_VALUE"""),"Completed")</f>
        <v>Completed</v>
      </c>
    </row>
    <row r="3252">
      <c r="A3252" s="9" t="str">
        <f>IFERROR(__xludf.DUMMYFUNCTION("""COMPUTED_VALUE"""),"G-REQ-03251")</f>
        <v>G-REQ-03251</v>
      </c>
      <c r="B3252" s="11">
        <f>IFERROR(__xludf.DUMMYFUNCTION("""COMPUTED_VALUE"""),45992.70366426566)</f>
        <v>45992.70366</v>
      </c>
      <c r="C3252" s="9">
        <f>IFERROR(__xludf.DUMMYFUNCTION("""COMPUTED_VALUE"""),12683.0)</f>
        <v>12683</v>
      </c>
      <c r="D3252" s="9" t="str">
        <f>IFERROR(__xludf.DUMMYFUNCTION("""COMPUTED_VALUE"""),"Completed")</f>
        <v>Completed</v>
      </c>
    </row>
    <row r="3253">
      <c r="A3253" s="9" t="str">
        <f>IFERROR(__xludf.DUMMYFUNCTION("""COMPUTED_VALUE"""),"G-REQ-03252")</f>
        <v>G-REQ-03252</v>
      </c>
      <c r="B3253" s="11">
        <f>IFERROR(__xludf.DUMMYFUNCTION("""COMPUTED_VALUE"""),45992.77483911108)</f>
        <v>45992.77484</v>
      </c>
      <c r="C3253" s="9">
        <f>IFERROR(__xludf.DUMMYFUNCTION("""COMPUTED_VALUE"""),12687.0)</f>
        <v>12687</v>
      </c>
      <c r="D3253" s="9" t="str">
        <f>IFERROR(__xludf.DUMMYFUNCTION("""COMPUTED_VALUE"""),"Completed")</f>
        <v>Completed</v>
      </c>
    </row>
    <row r="3254">
      <c r="A3254" s="9" t="str">
        <f>IFERROR(__xludf.DUMMYFUNCTION("""COMPUTED_VALUE"""),"G-REQ-03253")</f>
        <v>G-REQ-03253</v>
      </c>
      <c r="B3254" s="11">
        <f>IFERROR(__xludf.DUMMYFUNCTION("""COMPUTED_VALUE"""),45992.84601395649)</f>
        <v>45992.84601</v>
      </c>
      <c r="C3254" s="9">
        <f>IFERROR(__xludf.DUMMYFUNCTION("""COMPUTED_VALUE"""),12691.0)</f>
        <v>12691</v>
      </c>
      <c r="D3254" s="9" t="str">
        <f>IFERROR(__xludf.DUMMYFUNCTION("""COMPUTED_VALUE"""),"Completed")</f>
        <v>Completed</v>
      </c>
    </row>
    <row r="3255">
      <c r="A3255" s="9" t="str">
        <f>IFERROR(__xludf.DUMMYFUNCTION("""COMPUTED_VALUE"""),"G-REQ-03254")</f>
        <v>G-REQ-03254</v>
      </c>
      <c r="B3255" s="11">
        <f>IFERROR(__xludf.DUMMYFUNCTION("""COMPUTED_VALUE"""),45992.917188801905)</f>
        <v>45992.91719</v>
      </c>
      <c r="C3255" s="9">
        <f>IFERROR(__xludf.DUMMYFUNCTION("""COMPUTED_VALUE"""),12695.0)</f>
        <v>12695</v>
      </c>
      <c r="D3255" s="9" t="str">
        <f>IFERROR(__xludf.DUMMYFUNCTION("""COMPUTED_VALUE"""),"Completed")</f>
        <v>Completed</v>
      </c>
    </row>
    <row r="3256">
      <c r="A3256" s="9" t="str">
        <f>IFERROR(__xludf.DUMMYFUNCTION("""COMPUTED_VALUE"""),"G-REQ-03255")</f>
        <v>G-REQ-03255</v>
      </c>
      <c r="B3256" s="11">
        <f>IFERROR(__xludf.DUMMYFUNCTION("""COMPUTED_VALUE"""),45992.988363647324)</f>
        <v>45992.98836</v>
      </c>
      <c r="C3256" s="9">
        <f>IFERROR(__xludf.DUMMYFUNCTION("""COMPUTED_VALUE"""),12699.0)</f>
        <v>12699</v>
      </c>
      <c r="D3256" s="9" t="str">
        <f>IFERROR(__xludf.DUMMYFUNCTION("""COMPUTED_VALUE"""),"Completed")</f>
        <v>Completed</v>
      </c>
    </row>
    <row r="3257">
      <c r="A3257" s="9" t="str">
        <f>IFERROR(__xludf.DUMMYFUNCTION("""COMPUTED_VALUE"""),"G-REQ-03256")</f>
        <v>G-REQ-03256</v>
      </c>
      <c r="B3257" s="11">
        <f>IFERROR(__xludf.DUMMYFUNCTION("""COMPUTED_VALUE"""),45993.05259404829)</f>
        <v>45993.05259</v>
      </c>
      <c r="C3257" s="9">
        <f>IFERROR(__xludf.DUMMYFUNCTION("""COMPUTED_VALUE"""),12701.0)</f>
        <v>12701</v>
      </c>
      <c r="D3257" s="9" t="str">
        <f>IFERROR(__xludf.DUMMYFUNCTION("""COMPUTED_VALUE"""),"Rejected")</f>
        <v>Rejected</v>
      </c>
    </row>
    <row r="3258">
      <c r="A3258" s="9" t="str">
        <f>IFERROR(__xludf.DUMMYFUNCTION("""COMPUTED_VALUE"""),"G-REQ-03257")</f>
        <v>G-REQ-03257</v>
      </c>
      <c r="B3258" s="11">
        <f>IFERROR(__xludf.DUMMYFUNCTION("""COMPUTED_VALUE"""),45993.13071333815)</f>
        <v>45993.13071</v>
      </c>
      <c r="C3258" s="9">
        <f>IFERROR(__xludf.DUMMYFUNCTION("""COMPUTED_VALUE"""),12705.0)</f>
        <v>12705</v>
      </c>
      <c r="D3258" s="9" t="str">
        <f>IFERROR(__xludf.DUMMYFUNCTION("""COMPUTED_VALUE"""),"Completed")</f>
        <v>Completed</v>
      </c>
    </row>
    <row r="3259">
      <c r="A3259" s="9" t="str">
        <f>IFERROR(__xludf.DUMMYFUNCTION("""COMPUTED_VALUE"""),"G-REQ-03258")</f>
        <v>G-REQ-03258</v>
      </c>
      <c r="B3259" s="11">
        <f>IFERROR(__xludf.DUMMYFUNCTION("""COMPUTED_VALUE"""),45993.20188818357)</f>
        <v>45993.20189</v>
      </c>
      <c r="C3259" s="9">
        <f>IFERROR(__xludf.DUMMYFUNCTION("""COMPUTED_VALUE"""),12709.0)</f>
        <v>12709</v>
      </c>
      <c r="D3259" s="9" t="str">
        <f>IFERROR(__xludf.DUMMYFUNCTION("""COMPUTED_VALUE"""),"Completed")</f>
        <v>Completed</v>
      </c>
    </row>
    <row r="3260">
      <c r="A3260" s="9" t="str">
        <f>IFERROR(__xludf.DUMMYFUNCTION("""COMPUTED_VALUE"""),"G-REQ-03259")</f>
        <v>G-REQ-03259</v>
      </c>
      <c r="B3260" s="11">
        <f>IFERROR(__xludf.DUMMYFUNCTION("""COMPUTED_VALUE"""),45993.27306302899)</f>
        <v>45993.27306</v>
      </c>
      <c r="C3260" s="9">
        <f>IFERROR(__xludf.DUMMYFUNCTION("""COMPUTED_VALUE"""),12713.0)</f>
        <v>12713</v>
      </c>
      <c r="D3260" s="9" t="str">
        <f>IFERROR(__xludf.DUMMYFUNCTION("""COMPUTED_VALUE"""),"Completed")</f>
        <v>Completed</v>
      </c>
    </row>
    <row r="3261">
      <c r="A3261" s="9" t="str">
        <f>IFERROR(__xludf.DUMMYFUNCTION("""COMPUTED_VALUE"""),"G-REQ-03260")</f>
        <v>G-REQ-03260</v>
      </c>
      <c r="B3261" s="11">
        <f>IFERROR(__xludf.DUMMYFUNCTION("""COMPUTED_VALUE"""),45993.34423787439)</f>
        <v>45993.34424</v>
      </c>
      <c r="C3261" s="9">
        <f>IFERROR(__xludf.DUMMYFUNCTION("""COMPUTED_VALUE"""),12717.0)</f>
        <v>12717</v>
      </c>
      <c r="D3261" s="9" t="str">
        <f>IFERROR(__xludf.DUMMYFUNCTION("""COMPUTED_VALUE"""),"Completed")</f>
        <v>Completed</v>
      </c>
    </row>
    <row r="3262">
      <c r="A3262" s="9" t="str">
        <f>IFERROR(__xludf.DUMMYFUNCTION("""COMPUTED_VALUE"""),"G-REQ-03261")</f>
        <v>G-REQ-03261</v>
      </c>
      <c r="B3262" s="11">
        <f>IFERROR(__xludf.DUMMYFUNCTION("""COMPUTED_VALUE"""),45993.40846827537)</f>
        <v>45993.40847</v>
      </c>
      <c r="C3262" s="9">
        <f>IFERROR(__xludf.DUMMYFUNCTION("""COMPUTED_VALUE"""),12719.0)</f>
        <v>12719</v>
      </c>
      <c r="D3262" s="9" t="str">
        <f>IFERROR(__xludf.DUMMYFUNCTION("""COMPUTED_VALUE"""),"Cancelled")</f>
        <v>Cancelled</v>
      </c>
    </row>
    <row r="3263">
      <c r="A3263" s="9" t="str">
        <f>IFERROR(__xludf.DUMMYFUNCTION("""COMPUTED_VALUE"""),"G-REQ-03262")</f>
        <v>G-REQ-03262</v>
      </c>
      <c r="B3263" s="11">
        <f>IFERROR(__xludf.DUMMYFUNCTION("""COMPUTED_VALUE"""),45993.486587565225)</f>
        <v>45993.48659</v>
      </c>
      <c r="C3263" s="9">
        <f>IFERROR(__xludf.DUMMYFUNCTION("""COMPUTED_VALUE"""),12723.0)</f>
        <v>12723</v>
      </c>
      <c r="D3263" s="9" t="str">
        <f>IFERROR(__xludf.DUMMYFUNCTION("""COMPUTED_VALUE"""),"Completed")</f>
        <v>Completed</v>
      </c>
    </row>
    <row r="3264">
      <c r="A3264" s="9" t="str">
        <f>IFERROR(__xludf.DUMMYFUNCTION("""COMPUTED_VALUE"""),"G-REQ-03263")</f>
        <v>G-REQ-03263</v>
      </c>
      <c r="B3264" s="11">
        <f>IFERROR(__xludf.DUMMYFUNCTION("""COMPUTED_VALUE"""),45993.557762410645)</f>
        <v>45993.55776</v>
      </c>
      <c r="C3264" s="9">
        <f>IFERROR(__xludf.DUMMYFUNCTION("""COMPUTED_VALUE"""),12727.0)</f>
        <v>12727</v>
      </c>
      <c r="D3264" s="9" t="str">
        <f>IFERROR(__xludf.DUMMYFUNCTION("""COMPUTED_VALUE"""),"Completed")</f>
        <v>Completed</v>
      </c>
    </row>
    <row r="3265">
      <c r="A3265" s="9" t="str">
        <f>IFERROR(__xludf.DUMMYFUNCTION("""COMPUTED_VALUE"""),"G-REQ-03264")</f>
        <v>G-REQ-03264</v>
      </c>
      <c r="B3265" s="11">
        <f>IFERROR(__xludf.DUMMYFUNCTION("""COMPUTED_VALUE"""),45993.62893725606)</f>
        <v>45993.62894</v>
      </c>
      <c r="C3265" s="9">
        <f>IFERROR(__xludf.DUMMYFUNCTION("""COMPUTED_VALUE"""),12731.0)</f>
        <v>12731</v>
      </c>
      <c r="D3265" s="9" t="str">
        <f>IFERROR(__xludf.DUMMYFUNCTION("""COMPUTED_VALUE"""),"Completed")</f>
        <v>Completed</v>
      </c>
    </row>
    <row r="3266">
      <c r="A3266" s="9" t="str">
        <f>IFERROR(__xludf.DUMMYFUNCTION("""COMPUTED_VALUE"""),"G-REQ-03265")</f>
        <v>G-REQ-03265</v>
      </c>
      <c r="B3266" s="11">
        <f>IFERROR(__xludf.DUMMYFUNCTION("""COMPUTED_VALUE"""),45993.70011210148)</f>
        <v>45993.70011</v>
      </c>
      <c r="C3266" s="9">
        <f>IFERROR(__xludf.DUMMYFUNCTION("""COMPUTED_VALUE"""),12735.0)</f>
        <v>12735</v>
      </c>
      <c r="D3266" s="9" t="str">
        <f>IFERROR(__xludf.DUMMYFUNCTION("""COMPUTED_VALUE"""),"Completed")</f>
        <v>Completed</v>
      </c>
    </row>
    <row r="3267">
      <c r="A3267" s="9" t="str">
        <f>IFERROR(__xludf.DUMMYFUNCTION("""COMPUTED_VALUE"""),"G-REQ-03266")</f>
        <v>G-REQ-03266</v>
      </c>
      <c r="B3267" s="11">
        <f>IFERROR(__xludf.DUMMYFUNCTION("""COMPUTED_VALUE"""),45993.77128694689)</f>
        <v>45993.77129</v>
      </c>
      <c r="C3267" s="9">
        <f>IFERROR(__xludf.DUMMYFUNCTION("""COMPUTED_VALUE"""),12739.0)</f>
        <v>12739</v>
      </c>
      <c r="D3267" s="9" t="str">
        <f>IFERROR(__xludf.DUMMYFUNCTION("""COMPUTED_VALUE"""),"Completed")</f>
        <v>Completed</v>
      </c>
    </row>
    <row r="3268">
      <c r="A3268" s="9" t="str">
        <f>IFERROR(__xludf.DUMMYFUNCTION("""COMPUTED_VALUE"""),"G-REQ-03267")</f>
        <v>G-REQ-03267</v>
      </c>
      <c r="B3268" s="11">
        <f>IFERROR(__xludf.DUMMYFUNCTION("""COMPUTED_VALUE"""),45993.8424617923)</f>
        <v>45993.84246</v>
      </c>
      <c r="C3268" s="9">
        <f>IFERROR(__xludf.DUMMYFUNCTION("""COMPUTED_VALUE"""),12743.0)</f>
        <v>12743</v>
      </c>
      <c r="D3268" s="9" t="str">
        <f>IFERROR(__xludf.DUMMYFUNCTION("""COMPUTED_VALUE"""),"Completed")</f>
        <v>Completed</v>
      </c>
    </row>
    <row r="3269">
      <c r="A3269" s="9" t="str">
        <f>IFERROR(__xludf.DUMMYFUNCTION("""COMPUTED_VALUE"""),"G-REQ-03268")</f>
        <v>G-REQ-03268</v>
      </c>
      <c r="B3269" s="11">
        <f>IFERROR(__xludf.DUMMYFUNCTION("""COMPUTED_VALUE"""),45993.91363663772)</f>
        <v>45993.91364</v>
      </c>
      <c r="C3269" s="9">
        <f>IFERROR(__xludf.DUMMYFUNCTION("""COMPUTED_VALUE"""),12747.0)</f>
        <v>12747</v>
      </c>
      <c r="D3269" s="9" t="str">
        <f>IFERROR(__xludf.DUMMYFUNCTION("""COMPUTED_VALUE"""),"Completed")</f>
        <v>Completed</v>
      </c>
    </row>
    <row r="3270">
      <c r="A3270" s="9" t="str">
        <f>IFERROR(__xludf.DUMMYFUNCTION("""COMPUTED_VALUE"""),"G-REQ-03269")</f>
        <v>G-REQ-03269</v>
      </c>
      <c r="B3270" s="11">
        <f>IFERROR(__xludf.DUMMYFUNCTION("""COMPUTED_VALUE"""),45993.98481148313)</f>
        <v>45993.98481</v>
      </c>
      <c r="C3270" s="9">
        <f>IFERROR(__xludf.DUMMYFUNCTION("""COMPUTED_VALUE"""),12751.0)</f>
        <v>12751</v>
      </c>
      <c r="D3270" s="9" t="str">
        <f>IFERROR(__xludf.DUMMYFUNCTION("""COMPUTED_VALUE"""),"Completed")</f>
        <v>Completed</v>
      </c>
    </row>
    <row r="3271">
      <c r="A3271" s="9" t="str">
        <f>IFERROR(__xludf.DUMMYFUNCTION("""COMPUTED_VALUE"""),"G-REQ-03270")</f>
        <v>G-REQ-03270</v>
      </c>
      <c r="B3271" s="11">
        <f>IFERROR(__xludf.DUMMYFUNCTION("""COMPUTED_VALUE"""),45994.055986328545)</f>
        <v>45994.05599</v>
      </c>
      <c r="C3271" s="9">
        <f>IFERROR(__xludf.DUMMYFUNCTION("""COMPUTED_VALUE"""),12755.0)</f>
        <v>12755</v>
      </c>
      <c r="D3271" s="9" t="str">
        <f>IFERROR(__xludf.DUMMYFUNCTION("""COMPUTED_VALUE"""),"Completed")</f>
        <v>Completed</v>
      </c>
    </row>
    <row r="3272">
      <c r="A3272" s="9" t="str">
        <f>IFERROR(__xludf.DUMMYFUNCTION("""COMPUTED_VALUE"""),"G-REQ-03271")</f>
        <v>G-REQ-03271</v>
      </c>
      <c r="B3272" s="11">
        <f>IFERROR(__xludf.DUMMYFUNCTION("""COMPUTED_VALUE"""),45994.127161173965)</f>
        <v>45994.12716</v>
      </c>
      <c r="C3272" s="9">
        <f>IFERROR(__xludf.DUMMYFUNCTION("""COMPUTED_VALUE"""),12759.0)</f>
        <v>12759</v>
      </c>
      <c r="D3272" s="9" t="str">
        <f>IFERROR(__xludf.DUMMYFUNCTION("""COMPUTED_VALUE"""),"Completed")</f>
        <v>Completed</v>
      </c>
    </row>
    <row r="3273">
      <c r="A3273" s="9" t="str">
        <f>IFERROR(__xludf.DUMMYFUNCTION("""COMPUTED_VALUE"""),"G-REQ-03272")</f>
        <v>G-REQ-03272</v>
      </c>
      <c r="B3273" s="11">
        <f>IFERROR(__xludf.DUMMYFUNCTION("""COMPUTED_VALUE"""),45994.19833601938)</f>
        <v>45994.19834</v>
      </c>
      <c r="C3273" s="9">
        <f>IFERROR(__xludf.DUMMYFUNCTION("""COMPUTED_VALUE"""),12763.0)</f>
        <v>12763</v>
      </c>
      <c r="D3273" s="9" t="str">
        <f>IFERROR(__xludf.DUMMYFUNCTION("""COMPUTED_VALUE"""),"Completed")</f>
        <v>Completed</v>
      </c>
    </row>
    <row r="3274">
      <c r="A3274" s="9" t="str">
        <f>IFERROR(__xludf.DUMMYFUNCTION("""COMPUTED_VALUE"""),"G-REQ-03273")</f>
        <v>G-REQ-03273</v>
      </c>
      <c r="B3274" s="11">
        <f>IFERROR(__xludf.DUMMYFUNCTION("""COMPUTED_VALUE"""),45994.26951086479)</f>
        <v>45994.26951</v>
      </c>
      <c r="C3274" s="9">
        <f>IFERROR(__xludf.DUMMYFUNCTION("""COMPUTED_VALUE"""),12767.0)</f>
        <v>12767</v>
      </c>
      <c r="D3274" s="9" t="str">
        <f>IFERROR(__xludf.DUMMYFUNCTION("""COMPUTED_VALUE"""),"Completed")</f>
        <v>Completed</v>
      </c>
    </row>
    <row r="3275">
      <c r="A3275" s="9" t="str">
        <f>IFERROR(__xludf.DUMMYFUNCTION("""COMPUTED_VALUE"""),"G-REQ-03274")</f>
        <v>G-REQ-03274</v>
      </c>
      <c r="B3275" s="11">
        <f>IFERROR(__xludf.DUMMYFUNCTION("""COMPUTED_VALUE"""),45994.34068571021)</f>
        <v>45994.34069</v>
      </c>
      <c r="C3275" s="9">
        <f>IFERROR(__xludf.DUMMYFUNCTION("""COMPUTED_VALUE"""),12771.0)</f>
        <v>12771</v>
      </c>
      <c r="D3275" s="9" t="str">
        <f>IFERROR(__xludf.DUMMYFUNCTION("""COMPUTED_VALUE"""),"Completed")</f>
        <v>Completed</v>
      </c>
    </row>
    <row r="3276">
      <c r="A3276" s="9" t="str">
        <f>IFERROR(__xludf.DUMMYFUNCTION("""COMPUTED_VALUE"""),"G-REQ-03275")</f>
        <v>G-REQ-03275</v>
      </c>
      <c r="B3276" s="11">
        <f>IFERROR(__xludf.DUMMYFUNCTION("""COMPUTED_VALUE"""),45994.41186055563)</f>
        <v>45994.41186</v>
      </c>
      <c r="C3276" s="9">
        <f>IFERROR(__xludf.DUMMYFUNCTION("""COMPUTED_VALUE"""),12775.0)</f>
        <v>12775</v>
      </c>
      <c r="D3276" s="9" t="str">
        <f>IFERROR(__xludf.DUMMYFUNCTION("""COMPUTED_VALUE"""),"Completed")</f>
        <v>Completed</v>
      </c>
    </row>
    <row r="3277">
      <c r="A3277" s="9" t="str">
        <f>IFERROR(__xludf.DUMMYFUNCTION("""COMPUTED_VALUE"""),"G-REQ-03276")</f>
        <v>G-REQ-03276</v>
      </c>
      <c r="B3277" s="11">
        <f>IFERROR(__xludf.DUMMYFUNCTION("""COMPUTED_VALUE"""),45994.483035401034)</f>
        <v>45994.48304</v>
      </c>
      <c r="C3277" s="9">
        <f>IFERROR(__xludf.DUMMYFUNCTION("""COMPUTED_VALUE"""),12779.0)</f>
        <v>12779</v>
      </c>
      <c r="D3277" s="9" t="str">
        <f>IFERROR(__xludf.DUMMYFUNCTION("""COMPUTED_VALUE"""),"Completed")</f>
        <v>Completed</v>
      </c>
    </row>
    <row r="3278">
      <c r="A3278" s="9" t="str">
        <f>IFERROR(__xludf.DUMMYFUNCTION("""COMPUTED_VALUE"""),"G-REQ-03277")</f>
        <v>G-REQ-03277</v>
      </c>
      <c r="B3278" s="11">
        <f>IFERROR(__xludf.DUMMYFUNCTION("""COMPUTED_VALUE"""),45994.55421024645)</f>
        <v>45994.55421</v>
      </c>
      <c r="C3278" s="9">
        <f>IFERROR(__xludf.DUMMYFUNCTION("""COMPUTED_VALUE"""),12783.0)</f>
        <v>12783</v>
      </c>
      <c r="D3278" s="9" t="str">
        <f>IFERROR(__xludf.DUMMYFUNCTION("""COMPUTED_VALUE"""),"Completed")</f>
        <v>Completed</v>
      </c>
    </row>
    <row r="3279">
      <c r="A3279" s="9" t="str">
        <f>IFERROR(__xludf.DUMMYFUNCTION("""COMPUTED_VALUE"""),"G-REQ-03278")</f>
        <v>G-REQ-03278</v>
      </c>
      <c r="B3279" s="11">
        <f>IFERROR(__xludf.DUMMYFUNCTION("""COMPUTED_VALUE"""),45994.61844064743)</f>
        <v>45994.61844</v>
      </c>
      <c r="C3279" s="9">
        <f>IFERROR(__xludf.DUMMYFUNCTION("""COMPUTED_VALUE"""),12785.0)</f>
        <v>12785</v>
      </c>
      <c r="D3279" s="9" t="str">
        <f>IFERROR(__xludf.DUMMYFUNCTION("""COMPUTED_VALUE"""),"Rejected")</f>
        <v>Rejected</v>
      </c>
    </row>
    <row r="3280">
      <c r="A3280" s="9" t="str">
        <f>IFERROR(__xludf.DUMMYFUNCTION("""COMPUTED_VALUE"""),"G-REQ-03279")</f>
        <v>G-REQ-03279</v>
      </c>
      <c r="B3280" s="11">
        <f>IFERROR(__xludf.DUMMYFUNCTION("""COMPUTED_VALUE"""),45994.696559937285)</f>
        <v>45994.69656</v>
      </c>
      <c r="C3280" s="9">
        <f>IFERROR(__xludf.DUMMYFUNCTION("""COMPUTED_VALUE"""),12789.0)</f>
        <v>12789</v>
      </c>
      <c r="D3280" s="9" t="str">
        <f>IFERROR(__xludf.DUMMYFUNCTION("""COMPUTED_VALUE"""),"Completed")</f>
        <v>Completed</v>
      </c>
    </row>
    <row r="3281">
      <c r="A3281" s="9" t="str">
        <f>IFERROR(__xludf.DUMMYFUNCTION("""COMPUTED_VALUE"""),"G-REQ-03280")</f>
        <v>G-REQ-03280</v>
      </c>
      <c r="B3281" s="11">
        <f>IFERROR(__xludf.DUMMYFUNCTION("""COMPUTED_VALUE"""),45994.7677347827)</f>
        <v>45994.76773</v>
      </c>
      <c r="C3281" s="9">
        <f>IFERROR(__xludf.DUMMYFUNCTION("""COMPUTED_VALUE"""),12793.0)</f>
        <v>12793</v>
      </c>
      <c r="D3281" s="9" t="str">
        <f>IFERROR(__xludf.DUMMYFUNCTION("""COMPUTED_VALUE"""),"Completed")</f>
        <v>Completed</v>
      </c>
    </row>
    <row r="3282">
      <c r="A3282" s="9" t="str">
        <f>IFERROR(__xludf.DUMMYFUNCTION("""COMPUTED_VALUE"""),"G-REQ-03281")</f>
        <v>G-REQ-03281</v>
      </c>
      <c r="B3282" s="11">
        <f>IFERROR(__xludf.DUMMYFUNCTION("""COMPUTED_VALUE"""),45994.83890962812)</f>
        <v>45994.83891</v>
      </c>
      <c r="C3282" s="9">
        <f>IFERROR(__xludf.DUMMYFUNCTION("""COMPUTED_VALUE"""),12797.0)</f>
        <v>12797</v>
      </c>
      <c r="D3282" s="9" t="str">
        <f>IFERROR(__xludf.DUMMYFUNCTION("""COMPUTED_VALUE"""),"Completed")</f>
        <v>Completed</v>
      </c>
    </row>
    <row r="3283">
      <c r="A3283" s="9" t="str">
        <f>IFERROR(__xludf.DUMMYFUNCTION("""COMPUTED_VALUE"""),"G-REQ-03282")</f>
        <v>G-REQ-03282</v>
      </c>
      <c r="B3283" s="11">
        <f>IFERROR(__xludf.DUMMYFUNCTION("""COMPUTED_VALUE"""),45994.91008447353)</f>
        <v>45994.91008</v>
      </c>
      <c r="C3283" s="9">
        <f>IFERROR(__xludf.DUMMYFUNCTION("""COMPUTED_VALUE"""),12801.0)</f>
        <v>12801</v>
      </c>
      <c r="D3283" s="9" t="str">
        <f>IFERROR(__xludf.DUMMYFUNCTION("""COMPUTED_VALUE"""),"Completed")</f>
        <v>Completed</v>
      </c>
    </row>
    <row r="3284">
      <c r="A3284" s="9" t="str">
        <f>IFERROR(__xludf.DUMMYFUNCTION("""COMPUTED_VALUE"""),"G-REQ-03283")</f>
        <v>G-REQ-03283</v>
      </c>
      <c r="B3284" s="11">
        <f>IFERROR(__xludf.DUMMYFUNCTION("""COMPUTED_VALUE"""),45994.98125931894)</f>
        <v>45994.98126</v>
      </c>
      <c r="C3284" s="9">
        <f>IFERROR(__xludf.DUMMYFUNCTION("""COMPUTED_VALUE"""),12805.0)</f>
        <v>12805</v>
      </c>
      <c r="D3284" s="9" t="str">
        <f>IFERROR(__xludf.DUMMYFUNCTION("""COMPUTED_VALUE"""),"Completed")</f>
        <v>Completed</v>
      </c>
    </row>
    <row r="3285">
      <c r="A3285" s="9" t="str">
        <f>IFERROR(__xludf.DUMMYFUNCTION("""COMPUTED_VALUE"""),"G-REQ-03284")</f>
        <v>G-REQ-03284</v>
      </c>
      <c r="B3285" s="11">
        <f>IFERROR(__xludf.DUMMYFUNCTION("""COMPUTED_VALUE"""),45995.05243416436)</f>
        <v>45995.05243</v>
      </c>
      <c r="C3285" s="9">
        <f>IFERROR(__xludf.DUMMYFUNCTION("""COMPUTED_VALUE"""),12809.0)</f>
        <v>12809</v>
      </c>
      <c r="D3285" s="9" t="str">
        <f>IFERROR(__xludf.DUMMYFUNCTION("""COMPUTED_VALUE"""),"Completed")</f>
        <v>Completed</v>
      </c>
    </row>
    <row r="3286">
      <c r="A3286" s="9" t="str">
        <f>IFERROR(__xludf.DUMMYFUNCTION("""COMPUTED_VALUE"""),"G-REQ-03285")</f>
        <v>G-REQ-03285</v>
      </c>
      <c r="B3286" s="11">
        <f>IFERROR(__xludf.DUMMYFUNCTION("""COMPUTED_VALUE"""),45995.123609009774)</f>
        <v>45995.12361</v>
      </c>
      <c r="C3286" s="9">
        <f>IFERROR(__xludf.DUMMYFUNCTION("""COMPUTED_VALUE"""),12813.0)</f>
        <v>12813</v>
      </c>
      <c r="D3286" s="9" t="str">
        <f>IFERROR(__xludf.DUMMYFUNCTION("""COMPUTED_VALUE"""),"Completed")</f>
        <v>Completed</v>
      </c>
    </row>
    <row r="3287">
      <c r="A3287" s="9" t="str">
        <f>IFERROR(__xludf.DUMMYFUNCTION("""COMPUTED_VALUE"""),"G-REQ-03286")</f>
        <v>G-REQ-03286</v>
      </c>
      <c r="B3287" s="11">
        <f>IFERROR(__xludf.DUMMYFUNCTION("""COMPUTED_VALUE"""),45995.194783855186)</f>
        <v>45995.19478</v>
      </c>
      <c r="C3287" s="9">
        <f>IFERROR(__xludf.DUMMYFUNCTION("""COMPUTED_VALUE"""),12817.0)</f>
        <v>12817</v>
      </c>
      <c r="D3287" s="9" t="str">
        <f>IFERROR(__xludf.DUMMYFUNCTION("""COMPUTED_VALUE"""),"Completed")</f>
        <v>Completed</v>
      </c>
    </row>
    <row r="3288">
      <c r="A3288" s="9" t="str">
        <f>IFERROR(__xludf.DUMMYFUNCTION("""COMPUTED_VALUE"""),"G-REQ-03287")</f>
        <v>G-REQ-03287</v>
      </c>
      <c r="B3288" s="11">
        <f>IFERROR(__xludf.DUMMYFUNCTION("""COMPUTED_VALUE"""),45995.265958700606)</f>
        <v>45995.26596</v>
      </c>
      <c r="C3288" s="9">
        <f>IFERROR(__xludf.DUMMYFUNCTION("""COMPUTED_VALUE"""),12821.0)</f>
        <v>12821</v>
      </c>
      <c r="D3288" s="9" t="str">
        <f>IFERROR(__xludf.DUMMYFUNCTION("""COMPUTED_VALUE"""),"Completed")</f>
        <v>Completed</v>
      </c>
    </row>
    <row r="3289">
      <c r="A3289" s="9" t="str">
        <f>IFERROR(__xludf.DUMMYFUNCTION("""COMPUTED_VALUE"""),"G-REQ-03288")</f>
        <v>G-REQ-03288</v>
      </c>
      <c r="B3289" s="11">
        <f>IFERROR(__xludf.DUMMYFUNCTION("""COMPUTED_VALUE"""),45995.33713354602)</f>
        <v>45995.33713</v>
      </c>
      <c r="C3289" s="9">
        <f>IFERROR(__xludf.DUMMYFUNCTION("""COMPUTED_VALUE"""),12825.0)</f>
        <v>12825</v>
      </c>
      <c r="D3289" s="9" t="str">
        <f>IFERROR(__xludf.DUMMYFUNCTION("""COMPUTED_VALUE"""),"Completed")</f>
        <v>Completed</v>
      </c>
    </row>
    <row r="3290">
      <c r="A3290" s="9" t="str">
        <f>IFERROR(__xludf.DUMMYFUNCTION("""COMPUTED_VALUE"""),"G-REQ-03289")</f>
        <v>G-REQ-03289</v>
      </c>
      <c r="B3290" s="11">
        <f>IFERROR(__xludf.DUMMYFUNCTION("""COMPUTED_VALUE"""),45995.40830839144)</f>
        <v>45995.40831</v>
      </c>
      <c r="C3290" s="9">
        <f>IFERROR(__xludf.DUMMYFUNCTION("""COMPUTED_VALUE"""),12829.0)</f>
        <v>12829</v>
      </c>
      <c r="D3290" s="9" t="str">
        <f>IFERROR(__xludf.DUMMYFUNCTION("""COMPUTED_VALUE"""),"Completed")</f>
        <v>Completed</v>
      </c>
    </row>
    <row r="3291">
      <c r="A3291" s="9" t="str">
        <f>IFERROR(__xludf.DUMMYFUNCTION("""COMPUTED_VALUE"""),"G-REQ-03290")</f>
        <v>G-REQ-03290</v>
      </c>
      <c r="B3291" s="11">
        <f>IFERROR(__xludf.DUMMYFUNCTION("""COMPUTED_VALUE"""),45995.47948323685)</f>
        <v>45995.47948</v>
      </c>
      <c r="C3291" s="9">
        <f>IFERROR(__xludf.DUMMYFUNCTION("""COMPUTED_VALUE"""),12833.0)</f>
        <v>12833</v>
      </c>
      <c r="D3291" s="9" t="str">
        <f>IFERROR(__xludf.DUMMYFUNCTION("""COMPUTED_VALUE"""),"Completed")</f>
        <v>Completed</v>
      </c>
    </row>
    <row r="3292">
      <c r="A3292" s="9" t="str">
        <f>IFERROR(__xludf.DUMMYFUNCTION("""COMPUTED_VALUE"""),"G-REQ-03291")</f>
        <v>G-REQ-03291</v>
      </c>
      <c r="B3292" s="11">
        <f>IFERROR(__xludf.DUMMYFUNCTION("""COMPUTED_VALUE"""),45995.55065808227)</f>
        <v>45995.55066</v>
      </c>
      <c r="C3292" s="9">
        <f>IFERROR(__xludf.DUMMYFUNCTION("""COMPUTED_VALUE"""),12837.0)</f>
        <v>12837</v>
      </c>
      <c r="D3292" s="9" t="str">
        <f>IFERROR(__xludf.DUMMYFUNCTION("""COMPUTED_VALUE"""),"Completed")</f>
        <v>Completed</v>
      </c>
    </row>
    <row r="3293">
      <c r="A3293" s="9" t="str">
        <f>IFERROR(__xludf.DUMMYFUNCTION("""COMPUTED_VALUE"""),"G-REQ-03292")</f>
        <v>G-REQ-03292</v>
      </c>
      <c r="B3293" s="11">
        <f>IFERROR(__xludf.DUMMYFUNCTION("""COMPUTED_VALUE"""),45995.621832927674)</f>
        <v>45995.62183</v>
      </c>
      <c r="C3293" s="9">
        <f>IFERROR(__xludf.DUMMYFUNCTION("""COMPUTED_VALUE"""),12841.0)</f>
        <v>12841</v>
      </c>
      <c r="D3293" s="9" t="str">
        <f>IFERROR(__xludf.DUMMYFUNCTION("""COMPUTED_VALUE"""),"Completed")</f>
        <v>Completed</v>
      </c>
    </row>
    <row r="3294">
      <c r="A3294" s="9" t="str">
        <f>IFERROR(__xludf.DUMMYFUNCTION("""COMPUTED_VALUE"""),"G-REQ-03293")</f>
        <v>G-REQ-03293</v>
      </c>
      <c r="B3294" s="11">
        <f>IFERROR(__xludf.DUMMYFUNCTION("""COMPUTED_VALUE"""),45995.68606332865)</f>
        <v>45995.68606</v>
      </c>
      <c r="C3294" s="9">
        <f>IFERROR(__xludf.DUMMYFUNCTION("""COMPUTED_VALUE"""),12843.0)</f>
        <v>12843</v>
      </c>
      <c r="D3294" s="9" t="str">
        <f>IFERROR(__xludf.DUMMYFUNCTION("""COMPUTED_VALUE"""),"Cancelled")</f>
        <v>Cancelled</v>
      </c>
    </row>
    <row r="3295">
      <c r="A3295" s="9" t="str">
        <f>IFERROR(__xludf.DUMMYFUNCTION("""COMPUTED_VALUE"""),"G-REQ-03294")</f>
        <v>G-REQ-03294</v>
      </c>
      <c r="B3295" s="11">
        <f>IFERROR(__xludf.DUMMYFUNCTION("""COMPUTED_VALUE"""),45995.76418261851)</f>
        <v>45995.76418</v>
      </c>
      <c r="C3295" s="9">
        <f>IFERROR(__xludf.DUMMYFUNCTION("""COMPUTED_VALUE"""),12847.0)</f>
        <v>12847</v>
      </c>
      <c r="D3295" s="9" t="str">
        <f>IFERROR(__xludf.DUMMYFUNCTION("""COMPUTED_VALUE"""),"Completed")</f>
        <v>Completed</v>
      </c>
    </row>
    <row r="3296">
      <c r="A3296" s="9" t="str">
        <f>IFERROR(__xludf.DUMMYFUNCTION("""COMPUTED_VALUE"""),"G-REQ-03295")</f>
        <v>G-REQ-03295</v>
      </c>
      <c r="B3296" s="11">
        <f>IFERROR(__xludf.DUMMYFUNCTION("""COMPUTED_VALUE"""),45995.835357463926)</f>
        <v>45995.83536</v>
      </c>
      <c r="C3296" s="9">
        <f>IFERROR(__xludf.DUMMYFUNCTION("""COMPUTED_VALUE"""),12851.0)</f>
        <v>12851</v>
      </c>
      <c r="D3296" s="9" t="str">
        <f>IFERROR(__xludf.DUMMYFUNCTION("""COMPUTED_VALUE"""),"Completed")</f>
        <v>Completed</v>
      </c>
    </row>
    <row r="3297">
      <c r="A3297" s="9" t="str">
        <f>IFERROR(__xludf.DUMMYFUNCTION("""COMPUTED_VALUE"""),"G-REQ-03296")</f>
        <v>G-REQ-03296</v>
      </c>
      <c r="B3297" s="11">
        <f>IFERROR(__xludf.DUMMYFUNCTION("""COMPUTED_VALUE"""),45995.90653230934)</f>
        <v>45995.90653</v>
      </c>
      <c r="C3297" s="9">
        <f>IFERROR(__xludf.DUMMYFUNCTION("""COMPUTED_VALUE"""),12855.0)</f>
        <v>12855</v>
      </c>
      <c r="D3297" s="9" t="str">
        <f>IFERROR(__xludf.DUMMYFUNCTION("""COMPUTED_VALUE"""),"Completed")</f>
        <v>Completed</v>
      </c>
    </row>
    <row r="3298">
      <c r="A3298" s="9" t="str">
        <f>IFERROR(__xludf.DUMMYFUNCTION("""COMPUTED_VALUE"""),"G-REQ-03297")</f>
        <v>G-REQ-03297</v>
      </c>
      <c r="B3298" s="11">
        <f>IFERROR(__xludf.DUMMYFUNCTION("""COMPUTED_VALUE"""),45995.97076271031)</f>
        <v>45995.97076</v>
      </c>
      <c r="C3298" s="9">
        <f>IFERROR(__xludf.DUMMYFUNCTION("""COMPUTED_VALUE"""),12857.0)</f>
        <v>12857</v>
      </c>
      <c r="D3298" s="9" t="str">
        <f>IFERROR(__xludf.DUMMYFUNCTION("""COMPUTED_VALUE"""),"Cancelled")</f>
        <v>Cancelled</v>
      </c>
    </row>
    <row r="3299">
      <c r="A3299" s="9" t="str">
        <f>IFERROR(__xludf.DUMMYFUNCTION("""COMPUTED_VALUE"""),"G-REQ-03298")</f>
        <v>G-REQ-03298</v>
      </c>
      <c r="B3299" s="11">
        <f>IFERROR(__xludf.DUMMYFUNCTION("""COMPUTED_VALUE"""),45996.04888200017)</f>
        <v>45996.04888</v>
      </c>
      <c r="C3299" s="9">
        <f>IFERROR(__xludf.DUMMYFUNCTION("""COMPUTED_VALUE"""),12861.0)</f>
        <v>12861</v>
      </c>
      <c r="D3299" s="9" t="str">
        <f>IFERROR(__xludf.DUMMYFUNCTION("""COMPUTED_VALUE"""),"Completed")</f>
        <v>Completed</v>
      </c>
    </row>
    <row r="3300">
      <c r="A3300" s="9" t="str">
        <f>IFERROR(__xludf.DUMMYFUNCTION("""COMPUTED_VALUE"""),"G-REQ-03299")</f>
        <v>G-REQ-03299</v>
      </c>
      <c r="B3300" s="11">
        <f>IFERROR(__xludf.DUMMYFUNCTION("""COMPUTED_VALUE"""),45996.12005684558)</f>
        <v>45996.12006</v>
      </c>
      <c r="C3300" s="9">
        <f>IFERROR(__xludf.DUMMYFUNCTION("""COMPUTED_VALUE"""),12865.0)</f>
        <v>12865</v>
      </c>
      <c r="D3300" s="9" t="str">
        <f>IFERROR(__xludf.DUMMYFUNCTION("""COMPUTED_VALUE"""),"Completed")</f>
        <v>Completed</v>
      </c>
    </row>
    <row r="3301">
      <c r="A3301" s="9" t="str">
        <f>IFERROR(__xludf.DUMMYFUNCTION("""COMPUTED_VALUE"""),"G-REQ-03300")</f>
        <v>G-REQ-03300</v>
      </c>
      <c r="B3301" s="11">
        <f>IFERROR(__xludf.DUMMYFUNCTION("""COMPUTED_VALUE"""),45996.191231691)</f>
        <v>45996.19123</v>
      </c>
      <c r="C3301" s="9">
        <f>IFERROR(__xludf.DUMMYFUNCTION("""COMPUTED_VALUE"""),12869.0)</f>
        <v>12869</v>
      </c>
      <c r="D3301" s="9" t="str">
        <f>IFERROR(__xludf.DUMMYFUNCTION("""COMPUTED_VALUE"""),"Completed")</f>
        <v>Completed</v>
      </c>
    </row>
    <row r="3302">
      <c r="A3302" s="9" t="str">
        <f>IFERROR(__xludf.DUMMYFUNCTION("""COMPUTED_VALUE"""),"G-REQ-03301")</f>
        <v>G-REQ-03301</v>
      </c>
      <c r="B3302" s="11">
        <f>IFERROR(__xludf.DUMMYFUNCTION("""COMPUTED_VALUE"""),45996.26240653642)</f>
        <v>45996.26241</v>
      </c>
      <c r="C3302" s="9">
        <f>IFERROR(__xludf.DUMMYFUNCTION("""COMPUTED_VALUE"""),12873.0)</f>
        <v>12873</v>
      </c>
      <c r="D3302" s="9" t="str">
        <f>IFERROR(__xludf.DUMMYFUNCTION("""COMPUTED_VALUE"""),"Completed")</f>
        <v>Completed</v>
      </c>
    </row>
    <row r="3303">
      <c r="A3303" s="9" t="str">
        <f>IFERROR(__xludf.DUMMYFUNCTION("""COMPUTED_VALUE"""),"G-REQ-03302")</f>
        <v>G-REQ-03302</v>
      </c>
      <c r="B3303" s="11">
        <f>IFERROR(__xludf.DUMMYFUNCTION("""COMPUTED_VALUE"""),45996.33358138183)</f>
        <v>45996.33358</v>
      </c>
      <c r="C3303" s="9">
        <f>IFERROR(__xludf.DUMMYFUNCTION("""COMPUTED_VALUE"""),12877.0)</f>
        <v>12877</v>
      </c>
      <c r="D3303" s="9" t="str">
        <f>IFERROR(__xludf.DUMMYFUNCTION("""COMPUTED_VALUE"""),"Completed")</f>
        <v>Completed</v>
      </c>
    </row>
    <row r="3304">
      <c r="A3304" s="9" t="str">
        <f>IFERROR(__xludf.DUMMYFUNCTION("""COMPUTED_VALUE"""),"G-REQ-03303")</f>
        <v>G-REQ-03303</v>
      </c>
      <c r="B3304" s="11">
        <f>IFERROR(__xludf.DUMMYFUNCTION("""COMPUTED_VALUE"""),45996.404756227246)</f>
        <v>45996.40476</v>
      </c>
      <c r="C3304" s="9">
        <f>IFERROR(__xludf.DUMMYFUNCTION("""COMPUTED_VALUE"""),12881.0)</f>
        <v>12881</v>
      </c>
      <c r="D3304" s="9" t="str">
        <f>IFERROR(__xludf.DUMMYFUNCTION("""COMPUTED_VALUE"""),"Completed")</f>
        <v>Completed</v>
      </c>
    </row>
    <row r="3305">
      <c r="A3305" s="9" t="str">
        <f>IFERROR(__xludf.DUMMYFUNCTION("""COMPUTED_VALUE"""),"G-REQ-03304")</f>
        <v>G-REQ-03304</v>
      </c>
      <c r="B3305" s="11">
        <f>IFERROR(__xludf.DUMMYFUNCTION("""COMPUTED_VALUE"""),45996.46898662821)</f>
        <v>45996.46899</v>
      </c>
      <c r="C3305" s="9">
        <f>IFERROR(__xludf.DUMMYFUNCTION("""COMPUTED_VALUE"""),12883.0)</f>
        <v>12883</v>
      </c>
      <c r="D3305" s="9" t="str">
        <f>IFERROR(__xludf.DUMMYFUNCTION("""COMPUTED_VALUE"""),"Rejected")</f>
        <v>Rejected</v>
      </c>
    </row>
    <row r="3306">
      <c r="A3306" s="9" t="str">
        <f>IFERROR(__xludf.DUMMYFUNCTION("""COMPUTED_VALUE"""),"G-REQ-03305")</f>
        <v>G-REQ-03305</v>
      </c>
      <c r="B3306" s="11">
        <f>IFERROR(__xludf.DUMMYFUNCTION("""COMPUTED_VALUE"""),45996.54710591808)</f>
        <v>45996.54711</v>
      </c>
      <c r="C3306" s="9">
        <f>IFERROR(__xludf.DUMMYFUNCTION("""COMPUTED_VALUE"""),12887.0)</f>
        <v>12887</v>
      </c>
      <c r="D3306" s="9" t="str">
        <f>IFERROR(__xludf.DUMMYFUNCTION("""COMPUTED_VALUE"""),"Completed")</f>
        <v>Completed</v>
      </c>
    </row>
    <row r="3307">
      <c r="A3307" s="9" t="str">
        <f>IFERROR(__xludf.DUMMYFUNCTION("""COMPUTED_VALUE"""),"G-REQ-03306")</f>
        <v>G-REQ-03306</v>
      </c>
      <c r="B3307" s="11">
        <f>IFERROR(__xludf.DUMMYFUNCTION("""COMPUTED_VALUE"""),45996.61828076349)</f>
        <v>45996.61828</v>
      </c>
      <c r="C3307" s="9">
        <f>IFERROR(__xludf.DUMMYFUNCTION("""COMPUTED_VALUE"""),12891.0)</f>
        <v>12891</v>
      </c>
      <c r="D3307" s="9" t="str">
        <f>IFERROR(__xludf.DUMMYFUNCTION("""COMPUTED_VALUE"""),"Completed")</f>
        <v>Completed</v>
      </c>
    </row>
    <row r="3308">
      <c r="A3308" s="9" t="str">
        <f>IFERROR(__xludf.DUMMYFUNCTION("""COMPUTED_VALUE"""),"G-REQ-03307")</f>
        <v>G-REQ-03307</v>
      </c>
      <c r="B3308" s="11">
        <f>IFERROR(__xludf.DUMMYFUNCTION("""COMPUTED_VALUE"""),45996.68945560891)</f>
        <v>45996.68946</v>
      </c>
      <c r="C3308" s="9">
        <f>IFERROR(__xludf.DUMMYFUNCTION("""COMPUTED_VALUE"""),12895.0)</f>
        <v>12895</v>
      </c>
      <c r="D3308" s="9" t="str">
        <f>IFERROR(__xludf.DUMMYFUNCTION("""COMPUTED_VALUE"""),"Completed")</f>
        <v>Completed</v>
      </c>
    </row>
    <row r="3309">
      <c r="A3309" s="9" t="str">
        <f>IFERROR(__xludf.DUMMYFUNCTION("""COMPUTED_VALUE"""),"G-REQ-03308")</f>
        <v>G-REQ-03308</v>
      </c>
      <c r="B3309" s="11">
        <f>IFERROR(__xludf.DUMMYFUNCTION("""COMPUTED_VALUE"""),45996.76063045432)</f>
        <v>45996.76063</v>
      </c>
      <c r="C3309" s="9">
        <f>IFERROR(__xludf.DUMMYFUNCTION("""COMPUTED_VALUE"""),12899.0)</f>
        <v>12899</v>
      </c>
      <c r="D3309" s="9" t="str">
        <f>IFERROR(__xludf.DUMMYFUNCTION("""COMPUTED_VALUE"""),"Completed")</f>
        <v>Completed</v>
      </c>
    </row>
    <row r="3310">
      <c r="A3310" s="9" t="str">
        <f>IFERROR(__xludf.DUMMYFUNCTION("""COMPUTED_VALUE"""),"G-REQ-03309")</f>
        <v>G-REQ-03309</v>
      </c>
      <c r="B3310" s="11">
        <f>IFERROR(__xludf.DUMMYFUNCTION("""COMPUTED_VALUE"""),45996.831805299735)</f>
        <v>45996.83181</v>
      </c>
      <c r="C3310" s="9">
        <f>IFERROR(__xludf.DUMMYFUNCTION("""COMPUTED_VALUE"""),12903.0)</f>
        <v>12903</v>
      </c>
      <c r="D3310" s="9" t="str">
        <f>IFERROR(__xludf.DUMMYFUNCTION("""COMPUTED_VALUE"""),"Completed")</f>
        <v>Completed</v>
      </c>
    </row>
    <row r="3311">
      <c r="A3311" s="9" t="str">
        <f>IFERROR(__xludf.DUMMYFUNCTION("""COMPUTED_VALUE"""),"G-REQ-03310")</f>
        <v>G-REQ-03310</v>
      </c>
      <c r="B3311" s="11">
        <f>IFERROR(__xludf.DUMMYFUNCTION("""COMPUTED_VALUE"""),45996.89603570071)</f>
        <v>45996.89604</v>
      </c>
      <c r="C3311" s="9">
        <f>IFERROR(__xludf.DUMMYFUNCTION("""COMPUTED_VALUE"""),12905.0)</f>
        <v>12905</v>
      </c>
      <c r="D3311" s="9" t="str">
        <f>IFERROR(__xludf.DUMMYFUNCTION("""COMPUTED_VALUE"""),"Cancelled")</f>
        <v>Cancelled</v>
      </c>
    </row>
    <row r="3312">
      <c r="A3312" s="9" t="str">
        <f>IFERROR(__xludf.DUMMYFUNCTION("""COMPUTED_VALUE"""),"G-REQ-03311")</f>
        <v>G-REQ-03311</v>
      </c>
      <c r="B3312" s="11">
        <f>IFERROR(__xludf.DUMMYFUNCTION("""COMPUTED_VALUE"""),45996.96721054612)</f>
        <v>45996.96721</v>
      </c>
      <c r="C3312" s="9">
        <f>IFERROR(__xludf.DUMMYFUNCTION("""COMPUTED_VALUE"""),12907.0)</f>
        <v>12907</v>
      </c>
      <c r="D3312" s="9" t="str">
        <f>IFERROR(__xludf.DUMMYFUNCTION("""COMPUTED_VALUE"""),"Cancelled")</f>
        <v>Cancelled</v>
      </c>
    </row>
    <row r="3313">
      <c r="A3313" s="9" t="str">
        <f>IFERROR(__xludf.DUMMYFUNCTION("""COMPUTED_VALUE"""),"G-REQ-03312")</f>
        <v>G-REQ-03312</v>
      </c>
      <c r="B3313" s="11">
        <f>IFERROR(__xludf.DUMMYFUNCTION("""COMPUTED_VALUE"""),45997.04532983598)</f>
        <v>45997.04533</v>
      </c>
      <c r="C3313" s="9">
        <f>IFERROR(__xludf.DUMMYFUNCTION("""COMPUTED_VALUE"""),12911.0)</f>
        <v>12911</v>
      </c>
      <c r="D3313" s="9" t="str">
        <f>IFERROR(__xludf.DUMMYFUNCTION("""COMPUTED_VALUE"""),"Completed")</f>
        <v>Completed</v>
      </c>
    </row>
    <row r="3314">
      <c r="A3314" s="9" t="str">
        <f>IFERROR(__xludf.DUMMYFUNCTION("""COMPUTED_VALUE"""),"G-REQ-03313")</f>
        <v>G-REQ-03313</v>
      </c>
      <c r="B3314" s="11">
        <f>IFERROR(__xludf.DUMMYFUNCTION("""COMPUTED_VALUE"""),45997.1165046814)</f>
        <v>45997.1165</v>
      </c>
      <c r="C3314" s="9">
        <f>IFERROR(__xludf.DUMMYFUNCTION("""COMPUTED_VALUE"""),12915.0)</f>
        <v>12915</v>
      </c>
      <c r="D3314" s="9" t="str">
        <f>IFERROR(__xludf.DUMMYFUNCTION("""COMPUTED_VALUE"""),"Completed")</f>
        <v>Completed</v>
      </c>
    </row>
    <row r="3315">
      <c r="A3315" s="9" t="str">
        <f>IFERROR(__xludf.DUMMYFUNCTION("""COMPUTED_VALUE"""),"G-REQ-03314")</f>
        <v>G-REQ-03314</v>
      </c>
      <c r="B3315" s="11">
        <f>IFERROR(__xludf.DUMMYFUNCTION("""COMPUTED_VALUE"""),45997.18767952681)</f>
        <v>45997.18768</v>
      </c>
      <c r="C3315" s="9">
        <f>IFERROR(__xludf.DUMMYFUNCTION("""COMPUTED_VALUE"""),12919.0)</f>
        <v>12919</v>
      </c>
      <c r="D3315" s="9" t="str">
        <f>IFERROR(__xludf.DUMMYFUNCTION("""COMPUTED_VALUE"""),"Completed")</f>
        <v>Completed</v>
      </c>
    </row>
    <row r="3316">
      <c r="A3316" s="9" t="str">
        <f>IFERROR(__xludf.DUMMYFUNCTION("""COMPUTED_VALUE"""),"G-REQ-03315")</f>
        <v>G-REQ-03315</v>
      </c>
      <c r="B3316" s="11">
        <f>IFERROR(__xludf.DUMMYFUNCTION("""COMPUTED_VALUE"""),45997.25885437222)</f>
        <v>45997.25885</v>
      </c>
      <c r="C3316" s="9">
        <f>IFERROR(__xludf.DUMMYFUNCTION("""COMPUTED_VALUE"""),12923.0)</f>
        <v>12923</v>
      </c>
      <c r="D3316" s="9" t="str">
        <f>IFERROR(__xludf.DUMMYFUNCTION("""COMPUTED_VALUE"""),"Completed")</f>
        <v>Completed</v>
      </c>
    </row>
    <row r="3317">
      <c r="A3317" s="9" t="str">
        <f>IFERROR(__xludf.DUMMYFUNCTION("""COMPUTED_VALUE"""),"G-REQ-03316")</f>
        <v>G-REQ-03316</v>
      </c>
      <c r="B3317" s="11">
        <f>IFERROR(__xludf.DUMMYFUNCTION("""COMPUTED_VALUE"""),45997.33002921764)</f>
        <v>45997.33003</v>
      </c>
      <c r="C3317" s="9">
        <f>IFERROR(__xludf.DUMMYFUNCTION("""COMPUTED_VALUE"""),12927.0)</f>
        <v>12927</v>
      </c>
      <c r="D3317" s="9" t="str">
        <f>IFERROR(__xludf.DUMMYFUNCTION("""COMPUTED_VALUE"""),"Completed")</f>
        <v>Completed</v>
      </c>
    </row>
    <row r="3318">
      <c r="A3318" s="9" t="str">
        <f>IFERROR(__xludf.DUMMYFUNCTION("""COMPUTED_VALUE"""),"G-REQ-03317")</f>
        <v>G-REQ-03317</v>
      </c>
      <c r="B3318" s="11">
        <f>IFERROR(__xludf.DUMMYFUNCTION("""COMPUTED_VALUE"""),45997.39425961862)</f>
        <v>45997.39426</v>
      </c>
      <c r="C3318" s="9">
        <f>IFERROR(__xludf.DUMMYFUNCTION("""COMPUTED_VALUE"""),12929.0)</f>
        <v>12929</v>
      </c>
      <c r="D3318" s="9" t="str">
        <f>IFERROR(__xludf.DUMMYFUNCTION("""COMPUTED_VALUE"""),"Cancelled")</f>
        <v>Cancelled</v>
      </c>
    </row>
    <row r="3319">
      <c r="A3319" s="9" t="str">
        <f>IFERROR(__xludf.DUMMYFUNCTION("""COMPUTED_VALUE"""),"G-REQ-03318")</f>
        <v>G-REQ-03318</v>
      </c>
      <c r="B3319" s="11">
        <f>IFERROR(__xludf.DUMMYFUNCTION("""COMPUTED_VALUE"""),45997.47237890847)</f>
        <v>45997.47238</v>
      </c>
      <c r="C3319" s="9">
        <f>IFERROR(__xludf.DUMMYFUNCTION("""COMPUTED_VALUE"""),12933.0)</f>
        <v>12933</v>
      </c>
      <c r="D3319" s="9" t="str">
        <f>IFERROR(__xludf.DUMMYFUNCTION("""COMPUTED_VALUE"""),"Completed")</f>
        <v>Completed</v>
      </c>
    </row>
    <row r="3320">
      <c r="A3320" s="9" t="str">
        <f>IFERROR(__xludf.DUMMYFUNCTION("""COMPUTED_VALUE"""),"G-REQ-03319")</f>
        <v>G-REQ-03319</v>
      </c>
      <c r="B3320" s="11">
        <f>IFERROR(__xludf.DUMMYFUNCTION("""COMPUTED_VALUE"""),45997.53660930944)</f>
        <v>45997.53661</v>
      </c>
      <c r="C3320" s="9">
        <f>IFERROR(__xludf.DUMMYFUNCTION("""COMPUTED_VALUE"""),12935.0)</f>
        <v>12935</v>
      </c>
      <c r="D3320" s="9" t="str">
        <f>IFERROR(__xludf.DUMMYFUNCTION("""COMPUTED_VALUE"""),"Rejected")</f>
        <v>Rejected</v>
      </c>
    </row>
    <row r="3321">
      <c r="A3321" s="9" t="str">
        <f>IFERROR(__xludf.DUMMYFUNCTION("""COMPUTED_VALUE"""),"G-REQ-03320")</f>
        <v>G-REQ-03320</v>
      </c>
      <c r="B3321" s="11">
        <f>IFERROR(__xludf.DUMMYFUNCTION("""COMPUTED_VALUE"""),45997.60778415486)</f>
        <v>45997.60778</v>
      </c>
      <c r="C3321" s="9">
        <f>IFERROR(__xludf.DUMMYFUNCTION("""COMPUTED_VALUE"""),12937.0)</f>
        <v>12937</v>
      </c>
      <c r="D3321" s="9" t="str">
        <f>IFERROR(__xludf.DUMMYFUNCTION("""COMPUTED_VALUE"""),"Rejected")</f>
        <v>Rejected</v>
      </c>
    </row>
    <row r="3322">
      <c r="A3322" s="9" t="str">
        <f>IFERROR(__xludf.DUMMYFUNCTION("""COMPUTED_VALUE"""),"G-REQ-03321")</f>
        <v>G-REQ-03321</v>
      </c>
      <c r="B3322" s="11">
        <f>IFERROR(__xludf.DUMMYFUNCTION("""COMPUTED_VALUE"""),45997.68590344472)</f>
        <v>45997.6859</v>
      </c>
      <c r="C3322" s="9">
        <f>IFERROR(__xludf.DUMMYFUNCTION("""COMPUTED_VALUE"""),12941.0)</f>
        <v>12941</v>
      </c>
      <c r="D3322" s="9" t="str">
        <f>IFERROR(__xludf.DUMMYFUNCTION("""COMPUTED_VALUE"""),"Completed")</f>
        <v>Completed</v>
      </c>
    </row>
    <row r="3323">
      <c r="A3323" s="9" t="str">
        <f>IFERROR(__xludf.DUMMYFUNCTION("""COMPUTED_VALUE"""),"G-REQ-03322")</f>
        <v>G-REQ-03322</v>
      </c>
      <c r="B3323" s="11">
        <f>IFERROR(__xludf.DUMMYFUNCTION("""COMPUTED_VALUE"""),45997.75707829013)</f>
        <v>45997.75708</v>
      </c>
      <c r="C3323" s="9">
        <f>IFERROR(__xludf.DUMMYFUNCTION("""COMPUTED_VALUE"""),12945.0)</f>
        <v>12945</v>
      </c>
      <c r="D3323" s="9" t="str">
        <f>IFERROR(__xludf.DUMMYFUNCTION("""COMPUTED_VALUE"""),"Completed")</f>
        <v>Completed</v>
      </c>
    </row>
    <row r="3324">
      <c r="A3324" s="9" t="str">
        <f>IFERROR(__xludf.DUMMYFUNCTION("""COMPUTED_VALUE"""),"G-REQ-03323")</f>
        <v>G-REQ-03323</v>
      </c>
      <c r="B3324" s="11">
        <f>IFERROR(__xludf.DUMMYFUNCTION("""COMPUTED_VALUE"""),45997.82825313555)</f>
        <v>45997.82825</v>
      </c>
      <c r="C3324" s="9">
        <f>IFERROR(__xludf.DUMMYFUNCTION("""COMPUTED_VALUE"""),12949.0)</f>
        <v>12949</v>
      </c>
      <c r="D3324" s="9" t="str">
        <f>IFERROR(__xludf.DUMMYFUNCTION("""COMPUTED_VALUE"""),"Completed")</f>
        <v>Completed</v>
      </c>
    </row>
    <row r="3325">
      <c r="A3325" s="9" t="str">
        <f>IFERROR(__xludf.DUMMYFUNCTION("""COMPUTED_VALUE"""),"G-REQ-03324")</f>
        <v>G-REQ-03324</v>
      </c>
      <c r="B3325" s="11">
        <f>IFERROR(__xludf.DUMMYFUNCTION("""COMPUTED_VALUE"""),45997.89942798096)</f>
        <v>45997.89943</v>
      </c>
      <c r="C3325" s="9">
        <f>IFERROR(__xludf.DUMMYFUNCTION("""COMPUTED_VALUE"""),12953.0)</f>
        <v>12953</v>
      </c>
      <c r="D3325" s="9" t="str">
        <f>IFERROR(__xludf.DUMMYFUNCTION("""COMPUTED_VALUE"""),"Completed")</f>
        <v>Completed</v>
      </c>
    </row>
    <row r="3326">
      <c r="A3326" s="9" t="str">
        <f>IFERROR(__xludf.DUMMYFUNCTION("""COMPUTED_VALUE"""),"G-REQ-03325")</f>
        <v>G-REQ-03325</v>
      </c>
      <c r="B3326" s="11">
        <f>IFERROR(__xludf.DUMMYFUNCTION("""COMPUTED_VALUE"""),45997.970602826375)</f>
        <v>45997.9706</v>
      </c>
      <c r="C3326" s="9">
        <f>IFERROR(__xludf.DUMMYFUNCTION("""COMPUTED_VALUE"""),12957.0)</f>
        <v>12957</v>
      </c>
      <c r="D3326" s="9" t="str">
        <f>IFERROR(__xludf.DUMMYFUNCTION("""COMPUTED_VALUE"""),"Completed")</f>
        <v>Completed</v>
      </c>
    </row>
    <row r="3327">
      <c r="A3327" s="9" t="str">
        <f>IFERROR(__xludf.DUMMYFUNCTION("""COMPUTED_VALUE"""),"G-REQ-03326")</f>
        <v>G-REQ-03326</v>
      </c>
      <c r="B3327" s="11">
        <f>IFERROR(__xludf.DUMMYFUNCTION("""COMPUTED_VALUE"""),45998.041777671795)</f>
        <v>45998.04178</v>
      </c>
      <c r="C3327" s="9">
        <f>IFERROR(__xludf.DUMMYFUNCTION("""COMPUTED_VALUE"""),12961.0)</f>
        <v>12961</v>
      </c>
      <c r="D3327" s="9" t="str">
        <f>IFERROR(__xludf.DUMMYFUNCTION("""COMPUTED_VALUE"""),"Completed")</f>
        <v>Completed</v>
      </c>
    </row>
    <row r="3328">
      <c r="A3328" s="9" t="str">
        <f>IFERROR(__xludf.DUMMYFUNCTION("""COMPUTED_VALUE"""),"G-REQ-03327")</f>
        <v>G-REQ-03327</v>
      </c>
      <c r="B3328" s="11">
        <f>IFERROR(__xludf.DUMMYFUNCTION("""COMPUTED_VALUE"""),45998.10600807276)</f>
        <v>45998.10601</v>
      </c>
      <c r="C3328" s="9">
        <f>IFERROR(__xludf.DUMMYFUNCTION("""COMPUTED_VALUE"""),12963.0)</f>
        <v>12963</v>
      </c>
      <c r="D3328" s="9" t="str">
        <f>IFERROR(__xludf.DUMMYFUNCTION("""COMPUTED_VALUE"""),"Rejected")</f>
        <v>Rejected</v>
      </c>
    </row>
    <row r="3329">
      <c r="A3329" s="9" t="str">
        <f>IFERROR(__xludf.DUMMYFUNCTION("""COMPUTED_VALUE"""),"G-REQ-03328")</f>
        <v>G-REQ-03328</v>
      </c>
      <c r="B3329" s="11">
        <f>IFERROR(__xludf.DUMMYFUNCTION("""COMPUTED_VALUE"""),45998.18412736262)</f>
        <v>45998.18413</v>
      </c>
      <c r="C3329" s="9">
        <f>IFERROR(__xludf.DUMMYFUNCTION("""COMPUTED_VALUE"""),12967.0)</f>
        <v>12967</v>
      </c>
      <c r="D3329" s="9" t="str">
        <f>IFERROR(__xludf.DUMMYFUNCTION("""COMPUTED_VALUE"""),"Completed")</f>
        <v>Completed</v>
      </c>
    </row>
    <row r="3330">
      <c r="A3330" s="9" t="str">
        <f>IFERROR(__xludf.DUMMYFUNCTION("""COMPUTED_VALUE"""),"G-REQ-03329")</f>
        <v>G-REQ-03329</v>
      </c>
      <c r="B3330" s="11">
        <f>IFERROR(__xludf.DUMMYFUNCTION("""COMPUTED_VALUE"""),45998.25530220804)</f>
        <v>45998.2553</v>
      </c>
      <c r="C3330" s="9">
        <f>IFERROR(__xludf.DUMMYFUNCTION("""COMPUTED_VALUE"""),12971.0)</f>
        <v>12971</v>
      </c>
      <c r="D3330" s="9" t="str">
        <f>IFERROR(__xludf.DUMMYFUNCTION("""COMPUTED_VALUE"""),"Completed")</f>
        <v>Completed</v>
      </c>
    </row>
    <row r="3331">
      <c r="A3331" s="9" t="str">
        <f>IFERROR(__xludf.DUMMYFUNCTION("""COMPUTED_VALUE"""),"G-REQ-03330")</f>
        <v>G-REQ-03330</v>
      </c>
      <c r="B3331" s="11">
        <f>IFERROR(__xludf.DUMMYFUNCTION("""COMPUTED_VALUE"""),45998.32647705345)</f>
        <v>45998.32648</v>
      </c>
      <c r="C3331" s="9">
        <f>IFERROR(__xludf.DUMMYFUNCTION("""COMPUTED_VALUE"""),12975.0)</f>
        <v>12975</v>
      </c>
      <c r="D3331" s="9" t="str">
        <f>IFERROR(__xludf.DUMMYFUNCTION("""COMPUTED_VALUE"""),"Completed")</f>
        <v>Completed</v>
      </c>
    </row>
    <row r="3332">
      <c r="A3332" s="9" t="str">
        <f>IFERROR(__xludf.DUMMYFUNCTION("""COMPUTED_VALUE"""),"G-REQ-03331")</f>
        <v>G-REQ-03331</v>
      </c>
      <c r="B3332" s="11">
        <f>IFERROR(__xludf.DUMMYFUNCTION("""COMPUTED_VALUE"""),45998.397651898864)</f>
        <v>45998.39765</v>
      </c>
      <c r="C3332" s="9">
        <f>IFERROR(__xludf.DUMMYFUNCTION("""COMPUTED_VALUE"""),12979.0)</f>
        <v>12979</v>
      </c>
      <c r="D3332" s="9" t="str">
        <f>IFERROR(__xludf.DUMMYFUNCTION("""COMPUTED_VALUE"""),"Completed")</f>
        <v>Completed</v>
      </c>
    </row>
    <row r="3333">
      <c r="A3333" s="9" t="str">
        <f>IFERROR(__xludf.DUMMYFUNCTION("""COMPUTED_VALUE"""),"G-REQ-03332")</f>
        <v>G-REQ-03332</v>
      </c>
      <c r="B3333" s="11">
        <f>IFERROR(__xludf.DUMMYFUNCTION("""COMPUTED_VALUE"""),45998.46882674428)</f>
        <v>45998.46883</v>
      </c>
      <c r="C3333" s="9">
        <f>IFERROR(__xludf.DUMMYFUNCTION("""COMPUTED_VALUE"""),12983.0)</f>
        <v>12983</v>
      </c>
      <c r="D3333" s="9" t="str">
        <f>IFERROR(__xludf.DUMMYFUNCTION("""COMPUTED_VALUE"""),"Completed")</f>
        <v>Completed</v>
      </c>
    </row>
    <row r="3334">
      <c r="A3334" s="9" t="str">
        <f>IFERROR(__xludf.DUMMYFUNCTION("""COMPUTED_VALUE"""),"G-REQ-03333")</f>
        <v>G-REQ-03333</v>
      </c>
      <c r="B3334" s="11">
        <f>IFERROR(__xludf.DUMMYFUNCTION("""COMPUTED_VALUE"""),45998.5400015897)</f>
        <v>45998.54</v>
      </c>
      <c r="C3334" s="9">
        <f>IFERROR(__xludf.DUMMYFUNCTION("""COMPUTED_VALUE"""),12987.0)</f>
        <v>12987</v>
      </c>
      <c r="D3334" s="9" t="str">
        <f>IFERROR(__xludf.DUMMYFUNCTION("""COMPUTED_VALUE"""),"Completed")</f>
        <v>Completed</v>
      </c>
    </row>
    <row r="3335">
      <c r="A3335" s="9" t="str">
        <f>IFERROR(__xludf.DUMMYFUNCTION("""COMPUTED_VALUE"""),"G-REQ-03334")</f>
        <v>G-REQ-03334</v>
      </c>
      <c r="B3335" s="11">
        <f>IFERROR(__xludf.DUMMYFUNCTION("""COMPUTED_VALUE"""),45998.61117643511)</f>
        <v>45998.61118</v>
      </c>
      <c r="C3335" s="9">
        <f>IFERROR(__xludf.DUMMYFUNCTION("""COMPUTED_VALUE"""),12991.0)</f>
        <v>12991</v>
      </c>
      <c r="D3335" s="9" t="str">
        <f>IFERROR(__xludf.DUMMYFUNCTION("""COMPUTED_VALUE"""),"Completed")</f>
        <v>Completed</v>
      </c>
    </row>
    <row r="3336">
      <c r="A3336" s="9" t="str">
        <f>IFERROR(__xludf.DUMMYFUNCTION("""COMPUTED_VALUE"""),"G-REQ-03335")</f>
        <v>G-REQ-03335</v>
      </c>
      <c r="B3336" s="11">
        <f>IFERROR(__xludf.DUMMYFUNCTION("""COMPUTED_VALUE"""),45998.68235128053)</f>
        <v>45998.68235</v>
      </c>
      <c r="C3336" s="9">
        <f>IFERROR(__xludf.DUMMYFUNCTION("""COMPUTED_VALUE"""),12995.0)</f>
        <v>12995</v>
      </c>
      <c r="D3336" s="9" t="str">
        <f>IFERROR(__xludf.DUMMYFUNCTION("""COMPUTED_VALUE"""),"Completed")</f>
        <v>Completed</v>
      </c>
    </row>
    <row r="3337">
      <c r="A3337" s="9" t="str">
        <f>IFERROR(__xludf.DUMMYFUNCTION("""COMPUTED_VALUE"""),"G-REQ-03336")</f>
        <v>G-REQ-03336</v>
      </c>
      <c r="B3337" s="11">
        <f>IFERROR(__xludf.DUMMYFUNCTION("""COMPUTED_VALUE"""),45998.75352612595)</f>
        <v>45998.75353</v>
      </c>
      <c r="C3337" s="9">
        <f>IFERROR(__xludf.DUMMYFUNCTION("""COMPUTED_VALUE"""),12999.0)</f>
        <v>12999</v>
      </c>
      <c r="D3337" s="9" t="str">
        <f>IFERROR(__xludf.DUMMYFUNCTION("""COMPUTED_VALUE"""),"Completed")</f>
        <v>Completed</v>
      </c>
    </row>
    <row r="3338">
      <c r="A3338" s="9" t="str">
        <f>IFERROR(__xludf.DUMMYFUNCTION("""COMPUTED_VALUE"""),"G-REQ-03337")</f>
        <v>G-REQ-03337</v>
      </c>
      <c r="B3338" s="11">
        <f>IFERROR(__xludf.DUMMYFUNCTION("""COMPUTED_VALUE"""),45998.82470097136)</f>
        <v>45998.8247</v>
      </c>
      <c r="C3338" s="9">
        <f>IFERROR(__xludf.DUMMYFUNCTION("""COMPUTED_VALUE"""),13003.0)</f>
        <v>13003</v>
      </c>
      <c r="D3338" s="9" t="str">
        <f>IFERROR(__xludf.DUMMYFUNCTION("""COMPUTED_VALUE"""),"Completed")</f>
        <v>Completed</v>
      </c>
    </row>
    <row r="3339">
      <c r="A3339" s="9" t="str">
        <f>IFERROR(__xludf.DUMMYFUNCTION("""COMPUTED_VALUE"""),"G-REQ-03338")</f>
        <v>G-REQ-03338</v>
      </c>
      <c r="B3339" s="11">
        <f>IFERROR(__xludf.DUMMYFUNCTION("""COMPUTED_VALUE"""),45998.89587581677)</f>
        <v>45998.89588</v>
      </c>
      <c r="C3339" s="9">
        <f>IFERROR(__xludf.DUMMYFUNCTION("""COMPUTED_VALUE"""),13007.0)</f>
        <v>13007</v>
      </c>
      <c r="D3339" s="9" t="str">
        <f>IFERROR(__xludf.DUMMYFUNCTION("""COMPUTED_VALUE"""),"Completed")</f>
        <v>Completed</v>
      </c>
    </row>
    <row r="3340">
      <c r="A3340" s="9" t="str">
        <f>IFERROR(__xludf.DUMMYFUNCTION("""COMPUTED_VALUE"""),"G-REQ-03339")</f>
        <v>G-REQ-03339</v>
      </c>
      <c r="B3340" s="11">
        <f>IFERROR(__xludf.DUMMYFUNCTION("""COMPUTED_VALUE"""),45998.96705066219)</f>
        <v>45998.96705</v>
      </c>
      <c r="C3340" s="9">
        <f>IFERROR(__xludf.DUMMYFUNCTION("""COMPUTED_VALUE"""),13011.0)</f>
        <v>13011</v>
      </c>
      <c r="D3340" s="9" t="str">
        <f>IFERROR(__xludf.DUMMYFUNCTION("""COMPUTED_VALUE"""),"Completed")</f>
        <v>Completed</v>
      </c>
    </row>
    <row r="3341">
      <c r="A3341" s="9" t="str">
        <f>IFERROR(__xludf.DUMMYFUNCTION("""COMPUTED_VALUE"""),"G-REQ-03340")</f>
        <v>G-REQ-03340</v>
      </c>
      <c r="B3341" s="11">
        <f>IFERROR(__xludf.DUMMYFUNCTION("""COMPUTED_VALUE"""),45999.03128106316)</f>
        <v>45999.03128</v>
      </c>
      <c r="C3341" s="9">
        <f>IFERROR(__xludf.DUMMYFUNCTION("""COMPUTED_VALUE"""),13013.0)</f>
        <v>13013</v>
      </c>
      <c r="D3341" s="9" t="str">
        <f>IFERROR(__xludf.DUMMYFUNCTION("""COMPUTED_VALUE"""),"Cancelled")</f>
        <v>Cancelled</v>
      </c>
    </row>
    <row r="3342">
      <c r="A3342" s="9" t="str">
        <f>IFERROR(__xludf.DUMMYFUNCTION("""COMPUTED_VALUE"""),"G-REQ-03341")</f>
        <v>G-REQ-03341</v>
      </c>
      <c r="B3342" s="11">
        <f>IFERROR(__xludf.DUMMYFUNCTION("""COMPUTED_VALUE"""),45999.109400353016)</f>
        <v>45999.1094</v>
      </c>
      <c r="C3342" s="9">
        <f>IFERROR(__xludf.DUMMYFUNCTION("""COMPUTED_VALUE"""),13017.0)</f>
        <v>13017</v>
      </c>
      <c r="D3342" s="9" t="str">
        <f>IFERROR(__xludf.DUMMYFUNCTION("""COMPUTED_VALUE"""),"Completed")</f>
        <v>Completed</v>
      </c>
    </row>
    <row r="3343">
      <c r="A3343" s="9" t="str">
        <f>IFERROR(__xludf.DUMMYFUNCTION("""COMPUTED_VALUE"""),"G-REQ-03342")</f>
        <v>G-REQ-03342</v>
      </c>
      <c r="B3343" s="11">
        <f>IFERROR(__xludf.DUMMYFUNCTION("""COMPUTED_VALUE"""),45999.180575198436)</f>
        <v>45999.18058</v>
      </c>
      <c r="C3343" s="9">
        <f>IFERROR(__xludf.DUMMYFUNCTION("""COMPUTED_VALUE"""),13021.0)</f>
        <v>13021</v>
      </c>
      <c r="D3343" s="9" t="str">
        <f>IFERROR(__xludf.DUMMYFUNCTION("""COMPUTED_VALUE"""),"Completed")</f>
        <v>Completed</v>
      </c>
    </row>
    <row r="3344">
      <c r="A3344" s="9" t="str">
        <f>IFERROR(__xludf.DUMMYFUNCTION("""COMPUTED_VALUE"""),"G-REQ-03343")</f>
        <v>G-REQ-03343</v>
      </c>
      <c r="B3344" s="11">
        <f>IFERROR(__xludf.DUMMYFUNCTION("""COMPUTED_VALUE"""),45999.251750043855)</f>
        <v>45999.25175</v>
      </c>
      <c r="C3344" s="9">
        <f>IFERROR(__xludf.DUMMYFUNCTION("""COMPUTED_VALUE"""),13025.0)</f>
        <v>13025</v>
      </c>
      <c r="D3344" s="9" t="str">
        <f>IFERROR(__xludf.DUMMYFUNCTION("""COMPUTED_VALUE"""),"Completed")</f>
        <v>Completed</v>
      </c>
    </row>
    <row r="3345">
      <c r="A3345" s="9" t="str">
        <f>IFERROR(__xludf.DUMMYFUNCTION("""COMPUTED_VALUE"""),"G-REQ-03344")</f>
        <v>G-REQ-03344</v>
      </c>
      <c r="B3345" s="11">
        <f>IFERROR(__xludf.DUMMYFUNCTION("""COMPUTED_VALUE"""),45999.32292488926)</f>
        <v>45999.32292</v>
      </c>
      <c r="C3345" s="9">
        <f>IFERROR(__xludf.DUMMYFUNCTION("""COMPUTED_VALUE"""),13029.0)</f>
        <v>13029</v>
      </c>
      <c r="D3345" s="9" t="str">
        <f>IFERROR(__xludf.DUMMYFUNCTION("""COMPUTED_VALUE"""),"Completed")</f>
        <v>Completed</v>
      </c>
    </row>
    <row r="3346">
      <c r="A3346" s="9" t="str">
        <f>IFERROR(__xludf.DUMMYFUNCTION("""COMPUTED_VALUE"""),"G-REQ-03345")</f>
        <v>G-REQ-03345</v>
      </c>
      <c r="B3346" s="11">
        <f>IFERROR(__xludf.DUMMYFUNCTION("""COMPUTED_VALUE"""),45999.39409973468)</f>
        <v>45999.3941</v>
      </c>
      <c r="C3346" s="9">
        <f>IFERROR(__xludf.DUMMYFUNCTION("""COMPUTED_VALUE"""),13033.0)</f>
        <v>13033</v>
      </c>
      <c r="D3346" s="9" t="str">
        <f>IFERROR(__xludf.DUMMYFUNCTION("""COMPUTED_VALUE"""),"Completed")</f>
        <v>Completed</v>
      </c>
    </row>
    <row r="3347">
      <c r="A3347" s="9" t="str">
        <f>IFERROR(__xludf.DUMMYFUNCTION("""COMPUTED_VALUE"""),"G-REQ-03346")</f>
        <v>G-REQ-03346</v>
      </c>
      <c r="B3347" s="11">
        <f>IFERROR(__xludf.DUMMYFUNCTION("""COMPUTED_VALUE"""),45999.46527458009)</f>
        <v>45999.46527</v>
      </c>
      <c r="C3347" s="9">
        <f>IFERROR(__xludf.DUMMYFUNCTION("""COMPUTED_VALUE"""),13037.0)</f>
        <v>13037</v>
      </c>
      <c r="D3347" s="9" t="str">
        <f>IFERROR(__xludf.DUMMYFUNCTION("""COMPUTED_VALUE"""),"Completed")</f>
        <v>Completed</v>
      </c>
    </row>
    <row r="3348">
      <c r="A3348" s="9" t="str">
        <f>IFERROR(__xludf.DUMMYFUNCTION("""COMPUTED_VALUE"""),"G-REQ-03347")</f>
        <v>G-REQ-03347</v>
      </c>
      <c r="B3348" s="11">
        <f>IFERROR(__xludf.DUMMYFUNCTION("""COMPUTED_VALUE"""),45999.53644942551)</f>
        <v>45999.53645</v>
      </c>
      <c r="C3348" s="9">
        <f>IFERROR(__xludf.DUMMYFUNCTION("""COMPUTED_VALUE"""),13041.0)</f>
        <v>13041</v>
      </c>
      <c r="D3348" s="9" t="str">
        <f>IFERROR(__xludf.DUMMYFUNCTION("""COMPUTED_VALUE"""),"Completed")</f>
        <v>Completed</v>
      </c>
    </row>
    <row r="3349">
      <c r="A3349" s="9" t="str">
        <f>IFERROR(__xludf.DUMMYFUNCTION("""COMPUTED_VALUE"""),"G-REQ-03348")</f>
        <v>G-REQ-03348</v>
      </c>
      <c r="B3349" s="11">
        <f>IFERROR(__xludf.DUMMYFUNCTION("""COMPUTED_VALUE"""),45999.607624270924)</f>
        <v>45999.60762</v>
      </c>
      <c r="C3349" s="9">
        <f>IFERROR(__xludf.DUMMYFUNCTION("""COMPUTED_VALUE"""),13045.0)</f>
        <v>13045</v>
      </c>
      <c r="D3349" s="9" t="str">
        <f>IFERROR(__xludf.DUMMYFUNCTION("""COMPUTED_VALUE"""),"Completed")</f>
        <v>Completed</v>
      </c>
    </row>
    <row r="3350">
      <c r="A3350" s="9" t="str">
        <f>IFERROR(__xludf.DUMMYFUNCTION("""COMPUTED_VALUE"""),"G-REQ-03349")</f>
        <v>G-REQ-03349</v>
      </c>
      <c r="B3350" s="11">
        <f>IFERROR(__xludf.DUMMYFUNCTION("""COMPUTED_VALUE"""),45999.678799116344)</f>
        <v>45999.6788</v>
      </c>
      <c r="C3350" s="9">
        <f>IFERROR(__xludf.DUMMYFUNCTION("""COMPUTED_VALUE"""),13049.0)</f>
        <v>13049</v>
      </c>
      <c r="D3350" s="9" t="str">
        <f>IFERROR(__xludf.DUMMYFUNCTION("""COMPUTED_VALUE"""),"Completed")</f>
        <v>Completed</v>
      </c>
    </row>
    <row r="3351">
      <c r="A3351" s="9" t="str">
        <f>IFERROR(__xludf.DUMMYFUNCTION("""COMPUTED_VALUE"""),"G-REQ-03350")</f>
        <v>G-REQ-03350</v>
      </c>
      <c r="B3351" s="11">
        <f>IFERROR(__xludf.DUMMYFUNCTION("""COMPUTED_VALUE"""),45999.74997396175)</f>
        <v>45999.74997</v>
      </c>
      <c r="C3351" s="9">
        <f>IFERROR(__xludf.DUMMYFUNCTION("""COMPUTED_VALUE"""),13053.0)</f>
        <v>13053</v>
      </c>
      <c r="D3351" s="9" t="str">
        <f>IFERROR(__xludf.DUMMYFUNCTION("""COMPUTED_VALUE"""),"Completed")</f>
        <v>Completed</v>
      </c>
    </row>
    <row r="3352">
      <c r="A3352" s="9" t="str">
        <f>IFERROR(__xludf.DUMMYFUNCTION("""COMPUTED_VALUE"""),"G-REQ-03351")</f>
        <v>G-REQ-03351</v>
      </c>
      <c r="B3352" s="11">
        <f>IFERROR(__xludf.DUMMYFUNCTION("""COMPUTED_VALUE"""),45999.82114880717)</f>
        <v>45999.82115</v>
      </c>
      <c r="C3352" s="9">
        <f>IFERROR(__xludf.DUMMYFUNCTION("""COMPUTED_VALUE"""),13057.0)</f>
        <v>13057</v>
      </c>
      <c r="D3352" s="9" t="str">
        <f>IFERROR(__xludf.DUMMYFUNCTION("""COMPUTED_VALUE"""),"Completed")</f>
        <v>Completed</v>
      </c>
    </row>
    <row r="3353">
      <c r="A3353" s="9" t="str">
        <f>IFERROR(__xludf.DUMMYFUNCTION("""COMPUTED_VALUE"""),"G-REQ-03352")</f>
        <v>G-REQ-03352</v>
      </c>
      <c r="B3353" s="11">
        <f>IFERROR(__xludf.DUMMYFUNCTION("""COMPUTED_VALUE"""),45999.89232365259)</f>
        <v>45999.89232</v>
      </c>
      <c r="C3353" s="9">
        <f>IFERROR(__xludf.DUMMYFUNCTION("""COMPUTED_VALUE"""),13061.0)</f>
        <v>13061</v>
      </c>
      <c r="D3353" s="9" t="str">
        <f>IFERROR(__xludf.DUMMYFUNCTION("""COMPUTED_VALUE"""),"Completed")</f>
        <v>Completed</v>
      </c>
    </row>
    <row r="3354">
      <c r="A3354" s="9" t="str">
        <f>IFERROR(__xludf.DUMMYFUNCTION("""COMPUTED_VALUE"""),"G-REQ-03353")</f>
        <v>G-REQ-03353</v>
      </c>
      <c r="B3354" s="11">
        <f>IFERROR(__xludf.DUMMYFUNCTION("""COMPUTED_VALUE"""),45999.963498498)</f>
        <v>45999.9635</v>
      </c>
      <c r="C3354" s="9">
        <f>IFERROR(__xludf.DUMMYFUNCTION("""COMPUTED_VALUE"""),13065.0)</f>
        <v>13065</v>
      </c>
      <c r="D3354" s="9" t="str">
        <f>IFERROR(__xludf.DUMMYFUNCTION("""COMPUTED_VALUE"""),"Completed")</f>
        <v>Completed</v>
      </c>
    </row>
    <row r="3355">
      <c r="A3355" s="9" t="str">
        <f>IFERROR(__xludf.DUMMYFUNCTION("""COMPUTED_VALUE"""),"G-REQ-03354")</f>
        <v>G-REQ-03354</v>
      </c>
      <c r="B3355" s="11">
        <f>IFERROR(__xludf.DUMMYFUNCTION("""COMPUTED_VALUE"""),46000.03467334341)</f>
        <v>46000.03467</v>
      </c>
      <c r="C3355" s="9">
        <f>IFERROR(__xludf.DUMMYFUNCTION("""COMPUTED_VALUE"""),13069.0)</f>
        <v>13069</v>
      </c>
      <c r="D3355" s="9" t="str">
        <f>IFERROR(__xludf.DUMMYFUNCTION("""COMPUTED_VALUE"""),"Completed")</f>
        <v>Completed</v>
      </c>
    </row>
    <row r="3356">
      <c r="A3356" s="9" t="str">
        <f>IFERROR(__xludf.DUMMYFUNCTION("""COMPUTED_VALUE"""),"G-REQ-03355")</f>
        <v>G-REQ-03355</v>
      </c>
      <c r="B3356" s="11">
        <f>IFERROR(__xludf.DUMMYFUNCTION("""COMPUTED_VALUE"""),46000.10584818883)</f>
        <v>46000.10585</v>
      </c>
      <c r="C3356" s="9">
        <f>IFERROR(__xludf.DUMMYFUNCTION("""COMPUTED_VALUE"""),13073.0)</f>
        <v>13073</v>
      </c>
      <c r="D3356" s="9" t="str">
        <f>IFERROR(__xludf.DUMMYFUNCTION("""COMPUTED_VALUE"""),"Completed")</f>
        <v>Completed</v>
      </c>
    </row>
    <row r="3357">
      <c r="A3357" s="9" t="str">
        <f>IFERROR(__xludf.DUMMYFUNCTION("""COMPUTED_VALUE"""),"G-REQ-03356")</f>
        <v>G-REQ-03356</v>
      </c>
      <c r="B3357" s="11">
        <f>IFERROR(__xludf.DUMMYFUNCTION("""COMPUTED_VALUE"""),46000.177023034244)</f>
        <v>46000.17702</v>
      </c>
      <c r="C3357" s="9">
        <f>IFERROR(__xludf.DUMMYFUNCTION("""COMPUTED_VALUE"""),13077.0)</f>
        <v>13077</v>
      </c>
      <c r="D3357" s="9" t="str">
        <f>IFERROR(__xludf.DUMMYFUNCTION("""COMPUTED_VALUE"""),"Completed")</f>
        <v>Completed</v>
      </c>
    </row>
    <row r="3358">
      <c r="A3358" s="9" t="str">
        <f>IFERROR(__xludf.DUMMYFUNCTION("""COMPUTED_VALUE"""),"G-REQ-03357")</f>
        <v>G-REQ-03357</v>
      </c>
      <c r="B3358" s="11">
        <f>IFERROR(__xludf.DUMMYFUNCTION("""COMPUTED_VALUE"""),46000.24819787966)</f>
        <v>46000.2482</v>
      </c>
      <c r="C3358" s="9">
        <f>IFERROR(__xludf.DUMMYFUNCTION("""COMPUTED_VALUE"""),13081.0)</f>
        <v>13081</v>
      </c>
      <c r="D3358" s="9" t="str">
        <f>IFERROR(__xludf.DUMMYFUNCTION("""COMPUTED_VALUE"""),"Completed")</f>
        <v>Completed</v>
      </c>
    </row>
    <row r="3359">
      <c r="A3359" s="9" t="str">
        <f>IFERROR(__xludf.DUMMYFUNCTION("""COMPUTED_VALUE"""),"G-REQ-03358")</f>
        <v>G-REQ-03358</v>
      </c>
      <c r="B3359" s="11">
        <f>IFERROR(__xludf.DUMMYFUNCTION("""COMPUTED_VALUE"""),46000.31937272508)</f>
        <v>46000.31937</v>
      </c>
      <c r="C3359" s="9">
        <f>IFERROR(__xludf.DUMMYFUNCTION("""COMPUTED_VALUE"""),13085.0)</f>
        <v>13085</v>
      </c>
      <c r="D3359" s="9" t="str">
        <f>IFERROR(__xludf.DUMMYFUNCTION("""COMPUTED_VALUE"""),"Completed")</f>
        <v>Completed</v>
      </c>
    </row>
    <row r="3360">
      <c r="A3360" s="9" t="str">
        <f>IFERROR(__xludf.DUMMYFUNCTION("""COMPUTED_VALUE"""),"G-REQ-03359")</f>
        <v>G-REQ-03359</v>
      </c>
      <c r="B3360" s="11">
        <f>IFERROR(__xludf.DUMMYFUNCTION("""COMPUTED_VALUE"""),46000.390547570496)</f>
        <v>46000.39055</v>
      </c>
      <c r="C3360" s="9">
        <f>IFERROR(__xludf.DUMMYFUNCTION("""COMPUTED_VALUE"""),13089.0)</f>
        <v>13089</v>
      </c>
      <c r="D3360" s="9" t="str">
        <f>IFERROR(__xludf.DUMMYFUNCTION("""COMPUTED_VALUE"""),"Completed")</f>
        <v>Completed</v>
      </c>
    </row>
    <row r="3361">
      <c r="A3361" s="9" t="str">
        <f>IFERROR(__xludf.DUMMYFUNCTION("""COMPUTED_VALUE"""),"G-REQ-03360")</f>
        <v>G-REQ-03360</v>
      </c>
      <c r="B3361" s="11">
        <f>IFERROR(__xludf.DUMMYFUNCTION("""COMPUTED_VALUE"""),46000.4617224159)</f>
        <v>46000.46172</v>
      </c>
      <c r="C3361" s="9">
        <f>IFERROR(__xludf.DUMMYFUNCTION("""COMPUTED_VALUE"""),13093.0)</f>
        <v>13093</v>
      </c>
      <c r="D3361" s="9" t="str">
        <f>IFERROR(__xludf.DUMMYFUNCTION("""COMPUTED_VALUE"""),"Completed")</f>
        <v>Completed</v>
      </c>
    </row>
    <row r="3362">
      <c r="A3362" s="9" t="str">
        <f>IFERROR(__xludf.DUMMYFUNCTION("""COMPUTED_VALUE"""),"G-REQ-03361")</f>
        <v>G-REQ-03361</v>
      </c>
      <c r="B3362" s="11">
        <f>IFERROR(__xludf.DUMMYFUNCTION("""COMPUTED_VALUE"""),46000.53289726132)</f>
        <v>46000.5329</v>
      </c>
      <c r="C3362" s="9">
        <f>IFERROR(__xludf.DUMMYFUNCTION("""COMPUTED_VALUE"""),13097.0)</f>
        <v>13097</v>
      </c>
      <c r="D3362" s="9" t="str">
        <f>IFERROR(__xludf.DUMMYFUNCTION("""COMPUTED_VALUE"""),"Completed")</f>
        <v>Completed</v>
      </c>
    </row>
    <row r="3363">
      <c r="A3363" s="9" t="str">
        <f>IFERROR(__xludf.DUMMYFUNCTION("""COMPUTED_VALUE"""),"G-REQ-03362")</f>
        <v>G-REQ-03362</v>
      </c>
      <c r="B3363" s="11">
        <f>IFERROR(__xludf.DUMMYFUNCTION("""COMPUTED_VALUE"""),46000.60407210674)</f>
        <v>46000.60407</v>
      </c>
      <c r="C3363" s="9">
        <f>IFERROR(__xludf.DUMMYFUNCTION("""COMPUTED_VALUE"""),13101.0)</f>
        <v>13101</v>
      </c>
      <c r="D3363" s="9" t="str">
        <f>IFERROR(__xludf.DUMMYFUNCTION("""COMPUTED_VALUE"""),"Completed")</f>
        <v>Completed</v>
      </c>
    </row>
    <row r="3364">
      <c r="A3364" s="9" t="str">
        <f>IFERROR(__xludf.DUMMYFUNCTION("""COMPUTED_VALUE"""),"G-REQ-03363")</f>
        <v>G-REQ-03363</v>
      </c>
      <c r="B3364" s="11">
        <f>IFERROR(__xludf.DUMMYFUNCTION("""COMPUTED_VALUE"""),46000.67524695215)</f>
        <v>46000.67525</v>
      </c>
      <c r="C3364" s="9">
        <f>IFERROR(__xludf.DUMMYFUNCTION("""COMPUTED_VALUE"""),13105.0)</f>
        <v>13105</v>
      </c>
      <c r="D3364" s="9" t="str">
        <f>IFERROR(__xludf.DUMMYFUNCTION("""COMPUTED_VALUE"""),"Completed")</f>
        <v>Completed</v>
      </c>
    </row>
    <row r="3365">
      <c r="A3365" s="9" t="str">
        <f>IFERROR(__xludf.DUMMYFUNCTION("""COMPUTED_VALUE"""),"G-REQ-03364")</f>
        <v>G-REQ-03364</v>
      </c>
      <c r="B3365" s="11">
        <f>IFERROR(__xludf.DUMMYFUNCTION("""COMPUTED_VALUE"""),46000.746421797565)</f>
        <v>46000.74642</v>
      </c>
      <c r="C3365" s="9">
        <f>IFERROR(__xludf.DUMMYFUNCTION("""COMPUTED_VALUE"""),13109.0)</f>
        <v>13109</v>
      </c>
      <c r="D3365" s="9" t="str">
        <f>IFERROR(__xludf.DUMMYFUNCTION("""COMPUTED_VALUE"""),"Completed")</f>
        <v>Completed</v>
      </c>
    </row>
    <row r="3366">
      <c r="A3366" s="9" t="str">
        <f>IFERROR(__xludf.DUMMYFUNCTION("""COMPUTED_VALUE"""),"G-REQ-03365")</f>
        <v>G-REQ-03365</v>
      </c>
      <c r="B3366" s="11">
        <f>IFERROR(__xludf.DUMMYFUNCTION("""COMPUTED_VALUE"""),46000.817596642984)</f>
        <v>46000.8176</v>
      </c>
      <c r="C3366" s="9">
        <f>IFERROR(__xludf.DUMMYFUNCTION("""COMPUTED_VALUE"""),13113.0)</f>
        <v>13113</v>
      </c>
      <c r="D3366" s="9" t="str">
        <f>IFERROR(__xludf.DUMMYFUNCTION("""COMPUTED_VALUE"""),"Completed")</f>
        <v>Completed</v>
      </c>
    </row>
    <row r="3367">
      <c r="A3367" s="9" t="str">
        <f>IFERROR(__xludf.DUMMYFUNCTION("""COMPUTED_VALUE"""),"G-REQ-03366")</f>
        <v>G-REQ-03366</v>
      </c>
      <c r="B3367" s="11">
        <f>IFERROR(__xludf.DUMMYFUNCTION("""COMPUTED_VALUE"""),46000.8887714884)</f>
        <v>46000.88877</v>
      </c>
      <c r="C3367" s="9">
        <f>IFERROR(__xludf.DUMMYFUNCTION("""COMPUTED_VALUE"""),13117.0)</f>
        <v>13117</v>
      </c>
      <c r="D3367" s="9" t="str">
        <f>IFERROR(__xludf.DUMMYFUNCTION("""COMPUTED_VALUE"""),"Completed")</f>
        <v>Completed</v>
      </c>
    </row>
    <row r="3368">
      <c r="A3368" s="9" t="str">
        <f>IFERROR(__xludf.DUMMYFUNCTION("""COMPUTED_VALUE"""),"G-REQ-03367")</f>
        <v>G-REQ-03367</v>
      </c>
      <c r="B3368" s="11">
        <f>IFERROR(__xludf.DUMMYFUNCTION("""COMPUTED_VALUE"""),46000.95994633381)</f>
        <v>46000.95995</v>
      </c>
      <c r="C3368" s="9">
        <f>IFERROR(__xludf.DUMMYFUNCTION("""COMPUTED_VALUE"""),13121.0)</f>
        <v>13121</v>
      </c>
      <c r="D3368" s="9" t="str">
        <f>IFERROR(__xludf.DUMMYFUNCTION("""COMPUTED_VALUE"""),"Completed")</f>
        <v>Completed</v>
      </c>
    </row>
    <row r="3369">
      <c r="A3369" s="9" t="str">
        <f>IFERROR(__xludf.DUMMYFUNCTION("""COMPUTED_VALUE"""),"G-REQ-03368")</f>
        <v>G-REQ-03368</v>
      </c>
      <c r="B3369" s="11">
        <f>IFERROR(__xludf.DUMMYFUNCTION("""COMPUTED_VALUE"""),46001.03112117923)</f>
        <v>46001.03112</v>
      </c>
      <c r="C3369" s="9">
        <f>IFERROR(__xludf.DUMMYFUNCTION("""COMPUTED_VALUE"""),13125.0)</f>
        <v>13125</v>
      </c>
      <c r="D3369" s="9" t="str">
        <f>IFERROR(__xludf.DUMMYFUNCTION("""COMPUTED_VALUE"""),"Completed")</f>
        <v>Completed</v>
      </c>
    </row>
    <row r="3370">
      <c r="A3370" s="9" t="str">
        <f>IFERROR(__xludf.DUMMYFUNCTION("""COMPUTED_VALUE"""),"G-REQ-03369")</f>
        <v>G-REQ-03369</v>
      </c>
      <c r="B3370" s="11">
        <f>IFERROR(__xludf.DUMMYFUNCTION("""COMPUTED_VALUE"""),46001.10229602464)</f>
        <v>46001.1023</v>
      </c>
      <c r="C3370" s="9">
        <f>IFERROR(__xludf.DUMMYFUNCTION("""COMPUTED_VALUE"""),13129.0)</f>
        <v>13129</v>
      </c>
      <c r="D3370" s="9" t="str">
        <f>IFERROR(__xludf.DUMMYFUNCTION("""COMPUTED_VALUE"""),"Completed")</f>
        <v>Completed</v>
      </c>
    </row>
    <row r="3371">
      <c r="A3371" s="9" t="str">
        <f>IFERROR(__xludf.DUMMYFUNCTION("""COMPUTED_VALUE"""),"G-REQ-03370")</f>
        <v>G-REQ-03370</v>
      </c>
      <c r="B3371" s="11">
        <f>IFERROR(__xludf.DUMMYFUNCTION("""COMPUTED_VALUE"""),46001.17347087005)</f>
        <v>46001.17347</v>
      </c>
      <c r="C3371" s="9">
        <f>IFERROR(__xludf.DUMMYFUNCTION("""COMPUTED_VALUE"""),13133.0)</f>
        <v>13133</v>
      </c>
      <c r="D3371" s="9" t="str">
        <f>IFERROR(__xludf.DUMMYFUNCTION("""COMPUTED_VALUE"""),"Completed")</f>
        <v>Completed</v>
      </c>
    </row>
    <row r="3372">
      <c r="A3372" s="9" t="str">
        <f>IFERROR(__xludf.DUMMYFUNCTION("""COMPUTED_VALUE"""),"G-REQ-03371")</f>
        <v>G-REQ-03371</v>
      </c>
      <c r="B3372" s="11">
        <f>IFERROR(__xludf.DUMMYFUNCTION("""COMPUTED_VALUE"""),46001.24464571547)</f>
        <v>46001.24465</v>
      </c>
      <c r="C3372" s="9">
        <f>IFERROR(__xludf.DUMMYFUNCTION("""COMPUTED_VALUE"""),13137.0)</f>
        <v>13137</v>
      </c>
      <c r="D3372" s="9" t="str">
        <f>IFERROR(__xludf.DUMMYFUNCTION("""COMPUTED_VALUE"""),"Completed")</f>
        <v>Completed</v>
      </c>
    </row>
    <row r="3373">
      <c r="A3373" s="9" t="str">
        <f>IFERROR(__xludf.DUMMYFUNCTION("""COMPUTED_VALUE"""),"G-REQ-03372")</f>
        <v>G-REQ-03372</v>
      </c>
      <c r="B3373" s="11">
        <f>IFERROR(__xludf.DUMMYFUNCTION("""COMPUTED_VALUE"""),46001.315820560885)</f>
        <v>46001.31582</v>
      </c>
      <c r="C3373" s="9">
        <f>IFERROR(__xludf.DUMMYFUNCTION("""COMPUTED_VALUE"""),13141.0)</f>
        <v>13141</v>
      </c>
      <c r="D3373" s="9" t="str">
        <f>IFERROR(__xludf.DUMMYFUNCTION("""COMPUTED_VALUE"""),"Completed")</f>
        <v>Completed</v>
      </c>
    </row>
    <row r="3374">
      <c r="A3374" s="9" t="str">
        <f>IFERROR(__xludf.DUMMYFUNCTION("""COMPUTED_VALUE"""),"G-REQ-03373")</f>
        <v>G-REQ-03373</v>
      </c>
      <c r="B3374" s="11">
        <f>IFERROR(__xludf.DUMMYFUNCTION("""COMPUTED_VALUE"""),46001.3869954063)</f>
        <v>46001.387</v>
      </c>
      <c r="C3374" s="9">
        <f>IFERROR(__xludf.DUMMYFUNCTION("""COMPUTED_VALUE"""),13145.0)</f>
        <v>13145</v>
      </c>
      <c r="D3374" s="9" t="str">
        <f>IFERROR(__xludf.DUMMYFUNCTION("""COMPUTED_VALUE"""),"Completed")</f>
        <v>Completed</v>
      </c>
    </row>
    <row r="3375">
      <c r="A3375" s="9" t="str">
        <f>IFERROR(__xludf.DUMMYFUNCTION("""COMPUTED_VALUE"""),"G-REQ-03374")</f>
        <v>G-REQ-03374</v>
      </c>
      <c r="B3375" s="11">
        <f>IFERROR(__xludf.DUMMYFUNCTION("""COMPUTED_VALUE"""),46001.45817025172)</f>
        <v>46001.45817</v>
      </c>
      <c r="C3375" s="9">
        <f>IFERROR(__xludf.DUMMYFUNCTION("""COMPUTED_VALUE"""),13149.0)</f>
        <v>13149</v>
      </c>
      <c r="D3375" s="9" t="str">
        <f>IFERROR(__xludf.DUMMYFUNCTION("""COMPUTED_VALUE"""),"Completed")</f>
        <v>Completed</v>
      </c>
    </row>
    <row r="3376">
      <c r="A3376" s="9" t="str">
        <f>IFERROR(__xludf.DUMMYFUNCTION("""COMPUTED_VALUE"""),"G-REQ-03375")</f>
        <v>G-REQ-03375</v>
      </c>
      <c r="B3376" s="11">
        <f>IFERROR(__xludf.DUMMYFUNCTION("""COMPUTED_VALUE"""),46001.52934509714)</f>
        <v>46001.52935</v>
      </c>
      <c r="C3376" s="9">
        <f>IFERROR(__xludf.DUMMYFUNCTION("""COMPUTED_VALUE"""),13153.0)</f>
        <v>13153</v>
      </c>
      <c r="D3376" s="9" t="str">
        <f>IFERROR(__xludf.DUMMYFUNCTION("""COMPUTED_VALUE"""),"Completed")</f>
        <v>Completed</v>
      </c>
    </row>
    <row r="3377">
      <c r="A3377" s="9" t="str">
        <f>IFERROR(__xludf.DUMMYFUNCTION("""COMPUTED_VALUE"""),"G-REQ-03376")</f>
        <v>G-REQ-03376</v>
      </c>
      <c r="B3377" s="11">
        <f>IFERROR(__xludf.DUMMYFUNCTION("""COMPUTED_VALUE"""),46001.60051994254)</f>
        <v>46001.60052</v>
      </c>
      <c r="C3377" s="9">
        <f>IFERROR(__xludf.DUMMYFUNCTION("""COMPUTED_VALUE"""),13157.0)</f>
        <v>13157</v>
      </c>
      <c r="D3377" s="9" t="str">
        <f>IFERROR(__xludf.DUMMYFUNCTION("""COMPUTED_VALUE"""),"Completed")</f>
        <v>Completed</v>
      </c>
    </row>
    <row r="3378">
      <c r="A3378" s="9" t="str">
        <f>IFERROR(__xludf.DUMMYFUNCTION("""COMPUTED_VALUE"""),"G-REQ-03377")</f>
        <v>G-REQ-03377</v>
      </c>
      <c r="B3378" s="11">
        <f>IFERROR(__xludf.DUMMYFUNCTION("""COMPUTED_VALUE"""),46001.67169478796)</f>
        <v>46001.67169</v>
      </c>
      <c r="C3378" s="9">
        <f>IFERROR(__xludf.DUMMYFUNCTION("""COMPUTED_VALUE"""),13161.0)</f>
        <v>13161</v>
      </c>
      <c r="D3378" s="9" t="str">
        <f>IFERROR(__xludf.DUMMYFUNCTION("""COMPUTED_VALUE"""),"Completed")</f>
        <v>Completed</v>
      </c>
    </row>
    <row r="3379">
      <c r="A3379" s="9" t="str">
        <f>IFERROR(__xludf.DUMMYFUNCTION("""COMPUTED_VALUE"""),"G-REQ-03378")</f>
        <v>G-REQ-03378</v>
      </c>
      <c r="B3379" s="11">
        <f>IFERROR(__xludf.DUMMYFUNCTION("""COMPUTED_VALUE"""),46001.74286963338)</f>
        <v>46001.74287</v>
      </c>
      <c r="C3379" s="9">
        <f>IFERROR(__xludf.DUMMYFUNCTION("""COMPUTED_VALUE"""),13165.0)</f>
        <v>13165</v>
      </c>
      <c r="D3379" s="9" t="str">
        <f>IFERROR(__xludf.DUMMYFUNCTION("""COMPUTED_VALUE"""),"Completed")</f>
        <v>Completed</v>
      </c>
    </row>
    <row r="3380">
      <c r="A3380" s="9" t="str">
        <f>IFERROR(__xludf.DUMMYFUNCTION("""COMPUTED_VALUE"""),"G-REQ-03379")</f>
        <v>G-REQ-03379</v>
      </c>
      <c r="B3380" s="11">
        <f>IFERROR(__xludf.DUMMYFUNCTION("""COMPUTED_VALUE"""),46001.81404447879)</f>
        <v>46001.81404</v>
      </c>
      <c r="C3380" s="9">
        <f>IFERROR(__xludf.DUMMYFUNCTION("""COMPUTED_VALUE"""),13169.0)</f>
        <v>13169</v>
      </c>
      <c r="D3380" s="9" t="str">
        <f>IFERROR(__xludf.DUMMYFUNCTION("""COMPUTED_VALUE"""),"Completed")</f>
        <v>Completed</v>
      </c>
    </row>
    <row r="3381">
      <c r="A3381" s="9" t="str">
        <f>IFERROR(__xludf.DUMMYFUNCTION("""COMPUTED_VALUE"""),"G-REQ-03380")</f>
        <v>G-REQ-03380</v>
      </c>
      <c r="B3381" s="11">
        <f>IFERROR(__xludf.DUMMYFUNCTION("""COMPUTED_VALUE"""),46001.885219324206)</f>
        <v>46001.88522</v>
      </c>
      <c r="C3381" s="9">
        <f>IFERROR(__xludf.DUMMYFUNCTION("""COMPUTED_VALUE"""),13173.0)</f>
        <v>13173</v>
      </c>
      <c r="D3381" s="9" t="str">
        <f>IFERROR(__xludf.DUMMYFUNCTION("""COMPUTED_VALUE"""),"Completed")</f>
        <v>Completed</v>
      </c>
    </row>
    <row r="3382">
      <c r="A3382" s="9" t="str">
        <f>IFERROR(__xludf.DUMMYFUNCTION("""COMPUTED_VALUE"""),"G-REQ-03381")</f>
        <v>G-REQ-03381</v>
      </c>
      <c r="B3382" s="11">
        <f>IFERROR(__xludf.DUMMYFUNCTION("""COMPUTED_VALUE"""),46001.956394169625)</f>
        <v>46001.95639</v>
      </c>
      <c r="C3382" s="9">
        <f>IFERROR(__xludf.DUMMYFUNCTION("""COMPUTED_VALUE"""),13177.0)</f>
        <v>13177</v>
      </c>
      <c r="D3382" s="9" t="str">
        <f>IFERROR(__xludf.DUMMYFUNCTION("""COMPUTED_VALUE"""),"Completed")</f>
        <v>Completed</v>
      </c>
    </row>
    <row r="3383">
      <c r="A3383" s="9" t="str">
        <f>IFERROR(__xludf.DUMMYFUNCTION("""COMPUTED_VALUE"""),"G-REQ-03382")</f>
        <v>G-REQ-03382</v>
      </c>
      <c r="B3383" s="11">
        <f>IFERROR(__xludf.DUMMYFUNCTION("""COMPUTED_VALUE"""),46002.02062457059)</f>
        <v>46002.02062</v>
      </c>
      <c r="C3383" s="9">
        <f>IFERROR(__xludf.DUMMYFUNCTION("""COMPUTED_VALUE"""),13179.0)</f>
        <v>13179</v>
      </c>
      <c r="D3383" s="9" t="str">
        <f>IFERROR(__xludf.DUMMYFUNCTION("""COMPUTED_VALUE"""),"Cancelled")</f>
        <v>Cancelled</v>
      </c>
    </row>
    <row r="3384">
      <c r="A3384" s="9" t="str">
        <f>IFERROR(__xludf.DUMMYFUNCTION("""COMPUTED_VALUE"""),"G-REQ-03383")</f>
        <v>G-REQ-03383</v>
      </c>
      <c r="B3384" s="11">
        <f>IFERROR(__xludf.DUMMYFUNCTION("""COMPUTED_VALUE"""),46002.09874386045)</f>
        <v>46002.09874</v>
      </c>
      <c r="C3384" s="9">
        <f>IFERROR(__xludf.DUMMYFUNCTION("""COMPUTED_VALUE"""),13183.0)</f>
        <v>13183</v>
      </c>
      <c r="D3384" s="9" t="str">
        <f>IFERROR(__xludf.DUMMYFUNCTION("""COMPUTED_VALUE"""),"Completed")</f>
        <v>Completed</v>
      </c>
    </row>
    <row r="3385">
      <c r="A3385" s="9" t="str">
        <f>IFERROR(__xludf.DUMMYFUNCTION("""COMPUTED_VALUE"""),"G-REQ-03384")</f>
        <v>G-REQ-03384</v>
      </c>
      <c r="B3385" s="11">
        <f>IFERROR(__xludf.DUMMYFUNCTION("""COMPUTED_VALUE"""),46002.162974261424)</f>
        <v>46002.16297</v>
      </c>
      <c r="C3385" s="9">
        <f>IFERROR(__xludf.DUMMYFUNCTION("""COMPUTED_VALUE"""),13185.0)</f>
        <v>13185</v>
      </c>
      <c r="D3385" s="9" t="str">
        <f>IFERROR(__xludf.DUMMYFUNCTION("""COMPUTED_VALUE"""),"Rejected")</f>
        <v>Rejected</v>
      </c>
    </row>
    <row r="3386">
      <c r="A3386" s="9" t="str">
        <f>IFERROR(__xludf.DUMMYFUNCTION("""COMPUTED_VALUE"""),"G-REQ-03385")</f>
        <v>G-REQ-03385</v>
      </c>
      <c r="B3386" s="11">
        <f>IFERROR(__xludf.DUMMYFUNCTION("""COMPUTED_VALUE"""),46002.23414910684)</f>
        <v>46002.23415</v>
      </c>
      <c r="C3386" s="9">
        <f>IFERROR(__xludf.DUMMYFUNCTION("""COMPUTED_VALUE"""),13187.0)</f>
        <v>13187</v>
      </c>
      <c r="D3386" s="9" t="str">
        <f>IFERROR(__xludf.DUMMYFUNCTION("""COMPUTED_VALUE"""),"Cancelled")</f>
        <v>Cancelled</v>
      </c>
    </row>
    <row r="3387">
      <c r="A3387" s="9" t="str">
        <f>IFERROR(__xludf.DUMMYFUNCTION("""COMPUTED_VALUE"""),"G-REQ-03386")</f>
        <v>G-REQ-03386</v>
      </c>
      <c r="B3387" s="11">
        <f>IFERROR(__xludf.DUMMYFUNCTION("""COMPUTED_VALUE"""),46002.30532395225)</f>
        <v>46002.30532</v>
      </c>
      <c r="C3387" s="9">
        <f>IFERROR(__xludf.DUMMYFUNCTION("""COMPUTED_VALUE"""),13189.0)</f>
        <v>13189</v>
      </c>
      <c r="D3387" s="9" t="str">
        <f>IFERROR(__xludf.DUMMYFUNCTION("""COMPUTED_VALUE"""),"Cancelled")</f>
        <v>Cancelled</v>
      </c>
    </row>
    <row r="3388">
      <c r="A3388" s="9" t="str">
        <f>IFERROR(__xludf.DUMMYFUNCTION("""COMPUTED_VALUE"""),"G-REQ-03387")</f>
        <v>G-REQ-03387</v>
      </c>
      <c r="B3388" s="11">
        <f>IFERROR(__xludf.DUMMYFUNCTION("""COMPUTED_VALUE"""),46002.38344324211)</f>
        <v>46002.38344</v>
      </c>
      <c r="C3388" s="9">
        <f>IFERROR(__xludf.DUMMYFUNCTION("""COMPUTED_VALUE"""),13193.0)</f>
        <v>13193</v>
      </c>
      <c r="D3388" s="9" t="str">
        <f>IFERROR(__xludf.DUMMYFUNCTION("""COMPUTED_VALUE"""),"Completed")</f>
        <v>Completed</v>
      </c>
    </row>
    <row r="3389">
      <c r="A3389" s="9" t="str">
        <f>IFERROR(__xludf.DUMMYFUNCTION("""COMPUTED_VALUE"""),"G-REQ-03388")</f>
        <v>G-REQ-03388</v>
      </c>
      <c r="B3389" s="11">
        <f>IFERROR(__xludf.DUMMYFUNCTION("""COMPUTED_VALUE"""),46002.454618087526)</f>
        <v>46002.45462</v>
      </c>
      <c r="C3389" s="9">
        <f>IFERROR(__xludf.DUMMYFUNCTION("""COMPUTED_VALUE"""),13197.0)</f>
        <v>13197</v>
      </c>
      <c r="D3389" s="9" t="str">
        <f>IFERROR(__xludf.DUMMYFUNCTION("""COMPUTED_VALUE"""),"Completed")</f>
        <v>Completed</v>
      </c>
    </row>
    <row r="3390">
      <c r="A3390" s="9" t="str">
        <f>IFERROR(__xludf.DUMMYFUNCTION("""COMPUTED_VALUE"""),"G-REQ-03389")</f>
        <v>G-REQ-03389</v>
      </c>
      <c r="B3390" s="11">
        <f>IFERROR(__xludf.DUMMYFUNCTION("""COMPUTED_VALUE"""),46002.52579293294)</f>
        <v>46002.52579</v>
      </c>
      <c r="C3390" s="9">
        <f>IFERROR(__xludf.DUMMYFUNCTION("""COMPUTED_VALUE"""),13201.0)</f>
        <v>13201</v>
      </c>
      <c r="D3390" s="9" t="str">
        <f>IFERROR(__xludf.DUMMYFUNCTION("""COMPUTED_VALUE"""),"Completed")</f>
        <v>Completed</v>
      </c>
    </row>
    <row r="3391">
      <c r="A3391" s="9" t="str">
        <f>IFERROR(__xludf.DUMMYFUNCTION("""COMPUTED_VALUE"""),"G-REQ-03390")</f>
        <v>G-REQ-03390</v>
      </c>
      <c r="B3391" s="11">
        <f>IFERROR(__xludf.DUMMYFUNCTION("""COMPUTED_VALUE"""),46002.59696777836)</f>
        <v>46002.59697</v>
      </c>
      <c r="C3391" s="9">
        <f>IFERROR(__xludf.DUMMYFUNCTION("""COMPUTED_VALUE"""),13205.0)</f>
        <v>13205</v>
      </c>
      <c r="D3391" s="9" t="str">
        <f>IFERROR(__xludf.DUMMYFUNCTION("""COMPUTED_VALUE"""),"Completed")</f>
        <v>Completed</v>
      </c>
    </row>
    <row r="3392">
      <c r="A3392" s="9" t="str">
        <f>IFERROR(__xludf.DUMMYFUNCTION("""COMPUTED_VALUE"""),"G-REQ-03391")</f>
        <v>G-REQ-03391</v>
      </c>
      <c r="B3392" s="11">
        <f>IFERROR(__xludf.DUMMYFUNCTION("""COMPUTED_VALUE"""),46002.66814262378)</f>
        <v>46002.66814</v>
      </c>
      <c r="C3392" s="9">
        <f>IFERROR(__xludf.DUMMYFUNCTION("""COMPUTED_VALUE"""),13209.0)</f>
        <v>13209</v>
      </c>
      <c r="D3392" s="9" t="str">
        <f>IFERROR(__xludf.DUMMYFUNCTION("""COMPUTED_VALUE"""),"Completed")</f>
        <v>Completed</v>
      </c>
    </row>
    <row r="3393">
      <c r="A3393" s="9" t="str">
        <f>IFERROR(__xludf.DUMMYFUNCTION("""COMPUTED_VALUE"""),"G-REQ-03392")</f>
        <v>G-REQ-03392</v>
      </c>
      <c r="B3393" s="11">
        <f>IFERROR(__xludf.DUMMYFUNCTION("""COMPUTED_VALUE"""),46002.73931746918)</f>
        <v>46002.73932</v>
      </c>
      <c r="C3393" s="9">
        <f>IFERROR(__xludf.DUMMYFUNCTION("""COMPUTED_VALUE"""),13213.0)</f>
        <v>13213</v>
      </c>
      <c r="D3393" s="9" t="str">
        <f>IFERROR(__xludf.DUMMYFUNCTION("""COMPUTED_VALUE"""),"Completed")</f>
        <v>Completed</v>
      </c>
    </row>
    <row r="3394">
      <c r="A3394" s="9" t="str">
        <f>IFERROR(__xludf.DUMMYFUNCTION("""COMPUTED_VALUE"""),"G-REQ-03393")</f>
        <v>G-REQ-03393</v>
      </c>
      <c r="B3394" s="11">
        <f>IFERROR(__xludf.DUMMYFUNCTION("""COMPUTED_VALUE"""),46002.8104923146)</f>
        <v>46002.81049</v>
      </c>
      <c r="C3394" s="9">
        <f>IFERROR(__xludf.DUMMYFUNCTION("""COMPUTED_VALUE"""),13217.0)</f>
        <v>13217</v>
      </c>
      <c r="D3394" s="9" t="str">
        <f>IFERROR(__xludf.DUMMYFUNCTION("""COMPUTED_VALUE"""),"Completed")</f>
        <v>Completed</v>
      </c>
    </row>
    <row r="3395">
      <c r="A3395" s="9" t="str">
        <f>IFERROR(__xludf.DUMMYFUNCTION("""COMPUTED_VALUE"""),"G-REQ-03394")</f>
        <v>G-REQ-03394</v>
      </c>
      <c r="B3395" s="11">
        <f>IFERROR(__xludf.DUMMYFUNCTION("""COMPUTED_VALUE"""),46002.88166716002)</f>
        <v>46002.88167</v>
      </c>
      <c r="C3395" s="9">
        <f>IFERROR(__xludf.DUMMYFUNCTION("""COMPUTED_VALUE"""),13221.0)</f>
        <v>13221</v>
      </c>
      <c r="D3395" s="9" t="str">
        <f>IFERROR(__xludf.DUMMYFUNCTION("""COMPUTED_VALUE"""),"Completed")</f>
        <v>Completed</v>
      </c>
    </row>
    <row r="3396">
      <c r="A3396" s="9" t="str">
        <f>IFERROR(__xludf.DUMMYFUNCTION("""COMPUTED_VALUE"""),"G-REQ-03395")</f>
        <v>G-REQ-03395</v>
      </c>
      <c r="B3396" s="11">
        <f>IFERROR(__xludf.DUMMYFUNCTION("""COMPUTED_VALUE"""),46002.952842005434)</f>
        <v>46002.95284</v>
      </c>
      <c r="C3396" s="9">
        <f>IFERROR(__xludf.DUMMYFUNCTION("""COMPUTED_VALUE"""),13225.0)</f>
        <v>13225</v>
      </c>
      <c r="D3396" s="9" t="str">
        <f>IFERROR(__xludf.DUMMYFUNCTION("""COMPUTED_VALUE"""),"Completed")</f>
        <v>Completed</v>
      </c>
    </row>
    <row r="3397">
      <c r="A3397" s="9" t="str">
        <f>IFERROR(__xludf.DUMMYFUNCTION("""COMPUTED_VALUE"""),"G-REQ-03396")</f>
        <v>G-REQ-03396</v>
      </c>
      <c r="B3397" s="11">
        <f>IFERROR(__xludf.DUMMYFUNCTION("""COMPUTED_VALUE"""),46003.024016850846)</f>
        <v>46003.02402</v>
      </c>
      <c r="C3397" s="9">
        <f>IFERROR(__xludf.DUMMYFUNCTION("""COMPUTED_VALUE"""),13229.0)</f>
        <v>13229</v>
      </c>
      <c r="D3397" s="9" t="str">
        <f>IFERROR(__xludf.DUMMYFUNCTION("""COMPUTED_VALUE"""),"Completed")</f>
        <v>Completed</v>
      </c>
    </row>
    <row r="3398">
      <c r="A3398" s="9" t="str">
        <f>IFERROR(__xludf.DUMMYFUNCTION("""COMPUTED_VALUE"""),"G-REQ-03397")</f>
        <v>G-REQ-03397</v>
      </c>
      <c r="B3398" s="11">
        <f>IFERROR(__xludf.DUMMYFUNCTION("""COMPUTED_VALUE"""),46003.095191696266)</f>
        <v>46003.09519</v>
      </c>
      <c r="C3398" s="9">
        <f>IFERROR(__xludf.DUMMYFUNCTION("""COMPUTED_VALUE"""),13233.0)</f>
        <v>13233</v>
      </c>
      <c r="D3398" s="9" t="str">
        <f>IFERROR(__xludf.DUMMYFUNCTION("""COMPUTED_VALUE"""),"Completed")</f>
        <v>Completed</v>
      </c>
    </row>
    <row r="3399">
      <c r="A3399" s="9" t="str">
        <f>IFERROR(__xludf.DUMMYFUNCTION("""COMPUTED_VALUE"""),"G-REQ-03398")</f>
        <v>G-REQ-03398</v>
      </c>
      <c r="B3399" s="11">
        <f>IFERROR(__xludf.DUMMYFUNCTION("""COMPUTED_VALUE"""),46003.16636654168)</f>
        <v>46003.16637</v>
      </c>
      <c r="C3399" s="9">
        <f>IFERROR(__xludf.DUMMYFUNCTION("""COMPUTED_VALUE"""),13237.0)</f>
        <v>13237</v>
      </c>
      <c r="D3399" s="9" t="str">
        <f>IFERROR(__xludf.DUMMYFUNCTION("""COMPUTED_VALUE"""),"Completed")</f>
        <v>Completed</v>
      </c>
    </row>
    <row r="3400">
      <c r="A3400" s="9" t="str">
        <f>IFERROR(__xludf.DUMMYFUNCTION("""COMPUTED_VALUE"""),"G-REQ-03399")</f>
        <v>G-REQ-03399</v>
      </c>
      <c r="B3400" s="11">
        <f>IFERROR(__xludf.DUMMYFUNCTION("""COMPUTED_VALUE"""),46003.230596942645)</f>
        <v>46003.2306</v>
      </c>
      <c r="C3400" s="9">
        <f>IFERROR(__xludf.DUMMYFUNCTION("""COMPUTED_VALUE"""),13239.0)</f>
        <v>13239</v>
      </c>
      <c r="D3400" s="9" t="str">
        <f>IFERROR(__xludf.DUMMYFUNCTION("""COMPUTED_VALUE"""),"Rejected")</f>
        <v>Rejected</v>
      </c>
    </row>
    <row r="3401">
      <c r="A3401" s="9" t="str">
        <f>IFERROR(__xludf.DUMMYFUNCTION("""COMPUTED_VALUE"""),"G-REQ-03400")</f>
        <v>G-REQ-03400</v>
      </c>
      <c r="B3401" s="11">
        <f>IFERROR(__xludf.DUMMYFUNCTION("""COMPUTED_VALUE"""),46003.30871623251)</f>
        <v>46003.30872</v>
      </c>
      <c r="C3401" s="9">
        <f>IFERROR(__xludf.DUMMYFUNCTION("""COMPUTED_VALUE"""),13243.0)</f>
        <v>13243</v>
      </c>
      <c r="D3401" s="9" t="str">
        <f>IFERROR(__xludf.DUMMYFUNCTION("""COMPUTED_VALUE"""),"Completed")</f>
        <v>Completed</v>
      </c>
    </row>
    <row r="3402">
      <c r="A3402" s="9" t="str">
        <f>IFERROR(__xludf.DUMMYFUNCTION("""COMPUTED_VALUE"""),"G-REQ-03401")</f>
        <v>G-REQ-03401</v>
      </c>
      <c r="B3402" s="11">
        <f>IFERROR(__xludf.DUMMYFUNCTION("""COMPUTED_VALUE"""),46003.37989107792)</f>
        <v>46003.37989</v>
      </c>
      <c r="C3402" s="9">
        <f>IFERROR(__xludf.DUMMYFUNCTION("""COMPUTED_VALUE"""),13247.0)</f>
        <v>13247</v>
      </c>
      <c r="D3402" s="9" t="str">
        <f>IFERROR(__xludf.DUMMYFUNCTION("""COMPUTED_VALUE"""),"Completed")</f>
        <v>Completed</v>
      </c>
    </row>
    <row r="3403">
      <c r="A3403" s="9" t="str">
        <f>IFERROR(__xludf.DUMMYFUNCTION("""COMPUTED_VALUE"""),"G-REQ-03402")</f>
        <v>G-REQ-03402</v>
      </c>
      <c r="B3403" s="11">
        <f>IFERROR(__xludf.DUMMYFUNCTION("""COMPUTED_VALUE"""),46003.451065923335)</f>
        <v>46003.45107</v>
      </c>
      <c r="C3403" s="9">
        <f>IFERROR(__xludf.DUMMYFUNCTION("""COMPUTED_VALUE"""),13251.0)</f>
        <v>13251</v>
      </c>
      <c r="D3403" s="9" t="str">
        <f>IFERROR(__xludf.DUMMYFUNCTION("""COMPUTED_VALUE"""),"Completed")</f>
        <v>Completed</v>
      </c>
    </row>
    <row r="3404">
      <c r="A3404" s="9" t="str">
        <f>IFERROR(__xludf.DUMMYFUNCTION("""COMPUTED_VALUE"""),"G-REQ-03403")</f>
        <v>G-REQ-03403</v>
      </c>
      <c r="B3404" s="11">
        <f>IFERROR(__xludf.DUMMYFUNCTION("""COMPUTED_VALUE"""),46003.51529632431)</f>
        <v>46003.5153</v>
      </c>
      <c r="C3404" s="9">
        <f>IFERROR(__xludf.DUMMYFUNCTION("""COMPUTED_VALUE"""),13253.0)</f>
        <v>13253</v>
      </c>
      <c r="D3404" s="9" t="str">
        <f>IFERROR(__xludf.DUMMYFUNCTION("""COMPUTED_VALUE"""),"Rejected")</f>
        <v>Rejected</v>
      </c>
    </row>
    <row r="3405">
      <c r="A3405" s="9" t="str">
        <f>IFERROR(__xludf.DUMMYFUNCTION("""COMPUTED_VALUE"""),"G-REQ-03404")</f>
        <v>G-REQ-03404</v>
      </c>
      <c r="B3405" s="11">
        <f>IFERROR(__xludf.DUMMYFUNCTION("""COMPUTED_VALUE"""),46003.593415614174)</f>
        <v>46003.59342</v>
      </c>
      <c r="C3405" s="9">
        <f>IFERROR(__xludf.DUMMYFUNCTION("""COMPUTED_VALUE"""),13257.0)</f>
        <v>13257</v>
      </c>
      <c r="D3405" s="9" t="str">
        <f>IFERROR(__xludf.DUMMYFUNCTION("""COMPUTED_VALUE"""),"Completed")</f>
        <v>Completed</v>
      </c>
    </row>
    <row r="3406">
      <c r="A3406" s="9" t="str">
        <f>IFERROR(__xludf.DUMMYFUNCTION("""COMPUTED_VALUE"""),"G-REQ-03405")</f>
        <v>G-REQ-03405</v>
      </c>
      <c r="B3406" s="11">
        <f>IFERROR(__xludf.DUMMYFUNCTION("""COMPUTED_VALUE"""),46003.66459045958)</f>
        <v>46003.66459</v>
      </c>
      <c r="C3406" s="9">
        <f>IFERROR(__xludf.DUMMYFUNCTION("""COMPUTED_VALUE"""),13261.0)</f>
        <v>13261</v>
      </c>
      <c r="D3406" s="9" t="str">
        <f>IFERROR(__xludf.DUMMYFUNCTION("""COMPUTED_VALUE"""),"Completed")</f>
        <v>Completed</v>
      </c>
    </row>
    <row r="3407">
      <c r="A3407" s="9" t="str">
        <f>IFERROR(__xludf.DUMMYFUNCTION("""COMPUTED_VALUE"""),"G-REQ-03406")</f>
        <v>G-REQ-03406</v>
      </c>
      <c r="B3407" s="11">
        <f>IFERROR(__xludf.DUMMYFUNCTION("""COMPUTED_VALUE"""),46003.735765305)</f>
        <v>46003.73577</v>
      </c>
      <c r="C3407" s="9">
        <f>IFERROR(__xludf.DUMMYFUNCTION("""COMPUTED_VALUE"""),13265.0)</f>
        <v>13265</v>
      </c>
      <c r="D3407" s="9" t="str">
        <f>IFERROR(__xludf.DUMMYFUNCTION("""COMPUTED_VALUE"""),"Completed")</f>
        <v>Completed</v>
      </c>
    </row>
    <row r="3408">
      <c r="A3408" s="9" t="str">
        <f>IFERROR(__xludf.DUMMYFUNCTION("""COMPUTED_VALUE"""),"G-REQ-03407")</f>
        <v>G-REQ-03407</v>
      </c>
      <c r="B3408" s="11">
        <f>IFERROR(__xludf.DUMMYFUNCTION("""COMPUTED_VALUE"""),46003.80694015042)</f>
        <v>46003.80694</v>
      </c>
      <c r="C3408" s="9">
        <f>IFERROR(__xludf.DUMMYFUNCTION("""COMPUTED_VALUE"""),13269.0)</f>
        <v>13269</v>
      </c>
      <c r="D3408" s="9" t="str">
        <f>IFERROR(__xludf.DUMMYFUNCTION("""COMPUTED_VALUE"""),"Completed")</f>
        <v>Completed</v>
      </c>
    </row>
    <row r="3409">
      <c r="A3409" s="9" t="str">
        <f>IFERROR(__xludf.DUMMYFUNCTION("""COMPUTED_VALUE"""),"G-REQ-03408")</f>
        <v>G-REQ-03408</v>
      </c>
      <c r="B3409" s="11">
        <f>IFERROR(__xludf.DUMMYFUNCTION("""COMPUTED_VALUE"""),46003.87811499583)</f>
        <v>46003.87811</v>
      </c>
      <c r="C3409" s="9">
        <f>IFERROR(__xludf.DUMMYFUNCTION("""COMPUTED_VALUE"""),13273.0)</f>
        <v>13273</v>
      </c>
      <c r="D3409" s="9" t="str">
        <f>IFERROR(__xludf.DUMMYFUNCTION("""COMPUTED_VALUE"""),"Completed")</f>
        <v>Completed</v>
      </c>
    </row>
    <row r="3410">
      <c r="A3410" s="9" t="str">
        <f>IFERROR(__xludf.DUMMYFUNCTION("""COMPUTED_VALUE"""),"G-REQ-03409")</f>
        <v>G-REQ-03409</v>
      </c>
      <c r="B3410" s="11">
        <f>IFERROR(__xludf.DUMMYFUNCTION("""COMPUTED_VALUE"""),46003.94928984124)</f>
        <v>46003.94929</v>
      </c>
      <c r="C3410" s="9">
        <f>IFERROR(__xludf.DUMMYFUNCTION("""COMPUTED_VALUE"""),13277.0)</f>
        <v>13277</v>
      </c>
      <c r="D3410" s="9" t="str">
        <f>IFERROR(__xludf.DUMMYFUNCTION("""COMPUTED_VALUE"""),"Completed")</f>
        <v>Completed</v>
      </c>
    </row>
    <row r="3411">
      <c r="A3411" s="9" t="str">
        <f>IFERROR(__xludf.DUMMYFUNCTION("""COMPUTED_VALUE"""),"G-REQ-03410")</f>
        <v>G-REQ-03410</v>
      </c>
      <c r="B3411" s="11">
        <f>IFERROR(__xludf.DUMMYFUNCTION("""COMPUTED_VALUE"""),46004.01352024222)</f>
        <v>46004.01352</v>
      </c>
      <c r="C3411" s="9">
        <f>IFERROR(__xludf.DUMMYFUNCTION("""COMPUTED_VALUE"""),13279.0)</f>
        <v>13279</v>
      </c>
      <c r="D3411" s="9" t="str">
        <f>IFERROR(__xludf.DUMMYFUNCTION("""COMPUTED_VALUE"""),"Cancelled")</f>
        <v>Cancelled</v>
      </c>
    </row>
    <row r="3412">
      <c r="A3412" s="9" t="str">
        <f>IFERROR(__xludf.DUMMYFUNCTION("""COMPUTED_VALUE"""),"G-REQ-03411")</f>
        <v>G-REQ-03411</v>
      </c>
      <c r="B3412" s="11">
        <f>IFERROR(__xludf.DUMMYFUNCTION("""COMPUTED_VALUE"""),46004.091639532075)</f>
        <v>46004.09164</v>
      </c>
      <c r="C3412" s="9">
        <f>IFERROR(__xludf.DUMMYFUNCTION("""COMPUTED_VALUE"""),13283.0)</f>
        <v>13283</v>
      </c>
      <c r="D3412" s="9" t="str">
        <f>IFERROR(__xludf.DUMMYFUNCTION("""COMPUTED_VALUE"""),"Completed")</f>
        <v>Completed</v>
      </c>
    </row>
    <row r="3413">
      <c r="A3413" s="9" t="str">
        <f>IFERROR(__xludf.DUMMYFUNCTION("""COMPUTED_VALUE"""),"G-REQ-03412")</f>
        <v>G-REQ-03412</v>
      </c>
      <c r="B3413" s="11">
        <f>IFERROR(__xludf.DUMMYFUNCTION("""COMPUTED_VALUE"""),46004.16281437749)</f>
        <v>46004.16281</v>
      </c>
      <c r="C3413" s="9">
        <f>IFERROR(__xludf.DUMMYFUNCTION("""COMPUTED_VALUE"""),13287.0)</f>
        <v>13287</v>
      </c>
      <c r="D3413" s="9" t="str">
        <f>IFERROR(__xludf.DUMMYFUNCTION("""COMPUTED_VALUE"""),"Completed")</f>
        <v>Completed</v>
      </c>
    </row>
    <row r="3414">
      <c r="A3414" s="9" t="str">
        <f>IFERROR(__xludf.DUMMYFUNCTION("""COMPUTED_VALUE"""),"G-REQ-03413")</f>
        <v>G-REQ-03413</v>
      </c>
      <c r="B3414" s="11">
        <f>IFERROR(__xludf.DUMMYFUNCTION("""COMPUTED_VALUE"""),46004.22704477846)</f>
        <v>46004.22704</v>
      </c>
      <c r="C3414" s="9">
        <f>IFERROR(__xludf.DUMMYFUNCTION("""COMPUTED_VALUE"""),13289.0)</f>
        <v>13289</v>
      </c>
      <c r="D3414" s="9" t="str">
        <f>IFERROR(__xludf.DUMMYFUNCTION("""COMPUTED_VALUE"""),"Cancelled")</f>
        <v>Cancelled</v>
      </c>
    </row>
    <row r="3415">
      <c r="A3415" s="9" t="str">
        <f>IFERROR(__xludf.DUMMYFUNCTION("""COMPUTED_VALUE"""),"G-REQ-03414")</f>
        <v>G-REQ-03414</v>
      </c>
      <c r="B3415" s="11">
        <f>IFERROR(__xludf.DUMMYFUNCTION("""COMPUTED_VALUE"""),46004.30516406832)</f>
        <v>46004.30516</v>
      </c>
      <c r="C3415" s="9">
        <f>IFERROR(__xludf.DUMMYFUNCTION("""COMPUTED_VALUE"""),13293.0)</f>
        <v>13293</v>
      </c>
      <c r="D3415" s="9" t="str">
        <f>IFERROR(__xludf.DUMMYFUNCTION("""COMPUTED_VALUE"""),"Completed")</f>
        <v>Completed</v>
      </c>
    </row>
    <row r="3416">
      <c r="A3416" s="9" t="str">
        <f>IFERROR(__xludf.DUMMYFUNCTION("""COMPUTED_VALUE"""),"G-REQ-03415")</f>
        <v>G-REQ-03415</v>
      </c>
      <c r="B3416" s="11">
        <f>IFERROR(__xludf.DUMMYFUNCTION("""COMPUTED_VALUE"""),46004.37633891373)</f>
        <v>46004.37634</v>
      </c>
      <c r="C3416" s="9">
        <f>IFERROR(__xludf.DUMMYFUNCTION("""COMPUTED_VALUE"""),13297.0)</f>
        <v>13297</v>
      </c>
      <c r="D3416" s="9" t="str">
        <f>IFERROR(__xludf.DUMMYFUNCTION("""COMPUTED_VALUE"""),"Completed")</f>
        <v>Completed</v>
      </c>
    </row>
    <row r="3417">
      <c r="A3417" s="9" t="str">
        <f>IFERROR(__xludf.DUMMYFUNCTION("""COMPUTED_VALUE"""),"G-REQ-03416")</f>
        <v>G-REQ-03416</v>
      </c>
      <c r="B3417" s="11">
        <f>IFERROR(__xludf.DUMMYFUNCTION("""COMPUTED_VALUE"""),46004.44751375915)</f>
        <v>46004.44751</v>
      </c>
      <c r="C3417" s="9">
        <f>IFERROR(__xludf.DUMMYFUNCTION("""COMPUTED_VALUE"""),13301.0)</f>
        <v>13301</v>
      </c>
      <c r="D3417" s="9" t="str">
        <f>IFERROR(__xludf.DUMMYFUNCTION("""COMPUTED_VALUE"""),"Completed")</f>
        <v>Completed</v>
      </c>
    </row>
    <row r="3418">
      <c r="A3418" s="9" t="str">
        <f>IFERROR(__xludf.DUMMYFUNCTION("""COMPUTED_VALUE"""),"G-REQ-03417")</f>
        <v>G-REQ-03417</v>
      </c>
      <c r="B3418" s="11">
        <f>IFERROR(__xludf.DUMMYFUNCTION("""COMPUTED_VALUE"""),46004.51868860456)</f>
        <v>46004.51869</v>
      </c>
      <c r="C3418" s="9">
        <f>IFERROR(__xludf.DUMMYFUNCTION("""COMPUTED_VALUE"""),13305.0)</f>
        <v>13305</v>
      </c>
      <c r="D3418" s="9" t="str">
        <f>IFERROR(__xludf.DUMMYFUNCTION("""COMPUTED_VALUE"""),"Completed")</f>
        <v>Completed</v>
      </c>
    </row>
    <row r="3419">
      <c r="A3419" s="9" t="str">
        <f>IFERROR(__xludf.DUMMYFUNCTION("""COMPUTED_VALUE"""),"G-REQ-03418")</f>
        <v>G-REQ-03418</v>
      </c>
      <c r="B3419" s="11">
        <f>IFERROR(__xludf.DUMMYFUNCTION("""COMPUTED_VALUE"""),46004.589863449975)</f>
        <v>46004.58986</v>
      </c>
      <c r="C3419" s="9">
        <f>IFERROR(__xludf.DUMMYFUNCTION("""COMPUTED_VALUE"""),13309.0)</f>
        <v>13309</v>
      </c>
      <c r="D3419" s="9" t="str">
        <f>IFERROR(__xludf.DUMMYFUNCTION("""COMPUTED_VALUE"""),"Completed")</f>
        <v>Completed</v>
      </c>
    </row>
    <row r="3420">
      <c r="A3420" s="9" t="str">
        <f>IFERROR(__xludf.DUMMYFUNCTION("""COMPUTED_VALUE"""),"G-REQ-03419")</f>
        <v>G-REQ-03419</v>
      </c>
      <c r="B3420" s="11">
        <f>IFERROR(__xludf.DUMMYFUNCTION("""COMPUTED_VALUE"""),46004.65409385095)</f>
        <v>46004.65409</v>
      </c>
      <c r="C3420" s="9">
        <f>IFERROR(__xludf.DUMMYFUNCTION("""COMPUTED_VALUE"""),13311.0)</f>
        <v>13311</v>
      </c>
      <c r="D3420" s="9" t="str">
        <f>IFERROR(__xludf.DUMMYFUNCTION("""COMPUTED_VALUE"""),"Cancelled")</f>
        <v>Cancelled</v>
      </c>
    </row>
    <row r="3421">
      <c r="A3421" s="9" t="str">
        <f>IFERROR(__xludf.DUMMYFUNCTION("""COMPUTED_VALUE"""),"G-REQ-03420")</f>
        <v>G-REQ-03420</v>
      </c>
      <c r="B3421" s="11">
        <f>IFERROR(__xludf.DUMMYFUNCTION("""COMPUTED_VALUE"""),46004.732213140815)</f>
        <v>46004.73221</v>
      </c>
      <c r="C3421" s="9">
        <f>IFERROR(__xludf.DUMMYFUNCTION("""COMPUTED_VALUE"""),13315.0)</f>
        <v>13315</v>
      </c>
      <c r="D3421" s="9" t="str">
        <f>IFERROR(__xludf.DUMMYFUNCTION("""COMPUTED_VALUE"""),"Completed")</f>
        <v>Completed</v>
      </c>
    </row>
    <row r="3422">
      <c r="A3422" s="9" t="str">
        <f>IFERROR(__xludf.DUMMYFUNCTION("""COMPUTED_VALUE"""),"G-REQ-03421")</f>
        <v>G-REQ-03421</v>
      </c>
      <c r="B3422" s="11">
        <f>IFERROR(__xludf.DUMMYFUNCTION("""COMPUTED_VALUE"""),46004.80338798622)</f>
        <v>46004.80339</v>
      </c>
      <c r="C3422" s="9">
        <f>IFERROR(__xludf.DUMMYFUNCTION("""COMPUTED_VALUE"""),13319.0)</f>
        <v>13319</v>
      </c>
      <c r="D3422" s="9" t="str">
        <f>IFERROR(__xludf.DUMMYFUNCTION("""COMPUTED_VALUE"""),"Completed")</f>
        <v>Completed</v>
      </c>
    </row>
    <row r="3423">
      <c r="A3423" s="9" t="str">
        <f>IFERROR(__xludf.DUMMYFUNCTION("""COMPUTED_VALUE"""),"G-REQ-03422")</f>
        <v>G-REQ-03422</v>
      </c>
      <c r="B3423" s="11">
        <f>IFERROR(__xludf.DUMMYFUNCTION("""COMPUTED_VALUE"""),46004.867618387194)</f>
        <v>46004.86762</v>
      </c>
      <c r="C3423" s="9">
        <f>IFERROR(__xludf.DUMMYFUNCTION("""COMPUTED_VALUE"""),13321.0)</f>
        <v>13321</v>
      </c>
      <c r="D3423" s="9" t="str">
        <f>IFERROR(__xludf.DUMMYFUNCTION("""COMPUTED_VALUE"""),"Rejected")</f>
        <v>Rejected</v>
      </c>
    </row>
    <row r="3424">
      <c r="A3424" s="9" t="str">
        <f>IFERROR(__xludf.DUMMYFUNCTION("""COMPUTED_VALUE"""),"G-REQ-03423")</f>
        <v>G-REQ-03423</v>
      </c>
      <c r="B3424" s="11">
        <f>IFERROR(__xludf.DUMMYFUNCTION("""COMPUTED_VALUE"""),46004.94573767706)</f>
        <v>46004.94574</v>
      </c>
      <c r="C3424" s="9">
        <f>IFERROR(__xludf.DUMMYFUNCTION("""COMPUTED_VALUE"""),13325.0)</f>
        <v>13325</v>
      </c>
      <c r="D3424" s="9" t="str">
        <f>IFERROR(__xludf.DUMMYFUNCTION("""COMPUTED_VALUE"""),"Completed")</f>
        <v>Completed</v>
      </c>
    </row>
    <row r="3425">
      <c r="A3425" s="9" t="str">
        <f>IFERROR(__xludf.DUMMYFUNCTION("""COMPUTED_VALUE"""),"G-REQ-03424")</f>
        <v>G-REQ-03424</v>
      </c>
      <c r="B3425" s="11">
        <f>IFERROR(__xludf.DUMMYFUNCTION("""COMPUTED_VALUE"""),46005.01691252247)</f>
        <v>46005.01691</v>
      </c>
      <c r="C3425" s="9">
        <f>IFERROR(__xludf.DUMMYFUNCTION("""COMPUTED_VALUE"""),13329.0)</f>
        <v>13329</v>
      </c>
      <c r="D3425" s="9" t="str">
        <f>IFERROR(__xludf.DUMMYFUNCTION("""COMPUTED_VALUE"""),"Completed")</f>
        <v>Completed</v>
      </c>
    </row>
    <row r="3426">
      <c r="A3426" s="9" t="str">
        <f>IFERROR(__xludf.DUMMYFUNCTION("""COMPUTED_VALUE"""),"G-REQ-03425")</f>
        <v>G-REQ-03425</v>
      </c>
      <c r="B3426" s="11">
        <f>IFERROR(__xludf.DUMMYFUNCTION("""COMPUTED_VALUE"""),46005.08808736788)</f>
        <v>46005.08809</v>
      </c>
      <c r="C3426" s="9">
        <f>IFERROR(__xludf.DUMMYFUNCTION("""COMPUTED_VALUE"""),13333.0)</f>
        <v>13333</v>
      </c>
      <c r="D3426" s="9" t="str">
        <f>IFERROR(__xludf.DUMMYFUNCTION("""COMPUTED_VALUE"""),"Completed")</f>
        <v>Completed</v>
      </c>
    </row>
    <row r="3427">
      <c r="A3427" s="9" t="str">
        <f>IFERROR(__xludf.DUMMYFUNCTION("""COMPUTED_VALUE"""),"G-REQ-03426")</f>
        <v>G-REQ-03426</v>
      </c>
      <c r="B3427" s="11">
        <f>IFERROR(__xludf.DUMMYFUNCTION("""COMPUTED_VALUE"""),46005.1592622133)</f>
        <v>46005.15926</v>
      </c>
      <c r="C3427" s="9">
        <f>IFERROR(__xludf.DUMMYFUNCTION("""COMPUTED_VALUE"""),13337.0)</f>
        <v>13337</v>
      </c>
      <c r="D3427" s="9" t="str">
        <f>IFERROR(__xludf.DUMMYFUNCTION("""COMPUTED_VALUE"""),"Completed")</f>
        <v>Completed</v>
      </c>
    </row>
    <row r="3428">
      <c r="A3428" s="9" t="str">
        <f>IFERROR(__xludf.DUMMYFUNCTION("""COMPUTED_VALUE"""),"G-REQ-03427")</f>
        <v>G-REQ-03427</v>
      </c>
      <c r="B3428" s="11">
        <f>IFERROR(__xludf.DUMMYFUNCTION("""COMPUTED_VALUE"""),46005.230437058715)</f>
        <v>46005.23044</v>
      </c>
      <c r="C3428" s="9">
        <f>IFERROR(__xludf.DUMMYFUNCTION("""COMPUTED_VALUE"""),13341.0)</f>
        <v>13341</v>
      </c>
      <c r="D3428" s="9" t="str">
        <f>IFERROR(__xludf.DUMMYFUNCTION("""COMPUTED_VALUE"""),"Completed")</f>
        <v>Completed</v>
      </c>
    </row>
    <row r="3429">
      <c r="A3429" s="9" t="str">
        <f>IFERROR(__xludf.DUMMYFUNCTION("""COMPUTED_VALUE"""),"G-REQ-03428")</f>
        <v>G-REQ-03428</v>
      </c>
      <c r="B3429" s="11">
        <f>IFERROR(__xludf.DUMMYFUNCTION("""COMPUTED_VALUE"""),46005.29466745968)</f>
        <v>46005.29467</v>
      </c>
      <c r="C3429" s="9">
        <f>IFERROR(__xludf.DUMMYFUNCTION("""COMPUTED_VALUE"""),13343.0)</f>
        <v>13343</v>
      </c>
      <c r="D3429" s="9" t="str">
        <f>IFERROR(__xludf.DUMMYFUNCTION("""COMPUTED_VALUE"""),"Rejected")</f>
        <v>Rejected</v>
      </c>
    </row>
    <row r="3430">
      <c r="A3430" s="9" t="str">
        <f>IFERROR(__xludf.DUMMYFUNCTION("""COMPUTED_VALUE"""),"G-REQ-03429")</f>
        <v>G-REQ-03429</v>
      </c>
      <c r="B3430" s="11">
        <f>IFERROR(__xludf.DUMMYFUNCTION("""COMPUTED_VALUE"""),46005.3658423051)</f>
        <v>46005.36584</v>
      </c>
      <c r="C3430" s="9">
        <f>IFERROR(__xludf.DUMMYFUNCTION("""COMPUTED_VALUE"""),13345.0)</f>
        <v>13345</v>
      </c>
      <c r="D3430" s="9" t="str">
        <f>IFERROR(__xludf.DUMMYFUNCTION("""COMPUTED_VALUE"""),"Cancelled")</f>
        <v>Cancelled</v>
      </c>
    </row>
    <row r="3431">
      <c r="A3431" s="9" t="str">
        <f>IFERROR(__xludf.DUMMYFUNCTION("""COMPUTED_VALUE"""),"G-REQ-03430")</f>
        <v>G-REQ-03430</v>
      </c>
      <c r="B3431" s="11">
        <f>IFERROR(__xludf.DUMMYFUNCTION("""COMPUTED_VALUE"""),46005.44396159496)</f>
        <v>46005.44396</v>
      </c>
      <c r="C3431" s="9">
        <f>IFERROR(__xludf.DUMMYFUNCTION("""COMPUTED_VALUE"""),13349.0)</f>
        <v>13349</v>
      </c>
      <c r="D3431" s="9" t="str">
        <f>IFERROR(__xludf.DUMMYFUNCTION("""COMPUTED_VALUE"""),"Completed")</f>
        <v>Completed</v>
      </c>
    </row>
    <row r="3432">
      <c r="A3432" s="9" t="str">
        <f>IFERROR(__xludf.DUMMYFUNCTION("""COMPUTED_VALUE"""),"G-REQ-03431")</f>
        <v>G-REQ-03431</v>
      </c>
      <c r="B3432" s="11">
        <f>IFERROR(__xludf.DUMMYFUNCTION("""COMPUTED_VALUE"""),46005.51513644037)</f>
        <v>46005.51514</v>
      </c>
      <c r="C3432" s="9">
        <f>IFERROR(__xludf.DUMMYFUNCTION("""COMPUTED_VALUE"""),13353.0)</f>
        <v>13353</v>
      </c>
      <c r="D3432" s="9" t="str">
        <f>IFERROR(__xludf.DUMMYFUNCTION("""COMPUTED_VALUE"""),"Completed")</f>
        <v>Completed</v>
      </c>
    </row>
    <row r="3433">
      <c r="A3433" s="9" t="str">
        <f>IFERROR(__xludf.DUMMYFUNCTION("""COMPUTED_VALUE"""),"G-REQ-03432")</f>
        <v>G-REQ-03432</v>
      </c>
      <c r="B3433" s="11">
        <f>IFERROR(__xludf.DUMMYFUNCTION("""COMPUTED_VALUE"""),46005.58631128579)</f>
        <v>46005.58631</v>
      </c>
      <c r="C3433" s="9">
        <f>IFERROR(__xludf.DUMMYFUNCTION("""COMPUTED_VALUE"""),13357.0)</f>
        <v>13357</v>
      </c>
      <c r="D3433" s="9" t="str">
        <f>IFERROR(__xludf.DUMMYFUNCTION("""COMPUTED_VALUE"""),"Completed")</f>
        <v>Completed</v>
      </c>
    </row>
    <row r="3434">
      <c r="A3434" s="9" t="str">
        <f>IFERROR(__xludf.DUMMYFUNCTION("""COMPUTED_VALUE"""),"G-REQ-03433")</f>
        <v>G-REQ-03433</v>
      </c>
      <c r="B3434" s="11">
        <f>IFERROR(__xludf.DUMMYFUNCTION("""COMPUTED_VALUE"""),46005.657486131204)</f>
        <v>46005.65749</v>
      </c>
      <c r="C3434" s="9">
        <f>IFERROR(__xludf.DUMMYFUNCTION("""COMPUTED_VALUE"""),13361.0)</f>
        <v>13361</v>
      </c>
      <c r="D3434" s="9" t="str">
        <f>IFERROR(__xludf.DUMMYFUNCTION("""COMPUTED_VALUE"""),"Completed")</f>
        <v>Completed</v>
      </c>
    </row>
    <row r="3435">
      <c r="A3435" s="9" t="str">
        <f>IFERROR(__xludf.DUMMYFUNCTION("""COMPUTED_VALUE"""),"G-REQ-03434")</f>
        <v>G-REQ-03434</v>
      </c>
      <c r="B3435" s="11">
        <f>IFERROR(__xludf.DUMMYFUNCTION("""COMPUTED_VALUE"""),46005.728660976616)</f>
        <v>46005.72866</v>
      </c>
      <c r="C3435" s="9">
        <f>IFERROR(__xludf.DUMMYFUNCTION("""COMPUTED_VALUE"""),13365.0)</f>
        <v>13365</v>
      </c>
      <c r="D3435" s="9" t="str">
        <f>IFERROR(__xludf.DUMMYFUNCTION("""COMPUTED_VALUE"""),"Completed")</f>
        <v>Completed</v>
      </c>
    </row>
    <row r="3436">
      <c r="A3436" s="9" t="str">
        <f>IFERROR(__xludf.DUMMYFUNCTION("""COMPUTED_VALUE"""),"G-REQ-03435")</f>
        <v>G-REQ-03435</v>
      </c>
      <c r="B3436" s="11">
        <f>IFERROR(__xludf.DUMMYFUNCTION("""COMPUTED_VALUE"""),46005.799835822036)</f>
        <v>46005.79984</v>
      </c>
      <c r="C3436" s="9">
        <f>IFERROR(__xludf.DUMMYFUNCTION("""COMPUTED_VALUE"""),13369.0)</f>
        <v>13369</v>
      </c>
      <c r="D3436" s="9" t="str">
        <f>IFERROR(__xludf.DUMMYFUNCTION("""COMPUTED_VALUE"""),"Completed")</f>
        <v>Completed</v>
      </c>
    </row>
    <row r="3437">
      <c r="A3437" s="9" t="str">
        <f>IFERROR(__xludf.DUMMYFUNCTION("""COMPUTED_VALUE"""),"G-REQ-03436")</f>
        <v>G-REQ-03436</v>
      </c>
      <c r="B3437" s="11">
        <f>IFERROR(__xludf.DUMMYFUNCTION("""COMPUTED_VALUE"""),46005.871010667455)</f>
        <v>46005.87101</v>
      </c>
      <c r="C3437" s="9">
        <f>IFERROR(__xludf.DUMMYFUNCTION("""COMPUTED_VALUE"""),13373.0)</f>
        <v>13373</v>
      </c>
      <c r="D3437" s="9" t="str">
        <f>IFERROR(__xludf.DUMMYFUNCTION("""COMPUTED_VALUE"""),"Completed")</f>
        <v>Completed</v>
      </c>
    </row>
    <row r="3438">
      <c r="A3438" s="9" t="str">
        <f>IFERROR(__xludf.DUMMYFUNCTION("""COMPUTED_VALUE"""),"G-REQ-03437")</f>
        <v>G-REQ-03437</v>
      </c>
      <c r="B3438" s="11">
        <f>IFERROR(__xludf.DUMMYFUNCTION("""COMPUTED_VALUE"""),46005.94218551286)</f>
        <v>46005.94219</v>
      </c>
      <c r="C3438" s="9">
        <f>IFERROR(__xludf.DUMMYFUNCTION("""COMPUTED_VALUE"""),13377.0)</f>
        <v>13377</v>
      </c>
      <c r="D3438" s="9" t="str">
        <f>IFERROR(__xludf.DUMMYFUNCTION("""COMPUTED_VALUE"""),"Completed")</f>
        <v>Completed</v>
      </c>
    </row>
    <row r="3439">
      <c r="A3439" s="9" t="str">
        <f>IFERROR(__xludf.DUMMYFUNCTION("""COMPUTED_VALUE"""),"G-REQ-03438")</f>
        <v>G-REQ-03438</v>
      </c>
      <c r="B3439" s="11">
        <f>IFERROR(__xludf.DUMMYFUNCTION("""COMPUTED_VALUE"""),46006.01336035828)</f>
        <v>46006.01336</v>
      </c>
      <c r="C3439" s="9">
        <f>IFERROR(__xludf.DUMMYFUNCTION("""COMPUTED_VALUE"""),13381.0)</f>
        <v>13381</v>
      </c>
      <c r="D3439" s="9" t="str">
        <f>IFERROR(__xludf.DUMMYFUNCTION("""COMPUTED_VALUE"""),"Completed")</f>
        <v>Completed</v>
      </c>
    </row>
    <row r="3440">
      <c r="A3440" s="9" t="str">
        <f>IFERROR(__xludf.DUMMYFUNCTION("""COMPUTED_VALUE"""),"G-REQ-03439")</f>
        <v>G-REQ-03439</v>
      </c>
      <c r="B3440" s="11">
        <f>IFERROR(__xludf.DUMMYFUNCTION("""COMPUTED_VALUE"""),46006.0845352037)</f>
        <v>46006.08454</v>
      </c>
      <c r="C3440" s="9">
        <f>IFERROR(__xludf.DUMMYFUNCTION("""COMPUTED_VALUE"""),13385.0)</f>
        <v>13385</v>
      </c>
      <c r="D3440" s="9" t="str">
        <f>IFERROR(__xludf.DUMMYFUNCTION("""COMPUTED_VALUE"""),"Completed")</f>
        <v>Completed</v>
      </c>
    </row>
    <row r="3441">
      <c r="A3441" s="9" t="str">
        <f>IFERROR(__xludf.DUMMYFUNCTION("""COMPUTED_VALUE"""),"G-REQ-03440")</f>
        <v>G-REQ-03440</v>
      </c>
      <c r="B3441" s="11">
        <f>IFERROR(__xludf.DUMMYFUNCTION("""COMPUTED_VALUE"""),46006.15571004911)</f>
        <v>46006.15571</v>
      </c>
      <c r="C3441" s="9">
        <f>IFERROR(__xludf.DUMMYFUNCTION("""COMPUTED_VALUE"""),13389.0)</f>
        <v>13389</v>
      </c>
      <c r="D3441" s="9" t="str">
        <f>IFERROR(__xludf.DUMMYFUNCTION("""COMPUTED_VALUE"""),"Completed")</f>
        <v>Completed</v>
      </c>
    </row>
    <row r="3442">
      <c r="A3442" s="9" t="str">
        <f>IFERROR(__xludf.DUMMYFUNCTION("""COMPUTED_VALUE"""),"G-REQ-03441")</f>
        <v>G-REQ-03441</v>
      </c>
      <c r="B3442" s="11">
        <f>IFERROR(__xludf.DUMMYFUNCTION("""COMPUTED_VALUE"""),46006.226884894524)</f>
        <v>46006.22688</v>
      </c>
      <c r="C3442" s="9">
        <f>IFERROR(__xludf.DUMMYFUNCTION("""COMPUTED_VALUE"""),13393.0)</f>
        <v>13393</v>
      </c>
      <c r="D3442" s="9" t="str">
        <f>IFERROR(__xludf.DUMMYFUNCTION("""COMPUTED_VALUE"""),"Completed")</f>
        <v>Completed</v>
      </c>
    </row>
    <row r="3443">
      <c r="A3443" s="9" t="str">
        <f>IFERROR(__xludf.DUMMYFUNCTION("""COMPUTED_VALUE"""),"G-REQ-03442")</f>
        <v>G-REQ-03442</v>
      </c>
      <c r="B3443" s="11">
        <f>IFERROR(__xludf.DUMMYFUNCTION("""COMPUTED_VALUE"""),46006.298059739944)</f>
        <v>46006.29806</v>
      </c>
      <c r="C3443" s="9">
        <f>IFERROR(__xludf.DUMMYFUNCTION("""COMPUTED_VALUE"""),13397.0)</f>
        <v>13397</v>
      </c>
      <c r="D3443" s="9" t="str">
        <f>IFERROR(__xludf.DUMMYFUNCTION("""COMPUTED_VALUE"""),"Completed")</f>
        <v>Completed</v>
      </c>
    </row>
    <row r="3444">
      <c r="A3444" s="9" t="str">
        <f>IFERROR(__xludf.DUMMYFUNCTION("""COMPUTED_VALUE"""),"G-REQ-03443")</f>
        <v>G-REQ-03443</v>
      </c>
      <c r="B3444" s="11">
        <f>IFERROR(__xludf.DUMMYFUNCTION("""COMPUTED_VALUE"""),46006.36229014091)</f>
        <v>46006.36229</v>
      </c>
      <c r="C3444" s="9">
        <f>IFERROR(__xludf.DUMMYFUNCTION("""COMPUTED_VALUE"""),13399.0)</f>
        <v>13399</v>
      </c>
      <c r="D3444" s="9" t="str">
        <f>IFERROR(__xludf.DUMMYFUNCTION("""COMPUTED_VALUE"""),"Rejected")</f>
        <v>Rejected</v>
      </c>
    </row>
    <row r="3445">
      <c r="A3445" s="9" t="str">
        <f>IFERROR(__xludf.DUMMYFUNCTION("""COMPUTED_VALUE"""),"G-REQ-03444")</f>
        <v>G-REQ-03444</v>
      </c>
      <c r="B3445" s="11">
        <f>IFERROR(__xludf.DUMMYFUNCTION("""COMPUTED_VALUE"""),46006.44040943077)</f>
        <v>46006.44041</v>
      </c>
      <c r="C3445" s="9">
        <f>IFERROR(__xludf.DUMMYFUNCTION("""COMPUTED_VALUE"""),13403.0)</f>
        <v>13403</v>
      </c>
      <c r="D3445" s="9" t="str">
        <f>IFERROR(__xludf.DUMMYFUNCTION("""COMPUTED_VALUE"""),"Completed")</f>
        <v>Completed</v>
      </c>
    </row>
    <row r="3446">
      <c r="A3446" s="9" t="str">
        <f>IFERROR(__xludf.DUMMYFUNCTION("""COMPUTED_VALUE"""),"G-REQ-03445")</f>
        <v>G-REQ-03445</v>
      </c>
      <c r="B3446" s="11">
        <f>IFERROR(__xludf.DUMMYFUNCTION("""COMPUTED_VALUE"""),46006.50463983174)</f>
        <v>46006.50464</v>
      </c>
      <c r="C3446" s="9">
        <f>IFERROR(__xludf.DUMMYFUNCTION("""COMPUTED_VALUE"""),13405.0)</f>
        <v>13405</v>
      </c>
      <c r="D3446" s="9" t="str">
        <f>IFERROR(__xludf.DUMMYFUNCTION("""COMPUTED_VALUE"""),"Rejected")</f>
        <v>Rejected</v>
      </c>
    </row>
    <row r="3447">
      <c r="A3447" s="9" t="str">
        <f>IFERROR(__xludf.DUMMYFUNCTION("""COMPUTED_VALUE"""),"G-REQ-03446")</f>
        <v>G-REQ-03446</v>
      </c>
      <c r="B3447" s="11">
        <f>IFERROR(__xludf.DUMMYFUNCTION("""COMPUTED_VALUE"""),46006.58275912161)</f>
        <v>46006.58276</v>
      </c>
      <c r="C3447" s="9">
        <f>IFERROR(__xludf.DUMMYFUNCTION("""COMPUTED_VALUE"""),13409.0)</f>
        <v>13409</v>
      </c>
      <c r="D3447" s="9" t="str">
        <f>IFERROR(__xludf.DUMMYFUNCTION("""COMPUTED_VALUE"""),"Completed")</f>
        <v>Completed</v>
      </c>
    </row>
    <row r="3448">
      <c r="A3448" s="9" t="str">
        <f>IFERROR(__xludf.DUMMYFUNCTION("""COMPUTED_VALUE"""),"G-REQ-03447")</f>
        <v>G-REQ-03447</v>
      </c>
      <c r="B3448" s="11">
        <f>IFERROR(__xludf.DUMMYFUNCTION("""COMPUTED_VALUE"""),46006.65393396701)</f>
        <v>46006.65393</v>
      </c>
      <c r="C3448" s="9">
        <f>IFERROR(__xludf.DUMMYFUNCTION("""COMPUTED_VALUE"""),13413.0)</f>
        <v>13413</v>
      </c>
      <c r="D3448" s="9" t="str">
        <f>IFERROR(__xludf.DUMMYFUNCTION("""COMPUTED_VALUE"""),"Completed")</f>
        <v>Completed</v>
      </c>
    </row>
    <row r="3449">
      <c r="A3449" s="9" t="str">
        <f>IFERROR(__xludf.DUMMYFUNCTION("""COMPUTED_VALUE"""),"G-REQ-03448")</f>
        <v>G-REQ-03448</v>
      </c>
      <c r="B3449" s="11">
        <f>IFERROR(__xludf.DUMMYFUNCTION("""COMPUTED_VALUE"""),46006.72510881243)</f>
        <v>46006.72511</v>
      </c>
      <c r="C3449" s="9">
        <f>IFERROR(__xludf.DUMMYFUNCTION("""COMPUTED_VALUE"""),13417.0)</f>
        <v>13417</v>
      </c>
      <c r="D3449" s="9" t="str">
        <f>IFERROR(__xludf.DUMMYFUNCTION("""COMPUTED_VALUE"""),"Completed")</f>
        <v>Completed</v>
      </c>
    </row>
    <row r="3450">
      <c r="A3450" s="9" t="str">
        <f>IFERROR(__xludf.DUMMYFUNCTION("""COMPUTED_VALUE"""),"G-REQ-03449")</f>
        <v>G-REQ-03449</v>
      </c>
      <c r="B3450" s="11">
        <f>IFERROR(__xludf.DUMMYFUNCTION("""COMPUTED_VALUE"""),46006.7893392134)</f>
        <v>46006.78934</v>
      </c>
      <c r="C3450" s="9">
        <f>IFERROR(__xludf.DUMMYFUNCTION("""COMPUTED_VALUE"""),13419.0)</f>
        <v>13419</v>
      </c>
      <c r="D3450" s="9" t="str">
        <f>IFERROR(__xludf.DUMMYFUNCTION("""COMPUTED_VALUE"""),"Rejected")</f>
        <v>Rejected</v>
      </c>
    </row>
    <row r="3451">
      <c r="A3451" s="9" t="str">
        <f>IFERROR(__xludf.DUMMYFUNCTION("""COMPUTED_VALUE"""),"G-REQ-03450")</f>
        <v>G-REQ-03450</v>
      </c>
      <c r="B3451" s="11">
        <f>IFERROR(__xludf.DUMMYFUNCTION("""COMPUTED_VALUE"""),46006.867458503264)</f>
        <v>46006.86746</v>
      </c>
      <c r="C3451" s="9">
        <f>IFERROR(__xludf.DUMMYFUNCTION("""COMPUTED_VALUE"""),13423.0)</f>
        <v>13423</v>
      </c>
      <c r="D3451" s="9" t="str">
        <f>IFERROR(__xludf.DUMMYFUNCTION("""COMPUTED_VALUE"""),"Completed")</f>
        <v>Completed</v>
      </c>
    </row>
    <row r="3452">
      <c r="A3452" s="9" t="str">
        <f>IFERROR(__xludf.DUMMYFUNCTION("""COMPUTED_VALUE"""),"G-REQ-03451")</f>
        <v>G-REQ-03451</v>
      </c>
      <c r="B3452" s="11">
        <f>IFERROR(__xludf.DUMMYFUNCTION("""COMPUTED_VALUE"""),46006.93863334868)</f>
        <v>46006.93863</v>
      </c>
      <c r="C3452" s="9">
        <f>IFERROR(__xludf.DUMMYFUNCTION("""COMPUTED_VALUE"""),13427.0)</f>
        <v>13427</v>
      </c>
      <c r="D3452" s="9" t="str">
        <f>IFERROR(__xludf.DUMMYFUNCTION("""COMPUTED_VALUE"""),"Completed")</f>
        <v>Completed</v>
      </c>
    </row>
    <row r="3453">
      <c r="A3453" s="9" t="str">
        <f>IFERROR(__xludf.DUMMYFUNCTION("""COMPUTED_VALUE"""),"G-REQ-03452")</f>
        <v>G-REQ-03452</v>
      </c>
      <c r="B3453" s="11">
        <f>IFERROR(__xludf.DUMMYFUNCTION("""COMPUTED_VALUE"""),46007.009808194096)</f>
        <v>46007.00981</v>
      </c>
      <c r="C3453" s="9">
        <f>IFERROR(__xludf.DUMMYFUNCTION("""COMPUTED_VALUE"""),13431.0)</f>
        <v>13431</v>
      </c>
      <c r="D3453" s="9" t="str">
        <f>IFERROR(__xludf.DUMMYFUNCTION("""COMPUTED_VALUE"""),"Completed")</f>
        <v>Completed</v>
      </c>
    </row>
    <row r="3454">
      <c r="A3454" s="9" t="str">
        <f>IFERROR(__xludf.DUMMYFUNCTION("""COMPUTED_VALUE"""),"G-REQ-03453")</f>
        <v>G-REQ-03453</v>
      </c>
      <c r="B3454" s="11">
        <f>IFERROR(__xludf.DUMMYFUNCTION("""COMPUTED_VALUE"""),46007.0809830395)</f>
        <v>46007.08098</v>
      </c>
      <c r="C3454" s="9">
        <f>IFERROR(__xludf.DUMMYFUNCTION("""COMPUTED_VALUE"""),13435.0)</f>
        <v>13435</v>
      </c>
      <c r="D3454" s="9" t="str">
        <f>IFERROR(__xludf.DUMMYFUNCTION("""COMPUTED_VALUE"""),"Completed")</f>
        <v>Completed</v>
      </c>
    </row>
    <row r="3455">
      <c r="A3455" s="9" t="str">
        <f>IFERROR(__xludf.DUMMYFUNCTION("""COMPUTED_VALUE"""),"G-REQ-03454")</f>
        <v>G-REQ-03454</v>
      </c>
      <c r="B3455" s="11">
        <f>IFERROR(__xludf.DUMMYFUNCTION("""COMPUTED_VALUE"""),46007.145213440475)</f>
        <v>46007.14521</v>
      </c>
      <c r="C3455" s="9">
        <f>IFERROR(__xludf.DUMMYFUNCTION("""COMPUTED_VALUE"""),13437.0)</f>
        <v>13437</v>
      </c>
      <c r="D3455" s="9" t="str">
        <f>IFERROR(__xludf.DUMMYFUNCTION("""COMPUTED_VALUE"""),"Rejected")</f>
        <v>Rejected</v>
      </c>
    </row>
    <row r="3456">
      <c r="A3456" s="9" t="str">
        <f>IFERROR(__xludf.DUMMYFUNCTION("""COMPUTED_VALUE"""),"G-REQ-03455")</f>
        <v>G-REQ-03455</v>
      </c>
      <c r="B3456" s="11">
        <f>IFERROR(__xludf.DUMMYFUNCTION("""COMPUTED_VALUE"""),46007.22333273034)</f>
        <v>46007.22333</v>
      </c>
      <c r="C3456" s="9">
        <f>IFERROR(__xludf.DUMMYFUNCTION("""COMPUTED_VALUE"""),13441.0)</f>
        <v>13441</v>
      </c>
      <c r="D3456" s="9" t="str">
        <f>IFERROR(__xludf.DUMMYFUNCTION("""COMPUTED_VALUE"""),"Completed")</f>
        <v>Completed</v>
      </c>
    </row>
    <row r="3457">
      <c r="A3457" s="9" t="str">
        <f>IFERROR(__xludf.DUMMYFUNCTION("""COMPUTED_VALUE"""),"G-REQ-03456")</f>
        <v>G-REQ-03456</v>
      </c>
      <c r="B3457" s="11">
        <f>IFERROR(__xludf.DUMMYFUNCTION("""COMPUTED_VALUE"""),46007.29450757575)</f>
        <v>46007.29451</v>
      </c>
      <c r="C3457" s="9">
        <f>IFERROR(__xludf.DUMMYFUNCTION("""COMPUTED_VALUE"""),13445.0)</f>
        <v>13445</v>
      </c>
      <c r="D3457" s="9" t="str">
        <f>IFERROR(__xludf.DUMMYFUNCTION("""COMPUTED_VALUE"""),"Completed")</f>
        <v>Completed</v>
      </c>
    </row>
    <row r="3458">
      <c r="A3458" s="9" t="str">
        <f>IFERROR(__xludf.DUMMYFUNCTION("""COMPUTED_VALUE"""),"G-REQ-03457")</f>
        <v>G-REQ-03457</v>
      </c>
      <c r="B3458" s="11">
        <f>IFERROR(__xludf.DUMMYFUNCTION("""COMPUTED_VALUE"""),46007.365682421165)</f>
        <v>46007.36568</v>
      </c>
      <c r="C3458" s="9">
        <f>IFERROR(__xludf.DUMMYFUNCTION("""COMPUTED_VALUE"""),13449.0)</f>
        <v>13449</v>
      </c>
      <c r="D3458" s="9" t="str">
        <f>IFERROR(__xludf.DUMMYFUNCTION("""COMPUTED_VALUE"""),"Completed")</f>
        <v>Completed</v>
      </c>
    </row>
    <row r="3459">
      <c r="A3459" s="9" t="str">
        <f>IFERROR(__xludf.DUMMYFUNCTION("""COMPUTED_VALUE"""),"G-REQ-03458")</f>
        <v>G-REQ-03458</v>
      </c>
      <c r="B3459" s="11">
        <f>IFERROR(__xludf.DUMMYFUNCTION("""COMPUTED_VALUE"""),46007.436857266584)</f>
        <v>46007.43686</v>
      </c>
      <c r="C3459" s="9">
        <f>IFERROR(__xludf.DUMMYFUNCTION("""COMPUTED_VALUE"""),13453.0)</f>
        <v>13453</v>
      </c>
      <c r="D3459" s="9" t="str">
        <f>IFERROR(__xludf.DUMMYFUNCTION("""COMPUTED_VALUE"""),"Completed")</f>
        <v>Completed</v>
      </c>
    </row>
    <row r="3460">
      <c r="A3460" s="9" t="str">
        <f>IFERROR(__xludf.DUMMYFUNCTION("""COMPUTED_VALUE"""),"G-REQ-03459")</f>
        <v>G-REQ-03459</v>
      </c>
      <c r="B3460" s="11">
        <f>IFERROR(__xludf.DUMMYFUNCTION("""COMPUTED_VALUE"""),46007.508032112)</f>
        <v>46007.50803</v>
      </c>
      <c r="C3460" s="9">
        <f>IFERROR(__xludf.DUMMYFUNCTION("""COMPUTED_VALUE"""),13457.0)</f>
        <v>13457</v>
      </c>
      <c r="D3460" s="9" t="str">
        <f>IFERROR(__xludf.DUMMYFUNCTION("""COMPUTED_VALUE"""),"Completed")</f>
        <v>Completed</v>
      </c>
    </row>
    <row r="3461">
      <c r="A3461" s="9" t="str">
        <f>IFERROR(__xludf.DUMMYFUNCTION("""COMPUTED_VALUE"""),"G-REQ-03460")</f>
        <v>G-REQ-03460</v>
      </c>
      <c r="B3461" s="11">
        <f>IFERROR(__xludf.DUMMYFUNCTION("""COMPUTED_VALUE"""),46007.57920695741)</f>
        <v>46007.57921</v>
      </c>
      <c r="C3461" s="9">
        <f>IFERROR(__xludf.DUMMYFUNCTION("""COMPUTED_VALUE"""),13461.0)</f>
        <v>13461</v>
      </c>
      <c r="D3461" s="9" t="str">
        <f>IFERROR(__xludf.DUMMYFUNCTION("""COMPUTED_VALUE"""),"Completed")</f>
        <v>Completed</v>
      </c>
    </row>
    <row r="3462">
      <c r="A3462" s="9" t="str">
        <f>IFERROR(__xludf.DUMMYFUNCTION("""COMPUTED_VALUE"""),"G-REQ-03461")</f>
        <v>G-REQ-03461</v>
      </c>
      <c r="B3462" s="11">
        <f>IFERROR(__xludf.DUMMYFUNCTION("""COMPUTED_VALUE"""),46007.65038180283)</f>
        <v>46007.65038</v>
      </c>
      <c r="C3462" s="9">
        <f>IFERROR(__xludf.DUMMYFUNCTION("""COMPUTED_VALUE"""),13465.0)</f>
        <v>13465</v>
      </c>
      <c r="D3462" s="9" t="str">
        <f>IFERROR(__xludf.DUMMYFUNCTION("""COMPUTED_VALUE"""),"Completed")</f>
        <v>Completed</v>
      </c>
    </row>
    <row r="3463">
      <c r="A3463" s="9" t="str">
        <f>IFERROR(__xludf.DUMMYFUNCTION("""COMPUTED_VALUE"""),"G-REQ-03462")</f>
        <v>G-REQ-03462</v>
      </c>
      <c r="B3463" s="11">
        <f>IFERROR(__xludf.DUMMYFUNCTION("""COMPUTED_VALUE"""),46007.72155664825)</f>
        <v>46007.72156</v>
      </c>
      <c r="C3463" s="9">
        <f>IFERROR(__xludf.DUMMYFUNCTION("""COMPUTED_VALUE"""),13469.0)</f>
        <v>13469</v>
      </c>
      <c r="D3463" s="9" t="str">
        <f>IFERROR(__xludf.DUMMYFUNCTION("""COMPUTED_VALUE"""),"Completed")</f>
        <v>Completed</v>
      </c>
    </row>
    <row r="3464">
      <c r="A3464" s="9" t="str">
        <f>IFERROR(__xludf.DUMMYFUNCTION("""COMPUTED_VALUE"""),"G-REQ-03463")</f>
        <v>G-REQ-03463</v>
      </c>
      <c r="B3464" s="11">
        <f>IFERROR(__xludf.DUMMYFUNCTION("""COMPUTED_VALUE"""),46007.79273149365)</f>
        <v>46007.79273</v>
      </c>
      <c r="C3464" s="9">
        <f>IFERROR(__xludf.DUMMYFUNCTION("""COMPUTED_VALUE"""),13473.0)</f>
        <v>13473</v>
      </c>
      <c r="D3464" s="9" t="str">
        <f>IFERROR(__xludf.DUMMYFUNCTION("""COMPUTED_VALUE"""),"Completed")</f>
        <v>Completed</v>
      </c>
    </row>
    <row r="3465">
      <c r="A3465" s="9" t="str">
        <f>IFERROR(__xludf.DUMMYFUNCTION("""COMPUTED_VALUE"""),"G-REQ-03464")</f>
        <v>G-REQ-03464</v>
      </c>
      <c r="B3465" s="11">
        <f>IFERROR(__xludf.DUMMYFUNCTION("""COMPUTED_VALUE"""),46007.86390633907)</f>
        <v>46007.86391</v>
      </c>
      <c r="C3465" s="9">
        <f>IFERROR(__xludf.DUMMYFUNCTION("""COMPUTED_VALUE"""),13477.0)</f>
        <v>13477</v>
      </c>
      <c r="D3465" s="9" t="str">
        <f>IFERROR(__xludf.DUMMYFUNCTION("""COMPUTED_VALUE"""),"Completed")</f>
        <v>Completed</v>
      </c>
    </row>
    <row r="3466">
      <c r="A3466" s="9" t="str">
        <f>IFERROR(__xludf.DUMMYFUNCTION("""COMPUTED_VALUE"""),"G-REQ-03465")</f>
        <v>G-REQ-03465</v>
      </c>
      <c r="B3466" s="11">
        <f>IFERROR(__xludf.DUMMYFUNCTION("""COMPUTED_VALUE"""),46007.93508118449)</f>
        <v>46007.93508</v>
      </c>
      <c r="C3466" s="9">
        <f>IFERROR(__xludf.DUMMYFUNCTION("""COMPUTED_VALUE"""),13481.0)</f>
        <v>13481</v>
      </c>
      <c r="D3466" s="9" t="str">
        <f>IFERROR(__xludf.DUMMYFUNCTION("""COMPUTED_VALUE"""),"Completed")</f>
        <v>Completed</v>
      </c>
    </row>
    <row r="3467">
      <c r="A3467" s="9" t="str">
        <f>IFERROR(__xludf.DUMMYFUNCTION("""COMPUTED_VALUE"""),"G-REQ-03466")</f>
        <v>G-REQ-03466</v>
      </c>
      <c r="B3467" s="11">
        <f>IFERROR(__xludf.DUMMYFUNCTION("""COMPUTED_VALUE"""),46008.006256029905)</f>
        <v>46008.00626</v>
      </c>
      <c r="C3467" s="9">
        <f>IFERROR(__xludf.DUMMYFUNCTION("""COMPUTED_VALUE"""),13485.0)</f>
        <v>13485</v>
      </c>
      <c r="D3467" s="9" t="str">
        <f>IFERROR(__xludf.DUMMYFUNCTION("""COMPUTED_VALUE"""),"Completed")</f>
        <v>Completed</v>
      </c>
    </row>
    <row r="3468">
      <c r="A3468" s="9" t="str">
        <f>IFERROR(__xludf.DUMMYFUNCTION("""COMPUTED_VALUE"""),"G-REQ-03467")</f>
        <v>G-REQ-03467</v>
      </c>
      <c r="B3468" s="11">
        <f>IFERROR(__xludf.DUMMYFUNCTION("""COMPUTED_VALUE"""),46008.07743087532)</f>
        <v>46008.07743</v>
      </c>
      <c r="C3468" s="9">
        <f>IFERROR(__xludf.DUMMYFUNCTION("""COMPUTED_VALUE"""),13489.0)</f>
        <v>13489</v>
      </c>
      <c r="D3468" s="9" t="str">
        <f>IFERROR(__xludf.DUMMYFUNCTION("""COMPUTED_VALUE"""),"Completed")</f>
        <v>Completed</v>
      </c>
    </row>
    <row r="3469">
      <c r="A3469" s="9" t="str">
        <f>IFERROR(__xludf.DUMMYFUNCTION("""COMPUTED_VALUE"""),"G-REQ-03468")</f>
        <v>G-REQ-03468</v>
      </c>
      <c r="B3469" s="11">
        <f>IFERROR(__xludf.DUMMYFUNCTION("""COMPUTED_VALUE"""),46008.14860572074)</f>
        <v>46008.14861</v>
      </c>
      <c r="C3469" s="9">
        <f>IFERROR(__xludf.DUMMYFUNCTION("""COMPUTED_VALUE"""),13493.0)</f>
        <v>13493</v>
      </c>
      <c r="D3469" s="9" t="str">
        <f>IFERROR(__xludf.DUMMYFUNCTION("""COMPUTED_VALUE"""),"Completed")</f>
        <v>Completed</v>
      </c>
    </row>
    <row r="3470">
      <c r="A3470" s="9" t="str">
        <f>IFERROR(__xludf.DUMMYFUNCTION("""COMPUTED_VALUE"""),"G-REQ-03469")</f>
        <v>G-REQ-03469</v>
      </c>
      <c r="B3470" s="11">
        <f>IFERROR(__xludf.DUMMYFUNCTION("""COMPUTED_VALUE"""),46008.21978056615)</f>
        <v>46008.21978</v>
      </c>
      <c r="C3470" s="9">
        <f>IFERROR(__xludf.DUMMYFUNCTION("""COMPUTED_VALUE"""),13497.0)</f>
        <v>13497</v>
      </c>
      <c r="D3470" s="9" t="str">
        <f>IFERROR(__xludf.DUMMYFUNCTION("""COMPUTED_VALUE"""),"Completed")</f>
        <v>Completed</v>
      </c>
    </row>
    <row r="3471">
      <c r="A3471" s="9" t="str">
        <f>IFERROR(__xludf.DUMMYFUNCTION("""COMPUTED_VALUE"""),"G-REQ-03470")</f>
        <v>G-REQ-03470</v>
      </c>
      <c r="B3471" s="11">
        <f>IFERROR(__xludf.DUMMYFUNCTION("""COMPUTED_VALUE"""),46008.29095541156)</f>
        <v>46008.29096</v>
      </c>
      <c r="C3471" s="9">
        <f>IFERROR(__xludf.DUMMYFUNCTION("""COMPUTED_VALUE"""),13501.0)</f>
        <v>13501</v>
      </c>
      <c r="D3471" s="9" t="str">
        <f>IFERROR(__xludf.DUMMYFUNCTION("""COMPUTED_VALUE"""),"Completed")</f>
        <v>Completed</v>
      </c>
    </row>
    <row r="3472">
      <c r="A3472" s="9" t="str">
        <f>IFERROR(__xludf.DUMMYFUNCTION("""COMPUTED_VALUE"""),"G-REQ-03471")</f>
        <v>G-REQ-03471</v>
      </c>
      <c r="B3472" s="11">
        <f>IFERROR(__xludf.DUMMYFUNCTION("""COMPUTED_VALUE"""),46008.36213025698)</f>
        <v>46008.36213</v>
      </c>
      <c r="C3472" s="9">
        <f>IFERROR(__xludf.DUMMYFUNCTION("""COMPUTED_VALUE"""),13505.0)</f>
        <v>13505</v>
      </c>
      <c r="D3472" s="9" t="str">
        <f>IFERROR(__xludf.DUMMYFUNCTION("""COMPUTED_VALUE"""),"Completed")</f>
        <v>Completed</v>
      </c>
    </row>
    <row r="3473">
      <c r="A3473" s="9" t="str">
        <f>IFERROR(__xludf.DUMMYFUNCTION("""COMPUTED_VALUE"""),"G-REQ-03472")</f>
        <v>G-REQ-03472</v>
      </c>
      <c r="B3473" s="11">
        <f>IFERROR(__xludf.DUMMYFUNCTION("""COMPUTED_VALUE"""),46008.43330510239)</f>
        <v>46008.43331</v>
      </c>
      <c r="C3473" s="9">
        <f>IFERROR(__xludf.DUMMYFUNCTION("""COMPUTED_VALUE"""),13509.0)</f>
        <v>13509</v>
      </c>
      <c r="D3473" s="9" t="str">
        <f>IFERROR(__xludf.DUMMYFUNCTION("""COMPUTED_VALUE"""),"Completed")</f>
        <v>Completed</v>
      </c>
    </row>
    <row r="3474">
      <c r="A3474" s="9" t="str">
        <f>IFERROR(__xludf.DUMMYFUNCTION("""COMPUTED_VALUE"""),"G-REQ-03473")</f>
        <v>G-REQ-03473</v>
      </c>
      <c r="B3474" s="11">
        <f>IFERROR(__xludf.DUMMYFUNCTION("""COMPUTED_VALUE"""),46008.504479947806)</f>
        <v>46008.50448</v>
      </c>
      <c r="C3474" s="9">
        <f>IFERROR(__xludf.DUMMYFUNCTION("""COMPUTED_VALUE"""),13513.0)</f>
        <v>13513</v>
      </c>
      <c r="D3474" s="9" t="str">
        <f>IFERROR(__xludf.DUMMYFUNCTION("""COMPUTED_VALUE"""),"Completed")</f>
        <v>Completed</v>
      </c>
    </row>
    <row r="3475">
      <c r="A3475" s="9" t="str">
        <f>IFERROR(__xludf.DUMMYFUNCTION("""COMPUTED_VALUE"""),"G-REQ-03474")</f>
        <v>G-REQ-03474</v>
      </c>
      <c r="B3475" s="11">
        <f>IFERROR(__xludf.DUMMYFUNCTION("""COMPUTED_VALUE"""),46008.575654793225)</f>
        <v>46008.57565</v>
      </c>
      <c r="C3475" s="9">
        <f>IFERROR(__xludf.DUMMYFUNCTION("""COMPUTED_VALUE"""),13517.0)</f>
        <v>13517</v>
      </c>
      <c r="D3475" s="9" t="str">
        <f>IFERROR(__xludf.DUMMYFUNCTION("""COMPUTED_VALUE"""),"Completed")</f>
        <v>Completed</v>
      </c>
    </row>
    <row r="3476">
      <c r="A3476" s="9" t="str">
        <f>IFERROR(__xludf.DUMMYFUNCTION("""COMPUTED_VALUE"""),"G-REQ-03475")</f>
        <v>G-REQ-03475</v>
      </c>
      <c r="B3476" s="11">
        <f>IFERROR(__xludf.DUMMYFUNCTION("""COMPUTED_VALUE"""),46008.64682963864)</f>
        <v>46008.64683</v>
      </c>
      <c r="C3476" s="9">
        <f>IFERROR(__xludf.DUMMYFUNCTION("""COMPUTED_VALUE"""),13521.0)</f>
        <v>13521</v>
      </c>
      <c r="D3476" s="9" t="str">
        <f>IFERROR(__xludf.DUMMYFUNCTION("""COMPUTED_VALUE"""),"Completed")</f>
        <v>Completed</v>
      </c>
    </row>
    <row r="3477">
      <c r="A3477" s="9" t="str">
        <f>IFERROR(__xludf.DUMMYFUNCTION("""COMPUTED_VALUE"""),"G-REQ-03476")</f>
        <v>G-REQ-03476</v>
      </c>
      <c r="B3477" s="11">
        <f>IFERROR(__xludf.DUMMYFUNCTION("""COMPUTED_VALUE"""),46008.71800448405)</f>
        <v>46008.718</v>
      </c>
      <c r="C3477" s="9">
        <f>IFERROR(__xludf.DUMMYFUNCTION("""COMPUTED_VALUE"""),13525.0)</f>
        <v>13525</v>
      </c>
      <c r="D3477" s="9" t="str">
        <f>IFERROR(__xludf.DUMMYFUNCTION("""COMPUTED_VALUE"""),"Completed")</f>
        <v>Completed</v>
      </c>
    </row>
    <row r="3478">
      <c r="A3478" s="9" t="str">
        <f>IFERROR(__xludf.DUMMYFUNCTION("""COMPUTED_VALUE"""),"G-REQ-03477")</f>
        <v>G-REQ-03477</v>
      </c>
      <c r="B3478" s="11">
        <f>IFERROR(__xludf.DUMMYFUNCTION("""COMPUTED_VALUE"""),46008.78917932947)</f>
        <v>46008.78918</v>
      </c>
      <c r="C3478" s="9">
        <f>IFERROR(__xludf.DUMMYFUNCTION("""COMPUTED_VALUE"""),13529.0)</f>
        <v>13529</v>
      </c>
      <c r="D3478" s="9" t="str">
        <f>IFERROR(__xludf.DUMMYFUNCTION("""COMPUTED_VALUE"""),"Completed")</f>
        <v>Completed</v>
      </c>
    </row>
    <row r="3479">
      <c r="A3479" s="9" t="str">
        <f>IFERROR(__xludf.DUMMYFUNCTION("""COMPUTED_VALUE"""),"G-REQ-03478")</f>
        <v>G-REQ-03478</v>
      </c>
      <c r="B3479" s="11">
        <f>IFERROR(__xludf.DUMMYFUNCTION("""COMPUTED_VALUE"""),46008.86035417489)</f>
        <v>46008.86035</v>
      </c>
      <c r="C3479" s="9">
        <f>IFERROR(__xludf.DUMMYFUNCTION("""COMPUTED_VALUE"""),13533.0)</f>
        <v>13533</v>
      </c>
      <c r="D3479" s="9" t="str">
        <f>IFERROR(__xludf.DUMMYFUNCTION("""COMPUTED_VALUE"""),"Completed")</f>
        <v>Completed</v>
      </c>
    </row>
    <row r="3480">
      <c r="A3480" s="9" t="str">
        <f>IFERROR(__xludf.DUMMYFUNCTION("""COMPUTED_VALUE"""),"G-REQ-03479")</f>
        <v>G-REQ-03479</v>
      </c>
      <c r="B3480" s="11">
        <f>IFERROR(__xludf.DUMMYFUNCTION("""COMPUTED_VALUE"""),46008.931529020294)</f>
        <v>46008.93153</v>
      </c>
      <c r="C3480" s="9">
        <f>IFERROR(__xludf.DUMMYFUNCTION("""COMPUTED_VALUE"""),13537.0)</f>
        <v>13537</v>
      </c>
      <c r="D3480" s="9" t="str">
        <f>IFERROR(__xludf.DUMMYFUNCTION("""COMPUTED_VALUE"""),"Completed")</f>
        <v>Completed</v>
      </c>
    </row>
    <row r="3481">
      <c r="A3481" s="9" t="str">
        <f>IFERROR(__xludf.DUMMYFUNCTION("""COMPUTED_VALUE"""),"G-REQ-03480")</f>
        <v>G-REQ-03480</v>
      </c>
      <c r="B3481" s="11">
        <f>IFERROR(__xludf.DUMMYFUNCTION("""COMPUTED_VALUE"""),46008.99575942127)</f>
        <v>46008.99576</v>
      </c>
      <c r="C3481" s="9">
        <f>IFERROR(__xludf.DUMMYFUNCTION("""COMPUTED_VALUE"""),13539.0)</f>
        <v>13539</v>
      </c>
      <c r="D3481" s="9" t="str">
        <f>IFERROR(__xludf.DUMMYFUNCTION("""COMPUTED_VALUE"""),"Cancelled")</f>
        <v>Cancelled</v>
      </c>
    </row>
    <row r="3482">
      <c r="A3482" s="9" t="str">
        <f>IFERROR(__xludf.DUMMYFUNCTION("""COMPUTED_VALUE"""),"G-REQ-03481")</f>
        <v>G-REQ-03481</v>
      </c>
      <c r="B3482" s="11">
        <f>IFERROR(__xludf.DUMMYFUNCTION("""COMPUTED_VALUE"""),46009.07387871113)</f>
        <v>46009.07388</v>
      </c>
      <c r="C3482" s="9">
        <f>IFERROR(__xludf.DUMMYFUNCTION("""COMPUTED_VALUE"""),13543.0)</f>
        <v>13543</v>
      </c>
      <c r="D3482" s="9" t="str">
        <f>IFERROR(__xludf.DUMMYFUNCTION("""COMPUTED_VALUE"""),"Completed")</f>
        <v>Completed</v>
      </c>
    </row>
    <row r="3483">
      <c r="A3483" s="9" t="str">
        <f>IFERROR(__xludf.DUMMYFUNCTION("""COMPUTED_VALUE"""),"G-REQ-03482")</f>
        <v>G-REQ-03482</v>
      </c>
      <c r="B3483" s="11">
        <f>IFERROR(__xludf.DUMMYFUNCTION("""COMPUTED_VALUE"""),46009.145053556545)</f>
        <v>46009.14505</v>
      </c>
      <c r="C3483" s="9">
        <f>IFERROR(__xludf.DUMMYFUNCTION("""COMPUTED_VALUE"""),13547.0)</f>
        <v>13547</v>
      </c>
      <c r="D3483" s="9" t="str">
        <f>IFERROR(__xludf.DUMMYFUNCTION("""COMPUTED_VALUE"""),"Completed")</f>
        <v>Completed</v>
      </c>
    </row>
    <row r="3484">
      <c r="A3484" s="9" t="str">
        <f>IFERROR(__xludf.DUMMYFUNCTION("""COMPUTED_VALUE"""),"G-REQ-03483")</f>
        <v>G-REQ-03483</v>
      </c>
      <c r="B3484" s="11">
        <f>IFERROR(__xludf.DUMMYFUNCTION("""COMPUTED_VALUE"""),46009.21622840196)</f>
        <v>46009.21623</v>
      </c>
      <c r="C3484" s="9">
        <f>IFERROR(__xludf.DUMMYFUNCTION("""COMPUTED_VALUE"""),13551.0)</f>
        <v>13551</v>
      </c>
      <c r="D3484" s="9" t="str">
        <f>IFERROR(__xludf.DUMMYFUNCTION("""COMPUTED_VALUE"""),"Completed")</f>
        <v>Completed</v>
      </c>
    </row>
    <row r="3485">
      <c r="A3485" s="9" t="str">
        <f>IFERROR(__xludf.DUMMYFUNCTION("""COMPUTED_VALUE"""),"G-REQ-03484")</f>
        <v>G-REQ-03484</v>
      </c>
      <c r="B3485" s="11">
        <f>IFERROR(__xludf.DUMMYFUNCTION("""COMPUTED_VALUE"""),46009.28740324738)</f>
        <v>46009.2874</v>
      </c>
      <c r="C3485" s="9">
        <f>IFERROR(__xludf.DUMMYFUNCTION("""COMPUTED_VALUE"""),13555.0)</f>
        <v>13555</v>
      </c>
      <c r="D3485" s="9" t="str">
        <f>IFERROR(__xludf.DUMMYFUNCTION("""COMPUTED_VALUE"""),"Completed")</f>
        <v>Completed</v>
      </c>
    </row>
    <row r="3486">
      <c r="A3486" s="9" t="str">
        <f>IFERROR(__xludf.DUMMYFUNCTION("""COMPUTED_VALUE"""),"G-REQ-03485")</f>
        <v>G-REQ-03485</v>
      </c>
      <c r="B3486" s="11">
        <f>IFERROR(__xludf.DUMMYFUNCTION("""COMPUTED_VALUE"""),46009.35857809279)</f>
        <v>46009.35858</v>
      </c>
      <c r="C3486" s="9">
        <f>IFERROR(__xludf.DUMMYFUNCTION("""COMPUTED_VALUE"""),13559.0)</f>
        <v>13559</v>
      </c>
      <c r="D3486" s="9" t="str">
        <f>IFERROR(__xludf.DUMMYFUNCTION("""COMPUTED_VALUE"""),"Completed")</f>
        <v>Completed</v>
      </c>
    </row>
    <row r="3487">
      <c r="A3487" s="9" t="str">
        <f>IFERROR(__xludf.DUMMYFUNCTION("""COMPUTED_VALUE"""),"G-REQ-03486")</f>
        <v>G-REQ-03486</v>
      </c>
      <c r="B3487" s="11">
        <f>IFERROR(__xludf.DUMMYFUNCTION("""COMPUTED_VALUE"""),46009.4297529382)</f>
        <v>46009.42975</v>
      </c>
      <c r="C3487" s="9">
        <f>IFERROR(__xludf.DUMMYFUNCTION("""COMPUTED_VALUE"""),13563.0)</f>
        <v>13563</v>
      </c>
      <c r="D3487" s="9" t="str">
        <f>IFERROR(__xludf.DUMMYFUNCTION("""COMPUTED_VALUE"""),"Completed")</f>
        <v>Completed</v>
      </c>
    </row>
    <row r="3488">
      <c r="A3488" s="9" t="str">
        <f>IFERROR(__xludf.DUMMYFUNCTION("""COMPUTED_VALUE"""),"G-REQ-03487")</f>
        <v>G-REQ-03487</v>
      </c>
      <c r="B3488" s="11">
        <f>IFERROR(__xludf.DUMMYFUNCTION("""COMPUTED_VALUE"""),46009.493983339176)</f>
        <v>46009.49398</v>
      </c>
      <c r="C3488" s="9">
        <f>IFERROR(__xludf.DUMMYFUNCTION("""COMPUTED_VALUE"""),13565.0)</f>
        <v>13565</v>
      </c>
      <c r="D3488" s="9" t="str">
        <f>IFERROR(__xludf.DUMMYFUNCTION("""COMPUTED_VALUE"""),"Cancelled")</f>
        <v>Cancelled</v>
      </c>
    </row>
    <row r="3489">
      <c r="A3489" s="9" t="str">
        <f>IFERROR(__xludf.DUMMYFUNCTION("""COMPUTED_VALUE"""),"G-REQ-03488")</f>
        <v>G-REQ-03488</v>
      </c>
      <c r="B3489" s="11">
        <f>IFERROR(__xludf.DUMMYFUNCTION("""COMPUTED_VALUE"""),46009.57210262904)</f>
        <v>46009.5721</v>
      </c>
      <c r="C3489" s="9">
        <f>IFERROR(__xludf.DUMMYFUNCTION("""COMPUTED_VALUE"""),13569.0)</f>
        <v>13569</v>
      </c>
      <c r="D3489" s="9" t="str">
        <f>IFERROR(__xludf.DUMMYFUNCTION("""COMPUTED_VALUE"""),"Completed")</f>
        <v>Completed</v>
      </c>
    </row>
    <row r="3490">
      <c r="A3490" s="9" t="str">
        <f>IFERROR(__xludf.DUMMYFUNCTION("""COMPUTED_VALUE"""),"G-REQ-03489")</f>
        <v>G-REQ-03489</v>
      </c>
      <c r="B3490" s="11">
        <f>IFERROR(__xludf.DUMMYFUNCTION("""COMPUTED_VALUE"""),46009.643277474446)</f>
        <v>46009.64328</v>
      </c>
      <c r="C3490" s="9">
        <f>IFERROR(__xludf.DUMMYFUNCTION("""COMPUTED_VALUE"""),13573.0)</f>
        <v>13573</v>
      </c>
      <c r="D3490" s="9" t="str">
        <f>IFERROR(__xludf.DUMMYFUNCTION("""COMPUTED_VALUE"""),"Completed")</f>
        <v>Completed</v>
      </c>
    </row>
    <row r="3491">
      <c r="A3491" s="9" t="str">
        <f>IFERROR(__xludf.DUMMYFUNCTION("""COMPUTED_VALUE"""),"G-REQ-03490")</f>
        <v>G-REQ-03490</v>
      </c>
      <c r="B3491" s="11">
        <f>IFERROR(__xludf.DUMMYFUNCTION("""COMPUTED_VALUE"""),46009.714452319866)</f>
        <v>46009.71445</v>
      </c>
      <c r="C3491" s="9">
        <f>IFERROR(__xludf.DUMMYFUNCTION("""COMPUTED_VALUE"""),13577.0)</f>
        <v>13577</v>
      </c>
      <c r="D3491" s="9" t="str">
        <f>IFERROR(__xludf.DUMMYFUNCTION("""COMPUTED_VALUE"""),"Completed")</f>
        <v>Completed</v>
      </c>
    </row>
    <row r="3492">
      <c r="A3492" s="9" t="str">
        <f>IFERROR(__xludf.DUMMYFUNCTION("""COMPUTED_VALUE"""),"G-REQ-03491")</f>
        <v>G-REQ-03491</v>
      </c>
      <c r="B3492" s="11">
        <f>IFERROR(__xludf.DUMMYFUNCTION("""COMPUTED_VALUE"""),46009.78562716528)</f>
        <v>46009.78563</v>
      </c>
      <c r="C3492" s="9">
        <f>IFERROR(__xludf.DUMMYFUNCTION("""COMPUTED_VALUE"""),13581.0)</f>
        <v>13581</v>
      </c>
      <c r="D3492" s="9" t="str">
        <f>IFERROR(__xludf.DUMMYFUNCTION("""COMPUTED_VALUE"""),"Completed")</f>
        <v>Completed</v>
      </c>
    </row>
    <row r="3493">
      <c r="A3493" s="9" t="str">
        <f>IFERROR(__xludf.DUMMYFUNCTION("""COMPUTED_VALUE"""),"G-REQ-03492")</f>
        <v>G-REQ-03492</v>
      </c>
      <c r="B3493" s="11">
        <f>IFERROR(__xludf.DUMMYFUNCTION("""COMPUTED_VALUE"""),46009.84985756625)</f>
        <v>46009.84986</v>
      </c>
      <c r="C3493" s="9">
        <f>IFERROR(__xludf.DUMMYFUNCTION("""COMPUTED_VALUE"""),13583.0)</f>
        <v>13583</v>
      </c>
      <c r="D3493" s="9" t="str">
        <f>IFERROR(__xludf.DUMMYFUNCTION("""COMPUTED_VALUE"""),"Cancelled")</f>
        <v>Cancelled</v>
      </c>
    </row>
    <row r="3494">
      <c r="A3494" s="9" t="str">
        <f>IFERROR(__xludf.DUMMYFUNCTION("""COMPUTED_VALUE"""),"G-REQ-03493")</f>
        <v>G-REQ-03493</v>
      </c>
      <c r="B3494" s="11">
        <f>IFERROR(__xludf.DUMMYFUNCTION("""COMPUTED_VALUE"""),46009.92797685611)</f>
        <v>46009.92798</v>
      </c>
      <c r="C3494" s="9">
        <f>IFERROR(__xludf.DUMMYFUNCTION("""COMPUTED_VALUE"""),13587.0)</f>
        <v>13587</v>
      </c>
      <c r="D3494" s="9" t="str">
        <f>IFERROR(__xludf.DUMMYFUNCTION("""COMPUTED_VALUE"""),"Completed")</f>
        <v>Completed</v>
      </c>
    </row>
    <row r="3495">
      <c r="A3495" s="9" t="str">
        <f>IFERROR(__xludf.DUMMYFUNCTION("""COMPUTED_VALUE"""),"G-REQ-03494")</f>
        <v>G-REQ-03494</v>
      </c>
      <c r="B3495" s="11">
        <f>IFERROR(__xludf.DUMMYFUNCTION("""COMPUTED_VALUE"""),46009.99915170153)</f>
        <v>46009.99915</v>
      </c>
      <c r="C3495" s="9">
        <f>IFERROR(__xludf.DUMMYFUNCTION("""COMPUTED_VALUE"""),13591.0)</f>
        <v>13591</v>
      </c>
      <c r="D3495" s="9" t="str">
        <f>IFERROR(__xludf.DUMMYFUNCTION("""COMPUTED_VALUE"""),"Completed")</f>
        <v>Completed</v>
      </c>
    </row>
    <row r="3496">
      <c r="A3496" s="9" t="str">
        <f>IFERROR(__xludf.DUMMYFUNCTION("""COMPUTED_VALUE"""),"G-REQ-03495")</f>
        <v>G-REQ-03495</v>
      </c>
      <c r="B3496" s="11">
        <f>IFERROR(__xludf.DUMMYFUNCTION("""COMPUTED_VALUE"""),46010.070326546935)</f>
        <v>46010.07033</v>
      </c>
      <c r="C3496" s="9">
        <f>IFERROR(__xludf.DUMMYFUNCTION("""COMPUTED_VALUE"""),13595.0)</f>
        <v>13595</v>
      </c>
      <c r="D3496" s="9" t="str">
        <f>IFERROR(__xludf.DUMMYFUNCTION("""COMPUTED_VALUE"""),"Completed")</f>
        <v>Completed</v>
      </c>
    </row>
    <row r="3497">
      <c r="A3497" s="9" t="str">
        <f>IFERROR(__xludf.DUMMYFUNCTION("""COMPUTED_VALUE"""),"G-REQ-03496")</f>
        <v>G-REQ-03496</v>
      </c>
      <c r="B3497" s="11">
        <f>IFERROR(__xludf.DUMMYFUNCTION("""COMPUTED_VALUE"""),46010.141501392354)</f>
        <v>46010.1415</v>
      </c>
      <c r="C3497" s="9">
        <f>IFERROR(__xludf.DUMMYFUNCTION("""COMPUTED_VALUE"""),13599.0)</f>
        <v>13599</v>
      </c>
      <c r="D3497" s="9" t="str">
        <f>IFERROR(__xludf.DUMMYFUNCTION("""COMPUTED_VALUE"""),"Completed")</f>
        <v>Completed</v>
      </c>
    </row>
    <row r="3498">
      <c r="A3498" s="9" t="str">
        <f>IFERROR(__xludf.DUMMYFUNCTION("""COMPUTED_VALUE"""),"G-REQ-03497")</f>
        <v>G-REQ-03497</v>
      </c>
      <c r="B3498" s="11">
        <f>IFERROR(__xludf.DUMMYFUNCTION("""COMPUTED_VALUE"""),46010.212676237774)</f>
        <v>46010.21268</v>
      </c>
      <c r="C3498" s="9">
        <f>IFERROR(__xludf.DUMMYFUNCTION("""COMPUTED_VALUE"""),13603.0)</f>
        <v>13603</v>
      </c>
      <c r="D3498" s="9" t="str">
        <f>IFERROR(__xludf.DUMMYFUNCTION("""COMPUTED_VALUE"""),"Completed")</f>
        <v>Completed</v>
      </c>
    </row>
    <row r="3499">
      <c r="A3499" s="9" t="str">
        <f>IFERROR(__xludf.DUMMYFUNCTION("""COMPUTED_VALUE"""),"G-REQ-03498")</f>
        <v>G-REQ-03498</v>
      </c>
      <c r="B3499" s="11">
        <f>IFERROR(__xludf.DUMMYFUNCTION("""COMPUTED_VALUE"""),46010.283851083186)</f>
        <v>46010.28385</v>
      </c>
      <c r="C3499" s="9">
        <f>IFERROR(__xludf.DUMMYFUNCTION("""COMPUTED_VALUE"""),13607.0)</f>
        <v>13607</v>
      </c>
      <c r="D3499" s="9" t="str">
        <f>IFERROR(__xludf.DUMMYFUNCTION("""COMPUTED_VALUE"""),"Completed")</f>
        <v>Completed</v>
      </c>
    </row>
    <row r="3500">
      <c r="A3500" s="9" t="str">
        <f>IFERROR(__xludf.DUMMYFUNCTION("""COMPUTED_VALUE"""),"G-REQ-03499")</f>
        <v>G-REQ-03499</v>
      </c>
      <c r="B3500" s="11">
        <f>IFERROR(__xludf.DUMMYFUNCTION("""COMPUTED_VALUE"""),46010.3550259286)</f>
        <v>46010.35503</v>
      </c>
      <c r="C3500" s="9">
        <f>IFERROR(__xludf.DUMMYFUNCTION("""COMPUTED_VALUE"""),13611.0)</f>
        <v>13611</v>
      </c>
      <c r="D3500" s="9" t="str">
        <f>IFERROR(__xludf.DUMMYFUNCTION("""COMPUTED_VALUE"""),"Completed")</f>
        <v>Completed</v>
      </c>
    </row>
    <row r="3501">
      <c r="A3501" s="9" t="str">
        <f>IFERROR(__xludf.DUMMYFUNCTION("""COMPUTED_VALUE"""),"G-REQ-03500")</f>
        <v>G-REQ-03500</v>
      </c>
      <c r="B3501" s="11">
        <f>IFERROR(__xludf.DUMMYFUNCTION("""COMPUTED_VALUE"""),46010.42620077402)</f>
        <v>46010.4262</v>
      </c>
      <c r="C3501" s="9">
        <f>IFERROR(__xludf.DUMMYFUNCTION("""COMPUTED_VALUE"""),13615.0)</f>
        <v>13615</v>
      </c>
      <c r="D3501" s="9" t="str">
        <f>IFERROR(__xludf.DUMMYFUNCTION("""COMPUTED_VALUE"""),"Completed")</f>
        <v>Completed</v>
      </c>
    </row>
    <row r="3502">
      <c r="A3502" s="9" t="str">
        <f>IFERROR(__xludf.DUMMYFUNCTION("""COMPUTED_VALUE"""),"G-REQ-03501")</f>
        <v>G-REQ-03501</v>
      </c>
      <c r="B3502" s="11">
        <f>IFERROR(__xludf.DUMMYFUNCTION("""COMPUTED_VALUE"""),46010.49737561943)</f>
        <v>46010.49738</v>
      </c>
      <c r="C3502" s="9">
        <f>IFERROR(__xludf.DUMMYFUNCTION("""COMPUTED_VALUE"""),13619.0)</f>
        <v>13619</v>
      </c>
      <c r="D3502" s="9" t="str">
        <f>IFERROR(__xludf.DUMMYFUNCTION("""COMPUTED_VALUE"""),"Completed")</f>
        <v>Completed</v>
      </c>
    </row>
    <row r="3503">
      <c r="A3503" s="9" t="str">
        <f>IFERROR(__xludf.DUMMYFUNCTION("""COMPUTED_VALUE"""),"G-REQ-03502")</f>
        <v>G-REQ-03502</v>
      </c>
      <c r="B3503" s="11">
        <f>IFERROR(__xludf.DUMMYFUNCTION("""COMPUTED_VALUE"""),46010.56855046484)</f>
        <v>46010.56855</v>
      </c>
      <c r="C3503" s="9">
        <f>IFERROR(__xludf.DUMMYFUNCTION("""COMPUTED_VALUE"""),13623.0)</f>
        <v>13623</v>
      </c>
      <c r="D3503" s="9" t="str">
        <f>IFERROR(__xludf.DUMMYFUNCTION("""COMPUTED_VALUE"""),"Completed")</f>
        <v>Completed</v>
      </c>
    </row>
    <row r="3504">
      <c r="A3504" s="9" t="str">
        <f>IFERROR(__xludf.DUMMYFUNCTION("""COMPUTED_VALUE"""),"G-REQ-03503")</f>
        <v>G-REQ-03503</v>
      </c>
      <c r="B3504" s="11">
        <f>IFERROR(__xludf.DUMMYFUNCTION("""COMPUTED_VALUE"""),46010.63972531026)</f>
        <v>46010.63973</v>
      </c>
      <c r="C3504" s="9">
        <f>IFERROR(__xludf.DUMMYFUNCTION("""COMPUTED_VALUE"""),13627.0)</f>
        <v>13627</v>
      </c>
      <c r="D3504" s="9" t="str">
        <f>IFERROR(__xludf.DUMMYFUNCTION("""COMPUTED_VALUE"""),"Completed")</f>
        <v>Completed</v>
      </c>
    </row>
    <row r="3505">
      <c r="A3505" s="9" t="str">
        <f>IFERROR(__xludf.DUMMYFUNCTION("""COMPUTED_VALUE"""),"G-REQ-03504")</f>
        <v>G-REQ-03504</v>
      </c>
      <c r="B3505" s="11">
        <f>IFERROR(__xludf.DUMMYFUNCTION("""COMPUTED_VALUE"""),46010.71090015568)</f>
        <v>46010.7109</v>
      </c>
      <c r="C3505" s="9">
        <f>IFERROR(__xludf.DUMMYFUNCTION("""COMPUTED_VALUE"""),13631.0)</f>
        <v>13631</v>
      </c>
      <c r="D3505" s="9" t="str">
        <f>IFERROR(__xludf.DUMMYFUNCTION("""COMPUTED_VALUE"""),"Completed")</f>
        <v>Completed</v>
      </c>
    </row>
    <row r="3506">
      <c r="A3506" s="9" t="str">
        <f>IFERROR(__xludf.DUMMYFUNCTION("""COMPUTED_VALUE"""),"G-REQ-03505")</f>
        <v>G-REQ-03505</v>
      </c>
      <c r="B3506" s="11">
        <f>IFERROR(__xludf.DUMMYFUNCTION("""COMPUTED_VALUE"""),46010.78207500109)</f>
        <v>46010.78208</v>
      </c>
      <c r="C3506" s="9">
        <f>IFERROR(__xludf.DUMMYFUNCTION("""COMPUTED_VALUE"""),13635.0)</f>
        <v>13635</v>
      </c>
      <c r="D3506" s="9" t="str">
        <f>IFERROR(__xludf.DUMMYFUNCTION("""COMPUTED_VALUE"""),"Completed")</f>
        <v>Completed</v>
      </c>
    </row>
    <row r="3507">
      <c r="A3507" s="9" t="str">
        <f>IFERROR(__xludf.DUMMYFUNCTION("""COMPUTED_VALUE"""),"G-REQ-03506")</f>
        <v>G-REQ-03506</v>
      </c>
      <c r="B3507" s="11">
        <f>IFERROR(__xludf.DUMMYFUNCTION("""COMPUTED_VALUE"""),46010.85324984651)</f>
        <v>46010.85325</v>
      </c>
      <c r="C3507" s="9">
        <f>IFERROR(__xludf.DUMMYFUNCTION("""COMPUTED_VALUE"""),13639.0)</f>
        <v>13639</v>
      </c>
      <c r="D3507" s="9" t="str">
        <f>IFERROR(__xludf.DUMMYFUNCTION("""COMPUTED_VALUE"""),"Completed")</f>
        <v>Completed</v>
      </c>
    </row>
    <row r="3508">
      <c r="A3508" s="9" t="str">
        <f>IFERROR(__xludf.DUMMYFUNCTION("""COMPUTED_VALUE"""),"G-REQ-03507")</f>
        <v>G-REQ-03507</v>
      </c>
      <c r="B3508" s="11">
        <f>IFERROR(__xludf.DUMMYFUNCTION("""COMPUTED_VALUE"""),46010.91748024748)</f>
        <v>46010.91748</v>
      </c>
      <c r="C3508" s="9">
        <f>IFERROR(__xludf.DUMMYFUNCTION("""COMPUTED_VALUE"""),13641.0)</f>
        <v>13641</v>
      </c>
      <c r="D3508" s="9" t="str">
        <f>IFERROR(__xludf.DUMMYFUNCTION("""COMPUTED_VALUE"""),"Rejected")</f>
        <v>Rejected</v>
      </c>
    </row>
    <row r="3509">
      <c r="A3509" s="9" t="str">
        <f>IFERROR(__xludf.DUMMYFUNCTION("""COMPUTED_VALUE"""),"G-REQ-03508")</f>
        <v>G-REQ-03508</v>
      </c>
      <c r="B3509" s="11">
        <f>IFERROR(__xludf.DUMMYFUNCTION("""COMPUTED_VALUE"""),46010.98865509289)</f>
        <v>46010.98866</v>
      </c>
      <c r="C3509" s="9">
        <f>IFERROR(__xludf.DUMMYFUNCTION("""COMPUTED_VALUE"""),13643.0)</f>
        <v>13643</v>
      </c>
      <c r="D3509" s="9" t="str">
        <f>IFERROR(__xludf.DUMMYFUNCTION("""COMPUTED_VALUE"""),"Rejected")</f>
        <v>Rejected</v>
      </c>
    </row>
    <row r="3510">
      <c r="A3510" s="9" t="str">
        <f>IFERROR(__xludf.DUMMYFUNCTION("""COMPUTED_VALUE"""),"G-REQ-03509")</f>
        <v>G-REQ-03509</v>
      </c>
      <c r="B3510" s="11">
        <f>IFERROR(__xludf.DUMMYFUNCTION("""COMPUTED_VALUE"""),46011.059829938305)</f>
        <v>46011.05983</v>
      </c>
      <c r="C3510" s="9">
        <f>IFERROR(__xludf.DUMMYFUNCTION("""COMPUTED_VALUE"""),13645.0)</f>
        <v>13645</v>
      </c>
      <c r="D3510" s="9" t="str">
        <f>IFERROR(__xludf.DUMMYFUNCTION("""COMPUTED_VALUE"""),"Rejected")</f>
        <v>Rejected</v>
      </c>
    </row>
    <row r="3511">
      <c r="A3511" s="9" t="str">
        <f>IFERROR(__xludf.DUMMYFUNCTION("""COMPUTED_VALUE"""),"G-REQ-03510")</f>
        <v>G-REQ-03510</v>
      </c>
      <c r="B3511" s="11">
        <f>IFERROR(__xludf.DUMMYFUNCTION("""COMPUTED_VALUE"""),46011.131004783725)</f>
        <v>46011.131</v>
      </c>
      <c r="C3511" s="9">
        <f>IFERROR(__xludf.DUMMYFUNCTION("""COMPUTED_VALUE"""),13647.0)</f>
        <v>13647</v>
      </c>
      <c r="D3511" s="9" t="str">
        <f>IFERROR(__xludf.DUMMYFUNCTION("""COMPUTED_VALUE"""),"Rejected")</f>
        <v>Rejected</v>
      </c>
    </row>
    <row r="3512">
      <c r="A3512" s="9" t="str">
        <f>IFERROR(__xludf.DUMMYFUNCTION("""COMPUTED_VALUE"""),"G-REQ-03511")</f>
        <v>G-REQ-03511</v>
      </c>
      <c r="B3512" s="11">
        <f>IFERROR(__xludf.DUMMYFUNCTION("""COMPUTED_VALUE"""),46011.20912407358)</f>
        <v>46011.20912</v>
      </c>
      <c r="C3512" s="9">
        <f>IFERROR(__xludf.DUMMYFUNCTION("""COMPUTED_VALUE"""),13651.0)</f>
        <v>13651</v>
      </c>
      <c r="D3512" s="9" t="str">
        <f>IFERROR(__xludf.DUMMYFUNCTION("""COMPUTED_VALUE"""),"Completed")</f>
        <v>Completed</v>
      </c>
    </row>
    <row r="3513">
      <c r="A3513" s="9" t="str">
        <f>IFERROR(__xludf.DUMMYFUNCTION("""COMPUTED_VALUE"""),"G-REQ-03512")</f>
        <v>G-REQ-03512</v>
      </c>
      <c r="B3513" s="11">
        <f>IFERROR(__xludf.DUMMYFUNCTION("""COMPUTED_VALUE"""),46011.280298918995)</f>
        <v>46011.2803</v>
      </c>
      <c r="C3513" s="9">
        <f>IFERROR(__xludf.DUMMYFUNCTION("""COMPUTED_VALUE"""),13655.0)</f>
        <v>13655</v>
      </c>
      <c r="D3513" s="9" t="str">
        <f>IFERROR(__xludf.DUMMYFUNCTION("""COMPUTED_VALUE"""),"Completed")</f>
        <v>Completed</v>
      </c>
    </row>
    <row r="3514">
      <c r="A3514" s="9" t="str">
        <f>IFERROR(__xludf.DUMMYFUNCTION("""COMPUTED_VALUE"""),"G-REQ-03513")</f>
        <v>G-REQ-03513</v>
      </c>
      <c r="B3514" s="11">
        <f>IFERROR(__xludf.DUMMYFUNCTION("""COMPUTED_VALUE"""),46011.351473764415)</f>
        <v>46011.35147</v>
      </c>
      <c r="C3514" s="9">
        <f>IFERROR(__xludf.DUMMYFUNCTION("""COMPUTED_VALUE"""),13659.0)</f>
        <v>13659</v>
      </c>
      <c r="D3514" s="9" t="str">
        <f>IFERROR(__xludf.DUMMYFUNCTION("""COMPUTED_VALUE"""),"Completed")</f>
        <v>Completed</v>
      </c>
    </row>
    <row r="3515">
      <c r="A3515" s="9" t="str">
        <f>IFERROR(__xludf.DUMMYFUNCTION("""COMPUTED_VALUE"""),"G-REQ-03514")</f>
        <v>G-REQ-03514</v>
      </c>
      <c r="B3515" s="11">
        <f>IFERROR(__xludf.DUMMYFUNCTION("""COMPUTED_VALUE"""),46011.42264860983)</f>
        <v>46011.42265</v>
      </c>
      <c r="C3515" s="9">
        <f>IFERROR(__xludf.DUMMYFUNCTION("""COMPUTED_VALUE"""),13663.0)</f>
        <v>13663</v>
      </c>
      <c r="D3515" s="9" t="str">
        <f>IFERROR(__xludf.DUMMYFUNCTION("""COMPUTED_VALUE"""),"Completed")</f>
        <v>Completed</v>
      </c>
    </row>
    <row r="3516">
      <c r="A3516" s="9" t="str">
        <f>IFERROR(__xludf.DUMMYFUNCTION("""COMPUTED_VALUE"""),"G-REQ-03515")</f>
        <v>G-REQ-03515</v>
      </c>
      <c r="B3516" s="11">
        <f>IFERROR(__xludf.DUMMYFUNCTION("""COMPUTED_VALUE"""),46011.49382345524)</f>
        <v>46011.49382</v>
      </c>
      <c r="C3516" s="9">
        <f>IFERROR(__xludf.DUMMYFUNCTION("""COMPUTED_VALUE"""),13667.0)</f>
        <v>13667</v>
      </c>
      <c r="D3516" s="9" t="str">
        <f>IFERROR(__xludf.DUMMYFUNCTION("""COMPUTED_VALUE"""),"Completed")</f>
        <v>Completed</v>
      </c>
    </row>
    <row r="3517">
      <c r="A3517" s="9" t="str">
        <f>IFERROR(__xludf.DUMMYFUNCTION("""COMPUTED_VALUE"""),"G-REQ-03516")</f>
        <v>G-REQ-03516</v>
      </c>
      <c r="B3517" s="11">
        <f>IFERROR(__xludf.DUMMYFUNCTION("""COMPUTED_VALUE"""),46011.55805385621)</f>
        <v>46011.55805</v>
      </c>
      <c r="C3517" s="9">
        <f>IFERROR(__xludf.DUMMYFUNCTION("""COMPUTED_VALUE"""),13669.0)</f>
        <v>13669</v>
      </c>
      <c r="D3517" s="9" t="str">
        <f>IFERROR(__xludf.DUMMYFUNCTION("""COMPUTED_VALUE"""),"Rejected")</f>
        <v>Rejected</v>
      </c>
    </row>
    <row r="3518">
      <c r="A3518" s="9" t="str">
        <f>IFERROR(__xludf.DUMMYFUNCTION("""COMPUTED_VALUE"""),"G-REQ-03517")</f>
        <v>G-REQ-03517</v>
      </c>
      <c r="B3518" s="11">
        <f>IFERROR(__xludf.DUMMYFUNCTION("""COMPUTED_VALUE"""),46011.63617314607)</f>
        <v>46011.63617</v>
      </c>
      <c r="C3518" s="9">
        <f>IFERROR(__xludf.DUMMYFUNCTION("""COMPUTED_VALUE"""),13673.0)</f>
        <v>13673</v>
      </c>
      <c r="D3518" s="9" t="str">
        <f>IFERROR(__xludf.DUMMYFUNCTION("""COMPUTED_VALUE"""),"Completed")</f>
        <v>Completed</v>
      </c>
    </row>
    <row r="3519">
      <c r="A3519" s="9" t="str">
        <f>IFERROR(__xludf.DUMMYFUNCTION("""COMPUTED_VALUE"""),"G-REQ-03518")</f>
        <v>G-REQ-03518</v>
      </c>
      <c r="B3519" s="11">
        <f>IFERROR(__xludf.DUMMYFUNCTION("""COMPUTED_VALUE"""),46011.70734799148)</f>
        <v>46011.70735</v>
      </c>
      <c r="C3519" s="9">
        <f>IFERROR(__xludf.DUMMYFUNCTION("""COMPUTED_VALUE"""),13677.0)</f>
        <v>13677</v>
      </c>
      <c r="D3519" s="9" t="str">
        <f>IFERROR(__xludf.DUMMYFUNCTION("""COMPUTED_VALUE"""),"Completed")</f>
        <v>Completed</v>
      </c>
    </row>
    <row r="3520">
      <c r="A3520" s="9" t="str">
        <f>IFERROR(__xludf.DUMMYFUNCTION("""COMPUTED_VALUE"""),"G-REQ-03519")</f>
        <v>G-REQ-03519</v>
      </c>
      <c r="B3520" s="11">
        <f>IFERROR(__xludf.DUMMYFUNCTION("""COMPUTED_VALUE"""),46011.7785228369)</f>
        <v>46011.77852</v>
      </c>
      <c r="C3520" s="9">
        <f>IFERROR(__xludf.DUMMYFUNCTION("""COMPUTED_VALUE"""),13681.0)</f>
        <v>13681</v>
      </c>
      <c r="D3520" s="9" t="str">
        <f>IFERROR(__xludf.DUMMYFUNCTION("""COMPUTED_VALUE"""),"Completed")</f>
        <v>Completed</v>
      </c>
    </row>
    <row r="3521">
      <c r="A3521" s="9" t="str">
        <f>IFERROR(__xludf.DUMMYFUNCTION("""COMPUTED_VALUE"""),"G-REQ-03520")</f>
        <v>G-REQ-03520</v>
      </c>
      <c r="B3521" s="11">
        <f>IFERROR(__xludf.DUMMYFUNCTION("""COMPUTED_VALUE"""),46011.84969768232)</f>
        <v>46011.8497</v>
      </c>
      <c r="C3521" s="9">
        <f>IFERROR(__xludf.DUMMYFUNCTION("""COMPUTED_VALUE"""),13685.0)</f>
        <v>13685</v>
      </c>
      <c r="D3521" s="9" t="str">
        <f>IFERROR(__xludf.DUMMYFUNCTION("""COMPUTED_VALUE"""),"Completed")</f>
        <v>Completed</v>
      </c>
    </row>
    <row r="3522">
      <c r="A3522" s="9" t="str">
        <f>IFERROR(__xludf.DUMMYFUNCTION("""COMPUTED_VALUE"""),"G-REQ-03521")</f>
        <v>G-REQ-03521</v>
      </c>
      <c r="B3522" s="11">
        <f>IFERROR(__xludf.DUMMYFUNCTION("""COMPUTED_VALUE"""),46011.92087252773)</f>
        <v>46011.92087</v>
      </c>
      <c r="C3522" s="9">
        <f>IFERROR(__xludf.DUMMYFUNCTION("""COMPUTED_VALUE"""),13689.0)</f>
        <v>13689</v>
      </c>
      <c r="D3522" s="9" t="str">
        <f>IFERROR(__xludf.DUMMYFUNCTION("""COMPUTED_VALUE"""),"Completed")</f>
        <v>Completed</v>
      </c>
    </row>
    <row r="3523">
      <c r="A3523" s="9" t="str">
        <f>IFERROR(__xludf.DUMMYFUNCTION("""COMPUTED_VALUE"""),"G-REQ-03522")</f>
        <v>G-REQ-03522</v>
      </c>
      <c r="B3523" s="11">
        <f>IFERROR(__xludf.DUMMYFUNCTION("""COMPUTED_VALUE"""),46011.99204737315)</f>
        <v>46011.99205</v>
      </c>
      <c r="C3523" s="9">
        <f>IFERROR(__xludf.DUMMYFUNCTION("""COMPUTED_VALUE"""),13693.0)</f>
        <v>13693</v>
      </c>
      <c r="D3523" s="9" t="str">
        <f>IFERROR(__xludf.DUMMYFUNCTION("""COMPUTED_VALUE"""),"Completed")</f>
        <v>Completed</v>
      </c>
    </row>
    <row r="3524">
      <c r="A3524" s="9" t="str">
        <f>IFERROR(__xludf.DUMMYFUNCTION("""COMPUTED_VALUE"""),"G-REQ-03523")</f>
        <v>G-REQ-03523</v>
      </c>
      <c r="B3524" s="11">
        <f>IFERROR(__xludf.DUMMYFUNCTION("""COMPUTED_VALUE"""),46012.06322221857)</f>
        <v>46012.06322</v>
      </c>
      <c r="C3524" s="9">
        <f>IFERROR(__xludf.DUMMYFUNCTION("""COMPUTED_VALUE"""),13697.0)</f>
        <v>13697</v>
      </c>
      <c r="D3524" s="9" t="str">
        <f>IFERROR(__xludf.DUMMYFUNCTION("""COMPUTED_VALUE"""),"Completed")</f>
        <v>Completed</v>
      </c>
    </row>
    <row r="3525">
      <c r="A3525" s="9" t="str">
        <f>IFERROR(__xludf.DUMMYFUNCTION("""COMPUTED_VALUE"""),"G-REQ-03524")</f>
        <v>G-REQ-03524</v>
      </c>
      <c r="B3525" s="11">
        <f>IFERROR(__xludf.DUMMYFUNCTION("""COMPUTED_VALUE"""),46012.13439706398)</f>
        <v>46012.1344</v>
      </c>
      <c r="C3525" s="9">
        <f>IFERROR(__xludf.DUMMYFUNCTION("""COMPUTED_VALUE"""),13701.0)</f>
        <v>13701</v>
      </c>
      <c r="D3525" s="9" t="str">
        <f>IFERROR(__xludf.DUMMYFUNCTION("""COMPUTED_VALUE"""),"Completed")</f>
        <v>Completed</v>
      </c>
    </row>
    <row r="3526">
      <c r="A3526" s="9" t="str">
        <f>IFERROR(__xludf.DUMMYFUNCTION("""COMPUTED_VALUE"""),"G-REQ-03525")</f>
        <v>G-REQ-03525</v>
      </c>
      <c r="B3526" s="11">
        <f>IFERROR(__xludf.DUMMYFUNCTION("""COMPUTED_VALUE"""),46012.198627464946)</f>
        <v>46012.19863</v>
      </c>
      <c r="C3526" s="9">
        <f>IFERROR(__xludf.DUMMYFUNCTION("""COMPUTED_VALUE"""),13703.0)</f>
        <v>13703</v>
      </c>
      <c r="D3526" s="9" t="str">
        <f>IFERROR(__xludf.DUMMYFUNCTION("""COMPUTED_VALUE"""),"Cancelled")</f>
        <v>Cancelled</v>
      </c>
    </row>
    <row r="3527">
      <c r="A3527" s="9" t="str">
        <f>IFERROR(__xludf.DUMMYFUNCTION("""COMPUTED_VALUE"""),"G-REQ-03526")</f>
        <v>G-REQ-03526</v>
      </c>
      <c r="B3527" s="11">
        <f>IFERROR(__xludf.DUMMYFUNCTION("""COMPUTED_VALUE"""),46012.27674675481)</f>
        <v>46012.27675</v>
      </c>
      <c r="C3527" s="9">
        <f>IFERROR(__xludf.DUMMYFUNCTION("""COMPUTED_VALUE"""),13707.0)</f>
        <v>13707</v>
      </c>
      <c r="D3527" s="9" t="str">
        <f>IFERROR(__xludf.DUMMYFUNCTION("""COMPUTED_VALUE"""),"Completed")</f>
        <v>Completed</v>
      </c>
    </row>
    <row r="3528">
      <c r="A3528" s="9" t="str">
        <f>IFERROR(__xludf.DUMMYFUNCTION("""COMPUTED_VALUE"""),"G-REQ-03527")</f>
        <v>G-REQ-03527</v>
      </c>
      <c r="B3528" s="11">
        <f>IFERROR(__xludf.DUMMYFUNCTION("""COMPUTED_VALUE"""),46012.34097715578)</f>
        <v>46012.34098</v>
      </c>
      <c r="C3528" s="9">
        <f>IFERROR(__xludf.DUMMYFUNCTION("""COMPUTED_VALUE"""),13709.0)</f>
        <v>13709</v>
      </c>
      <c r="D3528" s="9" t="str">
        <f>IFERROR(__xludf.DUMMYFUNCTION("""COMPUTED_VALUE"""),"Cancelled")</f>
        <v>Cancelled</v>
      </c>
    </row>
    <row r="3529">
      <c r="A3529" s="9" t="str">
        <f>IFERROR(__xludf.DUMMYFUNCTION("""COMPUTED_VALUE"""),"G-REQ-03528")</f>
        <v>G-REQ-03528</v>
      </c>
      <c r="B3529" s="11">
        <f>IFERROR(__xludf.DUMMYFUNCTION("""COMPUTED_VALUE"""),46012.419096445636)</f>
        <v>46012.4191</v>
      </c>
      <c r="C3529" s="9">
        <f>IFERROR(__xludf.DUMMYFUNCTION("""COMPUTED_VALUE"""),13713.0)</f>
        <v>13713</v>
      </c>
      <c r="D3529" s="9" t="str">
        <f>IFERROR(__xludf.DUMMYFUNCTION("""COMPUTED_VALUE"""),"Completed")</f>
        <v>Completed</v>
      </c>
    </row>
    <row r="3530">
      <c r="A3530" s="9" t="str">
        <f>IFERROR(__xludf.DUMMYFUNCTION("""COMPUTED_VALUE"""),"G-REQ-03529")</f>
        <v>G-REQ-03529</v>
      </c>
      <c r="B3530" s="11">
        <f>IFERROR(__xludf.DUMMYFUNCTION("""COMPUTED_VALUE"""),46012.490271291055)</f>
        <v>46012.49027</v>
      </c>
      <c r="C3530" s="9">
        <f>IFERROR(__xludf.DUMMYFUNCTION("""COMPUTED_VALUE"""),13717.0)</f>
        <v>13717</v>
      </c>
      <c r="D3530" s="9" t="str">
        <f>IFERROR(__xludf.DUMMYFUNCTION("""COMPUTED_VALUE"""),"Completed")</f>
        <v>Completed</v>
      </c>
    </row>
    <row r="3531">
      <c r="A3531" s="9" t="str">
        <f>IFERROR(__xludf.DUMMYFUNCTION("""COMPUTED_VALUE"""),"G-REQ-03530")</f>
        <v>G-REQ-03530</v>
      </c>
      <c r="B3531" s="11">
        <f>IFERROR(__xludf.DUMMYFUNCTION("""COMPUTED_VALUE"""),46012.561446136475)</f>
        <v>46012.56145</v>
      </c>
      <c r="C3531" s="9">
        <f>IFERROR(__xludf.DUMMYFUNCTION("""COMPUTED_VALUE"""),13721.0)</f>
        <v>13721</v>
      </c>
      <c r="D3531" s="9" t="str">
        <f>IFERROR(__xludf.DUMMYFUNCTION("""COMPUTED_VALUE"""),"Completed")</f>
        <v>Completed</v>
      </c>
    </row>
    <row r="3532">
      <c r="A3532" s="9" t="str">
        <f>IFERROR(__xludf.DUMMYFUNCTION("""COMPUTED_VALUE"""),"G-REQ-03531")</f>
        <v>G-REQ-03531</v>
      </c>
      <c r="B3532" s="11">
        <f>IFERROR(__xludf.DUMMYFUNCTION("""COMPUTED_VALUE"""),46012.63262098188)</f>
        <v>46012.63262</v>
      </c>
      <c r="C3532" s="9">
        <f>IFERROR(__xludf.DUMMYFUNCTION("""COMPUTED_VALUE"""),13725.0)</f>
        <v>13725</v>
      </c>
      <c r="D3532" s="9" t="str">
        <f>IFERROR(__xludf.DUMMYFUNCTION("""COMPUTED_VALUE"""),"Completed")</f>
        <v>Completed</v>
      </c>
    </row>
    <row r="3533">
      <c r="A3533" s="9" t="str">
        <f>IFERROR(__xludf.DUMMYFUNCTION("""COMPUTED_VALUE"""),"G-REQ-03532")</f>
        <v>G-REQ-03532</v>
      </c>
      <c r="B3533" s="11">
        <f>IFERROR(__xludf.DUMMYFUNCTION("""COMPUTED_VALUE"""),46012.7037958273)</f>
        <v>46012.7038</v>
      </c>
      <c r="C3533" s="9">
        <f>IFERROR(__xludf.DUMMYFUNCTION("""COMPUTED_VALUE"""),13729.0)</f>
        <v>13729</v>
      </c>
      <c r="D3533" s="9" t="str">
        <f>IFERROR(__xludf.DUMMYFUNCTION("""COMPUTED_VALUE"""),"Completed")</f>
        <v>Completed</v>
      </c>
    </row>
    <row r="3534">
      <c r="A3534" s="9" t="str">
        <f>IFERROR(__xludf.DUMMYFUNCTION("""COMPUTED_VALUE"""),"G-REQ-03533")</f>
        <v>G-REQ-03533</v>
      </c>
      <c r="B3534" s="11">
        <f>IFERROR(__xludf.DUMMYFUNCTION("""COMPUTED_VALUE"""),46012.77497067271)</f>
        <v>46012.77497</v>
      </c>
      <c r="C3534" s="9">
        <f>IFERROR(__xludf.DUMMYFUNCTION("""COMPUTED_VALUE"""),13733.0)</f>
        <v>13733</v>
      </c>
      <c r="D3534" s="9" t="str">
        <f>IFERROR(__xludf.DUMMYFUNCTION("""COMPUTED_VALUE"""),"Completed")</f>
        <v>Completed</v>
      </c>
    </row>
    <row r="3535">
      <c r="A3535" s="9" t="str">
        <f>IFERROR(__xludf.DUMMYFUNCTION("""COMPUTED_VALUE"""),"G-REQ-03534")</f>
        <v>G-REQ-03534</v>
      </c>
      <c r="B3535" s="11">
        <f>IFERROR(__xludf.DUMMYFUNCTION("""COMPUTED_VALUE"""),46012.84614551813)</f>
        <v>46012.84615</v>
      </c>
      <c r="C3535" s="9">
        <f>IFERROR(__xludf.DUMMYFUNCTION("""COMPUTED_VALUE"""),13737.0)</f>
        <v>13737</v>
      </c>
      <c r="D3535" s="9" t="str">
        <f>IFERROR(__xludf.DUMMYFUNCTION("""COMPUTED_VALUE"""),"Completed")</f>
        <v>Completed</v>
      </c>
    </row>
    <row r="3536">
      <c r="A3536" s="9" t="str">
        <f>IFERROR(__xludf.DUMMYFUNCTION("""COMPUTED_VALUE"""),"G-REQ-03535")</f>
        <v>G-REQ-03535</v>
      </c>
      <c r="B3536" s="11">
        <f>IFERROR(__xludf.DUMMYFUNCTION("""COMPUTED_VALUE"""),46012.9103759191)</f>
        <v>46012.91038</v>
      </c>
      <c r="C3536" s="9">
        <f>IFERROR(__xludf.DUMMYFUNCTION("""COMPUTED_VALUE"""),13739.0)</f>
        <v>13739</v>
      </c>
      <c r="D3536" s="9" t="str">
        <f>IFERROR(__xludf.DUMMYFUNCTION("""COMPUTED_VALUE"""),"Cancelled")</f>
        <v>Cancelled</v>
      </c>
    </row>
    <row r="3537">
      <c r="A3537" s="9" t="str">
        <f>IFERROR(__xludf.DUMMYFUNCTION("""COMPUTED_VALUE"""),"G-REQ-03536")</f>
        <v>G-REQ-03536</v>
      </c>
      <c r="B3537" s="11">
        <f>IFERROR(__xludf.DUMMYFUNCTION("""COMPUTED_VALUE"""),46012.98849520896)</f>
        <v>46012.9885</v>
      </c>
      <c r="C3537" s="9">
        <f>IFERROR(__xludf.DUMMYFUNCTION("""COMPUTED_VALUE"""),13743.0)</f>
        <v>13743</v>
      </c>
      <c r="D3537" s="9" t="str">
        <f>IFERROR(__xludf.DUMMYFUNCTION("""COMPUTED_VALUE"""),"Completed")</f>
        <v>Completed</v>
      </c>
    </row>
    <row r="3538">
      <c r="A3538" s="9" t="str">
        <f>IFERROR(__xludf.DUMMYFUNCTION("""COMPUTED_VALUE"""),"G-REQ-03537")</f>
        <v>G-REQ-03537</v>
      </c>
      <c r="B3538" s="11">
        <f>IFERROR(__xludf.DUMMYFUNCTION("""COMPUTED_VALUE"""),46013.05967005437)</f>
        <v>46013.05967</v>
      </c>
      <c r="C3538" s="9">
        <f>IFERROR(__xludf.DUMMYFUNCTION("""COMPUTED_VALUE"""),13747.0)</f>
        <v>13747</v>
      </c>
      <c r="D3538" s="9" t="str">
        <f>IFERROR(__xludf.DUMMYFUNCTION("""COMPUTED_VALUE"""),"Completed")</f>
        <v>Completed</v>
      </c>
    </row>
    <row r="3539">
      <c r="A3539" s="9" t="str">
        <f>IFERROR(__xludf.DUMMYFUNCTION("""COMPUTED_VALUE"""),"G-REQ-03538")</f>
        <v>G-REQ-03538</v>
      </c>
      <c r="B3539" s="11">
        <f>IFERROR(__xludf.DUMMYFUNCTION("""COMPUTED_VALUE"""),46013.13084489979)</f>
        <v>46013.13084</v>
      </c>
      <c r="C3539" s="9">
        <f>IFERROR(__xludf.DUMMYFUNCTION("""COMPUTED_VALUE"""),13751.0)</f>
        <v>13751</v>
      </c>
      <c r="D3539" s="9" t="str">
        <f>IFERROR(__xludf.DUMMYFUNCTION("""COMPUTED_VALUE"""),"Completed")</f>
        <v>Completed</v>
      </c>
    </row>
    <row r="3540">
      <c r="A3540" s="9" t="str">
        <f>IFERROR(__xludf.DUMMYFUNCTION("""COMPUTED_VALUE"""),"G-REQ-03539")</f>
        <v>G-REQ-03539</v>
      </c>
      <c r="B3540" s="11">
        <f>IFERROR(__xludf.DUMMYFUNCTION("""COMPUTED_VALUE"""),46013.20201974521)</f>
        <v>46013.20202</v>
      </c>
      <c r="C3540" s="9">
        <f>IFERROR(__xludf.DUMMYFUNCTION("""COMPUTED_VALUE"""),13755.0)</f>
        <v>13755</v>
      </c>
      <c r="D3540" s="9" t="str">
        <f>IFERROR(__xludf.DUMMYFUNCTION("""COMPUTED_VALUE"""),"Completed")</f>
        <v>Completed</v>
      </c>
    </row>
    <row r="3541">
      <c r="A3541" s="9" t="str">
        <f>IFERROR(__xludf.DUMMYFUNCTION("""COMPUTED_VALUE"""),"G-REQ-03540")</f>
        <v>G-REQ-03540</v>
      </c>
      <c r="B3541" s="11">
        <f>IFERROR(__xludf.DUMMYFUNCTION("""COMPUTED_VALUE"""),46013.27319459062)</f>
        <v>46013.27319</v>
      </c>
      <c r="C3541" s="9">
        <f>IFERROR(__xludf.DUMMYFUNCTION("""COMPUTED_VALUE"""),13759.0)</f>
        <v>13759</v>
      </c>
      <c r="D3541" s="9" t="str">
        <f>IFERROR(__xludf.DUMMYFUNCTION("""COMPUTED_VALUE"""),"Completed")</f>
        <v>Completed</v>
      </c>
    </row>
    <row r="3542">
      <c r="A3542" s="9" t="str">
        <f>IFERROR(__xludf.DUMMYFUNCTION("""COMPUTED_VALUE"""),"G-REQ-03541")</f>
        <v>G-REQ-03541</v>
      </c>
      <c r="B3542" s="11">
        <f>IFERROR(__xludf.DUMMYFUNCTION("""COMPUTED_VALUE"""),46013.34436943603)</f>
        <v>46013.34437</v>
      </c>
      <c r="C3542" s="9">
        <f>IFERROR(__xludf.DUMMYFUNCTION("""COMPUTED_VALUE"""),13763.0)</f>
        <v>13763</v>
      </c>
      <c r="D3542" s="9" t="str">
        <f>IFERROR(__xludf.DUMMYFUNCTION("""COMPUTED_VALUE"""),"Completed")</f>
        <v>Completed</v>
      </c>
    </row>
    <row r="3543">
      <c r="A3543" s="9" t="str">
        <f>IFERROR(__xludf.DUMMYFUNCTION("""COMPUTED_VALUE"""),"G-REQ-03542")</f>
        <v>G-REQ-03542</v>
      </c>
      <c r="B3543" s="11">
        <f>IFERROR(__xludf.DUMMYFUNCTION("""COMPUTED_VALUE"""),46013.41554428145)</f>
        <v>46013.41554</v>
      </c>
      <c r="C3543" s="9">
        <f>IFERROR(__xludf.DUMMYFUNCTION("""COMPUTED_VALUE"""),13767.0)</f>
        <v>13767</v>
      </c>
      <c r="D3543" s="9" t="str">
        <f>IFERROR(__xludf.DUMMYFUNCTION("""COMPUTED_VALUE"""),"Completed")</f>
        <v>Completed</v>
      </c>
    </row>
    <row r="3544">
      <c r="A3544" s="9" t="str">
        <f>IFERROR(__xludf.DUMMYFUNCTION("""COMPUTED_VALUE"""),"G-REQ-03543")</f>
        <v>G-REQ-03543</v>
      </c>
      <c r="B3544" s="11">
        <f>IFERROR(__xludf.DUMMYFUNCTION("""COMPUTED_VALUE"""),46013.486719126864)</f>
        <v>46013.48672</v>
      </c>
      <c r="C3544" s="9">
        <f>IFERROR(__xludf.DUMMYFUNCTION("""COMPUTED_VALUE"""),13771.0)</f>
        <v>13771</v>
      </c>
      <c r="D3544" s="9" t="str">
        <f>IFERROR(__xludf.DUMMYFUNCTION("""COMPUTED_VALUE"""),"Completed")</f>
        <v>Completed</v>
      </c>
    </row>
    <row r="3545">
      <c r="A3545" s="9" t="str">
        <f>IFERROR(__xludf.DUMMYFUNCTION("""COMPUTED_VALUE"""),"G-REQ-03544")</f>
        <v>G-REQ-03544</v>
      </c>
      <c r="B3545" s="11">
        <f>IFERROR(__xludf.DUMMYFUNCTION("""COMPUTED_VALUE"""),46013.557893972276)</f>
        <v>46013.55789</v>
      </c>
      <c r="C3545" s="9">
        <f>IFERROR(__xludf.DUMMYFUNCTION("""COMPUTED_VALUE"""),13775.0)</f>
        <v>13775</v>
      </c>
      <c r="D3545" s="9" t="str">
        <f>IFERROR(__xludf.DUMMYFUNCTION("""COMPUTED_VALUE"""),"Completed")</f>
        <v>Completed</v>
      </c>
    </row>
    <row r="3546">
      <c r="A3546" s="9" t="str">
        <f>IFERROR(__xludf.DUMMYFUNCTION("""COMPUTED_VALUE"""),"G-REQ-03545")</f>
        <v>G-REQ-03545</v>
      </c>
      <c r="B3546" s="11">
        <f>IFERROR(__xludf.DUMMYFUNCTION("""COMPUTED_VALUE"""),46013.629068817696)</f>
        <v>46013.62907</v>
      </c>
      <c r="C3546" s="9">
        <f>IFERROR(__xludf.DUMMYFUNCTION("""COMPUTED_VALUE"""),13779.0)</f>
        <v>13779</v>
      </c>
      <c r="D3546" s="9" t="str">
        <f>IFERROR(__xludf.DUMMYFUNCTION("""COMPUTED_VALUE"""),"Completed")</f>
        <v>Completed</v>
      </c>
    </row>
    <row r="3547">
      <c r="A3547" s="9" t="str">
        <f>IFERROR(__xludf.DUMMYFUNCTION("""COMPUTED_VALUE"""),"G-REQ-03546")</f>
        <v>G-REQ-03546</v>
      </c>
      <c r="B3547" s="11">
        <f>IFERROR(__xludf.DUMMYFUNCTION("""COMPUTED_VALUE"""),46013.700243663116)</f>
        <v>46013.70024</v>
      </c>
      <c r="C3547" s="9">
        <f>IFERROR(__xludf.DUMMYFUNCTION("""COMPUTED_VALUE"""),13783.0)</f>
        <v>13783</v>
      </c>
      <c r="D3547" s="9" t="str">
        <f>IFERROR(__xludf.DUMMYFUNCTION("""COMPUTED_VALUE"""),"Completed")</f>
        <v>Completed</v>
      </c>
    </row>
    <row r="3548">
      <c r="A3548" s="9" t="str">
        <f>IFERROR(__xludf.DUMMYFUNCTION("""COMPUTED_VALUE"""),"G-REQ-03547")</f>
        <v>G-REQ-03547</v>
      </c>
      <c r="B3548" s="11">
        <f>IFERROR(__xludf.DUMMYFUNCTION("""COMPUTED_VALUE"""),46013.77141850852)</f>
        <v>46013.77142</v>
      </c>
      <c r="C3548" s="9">
        <f>IFERROR(__xludf.DUMMYFUNCTION("""COMPUTED_VALUE"""),13787.0)</f>
        <v>13787</v>
      </c>
      <c r="D3548" s="9" t="str">
        <f>IFERROR(__xludf.DUMMYFUNCTION("""COMPUTED_VALUE"""),"Completed")</f>
        <v>Completed</v>
      </c>
    </row>
    <row r="3549">
      <c r="A3549" s="9" t="str">
        <f>IFERROR(__xludf.DUMMYFUNCTION("""COMPUTED_VALUE"""),"G-REQ-03548")</f>
        <v>G-REQ-03548</v>
      </c>
      <c r="B3549" s="11">
        <f>IFERROR(__xludf.DUMMYFUNCTION("""COMPUTED_VALUE"""),46013.84259335394)</f>
        <v>46013.84259</v>
      </c>
      <c r="C3549" s="9">
        <f>IFERROR(__xludf.DUMMYFUNCTION("""COMPUTED_VALUE"""),13791.0)</f>
        <v>13791</v>
      </c>
      <c r="D3549" s="9" t="str">
        <f>IFERROR(__xludf.DUMMYFUNCTION("""COMPUTED_VALUE"""),"Completed")</f>
        <v>Completed</v>
      </c>
    </row>
    <row r="3550">
      <c r="A3550" s="9" t="str">
        <f>IFERROR(__xludf.DUMMYFUNCTION("""COMPUTED_VALUE"""),"G-REQ-03549")</f>
        <v>G-REQ-03549</v>
      </c>
      <c r="B3550" s="11">
        <f>IFERROR(__xludf.DUMMYFUNCTION("""COMPUTED_VALUE"""),46013.91376819936)</f>
        <v>46013.91377</v>
      </c>
      <c r="C3550" s="9">
        <f>IFERROR(__xludf.DUMMYFUNCTION("""COMPUTED_VALUE"""),13795.0)</f>
        <v>13795</v>
      </c>
      <c r="D3550" s="9" t="str">
        <f>IFERROR(__xludf.DUMMYFUNCTION("""COMPUTED_VALUE"""),"Completed")</f>
        <v>Completed</v>
      </c>
    </row>
    <row r="3551">
      <c r="A3551" s="9" t="str">
        <f>IFERROR(__xludf.DUMMYFUNCTION("""COMPUTED_VALUE"""),"G-REQ-03550")</f>
        <v>G-REQ-03550</v>
      </c>
      <c r="B3551" s="11">
        <f>IFERROR(__xludf.DUMMYFUNCTION("""COMPUTED_VALUE"""),46013.98494304477)</f>
        <v>46013.98494</v>
      </c>
      <c r="C3551" s="9">
        <f>IFERROR(__xludf.DUMMYFUNCTION("""COMPUTED_VALUE"""),13799.0)</f>
        <v>13799</v>
      </c>
      <c r="D3551" s="9" t="str">
        <f>IFERROR(__xludf.DUMMYFUNCTION("""COMPUTED_VALUE"""),"Completed")</f>
        <v>Completed</v>
      </c>
    </row>
    <row r="3552">
      <c r="A3552" s="9" t="str">
        <f>IFERROR(__xludf.DUMMYFUNCTION("""COMPUTED_VALUE"""),"G-REQ-03551")</f>
        <v>G-REQ-03551</v>
      </c>
      <c r="B3552" s="11">
        <f>IFERROR(__xludf.DUMMYFUNCTION("""COMPUTED_VALUE"""),46014.04917344574)</f>
        <v>46014.04917</v>
      </c>
      <c r="C3552" s="9">
        <f>IFERROR(__xludf.DUMMYFUNCTION("""COMPUTED_VALUE"""),13801.0)</f>
        <v>13801</v>
      </c>
      <c r="D3552" s="9" t="str">
        <f>IFERROR(__xludf.DUMMYFUNCTION("""COMPUTED_VALUE"""),"Cancelled")</f>
        <v>Cancelled</v>
      </c>
    </row>
    <row r="3553">
      <c r="A3553" s="9" t="str">
        <f>IFERROR(__xludf.DUMMYFUNCTION("""COMPUTED_VALUE"""),"G-REQ-03552")</f>
        <v>G-REQ-03552</v>
      </c>
      <c r="B3553" s="11">
        <f>IFERROR(__xludf.DUMMYFUNCTION("""COMPUTED_VALUE"""),46014.127292735604)</f>
        <v>46014.12729</v>
      </c>
      <c r="C3553" s="9">
        <f>IFERROR(__xludf.DUMMYFUNCTION("""COMPUTED_VALUE"""),13805.0)</f>
        <v>13805</v>
      </c>
      <c r="D3553" s="9" t="str">
        <f>IFERROR(__xludf.DUMMYFUNCTION("""COMPUTED_VALUE"""),"Completed")</f>
        <v>Completed</v>
      </c>
    </row>
    <row r="3554">
      <c r="A3554" s="9" t="str">
        <f>IFERROR(__xludf.DUMMYFUNCTION("""COMPUTED_VALUE"""),"G-REQ-03553")</f>
        <v>G-REQ-03553</v>
      </c>
      <c r="B3554" s="11">
        <f>IFERROR(__xludf.DUMMYFUNCTION("""COMPUTED_VALUE"""),46014.198467581016)</f>
        <v>46014.19847</v>
      </c>
      <c r="C3554" s="9">
        <f>IFERROR(__xludf.DUMMYFUNCTION("""COMPUTED_VALUE"""),13809.0)</f>
        <v>13809</v>
      </c>
      <c r="D3554" s="9" t="str">
        <f>IFERROR(__xludf.DUMMYFUNCTION("""COMPUTED_VALUE"""),"Completed")</f>
        <v>Completed</v>
      </c>
    </row>
    <row r="3555">
      <c r="A3555" s="9" t="str">
        <f>IFERROR(__xludf.DUMMYFUNCTION("""COMPUTED_VALUE"""),"G-REQ-03554")</f>
        <v>G-REQ-03554</v>
      </c>
      <c r="B3555" s="11">
        <f>IFERROR(__xludf.DUMMYFUNCTION("""COMPUTED_VALUE"""),46014.26964242643)</f>
        <v>46014.26964</v>
      </c>
      <c r="C3555" s="9">
        <f>IFERROR(__xludf.DUMMYFUNCTION("""COMPUTED_VALUE"""),13813.0)</f>
        <v>13813</v>
      </c>
      <c r="D3555" s="9" t="str">
        <f>IFERROR(__xludf.DUMMYFUNCTION("""COMPUTED_VALUE"""),"Completed")</f>
        <v>Completed</v>
      </c>
    </row>
    <row r="3556">
      <c r="A3556" s="9" t="str">
        <f>IFERROR(__xludf.DUMMYFUNCTION("""COMPUTED_VALUE"""),"G-REQ-03555")</f>
        <v>G-REQ-03555</v>
      </c>
      <c r="B3556" s="11">
        <f>IFERROR(__xludf.DUMMYFUNCTION("""COMPUTED_VALUE"""),46014.34081727185)</f>
        <v>46014.34082</v>
      </c>
      <c r="C3556" s="9">
        <f>IFERROR(__xludf.DUMMYFUNCTION("""COMPUTED_VALUE"""),13817.0)</f>
        <v>13817</v>
      </c>
      <c r="D3556" s="9" t="str">
        <f>IFERROR(__xludf.DUMMYFUNCTION("""COMPUTED_VALUE"""),"Completed")</f>
        <v>Completed</v>
      </c>
    </row>
    <row r="3557">
      <c r="A3557" s="9" t="str">
        <f>IFERROR(__xludf.DUMMYFUNCTION("""COMPUTED_VALUE"""),"G-REQ-03556")</f>
        <v>G-REQ-03556</v>
      </c>
      <c r="B3557" s="11">
        <f>IFERROR(__xludf.DUMMYFUNCTION("""COMPUTED_VALUE"""),46014.405047672815)</f>
        <v>46014.40505</v>
      </c>
      <c r="C3557" s="9">
        <f>IFERROR(__xludf.DUMMYFUNCTION("""COMPUTED_VALUE"""),13819.0)</f>
        <v>13819</v>
      </c>
      <c r="D3557" s="9" t="str">
        <f>IFERROR(__xludf.DUMMYFUNCTION("""COMPUTED_VALUE"""),"Rejected")</f>
        <v>Rejected</v>
      </c>
    </row>
    <row r="3558">
      <c r="A3558" s="9" t="str">
        <f>IFERROR(__xludf.DUMMYFUNCTION("""COMPUTED_VALUE"""),"G-REQ-03557")</f>
        <v>G-REQ-03557</v>
      </c>
      <c r="B3558" s="11">
        <f>IFERROR(__xludf.DUMMYFUNCTION("""COMPUTED_VALUE"""),46014.48316696267)</f>
        <v>46014.48317</v>
      </c>
      <c r="C3558" s="9">
        <f>IFERROR(__xludf.DUMMYFUNCTION("""COMPUTED_VALUE"""),13823.0)</f>
        <v>13823</v>
      </c>
      <c r="D3558" s="9" t="str">
        <f>IFERROR(__xludf.DUMMYFUNCTION("""COMPUTED_VALUE"""),"Completed")</f>
        <v>Completed</v>
      </c>
    </row>
    <row r="3559">
      <c r="A3559" s="9" t="str">
        <f>IFERROR(__xludf.DUMMYFUNCTION("""COMPUTED_VALUE"""),"G-REQ-03558")</f>
        <v>G-REQ-03558</v>
      </c>
      <c r="B3559" s="11">
        <f>IFERROR(__xludf.DUMMYFUNCTION("""COMPUTED_VALUE"""),46014.55434180809)</f>
        <v>46014.55434</v>
      </c>
      <c r="C3559" s="9">
        <f>IFERROR(__xludf.DUMMYFUNCTION("""COMPUTED_VALUE"""),13827.0)</f>
        <v>13827</v>
      </c>
      <c r="D3559" s="9" t="str">
        <f>IFERROR(__xludf.DUMMYFUNCTION("""COMPUTED_VALUE"""),"Completed")</f>
        <v>Completed</v>
      </c>
    </row>
    <row r="3560">
      <c r="A3560" s="9" t="str">
        <f>IFERROR(__xludf.DUMMYFUNCTION("""COMPUTED_VALUE"""),"G-REQ-03559")</f>
        <v>G-REQ-03559</v>
      </c>
      <c r="B3560" s="11">
        <f>IFERROR(__xludf.DUMMYFUNCTION("""COMPUTED_VALUE"""),46014.625516653505)</f>
        <v>46014.62552</v>
      </c>
      <c r="C3560" s="9">
        <f>IFERROR(__xludf.DUMMYFUNCTION("""COMPUTED_VALUE"""),13831.0)</f>
        <v>13831</v>
      </c>
      <c r="D3560" s="9" t="str">
        <f>IFERROR(__xludf.DUMMYFUNCTION("""COMPUTED_VALUE"""),"Completed")</f>
        <v>Completed</v>
      </c>
    </row>
    <row r="3561">
      <c r="A3561" s="9" t="str">
        <f>IFERROR(__xludf.DUMMYFUNCTION("""COMPUTED_VALUE"""),"G-REQ-03560")</f>
        <v>G-REQ-03560</v>
      </c>
      <c r="B3561" s="11">
        <f>IFERROR(__xludf.DUMMYFUNCTION("""COMPUTED_VALUE"""),46014.69669149892)</f>
        <v>46014.69669</v>
      </c>
      <c r="C3561" s="9">
        <f>IFERROR(__xludf.DUMMYFUNCTION("""COMPUTED_VALUE"""),13835.0)</f>
        <v>13835</v>
      </c>
      <c r="D3561" s="9" t="str">
        <f>IFERROR(__xludf.DUMMYFUNCTION("""COMPUTED_VALUE"""),"Completed")</f>
        <v>Completed</v>
      </c>
    </row>
    <row r="3562">
      <c r="A3562" s="9" t="str">
        <f>IFERROR(__xludf.DUMMYFUNCTION("""COMPUTED_VALUE"""),"G-REQ-03561")</f>
        <v>G-REQ-03561</v>
      </c>
      <c r="B3562" s="11">
        <f>IFERROR(__xludf.DUMMYFUNCTION("""COMPUTED_VALUE"""),46014.76786634434)</f>
        <v>46014.76787</v>
      </c>
      <c r="C3562" s="9">
        <f>IFERROR(__xludf.DUMMYFUNCTION("""COMPUTED_VALUE"""),13839.0)</f>
        <v>13839</v>
      </c>
      <c r="D3562" s="9" t="str">
        <f>IFERROR(__xludf.DUMMYFUNCTION("""COMPUTED_VALUE"""),"Completed")</f>
        <v>Completed</v>
      </c>
    </row>
    <row r="3563">
      <c r="A3563" s="9" t="str">
        <f>IFERROR(__xludf.DUMMYFUNCTION("""COMPUTED_VALUE"""),"G-REQ-03562")</f>
        <v>G-REQ-03562</v>
      </c>
      <c r="B3563" s="11">
        <f>IFERROR(__xludf.DUMMYFUNCTION("""COMPUTED_VALUE"""),46014.839041189756)</f>
        <v>46014.83904</v>
      </c>
      <c r="C3563" s="9">
        <f>IFERROR(__xludf.DUMMYFUNCTION("""COMPUTED_VALUE"""),13843.0)</f>
        <v>13843</v>
      </c>
      <c r="D3563" s="9" t="str">
        <f>IFERROR(__xludf.DUMMYFUNCTION("""COMPUTED_VALUE"""),"Completed")</f>
        <v>Completed</v>
      </c>
    </row>
    <row r="3564">
      <c r="A3564" s="9" t="str">
        <f>IFERROR(__xludf.DUMMYFUNCTION("""COMPUTED_VALUE"""),"G-REQ-03563")</f>
        <v>G-REQ-03563</v>
      </c>
      <c r="B3564" s="11">
        <f>IFERROR(__xludf.DUMMYFUNCTION("""COMPUTED_VALUE"""),46014.91021603516)</f>
        <v>46014.91022</v>
      </c>
      <c r="C3564" s="9">
        <f>IFERROR(__xludf.DUMMYFUNCTION("""COMPUTED_VALUE"""),13847.0)</f>
        <v>13847</v>
      </c>
      <c r="D3564" s="9" t="str">
        <f>IFERROR(__xludf.DUMMYFUNCTION("""COMPUTED_VALUE"""),"Completed")</f>
        <v>Completed</v>
      </c>
    </row>
    <row r="3565">
      <c r="A3565" s="9" t="str">
        <f>IFERROR(__xludf.DUMMYFUNCTION("""COMPUTED_VALUE"""),"G-REQ-03564")</f>
        <v>G-REQ-03564</v>
      </c>
      <c r="B3565" s="11">
        <f>IFERROR(__xludf.DUMMYFUNCTION("""COMPUTED_VALUE"""),46014.98139088058)</f>
        <v>46014.98139</v>
      </c>
      <c r="C3565" s="9">
        <f>IFERROR(__xludf.DUMMYFUNCTION("""COMPUTED_VALUE"""),13851.0)</f>
        <v>13851</v>
      </c>
      <c r="D3565" s="9" t="str">
        <f>IFERROR(__xludf.DUMMYFUNCTION("""COMPUTED_VALUE"""),"Completed")</f>
        <v>Completed</v>
      </c>
    </row>
    <row r="3566">
      <c r="A3566" s="9" t="str">
        <f>IFERROR(__xludf.DUMMYFUNCTION("""COMPUTED_VALUE"""),"G-REQ-03565")</f>
        <v>G-REQ-03565</v>
      </c>
      <c r="B3566" s="11">
        <f>IFERROR(__xludf.DUMMYFUNCTION("""COMPUTED_VALUE"""),46015.052565726)</f>
        <v>46015.05257</v>
      </c>
      <c r="C3566" s="9">
        <f>IFERROR(__xludf.DUMMYFUNCTION("""COMPUTED_VALUE"""),13855.0)</f>
        <v>13855</v>
      </c>
      <c r="D3566" s="9" t="str">
        <f>IFERROR(__xludf.DUMMYFUNCTION("""COMPUTED_VALUE"""),"Completed")</f>
        <v>Completed</v>
      </c>
    </row>
    <row r="3567">
      <c r="A3567" s="9" t="str">
        <f>IFERROR(__xludf.DUMMYFUNCTION("""COMPUTED_VALUE"""),"G-REQ-03566")</f>
        <v>G-REQ-03566</v>
      </c>
      <c r="B3567" s="11">
        <f>IFERROR(__xludf.DUMMYFUNCTION("""COMPUTED_VALUE"""),46015.11679612697)</f>
        <v>46015.1168</v>
      </c>
      <c r="C3567" s="9">
        <f>IFERROR(__xludf.DUMMYFUNCTION("""COMPUTED_VALUE"""),13857.0)</f>
        <v>13857</v>
      </c>
      <c r="D3567" s="9" t="str">
        <f>IFERROR(__xludf.DUMMYFUNCTION("""COMPUTED_VALUE"""),"Cancelled")</f>
        <v>Cancelled</v>
      </c>
    </row>
    <row r="3568">
      <c r="A3568" s="9" t="str">
        <f>IFERROR(__xludf.DUMMYFUNCTION("""COMPUTED_VALUE"""),"G-REQ-03567")</f>
        <v>G-REQ-03567</v>
      </c>
      <c r="B3568" s="11">
        <f>IFERROR(__xludf.DUMMYFUNCTION("""COMPUTED_VALUE"""),46015.194915416825)</f>
        <v>46015.19492</v>
      </c>
      <c r="C3568" s="9">
        <f>IFERROR(__xludf.DUMMYFUNCTION("""COMPUTED_VALUE"""),13861.0)</f>
        <v>13861</v>
      </c>
      <c r="D3568" s="9" t="str">
        <f>IFERROR(__xludf.DUMMYFUNCTION("""COMPUTED_VALUE"""),"Completed")</f>
        <v>Completed</v>
      </c>
    </row>
    <row r="3569">
      <c r="A3569" s="9" t="str">
        <f>IFERROR(__xludf.DUMMYFUNCTION("""COMPUTED_VALUE"""),"G-REQ-03568")</f>
        <v>G-REQ-03568</v>
      </c>
      <c r="B3569" s="11">
        <f>IFERROR(__xludf.DUMMYFUNCTION("""COMPUTED_VALUE"""),46015.266090262245)</f>
        <v>46015.26609</v>
      </c>
      <c r="C3569" s="9">
        <f>IFERROR(__xludf.DUMMYFUNCTION("""COMPUTED_VALUE"""),13865.0)</f>
        <v>13865</v>
      </c>
      <c r="D3569" s="9" t="str">
        <f>IFERROR(__xludf.DUMMYFUNCTION("""COMPUTED_VALUE"""),"Completed")</f>
        <v>Completed</v>
      </c>
    </row>
    <row r="3570">
      <c r="A3570" s="9" t="str">
        <f>IFERROR(__xludf.DUMMYFUNCTION("""COMPUTED_VALUE"""),"G-REQ-03569")</f>
        <v>G-REQ-03569</v>
      </c>
      <c r="B3570" s="11">
        <f>IFERROR(__xludf.DUMMYFUNCTION("""COMPUTED_VALUE"""),46015.33726510766)</f>
        <v>46015.33727</v>
      </c>
      <c r="C3570" s="9">
        <f>IFERROR(__xludf.DUMMYFUNCTION("""COMPUTED_VALUE"""),13869.0)</f>
        <v>13869</v>
      </c>
      <c r="D3570" s="9" t="str">
        <f>IFERROR(__xludf.DUMMYFUNCTION("""COMPUTED_VALUE"""),"Completed")</f>
        <v>Completed</v>
      </c>
    </row>
    <row r="3571">
      <c r="A3571" s="9" t="str">
        <f>IFERROR(__xludf.DUMMYFUNCTION("""COMPUTED_VALUE"""),"G-REQ-03570")</f>
        <v>G-REQ-03570</v>
      </c>
      <c r="B3571" s="11">
        <f>IFERROR(__xludf.DUMMYFUNCTION("""COMPUTED_VALUE"""),46015.40843995307)</f>
        <v>46015.40844</v>
      </c>
      <c r="C3571" s="9">
        <f>IFERROR(__xludf.DUMMYFUNCTION("""COMPUTED_VALUE"""),13873.0)</f>
        <v>13873</v>
      </c>
      <c r="D3571" s="9" t="str">
        <f>IFERROR(__xludf.DUMMYFUNCTION("""COMPUTED_VALUE"""),"Completed")</f>
        <v>Completed</v>
      </c>
    </row>
    <row r="3572">
      <c r="A3572" s="9" t="str">
        <f>IFERROR(__xludf.DUMMYFUNCTION("""COMPUTED_VALUE"""),"G-REQ-03571")</f>
        <v>G-REQ-03571</v>
      </c>
      <c r="B3572" s="11">
        <f>IFERROR(__xludf.DUMMYFUNCTION("""COMPUTED_VALUE"""),46015.47961479849)</f>
        <v>46015.47961</v>
      </c>
      <c r="C3572" s="9">
        <f>IFERROR(__xludf.DUMMYFUNCTION("""COMPUTED_VALUE"""),13877.0)</f>
        <v>13877</v>
      </c>
      <c r="D3572" s="9" t="str">
        <f>IFERROR(__xludf.DUMMYFUNCTION("""COMPUTED_VALUE"""),"Completed")</f>
        <v>Completed</v>
      </c>
    </row>
    <row r="3573">
      <c r="A3573" s="9" t="str">
        <f>IFERROR(__xludf.DUMMYFUNCTION("""COMPUTED_VALUE"""),"G-REQ-03572")</f>
        <v>G-REQ-03572</v>
      </c>
      <c r="B3573" s="11">
        <f>IFERROR(__xludf.DUMMYFUNCTION("""COMPUTED_VALUE"""),46015.5507896439)</f>
        <v>46015.55079</v>
      </c>
      <c r="C3573" s="9">
        <f>IFERROR(__xludf.DUMMYFUNCTION("""COMPUTED_VALUE"""),13881.0)</f>
        <v>13881</v>
      </c>
      <c r="D3573" s="9" t="str">
        <f>IFERROR(__xludf.DUMMYFUNCTION("""COMPUTED_VALUE"""),"Completed")</f>
        <v>Completed</v>
      </c>
    </row>
    <row r="3574">
      <c r="A3574" s="9" t="str">
        <f>IFERROR(__xludf.DUMMYFUNCTION("""COMPUTED_VALUE"""),"G-REQ-03573")</f>
        <v>G-REQ-03573</v>
      </c>
      <c r="B3574" s="11">
        <f>IFERROR(__xludf.DUMMYFUNCTION("""COMPUTED_VALUE"""),46015.62196448931)</f>
        <v>46015.62196</v>
      </c>
      <c r="C3574" s="9">
        <f>IFERROR(__xludf.DUMMYFUNCTION("""COMPUTED_VALUE"""),13885.0)</f>
        <v>13885</v>
      </c>
      <c r="D3574" s="9" t="str">
        <f>IFERROR(__xludf.DUMMYFUNCTION("""COMPUTED_VALUE"""),"Completed")</f>
        <v>Completed</v>
      </c>
    </row>
    <row r="3575">
      <c r="A3575" s="9" t="str">
        <f>IFERROR(__xludf.DUMMYFUNCTION("""COMPUTED_VALUE"""),"G-REQ-03574")</f>
        <v>G-REQ-03574</v>
      </c>
      <c r="B3575" s="11">
        <f>IFERROR(__xludf.DUMMYFUNCTION("""COMPUTED_VALUE"""),46015.69313933473)</f>
        <v>46015.69314</v>
      </c>
      <c r="C3575" s="9">
        <f>IFERROR(__xludf.DUMMYFUNCTION("""COMPUTED_VALUE"""),13889.0)</f>
        <v>13889</v>
      </c>
      <c r="D3575" s="9" t="str">
        <f>IFERROR(__xludf.DUMMYFUNCTION("""COMPUTED_VALUE"""),"Completed")</f>
        <v>Completed</v>
      </c>
    </row>
    <row r="3576">
      <c r="A3576" s="9" t="str">
        <f>IFERROR(__xludf.DUMMYFUNCTION("""COMPUTED_VALUE"""),"G-REQ-03575")</f>
        <v>G-REQ-03575</v>
      </c>
      <c r="B3576" s="11">
        <f>IFERROR(__xludf.DUMMYFUNCTION("""COMPUTED_VALUE"""),46015.764314180145)</f>
        <v>46015.76431</v>
      </c>
      <c r="C3576" s="9">
        <f>IFERROR(__xludf.DUMMYFUNCTION("""COMPUTED_VALUE"""),13893.0)</f>
        <v>13893</v>
      </c>
      <c r="D3576" s="9" t="str">
        <f>IFERROR(__xludf.DUMMYFUNCTION("""COMPUTED_VALUE"""),"Completed")</f>
        <v>Completed</v>
      </c>
    </row>
    <row r="3577">
      <c r="A3577" s="9" t="str">
        <f>IFERROR(__xludf.DUMMYFUNCTION("""COMPUTED_VALUE"""),"G-REQ-03576")</f>
        <v>G-REQ-03576</v>
      </c>
      <c r="B3577" s="11">
        <f>IFERROR(__xludf.DUMMYFUNCTION("""COMPUTED_VALUE"""),46015.835489025565)</f>
        <v>46015.83549</v>
      </c>
      <c r="C3577" s="9">
        <f>IFERROR(__xludf.DUMMYFUNCTION("""COMPUTED_VALUE"""),13897.0)</f>
        <v>13897</v>
      </c>
      <c r="D3577" s="9" t="str">
        <f>IFERROR(__xludf.DUMMYFUNCTION("""COMPUTED_VALUE"""),"Completed")</f>
        <v>Completed</v>
      </c>
    </row>
    <row r="3578">
      <c r="A3578" s="9" t="str">
        <f>IFERROR(__xludf.DUMMYFUNCTION("""COMPUTED_VALUE"""),"G-REQ-03577")</f>
        <v>G-REQ-03577</v>
      </c>
      <c r="B3578" s="11">
        <f>IFERROR(__xludf.DUMMYFUNCTION("""COMPUTED_VALUE"""),46015.90666387098)</f>
        <v>46015.90666</v>
      </c>
      <c r="C3578" s="9">
        <f>IFERROR(__xludf.DUMMYFUNCTION("""COMPUTED_VALUE"""),13901.0)</f>
        <v>13901</v>
      </c>
      <c r="D3578" s="9" t="str">
        <f>IFERROR(__xludf.DUMMYFUNCTION("""COMPUTED_VALUE"""),"Completed")</f>
        <v>Completed</v>
      </c>
    </row>
    <row r="3579">
      <c r="A3579" s="9" t="str">
        <f>IFERROR(__xludf.DUMMYFUNCTION("""COMPUTED_VALUE"""),"G-REQ-03578")</f>
        <v>G-REQ-03578</v>
      </c>
      <c r="B3579" s="11">
        <f>IFERROR(__xludf.DUMMYFUNCTION("""COMPUTED_VALUE"""),46015.9778387164)</f>
        <v>46015.97784</v>
      </c>
      <c r="C3579" s="9">
        <f>IFERROR(__xludf.DUMMYFUNCTION("""COMPUTED_VALUE"""),13905.0)</f>
        <v>13905</v>
      </c>
      <c r="D3579" s="9" t="str">
        <f>IFERROR(__xludf.DUMMYFUNCTION("""COMPUTED_VALUE"""),"Completed")</f>
        <v>Completed</v>
      </c>
    </row>
    <row r="3580">
      <c r="A3580" s="9" t="str">
        <f>IFERROR(__xludf.DUMMYFUNCTION("""COMPUTED_VALUE"""),"G-REQ-03579")</f>
        <v>G-REQ-03579</v>
      </c>
      <c r="B3580" s="11">
        <f>IFERROR(__xludf.DUMMYFUNCTION("""COMPUTED_VALUE"""),46016.0490135618)</f>
        <v>46016.04901</v>
      </c>
      <c r="C3580" s="9">
        <f>IFERROR(__xludf.DUMMYFUNCTION("""COMPUTED_VALUE"""),13909.0)</f>
        <v>13909</v>
      </c>
      <c r="D3580" s="9" t="str">
        <f>IFERROR(__xludf.DUMMYFUNCTION("""COMPUTED_VALUE"""),"Completed")</f>
        <v>Completed</v>
      </c>
    </row>
    <row r="3581">
      <c r="A3581" s="9" t="str">
        <f>IFERROR(__xludf.DUMMYFUNCTION("""COMPUTED_VALUE"""),"G-REQ-03580")</f>
        <v>G-REQ-03580</v>
      </c>
      <c r="B3581" s="11">
        <f>IFERROR(__xludf.DUMMYFUNCTION("""COMPUTED_VALUE"""),46016.12018840722)</f>
        <v>46016.12019</v>
      </c>
      <c r="C3581" s="9">
        <f>IFERROR(__xludf.DUMMYFUNCTION("""COMPUTED_VALUE"""),13913.0)</f>
        <v>13913</v>
      </c>
      <c r="D3581" s="9" t="str">
        <f>IFERROR(__xludf.DUMMYFUNCTION("""COMPUTED_VALUE"""),"Completed")</f>
        <v>Completed</v>
      </c>
    </row>
    <row r="3582">
      <c r="A3582" s="9" t="str">
        <f>IFERROR(__xludf.DUMMYFUNCTION("""COMPUTED_VALUE"""),"G-REQ-03581")</f>
        <v>G-REQ-03581</v>
      </c>
      <c r="B3582" s="11">
        <f>IFERROR(__xludf.DUMMYFUNCTION("""COMPUTED_VALUE"""),46016.184418808196)</f>
        <v>46016.18442</v>
      </c>
      <c r="C3582" s="9">
        <f>IFERROR(__xludf.DUMMYFUNCTION("""COMPUTED_VALUE"""),13915.0)</f>
        <v>13915</v>
      </c>
      <c r="D3582" s="9" t="str">
        <f>IFERROR(__xludf.DUMMYFUNCTION("""COMPUTED_VALUE"""),"Rejected")</f>
        <v>Rejected</v>
      </c>
    </row>
    <row r="3583">
      <c r="A3583" s="9" t="str">
        <f>IFERROR(__xludf.DUMMYFUNCTION("""COMPUTED_VALUE"""),"G-REQ-03582")</f>
        <v>G-REQ-03582</v>
      </c>
      <c r="B3583" s="11">
        <f>IFERROR(__xludf.DUMMYFUNCTION("""COMPUTED_VALUE"""),46016.26253809805)</f>
        <v>46016.26254</v>
      </c>
      <c r="C3583" s="9">
        <f>IFERROR(__xludf.DUMMYFUNCTION("""COMPUTED_VALUE"""),13919.0)</f>
        <v>13919</v>
      </c>
      <c r="D3583" s="9" t="str">
        <f>IFERROR(__xludf.DUMMYFUNCTION("""COMPUTED_VALUE"""),"Completed")</f>
        <v>Completed</v>
      </c>
    </row>
    <row r="3584">
      <c r="A3584" s="9" t="str">
        <f>IFERROR(__xludf.DUMMYFUNCTION("""COMPUTED_VALUE"""),"G-REQ-03583")</f>
        <v>G-REQ-03583</v>
      </c>
      <c r="B3584" s="11">
        <f>IFERROR(__xludf.DUMMYFUNCTION("""COMPUTED_VALUE"""),46016.333712943466)</f>
        <v>46016.33371</v>
      </c>
      <c r="C3584" s="9">
        <f>IFERROR(__xludf.DUMMYFUNCTION("""COMPUTED_VALUE"""),13923.0)</f>
        <v>13923</v>
      </c>
      <c r="D3584" s="9" t="str">
        <f>IFERROR(__xludf.DUMMYFUNCTION("""COMPUTED_VALUE"""),"Completed")</f>
        <v>Completed</v>
      </c>
    </row>
    <row r="3585">
      <c r="A3585" s="9" t="str">
        <f>IFERROR(__xludf.DUMMYFUNCTION("""COMPUTED_VALUE"""),"G-REQ-03584")</f>
        <v>G-REQ-03584</v>
      </c>
      <c r="B3585" s="11">
        <f>IFERROR(__xludf.DUMMYFUNCTION("""COMPUTED_VALUE"""),46016.39794334444)</f>
        <v>46016.39794</v>
      </c>
      <c r="C3585" s="9">
        <f>IFERROR(__xludf.DUMMYFUNCTION("""COMPUTED_VALUE"""),13925.0)</f>
        <v>13925</v>
      </c>
      <c r="D3585" s="9" t="str">
        <f>IFERROR(__xludf.DUMMYFUNCTION("""COMPUTED_VALUE"""),"Rejected")</f>
        <v>Rejected</v>
      </c>
    </row>
    <row r="3586">
      <c r="A3586" s="9" t="str">
        <f>IFERROR(__xludf.DUMMYFUNCTION("""COMPUTED_VALUE"""),"G-REQ-03585")</f>
        <v>G-REQ-03585</v>
      </c>
      <c r="B3586" s="11">
        <f>IFERROR(__xludf.DUMMYFUNCTION("""COMPUTED_VALUE"""),46016.4760626343)</f>
        <v>46016.47606</v>
      </c>
      <c r="C3586" s="9">
        <f>IFERROR(__xludf.DUMMYFUNCTION("""COMPUTED_VALUE"""),13929.0)</f>
        <v>13929</v>
      </c>
      <c r="D3586" s="9" t="str">
        <f>IFERROR(__xludf.DUMMYFUNCTION("""COMPUTED_VALUE"""),"Completed")</f>
        <v>Completed</v>
      </c>
    </row>
    <row r="3587">
      <c r="A3587" s="9" t="str">
        <f>IFERROR(__xludf.DUMMYFUNCTION("""COMPUTED_VALUE"""),"G-REQ-03586")</f>
        <v>G-REQ-03586</v>
      </c>
      <c r="B3587" s="11">
        <f>IFERROR(__xludf.DUMMYFUNCTION("""COMPUTED_VALUE"""),46016.54723747971)</f>
        <v>46016.54724</v>
      </c>
      <c r="C3587" s="9">
        <f>IFERROR(__xludf.DUMMYFUNCTION("""COMPUTED_VALUE"""),13933.0)</f>
        <v>13933</v>
      </c>
      <c r="D3587" s="9" t="str">
        <f>IFERROR(__xludf.DUMMYFUNCTION("""COMPUTED_VALUE"""),"Completed")</f>
        <v>Completed</v>
      </c>
    </row>
    <row r="3588">
      <c r="A3588" s="9" t="str">
        <f>IFERROR(__xludf.DUMMYFUNCTION("""COMPUTED_VALUE"""),"G-REQ-03587")</f>
        <v>G-REQ-03587</v>
      </c>
      <c r="B3588" s="11">
        <f>IFERROR(__xludf.DUMMYFUNCTION("""COMPUTED_VALUE"""),46016.61841232513)</f>
        <v>46016.61841</v>
      </c>
      <c r="C3588" s="9">
        <f>IFERROR(__xludf.DUMMYFUNCTION("""COMPUTED_VALUE"""),13937.0)</f>
        <v>13937</v>
      </c>
      <c r="D3588" s="9" t="str">
        <f>IFERROR(__xludf.DUMMYFUNCTION("""COMPUTED_VALUE"""),"Completed")</f>
        <v>Completed</v>
      </c>
    </row>
    <row r="3589">
      <c r="A3589" s="9" t="str">
        <f>IFERROR(__xludf.DUMMYFUNCTION("""COMPUTED_VALUE"""),"G-REQ-03588")</f>
        <v>G-REQ-03588</v>
      </c>
      <c r="B3589" s="11">
        <f>IFERROR(__xludf.DUMMYFUNCTION("""COMPUTED_VALUE"""),46016.68958717055)</f>
        <v>46016.68959</v>
      </c>
      <c r="C3589" s="9">
        <f>IFERROR(__xludf.DUMMYFUNCTION("""COMPUTED_VALUE"""),13941.0)</f>
        <v>13941</v>
      </c>
      <c r="D3589" s="9" t="str">
        <f>IFERROR(__xludf.DUMMYFUNCTION("""COMPUTED_VALUE"""),"Completed")</f>
        <v>Completed</v>
      </c>
    </row>
    <row r="3590">
      <c r="A3590" s="9" t="str">
        <f>IFERROR(__xludf.DUMMYFUNCTION("""COMPUTED_VALUE"""),"G-REQ-03589")</f>
        <v>G-REQ-03589</v>
      </c>
      <c r="B3590" s="11">
        <f>IFERROR(__xludf.DUMMYFUNCTION("""COMPUTED_VALUE"""),46016.760762015954)</f>
        <v>46016.76076</v>
      </c>
      <c r="C3590" s="9">
        <f>IFERROR(__xludf.DUMMYFUNCTION("""COMPUTED_VALUE"""),13945.0)</f>
        <v>13945</v>
      </c>
      <c r="D3590" s="9" t="str">
        <f>IFERROR(__xludf.DUMMYFUNCTION("""COMPUTED_VALUE"""),"Completed")</f>
        <v>Completed</v>
      </c>
    </row>
    <row r="3591">
      <c r="A3591" s="9" t="str">
        <f>IFERROR(__xludf.DUMMYFUNCTION("""COMPUTED_VALUE"""),"G-REQ-03590")</f>
        <v>G-REQ-03590</v>
      </c>
      <c r="B3591" s="11">
        <f>IFERROR(__xludf.DUMMYFUNCTION("""COMPUTED_VALUE"""),46016.831936861374)</f>
        <v>46016.83194</v>
      </c>
      <c r="C3591" s="9">
        <f>IFERROR(__xludf.DUMMYFUNCTION("""COMPUTED_VALUE"""),13949.0)</f>
        <v>13949</v>
      </c>
      <c r="D3591" s="9" t="str">
        <f>IFERROR(__xludf.DUMMYFUNCTION("""COMPUTED_VALUE"""),"Completed")</f>
        <v>Completed</v>
      </c>
    </row>
    <row r="3592">
      <c r="A3592" s="9" t="str">
        <f>IFERROR(__xludf.DUMMYFUNCTION("""COMPUTED_VALUE"""),"G-REQ-03591")</f>
        <v>G-REQ-03591</v>
      </c>
      <c r="B3592" s="11">
        <f>IFERROR(__xludf.DUMMYFUNCTION("""COMPUTED_VALUE"""),46016.903111706786)</f>
        <v>46016.90311</v>
      </c>
      <c r="C3592" s="9">
        <f>IFERROR(__xludf.DUMMYFUNCTION("""COMPUTED_VALUE"""),13953.0)</f>
        <v>13953</v>
      </c>
      <c r="D3592" s="9" t="str">
        <f>IFERROR(__xludf.DUMMYFUNCTION("""COMPUTED_VALUE"""),"Completed")</f>
        <v>Completed</v>
      </c>
    </row>
    <row r="3593">
      <c r="A3593" s="9" t="str">
        <f>IFERROR(__xludf.DUMMYFUNCTION("""COMPUTED_VALUE"""),"G-REQ-03592")</f>
        <v>G-REQ-03592</v>
      </c>
      <c r="B3593" s="11">
        <f>IFERROR(__xludf.DUMMYFUNCTION("""COMPUTED_VALUE"""),46016.974286552206)</f>
        <v>46016.97429</v>
      </c>
      <c r="C3593" s="9">
        <f>IFERROR(__xludf.DUMMYFUNCTION("""COMPUTED_VALUE"""),13957.0)</f>
        <v>13957</v>
      </c>
      <c r="D3593" s="9" t="str">
        <f>IFERROR(__xludf.DUMMYFUNCTION("""COMPUTED_VALUE"""),"Completed")</f>
        <v>Completed</v>
      </c>
    </row>
    <row r="3594">
      <c r="A3594" s="9" t="str">
        <f>IFERROR(__xludf.DUMMYFUNCTION("""COMPUTED_VALUE"""),"G-REQ-03593")</f>
        <v>G-REQ-03593</v>
      </c>
      <c r="B3594" s="11">
        <f>IFERROR(__xludf.DUMMYFUNCTION("""COMPUTED_VALUE"""),46017.04546139762)</f>
        <v>46017.04546</v>
      </c>
      <c r="C3594" s="9">
        <f>IFERROR(__xludf.DUMMYFUNCTION("""COMPUTED_VALUE"""),13961.0)</f>
        <v>13961</v>
      </c>
      <c r="D3594" s="9" t="str">
        <f>IFERROR(__xludf.DUMMYFUNCTION("""COMPUTED_VALUE"""),"Completed")</f>
        <v>Completed</v>
      </c>
    </row>
    <row r="3595">
      <c r="A3595" s="9" t="str">
        <f>IFERROR(__xludf.DUMMYFUNCTION("""COMPUTED_VALUE"""),"G-REQ-03594")</f>
        <v>G-REQ-03594</v>
      </c>
      <c r="B3595" s="11">
        <f>IFERROR(__xludf.DUMMYFUNCTION("""COMPUTED_VALUE"""),46017.11663624304)</f>
        <v>46017.11664</v>
      </c>
      <c r="C3595" s="9">
        <f>IFERROR(__xludf.DUMMYFUNCTION("""COMPUTED_VALUE"""),13965.0)</f>
        <v>13965</v>
      </c>
      <c r="D3595" s="9" t="str">
        <f>IFERROR(__xludf.DUMMYFUNCTION("""COMPUTED_VALUE"""),"Completed")</f>
        <v>Completed</v>
      </c>
    </row>
    <row r="3596">
      <c r="A3596" s="9" t="str">
        <f>IFERROR(__xludf.DUMMYFUNCTION("""COMPUTED_VALUE"""),"G-REQ-03595")</f>
        <v>G-REQ-03595</v>
      </c>
      <c r="B3596" s="11">
        <f>IFERROR(__xludf.DUMMYFUNCTION("""COMPUTED_VALUE"""),46017.18781108845)</f>
        <v>46017.18781</v>
      </c>
      <c r="C3596" s="9">
        <f>IFERROR(__xludf.DUMMYFUNCTION("""COMPUTED_VALUE"""),13969.0)</f>
        <v>13969</v>
      </c>
      <c r="D3596" s="9" t="str">
        <f>IFERROR(__xludf.DUMMYFUNCTION("""COMPUTED_VALUE"""),"Completed")</f>
        <v>Completed</v>
      </c>
    </row>
    <row r="3597">
      <c r="A3597" s="9" t="str">
        <f>IFERROR(__xludf.DUMMYFUNCTION("""COMPUTED_VALUE"""),"G-REQ-03596")</f>
        <v>G-REQ-03596</v>
      </c>
      <c r="B3597" s="11">
        <f>IFERROR(__xludf.DUMMYFUNCTION("""COMPUTED_VALUE"""),46017.25204148942)</f>
        <v>46017.25204</v>
      </c>
      <c r="C3597" s="9">
        <f>IFERROR(__xludf.DUMMYFUNCTION("""COMPUTED_VALUE"""),13971.0)</f>
        <v>13971</v>
      </c>
      <c r="D3597" s="9" t="str">
        <f>IFERROR(__xludf.DUMMYFUNCTION("""COMPUTED_VALUE"""),"Rejected")</f>
        <v>Rejected</v>
      </c>
    </row>
    <row r="3598">
      <c r="A3598" s="9" t="str">
        <f>IFERROR(__xludf.DUMMYFUNCTION("""COMPUTED_VALUE"""),"G-REQ-03597")</f>
        <v>G-REQ-03597</v>
      </c>
      <c r="B3598" s="11">
        <f>IFERROR(__xludf.DUMMYFUNCTION("""COMPUTED_VALUE"""),46017.32321633484)</f>
        <v>46017.32322</v>
      </c>
      <c r="C3598" s="9">
        <f>IFERROR(__xludf.DUMMYFUNCTION("""COMPUTED_VALUE"""),13973.0)</f>
        <v>13973</v>
      </c>
      <c r="D3598" s="9" t="str">
        <f>IFERROR(__xludf.DUMMYFUNCTION("""COMPUTED_VALUE"""),"Rejected")</f>
        <v>Rejected</v>
      </c>
    </row>
    <row r="3599">
      <c r="A3599" s="9" t="str">
        <f>IFERROR(__xludf.DUMMYFUNCTION("""COMPUTED_VALUE"""),"G-REQ-03598")</f>
        <v>G-REQ-03598</v>
      </c>
      <c r="B3599" s="11">
        <f>IFERROR(__xludf.DUMMYFUNCTION("""COMPUTED_VALUE"""),46017.401335624694)</f>
        <v>46017.40134</v>
      </c>
      <c r="C3599" s="9">
        <f>IFERROR(__xludf.DUMMYFUNCTION("""COMPUTED_VALUE"""),13977.0)</f>
        <v>13977</v>
      </c>
      <c r="D3599" s="9" t="str">
        <f>IFERROR(__xludf.DUMMYFUNCTION("""COMPUTED_VALUE"""),"Completed")</f>
        <v>Completed</v>
      </c>
    </row>
    <row r="3600">
      <c r="A3600" s="9" t="str">
        <f>IFERROR(__xludf.DUMMYFUNCTION("""COMPUTED_VALUE"""),"G-REQ-03599")</f>
        <v>G-REQ-03599</v>
      </c>
      <c r="B3600" s="11">
        <f>IFERROR(__xludf.DUMMYFUNCTION("""COMPUTED_VALUE"""),46017.46556602566)</f>
        <v>46017.46557</v>
      </c>
      <c r="C3600" s="9">
        <f>IFERROR(__xludf.DUMMYFUNCTION("""COMPUTED_VALUE"""),13979.0)</f>
        <v>13979</v>
      </c>
      <c r="D3600" s="9" t="str">
        <f>IFERROR(__xludf.DUMMYFUNCTION("""COMPUTED_VALUE"""),"Rejected")</f>
        <v>Rejected</v>
      </c>
    </row>
    <row r="3601">
      <c r="A3601" s="9" t="str">
        <f>IFERROR(__xludf.DUMMYFUNCTION("""COMPUTED_VALUE"""),"G-REQ-03600")</f>
        <v>G-REQ-03600</v>
      </c>
      <c r="B3601" s="11">
        <f>IFERROR(__xludf.DUMMYFUNCTION("""COMPUTED_VALUE"""),46017.543685315526)</f>
        <v>46017.54369</v>
      </c>
      <c r="C3601" s="9">
        <f>IFERROR(__xludf.DUMMYFUNCTION("""COMPUTED_VALUE"""),13983.0)</f>
        <v>13983</v>
      </c>
      <c r="D3601" s="9" t="str">
        <f>IFERROR(__xludf.DUMMYFUNCTION("""COMPUTED_VALUE"""),"Completed")</f>
        <v>Completed</v>
      </c>
    </row>
    <row r="3602">
      <c r="A3602" s="9" t="str">
        <f>IFERROR(__xludf.DUMMYFUNCTION("""COMPUTED_VALUE"""),"G-REQ-03601")</f>
        <v>G-REQ-03601</v>
      </c>
      <c r="B3602" s="11">
        <f>IFERROR(__xludf.DUMMYFUNCTION("""COMPUTED_VALUE"""),46017.61486016094)</f>
        <v>46017.61486</v>
      </c>
      <c r="C3602" s="9">
        <f>IFERROR(__xludf.DUMMYFUNCTION("""COMPUTED_VALUE"""),13987.0)</f>
        <v>13987</v>
      </c>
      <c r="D3602" s="9" t="str">
        <f>IFERROR(__xludf.DUMMYFUNCTION("""COMPUTED_VALUE"""),"Completed")</f>
        <v>Completed</v>
      </c>
    </row>
    <row r="3603">
      <c r="A3603" s="9" t="str">
        <f>IFERROR(__xludf.DUMMYFUNCTION("""COMPUTED_VALUE"""),"G-REQ-03602")</f>
        <v>G-REQ-03602</v>
      </c>
      <c r="B3603" s="11">
        <f>IFERROR(__xludf.DUMMYFUNCTION("""COMPUTED_VALUE"""),46017.68603500635)</f>
        <v>46017.68604</v>
      </c>
      <c r="C3603" s="9">
        <f>IFERROR(__xludf.DUMMYFUNCTION("""COMPUTED_VALUE"""),13991.0)</f>
        <v>13991</v>
      </c>
      <c r="D3603" s="9" t="str">
        <f>IFERROR(__xludf.DUMMYFUNCTION("""COMPUTED_VALUE"""),"Completed")</f>
        <v>Completed</v>
      </c>
    </row>
    <row r="3604">
      <c r="A3604" s="9" t="str">
        <f>IFERROR(__xludf.DUMMYFUNCTION("""COMPUTED_VALUE"""),"G-REQ-03603")</f>
        <v>G-REQ-03603</v>
      </c>
      <c r="B3604" s="11">
        <f>IFERROR(__xludf.DUMMYFUNCTION("""COMPUTED_VALUE"""),46017.75720985177)</f>
        <v>46017.75721</v>
      </c>
      <c r="C3604" s="9">
        <f>IFERROR(__xludf.DUMMYFUNCTION("""COMPUTED_VALUE"""),13995.0)</f>
        <v>13995</v>
      </c>
      <c r="D3604" s="9" t="str">
        <f>IFERROR(__xludf.DUMMYFUNCTION("""COMPUTED_VALUE"""),"Completed")</f>
        <v>Completed</v>
      </c>
    </row>
    <row r="3605">
      <c r="A3605" s="9" t="str">
        <f>IFERROR(__xludf.DUMMYFUNCTION("""COMPUTED_VALUE"""),"G-REQ-03604")</f>
        <v>G-REQ-03604</v>
      </c>
      <c r="B3605" s="11">
        <f>IFERROR(__xludf.DUMMYFUNCTION("""COMPUTED_VALUE"""),46017.82838469719)</f>
        <v>46017.82838</v>
      </c>
      <c r="C3605" s="9">
        <f>IFERROR(__xludf.DUMMYFUNCTION("""COMPUTED_VALUE"""),13999.0)</f>
        <v>13999</v>
      </c>
      <c r="D3605" s="9" t="str">
        <f>IFERROR(__xludf.DUMMYFUNCTION("""COMPUTED_VALUE"""),"Completed")</f>
        <v>Completed</v>
      </c>
    </row>
    <row r="3606">
      <c r="A3606" s="9" t="str">
        <f>IFERROR(__xludf.DUMMYFUNCTION("""COMPUTED_VALUE"""),"G-REQ-03605")</f>
        <v>G-REQ-03605</v>
      </c>
      <c r="B3606" s="11">
        <f>IFERROR(__xludf.DUMMYFUNCTION("""COMPUTED_VALUE"""),46017.899559542595)</f>
        <v>46017.89956</v>
      </c>
      <c r="C3606" s="9">
        <f>IFERROR(__xludf.DUMMYFUNCTION("""COMPUTED_VALUE"""),14003.0)</f>
        <v>14003</v>
      </c>
      <c r="D3606" s="9" t="str">
        <f>IFERROR(__xludf.DUMMYFUNCTION("""COMPUTED_VALUE"""),"Completed")</f>
        <v>Completed</v>
      </c>
    </row>
    <row r="3607">
      <c r="A3607" s="9" t="str">
        <f>IFERROR(__xludf.DUMMYFUNCTION("""COMPUTED_VALUE"""),"G-REQ-03606")</f>
        <v>G-REQ-03606</v>
      </c>
      <c r="B3607" s="11">
        <f>IFERROR(__xludf.DUMMYFUNCTION("""COMPUTED_VALUE"""),46017.970734388015)</f>
        <v>46017.97073</v>
      </c>
      <c r="C3607" s="9">
        <f>IFERROR(__xludf.DUMMYFUNCTION("""COMPUTED_VALUE"""),14007.0)</f>
        <v>14007</v>
      </c>
      <c r="D3607" s="9" t="str">
        <f>IFERROR(__xludf.DUMMYFUNCTION("""COMPUTED_VALUE"""),"Completed")</f>
        <v>Completed</v>
      </c>
    </row>
    <row r="3608">
      <c r="A3608" s="9" t="str">
        <f>IFERROR(__xludf.DUMMYFUNCTION("""COMPUTED_VALUE"""),"G-REQ-03607")</f>
        <v>G-REQ-03607</v>
      </c>
      <c r="B3608" s="11">
        <f>IFERROR(__xludf.DUMMYFUNCTION("""COMPUTED_VALUE"""),46018.041909233434)</f>
        <v>46018.04191</v>
      </c>
      <c r="C3608" s="9">
        <f>IFERROR(__xludf.DUMMYFUNCTION("""COMPUTED_VALUE"""),14011.0)</f>
        <v>14011</v>
      </c>
      <c r="D3608" s="9" t="str">
        <f>IFERROR(__xludf.DUMMYFUNCTION("""COMPUTED_VALUE"""),"Completed")</f>
        <v>Completed</v>
      </c>
    </row>
    <row r="3609">
      <c r="A3609" s="9" t="str">
        <f>IFERROR(__xludf.DUMMYFUNCTION("""COMPUTED_VALUE"""),"G-REQ-03608")</f>
        <v>G-REQ-03608</v>
      </c>
      <c r="B3609" s="11">
        <f>IFERROR(__xludf.DUMMYFUNCTION("""COMPUTED_VALUE"""),46018.11308407885)</f>
        <v>46018.11308</v>
      </c>
      <c r="C3609" s="9">
        <f>IFERROR(__xludf.DUMMYFUNCTION("""COMPUTED_VALUE"""),14015.0)</f>
        <v>14015</v>
      </c>
      <c r="D3609" s="9" t="str">
        <f>IFERROR(__xludf.DUMMYFUNCTION("""COMPUTED_VALUE"""),"Completed")</f>
        <v>Completed</v>
      </c>
    </row>
    <row r="3610">
      <c r="A3610" s="9" t="str">
        <f>IFERROR(__xludf.DUMMYFUNCTION("""COMPUTED_VALUE"""),"G-REQ-03609")</f>
        <v>G-REQ-03609</v>
      </c>
      <c r="B3610" s="11">
        <f>IFERROR(__xludf.DUMMYFUNCTION("""COMPUTED_VALUE"""),46018.18425892426)</f>
        <v>46018.18426</v>
      </c>
      <c r="C3610" s="9">
        <f>IFERROR(__xludf.DUMMYFUNCTION("""COMPUTED_VALUE"""),14019.0)</f>
        <v>14019</v>
      </c>
      <c r="D3610" s="9" t="str">
        <f>IFERROR(__xludf.DUMMYFUNCTION("""COMPUTED_VALUE"""),"Completed")</f>
        <v>Completed</v>
      </c>
    </row>
    <row r="3611">
      <c r="A3611" s="9" t="str">
        <f>IFERROR(__xludf.DUMMYFUNCTION("""COMPUTED_VALUE"""),"G-REQ-03610")</f>
        <v>G-REQ-03610</v>
      </c>
      <c r="B3611" s="11">
        <f>IFERROR(__xludf.DUMMYFUNCTION("""COMPUTED_VALUE"""),46018.25543376968)</f>
        <v>46018.25543</v>
      </c>
      <c r="C3611" s="9">
        <f>IFERROR(__xludf.DUMMYFUNCTION("""COMPUTED_VALUE"""),14023.0)</f>
        <v>14023</v>
      </c>
      <c r="D3611" s="9" t="str">
        <f>IFERROR(__xludf.DUMMYFUNCTION("""COMPUTED_VALUE"""),"Completed")</f>
        <v>Completed</v>
      </c>
    </row>
    <row r="3612">
      <c r="A3612" s="9" t="str">
        <f>IFERROR(__xludf.DUMMYFUNCTION("""COMPUTED_VALUE"""),"G-REQ-03611")</f>
        <v>G-REQ-03611</v>
      </c>
      <c r="B3612" s="11">
        <f>IFERROR(__xludf.DUMMYFUNCTION("""COMPUTED_VALUE"""),46018.32660861509)</f>
        <v>46018.32661</v>
      </c>
      <c r="C3612" s="9">
        <f>IFERROR(__xludf.DUMMYFUNCTION("""COMPUTED_VALUE"""),14027.0)</f>
        <v>14027</v>
      </c>
      <c r="D3612" s="9" t="str">
        <f>IFERROR(__xludf.DUMMYFUNCTION("""COMPUTED_VALUE"""),"Completed")</f>
        <v>Completed</v>
      </c>
    </row>
    <row r="3613">
      <c r="A3613" s="9" t="str">
        <f>IFERROR(__xludf.DUMMYFUNCTION("""COMPUTED_VALUE"""),"G-REQ-03612")</f>
        <v>G-REQ-03612</v>
      </c>
      <c r="B3613" s="11">
        <f>IFERROR(__xludf.DUMMYFUNCTION("""COMPUTED_VALUE"""),46018.3977834605)</f>
        <v>46018.39778</v>
      </c>
      <c r="C3613" s="9">
        <f>IFERROR(__xludf.DUMMYFUNCTION("""COMPUTED_VALUE"""),14031.0)</f>
        <v>14031</v>
      </c>
      <c r="D3613" s="9" t="str">
        <f>IFERROR(__xludf.DUMMYFUNCTION("""COMPUTED_VALUE"""),"Completed")</f>
        <v>Completed</v>
      </c>
    </row>
    <row r="3614">
      <c r="A3614" s="9" t="str">
        <f>IFERROR(__xludf.DUMMYFUNCTION("""COMPUTED_VALUE"""),"G-REQ-03613")</f>
        <v>G-REQ-03613</v>
      </c>
      <c r="B3614" s="11">
        <f>IFERROR(__xludf.DUMMYFUNCTION("""COMPUTED_VALUE"""),46018.46895830592)</f>
        <v>46018.46896</v>
      </c>
      <c r="C3614" s="9">
        <f>IFERROR(__xludf.DUMMYFUNCTION("""COMPUTED_VALUE"""),14035.0)</f>
        <v>14035</v>
      </c>
      <c r="D3614" s="9" t="str">
        <f>IFERROR(__xludf.DUMMYFUNCTION("""COMPUTED_VALUE"""),"Completed")</f>
        <v>Completed</v>
      </c>
    </row>
    <row r="3615">
      <c r="A3615" s="9" t="str">
        <f>IFERROR(__xludf.DUMMYFUNCTION("""COMPUTED_VALUE"""),"G-REQ-03614")</f>
        <v>G-REQ-03614</v>
      </c>
      <c r="B3615" s="11">
        <f>IFERROR(__xludf.DUMMYFUNCTION("""COMPUTED_VALUE"""),46018.540133151335)</f>
        <v>46018.54013</v>
      </c>
      <c r="C3615" s="9">
        <f>IFERROR(__xludf.DUMMYFUNCTION("""COMPUTED_VALUE"""),14039.0)</f>
        <v>14039</v>
      </c>
      <c r="D3615" s="9" t="str">
        <f>IFERROR(__xludf.DUMMYFUNCTION("""COMPUTED_VALUE"""),"Completed")</f>
        <v>Completed</v>
      </c>
    </row>
    <row r="3616">
      <c r="A3616" s="9" t="str">
        <f>IFERROR(__xludf.DUMMYFUNCTION("""COMPUTED_VALUE"""),"G-REQ-03615")</f>
        <v>G-REQ-03615</v>
      </c>
      <c r="B3616" s="11">
        <f>IFERROR(__xludf.DUMMYFUNCTION("""COMPUTED_VALUE"""),46018.61130799675)</f>
        <v>46018.61131</v>
      </c>
      <c r="C3616" s="9">
        <f>IFERROR(__xludf.DUMMYFUNCTION("""COMPUTED_VALUE"""),14043.0)</f>
        <v>14043</v>
      </c>
      <c r="D3616" s="9" t="str">
        <f>IFERROR(__xludf.DUMMYFUNCTION("""COMPUTED_VALUE"""),"Completed")</f>
        <v>Completed</v>
      </c>
    </row>
    <row r="3617">
      <c r="A3617" s="9" t="str">
        <f>IFERROR(__xludf.DUMMYFUNCTION("""COMPUTED_VALUE"""),"G-REQ-03616")</f>
        <v>G-REQ-03616</v>
      </c>
      <c r="B3617" s="11">
        <f>IFERROR(__xludf.DUMMYFUNCTION("""COMPUTED_VALUE"""),46018.68248284217)</f>
        <v>46018.68248</v>
      </c>
      <c r="C3617" s="9">
        <f>IFERROR(__xludf.DUMMYFUNCTION("""COMPUTED_VALUE"""),14047.0)</f>
        <v>14047</v>
      </c>
      <c r="D3617" s="9" t="str">
        <f>IFERROR(__xludf.DUMMYFUNCTION("""COMPUTED_VALUE"""),"Completed")</f>
        <v>Completed</v>
      </c>
    </row>
    <row r="3618">
      <c r="A3618" s="9" t="str">
        <f>IFERROR(__xludf.DUMMYFUNCTION("""COMPUTED_VALUE"""),"G-REQ-03617")</f>
        <v>G-REQ-03617</v>
      </c>
      <c r="B3618" s="11">
        <f>IFERROR(__xludf.DUMMYFUNCTION("""COMPUTED_VALUE"""),46018.75365768758)</f>
        <v>46018.75366</v>
      </c>
      <c r="C3618" s="9">
        <f>IFERROR(__xludf.DUMMYFUNCTION("""COMPUTED_VALUE"""),14051.0)</f>
        <v>14051</v>
      </c>
      <c r="D3618" s="9" t="str">
        <f>IFERROR(__xludf.DUMMYFUNCTION("""COMPUTED_VALUE"""),"Completed")</f>
        <v>Completed</v>
      </c>
    </row>
    <row r="3619">
      <c r="A3619" s="9" t="str">
        <f>IFERROR(__xludf.DUMMYFUNCTION("""COMPUTED_VALUE"""),"G-REQ-03618")</f>
        <v>G-REQ-03618</v>
      </c>
      <c r="B3619" s="11">
        <f>IFERROR(__xludf.DUMMYFUNCTION("""COMPUTED_VALUE"""),46018.82483253299)</f>
        <v>46018.82483</v>
      </c>
      <c r="C3619" s="9">
        <f>IFERROR(__xludf.DUMMYFUNCTION("""COMPUTED_VALUE"""),14055.0)</f>
        <v>14055</v>
      </c>
      <c r="D3619" s="9" t="str">
        <f>IFERROR(__xludf.DUMMYFUNCTION("""COMPUTED_VALUE"""),"Completed")</f>
        <v>Completed</v>
      </c>
    </row>
    <row r="3620">
      <c r="A3620" s="9" t="str">
        <f>IFERROR(__xludf.DUMMYFUNCTION("""COMPUTED_VALUE"""),"G-REQ-03619")</f>
        <v>G-REQ-03619</v>
      </c>
      <c r="B3620" s="11">
        <f>IFERROR(__xludf.DUMMYFUNCTION("""COMPUTED_VALUE"""),46018.89600737841)</f>
        <v>46018.89601</v>
      </c>
      <c r="C3620" s="9">
        <f>IFERROR(__xludf.DUMMYFUNCTION("""COMPUTED_VALUE"""),14059.0)</f>
        <v>14059</v>
      </c>
      <c r="D3620" s="9" t="str">
        <f>IFERROR(__xludf.DUMMYFUNCTION("""COMPUTED_VALUE"""),"Completed")</f>
        <v>Completed</v>
      </c>
    </row>
    <row r="3621">
      <c r="A3621" s="9" t="str">
        <f>IFERROR(__xludf.DUMMYFUNCTION("""COMPUTED_VALUE"""),"G-REQ-03620")</f>
        <v>G-REQ-03620</v>
      </c>
      <c r="B3621" s="11">
        <f>IFERROR(__xludf.DUMMYFUNCTION("""COMPUTED_VALUE"""),46018.960237779385)</f>
        <v>46018.96024</v>
      </c>
      <c r="C3621" s="9">
        <f>IFERROR(__xludf.DUMMYFUNCTION("""COMPUTED_VALUE"""),14061.0)</f>
        <v>14061</v>
      </c>
      <c r="D3621" s="9" t="str">
        <f>IFERROR(__xludf.DUMMYFUNCTION("""COMPUTED_VALUE"""),"Rejected")</f>
        <v>Rejected</v>
      </c>
    </row>
    <row r="3622">
      <c r="A3622" s="9" t="str">
        <f>IFERROR(__xludf.DUMMYFUNCTION("""COMPUTED_VALUE"""),"G-REQ-03621")</f>
        <v>G-REQ-03621</v>
      </c>
      <c r="B3622" s="11">
        <f>IFERROR(__xludf.DUMMYFUNCTION("""COMPUTED_VALUE"""),46019.038357069236)</f>
        <v>46019.03836</v>
      </c>
      <c r="C3622" s="9">
        <f>IFERROR(__xludf.DUMMYFUNCTION("""COMPUTED_VALUE"""),14065.0)</f>
        <v>14065</v>
      </c>
      <c r="D3622" s="9" t="str">
        <f>IFERROR(__xludf.DUMMYFUNCTION("""COMPUTED_VALUE"""),"Completed")</f>
        <v>Completed</v>
      </c>
    </row>
    <row r="3623">
      <c r="A3623" s="9" t="str">
        <f>IFERROR(__xludf.DUMMYFUNCTION("""COMPUTED_VALUE"""),"G-REQ-03622")</f>
        <v>G-REQ-03622</v>
      </c>
      <c r="B3623" s="11">
        <f>IFERROR(__xludf.DUMMYFUNCTION("""COMPUTED_VALUE"""),46019.10258747021)</f>
        <v>46019.10259</v>
      </c>
      <c r="C3623" s="9">
        <f>IFERROR(__xludf.DUMMYFUNCTION("""COMPUTED_VALUE"""),14067.0)</f>
        <v>14067</v>
      </c>
      <c r="D3623" s="9" t="str">
        <f>IFERROR(__xludf.DUMMYFUNCTION("""COMPUTED_VALUE"""),"Rejected")</f>
        <v>Rejected</v>
      </c>
    </row>
    <row r="3624">
      <c r="A3624" s="9" t="str">
        <f>IFERROR(__xludf.DUMMYFUNCTION("""COMPUTED_VALUE"""),"G-REQ-03623")</f>
        <v>G-REQ-03623</v>
      </c>
      <c r="B3624" s="11">
        <f>IFERROR(__xludf.DUMMYFUNCTION("""COMPUTED_VALUE"""),46019.180706760075)</f>
        <v>46019.18071</v>
      </c>
      <c r="C3624" s="9">
        <f>IFERROR(__xludf.DUMMYFUNCTION("""COMPUTED_VALUE"""),14071.0)</f>
        <v>14071</v>
      </c>
      <c r="D3624" s="9" t="str">
        <f>IFERROR(__xludf.DUMMYFUNCTION("""COMPUTED_VALUE"""),"Completed")</f>
        <v>Completed</v>
      </c>
    </row>
    <row r="3625">
      <c r="A3625" s="9" t="str">
        <f>IFERROR(__xludf.DUMMYFUNCTION("""COMPUTED_VALUE"""),"G-REQ-03624")</f>
        <v>G-REQ-03624</v>
      </c>
      <c r="B3625" s="11">
        <f>IFERROR(__xludf.DUMMYFUNCTION("""COMPUTED_VALUE"""),46019.25188160549)</f>
        <v>46019.25188</v>
      </c>
      <c r="C3625" s="9">
        <f>IFERROR(__xludf.DUMMYFUNCTION("""COMPUTED_VALUE"""),14075.0)</f>
        <v>14075</v>
      </c>
      <c r="D3625" s="9" t="str">
        <f>IFERROR(__xludf.DUMMYFUNCTION("""COMPUTED_VALUE"""),"Completed")</f>
        <v>Completed</v>
      </c>
    </row>
    <row r="3626">
      <c r="A3626" s="9" t="str">
        <f>IFERROR(__xludf.DUMMYFUNCTION("""COMPUTED_VALUE"""),"G-REQ-03625")</f>
        <v>G-REQ-03625</v>
      </c>
      <c r="B3626" s="11">
        <f>IFERROR(__xludf.DUMMYFUNCTION("""COMPUTED_VALUE"""),46019.3230564509)</f>
        <v>46019.32306</v>
      </c>
      <c r="C3626" s="9">
        <f>IFERROR(__xludf.DUMMYFUNCTION("""COMPUTED_VALUE"""),14079.0)</f>
        <v>14079</v>
      </c>
      <c r="D3626" s="9" t="str">
        <f>IFERROR(__xludf.DUMMYFUNCTION("""COMPUTED_VALUE"""),"Completed")</f>
        <v>Completed</v>
      </c>
    </row>
    <row r="3627">
      <c r="A3627" s="9" t="str">
        <f>IFERROR(__xludf.DUMMYFUNCTION("""COMPUTED_VALUE"""),"G-REQ-03626")</f>
        <v>G-REQ-03626</v>
      </c>
      <c r="B3627" s="11">
        <f>IFERROR(__xludf.DUMMYFUNCTION("""COMPUTED_VALUE"""),46019.39423129632)</f>
        <v>46019.39423</v>
      </c>
      <c r="C3627" s="9">
        <f>IFERROR(__xludf.DUMMYFUNCTION("""COMPUTED_VALUE"""),14083.0)</f>
        <v>14083</v>
      </c>
      <c r="D3627" s="9" t="str">
        <f>IFERROR(__xludf.DUMMYFUNCTION("""COMPUTED_VALUE"""),"Completed")</f>
        <v>Completed</v>
      </c>
    </row>
    <row r="3628">
      <c r="A3628" s="9" t="str">
        <f>IFERROR(__xludf.DUMMYFUNCTION("""COMPUTED_VALUE"""),"G-REQ-03627")</f>
        <v>G-REQ-03627</v>
      </c>
      <c r="B3628" s="11">
        <f>IFERROR(__xludf.DUMMYFUNCTION("""COMPUTED_VALUE"""),46019.46540614173)</f>
        <v>46019.46541</v>
      </c>
      <c r="C3628" s="9">
        <f>IFERROR(__xludf.DUMMYFUNCTION("""COMPUTED_VALUE"""),14087.0)</f>
        <v>14087</v>
      </c>
      <c r="D3628" s="9" t="str">
        <f>IFERROR(__xludf.DUMMYFUNCTION("""COMPUTED_VALUE"""),"Completed")</f>
        <v>Completed</v>
      </c>
    </row>
    <row r="3629">
      <c r="A3629" s="9" t="str">
        <f>IFERROR(__xludf.DUMMYFUNCTION("""COMPUTED_VALUE"""),"G-REQ-03628")</f>
        <v>G-REQ-03628</v>
      </c>
      <c r="B3629" s="11">
        <f>IFERROR(__xludf.DUMMYFUNCTION("""COMPUTED_VALUE"""),46019.536580987144)</f>
        <v>46019.53658</v>
      </c>
      <c r="C3629" s="9">
        <f>IFERROR(__xludf.DUMMYFUNCTION("""COMPUTED_VALUE"""),14091.0)</f>
        <v>14091</v>
      </c>
      <c r="D3629" s="9" t="str">
        <f>IFERROR(__xludf.DUMMYFUNCTION("""COMPUTED_VALUE"""),"Completed")</f>
        <v>Completed</v>
      </c>
    </row>
    <row r="3630">
      <c r="A3630" s="9" t="str">
        <f>IFERROR(__xludf.DUMMYFUNCTION("""COMPUTED_VALUE"""),"G-REQ-03629")</f>
        <v>G-REQ-03629</v>
      </c>
      <c r="B3630" s="11">
        <f>IFERROR(__xludf.DUMMYFUNCTION("""COMPUTED_VALUE"""),46019.60775583256)</f>
        <v>46019.60776</v>
      </c>
      <c r="C3630" s="9">
        <f>IFERROR(__xludf.DUMMYFUNCTION("""COMPUTED_VALUE"""),14095.0)</f>
        <v>14095</v>
      </c>
      <c r="D3630" s="9" t="str">
        <f>IFERROR(__xludf.DUMMYFUNCTION("""COMPUTED_VALUE"""),"Completed")</f>
        <v>Completed</v>
      </c>
    </row>
    <row r="3631">
      <c r="A3631" s="9" t="str">
        <f>IFERROR(__xludf.DUMMYFUNCTION("""COMPUTED_VALUE"""),"G-REQ-03630")</f>
        <v>G-REQ-03630</v>
      </c>
      <c r="B3631" s="11">
        <f>IFERROR(__xludf.DUMMYFUNCTION("""COMPUTED_VALUE"""),46019.678930677976)</f>
        <v>46019.67893</v>
      </c>
      <c r="C3631" s="9">
        <f>IFERROR(__xludf.DUMMYFUNCTION("""COMPUTED_VALUE"""),14099.0)</f>
        <v>14099</v>
      </c>
      <c r="D3631" s="9" t="str">
        <f>IFERROR(__xludf.DUMMYFUNCTION("""COMPUTED_VALUE"""),"Completed")</f>
        <v>Completed</v>
      </c>
    </row>
    <row r="3632">
      <c r="A3632" s="9" t="str">
        <f>IFERROR(__xludf.DUMMYFUNCTION("""COMPUTED_VALUE"""),"G-REQ-03631")</f>
        <v>G-REQ-03631</v>
      </c>
      <c r="B3632" s="11">
        <f>IFERROR(__xludf.DUMMYFUNCTION("""COMPUTED_VALUE"""),46019.74316107894)</f>
        <v>46019.74316</v>
      </c>
      <c r="C3632" s="9">
        <f>IFERROR(__xludf.DUMMYFUNCTION("""COMPUTED_VALUE"""),14101.0)</f>
        <v>14101</v>
      </c>
      <c r="D3632" s="9" t="str">
        <f>IFERROR(__xludf.DUMMYFUNCTION("""COMPUTED_VALUE"""),"Rejected")</f>
        <v>Rejected</v>
      </c>
    </row>
    <row r="3633">
      <c r="A3633" s="9" t="str">
        <f>IFERROR(__xludf.DUMMYFUNCTION("""COMPUTED_VALUE"""),"G-REQ-03632")</f>
        <v>G-REQ-03632</v>
      </c>
      <c r="B3633" s="11">
        <f>IFERROR(__xludf.DUMMYFUNCTION("""COMPUTED_VALUE"""),46019.82128036881)</f>
        <v>46019.82128</v>
      </c>
      <c r="C3633" s="9">
        <f>IFERROR(__xludf.DUMMYFUNCTION("""COMPUTED_VALUE"""),14105.0)</f>
        <v>14105</v>
      </c>
      <c r="D3633" s="9" t="str">
        <f>IFERROR(__xludf.DUMMYFUNCTION("""COMPUTED_VALUE"""),"Completed")</f>
        <v>Completed</v>
      </c>
    </row>
    <row r="3634">
      <c r="A3634" s="9" t="str">
        <f>IFERROR(__xludf.DUMMYFUNCTION("""COMPUTED_VALUE"""),"G-REQ-03633")</f>
        <v>G-REQ-03633</v>
      </c>
      <c r="B3634" s="11">
        <f>IFERROR(__xludf.DUMMYFUNCTION("""COMPUTED_VALUE"""),46019.89245521422)</f>
        <v>46019.89246</v>
      </c>
      <c r="C3634" s="9">
        <f>IFERROR(__xludf.DUMMYFUNCTION("""COMPUTED_VALUE"""),14109.0)</f>
        <v>14109</v>
      </c>
      <c r="D3634" s="9" t="str">
        <f>IFERROR(__xludf.DUMMYFUNCTION("""COMPUTED_VALUE"""),"Completed")</f>
        <v>Completed</v>
      </c>
    </row>
    <row r="3635">
      <c r="A3635" s="9" t="str">
        <f>IFERROR(__xludf.DUMMYFUNCTION("""COMPUTED_VALUE"""),"G-REQ-03634")</f>
        <v>G-REQ-03634</v>
      </c>
      <c r="B3635" s="11">
        <f>IFERROR(__xludf.DUMMYFUNCTION("""COMPUTED_VALUE"""),46019.96363005963)</f>
        <v>46019.96363</v>
      </c>
      <c r="C3635" s="9">
        <f>IFERROR(__xludf.DUMMYFUNCTION("""COMPUTED_VALUE"""),14113.0)</f>
        <v>14113</v>
      </c>
      <c r="D3635" s="9" t="str">
        <f>IFERROR(__xludf.DUMMYFUNCTION("""COMPUTED_VALUE"""),"Completed")</f>
        <v>Completed</v>
      </c>
    </row>
    <row r="3636">
      <c r="A3636" s="9" t="str">
        <f>IFERROR(__xludf.DUMMYFUNCTION("""COMPUTED_VALUE"""),"G-REQ-03635")</f>
        <v>G-REQ-03635</v>
      </c>
      <c r="B3636" s="11">
        <f>IFERROR(__xludf.DUMMYFUNCTION("""COMPUTED_VALUE"""),46020.03480490505)</f>
        <v>46020.0348</v>
      </c>
      <c r="C3636" s="9">
        <f>IFERROR(__xludf.DUMMYFUNCTION("""COMPUTED_VALUE"""),14117.0)</f>
        <v>14117</v>
      </c>
      <c r="D3636" s="9" t="str">
        <f>IFERROR(__xludf.DUMMYFUNCTION("""COMPUTED_VALUE"""),"Completed")</f>
        <v>Completed</v>
      </c>
    </row>
    <row r="3637">
      <c r="A3637" s="9" t="str">
        <f>IFERROR(__xludf.DUMMYFUNCTION("""COMPUTED_VALUE"""),"G-REQ-03636")</f>
        <v>G-REQ-03636</v>
      </c>
      <c r="B3637" s="11">
        <f>IFERROR(__xludf.DUMMYFUNCTION("""COMPUTED_VALUE"""),46020.10597975047)</f>
        <v>46020.10598</v>
      </c>
      <c r="C3637" s="9">
        <f>IFERROR(__xludf.DUMMYFUNCTION("""COMPUTED_VALUE"""),14121.0)</f>
        <v>14121</v>
      </c>
      <c r="D3637" s="9" t="str">
        <f>IFERROR(__xludf.DUMMYFUNCTION("""COMPUTED_VALUE"""),"Completed")</f>
        <v>Completed</v>
      </c>
    </row>
    <row r="3638">
      <c r="A3638" s="9" t="str">
        <f>IFERROR(__xludf.DUMMYFUNCTION("""COMPUTED_VALUE"""),"G-REQ-03637")</f>
        <v>G-REQ-03637</v>
      </c>
      <c r="B3638" s="11">
        <f>IFERROR(__xludf.DUMMYFUNCTION("""COMPUTED_VALUE"""),46020.177154595876)</f>
        <v>46020.17715</v>
      </c>
      <c r="C3638" s="9">
        <f>IFERROR(__xludf.DUMMYFUNCTION("""COMPUTED_VALUE"""),14125.0)</f>
        <v>14125</v>
      </c>
      <c r="D3638" s="9" t="str">
        <f>IFERROR(__xludf.DUMMYFUNCTION("""COMPUTED_VALUE"""),"Completed")</f>
        <v>Completed</v>
      </c>
    </row>
    <row r="3639">
      <c r="A3639" s="9" t="str">
        <f>IFERROR(__xludf.DUMMYFUNCTION("""COMPUTED_VALUE"""),"G-REQ-03638")</f>
        <v>G-REQ-03638</v>
      </c>
      <c r="B3639" s="11">
        <f>IFERROR(__xludf.DUMMYFUNCTION("""COMPUTED_VALUE"""),46020.248329441296)</f>
        <v>46020.24833</v>
      </c>
      <c r="C3639" s="9">
        <f>IFERROR(__xludf.DUMMYFUNCTION("""COMPUTED_VALUE"""),14129.0)</f>
        <v>14129</v>
      </c>
      <c r="D3639" s="9" t="str">
        <f>IFERROR(__xludf.DUMMYFUNCTION("""COMPUTED_VALUE"""),"Completed")</f>
        <v>Completed</v>
      </c>
    </row>
    <row r="3640">
      <c r="A3640" s="9" t="str">
        <f>IFERROR(__xludf.DUMMYFUNCTION("""COMPUTED_VALUE"""),"G-REQ-03639")</f>
        <v>G-REQ-03639</v>
      </c>
      <c r="B3640" s="11">
        <f>IFERROR(__xludf.DUMMYFUNCTION("""COMPUTED_VALUE"""),46020.319504286716)</f>
        <v>46020.3195</v>
      </c>
      <c r="C3640" s="9">
        <f>IFERROR(__xludf.DUMMYFUNCTION("""COMPUTED_VALUE"""),14133.0)</f>
        <v>14133</v>
      </c>
      <c r="D3640" s="9" t="str">
        <f>IFERROR(__xludf.DUMMYFUNCTION("""COMPUTED_VALUE"""),"Completed")</f>
        <v>Completed</v>
      </c>
    </row>
    <row r="3641">
      <c r="A3641" s="9" t="str">
        <f>IFERROR(__xludf.DUMMYFUNCTION("""COMPUTED_VALUE"""),"G-REQ-03640")</f>
        <v>G-REQ-03640</v>
      </c>
      <c r="B3641" s="11">
        <f>IFERROR(__xludf.DUMMYFUNCTION("""COMPUTED_VALUE"""),46020.39067913213)</f>
        <v>46020.39068</v>
      </c>
      <c r="C3641" s="9">
        <f>IFERROR(__xludf.DUMMYFUNCTION("""COMPUTED_VALUE"""),14137.0)</f>
        <v>14137</v>
      </c>
      <c r="D3641" s="9" t="str">
        <f>IFERROR(__xludf.DUMMYFUNCTION("""COMPUTED_VALUE"""),"Completed")</f>
        <v>Completed</v>
      </c>
    </row>
    <row r="3642">
      <c r="A3642" s="9" t="str">
        <f>IFERROR(__xludf.DUMMYFUNCTION("""COMPUTED_VALUE"""),"G-REQ-03641")</f>
        <v>G-REQ-03641</v>
      </c>
      <c r="B3642" s="11">
        <f>IFERROR(__xludf.DUMMYFUNCTION("""COMPUTED_VALUE"""),46020.46185397754)</f>
        <v>46020.46185</v>
      </c>
      <c r="C3642" s="9">
        <f>IFERROR(__xludf.DUMMYFUNCTION("""COMPUTED_VALUE"""),14141.0)</f>
        <v>14141</v>
      </c>
      <c r="D3642" s="9" t="str">
        <f>IFERROR(__xludf.DUMMYFUNCTION("""COMPUTED_VALUE"""),"Completed")</f>
        <v>Completed</v>
      </c>
    </row>
    <row r="3643">
      <c r="A3643" s="9" t="str">
        <f>IFERROR(__xludf.DUMMYFUNCTION("""COMPUTED_VALUE"""),"G-REQ-03642")</f>
        <v>G-REQ-03642</v>
      </c>
      <c r="B3643" s="11">
        <f>IFERROR(__xludf.DUMMYFUNCTION("""COMPUTED_VALUE"""),46020.53302882296)</f>
        <v>46020.53303</v>
      </c>
      <c r="C3643" s="9">
        <f>IFERROR(__xludf.DUMMYFUNCTION("""COMPUTED_VALUE"""),14145.0)</f>
        <v>14145</v>
      </c>
      <c r="D3643" s="9" t="str">
        <f>IFERROR(__xludf.DUMMYFUNCTION("""COMPUTED_VALUE"""),"Completed")</f>
        <v>Completed</v>
      </c>
    </row>
    <row r="3644">
      <c r="A3644" s="9" t="str">
        <f>IFERROR(__xludf.DUMMYFUNCTION("""COMPUTED_VALUE"""),"G-REQ-03643")</f>
        <v>G-REQ-03643</v>
      </c>
      <c r="B3644" s="11">
        <f>IFERROR(__xludf.DUMMYFUNCTION("""COMPUTED_VALUE"""),46020.59725922393)</f>
        <v>46020.59726</v>
      </c>
      <c r="C3644" s="9">
        <f>IFERROR(__xludf.DUMMYFUNCTION("""COMPUTED_VALUE"""),14147.0)</f>
        <v>14147</v>
      </c>
      <c r="D3644" s="9" t="str">
        <f>IFERROR(__xludf.DUMMYFUNCTION("""COMPUTED_VALUE"""),"Cancelled")</f>
        <v>Cancelled</v>
      </c>
    </row>
    <row r="3645">
      <c r="A3645" s="9" t="str">
        <f>IFERROR(__xludf.DUMMYFUNCTION("""COMPUTED_VALUE"""),"G-REQ-03644")</f>
        <v>G-REQ-03644</v>
      </c>
      <c r="B3645" s="11">
        <f>IFERROR(__xludf.DUMMYFUNCTION("""COMPUTED_VALUE"""),46020.675378513784)</f>
        <v>46020.67538</v>
      </c>
      <c r="C3645" s="9">
        <f>IFERROR(__xludf.DUMMYFUNCTION("""COMPUTED_VALUE"""),14151.0)</f>
        <v>14151</v>
      </c>
      <c r="D3645" s="9" t="str">
        <f>IFERROR(__xludf.DUMMYFUNCTION("""COMPUTED_VALUE"""),"Completed")</f>
        <v>Completed</v>
      </c>
    </row>
    <row r="3646">
      <c r="A3646" s="9" t="str">
        <f>IFERROR(__xludf.DUMMYFUNCTION("""COMPUTED_VALUE"""),"G-REQ-03645")</f>
        <v>G-REQ-03645</v>
      </c>
      <c r="B3646" s="11">
        <f>IFERROR(__xludf.DUMMYFUNCTION("""COMPUTED_VALUE"""),46020.73960891476)</f>
        <v>46020.73961</v>
      </c>
      <c r="C3646" s="9">
        <f>IFERROR(__xludf.DUMMYFUNCTION("""COMPUTED_VALUE"""),14153.0)</f>
        <v>14153</v>
      </c>
      <c r="D3646" s="9" t="str">
        <f>IFERROR(__xludf.DUMMYFUNCTION("""COMPUTED_VALUE"""),"Rejected")</f>
        <v>Rejected</v>
      </c>
    </row>
    <row r="3647">
      <c r="A3647" s="9" t="str">
        <f>IFERROR(__xludf.DUMMYFUNCTION("""COMPUTED_VALUE"""),"G-REQ-03646")</f>
        <v>G-REQ-03646</v>
      </c>
      <c r="B3647" s="11">
        <f>IFERROR(__xludf.DUMMYFUNCTION("""COMPUTED_VALUE"""),46020.817728204616)</f>
        <v>46020.81773</v>
      </c>
      <c r="C3647" s="9">
        <f>IFERROR(__xludf.DUMMYFUNCTION("""COMPUTED_VALUE"""),14157.0)</f>
        <v>14157</v>
      </c>
      <c r="D3647" s="9" t="str">
        <f>IFERROR(__xludf.DUMMYFUNCTION("""COMPUTED_VALUE"""),"Completed")</f>
        <v>Completed</v>
      </c>
    </row>
    <row r="3648">
      <c r="A3648" s="9" t="str">
        <f>IFERROR(__xludf.DUMMYFUNCTION("""COMPUTED_VALUE"""),"G-REQ-03647")</f>
        <v>G-REQ-03647</v>
      </c>
      <c r="B3648" s="11">
        <f>IFERROR(__xludf.DUMMYFUNCTION("""COMPUTED_VALUE"""),46020.88890305003)</f>
        <v>46020.8889</v>
      </c>
      <c r="C3648" s="9">
        <f>IFERROR(__xludf.DUMMYFUNCTION("""COMPUTED_VALUE"""),14161.0)</f>
        <v>14161</v>
      </c>
      <c r="D3648" s="9" t="str">
        <f>IFERROR(__xludf.DUMMYFUNCTION("""COMPUTED_VALUE"""),"Completed")</f>
        <v>Completed</v>
      </c>
    </row>
    <row r="3649">
      <c r="A3649" s="9" t="str">
        <f>IFERROR(__xludf.DUMMYFUNCTION("""COMPUTED_VALUE"""),"G-REQ-03648")</f>
        <v>G-REQ-03648</v>
      </c>
      <c r="B3649" s="11">
        <f>IFERROR(__xludf.DUMMYFUNCTION("""COMPUTED_VALUE"""),46020.96007789545)</f>
        <v>46020.96008</v>
      </c>
      <c r="C3649" s="9">
        <f>IFERROR(__xludf.DUMMYFUNCTION("""COMPUTED_VALUE"""),14165.0)</f>
        <v>14165</v>
      </c>
      <c r="D3649" s="9" t="str">
        <f>IFERROR(__xludf.DUMMYFUNCTION("""COMPUTED_VALUE"""),"Completed")</f>
        <v>Completed</v>
      </c>
    </row>
    <row r="3650">
      <c r="A3650" s="9" t="str">
        <f>IFERROR(__xludf.DUMMYFUNCTION("""COMPUTED_VALUE"""),"G-REQ-03649")</f>
        <v>G-REQ-03649</v>
      </c>
      <c r="B3650" s="11">
        <f>IFERROR(__xludf.DUMMYFUNCTION("""COMPUTED_VALUE"""),46021.03125274087)</f>
        <v>46021.03125</v>
      </c>
      <c r="C3650" s="9">
        <f>IFERROR(__xludf.DUMMYFUNCTION("""COMPUTED_VALUE"""),14169.0)</f>
        <v>14169</v>
      </c>
      <c r="D3650" s="9" t="str">
        <f>IFERROR(__xludf.DUMMYFUNCTION("""COMPUTED_VALUE"""),"Completed")</f>
        <v>Completed</v>
      </c>
    </row>
    <row r="3651">
      <c r="A3651" s="9" t="str">
        <f>IFERROR(__xludf.DUMMYFUNCTION("""COMPUTED_VALUE"""),"G-REQ-03650")</f>
        <v>G-REQ-03650</v>
      </c>
      <c r="B3651" s="11">
        <f>IFERROR(__xludf.DUMMYFUNCTION("""COMPUTED_VALUE"""),46021.10242758627)</f>
        <v>46021.10243</v>
      </c>
      <c r="C3651" s="9">
        <f>IFERROR(__xludf.DUMMYFUNCTION("""COMPUTED_VALUE"""),14173.0)</f>
        <v>14173</v>
      </c>
      <c r="D3651" s="9" t="str">
        <f>IFERROR(__xludf.DUMMYFUNCTION("""COMPUTED_VALUE"""),"Completed")</f>
        <v>Completed</v>
      </c>
    </row>
    <row r="3652">
      <c r="A3652" s="9" t="str">
        <f>IFERROR(__xludf.DUMMYFUNCTION("""COMPUTED_VALUE"""),"G-REQ-03651")</f>
        <v>G-REQ-03651</v>
      </c>
      <c r="B3652" s="11">
        <f>IFERROR(__xludf.DUMMYFUNCTION("""COMPUTED_VALUE"""),46021.17360243169)</f>
        <v>46021.1736</v>
      </c>
      <c r="C3652" s="9">
        <f>IFERROR(__xludf.DUMMYFUNCTION("""COMPUTED_VALUE"""),14177.0)</f>
        <v>14177</v>
      </c>
      <c r="D3652" s="9" t="str">
        <f>IFERROR(__xludf.DUMMYFUNCTION("""COMPUTED_VALUE"""),"Completed")</f>
        <v>Completed</v>
      </c>
    </row>
    <row r="3653">
      <c r="A3653" s="9" t="str">
        <f>IFERROR(__xludf.DUMMYFUNCTION("""COMPUTED_VALUE"""),"G-REQ-03652")</f>
        <v>G-REQ-03652</v>
      </c>
      <c r="B3653" s="11">
        <f>IFERROR(__xludf.DUMMYFUNCTION("""COMPUTED_VALUE"""),46021.23783283267)</f>
        <v>46021.23783</v>
      </c>
      <c r="C3653" s="9">
        <f>IFERROR(__xludf.DUMMYFUNCTION("""COMPUTED_VALUE"""),14179.0)</f>
        <v>14179</v>
      </c>
      <c r="D3653" s="9" t="str">
        <f>IFERROR(__xludf.DUMMYFUNCTION("""COMPUTED_VALUE"""),"Cancelled")</f>
        <v>Cancelled</v>
      </c>
    </row>
    <row r="3654">
      <c r="A3654" s="9" t="str">
        <f>IFERROR(__xludf.DUMMYFUNCTION("""COMPUTED_VALUE"""),"G-REQ-03653")</f>
        <v>G-REQ-03653</v>
      </c>
      <c r="B3654" s="11">
        <f>IFERROR(__xludf.DUMMYFUNCTION("""COMPUTED_VALUE"""),46021.315952122524)</f>
        <v>46021.31595</v>
      </c>
      <c r="C3654" s="9">
        <f>IFERROR(__xludf.DUMMYFUNCTION("""COMPUTED_VALUE"""),14183.0)</f>
        <v>14183</v>
      </c>
      <c r="D3654" s="9" t="str">
        <f>IFERROR(__xludf.DUMMYFUNCTION("""COMPUTED_VALUE"""),"Completed")</f>
        <v>Completed</v>
      </c>
    </row>
    <row r="3655">
      <c r="A3655" s="9" t="str">
        <f>IFERROR(__xludf.DUMMYFUNCTION("""COMPUTED_VALUE"""),"G-REQ-03654")</f>
        <v>G-REQ-03654</v>
      </c>
      <c r="B3655" s="11">
        <f>IFERROR(__xludf.DUMMYFUNCTION("""COMPUTED_VALUE"""),46021.38712696794)</f>
        <v>46021.38713</v>
      </c>
      <c r="C3655" s="9">
        <f>IFERROR(__xludf.DUMMYFUNCTION("""COMPUTED_VALUE"""),14187.0)</f>
        <v>14187</v>
      </c>
      <c r="D3655" s="9" t="str">
        <f>IFERROR(__xludf.DUMMYFUNCTION("""COMPUTED_VALUE"""),"Completed")</f>
        <v>Completed</v>
      </c>
    </row>
    <row r="3656">
      <c r="A3656" s="9" t="str">
        <f>IFERROR(__xludf.DUMMYFUNCTION("""COMPUTED_VALUE"""),"G-REQ-03655")</f>
        <v>G-REQ-03655</v>
      </c>
      <c r="B3656" s="11">
        <f>IFERROR(__xludf.DUMMYFUNCTION("""COMPUTED_VALUE"""),46021.45135736891)</f>
        <v>46021.45136</v>
      </c>
      <c r="C3656" s="9">
        <f>IFERROR(__xludf.DUMMYFUNCTION("""COMPUTED_VALUE"""),14189.0)</f>
        <v>14189</v>
      </c>
      <c r="D3656" s="9" t="str">
        <f>IFERROR(__xludf.DUMMYFUNCTION("""COMPUTED_VALUE"""),"Rejected")</f>
        <v>Rejected</v>
      </c>
    </row>
    <row r="3657">
      <c r="A3657" s="9" t="str">
        <f>IFERROR(__xludf.DUMMYFUNCTION("""COMPUTED_VALUE"""),"G-REQ-03656")</f>
        <v>G-REQ-03656</v>
      </c>
      <c r="B3657" s="11">
        <f>IFERROR(__xludf.DUMMYFUNCTION("""COMPUTED_VALUE"""),46021.52947665877)</f>
        <v>46021.52948</v>
      </c>
      <c r="C3657" s="9">
        <f>IFERROR(__xludf.DUMMYFUNCTION("""COMPUTED_VALUE"""),14193.0)</f>
        <v>14193</v>
      </c>
      <c r="D3657" s="9" t="str">
        <f>IFERROR(__xludf.DUMMYFUNCTION("""COMPUTED_VALUE"""),"Completed")</f>
        <v>Completed</v>
      </c>
    </row>
    <row r="3658">
      <c r="A3658" s="9" t="str">
        <f>IFERROR(__xludf.DUMMYFUNCTION("""COMPUTED_VALUE"""),"G-REQ-03657")</f>
        <v>G-REQ-03657</v>
      </c>
      <c r="B3658" s="11">
        <f>IFERROR(__xludf.DUMMYFUNCTION("""COMPUTED_VALUE"""),46021.60065150418)</f>
        <v>46021.60065</v>
      </c>
      <c r="C3658" s="9">
        <f>IFERROR(__xludf.DUMMYFUNCTION("""COMPUTED_VALUE"""),14197.0)</f>
        <v>14197</v>
      </c>
      <c r="D3658" s="9" t="str">
        <f>IFERROR(__xludf.DUMMYFUNCTION("""COMPUTED_VALUE"""),"Completed")</f>
        <v>Completed</v>
      </c>
    </row>
    <row r="3659">
      <c r="A3659" s="9" t="str">
        <f>IFERROR(__xludf.DUMMYFUNCTION("""COMPUTED_VALUE"""),"G-REQ-03658")</f>
        <v>G-REQ-03658</v>
      </c>
      <c r="B3659" s="11">
        <f>IFERROR(__xludf.DUMMYFUNCTION("""COMPUTED_VALUE"""),46021.6718263496)</f>
        <v>46021.67183</v>
      </c>
      <c r="C3659" s="9">
        <f>IFERROR(__xludf.DUMMYFUNCTION("""COMPUTED_VALUE"""),14201.0)</f>
        <v>14201</v>
      </c>
      <c r="D3659" s="9" t="str">
        <f>IFERROR(__xludf.DUMMYFUNCTION("""COMPUTED_VALUE"""),"Completed")</f>
        <v>Completed</v>
      </c>
    </row>
    <row r="3660">
      <c r="A3660" s="9" t="str">
        <f>IFERROR(__xludf.DUMMYFUNCTION("""COMPUTED_VALUE"""),"G-REQ-03659")</f>
        <v>G-REQ-03659</v>
      </c>
      <c r="B3660" s="11">
        <f>IFERROR(__xludf.DUMMYFUNCTION("""COMPUTED_VALUE"""),46021.74300119501)</f>
        <v>46021.743</v>
      </c>
      <c r="C3660" s="9">
        <f>IFERROR(__xludf.DUMMYFUNCTION("""COMPUTED_VALUE"""),14205.0)</f>
        <v>14205</v>
      </c>
      <c r="D3660" s="9" t="str">
        <f>IFERROR(__xludf.DUMMYFUNCTION("""COMPUTED_VALUE"""),"Completed")</f>
        <v>Completed</v>
      </c>
    </row>
    <row r="3661">
      <c r="A3661" s="9" t="str">
        <f>IFERROR(__xludf.DUMMYFUNCTION("""COMPUTED_VALUE"""),"G-REQ-03660")</f>
        <v>G-REQ-03660</v>
      </c>
      <c r="B3661" s="11">
        <f>IFERROR(__xludf.DUMMYFUNCTION("""COMPUTED_VALUE"""),46021.814176040425)</f>
        <v>46021.81418</v>
      </c>
      <c r="C3661" s="9">
        <f>IFERROR(__xludf.DUMMYFUNCTION("""COMPUTED_VALUE"""),14209.0)</f>
        <v>14209</v>
      </c>
      <c r="D3661" s="9" t="str">
        <f>IFERROR(__xludf.DUMMYFUNCTION("""COMPUTED_VALUE"""),"Completed")</f>
        <v>Completed</v>
      </c>
    </row>
    <row r="3662">
      <c r="A3662" s="9" t="str">
        <f>IFERROR(__xludf.DUMMYFUNCTION("""COMPUTED_VALUE"""),"G-REQ-03661")</f>
        <v>G-REQ-03661</v>
      </c>
      <c r="B3662" s="11">
        <f>IFERROR(__xludf.DUMMYFUNCTION("""COMPUTED_VALUE"""),46021.885350885845)</f>
        <v>46021.88535</v>
      </c>
      <c r="C3662" s="9">
        <f>IFERROR(__xludf.DUMMYFUNCTION("""COMPUTED_VALUE"""),14213.0)</f>
        <v>14213</v>
      </c>
      <c r="D3662" s="9" t="str">
        <f>IFERROR(__xludf.DUMMYFUNCTION("""COMPUTED_VALUE"""),"Completed")</f>
        <v>Completed</v>
      </c>
    </row>
    <row r="3663">
      <c r="A3663" s="9" t="str">
        <f>IFERROR(__xludf.DUMMYFUNCTION("""COMPUTED_VALUE"""),"G-REQ-03662")</f>
        <v>G-REQ-03662</v>
      </c>
      <c r="B3663" s="11">
        <f>IFERROR(__xludf.DUMMYFUNCTION("""COMPUTED_VALUE"""),46021.95652573126)</f>
        <v>46021.95653</v>
      </c>
      <c r="C3663" s="9">
        <f>IFERROR(__xludf.DUMMYFUNCTION("""COMPUTED_VALUE"""),14217.0)</f>
        <v>14217</v>
      </c>
      <c r="D3663" s="9" t="str">
        <f>IFERROR(__xludf.DUMMYFUNCTION("""COMPUTED_VALUE"""),"Completed")</f>
        <v>Completed</v>
      </c>
    </row>
    <row r="3664">
      <c r="A3664" s="9" t="str">
        <f>IFERROR(__xludf.DUMMYFUNCTION("""COMPUTED_VALUE"""),"G-REQ-03663")</f>
        <v>G-REQ-03663</v>
      </c>
      <c r="B3664" s="11">
        <f>IFERROR(__xludf.DUMMYFUNCTION("""COMPUTED_VALUE"""),46022.020756132224)</f>
        <v>46022.02076</v>
      </c>
      <c r="C3664" s="9">
        <f>IFERROR(__xludf.DUMMYFUNCTION("""COMPUTED_VALUE"""),14219.0)</f>
        <v>14219</v>
      </c>
      <c r="D3664" s="9" t="str">
        <f>IFERROR(__xludf.DUMMYFUNCTION("""COMPUTED_VALUE"""),"Rejected")</f>
        <v>Rejected</v>
      </c>
    </row>
    <row r="3665">
      <c r="A3665" s="9" t="str">
        <f>IFERROR(__xludf.DUMMYFUNCTION("""COMPUTED_VALUE"""),"G-REQ-03664")</f>
        <v>G-REQ-03664</v>
      </c>
      <c r="B3665" s="11">
        <f>IFERROR(__xludf.DUMMYFUNCTION("""COMPUTED_VALUE"""),46022.091930977644)</f>
        <v>46022.09193</v>
      </c>
      <c r="C3665" s="9">
        <f>IFERROR(__xludf.DUMMYFUNCTION("""COMPUTED_VALUE"""),14221.0)</f>
        <v>14221</v>
      </c>
      <c r="D3665" s="9" t="str">
        <f>IFERROR(__xludf.DUMMYFUNCTION("""COMPUTED_VALUE"""),"Rejected")</f>
        <v>Rejected</v>
      </c>
    </row>
    <row r="3666">
      <c r="A3666" s="9" t="str">
        <f>IFERROR(__xludf.DUMMYFUNCTION("""COMPUTED_VALUE"""),"G-REQ-03665")</f>
        <v>G-REQ-03665</v>
      </c>
      <c r="B3666" s="11">
        <f>IFERROR(__xludf.DUMMYFUNCTION("""COMPUTED_VALUE"""),46022.17005026751)</f>
        <v>46022.17005</v>
      </c>
      <c r="C3666" s="9">
        <f>IFERROR(__xludf.DUMMYFUNCTION("""COMPUTED_VALUE"""),14225.0)</f>
        <v>14225</v>
      </c>
      <c r="D3666" s="9" t="str">
        <f>IFERROR(__xludf.DUMMYFUNCTION("""COMPUTED_VALUE"""),"Completed")</f>
        <v>Completed</v>
      </c>
    </row>
    <row r="3667">
      <c r="A3667" s="9" t="str">
        <f>IFERROR(__xludf.DUMMYFUNCTION("""COMPUTED_VALUE"""),"G-REQ-03666")</f>
        <v>G-REQ-03666</v>
      </c>
      <c r="B3667" s="11">
        <f>IFERROR(__xludf.DUMMYFUNCTION("""COMPUTED_VALUE"""),46022.24122511291)</f>
        <v>46022.24123</v>
      </c>
      <c r="C3667" s="9">
        <f>IFERROR(__xludf.DUMMYFUNCTION("""COMPUTED_VALUE"""),14229.0)</f>
        <v>14229</v>
      </c>
      <c r="D3667" s="9" t="str">
        <f>IFERROR(__xludf.DUMMYFUNCTION("""COMPUTED_VALUE"""),"Completed")</f>
        <v>Completed</v>
      </c>
    </row>
    <row r="3668">
      <c r="A3668" s="9" t="str">
        <f>IFERROR(__xludf.DUMMYFUNCTION("""COMPUTED_VALUE"""),"G-REQ-03667")</f>
        <v>G-REQ-03667</v>
      </c>
      <c r="B3668" s="11">
        <f>IFERROR(__xludf.DUMMYFUNCTION("""COMPUTED_VALUE"""),46022.31239995833)</f>
        <v>46022.3124</v>
      </c>
      <c r="C3668" s="9">
        <f>IFERROR(__xludf.DUMMYFUNCTION("""COMPUTED_VALUE"""),14233.0)</f>
        <v>14233</v>
      </c>
      <c r="D3668" s="9" t="str">
        <f>IFERROR(__xludf.DUMMYFUNCTION("""COMPUTED_VALUE"""),"Completed")</f>
        <v>Completed</v>
      </c>
    </row>
    <row r="3669">
      <c r="A3669" s="9" t="str">
        <f>IFERROR(__xludf.DUMMYFUNCTION("""COMPUTED_VALUE"""),"G-REQ-03668")</f>
        <v>G-REQ-03668</v>
      </c>
      <c r="B3669" s="11">
        <f>IFERROR(__xludf.DUMMYFUNCTION("""COMPUTED_VALUE"""),46022.38357480375)</f>
        <v>46022.38357</v>
      </c>
      <c r="C3669" s="9">
        <f>IFERROR(__xludf.DUMMYFUNCTION("""COMPUTED_VALUE"""),14237.0)</f>
        <v>14237</v>
      </c>
      <c r="D3669" s="9" t="str">
        <f>IFERROR(__xludf.DUMMYFUNCTION("""COMPUTED_VALUE"""),"Completed")</f>
        <v>Completed</v>
      </c>
    </row>
    <row r="3670">
      <c r="A3670" s="9" t="str">
        <f>IFERROR(__xludf.DUMMYFUNCTION("""COMPUTED_VALUE"""),"G-REQ-03669")</f>
        <v>G-REQ-03669</v>
      </c>
      <c r="B3670" s="11">
        <f>IFERROR(__xludf.DUMMYFUNCTION("""COMPUTED_VALUE"""),46022.454749649165)</f>
        <v>46022.45475</v>
      </c>
      <c r="C3670" s="9">
        <f>IFERROR(__xludf.DUMMYFUNCTION("""COMPUTED_VALUE"""),14241.0)</f>
        <v>14241</v>
      </c>
      <c r="D3670" s="9" t="str">
        <f>IFERROR(__xludf.DUMMYFUNCTION("""COMPUTED_VALUE"""),"Completed")</f>
        <v>Completed</v>
      </c>
    </row>
    <row r="3671">
      <c r="A3671" s="9" t="str">
        <f>IFERROR(__xludf.DUMMYFUNCTION("""COMPUTED_VALUE"""),"G-REQ-03670")</f>
        <v>G-REQ-03670</v>
      </c>
      <c r="B3671" s="11">
        <f>IFERROR(__xludf.DUMMYFUNCTION("""COMPUTED_VALUE"""),46022.52592449458)</f>
        <v>46022.52592</v>
      </c>
      <c r="C3671" s="9">
        <f>IFERROR(__xludf.DUMMYFUNCTION("""COMPUTED_VALUE"""),14245.0)</f>
        <v>14245</v>
      </c>
      <c r="D3671" s="9" t="str">
        <f>IFERROR(__xludf.DUMMYFUNCTION("""COMPUTED_VALUE"""),"Completed")</f>
        <v>Completed</v>
      </c>
    </row>
    <row r="3672">
      <c r="A3672" s="9" t="str">
        <f>IFERROR(__xludf.DUMMYFUNCTION("""COMPUTED_VALUE"""),"G-REQ-03671")</f>
        <v>G-REQ-03671</v>
      </c>
      <c r="B3672" s="11">
        <f>IFERROR(__xludf.DUMMYFUNCTION("""COMPUTED_VALUE"""),46022.59015489555)</f>
        <v>46022.59015</v>
      </c>
      <c r="C3672" s="9">
        <f>IFERROR(__xludf.DUMMYFUNCTION("""COMPUTED_VALUE"""),14247.0)</f>
        <v>14247</v>
      </c>
      <c r="D3672" s="9" t="str">
        <f>IFERROR(__xludf.DUMMYFUNCTION("""COMPUTED_VALUE"""),"Rejected")</f>
        <v>Rejected</v>
      </c>
    </row>
    <row r="3673">
      <c r="A3673" s="9" t="str">
        <f>IFERROR(__xludf.DUMMYFUNCTION("""COMPUTED_VALUE"""),"G-REQ-03672")</f>
        <v>G-REQ-03672</v>
      </c>
      <c r="B3673" s="11">
        <f>IFERROR(__xludf.DUMMYFUNCTION("""COMPUTED_VALUE"""),46022.66827418541)</f>
        <v>46022.66827</v>
      </c>
      <c r="C3673" s="9">
        <f>IFERROR(__xludf.DUMMYFUNCTION("""COMPUTED_VALUE"""),14251.0)</f>
        <v>14251</v>
      </c>
      <c r="D3673" s="9" t="str">
        <f>IFERROR(__xludf.DUMMYFUNCTION("""COMPUTED_VALUE"""),"Completed")</f>
        <v>Completed</v>
      </c>
    </row>
    <row r="3674">
      <c r="A3674" s="9" t="str">
        <f>IFERROR(__xludf.DUMMYFUNCTION("""COMPUTED_VALUE"""),"G-REQ-03673")</f>
        <v>G-REQ-03673</v>
      </c>
      <c r="B3674" s="11">
        <f>IFERROR(__xludf.DUMMYFUNCTION("""COMPUTED_VALUE"""),46022.732504586376)</f>
        <v>46022.7325</v>
      </c>
      <c r="C3674" s="9">
        <f>IFERROR(__xludf.DUMMYFUNCTION("""COMPUTED_VALUE"""),14253.0)</f>
        <v>14253</v>
      </c>
      <c r="D3674" s="9" t="str">
        <f>IFERROR(__xludf.DUMMYFUNCTION("""COMPUTED_VALUE"""),"Rejected")</f>
        <v>Rejected</v>
      </c>
    </row>
    <row r="3675">
      <c r="A3675" s="9" t="str">
        <f>IFERROR(__xludf.DUMMYFUNCTION("""COMPUTED_VALUE"""),"G-REQ-03674")</f>
        <v>G-REQ-03674</v>
      </c>
      <c r="B3675" s="11">
        <f>IFERROR(__xludf.DUMMYFUNCTION("""COMPUTED_VALUE"""),46022.81062387624)</f>
        <v>46022.81062</v>
      </c>
      <c r="C3675" s="9">
        <f>IFERROR(__xludf.DUMMYFUNCTION("""COMPUTED_VALUE"""),14257.0)</f>
        <v>14257</v>
      </c>
      <c r="D3675" s="9" t="str">
        <f>IFERROR(__xludf.DUMMYFUNCTION("""COMPUTED_VALUE"""),"Completed")</f>
        <v>Completed</v>
      </c>
    </row>
    <row r="3676">
      <c r="A3676" s="9" t="str">
        <f>IFERROR(__xludf.DUMMYFUNCTION("""COMPUTED_VALUE"""),"G-REQ-03675")</f>
        <v>G-REQ-03675</v>
      </c>
      <c r="B3676" s="11">
        <f>IFERROR(__xludf.DUMMYFUNCTION("""COMPUTED_VALUE"""),46022.88179872165)</f>
        <v>46022.8818</v>
      </c>
      <c r="C3676" s="9">
        <f>IFERROR(__xludf.DUMMYFUNCTION("""COMPUTED_VALUE"""),14261.0)</f>
        <v>14261</v>
      </c>
      <c r="D3676" s="9" t="str">
        <f>IFERROR(__xludf.DUMMYFUNCTION("""COMPUTED_VALUE"""),"Completed")</f>
        <v>Completed</v>
      </c>
    </row>
    <row r="3677">
      <c r="A3677" s="9" t="str">
        <f>IFERROR(__xludf.DUMMYFUNCTION("""COMPUTED_VALUE"""),"G-REQ-03676")</f>
        <v>G-REQ-03676</v>
      </c>
      <c r="B3677" s="11">
        <f>IFERROR(__xludf.DUMMYFUNCTION("""COMPUTED_VALUE"""),46022.952973567066)</f>
        <v>46022.95297</v>
      </c>
      <c r="C3677" s="9">
        <f>IFERROR(__xludf.DUMMYFUNCTION("""COMPUTED_VALUE"""),14265.0)</f>
        <v>14265</v>
      </c>
      <c r="D3677" s="9" t="str">
        <f>IFERROR(__xludf.DUMMYFUNCTION("""COMPUTED_VALUE"""),"Completed")</f>
        <v>Completed</v>
      </c>
    </row>
    <row r="3678">
      <c r="A3678" s="9" t="str">
        <f>IFERROR(__xludf.DUMMYFUNCTION("""COMPUTED_VALUE"""),"G-REQ-03677")</f>
        <v>G-REQ-03677</v>
      </c>
      <c r="B3678" s="11">
        <f>IFERROR(__xludf.DUMMYFUNCTION("""COMPUTED_VALUE"""),46023.024148412485)</f>
        <v>46023.02415</v>
      </c>
      <c r="C3678" s="9">
        <f>IFERROR(__xludf.DUMMYFUNCTION("""COMPUTED_VALUE"""),14269.0)</f>
        <v>14269</v>
      </c>
      <c r="D3678" s="9" t="str">
        <f>IFERROR(__xludf.DUMMYFUNCTION("""COMPUTED_VALUE"""),"Completed")</f>
        <v>Completed</v>
      </c>
    </row>
    <row r="3679">
      <c r="A3679" s="9" t="str">
        <f>IFERROR(__xludf.DUMMYFUNCTION("""COMPUTED_VALUE"""),"G-REQ-03678")</f>
        <v>G-REQ-03678</v>
      </c>
      <c r="B3679" s="11">
        <f>IFERROR(__xludf.DUMMYFUNCTION("""COMPUTED_VALUE"""),46023.0953232579)</f>
        <v>46023.09532</v>
      </c>
      <c r="C3679" s="9">
        <f>IFERROR(__xludf.DUMMYFUNCTION("""COMPUTED_VALUE"""),14273.0)</f>
        <v>14273</v>
      </c>
      <c r="D3679" s="9" t="str">
        <f>IFERROR(__xludf.DUMMYFUNCTION("""COMPUTED_VALUE"""),"Completed")</f>
        <v>Completed</v>
      </c>
    </row>
    <row r="3680">
      <c r="A3680" s="9" t="str">
        <f>IFERROR(__xludf.DUMMYFUNCTION("""COMPUTED_VALUE"""),"G-REQ-03679")</f>
        <v>G-REQ-03679</v>
      </c>
      <c r="B3680" s="11">
        <f>IFERROR(__xludf.DUMMYFUNCTION("""COMPUTED_VALUE"""),46023.16649810331)</f>
        <v>46023.1665</v>
      </c>
      <c r="C3680" s="9">
        <f>IFERROR(__xludf.DUMMYFUNCTION("""COMPUTED_VALUE"""),14277.0)</f>
        <v>14277</v>
      </c>
      <c r="D3680" s="9" t="str">
        <f>IFERROR(__xludf.DUMMYFUNCTION("""COMPUTED_VALUE"""),"Completed")</f>
        <v>Completed</v>
      </c>
    </row>
    <row r="3681">
      <c r="A3681" s="9" t="str">
        <f>IFERROR(__xludf.DUMMYFUNCTION("""COMPUTED_VALUE"""),"G-REQ-03680")</f>
        <v>G-REQ-03680</v>
      </c>
      <c r="B3681" s="11">
        <f>IFERROR(__xludf.DUMMYFUNCTION("""COMPUTED_VALUE"""),46023.230728504284)</f>
        <v>46023.23073</v>
      </c>
      <c r="C3681" s="9">
        <f>IFERROR(__xludf.DUMMYFUNCTION("""COMPUTED_VALUE"""),14279.0)</f>
        <v>14279</v>
      </c>
      <c r="D3681" s="9" t="str">
        <f>IFERROR(__xludf.DUMMYFUNCTION("""COMPUTED_VALUE"""),"Cancelled")</f>
        <v>Cancelled</v>
      </c>
    </row>
    <row r="3682">
      <c r="A3682" s="9" t="str">
        <f>IFERROR(__xludf.DUMMYFUNCTION("""COMPUTED_VALUE"""),"G-REQ-03681")</f>
        <v>G-REQ-03681</v>
      </c>
      <c r="B3682" s="11">
        <f>IFERROR(__xludf.DUMMYFUNCTION("""COMPUTED_VALUE"""),46023.301903349704)</f>
        <v>46023.3019</v>
      </c>
      <c r="C3682" s="9">
        <f>IFERROR(__xludf.DUMMYFUNCTION("""COMPUTED_VALUE"""),14281.0)</f>
        <v>14281</v>
      </c>
      <c r="D3682" s="9" t="str">
        <f>IFERROR(__xludf.DUMMYFUNCTION("""COMPUTED_VALUE"""),"Cancelled")</f>
        <v>Cancelled</v>
      </c>
    </row>
    <row r="3683">
      <c r="A3683" s="9" t="str">
        <f>IFERROR(__xludf.DUMMYFUNCTION("""COMPUTED_VALUE"""),"G-REQ-03682")</f>
        <v>G-REQ-03682</v>
      </c>
      <c r="B3683" s="11">
        <f>IFERROR(__xludf.DUMMYFUNCTION("""COMPUTED_VALUE"""),46023.380022639554)</f>
        <v>46023.38002</v>
      </c>
      <c r="C3683" s="9">
        <f>IFERROR(__xludf.DUMMYFUNCTION("""COMPUTED_VALUE"""),14285.0)</f>
        <v>14285</v>
      </c>
      <c r="D3683" s="9" t="str">
        <f>IFERROR(__xludf.DUMMYFUNCTION("""COMPUTED_VALUE"""),"Completed")</f>
        <v>Completed</v>
      </c>
    </row>
    <row r="3684">
      <c r="A3684" s="9" t="str">
        <f>IFERROR(__xludf.DUMMYFUNCTION("""COMPUTED_VALUE"""),"G-REQ-03683")</f>
        <v>G-REQ-03683</v>
      </c>
      <c r="B3684" s="11">
        <f>IFERROR(__xludf.DUMMYFUNCTION("""COMPUTED_VALUE"""),46023.451197484974)</f>
        <v>46023.4512</v>
      </c>
      <c r="C3684" s="9">
        <f>IFERROR(__xludf.DUMMYFUNCTION("""COMPUTED_VALUE"""),14289.0)</f>
        <v>14289</v>
      </c>
      <c r="D3684" s="9" t="str">
        <f>IFERROR(__xludf.DUMMYFUNCTION("""COMPUTED_VALUE"""),"Completed")</f>
        <v>Completed</v>
      </c>
    </row>
    <row r="3685">
      <c r="A3685" s="9" t="str">
        <f>IFERROR(__xludf.DUMMYFUNCTION("""COMPUTED_VALUE"""),"G-REQ-03684")</f>
        <v>G-REQ-03684</v>
      </c>
      <c r="B3685" s="11">
        <f>IFERROR(__xludf.DUMMYFUNCTION("""COMPUTED_VALUE"""),46023.52237233039)</f>
        <v>46023.52237</v>
      </c>
      <c r="C3685" s="9">
        <f>IFERROR(__xludf.DUMMYFUNCTION("""COMPUTED_VALUE"""),14293.0)</f>
        <v>14293</v>
      </c>
      <c r="D3685" s="9" t="str">
        <f>IFERROR(__xludf.DUMMYFUNCTION("""COMPUTED_VALUE"""),"Completed")</f>
        <v>Completed</v>
      </c>
    </row>
    <row r="3686">
      <c r="A3686" s="9" t="str">
        <f>IFERROR(__xludf.DUMMYFUNCTION("""COMPUTED_VALUE"""),"G-REQ-03685")</f>
        <v>G-REQ-03685</v>
      </c>
      <c r="B3686" s="11">
        <f>IFERROR(__xludf.DUMMYFUNCTION("""COMPUTED_VALUE"""),46023.593547175806)</f>
        <v>46023.59355</v>
      </c>
      <c r="C3686" s="9">
        <f>IFERROR(__xludf.DUMMYFUNCTION("""COMPUTED_VALUE"""),14297.0)</f>
        <v>14297</v>
      </c>
      <c r="D3686" s="9" t="str">
        <f>IFERROR(__xludf.DUMMYFUNCTION("""COMPUTED_VALUE"""),"Completed")</f>
        <v>Completed</v>
      </c>
    </row>
    <row r="3687">
      <c r="A3687" s="9" t="str">
        <f>IFERROR(__xludf.DUMMYFUNCTION("""COMPUTED_VALUE"""),"G-REQ-03686")</f>
        <v>G-REQ-03686</v>
      </c>
      <c r="B3687" s="11">
        <f>IFERROR(__xludf.DUMMYFUNCTION("""COMPUTED_VALUE"""),46023.66472202122)</f>
        <v>46023.66472</v>
      </c>
      <c r="C3687" s="9">
        <f>IFERROR(__xludf.DUMMYFUNCTION("""COMPUTED_VALUE"""),14301.0)</f>
        <v>14301</v>
      </c>
      <c r="D3687" s="9" t="str">
        <f>IFERROR(__xludf.DUMMYFUNCTION("""COMPUTED_VALUE"""),"Completed")</f>
        <v>Completed</v>
      </c>
    </row>
    <row r="3688">
      <c r="A3688" s="9" t="str">
        <f>IFERROR(__xludf.DUMMYFUNCTION("""COMPUTED_VALUE"""),"G-REQ-03687")</f>
        <v>G-REQ-03687</v>
      </c>
      <c r="B3688" s="11">
        <f>IFERROR(__xludf.DUMMYFUNCTION("""COMPUTED_VALUE"""),46023.72895242219)</f>
        <v>46023.72895</v>
      </c>
      <c r="C3688" s="9">
        <f>IFERROR(__xludf.DUMMYFUNCTION("""COMPUTED_VALUE"""),14303.0)</f>
        <v>14303</v>
      </c>
      <c r="D3688" s="9" t="str">
        <f>IFERROR(__xludf.DUMMYFUNCTION("""COMPUTED_VALUE"""),"Rejected")</f>
        <v>Rejected</v>
      </c>
    </row>
    <row r="3689">
      <c r="A3689" s="9" t="str">
        <f>IFERROR(__xludf.DUMMYFUNCTION("""COMPUTED_VALUE"""),"G-REQ-03688")</f>
        <v>G-REQ-03688</v>
      </c>
      <c r="B3689" s="11">
        <f>IFERROR(__xludf.DUMMYFUNCTION("""COMPUTED_VALUE"""),46023.800127267605)</f>
        <v>46023.80013</v>
      </c>
      <c r="C3689" s="9">
        <f>IFERROR(__xludf.DUMMYFUNCTION("""COMPUTED_VALUE"""),14305.0)</f>
        <v>14305</v>
      </c>
      <c r="D3689" s="9" t="str">
        <f>IFERROR(__xludf.DUMMYFUNCTION("""COMPUTED_VALUE"""),"Rejected")</f>
        <v>Rejected</v>
      </c>
    </row>
    <row r="3690">
      <c r="A3690" s="9" t="str">
        <f>IFERROR(__xludf.DUMMYFUNCTION("""COMPUTED_VALUE"""),"G-REQ-03689")</f>
        <v>G-REQ-03689</v>
      </c>
      <c r="B3690" s="11">
        <f>IFERROR(__xludf.DUMMYFUNCTION("""COMPUTED_VALUE"""),46023.87824655746)</f>
        <v>46023.87825</v>
      </c>
      <c r="C3690" s="9">
        <f>IFERROR(__xludf.DUMMYFUNCTION("""COMPUTED_VALUE"""),14309.0)</f>
        <v>14309</v>
      </c>
      <c r="D3690" s="9" t="str">
        <f>IFERROR(__xludf.DUMMYFUNCTION("""COMPUTED_VALUE"""),"Completed")</f>
        <v>Completed</v>
      </c>
    </row>
    <row r="3691">
      <c r="A3691" s="9" t="str">
        <f>IFERROR(__xludf.DUMMYFUNCTION("""COMPUTED_VALUE"""),"G-REQ-03690")</f>
        <v>G-REQ-03690</v>
      </c>
      <c r="B3691" s="11">
        <f>IFERROR(__xludf.DUMMYFUNCTION("""COMPUTED_VALUE"""),46023.94942140288)</f>
        <v>46023.94942</v>
      </c>
      <c r="C3691" s="9">
        <f>IFERROR(__xludf.DUMMYFUNCTION("""COMPUTED_VALUE"""),14313.0)</f>
        <v>14313</v>
      </c>
      <c r="D3691" s="9" t="str">
        <f>IFERROR(__xludf.DUMMYFUNCTION("""COMPUTED_VALUE"""),"Completed")</f>
        <v>Completed</v>
      </c>
    </row>
    <row r="3692">
      <c r="A3692" s="9" t="str">
        <f>IFERROR(__xludf.DUMMYFUNCTION("""COMPUTED_VALUE"""),"G-REQ-03691")</f>
        <v>G-REQ-03691</v>
      </c>
      <c r="B3692" s="11">
        <f>IFERROR(__xludf.DUMMYFUNCTION("""COMPUTED_VALUE"""),46024.0205962483)</f>
        <v>46024.0206</v>
      </c>
      <c r="C3692" s="9">
        <f>IFERROR(__xludf.DUMMYFUNCTION("""COMPUTED_VALUE"""),14317.0)</f>
        <v>14317</v>
      </c>
      <c r="D3692" s="9" t="str">
        <f>IFERROR(__xludf.DUMMYFUNCTION("""COMPUTED_VALUE"""),"Completed")</f>
        <v>Completed</v>
      </c>
    </row>
    <row r="3693">
      <c r="A3693" s="9" t="str">
        <f>IFERROR(__xludf.DUMMYFUNCTION("""COMPUTED_VALUE"""),"G-REQ-03692")</f>
        <v>G-REQ-03692</v>
      </c>
      <c r="B3693" s="11">
        <f>IFERROR(__xludf.DUMMYFUNCTION("""COMPUTED_VALUE"""),46024.09177109371)</f>
        <v>46024.09177</v>
      </c>
      <c r="C3693" s="9">
        <f>IFERROR(__xludf.DUMMYFUNCTION("""COMPUTED_VALUE"""),14321.0)</f>
        <v>14321</v>
      </c>
      <c r="D3693" s="9" t="str">
        <f>IFERROR(__xludf.DUMMYFUNCTION("""COMPUTED_VALUE"""),"Completed")</f>
        <v>Completed</v>
      </c>
    </row>
    <row r="3694">
      <c r="A3694" s="9" t="str">
        <f>IFERROR(__xludf.DUMMYFUNCTION("""COMPUTED_VALUE"""),"G-REQ-03693")</f>
        <v>G-REQ-03693</v>
      </c>
      <c r="B3694" s="11">
        <f>IFERROR(__xludf.DUMMYFUNCTION("""COMPUTED_VALUE"""),46024.15600149468)</f>
        <v>46024.156</v>
      </c>
      <c r="C3694" s="9">
        <f>IFERROR(__xludf.DUMMYFUNCTION("""COMPUTED_VALUE"""),14323.0)</f>
        <v>14323</v>
      </c>
      <c r="D3694" s="9" t="str">
        <f>IFERROR(__xludf.DUMMYFUNCTION("""COMPUTED_VALUE"""),"Rejected")</f>
        <v>Rejected</v>
      </c>
    </row>
    <row r="3695">
      <c r="A3695" s="9" t="str">
        <f>IFERROR(__xludf.DUMMYFUNCTION("""COMPUTED_VALUE"""),"G-REQ-03694")</f>
        <v>G-REQ-03694</v>
      </c>
      <c r="B3695" s="11">
        <f>IFERROR(__xludf.DUMMYFUNCTION("""COMPUTED_VALUE"""),46024.23412078454)</f>
        <v>46024.23412</v>
      </c>
      <c r="C3695" s="9">
        <f>IFERROR(__xludf.DUMMYFUNCTION("""COMPUTED_VALUE"""),14327.0)</f>
        <v>14327</v>
      </c>
      <c r="D3695" s="9" t="str">
        <f>IFERROR(__xludf.DUMMYFUNCTION("""COMPUTED_VALUE"""),"Completed")</f>
        <v>Completed</v>
      </c>
    </row>
    <row r="3696">
      <c r="A3696" s="9" t="str">
        <f>IFERROR(__xludf.DUMMYFUNCTION("""COMPUTED_VALUE"""),"G-REQ-03695")</f>
        <v>G-REQ-03695</v>
      </c>
      <c r="B3696" s="11">
        <f>IFERROR(__xludf.DUMMYFUNCTION("""COMPUTED_VALUE"""),46024.30529562996)</f>
        <v>46024.3053</v>
      </c>
      <c r="C3696" s="9">
        <f>IFERROR(__xludf.DUMMYFUNCTION("""COMPUTED_VALUE"""),14331.0)</f>
        <v>14331</v>
      </c>
      <c r="D3696" s="9" t="str">
        <f>IFERROR(__xludf.DUMMYFUNCTION("""COMPUTED_VALUE"""),"Completed")</f>
        <v>Completed</v>
      </c>
    </row>
    <row r="3697">
      <c r="A3697" s="9" t="str">
        <f>IFERROR(__xludf.DUMMYFUNCTION("""COMPUTED_VALUE"""),"G-REQ-03696")</f>
        <v>G-REQ-03696</v>
      </c>
      <c r="B3697" s="11">
        <f>IFERROR(__xludf.DUMMYFUNCTION("""COMPUTED_VALUE"""),46024.37647047537)</f>
        <v>46024.37647</v>
      </c>
      <c r="C3697" s="9">
        <f>IFERROR(__xludf.DUMMYFUNCTION("""COMPUTED_VALUE"""),14335.0)</f>
        <v>14335</v>
      </c>
      <c r="D3697" s="9" t="str">
        <f>IFERROR(__xludf.DUMMYFUNCTION("""COMPUTED_VALUE"""),"Completed")</f>
        <v>Completed</v>
      </c>
    </row>
    <row r="3698">
      <c r="A3698" s="9" t="str">
        <f>IFERROR(__xludf.DUMMYFUNCTION("""COMPUTED_VALUE"""),"G-REQ-03697")</f>
        <v>G-REQ-03697</v>
      </c>
      <c r="B3698" s="11">
        <f>IFERROR(__xludf.DUMMYFUNCTION("""COMPUTED_VALUE"""),46024.44764532079)</f>
        <v>46024.44765</v>
      </c>
      <c r="C3698" s="9">
        <f>IFERROR(__xludf.DUMMYFUNCTION("""COMPUTED_VALUE"""),14339.0)</f>
        <v>14339</v>
      </c>
      <c r="D3698" s="9" t="str">
        <f>IFERROR(__xludf.DUMMYFUNCTION("""COMPUTED_VALUE"""),"Completed")</f>
        <v>Completed</v>
      </c>
    </row>
    <row r="3699">
      <c r="A3699" s="9" t="str">
        <f>IFERROR(__xludf.DUMMYFUNCTION("""COMPUTED_VALUE"""),"G-REQ-03698")</f>
        <v>G-REQ-03698</v>
      </c>
      <c r="B3699" s="11">
        <f>IFERROR(__xludf.DUMMYFUNCTION("""COMPUTED_VALUE"""),46024.518820166195)</f>
        <v>46024.51882</v>
      </c>
      <c r="C3699" s="9">
        <f>IFERROR(__xludf.DUMMYFUNCTION("""COMPUTED_VALUE"""),14343.0)</f>
        <v>14343</v>
      </c>
      <c r="D3699" s="9" t="str">
        <f>IFERROR(__xludf.DUMMYFUNCTION("""COMPUTED_VALUE"""),"Completed")</f>
        <v>Completed</v>
      </c>
    </row>
    <row r="3700">
      <c r="A3700" s="9" t="str">
        <f>IFERROR(__xludf.DUMMYFUNCTION("""COMPUTED_VALUE"""),"G-REQ-03699")</f>
        <v>G-REQ-03699</v>
      </c>
      <c r="B3700" s="11">
        <f>IFERROR(__xludf.DUMMYFUNCTION("""COMPUTED_VALUE"""),46024.589995011615)</f>
        <v>46024.59</v>
      </c>
      <c r="C3700" s="9">
        <f>IFERROR(__xludf.DUMMYFUNCTION("""COMPUTED_VALUE"""),14347.0)</f>
        <v>14347</v>
      </c>
      <c r="D3700" s="9" t="str">
        <f>IFERROR(__xludf.DUMMYFUNCTION("""COMPUTED_VALUE"""),"Completed")</f>
        <v>Completed</v>
      </c>
    </row>
    <row r="3701">
      <c r="A3701" s="9" t="str">
        <f>IFERROR(__xludf.DUMMYFUNCTION("""COMPUTED_VALUE"""),"G-REQ-03700")</f>
        <v>G-REQ-03700</v>
      </c>
      <c r="B3701" s="11">
        <f>IFERROR(__xludf.DUMMYFUNCTION("""COMPUTED_VALUE"""),46024.661169857034)</f>
        <v>46024.66117</v>
      </c>
      <c r="C3701" s="9">
        <f>IFERROR(__xludf.DUMMYFUNCTION("""COMPUTED_VALUE"""),14351.0)</f>
        <v>14351</v>
      </c>
      <c r="D3701" s="9" t="str">
        <f>IFERROR(__xludf.DUMMYFUNCTION("""COMPUTED_VALUE"""),"Completed")</f>
        <v>Completed</v>
      </c>
    </row>
    <row r="3702">
      <c r="A3702" s="9" t="str">
        <f>IFERROR(__xludf.DUMMYFUNCTION("""COMPUTED_VALUE"""),"G-REQ-03701")</f>
        <v>G-REQ-03701</v>
      </c>
      <c r="B3702" s="11">
        <f>IFERROR(__xludf.DUMMYFUNCTION("""COMPUTED_VALUE"""),46024.73234470245)</f>
        <v>46024.73234</v>
      </c>
      <c r="C3702" s="9">
        <f>IFERROR(__xludf.DUMMYFUNCTION("""COMPUTED_VALUE"""),14355.0)</f>
        <v>14355</v>
      </c>
      <c r="D3702" s="9" t="str">
        <f>IFERROR(__xludf.DUMMYFUNCTION("""COMPUTED_VALUE"""),"Completed")</f>
        <v>Completed</v>
      </c>
    </row>
    <row r="3703">
      <c r="A3703" s="9" t="str">
        <f>IFERROR(__xludf.DUMMYFUNCTION("""COMPUTED_VALUE"""),"G-REQ-03702")</f>
        <v>G-REQ-03702</v>
      </c>
      <c r="B3703" s="11">
        <f>IFERROR(__xludf.DUMMYFUNCTION("""COMPUTED_VALUE"""),46024.80351954786)</f>
        <v>46024.80352</v>
      </c>
      <c r="C3703" s="9">
        <f>IFERROR(__xludf.DUMMYFUNCTION("""COMPUTED_VALUE"""),14359.0)</f>
        <v>14359</v>
      </c>
      <c r="D3703" s="9" t="str">
        <f>IFERROR(__xludf.DUMMYFUNCTION("""COMPUTED_VALUE"""),"Completed")</f>
        <v>Completed</v>
      </c>
    </row>
    <row r="3704">
      <c r="A3704" s="9" t="str">
        <f>IFERROR(__xludf.DUMMYFUNCTION("""COMPUTED_VALUE"""),"G-REQ-03703")</f>
        <v>G-REQ-03703</v>
      </c>
      <c r="B3704" s="11">
        <f>IFERROR(__xludf.DUMMYFUNCTION("""COMPUTED_VALUE"""),46024.87469439328)</f>
        <v>46024.87469</v>
      </c>
      <c r="C3704" s="9">
        <f>IFERROR(__xludf.DUMMYFUNCTION("""COMPUTED_VALUE"""),14363.0)</f>
        <v>14363</v>
      </c>
      <c r="D3704" s="9" t="str">
        <f>IFERROR(__xludf.DUMMYFUNCTION("""COMPUTED_VALUE"""),"Completed")</f>
        <v>Completed</v>
      </c>
    </row>
    <row r="3705">
      <c r="A3705" s="9" t="str">
        <f>IFERROR(__xludf.DUMMYFUNCTION("""COMPUTED_VALUE"""),"G-REQ-03704")</f>
        <v>G-REQ-03704</v>
      </c>
      <c r="B3705" s="11">
        <f>IFERROR(__xludf.DUMMYFUNCTION("""COMPUTED_VALUE"""),46024.94586923869)</f>
        <v>46024.94587</v>
      </c>
      <c r="C3705" s="9">
        <f>IFERROR(__xludf.DUMMYFUNCTION("""COMPUTED_VALUE"""),14367.0)</f>
        <v>14367</v>
      </c>
      <c r="D3705" s="9" t="str">
        <f>IFERROR(__xludf.DUMMYFUNCTION("""COMPUTED_VALUE"""),"Completed")</f>
        <v>Completed</v>
      </c>
    </row>
    <row r="3706">
      <c r="A3706" s="9" t="str">
        <f>IFERROR(__xludf.DUMMYFUNCTION("""COMPUTED_VALUE"""),"G-REQ-03705")</f>
        <v>G-REQ-03705</v>
      </c>
      <c r="B3706" s="11">
        <f>IFERROR(__xludf.DUMMYFUNCTION("""COMPUTED_VALUE"""),46025.0170440841)</f>
        <v>46025.01704</v>
      </c>
      <c r="C3706" s="9">
        <f>IFERROR(__xludf.DUMMYFUNCTION("""COMPUTED_VALUE"""),14371.0)</f>
        <v>14371</v>
      </c>
      <c r="D3706" s="9" t="str">
        <f>IFERROR(__xludf.DUMMYFUNCTION("""COMPUTED_VALUE"""),"Completed")</f>
        <v>Completed</v>
      </c>
    </row>
    <row r="3707">
      <c r="A3707" s="9" t="str">
        <f>IFERROR(__xludf.DUMMYFUNCTION("""COMPUTED_VALUE"""),"G-REQ-03706")</f>
        <v>G-REQ-03706</v>
      </c>
      <c r="B3707" s="11">
        <f>IFERROR(__xludf.DUMMYFUNCTION("""COMPUTED_VALUE"""),46025.08821892952)</f>
        <v>46025.08822</v>
      </c>
      <c r="C3707" s="9">
        <f>IFERROR(__xludf.DUMMYFUNCTION("""COMPUTED_VALUE"""),14375.0)</f>
        <v>14375</v>
      </c>
      <c r="D3707" s="9" t="str">
        <f>IFERROR(__xludf.DUMMYFUNCTION("""COMPUTED_VALUE"""),"Completed")</f>
        <v>Completed</v>
      </c>
    </row>
    <row r="3708">
      <c r="A3708" s="9" t="str">
        <f>IFERROR(__xludf.DUMMYFUNCTION("""COMPUTED_VALUE"""),"G-REQ-03707")</f>
        <v>G-REQ-03707</v>
      </c>
      <c r="B3708" s="11">
        <f>IFERROR(__xludf.DUMMYFUNCTION("""COMPUTED_VALUE"""),46025.15939377494)</f>
        <v>46025.15939</v>
      </c>
      <c r="C3708" s="9">
        <f>IFERROR(__xludf.DUMMYFUNCTION("""COMPUTED_VALUE"""),14379.0)</f>
        <v>14379</v>
      </c>
      <c r="D3708" s="9" t="str">
        <f>IFERROR(__xludf.DUMMYFUNCTION("""COMPUTED_VALUE"""),"Completed")</f>
        <v>Completed</v>
      </c>
    </row>
    <row r="3709">
      <c r="A3709" s="9" t="str">
        <f>IFERROR(__xludf.DUMMYFUNCTION("""COMPUTED_VALUE"""),"G-REQ-03708")</f>
        <v>G-REQ-03708</v>
      </c>
      <c r="B3709" s="11">
        <f>IFERROR(__xludf.DUMMYFUNCTION("""COMPUTED_VALUE"""),46025.23056862035)</f>
        <v>46025.23057</v>
      </c>
      <c r="C3709" s="9">
        <f>IFERROR(__xludf.DUMMYFUNCTION("""COMPUTED_VALUE"""),14383.0)</f>
        <v>14383</v>
      </c>
      <c r="D3709" s="9" t="str">
        <f>IFERROR(__xludf.DUMMYFUNCTION("""COMPUTED_VALUE"""),"Completed")</f>
        <v>Completed</v>
      </c>
    </row>
    <row r="3710">
      <c r="A3710" s="9" t="str">
        <f>IFERROR(__xludf.DUMMYFUNCTION("""COMPUTED_VALUE"""),"G-REQ-03709")</f>
        <v>G-REQ-03709</v>
      </c>
      <c r="B3710" s="11">
        <f>IFERROR(__xludf.DUMMYFUNCTION("""COMPUTED_VALUE"""),46025.30174346577)</f>
        <v>46025.30174</v>
      </c>
      <c r="C3710" s="9">
        <f>IFERROR(__xludf.DUMMYFUNCTION("""COMPUTED_VALUE"""),14387.0)</f>
        <v>14387</v>
      </c>
      <c r="D3710" s="9" t="str">
        <f>IFERROR(__xludf.DUMMYFUNCTION("""COMPUTED_VALUE"""),"Completed")</f>
        <v>Completed</v>
      </c>
    </row>
    <row r="3711">
      <c r="A3711" s="9" t="str">
        <f>IFERROR(__xludf.DUMMYFUNCTION("""COMPUTED_VALUE"""),"G-REQ-03710")</f>
        <v>G-REQ-03710</v>
      </c>
      <c r="B3711" s="11">
        <f>IFERROR(__xludf.DUMMYFUNCTION("""COMPUTED_VALUE"""),46025.37291831119)</f>
        <v>46025.37292</v>
      </c>
      <c r="C3711" s="9">
        <f>IFERROR(__xludf.DUMMYFUNCTION("""COMPUTED_VALUE"""),14391.0)</f>
        <v>14391</v>
      </c>
      <c r="D3711" s="9" t="str">
        <f>IFERROR(__xludf.DUMMYFUNCTION("""COMPUTED_VALUE"""),"Completed")</f>
        <v>Completed</v>
      </c>
    </row>
    <row r="3712">
      <c r="A3712" s="9" t="str">
        <f>IFERROR(__xludf.DUMMYFUNCTION("""COMPUTED_VALUE"""),"G-REQ-03711")</f>
        <v>G-REQ-03711</v>
      </c>
      <c r="B3712" s="11">
        <f>IFERROR(__xludf.DUMMYFUNCTION("""COMPUTED_VALUE"""),46025.4440931566)</f>
        <v>46025.44409</v>
      </c>
      <c r="C3712" s="9">
        <f>IFERROR(__xludf.DUMMYFUNCTION("""COMPUTED_VALUE"""),14395.0)</f>
        <v>14395</v>
      </c>
      <c r="D3712" s="9" t="str">
        <f>IFERROR(__xludf.DUMMYFUNCTION("""COMPUTED_VALUE"""),"Completed")</f>
        <v>Completed</v>
      </c>
    </row>
    <row r="3713">
      <c r="A3713" s="9" t="str">
        <f>IFERROR(__xludf.DUMMYFUNCTION("""COMPUTED_VALUE"""),"G-REQ-03712")</f>
        <v>G-REQ-03712</v>
      </c>
      <c r="B3713" s="11">
        <f>IFERROR(__xludf.DUMMYFUNCTION("""COMPUTED_VALUE"""),46025.51526800201)</f>
        <v>46025.51527</v>
      </c>
      <c r="C3713" s="9">
        <f>IFERROR(__xludf.DUMMYFUNCTION("""COMPUTED_VALUE"""),14399.0)</f>
        <v>14399</v>
      </c>
      <c r="D3713" s="9" t="str">
        <f>IFERROR(__xludf.DUMMYFUNCTION("""COMPUTED_VALUE"""),"Completed")</f>
        <v>Completed</v>
      </c>
    </row>
    <row r="3714">
      <c r="A3714" s="9" t="str">
        <f>IFERROR(__xludf.DUMMYFUNCTION("""COMPUTED_VALUE"""),"G-REQ-03713")</f>
        <v>G-REQ-03713</v>
      </c>
      <c r="B3714" s="11">
        <f>IFERROR(__xludf.DUMMYFUNCTION("""COMPUTED_VALUE"""),46025.58644284743)</f>
        <v>46025.58644</v>
      </c>
      <c r="C3714" s="9">
        <f>IFERROR(__xludf.DUMMYFUNCTION("""COMPUTED_VALUE"""),14403.0)</f>
        <v>14403</v>
      </c>
      <c r="D3714" s="9" t="str">
        <f>IFERROR(__xludf.DUMMYFUNCTION("""COMPUTED_VALUE"""),"Completed")</f>
        <v>Completed</v>
      </c>
    </row>
    <row r="3715">
      <c r="A3715" s="9" t="str">
        <f>IFERROR(__xludf.DUMMYFUNCTION("""COMPUTED_VALUE"""),"G-REQ-03714")</f>
        <v>G-REQ-03714</v>
      </c>
      <c r="B3715" s="11">
        <f>IFERROR(__xludf.DUMMYFUNCTION("""COMPUTED_VALUE"""),46025.6506732484)</f>
        <v>46025.65067</v>
      </c>
      <c r="C3715" s="9">
        <f>IFERROR(__xludf.DUMMYFUNCTION("""COMPUTED_VALUE"""),14405.0)</f>
        <v>14405</v>
      </c>
      <c r="D3715" s="9" t="str">
        <f>IFERROR(__xludf.DUMMYFUNCTION("""COMPUTED_VALUE"""),"Rejected")</f>
        <v>Rejected</v>
      </c>
    </row>
    <row r="3716">
      <c r="A3716" s="9" t="str">
        <f>IFERROR(__xludf.DUMMYFUNCTION("""COMPUTED_VALUE"""),"G-REQ-03715")</f>
        <v>G-REQ-03715</v>
      </c>
      <c r="B3716" s="11">
        <f>IFERROR(__xludf.DUMMYFUNCTION("""COMPUTED_VALUE"""),46025.728792538255)</f>
        <v>46025.72879</v>
      </c>
      <c r="C3716" s="9">
        <f>IFERROR(__xludf.DUMMYFUNCTION("""COMPUTED_VALUE"""),14409.0)</f>
        <v>14409</v>
      </c>
      <c r="D3716" s="9" t="str">
        <f>IFERROR(__xludf.DUMMYFUNCTION("""COMPUTED_VALUE"""),"Completed")</f>
        <v>Completed</v>
      </c>
    </row>
    <row r="3717">
      <c r="A3717" s="9" t="str">
        <f>IFERROR(__xludf.DUMMYFUNCTION("""COMPUTED_VALUE"""),"G-REQ-03716")</f>
        <v>G-REQ-03716</v>
      </c>
      <c r="B3717" s="11">
        <f>IFERROR(__xludf.DUMMYFUNCTION("""COMPUTED_VALUE"""),46025.799967383675)</f>
        <v>46025.79997</v>
      </c>
      <c r="C3717" s="9">
        <f>IFERROR(__xludf.DUMMYFUNCTION("""COMPUTED_VALUE"""),14413.0)</f>
        <v>14413</v>
      </c>
      <c r="D3717" s="9" t="str">
        <f>IFERROR(__xludf.DUMMYFUNCTION("""COMPUTED_VALUE"""),"Completed")</f>
        <v>Completed</v>
      </c>
    </row>
    <row r="3718">
      <c r="A3718" s="9" t="str">
        <f>IFERROR(__xludf.DUMMYFUNCTION("""COMPUTED_VALUE"""),"G-REQ-03717")</f>
        <v>G-REQ-03717</v>
      </c>
      <c r="B3718" s="11">
        <f>IFERROR(__xludf.DUMMYFUNCTION("""COMPUTED_VALUE"""),46025.87114222909)</f>
        <v>46025.87114</v>
      </c>
      <c r="C3718" s="9">
        <f>IFERROR(__xludf.DUMMYFUNCTION("""COMPUTED_VALUE"""),14417.0)</f>
        <v>14417</v>
      </c>
      <c r="D3718" s="9" t="str">
        <f>IFERROR(__xludf.DUMMYFUNCTION("""COMPUTED_VALUE"""),"Completed")</f>
        <v>Completed</v>
      </c>
    </row>
    <row r="3719">
      <c r="A3719" s="9" t="str">
        <f>IFERROR(__xludf.DUMMYFUNCTION("""COMPUTED_VALUE"""),"G-REQ-03718")</f>
        <v>G-REQ-03718</v>
      </c>
      <c r="B3719" s="11">
        <f>IFERROR(__xludf.DUMMYFUNCTION("""COMPUTED_VALUE"""),46025.935372630054)</f>
        <v>46025.93537</v>
      </c>
      <c r="C3719" s="9">
        <f>IFERROR(__xludf.DUMMYFUNCTION("""COMPUTED_VALUE"""),14419.0)</f>
        <v>14419</v>
      </c>
      <c r="D3719" s="9" t="str">
        <f>IFERROR(__xludf.DUMMYFUNCTION("""COMPUTED_VALUE"""),"Cancelled")</f>
        <v>Cancelled</v>
      </c>
    </row>
    <row r="3720">
      <c r="A3720" s="9" t="str">
        <f>IFERROR(__xludf.DUMMYFUNCTION("""COMPUTED_VALUE"""),"G-REQ-03719")</f>
        <v>G-REQ-03719</v>
      </c>
      <c r="B3720" s="11">
        <f>IFERROR(__xludf.DUMMYFUNCTION("""COMPUTED_VALUE"""),46026.01349191992)</f>
        <v>46026.01349</v>
      </c>
      <c r="C3720" s="9">
        <f>IFERROR(__xludf.DUMMYFUNCTION("""COMPUTED_VALUE"""),14423.0)</f>
        <v>14423</v>
      </c>
      <c r="D3720" s="9" t="str">
        <f>IFERROR(__xludf.DUMMYFUNCTION("""COMPUTED_VALUE"""),"Completed")</f>
        <v>Completed</v>
      </c>
    </row>
    <row r="3721">
      <c r="A3721" s="9" t="str">
        <f>IFERROR(__xludf.DUMMYFUNCTION("""COMPUTED_VALUE"""),"G-REQ-03720")</f>
        <v>G-REQ-03720</v>
      </c>
      <c r="B3721" s="11">
        <f>IFERROR(__xludf.DUMMYFUNCTION("""COMPUTED_VALUE"""),46026.08466676533)</f>
        <v>46026.08467</v>
      </c>
      <c r="C3721" s="9">
        <f>IFERROR(__xludf.DUMMYFUNCTION("""COMPUTED_VALUE"""),14427.0)</f>
        <v>14427</v>
      </c>
      <c r="D3721" s="9" t="str">
        <f>IFERROR(__xludf.DUMMYFUNCTION("""COMPUTED_VALUE"""),"Completed")</f>
        <v>Completed</v>
      </c>
    </row>
    <row r="3722">
      <c r="A3722" s="9" t="str">
        <f>IFERROR(__xludf.DUMMYFUNCTION("""COMPUTED_VALUE"""),"G-REQ-03721")</f>
        <v>G-REQ-03721</v>
      </c>
      <c r="B3722" s="11">
        <f>IFERROR(__xludf.DUMMYFUNCTION("""COMPUTED_VALUE"""),46026.1488971663)</f>
        <v>46026.1489</v>
      </c>
      <c r="C3722" s="9">
        <f>IFERROR(__xludf.DUMMYFUNCTION("""COMPUTED_VALUE"""),14429.0)</f>
        <v>14429</v>
      </c>
      <c r="D3722" s="9" t="str">
        <f>IFERROR(__xludf.DUMMYFUNCTION("""COMPUTED_VALUE"""),"Rejected")</f>
        <v>Rejected</v>
      </c>
    </row>
    <row r="3723">
      <c r="A3723" s="9" t="str">
        <f>IFERROR(__xludf.DUMMYFUNCTION("""COMPUTED_VALUE"""),"G-REQ-03722")</f>
        <v>G-REQ-03722</v>
      </c>
      <c r="B3723" s="11">
        <f>IFERROR(__xludf.DUMMYFUNCTION("""COMPUTED_VALUE"""),46026.22701645616)</f>
        <v>46026.22702</v>
      </c>
      <c r="C3723" s="9">
        <f>IFERROR(__xludf.DUMMYFUNCTION("""COMPUTED_VALUE"""),14433.0)</f>
        <v>14433</v>
      </c>
      <c r="D3723" s="9" t="str">
        <f>IFERROR(__xludf.DUMMYFUNCTION("""COMPUTED_VALUE"""),"Completed")</f>
        <v>Completed</v>
      </c>
    </row>
    <row r="3724">
      <c r="A3724" s="9" t="str">
        <f>IFERROR(__xludf.DUMMYFUNCTION("""COMPUTED_VALUE"""),"G-REQ-03723")</f>
        <v>G-REQ-03723</v>
      </c>
      <c r="B3724" s="11">
        <f>IFERROR(__xludf.DUMMYFUNCTION("""COMPUTED_VALUE"""),46026.29819130158)</f>
        <v>46026.29819</v>
      </c>
      <c r="C3724" s="9">
        <f>IFERROR(__xludf.DUMMYFUNCTION("""COMPUTED_VALUE"""),14437.0)</f>
        <v>14437</v>
      </c>
      <c r="D3724" s="9" t="str">
        <f>IFERROR(__xludf.DUMMYFUNCTION("""COMPUTED_VALUE"""),"Completed")</f>
        <v>Completed</v>
      </c>
    </row>
    <row r="3725">
      <c r="A3725" s="9" t="str">
        <f>IFERROR(__xludf.DUMMYFUNCTION("""COMPUTED_VALUE"""),"G-REQ-03724")</f>
        <v>G-REQ-03724</v>
      </c>
      <c r="B3725" s="11">
        <f>IFERROR(__xludf.DUMMYFUNCTION("""COMPUTED_VALUE"""),46026.36936614699)</f>
        <v>46026.36937</v>
      </c>
      <c r="C3725" s="9">
        <f>IFERROR(__xludf.DUMMYFUNCTION("""COMPUTED_VALUE"""),14441.0)</f>
        <v>14441</v>
      </c>
      <c r="D3725" s="9" t="str">
        <f>IFERROR(__xludf.DUMMYFUNCTION("""COMPUTED_VALUE"""),"Completed")</f>
        <v>Completed</v>
      </c>
    </row>
    <row r="3726">
      <c r="A3726" s="9" t="str">
        <f>IFERROR(__xludf.DUMMYFUNCTION("""COMPUTED_VALUE"""),"G-REQ-03725")</f>
        <v>G-REQ-03725</v>
      </c>
      <c r="B3726" s="11">
        <f>IFERROR(__xludf.DUMMYFUNCTION("""COMPUTED_VALUE"""),46026.43359654796)</f>
        <v>46026.4336</v>
      </c>
      <c r="C3726" s="9">
        <f>IFERROR(__xludf.DUMMYFUNCTION("""COMPUTED_VALUE"""),14443.0)</f>
        <v>14443</v>
      </c>
      <c r="D3726" s="9" t="str">
        <f>IFERROR(__xludf.DUMMYFUNCTION("""COMPUTED_VALUE"""),"Rejected")</f>
        <v>Rejected</v>
      </c>
    </row>
    <row r="3727">
      <c r="A3727" s="9" t="str">
        <f>IFERROR(__xludf.DUMMYFUNCTION("""COMPUTED_VALUE"""),"G-REQ-03726")</f>
        <v>G-REQ-03726</v>
      </c>
      <c r="B3727" s="11">
        <f>IFERROR(__xludf.DUMMYFUNCTION("""COMPUTED_VALUE"""),46026.50477139338)</f>
        <v>46026.50477</v>
      </c>
      <c r="C3727" s="9">
        <f>IFERROR(__xludf.DUMMYFUNCTION("""COMPUTED_VALUE"""),14445.0)</f>
        <v>14445</v>
      </c>
      <c r="D3727" s="9" t="str">
        <f>IFERROR(__xludf.DUMMYFUNCTION("""COMPUTED_VALUE"""),"Rejected")</f>
        <v>Rejected</v>
      </c>
    </row>
    <row r="3728">
      <c r="A3728" s="9" t="str">
        <f>IFERROR(__xludf.DUMMYFUNCTION("""COMPUTED_VALUE"""),"G-REQ-03727")</f>
        <v>G-REQ-03727</v>
      </c>
      <c r="B3728" s="11">
        <f>IFERROR(__xludf.DUMMYFUNCTION("""COMPUTED_VALUE"""),46026.58289068324)</f>
        <v>46026.58289</v>
      </c>
      <c r="C3728" s="9">
        <f>IFERROR(__xludf.DUMMYFUNCTION("""COMPUTED_VALUE"""),14449.0)</f>
        <v>14449</v>
      </c>
      <c r="D3728" s="9" t="str">
        <f>IFERROR(__xludf.DUMMYFUNCTION("""COMPUTED_VALUE"""),"Completed")</f>
        <v>Completed</v>
      </c>
    </row>
    <row r="3729">
      <c r="A3729" s="9" t="str">
        <f>IFERROR(__xludf.DUMMYFUNCTION("""COMPUTED_VALUE"""),"G-REQ-03728")</f>
        <v>G-REQ-03728</v>
      </c>
      <c r="B3729" s="11">
        <f>IFERROR(__xludf.DUMMYFUNCTION("""COMPUTED_VALUE"""),46026.65406552865)</f>
        <v>46026.65407</v>
      </c>
      <c r="C3729" s="9">
        <f>IFERROR(__xludf.DUMMYFUNCTION("""COMPUTED_VALUE"""),14453.0)</f>
        <v>14453</v>
      </c>
      <c r="D3729" s="9" t="str">
        <f>IFERROR(__xludf.DUMMYFUNCTION("""COMPUTED_VALUE"""),"Completed")</f>
        <v>Completed</v>
      </c>
    </row>
    <row r="3730">
      <c r="A3730" s="9" t="str">
        <f>IFERROR(__xludf.DUMMYFUNCTION("""COMPUTED_VALUE"""),"G-REQ-03729")</f>
        <v>G-REQ-03729</v>
      </c>
      <c r="B3730" s="11">
        <f>IFERROR(__xludf.DUMMYFUNCTION("""COMPUTED_VALUE"""),46026.72524037407)</f>
        <v>46026.72524</v>
      </c>
      <c r="C3730" s="9">
        <f>IFERROR(__xludf.DUMMYFUNCTION("""COMPUTED_VALUE"""),14457.0)</f>
        <v>14457</v>
      </c>
      <c r="D3730" s="9" t="str">
        <f>IFERROR(__xludf.DUMMYFUNCTION("""COMPUTED_VALUE"""),"Completed")</f>
        <v>Completed</v>
      </c>
    </row>
    <row r="3731">
      <c r="A3731" s="9" t="str">
        <f>IFERROR(__xludf.DUMMYFUNCTION("""COMPUTED_VALUE"""),"G-REQ-03730")</f>
        <v>G-REQ-03730</v>
      </c>
      <c r="B3731" s="11">
        <f>IFERROR(__xludf.DUMMYFUNCTION("""COMPUTED_VALUE"""),46026.79641521948)</f>
        <v>46026.79642</v>
      </c>
      <c r="C3731" s="9">
        <f>IFERROR(__xludf.DUMMYFUNCTION("""COMPUTED_VALUE"""),14461.0)</f>
        <v>14461</v>
      </c>
      <c r="D3731" s="9" t="str">
        <f>IFERROR(__xludf.DUMMYFUNCTION("""COMPUTED_VALUE"""),"Completed")</f>
        <v>Completed</v>
      </c>
    </row>
    <row r="3732">
      <c r="A3732" s="9" t="str">
        <f>IFERROR(__xludf.DUMMYFUNCTION("""COMPUTED_VALUE"""),"G-REQ-03731")</f>
        <v>G-REQ-03731</v>
      </c>
      <c r="B3732" s="11">
        <f>IFERROR(__xludf.DUMMYFUNCTION("""COMPUTED_VALUE"""),46026.867590064896)</f>
        <v>46026.86759</v>
      </c>
      <c r="C3732" s="9">
        <f>IFERROR(__xludf.DUMMYFUNCTION("""COMPUTED_VALUE"""),14465.0)</f>
        <v>14465</v>
      </c>
      <c r="D3732" s="9" t="str">
        <f>IFERROR(__xludf.DUMMYFUNCTION("""COMPUTED_VALUE"""),"Completed")</f>
        <v>Completed</v>
      </c>
    </row>
    <row r="3733">
      <c r="A3733" s="9" t="str">
        <f>IFERROR(__xludf.DUMMYFUNCTION("""COMPUTED_VALUE"""),"G-REQ-03732")</f>
        <v>G-REQ-03732</v>
      </c>
      <c r="B3733" s="11">
        <f>IFERROR(__xludf.DUMMYFUNCTION("""COMPUTED_VALUE"""),46026.938764910316)</f>
        <v>46026.93876</v>
      </c>
      <c r="C3733" s="9">
        <f>IFERROR(__xludf.DUMMYFUNCTION("""COMPUTED_VALUE"""),14469.0)</f>
        <v>14469</v>
      </c>
      <c r="D3733" s="9" t="str">
        <f>IFERROR(__xludf.DUMMYFUNCTION("""COMPUTED_VALUE"""),"Completed")</f>
        <v>Completed</v>
      </c>
    </row>
    <row r="3734">
      <c r="A3734" s="9" t="str">
        <f>IFERROR(__xludf.DUMMYFUNCTION("""COMPUTED_VALUE"""),"G-REQ-03733")</f>
        <v>G-REQ-03733</v>
      </c>
      <c r="B3734" s="11">
        <f>IFERROR(__xludf.DUMMYFUNCTION("""COMPUTED_VALUE"""),46027.00299531129)</f>
        <v>46027.003</v>
      </c>
      <c r="C3734" s="9">
        <f>IFERROR(__xludf.DUMMYFUNCTION("""COMPUTED_VALUE"""),14471.0)</f>
        <v>14471</v>
      </c>
      <c r="D3734" s="9" t="str">
        <f>IFERROR(__xludf.DUMMYFUNCTION("""COMPUTED_VALUE"""),"Cancelled")</f>
        <v>Cancelled</v>
      </c>
    </row>
    <row r="3735">
      <c r="A3735" s="9" t="str">
        <f>IFERROR(__xludf.DUMMYFUNCTION("""COMPUTED_VALUE"""),"G-REQ-03734")</f>
        <v>G-REQ-03734</v>
      </c>
      <c r="B3735" s="11">
        <f>IFERROR(__xludf.DUMMYFUNCTION("""COMPUTED_VALUE"""),46027.08111460114)</f>
        <v>46027.08111</v>
      </c>
      <c r="C3735" s="9">
        <f>IFERROR(__xludf.DUMMYFUNCTION("""COMPUTED_VALUE"""),14475.0)</f>
        <v>14475</v>
      </c>
      <c r="D3735" s="9" t="str">
        <f>IFERROR(__xludf.DUMMYFUNCTION("""COMPUTED_VALUE"""),"Completed")</f>
        <v>Completed</v>
      </c>
    </row>
    <row r="3736">
      <c r="A3736" s="9" t="str">
        <f>IFERROR(__xludf.DUMMYFUNCTION("""COMPUTED_VALUE"""),"G-REQ-03735")</f>
        <v>G-REQ-03735</v>
      </c>
      <c r="B3736" s="11">
        <f>IFERROR(__xludf.DUMMYFUNCTION("""COMPUTED_VALUE"""),46027.15228944656)</f>
        <v>46027.15229</v>
      </c>
      <c r="C3736" s="9">
        <f>IFERROR(__xludf.DUMMYFUNCTION("""COMPUTED_VALUE"""),14479.0)</f>
        <v>14479</v>
      </c>
      <c r="D3736" s="9" t="str">
        <f>IFERROR(__xludf.DUMMYFUNCTION("""COMPUTED_VALUE"""),"Completed")</f>
        <v>Completed</v>
      </c>
    </row>
    <row r="3737">
      <c r="A3737" s="9" t="str">
        <f>IFERROR(__xludf.DUMMYFUNCTION("""COMPUTED_VALUE"""),"G-REQ-03736")</f>
        <v>G-REQ-03736</v>
      </c>
      <c r="B3737" s="11">
        <f>IFERROR(__xludf.DUMMYFUNCTION("""COMPUTED_VALUE"""),46027.22346429197)</f>
        <v>46027.22346</v>
      </c>
      <c r="C3737" s="9">
        <f>IFERROR(__xludf.DUMMYFUNCTION("""COMPUTED_VALUE"""),14483.0)</f>
        <v>14483</v>
      </c>
      <c r="D3737" s="9" t="str">
        <f>IFERROR(__xludf.DUMMYFUNCTION("""COMPUTED_VALUE"""),"Completed")</f>
        <v>Completed</v>
      </c>
    </row>
    <row r="3738">
      <c r="A3738" s="9" t="str">
        <f>IFERROR(__xludf.DUMMYFUNCTION("""COMPUTED_VALUE"""),"G-REQ-03737")</f>
        <v>G-REQ-03737</v>
      </c>
      <c r="B3738" s="11">
        <f>IFERROR(__xludf.DUMMYFUNCTION("""COMPUTED_VALUE"""),46027.28769469295)</f>
        <v>46027.28769</v>
      </c>
      <c r="C3738" s="9">
        <f>IFERROR(__xludf.DUMMYFUNCTION("""COMPUTED_VALUE"""),14485.0)</f>
        <v>14485</v>
      </c>
      <c r="D3738" s="9" t="str">
        <f>IFERROR(__xludf.DUMMYFUNCTION("""COMPUTED_VALUE"""),"Cancelled")</f>
        <v>Cancelled</v>
      </c>
    </row>
    <row r="3739">
      <c r="A3739" s="9" t="str">
        <f>IFERROR(__xludf.DUMMYFUNCTION("""COMPUTED_VALUE"""),"G-REQ-03738")</f>
        <v>G-REQ-03738</v>
      </c>
      <c r="B3739" s="11">
        <f>IFERROR(__xludf.DUMMYFUNCTION("""COMPUTED_VALUE"""),46027.365813982804)</f>
        <v>46027.36581</v>
      </c>
      <c r="C3739" s="9">
        <f>IFERROR(__xludf.DUMMYFUNCTION("""COMPUTED_VALUE"""),14489.0)</f>
        <v>14489</v>
      </c>
      <c r="D3739" s="9" t="str">
        <f>IFERROR(__xludf.DUMMYFUNCTION("""COMPUTED_VALUE"""),"Completed")</f>
        <v>Completed</v>
      </c>
    </row>
    <row r="3740">
      <c r="A3740" s="9" t="str">
        <f>IFERROR(__xludf.DUMMYFUNCTION("""COMPUTED_VALUE"""),"G-REQ-03739")</f>
        <v>G-REQ-03739</v>
      </c>
      <c r="B3740" s="11">
        <f>IFERROR(__xludf.DUMMYFUNCTION("""COMPUTED_VALUE"""),46027.43698882822)</f>
        <v>46027.43699</v>
      </c>
      <c r="C3740" s="9">
        <f>IFERROR(__xludf.DUMMYFUNCTION("""COMPUTED_VALUE"""),14493.0)</f>
        <v>14493</v>
      </c>
      <c r="D3740" s="9" t="str">
        <f>IFERROR(__xludf.DUMMYFUNCTION("""COMPUTED_VALUE"""),"Completed")</f>
        <v>Completed</v>
      </c>
    </row>
    <row r="3741">
      <c r="A3741" s="9" t="str">
        <f>IFERROR(__xludf.DUMMYFUNCTION("""COMPUTED_VALUE"""),"G-REQ-03740")</f>
        <v>G-REQ-03740</v>
      </c>
      <c r="B3741" s="11">
        <f>IFERROR(__xludf.DUMMYFUNCTION("""COMPUTED_VALUE"""),46027.50816367363)</f>
        <v>46027.50816</v>
      </c>
      <c r="C3741" s="9">
        <f>IFERROR(__xludf.DUMMYFUNCTION("""COMPUTED_VALUE"""),14497.0)</f>
        <v>14497</v>
      </c>
      <c r="D3741" s="9" t="str">
        <f>IFERROR(__xludf.DUMMYFUNCTION("""COMPUTED_VALUE"""),"Completed")</f>
        <v>Completed</v>
      </c>
    </row>
    <row r="3742">
      <c r="A3742" s="9" t="str">
        <f>IFERROR(__xludf.DUMMYFUNCTION("""COMPUTED_VALUE"""),"G-REQ-03741")</f>
        <v>G-REQ-03741</v>
      </c>
      <c r="B3742" s="11">
        <f>IFERROR(__xludf.DUMMYFUNCTION("""COMPUTED_VALUE"""),46027.57933851905)</f>
        <v>46027.57934</v>
      </c>
      <c r="C3742" s="9">
        <f>IFERROR(__xludf.DUMMYFUNCTION("""COMPUTED_VALUE"""),14501.0)</f>
        <v>14501</v>
      </c>
      <c r="D3742" s="9" t="str">
        <f>IFERROR(__xludf.DUMMYFUNCTION("""COMPUTED_VALUE"""),"Completed")</f>
        <v>Completed</v>
      </c>
    </row>
    <row r="3743">
      <c r="A3743" s="9" t="str">
        <f>IFERROR(__xludf.DUMMYFUNCTION("""COMPUTED_VALUE"""),"G-REQ-03742")</f>
        <v>G-REQ-03742</v>
      </c>
      <c r="B3743" s="11">
        <f>IFERROR(__xludf.DUMMYFUNCTION("""COMPUTED_VALUE"""),46027.65051336447)</f>
        <v>46027.65051</v>
      </c>
      <c r="C3743" s="9">
        <f>IFERROR(__xludf.DUMMYFUNCTION("""COMPUTED_VALUE"""),14505.0)</f>
        <v>14505</v>
      </c>
      <c r="D3743" s="9" t="str">
        <f>IFERROR(__xludf.DUMMYFUNCTION("""COMPUTED_VALUE"""),"Completed")</f>
        <v>Completed</v>
      </c>
    </row>
    <row r="3744">
      <c r="A3744" s="9" t="str">
        <f>IFERROR(__xludf.DUMMYFUNCTION("""COMPUTED_VALUE"""),"G-REQ-03743")</f>
        <v>G-REQ-03743</v>
      </c>
      <c r="B3744" s="11">
        <f>IFERROR(__xludf.DUMMYFUNCTION("""COMPUTED_VALUE"""),46027.72168820988)</f>
        <v>46027.72169</v>
      </c>
      <c r="C3744" s="9">
        <f>IFERROR(__xludf.DUMMYFUNCTION("""COMPUTED_VALUE"""),14509.0)</f>
        <v>14509</v>
      </c>
      <c r="D3744" s="9" t="str">
        <f>IFERROR(__xludf.DUMMYFUNCTION("""COMPUTED_VALUE"""),"Completed")</f>
        <v>Completed</v>
      </c>
    </row>
    <row r="3745">
      <c r="A3745" s="9" t="str">
        <f>IFERROR(__xludf.DUMMYFUNCTION("""COMPUTED_VALUE"""),"G-REQ-03744")</f>
        <v>G-REQ-03744</v>
      </c>
      <c r="B3745" s="11">
        <f>IFERROR(__xludf.DUMMYFUNCTION("""COMPUTED_VALUE"""),46027.79286305529)</f>
        <v>46027.79286</v>
      </c>
      <c r="C3745" s="9">
        <f>IFERROR(__xludf.DUMMYFUNCTION("""COMPUTED_VALUE"""),14513.0)</f>
        <v>14513</v>
      </c>
      <c r="D3745" s="9" t="str">
        <f>IFERROR(__xludf.DUMMYFUNCTION("""COMPUTED_VALUE"""),"Completed")</f>
        <v>Completed</v>
      </c>
    </row>
    <row r="3746">
      <c r="A3746" s="9" t="str">
        <f>IFERROR(__xludf.DUMMYFUNCTION("""COMPUTED_VALUE"""),"G-REQ-03745")</f>
        <v>G-REQ-03745</v>
      </c>
      <c r="B3746" s="11">
        <f>IFERROR(__xludf.DUMMYFUNCTION("""COMPUTED_VALUE"""),46027.85709345627)</f>
        <v>46027.85709</v>
      </c>
      <c r="C3746" s="9">
        <f>IFERROR(__xludf.DUMMYFUNCTION("""COMPUTED_VALUE"""),14515.0)</f>
        <v>14515</v>
      </c>
      <c r="D3746" s="9" t="str">
        <f>IFERROR(__xludf.DUMMYFUNCTION("""COMPUTED_VALUE"""),"Cancelled")</f>
        <v>Cancelled</v>
      </c>
    </row>
    <row r="3747">
      <c r="A3747" s="9" t="str">
        <f>IFERROR(__xludf.DUMMYFUNCTION("""COMPUTED_VALUE"""),"G-REQ-03746")</f>
        <v>G-REQ-03746</v>
      </c>
      <c r="B3747" s="11">
        <f>IFERROR(__xludf.DUMMYFUNCTION("""COMPUTED_VALUE"""),46027.935212746124)</f>
        <v>46027.93521</v>
      </c>
      <c r="C3747" s="9">
        <f>IFERROR(__xludf.DUMMYFUNCTION("""COMPUTED_VALUE"""),14519.0)</f>
        <v>14519</v>
      </c>
      <c r="D3747" s="9" t="str">
        <f>IFERROR(__xludf.DUMMYFUNCTION("""COMPUTED_VALUE"""),"Completed")</f>
        <v>Completed</v>
      </c>
    </row>
    <row r="3748">
      <c r="A3748" s="9" t="str">
        <f>IFERROR(__xludf.DUMMYFUNCTION("""COMPUTED_VALUE"""),"G-REQ-03747")</f>
        <v>G-REQ-03747</v>
      </c>
      <c r="B3748" s="11">
        <f>IFERROR(__xludf.DUMMYFUNCTION("""COMPUTED_VALUE"""),46028.00638759154)</f>
        <v>46028.00639</v>
      </c>
      <c r="C3748" s="9">
        <f>IFERROR(__xludf.DUMMYFUNCTION("""COMPUTED_VALUE"""),14523.0)</f>
        <v>14523</v>
      </c>
      <c r="D3748" s="9" t="str">
        <f>IFERROR(__xludf.DUMMYFUNCTION("""COMPUTED_VALUE"""),"Completed")</f>
        <v>Completed</v>
      </c>
    </row>
    <row r="3749">
      <c r="A3749" s="9" t="str">
        <f>IFERROR(__xludf.DUMMYFUNCTION("""COMPUTED_VALUE"""),"G-REQ-03748")</f>
        <v>G-REQ-03748</v>
      </c>
      <c r="B3749" s="11">
        <f>IFERROR(__xludf.DUMMYFUNCTION("""COMPUTED_VALUE"""),46028.077562436956)</f>
        <v>46028.07756</v>
      </c>
      <c r="C3749" s="9">
        <f>IFERROR(__xludf.DUMMYFUNCTION("""COMPUTED_VALUE"""),14527.0)</f>
        <v>14527</v>
      </c>
      <c r="D3749" s="9" t="str">
        <f>IFERROR(__xludf.DUMMYFUNCTION("""COMPUTED_VALUE"""),"Completed")</f>
        <v>Completed</v>
      </c>
    </row>
    <row r="3750">
      <c r="A3750" s="9" t="str">
        <f>IFERROR(__xludf.DUMMYFUNCTION("""COMPUTED_VALUE"""),"G-REQ-03749")</f>
        <v>G-REQ-03749</v>
      </c>
      <c r="B3750" s="11">
        <f>IFERROR(__xludf.DUMMYFUNCTION("""COMPUTED_VALUE"""),46028.14179283793)</f>
        <v>46028.14179</v>
      </c>
      <c r="C3750" s="9">
        <f>IFERROR(__xludf.DUMMYFUNCTION("""COMPUTED_VALUE"""),14529.0)</f>
        <v>14529</v>
      </c>
      <c r="D3750" s="9" t="str">
        <f>IFERROR(__xludf.DUMMYFUNCTION("""COMPUTED_VALUE"""),"Rejected")</f>
        <v>Rejected</v>
      </c>
    </row>
    <row r="3751">
      <c r="A3751" s="9" t="str">
        <f>IFERROR(__xludf.DUMMYFUNCTION("""COMPUTED_VALUE"""),"G-REQ-03750")</f>
        <v>G-REQ-03750</v>
      </c>
      <c r="B3751" s="11">
        <f>IFERROR(__xludf.DUMMYFUNCTION("""COMPUTED_VALUE"""),46028.21991212778)</f>
        <v>46028.21991</v>
      </c>
      <c r="C3751" s="9">
        <f>IFERROR(__xludf.DUMMYFUNCTION("""COMPUTED_VALUE"""),14533.0)</f>
        <v>14533</v>
      </c>
      <c r="D3751" s="9" t="str">
        <f>IFERROR(__xludf.DUMMYFUNCTION("""COMPUTED_VALUE"""),"Completed")</f>
        <v>Completed</v>
      </c>
    </row>
    <row r="3752">
      <c r="A3752" s="9" t="str">
        <f>IFERROR(__xludf.DUMMYFUNCTION("""COMPUTED_VALUE"""),"G-REQ-03751")</f>
        <v>G-REQ-03751</v>
      </c>
      <c r="B3752" s="11">
        <f>IFERROR(__xludf.DUMMYFUNCTION("""COMPUTED_VALUE"""),46028.2910869732)</f>
        <v>46028.29109</v>
      </c>
      <c r="C3752" s="9">
        <f>IFERROR(__xludf.DUMMYFUNCTION("""COMPUTED_VALUE"""),14537.0)</f>
        <v>14537</v>
      </c>
      <c r="D3752" s="9" t="str">
        <f>IFERROR(__xludf.DUMMYFUNCTION("""COMPUTED_VALUE"""),"Completed")</f>
        <v>Completed</v>
      </c>
    </row>
    <row r="3753">
      <c r="A3753" s="9" t="str">
        <f>IFERROR(__xludf.DUMMYFUNCTION("""COMPUTED_VALUE"""),"G-REQ-03752")</f>
        <v>G-REQ-03752</v>
      </c>
      <c r="B3753" s="11">
        <f>IFERROR(__xludf.DUMMYFUNCTION("""COMPUTED_VALUE"""),46028.355317374175)</f>
        <v>46028.35532</v>
      </c>
      <c r="C3753" s="9">
        <f>IFERROR(__xludf.DUMMYFUNCTION("""COMPUTED_VALUE"""),14539.0)</f>
        <v>14539</v>
      </c>
      <c r="D3753" s="9" t="str">
        <f>IFERROR(__xludf.DUMMYFUNCTION("""COMPUTED_VALUE"""),"Cancelled")</f>
        <v>Cancelled</v>
      </c>
    </row>
    <row r="3754">
      <c r="A3754" s="9" t="str">
        <f>IFERROR(__xludf.DUMMYFUNCTION("""COMPUTED_VALUE"""),"G-REQ-03753")</f>
        <v>G-REQ-03753</v>
      </c>
      <c r="B3754" s="11">
        <f>IFERROR(__xludf.DUMMYFUNCTION("""COMPUTED_VALUE"""),46028.43343666403)</f>
        <v>46028.43344</v>
      </c>
      <c r="C3754" s="9">
        <f>IFERROR(__xludf.DUMMYFUNCTION("""COMPUTED_VALUE"""),14543.0)</f>
        <v>14543</v>
      </c>
      <c r="D3754" s="9" t="str">
        <f>IFERROR(__xludf.DUMMYFUNCTION("""COMPUTED_VALUE"""),"Completed")</f>
        <v>Completed</v>
      </c>
    </row>
    <row r="3755">
      <c r="A3755" s="9" t="str">
        <f>IFERROR(__xludf.DUMMYFUNCTION("""COMPUTED_VALUE"""),"G-REQ-03754")</f>
        <v>G-REQ-03754</v>
      </c>
      <c r="B3755" s="11">
        <f>IFERROR(__xludf.DUMMYFUNCTION("""COMPUTED_VALUE"""),46028.504611509445)</f>
        <v>46028.50461</v>
      </c>
      <c r="C3755" s="9">
        <f>IFERROR(__xludf.DUMMYFUNCTION("""COMPUTED_VALUE"""),14547.0)</f>
        <v>14547</v>
      </c>
      <c r="D3755" s="9" t="str">
        <f>IFERROR(__xludf.DUMMYFUNCTION("""COMPUTED_VALUE"""),"Completed")</f>
        <v>Completed</v>
      </c>
    </row>
    <row r="3756">
      <c r="A3756" s="9" t="str">
        <f>IFERROR(__xludf.DUMMYFUNCTION("""COMPUTED_VALUE"""),"G-REQ-03755")</f>
        <v>G-REQ-03755</v>
      </c>
      <c r="B3756" s="11">
        <f>IFERROR(__xludf.DUMMYFUNCTION("""COMPUTED_VALUE"""),46028.575786354864)</f>
        <v>46028.57579</v>
      </c>
      <c r="C3756" s="9">
        <f>IFERROR(__xludf.DUMMYFUNCTION("""COMPUTED_VALUE"""),14551.0)</f>
        <v>14551</v>
      </c>
      <c r="D3756" s="9" t="str">
        <f>IFERROR(__xludf.DUMMYFUNCTION("""COMPUTED_VALUE"""),"Completed")</f>
        <v>Completed</v>
      </c>
    </row>
    <row r="3757">
      <c r="A3757" s="9" t="str">
        <f>IFERROR(__xludf.DUMMYFUNCTION("""COMPUTED_VALUE"""),"G-REQ-03756")</f>
        <v>G-REQ-03756</v>
      </c>
      <c r="B3757" s="11">
        <f>IFERROR(__xludf.DUMMYFUNCTION("""COMPUTED_VALUE"""),46028.64696120028)</f>
        <v>46028.64696</v>
      </c>
      <c r="C3757" s="9">
        <f>IFERROR(__xludf.DUMMYFUNCTION("""COMPUTED_VALUE"""),14555.0)</f>
        <v>14555</v>
      </c>
      <c r="D3757" s="9" t="str">
        <f>IFERROR(__xludf.DUMMYFUNCTION("""COMPUTED_VALUE"""),"Completed")</f>
        <v>Completed</v>
      </c>
    </row>
    <row r="3758">
      <c r="A3758" s="9" t="str">
        <f>IFERROR(__xludf.DUMMYFUNCTION("""COMPUTED_VALUE"""),"G-REQ-03757")</f>
        <v>G-REQ-03757</v>
      </c>
      <c r="B3758" s="11">
        <f>IFERROR(__xludf.DUMMYFUNCTION("""COMPUTED_VALUE"""),46028.71813604569)</f>
        <v>46028.71814</v>
      </c>
      <c r="C3758" s="9">
        <f>IFERROR(__xludf.DUMMYFUNCTION("""COMPUTED_VALUE"""),14559.0)</f>
        <v>14559</v>
      </c>
      <c r="D3758" s="9" t="str">
        <f>IFERROR(__xludf.DUMMYFUNCTION("""COMPUTED_VALUE"""),"Completed")</f>
        <v>Completed</v>
      </c>
    </row>
    <row r="3759">
      <c r="A3759" s="9" t="str">
        <f>IFERROR(__xludf.DUMMYFUNCTION("""COMPUTED_VALUE"""),"G-REQ-03758")</f>
        <v>G-REQ-03758</v>
      </c>
      <c r="B3759" s="11">
        <f>IFERROR(__xludf.DUMMYFUNCTION("""COMPUTED_VALUE"""),46028.78236644666)</f>
        <v>46028.78237</v>
      </c>
      <c r="C3759" s="9">
        <f>IFERROR(__xludf.DUMMYFUNCTION("""COMPUTED_VALUE"""),14561.0)</f>
        <v>14561</v>
      </c>
      <c r="D3759" s="9" t="str">
        <f>IFERROR(__xludf.DUMMYFUNCTION("""COMPUTED_VALUE"""),"Rejected")</f>
        <v>Rejected</v>
      </c>
    </row>
    <row r="3760">
      <c r="A3760" s="9" t="str">
        <f>IFERROR(__xludf.DUMMYFUNCTION("""COMPUTED_VALUE"""),"G-REQ-03759")</f>
        <v>G-REQ-03759</v>
      </c>
      <c r="B3760" s="11">
        <f>IFERROR(__xludf.DUMMYFUNCTION("""COMPUTED_VALUE"""),46028.86048573652)</f>
        <v>46028.86049</v>
      </c>
      <c r="C3760" s="9">
        <f>IFERROR(__xludf.DUMMYFUNCTION("""COMPUTED_VALUE"""),14565.0)</f>
        <v>14565</v>
      </c>
      <c r="D3760" s="9" t="str">
        <f>IFERROR(__xludf.DUMMYFUNCTION("""COMPUTED_VALUE"""),"Completed")</f>
        <v>Completed</v>
      </c>
    </row>
    <row r="3761">
      <c r="A3761" s="9" t="str">
        <f>IFERROR(__xludf.DUMMYFUNCTION("""COMPUTED_VALUE"""),"G-REQ-03760")</f>
        <v>G-REQ-03760</v>
      </c>
      <c r="B3761" s="11">
        <f>IFERROR(__xludf.DUMMYFUNCTION("""COMPUTED_VALUE"""),46028.93166058193)</f>
        <v>46028.93166</v>
      </c>
      <c r="C3761" s="9">
        <f>IFERROR(__xludf.DUMMYFUNCTION("""COMPUTED_VALUE"""),14569.0)</f>
        <v>14569</v>
      </c>
      <c r="D3761" s="9" t="str">
        <f>IFERROR(__xludf.DUMMYFUNCTION("""COMPUTED_VALUE"""),"Completed")</f>
        <v>Completed</v>
      </c>
    </row>
    <row r="3762">
      <c r="A3762" s="9" t="str">
        <f>IFERROR(__xludf.DUMMYFUNCTION("""COMPUTED_VALUE"""),"G-REQ-03761")</f>
        <v>G-REQ-03761</v>
      </c>
      <c r="B3762" s="11">
        <f>IFERROR(__xludf.DUMMYFUNCTION("""COMPUTED_VALUE"""),46029.00283542735)</f>
        <v>46029.00284</v>
      </c>
      <c r="C3762" s="9">
        <f>IFERROR(__xludf.DUMMYFUNCTION("""COMPUTED_VALUE"""),14573.0)</f>
        <v>14573</v>
      </c>
      <c r="D3762" s="9" t="str">
        <f>IFERROR(__xludf.DUMMYFUNCTION("""COMPUTED_VALUE"""),"Completed")</f>
        <v>Completed</v>
      </c>
    </row>
    <row r="3763">
      <c r="A3763" s="9" t="str">
        <f>IFERROR(__xludf.DUMMYFUNCTION("""COMPUTED_VALUE"""),"G-REQ-03762")</f>
        <v>G-REQ-03762</v>
      </c>
      <c r="B3763" s="11">
        <f>IFERROR(__xludf.DUMMYFUNCTION("""COMPUTED_VALUE"""),46029.074010272765)</f>
        <v>46029.07401</v>
      </c>
      <c r="C3763" s="9">
        <f>IFERROR(__xludf.DUMMYFUNCTION("""COMPUTED_VALUE"""),14577.0)</f>
        <v>14577</v>
      </c>
      <c r="D3763" s="9" t="str">
        <f>IFERROR(__xludf.DUMMYFUNCTION("""COMPUTED_VALUE"""),"Completed")</f>
        <v>Completed</v>
      </c>
    </row>
    <row r="3764">
      <c r="A3764" s="9" t="str">
        <f>IFERROR(__xludf.DUMMYFUNCTION("""COMPUTED_VALUE"""),"G-REQ-03763")</f>
        <v>G-REQ-03763</v>
      </c>
      <c r="B3764" s="11">
        <f>IFERROR(__xludf.DUMMYFUNCTION("""COMPUTED_VALUE"""),46029.14518511818)</f>
        <v>46029.14519</v>
      </c>
      <c r="C3764" s="9">
        <f>IFERROR(__xludf.DUMMYFUNCTION("""COMPUTED_VALUE"""),14581.0)</f>
        <v>14581</v>
      </c>
      <c r="D3764" s="9" t="str">
        <f>IFERROR(__xludf.DUMMYFUNCTION("""COMPUTED_VALUE"""),"Completed")</f>
        <v>Completed</v>
      </c>
    </row>
    <row r="3765">
      <c r="A3765" s="9" t="str">
        <f>IFERROR(__xludf.DUMMYFUNCTION("""COMPUTED_VALUE"""),"G-REQ-03764")</f>
        <v>G-REQ-03764</v>
      </c>
      <c r="B3765" s="11">
        <f>IFERROR(__xludf.DUMMYFUNCTION("""COMPUTED_VALUE"""),46029.2163599636)</f>
        <v>46029.21636</v>
      </c>
      <c r="C3765" s="9">
        <f>IFERROR(__xludf.DUMMYFUNCTION("""COMPUTED_VALUE"""),14585.0)</f>
        <v>14585</v>
      </c>
      <c r="D3765" s="9" t="str">
        <f>IFERROR(__xludf.DUMMYFUNCTION("""COMPUTED_VALUE"""),"Completed")</f>
        <v>Completed</v>
      </c>
    </row>
    <row r="3766">
      <c r="A3766" s="9" t="str">
        <f>IFERROR(__xludf.DUMMYFUNCTION("""COMPUTED_VALUE"""),"G-REQ-03765")</f>
        <v>G-REQ-03765</v>
      </c>
      <c r="B3766" s="11">
        <f>IFERROR(__xludf.DUMMYFUNCTION("""COMPUTED_VALUE"""),46029.28059036457)</f>
        <v>46029.28059</v>
      </c>
      <c r="C3766" s="9">
        <f>IFERROR(__xludf.DUMMYFUNCTION("""COMPUTED_VALUE"""),14587.0)</f>
        <v>14587</v>
      </c>
      <c r="D3766" s="9" t="str">
        <f>IFERROR(__xludf.DUMMYFUNCTION("""COMPUTED_VALUE"""),"Rejected")</f>
        <v>Rejected</v>
      </c>
    </row>
    <row r="3767">
      <c r="A3767" s="9" t="str">
        <f>IFERROR(__xludf.DUMMYFUNCTION("""COMPUTED_VALUE"""),"G-REQ-03766")</f>
        <v>G-REQ-03766</v>
      </c>
      <c r="B3767" s="11">
        <f>IFERROR(__xludf.DUMMYFUNCTION("""COMPUTED_VALUE"""),46029.35870965442)</f>
        <v>46029.35871</v>
      </c>
      <c r="C3767" s="9">
        <f>IFERROR(__xludf.DUMMYFUNCTION("""COMPUTED_VALUE"""),14591.0)</f>
        <v>14591</v>
      </c>
      <c r="D3767" s="9" t="str">
        <f>IFERROR(__xludf.DUMMYFUNCTION("""COMPUTED_VALUE"""),"Completed")</f>
        <v>Completed</v>
      </c>
    </row>
    <row r="3768">
      <c r="A3768" s="9" t="str">
        <f>IFERROR(__xludf.DUMMYFUNCTION("""COMPUTED_VALUE"""),"G-REQ-03767")</f>
        <v>G-REQ-03767</v>
      </c>
      <c r="B3768" s="11">
        <f>IFERROR(__xludf.DUMMYFUNCTION("""COMPUTED_VALUE"""),46029.42988449984)</f>
        <v>46029.42988</v>
      </c>
      <c r="C3768" s="9">
        <f>IFERROR(__xludf.DUMMYFUNCTION("""COMPUTED_VALUE"""),14595.0)</f>
        <v>14595</v>
      </c>
      <c r="D3768" s="9" t="str">
        <f>IFERROR(__xludf.DUMMYFUNCTION("""COMPUTED_VALUE"""),"Completed")</f>
        <v>Completed</v>
      </c>
    </row>
    <row r="3769">
      <c r="A3769" s="9" t="str">
        <f>IFERROR(__xludf.DUMMYFUNCTION("""COMPUTED_VALUE"""),"G-REQ-03768")</f>
        <v>G-REQ-03768</v>
      </c>
      <c r="B3769" s="11">
        <f>IFERROR(__xludf.DUMMYFUNCTION("""COMPUTED_VALUE"""),46029.50105934526)</f>
        <v>46029.50106</v>
      </c>
      <c r="C3769" s="9">
        <f>IFERROR(__xludf.DUMMYFUNCTION("""COMPUTED_VALUE"""),14599.0)</f>
        <v>14599</v>
      </c>
      <c r="D3769" s="9" t="str">
        <f>IFERROR(__xludf.DUMMYFUNCTION("""COMPUTED_VALUE"""),"Completed")</f>
        <v>Completed</v>
      </c>
    </row>
    <row r="3770">
      <c r="A3770" s="9" t="str">
        <f>IFERROR(__xludf.DUMMYFUNCTION("""COMPUTED_VALUE"""),"G-REQ-03769")</f>
        <v>G-REQ-03769</v>
      </c>
      <c r="B3770" s="11">
        <f>IFERROR(__xludf.DUMMYFUNCTION("""COMPUTED_VALUE"""),46029.57223419067)</f>
        <v>46029.57223</v>
      </c>
      <c r="C3770" s="9">
        <f>IFERROR(__xludf.DUMMYFUNCTION("""COMPUTED_VALUE"""),14603.0)</f>
        <v>14603</v>
      </c>
      <c r="D3770" s="9" t="str">
        <f>IFERROR(__xludf.DUMMYFUNCTION("""COMPUTED_VALUE"""),"Completed")</f>
        <v>Completed</v>
      </c>
    </row>
    <row r="3771">
      <c r="A3771" s="9" t="str">
        <f>IFERROR(__xludf.DUMMYFUNCTION("""COMPUTED_VALUE"""),"G-REQ-03770")</f>
        <v>G-REQ-03770</v>
      </c>
      <c r="B3771" s="11">
        <f>IFERROR(__xludf.DUMMYFUNCTION("""COMPUTED_VALUE"""),46029.63646459164)</f>
        <v>46029.63646</v>
      </c>
      <c r="C3771" s="9">
        <f>IFERROR(__xludf.DUMMYFUNCTION("""COMPUTED_VALUE"""),14605.0)</f>
        <v>14605</v>
      </c>
      <c r="D3771" s="9" t="str">
        <f>IFERROR(__xludf.DUMMYFUNCTION("""COMPUTED_VALUE"""),"Rejected")</f>
        <v>Rejected</v>
      </c>
    </row>
    <row r="3772">
      <c r="A3772" s="9" t="str">
        <f>IFERROR(__xludf.DUMMYFUNCTION("""COMPUTED_VALUE"""),"G-REQ-03771")</f>
        <v>G-REQ-03771</v>
      </c>
      <c r="B3772" s="11">
        <f>IFERROR(__xludf.DUMMYFUNCTION("""COMPUTED_VALUE"""),46029.70763943706)</f>
        <v>46029.70764</v>
      </c>
      <c r="C3772" s="9">
        <f>IFERROR(__xludf.DUMMYFUNCTION("""COMPUTED_VALUE"""),14607.0)</f>
        <v>14607</v>
      </c>
      <c r="D3772" s="9" t="str">
        <f>IFERROR(__xludf.DUMMYFUNCTION("""COMPUTED_VALUE"""),"Cancelled")</f>
        <v>Cancelled</v>
      </c>
    </row>
    <row r="3773">
      <c r="A3773" s="9" t="str">
        <f>IFERROR(__xludf.DUMMYFUNCTION("""COMPUTED_VALUE"""),"G-REQ-03772")</f>
        <v>G-REQ-03772</v>
      </c>
      <c r="B3773" s="11">
        <f>IFERROR(__xludf.DUMMYFUNCTION("""COMPUTED_VALUE"""),46029.78575872692)</f>
        <v>46029.78576</v>
      </c>
      <c r="C3773" s="9">
        <f>IFERROR(__xludf.DUMMYFUNCTION("""COMPUTED_VALUE"""),14611.0)</f>
        <v>14611</v>
      </c>
      <c r="D3773" s="9" t="str">
        <f>IFERROR(__xludf.DUMMYFUNCTION("""COMPUTED_VALUE"""),"Completed")</f>
        <v>Completed</v>
      </c>
    </row>
    <row r="3774">
      <c r="A3774" s="9" t="str">
        <f>IFERROR(__xludf.DUMMYFUNCTION("""COMPUTED_VALUE"""),"G-REQ-03773")</f>
        <v>G-REQ-03773</v>
      </c>
      <c r="B3774" s="11">
        <f>IFERROR(__xludf.DUMMYFUNCTION("""COMPUTED_VALUE"""),46029.85693357233)</f>
        <v>46029.85693</v>
      </c>
      <c r="C3774" s="9">
        <f>IFERROR(__xludf.DUMMYFUNCTION("""COMPUTED_VALUE"""),14615.0)</f>
        <v>14615</v>
      </c>
      <c r="D3774" s="9" t="str">
        <f>IFERROR(__xludf.DUMMYFUNCTION("""COMPUTED_VALUE"""),"Completed")</f>
        <v>Completed</v>
      </c>
    </row>
    <row r="3775">
      <c r="A3775" s="9" t="str">
        <f>IFERROR(__xludf.DUMMYFUNCTION("""COMPUTED_VALUE"""),"G-REQ-03774")</f>
        <v>G-REQ-03774</v>
      </c>
      <c r="B3775" s="11">
        <f>IFERROR(__xludf.DUMMYFUNCTION("""COMPUTED_VALUE"""),46029.921163973304)</f>
        <v>46029.92116</v>
      </c>
      <c r="C3775" s="9">
        <f>IFERROR(__xludf.DUMMYFUNCTION("""COMPUTED_VALUE"""),14617.0)</f>
        <v>14617</v>
      </c>
      <c r="D3775" s="9" t="str">
        <f>IFERROR(__xludf.DUMMYFUNCTION("""COMPUTED_VALUE"""),"Rejected")</f>
        <v>Rejected</v>
      </c>
    </row>
    <row r="3776">
      <c r="A3776" s="9" t="str">
        <f>IFERROR(__xludf.DUMMYFUNCTION("""COMPUTED_VALUE"""),"G-REQ-03775")</f>
        <v>G-REQ-03775</v>
      </c>
      <c r="B3776" s="11">
        <f>IFERROR(__xludf.DUMMYFUNCTION("""COMPUTED_VALUE"""),46029.99928326317)</f>
        <v>46029.99928</v>
      </c>
      <c r="C3776" s="9">
        <f>IFERROR(__xludf.DUMMYFUNCTION("""COMPUTED_VALUE"""),14621.0)</f>
        <v>14621</v>
      </c>
      <c r="D3776" s="9" t="str">
        <f>IFERROR(__xludf.DUMMYFUNCTION("""COMPUTED_VALUE"""),"Completed")</f>
        <v>Completed</v>
      </c>
    </row>
    <row r="3777">
      <c r="A3777" s="9" t="str">
        <f>IFERROR(__xludf.DUMMYFUNCTION("""COMPUTED_VALUE"""),"G-REQ-03776")</f>
        <v>G-REQ-03776</v>
      </c>
      <c r="B3777" s="11">
        <f>IFERROR(__xludf.DUMMYFUNCTION("""COMPUTED_VALUE"""),46030.070458108574)</f>
        <v>46030.07046</v>
      </c>
      <c r="C3777" s="9">
        <f>IFERROR(__xludf.DUMMYFUNCTION("""COMPUTED_VALUE"""),14625.0)</f>
        <v>14625</v>
      </c>
      <c r="D3777" s="9" t="str">
        <f>IFERROR(__xludf.DUMMYFUNCTION("""COMPUTED_VALUE"""),"Completed")</f>
        <v>Completed</v>
      </c>
    </row>
    <row r="3778">
      <c r="A3778" s="9" t="str">
        <f>IFERROR(__xludf.DUMMYFUNCTION("""COMPUTED_VALUE"""),"G-REQ-03777")</f>
        <v>G-REQ-03777</v>
      </c>
      <c r="B3778" s="11">
        <f>IFERROR(__xludf.DUMMYFUNCTION("""COMPUTED_VALUE"""),46030.14163295399)</f>
        <v>46030.14163</v>
      </c>
      <c r="C3778" s="9">
        <f>IFERROR(__xludf.DUMMYFUNCTION("""COMPUTED_VALUE"""),14629.0)</f>
        <v>14629</v>
      </c>
      <c r="D3778" s="9" t="str">
        <f>IFERROR(__xludf.DUMMYFUNCTION("""COMPUTED_VALUE"""),"Completed")</f>
        <v>Completed</v>
      </c>
    </row>
    <row r="3779">
      <c r="A3779" s="9" t="str">
        <f>IFERROR(__xludf.DUMMYFUNCTION("""COMPUTED_VALUE"""),"G-REQ-03778")</f>
        <v>G-REQ-03778</v>
      </c>
      <c r="B3779" s="11">
        <f>IFERROR(__xludf.DUMMYFUNCTION("""COMPUTED_VALUE"""),46030.212807799406)</f>
        <v>46030.21281</v>
      </c>
      <c r="C3779" s="9">
        <f>IFERROR(__xludf.DUMMYFUNCTION("""COMPUTED_VALUE"""),14633.0)</f>
        <v>14633</v>
      </c>
      <c r="D3779" s="9" t="str">
        <f>IFERROR(__xludf.DUMMYFUNCTION("""COMPUTED_VALUE"""),"Completed")</f>
        <v>Completed</v>
      </c>
    </row>
    <row r="3780">
      <c r="A3780" s="9" t="str">
        <f>IFERROR(__xludf.DUMMYFUNCTION("""COMPUTED_VALUE"""),"G-REQ-03779")</f>
        <v>G-REQ-03779</v>
      </c>
      <c r="B3780" s="11">
        <f>IFERROR(__xludf.DUMMYFUNCTION("""COMPUTED_VALUE"""),46030.27703820038)</f>
        <v>46030.27704</v>
      </c>
      <c r="C3780" s="9">
        <f>IFERROR(__xludf.DUMMYFUNCTION("""COMPUTED_VALUE"""),14635.0)</f>
        <v>14635</v>
      </c>
      <c r="D3780" s="9" t="str">
        <f>IFERROR(__xludf.DUMMYFUNCTION("""COMPUTED_VALUE"""),"Rejected")</f>
        <v>Rejected</v>
      </c>
    </row>
    <row r="3781">
      <c r="A3781" s="9" t="str">
        <f>IFERROR(__xludf.DUMMYFUNCTION("""COMPUTED_VALUE"""),"G-REQ-03780")</f>
        <v>G-REQ-03780</v>
      </c>
      <c r="B3781" s="11">
        <f>IFERROR(__xludf.DUMMYFUNCTION("""COMPUTED_VALUE"""),46030.35515749024)</f>
        <v>46030.35516</v>
      </c>
      <c r="C3781" s="9">
        <f>IFERROR(__xludf.DUMMYFUNCTION("""COMPUTED_VALUE"""),14639.0)</f>
        <v>14639</v>
      </c>
      <c r="D3781" s="9" t="str">
        <f>IFERROR(__xludf.DUMMYFUNCTION("""COMPUTED_VALUE"""),"Completed")</f>
        <v>Completed</v>
      </c>
    </row>
    <row r="3782">
      <c r="A3782" s="9" t="str">
        <f>IFERROR(__xludf.DUMMYFUNCTION("""COMPUTED_VALUE"""),"G-REQ-03781")</f>
        <v>G-REQ-03781</v>
      </c>
      <c r="B3782" s="11">
        <f>IFERROR(__xludf.DUMMYFUNCTION("""COMPUTED_VALUE"""),46030.42633233566)</f>
        <v>46030.42633</v>
      </c>
      <c r="C3782" s="9">
        <f>IFERROR(__xludf.DUMMYFUNCTION("""COMPUTED_VALUE"""),14643.0)</f>
        <v>14643</v>
      </c>
      <c r="D3782" s="9" t="str">
        <f>IFERROR(__xludf.DUMMYFUNCTION("""COMPUTED_VALUE"""),"Completed")</f>
        <v>Completed</v>
      </c>
    </row>
    <row r="3783">
      <c r="A3783" s="9" t="str">
        <f>IFERROR(__xludf.DUMMYFUNCTION("""COMPUTED_VALUE"""),"G-REQ-03782")</f>
        <v>G-REQ-03782</v>
      </c>
      <c r="B3783" s="11">
        <f>IFERROR(__xludf.DUMMYFUNCTION("""COMPUTED_VALUE"""),46030.49750718106)</f>
        <v>46030.49751</v>
      </c>
      <c r="C3783" s="9">
        <f>IFERROR(__xludf.DUMMYFUNCTION("""COMPUTED_VALUE"""),14647.0)</f>
        <v>14647</v>
      </c>
      <c r="D3783" s="9" t="str">
        <f>IFERROR(__xludf.DUMMYFUNCTION("""COMPUTED_VALUE"""),"Completed")</f>
        <v>Completed</v>
      </c>
    </row>
    <row r="3784">
      <c r="A3784" s="9" t="str">
        <f>IFERROR(__xludf.DUMMYFUNCTION("""COMPUTED_VALUE"""),"G-REQ-03783")</f>
        <v>G-REQ-03783</v>
      </c>
      <c r="B3784" s="11">
        <f>IFERROR(__xludf.DUMMYFUNCTION("""COMPUTED_VALUE"""),46030.56868202648)</f>
        <v>46030.56868</v>
      </c>
      <c r="C3784" s="9">
        <f>IFERROR(__xludf.DUMMYFUNCTION("""COMPUTED_VALUE"""),14651.0)</f>
        <v>14651</v>
      </c>
      <c r="D3784" s="9" t="str">
        <f>IFERROR(__xludf.DUMMYFUNCTION("""COMPUTED_VALUE"""),"Completed")</f>
        <v>Completed</v>
      </c>
    </row>
    <row r="3785">
      <c r="A3785" s="9" t="str">
        <f>IFERROR(__xludf.DUMMYFUNCTION("""COMPUTED_VALUE"""),"G-REQ-03784")</f>
        <v>G-REQ-03784</v>
      </c>
      <c r="B3785" s="11">
        <f>IFERROR(__xludf.DUMMYFUNCTION("""COMPUTED_VALUE"""),46030.632912427456)</f>
        <v>46030.63291</v>
      </c>
      <c r="C3785" s="9">
        <f>IFERROR(__xludf.DUMMYFUNCTION("""COMPUTED_VALUE"""),14653.0)</f>
        <v>14653</v>
      </c>
      <c r="D3785" s="9" t="str">
        <f>IFERROR(__xludf.DUMMYFUNCTION("""COMPUTED_VALUE"""),"Rejected")</f>
        <v>Rejected</v>
      </c>
    </row>
    <row r="3786">
      <c r="A3786" s="9" t="str">
        <f>IFERROR(__xludf.DUMMYFUNCTION("""COMPUTED_VALUE"""),"G-REQ-03785")</f>
        <v>G-REQ-03785</v>
      </c>
      <c r="B3786" s="11">
        <f>IFERROR(__xludf.DUMMYFUNCTION("""COMPUTED_VALUE"""),46030.711031717314)</f>
        <v>46030.71103</v>
      </c>
      <c r="C3786" s="9">
        <f>IFERROR(__xludf.DUMMYFUNCTION("""COMPUTED_VALUE"""),14657.0)</f>
        <v>14657</v>
      </c>
      <c r="D3786" s="9" t="str">
        <f>IFERROR(__xludf.DUMMYFUNCTION("""COMPUTED_VALUE"""),"Completed")</f>
        <v>Completed</v>
      </c>
    </row>
    <row r="3787">
      <c r="A3787" s="9" t="str">
        <f>IFERROR(__xludf.DUMMYFUNCTION("""COMPUTED_VALUE"""),"G-REQ-03786")</f>
        <v>G-REQ-03786</v>
      </c>
      <c r="B3787" s="11">
        <f>IFERROR(__xludf.DUMMYFUNCTION("""COMPUTED_VALUE"""),46030.782206562726)</f>
        <v>46030.78221</v>
      </c>
      <c r="C3787" s="9">
        <f>IFERROR(__xludf.DUMMYFUNCTION("""COMPUTED_VALUE"""),14661.0)</f>
        <v>14661</v>
      </c>
      <c r="D3787" s="9" t="str">
        <f>IFERROR(__xludf.DUMMYFUNCTION("""COMPUTED_VALUE"""),"Completed")</f>
        <v>Completed</v>
      </c>
    </row>
    <row r="3788">
      <c r="A3788" s="9" t="str">
        <f>IFERROR(__xludf.DUMMYFUNCTION("""COMPUTED_VALUE"""),"G-REQ-03787")</f>
        <v>G-REQ-03787</v>
      </c>
      <c r="B3788" s="11">
        <f>IFERROR(__xludf.DUMMYFUNCTION("""COMPUTED_VALUE"""),46030.853381408146)</f>
        <v>46030.85338</v>
      </c>
      <c r="C3788" s="9">
        <f>IFERROR(__xludf.DUMMYFUNCTION("""COMPUTED_VALUE"""),14665.0)</f>
        <v>14665</v>
      </c>
      <c r="D3788" s="9" t="str">
        <f>IFERROR(__xludf.DUMMYFUNCTION("""COMPUTED_VALUE"""),"Completed")</f>
        <v>Completed</v>
      </c>
    </row>
    <row r="3789">
      <c r="A3789" s="9" t="str">
        <f>IFERROR(__xludf.DUMMYFUNCTION("""COMPUTED_VALUE"""),"G-REQ-03788")</f>
        <v>G-REQ-03788</v>
      </c>
      <c r="B3789" s="11">
        <f>IFERROR(__xludf.DUMMYFUNCTION("""COMPUTED_VALUE"""),46030.92455625356)</f>
        <v>46030.92456</v>
      </c>
      <c r="C3789" s="9">
        <f>IFERROR(__xludf.DUMMYFUNCTION("""COMPUTED_VALUE"""),14669.0)</f>
        <v>14669</v>
      </c>
      <c r="D3789" s="9" t="str">
        <f>IFERROR(__xludf.DUMMYFUNCTION("""COMPUTED_VALUE"""),"Completed")</f>
        <v>Completed</v>
      </c>
    </row>
    <row r="3790">
      <c r="A3790" s="9" t="str">
        <f>IFERROR(__xludf.DUMMYFUNCTION("""COMPUTED_VALUE"""),"G-REQ-03789")</f>
        <v>G-REQ-03789</v>
      </c>
      <c r="B3790" s="11">
        <f>IFERROR(__xludf.DUMMYFUNCTION("""COMPUTED_VALUE"""),46030.99573109897)</f>
        <v>46030.99573</v>
      </c>
      <c r="C3790" s="9">
        <f>IFERROR(__xludf.DUMMYFUNCTION("""COMPUTED_VALUE"""),14673.0)</f>
        <v>14673</v>
      </c>
      <c r="D3790" s="9" t="str">
        <f>IFERROR(__xludf.DUMMYFUNCTION("""COMPUTED_VALUE"""),"Completed")</f>
        <v>Completed</v>
      </c>
    </row>
    <row r="3791">
      <c r="A3791" s="9" t="str">
        <f>IFERROR(__xludf.DUMMYFUNCTION("""COMPUTED_VALUE"""),"G-REQ-03790")</f>
        <v>G-REQ-03790</v>
      </c>
      <c r="B3791" s="11">
        <f>IFERROR(__xludf.DUMMYFUNCTION("""COMPUTED_VALUE"""),46031.06690594439)</f>
        <v>46031.06691</v>
      </c>
      <c r="C3791" s="9">
        <f>IFERROR(__xludf.DUMMYFUNCTION("""COMPUTED_VALUE"""),14677.0)</f>
        <v>14677</v>
      </c>
      <c r="D3791" s="9" t="str">
        <f>IFERROR(__xludf.DUMMYFUNCTION("""COMPUTED_VALUE"""),"Completed")</f>
        <v>Completed</v>
      </c>
    </row>
    <row r="3792">
      <c r="A3792" s="9" t="str">
        <f>IFERROR(__xludf.DUMMYFUNCTION("""COMPUTED_VALUE"""),"G-REQ-03791")</f>
        <v>G-REQ-03791</v>
      </c>
      <c r="B3792" s="11">
        <f>IFERROR(__xludf.DUMMYFUNCTION("""COMPUTED_VALUE"""),46031.13808078981)</f>
        <v>46031.13808</v>
      </c>
      <c r="C3792" s="9">
        <f>IFERROR(__xludf.DUMMYFUNCTION("""COMPUTED_VALUE"""),14681.0)</f>
        <v>14681</v>
      </c>
      <c r="D3792" s="9" t="str">
        <f>IFERROR(__xludf.DUMMYFUNCTION("""COMPUTED_VALUE"""),"Completed")</f>
        <v>Completed</v>
      </c>
    </row>
    <row r="3793">
      <c r="A3793" s="9" t="str">
        <f>IFERROR(__xludf.DUMMYFUNCTION("""COMPUTED_VALUE"""),"G-REQ-03792")</f>
        <v>G-REQ-03792</v>
      </c>
      <c r="B3793" s="11">
        <f>IFERROR(__xludf.DUMMYFUNCTION("""COMPUTED_VALUE"""),46031.209255635215)</f>
        <v>46031.20926</v>
      </c>
      <c r="C3793" s="9">
        <f>IFERROR(__xludf.DUMMYFUNCTION("""COMPUTED_VALUE"""),14685.0)</f>
        <v>14685</v>
      </c>
      <c r="D3793" s="9" t="str">
        <f>IFERROR(__xludf.DUMMYFUNCTION("""COMPUTED_VALUE"""),"Completed")</f>
        <v>Completed</v>
      </c>
    </row>
    <row r="3794">
      <c r="A3794" s="9" t="str">
        <f>IFERROR(__xludf.DUMMYFUNCTION("""COMPUTED_VALUE"""),"G-REQ-03793")</f>
        <v>G-REQ-03793</v>
      </c>
      <c r="B3794" s="11">
        <f>IFERROR(__xludf.DUMMYFUNCTION("""COMPUTED_VALUE"""),46031.280430480634)</f>
        <v>46031.28043</v>
      </c>
      <c r="C3794" s="9">
        <f>IFERROR(__xludf.DUMMYFUNCTION("""COMPUTED_VALUE"""),14689.0)</f>
        <v>14689</v>
      </c>
      <c r="D3794" s="9" t="str">
        <f>IFERROR(__xludf.DUMMYFUNCTION("""COMPUTED_VALUE"""),"Completed")</f>
        <v>Completed</v>
      </c>
    </row>
    <row r="3795">
      <c r="A3795" s="9" t="str">
        <f>IFERROR(__xludf.DUMMYFUNCTION("""COMPUTED_VALUE"""),"G-REQ-03794")</f>
        <v>G-REQ-03794</v>
      </c>
      <c r="B3795" s="11">
        <f>IFERROR(__xludf.DUMMYFUNCTION("""COMPUTED_VALUE"""),46031.351605326054)</f>
        <v>46031.35161</v>
      </c>
      <c r="C3795" s="9">
        <f>IFERROR(__xludf.DUMMYFUNCTION("""COMPUTED_VALUE"""),14693.0)</f>
        <v>14693</v>
      </c>
      <c r="D3795" s="9" t="str">
        <f>IFERROR(__xludf.DUMMYFUNCTION("""COMPUTED_VALUE"""),"Completed")</f>
        <v>Completed</v>
      </c>
    </row>
    <row r="3796">
      <c r="A3796" s="9" t="str">
        <f>IFERROR(__xludf.DUMMYFUNCTION("""COMPUTED_VALUE"""),"G-REQ-03795")</f>
        <v>G-REQ-03795</v>
      </c>
      <c r="B3796" s="11">
        <f>IFERROR(__xludf.DUMMYFUNCTION("""COMPUTED_VALUE"""),46031.422780171466)</f>
        <v>46031.42278</v>
      </c>
      <c r="C3796" s="9">
        <f>IFERROR(__xludf.DUMMYFUNCTION("""COMPUTED_VALUE"""),14697.0)</f>
        <v>14697</v>
      </c>
      <c r="D3796" s="9" t="str">
        <f>IFERROR(__xludf.DUMMYFUNCTION("""COMPUTED_VALUE"""),"Completed")</f>
        <v>Completed</v>
      </c>
    </row>
    <row r="3797">
      <c r="A3797" s="9" t="str">
        <f>IFERROR(__xludf.DUMMYFUNCTION("""COMPUTED_VALUE"""),"G-REQ-03796")</f>
        <v>G-REQ-03796</v>
      </c>
      <c r="B3797" s="11">
        <f>IFERROR(__xludf.DUMMYFUNCTION("""COMPUTED_VALUE"""),46031.49395501688)</f>
        <v>46031.49396</v>
      </c>
      <c r="C3797" s="9">
        <f>IFERROR(__xludf.DUMMYFUNCTION("""COMPUTED_VALUE"""),14701.0)</f>
        <v>14701</v>
      </c>
      <c r="D3797" s="9" t="str">
        <f>IFERROR(__xludf.DUMMYFUNCTION("""COMPUTED_VALUE"""),"Completed")</f>
        <v>Completed</v>
      </c>
    </row>
    <row r="3798">
      <c r="A3798" s="9" t="str">
        <f>IFERROR(__xludf.DUMMYFUNCTION("""COMPUTED_VALUE"""),"G-REQ-03797")</f>
        <v>G-REQ-03797</v>
      </c>
      <c r="B3798" s="11">
        <f>IFERROR(__xludf.DUMMYFUNCTION("""COMPUTED_VALUE"""),46031.5651298623)</f>
        <v>46031.56513</v>
      </c>
      <c r="C3798" s="9">
        <f>IFERROR(__xludf.DUMMYFUNCTION("""COMPUTED_VALUE"""),14705.0)</f>
        <v>14705</v>
      </c>
      <c r="D3798" s="9" t="str">
        <f>IFERROR(__xludf.DUMMYFUNCTION("""COMPUTED_VALUE"""),"Completed")</f>
        <v>Completed</v>
      </c>
    </row>
    <row r="3799">
      <c r="A3799" s="9" t="str">
        <f>IFERROR(__xludf.DUMMYFUNCTION("""COMPUTED_VALUE"""),"G-REQ-03798")</f>
        <v>G-REQ-03798</v>
      </c>
      <c r="B3799" s="11">
        <f>IFERROR(__xludf.DUMMYFUNCTION("""COMPUTED_VALUE"""),46031.63630470771)</f>
        <v>46031.6363</v>
      </c>
      <c r="C3799" s="9">
        <f>IFERROR(__xludf.DUMMYFUNCTION("""COMPUTED_VALUE"""),14709.0)</f>
        <v>14709</v>
      </c>
      <c r="D3799" s="9" t="str">
        <f>IFERROR(__xludf.DUMMYFUNCTION("""COMPUTED_VALUE"""),"Completed")</f>
        <v>Completed</v>
      </c>
    </row>
    <row r="3800">
      <c r="A3800" s="9" t="str">
        <f>IFERROR(__xludf.DUMMYFUNCTION("""COMPUTED_VALUE"""),"G-REQ-03799")</f>
        <v>G-REQ-03799</v>
      </c>
      <c r="B3800" s="11">
        <f>IFERROR(__xludf.DUMMYFUNCTION("""COMPUTED_VALUE"""),46031.70747955312)</f>
        <v>46031.70748</v>
      </c>
      <c r="C3800" s="9">
        <f>IFERROR(__xludf.DUMMYFUNCTION("""COMPUTED_VALUE"""),14713.0)</f>
        <v>14713</v>
      </c>
      <c r="D3800" s="9" t="str">
        <f>IFERROR(__xludf.DUMMYFUNCTION("""COMPUTED_VALUE"""),"Completed")</f>
        <v>Completed</v>
      </c>
    </row>
    <row r="3801">
      <c r="A3801" s="9" t="str">
        <f>IFERROR(__xludf.DUMMYFUNCTION("""COMPUTED_VALUE"""),"G-REQ-03800")</f>
        <v>G-REQ-03800</v>
      </c>
      <c r="B3801" s="11">
        <f>IFERROR(__xludf.DUMMYFUNCTION("""COMPUTED_VALUE"""),46031.77865439854)</f>
        <v>46031.77865</v>
      </c>
      <c r="C3801" s="9">
        <f>IFERROR(__xludf.DUMMYFUNCTION("""COMPUTED_VALUE"""),14717.0)</f>
        <v>14717</v>
      </c>
      <c r="D3801" s="9" t="str">
        <f>IFERROR(__xludf.DUMMYFUNCTION("""COMPUTED_VALUE"""),"Completed")</f>
        <v>Completed</v>
      </c>
    </row>
    <row r="3802">
      <c r="A3802" s="9" t="str">
        <f>IFERROR(__xludf.DUMMYFUNCTION("""COMPUTED_VALUE"""),"G-REQ-03801")</f>
        <v>G-REQ-03801</v>
      </c>
      <c r="B3802" s="11">
        <f>IFERROR(__xludf.DUMMYFUNCTION("""COMPUTED_VALUE"""),46031.849829243954)</f>
        <v>46031.84983</v>
      </c>
      <c r="C3802" s="9">
        <f>IFERROR(__xludf.DUMMYFUNCTION("""COMPUTED_VALUE"""),14721.0)</f>
        <v>14721</v>
      </c>
      <c r="D3802" s="9" t="str">
        <f>IFERROR(__xludf.DUMMYFUNCTION("""COMPUTED_VALUE"""),"Completed")</f>
        <v>Completed</v>
      </c>
    </row>
    <row r="3803">
      <c r="A3803" s="9" t="str">
        <f>IFERROR(__xludf.DUMMYFUNCTION("""COMPUTED_VALUE"""),"G-REQ-03802")</f>
        <v>G-REQ-03802</v>
      </c>
      <c r="B3803" s="11">
        <f>IFERROR(__xludf.DUMMYFUNCTION("""COMPUTED_VALUE"""),46031.92100408937)</f>
        <v>46031.921</v>
      </c>
      <c r="C3803" s="9">
        <f>IFERROR(__xludf.DUMMYFUNCTION("""COMPUTED_VALUE"""),14725.0)</f>
        <v>14725</v>
      </c>
      <c r="D3803" s="9" t="str">
        <f>IFERROR(__xludf.DUMMYFUNCTION("""COMPUTED_VALUE"""),"Completed")</f>
        <v>Completed</v>
      </c>
    </row>
    <row r="3804">
      <c r="A3804" s="9" t="str">
        <f>IFERROR(__xludf.DUMMYFUNCTION("""COMPUTED_VALUE"""),"G-REQ-03803")</f>
        <v>G-REQ-03803</v>
      </c>
      <c r="B3804" s="11">
        <f>IFERROR(__xludf.DUMMYFUNCTION("""COMPUTED_VALUE"""),46031.992178934786)</f>
        <v>46031.99218</v>
      </c>
      <c r="C3804" s="9">
        <f>IFERROR(__xludf.DUMMYFUNCTION("""COMPUTED_VALUE"""),14729.0)</f>
        <v>14729</v>
      </c>
      <c r="D3804" s="9" t="str">
        <f>IFERROR(__xludf.DUMMYFUNCTION("""COMPUTED_VALUE"""),"Completed")</f>
        <v>Completed</v>
      </c>
    </row>
    <row r="3805">
      <c r="A3805" s="9" t="str">
        <f>IFERROR(__xludf.DUMMYFUNCTION("""COMPUTED_VALUE"""),"G-REQ-03804")</f>
        <v>G-REQ-03804</v>
      </c>
      <c r="B3805" s="11">
        <f>IFERROR(__xludf.DUMMYFUNCTION("""COMPUTED_VALUE"""),46032.0633537802)</f>
        <v>46032.06335</v>
      </c>
      <c r="C3805" s="9">
        <f>IFERROR(__xludf.DUMMYFUNCTION("""COMPUTED_VALUE"""),14733.0)</f>
        <v>14733</v>
      </c>
      <c r="D3805" s="9" t="str">
        <f>IFERROR(__xludf.DUMMYFUNCTION("""COMPUTED_VALUE"""),"Completed")</f>
        <v>Completed</v>
      </c>
    </row>
    <row r="3806">
      <c r="A3806" s="9" t="str">
        <f>IFERROR(__xludf.DUMMYFUNCTION("""COMPUTED_VALUE"""),"G-REQ-03805")</f>
        <v>G-REQ-03805</v>
      </c>
      <c r="B3806" s="11">
        <f>IFERROR(__xludf.DUMMYFUNCTION("""COMPUTED_VALUE"""),46032.13452862561)</f>
        <v>46032.13453</v>
      </c>
      <c r="C3806" s="9">
        <f>IFERROR(__xludf.DUMMYFUNCTION("""COMPUTED_VALUE"""),14737.0)</f>
        <v>14737</v>
      </c>
      <c r="D3806" s="9" t="str">
        <f>IFERROR(__xludf.DUMMYFUNCTION("""COMPUTED_VALUE"""),"Completed")</f>
        <v>Completed</v>
      </c>
    </row>
    <row r="3807">
      <c r="A3807" s="9" t="str">
        <f>IFERROR(__xludf.DUMMYFUNCTION("""COMPUTED_VALUE"""),"G-REQ-03806")</f>
        <v>G-REQ-03806</v>
      </c>
      <c r="B3807" s="11">
        <f>IFERROR(__xludf.DUMMYFUNCTION("""COMPUTED_VALUE"""),46032.20570347103)</f>
        <v>46032.2057</v>
      </c>
      <c r="C3807" s="9">
        <f>IFERROR(__xludf.DUMMYFUNCTION("""COMPUTED_VALUE"""),14741.0)</f>
        <v>14741</v>
      </c>
      <c r="D3807" s="9" t="str">
        <f>IFERROR(__xludf.DUMMYFUNCTION("""COMPUTED_VALUE"""),"Completed")</f>
        <v>Completed</v>
      </c>
    </row>
    <row r="3808">
      <c r="A3808" s="9" t="str">
        <f>IFERROR(__xludf.DUMMYFUNCTION("""COMPUTED_VALUE"""),"G-REQ-03807")</f>
        <v>G-REQ-03807</v>
      </c>
      <c r="B3808" s="11">
        <f>IFERROR(__xludf.DUMMYFUNCTION("""COMPUTED_VALUE"""),46032.27687831645)</f>
        <v>46032.27688</v>
      </c>
      <c r="C3808" s="9">
        <f>IFERROR(__xludf.DUMMYFUNCTION("""COMPUTED_VALUE"""),14745.0)</f>
        <v>14745</v>
      </c>
      <c r="D3808" s="9" t="str">
        <f>IFERROR(__xludf.DUMMYFUNCTION("""COMPUTED_VALUE"""),"Completed")</f>
        <v>Completed</v>
      </c>
    </row>
    <row r="3809">
      <c r="A3809" s="9" t="str">
        <f>IFERROR(__xludf.DUMMYFUNCTION("""COMPUTED_VALUE"""),"G-REQ-03808")</f>
        <v>G-REQ-03808</v>
      </c>
      <c r="B3809" s="11">
        <f>IFERROR(__xludf.DUMMYFUNCTION("""COMPUTED_VALUE"""),46032.34110871741)</f>
        <v>46032.34111</v>
      </c>
      <c r="C3809" s="9">
        <f>IFERROR(__xludf.DUMMYFUNCTION("""COMPUTED_VALUE"""),14747.0)</f>
        <v>14747</v>
      </c>
      <c r="D3809" s="9" t="str">
        <f>IFERROR(__xludf.DUMMYFUNCTION("""COMPUTED_VALUE"""),"Rejected")</f>
        <v>Rejected</v>
      </c>
    </row>
    <row r="3810">
      <c r="A3810" s="9" t="str">
        <f>IFERROR(__xludf.DUMMYFUNCTION("""COMPUTED_VALUE"""),"G-REQ-03809")</f>
        <v>G-REQ-03809</v>
      </c>
      <c r="B3810" s="11">
        <f>IFERROR(__xludf.DUMMYFUNCTION("""COMPUTED_VALUE"""),46032.41228356283)</f>
        <v>46032.41228</v>
      </c>
      <c r="C3810" s="9">
        <f>IFERROR(__xludf.DUMMYFUNCTION("""COMPUTED_VALUE"""),14749.0)</f>
        <v>14749</v>
      </c>
      <c r="D3810" s="9" t="str">
        <f>IFERROR(__xludf.DUMMYFUNCTION("""COMPUTED_VALUE"""),"Rejected")</f>
        <v>Rejected</v>
      </c>
    </row>
    <row r="3811">
      <c r="A3811" s="9" t="str">
        <f>IFERROR(__xludf.DUMMYFUNCTION("""COMPUTED_VALUE"""),"G-REQ-03810")</f>
        <v>G-REQ-03810</v>
      </c>
      <c r="B3811" s="11">
        <f>IFERROR(__xludf.DUMMYFUNCTION("""COMPUTED_VALUE"""),46032.490402852694)</f>
        <v>46032.4904</v>
      </c>
      <c r="C3811" s="9">
        <f>IFERROR(__xludf.DUMMYFUNCTION("""COMPUTED_VALUE"""),14753.0)</f>
        <v>14753</v>
      </c>
      <c r="D3811" s="9" t="str">
        <f>IFERROR(__xludf.DUMMYFUNCTION("""COMPUTED_VALUE"""),"Completed")</f>
        <v>Completed</v>
      </c>
    </row>
    <row r="3812">
      <c r="A3812" s="9" t="str">
        <f>IFERROR(__xludf.DUMMYFUNCTION("""COMPUTED_VALUE"""),"G-REQ-03811")</f>
        <v>G-REQ-03811</v>
      </c>
      <c r="B3812" s="11">
        <f>IFERROR(__xludf.DUMMYFUNCTION("""COMPUTED_VALUE"""),46032.56157769811)</f>
        <v>46032.56158</v>
      </c>
      <c r="C3812" s="9">
        <f>IFERROR(__xludf.DUMMYFUNCTION("""COMPUTED_VALUE"""),14757.0)</f>
        <v>14757</v>
      </c>
      <c r="D3812" s="9" t="str">
        <f>IFERROR(__xludf.DUMMYFUNCTION("""COMPUTED_VALUE"""),"Completed")</f>
        <v>Completed</v>
      </c>
    </row>
    <row r="3813">
      <c r="A3813" s="9" t="str">
        <f>IFERROR(__xludf.DUMMYFUNCTION("""COMPUTED_VALUE"""),"G-REQ-03812")</f>
        <v>G-REQ-03812</v>
      </c>
      <c r="B3813" s="11">
        <f>IFERROR(__xludf.DUMMYFUNCTION("""COMPUTED_VALUE"""),46032.625808099074)</f>
        <v>46032.62581</v>
      </c>
      <c r="C3813" s="9">
        <f>IFERROR(__xludf.DUMMYFUNCTION("""COMPUTED_VALUE"""),14759.0)</f>
        <v>14759</v>
      </c>
      <c r="D3813" s="9" t="str">
        <f>IFERROR(__xludf.DUMMYFUNCTION("""COMPUTED_VALUE"""),"Rejected")</f>
        <v>Rejected</v>
      </c>
    </row>
    <row r="3814">
      <c r="A3814" s="9" t="str">
        <f>IFERROR(__xludf.DUMMYFUNCTION("""COMPUTED_VALUE"""),"G-REQ-03813")</f>
        <v>G-REQ-03813</v>
      </c>
      <c r="B3814" s="11">
        <f>IFERROR(__xludf.DUMMYFUNCTION("""COMPUTED_VALUE"""),46032.70392738894)</f>
        <v>46032.70393</v>
      </c>
      <c r="C3814" s="9">
        <f>IFERROR(__xludf.DUMMYFUNCTION("""COMPUTED_VALUE"""),14763.0)</f>
        <v>14763</v>
      </c>
      <c r="D3814" s="9" t="str">
        <f>IFERROR(__xludf.DUMMYFUNCTION("""COMPUTED_VALUE"""),"Completed")</f>
        <v>Completed</v>
      </c>
    </row>
    <row r="3815">
      <c r="A3815" s="9" t="str">
        <f>IFERROR(__xludf.DUMMYFUNCTION("""COMPUTED_VALUE"""),"G-REQ-03814")</f>
        <v>G-REQ-03814</v>
      </c>
      <c r="B3815" s="11">
        <f>IFERROR(__xludf.DUMMYFUNCTION("""COMPUTED_VALUE"""),46032.77510223435)</f>
        <v>46032.7751</v>
      </c>
      <c r="C3815" s="9">
        <f>IFERROR(__xludf.DUMMYFUNCTION("""COMPUTED_VALUE"""),14767.0)</f>
        <v>14767</v>
      </c>
      <c r="D3815" s="9" t="str">
        <f>IFERROR(__xludf.DUMMYFUNCTION("""COMPUTED_VALUE"""),"Completed")</f>
        <v>Completed</v>
      </c>
    </row>
    <row r="3816">
      <c r="A3816" s="9" t="str">
        <f>IFERROR(__xludf.DUMMYFUNCTION("""COMPUTED_VALUE"""),"G-REQ-03815")</f>
        <v>G-REQ-03815</v>
      </c>
      <c r="B3816" s="11">
        <f>IFERROR(__xludf.DUMMYFUNCTION("""COMPUTED_VALUE"""),46032.84627707976)</f>
        <v>46032.84628</v>
      </c>
      <c r="C3816" s="9">
        <f>IFERROR(__xludf.DUMMYFUNCTION("""COMPUTED_VALUE"""),14771.0)</f>
        <v>14771</v>
      </c>
      <c r="D3816" s="9" t="str">
        <f>IFERROR(__xludf.DUMMYFUNCTION("""COMPUTED_VALUE"""),"Completed")</f>
        <v>Completed</v>
      </c>
    </row>
    <row r="3817">
      <c r="A3817" s="9" t="str">
        <f>IFERROR(__xludf.DUMMYFUNCTION("""COMPUTED_VALUE"""),"G-REQ-03816")</f>
        <v>G-REQ-03816</v>
      </c>
      <c r="B3817" s="11">
        <f>IFERROR(__xludf.DUMMYFUNCTION("""COMPUTED_VALUE"""),46032.91745192518)</f>
        <v>46032.91745</v>
      </c>
      <c r="C3817" s="9">
        <f>IFERROR(__xludf.DUMMYFUNCTION("""COMPUTED_VALUE"""),14775.0)</f>
        <v>14775</v>
      </c>
      <c r="D3817" s="9" t="str">
        <f>IFERROR(__xludf.DUMMYFUNCTION("""COMPUTED_VALUE"""),"Completed")</f>
        <v>Completed</v>
      </c>
    </row>
    <row r="3818">
      <c r="A3818" s="9" t="str">
        <f>IFERROR(__xludf.DUMMYFUNCTION("""COMPUTED_VALUE"""),"G-REQ-03817")</f>
        <v>G-REQ-03817</v>
      </c>
      <c r="B3818" s="11">
        <f>IFERROR(__xludf.DUMMYFUNCTION("""COMPUTED_VALUE"""),46032.988626770595)</f>
        <v>46032.98863</v>
      </c>
      <c r="C3818" s="9">
        <f>IFERROR(__xludf.DUMMYFUNCTION("""COMPUTED_VALUE"""),14779.0)</f>
        <v>14779</v>
      </c>
      <c r="D3818" s="9" t="str">
        <f>IFERROR(__xludf.DUMMYFUNCTION("""COMPUTED_VALUE"""),"Completed")</f>
        <v>Completed</v>
      </c>
    </row>
    <row r="3819">
      <c r="A3819" s="9" t="str">
        <f>IFERROR(__xludf.DUMMYFUNCTION("""COMPUTED_VALUE"""),"G-REQ-03818")</f>
        <v>G-REQ-03818</v>
      </c>
      <c r="B3819" s="11">
        <f>IFERROR(__xludf.DUMMYFUNCTION("""COMPUTED_VALUE"""),46033.05980161601)</f>
        <v>46033.0598</v>
      </c>
      <c r="C3819" s="9">
        <f>IFERROR(__xludf.DUMMYFUNCTION("""COMPUTED_VALUE"""),14783.0)</f>
        <v>14783</v>
      </c>
      <c r="D3819" s="9" t="str">
        <f>IFERROR(__xludf.DUMMYFUNCTION("""COMPUTED_VALUE"""),"Completed")</f>
        <v>Completed</v>
      </c>
    </row>
    <row r="3820">
      <c r="A3820" s="9" t="str">
        <f>IFERROR(__xludf.DUMMYFUNCTION("""COMPUTED_VALUE"""),"G-REQ-03819")</f>
        <v>G-REQ-03819</v>
      </c>
      <c r="B3820" s="11">
        <f>IFERROR(__xludf.DUMMYFUNCTION("""COMPUTED_VALUE"""),46033.13097646143)</f>
        <v>46033.13098</v>
      </c>
      <c r="C3820" s="9">
        <f>IFERROR(__xludf.DUMMYFUNCTION("""COMPUTED_VALUE"""),14787.0)</f>
        <v>14787</v>
      </c>
      <c r="D3820" s="9" t="str">
        <f>IFERROR(__xludf.DUMMYFUNCTION("""COMPUTED_VALUE"""),"Completed")</f>
        <v>Completed</v>
      </c>
    </row>
    <row r="3821">
      <c r="A3821" s="9" t="str">
        <f>IFERROR(__xludf.DUMMYFUNCTION("""COMPUTED_VALUE"""),"G-REQ-03820")</f>
        <v>G-REQ-03820</v>
      </c>
      <c r="B3821" s="11">
        <f>IFERROR(__xludf.DUMMYFUNCTION("""COMPUTED_VALUE"""),46033.195206862394)</f>
        <v>46033.19521</v>
      </c>
      <c r="C3821" s="9">
        <f>IFERROR(__xludf.DUMMYFUNCTION("""COMPUTED_VALUE"""),14789.0)</f>
        <v>14789</v>
      </c>
      <c r="D3821" s="9" t="str">
        <f>IFERROR(__xludf.DUMMYFUNCTION("""COMPUTED_VALUE"""),"Rejected")</f>
        <v>Rejected</v>
      </c>
    </row>
    <row r="3822">
      <c r="A3822" s="9" t="str">
        <f>IFERROR(__xludf.DUMMYFUNCTION("""COMPUTED_VALUE"""),"G-REQ-03821")</f>
        <v>G-REQ-03821</v>
      </c>
      <c r="B3822" s="11">
        <f>IFERROR(__xludf.DUMMYFUNCTION("""COMPUTED_VALUE"""),46033.26638170781)</f>
        <v>46033.26638</v>
      </c>
      <c r="C3822" s="9">
        <f>IFERROR(__xludf.DUMMYFUNCTION("""COMPUTED_VALUE"""),14791.0)</f>
        <v>14791</v>
      </c>
      <c r="D3822" s="9" t="str">
        <f>IFERROR(__xludf.DUMMYFUNCTION("""COMPUTED_VALUE"""),"Rejected")</f>
        <v>Rejected</v>
      </c>
    </row>
    <row r="3823">
      <c r="A3823" s="9" t="str">
        <f>IFERROR(__xludf.DUMMYFUNCTION("""COMPUTED_VALUE"""),"G-REQ-03822")</f>
        <v>G-REQ-03822</v>
      </c>
      <c r="B3823" s="11">
        <f>IFERROR(__xludf.DUMMYFUNCTION("""COMPUTED_VALUE"""),46033.34450099767)</f>
        <v>46033.3445</v>
      </c>
      <c r="C3823" s="9">
        <f>IFERROR(__xludf.DUMMYFUNCTION("""COMPUTED_VALUE"""),14795.0)</f>
        <v>14795</v>
      </c>
      <c r="D3823" s="9" t="str">
        <f>IFERROR(__xludf.DUMMYFUNCTION("""COMPUTED_VALUE"""),"Completed")</f>
        <v>Completed</v>
      </c>
    </row>
    <row r="3824">
      <c r="A3824" s="9" t="str">
        <f>IFERROR(__xludf.DUMMYFUNCTION("""COMPUTED_VALUE"""),"G-REQ-03823")</f>
        <v>G-REQ-03823</v>
      </c>
      <c r="B3824" s="11">
        <f>IFERROR(__xludf.DUMMYFUNCTION("""COMPUTED_VALUE"""),46033.41567584309)</f>
        <v>46033.41568</v>
      </c>
      <c r="C3824" s="9">
        <f>IFERROR(__xludf.DUMMYFUNCTION("""COMPUTED_VALUE"""),14799.0)</f>
        <v>14799</v>
      </c>
      <c r="D3824" s="9" t="str">
        <f>IFERROR(__xludf.DUMMYFUNCTION("""COMPUTED_VALUE"""),"Completed")</f>
        <v>Completed</v>
      </c>
    </row>
    <row r="3825">
      <c r="A3825" s="9" t="str">
        <f>IFERROR(__xludf.DUMMYFUNCTION("""COMPUTED_VALUE"""),"G-REQ-03824")</f>
        <v>G-REQ-03824</v>
      </c>
      <c r="B3825" s="11">
        <f>IFERROR(__xludf.DUMMYFUNCTION("""COMPUTED_VALUE"""),46033.486850688496)</f>
        <v>46033.48685</v>
      </c>
      <c r="C3825" s="9">
        <f>IFERROR(__xludf.DUMMYFUNCTION("""COMPUTED_VALUE"""),14803.0)</f>
        <v>14803</v>
      </c>
      <c r="D3825" s="9" t="str">
        <f>IFERROR(__xludf.DUMMYFUNCTION("""COMPUTED_VALUE"""),"Completed")</f>
        <v>Completed</v>
      </c>
    </row>
    <row r="3826">
      <c r="A3826" s="9" t="str">
        <f>IFERROR(__xludf.DUMMYFUNCTION("""COMPUTED_VALUE"""),"G-REQ-03825")</f>
        <v>G-REQ-03825</v>
      </c>
      <c r="B3826" s="11">
        <f>IFERROR(__xludf.DUMMYFUNCTION("""COMPUTED_VALUE"""),46033.558025533915)</f>
        <v>46033.55803</v>
      </c>
      <c r="C3826" s="9">
        <f>IFERROR(__xludf.DUMMYFUNCTION("""COMPUTED_VALUE"""),14807.0)</f>
        <v>14807</v>
      </c>
      <c r="D3826" s="9" t="str">
        <f>IFERROR(__xludf.DUMMYFUNCTION("""COMPUTED_VALUE"""),"Completed")</f>
        <v>Completed</v>
      </c>
    </row>
    <row r="3827">
      <c r="A3827" s="9" t="str">
        <f>IFERROR(__xludf.DUMMYFUNCTION("""COMPUTED_VALUE"""),"G-REQ-03826")</f>
        <v>G-REQ-03826</v>
      </c>
      <c r="B3827" s="11">
        <f>IFERROR(__xludf.DUMMYFUNCTION("""COMPUTED_VALUE"""),46033.629200379335)</f>
        <v>46033.6292</v>
      </c>
      <c r="C3827" s="9">
        <f>IFERROR(__xludf.DUMMYFUNCTION("""COMPUTED_VALUE"""),14811.0)</f>
        <v>14811</v>
      </c>
      <c r="D3827" s="9" t="str">
        <f>IFERROR(__xludf.DUMMYFUNCTION("""COMPUTED_VALUE"""),"Completed")</f>
        <v>Completed</v>
      </c>
    </row>
    <row r="3828">
      <c r="A3828" s="9" t="str">
        <f>IFERROR(__xludf.DUMMYFUNCTION("""COMPUTED_VALUE"""),"G-REQ-03827")</f>
        <v>G-REQ-03827</v>
      </c>
      <c r="B3828" s="11">
        <f>IFERROR(__xludf.DUMMYFUNCTION("""COMPUTED_VALUE"""),46033.6934307803)</f>
        <v>46033.69343</v>
      </c>
      <c r="C3828" s="9">
        <f>IFERROR(__xludf.DUMMYFUNCTION("""COMPUTED_VALUE"""),14813.0)</f>
        <v>14813</v>
      </c>
      <c r="D3828" s="9" t="str">
        <f>IFERROR(__xludf.DUMMYFUNCTION("""COMPUTED_VALUE"""),"Cancelled")</f>
        <v>Cancelled</v>
      </c>
    </row>
    <row r="3829">
      <c r="A3829" s="9" t="str">
        <f>IFERROR(__xludf.DUMMYFUNCTION("""COMPUTED_VALUE"""),"G-REQ-03828")</f>
        <v>G-REQ-03828</v>
      </c>
      <c r="B3829" s="11">
        <f>IFERROR(__xludf.DUMMYFUNCTION("""COMPUTED_VALUE"""),46033.77155007016)</f>
        <v>46033.77155</v>
      </c>
      <c r="C3829" s="9">
        <f>IFERROR(__xludf.DUMMYFUNCTION("""COMPUTED_VALUE"""),14817.0)</f>
        <v>14817</v>
      </c>
      <c r="D3829" s="9" t="str">
        <f>IFERROR(__xludf.DUMMYFUNCTION("""COMPUTED_VALUE"""),"Completed")</f>
        <v>Completed</v>
      </c>
    </row>
    <row r="3830">
      <c r="A3830" s="9" t="str">
        <f>IFERROR(__xludf.DUMMYFUNCTION("""COMPUTED_VALUE"""),"G-REQ-03829")</f>
        <v>G-REQ-03829</v>
      </c>
      <c r="B3830" s="11">
        <f>IFERROR(__xludf.DUMMYFUNCTION("""COMPUTED_VALUE"""),46033.84272491558)</f>
        <v>46033.84272</v>
      </c>
      <c r="C3830" s="9">
        <f>IFERROR(__xludf.DUMMYFUNCTION("""COMPUTED_VALUE"""),14821.0)</f>
        <v>14821</v>
      </c>
      <c r="D3830" s="9" t="str">
        <f>IFERROR(__xludf.DUMMYFUNCTION("""COMPUTED_VALUE"""),"Completed")</f>
        <v>Completed</v>
      </c>
    </row>
    <row r="3831">
      <c r="A3831" s="9" t="str">
        <f>IFERROR(__xludf.DUMMYFUNCTION("""COMPUTED_VALUE"""),"G-REQ-03830")</f>
        <v>G-REQ-03830</v>
      </c>
      <c r="B3831" s="11">
        <f>IFERROR(__xludf.DUMMYFUNCTION("""COMPUTED_VALUE"""),46033.91389976099)</f>
        <v>46033.9139</v>
      </c>
      <c r="C3831" s="9">
        <f>IFERROR(__xludf.DUMMYFUNCTION("""COMPUTED_VALUE"""),14825.0)</f>
        <v>14825</v>
      </c>
      <c r="D3831" s="9" t="str">
        <f>IFERROR(__xludf.DUMMYFUNCTION("""COMPUTED_VALUE"""),"Completed")</f>
        <v>Completed</v>
      </c>
    </row>
    <row r="3832">
      <c r="A3832" s="9" t="str">
        <f>IFERROR(__xludf.DUMMYFUNCTION("""COMPUTED_VALUE"""),"G-REQ-03831")</f>
        <v>G-REQ-03831</v>
      </c>
      <c r="B3832" s="11">
        <f>IFERROR(__xludf.DUMMYFUNCTION("""COMPUTED_VALUE"""),46033.97813016196)</f>
        <v>46033.97813</v>
      </c>
      <c r="C3832" s="9">
        <f>IFERROR(__xludf.DUMMYFUNCTION("""COMPUTED_VALUE"""),14827.0)</f>
        <v>14827</v>
      </c>
      <c r="D3832" s="9" t="str">
        <f>IFERROR(__xludf.DUMMYFUNCTION("""COMPUTED_VALUE"""),"Rejected")</f>
        <v>Rejected</v>
      </c>
    </row>
    <row r="3833">
      <c r="A3833" s="9" t="str">
        <f>IFERROR(__xludf.DUMMYFUNCTION("""COMPUTED_VALUE"""),"G-REQ-03832")</f>
        <v>G-REQ-03832</v>
      </c>
      <c r="B3833" s="11">
        <f>IFERROR(__xludf.DUMMYFUNCTION("""COMPUTED_VALUE"""),46034.05624945182)</f>
        <v>46034.05625</v>
      </c>
      <c r="C3833" s="9">
        <f>IFERROR(__xludf.DUMMYFUNCTION("""COMPUTED_VALUE"""),14831.0)</f>
        <v>14831</v>
      </c>
      <c r="D3833" s="9" t="str">
        <f>IFERROR(__xludf.DUMMYFUNCTION("""COMPUTED_VALUE"""),"Completed")</f>
        <v>Completed</v>
      </c>
    </row>
    <row r="3834">
      <c r="A3834" s="9" t="str">
        <f>IFERROR(__xludf.DUMMYFUNCTION("""COMPUTED_VALUE"""),"G-REQ-03833")</f>
        <v>G-REQ-03833</v>
      </c>
      <c r="B3834" s="11">
        <f>IFERROR(__xludf.DUMMYFUNCTION("""COMPUTED_VALUE"""),46034.127424297236)</f>
        <v>46034.12742</v>
      </c>
      <c r="C3834" s="9">
        <f>IFERROR(__xludf.DUMMYFUNCTION("""COMPUTED_VALUE"""),14835.0)</f>
        <v>14835</v>
      </c>
      <c r="D3834" s="9" t="str">
        <f>IFERROR(__xludf.DUMMYFUNCTION("""COMPUTED_VALUE"""),"Completed")</f>
        <v>Completed</v>
      </c>
    </row>
    <row r="3835">
      <c r="A3835" s="9" t="str">
        <f>IFERROR(__xludf.DUMMYFUNCTION("""COMPUTED_VALUE"""),"G-REQ-03834")</f>
        <v>G-REQ-03834</v>
      </c>
      <c r="B3835" s="11">
        <f>IFERROR(__xludf.DUMMYFUNCTION("""COMPUTED_VALUE"""),46034.19859914265)</f>
        <v>46034.1986</v>
      </c>
      <c r="C3835" s="9">
        <f>IFERROR(__xludf.DUMMYFUNCTION("""COMPUTED_VALUE"""),14839.0)</f>
        <v>14839</v>
      </c>
      <c r="D3835" s="9" t="str">
        <f>IFERROR(__xludf.DUMMYFUNCTION("""COMPUTED_VALUE"""),"Completed")</f>
        <v>Completed</v>
      </c>
    </row>
    <row r="3836">
      <c r="A3836" s="9" t="str">
        <f>IFERROR(__xludf.DUMMYFUNCTION("""COMPUTED_VALUE"""),"G-REQ-03835")</f>
        <v>G-REQ-03835</v>
      </c>
      <c r="B3836" s="11">
        <f>IFERROR(__xludf.DUMMYFUNCTION("""COMPUTED_VALUE"""),46034.26977398807)</f>
        <v>46034.26977</v>
      </c>
      <c r="C3836" s="9">
        <f>IFERROR(__xludf.DUMMYFUNCTION("""COMPUTED_VALUE"""),14843.0)</f>
        <v>14843</v>
      </c>
      <c r="D3836" s="9" t="str">
        <f>IFERROR(__xludf.DUMMYFUNCTION("""COMPUTED_VALUE"""),"Completed")</f>
        <v>Completed</v>
      </c>
    </row>
    <row r="3837">
      <c r="A3837" s="9" t="str">
        <f>IFERROR(__xludf.DUMMYFUNCTION("""COMPUTED_VALUE"""),"G-REQ-03836")</f>
        <v>G-REQ-03836</v>
      </c>
      <c r="B3837" s="11">
        <f>IFERROR(__xludf.DUMMYFUNCTION("""COMPUTED_VALUE"""),46034.34094883349)</f>
        <v>46034.34095</v>
      </c>
      <c r="C3837" s="9">
        <f>IFERROR(__xludf.DUMMYFUNCTION("""COMPUTED_VALUE"""),14847.0)</f>
        <v>14847</v>
      </c>
      <c r="D3837" s="9" t="str">
        <f>IFERROR(__xludf.DUMMYFUNCTION("""COMPUTED_VALUE"""),"Completed")</f>
        <v>Completed</v>
      </c>
    </row>
    <row r="3838">
      <c r="A3838" s="9" t="str">
        <f>IFERROR(__xludf.DUMMYFUNCTION("""COMPUTED_VALUE"""),"G-REQ-03837")</f>
        <v>G-REQ-03837</v>
      </c>
      <c r="B3838" s="11">
        <f>IFERROR(__xludf.DUMMYFUNCTION("""COMPUTED_VALUE"""),46034.41212367889)</f>
        <v>46034.41212</v>
      </c>
      <c r="C3838" s="9">
        <f>IFERROR(__xludf.DUMMYFUNCTION("""COMPUTED_VALUE"""),14851.0)</f>
        <v>14851</v>
      </c>
      <c r="D3838" s="9" t="str">
        <f>IFERROR(__xludf.DUMMYFUNCTION("""COMPUTED_VALUE"""),"Completed")</f>
        <v>Completed</v>
      </c>
    </row>
    <row r="3839">
      <c r="A3839" s="9" t="str">
        <f>IFERROR(__xludf.DUMMYFUNCTION("""COMPUTED_VALUE"""),"G-REQ-03838")</f>
        <v>G-REQ-03838</v>
      </c>
      <c r="B3839" s="11">
        <f>IFERROR(__xludf.DUMMYFUNCTION("""COMPUTED_VALUE"""),46034.48329852431)</f>
        <v>46034.4833</v>
      </c>
      <c r="C3839" s="9">
        <f>IFERROR(__xludf.DUMMYFUNCTION("""COMPUTED_VALUE"""),14855.0)</f>
        <v>14855</v>
      </c>
      <c r="D3839" s="9" t="str">
        <f>IFERROR(__xludf.DUMMYFUNCTION("""COMPUTED_VALUE"""),"Completed")</f>
        <v>Completed</v>
      </c>
    </row>
    <row r="3840">
      <c r="A3840" s="9" t="str">
        <f>IFERROR(__xludf.DUMMYFUNCTION("""COMPUTED_VALUE"""),"G-REQ-03839")</f>
        <v>G-REQ-03839</v>
      </c>
      <c r="B3840" s="11">
        <f>IFERROR(__xludf.DUMMYFUNCTION("""COMPUTED_VALUE"""),46034.55447336973)</f>
        <v>46034.55447</v>
      </c>
      <c r="C3840" s="9">
        <f>IFERROR(__xludf.DUMMYFUNCTION("""COMPUTED_VALUE"""),14859.0)</f>
        <v>14859</v>
      </c>
      <c r="D3840" s="9" t="str">
        <f>IFERROR(__xludf.DUMMYFUNCTION("""COMPUTED_VALUE"""),"Completed")</f>
        <v>Completed</v>
      </c>
    </row>
    <row r="3841">
      <c r="A3841" s="9" t="str">
        <f>IFERROR(__xludf.DUMMYFUNCTION("""COMPUTED_VALUE"""),"G-REQ-03840")</f>
        <v>G-REQ-03840</v>
      </c>
      <c r="B3841" s="11">
        <f>IFERROR(__xludf.DUMMYFUNCTION("""COMPUTED_VALUE"""),46034.625648215144)</f>
        <v>46034.62565</v>
      </c>
      <c r="C3841" s="9">
        <f>IFERROR(__xludf.DUMMYFUNCTION("""COMPUTED_VALUE"""),14863.0)</f>
        <v>14863</v>
      </c>
      <c r="D3841" s="9" t="str">
        <f>IFERROR(__xludf.DUMMYFUNCTION("""COMPUTED_VALUE"""),"Completed")</f>
        <v>Completed</v>
      </c>
    </row>
    <row r="3842">
      <c r="A3842" s="9" t="str">
        <f>IFERROR(__xludf.DUMMYFUNCTION("""COMPUTED_VALUE"""),"G-REQ-03841")</f>
        <v>G-REQ-03841</v>
      </c>
      <c r="B3842" s="11">
        <f>IFERROR(__xludf.DUMMYFUNCTION("""COMPUTED_VALUE"""),46034.68987861611)</f>
        <v>46034.68988</v>
      </c>
      <c r="C3842" s="9">
        <f>IFERROR(__xludf.DUMMYFUNCTION("""COMPUTED_VALUE"""),14865.0)</f>
        <v>14865</v>
      </c>
      <c r="D3842" s="9" t="str">
        <f>IFERROR(__xludf.DUMMYFUNCTION("""COMPUTED_VALUE"""),"Cancelled")</f>
        <v>Cancelled</v>
      </c>
    </row>
    <row r="3843">
      <c r="A3843" s="9" t="str">
        <f>IFERROR(__xludf.DUMMYFUNCTION("""COMPUTED_VALUE"""),"G-REQ-03842")</f>
        <v>G-REQ-03842</v>
      </c>
      <c r="B3843" s="11">
        <f>IFERROR(__xludf.DUMMYFUNCTION("""COMPUTED_VALUE"""),46034.767997905976)</f>
        <v>46034.768</v>
      </c>
      <c r="C3843" s="9">
        <f>IFERROR(__xludf.DUMMYFUNCTION("""COMPUTED_VALUE"""),14869.0)</f>
        <v>14869</v>
      </c>
      <c r="D3843" s="9" t="str">
        <f>IFERROR(__xludf.DUMMYFUNCTION("""COMPUTED_VALUE"""),"Completed")</f>
        <v>Completed</v>
      </c>
    </row>
    <row r="3844">
      <c r="A3844" s="9" t="str">
        <f>IFERROR(__xludf.DUMMYFUNCTION("""COMPUTED_VALUE"""),"G-REQ-03843")</f>
        <v>G-REQ-03843</v>
      </c>
      <c r="B3844" s="11">
        <f>IFERROR(__xludf.DUMMYFUNCTION("""COMPUTED_VALUE"""),46034.83222830694)</f>
        <v>46034.83223</v>
      </c>
      <c r="C3844" s="9">
        <f>IFERROR(__xludf.DUMMYFUNCTION("""COMPUTED_VALUE"""),14871.0)</f>
        <v>14871</v>
      </c>
      <c r="D3844" s="9" t="str">
        <f>IFERROR(__xludf.DUMMYFUNCTION("""COMPUTED_VALUE"""),"Cancelled")</f>
        <v>Cancelled</v>
      </c>
    </row>
    <row r="3845">
      <c r="A3845" s="9" t="str">
        <f>IFERROR(__xludf.DUMMYFUNCTION("""COMPUTED_VALUE"""),"G-REQ-03844")</f>
        <v>G-REQ-03844</v>
      </c>
      <c r="B3845" s="11">
        <f>IFERROR(__xludf.DUMMYFUNCTION("""COMPUTED_VALUE"""),46034.9103475968)</f>
        <v>46034.91035</v>
      </c>
      <c r="C3845" s="9">
        <f>IFERROR(__xludf.DUMMYFUNCTION("""COMPUTED_VALUE"""),14875.0)</f>
        <v>14875</v>
      </c>
      <c r="D3845" s="9" t="str">
        <f>IFERROR(__xludf.DUMMYFUNCTION("""COMPUTED_VALUE"""),"Completed")</f>
        <v>Completed</v>
      </c>
    </row>
    <row r="3846">
      <c r="A3846" s="9" t="str">
        <f>IFERROR(__xludf.DUMMYFUNCTION("""COMPUTED_VALUE"""),"G-REQ-03845")</f>
        <v>G-REQ-03845</v>
      </c>
      <c r="B3846" s="11">
        <f>IFERROR(__xludf.DUMMYFUNCTION("""COMPUTED_VALUE"""),46034.98152244222)</f>
        <v>46034.98152</v>
      </c>
      <c r="C3846" s="9">
        <f>IFERROR(__xludf.DUMMYFUNCTION("""COMPUTED_VALUE"""),14879.0)</f>
        <v>14879</v>
      </c>
      <c r="D3846" s="9" t="str">
        <f>IFERROR(__xludf.DUMMYFUNCTION("""COMPUTED_VALUE"""),"Completed")</f>
        <v>Completed</v>
      </c>
    </row>
    <row r="3847">
      <c r="A3847" s="9" t="str">
        <f>IFERROR(__xludf.DUMMYFUNCTION("""COMPUTED_VALUE"""),"G-REQ-03846")</f>
        <v>G-REQ-03846</v>
      </c>
      <c r="B3847" s="11">
        <f>IFERROR(__xludf.DUMMYFUNCTION("""COMPUTED_VALUE"""),46035.05269728763)</f>
        <v>46035.0527</v>
      </c>
      <c r="C3847" s="9">
        <f>IFERROR(__xludf.DUMMYFUNCTION("""COMPUTED_VALUE"""),14883.0)</f>
        <v>14883</v>
      </c>
      <c r="D3847" s="9" t="str">
        <f>IFERROR(__xludf.DUMMYFUNCTION("""COMPUTED_VALUE"""),"Completed")</f>
        <v>Completed</v>
      </c>
    </row>
    <row r="3848">
      <c r="A3848" s="9" t="str">
        <f>IFERROR(__xludf.DUMMYFUNCTION("""COMPUTED_VALUE"""),"G-REQ-03847")</f>
        <v>G-REQ-03847</v>
      </c>
      <c r="B3848" s="11">
        <f>IFERROR(__xludf.DUMMYFUNCTION("""COMPUTED_VALUE"""),46035.123872133045)</f>
        <v>46035.12387</v>
      </c>
      <c r="C3848" s="9">
        <f>IFERROR(__xludf.DUMMYFUNCTION("""COMPUTED_VALUE"""),14887.0)</f>
        <v>14887</v>
      </c>
      <c r="D3848" s="9" t="str">
        <f>IFERROR(__xludf.DUMMYFUNCTION("""COMPUTED_VALUE"""),"Completed")</f>
        <v>Completed</v>
      </c>
    </row>
    <row r="3849">
      <c r="A3849" s="9" t="str">
        <f>IFERROR(__xludf.DUMMYFUNCTION("""COMPUTED_VALUE"""),"G-REQ-03848")</f>
        <v>G-REQ-03848</v>
      </c>
      <c r="B3849" s="11">
        <f>IFERROR(__xludf.DUMMYFUNCTION("""COMPUTED_VALUE"""),46035.195046978464)</f>
        <v>46035.19505</v>
      </c>
      <c r="C3849" s="9">
        <f>IFERROR(__xludf.DUMMYFUNCTION("""COMPUTED_VALUE"""),14891.0)</f>
        <v>14891</v>
      </c>
      <c r="D3849" s="9" t="str">
        <f>IFERROR(__xludf.DUMMYFUNCTION("""COMPUTED_VALUE"""),"Completed")</f>
        <v>Completed</v>
      </c>
    </row>
    <row r="3850">
      <c r="A3850" s="9" t="str">
        <f>IFERROR(__xludf.DUMMYFUNCTION("""COMPUTED_VALUE"""),"G-REQ-03849")</f>
        <v>G-REQ-03849</v>
      </c>
      <c r="B3850" s="11">
        <f>IFERROR(__xludf.DUMMYFUNCTION("""COMPUTED_VALUE"""),46035.26622182388)</f>
        <v>46035.26622</v>
      </c>
      <c r="C3850" s="9">
        <f>IFERROR(__xludf.DUMMYFUNCTION("""COMPUTED_VALUE"""),14895.0)</f>
        <v>14895</v>
      </c>
      <c r="D3850" s="9" t="str">
        <f>IFERROR(__xludf.DUMMYFUNCTION("""COMPUTED_VALUE"""),"Completed")</f>
        <v>Completed</v>
      </c>
    </row>
    <row r="3851">
      <c r="A3851" s="9" t="str">
        <f>IFERROR(__xludf.DUMMYFUNCTION("""COMPUTED_VALUE"""),"G-REQ-03850")</f>
        <v>G-REQ-03850</v>
      </c>
      <c r="B3851" s="11">
        <f>IFERROR(__xludf.DUMMYFUNCTION("""COMPUTED_VALUE"""),46035.33739666929)</f>
        <v>46035.3374</v>
      </c>
      <c r="C3851" s="9">
        <f>IFERROR(__xludf.DUMMYFUNCTION("""COMPUTED_VALUE"""),14899.0)</f>
        <v>14899</v>
      </c>
      <c r="D3851" s="9" t="str">
        <f>IFERROR(__xludf.DUMMYFUNCTION("""COMPUTED_VALUE"""),"Completed")</f>
        <v>Completed</v>
      </c>
    </row>
    <row r="3852">
      <c r="A3852" s="9" t="str">
        <f>IFERROR(__xludf.DUMMYFUNCTION("""COMPUTED_VALUE"""),"G-REQ-03851")</f>
        <v>G-REQ-03851</v>
      </c>
      <c r="B3852" s="11">
        <f>IFERROR(__xludf.DUMMYFUNCTION("""COMPUTED_VALUE"""),46035.40857151471)</f>
        <v>46035.40857</v>
      </c>
      <c r="C3852" s="9">
        <f>IFERROR(__xludf.DUMMYFUNCTION("""COMPUTED_VALUE"""),14903.0)</f>
        <v>14903</v>
      </c>
      <c r="D3852" s="9" t="str">
        <f>IFERROR(__xludf.DUMMYFUNCTION("""COMPUTED_VALUE"""),"Completed")</f>
        <v>Completed</v>
      </c>
    </row>
    <row r="3853">
      <c r="A3853" s="9" t="str">
        <f>IFERROR(__xludf.DUMMYFUNCTION("""COMPUTED_VALUE"""),"G-REQ-03852")</f>
        <v>G-REQ-03852</v>
      </c>
      <c r="B3853" s="11">
        <f>IFERROR(__xludf.DUMMYFUNCTION("""COMPUTED_VALUE"""),46035.47974636013)</f>
        <v>46035.47975</v>
      </c>
      <c r="C3853" s="9">
        <f>IFERROR(__xludf.DUMMYFUNCTION("""COMPUTED_VALUE"""),14907.0)</f>
        <v>14907</v>
      </c>
      <c r="D3853" s="9" t="str">
        <f>IFERROR(__xludf.DUMMYFUNCTION("""COMPUTED_VALUE"""),"Completed")</f>
        <v>Completed</v>
      </c>
    </row>
    <row r="3854">
      <c r="A3854" s="9" t="str">
        <f>IFERROR(__xludf.DUMMYFUNCTION("""COMPUTED_VALUE"""),"G-REQ-03853")</f>
        <v>G-REQ-03853</v>
      </c>
      <c r="B3854" s="11">
        <f>IFERROR(__xludf.DUMMYFUNCTION("""COMPUTED_VALUE"""),46035.55092120553)</f>
        <v>46035.55092</v>
      </c>
      <c r="C3854" s="9">
        <f>IFERROR(__xludf.DUMMYFUNCTION("""COMPUTED_VALUE"""),14911.0)</f>
        <v>14911</v>
      </c>
      <c r="D3854" s="9" t="str">
        <f>IFERROR(__xludf.DUMMYFUNCTION("""COMPUTED_VALUE"""),"Completed")</f>
        <v>Completed</v>
      </c>
    </row>
    <row r="3855">
      <c r="A3855" s="9" t="str">
        <f>IFERROR(__xludf.DUMMYFUNCTION("""COMPUTED_VALUE"""),"G-REQ-03854")</f>
        <v>G-REQ-03854</v>
      </c>
      <c r="B3855" s="11">
        <f>IFERROR(__xludf.DUMMYFUNCTION("""COMPUTED_VALUE"""),46035.62209605095)</f>
        <v>46035.6221</v>
      </c>
      <c r="C3855" s="9">
        <f>IFERROR(__xludf.DUMMYFUNCTION("""COMPUTED_VALUE"""),14915.0)</f>
        <v>14915</v>
      </c>
      <c r="D3855" s="9" t="str">
        <f>IFERROR(__xludf.DUMMYFUNCTION("""COMPUTED_VALUE"""),"Completed")</f>
        <v>Completed</v>
      </c>
    </row>
    <row r="3856">
      <c r="A3856" s="9" t="str">
        <f>IFERROR(__xludf.DUMMYFUNCTION("""COMPUTED_VALUE"""),"G-REQ-03855")</f>
        <v>G-REQ-03855</v>
      </c>
      <c r="B3856" s="11">
        <f>IFERROR(__xludf.DUMMYFUNCTION("""COMPUTED_VALUE"""),46035.69327089637)</f>
        <v>46035.69327</v>
      </c>
      <c r="C3856" s="9">
        <f>IFERROR(__xludf.DUMMYFUNCTION("""COMPUTED_VALUE"""),14919.0)</f>
        <v>14919</v>
      </c>
      <c r="D3856" s="9" t="str">
        <f>IFERROR(__xludf.DUMMYFUNCTION("""COMPUTED_VALUE"""),"Completed")</f>
        <v>Completed</v>
      </c>
    </row>
    <row r="3857">
      <c r="A3857" s="9" t="str">
        <f>IFERROR(__xludf.DUMMYFUNCTION("""COMPUTED_VALUE"""),"G-REQ-03856")</f>
        <v>G-REQ-03856</v>
      </c>
      <c r="B3857" s="11">
        <f>IFERROR(__xludf.DUMMYFUNCTION("""COMPUTED_VALUE"""),46035.764445741785)</f>
        <v>46035.76445</v>
      </c>
      <c r="C3857" s="9">
        <f>IFERROR(__xludf.DUMMYFUNCTION("""COMPUTED_VALUE"""),14923.0)</f>
        <v>14923</v>
      </c>
      <c r="D3857" s="9" t="str">
        <f>IFERROR(__xludf.DUMMYFUNCTION("""COMPUTED_VALUE"""),"Completed")</f>
        <v>Completed</v>
      </c>
    </row>
    <row r="3858">
      <c r="A3858" s="9" t="str">
        <f>IFERROR(__xludf.DUMMYFUNCTION("""COMPUTED_VALUE"""),"G-REQ-03857")</f>
        <v>G-REQ-03857</v>
      </c>
      <c r="B3858" s="11">
        <f>IFERROR(__xludf.DUMMYFUNCTION("""COMPUTED_VALUE"""),46035.8356205872)</f>
        <v>46035.83562</v>
      </c>
      <c r="C3858" s="9">
        <f>IFERROR(__xludf.DUMMYFUNCTION("""COMPUTED_VALUE"""),14927.0)</f>
        <v>14927</v>
      </c>
      <c r="D3858" s="9" t="str">
        <f>IFERROR(__xludf.DUMMYFUNCTION("""COMPUTED_VALUE"""),"Completed")</f>
        <v>Completed</v>
      </c>
    </row>
    <row r="3859">
      <c r="A3859" s="9" t="str">
        <f>IFERROR(__xludf.DUMMYFUNCTION("""COMPUTED_VALUE"""),"G-REQ-03858")</f>
        <v>G-REQ-03858</v>
      </c>
      <c r="B3859" s="11">
        <f>IFERROR(__xludf.DUMMYFUNCTION("""COMPUTED_VALUE"""),46035.90679543262)</f>
        <v>46035.9068</v>
      </c>
      <c r="C3859" s="9">
        <f>IFERROR(__xludf.DUMMYFUNCTION("""COMPUTED_VALUE"""),14931.0)</f>
        <v>14931</v>
      </c>
      <c r="D3859" s="9" t="str">
        <f>IFERROR(__xludf.DUMMYFUNCTION("""COMPUTED_VALUE"""),"Completed")</f>
        <v>Completed</v>
      </c>
    </row>
    <row r="3860">
      <c r="A3860" s="9" t="str">
        <f>IFERROR(__xludf.DUMMYFUNCTION("""COMPUTED_VALUE"""),"G-REQ-03859")</f>
        <v>G-REQ-03859</v>
      </c>
      <c r="B3860" s="11">
        <f>IFERROR(__xludf.DUMMYFUNCTION("""COMPUTED_VALUE"""),46035.97797027803)</f>
        <v>46035.97797</v>
      </c>
      <c r="C3860" s="9">
        <f>IFERROR(__xludf.DUMMYFUNCTION("""COMPUTED_VALUE"""),14935.0)</f>
        <v>14935</v>
      </c>
      <c r="D3860" s="9" t="str">
        <f>IFERROR(__xludf.DUMMYFUNCTION("""COMPUTED_VALUE"""),"Completed")</f>
        <v>Completed</v>
      </c>
    </row>
    <row r="3861">
      <c r="A3861" s="9" t="str">
        <f>IFERROR(__xludf.DUMMYFUNCTION("""COMPUTED_VALUE"""),"G-REQ-03860")</f>
        <v>G-REQ-03860</v>
      </c>
      <c r="B3861" s="11">
        <f>IFERROR(__xludf.DUMMYFUNCTION("""COMPUTED_VALUE"""),46036.04914512344)</f>
        <v>46036.04915</v>
      </c>
      <c r="C3861" s="9">
        <f>IFERROR(__xludf.DUMMYFUNCTION("""COMPUTED_VALUE"""),14939.0)</f>
        <v>14939</v>
      </c>
      <c r="D3861" s="9" t="str">
        <f>IFERROR(__xludf.DUMMYFUNCTION("""COMPUTED_VALUE"""),"Completed")</f>
        <v>Completed</v>
      </c>
    </row>
    <row r="3862">
      <c r="A3862" s="9" t="str">
        <f>IFERROR(__xludf.DUMMYFUNCTION("""COMPUTED_VALUE"""),"G-REQ-03861")</f>
        <v>G-REQ-03861</v>
      </c>
      <c r="B3862" s="11">
        <f>IFERROR(__xludf.DUMMYFUNCTION("""COMPUTED_VALUE"""),46036.12031996886)</f>
        <v>46036.12032</v>
      </c>
      <c r="C3862" s="9">
        <f>IFERROR(__xludf.DUMMYFUNCTION("""COMPUTED_VALUE"""),14943.0)</f>
        <v>14943</v>
      </c>
      <c r="D3862" s="9" t="str">
        <f>IFERROR(__xludf.DUMMYFUNCTION("""COMPUTED_VALUE"""),"Completed")</f>
        <v>Completed</v>
      </c>
    </row>
    <row r="3863">
      <c r="A3863" s="9" t="str">
        <f>IFERROR(__xludf.DUMMYFUNCTION("""COMPUTED_VALUE"""),"G-REQ-03862")</f>
        <v>G-REQ-03862</v>
      </c>
      <c r="B3863" s="11">
        <f>IFERROR(__xludf.DUMMYFUNCTION("""COMPUTED_VALUE"""),46036.19149481427)</f>
        <v>46036.19149</v>
      </c>
      <c r="C3863" s="9">
        <f>IFERROR(__xludf.DUMMYFUNCTION("""COMPUTED_VALUE"""),14947.0)</f>
        <v>14947</v>
      </c>
      <c r="D3863" s="9" t="str">
        <f>IFERROR(__xludf.DUMMYFUNCTION("""COMPUTED_VALUE"""),"Completed")</f>
        <v>Completed</v>
      </c>
    </row>
    <row r="3864">
      <c r="A3864" s="9" t="str">
        <f>IFERROR(__xludf.DUMMYFUNCTION("""COMPUTED_VALUE"""),"G-REQ-03863")</f>
        <v>G-REQ-03863</v>
      </c>
      <c r="B3864" s="11">
        <f>IFERROR(__xludf.DUMMYFUNCTION("""COMPUTED_VALUE"""),46036.262669659685)</f>
        <v>46036.26267</v>
      </c>
      <c r="C3864" s="9">
        <f>IFERROR(__xludf.DUMMYFUNCTION("""COMPUTED_VALUE"""),14951.0)</f>
        <v>14951</v>
      </c>
      <c r="D3864" s="9" t="str">
        <f>IFERROR(__xludf.DUMMYFUNCTION("""COMPUTED_VALUE"""),"Completed")</f>
        <v>Completed</v>
      </c>
    </row>
    <row r="3865">
      <c r="A3865" s="9" t="str">
        <f>IFERROR(__xludf.DUMMYFUNCTION("""COMPUTED_VALUE"""),"G-REQ-03864")</f>
        <v>G-REQ-03864</v>
      </c>
      <c r="B3865" s="11">
        <f>IFERROR(__xludf.DUMMYFUNCTION("""COMPUTED_VALUE"""),46036.333844505105)</f>
        <v>46036.33384</v>
      </c>
      <c r="C3865" s="9">
        <f>IFERROR(__xludf.DUMMYFUNCTION("""COMPUTED_VALUE"""),14955.0)</f>
        <v>14955</v>
      </c>
      <c r="D3865" s="9" t="str">
        <f>IFERROR(__xludf.DUMMYFUNCTION("""COMPUTED_VALUE"""),"Completed")</f>
        <v>Completed</v>
      </c>
    </row>
    <row r="3866">
      <c r="A3866" s="9" t="str">
        <f>IFERROR(__xludf.DUMMYFUNCTION("""COMPUTED_VALUE"""),"G-REQ-03865")</f>
        <v>G-REQ-03865</v>
      </c>
      <c r="B3866" s="11">
        <f>IFERROR(__xludf.DUMMYFUNCTION("""COMPUTED_VALUE"""),46036.40501935052)</f>
        <v>46036.40502</v>
      </c>
      <c r="C3866" s="9">
        <f>IFERROR(__xludf.DUMMYFUNCTION("""COMPUTED_VALUE"""),14959.0)</f>
        <v>14959</v>
      </c>
      <c r="D3866" s="9" t="str">
        <f>IFERROR(__xludf.DUMMYFUNCTION("""COMPUTED_VALUE"""),"Completed")</f>
        <v>Completed</v>
      </c>
    </row>
    <row r="3867">
      <c r="A3867" s="9" t="str">
        <f>IFERROR(__xludf.DUMMYFUNCTION("""COMPUTED_VALUE"""),"G-REQ-03866")</f>
        <v>G-REQ-03866</v>
      </c>
      <c r="B3867" s="11">
        <f>IFERROR(__xludf.DUMMYFUNCTION("""COMPUTED_VALUE"""),46036.47619419593)</f>
        <v>46036.47619</v>
      </c>
      <c r="C3867" s="9">
        <f>IFERROR(__xludf.DUMMYFUNCTION("""COMPUTED_VALUE"""),14963.0)</f>
        <v>14963</v>
      </c>
      <c r="D3867" s="9" t="str">
        <f>IFERROR(__xludf.DUMMYFUNCTION("""COMPUTED_VALUE"""),"Completed")</f>
        <v>Completed</v>
      </c>
    </row>
    <row r="3868">
      <c r="A3868" s="9" t="str">
        <f>IFERROR(__xludf.DUMMYFUNCTION("""COMPUTED_VALUE"""),"G-REQ-03867")</f>
        <v>G-REQ-03867</v>
      </c>
      <c r="B3868" s="11">
        <f>IFERROR(__xludf.DUMMYFUNCTION("""COMPUTED_VALUE"""),46036.54736904135)</f>
        <v>46036.54737</v>
      </c>
      <c r="C3868" s="9">
        <f>IFERROR(__xludf.DUMMYFUNCTION("""COMPUTED_VALUE"""),14967.0)</f>
        <v>14967</v>
      </c>
      <c r="D3868" s="9" t="str">
        <f>IFERROR(__xludf.DUMMYFUNCTION("""COMPUTED_VALUE"""),"Completed")</f>
        <v>Completed</v>
      </c>
    </row>
    <row r="3869">
      <c r="A3869" s="9" t="str">
        <f>IFERROR(__xludf.DUMMYFUNCTION("""COMPUTED_VALUE"""),"G-REQ-03868")</f>
        <v>G-REQ-03868</v>
      </c>
      <c r="B3869" s="11">
        <f>IFERROR(__xludf.DUMMYFUNCTION("""COMPUTED_VALUE"""),46036.61854388677)</f>
        <v>46036.61854</v>
      </c>
      <c r="C3869" s="9">
        <f>IFERROR(__xludf.DUMMYFUNCTION("""COMPUTED_VALUE"""),14971.0)</f>
        <v>14971</v>
      </c>
      <c r="D3869" s="9" t="str">
        <f>IFERROR(__xludf.DUMMYFUNCTION("""COMPUTED_VALUE"""),"Completed")</f>
        <v>Completed</v>
      </c>
    </row>
    <row r="3870">
      <c r="A3870" s="9" t="str">
        <f>IFERROR(__xludf.DUMMYFUNCTION("""COMPUTED_VALUE"""),"G-REQ-03869")</f>
        <v>G-REQ-03869</v>
      </c>
      <c r="B3870" s="11">
        <f>IFERROR(__xludf.DUMMYFUNCTION("""COMPUTED_VALUE"""),46036.689718732174)</f>
        <v>46036.68972</v>
      </c>
      <c r="C3870" s="9">
        <f>IFERROR(__xludf.DUMMYFUNCTION("""COMPUTED_VALUE"""),14975.0)</f>
        <v>14975</v>
      </c>
      <c r="D3870" s="9" t="str">
        <f>IFERROR(__xludf.DUMMYFUNCTION("""COMPUTED_VALUE"""),"Completed")</f>
        <v>Completed</v>
      </c>
    </row>
    <row r="3871">
      <c r="A3871" s="9" t="str">
        <f>IFERROR(__xludf.DUMMYFUNCTION("""COMPUTED_VALUE"""),"G-REQ-03870")</f>
        <v>G-REQ-03870</v>
      </c>
      <c r="B3871" s="11">
        <f>IFERROR(__xludf.DUMMYFUNCTION("""COMPUTED_VALUE"""),46036.76089357759)</f>
        <v>46036.76089</v>
      </c>
      <c r="C3871" s="9">
        <f>IFERROR(__xludf.DUMMYFUNCTION("""COMPUTED_VALUE"""),14979.0)</f>
        <v>14979</v>
      </c>
      <c r="D3871" s="9" t="str">
        <f>IFERROR(__xludf.DUMMYFUNCTION("""COMPUTED_VALUE"""),"Completed")</f>
        <v>Completed</v>
      </c>
    </row>
    <row r="3872">
      <c r="A3872" s="9" t="str">
        <f>IFERROR(__xludf.DUMMYFUNCTION("""COMPUTED_VALUE"""),"G-REQ-03871")</f>
        <v>G-REQ-03871</v>
      </c>
      <c r="B3872" s="11">
        <f>IFERROR(__xludf.DUMMYFUNCTION("""COMPUTED_VALUE"""),46036.82512397857)</f>
        <v>46036.82512</v>
      </c>
      <c r="C3872" s="9">
        <f>IFERROR(__xludf.DUMMYFUNCTION("""COMPUTED_VALUE"""),14981.0)</f>
        <v>14981</v>
      </c>
      <c r="D3872" s="9" t="str">
        <f>IFERROR(__xludf.DUMMYFUNCTION("""COMPUTED_VALUE"""),"Rejected")</f>
        <v>Rejected</v>
      </c>
    </row>
    <row r="3873">
      <c r="A3873" s="9" t="str">
        <f>IFERROR(__xludf.DUMMYFUNCTION("""COMPUTED_VALUE"""),"G-REQ-03872")</f>
        <v>G-REQ-03872</v>
      </c>
      <c r="B3873" s="11">
        <f>IFERROR(__xludf.DUMMYFUNCTION("""COMPUTED_VALUE"""),46036.903243268425)</f>
        <v>46036.90324</v>
      </c>
      <c r="C3873" s="9">
        <f>IFERROR(__xludf.DUMMYFUNCTION("""COMPUTED_VALUE"""),14985.0)</f>
        <v>14985</v>
      </c>
      <c r="D3873" s="9" t="str">
        <f>IFERROR(__xludf.DUMMYFUNCTION("""COMPUTED_VALUE"""),"Completed")</f>
        <v>Completed</v>
      </c>
    </row>
    <row r="3874">
      <c r="A3874" s="9" t="str">
        <f>IFERROR(__xludf.DUMMYFUNCTION("""COMPUTED_VALUE"""),"G-REQ-03873")</f>
        <v>G-REQ-03873</v>
      </c>
      <c r="B3874" s="11">
        <f>IFERROR(__xludf.DUMMYFUNCTION("""COMPUTED_VALUE"""),46036.97441811384)</f>
        <v>46036.97442</v>
      </c>
      <c r="C3874" s="9">
        <f>IFERROR(__xludf.DUMMYFUNCTION("""COMPUTED_VALUE"""),14989.0)</f>
        <v>14989</v>
      </c>
      <c r="D3874" s="9" t="str">
        <f>IFERROR(__xludf.DUMMYFUNCTION("""COMPUTED_VALUE"""),"Completed")</f>
        <v>Completed</v>
      </c>
    </row>
    <row r="3875">
      <c r="A3875" s="9" t="str">
        <f>IFERROR(__xludf.DUMMYFUNCTION("""COMPUTED_VALUE"""),"G-REQ-03874")</f>
        <v>G-REQ-03874</v>
      </c>
      <c r="B3875" s="11">
        <f>IFERROR(__xludf.DUMMYFUNCTION("""COMPUTED_VALUE"""),46037.03864851481)</f>
        <v>46037.03865</v>
      </c>
      <c r="C3875" s="9">
        <f>IFERROR(__xludf.DUMMYFUNCTION("""COMPUTED_VALUE"""),14991.0)</f>
        <v>14991</v>
      </c>
      <c r="D3875" s="9" t="str">
        <f>IFERROR(__xludf.DUMMYFUNCTION("""COMPUTED_VALUE"""),"Cancelled")</f>
        <v>Cancelled</v>
      </c>
    </row>
    <row r="3876">
      <c r="A3876" s="9" t="str">
        <f>IFERROR(__xludf.DUMMYFUNCTION("""COMPUTED_VALUE"""),"G-REQ-03875")</f>
        <v>G-REQ-03875</v>
      </c>
      <c r="B3876" s="11">
        <f>IFERROR(__xludf.DUMMYFUNCTION("""COMPUTED_VALUE"""),46037.11676780467)</f>
        <v>46037.11677</v>
      </c>
      <c r="C3876" s="9">
        <f>IFERROR(__xludf.DUMMYFUNCTION("""COMPUTED_VALUE"""),14995.0)</f>
        <v>14995</v>
      </c>
      <c r="D3876" s="9" t="str">
        <f>IFERROR(__xludf.DUMMYFUNCTION("""COMPUTED_VALUE"""),"Completed")</f>
        <v>Completed</v>
      </c>
    </row>
    <row r="3877">
      <c r="A3877" s="9" t="str">
        <f>IFERROR(__xludf.DUMMYFUNCTION("""COMPUTED_VALUE"""),"G-REQ-03876")</f>
        <v>G-REQ-03876</v>
      </c>
      <c r="B3877" s="11">
        <f>IFERROR(__xludf.DUMMYFUNCTION("""COMPUTED_VALUE"""),46037.18794265008)</f>
        <v>46037.18794</v>
      </c>
      <c r="C3877" s="9">
        <f>IFERROR(__xludf.DUMMYFUNCTION("""COMPUTED_VALUE"""),14999.0)</f>
        <v>14999</v>
      </c>
      <c r="D3877" s="9" t="str">
        <f>IFERROR(__xludf.DUMMYFUNCTION("""COMPUTED_VALUE"""),"Completed")</f>
        <v>Completed</v>
      </c>
    </row>
    <row r="3878">
      <c r="A3878" s="9" t="str">
        <f>IFERROR(__xludf.DUMMYFUNCTION("""COMPUTED_VALUE"""),"G-REQ-03877")</f>
        <v>G-REQ-03877</v>
      </c>
      <c r="B3878" s="11">
        <f>IFERROR(__xludf.DUMMYFUNCTION("""COMPUTED_VALUE"""),46037.2591174955)</f>
        <v>46037.25912</v>
      </c>
      <c r="C3878" s="9">
        <f>IFERROR(__xludf.DUMMYFUNCTION("""COMPUTED_VALUE"""),15003.0)</f>
        <v>15003</v>
      </c>
      <c r="D3878" s="9" t="str">
        <f>IFERROR(__xludf.DUMMYFUNCTION("""COMPUTED_VALUE"""),"Completed")</f>
        <v>Completed</v>
      </c>
    </row>
    <row r="3879">
      <c r="A3879" s="9" t="str">
        <f>IFERROR(__xludf.DUMMYFUNCTION("""COMPUTED_VALUE"""),"G-REQ-03878")</f>
        <v>G-REQ-03878</v>
      </c>
      <c r="B3879" s="11">
        <f>IFERROR(__xludf.DUMMYFUNCTION("""COMPUTED_VALUE"""),46037.330292340914)</f>
        <v>46037.33029</v>
      </c>
      <c r="C3879" s="9">
        <f>IFERROR(__xludf.DUMMYFUNCTION("""COMPUTED_VALUE"""),15007.0)</f>
        <v>15007</v>
      </c>
      <c r="D3879" s="9" t="str">
        <f>IFERROR(__xludf.DUMMYFUNCTION("""COMPUTED_VALUE"""),"Completed")</f>
        <v>Completed</v>
      </c>
    </row>
    <row r="3880">
      <c r="A3880" s="9" t="str">
        <f>IFERROR(__xludf.DUMMYFUNCTION("""COMPUTED_VALUE"""),"G-REQ-03879")</f>
        <v>G-REQ-03879</v>
      </c>
      <c r="B3880" s="11">
        <f>IFERROR(__xludf.DUMMYFUNCTION("""COMPUTED_VALUE"""),46037.401467186326)</f>
        <v>46037.40147</v>
      </c>
      <c r="C3880" s="9">
        <f>IFERROR(__xludf.DUMMYFUNCTION("""COMPUTED_VALUE"""),15011.0)</f>
        <v>15011</v>
      </c>
      <c r="D3880" s="9" t="str">
        <f>IFERROR(__xludf.DUMMYFUNCTION("""COMPUTED_VALUE"""),"Completed")</f>
        <v>Completed</v>
      </c>
    </row>
    <row r="3881">
      <c r="A3881" s="9" t="str">
        <f>IFERROR(__xludf.DUMMYFUNCTION("""COMPUTED_VALUE"""),"G-REQ-03880")</f>
        <v>G-REQ-03880</v>
      </c>
      <c r="B3881" s="11">
        <f>IFERROR(__xludf.DUMMYFUNCTION("""COMPUTED_VALUE"""),46037.472642031746)</f>
        <v>46037.47264</v>
      </c>
      <c r="C3881" s="9">
        <f>IFERROR(__xludf.DUMMYFUNCTION("""COMPUTED_VALUE"""),15015.0)</f>
        <v>15015</v>
      </c>
      <c r="D3881" s="9" t="str">
        <f>IFERROR(__xludf.DUMMYFUNCTION("""COMPUTED_VALUE"""),"Completed")</f>
        <v>Completed</v>
      </c>
    </row>
    <row r="3882">
      <c r="A3882" s="9" t="str">
        <f>IFERROR(__xludf.DUMMYFUNCTION("""COMPUTED_VALUE"""),"G-REQ-03881")</f>
        <v>G-REQ-03881</v>
      </c>
      <c r="B3882" s="11">
        <f>IFERROR(__xludf.DUMMYFUNCTION("""COMPUTED_VALUE"""),46037.54381687716)</f>
        <v>46037.54382</v>
      </c>
      <c r="C3882" s="9">
        <f>IFERROR(__xludf.DUMMYFUNCTION("""COMPUTED_VALUE"""),15019.0)</f>
        <v>15019</v>
      </c>
      <c r="D3882" s="9" t="str">
        <f>IFERROR(__xludf.DUMMYFUNCTION("""COMPUTED_VALUE"""),"Completed")</f>
        <v>Completed</v>
      </c>
    </row>
    <row r="3883">
      <c r="A3883" s="9" t="str">
        <f>IFERROR(__xludf.DUMMYFUNCTION("""COMPUTED_VALUE"""),"G-REQ-03882")</f>
        <v>G-REQ-03882</v>
      </c>
      <c r="B3883" s="11">
        <f>IFERROR(__xludf.DUMMYFUNCTION("""COMPUTED_VALUE"""),46037.61499172258)</f>
        <v>46037.61499</v>
      </c>
      <c r="C3883" s="9">
        <f>IFERROR(__xludf.DUMMYFUNCTION("""COMPUTED_VALUE"""),15023.0)</f>
        <v>15023</v>
      </c>
      <c r="D3883" s="9" t="str">
        <f>IFERROR(__xludf.DUMMYFUNCTION("""COMPUTED_VALUE"""),"Completed")</f>
        <v>Completed</v>
      </c>
    </row>
    <row r="3884">
      <c r="A3884" s="9" t="str">
        <f>IFERROR(__xludf.DUMMYFUNCTION("""COMPUTED_VALUE"""),"G-REQ-03883")</f>
        <v>G-REQ-03883</v>
      </c>
      <c r="B3884" s="11">
        <f>IFERROR(__xludf.DUMMYFUNCTION("""COMPUTED_VALUE"""),46037.68616656799)</f>
        <v>46037.68617</v>
      </c>
      <c r="C3884" s="9">
        <f>IFERROR(__xludf.DUMMYFUNCTION("""COMPUTED_VALUE"""),15027.0)</f>
        <v>15027</v>
      </c>
      <c r="D3884" s="9" t="str">
        <f>IFERROR(__xludf.DUMMYFUNCTION("""COMPUTED_VALUE"""),"Completed")</f>
        <v>Completed</v>
      </c>
    </row>
    <row r="3885">
      <c r="A3885" s="9" t="str">
        <f>IFERROR(__xludf.DUMMYFUNCTION("""COMPUTED_VALUE"""),"G-REQ-03884")</f>
        <v>G-REQ-03884</v>
      </c>
      <c r="B3885" s="11">
        <f>IFERROR(__xludf.DUMMYFUNCTION("""COMPUTED_VALUE"""),46037.75734141341)</f>
        <v>46037.75734</v>
      </c>
      <c r="C3885" s="9">
        <f>IFERROR(__xludf.DUMMYFUNCTION("""COMPUTED_VALUE"""),15031.0)</f>
        <v>15031</v>
      </c>
      <c r="D3885" s="9" t="str">
        <f>IFERROR(__xludf.DUMMYFUNCTION("""COMPUTED_VALUE"""),"Completed")</f>
        <v>Completed</v>
      </c>
    </row>
    <row r="3886">
      <c r="A3886" s="9" t="str">
        <f>IFERROR(__xludf.DUMMYFUNCTION("""COMPUTED_VALUE"""),"G-REQ-03885")</f>
        <v>G-REQ-03885</v>
      </c>
      <c r="B3886" s="11">
        <f>IFERROR(__xludf.DUMMYFUNCTION("""COMPUTED_VALUE"""),46037.828516258814)</f>
        <v>46037.82852</v>
      </c>
      <c r="C3886" s="9">
        <f>IFERROR(__xludf.DUMMYFUNCTION("""COMPUTED_VALUE"""),15035.0)</f>
        <v>15035</v>
      </c>
      <c r="D3886" s="9" t="str">
        <f>IFERROR(__xludf.DUMMYFUNCTION("""COMPUTED_VALUE"""),"Completed")</f>
        <v>Completed</v>
      </c>
    </row>
    <row r="3887">
      <c r="A3887" s="9" t="str">
        <f>IFERROR(__xludf.DUMMYFUNCTION("""COMPUTED_VALUE"""),"G-REQ-03886")</f>
        <v>G-REQ-03886</v>
      </c>
      <c r="B3887" s="11">
        <f>IFERROR(__xludf.DUMMYFUNCTION("""COMPUTED_VALUE"""),46037.899691104234)</f>
        <v>46037.89969</v>
      </c>
      <c r="C3887" s="9">
        <f>IFERROR(__xludf.DUMMYFUNCTION("""COMPUTED_VALUE"""),15039.0)</f>
        <v>15039</v>
      </c>
      <c r="D3887" s="9" t="str">
        <f>IFERROR(__xludf.DUMMYFUNCTION("""COMPUTED_VALUE"""),"Completed")</f>
        <v>Completed</v>
      </c>
    </row>
    <row r="3888">
      <c r="A3888" s="9" t="str">
        <f>IFERROR(__xludf.DUMMYFUNCTION("""COMPUTED_VALUE"""),"G-REQ-03887")</f>
        <v>G-REQ-03887</v>
      </c>
      <c r="B3888" s="11">
        <f>IFERROR(__xludf.DUMMYFUNCTION("""COMPUTED_VALUE"""),46037.970865949654)</f>
        <v>46037.97087</v>
      </c>
      <c r="C3888" s="9">
        <f>IFERROR(__xludf.DUMMYFUNCTION("""COMPUTED_VALUE"""),15043.0)</f>
        <v>15043</v>
      </c>
      <c r="D3888" s="9" t="str">
        <f>IFERROR(__xludf.DUMMYFUNCTION("""COMPUTED_VALUE"""),"Completed")</f>
        <v>Completed</v>
      </c>
    </row>
    <row r="3889">
      <c r="A3889" s="9" t="str">
        <f>IFERROR(__xludf.DUMMYFUNCTION("""COMPUTED_VALUE"""),"G-REQ-03888")</f>
        <v>G-REQ-03888</v>
      </c>
      <c r="B3889" s="11">
        <f>IFERROR(__xludf.DUMMYFUNCTION("""COMPUTED_VALUE"""),46038.042040795066)</f>
        <v>46038.04204</v>
      </c>
      <c r="C3889" s="9">
        <f>IFERROR(__xludf.DUMMYFUNCTION("""COMPUTED_VALUE"""),15047.0)</f>
        <v>15047</v>
      </c>
      <c r="D3889" s="9" t="str">
        <f>IFERROR(__xludf.DUMMYFUNCTION("""COMPUTED_VALUE"""),"Completed")</f>
        <v>Completed</v>
      </c>
    </row>
    <row r="3890">
      <c r="A3890" s="9" t="str">
        <f>IFERROR(__xludf.DUMMYFUNCTION("""COMPUTED_VALUE"""),"G-REQ-03889")</f>
        <v>G-REQ-03889</v>
      </c>
      <c r="B3890" s="11">
        <f>IFERROR(__xludf.DUMMYFUNCTION("""COMPUTED_VALUE"""),46038.11321564048)</f>
        <v>46038.11322</v>
      </c>
      <c r="C3890" s="9">
        <f>IFERROR(__xludf.DUMMYFUNCTION("""COMPUTED_VALUE"""),15051.0)</f>
        <v>15051</v>
      </c>
      <c r="D3890" s="9" t="str">
        <f>IFERROR(__xludf.DUMMYFUNCTION("""COMPUTED_VALUE"""),"Completed")</f>
        <v>Completed</v>
      </c>
    </row>
    <row r="3891">
      <c r="A3891" s="9" t="str">
        <f>IFERROR(__xludf.DUMMYFUNCTION("""COMPUTED_VALUE"""),"G-REQ-03890")</f>
        <v>G-REQ-03890</v>
      </c>
      <c r="B3891" s="11">
        <f>IFERROR(__xludf.DUMMYFUNCTION("""COMPUTED_VALUE"""),46038.17744604145)</f>
        <v>46038.17745</v>
      </c>
      <c r="C3891" s="9">
        <f>IFERROR(__xludf.DUMMYFUNCTION("""COMPUTED_VALUE"""),15053.0)</f>
        <v>15053</v>
      </c>
      <c r="D3891" s="9" t="str">
        <f>IFERROR(__xludf.DUMMYFUNCTION("""COMPUTED_VALUE"""),"Cancelled")</f>
        <v>Cancelled</v>
      </c>
    </row>
    <row r="3892">
      <c r="A3892" s="9" t="str">
        <f>IFERROR(__xludf.DUMMYFUNCTION("""COMPUTED_VALUE"""),"G-REQ-03891")</f>
        <v>G-REQ-03891</v>
      </c>
      <c r="B3892" s="11">
        <f>IFERROR(__xludf.DUMMYFUNCTION("""COMPUTED_VALUE"""),46038.25556533131)</f>
        <v>46038.25557</v>
      </c>
      <c r="C3892" s="9">
        <f>IFERROR(__xludf.DUMMYFUNCTION("""COMPUTED_VALUE"""),15057.0)</f>
        <v>15057</v>
      </c>
      <c r="D3892" s="9" t="str">
        <f>IFERROR(__xludf.DUMMYFUNCTION("""COMPUTED_VALUE"""),"Completed")</f>
        <v>Completed</v>
      </c>
    </row>
    <row r="3893">
      <c r="A3893" s="9" t="str">
        <f>IFERROR(__xludf.DUMMYFUNCTION("""COMPUTED_VALUE"""),"G-REQ-03892")</f>
        <v>G-REQ-03892</v>
      </c>
      <c r="B3893" s="11">
        <f>IFERROR(__xludf.DUMMYFUNCTION("""COMPUTED_VALUE"""),46038.32674017672)</f>
        <v>46038.32674</v>
      </c>
      <c r="C3893" s="9">
        <f>IFERROR(__xludf.DUMMYFUNCTION("""COMPUTED_VALUE"""),15061.0)</f>
        <v>15061</v>
      </c>
      <c r="D3893" s="9" t="str">
        <f>IFERROR(__xludf.DUMMYFUNCTION("""COMPUTED_VALUE"""),"Completed")</f>
        <v>Completed</v>
      </c>
    </row>
    <row r="3894">
      <c r="A3894" s="9" t="str">
        <f>IFERROR(__xludf.DUMMYFUNCTION("""COMPUTED_VALUE"""),"G-REQ-03893")</f>
        <v>G-REQ-03893</v>
      </c>
      <c r="B3894" s="11">
        <f>IFERROR(__xludf.DUMMYFUNCTION("""COMPUTED_VALUE"""),46038.39791502214)</f>
        <v>46038.39792</v>
      </c>
      <c r="C3894" s="9">
        <f>IFERROR(__xludf.DUMMYFUNCTION("""COMPUTED_VALUE"""),15065.0)</f>
        <v>15065</v>
      </c>
      <c r="D3894" s="9" t="str">
        <f>IFERROR(__xludf.DUMMYFUNCTION("""COMPUTED_VALUE"""),"Completed")</f>
        <v>Completed</v>
      </c>
    </row>
    <row r="3895">
      <c r="A3895" s="9" t="str">
        <f>IFERROR(__xludf.DUMMYFUNCTION("""COMPUTED_VALUE"""),"G-REQ-03894")</f>
        <v>G-REQ-03894</v>
      </c>
      <c r="B3895" s="11">
        <f>IFERROR(__xludf.DUMMYFUNCTION("""COMPUTED_VALUE"""),46038.46908986756)</f>
        <v>46038.46909</v>
      </c>
      <c r="C3895" s="9">
        <f>IFERROR(__xludf.DUMMYFUNCTION("""COMPUTED_VALUE"""),15069.0)</f>
        <v>15069</v>
      </c>
      <c r="D3895" s="9" t="str">
        <f>IFERROR(__xludf.DUMMYFUNCTION("""COMPUTED_VALUE"""),"Completed")</f>
        <v>Completed</v>
      </c>
    </row>
    <row r="3896">
      <c r="A3896" s="9" t="str">
        <f>IFERROR(__xludf.DUMMYFUNCTION("""COMPUTED_VALUE"""),"G-REQ-03895")</f>
        <v>G-REQ-03895</v>
      </c>
      <c r="B3896" s="11">
        <f>IFERROR(__xludf.DUMMYFUNCTION("""COMPUTED_VALUE"""),46038.54026471297)</f>
        <v>46038.54026</v>
      </c>
      <c r="C3896" s="9">
        <f>IFERROR(__xludf.DUMMYFUNCTION("""COMPUTED_VALUE"""),15073.0)</f>
        <v>15073</v>
      </c>
      <c r="D3896" s="9" t="str">
        <f>IFERROR(__xludf.DUMMYFUNCTION("""COMPUTED_VALUE"""),"Completed")</f>
        <v>Completed</v>
      </c>
    </row>
    <row r="3897">
      <c r="A3897" s="9" t="str">
        <f>IFERROR(__xludf.DUMMYFUNCTION("""COMPUTED_VALUE"""),"G-REQ-03896")</f>
        <v>G-REQ-03896</v>
      </c>
      <c r="B3897" s="11">
        <f>IFERROR(__xludf.DUMMYFUNCTION("""COMPUTED_VALUE"""),46038.60449511394)</f>
        <v>46038.6045</v>
      </c>
      <c r="C3897" s="9">
        <f>IFERROR(__xludf.DUMMYFUNCTION("""COMPUTED_VALUE"""),15075.0)</f>
        <v>15075</v>
      </c>
      <c r="D3897" s="9" t="str">
        <f>IFERROR(__xludf.DUMMYFUNCTION("""COMPUTED_VALUE"""),"Rejected")</f>
        <v>Rejected</v>
      </c>
    </row>
    <row r="3898">
      <c r="A3898" s="9" t="str">
        <f>IFERROR(__xludf.DUMMYFUNCTION("""COMPUTED_VALUE"""),"G-REQ-03897")</f>
        <v>G-REQ-03897</v>
      </c>
      <c r="B3898" s="11">
        <f>IFERROR(__xludf.DUMMYFUNCTION("""COMPUTED_VALUE"""),46038.6826144038)</f>
        <v>46038.68261</v>
      </c>
      <c r="C3898" s="9">
        <f>IFERROR(__xludf.DUMMYFUNCTION("""COMPUTED_VALUE"""),15079.0)</f>
        <v>15079</v>
      </c>
      <c r="D3898" s="9" t="str">
        <f>IFERROR(__xludf.DUMMYFUNCTION("""COMPUTED_VALUE"""),"Completed")</f>
        <v>Completed</v>
      </c>
    </row>
    <row r="3899">
      <c r="A3899" s="9" t="str">
        <f>IFERROR(__xludf.DUMMYFUNCTION("""COMPUTED_VALUE"""),"G-REQ-03898")</f>
        <v>G-REQ-03898</v>
      </c>
      <c r="B3899" s="11">
        <f>IFERROR(__xludf.DUMMYFUNCTION("""COMPUTED_VALUE"""),46038.75378924922)</f>
        <v>46038.75379</v>
      </c>
      <c r="C3899" s="9">
        <f>IFERROR(__xludf.DUMMYFUNCTION("""COMPUTED_VALUE"""),15083.0)</f>
        <v>15083</v>
      </c>
      <c r="D3899" s="9" t="str">
        <f>IFERROR(__xludf.DUMMYFUNCTION("""COMPUTED_VALUE"""),"Completed")</f>
        <v>Completed</v>
      </c>
    </row>
    <row r="3900">
      <c r="A3900" s="9" t="str">
        <f>IFERROR(__xludf.DUMMYFUNCTION("""COMPUTED_VALUE"""),"G-REQ-03899")</f>
        <v>G-REQ-03899</v>
      </c>
      <c r="B3900" s="11">
        <f>IFERROR(__xludf.DUMMYFUNCTION("""COMPUTED_VALUE"""),46038.82496409463)</f>
        <v>46038.82496</v>
      </c>
      <c r="C3900" s="9">
        <f>IFERROR(__xludf.DUMMYFUNCTION("""COMPUTED_VALUE"""),15087.0)</f>
        <v>15087</v>
      </c>
      <c r="D3900" s="9" t="str">
        <f>IFERROR(__xludf.DUMMYFUNCTION("""COMPUTED_VALUE"""),"Completed")</f>
        <v>Completed</v>
      </c>
    </row>
    <row r="3901">
      <c r="A3901" s="9" t="str">
        <f>IFERROR(__xludf.DUMMYFUNCTION("""COMPUTED_VALUE"""),"G-REQ-03900")</f>
        <v>G-REQ-03900</v>
      </c>
      <c r="B3901" s="11">
        <f>IFERROR(__xludf.DUMMYFUNCTION("""COMPUTED_VALUE"""),46038.89613894005)</f>
        <v>46038.89614</v>
      </c>
      <c r="C3901" s="9">
        <f>IFERROR(__xludf.DUMMYFUNCTION("""COMPUTED_VALUE"""),15091.0)</f>
        <v>15091</v>
      </c>
      <c r="D3901" s="9" t="str">
        <f>IFERROR(__xludf.DUMMYFUNCTION("""COMPUTED_VALUE"""),"Completed")</f>
        <v>Completed</v>
      </c>
    </row>
    <row r="3902">
      <c r="A3902" s="9" t="str">
        <f>IFERROR(__xludf.DUMMYFUNCTION("""COMPUTED_VALUE"""),"G-REQ-03901")</f>
        <v>G-REQ-03901</v>
      </c>
      <c r="B3902" s="11">
        <f>IFERROR(__xludf.DUMMYFUNCTION("""COMPUTED_VALUE"""),46038.96731378546)</f>
        <v>46038.96731</v>
      </c>
      <c r="C3902" s="9">
        <f>IFERROR(__xludf.DUMMYFUNCTION("""COMPUTED_VALUE"""),15095.0)</f>
        <v>15095</v>
      </c>
      <c r="D3902" s="9" t="str">
        <f>IFERROR(__xludf.DUMMYFUNCTION("""COMPUTED_VALUE"""),"Completed")</f>
        <v>Completed</v>
      </c>
    </row>
    <row r="3903">
      <c r="A3903" s="9" t="str">
        <f>IFERROR(__xludf.DUMMYFUNCTION("""COMPUTED_VALUE"""),"G-REQ-03902")</f>
        <v>G-REQ-03902</v>
      </c>
      <c r="B3903" s="11">
        <f>IFERROR(__xludf.DUMMYFUNCTION("""COMPUTED_VALUE"""),46039.038488630875)</f>
        <v>46039.03849</v>
      </c>
      <c r="C3903" s="9">
        <f>IFERROR(__xludf.DUMMYFUNCTION("""COMPUTED_VALUE"""),15099.0)</f>
        <v>15099</v>
      </c>
      <c r="D3903" s="9" t="str">
        <f>IFERROR(__xludf.DUMMYFUNCTION("""COMPUTED_VALUE"""),"Completed")</f>
        <v>Completed</v>
      </c>
    </row>
    <row r="3904">
      <c r="A3904" s="9" t="str">
        <f>IFERROR(__xludf.DUMMYFUNCTION("""COMPUTED_VALUE"""),"G-REQ-03903")</f>
        <v>G-REQ-03903</v>
      </c>
      <c r="B3904" s="11">
        <f>IFERROR(__xludf.DUMMYFUNCTION("""COMPUTED_VALUE"""),46039.109663476294)</f>
        <v>46039.10966</v>
      </c>
      <c r="C3904" s="9">
        <f>IFERROR(__xludf.DUMMYFUNCTION("""COMPUTED_VALUE"""),15103.0)</f>
        <v>15103</v>
      </c>
      <c r="D3904" s="9" t="str">
        <f>IFERROR(__xludf.DUMMYFUNCTION("""COMPUTED_VALUE"""),"Completed")</f>
        <v>Completed</v>
      </c>
    </row>
    <row r="3905">
      <c r="A3905" s="9" t="str">
        <f>IFERROR(__xludf.DUMMYFUNCTION("""COMPUTED_VALUE"""),"G-REQ-03904")</f>
        <v>G-REQ-03904</v>
      </c>
      <c r="B3905" s="11">
        <f>IFERROR(__xludf.DUMMYFUNCTION("""COMPUTED_VALUE"""),46039.18083832171)</f>
        <v>46039.18084</v>
      </c>
      <c r="C3905" s="9">
        <f>IFERROR(__xludf.DUMMYFUNCTION("""COMPUTED_VALUE"""),15107.0)</f>
        <v>15107</v>
      </c>
      <c r="D3905" s="9" t="str">
        <f>IFERROR(__xludf.DUMMYFUNCTION("""COMPUTED_VALUE"""),"Completed")</f>
        <v>Completed</v>
      </c>
    </row>
    <row r="3906">
      <c r="A3906" s="9" t="str">
        <f>IFERROR(__xludf.DUMMYFUNCTION("""COMPUTED_VALUE"""),"G-REQ-03905")</f>
        <v>G-REQ-03905</v>
      </c>
      <c r="B3906" s="11">
        <f>IFERROR(__xludf.DUMMYFUNCTION("""COMPUTED_VALUE"""),46039.25201316712)</f>
        <v>46039.25201</v>
      </c>
      <c r="C3906" s="9">
        <f>IFERROR(__xludf.DUMMYFUNCTION("""COMPUTED_VALUE"""),15111.0)</f>
        <v>15111</v>
      </c>
      <c r="D3906" s="9" t="str">
        <f>IFERROR(__xludf.DUMMYFUNCTION("""COMPUTED_VALUE"""),"Completed")</f>
        <v>Completed</v>
      </c>
    </row>
    <row r="3907">
      <c r="A3907" s="9" t="str">
        <f>IFERROR(__xludf.DUMMYFUNCTION("""COMPUTED_VALUE"""),"G-REQ-03906")</f>
        <v>G-REQ-03906</v>
      </c>
      <c r="B3907" s="11">
        <f>IFERROR(__xludf.DUMMYFUNCTION("""COMPUTED_VALUE"""),46039.32318801254)</f>
        <v>46039.32319</v>
      </c>
      <c r="C3907" s="9">
        <f>IFERROR(__xludf.DUMMYFUNCTION("""COMPUTED_VALUE"""),15115.0)</f>
        <v>15115</v>
      </c>
      <c r="D3907" s="9" t="str">
        <f>IFERROR(__xludf.DUMMYFUNCTION("""COMPUTED_VALUE"""),"Completed")</f>
        <v>Completed</v>
      </c>
    </row>
    <row r="3908">
      <c r="A3908" s="9" t="str">
        <f>IFERROR(__xludf.DUMMYFUNCTION("""COMPUTED_VALUE"""),"G-REQ-03907")</f>
        <v>G-REQ-03907</v>
      </c>
      <c r="B3908" s="11">
        <f>IFERROR(__xludf.DUMMYFUNCTION("""COMPUTED_VALUE"""),46039.387418413506)</f>
        <v>46039.38742</v>
      </c>
      <c r="C3908" s="9">
        <f>IFERROR(__xludf.DUMMYFUNCTION("""COMPUTED_VALUE"""),15117.0)</f>
        <v>15117</v>
      </c>
      <c r="D3908" s="9" t="str">
        <f>IFERROR(__xludf.DUMMYFUNCTION("""COMPUTED_VALUE"""),"Rejected")</f>
        <v>Rejected</v>
      </c>
    </row>
    <row r="3909">
      <c r="A3909" s="9" t="str">
        <f>IFERROR(__xludf.DUMMYFUNCTION("""COMPUTED_VALUE"""),"G-REQ-03908")</f>
        <v>G-REQ-03908</v>
      </c>
      <c r="B3909" s="11">
        <f>IFERROR(__xludf.DUMMYFUNCTION("""COMPUTED_VALUE"""),46039.46553770336)</f>
        <v>46039.46554</v>
      </c>
      <c r="C3909" s="9">
        <f>IFERROR(__xludf.DUMMYFUNCTION("""COMPUTED_VALUE"""),15121.0)</f>
        <v>15121</v>
      </c>
      <c r="D3909" s="9" t="str">
        <f>IFERROR(__xludf.DUMMYFUNCTION("""COMPUTED_VALUE"""),"Completed")</f>
        <v>Completed</v>
      </c>
    </row>
    <row r="3910">
      <c r="A3910" s="9" t="str">
        <f>IFERROR(__xludf.DUMMYFUNCTION("""COMPUTED_VALUE"""),"G-REQ-03909")</f>
        <v>G-REQ-03909</v>
      </c>
      <c r="B3910" s="11">
        <f>IFERROR(__xludf.DUMMYFUNCTION("""COMPUTED_VALUE"""),46039.53671254878)</f>
        <v>46039.53671</v>
      </c>
      <c r="C3910" s="9">
        <f>IFERROR(__xludf.DUMMYFUNCTION("""COMPUTED_VALUE"""),15125.0)</f>
        <v>15125</v>
      </c>
      <c r="D3910" s="9" t="str">
        <f>IFERROR(__xludf.DUMMYFUNCTION("""COMPUTED_VALUE"""),"Completed")</f>
        <v>Completed</v>
      </c>
    </row>
    <row r="3911">
      <c r="A3911" s="9" t="str">
        <f>IFERROR(__xludf.DUMMYFUNCTION("""COMPUTED_VALUE"""),"G-REQ-03910")</f>
        <v>G-REQ-03910</v>
      </c>
      <c r="B3911" s="11">
        <f>IFERROR(__xludf.DUMMYFUNCTION("""COMPUTED_VALUE"""),46039.6078873942)</f>
        <v>46039.60789</v>
      </c>
      <c r="C3911" s="9">
        <f>IFERROR(__xludf.DUMMYFUNCTION("""COMPUTED_VALUE"""),15129.0)</f>
        <v>15129</v>
      </c>
      <c r="D3911" s="9" t="str">
        <f>IFERROR(__xludf.DUMMYFUNCTION("""COMPUTED_VALUE"""),"Completed")</f>
        <v>Completed</v>
      </c>
    </row>
    <row r="3912">
      <c r="A3912" s="9" t="str">
        <f>IFERROR(__xludf.DUMMYFUNCTION("""COMPUTED_VALUE"""),"G-REQ-03911")</f>
        <v>G-REQ-03911</v>
      </c>
      <c r="B3912" s="11">
        <f>IFERROR(__xludf.DUMMYFUNCTION("""COMPUTED_VALUE"""),46039.67906223961)</f>
        <v>46039.67906</v>
      </c>
      <c r="C3912" s="9">
        <f>IFERROR(__xludf.DUMMYFUNCTION("""COMPUTED_VALUE"""),15133.0)</f>
        <v>15133</v>
      </c>
      <c r="D3912" s="9" t="str">
        <f>IFERROR(__xludf.DUMMYFUNCTION("""COMPUTED_VALUE"""),"Completed")</f>
        <v>Completed</v>
      </c>
    </row>
    <row r="3913">
      <c r="A3913" s="9" t="str">
        <f>IFERROR(__xludf.DUMMYFUNCTION("""COMPUTED_VALUE"""),"G-REQ-03912")</f>
        <v>G-REQ-03912</v>
      </c>
      <c r="B3913" s="11">
        <f>IFERROR(__xludf.DUMMYFUNCTION("""COMPUTED_VALUE"""),46039.75023708503)</f>
        <v>46039.75024</v>
      </c>
      <c r="C3913" s="9">
        <f>IFERROR(__xludf.DUMMYFUNCTION("""COMPUTED_VALUE"""),15137.0)</f>
        <v>15137</v>
      </c>
      <c r="D3913" s="9" t="str">
        <f>IFERROR(__xludf.DUMMYFUNCTION("""COMPUTED_VALUE"""),"Completed")</f>
        <v>Completed</v>
      </c>
    </row>
    <row r="3914">
      <c r="A3914" s="9" t="str">
        <f>IFERROR(__xludf.DUMMYFUNCTION("""COMPUTED_VALUE"""),"G-REQ-03913")</f>
        <v>G-REQ-03913</v>
      </c>
      <c r="B3914" s="11">
        <f>IFERROR(__xludf.DUMMYFUNCTION("""COMPUTED_VALUE"""),46039.82141193045)</f>
        <v>46039.82141</v>
      </c>
      <c r="C3914" s="9">
        <f>IFERROR(__xludf.DUMMYFUNCTION("""COMPUTED_VALUE"""),15141.0)</f>
        <v>15141</v>
      </c>
      <c r="D3914" s="9" t="str">
        <f>IFERROR(__xludf.DUMMYFUNCTION("""COMPUTED_VALUE"""),"Completed")</f>
        <v>Completed</v>
      </c>
    </row>
    <row r="3915">
      <c r="A3915" s="9" t="str">
        <f>IFERROR(__xludf.DUMMYFUNCTION("""COMPUTED_VALUE"""),"G-REQ-03914")</f>
        <v>G-REQ-03914</v>
      </c>
      <c r="B3915" s="11">
        <f>IFERROR(__xludf.DUMMYFUNCTION("""COMPUTED_VALUE"""),46039.89258677586)</f>
        <v>46039.89259</v>
      </c>
      <c r="C3915" s="9">
        <f>IFERROR(__xludf.DUMMYFUNCTION("""COMPUTED_VALUE"""),15145.0)</f>
        <v>15145</v>
      </c>
      <c r="D3915" s="9" t="str">
        <f>IFERROR(__xludf.DUMMYFUNCTION("""COMPUTED_VALUE"""),"Completed")</f>
        <v>Completed</v>
      </c>
    </row>
    <row r="3916">
      <c r="A3916" s="9" t="str">
        <f>IFERROR(__xludf.DUMMYFUNCTION("""COMPUTED_VALUE"""),"G-REQ-03915")</f>
        <v>G-REQ-03915</v>
      </c>
      <c r="B3916" s="11">
        <f>IFERROR(__xludf.DUMMYFUNCTION("""COMPUTED_VALUE"""),46039.96376162127)</f>
        <v>46039.96376</v>
      </c>
      <c r="C3916" s="9">
        <f>IFERROR(__xludf.DUMMYFUNCTION("""COMPUTED_VALUE"""),15149.0)</f>
        <v>15149</v>
      </c>
      <c r="D3916" s="9" t="str">
        <f>IFERROR(__xludf.DUMMYFUNCTION("""COMPUTED_VALUE"""),"Completed")</f>
        <v>Completed</v>
      </c>
    </row>
    <row r="3917">
      <c r="A3917" s="9" t="str">
        <f>IFERROR(__xludf.DUMMYFUNCTION("""COMPUTED_VALUE"""),"G-REQ-03916")</f>
        <v>G-REQ-03916</v>
      </c>
      <c r="B3917" s="11">
        <f>IFERROR(__xludf.DUMMYFUNCTION("""COMPUTED_VALUE"""),46040.027992022246)</f>
        <v>46040.02799</v>
      </c>
      <c r="C3917" s="9">
        <f>IFERROR(__xludf.DUMMYFUNCTION("""COMPUTED_VALUE"""),15151.0)</f>
        <v>15151</v>
      </c>
      <c r="D3917" s="9" t="str">
        <f>IFERROR(__xludf.DUMMYFUNCTION("""COMPUTED_VALUE"""),"Rejected")</f>
        <v>Rejected</v>
      </c>
    </row>
    <row r="3918">
      <c r="A3918" s="9" t="str">
        <f>IFERROR(__xludf.DUMMYFUNCTION("""COMPUTED_VALUE"""),"G-REQ-03917")</f>
        <v>G-REQ-03917</v>
      </c>
      <c r="B3918" s="11">
        <f>IFERROR(__xludf.DUMMYFUNCTION("""COMPUTED_VALUE"""),46040.09916686766)</f>
        <v>46040.09917</v>
      </c>
      <c r="C3918" s="9">
        <f>IFERROR(__xludf.DUMMYFUNCTION("""COMPUTED_VALUE"""),15153.0)</f>
        <v>15153</v>
      </c>
      <c r="D3918" s="9" t="str">
        <f>IFERROR(__xludf.DUMMYFUNCTION("""COMPUTED_VALUE"""),"Cancelled")</f>
        <v>Cancelled</v>
      </c>
    </row>
    <row r="3919">
      <c r="A3919" s="9" t="str">
        <f>IFERROR(__xludf.DUMMYFUNCTION("""COMPUTED_VALUE"""),"G-REQ-03918")</f>
        <v>G-REQ-03918</v>
      </c>
      <c r="B3919" s="11">
        <f>IFERROR(__xludf.DUMMYFUNCTION("""COMPUTED_VALUE"""),46040.177286157515)</f>
        <v>46040.17729</v>
      </c>
      <c r="C3919" s="9">
        <f>IFERROR(__xludf.DUMMYFUNCTION("""COMPUTED_VALUE"""),15157.0)</f>
        <v>15157</v>
      </c>
      <c r="D3919" s="9" t="str">
        <f>IFERROR(__xludf.DUMMYFUNCTION("""COMPUTED_VALUE"""),"Completed")</f>
        <v>Completed</v>
      </c>
    </row>
    <row r="3920">
      <c r="A3920" s="9" t="str">
        <f>IFERROR(__xludf.DUMMYFUNCTION("""COMPUTED_VALUE"""),"G-REQ-03919")</f>
        <v>G-REQ-03919</v>
      </c>
      <c r="B3920" s="11">
        <f>IFERROR(__xludf.DUMMYFUNCTION("""COMPUTED_VALUE"""),46040.248461002935)</f>
        <v>46040.24846</v>
      </c>
      <c r="C3920" s="9">
        <f>IFERROR(__xludf.DUMMYFUNCTION("""COMPUTED_VALUE"""),15161.0)</f>
        <v>15161</v>
      </c>
      <c r="D3920" s="9" t="str">
        <f>IFERROR(__xludf.DUMMYFUNCTION("""COMPUTED_VALUE"""),"Completed")</f>
        <v>Completed</v>
      </c>
    </row>
    <row r="3921">
      <c r="A3921" s="9" t="str">
        <f>IFERROR(__xludf.DUMMYFUNCTION("""COMPUTED_VALUE"""),"G-REQ-03920")</f>
        <v>G-REQ-03920</v>
      </c>
      <c r="B3921" s="11">
        <f>IFERROR(__xludf.DUMMYFUNCTION("""COMPUTED_VALUE"""),46040.31963584835)</f>
        <v>46040.31964</v>
      </c>
      <c r="C3921" s="9">
        <f>IFERROR(__xludf.DUMMYFUNCTION("""COMPUTED_VALUE"""),15165.0)</f>
        <v>15165</v>
      </c>
      <c r="D3921" s="9" t="str">
        <f>IFERROR(__xludf.DUMMYFUNCTION("""COMPUTED_VALUE"""),"Completed")</f>
        <v>Completed</v>
      </c>
    </row>
    <row r="3922">
      <c r="A3922" s="9" t="str">
        <f>IFERROR(__xludf.DUMMYFUNCTION("""COMPUTED_VALUE"""),"G-REQ-03921")</f>
        <v>G-REQ-03921</v>
      </c>
      <c r="B3922" s="11">
        <f>IFERROR(__xludf.DUMMYFUNCTION("""COMPUTED_VALUE"""),46040.39081069376)</f>
        <v>46040.39081</v>
      </c>
      <c r="C3922" s="9">
        <f>IFERROR(__xludf.DUMMYFUNCTION("""COMPUTED_VALUE"""),15169.0)</f>
        <v>15169</v>
      </c>
      <c r="D3922" s="9" t="str">
        <f>IFERROR(__xludf.DUMMYFUNCTION("""COMPUTED_VALUE"""),"Completed")</f>
        <v>Completed</v>
      </c>
    </row>
    <row r="3923">
      <c r="A3923" s="9" t="str">
        <f>IFERROR(__xludf.DUMMYFUNCTION("""COMPUTED_VALUE"""),"G-REQ-03922")</f>
        <v>G-REQ-03922</v>
      </c>
      <c r="B3923" s="11">
        <f>IFERROR(__xludf.DUMMYFUNCTION("""COMPUTED_VALUE"""),46040.46198553918)</f>
        <v>46040.46199</v>
      </c>
      <c r="C3923" s="9">
        <f>IFERROR(__xludf.DUMMYFUNCTION("""COMPUTED_VALUE"""),15173.0)</f>
        <v>15173</v>
      </c>
      <c r="D3923" s="9" t="str">
        <f>IFERROR(__xludf.DUMMYFUNCTION("""COMPUTED_VALUE"""),"Completed")</f>
        <v>Completed</v>
      </c>
    </row>
    <row r="3924">
      <c r="A3924" s="9" t="str">
        <f>IFERROR(__xludf.DUMMYFUNCTION("""COMPUTED_VALUE"""),"G-REQ-03923")</f>
        <v>G-REQ-03923</v>
      </c>
      <c r="B3924" s="11">
        <f>IFERROR(__xludf.DUMMYFUNCTION("""COMPUTED_VALUE"""),46040.53316038459)</f>
        <v>46040.53316</v>
      </c>
      <c r="C3924" s="9">
        <f>IFERROR(__xludf.DUMMYFUNCTION("""COMPUTED_VALUE"""),15177.0)</f>
        <v>15177</v>
      </c>
      <c r="D3924" s="9" t="str">
        <f>IFERROR(__xludf.DUMMYFUNCTION("""COMPUTED_VALUE"""),"Completed")</f>
        <v>Completed</v>
      </c>
    </row>
    <row r="3925">
      <c r="A3925" s="9" t="str">
        <f>IFERROR(__xludf.DUMMYFUNCTION("""COMPUTED_VALUE"""),"G-REQ-03924")</f>
        <v>G-REQ-03924</v>
      </c>
      <c r="B3925" s="11">
        <f>IFERROR(__xludf.DUMMYFUNCTION("""COMPUTED_VALUE"""),46040.597390785566)</f>
        <v>46040.59739</v>
      </c>
      <c r="C3925" s="9">
        <f>IFERROR(__xludf.DUMMYFUNCTION("""COMPUTED_VALUE"""),15179.0)</f>
        <v>15179</v>
      </c>
      <c r="D3925" s="9" t="str">
        <f>IFERROR(__xludf.DUMMYFUNCTION("""COMPUTED_VALUE"""),"Cancelled")</f>
        <v>Cancelled</v>
      </c>
    </row>
    <row r="3926">
      <c r="A3926" s="9" t="str">
        <f>IFERROR(__xludf.DUMMYFUNCTION("""COMPUTED_VALUE"""),"G-REQ-03925")</f>
        <v>G-REQ-03925</v>
      </c>
      <c r="B3926" s="11">
        <f>IFERROR(__xludf.DUMMYFUNCTION("""COMPUTED_VALUE"""),46040.67551007542)</f>
        <v>46040.67551</v>
      </c>
      <c r="C3926" s="9">
        <f>IFERROR(__xludf.DUMMYFUNCTION("""COMPUTED_VALUE"""),15183.0)</f>
        <v>15183</v>
      </c>
      <c r="D3926" s="9" t="str">
        <f>IFERROR(__xludf.DUMMYFUNCTION("""COMPUTED_VALUE"""),"Completed")</f>
        <v>Completed</v>
      </c>
    </row>
    <row r="3927">
      <c r="A3927" s="9" t="str">
        <f>IFERROR(__xludf.DUMMYFUNCTION("""COMPUTED_VALUE"""),"G-REQ-03926")</f>
        <v>G-REQ-03926</v>
      </c>
      <c r="B3927" s="11">
        <f>IFERROR(__xludf.DUMMYFUNCTION("""COMPUTED_VALUE"""),46040.74668492084)</f>
        <v>46040.74668</v>
      </c>
      <c r="C3927" s="9">
        <f>IFERROR(__xludf.DUMMYFUNCTION("""COMPUTED_VALUE"""),15187.0)</f>
        <v>15187</v>
      </c>
      <c r="D3927" s="9" t="str">
        <f>IFERROR(__xludf.DUMMYFUNCTION("""COMPUTED_VALUE"""),"Completed")</f>
        <v>Completed</v>
      </c>
    </row>
    <row r="3928">
      <c r="A3928" s="9" t="str">
        <f>IFERROR(__xludf.DUMMYFUNCTION("""COMPUTED_VALUE"""),"G-REQ-03927")</f>
        <v>G-REQ-03927</v>
      </c>
      <c r="B3928" s="11">
        <f>IFERROR(__xludf.DUMMYFUNCTION("""COMPUTED_VALUE"""),46040.8109153218)</f>
        <v>46040.81092</v>
      </c>
      <c r="C3928" s="9">
        <f>IFERROR(__xludf.DUMMYFUNCTION("""COMPUTED_VALUE"""),15189.0)</f>
        <v>15189</v>
      </c>
      <c r="D3928" s="9" t="str">
        <f>IFERROR(__xludf.DUMMYFUNCTION("""COMPUTED_VALUE"""),"Rejected")</f>
        <v>Rejected</v>
      </c>
    </row>
    <row r="3929">
      <c r="A3929" s="9" t="str">
        <f>IFERROR(__xludf.DUMMYFUNCTION("""COMPUTED_VALUE"""),"G-REQ-03928")</f>
        <v>G-REQ-03928</v>
      </c>
      <c r="B3929" s="11">
        <f>IFERROR(__xludf.DUMMYFUNCTION("""COMPUTED_VALUE"""),46040.88903461167)</f>
        <v>46040.88903</v>
      </c>
      <c r="C3929" s="9">
        <f>IFERROR(__xludf.DUMMYFUNCTION("""COMPUTED_VALUE"""),15193.0)</f>
        <v>15193</v>
      </c>
      <c r="D3929" s="9" t="str">
        <f>IFERROR(__xludf.DUMMYFUNCTION("""COMPUTED_VALUE"""),"Completed")</f>
        <v>Completed</v>
      </c>
    </row>
    <row r="3930">
      <c r="A3930" s="9" t="str">
        <f>IFERROR(__xludf.DUMMYFUNCTION("""COMPUTED_VALUE"""),"G-REQ-03929")</f>
        <v>G-REQ-03929</v>
      </c>
      <c r="B3930" s="11">
        <f>IFERROR(__xludf.DUMMYFUNCTION("""COMPUTED_VALUE"""),46040.96020945709)</f>
        <v>46040.96021</v>
      </c>
      <c r="C3930" s="9">
        <f>IFERROR(__xludf.DUMMYFUNCTION("""COMPUTED_VALUE"""),15197.0)</f>
        <v>15197</v>
      </c>
      <c r="D3930" s="9" t="str">
        <f>IFERROR(__xludf.DUMMYFUNCTION("""COMPUTED_VALUE"""),"Completed")</f>
        <v>Completed</v>
      </c>
    </row>
    <row r="3931">
      <c r="A3931" s="9" t="str">
        <f>IFERROR(__xludf.DUMMYFUNCTION("""COMPUTED_VALUE"""),"G-REQ-03930")</f>
        <v>G-REQ-03930</v>
      </c>
      <c r="B3931" s="11">
        <f>IFERROR(__xludf.DUMMYFUNCTION("""COMPUTED_VALUE"""),46041.0313843025)</f>
        <v>46041.03138</v>
      </c>
      <c r="C3931" s="9">
        <f>IFERROR(__xludf.DUMMYFUNCTION("""COMPUTED_VALUE"""),15201.0)</f>
        <v>15201</v>
      </c>
      <c r="D3931" s="9" t="str">
        <f>IFERROR(__xludf.DUMMYFUNCTION("""COMPUTED_VALUE"""),"Completed")</f>
        <v>Completed</v>
      </c>
    </row>
    <row r="3932">
      <c r="A3932" s="9" t="str">
        <f>IFERROR(__xludf.DUMMYFUNCTION("""COMPUTED_VALUE"""),"G-REQ-03931")</f>
        <v>G-REQ-03931</v>
      </c>
      <c r="B3932" s="11">
        <f>IFERROR(__xludf.DUMMYFUNCTION("""COMPUTED_VALUE"""),46041.10255914791)</f>
        <v>46041.10256</v>
      </c>
      <c r="C3932" s="9">
        <f>IFERROR(__xludf.DUMMYFUNCTION("""COMPUTED_VALUE"""),15205.0)</f>
        <v>15205</v>
      </c>
      <c r="D3932" s="9" t="str">
        <f>IFERROR(__xludf.DUMMYFUNCTION("""COMPUTED_VALUE"""),"Completed")</f>
        <v>Completed</v>
      </c>
    </row>
    <row r="3933">
      <c r="A3933" s="9" t="str">
        <f>IFERROR(__xludf.DUMMYFUNCTION("""COMPUTED_VALUE"""),"G-REQ-03932")</f>
        <v>G-REQ-03932</v>
      </c>
      <c r="B3933" s="11">
        <f>IFERROR(__xludf.DUMMYFUNCTION("""COMPUTED_VALUE"""),46041.17373399333)</f>
        <v>46041.17373</v>
      </c>
      <c r="C3933" s="9">
        <f>IFERROR(__xludf.DUMMYFUNCTION("""COMPUTED_VALUE"""),15209.0)</f>
        <v>15209</v>
      </c>
      <c r="D3933" s="9" t="str">
        <f>IFERROR(__xludf.DUMMYFUNCTION("""COMPUTED_VALUE"""),"Completed")</f>
        <v>Completed</v>
      </c>
    </row>
    <row r="3934">
      <c r="A3934" s="9" t="str">
        <f>IFERROR(__xludf.DUMMYFUNCTION("""COMPUTED_VALUE"""),"G-REQ-03933")</f>
        <v>G-REQ-03933</v>
      </c>
      <c r="B3934" s="11">
        <f>IFERROR(__xludf.DUMMYFUNCTION("""COMPUTED_VALUE"""),46041.244908838744)</f>
        <v>46041.24491</v>
      </c>
      <c r="C3934" s="9">
        <f>IFERROR(__xludf.DUMMYFUNCTION("""COMPUTED_VALUE"""),15213.0)</f>
        <v>15213</v>
      </c>
      <c r="D3934" s="9" t="str">
        <f>IFERROR(__xludf.DUMMYFUNCTION("""COMPUTED_VALUE"""),"Completed")</f>
        <v>Completed</v>
      </c>
    </row>
    <row r="3935">
      <c r="A3935" s="9" t="str">
        <f>IFERROR(__xludf.DUMMYFUNCTION("""COMPUTED_VALUE"""),"G-REQ-03934")</f>
        <v>G-REQ-03934</v>
      </c>
      <c r="B3935" s="11">
        <f>IFERROR(__xludf.DUMMYFUNCTION("""COMPUTED_VALUE"""),46041.316083684156)</f>
        <v>46041.31608</v>
      </c>
      <c r="C3935" s="9">
        <f>IFERROR(__xludf.DUMMYFUNCTION("""COMPUTED_VALUE"""),15217.0)</f>
        <v>15217</v>
      </c>
      <c r="D3935" s="9" t="str">
        <f>IFERROR(__xludf.DUMMYFUNCTION("""COMPUTED_VALUE"""),"Completed")</f>
        <v>Completed</v>
      </c>
    </row>
    <row r="3936">
      <c r="A3936" s="9" t="str">
        <f>IFERROR(__xludf.DUMMYFUNCTION("""COMPUTED_VALUE"""),"G-REQ-03935")</f>
        <v>G-REQ-03935</v>
      </c>
      <c r="B3936" s="11">
        <f>IFERROR(__xludf.DUMMYFUNCTION("""COMPUTED_VALUE"""),46041.387258529576)</f>
        <v>46041.38726</v>
      </c>
      <c r="C3936" s="9">
        <f>IFERROR(__xludf.DUMMYFUNCTION("""COMPUTED_VALUE"""),15221.0)</f>
        <v>15221</v>
      </c>
      <c r="D3936" s="9" t="str">
        <f>IFERROR(__xludf.DUMMYFUNCTION("""COMPUTED_VALUE"""),"Completed")</f>
        <v>Completed</v>
      </c>
    </row>
    <row r="3937">
      <c r="A3937" s="9" t="str">
        <f>IFERROR(__xludf.DUMMYFUNCTION("""COMPUTED_VALUE"""),"G-REQ-03936")</f>
        <v>G-REQ-03936</v>
      </c>
      <c r="B3937" s="11">
        <f>IFERROR(__xludf.DUMMYFUNCTION("""COMPUTED_VALUE"""),46041.458433374995)</f>
        <v>46041.45843</v>
      </c>
      <c r="C3937" s="9">
        <f>IFERROR(__xludf.DUMMYFUNCTION("""COMPUTED_VALUE"""),15225.0)</f>
        <v>15225</v>
      </c>
      <c r="D3937" s="9" t="str">
        <f>IFERROR(__xludf.DUMMYFUNCTION("""COMPUTED_VALUE"""),"Completed")</f>
        <v>Completed</v>
      </c>
    </row>
    <row r="3938">
      <c r="A3938" s="9" t="str">
        <f>IFERROR(__xludf.DUMMYFUNCTION("""COMPUTED_VALUE"""),"G-REQ-03937")</f>
        <v>G-REQ-03937</v>
      </c>
      <c r="B3938" s="11">
        <f>IFERROR(__xludf.DUMMYFUNCTION("""COMPUTED_VALUE"""),46041.5296082204)</f>
        <v>46041.52961</v>
      </c>
      <c r="C3938" s="9">
        <f>IFERROR(__xludf.DUMMYFUNCTION("""COMPUTED_VALUE"""),15229.0)</f>
        <v>15229</v>
      </c>
      <c r="D3938" s="9" t="str">
        <f>IFERROR(__xludf.DUMMYFUNCTION("""COMPUTED_VALUE"""),"Completed")</f>
        <v>Completed</v>
      </c>
    </row>
    <row r="3939">
      <c r="A3939" s="9" t="str">
        <f>IFERROR(__xludf.DUMMYFUNCTION("""COMPUTED_VALUE"""),"G-REQ-03938")</f>
        <v>G-REQ-03938</v>
      </c>
      <c r="B3939" s="11">
        <f>IFERROR(__xludf.DUMMYFUNCTION("""COMPUTED_VALUE"""),46041.60078306582)</f>
        <v>46041.60078</v>
      </c>
      <c r="C3939" s="9">
        <f>IFERROR(__xludf.DUMMYFUNCTION("""COMPUTED_VALUE"""),15233.0)</f>
        <v>15233</v>
      </c>
      <c r="D3939" s="9" t="str">
        <f>IFERROR(__xludf.DUMMYFUNCTION("""COMPUTED_VALUE"""),"Completed")</f>
        <v>Completed</v>
      </c>
    </row>
    <row r="3940">
      <c r="A3940" s="9" t="str">
        <f>IFERROR(__xludf.DUMMYFUNCTION("""COMPUTED_VALUE"""),"G-REQ-03939")</f>
        <v>G-REQ-03939</v>
      </c>
      <c r="B3940" s="11">
        <f>IFERROR(__xludf.DUMMYFUNCTION("""COMPUTED_VALUE"""),46041.67195791123)</f>
        <v>46041.67196</v>
      </c>
      <c r="C3940" s="9">
        <f>IFERROR(__xludf.DUMMYFUNCTION("""COMPUTED_VALUE"""),15237.0)</f>
        <v>15237</v>
      </c>
      <c r="D3940" s="9" t="str">
        <f>IFERROR(__xludf.DUMMYFUNCTION("""COMPUTED_VALUE"""),"Completed")</f>
        <v>Completed</v>
      </c>
    </row>
    <row r="3941">
      <c r="A3941" s="9" t="str">
        <f>IFERROR(__xludf.DUMMYFUNCTION("""COMPUTED_VALUE"""),"G-REQ-03940")</f>
        <v>G-REQ-03940</v>
      </c>
      <c r="B3941" s="11">
        <f>IFERROR(__xludf.DUMMYFUNCTION("""COMPUTED_VALUE"""),46041.74313275665)</f>
        <v>46041.74313</v>
      </c>
      <c r="C3941" s="9">
        <f>IFERROR(__xludf.DUMMYFUNCTION("""COMPUTED_VALUE"""),15241.0)</f>
        <v>15241</v>
      </c>
      <c r="D3941" s="9" t="str">
        <f>IFERROR(__xludf.DUMMYFUNCTION("""COMPUTED_VALUE"""),"Completed")</f>
        <v>Completed</v>
      </c>
    </row>
    <row r="3942">
      <c r="A3942" s="9" t="str">
        <f>IFERROR(__xludf.DUMMYFUNCTION("""COMPUTED_VALUE"""),"G-REQ-03941")</f>
        <v>G-REQ-03941</v>
      </c>
      <c r="B3942" s="11">
        <f>IFERROR(__xludf.DUMMYFUNCTION("""COMPUTED_VALUE"""),46041.814307602064)</f>
        <v>46041.81431</v>
      </c>
      <c r="C3942" s="9">
        <f>IFERROR(__xludf.DUMMYFUNCTION("""COMPUTED_VALUE"""),15245.0)</f>
        <v>15245</v>
      </c>
      <c r="D3942" s="9" t="str">
        <f>IFERROR(__xludf.DUMMYFUNCTION("""COMPUTED_VALUE"""),"Completed")</f>
        <v>Completed</v>
      </c>
    </row>
    <row r="3943">
      <c r="A3943" s="9" t="str">
        <f>IFERROR(__xludf.DUMMYFUNCTION("""COMPUTED_VALUE"""),"G-REQ-03942")</f>
        <v>G-REQ-03942</v>
      </c>
      <c r="B3943" s="11">
        <f>IFERROR(__xludf.DUMMYFUNCTION("""COMPUTED_VALUE"""),46041.885482447484)</f>
        <v>46041.88548</v>
      </c>
      <c r="C3943" s="9">
        <f>IFERROR(__xludf.DUMMYFUNCTION("""COMPUTED_VALUE"""),15249.0)</f>
        <v>15249</v>
      </c>
      <c r="D3943" s="9" t="str">
        <f>IFERROR(__xludf.DUMMYFUNCTION("""COMPUTED_VALUE"""),"Completed")</f>
        <v>Completed</v>
      </c>
    </row>
    <row r="3944">
      <c r="A3944" s="9" t="str">
        <f>IFERROR(__xludf.DUMMYFUNCTION("""COMPUTED_VALUE"""),"G-REQ-03943")</f>
        <v>G-REQ-03943</v>
      </c>
      <c r="B3944" s="11">
        <f>IFERROR(__xludf.DUMMYFUNCTION("""COMPUTED_VALUE"""),46041.95665729289)</f>
        <v>46041.95666</v>
      </c>
      <c r="C3944" s="9">
        <f>IFERROR(__xludf.DUMMYFUNCTION("""COMPUTED_VALUE"""),15253.0)</f>
        <v>15253</v>
      </c>
      <c r="D3944" s="9" t="str">
        <f>IFERROR(__xludf.DUMMYFUNCTION("""COMPUTED_VALUE"""),"Completed")</f>
        <v>Completed</v>
      </c>
    </row>
    <row r="3945">
      <c r="A3945" s="9" t="str">
        <f>IFERROR(__xludf.DUMMYFUNCTION("""COMPUTED_VALUE"""),"G-REQ-03944")</f>
        <v>G-REQ-03944</v>
      </c>
      <c r="B3945" s="11">
        <f>IFERROR(__xludf.DUMMYFUNCTION("""COMPUTED_VALUE"""),46042.02783213831)</f>
        <v>46042.02783</v>
      </c>
      <c r="C3945" s="9">
        <f>IFERROR(__xludf.DUMMYFUNCTION("""COMPUTED_VALUE"""),15257.0)</f>
        <v>15257</v>
      </c>
      <c r="D3945" s="9" t="str">
        <f>IFERROR(__xludf.DUMMYFUNCTION("""COMPUTED_VALUE"""),"Completed")</f>
        <v>Completed</v>
      </c>
    </row>
    <row r="3946">
      <c r="A3946" s="9" t="str">
        <f>IFERROR(__xludf.DUMMYFUNCTION("""COMPUTED_VALUE"""),"G-REQ-03945")</f>
        <v>G-REQ-03945</v>
      </c>
      <c r="B3946" s="11">
        <f>IFERROR(__xludf.DUMMYFUNCTION("""COMPUTED_VALUE"""),46042.09900698373)</f>
        <v>46042.09901</v>
      </c>
      <c r="C3946" s="9">
        <f>IFERROR(__xludf.DUMMYFUNCTION("""COMPUTED_VALUE"""),15261.0)</f>
        <v>15261</v>
      </c>
      <c r="D3946" s="9" t="str">
        <f>IFERROR(__xludf.DUMMYFUNCTION("""COMPUTED_VALUE"""),"Completed")</f>
        <v>Completed</v>
      </c>
    </row>
    <row r="3947">
      <c r="A3947" s="9" t="str">
        <f>IFERROR(__xludf.DUMMYFUNCTION("""COMPUTED_VALUE"""),"G-REQ-03946")</f>
        <v>G-REQ-03946</v>
      </c>
      <c r="B3947" s="11">
        <f>IFERROR(__xludf.DUMMYFUNCTION("""COMPUTED_VALUE"""),46042.17018182914)</f>
        <v>46042.17018</v>
      </c>
      <c r="C3947" s="9">
        <f>IFERROR(__xludf.DUMMYFUNCTION("""COMPUTED_VALUE"""),15265.0)</f>
        <v>15265</v>
      </c>
      <c r="D3947" s="9" t="str">
        <f>IFERROR(__xludf.DUMMYFUNCTION("""COMPUTED_VALUE"""),"Completed")</f>
        <v>Completed</v>
      </c>
    </row>
    <row r="3948">
      <c r="A3948" s="9" t="str">
        <f>IFERROR(__xludf.DUMMYFUNCTION("""COMPUTED_VALUE"""),"G-REQ-03947")</f>
        <v>G-REQ-03947</v>
      </c>
      <c r="B3948" s="11">
        <f>IFERROR(__xludf.DUMMYFUNCTION("""COMPUTED_VALUE"""),46042.24135667455)</f>
        <v>46042.24136</v>
      </c>
      <c r="C3948" s="9">
        <f>IFERROR(__xludf.DUMMYFUNCTION("""COMPUTED_VALUE"""),15269.0)</f>
        <v>15269</v>
      </c>
      <c r="D3948" s="9" t="str">
        <f>IFERROR(__xludf.DUMMYFUNCTION("""COMPUTED_VALUE"""),"Completed")</f>
        <v>Completed</v>
      </c>
    </row>
    <row r="3949">
      <c r="A3949" s="9" t="str">
        <f>IFERROR(__xludf.DUMMYFUNCTION("""COMPUTED_VALUE"""),"G-REQ-03948")</f>
        <v>G-REQ-03948</v>
      </c>
      <c r="B3949" s="11">
        <f>IFERROR(__xludf.DUMMYFUNCTION("""COMPUTED_VALUE"""),46042.31253151997)</f>
        <v>46042.31253</v>
      </c>
      <c r="C3949" s="9">
        <f>IFERROR(__xludf.DUMMYFUNCTION("""COMPUTED_VALUE"""),15273.0)</f>
        <v>15273</v>
      </c>
      <c r="D3949" s="9" t="str">
        <f>IFERROR(__xludf.DUMMYFUNCTION("""COMPUTED_VALUE"""),"Completed")</f>
        <v>Completed</v>
      </c>
    </row>
    <row r="3950">
      <c r="A3950" s="9" t="str">
        <f>IFERROR(__xludf.DUMMYFUNCTION("""COMPUTED_VALUE"""),"G-REQ-03949")</f>
        <v>G-REQ-03949</v>
      </c>
      <c r="B3950" s="11">
        <f>IFERROR(__xludf.DUMMYFUNCTION("""COMPUTED_VALUE"""),46042.383706365385)</f>
        <v>46042.38371</v>
      </c>
      <c r="C3950" s="9">
        <f>IFERROR(__xludf.DUMMYFUNCTION("""COMPUTED_VALUE"""),15277.0)</f>
        <v>15277</v>
      </c>
      <c r="D3950" s="9" t="str">
        <f>IFERROR(__xludf.DUMMYFUNCTION("""COMPUTED_VALUE"""),"Completed")</f>
        <v>Completed</v>
      </c>
    </row>
    <row r="3951">
      <c r="A3951" s="9" t="str">
        <f>IFERROR(__xludf.DUMMYFUNCTION("""COMPUTED_VALUE"""),"G-REQ-03950")</f>
        <v>G-REQ-03950</v>
      </c>
      <c r="B3951" s="11">
        <f>IFERROR(__xludf.DUMMYFUNCTION("""COMPUTED_VALUE"""),46042.4548812108)</f>
        <v>46042.45488</v>
      </c>
      <c r="C3951" s="9">
        <f>IFERROR(__xludf.DUMMYFUNCTION("""COMPUTED_VALUE"""),15281.0)</f>
        <v>15281</v>
      </c>
      <c r="D3951" s="9" t="str">
        <f>IFERROR(__xludf.DUMMYFUNCTION("""COMPUTED_VALUE"""),"Completed")</f>
        <v>Completed</v>
      </c>
    </row>
    <row r="3952">
      <c r="A3952" s="9" t="str">
        <f>IFERROR(__xludf.DUMMYFUNCTION("""COMPUTED_VALUE"""),"G-REQ-03951")</f>
        <v>G-REQ-03951</v>
      </c>
      <c r="B3952" s="11">
        <f>IFERROR(__xludf.DUMMYFUNCTION("""COMPUTED_VALUE"""),46042.52605605622)</f>
        <v>46042.52606</v>
      </c>
      <c r="C3952" s="9">
        <f>IFERROR(__xludf.DUMMYFUNCTION("""COMPUTED_VALUE"""),15285.0)</f>
        <v>15285</v>
      </c>
      <c r="D3952" s="9" t="str">
        <f>IFERROR(__xludf.DUMMYFUNCTION("""COMPUTED_VALUE"""),"Completed")</f>
        <v>Completed</v>
      </c>
    </row>
    <row r="3953">
      <c r="A3953" s="9" t="str">
        <f>IFERROR(__xludf.DUMMYFUNCTION("""COMPUTED_VALUE"""),"G-REQ-03952")</f>
        <v>G-REQ-03952</v>
      </c>
      <c r="B3953" s="11">
        <f>IFERROR(__xludf.DUMMYFUNCTION("""COMPUTED_VALUE"""),46042.597230901636)</f>
        <v>46042.59723</v>
      </c>
      <c r="C3953" s="9">
        <f>IFERROR(__xludf.DUMMYFUNCTION("""COMPUTED_VALUE"""),15289.0)</f>
        <v>15289</v>
      </c>
      <c r="D3953" s="9" t="str">
        <f>IFERROR(__xludf.DUMMYFUNCTION("""COMPUTED_VALUE"""),"Completed")</f>
        <v>Completed</v>
      </c>
    </row>
    <row r="3954">
      <c r="A3954" s="9" t="str">
        <f>IFERROR(__xludf.DUMMYFUNCTION("""COMPUTED_VALUE"""),"G-REQ-03953")</f>
        <v>G-REQ-03953</v>
      </c>
      <c r="B3954" s="11">
        <f>IFERROR(__xludf.DUMMYFUNCTION("""COMPUTED_VALUE"""),46042.66840574704)</f>
        <v>46042.66841</v>
      </c>
      <c r="C3954" s="9">
        <f>IFERROR(__xludf.DUMMYFUNCTION("""COMPUTED_VALUE"""),15293.0)</f>
        <v>15293</v>
      </c>
      <c r="D3954" s="9" t="str">
        <f>IFERROR(__xludf.DUMMYFUNCTION("""COMPUTED_VALUE"""),"Completed")</f>
        <v>Completed</v>
      </c>
    </row>
    <row r="3955">
      <c r="A3955" s="9" t="str">
        <f>IFERROR(__xludf.DUMMYFUNCTION("""COMPUTED_VALUE"""),"G-REQ-03954")</f>
        <v>G-REQ-03954</v>
      </c>
      <c r="B3955" s="11">
        <f>IFERROR(__xludf.DUMMYFUNCTION("""COMPUTED_VALUE"""),46042.73958059246)</f>
        <v>46042.73958</v>
      </c>
      <c r="C3955" s="9">
        <f>IFERROR(__xludf.DUMMYFUNCTION("""COMPUTED_VALUE"""),15297.0)</f>
        <v>15297</v>
      </c>
      <c r="D3955" s="9" t="str">
        <f>IFERROR(__xludf.DUMMYFUNCTION("""COMPUTED_VALUE"""),"Completed")</f>
        <v>Completed</v>
      </c>
    </row>
    <row r="3956">
      <c r="A3956" s="9" t="str">
        <f>IFERROR(__xludf.DUMMYFUNCTION("""COMPUTED_VALUE"""),"G-REQ-03955")</f>
        <v>G-REQ-03955</v>
      </c>
      <c r="B3956" s="11">
        <f>IFERROR(__xludf.DUMMYFUNCTION("""COMPUTED_VALUE"""),46042.803810993435)</f>
        <v>46042.80381</v>
      </c>
      <c r="C3956" s="9">
        <f>IFERROR(__xludf.DUMMYFUNCTION("""COMPUTED_VALUE"""),15299.0)</f>
        <v>15299</v>
      </c>
      <c r="D3956" s="9" t="str">
        <f>IFERROR(__xludf.DUMMYFUNCTION("""COMPUTED_VALUE"""),"Rejected")</f>
        <v>Rejected</v>
      </c>
    </row>
    <row r="3957">
      <c r="A3957" s="9" t="str">
        <f>IFERROR(__xludf.DUMMYFUNCTION("""COMPUTED_VALUE"""),"G-REQ-03956")</f>
        <v>G-REQ-03956</v>
      </c>
      <c r="B3957" s="11">
        <f>IFERROR(__xludf.DUMMYFUNCTION("""COMPUTED_VALUE"""),46042.88193028329)</f>
        <v>46042.88193</v>
      </c>
      <c r="C3957" s="9">
        <f>IFERROR(__xludf.DUMMYFUNCTION("""COMPUTED_VALUE"""),15303.0)</f>
        <v>15303</v>
      </c>
      <c r="D3957" s="9" t="str">
        <f>IFERROR(__xludf.DUMMYFUNCTION("""COMPUTED_VALUE"""),"Completed")</f>
        <v>Completed</v>
      </c>
    </row>
    <row r="3958">
      <c r="A3958" s="9" t="str">
        <f>IFERROR(__xludf.DUMMYFUNCTION("""COMPUTED_VALUE"""),"G-REQ-03957")</f>
        <v>G-REQ-03957</v>
      </c>
      <c r="B3958" s="11">
        <f>IFERROR(__xludf.DUMMYFUNCTION("""COMPUTED_VALUE"""),46042.953105128705)</f>
        <v>46042.95311</v>
      </c>
      <c r="C3958" s="9">
        <f>IFERROR(__xludf.DUMMYFUNCTION("""COMPUTED_VALUE"""),15307.0)</f>
        <v>15307</v>
      </c>
      <c r="D3958" s="9" t="str">
        <f>IFERROR(__xludf.DUMMYFUNCTION("""COMPUTED_VALUE"""),"Completed")</f>
        <v>Completed</v>
      </c>
    </row>
    <row r="3959">
      <c r="A3959" s="9" t="str">
        <f>IFERROR(__xludf.DUMMYFUNCTION("""COMPUTED_VALUE"""),"G-REQ-03958")</f>
        <v>G-REQ-03958</v>
      </c>
      <c r="B3959" s="11">
        <f>IFERROR(__xludf.DUMMYFUNCTION("""COMPUTED_VALUE"""),46043.024279974125)</f>
        <v>46043.02428</v>
      </c>
      <c r="C3959" s="9">
        <f>IFERROR(__xludf.DUMMYFUNCTION("""COMPUTED_VALUE"""),15311.0)</f>
        <v>15311</v>
      </c>
      <c r="D3959" s="9" t="str">
        <f>IFERROR(__xludf.DUMMYFUNCTION("""COMPUTED_VALUE"""),"Completed")</f>
        <v>Completed</v>
      </c>
    </row>
    <row r="3960">
      <c r="A3960" s="9" t="str">
        <f>IFERROR(__xludf.DUMMYFUNCTION("""COMPUTED_VALUE"""),"G-REQ-03959")</f>
        <v>G-REQ-03959</v>
      </c>
      <c r="B3960" s="11">
        <f>IFERROR(__xludf.DUMMYFUNCTION("""COMPUTED_VALUE"""),46043.09545481954)</f>
        <v>46043.09545</v>
      </c>
      <c r="C3960" s="9">
        <f>IFERROR(__xludf.DUMMYFUNCTION("""COMPUTED_VALUE"""),15315.0)</f>
        <v>15315</v>
      </c>
      <c r="D3960" s="9" t="str">
        <f>IFERROR(__xludf.DUMMYFUNCTION("""COMPUTED_VALUE"""),"Completed")</f>
        <v>Completed</v>
      </c>
    </row>
    <row r="3961">
      <c r="A3961" s="9" t="str">
        <f>IFERROR(__xludf.DUMMYFUNCTION("""COMPUTED_VALUE"""),"G-REQ-03960")</f>
        <v>G-REQ-03960</v>
      </c>
      <c r="B3961" s="11">
        <f>IFERROR(__xludf.DUMMYFUNCTION("""COMPUTED_VALUE"""),46043.16662966495)</f>
        <v>46043.16663</v>
      </c>
      <c r="C3961" s="9">
        <f>IFERROR(__xludf.DUMMYFUNCTION("""COMPUTED_VALUE"""),15319.0)</f>
        <v>15319</v>
      </c>
      <c r="D3961" s="9" t="str">
        <f>IFERROR(__xludf.DUMMYFUNCTION("""COMPUTED_VALUE"""),"Completed")</f>
        <v>Completed</v>
      </c>
    </row>
    <row r="3962">
      <c r="A3962" s="9" t="str">
        <f>IFERROR(__xludf.DUMMYFUNCTION("""COMPUTED_VALUE"""),"G-REQ-03961")</f>
        <v>G-REQ-03961</v>
      </c>
      <c r="B3962" s="11">
        <f>IFERROR(__xludf.DUMMYFUNCTION("""COMPUTED_VALUE"""),46043.23780451037)</f>
        <v>46043.2378</v>
      </c>
      <c r="C3962" s="9">
        <f>IFERROR(__xludf.DUMMYFUNCTION("""COMPUTED_VALUE"""),15323.0)</f>
        <v>15323</v>
      </c>
      <c r="D3962" s="9" t="str">
        <f>IFERROR(__xludf.DUMMYFUNCTION("""COMPUTED_VALUE"""),"Completed")</f>
        <v>Completed</v>
      </c>
    </row>
    <row r="3963">
      <c r="A3963" s="9" t="str">
        <f>IFERROR(__xludf.DUMMYFUNCTION("""COMPUTED_VALUE"""),"G-REQ-03962")</f>
        <v>G-REQ-03962</v>
      </c>
      <c r="B3963" s="11">
        <f>IFERROR(__xludf.DUMMYFUNCTION("""COMPUTED_VALUE"""),46043.30897935578)</f>
        <v>46043.30898</v>
      </c>
      <c r="C3963" s="9">
        <f>IFERROR(__xludf.DUMMYFUNCTION("""COMPUTED_VALUE"""),15327.0)</f>
        <v>15327</v>
      </c>
      <c r="D3963" s="9" t="str">
        <f>IFERROR(__xludf.DUMMYFUNCTION("""COMPUTED_VALUE"""),"Completed")</f>
        <v>Completed</v>
      </c>
    </row>
    <row r="3964">
      <c r="A3964" s="9" t="str">
        <f>IFERROR(__xludf.DUMMYFUNCTION("""COMPUTED_VALUE"""),"G-REQ-03963")</f>
        <v>G-REQ-03963</v>
      </c>
      <c r="B3964" s="11">
        <f>IFERROR(__xludf.DUMMYFUNCTION("""COMPUTED_VALUE"""),46043.37320975675)</f>
        <v>46043.37321</v>
      </c>
      <c r="C3964" s="9">
        <f>IFERROR(__xludf.DUMMYFUNCTION("""COMPUTED_VALUE"""),15329.0)</f>
        <v>15329</v>
      </c>
      <c r="D3964" s="9" t="str">
        <f>IFERROR(__xludf.DUMMYFUNCTION("""COMPUTED_VALUE"""),"Cancelled")</f>
        <v>Cancelled</v>
      </c>
    </row>
    <row r="3965">
      <c r="A3965" s="9" t="str">
        <f>IFERROR(__xludf.DUMMYFUNCTION("""COMPUTED_VALUE"""),"G-REQ-03964")</f>
        <v>G-REQ-03964</v>
      </c>
      <c r="B3965" s="11">
        <f>IFERROR(__xludf.DUMMYFUNCTION("""COMPUTED_VALUE"""),46043.45132904661)</f>
        <v>46043.45133</v>
      </c>
      <c r="C3965" s="9">
        <f>IFERROR(__xludf.DUMMYFUNCTION("""COMPUTED_VALUE"""),15333.0)</f>
        <v>15333</v>
      </c>
      <c r="D3965" s="9" t="str">
        <f>IFERROR(__xludf.DUMMYFUNCTION("""COMPUTED_VALUE"""),"Completed")</f>
        <v>Completed</v>
      </c>
    </row>
    <row r="3966">
      <c r="A3966" s="9" t="str">
        <f>IFERROR(__xludf.DUMMYFUNCTION("""COMPUTED_VALUE"""),"G-REQ-03965")</f>
        <v>G-REQ-03965</v>
      </c>
      <c r="B3966" s="11">
        <f>IFERROR(__xludf.DUMMYFUNCTION("""COMPUTED_VALUE"""),46043.51555944758)</f>
        <v>46043.51556</v>
      </c>
      <c r="C3966" s="9">
        <f>IFERROR(__xludf.DUMMYFUNCTION("""COMPUTED_VALUE"""),15335.0)</f>
        <v>15335</v>
      </c>
      <c r="D3966" s="9" t="str">
        <f>IFERROR(__xludf.DUMMYFUNCTION("""COMPUTED_VALUE"""),"Cancelled")</f>
        <v>Cancelled</v>
      </c>
    </row>
    <row r="3967">
      <c r="A3967" s="9" t="str">
        <f>IFERROR(__xludf.DUMMYFUNCTION("""COMPUTED_VALUE"""),"G-REQ-03966")</f>
        <v>G-REQ-03966</v>
      </c>
      <c r="B3967" s="11">
        <f>IFERROR(__xludf.DUMMYFUNCTION("""COMPUTED_VALUE"""),46043.593678737445)</f>
        <v>46043.59368</v>
      </c>
      <c r="C3967" s="9">
        <f>IFERROR(__xludf.DUMMYFUNCTION("""COMPUTED_VALUE"""),15339.0)</f>
        <v>15339</v>
      </c>
      <c r="D3967" s="9" t="str">
        <f>IFERROR(__xludf.DUMMYFUNCTION("""COMPUTED_VALUE"""),"Completed")</f>
        <v>Completed</v>
      </c>
    </row>
    <row r="3968">
      <c r="A3968" s="9" t="str">
        <f>IFERROR(__xludf.DUMMYFUNCTION("""COMPUTED_VALUE"""),"G-REQ-03967")</f>
        <v>G-REQ-03967</v>
      </c>
      <c r="B3968" s="11">
        <f>IFERROR(__xludf.DUMMYFUNCTION("""COMPUTED_VALUE"""),46043.65790913841)</f>
        <v>46043.65791</v>
      </c>
      <c r="C3968" s="9">
        <f>IFERROR(__xludf.DUMMYFUNCTION("""COMPUTED_VALUE"""),15341.0)</f>
        <v>15341</v>
      </c>
      <c r="D3968" s="9" t="str">
        <f>IFERROR(__xludf.DUMMYFUNCTION("""COMPUTED_VALUE"""),"Cancelled")</f>
        <v>Cancelled</v>
      </c>
    </row>
    <row r="3969">
      <c r="A3969" s="9" t="str">
        <f>IFERROR(__xludf.DUMMYFUNCTION("""COMPUTED_VALUE"""),"G-REQ-03968")</f>
        <v>G-REQ-03968</v>
      </c>
      <c r="B3969" s="11">
        <f>IFERROR(__xludf.DUMMYFUNCTION("""COMPUTED_VALUE"""),46043.73602842828)</f>
        <v>46043.73603</v>
      </c>
      <c r="C3969" s="9">
        <f>IFERROR(__xludf.DUMMYFUNCTION("""COMPUTED_VALUE"""),15345.0)</f>
        <v>15345</v>
      </c>
      <c r="D3969" s="9" t="str">
        <f>IFERROR(__xludf.DUMMYFUNCTION("""COMPUTED_VALUE"""),"Completed")</f>
        <v>Completed</v>
      </c>
    </row>
    <row r="3970">
      <c r="A3970" s="9" t="str">
        <f>IFERROR(__xludf.DUMMYFUNCTION("""COMPUTED_VALUE"""),"G-REQ-03969")</f>
        <v>G-REQ-03969</v>
      </c>
      <c r="B3970" s="11">
        <f>IFERROR(__xludf.DUMMYFUNCTION("""COMPUTED_VALUE"""),46043.80025882924)</f>
        <v>46043.80026</v>
      </c>
      <c r="C3970" s="9">
        <f>IFERROR(__xludf.DUMMYFUNCTION("""COMPUTED_VALUE"""),15347.0)</f>
        <v>15347</v>
      </c>
      <c r="D3970" s="9" t="str">
        <f>IFERROR(__xludf.DUMMYFUNCTION("""COMPUTED_VALUE"""),"Cancelled")</f>
        <v>Cancelled</v>
      </c>
    </row>
    <row r="3971">
      <c r="A3971" s="9" t="str">
        <f>IFERROR(__xludf.DUMMYFUNCTION("""COMPUTED_VALUE"""),"G-REQ-03970")</f>
        <v>G-REQ-03970</v>
      </c>
      <c r="B3971" s="11">
        <f>IFERROR(__xludf.DUMMYFUNCTION("""COMPUTED_VALUE"""),46043.8783781191)</f>
        <v>46043.87838</v>
      </c>
      <c r="C3971" s="9">
        <f>IFERROR(__xludf.DUMMYFUNCTION("""COMPUTED_VALUE"""),15351.0)</f>
        <v>15351</v>
      </c>
      <c r="D3971" s="9" t="str">
        <f>IFERROR(__xludf.DUMMYFUNCTION("""COMPUTED_VALUE"""),"Completed")</f>
        <v>Completed</v>
      </c>
    </row>
    <row r="3972">
      <c r="A3972" s="9" t="str">
        <f>IFERROR(__xludf.DUMMYFUNCTION("""COMPUTED_VALUE"""),"G-REQ-03971")</f>
        <v>G-REQ-03971</v>
      </c>
      <c r="B3972" s="11">
        <f>IFERROR(__xludf.DUMMYFUNCTION("""COMPUTED_VALUE"""),46043.942608520076)</f>
        <v>46043.94261</v>
      </c>
      <c r="C3972" s="9">
        <f>IFERROR(__xludf.DUMMYFUNCTION("""COMPUTED_VALUE"""),15353.0)</f>
        <v>15353</v>
      </c>
      <c r="D3972" s="9" t="str">
        <f>IFERROR(__xludf.DUMMYFUNCTION("""COMPUTED_VALUE"""),"Rejected")</f>
        <v>Rejected</v>
      </c>
    </row>
    <row r="3973">
      <c r="A3973" s="9" t="str">
        <f>IFERROR(__xludf.DUMMYFUNCTION("""COMPUTED_VALUE"""),"G-REQ-03972")</f>
        <v>G-REQ-03972</v>
      </c>
      <c r="B3973" s="11">
        <f>IFERROR(__xludf.DUMMYFUNCTION("""COMPUTED_VALUE"""),46044.02072780993)</f>
        <v>46044.02073</v>
      </c>
      <c r="C3973" s="9">
        <f>IFERROR(__xludf.DUMMYFUNCTION("""COMPUTED_VALUE"""),15357.0)</f>
        <v>15357</v>
      </c>
      <c r="D3973" s="9" t="str">
        <f>IFERROR(__xludf.DUMMYFUNCTION("""COMPUTED_VALUE"""),"Completed")</f>
        <v>Completed</v>
      </c>
    </row>
    <row r="3974">
      <c r="A3974" s="9" t="str">
        <f>IFERROR(__xludf.DUMMYFUNCTION("""COMPUTED_VALUE"""),"G-REQ-03973")</f>
        <v>G-REQ-03973</v>
      </c>
      <c r="B3974" s="11">
        <f>IFERROR(__xludf.DUMMYFUNCTION("""COMPUTED_VALUE"""),46044.091902655346)</f>
        <v>46044.0919</v>
      </c>
      <c r="C3974" s="9">
        <f>IFERROR(__xludf.DUMMYFUNCTION("""COMPUTED_VALUE"""),15361.0)</f>
        <v>15361</v>
      </c>
      <c r="D3974" s="9" t="str">
        <f>IFERROR(__xludf.DUMMYFUNCTION("""COMPUTED_VALUE"""),"Completed")</f>
        <v>Completed</v>
      </c>
    </row>
    <row r="3975">
      <c r="A3975" s="9" t="str">
        <f>IFERROR(__xludf.DUMMYFUNCTION("""COMPUTED_VALUE"""),"G-REQ-03974")</f>
        <v>G-REQ-03974</v>
      </c>
      <c r="B3975" s="11">
        <f>IFERROR(__xludf.DUMMYFUNCTION("""COMPUTED_VALUE"""),46044.163077500765)</f>
        <v>46044.16308</v>
      </c>
      <c r="C3975" s="9">
        <f>IFERROR(__xludf.DUMMYFUNCTION("""COMPUTED_VALUE"""),15365.0)</f>
        <v>15365</v>
      </c>
      <c r="D3975" s="9" t="str">
        <f>IFERROR(__xludf.DUMMYFUNCTION("""COMPUTED_VALUE"""),"Completed")</f>
        <v>Completed</v>
      </c>
    </row>
    <row r="3976">
      <c r="A3976" s="9" t="str">
        <f>IFERROR(__xludf.DUMMYFUNCTION("""COMPUTED_VALUE"""),"G-REQ-03975")</f>
        <v>G-REQ-03975</v>
      </c>
      <c r="B3976" s="11">
        <f>IFERROR(__xludf.DUMMYFUNCTION("""COMPUTED_VALUE"""),46044.23425234618)</f>
        <v>46044.23425</v>
      </c>
      <c r="C3976" s="9">
        <f>IFERROR(__xludf.DUMMYFUNCTION("""COMPUTED_VALUE"""),15369.0)</f>
        <v>15369</v>
      </c>
      <c r="D3976" s="9" t="str">
        <f>IFERROR(__xludf.DUMMYFUNCTION("""COMPUTED_VALUE"""),"Completed")</f>
        <v>Completed</v>
      </c>
    </row>
    <row r="3977">
      <c r="A3977" s="9" t="str">
        <f>IFERROR(__xludf.DUMMYFUNCTION("""COMPUTED_VALUE"""),"G-REQ-03976")</f>
        <v>G-REQ-03976</v>
      </c>
      <c r="B3977" s="11">
        <f>IFERROR(__xludf.DUMMYFUNCTION("""COMPUTED_VALUE"""),46044.298482747145)</f>
        <v>46044.29848</v>
      </c>
      <c r="C3977" s="9">
        <f>IFERROR(__xludf.DUMMYFUNCTION("""COMPUTED_VALUE"""),15371.0)</f>
        <v>15371</v>
      </c>
      <c r="D3977" s="9" t="str">
        <f>IFERROR(__xludf.DUMMYFUNCTION("""COMPUTED_VALUE"""),"Cancelled")</f>
        <v>Cancelled</v>
      </c>
    </row>
    <row r="3978">
      <c r="A3978" s="9" t="str">
        <f>IFERROR(__xludf.DUMMYFUNCTION("""COMPUTED_VALUE"""),"G-REQ-03977")</f>
        <v>G-REQ-03977</v>
      </c>
      <c r="B3978" s="11">
        <f>IFERROR(__xludf.DUMMYFUNCTION("""COMPUTED_VALUE"""),46044.37660203701)</f>
        <v>46044.3766</v>
      </c>
      <c r="C3978" s="9">
        <f>IFERROR(__xludf.DUMMYFUNCTION("""COMPUTED_VALUE"""),15375.0)</f>
        <v>15375</v>
      </c>
      <c r="D3978" s="9" t="str">
        <f>IFERROR(__xludf.DUMMYFUNCTION("""COMPUTED_VALUE"""),"Completed")</f>
        <v>Completed</v>
      </c>
    </row>
    <row r="3979">
      <c r="A3979" s="9" t="str">
        <f>IFERROR(__xludf.DUMMYFUNCTION("""COMPUTED_VALUE"""),"G-REQ-03978")</f>
        <v>G-REQ-03978</v>
      </c>
      <c r="B3979" s="11">
        <f>IFERROR(__xludf.DUMMYFUNCTION("""COMPUTED_VALUE"""),46044.44777688243)</f>
        <v>46044.44778</v>
      </c>
      <c r="C3979" s="9">
        <f>IFERROR(__xludf.DUMMYFUNCTION("""COMPUTED_VALUE"""),15379.0)</f>
        <v>15379</v>
      </c>
      <c r="D3979" s="9" t="str">
        <f>IFERROR(__xludf.DUMMYFUNCTION("""COMPUTED_VALUE"""),"Completed")</f>
        <v>Completed</v>
      </c>
    </row>
    <row r="3980">
      <c r="A3980" s="9" t="str">
        <f>IFERROR(__xludf.DUMMYFUNCTION("""COMPUTED_VALUE"""),"G-REQ-03979")</f>
        <v>G-REQ-03979</v>
      </c>
      <c r="B3980" s="11">
        <f>IFERROR(__xludf.DUMMYFUNCTION("""COMPUTED_VALUE"""),46044.518951727834)</f>
        <v>46044.51895</v>
      </c>
      <c r="C3980" s="9">
        <f>IFERROR(__xludf.DUMMYFUNCTION("""COMPUTED_VALUE"""),15383.0)</f>
        <v>15383</v>
      </c>
      <c r="D3980" s="9" t="str">
        <f>IFERROR(__xludf.DUMMYFUNCTION("""COMPUTED_VALUE"""),"Completed")</f>
        <v>Completed</v>
      </c>
    </row>
    <row r="3981">
      <c r="A3981" s="9" t="str">
        <f>IFERROR(__xludf.DUMMYFUNCTION("""COMPUTED_VALUE"""),"G-REQ-03980")</f>
        <v>G-REQ-03980</v>
      </c>
      <c r="B3981" s="11">
        <f>IFERROR(__xludf.DUMMYFUNCTION("""COMPUTED_VALUE"""),46044.590126573254)</f>
        <v>46044.59013</v>
      </c>
      <c r="C3981" s="9">
        <f>IFERROR(__xludf.DUMMYFUNCTION("""COMPUTED_VALUE"""),15387.0)</f>
        <v>15387</v>
      </c>
      <c r="D3981" s="9" t="str">
        <f>IFERROR(__xludf.DUMMYFUNCTION("""COMPUTED_VALUE"""),"Completed")</f>
        <v>Completed</v>
      </c>
    </row>
    <row r="3982">
      <c r="A3982" s="9" t="str">
        <f>IFERROR(__xludf.DUMMYFUNCTION("""COMPUTED_VALUE"""),"G-REQ-03981")</f>
        <v>G-REQ-03981</v>
      </c>
      <c r="B3982" s="11">
        <f>IFERROR(__xludf.DUMMYFUNCTION("""COMPUTED_VALUE"""),46044.661301418666)</f>
        <v>46044.6613</v>
      </c>
      <c r="C3982" s="9">
        <f>IFERROR(__xludf.DUMMYFUNCTION("""COMPUTED_VALUE"""),15391.0)</f>
        <v>15391</v>
      </c>
      <c r="D3982" s="9" t="str">
        <f>IFERROR(__xludf.DUMMYFUNCTION("""COMPUTED_VALUE"""),"Completed")</f>
        <v>Completed</v>
      </c>
    </row>
    <row r="3983">
      <c r="A3983" s="9" t="str">
        <f>IFERROR(__xludf.DUMMYFUNCTION("""COMPUTED_VALUE"""),"G-REQ-03982")</f>
        <v>G-REQ-03982</v>
      </c>
      <c r="B3983" s="11">
        <f>IFERROR(__xludf.DUMMYFUNCTION("""COMPUTED_VALUE"""),46044.732476264086)</f>
        <v>46044.73248</v>
      </c>
      <c r="C3983" s="9">
        <f>IFERROR(__xludf.DUMMYFUNCTION("""COMPUTED_VALUE"""),15395.0)</f>
        <v>15395</v>
      </c>
      <c r="D3983" s="9" t="str">
        <f>IFERROR(__xludf.DUMMYFUNCTION("""COMPUTED_VALUE"""),"Completed")</f>
        <v>Completed</v>
      </c>
    </row>
    <row r="3984">
      <c r="A3984" s="9" t="str">
        <f>IFERROR(__xludf.DUMMYFUNCTION("""COMPUTED_VALUE"""),"G-REQ-03983")</f>
        <v>G-REQ-03983</v>
      </c>
      <c r="B3984" s="11">
        <f>IFERROR(__xludf.DUMMYFUNCTION("""COMPUTED_VALUE"""),46044.8036511095)</f>
        <v>46044.80365</v>
      </c>
      <c r="C3984" s="9">
        <f>IFERROR(__xludf.DUMMYFUNCTION("""COMPUTED_VALUE"""),15399.0)</f>
        <v>15399</v>
      </c>
      <c r="D3984" s="9" t="str">
        <f>IFERROR(__xludf.DUMMYFUNCTION("""COMPUTED_VALUE"""),"Completed")</f>
        <v>Completed</v>
      </c>
    </row>
    <row r="3985">
      <c r="A3985" s="9" t="str">
        <f>IFERROR(__xludf.DUMMYFUNCTION("""COMPUTED_VALUE"""),"G-REQ-03984")</f>
        <v>G-REQ-03984</v>
      </c>
      <c r="B3985" s="11">
        <f>IFERROR(__xludf.DUMMYFUNCTION("""COMPUTED_VALUE"""),46044.87482595492)</f>
        <v>46044.87483</v>
      </c>
      <c r="C3985" s="9">
        <f>IFERROR(__xludf.DUMMYFUNCTION("""COMPUTED_VALUE"""),15403.0)</f>
        <v>15403</v>
      </c>
      <c r="D3985" s="9" t="str">
        <f>IFERROR(__xludf.DUMMYFUNCTION("""COMPUTED_VALUE"""),"Completed")</f>
        <v>Completed</v>
      </c>
    </row>
    <row r="3986">
      <c r="A3986" s="9" t="str">
        <f>IFERROR(__xludf.DUMMYFUNCTION("""COMPUTED_VALUE"""),"G-REQ-03985")</f>
        <v>G-REQ-03985</v>
      </c>
      <c r="B3986" s="11">
        <f>IFERROR(__xludf.DUMMYFUNCTION("""COMPUTED_VALUE"""),46044.94600080032)</f>
        <v>46044.946</v>
      </c>
      <c r="C3986" s="9">
        <f>IFERROR(__xludf.DUMMYFUNCTION("""COMPUTED_VALUE"""),15407.0)</f>
        <v>15407</v>
      </c>
      <c r="D3986" s="9" t="str">
        <f>IFERROR(__xludf.DUMMYFUNCTION("""COMPUTED_VALUE"""),"Completed")</f>
        <v>Completed</v>
      </c>
    </row>
    <row r="3987">
      <c r="A3987" s="9" t="str">
        <f>IFERROR(__xludf.DUMMYFUNCTION("""COMPUTED_VALUE"""),"G-REQ-03986")</f>
        <v>G-REQ-03986</v>
      </c>
      <c r="B3987" s="11">
        <f>IFERROR(__xludf.DUMMYFUNCTION("""COMPUTED_VALUE"""),46045.01717564574)</f>
        <v>46045.01718</v>
      </c>
      <c r="C3987" s="9">
        <f>IFERROR(__xludf.DUMMYFUNCTION("""COMPUTED_VALUE"""),15411.0)</f>
        <v>15411</v>
      </c>
      <c r="D3987" s="9" t="str">
        <f>IFERROR(__xludf.DUMMYFUNCTION("""COMPUTED_VALUE"""),"Completed")</f>
        <v>Completed</v>
      </c>
    </row>
    <row r="3988">
      <c r="A3988" s="9" t="str">
        <f>IFERROR(__xludf.DUMMYFUNCTION("""COMPUTED_VALUE"""),"G-REQ-03987")</f>
        <v>G-REQ-03987</v>
      </c>
      <c r="B3988" s="11">
        <f>IFERROR(__xludf.DUMMYFUNCTION("""COMPUTED_VALUE"""),46045.08835049116)</f>
        <v>46045.08835</v>
      </c>
      <c r="C3988" s="9">
        <f>IFERROR(__xludf.DUMMYFUNCTION("""COMPUTED_VALUE"""),15415.0)</f>
        <v>15415</v>
      </c>
      <c r="D3988" s="9" t="str">
        <f>IFERROR(__xludf.DUMMYFUNCTION("""COMPUTED_VALUE"""),"Completed")</f>
        <v>Completed</v>
      </c>
    </row>
    <row r="3989">
      <c r="A3989" s="9" t="str">
        <f>IFERROR(__xludf.DUMMYFUNCTION("""COMPUTED_VALUE"""),"G-REQ-03988")</f>
        <v>G-REQ-03988</v>
      </c>
      <c r="B3989" s="11">
        <f>IFERROR(__xludf.DUMMYFUNCTION("""COMPUTED_VALUE"""),46045.159525336574)</f>
        <v>46045.15953</v>
      </c>
      <c r="C3989" s="9">
        <f>IFERROR(__xludf.DUMMYFUNCTION("""COMPUTED_VALUE"""),15419.0)</f>
        <v>15419</v>
      </c>
      <c r="D3989" s="9" t="str">
        <f>IFERROR(__xludf.DUMMYFUNCTION("""COMPUTED_VALUE"""),"Completed")</f>
        <v>Completed</v>
      </c>
    </row>
    <row r="3990">
      <c r="A3990" s="9" t="str">
        <f>IFERROR(__xludf.DUMMYFUNCTION("""COMPUTED_VALUE"""),"G-REQ-03989")</f>
        <v>G-REQ-03989</v>
      </c>
      <c r="B3990" s="11">
        <f>IFERROR(__xludf.DUMMYFUNCTION("""COMPUTED_VALUE"""),46045.230700181986)</f>
        <v>46045.2307</v>
      </c>
      <c r="C3990" s="9">
        <f>IFERROR(__xludf.DUMMYFUNCTION("""COMPUTED_VALUE"""),15423.0)</f>
        <v>15423</v>
      </c>
      <c r="D3990" s="9" t="str">
        <f>IFERROR(__xludf.DUMMYFUNCTION("""COMPUTED_VALUE"""),"Completed")</f>
        <v>Completed</v>
      </c>
    </row>
    <row r="3991">
      <c r="A3991" s="9" t="str">
        <f>IFERROR(__xludf.DUMMYFUNCTION("""COMPUTED_VALUE"""),"G-REQ-03990")</f>
        <v>G-REQ-03990</v>
      </c>
      <c r="B3991" s="11">
        <f>IFERROR(__xludf.DUMMYFUNCTION("""COMPUTED_VALUE"""),46045.301875027406)</f>
        <v>46045.30188</v>
      </c>
      <c r="C3991" s="9">
        <f>IFERROR(__xludf.DUMMYFUNCTION("""COMPUTED_VALUE"""),15427.0)</f>
        <v>15427</v>
      </c>
      <c r="D3991" s="9" t="str">
        <f>IFERROR(__xludf.DUMMYFUNCTION("""COMPUTED_VALUE"""),"Completed")</f>
        <v>Completed</v>
      </c>
    </row>
    <row r="3992">
      <c r="A3992" s="9" t="str">
        <f>IFERROR(__xludf.DUMMYFUNCTION("""COMPUTED_VALUE"""),"G-REQ-03991")</f>
        <v>G-REQ-03991</v>
      </c>
      <c r="B3992" s="11">
        <f>IFERROR(__xludf.DUMMYFUNCTION("""COMPUTED_VALUE"""),46045.37304987282)</f>
        <v>46045.37305</v>
      </c>
      <c r="C3992" s="9">
        <f>IFERROR(__xludf.DUMMYFUNCTION("""COMPUTED_VALUE"""),15431.0)</f>
        <v>15431</v>
      </c>
      <c r="D3992" s="9" t="str">
        <f>IFERROR(__xludf.DUMMYFUNCTION("""COMPUTED_VALUE"""),"Completed")</f>
        <v>Completed</v>
      </c>
    </row>
    <row r="3993">
      <c r="A3993" s="9" t="str">
        <f>IFERROR(__xludf.DUMMYFUNCTION("""COMPUTED_VALUE"""),"G-REQ-03992")</f>
        <v>G-REQ-03992</v>
      </c>
      <c r="B3993" s="11">
        <f>IFERROR(__xludf.DUMMYFUNCTION("""COMPUTED_VALUE"""),46045.44422471823)</f>
        <v>46045.44422</v>
      </c>
      <c r="C3993" s="9">
        <f>IFERROR(__xludf.DUMMYFUNCTION("""COMPUTED_VALUE"""),15435.0)</f>
        <v>15435</v>
      </c>
      <c r="D3993" s="9" t="str">
        <f>IFERROR(__xludf.DUMMYFUNCTION("""COMPUTED_VALUE"""),"Completed")</f>
        <v>Completed</v>
      </c>
    </row>
    <row r="3994">
      <c r="A3994" s="9" t="str">
        <f>IFERROR(__xludf.DUMMYFUNCTION("""COMPUTED_VALUE"""),"G-REQ-03993")</f>
        <v>G-REQ-03993</v>
      </c>
      <c r="B3994" s="11">
        <f>IFERROR(__xludf.DUMMYFUNCTION("""COMPUTED_VALUE"""),46045.51539956365)</f>
        <v>46045.5154</v>
      </c>
      <c r="C3994" s="9">
        <f>IFERROR(__xludf.DUMMYFUNCTION("""COMPUTED_VALUE"""),15439.0)</f>
        <v>15439</v>
      </c>
      <c r="D3994" s="9" t="str">
        <f>IFERROR(__xludf.DUMMYFUNCTION("""COMPUTED_VALUE"""),"Completed")</f>
        <v>Completed</v>
      </c>
    </row>
    <row r="3995">
      <c r="A3995" s="9" t="str">
        <f>IFERROR(__xludf.DUMMYFUNCTION("""COMPUTED_VALUE"""),"G-REQ-03994")</f>
        <v>G-REQ-03994</v>
      </c>
      <c r="B3995" s="11">
        <f>IFERROR(__xludf.DUMMYFUNCTION("""COMPUTED_VALUE"""),46045.58657440907)</f>
        <v>46045.58657</v>
      </c>
      <c r="C3995" s="9">
        <f>IFERROR(__xludf.DUMMYFUNCTION("""COMPUTED_VALUE"""),15443.0)</f>
        <v>15443</v>
      </c>
      <c r="D3995" s="9" t="str">
        <f>IFERROR(__xludf.DUMMYFUNCTION("""COMPUTED_VALUE"""),"Completed")</f>
        <v>Completed</v>
      </c>
    </row>
    <row r="3996">
      <c r="A3996" s="9" t="str">
        <f>IFERROR(__xludf.DUMMYFUNCTION("""COMPUTED_VALUE"""),"G-REQ-03995")</f>
        <v>G-REQ-03995</v>
      </c>
      <c r="B3996" s="11">
        <f>IFERROR(__xludf.DUMMYFUNCTION("""COMPUTED_VALUE"""),46045.657749254475)</f>
        <v>46045.65775</v>
      </c>
      <c r="C3996" s="9">
        <f>IFERROR(__xludf.DUMMYFUNCTION("""COMPUTED_VALUE"""),15447.0)</f>
        <v>15447</v>
      </c>
      <c r="D3996" s="9" t="str">
        <f>IFERROR(__xludf.DUMMYFUNCTION("""COMPUTED_VALUE"""),"Completed")</f>
        <v>Completed</v>
      </c>
    </row>
    <row r="3997">
      <c r="A3997" s="9" t="str">
        <f>IFERROR(__xludf.DUMMYFUNCTION("""COMPUTED_VALUE"""),"G-REQ-03996")</f>
        <v>G-REQ-03996</v>
      </c>
      <c r="B3997" s="11">
        <f>IFERROR(__xludf.DUMMYFUNCTION("""COMPUTED_VALUE"""),46045.72197965545)</f>
        <v>46045.72198</v>
      </c>
      <c r="C3997" s="9">
        <f>IFERROR(__xludf.DUMMYFUNCTION("""COMPUTED_VALUE"""),15449.0)</f>
        <v>15449</v>
      </c>
      <c r="D3997" s="9" t="str">
        <f>IFERROR(__xludf.DUMMYFUNCTION("""COMPUTED_VALUE"""),"Cancelled")</f>
        <v>Cancelled</v>
      </c>
    </row>
    <row r="3998">
      <c r="A3998" s="9" t="str">
        <f>IFERROR(__xludf.DUMMYFUNCTION("""COMPUTED_VALUE"""),"G-REQ-03997")</f>
        <v>G-REQ-03997</v>
      </c>
      <c r="B3998" s="11">
        <f>IFERROR(__xludf.DUMMYFUNCTION("""COMPUTED_VALUE"""),46045.79315450087)</f>
        <v>46045.79315</v>
      </c>
      <c r="C3998" s="9">
        <f>IFERROR(__xludf.DUMMYFUNCTION("""COMPUTED_VALUE"""),15451.0)</f>
        <v>15451</v>
      </c>
      <c r="D3998" s="9" t="str">
        <f>IFERROR(__xludf.DUMMYFUNCTION("""COMPUTED_VALUE"""),"Rejected")</f>
        <v>Rejected</v>
      </c>
    </row>
    <row r="3999">
      <c r="A3999" s="9" t="str">
        <f>IFERROR(__xludf.DUMMYFUNCTION("""COMPUTED_VALUE"""),"G-REQ-03998")</f>
        <v>G-REQ-03998</v>
      </c>
      <c r="B3999" s="11">
        <f>IFERROR(__xludf.DUMMYFUNCTION("""COMPUTED_VALUE"""),46045.871273790726)</f>
        <v>46045.87127</v>
      </c>
      <c r="C3999" s="9">
        <f>IFERROR(__xludf.DUMMYFUNCTION("""COMPUTED_VALUE"""),15455.0)</f>
        <v>15455</v>
      </c>
      <c r="D3999" s="9" t="str">
        <f>IFERROR(__xludf.DUMMYFUNCTION("""COMPUTED_VALUE"""),"Completed")</f>
        <v>Completed</v>
      </c>
    </row>
    <row r="4000">
      <c r="A4000" s="9" t="str">
        <f>IFERROR(__xludf.DUMMYFUNCTION("""COMPUTED_VALUE"""),"G-REQ-03999")</f>
        <v>G-REQ-03999</v>
      </c>
      <c r="B4000" s="11">
        <f>IFERROR(__xludf.DUMMYFUNCTION("""COMPUTED_VALUE"""),46045.94244863614)</f>
        <v>46045.94245</v>
      </c>
      <c r="C4000" s="9">
        <f>IFERROR(__xludf.DUMMYFUNCTION("""COMPUTED_VALUE"""),15459.0)</f>
        <v>15459</v>
      </c>
      <c r="D4000" s="9" t="str">
        <f>IFERROR(__xludf.DUMMYFUNCTION("""COMPUTED_VALUE"""),"Completed")</f>
        <v>Completed</v>
      </c>
    </row>
    <row r="4001">
      <c r="A4001" s="9" t="str">
        <f>IFERROR(__xludf.DUMMYFUNCTION("""COMPUTED_VALUE"""),"G-REQ-04000")</f>
        <v>G-REQ-04000</v>
      </c>
      <c r="B4001" s="11">
        <f>IFERROR(__xludf.DUMMYFUNCTION("""COMPUTED_VALUE"""),46046.01362348156)</f>
        <v>46046.01362</v>
      </c>
      <c r="C4001" s="9">
        <f>IFERROR(__xludf.DUMMYFUNCTION("""COMPUTED_VALUE"""),15463.0)</f>
        <v>15463</v>
      </c>
      <c r="D4001" s="9" t="str">
        <f>IFERROR(__xludf.DUMMYFUNCTION("""COMPUTED_VALUE"""),"Completed")</f>
        <v>Completed</v>
      </c>
    </row>
    <row r="4002">
      <c r="A4002" s="9" t="str">
        <f>IFERROR(__xludf.DUMMYFUNCTION("""COMPUTED_VALUE"""),"G-REQ-04001")</f>
        <v>G-REQ-04001</v>
      </c>
      <c r="B4002" s="11">
        <f>IFERROR(__xludf.DUMMYFUNCTION("""COMPUTED_VALUE"""),46046.08479832697)</f>
        <v>46046.0848</v>
      </c>
      <c r="C4002" s="9">
        <f>IFERROR(__xludf.DUMMYFUNCTION("""COMPUTED_VALUE"""),15467.0)</f>
        <v>15467</v>
      </c>
      <c r="D4002" s="9" t="str">
        <f>IFERROR(__xludf.DUMMYFUNCTION("""COMPUTED_VALUE"""),"Completed")</f>
        <v>Completed</v>
      </c>
    </row>
    <row r="4003">
      <c r="A4003" s="9" t="str">
        <f>IFERROR(__xludf.DUMMYFUNCTION("""COMPUTED_VALUE"""),"G-REQ-04002")</f>
        <v>G-REQ-04002</v>
      </c>
      <c r="B4003" s="11">
        <f>IFERROR(__xludf.DUMMYFUNCTION("""COMPUTED_VALUE"""),46046.15597317238)</f>
        <v>46046.15597</v>
      </c>
      <c r="C4003" s="9">
        <f>IFERROR(__xludf.DUMMYFUNCTION("""COMPUTED_VALUE"""),15471.0)</f>
        <v>15471</v>
      </c>
      <c r="D4003" s="9" t="str">
        <f>IFERROR(__xludf.DUMMYFUNCTION("""COMPUTED_VALUE"""),"Completed")</f>
        <v>Completed</v>
      </c>
    </row>
    <row r="4004">
      <c r="A4004" s="9" t="str">
        <f>IFERROR(__xludf.DUMMYFUNCTION("""COMPUTED_VALUE"""),"G-REQ-04003")</f>
        <v>G-REQ-04003</v>
      </c>
      <c r="B4004" s="11">
        <f>IFERROR(__xludf.DUMMYFUNCTION("""COMPUTED_VALUE"""),46046.2271480178)</f>
        <v>46046.22715</v>
      </c>
      <c r="C4004" s="9">
        <f>IFERROR(__xludf.DUMMYFUNCTION("""COMPUTED_VALUE"""),15475.0)</f>
        <v>15475</v>
      </c>
      <c r="D4004" s="9" t="str">
        <f>IFERROR(__xludf.DUMMYFUNCTION("""COMPUTED_VALUE"""),"Completed")</f>
        <v>Completed</v>
      </c>
    </row>
    <row r="4005">
      <c r="A4005" s="9" t="str">
        <f>IFERROR(__xludf.DUMMYFUNCTION("""COMPUTED_VALUE"""),"G-REQ-04004")</f>
        <v>G-REQ-04004</v>
      </c>
      <c r="B4005" s="11">
        <f>IFERROR(__xludf.DUMMYFUNCTION("""COMPUTED_VALUE"""),46046.298322863215)</f>
        <v>46046.29832</v>
      </c>
      <c r="C4005" s="9">
        <f>IFERROR(__xludf.DUMMYFUNCTION("""COMPUTED_VALUE"""),15479.0)</f>
        <v>15479</v>
      </c>
      <c r="D4005" s="9" t="str">
        <f>IFERROR(__xludf.DUMMYFUNCTION("""COMPUTED_VALUE"""),"Completed")</f>
        <v>Completed</v>
      </c>
    </row>
    <row r="4006">
      <c r="A4006" s="9" t="str">
        <f>IFERROR(__xludf.DUMMYFUNCTION("""COMPUTED_VALUE"""),"G-REQ-04005")</f>
        <v>G-REQ-04005</v>
      </c>
      <c r="B4006" s="11">
        <f>IFERROR(__xludf.DUMMYFUNCTION("""COMPUTED_VALUE"""),46046.36949770863)</f>
        <v>46046.3695</v>
      </c>
      <c r="C4006" s="9">
        <f>IFERROR(__xludf.DUMMYFUNCTION("""COMPUTED_VALUE"""),15483.0)</f>
        <v>15483</v>
      </c>
      <c r="D4006" s="9" t="str">
        <f>IFERROR(__xludf.DUMMYFUNCTION("""COMPUTED_VALUE"""),"Completed")</f>
        <v>Completed</v>
      </c>
    </row>
    <row r="4007">
      <c r="A4007" s="9" t="str">
        <f>IFERROR(__xludf.DUMMYFUNCTION("""COMPUTED_VALUE"""),"G-REQ-04006")</f>
        <v>G-REQ-04006</v>
      </c>
      <c r="B4007" s="11">
        <f>IFERROR(__xludf.DUMMYFUNCTION("""COMPUTED_VALUE"""),46046.44067255405)</f>
        <v>46046.44067</v>
      </c>
      <c r="C4007" s="9">
        <f>IFERROR(__xludf.DUMMYFUNCTION("""COMPUTED_VALUE"""),15487.0)</f>
        <v>15487</v>
      </c>
      <c r="D4007" s="9" t="str">
        <f>IFERROR(__xludf.DUMMYFUNCTION("""COMPUTED_VALUE"""),"Completed")</f>
        <v>Completed</v>
      </c>
    </row>
    <row r="4008">
      <c r="A4008" s="9" t="str">
        <f>IFERROR(__xludf.DUMMYFUNCTION("""COMPUTED_VALUE"""),"G-REQ-04007")</f>
        <v>G-REQ-04007</v>
      </c>
      <c r="B4008" s="11">
        <f>IFERROR(__xludf.DUMMYFUNCTION("""COMPUTED_VALUE"""),46046.51184739946)</f>
        <v>46046.51185</v>
      </c>
      <c r="C4008" s="9">
        <f>IFERROR(__xludf.DUMMYFUNCTION("""COMPUTED_VALUE"""),15491.0)</f>
        <v>15491</v>
      </c>
      <c r="D4008" s="9" t="str">
        <f>IFERROR(__xludf.DUMMYFUNCTION("""COMPUTED_VALUE"""),"Completed")</f>
        <v>Completed</v>
      </c>
    </row>
    <row r="4009">
      <c r="A4009" s="9" t="str">
        <f>IFERROR(__xludf.DUMMYFUNCTION("""COMPUTED_VALUE"""),"G-REQ-04008")</f>
        <v>G-REQ-04008</v>
      </c>
      <c r="B4009" s="11">
        <f>IFERROR(__xludf.DUMMYFUNCTION("""COMPUTED_VALUE"""),46046.58302224487)</f>
        <v>46046.58302</v>
      </c>
      <c r="C4009" s="9">
        <f>IFERROR(__xludf.DUMMYFUNCTION("""COMPUTED_VALUE"""),15495.0)</f>
        <v>15495</v>
      </c>
      <c r="D4009" s="9" t="str">
        <f>IFERROR(__xludf.DUMMYFUNCTION("""COMPUTED_VALUE"""),"Completed")</f>
        <v>Completed</v>
      </c>
    </row>
    <row r="4010">
      <c r="A4010" s="9" t="str">
        <f>IFERROR(__xludf.DUMMYFUNCTION("""COMPUTED_VALUE"""),"G-REQ-04009")</f>
        <v>G-REQ-04009</v>
      </c>
      <c r="B4010" s="11">
        <f>IFERROR(__xludf.DUMMYFUNCTION("""COMPUTED_VALUE"""),46046.65419709029)</f>
        <v>46046.6542</v>
      </c>
      <c r="C4010" s="9">
        <f>IFERROR(__xludf.DUMMYFUNCTION("""COMPUTED_VALUE"""),15499.0)</f>
        <v>15499</v>
      </c>
      <c r="D4010" s="9" t="str">
        <f>IFERROR(__xludf.DUMMYFUNCTION("""COMPUTED_VALUE"""),"Completed")</f>
        <v>Completed</v>
      </c>
    </row>
    <row r="4011">
      <c r="A4011" s="9" t="str">
        <f>IFERROR(__xludf.DUMMYFUNCTION("""COMPUTED_VALUE"""),"G-REQ-04010")</f>
        <v>G-REQ-04010</v>
      </c>
      <c r="B4011" s="11">
        <f>IFERROR(__xludf.DUMMYFUNCTION("""COMPUTED_VALUE"""),46046.72537193571)</f>
        <v>46046.72537</v>
      </c>
      <c r="C4011" s="9">
        <f>IFERROR(__xludf.DUMMYFUNCTION("""COMPUTED_VALUE"""),15503.0)</f>
        <v>15503</v>
      </c>
      <c r="D4011" s="9" t="str">
        <f>IFERROR(__xludf.DUMMYFUNCTION("""COMPUTED_VALUE"""),"Completed")</f>
        <v>Completed</v>
      </c>
    </row>
    <row r="4012">
      <c r="A4012" s="9" t="str">
        <f>IFERROR(__xludf.DUMMYFUNCTION("""COMPUTED_VALUE"""),"G-REQ-04011")</f>
        <v>G-REQ-04011</v>
      </c>
      <c r="B4012" s="11">
        <f>IFERROR(__xludf.DUMMYFUNCTION("""COMPUTED_VALUE"""),46046.796546781115)</f>
        <v>46046.79655</v>
      </c>
      <c r="C4012" s="9">
        <f>IFERROR(__xludf.DUMMYFUNCTION("""COMPUTED_VALUE"""),15507.0)</f>
        <v>15507</v>
      </c>
      <c r="D4012" s="9" t="str">
        <f>IFERROR(__xludf.DUMMYFUNCTION("""COMPUTED_VALUE"""),"Completed")</f>
        <v>Completed</v>
      </c>
    </row>
    <row r="4013">
      <c r="A4013" s="9" t="str">
        <f>IFERROR(__xludf.DUMMYFUNCTION("""COMPUTED_VALUE"""),"G-REQ-04012")</f>
        <v>G-REQ-04012</v>
      </c>
      <c r="B4013" s="11">
        <f>IFERROR(__xludf.DUMMYFUNCTION("""COMPUTED_VALUE"""),46046.867721626535)</f>
        <v>46046.86772</v>
      </c>
      <c r="C4013" s="9">
        <f>IFERROR(__xludf.DUMMYFUNCTION("""COMPUTED_VALUE"""),15511.0)</f>
        <v>15511</v>
      </c>
      <c r="D4013" s="9" t="str">
        <f>IFERROR(__xludf.DUMMYFUNCTION("""COMPUTED_VALUE"""),"Completed")</f>
        <v>Completed</v>
      </c>
    </row>
    <row r="4014">
      <c r="A4014" s="9" t="str">
        <f>IFERROR(__xludf.DUMMYFUNCTION("""COMPUTED_VALUE"""),"G-REQ-04013")</f>
        <v>G-REQ-04013</v>
      </c>
      <c r="B4014" s="11">
        <f>IFERROR(__xludf.DUMMYFUNCTION("""COMPUTED_VALUE"""),46046.938896471955)</f>
        <v>46046.9389</v>
      </c>
      <c r="C4014" s="9">
        <f>IFERROR(__xludf.DUMMYFUNCTION("""COMPUTED_VALUE"""),15515.0)</f>
        <v>15515</v>
      </c>
      <c r="D4014" s="9" t="str">
        <f>IFERROR(__xludf.DUMMYFUNCTION("""COMPUTED_VALUE"""),"Completed")</f>
        <v>Completed</v>
      </c>
    </row>
    <row r="4015">
      <c r="A4015" s="9" t="str">
        <f>IFERROR(__xludf.DUMMYFUNCTION("""COMPUTED_VALUE"""),"G-REQ-04014")</f>
        <v>G-REQ-04014</v>
      </c>
      <c r="B4015" s="11">
        <f>IFERROR(__xludf.DUMMYFUNCTION("""COMPUTED_VALUE"""),46047.01007131737)</f>
        <v>46047.01007</v>
      </c>
      <c r="C4015" s="9">
        <f>IFERROR(__xludf.DUMMYFUNCTION("""COMPUTED_VALUE"""),15519.0)</f>
        <v>15519</v>
      </c>
      <c r="D4015" s="9" t="str">
        <f>IFERROR(__xludf.DUMMYFUNCTION("""COMPUTED_VALUE"""),"Completed")</f>
        <v>Completed</v>
      </c>
    </row>
    <row r="4016">
      <c r="A4016" s="9" t="str">
        <f>IFERROR(__xludf.DUMMYFUNCTION("""COMPUTED_VALUE"""),"G-REQ-04015")</f>
        <v>G-REQ-04015</v>
      </c>
      <c r="B4016" s="11">
        <f>IFERROR(__xludf.DUMMYFUNCTION("""COMPUTED_VALUE"""),46047.074301718334)</f>
        <v>46047.0743</v>
      </c>
      <c r="C4016" s="9">
        <f>IFERROR(__xludf.DUMMYFUNCTION("""COMPUTED_VALUE"""),15521.0)</f>
        <v>15521</v>
      </c>
      <c r="D4016" s="9" t="str">
        <f>IFERROR(__xludf.DUMMYFUNCTION("""COMPUTED_VALUE"""),"Rejected")</f>
        <v>Rejected</v>
      </c>
    </row>
    <row r="4017">
      <c r="A4017" s="9" t="str">
        <f>IFERROR(__xludf.DUMMYFUNCTION("""COMPUTED_VALUE"""),"G-REQ-04016")</f>
        <v>G-REQ-04016</v>
      </c>
      <c r="B4017" s="11">
        <f>IFERROR(__xludf.DUMMYFUNCTION("""COMPUTED_VALUE"""),46047.1524210082)</f>
        <v>46047.15242</v>
      </c>
      <c r="C4017" s="9">
        <f>IFERROR(__xludf.DUMMYFUNCTION("""COMPUTED_VALUE"""),15525.0)</f>
        <v>15525</v>
      </c>
      <c r="D4017" s="9" t="str">
        <f>IFERROR(__xludf.DUMMYFUNCTION("""COMPUTED_VALUE"""),"Completed")</f>
        <v>Completed</v>
      </c>
    </row>
    <row r="4018">
      <c r="A4018" s="9" t="str">
        <f>IFERROR(__xludf.DUMMYFUNCTION("""COMPUTED_VALUE"""),"G-REQ-04017")</f>
        <v>G-REQ-04017</v>
      </c>
      <c r="B4018" s="11">
        <f>IFERROR(__xludf.DUMMYFUNCTION("""COMPUTED_VALUE"""),46047.22359585361)</f>
        <v>46047.2236</v>
      </c>
      <c r="C4018" s="9">
        <f>IFERROR(__xludf.DUMMYFUNCTION("""COMPUTED_VALUE"""),15529.0)</f>
        <v>15529</v>
      </c>
      <c r="D4018" s="9" t="str">
        <f>IFERROR(__xludf.DUMMYFUNCTION("""COMPUTED_VALUE"""),"Completed")</f>
        <v>Completed</v>
      </c>
    </row>
    <row r="4019">
      <c r="A4019" s="9" t="str">
        <f>IFERROR(__xludf.DUMMYFUNCTION("""COMPUTED_VALUE"""),"G-REQ-04018")</f>
        <v>G-REQ-04018</v>
      </c>
      <c r="B4019" s="11">
        <f>IFERROR(__xludf.DUMMYFUNCTION("""COMPUTED_VALUE"""),46047.29477069902)</f>
        <v>46047.29477</v>
      </c>
      <c r="C4019" s="9">
        <f>IFERROR(__xludf.DUMMYFUNCTION("""COMPUTED_VALUE"""),15533.0)</f>
        <v>15533</v>
      </c>
      <c r="D4019" s="9" t="str">
        <f>IFERROR(__xludf.DUMMYFUNCTION("""COMPUTED_VALUE"""),"Completed")</f>
        <v>Completed</v>
      </c>
    </row>
    <row r="4020">
      <c r="A4020" s="9" t="str">
        <f>IFERROR(__xludf.DUMMYFUNCTION("""COMPUTED_VALUE"""),"G-REQ-04019")</f>
        <v>G-REQ-04019</v>
      </c>
      <c r="B4020" s="11">
        <f>IFERROR(__xludf.DUMMYFUNCTION("""COMPUTED_VALUE"""),46047.36594554444)</f>
        <v>46047.36595</v>
      </c>
      <c r="C4020" s="9">
        <f>IFERROR(__xludf.DUMMYFUNCTION("""COMPUTED_VALUE"""),15537.0)</f>
        <v>15537</v>
      </c>
      <c r="D4020" s="9" t="str">
        <f>IFERROR(__xludf.DUMMYFUNCTION("""COMPUTED_VALUE"""),"Completed")</f>
        <v>Completed</v>
      </c>
    </row>
    <row r="4021">
      <c r="A4021" s="9" t="str">
        <f>IFERROR(__xludf.DUMMYFUNCTION("""COMPUTED_VALUE"""),"G-REQ-04020")</f>
        <v>G-REQ-04020</v>
      </c>
      <c r="B4021" s="11">
        <f>IFERROR(__xludf.DUMMYFUNCTION("""COMPUTED_VALUE"""),46047.437120389855)</f>
        <v>46047.43712</v>
      </c>
      <c r="C4021" s="9">
        <f>IFERROR(__xludf.DUMMYFUNCTION("""COMPUTED_VALUE"""),15541.0)</f>
        <v>15541</v>
      </c>
      <c r="D4021" s="9" t="str">
        <f>IFERROR(__xludf.DUMMYFUNCTION("""COMPUTED_VALUE"""),"Completed")</f>
        <v>Completed</v>
      </c>
    </row>
    <row r="4022">
      <c r="A4022" s="9" t="str">
        <f>IFERROR(__xludf.DUMMYFUNCTION("""COMPUTED_VALUE"""),"G-REQ-04021")</f>
        <v>G-REQ-04021</v>
      </c>
      <c r="B4022" s="11">
        <f>IFERROR(__xludf.DUMMYFUNCTION("""COMPUTED_VALUE"""),46047.50135079082)</f>
        <v>46047.50135</v>
      </c>
      <c r="C4022" s="9">
        <f>IFERROR(__xludf.DUMMYFUNCTION("""COMPUTED_VALUE"""),15543.0)</f>
        <v>15543</v>
      </c>
      <c r="D4022" s="9" t="str">
        <f>IFERROR(__xludf.DUMMYFUNCTION("""COMPUTED_VALUE"""),"Rejected")</f>
        <v>Rejected</v>
      </c>
    </row>
    <row r="4023">
      <c r="A4023" s="9" t="str">
        <f>IFERROR(__xludf.DUMMYFUNCTION("""COMPUTED_VALUE"""),"G-REQ-04022")</f>
        <v>G-REQ-04022</v>
      </c>
      <c r="B4023" s="11">
        <f>IFERROR(__xludf.DUMMYFUNCTION("""COMPUTED_VALUE"""),46047.57947008069)</f>
        <v>46047.57947</v>
      </c>
      <c r="C4023" s="9">
        <f>IFERROR(__xludf.DUMMYFUNCTION("""COMPUTED_VALUE"""),15547.0)</f>
        <v>15547</v>
      </c>
      <c r="D4023" s="9" t="str">
        <f>IFERROR(__xludf.DUMMYFUNCTION("""COMPUTED_VALUE"""),"Completed")</f>
        <v>Completed</v>
      </c>
    </row>
    <row r="4024">
      <c r="A4024" s="9" t="str">
        <f>IFERROR(__xludf.DUMMYFUNCTION("""COMPUTED_VALUE"""),"G-REQ-04023")</f>
        <v>G-REQ-04023</v>
      </c>
      <c r="B4024" s="11">
        <f>IFERROR(__xludf.DUMMYFUNCTION("""COMPUTED_VALUE"""),46047.6506449261)</f>
        <v>46047.65064</v>
      </c>
      <c r="C4024" s="9">
        <f>IFERROR(__xludf.DUMMYFUNCTION("""COMPUTED_VALUE"""),15551.0)</f>
        <v>15551</v>
      </c>
      <c r="D4024" s="9" t="str">
        <f>IFERROR(__xludf.DUMMYFUNCTION("""COMPUTED_VALUE"""),"Completed")</f>
        <v>Completed</v>
      </c>
    </row>
    <row r="4025">
      <c r="A4025" s="9" t="str">
        <f>IFERROR(__xludf.DUMMYFUNCTION("""COMPUTED_VALUE"""),"G-REQ-04024")</f>
        <v>G-REQ-04024</v>
      </c>
      <c r="B4025" s="11">
        <f>IFERROR(__xludf.DUMMYFUNCTION("""COMPUTED_VALUE"""),46047.72181977151)</f>
        <v>46047.72182</v>
      </c>
      <c r="C4025" s="9">
        <f>IFERROR(__xludf.DUMMYFUNCTION("""COMPUTED_VALUE"""),15555.0)</f>
        <v>15555</v>
      </c>
      <c r="D4025" s="9" t="str">
        <f>IFERROR(__xludf.DUMMYFUNCTION("""COMPUTED_VALUE"""),"Completed")</f>
        <v>Completed</v>
      </c>
    </row>
    <row r="4026">
      <c r="A4026" s="9" t="str">
        <f>IFERROR(__xludf.DUMMYFUNCTION("""COMPUTED_VALUE"""),"G-REQ-04025")</f>
        <v>G-REQ-04025</v>
      </c>
      <c r="B4026" s="11">
        <f>IFERROR(__xludf.DUMMYFUNCTION("""COMPUTED_VALUE"""),46047.79299461693)</f>
        <v>46047.79299</v>
      </c>
      <c r="C4026" s="9">
        <f>IFERROR(__xludf.DUMMYFUNCTION("""COMPUTED_VALUE"""),15559.0)</f>
        <v>15559</v>
      </c>
      <c r="D4026" s="9" t="str">
        <f>IFERROR(__xludf.DUMMYFUNCTION("""COMPUTED_VALUE"""),"Completed")</f>
        <v>Completed</v>
      </c>
    </row>
    <row r="4027">
      <c r="A4027" s="9" t="str">
        <f>IFERROR(__xludf.DUMMYFUNCTION("""COMPUTED_VALUE"""),"G-REQ-04026")</f>
        <v>G-REQ-04026</v>
      </c>
      <c r="B4027" s="11">
        <f>IFERROR(__xludf.DUMMYFUNCTION("""COMPUTED_VALUE"""),46047.86416946235)</f>
        <v>46047.86417</v>
      </c>
      <c r="C4027" s="9">
        <f>IFERROR(__xludf.DUMMYFUNCTION("""COMPUTED_VALUE"""),15563.0)</f>
        <v>15563</v>
      </c>
      <c r="D4027" s="9" t="str">
        <f>IFERROR(__xludf.DUMMYFUNCTION("""COMPUTED_VALUE"""),"Completed")</f>
        <v>Completed</v>
      </c>
    </row>
    <row r="4028">
      <c r="A4028" s="9" t="str">
        <f>IFERROR(__xludf.DUMMYFUNCTION("""COMPUTED_VALUE"""),"G-REQ-04027")</f>
        <v>G-REQ-04027</v>
      </c>
      <c r="B4028" s="11">
        <f>IFERROR(__xludf.DUMMYFUNCTION("""COMPUTED_VALUE"""),46047.935344307756)</f>
        <v>46047.93534</v>
      </c>
      <c r="C4028" s="9">
        <f>IFERROR(__xludf.DUMMYFUNCTION("""COMPUTED_VALUE"""),15567.0)</f>
        <v>15567</v>
      </c>
      <c r="D4028" s="9" t="str">
        <f>IFERROR(__xludf.DUMMYFUNCTION("""COMPUTED_VALUE"""),"Completed")</f>
        <v>Completed</v>
      </c>
    </row>
    <row r="4029">
      <c r="A4029" s="9" t="str">
        <f>IFERROR(__xludf.DUMMYFUNCTION("""COMPUTED_VALUE"""),"G-REQ-04028")</f>
        <v>G-REQ-04028</v>
      </c>
      <c r="B4029" s="11">
        <f>IFERROR(__xludf.DUMMYFUNCTION("""COMPUTED_VALUE"""),46048.006519153176)</f>
        <v>46048.00652</v>
      </c>
      <c r="C4029" s="9">
        <f>IFERROR(__xludf.DUMMYFUNCTION("""COMPUTED_VALUE"""),15571.0)</f>
        <v>15571</v>
      </c>
      <c r="D4029" s="9" t="str">
        <f>IFERROR(__xludf.DUMMYFUNCTION("""COMPUTED_VALUE"""),"Completed")</f>
        <v>Completed</v>
      </c>
    </row>
    <row r="4030">
      <c r="A4030" s="9" t="str">
        <f>IFERROR(__xludf.DUMMYFUNCTION("""COMPUTED_VALUE"""),"G-REQ-04029")</f>
        <v>G-REQ-04029</v>
      </c>
      <c r="B4030" s="11">
        <f>IFERROR(__xludf.DUMMYFUNCTION("""COMPUTED_VALUE"""),46048.077693998595)</f>
        <v>46048.07769</v>
      </c>
      <c r="C4030" s="9">
        <f>IFERROR(__xludf.DUMMYFUNCTION("""COMPUTED_VALUE"""),15575.0)</f>
        <v>15575</v>
      </c>
      <c r="D4030" s="9" t="str">
        <f>IFERROR(__xludf.DUMMYFUNCTION("""COMPUTED_VALUE"""),"Completed")</f>
        <v>Completed</v>
      </c>
    </row>
    <row r="4031">
      <c r="A4031" s="9" t="str">
        <f>IFERROR(__xludf.DUMMYFUNCTION("""COMPUTED_VALUE"""),"G-REQ-04030")</f>
        <v>G-REQ-04030</v>
      </c>
      <c r="B4031" s="11">
        <f>IFERROR(__xludf.DUMMYFUNCTION("""COMPUTED_VALUE"""),46048.14886884401)</f>
        <v>46048.14887</v>
      </c>
      <c r="C4031" s="9">
        <f>IFERROR(__xludf.DUMMYFUNCTION("""COMPUTED_VALUE"""),15579.0)</f>
        <v>15579</v>
      </c>
      <c r="D4031" s="9" t="str">
        <f>IFERROR(__xludf.DUMMYFUNCTION("""COMPUTED_VALUE"""),"Completed")</f>
        <v>Completed</v>
      </c>
    </row>
    <row r="4032">
      <c r="A4032" s="9" t="str">
        <f>IFERROR(__xludf.DUMMYFUNCTION("""COMPUTED_VALUE"""),"G-REQ-04031")</f>
        <v>G-REQ-04031</v>
      </c>
      <c r="B4032" s="11">
        <f>IFERROR(__xludf.DUMMYFUNCTION("""COMPUTED_VALUE"""),46048.22004368942)</f>
        <v>46048.22004</v>
      </c>
      <c r="C4032" s="9">
        <f>IFERROR(__xludf.DUMMYFUNCTION("""COMPUTED_VALUE"""),15583.0)</f>
        <v>15583</v>
      </c>
      <c r="D4032" s="9" t="str">
        <f>IFERROR(__xludf.DUMMYFUNCTION("""COMPUTED_VALUE"""),"Completed")</f>
        <v>Completed</v>
      </c>
    </row>
    <row r="4033">
      <c r="A4033" s="9" t="str">
        <f>IFERROR(__xludf.DUMMYFUNCTION("""COMPUTED_VALUE"""),"G-REQ-04032")</f>
        <v>G-REQ-04032</v>
      </c>
      <c r="B4033" s="11">
        <f>IFERROR(__xludf.DUMMYFUNCTION("""COMPUTED_VALUE"""),46048.29121853484)</f>
        <v>46048.29122</v>
      </c>
      <c r="C4033" s="9">
        <f>IFERROR(__xludf.DUMMYFUNCTION("""COMPUTED_VALUE"""),15587.0)</f>
        <v>15587</v>
      </c>
      <c r="D4033" s="9" t="str">
        <f>IFERROR(__xludf.DUMMYFUNCTION("""COMPUTED_VALUE"""),"Completed")</f>
        <v>Completed</v>
      </c>
    </row>
    <row r="4034">
      <c r="A4034" s="9" t="str">
        <f>IFERROR(__xludf.DUMMYFUNCTION("""COMPUTED_VALUE"""),"G-REQ-04033")</f>
        <v>G-REQ-04033</v>
      </c>
      <c r="B4034" s="11">
        <f>IFERROR(__xludf.DUMMYFUNCTION("""COMPUTED_VALUE"""),46048.36239338025)</f>
        <v>46048.36239</v>
      </c>
      <c r="C4034" s="9">
        <f>IFERROR(__xludf.DUMMYFUNCTION("""COMPUTED_VALUE"""),15591.0)</f>
        <v>15591</v>
      </c>
      <c r="D4034" s="9" t="str">
        <f>IFERROR(__xludf.DUMMYFUNCTION("""COMPUTED_VALUE"""),"Completed")</f>
        <v>Completed</v>
      </c>
    </row>
    <row r="4035">
      <c r="A4035" s="9" t="str">
        <f>IFERROR(__xludf.DUMMYFUNCTION("""COMPUTED_VALUE"""),"G-REQ-04034")</f>
        <v>G-REQ-04034</v>
      </c>
      <c r="B4035" s="11">
        <f>IFERROR(__xludf.DUMMYFUNCTION("""COMPUTED_VALUE"""),46048.433568225664)</f>
        <v>46048.43357</v>
      </c>
      <c r="C4035" s="9">
        <f>IFERROR(__xludf.DUMMYFUNCTION("""COMPUTED_VALUE"""),15595.0)</f>
        <v>15595</v>
      </c>
      <c r="D4035" s="9" t="str">
        <f>IFERROR(__xludf.DUMMYFUNCTION("""COMPUTED_VALUE"""),"Completed")</f>
        <v>Completed</v>
      </c>
    </row>
    <row r="4036">
      <c r="A4036" s="9" t="str">
        <f>IFERROR(__xludf.DUMMYFUNCTION("""COMPUTED_VALUE"""),"G-REQ-04035")</f>
        <v>G-REQ-04035</v>
      </c>
      <c r="B4036" s="11">
        <f>IFERROR(__xludf.DUMMYFUNCTION("""COMPUTED_VALUE"""),46048.504743071084)</f>
        <v>46048.50474</v>
      </c>
      <c r="C4036" s="9">
        <f>IFERROR(__xludf.DUMMYFUNCTION("""COMPUTED_VALUE"""),15599.0)</f>
        <v>15599</v>
      </c>
      <c r="D4036" s="9" t="str">
        <f>IFERROR(__xludf.DUMMYFUNCTION("""COMPUTED_VALUE"""),"Completed")</f>
        <v>Completed</v>
      </c>
    </row>
    <row r="4037">
      <c r="A4037" s="9" t="str">
        <f>IFERROR(__xludf.DUMMYFUNCTION("""COMPUTED_VALUE"""),"G-REQ-04036")</f>
        <v>G-REQ-04036</v>
      </c>
      <c r="B4037" s="11">
        <f>IFERROR(__xludf.DUMMYFUNCTION("""COMPUTED_VALUE"""),46048.575917916496)</f>
        <v>46048.57592</v>
      </c>
      <c r="C4037" s="9">
        <f>IFERROR(__xludf.DUMMYFUNCTION("""COMPUTED_VALUE"""),15603.0)</f>
        <v>15603</v>
      </c>
      <c r="D4037" s="9" t="str">
        <f>IFERROR(__xludf.DUMMYFUNCTION("""COMPUTED_VALUE"""),"Completed")</f>
        <v>Completed</v>
      </c>
    </row>
    <row r="4038">
      <c r="A4038" s="9" t="str">
        <f>IFERROR(__xludf.DUMMYFUNCTION("""COMPUTED_VALUE"""),"G-REQ-04037")</f>
        <v>G-REQ-04037</v>
      </c>
      <c r="B4038" s="11">
        <f>IFERROR(__xludf.DUMMYFUNCTION("""COMPUTED_VALUE"""),46048.64709276191)</f>
        <v>46048.64709</v>
      </c>
      <c r="C4038" s="9">
        <f>IFERROR(__xludf.DUMMYFUNCTION("""COMPUTED_VALUE"""),15607.0)</f>
        <v>15607</v>
      </c>
      <c r="D4038" s="9" t="str">
        <f>IFERROR(__xludf.DUMMYFUNCTION("""COMPUTED_VALUE"""),"Completed")</f>
        <v>Completed</v>
      </c>
    </row>
    <row r="4039">
      <c r="A4039" s="9" t="str">
        <f>IFERROR(__xludf.DUMMYFUNCTION("""COMPUTED_VALUE"""),"G-REQ-04038")</f>
        <v>G-REQ-04038</v>
      </c>
      <c r="B4039" s="11">
        <f>IFERROR(__xludf.DUMMYFUNCTION("""COMPUTED_VALUE"""),46048.71826760733)</f>
        <v>46048.71827</v>
      </c>
      <c r="C4039" s="9">
        <f>IFERROR(__xludf.DUMMYFUNCTION("""COMPUTED_VALUE"""),15611.0)</f>
        <v>15611</v>
      </c>
      <c r="D4039" s="9" t="str">
        <f>IFERROR(__xludf.DUMMYFUNCTION("""COMPUTED_VALUE"""),"Completed")</f>
        <v>Completed</v>
      </c>
    </row>
    <row r="4040">
      <c r="A4040" s="9" t="str">
        <f>IFERROR(__xludf.DUMMYFUNCTION("""COMPUTED_VALUE"""),"G-REQ-04039")</f>
        <v>G-REQ-04039</v>
      </c>
      <c r="B4040" s="11">
        <f>IFERROR(__xludf.DUMMYFUNCTION("""COMPUTED_VALUE"""),46048.78944245275)</f>
        <v>46048.78944</v>
      </c>
      <c r="C4040" s="9">
        <f>IFERROR(__xludf.DUMMYFUNCTION("""COMPUTED_VALUE"""),15615.0)</f>
        <v>15615</v>
      </c>
      <c r="D4040" s="9" t="str">
        <f>IFERROR(__xludf.DUMMYFUNCTION("""COMPUTED_VALUE"""),"Completed")</f>
        <v>Completed</v>
      </c>
    </row>
    <row r="4041">
      <c r="A4041" s="9" t="str">
        <f>IFERROR(__xludf.DUMMYFUNCTION("""COMPUTED_VALUE"""),"G-REQ-04040")</f>
        <v>G-REQ-04040</v>
      </c>
      <c r="B4041" s="11">
        <f>IFERROR(__xludf.DUMMYFUNCTION("""COMPUTED_VALUE"""),46048.86061729816)</f>
        <v>46048.86062</v>
      </c>
      <c r="C4041" s="9">
        <f>IFERROR(__xludf.DUMMYFUNCTION("""COMPUTED_VALUE"""),15619.0)</f>
        <v>15619</v>
      </c>
      <c r="D4041" s="9" t="str">
        <f>IFERROR(__xludf.DUMMYFUNCTION("""COMPUTED_VALUE"""),"Completed")</f>
        <v>Completed</v>
      </c>
    </row>
    <row r="4042">
      <c r="A4042" s="9" t="str">
        <f>IFERROR(__xludf.DUMMYFUNCTION("""COMPUTED_VALUE"""),"G-REQ-04041")</f>
        <v>G-REQ-04041</v>
      </c>
      <c r="B4042" s="11">
        <f>IFERROR(__xludf.DUMMYFUNCTION("""COMPUTED_VALUE"""),46048.92484769913)</f>
        <v>46048.92485</v>
      </c>
      <c r="C4042" s="9">
        <f>IFERROR(__xludf.DUMMYFUNCTION("""COMPUTED_VALUE"""),15621.0)</f>
        <v>15621</v>
      </c>
      <c r="D4042" s="9" t="str">
        <f>IFERROR(__xludf.DUMMYFUNCTION("""COMPUTED_VALUE"""),"Rejected")</f>
        <v>Rejected</v>
      </c>
    </row>
    <row r="4043">
      <c r="A4043" s="9" t="str">
        <f>IFERROR(__xludf.DUMMYFUNCTION("""COMPUTED_VALUE"""),"G-REQ-04042")</f>
        <v>G-REQ-04042</v>
      </c>
      <c r="B4043" s="11">
        <f>IFERROR(__xludf.DUMMYFUNCTION("""COMPUTED_VALUE"""),46048.99602254455)</f>
        <v>46048.99602</v>
      </c>
      <c r="C4043" s="9">
        <f>IFERROR(__xludf.DUMMYFUNCTION("""COMPUTED_VALUE"""),15623.0)</f>
        <v>15623</v>
      </c>
      <c r="D4043" s="9" t="str">
        <f>IFERROR(__xludf.DUMMYFUNCTION("""COMPUTED_VALUE"""),"Rejected")</f>
        <v>Rejected</v>
      </c>
    </row>
    <row r="4044">
      <c r="A4044" s="9" t="str">
        <f>IFERROR(__xludf.DUMMYFUNCTION("""COMPUTED_VALUE"""),"G-REQ-04043")</f>
        <v>G-REQ-04043</v>
      </c>
      <c r="B4044" s="11">
        <f>IFERROR(__xludf.DUMMYFUNCTION("""COMPUTED_VALUE"""),46049.074141834404)</f>
        <v>46049.07414</v>
      </c>
      <c r="C4044" s="9">
        <f>IFERROR(__xludf.DUMMYFUNCTION("""COMPUTED_VALUE"""),15627.0)</f>
        <v>15627</v>
      </c>
      <c r="D4044" s="9" t="str">
        <f>IFERROR(__xludf.DUMMYFUNCTION("""COMPUTED_VALUE"""),"Completed")</f>
        <v>Completed</v>
      </c>
    </row>
    <row r="4045">
      <c r="A4045" s="9" t="str">
        <f>IFERROR(__xludf.DUMMYFUNCTION("""COMPUTED_VALUE"""),"G-REQ-04044")</f>
        <v>G-REQ-04044</v>
      </c>
      <c r="B4045" s="11">
        <f>IFERROR(__xludf.DUMMYFUNCTION("""COMPUTED_VALUE"""),46049.14531667982)</f>
        <v>46049.14532</v>
      </c>
      <c r="C4045" s="9">
        <f>IFERROR(__xludf.DUMMYFUNCTION("""COMPUTED_VALUE"""),15631.0)</f>
        <v>15631</v>
      </c>
      <c r="D4045" s="9" t="str">
        <f>IFERROR(__xludf.DUMMYFUNCTION("""COMPUTED_VALUE"""),"Completed")</f>
        <v>Completed</v>
      </c>
    </row>
    <row r="4046">
      <c r="A4046" s="9" t="str">
        <f>IFERROR(__xludf.DUMMYFUNCTION("""COMPUTED_VALUE"""),"G-REQ-04045")</f>
        <v>G-REQ-04045</v>
      </c>
      <c r="B4046" s="11">
        <f>IFERROR(__xludf.DUMMYFUNCTION("""COMPUTED_VALUE"""),46049.216491525236)</f>
        <v>46049.21649</v>
      </c>
      <c r="C4046" s="9">
        <f>IFERROR(__xludf.DUMMYFUNCTION("""COMPUTED_VALUE"""),15635.0)</f>
        <v>15635</v>
      </c>
      <c r="D4046" s="9" t="str">
        <f>IFERROR(__xludf.DUMMYFUNCTION("""COMPUTED_VALUE"""),"Completed")</f>
        <v>Completed</v>
      </c>
    </row>
    <row r="4047">
      <c r="A4047" s="9" t="str">
        <f>IFERROR(__xludf.DUMMYFUNCTION("""COMPUTED_VALUE"""),"G-REQ-04046")</f>
        <v>G-REQ-04046</v>
      </c>
      <c r="B4047" s="11">
        <f>IFERROR(__xludf.DUMMYFUNCTION("""COMPUTED_VALUE"""),46049.28766637065)</f>
        <v>46049.28767</v>
      </c>
      <c r="C4047" s="9">
        <f>IFERROR(__xludf.DUMMYFUNCTION("""COMPUTED_VALUE"""),15639.0)</f>
        <v>15639</v>
      </c>
      <c r="D4047" s="9" t="str">
        <f>IFERROR(__xludf.DUMMYFUNCTION("""COMPUTED_VALUE"""),"Completed")</f>
        <v>Completed</v>
      </c>
    </row>
    <row r="4048">
      <c r="A4048" s="9" t="str">
        <f>IFERROR(__xludf.DUMMYFUNCTION("""COMPUTED_VALUE"""),"G-REQ-04047")</f>
        <v>G-REQ-04047</v>
      </c>
      <c r="B4048" s="11">
        <f>IFERROR(__xludf.DUMMYFUNCTION("""COMPUTED_VALUE"""),46049.35884121606)</f>
        <v>46049.35884</v>
      </c>
      <c r="C4048" s="9">
        <f>IFERROR(__xludf.DUMMYFUNCTION("""COMPUTED_VALUE"""),15643.0)</f>
        <v>15643</v>
      </c>
      <c r="D4048" s="9" t="str">
        <f>IFERROR(__xludf.DUMMYFUNCTION("""COMPUTED_VALUE"""),"Completed")</f>
        <v>Completed</v>
      </c>
    </row>
    <row r="4049">
      <c r="A4049" s="9" t="str">
        <f>IFERROR(__xludf.DUMMYFUNCTION("""COMPUTED_VALUE"""),"G-REQ-04048")</f>
        <v>G-REQ-04048</v>
      </c>
      <c r="B4049" s="11">
        <f>IFERROR(__xludf.DUMMYFUNCTION("""COMPUTED_VALUE"""),46049.43001606148)</f>
        <v>46049.43002</v>
      </c>
      <c r="C4049" s="9">
        <f>IFERROR(__xludf.DUMMYFUNCTION("""COMPUTED_VALUE"""),15647.0)</f>
        <v>15647</v>
      </c>
      <c r="D4049" s="9" t="str">
        <f>IFERROR(__xludf.DUMMYFUNCTION("""COMPUTED_VALUE"""),"Completed")</f>
        <v>Completed</v>
      </c>
    </row>
    <row r="4050">
      <c r="A4050" s="9" t="str">
        <f>IFERROR(__xludf.DUMMYFUNCTION("""COMPUTED_VALUE"""),"G-REQ-04049")</f>
        <v>G-REQ-04049</v>
      </c>
      <c r="B4050" s="11">
        <f>IFERROR(__xludf.DUMMYFUNCTION("""COMPUTED_VALUE"""),46049.50119090689)</f>
        <v>46049.50119</v>
      </c>
      <c r="C4050" s="9">
        <f>IFERROR(__xludf.DUMMYFUNCTION("""COMPUTED_VALUE"""),15651.0)</f>
        <v>15651</v>
      </c>
      <c r="D4050" s="9" t="str">
        <f>IFERROR(__xludf.DUMMYFUNCTION("""COMPUTED_VALUE"""),"Completed")</f>
        <v>Completed</v>
      </c>
    </row>
    <row r="4051">
      <c r="A4051" s="9" t="str">
        <f>IFERROR(__xludf.DUMMYFUNCTION("""COMPUTED_VALUE"""),"G-REQ-04050")</f>
        <v>G-REQ-04050</v>
      </c>
      <c r="B4051" s="11">
        <f>IFERROR(__xludf.DUMMYFUNCTION("""COMPUTED_VALUE"""),46049.572365752305)</f>
        <v>46049.57237</v>
      </c>
      <c r="C4051" s="9">
        <f>IFERROR(__xludf.DUMMYFUNCTION("""COMPUTED_VALUE"""),15655.0)</f>
        <v>15655</v>
      </c>
      <c r="D4051" s="9" t="str">
        <f>IFERROR(__xludf.DUMMYFUNCTION("""COMPUTED_VALUE"""),"Completed")</f>
        <v>Completed</v>
      </c>
    </row>
    <row r="4052">
      <c r="A4052" s="9" t="str">
        <f>IFERROR(__xludf.DUMMYFUNCTION("""COMPUTED_VALUE"""),"G-REQ-04051")</f>
        <v>G-REQ-04051</v>
      </c>
      <c r="B4052" s="11">
        <f>IFERROR(__xludf.DUMMYFUNCTION("""COMPUTED_VALUE"""),46049.643540597724)</f>
        <v>46049.64354</v>
      </c>
      <c r="C4052" s="9">
        <f>IFERROR(__xludf.DUMMYFUNCTION("""COMPUTED_VALUE"""),15659.0)</f>
        <v>15659</v>
      </c>
      <c r="D4052" s="9" t="str">
        <f>IFERROR(__xludf.DUMMYFUNCTION("""COMPUTED_VALUE"""),"Completed")</f>
        <v>Completed</v>
      </c>
    </row>
    <row r="4053">
      <c r="A4053" s="9" t="str">
        <f>IFERROR(__xludf.DUMMYFUNCTION("""COMPUTED_VALUE"""),"G-REQ-04052")</f>
        <v>G-REQ-04052</v>
      </c>
      <c r="B4053" s="11">
        <f>IFERROR(__xludf.DUMMYFUNCTION("""COMPUTED_VALUE"""),46049.714715443144)</f>
        <v>46049.71472</v>
      </c>
      <c r="C4053" s="9">
        <f>IFERROR(__xludf.DUMMYFUNCTION("""COMPUTED_VALUE"""),15663.0)</f>
        <v>15663</v>
      </c>
      <c r="D4053" s="9" t="str">
        <f>IFERROR(__xludf.DUMMYFUNCTION("""COMPUTED_VALUE"""),"Completed")</f>
        <v>Completed</v>
      </c>
    </row>
    <row r="4054">
      <c r="A4054" s="9" t="str">
        <f>IFERROR(__xludf.DUMMYFUNCTION("""COMPUTED_VALUE"""),"G-REQ-04053")</f>
        <v>G-REQ-04053</v>
      </c>
      <c r="B4054" s="11">
        <f>IFERROR(__xludf.DUMMYFUNCTION("""COMPUTED_VALUE"""),46049.78589028855)</f>
        <v>46049.78589</v>
      </c>
      <c r="C4054" s="9">
        <f>IFERROR(__xludf.DUMMYFUNCTION("""COMPUTED_VALUE"""),15667.0)</f>
        <v>15667</v>
      </c>
      <c r="D4054" s="9" t="str">
        <f>IFERROR(__xludf.DUMMYFUNCTION("""COMPUTED_VALUE"""),"Completed")</f>
        <v>Completed</v>
      </c>
    </row>
    <row r="4055">
      <c r="A4055" s="9" t="str">
        <f>IFERROR(__xludf.DUMMYFUNCTION("""COMPUTED_VALUE"""),"G-REQ-04054")</f>
        <v>G-REQ-04054</v>
      </c>
      <c r="B4055" s="11">
        <f>IFERROR(__xludf.DUMMYFUNCTION("""COMPUTED_VALUE"""),46049.85706513397)</f>
        <v>46049.85707</v>
      </c>
      <c r="C4055" s="9">
        <f>IFERROR(__xludf.DUMMYFUNCTION("""COMPUTED_VALUE"""),15671.0)</f>
        <v>15671</v>
      </c>
      <c r="D4055" s="9" t="str">
        <f>IFERROR(__xludf.DUMMYFUNCTION("""COMPUTED_VALUE"""),"Completed")</f>
        <v>Completed</v>
      </c>
    </row>
    <row r="4056">
      <c r="A4056" s="9" t="str">
        <f>IFERROR(__xludf.DUMMYFUNCTION("""COMPUTED_VALUE"""),"G-REQ-04055")</f>
        <v>G-REQ-04055</v>
      </c>
      <c r="B4056" s="11">
        <f>IFERROR(__xludf.DUMMYFUNCTION("""COMPUTED_VALUE"""),46049.92129553494)</f>
        <v>46049.9213</v>
      </c>
      <c r="C4056" s="9">
        <f>IFERROR(__xludf.DUMMYFUNCTION("""COMPUTED_VALUE"""),15673.0)</f>
        <v>15673</v>
      </c>
      <c r="D4056" s="9" t="str">
        <f>IFERROR(__xludf.DUMMYFUNCTION("""COMPUTED_VALUE"""),"Cancelled")</f>
        <v>Cancelled</v>
      </c>
    </row>
    <row r="4057">
      <c r="A4057" s="9" t="str">
        <f>IFERROR(__xludf.DUMMYFUNCTION("""COMPUTED_VALUE"""),"G-REQ-04056")</f>
        <v>G-REQ-04056</v>
      </c>
      <c r="B4057" s="11">
        <f>IFERROR(__xludf.DUMMYFUNCTION("""COMPUTED_VALUE"""),46049.9994148248)</f>
        <v>46049.99941</v>
      </c>
      <c r="C4057" s="9">
        <f>IFERROR(__xludf.DUMMYFUNCTION("""COMPUTED_VALUE"""),15677.0)</f>
        <v>15677</v>
      </c>
      <c r="D4057" s="9" t="str">
        <f>IFERROR(__xludf.DUMMYFUNCTION("""COMPUTED_VALUE"""),"Completed")</f>
        <v>Completed</v>
      </c>
    </row>
    <row r="4058">
      <c r="A4058" s="9" t="str">
        <f>IFERROR(__xludf.DUMMYFUNCTION("""COMPUTED_VALUE"""),"G-REQ-04057")</f>
        <v>G-REQ-04057</v>
      </c>
      <c r="B4058" s="11">
        <f>IFERROR(__xludf.DUMMYFUNCTION("""COMPUTED_VALUE"""),46050.07058967021)</f>
        <v>46050.07059</v>
      </c>
      <c r="C4058" s="9">
        <f>IFERROR(__xludf.DUMMYFUNCTION("""COMPUTED_VALUE"""),15681.0)</f>
        <v>15681</v>
      </c>
      <c r="D4058" s="9" t="str">
        <f>IFERROR(__xludf.DUMMYFUNCTION("""COMPUTED_VALUE"""),"Completed")</f>
        <v>Completed</v>
      </c>
    </row>
    <row r="4059">
      <c r="A4059" s="9" t="str">
        <f>IFERROR(__xludf.DUMMYFUNCTION("""COMPUTED_VALUE"""),"G-REQ-04058")</f>
        <v>G-REQ-04058</v>
      </c>
      <c r="B4059" s="11">
        <f>IFERROR(__xludf.DUMMYFUNCTION("""COMPUTED_VALUE"""),46050.13482007119)</f>
        <v>46050.13482</v>
      </c>
      <c r="C4059" s="9">
        <f>IFERROR(__xludf.DUMMYFUNCTION("""COMPUTED_VALUE"""),15683.0)</f>
        <v>15683</v>
      </c>
      <c r="D4059" s="9" t="str">
        <f>IFERROR(__xludf.DUMMYFUNCTION("""COMPUTED_VALUE"""),"Cancelled")</f>
        <v>Cancelled</v>
      </c>
    </row>
    <row r="4060">
      <c r="A4060" s="9" t="str">
        <f>IFERROR(__xludf.DUMMYFUNCTION("""COMPUTED_VALUE"""),"G-REQ-04059")</f>
        <v>G-REQ-04059</v>
      </c>
      <c r="B4060" s="11">
        <f>IFERROR(__xludf.DUMMYFUNCTION("""COMPUTED_VALUE"""),46050.212939361045)</f>
        <v>46050.21294</v>
      </c>
      <c r="C4060" s="9">
        <f>IFERROR(__xludf.DUMMYFUNCTION("""COMPUTED_VALUE"""),15687.0)</f>
        <v>15687</v>
      </c>
      <c r="D4060" s="9" t="str">
        <f>IFERROR(__xludf.DUMMYFUNCTION("""COMPUTED_VALUE"""),"Completed")</f>
        <v>Completed</v>
      </c>
    </row>
    <row r="4061">
      <c r="A4061" s="9" t="str">
        <f>IFERROR(__xludf.DUMMYFUNCTION("""COMPUTED_VALUE"""),"G-REQ-04060")</f>
        <v>G-REQ-04060</v>
      </c>
      <c r="B4061" s="11">
        <f>IFERROR(__xludf.DUMMYFUNCTION("""COMPUTED_VALUE"""),46050.28411420646)</f>
        <v>46050.28411</v>
      </c>
      <c r="C4061" s="9">
        <f>IFERROR(__xludf.DUMMYFUNCTION("""COMPUTED_VALUE"""),15691.0)</f>
        <v>15691</v>
      </c>
      <c r="D4061" s="9" t="str">
        <f>IFERROR(__xludf.DUMMYFUNCTION("""COMPUTED_VALUE"""),"Completed")</f>
        <v>Completed</v>
      </c>
    </row>
    <row r="4062">
      <c r="A4062" s="9" t="str">
        <f>IFERROR(__xludf.DUMMYFUNCTION("""COMPUTED_VALUE"""),"G-REQ-04061")</f>
        <v>G-REQ-04061</v>
      </c>
      <c r="B4062" s="11">
        <f>IFERROR(__xludf.DUMMYFUNCTION("""COMPUTED_VALUE"""),46050.35528905188)</f>
        <v>46050.35529</v>
      </c>
      <c r="C4062" s="9">
        <f>IFERROR(__xludf.DUMMYFUNCTION("""COMPUTED_VALUE"""),15695.0)</f>
        <v>15695</v>
      </c>
      <c r="D4062" s="9" t="str">
        <f>IFERROR(__xludf.DUMMYFUNCTION("""COMPUTED_VALUE"""),"Completed")</f>
        <v>Completed</v>
      </c>
    </row>
    <row r="4063">
      <c r="A4063" s="9" t="str">
        <f>IFERROR(__xludf.DUMMYFUNCTION("""COMPUTED_VALUE"""),"G-REQ-04062")</f>
        <v>G-REQ-04062</v>
      </c>
      <c r="B4063" s="11">
        <f>IFERROR(__xludf.DUMMYFUNCTION("""COMPUTED_VALUE"""),46050.42646389729)</f>
        <v>46050.42646</v>
      </c>
      <c r="C4063" s="9">
        <f>IFERROR(__xludf.DUMMYFUNCTION("""COMPUTED_VALUE"""),15699.0)</f>
        <v>15699</v>
      </c>
      <c r="D4063" s="9" t="str">
        <f>IFERROR(__xludf.DUMMYFUNCTION("""COMPUTED_VALUE"""),"Completed")</f>
        <v>Completed</v>
      </c>
    </row>
    <row r="4064">
      <c r="A4064" s="9" t="str">
        <f>IFERROR(__xludf.DUMMYFUNCTION("""COMPUTED_VALUE"""),"G-REQ-04063")</f>
        <v>G-REQ-04063</v>
      </c>
      <c r="B4064" s="11">
        <f>IFERROR(__xludf.DUMMYFUNCTION("""COMPUTED_VALUE"""),46050.4976387427)</f>
        <v>46050.49764</v>
      </c>
      <c r="C4064" s="9">
        <f>IFERROR(__xludf.DUMMYFUNCTION("""COMPUTED_VALUE"""),15703.0)</f>
        <v>15703</v>
      </c>
      <c r="D4064" s="9" t="str">
        <f>IFERROR(__xludf.DUMMYFUNCTION("""COMPUTED_VALUE"""),"Completed")</f>
        <v>Completed</v>
      </c>
    </row>
    <row r="4065">
      <c r="A4065" s="9" t="str">
        <f>IFERROR(__xludf.DUMMYFUNCTION("""COMPUTED_VALUE"""),"G-REQ-04064")</f>
        <v>G-REQ-04064</v>
      </c>
      <c r="B4065" s="11">
        <f>IFERROR(__xludf.DUMMYFUNCTION("""COMPUTED_VALUE"""),46050.56881358812)</f>
        <v>46050.56881</v>
      </c>
      <c r="C4065" s="9">
        <f>IFERROR(__xludf.DUMMYFUNCTION("""COMPUTED_VALUE"""),15707.0)</f>
        <v>15707</v>
      </c>
      <c r="D4065" s="9" t="str">
        <f>IFERROR(__xludf.DUMMYFUNCTION("""COMPUTED_VALUE"""),"Completed")</f>
        <v>Completed</v>
      </c>
    </row>
    <row r="4066">
      <c r="A4066" s="9" t="str">
        <f>IFERROR(__xludf.DUMMYFUNCTION("""COMPUTED_VALUE"""),"G-REQ-04065")</f>
        <v>G-REQ-04065</v>
      </c>
      <c r="B4066" s="11">
        <f>IFERROR(__xludf.DUMMYFUNCTION("""COMPUTED_VALUE"""),46050.63304398909)</f>
        <v>46050.63304</v>
      </c>
      <c r="C4066" s="9">
        <f>IFERROR(__xludf.DUMMYFUNCTION("""COMPUTED_VALUE"""),15709.0)</f>
        <v>15709</v>
      </c>
      <c r="D4066" s="9" t="str">
        <f>IFERROR(__xludf.DUMMYFUNCTION("""COMPUTED_VALUE"""),"Rejected")</f>
        <v>Rejected</v>
      </c>
    </row>
    <row r="4067">
      <c r="A4067" s="9" t="str">
        <f>IFERROR(__xludf.DUMMYFUNCTION("""COMPUTED_VALUE"""),"G-REQ-04066")</f>
        <v>G-REQ-04066</v>
      </c>
      <c r="B4067" s="11">
        <f>IFERROR(__xludf.DUMMYFUNCTION("""COMPUTED_VALUE"""),46050.711163278946)</f>
        <v>46050.71116</v>
      </c>
      <c r="C4067" s="9">
        <f>IFERROR(__xludf.DUMMYFUNCTION("""COMPUTED_VALUE"""),15713.0)</f>
        <v>15713</v>
      </c>
      <c r="D4067" s="9" t="str">
        <f>IFERROR(__xludf.DUMMYFUNCTION("""COMPUTED_VALUE"""),"Completed")</f>
        <v>Completed</v>
      </c>
    </row>
    <row r="4068">
      <c r="A4068" s="9" t="str">
        <f>IFERROR(__xludf.DUMMYFUNCTION("""COMPUTED_VALUE"""),"G-REQ-04067")</f>
        <v>G-REQ-04067</v>
      </c>
      <c r="B4068" s="11">
        <f>IFERROR(__xludf.DUMMYFUNCTION("""COMPUTED_VALUE"""),46050.782338124365)</f>
        <v>46050.78234</v>
      </c>
      <c r="C4068" s="9">
        <f>IFERROR(__xludf.DUMMYFUNCTION("""COMPUTED_VALUE"""),15717.0)</f>
        <v>15717</v>
      </c>
      <c r="D4068" s="9" t="str">
        <f>IFERROR(__xludf.DUMMYFUNCTION("""COMPUTED_VALUE"""),"Completed")</f>
        <v>Completed</v>
      </c>
    </row>
    <row r="4069">
      <c r="A4069" s="9" t="str">
        <f>IFERROR(__xludf.DUMMYFUNCTION("""COMPUTED_VALUE"""),"G-REQ-04068")</f>
        <v>G-REQ-04068</v>
      </c>
      <c r="B4069" s="11">
        <f>IFERROR(__xludf.DUMMYFUNCTION("""COMPUTED_VALUE"""),46050.853512969785)</f>
        <v>46050.85351</v>
      </c>
      <c r="C4069" s="9">
        <f>IFERROR(__xludf.DUMMYFUNCTION("""COMPUTED_VALUE"""),15721.0)</f>
        <v>15721</v>
      </c>
      <c r="D4069" s="9" t="str">
        <f>IFERROR(__xludf.DUMMYFUNCTION("""COMPUTED_VALUE"""),"Completed")</f>
        <v>Completed</v>
      </c>
    </row>
    <row r="4070">
      <c r="A4070" s="9" t="str">
        <f>IFERROR(__xludf.DUMMYFUNCTION("""COMPUTED_VALUE"""),"G-REQ-04069")</f>
        <v>G-REQ-04069</v>
      </c>
      <c r="B4070" s="11">
        <f>IFERROR(__xludf.DUMMYFUNCTION("""COMPUTED_VALUE"""),46050.92468781519)</f>
        <v>46050.92469</v>
      </c>
      <c r="C4070" s="9">
        <f>IFERROR(__xludf.DUMMYFUNCTION("""COMPUTED_VALUE"""),15725.0)</f>
        <v>15725</v>
      </c>
      <c r="D4070" s="9" t="str">
        <f>IFERROR(__xludf.DUMMYFUNCTION("""COMPUTED_VALUE"""),"Completed")</f>
        <v>Completed</v>
      </c>
    </row>
    <row r="4071">
      <c r="A4071" s="9" t="str">
        <f>IFERROR(__xludf.DUMMYFUNCTION("""COMPUTED_VALUE"""),"G-REQ-04070")</f>
        <v>G-REQ-04070</v>
      </c>
      <c r="B4071" s="11">
        <f>IFERROR(__xludf.DUMMYFUNCTION("""COMPUTED_VALUE"""),46050.99586266061)</f>
        <v>46050.99586</v>
      </c>
      <c r="C4071" s="9">
        <f>IFERROR(__xludf.DUMMYFUNCTION("""COMPUTED_VALUE"""),15729.0)</f>
        <v>15729</v>
      </c>
      <c r="D4071" s="9" t="str">
        <f>IFERROR(__xludf.DUMMYFUNCTION("""COMPUTED_VALUE"""),"Completed")</f>
        <v>Completed</v>
      </c>
    </row>
    <row r="4072">
      <c r="A4072" s="9" t="str">
        <f>IFERROR(__xludf.DUMMYFUNCTION("""COMPUTED_VALUE"""),"G-REQ-04071")</f>
        <v>G-REQ-04071</v>
      </c>
      <c r="B4072" s="11">
        <f>IFERROR(__xludf.DUMMYFUNCTION("""COMPUTED_VALUE"""),46051.06703750603)</f>
        <v>46051.06704</v>
      </c>
      <c r="C4072" s="9">
        <f>IFERROR(__xludf.DUMMYFUNCTION("""COMPUTED_VALUE"""),15733.0)</f>
        <v>15733</v>
      </c>
      <c r="D4072" s="9" t="str">
        <f>IFERROR(__xludf.DUMMYFUNCTION("""COMPUTED_VALUE"""),"Completed")</f>
        <v>Completed</v>
      </c>
    </row>
    <row r="4073">
      <c r="A4073" s="9" t="str">
        <f>IFERROR(__xludf.DUMMYFUNCTION("""COMPUTED_VALUE"""),"G-REQ-04072")</f>
        <v>G-REQ-04072</v>
      </c>
      <c r="B4073" s="11">
        <f>IFERROR(__xludf.DUMMYFUNCTION("""COMPUTED_VALUE"""),46051.13821235144)</f>
        <v>46051.13821</v>
      </c>
      <c r="C4073" s="9">
        <f>IFERROR(__xludf.DUMMYFUNCTION("""COMPUTED_VALUE"""),15737.0)</f>
        <v>15737</v>
      </c>
      <c r="D4073" s="9" t="str">
        <f>IFERROR(__xludf.DUMMYFUNCTION("""COMPUTED_VALUE"""),"Completed")</f>
        <v>Completed</v>
      </c>
    </row>
    <row r="4074">
      <c r="A4074" s="9" t="str">
        <f>IFERROR(__xludf.DUMMYFUNCTION("""COMPUTED_VALUE"""),"G-REQ-04073")</f>
        <v>G-REQ-04073</v>
      </c>
      <c r="B4074" s="11">
        <f>IFERROR(__xludf.DUMMYFUNCTION("""COMPUTED_VALUE"""),46051.209387196854)</f>
        <v>46051.20939</v>
      </c>
      <c r="C4074" s="9">
        <f>IFERROR(__xludf.DUMMYFUNCTION("""COMPUTED_VALUE"""),15741.0)</f>
        <v>15741</v>
      </c>
      <c r="D4074" s="9" t="str">
        <f>IFERROR(__xludf.DUMMYFUNCTION("""COMPUTED_VALUE"""),"Completed")</f>
        <v>Completed</v>
      </c>
    </row>
    <row r="4075">
      <c r="A4075" s="9" t="str">
        <f>IFERROR(__xludf.DUMMYFUNCTION("""COMPUTED_VALUE"""),"G-REQ-04074")</f>
        <v>G-REQ-04074</v>
      </c>
      <c r="B4075" s="11">
        <f>IFERROR(__xludf.DUMMYFUNCTION("""COMPUTED_VALUE"""),46051.28056204227)</f>
        <v>46051.28056</v>
      </c>
      <c r="C4075" s="9">
        <f>IFERROR(__xludf.DUMMYFUNCTION("""COMPUTED_VALUE"""),15745.0)</f>
        <v>15745</v>
      </c>
      <c r="D4075" s="9" t="str">
        <f>IFERROR(__xludf.DUMMYFUNCTION("""COMPUTED_VALUE"""),"Completed")</f>
        <v>Completed</v>
      </c>
    </row>
    <row r="4076">
      <c r="A4076" s="9" t="str">
        <f>IFERROR(__xludf.DUMMYFUNCTION("""COMPUTED_VALUE"""),"G-REQ-04075")</f>
        <v>G-REQ-04075</v>
      </c>
      <c r="B4076" s="11">
        <f>IFERROR(__xludf.DUMMYFUNCTION("""COMPUTED_VALUE"""),46051.351736887686)</f>
        <v>46051.35174</v>
      </c>
      <c r="C4076" s="9">
        <f>IFERROR(__xludf.DUMMYFUNCTION("""COMPUTED_VALUE"""),15749.0)</f>
        <v>15749</v>
      </c>
      <c r="D4076" s="9" t="str">
        <f>IFERROR(__xludf.DUMMYFUNCTION("""COMPUTED_VALUE"""),"Completed")</f>
        <v>Completed</v>
      </c>
    </row>
    <row r="4077">
      <c r="A4077" s="9" t="str">
        <f>IFERROR(__xludf.DUMMYFUNCTION("""COMPUTED_VALUE"""),"G-REQ-04076")</f>
        <v>G-REQ-04076</v>
      </c>
      <c r="B4077" s="11">
        <f>IFERROR(__xludf.DUMMYFUNCTION("""COMPUTED_VALUE"""),46051.4229117331)</f>
        <v>46051.42291</v>
      </c>
      <c r="C4077" s="9">
        <f>IFERROR(__xludf.DUMMYFUNCTION("""COMPUTED_VALUE"""),15753.0)</f>
        <v>15753</v>
      </c>
      <c r="D4077" s="9" t="str">
        <f>IFERROR(__xludf.DUMMYFUNCTION("""COMPUTED_VALUE"""),"Completed")</f>
        <v>Completed</v>
      </c>
    </row>
    <row r="4078">
      <c r="A4078" s="9" t="str">
        <f>IFERROR(__xludf.DUMMYFUNCTION("""COMPUTED_VALUE"""),"G-REQ-04077")</f>
        <v>G-REQ-04077</v>
      </c>
      <c r="B4078" s="11">
        <f>IFERROR(__xludf.DUMMYFUNCTION("""COMPUTED_VALUE"""),46051.49408657852)</f>
        <v>46051.49409</v>
      </c>
      <c r="C4078" s="9">
        <f>IFERROR(__xludf.DUMMYFUNCTION("""COMPUTED_VALUE"""),15757.0)</f>
        <v>15757</v>
      </c>
      <c r="D4078" s="9" t="str">
        <f>IFERROR(__xludf.DUMMYFUNCTION("""COMPUTED_VALUE"""),"Completed")</f>
        <v>Completed</v>
      </c>
    </row>
    <row r="4079">
      <c r="A4079" s="9" t="str">
        <f>IFERROR(__xludf.DUMMYFUNCTION("""COMPUTED_VALUE"""),"G-REQ-04078")</f>
        <v>G-REQ-04078</v>
      </c>
      <c r="B4079" s="11">
        <f>IFERROR(__xludf.DUMMYFUNCTION("""COMPUTED_VALUE"""),46051.56526142393)</f>
        <v>46051.56526</v>
      </c>
      <c r="C4079" s="9">
        <f>IFERROR(__xludf.DUMMYFUNCTION("""COMPUTED_VALUE"""),15761.0)</f>
        <v>15761</v>
      </c>
      <c r="D4079" s="9" t="str">
        <f>IFERROR(__xludf.DUMMYFUNCTION("""COMPUTED_VALUE"""),"Completed")</f>
        <v>Completed</v>
      </c>
    </row>
    <row r="4080">
      <c r="A4080" s="9" t="str">
        <f>IFERROR(__xludf.DUMMYFUNCTION("""COMPUTED_VALUE"""),"G-REQ-04079")</f>
        <v>G-REQ-04079</v>
      </c>
      <c r="B4080" s="11">
        <f>IFERROR(__xludf.DUMMYFUNCTION("""COMPUTED_VALUE"""),46051.63643626934)</f>
        <v>46051.63644</v>
      </c>
      <c r="C4080" s="9">
        <f>IFERROR(__xludf.DUMMYFUNCTION("""COMPUTED_VALUE"""),15765.0)</f>
        <v>15765</v>
      </c>
      <c r="D4080" s="9" t="str">
        <f>IFERROR(__xludf.DUMMYFUNCTION("""COMPUTED_VALUE"""),"Completed")</f>
        <v>Completed</v>
      </c>
    </row>
    <row r="4081">
      <c r="A4081" s="9" t="str">
        <f>IFERROR(__xludf.DUMMYFUNCTION("""COMPUTED_VALUE"""),"G-REQ-04080")</f>
        <v>G-REQ-04080</v>
      </c>
      <c r="B4081" s="11">
        <f>IFERROR(__xludf.DUMMYFUNCTION("""COMPUTED_VALUE"""),46051.70761111476)</f>
        <v>46051.70761</v>
      </c>
      <c r="C4081" s="9">
        <f>IFERROR(__xludf.DUMMYFUNCTION("""COMPUTED_VALUE"""),15769.0)</f>
        <v>15769</v>
      </c>
      <c r="D4081" s="9" t="str">
        <f>IFERROR(__xludf.DUMMYFUNCTION("""COMPUTED_VALUE"""),"Completed")</f>
        <v>Completed</v>
      </c>
    </row>
    <row r="4082">
      <c r="A4082" s="9" t="str">
        <f>IFERROR(__xludf.DUMMYFUNCTION("""COMPUTED_VALUE"""),"G-REQ-04081")</f>
        <v>G-REQ-04081</v>
      </c>
      <c r="B4082" s="11">
        <f>IFERROR(__xludf.DUMMYFUNCTION("""COMPUTED_VALUE"""),46051.77878596018)</f>
        <v>46051.77879</v>
      </c>
      <c r="C4082" s="9">
        <f>IFERROR(__xludf.DUMMYFUNCTION("""COMPUTED_VALUE"""),15773.0)</f>
        <v>15773</v>
      </c>
      <c r="D4082" s="9" t="str">
        <f>IFERROR(__xludf.DUMMYFUNCTION("""COMPUTED_VALUE"""),"Completed")</f>
        <v>Completed</v>
      </c>
    </row>
    <row r="4083">
      <c r="A4083" s="9" t="str">
        <f>IFERROR(__xludf.DUMMYFUNCTION("""COMPUTED_VALUE"""),"G-REQ-04082")</f>
        <v>G-REQ-04082</v>
      </c>
      <c r="B4083" s="11">
        <f>IFERROR(__xludf.DUMMYFUNCTION("""COMPUTED_VALUE"""),46051.849960805586)</f>
        <v>46051.84996</v>
      </c>
      <c r="C4083" s="9">
        <f>IFERROR(__xludf.DUMMYFUNCTION("""COMPUTED_VALUE"""),15777.0)</f>
        <v>15777</v>
      </c>
      <c r="D4083" s="9" t="str">
        <f>IFERROR(__xludf.DUMMYFUNCTION("""COMPUTED_VALUE"""),"Completed")</f>
        <v>Completed</v>
      </c>
    </row>
    <row r="4084">
      <c r="A4084" s="9" t="str">
        <f>IFERROR(__xludf.DUMMYFUNCTION("""COMPUTED_VALUE"""),"G-REQ-04083")</f>
        <v>G-REQ-04083</v>
      </c>
      <c r="B4084" s="11">
        <f>IFERROR(__xludf.DUMMYFUNCTION("""COMPUTED_VALUE"""),46051.921135651006)</f>
        <v>46051.92114</v>
      </c>
      <c r="C4084" s="9">
        <f>IFERROR(__xludf.DUMMYFUNCTION("""COMPUTED_VALUE"""),15781.0)</f>
        <v>15781</v>
      </c>
      <c r="D4084" s="9" t="str">
        <f>IFERROR(__xludf.DUMMYFUNCTION("""COMPUTED_VALUE"""),"Completed")</f>
        <v>Completed</v>
      </c>
    </row>
    <row r="4085">
      <c r="A4085" s="9" t="str">
        <f>IFERROR(__xludf.DUMMYFUNCTION("""COMPUTED_VALUE"""),"G-REQ-04084")</f>
        <v>G-REQ-04084</v>
      </c>
      <c r="B4085" s="11">
        <f>IFERROR(__xludf.DUMMYFUNCTION("""COMPUTED_VALUE"""),46051.992310496425)</f>
        <v>46051.99231</v>
      </c>
      <c r="C4085" s="9">
        <f>IFERROR(__xludf.DUMMYFUNCTION("""COMPUTED_VALUE"""),15785.0)</f>
        <v>15785</v>
      </c>
      <c r="D4085" s="9" t="str">
        <f>IFERROR(__xludf.DUMMYFUNCTION("""COMPUTED_VALUE"""),"Completed")</f>
        <v>Completed</v>
      </c>
    </row>
    <row r="4086">
      <c r="A4086" s="9" t="str">
        <f>IFERROR(__xludf.DUMMYFUNCTION("""COMPUTED_VALUE"""),"G-REQ-04085")</f>
        <v>G-REQ-04085</v>
      </c>
      <c r="B4086" s="11">
        <f>IFERROR(__xludf.DUMMYFUNCTION("""COMPUTED_VALUE"""),46052.06348534184)</f>
        <v>46052.06349</v>
      </c>
      <c r="C4086" s="9">
        <f>IFERROR(__xludf.DUMMYFUNCTION("""COMPUTED_VALUE"""),15789.0)</f>
        <v>15789</v>
      </c>
      <c r="D4086" s="9" t="str">
        <f>IFERROR(__xludf.DUMMYFUNCTION("""COMPUTED_VALUE"""),"Completed")</f>
        <v>Completed</v>
      </c>
    </row>
    <row r="4087">
      <c r="A4087" s="9" t="str">
        <f>IFERROR(__xludf.DUMMYFUNCTION("""COMPUTED_VALUE"""),"G-REQ-04086")</f>
        <v>G-REQ-04086</v>
      </c>
      <c r="B4087" s="11">
        <f>IFERROR(__xludf.DUMMYFUNCTION("""COMPUTED_VALUE"""),46052.13466018725)</f>
        <v>46052.13466</v>
      </c>
      <c r="C4087" s="9">
        <f>IFERROR(__xludf.DUMMYFUNCTION("""COMPUTED_VALUE"""),15793.0)</f>
        <v>15793</v>
      </c>
      <c r="D4087" s="9" t="str">
        <f>IFERROR(__xludf.DUMMYFUNCTION("""COMPUTED_VALUE"""),"Completed")</f>
        <v>Completed</v>
      </c>
    </row>
    <row r="4088">
      <c r="A4088" s="9" t="str">
        <f>IFERROR(__xludf.DUMMYFUNCTION("""COMPUTED_VALUE"""),"G-REQ-04087")</f>
        <v>G-REQ-04087</v>
      </c>
      <c r="B4088" s="11">
        <f>IFERROR(__xludf.DUMMYFUNCTION("""COMPUTED_VALUE"""),46052.20583503267)</f>
        <v>46052.20584</v>
      </c>
      <c r="C4088" s="9">
        <f>IFERROR(__xludf.DUMMYFUNCTION("""COMPUTED_VALUE"""),15797.0)</f>
        <v>15797</v>
      </c>
      <c r="D4088" s="9" t="str">
        <f>IFERROR(__xludf.DUMMYFUNCTION("""COMPUTED_VALUE"""),"Completed")</f>
        <v>Completed</v>
      </c>
    </row>
    <row r="4089">
      <c r="A4089" s="9" t="str">
        <f>IFERROR(__xludf.DUMMYFUNCTION("""COMPUTED_VALUE"""),"G-REQ-04088")</f>
        <v>G-REQ-04088</v>
      </c>
      <c r="B4089" s="11">
        <f>IFERROR(__xludf.DUMMYFUNCTION("""COMPUTED_VALUE"""),46052.27700987808)</f>
        <v>46052.27701</v>
      </c>
      <c r="C4089" s="9">
        <f>IFERROR(__xludf.DUMMYFUNCTION("""COMPUTED_VALUE"""),15801.0)</f>
        <v>15801</v>
      </c>
      <c r="D4089" s="9" t="str">
        <f>IFERROR(__xludf.DUMMYFUNCTION("""COMPUTED_VALUE"""),"Completed")</f>
        <v>Completed</v>
      </c>
    </row>
    <row r="4090">
      <c r="A4090" s="9" t="str">
        <f>IFERROR(__xludf.DUMMYFUNCTION("""COMPUTED_VALUE"""),"G-REQ-04089")</f>
        <v>G-REQ-04089</v>
      </c>
      <c r="B4090" s="11">
        <f>IFERROR(__xludf.DUMMYFUNCTION("""COMPUTED_VALUE"""),46052.348184723494)</f>
        <v>46052.34818</v>
      </c>
      <c r="C4090" s="9">
        <f>IFERROR(__xludf.DUMMYFUNCTION("""COMPUTED_VALUE"""),15805.0)</f>
        <v>15805</v>
      </c>
      <c r="D4090" s="9" t="str">
        <f>IFERROR(__xludf.DUMMYFUNCTION("""COMPUTED_VALUE"""),"Completed")</f>
        <v>Completed</v>
      </c>
    </row>
    <row r="4091">
      <c r="A4091" s="9" t="str">
        <f>IFERROR(__xludf.DUMMYFUNCTION("""COMPUTED_VALUE"""),"G-REQ-04090")</f>
        <v>G-REQ-04090</v>
      </c>
      <c r="B4091" s="11">
        <f>IFERROR(__xludf.DUMMYFUNCTION("""COMPUTED_VALUE"""),46052.41241512447)</f>
        <v>46052.41242</v>
      </c>
      <c r="C4091" s="9">
        <f>IFERROR(__xludf.DUMMYFUNCTION("""COMPUTED_VALUE"""),15807.0)</f>
        <v>15807</v>
      </c>
      <c r="D4091" s="9" t="str">
        <f>IFERROR(__xludf.DUMMYFUNCTION("""COMPUTED_VALUE"""),"Rejected")</f>
        <v>Rejected</v>
      </c>
    </row>
    <row r="4092">
      <c r="A4092" s="9" t="str">
        <f>IFERROR(__xludf.DUMMYFUNCTION("""COMPUTED_VALUE"""),"G-REQ-04091")</f>
        <v>G-REQ-04091</v>
      </c>
      <c r="B4092" s="11">
        <f>IFERROR(__xludf.DUMMYFUNCTION("""COMPUTED_VALUE"""),46052.490534414326)</f>
        <v>46052.49053</v>
      </c>
      <c r="C4092" s="9">
        <f>IFERROR(__xludf.DUMMYFUNCTION("""COMPUTED_VALUE"""),15811.0)</f>
        <v>15811</v>
      </c>
      <c r="D4092" s="9" t="str">
        <f>IFERROR(__xludf.DUMMYFUNCTION("""COMPUTED_VALUE"""),"Completed")</f>
        <v>Completed</v>
      </c>
    </row>
    <row r="4093">
      <c r="A4093" s="9" t="str">
        <f>IFERROR(__xludf.DUMMYFUNCTION("""COMPUTED_VALUE"""),"G-REQ-04092")</f>
        <v>G-REQ-04092</v>
      </c>
      <c r="B4093" s="11">
        <f>IFERROR(__xludf.DUMMYFUNCTION("""COMPUTED_VALUE"""),46052.56170925974)</f>
        <v>46052.56171</v>
      </c>
      <c r="C4093" s="9">
        <f>IFERROR(__xludf.DUMMYFUNCTION("""COMPUTED_VALUE"""),15815.0)</f>
        <v>15815</v>
      </c>
      <c r="D4093" s="9" t="str">
        <f>IFERROR(__xludf.DUMMYFUNCTION("""COMPUTED_VALUE"""),"Completed")</f>
        <v>Completed</v>
      </c>
    </row>
    <row r="4094">
      <c r="A4094" s="9" t="str">
        <f>IFERROR(__xludf.DUMMYFUNCTION("""COMPUTED_VALUE"""),"G-REQ-04093")</f>
        <v>G-REQ-04093</v>
      </c>
      <c r="B4094" s="11">
        <f>IFERROR(__xludf.DUMMYFUNCTION("""COMPUTED_VALUE"""),46052.63288410516)</f>
        <v>46052.63288</v>
      </c>
      <c r="C4094" s="9">
        <f>IFERROR(__xludf.DUMMYFUNCTION("""COMPUTED_VALUE"""),15819.0)</f>
        <v>15819</v>
      </c>
      <c r="D4094" s="9" t="str">
        <f>IFERROR(__xludf.DUMMYFUNCTION("""COMPUTED_VALUE"""),"Completed")</f>
        <v>Completed</v>
      </c>
    </row>
    <row r="4095">
      <c r="A4095" s="9" t="str">
        <f>IFERROR(__xludf.DUMMYFUNCTION("""COMPUTED_VALUE"""),"G-REQ-04094")</f>
        <v>G-REQ-04094</v>
      </c>
      <c r="B4095" s="11">
        <f>IFERROR(__xludf.DUMMYFUNCTION("""COMPUTED_VALUE"""),46052.697114506125)</f>
        <v>46052.69711</v>
      </c>
      <c r="C4095" s="9">
        <f>IFERROR(__xludf.DUMMYFUNCTION("""COMPUTED_VALUE"""),15821.0)</f>
        <v>15821</v>
      </c>
      <c r="D4095" s="9" t="str">
        <f>IFERROR(__xludf.DUMMYFUNCTION("""COMPUTED_VALUE"""),"Rejected")</f>
        <v>Rejected</v>
      </c>
    </row>
    <row r="4096">
      <c r="A4096" s="9" t="str">
        <f>IFERROR(__xludf.DUMMYFUNCTION("""COMPUTED_VALUE"""),"G-REQ-04095")</f>
        <v>G-REQ-04095</v>
      </c>
      <c r="B4096" s="11">
        <f>IFERROR(__xludf.DUMMYFUNCTION("""COMPUTED_VALUE"""),46052.77523379598)</f>
        <v>46052.77523</v>
      </c>
      <c r="C4096" s="9">
        <f>IFERROR(__xludf.DUMMYFUNCTION("""COMPUTED_VALUE"""),15825.0)</f>
        <v>15825</v>
      </c>
      <c r="D4096" s="9" t="str">
        <f>IFERROR(__xludf.DUMMYFUNCTION("""COMPUTED_VALUE"""),"Completed")</f>
        <v>Completed</v>
      </c>
    </row>
    <row r="4097">
      <c r="A4097" s="9" t="str">
        <f>IFERROR(__xludf.DUMMYFUNCTION("""COMPUTED_VALUE"""),"G-REQ-04096")</f>
        <v>G-REQ-04096</v>
      </c>
      <c r="B4097" s="11">
        <f>IFERROR(__xludf.DUMMYFUNCTION("""COMPUTED_VALUE"""),46052.8464086414)</f>
        <v>46052.84641</v>
      </c>
      <c r="C4097" s="9">
        <f>IFERROR(__xludf.DUMMYFUNCTION("""COMPUTED_VALUE"""),15829.0)</f>
        <v>15829</v>
      </c>
      <c r="D4097" s="9" t="str">
        <f>IFERROR(__xludf.DUMMYFUNCTION("""COMPUTED_VALUE"""),"Completed")</f>
        <v>Completed</v>
      </c>
    </row>
    <row r="4098">
      <c r="A4098" s="9" t="str">
        <f>IFERROR(__xludf.DUMMYFUNCTION("""COMPUTED_VALUE"""),"G-REQ-04097")</f>
        <v>G-REQ-04097</v>
      </c>
      <c r="B4098" s="11">
        <f>IFERROR(__xludf.DUMMYFUNCTION("""COMPUTED_VALUE"""),46052.91758348682)</f>
        <v>46052.91758</v>
      </c>
      <c r="C4098" s="9">
        <f>IFERROR(__xludf.DUMMYFUNCTION("""COMPUTED_VALUE"""),15833.0)</f>
        <v>15833</v>
      </c>
      <c r="D4098" s="9" t="str">
        <f>IFERROR(__xludf.DUMMYFUNCTION("""COMPUTED_VALUE"""),"Completed")</f>
        <v>Completed</v>
      </c>
    </row>
    <row r="4099">
      <c r="A4099" s="9" t="str">
        <f>IFERROR(__xludf.DUMMYFUNCTION("""COMPUTED_VALUE"""),"G-REQ-04098")</f>
        <v>G-REQ-04098</v>
      </c>
      <c r="B4099" s="11">
        <f>IFERROR(__xludf.DUMMYFUNCTION("""COMPUTED_VALUE"""),46052.98875833223)</f>
        <v>46052.98876</v>
      </c>
      <c r="C4099" s="9">
        <f>IFERROR(__xludf.DUMMYFUNCTION("""COMPUTED_VALUE"""),15837.0)</f>
        <v>15837</v>
      </c>
      <c r="D4099" s="9" t="str">
        <f>IFERROR(__xludf.DUMMYFUNCTION("""COMPUTED_VALUE"""),"Completed")</f>
        <v>Completed</v>
      </c>
    </row>
    <row r="4100">
      <c r="A4100" s="9" t="str">
        <f>IFERROR(__xludf.DUMMYFUNCTION("""COMPUTED_VALUE"""),"G-REQ-04099")</f>
        <v>G-REQ-04099</v>
      </c>
      <c r="B4100" s="11">
        <f>IFERROR(__xludf.DUMMYFUNCTION("""COMPUTED_VALUE"""),46053.05993317765)</f>
        <v>46053.05993</v>
      </c>
      <c r="C4100" s="9">
        <f>IFERROR(__xludf.DUMMYFUNCTION("""COMPUTED_VALUE"""),15841.0)</f>
        <v>15841</v>
      </c>
      <c r="D4100" s="9" t="str">
        <f>IFERROR(__xludf.DUMMYFUNCTION("""COMPUTED_VALUE"""),"Completed")</f>
        <v>Completed</v>
      </c>
    </row>
    <row r="4101">
      <c r="A4101" s="9" t="str">
        <f>IFERROR(__xludf.DUMMYFUNCTION("""COMPUTED_VALUE"""),"G-REQ-04100")</f>
        <v>G-REQ-04100</v>
      </c>
      <c r="B4101" s="11">
        <f>IFERROR(__xludf.DUMMYFUNCTION("""COMPUTED_VALUE"""),46053.131108023066)</f>
        <v>46053.13111</v>
      </c>
      <c r="C4101" s="9">
        <f>IFERROR(__xludf.DUMMYFUNCTION("""COMPUTED_VALUE"""),15845.0)</f>
        <v>15845</v>
      </c>
      <c r="D4101" s="9" t="str">
        <f>IFERROR(__xludf.DUMMYFUNCTION("""COMPUTED_VALUE"""),"Completed")</f>
        <v>Completed</v>
      </c>
    </row>
    <row r="4102">
      <c r="A4102" s="9" t="str">
        <f>IFERROR(__xludf.DUMMYFUNCTION("""COMPUTED_VALUE"""),"G-REQ-04101")</f>
        <v>G-REQ-04101</v>
      </c>
      <c r="B4102" s="11">
        <f>IFERROR(__xludf.DUMMYFUNCTION("""COMPUTED_VALUE"""),46053.20228286848)</f>
        <v>46053.20228</v>
      </c>
      <c r="C4102" s="9">
        <f>IFERROR(__xludf.DUMMYFUNCTION("""COMPUTED_VALUE"""),15849.0)</f>
        <v>15849</v>
      </c>
      <c r="D4102" s="9" t="str">
        <f>IFERROR(__xludf.DUMMYFUNCTION("""COMPUTED_VALUE"""),"Completed")</f>
        <v>Completed</v>
      </c>
    </row>
    <row r="4103">
      <c r="A4103" s="9" t="str">
        <f>IFERROR(__xludf.DUMMYFUNCTION("""COMPUTED_VALUE"""),"G-REQ-04102")</f>
        <v>G-REQ-04102</v>
      </c>
      <c r="B4103" s="11">
        <f>IFERROR(__xludf.DUMMYFUNCTION("""COMPUTED_VALUE"""),46053.27345771389)</f>
        <v>46053.27346</v>
      </c>
      <c r="C4103" s="9">
        <f>IFERROR(__xludf.DUMMYFUNCTION("""COMPUTED_VALUE"""),15853.0)</f>
        <v>15853</v>
      </c>
      <c r="D4103" s="9" t="str">
        <f>IFERROR(__xludf.DUMMYFUNCTION("""COMPUTED_VALUE"""),"Completed")</f>
        <v>Completed</v>
      </c>
    </row>
    <row r="4104">
      <c r="A4104" s="9" t="str">
        <f>IFERROR(__xludf.DUMMYFUNCTION("""COMPUTED_VALUE"""),"G-REQ-04103")</f>
        <v>G-REQ-04103</v>
      </c>
      <c r="B4104" s="11">
        <f>IFERROR(__xludf.DUMMYFUNCTION("""COMPUTED_VALUE"""),46053.34463255931)</f>
        <v>46053.34463</v>
      </c>
      <c r="C4104" s="9">
        <f>IFERROR(__xludf.DUMMYFUNCTION("""COMPUTED_VALUE"""),15857.0)</f>
        <v>15857</v>
      </c>
      <c r="D4104" s="9" t="str">
        <f>IFERROR(__xludf.DUMMYFUNCTION("""COMPUTED_VALUE"""),"Completed")</f>
        <v>Completed</v>
      </c>
    </row>
    <row r="4105">
      <c r="A4105" s="9" t="str">
        <f>IFERROR(__xludf.DUMMYFUNCTION("""COMPUTED_VALUE"""),"G-REQ-04104")</f>
        <v>G-REQ-04104</v>
      </c>
      <c r="B4105" s="11">
        <f>IFERROR(__xludf.DUMMYFUNCTION("""COMPUTED_VALUE"""),46053.41580740472)</f>
        <v>46053.41581</v>
      </c>
      <c r="C4105" s="9">
        <f>IFERROR(__xludf.DUMMYFUNCTION("""COMPUTED_VALUE"""),15861.0)</f>
        <v>15861</v>
      </c>
      <c r="D4105" s="9" t="str">
        <f>IFERROR(__xludf.DUMMYFUNCTION("""COMPUTED_VALUE"""),"Completed")</f>
        <v>Completed</v>
      </c>
    </row>
    <row r="4106">
      <c r="A4106" s="9" t="str">
        <f>IFERROR(__xludf.DUMMYFUNCTION("""COMPUTED_VALUE"""),"G-REQ-04105")</f>
        <v>G-REQ-04105</v>
      </c>
      <c r="B4106" s="11">
        <f>IFERROR(__xludf.DUMMYFUNCTION("""COMPUTED_VALUE"""),46053.486982250135)</f>
        <v>46053.48698</v>
      </c>
      <c r="C4106" s="9">
        <f>IFERROR(__xludf.DUMMYFUNCTION("""COMPUTED_VALUE"""),15865.0)</f>
        <v>15865</v>
      </c>
      <c r="D4106" s="9" t="str">
        <f>IFERROR(__xludf.DUMMYFUNCTION("""COMPUTED_VALUE"""),"Completed")</f>
        <v>Completed</v>
      </c>
    </row>
    <row r="4107">
      <c r="A4107" s="9" t="str">
        <f>IFERROR(__xludf.DUMMYFUNCTION("""COMPUTED_VALUE"""),"G-REQ-04106")</f>
        <v>G-REQ-04106</v>
      </c>
      <c r="B4107" s="11">
        <f>IFERROR(__xludf.DUMMYFUNCTION("""COMPUTED_VALUE"""),46053.55121265111)</f>
        <v>46053.55121</v>
      </c>
      <c r="C4107" s="9">
        <f>IFERROR(__xludf.DUMMYFUNCTION("""COMPUTED_VALUE"""),15867.0)</f>
        <v>15867</v>
      </c>
      <c r="D4107" s="9" t="str">
        <f>IFERROR(__xludf.DUMMYFUNCTION("""COMPUTED_VALUE"""),"Rejected")</f>
        <v>Rejected</v>
      </c>
    </row>
    <row r="4108">
      <c r="A4108" s="9" t="str">
        <f>IFERROR(__xludf.DUMMYFUNCTION("""COMPUTED_VALUE"""),"G-REQ-04107")</f>
        <v>G-REQ-04107</v>
      </c>
      <c r="B4108" s="11">
        <f>IFERROR(__xludf.DUMMYFUNCTION("""COMPUTED_VALUE"""),46053.62933194097)</f>
        <v>46053.62933</v>
      </c>
      <c r="C4108" s="9">
        <f>IFERROR(__xludf.DUMMYFUNCTION("""COMPUTED_VALUE"""),15871.0)</f>
        <v>15871</v>
      </c>
      <c r="D4108" s="9" t="str">
        <f>IFERROR(__xludf.DUMMYFUNCTION("""COMPUTED_VALUE"""),"Completed")</f>
        <v>Completed</v>
      </c>
    </row>
    <row r="4109">
      <c r="A4109" s="9" t="str">
        <f>IFERROR(__xludf.DUMMYFUNCTION("""COMPUTED_VALUE"""),"G-REQ-04108")</f>
        <v>G-REQ-04108</v>
      </c>
      <c r="B4109" s="11">
        <f>IFERROR(__xludf.DUMMYFUNCTION("""COMPUTED_VALUE"""),46053.70050678638)</f>
        <v>46053.70051</v>
      </c>
      <c r="C4109" s="9">
        <f>IFERROR(__xludf.DUMMYFUNCTION("""COMPUTED_VALUE"""),15875.0)</f>
        <v>15875</v>
      </c>
      <c r="D4109" s="9" t="str">
        <f>IFERROR(__xludf.DUMMYFUNCTION("""COMPUTED_VALUE"""),"Completed")</f>
        <v>Completed</v>
      </c>
    </row>
    <row r="4110">
      <c r="A4110" s="9" t="str">
        <f>IFERROR(__xludf.DUMMYFUNCTION("""COMPUTED_VALUE"""),"G-REQ-04109")</f>
        <v>G-REQ-04109</v>
      </c>
      <c r="B4110" s="11">
        <f>IFERROR(__xludf.DUMMYFUNCTION("""COMPUTED_VALUE"""),46053.7716816318)</f>
        <v>46053.77168</v>
      </c>
      <c r="C4110" s="9">
        <f>IFERROR(__xludf.DUMMYFUNCTION("""COMPUTED_VALUE"""),15879.0)</f>
        <v>15879</v>
      </c>
      <c r="D4110" s="9" t="str">
        <f>IFERROR(__xludf.DUMMYFUNCTION("""COMPUTED_VALUE"""),"Completed")</f>
        <v>Completed</v>
      </c>
    </row>
    <row r="4111">
      <c r="A4111" s="9" t="str">
        <f>IFERROR(__xludf.DUMMYFUNCTION("""COMPUTED_VALUE"""),"G-REQ-04110")</f>
        <v>G-REQ-04110</v>
      </c>
      <c r="B4111" s="11">
        <f>IFERROR(__xludf.DUMMYFUNCTION("""COMPUTED_VALUE"""),46053.84285647721)</f>
        <v>46053.84286</v>
      </c>
      <c r="C4111" s="9">
        <f>IFERROR(__xludf.DUMMYFUNCTION("""COMPUTED_VALUE"""),15883.0)</f>
        <v>15883</v>
      </c>
      <c r="D4111" s="9" t="str">
        <f>IFERROR(__xludf.DUMMYFUNCTION("""COMPUTED_VALUE"""),"Completed")</f>
        <v>Completed</v>
      </c>
    </row>
    <row r="4112">
      <c r="A4112" s="9" t="str">
        <f>IFERROR(__xludf.DUMMYFUNCTION("""COMPUTED_VALUE"""),"G-REQ-04111")</f>
        <v>G-REQ-04111</v>
      </c>
      <c r="B4112" s="11">
        <f>IFERROR(__xludf.DUMMYFUNCTION("""COMPUTED_VALUE"""),46053.90708687818)</f>
        <v>46053.90709</v>
      </c>
      <c r="C4112" s="9">
        <f>IFERROR(__xludf.DUMMYFUNCTION("""COMPUTED_VALUE"""),15885.0)</f>
        <v>15885</v>
      </c>
      <c r="D4112" s="9" t="str">
        <f>IFERROR(__xludf.DUMMYFUNCTION("""COMPUTED_VALUE"""),"Cancelled")</f>
        <v>Cancelled</v>
      </c>
    </row>
    <row r="4113">
      <c r="A4113" s="9" t="str">
        <f>IFERROR(__xludf.DUMMYFUNCTION("""COMPUTED_VALUE"""),"G-REQ-04112")</f>
        <v>G-REQ-04112</v>
      </c>
      <c r="B4113" s="11">
        <f>IFERROR(__xludf.DUMMYFUNCTION("""COMPUTED_VALUE"""),46053.98520616804)</f>
        <v>46053.98521</v>
      </c>
      <c r="C4113" s="9">
        <f>IFERROR(__xludf.DUMMYFUNCTION("""COMPUTED_VALUE"""),15889.0)</f>
        <v>15889</v>
      </c>
      <c r="D4113" s="9" t="str">
        <f>IFERROR(__xludf.DUMMYFUNCTION("""COMPUTED_VALUE"""),"Completed")</f>
        <v>Completed</v>
      </c>
    </row>
    <row r="4114">
      <c r="A4114" s="9" t="str">
        <f>IFERROR(__xludf.DUMMYFUNCTION("""COMPUTED_VALUE"""),"G-REQ-04113")</f>
        <v>G-REQ-04113</v>
      </c>
      <c r="B4114" s="11">
        <f>IFERROR(__xludf.DUMMYFUNCTION("""COMPUTED_VALUE"""),46054.05638101346)</f>
        <v>46054.05638</v>
      </c>
      <c r="C4114" s="9">
        <f>IFERROR(__xludf.DUMMYFUNCTION("""COMPUTED_VALUE"""),15893.0)</f>
        <v>15893</v>
      </c>
      <c r="D4114" s="9" t="str">
        <f>IFERROR(__xludf.DUMMYFUNCTION("""COMPUTED_VALUE"""),"Completed")</f>
        <v>Completed</v>
      </c>
    </row>
    <row r="4115">
      <c r="A4115" s="9" t="str">
        <f>IFERROR(__xludf.DUMMYFUNCTION("""COMPUTED_VALUE"""),"G-REQ-04114")</f>
        <v>G-REQ-04114</v>
      </c>
      <c r="B4115" s="11">
        <f>IFERROR(__xludf.DUMMYFUNCTION("""COMPUTED_VALUE"""),46054.12061141442)</f>
        <v>46054.12061</v>
      </c>
      <c r="C4115" s="9">
        <f>IFERROR(__xludf.DUMMYFUNCTION("""COMPUTED_VALUE"""),15895.0)</f>
        <v>15895</v>
      </c>
      <c r="D4115" s="9" t="str">
        <f>IFERROR(__xludf.DUMMYFUNCTION("""COMPUTED_VALUE"""),"Cancelled")</f>
        <v>Cancelled</v>
      </c>
    </row>
    <row r="4116">
      <c r="A4116" s="9" t="str">
        <f>IFERROR(__xludf.DUMMYFUNCTION("""COMPUTED_VALUE"""),"G-REQ-04115")</f>
        <v>G-REQ-04115</v>
      </c>
      <c r="B4116" s="11">
        <f>IFERROR(__xludf.DUMMYFUNCTION("""COMPUTED_VALUE"""),46054.19873070429)</f>
        <v>46054.19873</v>
      </c>
      <c r="C4116" s="9">
        <f>IFERROR(__xludf.DUMMYFUNCTION("""COMPUTED_VALUE"""),15899.0)</f>
        <v>15899</v>
      </c>
      <c r="D4116" s="9" t="str">
        <f>IFERROR(__xludf.DUMMYFUNCTION("""COMPUTED_VALUE"""),"Completed")</f>
        <v>Completed</v>
      </c>
    </row>
    <row r="4117">
      <c r="A4117" s="9" t="str">
        <f>IFERROR(__xludf.DUMMYFUNCTION("""COMPUTED_VALUE"""),"G-REQ-04116")</f>
        <v>G-REQ-04116</v>
      </c>
      <c r="B4117" s="11">
        <f>IFERROR(__xludf.DUMMYFUNCTION("""COMPUTED_VALUE"""),46054.26990554971)</f>
        <v>46054.26991</v>
      </c>
      <c r="C4117" s="9">
        <f>IFERROR(__xludf.DUMMYFUNCTION("""COMPUTED_VALUE"""),15903.0)</f>
        <v>15903</v>
      </c>
      <c r="D4117" s="9" t="str">
        <f>IFERROR(__xludf.DUMMYFUNCTION("""COMPUTED_VALUE"""),"Completed")</f>
        <v>Completed</v>
      </c>
    </row>
    <row r="4118">
      <c r="A4118" s="9" t="str">
        <f>IFERROR(__xludf.DUMMYFUNCTION("""COMPUTED_VALUE"""),"G-REQ-04117")</f>
        <v>G-REQ-04117</v>
      </c>
      <c r="B4118" s="11">
        <f>IFERROR(__xludf.DUMMYFUNCTION("""COMPUTED_VALUE"""),46054.34108039512)</f>
        <v>46054.34108</v>
      </c>
      <c r="C4118" s="9">
        <f>IFERROR(__xludf.DUMMYFUNCTION("""COMPUTED_VALUE"""),15907.0)</f>
        <v>15907</v>
      </c>
      <c r="D4118" s="9" t="str">
        <f>IFERROR(__xludf.DUMMYFUNCTION("""COMPUTED_VALUE"""),"Completed")</f>
        <v>Completed</v>
      </c>
    </row>
    <row r="4119">
      <c r="A4119" s="9" t="str">
        <f>IFERROR(__xludf.DUMMYFUNCTION("""COMPUTED_VALUE"""),"G-REQ-04118")</f>
        <v>G-REQ-04118</v>
      </c>
      <c r="B4119" s="11">
        <f>IFERROR(__xludf.DUMMYFUNCTION("""COMPUTED_VALUE"""),46054.41225524053)</f>
        <v>46054.41226</v>
      </c>
      <c r="C4119" s="9">
        <f>IFERROR(__xludf.DUMMYFUNCTION("""COMPUTED_VALUE"""),15911.0)</f>
        <v>15911</v>
      </c>
      <c r="D4119" s="9" t="str">
        <f>IFERROR(__xludf.DUMMYFUNCTION("""COMPUTED_VALUE"""),"Completed")</f>
        <v>Completed</v>
      </c>
    </row>
    <row r="4120">
      <c r="A4120" s="9" t="str">
        <f>IFERROR(__xludf.DUMMYFUNCTION("""COMPUTED_VALUE"""),"G-REQ-04119")</f>
        <v>G-REQ-04119</v>
      </c>
      <c r="B4120" s="11">
        <f>IFERROR(__xludf.DUMMYFUNCTION("""COMPUTED_VALUE"""),46054.48343008595)</f>
        <v>46054.48343</v>
      </c>
      <c r="C4120" s="9">
        <f>IFERROR(__xludf.DUMMYFUNCTION("""COMPUTED_VALUE"""),15915.0)</f>
        <v>15915</v>
      </c>
      <c r="D4120" s="9" t="str">
        <f>IFERROR(__xludf.DUMMYFUNCTION("""COMPUTED_VALUE"""),"Completed")</f>
        <v>Completed</v>
      </c>
    </row>
    <row r="4121">
      <c r="A4121" s="9" t="str">
        <f>IFERROR(__xludf.DUMMYFUNCTION("""COMPUTED_VALUE"""),"G-REQ-04120")</f>
        <v>G-REQ-04120</v>
      </c>
      <c r="B4121" s="11">
        <f>IFERROR(__xludf.DUMMYFUNCTION("""COMPUTED_VALUE"""),46054.55460493136)</f>
        <v>46054.5546</v>
      </c>
      <c r="C4121" s="9">
        <f>IFERROR(__xludf.DUMMYFUNCTION("""COMPUTED_VALUE"""),15919.0)</f>
        <v>15919</v>
      </c>
      <c r="D4121" s="9" t="str">
        <f>IFERROR(__xludf.DUMMYFUNCTION("""COMPUTED_VALUE"""),"Completed")</f>
        <v>Completed</v>
      </c>
    </row>
    <row r="4122">
      <c r="A4122" s="9" t="str">
        <f>IFERROR(__xludf.DUMMYFUNCTION("""COMPUTED_VALUE"""),"G-REQ-04121")</f>
        <v>G-REQ-04121</v>
      </c>
      <c r="B4122" s="11">
        <f>IFERROR(__xludf.DUMMYFUNCTION("""COMPUTED_VALUE"""),46054.625779776776)</f>
        <v>46054.62578</v>
      </c>
      <c r="C4122" s="9">
        <f>IFERROR(__xludf.DUMMYFUNCTION("""COMPUTED_VALUE"""),15923.0)</f>
        <v>15923</v>
      </c>
      <c r="D4122" s="9" t="str">
        <f>IFERROR(__xludf.DUMMYFUNCTION("""COMPUTED_VALUE"""),"Completed")</f>
        <v>Completed</v>
      </c>
    </row>
    <row r="4123">
      <c r="A4123" s="9" t="str">
        <f>IFERROR(__xludf.DUMMYFUNCTION("""COMPUTED_VALUE"""),"G-REQ-04122")</f>
        <v>G-REQ-04122</v>
      </c>
      <c r="B4123" s="11">
        <f>IFERROR(__xludf.DUMMYFUNCTION("""COMPUTED_VALUE"""),46054.696954622195)</f>
        <v>46054.69695</v>
      </c>
      <c r="C4123" s="9">
        <f>IFERROR(__xludf.DUMMYFUNCTION("""COMPUTED_VALUE"""),15927.0)</f>
        <v>15927</v>
      </c>
      <c r="D4123" s="9" t="str">
        <f>IFERROR(__xludf.DUMMYFUNCTION("""COMPUTED_VALUE"""),"Completed")</f>
        <v>Completed</v>
      </c>
    </row>
    <row r="4124">
      <c r="A4124" s="9" t="str">
        <f>IFERROR(__xludf.DUMMYFUNCTION("""COMPUTED_VALUE"""),"G-REQ-04123")</f>
        <v>G-REQ-04123</v>
      </c>
      <c r="B4124" s="11">
        <f>IFERROR(__xludf.DUMMYFUNCTION("""COMPUTED_VALUE"""),46054.768129467615)</f>
        <v>46054.76813</v>
      </c>
      <c r="C4124" s="9">
        <f>IFERROR(__xludf.DUMMYFUNCTION("""COMPUTED_VALUE"""),15931.0)</f>
        <v>15931</v>
      </c>
      <c r="D4124" s="9" t="str">
        <f>IFERROR(__xludf.DUMMYFUNCTION("""COMPUTED_VALUE"""),"Completed")</f>
        <v>Completed</v>
      </c>
    </row>
    <row r="4125">
      <c r="A4125" s="9" t="str">
        <f>IFERROR(__xludf.DUMMYFUNCTION("""COMPUTED_VALUE"""),"G-REQ-04124")</f>
        <v>G-REQ-04124</v>
      </c>
      <c r="B4125" s="11">
        <f>IFERROR(__xludf.DUMMYFUNCTION("""COMPUTED_VALUE"""),46054.83930431302)</f>
        <v>46054.8393</v>
      </c>
      <c r="C4125" s="9">
        <f>IFERROR(__xludf.DUMMYFUNCTION("""COMPUTED_VALUE"""),15935.0)</f>
        <v>15935</v>
      </c>
      <c r="D4125" s="9" t="str">
        <f>IFERROR(__xludf.DUMMYFUNCTION("""COMPUTED_VALUE"""),"Completed")</f>
        <v>Completed</v>
      </c>
    </row>
    <row r="4126">
      <c r="A4126" s="9" t="str">
        <f>IFERROR(__xludf.DUMMYFUNCTION("""COMPUTED_VALUE"""),"G-REQ-04125")</f>
        <v>G-REQ-04125</v>
      </c>
      <c r="B4126" s="11">
        <f>IFERROR(__xludf.DUMMYFUNCTION("""COMPUTED_VALUE"""),46054.903534713994)</f>
        <v>46054.90353</v>
      </c>
      <c r="C4126" s="9">
        <f>IFERROR(__xludf.DUMMYFUNCTION("""COMPUTED_VALUE"""),15937.0)</f>
        <v>15937</v>
      </c>
      <c r="D4126" s="9" t="str">
        <f>IFERROR(__xludf.DUMMYFUNCTION("""COMPUTED_VALUE"""),"Rejected")</f>
        <v>Rejected</v>
      </c>
    </row>
    <row r="4127">
      <c r="A4127" s="9" t="str">
        <f>IFERROR(__xludf.DUMMYFUNCTION("""COMPUTED_VALUE"""),"G-REQ-04126")</f>
        <v>G-REQ-04126</v>
      </c>
      <c r="B4127" s="11">
        <f>IFERROR(__xludf.DUMMYFUNCTION("""COMPUTED_VALUE"""),46054.98165400385)</f>
        <v>46054.98165</v>
      </c>
      <c r="C4127" s="9">
        <f>IFERROR(__xludf.DUMMYFUNCTION("""COMPUTED_VALUE"""),15941.0)</f>
        <v>15941</v>
      </c>
      <c r="D4127" s="9" t="str">
        <f>IFERROR(__xludf.DUMMYFUNCTION("""COMPUTED_VALUE"""),"Completed")</f>
        <v>Completed</v>
      </c>
    </row>
    <row r="4128">
      <c r="A4128" s="9" t="str">
        <f>IFERROR(__xludf.DUMMYFUNCTION("""COMPUTED_VALUE"""),"G-REQ-04127")</f>
        <v>G-REQ-04127</v>
      </c>
      <c r="B4128" s="11">
        <f>IFERROR(__xludf.DUMMYFUNCTION("""COMPUTED_VALUE"""),46055.05282884927)</f>
        <v>46055.05283</v>
      </c>
      <c r="C4128" s="9">
        <f>IFERROR(__xludf.DUMMYFUNCTION("""COMPUTED_VALUE"""),15945.0)</f>
        <v>15945</v>
      </c>
      <c r="D4128" s="9" t="str">
        <f>IFERROR(__xludf.DUMMYFUNCTION("""COMPUTED_VALUE"""),"Completed")</f>
        <v>Completed</v>
      </c>
    </row>
    <row r="4129">
      <c r="A4129" s="9" t="str">
        <f>IFERROR(__xludf.DUMMYFUNCTION("""COMPUTED_VALUE"""),"G-REQ-04128")</f>
        <v>G-REQ-04128</v>
      </c>
      <c r="B4129" s="11">
        <f>IFERROR(__xludf.DUMMYFUNCTION("""COMPUTED_VALUE"""),46055.124003694684)</f>
        <v>46055.124</v>
      </c>
      <c r="C4129" s="9">
        <f>IFERROR(__xludf.DUMMYFUNCTION("""COMPUTED_VALUE"""),15949.0)</f>
        <v>15949</v>
      </c>
      <c r="D4129" s="9" t="str">
        <f>IFERROR(__xludf.DUMMYFUNCTION("""COMPUTED_VALUE"""),"Completed")</f>
        <v>Completed</v>
      </c>
    </row>
    <row r="4130">
      <c r="A4130" s="9" t="str">
        <f>IFERROR(__xludf.DUMMYFUNCTION("""COMPUTED_VALUE"""),"G-REQ-04129")</f>
        <v>G-REQ-04129</v>
      </c>
      <c r="B4130" s="11">
        <f>IFERROR(__xludf.DUMMYFUNCTION("""COMPUTED_VALUE"""),46055.1951785401)</f>
        <v>46055.19518</v>
      </c>
      <c r="C4130" s="9">
        <f>IFERROR(__xludf.DUMMYFUNCTION("""COMPUTED_VALUE"""),15953.0)</f>
        <v>15953</v>
      </c>
      <c r="D4130" s="9" t="str">
        <f>IFERROR(__xludf.DUMMYFUNCTION("""COMPUTED_VALUE"""),"Completed")</f>
        <v>Completed</v>
      </c>
    </row>
    <row r="4131">
      <c r="A4131" s="9" t="str">
        <f>IFERROR(__xludf.DUMMYFUNCTION("""COMPUTED_VALUE"""),"G-REQ-04130")</f>
        <v>G-REQ-04130</v>
      </c>
      <c r="B4131" s="11">
        <f>IFERROR(__xludf.DUMMYFUNCTION("""COMPUTED_VALUE"""),46055.26635338551)</f>
        <v>46055.26635</v>
      </c>
      <c r="C4131" s="9">
        <f>IFERROR(__xludf.DUMMYFUNCTION("""COMPUTED_VALUE"""),15957.0)</f>
        <v>15957</v>
      </c>
      <c r="D4131" s="9" t="str">
        <f>IFERROR(__xludf.DUMMYFUNCTION("""COMPUTED_VALUE"""),"Completed")</f>
        <v>Completed</v>
      </c>
    </row>
    <row r="4132">
      <c r="A4132" s="9" t="str">
        <f>IFERROR(__xludf.DUMMYFUNCTION("""COMPUTED_VALUE"""),"G-REQ-04131")</f>
        <v>G-REQ-04131</v>
      </c>
      <c r="B4132" s="11">
        <f>IFERROR(__xludf.DUMMYFUNCTION("""COMPUTED_VALUE"""),46055.33752823093)</f>
        <v>46055.33753</v>
      </c>
      <c r="C4132" s="9">
        <f>IFERROR(__xludf.DUMMYFUNCTION("""COMPUTED_VALUE"""),15961.0)</f>
        <v>15961</v>
      </c>
      <c r="D4132" s="9" t="str">
        <f>IFERROR(__xludf.DUMMYFUNCTION("""COMPUTED_VALUE"""),"Completed")</f>
        <v>Completed</v>
      </c>
    </row>
    <row r="4133">
      <c r="A4133" s="9" t="str">
        <f>IFERROR(__xludf.DUMMYFUNCTION("""COMPUTED_VALUE"""),"G-REQ-04132")</f>
        <v>G-REQ-04132</v>
      </c>
      <c r="B4133" s="11">
        <f>IFERROR(__xludf.DUMMYFUNCTION("""COMPUTED_VALUE"""),46055.40870307635)</f>
        <v>46055.4087</v>
      </c>
      <c r="C4133" s="9">
        <f>IFERROR(__xludf.DUMMYFUNCTION("""COMPUTED_VALUE"""),15965.0)</f>
        <v>15965</v>
      </c>
      <c r="D4133" s="9" t="str">
        <f>IFERROR(__xludf.DUMMYFUNCTION("""COMPUTED_VALUE"""),"Completed")</f>
        <v>Completed</v>
      </c>
    </row>
    <row r="4134">
      <c r="A4134" s="9" t="str">
        <f>IFERROR(__xludf.DUMMYFUNCTION("""COMPUTED_VALUE"""),"G-REQ-04133")</f>
        <v>G-REQ-04133</v>
      </c>
      <c r="B4134" s="11">
        <f>IFERROR(__xludf.DUMMYFUNCTION("""COMPUTED_VALUE"""),46055.47987792176)</f>
        <v>46055.47988</v>
      </c>
      <c r="C4134" s="9">
        <f>IFERROR(__xludf.DUMMYFUNCTION("""COMPUTED_VALUE"""),15969.0)</f>
        <v>15969</v>
      </c>
      <c r="D4134" s="9" t="str">
        <f>IFERROR(__xludf.DUMMYFUNCTION("""COMPUTED_VALUE"""),"Completed")</f>
        <v>Completed</v>
      </c>
    </row>
    <row r="4135">
      <c r="A4135" s="9" t="str">
        <f>IFERROR(__xludf.DUMMYFUNCTION("""COMPUTED_VALUE"""),"G-REQ-04134")</f>
        <v>G-REQ-04134</v>
      </c>
      <c r="B4135" s="11">
        <f>IFERROR(__xludf.DUMMYFUNCTION("""COMPUTED_VALUE"""),46055.55105276717)</f>
        <v>46055.55105</v>
      </c>
      <c r="C4135" s="9">
        <f>IFERROR(__xludf.DUMMYFUNCTION("""COMPUTED_VALUE"""),15973.0)</f>
        <v>15973</v>
      </c>
      <c r="D4135" s="9" t="str">
        <f>IFERROR(__xludf.DUMMYFUNCTION("""COMPUTED_VALUE"""),"Completed")</f>
        <v>Completed</v>
      </c>
    </row>
    <row r="4136">
      <c r="A4136" s="9" t="str">
        <f>IFERROR(__xludf.DUMMYFUNCTION("""COMPUTED_VALUE"""),"G-REQ-04135")</f>
        <v>G-REQ-04135</v>
      </c>
      <c r="B4136" s="11">
        <f>IFERROR(__xludf.DUMMYFUNCTION("""COMPUTED_VALUE"""),46055.62222761259)</f>
        <v>46055.62223</v>
      </c>
      <c r="C4136" s="9">
        <f>IFERROR(__xludf.DUMMYFUNCTION("""COMPUTED_VALUE"""),15977.0)</f>
        <v>15977</v>
      </c>
      <c r="D4136" s="9" t="str">
        <f>IFERROR(__xludf.DUMMYFUNCTION("""COMPUTED_VALUE"""),"Completed")</f>
        <v>Completed</v>
      </c>
    </row>
    <row r="4137">
      <c r="A4137" s="9" t="str">
        <f>IFERROR(__xludf.DUMMYFUNCTION("""COMPUTED_VALUE"""),"G-REQ-04136")</f>
        <v>G-REQ-04136</v>
      </c>
      <c r="B4137" s="11">
        <f>IFERROR(__xludf.DUMMYFUNCTION("""COMPUTED_VALUE"""),46055.68645801356)</f>
        <v>46055.68646</v>
      </c>
      <c r="C4137" s="9">
        <f>IFERROR(__xludf.DUMMYFUNCTION("""COMPUTED_VALUE"""),15979.0)</f>
        <v>15979</v>
      </c>
      <c r="D4137" s="9" t="str">
        <f>IFERROR(__xludf.DUMMYFUNCTION("""COMPUTED_VALUE"""),"Cancelled")</f>
        <v>Cancelled</v>
      </c>
    </row>
    <row r="4138">
      <c r="A4138" s="9" t="str">
        <f>IFERROR(__xludf.DUMMYFUNCTION("""COMPUTED_VALUE"""),"G-REQ-04137")</f>
        <v>G-REQ-04137</v>
      </c>
      <c r="B4138" s="11">
        <f>IFERROR(__xludf.DUMMYFUNCTION("""COMPUTED_VALUE"""),46055.75763285897)</f>
        <v>46055.75763</v>
      </c>
      <c r="C4138" s="9">
        <f>IFERROR(__xludf.DUMMYFUNCTION("""COMPUTED_VALUE"""),15981.0)</f>
        <v>15981</v>
      </c>
      <c r="D4138" s="9" t="str">
        <f>IFERROR(__xludf.DUMMYFUNCTION("""COMPUTED_VALUE"""),"Cancelled")</f>
        <v>Cancelled</v>
      </c>
    </row>
    <row r="4139">
      <c r="A4139" s="9" t="str">
        <f>IFERROR(__xludf.DUMMYFUNCTION("""COMPUTED_VALUE"""),"G-REQ-04138")</f>
        <v>G-REQ-04138</v>
      </c>
      <c r="B4139" s="11">
        <f>IFERROR(__xludf.DUMMYFUNCTION("""COMPUTED_VALUE"""),46055.835752148836)</f>
        <v>46055.83575</v>
      </c>
      <c r="C4139" s="9">
        <f>IFERROR(__xludf.DUMMYFUNCTION("""COMPUTED_VALUE"""),15985.0)</f>
        <v>15985</v>
      </c>
      <c r="D4139" s="9" t="str">
        <f>IFERROR(__xludf.DUMMYFUNCTION("""COMPUTED_VALUE"""),"Completed")</f>
        <v>Completed</v>
      </c>
    </row>
    <row r="4140">
      <c r="A4140" s="9" t="str">
        <f>IFERROR(__xludf.DUMMYFUNCTION("""COMPUTED_VALUE"""),"G-REQ-04139")</f>
        <v>G-REQ-04139</v>
      </c>
      <c r="B4140" s="11">
        <f>IFERROR(__xludf.DUMMYFUNCTION("""COMPUTED_VALUE"""),46055.906926994256)</f>
        <v>46055.90693</v>
      </c>
      <c r="C4140" s="9">
        <f>IFERROR(__xludf.DUMMYFUNCTION("""COMPUTED_VALUE"""),15989.0)</f>
        <v>15989</v>
      </c>
      <c r="D4140" s="9" t="str">
        <f>IFERROR(__xludf.DUMMYFUNCTION("""COMPUTED_VALUE"""),"Completed")</f>
        <v>Completed</v>
      </c>
    </row>
    <row r="4141">
      <c r="A4141" s="9" t="str">
        <f>IFERROR(__xludf.DUMMYFUNCTION("""COMPUTED_VALUE"""),"G-REQ-04140")</f>
        <v>G-REQ-04140</v>
      </c>
      <c r="B4141" s="11">
        <f>IFERROR(__xludf.DUMMYFUNCTION("""COMPUTED_VALUE"""),46055.97810183966)</f>
        <v>46055.9781</v>
      </c>
      <c r="C4141" s="9">
        <f>IFERROR(__xludf.DUMMYFUNCTION("""COMPUTED_VALUE"""),15993.0)</f>
        <v>15993</v>
      </c>
      <c r="D4141" s="9" t="str">
        <f>IFERROR(__xludf.DUMMYFUNCTION("""COMPUTED_VALUE"""),"Completed")</f>
        <v>Completed</v>
      </c>
    </row>
    <row r="4142">
      <c r="A4142" s="9" t="str">
        <f>IFERROR(__xludf.DUMMYFUNCTION("""COMPUTED_VALUE"""),"G-REQ-04141")</f>
        <v>G-REQ-04141</v>
      </c>
      <c r="B4142" s="11">
        <f>IFERROR(__xludf.DUMMYFUNCTION("""COMPUTED_VALUE"""),46056.04927668508)</f>
        <v>46056.04928</v>
      </c>
      <c r="C4142" s="9">
        <f>IFERROR(__xludf.DUMMYFUNCTION("""COMPUTED_VALUE"""),15997.0)</f>
        <v>15997</v>
      </c>
      <c r="D4142" s="9" t="str">
        <f>IFERROR(__xludf.DUMMYFUNCTION("""COMPUTED_VALUE"""),"Completed")</f>
        <v>Completed</v>
      </c>
    </row>
    <row r="4143">
      <c r="A4143" s="9" t="str">
        <f>IFERROR(__xludf.DUMMYFUNCTION("""COMPUTED_VALUE"""),"G-REQ-04142")</f>
        <v>G-REQ-04142</v>
      </c>
      <c r="B4143" s="11">
        <f>IFERROR(__xludf.DUMMYFUNCTION("""COMPUTED_VALUE"""),46056.1204515305)</f>
        <v>46056.12045</v>
      </c>
      <c r="C4143" s="9">
        <f>IFERROR(__xludf.DUMMYFUNCTION("""COMPUTED_VALUE"""),16001.0)</f>
        <v>16001</v>
      </c>
      <c r="D4143" s="9" t="str">
        <f>IFERROR(__xludf.DUMMYFUNCTION("""COMPUTED_VALUE"""),"Completed")</f>
        <v>Completed</v>
      </c>
    </row>
    <row r="4144">
      <c r="A4144" s="9" t="str">
        <f>IFERROR(__xludf.DUMMYFUNCTION("""COMPUTED_VALUE"""),"G-REQ-04143")</f>
        <v>G-REQ-04143</v>
      </c>
      <c r="B4144" s="11">
        <f>IFERROR(__xludf.DUMMYFUNCTION("""COMPUTED_VALUE"""),46056.19162637591)</f>
        <v>46056.19163</v>
      </c>
      <c r="C4144" s="9">
        <f>IFERROR(__xludf.DUMMYFUNCTION("""COMPUTED_VALUE"""),16005.0)</f>
        <v>16005</v>
      </c>
      <c r="D4144" s="9" t="str">
        <f>IFERROR(__xludf.DUMMYFUNCTION("""COMPUTED_VALUE"""),"Completed")</f>
        <v>Completed</v>
      </c>
    </row>
    <row r="4145">
      <c r="A4145" s="9" t="str">
        <f>IFERROR(__xludf.DUMMYFUNCTION("""COMPUTED_VALUE"""),"G-REQ-04144")</f>
        <v>G-REQ-04144</v>
      </c>
      <c r="B4145" s="11">
        <f>IFERROR(__xludf.DUMMYFUNCTION("""COMPUTED_VALUE"""),46056.262801221324)</f>
        <v>46056.2628</v>
      </c>
      <c r="C4145" s="9">
        <f>IFERROR(__xludf.DUMMYFUNCTION("""COMPUTED_VALUE"""),16009.0)</f>
        <v>16009</v>
      </c>
      <c r="D4145" s="9" t="str">
        <f>IFERROR(__xludf.DUMMYFUNCTION("""COMPUTED_VALUE"""),"Completed")</f>
        <v>Completed</v>
      </c>
    </row>
    <row r="4146">
      <c r="A4146" s="9" t="str">
        <f>IFERROR(__xludf.DUMMYFUNCTION("""COMPUTED_VALUE"""),"G-REQ-04145")</f>
        <v>G-REQ-04145</v>
      </c>
      <c r="B4146" s="11">
        <f>IFERROR(__xludf.DUMMYFUNCTION("""COMPUTED_VALUE"""),46056.333976066744)</f>
        <v>46056.33398</v>
      </c>
      <c r="C4146" s="9">
        <f>IFERROR(__xludf.DUMMYFUNCTION("""COMPUTED_VALUE"""),16013.0)</f>
        <v>16013</v>
      </c>
      <c r="D4146" s="9" t="str">
        <f>IFERROR(__xludf.DUMMYFUNCTION("""COMPUTED_VALUE"""),"Completed")</f>
        <v>Completed</v>
      </c>
    </row>
    <row r="4147">
      <c r="A4147" s="9" t="str">
        <f>IFERROR(__xludf.DUMMYFUNCTION("""COMPUTED_VALUE"""),"G-REQ-04146")</f>
        <v>G-REQ-04146</v>
      </c>
      <c r="B4147" s="11">
        <f>IFERROR(__xludf.DUMMYFUNCTION("""COMPUTED_VALUE"""),46056.40515091216)</f>
        <v>46056.40515</v>
      </c>
      <c r="C4147" s="9">
        <f>IFERROR(__xludf.DUMMYFUNCTION("""COMPUTED_VALUE"""),16017.0)</f>
        <v>16017</v>
      </c>
      <c r="D4147" s="9" t="str">
        <f>IFERROR(__xludf.DUMMYFUNCTION("""COMPUTED_VALUE"""),"Completed")</f>
        <v>Completed</v>
      </c>
    </row>
    <row r="4148">
      <c r="A4148" s="9" t="str">
        <f>IFERROR(__xludf.DUMMYFUNCTION("""COMPUTED_VALUE"""),"G-REQ-04147")</f>
        <v>G-REQ-04147</v>
      </c>
      <c r="B4148" s="11">
        <f>IFERROR(__xludf.DUMMYFUNCTION("""COMPUTED_VALUE"""),46056.47632575757)</f>
        <v>46056.47633</v>
      </c>
      <c r="C4148" s="9">
        <f>IFERROR(__xludf.DUMMYFUNCTION("""COMPUTED_VALUE"""),16021.0)</f>
        <v>16021</v>
      </c>
      <c r="D4148" s="9" t="str">
        <f>IFERROR(__xludf.DUMMYFUNCTION("""COMPUTED_VALUE"""),"Completed")</f>
        <v>Completed</v>
      </c>
    </row>
    <row r="4149">
      <c r="A4149" s="9" t="str">
        <f>IFERROR(__xludf.DUMMYFUNCTION("""COMPUTED_VALUE"""),"G-REQ-04148")</f>
        <v>G-REQ-04148</v>
      </c>
      <c r="B4149" s="11">
        <f>IFERROR(__xludf.DUMMYFUNCTION("""COMPUTED_VALUE"""),46056.54750060299)</f>
        <v>46056.5475</v>
      </c>
      <c r="C4149" s="9">
        <f>IFERROR(__xludf.DUMMYFUNCTION("""COMPUTED_VALUE"""),16025.0)</f>
        <v>16025</v>
      </c>
      <c r="D4149" s="9" t="str">
        <f>IFERROR(__xludf.DUMMYFUNCTION("""COMPUTED_VALUE"""),"Completed")</f>
        <v>Completed</v>
      </c>
    </row>
    <row r="4150">
      <c r="A4150" s="9" t="str">
        <f>IFERROR(__xludf.DUMMYFUNCTION("""COMPUTED_VALUE"""),"G-REQ-04149")</f>
        <v>G-REQ-04149</v>
      </c>
      <c r="B4150" s="11">
        <f>IFERROR(__xludf.DUMMYFUNCTION("""COMPUTED_VALUE"""),46056.6186754484)</f>
        <v>46056.61868</v>
      </c>
      <c r="C4150" s="9">
        <f>IFERROR(__xludf.DUMMYFUNCTION("""COMPUTED_VALUE"""),16029.0)</f>
        <v>16029</v>
      </c>
      <c r="D4150" s="9" t="str">
        <f>IFERROR(__xludf.DUMMYFUNCTION("""COMPUTED_VALUE"""),"Completed")</f>
        <v>Completed</v>
      </c>
    </row>
    <row r="4151">
      <c r="A4151" s="9" t="str">
        <f>IFERROR(__xludf.DUMMYFUNCTION("""COMPUTED_VALUE"""),"G-REQ-04150")</f>
        <v>G-REQ-04150</v>
      </c>
      <c r="B4151" s="11">
        <f>IFERROR(__xludf.DUMMYFUNCTION("""COMPUTED_VALUE"""),46056.68985029381)</f>
        <v>46056.68985</v>
      </c>
      <c r="C4151" s="9">
        <f>IFERROR(__xludf.DUMMYFUNCTION("""COMPUTED_VALUE"""),16033.0)</f>
        <v>16033</v>
      </c>
      <c r="D4151" s="9" t="str">
        <f>IFERROR(__xludf.DUMMYFUNCTION("""COMPUTED_VALUE"""),"Completed")</f>
        <v>Completed</v>
      </c>
    </row>
    <row r="4152">
      <c r="A4152" s="9" t="str">
        <f>IFERROR(__xludf.DUMMYFUNCTION("""COMPUTED_VALUE"""),"G-REQ-04151")</f>
        <v>G-REQ-04151</v>
      </c>
      <c r="B4152" s="11">
        <f>IFERROR(__xludf.DUMMYFUNCTION("""COMPUTED_VALUE"""),46056.76102513923)</f>
        <v>46056.76103</v>
      </c>
      <c r="C4152" s="9">
        <f>IFERROR(__xludf.DUMMYFUNCTION("""COMPUTED_VALUE"""),16037.0)</f>
        <v>16037</v>
      </c>
      <c r="D4152" s="9" t="str">
        <f>IFERROR(__xludf.DUMMYFUNCTION("""COMPUTED_VALUE"""),"Completed")</f>
        <v>Completed</v>
      </c>
    </row>
    <row r="4153">
      <c r="A4153" s="9" t="str">
        <f>IFERROR(__xludf.DUMMYFUNCTION("""COMPUTED_VALUE"""),"G-REQ-04152")</f>
        <v>G-REQ-04152</v>
      </c>
      <c r="B4153" s="11">
        <f>IFERROR(__xludf.DUMMYFUNCTION("""COMPUTED_VALUE"""),46056.832199984645)</f>
        <v>46056.8322</v>
      </c>
      <c r="C4153" s="9">
        <f>IFERROR(__xludf.DUMMYFUNCTION("""COMPUTED_VALUE"""),16041.0)</f>
        <v>16041</v>
      </c>
      <c r="D4153" s="9" t="str">
        <f>IFERROR(__xludf.DUMMYFUNCTION("""COMPUTED_VALUE"""),"Completed")</f>
        <v>Completed</v>
      </c>
    </row>
    <row r="4154">
      <c r="A4154" s="9" t="str">
        <f>IFERROR(__xludf.DUMMYFUNCTION("""COMPUTED_VALUE"""),"G-REQ-04153")</f>
        <v>G-REQ-04153</v>
      </c>
      <c r="B4154" s="11">
        <f>IFERROR(__xludf.DUMMYFUNCTION("""COMPUTED_VALUE"""),46056.90337483006)</f>
        <v>46056.90337</v>
      </c>
      <c r="C4154" s="9">
        <f>IFERROR(__xludf.DUMMYFUNCTION("""COMPUTED_VALUE"""),16045.0)</f>
        <v>16045</v>
      </c>
      <c r="D4154" s="9" t="str">
        <f>IFERROR(__xludf.DUMMYFUNCTION("""COMPUTED_VALUE"""),"Completed")</f>
        <v>Completed</v>
      </c>
    </row>
    <row r="4155">
      <c r="A4155" s="9" t="str">
        <f>IFERROR(__xludf.DUMMYFUNCTION("""COMPUTED_VALUE"""),"G-REQ-04154")</f>
        <v>G-REQ-04154</v>
      </c>
      <c r="B4155" s="11">
        <f>IFERROR(__xludf.DUMMYFUNCTION("""COMPUTED_VALUE"""),46056.96760523103)</f>
        <v>46056.96761</v>
      </c>
      <c r="C4155" s="9">
        <f>IFERROR(__xludf.DUMMYFUNCTION("""COMPUTED_VALUE"""),16047.0)</f>
        <v>16047</v>
      </c>
      <c r="D4155" s="9" t="str">
        <f>IFERROR(__xludf.DUMMYFUNCTION("""COMPUTED_VALUE"""),"Cancelled")</f>
        <v>Cancelled</v>
      </c>
    </row>
    <row r="4156">
      <c r="A4156" s="9" t="str">
        <f>IFERROR(__xludf.DUMMYFUNCTION("""COMPUTED_VALUE"""),"G-REQ-04155")</f>
        <v>G-REQ-04155</v>
      </c>
      <c r="B4156" s="11">
        <f>IFERROR(__xludf.DUMMYFUNCTION("""COMPUTED_VALUE"""),46057.03878007645)</f>
        <v>46057.03878</v>
      </c>
      <c r="C4156" s="9">
        <f>IFERROR(__xludf.DUMMYFUNCTION("""COMPUTED_VALUE"""),16049.0)</f>
        <v>16049</v>
      </c>
      <c r="D4156" s="9" t="str">
        <f>IFERROR(__xludf.DUMMYFUNCTION("""COMPUTED_VALUE"""),"Rejected")</f>
        <v>Rejected</v>
      </c>
    </row>
    <row r="4157">
      <c r="A4157" s="9" t="str">
        <f>IFERROR(__xludf.DUMMYFUNCTION("""COMPUTED_VALUE"""),"G-REQ-04156")</f>
        <v>G-REQ-04156</v>
      </c>
      <c r="B4157" s="11">
        <f>IFERROR(__xludf.DUMMYFUNCTION("""COMPUTED_VALUE"""),46057.1168993663)</f>
        <v>46057.1169</v>
      </c>
      <c r="C4157" s="9">
        <f>IFERROR(__xludf.DUMMYFUNCTION("""COMPUTED_VALUE"""),16053.0)</f>
        <v>16053</v>
      </c>
      <c r="D4157" s="9" t="str">
        <f>IFERROR(__xludf.DUMMYFUNCTION("""COMPUTED_VALUE"""),"Completed")</f>
        <v>Completed</v>
      </c>
    </row>
    <row r="4158">
      <c r="A4158" s="9" t="str">
        <f>IFERROR(__xludf.DUMMYFUNCTION("""COMPUTED_VALUE"""),"G-REQ-04157")</f>
        <v>G-REQ-04157</v>
      </c>
      <c r="B4158" s="11">
        <f>IFERROR(__xludf.DUMMYFUNCTION("""COMPUTED_VALUE"""),46057.181129767276)</f>
        <v>46057.18113</v>
      </c>
      <c r="C4158" s="9">
        <f>IFERROR(__xludf.DUMMYFUNCTION("""COMPUTED_VALUE"""),16055.0)</f>
        <v>16055</v>
      </c>
      <c r="D4158" s="9" t="str">
        <f>IFERROR(__xludf.DUMMYFUNCTION("""COMPUTED_VALUE"""),"Rejected")</f>
        <v>Rejected</v>
      </c>
    </row>
    <row r="4159">
      <c r="A4159" s="9" t="str">
        <f>IFERROR(__xludf.DUMMYFUNCTION("""COMPUTED_VALUE"""),"G-REQ-04158")</f>
        <v>G-REQ-04158</v>
      </c>
      <c r="B4159" s="11">
        <f>IFERROR(__xludf.DUMMYFUNCTION("""COMPUTED_VALUE"""),46057.252304612695)</f>
        <v>46057.2523</v>
      </c>
      <c r="C4159" s="9">
        <f>IFERROR(__xludf.DUMMYFUNCTION("""COMPUTED_VALUE"""),16057.0)</f>
        <v>16057</v>
      </c>
      <c r="D4159" s="9" t="str">
        <f>IFERROR(__xludf.DUMMYFUNCTION("""COMPUTED_VALUE"""),"Rejected")</f>
        <v>Rejected</v>
      </c>
    </row>
    <row r="4160">
      <c r="A4160" s="9" t="str">
        <f>IFERROR(__xludf.DUMMYFUNCTION("""COMPUTED_VALUE"""),"G-REQ-04159")</f>
        <v>G-REQ-04159</v>
      </c>
      <c r="B4160" s="11">
        <f>IFERROR(__xludf.DUMMYFUNCTION("""COMPUTED_VALUE"""),46057.32347945811)</f>
        <v>46057.32348</v>
      </c>
      <c r="C4160" s="9">
        <f>IFERROR(__xludf.DUMMYFUNCTION("""COMPUTED_VALUE"""),16059.0)</f>
        <v>16059</v>
      </c>
      <c r="D4160" s="9" t="str">
        <f>IFERROR(__xludf.DUMMYFUNCTION("""COMPUTED_VALUE"""),"Rejected")</f>
        <v>Rejected</v>
      </c>
    </row>
    <row r="4161">
      <c r="A4161" s="9" t="str">
        <f>IFERROR(__xludf.DUMMYFUNCTION("""COMPUTED_VALUE"""),"G-REQ-04160")</f>
        <v>G-REQ-04160</v>
      </c>
      <c r="B4161" s="11">
        <f>IFERROR(__xludf.DUMMYFUNCTION("""COMPUTED_VALUE"""),46057.401598747965)</f>
        <v>46057.4016</v>
      </c>
      <c r="C4161" s="9">
        <f>IFERROR(__xludf.DUMMYFUNCTION("""COMPUTED_VALUE"""),16063.0)</f>
        <v>16063</v>
      </c>
      <c r="D4161" s="9" t="str">
        <f>IFERROR(__xludf.DUMMYFUNCTION("""COMPUTED_VALUE"""),"Completed")</f>
        <v>Completed</v>
      </c>
    </row>
    <row r="4162">
      <c r="A4162" s="9" t="str">
        <f>IFERROR(__xludf.DUMMYFUNCTION("""COMPUTED_VALUE"""),"G-REQ-04161")</f>
        <v>G-REQ-04161</v>
      </c>
      <c r="B4162" s="11">
        <f>IFERROR(__xludf.DUMMYFUNCTION("""COMPUTED_VALUE"""),46057.472773593385)</f>
        <v>46057.47277</v>
      </c>
      <c r="C4162" s="9">
        <f>IFERROR(__xludf.DUMMYFUNCTION("""COMPUTED_VALUE"""),16067.0)</f>
        <v>16067</v>
      </c>
      <c r="D4162" s="9" t="str">
        <f>IFERROR(__xludf.DUMMYFUNCTION("""COMPUTED_VALUE"""),"Completed")</f>
        <v>Completed</v>
      </c>
    </row>
    <row r="4163">
      <c r="A4163" s="9" t="str">
        <f>IFERROR(__xludf.DUMMYFUNCTION("""COMPUTED_VALUE"""),"G-REQ-04162")</f>
        <v>G-REQ-04162</v>
      </c>
      <c r="B4163" s="11">
        <f>IFERROR(__xludf.DUMMYFUNCTION("""COMPUTED_VALUE"""),46057.5439484388)</f>
        <v>46057.54395</v>
      </c>
      <c r="C4163" s="9">
        <f>IFERROR(__xludf.DUMMYFUNCTION("""COMPUTED_VALUE"""),16071.0)</f>
        <v>16071</v>
      </c>
      <c r="D4163" s="9" t="str">
        <f>IFERROR(__xludf.DUMMYFUNCTION("""COMPUTED_VALUE"""),"Completed")</f>
        <v>Completed</v>
      </c>
    </row>
    <row r="4164">
      <c r="A4164" s="9" t="str">
        <f>IFERROR(__xludf.DUMMYFUNCTION("""COMPUTED_VALUE"""),"G-REQ-04163")</f>
        <v>G-REQ-04163</v>
      </c>
      <c r="B4164" s="11">
        <f>IFERROR(__xludf.DUMMYFUNCTION("""COMPUTED_VALUE"""),46057.61512328421)</f>
        <v>46057.61512</v>
      </c>
      <c r="C4164" s="9">
        <f>IFERROR(__xludf.DUMMYFUNCTION("""COMPUTED_VALUE"""),16075.0)</f>
        <v>16075</v>
      </c>
      <c r="D4164" s="9" t="str">
        <f>IFERROR(__xludf.DUMMYFUNCTION("""COMPUTED_VALUE"""),"Completed")</f>
        <v>Completed</v>
      </c>
    </row>
    <row r="4165">
      <c r="A4165" s="9" t="str">
        <f>IFERROR(__xludf.DUMMYFUNCTION("""COMPUTED_VALUE"""),"G-REQ-04164")</f>
        <v>G-REQ-04164</v>
      </c>
      <c r="B4165" s="11">
        <f>IFERROR(__xludf.DUMMYFUNCTION("""COMPUTED_VALUE"""),46057.68629812963)</f>
        <v>46057.6863</v>
      </c>
      <c r="C4165" s="9">
        <f>IFERROR(__xludf.DUMMYFUNCTION("""COMPUTED_VALUE"""),16079.0)</f>
        <v>16079</v>
      </c>
      <c r="D4165" s="9" t="str">
        <f>IFERROR(__xludf.DUMMYFUNCTION("""COMPUTED_VALUE"""),"Completed")</f>
        <v>Completed</v>
      </c>
    </row>
    <row r="4166">
      <c r="A4166" s="9" t="str">
        <f>IFERROR(__xludf.DUMMYFUNCTION("""COMPUTED_VALUE"""),"G-REQ-04165")</f>
        <v>G-REQ-04165</v>
      </c>
      <c r="B4166" s="11">
        <f>IFERROR(__xludf.DUMMYFUNCTION("""COMPUTED_VALUE"""),46057.7505285306)</f>
        <v>46057.75053</v>
      </c>
      <c r="C4166" s="9">
        <f>IFERROR(__xludf.DUMMYFUNCTION("""COMPUTED_VALUE"""),16081.0)</f>
        <v>16081</v>
      </c>
      <c r="D4166" s="9" t="str">
        <f>IFERROR(__xludf.DUMMYFUNCTION("""COMPUTED_VALUE"""),"Cancelled")</f>
        <v>Cancelled</v>
      </c>
    </row>
    <row r="4167">
      <c r="A4167" s="9" t="str">
        <f>IFERROR(__xludf.DUMMYFUNCTION("""COMPUTED_VALUE"""),"G-REQ-04166")</f>
        <v>G-REQ-04166</v>
      </c>
      <c r="B4167" s="11">
        <f>IFERROR(__xludf.DUMMYFUNCTION("""COMPUTED_VALUE"""),46057.82864782045)</f>
        <v>46057.82865</v>
      </c>
      <c r="C4167" s="9">
        <f>IFERROR(__xludf.DUMMYFUNCTION("""COMPUTED_VALUE"""),16085.0)</f>
        <v>16085</v>
      </c>
      <c r="D4167" s="9" t="str">
        <f>IFERROR(__xludf.DUMMYFUNCTION("""COMPUTED_VALUE"""),"Completed")</f>
        <v>Completed</v>
      </c>
    </row>
    <row r="4168">
      <c r="A4168" s="9" t="str">
        <f>IFERROR(__xludf.DUMMYFUNCTION("""COMPUTED_VALUE"""),"G-REQ-04167")</f>
        <v>G-REQ-04167</v>
      </c>
      <c r="B4168" s="11">
        <f>IFERROR(__xludf.DUMMYFUNCTION("""COMPUTED_VALUE"""),46057.89982266587)</f>
        <v>46057.89982</v>
      </c>
      <c r="C4168" s="9">
        <f>IFERROR(__xludf.DUMMYFUNCTION("""COMPUTED_VALUE"""),16089.0)</f>
        <v>16089</v>
      </c>
      <c r="D4168" s="9" t="str">
        <f>IFERROR(__xludf.DUMMYFUNCTION("""COMPUTED_VALUE"""),"Completed")</f>
        <v>Completed</v>
      </c>
    </row>
    <row r="4169">
      <c r="A4169" s="9" t="str">
        <f>IFERROR(__xludf.DUMMYFUNCTION("""COMPUTED_VALUE"""),"G-REQ-04168")</f>
        <v>G-REQ-04168</v>
      </c>
      <c r="B4169" s="11">
        <f>IFERROR(__xludf.DUMMYFUNCTION("""COMPUTED_VALUE"""),46057.970997511286)</f>
        <v>46057.971</v>
      </c>
      <c r="C4169" s="9">
        <f>IFERROR(__xludf.DUMMYFUNCTION("""COMPUTED_VALUE"""),16093.0)</f>
        <v>16093</v>
      </c>
      <c r="D4169" s="9" t="str">
        <f>IFERROR(__xludf.DUMMYFUNCTION("""COMPUTED_VALUE"""),"Completed")</f>
        <v>Completed</v>
      </c>
    </row>
    <row r="4170">
      <c r="A4170" s="9" t="str">
        <f>IFERROR(__xludf.DUMMYFUNCTION("""COMPUTED_VALUE"""),"G-REQ-04169")</f>
        <v>G-REQ-04169</v>
      </c>
      <c r="B4170" s="11">
        <f>IFERROR(__xludf.DUMMYFUNCTION("""COMPUTED_VALUE"""),46058.042172356705)</f>
        <v>46058.04217</v>
      </c>
      <c r="C4170" s="9">
        <f>IFERROR(__xludf.DUMMYFUNCTION("""COMPUTED_VALUE"""),16097.0)</f>
        <v>16097</v>
      </c>
      <c r="D4170" s="9" t="str">
        <f>IFERROR(__xludf.DUMMYFUNCTION("""COMPUTED_VALUE"""),"Completed")</f>
        <v>Completed</v>
      </c>
    </row>
    <row r="4171">
      <c r="A4171" s="9" t="str">
        <f>IFERROR(__xludf.DUMMYFUNCTION("""COMPUTED_VALUE"""),"G-REQ-04170")</f>
        <v>G-REQ-04170</v>
      </c>
      <c r="B4171" s="11">
        <f>IFERROR(__xludf.DUMMYFUNCTION("""COMPUTED_VALUE"""),46058.11334720212)</f>
        <v>46058.11335</v>
      </c>
      <c r="C4171" s="9">
        <f>IFERROR(__xludf.DUMMYFUNCTION("""COMPUTED_VALUE"""),16101.0)</f>
        <v>16101</v>
      </c>
      <c r="D4171" s="9" t="str">
        <f>IFERROR(__xludf.DUMMYFUNCTION("""COMPUTED_VALUE"""),"Completed")</f>
        <v>Completed</v>
      </c>
    </row>
    <row r="4172">
      <c r="A4172" s="9" t="str">
        <f>IFERROR(__xludf.DUMMYFUNCTION("""COMPUTED_VALUE"""),"G-REQ-04171")</f>
        <v>G-REQ-04171</v>
      </c>
      <c r="B4172" s="11">
        <f>IFERROR(__xludf.DUMMYFUNCTION("""COMPUTED_VALUE"""),46058.18452204754)</f>
        <v>46058.18452</v>
      </c>
      <c r="C4172" s="9">
        <f>IFERROR(__xludf.DUMMYFUNCTION("""COMPUTED_VALUE"""),16105.0)</f>
        <v>16105</v>
      </c>
      <c r="D4172" s="9" t="str">
        <f>IFERROR(__xludf.DUMMYFUNCTION("""COMPUTED_VALUE"""),"Completed")</f>
        <v>Completed</v>
      </c>
    </row>
    <row r="4173">
      <c r="A4173" s="9" t="str">
        <f>IFERROR(__xludf.DUMMYFUNCTION("""COMPUTED_VALUE"""),"G-REQ-04172")</f>
        <v>G-REQ-04172</v>
      </c>
      <c r="B4173" s="11">
        <f>IFERROR(__xludf.DUMMYFUNCTION("""COMPUTED_VALUE"""),46058.25569689294)</f>
        <v>46058.2557</v>
      </c>
      <c r="C4173" s="9">
        <f>IFERROR(__xludf.DUMMYFUNCTION("""COMPUTED_VALUE"""),16109.0)</f>
        <v>16109</v>
      </c>
      <c r="D4173" s="9" t="str">
        <f>IFERROR(__xludf.DUMMYFUNCTION("""COMPUTED_VALUE"""),"Completed")</f>
        <v>Completed</v>
      </c>
    </row>
    <row r="4174">
      <c r="A4174" s="9" t="str">
        <f>IFERROR(__xludf.DUMMYFUNCTION("""COMPUTED_VALUE"""),"G-REQ-04173")</f>
        <v>G-REQ-04173</v>
      </c>
      <c r="B4174" s="11">
        <f>IFERROR(__xludf.DUMMYFUNCTION("""COMPUTED_VALUE"""),46058.32687173836)</f>
        <v>46058.32687</v>
      </c>
      <c r="C4174" s="9">
        <f>IFERROR(__xludf.DUMMYFUNCTION("""COMPUTED_VALUE"""),16113.0)</f>
        <v>16113</v>
      </c>
      <c r="D4174" s="9" t="str">
        <f>IFERROR(__xludf.DUMMYFUNCTION("""COMPUTED_VALUE"""),"Completed")</f>
        <v>Completed</v>
      </c>
    </row>
    <row r="4175">
      <c r="A4175" s="9" t="str">
        <f>IFERROR(__xludf.DUMMYFUNCTION("""COMPUTED_VALUE"""),"G-REQ-04174")</f>
        <v>G-REQ-04174</v>
      </c>
      <c r="B4175" s="11">
        <f>IFERROR(__xludf.DUMMYFUNCTION("""COMPUTED_VALUE"""),46058.39804658378)</f>
        <v>46058.39805</v>
      </c>
      <c r="C4175" s="9">
        <f>IFERROR(__xludf.DUMMYFUNCTION("""COMPUTED_VALUE"""),16117.0)</f>
        <v>16117</v>
      </c>
      <c r="D4175" s="9" t="str">
        <f>IFERROR(__xludf.DUMMYFUNCTION("""COMPUTED_VALUE"""),"Completed")</f>
        <v>Completed</v>
      </c>
    </row>
    <row r="4176">
      <c r="A4176" s="9" t="str">
        <f>IFERROR(__xludf.DUMMYFUNCTION("""COMPUTED_VALUE"""),"G-REQ-04175")</f>
        <v>G-REQ-04175</v>
      </c>
      <c r="B4176" s="11">
        <f>IFERROR(__xludf.DUMMYFUNCTION("""COMPUTED_VALUE"""),46058.46922142919)</f>
        <v>46058.46922</v>
      </c>
      <c r="C4176" s="9">
        <f>IFERROR(__xludf.DUMMYFUNCTION("""COMPUTED_VALUE"""),16121.0)</f>
        <v>16121</v>
      </c>
      <c r="D4176" s="9" t="str">
        <f>IFERROR(__xludf.DUMMYFUNCTION("""COMPUTED_VALUE"""),"Completed")</f>
        <v>Completed</v>
      </c>
    </row>
    <row r="4177">
      <c r="A4177" s="9" t="str">
        <f>IFERROR(__xludf.DUMMYFUNCTION("""COMPUTED_VALUE"""),"G-REQ-04176")</f>
        <v>G-REQ-04176</v>
      </c>
      <c r="B4177" s="11">
        <f>IFERROR(__xludf.DUMMYFUNCTION("""COMPUTED_VALUE"""),46058.540396274606)</f>
        <v>46058.5404</v>
      </c>
      <c r="C4177" s="9">
        <f>IFERROR(__xludf.DUMMYFUNCTION("""COMPUTED_VALUE"""),16125.0)</f>
        <v>16125</v>
      </c>
      <c r="D4177" s="9" t="str">
        <f>IFERROR(__xludf.DUMMYFUNCTION("""COMPUTED_VALUE"""),"Completed")</f>
        <v>Completed</v>
      </c>
    </row>
    <row r="4178">
      <c r="A4178" s="9" t="str">
        <f>IFERROR(__xludf.DUMMYFUNCTION("""COMPUTED_VALUE"""),"G-REQ-04177")</f>
        <v>G-REQ-04177</v>
      </c>
      <c r="B4178" s="11">
        <f>IFERROR(__xludf.DUMMYFUNCTION("""COMPUTED_VALUE"""),46058.611571120025)</f>
        <v>46058.61157</v>
      </c>
      <c r="C4178" s="9">
        <f>IFERROR(__xludf.DUMMYFUNCTION("""COMPUTED_VALUE"""),16129.0)</f>
        <v>16129</v>
      </c>
      <c r="D4178" s="9" t="str">
        <f>IFERROR(__xludf.DUMMYFUNCTION("""COMPUTED_VALUE"""),"Completed")</f>
        <v>Completed</v>
      </c>
    </row>
    <row r="4179">
      <c r="A4179" s="9" t="str">
        <f>IFERROR(__xludf.DUMMYFUNCTION("""COMPUTED_VALUE"""),"G-REQ-04178")</f>
        <v>G-REQ-04178</v>
      </c>
      <c r="B4179" s="11">
        <f>IFERROR(__xludf.DUMMYFUNCTION("""COMPUTED_VALUE"""),46058.68274596544)</f>
        <v>46058.68275</v>
      </c>
      <c r="C4179" s="9">
        <f>IFERROR(__xludf.DUMMYFUNCTION("""COMPUTED_VALUE"""),16133.0)</f>
        <v>16133</v>
      </c>
      <c r="D4179" s="9" t="str">
        <f>IFERROR(__xludf.DUMMYFUNCTION("""COMPUTED_VALUE"""),"Completed")</f>
        <v>Completed</v>
      </c>
    </row>
    <row r="4180">
      <c r="A4180" s="9" t="str">
        <f>IFERROR(__xludf.DUMMYFUNCTION("""COMPUTED_VALUE"""),"G-REQ-04179")</f>
        <v>G-REQ-04179</v>
      </c>
      <c r="B4180" s="11">
        <f>IFERROR(__xludf.DUMMYFUNCTION("""COMPUTED_VALUE"""),46058.75392081085)</f>
        <v>46058.75392</v>
      </c>
      <c r="C4180" s="9">
        <f>IFERROR(__xludf.DUMMYFUNCTION("""COMPUTED_VALUE"""),16137.0)</f>
        <v>16137</v>
      </c>
      <c r="D4180" s="9" t="str">
        <f>IFERROR(__xludf.DUMMYFUNCTION("""COMPUTED_VALUE"""),"Completed")</f>
        <v>Completed</v>
      </c>
    </row>
    <row r="4181">
      <c r="A4181" s="9" t="str">
        <f>IFERROR(__xludf.DUMMYFUNCTION("""COMPUTED_VALUE"""),"G-REQ-04180")</f>
        <v>G-REQ-04180</v>
      </c>
      <c r="B4181" s="11">
        <f>IFERROR(__xludf.DUMMYFUNCTION("""COMPUTED_VALUE"""),46058.82509565627)</f>
        <v>46058.8251</v>
      </c>
      <c r="C4181" s="9">
        <f>IFERROR(__xludf.DUMMYFUNCTION("""COMPUTED_VALUE"""),16141.0)</f>
        <v>16141</v>
      </c>
      <c r="D4181" s="9" t="str">
        <f>IFERROR(__xludf.DUMMYFUNCTION("""COMPUTED_VALUE"""),"Completed")</f>
        <v>Completed</v>
      </c>
    </row>
    <row r="4182">
      <c r="A4182" s="9" t="str">
        <f>IFERROR(__xludf.DUMMYFUNCTION("""COMPUTED_VALUE"""),"G-REQ-04181")</f>
        <v>G-REQ-04181</v>
      </c>
      <c r="B4182" s="11">
        <f>IFERROR(__xludf.DUMMYFUNCTION("""COMPUTED_VALUE"""),46058.89627050169)</f>
        <v>46058.89627</v>
      </c>
      <c r="C4182" s="9">
        <f>IFERROR(__xludf.DUMMYFUNCTION("""COMPUTED_VALUE"""),16145.0)</f>
        <v>16145</v>
      </c>
      <c r="D4182" s="9" t="str">
        <f>IFERROR(__xludf.DUMMYFUNCTION("""COMPUTED_VALUE"""),"Completed")</f>
        <v>Completed</v>
      </c>
    </row>
    <row r="4183">
      <c r="A4183" s="9" t="str">
        <f>IFERROR(__xludf.DUMMYFUNCTION("""COMPUTED_VALUE"""),"G-REQ-04182")</f>
        <v>G-REQ-04182</v>
      </c>
      <c r="B4183" s="11">
        <f>IFERROR(__xludf.DUMMYFUNCTION("""COMPUTED_VALUE"""),46058.967445347094)</f>
        <v>46058.96745</v>
      </c>
      <c r="C4183" s="9">
        <f>IFERROR(__xludf.DUMMYFUNCTION("""COMPUTED_VALUE"""),16149.0)</f>
        <v>16149</v>
      </c>
      <c r="D4183" s="9" t="str">
        <f>IFERROR(__xludf.DUMMYFUNCTION("""COMPUTED_VALUE"""),"Completed")</f>
        <v>Completed</v>
      </c>
    </row>
    <row r="4184">
      <c r="A4184" s="9" t="str">
        <f>IFERROR(__xludf.DUMMYFUNCTION("""COMPUTED_VALUE"""),"G-REQ-04183")</f>
        <v>G-REQ-04183</v>
      </c>
      <c r="B4184" s="11">
        <f>IFERROR(__xludf.DUMMYFUNCTION("""COMPUTED_VALUE"""),46059.038620192514)</f>
        <v>46059.03862</v>
      </c>
      <c r="C4184" s="9">
        <f>IFERROR(__xludf.DUMMYFUNCTION("""COMPUTED_VALUE"""),16153.0)</f>
        <v>16153</v>
      </c>
      <c r="D4184" s="9" t="str">
        <f>IFERROR(__xludf.DUMMYFUNCTION("""COMPUTED_VALUE"""),"Completed")</f>
        <v>Completed</v>
      </c>
    </row>
    <row r="4185">
      <c r="A4185" s="9" t="str">
        <f>IFERROR(__xludf.DUMMYFUNCTION("""COMPUTED_VALUE"""),"G-REQ-04184")</f>
        <v>G-REQ-04184</v>
      </c>
      <c r="B4185" s="11">
        <f>IFERROR(__xludf.DUMMYFUNCTION("""COMPUTED_VALUE"""),46059.109795037926)</f>
        <v>46059.1098</v>
      </c>
      <c r="C4185" s="9">
        <f>IFERROR(__xludf.DUMMYFUNCTION("""COMPUTED_VALUE"""),16157.0)</f>
        <v>16157</v>
      </c>
      <c r="D4185" s="9" t="str">
        <f>IFERROR(__xludf.DUMMYFUNCTION("""COMPUTED_VALUE"""),"Completed")</f>
        <v>Completed</v>
      </c>
    </row>
    <row r="4186">
      <c r="A4186" s="9" t="str">
        <f>IFERROR(__xludf.DUMMYFUNCTION("""COMPUTED_VALUE"""),"G-REQ-04185")</f>
        <v>G-REQ-04185</v>
      </c>
      <c r="B4186" s="11">
        <f>IFERROR(__xludf.DUMMYFUNCTION("""COMPUTED_VALUE"""),46059.180969883346)</f>
        <v>46059.18097</v>
      </c>
      <c r="C4186" s="9">
        <f>IFERROR(__xludf.DUMMYFUNCTION("""COMPUTED_VALUE"""),16161.0)</f>
        <v>16161</v>
      </c>
      <c r="D4186" s="9" t="str">
        <f>IFERROR(__xludf.DUMMYFUNCTION("""COMPUTED_VALUE"""),"Completed")</f>
        <v>Completed</v>
      </c>
    </row>
    <row r="4187">
      <c r="A4187" s="9" t="str">
        <f>IFERROR(__xludf.DUMMYFUNCTION("""COMPUTED_VALUE"""),"G-REQ-04186")</f>
        <v>G-REQ-04186</v>
      </c>
      <c r="B4187" s="11">
        <f>IFERROR(__xludf.DUMMYFUNCTION("""COMPUTED_VALUE"""),46059.25214472876)</f>
        <v>46059.25214</v>
      </c>
      <c r="C4187" s="9">
        <f>IFERROR(__xludf.DUMMYFUNCTION("""COMPUTED_VALUE"""),16165.0)</f>
        <v>16165</v>
      </c>
      <c r="D4187" s="9" t="str">
        <f>IFERROR(__xludf.DUMMYFUNCTION("""COMPUTED_VALUE"""),"Completed")</f>
        <v>Completed</v>
      </c>
    </row>
    <row r="4188">
      <c r="A4188" s="9" t="str">
        <f>IFERROR(__xludf.DUMMYFUNCTION("""COMPUTED_VALUE"""),"G-REQ-04187")</f>
        <v>G-REQ-04187</v>
      </c>
      <c r="B4188" s="11">
        <f>IFERROR(__xludf.DUMMYFUNCTION("""COMPUTED_VALUE"""),46059.32331957418)</f>
        <v>46059.32332</v>
      </c>
      <c r="C4188" s="9">
        <f>IFERROR(__xludf.DUMMYFUNCTION("""COMPUTED_VALUE"""),16169.0)</f>
        <v>16169</v>
      </c>
      <c r="D4188" s="9" t="str">
        <f>IFERROR(__xludf.DUMMYFUNCTION("""COMPUTED_VALUE"""),"Completed")</f>
        <v>Completed</v>
      </c>
    </row>
    <row r="4189">
      <c r="A4189" s="9" t="str">
        <f>IFERROR(__xludf.DUMMYFUNCTION("""COMPUTED_VALUE"""),"G-REQ-04188")</f>
        <v>G-REQ-04188</v>
      </c>
      <c r="B4189" s="11">
        <f>IFERROR(__xludf.DUMMYFUNCTION("""COMPUTED_VALUE"""),46059.39449441959)</f>
        <v>46059.39449</v>
      </c>
      <c r="C4189" s="9">
        <f>IFERROR(__xludf.DUMMYFUNCTION("""COMPUTED_VALUE"""),16173.0)</f>
        <v>16173</v>
      </c>
      <c r="D4189" s="9" t="str">
        <f>IFERROR(__xludf.DUMMYFUNCTION("""COMPUTED_VALUE"""),"Completed")</f>
        <v>Completed</v>
      </c>
    </row>
    <row r="4190">
      <c r="A4190" s="9" t="str">
        <f>IFERROR(__xludf.DUMMYFUNCTION("""COMPUTED_VALUE"""),"G-REQ-04189")</f>
        <v>G-REQ-04189</v>
      </c>
      <c r="B4190" s="11">
        <f>IFERROR(__xludf.DUMMYFUNCTION("""COMPUTED_VALUE"""),46059.45872482056)</f>
        <v>46059.45872</v>
      </c>
      <c r="C4190" s="9">
        <f>IFERROR(__xludf.DUMMYFUNCTION("""COMPUTED_VALUE"""),16175.0)</f>
        <v>16175</v>
      </c>
      <c r="D4190" s="9" t="str">
        <f>IFERROR(__xludf.DUMMYFUNCTION("""COMPUTED_VALUE"""),"Cancelled")</f>
        <v>Cancelled</v>
      </c>
    </row>
    <row r="4191">
      <c r="A4191" s="9" t="str">
        <f>IFERROR(__xludf.DUMMYFUNCTION("""COMPUTED_VALUE"""),"G-REQ-04190")</f>
        <v>G-REQ-04190</v>
      </c>
      <c r="B4191" s="11">
        <f>IFERROR(__xludf.DUMMYFUNCTION("""COMPUTED_VALUE"""),46059.52989966598)</f>
        <v>46059.5299</v>
      </c>
      <c r="C4191" s="9">
        <f>IFERROR(__xludf.DUMMYFUNCTION("""COMPUTED_VALUE"""),16177.0)</f>
        <v>16177</v>
      </c>
      <c r="D4191" s="9" t="str">
        <f>IFERROR(__xludf.DUMMYFUNCTION("""COMPUTED_VALUE"""),"Cancelled")</f>
        <v>Cancelled</v>
      </c>
    </row>
    <row r="4192">
      <c r="A4192" s="9" t="str">
        <f>IFERROR(__xludf.DUMMYFUNCTION("""COMPUTED_VALUE"""),"G-REQ-04191")</f>
        <v>G-REQ-04191</v>
      </c>
      <c r="B4192" s="11">
        <f>IFERROR(__xludf.DUMMYFUNCTION("""COMPUTED_VALUE"""),46059.60107451139)</f>
        <v>46059.60107</v>
      </c>
      <c r="C4192" s="9">
        <f>IFERROR(__xludf.DUMMYFUNCTION("""COMPUTED_VALUE"""),16179.0)</f>
        <v>16179</v>
      </c>
      <c r="D4192" s="9" t="str">
        <f>IFERROR(__xludf.DUMMYFUNCTION("""COMPUTED_VALUE"""),"Rejected")</f>
        <v>Rejected</v>
      </c>
    </row>
    <row r="4193">
      <c r="A4193" s="9" t="str">
        <f>IFERROR(__xludf.DUMMYFUNCTION("""COMPUTED_VALUE"""),"G-REQ-04192")</f>
        <v>G-REQ-04192</v>
      </c>
      <c r="B4193" s="11">
        <f>IFERROR(__xludf.DUMMYFUNCTION("""COMPUTED_VALUE"""),46059.67919380125)</f>
        <v>46059.67919</v>
      </c>
      <c r="C4193" s="9">
        <f>IFERROR(__xludf.DUMMYFUNCTION("""COMPUTED_VALUE"""),16183.0)</f>
        <v>16183</v>
      </c>
      <c r="D4193" s="9" t="str">
        <f>IFERROR(__xludf.DUMMYFUNCTION("""COMPUTED_VALUE"""),"Completed")</f>
        <v>Completed</v>
      </c>
    </row>
    <row r="4194">
      <c r="A4194" s="9" t="str">
        <f>IFERROR(__xludf.DUMMYFUNCTION("""COMPUTED_VALUE"""),"G-REQ-04193")</f>
        <v>G-REQ-04193</v>
      </c>
      <c r="B4194" s="11">
        <f>IFERROR(__xludf.DUMMYFUNCTION("""COMPUTED_VALUE"""),46059.750368646666)</f>
        <v>46059.75037</v>
      </c>
      <c r="C4194" s="9">
        <f>IFERROR(__xludf.DUMMYFUNCTION("""COMPUTED_VALUE"""),16187.0)</f>
        <v>16187</v>
      </c>
      <c r="D4194" s="9" t="str">
        <f>IFERROR(__xludf.DUMMYFUNCTION("""COMPUTED_VALUE"""),"Completed")</f>
        <v>Completed</v>
      </c>
    </row>
    <row r="4195">
      <c r="A4195" s="9" t="str">
        <f>IFERROR(__xludf.DUMMYFUNCTION("""COMPUTED_VALUE"""),"G-REQ-04194")</f>
        <v>G-REQ-04194</v>
      </c>
      <c r="B4195" s="11">
        <f>IFERROR(__xludf.DUMMYFUNCTION("""COMPUTED_VALUE"""),46059.82154349208)</f>
        <v>46059.82154</v>
      </c>
      <c r="C4195" s="9">
        <f>IFERROR(__xludf.DUMMYFUNCTION("""COMPUTED_VALUE"""),16191.0)</f>
        <v>16191</v>
      </c>
      <c r="D4195" s="9" t="str">
        <f>IFERROR(__xludf.DUMMYFUNCTION("""COMPUTED_VALUE"""),"Completed")</f>
        <v>Completed</v>
      </c>
    </row>
    <row r="4196">
      <c r="A4196" s="9" t="str">
        <f>IFERROR(__xludf.DUMMYFUNCTION("""COMPUTED_VALUE"""),"G-REQ-04195")</f>
        <v>G-REQ-04195</v>
      </c>
      <c r="B4196" s="11">
        <f>IFERROR(__xludf.DUMMYFUNCTION("""COMPUTED_VALUE"""),46059.89271833749)</f>
        <v>46059.89272</v>
      </c>
      <c r="C4196" s="9">
        <f>IFERROR(__xludf.DUMMYFUNCTION("""COMPUTED_VALUE"""),16195.0)</f>
        <v>16195</v>
      </c>
      <c r="D4196" s="9" t="str">
        <f>IFERROR(__xludf.DUMMYFUNCTION("""COMPUTED_VALUE"""),"Completed")</f>
        <v>Completed</v>
      </c>
    </row>
    <row r="4197">
      <c r="A4197" s="9" t="str">
        <f>IFERROR(__xludf.DUMMYFUNCTION("""COMPUTED_VALUE"""),"G-REQ-04196")</f>
        <v>G-REQ-04196</v>
      </c>
      <c r="B4197" s="11">
        <f>IFERROR(__xludf.DUMMYFUNCTION("""COMPUTED_VALUE"""),46059.96389318291)</f>
        <v>46059.96389</v>
      </c>
      <c r="C4197" s="9">
        <f>IFERROR(__xludf.DUMMYFUNCTION("""COMPUTED_VALUE"""),16199.0)</f>
        <v>16199</v>
      </c>
      <c r="D4197" s="9" t="str">
        <f>IFERROR(__xludf.DUMMYFUNCTION("""COMPUTED_VALUE"""),"Completed")</f>
        <v>Completed</v>
      </c>
    </row>
    <row r="4198">
      <c r="A4198" s="9" t="str">
        <f>IFERROR(__xludf.DUMMYFUNCTION("""COMPUTED_VALUE"""),"G-REQ-04197")</f>
        <v>G-REQ-04197</v>
      </c>
      <c r="B4198" s="11">
        <f>IFERROR(__xludf.DUMMYFUNCTION("""COMPUTED_VALUE"""),46060.03506802833)</f>
        <v>46060.03507</v>
      </c>
      <c r="C4198" s="9">
        <f>IFERROR(__xludf.DUMMYFUNCTION("""COMPUTED_VALUE"""),16203.0)</f>
        <v>16203</v>
      </c>
      <c r="D4198" s="9" t="str">
        <f>IFERROR(__xludf.DUMMYFUNCTION("""COMPUTED_VALUE"""),"Completed")</f>
        <v>Completed</v>
      </c>
    </row>
    <row r="4199">
      <c r="A4199" s="9" t="str">
        <f>IFERROR(__xludf.DUMMYFUNCTION("""COMPUTED_VALUE"""),"G-REQ-04198")</f>
        <v>G-REQ-04198</v>
      </c>
      <c r="B4199" s="11">
        <f>IFERROR(__xludf.DUMMYFUNCTION("""COMPUTED_VALUE"""),46060.106242873735)</f>
        <v>46060.10624</v>
      </c>
      <c r="C4199" s="9">
        <f>IFERROR(__xludf.DUMMYFUNCTION("""COMPUTED_VALUE"""),16207.0)</f>
        <v>16207</v>
      </c>
      <c r="D4199" s="9" t="str">
        <f>IFERROR(__xludf.DUMMYFUNCTION("""COMPUTED_VALUE"""),"Completed")</f>
        <v>Completed</v>
      </c>
    </row>
    <row r="4200">
      <c r="A4200" s="9" t="str">
        <f>IFERROR(__xludf.DUMMYFUNCTION("""COMPUTED_VALUE"""),"G-REQ-04199")</f>
        <v>G-REQ-04199</v>
      </c>
      <c r="B4200" s="11">
        <f>IFERROR(__xludf.DUMMYFUNCTION("""COMPUTED_VALUE"""),46060.177417719155)</f>
        <v>46060.17742</v>
      </c>
      <c r="C4200" s="9">
        <f>IFERROR(__xludf.DUMMYFUNCTION("""COMPUTED_VALUE"""),16211.0)</f>
        <v>16211</v>
      </c>
      <c r="D4200" s="9" t="str">
        <f>IFERROR(__xludf.DUMMYFUNCTION("""COMPUTED_VALUE"""),"Completed")</f>
        <v>Completed</v>
      </c>
    </row>
    <row r="4201">
      <c r="A4201" s="9" t="str">
        <f>IFERROR(__xludf.DUMMYFUNCTION("""COMPUTED_VALUE"""),"G-REQ-04200")</f>
        <v>G-REQ-04200</v>
      </c>
      <c r="B4201" s="11">
        <f>IFERROR(__xludf.DUMMYFUNCTION("""COMPUTED_VALUE"""),46060.248592564574)</f>
        <v>46060.24859</v>
      </c>
      <c r="C4201" s="9">
        <f>IFERROR(__xludf.DUMMYFUNCTION("""COMPUTED_VALUE"""),16215.0)</f>
        <v>16215</v>
      </c>
      <c r="D4201" s="9" t="str">
        <f>IFERROR(__xludf.DUMMYFUNCTION("""COMPUTED_VALUE"""),"Completed")</f>
        <v>Completed</v>
      </c>
    </row>
    <row r="4202">
      <c r="A4202" s="9" t="str">
        <f>IFERROR(__xludf.DUMMYFUNCTION("""COMPUTED_VALUE"""),"G-REQ-04201")</f>
        <v>G-REQ-04201</v>
      </c>
      <c r="B4202" s="11">
        <f>IFERROR(__xludf.DUMMYFUNCTION("""COMPUTED_VALUE"""),46060.31976740999)</f>
        <v>46060.31977</v>
      </c>
      <c r="C4202" s="9">
        <f>IFERROR(__xludf.DUMMYFUNCTION("""COMPUTED_VALUE"""),16219.0)</f>
        <v>16219</v>
      </c>
      <c r="D4202" s="9" t="str">
        <f>IFERROR(__xludf.DUMMYFUNCTION("""COMPUTED_VALUE"""),"Completed")</f>
        <v>Completed</v>
      </c>
    </row>
    <row r="4203">
      <c r="A4203" s="9" t="str">
        <f>IFERROR(__xludf.DUMMYFUNCTION("""COMPUTED_VALUE"""),"G-REQ-04202")</f>
        <v>G-REQ-04202</v>
      </c>
      <c r="B4203" s="11">
        <f>IFERROR(__xludf.DUMMYFUNCTION("""COMPUTED_VALUE"""),46060.3909422554)</f>
        <v>46060.39094</v>
      </c>
      <c r="C4203" s="9">
        <f>IFERROR(__xludf.DUMMYFUNCTION("""COMPUTED_VALUE"""),16223.0)</f>
        <v>16223</v>
      </c>
      <c r="D4203" s="9" t="str">
        <f>IFERROR(__xludf.DUMMYFUNCTION("""COMPUTED_VALUE"""),"Completed")</f>
        <v>Completed</v>
      </c>
    </row>
    <row r="4204">
      <c r="A4204" s="9" t="str">
        <f>IFERROR(__xludf.DUMMYFUNCTION("""COMPUTED_VALUE"""),"G-REQ-04203")</f>
        <v>G-REQ-04203</v>
      </c>
      <c r="B4204" s="11">
        <f>IFERROR(__xludf.DUMMYFUNCTION("""COMPUTED_VALUE"""),46060.46211710082)</f>
        <v>46060.46212</v>
      </c>
      <c r="C4204" s="9">
        <f>IFERROR(__xludf.DUMMYFUNCTION("""COMPUTED_VALUE"""),16227.0)</f>
        <v>16227</v>
      </c>
      <c r="D4204" s="9" t="str">
        <f>IFERROR(__xludf.DUMMYFUNCTION("""COMPUTED_VALUE"""),"Completed")</f>
        <v>Completed</v>
      </c>
    </row>
    <row r="4205">
      <c r="A4205" s="9" t="str">
        <f>IFERROR(__xludf.DUMMYFUNCTION("""COMPUTED_VALUE"""),"G-REQ-04204")</f>
        <v>G-REQ-04204</v>
      </c>
      <c r="B4205" s="11">
        <f>IFERROR(__xludf.DUMMYFUNCTION("""COMPUTED_VALUE"""),46060.53329194623)</f>
        <v>46060.53329</v>
      </c>
      <c r="C4205" s="9">
        <f>IFERROR(__xludf.DUMMYFUNCTION("""COMPUTED_VALUE"""),16231.0)</f>
        <v>16231</v>
      </c>
      <c r="D4205" s="9" t="str">
        <f>IFERROR(__xludf.DUMMYFUNCTION("""COMPUTED_VALUE"""),"Completed")</f>
        <v>Completed</v>
      </c>
    </row>
    <row r="4206">
      <c r="A4206" s="9" t="str">
        <f>IFERROR(__xludf.DUMMYFUNCTION("""COMPUTED_VALUE"""),"G-REQ-04205")</f>
        <v>G-REQ-04205</v>
      </c>
      <c r="B4206" s="11">
        <f>IFERROR(__xludf.DUMMYFUNCTION("""COMPUTED_VALUE"""),46060.5975223472)</f>
        <v>46060.59752</v>
      </c>
      <c r="C4206" s="9">
        <f>IFERROR(__xludf.DUMMYFUNCTION("""COMPUTED_VALUE"""),16233.0)</f>
        <v>16233</v>
      </c>
      <c r="D4206" s="9" t="str">
        <f>IFERROR(__xludf.DUMMYFUNCTION("""COMPUTED_VALUE"""),"Rejected")</f>
        <v>Rejected</v>
      </c>
    </row>
    <row r="4207">
      <c r="A4207" s="9" t="str">
        <f>IFERROR(__xludf.DUMMYFUNCTION("""COMPUTED_VALUE"""),"G-REQ-04206")</f>
        <v>G-REQ-04206</v>
      </c>
      <c r="B4207" s="11">
        <f>IFERROR(__xludf.DUMMYFUNCTION("""COMPUTED_VALUE"""),46060.67564163706)</f>
        <v>46060.67564</v>
      </c>
      <c r="C4207" s="9">
        <f>IFERROR(__xludf.DUMMYFUNCTION("""COMPUTED_VALUE"""),16237.0)</f>
        <v>16237</v>
      </c>
      <c r="D4207" s="9" t="str">
        <f>IFERROR(__xludf.DUMMYFUNCTION("""COMPUTED_VALUE"""),"Completed")</f>
        <v>Completed</v>
      </c>
    </row>
    <row r="4208">
      <c r="A4208" s="9" t="str">
        <f>IFERROR(__xludf.DUMMYFUNCTION("""COMPUTED_VALUE"""),"G-REQ-04207")</f>
        <v>G-REQ-04207</v>
      </c>
      <c r="B4208" s="11">
        <f>IFERROR(__xludf.DUMMYFUNCTION("""COMPUTED_VALUE"""),46060.74681648248)</f>
        <v>46060.74682</v>
      </c>
      <c r="C4208" s="9">
        <f>IFERROR(__xludf.DUMMYFUNCTION("""COMPUTED_VALUE"""),16241.0)</f>
        <v>16241</v>
      </c>
      <c r="D4208" s="9" t="str">
        <f>IFERROR(__xludf.DUMMYFUNCTION("""COMPUTED_VALUE"""),"Completed")</f>
        <v>Completed</v>
      </c>
    </row>
    <row r="4209">
      <c r="A4209" s="9" t="str">
        <f>IFERROR(__xludf.DUMMYFUNCTION("""COMPUTED_VALUE"""),"G-REQ-04208")</f>
        <v>G-REQ-04208</v>
      </c>
      <c r="B4209" s="11">
        <f>IFERROR(__xludf.DUMMYFUNCTION("""COMPUTED_VALUE"""),46060.81799132789)</f>
        <v>46060.81799</v>
      </c>
      <c r="C4209" s="9">
        <f>IFERROR(__xludf.DUMMYFUNCTION("""COMPUTED_VALUE"""),16245.0)</f>
        <v>16245</v>
      </c>
      <c r="D4209" s="9" t="str">
        <f>IFERROR(__xludf.DUMMYFUNCTION("""COMPUTED_VALUE"""),"Completed")</f>
        <v>Completed</v>
      </c>
    </row>
    <row r="4210">
      <c r="A4210" s="9" t="str">
        <f>IFERROR(__xludf.DUMMYFUNCTION("""COMPUTED_VALUE"""),"G-REQ-04209")</f>
        <v>G-REQ-04209</v>
      </c>
      <c r="B4210" s="11">
        <f>IFERROR(__xludf.DUMMYFUNCTION("""COMPUTED_VALUE"""),46060.88916617331)</f>
        <v>46060.88917</v>
      </c>
      <c r="C4210" s="9">
        <f>IFERROR(__xludf.DUMMYFUNCTION("""COMPUTED_VALUE"""),16249.0)</f>
        <v>16249</v>
      </c>
      <c r="D4210" s="9" t="str">
        <f>IFERROR(__xludf.DUMMYFUNCTION("""COMPUTED_VALUE"""),"Completed")</f>
        <v>Completed</v>
      </c>
    </row>
    <row r="4211">
      <c r="A4211" s="9" t="str">
        <f>IFERROR(__xludf.DUMMYFUNCTION("""COMPUTED_VALUE"""),"G-REQ-04210")</f>
        <v>G-REQ-04210</v>
      </c>
      <c r="B4211" s="11">
        <f>IFERROR(__xludf.DUMMYFUNCTION("""COMPUTED_VALUE"""),46060.96034101872)</f>
        <v>46060.96034</v>
      </c>
      <c r="C4211" s="9">
        <f>IFERROR(__xludf.DUMMYFUNCTION("""COMPUTED_VALUE"""),16253.0)</f>
        <v>16253</v>
      </c>
      <c r="D4211" s="9" t="str">
        <f>IFERROR(__xludf.DUMMYFUNCTION("""COMPUTED_VALUE"""),"Completed")</f>
        <v>Completed</v>
      </c>
    </row>
    <row r="4212">
      <c r="A4212" s="9" t="str">
        <f>IFERROR(__xludf.DUMMYFUNCTION("""COMPUTED_VALUE"""),"G-REQ-04211")</f>
        <v>G-REQ-04211</v>
      </c>
      <c r="B4212" s="11">
        <f>IFERROR(__xludf.DUMMYFUNCTION("""COMPUTED_VALUE"""),46061.03151586414)</f>
        <v>46061.03152</v>
      </c>
      <c r="C4212" s="9">
        <f>IFERROR(__xludf.DUMMYFUNCTION("""COMPUTED_VALUE"""),16257.0)</f>
        <v>16257</v>
      </c>
      <c r="D4212" s="9" t="str">
        <f>IFERROR(__xludf.DUMMYFUNCTION("""COMPUTED_VALUE"""),"Completed")</f>
        <v>Completed</v>
      </c>
    </row>
    <row r="4213">
      <c r="A4213" s="9" t="str">
        <f>IFERROR(__xludf.DUMMYFUNCTION("""COMPUTED_VALUE"""),"G-REQ-04212")</f>
        <v>G-REQ-04212</v>
      </c>
      <c r="B4213" s="11">
        <f>IFERROR(__xludf.DUMMYFUNCTION("""COMPUTED_VALUE"""),46061.10269070955)</f>
        <v>46061.10269</v>
      </c>
      <c r="C4213" s="9">
        <f>IFERROR(__xludf.DUMMYFUNCTION("""COMPUTED_VALUE"""),16261.0)</f>
        <v>16261</v>
      </c>
      <c r="D4213" s="9" t="str">
        <f>IFERROR(__xludf.DUMMYFUNCTION("""COMPUTED_VALUE"""),"Completed")</f>
        <v>Completed</v>
      </c>
    </row>
    <row r="4214">
      <c r="A4214" s="9" t="str">
        <f>IFERROR(__xludf.DUMMYFUNCTION("""COMPUTED_VALUE"""),"G-REQ-04213")</f>
        <v>G-REQ-04213</v>
      </c>
      <c r="B4214" s="11">
        <f>IFERROR(__xludf.DUMMYFUNCTION("""COMPUTED_VALUE"""),46061.17386555497)</f>
        <v>46061.17387</v>
      </c>
      <c r="C4214" s="9">
        <f>IFERROR(__xludf.DUMMYFUNCTION("""COMPUTED_VALUE"""),16265.0)</f>
        <v>16265</v>
      </c>
      <c r="D4214" s="9" t="str">
        <f>IFERROR(__xludf.DUMMYFUNCTION("""COMPUTED_VALUE"""),"Completed")</f>
        <v>Completed</v>
      </c>
    </row>
    <row r="4215">
      <c r="A4215" s="9" t="str">
        <f>IFERROR(__xludf.DUMMYFUNCTION("""COMPUTED_VALUE"""),"G-REQ-04214")</f>
        <v>G-REQ-04214</v>
      </c>
      <c r="B4215" s="11">
        <f>IFERROR(__xludf.DUMMYFUNCTION("""COMPUTED_VALUE"""),46061.245040400376)</f>
        <v>46061.24504</v>
      </c>
      <c r="C4215" s="9">
        <f>IFERROR(__xludf.DUMMYFUNCTION("""COMPUTED_VALUE"""),16269.0)</f>
        <v>16269</v>
      </c>
      <c r="D4215" s="9" t="str">
        <f>IFERROR(__xludf.DUMMYFUNCTION("""COMPUTED_VALUE"""),"Completed")</f>
        <v>Completed</v>
      </c>
    </row>
    <row r="4216">
      <c r="A4216" s="9" t="str">
        <f>IFERROR(__xludf.DUMMYFUNCTION("""COMPUTED_VALUE"""),"G-REQ-04215")</f>
        <v>G-REQ-04215</v>
      </c>
      <c r="B4216" s="11">
        <f>IFERROR(__xludf.DUMMYFUNCTION("""COMPUTED_VALUE"""),46061.316215245795)</f>
        <v>46061.31622</v>
      </c>
      <c r="C4216" s="9">
        <f>IFERROR(__xludf.DUMMYFUNCTION("""COMPUTED_VALUE"""),16273.0)</f>
        <v>16273</v>
      </c>
      <c r="D4216" s="9" t="str">
        <f>IFERROR(__xludf.DUMMYFUNCTION("""COMPUTED_VALUE"""),"Completed")</f>
        <v>Completed</v>
      </c>
    </row>
    <row r="4217">
      <c r="A4217" s="9" t="str">
        <f>IFERROR(__xludf.DUMMYFUNCTION("""COMPUTED_VALUE"""),"G-REQ-04216")</f>
        <v>G-REQ-04216</v>
      </c>
      <c r="B4217" s="11">
        <f>IFERROR(__xludf.DUMMYFUNCTION("""COMPUTED_VALUE"""),46061.387390091215)</f>
        <v>46061.38739</v>
      </c>
      <c r="C4217" s="9">
        <f>IFERROR(__xludf.DUMMYFUNCTION("""COMPUTED_VALUE"""),16277.0)</f>
        <v>16277</v>
      </c>
      <c r="D4217" s="9" t="str">
        <f>IFERROR(__xludf.DUMMYFUNCTION("""COMPUTED_VALUE"""),"Completed")</f>
        <v>Completed</v>
      </c>
    </row>
    <row r="4218">
      <c r="A4218" s="9" t="str">
        <f>IFERROR(__xludf.DUMMYFUNCTION("""COMPUTED_VALUE"""),"G-REQ-04217")</f>
        <v>G-REQ-04217</v>
      </c>
      <c r="B4218" s="11">
        <f>IFERROR(__xludf.DUMMYFUNCTION("""COMPUTED_VALUE"""),46061.45856493663)</f>
        <v>46061.45856</v>
      </c>
      <c r="C4218" s="9">
        <f>IFERROR(__xludf.DUMMYFUNCTION("""COMPUTED_VALUE"""),16281.0)</f>
        <v>16281</v>
      </c>
      <c r="D4218" s="9" t="str">
        <f>IFERROR(__xludf.DUMMYFUNCTION("""COMPUTED_VALUE"""),"Completed")</f>
        <v>Completed</v>
      </c>
    </row>
    <row r="4219">
      <c r="A4219" s="9" t="str">
        <f>IFERROR(__xludf.DUMMYFUNCTION("""COMPUTED_VALUE"""),"G-REQ-04218")</f>
        <v>G-REQ-04218</v>
      </c>
      <c r="B4219" s="11">
        <f>IFERROR(__xludf.DUMMYFUNCTION("""COMPUTED_VALUE"""),46061.52973978204)</f>
        <v>46061.52974</v>
      </c>
      <c r="C4219" s="9">
        <f>IFERROR(__xludf.DUMMYFUNCTION("""COMPUTED_VALUE"""),16285.0)</f>
        <v>16285</v>
      </c>
      <c r="D4219" s="9" t="str">
        <f>IFERROR(__xludf.DUMMYFUNCTION("""COMPUTED_VALUE"""),"Completed")</f>
        <v>Completed</v>
      </c>
    </row>
    <row r="4220">
      <c r="A4220" s="9" t="str">
        <f>IFERROR(__xludf.DUMMYFUNCTION("""COMPUTED_VALUE"""),"G-REQ-04219")</f>
        <v>G-REQ-04219</v>
      </c>
      <c r="B4220" s="11">
        <f>IFERROR(__xludf.DUMMYFUNCTION("""COMPUTED_VALUE"""),46061.60091462746)</f>
        <v>46061.60091</v>
      </c>
      <c r="C4220" s="9">
        <f>IFERROR(__xludf.DUMMYFUNCTION("""COMPUTED_VALUE"""),16289.0)</f>
        <v>16289</v>
      </c>
      <c r="D4220" s="9" t="str">
        <f>IFERROR(__xludf.DUMMYFUNCTION("""COMPUTED_VALUE"""),"Completed")</f>
        <v>Completed</v>
      </c>
    </row>
    <row r="4221">
      <c r="A4221" s="9" t="str">
        <f>IFERROR(__xludf.DUMMYFUNCTION("""COMPUTED_VALUE"""),"G-REQ-04220")</f>
        <v>G-REQ-04220</v>
      </c>
      <c r="B4221" s="11">
        <f>IFERROR(__xludf.DUMMYFUNCTION("""COMPUTED_VALUE"""),46061.67208947287)</f>
        <v>46061.67209</v>
      </c>
      <c r="C4221" s="9">
        <f>IFERROR(__xludf.DUMMYFUNCTION("""COMPUTED_VALUE"""),16293.0)</f>
        <v>16293</v>
      </c>
      <c r="D4221" s="9" t="str">
        <f>IFERROR(__xludf.DUMMYFUNCTION("""COMPUTED_VALUE"""),"Completed")</f>
        <v>Completed</v>
      </c>
    </row>
    <row r="4222">
      <c r="A4222" s="9" t="str">
        <f>IFERROR(__xludf.DUMMYFUNCTION("""COMPUTED_VALUE"""),"G-REQ-04221")</f>
        <v>G-REQ-04221</v>
      </c>
      <c r="B4222" s="11">
        <f>IFERROR(__xludf.DUMMYFUNCTION("""COMPUTED_VALUE"""),46061.73631987384)</f>
        <v>46061.73632</v>
      </c>
      <c r="C4222" s="9">
        <f>IFERROR(__xludf.DUMMYFUNCTION("""COMPUTED_VALUE"""),16295.0)</f>
        <v>16295</v>
      </c>
      <c r="D4222" s="9" t="str">
        <f>IFERROR(__xludf.DUMMYFUNCTION("""COMPUTED_VALUE"""),"Cancelled")</f>
        <v>Cancelled</v>
      </c>
    </row>
    <row r="4223">
      <c r="A4223" s="9" t="str">
        <f>IFERROR(__xludf.DUMMYFUNCTION("""COMPUTED_VALUE"""),"G-REQ-04222")</f>
        <v>G-REQ-04222</v>
      </c>
      <c r="B4223" s="11">
        <f>IFERROR(__xludf.DUMMYFUNCTION("""COMPUTED_VALUE"""),46061.8144391637)</f>
        <v>46061.81444</v>
      </c>
      <c r="C4223" s="9">
        <f>IFERROR(__xludf.DUMMYFUNCTION("""COMPUTED_VALUE"""),16299.0)</f>
        <v>16299</v>
      </c>
      <c r="D4223" s="9" t="str">
        <f>IFERROR(__xludf.DUMMYFUNCTION("""COMPUTED_VALUE"""),"Completed")</f>
        <v>Completed</v>
      </c>
    </row>
    <row r="4224">
      <c r="A4224" s="9" t="str">
        <f>IFERROR(__xludf.DUMMYFUNCTION("""COMPUTED_VALUE"""),"G-REQ-04223")</f>
        <v>G-REQ-04223</v>
      </c>
      <c r="B4224" s="11">
        <f>IFERROR(__xludf.DUMMYFUNCTION("""COMPUTED_VALUE"""),46061.88561400912)</f>
        <v>46061.88561</v>
      </c>
      <c r="C4224" s="9">
        <f>IFERROR(__xludf.DUMMYFUNCTION("""COMPUTED_VALUE"""),16303.0)</f>
        <v>16303</v>
      </c>
      <c r="D4224" s="9" t="str">
        <f>IFERROR(__xludf.DUMMYFUNCTION("""COMPUTED_VALUE"""),"Completed")</f>
        <v>Completed</v>
      </c>
    </row>
    <row r="4225">
      <c r="A4225" s="9" t="str">
        <f>IFERROR(__xludf.DUMMYFUNCTION("""COMPUTED_VALUE"""),"G-REQ-04224")</f>
        <v>G-REQ-04224</v>
      </c>
      <c r="B4225" s="11">
        <f>IFERROR(__xludf.DUMMYFUNCTION("""COMPUTED_VALUE"""),46061.94984441008)</f>
        <v>46061.94984</v>
      </c>
      <c r="C4225" s="9">
        <f>IFERROR(__xludf.DUMMYFUNCTION("""COMPUTED_VALUE"""),16305.0)</f>
        <v>16305</v>
      </c>
      <c r="D4225" s="9" t="str">
        <f>IFERROR(__xludf.DUMMYFUNCTION("""COMPUTED_VALUE"""),"Rejected")</f>
        <v>Rejected</v>
      </c>
    </row>
    <row r="4226">
      <c r="A4226" s="9" t="str">
        <f>IFERROR(__xludf.DUMMYFUNCTION("""COMPUTED_VALUE"""),"G-REQ-04225")</f>
        <v>G-REQ-04225</v>
      </c>
      <c r="B4226" s="11">
        <f>IFERROR(__xludf.DUMMYFUNCTION("""COMPUTED_VALUE"""),46062.02796369995)</f>
        <v>46062.02796</v>
      </c>
      <c r="C4226" s="9">
        <f>IFERROR(__xludf.DUMMYFUNCTION("""COMPUTED_VALUE"""),16309.0)</f>
        <v>16309</v>
      </c>
      <c r="D4226" s="9" t="str">
        <f>IFERROR(__xludf.DUMMYFUNCTION("""COMPUTED_VALUE"""),"Completed")</f>
        <v>Completed</v>
      </c>
    </row>
    <row r="4227">
      <c r="A4227" s="9" t="str">
        <f>IFERROR(__xludf.DUMMYFUNCTION("""COMPUTED_VALUE"""),"G-REQ-04226")</f>
        <v>G-REQ-04226</v>
      </c>
      <c r="B4227" s="11">
        <f>IFERROR(__xludf.DUMMYFUNCTION("""COMPUTED_VALUE"""),46062.09913854536)</f>
        <v>46062.09914</v>
      </c>
      <c r="C4227" s="9">
        <f>IFERROR(__xludf.DUMMYFUNCTION("""COMPUTED_VALUE"""),16313.0)</f>
        <v>16313</v>
      </c>
      <c r="D4227" s="9" t="str">
        <f>IFERROR(__xludf.DUMMYFUNCTION("""COMPUTED_VALUE"""),"Completed")</f>
        <v>Completed</v>
      </c>
    </row>
    <row r="4228">
      <c r="A4228" s="9" t="str">
        <f>IFERROR(__xludf.DUMMYFUNCTION("""COMPUTED_VALUE"""),"G-REQ-04227")</f>
        <v>G-REQ-04227</v>
      </c>
      <c r="B4228" s="11">
        <f>IFERROR(__xludf.DUMMYFUNCTION("""COMPUTED_VALUE"""),46062.17031339078)</f>
        <v>46062.17031</v>
      </c>
      <c r="C4228" s="9">
        <f>IFERROR(__xludf.DUMMYFUNCTION("""COMPUTED_VALUE"""),16317.0)</f>
        <v>16317</v>
      </c>
      <c r="D4228" s="9" t="str">
        <f>IFERROR(__xludf.DUMMYFUNCTION("""COMPUTED_VALUE"""),"Completed")</f>
        <v>Completed</v>
      </c>
    </row>
    <row r="4229">
      <c r="A4229" s="9" t="str">
        <f>IFERROR(__xludf.DUMMYFUNCTION("""COMPUTED_VALUE"""),"G-REQ-04228")</f>
        <v>G-REQ-04228</v>
      </c>
      <c r="B4229" s="11">
        <f>IFERROR(__xludf.DUMMYFUNCTION("""COMPUTED_VALUE"""),46062.24148823619)</f>
        <v>46062.24149</v>
      </c>
      <c r="C4229" s="9">
        <f>IFERROR(__xludf.DUMMYFUNCTION("""COMPUTED_VALUE"""),16321.0)</f>
        <v>16321</v>
      </c>
      <c r="D4229" s="9" t="str">
        <f>IFERROR(__xludf.DUMMYFUNCTION("""COMPUTED_VALUE"""),"Completed")</f>
        <v>Completed</v>
      </c>
    </row>
    <row r="4230">
      <c r="A4230" s="9" t="str">
        <f>IFERROR(__xludf.DUMMYFUNCTION("""COMPUTED_VALUE"""),"G-REQ-04229")</f>
        <v>G-REQ-04229</v>
      </c>
      <c r="B4230" s="11">
        <f>IFERROR(__xludf.DUMMYFUNCTION("""COMPUTED_VALUE"""),46062.31266308161)</f>
        <v>46062.31266</v>
      </c>
      <c r="C4230" s="9">
        <f>IFERROR(__xludf.DUMMYFUNCTION("""COMPUTED_VALUE"""),16325.0)</f>
        <v>16325</v>
      </c>
      <c r="D4230" s="9" t="str">
        <f>IFERROR(__xludf.DUMMYFUNCTION("""COMPUTED_VALUE"""),"Completed")</f>
        <v>Completed</v>
      </c>
    </row>
    <row r="4231">
      <c r="A4231" s="9" t="str">
        <f>IFERROR(__xludf.DUMMYFUNCTION("""COMPUTED_VALUE"""),"G-REQ-04230")</f>
        <v>G-REQ-04230</v>
      </c>
      <c r="B4231" s="11">
        <f>IFERROR(__xludf.DUMMYFUNCTION("""COMPUTED_VALUE"""),46062.383837927024)</f>
        <v>46062.38384</v>
      </c>
      <c r="C4231" s="9">
        <f>IFERROR(__xludf.DUMMYFUNCTION("""COMPUTED_VALUE"""),16329.0)</f>
        <v>16329</v>
      </c>
      <c r="D4231" s="9" t="str">
        <f>IFERROR(__xludf.DUMMYFUNCTION("""COMPUTED_VALUE"""),"Completed")</f>
        <v>Completed</v>
      </c>
    </row>
    <row r="4232">
      <c r="A4232" s="9" t="str">
        <f>IFERROR(__xludf.DUMMYFUNCTION("""COMPUTED_VALUE"""),"G-REQ-04231")</f>
        <v>G-REQ-04231</v>
      </c>
      <c r="B4232" s="11">
        <f>IFERROR(__xludf.DUMMYFUNCTION("""COMPUTED_VALUE"""),46062.455012772436)</f>
        <v>46062.45501</v>
      </c>
      <c r="C4232" s="9">
        <f>IFERROR(__xludf.DUMMYFUNCTION("""COMPUTED_VALUE"""),16333.0)</f>
        <v>16333</v>
      </c>
      <c r="D4232" s="9" t="str">
        <f>IFERROR(__xludf.DUMMYFUNCTION("""COMPUTED_VALUE"""),"Completed")</f>
        <v>Completed</v>
      </c>
    </row>
    <row r="4233">
      <c r="A4233" s="9" t="str">
        <f>IFERROR(__xludf.DUMMYFUNCTION("""COMPUTED_VALUE"""),"G-REQ-04232")</f>
        <v>G-REQ-04232</v>
      </c>
      <c r="B4233" s="11">
        <f>IFERROR(__xludf.DUMMYFUNCTION("""COMPUTED_VALUE"""),46062.51924317341)</f>
        <v>46062.51924</v>
      </c>
      <c r="C4233" s="9">
        <f>IFERROR(__xludf.DUMMYFUNCTION("""COMPUTED_VALUE"""),16335.0)</f>
        <v>16335</v>
      </c>
      <c r="D4233" s="9" t="str">
        <f>IFERROR(__xludf.DUMMYFUNCTION("""COMPUTED_VALUE"""),"Cancelled")</f>
        <v>Cancelled</v>
      </c>
    </row>
    <row r="4234">
      <c r="A4234" s="9" t="str">
        <f>IFERROR(__xludf.DUMMYFUNCTION("""COMPUTED_VALUE"""),"G-REQ-04233")</f>
        <v>G-REQ-04233</v>
      </c>
      <c r="B4234" s="11">
        <f>IFERROR(__xludf.DUMMYFUNCTION("""COMPUTED_VALUE"""),46062.59736246327)</f>
        <v>46062.59736</v>
      </c>
      <c r="C4234" s="9">
        <f>IFERROR(__xludf.DUMMYFUNCTION("""COMPUTED_VALUE"""),16339.0)</f>
        <v>16339</v>
      </c>
      <c r="D4234" s="9" t="str">
        <f>IFERROR(__xludf.DUMMYFUNCTION("""COMPUTED_VALUE"""),"Completed")</f>
        <v>Completed</v>
      </c>
    </row>
    <row r="4235">
      <c r="A4235" s="9" t="str">
        <f>IFERROR(__xludf.DUMMYFUNCTION("""COMPUTED_VALUE"""),"G-REQ-04234")</f>
        <v>G-REQ-04234</v>
      </c>
      <c r="B4235" s="11">
        <f>IFERROR(__xludf.DUMMYFUNCTION("""COMPUTED_VALUE"""),46062.66853730868)</f>
        <v>46062.66854</v>
      </c>
      <c r="C4235" s="9">
        <f>IFERROR(__xludf.DUMMYFUNCTION("""COMPUTED_VALUE"""),16343.0)</f>
        <v>16343</v>
      </c>
      <c r="D4235" s="9" t="str">
        <f>IFERROR(__xludf.DUMMYFUNCTION("""COMPUTED_VALUE"""),"Completed")</f>
        <v>Completed</v>
      </c>
    </row>
    <row r="4236">
      <c r="A4236" s="9" t="str">
        <f>IFERROR(__xludf.DUMMYFUNCTION("""COMPUTED_VALUE"""),"G-REQ-04235")</f>
        <v>G-REQ-04235</v>
      </c>
      <c r="B4236" s="11">
        <f>IFERROR(__xludf.DUMMYFUNCTION("""COMPUTED_VALUE"""),46062.7397121541)</f>
        <v>46062.73971</v>
      </c>
      <c r="C4236" s="9">
        <f>IFERROR(__xludf.DUMMYFUNCTION("""COMPUTED_VALUE"""),16347.0)</f>
        <v>16347</v>
      </c>
      <c r="D4236" s="9" t="str">
        <f>IFERROR(__xludf.DUMMYFUNCTION("""COMPUTED_VALUE"""),"Completed")</f>
        <v>Completed</v>
      </c>
    </row>
    <row r="4237">
      <c r="A4237" s="9" t="str">
        <f>IFERROR(__xludf.DUMMYFUNCTION("""COMPUTED_VALUE"""),"G-REQ-04236")</f>
        <v>G-REQ-04236</v>
      </c>
      <c r="B4237" s="11">
        <f>IFERROR(__xludf.DUMMYFUNCTION("""COMPUTED_VALUE"""),46062.81088699951)</f>
        <v>46062.81089</v>
      </c>
      <c r="C4237" s="9">
        <f>IFERROR(__xludf.DUMMYFUNCTION("""COMPUTED_VALUE"""),16351.0)</f>
        <v>16351</v>
      </c>
      <c r="D4237" s="9" t="str">
        <f>IFERROR(__xludf.DUMMYFUNCTION("""COMPUTED_VALUE"""),"Completed")</f>
        <v>Completed</v>
      </c>
    </row>
    <row r="4238">
      <c r="A4238" s="9" t="str">
        <f>IFERROR(__xludf.DUMMYFUNCTION("""COMPUTED_VALUE"""),"G-REQ-04237")</f>
        <v>G-REQ-04237</v>
      </c>
      <c r="B4238" s="11">
        <f>IFERROR(__xludf.DUMMYFUNCTION("""COMPUTED_VALUE"""),46062.882061844924)</f>
        <v>46062.88206</v>
      </c>
      <c r="C4238" s="9">
        <f>IFERROR(__xludf.DUMMYFUNCTION("""COMPUTED_VALUE"""),16355.0)</f>
        <v>16355</v>
      </c>
      <c r="D4238" s="9" t="str">
        <f>IFERROR(__xludf.DUMMYFUNCTION("""COMPUTED_VALUE"""),"Completed")</f>
        <v>Completed</v>
      </c>
    </row>
    <row r="4239">
      <c r="A4239" s="9" t="str">
        <f>IFERROR(__xludf.DUMMYFUNCTION("""COMPUTED_VALUE"""),"G-REQ-04238")</f>
        <v>G-REQ-04238</v>
      </c>
      <c r="B4239" s="11">
        <f>IFERROR(__xludf.DUMMYFUNCTION("""COMPUTED_VALUE"""),46062.953236690344)</f>
        <v>46062.95324</v>
      </c>
      <c r="C4239" s="9">
        <f>IFERROR(__xludf.DUMMYFUNCTION("""COMPUTED_VALUE"""),16359.0)</f>
        <v>16359</v>
      </c>
      <c r="D4239" s="9" t="str">
        <f>IFERROR(__xludf.DUMMYFUNCTION("""COMPUTED_VALUE"""),"Completed")</f>
        <v>Completed</v>
      </c>
    </row>
    <row r="4240">
      <c r="A4240" s="9" t="str">
        <f>IFERROR(__xludf.DUMMYFUNCTION("""COMPUTED_VALUE"""),"G-REQ-04239")</f>
        <v>G-REQ-04239</v>
      </c>
      <c r="B4240" s="11">
        <f>IFERROR(__xludf.DUMMYFUNCTION("""COMPUTED_VALUE"""),46063.024411535764)</f>
        <v>46063.02441</v>
      </c>
      <c r="C4240" s="9">
        <f>IFERROR(__xludf.DUMMYFUNCTION("""COMPUTED_VALUE"""),16363.0)</f>
        <v>16363</v>
      </c>
      <c r="D4240" s="9" t="str">
        <f>IFERROR(__xludf.DUMMYFUNCTION("""COMPUTED_VALUE"""),"Completed")</f>
        <v>Completed</v>
      </c>
    </row>
    <row r="4241">
      <c r="A4241" s="9" t="str">
        <f>IFERROR(__xludf.DUMMYFUNCTION("""COMPUTED_VALUE"""),"G-REQ-04240")</f>
        <v>G-REQ-04240</v>
      </c>
      <c r="B4241" s="11">
        <f>IFERROR(__xludf.DUMMYFUNCTION("""COMPUTED_VALUE"""),46063.09558638117)</f>
        <v>46063.09559</v>
      </c>
      <c r="C4241" s="9">
        <f>IFERROR(__xludf.DUMMYFUNCTION("""COMPUTED_VALUE"""),16367.0)</f>
        <v>16367</v>
      </c>
      <c r="D4241" s="9" t="str">
        <f>IFERROR(__xludf.DUMMYFUNCTION("""COMPUTED_VALUE"""),"Completed")</f>
        <v>Completed</v>
      </c>
    </row>
    <row r="4242">
      <c r="A4242" s="9" t="str">
        <f>IFERROR(__xludf.DUMMYFUNCTION("""COMPUTED_VALUE"""),"G-REQ-04241")</f>
        <v>G-REQ-04241</v>
      </c>
      <c r="B4242" s="11">
        <f>IFERROR(__xludf.DUMMYFUNCTION("""COMPUTED_VALUE"""),46063.16676122659)</f>
        <v>46063.16676</v>
      </c>
      <c r="C4242" s="9">
        <f>IFERROR(__xludf.DUMMYFUNCTION("""COMPUTED_VALUE"""),16371.0)</f>
        <v>16371</v>
      </c>
      <c r="D4242" s="9" t="str">
        <f>IFERROR(__xludf.DUMMYFUNCTION("""COMPUTED_VALUE"""),"Completed")</f>
        <v>Completed</v>
      </c>
    </row>
    <row r="4243">
      <c r="A4243" s="9" t="str">
        <f>IFERROR(__xludf.DUMMYFUNCTION("""COMPUTED_VALUE"""),"G-REQ-04242")</f>
        <v>G-REQ-04242</v>
      </c>
      <c r="B4243" s="11">
        <f>IFERROR(__xludf.DUMMYFUNCTION("""COMPUTED_VALUE"""),46063.23793607201)</f>
        <v>46063.23794</v>
      </c>
      <c r="C4243" s="9">
        <f>IFERROR(__xludf.DUMMYFUNCTION("""COMPUTED_VALUE"""),16375.0)</f>
        <v>16375</v>
      </c>
      <c r="D4243" s="9" t="str">
        <f>IFERROR(__xludf.DUMMYFUNCTION("""COMPUTED_VALUE"""),"Completed")</f>
        <v>Completed</v>
      </c>
    </row>
    <row r="4244">
      <c r="A4244" s="9" t="str">
        <f>IFERROR(__xludf.DUMMYFUNCTION("""COMPUTED_VALUE"""),"G-REQ-04243")</f>
        <v>G-REQ-04243</v>
      </c>
      <c r="B4244" s="11">
        <f>IFERROR(__xludf.DUMMYFUNCTION("""COMPUTED_VALUE"""),46063.30911091742)</f>
        <v>46063.30911</v>
      </c>
      <c r="C4244" s="9">
        <f>IFERROR(__xludf.DUMMYFUNCTION("""COMPUTED_VALUE"""),16379.0)</f>
        <v>16379</v>
      </c>
      <c r="D4244" s="9" t="str">
        <f>IFERROR(__xludf.DUMMYFUNCTION("""COMPUTED_VALUE"""),"Completed")</f>
        <v>Completed</v>
      </c>
    </row>
    <row r="4245">
      <c r="A4245" s="9" t="str">
        <f>IFERROR(__xludf.DUMMYFUNCTION("""COMPUTED_VALUE"""),"G-REQ-04244")</f>
        <v>G-REQ-04244</v>
      </c>
      <c r="B4245" s="11">
        <f>IFERROR(__xludf.DUMMYFUNCTION("""COMPUTED_VALUE"""),46063.37334131839)</f>
        <v>46063.37334</v>
      </c>
      <c r="C4245" s="9">
        <f>IFERROR(__xludf.DUMMYFUNCTION("""COMPUTED_VALUE"""),16381.0)</f>
        <v>16381</v>
      </c>
      <c r="D4245" s="9" t="str">
        <f>IFERROR(__xludf.DUMMYFUNCTION("""COMPUTED_VALUE"""),"Cancelled")</f>
        <v>Cancelled</v>
      </c>
    </row>
    <row r="4246">
      <c r="A4246" s="9" t="str">
        <f>IFERROR(__xludf.DUMMYFUNCTION("""COMPUTED_VALUE"""),"G-REQ-04245")</f>
        <v>G-REQ-04245</v>
      </c>
      <c r="B4246" s="11">
        <f>IFERROR(__xludf.DUMMYFUNCTION("""COMPUTED_VALUE"""),46063.45146060825)</f>
        <v>46063.45146</v>
      </c>
      <c r="C4246" s="9">
        <f>IFERROR(__xludf.DUMMYFUNCTION("""COMPUTED_VALUE"""),16385.0)</f>
        <v>16385</v>
      </c>
      <c r="D4246" s="9" t="str">
        <f>IFERROR(__xludf.DUMMYFUNCTION("""COMPUTED_VALUE"""),"Completed")</f>
        <v>Completed</v>
      </c>
    </row>
    <row r="4247">
      <c r="A4247" s="9" t="str">
        <f>IFERROR(__xludf.DUMMYFUNCTION("""COMPUTED_VALUE"""),"G-REQ-04246")</f>
        <v>G-REQ-04246</v>
      </c>
      <c r="B4247" s="11">
        <f>IFERROR(__xludf.DUMMYFUNCTION("""COMPUTED_VALUE"""),46063.522635453664)</f>
        <v>46063.52264</v>
      </c>
      <c r="C4247" s="9">
        <f>IFERROR(__xludf.DUMMYFUNCTION("""COMPUTED_VALUE"""),16389.0)</f>
        <v>16389</v>
      </c>
      <c r="D4247" s="9" t="str">
        <f>IFERROR(__xludf.DUMMYFUNCTION("""COMPUTED_VALUE"""),"Completed")</f>
        <v>Completed</v>
      </c>
    </row>
    <row r="4248">
      <c r="A4248" s="9" t="str">
        <f>IFERROR(__xludf.DUMMYFUNCTION("""COMPUTED_VALUE"""),"G-REQ-04247")</f>
        <v>G-REQ-04247</v>
      </c>
      <c r="B4248" s="11">
        <f>IFERROR(__xludf.DUMMYFUNCTION("""COMPUTED_VALUE"""),46063.59381029908)</f>
        <v>46063.59381</v>
      </c>
      <c r="C4248" s="9">
        <f>IFERROR(__xludf.DUMMYFUNCTION("""COMPUTED_VALUE"""),16393.0)</f>
        <v>16393</v>
      </c>
      <c r="D4248" s="9" t="str">
        <f>IFERROR(__xludf.DUMMYFUNCTION("""COMPUTED_VALUE"""),"Completed")</f>
        <v>Completed</v>
      </c>
    </row>
    <row r="4249">
      <c r="A4249" s="9" t="str">
        <f>IFERROR(__xludf.DUMMYFUNCTION("""COMPUTED_VALUE"""),"G-REQ-04248")</f>
        <v>G-REQ-04248</v>
      </c>
      <c r="B4249" s="11">
        <f>IFERROR(__xludf.DUMMYFUNCTION("""COMPUTED_VALUE"""),46063.664985144496)</f>
        <v>46063.66499</v>
      </c>
      <c r="C4249" s="9">
        <f>IFERROR(__xludf.DUMMYFUNCTION("""COMPUTED_VALUE"""),16397.0)</f>
        <v>16397</v>
      </c>
      <c r="D4249" s="9" t="str">
        <f>IFERROR(__xludf.DUMMYFUNCTION("""COMPUTED_VALUE"""),"Completed")</f>
        <v>Completed</v>
      </c>
    </row>
    <row r="4250">
      <c r="A4250" s="9" t="str">
        <f>IFERROR(__xludf.DUMMYFUNCTION("""COMPUTED_VALUE"""),"G-REQ-04249")</f>
        <v>G-REQ-04249</v>
      </c>
      <c r="B4250" s="11">
        <f>IFERROR(__xludf.DUMMYFUNCTION("""COMPUTED_VALUE"""),46063.73615998991)</f>
        <v>46063.73616</v>
      </c>
      <c r="C4250" s="9">
        <f>IFERROR(__xludf.DUMMYFUNCTION("""COMPUTED_VALUE"""),16401.0)</f>
        <v>16401</v>
      </c>
      <c r="D4250" s="9" t="str">
        <f>IFERROR(__xludf.DUMMYFUNCTION("""COMPUTED_VALUE"""),"Completed")</f>
        <v>Completed</v>
      </c>
    </row>
    <row r="4251">
      <c r="A4251" s="9" t="str">
        <f>IFERROR(__xludf.DUMMYFUNCTION("""COMPUTED_VALUE"""),"G-REQ-04250")</f>
        <v>G-REQ-04250</v>
      </c>
      <c r="B4251" s="11">
        <f>IFERROR(__xludf.DUMMYFUNCTION("""COMPUTED_VALUE"""),46063.80733483532)</f>
        <v>46063.80733</v>
      </c>
      <c r="C4251" s="9">
        <f>IFERROR(__xludf.DUMMYFUNCTION("""COMPUTED_VALUE"""),16405.0)</f>
        <v>16405</v>
      </c>
      <c r="D4251" s="9" t="str">
        <f>IFERROR(__xludf.DUMMYFUNCTION("""COMPUTED_VALUE"""),"Completed")</f>
        <v>Completed</v>
      </c>
    </row>
    <row r="4252">
      <c r="A4252" s="9" t="str">
        <f>IFERROR(__xludf.DUMMYFUNCTION("""COMPUTED_VALUE"""),"G-REQ-04251")</f>
        <v>G-REQ-04251</v>
      </c>
      <c r="B4252" s="11">
        <f>IFERROR(__xludf.DUMMYFUNCTION("""COMPUTED_VALUE"""),46063.871565236295)</f>
        <v>46063.87157</v>
      </c>
      <c r="C4252" s="9">
        <f>IFERROR(__xludf.DUMMYFUNCTION("""COMPUTED_VALUE"""),16407.0)</f>
        <v>16407</v>
      </c>
      <c r="D4252" s="9" t="str">
        <f>IFERROR(__xludf.DUMMYFUNCTION("""COMPUTED_VALUE"""),"Cancelled")</f>
        <v>Cancelled</v>
      </c>
    </row>
    <row r="4253">
      <c r="A4253" s="9" t="str">
        <f>IFERROR(__xludf.DUMMYFUNCTION("""COMPUTED_VALUE"""),"G-REQ-04252")</f>
        <v>G-REQ-04252</v>
      </c>
      <c r="B4253" s="11">
        <f>IFERROR(__xludf.DUMMYFUNCTION("""COMPUTED_VALUE"""),46063.94968452615)</f>
        <v>46063.94968</v>
      </c>
      <c r="C4253" s="9">
        <f>IFERROR(__xludf.DUMMYFUNCTION("""COMPUTED_VALUE"""),16411.0)</f>
        <v>16411</v>
      </c>
      <c r="D4253" s="9" t="str">
        <f>IFERROR(__xludf.DUMMYFUNCTION("""COMPUTED_VALUE"""),"Completed")</f>
        <v>Completed</v>
      </c>
    </row>
    <row r="4254">
      <c r="A4254" s="9" t="str">
        <f>IFERROR(__xludf.DUMMYFUNCTION("""COMPUTED_VALUE"""),"G-REQ-04253")</f>
        <v>G-REQ-04253</v>
      </c>
      <c r="B4254" s="11">
        <f>IFERROR(__xludf.DUMMYFUNCTION("""COMPUTED_VALUE"""),46064.020859371565)</f>
        <v>46064.02086</v>
      </c>
      <c r="C4254" s="9">
        <f>IFERROR(__xludf.DUMMYFUNCTION("""COMPUTED_VALUE"""),16415.0)</f>
        <v>16415</v>
      </c>
      <c r="D4254" s="9" t="str">
        <f>IFERROR(__xludf.DUMMYFUNCTION("""COMPUTED_VALUE"""),"Completed")</f>
        <v>Completed</v>
      </c>
    </row>
    <row r="4255">
      <c r="A4255" s="9" t="str">
        <f>IFERROR(__xludf.DUMMYFUNCTION("""COMPUTED_VALUE"""),"G-REQ-04254")</f>
        <v>G-REQ-04254</v>
      </c>
      <c r="B4255" s="11">
        <f>IFERROR(__xludf.DUMMYFUNCTION("""COMPUTED_VALUE"""),46064.092034216985)</f>
        <v>46064.09203</v>
      </c>
      <c r="C4255" s="9">
        <f>IFERROR(__xludf.DUMMYFUNCTION("""COMPUTED_VALUE"""),16419.0)</f>
        <v>16419</v>
      </c>
      <c r="D4255" s="9" t="str">
        <f>IFERROR(__xludf.DUMMYFUNCTION("""COMPUTED_VALUE"""),"Completed")</f>
        <v>Completed</v>
      </c>
    </row>
    <row r="4256">
      <c r="A4256" s="9" t="str">
        <f>IFERROR(__xludf.DUMMYFUNCTION("""COMPUTED_VALUE"""),"G-REQ-04255")</f>
        <v>G-REQ-04255</v>
      </c>
      <c r="B4256" s="11">
        <f>IFERROR(__xludf.DUMMYFUNCTION("""COMPUTED_VALUE"""),46064.163209062404)</f>
        <v>46064.16321</v>
      </c>
      <c r="C4256" s="9">
        <f>IFERROR(__xludf.DUMMYFUNCTION("""COMPUTED_VALUE"""),16423.0)</f>
        <v>16423</v>
      </c>
      <c r="D4256" s="9" t="str">
        <f>IFERROR(__xludf.DUMMYFUNCTION("""COMPUTED_VALUE"""),"Completed")</f>
        <v>Completed</v>
      </c>
    </row>
    <row r="4257">
      <c r="A4257" s="9" t="str">
        <f>IFERROR(__xludf.DUMMYFUNCTION("""COMPUTED_VALUE"""),"G-REQ-04256")</f>
        <v>G-REQ-04256</v>
      </c>
      <c r="B4257" s="11">
        <f>IFERROR(__xludf.DUMMYFUNCTION("""COMPUTED_VALUE"""),46064.23438390781)</f>
        <v>46064.23438</v>
      </c>
      <c r="C4257" s="9">
        <f>IFERROR(__xludf.DUMMYFUNCTION("""COMPUTED_VALUE"""),16427.0)</f>
        <v>16427</v>
      </c>
      <c r="D4257" s="9" t="str">
        <f>IFERROR(__xludf.DUMMYFUNCTION("""COMPUTED_VALUE"""),"Completed")</f>
        <v>Completed</v>
      </c>
    </row>
    <row r="4258">
      <c r="A4258" s="9" t="str">
        <f>IFERROR(__xludf.DUMMYFUNCTION("""COMPUTED_VALUE"""),"G-REQ-04257")</f>
        <v>G-REQ-04257</v>
      </c>
      <c r="B4258" s="11">
        <f>IFERROR(__xludf.DUMMYFUNCTION("""COMPUTED_VALUE"""),46064.30555875323)</f>
        <v>46064.30556</v>
      </c>
      <c r="C4258" s="9">
        <f>IFERROR(__xludf.DUMMYFUNCTION("""COMPUTED_VALUE"""),16431.0)</f>
        <v>16431</v>
      </c>
      <c r="D4258" s="9" t="str">
        <f>IFERROR(__xludf.DUMMYFUNCTION("""COMPUTED_VALUE"""),"Completed")</f>
        <v>Completed</v>
      </c>
    </row>
    <row r="4259">
      <c r="A4259" s="9" t="str">
        <f>IFERROR(__xludf.DUMMYFUNCTION("""COMPUTED_VALUE"""),"G-REQ-04258")</f>
        <v>G-REQ-04258</v>
      </c>
      <c r="B4259" s="11">
        <f>IFERROR(__xludf.DUMMYFUNCTION("""COMPUTED_VALUE"""),46064.37673359865)</f>
        <v>46064.37673</v>
      </c>
      <c r="C4259" s="9">
        <f>IFERROR(__xludf.DUMMYFUNCTION("""COMPUTED_VALUE"""),16435.0)</f>
        <v>16435</v>
      </c>
      <c r="D4259" s="9" t="str">
        <f>IFERROR(__xludf.DUMMYFUNCTION("""COMPUTED_VALUE"""),"Completed")</f>
        <v>Completed</v>
      </c>
    </row>
    <row r="4260">
      <c r="A4260" s="9" t="str">
        <f>IFERROR(__xludf.DUMMYFUNCTION("""COMPUTED_VALUE"""),"G-REQ-04259")</f>
        <v>G-REQ-04259</v>
      </c>
      <c r="B4260" s="11">
        <f>IFERROR(__xludf.DUMMYFUNCTION("""COMPUTED_VALUE"""),46064.440963999616)</f>
        <v>46064.44096</v>
      </c>
      <c r="C4260" s="9">
        <f>IFERROR(__xludf.DUMMYFUNCTION("""COMPUTED_VALUE"""),16437.0)</f>
        <v>16437</v>
      </c>
      <c r="D4260" s="9" t="str">
        <f>IFERROR(__xludf.DUMMYFUNCTION("""COMPUTED_VALUE"""),"Rejected")</f>
        <v>Rejected</v>
      </c>
    </row>
    <row r="4261">
      <c r="A4261" s="9" t="str">
        <f>IFERROR(__xludf.DUMMYFUNCTION("""COMPUTED_VALUE"""),"G-REQ-04260")</f>
        <v>G-REQ-04260</v>
      </c>
      <c r="B4261" s="11">
        <f>IFERROR(__xludf.DUMMYFUNCTION("""COMPUTED_VALUE"""),46064.51908328947)</f>
        <v>46064.51908</v>
      </c>
      <c r="C4261" s="9">
        <f>IFERROR(__xludf.DUMMYFUNCTION("""COMPUTED_VALUE"""),16441.0)</f>
        <v>16441</v>
      </c>
      <c r="D4261" s="9" t="str">
        <f>IFERROR(__xludf.DUMMYFUNCTION("""COMPUTED_VALUE"""),"Completed")</f>
        <v>Completed</v>
      </c>
    </row>
    <row r="4262">
      <c r="A4262" s="9" t="str">
        <f>IFERROR(__xludf.DUMMYFUNCTION("""COMPUTED_VALUE"""),"G-REQ-04261")</f>
        <v>G-REQ-04261</v>
      </c>
      <c r="B4262" s="11">
        <f>IFERROR(__xludf.DUMMYFUNCTION("""COMPUTED_VALUE"""),46064.59025813489)</f>
        <v>46064.59026</v>
      </c>
      <c r="C4262" s="9">
        <f>IFERROR(__xludf.DUMMYFUNCTION("""COMPUTED_VALUE"""),16445.0)</f>
        <v>16445</v>
      </c>
      <c r="D4262" s="9" t="str">
        <f>IFERROR(__xludf.DUMMYFUNCTION("""COMPUTED_VALUE"""),"Completed")</f>
        <v>Completed</v>
      </c>
    </row>
    <row r="4263">
      <c r="A4263" s="9" t="str">
        <f>IFERROR(__xludf.DUMMYFUNCTION("""COMPUTED_VALUE"""),"G-REQ-04262")</f>
        <v>G-REQ-04262</v>
      </c>
      <c r="B4263" s="11">
        <f>IFERROR(__xludf.DUMMYFUNCTION("""COMPUTED_VALUE"""),46064.65448853586)</f>
        <v>46064.65449</v>
      </c>
      <c r="C4263" s="9">
        <f>IFERROR(__xludf.DUMMYFUNCTION("""COMPUTED_VALUE"""),16447.0)</f>
        <v>16447</v>
      </c>
      <c r="D4263" s="9" t="str">
        <f>IFERROR(__xludf.DUMMYFUNCTION("""COMPUTED_VALUE"""),"Cancelled")</f>
        <v>Cancelled</v>
      </c>
    </row>
    <row r="4264">
      <c r="A4264" s="9" t="str">
        <f>IFERROR(__xludf.DUMMYFUNCTION("""COMPUTED_VALUE"""),"G-REQ-04263")</f>
        <v>G-REQ-04263</v>
      </c>
      <c r="B4264" s="11">
        <f>IFERROR(__xludf.DUMMYFUNCTION("""COMPUTED_VALUE"""),46064.73260782572)</f>
        <v>46064.73261</v>
      </c>
      <c r="C4264" s="9">
        <f>IFERROR(__xludf.DUMMYFUNCTION("""COMPUTED_VALUE"""),16451.0)</f>
        <v>16451</v>
      </c>
      <c r="D4264" s="9" t="str">
        <f>IFERROR(__xludf.DUMMYFUNCTION("""COMPUTED_VALUE"""),"Completed")</f>
        <v>Completed</v>
      </c>
    </row>
    <row r="4265">
      <c r="A4265" s="9" t="str">
        <f>IFERROR(__xludf.DUMMYFUNCTION("""COMPUTED_VALUE"""),"G-REQ-04264")</f>
        <v>G-REQ-04264</v>
      </c>
      <c r="B4265" s="11">
        <f>IFERROR(__xludf.DUMMYFUNCTION("""COMPUTED_VALUE"""),46064.80378267114)</f>
        <v>46064.80378</v>
      </c>
      <c r="C4265" s="9">
        <f>IFERROR(__xludf.DUMMYFUNCTION("""COMPUTED_VALUE"""),16455.0)</f>
        <v>16455</v>
      </c>
      <c r="D4265" s="9" t="str">
        <f>IFERROR(__xludf.DUMMYFUNCTION("""COMPUTED_VALUE"""),"Completed")</f>
        <v>Completed</v>
      </c>
    </row>
    <row r="4266">
      <c r="A4266" s="9" t="str">
        <f>IFERROR(__xludf.DUMMYFUNCTION("""COMPUTED_VALUE"""),"G-REQ-04265")</f>
        <v>G-REQ-04265</v>
      </c>
      <c r="B4266" s="11">
        <f>IFERROR(__xludf.DUMMYFUNCTION("""COMPUTED_VALUE"""),46064.87495751655)</f>
        <v>46064.87496</v>
      </c>
      <c r="C4266" s="9">
        <f>IFERROR(__xludf.DUMMYFUNCTION("""COMPUTED_VALUE"""),16459.0)</f>
        <v>16459</v>
      </c>
      <c r="D4266" s="9" t="str">
        <f>IFERROR(__xludf.DUMMYFUNCTION("""COMPUTED_VALUE"""),"Completed")</f>
        <v>Completed</v>
      </c>
    </row>
    <row r="4267">
      <c r="A4267" s="9" t="str">
        <f>IFERROR(__xludf.DUMMYFUNCTION("""COMPUTED_VALUE"""),"G-REQ-04266")</f>
        <v>G-REQ-04266</v>
      </c>
      <c r="B4267" s="11">
        <f>IFERROR(__xludf.DUMMYFUNCTION("""COMPUTED_VALUE"""),46064.93918791752)</f>
        <v>46064.93919</v>
      </c>
      <c r="C4267" s="9">
        <f>IFERROR(__xludf.DUMMYFUNCTION("""COMPUTED_VALUE"""),16461.0)</f>
        <v>16461</v>
      </c>
      <c r="D4267" s="9" t="str">
        <f>IFERROR(__xludf.DUMMYFUNCTION("""COMPUTED_VALUE"""),"Rejected")</f>
        <v>Rejected</v>
      </c>
    </row>
    <row r="4268">
      <c r="A4268" s="9" t="str">
        <f>IFERROR(__xludf.DUMMYFUNCTION("""COMPUTED_VALUE"""),"G-REQ-04267")</f>
        <v>G-REQ-04267</v>
      </c>
      <c r="B4268" s="11">
        <f>IFERROR(__xludf.DUMMYFUNCTION("""COMPUTED_VALUE"""),46065.01730720738)</f>
        <v>46065.01731</v>
      </c>
      <c r="C4268" s="9">
        <f>IFERROR(__xludf.DUMMYFUNCTION("""COMPUTED_VALUE"""),16465.0)</f>
        <v>16465</v>
      </c>
      <c r="D4268" s="9" t="str">
        <f>IFERROR(__xludf.DUMMYFUNCTION("""COMPUTED_VALUE"""),"Completed")</f>
        <v>Completed</v>
      </c>
    </row>
    <row r="4269">
      <c r="A4269" s="9" t="str">
        <f>IFERROR(__xludf.DUMMYFUNCTION("""COMPUTED_VALUE"""),"G-REQ-04268")</f>
        <v>G-REQ-04268</v>
      </c>
      <c r="B4269" s="11">
        <f>IFERROR(__xludf.DUMMYFUNCTION("""COMPUTED_VALUE"""),46065.08848205279)</f>
        <v>46065.08848</v>
      </c>
      <c r="C4269" s="9">
        <f>IFERROR(__xludf.DUMMYFUNCTION("""COMPUTED_VALUE"""),16469.0)</f>
        <v>16469</v>
      </c>
      <c r="D4269" s="9" t="str">
        <f>IFERROR(__xludf.DUMMYFUNCTION("""COMPUTED_VALUE"""),"Completed")</f>
        <v>Completed</v>
      </c>
    </row>
    <row r="4270">
      <c r="A4270" s="9" t="str">
        <f>IFERROR(__xludf.DUMMYFUNCTION("""COMPUTED_VALUE"""),"G-REQ-04269")</f>
        <v>G-REQ-04269</v>
      </c>
      <c r="B4270" s="11">
        <f>IFERROR(__xludf.DUMMYFUNCTION("""COMPUTED_VALUE"""),46065.159656898206)</f>
        <v>46065.15966</v>
      </c>
      <c r="C4270" s="9">
        <f>IFERROR(__xludf.DUMMYFUNCTION("""COMPUTED_VALUE"""),16473.0)</f>
        <v>16473</v>
      </c>
      <c r="D4270" s="9" t="str">
        <f>IFERROR(__xludf.DUMMYFUNCTION("""COMPUTED_VALUE"""),"Completed")</f>
        <v>Completed</v>
      </c>
    </row>
    <row r="4271">
      <c r="A4271" s="9" t="str">
        <f>IFERROR(__xludf.DUMMYFUNCTION("""COMPUTED_VALUE"""),"G-REQ-04270")</f>
        <v>G-REQ-04270</v>
      </c>
      <c r="B4271" s="11">
        <f>IFERROR(__xludf.DUMMYFUNCTION("""COMPUTED_VALUE"""),46065.22388729918)</f>
        <v>46065.22389</v>
      </c>
      <c r="C4271" s="9">
        <f>IFERROR(__xludf.DUMMYFUNCTION("""COMPUTED_VALUE"""),16475.0)</f>
        <v>16475</v>
      </c>
      <c r="D4271" s="9" t="str">
        <f>IFERROR(__xludf.DUMMYFUNCTION("""COMPUTED_VALUE"""),"Cancelled")</f>
        <v>Cancelled</v>
      </c>
    </row>
    <row r="4272">
      <c r="A4272" s="9" t="str">
        <f>IFERROR(__xludf.DUMMYFUNCTION("""COMPUTED_VALUE"""),"G-REQ-04271")</f>
        <v>G-REQ-04271</v>
      </c>
      <c r="B4272" s="11">
        <f>IFERROR(__xludf.DUMMYFUNCTION("""COMPUTED_VALUE"""),46065.2950621446)</f>
        <v>46065.29506</v>
      </c>
      <c r="C4272" s="9">
        <f>IFERROR(__xludf.DUMMYFUNCTION("""COMPUTED_VALUE"""),16477.0)</f>
        <v>16477</v>
      </c>
      <c r="D4272" s="9" t="str">
        <f>IFERROR(__xludf.DUMMYFUNCTION("""COMPUTED_VALUE"""),"Cancelled")</f>
        <v>Cancelled</v>
      </c>
    </row>
    <row r="4273">
      <c r="A4273" s="9" t="str">
        <f>IFERROR(__xludf.DUMMYFUNCTION("""COMPUTED_VALUE"""),"G-REQ-04272")</f>
        <v>G-REQ-04272</v>
      </c>
      <c r="B4273" s="11">
        <f>IFERROR(__xludf.DUMMYFUNCTION("""COMPUTED_VALUE"""),46065.37318143446)</f>
        <v>46065.37318</v>
      </c>
      <c r="C4273" s="9">
        <f>IFERROR(__xludf.DUMMYFUNCTION("""COMPUTED_VALUE"""),16481.0)</f>
        <v>16481</v>
      </c>
      <c r="D4273" s="9" t="str">
        <f>IFERROR(__xludf.DUMMYFUNCTION("""COMPUTED_VALUE"""),"Completed")</f>
        <v>Completed</v>
      </c>
    </row>
    <row r="4274">
      <c r="A4274" s="9" t="str">
        <f>IFERROR(__xludf.DUMMYFUNCTION("""COMPUTED_VALUE"""),"G-REQ-04273")</f>
        <v>G-REQ-04273</v>
      </c>
      <c r="B4274" s="11">
        <f>IFERROR(__xludf.DUMMYFUNCTION("""COMPUTED_VALUE"""),46065.44435627987)</f>
        <v>46065.44436</v>
      </c>
      <c r="C4274" s="9">
        <f>IFERROR(__xludf.DUMMYFUNCTION("""COMPUTED_VALUE"""),16485.0)</f>
        <v>16485</v>
      </c>
      <c r="D4274" s="9" t="str">
        <f>IFERROR(__xludf.DUMMYFUNCTION("""COMPUTED_VALUE"""),"Completed")</f>
        <v>Completed</v>
      </c>
    </row>
    <row r="4275">
      <c r="A4275" s="9" t="str">
        <f>IFERROR(__xludf.DUMMYFUNCTION("""COMPUTED_VALUE"""),"G-REQ-04274")</f>
        <v>G-REQ-04274</v>
      </c>
      <c r="B4275" s="11">
        <f>IFERROR(__xludf.DUMMYFUNCTION("""COMPUTED_VALUE"""),46065.508586680844)</f>
        <v>46065.50859</v>
      </c>
      <c r="C4275" s="9">
        <f>IFERROR(__xludf.DUMMYFUNCTION("""COMPUTED_VALUE"""),16487.0)</f>
        <v>16487</v>
      </c>
      <c r="D4275" s="9" t="str">
        <f>IFERROR(__xludf.DUMMYFUNCTION("""COMPUTED_VALUE"""),"Rejected")</f>
        <v>Rejected</v>
      </c>
    </row>
    <row r="4276">
      <c r="A4276" s="9" t="str">
        <f>IFERROR(__xludf.DUMMYFUNCTION("""COMPUTED_VALUE"""),"G-REQ-04275")</f>
        <v>G-REQ-04275</v>
      </c>
      <c r="B4276" s="11">
        <f>IFERROR(__xludf.DUMMYFUNCTION("""COMPUTED_VALUE"""),46065.5867059707)</f>
        <v>46065.58671</v>
      </c>
      <c r="C4276" s="9">
        <f>IFERROR(__xludf.DUMMYFUNCTION("""COMPUTED_VALUE"""),16491.0)</f>
        <v>16491</v>
      </c>
      <c r="D4276" s="9" t="str">
        <f>IFERROR(__xludf.DUMMYFUNCTION("""COMPUTED_VALUE"""),"Completed")</f>
        <v>Completed</v>
      </c>
    </row>
    <row r="4277">
      <c r="A4277" s="9" t="str">
        <f>IFERROR(__xludf.DUMMYFUNCTION("""COMPUTED_VALUE"""),"G-REQ-04276")</f>
        <v>G-REQ-04276</v>
      </c>
      <c r="B4277" s="11">
        <f>IFERROR(__xludf.DUMMYFUNCTION("""COMPUTED_VALUE"""),46065.657880816114)</f>
        <v>46065.65788</v>
      </c>
      <c r="C4277" s="9">
        <f>IFERROR(__xludf.DUMMYFUNCTION("""COMPUTED_VALUE"""),16495.0)</f>
        <v>16495</v>
      </c>
      <c r="D4277" s="9" t="str">
        <f>IFERROR(__xludf.DUMMYFUNCTION("""COMPUTED_VALUE"""),"Completed")</f>
        <v>Completed</v>
      </c>
    </row>
    <row r="4278">
      <c r="A4278" s="9" t="str">
        <f>IFERROR(__xludf.DUMMYFUNCTION("""COMPUTED_VALUE"""),"G-REQ-04277")</f>
        <v>G-REQ-04277</v>
      </c>
      <c r="B4278" s="11">
        <f>IFERROR(__xludf.DUMMYFUNCTION("""COMPUTED_VALUE"""),46065.72905566153)</f>
        <v>46065.72906</v>
      </c>
      <c r="C4278" s="9">
        <f>IFERROR(__xludf.DUMMYFUNCTION("""COMPUTED_VALUE"""),16499.0)</f>
        <v>16499</v>
      </c>
      <c r="D4278" s="9" t="str">
        <f>IFERROR(__xludf.DUMMYFUNCTION("""COMPUTED_VALUE"""),"Completed")</f>
        <v>Completed</v>
      </c>
    </row>
    <row r="4279">
      <c r="A4279" s="9" t="str">
        <f>IFERROR(__xludf.DUMMYFUNCTION("""COMPUTED_VALUE"""),"G-REQ-04278")</f>
        <v>G-REQ-04278</v>
      </c>
      <c r="B4279" s="11">
        <f>IFERROR(__xludf.DUMMYFUNCTION("""COMPUTED_VALUE"""),46065.800230506946)</f>
        <v>46065.80023</v>
      </c>
      <c r="C4279" s="9">
        <f>IFERROR(__xludf.DUMMYFUNCTION("""COMPUTED_VALUE"""),16503.0)</f>
        <v>16503</v>
      </c>
      <c r="D4279" s="9" t="str">
        <f>IFERROR(__xludf.DUMMYFUNCTION("""COMPUTED_VALUE"""),"Completed")</f>
        <v>Completed</v>
      </c>
    </row>
    <row r="4280">
      <c r="A4280" s="9" t="str">
        <f>IFERROR(__xludf.DUMMYFUNCTION("""COMPUTED_VALUE"""),"G-REQ-04279")</f>
        <v>G-REQ-04279</v>
      </c>
      <c r="B4280" s="11">
        <f>IFERROR(__xludf.DUMMYFUNCTION("""COMPUTED_VALUE"""),46065.87140535236)</f>
        <v>46065.87141</v>
      </c>
      <c r="C4280" s="9">
        <f>IFERROR(__xludf.DUMMYFUNCTION("""COMPUTED_VALUE"""),16507.0)</f>
        <v>16507</v>
      </c>
      <c r="D4280" s="9" t="str">
        <f>IFERROR(__xludf.DUMMYFUNCTION("""COMPUTED_VALUE"""),"Completed")</f>
        <v>Completed</v>
      </c>
    </row>
    <row r="4281">
      <c r="A4281" s="9" t="str">
        <f>IFERROR(__xludf.DUMMYFUNCTION("""COMPUTED_VALUE"""),"G-REQ-04280")</f>
        <v>G-REQ-04280</v>
      </c>
      <c r="B4281" s="11">
        <f>IFERROR(__xludf.DUMMYFUNCTION("""COMPUTED_VALUE"""),46065.94258019778)</f>
        <v>46065.94258</v>
      </c>
      <c r="C4281" s="9">
        <f>IFERROR(__xludf.DUMMYFUNCTION("""COMPUTED_VALUE"""),16511.0)</f>
        <v>16511</v>
      </c>
      <c r="D4281" s="9" t="str">
        <f>IFERROR(__xludf.DUMMYFUNCTION("""COMPUTED_VALUE"""),"Completed")</f>
        <v>Completed</v>
      </c>
    </row>
    <row r="4282">
      <c r="A4282" s="9" t="str">
        <f>IFERROR(__xludf.DUMMYFUNCTION("""COMPUTED_VALUE"""),"G-REQ-04281")</f>
        <v>G-REQ-04281</v>
      </c>
      <c r="B4282" s="11">
        <f>IFERROR(__xludf.DUMMYFUNCTION("""COMPUTED_VALUE"""),46066.006810598745)</f>
        <v>46066.00681</v>
      </c>
      <c r="C4282" s="9">
        <f>IFERROR(__xludf.DUMMYFUNCTION("""COMPUTED_VALUE"""),16513.0)</f>
        <v>16513</v>
      </c>
      <c r="D4282" s="9" t="str">
        <f>IFERROR(__xludf.DUMMYFUNCTION("""COMPUTED_VALUE"""),"Rejected")</f>
        <v>Rejected</v>
      </c>
    </row>
    <row r="4283">
      <c r="A4283" s="9" t="str">
        <f>IFERROR(__xludf.DUMMYFUNCTION("""COMPUTED_VALUE"""),"G-REQ-04282")</f>
        <v>G-REQ-04282</v>
      </c>
      <c r="B4283" s="11">
        <f>IFERROR(__xludf.DUMMYFUNCTION("""COMPUTED_VALUE"""),46066.0849298886)</f>
        <v>46066.08493</v>
      </c>
      <c r="C4283" s="9">
        <f>IFERROR(__xludf.DUMMYFUNCTION("""COMPUTED_VALUE"""),16517.0)</f>
        <v>16517</v>
      </c>
      <c r="D4283" s="9" t="str">
        <f>IFERROR(__xludf.DUMMYFUNCTION("""COMPUTED_VALUE"""),"Completed")</f>
        <v>Completed</v>
      </c>
    </row>
    <row r="4284">
      <c r="A4284" s="9" t="str">
        <f>IFERROR(__xludf.DUMMYFUNCTION("""COMPUTED_VALUE"""),"G-REQ-04283")</f>
        <v>G-REQ-04283</v>
      </c>
      <c r="B4284" s="11">
        <f>IFERROR(__xludf.DUMMYFUNCTION("""COMPUTED_VALUE"""),46066.15610473402)</f>
        <v>46066.1561</v>
      </c>
      <c r="C4284" s="9">
        <f>IFERROR(__xludf.DUMMYFUNCTION("""COMPUTED_VALUE"""),16521.0)</f>
        <v>16521</v>
      </c>
      <c r="D4284" s="9" t="str">
        <f>IFERROR(__xludf.DUMMYFUNCTION("""COMPUTED_VALUE"""),"Completed")</f>
        <v>Completed</v>
      </c>
    </row>
    <row r="4285">
      <c r="A4285" s="9" t="str">
        <f>IFERROR(__xludf.DUMMYFUNCTION("""COMPUTED_VALUE"""),"G-REQ-04284")</f>
        <v>G-REQ-04284</v>
      </c>
      <c r="B4285" s="11">
        <f>IFERROR(__xludf.DUMMYFUNCTION("""COMPUTED_VALUE"""),46066.22727957944)</f>
        <v>46066.22728</v>
      </c>
      <c r="C4285" s="9">
        <f>IFERROR(__xludf.DUMMYFUNCTION("""COMPUTED_VALUE"""),16525.0)</f>
        <v>16525</v>
      </c>
      <c r="D4285" s="9" t="str">
        <f>IFERROR(__xludf.DUMMYFUNCTION("""COMPUTED_VALUE"""),"Completed")</f>
        <v>Completed</v>
      </c>
    </row>
    <row r="4286">
      <c r="A4286" s="9" t="str">
        <f>IFERROR(__xludf.DUMMYFUNCTION("""COMPUTED_VALUE"""),"G-REQ-04285")</f>
        <v>G-REQ-04285</v>
      </c>
      <c r="B4286" s="11">
        <f>IFERROR(__xludf.DUMMYFUNCTION("""COMPUTED_VALUE"""),46066.2915099804)</f>
        <v>46066.29151</v>
      </c>
      <c r="C4286" s="9">
        <f>IFERROR(__xludf.DUMMYFUNCTION("""COMPUTED_VALUE"""),16527.0)</f>
        <v>16527</v>
      </c>
      <c r="D4286" s="9" t="str">
        <f>IFERROR(__xludf.DUMMYFUNCTION("""COMPUTED_VALUE"""),"Rejected")</f>
        <v>Rejected</v>
      </c>
    </row>
    <row r="4287">
      <c r="A4287" s="9" t="str">
        <f>IFERROR(__xludf.DUMMYFUNCTION("""COMPUTED_VALUE"""),"G-REQ-04286")</f>
        <v>G-REQ-04286</v>
      </c>
      <c r="B4287" s="11">
        <f>IFERROR(__xludf.DUMMYFUNCTION("""COMPUTED_VALUE"""),46066.369629270266)</f>
        <v>46066.36963</v>
      </c>
      <c r="C4287" s="9">
        <f>IFERROR(__xludf.DUMMYFUNCTION("""COMPUTED_VALUE"""),16531.0)</f>
        <v>16531</v>
      </c>
      <c r="D4287" s="9" t="str">
        <f>IFERROR(__xludf.DUMMYFUNCTION("""COMPUTED_VALUE"""),"Completed")</f>
        <v>Completed</v>
      </c>
    </row>
    <row r="4288">
      <c r="A4288" s="9" t="str">
        <f>IFERROR(__xludf.DUMMYFUNCTION("""COMPUTED_VALUE"""),"G-REQ-04287")</f>
        <v>G-REQ-04287</v>
      </c>
      <c r="B4288" s="11">
        <f>IFERROR(__xludf.DUMMYFUNCTION("""COMPUTED_VALUE"""),46066.440804115686)</f>
        <v>46066.4408</v>
      </c>
      <c r="C4288" s="9">
        <f>IFERROR(__xludf.DUMMYFUNCTION("""COMPUTED_VALUE"""),16535.0)</f>
        <v>16535</v>
      </c>
      <c r="D4288" s="9" t="str">
        <f>IFERROR(__xludf.DUMMYFUNCTION("""COMPUTED_VALUE"""),"Completed")</f>
        <v>Completed</v>
      </c>
    </row>
    <row r="4289">
      <c r="A4289" s="9" t="str">
        <f>IFERROR(__xludf.DUMMYFUNCTION("""COMPUTED_VALUE"""),"G-REQ-04288")</f>
        <v>G-REQ-04288</v>
      </c>
      <c r="B4289" s="11">
        <f>IFERROR(__xludf.DUMMYFUNCTION("""COMPUTED_VALUE"""),46066.5119789611)</f>
        <v>46066.51198</v>
      </c>
      <c r="C4289" s="9">
        <f>IFERROR(__xludf.DUMMYFUNCTION("""COMPUTED_VALUE"""),16539.0)</f>
        <v>16539</v>
      </c>
      <c r="D4289" s="9" t="str">
        <f>IFERROR(__xludf.DUMMYFUNCTION("""COMPUTED_VALUE"""),"Completed")</f>
        <v>Completed</v>
      </c>
    </row>
    <row r="4290">
      <c r="A4290" s="9" t="str">
        <f>IFERROR(__xludf.DUMMYFUNCTION("""COMPUTED_VALUE"""),"G-REQ-04289")</f>
        <v>G-REQ-04289</v>
      </c>
      <c r="B4290" s="11">
        <f>IFERROR(__xludf.DUMMYFUNCTION("""COMPUTED_VALUE"""),46066.58315380651)</f>
        <v>46066.58315</v>
      </c>
      <c r="C4290" s="9">
        <f>IFERROR(__xludf.DUMMYFUNCTION("""COMPUTED_VALUE"""),16543.0)</f>
        <v>16543</v>
      </c>
      <c r="D4290" s="9" t="str">
        <f>IFERROR(__xludf.DUMMYFUNCTION("""COMPUTED_VALUE"""),"Completed")</f>
        <v>Completed</v>
      </c>
    </row>
    <row r="4291">
      <c r="A4291" s="9" t="str">
        <f>IFERROR(__xludf.DUMMYFUNCTION("""COMPUTED_VALUE"""),"G-REQ-04290")</f>
        <v>G-REQ-04290</v>
      </c>
      <c r="B4291" s="11">
        <f>IFERROR(__xludf.DUMMYFUNCTION("""COMPUTED_VALUE"""),46066.65432865193)</f>
        <v>46066.65433</v>
      </c>
      <c r="C4291" s="9">
        <f>IFERROR(__xludf.DUMMYFUNCTION("""COMPUTED_VALUE"""),16547.0)</f>
        <v>16547</v>
      </c>
      <c r="D4291" s="9" t="str">
        <f>IFERROR(__xludf.DUMMYFUNCTION("""COMPUTED_VALUE"""),"Completed")</f>
        <v>Completed</v>
      </c>
    </row>
    <row r="4292">
      <c r="A4292" s="9" t="str">
        <f>IFERROR(__xludf.DUMMYFUNCTION("""COMPUTED_VALUE"""),"G-REQ-04291")</f>
        <v>G-REQ-04291</v>
      </c>
      <c r="B4292" s="11">
        <f>IFERROR(__xludf.DUMMYFUNCTION("""COMPUTED_VALUE"""),46066.72550349734)</f>
        <v>46066.7255</v>
      </c>
      <c r="C4292" s="9">
        <f>IFERROR(__xludf.DUMMYFUNCTION("""COMPUTED_VALUE"""),16551.0)</f>
        <v>16551</v>
      </c>
      <c r="D4292" s="9" t="str">
        <f>IFERROR(__xludf.DUMMYFUNCTION("""COMPUTED_VALUE"""),"Completed")</f>
        <v>Completed</v>
      </c>
    </row>
    <row r="4293">
      <c r="A4293" s="9" t="str">
        <f>IFERROR(__xludf.DUMMYFUNCTION("""COMPUTED_VALUE"""),"G-REQ-04292")</f>
        <v>G-REQ-04292</v>
      </c>
      <c r="B4293" s="11">
        <f>IFERROR(__xludf.DUMMYFUNCTION("""COMPUTED_VALUE"""),46066.796678342755)</f>
        <v>46066.79668</v>
      </c>
      <c r="C4293" s="9">
        <f>IFERROR(__xludf.DUMMYFUNCTION("""COMPUTED_VALUE"""),16555.0)</f>
        <v>16555</v>
      </c>
      <c r="D4293" s="9" t="str">
        <f>IFERROR(__xludf.DUMMYFUNCTION("""COMPUTED_VALUE"""),"Completed")</f>
        <v>Completed</v>
      </c>
    </row>
    <row r="4294">
      <c r="A4294" s="9" t="str">
        <f>IFERROR(__xludf.DUMMYFUNCTION("""COMPUTED_VALUE"""),"G-REQ-04293")</f>
        <v>G-REQ-04293</v>
      </c>
      <c r="B4294" s="11">
        <f>IFERROR(__xludf.DUMMYFUNCTION("""COMPUTED_VALUE"""),46066.867853188174)</f>
        <v>46066.86785</v>
      </c>
      <c r="C4294" s="9">
        <f>IFERROR(__xludf.DUMMYFUNCTION("""COMPUTED_VALUE"""),16559.0)</f>
        <v>16559</v>
      </c>
      <c r="D4294" s="9" t="str">
        <f>IFERROR(__xludf.DUMMYFUNCTION("""COMPUTED_VALUE"""),"Completed")</f>
        <v>Completed</v>
      </c>
    </row>
    <row r="4295">
      <c r="A4295" s="9" t="str">
        <f>IFERROR(__xludf.DUMMYFUNCTION("""COMPUTED_VALUE"""),"G-REQ-04294")</f>
        <v>G-REQ-04294</v>
      </c>
      <c r="B4295" s="11">
        <f>IFERROR(__xludf.DUMMYFUNCTION("""COMPUTED_VALUE"""),46066.93902803359)</f>
        <v>46066.93903</v>
      </c>
      <c r="C4295" s="9">
        <f>IFERROR(__xludf.DUMMYFUNCTION("""COMPUTED_VALUE"""),16563.0)</f>
        <v>16563</v>
      </c>
      <c r="D4295" s="9" t="str">
        <f>IFERROR(__xludf.DUMMYFUNCTION("""COMPUTED_VALUE"""),"Completed")</f>
        <v>Completed</v>
      </c>
    </row>
    <row r="4296">
      <c r="A4296" s="9" t="str">
        <f>IFERROR(__xludf.DUMMYFUNCTION("""COMPUTED_VALUE"""),"G-REQ-04295")</f>
        <v>G-REQ-04295</v>
      </c>
      <c r="B4296" s="11">
        <f>IFERROR(__xludf.DUMMYFUNCTION("""COMPUTED_VALUE"""),46067.010202879)</f>
        <v>46067.0102</v>
      </c>
      <c r="C4296" s="9">
        <f>IFERROR(__xludf.DUMMYFUNCTION("""COMPUTED_VALUE"""),16567.0)</f>
        <v>16567</v>
      </c>
      <c r="D4296" s="9" t="str">
        <f>IFERROR(__xludf.DUMMYFUNCTION("""COMPUTED_VALUE"""),"Completed")</f>
        <v>Completed</v>
      </c>
    </row>
    <row r="4297">
      <c r="A4297" s="9" t="str">
        <f>IFERROR(__xludf.DUMMYFUNCTION("""COMPUTED_VALUE"""),"G-REQ-04296")</f>
        <v>G-REQ-04296</v>
      </c>
      <c r="B4297" s="11">
        <f>IFERROR(__xludf.DUMMYFUNCTION("""COMPUTED_VALUE"""),46067.07443327997)</f>
        <v>46067.07443</v>
      </c>
      <c r="C4297" s="9">
        <f>IFERROR(__xludf.DUMMYFUNCTION("""COMPUTED_VALUE"""),16569.0)</f>
        <v>16569</v>
      </c>
      <c r="D4297" s="9" t="str">
        <f>IFERROR(__xludf.DUMMYFUNCTION("""COMPUTED_VALUE"""),"Rejected")</f>
        <v>Rejected</v>
      </c>
    </row>
    <row r="4298">
      <c r="A4298" s="9" t="str">
        <f>IFERROR(__xludf.DUMMYFUNCTION("""COMPUTED_VALUE"""),"G-REQ-04297")</f>
        <v>G-REQ-04297</v>
      </c>
      <c r="B4298" s="11">
        <f>IFERROR(__xludf.DUMMYFUNCTION("""COMPUTED_VALUE"""),46067.15255256983)</f>
        <v>46067.15255</v>
      </c>
      <c r="C4298" s="9">
        <f>IFERROR(__xludf.DUMMYFUNCTION("""COMPUTED_VALUE"""),16573.0)</f>
        <v>16573</v>
      </c>
      <c r="D4298" s="9" t="str">
        <f>IFERROR(__xludf.DUMMYFUNCTION("""COMPUTED_VALUE"""),"Completed")</f>
        <v>Completed</v>
      </c>
    </row>
    <row r="4299">
      <c r="A4299" s="9" t="str">
        <f>IFERROR(__xludf.DUMMYFUNCTION("""COMPUTED_VALUE"""),"G-REQ-04298")</f>
        <v>G-REQ-04298</v>
      </c>
      <c r="B4299" s="11">
        <f>IFERROR(__xludf.DUMMYFUNCTION("""COMPUTED_VALUE"""),46067.2167829708)</f>
        <v>46067.21678</v>
      </c>
      <c r="C4299" s="9">
        <f>IFERROR(__xludf.DUMMYFUNCTION("""COMPUTED_VALUE"""),16575.0)</f>
        <v>16575</v>
      </c>
      <c r="D4299" s="9" t="str">
        <f>IFERROR(__xludf.DUMMYFUNCTION("""COMPUTED_VALUE"""),"Rejected")</f>
        <v>Rejected</v>
      </c>
    </row>
    <row r="4300">
      <c r="A4300" s="9" t="str">
        <f>IFERROR(__xludf.DUMMYFUNCTION("""COMPUTED_VALUE"""),"G-REQ-04299")</f>
        <v>G-REQ-04299</v>
      </c>
      <c r="B4300" s="11">
        <f>IFERROR(__xludf.DUMMYFUNCTION("""COMPUTED_VALUE"""),46067.28795781622)</f>
        <v>46067.28796</v>
      </c>
      <c r="C4300" s="9">
        <f>IFERROR(__xludf.DUMMYFUNCTION("""COMPUTED_VALUE"""),16577.0)</f>
        <v>16577</v>
      </c>
      <c r="D4300" s="9" t="str">
        <f>IFERROR(__xludf.DUMMYFUNCTION("""COMPUTED_VALUE"""),"Rejected")</f>
        <v>Rejected</v>
      </c>
    </row>
    <row r="4301">
      <c r="A4301" s="9" t="str">
        <f>IFERROR(__xludf.DUMMYFUNCTION("""COMPUTED_VALUE"""),"G-REQ-04300")</f>
        <v>G-REQ-04300</v>
      </c>
      <c r="B4301" s="11">
        <f>IFERROR(__xludf.DUMMYFUNCTION("""COMPUTED_VALUE"""),46067.36607710608)</f>
        <v>46067.36608</v>
      </c>
      <c r="C4301" s="9">
        <f>IFERROR(__xludf.DUMMYFUNCTION("""COMPUTED_VALUE"""),16581.0)</f>
        <v>16581</v>
      </c>
      <c r="D4301" s="9" t="str">
        <f>IFERROR(__xludf.DUMMYFUNCTION("""COMPUTED_VALUE"""),"Completed")</f>
        <v>Completed</v>
      </c>
    </row>
    <row r="4302">
      <c r="A4302" s="9" t="str">
        <f>IFERROR(__xludf.DUMMYFUNCTION("""COMPUTED_VALUE"""),"G-REQ-04301")</f>
        <v>G-REQ-04301</v>
      </c>
      <c r="B4302" s="11">
        <f>IFERROR(__xludf.DUMMYFUNCTION("""COMPUTED_VALUE"""),46067.43725195149)</f>
        <v>46067.43725</v>
      </c>
      <c r="C4302" s="9">
        <f>IFERROR(__xludf.DUMMYFUNCTION("""COMPUTED_VALUE"""),16585.0)</f>
        <v>16585</v>
      </c>
      <c r="D4302" s="9" t="str">
        <f>IFERROR(__xludf.DUMMYFUNCTION("""COMPUTED_VALUE"""),"Completed")</f>
        <v>Completed</v>
      </c>
    </row>
    <row r="4303">
      <c r="A4303" s="9" t="str">
        <f>IFERROR(__xludf.DUMMYFUNCTION("""COMPUTED_VALUE"""),"G-REQ-04302")</f>
        <v>G-REQ-04302</v>
      </c>
      <c r="B4303" s="11">
        <f>IFERROR(__xludf.DUMMYFUNCTION("""COMPUTED_VALUE"""),46067.50842679691)</f>
        <v>46067.50843</v>
      </c>
      <c r="C4303" s="9">
        <f>IFERROR(__xludf.DUMMYFUNCTION("""COMPUTED_VALUE"""),16589.0)</f>
        <v>16589</v>
      </c>
      <c r="D4303" s="9" t="str">
        <f>IFERROR(__xludf.DUMMYFUNCTION("""COMPUTED_VALUE"""),"Completed")</f>
        <v>Completed</v>
      </c>
    </row>
    <row r="4304">
      <c r="A4304" s="9" t="str">
        <f>IFERROR(__xludf.DUMMYFUNCTION("""COMPUTED_VALUE"""),"G-REQ-04303")</f>
        <v>G-REQ-04303</v>
      </c>
      <c r="B4304" s="11">
        <f>IFERROR(__xludf.DUMMYFUNCTION("""COMPUTED_VALUE"""),46067.57960164233)</f>
        <v>46067.5796</v>
      </c>
      <c r="C4304" s="9">
        <f>IFERROR(__xludf.DUMMYFUNCTION("""COMPUTED_VALUE"""),16593.0)</f>
        <v>16593</v>
      </c>
      <c r="D4304" s="9" t="str">
        <f>IFERROR(__xludf.DUMMYFUNCTION("""COMPUTED_VALUE"""),"Completed")</f>
        <v>Completed</v>
      </c>
    </row>
    <row r="4305">
      <c r="A4305" s="9" t="str">
        <f>IFERROR(__xludf.DUMMYFUNCTION("""COMPUTED_VALUE"""),"G-REQ-04304")</f>
        <v>G-REQ-04304</v>
      </c>
      <c r="B4305" s="11">
        <f>IFERROR(__xludf.DUMMYFUNCTION("""COMPUTED_VALUE"""),46067.64383204329)</f>
        <v>46067.64383</v>
      </c>
      <c r="C4305" s="9">
        <f>IFERROR(__xludf.DUMMYFUNCTION("""COMPUTED_VALUE"""),16595.0)</f>
        <v>16595</v>
      </c>
      <c r="D4305" s="9" t="str">
        <f>IFERROR(__xludf.DUMMYFUNCTION("""COMPUTED_VALUE"""),"Cancelled")</f>
        <v>Cancelled</v>
      </c>
    </row>
    <row r="4306">
      <c r="A4306" s="9" t="str">
        <f>IFERROR(__xludf.DUMMYFUNCTION("""COMPUTED_VALUE"""),"G-REQ-04305")</f>
        <v>G-REQ-04305</v>
      </c>
      <c r="B4306" s="11">
        <f>IFERROR(__xludf.DUMMYFUNCTION("""COMPUTED_VALUE"""),46067.72195133315)</f>
        <v>46067.72195</v>
      </c>
      <c r="C4306" s="9">
        <f>IFERROR(__xludf.DUMMYFUNCTION("""COMPUTED_VALUE"""),16599.0)</f>
        <v>16599</v>
      </c>
      <c r="D4306" s="9" t="str">
        <f>IFERROR(__xludf.DUMMYFUNCTION("""COMPUTED_VALUE"""),"Completed")</f>
        <v>Completed</v>
      </c>
    </row>
    <row r="4307">
      <c r="A4307" s="9" t="str">
        <f>IFERROR(__xludf.DUMMYFUNCTION("""COMPUTED_VALUE"""),"G-REQ-04306")</f>
        <v>G-REQ-04306</v>
      </c>
      <c r="B4307" s="11">
        <f>IFERROR(__xludf.DUMMYFUNCTION("""COMPUTED_VALUE"""),46067.79312617857)</f>
        <v>46067.79313</v>
      </c>
      <c r="C4307" s="9">
        <f>IFERROR(__xludf.DUMMYFUNCTION("""COMPUTED_VALUE"""),16603.0)</f>
        <v>16603</v>
      </c>
      <c r="D4307" s="9" t="str">
        <f>IFERROR(__xludf.DUMMYFUNCTION("""COMPUTED_VALUE"""),"Completed")</f>
        <v>Completed</v>
      </c>
    </row>
    <row r="4308">
      <c r="A4308" s="9" t="str">
        <f>IFERROR(__xludf.DUMMYFUNCTION("""COMPUTED_VALUE"""),"G-REQ-04307")</f>
        <v>G-REQ-04307</v>
      </c>
      <c r="B4308" s="11">
        <f>IFERROR(__xludf.DUMMYFUNCTION("""COMPUTED_VALUE"""),46067.86430102398)</f>
        <v>46067.8643</v>
      </c>
      <c r="C4308" s="9">
        <f>IFERROR(__xludf.DUMMYFUNCTION("""COMPUTED_VALUE"""),16607.0)</f>
        <v>16607</v>
      </c>
      <c r="D4308" s="9" t="str">
        <f>IFERROR(__xludf.DUMMYFUNCTION("""COMPUTED_VALUE"""),"Completed")</f>
        <v>Completed</v>
      </c>
    </row>
    <row r="4309">
      <c r="A4309" s="9" t="str">
        <f>IFERROR(__xludf.DUMMYFUNCTION("""COMPUTED_VALUE"""),"G-REQ-04308")</f>
        <v>G-REQ-04308</v>
      </c>
      <c r="B4309" s="11">
        <f>IFERROR(__xludf.DUMMYFUNCTION("""COMPUTED_VALUE"""),46067.935475869395)</f>
        <v>46067.93548</v>
      </c>
      <c r="C4309" s="9">
        <f>IFERROR(__xludf.DUMMYFUNCTION("""COMPUTED_VALUE"""),16611.0)</f>
        <v>16611</v>
      </c>
      <c r="D4309" s="9" t="str">
        <f>IFERROR(__xludf.DUMMYFUNCTION("""COMPUTED_VALUE"""),"Completed")</f>
        <v>Completed</v>
      </c>
    </row>
    <row r="4310">
      <c r="A4310" s="9" t="str">
        <f>IFERROR(__xludf.DUMMYFUNCTION("""COMPUTED_VALUE"""),"G-REQ-04309")</f>
        <v>G-REQ-04309</v>
      </c>
      <c r="B4310" s="11">
        <f>IFERROR(__xludf.DUMMYFUNCTION("""COMPUTED_VALUE"""),46068.006650714815)</f>
        <v>46068.00665</v>
      </c>
      <c r="C4310" s="9">
        <f>IFERROR(__xludf.DUMMYFUNCTION("""COMPUTED_VALUE"""),16615.0)</f>
        <v>16615</v>
      </c>
      <c r="D4310" s="9" t="str">
        <f>IFERROR(__xludf.DUMMYFUNCTION("""COMPUTED_VALUE"""),"Completed")</f>
        <v>Completed</v>
      </c>
    </row>
    <row r="4311">
      <c r="A4311" s="9" t="str">
        <f>IFERROR(__xludf.DUMMYFUNCTION("""COMPUTED_VALUE"""),"G-REQ-04310")</f>
        <v>G-REQ-04310</v>
      </c>
      <c r="B4311" s="11">
        <f>IFERROR(__xludf.DUMMYFUNCTION("""COMPUTED_VALUE"""),46068.07782556023)</f>
        <v>46068.07783</v>
      </c>
      <c r="C4311" s="9">
        <f>IFERROR(__xludf.DUMMYFUNCTION("""COMPUTED_VALUE"""),16619.0)</f>
        <v>16619</v>
      </c>
      <c r="D4311" s="9" t="str">
        <f>IFERROR(__xludf.DUMMYFUNCTION("""COMPUTED_VALUE"""),"Completed")</f>
        <v>Completed</v>
      </c>
    </row>
    <row r="4312">
      <c r="A4312" s="9" t="str">
        <f>IFERROR(__xludf.DUMMYFUNCTION("""COMPUTED_VALUE"""),"G-REQ-04311")</f>
        <v>G-REQ-04311</v>
      </c>
      <c r="B4312" s="11">
        <f>IFERROR(__xludf.DUMMYFUNCTION("""COMPUTED_VALUE"""),46068.14900040564)</f>
        <v>46068.149</v>
      </c>
      <c r="C4312" s="9">
        <f>IFERROR(__xludf.DUMMYFUNCTION("""COMPUTED_VALUE"""),16623.0)</f>
        <v>16623</v>
      </c>
      <c r="D4312" s="9" t="str">
        <f>IFERROR(__xludf.DUMMYFUNCTION("""COMPUTED_VALUE"""),"Completed")</f>
        <v>Completed</v>
      </c>
    </row>
    <row r="4313">
      <c r="A4313" s="9" t="str">
        <f>IFERROR(__xludf.DUMMYFUNCTION("""COMPUTED_VALUE"""),"G-REQ-04312")</f>
        <v>G-REQ-04312</v>
      </c>
      <c r="B4313" s="11">
        <f>IFERROR(__xludf.DUMMYFUNCTION("""COMPUTED_VALUE"""),46068.22017525106)</f>
        <v>46068.22018</v>
      </c>
      <c r="C4313" s="9">
        <f>IFERROR(__xludf.DUMMYFUNCTION("""COMPUTED_VALUE"""),16627.0)</f>
        <v>16627</v>
      </c>
      <c r="D4313" s="9" t="str">
        <f>IFERROR(__xludf.DUMMYFUNCTION("""COMPUTED_VALUE"""),"Completed")</f>
        <v>Completed</v>
      </c>
    </row>
    <row r="4314">
      <c r="A4314" s="9" t="str">
        <f>IFERROR(__xludf.DUMMYFUNCTION("""COMPUTED_VALUE"""),"G-REQ-04313")</f>
        <v>G-REQ-04313</v>
      </c>
      <c r="B4314" s="11">
        <f>IFERROR(__xludf.DUMMYFUNCTION("""COMPUTED_VALUE"""),46068.29135009647)</f>
        <v>46068.29135</v>
      </c>
      <c r="C4314" s="9">
        <f>IFERROR(__xludf.DUMMYFUNCTION("""COMPUTED_VALUE"""),16631.0)</f>
        <v>16631</v>
      </c>
      <c r="D4314" s="9" t="str">
        <f>IFERROR(__xludf.DUMMYFUNCTION("""COMPUTED_VALUE"""),"Completed")</f>
        <v>Completed</v>
      </c>
    </row>
    <row r="4315">
      <c r="A4315" s="9" t="str">
        <f>IFERROR(__xludf.DUMMYFUNCTION("""COMPUTED_VALUE"""),"G-REQ-04314")</f>
        <v>G-REQ-04314</v>
      </c>
      <c r="B4315" s="11">
        <f>IFERROR(__xludf.DUMMYFUNCTION("""COMPUTED_VALUE"""),46068.362524941884)</f>
        <v>46068.36252</v>
      </c>
      <c r="C4315" s="9">
        <f>IFERROR(__xludf.DUMMYFUNCTION("""COMPUTED_VALUE"""),16635.0)</f>
        <v>16635</v>
      </c>
      <c r="D4315" s="9" t="str">
        <f>IFERROR(__xludf.DUMMYFUNCTION("""COMPUTED_VALUE"""),"Completed")</f>
        <v>Completed</v>
      </c>
    </row>
    <row r="4316">
      <c r="A4316" s="9" t="str">
        <f>IFERROR(__xludf.DUMMYFUNCTION("""COMPUTED_VALUE"""),"G-REQ-04315")</f>
        <v>G-REQ-04315</v>
      </c>
      <c r="B4316" s="11">
        <f>IFERROR(__xludf.DUMMYFUNCTION("""COMPUTED_VALUE"""),46068.4336997873)</f>
        <v>46068.4337</v>
      </c>
      <c r="C4316" s="9">
        <f>IFERROR(__xludf.DUMMYFUNCTION("""COMPUTED_VALUE"""),16639.0)</f>
        <v>16639</v>
      </c>
      <c r="D4316" s="9" t="str">
        <f>IFERROR(__xludf.DUMMYFUNCTION("""COMPUTED_VALUE"""),"Completed")</f>
        <v>Completed</v>
      </c>
    </row>
    <row r="4317">
      <c r="A4317" s="9" t="str">
        <f>IFERROR(__xludf.DUMMYFUNCTION("""COMPUTED_VALUE"""),"G-REQ-04316")</f>
        <v>G-REQ-04316</v>
      </c>
      <c r="B4317" s="11">
        <f>IFERROR(__xludf.DUMMYFUNCTION("""COMPUTED_VALUE"""),46068.50487463272)</f>
        <v>46068.50487</v>
      </c>
      <c r="C4317" s="9">
        <f>IFERROR(__xludf.DUMMYFUNCTION("""COMPUTED_VALUE"""),16643.0)</f>
        <v>16643</v>
      </c>
      <c r="D4317" s="9" t="str">
        <f>IFERROR(__xludf.DUMMYFUNCTION("""COMPUTED_VALUE"""),"Completed")</f>
        <v>Completed</v>
      </c>
    </row>
    <row r="4318">
      <c r="A4318" s="9" t="str">
        <f>IFERROR(__xludf.DUMMYFUNCTION("""COMPUTED_VALUE"""),"G-REQ-04317")</f>
        <v>G-REQ-04317</v>
      </c>
      <c r="B4318" s="11">
        <f>IFERROR(__xludf.DUMMYFUNCTION("""COMPUTED_VALUE"""),46068.57604947813)</f>
        <v>46068.57605</v>
      </c>
      <c r="C4318" s="9">
        <f>IFERROR(__xludf.DUMMYFUNCTION("""COMPUTED_VALUE"""),16647.0)</f>
        <v>16647</v>
      </c>
      <c r="D4318" s="9" t="str">
        <f>IFERROR(__xludf.DUMMYFUNCTION("""COMPUTED_VALUE"""),"Completed")</f>
        <v>Completed</v>
      </c>
    </row>
    <row r="4319">
      <c r="A4319" s="9" t="str">
        <f>IFERROR(__xludf.DUMMYFUNCTION("""COMPUTED_VALUE"""),"G-REQ-04318")</f>
        <v>G-REQ-04318</v>
      </c>
      <c r="B4319" s="11">
        <f>IFERROR(__xludf.DUMMYFUNCTION("""COMPUTED_VALUE"""),46068.6402798791)</f>
        <v>46068.64028</v>
      </c>
      <c r="C4319" s="9">
        <f>IFERROR(__xludf.DUMMYFUNCTION("""COMPUTED_VALUE"""),16649.0)</f>
        <v>16649</v>
      </c>
      <c r="D4319" s="9" t="str">
        <f>IFERROR(__xludf.DUMMYFUNCTION("""COMPUTED_VALUE"""),"Cancelled")</f>
        <v>Cancelled</v>
      </c>
    </row>
    <row r="4320">
      <c r="A4320" s="9" t="str">
        <f>IFERROR(__xludf.DUMMYFUNCTION("""COMPUTED_VALUE"""),"G-REQ-04319")</f>
        <v>G-REQ-04319</v>
      </c>
      <c r="B4320" s="11">
        <f>IFERROR(__xludf.DUMMYFUNCTION("""COMPUTED_VALUE"""),46068.71839916897)</f>
        <v>46068.7184</v>
      </c>
      <c r="C4320" s="9">
        <f>IFERROR(__xludf.DUMMYFUNCTION("""COMPUTED_VALUE"""),16653.0)</f>
        <v>16653</v>
      </c>
      <c r="D4320" s="9" t="str">
        <f>IFERROR(__xludf.DUMMYFUNCTION("""COMPUTED_VALUE"""),"Completed")</f>
        <v>Completed</v>
      </c>
    </row>
    <row r="4321">
      <c r="A4321" s="9" t="str">
        <f>IFERROR(__xludf.DUMMYFUNCTION("""COMPUTED_VALUE"""),"G-REQ-04320")</f>
        <v>G-REQ-04320</v>
      </c>
      <c r="B4321" s="11">
        <f>IFERROR(__xludf.DUMMYFUNCTION("""COMPUTED_VALUE"""),46068.78957401438)</f>
        <v>46068.78957</v>
      </c>
      <c r="C4321" s="9">
        <f>IFERROR(__xludf.DUMMYFUNCTION("""COMPUTED_VALUE"""),16657.0)</f>
        <v>16657</v>
      </c>
      <c r="D4321" s="9" t="str">
        <f>IFERROR(__xludf.DUMMYFUNCTION("""COMPUTED_VALUE"""),"Completed")</f>
        <v>Completed</v>
      </c>
    </row>
    <row r="4322">
      <c r="A4322" s="9" t="str">
        <f>IFERROR(__xludf.DUMMYFUNCTION("""COMPUTED_VALUE"""),"G-REQ-04321")</f>
        <v>G-REQ-04321</v>
      </c>
      <c r="B4322" s="11">
        <f>IFERROR(__xludf.DUMMYFUNCTION("""COMPUTED_VALUE"""),46068.86074885979)</f>
        <v>46068.86075</v>
      </c>
      <c r="C4322" s="9">
        <f>IFERROR(__xludf.DUMMYFUNCTION("""COMPUTED_VALUE"""),16661.0)</f>
        <v>16661</v>
      </c>
      <c r="D4322" s="9" t="str">
        <f>IFERROR(__xludf.DUMMYFUNCTION("""COMPUTED_VALUE"""),"Completed")</f>
        <v>Completed</v>
      </c>
    </row>
    <row r="4323">
      <c r="A4323" s="9" t="str">
        <f>IFERROR(__xludf.DUMMYFUNCTION("""COMPUTED_VALUE"""),"G-REQ-04322")</f>
        <v>G-REQ-04322</v>
      </c>
      <c r="B4323" s="11">
        <f>IFERROR(__xludf.DUMMYFUNCTION("""COMPUTED_VALUE"""),46068.93192370521)</f>
        <v>46068.93192</v>
      </c>
      <c r="C4323" s="9">
        <f>IFERROR(__xludf.DUMMYFUNCTION("""COMPUTED_VALUE"""),16665.0)</f>
        <v>16665</v>
      </c>
      <c r="D4323" s="9" t="str">
        <f>IFERROR(__xludf.DUMMYFUNCTION("""COMPUTED_VALUE"""),"Completed")</f>
        <v>Completed</v>
      </c>
    </row>
    <row r="4324">
      <c r="A4324" s="9" t="str">
        <f>IFERROR(__xludf.DUMMYFUNCTION("""COMPUTED_VALUE"""),"G-REQ-04323")</f>
        <v>G-REQ-04323</v>
      </c>
      <c r="B4324" s="11">
        <f>IFERROR(__xludf.DUMMYFUNCTION("""COMPUTED_VALUE"""),46069.003098550624)</f>
        <v>46069.0031</v>
      </c>
      <c r="C4324" s="9">
        <f>IFERROR(__xludf.DUMMYFUNCTION("""COMPUTED_VALUE"""),16669.0)</f>
        <v>16669</v>
      </c>
      <c r="D4324" s="9" t="str">
        <f>IFERROR(__xludf.DUMMYFUNCTION("""COMPUTED_VALUE"""),"Completed")</f>
        <v>Completed</v>
      </c>
    </row>
    <row r="4325">
      <c r="A4325" s="9" t="str">
        <f>IFERROR(__xludf.DUMMYFUNCTION("""COMPUTED_VALUE"""),"G-REQ-04324")</f>
        <v>G-REQ-04324</v>
      </c>
      <c r="B4325" s="11">
        <f>IFERROR(__xludf.DUMMYFUNCTION("""COMPUTED_VALUE"""),46069.074273396036)</f>
        <v>46069.07427</v>
      </c>
      <c r="C4325" s="9">
        <f>IFERROR(__xludf.DUMMYFUNCTION("""COMPUTED_VALUE"""),16673.0)</f>
        <v>16673</v>
      </c>
      <c r="D4325" s="9" t="str">
        <f>IFERROR(__xludf.DUMMYFUNCTION("""COMPUTED_VALUE"""),"Completed")</f>
        <v>Completed</v>
      </c>
    </row>
    <row r="4326">
      <c r="A4326" s="9" t="str">
        <f>IFERROR(__xludf.DUMMYFUNCTION("""COMPUTED_VALUE"""),"G-REQ-04325")</f>
        <v>G-REQ-04325</v>
      </c>
      <c r="B4326" s="11">
        <f>IFERROR(__xludf.DUMMYFUNCTION("""COMPUTED_VALUE"""),46069.145448241456)</f>
        <v>46069.14545</v>
      </c>
      <c r="C4326" s="9">
        <f>IFERROR(__xludf.DUMMYFUNCTION("""COMPUTED_VALUE"""),16677.0)</f>
        <v>16677</v>
      </c>
      <c r="D4326" s="9" t="str">
        <f>IFERROR(__xludf.DUMMYFUNCTION("""COMPUTED_VALUE"""),"Completed")</f>
        <v>Completed</v>
      </c>
    </row>
    <row r="4327">
      <c r="A4327" s="9" t="str">
        <f>IFERROR(__xludf.DUMMYFUNCTION("""COMPUTED_VALUE"""),"G-REQ-04326")</f>
        <v>G-REQ-04326</v>
      </c>
      <c r="B4327" s="11">
        <f>IFERROR(__xludf.DUMMYFUNCTION("""COMPUTED_VALUE"""),46069.216623086875)</f>
        <v>46069.21662</v>
      </c>
      <c r="C4327" s="9">
        <f>IFERROR(__xludf.DUMMYFUNCTION("""COMPUTED_VALUE"""),16681.0)</f>
        <v>16681</v>
      </c>
      <c r="D4327" s="9" t="str">
        <f>IFERROR(__xludf.DUMMYFUNCTION("""COMPUTED_VALUE"""),"Completed")</f>
        <v>Completed</v>
      </c>
    </row>
    <row r="4328">
      <c r="A4328" s="9" t="str">
        <f>IFERROR(__xludf.DUMMYFUNCTION("""COMPUTED_VALUE"""),"G-REQ-04327")</f>
        <v>G-REQ-04327</v>
      </c>
      <c r="B4328" s="11">
        <f>IFERROR(__xludf.DUMMYFUNCTION("""COMPUTED_VALUE"""),46069.28779793228)</f>
        <v>46069.2878</v>
      </c>
      <c r="C4328" s="9">
        <f>IFERROR(__xludf.DUMMYFUNCTION("""COMPUTED_VALUE"""),16685.0)</f>
        <v>16685</v>
      </c>
      <c r="D4328" s="9" t="str">
        <f>IFERROR(__xludf.DUMMYFUNCTION("""COMPUTED_VALUE"""),"Completed")</f>
        <v>Completed</v>
      </c>
    </row>
    <row r="4329">
      <c r="A4329" s="9" t="str">
        <f>IFERROR(__xludf.DUMMYFUNCTION("""COMPUTED_VALUE"""),"G-REQ-04328")</f>
        <v>G-REQ-04328</v>
      </c>
      <c r="B4329" s="11">
        <f>IFERROR(__xludf.DUMMYFUNCTION("""COMPUTED_VALUE"""),46069.352028333255)</f>
        <v>46069.35203</v>
      </c>
      <c r="C4329" s="9">
        <f>IFERROR(__xludf.DUMMYFUNCTION("""COMPUTED_VALUE"""),16687.0)</f>
        <v>16687</v>
      </c>
      <c r="D4329" s="9" t="str">
        <f>IFERROR(__xludf.DUMMYFUNCTION("""COMPUTED_VALUE"""),"Cancelled")</f>
        <v>Cancelled</v>
      </c>
    </row>
    <row r="4330">
      <c r="A4330" s="9" t="str">
        <f>IFERROR(__xludf.DUMMYFUNCTION("""COMPUTED_VALUE"""),"G-REQ-04329")</f>
        <v>G-REQ-04329</v>
      </c>
      <c r="B4330" s="11">
        <f>IFERROR(__xludf.DUMMYFUNCTION("""COMPUTED_VALUE"""),46069.43014762311)</f>
        <v>46069.43015</v>
      </c>
      <c r="C4330" s="9">
        <f>IFERROR(__xludf.DUMMYFUNCTION("""COMPUTED_VALUE"""),16691.0)</f>
        <v>16691</v>
      </c>
      <c r="D4330" s="9" t="str">
        <f>IFERROR(__xludf.DUMMYFUNCTION("""COMPUTED_VALUE"""),"Completed")</f>
        <v>Completed</v>
      </c>
    </row>
    <row r="4331">
      <c r="A4331" s="9" t="str">
        <f>IFERROR(__xludf.DUMMYFUNCTION("""COMPUTED_VALUE"""),"G-REQ-04330")</f>
        <v>G-REQ-04330</v>
      </c>
      <c r="B4331" s="11">
        <f>IFERROR(__xludf.DUMMYFUNCTION("""COMPUTED_VALUE"""),46069.49437802409)</f>
        <v>46069.49438</v>
      </c>
      <c r="C4331" s="9">
        <f>IFERROR(__xludf.DUMMYFUNCTION("""COMPUTED_VALUE"""),16693.0)</f>
        <v>16693</v>
      </c>
      <c r="D4331" s="9" t="str">
        <f>IFERROR(__xludf.DUMMYFUNCTION("""COMPUTED_VALUE"""),"Rejected")</f>
        <v>Rejected</v>
      </c>
    </row>
    <row r="4332">
      <c r="A4332" s="9" t="str">
        <f>IFERROR(__xludf.DUMMYFUNCTION("""COMPUTED_VALUE"""),"G-REQ-04331")</f>
        <v>G-REQ-04331</v>
      </c>
      <c r="B4332" s="11">
        <f>IFERROR(__xludf.DUMMYFUNCTION("""COMPUTED_VALUE"""),46069.572497313944)</f>
        <v>46069.5725</v>
      </c>
      <c r="C4332" s="9">
        <f>IFERROR(__xludf.DUMMYFUNCTION("""COMPUTED_VALUE"""),16697.0)</f>
        <v>16697</v>
      </c>
      <c r="D4332" s="9" t="str">
        <f>IFERROR(__xludf.DUMMYFUNCTION("""COMPUTED_VALUE"""),"Completed")</f>
        <v>Completed</v>
      </c>
    </row>
    <row r="4333">
      <c r="A4333" s="9" t="str">
        <f>IFERROR(__xludf.DUMMYFUNCTION("""COMPUTED_VALUE"""),"G-REQ-04332")</f>
        <v>G-REQ-04332</v>
      </c>
      <c r="B4333" s="11">
        <f>IFERROR(__xludf.DUMMYFUNCTION("""COMPUTED_VALUE"""),46069.64367215936)</f>
        <v>46069.64367</v>
      </c>
      <c r="C4333" s="9">
        <f>IFERROR(__xludf.DUMMYFUNCTION("""COMPUTED_VALUE"""),16701.0)</f>
        <v>16701</v>
      </c>
      <c r="D4333" s="9" t="str">
        <f>IFERROR(__xludf.DUMMYFUNCTION("""COMPUTED_VALUE"""),"Completed")</f>
        <v>Completed</v>
      </c>
    </row>
    <row r="4334">
      <c r="A4334" s="9" t="str">
        <f>IFERROR(__xludf.DUMMYFUNCTION("""COMPUTED_VALUE"""),"G-REQ-04333")</f>
        <v>G-REQ-04333</v>
      </c>
      <c r="B4334" s="11">
        <f>IFERROR(__xludf.DUMMYFUNCTION("""COMPUTED_VALUE"""),46069.71484700477)</f>
        <v>46069.71485</v>
      </c>
      <c r="C4334" s="9">
        <f>IFERROR(__xludf.DUMMYFUNCTION("""COMPUTED_VALUE"""),16705.0)</f>
        <v>16705</v>
      </c>
      <c r="D4334" s="9" t="str">
        <f>IFERROR(__xludf.DUMMYFUNCTION("""COMPUTED_VALUE"""),"Completed")</f>
        <v>Completed</v>
      </c>
    </row>
    <row r="4335">
      <c r="A4335" s="9" t="str">
        <f>IFERROR(__xludf.DUMMYFUNCTION("""COMPUTED_VALUE"""),"G-REQ-04334")</f>
        <v>G-REQ-04334</v>
      </c>
      <c r="B4335" s="11">
        <f>IFERROR(__xludf.DUMMYFUNCTION("""COMPUTED_VALUE"""),46069.78602185019)</f>
        <v>46069.78602</v>
      </c>
      <c r="C4335" s="9">
        <f>IFERROR(__xludf.DUMMYFUNCTION("""COMPUTED_VALUE"""),16709.0)</f>
        <v>16709</v>
      </c>
      <c r="D4335" s="9" t="str">
        <f>IFERROR(__xludf.DUMMYFUNCTION("""COMPUTED_VALUE"""),"Completed")</f>
        <v>Completed</v>
      </c>
    </row>
    <row r="4336">
      <c r="A4336" s="9" t="str">
        <f>IFERROR(__xludf.DUMMYFUNCTION("""COMPUTED_VALUE"""),"G-REQ-04335")</f>
        <v>G-REQ-04335</v>
      </c>
      <c r="B4336" s="11">
        <f>IFERROR(__xludf.DUMMYFUNCTION("""COMPUTED_VALUE"""),46069.85719669561)</f>
        <v>46069.8572</v>
      </c>
      <c r="C4336" s="9">
        <f>IFERROR(__xludf.DUMMYFUNCTION("""COMPUTED_VALUE"""),16713.0)</f>
        <v>16713</v>
      </c>
      <c r="D4336" s="9" t="str">
        <f>IFERROR(__xludf.DUMMYFUNCTION("""COMPUTED_VALUE"""),"Completed")</f>
        <v>Completed</v>
      </c>
    </row>
    <row r="4337">
      <c r="A4337" s="9" t="str">
        <f>IFERROR(__xludf.DUMMYFUNCTION("""COMPUTED_VALUE"""),"G-REQ-04336")</f>
        <v>G-REQ-04336</v>
      </c>
      <c r="B4337" s="11">
        <f>IFERROR(__xludf.DUMMYFUNCTION("""COMPUTED_VALUE"""),46069.92837154102)</f>
        <v>46069.92837</v>
      </c>
      <c r="C4337" s="9">
        <f>IFERROR(__xludf.DUMMYFUNCTION("""COMPUTED_VALUE"""),16717.0)</f>
        <v>16717</v>
      </c>
      <c r="D4337" s="9" t="str">
        <f>IFERROR(__xludf.DUMMYFUNCTION("""COMPUTED_VALUE"""),"Completed")</f>
        <v>Completed</v>
      </c>
    </row>
    <row r="4338">
      <c r="A4338" s="9" t="str">
        <f>IFERROR(__xludf.DUMMYFUNCTION("""COMPUTED_VALUE"""),"G-REQ-04337")</f>
        <v>G-REQ-04337</v>
      </c>
      <c r="B4338" s="11">
        <f>IFERROR(__xludf.DUMMYFUNCTION("""COMPUTED_VALUE"""),46069.99954638643)</f>
        <v>46069.99955</v>
      </c>
      <c r="C4338" s="9">
        <f>IFERROR(__xludf.DUMMYFUNCTION("""COMPUTED_VALUE"""),16721.0)</f>
        <v>16721</v>
      </c>
      <c r="D4338" s="9" t="str">
        <f>IFERROR(__xludf.DUMMYFUNCTION("""COMPUTED_VALUE"""),"Completed")</f>
        <v>Completed</v>
      </c>
    </row>
    <row r="4339">
      <c r="A4339" s="9" t="str">
        <f>IFERROR(__xludf.DUMMYFUNCTION("""COMPUTED_VALUE"""),"G-REQ-04338")</f>
        <v>G-REQ-04338</v>
      </c>
      <c r="B4339" s="11">
        <f>IFERROR(__xludf.DUMMYFUNCTION("""COMPUTED_VALUE"""),46070.07072123185)</f>
        <v>46070.07072</v>
      </c>
      <c r="C4339" s="9">
        <f>IFERROR(__xludf.DUMMYFUNCTION("""COMPUTED_VALUE"""),16725.0)</f>
        <v>16725</v>
      </c>
      <c r="D4339" s="9" t="str">
        <f>IFERROR(__xludf.DUMMYFUNCTION("""COMPUTED_VALUE"""),"Completed")</f>
        <v>Completed</v>
      </c>
    </row>
    <row r="4340">
      <c r="A4340" s="9" t="str">
        <f>IFERROR(__xludf.DUMMYFUNCTION("""COMPUTED_VALUE"""),"G-REQ-04339")</f>
        <v>G-REQ-04339</v>
      </c>
      <c r="B4340" s="11">
        <f>IFERROR(__xludf.DUMMYFUNCTION("""COMPUTED_VALUE"""),46070.141896077264)</f>
        <v>46070.1419</v>
      </c>
      <c r="C4340" s="9">
        <f>IFERROR(__xludf.DUMMYFUNCTION("""COMPUTED_VALUE"""),16729.0)</f>
        <v>16729</v>
      </c>
      <c r="D4340" s="9" t="str">
        <f>IFERROR(__xludf.DUMMYFUNCTION("""COMPUTED_VALUE"""),"Completed")</f>
        <v>Completed</v>
      </c>
    </row>
    <row r="4341">
      <c r="A4341" s="9" t="str">
        <f>IFERROR(__xludf.DUMMYFUNCTION("""COMPUTED_VALUE"""),"G-REQ-04340")</f>
        <v>G-REQ-04340</v>
      </c>
      <c r="B4341" s="11">
        <f>IFERROR(__xludf.DUMMYFUNCTION("""COMPUTED_VALUE"""),46070.21307092268)</f>
        <v>46070.21307</v>
      </c>
      <c r="C4341" s="9">
        <f>IFERROR(__xludf.DUMMYFUNCTION("""COMPUTED_VALUE"""),16733.0)</f>
        <v>16733</v>
      </c>
      <c r="D4341" s="9" t="str">
        <f>IFERROR(__xludf.DUMMYFUNCTION("""COMPUTED_VALUE"""),"Completed")</f>
        <v>Completed</v>
      </c>
    </row>
    <row r="4342">
      <c r="A4342" s="9" t="str">
        <f>IFERROR(__xludf.DUMMYFUNCTION("""COMPUTED_VALUE"""),"G-REQ-04341")</f>
        <v>G-REQ-04341</v>
      </c>
      <c r="B4342" s="11">
        <f>IFERROR(__xludf.DUMMYFUNCTION("""COMPUTED_VALUE"""),46070.284245768096)</f>
        <v>46070.28425</v>
      </c>
      <c r="C4342" s="9">
        <f>IFERROR(__xludf.DUMMYFUNCTION("""COMPUTED_VALUE"""),16737.0)</f>
        <v>16737</v>
      </c>
      <c r="D4342" s="9" t="str">
        <f>IFERROR(__xludf.DUMMYFUNCTION("""COMPUTED_VALUE"""),"Completed")</f>
        <v>Completed</v>
      </c>
    </row>
    <row r="4343">
      <c r="A4343" s="9" t="str">
        <f>IFERROR(__xludf.DUMMYFUNCTION("""COMPUTED_VALUE"""),"G-REQ-04342")</f>
        <v>G-REQ-04342</v>
      </c>
      <c r="B4343" s="11">
        <f>IFERROR(__xludf.DUMMYFUNCTION("""COMPUTED_VALUE"""),46070.355420613516)</f>
        <v>46070.35542</v>
      </c>
      <c r="C4343" s="9">
        <f>IFERROR(__xludf.DUMMYFUNCTION("""COMPUTED_VALUE"""),16741.0)</f>
        <v>16741</v>
      </c>
      <c r="D4343" s="9" t="str">
        <f>IFERROR(__xludf.DUMMYFUNCTION("""COMPUTED_VALUE"""),"Completed")</f>
        <v>Completed</v>
      </c>
    </row>
    <row r="4344">
      <c r="A4344" s="9" t="str">
        <f>IFERROR(__xludf.DUMMYFUNCTION("""COMPUTED_VALUE"""),"G-REQ-04343")</f>
        <v>G-REQ-04343</v>
      </c>
      <c r="B4344" s="11">
        <f>IFERROR(__xludf.DUMMYFUNCTION("""COMPUTED_VALUE"""),46070.42659545892)</f>
        <v>46070.4266</v>
      </c>
      <c r="C4344" s="9">
        <f>IFERROR(__xludf.DUMMYFUNCTION("""COMPUTED_VALUE"""),16745.0)</f>
        <v>16745</v>
      </c>
      <c r="D4344" s="9" t="str">
        <f>IFERROR(__xludf.DUMMYFUNCTION("""COMPUTED_VALUE"""),"Completed")</f>
        <v>Completed</v>
      </c>
    </row>
    <row r="4345">
      <c r="A4345" s="9" t="str">
        <f>IFERROR(__xludf.DUMMYFUNCTION("""COMPUTED_VALUE"""),"G-REQ-04344")</f>
        <v>G-REQ-04344</v>
      </c>
      <c r="B4345" s="11">
        <f>IFERROR(__xludf.DUMMYFUNCTION("""COMPUTED_VALUE"""),46070.49777030434)</f>
        <v>46070.49777</v>
      </c>
      <c r="C4345" s="9">
        <f>IFERROR(__xludf.DUMMYFUNCTION("""COMPUTED_VALUE"""),16749.0)</f>
        <v>16749</v>
      </c>
      <c r="D4345" s="9" t="str">
        <f>IFERROR(__xludf.DUMMYFUNCTION("""COMPUTED_VALUE"""),"Completed")</f>
        <v>Completed</v>
      </c>
    </row>
    <row r="4346">
      <c r="A4346" s="9" t="str">
        <f>IFERROR(__xludf.DUMMYFUNCTION("""COMPUTED_VALUE"""),"G-REQ-04345")</f>
        <v>G-REQ-04345</v>
      </c>
      <c r="B4346" s="11">
        <f>IFERROR(__xludf.DUMMYFUNCTION("""COMPUTED_VALUE"""),46070.56894514976)</f>
        <v>46070.56895</v>
      </c>
      <c r="C4346" s="9">
        <f>IFERROR(__xludf.DUMMYFUNCTION("""COMPUTED_VALUE"""),16753.0)</f>
        <v>16753</v>
      </c>
      <c r="D4346" s="9" t="str">
        <f>IFERROR(__xludf.DUMMYFUNCTION("""COMPUTED_VALUE"""),"Completed")</f>
        <v>Completed</v>
      </c>
    </row>
    <row r="4347">
      <c r="A4347" s="9" t="str">
        <f>IFERROR(__xludf.DUMMYFUNCTION("""COMPUTED_VALUE"""),"G-REQ-04346")</f>
        <v>G-REQ-04346</v>
      </c>
      <c r="B4347" s="11">
        <f>IFERROR(__xludf.DUMMYFUNCTION("""COMPUTED_VALUE"""),46070.64011999517)</f>
        <v>46070.64012</v>
      </c>
      <c r="C4347" s="9">
        <f>IFERROR(__xludf.DUMMYFUNCTION("""COMPUTED_VALUE"""),16757.0)</f>
        <v>16757</v>
      </c>
      <c r="D4347" s="9" t="str">
        <f>IFERROR(__xludf.DUMMYFUNCTION("""COMPUTED_VALUE"""),"Completed")</f>
        <v>Completed</v>
      </c>
    </row>
    <row r="4348">
      <c r="A4348" s="9" t="str">
        <f>IFERROR(__xludf.DUMMYFUNCTION("""COMPUTED_VALUE"""),"G-REQ-04347")</f>
        <v>G-REQ-04347</v>
      </c>
      <c r="B4348" s="11">
        <f>IFERROR(__xludf.DUMMYFUNCTION("""COMPUTED_VALUE"""),46070.711294840585)</f>
        <v>46070.71129</v>
      </c>
      <c r="C4348" s="9">
        <f>IFERROR(__xludf.DUMMYFUNCTION("""COMPUTED_VALUE"""),16761.0)</f>
        <v>16761</v>
      </c>
      <c r="D4348" s="9" t="str">
        <f>IFERROR(__xludf.DUMMYFUNCTION("""COMPUTED_VALUE"""),"Completed")</f>
        <v>Completed</v>
      </c>
    </row>
    <row r="4349">
      <c r="A4349" s="9" t="str">
        <f>IFERROR(__xludf.DUMMYFUNCTION("""COMPUTED_VALUE"""),"G-REQ-04348")</f>
        <v>G-REQ-04348</v>
      </c>
      <c r="B4349" s="11">
        <f>IFERROR(__xludf.DUMMYFUNCTION("""COMPUTED_VALUE"""),46070.782469686004)</f>
        <v>46070.78247</v>
      </c>
      <c r="C4349" s="9">
        <f>IFERROR(__xludf.DUMMYFUNCTION("""COMPUTED_VALUE"""),16765.0)</f>
        <v>16765</v>
      </c>
      <c r="D4349" s="9" t="str">
        <f>IFERROR(__xludf.DUMMYFUNCTION("""COMPUTED_VALUE"""),"Completed")</f>
        <v>Completed</v>
      </c>
    </row>
    <row r="4350">
      <c r="A4350" s="9" t="str">
        <f>IFERROR(__xludf.DUMMYFUNCTION("""COMPUTED_VALUE"""),"G-REQ-04349")</f>
        <v>G-REQ-04349</v>
      </c>
      <c r="B4350" s="11">
        <f>IFERROR(__xludf.DUMMYFUNCTION("""COMPUTED_VALUE"""),46070.85364453142)</f>
        <v>46070.85364</v>
      </c>
      <c r="C4350" s="9">
        <f>IFERROR(__xludf.DUMMYFUNCTION("""COMPUTED_VALUE"""),16769.0)</f>
        <v>16769</v>
      </c>
      <c r="D4350" s="9" t="str">
        <f>IFERROR(__xludf.DUMMYFUNCTION("""COMPUTED_VALUE"""),"Completed")</f>
        <v>Completed</v>
      </c>
    </row>
    <row r="4351">
      <c r="A4351" s="9" t="str">
        <f>IFERROR(__xludf.DUMMYFUNCTION("""COMPUTED_VALUE"""),"G-REQ-04350")</f>
        <v>G-REQ-04350</v>
      </c>
      <c r="B4351" s="11">
        <f>IFERROR(__xludf.DUMMYFUNCTION("""COMPUTED_VALUE"""),46070.92481937683)</f>
        <v>46070.92482</v>
      </c>
      <c r="C4351" s="9">
        <f>IFERROR(__xludf.DUMMYFUNCTION("""COMPUTED_VALUE"""),16773.0)</f>
        <v>16773</v>
      </c>
      <c r="D4351" s="9" t="str">
        <f>IFERROR(__xludf.DUMMYFUNCTION("""COMPUTED_VALUE"""),"Completed")</f>
        <v>Completed</v>
      </c>
    </row>
    <row r="4352">
      <c r="A4352" s="9" t="str">
        <f>IFERROR(__xludf.DUMMYFUNCTION("""COMPUTED_VALUE"""),"G-REQ-04351")</f>
        <v>G-REQ-04351</v>
      </c>
      <c r="B4352" s="11">
        <f>IFERROR(__xludf.DUMMYFUNCTION("""COMPUTED_VALUE"""),46070.99599422225)</f>
        <v>46070.99599</v>
      </c>
      <c r="C4352" s="9">
        <f>IFERROR(__xludf.DUMMYFUNCTION("""COMPUTED_VALUE"""),16777.0)</f>
        <v>16777</v>
      </c>
      <c r="D4352" s="9" t="str">
        <f>IFERROR(__xludf.DUMMYFUNCTION("""COMPUTED_VALUE"""),"Completed")</f>
        <v>Completed</v>
      </c>
    </row>
    <row r="4353">
      <c r="A4353" s="9" t="str">
        <f>IFERROR(__xludf.DUMMYFUNCTION("""COMPUTED_VALUE"""),"G-REQ-04352")</f>
        <v>G-REQ-04352</v>
      </c>
      <c r="B4353" s="11">
        <f>IFERROR(__xludf.DUMMYFUNCTION("""COMPUTED_VALUE"""),46071.06716906766)</f>
        <v>46071.06717</v>
      </c>
      <c r="C4353" s="9">
        <f>IFERROR(__xludf.DUMMYFUNCTION("""COMPUTED_VALUE"""),16781.0)</f>
        <v>16781</v>
      </c>
      <c r="D4353" s="9" t="str">
        <f>IFERROR(__xludf.DUMMYFUNCTION("""COMPUTED_VALUE"""),"Completed")</f>
        <v>Completed</v>
      </c>
    </row>
    <row r="4354">
      <c r="A4354" s="9" t="str">
        <f>IFERROR(__xludf.DUMMYFUNCTION("""COMPUTED_VALUE"""),"G-REQ-04353")</f>
        <v>G-REQ-04353</v>
      </c>
      <c r="B4354" s="11">
        <f>IFERROR(__xludf.DUMMYFUNCTION("""COMPUTED_VALUE"""),46071.13834391307)</f>
        <v>46071.13834</v>
      </c>
      <c r="C4354" s="9">
        <f>IFERROR(__xludf.DUMMYFUNCTION("""COMPUTED_VALUE"""),16785.0)</f>
        <v>16785</v>
      </c>
      <c r="D4354" s="9" t="str">
        <f>IFERROR(__xludf.DUMMYFUNCTION("""COMPUTED_VALUE"""),"Completed")</f>
        <v>Completed</v>
      </c>
    </row>
    <row r="4355">
      <c r="A4355" s="9" t="str">
        <f>IFERROR(__xludf.DUMMYFUNCTION("""COMPUTED_VALUE"""),"G-REQ-04354")</f>
        <v>G-REQ-04354</v>
      </c>
      <c r="B4355" s="11">
        <f>IFERROR(__xludf.DUMMYFUNCTION("""COMPUTED_VALUE"""),46071.20951875849)</f>
        <v>46071.20952</v>
      </c>
      <c r="C4355" s="9">
        <f>IFERROR(__xludf.DUMMYFUNCTION("""COMPUTED_VALUE"""),16789.0)</f>
        <v>16789</v>
      </c>
      <c r="D4355" s="9" t="str">
        <f>IFERROR(__xludf.DUMMYFUNCTION("""COMPUTED_VALUE"""),"Completed")</f>
        <v>Completed</v>
      </c>
    </row>
    <row r="4356">
      <c r="A4356" s="9" t="str">
        <f>IFERROR(__xludf.DUMMYFUNCTION("""COMPUTED_VALUE"""),"G-REQ-04355")</f>
        <v>G-REQ-04355</v>
      </c>
      <c r="B4356" s="11">
        <f>IFERROR(__xludf.DUMMYFUNCTION("""COMPUTED_VALUE"""),46071.280693603905)</f>
        <v>46071.28069</v>
      </c>
      <c r="C4356" s="9">
        <f>IFERROR(__xludf.DUMMYFUNCTION("""COMPUTED_VALUE"""),16793.0)</f>
        <v>16793</v>
      </c>
      <c r="D4356" s="9" t="str">
        <f>IFERROR(__xludf.DUMMYFUNCTION("""COMPUTED_VALUE"""),"Completed")</f>
        <v>Completed</v>
      </c>
    </row>
    <row r="4357">
      <c r="A4357" s="9" t="str">
        <f>IFERROR(__xludf.DUMMYFUNCTION("""COMPUTED_VALUE"""),"G-REQ-04356")</f>
        <v>G-REQ-04356</v>
      </c>
      <c r="B4357" s="11">
        <f>IFERROR(__xludf.DUMMYFUNCTION("""COMPUTED_VALUE"""),46071.35186844932)</f>
        <v>46071.35187</v>
      </c>
      <c r="C4357" s="9">
        <f>IFERROR(__xludf.DUMMYFUNCTION("""COMPUTED_VALUE"""),16797.0)</f>
        <v>16797</v>
      </c>
      <c r="D4357" s="9" t="str">
        <f>IFERROR(__xludf.DUMMYFUNCTION("""COMPUTED_VALUE"""),"Completed")</f>
        <v>Completed</v>
      </c>
    </row>
    <row r="4358">
      <c r="A4358" s="9" t="str">
        <f>IFERROR(__xludf.DUMMYFUNCTION("""COMPUTED_VALUE"""),"G-REQ-04357")</f>
        <v>G-REQ-04357</v>
      </c>
      <c r="B4358" s="11">
        <f>IFERROR(__xludf.DUMMYFUNCTION("""COMPUTED_VALUE"""),46071.42304329474)</f>
        <v>46071.42304</v>
      </c>
      <c r="C4358" s="9">
        <f>IFERROR(__xludf.DUMMYFUNCTION("""COMPUTED_VALUE"""),16801.0)</f>
        <v>16801</v>
      </c>
      <c r="D4358" s="9" t="str">
        <f>IFERROR(__xludf.DUMMYFUNCTION("""COMPUTED_VALUE"""),"Completed")</f>
        <v>Completed</v>
      </c>
    </row>
    <row r="4359">
      <c r="A4359" s="9" t="str">
        <f>IFERROR(__xludf.DUMMYFUNCTION("""COMPUTED_VALUE"""),"G-REQ-04358")</f>
        <v>G-REQ-04358</v>
      </c>
      <c r="B4359" s="11">
        <f>IFERROR(__xludf.DUMMYFUNCTION("""COMPUTED_VALUE"""),46071.49421814016)</f>
        <v>46071.49422</v>
      </c>
      <c r="C4359" s="9">
        <f>IFERROR(__xludf.DUMMYFUNCTION("""COMPUTED_VALUE"""),16805.0)</f>
        <v>16805</v>
      </c>
      <c r="D4359" s="9" t="str">
        <f>IFERROR(__xludf.DUMMYFUNCTION("""COMPUTED_VALUE"""),"Completed")</f>
        <v>Completed</v>
      </c>
    </row>
    <row r="4360">
      <c r="A4360" s="9" t="str">
        <f>IFERROR(__xludf.DUMMYFUNCTION("""COMPUTED_VALUE"""),"G-REQ-04359")</f>
        <v>G-REQ-04359</v>
      </c>
      <c r="B4360" s="11">
        <f>IFERROR(__xludf.DUMMYFUNCTION("""COMPUTED_VALUE"""),46071.56539298556)</f>
        <v>46071.56539</v>
      </c>
      <c r="C4360" s="9">
        <f>IFERROR(__xludf.DUMMYFUNCTION("""COMPUTED_VALUE"""),16809.0)</f>
        <v>16809</v>
      </c>
      <c r="D4360" s="9" t="str">
        <f>IFERROR(__xludf.DUMMYFUNCTION("""COMPUTED_VALUE"""),"Completed")</f>
        <v>Completed</v>
      </c>
    </row>
    <row r="4361">
      <c r="A4361" s="9" t="str">
        <f>IFERROR(__xludf.DUMMYFUNCTION("""COMPUTED_VALUE"""),"G-REQ-04360")</f>
        <v>G-REQ-04360</v>
      </c>
      <c r="B4361" s="11">
        <f>IFERROR(__xludf.DUMMYFUNCTION("""COMPUTED_VALUE"""),46071.63656783098)</f>
        <v>46071.63657</v>
      </c>
      <c r="C4361" s="9">
        <f>IFERROR(__xludf.DUMMYFUNCTION("""COMPUTED_VALUE"""),16813.0)</f>
        <v>16813</v>
      </c>
      <c r="D4361" s="9" t="str">
        <f>IFERROR(__xludf.DUMMYFUNCTION("""COMPUTED_VALUE"""),"Completed")</f>
        <v>Completed</v>
      </c>
    </row>
    <row r="4362">
      <c r="A4362" s="9" t="str">
        <f>IFERROR(__xludf.DUMMYFUNCTION("""COMPUTED_VALUE"""),"G-REQ-04361")</f>
        <v>G-REQ-04361</v>
      </c>
      <c r="B4362" s="11">
        <f>IFERROR(__xludf.DUMMYFUNCTION("""COMPUTED_VALUE"""),46071.700798231956)</f>
        <v>46071.7008</v>
      </c>
      <c r="C4362" s="9">
        <f>IFERROR(__xludf.DUMMYFUNCTION("""COMPUTED_VALUE"""),16815.0)</f>
        <v>16815</v>
      </c>
      <c r="D4362" s="9" t="str">
        <f>IFERROR(__xludf.DUMMYFUNCTION("""COMPUTED_VALUE"""),"Rejected")</f>
        <v>Rejected</v>
      </c>
    </row>
    <row r="4363">
      <c r="A4363" s="9" t="str">
        <f>IFERROR(__xludf.DUMMYFUNCTION("""COMPUTED_VALUE"""),"G-REQ-04362")</f>
        <v>G-REQ-04362</v>
      </c>
      <c r="B4363" s="11">
        <f>IFERROR(__xludf.DUMMYFUNCTION("""COMPUTED_VALUE"""),46071.77891752181)</f>
        <v>46071.77892</v>
      </c>
      <c r="C4363" s="9">
        <f>IFERROR(__xludf.DUMMYFUNCTION("""COMPUTED_VALUE"""),16819.0)</f>
        <v>16819</v>
      </c>
      <c r="D4363" s="9" t="str">
        <f>IFERROR(__xludf.DUMMYFUNCTION("""COMPUTED_VALUE"""),"Completed")</f>
        <v>Completed</v>
      </c>
    </row>
    <row r="4364">
      <c r="A4364" s="9" t="str">
        <f>IFERROR(__xludf.DUMMYFUNCTION("""COMPUTED_VALUE"""),"G-REQ-04363")</f>
        <v>G-REQ-04363</v>
      </c>
      <c r="B4364" s="11">
        <f>IFERROR(__xludf.DUMMYFUNCTION("""COMPUTED_VALUE"""),46071.850092367225)</f>
        <v>46071.85009</v>
      </c>
      <c r="C4364" s="9">
        <f>IFERROR(__xludf.DUMMYFUNCTION("""COMPUTED_VALUE"""),16823.0)</f>
        <v>16823</v>
      </c>
      <c r="D4364" s="9" t="str">
        <f>IFERROR(__xludf.DUMMYFUNCTION("""COMPUTED_VALUE"""),"Completed")</f>
        <v>Completed</v>
      </c>
    </row>
    <row r="4365">
      <c r="A4365" s="9" t="str">
        <f>IFERROR(__xludf.DUMMYFUNCTION("""COMPUTED_VALUE"""),"G-REQ-04364")</f>
        <v>G-REQ-04364</v>
      </c>
      <c r="B4365" s="11">
        <f>IFERROR(__xludf.DUMMYFUNCTION("""COMPUTED_VALUE"""),46071.921267212645)</f>
        <v>46071.92127</v>
      </c>
      <c r="C4365" s="9">
        <f>IFERROR(__xludf.DUMMYFUNCTION("""COMPUTED_VALUE"""),16827.0)</f>
        <v>16827</v>
      </c>
      <c r="D4365" s="9" t="str">
        <f>IFERROR(__xludf.DUMMYFUNCTION("""COMPUTED_VALUE"""),"Completed")</f>
        <v>Completed</v>
      </c>
    </row>
    <row r="4366">
      <c r="A4366" s="9" t="str">
        <f>IFERROR(__xludf.DUMMYFUNCTION("""COMPUTED_VALUE"""),"G-REQ-04365")</f>
        <v>G-REQ-04365</v>
      </c>
      <c r="B4366" s="11">
        <f>IFERROR(__xludf.DUMMYFUNCTION("""COMPUTED_VALUE"""),46071.99244205806)</f>
        <v>46071.99244</v>
      </c>
      <c r="C4366" s="9">
        <f>IFERROR(__xludf.DUMMYFUNCTION("""COMPUTED_VALUE"""),16831.0)</f>
        <v>16831</v>
      </c>
      <c r="D4366" s="9" t="str">
        <f>IFERROR(__xludf.DUMMYFUNCTION("""COMPUTED_VALUE"""),"Completed")</f>
        <v>Completed</v>
      </c>
    </row>
    <row r="4367">
      <c r="A4367" s="9" t="str">
        <f>IFERROR(__xludf.DUMMYFUNCTION("""COMPUTED_VALUE"""),"G-REQ-04366")</f>
        <v>G-REQ-04366</v>
      </c>
      <c r="B4367" s="11">
        <f>IFERROR(__xludf.DUMMYFUNCTION("""COMPUTED_VALUE"""),46072.06361690347)</f>
        <v>46072.06362</v>
      </c>
      <c r="C4367" s="9">
        <f>IFERROR(__xludf.DUMMYFUNCTION("""COMPUTED_VALUE"""),16835.0)</f>
        <v>16835</v>
      </c>
      <c r="D4367" s="9" t="str">
        <f>IFERROR(__xludf.DUMMYFUNCTION("""COMPUTED_VALUE"""),"Completed")</f>
        <v>Completed</v>
      </c>
    </row>
    <row r="4368">
      <c r="A4368" s="9" t="str">
        <f>IFERROR(__xludf.DUMMYFUNCTION("""COMPUTED_VALUE"""),"G-REQ-04367")</f>
        <v>G-REQ-04367</v>
      </c>
      <c r="B4368" s="11">
        <f>IFERROR(__xludf.DUMMYFUNCTION("""COMPUTED_VALUE"""),46072.13479174889)</f>
        <v>46072.13479</v>
      </c>
      <c r="C4368" s="9">
        <f>IFERROR(__xludf.DUMMYFUNCTION("""COMPUTED_VALUE"""),16839.0)</f>
        <v>16839</v>
      </c>
      <c r="D4368" s="9" t="str">
        <f>IFERROR(__xludf.DUMMYFUNCTION("""COMPUTED_VALUE"""),"Completed")</f>
        <v>Completed</v>
      </c>
    </row>
    <row r="4369">
      <c r="A4369" s="9" t="str">
        <f>IFERROR(__xludf.DUMMYFUNCTION("""COMPUTED_VALUE"""),"G-REQ-04368")</f>
        <v>G-REQ-04368</v>
      </c>
      <c r="B4369" s="11">
        <f>IFERROR(__xludf.DUMMYFUNCTION("""COMPUTED_VALUE"""),46072.20596659431)</f>
        <v>46072.20597</v>
      </c>
      <c r="C4369" s="9">
        <f>IFERROR(__xludf.DUMMYFUNCTION("""COMPUTED_VALUE"""),16843.0)</f>
        <v>16843</v>
      </c>
      <c r="D4369" s="9" t="str">
        <f>IFERROR(__xludf.DUMMYFUNCTION("""COMPUTED_VALUE"""),"Completed")</f>
        <v>Completed</v>
      </c>
    </row>
    <row r="4370">
      <c r="A4370" s="9" t="str">
        <f>IFERROR(__xludf.DUMMYFUNCTION("""COMPUTED_VALUE"""),"G-REQ-04369")</f>
        <v>G-REQ-04369</v>
      </c>
      <c r="B4370" s="11">
        <f>IFERROR(__xludf.DUMMYFUNCTION("""COMPUTED_VALUE"""),46072.277141439714)</f>
        <v>46072.27714</v>
      </c>
      <c r="C4370" s="9">
        <f>IFERROR(__xludf.DUMMYFUNCTION("""COMPUTED_VALUE"""),16847.0)</f>
        <v>16847</v>
      </c>
      <c r="D4370" s="9" t="str">
        <f>IFERROR(__xludf.DUMMYFUNCTION("""COMPUTED_VALUE"""),"Completed")</f>
        <v>Completed</v>
      </c>
    </row>
    <row r="4371">
      <c r="A4371" s="9" t="str">
        <f>IFERROR(__xludf.DUMMYFUNCTION("""COMPUTED_VALUE"""),"G-REQ-04370")</f>
        <v>G-REQ-04370</v>
      </c>
      <c r="B4371" s="11">
        <f>IFERROR(__xludf.DUMMYFUNCTION("""COMPUTED_VALUE"""),46072.34831628513)</f>
        <v>46072.34832</v>
      </c>
      <c r="C4371" s="9">
        <f>IFERROR(__xludf.DUMMYFUNCTION("""COMPUTED_VALUE"""),16851.0)</f>
        <v>16851</v>
      </c>
      <c r="D4371" s="9" t="str">
        <f>IFERROR(__xludf.DUMMYFUNCTION("""COMPUTED_VALUE"""),"Completed")</f>
        <v>Completed</v>
      </c>
    </row>
    <row r="4372">
      <c r="A4372" s="9" t="str">
        <f>IFERROR(__xludf.DUMMYFUNCTION("""COMPUTED_VALUE"""),"G-REQ-04371")</f>
        <v>G-REQ-04371</v>
      </c>
      <c r="B4372" s="11">
        <f>IFERROR(__xludf.DUMMYFUNCTION("""COMPUTED_VALUE"""),46072.4125466861)</f>
        <v>46072.41255</v>
      </c>
      <c r="C4372" s="9">
        <f>IFERROR(__xludf.DUMMYFUNCTION("""COMPUTED_VALUE"""),16853.0)</f>
        <v>16853</v>
      </c>
      <c r="D4372" s="9" t="str">
        <f>IFERROR(__xludf.DUMMYFUNCTION("""COMPUTED_VALUE"""),"Rejected")</f>
        <v>Rejected</v>
      </c>
    </row>
    <row r="4373">
      <c r="A4373" s="9" t="str">
        <f>IFERROR(__xludf.DUMMYFUNCTION("""COMPUTED_VALUE"""),"G-REQ-04372")</f>
        <v>G-REQ-04372</v>
      </c>
      <c r="B4373" s="11">
        <f>IFERROR(__xludf.DUMMYFUNCTION("""COMPUTED_VALUE"""),46072.48372153152)</f>
        <v>46072.48372</v>
      </c>
      <c r="C4373" s="9">
        <f>IFERROR(__xludf.DUMMYFUNCTION("""COMPUTED_VALUE"""),16855.0)</f>
        <v>16855</v>
      </c>
      <c r="D4373" s="9" t="str">
        <f>IFERROR(__xludf.DUMMYFUNCTION("""COMPUTED_VALUE"""),"Cancelled")</f>
        <v>Cancelled</v>
      </c>
    </row>
    <row r="4374">
      <c r="A4374" s="9" t="str">
        <f>IFERROR(__xludf.DUMMYFUNCTION("""COMPUTED_VALUE"""),"G-REQ-04373")</f>
        <v>G-REQ-04373</v>
      </c>
      <c r="B4374" s="11">
        <f>IFERROR(__xludf.DUMMYFUNCTION("""COMPUTED_VALUE"""),46072.56184082138)</f>
        <v>46072.56184</v>
      </c>
      <c r="C4374" s="9">
        <f>IFERROR(__xludf.DUMMYFUNCTION("""COMPUTED_VALUE"""),16859.0)</f>
        <v>16859</v>
      </c>
      <c r="D4374" s="9" t="str">
        <f>IFERROR(__xludf.DUMMYFUNCTION("""COMPUTED_VALUE"""),"Completed")</f>
        <v>Completed</v>
      </c>
    </row>
    <row r="4375">
      <c r="A4375" s="9" t="str">
        <f>IFERROR(__xludf.DUMMYFUNCTION("""COMPUTED_VALUE"""),"G-REQ-04374")</f>
        <v>G-REQ-04374</v>
      </c>
      <c r="B4375" s="11">
        <f>IFERROR(__xludf.DUMMYFUNCTION("""COMPUTED_VALUE"""),46072.6330156668)</f>
        <v>46072.63302</v>
      </c>
      <c r="C4375" s="9">
        <f>IFERROR(__xludf.DUMMYFUNCTION("""COMPUTED_VALUE"""),16863.0)</f>
        <v>16863</v>
      </c>
      <c r="D4375" s="9" t="str">
        <f>IFERROR(__xludf.DUMMYFUNCTION("""COMPUTED_VALUE"""),"Completed")</f>
        <v>Completed</v>
      </c>
    </row>
    <row r="4376">
      <c r="A4376" s="9" t="str">
        <f>IFERROR(__xludf.DUMMYFUNCTION("""COMPUTED_VALUE"""),"G-REQ-04375")</f>
        <v>G-REQ-04375</v>
      </c>
      <c r="B4376" s="11">
        <f>IFERROR(__xludf.DUMMYFUNCTION("""COMPUTED_VALUE"""),46072.7041905122)</f>
        <v>46072.70419</v>
      </c>
      <c r="C4376" s="9">
        <f>IFERROR(__xludf.DUMMYFUNCTION("""COMPUTED_VALUE"""),16867.0)</f>
        <v>16867</v>
      </c>
      <c r="D4376" s="9" t="str">
        <f>IFERROR(__xludf.DUMMYFUNCTION("""COMPUTED_VALUE"""),"Completed")</f>
        <v>Completed</v>
      </c>
    </row>
    <row r="4377">
      <c r="A4377" s="9" t="str">
        <f>IFERROR(__xludf.DUMMYFUNCTION("""COMPUTED_VALUE"""),"G-REQ-04376")</f>
        <v>G-REQ-04376</v>
      </c>
      <c r="B4377" s="11">
        <f>IFERROR(__xludf.DUMMYFUNCTION("""COMPUTED_VALUE"""),46072.77536535762)</f>
        <v>46072.77537</v>
      </c>
      <c r="C4377" s="9">
        <f>IFERROR(__xludf.DUMMYFUNCTION("""COMPUTED_VALUE"""),16871.0)</f>
        <v>16871</v>
      </c>
      <c r="D4377" s="9" t="str">
        <f>IFERROR(__xludf.DUMMYFUNCTION("""COMPUTED_VALUE"""),"Completed")</f>
        <v>Completed</v>
      </c>
    </row>
    <row r="4378">
      <c r="A4378" s="9" t="str">
        <f>IFERROR(__xludf.DUMMYFUNCTION("""COMPUTED_VALUE"""),"G-REQ-04377")</f>
        <v>G-REQ-04377</v>
      </c>
      <c r="B4378" s="11">
        <f>IFERROR(__xludf.DUMMYFUNCTION("""COMPUTED_VALUE"""),46072.84654020304)</f>
        <v>46072.84654</v>
      </c>
      <c r="C4378" s="9">
        <f>IFERROR(__xludf.DUMMYFUNCTION("""COMPUTED_VALUE"""),16875.0)</f>
        <v>16875</v>
      </c>
      <c r="D4378" s="9" t="str">
        <f>IFERROR(__xludf.DUMMYFUNCTION("""COMPUTED_VALUE"""),"Completed")</f>
        <v>Completed</v>
      </c>
    </row>
    <row r="4379">
      <c r="A4379" s="9" t="str">
        <f>IFERROR(__xludf.DUMMYFUNCTION("""COMPUTED_VALUE"""),"G-REQ-04378")</f>
        <v>G-REQ-04378</v>
      </c>
      <c r="B4379" s="11">
        <f>IFERROR(__xludf.DUMMYFUNCTION("""COMPUTED_VALUE"""),46072.917715048454)</f>
        <v>46072.91772</v>
      </c>
      <c r="C4379" s="9">
        <f>IFERROR(__xludf.DUMMYFUNCTION("""COMPUTED_VALUE"""),16879.0)</f>
        <v>16879</v>
      </c>
      <c r="D4379" s="9" t="str">
        <f>IFERROR(__xludf.DUMMYFUNCTION("""COMPUTED_VALUE"""),"Completed")</f>
        <v>Completed</v>
      </c>
    </row>
    <row r="4380">
      <c r="A4380" s="9" t="str">
        <f>IFERROR(__xludf.DUMMYFUNCTION("""COMPUTED_VALUE"""),"G-REQ-04379")</f>
        <v>G-REQ-04379</v>
      </c>
      <c r="B4380" s="11">
        <f>IFERROR(__xludf.DUMMYFUNCTION("""COMPUTED_VALUE"""),46072.988889893866)</f>
        <v>46072.98889</v>
      </c>
      <c r="C4380" s="9">
        <f>IFERROR(__xludf.DUMMYFUNCTION("""COMPUTED_VALUE"""),16883.0)</f>
        <v>16883</v>
      </c>
      <c r="D4380" s="9" t="str">
        <f>IFERROR(__xludf.DUMMYFUNCTION("""COMPUTED_VALUE"""),"Completed")</f>
        <v>Completed</v>
      </c>
    </row>
    <row r="4381">
      <c r="A4381" s="9" t="str">
        <f>IFERROR(__xludf.DUMMYFUNCTION("""COMPUTED_VALUE"""),"G-REQ-04380")</f>
        <v>G-REQ-04380</v>
      </c>
      <c r="B4381" s="11">
        <f>IFERROR(__xludf.DUMMYFUNCTION("""COMPUTED_VALUE"""),46073.060064739286)</f>
        <v>46073.06006</v>
      </c>
      <c r="C4381" s="9">
        <f>IFERROR(__xludf.DUMMYFUNCTION("""COMPUTED_VALUE"""),16887.0)</f>
        <v>16887</v>
      </c>
      <c r="D4381" s="9" t="str">
        <f>IFERROR(__xludf.DUMMYFUNCTION("""COMPUTED_VALUE"""),"Completed")</f>
        <v>Completed</v>
      </c>
    </row>
    <row r="4382">
      <c r="A4382" s="9" t="str">
        <f>IFERROR(__xludf.DUMMYFUNCTION("""COMPUTED_VALUE"""),"G-REQ-04381")</f>
        <v>G-REQ-04381</v>
      </c>
      <c r="B4382" s="11">
        <f>IFERROR(__xludf.DUMMYFUNCTION("""COMPUTED_VALUE"""),46073.1312395847)</f>
        <v>46073.13124</v>
      </c>
      <c r="C4382" s="9">
        <f>IFERROR(__xludf.DUMMYFUNCTION("""COMPUTED_VALUE"""),16891.0)</f>
        <v>16891</v>
      </c>
      <c r="D4382" s="9" t="str">
        <f>IFERROR(__xludf.DUMMYFUNCTION("""COMPUTED_VALUE"""),"Completed")</f>
        <v>Completed</v>
      </c>
    </row>
    <row r="4383">
      <c r="A4383" s="9" t="str">
        <f>IFERROR(__xludf.DUMMYFUNCTION("""COMPUTED_VALUE"""),"G-REQ-04382")</f>
        <v>G-REQ-04382</v>
      </c>
      <c r="B4383" s="11">
        <f>IFERROR(__xludf.DUMMYFUNCTION("""COMPUTED_VALUE"""),46073.20241443011)</f>
        <v>46073.20241</v>
      </c>
      <c r="C4383" s="9">
        <f>IFERROR(__xludf.DUMMYFUNCTION("""COMPUTED_VALUE"""),16895.0)</f>
        <v>16895</v>
      </c>
      <c r="D4383" s="9" t="str">
        <f>IFERROR(__xludf.DUMMYFUNCTION("""COMPUTED_VALUE"""),"Completed")</f>
        <v>Completed</v>
      </c>
    </row>
    <row r="4384">
      <c r="A4384" s="9" t="str">
        <f>IFERROR(__xludf.DUMMYFUNCTION("""COMPUTED_VALUE"""),"G-REQ-04383")</f>
        <v>G-REQ-04383</v>
      </c>
      <c r="B4384" s="11">
        <f>IFERROR(__xludf.DUMMYFUNCTION("""COMPUTED_VALUE"""),46073.27358927553)</f>
        <v>46073.27359</v>
      </c>
      <c r="C4384" s="9">
        <f>IFERROR(__xludf.DUMMYFUNCTION("""COMPUTED_VALUE"""),16899.0)</f>
        <v>16899</v>
      </c>
      <c r="D4384" s="9" t="str">
        <f>IFERROR(__xludf.DUMMYFUNCTION("""COMPUTED_VALUE"""),"Completed")</f>
        <v>Completed</v>
      </c>
    </row>
    <row r="4385">
      <c r="A4385" s="9" t="str">
        <f>IFERROR(__xludf.DUMMYFUNCTION("""COMPUTED_VALUE"""),"G-REQ-04384")</f>
        <v>G-REQ-04384</v>
      </c>
      <c r="B4385" s="11">
        <f>IFERROR(__xludf.DUMMYFUNCTION("""COMPUTED_VALUE"""),46073.34476412095)</f>
        <v>46073.34476</v>
      </c>
      <c r="C4385" s="9">
        <f>IFERROR(__xludf.DUMMYFUNCTION("""COMPUTED_VALUE"""),16903.0)</f>
        <v>16903</v>
      </c>
      <c r="D4385" s="9" t="str">
        <f>IFERROR(__xludf.DUMMYFUNCTION("""COMPUTED_VALUE"""),"Completed")</f>
        <v>Completed</v>
      </c>
    </row>
    <row r="4386">
      <c r="A4386" s="9" t="str">
        <f>IFERROR(__xludf.DUMMYFUNCTION("""COMPUTED_VALUE"""),"G-REQ-04385")</f>
        <v>G-REQ-04385</v>
      </c>
      <c r="B4386" s="11">
        <f>IFERROR(__xludf.DUMMYFUNCTION("""COMPUTED_VALUE"""),46073.415938966355)</f>
        <v>46073.41594</v>
      </c>
      <c r="C4386" s="9">
        <f>IFERROR(__xludf.DUMMYFUNCTION("""COMPUTED_VALUE"""),16907.0)</f>
        <v>16907</v>
      </c>
      <c r="D4386" s="9" t="str">
        <f>IFERROR(__xludf.DUMMYFUNCTION("""COMPUTED_VALUE"""),"Completed")</f>
        <v>Completed</v>
      </c>
    </row>
    <row r="4387">
      <c r="A4387" s="9" t="str">
        <f>IFERROR(__xludf.DUMMYFUNCTION("""COMPUTED_VALUE"""),"G-REQ-04386")</f>
        <v>G-REQ-04386</v>
      </c>
      <c r="B4387" s="11">
        <f>IFERROR(__xludf.DUMMYFUNCTION("""COMPUTED_VALUE"""),46073.487113811774)</f>
        <v>46073.48711</v>
      </c>
      <c r="C4387" s="9">
        <f>IFERROR(__xludf.DUMMYFUNCTION("""COMPUTED_VALUE"""),16911.0)</f>
        <v>16911</v>
      </c>
      <c r="D4387" s="9" t="str">
        <f>IFERROR(__xludf.DUMMYFUNCTION("""COMPUTED_VALUE"""),"Completed")</f>
        <v>Completed</v>
      </c>
    </row>
    <row r="4388">
      <c r="A4388" s="9" t="str">
        <f>IFERROR(__xludf.DUMMYFUNCTION("""COMPUTED_VALUE"""),"G-REQ-04387")</f>
        <v>G-REQ-04387</v>
      </c>
      <c r="B4388" s="11">
        <f>IFERROR(__xludf.DUMMYFUNCTION("""COMPUTED_VALUE"""),46073.558288657194)</f>
        <v>46073.55829</v>
      </c>
      <c r="C4388" s="9">
        <f>IFERROR(__xludf.DUMMYFUNCTION("""COMPUTED_VALUE"""),16915.0)</f>
        <v>16915</v>
      </c>
      <c r="D4388" s="9" t="str">
        <f>IFERROR(__xludf.DUMMYFUNCTION("""COMPUTED_VALUE"""),"Completed")</f>
        <v>Completed</v>
      </c>
    </row>
    <row r="4389">
      <c r="A4389" s="9" t="str">
        <f>IFERROR(__xludf.DUMMYFUNCTION("""COMPUTED_VALUE"""),"G-REQ-04388")</f>
        <v>G-REQ-04388</v>
      </c>
      <c r="B4389" s="11">
        <f>IFERROR(__xludf.DUMMYFUNCTION("""COMPUTED_VALUE"""),46073.629463502606)</f>
        <v>46073.62946</v>
      </c>
      <c r="C4389" s="9">
        <f>IFERROR(__xludf.DUMMYFUNCTION("""COMPUTED_VALUE"""),16919.0)</f>
        <v>16919</v>
      </c>
      <c r="D4389" s="9" t="str">
        <f>IFERROR(__xludf.DUMMYFUNCTION("""COMPUTED_VALUE"""),"Completed")</f>
        <v>Completed</v>
      </c>
    </row>
    <row r="4390">
      <c r="A4390" s="9" t="str">
        <f>IFERROR(__xludf.DUMMYFUNCTION("""COMPUTED_VALUE"""),"G-REQ-04389")</f>
        <v>G-REQ-04389</v>
      </c>
      <c r="B4390" s="11">
        <f>IFERROR(__xludf.DUMMYFUNCTION("""COMPUTED_VALUE"""),46073.70063834802)</f>
        <v>46073.70064</v>
      </c>
      <c r="C4390" s="9">
        <f>IFERROR(__xludf.DUMMYFUNCTION("""COMPUTED_VALUE"""),16923.0)</f>
        <v>16923</v>
      </c>
      <c r="D4390" s="9" t="str">
        <f>IFERROR(__xludf.DUMMYFUNCTION("""COMPUTED_VALUE"""),"Completed")</f>
        <v>Completed</v>
      </c>
    </row>
    <row r="4391">
      <c r="A4391" s="9" t="str">
        <f>IFERROR(__xludf.DUMMYFUNCTION("""COMPUTED_VALUE"""),"G-REQ-04390")</f>
        <v>G-REQ-04390</v>
      </c>
      <c r="B4391" s="11">
        <f>IFERROR(__xludf.DUMMYFUNCTION("""COMPUTED_VALUE"""),46073.77181319344)</f>
        <v>46073.77181</v>
      </c>
      <c r="C4391" s="9">
        <f>IFERROR(__xludf.DUMMYFUNCTION("""COMPUTED_VALUE"""),16927.0)</f>
        <v>16927</v>
      </c>
      <c r="D4391" s="9" t="str">
        <f>IFERROR(__xludf.DUMMYFUNCTION("""COMPUTED_VALUE"""),"Completed")</f>
        <v>Completed</v>
      </c>
    </row>
    <row r="4392">
      <c r="A4392" s="9" t="str">
        <f>IFERROR(__xludf.DUMMYFUNCTION("""COMPUTED_VALUE"""),"G-REQ-04391")</f>
        <v>G-REQ-04391</v>
      </c>
      <c r="B4392" s="11">
        <f>IFERROR(__xludf.DUMMYFUNCTION("""COMPUTED_VALUE"""),46073.84298803885)</f>
        <v>46073.84299</v>
      </c>
      <c r="C4392" s="9">
        <f>IFERROR(__xludf.DUMMYFUNCTION("""COMPUTED_VALUE"""),16931.0)</f>
        <v>16931</v>
      </c>
      <c r="D4392" s="9" t="str">
        <f>IFERROR(__xludf.DUMMYFUNCTION("""COMPUTED_VALUE"""),"Completed")</f>
        <v>Completed</v>
      </c>
    </row>
    <row r="4393">
      <c r="A4393" s="9" t="str">
        <f>IFERROR(__xludf.DUMMYFUNCTION("""COMPUTED_VALUE"""),"G-REQ-04392")</f>
        <v>G-REQ-04392</v>
      </c>
      <c r="B4393" s="11">
        <f>IFERROR(__xludf.DUMMYFUNCTION("""COMPUTED_VALUE"""),46073.90721843982)</f>
        <v>46073.90722</v>
      </c>
      <c r="C4393" s="9">
        <f>IFERROR(__xludf.DUMMYFUNCTION("""COMPUTED_VALUE"""),16933.0)</f>
        <v>16933</v>
      </c>
      <c r="D4393" s="9" t="str">
        <f>IFERROR(__xludf.DUMMYFUNCTION("""COMPUTED_VALUE"""),"Rejected")</f>
        <v>Rejected</v>
      </c>
    </row>
    <row r="4394">
      <c r="A4394" s="9" t="str">
        <f>IFERROR(__xludf.DUMMYFUNCTION("""COMPUTED_VALUE"""),"G-REQ-04393")</f>
        <v>G-REQ-04393</v>
      </c>
      <c r="B4394" s="11">
        <f>IFERROR(__xludf.DUMMYFUNCTION("""COMPUTED_VALUE"""),46073.98533772968)</f>
        <v>46073.98534</v>
      </c>
      <c r="C4394" s="9">
        <f>IFERROR(__xludf.DUMMYFUNCTION("""COMPUTED_VALUE"""),16937.0)</f>
        <v>16937</v>
      </c>
      <c r="D4394" s="9" t="str">
        <f>IFERROR(__xludf.DUMMYFUNCTION("""COMPUTED_VALUE"""),"Completed")</f>
        <v>Completed</v>
      </c>
    </row>
    <row r="4395">
      <c r="A4395" s="9" t="str">
        <f>IFERROR(__xludf.DUMMYFUNCTION("""COMPUTED_VALUE"""),"G-REQ-04394")</f>
        <v>G-REQ-04394</v>
      </c>
      <c r="B4395" s="11">
        <f>IFERROR(__xludf.DUMMYFUNCTION("""COMPUTED_VALUE"""),46074.056512575095)</f>
        <v>46074.05651</v>
      </c>
      <c r="C4395" s="9">
        <f>IFERROR(__xludf.DUMMYFUNCTION("""COMPUTED_VALUE"""),16941.0)</f>
        <v>16941</v>
      </c>
      <c r="D4395" s="9" t="str">
        <f>IFERROR(__xludf.DUMMYFUNCTION("""COMPUTED_VALUE"""),"Completed")</f>
        <v>Completed</v>
      </c>
    </row>
    <row r="4396">
      <c r="A4396" s="9" t="str">
        <f>IFERROR(__xludf.DUMMYFUNCTION("""COMPUTED_VALUE"""),"G-REQ-04395")</f>
        <v>G-REQ-04395</v>
      </c>
      <c r="B4396" s="11">
        <f>IFERROR(__xludf.DUMMYFUNCTION("""COMPUTED_VALUE"""),46074.12768742051)</f>
        <v>46074.12769</v>
      </c>
      <c r="C4396" s="9">
        <f>IFERROR(__xludf.DUMMYFUNCTION("""COMPUTED_VALUE"""),16945.0)</f>
        <v>16945</v>
      </c>
      <c r="D4396" s="9" t="str">
        <f>IFERROR(__xludf.DUMMYFUNCTION("""COMPUTED_VALUE"""),"Completed")</f>
        <v>Completed</v>
      </c>
    </row>
    <row r="4397">
      <c r="A4397" s="9" t="str">
        <f>IFERROR(__xludf.DUMMYFUNCTION("""COMPUTED_VALUE"""),"G-REQ-04396")</f>
        <v>G-REQ-04396</v>
      </c>
      <c r="B4397" s="11">
        <f>IFERROR(__xludf.DUMMYFUNCTION("""COMPUTED_VALUE"""),46074.19886226593)</f>
        <v>46074.19886</v>
      </c>
      <c r="C4397" s="9">
        <f>IFERROR(__xludf.DUMMYFUNCTION("""COMPUTED_VALUE"""),16949.0)</f>
        <v>16949</v>
      </c>
      <c r="D4397" s="9" t="str">
        <f>IFERROR(__xludf.DUMMYFUNCTION("""COMPUTED_VALUE"""),"Completed")</f>
        <v>Completed</v>
      </c>
    </row>
    <row r="4398">
      <c r="A4398" s="9" t="str">
        <f>IFERROR(__xludf.DUMMYFUNCTION("""COMPUTED_VALUE"""),"G-REQ-04397")</f>
        <v>G-REQ-04397</v>
      </c>
      <c r="B4398" s="11">
        <f>IFERROR(__xludf.DUMMYFUNCTION("""COMPUTED_VALUE"""),46074.26309266689)</f>
        <v>46074.26309</v>
      </c>
      <c r="C4398" s="9">
        <f>IFERROR(__xludf.DUMMYFUNCTION("""COMPUTED_VALUE"""),16951.0)</f>
        <v>16951</v>
      </c>
      <c r="D4398" s="9" t="str">
        <f>IFERROR(__xludf.DUMMYFUNCTION("""COMPUTED_VALUE"""),"Rejected")</f>
        <v>Rejected</v>
      </c>
    </row>
    <row r="4399">
      <c r="A4399" s="9" t="str">
        <f>IFERROR(__xludf.DUMMYFUNCTION("""COMPUTED_VALUE"""),"G-REQ-04398")</f>
        <v>G-REQ-04398</v>
      </c>
      <c r="B4399" s="11">
        <f>IFERROR(__xludf.DUMMYFUNCTION("""COMPUTED_VALUE"""),46074.34121195675)</f>
        <v>46074.34121</v>
      </c>
      <c r="C4399" s="9">
        <f>IFERROR(__xludf.DUMMYFUNCTION("""COMPUTED_VALUE"""),16955.0)</f>
        <v>16955</v>
      </c>
      <c r="D4399" s="9" t="str">
        <f>IFERROR(__xludf.DUMMYFUNCTION("""COMPUTED_VALUE"""),"Completed")</f>
        <v>Completed</v>
      </c>
    </row>
    <row r="4400">
      <c r="A4400" s="9" t="str">
        <f>IFERROR(__xludf.DUMMYFUNCTION("""COMPUTED_VALUE"""),"G-REQ-04399")</f>
        <v>G-REQ-04399</v>
      </c>
      <c r="B4400" s="11">
        <f>IFERROR(__xludf.DUMMYFUNCTION("""COMPUTED_VALUE"""),46074.41238680217)</f>
        <v>46074.41239</v>
      </c>
      <c r="C4400" s="9">
        <f>IFERROR(__xludf.DUMMYFUNCTION("""COMPUTED_VALUE"""),16959.0)</f>
        <v>16959</v>
      </c>
      <c r="D4400" s="9" t="str">
        <f>IFERROR(__xludf.DUMMYFUNCTION("""COMPUTED_VALUE"""),"Completed")</f>
        <v>Completed</v>
      </c>
    </row>
    <row r="4401">
      <c r="A4401" s="9" t="str">
        <f>IFERROR(__xludf.DUMMYFUNCTION("""COMPUTED_VALUE"""),"G-REQ-04400")</f>
        <v>G-REQ-04400</v>
      </c>
      <c r="B4401" s="11">
        <f>IFERROR(__xludf.DUMMYFUNCTION("""COMPUTED_VALUE"""),46074.48356164759)</f>
        <v>46074.48356</v>
      </c>
      <c r="C4401" s="9">
        <f>IFERROR(__xludf.DUMMYFUNCTION("""COMPUTED_VALUE"""),16963.0)</f>
        <v>16963</v>
      </c>
      <c r="D4401" s="9" t="str">
        <f>IFERROR(__xludf.DUMMYFUNCTION("""COMPUTED_VALUE"""),"Completed")</f>
        <v>Completed</v>
      </c>
    </row>
    <row r="4402">
      <c r="A4402" s="9" t="str">
        <f>IFERROR(__xludf.DUMMYFUNCTION("""COMPUTED_VALUE"""),"G-REQ-04401")</f>
        <v>G-REQ-04401</v>
      </c>
      <c r="B4402" s="11">
        <f>IFERROR(__xludf.DUMMYFUNCTION("""COMPUTED_VALUE"""),46074.554736492995)</f>
        <v>46074.55474</v>
      </c>
      <c r="C4402" s="9">
        <f>IFERROR(__xludf.DUMMYFUNCTION("""COMPUTED_VALUE"""),16967.0)</f>
        <v>16967</v>
      </c>
      <c r="D4402" s="9" t="str">
        <f>IFERROR(__xludf.DUMMYFUNCTION("""COMPUTED_VALUE"""),"Completed")</f>
        <v>Completed</v>
      </c>
    </row>
    <row r="4403">
      <c r="A4403" s="9" t="str">
        <f>IFERROR(__xludf.DUMMYFUNCTION("""COMPUTED_VALUE"""),"G-REQ-04402")</f>
        <v>G-REQ-04402</v>
      </c>
      <c r="B4403" s="11">
        <f>IFERROR(__xludf.DUMMYFUNCTION("""COMPUTED_VALUE"""),46074.61896689397)</f>
        <v>46074.61897</v>
      </c>
      <c r="C4403" s="9">
        <f>IFERROR(__xludf.DUMMYFUNCTION("""COMPUTED_VALUE"""),16969.0)</f>
        <v>16969</v>
      </c>
      <c r="D4403" s="9" t="str">
        <f>IFERROR(__xludf.DUMMYFUNCTION("""COMPUTED_VALUE"""),"Cancelled")</f>
        <v>Cancelled</v>
      </c>
    </row>
    <row r="4404">
      <c r="A4404" s="9" t="str">
        <f>IFERROR(__xludf.DUMMYFUNCTION("""COMPUTED_VALUE"""),"G-REQ-04403")</f>
        <v>G-REQ-04403</v>
      </c>
      <c r="B4404" s="11">
        <f>IFERROR(__xludf.DUMMYFUNCTION("""COMPUTED_VALUE"""),46074.697086183834)</f>
        <v>46074.69709</v>
      </c>
      <c r="C4404" s="9">
        <f>IFERROR(__xludf.DUMMYFUNCTION("""COMPUTED_VALUE"""),16973.0)</f>
        <v>16973</v>
      </c>
      <c r="D4404" s="9" t="str">
        <f>IFERROR(__xludf.DUMMYFUNCTION("""COMPUTED_VALUE"""),"Completed")</f>
        <v>Completed</v>
      </c>
    </row>
    <row r="4405">
      <c r="A4405" s="9" t="str">
        <f>IFERROR(__xludf.DUMMYFUNCTION("""COMPUTED_VALUE"""),"G-REQ-04404")</f>
        <v>G-REQ-04404</v>
      </c>
      <c r="B4405" s="11">
        <f>IFERROR(__xludf.DUMMYFUNCTION("""COMPUTED_VALUE"""),46074.76826102925)</f>
        <v>46074.76826</v>
      </c>
      <c r="C4405" s="9">
        <f>IFERROR(__xludf.DUMMYFUNCTION("""COMPUTED_VALUE"""),16977.0)</f>
        <v>16977</v>
      </c>
      <c r="D4405" s="9" t="str">
        <f>IFERROR(__xludf.DUMMYFUNCTION("""COMPUTED_VALUE"""),"Completed")</f>
        <v>Completed</v>
      </c>
    </row>
    <row r="4406">
      <c r="A4406" s="9" t="str">
        <f>IFERROR(__xludf.DUMMYFUNCTION("""COMPUTED_VALUE"""),"G-REQ-04405")</f>
        <v>G-REQ-04405</v>
      </c>
      <c r="B4406" s="11">
        <f>IFERROR(__xludf.DUMMYFUNCTION("""COMPUTED_VALUE"""),46074.83943587466)</f>
        <v>46074.83944</v>
      </c>
      <c r="C4406" s="9">
        <f>IFERROR(__xludf.DUMMYFUNCTION("""COMPUTED_VALUE"""),16981.0)</f>
        <v>16981</v>
      </c>
      <c r="D4406" s="9" t="str">
        <f>IFERROR(__xludf.DUMMYFUNCTION("""COMPUTED_VALUE"""),"Completed")</f>
        <v>Completed</v>
      </c>
    </row>
    <row r="4407">
      <c r="A4407" s="9" t="str">
        <f>IFERROR(__xludf.DUMMYFUNCTION("""COMPUTED_VALUE"""),"G-REQ-04406")</f>
        <v>G-REQ-04406</v>
      </c>
      <c r="B4407" s="11">
        <f>IFERROR(__xludf.DUMMYFUNCTION("""COMPUTED_VALUE"""),46074.91061072008)</f>
        <v>46074.91061</v>
      </c>
      <c r="C4407" s="9">
        <f>IFERROR(__xludf.DUMMYFUNCTION("""COMPUTED_VALUE"""),16985.0)</f>
        <v>16985</v>
      </c>
      <c r="D4407" s="9" t="str">
        <f>IFERROR(__xludf.DUMMYFUNCTION("""COMPUTED_VALUE"""),"Completed")</f>
        <v>Completed</v>
      </c>
    </row>
    <row r="4408">
      <c r="A4408" s="9" t="str">
        <f>IFERROR(__xludf.DUMMYFUNCTION("""COMPUTED_VALUE"""),"G-REQ-04407")</f>
        <v>G-REQ-04407</v>
      </c>
      <c r="B4408" s="11">
        <f>IFERROR(__xludf.DUMMYFUNCTION("""COMPUTED_VALUE"""),46074.98178556549)</f>
        <v>46074.98179</v>
      </c>
      <c r="C4408" s="9">
        <f>IFERROR(__xludf.DUMMYFUNCTION("""COMPUTED_VALUE"""),16989.0)</f>
        <v>16989</v>
      </c>
      <c r="D4408" s="9" t="str">
        <f>IFERROR(__xludf.DUMMYFUNCTION("""COMPUTED_VALUE"""),"Completed")</f>
        <v>Completed</v>
      </c>
    </row>
    <row r="4409">
      <c r="A4409" s="9" t="str">
        <f>IFERROR(__xludf.DUMMYFUNCTION("""COMPUTED_VALUE"""),"G-REQ-04408")</f>
        <v>G-REQ-04408</v>
      </c>
      <c r="B4409" s="11">
        <f>IFERROR(__xludf.DUMMYFUNCTION("""COMPUTED_VALUE"""),46075.0529604109)</f>
        <v>46075.05296</v>
      </c>
      <c r="C4409" s="9">
        <f>IFERROR(__xludf.DUMMYFUNCTION("""COMPUTED_VALUE"""),16993.0)</f>
        <v>16993</v>
      </c>
      <c r="D4409" s="9" t="str">
        <f>IFERROR(__xludf.DUMMYFUNCTION("""COMPUTED_VALUE"""),"Completed")</f>
        <v>Completed</v>
      </c>
    </row>
    <row r="4410">
      <c r="A4410" s="9" t="str">
        <f>IFERROR(__xludf.DUMMYFUNCTION("""COMPUTED_VALUE"""),"G-REQ-04409")</f>
        <v>G-REQ-04409</v>
      </c>
      <c r="B4410" s="11">
        <f>IFERROR(__xludf.DUMMYFUNCTION("""COMPUTED_VALUE"""),46075.12413525632)</f>
        <v>46075.12414</v>
      </c>
      <c r="C4410" s="9">
        <f>IFERROR(__xludf.DUMMYFUNCTION("""COMPUTED_VALUE"""),16997.0)</f>
        <v>16997</v>
      </c>
      <c r="D4410" s="9" t="str">
        <f>IFERROR(__xludf.DUMMYFUNCTION("""COMPUTED_VALUE"""),"Completed")</f>
        <v>Completed</v>
      </c>
    </row>
    <row r="4411">
      <c r="A4411" s="9" t="str">
        <f>IFERROR(__xludf.DUMMYFUNCTION("""COMPUTED_VALUE"""),"G-REQ-04410")</f>
        <v>G-REQ-04410</v>
      </c>
      <c r="B4411" s="11">
        <f>IFERROR(__xludf.DUMMYFUNCTION("""COMPUTED_VALUE"""),46075.19531010174)</f>
        <v>46075.19531</v>
      </c>
      <c r="C4411" s="9">
        <f>IFERROR(__xludf.DUMMYFUNCTION("""COMPUTED_VALUE"""),17001.0)</f>
        <v>17001</v>
      </c>
      <c r="D4411" s="9" t="str">
        <f>IFERROR(__xludf.DUMMYFUNCTION("""COMPUTED_VALUE"""),"Completed")</f>
        <v>Completed</v>
      </c>
    </row>
    <row r="4412">
      <c r="A4412" s="9" t="str">
        <f>IFERROR(__xludf.DUMMYFUNCTION("""COMPUTED_VALUE"""),"G-REQ-04411")</f>
        <v>G-REQ-04411</v>
      </c>
      <c r="B4412" s="11">
        <f>IFERROR(__xludf.DUMMYFUNCTION("""COMPUTED_VALUE"""),46075.26648494715)</f>
        <v>46075.26648</v>
      </c>
      <c r="C4412" s="9">
        <f>IFERROR(__xludf.DUMMYFUNCTION("""COMPUTED_VALUE"""),17005.0)</f>
        <v>17005</v>
      </c>
      <c r="D4412" s="9" t="str">
        <f>IFERROR(__xludf.DUMMYFUNCTION("""COMPUTED_VALUE"""),"Completed")</f>
        <v>Completed</v>
      </c>
    </row>
    <row r="4413">
      <c r="A4413" s="9" t="str">
        <f>IFERROR(__xludf.DUMMYFUNCTION("""COMPUTED_VALUE"""),"G-REQ-04412")</f>
        <v>G-REQ-04412</v>
      </c>
      <c r="B4413" s="11">
        <f>IFERROR(__xludf.DUMMYFUNCTION("""COMPUTED_VALUE"""),46075.33071534812)</f>
        <v>46075.33072</v>
      </c>
      <c r="C4413" s="9">
        <f>IFERROR(__xludf.DUMMYFUNCTION("""COMPUTED_VALUE"""),17007.0)</f>
        <v>17007</v>
      </c>
      <c r="D4413" s="9" t="str">
        <f>IFERROR(__xludf.DUMMYFUNCTION("""COMPUTED_VALUE"""),"Rejected")</f>
        <v>Rejected</v>
      </c>
    </row>
    <row r="4414">
      <c r="A4414" s="9" t="str">
        <f>IFERROR(__xludf.DUMMYFUNCTION("""COMPUTED_VALUE"""),"G-REQ-04413")</f>
        <v>G-REQ-04413</v>
      </c>
      <c r="B4414" s="11">
        <f>IFERROR(__xludf.DUMMYFUNCTION("""COMPUTED_VALUE"""),46075.40883463798)</f>
        <v>46075.40883</v>
      </c>
      <c r="C4414" s="9">
        <f>IFERROR(__xludf.DUMMYFUNCTION("""COMPUTED_VALUE"""),17011.0)</f>
        <v>17011</v>
      </c>
      <c r="D4414" s="9" t="str">
        <f>IFERROR(__xludf.DUMMYFUNCTION("""COMPUTED_VALUE"""),"Completed")</f>
        <v>Completed</v>
      </c>
    </row>
    <row r="4415">
      <c r="A4415" s="9" t="str">
        <f>IFERROR(__xludf.DUMMYFUNCTION("""COMPUTED_VALUE"""),"G-REQ-04414")</f>
        <v>G-REQ-04414</v>
      </c>
      <c r="B4415" s="11">
        <f>IFERROR(__xludf.DUMMYFUNCTION("""COMPUTED_VALUE"""),46075.4800094834)</f>
        <v>46075.48001</v>
      </c>
      <c r="C4415" s="9">
        <f>IFERROR(__xludf.DUMMYFUNCTION("""COMPUTED_VALUE"""),17015.0)</f>
        <v>17015</v>
      </c>
      <c r="D4415" s="9" t="str">
        <f>IFERROR(__xludf.DUMMYFUNCTION("""COMPUTED_VALUE"""),"Completed")</f>
        <v>Completed</v>
      </c>
    </row>
    <row r="4416">
      <c r="A4416" s="9" t="str">
        <f>IFERROR(__xludf.DUMMYFUNCTION("""COMPUTED_VALUE"""),"G-REQ-04415")</f>
        <v>G-REQ-04415</v>
      </c>
      <c r="B4416" s="11">
        <f>IFERROR(__xludf.DUMMYFUNCTION("""COMPUTED_VALUE"""),46075.55118432881)</f>
        <v>46075.55118</v>
      </c>
      <c r="C4416" s="9">
        <f>IFERROR(__xludf.DUMMYFUNCTION("""COMPUTED_VALUE"""),17019.0)</f>
        <v>17019</v>
      </c>
      <c r="D4416" s="9" t="str">
        <f>IFERROR(__xludf.DUMMYFUNCTION("""COMPUTED_VALUE"""),"Completed")</f>
        <v>Completed</v>
      </c>
    </row>
    <row r="4417">
      <c r="A4417" s="9" t="str">
        <f>IFERROR(__xludf.DUMMYFUNCTION("""COMPUTED_VALUE"""),"G-REQ-04416")</f>
        <v>G-REQ-04416</v>
      </c>
      <c r="B4417" s="11">
        <f>IFERROR(__xludf.DUMMYFUNCTION("""COMPUTED_VALUE"""),46075.615414729786)</f>
        <v>46075.61541</v>
      </c>
      <c r="C4417" s="9">
        <f>IFERROR(__xludf.DUMMYFUNCTION("""COMPUTED_VALUE"""),17021.0)</f>
        <v>17021</v>
      </c>
      <c r="D4417" s="9" t="str">
        <f>IFERROR(__xludf.DUMMYFUNCTION("""COMPUTED_VALUE"""),"Rejected")</f>
        <v>Rejected</v>
      </c>
    </row>
    <row r="4418">
      <c r="A4418" s="9" t="str">
        <f>IFERROR(__xludf.DUMMYFUNCTION("""COMPUTED_VALUE"""),"G-REQ-04417")</f>
        <v>G-REQ-04417</v>
      </c>
      <c r="B4418" s="11">
        <f>IFERROR(__xludf.DUMMYFUNCTION("""COMPUTED_VALUE"""),46075.693534019636)</f>
        <v>46075.69353</v>
      </c>
      <c r="C4418" s="9">
        <f>IFERROR(__xludf.DUMMYFUNCTION("""COMPUTED_VALUE"""),17025.0)</f>
        <v>17025</v>
      </c>
      <c r="D4418" s="9" t="str">
        <f>IFERROR(__xludf.DUMMYFUNCTION("""COMPUTED_VALUE"""),"Completed")</f>
        <v>Completed</v>
      </c>
    </row>
    <row r="4419">
      <c r="A4419" s="9" t="str">
        <f>IFERROR(__xludf.DUMMYFUNCTION("""COMPUTED_VALUE"""),"G-REQ-04418")</f>
        <v>G-REQ-04418</v>
      </c>
      <c r="B4419" s="11">
        <f>IFERROR(__xludf.DUMMYFUNCTION("""COMPUTED_VALUE"""),46075.764708865056)</f>
        <v>46075.76471</v>
      </c>
      <c r="C4419" s="9">
        <f>IFERROR(__xludf.DUMMYFUNCTION("""COMPUTED_VALUE"""),17029.0)</f>
        <v>17029</v>
      </c>
      <c r="D4419" s="9" t="str">
        <f>IFERROR(__xludf.DUMMYFUNCTION("""COMPUTED_VALUE"""),"Completed")</f>
        <v>Completed</v>
      </c>
    </row>
    <row r="4420">
      <c r="A4420" s="9" t="str">
        <f>IFERROR(__xludf.DUMMYFUNCTION("""COMPUTED_VALUE"""),"G-REQ-04419")</f>
        <v>G-REQ-04419</v>
      </c>
      <c r="B4420" s="11">
        <f>IFERROR(__xludf.DUMMYFUNCTION("""COMPUTED_VALUE"""),46075.835883710475)</f>
        <v>46075.83588</v>
      </c>
      <c r="C4420" s="9">
        <f>IFERROR(__xludf.DUMMYFUNCTION("""COMPUTED_VALUE"""),17033.0)</f>
        <v>17033</v>
      </c>
      <c r="D4420" s="9" t="str">
        <f>IFERROR(__xludf.DUMMYFUNCTION("""COMPUTED_VALUE"""),"Completed")</f>
        <v>Completed</v>
      </c>
    </row>
    <row r="4421">
      <c r="A4421" s="9" t="str">
        <f>IFERROR(__xludf.DUMMYFUNCTION("""COMPUTED_VALUE"""),"G-REQ-04420")</f>
        <v>G-REQ-04420</v>
      </c>
      <c r="B4421" s="11">
        <f>IFERROR(__xludf.DUMMYFUNCTION("""COMPUTED_VALUE"""),46075.90705855589)</f>
        <v>46075.90706</v>
      </c>
      <c r="C4421" s="9">
        <f>IFERROR(__xludf.DUMMYFUNCTION("""COMPUTED_VALUE"""),17037.0)</f>
        <v>17037</v>
      </c>
      <c r="D4421" s="9" t="str">
        <f>IFERROR(__xludf.DUMMYFUNCTION("""COMPUTED_VALUE"""),"Completed")</f>
        <v>Completed</v>
      </c>
    </row>
    <row r="4422">
      <c r="A4422" s="9" t="str">
        <f>IFERROR(__xludf.DUMMYFUNCTION("""COMPUTED_VALUE"""),"G-REQ-04421")</f>
        <v>G-REQ-04421</v>
      </c>
      <c r="B4422" s="11">
        <f>IFERROR(__xludf.DUMMYFUNCTION("""COMPUTED_VALUE"""),46075.9782334013)</f>
        <v>46075.97823</v>
      </c>
      <c r="C4422" s="9">
        <f>IFERROR(__xludf.DUMMYFUNCTION("""COMPUTED_VALUE"""),17041.0)</f>
        <v>17041</v>
      </c>
      <c r="D4422" s="9" t="str">
        <f>IFERROR(__xludf.DUMMYFUNCTION("""COMPUTED_VALUE"""),"Completed")</f>
        <v>Completed</v>
      </c>
    </row>
    <row r="4423">
      <c r="A4423" s="9" t="str">
        <f>IFERROR(__xludf.DUMMYFUNCTION("""COMPUTED_VALUE"""),"G-REQ-04422")</f>
        <v>G-REQ-04422</v>
      </c>
      <c r="B4423" s="11">
        <f>IFERROR(__xludf.DUMMYFUNCTION("""COMPUTED_VALUE"""),46076.04940824672)</f>
        <v>46076.04941</v>
      </c>
      <c r="C4423" s="9">
        <f>IFERROR(__xludf.DUMMYFUNCTION("""COMPUTED_VALUE"""),17045.0)</f>
        <v>17045</v>
      </c>
      <c r="D4423" s="9" t="str">
        <f>IFERROR(__xludf.DUMMYFUNCTION("""COMPUTED_VALUE"""),"Completed")</f>
        <v>Completed</v>
      </c>
    </row>
    <row r="4424">
      <c r="A4424" s="9" t="str">
        <f>IFERROR(__xludf.DUMMYFUNCTION("""COMPUTED_VALUE"""),"G-REQ-04423")</f>
        <v>G-REQ-04423</v>
      </c>
      <c r="B4424" s="11">
        <f>IFERROR(__xludf.DUMMYFUNCTION("""COMPUTED_VALUE"""),46076.12058309213)</f>
        <v>46076.12058</v>
      </c>
      <c r="C4424" s="9">
        <f>IFERROR(__xludf.DUMMYFUNCTION("""COMPUTED_VALUE"""),17049.0)</f>
        <v>17049</v>
      </c>
      <c r="D4424" s="9" t="str">
        <f>IFERROR(__xludf.DUMMYFUNCTION("""COMPUTED_VALUE"""),"Completed")</f>
        <v>Completed</v>
      </c>
    </row>
    <row r="4425">
      <c r="A4425" s="9" t="str">
        <f>IFERROR(__xludf.DUMMYFUNCTION("""COMPUTED_VALUE"""),"G-REQ-04424")</f>
        <v>G-REQ-04424</v>
      </c>
      <c r="B4425" s="11">
        <f>IFERROR(__xludf.DUMMYFUNCTION("""COMPUTED_VALUE"""),46076.191757937544)</f>
        <v>46076.19176</v>
      </c>
      <c r="C4425" s="9">
        <f>IFERROR(__xludf.DUMMYFUNCTION("""COMPUTED_VALUE"""),17053.0)</f>
        <v>17053</v>
      </c>
      <c r="D4425" s="9" t="str">
        <f>IFERROR(__xludf.DUMMYFUNCTION("""COMPUTED_VALUE"""),"Completed")</f>
        <v>Completed</v>
      </c>
    </row>
    <row r="4426">
      <c r="A4426" s="9" t="str">
        <f>IFERROR(__xludf.DUMMYFUNCTION("""COMPUTED_VALUE"""),"G-REQ-04425")</f>
        <v>G-REQ-04425</v>
      </c>
      <c r="B4426" s="11">
        <f>IFERROR(__xludf.DUMMYFUNCTION("""COMPUTED_VALUE"""),46076.26293278296)</f>
        <v>46076.26293</v>
      </c>
      <c r="C4426" s="9">
        <f>IFERROR(__xludf.DUMMYFUNCTION("""COMPUTED_VALUE"""),17057.0)</f>
        <v>17057</v>
      </c>
      <c r="D4426" s="9" t="str">
        <f>IFERROR(__xludf.DUMMYFUNCTION("""COMPUTED_VALUE"""),"Completed")</f>
        <v>Completed</v>
      </c>
    </row>
    <row r="4427">
      <c r="A4427" s="9" t="str">
        <f>IFERROR(__xludf.DUMMYFUNCTION("""COMPUTED_VALUE"""),"G-REQ-04426")</f>
        <v>G-REQ-04426</v>
      </c>
      <c r="B4427" s="11">
        <f>IFERROR(__xludf.DUMMYFUNCTION("""COMPUTED_VALUE"""),46076.32716318394)</f>
        <v>46076.32716</v>
      </c>
      <c r="C4427" s="9">
        <f>IFERROR(__xludf.DUMMYFUNCTION("""COMPUTED_VALUE"""),17059.0)</f>
        <v>17059</v>
      </c>
      <c r="D4427" s="9" t="str">
        <f>IFERROR(__xludf.DUMMYFUNCTION("""COMPUTED_VALUE"""),"Rejected")</f>
        <v>Rejected</v>
      </c>
    </row>
    <row r="4428">
      <c r="A4428" s="9" t="str">
        <f>IFERROR(__xludf.DUMMYFUNCTION("""COMPUTED_VALUE"""),"G-REQ-04427")</f>
        <v>G-REQ-04427</v>
      </c>
      <c r="B4428" s="11">
        <f>IFERROR(__xludf.DUMMYFUNCTION("""COMPUTED_VALUE"""),46076.40528247379)</f>
        <v>46076.40528</v>
      </c>
      <c r="C4428" s="9">
        <f>IFERROR(__xludf.DUMMYFUNCTION("""COMPUTED_VALUE"""),17063.0)</f>
        <v>17063</v>
      </c>
      <c r="D4428" s="9" t="str">
        <f>IFERROR(__xludf.DUMMYFUNCTION("""COMPUTED_VALUE"""),"Completed")</f>
        <v>Completed</v>
      </c>
    </row>
    <row r="4429">
      <c r="A4429" s="9" t="str">
        <f>IFERROR(__xludf.DUMMYFUNCTION("""COMPUTED_VALUE"""),"G-REQ-04428")</f>
        <v>G-REQ-04428</v>
      </c>
      <c r="B4429" s="11">
        <f>IFERROR(__xludf.DUMMYFUNCTION("""COMPUTED_VALUE"""),46076.47645731921)</f>
        <v>46076.47646</v>
      </c>
      <c r="C4429" s="9">
        <f>IFERROR(__xludf.DUMMYFUNCTION("""COMPUTED_VALUE"""),17067.0)</f>
        <v>17067</v>
      </c>
      <c r="D4429" s="9" t="str">
        <f>IFERROR(__xludf.DUMMYFUNCTION("""COMPUTED_VALUE"""),"Completed")</f>
        <v>Completed</v>
      </c>
    </row>
    <row r="4430">
      <c r="A4430" s="9" t="str">
        <f>IFERROR(__xludf.DUMMYFUNCTION("""COMPUTED_VALUE"""),"G-REQ-04429")</f>
        <v>G-REQ-04429</v>
      </c>
      <c r="B4430" s="11">
        <f>IFERROR(__xludf.DUMMYFUNCTION("""COMPUTED_VALUE"""),46076.54763216463)</f>
        <v>46076.54763</v>
      </c>
      <c r="C4430" s="9">
        <f>IFERROR(__xludf.DUMMYFUNCTION("""COMPUTED_VALUE"""),17071.0)</f>
        <v>17071</v>
      </c>
      <c r="D4430" s="9" t="str">
        <f>IFERROR(__xludf.DUMMYFUNCTION("""COMPUTED_VALUE"""),"Completed")</f>
        <v>Completed</v>
      </c>
    </row>
    <row r="4431">
      <c r="A4431" s="9" t="str">
        <f>IFERROR(__xludf.DUMMYFUNCTION("""COMPUTED_VALUE"""),"G-REQ-04430")</f>
        <v>G-REQ-04430</v>
      </c>
      <c r="B4431" s="11">
        <f>IFERROR(__xludf.DUMMYFUNCTION("""COMPUTED_VALUE"""),46076.611862565594)</f>
        <v>46076.61186</v>
      </c>
      <c r="C4431" s="9">
        <f>IFERROR(__xludf.DUMMYFUNCTION("""COMPUTED_VALUE"""),17073.0)</f>
        <v>17073</v>
      </c>
      <c r="D4431" s="9" t="str">
        <f>IFERROR(__xludf.DUMMYFUNCTION("""COMPUTED_VALUE"""),"Rejected")</f>
        <v>Rejected</v>
      </c>
    </row>
    <row r="4432">
      <c r="A4432" s="9" t="str">
        <f>IFERROR(__xludf.DUMMYFUNCTION("""COMPUTED_VALUE"""),"G-REQ-04431")</f>
        <v>G-REQ-04431</v>
      </c>
      <c r="B4432" s="11">
        <f>IFERROR(__xludf.DUMMYFUNCTION("""COMPUTED_VALUE"""),46076.68998185545)</f>
        <v>46076.68998</v>
      </c>
      <c r="C4432" s="9">
        <f>IFERROR(__xludf.DUMMYFUNCTION("""COMPUTED_VALUE"""),17077.0)</f>
        <v>17077</v>
      </c>
      <c r="D4432" s="9" t="str">
        <f>IFERROR(__xludf.DUMMYFUNCTION("""COMPUTED_VALUE"""),"Completed")</f>
        <v>Completed</v>
      </c>
    </row>
    <row r="4433">
      <c r="A4433" s="9" t="str">
        <f>IFERROR(__xludf.DUMMYFUNCTION("""COMPUTED_VALUE"""),"G-REQ-04432")</f>
        <v>G-REQ-04432</v>
      </c>
      <c r="B4433" s="11">
        <f>IFERROR(__xludf.DUMMYFUNCTION("""COMPUTED_VALUE"""),46076.76115670087)</f>
        <v>46076.76116</v>
      </c>
      <c r="C4433" s="9">
        <f>IFERROR(__xludf.DUMMYFUNCTION("""COMPUTED_VALUE"""),17081.0)</f>
        <v>17081</v>
      </c>
      <c r="D4433" s="9" t="str">
        <f>IFERROR(__xludf.DUMMYFUNCTION("""COMPUTED_VALUE"""),"Completed")</f>
        <v>Completed</v>
      </c>
    </row>
    <row r="4434">
      <c r="A4434" s="9" t="str">
        <f>IFERROR(__xludf.DUMMYFUNCTION("""COMPUTED_VALUE"""),"G-REQ-04433")</f>
        <v>G-REQ-04433</v>
      </c>
      <c r="B4434" s="11">
        <f>IFERROR(__xludf.DUMMYFUNCTION("""COMPUTED_VALUE"""),46076.832331546284)</f>
        <v>46076.83233</v>
      </c>
      <c r="C4434" s="9">
        <f>IFERROR(__xludf.DUMMYFUNCTION("""COMPUTED_VALUE"""),17085.0)</f>
        <v>17085</v>
      </c>
      <c r="D4434" s="9" t="str">
        <f>IFERROR(__xludf.DUMMYFUNCTION("""COMPUTED_VALUE"""),"Completed")</f>
        <v>Completed</v>
      </c>
    </row>
    <row r="4435">
      <c r="A4435" s="9" t="str">
        <f>IFERROR(__xludf.DUMMYFUNCTION("""COMPUTED_VALUE"""),"G-REQ-04434")</f>
        <v>G-REQ-04434</v>
      </c>
      <c r="B4435" s="11">
        <f>IFERROR(__xludf.DUMMYFUNCTION("""COMPUTED_VALUE"""),46076.903506391696)</f>
        <v>46076.90351</v>
      </c>
      <c r="C4435" s="9">
        <f>IFERROR(__xludf.DUMMYFUNCTION("""COMPUTED_VALUE"""),17089.0)</f>
        <v>17089</v>
      </c>
      <c r="D4435" s="9" t="str">
        <f>IFERROR(__xludf.DUMMYFUNCTION("""COMPUTED_VALUE"""),"Completed")</f>
        <v>Completed</v>
      </c>
    </row>
    <row r="4436">
      <c r="A4436" s="9" t="str">
        <f>IFERROR(__xludf.DUMMYFUNCTION("""COMPUTED_VALUE"""),"G-REQ-04435")</f>
        <v>G-REQ-04435</v>
      </c>
      <c r="B4436" s="11">
        <f>IFERROR(__xludf.DUMMYFUNCTION("""COMPUTED_VALUE"""),46076.974681237116)</f>
        <v>46076.97468</v>
      </c>
      <c r="C4436" s="9">
        <f>IFERROR(__xludf.DUMMYFUNCTION("""COMPUTED_VALUE"""),17093.0)</f>
        <v>17093</v>
      </c>
      <c r="D4436" s="9" t="str">
        <f>IFERROR(__xludf.DUMMYFUNCTION("""COMPUTED_VALUE"""),"Completed")</f>
        <v>Completed</v>
      </c>
    </row>
    <row r="4437">
      <c r="A4437" s="9" t="str">
        <f>IFERROR(__xludf.DUMMYFUNCTION("""COMPUTED_VALUE"""),"G-REQ-04436")</f>
        <v>G-REQ-04436</v>
      </c>
      <c r="B4437" s="11">
        <f>IFERROR(__xludf.DUMMYFUNCTION("""COMPUTED_VALUE"""),46077.04585608253)</f>
        <v>46077.04586</v>
      </c>
      <c r="C4437" s="9">
        <f>IFERROR(__xludf.DUMMYFUNCTION("""COMPUTED_VALUE"""),17097.0)</f>
        <v>17097</v>
      </c>
      <c r="D4437" s="9" t="str">
        <f>IFERROR(__xludf.DUMMYFUNCTION("""COMPUTED_VALUE"""),"Completed")</f>
        <v>Completed</v>
      </c>
    </row>
    <row r="4438">
      <c r="A4438" s="9" t="str">
        <f>IFERROR(__xludf.DUMMYFUNCTION("""COMPUTED_VALUE"""),"G-REQ-04437")</f>
        <v>G-REQ-04437</v>
      </c>
      <c r="B4438" s="11">
        <f>IFERROR(__xludf.DUMMYFUNCTION("""COMPUTED_VALUE"""),46077.11703092794)</f>
        <v>46077.11703</v>
      </c>
      <c r="C4438" s="9">
        <f>IFERROR(__xludf.DUMMYFUNCTION("""COMPUTED_VALUE"""),17101.0)</f>
        <v>17101</v>
      </c>
      <c r="D4438" s="9" t="str">
        <f>IFERROR(__xludf.DUMMYFUNCTION("""COMPUTED_VALUE"""),"Completed")</f>
        <v>Completed</v>
      </c>
    </row>
    <row r="4439">
      <c r="A4439" s="9" t="str">
        <f>IFERROR(__xludf.DUMMYFUNCTION("""COMPUTED_VALUE"""),"G-REQ-04438")</f>
        <v>G-REQ-04438</v>
      </c>
      <c r="B4439" s="11">
        <f>IFERROR(__xludf.DUMMYFUNCTION("""COMPUTED_VALUE"""),46077.181261328915)</f>
        <v>46077.18126</v>
      </c>
      <c r="C4439" s="9">
        <f>IFERROR(__xludf.DUMMYFUNCTION("""COMPUTED_VALUE"""),17103.0)</f>
        <v>17103</v>
      </c>
      <c r="D4439" s="9" t="str">
        <f>IFERROR(__xludf.DUMMYFUNCTION("""COMPUTED_VALUE"""),"Rejected")</f>
        <v>Rejected</v>
      </c>
    </row>
    <row r="4440">
      <c r="A4440" s="9" t="str">
        <f>IFERROR(__xludf.DUMMYFUNCTION("""COMPUTED_VALUE"""),"G-REQ-04439")</f>
        <v>G-REQ-04439</v>
      </c>
      <c r="B4440" s="11">
        <f>IFERROR(__xludf.DUMMYFUNCTION("""COMPUTED_VALUE"""),46077.25938061877)</f>
        <v>46077.25938</v>
      </c>
      <c r="C4440" s="9">
        <f>IFERROR(__xludf.DUMMYFUNCTION("""COMPUTED_VALUE"""),17107.0)</f>
        <v>17107</v>
      </c>
      <c r="D4440" s="9" t="str">
        <f>IFERROR(__xludf.DUMMYFUNCTION("""COMPUTED_VALUE"""),"Completed")</f>
        <v>Completed</v>
      </c>
    </row>
    <row r="4441">
      <c r="A4441" s="9" t="str">
        <f>IFERROR(__xludf.DUMMYFUNCTION("""COMPUTED_VALUE"""),"G-REQ-04440")</f>
        <v>G-REQ-04440</v>
      </c>
      <c r="B4441" s="11">
        <f>IFERROR(__xludf.DUMMYFUNCTION("""COMPUTED_VALUE"""),46077.330555464185)</f>
        <v>46077.33056</v>
      </c>
      <c r="C4441" s="9">
        <f>IFERROR(__xludf.DUMMYFUNCTION("""COMPUTED_VALUE"""),17111.0)</f>
        <v>17111</v>
      </c>
      <c r="D4441" s="9" t="str">
        <f>IFERROR(__xludf.DUMMYFUNCTION("""COMPUTED_VALUE"""),"Completed")</f>
        <v>Completed</v>
      </c>
    </row>
    <row r="4442">
      <c r="A4442" s="9" t="str">
        <f>IFERROR(__xludf.DUMMYFUNCTION("""COMPUTED_VALUE"""),"G-REQ-04441")</f>
        <v>G-REQ-04441</v>
      </c>
      <c r="B4442" s="11">
        <f>IFERROR(__xludf.DUMMYFUNCTION("""COMPUTED_VALUE"""),46077.401730309604)</f>
        <v>46077.40173</v>
      </c>
      <c r="C4442" s="9">
        <f>IFERROR(__xludf.DUMMYFUNCTION("""COMPUTED_VALUE"""),17115.0)</f>
        <v>17115</v>
      </c>
      <c r="D4442" s="9" t="str">
        <f>IFERROR(__xludf.DUMMYFUNCTION("""COMPUTED_VALUE"""),"Completed")</f>
        <v>Completed</v>
      </c>
    </row>
    <row r="4443">
      <c r="A4443" s="9" t="str">
        <f>IFERROR(__xludf.DUMMYFUNCTION("""COMPUTED_VALUE"""),"G-REQ-04442")</f>
        <v>G-REQ-04442</v>
      </c>
      <c r="B4443" s="11">
        <f>IFERROR(__xludf.DUMMYFUNCTION("""COMPUTED_VALUE"""),46077.472905155024)</f>
        <v>46077.47291</v>
      </c>
      <c r="C4443" s="9">
        <f>IFERROR(__xludf.DUMMYFUNCTION("""COMPUTED_VALUE"""),17119.0)</f>
        <v>17119</v>
      </c>
      <c r="D4443" s="9" t="str">
        <f>IFERROR(__xludf.DUMMYFUNCTION("""COMPUTED_VALUE"""),"Completed")</f>
        <v>Completed</v>
      </c>
    </row>
    <row r="4444">
      <c r="A4444" s="9" t="str">
        <f>IFERROR(__xludf.DUMMYFUNCTION("""COMPUTED_VALUE"""),"G-REQ-04443")</f>
        <v>G-REQ-04443</v>
      </c>
      <c r="B4444" s="11">
        <f>IFERROR(__xludf.DUMMYFUNCTION("""COMPUTED_VALUE"""),46077.54408000043)</f>
        <v>46077.54408</v>
      </c>
      <c r="C4444" s="9">
        <f>IFERROR(__xludf.DUMMYFUNCTION("""COMPUTED_VALUE"""),17123.0)</f>
        <v>17123</v>
      </c>
      <c r="D4444" s="9" t="str">
        <f>IFERROR(__xludf.DUMMYFUNCTION("""COMPUTED_VALUE"""),"Completed")</f>
        <v>Completed</v>
      </c>
    </row>
    <row r="4445">
      <c r="A4445" s="9" t="str">
        <f>IFERROR(__xludf.DUMMYFUNCTION("""COMPUTED_VALUE"""),"G-REQ-04444")</f>
        <v>G-REQ-04444</v>
      </c>
      <c r="B4445" s="11">
        <f>IFERROR(__xludf.DUMMYFUNCTION("""COMPUTED_VALUE"""),46077.61525484585)</f>
        <v>46077.61525</v>
      </c>
      <c r="C4445" s="9">
        <f>IFERROR(__xludf.DUMMYFUNCTION("""COMPUTED_VALUE"""),17127.0)</f>
        <v>17127</v>
      </c>
      <c r="D4445" s="9" t="str">
        <f>IFERROR(__xludf.DUMMYFUNCTION("""COMPUTED_VALUE"""),"Completed")</f>
        <v>Completed</v>
      </c>
    </row>
    <row r="4446">
      <c r="A4446" s="9" t="str">
        <f>IFERROR(__xludf.DUMMYFUNCTION("""COMPUTED_VALUE"""),"G-REQ-04445")</f>
        <v>G-REQ-04445</v>
      </c>
      <c r="B4446" s="11">
        <f>IFERROR(__xludf.DUMMYFUNCTION("""COMPUTED_VALUE"""),46077.68642969127)</f>
        <v>46077.68643</v>
      </c>
      <c r="C4446" s="9">
        <f>IFERROR(__xludf.DUMMYFUNCTION("""COMPUTED_VALUE"""),17131.0)</f>
        <v>17131</v>
      </c>
      <c r="D4446" s="9" t="str">
        <f>IFERROR(__xludf.DUMMYFUNCTION("""COMPUTED_VALUE"""),"Completed")</f>
        <v>Completed</v>
      </c>
    </row>
    <row r="4447">
      <c r="A4447" s="9" t="str">
        <f>IFERROR(__xludf.DUMMYFUNCTION("""COMPUTED_VALUE"""),"G-REQ-04446")</f>
        <v>G-REQ-04446</v>
      </c>
      <c r="B4447" s="11">
        <f>IFERROR(__xludf.DUMMYFUNCTION("""COMPUTED_VALUE"""),46077.75760453668)</f>
        <v>46077.7576</v>
      </c>
      <c r="C4447" s="9">
        <f>IFERROR(__xludf.DUMMYFUNCTION("""COMPUTED_VALUE"""),17135.0)</f>
        <v>17135</v>
      </c>
      <c r="D4447" s="9" t="str">
        <f>IFERROR(__xludf.DUMMYFUNCTION("""COMPUTED_VALUE"""),"Completed")</f>
        <v>Completed</v>
      </c>
    </row>
    <row r="4448">
      <c r="A4448" s="9" t="str">
        <f>IFERROR(__xludf.DUMMYFUNCTION("""COMPUTED_VALUE"""),"G-REQ-04447")</f>
        <v>G-REQ-04447</v>
      </c>
      <c r="B4448" s="11">
        <f>IFERROR(__xludf.DUMMYFUNCTION("""COMPUTED_VALUE"""),46077.82877938209)</f>
        <v>46077.82878</v>
      </c>
      <c r="C4448" s="9">
        <f>IFERROR(__xludf.DUMMYFUNCTION("""COMPUTED_VALUE"""),17139.0)</f>
        <v>17139</v>
      </c>
      <c r="D4448" s="9" t="str">
        <f>IFERROR(__xludf.DUMMYFUNCTION("""COMPUTED_VALUE"""),"Completed")</f>
        <v>Completed</v>
      </c>
    </row>
    <row r="4449">
      <c r="A4449" s="9" t="str">
        <f>IFERROR(__xludf.DUMMYFUNCTION("""COMPUTED_VALUE"""),"G-REQ-04448")</f>
        <v>G-REQ-04448</v>
      </c>
      <c r="B4449" s="11">
        <f>IFERROR(__xludf.DUMMYFUNCTION("""COMPUTED_VALUE"""),46077.89995422751)</f>
        <v>46077.89995</v>
      </c>
      <c r="C4449" s="9">
        <f>IFERROR(__xludf.DUMMYFUNCTION("""COMPUTED_VALUE"""),17143.0)</f>
        <v>17143</v>
      </c>
      <c r="D4449" s="9" t="str">
        <f>IFERROR(__xludf.DUMMYFUNCTION("""COMPUTED_VALUE"""),"Completed")</f>
        <v>Completed</v>
      </c>
    </row>
    <row r="4450">
      <c r="A4450" s="9" t="str">
        <f>IFERROR(__xludf.DUMMYFUNCTION("""COMPUTED_VALUE"""),"G-REQ-04449")</f>
        <v>G-REQ-04449</v>
      </c>
      <c r="B4450" s="11">
        <f>IFERROR(__xludf.DUMMYFUNCTION("""COMPUTED_VALUE"""),46077.971129072925)</f>
        <v>46077.97113</v>
      </c>
      <c r="C4450" s="9">
        <f>IFERROR(__xludf.DUMMYFUNCTION("""COMPUTED_VALUE"""),17147.0)</f>
        <v>17147</v>
      </c>
      <c r="D4450" s="9" t="str">
        <f>IFERROR(__xludf.DUMMYFUNCTION("""COMPUTED_VALUE"""),"Completed")</f>
        <v>Completed</v>
      </c>
    </row>
    <row r="4451">
      <c r="A4451" s="9" t="str">
        <f>IFERROR(__xludf.DUMMYFUNCTION("""COMPUTED_VALUE"""),"G-REQ-04450")</f>
        <v>G-REQ-04450</v>
      </c>
      <c r="B4451" s="11">
        <f>IFERROR(__xludf.DUMMYFUNCTION("""COMPUTED_VALUE"""),46078.04230391834)</f>
        <v>46078.0423</v>
      </c>
      <c r="C4451" s="9">
        <f>IFERROR(__xludf.DUMMYFUNCTION("""COMPUTED_VALUE"""),17151.0)</f>
        <v>17151</v>
      </c>
      <c r="D4451" s="9" t="str">
        <f>IFERROR(__xludf.DUMMYFUNCTION("""COMPUTED_VALUE"""),"Completed")</f>
        <v>Completed</v>
      </c>
    </row>
    <row r="4452">
      <c r="A4452" s="9" t="str">
        <f>IFERROR(__xludf.DUMMYFUNCTION("""COMPUTED_VALUE"""),"G-REQ-04451")</f>
        <v>G-REQ-04451</v>
      </c>
      <c r="B4452" s="11">
        <f>IFERROR(__xludf.DUMMYFUNCTION("""COMPUTED_VALUE"""),46078.10653431931)</f>
        <v>46078.10653</v>
      </c>
      <c r="C4452" s="9">
        <f>IFERROR(__xludf.DUMMYFUNCTION("""COMPUTED_VALUE"""),17153.0)</f>
        <v>17153</v>
      </c>
      <c r="D4452" s="9" t="str">
        <f>IFERROR(__xludf.DUMMYFUNCTION("""COMPUTED_VALUE"""),"Cancelled")</f>
        <v>Cancelled</v>
      </c>
    </row>
    <row r="4453">
      <c r="A4453" s="9" t="str">
        <f>IFERROR(__xludf.DUMMYFUNCTION("""COMPUTED_VALUE"""),"G-REQ-04452")</f>
        <v>G-REQ-04452</v>
      </c>
      <c r="B4453" s="11">
        <f>IFERROR(__xludf.DUMMYFUNCTION("""COMPUTED_VALUE"""),46078.18465360917)</f>
        <v>46078.18465</v>
      </c>
      <c r="C4453" s="9">
        <f>IFERROR(__xludf.DUMMYFUNCTION("""COMPUTED_VALUE"""),17157.0)</f>
        <v>17157</v>
      </c>
      <c r="D4453" s="9" t="str">
        <f>IFERROR(__xludf.DUMMYFUNCTION("""COMPUTED_VALUE"""),"Completed")</f>
        <v>Completed</v>
      </c>
    </row>
    <row r="4454">
      <c r="A4454" s="9" t="str">
        <f>IFERROR(__xludf.DUMMYFUNCTION("""COMPUTED_VALUE"""),"G-REQ-04453")</f>
        <v>G-REQ-04453</v>
      </c>
      <c r="B4454" s="11">
        <f>IFERROR(__xludf.DUMMYFUNCTION("""COMPUTED_VALUE"""),46078.25582845458)</f>
        <v>46078.25583</v>
      </c>
      <c r="C4454" s="9">
        <f>IFERROR(__xludf.DUMMYFUNCTION("""COMPUTED_VALUE"""),17161.0)</f>
        <v>17161</v>
      </c>
      <c r="D4454" s="9" t="str">
        <f>IFERROR(__xludf.DUMMYFUNCTION("""COMPUTED_VALUE"""),"Completed")</f>
        <v>Completed</v>
      </c>
    </row>
    <row r="4455">
      <c r="A4455" s="9" t="str">
        <f>IFERROR(__xludf.DUMMYFUNCTION("""COMPUTED_VALUE"""),"G-REQ-04454")</f>
        <v>G-REQ-04454</v>
      </c>
      <c r="B4455" s="11">
        <f>IFERROR(__xludf.DUMMYFUNCTION("""COMPUTED_VALUE"""),46078.3270033)</f>
        <v>46078.327</v>
      </c>
      <c r="C4455" s="9">
        <f>IFERROR(__xludf.DUMMYFUNCTION("""COMPUTED_VALUE"""),17165.0)</f>
        <v>17165</v>
      </c>
      <c r="D4455" s="9" t="str">
        <f>IFERROR(__xludf.DUMMYFUNCTION("""COMPUTED_VALUE"""),"Completed")</f>
        <v>Completed</v>
      </c>
    </row>
    <row r="4456">
      <c r="A4456" s="9" t="str">
        <f>IFERROR(__xludf.DUMMYFUNCTION("""COMPUTED_VALUE"""),"G-REQ-04455")</f>
        <v>G-REQ-04455</v>
      </c>
      <c r="B4456" s="11">
        <f>IFERROR(__xludf.DUMMYFUNCTION("""COMPUTED_VALUE"""),46078.39817814541)</f>
        <v>46078.39818</v>
      </c>
      <c r="C4456" s="9">
        <f>IFERROR(__xludf.DUMMYFUNCTION("""COMPUTED_VALUE"""),17169.0)</f>
        <v>17169</v>
      </c>
      <c r="D4456" s="9" t="str">
        <f>IFERROR(__xludf.DUMMYFUNCTION("""COMPUTED_VALUE"""),"Completed")</f>
        <v>Completed</v>
      </c>
    </row>
    <row r="4457">
      <c r="A4457" s="9" t="str">
        <f>IFERROR(__xludf.DUMMYFUNCTION("""COMPUTED_VALUE"""),"G-REQ-04456")</f>
        <v>G-REQ-04456</v>
      </c>
      <c r="B4457" s="11">
        <f>IFERROR(__xludf.DUMMYFUNCTION("""COMPUTED_VALUE"""),46078.469352990825)</f>
        <v>46078.46935</v>
      </c>
      <c r="C4457" s="9">
        <f>IFERROR(__xludf.DUMMYFUNCTION("""COMPUTED_VALUE"""),17173.0)</f>
        <v>17173</v>
      </c>
      <c r="D4457" s="9" t="str">
        <f>IFERROR(__xludf.DUMMYFUNCTION("""COMPUTED_VALUE"""),"Completed")</f>
        <v>Completed</v>
      </c>
    </row>
    <row r="4458">
      <c r="A4458" s="9" t="str">
        <f>IFERROR(__xludf.DUMMYFUNCTION("""COMPUTED_VALUE"""),"G-REQ-04457")</f>
        <v>G-REQ-04457</v>
      </c>
      <c r="B4458" s="11">
        <f>IFERROR(__xludf.DUMMYFUNCTION("""COMPUTED_VALUE"""),46078.540527836245)</f>
        <v>46078.54053</v>
      </c>
      <c r="C4458" s="9">
        <f>IFERROR(__xludf.DUMMYFUNCTION("""COMPUTED_VALUE"""),17177.0)</f>
        <v>17177</v>
      </c>
      <c r="D4458" s="9" t="str">
        <f>IFERROR(__xludf.DUMMYFUNCTION("""COMPUTED_VALUE"""),"Completed")</f>
        <v>Completed</v>
      </c>
    </row>
    <row r="4459">
      <c r="A4459" s="9" t="str">
        <f>IFERROR(__xludf.DUMMYFUNCTION("""COMPUTED_VALUE"""),"G-REQ-04458")</f>
        <v>G-REQ-04458</v>
      </c>
      <c r="B4459" s="11">
        <f>IFERROR(__xludf.DUMMYFUNCTION("""COMPUTED_VALUE"""),46078.611702681665)</f>
        <v>46078.6117</v>
      </c>
      <c r="C4459" s="9">
        <f>IFERROR(__xludf.DUMMYFUNCTION("""COMPUTED_VALUE"""),17181.0)</f>
        <v>17181</v>
      </c>
      <c r="D4459" s="9" t="str">
        <f>IFERROR(__xludf.DUMMYFUNCTION("""COMPUTED_VALUE"""),"Completed")</f>
        <v>Completed</v>
      </c>
    </row>
    <row r="4460">
      <c r="A4460" s="9" t="str">
        <f>IFERROR(__xludf.DUMMYFUNCTION("""COMPUTED_VALUE"""),"G-REQ-04459")</f>
        <v>G-REQ-04459</v>
      </c>
      <c r="B4460" s="11">
        <f>IFERROR(__xludf.DUMMYFUNCTION("""COMPUTED_VALUE"""),46078.68287752707)</f>
        <v>46078.68288</v>
      </c>
      <c r="C4460" s="9">
        <f>IFERROR(__xludf.DUMMYFUNCTION("""COMPUTED_VALUE"""),17185.0)</f>
        <v>17185</v>
      </c>
      <c r="D4460" s="9" t="str">
        <f>IFERROR(__xludf.DUMMYFUNCTION("""COMPUTED_VALUE"""),"Completed")</f>
        <v>Completed</v>
      </c>
    </row>
    <row r="4461">
      <c r="A4461" s="9" t="str">
        <f>IFERROR(__xludf.DUMMYFUNCTION("""COMPUTED_VALUE"""),"G-REQ-04460")</f>
        <v>G-REQ-04460</v>
      </c>
      <c r="B4461" s="11">
        <f>IFERROR(__xludf.DUMMYFUNCTION("""COMPUTED_VALUE"""),46078.747107928044)</f>
        <v>46078.74711</v>
      </c>
      <c r="C4461" s="9">
        <f>IFERROR(__xludf.DUMMYFUNCTION("""COMPUTED_VALUE"""),17187.0)</f>
        <v>17187</v>
      </c>
      <c r="D4461" s="9" t="str">
        <f>IFERROR(__xludf.DUMMYFUNCTION("""COMPUTED_VALUE"""),"Cancelled")</f>
        <v>Cancelled</v>
      </c>
    </row>
    <row r="4462">
      <c r="A4462" s="9" t="str">
        <f>IFERROR(__xludf.DUMMYFUNCTION("""COMPUTED_VALUE"""),"G-REQ-04461")</f>
        <v>G-REQ-04461</v>
      </c>
      <c r="B4462" s="11">
        <f>IFERROR(__xludf.DUMMYFUNCTION("""COMPUTED_VALUE"""),46078.82522721791)</f>
        <v>46078.82523</v>
      </c>
      <c r="C4462" s="9">
        <f>IFERROR(__xludf.DUMMYFUNCTION("""COMPUTED_VALUE"""),17191.0)</f>
        <v>17191</v>
      </c>
      <c r="D4462" s="9" t="str">
        <f>IFERROR(__xludf.DUMMYFUNCTION("""COMPUTED_VALUE"""),"Completed")</f>
        <v>Completed</v>
      </c>
    </row>
    <row r="4463">
      <c r="A4463" s="9" t="str">
        <f>IFERROR(__xludf.DUMMYFUNCTION("""COMPUTED_VALUE"""),"G-REQ-04462")</f>
        <v>G-REQ-04462</v>
      </c>
      <c r="B4463" s="11">
        <f>IFERROR(__xludf.DUMMYFUNCTION("""COMPUTED_VALUE"""),46078.89640206332)</f>
        <v>46078.8964</v>
      </c>
      <c r="C4463" s="9">
        <f>IFERROR(__xludf.DUMMYFUNCTION("""COMPUTED_VALUE"""),17195.0)</f>
        <v>17195</v>
      </c>
      <c r="D4463" s="9" t="str">
        <f>IFERROR(__xludf.DUMMYFUNCTION("""COMPUTED_VALUE"""),"Completed")</f>
        <v>Completed</v>
      </c>
    </row>
    <row r="4464">
      <c r="A4464" s="9" t="str">
        <f>IFERROR(__xludf.DUMMYFUNCTION("""COMPUTED_VALUE"""),"G-REQ-04463")</f>
        <v>G-REQ-04463</v>
      </c>
      <c r="B4464" s="11">
        <f>IFERROR(__xludf.DUMMYFUNCTION("""COMPUTED_VALUE"""),46078.96757690873)</f>
        <v>46078.96758</v>
      </c>
      <c r="C4464" s="9">
        <f>IFERROR(__xludf.DUMMYFUNCTION("""COMPUTED_VALUE"""),17199.0)</f>
        <v>17199</v>
      </c>
      <c r="D4464" s="9" t="str">
        <f>IFERROR(__xludf.DUMMYFUNCTION("""COMPUTED_VALUE"""),"Completed")</f>
        <v>Completed</v>
      </c>
    </row>
    <row r="4465">
      <c r="A4465" s="9" t="str">
        <f>IFERROR(__xludf.DUMMYFUNCTION("""COMPUTED_VALUE"""),"G-REQ-04464")</f>
        <v>G-REQ-04464</v>
      </c>
      <c r="B4465" s="11">
        <f>IFERROR(__xludf.DUMMYFUNCTION("""COMPUTED_VALUE"""),46079.03875175415)</f>
        <v>46079.03875</v>
      </c>
      <c r="C4465" s="9">
        <f>IFERROR(__xludf.DUMMYFUNCTION("""COMPUTED_VALUE"""),17203.0)</f>
        <v>17203</v>
      </c>
      <c r="D4465" s="9" t="str">
        <f>IFERROR(__xludf.DUMMYFUNCTION("""COMPUTED_VALUE"""),"Completed")</f>
        <v>Completed</v>
      </c>
    </row>
    <row r="4466">
      <c r="A4466" s="9" t="str">
        <f>IFERROR(__xludf.DUMMYFUNCTION("""COMPUTED_VALUE"""),"G-REQ-04465")</f>
        <v>G-REQ-04465</v>
      </c>
      <c r="B4466" s="11">
        <f>IFERROR(__xludf.DUMMYFUNCTION("""COMPUTED_VALUE"""),46079.109926599565)</f>
        <v>46079.10993</v>
      </c>
      <c r="C4466" s="9">
        <f>IFERROR(__xludf.DUMMYFUNCTION("""COMPUTED_VALUE"""),17207.0)</f>
        <v>17207</v>
      </c>
      <c r="D4466" s="9" t="str">
        <f>IFERROR(__xludf.DUMMYFUNCTION("""COMPUTED_VALUE"""),"Completed")</f>
        <v>Completed</v>
      </c>
    </row>
    <row r="4467">
      <c r="A4467" s="9" t="str">
        <f>IFERROR(__xludf.DUMMYFUNCTION("""COMPUTED_VALUE"""),"G-REQ-04466")</f>
        <v>G-REQ-04466</v>
      </c>
      <c r="B4467" s="11">
        <f>IFERROR(__xludf.DUMMYFUNCTION("""COMPUTED_VALUE"""),46079.18110144498)</f>
        <v>46079.1811</v>
      </c>
      <c r="C4467" s="9">
        <f>IFERROR(__xludf.DUMMYFUNCTION("""COMPUTED_VALUE"""),17211.0)</f>
        <v>17211</v>
      </c>
      <c r="D4467" s="9" t="str">
        <f>IFERROR(__xludf.DUMMYFUNCTION("""COMPUTED_VALUE"""),"Completed")</f>
        <v>Completed</v>
      </c>
    </row>
    <row r="4468">
      <c r="A4468" s="9" t="str">
        <f>IFERROR(__xludf.DUMMYFUNCTION("""COMPUTED_VALUE"""),"G-REQ-04467")</f>
        <v>G-REQ-04467</v>
      </c>
      <c r="B4468" s="11">
        <f>IFERROR(__xludf.DUMMYFUNCTION("""COMPUTED_VALUE"""),46079.2522762904)</f>
        <v>46079.25228</v>
      </c>
      <c r="C4468" s="9">
        <f>IFERROR(__xludf.DUMMYFUNCTION("""COMPUTED_VALUE"""),17215.0)</f>
        <v>17215</v>
      </c>
      <c r="D4468" s="9" t="str">
        <f>IFERROR(__xludf.DUMMYFUNCTION("""COMPUTED_VALUE"""),"Completed")</f>
        <v>Completed</v>
      </c>
    </row>
    <row r="4469">
      <c r="A4469" s="9" t="str">
        <f>IFERROR(__xludf.DUMMYFUNCTION("""COMPUTED_VALUE"""),"G-REQ-04468")</f>
        <v>G-REQ-04468</v>
      </c>
      <c r="B4469" s="11">
        <f>IFERROR(__xludf.DUMMYFUNCTION("""COMPUTED_VALUE"""),46079.32345113581)</f>
        <v>46079.32345</v>
      </c>
      <c r="C4469" s="9">
        <f>IFERROR(__xludf.DUMMYFUNCTION("""COMPUTED_VALUE"""),17219.0)</f>
        <v>17219</v>
      </c>
      <c r="D4469" s="9" t="str">
        <f>IFERROR(__xludf.DUMMYFUNCTION("""COMPUTED_VALUE"""),"Completed")</f>
        <v>Completed</v>
      </c>
    </row>
    <row r="4470">
      <c r="A4470" s="9" t="str">
        <f>IFERROR(__xludf.DUMMYFUNCTION("""COMPUTED_VALUE"""),"G-REQ-04469")</f>
        <v>G-REQ-04469</v>
      </c>
      <c r="B4470" s="11">
        <f>IFERROR(__xludf.DUMMYFUNCTION("""COMPUTED_VALUE"""),46079.39462598122)</f>
        <v>46079.39463</v>
      </c>
      <c r="C4470" s="9">
        <f>IFERROR(__xludf.DUMMYFUNCTION("""COMPUTED_VALUE"""),17223.0)</f>
        <v>17223</v>
      </c>
      <c r="D4470" s="9" t="str">
        <f>IFERROR(__xludf.DUMMYFUNCTION("""COMPUTED_VALUE"""),"Completed")</f>
        <v>Completed</v>
      </c>
    </row>
    <row r="4471">
      <c r="A4471" s="9" t="str">
        <f>IFERROR(__xludf.DUMMYFUNCTION("""COMPUTED_VALUE"""),"G-REQ-04470")</f>
        <v>G-REQ-04470</v>
      </c>
      <c r="B4471" s="11">
        <f>IFERROR(__xludf.DUMMYFUNCTION("""COMPUTED_VALUE"""),46079.46580082664)</f>
        <v>46079.4658</v>
      </c>
      <c r="C4471" s="9">
        <f>IFERROR(__xludf.DUMMYFUNCTION("""COMPUTED_VALUE"""),17227.0)</f>
        <v>17227</v>
      </c>
      <c r="D4471" s="9" t="str">
        <f>IFERROR(__xludf.DUMMYFUNCTION("""COMPUTED_VALUE"""),"Completed")</f>
        <v>Completed</v>
      </c>
    </row>
    <row r="4472">
      <c r="A4472" s="9" t="str">
        <f>IFERROR(__xludf.DUMMYFUNCTION("""COMPUTED_VALUE"""),"G-REQ-04471")</f>
        <v>G-REQ-04471</v>
      </c>
      <c r="B4472" s="11">
        <f>IFERROR(__xludf.DUMMYFUNCTION("""COMPUTED_VALUE"""),46079.53697567206)</f>
        <v>46079.53698</v>
      </c>
      <c r="C4472" s="9">
        <f>IFERROR(__xludf.DUMMYFUNCTION("""COMPUTED_VALUE"""),17231.0)</f>
        <v>17231</v>
      </c>
      <c r="D4472" s="9" t="str">
        <f>IFERROR(__xludf.DUMMYFUNCTION("""COMPUTED_VALUE"""),"Completed")</f>
        <v>Completed</v>
      </c>
    </row>
    <row r="4473">
      <c r="A4473" s="9" t="str">
        <f>IFERROR(__xludf.DUMMYFUNCTION("""COMPUTED_VALUE"""),"G-REQ-04472")</f>
        <v>G-REQ-04472</v>
      </c>
      <c r="B4473" s="11">
        <f>IFERROR(__xludf.DUMMYFUNCTION("""COMPUTED_VALUE"""),46079.608150517466)</f>
        <v>46079.60815</v>
      </c>
      <c r="C4473" s="9">
        <f>IFERROR(__xludf.DUMMYFUNCTION("""COMPUTED_VALUE"""),17235.0)</f>
        <v>17235</v>
      </c>
      <c r="D4473" s="9" t="str">
        <f>IFERROR(__xludf.DUMMYFUNCTION("""COMPUTED_VALUE"""),"Completed")</f>
        <v>Completed</v>
      </c>
    </row>
    <row r="4474">
      <c r="A4474" s="9" t="str">
        <f>IFERROR(__xludf.DUMMYFUNCTION("""COMPUTED_VALUE"""),"G-REQ-04473")</f>
        <v>G-REQ-04473</v>
      </c>
      <c r="B4474" s="11">
        <f>IFERROR(__xludf.DUMMYFUNCTION("""COMPUTED_VALUE"""),46079.679325362886)</f>
        <v>46079.67933</v>
      </c>
      <c r="C4474" s="9">
        <f>IFERROR(__xludf.DUMMYFUNCTION("""COMPUTED_VALUE"""),17239.0)</f>
        <v>17239</v>
      </c>
      <c r="D4474" s="9" t="str">
        <f>IFERROR(__xludf.DUMMYFUNCTION("""COMPUTED_VALUE"""),"Completed")</f>
        <v>Completed</v>
      </c>
    </row>
    <row r="4475">
      <c r="A4475" s="9" t="str">
        <f>IFERROR(__xludf.DUMMYFUNCTION("""COMPUTED_VALUE"""),"G-REQ-04474")</f>
        <v>G-REQ-04474</v>
      </c>
      <c r="B4475" s="11">
        <f>IFERROR(__xludf.DUMMYFUNCTION("""COMPUTED_VALUE"""),46079.750500208305)</f>
        <v>46079.7505</v>
      </c>
      <c r="C4475" s="9">
        <f>IFERROR(__xludf.DUMMYFUNCTION("""COMPUTED_VALUE"""),17243.0)</f>
        <v>17243</v>
      </c>
      <c r="D4475" s="9" t="str">
        <f>IFERROR(__xludf.DUMMYFUNCTION("""COMPUTED_VALUE"""),"Completed")</f>
        <v>Completed</v>
      </c>
    </row>
    <row r="4476">
      <c r="A4476" s="9" t="str">
        <f>IFERROR(__xludf.DUMMYFUNCTION("""COMPUTED_VALUE"""),"G-REQ-04475")</f>
        <v>G-REQ-04475</v>
      </c>
      <c r="B4476" s="11">
        <f>IFERROR(__xludf.DUMMYFUNCTION("""COMPUTED_VALUE"""),46079.82167505372)</f>
        <v>46079.82168</v>
      </c>
      <c r="C4476" s="9">
        <f>IFERROR(__xludf.DUMMYFUNCTION("""COMPUTED_VALUE"""),17247.0)</f>
        <v>17247</v>
      </c>
      <c r="D4476" s="9" t="str">
        <f>IFERROR(__xludf.DUMMYFUNCTION("""COMPUTED_VALUE"""),"Completed")</f>
        <v>Completed</v>
      </c>
    </row>
    <row r="4477">
      <c r="A4477" s="9" t="str">
        <f>IFERROR(__xludf.DUMMYFUNCTION("""COMPUTED_VALUE"""),"G-REQ-04476")</f>
        <v>G-REQ-04476</v>
      </c>
      <c r="B4477" s="11">
        <f>IFERROR(__xludf.DUMMYFUNCTION("""COMPUTED_VALUE"""),46079.89284989913)</f>
        <v>46079.89285</v>
      </c>
      <c r="C4477" s="9">
        <f>IFERROR(__xludf.DUMMYFUNCTION("""COMPUTED_VALUE"""),17251.0)</f>
        <v>17251</v>
      </c>
      <c r="D4477" s="9" t="str">
        <f>IFERROR(__xludf.DUMMYFUNCTION("""COMPUTED_VALUE"""),"Completed")</f>
        <v>Completed</v>
      </c>
    </row>
    <row r="4478">
      <c r="A4478" s="9" t="str">
        <f>IFERROR(__xludf.DUMMYFUNCTION("""COMPUTED_VALUE"""),"G-REQ-04477")</f>
        <v>G-REQ-04477</v>
      </c>
      <c r="B4478" s="11">
        <f>IFERROR(__xludf.DUMMYFUNCTION("""COMPUTED_VALUE"""),46079.96402474455)</f>
        <v>46079.96402</v>
      </c>
      <c r="C4478" s="9">
        <f>IFERROR(__xludf.DUMMYFUNCTION("""COMPUTED_VALUE"""),17255.0)</f>
        <v>17255</v>
      </c>
      <c r="D4478" s="9" t="str">
        <f>IFERROR(__xludf.DUMMYFUNCTION("""COMPUTED_VALUE"""),"Completed")</f>
        <v>Completed</v>
      </c>
    </row>
    <row r="4479">
      <c r="A4479" s="9" t="str">
        <f>IFERROR(__xludf.DUMMYFUNCTION("""COMPUTED_VALUE"""),"G-REQ-04478")</f>
        <v>G-REQ-04478</v>
      </c>
      <c r="B4479" s="11">
        <f>IFERROR(__xludf.DUMMYFUNCTION("""COMPUTED_VALUE"""),46080.02825514552)</f>
        <v>46080.02826</v>
      </c>
      <c r="C4479" s="9">
        <f>IFERROR(__xludf.DUMMYFUNCTION("""COMPUTED_VALUE"""),17257.0)</f>
        <v>17257</v>
      </c>
      <c r="D4479" s="9" t="str">
        <f>IFERROR(__xludf.DUMMYFUNCTION("""COMPUTED_VALUE"""),"Rejected")</f>
        <v>Rejected</v>
      </c>
    </row>
    <row r="4480">
      <c r="A4480" s="9" t="str">
        <f>IFERROR(__xludf.DUMMYFUNCTION("""COMPUTED_VALUE"""),"G-REQ-04479")</f>
        <v>G-REQ-04479</v>
      </c>
      <c r="B4480" s="11">
        <f>IFERROR(__xludf.DUMMYFUNCTION("""COMPUTED_VALUE"""),46080.106374435374)</f>
        <v>46080.10637</v>
      </c>
      <c r="C4480" s="9">
        <f>IFERROR(__xludf.DUMMYFUNCTION("""COMPUTED_VALUE"""),17261.0)</f>
        <v>17261</v>
      </c>
      <c r="D4480" s="9" t="str">
        <f>IFERROR(__xludf.DUMMYFUNCTION("""COMPUTED_VALUE"""),"Completed")</f>
        <v>Completed</v>
      </c>
    </row>
    <row r="4481">
      <c r="A4481" s="9" t="str">
        <f>IFERROR(__xludf.DUMMYFUNCTION("""COMPUTED_VALUE"""),"G-REQ-04480")</f>
        <v>G-REQ-04480</v>
      </c>
      <c r="B4481" s="11">
        <f>IFERROR(__xludf.DUMMYFUNCTION("""COMPUTED_VALUE"""),46080.177549280794)</f>
        <v>46080.17755</v>
      </c>
      <c r="C4481" s="9">
        <f>IFERROR(__xludf.DUMMYFUNCTION("""COMPUTED_VALUE"""),17265.0)</f>
        <v>17265</v>
      </c>
      <c r="D4481" s="9" t="str">
        <f>IFERROR(__xludf.DUMMYFUNCTION("""COMPUTED_VALUE"""),"Completed")</f>
        <v>Completed</v>
      </c>
    </row>
    <row r="4482">
      <c r="A4482" s="9" t="str">
        <f>IFERROR(__xludf.DUMMYFUNCTION("""COMPUTED_VALUE"""),"G-REQ-04481")</f>
        <v>G-REQ-04481</v>
      </c>
      <c r="B4482" s="11">
        <f>IFERROR(__xludf.DUMMYFUNCTION("""COMPUTED_VALUE"""),46080.248724126206)</f>
        <v>46080.24872</v>
      </c>
      <c r="C4482" s="9">
        <f>IFERROR(__xludf.DUMMYFUNCTION("""COMPUTED_VALUE"""),17269.0)</f>
        <v>17269</v>
      </c>
      <c r="D4482" s="9" t="str">
        <f>IFERROR(__xludf.DUMMYFUNCTION("""COMPUTED_VALUE"""),"Completed")</f>
        <v>Completed</v>
      </c>
    </row>
    <row r="4483">
      <c r="A4483" s="9" t="str">
        <f>IFERROR(__xludf.DUMMYFUNCTION("""COMPUTED_VALUE"""),"G-REQ-04482")</f>
        <v>G-REQ-04482</v>
      </c>
      <c r="B4483" s="11">
        <f>IFERROR(__xludf.DUMMYFUNCTION("""COMPUTED_VALUE"""),46080.31989897162)</f>
        <v>46080.3199</v>
      </c>
      <c r="C4483" s="9">
        <f>IFERROR(__xludf.DUMMYFUNCTION("""COMPUTED_VALUE"""),17273.0)</f>
        <v>17273</v>
      </c>
      <c r="D4483" s="9" t="str">
        <f>IFERROR(__xludf.DUMMYFUNCTION("""COMPUTED_VALUE"""),"Completed")</f>
        <v>Completed</v>
      </c>
    </row>
    <row r="4484">
      <c r="A4484" s="9" t="str">
        <f>IFERROR(__xludf.DUMMYFUNCTION("""COMPUTED_VALUE"""),"G-REQ-04483")</f>
        <v>G-REQ-04483</v>
      </c>
      <c r="B4484" s="11">
        <f>IFERROR(__xludf.DUMMYFUNCTION("""COMPUTED_VALUE"""),46080.39107381704)</f>
        <v>46080.39107</v>
      </c>
      <c r="C4484" s="9">
        <f>IFERROR(__xludf.DUMMYFUNCTION("""COMPUTED_VALUE"""),17277.0)</f>
        <v>17277</v>
      </c>
      <c r="D4484" s="9" t="str">
        <f>IFERROR(__xludf.DUMMYFUNCTION("""COMPUTED_VALUE"""),"Completed")</f>
        <v>Completed</v>
      </c>
    </row>
    <row r="4485">
      <c r="A4485" s="9" t="str">
        <f>IFERROR(__xludf.DUMMYFUNCTION("""COMPUTED_VALUE"""),"G-REQ-04484")</f>
        <v>G-REQ-04484</v>
      </c>
      <c r="B4485" s="11">
        <f>IFERROR(__xludf.DUMMYFUNCTION("""COMPUTED_VALUE"""),46080.46224866245)</f>
        <v>46080.46225</v>
      </c>
      <c r="C4485" s="9">
        <f>IFERROR(__xludf.DUMMYFUNCTION("""COMPUTED_VALUE"""),17281.0)</f>
        <v>17281</v>
      </c>
      <c r="D4485" s="9" t="str">
        <f>IFERROR(__xludf.DUMMYFUNCTION("""COMPUTED_VALUE"""),"Completed")</f>
        <v>Completed</v>
      </c>
    </row>
    <row r="4486">
      <c r="A4486" s="9" t="str">
        <f>IFERROR(__xludf.DUMMYFUNCTION("""COMPUTED_VALUE"""),"G-REQ-04485")</f>
        <v>G-REQ-04485</v>
      </c>
      <c r="B4486" s="11">
        <f>IFERROR(__xludf.DUMMYFUNCTION("""COMPUTED_VALUE"""),46080.53342350786)</f>
        <v>46080.53342</v>
      </c>
      <c r="C4486" s="9">
        <f>IFERROR(__xludf.DUMMYFUNCTION("""COMPUTED_VALUE"""),17285.0)</f>
        <v>17285</v>
      </c>
      <c r="D4486" s="9" t="str">
        <f>IFERROR(__xludf.DUMMYFUNCTION("""COMPUTED_VALUE"""),"Completed")</f>
        <v>Completed</v>
      </c>
    </row>
    <row r="4487">
      <c r="A4487" s="9" t="str">
        <f>IFERROR(__xludf.DUMMYFUNCTION("""COMPUTED_VALUE"""),"G-REQ-04486")</f>
        <v>G-REQ-04486</v>
      </c>
      <c r="B4487" s="11">
        <f>IFERROR(__xludf.DUMMYFUNCTION("""COMPUTED_VALUE"""),46080.60459835328)</f>
        <v>46080.6046</v>
      </c>
      <c r="C4487" s="9">
        <f>IFERROR(__xludf.DUMMYFUNCTION("""COMPUTED_VALUE"""),17289.0)</f>
        <v>17289</v>
      </c>
      <c r="D4487" s="9" t="str">
        <f>IFERROR(__xludf.DUMMYFUNCTION("""COMPUTED_VALUE"""),"Completed")</f>
        <v>Completed</v>
      </c>
    </row>
    <row r="4488">
      <c r="A4488" s="9" t="str">
        <f>IFERROR(__xludf.DUMMYFUNCTION("""COMPUTED_VALUE"""),"G-REQ-04487")</f>
        <v>G-REQ-04487</v>
      </c>
      <c r="B4488" s="11">
        <f>IFERROR(__xludf.DUMMYFUNCTION("""COMPUTED_VALUE"""),46080.6757731987)</f>
        <v>46080.67577</v>
      </c>
      <c r="C4488" s="9">
        <f>IFERROR(__xludf.DUMMYFUNCTION("""COMPUTED_VALUE"""),17293.0)</f>
        <v>17293</v>
      </c>
      <c r="D4488" s="9" t="str">
        <f>IFERROR(__xludf.DUMMYFUNCTION("""COMPUTED_VALUE"""),"Completed")</f>
        <v>Completed</v>
      </c>
    </row>
    <row r="4489">
      <c r="A4489" s="9" t="str">
        <f>IFERROR(__xludf.DUMMYFUNCTION("""COMPUTED_VALUE"""),"G-REQ-04488")</f>
        <v>G-REQ-04488</v>
      </c>
      <c r="B4489" s="11">
        <f>IFERROR(__xludf.DUMMYFUNCTION("""COMPUTED_VALUE"""),46080.74694804411)</f>
        <v>46080.74695</v>
      </c>
      <c r="C4489" s="9">
        <f>IFERROR(__xludf.DUMMYFUNCTION("""COMPUTED_VALUE"""),17297.0)</f>
        <v>17297</v>
      </c>
      <c r="D4489" s="9" t="str">
        <f>IFERROR(__xludf.DUMMYFUNCTION("""COMPUTED_VALUE"""),"Completed")</f>
        <v>Completed</v>
      </c>
    </row>
    <row r="4490">
      <c r="A4490" s="9" t="str">
        <f>IFERROR(__xludf.DUMMYFUNCTION("""COMPUTED_VALUE"""),"G-REQ-04489")</f>
        <v>G-REQ-04489</v>
      </c>
      <c r="B4490" s="11">
        <f>IFERROR(__xludf.DUMMYFUNCTION("""COMPUTED_VALUE"""),46080.81812288953)</f>
        <v>46080.81812</v>
      </c>
      <c r="C4490" s="9">
        <f>IFERROR(__xludf.DUMMYFUNCTION("""COMPUTED_VALUE"""),17301.0)</f>
        <v>17301</v>
      </c>
      <c r="D4490" s="9" t="str">
        <f>IFERROR(__xludf.DUMMYFUNCTION("""COMPUTED_VALUE"""),"Completed")</f>
        <v>Completed</v>
      </c>
    </row>
    <row r="4491">
      <c r="A4491" s="9" t="str">
        <f>IFERROR(__xludf.DUMMYFUNCTION("""COMPUTED_VALUE"""),"G-REQ-04490")</f>
        <v>G-REQ-04490</v>
      </c>
      <c r="B4491" s="11">
        <f>IFERROR(__xludf.DUMMYFUNCTION("""COMPUTED_VALUE"""),46080.889297734946)</f>
        <v>46080.8893</v>
      </c>
      <c r="C4491" s="9">
        <f>IFERROR(__xludf.DUMMYFUNCTION("""COMPUTED_VALUE"""),17305.0)</f>
        <v>17305</v>
      </c>
      <c r="D4491" s="9" t="str">
        <f>IFERROR(__xludf.DUMMYFUNCTION("""COMPUTED_VALUE"""),"Completed")</f>
        <v>Completed</v>
      </c>
    </row>
    <row r="4492">
      <c r="A4492" s="9" t="str">
        <f>IFERROR(__xludf.DUMMYFUNCTION("""COMPUTED_VALUE"""),"G-REQ-04491")</f>
        <v>G-REQ-04491</v>
      </c>
      <c r="B4492" s="11">
        <f>IFERROR(__xludf.DUMMYFUNCTION("""COMPUTED_VALUE"""),46080.96047258036)</f>
        <v>46080.96047</v>
      </c>
      <c r="C4492" s="9">
        <f>IFERROR(__xludf.DUMMYFUNCTION("""COMPUTED_VALUE"""),17309.0)</f>
        <v>17309</v>
      </c>
      <c r="D4492" s="9" t="str">
        <f>IFERROR(__xludf.DUMMYFUNCTION("""COMPUTED_VALUE"""),"Completed")</f>
        <v>Completed</v>
      </c>
    </row>
    <row r="4493">
      <c r="A4493" s="9" t="str">
        <f>IFERROR(__xludf.DUMMYFUNCTION("""COMPUTED_VALUE"""),"G-REQ-04492")</f>
        <v>G-REQ-04492</v>
      </c>
      <c r="B4493" s="11">
        <f>IFERROR(__xludf.DUMMYFUNCTION("""COMPUTED_VALUE"""),46081.03164742577)</f>
        <v>46081.03165</v>
      </c>
      <c r="C4493" s="9">
        <f>IFERROR(__xludf.DUMMYFUNCTION("""COMPUTED_VALUE"""),17313.0)</f>
        <v>17313</v>
      </c>
      <c r="D4493" s="9" t="str">
        <f>IFERROR(__xludf.DUMMYFUNCTION("""COMPUTED_VALUE"""),"Completed")</f>
        <v>Completed</v>
      </c>
    </row>
    <row r="4494">
      <c r="A4494" s="9" t="str">
        <f>IFERROR(__xludf.DUMMYFUNCTION("""COMPUTED_VALUE"""),"G-REQ-04493")</f>
        <v>G-REQ-04493</v>
      </c>
      <c r="B4494" s="11">
        <f>IFERROR(__xludf.DUMMYFUNCTION("""COMPUTED_VALUE"""),46081.10282227119)</f>
        <v>46081.10282</v>
      </c>
      <c r="C4494" s="9">
        <f>IFERROR(__xludf.DUMMYFUNCTION("""COMPUTED_VALUE"""),17317.0)</f>
        <v>17317</v>
      </c>
      <c r="D4494" s="9" t="str">
        <f>IFERROR(__xludf.DUMMYFUNCTION("""COMPUTED_VALUE"""),"Completed")</f>
        <v>Completed</v>
      </c>
    </row>
    <row r="4495">
      <c r="A4495" s="9" t="str">
        <f>IFERROR(__xludf.DUMMYFUNCTION("""COMPUTED_VALUE"""),"G-REQ-04494")</f>
        <v>G-REQ-04494</v>
      </c>
      <c r="B4495" s="11">
        <f>IFERROR(__xludf.DUMMYFUNCTION("""COMPUTED_VALUE"""),46081.1739971166)</f>
        <v>46081.174</v>
      </c>
      <c r="C4495" s="9">
        <f>IFERROR(__xludf.DUMMYFUNCTION("""COMPUTED_VALUE"""),17321.0)</f>
        <v>17321</v>
      </c>
      <c r="D4495" s="9" t="str">
        <f>IFERROR(__xludf.DUMMYFUNCTION("""COMPUTED_VALUE"""),"Completed")</f>
        <v>Completed</v>
      </c>
    </row>
    <row r="4496">
      <c r="A4496" s="9" t="str">
        <f>IFERROR(__xludf.DUMMYFUNCTION("""COMPUTED_VALUE"""),"G-REQ-04495")</f>
        <v>G-REQ-04495</v>
      </c>
      <c r="B4496" s="11">
        <f>IFERROR(__xludf.DUMMYFUNCTION("""COMPUTED_VALUE"""),46081.245171962015)</f>
        <v>46081.24517</v>
      </c>
      <c r="C4496" s="9">
        <f>IFERROR(__xludf.DUMMYFUNCTION("""COMPUTED_VALUE"""),17325.0)</f>
        <v>17325</v>
      </c>
      <c r="D4496" s="9" t="str">
        <f>IFERROR(__xludf.DUMMYFUNCTION("""COMPUTED_VALUE"""),"Completed")</f>
        <v>Completed</v>
      </c>
    </row>
    <row r="4497">
      <c r="A4497" s="9" t="str">
        <f>IFERROR(__xludf.DUMMYFUNCTION("""COMPUTED_VALUE"""),"G-REQ-04496")</f>
        <v>G-REQ-04496</v>
      </c>
      <c r="B4497" s="11">
        <f>IFERROR(__xludf.DUMMYFUNCTION("""COMPUTED_VALUE"""),46081.316346807434)</f>
        <v>46081.31635</v>
      </c>
      <c r="C4497" s="9">
        <f>IFERROR(__xludf.DUMMYFUNCTION("""COMPUTED_VALUE"""),17329.0)</f>
        <v>17329</v>
      </c>
      <c r="D4497" s="9" t="str">
        <f>IFERROR(__xludf.DUMMYFUNCTION("""COMPUTED_VALUE"""),"Completed")</f>
        <v>Completed</v>
      </c>
    </row>
    <row r="4498">
      <c r="A4498" s="9" t="str">
        <f>IFERROR(__xludf.DUMMYFUNCTION("""COMPUTED_VALUE"""),"G-REQ-04497")</f>
        <v>G-REQ-04497</v>
      </c>
      <c r="B4498" s="11">
        <f>IFERROR(__xludf.DUMMYFUNCTION("""COMPUTED_VALUE"""),46081.38752165285)</f>
        <v>46081.38752</v>
      </c>
      <c r="C4498" s="9">
        <f>IFERROR(__xludf.DUMMYFUNCTION("""COMPUTED_VALUE"""),17333.0)</f>
        <v>17333</v>
      </c>
      <c r="D4498" s="9" t="str">
        <f>IFERROR(__xludf.DUMMYFUNCTION("""COMPUTED_VALUE"""),"Completed")</f>
        <v>Completed</v>
      </c>
    </row>
    <row r="4499">
      <c r="A4499" s="9" t="str">
        <f>IFERROR(__xludf.DUMMYFUNCTION("""COMPUTED_VALUE"""),"G-REQ-04498")</f>
        <v>G-REQ-04498</v>
      </c>
      <c r="B4499" s="11">
        <f>IFERROR(__xludf.DUMMYFUNCTION("""COMPUTED_VALUE"""),46081.45869649826)</f>
        <v>46081.4587</v>
      </c>
      <c r="C4499" s="9">
        <f>IFERROR(__xludf.DUMMYFUNCTION("""COMPUTED_VALUE"""),17337.0)</f>
        <v>17337</v>
      </c>
      <c r="D4499" s="9" t="str">
        <f>IFERROR(__xludf.DUMMYFUNCTION("""COMPUTED_VALUE"""),"Completed")</f>
        <v>Completed</v>
      </c>
    </row>
    <row r="4500">
      <c r="A4500" s="9" t="str">
        <f>IFERROR(__xludf.DUMMYFUNCTION("""COMPUTED_VALUE"""),"G-REQ-04499")</f>
        <v>G-REQ-04499</v>
      </c>
      <c r="B4500" s="11">
        <f>IFERROR(__xludf.DUMMYFUNCTION("""COMPUTED_VALUE"""),46081.52987134368)</f>
        <v>46081.52987</v>
      </c>
      <c r="C4500" s="9">
        <f>IFERROR(__xludf.DUMMYFUNCTION("""COMPUTED_VALUE"""),17341.0)</f>
        <v>17341</v>
      </c>
      <c r="D4500" s="9" t="str">
        <f>IFERROR(__xludf.DUMMYFUNCTION("""COMPUTED_VALUE"""),"Completed")</f>
        <v>Completed</v>
      </c>
    </row>
    <row r="4501">
      <c r="A4501" s="9" t="str">
        <f>IFERROR(__xludf.DUMMYFUNCTION("""COMPUTED_VALUE"""),"G-REQ-04500")</f>
        <v>G-REQ-04500</v>
      </c>
      <c r="B4501" s="11">
        <f>IFERROR(__xludf.DUMMYFUNCTION("""COMPUTED_VALUE"""),46081.60104618909)</f>
        <v>46081.60105</v>
      </c>
      <c r="C4501" s="9">
        <f>IFERROR(__xludf.DUMMYFUNCTION("""COMPUTED_VALUE"""),17345.0)</f>
        <v>17345</v>
      </c>
      <c r="D4501" s="9" t="str">
        <f>IFERROR(__xludf.DUMMYFUNCTION("""COMPUTED_VALUE"""),"Completed")</f>
        <v>Completed</v>
      </c>
    </row>
    <row r="4502">
      <c r="A4502" s="9" t="str">
        <f>IFERROR(__xludf.DUMMYFUNCTION("""COMPUTED_VALUE"""),"G-REQ-04501")</f>
        <v>G-REQ-04501</v>
      </c>
      <c r="B4502" s="11">
        <f>IFERROR(__xludf.DUMMYFUNCTION("""COMPUTED_VALUE"""),46081.6722210345)</f>
        <v>46081.67222</v>
      </c>
      <c r="C4502" s="9">
        <f>IFERROR(__xludf.DUMMYFUNCTION("""COMPUTED_VALUE"""),17349.0)</f>
        <v>17349</v>
      </c>
      <c r="D4502" s="9" t="str">
        <f>IFERROR(__xludf.DUMMYFUNCTION("""COMPUTED_VALUE"""),"Completed")</f>
        <v>Completed</v>
      </c>
    </row>
    <row r="4503">
      <c r="A4503" s="9" t="str">
        <f>IFERROR(__xludf.DUMMYFUNCTION("""COMPUTED_VALUE"""),"G-REQ-04502")</f>
        <v>G-REQ-04502</v>
      </c>
      <c r="B4503" s="11">
        <f>IFERROR(__xludf.DUMMYFUNCTION("""COMPUTED_VALUE"""),46081.74339587992)</f>
        <v>46081.7434</v>
      </c>
      <c r="C4503" s="9">
        <f>IFERROR(__xludf.DUMMYFUNCTION("""COMPUTED_VALUE"""),17353.0)</f>
        <v>17353</v>
      </c>
      <c r="D4503" s="9" t="str">
        <f>IFERROR(__xludf.DUMMYFUNCTION("""COMPUTED_VALUE"""),"Completed")</f>
        <v>Completed</v>
      </c>
    </row>
    <row r="4504">
      <c r="A4504" s="9" t="str">
        <f>IFERROR(__xludf.DUMMYFUNCTION("""COMPUTED_VALUE"""),"G-REQ-04503")</f>
        <v>G-REQ-04503</v>
      </c>
      <c r="B4504" s="11">
        <f>IFERROR(__xludf.DUMMYFUNCTION("""COMPUTED_VALUE"""),46081.81457072534)</f>
        <v>46081.81457</v>
      </c>
      <c r="C4504" s="9">
        <f>IFERROR(__xludf.DUMMYFUNCTION("""COMPUTED_VALUE"""),17357.0)</f>
        <v>17357</v>
      </c>
      <c r="D4504" s="9" t="str">
        <f>IFERROR(__xludf.DUMMYFUNCTION("""COMPUTED_VALUE"""),"Completed")</f>
        <v>Completed</v>
      </c>
    </row>
    <row r="4505">
      <c r="A4505" s="9" t="str">
        <f>IFERROR(__xludf.DUMMYFUNCTION("""COMPUTED_VALUE"""),"G-REQ-04504")</f>
        <v>G-REQ-04504</v>
      </c>
      <c r="B4505" s="11">
        <f>IFERROR(__xludf.DUMMYFUNCTION("""COMPUTED_VALUE"""),46081.88574557075)</f>
        <v>46081.88575</v>
      </c>
      <c r="C4505" s="9">
        <f>IFERROR(__xludf.DUMMYFUNCTION("""COMPUTED_VALUE"""),17361.0)</f>
        <v>17361</v>
      </c>
      <c r="D4505" s="9" t="str">
        <f>IFERROR(__xludf.DUMMYFUNCTION("""COMPUTED_VALUE"""),"Completed")</f>
        <v>Completed</v>
      </c>
    </row>
    <row r="4506">
      <c r="A4506" s="9" t="str">
        <f>IFERROR(__xludf.DUMMYFUNCTION("""COMPUTED_VALUE"""),"G-REQ-04505")</f>
        <v>G-REQ-04505</v>
      </c>
      <c r="B4506" s="11">
        <f>IFERROR(__xludf.DUMMYFUNCTION("""COMPUTED_VALUE"""),46081.95692041617)</f>
        <v>46081.95692</v>
      </c>
      <c r="C4506" s="9">
        <f>IFERROR(__xludf.DUMMYFUNCTION("""COMPUTED_VALUE"""),17365.0)</f>
        <v>17365</v>
      </c>
      <c r="D4506" s="9" t="str">
        <f>IFERROR(__xludf.DUMMYFUNCTION("""COMPUTED_VALUE"""),"Completed")</f>
        <v>Completed</v>
      </c>
    </row>
    <row r="4507">
      <c r="A4507" s="9" t="str">
        <f>IFERROR(__xludf.DUMMYFUNCTION("""COMPUTED_VALUE"""),"G-REQ-04506")</f>
        <v>G-REQ-04506</v>
      </c>
      <c r="B4507" s="11">
        <f>IFERROR(__xludf.DUMMYFUNCTION("""COMPUTED_VALUE"""),46082.02809526159)</f>
        <v>46082.0281</v>
      </c>
      <c r="C4507" s="9">
        <f>IFERROR(__xludf.DUMMYFUNCTION("""COMPUTED_VALUE"""),17369.0)</f>
        <v>17369</v>
      </c>
      <c r="D4507" s="9" t="str">
        <f>IFERROR(__xludf.DUMMYFUNCTION("""COMPUTED_VALUE"""),"Completed")</f>
        <v>Completed</v>
      </c>
    </row>
    <row r="4508">
      <c r="A4508" s="9" t="str">
        <f>IFERROR(__xludf.DUMMYFUNCTION("""COMPUTED_VALUE"""),"G-REQ-04507")</f>
        <v>G-REQ-04507</v>
      </c>
      <c r="B4508" s="11">
        <f>IFERROR(__xludf.DUMMYFUNCTION("""COMPUTED_VALUE"""),46082.099270107)</f>
        <v>46082.09927</v>
      </c>
      <c r="C4508" s="9">
        <f>IFERROR(__xludf.DUMMYFUNCTION("""COMPUTED_VALUE"""),17373.0)</f>
        <v>17373</v>
      </c>
      <c r="D4508" s="9" t="str">
        <f>IFERROR(__xludf.DUMMYFUNCTION("""COMPUTED_VALUE"""),"Completed")</f>
        <v>Completed</v>
      </c>
    </row>
    <row r="4509">
      <c r="A4509" s="9" t="str">
        <f>IFERROR(__xludf.DUMMYFUNCTION("""COMPUTED_VALUE"""),"G-REQ-04508")</f>
        <v>G-REQ-04508</v>
      </c>
      <c r="B4509" s="11">
        <f>IFERROR(__xludf.DUMMYFUNCTION("""COMPUTED_VALUE"""),46082.163500507966)</f>
        <v>46082.1635</v>
      </c>
      <c r="C4509" s="9">
        <f>IFERROR(__xludf.DUMMYFUNCTION("""COMPUTED_VALUE"""),17375.0)</f>
        <v>17375</v>
      </c>
      <c r="D4509" s="9" t="str">
        <f>IFERROR(__xludf.DUMMYFUNCTION("""COMPUTED_VALUE"""),"Cancelled")</f>
        <v>Cancelled</v>
      </c>
    </row>
    <row r="4510">
      <c r="A4510" s="9" t="str">
        <f>IFERROR(__xludf.DUMMYFUNCTION("""COMPUTED_VALUE"""),"G-REQ-04509")</f>
        <v>G-REQ-04509</v>
      </c>
      <c r="B4510" s="11">
        <f>IFERROR(__xludf.DUMMYFUNCTION("""COMPUTED_VALUE"""),46082.24161979783)</f>
        <v>46082.24162</v>
      </c>
      <c r="C4510" s="9">
        <f>IFERROR(__xludf.DUMMYFUNCTION("""COMPUTED_VALUE"""),17379.0)</f>
        <v>17379</v>
      </c>
      <c r="D4510" s="9" t="str">
        <f>IFERROR(__xludf.DUMMYFUNCTION("""COMPUTED_VALUE"""),"Completed")</f>
        <v>Completed</v>
      </c>
    </row>
    <row r="4511">
      <c r="A4511" s="9" t="str">
        <f>IFERROR(__xludf.DUMMYFUNCTION("""COMPUTED_VALUE"""),"G-REQ-04510")</f>
        <v>G-REQ-04510</v>
      </c>
      <c r="B4511" s="11">
        <f>IFERROR(__xludf.DUMMYFUNCTION("""COMPUTED_VALUE"""),46082.31279464324)</f>
        <v>46082.31279</v>
      </c>
      <c r="C4511" s="9">
        <f>IFERROR(__xludf.DUMMYFUNCTION("""COMPUTED_VALUE"""),17383.0)</f>
        <v>17383</v>
      </c>
      <c r="D4511" s="9" t="str">
        <f>IFERROR(__xludf.DUMMYFUNCTION("""COMPUTED_VALUE"""),"Completed")</f>
        <v>Completed</v>
      </c>
    </row>
    <row r="4512">
      <c r="A4512" s="9" t="str">
        <f>IFERROR(__xludf.DUMMYFUNCTION("""COMPUTED_VALUE"""),"G-REQ-04511")</f>
        <v>G-REQ-04511</v>
      </c>
      <c r="B4512" s="11">
        <f>IFERROR(__xludf.DUMMYFUNCTION("""COMPUTED_VALUE"""),46082.383969488656)</f>
        <v>46082.38397</v>
      </c>
      <c r="C4512" s="9">
        <f>IFERROR(__xludf.DUMMYFUNCTION("""COMPUTED_VALUE"""),17387.0)</f>
        <v>17387</v>
      </c>
      <c r="D4512" s="9" t="str">
        <f>IFERROR(__xludf.DUMMYFUNCTION("""COMPUTED_VALUE"""),"Completed")</f>
        <v>Completed</v>
      </c>
    </row>
    <row r="4513">
      <c r="A4513" s="9" t="str">
        <f>IFERROR(__xludf.DUMMYFUNCTION("""COMPUTED_VALUE"""),"G-REQ-04512")</f>
        <v>G-REQ-04512</v>
      </c>
      <c r="B4513" s="11">
        <f>IFERROR(__xludf.DUMMYFUNCTION("""COMPUTED_VALUE"""),46082.455144334075)</f>
        <v>46082.45514</v>
      </c>
      <c r="C4513" s="9">
        <f>IFERROR(__xludf.DUMMYFUNCTION("""COMPUTED_VALUE"""),17391.0)</f>
        <v>17391</v>
      </c>
      <c r="D4513" s="9" t="str">
        <f>IFERROR(__xludf.DUMMYFUNCTION("""COMPUTED_VALUE"""),"Completed")</f>
        <v>Completed</v>
      </c>
    </row>
    <row r="4514">
      <c r="A4514" s="9" t="str">
        <f>IFERROR(__xludf.DUMMYFUNCTION("""COMPUTED_VALUE"""),"G-REQ-04513")</f>
        <v>G-REQ-04513</v>
      </c>
      <c r="B4514" s="11">
        <f>IFERROR(__xludf.DUMMYFUNCTION("""COMPUTED_VALUE"""),46082.526319179495)</f>
        <v>46082.52632</v>
      </c>
      <c r="C4514" s="9">
        <f>IFERROR(__xludf.DUMMYFUNCTION("""COMPUTED_VALUE"""),17395.0)</f>
        <v>17395</v>
      </c>
      <c r="D4514" s="9" t="str">
        <f>IFERROR(__xludf.DUMMYFUNCTION("""COMPUTED_VALUE"""),"Completed")</f>
        <v>Completed</v>
      </c>
    </row>
    <row r="4515">
      <c r="A4515" s="9" t="str">
        <f>IFERROR(__xludf.DUMMYFUNCTION("""COMPUTED_VALUE"""),"G-REQ-04514")</f>
        <v>G-REQ-04514</v>
      </c>
      <c r="B4515" s="11">
        <f>IFERROR(__xludf.DUMMYFUNCTION("""COMPUTED_VALUE"""),46082.5974940249)</f>
        <v>46082.59749</v>
      </c>
      <c r="C4515" s="9">
        <f>IFERROR(__xludf.DUMMYFUNCTION("""COMPUTED_VALUE"""),17399.0)</f>
        <v>17399</v>
      </c>
      <c r="D4515" s="9" t="str">
        <f>IFERROR(__xludf.DUMMYFUNCTION("""COMPUTED_VALUE"""),"Completed")</f>
        <v>Completed</v>
      </c>
    </row>
    <row r="4516">
      <c r="A4516" s="9" t="str">
        <f>IFERROR(__xludf.DUMMYFUNCTION("""COMPUTED_VALUE"""),"G-REQ-04515")</f>
        <v>G-REQ-04515</v>
      </c>
      <c r="B4516" s="11">
        <f>IFERROR(__xludf.DUMMYFUNCTION("""COMPUTED_VALUE"""),46082.66866887032)</f>
        <v>46082.66867</v>
      </c>
      <c r="C4516" s="9">
        <f>IFERROR(__xludf.DUMMYFUNCTION("""COMPUTED_VALUE"""),17403.0)</f>
        <v>17403</v>
      </c>
      <c r="D4516" s="9" t="str">
        <f>IFERROR(__xludf.DUMMYFUNCTION("""COMPUTED_VALUE"""),"Completed")</f>
        <v>Completed</v>
      </c>
    </row>
    <row r="4517">
      <c r="A4517" s="9" t="str">
        <f>IFERROR(__xludf.DUMMYFUNCTION("""COMPUTED_VALUE"""),"G-REQ-04516")</f>
        <v>G-REQ-04516</v>
      </c>
      <c r="B4517" s="11">
        <f>IFERROR(__xludf.DUMMYFUNCTION("""COMPUTED_VALUE"""),46082.73984371574)</f>
        <v>46082.73984</v>
      </c>
      <c r="C4517" s="9">
        <f>IFERROR(__xludf.DUMMYFUNCTION("""COMPUTED_VALUE"""),17407.0)</f>
        <v>17407</v>
      </c>
      <c r="D4517" s="9" t="str">
        <f>IFERROR(__xludf.DUMMYFUNCTION("""COMPUTED_VALUE"""),"Completed")</f>
        <v>Completed</v>
      </c>
    </row>
    <row r="4518">
      <c r="A4518" s="9" t="str">
        <f>IFERROR(__xludf.DUMMYFUNCTION("""COMPUTED_VALUE"""),"G-REQ-04517")</f>
        <v>G-REQ-04517</v>
      </c>
      <c r="B4518" s="11">
        <f>IFERROR(__xludf.DUMMYFUNCTION("""COMPUTED_VALUE"""),46082.81101856115)</f>
        <v>46082.81102</v>
      </c>
      <c r="C4518" s="9">
        <f>IFERROR(__xludf.DUMMYFUNCTION("""COMPUTED_VALUE"""),17411.0)</f>
        <v>17411</v>
      </c>
      <c r="D4518" s="9" t="str">
        <f>IFERROR(__xludf.DUMMYFUNCTION("""COMPUTED_VALUE"""),"Completed")</f>
        <v>Completed</v>
      </c>
    </row>
    <row r="4519">
      <c r="A4519" s="9" t="str">
        <f>IFERROR(__xludf.DUMMYFUNCTION("""COMPUTED_VALUE"""),"G-REQ-04518")</f>
        <v>G-REQ-04518</v>
      </c>
      <c r="B4519" s="11">
        <f>IFERROR(__xludf.DUMMYFUNCTION("""COMPUTED_VALUE"""),46082.88219340656)</f>
        <v>46082.88219</v>
      </c>
      <c r="C4519" s="9">
        <f>IFERROR(__xludf.DUMMYFUNCTION("""COMPUTED_VALUE"""),17415.0)</f>
        <v>17415</v>
      </c>
      <c r="D4519" s="9" t="str">
        <f>IFERROR(__xludf.DUMMYFUNCTION("""COMPUTED_VALUE"""),"Completed")</f>
        <v>Completed</v>
      </c>
    </row>
    <row r="4520">
      <c r="A4520" s="9" t="str">
        <f>IFERROR(__xludf.DUMMYFUNCTION("""COMPUTED_VALUE"""),"G-REQ-04519")</f>
        <v>G-REQ-04519</v>
      </c>
      <c r="B4520" s="11">
        <f>IFERROR(__xludf.DUMMYFUNCTION("""COMPUTED_VALUE"""),46082.95336825198)</f>
        <v>46082.95337</v>
      </c>
      <c r="C4520" s="9">
        <f>IFERROR(__xludf.DUMMYFUNCTION("""COMPUTED_VALUE"""),17419.0)</f>
        <v>17419</v>
      </c>
      <c r="D4520" s="9" t="str">
        <f>IFERROR(__xludf.DUMMYFUNCTION("""COMPUTED_VALUE"""),"Completed")</f>
        <v>Completed</v>
      </c>
    </row>
    <row r="4521">
      <c r="A4521" s="9" t="str">
        <f>IFERROR(__xludf.DUMMYFUNCTION("""COMPUTED_VALUE"""),"G-REQ-04520")</f>
        <v>G-REQ-04520</v>
      </c>
      <c r="B4521" s="11">
        <f>IFERROR(__xludf.DUMMYFUNCTION("""COMPUTED_VALUE"""),46083.024543097396)</f>
        <v>46083.02454</v>
      </c>
      <c r="C4521" s="9">
        <f>IFERROR(__xludf.DUMMYFUNCTION("""COMPUTED_VALUE"""),17423.0)</f>
        <v>17423</v>
      </c>
      <c r="D4521" s="9" t="str">
        <f>IFERROR(__xludf.DUMMYFUNCTION("""COMPUTED_VALUE"""),"Completed")</f>
        <v>Completed</v>
      </c>
    </row>
    <row r="4522">
      <c r="A4522" s="9" t="str">
        <f>IFERROR(__xludf.DUMMYFUNCTION("""COMPUTED_VALUE"""),"G-REQ-04521")</f>
        <v>G-REQ-04521</v>
      </c>
      <c r="B4522" s="11">
        <f>IFERROR(__xludf.DUMMYFUNCTION("""COMPUTED_VALUE"""),46083.09571794281)</f>
        <v>46083.09572</v>
      </c>
      <c r="C4522" s="9">
        <f>IFERROR(__xludf.DUMMYFUNCTION("""COMPUTED_VALUE"""),17427.0)</f>
        <v>17427</v>
      </c>
      <c r="D4522" s="9" t="str">
        <f>IFERROR(__xludf.DUMMYFUNCTION("""COMPUTED_VALUE"""),"Completed")</f>
        <v>Completed</v>
      </c>
    </row>
    <row r="4523">
      <c r="A4523" s="9" t="str">
        <f>IFERROR(__xludf.DUMMYFUNCTION("""COMPUTED_VALUE"""),"G-REQ-04522")</f>
        <v>G-REQ-04522</v>
      </c>
      <c r="B4523" s="11">
        <f>IFERROR(__xludf.DUMMYFUNCTION("""COMPUTED_VALUE"""),46083.16689278823)</f>
        <v>46083.16689</v>
      </c>
      <c r="C4523" s="9">
        <f>IFERROR(__xludf.DUMMYFUNCTION("""COMPUTED_VALUE"""),17431.0)</f>
        <v>17431</v>
      </c>
      <c r="D4523" s="9" t="str">
        <f>IFERROR(__xludf.DUMMYFUNCTION("""COMPUTED_VALUE"""),"Completed")</f>
        <v>Completed</v>
      </c>
    </row>
    <row r="4524">
      <c r="A4524" s="9" t="str">
        <f>IFERROR(__xludf.DUMMYFUNCTION("""COMPUTED_VALUE"""),"G-REQ-04523")</f>
        <v>G-REQ-04523</v>
      </c>
      <c r="B4524" s="11">
        <f>IFERROR(__xludf.DUMMYFUNCTION("""COMPUTED_VALUE"""),46083.231123189194)</f>
        <v>46083.23112</v>
      </c>
      <c r="C4524" s="9">
        <f>IFERROR(__xludf.DUMMYFUNCTION("""COMPUTED_VALUE"""),17433.0)</f>
        <v>17433</v>
      </c>
      <c r="D4524" s="9" t="str">
        <f>IFERROR(__xludf.DUMMYFUNCTION("""COMPUTED_VALUE"""),"Rejected")</f>
        <v>Rejected</v>
      </c>
    </row>
    <row r="4525">
      <c r="A4525" s="9" t="str">
        <f>IFERROR(__xludf.DUMMYFUNCTION("""COMPUTED_VALUE"""),"G-REQ-04524")</f>
        <v>G-REQ-04524</v>
      </c>
      <c r="B4525" s="11">
        <f>IFERROR(__xludf.DUMMYFUNCTION("""COMPUTED_VALUE"""),46083.30924247905)</f>
        <v>46083.30924</v>
      </c>
      <c r="C4525" s="9">
        <f>IFERROR(__xludf.DUMMYFUNCTION("""COMPUTED_VALUE"""),17437.0)</f>
        <v>17437</v>
      </c>
      <c r="D4525" s="9" t="str">
        <f>IFERROR(__xludf.DUMMYFUNCTION("""COMPUTED_VALUE"""),"Completed")</f>
        <v>Completed</v>
      </c>
    </row>
    <row r="4526">
      <c r="A4526" s="9" t="str">
        <f>IFERROR(__xludf.DUMMYFUNCTION("""COMPUTED_VALUE"""),"G-REQ-04525")</f>
        <v>G-REQ-04525</v>
      </c>
      <c r="B4526" s="11">
        <f>IFERROR(__xludf.DUMMYFUNCTION("""COMPUTED_VALUE"""),46083.38041732447)</f>
        <v>46083.38042</v>
      </c>
      <c r="C4526" s="9">
        <f>IFERROR(__xludf.DUMMYFUNCTION("""COMPUTED_VALUE"""),17441.0)</f>
        <v>17441</v>
      </c>
      <c r="D4526" s="9" t="str">
        <f>IFERROR(__xludf.DUMMYFUNCTION("""COMPUTED_VALUE"""),"Completed")</f>
        <v>Completed</v>
      </c>
    </row>
    <row r="4527">
      <c r="A4527" s="9" t="str">
        <f>IFERROR(__xludf.DUMMYFUNCTION("""COMPUTED_VALUE"""),"G-REQ-04526")</f>
        <v>G-REQ-04526</v>
      </c>
      <c r="B4527" s="11">
        <f>IFERROR(__xludf.DUMMYFUNCTION("""COMPUTED_VALUE"""),46083.451592169884)</f>
        <v>46083.45159</v>
      </c>
      <c r="C4527" s="9">
        <f>IFERROR(__xludf.DUMMYFUNCTION("""COMPUTED_VALUE"""),17445.0)</f>
        <v>17445</v>
      </c>
      <c r="D4527" s="9" t="str">
        <f>IFERROR(__xludf.DUMMYFUNCTION("""COMPUTED_VALUE"""),"Completed")</f>
        <v>Completed</v>
      </c>
    </row>
    <row r="4528">
      <c r="A4528" s="9" t="str">
        <f>IFERROR(__xludf.DUMMYFUNCTION("""COMPUTED_VALUE"""),"G-REQ-04527")</f>
        <v>G-REQ-04527</v>
      </c>
      <c r="B4528" s="11">
        <f>IFERROR(__xludf.DUMMYFUNCTION("""COMPUTED_VALUE"""),46083.522767015296)</f>
        <v>46083.52277</v>
      </c>
      <c r="C4528" s="9">
        <f>IFERROR(__xludf.DUMMYFUNCTION("""COMPUTED_VALUE"""),17449.0)</f>
        <v>17449</v>
      </c>
      <c r="D4528" s="9" t="str">
        <f>IFERROR(__xludf.DUMMYFUNCTION("""COMPUTED_VALUE"""),"Completed")</f>
        <v>Completed</v>
      </c>
    </row>
    <row r="4529">
      <c r="A4529" s="9" t="str">
        <f>IFERROR(__xludf.DUMMYFUNCTION("""COMPUTED_VALUE"""),"G-REQ-04528")</f>
        <v>G-REQ-04528</v>
      </c>
      <c r="B4529" s="11">
        <f>IFERROR(__xludf.DUMMYFUNCTION("""COMPUTED_VALUE"""),46083.593941860716)</f>
        <v>46083.59394</v>
      </c>
      <c r="C4529" s="9">
        <f>IFERROR(__xludf.DUMMYFUNCTION("""COMPUTED_VALUE"""),17453.0)</f>
        <v>17453</v>
      </c>
      <c r="D4529" s="9" t="str">
        <f>IFERROR(__xludf.DUMMYFUNCTION("""COMPUTED_VALUE"""),"Completed")</f>
        <v>Completed</v>
      </c>
    </row>
    <row r="4530">
      <c r="A4530" s="9" t="str">
        <f>IFERROR(__xludf.DUMMYFUNCTION("""COMPUTED_VALUE"""),"G-REQ-04529")</f>
        <v>G-REQ-04529</v>
      </c>
      <c r="B4530" s="11">
        <f>IFERROR(__xludf.DUMMYFUNCTION("""COMPUTED_VALUE"""),46083.665116706135)</f>
        <v>46083.66512</v>
      </c>
      <c r="C4530" s="9">
        <f>IFERROR(__xludf.DUMMYFUNCTION("""COMPUTED_VALUE"""),17457.0)</f>
        <v>17457</v>
      </c>
      <c r="D4530" s="9" t="str">
        <f>IFERROR(__xludf.DUMMYFUNCTION("""COMPUTED_VALUE"""),"Completed")</f>
        <v>Completed</v>
      </c>
    </row>
    <row r="4531">
      <c r="A4531" s="9" t="str">
        <f>IFERROR(__xludf.DUMMYFUNCTION("""COMPUTED_VALUE"""),"G-REQ-04530")</f>
        <v>G-REQ-04530</v>
      </c>
      <c r="B4531" s="11">
        <f>IFERROR(__xludf.DUMMYFUNCTION("""COMPUTED_VALUE"""),46083.73629155154)</f>
        <v>46083.73629</v>
      </c>
      <c r="C4531" s="9">
        <f>IFERROR(__xludf.DUMMYFUNCTION("""COMPUTED_VALUE"""),17461.0)</f>
        <v>17461</v>
      </c>
      <c r="D4531" s="9" t="str">
        <f>IFERROR(__xludf.DUMMYFUNCTION("""COMPUTED_VALUE"""),"Completed")</f>
        <v>Completed</v>
      </c>
    </row>
    <row r="4532">
      <c r="A4532" s="9" t="str">
        <f>IFERROR(__xludf.DUMMYFUNCTION("""COMPUTED_VALUE"""),"G-REQ-04531")</f>
        <v>G-REQ-04531</v>
      </c>
      <c r="B4532" s="11">
        <f>IFERROR(__xludf.DUMMYFUNCTION("""COMPUTED_VALUE"""),46083.800521952515)</f>
        <v>46083.80052</v>
      </c>
      <c r="C4532" s="9">
        <f>IFERROR(__xludf.DUMMYFUNCTION("""COMPUTED_VALUE"""),17463.0)</f>
        <v>17463</v>
      </c>
      <c r="D4532" s="9" t="str">
        <f>IFERROR(__xludf.DUMMYFUNCTION("""COMPUTED_VALUE"""),"Rejected")</f>
        <v>Rejected</v>
      </c>
    </row>
    <row r="4533">
      <c r="A4533" s="9" t="str">
        <f>IFERROR(__xludf.DUMMYFUNCTION("""COMPUTED_VALUE"""),"G-REQ-04532")</f>
        <v>G-REQ-04532</v>
      </c>
      <c r="B4533" s="11">
        <f>IFERROR(__xludf.DUMMYFUNCTION("""COMPUTED_VALUE"""),46083.87864124238)</f>
        <v>46083.87864</v>
      </c>
      <c r="C4533" s="9">
        <f>IFERROR(__xludf.DUMMYFUNCTION("""COMPUTED_VALUE"""),17467.0)</f>
        <v>17467</v>
      </c>
      <c r="D4533" s="9" t="str">
        <f>IFERROR(__xludf.DUMMYFUNCTION("""COMPUTED_VALUE"""),"Completed")</f>
        <v>Completed</v>
      </c>
    </row>
    <row r="4534">
      <c r="A4534" s="9" t="str">
        <f>IFERROR(__xludf.DUMMYFUNCTION("""COMPUTED_VALUE"""),"G-REQ-04533")</f>
        <v>G-REQ-04533</v>
      </c>
      <c r="B4534" s="11">
        <f>IFERROR(__xludf.DUMMYFUNCTION("""COMPUTED_VALUE"""),46083.94981608779)</f>
        <v>46083.94982</v>
      </c>
      <c r="C4534" s="9">
        <f>IFERROR(__xludf.DUMMYFUNCTION("""COMPUTED_VALUE"""),17471.0)</f>
        <v>17471</v>
      </c>
      <c r="D4534" s="9" t="str">
        <f>IFERROR(__xludf.DUMMYFUNCTION("""COMPUTED_VALUE"""),"Completed")</f>
        <v>Completed</v>
      </c>
    </row>
    <row r="4535">
      <c r="A4535" s="9" t="str">
        <f>IFERROR(__xludf.DUMMYFUNCTION("""COMPUTED_VALUE"""),"G-REQ-04534")</f>
        <v>G-REQ-04534</v>
      </c>
      <c r="B4535" s="11">
        <f>IFERROR(__xludf.DUMMYFUNCTION("""COMPUTED_VALUE"""),46084.020990933204)</f>
        <v>46084.02099</v>
      </c>
      <c r="C4535" s="9">
        <f>IFERROR(__xludf.DUMMYFUNCTION("""COMPUTED_VALUE"""),17475.0)</f>
        <v>17475</v>
      </c>
      <c r="D4535" s="9" t="str">
        <f>IFERROR(__xludf.DUMMYFUNCTION("""COMPUTED_VALUE"""),"Completed")</f>
        <v>Completed</v>
      </c>
    </row>
    <row r="4536">
      <c r="A4536" s="9" t="str">
        <f>IFERROR(__xludf.DUMMYFUNCTION("""COMPUTED_VALUE"""),"G-REQ-04535")</f>
        <v>G-REQ-04535</v>
      </c>
      <c r="B4536" s="11">
        <f>IFERROR(__xludf.DUMMYFUNCTION("""COMPUTED_VALUE"""),46084.092165778624)</f>
        <v>46084.09217</v>
      </c>
      <c r="C4536" s="9">
        <f>IFERROR(__xludf.DUMMYFUNCTION("""COMPUTED_VALUE"""),17479.0)</f>
        <v>17479</v>
      </c>
      <c r="D4536" s="9" t="str">
        <f>IFERROR(__xludf.DUMMYFUNCTION("""COMPUTED_VALUE"""),"Completed")</f>
        <v>Completed</v>
      </c>
    </row>
    <row r="4537">
      <c r="A4537" s="9" t="str">
        <f>IFERROR(__xludf.DUMMYFUNCTION("""COMPUTED_VALUE"""),"G-REQ-04536")</f>
        <v>G-REQ-04536</v>
      </c>
      <c r="B4537" s="11">
        <f>IFERROR(__xludf.DUMMYFUNCTION("""COMPUTED_VALUE"""),46084.163340624036)</f>
        <v>46084.16334</v>
      </c>
      <c r="C4537" s="9">
        <f>IFERROR(__xludf.DUMMYFUNCTION("""COMPUTED_VALUE"""),17483.0)</f>
        <v>17483</v>
      </c>
      <c r="D4537" s="9" t="str">
        <f>IFERROR(__xludf.DUMMYFUNCTION("""COMPUTED_VALUE"""),"Completed")</f>
        <v>Completed</v>
      </c>
    </row>
    <row r="4538">
      <c r="A4538" s="9" t="str">
        <f>IFERROR(__xludf.DUMMYFUNCTION("""COMPUTED_VALUE"""),"G-REQ-04537")</f>
        <v>G-REQ-04537</v>
      </c>
      <c r="B4538" s="11">
        <f>IFERROR(__xludf.DUMMYFUNCTION("""COMPUTED_VALUE"""),46084.23451546945)</f>
        <v>46084.23452</v>
      </c>
      <c r="C4538" s="9">
        <f>IFERROR(__xludf.DUMMYFUNCTION("""COMPUTED_VALUE"""),17487.0)</f>
        <v>17487</v>
      </c>
      <c r="D4538" s="9" t="str">
        <f>IFERROR(__xludf.DUMMYFUNCTION("""COMPUTED_VALUE"""),"Completed")</f>
        <v>Completed</v>
      </c>
    </row>
    <row r="4539">
      <c r="A4539" s="9" t="str">
        <f>IFERROR(__xludf.DUMMYFUNCTION("""COMPUTED_VALUE"""),"G-REQ-04538")</f>
        <v>G-REQ-04538</v>
      </c>
      <c r="B4539" s="11">
        <f>IFERROR(__xludf.DUMMYFUNCTION("""COMPUTED_VALUE"""),46084.30569031487)</f>
        <v>46084.30569</v>
      </c>
      <c r="C4539" s="9">
        <f>IFERROR(__xludf.DUMMYFUNCTION("""COMPUTED_VALUE"""),17491.0)</f>
        <v>17491</v>
      </c>
      <c r="D4539" s="9" t="str">
        <f>IFERROR(__xludf.DUMMYFUNCTION("""COMPUTED_VALUE"""),"Completed")</f>
        <v>Completed</v>
      </c>
    </row>
    <row r="4540">
      <c r="A4540" s="9" t="str">
        <f>IFERROR(__xludf.DUMMYFUNCTION("""COMPUTED_VALUE"""),"G-REQ-04539")</f>
        <v>G-REQ-04539</v>
      </c>
      <c r="B4540" s="11">
        <f>IFERROR(__xludf.DUMMYFUNCTION("""COMPUTED_VALUE"""),46084.37686516028)</f>
        <v>46084.37687</v>
      </c>
      <c r="C4540" s="9">
        <f>IFERROR(__xludf.DUMMYFUNCTION("""COMPUTED_VALUE"""),17495.0)</f>
        <v>17495</v>
      </c>
      <c r="D4540" s="9" t="str">
        <f>IFERROR(__xludf.DUMMYFUNCTION("""COMPUTED_VALUE"""),"Completed")</f>
        <v>Completed</v>
      </c>
    </row>
    <row r="4541">
      <c r="A4541" s="9" t="str">
        <f>IFERROR(__xludf.DUMMYFUNCTION("""COMPUTED_VALUE"""),"G-REQ-04540")</f>
        <v>G-REQ-04540</v>
      </c>
      <c r="B4541" s="11">
        <f>IFERROR(__xludf.DUMMYFUNCTION("""COMPUTED_VALUE"""),46084.44804000569)</f>
        <v>46084.44804</v>
      </c>
      <c r="C4541" s="9">
        <f>IFERROR(__xludf.DUMMYFUNCTION("""COMPUTED_VALUE"""),17499.0)</f>
        <v>17499</v>
      </c>
      <c r="D4541" s="9" t="str">
        <f>IFERROR(__xludf.DUMMYFUNCTION("""COMPUTED_VALUE"""),"Completed")</f>
        <v>Completed</v>
      </c>
    </row>
    <row r="4542">
      <c r="A4542" s="9" t="str">
        <f>IFERROR(__xludf.DUMMYFUNCTION("""COMPUTED_VALUE"""),"G-REQ-04541")</f>
        <v>G-REQ-04541</v>
      </c>
      <c r="B4542" s="11">
        <f>IFERROR(__xludf.DUMMYFUNCTION("""COMPUTED_VALUE"""),46084.51227040667)</f>
        <v>46084.51227</v>
      </c>
      <c r="C4542" s="9">
        <f>IFERROR(__xludf.DUMMYFUNCTION("""COMPUTED_VALUE"""),17501.0)</f>
        <v>17501</v>
      </c>
      <c r="D4542" s="9" t="str">
        <f>IFERROR(__xludf.DUMMYFUNCTION("""COMPUTED_VALUE"""),"Rejected")</f>
        <v>Rejected</v>
      </c>
    </row>
    <row r="4543">
      <c r="A4543" s="9" t="str">
        <f>IFERROR(__xludf.DUMMYFUNCTION("""COMPUTED_VALUE"""),"G-REQ-04542")</f>
        <v>G-REQ-04542</v>
      </c>
      <c r="B4543" s="11">
        <f>IFERROR(__xludf.DUMMYFUNCTION("""COMPUTED_VALUE"""),46084.590389696525)</f>
        <v>46084.59039</v>
      </c>
      <c r="C4543" s="9">
        <f>IFERROR(__xludf.DUMMYFUNCTION("""COMPUTED_VALUE"""),17505.0)</f>
        <v>17505</v>
      </c>
      <c r="D4543" s="9" t="str">
        <f>IFERROR(__xludf.DUMMYFUNCTION("""COMPUTED_VALUE"""),"Completed")</f>
        <v>Completed</v>
      </c>
    </row>
    <row r="4544">
      <c r="A4544" s="9" t="str">
        <f>IFERROR(__xludf.DUMMYFUNCTION("""COMPUTED_VALUE"""),"G-REQ-04543")</f>
        <v>G-REQ-04543</v>
      </c>
      <c r="B4544" s="11">
        <f>IFERROR(__xludf.DUMMYFUNCTION("""COMPUTED_VALUE"""),46084.66156454194)</f>
        <v>46084.66156</v>
      </c>
      <c r="C4544" s="9">
        <f>IFERROR(__xludf.DUMMYFUNCTION("""COMPUTED_VALUE"""),17509.0)</f>
        <v>17509</v>
      </c>
      <c r="D4544" s="9" t="str">
        <f>IFERROR(__xludf.DUMMYFUNCTION("""COMPUTED_VALUE"""),"Completed")</f>
        <v>Completed</v>
      </c>
    </row>
    <row r="4545">
      <c r="A4545" s="9" t="str">
        <f>IFERROR(__xludf.DUMMYFUNCTION("""COMPUTED_VALUE"""),"G-REQ-04544")</f>
        <v>G-REQ-04544</v>
      </c>
      <c r="B4545" s="11">
        <f>IFERROR(__xludf.DUMMYFUNCTION("""COMPUTED_VALUE"""),46084.73273938736)</f>
        <v>46084.73274</v>
      </c>
      <c r="C4545" s="9">
        <f>IFERROR(__xludf.DUMMYFUNCTION("""COMPUTED_VALUE"""),17513.0)</f>
        <v>17513</v>
      </c>
      <c r="D4545" s="9" t="str">
        <f>IFERROR(__xludf.DUMMYFUNCTION("""COMPUTED_VALUE"""),"Completed")</f>
        <v>Completed</v>
      </c>
    </row>
    <row r="4546">
      <c r="A4546" s="9" t="str">
        <f>IFERROR(__xludf.DUMMYFUNCTION("""COMPUTED_VALUE"""),"G-REQ-04545")</f>
        <v>G-REQ-04545</v>
      </c>
      <c r="B4546" s="11">
        <f>IFERROR(__xludf.DUMMYFUNCTION("""COMPUTED_VALUE"""),46084.803914232776)</f>
        <v>46084.80391</v>
      </c>
      <c r="C4546" s="9">
        <f>IFERROR(__xludf.DUMMYFUNCTION("""COMPUTED_VALUE"""),17517.0)</f>
        <v>17517</v>
      </c>
      <c r="D4546" s="9" t="str">
        <f>IFERROR(__xludf.DUMMYFUNCTION("""COMPUTED_VALUE"""),"Completed")</f>
        <v>Completed</v>
      </c>
    </row>
    <row r="4547">
      <c r="A4547" s="9" t="str">
        <f>IFERROR(__xludf.DUMMYFUNCTION("""COMPUTED_VALUE"""),"G-REQ-04546")</f>
        <v>G-REQ-04546</v>
      </c>
      <c r="B4547" s="11">
        <f>IFERROR(__xludf.DUMMYFUNCTION("""COMPUTED_VALUE"""),46084.87508907818)</f>
        <v>46084.87509</v>
      </c>
      <c r="C4547" s="9">
        <f>IFERROR(__xludf.DUMMYFUNCTION("""COMPUTED_VALUE"""),17521.0)</f>
        <v>17521</v>
      </c>
      <c r="D4547" s="9" t="str">
        <f>IFERROR(__xludf.DUMMYFUNCTION("""COMPUTED_VALUE"""),"Completed")</f>
        <v>Completed</v>
      </c>
    </row>
    <row r="4548">
      <c r="A4548" s="9" t="str">
        <f>IFERROR(__xludf.DUMMYFUNCTION("""COMPUTED_VALUE"""),"G-REQ-04547")</f>
        <v>G-REQ-04547</v>
      </c>
      <c r="B4548" s="11">
        <f>IFERROR(__xludf.DUMMYFUNCTION("""COMPUTED_VALUE"""),46084.9462639236)</f>
        <v>46084.94626</v>
      </c>
      <c r="C4548" s="9">
        <f>IFERROR(__xludf.DUMMYFUNCTION("""COMPUTED_VALUE"""),17525.0)</f>
        <v>17525</v>
      </c>
      <c r="D4548" s="9" t="str">
        <f>IFERROR(__xludf.DUMMYFUNCTION("""COMPUTED_VALUE"""),"Completed")</f>
        <v>Completed</v>
      </c>
    </row>
    <row r="4549">
      <c r="A4549" s="9" t="str">
        <f>IFERROR(__xludf.DUMMYFUNCTION("""COMPUTED_VALUE"""),"G-REQ-04548")</f>
        <v>G-REQ-04548</v>
      </c>
      <c r="B4549" s="11">
        <f>IFERROR(__xludf.DUMMYFUNCTION("""COMPUTED_VALUE"""),46085.01743876902)</f>
        <v>46085.01744</v>
      </c>
      <c r="C4549" s="9">
        <f>IFERROR(__xludf.DUMMYFUNCTION("""COMPUTED_VALUE"""),17529.0)</f>
        <v>17529</v>
      </c>
      <c r="D4549" s="9" t="str">
        <f>IFERROR(__xludf.DUMMYFUNCTION("""COMPUTED_VALUE"""),"Completed")</f>
        <v>Completed</v>
      </c>
    </row>
    <row r="4550">
      <c r="A4550" s="9" t="str">
        <f>IFERROR(__xludf.DUMMYFUNCTION("""COMPUTED_VALUE"""),"G-REQ-04549")</f>
        <v>G-REQ-04549</v>
      </c>
      <c r="B4550" s="11">
        <f>IFERROR(__xludf.DUMMYFUNCTION("""COMPUTED_VALUE"""),46085.08861361443)</f>
        <v>46085.08861</v>
      </c>
      <c r="C4550" s="9">
        <f>IFERROR(__xludf.DUMMYFUNCTION("""COMPUTED_VALUE"""),17533.0)</f>
        <v>17533</v>
      </c>
      <c r="D4550" s="9" t="str">
        <f>IFERROR(__xludf.DUMMYFUNCTION("""COMPUTED_VALUE"""),"Completed")</f>
        <v>Completed</v>
      </c>
    </row>
    <row r="4551">
      <c r="A4551" s="9" t="str">
        <f>IFERROR(__xludf.DUMMYFUNCTION("""COMPUTED_VALUE"""),"G-REQ-04550")</f>
        <v>G-REQ-04550</v>
      </c>
      <c r="B4551" s="11">
        <f>IFERROR(__xludf.DUMMYFUNCTION("""COMPUTED_VALUE"""),46085.159788459845)</f>
        <v>46085.15979</v>
      </c>
      <c r="C4551" s="9">
        <f>IFERROR(__xludf.DUMMYFUNCTION("""COMPUTED_VALUE"""),17537.0)</f>
        <v>17537</v>
      </c>
      <c r="D4551" s="9" t="str">
        <f>IFERROR(__xludf.DUMMYFUNCTION("""COMPUTED_VALUE"""),"Completed")</f>
        <v>Completed</v>
      </c>
    </row>
    <row r="4552">
      <c r="A4552" s="9" t="str">
        <f>IFERROR(__xludf.DUMMYFUNCTION("""COMPUTED_VALUE"""),"G-REQ-04551")</f>
        <v>G-REQ-04551</v>
      </c>
      <c r="B4552" s="11">
        <f>IFERROR(__xludf.DUMMYFUNCTION("""COMPUTED_VALUE"""),46085.230963305265)</f>
        <v>46085.23096</v>
      </c>
      <c r="C4552" s="9">
        <f>IFERROR(__xludf.DUMMYFUNCTION("""COMPUTED_VALUE"""),17541.0)</f>
        <v>17541</v>
      </c>
      <c r="D4552" s="9" t="str">
        <f>IFERROR(__xludf.DUMMYFUNCTION("""COMPUTED_VALUE"""),"Completed")</f>
        <v>Completed</v>
      </c>
    </row>
    <row r="4553">
      <c r="A4553" s="9" t="str">
        <f>IFERROR(__xludf.DUMMYFUNCTION("""COMPUTED_VALUE"""),"G-REQ-04552")</f>
        <v>G-REQ-04552</v>
      </c>
      <c r="B4553" s="11">
        <f>IFERROR(__xludf.DUMMYFUNCTION("""COMPUTED_VALUE"""),46085.30213815068)</f>
        <v>46085.30214</v>
      </c>
      <c r="C4553" s="9">
        <f>IFERROR(__xludf.DUMMYFUNCTION("""COMPUTED_VALUE"""),17545.0)</f>
        <v>17545</v>
      </c>
      <c r="D4553" s="9" t="str">
        <f>IFERROR(__xludf.DUMMYFUNCTION("""COMPUTED_VALUE"""),"Completed")</f>
        <v>Completed</v>
      </c>
    </row>
    <row r="4554">
      <c r="A4554" s="9" t="str">
        <f>IFERROR(__xludf.DUMMYFUNCTION("""COMPUTED_VALUE"""),"G-REQ-04553")</f>
        <v>G-REQ-04553</v>
      </c>
      <c r="B4554" s="11">
        <f>IFERROR(__xludf.DUMMYFUNCTION("""COMPUTED_VALUE"""),46085.37331299609)</f>
        <v>46085.37331</v>
      </c>
      <c r="C4554" s="9">
        <f>IFERROR(__xludf.DUMMYFUNCTION("""COMPUTED_VALUE"""),17549.0)</f>
        <v>17549</v>
      </c>
      <c r="D4554" s="9" t="str">
        <f>IFERROR(__xludf.DUMMYFUNCTION("""COMPUTED_VALUE"""),"Completed")</f>
        <v>Completed</v>
      </c>
    </row>
    <row r="4555">
      <c r="A4555" s="9" t="str">
        <f>IFERROR(__xludf.DUMMYFUNCTION("""COMPUTED_VALUE"""),"G-REQ-04554")</f>
        <v>G-REQ-04554</v>
      </c>
      <c r="B4555" s="11">
        <f>IFERROR(__xludf.DUMMYFUNCTION("""COMPUTED_VALUE"""),46085.44448784151)</f>
        <v>46085.44449</v>
      </c>
      <c r="C4555" s="9">
        <f>IFERROR(__xludf.DUMMYFUNCTION("""COMPUTED_VALUE"""),17553.0)</f>
        <v>17553</v>
      </c>
      <c r="D4555" s="9" t="str">
        <f>IFERROR(__xludf.DUMMYFUNCTION("""COMPUTED_VALUE"""),"Completed")</f>
        <v>Completed</v>
      </c>
    </row>
    <row r="4556">
      <c r="A4556" s="9" t="str">
        <f>IFERROR(__xludf.DUMMYFUNCTION("""COMPUTED_VALUE"""),"G-REQ-04555")</f>
        <v>G-REQ-04555</v>
      </c>
      <c r="B4556" s="11">
        <f>IFERROR(__xludf.DUMMYFUNCTION("""COMPUTED_VALUE"""),46085.508718242476)</f>
        <v>46085.50872</v>
      </c>
      <c r="C4556" s="9">
        <f>IFERROR(__xludf.DUMMYFUNCTION("""COMPUTED_VALUE"""),17555.0)</f>
        <v>17555</v>
      </c>
      <c r="D4556" s="9" t="str">
        <f>IFERROR(__xludf.DUMMYFUNCTION("""COMPUTED_VALUE"""),"Rejected")</f>
        <v>Rejected</v>
      </c>
    </row>
    <row r="4557">
      <c r="A4557" s="9" t="str">
        <f>IFERROR(__xludf.DUMMYFUNCTION("""COMPUTED_VALUE"""),"G-REQ-04556")</f>
        <v>G-REQ-04556</v>
      </c>
      <c r="B4557" s="11">
        <f>IFERROR(__xludf.DUMMYFUNCTION("""COMPUTED_VALUE"""),46085.58683753233)</f>
        <v>46085.58684</v>
      </c>
      <c r="C4557" s="9">
        <f>IFERROR(__xludf.DUMMYFUNCTION("""COMPUTED_VALUE"""),17559.0)</f>
        <v>17559</v>
      </c>
      <c r="D4557" s="9" t="str">
        <f>IFERROR(__xludf.DUMMYFUNCTION("""COMPUTED_VALUE"""),"Completed")</f>
        <v>Completed</v>
      </c>
    </row>
    <row r="4558">
      <c r="A4558" s="9" t="str">
        <f>IFERROR(__xludf.DUMMYFUNCTION("""COMPUTED_VALUE"""),"G-REQ-04557")</f>
        <v>G-REQ-04557</v>
      </c>
      <c r="B4558" s="11">
        <f>IFERROR(__xludf.DUMMYFUNCTION("""COMPUTED_VALUE"""),46085.65801237775)</f>
        <v>46085.65801</v>
      </c>
      <c r="C4558" s="9">
        <f>IFERROR(__xludf.DUMMYFUNCTION("""COMPUTED_VALUE"""),17563.0)</f>
        <v>17563</v>
      </c>
      <c r="D4558" s="9" t="str">
        <f>IFERROR(__xludf.DUMMYFUNCTION("""COMPUTED_VALUE"""),"Completed")</f>
        <v>Completed</v>
      </c>
    </row>
    <row r="4559">
      <c r="A4559" s="9" t="str">
        <f>IFERROR(__xludf.DUMMYFUNCTION("""COMPUTED_VALUE"""),"G-REQ-04558")</f>
        <v>G-REQ-04558</v>
      </c>
      <c r="B4559" s="11">
        <f>IFERROR(__xludf.DUMMYFUNCTION("""COMPUTED_VALUE"""),46085.729187223165)</f>
        <v>46085.72919</v>
      </c>
      <c r="C4559" s="9">
        <f>IFERROR(__xludf.DUMMYFUNCTION("""COMPUTED_VALUE"""),17567.0)</f>
        <v>17567</v>
      </c>
      <c r="D4559" s="9" t="str">
        <f>IFERROR(__xludf.DUMMYFUNCTION("""COMPUTED_VALUE"""),"Completed")</f>
        <v>Completed</v>
      </c>
    </row>
    <row r="4560">
      <c r="A4560" s="9" t="str">
        <f>IFERROR(__xludf.DUMMYFUNCTION("""COMPUTED_VALUE"""),"G-REQ-04559")</f>
        <v>G-REQ-04559</v>
      </c>
      <c r="B4560" s="11">
        <f>IFERROR(__xludf.DUMMYFUNCTION("""COMPUTED_VALUE"""),46085.800362068585)</f>
        <v>46085.80036</v>
      </c>
      <c r="C4560" s="9">
        <f>IFERROR(__xludf.DUMMYFUNCTION("""COMPUTED_VALUE"""),17571.0)</f>
        <v>17571</v>
      </c>
      <c r="D4560" s="9" t="str">
        <f>IFERROR(__xludf.DUMMYFUNCTION("""COMPUTED_VALUE"""),"Completed")</f>
        <v>Completed</v>
      </c>
    </row>
    <row r="4561">
      <c r="A4561" s="9" t="str">
        <f>IFERROR(__xludf.DUMMYFUNCTION("""COMPUTED_VALUE"""),"G-REQ-04560")</f>
        <v>G-REQ-04560</v>
      </c>
      <c r="B4561" s="11">
        <f>IFERROR(__xludf.DUMMYFUNCTION("""COMPUTED_VALUE"""),46085.871536914)</f>
        <v>46085.87154</v>
      </c>
      <c r="C4561" s="9">
        <f>IFERROR(__xludf.DUMMYFUNCTION("""COMPUTED_VALUE"""),17575.0)</f>
        <v>17575</v>
      </c>
      <c r="D4561" s="9" t="str">
        <f>IFERROR(__xludf.DUMMYFUNCTION("""COMPUTED_VALUE"""),"Completed")</f>
        <v>Completed</v>
      </c>
    </row>
    <row r="4562">
      <c r="A4562" s="9" t="str">
        <f>IFERROR(__xludf.DUMMYFUNCTION("""COMPUTED_VALUE"""),"G-REQ-04561")</f>
        <v>G-REQ-04561</v>
      </c>
      <c r="B4562" s="11">
        <f>IFERROR(__xludf.DUMMYFUNCTION("""COMPUTED_VALUE"""),46085.93576731497)</f>
        <v>46085.93577</v>
      </c>
      <c r="C4562" s="9">
        <f>IFERROR(__xludf.DUMMYFUNCTION("""COMPUTED_VALUE"""),17577.0)</f>
        <v>17577</v>
      </c>
      <c r="D4562" s="9" t="str">
        <f>IFERROR(__xludf.DUMMYFUNCTION("""COMPUTED_VALUE"""),"Cancelled")</f>
        <v>Cancelled</v>
      </c>
    </row>
    <row r="4563">
      <c r="A4563" s="9" t="str">
        <f>IFERROR(__xludf.DUMMYFUNCTION("""COMPUTED_VALUE"""),"G-REQ-04562")</f>
        <v>G-REQ-04562</v>
      </c>
      <c r="B4563" s="11">
        <f>IFERROR(__xludf.DUMMYFUNCTION("""COMPUTED_VALUE"""),46086.00694216038)</f>
        <v>46086.00694</v>
      </c>
      <c r="C4563" s="9">
        <f>IFERROR(__xludf.DUMMYFUNCTION("""COMPUTED_VALUE"""),17579.0)</f>
        <v>17579</v>
      </c>
      <c r="D4563" s="9" t="str">
        <f>IFERROR(__xludf.DUMMYFUNCTION("""COMPUTED_VALUE"""),"Cancelled")</f>
        <v>Cancelled</v>
      </c>
    </row>
    <row r="4564">
      <c r="A4564" s="9" t="str">
        <f>IFERROR(__xludf.DUMMYFUNCTION("""COMPUTED_VALUE"""),"G-REQ-04563")</f>
        <v>G-REQ-04563</v>
      </c>
      <c r="B4564" s="11">
        <f>IFERROR(__xludf.DUMMYFUNCTION("""COMPUTED_VALUE"""),46086.08506145024)</f>
        <v>46086.08506</v>
      </c>
      <c r="C4564" s="9">
        <f>IFERROR(__xludf.DUMMYFUNCTION("""COMPUTED_VALUE"""),17583.0)</f>
        <v>17583</v>
      </c>
      <c r="D4564" s="9" t="str">
        <f>IFERROR(__xludf.DUMMYFUNCTION("""COMPUTED_VALUE"""),"Completed")</f>
        <v>Completed</v>
      </c>
    </row>
    <row r="4565">
      <c r="A4565" s="9" t="str">
        <f>IFERROR(__xludf.DUMMYFUNCTION("""COMPUTED_VALUE"""),"G-REQ-04564")</f>
        <v>G-REQ-04564</v>
      </c>
      <c r="B4565" s="11">
        <f>IFERROR(__xludf.DUMMYFUNCTION("""COMPUTED_VALUE"""),46086.15623629566)</f>
        <v>46086.15624</v>
      </c>
      <c r="C4565" s="9">
        <f>IFERROR(__xludf.DUMMYFUNCTION("""COMPUTED_VALUE"""),17587.0)</f>
        <v>17587</v>
      </c>
      <c r="D4565" s="9" t="str">
        <f>IFERROR(__xludf.DUMMYFUNCTION("""COMPUTED_VALUE"""),"Completed")</f>
        <v>Completed</v>
      </c>
    </row>
    <row r="4566">
      <c r="A4566" s="9" t="str">
        <f>IFERROR(__xludf.DUMMYFUNCTION("""COMPUTED_VALUE"""),"G-REQ-04565")</f>
        <v>G-REQ-04565</v>
      </c>
      <c r="B4566" s="11">
        <f>IFERROR(__xludf.DUMMYFUNCTION("""COMPUTED_VALUE"""),46086.22741114107)</f>
        <v>46086.22741</v>
      </c>
      <c r="C4566" s="9">
        <f>IFERROR(__xludf.DUMMYFUNCTION("""COMPUTED_VALUE"""),17591.0)</f>
        <v>17591</v>
      </c>
      <c r="D4566" s="9" t="str">
        <f>IFERROR(__xludf.DUMMYFUNCTION("""COMPUTED_VALUE"""),"Completed")</f>
        <v>Completed</v>
      </c>
    </row>
    <row r="4567">
      <c r="A4567" s="9" t="str">
        <f>IFERROR(__xludf.DUMMYFUNCTION("""COMPUTED_VALUE"""),"G-REQ-04566")</f>
        <v>G-REQ-04566</v>
      </c>
      <c r="B4567" s="11">
        <f>IFERROR(__xludf.DUMMYFUNCTION("""COMPUTED_VALUE"""),46086.298585986486)</f>
        <v>46086.29859</v>
      </c>
      <c r="C4567" s="9">
        <f>IFERROR(__xludf.DUMMYFUNCTION("""COMPUTED_VALUE"""),17595.0)</f>
        <v>17595</v>
      </c>
      <c r="D4567" s="9" t="str">
        <f>IFERROR(__xludf.DUMMYFUNCTION("""COMPUTED_VALUE"""),"Completed")</f>
        <v>Completed</v>
      </c>
    </row>
    <row r="4568">
      <c r="A4568" s="9" t="str">
        <f>IFERROR(__xludf.DUMMYFUNCTION("""COMPUTED_VALUE"""),"G-REQ-04567")</f>
        <v>G-REQ-04567</v>
      </c>
      <c r="B4568" s="11">
        <f>IFERROR(__xludf.DUMMYFUNCTION("""COMPUTED_VALUE"""),46086.369760831905)</f>
        <v>46086.36976</v>
      </c>
      <c r="C4568" s="9">
        <f>IFERROR(__xludf.DUMMYFUNCTION("""COMPUTED_VALUE"""),17599.0)</f>
        <v>17599</v>
      </c>
      <c r="D4568" s="9" t="str">
        <f>IFERROR(__xludf.DUMMYFUNCTION("""COMPUTED_VALUE"""),"Completed")</f>
        <v>Completed</v>
      </c>
    </row>
    <row r="4569">
      <c r="A4569" s="9" t="str">
        <f>IFERROR(__xludf.DUMMYFUNCTION("""COMPUTED_VALUE"""),"G-REQ-04568")</f>
        <v>G-REQ-04568</v>
      </c>
      <c r="B4569" s="11">
        <f>IFERROR(__xludf.DUMMYFUNCTION("""COMPUTED_VALUE"""),46086.44093567732)</f>
        <v>46086.44094</v>
      </c>
      <c r="C4569" s="9">
        <f>IFERROR(__xludf.DUMMYFUNCTION("""COMPUTED_VALUE"""),17603.0)</f>
        <v>17603</v>
      </c>
      <c r="D4569" s="9" t="str">
        <f>IFERROR(__xludf.DUMMYFUNCTION("""COMPUTED_VALUE"""),"Completed")</f>
        <v>Completed</v>
      </c>
    </row>
    <row r="4570">
      <c r="A4570" s="9" t="str">
        <f>IFERROR(__xludf.DUMMYFUNCTION("""COMPUTED_VALUE"""),"G-REQ-04569")</f>
        <v>G-REQ-04569</v>
      </c>
      <c r="B4570" s="11">
        <f>IFERROR(__xludf.DUMMYFUNCTION("""COMPUTED_VALUE"""),46086.505166078285)</f>
        <v>46086.50517</v>
      </c>
      <c r="C4570" s="9">
        <f>IFERROR(__xludf.DUMMYFUNCTION("""COMPUTED_VALUE"""),17605.0)</f>
        <v>17605</v>
      </c>
      <c r="D4570" s="9" t="str">
        <f>IFERROR(__xludf.DUMMYFUNCTION("""COMPUTED_VALUE"""),"Rejected")</f>
        <v>Rejected</v>
      </c>
    </row>
    <row r="4571">
      <c r="A4571" s="9" t="str">
        <f>IFERROR(__xludf.DUMMYFUNCTION("""COMPUTED_VALUE"""),"G-REQ-04570")</f>
        <v>G-REQ-04570</v>
      </c>
      <c r="B4571" s="11">
        <f>IFERROR(__xludf.DUMMYFUNCTION("""COMPUTED_VALUE"""),46086.58328536815)</f>
        <v>46086.58329</v>
      </c>
      <c r="C4571" s="9">
        <f>IFERROR(__xludf.DUMMYFUNCTION("""COMPUTED_VALUE"""),17609.0)</f>
        <v>17609</v>
      </c>
      <c r="D4571" s="9" t="str">
        <f>IFERROR(__xludf.DUMMYFUNCTION("""COMPUTED_VALUE"""),"Completed")</f>
        <v>Completed</v>
      </c>
    </row>
    <row r="4572">
      <c r="A4572" s="9" t="str">
        <f>IFERROR(__xludf.DUMMYFUNCTION("""COMPUTED_VALUE"""),"G-REQ-04571")</f>
        <v>G-REQ-04571</v>
      </c>
      <c r="B4572" s="11">
        <f>IFERROR(__xludf.DUMMYFUNCTION("""COMPUTED_VALUE"""),46086.65446021357)</f>
        <v>46086.65446</v>
      </c>
      <c r="C4572" s="9">
        <f>IFERROR(__xludf.DUMMYFUNCTION("""COMPUTED_VALUE"""),17613.0)</f>
        <v>17613</v>
      </c>
      <c r="D4572" s="9" t="str">
        <f>IFERROR(__xludf.DUMMYFUNCTION("""COMPUTED_VALUE"""),"Completed")</f>
        <v>Completed</v>
      </c>
    </row>
    <row r="4573">
      <c r="A4573" s="9" t="str">
        <f>IFERROR(__xludf.DUMMYFUNCTION("""COMPUTED_VALUE"""),"G-REQ-04572")</f>
        <v>G-REQ-04572</v>
      </c>
      <c r="B4573" s="11">
        <f>IFERROR(__xludf.DUMMYFUNCTION("""COMPUTED_VALUE"""),46086.725635058974)</f>
        <v>46086.72564</v>
      </c>
      <c r="C4573" s="9">
        <f>IFERROR(__xludf.DUMMYFUNCTION("""COMPUTED_VALUE"""),17617.0)</f>
        <v>17617</v>
      </c>
      <c r="D4573" s="9" t="str">
        <f>IFERROR(__xludf.DUMMYFUNCTION("""COMPUTED_VALUE"""),"Completed")</f>
        <v>Completed</v>
      </c>
    </row>
    <row r="4574">
      <c r="A4574" s="9" t="str">
        <f>IFERROR(__xludf.DUMMYFUNCTION("""COMPUTED_VALUE"""),"G-REQ-04573")</f>
        <v>G-REQ-04573</v>
      </c>
      <c r="B4574" s="11">
        <f>IFERROR(__xludf.DUMMYFUNCTION("""COMPUTED_VALUE"""),46086.796809904394)</f>
        <v>46086.79681</v>
      </c>
      <c r="C4574" s="9">
        <f>IFERROR(__xludf.DUMMYFUNCTION("""COMPUTED_VALUE"""),17621.0)</f>
        <v>17621</v>
      </c>
      <c r="D4574" s="9" t="str">
        <f>IFERROR(__xludf.DUMMYFUNCTION("""COMPUTED_VALUE"""),"Completed")</f>
        <v>Completed</v>
      </c>
    </row>
    <row r="4575">
      <c r="A4575" s="9" t="str">
        <f>IFERROR(__xludf.DUMMYFUNCTION("""COMPUTED_VALUE"""),"G-REQ-04574")</f>
        <v>G-REQ-04574</v>
      </c>
      <c r="B4575" s="11">
        <f>IFERROR(__xludf.DUMMYFUNCTION("""COMPUTED_VALUE"""),46086.867984749806)</f>
        <v>46086.86798</v>
      </c>
      <c r="C4575" s="9">
        <f>IFERROR(__xludf.DUMMYFUNCTION("""COMPUTED_VALUE"""),17625.0)</f>
        <v>17625</v>
      </c>
      <c r="D4575" s="9" t="str">
        <f>IFERROR(__xludf.DUMMYFUNCTION("""COMPUTED_VALUE"""),"Completed")</f>
        <v>Completed</v>
      </c>
    </row>
    <row r="4576">
      <c r="A4576" s="9" t="str">
        <f>IFERROR(__xludf.DUMMYFUNCTION("""COMPUTED_VALUE"""),"G-REQ-04575")</f>
        <v>G-REQ-04575</v>
      </c>
      <c r="B4576" s="11">
        <f>IFERROR(__xludf.DUMMYFUNCTION("""COMPUTED_VALUE"""),46086.93221515078)</f>
        <v>46086.93222</v>
      </c>
      <c r="C4576" s="9">
        <f>IFERROR(__xludf.DUMMYFUNCTION("""COMPUTED_VALUE"""),17627.0)</f>
        <v>17627</v>
      </c>
      <c r="D4576" s="9" t="str">
        <f>IFERROR(__xludf.DUMMYFUNCTION("""COMPUTED_VALUE"""),"Rejected")</f>
        <v>Rejected</v>
      </c>
    </row>
    <row r="4577">
      <c r="A4577" s="9" t="str">
        <f>IFERROR(__xludf.DUMMYFUNCTION("""COMPUTED_VALUE"""),"G-REQ-04576")</f>
        <v>G-REQ-04576</v>
      </c>
      <c r="B4577" s="11">
        <f>IFERROR(__xludf.DUMMYFUNCTION("""COMPUTED_VALUE"""),46087.01033444064)</f>
        <v>46087.01033</v>
      </c>
      <c r="C4577" s="9">
        <f>IFERROR(__xludf.DUMMYFUNCTION("""COMPUTED_VALUE"""),17631.0)</f>
        <v>17631</v>
      </c>
      <c r="D4577" s="9" t="str">
        <f>IFERROR(__xludf.DUMMYFUNCTION("""COMPUTED_VALUE"""),"Completed")</f>
        <v>Completed</v>
      </c>
    </row>
    <row r="4578">
      <c r="A4578" s="9" t="str">
        <f>IFERROR(__xludf.DUMMYFUNCTION("""COMPUTED_VALUE"""),"G-REQ-04577")</f>
        <v>G-REQ-04577</v>
      </c>
      <c r="B4578" s="11">
        <f>IFERROR(__xludf.DUMMYFUNCTION("""COMPUTED_VALUE"""),46087.08150928606)</f>
        <v>46087.08151</v>
      </c>
      <c r="C4578" s="9">
        <f>IFERROR(__xludf.DUMMYFUNCTION("""COMPUTED_VALUE"""),17635.0)</f>
        <v>17635</v>
      </c>
      <c r="D4578" s="9" t="str">
        <f>IFERROR(__xludf.DUMMYFUNCTION("""COMPUTED_VALUE"""),"Completed")</f>
        <v>Completed</v>
      </c>
    </row>
    <row r="4579">
      <c r="A4579" s="9" t="str">
        <f>IFERROR(__xludf.DUMMYFUNCTION("""COMPUTED_VALUE"""),"G-REQ-04578")</f>
        <v>G-REQ-04578</v>
      </c>
      <c r="B4579" s="11">
        <f>IFERROR(__xludf.DUMMYFUNCTION("""COMPUTED_VALUE"""),46087.15268413146)</f>
        <v>46087.15268</v>
      </c>
      <c r="C4579" s="9">
        <f>IFERROR(__xludf.DUMMYFUNCTION("""COMPUTED_VALUE"""),17639.0)</f>
        <v>17639</v>
      </c>
      <c r="D4579" s="9" t="str">
        <f>IFERROR(__xludf.DUMMYFUNCTION("""COMPUTED_VALUE"""),"Completed")</f>
        <v>Completed</v>
      </c>
    </row>
    <row r="4580">
      <c r="A4580" s="9" t="str">
        <f>IFERROR(__xludf.DUMMYFUNCTION("""COMPUTED_VALUE"""),"G-REQ-04579")</f>
        <v>G-REQ-04579</v>
      </c>
      <c r="B4580" s="11">
        <f>IFERROR(__xludf.DUMMYFUNCTION("""COMPUTED_VALUE"""),46087.22385897688)</f>
        <v>46087.22386</v>
      </c>
      <c r="C4580" s="9">
        <f>IFERROR(__xludf.DUMMYFUNCTION("""COMPUTED_VALUE"""),17643.0)</f>
        <v>17643</v>
      </c>
      <c r="D4580" s="9" t="str">
        <f>IFERROR(__xludf.DUMMYFUNCTION("""COMPUTED_VALUE"""),"Completed")</f>
        <v>Completed</v>
      </c>
    </row>
    <row r="4581">
      <c r="A4581" s="9" t="str">
        <f>IFERROR(__xludf.DUMMYFUNCTION("""COMPUTED_VALUE"""),"G-REQ-04580")</f>
        <v>G-REQ-04580</v>
      </c>
      <c r="B4581" s="11">
        <f>IFERROR(__xludf.DUMMYFUNCTION("""COMPUTED_VALUE"""),46087.2950338223)</f>
        <v>46087.29503</v>
      </c>
      <c r="C4581" s="9">
        <f>IFERROR(__xludf.DUMMYFUNCTION("""COMPUTED_VALUE"""),17647.0)</f>
        <v>17647</v>
      </c>
      <c r="D4581" s="9" t="str">
        <f>IFERROR(__xludf.DUMMYFUNCTION("""COMPUTED_VALUE"""),"Completed")</f>
        <v>Completed</v>
      </c>
    </row>
    <row r="4582">
      <c r="A4582" s="9" t="str">
        <f>IFERROR(__xludf.DUMMYFUNCTION("""COMPUTED_VALUE"""),"G-REQ-04581")</f>
        <v>G-REQ-04581</v>
      </c>
      <c r="B4582" s="11">
        <f>IFERROR(__xludf.DUMMYFUNCTION("""COMPUTED_VALUE"""),46087.35926422327)</f>
        <v>46087.35926</v>
      </c>
      <c r="C4582" s="9">
        <f>IFERROR(__xludf.DUMMYFUNCTION("""COMPUTED_VALUE"""),17649.0)</f>
        <v>17649</v>
      </c>
      <c r="D4582" s="9" t="str">
        <f>IFERROR(__xludf.DUMMYFUNCTION("""COMPUTED_VALUE"""),"Cancelled")</f>
        <v>Cancelled</v>
      </c>
    </row>
    <row r="4583">
      <c r="A4583" s="9" t="str">
        <f>IFERROR(__xludf.DUMMYFUNCTION("""COMPUTED_VALUE"""),"G-REQ-04582")</f>
        <v>G-REQ-04582</v>
      </c>
      <c r="B4583" s="11">
        <f>IFERROR(__xludf.DUMMYFUNCTION("""COMPUTED_VALUE"""),46087.43738351313)</f>
        <v>46087.43738</v>
      </c>
      <c r="C4583" s="9">
        <f>IFERROR(__xludf.DUMMYFUNCTION("""COMPUTED_VALUE"""),17653.0)</f>
        <v>17653</v>
      </c>
      <c r="D4583" s="9" t="str">
        <f>IFERROR(__xludf.DUMMYFUNCTION("""COMPUTED_VALUE"""),"Completed")</f>
        <v>Completed</v>
      </c>
    </row>
    <row r="4584">
      <c r="A4584" s="9" t="str">
        <f>IFERROR(__xludf.DUMMYFUNCTION("""COMPUTED_VALUE"""),"G-REQ-04583")</f>
        <v>G-REQ-04583</v>
      </c>
      <c r="B4584" s="11">
        <f>IFERROR(__xludf.DUMMYFUNCTION("""COMPUTED_VALUE"""),46087.508558358546)</f>
        <v>46087.50856</v>
      </c>
      <c r="C4584" s="9">
        <f>IFERROR(__xludf.DUMMYFUNCTION("""COMPUTED_VALUE"""),17657.0)</f>
        <v>17657</v>
      </c>
      <c r="D4584" s="9" t="str">
        <f>IFERROR(__xludf.DUMMYFUNCTION("""COMPUTED_VALUE"""),"Completed")</f>
        <v>Completed</v>
      </c>
    </row>
    <row r="4585">
      <c r="A4585" s="9" t="str">
        <f>IFERROR(__xludf.DUMMYFUNCTION("""COMPUTED_VALUE"""),"G-REQ-04584")</f>
        <v>G-REQ-04584</v>
      </c>
      <c r="B4585" s="11">
        <f>IFERROR(__xludf.DUMMYFUNCTION("""COMPUTED_VALUE"""),46087.57278875951)</f>
        <v>46087.57279</v>
      </c>
      <c r="C4585" s="9">
        <f>IFERROR(__xludf.DUMMYFUNCTION("""COMPUTED_VALUE"""),17659.0)</f>
        <v>17659</v>
      </c>
      <c r="D4585" s="9" t="str">
        <f>IFERROR(__xludf.DUMMYFUNCTION("""COMPUTED_VALUE"""),"Rejected")</f>
        <v>Rejected</v>
      </c>
    </row>
    <row r="4586">
      <c r="A4586" s="9" t="str">
        <f>IFERROR(__xludf.DUMMYFUNCTION("""COMPUTED_VALUE"""),"G-REQ-04585")</f>
        <v>G-REQ-04585</v>
      </c>
      <c r="B4586" s="11">
        <f>IFERROR(__xludf.DUMMYFUNCTION("""COMPUTED_VALUE"""),46087.65090804937)</f>
        <v>46087.65091</v>
      </c>
      <c r="C4586" s="9">
        <f>IFERROR(__xludf.DUMMYFUNCTION("""COMPUTED_VALUE"""),17663.0)</f>
        <v>17663</v>
      </c>
      <c r="D4586" s="9" t="str">
        <f>IFERROR(__xludf.DUMMYFUNCTION("""COMPUTED_VALUE"""),"Completed")</f>
        <v>Completed</v>
      </c>
    </row>
    <row r="4587">
      <c r="A4587" s="9" t="str">
        <f>IFERROR(__xludf.DUMMYFUNCTION("""COMPUTED_VALUE"""),"G-REQ-04586")</f>
        <v>G-REQ-04586</v>
      </c>
      <c r="B4587" s="11">
        <f>IFERROR(__xludf.DUMMYFUNCTION("""COMPUTED_VALUE"""),46087.72208289479)</f>
        <v>46087.72208</v>
      </c>
      <c r="C4587" s="9">
        <f>IFERROR(__xludf.DUMMYFUNCTION("""COMPUTED_VALUE"""),17667.0)</f>
        <v>17667</v>
      </c>
      <c r="D4587" s="9" t="str">
        <f>IFERROR(__xludf.DUMMYFUNCTION("""COMPUTED_VALUE"""),"Completed")</f>
        <v>Completed</v>
      </c>
    </row>
    <row r="4588">
      <c r="A4588" s="9" t="str">
        <f>IFERROR(__xludf.DUMMYFUNCTION("""COMPUTED_VALUE"""),"G-REQ-04587")</f>
        <v>G-REQ-04587</v>
      </c>
      <c r="B4588" s="11">
        <f>IFERROR(__xludf.DUMMYFUNCTION("""COMPUTED_VALUE"""),46087.79325774021)</f>
        <v>46087.79326</v>
      </c>
      <c r="C4588" s="9">
        <f>IFERROR(__xludf.DUMMYFUNCTION("""COMPUTED_VALUE"""),17671.0)</f>
        <v>17671</v>
      </c>
      <c r="D4588" s="9" t="str">
        <f>IFERROR(__xludf.DUMMYFUNCTION("""COMPUTED_VALUE"""),"Completed")</f>
        <v>Completed</v>
      </c>
    </row>
    <row r="4589">
      <c r="A4589" s="9" t="str">
        <f>IFERROR(__xludf.DUMMYFUNCTION("""COMPUTED_VALUE"""),"G-REQ-04588")</f>
        <v>G-REQ-04588</v>
      </c>
      <c r="B4589" s="11">
        <f>IFERROR(__xludf.DUMMYFUNCTION("""COMPUTED_VALUE"""),46087.864432585615)</f>
        <v>46087.86443</v>
      </c>
      <c r="C4589" s="9">
        <f>IFERROR(__xludf.DUMMYFUNCTION("""COMPUTED_VALUE"""),17675.0)</f>
        <v>17675</v>
      </c>
      <c r="D4589" s="9" t="str">
        <f>IFERROR(__xludf.DUMMYFUNCTION("""COMPUTED_VALUE"""),"Completed")</f>
        <v>Completed</v>
      </c>
    </row>
    <row r="4590">
      <c r="A4590" s="9" t="str">
        <f>IFERROR(__xludf.DUMMYFUNCTION("""COMPUTED_VALUE"""),"G-REQ-04589")</f>
        <v>G-REQ-04589</v>
      </c>
      <c r="B4590" s="11">
        <f>IFERROR(__xludf.DUMMYFUNCTION("""COMPUTED_VALUE"""),46087.935607431034)</f>
        <v>46087.93561</v>
      </c>
      <c r="C4590" s="9">
        <f>IFERROR(__xludf.DUMMYFUNCTION("""COMPUTED_VALUE"""),17679.0)</f>
        <v>17679</v>
      </c>
      <c r="D4590" s="9" t="str">
        <f>IFERROR(__xludf.DUMMYFUNCTION("""COMPUTED_VALUE"""),"Completed")</f>
        <v>Completed</v>
      </c>
    </row>
    <row r="4591">
      <c r="A4591" s="9" t="str">
        <f>IFERROR(__xludf.DUMMYFUNCTION("""COMPUTED_VALUE"""),"G-REQ-04590")</f>
        <v>G-REQ-04590</v>
      </c>
      <c r="B4591" s="11">
        <f>IFERROR(__xludf.DUMMYFUNCTION("""COMPUTED_VALUE"""),46088.006782276454)</f>
        <v>46088.00678</v>
      </c>
      <c r="C4591" s="9">
        <f>IFERROR(__xludf.DUMMYFUNCTION("""COMPUTED_VALUE"""),17683.0)</f>
        <v>17683</v>
      </c>
      <c r="D4591" s="9" t="str">
        <f>IFERROR(__xludf.DUMMYFUNCTION("""COMPUTED_VALUE"""),"Completed")</f>
        <v>Completed</v>
      </c>
    </row>
    <row r="4592">
      <c r="A4592" s="9" t="str">
        <f>IFERROR(__xludf.DUMMYFUNCTION("""COMPUTED_VALUE"""),"G-REQ-04591")</f>
        <v>G-REQ-04591</v>
      </c>
      <c r="B4592" s="11">
        <f>IFERROR(__xludf.DUMMYFUNCTION("""COMPUTED_VALUE"""),46088.077957121866)</f>
        <v>46088.07796</v>
      </c>
      <c r="C4592" s="9">
        <f>IFERROR(__xludf.DUMMYFUNCTION("""COMPUTED_VALUE"""),17687.0)</f>
        <v>17687</v>
      </c>
      <c r="D4592" s="9" t="str">
        <f>IFERROR(__xludf.DUMMYFUNCTION("""COMPUTED_VALUE"""),"Completed")</f>
        <v>Completed</v>
      </c>
    </row>
    <row r="4593">
      <c r="A4593" s="9" t="str">
        <f>IFERROR(__xludf.DUMMYFUNCTION("""COMPUTED_VALUE"""),"G-REQ-04592")</f>
        <v>G-REQ-04592</v>
      </c>
      <c r="B4593" s="11">
        <f>IFERROR(__xludf.DUMMYFUNCTION("""COMPUTED_VALUE"""),46088.14913196728)</f>
        <v>46088.14913</v>
      </c>
      <c r="C4593" s="9">
        <f>IFERROR(__xludf.DUMMYFUNCTION("""COMPUTED_VALUE"""),17691.0)</f>
        <v>17691</v>
      </c>
      <c r="D4593" s="9" t="str">
        <f>IFERROR(__xludf.DUMMYFUNCTION("""COMPUTED_VALUE"""),"Completed")</f>
        <v>Completed</v>
      </c>
    </row>
    <row r="4594">
      <c r="A4594" s="9" t="str">
        <f>IFERROR(__xludf.DUMMYFUNCTION("""COMPUTED_VALUE"""),"G-REQ-04593")</f>
        <v>G-REQ-04593</v>
      </c>
      <c r="B4594" s="11">
        <f>IFERROR(__xludf.DUMMYFUNCTION("""COMPUTED_VALUE"""),46088.21336236825)</f>
        <v>46088.21336</v>
      </c>
      <c r="C4594" s="9">
        <f>IFERROR(__xludf.DUMMYFUNCTION("""COMPUTED_VALUE"""),17693.0)</f>
        <v>17693</v>
      </c>
      <c r="D4594" s="9" t="str">
        <f>IFERROR(__xludf.DUMMYFUNCTION("""COMPUTED_VALUE"""),"Rejected")</f>
        <v>Rejected</v>
      </c>
    </row>
    <row r="4595">
      <c r="A4595" s="9" t="str">
        <f>IFERROR(__xludf.DUMMYFUNCTION("""COMPUTED_VALUE"""),"G-REQ-04594")</f>
        <v>G-REQ-04594</v>
      </c>
      <c r="B4595" s="11">
        <f>IFERROR(__xludf.DUMMYFUNCTION("""COMPUTED_VALUE"""),46088.29148165811)</f>
        <v>46088.29148</v>
      </c>
      <c r="C4595" s="9">
        <f>IFERROR(__xludf.DUMMYFUNCTION("""COMPUTED_VALUE"""),17697.0)</f>
        <v>17697</v>
      </c>
      <c r="D4595" s="9" t="str">
        <f>IFERROR(__xludf.DUMMYFUNCTION("""COMPUTED_VALUE"""),"Completed")</f>
        <v>Completed</v>
      </c>
    </row>
    <row r="4596">
      <c r="A4596" s="9" t="str">
        <f>IFERROR(__xludf.DUMMYFUNCTION("""COMPUTED_VALUE"""),"G-REQ-04595")</f>
        <v>G-REQ-04595</v>
      </c>
      <c r="B4596" s="11">
        <f>IFERROR(__xludf.DUMMYFUNCTION("""COMPUTED_VALUE"""),46088.36265650352)</f>
        <v>46088.36266</v>
      </c>
      <c r="C4596" s="9">
        <f>IFERROR(__xludf.DUMMYFUNCTION("""COMPUTED_VALUE"""),17701.0)</f>
        <v>17701</v>
      </c>
      <c r="D4596" s="9" t="str">
        <f>IFERROR(__xludf.DUMMYFUNCTION("""COMPUTED_VALUE"""),"Completed")</f>
        <v>Completed</v>
      </c>
    </row>
    <row r="4597">
      <c r="A4597" s="9" t="str">
        <f>IFERROR(__xludf.DUMMYFUNCTION("""COMPUTED_VALUE"""),"G-REQ-04596")</f>
        <v>G-REQ-04596</v>
      </c>
      <c r="B4597" s="11">
        <f>IFERROR(__xludf.DUMMYFUNCTION("""COMPUTED_VALUE"""),46088.43383134894)</f>
        <v>46088.43383</v>
      </c>
      <c r="C4597" s="9">
        <f>IFERROR(__xludf.DUMMYFUNCTION("""COMPUTED_VALUE"""),17705.0)</f>
        <v>17705</v>
      </c>
      <c r="D4597" s="9" t="str">
        <f>IFERROR(__xludf.DUMMYFUNCTION("""COMPUTED_VALUE"""),"Completed")</f>
        <v>Completed</v>
      </c>
    </row>
    <row r="4598">
      <c r="A4598" s="9" t="str">
        <f>IFERROR(__xludf.DUMMYFUNCTION("""COMPUTED_VALUE"""),"G-REQ-04597")</f>
        <v>G-REQ-04597</v>
      </c>
      <c r="B4598" s="11">
        <f>IFERROR(__xludf.DUMMYFUNCTION("""COMPUTED_VALUE"""),46088.505006194355)</f>
        <v>46088.50501</v>
      </c>
      <c r="C4598" s="9">
        <f>IFERROR(__xludf.DUMMYFUNCTION("""COMPUTED_VALUE"""),17709.0)</f>
        <v>17709</v>
      </c>
      <c r="D4598" s="9" t="str">
        <f>IFERROR(__xludf.DUMMYFUNCTION("""COMPUTED_VALUE"""),"Completed")</f>
        <v>Completed</v>
      </c>
    </row>
    <row r="4599">
      <c r="A4599" s="9" t="str">
        <f>IFERROR(__xludf.DUMMYFUNCTION("""COMPUTED_VALUE"""),"G-REQ-04598")</f>
        <v>G-REQ-04598</v>
      </c>
      <c r="B4599" s="11">
        <f>IFERROR(__xludf.DUMMYFUNCTION("""COMPUTED_VALUE"""),46088.57618103977)</f>
        <v>46088.57618</v>
      </c>
      <c r="C4599" s="9">
        <f>IFERROR(__xludf.DUMMYFUNCTION("""COMPUTED_VALUE"""),17713.0)</f>
        <v>17713</v>
      </c>
      <c r="D4599" s="9" t="str">
        <f>IFERROR(__xludf.DUMMYFUNCTION("""COMPUTED_VALUE"""),"Completed")</f>
        <v>Completed</v>
      </c>
    </row>
    <row r="4600">
      <c r="A4600" s="9" t="str">
        <f>IFERROR(__xludf.DUMMYFUNCTION("""COMPUTED_VALUE"""),"G-REQ-04599")</f>
        <v>G-REQ-04599</v>
      </c>
      <c r="B4600" s="11">
        <f>IFERROR(__xludf.DUMMYFUNCTION("""COMPUTED_VALUE"""),46088.64735588519)</f>
        <v>46088.64736</v>
      </c>
      <c r="C4600" s="9">
        <f>IFERROR(__xludf.DUMMYFUNCTION("""COMPUTED_VALUE"""),17717.0)</f>
        <v>17717</v>
      </c>
      <c r="D4600" s="9" t="str">
        <f>IFERROR(__xludf.DUMMYFUNCTION("""COMPUTED_VALUE"""),"Completed")</f>
        <v>Completed</v>
      </c>
    </row>
    <row r="4601">
      <c r="A4601" s="9" t="str">
        <f>IFERROR(__xludf.DUMMYFUNCTION("""COMPUTED_VALUE"""),"G-REQ-04600")</f>
        <v>G-REQ-04600</v>
      </c>
      <c r="B4601" s="11">
        <f>IFERROR(__xludf.DUMMYFUNCTION("""COMPUTED_VALUE"""),46088.7185307306)</f>
        <v>46088.71853</v>
      </c>
      <c r="C4601" s="9">
        <f>IFERROR(__xludf.DUMMYFUNCTION("""COMPUTED_VALUE"""),17721.0)</f>
        <v>17721</v>
      </c>
      <c r="D4601" s="9" t="str">
        <f>IFERROR(__xludf.DUMMYFUNCTION("""COMPUTED_VALUE"""),"Completed")</f>
        <v>Completed</v>
      </c>
    </row>
    <row r="4602">
      <c r="A4602" s="9" t="str">
        <f>IFERROR(__xludf.DUMMYFUNCTION("""COMPUTED_VALUE"""),"G-REQ-04601")</f>
        <v>G-REQ-04601</v>
      </c>
      <c r="B4602" s="11">
        <f>IFERROR(__xludf.DUMMYFUNCTION("""COMPUTED_VALUE"""),46088.78970557601)</f>
        <v>46088.78971</v>
      </c>
      <c r="C4602" s="9">
        <f>IFERROR(__xludf.DUMMYFUNCTION("""COMPUTED_VALUE"""),17725.0)</f>
        <v>17725</v>
      </c>
      <c r="D4602" s="9" t="str">
        <f>IFERROR(__xludf.DUMMYFUNCTION("""COMPUTED_VALUE"""),"Completed")</f>
        <v>Completed</v>
      </c>
    </row>
    <row r="4603">
      <c r="A4603" s="9" t="str">
        <f>IFERROR(__xludf.DUMMYFUNCTION("""COMPUTED_VALUE"""),"G-REQ-04602")</f>
        <v>G-REQ-04602</v>
      </c>
      <c r="B4603" s="11">
        <f>IFERROR(__xludf.DUMMYFUNCTION("""COMPUTED_VALUE"""),46088.86088042143)</f>
        <v>46088.86088</v>
      </c>
      <c r="C4603" s="9">
        <f>IFERROR(__xludf.DUMMYFUNCTION("""COMPUTED_VALUE"""),17729.0)</f>
        <v>17729</v>
      </c>
      <c r="D4603" s="9" t="str">
        <f>IFERROR(__xludf.DUMMYFUNCTION("""COMPUTED_VALUE"""),"Completed")</f>
        <v>Completed</v>
      </c>
    </row>
    <row r="4604">
      <c r="A4604" s="9" t="str">
        <f>IFERROR(__xludf.DUMMYFUNCTION("""COMPUTED_VALUE"""),"G-REQ-04603")</f>
        <v>G-REQ-04603</v>
      </c>
      <c r="B4604" s="11">
        <f>IFERROR(__xludf.DUMMYFUNCTION("""COMPUTED_VALUE"""),46088.93205526685)</f>
        <v>46088.93206</v>
      </c>
      <c r="C4604" s="9">
        <f>IFERROR(__xludf.DUMMYFUNCTION("""COMPUTED_VALUE"""),17733.0)</f>
        <v>17733</v>
      </c>
      <c r="D4604" s="9" t="str">
        <f>IFERROR(__xludf.DUMMYFUNCTION("""COMPUTED_VALUE"""),"Completed")</f>
        <v>Completed</v>
      </c>
    </row>
    <row r="4605">
      <c r="A4605" s="9" t="str">
        <f>IFERROR(__xludf.DUMMYFUNCTION("""COMPUTED_VALUE"""),"G-REQ-04604")</f>
        <v>G-REQ-04604</v>
      </c>
      <c r="B4605" s="11">
        <f>IFERROR(__xludf.DUMMYFUNCTION("""COMPUTED_VALUE"""),46089.003230112256)</f>
        <v>46089.00323</v>
      </c>
      <c r="C4605" s="9">
        <f>IFERROR(__xludf.DUMMYFUNCTION("""COMPUTED_VALUE"""),17737.0)</f>
        <v>17737</v>
      </c>
      <c r="D4605" s="9" t="str">
        <f>IFERROR(__xludf.DUMMYFUNCTION("""COMPUTED_VALUE"""),"Completed")</f>
        <v>Completed</v>
      </c>
    </row>
    <row r="4606">
      <c r="A4606" s="9" t="str">
        <f>IFERROR(__xludf.DUMMYFUNCTION("""COMPUTED_VALUE"""),"G-REQ-04605")</f>
        <v>G-REQ-04605</v>
      </c>
      <c r="B4606" s="11">
        <f>IFERROR(__xludf.DUMMYFUNCTION("""COMPUTED_VALUE"""),46089.074404957675)</f>
        <v>46089.0744</v>
      </c>
      <c r="C4606" s="9">
        <f>IFERROR(__xludf.DUMMYFUNCTION("""COMPUTED_VALUE"""),17741.0)</f>
        <v>17741</v>
      </c>
      <c r="D4606" s="9" t="str">
        <f>IFERROR(__xludf.DUMMYFUNCTION("""COMPUTED_VALUE"""),"Completed")</f>
        <v>Completed</v>
      </c>
    </row>
    <row r="4607">
      <c r="A4607" s="9" t="str">
        <f>IFERROR(__xludf.DUMMYFUNCTION("""COMPUTED_VALUE"""),"G-REQ-04606")</f>
        <v>G-REQ-04606</v>
      </c>
      <c r="B4607" s="11">
        <f>IFERROR(__xludf.DUMMYFUNCTION("""COMPUTED_VALUE"""),46089.145579803095)</f>
        <v>46089.14558</v>
      </c>
      <c r="C4607" s="9">
        <f>IFERROR(__xludf.DUMMYFUNCTION("""COMPUTED_VALUE"""),17745.0)</f>
        <v>17745</v>
      </c>
      <c r="D4607" s="9" t="str">
        <f>IFERROR(__xludf.DUMMYFUNCTION("""COMPUTED_VALUE"""),"Completed")</f>
        <v>Completed</v>
      </c>
    </row>
    <row r="4608">
      <c r="A4608" s="9" t="str">
        <f>IFERROR(__xludf.DUMMYFUNCTION("""COMPUTED_VALUE"""),"G-REQ-04607")</f>
        <v>G-REQ-04607</v>
      </c>
      <c r="B4608" s="11">
        <f>IFERROR(__xludf.DUMMYFUNCTION("""COMPUTED_VALUE"""),46089.21675464851)</f>
        <v>46089.21675</v>
      </c>
      <c r="C4608" s="9">
        <f>IFERROR(__xludf.DUMMYFUNCTION("""COMPUTED_VALUE"""),17749.0)</f>
        <v>17749</v>
      </c>
      <c r="D4608" s="9" t="str">
        <f>IFERROR(__xludf.DUMMYFUNCTION("""COMPUTED_VALUE"""),"Completed")</f>
        <v>Completed</v>
      </c>
    </row>
    <row r="4609">
      <c r="A4609" s="9" t="str">
        <f>IFERROR(__xludf.DUMMYFUNCTION("""COMPUTED_VALUE"""),"G-REQ-04608")</f>
        <v>G-REQ-04608</v>
      </c>
      <c r="B4609" s="11">
        <f>IFERROR(__xludf.DUMMYFUNCTION("""COMPUTED_VALUE"""),46089.28792949392)</f>
        <v>46089.28793</v>
      </c>
      <c r="C4609" s="9">
        <f>IFERROR(__xludf.DUMMYFUNCTION("""COMPUTED_VALUE"""),17753.0)</f>
        <v>17753</v>
      </c>
      <c r="D4609" s="9" t="str">
        <f>IFERROR(__xludf.DUMMYFUNCTION("""COMPUTED_VALUE"""),"Completed")</f>
        <v>Completed</v>
      </c>
    </row>
    <row r="4610">
      <c r="A4610" s="9" t="str">
        <f>IFERROR(__xludf.DUMMYFUNCTION("""COMPUTED_VALUE"""),"G-REQ-04609")</f>
        <v>G-REQ-04609</v>
      </c>
      <c r="B4610" s="11">
        <f>IFERROR(__xludf.DUMMYFUNCTION("""COMPUTED_VALUE"""),46089.35910433934)</f>
        <v>46089.3591</v>
      </c>
      <c r="C4610" s="9">
        <f>IFERROR(__xludf.DUMMYFUNCTION("""COMPUTED_VALUE"""),17757.0)</f>
        <v>17757</v>
      </c>
      <c r="D4610" s="9" t="str">
        <f>IFERROR(__xludf.DUMMYFUNCTION("""COMPUTED_VALUE"""),"Completed")</f>
        <v>Completed</v>
      </c>
    </row>
    <row r="4611">
      <c r="A4611" s="9" t="str">
        <f>IFERROR(__xludf.DUMMYFUNCTION("""COMPUTED_VALUE"""),"G-REQ-04610")</f>
        <v>G-REQ-04610</v>
      </c>
      <c r="B4611" s="11">
        <f>IFERROR(__xludf.DUMMYFUNCTION("""COMPUTED_VALUE"""),46089.423334740306)</f>
        <v>46089.42333</v>
      </c>
      <c r="C4611" s="9">
        <f>IFERROR(__xludf.DUMMYFUNCTION("""COMPUTED_VALUE"""),17759.0)</f>
        <v>17759</v>
      </c>
      <c r="D4611" s="9" t="str">
        <f>IFERROR(__xludf.DUMMYFUNCTION("""COMPUTED_VALUE"""),"Rejected")</f>
        <v>Rejected</v>
      </c>
    </row>
    <row r="4612">
      <c r="A4612" s="9" t="str">
        <f>IFERROR(__xludf.DUMMYFUNCTION("""COMPUTED_VALUE"""),"G-REQ-04611")</f>
        <v>G-REQ-04611</v>
      </c>
      <c r="B4612" s="11">
        <f>IFERROR(__xludf.DUMMYFUNCTION("""COMPUTED_VALUE"""),46089.50145403016)</f>
        <v>46089.50145</v>
      </c>
      <c r="C4612" s="9">
        <f>IFERROR(__xludf.DUMMYFUNCTION("""COMPUTED_VALUE"""),17763.0)</f>
        <v>17763</v>
      </c>
      <c r="D4612" s="9" t="str">
        <f>IFERROR(__xludf.DUMMYFUNCTION("""COMPUTED_VALUE"""),"Completed")</f>
        <v>Completed</v>
      </c>
    </row>
    <row r="4613">
      <c r="A4613" s="9" t="str">
        <f>IFERROR(__xludf.DUMMYFUNCTION("""COMPUTED_VALUE"""),"G-REQ-04612")</f>
        <v>G-REQ-04612</v>
      </c>
      <c r="B4613" s="11">
        <f>IFERROR(__xludf.DUMMYFUNCTION("""COMPUTED_VALUE"""),46089.56568443114)</f>
        <v>46089.56568</v>
      </c>
      <c r="C4613" s="9">
        <f>IFERROR(__xludf.DUMMYFUNCTION("""COMPUTED_VALUE"""),17765.0)</f>
        <v>17765</v>
      </c>
      <c r="D4613" s="9" t="str">
        <f>IFERROR(__xludf.DUMMYFUNCTION("""COMPUTED_VALUE"""),"Rejected")</f>
        <v>Rejected</v>
      </c>
    </row>
    <row r="4614">
      <c r="A4614" s="9" t="str">
        <f>IFERROR(__xludf.DUMMYFUNCTION("""COMPUTED_VALUE"""),"G-REQ-04613")</f>
        <v>G-REQ-04613</v>
      </c>
      <c r="B4614" s="11">
        <f>IFERROR(__xludf.DUMMYFUNCTION("""COMPUTED_VALUE"""),46089.643803721)</f>
        <v>46089.6438</v>
      </c>
      <c r="C4614" s="9">
        <f>IFERROR(__xludf.DUMMYFUNCTION("""COMPUTED_VALUE"""),17769.0)</f>
        <v>17769</v>
      </c>
      <c r="D4614" s="9" t="str">
        <f>IFERROR(__xludf.DUMMYFUNCTION("""COMPUTED_VALUE"""),"Completed")</f>
        <v>Completed</v>
      </c>
    </row>
    <row r="4615">
      <c r="A4615" s="9" t="str">
        <f>IFERROR(__xludf.DUMMYFUNCTION("""COMPUTED_VALUE"""),"G-REQ-04614")</f>
        <v>G-REQ-04614</v>
      </c>
      <c r="B4615" s="11">
        <f>IFERROR(__xludf.DUMMYFUNCTION("""COMPUTED_VALUE"""),46089.71497856641)</f>
        <v>46089.71498</v>
      </c>
      <c r="C4615" s="9">
        <f>IFERROR(__xludf.DUMMYFUNCTION("""COMPUTED_VALUE"""),17773.0)</f>
        <v>17773</v>
      </c>
      <c r="D4615" s="9" t="str">
        <f>IFERROR(__xludf.DUMMYFUNCTION("""COMPUTED_VALUE"""),"Completed")</f>
        <v>Completed</v>
      </c>
    </row>
    <row r="4616">
      <c r="A4616" s="9" t="str">
        <f>IFERROR(__xludf.DUMMYFUNCTION("""COMPUTED_VALUE"""),"G-REQ-04615")</f>
        <v>G-REQ-04615</v>
      </c>
      <c r="B4616" s="11">
        <f>IFERROR(__xludf.DUMMYFUNCTION("""COMPUTED_VALUE"""),46089.78615341183)</f>
        <v>46089.78615</v>
      </c>
      <c r="C4616" s="9">
        <f>IFERROR(__xludf.DUMMYFUNCTION("""COMPUTED_VALUE"""),17777.0)</f>
        <v>17777</v>
      </c>
      <c r="D4616" s="9" t="str">
        <f>IFERROR(__xludf.DUMMYFUNCTION("""COMPUTED_VALUE"""),"Completed")</f>
        <v>Completed</v>
      </c>
    </row>
    <row r="4617">
      <c r="A4617" s="9" t="str">
        <f>IFERROR(__xludf.DUMMYFUNCTION("""COMPUTED_VALUE"""),"G-REQ-04616")</f>
        <v>G-REQ-04616</v>
      </c>
      <c r="B4617" s="11">
        <f>IFERROR(__xludf.DUMMYFUNCTION("""COMPUTED_VALUE"""),46089.85732825724)</f>
        <v>46089.85733</v>
      </c>
      <c r="C4617" s="9">
        <f>IFERROR(__xludf.DUMMYFUNCTION("""COMPUTED_VALUE"""),17781.0)</f>
        <v>17781</v>
      </c>
      <c r="D4617" s="9" t="str">
        <f>IFERROR(__xludf.DUMMYFUNCTION("""COMPUTED_VALUE"""),"Completed")</f>
        <v>Completed</v>
      </c>
    </row>
    <row r="4618">
      <c r="A4618" s="9" t="str">
        <f>IFERROR(__xludf.DUMMYFUNCTION("""COMPUTED_VALUE"""),"G-REQ-04617")</f>
        <v>G-REQ-04617</v>
      </c>
      <c r="B4618" s="11">
        <f>IFERROR(__xludf.DUMMYFUNCTION("""COMPUTED_VALUE"""),46089.92850310266)</f>
        <v>46089.9285</v>
      </c>
      <c r="C4618" s="9">
        <f>IFERROR(__xludf.DUMMYFUNCTION("""COMPUTED_VALUE"""),17785.0)</f>
        <v>17785</v>
      </c>
      <c r="D4618" s="9" t="str">
        <f>IFERROR(__xludf.DUMMYFUNCTION("""COMPUTED_VALUE"""),"Completed")</f>
        <v>Completed</v>
      </c>
    </row>
    <row r="4619">
      <c r="A4619" s="9" t="str">
        <f>IFERROR(__xludf.DUMMYFUNCTION("""COMPUTED_VALUE"""),"G-REQ-04618")</f>
        <v>G-REQ-04618</v>
      </c>
      <c r="B4619" s="11">
        <f>IFERROR(__xludf.DUMMYFUNCTION("""COMPUTED_VALUE"""),46089.99967794807)</f>
        <v>46089.99968</v>
      </c>
      <c r="C4619" s="9">
        <f>IFERROR(__xludf.DUMMYFUNCTION("""COMPUTED_VALUE"""),17789.0)</f>
        <v>17789</v>
      </c>
      <c r="D4619" s="9" t="str">
        <f>IFERROR(__xludf.DUMMYFUNCTION("""COMPUTED_VALUE"""),"Completed")</f>
        <v>Completed</v>
      </c>
    </row>
    <row r="4620">
      <c r="A4620" s="9" t="str">
        <f>IFERROR(__xludf.DUMMYFUNCTION("""COMPUTED_VALUE"""),"G-REQ-04619")</f>
        <v>G-REQ-04619</v>
      </c>
      <c r="B4620" s="11">
        <f>IFERROR(__xludf.DUMMYFUNCTION("""COMPUTED_VALUE"""),46090.07085279349)</f>
        <v>46090.07085</v>
      </c>
      <c r="C4620" s="9">
        <f>IFERROR(__xludf.DUMMYFUNCTION("""COMPUTED_VALUE"""),17793.0)</f>
        <v>17793</v>
      </c>
      <c r="D4620" s="9" t="str">
        <f>IFERROR(__xludf.DUMMYFUNCTION("""COMPUTED_VALUE"""),"Completed")</f>
        <v>Completed</v>
      </c>
    </row>
    <row r="4621">
      <c r="A4621" s="9" t="str">
        <f>IFERROR(__xludf.DUMMYFUNCTION("""COMPUTED_VALUE"""),"G-REQ-04620")</f>
        <v>G-REQ-04620</v>
      </c>
      <c r="B4621" s="11">
        <f>IFERROR(__xludf.DUMMYFUNCTION("""COMPUTED_VALUE"""),46090.142027638896)</f>
        <v>46090.14203</v>
      </c>
      <c r="C4621" s="9">
        <f>IFERROR(__xludf.DUMMYFUNCTION("""COMPUTED_VALUE"""),17797.0)</f>
        <v>17797</v>
      </c>
      <c r="D4621" s="9" t="str">
        <f>IFERROR(__xludf.DUMMYFUNCTION("""COMPUTED_VALUE"""),"Completed")</f>
        <v>Completed</v>
      </c>
    </row>
    <row r="4622">
      <c r="A4622" s="9" t="str">
        <f>IFERROR(__xludf.DUMMYFUNCTION("""COMPUTED_VALUE"""),"G-REQ-04621")</f>
        <v>G-REQ-04621</v>
      </c>
      <c r="B4622" s="11">
        <f>IFERROR(__xludf.DUMMYFUNCTION("""COMPUTED_VALUE"""),46090.20625803987)</f>
        <v>46090.20626</v>
      </c>
      <c r="C4622" s="9">
        <f>IFERROR(__xludf.DUMMYFUNCTION("""COMPUTED_VALUE"""),17799.0)</f>
        <v>17799</v>
      </c>
      <c r="D4622" s="9" t="str">
        <f>IFERROR(__xludf.DUMMYFUNCTION("""COMPUTED_VALUE"""),"Rejected")</f>
        <v>Rejected</v>
      </c>
    </row>
    <row r="4623">
      <c r="A4623" s="9" t="str">
        <f>IFERROR(__xludf.DUMMYFUNCTION("""COMPUTED_VALUE"""),"G-REQ-04622")</f>
        <v>G-REQ-04622</v>
      </c>
      <c r="B4623" s="11">
        <f>IFERROR(__xludf.DUMMYFUNCTION("""COMPUTED_VALUE"""),46090.284377329735)</f>
        <v>46090.28438</v>
      </c>
      <c r="C4623" s="9">
        <f>IFERROR(__xludf.DUMMYFUNCTION("""COMPUTED_VALUE"""),17803.0)</f>
        <v>17803</v>
      </c>
      <c r="D4623" s="9" t="str">
        <f>IFERROR(__xludf.DUMMYFUNCTION("""COMPUTED_VALUE"""),"Completed")</f>
        <v>Completed</v>
      </c>
    </row>
    <row r="4624">
      <c r="A4624" s="9" t="str">
        <f>IFERROR(__xludf.DUMMYFUNCTION("""COMPUTED_VALUE"""),"G-REQ-04623")</f>
        <v>G-REQ-04623</v>
      </c>
      <c r="B4624" s="11">
        <f>IFERROR(__xludf.DUMMYFUNCTION("""COMPUTED_VALUE"""),46090.35555217515)</f>
        <v>46090.35555</v>
      </c>
      <c r="C4624" s="9">
        <f>IFERROR(__xludf.DUMMYFUNCTION("""COMPUTED_VALUE"""),17807.0)</f>
        <v>17807</v>
      </c>
      <c r="D4624" s="9" t="str">
        <f>IFERROR(__xludf.DUMMYFUNCTION("""COMPUTED_VALUE"""),"Completed")</f>
        <v>Completed</v>
      </c>
    </row>
    <row r="4625">
      <c r="A4625" s="9" t="str">
        <f>IFERROR(__xludf.DUMMYFUNCTION("""COMPUTED_VALUE"""),"G-REQ-04624")</f>
        <v>G-REQ-04624</v>
      </c>
      <c r="B4625" s="11">
        <f>IFERROR(__xludf.DUMMYFUNCTION("""COMPUTED_VALUE"""),46090.42672702056)</f>
        <v>46090.42673</v>
      </c>
      <c r="C4625" s="9">
        <f>IFERROR(__xludf.DUMMYFUNCTION("""COMPUTED_VALUE"""),17811.0)</f>
        <v>17811</v>
      </c>
      <c r="D4625" s="9" t="str">
        <f>IFERROR(__xludf.DUMMYFUNCTION("""COMPUTED_VALUE"""),"Completed")</f>
        <v>Completed</v>
      </c>
    </row>
    <row r="4626">
      <c r="A4626" s="9" t="str">
        <f>IFERROR(__xludf.DUMMYFUNCTION("""COMPUTED_VALUE"""),"G-REQ-04625")</f>
        <v>G-REQ-04625</v>
      </c>
      <c r="B4626" s="11">
        <f>IFERROR(__xludf.DUMMYFUNCTION("""COMPUTED_VALUE"""),46090.49790186598)</f>
        <v>46090.4979</v>
      </c>
      <c r="C4626" s="9">
        <f>IFERROR(__xludf.DUMMYFUNCTION("""COMPUTED_VALUE"""),17815.0)</f>
        <v>17815</v>
      </c>
      <c r="D4626" s="9" t="str">
        <f>IFERROR(__xludf.DUMMYFUNCTION("""COMPUTED_VALUE"""),"Completed")</f>
        <v>Completed</v>
      </c>
    </row>
    <row r="4627">
      <c r="A4627" s="9" t="str">
        <f>IFERROR(__xludf.DUMMYFUNCTION("""COMPUTED_VALUE"""),"G-REQ-04626")</f>
        <v>G-REQ-04626</v>
      </c>
      <c r="B4627" s="11">
        <f>IFERROR(__xludf.DUMMYFUNCTION("""COMPUTED_VALUE"""),46090.56907671139)</f>
        <v>46090.56908</v>
      </c>
      <c r="C4627" s="9">
        <f>IFERROR(__xludf.DUMMYFUNCTION("""COMPUTED_VALUE"""),17819.0)</f>
        <v>17819</v>
      </c>
      <c r="D4627" s="9" t="str">
        <f>IFERROR(__xludf.DUMMYFUNCTION("""COMPUTED_VALUE"""),"Completed")</f>
        <v>Completed</v>
      </c>
    </row>
    <row r="4628">
      <c r="A4628" s="9" t="str">
        <f>IFERROR(__xludf.DUMMYFUNCTION("""COMPUTED_VALUE"""),"G-REQ-04627")</f>
        <v>G-REQ-04627</v>
      </c>
      <c r="B4628" s="11">
        <f>IFERROR(__xludf.DUMMYFUNCTION("""COMPUTED_VALUE"""),46090.640251556804)</f>
        <v>46090.64025</v>
      </c>
      <c r="C4628" s="9">
        <f>IFERROR(__xludf.DUMMYFUNCTION("""COMPUTED_VALUE"""),17823.0)</f>
        <v>17823</v>
      </c>
      <c r="D4628" s="9" t="str">
        <f>IFERROR(__xludf.DUMMYFUNCTION("""COMPUTED_VALUE"""),"Completed")</f>
        <v>Completed</v>
      </c>
    </row>
    <row r="4629">
      <c r="A4629" s="9" t="str">
        <f>IFERROR(__xludf.DUMMYFUNCTION("""COMPUTED_VALUE"""),"G-REQ-04628")</f>
        <v>G-REQ-04628</v>
      </c>
      <c r="B4629" s="11">
        <f>IFERROR(__xludf.DUMMYFUNCTION("""COMPUTED_VALUE"""),46090.711426402224)</f>
        <v>46090.71143</v>
      </c>
      <c r="C4629" s="9">
        <f>IFERROR(__xludf.DUMMYFUNCTION("""COMPUTED_VALUE"""),17827.0)</f>
        <v>17827</v>
      </c>
      <c r="D4629" s="9" t="str">
        <f>IFERROR(__xludf.DUMMYFUNCTION("""COMPUTED_VALUE"""),"Completed")</f>
        <v>Completed</v>
      </c>
    </row>
    <row r="4630">
      <c r="A4630" s="9" t="str">
        <f>IFERROR(__xludf.DUMMYFUNCTION("""COMPUTED_VALUE"""),"G-REQ-04629")</f>
        <v>G-REQ-04629</v>
      </c>
      <c r="B4630" s="11">
        <f>IFERROR(__xludf.DUMMYFUNCTION("""COMPUTED_VALUE"""),46090.78260124764)</f>
        <v>46090.7826</v>
      </c>
      <c r="C4630" s="9">
        <f>IFERROR(__xludf.DUMMYFUNCTION("""COMPUTED_VALUE"""),17831.0)</f>
        <v>17831</v>
      </c>
      <c r="D4630" s="9" t="str">
        <f>IFERROR(__xludf.DUMMYFUNCTION("""COMPUTED_VALUE"""),"Completed")</f>
        <v>Completed</v>
      </c>
    </row>
    <row r="4631">
      <c r="A4631" s="9" t="str">
        <f>IFERROR(__xludf.DUMMYFUNCTION("""COMPUTED_VALUE"""),"G-REQ-04630")</f>
        <v>G-REQ-04630</v>
      </c>
      <c r="B4631" s="11">
        <f>IFERROR(__xludf.DUMMYFUNCTION("""COMPUTED_VALUE"""),46090.85377609305)</f>
        <v>46090.85378</v>
      </c>
      <c r="C4631" s="9">
        <f>IFERROR(__xludf.DUMMYFUNCTION("""COMPUTED_VALUE"""),17835.0)</f>
        <v>17835</v>
      </c>
      <c r="D4631" s="9" t="str">
        <f>IFERROR(__xludf.DUMMYFUNCTION("""COMPUTED_VALUE"""),"Completed")</f>
        <v>Completed</v>
      </c>
    </row>
    <row r="4632">
      <c r="A4632" s="9" t="str">
        <f>IFERROR(__xludf.DUMMYFUNCTION("""COMPUTED_VALUE"""),"G-REQ-04631")</f>
        <v>G-REQ-04631</v>
      </c>
      <c r="B4632" s="11">
        <f>IFERROR(__xludf.DUMMYFUNCTION("""COMPUTED_VALUE"""),46090.92495093847)</f>
        <v>46090.92495</v>
      </c>
      <c r="C4632" s="9">
        <f>IFERROR(__xludf.DUMMYFUNCTION("""COMPUTED_VALUE"""),17839.0)</f>
        <v>17839</v>
      </c>
      <c r="D4632" s="9" t="str">
        <f>IFERROR(__xludf.DUMMYFUNCTION("""COMPUTED_VALUE"""),"Completed")</f>
        <v>Completed</v>
      </c>
    </row>
    <row r="4633">
      <c r="A4633" s="9" t="str">
        <f>IFERROR(__xludf.DUMMYFUNCTION("""COMPUTED_VALUE"""),"G-REQ-04632")</f>
        <v>G-REQ-04632</v>
      </c>
      <c r="B4633" s="11">
        <f>IFERROR(__xludf.DUMMYFUNCTION("""COMPUTED_VALUE"""),46090.99612578389)</f>
        <v>46090.99613</v>
      </c>
      <c r="C4633" s="9">
        <f>IFERROR(__xludf.DUMMYFUNCTION("""COMPUTED_VALUE"""),17843.0)</f>
        <v>17843</v>
      </c>
      <c r="D4633" s="9" t="str">
        <f>IFERROR(__xludf.DUMMYFUNCTION("""COMPUTED_VALUE"""),"Completed")</f>
        <v>Completed</v>
      </c>
    </row>
    <row r="4634">
      <c r="A4634" s="9" t="str">
        <f>IFERROR(__xludf.DUMMYFUNCTION("""COMPUTED_VALUE"""),"G-REQ-04633")</f>
        <v>G-REQ-04633</v>
      </c>
      <c r="B4634" s="11">
        <f>IFERROR(__xludf.DUMMYFUNCTION("""COMPUTED_VALUE"""),46091.0673006293)</f>
        <v>46091.0673</v>
      </c>
      <c r="C4634" s="9">
        <f>IFERROR(__xludf.DUMMYFUNCTION("""COMPUTED_VALUE"""),17847.0)</f>
        <v>17847</v>
      </c>
      <c r="D4634" s="9" t="str">
        <f>IFERROR(__xludf.DUMMYFUNCTION("""COMPUTED_VALUE"""),"Completed")</f>
        <v>Completed</v>
      </c>
    </row>
    <row r="4635">
      <c r="A4635" s="9" t="str">
        <f>IFERROR(__xludf.DUMMYFUNCTION("""COMPUTED_VALUE"""),"G-REQ-04634")</f>
        <v>G-REQ-04634</v>
      </c>
      <c r="B4635" s="11">
        <f>IFERROR(__xludf.DUMMYFUNCTION("""COMPUTED_VALUE"""),46091.13847547471)</f>
        <v>46091.13848</v>
      </c>
      <c r="C4635" s="9">
        <f>IFERROR(__xludf.DUMMYFUNCTION("""COMPUTED_VALUE"""),17851.0)</f>
        <v>17851</v>
      </c>
      <c r="D4635" s="9" t="str">
        <f>IFERROR(__xludf.DUMMYFUNCTION("""COMPUTED_VALUE"""),"Completed")</f>
        <v>Completed</v>
      </c>
    </row>
    <row r="4636">
      <c r="A4636" s="9" t="str">
        <f>IFERROR(__xludf.DUMMYFUNCTION("""COMPUTED_VALUE"""),"G-REQ-04635")</f>
        <v>G-REQ-04635</v>
      </c>
      <c r="B4636" s="11">
        <f>IFERROR(__xludf.DUMMYFUNCTION("""COMPUTED_VALUE"""),46091.20965032013)</f>
        <v>46091.20965</v>
      </c>
      <c r="C4636" s="9">
        <f>IFERROR(__xludf.DUMMYFUNCTION("""COMPUTED_VALUE"""),17855.0)</f>
        <v>17855</v>
      </c>
      <c r="D4636" s="9" t="str">
        <f>IFERROR(__xludf.DUMMYFUNCTION("""COMPUTED_VALUE"""),"Completed")</f>
        <v>Completed</v>
      </c>
    </row>
    <row r="4637">
      <c r="A4637" s="9" t="str">
        <f>IFERROR(__xludf.DUMMYFUNCTION("""COMPUTED_VALUE"""),"G-REQ-04636")</f>
        <v>G-REQ-04636</v>
      </c>
      <c r="B4637" s="11">
        <f>IFERROR(__xludf.DUMMYFUNCTION("""COMPUTED_VALUE"""),46091.280825165544)</f>
        <v>46091.28083</v>
      </c>
      <c r="C4637" s="9">
        <f>IFERROR(__xludf.DUMMYFUNCTION("""COMPUTED_VALUE"""),17859.0)</f>
        <v>17859</v>
      </c>
      <c r="D4637" s="9" t="str">
        <f>IFERROR(__xludf.DUMMYFUNCTION("""COMPUTED_VALUE"""),"Completed")</f>
        <v>Completed</v>
      </c>
    </row>
    <row r="4638">
      <c r="A4638" s="9" t="str">
        <f>IFERROR(__xludf.DUMMYFUNCTION("""COMPUTED_VALUE"""),"G-REQ-04637")</f>
        <v>G-REQ-04637</v>
      </c>
      <c r="B4638" s="11">
        <f>IFERROR(__xludf.DUMMYFUNCTION("""COMPUTED_VALUE"""),46091.35200001096)</f>
        <v>46091.352</v>
      </c>
      <c r="C4638" s="9">
        <f>IFERROR(__xludf.DUMMYFUNCTION("""COMPUTED_VALUE"""),17863.0)</f>
        <v>17863</v>
      </c>
      <c r="D4638" s="9" t="str">
        <f>IFERROR(__xludf.DUMMYFUNCTION("""COMPUTED_VALUE"""),"Completed")</f>
        <v>Completed</v>
      </c>
    </row>
    <row r="4639">
      <c r="A4639" s="9" t="str">
        <f>IFERROR(__xludf.DUMMYFUNCTION("""COMPUTED_VALUE"""),"G-REQ-04638")</f>
        <v>G-REQ-04638</v>
      </c>
      <c r="B4639" s="11">
        <f>IFERROR(__xludf.DUMMYFUNCTION("""COMPUTED_VALUE"""),46091.423174856376)</f>
        <v>46091.42317</v>
      </c>
      <c r="C4639" s="9">
        <f>IFERROR(__xludf.DUMMYFUNCTION("""COMPUTED_VALUE"""),17867.0)</f>
        <v>17867</v>
      </c>
      <c r="D4639" s="9" t="str">
        <f>IFERROR(__xludf.DUMMYFUNCTION("""COMPUTED_VALUE"""),"Completed")</f>
        <v>Completed</v>
      </c>
    </row>
    <row r="4640">
      <c r="A4640" s="9" t="str">
        <f>IFERROR(__xludf.DUMMYFUNCTION("""COMPUTED_VALUE"""),"G-REQ-04639")</f>
        <v>G-REQ-04639</v>
      </c>
      <c r="B4640" s="11">
        <f>IFERROR(__xludf.DUMMYFUNCTION("""COMPUTED_VALUE"""),46091.49434970179)</f>
        <v>46091.49435</v>
      </c>
      <c r="C4640" s="9">
        <f>IFERROR(__xludf.DUMMYFUNCTION("""COMPUTED_VALUE"""),17871.0)</f>
        <v>17871</v>
      </c>
      <c r="D4640" s="9" t="str">
        <f>IFERROR(__xludf.DUMMYFUNCTION("""COMPUTED_VALUE"""),"Completed")</f>
        <v>Completed</v>
      </c>
    </row>
    <row r="4641">
      <c r="A4641" s="9" t="str">
        <f>IFERROR(__xludf.DUMMYFUNCTION("""COMPUTED_VALUE"""),"G-REQ-04640")</f>
        <v>G-REQ-04640</v>
      </c>
      <c r="B4641" s="11">
        <f>IFERROR(__xludf.DUMMYFUNCTION("""COMPUTED_VALUE"""),46091.5655245472)</f>
        <v>46091.56552</v>
      </c>
      <c r="C4641" s="9">
        <f>IFERROR(__xludf.DUMMYFUNCTION("""COMPUTED_VALUE"""),17875.0)</f>
        <v>17875</v>
      </c>
      <c r="D4641" s="9" t="str">
        <f>IFERROR(__xludf.DUMMYFUNCTION("""COMPUTED_VALUE"""),"Completed")</f>
        <v>Completed</v>
      </c>
    </row>
    <row r="4642">
      <c r="A4642" s="9" t="str">
        <f>IFERROR(__xludf.DUMMYFUNCTION("""COMPUTED_VALUE"""),"G-REQ-04641")</f>
        <v>G-REQ-04641</v>
      </c>
      <c r="B4642" s="11">
        <f>IFERROR(__xludf.DUMMYFUNCTION("""COMPUTED_VALUE"""),46091.63669939262)</f>
        <v>46091.6367</v>
      </c>
      <c r="C4642" s="9">
        <f>IFERROR(__xludf.DUMMYFUNCTION("""COMPUTED_VALUE"""),17879.0)</f>
        <v>17879</v>
      </c>
      <c r="D4642" s="9" t="str">
        <f>IFERROR(__xludf.DUMMYFUNCTION("""COMPUTED_VALUE"""),"Completed")</f>
        <v>Completed</v>
      </c>
    </row>
    <row r="4643">
      <c r="A4643" s="9" t="str">
        <f>IFERROR(__xludf.DUMMYFUNCTION("""COMPUTED_VALUE"""),"G-REQ-04642")</f>
        <v>G-REQ-04642</v>
      </c>
      <c r="B4643" s="11">
        <f>IFERROR(__xludf.DUMMYFUNCTION("""COMPUTED_VALUE"""),46091.70787423803)</f>
        <v>46091.70787</v>
      </c>
      <c r="C4643" s="9">
        <f>IFERROR(__xludf.DUMMYFUNCTION("""COMPUTED_VALUE"""),17883.0)</f>
        <v>17883</v>
      </c>
      <c r="D4643" s="9" t="str">
        <f>IFERROR(__xludf.DUMMYFUNCTION("""COMPUTED_VALUE"""),"Completed")</f>
        <v>Completed</v>
      </c>
    </row>
    <row r="4644">
      <c r="A4644" s="9" t="str">
        <f>IFERROR(__xludf.DUMMYFUNCTION("""COMPUTED_VALUE"""),"G-REQ-04643")</f>
        <v>G-REQ-04643</v>
      </c>
      <c r="B4644" s="11">
        <f>IFERROR(__xludf.DUMMYFUNCTION("""COMPUTED_VALUE"""),46091.779049083445)</f>
        <v>46091.77905</v>
      </c>
      <c r="C4644" s="9">
        <f>IFERROR(__xludf.DUMMYFUNCTION("""COMPUTED_VALUE"""),17887.0)</f>
        <v>17887</v>
      </c>
      <c r="D4644" s="9" t="str">
        <f>IFERROR(__xludf.DUMMYFUNCTION("""COMPUTED_VALUE"""),"Completed")</f>
        <v>Completed</v>
      </c>
    </row>
    <row r="4645">
      <c r="A4645" s="9" t="str">
        <f>IFERROR(__xludf.DUMMYFUNCTION("""COMPUTED_VALUE"""),"G-REQ-04644")</f>
        <v>G-REQ-04644</v>
      </c>
      <c r="B4645" s="11">
        <f>IFERROR(__xludf.DUMMYFUNCTION("""COMPUTED_VALUE"""),46091.850223928865)</f>
        <v>46091.85022</v>
      </c>
      <c r="C4645" s="9">
        <f>IFERROR(__xludf.DUMMYFUNCTION("""COMPUTED_VALUE"""),17891.0)</f>
        <v>17891</v>
      </c>
      <c r="D4645" s="9" t="str">
        <f>IFERROR(__xludf.DUMMYFUNCTION("""COMPUTED_VALUE"""),"Completed")</f>
        <v>Completed</v>
      </c>
    </row>
    <row r="4646">
      <c r="A4646" s="9" t="str">
        <f>IFERROR(__xludf.DUMMYFUNCTION("""COMPUTED_VALUE"""),"G-REQ-04645")</f>
        <v>G-REQ-04645</v>
      </c>
      <c r="B4646" s="11">
        <f>IFERROR(__xludf.DUMMYFUNCTION("""COMPUTED_VALUE"""),46091.921398774284)</f>
        <v>46091.9214</v>
      </c>
      <c r="C4646" s="9">
        <f>IFERROR(__xludf.DUMMYFUNCTION("""COMPUTED_VALUE"""),17895.0)</f>
        <v>17895</v>
      </c>
      <c r="D4646" s="9" t="str">
        <f>IFERROR(__xludf.DUMMYFUNCTION("""COMPUTED_VALUE"""),"Completed")</f>
        <v>Completed</v>
      </c>
    </row>
    <row r="4647">
      <c r="A4647" s="9" t="str">
        <f>IFERROR(__xludf.DUMMYFUNCTION("""COMPUTED_VALUE"""),"G-REQ-04646")</f>
        <v>G-REQ-04646</v>
      </c>
      <c r="B4647" s="11">
        <f>IFERROR(__xludf.DUMMYFUNCTION("""COMPUTED_VALUE"""),46091.99257361969)</f>
        <v>46091.99257</v>
      </c>
      <c r="C4647" s="9">
        <f>IFERROR(__xludf.DUMMYFUNCTION("""COMPUTED_VALUE"""),17899.0)</f>
        <v>17899</v>
      </c>
      <c r="D4647" s="9" t="str">
        <f>IFERROR(__xludf.DUMMYFUNCTION("""COMPUTED_VALUE"""),"Completed")</f>
        <v>Completed</v>
      </c>
    </row>
    <row r="4648">
      <c r="A4648" s="9" t="str">
        <f>IFERROR(__xludf.DUMMYFUNCTION("""COMPUTED_VALUE"""),"G-REQ-04647")</f>
        <v>G-REQ-04647</v>
      </c>
      <c r="B4648" s="11">
        <f>IFERROR(__xludf.DUMMYFUNCTION("""COMPUTED_VALUE"""),46092.06374846511)</f>
        <v>46092.06375</v>
      </c>
      <c r="C4648" s="9">
        <f>IFERROR(__xludf.DUMMYFUNCTION("""COMPUTED_VALUE"""),17903.0)</f>
        <v>17903</v>
      </c>
      <c r="D4648" s="9" t="str">
        <f>IFERROR(__xludf.DUMMYFUNCTION("""COMPUTED_VALUE"""),"Completed")</f>
        <v>Completed</v>
      </c>
    </row>
    <row r="4649">
      <c r="A4649" s="9" t="str">
        <f>IFERROR(__xludf.DUMMYFUNCTION("""COMPUTED_VALUE"""),"G-REQ-04648")</f>
        <v>G-REQ-04648</v>
      </c>
      <c r="B4649" s="11">
        <f>IFERROR(__xludf.DUMMYFUNCTION("""COMPUTED_VALUE"""),46092.13492331053)</f>
        <v>46092.13492</v>
      </c>
      <c r="C4649" s="9">
        <f>IFERROR(__xludf.DUMMYFUNCTION("""COMPUTED_VALUE"""),17907.0)</f>
        <v>17907</v>
      </c>
      <c r="D4649" s="9" t="str">
        <f>IFERROR(__xludf.DUMMYFUNCTION("""COMPUTED_VALUE"""),"Completed")</f>
        <v>Completed</v>
      </c>
    </row>
    <row r="4650">
      <c r="A4650" s="9" t="str">
        <f>IFERROR(__xludf.DUMMYFUNCTION("""COMPUTED_VALUE"""),"G-REQ-04649")</f>
        <v>G-REQ-04649</v>
      </c>
      <c r="B4650" s="11">
        <f>IFERROR(__xludf.DUMMYFUNCTION("""COMPUTED_VALUE"""),46092.20609815594)</f>
        <v>46092.2061</v>
      </c>
      <c r="C4650" s="9">
        <f>IFERROR(__xludf.DUMMYFUNCTION("""COMPUTED_VALUE"""),17911.0)</f>
        <v>17911</v>
      </c>
      <c r="D4650" s="9" t="str">
        <f>IFERROR(__xludf.DUMMYFUNCTION("""COMPUTED_VALUE"""),"Completed")</f>
        <v>Completed</v>
      </c>
    </row>
    <row r="4651">
      <c r="A4651" s="9" t="str">
        <f>IFERROR(__xludf.DUMMYFUNCTION("""COMPUTED_VALUE"""),"G-REQ-04650")</f>
        <v>G-REQ-04650</v>
      </c>
      <c r="B4651" s="11">
        <f>IFERROR(__xludf.DUMMYFUNCTION("""COMPUTED_VALUE"""),46092.27727300135)</f>
        <v>46092.27727</v>
      </c>
      <c r="C4651" s="9">
        <f>IFERROR(__xludf.DUMMYFUNCTION("""COMPUTED_VALUE"""),17915.0)</f>
        <v>17915</v>
      </c>
      <c r="D4651" s="9" t="str">
        <f>IFERROR(__xludf.DUMMYFUNCTION("""COMPUTED_VALUE"""),"Completed")</f>
        <v>Completed</v>
      </c>
    </row>
    <row r="4652">
      <c r="A4652" s="9" t="str">
        <f>IFERROR(__xludf.DUMMYFUNCTION("""COMPUTED_VALUE"""),"G-REQ-04651")</f>
        <v>G-REQ-04651</v>
      </c>
      <c r="B4652" s="11">
        <f>IFERROR(__xludf.DUMMYFUNCTION("""COMPUTED_VALUE"""),46092.34844784677)</f>
        <v>46092.34845</v>
      </c>
      <c r="C4652" s="9">
        <f>IFERROR(__xludf.DUMMYFUNCTION("""COMPUTED_VALUE"""),17919.0)</f>
        <v>17919</v>
      </c>
      <c r="D4652" s="9" t="str">
        <f>IFERROR(__xludf.DUMMYFUNCTION("""COMPUTED_VALUE"""),"Completed")</f>
        <v>Completed</v>
      </c>
    </row>
    <row r="4653">
      <c r="A4653" s="9" t="str">
        <f>IFERROR(__xludf.DUMMYFUNCTION("""COMPUTED_VALUE"""),"G-REQ-04652")</f>
        <v>G-REQ-04652</v>
      </c>
      <c r="B4653" s="11">
        <f>IFERROR(__xludf.DUMMYFUNCTION("""COMPUTED_VALUE"""),46092.419622692185)</f>
        <v>46092.41962</v>
      </c>
      <c r="C4653" s="9">
        <f>IFERROR(__xludf.DUMMYFUNCTION("""COMPUTED_VALUE"""),17923.0)</f>
        <v>17923</v>
      </c>
      <c r="D4653" s="9" t="str">
        <f>IFERROR(__xludf.DUMMYFUNCTION("""COMPUTED_VALUE"""),"Completed")</f>
        <v>Completed</v>
      </c>
    </row>
    <row r="4654">
      <c r="A4654" s="9" t="str">
        <f>IFERROR(__xludf.DUMMYFUNCTION("""COMPUTED_VALUE"""),"G-REQ-04653")</f>
        <v>G-REQ-04653</v>
      </c>
      <c r="B4654" s="11">
        <f>IFERROR(__xludf.DUMMYFUNCTION("""COMPUTED_VALUE"""),46092.4907975376)</f>
        <v>46092.4908</v>
      </c>
      <c r="C4654" s="9">
        <f>IFERROR(__xludf.DUMMYFUNCTION("""COMPUTED_VALUE"""),17927.0)</f>
        <v>17927</v>
      </c>
      <c r="D4654" s="9" t="str">
        <f>IFERROR(__xludf.DUMMYFUNCTION("""COMPUTED_VALUE"""),"Completed")</f>
        <v>Completed</v>
      </c>
    </row>
    <row r="4655">
      <c r="A4655" s="9" t="str">
        <f>IFERROR(__xludf.DUMMYFUNCTION("""COMPUTED_VALUE"""),"G-REQ-04654")</f>
        <v>G-REQ-04654</v>
      </c>
      <c r="B4655" s="11">
        <f>IFERROR(__xludf.DUMMYFUNCTION("""COMPUTED_VALUE"""),46092.56197238302)</f>
        <v>46092.56197</v>
      </c>
      <c r="C4655" s="9">
        <f>IFERROR(__xludf.DUMMYFUNCTION("""COMPUTED_VALUE"""),17931.0)</f>
        <v>17931</v>
      </c>
      <c r="D4655" s="9" t="str">
        <f>IFERROR(__xludf.DUMMYFUNCTION("""COMPUTED_VALUE"""),"Completed")</f>
        <v>Completed</v>
      </c>
    </row>
    <row r="4656">
      <c r="A4656" s="9" t="str">
        <f>IFERROR(__xludf.DUMMYFUNCTION("""COMPUTED_VALUE"""),"G-REQ-04655")</f>
        <v>G-REQ-04655</v>
      </c>
      <c r="B4656" s="11">
        <f>IFERROR(__xludf.DUMMYFUNCTION("""COMPUTED_VALUE"""),46092.63314722844)</f>
        <v>46092.63315</v>
      </c>
      <c r="C4656" s="9">
        <f>IFERROR(__xludf.DUMMYFUNCTION("""COMPUTED_VALUE"""),17935.0)</f>
        <v>17935</v>
      </c>
      <c r="D4656" s="9" t="str">
        <f>IFERROR(__xludf.DUMMYFUNCTION("""COMPUTED_VALUE"""),"Completed")</f>
        <v>Completed</v>
      </c>
    </row>
    <row r="4657">
      <c r="A4657" s="9" t="str">
        <f>IFERROR(__xludf.DUMMYFUNCTION("""COMPUTED_VALUE"""),"G-REQ-04656")</f>
        <v>G-REQ-04656</v>
      </c>
      <c r="B4657" s="11">
        <f>IFERROR(__xludf.DUMMYFUNCTION("""COMPUTED_VALUE"""),46092.70432207384)</f>
        <v>46092.70432</v>
      </c>
      <c r="C4657" s="9">
        <f>IFERROR(__xludf.DUMMYFUNCTION("""COMPUTED_VALUE"""),17939.0)</f>
        <v>17939</v>
      </c>
      <c r="D4657" s="9" t="str">
        <f>IFERROR(__xludf.DUMMYFUNCTION("""COMPUTED_VALUE"""),"Completed")</f>
        <v>Completed</v>
      </c>
    </row>
    <row r="4658">
      <c r="A4658" s="9" t="str">
        <f>IFERROR(__xludf.DUMMYFUNCTION("""COMPUTED_VALUE"""),"G-REQ-04657")</f>
        <v>G-REQ-04657</v>
      </c>
      <c r="B4658" s="11">
        <f>IFERROR(__xludf.DUMMYFUNCTION("""COMPUTED_VALUE"""),46092.77549691926)</f>
        <v>46092.7755</v>
      </c>
      <c r="C4658" s="9">
        <f>IFERROR(__xludf.DUMMYFUNCTION("""COMPUTED_VALUE"""),17943.0)</f>
        <v>17943</v>
      </c>
      <c r="D4658" s="9" t="str">
        <f>IFERROR(__xludf.DUMMYFUNCTION("""COMPUTED_VALUE"""),"Completed")</f>
        <v>Completed</v>
      </c>
    </row>
    <row r="4659">
      <c r="A4659" s="9" t="str">
        <f>IFERROR(__xludf.DUMMYFUNCTION("""COMPUTED_VALUE"""),"G-REQ-04658")</f>
        <v>G-REQ-04658</v>
      </c>
      <c r="B4659" s="11">
        <f>IFERROR(__xludf.DUMMYFUNCTION("""COMPUTED_VALUE"""),46092.83972732023)</f>
        <v>46092.83973</v>
      </c>
      <c r="C4659" s="9">
        <f>IFERROR(__xludf.DUMMYFUNCTION("""COMPUTED_VALUE"""),17945.0)</f>
        <v>17945</v>
      </c>
      <c r="D4659" s="9" t="str">
        <f>IFERROR(__xludf.DUMMYFUNCTION("""COMPUTED_VALUE"""),"Cancelled")</f>
        <v>Cancelled</v>
      </c>
    </row>
    <row r="4660">
      <c r="A4660" s="9" t="str">
        <f>IFERROR(__xludf.DUMMYFUNCTION("""COMPUTED_VALUE"""),"G-REQ-04659")</f>
        <v>G-REQ-04659</v>
      </c>
      <c r="B4660" s="11">
        <f>IFERROR(__xludf.DUMMYFUNCTION("""COMPUTED_VALUE"""),46092.91784661009)</f>
        <v>46092.91785</v>
      </c>
      <c r="C4660" s="9">
        <f>IFERROR(__xludf.DUMMYFUNCTION("""COMPUTED_VALUE"""),17949.0)</f>
        <v>17949</v>
      </c>
      <c r="D4660" s="9" t="str">
        <f>IFERROR(__xludf.DUMMYFUNCTION("""COMPUTED_VALUE"""),"Completed")</f>
        <v>Completed</v>
      </c>
    </row>
    <row r="4661">
      <c r="A4661" s="9" t="str">
        <f>IFERROR(__xludf.DUMMYFUNCTION("""COMPUTED_VALUE"""),"G-REQ-04660")</f>
        <v>G-REQ-04660</v>
      </c>
      <c r="B4661" s="11">
        <f>IFERROR(__xludf.DUMMYFUNCTION("""COMPUTED_VALUE"""),46092.989021455505)</f>
        <v>46092.98902</v>
      </c>
      <c r="C4661" s="9">
        <f>IFERROR(__xludf.DUMMYFUNCTION("""COMPUTED_VALUE"""),17953.0)</f>
        <v>17953</v>
      </c>
      <c r="D4661" s="9" t="str">
        <f>IFERROR(__xludf.DUMMYFUNCTION("""COMPUTED_VALUE"""),"Completed")</f>
        <v>Completed</v>
      </c>
    </row>
    <row r="4662">
      <c r="A4662" s="9" t="str">
        <f>IFERROR(__xludf.DUMMYFUNCTION("""COMPUTED_VALUE"""),"G-REQ-04661")</f>
        <v>G-REQ-04661</v>
      </c>
      <c r="B4662" s="11">
        <f>IFERROR(__xludf.DUMMYFUNCTION("""COMPUTED_VALUE"""),46093.060196300925)</f>
        <v>46093.0602</v>
      </c>
      <c r="C4662" s="9">
        <f>IFERROR(__xludf.DUMMYFUNCTION("""COMPUTED_VALUE"""),17957.0)</f>
        <v>17957</v>
      </c>
      <c r="D4662" s="9" t="str">
        <f>IFERROR(__xludf.DUMMYFUNCTION("""COMPUTED_VALUE"""),"Completed")</f>
        <v>Completed</v>
      </c>
    </row>
    <row r="4663">
      <c r="A4663" s="9" t="str">
        <f>IFERROR(__xludf.DUMMYFUNCTION("""COMPUTED_VALUE"""),"G-REQ-04662")</f>
        <v>G-REQ-04662</v>
      </c>
      <c r="B4663" s="11">
        <f>IFERROR(__xludf.DUMMYFUNCTION("""COMPUTED_VALUE"""),46093.13137114633)</f>
        <v>46093.13137</v>
      </c>
      <c r="C4663" s="9">
        <f>IFERROR(__xludf.DUMMYFUNCTION("""COMPUTED_VALUE"""),17961.0)</f>
        <v>17961</v>
      </c>
      <c r="D4663" s="9" t="str">
        <f>IFERROR(__xludf.DUMMYFUNCTION("""COMPUTED_VALUE"""),"Completed")</f>
        <v>Completed</v>
      </c>
    </row>
    <row r="4664">
      <c r="A4664" s="9" t="str">
        <f>IFERROR(__xludf.DUMMYFUNCTION("""COMPUTED_VALUE"""),"G-REQ-04663")</f>
        <v>G-REQ-04663</v>
      </c>
      <c r="B4664" s="11">
        <f>IFERROR(__xludf.DUMMYFUNCTION("""COMPUTED_VALUE"""),46093.20254599175)</f>
        <v>46093.20255</v>
      </c>
      <c r="C4664" s="9">
        <f>IFERROR(__xludf.DUMMYFUNCTION("""COMPUTED_VALUE"""),17965.0)</f>
        <v>17965</v>
      </c>
      <c r="D4664" s="9" t="str">
        <f>IFERROR(__xludf.DUMMYFUNCTION("""COMPUTED_VALUE"""),"Completed")</f>
        <v>Completed</v>
      </c>
    </row>
    <row r="4665">
      <c r="A4665" s="9" t="str">
        <f>IFERROR(__xludf.DUMMYFUNCTION("""COMPUTED_VALUE"""),"G-REQ-04664")</f>
        <v>G-REQ-04664</v>
      </c>
      <c r="B4665" s="11">
        <f>IFERROR(__xludf.DUMMYFUNCTION("""COMPUTED_VALUE"""),46093.266776392724)</f>
        <v>46093.26678</v>
      </c>
      <c r="C4665" s="9">
        <f>IFERROR(__xludf.DUMMYFUNCTION("""COMPUTED_VALUE"""),17967.0)</f>
        <v>17967</v>
      </c>
      <c r="D4665" s="9" t="str">
        <f>IFERROR(__xludf.DUMMYFUNCTION("""COMPUTED_VALUE"""),"Rejected")</f>
        <v>Rejected</v>
      </c>
    </row>
    <row r="4666">
      <c r="A4666" s="9" t="str">
        <f>IFERROR(__xludf.DUMMYFUNCTION("""COMPUTED_VALUE"""),"G-REQ-04665")</f>
        <v>G-REQ-04665</v>
      </c>
      <c r="B4666" s="11">
        <f>IFERROR(__xludf.DUMMYFUNCTION("""COMPUTED_VALUE"""),46093.34489568258)</f>
        <v>46093.3449</v>
      </c>
      <c r="C4666" s="9">
        <f>IFERROR(__xludf.DUMMYFUNCTION("""COMPUTED_VALUE"""),17971.0)</f>
        <v>17971</v>
      </c>
      <c r="D4666" s="9" t="str">
        <f>IFERROR(__xludf.DUMMYFUNCTION("""COMPUTED_VALUE"""),"Completed")</f>
        <v>Completed</v>
      </c>
    </row>
    <row r="4667">
      <c r="A4667" s="9" t="str">
        <f>IFERROR(__xludf.DUMMYFUNCTION("""COMPUTED_VALUE"""),"G-REQ-04666")</f>
        <v>G-REQ-04666</v>
      </c>
      <c r="B4667" s="11">
        <f>IFERROR(__xludf.DUMMYFUNCTION("""COMPUTED_VALUE"""),46093.416070527994)</f>
        <v>46093.41607</v>
      </c>
      <c r="C4667" s="9">
        <f>IFERROR(__xludf.DUMMYFUNCTION("""COMPUTED_VALUE"""),17975.0)</f>
        <v>17975</v>
      </c>
      <c r="D4667" s="9" t="str">
        <f>IFERROR(__xludf.DUMMYFUNCTION("""COMPUTED_VALUE"""),"Completed")</f>
        <v>Completed</v>
      </c>
    </row>
    <row r="4668">
      <c r="A4668" s="9" t="str">
        <f>IFERROR(__xludf.DUMMYFUNCTION("""COMPUTED_VALUE"""),"G-REQ-04667")</f>
        <v>G-REQ-04667</v>
      </c>
      <c r="B4668" s="11">
        <f>IFERROR(__xludf.DUMMYFUNCTION("""COMPUTED_VALUE"""),46093.48724537341)</f>
        <v>46093.48725</v>
      </c>
      <c r="C4668" s="9">
        <f>IFERROR(__xludf.DUMMYFUNCTION("""COMPUTED_VALUE"""),17979.0)</f>
        <v>17979</v>
      </c>
      <c r="D4668" s="9" t="str">
        <f>IFERROR(__xludf.DUMMYFUNCTION("""COMPUTED_VALUE"""),"Completed")</f>
        <v>Completed</v>
      </c>
    </row>
    <row r="4669">
      <c r="A4669" s="9" t="str">
        <f>IFERROR(__xludf.DUMMYFUNCTION("""COMPUTED_VALUE"""),"G-REQ-04668")</f>
        <v>G-REQ-04668</v>
      </c>
      <c r="B4669" s="11">
        <f>IFERROR(__xludf.DUMMYFUNCTION("""COMPUTED_VALUE"""),46093.558420218826)</f>
        <v>46093.55842</v>
      </c>
      <c r="C4669" s="9">
        <f>IFERROR(__xludf.DUMMYFUNCTION("""COMPUTED_VALUE"""),17983.0)</f>
        <v>17983</v>
      </c>
      <c r="D4669" s="9" t="str">
        <f>IFERROR(__xludf.DUMMYFUNCTION("""COMPUTED_VALUE"""),"Completed")</f>
        <v>Completed</v>
      </c>
    </row>
    <row r="4670">
      <c r="A4670" s="9" t="str">
        <f>IFERROR(__xludf.DUMMYFUNCTION("""COMPUTED_VALUE"""),"G-REQ-04669")</f>
        <v>G-REQ-04669</v>
      </c>
      <c r="B4670" s="11">
        <f>IFERROR(__xludf.DUMMYFUNCTION("""COMPUTED_VALUE"""),46093.62959506424)</f>
        <v>46093.6296</v>
      </c>
      <c r="C4670" s="9">
        <f>IFERROR(__xludf.DUMMYFUNCTION("""COMPUTED_VALUE"""),17987.0)</f>
        <v>17987</v>
      </c>
      <c r="D4670" s="9" t="str">
        <f>IFERROR(__xludf.DUMMYFUNCTION("""COMPUTED_VALUE"""),"Completed")</f>
        <v>Completed</v>
      </c>
    </row>
    <row r="4671">
      <c r="A4671" s="9" t="str">
        <f>IFERROR(__xludf.DUMMYFUNCTION("""COMPUTED_VALUE"""),"G-REQ-04670")</f>
        <v>G-REQ-04670</v>
      </c>
      <c r="B4671" s="11">
        <f>IFERROR(__xludf.DUMMYFUNCTION("""COMPUTED_VALUE"""),46093.70076990966)</f>
        <v>46093.70077</v>
      </c>
      <c r="C4671" s="9">
        <f>IFERROR(__xludf.DUMMYFUNCTION("""COMPUTED_VALUE"""),17991.0)</f>
        <v>17991</v>
      </c>
      <c r="D4671" s="9" t="str">
        <f>IFERROR(__xludf.DUMMYFUNCTION("""COMPUTED_VALUE"""),"Completed")</f>
        <v>Completed</v>
      </c>
    </row>
    <row r="4672">
      <c r="A4672" s="9" t="str">
        <f>IFERROR(__xludf.DUMMYFUNCTION("""COMPUTED_VALUE"""),"G-REQ-04671")</f>
        <v>G-REQ-04671</v>
      </c>
      <c r="B4672" s="11">
        <f>IFERROR(__xludf.DUMMYFUNCTION("""COMPUTED_VALUE"""),46093.76500031063)</f>
        <v>46093.765</v>
      </c>
      <c r="C4672" s="9">
        <f>IFERROR(__xludf.DUMMYFUNCTION("""COMPUTED_VALUE"""),17993.0)</f>
        <v>17993</v>
      </c>
      <c r="D4672" s="9" t="str">
        <f>IFERROR(__xludf.DUMMYFUNCTION("""COMPUTED_VALUE"""),"Rejected")</f>
        <v>Rejected</v>
      </c>
    </row>
    <row r="4673">
      <c r="A4673" s="9" t="str">
        <f>IFERROR(__xludf.DUMMYFUNCTION("""COMPUTED_VALUE"""),"G-REQ-04672")</f>
        <v>G-REQ-04672</v>
      </c>
      <c r="B4673" s="11">
        <f>IFERROR(__xludf.DUMMYFUNCTION("""COMPUTED_VALUE"""),46093.84311960048)</f>
        <v>46093.84312</v>
      </c>
      <c r="C4673" s="9">
        <f>IFERROR(__xludf.DUMMYFUNCTION("""COMPUTED_VALUE"""),17997.0)</f>
        <v>17997</v>
      </c>
      <c r="D4673" s="9" t="str">
        <f>IFERROR(__xludf.DUMMYFUNCTION("""COMPUTED_VALUE"""),"Completed")</f>
        <v>Completed</v>
      </c>
    </row>
    <row r="4674">
      <c r="A4674" s="9" t="str">
        <f>IFERROR(__xludf.DUMMYFUNCTION("""COMPUTED_VALUE"""),"G-REQ-04673")</f>
        <v>G-REQ-04673</v>
      </c>
      <c r="B4674" s="11">
        <f>IFERROR(__xludf.DUMMYFUNCTION("""COMPUTED_VALUE"""),46093.9142944459)</f>
        <v>46093.91429</v>
      </c>
      <c r="C4674" s="9">
        <f>IFERROR(__xludf.DUMMYFUNCTION("""COMPUTED_VALUE"""),18001.0)</f>
        <v>18001</v>
      </c>
      <c r="D4674" s="9" t="str">
        <f>IFERROR(__xludf.DUMMYFUNCTION("""COMPUTED_VALUE"""),"Completed")</f>
        <v>Completed</v>
      </c>
    </row>
    <row r="4675">
      <c r="A4675" s="9" t="str">
        <f>IFERROR(__xludf.DUMMYFUNCTION("""COMPUTED_VALUE"""),"G-REQ-04674")</f>
        <v>G-REQ-04674</v>
      </c>
      <c r="B4675" s="11">
        <f>IFERROR(__xludf.DUMMYFUNCTION("""COMPUTED_VALUE"""),46093.978524846876)</f>
        <v>46093.97852</v>
      </c>
      <c r="C4675" s="9">
        <f>IFERROR(__xludf.DUMMYFUNCTION("""COMPUTED_VALUE"""),18003.0)</f>
        <v>18003</v>
      </c>
      <c r="D4675" s="9" t="str">
        <f>IFERROR(__xludf.DUMMYFUNCTION("""COMPUTED_VALUE"""),"Rejected")</f>
        <v>Rejected</v>
      </c>
    </row>
    <row r="4676">
      <c r="A4676" s="9" t="str">
        <f>IFERROR(__xludf.DUMMYFUNCTION("""COMPUTED_VALUE"""),"G-REQ-04675")</f>
        <v>G-REQ-04675</v>
      </c>
      <c r="B4676" s="11">
        <f>IFERROR(__xludf.DUMMYFUNCTION("""COMPUTED_VALUE"""),46094.056644136734)</f>
        <v>46094.05664</v>
      </c>
      <c r="C4676" s="9">
        <f>IFERROR(__xludf.DUMMYFUNCTION("""COMPUTED_VALUE"""),18007.0)</f>
        <v>18007</v>
      </c>
      <c r="D4676" s="9" t="str">
        <f>IFERROR(__xludf.DUMMYFUNCTION("""COMPUTED_VALUE"""),"Completed")</f>
        <v>Completed</v>
      </c>
    </row>
    <row r="4677">
      <c r="A4677" s="9" t="str">
        <f>IFERROR(__xludf.DUMMYFUNCTION("""COMPUTED_VALUE"""),"G-REQ-04676")</f>
        <v>G-REQ-04676</v>
      </c>
      <c r="B4677" s="11">
        <f>IFERROR(__xludf.DUMMYFUNCTION("""COMPUTED_VALUE"""),46094.127818982146)</f>
        <v>46094.12782</v>
      </c>
      <c r="C4677" s="9">
        <f>IFERROR(__xludf.DUMMYFUNCTION("""COMPUTED_VALUE"""),18011.0)</f>
        <v>18011</v>
      </c>
      <c r="D4677" s="9" t="str">
        <f>IFERROR(__xludf.DUMMYFUNCTION("""COMPUTED_VALUE"""),"Completed")</f>
        <v>Completed</v>
      </c>
    </row>
    <row r="4678">
      <c r="A4678" s="9" t="str">
        <f>IFERROR(__xludf.DUMMYFUNCTION("""COMPUTED_VALUE"""),"G-REQ-04677")</f>
        <v>G-REQ-04677</v>
      </c>
      <c r="B4678" s="11">
        <f>IFERROR(__xludf.DUMMYFUNCTION("""COMPUTED_VALUE"""),46094.198993827566)</f>
        <v>46094.19899</v>
      </c>
      <c r="C4678" s="9">
        <f>IFERROR(__xludf.DUMMYFUNCTION("""COMPUTED_VALUE"""),18015.0)</f>
        <v>18015</v>
      </c>
      <c r="D4678" s="9" t="str">
        <f>IFERROR(__xludf.DUMMYFUNCTION("""COMPUTED_VALUE"""),"Completed")</f>
        <v>Completed</v>
      </c>
    </row>
    <row r="4679">
      <c r="A4679" s="9" t="str">
        <f>IFERROR(__xludf.DUMMYFUNCTION("""COMPUTED_VALUE"""),"G-REQ-04678")</f>
        <v>G-REQ-04678</v>
      </c>
      <c r="B4679" s="11">
        <f>IFERROR(__xludf.DUMMYFUNCTION("""COMPUTED_VALUE"""),46094.27016867298)</f>
        <v>46094.27017</v>
      </c>
      <c r="C4679" s="9">
        <f>IFERROR(__xludf.DUMMYFUNCTION("""COMPUTED_VALUE"""),18019.0)</f>
        <v>18019</v>
      </c>
      <c r="D4679" s="9" t="str">
        <f>IFERROR(__xludf.DUMMYFUNCTION("""COMPUTED_VALUE"""),"Completed")</f>
        <v>Completed</v>
      </c>
    </row>
    <row r="4680">
      <c r="A4680" s="9" t="str">
        <f>IFERROR(__xludf.DUMMYFUNCTION("""COMPUTED_VALUE"""),"G-REQ-04679")</f>
        <v>G-REQ-04679</v>
      </c>
      <c r="B4680" s="11">
        <f>IFERROR(__xludf.DUMMYFUNCTION("""COMPUTED_VALUE"""),46094.34134351839)</f>
        <v>46094.34134</v>
      </c>
      <c r="C4680" s="9">
        <f>IFERROR(__xludf.DUMMYFUNCTION("""COMPUTED_VALUE"""),18023.0)</f>
        <v>18023</v>
      </c>
      <c r="D4680" s="9" t="str">
        <f>IFERROR(__xludf.DUMMYFUNCTION("""COMPUTED_VALUE"""),"Completed")</f>
        <v>Completed</v>
      </c>
    </row>
    <row r="4681">
      <c r="A4681" s="9" t="str">
        <f>IFERROR(__xludf.DUMMYFUNCTION("""COMPUTED_VALUE"""),"G-REQ-04680")</f>
        <v>G-REQ-04680</v>
      </c>
      <c r="B4681" s="11">
        <f>IFERROR(__xludf.DUMMYFUNCTION("""COMPUTED_VALUE"""),46094.405573919365)</f>
        <v>46094.40557</v>
      </c>
      <c r="C4681" s="9">
        <f>IFERROR(__xludf.DUMMYFUNCTION("""COMPUTED_VALUE"""),18025.0)</f>
        <v>18025</v>
      </c>
      <c r="D4681" s="9" t="str">
        <f>IFERROR(__xludf.DUMMYFUNCTION("""COMPUTED_VALUE"""),"Rejected")</f>
        <v>Rejected</v>
      </c>
    </row>
    <row r="4682">
      <c r="A4682" s="9" t="str">
        <f>IFERROR(__xludf.DUMMYFUNCTION("""COMPUTED_VALUE"""),"G-REQ-04681")</f>
        <v>G-REQ-04681</v>
      </c>
      <c r="B4682" s="11">
        <f>IFERROR(__xludf.DUMMYFUNCTION("""COMPUTED_VALUE"""),46094.48369320922)</f>
        <v>46094.48369</v>
      </c>
      <c r="C4682" s="9">
        <f>IFERROR(__xludf.DUMMYFUNCTION("""COMPUTED_VALUE"""),18029.0)</f>
        <v>18029</v>
      </c>
      <c r="D4682" s="9" t="str">
        <f>IFERROR(__xludf.DUMMYFUNCTION("""COMPUTED_VALUE"""),"Completed")</f>
        <v>Completed</v>
      </c>
    </row>
    <row r="4683">
      <c r="A4683" s="9" t="str">
        <f>IFERROR(__xludf.DUMMYFUNCTION("""COMPUTED_VALUE"""),"G-REQ-04682")</f>
        <v>G-REQ-04682</v>
      </c>
      <c r="B4683" s="11">
        <f>IFERROR(__xludf.DUMMYFUNCTION("""COMPUTED_VALUE"""),46094.554868054634)</f>
        <v>46094.55487</v>
      </c>
      <c r="C4683" s="9">
        <f>IFERROR(__xludf.DUMMYFUNCTION("""COMPUTED_VALUE"""),18033.0)</f>
        <v>18033</v>
      </c>
      <c r="D4683" s="9" t="str">
        <f>IFERROR(__xludf.DUMMYFUNCTION("""COMPUTED_VALUE"""),"Completed")</f>
        <v>Completed</v>
      </c>
    </row>
    <row r="4684">
      <c r="A4684" s="9" t="str">
        <f>IFERROR(__xludf.DUMMYFUNCTION("""COMPUTED_VALUE"""),"G-REQ-04683")</f>
        <v>G-REQ-04683</v>
      </c>
      <c r="B4684" s="11">
        <f>IFERROR(__xludf.DUMMYFUNCTION("""COMPUTED_VALUE"""),46094.626042900054)</f>
        <v>46094.62604</v>
      </c>
      <c r="C4684" s="9">
        <f>IFERROR(__xludf.DUMMYFUNCTION("""COMPUTED_VALUE"""),18037.0)</f>
        <v>18037</v>
      </c>
      <c r="D4684" s="9" t="str">
        <f>IFERROR(__xludf.DUMMYFUNCTION("""COMPUTED_VALUE"""),"Completed")</f>
        <v>Completed</v>
      </c>
    </row>
    <row r="4685">
      <c r="A4685" s="9" t="str">
        <f>IFERROR(__xludf.DUMMYFUNCTION("""COMPUTED_VALUE"""),"G-REQ-04684")</f>
        <v>G-REQ-04684</v>
      </c>
      <c r="B4685" s="11">
        <f>IFERROR(__xludf.DUMMYFUNCTION("""COMPUTED_VALUE"""),46094.697217745466)</f>
        <v>46094.69722</v>
      </c>
      <c r="C4685" s="9">
        <f>IFERROR(__xludf.DUMMYFUNCTION("""COMPUTED_VALUE"""),18041.0)</f>
        <v>18041</v>
      </c>
      <c r="D4685" s="9" t="str">
        <f>IFERROR(__xludf.DUMMYFUNCTION("""COMPUTED_VALUE"""),"Completed")</f>
        <v>Completed</v>
      </c>
    </row>
    <row r="4686">
      <c r="A4686" s="9" t="str">
        <f>IFERROR(__xludf.DUMMYFUNCTION("""COMPUTED_VALUE"""),"G-REQ-04685")</f>
        <v>G-REQ-04685</v>
      </c>
      <c r="B4686" s="11">
        <f>IFERROR(__xludf.DUMMYFUNCTION("""COMPUTED_VALUE"""),46094.76839259088)</f>
        <v>46094.76839</v>
      </c>
      <c r="C4686" s="9">
        <f>IFERROR(__xludf.DUMMYFUNCTION("""COMPUTED_VALUE"""),18045.0)</f>
        <v>18045</v>
      </c>
      <c r="D4686" s="9" t="str">
        <f>IFERROR(__xludf.DUMMYFUNCTION("""COMPUTED_VALUE"""),"Completed")</f>
        <v>Completed</v>
      </c>
    </row>
    <row r="4687">
      <c r="A4687" s="9" t="str">
        <f>IFERROR(__xludf.DUMMYFUNCTION("""COMPUTED_VALUE"""),"G-REQ-04686")</f>
        <v>G-REQ-04686</v>
      </c>
      <c r="B4687" s="11">
        <f>IFERROR(__xludf.DUMMYFUNCTION("""COMPUTED_VALUE"""),46094.8395674363)</f>
        <v>46094.83957</v>
      </c>
      <c r="C4687" s="9">
        <f>IFERROR(__xludf.DUMMYFUNCTION("""COMPUTED_VALUE"""),18049.0)</f>
        <v>18049</v>
      </c>
      <c r="D4687" s="9" t="str">
        <f>IFERROR(__xludf.DUMMYFUNCTION("""COMPUTED_VALUE"""),"Completed")</f>
        <v>Completed</v>
      </c>
    </row>
    <row r="4688">
      <c r="A4688" s="9" t="str">
        <f>IFERROR(__xludf.DUMMYFUNCTION("""COMPUTED_VALUE"""),"G-REQ-04687")</f>
        <v>G-REQ-04687</v>
      </c>
      <c r="B4688" s="11">
        <f>IFERROR(__xludf.DUMMYFUNCTION("""COMPUTED_VALUE"""),46094.91074228172)</f>
        <v>46094.91074</v>
      </c>
      <c r="C4688" s="9">
        <f>IFERROR(__xludf.DUMMYFUNCTION("""COMPUTED_VALUE"""),18053.0)</f>
        <v>18053</v>
      </c>
      <c r="D4688" s="9" t="str">
        <f>IFERROR(__xludf.DUMMYFUNCTION("""COMPUTED_VALUE"""),"Completed")</f>
        <v>Completed</v>
      </c>
    </row>
    <row r="4689">
      <c r="A4689" s="9" t="str">
        <f>IFERROR(__xludf.DUMMYFUNCTION("""COMPUTED_VALUE"""),"G-REQ-04688")</f>
        <v>G-REQ-04688</v>
      </c>
      <c r="B4689" s="11">
        <f>IFERROR(__xludf.DUMMYFUNCTION("""COMPUTED_VALUE"""),46094.98191712712)</f>
        <v>46094.98192</v>
      </c>
      <c r="C4689" s="9">
        <f>IFERROR(__xludf.DUMMYFUNCTION("""COMPUTED_VALUE"""),18057.0)</f>
        <v>18057</v>
      </c>
      <c r="D4689" s="9" t="str">
        <f>IFERROR(__xludf.DUMMYFUNCTION("""COMPUTED_VALUE"""),"Completed")</f>
        <v>Completed</v>
      </c>
    </row>
    <row r="4690">
      <c r="A4690" s="9" t="str">
        <f>IFERROR(__xludf.DUMMYFUNCTION("""COMPUTED_VALUE"""),"G-REQ-04689")</f>
        <v>G-REQ-04689</v>
      </c>
      <c r="B4690" s="11">
        <f>IFERROR(__xludf.DUMMYFUNCTION("""COMPUTED_VALUE"""),46095.0461475281)</f>
        <v>46095.04615</v>
      </c>
      <c r="C4690" s="9">
        <f>IFERROR(__xludf.DUMMYFUNCTION("""COMPUTED_VALUE"""),18059.0)</f>
        <v>18059</v>
      </c>
      <c r="D4690" s="9" t="str">
        <f>IFERROR(__xludf.DUMMYFUNCTION("""COMPUTED_VALUE"""),"Rejected")</f>
        <v>Rejected</v>
      </c>
    </row>
    <row r="4691">
      <c r="A4691" s="9" t="str">
        <f>IFERROR(__xludf.DUMMYFUNCTION("""COMPUTED_VALUE"""),"G-REQ-04690")</f>
        <v>G-REQ-04690</v>
      </c>
      <c r="B4691" s="11">
        <f>IFERROR(__xludf.DUMMYFUNCTION("""COMPUTED_VALUE"""),46095.12426681796)</f>
        <v>46095.12427</v>
      </c>
      <c r="C4691" s="9">
        <f>IFERROR(__xludf.DUMMYFUNCTION("""COMPUTED_VALUE"""),18063.0)</f>
        <v>18063</v>
      </c>
      <c r="D4691" s="9" t="str">
        <f>IFERROR(__xludf.DUMMYFUNCTION("""COMPUTED_VALUE"""),"Completed")</f>
        <v>Completed</v>
      </c>
    </row>
    <row r="4692">
      <c r="A4692" s="9" t="str">
        <f>IFERROR(__xludf.DUMMYFUNCTION("""COMPUTED_VALUE"""),"G-REQ-04691")</f>
        <v>G-REQ-04691</v>
      </c>
      <c r="B4692" s="11">
        <f>IFERROR(__xludf.DUMMYFUNCTION("""COMPUTED_VALUE"""),46095.195441663374)</f>
        <v>46095.19544</v>
      </c>
      <c r="C4692" s="9">
        <f>IFERROR(__xludf.DUMMYFUNCTION("""COMPUTED_VALUE"""),18067.0)</f>
        <v>18067</v>
      </c>
      <c r="D4692" s="9" t="str">
        <f>IFERROR(__xludf.DUMMYFUNCTION("""COMPUTED_VALUE"""),"Completed")</f>
        <v>Completed</v>
      </c>
    </row>
    <row r="4693">
      <c r="A4693" s="9" t="str">
        <f>IFERROR(__xludf.DUMMYFUNCTION("""COMPUTED_VALUE"""),"G-REQ-04692")</f>
        <v>G-REQ-04692</v>
      </c>
      <c r="B4693" s="11">
        <f>IFERROR(__xludf.DUMMYFUNCTION("""COMPUTED_VALUE"""),46095.26661650879)</f>
        <v>46095.26662</v>
      </c>
      <c r="C4693" s="9">
        <f>IFERROR(__xludf.DUMMYFUNCTION("""COMPUTED_VALUE"""),18071.0)</f>
        <v>18071</v>
      </c>
      <c r="D4693" s="9" t="str">
        <f>IFERROR(__xludf.DUMMYFUNCTION("""COMPUTED_VALUE"""),"Completed")</f>
        <v>Completed</v>
      </c>
    </row>
    <row r="4694">
      <c r="A4694" s="9" t="str">
        <f>IFERROR(__xludf.DUMMYFUNCTION("""COMPUTED_VALUE"""),"G-REQ-04693")</f>
        <v>G-REQ-04693</v>
      </c>
      <c r="B4694" s="11">
        <f>IFERROR(__xludf.DUMMYFUNCTION("""COMPUTED_VALUE"""),46095.337791354206)</f>
        <v>46095.33779</v>
      </c>
      <c r="C4694" s="9">
        <f>IFERROR(__xludf.DUMMYFUNCTION("""COMPUTED_VALUE"""),18075.0)</f>
        <v>18075</v>
      </c>
      <c r="D4694" s="9" t="str">
        <f>IFERROR(__xludf.DUMMYFUNCTION("""COMPUTED_VALUE"""),"Completed")</f>
        <v>Completed</v>
      </c>
    </row>
    <row r="4695">
      <c r="A4695" s="9" t="str">
        <f>IFERROR(__xludf.DUMMYFUNCTION("""COMPUTED_VALUE"""),"G-REQ-04694")</f>
        <v>G-REQ-04694</v>
      </c>
      <c r="B4695" s="11">
        <f>IFERROR(__xludf.DUMMYFUNCTION("""COMPUTED_VALUE"""),46095.40896619962)</f>
        <v>46095.40897</v>
      </c>
      <c r="C4695" s="9">
        <f>IFERROR(__xludf.DUMMYFUNCTION("""COMPUTED_VALUE"""),18079.0)</f>
        <v>18079</v>
      </c>
      <c r="D4695" s="9" t="str">
        <f>IFERROR(__xludf.DUMMYFUNCTION("""COMPUTED_VALUE"""),"Completed")</f>
        <v>Completed</v>
      </c>
    </row>
    <row r="4696">
      <c r="A4696" s="9" t="str">
        <f>IFERROR(__xludf.DUMMYFUNCTION("""COMPUTED_VALUE"""),"G-REQ-04695")</f>
        <v>G-REQ-04695</v>
      </c>
      <c r="B4696" s="11">
        <f>IFERROR(__xludf.DUMMYFUNCTION("""COMPUTED_VALUE"""),46095.48014104503)</f>
        <v>46095.48014</v>
      </c>
      <c r="C4696" s="9">
        <f>IFERROR(__xludf.DUMMYFUNCTION("""COMPUTED_VALUE"""),18083.0)</f>
        <v>18083</v>
      </c>
      <c r="D4696" s="9" t="str">
        <f>IFERROR(__xludf.DUMMYFUNCTION("""COMPUTED_VALUE"""),"Completed")</f>
        <v>Completed</v>
      </c>
    </row>
    <row r="4697">
      <c r="A4697" s="9" t="str">
        <f>IFERROR(__xludf.DUMMYFUNCTION("""COMPUTED_VALUE"""),"G-REQ-04696")</f>
        <v>G-REQ-04696</v>
      </c>
      <c r="B4697" s="11">
        <f>IFERROR(__xludf.DUMMYFUNCTION("""COMPUTED_VALUE"""),46095.55131589045)</f>
        <v>46095.55132</v>
      </c>
      <c r="C4697" s="9">
        <f>IFERROR(__xludf.DUMMYFUNCTION("""COMPUTED_VALUE"""),18087.0)</f>
        <v>18087</v>
      </c>
      <c r="D4697" s="9" t="str">
        <f>IFERROR(__xludf.DUMMYFUNCTION("""COMPUTED_VALUE"""),"Completed")</f>
        <v>Completed</v>
      </c>
    </row>
    <row r="4698">
      <c r="A4698" s="9" t="str">
        <f>IFERROR(__xludf.DUMMYFUNCTION("""COMPUTED_VALUE"""),"G-REQ-04697")</f>
        <v>G-REQ-04697</v>
      </c>
      <c r="B4698" s="11">
        <f>IFERROR(__xludf.DUMMYFUNCTION("""COMPUTED_VALUE"""),46095.62249073586)</f>
        <v>46095.62249</v>
      </c>
      <c r="C4698" s="9">
        <f>IFERROR(__xludf.DUMMYFUNCTION("""COMPUTED_VALUE"""),18091.0)</f>
        <v>18091</v>
      </c>
      <c r="D4698" s="9" t="str">
        <f>IFERROR(__xludf.DUMMYFUNCTION("""COMPUTED_VALUE"""),"Completed")</f>
        <v>Completed</v>
      </c>
    </row>
    <row r="4699">
      <c r="A4699" s="9" t="str">
        <f>IFERROR(__xludf.DUMMYFUNCTION("""COMPUTED_VALUE"""),"G-REQ-04698")</f>
        <v>G-REQ-04698</v>
      </c>
      <c r="B4699" s="11">
        <f>IFERROR(__xludf.DUMMYFUNCTION("""COMPUTED_VALUE"""),46095.693665581275)</f>
        <v>46095.69367</v>
      </c>
      <c r="C4699" s="9">
        <f>IFERROR(__xludf.DUMMYFUNCTION("""COMPUTED_VALUE"""),18095.0)</f>
        <v>18095</v>
      </c>
      <c r="D4699" s="9" t="str">
        <f>IFERROR(__xludf.DUMMYFUNCTION("""COMPUTED_VALUE"""),"Completed")</f>
        <v>Completed</v>
      </c>
    </row>
    <row r="4700">
      <c r="A4700" s="9" t="str">
        <f>IFERROR(__xludf.DUMMYFUNCTION("""COMPUTED_VALUE"""),"G-REQ-04699")</f>
        <v>G-REQ-04699</v>
      </c>
      <c r="B4700" s="11">
        <f>IFERROR(__xludf.DUMMYFUNCTION("""COMPUTED_VALUE"""),46095.764840426695)</f>
        <v>46095.76484</v>
      </c>
      <c r="C4700" s="9">
        <f>IFERROR(__xludf.DUMMYFUNCTION("""COMPUTED_VALUE"""),18099.0)</f>
        <v>18099</v>
      </c>
      <c r="D4700" s="9" t="str">
        <f>IFERROR(__xludf.DUMMYFUNCTION("""COMPUTED_VALUE"""),"Completed")</f>
        <v>Completed</v>
      </c>
    </row>
    <row r="4701">
      <c r="A4701" s="9" t="str">
        <f>IFERROR(__xludf.DUMMYFUNCTION("""COMPUTED_VALUE"""),"G-REQ-04700")</f>
        <v>G-REQ-04700</v>
      </c>
      <c r="B4701" s="11">
        <f>IFERROR(__xludf.DUMMYFUNCTION("""COMPUTED_VALUE"""),46095.83601527211)</f>
        <v>46095.83602</v>
      </c>
      <c r="C4701" s="9">
        <f>IFERROR(__xludf.DUMMYFUNCTION("""COMPUTED_VALUE"""),18103.0)</f>
        <v>18103</v>
      </c>
      <c r="D4701" s="9" t="str">
        <f>IFERROR(__xludf.DUMMYFUNCTION("""COMPUTED_VALUE"""),"Completed")</f>
        <v>Completed</v>
      </c>
    </row>
    <row r="4702">
      <c r="A4702" s="9" t="str">
        <f>IFERROR(__xludf.DUMMYFUNCTION("""COMPUTED_VALUE"""),"G-REQ-04701")</f>
        <v>G-REQ-04701</v>
      </c>
      <c r="B4702" s="11">
        <f>IFERROR(__xludf.DUMMYFUNCTION("""COMPUTED_VALUE"""),46095.90719011752)</f>
        <v>46095.90719</v>
      </c>
      <c r="C4702" s="9">
        <f>IFERROR(__xludf.DUMMYFUNCTION("""COMPUTED_VALUE"""),18107.0)</f>
        <v>18107</v>
      </c>
      <c r="D4702" s="9" t="str">
        <f>IFERROR(__xludf.DUMMYFUNCTION("""COMPUTED_VALUE"""),"Completed")</f>
        <v>Completed</v>
      </c>
    </row>
    <row r="4703">
      <c r="A4703" s="9" t="str">
        <f>IFERROR(__xludf.DUMMYFUNCTION("""COMPUTED_VALUE"""),"G-REQ-04702")</f>
        <v>G-REQ-04702</v>
      </c>
      <c r="B4703" s="11">
        <f>IFERROR(__xludf.DUMMYFUNCTION("""COMPUTED_VALUE"""),46095.97836496294)</f>
        <v>46095.97836</v>
      </c>
      <c r="C4703" s="9">
        <f>IFERROR(__xludf.DUMMYFUNCTION("""COMPUTED_VALUE"""),18111.0)</f>
        <v>18111</v>
      </c>
      <c r="D4703" s="9" t="str">
        <f>IFERROR(__xludf.DUMMYFUNCTION("""COMPUTED_VALUE"""),"Completed")</f>
        <v>Completed</v>
      </c>
    </row>
    <row r="4704">
      <c r="A4704" s="9" t="str">
        <f>IFERROR(__xludf.DUMMYFUNCTION("""COMPUTED_VALUE"""),"G-REQ-04703")</f>
        <v>G-REQ-04703</v>
      </c>
      <c r="B4704" s="11">
        <f>IFERROR(__xludf.DUMMYFUNCTION("""COMPUTED_VALUE"""),46096.04953980836)</f>
        <v>46096.04954</v>
      </c>
      <c r="C4704" s="9">
        <f>IFERROR(__xludf.DUMMYFUNCTION("""COMPUTED_VALUE"""),18115.0)</f>
        <v>18115</v>
      </c>
      <c r="D4704" s="9" t="str">
        <f>IFERROR(__xludf.DUMMYFUNCTION("""COMPUTED_VALUE"""),"Completed")</f>
        <v>Completed</v>
      </c>
    </row>
    <row r="4705">
      <c r="A4705" s="9" t="str">
        <f>IFERROR(__xludf.DUMMYFUNCTION("""COMPUTED_VALUE"""),"G-REQ-04704")</f>
        <v>G-REQ-04704</v>
      </c>
      <c r="B4705" s="11">
        <f>IFERROR(__xludf.DUMMYFUNCTION("""COMPUTED_VALUE"""),46096.12071465376)</f>
        <v>46096.12071</v>
      </c>
      <c r="C4705" s="9">
        <f>IFERROR(__xludf.DUMMYFUNCTION("""COMPUTED_VALUE"""),18119.0)</f>
        <v>18119</v>
      </c>
      <c r="D4705" s="9" t="str">
        <f>IFERROR(__xludf.DUMMYFUNCTION("""COMPUTED_VALUE"""),"Completed")</f>
        <v>Completed</v>
      </c>
    </row>
    <row r="4706">
      <c r="A4706" s="9" t="str">
        <f>IFERROR(__xludf.DUMMYFUNCTION("""COMPUTED_VALUE"""),"G-REQ-04705")</f>
        <v>G-REQ-04705</v>
      </c>
      <c r="B4706" s="11">
        <f>IFERROR(__xludf.DUMMYFUNCTION("""COMPUTED_VALUE"""),46096.19188949918)</f>
        <v>46096.19189</v>
      </c>
      <c r="C4706" s="9">
        <f>IFERROR(__xludf.DUMMYFUNCTION("""COMPUTED_VALUE"""),18123.0)</f>
        <v>18123</v>
      </c>
      <c r="D4706" s="9" t="str">
        <f>IFERROR(__xludf.DUMMYFUNCTION("""COMPUTED_VALUE"""),"Completed")</f>
        <v>Completed</v>
      </c>
    </row>
    <row r="4707">
      <c r="A4707" s="9" t="str">
        <f>IFERROR(__xludf.DUMMYFUNCTION("""COMPUTED_VALUE"""),"G-REQ-04706")</f>
        <v>G-REQ-04706</v>
      </c>
      <c r="B4707" s="11">
        <f>IFERROR(__xludf.DUMMYFUNCTION("""COMPUTED_VALUE"""),46096.2630643446)</f>
        <v>46096.26306</v>
      </c>
      <c r="C4707" s="9">
        <f>IFERROR(__xludf.DUMMYFUNCTION("""COMPUTED_VALUE"""),18127.0)</f>
        <v>18127</v>
      </c>
      <c r="D4707" s="9" t="str">
        <f>IFERROR(__xludf.DUMMYFUNCTION("""COMPUTED_VALUE"""),"Completed")</f>
        <v>Completed</v>
      </c>
    </row>
    <row r="4708">
      <c r="A4708" s="9" t="str">
        <f>IFERROR(__xludf.DUMMYFUNCTION("""COMPUTED_VALUE"""),"G-REQ-04707")</f>
        <v>G-REQ-04707</v>
      </c>
      <c r="B4708" s="11">
        <f>IFERROR(__xludf.DUMMYFUNCTION("""COMPUTED_VALUE"""),46096.334239190015)</f>
        <v>46096.33424</v>
      </c>
      <c r="C4708" s="9">
        <f>IFERROR(__xludf.DUMMYFUNCTION("""COMPUTED_VALUE"""),18131.0)</f>
        <v>18131</v>
      </c>
      <c r="D4708" s="9" t="str">
        <f>IFERROR(__xludf.DUMMYFUNCTION("""COMPUTED_VALUE"""),"Completed")</f>
        <v>Completed</v>
      </c>
    </row>
    <row r="4709">
      <c r="A4709" s="9" t="str">
        <f>IFERROR(__xludf.DUMMYFUNCTION("""COMPUTED_VALUE"""),"G-REQ-04708")</f>
        <v>G-REQ-04708</v>
      </c>
      <c r="B4709" s="11">
        <f>IFERROR(__xludf.DUMMYFUNCTION("""COMPUTED_VALUE"""),46096.40541403543)</f>
        <v>46096.40541</v>
      </c>
      <c r="C4709" s="9">
        <f>IFERROR(__xludf.DUMMYFUNCTION("""COMPUTED_VALUE"""),18135.0)</f>
        <v>18135</v>
      </c>
      <c r="D4709" s="9" t="str">
        <f>IFERROR(__xludf.DUMMYFUNCTION("""COMPUTED_VALUE"""),"Completed")</f>
        <v>Completed</v>
      </c>
    </row>
    <row r="4710">
      <c r="A4710" s="9" t="str">
        <f>IFERROR(__xludf.DUMMYFUNCTION("""COMPUTED_VALUE"""),"G-REQ-04709")</f>
        <v>G-REQ-04709</v>
      </c>
      <c r="B4710" s="11">
        <f>IFERROR(__xludf.DUMMYFUNCTION("""COMPUTED_VALUE"""),46096.47658888085)</f>
        <v>46096.47659</v>
      </c>
      <c r="C4710" s="9">
        <f>IFERROR(__xludf.DUMMYFUNCTION("""COMPUTED_VALUE"""),18139.0)</f>
        <v>18139</v>
      </c>
      <c r="D4710" s="9" t="str">
        <f>IFERROR(__xludf.DUMMYFUNCTION("""COMPUTED_VALUE"""),"Completed")</f>
        <v>Completed</v>
      </c>
    </row>
    <row r="4711">
      <c r="A4711" s="9" t="str">
        <f>IFERROR(__xludf.DUMMYFUNCTION("""COMPUTED_VALUE"""),"G-REQ-04710")</f>
        <v>G-REQ-04710</v>
      </c>
      <c r="B4711" s="11">
        <f>IFERROR(__xludf.DUMMYFUNCTION("""COMPUTED_VALUE"""),46096.54776372626)</f>
        <v>46096.54776</v>
      </c>
      <c r="C4711" s="9">
        <f>IFERROR(__xludf.DUMMYFUNCTION("""COMPUTED_VALUE"""),18143.0)</f>
        <v>18143</v>
      </c>
      <c r="D4711" s="9" t="str">
        <f>IFERROR(__xludf.DUMMYFUNCTION("""COMPUTED_VALUE"""),"Completed")</f>
        <v>Completed</v>
      </c>
    </row>
    <row r="4712">
      <c r="A4712" s="9" t="str">
        <f>IFERROR(__xludf.DUMMYFUNCTION("""COMPUTED_VALUE"""),"G-REQ-04711")</f>
        <v>G-REQ-04711</v>
      </c>
      <c r="B4712" s="11">
        <f>IFERROR(__xludf.DUMMYFUNCTION("""COMPUTED_VALUE"""),46096.61893857167)</f>
        <v>46096.61894</v>
      </c>
      <c r="C4712" s="9">
        <f>IFERROR(__xludf.DUMMYFUNCTION("""COMPUTED_VALUE"""),18147.0)</f>
        <v>18147</v>
      </c>
      <c r="D4712" s="9" t="str">
        <f>IFERROR(__xludf.DUMMYFUNCTION("""COMPUTED_VALUE"""),"Completed")</f>
        <v>Completed</v>
      </c>
    </row>
    <row r="4713">
      <c r="A4713" s="9" t="str">
        <f>IFERROR(__xludf.DUMMYFUNCTION("""COMPUTED_VALUE"""),"G-REQ-04712")</f>
        <v>G-REQ-04712</v>
      </c>
      <c r="B4713" s="11">
        <f>IFERROR(__xludf.DUMMYFUNCTION("""COMPUTED_VALUE"""),46096.683168972646)</f>
        <v>46096.68317</v>
      </c>
      <c r="C4713" s="9">
        <f>IFERROR(__xludf.DUMMYFUNCTION("""COMPUTED_VALUE"""),18149.0)</f>
        <v>18149</v>
      </c>
      <c r="D4713" s="9" t="str">
        <f>IFERROR(__xludf.DUMMYFUNCTION("""COMPUTED_VALUE"""),"Rejected")</f>
        <v>Rejected</v>
      </c>
    </row>
    <row r="4714">
      <c r="A4714" s="9" t="str">
        <f>IFERROR(__xludf.DUMMYFUNCTION("""COMPUTED_VALUE"""),"G-REQ-04713")</f>
        <v>G-REQ-04713</v>
      </c>
      <c r="B4714" s="11">
        <f>IFERROR(__xludf.DUMMYFUNCTION("""COMPUTED_VALUE"""),46096.7612882625)</f>
        <v>46096.76129</v>
      </c>
      <c r="C4714" s="9">
        <f>IFERROR(__xludf.DUMMYFUNCTION("""COMPUTED_VALUE"""),18153.0)</f>
        <v>18153</v>
      </c>
      <c r="D4714" s="9" t="str">
        <f>IFERROR(__xludf.DUMMYFUNCTION("""COMPUTED_VALUE"""),"Completed")</f>
        <v>Completed</v>
      </c>
    </row>
    <row r="4715">
      <c r="A4715" s="9" t="str">
        <f>IFERROR(__xludf.DUMMYFUNCTION("""COMPUTED_VALUE"""),"G-REQ-04714")</f>
        <v>G-REQ-04714</v>
      </c>
      <c r="B4715" s="11">
        <f>IFERROR(__xludf.DUMMYFUNCTION("""COMPUTED_VALUE"""),46096.832463107916)</f>
        <v>46096.83246</v>
      </c>
      <c r="C4715" s="9">
        <f>IFERROR(__xludf.DUMMYFUNCTION("""COMPUTED_VALUE"""),18157.0)</f>
        <v>18157</v>
      </c>
      <c r="D4715" s="9" t="str">
        <f>IFERROR(__xludf.DUMMYFUNCTION("""COMPUTED_VALUE"""),"Completed")</f>
        <v>Completed</v>
      </c>
    </row>
    <row r="4716">
      <c r="A4716" s="9" t="str">
        <f>IFERROR(__xludf.DUMMYFUNCTION("""COMPUTED_VALUE"""),"G-REQ-04715")</f>
        <v>G-REQ-04715</v>
      </c>
      <c r="B4716" s="11">
        <f>IFERROR(__xludf.DUMMYFUNCTION("""COMPUTED_VALUE"""),46096.903637953335)</f>
        <v>46096.90364</v>
      </c>
      <c r="C4716" s="9">
        <f>IFERROR(__xludf.DUMMYFUNCTION("""COMPUTED_VALUE"""),18161.0)</f>
        <v>18161</v>
      </c>
      <c r="D4716" s="9" t="str">
        <f>IFERROR(__xludf.DUMMYFUNCTION("""COMPUTED_VALUE"""),"Completed")</f>
        <v>Completed</v>
      </c>
    </row>
    <row r="4717">
      <c r="A4717" s="9" t="str">
        <f>IFERROR(__xludf.DUMMYFUNCTION("""COMPUTED_VALUE"""),"G-REQ-04716")</f>
        <v>G-REQ-04716</v>
      </c>
      <c r="B4717" s="11">
        <f>IFERROR(__xludf.DUMMYFUNCTION("""COMPUTED_VALUE"""),46096.974812798755)</f>
        <v>46096.97481</v>
      </c>
      <c r="C4717" s="9">
        <f>IFERROR(__xludf.DUMMYFUNCTION("""COMPUTED_VALUE"""),18165.0)</f>
        <v>18165</v>
      </c>
      <c r="D4717" s="9" t="str">
        <f>IFERROR(__xludf.DUMMYFUNCTION("""COMPUTED_VALUE"""),"Completed")</f>
        <v>Completed</v>
      </c>
    </row>
    <row r="4718">
      <c r="A4718" s="9" t="str">
        <f>IFERROR(__xludf.DUMMYFUNCTION("""COMPUTED_VALUE"""),"G-REQ-04717")</f>
        <v>G-REQ-04717</v>
      </c>
      <c r="B4718" s="11">
        <f>IFERROR(__xludf.DUMMYFUNCTION("""COMPUTED_VALUE"""),46097.04598764416)</f>
        <v>46097.04599</v>
      </c>
      <c r="C4718" s="9">
        <f>IFERROR(__xludf.DUMMYFUNCTION("""COMPUTED_VALUE"""),18169.0)</f>
        <v>18169</v>
      </c>
      <c r="D4718" s="9" t="str">
        <f>IFERROR(__xludf.DUMMYFUNCTION("""COMPUTED_VALUE"""),"Completed")</f>
        <v>Completed</v>
      </c>
    </row>
    <row r="4719">
      <c r="A4719" s="9" t="str">
        <f>IFERROR(__xludf.DUMMYFUNCTION("""COMPUTED_VALUE"""),"G-REQ-04718")</f>
        <v>G-REQ-04718</v>
      </c>
      <c r="B4719" s="11">
        <f>IFERROR(__xludf.DUMMYFUNCTION("""COMPUTED_VALUE"""),46097.11716248958)</f>
        <v>46097.11716</v>
      </c>
      <c r="C4719" s="9">
        <f>IFERROR(__xludf.DUMMYFUNCTION("""COMPUTED_VALUE"""),18173.0)</f>
        <v>18173</v>
      </c>
      <c r="D4719" s="9" t="str">
        <f>IFERROR(__xludf.DUMMYFUNCTION("""COMPUTED_VALUE"""),"Completed")</f>
        <v>Completed</v>
      </c>
    </row>
    <row r="4720">
      <c r="A4720" s="9" t="str">
        <f>IFERROR(__xludf.DUMMYFUNCTION("""COMPUTED_VALUE"""),"G-REQ-04719")</f>
        <v>G-REQ-04719</v>
      </c>
      <c r="B4720" s="11">
        <f>IFERROR(__xludf.DUMMYFUNCTION("""COMPUTED_VALUE"""),46097.188337335)</f>
        <v>46097.18834</v>
      </c>
      <c r="C4720" s="9">
        <f>IFERROR(__xludf.DUMMYFUNCTION("""COMPUTED_VALUE"""),18177.0)</f>
        <v>18177</v>
      </c>
      <c r="D4720" s="9" t="str">
        <f>IFERROR(__xludf.DUMMYFUNCTION("""COMPUTED_VALUE"""),"Completed")</f>
        <v>Completed</v>
      </c>
    </row>
    <row r="4721">
      <c r="A4721" s="9" t="str">
        <f>IFERROR(__xludf.DUMMYFUNCTION("""COMPUTED_VALUE"""),"G-REQ-04720")</f>
        <v>G-REQ-04720</v>
      </c>
      <c r="B4721" s="11">
        <f>IFERROR(__xludf.DUMMYFUNCTION("""COMPUTED_VALUE"""),46097.25951218041)</f>
        <v>46097.25951</v>
      </c>
      <c r="C4721" s="9">
        <f>IFERROR(__xludf.DUMMYFUNCTION("""COMPUTED_VALUE"""),18181.0)</f>
        <v>18181</v>
      </c>
      <c r="D4721" s="9" t="str">
        <f>IFERROR(__xludf.DUMMYFUNCTION("""COMPUTED_VALUE"""),"Completed")</f>
        <v>Completed</v>
      </c>
    </row>
    <row r="4722">
      <c r="A4722" s="9" t="str">
        <f>IFERROR(__xludf.DUMMYFUNCTION("""COMPUTED_VALUE"""),"G-REQ-04721")</f>
        <v>G-REQ-04721</v>
      </c>
      <c r="B4722" s="11">
        <f>IFERROR(__xludf.DUMMYFUNCTION("""COMPUTED_VALUE"""),46097.330687025824)</f>
        <v>46097.33069</v>
      </c>
      <c r="C4722" s="9">
        <f>IFERROR(__xludf.DUMMYFUNCTION("""COMPUTED_VALUE"""),18185.0)</f>
        <v>18185</v>
      </c>
      <c r="D4722" s="9" t="str">
        <f>IFERROR(__xludf.DUMMYFUNCTION("""COMPUTED_VALUE"""),"Completed")</f>
        <v>Completed</v>
      </c>
    </row>
    <row r="4723">
      <c r="A4723" s="9" t="str">
        <f>IFERROR(__xludf.DUMMYFUNCTION("""COMPUTED_VALUE"""),"G-REQ-04722")</f>
        <v>G-REQ-04722</v>
      </c>
      <c r="B4723" s="11">
        <f>IFERROR(__xludf.DUMMYFUNCTION("""COMPUTED_VALUE"""),46097.40186187124)</f>
        <v>46097.40186</v>
      </c>
      <c r="C4723" s="9">
        <f>IFERROR(__xludf.DUMMYFUNCTION("""COMPUTED_VALUE"""),18189.0)</f>
        <v>18189</v>
      </c>
      <c r="D4723" s="9" t="str">
        <f>IFERROR(__xludf.DUMMYFUNCTION("""COMPUTED_VALUE"""),"Completed")</f>
        <v>Completed</v>
      </c>
    </row>
    <row r="4724">
      <c r="A4724" s="9" t="str">
        <f>IFERROR(__xludf.DUMMYFUNCTION("""COMPUTED_VALUE"""),"G-REQ-04723")</f>
        <v>G-REQ-04723</v>
      </c>
      <c r="B4724" s="11">
        <f>IFERROR(__xludf.DUMMYFUNCTION("""COMPUTED_VALUE"""),46097.46609227221)</f>
        <v>46097.46609</v>
      </c>
      <c r="C4724" s="9">
        <f>IFERROR(__xludf.DUMMYFUNCTION("""COMPUTED_VALUE"""),18191.0)</f>
        <v>18191</v>
      </c>
      <c r="D4724" s="9" t="str">
        <f>IFERROR(__xludf.DUMMYFUNCTION("""COMPUTED_VALUE"""),"Rejected")</f>
        <v>Rejected</v>
      </c>
    </row>
    <row r="4725">
      <c r="A4725" s="9" t="str">
        <f>IFERROR(__xludf.DUMMYFUNCTION("""COMPUTED_VALUE"""),"G-REQ-04724")</f>
        <v>G-REQ-04724</v>
      </c>
      <c r="B4725" s="11">
        <f>IFERROR(__xludf.DUMMYFUNCTION("""COMPUTED_VALUE"""),46097.54421156207)</f>
        <v>46097.54421</v>
      </c>
      <c r="C4725" s="9">
        <f>IFERROR(__xludf.DUMMYFUNCTION("""COMPUTED_VALUE"""),18195.0)</f>
        <v>18195</v>
      </c>
      <c r="D4725" s="9" t="str">
        <f>IFERROR(__xludf.DUMMYFUNCTION("""COMPUTED_VALUE"""),"Completed")</f>
        <v>Completed</v>
      </c>
    </row>
    <row r="4726">
      <c r="A4726" s="9" t="str">
        <f>IFERROR(__xludf.DUMMYFUNCTION("""COMPUTED_VALUE"""),"G-REQ-04725")</f>
        <v>G-REQ-04725</v>
      </c>
      <c r="B4726" s="11">
        <f>IFERROR(__xludf.DUMMYFUNCTION("""COMPUTED_VALUE"""),46097.61538640749)</f>
        <v>46097.61539</v>
      </c>
      <c r="C4726" s="9">
        <f>IFERROR(__xludf.DUMMYFUNCTION("""COMPUTED_VALUE"""),18199.0)</f>
        <v>18199</v>
      </c>
      <c r="D4726" s="9" t="str">
        <f>IFERROR(__xludf.DUMMYFUNCTION("""COMPUTED_VALUE"""),"Completed")</f>
        <v>Completed</v>
      </c>
    </row>
    <row r="4727">
      <c r="A4727" s="9" t="str">
        <f>IFERROR(__xludf.DUMMYFUNCTION("""COMPUTED_VALUE"""),"G-REQ-04726")</f>
        <v>G-REQ-04726</v>
      </c>
      <c r="B4727" s="11">
        <f>IFERROR(__xludf.DUMMYFUNCTION("""COMPUTED_VALUE"""),46097.6865612529)</f>
        <v>46097.68656</v>
      </c>
      <c r="C4727" s="9">
        <f>IFERROR(__xludf.DUMMYFUNCTION("""COMPUTED_VALUE"""),18203.0)</f>
        <v>18203</v>
      </c>
      <c r="D4727" s="9" t="str">
        <f>IFERROR(__xludf.DUMMYFUNCTION("""COMPUTED_VALUE"""),"Completed")</f>
        <v>Completed</v>
      </c>
    </row>
    <row r="4728">
      <c r="A4728" s="9" t="str">
        <f>IFERROR(__xludf.DUMMYFUNCTION("""COMPUTED_VALUE"""),"G-REQ-04727")</f>
        <v>G-REQ-04727</v>
      </c>
      <c r="B4728" s="11">
        <f>IFERROR(__xludf.DUMMYFUNCTION("""COMPUTED_VALUE"""),46097.75773609831)</f>
        <v>46097.75774</v>
      </c>
      <c r="C4728" s="9">
        <f>IFERROR(__xludf.DUMMYFUNCTION("""COMPUTED_VALUE"""),18207.0)</f>
        <v>18207</v>
      </c>
      <c r="D4728" s="9" t="str">
        <f>IFERROR(__xludf.DUMMYFUNCTION("""COMPUTED_VALUE"""),"Completed")</f>
        <v>Completed</v>
      </c>
    </row>
    <row r="4729">
      <c r="A4729" s="9" t="str">
        <f>IFERROR(__xludf.DUMMYFUNCTION("""COMPUTED_VALUE"""),"G-REQ-04728")</f>
        <v>G-REQ-04728</v>
      </c>
      <c r="B4729" s="11">
        <f>IFERROR(__xludf.DUMMYFUNCTION("""COMPUTED_VALUE"""),46097.82891094373)</f>
        <v>46097.82891</v>
      </c>
      <c r="C4729" s="9">
        <f>IFERROR(__xludf.DUMMYFUNCTION("""COMPUTED_VALUE"""),18211.0)</f>
        <v>18211</v>
      </c>
      <c r="D4729" s="9" t="str">
        <f>IFERROR(__xludf.DUMMYFUNCTION("""COMPUTED_VALUE"""),"Completed")</f>
        <v>Completed</v>
      </c>
    </row>
    <row r="4730">
      <c r="A4730" s="9" t="str">
        <f>IFERROR(__xludf.DUMMYFUNCTION("""COMPUTED_VALUE"""),"G-REQ-04729")</f>
        <v>G-REQ-04729</v>
      </c>
      <c r="B4730" s="11">
        <f>IFERROR(__xludf.DUMMYFUNCTION("""COMPUTED_VALUE"""),46097.900085789144)</f>
        <v>46097.90009</v>
      </c>
      <c r="C4730" s="9">
        <f>IFERROR(__xludf.DUMMYFUNCTION("""COMPUTED_VALUE"""),18215.0)</f>
        <v>18215</v>
      </c>
      <c r="D4730" s="9" t="str">
        <f>IFERROR(__xludf.DUMMYFUNCTION("""COMPUTED_VALUE"""),"Completed")</f>
        <v>Completed</v>
      </c>
    </row>
    <row r="4731">
      <c r="A4731" s="9" t="str">
        <f>IFERROR(__xludf.DUMMYFUNCTION("""COMPUTED_VALUE"""),"G-REQ-04730")</f>
        <v>G-REQ-04730</v>
      </c>
      <c r="B4731" s="11">
        <f>IFERROR(__xludf.DUMMYFUNCTION("""COMPUTED_VALUE"""),46097.97126063456)</f>
        <v>46097.97126</v>
      </c>
      <c r="C4731" s="9">
        <f>IFERROR(__xludf.DUMMYFUNCTION("""COMPUTED_VALUE"""),18219.0)</f>
        <v>18219</v>
      </c>
      <c r="D4731" s="9" t="str">
        <f>IFERROR(__xludf.DUMMYFUNCTION("""COMPUTED_VALUE"""),"Completed")</f>
        <v>Completed</v>
      </c>
    </row>
    <row r="4732">
      <c r="A4732" s="9" t="str">
        <f>IFERROR(__xludf.DUMMYFUNCTION("""COMPUTED_VALUE"""),"G-REQ-04731")</f>
        <v>G-REQ-04731</v>
      </c>
      <c r="B4732" s="11">
        <f>IFERROR(__xludf.DUMMYFUNCTION("""COMPUTED_VALUE"""),46098.042435479976)</f>
        <v>46098.04244</v>
      </c>
      <c r="C4732" s="9">
        <f>IFERROR(__xludf.DUMMYFUNCTION("""COMPUTED_VALUE"""),18223.0)</f>
        <v>18223</v>
      </c>
      <c r="D4732" s="9" t="str">
        <f>IFERROR(__xludf.DUMMYFUNCTION("""COMPUTED_VALUE"""),"Completed")</f>
        <v>Completed</v>
      </c>
    </row>
    <row r="4733">
      <c r="A4733" s="9" t="str">
        <f>IFERROR(__xludf.DUMMYFUNCTION("""COMPUTED_VALUE"""),"G-REQ-04732")</f>
        <v>G-REQ-04732</v>
      </c>
      <c r="B4733" s="11">
        <f>IFERROR(__xludf.DUMMYFUNCTION("""COMPUTED_VALUE"""),46098.113610325396)</f>
        <v>46098.11361</v>
      </c>
      <c r="C4733" s="9">
        <f>IFERROR(__xludf.DUMMYFUNCTION("""COMPUTED_VALUE"""),18227.0)</f>
        <v>18227</v>
      </c>
      <c r="D4733" s="9" t="str">
        <f>IFERROR(__xludf.DUMMYFUNCTION("""COMPUTED_VALUE"""),"Completed")</f>
        <v>Completed</v>
      </c>
    </row>
    <row r="4734">
      <c r="A4734" s="9" t="str">
        <f>IFERROR(__xludf.DUMMYFUNCTION("""COMPUTED_VALUE"""),"G-REQ-04733")</f>
        <v>G-REQ-04733</v>
      </c>
      <c r="B4734" s="11">
        <f>IFERROR(__xludf.DUMMYFUNCTION("""COMPUTED_VALUE"""),46098.1847851708)</f>
        <v>46098.18479</v>
      </c>
      <c r="C4734" s="9">
        <f>IFERROR(__xludf.DUMMYFUNCTION("""COMPUTED_VALUE"""),18231.0)</f>
        <v>18231</v>
      </c>
      <c r="D4734" s="9" t="str">
        <f>IFERROR(__xludf.DUMMYFUNCTION("""COMPUTED_VALUE"""),"Completed")</f>
        <v>Completed</v>
      </c>
    </row>
    <row r="4735">
      <c r="A4735" s="9" t="str">
        <f>IFERROR(__xludf.DUMMYFUNCTION("""COMPUTED_VALUE"""),"G-REQ-04734")</f>
        <v>G-REQ-04734</v>
      </c>
      <c r="B4735" s="11">
        <f>IFERROR(__xludf.DUMMYFUNCTION("""COMPUTED_VALUE"""),46098.25596001622)</f>
        <v>46098.25596</v>
      </c>
      <c r="C4735" s="9">
        <f>IFERROR(__xludf.DUMMYFUNCTION("""COMPUTED_VALUE"""),18235.0)</f>
        <v>18235</v>
      </c>
      <c r="D4735" s="9" t="str">
        <f>IFERROR(__xludf.DUMMYFUNCTION("""COMPUTED_VALUE"""),"Completed")</f>
        <v>Completed</v>
      </c>
    </row>
    <row r="4736">
      <c r="A4736" s="9" t="str">
        <f>IFERROR(__xludf.DUMMYFUNCTION("""COMPUTED_VALUE"""),"G-REQ-04735")</f>
        <v>G-REQ-04735</v>
      </c>
      <c r="B4736" s="11">
        <f>IFERROR(__xludf.DUMMYFUNCTION("""COMPUTED_VALUE"""),46098.32713486164)</f>
        <v>46098.32713</v>
      </c>
      <c r="C4736" s="9">
        <f>IFERROR(__xludf.DUMMYFUNCTION("""COMPUTED_VALUE"""),18239.0)</f>
        <v>18239</v>
      </c>
      <c r="D4736" s="9" t="str">
        <f>IFERROR(__xludf.DUMMYFUNCTION("""COMPUTED_VALUE"""),"Completed")</f>
        <v>Completed</v>
      </c>
    </row>
    <row r="4737">
      <c r="A4737" s="9" t="str">
        <f>IFERROR(__xludf.DUMMYFUNCTION("""COMPUTED_VALUE"""),"G-REQ-04736")</f>
        <v>G-REQ-04736</v>
      </c>
      <c r="B4737" s="11">
        <f>IFERROR(__xludf.DUMMYFUNCTION("""COMPUTED_VALUE"""),46098.39830970705)</f>
        <v>46098.39831</v>
      </c>
      <c r="C4737" s="9">
        <f>IFERROR(__xludf.DUMMYFUNCTION("""COMPUTED_VALUE"""),18243.0)</f>
        <v>18243</v>
      </c>
      <c r="D4737" s="9" t="str">
        <f>IFERROR(__xludf.DUMMYFUNCTION("""COMPUTED_VALUE"""),"Completed")</f>
        <v>Completed</v>
      </c>
    </row>
    <row r="4738">
      <c r="A4738" s="9" t="str">
        <f>IFERROR(__xludf.DUMMYFUNCTION("""COMPUTED_VALUE"""),"G-REQ-04737")</f>
        <v>G-REQ-04737</v>
      </c>
      <c r="B4738" s="11">
        <f>IFERROR(__xludf.DUMMYFUNCTION("""COMPUTED_VALUE"""),46098.469484552465)</f>
        <v>46098.46948</v>
      </c>
      <c r="C4738" s="9">
        <f>IFERROR(__xludf.DUMMYFUNCTION("""COMPUTED_VALUE"""),18247.0)</f>
        <v>18247</v>
      </c>
      <c r="D4738" s="9" t="str">
        <f>IFERROR(__xludf.DUMMYFUNCTION("""COMPUTED_VALUE"""),"Completed")</f>
        <v>Completed</v>
      </c>
    </row>
    <row r="4739">
      <c r="A4739" s="9" t="str">
        <f>IFERROR(__xludf.DUMMYFUNCTION("""COMPUTED_VALUE"""),"G-REQ-04738")</f>
        <v>G-REQ-04738</v>
      </c>
      <c r="B4739" s="11">
        <f>IFERROR(__xludf.DUMMYFUNCTION("""COMPUTED_VALUE"""),46098.53371495344)</f>
        <v>46098.53371</v>
      </c>
      <c r="C4739" s="9">
        <f>IFERROR(__xludf.DUMMYFUNCTION("""COMPUTED_VALUE"""),18249.0)</f>
        <v>18249</v>
      </c>
      <c r="D4739" s="9" t="str">
        <f>IFERROR(__xludf.DUMMYFUNCTION("""COMPUTED_VALUE"""),"Rejected")</f>
        <v>Rejected</v>
      </c>
    </row>
    <row r="4740">
      <c r="A4740" s="9" t="str">
        <f>IFERROR(__xludf.DUMMYFUNCTION("""COMPUTED_VALUE"""),"G-REQ-04739")</f>
        <v>G-REQ-04739</v>
      </c>
      <c r="B4740" s="11">
        <f>IFERROR(__xludf.DUMMYFUNCTION("""COMPUTED_VALUE"""),46098.6118342433)</f>
        <v>46098.61183</v>
      </c>
      <c r="C4740" s="9">
        <f>IFERROR(__xludf.DUMMYFUNCTION("""COMPUTED_VALUE"""),18253.0)</f>
        <v>18253</v>
      </c>
      <c r="D4740" s="9" t="str">
        <f>IFERROR(__xludf.DUMMYFUNCTION("""COMPUTED_VALUE"""),"Completed")</f>
        <v>Completed</v>
      </c>
    </row>
    <row r="4741">
      <c r="A4741" s="9" t="str">
        <f>IFERROR(__xludf.DUMMYFUNCTION("""COMPUTED_VALUE"""),"G-REQ-04740")</f>
        <v>G-REQ-04740</v>
      </c>
      <c r="B4741" s="11">
        <f>IFERROR(__xludf.DUMMYFUNCTION("""COMPUTED_VALUE"""),46098.68300908871)</f>
        <v>46098.68301</v>
      </c>
      <c r="C4741" s="9">
        <f>IFERROR(__xludf.DUMMYFUNCTION("""COMPUTED_VALUE"""),18257.0)</f>
        <v>18257</v>
      </c>
      <c r="D4741" s="9" t="str">
        <f>IFERROR(__xludf.DUMMYFUNCTION("""COMPUTED_VALUE"""),"Completed")</f>
        <v>Completed</v>
      </c>
    </row>
    <row r="4742">
      <c r="A4742" s="9" t="str">
        <f>IFERROR(__xludf.DUMMYFUNCTION("""COMPUTED_VALUE"""),"G-REQ-04741")</f>
        <v>G-REQ-04741</v>
      </c>
      <c r="B4742" s="11">
        <f>IFERROR(__xludf.DUMMYFUNCTION("""COMPUTED_VALUE"""),46098.75418393413)</f>
        <v>46098.75418</v>
      </c>
      <c r="C4742" s="9">
        <f>IFERROR(__xludf.DUMMYFUNCTION("""COMPUTED_VALUE"""),18261.0)</f>
        <v>18261</v>
      </c>
      <c r="D4742" s="9" t="str">
        <f>IFERROR(__xludf.DUMMYFUNCTION("""COMPUTED_VALUE"""),"Completed")</f>
        <v>Completed</v>
      </c>
    </row>
    <row r="4743">
      <c r="A4743" s="9" t="str">
        <f>IFERROR(__xludf.DUMMYFUNCTION("""COMPUTED_VALUE"""),"G-REQ-04742")</f>
        <v>G-REQ-04742</v>
      </c>
      <c r="B4743" s="11">
        <f>IFERROR(__xludf.DUMMYFUNCTION("""COMPUTED_VALUE"""),46098.818414335095)</f>
        <v>46098.81841</v>
      </c>
      <c r="C4743" s="9">
        <f>IFERROR(__xludf.DUMMYFUNCTION("""COMPUTED_VALUE"""),18263.0)</f>
        <v>18263</v>
      </c>
      <c r="D4743" s="9" t="str">
        <f>IFERROR(__xludf.DUMMYFUNCTION("""COMPUTED_VALUE"""),"Cancelled")</f>
        <v>Cancelled</v>
      </c>
    </row>
    <row r="4744">
      <c r="A4744" s="9" t="str">
        <f>IFERROR(__xludf.DUMMYFUNCTION("""COMPUTED_VALUE"""),"G-REQ-04743")</f>
        <v>G-REQ-04743</v>
      </c>
      <c r="B4744" s="11">
        <f>IFERROR(__xludf.DUMMYFUNCTION("""COMPUTED_VALUE"""),46098.89653362495)</f>
        <v>46098.89653</v>
      </c>
      <c r="C4744" s="9">
        <f>IFERROR(__xludf.DUMMYFUNCTION("""COMPUTED_VALUE"""),18267.0)</f>
        <v>18267</v>
      </c>
      <c r="D4744" s="9" t="str">
        <f>IFERROR(__xludf.DUMMYFUNCTION("""COMPUTED_VALUE"""),"Completed")</f>
        <v>Completed</v>
      </c>
    </row>
    <row r="4745">
      <c r="A4745" s="9" t="str">
        <f>IFERROR(__xludf.DUMMYFUNCTION("""COMPUTED_VALUE"""),"G-REQ-04744")</f>
        <v>G-REQ-04744</v>
      </c>
      <c r="B4745" s="11">
        <f>IFERROR(__xludf.DUMMYFUNCTION("""COMPUTED_VALUE"""),46098.96770847037)</f>
        <v>46098.96771</v>
      </c>
      <c r="C4745" s="9">
        <f>IFERROR(__xludf.DUMMYFUNCTION("""COMPUTED_VALUE"""),18271.0)</f>
        <v>18271</v>
      </c>
      <c r="D4745" s="9" t="str">
        <f>IFERROR(__xludf.DUMMYFUNCTION("""COMPUTED_VALUE"""),"Completed")</f>
        <v>Completed</v>
      </c>
    </row>
    <row r="4746">
      <c r="A4746" s="9" t="str">
        <f>IFERROR(__xludf.DUMMYFUNCTION("""COMPUTED_VALUE"""),"G-REQ-04745")</f>
        <v>G-REQ-04745</v>
      </c>
      <c r="B4746" s="11">
        <f>IFERROR(__xludf.DUMMYFUNCTION("""COMPUTED_VALUE"""),46099.03193887134)</f>
        <v>46099.03194</v>
      </c>
      <c r="C4746" s="9">
        <f>IFERROR(__xludf.DUMMYFUNCTION("""COMPUTED_VALUE"""),18273.0)</f>
        <v>18273</v>
      </c>
      <c r="D4746" s="9" t="str">
        <f>IFERROR(__xludf.DUMMYFUNCTION("""COMPUTED_VALUE"""),"Cancelled")</f>
        <v>Cancelled</v>
      </c>
    </row>
    <row r="4747">
      <c r="A4747" s="9" t="str">
        <f>IFERROR(__xludf.DUMMYFUNCTION("""COMPUTED_VALUE"""),"G-REQ-04746")</f>
        <v>G-REQ-04746</v>
      </c>
      <c r="B4747" s="11">
        <f>IFERROR(__xludf.DUMMYFUNCTION("""COMPUTED_VALUE"""),46099.1100581612)</f>
        <v>46099.11006</v>
      </c>
      <c r="C4747" s="9">
        <f>IFERROR(__xludf.DUMMYFUNCTION("""COMPUTED_VALUE"""),18277.0)</f>
        <v>18277</v>
      </c>
      <c r="D4747" s="9" t="str">
        <f>IFERROR(__xludf.DUMMYFUNCTION("""COMPUTED_VALUE"""),"Completed")</f>
        <v>Completed</v>
      </c>
    </row>
    <row r="4748">
      <c r="A4748" s="9" t="str">
        <f>IFERROR(__xludf.DUMMYFUNCTION("""COMPUTED_VALUE"""),"G-REQ-04747")</f>
        <v>G-REQ-04747</v>
      </c>
      <c r="B4748" s="11">
        <f>IFERROR(__xludf.DUMMYFUNCTION("""COMPUTED_VALUE"""),46099.18123300662)</f>
        <v>46099.18123</v>
      </c>
      <c r="C4748" s="9">
        <f>IFERROR(__xludf.DUMMYFUNCTION("""COMPUTED_VALUE"""),18281.0)</f>
        <v>18281</v>
      </c>
      <c r="D4748" s="9" t="str">
        <f>IFERROR(__xludf.DUMMYFUNCTION("""COMPUTED_VALUE"""),"Completed")</f>
        <v>Completed</v>
      </c>
    </row>
    <row r="4749">
      <c r="A4749" s="9" t="str">
        <f>IFERROR(__xludf.DUMMYFUNCTION("""COMPUTED_VALUE"""),"G-REQ-04748")</f>
        <v>G-REQ-04748</v>
      </c>
      <c r="B4749" s="11">
        <f>IFERROR(__xludf.DUMMYFUNCTION("""COMPUTED_VALUE"""),46099.25240785204)</f>
        <v>46099.25241</v>
      </c>
      <c r="C4749" s="9">
        <f>IFERROR(__xludf.DUMMYFUNCTION("""COMPUTED_VALUE"""),18285.0)</f>
        <v>18285</v>
      </c>
      <c r="D4749" s="9" t="str">
        <f>IFERROR(__xludf.DUMMYFUNCTION("""COMPUTED_VALUE"""),"Completed")</f>
        <v>Completed</v>
      </c>
    </row>
    <row r="4750">
      <c r="A4750" s="9" t="str">
        <f>IFERROR(__xludf.DUMMYFUNCTION("""COMPUTED_VALUE"""),"G-REQ-04749")</f>
        <v>G-REQ-04749</v>
      </c>
      <c r="B4750" s="11">
        <f>IFERROR(__xludf.DUMMYFUNCTION("""COMPUTED_VALUE"""),46099.32358269744)</f>
        <v>46099.32358</v>
      </c>
      <c r="C4750" s="9">
        <f>IFERROR(__xludf.DUMMYFUNCTION("""COMPUTED_VALUE"""),18289.0)</f>
        <v>18289</v>
      </c>
      <c r="D4750" s="9" t="str">
        <f>IFERROR(__xludf.DUMMYFUNCTION("""COMPUTED_VALUE"""),"Completed")</f>
        <v>Completed</v>
      </c>
    </row>
    <row r="4751">
      <c r="A4751" s="9" t="str">
        <f>IFERROR(__xludf.DUMMYFUNCTION("""COMPUTED_VALUE"""),"G-REQ-04750")</f>
        <v>G-REQ-04750</v>
      </c>
      <c r="B4751" s="11">
        <f>IFERROR(__xludf.DUMMYFUNCTION("""COMPUTED_VALUE"""),46099.387813098416)</f>
        <v>46099.38781</v>
      </c>
      <c r="C4751" s="9">
        <f>IFERROR(__xludf.DUMMYFUNCTION("""COMPUTED_VALUE"""),18291.0)</f>
        <v>18291</v>
      </c>
      <c r="D4751" s="9" t="str">
        <f>IFERROR(__xludf.DUMMYFUNCTION("""COMPUTED_VALUE"""),"Cancelled")</f>
        <v>Cancelled</v>
      </c>
    </row>
    <row r="4752">
      <c r="A4752" s="9" t="str">
        <f>IFERROR(__xludf.DUMMYFUNCTION("""COMPUTED_VALUE"""),"G-REQ-04751")</f>
        <v>G-REQ-04751</v>
      </c>
      <c r="B4752" s="11">
        <f>IFERROR(__xludf.DUMMYFUNCTION("""COMPUTED_VALUE"""),46099.46593238828)</f>
        <v>46099.46593</v>
      </c>
      <c r="C4752" s="9">
        <f>IFERROR(__xludf.DUMMYFUNCTION("""COMPUTED_VALUE"""),18295.0)</f>
        <v>18295</v>
      </c>
      <c r="D4752" s="9" t="str">
        <f>IFERROR(__xludf.DUMMYFUNCTION("""COMPUTED_VALUE"""),"Completed")</f>
        <v>Completed</v>
      </c>
    </row>
    <row r="4753">
      <c r="A4753" s="9" t="str">
        <f>IFERROR(__xludf.DUMMYFUNCTION("""COMPUTED_VALUE"""),"G-REQ-04752")</f>
        <v>G-REQ-04752</v>
      </c>
      <c r="B4753" s="11">
        <f>IFERROR(__xludf.DUMMYFUNCTION("""COMPUTED_VALUE"""),46099.53710723369)</f>
        <v>46099.53711</v>
      </c>
      <c r="C4753" s="9">
        <f>IFERROR(__xludf.DUMMYFUNCTION("""COMPUTED_VALUE"""),18299.0)</f>
        <v>18299</v>
      </c>
      <c r="D4753" s="9" t="str">
        <f>IFERROR(__xludf.DUMMYFUNCTION("""COMPUTED_VALUE"""),"Completed")</f>
        <v>Completed</v>
      </c>
    </row>
    <row r="4754">
      <c r="A4754" s="9" t="str">
        <f>IFERROR(__xludf.DUMMYFUNCTION("""COMPUTED_VALUE"""),"G-REQ-04753")</f>
        <v>G-REQ-04753</v>
      </c>
      <c r="B4754" s="11">
        <f>IFERROR(__xludf.DUMMYFUNCTION("""COMPUTED_VALUE"""),46099.608282079105)</f>
        <v>46099.60828</v>
      </c>
      <c r="C4754" s="9">
        <f>IFERROR(__xludf.DUMMYFUNCTION("""COMPUTED_VALUE"""),18303.0)</f>
        <v>18303</v>
      </c>
      <c r="D4754" s="9" t="str">
        <f>IFERROR(__xludf.DUMMYFUNCTION("""COMPUTED_VALUE"""),"Completed")</f>
        <v>Completed</v>
      </c>
    </row>
    <row r="4755">
      <c r="A4755" s="9" t="str">
        <f>IFERROR(__xludf.DUMMYFUNCTION("""COMPUTED_VALUE"""),"G-REQ-04754")</f>
        <v>G-REQ-04754</v>
      </c>
      <c r="B4755" s="11">
        <f>IFERROR(__xludf.DUMMYFUNCTION("""COMPUTED_VALUE"""),46099.679456924525)</f>
        <v>46099.67946</v>
      </c>
      <c r="C4755" s="9">
        <f>IFERROR(__xludf.DUMMYFUNCTION("""COMPUTED_VALUE"""),18307.0)</f>
        <v>18307</v>
      </c>
      <c r="D4755" s="9" t="str">
        <f>IFERROR(__xludf.DUMMYFUNCTION("""COMPUTED_VALUE"""),"Completed")</f>
        <v>Completed</v>
      </c>
    </row>
    <row r="4756">
      <c r="A4756" s="9" t="str">
        <f>IFERROR(__xludf.DUMMYFUNCTION("""COMPUTED_VALUE"""),"G-REQ-04755")</f>
        <v>G-REQ-04755</v>
      </c>
      <c r="B4756" s="11">
        <f>IFERROR(__xludf.DUMMYFUNCTION("""COMPUTED_VALUE"""),46099.75063176994)</f>
        <v>46099.75063</v>
      </c>
      <c r="C4756" s="9">
        <f>IFERROR(__xludf.DUMMYFUNCTION("""COMPUTED_VALUE"""),18311.0)</f>
        <v>18311</v>
      </c>
      <c r="D4756" s="9" t="str">
        <f>IFERROR(__xludf.DUMMYFUNCTION("""COMPUTED_VALUE"""),"Completed")</f>
        <v>Completed</v>
      </c>
    </row>
    <row r="4757">
      <c r="A4757" s="9" t="str">
        <f>IFERROR(__xludf.DUMMYFUNCTION("""COMPUTED_VALUE"""),"G-REQ-04756")</f>
        <v>G-REQ-04756</v>
      </c>
      <c r="B4757" s="11">
        <f>IFERROR(__xludf.DUMMYFUNCTION("""COMPUTED_VALUE"""),46099.82180661535)</f>
        <v>46099.82181</v>
      </c>
      <c r="C4757" s="9">
        <f>IFERROR(__xludf.DUMMYFUNCTION("""COMPUTED_VALUE"""),18315.0)</f>
        <v>18315</v>
      </c>
      <c r="D4757" s="9" t="str">
        <f>IFERROR(__xludf.DUMMYFUNCTION("""COMPUTED_VALUE"""),"Completed")</f>
        <v>Completed</v>
      </c>
    </row>
    <row r="4758">
      <c r="A4758" s="9" t="str">
        <f>IFERROR(__xludf.DUMMYFUNCTION("""COMPUTED_VALUE"""),"G-REQ-04757")</f>
        <v>G-REQ-04757</v>
      </c>
      <c r="B4758" s="11">
        <f>IFERROR(__xludf.DUMMYFUNCTION("""COMPUTED_VALUE"""),46099.89298146077)</f>
        <v>46099.89298</v>
      </c>
      <c r="C4758" s="9">
        <f>IFERROR(__xludf.DUMMYFUNCTION("""COMPUTED_VALUE"""),18319.0)</f>
        <v>18319</v>
      </c>
      <c r="D4758" s="9" t="str">
        <f>IFERROR(__xludf.DUMMYFUNCTION("""COMPUTED_VALUE"""),"Completed")</f>
        <v>Completed</v>
      </c>
    </row>
    <row r="4759">
      <c r="A4759" s="9" t="str">
        <f>IFERROR(__xludf.DUMMYFUNCTION("""COMPUTED_VALUE"""),"G-REQ-04758")</f>
        <v>G-REQ-04758</v>
      </c>
      <c r="B4759" s="11">
        <f>IFERROR(__xludf.DUMMYFUNCTION("""COMPUTED_VALUE"""),46099.96415630619)</f>
        <v>46099.96416</v>
      </c>
      <c r="C4759" s="9">
        <f>IFERROR(__xludf.DUMMYFUNCTION("""COMPUTED_VALUE"""),18323.0)</f>
        <v>18323</v>
      </c>
      <c r="D4759" s="9" t="str">
        <f>IFERROR(__xludf.DUMMYFUNCTION("""COMPUTED_VALUE"""),"Completed")</f>
        <v>Completed</v>
      </c>
    </row>
    <row r="4760">
      <c r="A4760" s="9" t="str">
        <f>IFERROR(__xludf.DUMMYFUNCTION("""COMPUTED_VALUE"""),"G-REQ-04759")</f>
        <v>G-REQ-04759</v>
      </c>
      <c r="B4760" s="11">
        <f>IFERROR(__xludf.DUMMYFUNCTION("""COMPUTED_VALUE"""),46100.035331151594)</f>
        <v>46100.03533</v>
      </c>
      <c r="C4760" s="9">
        <f>IFERROR(__xludf.DUMMYFUNCTION("""COMPUTED_VALUE"""),18327.0)</f>
        <v>18327</v>
      </c>
      <c r="D4760" s="9" t="str">
        <f>IFERROR(__xludf.DUMMYFUNCTION("""COMPUTED_VALUE"""),"Completed")</f>
        <v>Completed</v>
      </c>
    </row>
    <row r="4761">
      <c r="A4761" s="9" t="str">
        <f>IFERROR(__xludf.DUMMYFUNCTION("""COMPUTED_VALUE"""),"G-REQ-04760")</f>
        <v>G-REQ-04760</v>
      </c>
      <c r="B4761" s="11">
        <f>IFERROR(__xludf.DUMMYFUNCTION("""COMPUTED_VALUE"""),46100.10650599701)</f>
        <v>46100.10651</v>
      </c>
      <c r="C4761" s="9">
        <f>IFERROR(__xludf.DUMMYFUNCTION("""COMPUTED_VALUE"""),18331.0)</f>
        <v>18331</v>
      </c>
      <c r="D4761" s="9" t="str">
        <f>IFERROR(__xludf.DUMMYFUNCTION("""COMPUTED_VALUE"""),"Completed")</f>
        <v>Completed</v>
      </c>
    </row>
    <row r="4762">
      <c r="A4762" s="9" t="str">
        <f>IFERROR(__xludf.DUMMYFUNCTION("""COMPUTED_VALUE"""),"G-REQ-04761")</f>
        <v>G-REQ-04761</v>
      </c>
      <c r="B4762" s="11">
        <f>IFERROR(__xludf.DUMMYFUNCTION("""COMPUTED_VALUE"""),46100.177680842426)</f>
        <v>46100.17768</v>
      </c>
      <c r="C4762" s="9">
        <f>IFERROR(__xludf.DUMMYFUNCTION("""COMPUTED_VALUE"""),18335.0)</f>
        <v>18335</v>
      </c>
      <c r="D4762" s="9" t="str">
        <f>IFERROR(__xludf.DUMMYFUNCTION("""COMPUTED_VALUE"""),"Completed")</f>
        <v>Completed</v>
      </c>
    </row>
    <row r="4763">
      <c r="A4763" s="9" t="str">
        <f>IFERROR(__xludf.DUMMYFUNCTION("""COMPUTED_VALUE"""),"G-REQ-04762")</f>
        <v>G-REQ-04762</v>
      </c>
      <c r="B4763" s="11">
        <f>IFERROR(__xludf.DUMMYFUNCTION("""COMPUTED_VALUE"""),46100.248855687845)</f>
        <v>46100.24886</v>
      </c>
      <c r="C4763" s="9">
        <f>IFERROR(__xludf.DUMMYFUNCTION("""COMPUTED_VALUE"""),18339.0)</f>
        <v>18339</v>
      </c>
      <c r="D4763" s="9" t="str">
        <f>IFERROR(__xludf.DUMMYFUNCTION("""COMPUTED_VALUE"""),"Completed")</f>
        <v>Completed</v>
      </c>
    </row>
    <row r="4764">
      <c r="A4764" s="9" t="str">
        <f>IFERROR(__xludf.DUMMYFUNCTION("""COMPUTED_VALUE"""),"G-REQ-04763")</f>
        <v>G-REQ-04763</v>
      </c>
      <c r="B4764" s="11">
        <f>IFERROR(__xludf.DUMMYFUNCTION("""COMPUTED_VALUE"""),46100.32003053326)</f>
        <v>46100.32003</v>
      </c>
      <c r="C4764" s="9">
        <f>IFERROR(__xludf.DUMMYFUNCTION("""COMPUTED_VALUE"""),18343.0)</f>
        <v>18343</v>
      </c>
      <c r="D4764" s="9" t="str">
        <f>IFERROR(__xludf.DUMMYFUNCTION("""COMPUTED_VALUE"""),"Completed")</f>
        <v>Completed</v>
      </c>
    </row>
    <row r="4765">
      <c r="A4765" s="9" t="str">
        <f>IFERROR(__xludf.DUMMYFUNCTION("""COMPUTED_VALUE"""),"G-REQ-04764")</f>
        <v>G-REQ-04764</v>
      </c>
      <c r="B4765" s="11">
        <f>IFERROR(__xludf.DUMMYFUNCTION("""COMPUTED_VALUE"""),46100.38426093423)</f>
        <v>46100.38426</v>
      </c>
      <c r="C4765" s="9">
        <f>IFERROR(__xludf.DUMMYFUNCTION("""COMPUTED_VALUE"""),18345.0)</f>
        <v>18345</v>
      </c>
      <c r="D4765" s="9" t="str">
        <f>IFERROR(__xludf.DUMMYFUNCTION("""COMPUTED_VALUE"""),"Cancelled")</f>
        <v>Cancelled</v>
      </c>
    </row>
    <row r="4766">
      <c r="A4766" s="9" t="str">
        <f>IFERROR(__xludf.DUMMYFUNCTION("""COMPUTED_VALUE"""),"G-REQ-04765")</f>
        <v>G-REQ-04765</v>
      </c>
      <c r="B4766" s="11">
        <f>IFERROR(__xludf.DUMMYFUNCTION("""COMPUTED_VALUE"""),46100.46238022408)</f>
        <v>46100.46238</v>
      </c>
      <c r="C4766" s="9">
        <f>IFERROR(__xludf.DUMMYFUNCTION("""COMPUTED_VALUE"""),18349.0)</f>
        <v>18349</v>
      </c>
      <c r="D4766" s="9" t="str">
        <f>IFERROR(__xludf.DUMMYFUNCTION("""COMPUTED_VALUE"""),"Completed")</f>
        <v>Completed</v>
      </c>
    </row>
    <row r="4767">
      <c r="A4767" s="9" t="str">
        <f>IFERROR(__xludf.DUMMYFUNCTION("""COMPUTED_VALUE"""),"G-REQ-04766")</f>
        <v>G-REQ-04766</v>
      </c>
      <c r="B4767" s="11">
        <f>IFERROR(__xludf.DUMMYFUNCTION("""COMPUTED_VALUE"""),46100.5335550695)</f>
        <v>46100.53356</v>
      </c>
      <c r="C4767" s="9">
        <f>IFERROR(__xludf.DUMMYFUNCTION("""COMPUTED_VALUE"""),18353.0)</f>
        <v>18353</v>
      </c>
      <c r="D4767" s="9" t="str">
        <f>IFERROR(__xludf.DUMMYFUNCTION("""COMPUTED_VALUE"""),"Completed")</f>
        <v>Completed</v>
      </c>
    </row>
    <row r="4768">
      <c r="A4768" s="9" t="str">
        <f>IFERROR(__xludf.DUMMYFUNCTION("""COMPUTED_VALUE"""),"G-REQ-04767")</f>
        <v>G-REQ-04767</v>
      </c>
      <c r="B4768" s="11">
        <f>IFERROR(__xludf.DUMMYFUNCTION("""COMPUTED_VALUE"""),46100.60472991492)</f>
        <v>46100.60473</v>
      </c>
      <c r="C4768" s="9">
        <f>IFERROR(__xludf.DUMMYFUNCTION("""COMPUTED_VALUE"""),18357.0)</f>
        <v>18357</v>
      </c>
      <c r="D4768" s="9" t="str">
        <f>IFERROR(__xludf.DUMMYFUNCTION("""COMPUTED_VALUE"""),"Completed")</f>
        <v>Completed</v>
      </c>
    </row>
    <row r="4769">
      <c r="A4769" s="9" t="str">
        <f>IFERROR(__xludf.DUMMYFUNCTION("""COMPUTED_VALUE"""),"G-REQ-04768")</f>
        <v>G-REQ-04768</v>
      </c>
      <c r="B4769" s="11">
        <f>IFERROR(__xludf.DUMMYFUNCTION("""COMPUTED_VALUE"""),46100.675904760334)</f>
        <v>46100.6759</v>
      </c>
      <c r="C4769" s="9">
        <f>IFERROR(__xludf.DUMMYFUNCTION("""COMPUTED_VALUE"""),18361.0)</f>
        <v>18361</v>
      </c>
      <c r="D4769" s="9" t="str">
        <f>IFERROR(__xludf.DUMMYFUNCTION("""COMPUTED_VALUE"""),"Completed")</f>
        <v>Completed</v>
      </c>
    </row>
    <row r="4770">
      <c r="A4770" s="9" t="str">
        <f>IFERROR(__xludf.DUMMYFUNCTION("""COMPUTED_VALUE"""),"G-REQ-04769")</f>
        <v>G-REQ-04769</v>
      </c>
      <c r="B4770" s="11">
        <f>IFERROR(__xludf.DUMMYFUNCTION("""COMPUTED_VALUE"""),46100.747079605746)</f>
        <v>46100.74708</v>
      </c>
      <c r="C4770" s="9">
        <f>IFERROR(__xludf.DUMMYFUNCTION("""COMPUTED_VALUE"""),18365.0)</f>
        <v>18365</v>
      </c>
      <c r="D4770" s="9" t="str">
        <f>IFERROR(__xludf.DUMMYFUNCTION("""COMPUTED_VALUE"""),"Completed")</f>
        <v>Completed</v>
      </c>
    </row>
    <row r="4771">
      <c r="A4771" s="9" t="str">
        <f>IFERROR(__xludf.DUMMYFUNCTION("""COMPUTED_VALUE"""),"G-REQ-04770")</f>
        <v>G-REQ-04770</v>
      </c>
      <c r="B4771" s="11">
        <f>IFERROR(__xludf.DUMMYFUNCTION("""COMPUTED_VALUE"""),46100.818254451166)</f>
        <v>46100.81825</v>
      </c>
      <c r="C4771" s="9">
        <f>IFERROR(__xludf.DUMMYFUNCTION("""COMPUTED_VALUE"""),18369.0)</f>
        <v>18369</v>
      </c>
      <c r="D4771" s="9" t="str">
        <f>IFERROR(__xludf.DUMMYFUNCTION("""COMPUTED_VALUE"""),"Completed")</f>
        <v>Completed</v>
      </c>
    </row>
    <row r="4772">
      <c r="A4772" s="9" t="str">
        <f>IFERROR(__xludf.DUMMYFUNCTION("""COMPUTED_VALUE"""),"G-REQ-04771")</f>
        <v>G-REQ-04771</v>
      </c>
      <c r="B4772" s="11">
        <f>IFERROR(__xludf.DUMMYFUNCTION("""COMPUTED_VALUE"""),46100.88942929658)</f>
        <v>46100.88943</v>
      </c>
      <c r="C4772" s="9">
        <f>IFERROR(__xludf.DUMMYFUNCTION("""COMPUTED_VALUE"""),18373.0)</f>
        <v>18373</v>
      </c>
      <c r="D4772" s="9" t="str">
        <f>IFERROR(__xludf.DUMMYFUNCTION("""COMPUTED_VALUE"""),"Completed")</f>
        <v>Completed</v>
      </c>
    </row>
    <row r="4773">
      <c r="A4773" s="9" t="str">
        <f>IFERROR(__xludf.DUMMYFUNCTION("""COMPUTED_VALUE"""),"G-REQ-04772")</f>
        <v>G-REQ-04772</v>
      </c>
      <c r="B4773" s="11">
        <f>IFERROR(__xludf.DUMMYFUNCTION("""COMPUTED_VALUE"""),46100.96060414199)</f>
        <v>46100.9606</v>
      </c>
      <c r="C4773" s="9">
        <f>IFERROR(__xludf.DUMMYFUNCTION("""COMPUTED_VALUE"""),18377.0)</f>
        <v>18377</v>
      </c>
      <c r="D4773" s="9" t="str">
        <f>IFERROR(__xludf.DUMMYFUNCTION("""COMPUTED_VALUE"""),"Completed")</f>
        <v>Completed</v>
      </c>
    </row>
    <row r="4774">
      <c r="A4774" s="9" t="str">
        <f>IFERROR(__xludf.DUMMYFUNCTION("""COMPUTED_VALUE"""),"G-REQ-04773")</f>
        <v>G-REQ-04773</v>
      </c>
      <c r="B4774" s="11">
        <f>IFERROR(__xludf.DUMMYFUNCTION("""COMPUTED_VALUE"""),46101.024834542965)</f>
        <v>46101.02483</v>
      </c>
      <c r="C4774" s="9">
        <f>IFERROR(__xludf.DUMMYFUNCTION("""COMPUTED_VALUE"""),18379.0)</f>
        <v>18379</v>
      </c>
      <c r="D4774" s="9" t="str">
        <f>IFERROR(__xludf.DUMMYFUNCTION("""COMPUTED_VALUE"""),"Rejected")</f>
        <v>Rejected</v>
      </c>
    </row>
    <row r="4775">
      <c r="A4775" s="9" t="str">
        <f>IFERROR(__xludf.DUMMYFUNCTION("""COMPUTED_VALUE"""),"G-REQ-04774")</f>
        <v>G-REQ-04774</v>
      </c>
      <c r="B4775" s="11">
        <f>IFERROR(__xludf.DUMMYFUNCTION("""COMPUTED_VALUE"""),46101.10295383283)</f>
        <v>46101.10295</v>
      </c>
      <c r="C4775" s="9">
        <f>IFERROR(__xludf.DUMMYFUNCTION("""COMPUTED_VALUE"""),18383.0)</f>
        <v>18383</v>
      </c>
      <c r="D4775" s="9" t="str">
        <f>IFERROR(__xludf.DUMMYFUNCTION("""COMPUTED_VALUE"""),"Completed")</f>
        <v>Completed</v>
      </c>
    </row>
    <row r="4776">
      <c r="A4776" s="9" t="str">
        <f>IFERROR(__xludf.DUMMYFUNCTION("""COMPUTED_VALUE"""),"G-REQ-04775")</f>
        <v>G-REQ-04775</v>
      </c>
      <c r="B4776" s="11">
        <f>IFERROR(__xludf.DUMMYFUNCTION("""COMPUTED_VALUE"""),46101.174128678234)</f>
        <v>46101.17413</v>
      </c>
      <c r="C4776" s="9">
        <f>IFERROR(__xludf.DUMMYFUNCTION("""COMPUTED_VALUE"""),18387.0)</f>
        <v>18387</v>
      </c>
      <c r="D4776" s="9" t="str">
        <f>IFERROR(__xludf.DUMMYFUNCTION("""COMPUTED_VALUE"""),"Completed")</f>
        <v>Completed</v>
      </c>
    </row>
    <row r="4777">
      <c r="A4777" s="9" t="str">
        <f>IFERROR(__xludf.DUMMYFUNCTION("""COMPUTED_VALUE"""),"G-REQ-04776")</f>
        <v>G-REQ-04776</v>
      </c>
      <c r="B4777" s="11">
        <f>IFERROR(__xludf.DUMMYFUNCTION("""COMPUTED_VALUE"""),46101.245303523654)</f>
        <v>46101.2453</v>
      </c>
      <c r="C4777" s="9">
        <f>IFERROR(__xludf.DUMMYFUNCTION("""COMPUTED_VALUE"""),18391.0)</f>
        <v>18391</v>
      </c>
      <c r="D4777" s="9" t="str">
        <f>IFERROR(__xludf.DUMMYFUNCTION("""COMPUTED_VALUE"""),"Completed")</f>
        <v>Completed</v>
      </c>
    </row>
    <row r="4778">
      <c r="A4778" s="9" t="str">
        <f>IFERROR(__xludf.DUMMYFUNCTION("""COMPUTED_VALUE"""),"G-REQ-04777")</f>
        <v>G-REQ-04777</v>
      </c>
      <c r="B4778" s="11">
        <f>IFERROR(__xludf.DUMMYFUNCTION("""COMPUTED_VALUE"""),46101.31647836907)</f>
        <v>46101.31648</v>
      </c>
      <c r="C4778" s="9">
        <f>IFERROR(__xludf.DUMMYFUNCTION("""COMPUTED_VALUE"""),18395.0)</f>
        <v>18395</v>
      </c>
      <c r="D4778" s="9" t="str">
        <f>IFERROR(__xludf.DUMMYFUNCTION("""COMPUTED_VALUE"""),"Completed")</f>
        <v>Completed</v>
      </c>
    </row>
    <row r="4779">
      <c r="A4779" s="9" t="str">
        <f>IFERROR(__xludf.DUMMYFUNCTION("""COMPUTED_VALUE"""),"G-REQ-04778")</f>
        <v>G-REQ-04778</v>
      </c>
      <c r="B4779" s="11">
        <f>IFERROR(__xludf.DUMMYFUNCTION("""COMPUTED_VALUE"""),46101.387653214486)</f>
        <v>46101.38765</v>
      </c>
      <c r="C4779" s="9">
        <f>IFERROR(__xludf.DUMMYFUNCTION("""COMPUTED_VALUE"""),18399.0)</f>
        <v>18399</v>
      </c>
      <c r="D4779" s="9" t="str">
        <f>IFERROR(__xludf.DUMMYFUNCTION("""COMPUTED_VALUE"""),"Completed")</f>
        <v>Completed</v>
      </c>
    </row>
    <row r="4780">
      <c r="A4780" s="9" t="str">
        <f>IFERROR(__xludf.DUMMYFUNCTION("""COMPUTED_VALUE"""),"G-REQ-04779")</f>
        <v>G-REQ-04779</v>
      </c>
      <c r="B4780" s="11">
        <f>IFERROR(__xludf.DUMMYFUNCTION("""COMPUTED_VALUE"""),46101.4588280599)</f>
        <v>46101.45883</v>
      </c>
      <c r="C4780" s="9">
        <f>IFERROR(__xludf.DUMMYFUNCTION("""COMPUTED_VALUE"""),18403.0)</f>
        <v>18403</v>
      </c>
      <c r="D4780" s="9" t="str">
        <f>IFERROR(__xludf.DUMMYFUNCTION("""COMPUTED_VALUE"""),"Completed")</f>
        <v>Completed</v>
      </c>
    </row>
    <row r="4781">
      <c r="A4781" s="9" t="str">
        <f>IFERROR(__xludf.DUMMYFUNCTION("""COMPUTED_VALUE"""),"G-REQ-04780")</f>
        <v>G-REQ-04780</v>
      </c>
      <c r="B4781" s="11">
        <f>IFERROR(__xludf.DUMMYFUNCTION("""COMPUTED_VALUE"""),46101.52305846087)</f>
        <v>46101.52306</v>
      </c>
      <c r="C4781" s="9">
        <f>IFERROR(__xludf.DUMMYFUNCTION("""COMPUTED_VALUE"""),18405.0)</f>
        <v>18405</v>
      </c>
      <c r="D4781" s="9" t="str">
        <f>IFERROR(__xludf.DUMMYFUNCTION("""COMPUTED_VALUE"""),"Rejected")</f>
        <v>Rejected</v>
      </c>
    </row>
    <row r="4782">
      <c r="A4782" s="9" t="str">
        <f>IFERROR(__xludf.DUMMYFUNCTION("""COMPUTED_VALUE"""),"G-REQ-04781")</f>
        <v>G-REQ-04781</v>
      </c>
      <c r="B4782" s="11">
        <f>IFERROR(__xludf.DUMMYFUNCTION("""COMPUTED_VALUE"""),46101.60117775073)</f>
        <v>46101.60118</v>
      </c>
      <c r="C4782" s="9">
        <f>IFERROR(__xludf.DUMMYFUNCTION("""COMPUTED_VALUE"""),18409.0)</f>
        <v>18409</v>
      </c>
      <c r="D4782" s="9" t="str">
        <f>IFERROR(__xludf.DUMMYFUNCTION("""COMPUTED_VALUE"""),"Completed")</f>
        <v>Completed</v>
      </c>
    </row>
    <row r="4783">
      <c r="A4783" s="9" t="str">
        <f>IFERROR(__xludf.DUMMYFUNCTION("""COMPUTED_VALUE"""),"G-REQ-04782")</f>
        <v>G-REQ-04782</v>
      </c>
      <c r="B4783" s="11">
        <f>IFERROR(__xludf.DUMMYFUNCTION("""COMPUTED_VALUE"""),46101.67235259614)</f>
        <v>46101.67235</v>
      </c>
      <c r="C4783" s="9">
        <f>IFERROR(__xludf.DUMMYFUNCTION("""COMPUTED_VALUE"""),18413.0)</f>
        <v>18413</v>
      </c>
      <c r="D4783" s="9" t="str">
        <f>IFERROR(__xludf.DUMMYFUNCTION("""COMPUTED_VALUE"""),"Completed")</f>
        <v>Completed</v>
      </c>
    </row>
    <row r="4784">
      <c r="A4784" s="9" t="str">
        <f>IFERROR(__xludf.DUMMYFUNCTION("""COMPUTED_VALUE"""),"G-REQ-04783")</f>
        <v>G-REQ-04783</v>
      </c>
      <c r="B4784" s="11">
        <f>IFERROR(__xludf.DUMMYFUNCTION("""COMPUTED_VALUE"""),46101.74352744156)</f>
        <v>46101.74353</v>
      </c>
      <c r="C4784" s="9">
        <f>IFERROR(__xludf.DUMMYFUNCTION("""COMPUTED_VALUE"""),18417.0)</f>
        <v>18417</v>
      </c>
      <c r="D4784" s="9" t="str">
        <f>IFERROR(__xludf.DUMMYFUNCTION("""COMPUTED_VALUE"""),"Completed")</f>
        <v>Completed</v>
      </c>
    </row>
    <row r="4785">
      <c r="A4785" s="9" t="str">
        <f>IFERROR(__xludf.DUMMYFUNCTION("""COMPUTED_VALUE"""),"G-REQ-04784")</f>
        <v>G-REQ-04784</v>
      </c>
      <c r="B4785" s="11">
        <f>IFERROR(__xludf.DUMMYFUNCTION("""COMPUTED_VALUE"""),46101.814702286974)</f>
        <v>46101.8147</v>
      </c>
      <c r="C4785" s="9">
        <f>IFERROR(__xludf.DUMMYFUNCTION("""COMPUTED_VALUE"""),18421.0)</f>
        <v>18421</v>
      </c>
      <c r="D4785" s="9" t="str">
        <f>IFERROR(__xludf.DUMMYFUNCTION("""COMPUTED_VALUE"""),"Completed")</f>
        <v>Completed</v>
      </c>
    </row>
    <row r="4786">
      <c r="A4786" s="9" t="str">
        <f>IFERROR(__xludf.DUMMYFUNCTION("""COMPUTED_VALUE"""),"G-REQ-04785")</f>
        <v>G-REQ-04785</v>
      </c>
      <c r="B4786" s="11">
        <f>IFERROR(__xludf.DUMMYFUNCTION("""COMPUTED_VALUE"""),46101.88587713239)</f>
        <v>46101.88588</v>
      </c>
      <c r="C4786" s="9">
        <f>IFERROR(__xludf.DUMMYFUNCTION("""COMPUTED_VALUE"""),18425.0)</f>
        <v>18425</v>
      </c>
      <c r="D4786" s="9" t="str">
        <f>IFERROR(__xludf.DUMMYFUNCTION("""COMPUTED_VALUE"""),"Completed")</f>
        <v>Completed</v>
      </c>
    </row>
    <row r="4787">
      <c r="A4787" s="9" t="str">
        <f>IFERROR(__xludf.DUMMYFUNCTION("""COMPUTED_VALUE"""),"G-REQ-04786")</f>
        <v>G-REQ-04786</v>
      </c>
      <c r="B4787" s="11">
        <f>IFERROR(__xludf.DUMMYFUNCTION("""COMPUTED_VALUE"""),46101.957051977806)</f>
        <v>46101.95705</v>
      </c>
      <c r="C4787" s="9">
        <f>IFERROR(__xludf.DUMMYFUNCTION("""COMPUTED_VALUE"""),18429.0)</f>
        <v>18429</v>
      </c>
      <c r="D4787" s="9" t="str">
        <f>IFERROR(__xludf.DUMMYFUNCTION("""COMPUTED_VALUE"""),"Completed")</f>
        <v>Completed</v>
      </c>
    </row>
    <row r="4788">
      <c r="A4788" s="9" t="str">
        <f>IFERROR(__xludf.DUMMYFUNCTION("""COMPUTED_VALUE"""),"G-REQ-04787")</f>
        <v>G-REQ-04787</v>
      </c>
      <c r="B4788" s="11">
        <f>IFERROR(__xludf.DUMMYFUNCTION("""COMPUTED_VALUE"""),46102.02128237877)</f>
        <v>46102.02128</v>
      </c>
      <c r="C4788" s="9">
        <f>IFERROR(__xludf.DUMMYFUNCTION("""COMPUTED_VALUE"""),18431.0)</f>
        <v>18431</v>
      </c>
      <c r="D4788" s="9" t="str">
        <f>IFERROR(__xludf.DUMMYFUNCTION("""COMPUTED_VALUE"""),"Rejected")</f>
        <v>Rejected</v>
      </c>
    </row>
    <row r="4789">
      <c r="A4789" s="9" t="str">
        <f>IFERROR(__xludf.DUMMYFUNCTION("""COMPUTED_VALUE"""),"G-REQ-04788")</f>
        <v>G-REQ-04788</v>
      </c>
      <c r="B4789" s="11">
        <f>IFERROR(__xludf.DUMMYFUNCTION("""COMPUTED_VALUE"""),46102.09940166863)</f>
        <v>46102.0994</v>
      </c>
      <c r="C4789" s="9">
        <f>IFERROR(__xludf.DUMMYFUNCTION("""COMPUTED_VALUE"""),18435.0)</f>
        <v>18435</v>
      </c>
      <c r="D4789" s="9" t="str">
        <f>IFERROR(__xludf.DUMMYFUNCTION("""COMPUTED_VALUE"""),"Completed")</f>
        <v>Completed</v>
      </c>
    </row>
    <row r="4790">
      <c r="A4790" s="9" t="str">
        <f>IFERROR(__xludf.DUMMYFUNCTION("""COMPUTED_VALUE"""),"G-REQ-04789")</f>
        <v>G-REQ-04789</v>
      </c>
      <c r="B4790" s="11">
        <f>IFERROR(__xludf.DUMMYFUNCTION("""COMPUTED_VALUE"""),46102.17057651405)</f>
        <v>46102.17058</v>
      </c>
      <c r="C4790" s="9">
        <f>IFERROR(__xludf.DUMMYFUNCTION("""COMPUTED_VALUE"""),18439.0)</f>
        <v>18439</v>
      </c>
      <c r="D4790" s="9" t="str">
        <f>IFERROR(__xludf.DUMMYFUNCTION("""COMPUTED_VALUE"""),"Completed")</f>
        <v>Completed</v>
      </c>
    </row>
    <row r="4791">
      <c r="A4791" s="9" t="str">
        <f>IFERROR(__xludf.DUMMYFUNCTION("""COMPUTED_VALUE"""),"G-REQ-04790")</f>
        <v>G-REQ-04790</v>
      </c>
      <c r="B4791" s="11">
        <f>IFERROR(__xludf.DUMMYFUNCTION("""COMPUTED_VALUE"""),46102.24175135947)</f>
        <v>46102.24175</v>
      </c>
      <c r="C4791" s="9">
        <f>IFERROR(__xludf.DUMMYFUNCTION("""COMPUTED_VALUE"""),18443.0)</f>
        <v>18443</v>
      </c>
      <c r="D4791" s="9" t="str">
        <f>IFERROR(__xludf.DUMMYFUNCTION("""COMPUTED_VALUE"""),"Completed")</f>
        <v>Completed</v>
      </c>
    </row>
    <row r="4792">
      <c r="A4792" s="9" t="str">
        <f>IFERROR(__xludf.DUMMYFUNCTION("""COMPUTED_VALUE"""),"G-REQ-04791")</f>
        <v>G-REQ-04791</v>
      </c>
      <c r="B4792" s="11">
        <f>IFERROR(__xludf.DUMMYFUNCTION("""COMPUTED_VALUE"""),46102.30598176043)</f>
        <v>46102.30598</v>
      </c>
      <c r="C4792" s="9">
        <f>IFERROR(__xludf.DUMMYFUNCTION("""COMPUTED_VALUE"""),18445.0)</f>
        <v>18445</v>
      </c>
      <c r="D4792" s="9" t="str">
        <f>IFERROR(__xludf.DUMMYFUNCTION("""COMPUTED_VALUE"""),"Cancelled")</f>
        <v>Cancelled</v>
      </c>
    </row>
    <row r="4793">
      <c r="A4793" s="9" t="str">
        <f>IFERROR(__xludf.DUMMYFUNCTION("""COMPUTED_VALUE"""),"G-REQ-04792")</f>
        <v>G-REQ-04792</v>
      </c>
      <c r="B4793" s="11">
        <f>IFERROR(__xludf.DUMMYFUNCTION("""COMPUTED_VALUE"""),46102.384101050295)</f>
        <v>46102.3841</v>
      </c>
      <c r="C4793" s="9">
        <f>IFERROR(__xludf.DUMMYFUNCTION("""COMPUTED_VALUE"""),18449.0)</f>
        <v>18449</v>
      </c>
      <c r="D4793" s="9" t="str">
        <f>IFERROR(__xludf.DUMMYFUNCTION("""COMPUTED_VALUE"""),"Completed")</f>
        <v>Completed</v>
      </c>
    </row>
    <row r="4794">
      <c r="A4794" s="9" t="str">
        <f>IFERROR(__xludf.DUMMYFUNCTION("""COMPUTED_VALUE"""),"G-REQ-04793")</f>
        <v>G-REQ-04793</v>
      </c>
      <c r="B4794" s="11">
        <f>IFERROR(__xludf.DUMMYFUNCTION("""COMPUTED_VALUE"""),46102.455275895714)</f>
        <v>46102.45528</v>
      </c>
      <c r="C4794" s="9">
        <f>IFERROR(__xludf.DUMMYFUNCTION("""COMPUTED_VALUE"""),18453.0)</f>
        <v>18453</v>
      </c>
      <c r="D4794" s="9" t="str">
        <f>IFERROR(__xludf.DUMMYFUNCTION("""COMPUTED_VALUE"""),"Completed")</f>
        <v>Completed</v>
      </c>
    </row>
    <row r="4795">
      <c r="A4795" s="9" t="str">
        <f>IFERROR(__xludf.DUMMYFUNCTION("""COMPUTED_VALUE"""),"G-REQ-04794")</f>
        <v>G-REQ-04794</v>
      </c>
      <c r="B4795" s="11">
        <f>IFERROR(__xludf.DUMMYFUNCTION("""COMPUTED_VALUE"""),46102.52645074113)</f>
        <v>46102.52645</v>
      </c>
      <c r="C4795" s="9">
        <f>IFERROR(__xludf.DUMMYFUNCTION("""COMPUTED_VALUE"""),18457.0)</f>
        <v>18457</v>
      </c>
      <c r="D4795" s="9" t="str">
        <f>IFERROR(__xludf.DUMMYFUNCTION("""COMPUTED_VALUE"""),"Completed")</f>
        <v>Completed</v>
      </c>
    </row>
    <row r="4796">
      <c r="A4796" s="9" t="str">
        <f>IFERROR(__xludf.DUMMYFUNCTION("""COMPUTED_VALUE"""),"G-REQ-04795")</f>
        <v>G-REQ-04795</v>
      </c>
      <c r="B4796" s="11">
        <f>IFERROR(__xludf.DUMMYFUNCTION("""COMPUTED_VALUE"""),46102.59762558654)</f>
        <v>46102.59763</v>
      </c>
      <c r="C4796" s="9">
        <f>IFERROR(__xludf.DUMMYFUNCTION("""COMPUTED_VALUE"""),18461.0)</f>
        <v>18461</v>
      </c>
      <c r="D4796" s="9" t="str">
        <f>IFERROR(__xludf.DUMMYFUNCTION("""COMPUTED_VALUE"""),"Completed")</f>
        <v>Completed</v>
      </c>
    </row>
    <row r="4797">
      <c r="A4797" s="9" t="str">
        <f>IFERROR(__xludf.DUMMYFUNCTION("""COMPUTED_VALUE"""),"G-REQ-04796")</f>
        <v>G-REQ-04796</v>
      </c>
      <c r="B4797" s="11">
        <f>IFERROR(__xludf.DUMMYFUNCTION("""COMPUTED_VALUE"""),46102.66880043196)</f>
        <v>46102.6688</v>
      </c>
      <c r="C4797" s="9">
        <f>IFERROR(__xludf.DUMMYFUNCTION("""COMPUTED_VALUE"""),18465.0)</f>
        <v>18465</v>
      </c>
      <c r="D4797" s="9" t="str">
        <f>IFERROR(__xludf.DUMMYFUNCTION("""COMPUTED_VALUE"""),"Completed")</f>
        <v>Completed</v>
      </c>
    </row>
    <row r="4798">
      <c r="A4798" s="9" t="str">
        <f>IFERROR(__xludf.DUMMYFUNCTION("""COMPUTED_VALUE"""),"G-REQ-04797")</f>
        <v>G-REQ-04797</v>
      </c>
      <c r="B4798" s="11">
        <f>IFERROR(__xludf.DUMMYFUNCTION("""COMPUTED_VALUE"""),46102.733030832926)</f>
        <v>46102.73303</v>
      </c>
      <c r="C4798" s="9">
        <f>IFERROR(__xludf.DUMMYFUNCTION("""COMPUTED_VALUE"""),18467.0)</f>
        <v>18467</v>
      </c>
      <c r="D4798" s="9" t="str">
        <f>IFERROR(__xludf.DUMMYFUNCTION("""COMPUTED_VALUE"""),"Cancelled")</f>
        <v>Cancelled</v>
      </c>
    </row>
    <row r="4799">
      <c r="A4799" s="9" t="str">
        <f>IFERROR(__xludf.DUMMYFUNCTION("""COMPUTED_VALUE"""),"G-REQ-04798")</f>
        <v>G-REQ-04798</v>
      </c>
      <c r="B4799" s="11">
        <f>IFERROR(__xludf.DUMMYFUNCTION("""COMPUTED_VALUE"""),46102.81115012278)</f>
        <v>46102.81115</v>
      </c>
      <c r="C4799" s="9">
        <f>IFERROR(__xludf.DUMMYFUNCTION("""COMPUTED_VALUE"""),18471.0)</f>
        <v>18471</v>
      </c>
      <c r="D4799" s="9" t="str">
        <f>IFERROR(__xludf.DUMMYFUNCTION("""COMPUTED_VALUE"""),"Completed")</f>
        <v>Completed</v>
      </c>
    </row>
    <row r="4800">
      <c r="A4800" s="9" t="str">
        <f>IFERROR(__xludf.DUMMYFUNCTION("""COMPUTED_VALUE"""),"G-REQ-04799")</f>
        <v>G-REQ-04799</v>
      </c>
      <c r="B4800" s="11">
        <f>IFERROR(__xludf.DUMMYFUNCTION("""COMPUTED_VALUE"""),46102.8823249682)</f>
        <v>46102.88232</v>
      </c>
      <c r="C4800" s="9">
        <f>IFERROR(__xludf.DUMMYFUNCTION("""COMPUTED_VALUE"""),18475.0)</f>
        <v>18475</v>
      </c>
      <c r="D4800" s="9" t="str">
        <f>IFERROR(__xludf.DUMMYFUNCTION("""COMPUTED_VALUE"""),"Completed")</f>
        <v>Completed</v>
      </c>
    </row>
    <row r="4801">
      <c r="A4801" s="9" t="str">
        <f>IFERROR(__xludf.DUMMYFUNCTION("""COMPUTED_VALUE"""),"G-REQ-04800")</f>
        <v>G-REQ-04800</v>
      </c>
      <c r="B4801" s="11">
        <f>IFERROR(__xludf.DUMMYFUNCTION("""COMPUTED_VALUE"""),46102.95349981362)</f>
        <v>46102.9535</v>
      </c>
      <c r="C4801" s="9">
        <f>IFERROR(__xludf.DUMMYFUNCTION("""COMPUTED_VALUE"""),18479.0)</f>
        <v>18479</v>
      </c>
      <c r="D4801" s="9" t="str">
        <f>IFERROR(__xludf.DUMMYFUNCTION("""COMPUTED_VALUE"""),"Completed")</f>
        <v>Completed</v>
      </c>
    </row>
    <row r="4802">
      <c r="A4802" s="9" t="str">
        <f>IFERROR(__xludf.DUMMYFUNCTION("""COMPUTED_VALUE"""),"G-REQ-04801")</f>
        <v>G-REQ-04801</v>
      </c>
      <c r="B4802" s="11">
        <f>IFERROR(__xludf.DUMMYFUNCTION("""COMPUTED_VALUE"""),46103.02467465903)</f>
        <v>46103.02467</v>
      </c>
      <c r="C4802" s="9">
        <f>IFERROR(__xludf.DUMMYFUNCTION("""COMPUTED_VALUE"""),18483.0)</f>
        <v>18483</v>
      </c>
      <c r="D4802" s="9" t="str">
        <f>IFERROR(__xludf.DUMMYFUNCTION("""COMPUTED_VALUE"""),"Completed")</f>
        <v>Completed</v>
      </c>
    </row>
    <row r="4803">
      <c r="A4803" s="9" t="str">
        <f>IFERROR(__xludf.DUMMYFUNCTION("""COMPUTED_VALUE"""),"G-REQ-04802")</f>
        <v>G-REQ-04802</v>
      </c>
      <c r="B4803" s="11">
        <f>IFERROR(__xludf.DUMMYFUNCTION("""COMPUTED_VALUE"""),46103.09584950445)</f>
        <v>46103.09585</v>
      </c>
      <c r="C4803" s="9">
        <f>IFERROR(__xludf.DUMMYFUNCTION("""COMPUTED_VALUE"""),18487.0)</f>
        <v>18487</v>
      </c>
      <c r="D4803" s="9" t="str">
        <f>IFERROR(__xludf.DUMMYFUNCTION("""COMPUTED_VALUE"""),"Completed")</f>
        <v>Completed</v>
      </c>
    </row>
    <row r="4804">
      <c r="A4804" s="9" t="str">
        <f>IFERROR(__xludf.DUMMYFUNCTION("""COMPUTED_VALUE"""),"G-REQ-04803")</f>
        <v>G-REQ-04803</v>
      </c>
      <c r="B4804" s="11">
        <f>IFERROR(__xludf.DUMMYFUNCTION("""COMPUTED_VALUE"""),46103.160079905414)</f>
        <v>46103.16008</v>
      </c>
      <c r="C4804" s="9">
        <f>IFERROR(__xludf.DUMMYFUNCTION("""COMPUTED_VALUE"""),18489.0)</f>
        <v>18489</v>
      </c>
      <c r="D4804" s="9" t="str">
        <f>IFERROR(__xludf.DUMMYFUNCTION("""COMPUTED_VALUE"""),"Rejected")</f>
        <v>Rejected</v>
      </c>
    </row>
    <row r="4805">
      <c r="A4805" s="9" t="str">
        <f>IFERROR(__xludf.DUMMYFUNCTION("""COMPUTED_VALUE"""),"G-REQ-04804")</f>
        <v>G-REQ-04804</v>
      </c>
      <c r="B4805" s="11">
        <f>IFERROR(__xludf.DUMMYFUNCTION("""COMPUTED_VALUE"""),46103.23819919528)</f>
        <v>46103.2382</v>
      </c>
      <c r="C4805" s="9">
        <f>IFERROR(__xludf.DUMMYFUNCTION("""COMPUTED_VALUE"""),18493.0)</f>
        <v>18493</v>
      </c>
      <c r="D4805" s="9" t="str">
        <f>IFERROR(__xludf.DUMMYFUNCTION("""COMPUTED_VALUE"""),"Completed")</f>
        <v>Completed</v>
      </c>
    </row>
    <row r="4806">
      <c r="A4806" s="9" t="str">
        <f>IFERROR(__xludf.DUMMYFUNCTION("""COMPUTED_VALUE"""),"G-REQ-04805")</f>
        <v>G-REQ-04805</v>
      </c>
      <c r="B4806" s="11">
        <f>IFERROR(__xludf.DUMMYFUNCTION("""COMPUTED_VALUE"""),46103.30937404069)</f>
        <v>46103.30937</v>
      </c>
      <c r="C4806" s="9">
        <f>IFERROR(__xludf.DUMMYFUNCTION("""COMPUTED_VALUE"""),18497.0)</f>
        <v>18497</v>
      </c>
      <c r="D4806" s="9" t="str">
        <f>IFERROR(__xludf.DUMMYFUNCTION("""COMPUTED_VALUE"""),"Completed")</f>
        <v>Completed</v>
      </c>
    </row>
    <row r="4807">
      <c r="A4807" s="9" t="str">
        <f>IFERROR(__xludf.DUMMYFUNCTION("""COMPUTED_VALUE"""),"G-REQ-04806")</f>
        <v>G-REQ-04806</v>
      </c>
      <c r="B4807" s="11">
        <f>IFERROR(__xludf.DUMMYFUNCTION("""COMPUTED_VALUE"""),46103.38054888611)</f>
        <v>46103.38055</v>
      </c>
      <c r="C4807" s="9">
        <f>IFERROR(__xludf.DUMMYFUNCTION("""COMPUTED_VALUE"""),18501.0)</f>
        <v>18501</v>
      </c>
      <c r="D4807" s="9" t="str">
        <f>IFERROR(__xludf.DUMMYFUNCTION("""COMPUTED_VALUE"""),"Completed")</f>
        <v>Completed</v>
      </c>
    </row>
    <row r="4808">
      <c r="A4808" s="9" t="str">
        <f>IFERROR(__xludf.DUMMYFUNCTION("""COMPUTED_VALUE"""),"G-REQ-04807")</f>
        <v>G-REQ-04807</v>
      </c>
      <c r="B4808" s="11">
        <f>IFERROR(__xludf.DUMMYFUNCTION("""COMPUTED_VALUE"""),46103.451723731516)</f>
        <v>46103.45172</v>
      </c>
      <c r="C4808" s="9">
        <f>IFERROR(__xludf.DUMMYFUNCTION("""COMPUTED_VALUE"""),18505.0)</f>
        <v>18505</v>
      </c>
      <c r="D4808" s="9" t="str">
        <f>IFERROR(__xludf.DUMMYFUNCTION("""COMPUTED_VALUE"""),"Completed")</f>
        <v>Completed</v>
      </c>
    </row>
    <row r="4809">
      <c r="A4809" s="9" t="str">
        <f>IFERROR(__xludf.DUMMYFUNCTION("""COMPUTED_VALUE"""),"G-REQ-04808")</f>
        <v>G-REQ-04808</v>
      </c>
      <c r="B4809" s="11">
        <f>IFERROR(__xludf.DUMMYFUNCTION("""COMPUTED_VALUE"""),46103.522898576935)</f>
        <v>46103.5229</v>
      </c>
      <c r="C4809" s="9">
        <f>IFERROR(__xludf.DUMMYFUNCTION("""COMPUTED_VALUE"""),18509.0)</f>
        <v>18509</v>
      </c>
      <c r="D4809" s="9" t="str">
        <f>IFERROR(__xludf.DUMMYFUNCTION("""COMPUTED_VALUE"""),"Completed")</f>
        <v>Completed</v>
      </c>
    </row>
    <row r="4810">
      <c r="A4810" s="9" t="str">
        <f>IFERROR(__xludf.DUMMYFUNCTION("""COMPUTED_VALUE"""),"G-REQ-04809")</f>
        <v>G-REQ-04809</v>
      </c>
      <c r="B4810" s="11">
        <f>IFERROR(__xludf.DUMMYFUNCTION("""COMPUTED_VALUE"""),46103.594073422355)</f>
        <v>46103.59407</v>
      </c>
      <c r="C4810" s="9">
        <f>IFERROR(__xludf.DUMMYFUNCTION("""COMPUTED_VALUE"""),18513.0)</f>
        <v>18513</v>
      </c>
      <c r="D4810" s="9" t="str">
        <f>IFERROR(__xludf.DUMMYFUNCTION("""COMPUTED_VALUE"""),"Completed")</f>
        <v>Completed</v>
      </c>
    </row>
    <row r="4811">
      <c r="A4811" s="9" t="str">
        <f>IFERROR(__xludf.DUMMYFUNCTION("""COMPUTED_VALUE"""),"G-REQ-04810")</f>
        <v>G-REQ-04810</v>
      </c>
      <c r="B4811" s="11">
        <f>IFERROR(__xludf.DUMMYFUNCTION("""COMPUTED_VALUE"""),46103.66524826777)</f>
        <v>46103.66525</v>
      </c>
      <c r="C4811" s="9">
        <f>IFERROR(__xludf.DUMMYFUNCTION("""COMPUTED_VALUE"""),18517.0)</f>
        <v>18517</v>
      </c>
      <c r="D4811" s="9" t="str">
        <f>IFERROR(__xludf.DUMMYFUNCTION("""COMPUTED_VALUE"""),"Completed")</f>
        <v>Completed</v>
      </c>
    </row>
    <row r="4812">
      <c r="A4812" s="9" t="str">
        <f>IFERROR(__xludf.DUMMYFUNCTION("""COMPUTED_VALUE"""),"G-REQ-04811")</f>
        <v>G-REQ-04811</v>
      </c>
      <c r="B4812" s="11">
        <f>IFERROR(__xludf.DUMMYFUNCTION("""COMPUTED_VALUE"""),46103.73642311318)</f>
        <v>46103.73642</v>
      </c>
      <c r="C4812" s="9">
        <f>IFERROR(__xludf.DUMMYFUNCTION("""COMPUTED_VALUE"""),18521.0)</f>
        <v>18521</v>
      </c>
      <c r="D4812" s="9" t="str">
        <f>IFERROR(__xludf.DUMMYFUNCTION("""COMPUTED_VALUE"""),"Completed")</f>
        <v>Completed</v>
      </c>
    </row>
    <row r="4813">
      <c r="A4813" s="9" t="str">
        <f>IFERROR(__xludf.DUMMYFUNCTION("""COMPUTED_VALUE"""),"G-REQ-04812")</f>
        <v>G-REQ-04812</v>
      </c>
      <c r="B4813" s="11">
        <f>IFERROR(__xludf.DUMMYFUNCTION("""COMPUTED_VALUE"""),46103.8075979586)</f>
        <v>46103.8076</v>
      </c>
      <c r="C4813" s="9">
        <f>IFERROR(__xludf.DUMMYFUNCTION("""COMPUTED_VALUE"""),18525.0)</f>
        <v>18525</v>
      </c>
      <c r="D4813" s="9" t="str">
        <f>IFERROR(__xludf.DUMMYFUNCTION("""COMPUTED_VALUE"""),"Completed")</f>
        <v>Completed</v>
      </c>
    </row>
    <row r="4814">
      <c r="A4814" s="9" t="str">
        <f>IFERROR(__xludf.DUMMYFUNCTION("""COMPUTED_VALUE"""),"G-REQ-04813")</f>
        <v>G-REQ-04813</v>
      </c>
      <c r="B4814" s="11">
        <f>IFERROR(__xludf.DUMMYFUNCTION("""COMPUTED_VALUE"""),46103.87877280401)</f>
        <v>46103.87877</v>
      </c>
      <c r="C4814" s="9">
        <f>IFERROR(__xludf.DUMMYFUNCTION("""COMPUTED_VALUE"""),18529.0)</f>
        <v>18529</v>
      </c>
      <c r="D4814" s="9" t="str">
        <f>IFERROR(__xludf.DUMMYFUNCTION("""COMPUTED_VALUE"""),"Completed")</f>
        <v>Completed</v>
      </c>
    </row>
    <row r="4815">
      <c r="A4815" s="9" t="str">
        <f>IFERROR(__xludf.DUMMYFUNCTION("""COMPUTED_VALUE"""),"G-REQ-04814")</f>
        <v>G-REQ-04814</v>
      </c>
      <c r="B4815" s="11">
        <f>IFERROR(__xludf.DUMMYFUNCTION("""COMPUTED_VALUE"""),46103.94300320498)</f>
        <v>46103.943</v>
      </c>
      <c r="C4815" s="9">
        <f>IFERROR(__xludf.DUMMYFUNCTION("""COMPUTED_VALUE"""),18531.0)</f>
        <v>18531</v>
      </c>
      <c r="D4815" s="9" t="str">
        <f>IFERROR(__xludf.DUMMYFUNCTION("""COMPUTED_VALUE"""),"Cancelled")</f>
        <v>Cancelled</v>
      </c>
    </row>
    <row r="4816">
      <c r="A4816" s="9" t="str">
        <f>IFERROR(__xludf.DUMMYFUNCTION("""COMPUTED_VALUE"""),"G-REQ-04815")</f>
        <v>G-REQ-04815</v>
      </c>
      <c r="B4816" s="11">
        <f>IFERROR(__xludf.DUMMYFUNCTION("""COMPUTED_VALUE"""),46104.02112249484)</f>
        <v>46104.02112</v>
      </c>
      <c r="C4816" s="9">
        <f>IFERROR(__xludf.DUMMYFUNCTION("""COMPUTED_VALUE"""),18535.0)</f>
        <v>18535</v>
      </c>
      <c r="D4816" s="9" t="str">
        <f>IFERROR(__xludf.DUMMYFUNCTION("""COMPUTED_VALUE"""),"Completed")</f>
        <v>Completed</v>
      </c>
    </row>
    <row r="4817">
      <c r="A4817" s="9" t="str">
        <f>IFERROR(__xludf.DUMMYFUNCTION("""COMPUTED_VALUE"""),"G-REQ-04816")</f>
        <v>G-REQ-04816</v>
      </c>
      <c r="B4817" s="11">
        <f>IFERROR(__xludf.DUMMYFUNCTION("""COMPUTED_VALUE"""),46104.09229734026)</f>
        <v>46104.0923</v>
      </c>
      <c r="C4817" s="9">
        <f>IFERROR(__xludf.DUMMYFUNCTION("""COMPUTED_VALUE"""),18539.0)</f>
        <v>18539</v>
      </c>
      <c r="D4817" s="9" t="str">
        <f>IFERROR(__xludf.DUMMYFUNCTION("""COMPUTED_VALUE"""),"Completed")</f>
        <v>Completed</v>
      </c>
    </row>
    <row r="4818">
      <c r="A4818" s="9" t="str">
        <f>IFERROR(__xludf.DUMMYFUNCTION("""COMPUTED_VALUE"""),"G-REQ-04817")</f>
        <v>G-REQ-04817</v>
      </c>
      <c r="B4818" s="11">
        <f>IFERROR(__xludf.DUMMYFUNCTION("""COMPUTED_VALUE"""),46104.16347218567)</f>
        <v>46104.16347</v>
      </c>
      <c r="C4818" s="9">
        <f>IFERROR(__xludf.DUMMYFUNCTION("""COMPUTED_VALUE"""),18543.0)</f>
        <v>18543</v>
      </c>
      <c r="D4818" s="9" t="str">
        <f>IFERROR(__xludf.DUMMYFUNCTION("""COMPUTED_VALUE"""),"Completed")</f>
        <v>Completed</v>
      </c>
    </row>
    <row r="4819">
      <c r="A4819" s="9" t="str">
        <f>IFERROR(__xludf.DUMMYFUNCTION("""COMPUTED_VALUE"""),"G-REQ-04818")</f>
        <v>G-REQ-04818</v>
      </c>
      <c r="B4819" s="11">
        <f>IFERROR(__xludf.DUMMYFUNCTION("""COMPUTED_VALUE"""),46104.23464703109)</f>
        <v>46104.23465</v>
      </c>
      <c r="C4819" s="9">
        <f>IFERROR(__xludf.DUMMYFUNCTION("""COMPUTED_VALUE"""),18547.0)</f>
        <v>18547</v>
      </c>
      <c r="D4819" s="9" t="str">
        <f>IFERROR(__xludf.DUMMYFUNCTION("""COMPUTED_VALUE"""),"Completed")</f>
        <v>Completed</v>
      </c>
    </row>
    <row r="4820">
      <c r="A4820" s="9" t="str">
        <f>IFERROR(__xludf.DUMMYFUNCTION("""COMPUTED_VALUE"""),"G-REQ-04819")</f>
        <v>G-REQ-04819</v>
      </c>
      <c r="B4820" s="11">
        <f>IFERROR(__xludf.DUMMYFUNCTION("""COMPUTED_VALUE"""),46104.3058218765)</f>
        <v>46104.30582</v>
      </c>
      <c r="C4820" s="9">
        <f>IFERROR(__xludf.DUMMYFUNCTION("""COMPUTED_VALUE"""),18551.0)</f>
        <v>18551</v>
      </c>
      <c r="D4820" s="9" t="str">
        <f>IFERROR(__xludf.DUMMYFUNCTION("""COMPUTED_VALUE"""),"Completed")</f>
        <v>Completed</v>
      </c>
    </row>
    <row r="4821">
      <c r="A4821" s="9" t="str">
        <f>IFERROR(__xludf.DUMMYFUNCTION("""COMPUTED_VALUE"""),"G-REQ-04820")</f>
        <v>G-REQ-04820</v>
      </c>
      <c r="B4821" s="11">
        <f>IFERROR(__xludf.DUMMYFUNCTION("""COMPUTED_VALUE"""),46104.37699672192)</f>
        <v>46104.377</v>
      </c>
      <c r="C4821" s="9">
        <f>IFERROR(__xludf.DUMMYFUNCTION("""COMPUTED_VALUE"""),18555.0)</f>
        <v>18555</v>
      </c>
      <c r="D4821" s="9" t="str">
        <f>IFERROR(__xludf.DUMMYFUNCTION("""COMPUTED_VALUE"""),"Completed")</f>
        <v>Completed</v>
      </c>
    </row>
    <row r="4822">
      <c r="A4822" s="9" t="str">
        <f>IFERROR(__xludf.DUMMYFUNCTION("""COMPUTED_VALUE"""),"G-REQ-04821")</f>
        <v>G-REQ-04821</v>
      </c>
      <c r="B4822" s="11">
        <f>IFERROR(__xludf.DUMMYFUNCTION("""COMPUTED_VALUE"""),46104.44122712289)</f>
        <v>46104.44123</v>
      </c>
      <c r="C4822" s="9">
        <f>IFERROR(__xludf.DUMMYFUNCTION("""COMPUTED_VALUE"""),18557.0)</f>
        <v>18557</v>
      </c>
      <c r="D4822" s="9" t="str">
        <f>IFERROR(__xludf.DUMMYFUNCTION("""COMPUTED_VALUE"""),"Cancelled")</f>
        <v>Cancelled</v>
      </c>
    </row>
    <row r="4823">
      <c r="A4823" s="9" t="str">
        <f>IFERROR(__xludf.DUMMYFUNCTION("""COMPUTED_VALUE"""),"G-REQ-04822")</f>
        <v>G-REQ-04822</v>
      </c>
      <c r="B4823" s="11">
        <f>IFERROR(__xludf.DUMMYFUNCTION("""COMPUTED_VALUE"""),46104.51934641275)</f>
        <v>46104.51935</v>
      </c>
      <c r="C4823" s="9">
        <f>IFERROR(__xludf.DUMMYFUNCTION("""COMPUTED_VALUE"""),18561.0)</f>
        <v>18561</v>
      </c>
      <c r="D4823" s="9" t="str">
        <f>IFERROR(__xludf.DUMMYFUNCTION("""COMPUTED_VALUE"""),"Completed")</f>
        <v>Completed</v>
      </c>
    </row>
    <row r="4824">
      <c r="A4824" s="9" t="str">
        <f>IFERROR(__xludf.DUMMYFUNCTION("""COMPUTED_VALUE"""),"G-REQ-04823")</f>
        <v>G-REQ-04823</v>
      </c>
      <c r="B4824" s="11">
        <f>IFERROR(__xludf.DUMMYFUNCTION("""COMPUTED_VALUE"""),46104.58357681372)</f>
        <v>46104.58358</v>
      </c>
      <c r="C4824" s="9">
        <f>IFERROR(__xludf.DUMMYFUNCTION("""COMPUTED_VALUE"""),18563.0)</f>
        <v>18563</v>
      </c>
      <c r="D4824" s="9" t="str">
        <f>IFERROR(__xludf.DUMMYFUNCTION("""COMPUTED_VALUE"""),"Cancelled")</f>
        <v>Cancelled</v>
      </c>
    </row>
    <row r="4825">
      <c r="A4825" s="9" t="str">
        <f>IFERROR(__xludf.DUMMYFUNCTION("""COMPUTED_VALUE"""),"G-REQ-04824")</f>
        <v>G-REQ-04824</v>
      </c>
      <c r="B4825" s="11">
        <f>IFERROR(__xludf.DUMMYFUNCTION("""COMPUTED_VALUE"""),46104.661696103576)</f>
        <v>46104.6617</v>
      </c>
      <c r="C4825" s="9">
        <f>IFERROR(__xludf.DUMMYFUNCTION("""COMPUTED_VALUE"""),18567.0)</f>
        <v>18567</v>
      </c>
      <c r="D4825" s="9" t="str">
        <f>IFERROR(__xludf.DUMMYFUNCTION("""COMPUTED_VALUE"""),"Completed")</f>
        <v>Completed</v>
      </c>
    </row>
    <row r="4826">
      <c r="A4826" s="9" t="str">
        <f>IFERROR(__xludf.DUMMYFUNCTION("""COMPUTED_VALUE"""),"G-REQ-04825")</f>
        <v>G-REQ-04825</v>
      </c>
      <c r="B4826" s="11">
        <f>IFERROR(__xludf.DUMMYFUNCTION("""COMPUTED_VALUE"""),46104.732870948996)</f>
        <v>46104.73287</v>
      </c>
      <c r="C4826" s="9">
        <f>IFERROR(__xludf.DUMMYFUNCTION("""COMPUTED_VALUE"""),18571.0)</f>
        <v>18571</v>
      </c>
      <c r="D4826" s="9" t="str">
        <f>IFERROR(__xludf.DUMMYFUNCTION("""COMPUTED_VALUE"""),"Completed")</f>
        <v>Completed</v>
      </c>
    </row>
    <row r="4827">
      <c r="A4827" s="9" t="str">
        <f>IFERROR(__xludf.DUMMYFUNCTION("""COMPUTED_VALUE"""),"G-REQ-04826")</f>
        <v>G-REQ-04826</v>
      </c>
      <c r="B4827" s="11">
        <f>IFERROR(__xludf.DUMMYFUNCTION("""COMPUTED_VALUE"""),46104.80404579441)</f>
        <v>46104.80405</v>
      </c>
      <c r="C4827" s="9">
        <f>IFERROR(__xludf.DUMMYFUNCTION("""COMPUTED_VALUE"""),18575.0)</f>
        <v>18575</v>
      </c>
      <c r="D4827" s="9" t="str">
        <f>IFERROR(__xludf.DUMMYFUNCTION("""COMPUTED_VALUE"""),"Completed")</f>
        <v>Completed</v>
      </c>
    </row>
    <row r="4828">
      <c r="A4828" s="9" t="str">
        <f>IFERROR(__xludf.DUMMYFUNCTION("""COMPUTED_VALUE"""),"G-REQ-04827")</f>
        <v>G-REQ-04827</v>
      </c>
      <c r="B4828" s="11">
        <f>IFERROR(__xludf.DUMMYFUNCTION("""COMPUTED_VALUE"""),46104.87522063982)</f>
        <v>46104.87522</v>
      </c>
      <c r="C4828" s="9">
        <f>IFERROR(__xludf.DUMMYFUNCTION("""COMPUTED_VALUE"""),18579.0)</f>
        <v>18579</v>
      </c>
      <c r="D4828" s="9" t="str">
        <f>IFERROR(__xludf.DUMMYFUNCTION("""COMPUTED_VALUE"""),"Completed")</f>
        <v>Completed</v>
      </c>
    </row>
    <row r="4829">
      <c r="A4829" s="9" t="str">
        <f>IFERROR(__xludf.DUMMYFUNCTION("""COMPUTED_VALUE"""),"G-REQ-04828")</f>
        <v>G-REQ-04828</v>
      </c>
      <c r="B4829" s="11">
        <f>IFERROR(__xludf.DUMMYFUNCTION("""COMPUTED_VALUE"""),46104.939451040795)</f>
        <v>46104.93945</v>
      </c>
      <c r="C4829" s="9">
        <f>IFERROR(__xludf.DUMMYFUNCTION("""COMPUTED_VALUE"""),18581.0)</f>
        <v>18581</v>
      </c>
      <c r="D4829" s="9" t="str">
        <f>IFERROR(__xludf.DUMMYFUNCTION("""COMPUTED_VALUE"""),"Cancelled")</f>
        <v>Cancelled</v>
      </c>
    </row>
    <row r="4830">
      <c r="A4830" s="9" t="str">
        <f>IFERROR(__xludf.DUMMYFUNCTION("""COMPUTED_VALUE"""),"G-REQ-04829")</f>
        <v>G-REQ-04829</v>
      </c>
      <c r="B4830" s="11">
        <f>IFERROR(__xludf.DUMMYFUNCTION("""COMPUTED_VALUE"""),46105.01757033065)</f>
        <v>46105.01757</v>
      </c>
      <c r="C4830" s="9">
        <f>IFERROR(__xludf.DUMMYFUNCTION("""COMPUTED_VALUE"""),18585.0)</f>
        <v>18585</v>
      </c>
      <c r="D4830" s="9" t="str">
        <f>IFERROR(__xludf.DUMMYFUNCTION("""COMPUTED_VALUE"""),"Completed")</f>
        <v>Completed</v>
      </c>
    </row>
    <row r="4831">
      <c r="A4831" s="9" t="str">
        <f>IFERROR(__xludf.DUMMYFUNCTION("""COMPUTED_VALUE"""),"G-REQ-04830")</f>
        <v>G-REQ-04830</v>
      </c>
      <c r="B4831" s="11">
        <f>IFERROR(__xludf.DUMMYFUNCTION("""COMPUTED_VALUE"""),46105.088745176065)</f>
        <v>46105.08875</v>
      </c>
      <c r="C4831" s="9">
        <f>IFERROR(__xludf.DUMMYFUNCTION("""COMPUTED_VALUE"""),18589.0)</f>
        <v>18589</v>
      </c>
      <c r="D4831" s="9" t="str">
        <f>IFERROR(__xludf.DUMMYFUNCTION("""COMPUTED_VALUE"""),"Completed")</f>
        <v>Completed</v>
      </c>
    </row>
    <row r="4832">
      <c r="A4832" s="9" t="str">
        <f>IFERROR(__xludf.DUMMYFUNCTION("""COMPUTED_VALUE"""),"G-REQ-04831")</f>
        <v>G-REQ-04831</v>
      </c>
      <c r="B4832" s="11">
        <f>IFERROR(__xludf.DUMMYFUNCTION("""COMPUTED_VALUE"""),46105.159920021484)</f>
        <v>46105.15992</v>
      </c>
      <c r="C4832" s="9">
        <f>IFERROR(__xludf.DUMMYFUNCTION("""COMPUTED_VALUE"""),18593.0)</f>
        <v>18593</v>
      </c>
      <c r="D4832" s="9" t="str">
        <f>IFERROR(__xludf.DUMMYFUNCTION("""COMPUTED_VALUE"""),"Completed")</f>
        <v>Completed</v>
      </c>
    </row>
    <row r="4833">
      <c r="A4833" s="9" t="str">
        <f>IFERROR(__xludf.DUMMYFUNCTION("""COMPUTED_VALUE"""),"G-REQ-04832")</f>
        <v>G-REQ-04832</v>
      </c>
      <c r="B4833" s="11">
        <f>IFERROR(__xludf.DUMMYFUNCTION("""COMPUTED_VALUE"""),46105.231094866904)</f>
        <v>46105.23109</v>
      </c>
      <c r="C4833" s="9">
        <f>IFERROR(__xludf.DUMMYFUNCTION("""COMPUTED_VALUE"""),18597.0)</f>
        <v>18597</v>
      </c>
      <c r="D4833" s="9" t="str">
        <f>IFERROR(__xludf.DUMMYFUNCTION("""COMPUTED_VALUE"""),"Completed")</f>
        <v>Completed</v>
      </c>
    </row>
    <row r="4834">
      <c r="A4834" s="9" t="str">
        <f>IFERROR(__xludf.DUMMYFUNCTION("""COMPUTED_VALUE"""),"G-REQ-04833")</f>
        <v>G-REQ-04833</v>
      </c>
      <c r="B4834" s="11">
        <f>IFERROR(__xludf.DUMMYFUNCTION("""COMPUTED_VALUE"""),46105.30226971231)</f>
        <v>46105.30227</v>
      </c>
      <c r="C4834" s="9">
        <f>IFERROR(__xludf.DUMMYFUNCTION("""COMPUTED_VALUE"""),18601.0)</f>
        <v>18601</v>
      </c>
      <c r="D4834" s="9" t="str">
        <f>IFERROR(__xludf.DUMMYFUNCTION("""COMPUTED_VALUE"""),"Completed")</f>
        <v>Completed</v>
      </c>
    </row>
    <row r="4835">
      <c r="A4835" s="9" t="str">
        <f>IFERROR(__xludf.DUMMYFUNCTION("""COMPUTED_VALUE"""),"G-REQ-04834")</f>
        <v>G-REQ-04834</v>
      </c>
      <c r="B4835" s="11">
        <f>IFERROR(__xludf.DUMMYFUNCTION("""COMPUTED_VALUE"""),46105.37344455773)</f>
        <v>46105.37344</v>
      </c>
      <c r="C4835" s="9">
        <f>IFERROR(__xludf.DUMMYFUNCTION("""COMPUTED_VALUE"""),18605.0)</f>
        <v>18605</v>
      </c>
      <c r="D4835" s="9" t="str">
        <f>IFERROR(__xludf.DUMMYFUNCTION("""COMPUTED_VALUE"""),"Completed")</f>
        <v>Completed</v>
      </c>
    </row>
    <row r="4836">
      <c r="A4836" s="9" t="str">
        <f>IFERROR(__xludf.DUMMYFUNCTION("""COMPUTED_VALUE"""),"G-REQ-04835")</f>
        <v>G-REQ-04835</v>
      </c>
      <c r="B4836" s="11">
        <f>IFERROR(__xludf.DUMMYFUNCTION("""COMPUTED_VALUE"""),46105.4376749587)</f>
        <v>46105.43767</v>
      </c>
      <c r="C4836" s="9">
        <f>IFERROR(__xludf.DUMMYFUNCTION("""COMPUTED_VALUE"""),18607.0)</f>
        <v>18607</v>
      </c>
      <c r="D4836" s="9" t="str">
        <f>IFERROR(__xludf.DUMMYFUNCTION("""COMPUTED_VALUE"""),"Rejected")</f>
        <v>Rejected</v>
      </c>
    </row>
    <row r="4837">
      <c r="A4837" s="9" t="str">
        <f>IFERROR(__xludf.DUMMYFUNCTION("""COMPUTED_VALUE"""),"G-REQ-04836")</f>
        <v>G-REQ-04836</v>
      </c>
      <c r="B4837" s="11">
        <f>IFERROR(__xludf.DUMMYFUNCTION("""COMPUTED_VALUE"""),46105.51579424856)</f>
        <v>46105.51579</v>
      </c>
      <c r="C4837" s="9">
        <f>IFERROR(__xludf.DUMMYFUNCTION("""COMPUTED_VALUE"""),18611.0)</f>
        <v>18611</v>
      </c>
      <c r="D4837" s="9" t="str">
        <f>IFERROR(__xludf.DUMMYFUNCTION("""COMPUTED_VALUE"""),"Completed")</f>
        <v>Completed</v>
      </c>
    </row>
    <row r="4838">
      <c r="A4838" s="9" t="str">
        <f>IFERROR(__xludf.DUMMYFUNCTION("""COMPUTED_VALUE"""),"G-REQ-04837")</f>
        <v>G-REQ-04837</v>
      </c>
      <c r="B4838" s="11">
        <f>IFERROR(__xludf.DUMMYFUNCTION("""COMPUTED_VALUE"""),46105.58002464953)</f>
        <v>46105.58002</v>
      </c>
      <c r="C4838" s="9">
        <f>IFERROR(__xludf.DUMMYFUNCTION("""COMPUTED_VALUE"""),18613.0)</f>
        <v>18613</v>
      </c>
      <c r="D4838" s="9" t="str">
        <f>IFERROR(__xludf.DUMMYFUNCTION("""COMPUTED_VALUE"""),"Cancelled")</f>
        <v>Cancelled</v>
      </c>
    </row>
    <row r="4839">
      <c r="A4839" s="9" t="str">
        <f>IFERROR(__xludf.DUMMYFUNCTION("""COMPUTED_VALUE"""),"G-REQ-04838")</f>
        <v>G-REQ-04838</v>
      </c>
      <c r="B4839" s="11">
        <f>IFERROR(__xludf.DUMMYFUNCTION("""COMPUTED_VALUE"""),46105.65814393939)</f>
        <v>46105.65814</v>
      </c>
      <c r="C4839" s="9">
        <f>IFERROR(__xludf.DUMMYFUNCTION("""COMPUTED_VALUE"""),18617.0)</f>
        <v>18617</v>
      </c>
      <c r="D4839" s="9" t="str">
        <f>IFERROR(__xludf.DUMMYFUNCTION("""COMPUTED_VALUE"""),"Completed")</f>
        <v>Completed</v>
      </c>
    </row>
    <row r="4840">
      <c r="A4840" s="9" t="str">
        <f>IFERROR(__xludf.DUMMYFUNCTION("""COMPUTED_VALUE"""),"G-REQ-04839")</f>
        <v>G-REQ-04839</v>
      </c>
      <c r="B4840" s="11">
        <f>IFERROR(__xludf.DUMMYFUNCTION("""COMPUTED_VALUE"""),46105.729318784804)</f>
        <v>46105.72932</v>
      </c>
      <c r="C4840" s="9">
        <f>IFERROR(__xludf.DUMMYFUNCTION("""COMPUTED_VALUE"""),18621.0)</f>
        <v>18621</v>
      </c>
      <c r="D4840" s="9" t="str">
        <f>IFERROR(__xludf.DUMMYFUNCTION("""COMPUTED_VALUE"""),"Completed")</f>
        <v>Completed</v>
      </c>
    </row>
    <row r="4841">
      <c r="A4841" s="9" t="str">
        <f>IFERROR(__xludf.DUMMYFUNCTION("""COMPUTED_VALUE"""),"G-REQ-04840")</f>
        <v>G-REQ-04840</v>
      </c>
      <c r="B4841" s="11">
        <f>IFERROR(__xludf.DUMMYFUNCTION("""COMPUTED_VALUE"""),46105.80049363022)</f>
        <v>46105.80049</v>
      </c>
      <c r="C4841" s="9">
        <f>IFERROR(__xludf.DUMMYFUNCTION("""COMPUTED_VALUE"""),18625.0)</f>
        <v>18625</v>
      </c>
      <c r="D4841" s="9" t="str">
        <f>IFERROR(__xludf.DUMMYFUNCTION("""COMPUTED_VALUE"""),"Completed")</f>
        <v>Completed</v>
      </c>
    </row>
    <row r="4842">
      <c r="A4842" s="9" t="str">
        <f>IFERROR(__xludf.DUMMYFUNCTION("""COMPUTED_VALUE"""),"G-REQ-04841")</f>
        <v>G-REQ-04841</v>
      </c>
      <c r="B4842" s="11">
        <f>IFERROR(__xludf.DUMMYFUNCTION("""COMPUTED_VALUE"""),46105.87166847564)</f>
        <v>46105.87167</v>
      </c>
      <c r="C4842" s="9">
        <f>IFERROR(__xludf.DUMMYFUNCTION("""COMPUTED_VALUE"""),18629.0)</f>
        <v>18629</v>
      </c>
      <c r="D4842" s="9" t="str">
        <f>IFERROR(__xludf.DUMMYFUNCTION("""COMPUTED_VALUE"""),"Completed")</f>
        <v>Completed</v>
      </c>
    </row>
    <row r="4843">
      <c r="A4843" s="9" t="str">
        <f>IFERROR(__xludf.DUMMYFUNCTION("""COMPUTED_VALUE"""),"G-REQ-04842")</f>
        <v>G-REQ-04842</v>
      </c>
      <c r="B4843" s="11">
        <f>IFERROR(__xludf.DUMMYFUNCTION("""COMPUTED_VALUE"""),46105.94284332105)</f>
        <v>46105.94284</v>
      </c>
      <c r="C4843" s="9">
        <f>IFERROR(__xludf.DUMMYFUNCTION("""COMPUTED_VALUE"""),18633.0)</f>
        <v>18633</v>
      </c>
      <c r="D4843" s="9" t="str">
        <f>IFERROR(__xludf.DUMMYFUNCTION("""COMPUTED_VALUE"""),"Completed")</f>
        <v>Completed</v>
      </c>
    </row>
    <row r="4844">
      <c r="A4844" s="9" t="str">
        <f>IFERROR(__xludf.DUMMYFUNCTION("""COMPUTED_VALUE"""),"G-REQ-04843")</f>
        <v>G-REQ-04843</v>
      </c>
      <c r="B4844" s="11">
        <f>IFERROR(__xludf.DUMMYFUNCTION("""COMPUTED_VALUE"""),46106.01401816646)</f>
        <v>46106.01402</v>
      </c>
      <c r="C4844" s="9">
        <f>IFERROR(__xludf.DUMMYFUNCTION("""COMPUTED_VALUE"""),18637.0)</f>
        <v>18637</v>
      </c>
      <c r="D4844" s="9" t="str">
        <f>IFERROR(__xludf.DUMMYFUNCTION("""COMPUTED_VALUE"""),"Completed")</f>
        <v>Completed</v>
      </c>
    </row>
    <row r="4845">
      <c r="A4845" s="9" t="str">
        <f>IFERROR(__xludf.DUMMYFUNCTION("""COMPUTED_VALUE"""),"G-REQ-04844")</f>
        <v>G-REQ-04844</v>
      </c>
      <c r="B4845" s="11">
        <f>IFERROR(__xludf.DUMMYFUNCTION("""COMPUTED_VALUE"""),46106.08519301188)</f>
        <v>46106.08519</v>
      </c>
      <c r="C4845" s="9">
        <f>IFERROR(__xludf.DUMMYFUNCTION("""COMPUTED_VALUE"""),18641.0)</f>
        <v>18641</v>
      </c>
      <c r="D4845" s="9" t="str">
        <f>IFERROR(__xludf.DUMMYFUNCTION("""COMPUTED_VALUE"""),"Completed")</f>
        <v>Completed</v>
      </c>
    </row>
    <row r="4846">
      <c r="A4846" s="9" t="str">
        <f>IFERROR(__xludf.DUMMYFUNCTION("""COMPUTED_VALUE"""),"G-REQ-04845")</f>
        <v>G-REQ-04845</v>
      </c>
      <c r="B4846" s="11">
        <f>IFERROR(__xludf.DUMMYFUNCTION("""COMPUTED_VALUE"""),46106.15636785729)</f>
        <v>46106.15637</v>
      </c>
      <c r="C4846" s="9">
        <f>IFERROR(__xludf.DUMMYFUNCTION("""COMPUTED_VALUE"""),18645.0)</f>
        <v>18645</v>
      </c>
      <c r="D4846" s="9" t="str">
        <f>IFERROR(__xludf.DUMMYFUNCTION("""COMPUTED_VALUE"""),"Completed")</f>
        <v>Completed</v>
      </c>
    </row>
    <row r="4847">
      <c r="A4847" s="9" t="str">
        <f>IFERROR(__xludf.DUMMYFUNCTION("""COMPUTED_VALUE"""),"G-REQ-04846")</f>
        <v>G-REQ-04846</v>
      </c>
      <c r="B4847" s="11">
        <f>IFERROR(__xludf.DUMMYFUNCTION("""COMPUTED_VALUE"""),46106.22754270271)</f>
        <v>46106.22754</v>
      </c>
      <c r="C4847" s="9">
        <f>IFERROR(__xludf.DUMMYFUNCTION("""COMPUTED_VALUE"""),18649.0)</f>
        <v>18649</v>
      </c>
      <c r="D4847" s="9" t="str">
        <f>IFERROR(__xludf.DUMMYFUNCTION("""COMPUTED_VALUE"""),"Completed")</f>
        <v>Completed</v>
      </c>
    </row>
    <row r="4848">
      <c r="A4848" s="9" t="str">
        <f>IFERROR(__xludf.DUMMYFUNCTION("""COMPUTED_VALUE"""),"G-REQ-04847")</f>
        <v>G-REQ-04847</v>
      </c>
      <c r="B4848" s="11">
        <f>IFERROR(__xludf.DUMMYFUNCTION("""COMPUTED_VALUE"""),46106.29177310368)</f>
        <v>46106.29177</v>
      </c>
      <c r="C4848" s="9">
        <f>IFERROR(__xludf.DUMMYFUNCTION("""COMPUTED_VALUE"""),18651.0)</f>
        <v>18651</v>
      </c>
      <c r="D4848" s="9" t="str">
        <f>IFERROR(__xludf.DUMMYFUNCTION("""COMPUTED_VALUE"""),"Rejected")</f>
        <v>Rejected</v>
      </c>
    </row>
    <row r="4849">
      <c r="A4849" s="9" t="str">
        <f>IFERROR(__xludf.DUMMYFUNCTION("""COMPUTED_VALUE"""),"G-REQ-04848")</f>
        <v>G-REQ-04848</v>
      </c>
      <c r="B4849" s="11">
        <f>IFERROR(__xludf.DUMMYFUNCTION("""COMPUTED_VALUE"""),46106.369892393544)</f>
        <v>46106.36989</v>
      </c>
      <c r="C4849" s="9">
        <f>IFERROR(__xludf.DUMMYFUNCTION("""COMPUTED_VALUE"""),18655.0)</f>
        <v>18655</v>
      </c>
      <c r="D4849" s="9" t="str">
        <f>IFERROR(__xludf.DUMMYFUNCTION("""COMPUTED_VALUE"""),"Completed")</f>
        <v>Completed</v>
      </c>
    </row>
    <row r="4850">
      <c r="A4850" s="9" t="str">
        <f>IFERROR(__xludf.DUMMYFUNCTION("""COMPUTED_VALUE"""),"G-REQ-04849")</f>
        <v>G-REQ-04849</v>
      </c>
      <c r="B4850" s="11">
        <f>IFERROR(__xludf.DUMMYFUNCTION("""COMPUTED_VALUE"""),46106.44106723895)</f>
        <v>46106.44107</v>
      </c>
      <c r="C4850" s="9">
        <f>IFERROR(__xludf.DUMMYFUNCTION("""COMPUTED_VALUE"""),18659.0)</f>
        <v>18659</v>
      </c>
      <c r="D4850" s="9" t="str">
        <f>IFERROR(__xludf.DUMMYFUNCTION("""COMPUTED_VALUE"""),"Completed")</f>
        <v>Completed</v>
      </c>
    </row>
    <row r="4851">
      <c r="A4851" s="9" t="str">
        <f>IFERROR(__xludf.DUMMYFUNCTION("""COMPUTED_VALUE"""),"G-REQ-04850")</f>
        <v>G-REQ-04850</v>
      </c>
      <c r="B4851" s="11">
        <f>IFERROR(__xludf.DUMMYFUNCTION("""COMPUTED_VALUE"""),46106.51224208437)</f>
        <v>46106.51224</v>
      </c>
      <c r="C4851" s="9">
        <f>IFERROR(__xludf.DUMMYFUNCTION("""COMPUTED_VALUE"""),18663.0)</f>
        <v>18663</v>
      </c>
      <c r="D4851" s="9" t="str">
        <f>IFERROR(__xludf.DUMMYFUNCTION("""COMPUTED_VALUE"""),"Completed")</f>
        <v>Completed</v>
      </c>
    </row>
    <row r="4852">
      <c r="A4852" s="9" t="str">
        <f>IFERROR(__xludf.DUMMYFUNCTION("""COMPUTED_VALUE"""),"G-REQ-04851")</f>
        <v>G-REQ-04851</v>
      </c>
      <c r="B4852" s="11">
        <f>IFERROR(__xludf.DUMMYFUNCTION("""COMPUTED_VALUE"""),46106.58341692979)</f>
        <v>46106.58342</v>
      </c>
      <c r="C4852" s="9">
        <f>IFERROR(__xludf.DUMMYFUNCTION("""COMPUTED_VALUE"""),18667.0)</f>
        <v>18667</v>
      </c>
      <c r="D4852" s="9" t="str">
        <f>IFERROR(__xludf.DUMMYFUNCTION("""COMPUTED_VALUE"""),"Completed")</f>
        <v>Completed</v>
      </c>
    </row>
    <row r="4853">
      <c r="A4853" s="9" t="str">
        <f>IFERROR(__xludf.DUMMYFUNCTION("""COMPUTED_VALUE"""),"G-REQ-04852")</f>
        <v>G-REQ-04852</v>
      </c>
      <c r="B4853" s="11">
        <f>IFERROR(__xludf.DUMMYFUNCTION("""COMPUTED_VALUE"""),46106.6545917752)</f>
        <v>46106.65459</v>
      </c>
      <c r="C4853" s="9">
        <f>IFERROR(__xludf.DUMMYFUNCTION("""COMPUTED_VALUE"""),18671.0)</f>
        <v>18671</v>
      </c>
      <c r="D4853" s="9" t="str">
        <f>IFERROR(__xludf.DUMMYFUNCTION("""COMPUTED_VALUE"""),"Completed")</f>
        <v>Completed</v>
      </c>
    </row>
    <row r="4854">
      <c r="A4854" s="9" t="str">
        <f>IFERROR(__xludf.DUMMYFUNCTION("""COMPUTED_VALUE"""),"G-REQ-04853")</f>
        <v>G-REQ-04853</v>
      </c>
      <c r="B4854" s="11">
        <f>IFERROR(__xludf.DUMMYFUNCTION("""COMPUTED_VALUE"""),46106.72576662061)</f>
        <v>46106.72577</v>
      </c>
      <c r="C4854" s="9">
        <f>IFERROR(__xludf.DUMMYFUNCTION("""COMPUTED_VALUE"""),18675.0)</f>
        <v>18675</v>
      </c>
      <c r="D4854" s="9" t="str">
        <f>IFERROR(__xludf.DUMMYFUNCTION("""COMPUTED_VALUE"""),"Completed")</f>
        <v>Completed</v>
      </c>
    </row>
    <row r="4855">
      <c r="A4855" s="9" t="str">
        <f>IFERROR(__xludf.DUMMYFUNCTION("""COMPUTED_VALUE"""),"G-REQ-04854")</f>
        <v>G-REQ-04854</v>
      </c>
      <c r="B4855" s="11">
        <f>IFERROR(__xludf.DUMMYFUNCTION("""COMPUTED_VALUE"""),46106.79694146603)</f>
        <v>46106.79694</v>
      </c>
      <c r="C4855" s="9">
        <f>IFERROR(__xludf.DUMMYFUNCTION("""COMPUTED_VALUE"""),18679.0)</f>
        <v>18679</v>
      </c>
      <c r="D4855" s="9" t="str">
        <f>IFERROR(__xludf.DUMMYFUNCTION("""COMPUTED_VALUE"""),"Completed")</f>
        <v>Completed</v>
      </c>
    </row>
    <row r="4856">
      <c r="A4856" s="9" t="str">
        <f>IFERROR(__xludf.DUMMYFUNCTION("""COMPUTED_VALUE"""),"G-REQ-04855")</f>
        <v>G-REQ-04855</v>
      </c>
      <c r="B4856" s="11">
        <f>IFERROR(__xludf.DUMMYFUNCTION("""COMPUTED_VALUE"""),46106.868116311445)</f>
        <v>46106.86812</v>
      </c>
      <c r="C4856" s="9">
        <f>IFERROR(__xludf.DUMMYFUNCTION("""COMPUTED_VALUE"""),18683.0)</f>
        <v>18683</v>
      </c>
      <c r="D4856" s="9" t="str">
        <f>IFERROR(__xludf.DUMMYFUNCTION("""COMPUTED_VALUE"""),"Completed")</f>
        <v>Completed</v>
      </c>
    </row>
    <row r="4857">
      <c r="A4857" s="9" t="str">
        <f>IFERROR(__xludf.DUMMYFUNCTION("""COMPUTED_VALUE"""),"G-REQ-04856")</f>
        <v>G-REQ-04856</v>
      </c>
      <c r="B4857" s="11">
        <f>IFERROR(__xludf.DUMMYFUNCTION("""COMPUTED_VALUE"""),46106.93929115686)</f>
        <v>46106.93929</v>
      </c>
      <c r="C4857" s="9">
        <f>IFERROR(__xludf.DUMMYFUNCTION("""COMPUTED_VALUE"""),18687.0)</f>
        <v>18687</v>
      </c>
      <c r="D4857" s="9" t="str">
        <f>IFERROR(__xludf.DUMMYFUNCTION("""COMPUTED_VALUE"""),"Completed")</f>
        <v>Completed</v>
      </c>
    </row>
    <row r="4858">
      <c r="A4858" s="9" t="str">
        <f>IFERROR(__xludf.DUMMYFUNCTION("""COMPUTED_VALUE"""),"G-REQ-04857")</f>
        <v>G-REQ-04857</v>
      </c>
      <c r="B4858" s="11">
        <f>IFERROR(__xludf.DUMMYFUNCTION("""COMPUTED_VALUE"""),46107.00352155783)</f>
        <v>46107.00352</v>
      </c>
      <c r="C4858" s="9">
        <f>IFERROR(__xludf.DUMMYFUNCTION("""COMPUTED_VALUE"""),18689.0)</f>
        <v>18689</v>
      </c>
      <c r="D4858" s="9" t="str">
        <f>IFERROR(__xludf.DUMMYFUNCTION("""COMPUTED_VALUE"""),"Rejected")</f>
        <v>Rejected</v>
      </c>
    </row>
    <row r="4859">
      <c r="A4859" s="9" t="str">
        <f>IFERROR(__xludf.DUMMYFUNCTION("""COMPUTED_VALUE"""),"G-REQ-04858")</f>
        <v>G-REQ-04858</v>
      </c>
      <c r="B4859" s="11">
        <f>IFERROR(__xludf.DUMMYFUNCTION("""COMPUTED_VALUE"""),46107.0816408477)</f>
        <v>46107.08164</v>
      </c>
      <c r="C4859" s="9">
        <f>IFERROR(__xludf.DUMMYFUNCTION("""COMPUTED_VALUE"""),18693.0)</f>
        <v>18693</v>
      </c>
      <c r="D4859" s="9" t="str">
        <f>IFERROR(__xludf.DUMMYFUNCTION("""COMPUTED_VALUE"""),"Completed")</f>
        <v>Completed</v>
      </c>
    </row>
    <row r="4860">
      <c r="A4860" s="9" t="str">
        <f>IFERROR(__xludf.DUMMYFUNCTION("""COMPUTED_VALUE"""),"G-REQ-04859")</f>
        <v>G-REQ-04859</v>
      </c>
      <c r="B4860" s="11">
        <f>IFERROR(__xludf.DUMMYFUNCTION("""COMPUTED_VALUE"""),46107.1528156931)</f>
        <v>46107.15282</v>
      </c>
      <c r="C4860" s="9">
        <f>IFERROR(__xludf.DUMMYFUNCTION("""COMPUTED_VALUE"""),18697.0)</f>
        <v>18697</v>
      </c>
      <c r="D4860" s="9" t="str">
        <f>IFERROR(__xludf.DUMMYFUNCTION("""COMPUTED_VALUE"""),"Completed")</f>
        <v>Completed</v>
      </c>
    </row>
    <row r="4861">
      <c r="A4861" s="9" t="str">
        <f>IFERROR(__xludf.DUMMYFUNCTION("""COMPUTED_VALUE"""),"G-REQ-04860")</f>
        <v>G-REQ-04860</v>
      </c>
      <c r="B4861" s="11">
        <f>IFERROR(__xludf.DUMMYFUNCTION("""COMPUTED_VALUE"""),46107.217046094076)</f>
        <v>46107.21705</v>
      </c>
      <c r="C4861" s="9">
        <f>IFERROR(__xludf.DUMMYFUNCTION("""COMPUTED_VALUE"""),18699.0)</f>
        <v>18699</v>
      </c>
      <c r="D4861" s="9" t="str">
        <f>IFERROR(__xludf.DUMMYFUNCTION("""COMPUTED_VALUE"""),"Rejected")</f>
        <v>Rejected</v>
      </c>
    </row>
    <row r="4862">
      <c r="A4862" s="9" t="str">
        <f>IFERROR(__xludf.DUMMYFUNCTION("""COMPUTED_VALUE"""),"G-REQ-04861")</f>
        <v>G-REQ-04861</v>
      </c>
      <c r="B4862" s="11">
        <f>IFERROR(__xludf.DUMMYFUNCTION("""COMPUTED_VALUE"""),46107.29516538393)</f>
        <v>46107.29517</v>
      </c>
      <c r="C4862" s="9">
        <f>IFERROR(__xludf.DUMMYFUNCTION("""COMPUTED_VALUE"""),18703.0)</f>
        <v>18703</v>
      </c>
      <c r="D4862" s="9" t="str">
        <f>IFERROR(__xludf.DUMMYFUNCTION("""COMPUTED_VALUE"""),"Completed")</f>
        <v>Completed</v>
      </c>
    </row>
    <row r="4863">
      <c r="A4863" s="9" t="str">
        <f>IFERROR(__xludf.DUMMYFUNCTION("""COMPUTED_VALUE"""),"G-REQ-04862")</f>
        <v>G-REQ-04862</v>
      </c>
      <c r="B4863" s="11">
        <f>IFERROR(__xludf.DUMMYFUNCTION("""COMPUTED_VALUE"""),46107.36634022935)</f>
        <v>46107.36634</v>
      </c>
      <c r="C4863" s="9">
        <f>IFERROR(__xludf.DUMMYFUNCTION("""COMPUTED_VALUE"""),18707.0)</f>
        <v>18707</v>
      </c>
      <c r="D4863" s="9" t="str">
        <f>IFERROR(__xludf.DUMMYFUNCTION("""COMPUTED_VALUE"""),"Completed")</f>
        <v>Completed</v>
      </c>
    </row>
    <row r="4864">
      <c r="A4864" s="9" t="str">
        <f>IFERROR(__xludf.DUMMYFUNCTION("""COMPUTED_VALUE"""),"G-REQ-04863")</f>
        <v>G-REQ-04863</v>
      </c>
      <c r="B4864" s="11">
        <f>IFERROR(__xludf.DUMMYFUNCTION("""COMPUTED_VALUE"""),46107.437515074766)</f>
        <v>46107.43752</v>
      </c>
      <c r="C4864" s="9">
        <f>IFERROR(__xludf.DUMMYFUNCTION("""COMPUTED_VALUE"""),18711.0)</f>
        <v>18711</v>
      </c>
      <c r="D4864" s="9" t="str">
        <f>IFERROR(__xludf.DUMMYFUNCTION("""COMPUTED_VALUE"""),"Completed")</f>
        <v>Completed</v>
      </c>
    </row>
    <row r="4865">
      <c r="A4865" s="9" t="str">
        <f>IFERROR(__xludf.DUMMYFUNCTION("""COMPUTED_VALUE"""),"G-REQ-04864")</f>
        <v>G-REQ-04864</v>
      </c>
      <c r="B4865" s="11">
        <f>IFERROR(__xludf.DUMMYFUNCTION("""COMPUTED_VALUE"""),46107.508689920185)</f>
        <v>46107.50869</v>
      </c>
      <c r="C4865" s="9">
        <f>IFERROR(__xludf.DUMMYFUNCTION("""COMPUTED_VALUE"""),18715.0)</f>
        <v>18715</v>
      </c>
      <c r="D4865" s="9" t="str">
        <f>IFERROR(__xludf.DUMMYFUNCTION("""COMPUTED_VALUE"""),"Completed")</f>
        <v>Completed</v>
      </c>
    </row>
    <row r="4866">
      <c r="A4866" s="9" t="str">
        <f>IFERROR(__xludf.DUMMYFUNCTION("""COMPUTED_VALUE"""),"G-REQ-04865")</f>
        <v>G-REQ-04865</v>
      </c>
      <c r="B4866" s="11">
        <f>IFERROR(__xludf.DUMMYFUNCTION("""COMPUTED_VALUE"""),46107.5798647656)</f>
        <v>46107.57986</v>
      </c>
      <c r="C4866" s="9">
        <f>IFERROR(__xludf.DUMMYFUNCTION("""COMPUTED_VALUE"""),18719.0)</f>
        <v>18719</v>
      </c>
      <c r="D4866" s="9" t="str">
        <f>IFERROR(__xludf.DUMMYFUNCTION("""COMPUTED_VALUE"""),"Completed")</f>
        <v>Completed</v>
      </c>
    </row>
    <row r="4867">
      <c r="A4867" s="9" t="str">
        <f>IFERROR(__xludf.DUMMYFUNCTION("""COMPUTED_VALUE"""),"G-REQ-04866")</f>
        <v>G-REQ-04866</v>
      </c>
      <c r="B4867" s="11">
        <f>IFERROR(__xludf.DUMMYFUNCTION("""COMPUTED_VALUE"""),46107.65103961101)</f>
        <v>46107.65104</v>
      </c>
      <c r="C4867" s="9">
        <f>IFERROR(__xludf.DUMMYFUNCTION("""COMPUTED_VALUE"""),18723.0)</f>
        <v>18723</v>
      </c>
      <c r="D4867" s="9" t="str">
        <f>IFERROR(__xludf.DUMMYFUNCTION("""COMPUTED_VALUE"""),"Completed")</f>
        <v>Completed</v>
      </c>
    </row>
    <row r="4868">
      <c r="A4868" s="9" t="str">
        <f>IFERROR(__xludf.DUMMYFUNCTION("""COMPUTED_VALUE"""),"G-REQ-04867")</f>
        <v>G-REQ-04867</v>
      </c>
      <c r="B4868" s="11">
        <f>IFERROR(__xludf.DUMMYFUNCTION("""COMPUTED_VALUE"""),46107.72221445643)</f>
        <v>46107.72221</v>
      </c>
      <c r="C4868" s="9">
        <f>IFERROR(__xludf.DUMMYFUNCTION("""COMPUTED_VALUE"""),18727.0)</f>
        <v>18727</v>
      </c>
      <c r="D4868" s="9" t="str">
        <f>IFERROR(__xludf.DUMMYFUNCTION("""COMPUTED_VALUE"""),"Completed")</f>
        <v>Completed</v>
      </c>
    </row>
    <row r="4869">
      <c r="A4869" s="9" t="str">
        <f>IFERROR(__xludf.DUMMYFUNCTION("""COMPUTED_VALUE"""),"G-REQ-04868")</f>
        <v>G-REQ-04868</v>
      </c>
      <c r="B4869" s="11">
        <f>IFERROR(__xludf.DUMMYFUNCTION("""COMPUTED_VALUE"""),46107.79338930184)</f>
        <v>46107.79339</v>
      </c>
      <c r="C4869" s="9">
        <f>IFERROR(__xludf.DUMMYFUNCTION("""COMPUTED_VALUE"""),18731.0)</f>
        <v>18731</v>
      </c>
      <c r="D4869" s="9" t="str">
        <f>IFERROR(__xludf.DUMMYFUNCTION("""COMPUTED_VALUE"""),"Completed")</f>
        <v>Completed</v>
      </c>
    </row>
    <row r="4870">
      <c r="A4870" s="9" t="str">
        <f>IFERROR(__xludf.DUMMYFUNCTION("""COMPUTED_VALUE"""),"G-REQ-04869")</f>
        <v>G-REQ-04869</v>
      </c>
      <c r="B4870" s="11">
        <f>IFERROR(__xludf.DUMMYFUNCTION("""COMPUTED_VALUE"""),46107.864564147254)</f>
        <v>46107.86456</v>
      </c>
      <c r="C4870" s="9">
        <f>IFERROR(__xludf.DUMMYFUNCTION("""COMPUTED_VALUE"""),18735.0)</f>
        <v>18735</v>
      </c>
      <c r="D4870" s="9" t="str">
        <f>IFERROR(__xludf.DUMMYFUNCTION("""COMPUTED_VALUE"""),"Completed")</f>
        <v>Completed</v>
      </c>
    </row>
    <row r="4871">
      <c r="A4871" s="9" t="str">
        <f>IFERROR(__xludf.DUMMYFUNCTION("""COMPUTED_VALUE"""),"G-REQ-04870")</f>
        <v>G-REQ-04870</v>
      </c>
      <c r="B4871" s="11">
        <f>IFERROR(__xludf.DUMMYFUNCTION("""COMPUTED_VALUE"""),46107.93573899267)</f>
        <v>46107.93574</v>
      </c>
      <c r="C4871" s="9">
        <f>IFERROR(__xludf.DUMMYFUNCTION("""COMPUTED_VALUE"""),18739.0)</f>
        <v>18739</v>
      </c>
      <c r="D4871" s="9" t="str">
        <f>IFERROR(__xludf.DUMMYFUNCTION("""COMPUTED_VALUE"""),"Completed")</f>
        <v>Completed</v>
      </c>
    </row>
    <row r="4872">
      <c r="A4872" s="9" t="str">
        <f>IFERROR(__xludf.DUMMYFUNCTION("""COMPUTED_VALUE"""),"G-REQ-04871")</f>
        <v>G-REQ-04871</v>
      </c>
      <c r="B4872" s="11">
        <f>IFERROR(__xludf.DUMMYFUNCTION("""COMPUTED_VALUE"""),46108.006913838086)</f>
        <v>46108.00691</v>
      </c>
      <c r="C4872" s="9">
        <f>IFERROR(__xludf.DUMMYFUNCTION("""COMPUTED_VALUE"""),18743.0)</f>
        <v>18743</v>
      </c>
      <c r="D4872" s="9" t="str">
        <f>IFERROR(__xludf.DUMMYFUNCTION("""COMPUTED_VALUE"""),"Completed")</f>
        <v>Completed</v>
      </c>
    </row>
    <row r="4873">
      <c r="A4873" s="9" t="str">
        <f>IFERROR(__xludf.DUMMYFUNCTION("""COMPUTED_VALUE"""),"G-REQ-04872")</f>
        <v>G-REQ-04872</v>
      </c>
      <c r="B4873" s="11">
        <f>IFERROR(__xludf.DUMMYFUNCTION("""COMPUTED_VALUE"""),46108.0780886835)</f>
        <v>46108.07809</v>
      </c>
      <c r="C4873" s="9">
        <f>IFERROR(__xludf.DUMMYFUNCTION("""COMPUTED_VALUE"""),18747.0)</f>
        <v>18747</v>
      </c>
      <c r="D4873" s="9" t="str">
        <f>IFERROR(__xludf.DUMMYFUNCTION("""COMPUTED_VALUE"""),"Completed")</f>
        <v>Completed</v>
      </c>
    </row>
    <row r="4874">
      <c r="A4874" s="9" t="str">
        <f>IFERROR(__xludf.DUMMYFUNCTION("""COMPUTED_VALUE"""),"G-REQ-04873")</f>
        <v>G-REQ-04873</v>
      </c>
      <c r="B4874" s="11">
        <f>IFERROR(__xludf.DUMMYFUNCTION("""COMPUTED_VALUE"""),46108.14926352892)</f>
        <v>46108.14926</v>
      </c>
      <c r="C4874" s="9">
        <f>IFERROR(__xludf.DUMMYFUNCTION("""COMPUTED_VALUE"""),18751.0)</f>
        <v>18751</v>
      </c>
      <c r="D4874" s="9" t="str">
        <f>IFERROR(__xludf.DUMMYFUNCTION("""COMPUTED_VALUE"""),"Completed")</f>
        <v>Completed</v>
      </c>
    </row>
    <row r="4875">
      <c r="A4875" s="9" t="str">
        <f>IFERROR(__xludf.DUMMYFUNCTION("""COMPUTED_VALUE"""),"G-REQ-04874")</f>
        <v>G-REQ-04874</v>
      </c>
      <c r="B4875" s="11">
        <f>IFERROR(__xludf.DUMMYFUNCTION("""COMPUTED_VALUE"""),46108.22043837434)</f>
        <v>46108.22044</v>
      </c>
      <c r="C4875" s="9">
        <f>IFERROR(__xludf.DUMMYFUNCTION("""COMPUTED_VALUE"""),18755.0)</f>
        <v>18755</v>
      </c>
      <c r="D4875" s="9" t="str">
        <f>IFERROR(__xludf.DUMMYFUNCTION("""COMPUTED_VALUE"""),"Completed")</f>
        <v>Completed</v>
      </c>
    </row>
    <row r="4876">
      <c r="A4876" s="9" t="str">
        <f>IFERROR(__xludf.DUMMYFUNCTION("""COMPUTED_VALUE"""),"G-REQ-04875")</f>
        <v>G-REQ-04875</v>
      </c>
      <c r="B4876" s="11">
        <f>IFERROR(__xludf.DUMMYFUNCTION("""COMPUTED_VALUE"""),46108.29161321974)</f>
        <v>46108.29161</v>
      </c>
      <c r="C4876" s="9">
        <f>IFERROR(__xludf.DUMMYFUNCTION("""COMPUTED_VALUE"""),18759.0)</f>
        <v>18759</v>
      </c>
      <c r="D4876" s="9" t="str">
        <f>IFERROR(__xludf.DUMMYFUNCTION("""COMPUTED_VALUE"""),"Completed")</f>
        <v>Completed</v>
      </c>
    </row>
    <row r="4877">
      <c r="A4877" s="9" t="str">
        <f>IFERROR(__xludf.DUMMYFUNCTION("""COMPUTED_VALUE"""),"G-REQ-04876")</f>
        <v>G-REQ-04876</v>
      </c>
      <c r="B4877" s="11">
        <f>IFERROR(__xludf.DUMMYFUNCTION("""COMPUTED_VALUE"""),46108.36278806516)</f>
        <v>46108.36279</v>
      </c>
      <c r="C4877" s="9">
        <f>IFERROR(__xludf.DUMMYFUNCTION("""COMPUTED_VALUE"""),18763.0)</f>
        <v>18763</v>
      </c>
      <c r="D4877" s="9" t="str">
        <f>IFERROR(__xludf.DUMMYFUNCTION("""COMPUTED_VALUE"""),"Completed")</f>
        <v>Completed</v>
      </c>
    </row>
    <row r="4878">
      <c r="A4878" s="9" t="str">
        <f>IFERROR(__xludf.DUMMYFUNCTION("""COMPUTED_VALUE"""),"G-REQ-04877")</f>
        <v>G-REQ-04877</v>
      </c>
      <c r="B4878" s="11">
        <f>IFERROR(__xludf.DUMMYFUNCTION("""COMPUTED_VALUE"""),46108.43396291058)</f>
        <v>46108.43396</v>
      </c>
      <c r="C4878" s="9">
        <f>IFERROR(__xludf.DUMMYFUNCTION("""COMPUTED_VALUE"""),18767.0)</f>
        <v>18767</v>
      </c>
      <c r="D4878" s="9" t="str">
        <f>IFERROR(__xludf.DUMMYFUNCTION("""COMPUTED_VALUE"""),"Completed")</f>
        <v>Completed</v>
      </c>
    </row>
    <row r="4879">
      <c r="A4879" s="9" t="str">
        <f>IFERROR(__xludf.DUMMYFUNCTION("""COMPUTED_VALUE"""),"G-REQ-04878")</f>
        <v>G-REQ-04878</v>
      </c>
      <c r="B4879" s="11">
        <f>IFERROR(__xludf.DUMMYFUNCTION("""COMPUTED_VALUE"""),46108.505137755994)</f>
        <v>46108.50514</v>
      </c>
      <c r="C4879" s="9">
        <f>IFERROR(__xludf.DUMMYFUNCTION("""COMPUTED_VALUE"""),18771.0)</f>
        <v>18771</v>
      </c>
      <c r="D4879" s="9" t="str">
        <f>IFERROR(__xludf.DUMMYFUNCTION("""COMPUTED_VALUE"""),"Completed")</f>
        <v>Completed</v>
      </c>
    </row>
    <row r="4880">
      <c r="A4880" s="9" t="str">
        <f>IFERROR(__xludf.DUMMYFUNCTION("""COMPUTED_VALUE"""),"G-REQ-04879")</f>
        <v>G-REQ-04879</v>
      </c>
      <c r="B4880" s="11">
        <f>IFERROR(__xludf.DUMMYFUNCTION("""COMPUTED_VALUE"""),46108.56936815696)</f>
        <v>46108.56937</v>
      </c>
      <c r="C4880" s="9">
        <f>IFERROR(__xludf.DUMMYFUNCTION("""COMPUTED_VALUE"""),18773.0)</f>
        <v>18773</v>
      </c>
      <c r="D4880" s="9" t="str">
        <f>IFERROR(__xludf.DUMMYFUNCTION("""COMPUTED_VALUE"""),"Cancelled")</f>
        <v>Cancelled</v>
      </c>
    </row>
    <row r="4881">
      <c r="A4881" s="9" t="str">
        <f>IFERROR(__xludf.DUMMYFUNCTION("""COMPUTED_VALUE"""),"G-REQ-04880")</f>
        <v>G-REQ-04880</v>
      </c>
      <c r="B4881" s="11">
        <f>IFERROR(__xludf.DUMMYFUNCTION("""COMPUTED_VALUE"""),46108.647487446826)</f>
        <v>46108.64749</v>
      </c>
      <c r="C4881" s="9">
        <f>IFERROR(__xludf.DUMMYFUNCTION("""COMPUTED_VALUE"""),18777.0)</f>
        <v>18777</v>
      </c>
      <c r="D4881" s="9" t="str">
        <f>IFERROR(__xludf.DUMMYFUNCTION("""COMPUTED_VALUE"""),"Completed")</f>
        <v>Completed</v>
      </c>
    </row>
    <row r="4882">
      <c r="A4882" s="9" t="str">
        <f>IFERROR(__xludf.DUMMYFUNCTION("""COMPUTED_VALUE"""),"G-REQ-04881")</f>
        <v>G-REQ-04881</v>
      </c>
      <c r="B4882" s="11">
        <f>IFERROR(__xludf.DUMMYFUNCTION("""COMPUTED_VALUE"""),46108.71866229224)</f>
        <v>46108.71866</v>
      </c>
      <c r="C4882" s="9">
        <f>IFERROR(__xludf.DUMMYFUNCTION("""COMPUTED_VALUE"""),18781.0)</f>
        <v>18781</v>
      </c>
      <c r="D4882" s="9" t="str">
        <f>IFERROR(__xludf.DUMMYFUNCTION("""COMPUTED_VALUE"""),"Completed")</f>
        <v>Completed</v>
      </c>
    </row>
    <row r="4883">
      <c r="A4883" s="9" t="str">
        <f>IFERROR(__xludf.DUMMYFUNCTION("""COMPUTED_VALUE"""),"G-REQ-04882")</f>
        <v>G-REQ-04882</v>
      </c>
      <c r="B4883" s="11">
        <f>IFERROR(__xludf.DUMMYFUNCTION("""COMPUTED_VALUE"""),46108.78983713765)</f>
        <v>46108.78984</v>
      </c>
      <c r="C4883" s="9">
        <f>IFERROR(__xludf.DUMMYFUNCTION("""COMPUTED_VALUE"""),18785.0)</f>
        <v>18785</v>
      </c>
      <c r="D4883" s="9" t="str">
        <f>IFERROR(__xludf.DUMMYFUNCTION("""COMPUTED_VALUE"""),"Completed")</f>
        <v>Completed</v>
      </c>
    </row>
    <row r="4884">
      <c r="A4884" s="9" t="str">
        <f>IFERROR(__xludf.DUMMYFUNCTION("""COMPUTED_VALUE"""),"G-REQ-04883")</f>
        <v>G-REQ-04883</v>
      </c>
      <c r="B4884" s="11">
        <f>IFERROR(__xludf.DUMMYFUNCTION("""COMPUTED_VALUE"""),46108.854067538625)</f>
        <v>46108.85407</v>
      </c>
      <c r="C4884" s="9">
        <f>IFERROR(__xludf.DUMMYFUNCTION("""COMPUTED_VALUE"""),18787.0)</f>
        <v>18787</v>
      </c>
      <c r="D4884" s="9" t="str">
        <f>IFERROR(__xludf.DUMMYFUNCTION("""COMPUTED_VALUE"""),"Cancelled")</f>
        <v>Cancelled</v>
      </c>
    </row>
    <row r="4885">
      <c r="A4885" s="9" t="str">
        <f>IFERROR(__xludf.DUMMYFUNCTION("""COMPUTED_VALUE"""),"G-REQ-04884")</f>
        <v>G-REQ-04884</v>
      </c>
      <c r="B4885" s="11">
        <f>IFERROR(__xludf.DUMMYFUNCTION("""COMPUTED_VALUE"""),46108.93218682848)</f>
        <v>46108.93219</v>
      </c>
      <c r="C4885" s="9">
        <f>IFERROR(__xludf.DUMMYFUNCTION("""COMPUTED_VALUE"""),18791.0)</f>
        <v>18791</v>
      </c>
      <c r="D4885" s="9" t="str">
        <f>IFERROR(__xludf.DUMMYFUNCTION("""COMPUTED_VALUE"""),"Completed")</f>
        <v>Completed</v>
      </c>
    </row>
    <row r="4886">
      <c r="A4886" s="9" t="str">
        <f>IFERROR(__xludf.DUMMYFUNCTION("""COMPUTED_VALUE"""),"G-REQ-04885")</f>
        <v>G-REQ-04885</v>
      </c>
      <c r="B4886" s="11">
        <f>IFERROR(__xludf.DUMMYFUNCTION("""COMPUTED_VALUE"""),46109.003361673895)</f>
        <v>46109.00336</v>
      </c>
      <c r="C4886" s="9">
        <f>IFERROR(__xludf.DUMMYFUNCTION("""COMPUTED_VALUE"""),18795.0)</f>
        <v>18795</v>
      </c>
      <c r="D4886" s="9" t="str">
        <f>IFERROR(__xludf.DUMMYFUNCTION("""COMPUTED_VALUE"""),"Completed")</f>
        <v>Completed</v>
      </c>
    </row>
    <row r="4887">
      <c r="A4887" s="9" t="str">
        <f>IFERROR(__xludf.DUMMYFUNCTION("""COMPUTED_VALUE"""),"G-REQ-04886")</f>
        <v>G-REQ-04886</v>
      </c>
      <c r="B4887" s="11">
        <f>IFERROR(__xludf.DUMMYFUNCTION("""COMPUTED_VALUE"""),46109.074536519314)</f>
        <v>46109.07454</v>
      </c>
      <c r="C4887" s="9">
        <f>IFERROR(__xludf.DUMMYFUNCTION("""COMPUTED_VALUE"""),18799.0)</f>
        <v>18799</v>
      </c>
      <c r="D4887" s="9" t="str">
        <f>IFERROR(__xludf.DUMMYFUNCTION("""COMPUTED_VALUE"""),"Completed")</f>
        <v>Completed</v>
      </c>
    </row>
    <row r="4888">
      <c r="A4888" s="9" t="str">
        <f>IFERROR(__xludf.DUMMYFUNCTION("""COMPUTED_VALUE"""),"G-REQ-04887")</f>
        <v>G-REQ-04887</v>
      </c>
      <c r="B4888" s="11">
        <f>IFERROR(__xludf.DUMMYFUNCTION("""COMPUTED_VALUE"""),46109.14571136473)</f>
        <v>46109.14571</v>
      </c>
      <c r="C4888" s="9">
        <f>IFERROR(__xludf.DUMMYFUNCTION("""COMPUTED_VALUE"""),18803.0)</f>
        <v>18803</v>
      </c>
      <c r="D4888" s="9" t="str">
        <f>IFERROR(__xludf.DUMMYFUNCTION("""COMPUTED_VALUE"""),"Completed")</f>
        <v>Completed</v>
      </c>
    </row>
    <row r="4889">
      <c r="A4889" s="9" t="str">
        <f>IFERROR(__xludf.DUMMYFUNCTION("""COMPUTED_VALUE"""),"G-REQ-04888")</f>
        <v>G-REQ-04888</v>
      </c>
      <c r="B4889" s="11">
        <f>IFERROR(__xludf.DUMMYFUNCTION("""COMPUTED_VALUE"""),46109.21688621014)</f>
        <v>46109.21689</v>
      </c>
      <c r="C4889" s="9">
        <f>IFERROR(__xludf.DUMMYFUNCTION("""COMPUTED_VALUE"""),18807.0)</f>
        <v>18807</v>
      </c>
      <c r="D4889" s="9" t="str">
        <f>IFERROR(__xludf.DUMMYFUNCTION("""COMPUTED_VALUE"""),"Completed")</f>
        <v>Completed</v>
      </c>
    </row>
    <row r="4890">
      <c r="A4890" s="9" t="str">
        <f>IFERROR(__xludf.DUMMYFUNCTION("""COMPUTED_VALUE"""),"G-REQ-04889")</f>
        <v>G-REQ-04889</v>
      </c>
      <c r="B4890" s="11">
        <f>IFERROR(__xludf.DUMMYFUNCTION("""COMPUTED_VALUE"""),46109.28806105556)</f>
        <v>46109.28806</v>
      </c>
      <c r="C4890" s="9">
        <f>IFERROR(__xludf.DUMMYFUNCTION("""COMPUTED_VALUE"""),18811.0)</f>
        <v>18811</v>
      </c>
      <c r="D4890" s="9" t="str">
        <f>IFERROR(__xludf.DUMMYFUNCTION("""COMPUTED_VALUE"""),"Completed")</f>
        <v>Completed</v>
      </c>
    </row>
    <row r="4891">
      <c r="A4891" s="9" t="str">
        <f>IFERROR(__xludf.DUMMYFUNCTION("""COMPUTED_VALUE"""),"G-REQ-04890")</f>
        <v>G-REQ-04890</v>
      </c>
      <c r="B4891" s="11">
        <f>IFERROR(__xludf.DUMMYFUNCTION("""COMPUTED_VALUE"""),46109.35923590098)</f>
        <v>46109.35924</v>
      </c>
      <c r="C4891" s="9">
        <f>IFERROR(__xludf.DUMMYFUNCTION("""COMPUTED_VALUE"""),18815.0)</f>
        <v>18815</v>
      </c>
      <c r="D4891" s="9" t="str">
        <f>IFERROR(__xludf.DUMMYFUNCTION("""COMPUTED_VALUE"""),"Completed")</f>
        <v>Completed</v>
      </c>
    </row>
    <row r="4892">
      <c r="A4892" s="9" t="str">
        <f>IFERROR(__xludf.DUMMYFUNCTION("""COMPUTED_VALUE"""),"G-REQ-04891")</f>
        <v>G-REQ-04891</v>
      </c>
      <c r="B4892" s="11">
        <f>IFERROR(__xludf.DUMMYFUNCTION("""COMPUTED_VALUE"""),46109.43041074638)</f>
        <v>46109.43041</v>
      </c>
      <c r="C4892" s="9">
        <f>IFERROR(__xludf.DUMMYFUNCTION("""COMPUTED_VALUE"""),18819.0)</f>
        <v>18819</v>
      </c>
      <c r="D4892" s="9" t="str">
        <f>IFERROR(__xludf.DUMMYFUNCTION("""COMPUTED_VALUE"""),"Completed")</f>
        <v>Completed</v>
      </c>
    </row>
    <row r="4893">
      <c r="A4893" s="9" t="str">
        <f>IFERROR(__xludf.DUMMYFUNCTION("""COMPUTED_VALUE"""),"G-REQ-04892")</f>
        <v>G-REQ-04892</v>
      </c>
      <c r="B4893" s="11">
        <f>IFERROR(__xludf.DUMMYFUNCTION("""COMPUTED_VALUE"""),46109.5015855918)</f>
        <v>46109.50159</v>
      </c>
      <c r="C4893" s="9">
        <f>IFERROR(__xludf.DUMMYFUNCTION("""COMPUTED_VALUE"""),18823.0)</f>
        <v>18823</v>
      </c>
      <c r="D4893" s="9" t="str">
        <f>IFERROR(__xludf.DUMMYFUNCTION("""COMPUTED_VALUE"""),"Completed")</f>
        <v>Completed</v>
      </c>
    </row>
    <row r="4894">
      <c r="A4894" s="9" t="str">
        <f>IFERROR(__xludf.DUMMYFUNCTION("""COMPUTED_VALUE"""),"G-REQ-04893")</f>
        <v>G-REQ-04893</v>
      </c>
      <c r="B4894" s="11">
        <f>IFERROR(__xludf.DUMMYFUNCTION("""COMPUTED_VALUE"""),46109.57276043722)</f>
        <v>46109.57276</v>
      </c>
      <c r="C4894" s="9">
        <f>IFERROR(__xludf.DUMMYFUNCTION("""COMPUTED_VALUE"""),18827.0)</f>
        <v>18827</v>
      </c>
      <c r="D4894" s="9" t="str">
        <f>IFERROR(__xludf.DUMMYFUNCTION("""COMPUTED_VALUE"""),"Completed")</f>
        <v>Completed</v>
      </c>
    </row>
    <row r="4895">
      <c r="A4895" s="9" t="str">
        <f>IFERROR(__xludf.DUMMYFUNCTION("""COMPUTED_VALUE"""),"G-REQ-04894")</f>
        <v>G-REQ-04894</v>
      </c>
      <c r="B4895" s="11">
        <f>IFERROR(__xludf.DUMMYFUNCTION("""COMPUTED_VALUE"""),46109.643935282635)</f>
        <v>46109.64394</v>
      </c>
      <c r="C4895" s="9">
        <f>IFERROR(__xludf.DUMMYFUNCTION("""COMPUTED_VALUE"""),18831.0)</f>
        <v>18831</v>
      </c>
      <c r="D4895" s="9" t="str">
        <f>IFERROR(__xludf.DUMMYFUNCTION("""COMPUTED_VALUE"""),"Completed")</f>
        <v>Completed</v>
      </c>
    </row>
    <row r="4896">
      <c r="A4896" s="9" t="str">
        <f>IFERROR(__xludf.DUMMYFUNCTION("""COMPUTED_VALUE"""),"G-REQ-04895")</f>
        <v>G-REQ-04895</v>
      </c>
      <c r="B4896" s="11">
        <f>IFERROR(__xludf.DUMMYFUNCTION("""COMPUTED_VALUE"""),46109.71511012805)</f>
        <v>46109.71511</v>
      </c>
      <c r="C4896" s="9">
        <f>IFERROR(__xludf.DUMMYFUNCTION("""COMPUTED_VALUE"""),18835.0)</f>
        <v>18835</v>
      </c>
      <c r="D4896" s="9" t="str">
        <f>IFERROR(__xludf.DUMMYFUNCTION("""COMPUTED_VALUE"""),"Completed")</f>
        <v>Completed</v>
      </c>
    </row>
    <row r="4897">
      <c r="A4897" s="9" t="str">
        <f>IFERROR(__xludf.DUMMYFUNCTION("""COMPUTED_VALUE"""),"G-REQ-04896")</f>
        <v>G-REQ-04896</v>
      </c>
      <c r="B4897" s="11">
        <f>IFERROR(__xludf.DUMMYFUNCTION("""COMPUTED_VALUE"""),46109.78628497347)</f>
        <v>46109.78628</v>
      </c>
      <c r="C4897" s="9">
        <f>IFERROR(__xludf.DUMMYFUNCTION("""COMPUTED_VALUE"""),18839.0)</f>
        <v>18839</v>
      </c>
      <c r="D4897" s="9" t="str">
        <f>IFERROR(__xludf.DUMMYFUNCTION("""COMPUTED_VALUE"""),"Completed")</f>
        <v>Completed</v>
      </c>
    </row>
    <row r="4898">
      <c r="A4898" s="9" t="str">
        <f>IFERROR(__xludf.DUMMYFUNCTION("""COMPUTED_VALUE"""),"G-REQ-04897")</f>
        <v>G-REQ-04897</v>
      </c>
      <c r="B4898" s="11">
        <f>IFERROR(__xludf.DUMMYFUNCTION("""COMPUTED_VALUE"""),46109.85745981888)</f>
        <v>46109.85746</v>
      </c>
      <c r="C4898" s="9">
        <f>IFERROR(__xludf.DUMMYFUNCTION("""COMPUTED_VALUE"""),18843.0)</f>
        <v>18843</v>
      </c>
      <c r="D4898" s="9" t="str">
        <f>IFERROR(__xludf.DUMMYFUNCTION("""COMPUTED_VALUE"""),"Completed")</f>
        <v>Completed</v>
      </c>
    </row>
    <row r="4899">
      <c r="A4899" s="9" t="str">
        <f>IFERROR(__xludf.DUMMYFUNCTION("""COMPUTED_VALUE"""),"G-REQ-04898")</f>
        <v>G-REQ-04898</v>
      </c>
      <c r="B4899" s="11">
        <f>IFERROR(__xludf.DUMMYFUNCTION("""COMPUTED_VALUE"""),46109.92863466429)</f>
        <v>46109.92863</v>
      </c>
      <c r="C4899" s="9">
        <f>IFERROR(__xludf.DUMMYFUNCTION("""COMPUTED_VALUE"""),18847.0)</f>
        <v>18847</v>
      </c>
      <c r="D4899" s="9" t="str">
        <f>IFERROR(__xludf.DUMMYFUNCTION("""COMPUTED_VALUE"""),"Completed")</f>
        <v>Completed</v>
      </c>
    </row>
    <row r="4900">
      <c r="A4900" s="9" t="str">
        <f>IFERROR(__xludf.DUMMYFUNCTION("""COMPUTED_VALUE"""),"G-REQ-04899")</f>
        <v>G-REQ-04899</v>
      </c>
      <c r="B4900" s="11">
        <f>IFERROR(__xludf.DUMMYFUNCTION("""COMPUTED_VALUE"""),46109.992865065266)</f>
        <v>46109.99287</v>
      </c>
      <c r="C4900" s="9">
        <f>IFERROR(__xludf.DUMMYFUNCTION("""COMPUTED_VALUE"""),18849.0)</f>
        <v>18849</v>
      </c>
      <c r="D4900" s="9" t="str">
        <f>IFERROR(__xludf.DUMMYFUNCTION("""COMPUTED_VALUE"""),"Rejected")</f>
        <v>Rejected</v>
      </c>
    </row>
    <row r="4901">
      <c r="A4901" s="9" t="str">
        <f>IFERROR(__xludf.DUMMYFUNCTION("""COMPUTED_VALUE"""),"G-REQ-04900")</f>
        <v>G-REQ-04900</v>
      </c>
      <c r="B4901" s="11">
        <f>IFERROR(__xludf.DUMMYFUNCTION("""COMPUTED_VALUE"""),46110.07098435512)</f>
        <v>46110.07098</v>
      </c>
      <c r="C4901" s="9">
        <f>IFERROR(__xludf.DUMMYFUNCTION("""COMPUTED_VALUE"""),18853.0)</f>
        <v>18853</v>
      </c>
      <c r="D4901" s="9" t="str">
        <f>IFERROR(__xludf.DUMMYFUNCTION("""COMPUTED_VALUE"""),"Completed")</f>
        <v>Completed</v>
      </c>
    </row>
    <row r="4902">
      <c r="A4902" s="9" t="str">
        <f>IFERROR(__xludf.DUMMYFUNCTION("""COMPUTED_VALUE"""),"G-REQ-04901")</f>
        <v>G-REQ-04901</v>
      </c>
      <c r="B4902" s="11">
        <f>IFERROR(__xludf.DUMMYFUNCTION("""COMPUTED_VALUE"""),46110.142159200535)</f>
        <v>46110.14216</v>
      </c>
      <c r="C4902" s="9">
        <f>IFERROR(__xludf.DUMMYFUNCTION("""COMPUTED_VALUE"""),18857.0)</f>
        <v>18857</v>
      </c>
      <c r="D4902" s="9" t="str">
        <f>IFERROR(__xludf.DUMMYFUNCTION("""COMPUTED_VALUE"""),"Completed")</f>
        <v>Completed</v>
      </c>
    </row>
    <row r="4903">
      <c r="A4903" s="9" t="str">
        <f>IFERROR(__xludf.DUMMYFUNCTION("""COMPUTED_VALUE"""),"G-REQ-04902")</f>
        <v>G-REQ-04902</v>
      </c>
      <c r="B4903" s="11">
        <f>IFERROR(__xludf.DUMMYFUNCTION("""COMPUTED_VALUE"""),46110.213334045955)</f>
        <v>46110.21333</v>
      </c>
      <c r="C4903" s="9">
        <f>IFERROR(__xludf.DUMMYFUNCTION("""COMPUTED_VALUE"""),18861.0)</f>
        <v>18861</v>
      </c>
      <c r="D4903" s="9" t="str">
        <f>IFERROR(__xludf.DUMMYFUNCTION("""COMPUTED_VALUE"""),"Completed")</f>
        <v>Completed</v>
      </c>
    </row>
    <row r="4904">
      <c r="A4904" s="9" t="str">
        <f>IFERROR(__xludf.DUMMYFUNCTION("""COMPUTED_VALUE"""),"G-REQ-04903")</f>
        <v>G-REQ-04903</v>
      </c>
      <c r="B4904" s="11">
        <f>IFERROR(__xludf.DUMMYFUNCTION("""COMPUTED_VALUE"""),46110.28450889137)</f>
        <v>46110.28451</v>
      </c>
      <c r="C4904" s="9">
        <f>IFERROR(__xludf.DUMMYFUNCTION("""COMPUTED_VALUE"""),18865.0)</f>
        <v>18865</v>
      </c>
      <c r="D4904" s="9" t="str">
        <f>IFERROR(__xludf.DUMMYFUNCTION("""COMPUTED_VALUE"""),"Completed")</f>
        <v>Completed</v>
      </c>
    </row>
    <row r="4905">
      <c r="A4905" s="9" t="str">
        <f>IFERROR(__xludf.DUMMYFUNCTION("""COMPUTED_VALUE"""),"G-REQ-04904")</f>
        <v>G-REQ-04904</v>
      </c>
      <c r="B4905" s="11">
        <f>IFERROR(__xludf.DUMMYFUNCTION("""COMPUTED_VALUE"""),46110.348739292334)</f>
        <v>46110.34874</v>
      </c>
      <c r="C4905" s="9">
        <f>IFERROR(__xludf.DUMMYFUNCTION("""COMPUTED_VALUE"""),18867.0)</f>
        <v>18867</v>
      </c>
      <c r="D4905" s="9" t="str">
        <f>IFERROR(__xludf.DUMMYFUNCTION("""COMPUTED_VALUE"""),"Cancelled")</f>
        <v>Cancelled</v>
      </c>
    </row>
    <row r="4906">
      <c r="A4906" s="9" t="str">
        <f>IFERROR(__xludf.DUMMYFUNCTION("""COMPUTED_VALUE"""),"G-REQ-04905")</f>
        <v>G-REQ-04905</v>
      </c>
      <c r="B4906" s="11">
        <f>IFERROR(__xludf.DUMMYFUNCTION("""COMPUTED_VALUE"""),46110.4268585822)</f>
        <v>46110.42686</v>
      </c>
      <c r="C4906" s="9">
        <f>IFERROR(__xludf.DUMMYFUNCTION("""COMPUTED_VALUE"""),18871.0)</f>
        <v>18871</v>
      </c>
      <c r="D4906" s="9" t="str">
        <f>IFERROR(__xludf.DUMMYFUNCTION("""COMPUTED_VALUE"""),"Completed")</f>
        <v>Completed</v>
      </c>
    </row>
    <row r="4907">
      <c r="A4907" s="9" t="str">
        <f>IFERROR(__xludf.DUMMYFUNCTION("""COMPUTED_VALUE"""),"G-REQ-04906")</f>
        <v>G-REQ-04906</v>
      </c>
      <c r="B4907" s="11">
        <f>IFERROR(__xludf.DUMMYFUNCTION("""COMPUTED_VALUE"""),46110.49803342762)</f>
        <v>46110.49803</v>
      </c>
      <c r="C4907" s="9">
        <f>IFERROR(__xludf.DUMMYFUNCTION("""COMPUTED_VALUE"""),18875.0)</f>
        <v>18875</v>
      </c>
      <c r="D4907" s="9" t="str">
        <f>IFERROR(__xludf.DUMMYFUNCTION("""COMPUTED_VALUE"""),"Completed")</f>
        <v>Completed</v>
      </c>
    </row>
    <row r="4908">
      <c r="A4908" s="9" t="str">
        <f>IFERROR(__xludf.DUMMYFUNCTION("""COMPUTED_VALUE"""),"G-REQ-04907")</f>
        <v>G-REQ-04907</v>
      </c>
      <c r="B4908" s="11">
        <f>IFERROR(__xludf.DUMMYFUNCTION("""COMPUTED_VALUE"""),46110.569208273024)</f>
        <v>46110.56921</v>
      </c>
      <c r="C4908" s="9">
        <f>IFERROR(__xludf.DUMMYFUNCTION("""COMPUTED_VALUE"""),18879.0)</f>
        <v>18879</v>
      </c>
      <c r="D4908" s="9" t="str">
        <f>IFERROR(__xludf.DUMMYFUNCTION("""COMPUTED_VALUE"""),"Completed")</f>
        <v>Completed</v>
      </c>
    </row>
    <row r="4909">
      <c r="A4909" s="9" t="str">
        <f>IFERROR(__xludf.DUMMYFUNCTION("""COMPUTED_VALUE"""),"G-REQ-04908")</f>
        <v>G-REQ-04908</v>
      </c>
      <c r="B4909" s="11">
        <f>IFERROR(__xludf.DUMMYFUNCTION("""COMPUTED_VALUE"""),46110.64038311844)</f>
        <v>46110.64038</v>
      </c>
      <c r="C4909" s="9">
        <f>IFERROR(__xludf.DUMMYFUNCTION("""COMPUTED_VALUE"""),18883.0)</f>
        <v>18883</v>
      </c>
      <c r="D4909" s="9" t="str">
        <f>IFERROR(__xludf.DUMMYFUNCTION("""COMPUTED_VALUE"""),"Completed")</f>
        <v>Completed</v>
      </c>
    </row>
    <row r="4910">
      <c r="A4910" s="9" t="str">
        <f>IFERROR(__xludf.DUMMYFUNCTION("""COMPUTED_VALUE"""),"G-REQ-04909")</f>
        <v>G-REQ-04909</v>
      </c>
      <c r="B4910" s="11">
        <f>IFERROR(__xludf.DUMMYFUNCTION("""COMPUTED_VALUE"""),46110.71155796386)</f>
        <v>46110.71156</v>
      </c>
      <c r="C4910" s="9">
        <f>IFERROR(__xludf.DUMMYFUNCTION("""COMPUTED_VALUE"""),18887.0)</f>
        <v>18887</v>
      </c>
      <c r="D4910" s="9" t="str">
        <f>IFERROR(__xludf.DUMMYFUNCTION("""COMPUTED_VALUE"""),"Completed")</f>
        <v>Completed</v>
      </c>
    </row>
    <row r="4911">
      <c r="A4911" s="9" t="str">
        <f>IFERROR(__xludf.DUMMYFUNCTION("""COMPUTED_VALUE"""),"G-REQ-04910")</f>
        <v>G-REQ-04910</v>
      </c>
      <c r="B4911" s="11">
        <f>IFERROR(__xludf.DUMMYFUNCTION("""COMPUTED_VALUE"""),46110.782732809275)</f>
        <v>46110.78273</v>
      </c>
      <c r="C4911" s="9">
        <f>IFERROR(__xludf.DUMMYFUNCTION("""COMPUTED_VALUE"""),18891.0)</f>
        <v>18891</v>
      </c>
      <c r="D4911" s="9" t="str">
        <f>IFERROR(__xludf.DUMMYFUNCTION("""COMPUTED_VALUE"""),"Completed")</f>
        <v>Completed</v>
      </c>
    </row>
    <row r="4912">
      <c r="A4912" s="9" t="str">
        <f>IFERROR(__xludf.DUMMYFUNCTION("""COMPUTED_VALUE"""),"G-REQ-04911")</f>
        <v>G-REQ-04911</v>
      </c>
      <c r="B4912" s="11">
        <f>IFERROR(__xludf.DUMMYFUNCTION("""COMPUTED_VALUE"""),46110.85390765469)</f>
        <v>46110.85391</v>
      </c>
      <c r="C4912" s="9">
        <f>IFERROR(__xludf.DUMMYFUNCTION("""COMPUTED_VALUE"""),18895.0)</f>
        <v>18895</v>
      </c>
      <c r="D4912" s="9" t="str">
        <f>IFERROR(__xludf.DUMMYFUNCTION("""COMPUTED_VALUE"""),"Completed")</f>
        <v>Completed</v>
      </c>
    </row>
    <row r="4913">
      <c r="A4913" s="9" t="str">
        <f>IFERROR(__xludf.DUMMYFUNCTION("""COMPUTED_VALUE"""),"G-REQ-04912")</f>
        <v>G-REQ-04912</v>
      </c>
      <c r="B4913" s="11">
        <f>IFERROR(__xludf.DUMMYFUNCTION("""COMPUTED_VALUE"""),46110.92508250011)</f>
        <v>46110.92508</v>
      </c>
      <c r="C4913" s="9">
        <f>IFERROR(__xludf.DUMMYFUNCTION("""COMPUTED_VALUE"""),18899.0)</f>
        <v>18899</v>
      </c>
      <c r="D4913" s="9" t="str">
        <f>IFERROR(__xludf.DUMMYFUNCTION("""COMPUTED_VALUE"""),"Completed")</f>
        <v>Completed</v>
      </c>
    </row>
    <row r="4914">
      <c r="A4914" s="9" t="str">
        <f>IFERROR(__xludf.DUMMYFUNCTION("""COMPUTED_VALUE"""),"G-REQ-04913")</f>
        <v>G-REQ-04913</v>
      </c>
      <c r="B4914" s="11">
        <f>IFERROR(__xludf.DUMMYFUNCTION("""COMPUTED_VALUE"""),46110.99625734552)</f>
        <v>46110.99626</v>
      </c>
      <c r="C4914" s="9">
        <f>IFERROR(__xludf.DUMMYFUNCTION("""COMPUTED_VALUE"""),18903.0)</f>
        <v>18903</v>
      </c>
      <c r="D4914" s="9" t="str">
        <f>IFERROR(__xludf.DUMMYFUNCTION("""COMPUTED_VALUE"""),"Completed")</f>
        <v>Completed</v>
      </c>
    </row>
    <row r="4915">
      <c r="A4915" s="9" t="str">
        <f>IFERROR(__xludf.DUMMYFUNCTION("""COMPUTED_VALUE"""),"G-REQ-04914")</f>
        <v>G-REQ-04914</v>
      </c>
      <c r="B4915" s="11">
        <f>IFERROR(__xludf.DUMMYFUNCTION("""COMPUTED_VALUE"""),46111.06743219093)</f>
        <v>46111.06743</v>
      </c>
      <c r="C4915" s="9">
        <f>IFERROR(__xludf.DUMMYFUNCTION("""COMPUTED_VALUE"""),18907.0)</f>
        <v>18907</v>
      </c>
      <c r="D4915" s="9" t="str">
        <f>IFERROR(__xludf.DUMMYFUNCTION("""COMPUTED_VALUE"""),"Completed")</f>
        <v>Completed</v>
      </c>
    </row>
    <row r="4916">
      <c r="A4916" s="9" t="str">
        <f>IFERROR(__xludf.DUMMYFUNCTION("""COMPUTED_VALUE"""),"G-REQ-04915")</f>
        <v>G-REQ-04915</v>
      </c>
      <c r="B4916" s="11">
        <f>IFERROR(__xludf.DUMMYFUNCTION("""COMPUTED_VALUE"""),46111.13860703635)</f>
        <v>46111.13861</v>
      </c>
      <c r="C4916" s="9">
        <f>IFERROR(__xludf.DUMMYFUNCTION("""COMPUTED_VALUE"""),18911.0)</f>
        <v>18911</v>
      </c>
      <c r="D4916" s="9" t="str">
        <f>IFERROR(__xludf.DUMMYFUNCTION("""COMPUTED_VALUE"""),"Completed")</f>
        <v>Completed</v>
      </c>
    </row>
    <row r="4917">
      <c r="A4917" s="9" t="str">
        <f>IFERROR(__xludf.DUMMYFUNCTION("""COMPUTED_VALUE"""),"G-REQ-04916")</f>
        <v>G-REQ-04916</v>
      </c>
      <c r="B4917" s="11">
        <f>IFERROR(__xludf.DUMMYFUNCTION("""COMPUTED_VALUE"""),46111.209781881764)</f>
        <v>46111.20978</v>
      </c>
      <c r="C4917" s="9">
        <f>IFERROR(__xludf.DUMMYFUNCTION("""COMPUTED_VALUE"""),18915.0)</f>
        <v>18915</v>
      </c>
      <c r="D4917" s="9" t="str">
        <f>IFERROR(__xludf.DUMMYFUNCTION("""COMPUTED_VALUE"""),"Completed")</f>
        <v>Completed</v>
      </c>
    </row>
    <row r="4918">
      <c r="A4918" s="9" t="str">
        <f>IFERROR(__xludf.DUMMYFUNCTION("""COMPUTED_VALUE"""),"G-REQ-04917")</f>
        <v>G-REQ-04917</v>
      </c>
      <c r="B4918" s="11">
        <f>IFERROR(__xludf.DUMMYFUNCTION("""COMPUTED_VALUE"""),46111.280956727176)</f>
        <v>46111.28096</v>
      </c>
      <c r="C4918" s="9">
        <f>IFERROR(__xludf.DUMMYFUNCTION("""COMPUTED_VALUE"""),18919.0)</f>
        <v>18919</v>
      </c>
      <c r="D4918" s="9" t="str">
        <f>IFERROR(__xludf.DUMMYFUNCTION("""COMPUTED_VALUE"""),"Completed")</f>
        <v>Completed</v>
      </c>
    </row>
    <row r="4919">
      <c r="A4919" s="9" t="str">
        <f>IFERROR(__xludf.DUMMYFUNCTION("""COMPUTED_VALUE"""),"G-REQ-04918")</f>
        <v>G-REQ-04918</v>
      </c>
      <c r="B4919" s="11">
        <f>IFERROR(__xludf.DUMMYFUNCTION("""COMPUTED_VALUE"""),46111.352131572596)</f>
        <v>46111.35213</v>
      </c>
      <c r="C4919" s="9">
        <f>IFERROR(__xludf.DUMMYFUNCTION("""COMPUTED_VALUE"""),18923.0)</f>
        <v>18923</v>
      </c>
      <c r="D4919" s="9" t="str">
        <f>IFERROR(__xludf.DUMMYFUNCTION("""COMPUTED_VALUE"""),"Completed")</f>
        <v>Completed</v>
      </c>
    </row>
    <row r="4920">
      <c r="A4920" s="9" t="str">
        <f>IFERROR(__xludf.DUMMYFUNCTION("""COMPUTED_VALUE"""),"G-REQ-04919")</f>
        <v>G-REQ-04919</v>
      </c>
      <c r="B4920" s="11">
        <f>IFERROR(__xludf.DUMMYFUNCTION("""COMPUTED_VALUE"""),46111.423306418015)</f>
        <v>46111.42331</v>
      </c>
      <c r="C4920" s="9">
        <f>IFERROR(__xludf.DUMMYFUNCTION("""COMPUTED_VALUE"""),18927.0)</f>
        <v>18927</v>
      </c>
      <c r="D4920" s="9" t="str">
        <f>IFERROR(__xludf.DUMMYFUNCTION("""COMPUTED_VALUE"""),"Completed")</f>
        <v>Completed</v>
      </c>
    </row>
    <row r="4921">
      <c r="A4921" s="9" t="str">
        <f>IFERROR(__xludf.DUMMYFUNCTION("""COMPUTED_VALUE"""),"G-REQ-04920")</f>
        <v>G-REQ-04920</v>
      </c>
      <c r="B4921" s="11">
        <f>IFERROR(__xludf.DUMMYFUNCTION("""COMPUTED_VALUE"""),46111.49448126342)</f>
        <v>46111.49448</v>
      </c>
      <c r="C4921" s="9">
        <f>IFERROR(__xludf.DUMMYFUNCTION("""COMPUTED_VALUE"""),18931.0)</f>
        <v>18931</v>
      </c>
      <c r="D4921" s="9" t="str">
        <f>IFERROR(__xludf.DUMMYFUNCTION("""COMPUTED_VALUE"""),"Completed")</f>
        <v>Completed</v>
      </c>
    </row>
    <row r="4922">
      <c r="A4922" s="9" t="str">
        <f>IFERROR(__xludf.DUMMYFUNCTION("""COMPUTED_VALUE"""),"G-REQ-04921")</f>
        <v>G-REQ-04921</v>
      </c>
      <c r="B4922" s="11">
        <f>IFERROR(__xludf.DUMMYFUNCTION("""COMPUTED_VALUE"""),46111.56565610884)</f>
        <v>46111.56566</v>
      </c>
      <c r="C4922" s="9">
        <f>IFERROR(__xludf.DUMMYFUNCTION("""COMPUTED_VALUE"""),18935.0)</f>
        <v>18935</v>
      </c>
      <c r="D4922" s="9" t="str">
        <f>IFERROR(__xludf.DUMMYFUNCTION("""COMPUTED_VALUE"""),"Completed")</f>
        <v>Completed</v>
      </c>
    </row>
    <row r="4923">
      <c r="A4923" s="9" t="str">
        <f>IFERROR(__xludf.DUMMYFUNCTION("""COMPUTED_VALUE"""),"G-REQ-04922")</f>
        <v>G-REQ-04922</v>
      </c>
      <c r="B4923" s="11">
        <f>IFERROR(__xludf.DUMMYFUNCTION("""COMPUTED_VALUE"""),46111.63683095426)</f>
        <v>46111.63683</v>
      </c>
      <c r="C4923" s="9">
        <f>IFERROR(__xludf.DUMMYFUNCTION("""COMPUTED_VALUE"""),18939.0)</f>
        <v>18939</v>
      </c>
      <c r="D4923" s="9" t="str">
        <f>IFERROR(__xludf.DUMMYFUNCTION("""COMPUTED_VALUE"""),"Completed")</f>
        <v>Completed</v>
      </c>
    </row>
    <row r="4924">
      <c r="A4924" s="9" t="str">
        <f>IFERROR(__xludf.DUMMYFUNCTION("""COMPUTED_VALUE"""),"G-REQ-04923")</f>
        <v>G-REQ-04923</v>
      </c>
      <c r="B4924" s="11">
        <f>IFERROR(__xludf.DUMMYFUNCTION("""COMPUTED_VALUE"""),46111.70800579967)</f>
        <v>46111.70801</v>
      </c>
      <c r="C4924" s="9">
        <f>IFERROR(__xludf.DUMMYFUNCTION("""COMPUTED_VALUE"""),18943.0)</f>
        <v>18943</v>
      </c>
      <c r="D4924" s="9" t="str">
        <f>IFERROR(__xludf.DUMMYFUNCTION("""COMPUTED_VALUE"""),"Completed")</f>
        <v>Completed</v>
      </c>
    </row>
    <row r="4925">
      <c r="A4925" s="9" t="str">
        <f>IFERROR(__xludf.DUMMYFUNCTION("""COMPUTED_VALUE"""),"G-REQ-04924")</f>
        <v>G-REQ-04924</v>
      </c>
      <c r="B4925" s="11">
        <f>IFERROR(__xludf.DUMMYFUNCTION("""COMPUTED_VALUE"""),46111.779180645084)</f>
        <v>46111.77918</v>
      </c>
      <c r="C4925" s="9">
        <f>IFERROR(__xludf.DUMMYFUNCTION("""COMPUTED_VALUE"""),18947.0)</f>
        <v>18947</v>
      </c>
      <c r="D4925" s="9" t="str">
        <f>IFERROR(__xludf.DUMMYFUNCTION("""COMPUTED_VALUE"""),"Completed")</f>
        <v>Completed</v>
      </c>
    </row>
    <row r="4926">
      <c r="A4926" s="9" t="str">
        <f>IFERROR(__xludf.DUMMYFUNCTION("""COMPUTED_VALUE"""),"G-REQ-04925")</f>
        <v>G-REQ-04925</v>
      </c>
      <c r="B4926" s="11">
        <f>IFERROR(__xludf.DUMMYFUNCTION("""COMPUTED_VALUE"""),46111.850355490504)</f>
        <v>46111.85036</v>
      </c>
      <c r="C4926" s="9">
        <f>IFERROR(__xludf.DUMMYFUNCTION("""COMPUTED_VALUE"""),18951.0)</f>
        <v>18951</v>
      </c>
      <c r="D4926" s="9" t="str">
        <f>IFERROR(__xludf.DUMMYFUNCTION("""COMPUTED_VALUE"""),"Completed")</f>
        <v>Completed</v>
      </c>
    </row>
    <row r="4927">
      <c r="A4927" s="9" t="str">
        <f>IFERROR(__xludf.DUMMYFUNCTION("""COMPUTED_VALUE"""),"G-REQ-04926")</f>
        <v>G-REQ-04926</v>
      </c>
      <c r="B4927" s="11">
        <f>IFERROR(__xludf.DUMMYFUNCTION("""COMPUTED_VALUE"""),46111.921530335916)</f>
        <v>46111.92153</v>
      </c>
      <c r="C4927" s="9">
        <f>IFERROR(__xludf.DUMMYFUNCTION("""COMPUTED_VALUE"""),18955.0)</f>
        <v>18955</v>
      </c>
      <c r="D4927" s="9" t="str">
        <f>IFERROR(__xludf.DUMMYFUNCTION("""COMPUTED_VALUE"""),"Completed")</f>
        <v>Completed</v>
      </c>
    </row>
    <row r="4928">
      <c r="A4928" s="9" t="str">
        <f>IFERROR(__xludf.DUMMYFUNCTION("""COMPUTED_VALUE"""),"G-REQ-04927")</f>
        <v>G-REQ-04927</v>
      </c>
      <c r="B4928" s="11">
        <f>IFERROR(__xludf.DUMMYFUNCTION("""COMPUTED_VALUE"""),46111.99270518133)</f>
        <v>46111.99271</v>
      </c>
      <c r="C4928" s="9">
        <f>IFERROR(__xludf.DUMMYFUNCTION("""COMPUTED_VALUE"""),18959.0)</f>
        <v>18959</v>
      </c>
      <c r="D4928" s="9" t="str">
        <f>IFERROR(__xludf.DUMMYFUNCTION("""COMPUTED_VALUE"""),"Completed")</f>
        <v>Completed</v>
      </c>
    </row>
    <row r="4929">
      <c r="A4929" s="9" t="str">
        <f>IFERROR(__xludf.DUMMYFUNCTION("""COMPUTED_VALUE"""),"G-REQ-04928")</f>
        <v>G-REQ-04928</v>
      </c>
      <c r="B4929" s="11">
        <f>IFERROR(__xludf.DUMMYFUNCTION("""COMPUTED_VALUE"""),46112.06388002675)</f>
        <v>46112.06388</v>
      </c>
      <c r="C4929" s="9">
        <f>IFERROR(__xludf.DUMMYFUNCTION("""COMPUTED_VALUE"""),18963.0)</f>
        <v>18963</v>
      </c>
      <c r="D4929" s="9" t="str">
        <f>IFERROR(__xludf.DUMMYFUNCTION("""COMPUTED_VALUE"""),"Completed")</f>
        <v>Completed</v>
      </c>
    </row>
    <row r="4930">
      <c r="A4930" s="9" t="str">
        <f>IFERROR(__xludf.DUMMYFUNCTION("""COMPUTED_VALUE"""),"G-REQ-04929")</f>
        <v>G-REQ-04929</v>
      </c>
      <c r="B4930" s="11">
        <f>IFERROR(__xludf.DUMMYFUNCTION("""COMPUTED_VALUE"""),46112.13505487216)</f>
        <v>46112.13505</v>
      </c>
      <c r="C4930" s="9">
        <f>IFERROR(__xludf.DUMMYFUNCTION("""COMPUTED_VALUE"""),18967.0)</f>
        <v>18967</v>
      </c>
      <c r="D4930" s="9" t="str">
        <f>IFERROR(__xludf.DUMMYFUNCTION("""COMPUTED_VALUE"""),"Completed")</f>
        <v>Completed</v>
      </c>
    </row>
    <row r="4931">
      <c r="A4931" s="9" t="str">
        <f>IFERROR(__xludf.DUMMYFUNCTION("""COMPUTED_VALUE"""),"G-REQ-04930")</f>
        <v>G-REQ-04930</v>
      </c>
      <c r="B4931" s="11">
        <f>IFERROR(__xludf.DUMMYFUNCTION("""COMPUTED_VALUE"""),46112.20622971757)</f>
        <v>46112.20623</v>
      </c>
      <c r="C4931" s="9">
        <f>IFERROR(__xludf.DUMMYFUNCTION("""COMPUTED_VALUE"""),18971.0)</f>
        <v>18971</v>
      </c>
      <c r="D4931" s="9" t="str">
        <f>IFERROR(__xludf.DUMMYFUNCTION("""COMPUTED_VALUE"""),"Completed")</f>
        <v>Completed</v>
      </c>
    </row>
    <row r="4932">
      <c r="A4932" s="9" t="str">
        <f>IFERROR(__xludf.DUMMYFUNCTION("""COMPUTED_VALUE"""),"G-REQ-04931")</f>
        <v>G-REQ-04931</v>
      </c>
      <c r="B4932" s="11">
        <f>IFERROR(__xludf.DUMMYFUNCTION("""COMPUTED_VALUE"""),46112.27740456299)</f>
        <v>46112.2774</v>
      </c>
      <c r="C4932" s="9">
        <f>IFERROR(__xludf.DUMMYFUNCTION("""COMPUTED_VALUE"""),18975.0)</f>
        <v>18975</v>
      </c>
      <c r="D4932" s="9" t="str">
        <f>IFERROR(__xludf.DUMMYFUNCTION("""COMPUTED_VALUE"""),"Completed")</f>
        <v>Completed</v>
      </c>
    </row>
    <row r="4933">
      <c r="A4933" s="9" t="str">
        <f>IFERROR(__xludf.DUMMYFUNCTION("""COMPUTED_VALUE"""),"G-REQ-04932")</f>
        <v>G-REQ-04932</v>
      </c>
      <c r="B4933" s="11">
        <f>IFERROR(__xludf.DUMMYFUNCTION("""COMPUTED_VALUE"""),46112.348579408404)</f>
        <v>46112.34858</v>
      </c>
      <c r="C4933" s="9">
        <f>IFERROR(__xludf.DUMMYFUNCTION("""COMPUTED_VALUE"""),18979.0)</f>
        <v>18979</v>
      </c>
      <c r="D4933" s="9" t="str">
        <f>IFERROR(__xludf.DUMMYFUNCTION("""COMPUTED_VALUE"""),"Completed")</f>
        <v>Completed</v>
      </c>
    </row>
    <row r="4934">
      <c r="A4934" s="9" t="str">
        <f>IFERROR(__xludf.DUMMYFUNCTION("""COMPUTED_VALUE"""),"G-REQ-04933")</f>
        <v>G-REQ-04933</v>
      </c>
      <c r="B4934" s="11">
        <f>IFERROR(__xludf.DUMMYFUNCTION("""COMPUTED_VALUE"""),46112.41280980937)</f>
        <v>46112.41281</v>
      </c>
      <c r="C4934" s="9">
        <f>IFERROR(__xludf.DUMMYFUNCTION("""COMPUTED_VALUE"""),18981.0)</f>
        <v>18981</v>
      </c>
      <c r="D4934" s="9" t="str">
        <f>IFERROR(__xludf.DUMMYFUNCTION("""COMPUTED_VALUE"""),"Rejected")</f>
        <v>Rejected</v>
      </c>
    </row>
    <row r="4935">
      <c r="A4935" s="9" t="str">
        <f>IFERROR(__xludf.DUMMYFUNCTION("""COMPUTED_VALUE"""),"G-REQ-04934")</f>
        <v>G-REQ-04934</v>
      </c>
      <c r="B4935" s="11">
        <f>IFERROR(__xludf.DUMMYFUNCTION("""COMPUTED_VALUE"""),46112.49092909924)</f>
        <v>46112.49093</v>
      </c>
      <c r="C4935" s="9">
        <f>IFERROR(__xludf.DUMMYFUNCTION("""COMPUTED_VALUE"""),18985.0)</f>
        <v>18985</v>
      </c>
      <c r="D4935" s="9" t="str">
        <f>IFERROR(__xludf.DUMMYFUNCTION("""COMPUTED_VALUE"""),"Completed")</f>
        <v>Completed</v>
      </c>
    </row>
    <row r="4936">
      <c r="A4936" s="9" t="str">
        <f>IFERROR(__xludf.DUMMYFUNCTION("""COMPUTED_VALUE"""),"G-REQ-04935")</f>
        <v>G-REQ-04935</v>
      </c>
      <c r="B4936" s="11">
        <f>IFERROR(__xludf.DUMMYFUNCTION("""COMPUTED_VALUE"""),46112.562103944656)</f>
        <v>46112.5621</v>
      </c>
      <c r="C4936" s="9">
        <f>IFERROR(__xludf.DUMMYFUNCTION("""COMPUTED_VALUE"""),18989.0)</f>
        <v>18989</v>
      </c>
      <c r="D4936" s="9" t="str">
        <f>IFERROR(__xludf.DUMMYFUNCTION("""COMPUTED_VALUE"""),"Completed")</f>
        <v>Completed</v>
      </c>
    </row>
    <row r="4937">
      <c r="A4937" s="9" t="str">
        <f>IFERROR(__xludf.DUMMYFUNCTION("""COMPUTED_VALUE"""),"G-REQ-04936")</f>
        <v>G-REQ-04936</v>
      </c>
      <c r="B4937" s="11">
        <f>IFERROR(__xludf.DUMMYFUNCTION("""COMPUTED_VALUE"""),46112.63327879006)</f>
        <v>46112.63328</v>
      </c>
      <c r="C4937" s="9">
        <f>IFERROR(__xludf.DUMMYFUNCTION("""COMPUTED_VALUE"""),18993.0)</f>
        <v>18993</v>
      </c>
      <c r="D4937" s="9" t="str">
        <f>IFERROR(__xludf.DUMMYFUNCTION("""COMPUTED_VALUE"""),"Completed")</f>
        <v>Completed</v>
      </c>
    </row>
    <row r="4938">
      <c r="A4938" s="9" t="str">
        <f>IFERROR(__xludf.DUMMYFUNCTION("""COMPUTED_VALUE"""),"G-REQ-04937")</f>
        <v>G-REQ-04937</v>
      </c>
      <c r="B4938" s="11">
        <f>IFERROR(__xludf.DUMMYFUNCTION("""COMPUTED_VALUE"""),46112.70445363548)</f>
        <v>46112.70445</v>
      </c>
      <c r="C4938" s="9">
        <f>IFERROR(__xludf.DUMMYFUNCTION("""COMPUTED_VALUE"""),18997.0)</f>
        <v>18997</v>
      </c>
      <c r="D4938" s="9" t="str">
        <f>IFERROR(__xludf.DUMMYFUNCTION("""COMPUTED_VALUE"""),"Completed")</f>
        <v>Completed</v>
      </c>
    </row>
    <row r="4939">
      <c r="A4939" s="9" t="str">
        <f>IFERROR(__xludf.DUMMYFUNCTION("""COMPUTED_VALUE"""),"G-REQ-04938")</f>
        <v>G-REQ-04938</v>
      </c>
      <c r="B4939" s="11">
        <f>IFERROR(__xludf.DUMMYFUNCTION("""COMPUTED_VALUE"""),46112.7756284809)</f>
        <v>46112.77563</v>
      </c>
      <c r="C4939" s="9">
        <f>IFERROR(__xludf.DUMMYFUNCTION("""COMPUTED_VALUE"""),19001.0)</f>
        <v>19001</v>
      </c>
      <c r="D4939" s="9" t="str">
        <f>IFERROR(__xludf.DUMMYFUNCTION("""COMPUTED_VALUE"""),"Completed")</f>
        <v>Completed</v>
      </c>
    </row>
    <row r="4940">
      <c r="A4940" s="9" t="str">
        <f>IFERROR(__xludf.DUMMYFUNCTION("""COMPUTED_VALUE"""),"G-REQ-04939")</f>
        <v>G-REQ-04939</v>
      </c>
      <c r="B4940" s="11">
        <f>IFERROR(__xludf.DUMMYFUNCTION("""COMPUTED_VALUE"""),46112.84680332631)</f>
        <v>46112.8468</v>
      </c>
      <c r="C4940" s="9">
        <f>IFERROR(__xludf.DUMMYFUNCTION("""COMPUTED_VALUE"""),19005.0)</f>
        <v>19005</v>
      </c>
      <c r="D4940" s="9" t="str">
        <f>IFERROR(__xludf.DUMMYFUNCTION("""COMPUTED_VALUE"""),"Completed")</f>
        <v>Completed</v>
      </c>
    </row>
    <row r="4941">
      <c r="A4941" s="9" t="str">
        <f>IFERROR(__xludf.DUMMYFUNCTION("""COMPUTED_VALUE"""),"G-REQ-04940")</f>
        <v>G-REQ-04940</v>
      </c>
      <c r="B4941" s="11">
        <f>IFERROR(__xludf.DUMMYFUNCTION("""COMPUTED_VALUE"""),46112.917978171725)</f>
        <v>46112.91798</v>
      </c>
      <c r="C4941" s="9">
        <f>IFERROR(__xludf.DUMMYFUNCTION("""COMPUTED_VALUE"""),19009.0)</f>
        <v>19009</v>
      </c>
      <c r="D4941" s="9" t="str">
        <f>IFERROR(__xludf.DUMMYFUNCTION("""COMPUTED_VALUE"""),"Completed")</f>
        <v>Completed</v>
      </c>
    </row>
    <row r="4942">
      <c r="A4942" s="9" t="str">
        <f>IFERROR(__xludf.DUMMYFUNCTION("""COMPUTED_VALUE"""),"G-REQ-04941")</f>
        <v>G-REQ-04941</v>
      </c>
      <c r="B4942" s="11">
        <f>IFERROR(__xludf.DUMMYFUNCTION("""COMPUTED_VALUE"""),46112.9822085727)</f>
        <v>46112.98221</v>
      </c>
      <c r="C4942" s="9">
        <f>IFERROR(__xludf.DUMMYFUNCTION("""COMPUTED_VALUE"""),19011.0)</f>
        <v>19011</v>
      </c>
      <c r="D4942" s="9" t="str">
        <f>IFERROR(__xludf.DUMMYFUNCTION("""COMPUTED_VALUE"""),"Rejected")</f>
        <v>Rejected</v>
      </c>
    </row>
    <row r="4943">
      <c r="A4943" s="9" t="str">
        <f>IFERROR(__xludf.DUMMYFUNCTION("""COMPUTED_VALUE"""),"G-REQ-04942")</f>
        <v>G-REQ-04942</v>
      </c>
      <c r="B4943" s="11">
        <f>IFERROR(__xludf.DUMMYFUNCTION("""COMPUTED_VALUE"""),46113.06032786256)</f>
        <v>46113.06033</v>
      </c>
      <c r="C4943" s="9">
        <f>IFERROR(__xludf.DUMMYFUNCTION("""COMPUTED_VALUE"""),19015.0)</f>
        <v>19015</v>
      </c>
      <c r="D4943" s="9" t="str">
        <f>IFERROR(__xludf.DUMMYFUNCTION("""COMPUTED_VALUE"""),"Completed")</f>
        <v>Completed</v>
      </c>
    </row>
    <row r="4944">
      <c r="A4944" s="9" t="str">
        <f>IFERROR(__xludf.DUMMYFUNCTION("""COMPUTED_VALUE"""),"G-REQ-04943")</f>
        <v>G-REQ-04943</v>
      </c>
      <c r="B4944" s="11">
        <f>IFERROR(__xludf.DUMMYFUNCTION("""COMPUTED_VALUE"""),46113.13150270797)</f>
        <v>46113.1315</v>
      </c>
      <c r="C4944" s="9">
        <f>IFERROR(__xludf.DUMMYFUNCTION("""COMPUTED_VALUE"""),19019.0)</f>
        <v>19019</v>
      </c>
      <c r="D4944" s="9" t="str">
        <f>IFERROR(__xludf.DUMMYFUNCTION("""COMPUTED_VALUE"""),"Completed")</f>
        <v>Completed</v>
      </c>
    </row>
    <row r="4945">
      <c r="A4945" s="9" t="str">
        <f>IFERROR(__xludf.DUMMYFUNCTION("""COMPUTED_VALUE"""),"G-REQ-04944")</f>
        <v>G-REQ-04944</v>
      </c>
      <c r="B4945" s="11">
        <f>IFERROR(__xludf.DUMMYFUNCTION("""COMPUTED_VALUE"""),46113.20267755339)</f>
        <v>46113.20268</v>
      </c>
      <c r="C4945" s="9">
        <f>IFERROR(__xludf.DUMMYFUNCTION("""COMPUTED_VALUE"""),19023.0)</f>
        <v>19023</v>
      </c>
      <c r="D4945" s="9" t="str">
        <f>IFERROR(__xludf.DUMMYFUNCTION("""COMPUTED_VALUE"""),"Completed")</f>
        <v>Completed</v>
      </c>
    </row>
    <row r="4946">
      <c r="A4946" s="9" t="str">
        <f>IFERROR(__xludf.DUMMYFUNCTION("""COMPUTED_VALUE"""),"G-REQ-04945")</f>
        <v>G-REQ-04945</v>
      </c>
      <c r="B4946" s="11">
        <f>IFERROR(__xludf.DUMMYFUNCTION("""COMPUTED_VALUE"""),46113.2738523988)</f>
        <v>46113.27385</v>
      </c>
      <c r="C4946" s="9">
        <f>IFERROR(__xludf.DUMMYFUNCTION("""COMPUTED_VALUE"""),19027.0)</f>
        <v>19027</v>
      </c>
      <c r="D4946" s="9" t="str">
        <f>IFERROR(__xludf.DUMMYFUNCTION("""COMPUTED_VALUE"""),"Completed")</f>
        <v>Completed</v>
      </c>
    </row>
    <row r="4947">
      <c r="A4947" s="9" t="str">
        <f>IFERROR(__xludf.DUMMYFUNCTION("""COMPUTED_VALUE"""),"G-REQ-04946")</f>
        <v>G-REQ-04946</v>
      </c>
      <c r="B4947" s="11">
        <f>IFERROR(__xludf.DUMMYFUNCTION("""COMPUTED_VALUE"""),46113.34502724421)</f>
        <v>46113.34503</v>
      </c>
      <c r="C4947" s="9">
        <f>IFERROR(__xludf.DUMMYFUNCTION("""COMPUTED_VALUE"""),19031.0)</f>
        <v>19031</v>
      </c>
      <c r="D4947" s="9" t="str">
        <f>IFERROR(__xludf.DUMMYFUNCTION("""COMPUTED_VALUE"""),"Completed")</f>
        <v>Completed</v>
      </c>
    </row>
    <row r="4948">
      <c r="A4948" s="9" t="str">
        <f>IFERROR(__xludf.DUMMYFUNCTION("""COMPUTED_VALUE"""),"G-REQ-04947")</f>
        <v>G-REQ-04947</v>
      </c>
      <c r="B4948" s="11">
        <f>IFERROR(__xludf.DUMMYFUNCTION("""COMPUTED_VALUE"""),46113.41620208963)</f>
        <v>46113.4162</v>
      </c>
      <c r="C4948" s="9">
        <f>IFERROR(__xludf.DUMMYFUNCTION("""COMPUTED_VALUE"""),19035.0)</f>
        <v>19035</v>
      </c>
      <c r="D4948" s="9" t="str">
        <f>IFERROR(__xludf.DUMMYFUNCTION("""COMPUTED_VALUE"""),"Completed")</f>
        <v>Completed</v>
      </c>
    </row>
    <row r="4949">
      <c r="A4949" s="9" t="str">
        <f>IFERROR(__xludf.DUMMYFUNCTION("""COMPUTED_VALUE"""),"G-REQ-04948")</f>
        <v>G-REQ-04948</v>
      </c>
      <c r="B4949" s="11">
        <f>IFERROR(__xludf.DUMMYFUNCTION("""COMPUTED_VALUE"""),46113.487376935045)</f>
        <v>46113.48738</v>
      </c>
      <c r="C4949" s="9">
        <f>IFERROR(__xludf.DUMMYFUNCTION("""COMPUTED_VALUE"""),19039.0)</f>
        <v>19039</v>
      </c>
      <c r="D4949" s="9" t="str">
        <f>IFERROR(__xludf.DUMMYFUNCTION("""COMPUTED_VALUE"""),"Completed")</f>
        <v>Completed</v>
      </c>
    </row>
    <row r="4950">
      <c r="A4950" s="9" t="str">
        <f>IFERROR(__xludf.DUMMYFUNCTION("""COMPUTED_VALUE"""),"G-REQ-04949")</f>
        <v>G-REQ-04949</v>
      </c>
      <c r="B4950" s="11">
        <f>IFERROR(__xludf.DUMMYFUNCTION("""COMPUTED_VALUE"""),46113.55855178046)</f>
        <v>46113.55855</v>
      </c>
      <c r="C4950" s="9">
        <f>IFERROR(__xludf.DUMMYFUNCTION("""COMPUTED_VALUE"""),19043.0)</f>
        <v>19043</v>
      </c>
      <c r="D4950" s="9" t="str">
        <f>IFERROR(__xludf.DUMMYFUNCTION("""COMPUTED_VALUE"""),"Completed")</f>
        <v>Completed</v>
      </c>
    </row>
    <row r="4951">
      <c r="A4951" s="9" t="str">
        <f>IFERROR(__xludf.DUMMYFUNCTION("""COMPUTED_VALUE"""),"G-REQ-04950")</f>
        <v>G-REQ-04950</v>
      </c>
      <c r="B4951" s="11">
        <f>IFERROR(__xludf.DUMMYFUNCTION("""COMPUTED_VALUE"""),46113.62972662588)</f>
        <v>46113.62973</v>
      </c>
      <c r="C4951" s="9">
        <f>IFERROR(__xludf.DUMMYFUNCTION("""COMPUTED_VALUE"""),19047.0)</f>
        <v>19047</v>
      </c>
      <c r="D4951" s="9" t="str">
        <f>IFERROR(__xludf.DUMMYFUNCTION("""COMPUTED_VALUE"""),"Completed")</f>
        <v>Completed</v>
      </c>
    </row>
    <row r="4952">
      <c r="A4952" s="9" t="str">
        <f>IFERROR(__xludf.DUMMYFUNCTION("""COMPUTED_VALUE"""),"G-REQ-04951")</f>
        <v>G-REQ-04951</v>
      </c>
      <c r="B4952" s="11">
        <f>IFERROR(__xludf.DUMMYFUNCTION("""COMPUTED_VALUE"""),46113.7009014713)</f>
        <v>46113.7009</v>
      </c>
      <c r="C4952" s="9">
        <f>IFERROR(__xludf.DUMMYFUNCTION("""COMPUTED_VALUE"""),19051.0)</f>
        <v>19051</v>
      </c>
      <c r="D4952" s="9" t="str">
        <f>IFERROR(__xludf.DUMMYFUNCTION("""COMPUTED_VALUE"""),"Completed")</f>
        <v>Completed</v>
      </c>
    </row>
    <row r="4953">
      <c r="A4953" s="9" t="str">
        <f>IFERROR(__xludf.DUMMYFUNCTION("""COMPUTED_VALUE"""),"G-REQ-04952")</f>
        <v>G-REQ-04952</v>
      </c>
      <c r="B4953" s="11">
        <f>IFERROR(__xludf.DUMMYFUNCTION("""COMPUTED_VALUE"""),46113.7720763167)</f>
        <v>46113.77208</v>
      </c>
      <c r="C4953" s="9">
        <f>IFERROR(__xludf.DUMMYFUNCTION("""COMPUTED_VALUE"""),19055.0)</f>
        <v>19055</v>
      </c>
      <c r="D4953" s="9" t="str">
        <f>IFERROR(__xludf.DUMMYFUNCTION("""COMPUTED_VALUE"""),"Completed")</f>
        <v>Completed</v>
      </c>
    </row>
    <row r="4954">
      <c r="A4954" s="9" t="str">
        <f>IFERROR(__xludf.DUMMYFUNCTION("""COMPUTED_VALUE"""),"G-REQ-04953")</f>
        <v>G-REQ-04953</v>
      </c>
      <c r="B4954" s="11">
        <f>IFERROR(__xludf.DUMMYFUNCTION("""COMPUTED_VALUE"""),46113.84325116212)</f>
        <v>46113.84325</v>
      </c>
      <c r="C4954" s="9">
        <f>IFERROR(__xludf.DUMMYFUNCTION("""COMPUTED_VALUE"""),19059.0)</f>
        <v>19059</v>
      </c>
      <c r="D4954" s="9" t="str">
        <f>IFERROR(__xludf.DUMMYFUNCTION("""COMPUTED_VALUE"""),"Completed")</f>
        <v>Completed</v>
      </c>
    </row>
    <row r="4955">
      <c r="A4955" s="9" t="str">
        <f>IFERROR(__xludf.DUMMYFUNCTION("""COMPUTED_VALUE"""),"G-REQ-04954")</f>
        <v>G-REQ-04954</v>
      </c>
      <c r="B4955" s="11">
        <f>IFERROR(__xludf.DUMMYFUNCTION("""COMPUTED_VALUE"""),46113.91442600754)</f>
        <v>46113.91443</v>
      </c>
      <c r="C4955" s="9">
        <f>IFERROR(__xludf.DUMMYFUNCTION("""COMPUTED_VALUE"""),19063.0)</f>
        <v>19063</v>
      </c>
      <c r="D4955" s="9" t="str">
        <f>IFERROR(__xludf.DUMMYFUNCTION("""COMPUTED_VALUE"""),"Completed")</f>
        <v>Completed</v>
      </c>
    </row>
    <row r="4956">
      <c r="A4956" s="9" t="str">
        <f>IFERROR(__xludf.DUMMYFUNCTION("""COMPUTED_VALUE"""),"G-REQ-04955")</f>
        <v>G-REQ-04955</v>
      </c>
      <c r="B4956" s="11">
        <f>IFERROR(__xludf.DUMMYFUNCTION("""COMPUTED_VALUE"""),46113.98560085295)</f>
        <v>46113.9856</v>
      </c>
      <c r="C4956" s="9">
        <f>IFERROR(__xludf.DUMMYFUNCTION("""COMPUTED_VALUE"""),19067.0)</f>
        <v>19067</v>
      </c>
      <c r="D4956" s="9" t="str">
        <f>IFERROR(__xludf.DUMMYFUNCTION("""COMPUTED_VALUE"""),"Completed")</f>
        <v>Completed</v>
      </c>
    </row>
    <row r="4957">
      <c r="A4957" s="9" t="str">
        <f>IFERROR(__xludf.DUMMYFUNCTION("""COMPUTED_VALUE"""),"G-REQ-04956")</f>
        <v>G-REQ-04956</v>
      </c>
      <c r="B4957" s="11">
        <f>IFERROR(__xludf.DUMMYFUNCTION("""COMPUTED_VALUE"""),46114.056775698366)</f>
        <v>46114.05678</v>
      </c>
      <c r="C4957" s="9">
        <f>IFERROR(__xludf.DUMMYFUNCTION("""COMPUTED_VALUE"""),19071.0)</f>
        <v>19071</v>
      </c>
      <c r="D4957" s="9" t="str">
        <f>IFERROR(__xludf.DUMMYFUNCTION("""COMPUTED_VALUE"""),"Completed")</f>
        <v>Completed</v>
      </c>
    </row>
    <row r="4958">
      <c r="A4958" s="9" t="str">
        <f>IFERROR(__xludf.DUMMYFUNCTION("""COMPUTED_VALUE"""),"G-REQ-04957")</f>
        <v>G-REQ-04957</v>
      </c>
      <c r="B4958" s="11">
        <f>IFERROR(__xludf.DUMMYFUNCTION("""COMPUTED_VALUE"""),46114.127950543785)</f>
        <v>46114.12795</v>
      </c>
      <c r="C4958" s="9">
        <f>IFERROR(__xludf.DUMMYFUNCTION("""COMPUTED_VALUE"""),19075.0)</f>
        <v>19075</v>
      </c>
      <c r="D4958" s="9" t="str">
        <f>IFERROR(__xludf.DUMMYFUNCTION("""COMPUTED_VALUE"""),"Completed")</f>
        <v>Completed</v>
      </c>
    </row>
    <row r="4959">
      <c r="A4959" s="9" t="str">
        <f>IFERROR(__xludf.DUMMYFUNCTION("""COMPUTED_VALUE"""),"G-REQ-04958")</f>
        <v>G-REQ-04958</v>
      </c>
      <c r="B4959" s="11">
        <f>IFERROR(__xludf.DUMMYFUNCTION("""COMPUTED_VALUE"""),46114.1991253892)</f>
        <v>46114.19913</v>
      </c>
      <c r="C4959" s="9">
        <f>IFERROR(__xludf.DUMMYFUNCTION("""COMPUTED_VALUE"""),19079.0)</f>
        <v>19079</v>
      </c>
      <c r="D4959" s="9" t="str">
        <f>IFERROR(__xludf.DUMMYFUNCTION("""COMPUTED_VALUE"""),"Completed")</f>
        <v>Completed</v>
      </c>
    </row>
    <row r="4960">
      <c r="A4960" s="9" t="str">
        <f>IFERROR(__xludf.DUMMYFUNCTION("""COMPUTED_VALUE"""),"G-REQ-04959")</f>
        <v>G-REQ-04959</v>
      </c>
      <c r="B4960" s="11">
        <f>IFERROR(__xludf.DUMMYFUNCTION("""COMPUTED_VALUE"""),46114.263355790164)</f>
        <v>46114.26336</v>
      </c>
      <c r="C4960" s="9">
        <f>IFERROR(__xludf.DUMMYFUNCTION("""COMPUTED_VALUE"""),19081.0)</f>
        <v>19081</v>
      </c>
      <c r="D4960" s="9" t="str">
        <f>IFERROR(__xludf.DUMMYFUNCTION("""COMPUTED_VALUE"""),"Rejected")</f>
        <v>Rejected</v>
      </c>
    </row>
    <row r="4961">
      <c r="A4961" s="9" t="str">
        <f>IFERROR(__xludf.DUMMYFUNCTION("""COMPUTED_VALUE"""),"G-REQ-04960")</f>
        <v>G-REQ-04960</v>
      </c>
      <c r="B4961" s="11">
        <f>IFERROR(__xludf.DUMMYFUNCTION("""COMPUTED_VALUE"""),46114.34147508003)</f>
        <v>46114.34148</v>
      </c>
      <c r="C4961" s="9">
        <f>IFERROR(__xludf.DUMMYFUNCTION("""COMPUTED_VALUE"""),19085.0)</f>
        <v>19085</v>
      </c>
      <c r="D4961" s="9" t="str">
        <f>IFERROR(__xludf.DUMMYFUNCTION("""COMPUTED_VALUE"""),"Completed")</f>
        <v>Completed</v>
      </c>
    </row>
    <row r="4962">
      <c r="A4962" s="9" t="str">
        <f>IFERROR(__xludf.DUMMYFUNCTION("""COMPUTED_VALUE"""),"G-REQ-04961")</f>
        <v>G-REQ-04961</v>
      </c>
      <c r="B4962" s="11">
        <f>IFERROR(__xludf.DUMMYFUNCTION("""COMPUTED_VALUE"""),46114.41264992545)</f>
        <v>46114.41265</v>
      </c>
      <c r="C4962" s="9">
        <f>IFERROR(__xludf.DUMMYFUNCTION("""COMPUTED_VALUE"""),19089.0)</f>
        <v>19089</v>
      </c>
      <c r="D4962" s="9" t="str">
        <f>IFERROR(__xludf.DUMMYFUNCTION("""COMPUTED_VALUE"""),"Completed")</f>
        <v>Completed</v>
      </c>
    </row>
    <row r="4963">
      <c r="A4963" s="9" t="str">
        <f>IFERROR(__xludf.DUMMYFUNCTION("""COMPUTED_VALUE"""),"G-REQ-04962")</f>
        <v>G-REQ-04962</v>
      </c>
      <c r="B4963" s="11">
        <f>IFERROR(__xludf.DUMMYFUNCTION("""COMPUTED_VALUE"""),46114.483824770854)</f>
        <v>46114.48382</v>
      </c>
      <c r="C4963" s="9">
        <f>IFERROR(__xludf.DUMMYFUNCTION("""COMPUTED_VALUE"""),19093.0)</f>
        <v>19093</v>
      </c>
      <c r="D4963" s="9" t="str">
        <f>IFERROR(__xludf.DUMMYFUNCTION("""COMPUTED_VALUE"""),"Completed")</f>
        <v>Completed</v>
      </c>
    </row>
    <row r="4964">
      <c r="A4964" s="9" t="str">
        <f>IFERROR(__xludf.DUMMYFUNCTION("""COMPUTED_VALUE"""),"G-REQ-04963")</f>
        <v>G-REQ-04963</v>
      </c>
      <c r="B4964" s="11">
        <f>IFERROR(__xludf.DUMMYFUNCTION("""COMPUTED_VALUE"""),46114.55499961627)</f>
        <v>46114.555</v>
      </c>
      <c r="C4964" s="9">
        <f>IFERROR(__xludf.DUMMYFUNCTION("""COMPUTED_VALUE"""),19097.0)</f>
        <v>19097</v>
      </c>
      <c r="D4964" s="9" t="str">
        <f>IFERROR(__xludf.DUMMYFUNCTION("""COMPUTED_VALUE"""),"Completed")</f>
        <v>Completed</v>
      </c>
    </row>
    <row r="4965">
      <c r="A4965" s="9" t="str">
        <f>IFERROR(__xludf.DUMMYFUNCTION("""COMPUTED_VALUE"""),"G-REQ-04964")</f>
        <v>G-REQ-04964</v>
      </c>
      <c r="B4965" s="11">
        <f>IFERROR(__xludf.DUMMYFUNCTION("""COMPUTED_VALUE"""),46114.626174461686)</f>
        <v>46114.62617</v>
      </c>
      <c r="C4965" s="9">
        <f>IFERROR(__xludf.DUMMYFUNCTION("""COMPUTED_VALUE"""),19101.0)</f>
        <v>19101</v>
      </c>
      <c r="D4965" s="9" t="str">
        <f>IFERROR(__xludf.DUMMYFUNCTION("""COMPUTED_VALUE"""),"Completed")</f>
        <v>Completed</v>
      </c>
    </row>
    <row r="4966">
      <c r="A4966" s="9" t="str">
        <f>IFERROR(__xludf.DUMMYFUNCTION("""COMPUTED_VALUE"""),"G-REQ-04965")</f>
        <v>G-REQ-04965</v>
      </c>
      <c r="B4966" s="11">
        <f>IFERROR(__xludf.DUMMYFUNCTION("""COMPUTED_VALUE"""),46114.697349307105)</f>
        <v>46114.69735</v>
      </c>
      <c r="C4966" s="9">
        <f>IFERROR(__xludf.DUMMYFUNCTION("""COMPUTED_VALUE"""),19105.0)</f>
        <v>19105</v>
      </c>
      <c r="D4966" s="9" t="str">
        <f>IFERROR(__xludf.DUMMYFUNCTION("""COMPUTED_VALUE"""),"Completed")</f>
        <v>Completed</v>
      </c>
    </row>
    <row r="4967">
      <c r="A4967" s="9" t="str">
        <f>IFERROR(__xludf.DUMMYFUNCTION("""COMPUTED_VALUE"""),"G-REQ-04966")</f>
        <v>G-REQ-04966</v>
      </c>
      <c r="B4967" s="11">
        <f>IFERROR(__xludf.DUMMYFUNCTION("""COMPUTED_VALUE"""),46114.76852415252)</f>
        <v>46114.76852</v>
      </c>
      <c r="C4967" s="9">
        <f>IFERROR(__xludf.DUMMYFUNCTION("""COMPUTED_VALUE"""),19109.0)</f>
        <v>19109</v>
      </c>
      <c r="D4967" s="9" t="str">
        <f>IFERROR(__xludf.DUMMYFUNCTION("""COMPUTED_VALUE"""),"Completed")</f>
        <v>Completed</v>
      </c>
    </row>
    <row r="4968">
      <c r="A4968" s="9" t="str">
        <f>IFERROR(__xludf.DUMMYFUNCTION("""COMPUTED_VALUE"""),"G-REQ-04967")</f>
        <v>G-REQ-04967</v>
      </c>
      <c r="B4968" s="11">
        <f>IFERROR(__xludf.DUMMYFUNCTION("""COMPUTED_VALUE"""),46114.83969899794)</f>
        <v>46114.8397</v>
      </c>
      <c r="C4968" s="9">
        <f>IFERROR(__xludf.DUMMYFUNCTION("""COMPUTED_VALUE"""),19113.0)</f>
        <v>19113</v>
      </c>
      <c r="D4968" s="9" t="str">
        <f>IFERROR(__xludf.DUMMYFUNCTION("""COMPUTED_VALUE"""),"Completed")</f>
        <v>Completed</v>
      </c>
    </row>
    <row r="4969">
      <c r="A4969" s="9" t="str">
        <f>IFERROR(__xludf.DUMMYFUNCTION("""COMPUTED_VALUE"""),"G-REQ-04968")</f>
        <v>G-REQ-04968</v>
      </c>
      <c r="B4969" s="11">
        <f>IFERROR(__xludf.DUMMYFUNCTION("""COMPUTED_VALUE"""),46114.91087384334)</f>
        <v>46114.91087</v>
      </c>
      <c r="C4969" s="9">
        <f>IFERROR(__xludf.DUMMYFUNCTION("""COMPUTED_VALUE"""),19117.0)</f>
        <v>19117</v>
      </c>
      <c r="D4969" s="9" t="str">
        <f>IFERROR(__xludf.DUMMYFUNCTION("""COMPUTED_VALUE"""),"Completed")</f>
        <v>Completed</v>
      </c>
    </row>
    <row r="4970">
      <c r="A4970" s="9" t="str">
        <f>IFERROR(__xludf.DUMMYFUNCTION("""COMPUTED_VALUE"""),"G-REQ-04969")</f>
        <v>G-REQ-04969</v>
      </c>
      <c r="B4970" s="11">
        <f>IFERROR(__xludf.DUMMYFUNCTION("""COMPUTED_VALUE"""),46114.98204868876)</f>
        <v>46114.98205</v>
      </c>
      <c r="C4970" s="9">
        <f>IFERROR(__xludf.DUMMYFUNCTION("""COMPUTED_VALUE"""),19121.0)</f>
        <v>19121</v>
      </c>
      <c r="D4970" s="9" t="str">
        <f>IFERROR(__xludf.DUMMYFUNCTION("""COMPUTED_VALUE"""),"Completed")</f>
        <v>Completed</v>
      </c>
    </row>
    <row r="4971">
      <c r="A4971" s="9" t="str">
        <f>IFERROR(__xludf.DUMMYFUNCTION("""COMPUTED_VALUE"""),"G-REQ-04970")</f>
        <v>G-REQ-04970</v>
      </c>
      <c r="B4971" s="11">
        <f>IFERROR(__xludf.DUMMYFUNCTION("""COMPUTED_VALUE"""),46115.05322353418)</f>
        <v>46115.05322</v>
      </c>
      <c r="C4971" s="9">
        <f>IFERROR(__xludf.DUMMYFUNCTION("""COMPUTED_VALUE"""),19125.0)</f>
        <v>19125</v>
      </c>
      <c r="D4971" s="9" t="str">
        <f>IFERROR(__xludf.DUMMYFUNCTION("""COMPUTED_VALUE"""),"Completed")</f>
        <v>Completed</v>
      </c>
    </row>
    <row r="4972">
      <c r="A4972" s="9" t="str">
        <f>IFERROR(__xludf.DUMMYFUNCTION("""COMPUTED_VALUE"""),"G-REQ-04971")</f>
        <v>G-REQ-04971</v>
      </c>
      <c r="B4972" s="11">
        <f>IFERROR(__xludf.DUMMYFUNCTION("""COMPUTED_VALUE"""),46115.124398379594)</f>
        <v>46115.1244</v>
      </c>
      <c r="C4972" s="9">
        <f>IFERROR(__xludf.DUMMYFUNCTION("""COMPUTED_VALUE"""),19129.0)</f>
        <v>19129</v>
      </c>
      <c r="D4972" s="9" t="str">
        <f>IFERROR(__xludf.DUMMYFUNCTION("""COMPUTED_VALUE"""),"Completed")</f>
        <v>Completed</v>
      </c>
    </row>
    <row r="4973">
      <c r="A4973" s="9" t="str">
        <f>IFERROR(__xludf.DUMMYFUNCTION("""COMPUTED_VALUE"""),"G-REQ-04972")</f>
        <v>G-REQ-04972</v>
      </c>
      <c r="B4973" s="11">
        <f>IFERROR(__xludf.DUMMYFUNCTION("""COMPUTED_VALUE"""),46115.195573225006)</f>
        <v>46115.19557</v>
      </c>
      <c r="C4973" s="9">
        <f>IFERROR(__xludf.DUMMYFUNCTION("""COMPUTED_VALUE"""),19133.0)</f>
        <v>19133</v>
      </c>
      <c r="D4973" s="9" t="str">
        <f>IFERROR(__xludf.DUMMYFUNCTION("""COMPUTED_VALUE"""),"Completed")</f>
        <v>Completed</v>
      </c>
    </row>
    <row r="4974">
      <c r="A4974" s="9" t="str">
        <f>IFERROR(__xludf.DUMMYFUNCTION("""COMPUTED_VALUE"""),"G-REQ-04973")</f>
        <v>G-REQ-04973</v>
      </c>
      <c r="B4974" s="11">
        <f>IFERROR(__xludf.DUMMYFUNCTION("""COMPUTED_VALUE"""),46115.266748070426)</f>
        <v>46115.26675</v>
      </c>
      <c r="C4974" s="9">
        <f>IFERROR(__xludf.DUMMYFUNCTION("""COMPUTED_VALUE"""),19137.0)</f>
        <v>19137</v>
      </c>
      <c r="D4974" s="9" t="str">
        <f>IFERROR(__xludf.DUMMYFUNCTION("""COMPUTED_VALUE"""),"Completed")</f>
        <v>Completed</v>
      </c>
    </row>
    <row r="4975">
      <c r="A4975" s="9" t="str">
        <f>IFERROR(__xludf.DUMMYFUNCTION("""COMPUTED_VALUE"""),"G-REQ-04974")</f>
        <v>G-REQ-04974</v>
      </c>
      <c r="B4975" s="11">
        <f>IFERROR(__xludf.DUMMYFUNCTION("""COMPUTED_VALUE"""),46115.33792291584)</f>
        <v>46115.33792</v>
      </c>
      <c r="C4975" s="9">
        <f>IFERROR(__xludf.DUMMYFUNCTION("""COMPUTED_VALUE"""),19141.0)</f>
        <v>19141</v>
      </c>
      <c r="D4975" s="9" t="str">
        <f>IFERROR(__xludf.DUMMYFUNCTION("""COMPUTED_VALUE"""),"Completed")</f>
        <v>Completed</v>
      </c>
    </row>
    <row r="4976">
      <c r="A4976" s="9" t="str">
        <f>IFERROR(__xludf.DUMMYFUNCTION("""COMPUTED_VALUE"""),"G-REQ-04975")</f>
        <v>G-REQ-04975</v>
      </c>
      <c r="B4976" s="11">
        <f>IFERROR(__xludf.DUMMYFUNCTION("""COMPUTED_VALUE"""),46115.40909776125)</f>
        <v>46115.4091</v>
      </c>
      <c r="C4976" s="9">
        <f>IFERROR(__xludf.DUMMYFUNCTION("""COMPUTED_VALUE"""),19145.0)</f>
        <v>19145</v>
      </c>
      <c r="D4976" s="9" t="str">
        <f>IFERROR(__xludf.DUMMYFUNCTION("""COMPUTED_VALUE"""),"Completed")</f>
        <v>Completed</v>
      </c>
    </row>
    <row r="4977">
      <c r="A4977" s="9" t="str">
        <f>IFERROR(__xludf.DUMMYFUNCTION("""COMPUTED_VALUE"""),"G-REQ-04976")</f>
        <v>G-REQ-04976</v>
      </c>
      <c r="B4977" s="11">
        <f>IFERROR(__xludf.DUMMYFUNCTION("""COMPUTED_VALUE"""),46115.48027260667)</f>
        <v>46115.48027</v>
      </c>
      <c r="C4977" s="9">
        <f>IFERROR(__xludf.DUMMYFUNCTION("""COMPUTED_VALUE"""),19149.0)</f>
        <v>19149</v>
      </c>
      <c r="D4977" s="9" t="str">
        <f>IFERROR(__xludf.DUMMYFUNCTION("""COMPUTED_VALUE"""),"Completed")</f>
        <v>Completed</v>
      </c>
    </row>
    <row r="4978">
      <c r="A4978" s="9" t="str">
        <f>IFERROR(__xludf.DUMMYFUNCTION("""COMPUTED_VALUE"""),"G-REQ-04977")</f>
        <v>G-REQ-04977</v>
      </c>
      <c r="B4978" s="11">
        <f>IFERROR(__xludf.DUMMYFUNCTION("""COMPUTED_VALUE"""),46115.55144745209)</f>
        <v>46115.55145</v>
      </c>
      <c r="C4978" s="9">
        <f>IFERROR(__xludf.DUMMYFUNCTION("""COMPUTED_VALUE"""),19153.0)</f>
        <v>19153</v>
      </c>
      <c r="D4978" s="9" t="str">
        <f>IFERROR(__xludf.DUMMYFUNCTION("""COMPUTED_VALUE"""),"Completed")</f>
        <v>Completed</v>
      </c>
    </row>
    <row r="4979">
      <c r="A4979" s="9" t="str">
        <f>IFERROR(__xludf.DUMMYFUNCTION("""COMPUTED_VALUE"""),"G-REQ-04978")</f>
        <v>G-REQ-04978</v>
      </c>
      <c r="B4979" s="11">
        <f>IFERROR(__xludf.DUMMYFUNCTION("""COMPUTED_VALUE"""),46115.622622297495)</f>
        <v>46115.62262</v>
      </c>
      <c r="C4979" s="9">
        <f>IFERROR(__xludf.DUMMYFUNCTION("""COMPUTED_VALUE"""),19157.0)</f>
        <v>19157</v>
      </c>
      <c r="D4979" s="9" t="str">
        <f>IFERROR(__xludf.DUMMYFUNCTION("""COMPUTED_VALUE"""),"Completed")</f>
        <v>Completed</v>
      </c>
    </row>
    <row r="4980">
      <c r="A4980" s="9" t="str">
        <f>IFERROR(__xludf.DUMMYFUNCTION("""COMPUTED_VALUE"""),"G-REQ-04979")</f>
        <v>G-REQ-04979</v>
      </c>
      <c r="B4980" s="11">
        <f>IFERROR(__xludf.DUMMYFUNCTION("""COMPUTED_VALUE"""),46115.693797142914)</f>
        <v>46115.6938</v>
      </c>
      <c r="C4980" s="9">
        <f>IFERROR(__xludf.DUMMYFUNCTION("""COMPUTED_VALUE"""),19161.0)</f>
        <v>19161</v>
      </c>
      <c r="D4980" s="9" t="str">
        <f>IFERROR(__xludf.DUMMYFUNCTION("""COMPUTED_VALUE"""),"Completed")</f>
        <v>Completed</v>
      </c>
    </row>
    <row r="4981">
      <c r="A4981" s="9" t="str">
        <f>IFERROR(__xludf.DUMMYFUNCTION("""COMPUTED_VALUE"""),"G-REQ-04980")</f>
        <v>G-REQ-04980</v>
      </c>
      <c r="B4981" s="11">
        <f>IFERROR(__xludf.DUMMYFUNCTION("""COMPUTED_VALUE"""),46115.764971988334)</f>
        <v>46115.76497</v>
      </c>
      <c r="C4981" s="9">
        <f>IFERROR(__xludf.DUMMYFUNCTION("""COMPUTED_VALUE"""),19165.0)</f>
        <v>19165</v>
      </c>
      <c r="D4981" s="9" t="str">
        <f>IFERROR(__xludf.DUMMYFUNCTION("""COMPUTED_VALUE"""),"Completed")</f>
        <v>Completed</v>
      </c>
    </row>
    <row r="4982">
      <c r="A4982" s="9" t="str">
        <f>IFERROR(__xludf.DUMMYFUNCTION("""COMPUTED_VALUE"""),"G-REQ-04981")</f>
        <v>G-REQ-04981</v>
      </c>
      <c r="B4982" s="11">
        <f>IFERROR(__xludf.DUMMYFUNCTION("""COMPUTED_VALUE"""),46115.836146833746)</f>
        <v>46115.83615</v>
      </c>
      <c r="C4982" s="9">
        <f>IFERROR(__xludf.DUMMYFUNCTION("""COMPUTED_VALUE"""),19169.0)</f>
        <v>19169</v>
      </c>
      <c r="D4982" s="9" t="str">
        <f>IFERROR(__xludf.DUMMYFUNCTION("""COMPUTED_VALUE"""),"Completed")</f>
        <v>Completed</v>
      </c>
    </row>
    <row r="4983">
      <c r="A4983" s="9" t="str">
        <f>IFERROR(__xludf.DUMMYFUNCTION("""COMPUTED_VALUE"""),"G-REQ-04982")</f>
        <v>G-REQ-04982</v>
      </c>
      <c r="B4983" s="11">
        <f>IFERROR(__xludf.DUMMYFUNCTION("""COMPUTED_VALUE"""),46115.90732167916)</f>
        <v>46115.90732</v>
      </c>
      <c r="C4983" s="9">
        <f>IFERROR(__xludf.DUMMYFUNCTION("""COMPUTED_VALUE"""),19173.0)</f>
        <v>19173</v>
      </c>
      <c r="D4983" s="9" t="str">
        <f>IFERROR(__xludf.DUMMYFUNCTION("""COMPUTED_VALUE"""),"Completed")</f>
        <v>Completed</v>
      </c>
    </row>
    <row r="4984">
      <c r="A4984" s="9" t="str">
        <f>IFERROR(__xludf.DUMMYFUNCTION("""COMPUTED_VALUE"""),"G-REQ-04983")</f>
        <v>G-REQ-04983</v>
      </c>
      <c r="B4984" s="11">
        <f>IFERROR(__xludf.DUMMYFUNCTION("""COMPUTED_VALUE"""),46115.97849652458)</f>
        <v>46115.9785</v>
      </c>
      <c r="C4984" s="9">
        <f>IFERROR(__xludf.DUMMYFUNCTION("""COMPUTED_VALUE"""),19177.0)</f>
        <v>19177</v>
      </c>
      <c r="D4984" s="9" t="str">
        <f>IFERROR(__xludf.DUMMYFUNCTION("""COMPUTED_VALUE"""),"Completed")</f>
        <v>Completed</v>
      </c>
    </row>
    <row r="4985">
      <c r="A4985" s="9" t="str">
        <f>IFERROR(__xludf.DUMMYFUNCTION("""COMPUTED_VALUE"""),"G-REQ-04984")</f>
        <v>G-REQ-04984</v>
      </c>
      <c r="B4985" s="11">
        <f>IFERROR(__xludf.DUMMYFUNCTION("""COMPUTED_VALUE"""),46116.04967136999)</f>
        <v>46116.04967</v>
      </c>
      <c r="C4985" s="9">
        <f>IFERROR(__xludf.DUMMYFUNCTION("""COMPUTED_VALUE"""),19181.0)</f>
        <v>19181</v>
      </c>
      <c r="D4985" s="9" t="str">
        <f>IFERROR(__xludf.DUMMYFUNCTION("""COMPUTED_VALUE"""),"Completed")</f>
        <v>Completed</v>
      </c>
    </row>
    <row r="4986">
      <c r="A4986" s="9" t="str">
        <f>IFERROR(__xludf.DUMMYFUNCTION("""COMPUTED_VALUE"""),"G-REQ-04985")</f>
        <v>G-REQ-04985</v>
      </c>
      <c r="B4986" s="11">
        <f>IFERROR(__xludf.DUMMYFUNCTION("""COMPUTED_VALUE"""),46116.1208462154)</f>
        <v>46116.12085</v>
      </c>
      <c r="C4986" s="9">
        <f>IFERROR(__xludf.DUMMYFUNCTION("""COMPUTED_VALUE"""),19185.0)</f>
        <v>19185</v>
      </c>
      <c r="D4986" s="9" t="str">
        <f>IFERROR(__xludf.DUMMYFUNCTION("""COMPUTED_VALUE"""),"Completed")</f>
        <v>Completed</v>
      </c>
    </row>
    <row r="4987">
      <c r="A4987" s="9" t="str">
        <f>IFERROR(__xludf.DUMMYFUNCTION("""COMPUTED_VALUE"""),"G-REQ-04986")</f>
        <v>G-REQ-04986</v>
      </c>
      <c r="B4987" s="11">
        <f>IFERROR(__xludf.DUMMYFUNCTION("""COMPUTED_VALUE"""),46116.19202106082)</f>
        <v>46116.19202</v>
      </c>
      <c r="C4987" s="9">
        <f>IFERROR(__xludf.DUMMYFUNCTION("""COMPUTED_VALUE"""),19189.0)</f>
        <v>19189</v>
      </c>
      <c r="D4987" s="9" t="str">
        <f>IFERROR(__xludf.DUMMYFUNCTION("""COMPUTED_VALUE"""),"Completed")</f>
        <v>Completed</v>
      </c>
    </row>
    <row r="4988">
      <c r="A4988" s="9" t="str">
        <f>IFERROR(__xludf.DUMMYFUNCTION("""COMPUTED_VALUE"""),"G-REQ-04987")</f>
        <v>G-REQ-04987</v>
      </c>
      <c r="B4988" s="11">
        <f>IFERROR(__xludf.DUMMYFUNCTION("""COMPUTED_VALUE"""),46116.263195906235)</f>
        <v>46116.2632</v>
      </c>
      <c r="C4988" s="9">
        <f>IFERROR(__xludf.DUMMYFUNCTION("""COMPUTED_VALUE"""),19193.0)</f>
        <v>19193</v>
      </c>
      <c r="D4988" s="9" t="str">
        <f>IFERROR(__xludf.DUMMYFUNCTION("""COMPUTED_VALUE"""),"Completed")</f>
        <v>Completed</v>
      </c>
    </row>
    <row r="4989">
      <c r="A4989" s="9" t="str">
        <f>IFERROR(__xludf.DUMMYFUNCTION("""COMPUTED_VALUE"""),"G-REQ-04988")</f>
        <v>G-REQ-04988</v>
      </c>
      <c r="B4989" s="11">
        <f>IFERROR(__xludf.DUMMYFUNCTION("""COMPUTED_VALUE"""),46116.33437075165)</f>
        <v>46116.33437</v>
      </c>
      <c r="C4989" s="9">
        <f>IFERROR(__xludf.DUMMYFUNCTION("""COMPUTED_VALUE"""),19197.0)</f>
        <v>19197</v>
      </c>
      <c r="D4989" s="9" t="str">
        <f>IFERROR(__xludf.DUMMYFUNCTION("""COMPUTED_VALUE"""),"Completed")</f>
        <v>Completed</v>
      </c>
    </row>
    <row r="4990">
      <c r="A4990" s="9" t="str">
        <f>IFERROR(__xludf.DUMMYFUNCTION("""COMPUTED_VALUE"""),"G-REQ-04989")</f>
        <v>G-REQ-04989</v>
      </c>
      <c r="B4990" s="11">
        <f>IFERROR(__xludf.DUMMYFUNCTION("""COMPUTED_VALUE"""),46116.40554559707)</f>
        <v>46116.40555</v>
      </c>
      <c r="C4990" s="9">
        <f>IFERROR(__xludf.DUMMYFUNCTION("""COMPUTED_VALUE"""),19201.0)</f>
        <v>19201</v>
      </c>
      <c r="D4990" s="9" t="str">
        <f>IFERROR(__xludf.DUMMYFUNCTION("""COMPUTED_VALUE"""),"Completed")</f>
        <v>Completed</v>
      </c>
    </row>
    <row r="4991">
      <c r="A4991" s="9" t="str">
        <f>IFERROR(__xludf.DUMMYFUNCTION("""COMPUTED_VALUE"""),"G-REQ-04990")</f>
        <v>G-REQ-04990</v>
      </c>
      <c r="B4991" s="11">
        <f>IFERROR(__xludf.DUMMYFUNCTION("""COMPUTED_VALUE"""),46116.47672044248)</f>
        <v>46116.47672</v>
      </c>
      <c r="C4991" s="9">
        <f>IFERROR(__xludf.DUMMYFUNCTION("""COMPUTED_VALUE"""),19205.0)</f>
        <v>19205</v>
      </c>
      <c r="D4991" s="9" t="str">
        <f>IFERROR(__xludf.DUMMYFUNCTION("""COMPUTED_VALUE"""),"Completed")</f>
        <v>Completed</v>
      </c>
    </row>
    <row r="4992">
      <c r="A4992" s="9" t="str">
        <f>IFERROR(__xludf.DUMMYFUNCTION("""COMPUTED_VALUE"""),"G-REQ-04991")</f>
        <v>G-REQ-04991</v>
      </c>
      <c r="B4992" s="11">
        <f>IFERROR(__xludf.DUMMYFUNCTION("""COMPUTED_VALUE"""),46116.540950843446)</f>
        <v>46116.54095</v>
      </c>
      <c r="C4992" s="9">
        <f>IFERROR(__xludf.DUMMYFUNCTION("""COMPUTED_VALUE"""),19207.0)</f>
        <v>19207</v>
      </c>
      <c r="D4992" s="9" t="str">
        <f>IFERROR(__xludf.DUMMYFUNCTION("""COMPUTED_VALUE"""),"Rejected")</f>
        <v>Rejected</v>
      </c>
    </row>
    <row r="4993">
      <c r="A4993" s="9" t="str">
        <f>IFERROR(__xludf.DUMMYFUNCTION("""COMPUTED_VALUE"""),"G-REQ-04992")</f>
        <v>G-REQ-04992</v>
      </c>
      <c r="B4993" s="11">
        <f>IFERROR(__xludf.DUMMYFUNCTION("""COMPUTED_VALUE"""),46116.61907013331)</f>
        <v>46116.61907</v>
      </c>
      <c r="C4993" s="9">
        <f>IFERROR(__xludf.DUMMYFUNCTION("""COMPUTED_VALUE"""),19211.0)</f>
        <v>19211</v>
      </c>
      <c r="D4993" s="9" t="str">
        <f>IFERROR(__xludf.DUMMYFUNCTION("""COMPUTED_VALUE"""),"Completed")</f>
        <v>Completed</v>
      </c>
    </row>
    <row r="4994">
      <c r="A4994" s="9" t="str">
        <f>IFERROR(__xludf.DUMMYFUNCTION("""COMPUTED_VALUE"""),"G-REQ-04993")</f>
        <v>G-REQ-04993</v>
      </c>
      <c r="B4994" s="11">
        <f>IFERROR(__xludf.DUMMYFUNCTION("""COMPUTED_VALUE"""),46116.69024497873)</f>
        <v>46116.69024</v>
      </c>
      <c r="C4994" s="9">
        <f>IFERROR(__xludf.DUMMYFUNCTION("""COMPUTED_VALUE"""),19215.0)</f>
        <v>19215</v>
      </c>
      <c r="D4994" s="9" t="str">
        <f>IFERROR(__xludf.DUMMYFUNCTION("""COMPUTED_VALUE"""),"Completed")</f>
        <v>Completed</v>
      </c>
    </row>
    <row r="4995">
      <c r="A4995" s="9" t="str">
        <f>IFERROR(__xludf.DUMMYFUNCTION("""COMPUTED_VALUE"""),"G-REQ-04994")</f>
        <v>G-REQ-04994</v>
      </c>
      <c r="B4995" s="11">
        <f>IFERROR(__xludf.DUMMYFUNCTION("""COMPUTED_VALUE"""),46116.75447537969)</f>
        <v>46116.75448</v>
      </c>
      <c r="C4995" s="9">
        <f>IFERROR(__xludf.DUMMYFUNCTION("""COMPUTED_VALUE"""),19217.0)</f>
        <v>19217</v>
      </c>
      <c r="D4995" s="9" t="str">
        <f>IFERROR(__xludf.DUMMYFUNCTION("""COMPUTED_VALUE"""),"Rejected")</f>
        <v>Rejected</v>
      </c>
    </row>
    <row r="4996">
      <c r="A4996" s="9" t="str">
        <f>IFERROR(__xludf.DUMMYFUNCTION("""COMPUTED_VALUE"""),"G-REQ-04995")</f>
        <v>G-REQ-04995</v>
      </c>
      <c r="B4996" s="11">
        <f>IFERROR(__xludf.DUMMYFUNCTION("""COMPUTED_VALUE"""),46116.832594669555)</f>
        <v>46116.83259</v>
      </c>
      <c r="C4996" s="9">
        <f>IFERROR(__xludf.DUMMYFUNCTION("""COMPUTED_VALUE"""),19221.0)</f>
        <v>19221</v>
      </c>
      <c r="D4996" s="9" t="str">
        <f>IFERROR(__xludf.DUMMYFUNCTION("""COMPUTED_VALUE"""),"Completed")</f>
        <v>Completed</v>
      </c>
    </row>
    <row r="4997">
      <c r="A4997" s="9" t="str">
        <f>IFERROR(__xludf.DUMMYFUNCTION("""COMPUTED_VALUE"""),"G-REQ-04996")</f>
        <v>G-REQ-04996</v>
      </c>
      <c r="B4997" s="11">
        <f>IFERROR(__xludf.DUMMYFUNCTION("""COMPUTED_VALUE"""),46116.903769514975)</f>
        <v>46116.90377</v>
      </c>
      <c r="C4997" s="9">
        <f>IFERROR(__xludf.DUMMYFUNCTION("""COMPUTED_VALUE"""),19225.0)</f>
        <v>19225</v>
      </c>
      <c r="D4997" s="9" t="str">
        <f>IFERROR(__xludf.DUMMYFUNCTION("""COMPUTED_VALUE"""),"Completed")</f>
        <v>Completed</v>
      </c>
    </row>
    <row r="4998">
      <c r="A4998" s="9" t="str">
        <f>IFERROR(__xludf.DUMMYFUNCTION("""COMPUTED_VALUE"""),"G-REQ-04997")</f>
        <v>G-REQ-04997</v>
      </c>
      <c r="B4998" s="11">
        <f>IFERROR(__xludf.DUMMYFUNCTION("""COMPUTED_VALUE"""),46116.97494436039)</f>
        <v>46116.97494</v>
      </c>
      <c r="C4998" s="9">
        <f>IFERROR(__xludf.DUMMYFUNCTION("""COMPUTED_VALUE"""),19229.0)</f>
        <v>19229</v>
      </c>
      <c r="D4998" s="9" t="str">
        <f>IFERROR(__xludf.DUMMYFUNCTION("""COMPUTED_VALUE"""),"Completed")</f>
        <v>Completed</v>
      </c>
    </row>
    <row r="4999">
      <c r="A4999" s="9" t="str">
        <f>IFERROR(__xludf.DUMMYFUNCTION("""COMPUTED_VALUE"""),"G-REQ-04998")</f>
        <v>G-REQ-04998</v>
      </c>
      <c r="B4999" s="11">
        <f>IFERROR(__xludf.DUMMYFUNCTION("""COMPUTED_VALUE"""),46117.0461192058)</f>
        <v>46117.04612</v>
      </c>
      <c r="C4999" s="9">
        <f>IFERROR(__xludf.DUMMYFUNCTION("""COMPUTED_VALUE"""),19233.0)</f>
        <v>19233</v>
      </c>
      <c r="D4999" s="9" t="str">
        <f>IFERROR(__xludf.DUMMYFUNCTION("""COMPUTED_VALUE"""),"Completed")</f>
        <v>Completed</v>
      </c>
    </row>
    <row r="5000">
      <c r="A5000" s="9" t="str">
        <f>IFERROR(__xludf.DUMMYFUNCTION("""COMPUTED_VALUE"""),"G-REQ-04999")</f>
        <v>G-REQ-04999</v>
      </c>
      <c r="B5000" s="11">
        <f>IFERROR(__xludf.DUMMYFUNCTION("""COMPUTED_VALUE"""),46117.11034960677)</f>
        <v>46117.11035</v>
      </c>
      <c r="C5000" s="9">
        <f>IFERROR(__xludf.DUMMYFUNCTION("""COMPUTED_VALUE"""),19235.0)</f>
        <v>19235</v>
      </c>
      <c r="D5000" s="9" t="str">
        <f>IFERROR(__xludf.DUMMYFUNCTION("""COMPUTED_VALUE"""),"Rejected")</f>
        <v>Rejected</v>
      </c>
    </row>
    <row r="5001">
      <c r="A5001" s="9" t="str">
        <f>IFERROR(__xludf.DUMMYFUNCTION("""COMPUTED_VALUE"""),"G-REQ-05000")</f>
        <v>G-REQ-05000</v>
      </c>
      <c r="B5001" s="11">
        <f>IFERROR(__xludf.DUMMYFUNCTION("""COMPUTED_VALUE"""),46117.18846889663)</f>
        <v>46117.18847</v>
      </c>
      <c r="C5001" s="9">
        <f>IFERROR(__xludf.DUMMYFUNCTION("""COMPUTED_VALUE"""),19239.0)</f>
        <v>19239</v>
      </c>
      <c r="D5001" s="9" t="str">
        <f>IFERROR(__xludf.DUMMYFUNCTION("""COMPUTED_VALUE"""),"Completed")</f>
        <v>Completed</v>
      </c>
    </row>
    <row r="5002">
      <c r="A5002" s="9" t="str">
        <f>IFERROR(__xludf.DUMMYFUNCTION("""COMPUTED_VALUE"""),"G-REQ-05001")</f>
        <v>G-REQ-05001</v>
      </c>
      <c r="B5002" s="11">
        <f>IFERROR(__xludf.DUMMYFUNCTION("""COMPUTED_VALUE"""),46117.25964374204)</f>
        <v>46117.25964</v>
      </c>
      <c r="C5002" s="9">
        <f>IFERROR(__xludf.DUMMYFUNCTION("""COMPUTED_VALUE"""),19243.0)</f>
        <v>19243</v>
      </c>
      <c r="D5002" s="9" t="str">
        <f>IFERROR(__xludf.DUMMYFUNCTION("""COMPUTED_VALUE"""),"Completed")</f>
        <v>Completed</v>
      </c>
    </row>
    <row r="5003">
      <c r="A5003" s="9" t="str">
        <f>IFERROR(__xludf.DUMMYFUNCTION("""COMPUTED_VALUE"""),"G-REQ-05002")</f>
        <v>G-REQ-05002</v>
      </c>
      <c r="B5003" s="11">
        <f>IFERROR(__xludf.DUMMYFUNCTION("""COMPUTED_VALUE"""),46117.33081858746)</f>
        <v>46117.33082</v>
      </c>
      <c r="C5003" s="9">
        <f>IFERROR(__xludf.DUMMYFUNCTION("""COMPUTED_VALUE"""),19247.0)</f>
        <v>19247</v>
      </c>
      <c r="D5003" s="9" t="str">
        <f>IFERROR(__xludf.DUMMYFUNCTION("""COMPUTED_VALUE"""),"Completed")</f>
        <v>Completed</v>
      </c>
    </row>
    <row r="5004">
      <c r="A5004" s="9" t="str">
        <f>IFERROR(__xludf.DUMMYFUNCTION("""COMPUTED_VALUE"""),"G-REQ-05003")</f>
        <v>G-REQ-05003</v>
      </c>
      <c r="B5004" s="11">
        <f>IFERROR(__xludf.DUMMYFUNCTION("""COMPUTED_VALUE"""),46117.40199343288)</f>
        <v>46117.40199</v>
      </c>
      <c r="C5004" s="9">
        <f>IFERROR(__xludf.DUMMYFUNCTION("""COMPUTED_VALUE"""),19251.0)</f>
        <v>19251</v>
      </c>
      <c r="D5004" s="9" t="str">
        <f>IFERROR(__xludf.DUMMYFUNCTION("""COMPUTED_VALUE"""),"Completed")</f>
        <v>Completed</v>
      </c>
    </row>
    <row r="5005">
      <c r="A5005" s="9" t="str">
        <f>IFERROR(__xludf.DUMMYFUNCTION("""COMPUTED_VALUE"""),"G-REQ-05004")</f>
        <v>G-REQ-05004</v>
      </c>
      <c r="B5005" s="11">
        <f>IFERROR(__xludf.DUMMYFUNCTION("""COMPUTED_VALUE"""),46117.47316827829)</f>
        <v>46117.47317</v>
      </c>
      <c r="C5005" s="9">
        <f>IFERROR(__xludf.DUMMYFUNCTION("""COMPUTED_VALUE"""),19255.0)</f>
        <v>19255</v>
      </c>
      <c r="D5005" s="9" t="str">
        <f>IFERROR(__xludf.DUMMYFUNCTION("""COMPUTED_VALUE"""),"Completed")</f>
        <v>Completed</v>
      </c>
    </row>
    <row r="5006">
      <c r="A5006" s="9" t="str">
        <f>IFERROR(__xludf.DUMMYFUNCTION("""COMPUTED_VALUE"""),"G-REQ-05005")</f>
        <v>G-REQ-05005</v>
      </c>
      <c r="B5006" s="11">
        <f>IFERROR(__xludf.DUMMYFUNCTION("""COMPUTED_VALUE"""),46117.54434312371)</f>
        <v>46117.54434</v>
      </c>
      <c r="C5006" s="9">
        <f>IFERROR(__xludf.DUMMYFUNCTION("""COMPUTED_VALUE"""),19259.0)</f>
        <v>19259</v>
      </c>
      <c r="D5006" s="9" t="str">
        <f>IFERROR(__xludf.DUMMYFUNCTION("""COMPUTED_VALUE"""),"Completed")</f>
        <v>Completed</v>
      </c>
    </row>
    <row r="5007">
      <c r="A5007" s="9" t="str">
        <f>IFERROR(__xludf.DUMMYFUNCTION("""COMPUTED_VALUE"""),"G-REQ-05006")</f>
        <v>G-REQ-05006</v>
      </c>
      <c r="B5007" s="11">
        <f>IFERROR(__xludf.DUMMYFUNCTION("""COMPUTED_VALUE"""),46117.608573524674)</f>
        <v>46117.60857</v>
      </c>
      <c r="C5007" s="9">
        <f>IFERROR(__xludf.DUMMYFUNCTION("""COMPUTED_VALUE"""),19261.0)</f>
        <v>19261</v>
      </c>
      <c r="D5007" s="9" t="str">
        <f>IFERROR(__xludf.DUMMYFUNCTION("""COMPUTED_VALUE"""),"Cancelled")</f>
        <v>Cancelled</v>
      </c>
    </row>
    <row r="5008">
      <c r="A5008" s="9" t="str">
        <f>IFERROR(__xludf.DUMMYFUNCTION("""COMPUTED_VALUE"""),"G-REQ-05007")</f>
        <v>G-REQ-05007</v>
      </c>
      <c r="B5008" s="11">
        <f>IFERROR(__xludf.DUMMYFUNCTION("""COMPUTED_VALUE"""),46117.68669281454)</f>
        <v>46117.68669</v>
      </c>
      <c r="C5008" s="9">
        <f>IFERROR(__xludf.DUMMYFUNCTION("""COMPUTED_VALUE"""),19265.0)</f>
        <v>19265</v>
      </c>
      <c r="D5008" s="9" t="str">
        <f>IFERROR(__xludf.DUMMYFUNCTION("""COMPUTED_VALUE"""),"Completed")</f>
        <v>Completed</v>
      </c>
    </row>
    <row r="5009">
      <c r="A5009" s="9" t="str">
        <f>IFERROR(__xludf.DUMMYFUNCTION("""COMPUTED_VALUE"""),"G-REQ-05008")</f>
        <v>G-REQ-05008</v>
      </c>
      <c r="B5009" s="11">
        <f>IFERROR(__xludf.DUMMYFUNCTION("""COMPUTED_VALUE"""),46117.75786765995)</f>
        <v>46117.75787</v>
      </c>
      <c r="C5009" s="9">
        <f>IFERROR(__xludf.DUMMYFUNCTION("""COMPUTED_VALUE"""),19269.0)</f>
        <v>19269</v>
      </c>
      <c r="D5009" s="9" t="str">
        <f>IFERROR(__xludf.DUMMYFUNCTION("""COMPUTED_VALUE"""),"Completed")</f>
        <v>Completed</v>
      </c>
    </row>
    <row r="5010">
      <c r="A5010" s="9" t="str">
        <f>IFERROR(__xludf.DUMMYFUNCTION("""COMPUTED_VALUE"""),"G-REQ-05009")</f>
        <v>G-REQ-05009</v>
      </c>
      <c r="B5010" s="11">
        <f>IFERROR(__xludf.DUMMYFUNCTION("""COMPUTED_VALUE"""),46117.82904250537)</f>
        <v>46117.82904</v>
      </c>
      <c r="C5010" s="9">
        <f>IFERROR(__xludf.DUMMYFUNCTION("""COMPUTED_VALUE"""),19273.0)</f>
        <v>19273</v>
      </c>
      <c r="D5010" s="9" t="str">
        <f>IFERROR(__xludf.DUMMYFUNCTION("""COMPUTED_VALUE"""),"Completed")</f>
        <v>Completed</v>
      </c>
    </row>
    <row r="5011">
      <c r="A5011" s="9" t="str">
        <f>IFERROR(__xludf.DUMMYFUNCTION("""COMPUTED_VALUE"""),"G-REQ-05010")</f>
        <v>G-REQ-05010</v>
      </c>
      <c r="B5011" s="11">
        <f>IFERROR(__xludf.DUMMYFUNCTION("""COMPUTED_VALUE"""),46117.900217350776)</f>
        <v>46117.90022</v>
      </c>
      <c r="C5011" s="9">
        <f>IFERROR(__xludf.DUMMYFUNCTION("""COMPUTED_VALUE"""),19277.0)</f>
        <v>19277</v>
      </c>
      <c r="D5011" s="9" t="str">
        <f>IFERROR(__xludf.DUMMYFUNCTION("""COMPUTED_VALUE"""),"Completed")</f>
        <v>Completed</v>
      </c>
    </row>
    <row r="5012">
      <c r="A5012" s="9" t="str">
        <f>IFERROR(__xludf.DUMMYFUNCTION("""COMPUTED_VALUE"""),"G-REQ-05011")</f>
        <v>G-REQ-05011</v>
      </c>
      <c r="B5012" s="11">
        <f>IFERROR(__xludf.DUMMYFUNCTION("""COMPUTED_VALUE"""),46117.971392196196)</f>
        <v>46117.97139</v>
      </c>
      <c r="C5012" s="9">
        <f>IFERROR(__xludf.DUMMYFUNCTION("""COMPUTED_VALUE"""),19281.0)</f>
        <v>19281</v>
      </c>
      <c r="D5012" s="9" t="str">
        <f>IFERROR(__xludf.DUMMYFUNCTION("""COMPUTED_VALUE"""),"Completed")</f>
        <v>Completed</v>
      </c>
    </row>
    <row r="5013">
      <c r="A5013" s="9" t="str">
        <f>IFERROR(__xludf.DUMMYFUNCTION("""COMPUTED_VALUE"""),"G-REQ-05012")</f>
        <v>G-REQ-05012</v>
      </c>
      <c r="B5013" s="11">
        <f>IFERROR(__xludf.DUMMYFUNCTION("""COMPUTED_VALUE"""),46118.042567041615)</f>
        <v>46118.04257</v>
      </c>
      <c r="C5013" s="9">
        <f>IFERROR(__xludf.DUMMYFUNCTION("""COMPUTED_VALUE"""),19285.0)</f>
        <v>19285</v>
      </c>
      <c r="D5013" s="9" t="str">
        <f>IFERROR(__xludf.DUMMYFUNCTION("""COMPUTED_VALUE"""),"Completed")</f>
        <v>Completed</v>
      </c>
    </row>
    <row r="5014">
      <c r="A5014" s="9" t="str">
        <f>IFERROR(__xludf.DUMMYFUNCTION("""COMPUTED_VALUE"""),"G-REQ-05013")</f>
        <v>G-REQ-05013</v>
      </c>
      <c r="B5014" s="11">
        <f>IFERROR(__xludf.DUMMYFUNCTION("""COMPUTED_VALUE"""),46118.11374188703)</f>
        <v>46118.11374</v>
      </c>
      <c r="C5014" s="9">
        <f>IFERROR(__xludf.DUMMYFUNCTION("""COMPUTED_VALUE"""),19289.0)</f>
        <v>19289</v>
      </c>
      <c r="D5014" s="9" t="str">
        <f>IFERROR(__xludf.DUMMYFUNCTION("""COMPUTED_VALUE"""),"Completed")</f>
        <v>Completed</v>
      </c>
    </row>
    <row r="5015">
      <c r="A5015" s="9" t="str">
        <f>IFERROR(__xludf.DUMMYFUNCTION("""COMPUTED_VALUE"""),"G-REQ-05014")</f>
        <v>G-REQ-05014</v>
      </c>
      <c r="B5015" s="11">
        <f>IFERROR(__xludf.DUMMYFUNCTION("""COMPUTED_VALUE"""),46118.177972287995)</f>
        <v>46118.17797</v>
      </c>
      <c r="C5015" s="9">
        <f>IFERROR(__xludf.DUMMYFUNCTION("""COMPUTED_VALUE"""),19291.0)</f>
        <v>19291</v>
      </c>
      <c r="D5015" s="9" t="str">
        <f>IFERROR(__xludf.DUMMYFUNCTION("""COMPUTED_VALUE"""),"Rejected")</f>
        <v>Rejected</v>
      </c>
    </row>
    <row r="5016">
      <c r="A5016" s="9" t="str">
        <f>IFERROR(__xludf.DUMMYFUNCTION("""COMPUTED_VALUE"""),"G-REQ-05015")</f>
        <v>G-REQ-05015</v>
      </c>
      <c r="B5016" s="11">
        <f>IFERROR(__xludf.DUMMYFUNCTION("""COMPUTED_VALUE"""),46118.25609157786)</f>
        <v>46118.25609</v>
      </c>
      <c r="C5016" s="9">
        <f>IFERROR(__xludf.DUMMYFUNCTION("""COMPUTED_VALUE"""),19295.0)</f>
        <v>19295</v>
      </c>
      <c r="D5016" s="9" t="str">
        <f>IFERROR(__xludf.DUMMYFUNCTION("""COMPUTED_VALUE"""),"Completed")</f>
        <v>Completed</v>
      </c>
    </row>
    <row r="5017">
      <c r="A5017" s="9" t="str">
        <f>IFERROR(__xludf.DUMMYFUNCTION("""COMPUTED_VALUE"""),"G-REQ-05016")</f>
        <v>G-REQ-05016</v>
      </c>
      <c r="B5017" s="11">
        <f>IFERROR(__xludf.DUMMYFUNCTION("""COMPUTED_VALUE"""),46118.32726642327)</f>
        <v>46118.32727</v>
      </c>
      <c r="C5017" s="9">
        <f>IFERROR(__xludf.DUMMYFUNCTION("""COMPUTED_VALUE"""),19299.0)</f>
        <v>19299</v>
      </c>
      <c r="D5017" s="9" t="str">
        <f>IFERROR(__xludf.DUMMYFUNCTION("""COMPUTED_VALUE"""),"Completed")</f>
        <v>Completed</v>
      </c>
    </row>
    <row r="5018">
      <c r="A5018" s="9" t="str">
        <f>IFERROR(__xludf.DUMMYFUNCTION("""COMPUTED_VALUE"""),"G-REQ-05017")</f>
        <v>G-REQ-05017</v>
      </c>
      <c r="B5018" s="11">
        <f>IFERROR(__xludf.DUMMYFUNCTION("""COMPUTED_VALUE"""),46118.398441268684)</f>
        <v>46118.39844</v>
      </c>
      <c r="C5018" s="9">
        <f>IFERROR(__xludf.DUMMYFUNCTION("""COMPUTED_VALUE"""),19303.0)</f>
        <v>19303</v>
      </c>
      <c r="D5018" s="9" t="str">
        <f>IFERROR(__xludf.DUMMYFUNCTION("""COMPUTED_VALUE"""),"Completed")</f>
        <v>Completed</v>
      </c>
    </row>
    <row r="5019">
      <c r="A5019" s="9" t="str">
        <f>IFERROR(__xludf.DUMMYFUNCTION("""COMPUTED_VALUE"""),"G-REQ-05018")</f>
        <v>G-REQ-05018</v>
      </c>
      <c r="B5019" s="11">
        <f>IFERROR(__xludf.DUMMYFUNCTION("""COMPUTED_VALUE"""),46118.469616114104)</f>
        <v>46118.46962</v>
      </c>
      <c r="C5019" s="9">
        <f>IFERROR(__xludf.DUMMYFUNCTION("""COMPUTED_VALUE"""),19307.0)</f>
        <v>19307</v>
      </c>
      <c r="D5019" s="9" t="str">
        <f>IFERROR(__xludf.DUMMYFUNCTION("""COMPUTED_VALUE"""),"Completed")</f>
        <v>Completed</v>
      </c>
    </row>
    <row r="5020">
      <c r="A5020" s="9" t="str">
        <f>IFERROR(__xludf.DUMMYFUNCTION("""COMPUTED_VALUE"""),"G-REQ-05019")</f>
        <v>G-REQ-05019</v>
      </c>
      <c r="B5020" s="11">
        <f>IFERROR(__xludf.DUMMYFUNCTION("""COMPUTED_VALUE"""),46118.54079095952)</f>
        <v>46118.54079</v>
      </c>
      <c r="C5020" s="9">
        <f>IFERROR(__xludf.DUMMYFUNCTION("""COMPUTED_VALUE"""),19311.0)</f>
        <v>19311</v>
      </c>
      <c r="D5020" s="9" t="str">
        <f>IFERROR(__xludf.DUMMYFUNCTION("""COMPUTED_VALUE"""),"Completed")</f>
        <v>Completed</v>
      </c>
    </row>
    <row r="5021">
      <c r="A5021" s="9" t="str">
        <f>IFERROR(__xludf.DUMMYFUNCTION("""COMPUTED_VALUE"""),"G-REQ-05020")</f>
        <v>G-REQ-05020</v>
      </c>
      <c r="B5021" s="11">
        <f>IFERROR(__xludf.DUMMYFUNCTION("""COMPUTED_VALUE"""),46118.61196580493)</f>
        <v>46118.61197</v>
      </c>
      <c r="C5021" s="9">
        <f>IFERROR(__xludf.DUMMYFUNCTION("""COMPUTED_VALUE"""),19315.0)</f>
        <v>19315</v>
      </c>
      <c r="D5021" s="9" t="str">
        <f>IFERROR(__xludf.DUMMYFUNCTION("""COMPUTED_VALUE"""),"Completed")</f>
        <v>Completed</v>
      </c>
    </row>
    <row r="5022">
      <c r="A5022" s="9" t="str">
        <f>IFERROR(__xludf.DUMMYFUNCTION("""COMPUTED_VALUE"""),"G-REQ-05021")</f>
        <v>G-REQ-05021</v>
      </c>
      <c r="B5022" s="11">
        <f>IFERROR(__xludf.DUMMYFUNCTION("""COMPUTED_VALUE"""),46118.68314065035)</f>
        <v>46118.68314</v>
      </c>
      <c r="C5022" s="9">
        <f>IFERROR(__xludf.DUMMYFUNCTION("""COMPUTED_VALUE"""),19319.0)</f>
        <v>19319</v>
      </c>
      <c r="D5022" s="9" t="str">
        <f>IFERROR(__xludf.DUMMYFUNCTION("""COMPUTED_VALUE"""),"Completed")</f>
        <v>Completed</v>
      </c>
    </row>
    <row r="5023">
      <c r="A5023" s="9" t="str">
        <f>IFERROR(__xludf.DUMMYFUNCTION("""COMPUTED_VALUE"""),"G-REQ-05022")</f>
        <v>G-REQ-05022</v>
      </c>
      <c r="B5023" s="11">
        <f>IFERROR(__xludf.DUMMYFUNCTION("""COMPUTED_VALUE"""),46118.75431549577)</f>
        <v>46118.75432</v>
      </c>
      <c r="C5023" s="9">
        <f>IFERROR(__xludf.DUMMYFUNCTION("""COMPUTED_VALUE"""),19323.0)</f>
        <v>19323</v>
      </c>
      <c r="D5023" s="9" t="str">
        <f>IFERROR(__xludf.DUMMYFUNCTION("""COMPUTED_VALUE"""),"Completed")</f>
        <v>Completed</v>
      </c>
    </row>
    <row r="5024">
      <c r="A5024" s="9" t="str">
        <f>IFERROR(__xludf.DUMMYFUNCTION("""COMPUTED_VALUE"""),"G-REQ-05023")</f>
        <v>G-REQ-05023</v>
      </c>
      <c r="B5024" s="11">
        <f>IFERROR(__xludf.DUMMYFUNCTION("""COMPUTED_VALUE"""),46118.82549034118)</f>
        <v>46118.82549</v>
      </c>
      <c r="C5024" s="9">
        <f>IFERROR(__xludf.DUMMYFUNCTION("""COMPUTED_VALUE"""),19327.0)</f>
        <v>19327</v>
      </c>
      <c r="D5024" s="9" t="str">
        <f>IFERROR(__xludf.DUMMYFUNCTION("""COMPUTED_VALUE"""),"Completed")</f>
        <v>Completed</v>
      </c>
    </row>
    <row r="5025">
      <c r="A5025" s="9" t="str">
        <f>IFERROR(__xludf.DUMMYFUNCTION("""COMPUTED_VALUE"""),"G-REQ-05024")</f>
        <v>G-REQ-05024</v>
      </c>
      <c r="B5025" s="11">
        <f>IFERROR(__xludf.DUMMYFUNCTION("""COMPUTED_VALUE"""),46118.88972074215)</f>
        <v>46118.88972</v>
      </c>
      <c r="C5025" s="9">
        <f>IFERROR(__xludf.DUMMYFUNCTION("""COMPUTED_VALUE"""),19329.0)</f>
        <v>19329</v>
      </c>
      <c r="D5025" s="9" t="str">
        <f>IFERROR(__xludf.DUMMYFUNCTION("""COMPUTED_VALUE"""),"Cancelled")</f>
        <v>Cancelled</v>
      </c>
    </row>
    <row r="5026">
      <c r="A5026" s="9" t="str">
        <f>IFERROR(__xludf.DUMMYFUNCTION("""COMPUTED_VALUE"""),"G-REQ-05025")</f>
        <v>G-REQ-05025</v>
      </c>
      <c r="B5026" s="11">
        <f>IFERROR(__xludf.DUMMYFUNCTION("""COMPUTED_VALUE"""),46118.96089558757)</f>
        <v>46118.9609</v>
      </c>
      <c r="C5026" s="9">
        <f>IFERROR(__xludf.DUMMYFUNCTION("""COMPUTED_VALUE"""),19331.0)</f>
        <v>19331</v>
      </c>
      <c r="D5026" s="9" t="str">
        <f>IFERROR(__xludf.DUMMYFUNCTION("""COMPUTED_VALUE"""),"Rejected")</f>
        <v>Rejected</v>
      </c>
    </row>
    <row r="5027">
      <c r="A5027" s="9" t="str">
        <f>IFERROR(__xludf.DUMMYFUNCTION("""COMPUTED_VALUE"""),"G-REQ-05026")</f>
        <v>G-REQ-05026</v>
      </c>
      <c r="B5027" s="11">
        <f>IFERROR(__xludf.DUMMYFUNCTION("""COMPUTED_VALUE"""),46119.039014877424)</f>
        <v>46119.03901</v>
      </c>
      <c r="C5027" s="9">
        <f>IFERROR(__xludf.DUMMYFUNCTION("""COMPUTED_VALUE"""),19335.0)</f>
        <v>19335</v>
      </c>
      <c r="D5027" s="9" t="str">
        <f>IFERROR(__xludf.DUMMYFUNCTION("""COMPUTED_VALUE"""),"Completed")</f>
        <v>Completed</v>
      </c>
    </row>
    <row r="5028">
      <c r="A5028" s="9" t="str">
        <f>IFERROR(__xludf.DUMMYFUNCTION("""COMPUTED_VALUE"""),"G-REQ-05027")</f>
        <v>G-REQ-05027</v>
      </c>
      <c r="B5028" s="11">
        <f>IFERROR(__xludf.DUMMYFUNCTION("""COMPUTED_VALUE"""),46119.10324527839)</f>
        <v>46119.10325</v>
      </c>
      <c r="C5028" s="9">
        <f>IFERROR(__xludf.DUMMYFUNCTION("""COMPUTED_VALUE"""),19337.0)</f>
        <v>19337</v>
      </c>
      <c r="D5028" s="9" t="str">
        <f>IFERROR(__xludf.DUMMYFUNCTION("""COMPUTED_VALUE"""),"Cancelled")</f>
        <v>Cancelled</v>
      </c>
    </row>
    <row r="5029">
      <c r="A5029" s="9" t="str">
        <f>IFERROR(__xludf.DUMMYFUNCTION("""COMPUTED_VALUE"""),"G-REQ-05028")</f>
        <v>G-REQ-05028</v>
      </c>
      <c r="B5029" s="11">
        <f>IFERROR(__xludf.DUMMYFUNCTION("""COMPUTED_VALUE"""),46119.17442012381)</f>
        <v>46119.17442</v>
      </c>
      <c r="C5029" s="9">
        <f>IFERROR(__xludf.DUMMYFUNCTION("""COMPUTED_VALUE"""),19339.0)</f>
        <v>19339</v>
      </c>
      <c r="D5029" s="9" t="str">
        <f>IFERROR(__xludf.DUMMYFUNCTION("""COMPUTED_VALUE"""),"Cancelled")</f>
        <v>Cancelled</v>
      </c>
    </row>
    <row r="5030">
      <c r="A5030" s="9" t="str">
        <f>IFERROR(__xludf.DUMMYFUNCTION("""COMPUTED_VALUE"""),"G-REQ-05029")</f>
        <v>G-REQ-05029</v>
      </c>
      <c r="B5030" s="11">
        <f>IFERROR(__xludf.DUMMYFUNCTION("""COMPUTED_VALUE"""),46119.25253941367)</f>
        <v>46119.25254</v>
      </c>
      <c r="C5030" s="9">
        <f>IFERROR(__xludf.DUMMYFUNCTION("""COMPUTED_VALUE"""),19343.0)</f>
        <v>19343</v>
      </c>
      <c r="D5030" s="9" t="str">
        <f>IFERROR(__xludf.DUMMYFUNCTION("""COMPUTED_VALUE"""),"Completed")</f>
        <v>Completed</v>
      </c>
    </row>
    <row r="5031">
      <c r="A5031" s="9" t="str">
        <f>IFERROR(__xludf.DUMMYFUNCTION("""COMPUTED_VALUE"""),"G-REQ-05030")</f>
        <v>G-REQ-05030</v>
      </c>
      <c r="B5031" s="11">
        <f>IFERROR(__xludf.DUMMYFUNCTION("""COMPUTED_VALUE"""),46119.32371425908)</f>
        <v>46119.32371</v>
      </c>
      <c r="C5031" s="9">
        <f>IFERROR(__xludf.DUMMYFUNCTION("""COMPUTED_VALUE"""),19347.0)</f>
        <v>19347</v>
      </c>
      <c r="D5031" s="9" t="str">
        <f>IFERROR(__xludf.DUMMYFUNCTION("""COMPUTED_VALUE"""),"Completed")</f>
        <v>Completed</v>
      </c>
    </row>
    <row r="5032">
      <c r="A5032" s="9" t="str">
        <f>IFERROR(__xludf.DUMMYFUNCTION("""COMPUTED_VALUE"""),"G-REQ-05031")</f>
        <v>G-REQ-05031</v>
      </c>
      <c r="B5032" s="11">
        <f>IFERROR(__xludf.DUMMYFUNCTION("""COMPUTED_VALUE"""),46119.3948891045)</f>
        <v>46119.39489</v>
      </c>
      <c r="C5032" s="9">
        <f>IFERROR(__xludf.DUMMYFUNCTION("""COMPUTED_VALUE"""),19351.0)</f>
        <v>19351</v>
      </c>
      <c r="D5032" s="9" t="str">
        <f>IFERROR(__xludf.DUMMYFUNCTION("""COMPUTED_VALUE"""),"Completed")</f>
        <v>Completed</v>
      </c>
    </row>
    <row r="5033">
      <c r="A5033" s="9" t="str">
        <f>IFERROR(__xludf.DUMMYFUNCTION("""COMPUTED_VALUE"""),"G-REQ-05032")</f>
        <v>G-REQ-05032</v>
      </c>
      <c r="B5033" s="11">
        <f>IFERROR(__xludf.DUMMYFUNCTION("""COMPUTED_VALUE"""),46119.46606394991)</f>
        <v>46119.46606</v>
      </c>
      <c r="C5033" s="9">
        <f>IFERROR(__xludf.DUMMYFUNCTION("""COMPUTED_VALUE"""),19355.0)</f>
        <v>19355</v>
      </c>
      <c r="D5033" s="9" t="str">
        <f>IFERROR(__xludf.DUMMYFUNCTION("""COMPUTED_VALUE"""),"Completed")</f>
        <v>Completed</v>
      </c>
    </row>
    <row r="5034">
      <c r="A5034" s="9" t="str">
        <f>IFERROR(__xludf.DUMMYFUNCTION("""COMPUTED_VALUE"""),"G-REQ-05033")</f>
        <v>G-REQ-05033</v>
      </c>
      <c r="B5034" s="11">
        <f>IFERROR(__xludf.DUMMYFUNCTION("""COMPUTED_VALUE"""),46119.537238795325)</f>
        <v>46119.53724</v>
      </c>
      <c r="C5034" s="9">
        <f>IFERROR(__xludf.DUMMYFUNCTION("""COMPUTED_VALUE"""),19359.0)</f>
        <v>19359</v>
      </c>
      <c r="D5034" s="9" t="str">
        <f>IFERROR(__xludf.DUMMYFUNCTION("""COMPUTED_VALUE"""),"Completed")</f>
        <v>Completed</v>
      </c>
    </row>
    <row r="5035">
      <c r="A5035" s="9" t="str">
        <f>IFERROR(__xludf.DUMMYFUNCTION("""COMPUTED_VALUE"""),"G-REQ-05034")</f>
        <v>G-REQ-05034</v>
      </c>
      <c r="B5035" s="11">
        <f>IFERROR(__xludf.DUMMYFUNCTION("""COMPUTED_VALUE"""),46119.608413640744)</f>
        <v>46119.60841</v>
      </c>
      <c r="C5035" s="9">
        <f>IFERROR(__xludf.DUMMYFUNCTION("""COMPUTED_VALUE"""),19363.0)</f>
        <v>19363</v>
      </c>
      <c r="D5035" s="9" t="str">
        <f>IFERROR(__xludf.DUMMYFUNCTION("""COMPUTED_VALUE"""),"Completed")</f>
        <v>Completed</v>
      </c>
    </row>
    <row r="5036">
      <c r="A5036" s="9" t="str">
        <f>IFERROR(__xludf.DUMMYFUNCTION("""COMPUTED_VALUE"""),"G-REQ-05035")</f>
        <v>G-REQ-05035</v>
      </c>
      <c r="B5036" s="11">
        <f>IFERROR(__xludf.DUMMYFUNCTION("""COMPUTED_VALUE"""),46119.67264404172)</f>
        <v>46119.67264</v>
      </c>
      <c r="C5036" s="9">
        <f>IFERROR(__xludf.DUMMYFUNCTION("""COMPUTED_VALUE"""),19365.0)</f>
        <v>19365</v>
      </c>
      <c r="D5036" s="9" t="str">
        <f>IFERROR(__xludf.DUMMYFUNCTION("""COMPUTED_VALUE"""),"Cancelled")</f>
        <v>Cancelled</v>
      </c>
    </row>
    <row r="5037">
      <c r="A5037" s="9" t="str">
        <f>IFERROR(__xludf.DUMMYFUNCTION("""COMPUTED_VALUE"""),"G-REQ-05036")</f>
        <v>G-REQ-05036</v>
      </c>
      <c r="B5037" s="11">
        <f>IFERROR(__xludf.DUMMYFUNCTION("""COMPUTED_VALUE"""),46119.75076333157)</f>
        <v>46119.75076</v>
      </c>
      <c r="C5037" s="9">
        <f>IFERROR(__xludf.DUMMYFUNCTION("""COMPUTED_VALUE"""),19369.0)</f>
        <v>19369</v>
      </c>
      <c r="D5037" s="9" t="str">
        <f>IFERROR(__xludf.DUMMYFUNCTION("""COMPUTED_VALUE"""),"Completed")</f>
        <v>Completed</v>
      </c>
    </row>
    <row r="5038">
      <c r="A5038" s="9" t="str">
        <f>IFERROR(__xludf.DUMMYFUNCTION("""COMPUTED_VALUE"""),"G-REQ-05037")</f>
        <v>G-REQ-05037</v>
      </c>
      <c r="B5038" s="11">
        <f>IFERROR(__xludf.DUMMYFUNCTION("""COMPUTED_VALUE"""),46119.82193817699)</f>
        <v>46119.82194</v>
      </c>
      <c r="C5038" s="9">
        <f>IFERROR(__xludf.DUMMYFUNCTION("""COMPUTED_VALUE"""),19373.0)</f>
        <v>19373</v>
      </c>
      <c r="D5038" s="9" t="str">
        <f>IFERROR(__xludf.DUMMYFUNCTION("""COMPUTED_VALUE"""),"Completed")</f>
        <v>Completed</v>
      </c>
    </row>
    <row r="5039">
      <c r="A5039" s="9" t="str">
        <f>IFERROR(__xludf.DUMMYFUNCTION("""COMPUTED_VALUE"""),"G-REQ-05038")</f>
        <v>G-REQ-05038</v>
      </c>
      <c r="B5039" s="11">
        <f>IFERROR(__xludf.DUMMYFUNCTION("""COMPUTED_VALUE"""),46119.89311302241)</f>
        <v>46119.89311</v>
      </c>
      <c r="C5039" s="9">
        <f>IFERROR(__xludf.DUMMYFUNCTION("""COMPUTED_VALUE"""),19377.0)</f>
        <v>19377</v>
      </c>
      <c r="D5039" s="9" t="str">
        <f>IFERROR(__xludf.DUMMYFUNCTION("""COMPUTED_VALUE"""),"Completed")</f>
        <v>Completed</v>
      </c>
    </row>
    <row r="5040">
      <c r="A5040" s="9" t="str">
        <f>IFERROR(__xludf.DUMMYFUNCTION("""COMPUTED_VALUE"""),"G-REQ-05039")</f>
        <v>G-REQ-05039</v>
      </c>
      <c r="B5040" s="11">
        <f>IFERROR(__xludf.DUMMYFUNCTION("""COMPUTED_VALUE"""),46119.96428786782)</f>
        <v>46119.96429</v>
      </c>
      <c r="C5040" s="9">
        <f>IFERROR(__xludf.DUMMYFUNCTION("""COMPUTED_VALUE"""),19381.0)</f>
        <v>19381</v>
      </c>
      <c r="D5040" s="9" t="str">
        <f>IFERROR(__xludf.DUMMYFUNCTION("""COMPUTED_VALUE"""),"Completed")</f>
        <v>Completed</v>
      </c>
    </row>
    <row r="5041">
      <c r="A5041" s="9" t="str">
        <f>IFERROR(__xludf.DUMMYFUNCTION("""COMPUTED_VALUE"""),"G-REQ-05040")</f>
        <v>G-REQ-05040</v>
      </c>
      <c r="B5041" s="11">
        <f>IFERROR(__xludf.DUMMYFUNCTION("""COMPUTED_VALUE"""),46120.03546271323)</f>
        <v>46120.03546</v>
      </c>
      <c r="C5041" s="9">
        <f>IFERROR(__xludf.DUMMYFUNCTION("""COMPUTED_VALUE"""),19385.0)</f>
        <v>19385</v>
      </c>
      <c r="D5041" s="9" t="str">
        <f>IFERROR(__xludf.DUMMYFUNCTION("""COMPUTED_VALUE"""),"Completed")</f>
        <v>Completed</v>
      </c>
    </row>
    <row r="5042">
      <c r="A5042" s="9" t="str">
        <f>IFERROR(__xludf.DUMMYFUNCTION("""COMPUTED_VALUE"""),"G-REQ-05041")</f>
        <v>G-REQ-05041</v>
      </c>
      <c r="B5042" s="11">
        <f>IFERROR(__xludf.DUMMYFUNCTION("""COMPUTED_VALUE"""),46120.10663755865)</f>
        <v>46120.10664</v>
      </c>
      <c r="C5042" s="9">
        <f>IFERROR(__xludf.DUMMYFUNCTION("""COMPUTED_VALUE"""),19389.0)</f>
        <v>19389</v>
      </c>
      <c r="D5042" s="9" t="str">
        <f>IFERROR(__xludf.DUMMYFUNCTION("""COMPUTED_VALUE"""),"Completed")</f>
        <v>Completed</v>
      </c>
    </row>
    <row r="5043">
      <c r="A5043" s="9" t="str">
        <f>IFERROR(__xludf.DUMMYFUNCTION("""COMPUTED_VALUE"""),"G-REQ-05042")</f>
        <v>G-REQ-05042</v>
      </c>
      <c r="B5043" s="11">
        <f>IFERROR(__xludf.DUMMYFUNCTION("""COMPUTED_VALUE"""),46120.177812404065)</f>
        <v>46120.17781</v>
      </c>
      <c r="C5043" s="9">
        <f>IFERROR(__xludf.DUMMYFUNCTION("""COMPUTED_VALUE"""),19393.0)</f>
        <v>19393</v>
      </c>
      <c r="D5043" s="9" t="str">
        <f>IFERROR(__xludf.DUMMYFUNCTION("""COMPUTED_VALUE"""),"Completed")</f>
        <v>Completed</v>
      </c>
    </row>
    <row r="5044">
      <c r="A5044" s="9" t="str">
        <f>IFERROR(__xludf.DUMMYFUNCTION("""COMPUTED_VALUE"""),"G-REQ-05043")</f>
        <v>G-REQ-05043</v>
      </c>
      <c r="B5044" s="11">
        <f>IFERROR(__xludf.DUMMYFUNCTION("""COMPUTED_VALUE"""),46120.24898724948)</f>
        <v>46120.24899</v>
      </c>
      <c r="C5044" s="9">
        <f>IFERROR(__xludf.DUMMYFUNCTION("""COMPUTED_VALUE"""),19397.0)</f>
        <v>19397</v>
      </c>
      <c r="D5044" s="9" t="str">
        <f>IFERROR(__xludf.DUMMYFUNCTION("""COMPUTED_VALUE"""),"Completed")</f>
        <v>Completed</v>
      </c>
    </row>
    <row r="5045">
      <c r="A5045" s="9" t="str">
        <f>IFERROR(__xludf.DUMMYFUNCTION("""COMPUTED_VALUE"""),"G-REQ-05044")</f>
        <v>G-REQ-05044</v>
      </c>
      <c r="B5045" s="11">
        <f>IFERROR(__xludf.DUMMYFUNCTION("""COMPUTED_VALUE"""),46120.3201620949)</f>
        <v>46120.32016</v>
      </c>
      <c r="C5045" s="9">
        <f>IFERROR(__xludf.DUMMYFUNCTION("""COMPUTED_VALUE"""),19401.0)</f>
        <v>19401</v>
      </c>
      <c r="D5045" s="9" t="str">
        <f>IFERROR(__xludf.DUMMYFUNCTION("""COMPUTED_VALUE"""),"Completed")</f>
        <v>Completed</v>
      </c>
    </row>
    <row r="5046">
      <c r="A5046" s="9" t="str">
        <f>IFERROR(__xludf.DUMMYFUNCTION("""COMPUTED_VALUE"""),"G-REQ-05045")</f>
        <v>G-REQ-05045</v>
      </c>
      <c r="B5046" s="11">
        <f>IFERROR(__xludf.DUMMYFUNCTION("""COMPUTED_VALUE"""),46120.391336940316)</f>
        <v>46120.39134</v>
      </c>
      <c r="C5046" s="9">
        <f>IFERROR(__xludf.DUMMYFUNCTION("""COMPUTED_VALUE"""),19405.0)</f>
        <v>19405</v>
      </c>
      <c r="D5046" s="9" t="str">
        <f>IFERROR(__xludf.DUMMYFUNCTION("""COMPUTED_VALUE"""),"Completed")</f>
        <v>Completed</v>
      </c>
    </row>
    <row r="5047">
      <c r="A5047" s="9" t="str">
        <f>IFERROR(__xludf.DUMMYFUNCTION("""COMPUTED_VALUE"""),"G-REQ-05046")</f>
        <v>G-REQ-05046</v>
      </c>
      <c r="B5047" s="11">
        <f>IFERROR(__xludf.DUMMYFUNCTION("""COMPUTED_VALUE"""),46120.46251178572)</f>
        <v>46120.46251</v>
      </c>
      <c r="C5047" s="9">
        <f>IFERROR(__xludf.DUMMYFUNCTION("""COMPUTED_VALUE"""),19409.0)</f>
        <v>19409</v>
      </c>
      <c r="D5047" s="9" t="str">
        <f>IFERROR(__xludf.DUMMYFUNCTION("""COMPUTED_VALUE"""),"Completed")</f>
        <v>Completed</v>
      </c>
    </row>
    <row r="5048">
      <c r="A5048" s="9" t="str">
        <f>IFERROR(__xludf.DUMMYFUNCTION("""COMPUTED_VALUE"""),"G-REQ-05047")</f>
        <v>G-REQ-05047</v>
      </c>
      <c r="B5048" s="11">
        <f>IFERROR(__xludf.DUMMYFUNCTION("""COMPUTED_VALUE"""),46120.526742186696)</f>
        <v>46120.52674</v>
      </c>
      <c r="C5048" s="9">
        <f>IFERROR(__xludf.DUMMYFUNCTION("""COMPUTED_VALUE"""),19411.0)</f>
        <v>19411</v>
      </c>
      <c r="D5048" s="9" t="str">
        <f>IFERROR(__xludf.DUMMYFUNCTION("""COMPUTED_VALUE"""),"Cancelled")</f>
        <v>Cancelled</v>
      </c>
    </row>
    <row r="5049">
      <c r="A5049" s="9" t="str">
        <f>IFERROR(__xludf.DUMMYFUNCTION("""COMPUTED_VALUE"""),"G-REQ-05048")</f>
        <v>G-REQ-05048</v>
      </c>
      <c r="B5049" s="11">
        <f>IFERROR(__xludf.DUMMYFUNCTION("""COMPUTED_VALUE"""),46120.60486147655)</f>
        <v>46120.60486</v>
      </c>
      <c r="C5049" s="9">
        <f>IFERROR(__xludf.DUMMYFUNCTION("""COMPUTED_VALUE"""),19415.0)</f>
        <v>19415</v>
      </c>
      <c r="D5049" s="9" t="str">
        <f>IFERROR(__xludf.DUMMYFUNCTION("""COMPUTED_VALUE"""),"Completed")</f>
        <v>Completed</v>
      </c>
    </row>
    <row r="5050">
      <c r="A5050" s="9" t="str">
        <f>IFERROR(__xludf.DUMMYFUNCTION("""COMPUTED_VALUE"""),"G-REQ-05049")</f>
        <v>G-REQ-05049</v>
      </c>
      <c r="B5050" s="11">
        <f>IFERROR(__xludf.DUMMYFUNCTION("""COMPUTED_VALUE"""),46120.66909187753)</f>
        <v>46120.66909</v>
      </c>
      <c r="C5050" s="9">
        <f>IFERROR(__xludf.DUMMYFUNCTION("""COMPUTED_VALUE"""),19417.0)</f>
        <v>19417</v>
      </c>
      <c r="D5050" s="9" t="str">
        <f>IFERROR(__xludf.DUMMYFUNCTION("""COMPUTED_VALUE"""),"Cancelled")</f>
        <v>Cancelled</v>
      </c>
    </row>
    <row r="5051">
      <c r="A5051" s="9" t="str">
        <f>IFERROR(__xludf.DUMMYFUNCTION("""COMPUTED_VALUE"""),"G-REQ-05050")</f>
        <v>G-REQ-05050</v>
      </c>
      <c r="B5051" s="11">
        <f>IFERROR(__xludf.DUMMYFUNCTION("""COMPUTED_VALUE"""),46120.747211167385)</f>
        <v>46120.74721</v>
      </c>
      <c r="C5051" s="9">
        <f>IFERROR(__xludf.DUMMYFUNCTION("""COMPUTED_VALUE"""),19421.0)</f>
        <v>19421</v>
      </c>
      <c r="D5051" s="9" t="str">
        <f>IFERROR(__xludf.DUMMYFUNCTION("""COMPUTED_VALUE"""),"Completed")</f>
        <v>Completed</v>
      </c>
    </row>
    <row r="5052">
      <c r="A5052" s="9" t="str">
        <f>IFERROR(__xludf.DUMMYFUNCTION("""COMPUTED_VALUE"""),"G-REQ-05051")</f>
        <v>G-REQ-05051</v>
      </c>
      <c r="B5052" s="11">
        <f>IFERROR(__xludf.DUMMYFUNCTION("""COMPUTED_VALUE"""),46120.818386012805)</f>
        <v>46120.81839</v>
      </c>
      <c r="C5052" s="9">
        <f>IFERROR(__xludf.DUMMYFUNCTION("""COMPUTED_VALUE"""),19425.0)</f>
        <v>19425</v>
      </c>
      <c r="D5052" s="9" t="str">
        <f>IFERROR(__xludf.DUMMYFUNCTION("""COMPUTED_VALUE"""),"Completed")</f>
        <v>Completed</v>
      </c>
    </row>
    <row r="5053">
      <c r="A5053" s="9" t="str">
        <f>IFERROR(__xludf.DUMMYFUNCTION("""COMPUTED_VALUE"""),"G-REQ-05052")</f>
        <v>G-REQ-05052</v>
      </c>
      <c r="B5053" s="11">
        <f>IFERROR(__xludf.DUMMYFUNCTION("""COMPUTED_VALUE"""),46120.88956085821)</f>
        <v>46120.88956</v>
      </c>
      <c r="C5053" s="9">
        <f>IFERROR(__xludf.DUMMYFUNCTION("""COMPUTED_VALUE"""),19429.0)</f>
        <v>19429</v>
      </c>
      <c r="D5053" s="9" t="str">
        <f>IFERROR(__xludf.DUMMYFUNCTION("""COMPUTED_VALUE"""),"Completed")</f>
        <v>Completed</v>
      </c>
    </row>
    <row r="5054">
      <c r="A5054" s="9" t="str">
        <f>IFERROR(__xludf.DUMMYFUNCTION("""COMPUTED_VALUE"""),"G-REQ-05053")</f>
        <v>G-REQ-05053</v>
      </c>
      <c r="B5054" s="11">
        <f>IFERROR(__xludf.DUMMYFUNCTION("""COMPUTED_VALUE"""),46120.96073570363)</f>
        <v>46120.96074</v>
      </c>
      <c r="C5054" s="9">
        <f>IFERROR(__xludf.DUMMYFUNCTION("""COMPUTED_VALUE"""),19433.0)</f>
        <v>19433</v>
      </c>
      <c r="D5054" s="9" t="str">
        <f>IFERROR(__xludf.DUMMYFUNCTION("""COMPUTED_VALUE"""),"Completed")</f>
        <v>Completed</v>
      </c>
    </row>
    <row r="5055">
      <c r="A5055" s="9" t="str">
        <f>IFERROR(__xludf.DUMMYFUNCTION("""COMPUTED_VALUE"""),"G-REQ-05054")</f>
        <v>G-REQ-05054</v>
      </c>
      <c r="B5055" s="11">
        <f>IFERROR(__xludf.DUMMYFUNCTION("""COMPUTED_VALUE"""),46121.03191054905)</f>
        <v>46121.03191</v>
      </c>
      <c r="C5055" s="9">
        <f>IFERROR(__xludf.DUMMYFUNCTION("""COMPUTED_VALUE"""),19437.0)</f>
        <v>19437</v>
      </c>
      <c r="D5055" s="9" t="str">
        <f>IFERROR(__xludf.DUMMYFUNCTION("""COMPUTED_VALUE"""),"Completed")</f>
        <v>Completed</v>
      </c>
    </row>
    <row r="5056">
      <c r="A5056" s="9" t="str">
        <f>IFERROR(__xludf.DUMMYFUNCTION("""COMPUTED_VALUE"""),"G-REQ-05055")</f>
        <v>G-REQ-05055</v>
      </c>
      <c r="B5056" s="11">
        <f>IFERROR(__xludf.DUMMYFUNCTION("""COMPUTED_VALUE"""),46121.10308539446)</f>
        <v>46121.10309</v>
      </c>
      <c r="C5056" s="9">
        <f>IFERROR(__xludf.DUMMYFUNCTION("""COMPUTED_VALUE"""),19441.0)</f>
        <v>19441</v>
      </c>
      <c r="D5056" s="9" t="str">
        <f>IFERROR(__xludf.DUMMYFUNCTION("""COMPUTED_VALUE"""),"Completed")</f>
        <v>Completed</v>
      </c>
    </row>
    <row r="5057">
      <c r="A5057" s="9" t="str">
        <f>IFERROR(__xludf.DUMMYFUNCTION("""COMPUTED_VALUE"""),"G-REQ-05056")</f>
        <v>G-REQ-05056</v>
      </c>
      <c r="B5057" s="11">
        <f>IFERROR(__xludf.DUMMYFUNCTION("""COMPUTED_VALUE"""),46121.17426023987)</f>
        <v>46121.17426</v>
      </c>
      <c r="C5057" s="9">
        <f>IFERROR(__xludf.DUMMYFUNCTION("""COMPUTED_VALUE"""),19445.0)</f>
        <v>19445</v>
      </c>
      <c r="D5057" s="9" t="str">
        <f>IFERROR(__xludf.DUMMYFUNCTION("""COMPUTED_VALUE"""),"Completed")</f>
        <v>Completed</v>
      </c>
    </row>
    <row r="5058">
      <c r="A5058" s="9" t="str">
        <f>IFERROR(__xludf.DUMMYFUNCTION("""COMPUTED_VALUE"""),"G-REQ-05057")</f>
        <v>G-REQ-05057</v>
      </c>
      <c r="B5058" s="11">
        <f>IFERROR(__xludf.DUMMYFUNCTION("""COMPUTED_VALUE"""),46121.24543508529)</f>
        <v>46121.24544</v>
      </c>
      <c r="C5058" s="9">
        <f>IFERROR(__xludf.DUMMYFUNCTION("""COMPUTED_VALUE"""),19449.0)</f>
        <v>19449</v>
      </c>
      <c r="D5058" s="9" t="str">
        <f>IFERROR(__xludf.DUMMYFUNCTION("""COMPUTED_VALUE"""),"Completed")</f>
        <v>Completed</v>
      </c>
    </row>
    <row r="5059">
      <c r="A5059" s="9" t="str">
        <f>IFERROR(__xludf.DUMMYFUNCTION("""COMPUTED_VALUE"""),"G-REQ-05058")</f>
        <v>G-REQ-05058</v>
      </c>
      <c r="B5059" s="11">
        <f>IFERROR(__xludf.DUMMYFUNCTION("""COMPUTED_VALUE"""),46121.316609930705)</f>
        <v>46121.31661</v>
      </c>
      <c r="C5059" s="9">
        <f>IFERROR(__xludf.DUMMYFUNCTION("""COMPUTED_VALUE"""),19453.0)</f>
        <v>19453</v>
      </c>
      <c r="D5059" s="9" t="str">
        <f>IFERROR(__xludf.DUMMYFUNCTION("""COMPUTED_VALUE"""),"Completed")</f>
        <v>Completed</v>
      </c>
    </row>
    <row r="5060">
      <c r="A5060" s="9" t="str">
        <f>IFERROR(__xludf.DUMMYFUNCTION("""COMPUTED_VALUE"""),"G-REQ-05059")</f>
        <v>G-REQ-05059</v>
      </c>
      <c r="B5060" s="11">
        <f>IFERROR(__xludf.DUMMYFUNCTION("""COMPUTED_VALUE"""),46121.38778477612)</f>
        <v>46121.38778</v>
      </c>
      <c r="C5060" s="9">
        <f>IFERROR(__xludf.DUMMYFUNCTION("""COMPUTED_VALUE"""),19457.0)</f>
        <v>19457</v>
      </c>
      <c r="D5060" s="9" t="str">
        <f>IFERROR(__xludf.DUMMYFUNCTION("""COMPUTED_VALUE"""),"Completed")</f>
        <v>Completed</v>
      </c>
    </row>
    <row r="5061">
      <c r="A5061" s="9" t="str">
        <f>IFERROR(__xludf.DUMMYFUNCTION("""COMPUTED_VALUE"""),"G-REQ-05060")</f>
        <v>G-REQ-05060</v>
      </c>
      <c r="B5061" s="11">
        <f>IFERROR(__xludf.DUMMYFUNCTION("""COMPUTED_VALUE"""),46121.45895962154)</f>
        <v>46121.45896</v>
      </c>
      <c r="C5061" s="9">
        <f>IFERROR(__xludf.DUMMYFUNCTION("""COMPUTED_VALUE"""),19461.0)</f>
        <v>19461</v>
      </c>
      <c r="D5061" s="9" t="str">
        <f>IFERROR(__xludf.DUMMYFUNCTION("""COMPUTED_VALUE"""),"Completed")</f>
        <v>Completed</v>
      </c>
    </row>
    <row r="5062">
      <c r="A5062" s="9" t="str">
        <f>IFERROR(__xludf.DUMMYFUNCTION("""COMPUTED_VALUE"""),"G-REQ-05061")</f>
        <v>G-REQ-05061</v>
      </c>
      <c r="B5062" s="11">
        <f>IFERROR(__xludf.DUMMYFUNCTION("""COMPUTED_VALUE"""),46121.53013446696)</f>
        <v>46121.53013</v>
      </c>
      <c r="C5062" s="9">
        <f>IFERROR(__xludf.DUMMYFUNCTION("""COMPUTED_VALUE"""),19465.0)</f>
        <v>19465</v>
      </c>
      <c r="D5062" s="9" t="str">
        <f>IFERROR(__xludf.DUMMYFUNCTION("""COMPUTED_VALUE"""),"Completed")</f>
        <v>Completed</v>
      </c>
    </row>
    <row r="5063">
      <c r="A5063" s="9" t="str">
        <f>IFERROR(__xludf.DUMMYFUNCTION("""COMPUTED_VALUE"""),"G-REQ-05062")</f>
        <v>G-REQ-05062</v>
      </c>
      <c r="B5063" s="11">
        <f>IFERROR(__xludf.DUMMYFUNCTION("""COMPUTED_VALUE"""),46121.60130931236)</f>
        <v>46121.60131</v>
      </c>
      <c r="C5063" s="9">
        <f>IFERROR(__xludf.DUMMYFUNCTION("""COMPUTED_VALUE"""),19469.0)</f>
        <v>19469</v>
      </c>
      <c r="D5063" s="9" t="str">
        <f>IFERROR(__xludf.DUMMYFUNCTION("""COMPUTED_VALUE"""),"Completed")</f>
        <v>Completed</v>
      </c>
    </row>
    <row r="5064">
      <c r="A5064" s="9" t="str">
        <f>IFERROR(__xludf.DUMMYFUNCTION("""COMPUTED_VALUE"""),"G-REQ-05063")</f>
        <v>G-REQ-05063</v>
      </c>
      <c r="B5064" s="11">
        <f>IFERROR(__xludf.DUMMYFUNCTION("""COMPUTED_VALUE"""),46121.67248415778)</f>
        <v>46121.67248</v>
      </c>
      <c r="C5064" s="9">
        <f>IFERROR(__xludf.DUMMYFUNCTION("""COMPUTED_VALUE"""),19473.0)</f>
        <v>19473</v>
      </c>
      <c r="D5064" s="9" t="str">
        <f>IFERROR(__xludf.DUMMYFUNCTION("""COMPUTED_VALUE"""),"Completed")</f>
        <v>Completed</v>
      </c>
    </row>
    <row r="5065">
      <c r="A5065" s="9" t="str">
        <f>IFERROR(__xludf.DUMMYFUNCTION("""COMPUTED_VALUE"""),"G-REQ-05064")</f>
        <v>G-REQ-05064</v>
      </c>
      <c r="B5065" s="11">
        <f>IFERROR(__xludf.DUMMYFUNCTION("""COMPUTED_VALUE"""),46121.7436590032)</f>
        <v>46121.74366</v>
      </c>
      <c r="C5065" s="9">
        <f>IFERROR(__xludf.DUMMYFUNCTION("""COMPUTED_VALUE"""),19477.0)</f>
        <v>19477</v>
      </c>
      <c r="D5065" s="9" t="str">
        <f>IFERROR(__xludf.DUMMYFUNCTION("""COMPUTED_VALUE"""),"Completed")</f>
        <v>Completed</v>
      </c>
    </row>
    <row r="5066">
      <c r="A5066" s="9" t="str">
        <f>IFERROR(__xludf.DUMMYFUNCTION("""COMPUTED_VALUE"""),"G-REQ-05065")</f>
        <v>G-REQ-05065</v>
      </c>
      <c r="B5066" s="11">
        <f>IFERROR(__xludf.DUMMYFUNCTION("""COMPUTED_VALUE"""),46121.81483384861)</f>
        <v>46121.81483</v>
      </c>
      <c r="C5066" s="9">
        <f>IFERROR(__xludf.DUMMYFUNCTION("""COMPUTED_VALUE"""),19481.0)</f>
        <v>19481</v>
      </c>
      <c r="D5066" s="9" t="str">
        <f>IFERROR(__xludf.DUMMYFUNCTION("""COMPUTED_VALUE"""),"Completed")</f>
        <v>Completed</v>
      </c>
    </row>
    <row r="5067">
      <c r="A5067" s="9" t="str">
        <f>IFERROR(__xludf.DUMMYFUNCTION("""COMPUTED_VALUE"""),"G-REQ-05066")</f>
        <v>G-REQ-05066</v>
      </c>
      <c r="B5067" s="11">
        <f>IFERROR(__xludf.DUMMYFUNCTION("""COMPUTED_VALUE"""),46121.886008694026)</f>
        <v>46121.88601</v>
      </c>
      <c r="C5067" s="9">
        <f>IFERROR(__xludf.DUMMYFUNCTION("""COMPUTED_VALUE"""),19485.0)</f>
        <v>19485</v>
      </c>
      <c r="D5067" s="9" t="str">
        <f>IFERROR(__xludf.DUMMYFUNCTION("""COMPUTED_VALUE"""),"Completed")</f>
        <v>Completed</v>
      </c>
    </row>
    <row r="5068">
      <c r="A5068" s="9" t="str">
        <f>IFERROR(__xludf.DUMMYFUNCTION("""COMPUTED_VALUE"""),"G-REQ-05067")</f>
        <v>G-REQ-05067</v>
      </c>
      <c r="B5068" s="11">
        <f>IFERROR(__xludf.DUMMYFUNCTION("""COMPUTED_VALUE"""),46121.957183539445)</f>
        <v>46121.95718</v>
      </c>
      <c r="C5068" s="9">
        <f>IFERROR(__xludf.DUMMYFUNCTION("""COMPUTED_VALUE"""),19489.0)</f>
        <v>19489</v>
      </c>
      <c r="D5068" s="9" t="str">
        <f>IFERROR(__xludf.DUMMYFUNCTION("""COMPUTED_VALUE"""),"Completed")</f>
        <v>Completed</v>
      </c>
    </row>
    <row r="5069">
      <c r="A5069" s="9" t="str">
        <f>IFERROR(__xludf.DUMMYFUNCTION("""COMPUTED_VALUE"""),"G-REQ-05068")</f>
        <v>G-REQ-05068</v>
      </c>
      <c r="B5069" s="11">
        <f>IFERROR(__xludf.DUMMYFUNCTION("""COMPUTED_VALUE"""),46122.02835838486)</f>
        <v>46122.02836</v>
      </c>
      <c r="C5069" s="9">
        <f>IFERROR(__xludf.DUMMYFUNCTION("""COMPUTED_VALUE"""),19493.0)</f>
        <v>19493</v>
      </c>
      <c r="D5069" s="9" t="str">
        <f>IFERROR(__xludf.DUMMYFUNCTION("""COMPUTED_VALUE"""),"Completed")</f>
        <v>Completed</v>
      </c>
    </row>
    <row r="5070">
      <c r="A5070" s="9" t="str">
        <f>IFERROR(__xludf.DUMMYFUNCTION("""COMPUTED_VALUE"""),"G-REQ-05069")</f>
        <v>G-REQ-05069</v>
      </c>
      <c r="B5070" s="11">
        <f>IFERROR(__xludf.DUMMYFUNCTION("""COMPUTED_VALUE"""),46122.09953323027)</f>
        <v>46122.09953</v>
      </c>
      <c r="C5070" s="9">
        <f>IFERROR(__xludf.DUMMYFUNCTION("""COMPUTED_VALUE"""),19497.0)</f>
        <v>19497</v>
      </c>
      <c r="D5070" s="9" t="str">
        <f>IFERROR(__xludf.DUMMYFUNCTION("""COMPUTED_VALUE"""),"Completed")</f>
        <v>Completed</v>
      </c>
    </row>
    <row r="5071">
      <c r="A5071" s="9" t="str">
        <f>IFERROR(__xludf.DUMMYFUNCTION("""COMPUTED_VALUE"""),"G-REQ-05070")</f>
        <v>G-REQ-05070</v>
      </c>
      <c r="B5071" s="11">
        <f>IFERROR(__xludf.DUMMYFUNCTION("""COMPUTED_VALUE"""),46122.17070807569)</f>
        <v>46122.17071</v>
      </c>
      <c r="C5071" s="9">
        <f>IFERROR(__xludf.DUMMYFUNCTION("""COMPUTED_VALUE"""),19501.0)</f>
        <v>19501</v>
      </c>
      <c r="D5071" s="9" t="str">
        <f>IFERROR(__xludf.DUMMYFUNCTION("""COMPUTED_VALUE"""),"Completed")</f>
        <v>Completed</v>
      </c>
    </row>
    <row r="5072">
      <c r="A5072" s="9" t="str">
        <f>IFERROR(__xludf.DUMMYFUNCTION("""COMPUTED_VALUE"""),"G-REQ-05071")</f>
        <v>G-REQ-05071</v>
      </c>
      <c r="B5072" s="11">
        <f>IFERROR(__xludf.DUMMYFUNCTION("""COMPUTED_VALUE"""),46122.2418829211)</f>
        <v>46122.24188</v>
      </c>
      <c r="C5072" s="9">
        <f>IFERROR(__xludf.DUMMYFUNCTION("""COMPUTED_VALUE"""),19505.0)</f>
        <v>19505</v>
      </c>
      <c r="D5072" s="9" t="str">
        <f>IFERROR(__xludf.DUMMYFUNCTION("""COMPUTED_VALUE"""),"Completed")</f>
        <v>Completed</v>
      </c>
    </row>
    <row r="5073">
      <c r="A5073" s="9" t="str">
        <f>IFERROR(__xludf.DUMMYFUNCTION("""COMPUTED_VALUE"""),"G-REQ-05072")</f>
        <v>G-REQ-05072</v>
      </c>
      <c r="B5073" s="11">
        <f>IFERROR(__xludf.DUMMYFUNCTION("""COMPUTED_VALUE"""),46122.313057766514)</f>
        <v>46122.31306</v>
      </c>
      <c r="C5073" s="9">
        <f>IFERROR(__xludf.DUMMYFUNCTION("""COMPUTED_VALUE"""),19509.0)</f>
        <v>19509</v>
      </c>
      <c r="D5073" s="9" t="str">
        <f>IFERROR(__xludf.DUMMYFUNCTION("""COMPUTED_VALUE"""),"Completed")</f>
        <v>Completed</v>
      </c>
    </row>
    <row r="5074">
      <c r="A5074" s="9" t="str">
        <f>IFERROR(__xludf.DUMMYFUNCTION("""COMPUTED_VALUE"""),"G-REQ-05073")</f>
        <v>G-REQ-05073</v>
      </c>
      <c r="B5074" s="11">
        <f>IFERROR(__xludf.DUMMYFUNCTION("""COMPUTED_VALUE"""),46122.384232611934)</f>
        <v>46122.38423</v>
      </c>
      <c r="C5074" s="9">
        <f>IFERROR(__xludf.DUMMYFUNCTION("""COMPUTED_VALUE"""),19513.0)</f>
        <v>19513</v>
      </c>
      <c r="D5074" s="9" t="str">
        <f>IFERROR(__xludf.DUMMYFUNCTION("""COMPUTED_VALUE"""),"Completed")</f>
        <v>Completed</v>
      </c>
    </row>
    <row r="5075">
      <c r="A5075" s="9" t="str">
        <f>IFERROR(__xludf.DUMMYFUNCTION("""COMPUTED_VALUE"""),"G-REQ-05074")</f>
        <v>G-REQ-05074</v>
      </c>
      <c r="B5075" s="11">
        <f>IFERROR(__xludf.DUMMYFUNCTION("""COMPUTED_VALUE"""),46122.455407457346)</f>
        <v>46122.45541</v>
      </c>
      <c r="C5075" s="9">
        <f>IFERROR(__xludf.DUMMYFUNCTION("""COMPUTED_VALUE"""),19517.0)</f>
        <v>19517</v>
      </c>
      <c r="D5075" s="9" t="str">
        <f>IFERROR(__xludf.DUMMYFUNCTION("""COMPUTED_VALUE"""),"Completed")</f>
        <v>Completed</v>
      </c>
    </row>
    <row r="5076">
      <c r="A5076" s="9" t="str">
        <f>IFERROR(__xludf.DUMMYFUNCTION("""COMPUTED_VALUE"""),"G-REQ-05075")</f>
        <v>G-REQ-05075</v>
      </c>
      <c r="B5076" s="11">
        <f>IFERROR(__xludf.DUMMYFUNCTION("""COMPUTED_VALUE"""),46122.52658230276)</f>
        <v>46122.52658</v>
      </c>
      <c r="C5076" s="9">
        <f>IFERROR(__xludf.DUMMYFUNCTION("""COMPUTED_VALUE"""),19521.0)</f>
        <v>19521</v>
      </c>
      <c r="D5076" s="9" t="str">
        <f>IFERROR(__xludf.DUMMYFUNCTION("""COMPUTED_VALUE"""),"Completed")</f>
        <v>Completed</v>
      </c>
    </row>
    <row r="5077">
      <c r="A5077" s="9" t="str">
        <f>IFERROR(__xludf.DUMMYFUNCTION("""COMPUTED_VALUE"""),"G-REQ-05076")</f>
        <v>G-REQ-05076</v>
      </c>
      <c r="B5077" s="11">
        <f>IFERROR(__xludf.DUMMYFUNCTION("""COMPUTED_VALUE"""),46122.59775714818)</f>
        <v>46122.59776</v>
      </c>
      <c r="C5077" s="9">
        <f>IFERROR(__xludf.DUMMYFUNCTION("""COMPUTED_VALUE"""),19525.0)</f>
        <v>19525</v>
      </c>
      <c r="D5077" s="9" t="str">
        <f>IFERROR(__xludf.DUMMYFUNCTION("""COMPUTED_VALUE"""),"Completed")</f>
        <v>Completed</v>
      </c>
    </row>
    <row r="5078">
      <c r="A5078" s="9" t="str">
        <f>IFERROR(__xludf.DUMMYFUNCTION("""COMPUTED_VALUE"""),"G-REQ-05077")</f>
        <v>G-REQ-05077</v>
      </c>
      <c r="B5078" s="11">
        <f>IFERROR(__xludf.DUMMYFUNCTION("""COMPUTED_VALUE"""),46122.6689319936)</f>
        <v>46122.66893</v>
      </c>
      <c r="C5078" s="9">
        <f>IFERROR(__xludf.DUMMYFUNCTION("""COMPUTED_VALUE"""),19529.0)</f>
        <v>19529</v>
      </c>
      <c r="D5078" s="9" t="str">
        <f>IFERROR(__xludf.DUMMYFUNCTION("""COMPUTED_VALUE"""),"Completed")</f>
        <v>Completed</v>
      </c>
    </row>
    <row r="5079">
      <c r="A5079" s="9" t="str">
        <f>IFERROR(__xludf.DUMMYFUNCTION("""COMPUTED_VALUE"""),"G-REQ-05078")</f>
        <v>G-REQ-05078</v>
      </c>
      <c r="B5079" s="11">
        <f>IFERROR(__xludf.DUMMYFUNCTION("""COMPUTED_VALUE"""),46122.740106839)</f>
        <v>46122.74011</v>
      </c>
      <c r="C5079" s="9">
        <f>IFERROR(__xludf.DUMMYFUNCTION("""COMPUTED_VALUE"""),19533.0)</f>
        <v>19533</v>
      </c>
      <c r="D5079" s="9" t="str">
        <f>IFERROR(__xludf.DUMMYFUNCTION("""COMPUTED_VALUE"""),"Completed")</f>
        <v>Completed</v>
      </c>
    </row>
    <row r="5080">
      <c r="A5080" s="9" t="str">
        <f>IFERROR(__xludf.DUMMYFUNCTION("""COMPUTED_VALUE"""),"G-REQ-05079")</f>
        <v>G-REQ-05079</v>
      </c>
      <c r="B5080" s="11">
        <f>IFERROR(__xludf.DUMMYFUNCTION("""COMPUTED_VALUE"""),46122.81128168442)</f>
        <v>46122.81128</v>
      </c>
      <c r="C5080" s="9">
        <f>IFERROR(__xludf.DUMMYFUNCTION("""COMPUTED_VALUE"""),19537.0)</f>
        <v>19537</v>
      </c>
      <c r="D5080" s="9" t="str">
        <f>IFERROR(__xludf.DUMMYFUNCTION("""COMPUTED_VALUE"""),"Completed")</f>
        <v>Completed</v>
      </c>
    </row>
    <row r="5081">
      <c r="A5081" s="9" t="str">
        <f>IFERROR(__xludf.DUMMYFUNCTION("""COMPUTED_VALUE"""),"G-REQ-05080")</f>
        <v>G-REQ-05080</v>
      </c>
      <c r="B5081" s="11">
        <f>IFERROR(__xludf.DUMMYFUNCTION("""COMPUTED_VALUE"""),46122.88245652984)</f>
        <v>46122.88246</v>
      </c>
      <c r="C5081" s="9">
        <f>IFERROR(__xludf.DUMMYFUNCTION("""COMPUTED_VALUE"""),19541.0)</f>
        <v>19541</v>
      </c>
      <c r="D5081" s="9" t="str">
        <f>IFERROR(__xludf.DUMMYFUNCTION("""COMPUTED_VALUE"""),"Completed")</f>
        <v>Completed</v>
      </c>
    </row>
    <row r="5082">
      <c r="A5082" s="9" t="str">
        <f>IFERROR(__xludf.DUMMYFUNCTION("""COMPUTED_VALUE"""),"G-REQ-05081")</f>
        <v>G-REQ-05081</v>
      </c>
      <c r="B5082" s="11">
        <f>IFERROR(__xludf.DUMMYFUNCTION("""COMPUTED_VALUE"""),46122.94668693081)</f>
        <v>46122.94669</v>
      </c>
      <c r="C5082" s="9">
        <f>IFERROR(__xludf.DUMMYFUNCTION("""COMPUTED_VALUE"""),19543.0)</f>
        <v>19543</v>
      </c>
      <c r="D5082" s="9" t="str">
        <f>IFERROR(__xludf.DUMMYFUNCTION("""COMPUTED_VALUE"""),"Rejected")</f>
        <v>Rejected</v>
      </c>
    </row>
    <row r="5083">
      <c r="A5083" s="9" t="str">
        <f>IFERROR(__xludf.DUMMYFUNCTION("""COMPUTED_VALUE"""),"G-REQ-05082")</f>
        <v>G-REQ-05082</v>
      </c>
      <c r="B5083" s="11">
        <f>IFERROR(__xludf.DUMMYFUNCTION("""COMPUTED_VALUE"""),46123.02480622067)</f>
        <v>46123.02481</v>
      </c>
      <c r="C5083" s="9">
        <f>IFERROR(__xludf.DUMMYFUNCTION("""COMPUTED_VALUE"""),19547.0)</f>
        <v>19547</v>
      </c>
      <c r="D5083" s="9" t="str">
        <f>IFERROR(__xludf.DUMMYFUNCTION("""COMPUTED_VALUE"""),"Completed")</f>
        <v>Completed</v>
      </c>
    </row>
    <row r="5084">
      <c r="A5084" s="9" t="str">
        <f>IFERROR(__xludf.DUMMYFUNCTION("""COMPUTED_VALUE"""),"G-REQ-05083")</f>
        <v>G-REQ-05083</v>
      </c>
      <c r="B5084" s="11">
        <f>IFERROR(__xludf.DUMMYFUNCTION("""COMPUTED_VALUE"""),46123.095981066086)</f>
        <v>46123.09598</v>
      </c>
      <c r="C5084" s="9">
        <f>IFERROR(__xludf.DUMMYFUNCTION("""COMPUTED_VALUE"""),19551.0)</f>
        <v>19551</v>
      </c>
      <c r="D5084" s="9" t="str">
        <f>IFERROR(__xludf.DUMMYFUNCTION("""COMPUTED_VALUE"""),"Completed")</f>
        <v>Completed</v>
      </c>
    </row>
    <row r="5085">
      <c r="A5085" s="9" t="str">
        <f>IFERROR(__xludf.DUMMYFUNCTION("""COMPUTED_VALUE"""),"G-REQ-05084")</f>
        <v>G-REQ-05084</v>
      </c>
      <c r="B5085" s="11">
        <f>IFERROR(__xludf.DUMMYFUNCTION("""COMPUTED_VALUE"""),46123.1671559115)</f>
        <v>46123.16716</v>
      </c>
      <c r="C5085" s="9">
        <f>IFERROR(__xludf.DUMMYFUNCTION("""COMPUTED_VALUE"""),19555.0)</f>
        <v>19555</v>
      </c>
      <c r="D5085" s="9" t="str">
        <f>IFERROR(__xludf.DUMMYFUNCTION("""COMPUTED_VALUE"""),"Completed")</f>
        <v>Completed</v>
      </c>
    </row>
    <row r="5086">
      <c r="A5086" s="9" t="str">
        <f>IFERROR(__xludf.DUMMYFUNCTION("""COMPUTED_VALUE"""),"G-REQ-05085")</f>
        <v>G-REQ-05085</v>
      </c>
      <c r="B5086" s="11">
        <f>IFERROR(__xludf.DUMMYFUNCTION("""COMPUTED_VALUE"""),46123.231386312465)</f>
        <v>46123.23139</v>
      </c>
      <c r="C5086" s="9">
        <f>IFERROR(__xludf.DUMMYFUNCTION("""COMPUTED_VALUE"""),19557.0)</f>
        <v>19557</v>
      </c>
      <c r="D5086" s="9" t="str">
        <f>IFERROR(__xludf.DUMMYFUNCTION("""COMPUTED_VALUE"""),"Cancelled")</f>
        <v>Cancelled</v>
      </c>
    </row>
    <row r="5087">
      <c r="A5087" s="9" t="str">
        <f>IFERROR(__xludf.DUMMYFUNCTION("""COMPUTED_VALUE"""),"G-REQ-05086")</f>
        <v>G-REQ-05086</v>
      </c>
      <c r="B5087" s="11">
        <f>IFERROR(__xludf.DUMMYFUNCTION("""COMPUTED_VALUE"""),46123.30950560233)</f>
        <v>46123.30951</v>
      </c>
      <c r="C5087" s="9">
        <f>IFERROR(__xludf.DUMMYFUNCTION("""COMPUTED_VALUE"""),19561.0)</f>
        <v>19561</v>
      </c>
      <c r="D5087" s="9" t="str">
        <f>IFERROR(__xludf.DUMMYFUNCTION("""COMPUTED_VALUE"""),"Completed")</f>
        <v>Completed</v>
      </c>
    </row>
    <row r="5088">
      <c r="A5088" s="9" t="str">
        <f>IFERROR(__xludf.DUMMYFUNCTION("""COMPUTED_VALUE"""),"G-REQ-05087")</f>
        <v>G-REQ-05087</v>
      </c>
      <c r="B5088" s="11">
        <f>IFERROR(__xludf.DUMMYFUNCTION("""COMPUTED_VALUE"""),46123.38068044775)</f>
        <v>46123.38068</v>
      </c>
      <c r="C5088" s="9">
        <f>IFERROR(__xludf.DUMMYFUNCTION("""COMPUTED_VALUE"""),19565.0)</f>
        <v>19565</v>
      </c>
      <c r="D5088" s="9" t="str">
        <f>IFERROR(__xludf.DUMMYFUNCTION("""COMPUTED_VALUE"""),"Completed")</f>
        <v>Completed</v>
      </c>
    </row>
    <row r="5089">
      <c r="A5089" s="9" t="str">
        <f>IFERROR(__xludf.DUMMYFUNCTION("""COMPUTED_VALUE"""),"G-REQ-05088")</f>
        <v>G-REQ-05088</v>
      </c>
      <c r="B5089" s="11">
        <f>IFERROR(__xludf.DUMMYFUNCTION("""COMPUTED_VALUE"""),46123.451855293155)</f>
        <v>46123.45186</v>
      </c>
      <c r="C5089" s="9">
        <f>IFERROR(__xludf.DUMMYFUNCTION("""COMPUTED_VALUE"""),19569.0)</f>
        <v>19569</v>
      </c>
      <c r="D5089" s="9" t="str">
        <f>IFERROR(__xludf.DUMMYFUNCTION("""COMPUTED_VALUE"""),"Completed")</f>
        <v>Completed</v>
      </c>
    </row>
    <row r="5090">
      <c r="A5090" s="9" t="str">
        <f>IFERROR(__xludf.DUMMYFUNCTION("""COMPUTED_VALUE"""),"G-REQ-05089")</f>
        <v>G-REQ-05089</v>
      </c>
      <c r="B5090" s="11">
        <f>IFERROR(__xludf.DUMMYFUNCTION("""COMPUTED_VALUE"""),46123.523030138575)</f>
        <v>46123.52303</v>
      </c>
      <c r="C5090" s="9">
        <f>IFERROR(__xludf.DUMMYFUNCTION("""COMPUTED_VALUE"""),19573.0)</f>
        <v>19573</v>
      </c>
      <c r="D5090" s="9" t="str">
        <f>IFERROR(__xludf.DUMMYFUNCTION("""COMPUTED_VALUE"""),"Completed")</f>
        <v>Completed</v>
      </c>
    </row>
    <row r="5091">
      <c r="A5091" s="9" t="str">
        <f>IFERROR(__xludf.DUMMYFUNCTION("""COMPUTED_VALUE"""),"G-REQ-05090")</f>
        <v>G-REQ-05090</v>
      </c>
      <c r="B5091" s="11">
        <f>IFERROR(__xludf.DUMMYFUNCTION("""COMPUTED_VALUE"""),46123.59420498399)</f>
        <v>46123.5942</v>
      </c>
      <c r="C5091" s="9">
        <f>IFERROR(__xludf.DUMMYFUNCTION("""COMPUTED_VALUE"""),19577.0)</f>
        <v>19577</v>
      </c>
      <c r="D5091" s="9" t="str">
        <f>IFERROR(__xludf.DUMMYFUNCTION("""COMPUTED_VALUE"""),"Completed")</f>
        <v>Completed</v>
      </c>
    </row>
    <row r="5092">
      <c r="A5092" s="9" t="str">
        <f>IFERROR(__xludf.DUMMYFUNCTION("""COMPUTED_VALUE"""),"G-REQ-05091")</f>
        <v>G-REQ-05091</v>
      </c>
      <c r="B5092" s="11">
        <f>IFERROR(__xludf.DUMMYFUNCTION("""COMPUTED_VALUE"""),46123.66537982941)</f>
        <v>46123.66538</v>
      </c>
      <c r="C5092" s="9">
        <f>IFERROR(__xludf.DUMMYFUNCTION("""COMPUTED_VALUE"""),19581.0)</f>
        <v>19581</v>
      </c>
      <c r="D5092" s="9" t="str">
        <f>IFERROR(__xludf.DUMMYFUNCTION("""COMPUTED_VALUE"""),"Completed")</f>
        <v>Completed</v>
      </c>
    </row>
    <row r="5093">
      <c r="A5093" s="9" t="str">
        <f>IFERROR(__xludf.DUMMYFUNCTION("""COMPUTED_VALUE"""),"G-REQ-05092")</f>
        <v>G-REQ-05092</v>
      </c>
      <c r="B5093" s="11">
        <f>IFERROR(__xludf.DUMMYFUNCTION("""COMPUTED_VALUE"""),46123.72961023037)</f>
        <v>46123.72961</v>
      </c>
      <c r="C5093" s="9">
        <f>IFERROR(__xludf.DUMMYFUNCTION("""COMPUTED_VALUE"""),19583.0)</f>
        <v>19583</v>
      </c>
      <c r="D5093" s="9" t="str">
        <f>IFERROR(__xludf.DUMMYFUNCTION("""COMPUTED_VALUE"""),"Rejected")</f>
        <v>Rejected</v>
      </c>
    </row>
    <row r="5094">
      <c r="A5094" s="9" t="str">
        <f>IFERROR(__xludf.DUMMYFUNCTION("""COMPUTED_VALUE"""),"G-REQ-05093")</f>
        <v>G-REQ-05093</v>
      </c>
      <c r="B5094" s="11">
        <f>IFERROR(__xludf.DUMMYFUNCTION("""COMPUTED_VALUE"""),46123.80772952024)</f>
        <v>46123.80773</v>
      </c>
      <c r="C5094" s="9">
        <f>IFERROR(__xludf.DUMMYFUNCTION("""COMPUTED_VALUE"""),19587.0)</f>
        <v>19587</v>
      </c>
      <c r="D5094" s="9" t="str">
        <f>IFERROR(__xludf.DUMMYFUNCTION("""COMPUTED_VALUE"""),"Completed")</f>
        <v>Completed</v>
      </c>
    </row>
    <row r="5095">
      <c r="A5095" s="9" t="str">
        <f>IFERROR(__xludf.DUMMYFUNCTION("""COMPUTED_VALUE"""),"G-REQ-05094")</f>
        <v>G-REQ-05094</v>
      </c>
      <c r="B5095" s="11">
        <f>IFERROR(__xludf.DUMMYFUNCTION("""COMPUTED_VALUE"""),46123.87890436564)</f>
        <v>46123.8789</v>
      </c>
      <c r="C5095" s="9">
        <f>IFERROR(__xludf.DUMMYFUNCTION("""COMPUTED_VALUE"""),19591.0)</f>
        <v>19591</v>
      </c>
      <c r="D5095" s="9" t="str">
        <f>IFERROR(__xludf.DUMMYFUNCTION("""COMPUTED_VALUE"""),"Completed")</f>
        <v>Completed</v>
      </c>
    </row>
    <row r="5096">
      <c r="A5096" s="9" t="str">
        <f>IFERROR(__xludf.DUMMYFUNCTION("""COMPUTED_VALUE"""),"G-REQ-05095")</f>
        <v>G-REQ-05095</v>
      </c>
      <c r="B5096" s="11">
        <f>IFERROR(__xludf.DUMMYFUNCTION("""COMPUTED_VALUE"""),46123.95007921106)</f>
        <v>46123.95008</v>
      </c>
      <c r="C5096" s="9">
        <f>IFERROR(__xludf.DUMMYFUNCTION("""COMPUTED_VALUE"""),19595.0)</f>
        <v>19595</v>
      </c>
      <c r="D5096" s="9" t="str">
        <f>IFERROR(__xludf.DUMMYFUNCTION("""COMPUTED_VALUE"""),"Completed")</f>
        <v>Completed</v>
      </c>
    </row>
    <row r="5097">
      <c r="A5097" s="9" t="str">
        <f>IFERROR(__xludf.DUMMYFUNCTION("""COMPUTED_VALUE"""),"G-REQ-05096")</f>
        <v>G-REQ-05096</v>
      </c>
      <c r="B5097" s="11">
        <f>IFERROR(__xludf.DUMMYFUNCTION("""COMPUTED_VALUE"""),46124.02125405648)</f>
        <v>46124.02125</v>
      </c>
      <c r="C5097" s="9">
        <f>IFERROR(__xludf.DUMMYFUNCTION("""COMPUTED_VALUE"""),19599.0)</f>
        <v>19599</v>
      </c>
      <c r="D5097" s="9" t="str">
        <f>IFERROR(__xludf.DUMMYFUNCTION("""COMPUTED_VALUE"""),"Completed")</f>
        <v>Completed</v>
      </c>
    </row>
    <row r="5098">
      <c r="A5098" s="9" t="str">
        <f>IFERROR(__xludf.DUMMYFUNCTION("""COMPUTED_VALUE"""),"G-REQ-05097")</f>
        <v>G-REQ-05097</v>
      </c>
      <c r="B5098" s="11">
        <f>IFERROR(__xludf.DUMMYFUNCTION("""COMPUTED_VALUE"""),46124.08548445745)</f>
        <v>46124.08548</v>
      </c>
      <c r="C5098" s="9">
        <f>IFERROR(__xludf.DUMMYFUNCTION("""COMPUTED_VALUE"""),19601.0)</f>
        <v>19601</v>
      </c>
      <c r="D5098" s="9" t="str">
        <f>IFERROR(__xludf.DUMMYFUNCTION("""COMPUTED_VALUE"""),"Cancelled")</f>
        <v>Cancelled</v>
      </c>
    </row>
    <row r="5099">
      <c r="A5099" s="9" t="str">
        <f>IFERROR(__xludf.DUMMYFUNCTION("""COMPUTED_VALUE"""),"G-REQ-05098")</f>
        <v>G-REQ-05098</v>
      </c>
      <c r="B5099" s="11">
        <f>IFERROR(__xludf.DUMMYFUNCTION("""COMPUTED_VALUE"""),46124.16360374731)</f>
        <v>46124.1636</v>
      </c>
      <c r="C5099" s="9">
        <f>IFERROR(__xludf.DUMMYFUNCTION("""COMPUTED_VALUE"""),19605.0)</f>
        <v>19605</v>
      </c>
      <c r="D5099" s="9" t="str">
        <f>IFERROR(__xludf.DUMMYFUNCTION("""COMPUTED_VALUE"""),"Completed")</f>
        <v>Completed</v>
      </c>
    </row>
    <row r="5100">
      <c r="A5100" s="9" t="str">
        <f>IFERROR(__xludf.DUMMYFUNCTION("""COMPUTED_VALUE"""),"G-REQ-05099")</f>
        <v>G-REQ-05099</v>
      </c>
      <c r="B5100" s="11">
        <f>IFERROR(__xludf.DUMMYFUNCTION("""COMPUTED_VALUE"""),46124.23477859273)</f>
        <v>46124.23478</v>
      </c>
      <c r="C5100" s="9">
        <f>IFERROR(__xludf.DUMMYFUNCTION("""COMPUTED_VALUE"""),19609.0)</f>
        <v>19609</v>
      </c>
      <c r="D5100" s="9" t="str">
        <f>IFERROR(__xludf.DUMMYFUNCTION("""COMPUTED_VALUE"""),"Completed")</f>
        <v>Completed</v>
      </c>
    </row>
    <row r="5101">
      <c r="A5101" s="9" t="str">
        <f>IFERROR(__xludf.DUMMYFUNCTION("""COMPUTED_VALUE"""),"G-REQ-05100")</f>
        <v>G-REQ-05100</v>
      </c>
      <c r="B5101" s="11">
        <f>IFERROR(__xludf.DUMMYFUNCTION("""COMPUTED_VALUE"""),46124.30595343814)</f>
        <v>46124.30595</v>
      </c>
      <c r="C5101" s="9">
        <f>IFERROR(__xludf.DUMMYFUNCTION("""COMPUTED_VALUE"""),19613.0)</f>
        <v>19613</v>
      </c>
      <c r="D5101" s="9" t="str">
        <f>IFERROR(__xludf.DUMMYFUNCTION("""COMPUTED_VALUE"""),"Completed")</f>
        <v>Completed</v>
      </c>
    </row>
    <row r="5102">
      <c r="A5102" s="9" t="str">
        <f>IFERROR(__xludf.DUMMYFUNCTION("""COMPUTED_VALUE"""),"G-REQ-05101")</f>
        <v>G-REQ-05101</v>
      </c>
      <c r="B5102" s="11">
        <f>IFERROR(__xludf.DUMMYFUNCTION("""COMPUTED_VALUE"""),46124.37712828355)</f>
        <v>46124.37713</v>
      </c>
      <c r="C5102" s="9">
        <f>IFERROR(__xludf.DUMMYFUNCTION("""COMPUTED_VALUE"""),19617.0)</f>
        <v>19617</v>
      </c>
      <c r="D5102" s="9" t="str">
        <f>IFERROR(__xludf.DUMMYFUNCTION("""COMPUTED_VALUE"""),"Completed")</f>
        <v>Completed</v>
      </c>
    </row>
    <row r="5103">
      <c r="A5103" s="9" t="str">
        <f>IFERROR(__xludf.DUMMYFUNCTION("""COMPUTED_VALUE"""),"G-REQ-05102")</f>
        <v>G-REQ-05102</v>
      </c>
      <c r="B5103" s="11">
        <f>IFERROR(__xludf.DUMMYFUNCTION("""COMPUTED_VALUE"""),46124.441358684526)</f>
        <v>46124.44136</v>
      </c>
      <c r="C5103" s="9">
        <f>IFERROR(__xludf.DUMMYFUNCTION("""COMPUTED_VALUE"""),19619.0)</f>
        <v>19619</v>
      </c>
      <c r="D5103" s="9" t="str">
        <f>IFERROR(__xludf.DUMMYFUNCTION("""COMPUTED_VALUE"""),"Rejected")</f>
        <v>Rejected</v>
      </c>
    </row>
    <row r="5104">
      <c r="A5104" s="9" t="str">
        <f>IFERROR(__xludf.DUMMYFUNCTION("""COMPUTED_VALUE"""),"G-REQ-05103")</f>
        <v>G-REQ-05103</v>
      </c>
      <c r="B5104" s="11">
        <f>IFERROR(__xludf.DUMMYFUNCTION("""COMPUTED_VALUE"""),46124.51947797439)</f>
        <v>46124.51948</v>
      </c>
      <c r="C5104" s="9">
        <f>IFERROR(__xludf.DUMMYFUNCTION("""COMPUTED_VALUE"""),19623.0)</f>
        <v>19623</v>
      </c>
      <c r="D5104" s="9" t="str">
        <f>IFERROR(__xludf.DUMMYFUNCTION("""COMPUTED_VALUE"""),"Completed")</f>
        <v>Completed</v>
      </c>
    </row>
    <row r="5105">
      <c r="A5105" s="9" t="str">
        <f>IFERROR(__xludf.DUMMYFUNCTION("""COMPUTED_VALUE"""),"G-REQ-05104")</f>
        <v>G-REQ-05104</v>
      </c>
      <c r="B5105" s="11">
        <f>IFERROR(__xludf.DUMMYFUNCTION("""COMPUTED_VALUE"""),46124.590652819796)</f>
        <v>46124.59065</v>
      </c>
      <c r="C5105" s="9">
        <f>IFERROR(__xludf.DUMMYFUNCTION("""COMPUTED_VALUE"""),19627.0)</f>
        <v>19627</v>
      </c>
      <c r="D5105" s="9" t="str">
        <f>IFERROR(__xludf.DUMMYFUNCTION("""COMPUTED_VALUE"""),"Completed")</f>
        <v>Completed</v>
      </c>
    </row>
    <row r="5106">
      <c r="A5106" s="9" t="str">
        <f>IFERROR(__xludf.DUMMYFUNCTION("""COMPUTED_VALUE"""),"G-REQ-05105")</f>
        <v>G-REQ-05105</v>
      </c>
      <c r="B5106" s="11">
        <f>IFERROR(__xludf.DUMMYFUNCTION("""COMPUTED_VALUE"""),46124.661827665215)</f>
        <v>46124.66183</v>
      </c>
      <c r="C5106" s="9">
        <f>IFERROR(__xludf.DUMMYFUNCTION("""COMPUTED_VALUE"""),19631.0)</f>
        <v>19631</v>
      </c>
      <c r="D5106" s="9" t="str">
        <f>IFERROR(__xludf.DUMMYFUNCTION("""COMPUTED_VALUE"""),"Completed")</f>
        <v>Completed</v>
      </c>
    </row>
    <row r="5107">
      <c r="A5107" s="9" t="str">
        <f>IFERROR(__xludf.DUMMYFUNCTION("""COMPUTED_VALUE"""),"G-REQ-05106")</f>
        <v>G-REQ-05106</v>
      </c>
      <c r="B5107" s="11">
        <f>IFERROR(__xludf.DUMMYFUNCTION("""COMPUTED_VALUE"""),46124.733002510635)</f>
        <v>46124.733</v>
      </c>
      <c r="C5107" s="9">
        <f>IFERROR(__xludf.DUMMYFUNCTION("""COMPUTED_VALUE"""),19635.0)</f>
        <v>19635</v>
      </c>
      <c r="D5107" s="9" t="str">
        <f>IFERROR(__xludf.DUMMYFUNCTION("""COMPUTED_VALUE"""),"Completed")</f>
        <v>Completed</v>
      </c>
    </row>
    <row r="5108">
      <c r="A5108" s="9" t="str">
        <f>IFERROR(__xludf.DUMMYFUNCTION("""COMPUTED_VALUE"""),"G-REQ-05107")</f>
        <v>G-REQ-05107</v>
      </c>
      <c r="B5108" s="11">
        <f>IFERROR(__xludf.DUMMYFUNCTION("""COMPUTED_VALUE"""),46124.80417735605)</f>
        <v>46124.80418</v>
      </c>
      <c r="C5108" s="9">
        <f>IFERROR(__xludf.DUMMYFUNCTION("""COMPUTED_VALUE"""),19639.0)</f>
        <v>19639</v>
      </c>
      <c r="D5108" s="9" t="str">
        <f>IFERROR(__xludf.DUMMYFUNCTION("""COMPUTED_VALUE"""),"Completed")</f>
        <v>Completed</v>
      </c>
    </row>
    <row r="5109">
      <c r="A5109" s="9" t="str">
        <f>IFERROR(__xludf.DUMMYFUNCTION("""COMPUTED_VALUE"""),"G-REQ-05108")</f>
        <v>G-REQ-05108</v>
      </c>
      <c r="B5109" s="11">
        <f>IFERROR(__xludf.DUMMYFUNCTION("""COMPUTED_VALUE"""),46124.868407757014)</f>
        <v>46124.86841</v>
      </c>
      <c r="C5109" s="9">
        <f>IFERROR(__xludf.DUMMYFUNCTION("""COMPUTED_VALUE"""),19641.0)</f>
        <v>19641</v>
      </c>
      <c r="D5109" s="9" t="str">
        <f>IFERROR(__xludf.DUMMYFUNCTION("""COMPUTED_VALUE"""),"Rejected")</f>
        <v>Rejected</v>
      </c>
    </row>
    <row r="5110">
      <c r="A5110" s="9" t="str">
        <f>IFERROR(__xludf.DUMMYFUNCTION("""COMPUTED_VALUE"""),"G-REQ-05109")</f>
        <v>G-REQ-05109</v>
      </c>
      <c r="B5110" s="11">
        <f>IFERROR(__xludf.DUMMYFUNCTION("""COMPUTED_VALUE"""),46124.94652704688)</f>
        <v>46124.94653</v>
      </c>
      <c r="C5110" s="9">
        <f>IFERROR(__xludf.DUMMYFUNCTION("""COMPUTED_VALUE"""),19645.0)</f>
        <v>19645</v>
      </c>
      <c r="D5110" s="9" t="str">
        <f>IFERROR(__xludf.DUMMYFUNCTION("""COMPUTED_VALUE"""),"Completed")</f>
        <v>Completed</v>
      </c>
    </row>
    <row r="5111">
      <c r="A5111" s="9" t="str">
        <f>IFERROR(__xludf.DUMMYFUNCTION("""COMPUTED_VALUE"""),"G-REQ-05110")</f>
        <v>G-REQ-05110</v>
      </c>
      <c r="B5111" s="11">
        <f>IFERROR(__xludf.DUMMYFUNCTION("""COMPUTED_VALUE"""),46125.01770189229)</f>
        <v>46125.0177</v>
      </c>
      <c r="C5111" s="9">
        <f>IFERROR(__xludf.DUMMYFUNCTION("""COMPUTED_VALUE"""),19649.0)</f>
        <v>19649</v>
      </c>
      <c r="D5111" s="9" t="str">
        <f>IFERROR(__xludf.DUMMYFUNCTION("""COMPUTED_VALUE"""),"Completed")</f>
        <v>Completed</v>
      </c>
    </row>
    <row r="5112">
      <c r="A5112" s="9" t="str">
        <f>IFERROR(__xludf.DUMMYFUNCTION("""COMPUTED_VALUE"""),"G-REQ-05111")</f>
        <v>G-REQ-05111</v>
      </c>
      <c r="B5112" s="11">
        <f>IFERROR(__xludf.DUMMYFUNCTION("""COMPUTED_VALUE"""),46125.088876737704)</f>
        <v>46125.08888</v>
      </c>
      <c r="C5112" s="9">
        <f>IFERROR(__xludf.DUMMYFUNCTION("""COMPUTED_VALUE"""),19653.0)</f>
        <v>19653</v>
      </c>
      <c r="D5112" s="9" t="str">
        <f>IFERROR(__xludf.DUMMYFUNCTION("""COMPUTED_VALUE"""),"Completed")</f>
        <v>Completed</v>
      </c>
    </row>
    <row r="5113">
      <c r="A5113" s="9" t="str">
        <f>IFERROR(__xludf.DUMMYFUNCTION("""COMPUTED_VALUE"""),"G-REQ-05112")</f>
        <v>G-REQ-05112</v>
      </c>
      <c r="B5113" s="11">
        <f>IFERROR(__xludf.DUMMYFUNCTION("""COMPUTED_VALUE"""),46125.16005158312)</f>
        <v>46125.16005</v>
      </c>
      <c r="C5113" s="9">
        <f>IFERROR(__xludf.DUMMYFUNCTION("""COMPUTED_VALUE"""),19657.0)</f>
        <v>19657</v>
      </c>
      <c r="D5113" s="9" t="str">
        <f>IFERROR(__xludf.DUMMYFUNCTION("""COMPUTED_VALUE"""),"Completed")</f>
        <v>Completed</v>
      </c>
    </row>
    <row r="5114">
      <c r="A5114" s="9" t="str">
        <f>IFERROR(__xludf.DUMMYFUNCTION("""COMPUTED_VALUE"""),"G-REQ-05113")</f>
        <v>G-REQ-05113</v>
      </c>
      <c r="B5114" s="11">
        <f>IFERROR(__xludf.DUMMYFUNCTION("""COMPUTED_VALUE"""),46125.231226428536)</f>
        <v>46125.23123</v>
      </c>
      <c r="C5114" s="9">
        <f>IFERROR(__xludf.DUMMYFUNCTION("""COMPUTED_VALUE"""),19661.0)</f>
        <v>19661</v>
      </c>
      <c r="D5114" s="9" t="str">
        <f>IFERROR(__xludf.DUMMYFUNCTION("""COMPUTED_VALUE"""),"Completed")</f>
        <v>Completed</v>
      </c>
    </row>
    <row r="5115">
      <c r="A5115" s="9" t="str">
        <f>IFERROR(__xludf.DUMMYFUNCTION("""COMPUTED_VALUE"""),"G-REQ-05114")</f>
        <v>G-REQ-05114</v>
      </c>
      <c r="B5115" s="11">
        <f>IFERROR(__xludf.DUMMYFUNCTION("""COMPUTED_VALUE"""),46125.30240127395)</f>
        <v>46125.3024</v>
      </c>
      <c r="C5115" s="9">
        <f>IFERROR(__xludf.DUMMYFUNCTION("""COMPUTED_VALUE"""),19665.0)</f>
        <v>19665</v>
      </c>
      <c r="D5115" s="9" t="str">
        <f>IFERROR(__xludf.DUMMYFUNCTION("""COMPUTED_VALUE"""),"Completed")</f>
        <v>Completed</v>
      </c>
    </row>
    <row r="5116">
      <c r="A5116" s="9" t="str">
        <f>IFERROR(__xludf.DUMMYFUNCTION("""COMPUTED_VALUE"""),"G-REQ-05115")</f>
        <v>G-REQ-05115</v>
      </c>
      <c r="B5116" s="11">
        <f>IFERROR(__xludf.DUMMYFUNCTION("""COMPUTED_VALUE"""),46125.37357611937)</f>
        <v>46125.37358</v>
      </c>
      <c r="C5116" s="9">
        <f>IFERROR(__xludf.DUMMYFUNCTION("""COMPUTED_VALUE"""),19669.0)</f>
        <v>19669</v>
      </c>
      <c r="D5116" s="9" t="str">
        <f>IFERROR(__xludf.DUMMYFUNCTION("""COMPUTED_VALUE"""),"Completed")</f>
        <v>Completed</v>
      </c>
    </row>
    <row r="5117">
      <c r="A5117" s="9" t="str">
        <f>IFERROR(__xludf.DUMMYFUNCTION("""COMPUTED_VALUE"""),"G-REQ-05116")</f>
        <v>G-REQ-05116</v>
      </c>
      <c r="B5117" s="11">
        <f>IFERROR(__xludf.DUMMYFUNCTION("""COMPUTED_VALUE"""),46125.44475096478)</f>
        <v>46125.44475</v>
      </c>
      <c r="C5117" s="9">
        <f>IFERROR(__xludf.DUMMYFUNCTION("""COMPUTED_VALUE"""),19673.0)</f>
        <v>19673</v>
      </c>
      <c r="D5117" s="9" t="str">
        <f>IFERROR(__xludf.DUMMYFUNCTION("""COMPUTED_VALUE"""),"Completed")</f>
        <v>Completed</v>
      </c>
    </row>
    <row r="5118">
      <c r="A5118" s="9" t="str">
        <f>IFERROR(__xludf.DUMMYFUNCTION("""COMPUTED_VALUE"""),"G-REQ-05117")</f>
        <v>G-REQ-05117</v>
      </c>
      <c r="B5118" s="11">
        <f>IFERROR(__xludf.DUMMYFUNCTION("""COMPUTED_VALUE"""),46125.51592581019)</f>
        <v>46125.51593</v>
      </c>
      <c r="C5118" s="9">
        <f>IFERROR(__xludf.DUMMYFUNCTION("""COMPUTED_VALUE"""),19677.0)</f>
        <v>19677</v>
      </c>
      <c r="D5118" s="9" t="str">
        <f>IFERROR(__xludf.DUMMYFUNCTION("""COMPUTED_VALUE"""),"Completed")</f>
        <v>Completed</v>
      </c>
    </row>
    <row r="5119">
      <c r="A5119" s="9" t="str">
        <f>IFERROR(__xludf.DUMMYFUNCTION("""COMPUTED_VALUE"""),"G-REQ-05118")</f>
        <v>G-REQ-05118</v>
      </c>
      <c r="B5119" s="11">
        <f>IFERROR(__xludf.DUMMYFUNCTION("""COMPUTED_VALUE"""),46125.58710065561)</f>
        <v>46125.5871</v>
      </c>
      <c r="C5119" s="9">
        <f>IFERROR(__xludf.DUMMYFUNCTION("""COMPUTED_VALUE"""),19681.0)</f>
        <v>19681</v>
      </c>
      <c r="D5119" s="9" t="str">
        <f>IFERROR(__xludf.DUMMYFUNCTION("""COMPUTED_VALUE"""),"Completed")</f>
        <v>Completed</v>
      </c>
    </row>
    <row r="5120">
      <c r="A5120" s="9" t="str">
        <f>IFERROR(__xludf.DUMMYFUNCTION("""COMPUTED_VALUE"""),"G-REQ-05119")</f>
        <v>G-REQ-05119</v>
      </c>
      <c r="B5120" s="11">
        <f>IFERROR(__xludf.DUMMYFUNCTION("""COMPUTED_VALUE"""),46125.65827550103)</f>
        <v>46125.65828</v>
      </c>
      <c r="C5120" s="9">
        <f>IFERROR(__xludf.DUMMYFUNCTION("""COMPUTED_VALUE"""),19685.0)</f>
        <v>19685</v>
      </c>
      <c r="D5120" s="9" t="str">
        <f>IFERROR(__xludf.DUMMYFUNCTION("""COMPUTED_VALUE"""),"Completed")</f>
        <v>Completed</v>
      </c>
    </row>
    <row r="5121">
      <c r="A5121" s="9" t="str">
        <f>IFERROR(__xludf.DUMMYFUNCTION("""COMPUTED_VALUE"""),"G-REQ-05120")</f>
        <v>G-REQ-05120</v>
      </c>
      <c r="B5121" s="11">
        <f>IFERROR(__xludf.DUMMYFUNCTION("""COMPUTED_VALUE"""),46125.729450346436)</f>
        <v>46125.72945</v>
      </c>
      <c r="C5121" s="9">
        <f>IFERROR(__xludf.DUMMYFUNCTION("""COMPUTED_VALUE"""),19689.0)</f>
        <v>19689</v>
      </c>
      <c r="D5121" s="9" t="str">
        <f>IFERROR(__xludf.DUMMYFUNCTION("""COMPUTED_VALUE"""),"Completed")</f>
        <v>Completed</v>
      </c>
    </row>
    <row r="5122">
      <c r="A5122" s="9" t="str">
        <f>IFERROR(__xludf.DUMMYFUNCTION("""COMPUTED_VALUE"""),"G-REQ-05121")</f>
        <v>G-REQ-05121</v>
      </c>
      <c r="B5122" s="11">
        <f>IFERROR(__xludf.DUMMYFUNCTION("""COMPUTED_VALUE"""),46125.800625191856)</f>
        <v>46125.80063</v>
      </c>
      <c r="C5122" s="9">
        <f>IFERROR(__xludf.DUMMYFUNCTION("""COMPUTED_VALUE"""),19693.0)</f>
        <v>19693</v>
      </c>
      <c r="D5122" s="9" t="str">
        <f>IFERROR(__xludf.DUMMYFUNCTION("""COMPUTED_VALUE"""),"Completed")</f>
        <v>Completed</v>
      </c>
    </row>
    <row r="5123">
      <c r="A5123" s="9" t="str">
        <f>IFERROR(__xludf.DUMMYFUNCTION("""COMPUTED_VALUE"""),"G-REQ-05122")</f>
        <v>G-REQ-05122</v>
      </c>
      <c r="B5123" s="11">
        <f>IFERROR(__xludf.DUMMYFUNCTION("""COMPUTED_VALUE"""),46125.871800037276)</f>
        <v>46125.8718</v>
      </c>
      <c r="C5123" s="9">
        <f>IFERROR(__xludf.DUMMYFUNCTION("""COMPUTED_VALUE"""),19697.0)</f>
        <v>19697</v>
      </c>
      <c r="D5123" s="9" t="str">
        <f>IFERROR(__xludf.DUMMYFUNCTION("""COMPUTED_VALUE"""),"Completed")</f>
        <v>Completed</v>
      </c>
    </row>
    <row r="5124">
      <c r="A5124" s="9" t="str">
        <f>IFERROR(__xludf.DUMMYFUNCTION("""COMPUTED_VALUE"""),"G-REQ-05123")</f>
        <v>G-REQ-05123</v>
      </c>
      <c r="B5124" s="11">
        <f>IFERROR(__xludf.DUMMYFUNCTION("""COMPUTED_VALUE"""),46125.94297488269)</f>
        <v>46125.94297</v>
      </c>
      <c r="C5124" s="9">
        <f>IFERROR(__xludf.DUMMYFUNCTION("""COMPUTED_VALUE"""),19701.0)</f>
        <v>19701</v>
      </c>
      <c r="D5124" s="9" t="str">
        <f>IFERROR(__xludf.DUMMYFUNCTION("""COMPUTED_VALUE"""),"Completed")</f>
        <v>Completed</v>
      </c>
    </row>
    <row r="5125">
      <c r="A5125" s="9" t="str">
        <f>IFERROR(__xludf.DUMMYFUNCTION("""COMPUTED_VALUE"""),"G-REQ-05124")</f>
        <v>G-REQ-05124</v>
      </c>
      <c r="B5125" s="11">
        <f>IFERROR(__xludf.DUMMYFUNCTION("""COMPUTED_VALUE"""),46126.0141497281)</f>
        <v>46126.01415</v>
      </c>
      <c r="C5125" s="9">
        <f>IFERROR(__xludf.DUMMYFUNCTION("""COMPUTED_VALUE"""),19705.0)</f>
        <v>19705</v>
      </c>
      <c r="D5125" s="9" t="str">
        <f>IFERROR(__xludf.DUMMYFUNCTION("""COMPUTED_VALUE"""),"Completed")</f>
        <v>Completed</v>
      </c>
    </row>
    <row r="5126">
      <c r="A5126" s="9" t="str">
        <f>IFERROR(__xludf.DUMMYFUNCTION("""COMPUTED_VALUE"""),"G-REQ-05125")</f>
        <v>G-REQ-05125</v>
      </c>
      <c r="B5126" s="11">
        <f>IFERROR(__xludf.DUMMYFUNCTION("""COMPUTED_VALUE"""),46126.08532457352)</f>
        <v>46126.08532</v>
      </c>
      <c r="C5126" s="9">
        <f>IFERROR(__xludf.DUMMYFUNCTION("""COMPUTED_VALUE"""),19709.0)</f>
        <v>19709</v>
      </c>
      <c r="D5126" s="9" t="str">
        <f>IFERROR(__xludf.DUMMYFUNCTION("""COMPUTED_VALUE"""),"Completed")</f>
        <v>Completed</v>
      </c>
    </row>
    <row r="5127">
      <c r="A5127" s="9" t="str">
        <f>IFERROR(__xludf.DUMMYFUNCTION("""COMPUTED_VALUE"""),"G-REQ-05126")</f>
        <v>G-REQ-05126</v>
      </c>
      <c r="B5127" s="11">
        <f>IFERROR(__xludf.DUMMYFUNCTION("""COMPUTED_VALUE"""),46126.14955497449)</f>
        <v>46126.14955</v>
      </c>
      <c r="C5127" s="9">
        <f>IFERROR(__xludf.DUMMYFUNCTION("""COMPUTED_VALUE"""),19711.0)</f>
        <v>19711</v>
      </c>
      <c r="D5127" s="9" t="str">
        <f>IFERROR(__xludf.DUMMYFUNCTION("""COMPUTED_VALUE"""),"Rejected")</f>
        <v>Rejected</v>
      </c>
    </row>
    <row r="5128">
      <c r="A5128" s="9" t="str">
        <f>IFERROR(__xludf.DUMMYFUNCTION("""COMPUTED_VALUE"""),"G-REQ-05127")</f>
        <v>G-REQ-05127</v>
      </c>
      <c r="B5128" s="11">
        <f>IFERROR(__xludf.DUMMYFUNCTION("""COMPUTED_VALUE"""),46126.227674264344)</f>
        <v>46126.22767</v>
      </c>
      <c r="C5128" s="9">
        <f>IFERROR(__xludf.DUMMYFUNCTION("""COMPUTED_VALUE"""),19715.0)</f>
        <v>19715</v>
      </c>
      <c r="D5128" s="9" t="str">
        <f>IFERROR(__xludf.DUMMYFUNCTION("""COMPUTED_VALUE"""),"Completed")</f>
        <v>Completed</v>
      </c>
    </row>
    <row r="5129">
      <c r="A5129" s="9" t="str">
        <f>IFERROR(__xludf.DUMMYFUNCTION("""COMPUTED_VALUE"""),"G-REQ-05128")</f>
        <v>G-REQ-05128</v>
      </c>
      <c r="B5129" s="11">
        <f>IFERROR(__xludf.DUMMYFUNCTION("""COMPUTED_VALUE"""),46126.298849109764)</f>
        <v>46126.29885</v>
      </c>
      <c r="C5129" s="9">
        <f>IFERROR(__xludf.DUMMYFUNCTION("""COMPUTED_VALUE"""),19719.0)</f>
        <v>19719</v>
      </c>
      <c r="D5129" s="9" t="str">
        <f>IFERROR(__xludf.DUMMYFUNCTION("""COMPUTED_VALUE"""),"Completed")</f>
        <v>Completed</v>
      </c>
    </row>
    <row r="5130">
      <c r="A5130" s="9" t="str">
        <f>IFERROR(__xludf.DUMMYFUNCTION("""COMPUTED_VALUE"""),"G-REQ-05129")</f>
        <v>G-REQ-05129</v>
      </c>
      <c r="B5130" s="11">
        <f>IFERROR(__xludf.DUMMYFUNCTION("""COMPUTED_VALUE"""),46126.370023955176)</f>
        <v>46126.37002</v>
      </c>
      <c r="C5130" s="9">
        <f>IFERROR(__xludf.DUMMYFUNCTION("""COMPUTED_VALUE"""),19723.0)</f>
        <v>19723</v>
      </c>
      <c r="D5130" s="9" t="str">
        <f>IFERROR(__xludf.DUMMYFUNCTION("""COMPUTED_VALUE"""),"Completed")</f>
        <v>Completed</v>
      </c>
    </row>
    <row r="5131">
      <c r="A5131" s="9" t="str">
        <f>IFERROR(__xludf.DUMMYFUNCTION("""COMPUTED_VALUE"""),"G-REQ-05130")</f>
        <v>G-REQ-05130</v>
      </c>
      <c r="B5131" s="11">
        <f>IFERROR(__xludf.DUMMYFUNCTION("""COMPUTED_VALUE"""),46126.44119880059)</f>
        <v>46126.4412</v>
      </c>
      <c r="C5131" s="9">
        <f>IFERROR(__xludf.DUMMYFUNCTION("""COMPUTED_VALUE"""),19727.0)</f>
        <v>19727</v>
      </c>
      <c r="D5131" s="9" t="str">
        <f>IFERROR(__xludf.DUMMYFUNCTION("""COMPUTED_VALUE"""),"Completed")</f>
        <v>Completed</v>
      </c>
    </row>
    <row r="5132">
      <c r="A5132" s="9" t="str">
        <f>IFERROR(__xludf.DUMMYFUNCTION("""COMPUTED_VALUE"""),"G-REQ-05131")</f>
        <v>G-REQ-05131</v>
      </c>
      <c r="B5132" s="11">
        <f>IFERROR(__xludf.DUMMYFUNCTION("""COMPUTED_VALUE"""),46126.50542920156)</f>
        <v>46126.50543</v>
      </c>
      <c r="C5132" s="9">
        <f>IFERROR(__xludf.DUMMYFUNCTION("""COMPUTED_VALUE"""),19729.0)</f>
        <v>19729</v>
      </c>
      <c r="D5132" s="9" t="str">
        <f>IFERROR(__xludf.DUMMYFUNCTION("""COMPUTED_VALUE"""),"Rejected")</f>
        <v>Rejected</v>
      </c>
    </row>
    <row r="5133">
      <c r="A5133" s="9" t="str">
        <f>IFERROR(__xludf.DUMMYFUNCTION("""COMPUTED_VALUE"""),"G-REQ-05132")</f>
        <v>G-REQ-05132</v>
      </c>
      <c r="B5133" s="11">
        <f>IFERROR(__xludf.DUMMYFUNCTION("""COMPUTED_VALUE"""),46126.58354849142)</f>
        <v>46126.58355</v>
      </c>
      <c r="C5133" s="9">
        <f>IFERROR(__xludf.DUMMYFUNCTION("""COMPUTED_VALUE"""),19733.0)</f>
        <v>19733</v>
      </c>
      <c r="D5133" s="9" t="str">
        <f>IFERROR(__xludf.DUMMYFUNCTION("""COMPUTED_VALUE"""),"Completed")</f>
        <v>Completed</v>
      </c>
    </row>
    <row r="5134">
      <c r="A5134" s="9" t="str">
        <f>IFERROR(__xludf.DUMMYFUNCTION("""COMPUTED_VALUE"""),"G-REQ-05133")</f>
        <v>G-REQ-05133</v>
      </c>
      <c r="B5134" s="11">
        <f>IFERROR(__xludf.DUMMYFUNCTION("""COMPUTED_VALUE"""),46126.65472333683)</f>
        <v>46126.65472</v>
      </c>
      <c r="C5134" s="9">
        <f>IFERROR(__xludf.DUMMYFUNCTION("""COMPUTED_VALUE"""),19737.0)</f>
        <v>19737</v>
      </c>
      <c r="D5134" s="9" t="str">
        <f>IFERROR(__xludf.DUMMYFUNCTION("""COMPUTED_VALUE"""),"Completed")</f>
        <v>Completed</v>
      </c>
    </row>
    <row r="5135">
      <c r="A5135" s="9" t="str">
        <f>IFERROR(__xludf.DUMMYFUNCTION("""COMPUTED_VALUE"""),"G-REQ-05134")</f>
        <v>G-REQ-05134</v>
      </c>
      <c r="B5135" s="11">
        <f>IFERROR(__xludf.DUMMYFUNCTION("""COMPUTED_VALUE"""),46126.72589818225)</f>
        <v>46126.7259</v>
      </c>
      <c r="C5135" s="9">
        <f>IFERROR(__xludf.DUMMYFUNCTION("""COMPUTED_VALUE"""),19741.0)</f>
        <v>19741</v>
      </c>
      <c r="D5135" s="9" t="str">
        <f>IFERROR(__xludf.DUMMYFUNCTION("""COMPUTED_VALUE"""),"Completed")</f>
        <v>Completed</v>
      </c>
    </row>
    <row r="5136">
      <c r="A5136" s="9" t="str">
        <f>IFERROR(__xludf.DUMMYFUNCTION("""COMPUTED_VALUE"""),"G-REQ-05135")</f>
        <v>G-REQ-05135</v>
      </c>
      <c r="B5136" s="11">
        <f>IFERROR(__xludf.DUMMYFUNCTION("""COMPUTED_VALUE"""),46126.79707302767)</f>
        <v>46126.79707</v>
      </c>
      <c r="C5136" s="9">
        <f>IFERROR(__xludf.DUMMYFUNCTION("""COMPUTED_VALUE"""),19745.0)</f>
        <v>19745</v>
      </c>
      <c r="D5136" s="9" t="str">
        <f>IFERROR(__xludf.DUMMYFUNCTION("""COMPUTED_VALUE"""),"Completed")</f>
        <v>Completed</v>
      </c>
    </row>
    <row r="5137">
      <c r="A5137" s="9" t="str">
        <f>IFERROR(__xludf.DUMMYFUNCTION("""COMPUTED_VALUE"""),"G-REQ-05136")</f>
        <v>G-REQ-05136</v>
      </c>
      <c r="B5137" s="11">
        <f>IFERROR(__xludf.DUMMYFUNCTION("""COMPUTED_VALUE"""),46126.86824787308)</f>
        <v>46126.86825</v>
      </c>
      <c r="C5137" s="9">
        <f>IFERROR(__xludf.DUMMYFUNCTION("""COMPUTED_VALUE"""),19749.0)</f>
        <v>19749</v>
      </c>
      <c r="D5137" s="9" t="str">
        <f>IFERROR(__xludf.DUMMYFUNCTION("""COMPUTED_VALUE"""),"Completed")</f>
        <v>Completed</v>
      </c>
    </row>
    <row r="5138">
      <c r="A5138" s="9" t="str">
        <f>IFERROR(__xludf.DUMMYFUNCTION("""COMPUTED_VALUE"""),"G-REQ-05137")</f>
        <v>G-REQ-05137</v>
      </c>
      <c r="B5138" s="11">
        <f>IFERROR(__xludf.DUMMYFUNCTION("""COMPUTED_VALUE"""),46126.9394227185)</f>
        <v>46126.93942</v>
      </c>
      <c r="C5138" s="9">
        <f>IFERROR(__xludf.DUMMYFUNCTION("""COMPUTED_VALUE"""),19753.0)</f>
        <v>19753</v>
      </c>
      <c r="D5138" s="9" t="str">
        <f>IFERROR(__xludf.DUMMYFUNCTION("""COMPUTED_VALUE"""),"Completed")</f>
        <v>Completed</v>
      </c>
    </row>
    <row r="5139">
      <c r="A5139" s="9" t="str">
        <f>IFERROR(__xludf.DUMMYFUNCTION("""COMPUTED_VALUE"""),"G-REQ-05138")</f>
        <v>G-REQ-05138</v>
      </c>
      <c r="B5139" s="11">
        <f>IFERROR(__xludf.DUMMYFUNCTION("""COMPUTED_VALUE"""),46127.010597563916)</f>
        <v>46127.0106</v>
      </c>
      <c r="C5139" s="9">
        <f>IFERROR(__xludf.DUMMYFUNCTION("""COMPUTED_VALUE"""),19757.0)</f>
        <v>19757</v>
      </c>
      <c r="D5139" s="9" t="str">
        <f>IFERROR(__xludf.DUMMYFUNCTION("""COMPUTED_VALUE"""),"Completed")</f>
        <v>Completed</v>
      </c>
    </row>
    <row r="5140">
      <c r="A5140" s="9" t="str">
        <f>IFERROR(__xludf.DUMMYFUNCTION("""COMPUTED_VALUE"""),"G-REQ-05139")</f>
        <v>G-REQ-05139</v>
      </c>
      <c r="B5140" s="11">
        <f>IFERROR(__xludf.DUMMYFUNCTION("""COMPUTED_VALUE"""),46127.08177240933)</f>
        <v>46127.08177</v>
      </c>
      <c r="C5140" s="9">
        <f>IFERROR(__xludf.DUMMYFUNCTION("""COMPUTED_VALUE"""),19761.0)</f>
        <v>19761</v>
      </c>
      <c r="D5140" s="9" t="str">
        <f>IFERROR(__xludf.DUMMYFUNCTION("""COMPUTED_VALUE"""),"Completed")</f>
        <v>Completed</v>
      </c>
    </row>
    <row r="5141">
      <c r="A5141" s="9" t="str">
        <f>IFERROR(__xludf.DUMMYFUNCTION("""COMPUTED_VALUE"""),"G-REQ-05140")</f>
        <v>G-REQ-05140</v>
      </c>
      <c r="B5141" s="11">
        <f>IFERROR(__xludf.DUMMYFUNCTION("""COMPUTED_VALUE"""),46127.15294725474)</f>
        <v>46127.15295</v>
      </c>
      <c r="C5141" s="9">
        <f>IFERROR(__xludf.DUMMYFUNCTION("""COMPUTED_VALUE"""),19765.0)</f>
        <v>19765</v>
      </c>
      <c r="D5141" s="9" t="str">
        <f>IFERROR(__xludf.DUMMYFUNCTION("""COMPUTED_VALUE"""),"Completed")</f>
        <v>Completed</v>
      </c>
    </row>
    <row r="5142">
      <c r="A5142" s="9" t="str">
        <f>IFERROR(__xludf.DUMMYFUNCTION("""COMPUTED_VALUE"""),"G-REQ-05141")</f>
        <v>G-REQ-05141</v>
      </c>
      <c r="B5142" s="11">
        <f>IFERROR(__xludf.DUMMYFUNCTION("""COMPUTED_VALUE"""),46127.22412210016)</f>
        <v>46127.22412</v>
      </c>
      <c r="C5142" s="9">
        <f>IFERROR(__xludf.DUMMYFUNCTION("""COMPUTED_VALUE"""),19769.0)</f>
        <v>19769</v>
      </c>
      <c r="D5142" s="9" t="str">
        <f>IFERROR(__xludf.DUMMYFUNCTION("""COMPUTED_VALUE"""),"Completed")</f>
        <v>Completed</v>
      </c>
    </row>
    <row r="5143">
      <c r="A5143" s="9" t="str">
        <f>IFERROR(__xludf.DUMMYFUNCTION("""COMPUTED_VALUE"""),"G-REQ-05142")</f>
        <v>G-REQ-05142</v>
      </c>
      <c r="B5143" s="11">
        <f>IFERROR(__xludf.DUMMYFUNCTION("""COMPUTED_VALUE"""),46127.29529694557)</f>
        <v>46127.2953</v>
      </c>
      <c r="C5143" s="9">
        <f>IFERROR(__xludf.DUMMYFUNCTION("""COMPUTED_VALUE"""),19773.0)</f>
        <v>19773</v>
      </c>
      <c r="D5143" s="9" t="str">
        <f>IFERROR(__xludf.DUMMYFUNCTION("""COMPUTED_VALUE"""),"Completed")</f>
        <v>Completed</v>
      </c>
    </row>
    <row r="5144">
      <c r="A5144" s="9" t="str">
        <f>IFERROR(__xludf.DUMMYFUNCTION("""COMPUTED_VALUE"""),"G-REQ-05143")</f>
        <v>G-REQ-05143</v>
      </c>
      <c r="B5144" s="11">
        <f>IFERROR(__xludf.DUMMYFUNCTION("""COMPUTED_VALUE"""),46127.366471790985)</f>
        <v>46127.36647</v>
      </c>
      <c r="C5144" s="9">
        <f>IFERROR(__xludf.DUMMYFUNCTION("""COMPUTED_VALUE"""),19777.0)</f>
        <v>19777</v>
      </c>
      <c r="D5144" s="9" t="str">
        <f>IFERROR(__xludf.DUMMYFUNCTION("""COMPUTED_VALUE"""),"Completed")</f>
        <v>Completed</v>
      </c>
    </row>
    <row r="5145">
      <c r="A5145" s="9" t="str">
        <f>IFERROR(__xludf.DUMMYFUNCTION("""COMPUTED_VALUE"""),"G-REQ-05144")</f>
        <v>G-REQ-05144</v>
      </c>
      <c r="B5145" s="11">
        <f>IFERROR(__xludf.DUMMYFUNCTION("""COMPUTED_VALUE"""),46127.43070219196)</f>
        <v>46127.4307</v>
      </c>
      <c r="C5145" s="9">
        <f>IFERROR(__xludf.DUMMYFUNCTION("""COMPUTED_VALUE"""),19779.0)</f>
        <v>19779</v>
      </c>
      <c r="D5145" s="9" t="str">
        <f>IFERROR(__xludf.DUMMYFUNCTION("""COMPUTED_VALUE"""),"Rejected")</f>
        <v>Rejected</v>
      </c>
    </row>
    <row r="5146">
      <c r="A5146" s="9" t="str">
        <f>IFERROR(__xludf.DUMMYFUNCTION("""COMPUTED_VALUE"""),"G-REQ-05145")</f>
        <v>G-REQ-05145</v>
      </c>
      <c r="B5146" s="11">
        <f>IFERROR(__xludf.DUMMYFUNCTION("""COMPUTED_VALUE"""),46127.50882148182)</f>
        <v>46127.50882</v>
      </c>
      <c r="C5146" s="9">
        <f>IFERROR(__xludf.DUMMYFUNCTION("""COMPUTED_VALUE"""),19783.0)</f>
        <v>19783</v>
      </c>
      <c r="D5146" s="9" t="str">
        <f>IFERROR(__xludf.DUMMYFUNCTION("""COMPUTED_VALUE"""),"Completed")</f>
        <v>Completed</v>
      </c>
    </row>
    <row r="5147">
      <c r="A5147" s="9" t="str">
        <f>IFERROR(__xludf.DUMMYFUNCTION("""COMPUTED_VALUE"""),"G-REQ-05146")</f>
        <v>G-REQ-05146</v>
      </c>
      <c r="B5147" s="11">
        <f>IFERROR(__xludf.DUMMYFUNCTION("""COMPUTED_VALUE"""),46127.57999632723)</f>
        <v>46127.58</v>
      </c>
      <c r="C5147" s="9">
        <f>IFERROR(__xludf.DUMMYFUNCTION("""COMPUTED_VALUE"""),19787.0)</f>
        <v>19787</v>
      </c>
      <c r="D5147" s="9" t="str">
        <f>IFERROR(__xludf.DUMMYFUNCTION("""COMPUTED_VALUE"""),"Completed")</f>
        <v>Completed</v>
      </c>
    </row>
    <row r="5148">
      <c r="A5148" s="9" t="str">
        <f>IFERROR(__xludf.DUMMYFUNCTION("""COMPUTED_VALUE"""),"G-REQ-05147")</f>
        <v>G-REQ-05147</v>
      </c>
      <c r="B5148" s="11">
        <f>IFERROR(__xludf.DUMMYFUNCTION("""COMPUTED_VALUE"""),46127.65117117265)</f>
        <v>46127.65117</v>
      </c>
      <c r="C5148" s="9">
        <f>IFERROR(__xludf.DUMMYFUNCTION("""COMPUTED_VALUE"""),19791.0)</f>
        <v>19791</v>
      </c>
      <c r="D5148" s="9" t="str">
        <f>IFERROR(__xludf.DUMMYFUNCTION("""COMPUTED_VALUE"""),"Completed")</f>
        <v>Completed</v>
      </c>
    </row>
    <row r="5149">
      <c r="A5149" s="9" t="str">
        <f>IFERROR(__xludf.DUMMYFUNCTION("""COMPUTED_VALUE"""),"G-REQ-05148")</f>
        <v>G-REQ-05148</v>
      </c>
      <c r="B5149" s="11">
        <f>IFERROR(__xludf.DUMMYFUNCTION("""COMPUTED_VALUE"""),46127.715401573616)</f>
        <v>46127.7154</v>
      </c>
      <c r="C5149" s="9">
        <f>IFERROR(__xludf.DUMMYFUNCTION("""COMPUTED_VALUE"""),19793.0)</f>
        <v>19793</v>
      </c>
      <c r="D5149" s="9" t="str">
        <f>IFERROR(__xludf.DUMMYFUNCTION("""COMPUTED_VALUE"""),"Cancelled")</f>
        <v>Cancelled</v>
      </c>
    </row>
    <row r="5150">
      <c r="A5150" s="9" t="str">
        <f>IFERROR(__xludf.DUMMYFUNCTION("""COMPUTED_VALUE"""),"G-REQ-05149")</f>
        <v>G-REQ-05149</v>
      </c>
      <c r="B5150" s="11">
        <f>IFERROR(__xludf.DUMMYFUNCTION("""COMPUTED_VALUE"""),46127.79352086347)</f>
        <v>46127.79352</v>
      </c>
      <c r="C5150" s="9">
        <f>IFERROR(__xludf.DUMMYFUNCTION("""COMPUTED_VALUE"""),19797.0)</f>
        <v>19797</v>
      </c>
      <c r="D5150" s="9" t="str">
        <f>IFERROR(__xludf.DUMMYFUNCTION("""COMPUTED_VALUE"""),"Completed")</f>
        <v>Completed</v>
      </c>
    </row>
    <row r="5151">
      <c r="A5151" s="9" t="str">
        <f>IFERROR(__xludf.DUMMYFUNCTION("""COMPUTED_VALUE"""),"G-REQ-05150")</f>
        <v>G-REQ-05150</v>
      </c>
      <c r="B5151" s="11">
        <f>IFERROR(__xludf.DUMMYFUNCTION("""COMPUTED_VALUE"""),46127.86469570889)</f>
        <v>46127.8647</v>
      </c>
      <c r="C5151" s="9">
        <f>IFERROR(__xludf.DUMMYFUNCTION("""COMPUTED_VALUE"""),19801.0)</f>
        <v>19801</v>
      </c>
      <c r="D5151" s="9" t="str">
        <f>IFERROR(__xludf.DUMMYFUNCTION("""COMPUTED_VALUE"""),"Completed")</f>
        <v>Completed</v>
      </c>
    </row>
    <row r="5152">
      <c r="A5152" s="9" t="str">
        <f>IFERROR(__xludf.DUMMYFUNCTION("""COMPUTED_VALUE"""),"G-REQ-05151")</f>
        <v>G-REQ-05151</v>
      </c>
      <c r="B5152" s="11">
        <f>IFERROR(__xludf.DUMMYFUNCTION("""COMPUTED_VALUE"""),46127.93587055431)</f>
        <v>46127.93587</v>
      </c>
      <c r="C5152" s="9">
        <f>IFERROR(__xludf.DUMMYFUNCTION("""COMPUTED_VALUE"""),19805.0)</f>
        <v>19805</v>
      </c>
      <c r="D5152" s="9" t="str">
        <f>IFERROR(__xludf.DUMMYFUNCTION("""COMPUTED_VALUE"""),"Completed")</f>
        <v>Completed</v>
      </c>
    </row>
    <row r="5153">
      <c r="A5153" s="9" t="str">
        <f>IFERROR(__xludf.DUMMYFUNCTION("""COMPUTED_VALUE"""),"G-REQ-05152")</f>
        <v>G-REQ-05152</v>
      </c>
      <c r="B5153" s="11">
        <f>IFERROR(__xludf.DUMMYFUNCTION("""COMPUTED_VALUE"""),46128.007045399725)</f>
        <v>46128.00705</v>
      </c>
      <c r="C5153" s="9">
        <f>IFERROR(__xludf.DUMMYFUNCTION("""COMPUTED_VALUE"""),19809.0)</f>
        <v>19809</v>
      </c>
      <c r="D5153" s="9" t="str">
        <f>IFERROR(__xludf.DUMMYFUNCTION("""COMPUTED_VALUE"""),"Completed")</f>
        <v>Completed</v>
      </c>
    </row>
    <row r="5154">
      <c r="A5154" s="9" t="str">
        <f>IFERROR(__xludf.DUMMYFUNCTION("""COMPUTED_VALUE"""),"G-REQ-05153")</f>
        <v>G-REQ-05153</v>
      </c>
      <c r="B5154" s="11">
        <f>IFERROR(__xludf.DUMMYFUNCTION("""COMPUTED_VALUE"""),46128.07822024514)</f>
        <v>46128.07822</v>
      </c>
      <c r="C5154" s="9">
        <f>IFERROR(__xludf.DUMMYFUNCTION("""COMPUTED_VALUE"""),19813.0)</f>
        <v>19813</v>
      </c>
      <c r="D5154" s="9" t="str">
        <f>IFERROR(__xludf.DUMMYFUNCTION("""COMPUTED_VALUE"""),"Completed")</f>
        <v>Completed</v>
      </c>
    </row>
    <row r="5155">
      <c r="A5155" s="9" t="str">
        <f>IFERROR(__xludf.DUMMYFUNCTION("""COMPUTED_VALUE"""),"G-REQ-05154")</f>
        <v>G-REQ-05154</v>
      </c>
      <c r="B5155" s="11">
        <f>IFERROR(__xludf.DUMMYFUNCTION("""COMPUTED_VALUE"""),46128.14939509056)</f>
        <v>46128.1494</v>
      </c>
      <c r="C5155" s="9">
        <f>IFERROR(__xludf.DUMMYFUNCTION("""COMPUTED_VALUE"""),19817.0)</f>
        <v>19817</v>
      </c>
      <c r="D5155" s="9" t="str">
        <f>IFERROR(__xludf.DUMMYFUNCTION("""COMPUTED_VALUE"""),"Completed")</f>
        <v>Completed</v>
      </c>
    </row>
    <row r="5156">
      <c r="A5156" s="9" t="str">
        <f>IFERROR(__xludf.DUMMYFUNCTION("""COMPUTED_VALUE"""),"G-REQ-05155")</f>
        <v>G-REQ-05155</v>
      </c>
      <c r="B5156" s="11">
        <f>IFERROR(__xludf.DUMMYFUNCTION("""COMPUTED_VALUE"""),46128.22056993597)</f>
        <v>46128.22057</v>
      </c>
      <c r="C5156" s="9">
        <f>IFERROR(__xludf.DUMMYFUNCTION("""COMPUTED_VALUE"""),19821.0)</f>
        <v>19821</v>
      </c>
      <c r="D5156" s="9" t="str">
        <f>IFERROR(__xludf.DUMMYFUNCTION("""COMPUTED_VALUE"""),"Completed")</f>
        <v>Completed</v>
      </c>
    </row>
    <row r="5157">
      <c r="A5157" s="9" t="str">
        <f>IFERROR(__xludf.DUMMYFUNCTION("""COMPUTED_VALUE"""),"G-REQ-05156")</f>
        <v>G-REQ-05156</v>
      </c>
      <c r="B5157" s="11">
        <f>IFERROR(__xludf.DUMMYFUNCTION("""COMPUTED_VALUE"""),46128.29174478138)</f>
        <v>46128.29174</v>
      </c>
      <c r="C5157" s="9">
        <f>IFERROR(__xludf.DUMMYFUNCTION("""COMPUTED_VALUE"""),19825.0)</f>
        <v>19825</v>
      </c>
      <c r="D5157" s="9" t="str">
        <f>IFERROR(__xludf.DUMMYFUNCTION("""COMPUTED_VALUE"""),"Completed")</f>
        <v>Completed</v>
      </c>
    </row>
    <row r="5158">
      <c r="A5158" s="9" t="str">
        <f>IFERROR(__xludf.DUMMYFUNCTION("""COMPUTED_VALUE"""),"G-REQ-05157")</f>
        <v>G-REQ-05157</v>
      </c>
      <c r="B5158" s="11">
        <f>IFERROR(__xludf.DUMMYFUNCTION("""COMPUTED_VALUE"""),46128.3629196268)</f>
        <v>46128.36292</v>
      </c>
      <c r="C5158" s="9">
        <f>IFERROR(__xludf.DUMMYFUNCTION("""COMPUTED_VALUE"""),19829.0)</f>
        <v>19829</v>
      </c>
      <c r="D5158" s="9" t="str">
        <f>IFERROR(__xludf.DUMMYFUNCTION("""COMPUTED_VALUE"""),"Completed")</f>
        <v>Completed</v>
      </c>
    </row>
    <row r="5159">
      <c r="A5159" s="9" t="str">
        <f>IFERROR(__xludf.DUMMYFUNCTION("""COMPUTED_VALUE"""),"G-REQ-05158")</f>
        <v>G-REQ-05158</v>
      </c>
      <c r="B5159" s="11">
        <f>IFERROR(__xludf.DUMMYFUNCTION("""COMPUTED_VALUE"""),46128.42715002777)</f>
        <v>46128.42715</v>
      </c>
      <c r="C5159" s="9">
        <f>IFERROR(__xludf.DUMMYFUNCTION("""COMPUTED_VALUE"""),19831.0)</f>
        <v>19831</v>
      </c>
      <c r="D5159" s="9" t="str">
        <f>IFERROR(__xludf.DUMMYFUNCTION("""COMPUTED_VALUE"""),"Rejected")</f>
        <v>Rejected</v>
      </c>
    </row>
    <row r="5160">
      <c r="A5160" s="9" t="str">
        <f>IFERROR(__xludf.DUMMYFUNCTION("""COMPUTED_VALUE"""),"G-REQ-05159")</f>
        <v>G-REQ-05159</v>
      </c>
      <c r="B5160" s="11">
        <f>IFERROR(__xludf.DUMMYFUNCTION("""COMPUTED_VALUE"""),46128.49832487318)</f>
        <v>46128.49832</v>
      </c>
      <c r="C5160" s="9">
        <f>IFERROR(__xludf.DUMMYFUNCTION("""COMPUTED_VALUE"""),19833.0)</f>
        <v>19833</v>
      </c>
      <c r="D5160" s="9" t="str">
        <f>IFERROR(__xludf.DUMMYFUNCTION("""COMPUTED_VALUE"""),"Cancelled")</f>
        <v>Cancelled</v>
      </c>
    </row>
    <row r="5161">
      <c r="A5161" s="9" t="str">
        <f>IFERROR(__xludf.DUMMYFUNCTION("""COMPUTED_VALUE"""),"G-REQ-05160")</f>
        <v>G-REQ-05160</v>
      </c>
      <c r="B5161" s="11">
        <f>IFERROR(__xludf.DUMMYFUNCTION("""COMPUTED_VALUE"""),46128.576444163045)</f>
        <v>46128.57644</v>
      </c>
      <c r="C5161" s="9">
        <f>IFERROR(__xludf.DUMMYFUNCTION("""COMPUTED_VALUE"""),19837.0)</f>
        <v>19837</v>
      </c>
      <c r="D5161" s="9" t="str">
        <f>IFERROR(__xludf.DUMMYFUNCTION("""COMPUTED_VALUE"""),"Completed")</f>
        <v>Completed</v>
      </c>
    </row>
    <row r="5162">
      <c r="A5162" s="9" t="str">
        <f>IFERROR(__xludf.DUMMYFUNCTION("""COMPUTED_VALUE"""),"G-REQ-05161")</f>
        <v>G-REQ-05161</v>
      </c>
      <c r="B5162" s="11">
        <f>IFERROR(__xludf.DUMMYFUNCTION("""COMPUTED_VALUE"""),46128.64761900846)</f>
        <v>46128.64762</v>
      </c>
      <c r="C5162" s="9">
        <f>IFERROR(__xludf.DUMMYFUNCTION("""COMPUTED_VALUE"""),19841.0)</f>
        <v>19841</v>
      </c>
      <c r="D5162" s="9" t="str">
        <f>IFERROR(__xludf.DUMMYFUNCTION("""COMPUTED_VALUE"""),"Completed")</f>
        <v>Completed</v>
      </c>
    </row>
    <row r="5163">
      <c r="A5163" s="9" t="str">
        <f>IFERROR(__xludf.DUMMYFUNCTION("""COMPUTED_VALUE"""),"G-REQ-05162")</f>
        <v>G-REQ-05162</v>
      </c>
      <c r="B5163" s="11">
        <f>IFERROR(__xludf.DUMMYFUNCTION("""COMPUTED_VALUE"""),46128.71879385387)</f>
        <v>46128.71879</v>
      </c>
      <c r="C5163" s="9">
        <f>IFERROR(__xludf.DUMMYFUNCTION("""COMPUTED_VALUE"""),19845.0)</f>
        <v>19845</v>
      </c>
      <c r="D5163" s="9" t="str">
        <f>IFERROR(__xludf.DUMMYFUNCTION("""COMPUTED_VALUE"""),"Completed")</f>
        <v>Completed</v>
      </c>
    </row>
    <row r="5164">
      <c r="A5164" s="9" t="str">
        <f>IFERROR(__xludf.DUMMYFUNCTION("""COMPUTED_VALUE"""),"G-REQ-05163")</f>
        <v>G-REQ-05163</v>
      </c>
      <c r="B5164" s="11">
        <f>IFERROR(__xludf.DUMMYFUNCTION("""COMPUTED_VALUE"""),46128.78996869929)</f>
        <v>46128.78997</v>
      </c>
      <c r="C5164" s="9">
        <f>IFERROR(__xludf.DUMMYFUNCTION("""COMPUTED_VALUE"""),19849.0)</f>
        <v>19849</v>
      </c>
      <c r="D5164" s="9" t="str">
        <f>IFERROR(__xludf.DUMMYFUNCTION("""COMPUTED_VALUE"""),"Completed")</f>
        <v>Completed</v>
      </c>
    </row>
    <row r="5165">
      <c r="A5165" s="9" t="str">
        <f>IFERROR(__xludf.DUMMYFUNCTION("""COMPUTED_VALUE"""),"G-REQ-05164")</f>
        <v>G-REQ-05164</v>
      </c>
      <c r="B5165" s="11">
        <f>IFERROR(__xludf.DUMMYFUNCTION("""COMPUTED_VALUE"""),46128.86114354471)</f>
        <v>46128.86114</v>
      </c>
      <c r="C5165" s="9">
        <f>IFERROR(__xludf.DUMMYFUNCTION("""COMPUTED_VALUE"""),19853.0)</f>
        <v>19853</v>
      </c>
      <c r="D5165" s="9" t="str">
        <f>IFERROR(__xludf.DUMMYFUNCTION("""COMPUTED_VALUE"""),"Completed")</f>
        <v>Completed</v>
      </c>
    </row>
    <row r="5166">
      <c r="A5166" s="9" t="str">
        <f>IFERROR(__xludf.DUMMYFUNCTION("""COMPUTED_VALUE"""),"G-REQ-05165")</f>
        <v>G-REQ-05165</v>
      </c>
      <c r="B5166" s="11">
        <f>IFERROR(__xludf.DUMMYFUNCTION("""COMPUTED_VALUE"""),46128.932318390114)</f>
        <v>46128.93232</v>
      </c>
      <c r="C5166" s="9">
        <f>IFERROR(__xludf.DUMMYFUNCTION("""COMPUTED_VALUE"""),19857.0)</f>
        <v>19857</v>
      </c>
      <c r="D5166" s="9" t="str">
        <f>IFERROR(__xludf.DUMMYFUNCTION("""COMPUTED_VALUE"""),"Completed")</f>
        <v>Completed</v>
      </c>
    </row>
    <row r="5167">
      <c r="A5167" s="9" t="str">
        <f>IFERROR(__xludf.DUMMYFUNCTION("""COMPUTED_VALUE"""),"G-REQ-05166")</f>
        <v>G-REQ-05166</v>
      </c>
      <c r="B5167" s="11">
        <f>IFERROR(__xludf.DUMMYFUNCTION("""COMPUTED_VALUE"""),46129.003493235534)</f>
        <v>46129.00349</v>
      </c>
      <c r="C5167" s="9">
        <f>IFERROR(__xludf.DUMMYFUNCTION("""COMPUTED_VALUE"""),19861.0)</f>
        <v>19861</v>
      </c>
      <c r="D5167" s="9" t="str">
        <f>IFERROR(__xludf.DUMMYFUNCTION("""COMPUTED_VALUE"""),"Completed")</f>
        <v>Completed</v>
      </c>
    </row>
    <row r="5168">
      <c r="A5168" s="9" t="str">
        <f>IFERROR(__xludf.DUMMYFUNCTION("""COMPUTED_VALUE"""),"G-REQ-05167")</f>
        <v>G-REQ-05167</v>
      </c>
      <c r="B5168" s="11">
        <f>IFERROR(__xludf.DUMMYFUNCTION("""COMPUTED_VALUE"""),46129.07466808095)</f>
        <v>46129.07467</v>
      </c>
      <c r="C5168" s="9">
        <f>IFERROR(__xludf.DUMMYFUNCTION("""COMPUTED_VALUE"""),19865.0)</f>
        <v>19865</v>
      </c>
      <c r="D5168" s="9" t="str">
        <f>IFERROR(__xludf.DUMMYFUNCTION("""COMPUTED_VALUE"""),"Completed")</f>
        <v>Completed</v>
      </c>
    </row>
    <row r="5169">
      <c r="A5169" s="9" t="str">
        <f>IFERROR(__xludf.DUMMYFUNCTION("""COMPUTED_VALUE"""),"G-REQ-05168")</f>
        <v>G-REQ-05168</v>
      </c>
      <c r="B5169" s="11">
        <f>IFERROR(__xludf.DUMMYFUNCTION("""COMPUTED_VALUE"""),46129.13889848192)</f>
        <v>46129.1389</v>
      </c>
      <c r="C5169" s="9">
        <f>IFERROR(__xludf.DUMMYFUNCTION("""COMPUTED_VALUE"""),19867.0)</f>
        <v>19867</v>
      </c>
      <c r="D5169" s="9" t="str">
        <f>IFERROR(__xludf.DUMMYFUNCTION("""COMPUTED_VALUE"""),"Rejected")</f>
        <v>Rejected</v>
      </c>
    </row>
    <row r="5170">
      <c r="A5170" s="9" t="str">
        <f>IFERROR(__xludf.DUMMYFUNCTION("""COMPUTED_VALUE"""),"G-REQ-05169")</f>
        <v>G-REQ-05169</v>
      </c>
      <c r="B5170" s="11">
        <f>IFERROR(__xludf.DUMMYFUNCTION("""COMPUTED_VALUE"""),46129.21701777178)</f>
        <v>46129.21702</v>
      </c>
      <c r="C5170" s="9">
        <f>IFERROR(__xludf.DUMMYFUNCTION("""COMPUTED_VALUE"""),19871.0)</f>
        <v>19871</v>
      </c>
      <c r="D5170" s="9" t="str">
        <f>IFERROR(__xludf.DUMMYFUNCTION("""COMPUTED_VALUE"""),"Completed")</f>
        <v>Completed</v>
      </c>
    </row>
    <row r="5171">
      <c r="A5171" s="9" t="str">
        <f>IFERROR(__xludf.DUMMYFUNCTION("""COMPUTED_VALUE"""),"G-REQ-05170")</f>
        <v>G-REQ-05170</v>
      </c>
      <c r="B5171" s="11">
        <f>IFERROR(__xludf.DUMMYFUNCTION("""COMPUTED_VALUE"""),46129.2881926172)</f>
        <v>46129.28819</v>
      </c>
      <c r="C5171" s="9">
        <f>IFERROR(__xludf.DUMMYFUNCTION("""COMPUTED_VALUE"""),19875.0)</f>
        <v>19875</v>
      </c>
      <c r="D5171" s="9" t="str">
        <f>IFERROR(__xludf.DUMMYFUNCTION("""COMPUTED_VALUE"""),"Completed")</f>
        <v>Completed</v>
      </c>
    </row>
    <row r="5172">
      <c r="A5172" s="9" t="str">
        <f>IFERROR(__xludf.DUMMYFUNCTION("""COMPUTED_VALUE"""),"G-REQ-05171")</f>
        <v>G-REQ-05171</v>
      </c>
      <c r="B5172" s="11">
        <f>IFERROR(__xludf.DUMMYFUNCTION("""COMPUTED_VALUE"""),46129.35936746261)</f>
        <v>46129.35937</v>
      </c>
      <c r="C5172" s="9">
        <f>IFERROR(__xludf.DUMMYFUNCTION("""COMPUTED_VALUE"""),19879.0)</f>
        <v>19879</v>
      </c>
      <c r="D5172" s="9" t="str">
        <f>IFERROR(__xludf.DUMMYFUNCTION("""COMPUTED_VALUE"""),"Completed")</f>
        <v>Completed</v>
      </c>
    </row>
    <row r="5173">
      <c r="A5173" s="9" t="str">
        <f>IFERROR(__xludf.DUMMYFUNCTION("""COMPUTED_VALUE"""),"G-REQ-05172")</f>
        <v>G-REQ-05172</v>
      </c>
      <c r="B5173" s="11">
        <f>IFERROR(__xludf.DUMMYFUNCTION("""COMPUTED_VALUE"""),46129.43054230802)</f>
        <v>46129.43054</v>
      </c>
      <c r="C5173" s="9">
        <f>IFERROR(__xludf.DUMMYFUNCTION("""COMPUTED_VALUE"""),19883.0)</f>
        <v>19883</v>
      </c>
      <c r="D5173" s="9" t="str">
        <f>IFERROR(__xludf.DUMMYFUNCTION("""COMPUTED_VALUE"""),"Completed")</f>
        <v>Completed</v>
      </c>
    </row>
    <row r="5174">
      <c r="A5174" s="9" t="str">
        <f>IFERROR(__xludf.DUMMYFUNCTION("""COMPUTED_VALUE"""),"G-REQ-05173")</f>
        <v>G-REQ-05173</v>
      </c>
      <c r="B5174" s="11">
        <f>IFERROR(__xludf.DUMMYFUNCTION("""COMPUTED_VALUE"""),46129.50171715344)</f>
        <v>46129.50172</v>
      </c>
      <c r="C5174" s="9">
        <f>IFERROR(__xludf.DUMMYFUNCTION("""COMPUTED_VALUE"""),19887.0)</f>
        <v>19887</v>
      </c>
      <c r="D5174" s="9" t="str">
        <f>IFERROR(__xludf.DUMMYFUNCTION("""COMPUTED_VALUE"""),"Completed")</f>
        <v>Completed</v>
      </c>
    </row>
    <row r="5175">
      <c r="A5175" s="9" t="str">
        <f>IFERROR(__xludf.DUMMYFUNCTION("""COMPUTED_VALUE"""),"G-REQ-05174")</f>
        <v>G-REQ-05174</v>
      </c>
      <c r="B5175" s="11">
        <f>IFERROR(__xludf.DUMMYFUNCTION("""COMPUTED_VALUE"""),46129.572891998854)</f>
        <v>46129.57289</v>
      </c>
      <c r="C5175" s="9">
        <f>IFERROR(__xludf.DUMMYFUNCTION("""COMPUTED_VALUE"""),19891.0)</f>
        <v>19891</v>
      </c>
      <c r="D5175" s="9" t="str">
        <f>IFERROR(__xludf.DUMMYFUNCTION("""COMPUTED_VALUE"""),"Completed")</f>
        <v>Completed</v>
      </c>
    </row>
    <row r="5176">
      <c r="A5176" s="9" t="str">
        <f>IFERROR(__xludf.DUMMYFUNCTION("""COMPUTED_VALUE"""),"G-REQ-05175")</f>
        <v>G-REQ-05175</v>
      </c>
      <c r="B5176" s="11">
        <f>IFERROR(__xludf.DUMMYFUNCTION("""COMPUTED_VALUE"""),46129.64406684427)</f>
        <v>46129.64407</v>
      </c>
      <c r="C5176" s="9">
        <f>IFERROR(__xludf.DUMMYFUNCTION("""COMPUTED_VALUE"""),19895.0)</f>
        <v>19895</v>
      </c>
      <c r="D5176" s="9" t="str">
        <f>IFERROR(__xludf.DUMMYFUNCTION("""COMPUTED_VALUE"""),"Completed")</f>
        <v>Completed</v>
      </c>
    </row>
    <row r="5177">
      <c r="A5177" s="9" t="str">
        <f>IFERROR(__xludf.DUMMYFUNCTION("""COMPUTED_VALUE"""),"G-REQ-05176")</f>
        <v>G-REQ-05176</v>
      </c>
      <c r="B5177" s="11">
        <f>IFERROR(__xludf.DUMMYFUNCTION("""COMPUTED_VALUE"""),46129.715241689686)</f>
        <v>46129.71524</v>
      </c>
      <c r="C5177" s="9">
        <f>IFERROR(__xludf.DUMMYFUNCTION("""COMPUTED_VALUE"""),19899.0)</f>
        <v>19899</v>
      </c>
      <c r="D5177" s="9" t="str">
        <f>IFERROR(__xludf.DUMMYFUNCTION("""COMPUTED_VALUE"""),"Completed")</f>
        <v>Completed</v>
      </c>
    </row>
    <row r="5178">
      <c r="A5178" s="9" t="str">
        <f>IFERROR(__xludf.DUMMYFUNCTION("""COMPUTED_VALUE"""),"G-REQ-05177")</f>
        <v>G-REQ-05177</v>
      </c>
      <c r="B5178" s="11">
        <f>IFERROR(__xludf.DUMMYFUNCTION("""COMPUTED_VALUE"""),46129.77947209065)</f>
        <v>46129.77947</v>
      </c>
      <c r="C5178" s="9">
        <f>IFERROR(__xludf.DUMMYFUNCTION("""COMPUTED_VALUE"""),19901.0)</f>
        <v>19901</v>
      </c>
      <c r="D5178" s="9" t="str">
        <f>IFERROR(__xludf.DUMMYFUNCTION("""COMPUTED_VALUE"""),"Rejected")</f>
        <v>Rejected</v>
      </c>
    </row>
    <row r="5179">
      <c r="A5179" s="9" t="str">
        <f>IFERROR(__xludf.DUMMYFUNCTION("""COMPUTED_VALUE"""),"G-REQ-05178")</f>
        <v>G-REQ-05178</v>
      </c>
      <c r="B5179" s="11">
        <f>IFERROR(__xludf.DUMMYFUNCTION("""COMPUTED_VALUE"""),46129.85759138051)</f>
        <v>46129.85759</v>
      </c>
      <c r="C5179" s="9">
        <f>IFERROR(__xludf.DUMMYFUNCTION("""COMPUTED_VALUE"""),19905.0)</f>
        <v>19905</v>
      </c>
      <c r="D5179" s="9" t="str">
        <f>IFERROR(__xludf.DUMMYFUNCTION("""COMPUTED_VALUE"""),"Completed")</f>
        <v>Completed</v>
      </c>
    </row>
    <row r="5180">
      <c r="A5180" s="9" t="str">
        <f>IFERROR(__xludf.DUMMYFUNCTION("""COMPUTED_VALUE"""),"G-REQ-05179")</f>
        <v>G-REQ-05179</v>
      </c>
      <c r="B5180" s="11">
        <f>IFERROR(__xludf.DUMMYFUNCTION("""COMPUTED_VALUE"""),46129.92876622593)</f>
        <v>46129.92877</v>
      </c>
      <c r="C5180" s="9">
        <f>IFERROR(__xludf.DUMMYFUNCTION("""COMPUTED_VALUE"""),19909.0)</f>
        <v>19909</v>
      </c>
      <c r="D5180" s="9" t="str">
        <f>IFERROR(__xludf.DUMMYFUNCTION("""COMPUTED_VALUE"""),"Completed")</f>
        <v>Completed</v>
      </c>
    </row>
    <row r="5181">
      <c r="A5181" s="9" t="str">
        <f>IFERROR(__xludf.DUMMYFUNCTION("""COMPUTED_VALUE"""),"G-REQ-05180")</f>
        <v>G-REQ-05180</v>
      </c>
      <c r="B5181" s="11">
        <f>IFERROR(__xludf.DUMMYFUNCTION("""COMPUTED_VALUE"""),46129.99994107135)</f>
        <v>46129.99994</v>
      </c>
      <c r="C5181" s="9">
        <f>IFERROR(__xludf.DUMMYFUNCTION("""COMPUTED_VALUE"""),19913.0)</f>
        <v>19913</v>
      </c>
      <c r="D5181" s="9" t="str">
        <f>IFERROR(__xludf.DUMMYFUNCTION("""COMPUTED_VALUE"""),"Completed")</f>
        <v>Completed</v>
      </c>
    </row>
    <row r="5182">
      <c r="A5182" s="9" t="str">
        <f>IFERROR(__xludf.DUMMYFUNCTION("""COMPUTED_VALUE"""),"G-REQ-05181")</f>
        <v>G-REQ-05181</v>
      </c>
      <c r="B5182" s="11">
        <f>IFERROR(__xludf.DUMMYFUNCTION("""COMPUTED_VALUE"""),46130.071115916755)</f>
        <v>46130.07112</v>
      </c>
      <c r="C5182" s="9">
        <f>IFERROR(__xludf.DUMMYFUNCTION("""COMPUTED_VALUE"""),19917.0)</f>
        <v>19917</v>
      </c>
      <c r="D5182" s="9" t="str">
        <f>IFERROR(__xludf.DUMMYFUNCTION("""COMPUTED_VALUE"""),"Completed")</f>
        <v>Completed</v>
      </c>
    </row>
    <row r="5183">
      <c r="A5183" s="9" t="str">
        <f>IFERROR(__xludf.DUMMYFUNCTION("""COMPUTED_VALUE"""),"G-REQ-05182")</f>
        <v>G-REQ-05182</v>
      </c>
      <c r="B5183" s="11">
        <f>IFERROR(__xludf.DUMMYFUNCTION("""COMPUTED_VALUE"""),46130.142290762175)</f>
        <v>46130.14229</v>
      </c>
      <c r="C5183" s="9">
        <f>IFERROR(__xludf.DUMMYFUNCTION("""COMPUTED_VALUE"""),19921.0)</f>
        <v>19921</v>
      </c>
      <c r="D5183" s="9" t="str">
        <f>IFERROR(__xludf.DUMMYFUNCTION("""COMPUTED_VALUE"""),"Completed")</f>
        <v>Completed</v>
      </c>
    </row>
    <row r="5184">
      <c r="A5184" s="9" t="str">
        <f>IFERROR(__xludf.DUMMYFUNCTION("""COMPUTED_VALUE"""),"G-REQ-05183")</f>
        <v>G-REQ-05183</v>
      </c>
      <c r="B5184" s="11">
        <f>IFERROR(__xludf.DUMMYFUNCTION("""COMPUTED_VALUE"""),46130.213465607594)</f>
        <v>46130.21347</v>
      </c>
      <c r="C5184" s="9">
        <f>IFERROR(__xludf.DUMMYFUNCTION("""COMPUTED_VALUE"""),19925.0)</f>
        <v>19925</v>
      </c>
      <c r="D5184" s="9" t="str">
        <f>IFERROR(__xludf.DUMMYFUNCTION("""COMPUTED_VALUE"""),"Completed")</f>
        <v>Completed</v>
      </c>
    </row>
    <row r="5185">
      <c r="A5185" s="9" t="str">
        <f>IFERROR(__xludf.DUMMYFUNCTION("""COMPUTED_VALUE"""),"G-REQ-05184")</f>
        <v>G-REQ-05184</v>
      </c>
      <c r="B5185" s="11">
        <f>IFERROR(__xludf.DUMMYFUNCTION("""COMPUTED_VALUE"""),46130.28464045301)</f>
        <v>46130.28464</v>
      </c>
      <c r="C5185" s="9">
        <f>IFERROR(__xludf.DUMMYFUNCTION("""COMPUTED_VALUE"""),19929.0)</f>
        <v>19929</v>
      </c>
      <c r="D5185" s="9" t="str">
        <f>IFERROR(__xludf.DUMMYFUNCTION("""COMPUTED_VALUE"""),"Completed")</f>
        <v>Completed</v>
      </c>
    </row>
    <row r="5186">
      <c r="A5186" s="9" t="str">
        <f>IFERROR(__xludf.DUMMYFUNCTION("""COMPUTED_VALUE"""),"G-REQ-05185")</f>
        <v>G-REQ-05185</v>
      </c>
      <c r="B5186" s="11">
        <f>IFERROR(__xludf.DUMMYFUNCTION("""COMPUTED_VALUE"""),46130.34887085397)</f>
        <v>46130.34887</v>
      </c>
      <c r="C5186" s="9">
        <f>IFERROR(__xludf.DUMMYFUNCTION("""COMPUTED_VALUE"""),19931.0)</f>
        <v>19931</v>
      </c>
      <c r="D5186" s="9" t="str">
        <f>IFERROR(__xludf.DUMMYFUNCTION("""COMPUTED_VALUE"""),"Cancelled")</f>
        <v>Cancelled</v>
      </c>
    </row>
    <row r="5187">
      <c r="A5187" s="9" t="str">
        <f>IFERROR(__xludf.DUMMYFUNCTION("""COMPUTED_VALUE"""),"G-REQ-05186")</f>
        <v>G-REQ-05186</v>
      </c>
      <c r="B5187" s="11">
        <f>IFERROR(__xludf.DUMMYFUNCTION("""COMPUTED_VALUE"""),46130.42699014384)</f>
        <v>46130.42699</v>
      </c>
      <c r="C5187" s="9">
        <f>IFERROR(__xludf.DUMMYFUNCTION("""COMPUTED_VALUE"""),19935.0)</f>
        <v>19935</v>
      </c>
      <c r="D5187" s="9" t="str">
        <f>IFERROR(__xludf.DUMMYFUNCTION("""COMPUTED_VALUE"""),"Completed")</f>
        <v>Completed</v>
      </c>
    </row>
    <row r="5188">
      <c r="A5188" s="9" t="str">
        <f>IFERROR(__xludf.DUMMYFUNCTION("""COMPUTED_VALUE"""),"G-REQ-05187")</f>
        <v>G-REQ-05187</v>
      </c>
      <c r="B5188" s="11">
        <f>IFERROR(__xludf.DUMMYFUNCTION("""COMPUTED_VALUE"""),46130.49816498925)</f>
        <v>46130.49816</v>
      </c>
      <c r="C5188" s="9">
        <f>IFERROR(__xludf.DUMMYFUNCTION("""COMPUTED_VALUE"""),19939.0)</f>
        <v>19939</v>
      </c>
      <c r="D5188" s="9" t="str">
        <f>IFERROR(__xludf.DUMMYFUNCTION("""COMPUTED_VALUE"""),"Completed")</f>
        <v>Completed</v>
      </c>
    </row>
    <row r="5189">
      <c r="A5189" s="9" t="str">
        <f>IFERROR(__xludf.DUMMYFUNCTION("""COMPUTED_VALUE"""),"G-REQ-05188")</f>
        <v>G-REQ-05188</v>
      </c>
      <c r="B5189" s="11">
        <f>IFERROR(__xludf.DUMMYFUNCTION("""COMPUTED_VALUE"""),46130.56933983466)</f>
        <v>46130.56934</v>
      </c>
      <c r="C5189" s="9">
        <f>IFERROR(__xludf.DUMMYFUNCTION("""COMPUTED_VALUE"""),19943.0)</f>
        <v>19943</v>
      </c>
      <c r="D5189" s="9" t="str">
        <f>IFERROR(__xludf.DUMMYFUNCTION("""COMPUTED_VALUE"""),"Completed")</f>
        <v>Completed</v>
      </c>
    </row>
    <row r="5190">
      <c r="A5190" s="9" t="str">
        <f>IFERROR(__xludf.DUMMYFUNCTION("""COMPUTED_VALUE"""),"G-REQ-05189")</f>
        <v>G-REQ-05189</v>
      </c>
      <c r="B5190" s="11">
        <f>IFERROR(__xludf.DUMMYFUNCTION("""COMPUTED_VALUE"""),46130.64051468008)</f>
        <v>46130.64051</v>
      </c>
      <c r="C5190" s="9">
        <f>IFERROR(__xludf.DUMMYFUNCTION("""COMPUTED_VALUE"""),19947.0)</f>
        <v>19947</v>
      </c>
      <c r="D5190" s="9" t="str">
        <f>IFERROR(__xludf.DUMMYFUNCTION("""COMPUTED_VALUE"""),"Completed")</f>
        <v>Completed</v>
      </c>
    </row>
    <row r="5191">
      <c r="A5191" s="9" t="str">
        <f>IFERROR(__xludf.DUMMYFUNCTION("""COMPUTED_VALUE"""),"G-REQ-05190")</f>
        <v>G-REQ-05190</v>
      </c>
      <c r="B5191" s="11">
        <f>IFERROR(__xludf.DUMMYFUNCTION("""COMPUTED_VALUE"""),46130.711689525495)</f>
        <v>46130.71169</v>
      </c>
      <c r="C5191" s="9">
        <f>IFERROR(__xludf.DUMMYFUNCTION("""COMPUTED_VALUE"""),19951.0)</f>
        <v>19951</v>
      </c>
      <c r="D5191" s="9" t="str">
        <f>IFERROR(__xludf.DUMMYFUNCTION("""COMPUTED_VALUE"""),"Completed")</f>
        <v>Completed</v>
      </c>
    </row>
    <row r="5192">
      <c r="A5192" s="9" t="str">
        <f>IFERROR(__xludf.DUMMYFUNCTION("""COMPUTED_VALUE"""),"G-REQ-05191")</f>
        <v>G-REQ-05191</v>
      </c>
      <c r="B5192" s="11">
        <f>IFERROR(__xludf.DUMMYFUNCTION("""COMPUTED_VALUE"""),46130.78286437091)</f>
        <v>46130.78286</v>
      </c>
      <c r="C5192" s="9">
        <f>IFERROR(__xludf.DUMMYFUNCTION("""COMPUTED_VALUE"""),19955.0)</f>
        <v>19955</v>
      </c>
      <c r="D5192" s="9" t="str">
        <f>IFERROR(__xludf.DUMMYFUNCTION("""COMPUTED_VALUE"""),"Completed")</f>
        <v>Completed</v>
      </c>
    </row>
    <row r="5193">
      <c r="A5193" s="9" t="str">
        <f>IFERROR(__xludf.DUMMYFUNCTION("""COMPUTED_VALUE"""),"G-REQ-05192")</f>
        <v>G-REQ-05192</v>
      </c>
      <c r="B5193" s="11">
        <f>IFERROR(__xludf.DUMMYFUNCTION("""COMPUTED_VALUE"""),46130.85403921633)</f>
        <v>46130.85404</v>
      </c>
      <c r="C5193" s="9">
        <f>IFERROR(__xludf.DUMMYFUNCTION("""COMPUTED_VALUE"""),19959.0)</f>
        <v>19959</v>
      </c>
      <c r="D5193" s="9" t="str">
        <f>IFERROR(__xludf.DUMMYFUNCTION("""COMPUTED_VALUE"""),"Completed")</f>
        <v>Completed</v>
      </c>
    </row>
    <row r="5194">
      <c r="A5194" s="9" t="str">
        <f>IFERROR(__xludf.DUMMYFUNCTION("""COMPUTED_VALUE"""),"G-REQ-05193")</f>
        <v>G-REQ-05193</v>
      </c>
      <c r="B5194" s="11">
        <f>IFERROR(__xludf.DUMMYFUNCTION("""COMPUTED_VALUE"""),46130.92521406174)</f>
        <v>46130.92521</v>
      </c>
      <c r="C5194" s="9">
        <f>IFERROR(__xludf.DUMMYFUNCTION("""COMPUTED_VALUE"""),19963.0)</f>
        <v>19963</v>
      </c>
      <c r="D5194" s="9" t="str">
        <f>IFERROR(__xludf.DUMMYFUNCTION("""COMPUTED_VALUE"""),"Completed")</f>
        <v>Completed</v>
      </c>
    </row>
    <row r="5195">
      <c r="A5195" s="9" t="str">
        <f>IFERROR(__xludf.DUMMYFUNCTION("""COMPUTED_VALUE"""),"G-REQ-05194")</f>
        <v>G-REQ-05194</v>
      </c>
      <c r="B5195" s="11">
        <f>IFERROR(__xludf.DUMMYFUNCTION("""COMPUTED_VALUE"""),46130.99638890716)</f>
        <v>46130.99639</v>
      </c>
      <c r="C5195" s="9">
        <f>IFERROR(__xludf.DUMMYFUNCTION("""COMPUTED_VALUE"""),19967.0)</f>
        <v>19967</v>
      </c>
      <c r="D5195" s="9" t="str">
        <f>IFERROR(__xludf.DUMMYFUNCTION("""COMPUTED_VALUE"""),"Completed")</f>
        <v>Completed</v>
      </c>
    </row>
    <row r="5196">
      <c r="A5196" s="9" t="str">
        <f>IFERROR(__xludf.DUMMYFUNCTION("""COMPUTED_VALUE"""),"G-REQ-05195")</f>
        <v>G-REQ-05195</v>
      </c>
      <c r="B5196" s="11">
        <f>IFERROR(__xludf.DUMMYFUNCTION("""COMPUTED_VALUE"""),46131.06756375257)</f>
        <v>46131.06756</v>
      </c>
      <c r="C5196" s="9">
        <f>IFERROR(__xludf.DUMMYFUNCTION("""COMPUTED_VALUE"""),19971.0)</f>
        <v>19971</v>
      </c>
      <c r="D5196" s="9" t="str">
        <f>IFERROR(__xludf.DUMMYFUNCTION("""COMPUTED_VALUE"""),"Completed")</f>
        <v>Completed</v>
      </c>
    </row>
    <row r="5197">
      <c r="A5197" s="9" t="str">
        <f>IFERROR(__xludf.DUMMYFUNCTION("""COMPUTED_VALUE"""),"G-REQ-05196")</f>
        <v>G-REQ-05196</v>
      </c>
      <c r="B5197" s="11">
        <f>IFERROR(__xludf.DUMMYFUNCTION("""COMPUTED_VALUE"""),46131.13873859799)</f>
        <v>46131.13874</v>
      </c>
      <c r="C5197" s="9">
        <f>IFERROR(__xludf.DUMMYFUNCTION("""COMPUTED_VALUE"""),19975.0)</f>
        <v>19975</v>
      </c>
      <c r="D5197" s="9" t="str">
        <f>IFERROR(__xludf.DUMMYFUNCTION("""COMPUTED_VALUE"""),"Completed")</f>
        <v>Completed</v>
      </c>
    </row>
    <row r="5198">
      <c r="A5198" s="9" t="str">
        <f>IFERROR(__xludf.DUMMYFUNCTION("""COMPUTED_VALUE"""),"G-REQ-05197")</f>
        <v>G-REQ-05197</v>
      </c>
      <c r="B5198" s="11">
        <f>IFERROR(__xludf.DUMMYFUNCTION("""COMPUTED_VALUE"""),46131.209913443396)</f>
        <v>46131.20991</v>
      </c>
      <c r="C5198" s="9">
        <f>IFERROR(__xludf.DUMMYFUNCTION("""COMPUTED_VALUE"""),19979.0)</f>
        <v>19979</v>
      </c>
      <c r="D5198" s="9" t="str">
        <f>IFERROR(__xludf.DUMMYFUNCTION("""COMPUTED_VALUE"""),"Completed")</f>
        <v>Completed</v>
      </c>
    </row>
    <row r="5199">
      <c r="A5199" s="9" t="str">
        <f>IFERROR(__xludf.DUMMYFUNCTION("""COMPUTED_VALUE"""),"G-REQ-05198")</f>
        <v>G-REQ-05198</v>
      </c>
      <c r="B5199" s="11">
        <f>IFERROR(__xludf.DUMMYFUNCTION("""COMPUTED_VALUE"""),46131.281088288815)</f>
        <v>46131.28109</v>
      </c>
      <c r="C5199" s="9">
        <f>IFERROR(__xludf.DUMMYFUNCTION("""COMPUTED_VALUE"""),19983.0)</f>
        <v>19983</v>
      </c>
      <c r="D5199" s="9" t="str">
        <f>IFERROR(__xludf.DUMMYFUNCTION("""COMPUTED_VALUE"""),"Completed")</f>
        <v>Completed</v>
      </c>
    </row>
    <row r="5200">
      <c r="A5200" s="9" t="str">
        <f>IFERROR(__xludf.DUMMYFUNCTION("""COMPUTED_VALUE"""),"G-REQ-05199")</f>
        <v>G-REQ-05199</v>
      </c>
      <c r="B5200" s="11">
        <f>IFERROR(__xludf.DUMMYFUNCTION("""COMPUTED_VALUE"""),46131.352263134235)</f>
        <v>46131.35226</v>
      </c>
      <c r="C5200" s="9">
        <f>IFERROR(__xludf.DUMMYFUNCTION("""COMPUTED_VALUE"""),19987.0)</f>
        <v>19987</v>
      </c>
      <c r="D5200" s="9" t="str">
        <f>IFERROR(__xludf.DUMMYFUNCTION("""COMPUTED_VALUE"""),"Completed")</f>
        <v>Completed</v>
      </c>
    </row>
    <row r="5201">
      <c r="A5201" s="9" t="str">
        <f>IFERROR(__xludf.DUMMYFUNCTION("""COMPUTED_VALUE"""),"G-REQ-05200")</f>
        <v>G-REQ-05200</v>
      </c>
      <c r="B5201" s="11">
        <f>IFERROR(__xludf.DUMMYFUNCTION("""COMPUTED_VALUE"""),46131.4164935352)</f>
        <v>46131.41649</v>
      </c>
      <c r="C5201" s="9">
        <f>IFERROR(__xludf.DUMMYFUNCTION("""COMPUTED_VALUE"""),19989.0)</f>
        <v>19989</v>
      </c>
      <c r="D5201" s="9" t="str">
        <f>IFERROR(__xludf.DUMMYFUNCTION("""COMPUTED_VALUE"""),"Cancelled")</f>
        <v>Cancelled</v>
      </c>
    </row>
    <row r="5202">
      <c r="A5202" s="9" t="str">
        <f>IFERROR(__xludf.DUMMYFUNCTION("""COMPUTED_VALUE"""),"G-REQ-05201")</f>
        <v>G-REQ-05201</v>
      </c>
      <c r="B5202" s="11">
        <f>IFERROR(__xludf.DUMMYFUNCTION("""COMPUTED_VALUE"""),46131.487668380614)</f>
        <v>46131.48767</v>
      </c>
      <c r="C5202" s="9">
        <f>IFERROR(__xludf.DUMMYFUNCTION("""COMPUTED_VALUE"""),19991.0)</f>
        <v>19991</v>
      </c>
      <c r="D5202" s="9" t="str">
        <f>IFERROR(__xludf.DUMMYFUNCTION("""COMPUTED_VALUE"""),"Cancelled")</f>
        <v>Cancelled</v>
      </c>
    </row>
    <row r="5203">
      <c r="A5203" s="9" t="str">
        <f>IFERROR(__xludf.DUMMYFUNCTION("""COMPUTED_VALUE"""),"G-REQ-05202")</f>
        <v>G-REQ-05202</v>
      </c>
      <c r="B5203" s="11">
        <f>IFERROR(__xludf.DUMMYFUNCTION("""COMPUTED_VALUE"""),46131.56578767048)</f>
        <v>46131.56579</v>
      </c>
      <c r="C5203" s="9">
        <f>IFERROR(__xludf.DUMMYFUNCTION("""COMPUTED_VALUE"""),19995.0)</f>
        <v>19995</v>
      </c>
      <c r="D5203" s="9" t="str">
        <f>IFERROR(__xludf.DUMMYFUNCTION("""COMPUTED_VALUE"""),"Completed")</f>
        <v>Completed</v>
      </c>
    </row>
    <row r="5204">
      <c r="A5204" s="9" t="str">
        <f>IFERROR(__xludf.DUMMYFUNCTION("""COMPUTED_VALUE"""),"G-REQ-05203")</f>
        <v>G-REQ-05203</v>
      </c>
      <c r="B5204" s="11">
        <f>IFERROR(__xludf.DUMMYFUNCTION("""COMPUTED_VALUE"""),46131.63696251589)</f>
        <v>46131.63696</v>
      </c>
      <c r="C5204" s="9">
        <f>IFERROR(__xludf.DUMMYFUNCTION("""COMPUTED_VALUE"""),19999.0)</f>
        <v>19999</v>
      </c>
      <c r="D5204" s="9" t="str">
        <f>IFERROR(__xludf.DUMMYFUNCTION("""COMPUTED_VALUE"""),"Completed")</f>
        <v>Completed</v>
      </c>
    </row>
    <row r="5205">
      <c r="A5205" s="9" t="str">
        <f>IFERROR(__xludf.DUMMYFUNCTION("""COMPUTED_VALUE"""),"G-REQ-05204")</f>
        <v>G-REQ-05204</v>
      </c>
      <c r="B5205" s="11">
        <f>IFERROR(__xludf.DUMMYFUNCTION("""COMPUTED_VALUE"""),46131.708137361304)</f>
        <v>46131.70814</v>
      </c>
      <c r="C5205" s="9">
        <f>IFERROR(__xludf.DUMMYFUNCTION("""COMPUTED_VALUE"""),20003.0)</f>
        <v>20003</v>
      </c>
      <c r="D5205" s="9" t="str">
        <f>IFERROR(__xludf.DUMMYFUNCTION("""COMPUTED_VALUE"""),"Completed")</f>
        <v>Completed</v>
      </c>
    </row>
    <row r="5206">
      <c r="A5206" s="9" t="str">
        <f>IFERROR(__xludf.DUMMYFUNCTION("""COMPUTED_VALUE"""),"G-REQ-05205")</f>
        <v>G-REQ-05205</v>
      </c>
      <c r="B5206" s="11">
        <f>IFERROR(__xludf.DUMMYFUNCTION("""COMPUTED_VALUE"""),46131.77931220672)</f>
        <v>46131.77931</v>
      </c>
      <c r="C5206" s="9">
        <f>IFERROR(__xludf.DUMMYFUNCTION("""COMPUTED_VALUE"""),20007.0)</f>
        <v>20007</v>
      </c>
      <c r="D5206" s="9" t="str">
        <f>IFERROR(__xludf.DUMMYFUNCTION("""COMPUTED_VALUE"""),"Completed")</f>
        <v>Completed</v>
      </c>
    </row>
    <row r="5207">
      <c r="A5207" s="9" t="str">
        <f>IFERROR(__xludf.DUMMYFUNCTION("""COMPUTED_VALUE"""),"G-REQ-05206")</f>
        <v>G-REQ-05206</v>
      </c>
      <c r="B5207" s="11">
        <f>IFERROR(__xludf.DUMMYFUNCTION("""COMPUTED_VALUE"""),46131.8435426077)</f>
        <v>46131.84354</v>
      </c>
      <c r="C5207" s="9">
        <f>IFERROR(__xludf.DUMMYFUNCTION("""COMPUTED_VALUE"""),20009.0)</f>
        <v>20009</v>
      </c>
      <c r="D5207" s="9" t="str">
        <f>IFERROR(__xludf.DUMMYFUNCTION("""COMPUTED_VALUE"""),"Rejected")</f>
        <v>Rejected</v>
      </c>
    </row>
    <row r="5208">
      <c r="A5208" s="9" t="str">
        <f>IFERROR(__xludf.DUMMYFUNCTION("""COMPUTED_VALUE"""),"G-REQ-05207")</f>
        <v>G-REQ-05207</v>
      </c>
      <c r="B5208" s="11">
        <f>IFERROR(__xludf.DUMMYFUNCTION("""COMPUTED_VALUE"""),46131.92166189755)</f>
        <v>46131.92166</v>
      </c>
      <c r="C5208" s="9">
        <f>IFERROR(__xludf.DUMMYFUNCTION("""COMPUTED_VALUE"""),20013.0)</f>
        <v>20013</v>
      </c>
      <c r="D5208" s="9" t="str">
        <f>IFERROR(__xludf.DUMMYFUNCTION("""COMPUTED_VALUE"""),"Completed")</f>
        <v>Completed</v>
      </c>
    </row>
    <row r="5209">
      <c r="A5209" s="9" t="str">
        <f>IFERROR(__xludf.DUMMYFUNCTION("""COMPUTED_VALUE"""),"G-REQ-05208")</f>
        <v>G-REQ-05208</v>
      </c>
      <c r="B5209" s="11">
        <f>IFERROR(__xludf.DUMMYFUNCTION("""COMPUTED_VALUE"""),46131.99283674297)</f>
        <v>46131.99284</v>
      </c>
      <c r="C5209" s="9">
        <f>IFERROR(__xludf.DUMMYFUNCTION("""COMPUTED_VALUE"""),20017.0)</f>
        <v>20017</v>
      </c>
      <c r="D5209" s="9" t="str">
        <f>IFERROR(__xludf.DUMMYFUNCTION("""COMPUTED_VALUE"""),"Completed")</f>
        <v>Completed</v>
      </c>
    </row>
    <row r="5210">
      <c r="A5210" s="9" t="str">
        <f>IFERROR(__xludf.DUMMYFUNCTION("""COMPUTED_VALUE"""),"G-REQ-05209")</f>
        <v>G-REQ-05209</v>
      </c>
      <c r="B5210" s="11">
        <f>IFERROR(__xludf.DUMMYFUNCTION("""COMPUTED_VALUE"""),46132.057067143935)</f>
        <v>46132.05707</v>
      </c>
      <c r="C5210" s="9">
        <f>IFERROR(__xludf.DUMMYFUNCTION("""COMPUTED_VALUE"""),20019.0)</f>
        <v>20019</v>
      </c>
      <c r="D5210" s="9" t="str">
        <f>IFERROR(__xludf.DUMMYFUNCTION("""COMPUTED_VALUE"""),"Rejected")</f>
        <v>Rejected</v>
      </c>
    </row>
    <row r="5211">
      <c r="A5211" s="9" t="str">
        <f>IFERROR(__xludf.DUMMYFUNCTION("""COMPUTED_VALUE"""),"G-REQ-05210")</f>
        <v>G-REQ-05210</v>
      </c>
      <c r="B5211" s="11">
        <f>IFERROR(__xludf.DUMMYFUNCTION("""COMPUTED_VALUE"""),46132.1351864338)</f>
        <v>46132.13519</v>
      </c>
      <c r="C5211" s="9">
        <f>IFERROR(__xludf.DUMMYFUNCTION("""COMPUTED_VALUE"""),20023.0)</f>
        <v>20023</v>
      </c>
      <c r="D5211" s="9" t="str">
        <f>IFERROR(__xludf.DUMMYFUNCTION("""COMPUTED_VALUE"""),"Completed")</f>
        <v>Completed</v>
      </c>
    </row>
    <row r="5212">
      <c r="A5212" s="9" t="str">
        <f>IFERROR(__xludf.DUMMYFUNCTION("""COMPUTED_VALUE"""),"G-REQ-05211")</f>
        <v>G-REQ-05211</v>
      </c>
      <c r="B5212" s="11">
        <f>IFERROR(__xludf.DUMMYFUNCTION("""COMPUTED_VALUE"""),46132.20636127921)</f>
        <v>46132.20636</v>
      </c>
      <c r="C5212" s="9">
        <f>IFERROR(__xludf.DUMMYFUNCTION("""COMPUTED_VALUE"""),20027.0)</f>
        <v>20027</v>
      </c>
      <c r="D5212" s="9" t="str">
        <f>IFERROR(__xludf.DUMMYFUNCTION("""COMPUTED_VALUE"""),"Completed")</f>
        <v>Completed</v>
      </c>
    </row>
    <row r="5213">
      <c r="A5213" s="9" t="str">
        <f>IFERROR(__xludf.DUMMYFUNCTION("""COMPUTED_VALUE"""),"G-REQ-05212")</f>
        <v>G-REQ-05212</v>
      </c>
      <c r="B5213" s="11">
        <f>IFERROR(__xludf.DUMMYFUNCTION("""COMPUTED_VALUE"""),46132.27753612463)</f>
        <v>46132.27754</v>
      </c>
      <c r="C5213" s="9">
        <f>IFERROR(__xludf.DUMMYFUNCTION("""COMPUTED_VALUE"""),20031.0)</f>
        <v>20031</v>
      </c>
      <c r="D5213" s="9" t="str">
        <f>IFERROR(__xludf.DUMMYFUNCTION("""COMPUTED_VALUE"""),"Completed")</f>
        <v>Completed</v>
      </c>
    </row>
    <row r="5214">
      <c r="A5214" s="9" t="str">
        <f>IFERROR(__xludf.DUMMYFUNCTION("""COMPUTED_VALUE"""),"G-REQ-05213")</f>
        <v>G-REQ-05213</v>
      </c>
      <c r="B5214" s="11">
        <f>IFERROR(__xludf.DUMMYFUNCTION("""COMPUTED_VALUE"""),46132.348710970036)</f>
        <v>46132.34871</v>
      </c>
      <c r="C5214" s="9">
        <f>IFERROR(__xludf.DUMMYFUNCTION("""COMPUTED_VALUE"""),20035.0)</f>
        <v>20035</v>
      </c>
      <c r="D5214" s="9" t="str">
        <f>IFERROR(__xludf.DUMMYFUNCTION("""COMPUTED_VALUE"""),"Completed")</f>
        <v>Completed</v>
      </c>
    </row>
    <row r="5215">
      <c r="A5215" s="9" t="str">
        <f>IFERROR(__xludf.DUMMYFUNCTION("""COMPUTED_VALUE"""),"G-REQ-05214")</f>
        <v>G-REQ-05214</v>
      </c>
      <c r="B5215" s="11">
        <f>IFERROR(__xludf.DUMMYFUNCTION("""COMPUTED_VALUE"""),46132.41294137101)</f>
        <v>46132.41294</v>
      </c>
      <c r="C5215" s="9">
        <f>IFERROR(__xludf.DUMMYFUNCTION("""COMPUTED_VALUE"""),20037.0)</f>
        <v>20037</v>
      </c>
      <c r="D5215" s="9" t="str">
        <f>IFERROR(__xludf.DUMMYFUNCTION("""COMPUTED_VALUE"""),"Rejected")</f>
        <v>Rejected</v>
      </c>
    </row>
    <row r="5216">
      <c r="A5216" s="9" t="str">
        <f>IFERROR(__xludf.DUMMYFUNCTION("""COMPUTED_VALUE"""),"G-REQ-05215")</f>
        <v>G-REQ-05215</v>
      </c>
      <c r="B5216" s="11">
        <f>IFERROR(__xludf.DUMMYFUNCTION("""COMPUTED_VALUE"""),46132.491060660876)</f>
        <v>46132.49106</v>
      </c>
      <c r="C5216" s="9">
        <f>IFERROR(__xludf.DUMMYFUNCTION("""COMPUTED_VALUE"""),20041.0)</f>
        <v>20041</v>
      </c>
      <c r="D5216" s="9" t="str">
        <f>IFERROR(__xludf.DUMMYFUNCTION("""COMPUTED_VALUE"""),"Completed")</f>
        <v>Completed</v>
      </c>
    </row>
    <row r="5217">
      <c r="A5217" s="9" t="str">
        <f>IFERROR(__xludf.DUMMYFUNCTION("""COMPUTED_VALUE"""),"G-REQ-05216")</f>
        <v>G-REQ-05216</v>
      </c>
      <c r="B5217" s="11">
        <f>IFERROR(__xludf.DUMMYFUNCTION("""COMPUTED_VALUE"""),46132.56223550629)</f>
        <v>46132.56224</v>
      </c>
      <c r="C5217" s="9">
        <f>IFERROR(__xludf.DUMMYFUNCTION("""COMPUTED_VALUE"""),20045.0)</f>
        <v>20045</v>
      </c>
      <c r="D5217" s="9" t="str">
        <f>IFERROR(__xludf.DUMMYFUNCTION("""COMPUTED_VALUE"""),"Completed")</f>
        <v>Completed</v>
      </c>
    </row>
    <row r="5218">
      <c r="A5218" s="9" t="str">
        <f>IFERROR(__xludf.DUMMYFUNCTION("""COMPUTED_VALUE"""),"G-REQ-05217")</f>
        <v>G-REQ-05217</v>
      </c>
      <c r="B5218" s="11">
        <f>IFERROR(__xludf.DUMMYFUNCTION("""COMPUTED_VALUE"""),46132.6334103517)</f>
        <v>46132.63341</v>
      </c>
      <c r="C5218" s="9">
        <f>IFERROR(__xludf.DUMMYFUNCTION("""COMPUTED_VALUE"""),20049.0)</f>
        <v>20049</v>
      </c>
      <c r="D5218" s="9" t="str">
        <f>IFERROR(__xludf.DUMMYFUNCTION("""COMPUTED_VALUE"""),"Completed")</f>
        <v>Completed</v>
      </c>
    </row>
    <row r="5219">
      <c r="A5219" s="9" t="str">
        <f>IFERROR(__xludf.DUMMYFUNCTION("""COMPUTED_VALUE"""),"G-REQ-05218")</f>
        <v>G-REQ-05218</v>
      </c>
      <c r="B5219" s="11">
        <f>IFERROR(__xludf.DUMMYFUNCTION("""COMPUTED_VALUE"""),46132.697640752674)</f>
        <v>46132.69764</v>
      </c>
      <c r="C5219" s="9">
        <f>IFERROR(__xludf.DUMMYFUNCTION("""COMPUTED_VALUE"""),20051.0)</f>
        <v>20051</v>
      </c>
      <c r="D5219" s="9" t="str">
        <f>IFERROR(__xludf.DUMMYFUNCTION("""COMPUTED_VALUE"""),"Rejected")</f>
        <v>Rejected</v>
      </c>
    </row>
    <row r="5220">
      <c r="A5220" s="9" t="str">
        <f>IFERROR(__xludf.DUMMYFUNCTION("""COMPUTED_VALUE"""),"G-REQ-05219")</f>
        <v>G-REQ-05219</v>
      </c>
      <c r="B5220" s="11">
        <f>IFERROR(__xludf.DUMMYFUNCTION("""COMPUTED_VALUE"""),46132.77576004253)</f>
        <v>46132.77576</v>
      </c>
      <c r="C5220" s="9">
        <f>IFERROR(__xludf.DUMMYFUNCTION("""COMPUTED_VALUE"""),20055.0)</f>
        <v>20055</v>
      </c>
      <c r="D5220" s="9" t="str">
        <f>IFERROR(__xludf.DUMMYFUNCTION("""COMPUTED_VALUE"""),"Completed")</f>
        <v>Completed</v>
      </c>
    </row>
    <row r="5221">
      <c r="A5221" s="9" t="str">
        <f>IFERROR(__xludf.DUMMYFUNCTION("""COMPUTED_VALUE"""),"G-REQ-05220")</f>
        <v>G-REQ-05220</v>
      </c>
      <c r="B5221" s="11">
        <f>IFERROR(__xludf.DUMMYFUNCTION("""COMPUTED_VALUE"""),46132.846934887944)</f>
        <v>46132.84693</v>
      </c>
      <c r="C5221" s="9">
        <f>IFERROR(__xludf.DUMMYFUNCTION("""COMPUTED_VALUE"""),20059.0)</f>
        <v>20059</v>
      </c>
      <c r="D5221" s="9" t="str">
        <f>IFERROR(__xludf.DUMMYFUNCTION("""COMPUTED_VALUE"""),"Completed")</f>
        <v>Completed</v>
      </c>
    </row>
    <row r="5222">
      <c r="A5222" s="9" t="str">
        <f>IFERROR(__xludf.DUMMYFUNCTION("""COMPUTED_VALUE"""),"G-REQ-05221")</f>
        <v>G-REQ-05221</v>
      </c>
      <c r="B5222" s="11">
        <f>IFERROR(__xludf.DUMMYFUNCTION("""COMPUTED_VALUE"""),46132.91116528892)</f>
        <v>46132.91117</v>
      </c>
      <c r="C5222" s="9">
        <f>IFERROR(__xludf.DUMMYFUNCTION("""COMPUTED_VALUE"""),20061.0)</f>
        <v>20061</v>
      </c>
      <c r="D5222" s="9" t="str">
        <f>IFERROR(__xludf.DUMMYFUNCTION("""COMPUTED_VALUE"""),"Rejected")</f>
        <v>Rejected</v>
      </c>
    </row>
    <row r="5223">
      <c r="A5223" s="9" t="str">
        <f>IFERROR(__xludf.DUMMYFUNCTION("""COMPUTED_VALUE"""),"G-REQ-05222")</f>
        <v>G-REQ-05222</v>
      </c>
      <c r="B5223" s="11">
        <f>IFERROR(__xludf.DUMMYFUNCTION("""COMPUTED_VALUE"""),46132.98928457878)</f>
        <v>46132.98928</v>
      </c>
      <c r="C5223" s="9">
        <f>IFERROR(__xludf.DUMMYFUNCTION("""COMPUTED_VALUE"""),20065.0)</f>
        <v>20065</v>
      </c>
      <c r="D5223" s="9" t="str">
        <f>IFERROR(__xludf.DUMMYFUNCTION("""COMPUTED_VALUE"""),"Completed")</f>
        <v>Completed</v>
      </c>
    </row>
    <row r="5224">
      <c r="A5224" s="9" t="str">
        <f>IFERROR(__xludf.DUMMYFUNCTION("""COMPUTED_VALUE"""),"G-REQ-05223")</f>
        <v>G-REQ-05223</v>
      </c>
      <c r="B5224" s="11">
        <f>IFERROR(__xludf.DUMMYFUNCTION("""COMPUTED_VALUE"""),46133.06045942419)</f>
        <v>46133.06046</v>
      </c>
      <c r="C5224" s="9">
        <f>IFERROR(__xludf.DUMMYFUNCTION("""COMPUTED_VALUE"""),20069.0)</f>
        <v>20069</v>
      </c>
      <c r="D5224" s="9" t="str">
        <f>IFERROR(__xludf.DUMMYFUNCTION("""COMPUTED_VALUE"""),"Completed")</f>
        <v>Completed</v>
      </c>
    </row>
    <row r="5225">
      <c r="A5225" s="9" t="str">
        <f>IFERROR(__xludf.DUMMYFUNCTION("""COMPUTED_VALUE"""),"G-REQ-05224")</f>
        <v>G-REQ-05224</v>
      </c>
      <c r="B5225" s="11">
        <f>IFERROR(__xludf.DUMMYFUNCTION("""COMPUTED_VALUE"""),46133.13163426961)</f>
        <v>46133.13163</v>
      </c>
      <c r="C5225" s="9">
        <f>IFERROR(__xludf.DUMMYFUNCTION("""COMPUTED_VALUE"""),20073.0)</f>
        <v>20073</v>
      </c>
      <c r="D5225" s="9" t="str">
        <f>IFERROR(__xludf.DUMMYFUNCTION("""COMPUTED_VALUE"""),"Completed")</f>
        <v>Completed</v>
      </c>
    </row>
    <row r="5226">
      <c r="A5226" s="9" t="str">
        <f>IFERROR(__xludf.DUMMYFUNCTION("""COMPUTED_VALUE"""),"G-REQ-05225")</f>
        <v>G-REQ-05225</v>
      </c>
      <c r="B5226" s="11">
        <f>IFERROR(__xludf.DUMMYFUNCTION("""COMPUTED_VALUE"""),46133.20280911503)</f>
        <v>46133.20281</v>
      </c>
      <c r="C5226" s="9">
        <f>IFERROR(__xludf.DUMMYFUNCTION("""COMPUTED_VALUE"""),20077.0)</f>
        <v>20077</v>
      </c>
      <c r="D5226" s="9" t="str">
        <f>IFERROR(__xludf.DUMMYFUNCTION("""COMPUTED_VALUE"""),"Completed")</f>
        <v>Completed</v>
      </c>
    </row>
    <row r="5227">
      <c r="A5227" s="9" t="str">
        <f>IFERROR(__xludf.DUMMYFUNCTION("""COMPUTED_VALUE"""),"G-REQ-05226")</f>
        <v>G-REQ-05226</v>
      </c>
      <c r="B5227" s="11">
        <f>IFERROR(__xludf.DUMMYFUNCTION("""COMPUTED_VALUE"""),46133.27398396044)</f>
        <v>46133.27398</v>
      </c>
      <c r="C5227" s="9">
        <f>IFERROR(__xludf.DUMMYFUNCTION("""COMPUTED_VALUE"""),20081.0)</f>
        <v>20081</v>
      </c>
      <c r="D5227" s="9" t="str">
        <f>IFERROR(__xludf.DUMMYFUNCTION("""COMPUTED_VALUE"""),"Completed")</f>
        <v>Completed</v>
      </c>
    </row>
    <row r="5228">
      <c r="A5228" s="9" t="str">
        <f>IFERROR(__xludf.DUMMYFUNCTION("""COMPUTED_VALUE"""),"G-REQ-05227")</f>
        <v>G-REQ-05227</v>
      </c>
      <c r="B5228" s="11">
        <f>IFERROR(__xludf.DUMMYFUNCTION("""COMPUTED_VALUE"""),46133.34515880585)</f>
        <v>46133.34516</v>
      </c>
      <c r="C5228" s="9">
        <f>IFERROR(__xludf.DUMMYFUNCTION("""COMPUTED_VALUE"""),20085.0)</f>
        <v>20085</v>
      </c>
      <c r="D5228" s="9" t="str">
        <f>IFERROR(__xludf.DUMMYFUNCTION("""COMPUTED_VALUE"""),"Completed")</f>
        <v>Completed</v>
      </c>
    </row>
    <row r="5229">
      <c r="A5229" s="9" t="str">
        <f>IFERROR(__xludf.DUMMYFUNCTION("""COMPUTED_VALUE"""),"G-REQ-05228")</f>
        <v>G-REQ-05228</v>
      </c>
      <c r="B5229" s="11">
        <f>IFERROR(__xludf.DUMMYFUNCTION("""COMPUTED_VALUE"""),46133.41633365127)</f>
        <v>46133.41633</v>
      </c>
      <c r="C5229" s="9">
        <f>IFERROR(__xludf.DUMMYFUNCTION("""COMPUTED_VALUE"""),20089.0)</f>
        <v>20089</v>
      </c>
      <c r="D5229" s="9" t="str">
        <f>IFERROR(__xludf.DUMMYFUNCTION("""COMPUTED_VALUE"""),"Completed")</f>
        <v>Completed</v>
      </c>
    </row>
    <row r="5230">
      <c r="A5230" s="9" t="str">
        <f>IFERROR(__xludf.DUMMYFUNCTION("""COMPUTED_VALUE"""),"G-REQ-05229")</f>
        <v>G-REQ-05229</v>
      </c>
      <c r="B5230" s="11">
        <f>IFERROR(__xludf.DUMMYFUNCTION("""COMPUTED_VALUE"""),46133.487508496684)</f>
        <v>46133.48751</v>
      </c>
      <c r="C5230" s="9">
        <f>IFERROR(__xludf.DUMMYFUNCTION("""COMPUTED_VALUE"""),20093.0)</f>
        <v>20093</v>
      </c>
      <c r="D5230" s="9" t="str">
        <f>IFERROR(__xludf.DUMMYFUNCTION("""COMPUTED_VALUE"""),"Completed")</f>
        <v>Completed</v>
      </c>
    </row>
    <row r="5231">
      <c r="A5231" s="9" t="str">
        <f>IFERROR(__xludf.DUMMYFUNCTION("""COMPUTED_VALUE"""),"G-REQ-05230")</f>
        <v>G-REQ-05230</v>
      </c>
      <c r="B5231" s="11">
        <f>IFERROR(__xludf.DUMMYFUNCTION("""COMPUTED_VALUE"""),46133.5586833421)</f>
        <v>46133.55868</v>
      </c>
      <c r="C5231" s="9">
        <f>IFERROR(__xludf.DUMMYFUNCTION("""COMPUTED_VALUE"""),20097.0)</f>
        <v>20097</v>
      </c>
      <c r="D5231" s="9" t="str">
        <f>IFERROR(__xludf.DUMMYFUNCTION("""COMPUTED_VALUE"""),"Completed")</f>
        <v>Completed</v>
      </c>
    </row>
    <row r="5232">
      <c r="A5232" s="9" t="str">
        <f>IFERROR(__xludf.DUMMYFUNCTION("""COMPUTED_VALUE"""),"G-REQ-05231")</f>
        <v>G-REQ-05231</v>
      </c>
      <c r="B5232" s="11">
        <f>IFERROR(__xludf.DUMMYFUNCTION("""COMPUTED_VALUE"""),46133.629858187516)</f>
        <v>46133.62986</v>
      </c>
      <c r="C5232" s="9">
        <f>IFERROR(__xludf.DUMMYFUNCTION("""COMPUTED_VALUE"""),20101.0)</f>
        <v>20101</v>
      </c>
      <c r="D5232" s="9" t="str">
        <f>IFERROR(__xludf.DUMMYFUNCTION("""COMPUTED_VALUE"""),"Completed")</f>
        <v>Completed</v>
      </c>
    </row>
    <row r="5233">
      <c r="A5233" s="9" t="str">
        <f>IFERROR(__xludf.DUMMYFUNCTION("""COMPUTED_VALUE"""),"G-REQ-05232")</f>
        <v>G-REQ-05232</v>
      </c>
      <c r="B5233" s="11">
        <f>IFERROR(__xludf.DUMMYFUNCTION("""COMPUTED_VALUE"""),46133.70103303293)</f>
        <v>46133.70103</v>
      </c>
      <c r="C5233" s="9">
        <f>IFERROR(__xludf.DUMMYFUNCTION("""COMPUTED_VALUE"""),20105.0)</f>
        <v>20105</v>
      </c>
      <c r="D5233" s="9" t="str">
        <f>IFERROR(__xludf.DUMMYFUNCTION("""COMPUTED_VALUE"""),"Completed")</f>
        <v>Completed</v>
      </c>
    </row>
    <row r="5234">
      <c r="A5234" s="9" t="str">
        <f>IFERROR(__xludf.DUMMYFUNCTION("""COMPUTED_VALUE"""),"G-REQ-05233")</f>
        <v>G-REQ-05233</v>
      </c>
      <c r="B5234" s="11">
        <f>IFERROR(__xludf.DUMMYFUNCTION("""COMPUTED_VALUE"""),46133.77220787834)</f>
        <v>46133.77221</v>
      </c>
      <c r="C5234" s="9">
        <f>IFERROR(__xludf.DUMMYFUNCTION("""COMPUTED_VALUE"""),20109.0)</f>
        <v>20109</v>
      </c>
      <c r="D5234" s="9" t="str">
        <f>IFERROR(__xludf.DUMMYFUNCTION("""COMPUTED_VALUE"""),"Completed")</f>
        <v>Completed</v>
      </c>
    </row>
    <row r="5235">
      <c r="A5235" s="9" t="str">
        <f>IFERROR(__xludf.DUMMYFUNCTION("""COMPUTED_VALUE"""),"G-REQ-05234")</f>
        <v>G-REQ-05234</v>
      </c>
      <c r="B5235" s="11">
        <f>IFERROR(__xludf.DUMMYFUNCTION("""COMPUTED_VALUE"""),46133.84338272376)</f>
        <v>46133.84338</v>
      </c>
      <c r="C5235" s="9">
        <f>IFERROR(__xludf.DUMMYFUNCTION("""COMPUTED_VALUE"""),20113.0)</f>
        <v>20113</v>
      </c>
      <c r="D5235" s="9" t="str">
        <f>IFERROR(__xludf.DUMMYFUNCTION("""COMPUTED_VALUE"""),"Completed")</f>
        <v>Completed</v>
      </c>
    </row>
    <row r="5236">
      <c r="A5236" s="9" t="str">
        <f>IFERROR(__xludf.DUMMYFUNCTION("""COMPUTED_VALUE"""),"G-REQ-05235")</f>
        <v>G-REQ-05235</v>
      </c>
      <c r="B5236" s="11">
        <f>IFERROR(__xludf.DUMMYFUNCTION("""COMPUTED_VALUE"""),46133.91455756917)</f>
        <v>46133.91456</v>
      </c>
      <c r="C5236" s="9">
        <f>IFERROR(__xludf.DUMMYFUNCTION("""COMPUTED_VALUE"""),20117.0)</f>
        <v>20117</v>
      </c>
      <c r="D5236" s="9" t="str">
        <f>IFERROR(__xludf.DUMMYFUNCTION("""COMPUTED_VALUE"""),"Completed")</f>
        <v>Completed</v>
      </c>
    </row>
    <row r="5237">
      <c r="A5237" s="9" t="str">
        <f>IFERROR(__xludf.DUMMYFUNCTION("""COMPUTED_VALUE"""),"G-REQ-05236")</f>
        <v>G-REQ-05236</v>
      </c>
      <c r="B5237" s="11">
        <f>IFERROR(__xludf.DUMMYFUNCTION("""COMPUTED_VALUE"""),46133.97878797015)</f>
        <v>46133.97879</v>
      </c>
      <c r="C5237" s="9">
        <f>IFERROR(__xludf.DUMMYFUNCTION("""COMPUTED_VALUE"""),20119.0)</f>
        <v>20119</v>
      </c>
      <c r="D5237" s="9" t="str">
        <f>IFERROR(__xludf.DUMMYFUNCTION("""COMPUTED_VALUE"""),"Cancelled")</f>
        <v>Cancelled</v>
      </c>
    </row>
    <row r="5238">
      <c r="A5238" s="9" t="str">
        <f>IFERROR(__xludf.DUMMYFUNCTION("""COMPUTED_VALUE"""),"G-REQ-05237")</f>
        <v>G-REQ-05237</v>
      </c>
      <c r="B5238" s="11">
        <f>IFERROR(__xludf.DUMMYFUNCTION("""COMPUTED_VALUE"""),46134.056907260005)</f>
        <v>46134.05691</v>
      </c>
      <c r="C5238" s="9">
        <f>IFERROR(__xludf.DUMMYFUNCTION("""COMPUTED_VALUE"""),20123.0)</f>
        <v>20123</v>
      </c>
      <c r="D5238" s="9" t="str">
        <f>IFERROR(__xludf.DUMMYFUNCTION("""COMPUTED_VALUE"""),"Completed")</f>
        <v>Completed</v>
      </c>
    </row>
    <row r="5239">
      <c r="A5239" s="9" t="str">
        <f>IFERROR(__xludf.DUMMYFUNCTION("""COMPUTED_VALUE"""),"G-REQ-05238")</f>
        <v>G-REQ-05238</v>
      </c>
      <c r="B5239" s="11">
        <f>IFERROR(__xludf.DUMMYFUNCTION("""COMPUTED_VALUE"""),46134.12113766098)</f>
        <v>46134.12114</v>
      </c>
      <c r="C5239" s="9">
        <f>IFERROR(__xludf.DUMMYFUNCTION("""COMPUTED_VALUE"""),20125.0)</f>
        <v>20125</v>
      </c>
      <c r="D5239" s="9" t="str">
        <f>IFERROR(__xludf.DUMMYFUNCTION("""COMPUTED_VALUE"""),"Rejected")</f>
        <v>Rejected</v>
      </c>
    </row>
    <row r="5240">
      <c r="A5240" s="9" t="str">
        <f>IFERROR(__xludf.DUMMYFUNCTION("""COMPUTED_VALUE"""),"G-REQ-05239")</f>
        <v>G-REQ-05239</v>
      </c>
      <c r="B5240" s="11">
        <f>IFERROR(__xludf.DUMMYFUNCTION("""COMPUTED_VALUE"""),46134.19925695083)</f>
        <v>46134.19926</v>
      </c>
      <c r="C5240" s="9">
        <f>IFERROR(__xludf.DUMMYFUNCTION("""COMPUTED_VALUE"""),20129.0)</f>
        <v>20129</v>
      </c>
      <c r="D5240" s="9" t="str">
        <f>IFERROR(__xludf.DUMMYFUNCTION("""COMPUTED_VALUE"""),"Completed")</f>
        <v>Completed</v>
      </c>
    </row>
    <row r="5241">
      <c r="A5241" s="9" t="str">
        <f>IFERROR(__xludf.DUMMYFUNCTION("""COMPUTED_VALUE"""),"G-REQ-05240")</f>
        <v>G-REQ-05240</v>
      </c>
      <c r="B5241" s="11">
        <f>IFERROR(__xludf.DUMMYFUNCTION("""COMPUTED_VALUE"""),46134.27043179625)</f>
        <v>46134.27043</v>
      </c>
      <c r="C5241" s="9">
        <f>IFERROR(__xludf.DUMMYFUNCTION("""COMPUTED_VALUE"""),20133.0)</f>
        <v>20133</v>
      </c>
      <c r="D5241" s="9" t="str">
        <f>IFERROR(__xludf.DUMMYFUNCTION("""COMPUTED_VALUE"""),"Completed")</f>
        <v>Completed</v>
      </c>
    </row>
    <row r="5242">
      <c r="A5242" s="9" t="str">
        <f>IFERROR(__xludf.DUMMYFUNCTION("""COMPUTED_VALUE"""),"G-REQ-05241")</f>
        <v>G-REQ-05241</v>
      </c>
      <c r="B5242" s="11">
        <f>IFERROR(__xludf.DUMMYFUNCTION("""COMPUTED_VALUE"""),46134.33466219722)</f>
        <v>46134.33466</v>
      </c>
      <c r="C5242" s="9">
        <f>IFERROR(__xludf.DUMMYFUNCTION("""COMPUTED_VALUE"""),20135.0)</f>
        <v>20135</v>
      </c>
      <c r="D5242" s="9" t="str">
        <f>IFERROR(__xludf.DUMMYFUNCTION("""COMPUTED_VALUE"""),"Rejected")</f>
        <v>Rejected</v>
      </c>
    </row>
    <row r="5243">
      <c r="A5243" s="9" t="str">
        <f>IFERROR(__xludf.DUMMYFUNCTION("""COMPUTED_VALUE"""),"G-REQ-05242")</f>
        <v>G-REQ-05242</v>
      </c>
      <c r="B5243" s="11">
        <f>IFERROR(__xludf.DUMMYFUNCTION("""COMPUTED_VALUE"""),46134.41278148708)</f>
        <v>46134.41278</v>
      </c>
      <c r="C5243" s="9">
        <f>IFERROR(__xludf.DUMMYFUNCTION("""COMPUTED_VALUE"""),20139.0)</f>
        <v>20139</v>
      </c>
      <c r="D5243" s="9" t="str">
        <f>IFERROR(__xludf.DUMMYFUNCTION("""COMPUTED_VALUE"""),"Completed")</f>
        <v>Completed</v>
      </c>
    </row>
    <row r="5244">
      <c r="A5244" s="9" t="str">
        <f>IFERROR(__xludf.DUMMYFUNCTION("""COMPUTED_VALUE"""),"G-REQ-05243")</f>
        <v>G-REQ-05243</v>
      </c>
      <c r="B5244" s="11">
        <f>IFERROR(__xludf.DUMMYFUNCTION("""COMPUTED_VALUE"""),46134.48395633249)</f>
        <v>46134.48396</v>
      </c>
      <c r="C5244" s="9">
        <f>IFERROR(__xludf.DUMMYFUNCTION("""COMPUTED_VALUE"""),20143.0)</f>
        <v>20143</v>
      </c>
      <c r="D5244" s="9" t="str">
        <f>IFERROR(__xludf.DUMMYFUNCTION("""COMPUTED_VALUE"""),"Completed")</f>
        <v>Completed</v>
      </c>
    </row>
    <row r="5245">
      <c r="A5245" s="9" t="str">
        <f>IFERROR(__xludf.DUMMYFUNCTION("""COMPUTED_VALUE"""),"G-REQ-05244")</f>
        <v>G-REQ-05244</v>
      </c>
      <c r="B5245" s="11">
        <f>IFERROR(__xludf.DUMMYFUNCTION("""COMPUTED_VALUE"""),46134.55513117791)</f>
        <v>46134.55513</v>
      </c>
      <c r="C5245" s="9">
        <f>IFERROR(__xludf.DUMMYFUNCTION("""COMPUTED_VALUE"""),20147.0)</f>
        <v>20147</v>
      </c>
      <c r="D5245" s="9" t="str">
        <f>IFERROR(__xludf.DUMMYFUNCTION("""COMPUTED_VALUE"""),"Completed")</f>
        <v>Completed</v>
      </c>
    </row>
    <row r="5246">
      <c r="A5246" s="9" t="str">
        <f>IFERROR(__xludf.DUMMYFUNCTION("""COMPUTED_VALUE"""),"G-REQ-05245")</f>
        <v>G-REQ-05245</v>
      </c>
      <c r="B5246" s="11">
        <f>IFERROR(__xludf.DUMMYFUNCTION("""COMPUTED_VALUE"""),46134.626306023325)</f>
        <v>46134.62631</v>
      </c>
      <c r="C5246" s="9">
        <f>IFERROR(__xludf.DUMMYFUNCTION("""COMPUTED_VALUE"""),20151.0)</f>
        <v>20151</v>
      </c>
      <c r="D5246" s="9" t="str">
        <f>IFERROR(__xludf.DUMMYFUNCTION("""COMPUTED_VALUE"""),"Completed")</f>
        <v>Completed</v>
      </c>
    </row>
    <row r="5247">
      <c r="A5247" s="9" t="str">
        <f>IFERROR(__xludf.DUMMYFUNCTION("""COMPUTED_VALUE"""),"G-REQ-05246")</f>
        <v>G-REQ-05246</v>
      </c>
      <c r="B5247" s="11">
        <f>IFERROR(__xludf.DUMMYFUNCTION("""COMPUTED_VALUE"""),46134.69053642429)</f>
        <v>46134.69054</v>
      </c>
      <c r="C5247" s="9">
        <f>IFERROR(__xludf.DUMMYFUNCTION("""COMPUTED_VALUE"""),20153.0)</f>
        <v>20153</v>
      </c>
      <c r="D5247" s="9" t="str">
        <f>IFERROR(__xludf.DUMMYFUNCTION("""COMPUTED_VALUE"""),"Rejected")</f>
        <v>Rejected</v>
      </c>
    </row>
    <row r="5248">
      <c r="A5248" s="9" t="str">
        <f>IFERROR(__xludf.DUMMYFUNCTION("""COMPUTED_VALUE"""),"G-REQ-05247")</f>
        <v>G-REQ-05247</v>
      </c>
      <c r="B5248" s="11">
        <f>IFERROR(__xludf.DUMMYFUNCTION("""COMPUTED_VALUE"""),46134.76865571416)</f>
        <v>46134.76866</v>
      </c>
      <c r="C5248" s="9">
        <f>IFERROR(__xludf.DUMMYFUNCTION("""COMPUTED_VALUE"""),20157.0)</f>
        <v>20157</v>
      </c>
      <c r="D5248" s="9" t="str">
        <f>IFERROR(__xludf.DUMMYFUNCTION("""COMPUTED_VALUE"""),"Completed")</f>
        <v>Completed</v>
      </c>
    </row>
    <row r="5249">
      <c r="A5249" s="9" t="str">
        <f>IFERROR(__xludf.DUMMYFUNCTION("""COMPUTED_VALUE"""),"G-REQ-05248")</f>
        <v>G-REQ-05248</v>
      </c>
      <c r="B5249" s="11">
        <f>IFERROR(__xludf.DUMMYFUNCTION("""COMPUTED_VALUE"""),46134.83983055958)</f>
        <v>46134.83983</v>
      </c>
      <c r="C5249" s="9">
        <f>IFERROR(__xludf.DUMMYFUNCTION("""COMPUTED_VALUE"""),20161.0)</f>
        <v>20161</v>
      </c>
      <c r="D5249" s="9" t="str">
        <f>IFERROR(__xludf.DUMMYFUNCTION("""COMPUTED_VALUE"""),"Completed")</f>
        <v>Completed</v>
      </c>
    </row>
    <row r="5250">
      <c r="A5250" s="9" t="str">
        <f>IFERROR(__xludf.DUMMYFUNCTION("""COMPUTED_VALUE"""),"G-REQ-05249")</f>
        <v>G-REQ-05249</v>
      </c>
      <c r="B5250" s="11">
        <f>IFERROR(__xludf.DUMMYFUNCTION("""COMPUTED_VALUE"""),46134.91100540498)</f>
        <v>46134.91101</v>
      </c>
      <c r="C5250" s="9">
        <f>IFERROR(__xludf.DUMMYFUNCTION("""COMPUTED_VALUE"""),20165.0)</f>
        <v>20165</v>
      </c>
      <c r="D5250" s="9" t="str">
        <f>IFERROR(__xludf.DUMMYFUNCTION("""COMPUTED_VALUE"""),"Completed")</f>
        <v>Completed</v>
      </c>
    </row>
    <row r="5251">
      <c r="A5251" s="9" t="str">
        <f>IFERROR(__xludf.DUMMYFUNCTION("""COMPUTED_VALUE"""),"G-REQ-05250")</f>
        <v>G-REQ-05250</v>
      </c>
      <c r="B5251" s="11">
        <f>IFERROR(__xludf.DUMMYFUNCTION("""COMPUTED_VALUE"""),46134.9821802504)</f>
        <v>46134.98218</v>
      </c>
      <c r="C5251" s="9">
        <f>IFERROR(__xludf.DUMMYFUNCTION("""COMPUTED_VALUE"""),20169.0)</f>
        <v>20169</v>
      </c>
      <c r="D5251" s="9" t="str">
        <f>IFERROR(__xludf.DUMMYFUNCTION("""COMPUTED_VALUE"""),"Completed")</f>
        <v>Completed</v>
      </c>
    </row>
    <row r="5252">
      <c r="A5252" s="9" t="str">
        <f>IFERROR(__xludf.DUMMYFUNCTION("""COMPUTED_VALUE"""),"G-REQ-05251")</f>
        <v>G-REQ-05251</v>
      </c>
      <c r="B5252" s="11">
        <f>IFERROR(__xludf.DUMMYFUNCTION("""COMPUTED_VALUE"""),46135.04641065137)</f>
        <v>46135.04641</v>
      </c>
      <c r="C5252" s="9">
        <f>IFERROR(__xludf.DUMMYFUNCTION("""COMPUTED_VALUE"""),20171.0)</f>
        <v>20171</v>
      </c>
      <c r="D5252" s="9" t="str">
        <f>IFERROR(__xludf.DUMMYFUNCTION("""COMPUTED_VALUE"""),"Rejected")</f>
        <v>Rejected</v>
      </c>
    </row>
    <row r="5253">
      <c r="A5253" s="9" t="str">
        <f>IFERROR(__xludf.DUMMYFUNCTION("""COMPUTED_VALUE"""),"G-REQ-05252")</f>
        <v>G-REQ-05252</v>
      </c>
      <c r="B5253" s="11">
        <f>IFERROR(__xludf.DUMMYFUNCTION("""COMPUTED_VALUE"""),46135.12452994123)</f>
        <v>46135.12453</v>
      </c>
      <c r="C5253" s="9">
        <f>IFERROR(__xludf.DUMMYFUNCTION("""COMPUTED_VALUE"""),20175.0)</f>
        <v>20175</v>
      </c>
      <c r="D5253" s="9" t="str">
        <f>IFERROR(__xludf.DUMMYFUNCTION("""COMPUTED_VALUE"""),"Completed")</f>
        <v>Completed</v>
      </c>
    </row>
    <row r="5254">
      <c r="A5254" s="9" t="str">
        <f>IFERROR(__xludf.DUMMYFUNCTION("""COMPUTED_VALUE"""),"G-REQ-05253")</f>
        <v>G-REQ-05253</v>
      </c>
      <c r="B5254" s="11">
        <f>IFERROR(__xludf.DUMMYFUNCTION("""COMPUTED_VALUE"""),46135.195704786645)</f>
        <v>46135.1957</v>
      </c>
      <c r="C5254" s="9">
        <f>IFERROR(__xludf.DUMMYFUNCTION("""COMPUTED_VALUE"""),20179.0)</f>
        <v>20179</v>
      </c>
      <c r="D5254" s="9" t="str">
        <f>IFERROR(__xludf.DUMMYFUNCTION("""COMPUTED_VALUE"""),"Completed")</f>
        <v>Completed</v>
      </c>
    </row>
    <row r="5255">
      <c r="A5255" s="9" t="str">
        <f>IFERROR(__xludf.DUMMYFUNCTION("""COMPUTED_VALUE"""),"G-REQ-05254")</f>
        <v>G-REQ-05254</v>
      </c>
      <c r="B5255" s="11">
        <f>IFERROR(__xludf.DUMMYFUNCTION("""COMPUTED_VALUE"""),46135.266879632065)</f>
        <v>46135.26688</v>
      </c>
      <c r="C5255" s="9">
        <f>IFERROR(__xludf.DUMMYFUNCTION("""COMPUTED_VALUE"""),20183.0)</f>
        <v>20183</v>
      </c>
      <c r="D5255" s="9" t="str">
        <f>IFERROR(__xludf.DUMMYFUNCTION("""COMPUTED_VALUE"""),"Completed")</f>
        <v>Completed</v>
      </c>
    </row>
    <row r="5256">
      <c r="A5256" s="9" t="str">
        <f>IFERROR(__xludf.DUMMYFUNCTION("""COMPUTED_VALUE"""),"G-REQ-05255")</f>
        <v>G-REQ-05255</v>
      </c>
      <c r="B5256" s="11">
        <f>IFERROR(__xludf.DUMMYFUNCTION("""COMPUTED_VALUE"""),46135.331110033025)</f>
        <v>46135.33111</v>
      </c>
      <c r="C5256" s="9">
        <f>IFERROR(__xludf.DUMMYFUNCTION("""COMPUTED_VALUE"""),20185.0)</f>
        <v>20185</v>
      </c>
      <c r="D5256" s="9" t="str">
        <f>IFERROR(__xludf.DUMMYFUNCTION("""COMPUTED_VALUE"""),"Rejected")</f>
        <v>Rejected</v>
      </c>
    </row>
    <row r="5257">
      <c r="A5257" s="9" t="str">
        <f>IFERROR(__xludf.DUMMYFUNCTION("""COMPUTED_VALUE"""),"G-REQ-05256")</f>
        <v>G-REQ-05256</v>
      </c>
      <c r="B5257" s="11">
        <f>IFERROR(__xludf.DUMMYFUNCTION("""COMPUTED_VALUE"""),46135.40922932289)</f>
        <v>46135.40923</v>
      </c>
      <c r="C5257" s="9">
        <f>IFERROR(__xludf.DUMMYFUNCTION("""COMPUTED_VALUE"""),20189.0)</f>
        <v>20189</v>
      </c>
      <c r="D5257" s="9" t="str">
        <f>IFERROR(__xludf.DUMMYFUNCTION("""COMPUTED_VALUE"""),"Completed")</f>
        <v>Completed</v>
      </c>
    </row>
    <row r="5258">
      <c r="A5258" s="9" t="str">
        <f>IFERROR(__xludf.DUMMYFUNCTION("""COMPUTED_VALUE"""),"G-REQ-05257")</f>
        <v>G-REQ-05257</v>
      </c>
      <c r="B5258" s="11">
        <f>IFERROR(__xludf.DUMMYFUNCTION("""COMPUTED_VALUE"""),46135.48040416831)</f>
        <v>46135.4804</v>
      </c>
      <c r="C5258" s="9">
        <f>IFERROR(__xludf.DUMMYFUNCTION("""COMPUTED_VALUE"""),20193.0)</f>
        <v>20193</v>
      </c>
      <c r="D5258" s="9" t="str">
        <f>IFERROR(__xludf.DUMMYFUNCTION("""COMPUTED_VALUE"""),"Completed")</f>
        <v>Completed</v>
      </c>
    </row>
    <row r="5259">
      <c r="A5259" s="9" t="str">
        <f>IFERROR(__xludf.DUMMYFUNCTION("""COMPUTED_VALUE"""),"G-REQ-05258")</f>
        <v>G-REQ-05258</v>
      </c>
      <c r="B5259" s="11">
        <f>IFERROR(__xludf.DUMMYFUNCTION("""COMPUTED_VALUE"""),46135.55157901372)</f>
        <v>46135.55158</v>
      </c>
      <c r="C5259" s="9">
        <f>IFERROR(__xludf.DUMMYFUNCTION("""COMPUTED_VALUE"""),20197.0)</f>
        <v>20197</v>
      </c>
      <c r="D5259" s="9" t="str">
        <f>IFERROR(__xludf.DUMMYFUNCTION("""COMPUTED_VALUE"""),"Completed")</f>
        <v>Completed</v>
      </c>
    </row>
    <row r="5260">
      <c r="A5260" s="9" t="str">
        <f>IFERROR(__xludf.DUMMYFUNCTION("""COMPUTED_VALUE"""),"G-REQ-05259")</f>
        <v>G-REQ-05259</v>
      </c>
      <c r="B5260" s="11">
        <f>IFERROR(__xludf.DUMMYFUNCTION("""COMPUTED_VALUE"""),46135.622753859134)</f>
        <v>46135.62275</v>
      </c>
      <c r="C5260" s="9">
        <f>IFERROR(__xludf.DUMMYFUNCTION("""COMPUTED_VALUE"""),20201.0)</f>
        <v>20201</v>
      </c>
      <c r="D5260" s="9" t="str">
        <f>IFERROR(__xludf.DUMMYFUNCTION("""COMPUTED_VALUE"""),"Completed")</f>
        <v>Completed</v>
      </c>
    </row>
    <row r="5261">
      <c r="A5261" s="9" t="str">
        <f>IFERROR(__xludf.DUMMYFUNCTION("""COMPUTED_VALUE"""),"G-REQ-05260")</f>
        <v>G-REQ-05260</v>
      </c>
      <c r="B5261" s="11">
        <f>IFERROR(__xludf.DUMMYFUNCTION("""COMPUTED_VALUE"""),46135.69392870455)</f>
        <v>46135.69393</v>
      </c>
      <c r="C5261" s="9">
        <f>IFERROR(__xludf.DUMMYFUNCTION("""COMPUTED_VALUE"""),20205.0)</f>
        <v>20205</v>
      </c>
      <c r="D5261" s="9" t="str">
        <f>IFERROR(__xludf.DUMMYFUNCTION("""COMPUTED_VALUE"""),"Completed")</f>
        <v>Completed</v>
      </c>
    </row>
    <row r="5262">
      <c r="A5262" s="9" t="str">
        <f>IFERROR(__xludf.DUMMYFUNCTION("""COMPUTED_VALUE"""),"G-REQ-05261")</f>
        <v>G-REQ-05261</v>
      </c>
      <c r="B5262" s="11">
        <f>IFERROR(__xludf.DUMMYFUNCTION("""COMPUTED_VALUE"""),46135.75815910552)</f>
        <v>46135.75816</v>
      </c>
      <c r="C5262" s="9">
        <f>IFERROR(__xludf.DUMMYFUNCTION("""COMPUTED_VALUE"""),20207.0)</f>
        <v>20207</v>
      </c>
      <c r="D5262" s="9" t="str">
        <f>IFERROR(__xludf.DUMMYFUNCTION("""COMPUTED_VALUE"""),"Cancelled")</f>
        <v>Cancelled</v>
      </c>
    </row>
    <row r="5263">
      <c r="A5263" s="9" t="str">
        <f>IFERROR(__xludf.DUMMYFUNCTION("""COMPUTED_VALUE"""),"G-REQ-05262")</f>
        <v>G-REQ-05262</v>
      </c>
      <c r="B5263" s="11">
        <f>IFERROR(__xludf.DUMMYFUNCTION("""COMPUTED_VALUE"""),46135.82933395093)</f>
        <v>46135.82933</v>
      </c>
      <c r="C5263" s="9">
        <f>IFERROR(__xludf.DUMMYFUNCTION("""COMPUTED_VALUE"""),20209.0)</f>
        <v>20209</v>
      </c>
      <c r="D5263" s="9" t="str">
        <f>IFERROR(__xludf.DUMMYFUNCTION("""COMPUTED_VALUE"""),"Cancelled")</f>
        <v>Cancelled</v>
      </c>
    </row>
    <row r="5264">
      <c r="A5264" s="9" t="str">
        <f>IFERROR(__xludf.DUMMYFUNCTION("""COMPUTED_VALUE"""),"G-REQ-05263")</f>
        <v>G-REQ-05263</v>
      </c>
      <c r="B5264" s="11">
        <f>IFERROR(__xludf.DUMMYFUNCTION("""COMPUTED_VALUE"""),46135.9074532408)</f>
        <v>46135.90745</v>
      </c>
      <c r="C5264" s="9">
        <f>IFERROR(__xludf.DUMMYFUNCTION("""COMPUTED_VALUE"""),20213.0)</f>
        <v>20213</v>
      </c>
      <c r="D5264" s="9" t="str">
        <f>IFERROR(__xludf.DUMMYFUNCTION("""COMPUTED_VALUE"""),"Completed")</f>
        <v>Completed</v>
      </c>
    </row>
    <row r="5265">
      <c r="A5265" s="9" t="str">
        <f>IFERROR(__xludf.DUMMYFUNCTION("""COMPUTED_VALUE"""),"G-REQ-05264")</f>
        <v>G-REQ-05264</v>
      </c>
      <c r="B5265" s="11">
        <f>IFERROR(__xludf.DUMMYFUNCTION("""COMPUTED_VALUE"""),46135.97862808622)</f>
        <v>46135.97863</v>
      </c>
      <c r="C5265" s="9">
        <f>IFERROR(__xludf.DUMMYFUNCTION("""COMPUTED_VALUE"""),20217.0)</f>
        <v>20217</v>
      </c>
      <c r="D5265" s="9" t="str">
        <f>IFERROR(__xludf.DUMMYFUNCTION("""COMPUTED_VALUE"""),"Completed")</f>
        <v>Completed</v>
      </c>
    </row>
    <row r="5266">
      <c r="A5266" s="9" t="str">
        <f>IFERROR(__xludf.DUMMYFUNCTION("""COMPUTED_VALUE"""),"G-REQ-05265")</f>
        <v>G-REQ-05265</v>
      </c>
      <c r="B5266" s="11">
        <f>IFERROR(__xludf.DUMMYFUNCTION("""COMPUTED_VALUE"""),46136.04980293162)</f>
        <v>46136.0498</v>
      </c>
      <c r="C5266" s="9">
        <f>IFERROR(__xludf.DUMMYFUNCTION("""COMPUTED_VALUE"""),20221.0)</f>
        <v>20221</v>
      </c>
      <c r="D5266" s="9" t="str">
        <f>IFERROR(__xludf.DUMMYFUNCTION("""COMPUTED_VALUE"""),"Completed")</f>
        <v>Completed</v>
      </c>
    </row>
    <row r="5267">
      <c r="A5267" s="9" t="str">
        <f>IFERROR(__xludf.DUMMYFUNCTION("""COMPUTED_VALUE"""),"G-REQ-05266")</f>
        <v>G-REQ-05266</v>
      </c>
      <c r="B5267" s="11">
        <f>IFERROR(__xludf.DUMMYFUNCTION("""COMPUTED_VALUE"""),46136.12097777704)</f>
        <v>46136.12098</v>
      </c>
      <c r="C5267" s="9">
        <f>IFERROR(__xludf.DUMMYFUNCTION("""COMPUTED_VALUE"""),20225.0)</f>
        <v>20225</v>
      </c>
      <c r="D5267" s="9" t="str">
        <f>IFERROR(__xludf.DUMMYFUNCTION("""COMPUTED_VALUE"""),"Completed")</f>
        <v>Completed</v>
      </c>
    </row>
    <row r="5268">
      <c r="A5268" s="9" t="str">
        <f>IFERROR(__xludf.DUMMYFUNCTION("""COMPUTED_VALUE"""),"G-REQ-05267")</f>
        <v>G-REQ-05267</v>
      </c>
      <c r="B5268" s="11">
        <f>IFERROR(__xludf.DUMMYFUNCTION("""COMPUTED_VALUE"""),46136.19215262246)</f>
        <v>46136.19215</v>
      </c>
      <c r="C5268" s="9">
        <f>IFERROR(__xludf.DUMMYFUNCTION("""COMPUTED_VALUE"""),20229.0)</f>
        <v>20229</v>
      </c>
      <c r="D5268" s="9" t="str">
        <f>IFERROR(__xludf.DUMMYFUNCTION("""COMPUTED_VALUE"""),"Completed")</f>
        <v>Completed</v>
      </c>
    </row>
    <row r="5269">
      <c r="A5269" s="9" t="str">
        <f>IFERROR(__xludf.DUMMYFUNCTION("""COMPUTED_VALUE"""),"G-REQ-05268")</f>
        <v>G-REQ-05268</v>
      </c>
      <c r="B5269" s="11">
        <f>IFERROR(__xludf.DUMMYFUNCTION("""COMPUTED_VALUE"""),46136.263327467874)</f>
        <v>46136.26333</v>
      </c>
      <c r="C5269" s="9">
        <f>IFERROR(__xludf.DUMMYFUNCTION("""COMPUTED_VALUE"""),20233.0)</f>
        <v>20233</v>
      </c>
      <c r="D5269" s="9" t="str">
        <f>IFERROR(__xludf.DUMMYFUNCTION("""COMPUTED_VALUE"""),"Completed")</f>
        <v>Completed</v>
      </c>
    </row>
    <row r="5270">
      <c r="A5270" s="9" t="str">
        <f>IFERROR(__xludf.DUMMYFUNCTION("""COMPUTED_VALUE"""),"G-REQ-05269")</f>
        <v>G-REQ-05269</v>
      </c>
      <c r="B5270" s="11">
        <f>IFERROR(__xludf.DUMMYFUNCTION("""COMPUTED_VALUE"""),46136.32755786884)</f>
        <v>46136.32756</v>
      </c>
      <c r="C5270" s="9">
        <f>IFERROR(__xludf.DUMMYFUNCTION("""COMPUTED_VALUE"""),20235.0)</f>
        <v>20235</v>
      </c>
      <c r="D5270" s="9" t="str">
        <f>IFERROR(__xludf.DUMMYFUNCTION("""COMPUTED_VALUE"""),"Rejected")</f>
        <v>Rejected</v>
      </c>
    </row>
    <row r="5271">
      <c r="A5271" s="9" t="str">
        <f>IFERROR(__xludf.DUMMYFUNCTION("""COMPUTED_VALUE"""),"G-REQ-05270")</f>
        <v>G-REQ-05270</v>
      </c>
      <c r="B5271" s="11">
        <f>IFERROR(__xludf.DUMMYFUNCTION("""COMPUTED_VALUE"""),46136.39873271426)</f>
        <v>46136.39873</v>
      </c>
      <c r="C5271" s="9">
        <f>IFERROR(__xludf.DUMMYFUNCTION("""COMPUTED_VALUE"""),20237.0)</f>
        <v>20237</v>
      </c>
      <c r="D5271" s="9" t="str">
        <f>IFERROR(__xludf.DUMMYFUNCTION("""COMPUTED_VALUE"""),"Cancelled")</f>
        <v>Cancelled</v>
      </c>
    </row>
    <row r="5272">
      <c r="A5272" s="9" t="str">
        <f>IFERROR(__xludf.DUMMYFUNCTION("""COMPUTED_VALUE"""),"G-REQ-05271")</f>
        <v>G-REQ-05271</v>
      </c>
      <c r="B5272" s="11">
        <f>IFERROR(__xludf.DUMMYFUNCTION("""COMPUTED_VALUE"""),46136.47685200412)</f>
        <v>46136.47685</v>
      </c>
      <c r="C5272" s="9">
        <f>IFERROR(__xludf.DUMMYFUNCTION("""COMPUTED_VALUE"""),20241.0)</f>
        <v>20241</v>
      </c>
      <c r="D5272" s="9" t="str">
        <f>IFERROR(__xludf.DUMMYFUNCTION("""COMPUTED_VALUE"""),"Completed")</f>
        <v>Completed</v>
      </c>
    </row>
    <row r="5273">
      <c r="A5273" s="9" t="str">
        <f>IFERROR(__xludf.DUMMYFUNCTION("""COMPUTED_VALUE"""),"G-REQ-05272")</f>
        <v>G-REQ-05272</v>
      </c>
      <c r="B5273" s="11">
        <f>IFERROR(__xludf.DUMMYFUNCTION("""COMPUTED_VALUE"""),46136.54802684953)</f>
        <v>46136.54803</v>
      </c>
      <c r="C5273" s="9">
        <f>IFERROR(__xludf.DUMMYFUNCTION("""COMPUTED_VALUE"""),20245.0)</f>
        <v>20245</v>
      </c>
      <c r="D5273" s="9" t="str">
        <f>IFERROR(__xludf.DUMMYFUNCTION("""COMPUTED_VALUE"""),"Completed")</f>
        <v>Completed</v>
      </c>
    </row>
    <row r="5274">
      <c r="A5274" s="9" t="str">
        <f>IFERROR(__xludf.DUMMYFUNCTION("""COMPUTED_VALUE"""),"G-REQ-05273")</f>
        <v>G-REQ-05273</v>
      </c>
      <c r="B5274" s="11">
        <f>IFERROR(__xludf.DUMMYFUNCTION("""COMPUTED_VALUE"""),46136.61920169495)</f>
        <v>46136.6192</v>
      </c>
      <c r="C5274" s="9">
        <f>IFERROR(__xludf.DUMMYFUNCTION("""COMPUTED_VALUE"""),20249.0)</f>
        <v>20249</v>
      </c>
      <c r="D5274" s="9" t="str">
        <f>IFERROR(__xludf.DUMMYFUNCTION("""COMPUTED_VALUE"""),"Completed")</f>
        <v>Completed</v>
      </c>
    </row>
    <row r="5275">
      <c r="A5275" s="9" t="str">
        <f>IFERROR(__xludf.DUMMYFUNCTION("""COMPUTED_VALUE"""),"G-REQ-05274")</f>
        <v>G-REQ-05274</v>
      </c>
      <c r="B5275" s="11">
        <f>IFERROR(__xludf.DUMMYFUNCTION("""COMPUTED_VALUE"""),46136.69037654036)</f>
        <v>46136.69038</v>
      </c>
      <c r="C5275" s="9">
        <f>IFERROR(__xludf.DUMMYFUNCTION("""COMPUTED_VALUE"""),20253.0)</f>
        <v>20253</v>
      </c>
      <c r="D5275" s="9" t="str">
        <f>IFERROR(__xludf.DUMMYFUNCTION("""COMPUTED_VALUE"""),"Completed")</f>
        <v>Completed</v>
      </c>
    </row>
    <row r="5276">
      <c r="A5276" s="9" t="str">
        <f>IFERROR(__xludf.DUMMYFUNCTION("""COMPUTED_VALUE"""),"G-REQ-05275")</f>
        <v>G-REQ-05275</v>
      </c>
      <c r="B5276" s="11">
        <f>IFERROR(__xludf.DUMMYFUNCTION("""COMPUTED_VALUE"""),46136.75460694133)</f>
        <v>46136.75461</v>
      </c>
      <c r="C5276" s="9">
        <f>IFERROR(__xludf.DUMMYFUNCTION("""COMPUTED_VALUE"""),20255.0)</f>
        <v>20255</v>
      </c>
      <c r="D5276" s="9" t="str">
        <f>IFERROR(__xludf.DUMMYFUNCTION("""COMPUTED_VALUE"""),"Cancelled")</f>
        <v>Cancelled</v>
      </c>
    </row>
    <row r="5277">
      <c r="A5277" s="9" t="str">
        <f>IFERROR(__xludf.DUMMYFUNCTION("""COMPUTED_VALUE"""),"G-REQ-05276")</f>
        <v>G-REQ-05276</v>
      </c>
      <c r="B5277" s="11">
        <f>IFERROR(__xludf.DUMMYFUNCTION("""COMPUTED_VALUE"""),46136.832726231194)</f>
        <v>46136.83273</v>
      </c>
      <c r="C5277" s="9">
        <f>IFERROR(__xludf.DUMMYFUNCTION("""COMPUTED_VALUE"""),20259.0)</f>
        <v>20259</v>
      </c>
      <c r="D5277" s="9" t="str">
        <f>IFERROR(__xludf.DUMMYFUNCTION("""COMPUTED_VALUE"""),"Completed")</f>
        <v>Completed</v>
      </c>
    </row>
    <row r="5278">
      <c r="A5278" s="9" t="str">
        <f>IFERROR(__xludf.DUMMYFUNCTION("""COMPUTED_VALUE"""),"G-REQ-05277")</f>
        <v>G-REQ-05277</v>
      </c>
      <c r="B5278" s="11">
        <f>IFERROR(__xludf.DUMMYFUNCTION("""COMPUTED_VALUE"""),46136.90390107661)</f>
        <v>46136.9039</v>
      </c>
      <c r="C5278" s="9">
        <f>IFERROR(__xludf.DUMMYFUNCTION("""COMPUTED_VALUE"""),20263.0)</f>
        <v>20263</v>
      </c>
      <c r="D5278" s="9" t="str">
        <f>IFERROR(__xludf.DUMMYFUNCTION("""COMPUTED_VALUE"""),"Completed")</f>
        <v>Completed</v>
      </c>
    </row>
    <row r="5279">
      <c r="A5279" s="9" t="str">
        <f>IFERROR(__xludf.DUMMYFUNCTION("""COMPUTED_VALUE"""),"G-REQ-05278")</f>
        <v>G-REQ-05278</v>
      </c>
      <c r="B5279" s="11">
        <f>IFERROR(__xludf.DUMMYFUNCTION("""COMPUTED_VALUE"""),46136.97507592202)</f>
        <v>46136.97508</v>
      </c>
      <c r="C5279" s="9">
        <f>IFERROR(__xludf.DUMMYFUNCTION("""COMPUTED_VALUE"""),20267.0)</f>
        <v>20267</v>
      </c>
      <c r="D5279" s="9" t="str">
        <f>IFERROR(__xludf.DUMMYFUNCTION("""COMPUTED_VALUE"""),"Completed")</f>
        <v>Completed</v>
      </c>
    </row>
    <row r="5280">
      <c r="A5280" s="9" t="str">
        <f>IFERROR(__xludf.DUMMYFUNCTION("""COMPUTED_VALUE"""),"G-REQ-05279")</f>
        <v>G-REQ-05279</v>
      </c>
      <c r="B5280" s="11">
        <f>IFERROR(__xludf.DUMMYFUNCTION("""COMPUTED_VALUE"""),46137.04625076744)</f>
        <v>46137.04625</v>
      </c>
      <c r="C5280" s="9">
        <f>IFERROR(__xludf.DUMMYFUNCTION("""COMPUTED_VALUE"""),20271.0)</f>
        <v>20271</v>
      </c>
      <c r="D5280" s="9" t="str">
        <f>IFERROR(__xludf.DUMMYFUNCTION("""COMPUTED_VALUE"""),"Completed")</f>
        <v>Completed</v>
      </c>
    </row>
    <row r="5281">
      <c r="A5281" s="9" t="str">
        <f>IFERROR(__xludf.DUMMYFUNCTION("""COMPUTED_VALUE"""),"G-REQ-05280")</f>
        <v>G-REQ-05280</v>
      </c>
      <c r="B5281" s="11">
        <f>IFERROR(__xludf.DUMMYFUNCTION("""COMPUTED_VALUE"""),46137.11742561286)</f>
        <v>46137.11743</v>
      </c>
      <c r="C5281" s="9">
        <f>IFERROR(__xludf.DUMMYFUNCTION("""COMPUTED_VALUE"""),20275.0)</f>
        <v>20275</v>
      </c>
      <c r="D5281" s="9" t="str">
        <f>IFERROR(__xludf.DUMMYFUNCTION("""COMPUTED_VALUE"""),"Completed")</f>
        <v>Completed</v>
      </c>
    </row>
    <row r="5282">
      <c r="A5282" s="9" t="str">
        <f>IFERROR(__xludf.DUMMYFUNCTION("""COMPUTED_VALUE"""),"G-REQ-05281")</f>
        <v>G-REQ-05281</v>
      </c>
      <c r="B5282" s="11">
        <f>IFERROR(__xludf.DUMMYFUNCTION("""COMPUTED_VALUE"""),46137.18860045826)</f>
        <v>46137.1886</v>
      </c>
      <c r="C5282" s="9">
        <f>IFERROR(__xludf.DUMMYFUNCTION("""COMPUTED_VALUE"""),20279.0)</f>
        <v>20279</v>
      </c>
      <c r="D5282" s="9" t="str">
        <f>IFERROR(__xludf.DUMMYFUNCTION("""COMPUTED_VALUE"""),"Completed")</f>
        <v>Completed</v>
      </c>
    </row>
    <row r="5283">
      <c r="A5283" s="9" t="str">
        <f>IFERROR(__xludf.DUMMYFUNCTION("""COMPUTED_VALUE"""),"G-REQ-05282")</f>
        <v>G-REQ-05282</v>
      </c>
      <c r="B5283" s="11">
        <f>IFERROR(__xludf.DUMMYFUNCTION("""COMPUTED_VALUE"""),46137.25977530368)</f>
        <v>46137.25978</v>
      </c>
      <c r="C5283" s="9">
        <f>IFERROR(__xludf.DUMMYFUNCTION("""COMPUTED_VALUE"""),20283.0)</f>
        <v>20283</v>
      </c>
      <c r="D5283" s="9" t="str">
        <f>IFERROR(__xludf.DUMMYFUNCTION("""COMPUTED_VALUE"""),"Completed")</f>
        <v>Completed</v>
      </c>
    </row>
    <row r="5284">
      <c r="A5284" s="9" t="str">
        <f>IFERROR(__xludf.DUMMYFUNCTION("""COMPUTED_VALUE"""),"G-REQ-05283")</f>
        <v>G-REQ-05283</v>
      </c>
      <c r="B5284" s="11">
        <f>IFERROR(__xludf.DUMMYFUNCTION("""COMPUTED_VALUE"""),46137.3309501491)</f>
        <v>46137.33095</v>
      </c>
      <c r="C5284" s="9">
        <f>IFERROR(__xludf.DUMMYFUNCTION("""COMPUTED_VALUE"""),20287.0)</f>
        <v>20287</v>
      </c>
      <c r="D5284" s="9" t="str">
        <f>IFERROR(__xludf.DUMMYFUNCTION("""COMPUTED_VALUE"""),"Completed")</f>
        <v>Completed</v>
      </c>
    </row>
    <row r="5285">
      <c r="A5285" s="9" t="str">
        <f>IFERROR(__xludf.DUMMYFUNCTION("""COMPUTED_VALUE"""),"G-REQ-05284")</f>
        <v>G-REQ-05284</v>
      </c>
      <c r="B5285" s="11">
        <f>IFERROR(__xludf.DUMMYFUNCTION("""COMPUTED_VALUE"""),46137.402124994514)</f>
        <v>46137.40212</v>
      </c>
      <c r="C5285" s="9">
        <f>IFERROR(__xludf.DUMMYFUNCTION("""COMPUTED_VALUE"""),20291.0)</f>
        <v>20291</v>
      </c>
      <c r="D5285" s="9" t="str">
        <f>IFERROR(__xludf.DUMMYFUNCTION("""COMPUTED_VALUE"""),"Completed")</f>
        <v>Completed</v>
      </c>
    </row>
    <row r="5286">
      <c r="A5286" s="9" t="str">
        <f>IFERROR(__xludf.DUMMYFUNCTION("""COMPUTED_VALUE"""),"G-REQ-05285")</f>
        <v>G-REQ-05285</v>
      </c>
      <c r="B5286" s="11">
        <f>IFERROR(__xludf.DUMMYFUNCTION("""COMPUTED_VALUE"""),46137.47329983993)</f>
        <v>46137.4733</v>
      </c>
      <c r="C5286" s="9">
        <f>IFERROR(__xludf.DUMMYFUNCTION("""COMPUTED_VALUE"""),20295.0)</f>
        <v>20295</v>
      </c>
      <c r="D5286" s="9" t="str">
        <f>IFERROR(__xludf.DUMMYFUNCTION("""COMPUTED_VALUE"""),"Completed")</f>
        <v>Completed</v>
      </c>
    </row>
    <row r="5287">
      <c r="A5287" s="9" t="str">
        <f>IFERROR(__xludf.DUMMYFUNCTION("""COMPUTED_VALUE"""),"G-REQ-05286")</f>
        <v>G-REQ-05286</v>
      </c>
      <c r="B5287" s="11">
        <f>IFERROR(__xludf.DUMMYFUNCTION("""COMPUTED_VALUE"""),46137.544474685346)</f>
        <v>46137.54447</v>
      </c>
      <c r="C5287" s="9">
        <f>IFERROR(__xludf.DUMMYFUNCTION("""COMPUTED_VALUE"""),20299.0)</f>
        <v>20299</v>
      </c>
      <c r="D5287" s="9" t="str">
        <f>IFERROR(__xludf.DUMMYFUNCTION("""COMPUTED_VALUE"""),"Completed")</f>
        <v>Completed</v>
      </c>
    </row>
    <row r="5288">
      <c r="A5288" s="9" t="str">
        <f>IFERROR(__xludf.DUMMYFUNCTION("""COMPUTED_VALUE"""),"G-REQ-05287")</f>
        <v>G-REQ-05287</v>
      </c>
      <c r="B5288" s="11">
        <f>IFERROR(__xludf.DUMMYFUNCTION("""COMPUTED_VALUE"""),46137.61564953076)</f>
        <v>46137.61565</v>
      </c>
      <c r="C5288" s="9">
        <f>IFERROR(__xludf.DUMMYFUNCTION("""COMPUTED_VALUE"""),20303.0)</f>
        <v>20303</v>
      </c>
      <c r="D5288" s="9" t="str">
        <f>IFERROR(__xludf.DUMMYFUNCTION("""COMPUTED_VALUE"""),"Completed")</f>
        <v>Completed</v>
      </c>
    </row>
    <row r="5289">
      <c r="A5289" s="9" t="str">
        <f>IFERROR(__xludf.DUMMYFUNCTION("""COMPUTED_VALUE"""),"G-REQ-05288")</f>
        <v>G-REQ-05288</v>
      </c>
      <c r="B5289" s="11">
        <f>IFERROR(__xludf.DUMMYFUNCTION("""COMPUTED_VALUE"""),46137.68682437617)</f>
        <v>46137.68682</v>
      </c>
      <c r="C5289" s="9">
        <f>IFERROR(__xludf.DUMMYFUNCTION("""COMPUTED_VALUE"""),20307.0)</f>
        <v>20307</v>
      </c>
      <c r="D5289" s="9" t="str">
        <f>IFERROR(__xludf.DUMMYFUNCTION("""COMPUTED_VALUE"""),"Completed")</f>
        <v>Completed</v>
      </c>
    </row>
    <row r="5290">
      <c r="A5290" s="9" t="str">
        <f>IFERROR(__xludf.DUMMYFUNCTION("""COMPUTED_VALUE"""),"G-REQ-05289")</f>
        <v>G-REQ-05289</v>
      </c>
      <c r="B5290" s="11">
        <f>IFERROR(__xludf.DUMMYFUNCTION("""COMPUTED_VALUE"""),46137.75799922159)</f>
        <v>46137.758</v>
      </c>
      <c r="C5290" s="9">
        <f>IFERROR(__xludf.DUMMYFUNCTION("""COMPUTED_VALUE"""),20311.0)</f>
        <v>20311</v>
      </c>
      <c r="D5290" s="9" t="str">
        <f>IFERROR(__xludf.DUMMYFUNCTION("""COMPUTED_VALUE"""),"Completed")</f>
        <v>Completed</v>
      </c>
    </row>
    <row r="5291">
      <c r="A5291" s="9" t="str">
        <f>IFERROR(__xludf.DUMMYFUNCTION("""COMPUTED_VALUE"""),"G-REQ-05290")</f>
        <v>G-REQ-05290</v>
      </c>
      <c r="B5291" s="11">
        <f>IFERROR(__xludf.DUMMYFUNCTION("""COMPUTED_VALUE"""),46137.822229622565)</f>
        <v>46137.82223</v>
      </c>
      <c r="C5291" s="9">
        <f>IFERROR(__xludf.DUMMYFUNCTION("""COMPUTED_VALUE"""),20313.0)</f>
        <v>20313</v>
      </c>
      <c r="D5291" s="9" t="str">
        <f>IFERROR(__xludf.DUMMYFUNCTION("""COMPUTED_VALUE"""),"Rejected")</f>
        <v>Rejected</v>
      </c>
    </row>
    <row r="5292">
      <c r="A5292" s="9" t="str">
        <f>IFERROR(__xludf.DUMMYFUNCTION("""COMPUTED_VALUE"""),"G-REQ-05291")</f>
        <v>G-REQ-05291</v>
      </c>
      <c r="B5292" s="11">
        <f>IFERROR(__xludf.DUMMYFUNCTION("""COMPUTED_VALUE"""),46137.900348912415)</f>
        <v>46137.90035</v>
      </c>
      <c r="C5292" s="9">
        <f>IFERROR(__xludf.DUMMYFUNCTION("""COMPUTED_VALUE"""),20317.0)</f>
        <v>20317</v>
      </c>
      <c r="D5292" s="9" t="str">
        <f>IFERROR(__xludf.DUMMYFUNCTION("""COMPUTED_VALUE"""),"Completed")</f>
        <v>Completed</v>
      </c>
    </row>
    <row r="5293">
      <c r="A5293" s="9" t="str">
        <f>IFERROR(__xludf.DUMMYFUNCTION("""COMPUTED_VALUE"""),"G-REQ-05292")</f>
        <v>G-REQ-05292</v>
      </c>
      <c r="B5293" s="11">
        <f>IFERROR(__xludf.DUMMYFUNCTION("""COMPUTED_VALUE"""),46137.971523757835)</f>
        <v>46137.97152</v>
      </c>
      <c r="C5293" s="9">
        <f>IFERROR(__xludf.DUMMYFUNCTION("""COMPUTED_VALUE"""),20321.0)</f>
        <v>20321</v>
      </c>
      <c r="D5293" s="9" t="str">
        <f>IFERROR(__xludf.DUMMYFUNCTION("""COMPUTED_VALUE"""),"Completed")</f>
        <v>Completed</v>
      </c>
    </row>
    <row r="5294">
      <c r="A5294" s="9" t="str">
        <f>IFERROR(__xludf.DUMMYFUNCTION("""COMPUTED_VALUE"""),"G-REQ-05293")</f>
        <v>G-REQ-05293</v>
      </c>
      <c r="B5294" s="11">
        <f>IFERROR(__xludf.DUMMYFUNCTION("""COMPUTED_VALUE"""),46138.04269860325)</f>
        <v>46138.0427</v>
      </c>
      <c r="C5294" s="9">
        <f>IFERROR(__xludf.DUMMYFUNCTION("""COMPUTED_VALUE"""),20325.0)</f>
        <v>20325</v>
      </c>
      <c r="D5294" s="9" t="str">
        <f>IFERROR(__xludf.DUMMYFUNCTION("""COMPUTED_VALUE"""),"Completed")</f>
        <v>Completed</v>
      </c>
    </row>
    <row r="5295">
      <c r="A5295" s="9" t="str">
        <f>IFERROR(__xludf.DUMMYFUNCTION("""COMPUTED_VALUE"""),"G-REQ-05294")</f>
        <v>G-REQ-05294</v>
      </c>
      <c r="B5295" s="11">
        <f>IFERROR(__xludf.DUMMYFUNCTION("""COMPUTED_VALUE"""),46138.11387344867)</f>
        <v>46138.11387</v>
      </c>
      <c r="C5295" s="9">
        <f>IFERROR(__xludf.DUMMYFUNCTION("""COMPUTED_VALUE"""),20329.0)</f>
        <v>20329</v>
      </c>
      <c r="D5295" s="9" t="str">
        <f>IFERROR(__xludf.DUMMYFUNCTION("""COMPUTED_VALUE"""),"Completed")</f>
        <v>Completed</v>
      </c>
    </row>
    <row r="5296">
      <c r="A5296" s="9" t="str">
        <f>IFERROR(__xludf.DUMMYFUNCTION("""COMPUTED_VALUE"""),"G-REQ-05295")</f>
        <v>G-REQ-05295</v>
      </c>
      <c r="B5296" s="11">
        <f>IFERROR(__xludf.DUMMYFUNCTION("""COMPUTED_VALUE"""),46138.18504829408)</f>
        <v>46138.18505</v>
      </c>
      <c r="C5296" s="9">
        <f>IFERROR(__xludf.DUMMYFUNCTION("""COMPUTED_VALUE"""),20333.0)</f>
        <v>20333</v>
      </c>
      <c r="D5296" s="9" t="str">
        <f>IFERROR(__xludf.DUMMYFUNCTION("""COMPUTED_VALUE"""),"Completed")</f>
        <v>Completed</v>
      </c>
    </row>
    <row r="5297">
      <c r="A5297" s="9" t="str">
        <f>IFERROR(__xludf.DUMMYFUNCTION("""COMPUTED_VALUE"""),"G-REQ-05296")</f>
        <v>G-REQ-05296</v>
      </c>
      <c r="B5297" s="11">
        <f>IFERROR(__xludf.DUMMYFUNCTION("""COMPUTED_VALUE"""),46138.2562231395)</f>
        <v>46138.25622</v>
      </c>
      <c r="C5297" s="9">
        <f>IFERROR(__xludf.DUMMYFUNCTION("""COMPUTED_VALUE"""),20337.0)</f>
        <v>20337</v>
      </c>
      <c r="D5297" s="9" t="str">
        <f>IFERROR(__xludf.DUMMYFUNCTION("""COMPUTED_VALUE"""),"Completed")</f>
        <v>Completed</v>
      </c>
    </row>
    <row r="5298">
      <c r="A5298" s="9" t="str">
        <f>IFERROR(__xludf.DUMMYFUNCTION("""COMPUTED_VALUE"""),"G-REQ-05297")</f>
        <v>G-REQ-05297</v>
      </c>
      <c r="B5298" s="11">
        <f>IFERROR(__xludf.DUMMYFUNCTION("""COMPUTED_VALUE"""),46138.327397984904)</f>
        <v>46138.3274</v>
      </c>
      <c r="C5298" s="9">
        <f>IFERROR(__xludf.DUMMYFUNCTION("""COMPUTED_VALUE"""),20341.0)</f>
        <v>20341</v>
      </c>
      <c r="D5298" s="9" t="str">
        <f>IFERROR(__xludf.DUMMYFUNCTION("""COMPUTED_VALUE"""),"Completed")</f>
        <v>Completed</v>
      </c>
    </row>
    <row r="5299">
      <c r="A5299" s="9" t="str">
        <f>IFERROR(__xludf.DUMMYFUNCTION("""COMPUTED_VALUE"""),"G-REQ-05298")</f>
        <v>G-REQ-05298</v>
      </c>
      <c r="B5299" s="11">
        <f>IFERROR(__xludf.DUMMYFUNCTION("""COMPUTED_VALUE"""),46138.39162838588)</f>
        <v>46138.39163</v>
      </c>
      <c r="C5299" s="9">
        <f>IFERROR(__xludf.DUMMYFUNCTION("""COMPUTED_VALUE"""),20343.0)</f>
        <v>20343</v>
      </c>
      <c r="D5299" s="9" t="str">
        <f>IFERROR(__xludf.DUMMYFUNCTION("""COMPUTED_VALUE"""),"Cancelled")</f>
        <v>Cancelled</v>
      </c>
    </row>
    <row r="5300">
      <c r="A5300" s="9" t="str">
        <f>IFERROR(__xludf.DUMMYFUNCTION("""COMPUTED_VALUE"""),"G-REQ-05299")</f>
        <v>G-REQ-05299</v>
      </c>
      <c r="B5300" s="11">
        <f>IFERROR(__xludf.DUMMYFUNCTION("""COMPUTED_VALUE"""),46138.46974767574)</f>
        <v>46138.46975</v>
      </c>
      <c r="C5300" s="9">
        <f>IFERROR(__xludf.DUMMYFUNCTION("""COMPUTED_VALUE"""),20347.0)</f>
        <v>20347</v>
      </c>
      <c r="D5300" s="9" t="str">
        <f>IFERROR(__xludf.DUMMYFUNCTION("""COMPUTED_VALUE"""),"Completed")</f>
        <v>Completed</v>
      </c>
    </row>
    <row r="5301">
      <c r="A5301" s="9" t="str">
        <f>IFERROR(__xludf.DUMMYFUNCTION("""COMPUTED_VALUE"""),"G-REQ-05300")</f>
        <v>G-REQ-05300</v>
      </c>
      <c r="B5301" s="11">
        <f>IFERROR(__xludf.DUMMYFUNCTION("""COMPUTED_VALUE"""),46138.540922521155)</f>
        <v>46138.54092</v>
      </c>
      <c r="C5301" s="9">
        <f>IFERROR(__xludf.DUMMYFUNCTION("""COMPUTED_VALUE"""),20351.0)</f>
        <v>20351</v>
      </c>
      <c r="D5301" s="9" t="str">
        <f>IFERROR(__xludf.DUMMYFUNCTION("""COMPUTED_VALUE"""),"Completed")</f>
        <v>Completed</v>
      </c>
    </row>
    <row r="5302">
      <c r="A5302" s="9" t="str">
        <f>IFERROR(__xludf.DUMMYFUNCTION("""COMPUTED_VALUE"""),"G-REQ-05301")</f>
        <v>G-REQ-05301</v>
      </c>
      <c r="B5302" s="11">
        <f>IFERROR(__xludf.DUMMYFUNCTION("""COMPUTED_VALUE"""),46138.61209736657)</f>
        <v>46138.6121</v>
      </c>
      <c r="C5302" s="9">
        <f>IFERROR(__xludf.DUMMYFUNCTION("""COMPUTED_VALUE"""),20355.0)</f>
        <v>20355</v>
      </c>
      <c r="D5302" s="9" t="str">
        <f>IFERROR(__xludf.DUMMYFUNCTION("""COMPUTED_VALUE"""),"Completed")</f>
        <v>Completed</v>
      </c>
    </row>
    <row r="5303">
      <c r="A5303" s="9" t="str">
        <f>IFERROR(__xludf.DUMMYFUNCTION("""COMPUTED_VALUE"""),"G-REQ-05302")</f>
        <v>G-REQ-05302</v>
      </c>
      <c r="B5303" s="11">
        <f>IFERROR(__xludf.DUMMYFUNCTION("""COMPUTED_VALUE"""),46138.67632776754)</f>
        <v>46138.67633</v>
      </c>
      <c r="C5303" s="9">
        <f>IFERROR(__xludf.DUMMYFUNCTION("""COMPUTED_VALUE"""),20357.0)</f>
        <v>20357</v>
      </c>
      <c r="D5303" s="9" t="str">
        <f>IFERROR(__xludf.DUMMYFUNCTION("""COMPUTED_VALUE"""),"Cancelled")</f>
        <v>Cancelled</v>
      </c>
    </row>
    <row r="5304">
      <c r="A5304" s="9" t="str">
        <f>IFERROR(__xludf.DUMMYFUNCTION("""COMPUTED_VALUE"""),"G-REQ-05303")</f>
        <v>G-REQ-05303</v>
      </c>
      <c r="B5304" s="11">
        <f>IFERROR(__xludf.DUMMYFUNCTION("""COMPUTED_VALUE"""),46138.747502612954)</f>
        <v>46138.7475</v>
      </c>
      <c r="C5304" s="9">
        <f>IFERROR(__xludf.DUMMYFUNCTION("""COMPUTED_VALUE"""),20359.0)</f>
        <v>20359</v>
      </c>
      <c r="D5304" s="9" t="str">
        <f>IFERROR(__xludf.DUMMYFUNCTION("""COMPUTED_VALUE"""),"Rejected")</f>
        <v>Rejected</v>
      </c>
    </row>
    <row r="5305">
      <c r="A5305" s="9" t="str">
        <f>IFERROR(__xludf.DUMMYFUNCTION("""COMPUTED_VALUE"""),"G-REQ-05304")</f>
        <v>G-REQ-05304</v>
      </c>
      <c r="B5305" s="11">
        <f>IFERROR(__xludf.DUMMYFUNCTION("""COMPUTED_VALUE"""),46138.81867745837)</f>
        <v>46138.81868</v>
      </c>
      <c r="C5305" s="9">
        <f>IFERROR(__xludf.DUMMYFUNCTION("""COMPUTED_VALUE"""),20361.0)</f>
        <v>20361</v>
      </c>
      <c r="D5305" s="9" t="str">
        <f>IFERROR(__xludf.DUMMYFUNCTION("""COMPUTED_VALUE"""),"Rejected")</f>
        <v>Rejected</v>
      </c>
    </row>
    <row r="5306">
      <c r="A5306" s="9" t="str">
        <f>IFERROR(__xludf.DUMMYFUNCTION("""COMPUTED_VALUE"""),"G-REQ-05305")</f>
        <v>G-REQ-05305</v>
      </c>
      <c r="B5306" s="11">
        <f>IFERROR(__xludf.DUMMYFUNCTION("""COMPUTED_VALUE"""),46138.89679674823)</f>
        <v>46138.8968</v>
      </c>
      <c r="C5306" s="9">
        <f>IFERROR(__xludf.DUMMYFUNCTION("""COMPUTED_VALUE"""),20365.0)</f>
        <v>20365</v>
      </c>
      <c r="D5306" s="9" t="str">
        <f>IFERROR(__xludf.DUMMYFUNCTION("""COMPUTED_VALUE"""),"Completed")</f>
        <v>Completed</v>
      </c>
    </row>
    <row r="5307">
      <c r="A5307" s="9" t="str">
        <f>IFERROR(__xludf.DUMMYFUNCTION("""COMPUTED_VALUE"""),"G-REQ-05306")</f>
        <v>G-REQ-05306</v>
      </c>
      <c r="B5307" s="11">
        <f>IFERROR(__xludf.DUMMYFUNCTION("""COMPUTED_VALUE"""),46138.96797159365)</f>
        <v>46138.96797</v>
      </c>
      <c r="C5307" s="9">
        <f>IFERROR(__xludf.DUMMYFUNCTION("""COMPUTED_VALUE"""),20369.0)</f>
        <v>20369</v>
      </c>
      <c r="D5307" s="9" t="str">
        <f>IFERROR(__xludf.DUMMYFUNCTION("""COMPUTED_VALUE"""),"Completed")</f>
        <v>Completed</v>
      </c>
    </row>
    <row r="5308">
      <c r="A5308" s="9" t="str">
        <f>IFERROR(__xludf.DUMMYFUNCTION("""COMPUTED_VALUE"""),"G-REQ-05307")</f>
        <v>G-REQ-05307</v>
      </c>
      <c r="B5308" s="11">
        <f>IFERROR(__xludf.DUMMYFUNCTION("""COMPUTED_VALUE"""),46139.039146439056)</f>
        <v>46139.03915</v>
      </c>
      <c r="C5308" s="9">
        <f>IFERROR(__xludf.DUMMYFUNCTION("""COMPUTED_VALUE"""),20373.0)</f>
        <v>20373</v>
      </c>
      <c r="D5308" s="9" t="str">
        <f>IFERROR(__xludf.DUMMYFUNCTION("""COMPUTED_VALUE"""),"Completed")</f>
        <v>Completed</v>
      </c>
    </row>
    <row r="5309">
      <c r="A5309" s="9" t="str">
        <f>IFERROR(__xludf.DUMMYFUNCTION("""COMPUTED_VALUE"""),"G-REQ-05308")</f>
        <v>G-REQ-05308</v>
      </c>
      <c r="B5309" s="11">
        <f>IFERROR(__xludf.DUMMYFUNCTION("""COMPUTED_VALUE"""),46139.110321284476)</f>
        <v>46139.11032</v>
      </c>
      <c r="C5309" s="9">
        <f>IFERROR(__xludf.DUMMYFUNCTION("""COMPUTED_VALUE"""),20377.0)</f>
        <v>20377</v>
      </c>
      <c r="D5309" s="9" t="str">
        <f>IFERROR(__xludf.DUMMYFUNCTION("""COMPUTED_VALUE"""),"Completed")</f>
        <v>Completed</v>
      </c>
    </row>
    <row r="5310">
      <c r="A5310" s="9" t="str">
        <f>IFERROR(__xludf.DUMMYFUNCTION("""COMPUTED_VALUE"""),"G-REQ-05309")</f>
        <v>G-REQ-05309</v>
      </c>
      <c r="B5310" s="11">
        <f>IFERROR(__xludf.DUMMYFUNCTION("""COMPUTED_VALUE"""),46139.181496129895)</f>
        <v>46139.1815</v>
      </c>
      <c r="C5310" s="9">
        <f>IFERROR(__xludf.DUMMYFUNCTION("""COMPUTED_VALUE"""),20381.0)</f>
        <v>20381</v>
      </c>
      <c r="D5310" s="9" t="str">
        <f>IFERROR(__xludf.DUMMYFUNCTION("""COMPUTED_VALUE"""),"Completed")</f>
        <v>Completed</v>
      </c>
    </row>
    <row r="5311">
      <c r="A5311" s="9" t="str">
        <f>IFERROR(__xludf.DUMMYFUNCTION("""COMPUTED_VALUE"""),"G-REQ-05310")</f>
        <v>G-REQ-05310</v>
      </c>
      <c r="B5311" s="11">
        <f>IFERROR(__xludf.DUMMYFUNCTION("""COMPUTED_VALUE"""),46139.24572653086)</f>
        <v>46139.24573</v>
      </c>
      <c r="C5311" s="9">
        <f>IFERROR(__xludf.DUMMYFUNCTION("""COMPUTED_VALUE"""),20383.0)</f>
        <v>20383</v>
      </c>
      <c r="D5311" s="9" t="str">
        <f>IFERROR(__xludf.DUMMYFUNCTION("""COMPUTED_VALUE"""),"Rejected")</f>
        <v>Rejected</v>
      </c>
    </row>
    <row r="5312">
      <c r="A5312" s="9" t="str">
        <f>IFERROR(__xludf.DUMMYFUNCTION("""COMPUTED_VALUE"""),"G-REQ-05311")</f>
        <v>G-REQ-05311</v>
      </c>
      <c r="B5312" s="11">
        <f>IFERROR(__xludf.DUMMYFUNCTION("""COMPUTED_VALUE"""),46139.32384582072)</f>
        <v>46139.32385</v>
      </c>
      <c r="C5312" s="9">
        <f>IFERROR(__xludf.DUMMYFUNCTION("""COMPUTED_VALUE"""),20387.0)</f>
        <v>20387</v>
      </c>
      <c r="D5312" s="9" t="str">
        <f>IFERROR(__xludf.DUMMYFUNCTION("""COMPUTED_VALUE"""),"Completed")</f>
        <v>Completed</v>
      </c>
    </row>
    <row r="5313">
      <c r="A5313" s="9" t="str">
        <f>IFERROR(__xludf.DUMMYFUNCTION("""COMPUTED_VALUE"""),"G-REQ-05312")</f>
        <v>G-REQ-05312</v>
      </c>
      <c r="B5313" s="11">
        <f>IFERROR(__xludf.DUMMYFUNCTION("""COMPUTED_VALUE"""),46139.39502066614)</f>
        <v>46139.39502</v>
      </c>
      <c r="C5313" s="9">
        <f>IFERROR(__xludf.DUMMYFUNCTION("""COMPUTED_VALUE"""),20391.0)</f>
        <v>20391</v>
      </c>
      <c r="D5313" s="9" t="str">
        <f>IFERROR(__xludf.DUMMYFUNCTION("""COMPUTED_VALUE"""),"Completed")</f>
        <v>Completed</v>
      </c>
    </row>
    <row r="5314">
      <c r="A5314" s="9" t="str">
        <f>IFERROR(__xludf.DUMMYFUNCTION("""COMPUTED_VALUE"""),"G-REQ-05313")</f>
        <v>G-REQ-05313</v>
      </c>
      <c r="B5314" s="11">
        <f>IFERROR(__xludf.DUMMYFUNCTION("""COMPUTED_VALUE"""),46139.46619551155)</f>
        <v>46139.4662</v>
      </c>
      <c r="C5314" s="9">
        <f>IFERROR(__xludf.DUMMYFUNCTION("""COMPUTED_VALUE"""),20395.0)</f>
        <v>20395</v>
      </c>
      <c r="D5314" s="9" t="str">
        <f>IFERROR(__xludf.DUMMYFUNCTION("""COMPUTED_VALUE"""),"Completed")</f>
        <v>Completed</v>
      </c>
    </row>
    <row r="5315">
      <c r="A5315" s="9" t="str">
        <f>IFERROR(__xludf.DUMMYFUNCTION("""COMPUTED_VALUE"""),"G-REQ-05314")</f>
        <v>G-REQ-05314</v>
      </c>
      <c r="B5315" s="11">
        <f>IFERROR(__xludf.DUMMYFUNCTION("""COMPUTED_VALUE"""),46139.537370356964)</f>
        <v>46139.53737</v>
      </c>
      <c r="C5315" s="9">
        <f>IFERROR(__xludf.DUMMYFUNCTION("""COMPUTED_VALUE"""),20399.0)</f>
        <v>20399</v>
      </c>
      <c r="D5315" s="9" t="str">
        <f>IFERROR(__xludf.DUMMYFUNCTION("""COMPUTED_VALUE"""),"Completed")</f>
        <v>Completed</v>
      </c>
    </row>
    <row r="5316">
      <c r="A5316" s="9" t="str">
        <f>IFERROR(__xludf.DUMMYFUNCTION("""COMPUTED_VALUE"""),"G-REQ-05315")</f>
        <v>G-REQ-05315</v>
      </c>
      <c r="B5316" s="11">
        <f>IFERROR(__xludf.DUMMYFUNCTION("""COMPUTED_VALUE"""),46139.60854520238)</f>
        <v>46139.60855</v>
      </c>
      <c r="C5316" s="9">
        <f>IFERROR(__xludf.DUMMYFUNCTION("""COMPUTED_VALUE"""),20403.0)</f>
        <v>20403</v>
      </c>
      <c r="D5316" s="9" t="str">
        <f>IFERROR(__xludf.DUMMYFUNCTION("""COMPUTED_VALUE"""),"Completed")</f>
        <v>Completed</v>
      </c>
    </row>
    <row r="5317">
      <c r="A5317" s="9" t="str">
        <f>IFERROR(__xludf.DUMMYFUNCTION("""COMPUTED_VALUE"""),"G-REQ-05316")</f>
        <v>G-REQ-05316</v>
      </c>
      <c r="B5317" s="11">
        <f>IFERROR(__xludf.DUMMYFUNCTION("""COMPUTED_VALUE"""),46139.679720047796)</f>
        <v>46139.67972</v>
      </c>
      <c r="C5317" s="9">
        <f>IFERROR(__xludf.DUMMYFUNCTION("""COMPUTED_VALUE"""),20407.0)</f>
        <v>20407</v>
      </c>
      <c r="D5317" s="9" t="str">
        <f>IFERROR(__xludf.DUMMYFUNCTION("""COMPUTED_VALUE"""),"Completed")</f>
        <v>Completed</v>
      </c>
    </row>
    <row r="5318">
      <c r="A5318" s="9" t="str">
        <f>IFERROR(__xludf.DUMMYFUNCTION("""COMPUTED_VALUE"""),"G-REQ-05317")</f>
        <v>G-REQ-05317</v>
      </c>
      <c r="B5318" s="11">
        <f>IFERROR(__xludf.DUMMYFUNCTION("""COMPUTED_VALUE"""),46139.75089489321)</f>
        <v>46139.75089</v>
      </c>
      <c r="C5318" s="9">
        <f>IFERROR(__xludf.DUMMYFUNCTION("""COMPUTED_VALUE"""),20411.0)</f>
        <v>20411</v>
      </c>
      <c r="D5318" s="9" t="str">
        <f>IFERROR(__xludf.DUMMYFUNCTION("""COMPUTED_VALUE"""),"Completed")</f>
        <v>Completed</v>
      </c>
    </row>
    <row r="5319">
      <c r="A5319" s="9" t="str">
        <f>IFERROR(__xludf.DUMMYFUNCTION("""COMPUTED_VALUE"""),"G-REQ-05318")</f>
        <v>G-REQ-05318</v>
      </c>
      <c r="B5319" s="11">
        <f>IFERROR(__xludf.DUMMYFUNCTION("""COMPUTED_VALUE"""),46139.82206973863)</f>
        <v>46139.82207</v>
      </c>
      <c r="C5319" s="9">
        <f>IFERROR(__xludf.DUMMYFUNCTION("""COMPUTED_VALUE"""),20415.0)</f>
        <v>20415</v>
      </c>
      <c r="D5319" s="9" t="str">
        <f>IFERROR(__xludf.DUMMYFUNCTION("""COMPUTED_VALUE"""),"Completed")</f>
        <v>Completed</v>
      </c>
    </row>
    <row r="5320">
      <c r="A5320" s="9" t="str">
        <f>IFERROR(__xludf.DUMMYFUNCTION("""COMPUTED_VALUE"""),"G-REQ-05319")</f>
        <v>G-REQ-05319</v>
      </c>
      <c r="B5320" s="11">
        <f>IFERROR(__xludf.DUMMYFUNCTION("""COMPUTED_VALUE"""),46139.89324458404)</f>
        <v>46139.89324</v>
      </c>
      <c r="C5320" s="9">
        <f>IFERROR(__xludf.DUMMYFUNCTION("""COMPUTED_VALUE"""),20419.0)</f>
        <v>20419</v>
      </c>
      <c r="D5320" s="9" t="str">
        <f>IFERROR(__xludf.DUMMYFUNCTION("""COMPUTED_VALUE"""),"Completed")</f>
        <v>Completed</v>
      </c>
    </row>
    <row r="5321">
      <c r="A5321" s="9" t="str">
        <f>IFERROR(__xludf.DUMMYFUNCTION("""COMPUTED_VALUE"""),"G-REQ-05320")</f>
        <v>G-REQ-05320</v>
      </c>
      <c r="B5321" s="11">
        <f>IFERROR(__xludf.DUMMYFUNCTION("""COMPUTED_VALUE"""),46139.96441942945)</f>
        <v>46139.96442</v>
      </c>
      <c r="C5321" s="9">
        <f>IFERROR(__xludf.DUMMYFUNCTION("""COMPUTED_VALUE"""),20423.0)</f>
        <v>20423</v>
      </c>
      <c r="D5321" s="9" t="str">
        <f>IFERROR(__xludf.DUMMYFUNCTION("""COMPUTED_VALUE"""),"Completed")</f>
        <v>Completed</v>
      </c>
    </row>
    <row r="5322">
      <c r="A5322" s="9" t="str">
        <f>IFERROR(__xludf.DUMMYFUNCTION("""COMPUTED_VALUE"""),"G-REQ-05321")</f>
        <v>G-REQ-05321</v>
      </c>
      <c r="B5322" s="11">
        <f>IFERROR(__xludf.DUMMYFUNCTION("""COMPUTED_VALUE"""),46140.03559427487)</f>
        <v>46140.03559</v>
      </c>
      <c r="C5322" s="9">
        <f>IFERROR(__xludf.DUMMYFUNCTION("""COMPUTED_VALUE"""),20427.0)</f>
        <v>20427</v>
      </c>
      <c r="D5322" s="9" t="str">
        <f>IFERROR(__xludf.DUMMYFUNCTION("""COMPUTED_VALUE"""),"Completed")</f>
        <v>Completed</v>
      </c>
    </row>
    <row r="5323">
      <c r="A5323" s="9" t="str">
        <f>IFERROR(__xludf.DUMMYFUNCTION("""COMPUTED_VALUE"""),"G-REQ-05322")</f>
        <v>G-REQ-05322</v>
      </c>
      <c r="B5323" s="11">
        <f>IFERROR(__xludf.DUMMYFUNCTION("""COMPUTED_VALUE"""),46140.10676912029)</f>
        <v>46140.10677</v>
      </c>
      <c r="C5323" s="9">
        <f>IFERROR(__xludf.DUMMYFUNCTION("""COMPUTED_VALUE"""),20431.0)</f>
        <v>20431</v>
      </c>
      <c r="D5323" s="9" t="str">
        <f>IFERROR(__xludf.DUMMYFUNCTION("""COMPUTED_VALUE"""),"Completed")</f>
        <v>Completed</v>
      </c>
    </row>
    <row r="5324">
      <c r="A5324" s="9" t="str">
        <f>IFERROR(__xludf.DUMMYFUNCTION("""COMPUTED_VALUE"""),"G-REQ-05323")</f>
        <v>G-REQ-05323</v>
      </c>
      <c r="B5324" s="11">
        <f>IFERROR(__xludf.DUMMYFUNCTION("""COMPUTED_VALUE"""),46140.1779439657)</f>
        <v>46140.17794</v>
      </c>
      <c r="C5324" s="9">
        <f>IFERROR(__xludf.DUMMYFUNCTION("""COMPUTED_VALUE"""),20435.0)</f>
        <v>20435</v>
      </c>
      <c r="D5324" s="9" t="str">
        <f>IFERROR(__xludf.DUMMYFUNCTION("""COMPUTED_VALUE"""),"Completed")</f>
        <v>Completed</v>
      </c>
    </row>
    <row r="5325">
      <c r="A5325" s="9" t="str">
        <f>IFERROR(__xludf.DUMMYFUNCTION("""COMPUTED_VALUE"""),"G-REQ-05324")</f>
        <v>G-REQ-05324</v>
      </c>
      <c r="B5325" s="11">
        <f>IFERROR(__xludf.DUMMYFUNCTION("""COMPUTED_VALUE"""),46140.249118811116)</f>
        <v>46140.24912</v>
      </c>
      <c r="C5325" s="9">
        <f>IFERROR(__xludf.DUMMYFUNCTION("""COMPUTED_VALUE"""),20439.0)</f>
        <v>20439</v>
      </c>
      <c r="D5325" s="9" t="str">
        <f>IFERROR(__xludf.DUMMYFUNCTION("""COMPUTED_VALUE"""),"Completed")</f>
        <v>Completed</v>
      </c>
    </row>
    <row r="5326">
      <c r="A5326" s="9" t="str">
        <f>IFERROR(__xludf.DUMMYFUNCTION("""COMPUTED_VALUE"""),"G-REQ-05325")</f>
        <v>G-REQ-05325</v>
      </c>
      <c r="B5326" s="11">
        <f>IFERROR(__xludf.DUMMYFUNCTION("""COMPUTED_VALUE"""),46140.320293656536)</f>
        <v>46140.32029</v>
      </c>
      <c r="C5326" s="9">
        <f>IFERROR(__xludf.DUMMYFUNCTION("""COMPUTED_VALUE"""),20443.0)</f>
        <v>20443</v>
      </c>
      <c r="D5326" s="9" t="str">
        <f>IFERROR(__xludf.DUMMYFUNCTION("""COMPUTED_VALUE"""),"Completed")</f>
        <v>Completed</v>
      </c>
    </row>
    <row r="5327">
      <c r="A5327" s="9" t="str">
        <f>IFERROR(__xludf.DUMMYFUNCTION("""COMPUTED_VALUE"""),"G-REQ-05326")</f>
        <v>G-REQ-05326</v>
      </c>
      <c r="B5327" s="11">
        <f>IFERROR(__xludf.DUMMYFUNCTION("""COMPUTED_VALUE"""),46140.39146850195)</f>
        <v>46140.39147</v>
      </c>
      <c r="C5327" s="9">
        <f>IFERROR(__xludf.DUMMYFUNCTION("""COMPUTED_VALUE"""),20447.0)</f>
        <v>20447</v>
      </c>
      <c r="D5327" s="9" t="str">
        <f>IFERROR(__xludf.DUMMYFUNCTION("""COMPUTED_VALUE"""),"Completed")</f>
        <v>Completed</v>
      </c>
    </row>
    <row r="5328">
      <c r="A5328" s="9" t="str">
        <f>IFERROR(__xludf.DUMMYFUNCTION("""COMPUTED_VALUE"""),"G-REQ-05327")</f>
        <v>G-REQ-05327</v>
      </c>
      <c r="B5328" s="11">
        <f>IFERROR(__xludf.DUMMYFUNCTION("""COMPUTED_VALUE"""),46140.46264334736)</f>
        <v>46140.46264</v>
      </c>
      <c r="C5328" s="9">
        <f>IFERROR(__xludf.DUMMYFUNCTION("""COMPUTED_VALUE"""),20451.0)</f>
        <v>20451</v>
      </c>
      <c r="D5328" s="9" t="str">
        <f>IFERROR(__xludf.DUMMYFUNCTION("""COMPUTED_VALUE"""),"Completed")</f>
        <v>Completed</v>
      </c>
    </row>
    <row r="5329">
      <c r="A5329" s="9" t="str">
        <f>IFERROR(__xludf.DUMMYFUNCTION("""COMPUTED_VALUE"""),"G-REQ-05328")</f>
        <v>G-REQ-05328</v>
      </c>
      <c r="B5329" s="11">
        <f>IFERROR(__xludf.DUMMYFUNCTION("""COMPUTED_VALUE"""),46140.526873748335)</f>
        <v>46140.52687</v>
      </c>
      <c r="C5329" s="9">
        <f>IFERROR(__xludf.DUMMYFUNCTION("""COMPUTED_VALUE"""),20453.0)</f>
        <v>20453</v>
      </c>
      <c r="D5329" s="9" t="str">
        <f>IFERROR(__xludf.DUMMYFUNCTION("""COMPUTED_VALUE"""),"Cancelled")</f>
        <v>Cancelled</v>
      </c>
    </row>
    <row r="5330">
      <c r="A5330" s="9" t="str">
        <f>IFERROR(__xludf.DUMMYFUNCTION("""COMPUTED_VALUE"""),"G-REQ-05329")</f>
        <v>G-REQ-05329</v>
      </c>
      <c r="B5330" s="11">
        <f>IFERROR(__xludf.DUMMYFUNCTION("""COMPUTED_VALUE"""),46140.59804859375)</f>
        <v>46140.59805</v>
      </c>
      <c r="C5330" s="9">
        <f>IFERROR(__xludf.DUMMYFUNCTION("""COMPUTED_VALUE"""),20455.0)</f>
        <v>20455</v>
      </c>
      <c r="D5330" s="9" t="str">
        <f>IFERROR(__xludf.DUMMYFUNCTION("""COMPUTED_VALUE"""),"Rejected")</f>
        <v>Rejected</v>
      </c>
    </row>
    <row r="5331">
      <c r="A5331" s="9" t="str">
        <f>IFERROR(__xludf.DUMMYFUNCTION("""COMPUTED_VALUE"""),"G-REQ-05330")</f>
        <v>G-REQ-05330</v>
      </c>
      <c r="B5331" s="11">
        <f>IFERROR(__xludf.DUMMYFUNCTION("""COMPUTED_VALUE"""),46140.676167883605)</f>
        <v>46140.67617</v>
      </c>
      <c r="C5331" s="9">
        <f>IFERROR(__xludf.DUMMYFUNCTION("""COMPUTED_VALUE"""),20459.0)</f>
        <v>20459</v>
      </c>
      <c r="D5331" s="9" t="str">
        <f>IFERROR(__xludf.DUMMYFUNCTION("""COMPUTED_VALUE"""),"Completed")</f>
        <v>Completed</v>
      </c>
    </row>
    <row r="5332">
      <c r="A5332" s="9" t="str">
        <f>IFERROR(__xludf.DUMMYFUNCTION("""COMPUTED_VALUE"""),"G-REQ-05331")</f>
        <v>G-REQ-05331</v>
      </c>
      <c r="B5332" s="11">
        <f>IFERROR(__xludf.DUMMYFUNCTION("""COMPUTED_VALUE"""),46140.747342729024)</f>
        <v>46140.74734</v>
      </c>
      <c r="C5332" s="9">
        <f>IFERROR(__xludf.DUMMYFUNCTION("""COMPUTED_VALUE"""),20463.0)</f>
        <v>20463</v>
      </c>
      <c r="D5332" s="9" t="str">
        <f>IFERROR(__xludf.DUMMYFUNCTION("""COMPUTED_VALUE"""),"Completed")</f>
        <v>Completed</v>
      </c>
    </row>
    <row r="5333">
      <c r="A5333" s="9" t="str">
        <f>IFERROR(__xludf.DUMMYFUNCTION("""COMPUTED_VALUE"""),"G-REQ-05332")</f>
        <v>G-REQ-05332</v>
      </c>
      <c r="B5333" s="11">
        <f>IFERROR(__xludf.DUMMYFUNCTION("""COMPUTED_VALUE"""),46140.81851757444)</f>
        <v>46140.81852</v>
      </c>
      <c r="C5333" s="9">
        <f>IFERROR(__xludf.DUMMYFUNCTION("""COMPUTED_VALUE"""),20467.0)</f>
        <v>20467</v>
      </c>
      <c r="D5333" s="9" t="str">
        <f>IFERROR(__xludf.DUMMYFUNCTION("""COMPUTED_VALUE"""),"Completed")</f>
        <v>Completed</v>
      </c>
    </row>
    <row r="5334">
      <c r="A5334" s="9" t="str">
        <f>IFERROR(__xludf.DUMMYFUNCTION("""COMPUTED_VALUE"""),"G-REQ-05333")</f>
        <v>G-REQ-05333</v>
      </c>
      <c r="B5334" s="11">
        <f>IFERROR(__xludf.DUMMYFUNCTION("""COMPUTED_VALUE"""),46140.8827479754)</f>
        <v>46140.88275</v>
      </c>
      <c r="C5334" s="9">
        <f>IFERROR(__xludf.DUMMYFUNCTION("""COMPUTED_VALUE"""),20469.0)</f>
        <v>20469</v>
      </c>
      <c r="D5334" s="9" t="str">
        <f>IFERROR(__xludf.DUMMYFUNCTION("""COMPUTED_VALUE"""),"Rejected")</f>
        <v>Rejected</v>
      </c>
    </row>
    <row r="5335">
      <c r="A5335" s="9" t="str">
        <f>IFERROR(__xludf.DUMMYFUNCTION("""COMPUTED_VALUE"""),"G-REQ-05334")</f>
        <v>G-REQ-05334</v>
      </c>
      <c r="B5335" s="11">
        <f>IFERROR(__xludf.DUMMYFUNCTION("""COMPUTED_VALUE"""),46140.96086726527)</f>
        <v>46140.96087</v>
      </c>
      <c r="C5335" s="9">
        <f>IFERROR(__xludf.DUMMYFUNCTION("""COMPUTED_VALUE"""),20473.0)</f>
        <v>20473</v>
      </c>
      <c r="D5335" s="9" t="str">
        <f>IFERROR(__xludf.DUMMYFUNCTION("""COMPUTED_VALUE"""),"Completed")</f>
        <v>Completed</v>
      </c>
    </row>
    <row r="5336">
      <c r="A5336" s="9" t="str">
        <f>IFERROR(__xludf.DUMMYFUNCTION("""COMPUTED_VALUE"""),"G-REQ-05335")</f>
        <v>G-REQ-05335</v>
      </c>
      <c r="B5336" s="11">
        <f>IFERROR(__xludf.DUMMYFUNCTION("""COMPUTED_VALUE"""),46141.03204211068)</f>
        <v>46141.03204</v>
      </c>
      <c r="C5336" s="9">
        <f>IFERROR(__xludf.DUMMYFUNCTION("""COMPUTED_VALUE"""),20477.0)</f>
        <v>20477</v>
      </c>
      <c r="D5336" s="9" t="str">
        <f>IFERROR(__xludf.DUMMYFUNCTION("""COMPUTED_VALUE"""),"Completed")</f>
        <v>Completed</v>
      </c>
    </row>
    <row r="5337">
      <c r="A5337" s="9" t="str">
        <f>IFERROR(__xludf.DUMMYFUNCTION("""COMPUTED_VALUE"""),"G-REQ-05336")</f>
        <v>G-REQ-05336</v>
      </c>
      <c r="B5337" s="11">
        <f>IFERROR(__xludf.DUMMYFUNCTION("""COMPUTED_VALUE"""),46141.10321695609)</f>
        <v>46141.10322</v>
      </c>
      <c r="C5337" s="9">
        <f>IFERROR(__xludf.DUMMYFUNCTION("""COMPUTED_VALUE"""),20481.0)</f>
        <v>20481</v>
      </c>
      <c r="D5337" s="9" t="str">
        <f>IFERROR(__xludf.DUMMYFUNCTION("""COMPUTED_VALUE"""),"Completed")</f>
        <v>Completed</v>
      </c>
    </row>
    <row r="5338">
      <c r="A5338" s="9" t="str">
        <f>IFERROR(__xludf.DUMMYFUNCTION("""COMPUTED_VALUE"""),"G-REQ-05337")</f>
        <v>G-REQ-05337</v>
      </c>
      <c r="B5338" s="11">
        <f>IFERROR(__xludf.DUMMYFUNCTION("""COMPUTED_VALUE"""),46141.17439180151)</f>
        <v>46141.17439</v>
      </c>
      <c r="C5338" s="9">
        <f>IFERROR(__xludf.DUMMYFUNCTION("""COMPUTED_VALUE"""),20485.0)</f>
        <v>20485</v>
      </c>
      <c r="D5338" s="9" t="str">
        <f>IFERROR(__xludf.DUMMYFUNCTION("""COMPUTED_VALUE"""),"Completed")</f>
        <v>Completed</v>
      </c>
    </row>
    <row r="5339">
      <c r="A5339" s="9" t="str">
        <f>IFERROR(__xludf.DUMMYFUNCTION("""COMPUTED_VALUE"""),"G-REQ-05338")</f>
        <v>G-REQ-05338</v>
      </c>
      <c r="B5339" s="11">
        <f>IFERROR(__xludf.DUMMYFUNCTION("""COMPUTED_VALUE"""),46141.23862220249)</f>
        <v>46141.23862</v>
      </c>
      <c r="C5339" s="9">
        <f>IFERROR(__xludf.DUMMYFUNCTION("""COMPUTED_VALUE"""),20487.0)</f>
        <v>20487</v>
      </c>
      <c r="D5339" s="9" t="str">
        <f>IFERROR(__xludf.DUMMYFUNCTION("""COMPUTED_VALUE"""),"Cancelled")</f>
        <v>Cancelled</v>
      </c>
    </row>
    <row r="5340">
      <c r="A5340" s="9" t="str">
        <f>IFERROR(__xludf.DUMMYFUNCTION("""COMPUTED_VALUE"""),"G-REQ-05339")</f>
        <v>G-REQ-05339</v>
      </c>
      <c r="B5340" s="11">
        <f>IFERROR(__xludf.DUMMYFUNCTION("""COMPUTED_VALUE"""),46141.31674149234)</f>
        <v>46141.31674</v>
      </c>
      <c r="C5340" s="9">
        <f>IFERROR(__xludf.DUMMYFUNCTION("""COMPUTED_VALUE"""),20491.0)</f>
        <v>20491</v>
      </c>
      <c r="D5340" s="9" t="str">
        <f>IFERROR(__xludf.DUMMYFUNCTION("""COMPUTED_VALUE"""),"Completed")</f>
        <v>Completed</v>
      </c>
    </row>
    <row r="5341">
      <c r="A5341" s="9" t="str">
        <f>IFERROR(__xludf.DUMMYFUNCTION("""COMPUTED_VALUE"""),"G-REQ-05340")</f>
        <v>G-REQ-05340</v>
      </c>
      <c r="B5341" s="11">
        <f>IFERROR(__xludf.DUMMYFUNCTION("""COMPUTED_VALUE"""),46141.38791633776)</f>
        <v>46141.38792</v>
      </c>
      <c r="C5341" s="9">
        <f>IFERROR(__xludf.DUMMYFUNCTION("""COMPUTED_VALUE"""),20495.0)</f>
        <v>20495</v>
      </c>
      <c r="D5341" s="9" t="str">
        <f>IFERROR(__xludf.DUMMYFUNCTION("""COMPUTED_VALUE"""),"Completed")</f>
        <v>Completed</v>
      </c>
    </row>
    <row r="5342">
      <c r="A5342" s="9" t="str">
        <f>IFERROR(__xludf.DUMMYFUNCTION("""COMPUTED_VALUE"""),"G-REQ-05341")</f>
        <v>G-REQ-05341</v>
      </c>
      <c r="B5342" s="11">
        <f>IFERROR(__xludf.DUMMYFUNCTION("""COMPUTED_VALUE"""),46141.45909118318)</f>
        <v>46141.45909</v>
      </c>
      <c r="C5342" s="9">
        <f>IFERROR(__xludf.DUMMYFUNCTION("""COMPUTED_VALUE"""),20499.0)</f>
        <v>20499</v>
      </c>
      <c r="D5342" s="9" t="str">
        <f>IFERROR(__xludf.DUMMYFUNCTION("""COMPUTED_VALUE"""),"Completed")</f>
        <v>Completed</v>
      </c>
    </row>
    <row r="5343">
      <c r="A5343" s="9" t="str">
        <f>IFERROR(__xludf.DUMMYFUNCTION("""COMPUTED_VALUE"""),"G-REQ-05342")</f>
        <v>G-REQ-05342</v>
      </c>
      <c r="B5343" s="11">
        <f>IFERROR(__xludf.DUMMYFUNCTION("""COMPUTED_VALUE"""),46141.53026602859)</f>
        <v>46141.53027</v>
      </c>
      <c r="C5343" s="9">
        <f>IFERROR(__xludf.DUMMYFUNCTION("""COMPUTED_VALUE"""),20503.0)</f>
        <v>20503</v>
      </c>
      <c r="D5343" s="9" t="str">
        <f>IFERROR(__xludf.DUMMYFUNCTION("""COMPUTED_VALUE"""),"Completed")</f>
        <v>Completed</v>
      </c>
    </row>
    <row r="5344">
      <c r="A5344" s="9" t="str">
        <f>IFERROR(__xludf.DUMMYFUNCTION("""COMPUTED_VALUE"""),"G-REQ-05343")</f>
        <v>G-REQ-05343</v>
      </c>
      <c r="B5344" s="11">
        <f>IFERROR(__xludf.DUMMYFUNCTION("""COMPUTED_VALUE"""),46141.601440874)</f>
        <v>46141.60144</v>
      </c>
      <c r="C5344" s="9">
        <f>IFERROR(__xludf.DUMMYFUNCTION("""COMPUTED_VALUE"""),20507.0)</f>
        <v>20507</v>
      </c>
      <c r="D5344" s="9" t="str">
        <f>IFERROR(__xludf.DUMMYFUNCTION("""COMPUTED_VALUE"""),"Completed")</f>
        <v>Completed</v>
      </c>
    </row>
    <row r="5345">
      <c r="A5345" s="9" t="str">
        <f>IFERROR(__xludf.DUMMYFUNCTION("""COMPUTED_VALUE"""),"G-REQ-05344")</f>
        <v>G-REQ-05344</v>
      </c>
      <c r="B5345" s="11">
        <f>IFERROR(__xludf.DUMMYFUNCTION("""COMPUTED_VALUE"""),46141.67261571942)</f>
        <v>46141.67262</v>
      </c>
      <c r="C5345" s="9">
        <f>IFERROR(__xludf.DUMMYFUNCTION("""COMPUTED_VALUE"""),20511.0)</f>
        <v>20511</v>
      </c>
      <c r="D5345" s="9" t="str">
        <f>IFERROR(__xludf.DUMMYFUNCTION("""COMPUTED_VALUE"""),"Completed")</f>
        <v>Completed</v>
      </c>
    </row>
    <row r="5346">
      <c r="A5346" s="9" t="str">
        <f>IFERROR(__xludf.DUMMYFUNCTION("""COMPUTED_VALUE"""),"G-REQ-05345")</f>
        <v>G-REQ-05345</v>
      </c>
      <c r="B5346" s="11">
        <f>IFERROR(__xludf.DUMMYFUNCTION("""COMPUTED_VALUE"""),46141.74379056483)</f>
        <v>46141.74379</v>
      </c>
      <c r="C5346" s="9">
        <f>IFERROR(__xludf.DUMMYFUNCTION("""COMPUTED_VALUE"""),20515.0)</f>
        <v>20515</v>
      </c>
      <c r="D5346" s="9" t="str">
        <f>IFERROR(__xludf.DUMMYFUNCTION("""COMPUTED_VALUE"""),"Completed")</f>
        <v>Completed</v>
      </c>
    </row>
    <row r="5347">
      <c r="A5347" s="9" t="str">
        <f>IFERROR(__xludf.DUMMYFUNCTION("""COMPUTED_VALUE"""),"G-REQ-05346")</f>
        <v>G-REQ-05346</v>
      </c>
      <c r="B5347" s="11">
        <f>IFERROR(__xludf.DUMMYFUNCTION("""COMPUTED_VALUE"""),46141.814965410245)</f>
        <v>46141.81497</v>
      </c>
      <c r="C5347" s="9">
        <f>IFERROR(__xludf.DUMMYFUNCTION("""COMPUTED_VALUE"""),20519.0)</f>
        <v>20519</v>
      </c>
      <c r="D5347" s="9" t="str">
        <f>IFERROR(__xludf.DUMMYFUNCTION("""COMPUTED_VALUE"""),"Completed")</f>
        <v>Completed</v>
      </c>
    </row>
    <row r="5348">
      <c r="A5348" s="9" t="str">
        <f>IFERROR(__xludf.DUMMYFUNCTION("""COMPUTED_VALUE"""),"G-REQ-05347")</f>
        <v>G-REQ-05347</v>
      </c>
      <c r="B5348" s="11">
        <f>IFERROR(__xludf.DUMMYFUNCTION("""COMPUTED_VALUE"""),46141.886140255665)</f>
        <v>46141.88614</v>
      </c>
      <c r="C5348" s="9">
        <f>IFERROR(__xludf.DUMMYFUNCTION("""COMPUTED_VALUE"""),20523.0)</f>
        <v>20523</v>
      </c>
      <c r="D5348" s="9" t="str">
        <f>IFERROR(__xludf.DUMMYFUNCTION("""COMPUTED_VALUE"""),"Completed")</f>
        <v>Completed</v>
      </c>
    </row>
    <row r="5349">
      <c r="A5349" s="9" t="str">
        <f>IFERROR(__xludf.DUMMYFUNCTION("""COMPUTED_VALUE"""),"G-REQ-05348")</f>
        <v>G-REQ-05348</v>
      </c>
      <c r="B5349" s="11">
        <f>IFERROR(__xludf.DUMMYFUNCTION("""COMPUTED_VALUE"""),46141.95731510108)</f>
        <v>46141.95732</v>
      </c>
      <c r="C5349" s="9">
        <f>IFERROR(__xludf.DUMMYFUNCTION("""COMPUTED_VALUE"""),20527.0)</f>
        <v>20527</v>
      </c>
      <c r="D5349" s="9" t="str">
        <f>IFERROR(__xludf.DUMMYFUNCTION("""COMPUTED_VALUE"""),"Completed")</f>
        <v>Completed</v>
      </c>
    </row>
    <row r="5350">
      <c r="A5350" s="9" t="str">
        <f>IFERROR(__xludf.DUMMYFUNCTION("""COMPUTED_VALUE"""),"G-REQ-05349")</f>
        <v>G-REQ-05349</v>
      </c>
      <c r="B5350" s="11">
        <f>IFERROR(__xludf.DUMMYFUNCTION("""COMPUTED_VALUE"""),46142.02848994649)</f>
        <v>46142.02849</v>
      </c>
      <c r="C5350" s="9">
        <f>IFERROR(__xludf.DUMMYFUNCTION("""COMPUTED_VALUE"""),20531.0)</f>
        <v>20531</v>
      </c>
      <c r="D5350" s="9" t="str">
        <f>IFERROR(__xludf.DUMMYFUNCTION("""COMPUTED_VALUE"""),"Completed")</f>
        <v>Completed</v>
      </c>
    </row>
    <row r="5351">
      <c r="A5351" s="9" t="str">
        <f>IFERROR(__xludf.DUMMYFUNCTION("""COMPUTED_VALUE"""),"G-REQ-05350")</f>
        <v>G-REQ-05350</v>
      </c>
      <c r="B5351" s="11">
        <f>IFERROR(__xludf.DUMMYFUNCTION("""COMPUTED_VALUE"""),46142.09966479191)</f>
        <v>46142.09966</v>
      </c>
      <c r="C5351" s="9">
        <f>IFERROR(__xludf.DUMMYFUNCTION("""COMPUTED_VALUE"""),20535.0)</f>
        <v>20535</v>
      </c>
      <c r="D5351" s="9" t="str">
        <f>IFERROR(__xludf.DUMMYFUNCTION("""COMPUTED_VALUE"""),"Completed")</f>
        <v>Completed</v>
      </c>
    </row>
    <row r="5352">
      <c r="A5352" s="9" t="str">
        <f>IFERROR(__xludf.DUMMYFUNCTION("""COMPUTED_VALUE"""),"G-REQ-05351")</f>
        <v>G-REQ-05351</v>
      </c>
      <c r="B5352" s="11">
        <f>IFERROR(__xludf.DUMMYFUNCTION("""COMPUTED_VALUE"""),46142.17083963733)</f>
        <v>46142.17084</v>
      </c>
      <c r="C5352" s="9">
        <f>IFERROR(__xludf.DUMMYFUNCTION("""COMPUTED_VALUE"""),20539.0)</f>
        <v>20539</v>
      </c>
      <c r="D5352" s="9" t="str">
        <f>IFERROR(__xludf.DUMMYFUNCTION("""COMPUTED_VALUE"""),"Completed")</f>
        <v>Completed</v>
      </c>
    </row>
    <row r="5353">
      <c r="A5353" s="9" t="str">
        <f>IFERROR(__xludf.DUMMYFUNCTION("""COMPUTED_VALUE"""),"G-REQ-05352")</f>
        <v>G-REQ-05352</v>
      </c>
      <c r="B5353" s="11">
        <f>IFERROR(__xludf.DUMMYFUNCTION("""COMPUTED_VALUE"""),46142.242014482734)</f>
        <v>46142.24201</v>
      </c>
      <c r="C5353" s="9">
        <f>IFERROR(__xludf.DUMMYFUNCTION("""COMPUTED_VALUE"""),20543.0)</f>
        <v>20543</v>
      </c>
      <c r="D5353" s="9" t="str">
        <f>IFERROR(__xludf.DUMMYFUNCTION("""COMPUTED_VALUE"""),"Completed")</f>
        <v>Completed</v>
      </c>
    </row>
    <row r="5354">
      <c r="A5354" s="9" t="str">
        <f>IFERROR(__xludf.DUMMYFUNCTION("""COMPUTED_VALUE"""),"G-REQ-05353")</f>
        <v>G-REQ-05353</v>
      </c>
      <c r="B5354" s="11">
        <f>IFERROR(__xludf.DUMMYFUNCTION("""COMPUTED_VALUE"""),46142.31318932815)</f>
        <v>46142.31319</v>
      </c>
      <c r="C5354" s="9">
        <f>IFERROR(__xludf.DUMMYFUNCTION("""COMPUTED_VALUE"""),20547.0)</f>
        <v>20547</v>
      </c>
      <c r="D5354" s="9" t="str">
        <f>IFERROR(__xludf.DUMMYFUNCTION("""COMPUTED_VALUE"""),"Completed")</f>
        <v>Completed</v>
      </c>
    </row>
    <row r="5355">
      <c r="A5355" s="9" t="str">
        <f>IFERROR(__xludf.DUMMYFUNCTION("""COMPUTED_VALUE"""),"G-REQ-05354")</f>
        <v>G-REQ-05354</v>
      </c>
      <c r="B5355" s="11">
        <f>IFERROR(__xludf.DUMMYFUNCTION("""COMPUTED_VALUE"""),46142.38436417357)</f>
        <v>46142.38436</v>
      </c>
      <c r="C5355" s="9">
        <f>IFERROR(__xludf.DUMMYFUNCTION("""COMPUTED_VALUE"""),20551.0)</f>
        <v>20551</v>
      </c>
      <c r="D5355" s="9" t="str">
        <f>IFERROR(__xludf.DUMMYFUNCTION("""COMPUTED_VALUE"""),"Completed")</f>
        <v>Completed</v>
      </c>
    </row>
    <row r="5356">
      <c r="A5356" s="9" t="str">
        <f>IFERROR(__xludf.DUMMYFUNCTION("""COMPUTED_VALUE"""),"G-REQ-05355")</f>
        <v>G-REQ-05355</v>
      </c>
      <c r="B5356" s="11">
        <f>IFERROR(__xludf.DUMMYFUNCTION("""COMPUTED_VALUE"""),46142.455539018985)</f>
        <v>46142.45554</v>
      </c>
      <c r="C5356" s="9">
        <f>IFERROR(__xludf.DUMMYFUNCTION("""COMPUTED_VALUE"""),20555.0)</f>
        <v>20555</v>
      </c>
      <c r="D5356" s="9" t="str">
        <f>IFERROR(__xludf.DUMMYFUNCTION("""COMPUTED_VALUE"""),"Completed")</f>
        <v>Completed</v>
      </c>
    </row>
    <row r="5357">
      <c r="A5357" s="9" t="str">
        <f>IFERROR(__xludf.DUMMYFUNCTION("""COMPUTED_VALUE"""),"G-REQ-05356")</f>
        <v>G-REQ-05356</v>
      </c>
      <c r="B5357" s="11">
        <f>IFERROR(__xludf.DUMMYFUNCTION("""COMPUTED_VALUE"""),46142.5267138644)</f>
        <v>46142.52671</v>
      </c>
      <c r="C5357" s="9">
        <f>IFERROR(__xludf.DUMMYFUNCTION("""COMPUTED_VALUE"""),20559.0)</f>
        <v>20559</v>
      </c>
      <c r="D5357" s="9" t="str">
        <f>IFERROR(__xludf.DUMMYFUNCTION("""COMPUTED_VALUE"""),"Completed")</f>
        <v>Completed</v>
      </c>
    </row>
    <row r="5358">
      <c r="A5358" s="9" t="str">
        <f>IFERROR(__xludf.DUMMYFUNCTION("""COMPUTED_VALUE"""),"G-REQ-05357")</f>
        <v>G-REQ-05357</v>
      </c>
      <c r="B5358" s="11">
        <f>IFERROR(__xludf.DUMMYFUNCTION("""COMPUTED_VALUE"""),46142.59788870982)</f>
        <v>46142.59789</v>
      </c>
      <c r="C5358" s="9">
        <f>IFERROR(__xludf.DUMMYFUNCTION("""COMPUTED_VALUE"""),20563.0)</f>
        <v>20563</v>
      </c>
      <c r="D5358" s="9" t="str">
        <f>IFERROR(__xludf.DUMMYFUNCTION("""COMPUTED_VALUE"""),"Completed")</f>
        <v>Completed</v>
      </c>
    </row>
    <row r="5359">
      <c r="A5359" s="9" t="str">
        <f>IFERROR(__xludf.DUMMYFUNCTION("""COMPUTED_VALUE"""),"G-REQ-05358")</f>
        <v>G-REQ-05358</v>
      </c>
      <c r="B5359" s="11">
        <f>IFERROR(__xludf.DUMMYFUNCTION("""COMPUTED_VALUE"""),46142.662119110784)</f>
        <v>46142.66212</v>
      </c>
      <c r="C5359" s="9">
        <f>IFERROR(__xludf.DUMMYFUNCTION("""COMPUTED_VALUE"""),20565.0)</f>
        <v>20565</v>
      </c>
      <c r="D5359" s="9" t="str">
        <f>IFERROR(__xludf.DUMMYFUNCTION("""COMPUTED_VALUE"""),"Rejected")</f>
        <v>Rejected</v>
      </c>
    </row>
    <row r="5360">
      <c r="A5360" s="9" t="str">
        <f>IFERROR(__xludf.DUMMYFUNCTION("""COMPUTED_VALUE"""),"G-REQ-05359")</f>
        <v>G-REQ-05359</v>
      </c>
      <c r="B5360" s="11">
        <f>IFERROR(__xludf.DUMMYFUNCTION("""COMPUTED_VALUE"""),46142.74023840064)</f>
        <v>46142.74024</v>
      </c>
      <c r="C5360" s="9">
        <f>IFERROR(__xludf.DUMMYFUNCTION("""COMPUTED_VALUE"""),20569.0)</f>
        <v>20569</v>
      </c>
      <c r="D5360" s="9" t="str">
        <f>IFERROR(__xludf.DUMMYFUNCTION("""COMPUTED_VALUE"""),"Completed")</f>
        <v>Completed</v>
      </c>
    </row>
    <row r="5361">
      <c r="A5361" s="9" t="str">
        <f>IFERROR(__xludf.DUMMYFUNCTION("""COMPUTED_VALUE"""),"G-REQ-05360")</f>
        <v>G-REQ-05360</v>
      </c>
      <c r="B5361" s="11">
        <f>IFERROR(__xludf.DUMMYFUNCTION("""COMPUTED_VALUE"""),46142.81141324606)</f>
        <v>46142.81141</v>
      </c>
      <c r="C5361" s="9">
        <f>IFERROR(__xludf.DUMMYFUNCTION("""COMPUTED_VALUE"""),20573.0)</f>
        <v>20573</v>
      </c>
      <c r="D5361" s="9" t="str">
        <f>IFERROR(__xludf.DUMMYFUNCTION("""COMPUTED_VALUE"""),"Completed")</f>
        <v>Completed</v>
      </c>
    </row>
    <row r="5362">
      <c r="A5362" s="9" t="str">
        <f>IFERROR(__xludf.DUMMYFUNCTION("""COMPUTED_VALUE"""),"G-REQ-05361")</f>
        <v>G-REQ-05361</v>
      </c>
      <c r="B5362" s="11">
        <f>IFERROR(__xludf.DUMMYFUNCTION("""COMPUTED_VALUE"""),46142.882588091474)</f>
        <v>46142.88259</v>
      </c>
      <c r="C5362" s="9">
        <f>IFERROR(__xludf.DUMMYFUNCTION("""COMPUTED_VALUE"""),20577.0)</f>
        <v>20577</v>
      </c>
      <c r="D5362" s="9" t="str">
        <f>IFERROR(__xludf.DUMMYFUNCTION("""COMPUTED_VALUE"""),"Completed")</f>
        <v>Completed</v>
      </c>
    </row>
    <row r="5363">
      <c r="A5363" s="9" t="str">
        <f>IFERROR(__xludf.DUMMYFUNCTION("""COMPUTED_VALUE"""),"G-REQ-05362")</f>
        <v>G-REQ-05362</v>
      </c>
      <c r="B5363" s="11">
        <f>IFERROR(__xludf.DUMMYFUNCTION("""COMPUTED_VALUE"""),46142.953762936886)</f>
        <v>46142.95376</v>
      </c>
      <c r="C5363" s="9">
        <f>IFERROR(__xludf.DUMMYFUNCTION("""COMPUTED_VALUE"""),20581.0)</f>
        <v>20581</v>
      </c>
      <c r="D5363" s="9" t="str">
        <f>IFERROR(__xludf.DUMMYFUNCTION("""COMPUTED_VALUE"""),"Completed")</f>
        <v>Completed</v>
      </c>
    </row>
    <row r="5364">
      <c r="A5364" s="9" t="str">
        <f>IFERROR(__xludf.DUMMYFUNCTION("""COMPUTED_VALUE"""),"G-REQ-05363")</f>
        <v>G-REQ-05363</v>
      </c>
      <c r="B5364" s="11">
        <f>IFERROR(__xludf.DUMMYFUNCTION("""COMPUTED_VALUE"""),46143.024937782306)</f>
        <v>46143.02494</v>
      </c>
      <c r="C5364" s="9">
        <f>IFERROR(__xludf.DUMMYFUNCTION("""COMPUTED_VALUE"""),20585.0)</f>
        <v>20585</v>
      </c>
      <c r="D5364" s="9" t="str">
        <f>IFERROR(__xludf.DUMMYFUNCTION("""COMPUTED_VALUE"""),"Completed")</f>
        <v>Completed</v>
      </c>
    </row>
    <row r="5365">
      <c r="A5365" s="9" t="str">
        <f>IFERROR(__xludf.DUMMYFUNCTION("""COMPUTED_VALUE"""),"G-REQ-05364")</f>
        <v>G-REQ-05364</v>
      </c>
      <c r="B5365" s="11">
        <f>IFERROR(__xludf.DUMMYFUNCTION("""COMPUTED_VALUE"""),46143.09611262772)</f>
        <v>46143.09611</v>
      </c>
      <c r="C5365" s="9">
        <f>IFERROR(__xludf.DUMMYFUNCTION("""COMPUTED_VALUE"""),20589.0)</f>
        <v>20589</v>
      </c>
      <c r="D5365" s="9" t="str">
        <f>IFERROR(__xludf.DUMMYFUNCTION("""COMPUTED_VALUE"""),"Completed")</f>
        <v>Completed</v>
      </c>
    </row>
    <row r="5366">
      <c r="A5366" s="9" t="str">
        <f>IFERROR(__xludf.DUMMYFUNCTION("""COMPUTED_VALUE"""),"G-REQ-05365")</f>
        <v>G-REQ-05365</v>
      </c>
      <c r="B5366" s="11">
        <f>IFERROR(__xludf.DUMMYFUNCTION("""COMPUTED_VALUE"""),46143.16728747313)</f>
        <v>46143.16729</v>
      </c>
      <c r="C5366" s="9">
        <f>IFERROR(__xludf.DUMMYFUNCTION("""COMPUTED_VALUE"""),20593.0)</f>
        <v>20593</v>
      </c>
      <c r="D5366" s="9" t="str">
        <f>IFERROR(__xludf.DUMMYFUNCTION("""COMPUTED_VALUE"""),"Completed")</f>
        <v>Completed</v>
      </c>
    </row>
    <row r="5367">
      <c r="A5367" s="9" t="str">
        <f>IFERROR(__xludf.DUMMYFUNCTION("""COMPUTED_VALUE"""),"G-REQ-05366")</f>
        <v>G-REQ-05366</v>
      </c>
      <c r="B5367" s="11">
        <f>IFERROR(__xludf.DUMMYFUNCTION("""COMPUTED_VALUE"""),46143.23846231855)</f>
        <v>46143.23846</v>
      </c>
      <c r="C5367" s="9">
        <f>IFERROR(__xludf.DUMMYFUNCTION("""COMPUTED_VALUE"""),20597.0)</f>
        <v>20597</v>
      </c>
      <c r="D5367" s="9" t="str">
        <f>IFERROR(__xludf.DUMMYFUNCTION("""COMPUTED_VALUE"""),"Completed")</f>
        <v>Completed</v>
      </c>
    </row>
    <row r="5368">
      <c r="A5368" s="9" t="str">
        <f>IFERROR(__xludf.DUMMYFUNCTION("""COMPUTED_VALUE"""),"G-REQ-05367")</f>
        <v>G-REQ-05367</v>
      </c>
      <c r="B5368" s="11">
        <f>IFERROR(__xludf.DUMMYFUNCTION("""COMPUTED_VALUE"""),46143.30963716397)</f>
        <v>46143.30964</v>
      </c>
      <c r="C5368" s="9">
        <f>IFERROR(__xludf.DUMMYFUNCTION("""COMPUTED_VALUE"""),20601.0)</f>
        <v>20601</v>
      </c>
      <c r="D5368" s="9" t="str">
        <f>IFERROR(__xludf.DUMMYFUNCTION("""COMPUTED_VALUE"""),"Completed")</f>
        <v>Completed</v>
      </c>
    </row>
    <row r="5369">
      <c r="A5369" s="9" t="str">
        <f>IFERROR(__xludf.DUMMYFUNCTION("""COMPUTED_VALUE"""),"G-REQ-05368")</f>
        <v>G-REQ-05368</v>
      </c>
      <c r="B5369" s="11">
        <f>IFERROR(__xludf.DUMMYFUNCTION("""COMPUTED_VALUE"""),46143.37386756493)</f>
        <v>46143.37387</v>
      </c>
      <c r="C5369" s="9">
        <f>IFERROR(__xludf.DUMMYFUNCTION("""COMPUTED_VALUE"""),20603.0)</f>
        <v>20603</v>
      </c>
      <c r="D5369" s="9" t="str">
        <f>IFERROR(__xludf.DUMMYFUNCTION("""COMPUTED_VALUE"""),"Rejected")</f>
        <v>Rejected</v>
      </c>
    </row>
    <row r="5370">
      <c r="A5370" s="9" t="str">
        <f>IFERROR(__xludf.DUMMYFUNCTION("""COMPUTED_VALUE"""),"G-REQ-05369")</f>
        <v>G-REQ-05369</v>
      </c>
      <c r="B5370" s="11">
        <f>IFERROR(__xludf.DUMMYFUNCTION("""COMPUTED_VALUE"""),46143.451986854794)</f>
        <v>46143.45199</v>
      </c>
      <c r="C5370" s="9">
        <f>IFERROR(__xludf.DUMMYFUNCTION("""COMPUTED_VALUE"""),20607.0)</f>
        <v>20607</v>
      </c>
      <c r="D5370" s="9" t="str">
        <f>IFERROR(__xludf.DUMMYFUNCTION("""COMPUTED_VALUE"""),"Completed")</f>
        <v>Completed</v>
      </c>
    </row>
    <row r="5371">
      <c r="A5371" s="9" t="str">
        <f>IFERROR(__xludf.DUMMYFUNCTION("""COMPUTED_VALUE"""),"G-REQ-05370")</f>
        <v>G-REQ-05370</v>
      </c>
      <c r="B5371" s="11">
        <f>IFERROR(__xludf.DUMMYFUNCTION("""COMPUTED_VALUE"""),46143.51621725577)</f>
        <v>46143.51622</v>
      </c>
      <c r="C5371" s="9">
        <f>IFERROR(__xludf.DUMMYFUNCTION("""COMPUTED_VALUE"""),20609.0)</f>
        <v>20609</v>
      </c>
      <c r="D5371" s="9" t="str">
        <f>IFERROR(__xludf.DUMMYFUNCTION("""COMPUTED_VALUE"""),"Rejected")</f>
        <v>Rejected</v>
      </c>
    </row>
    <row r="5372">
      <c r="A5372" s="9" t="str">
        <f>IFERROR(__xludf.DUMMYFUNCTION("""COMPUTED_VALUE"""),"G-REQ-05371")</f>
        <v>G-REQ-05371</v>
      </c>
      <c r="B5372" s="11">
        <f>IFERROR(__xludf.DUMMYFUNCTION("""COMPUTED_VALUE"""),46143.594336545626)</f>
        <v>46143.59434</v>
      </c>
      <c r="C5372" s="9">
        <f>IFERROR(__xludf.DUMMYFUNCTION("""COMPUTED_VALUE"""),20613.0)</f>
        <v>20613</v>
      </c>
      <c r="D5372" s="9" t="str">
        <f>IFERROR(__xludf.DUMMYFUNCTION("""COMPUTED_VALUE"""),"Completed")</f>
        <v>Completed</v>
      </c>
    </row>
    <row r="5373">
      <c r="A5373" s="9" t="str">
        <f>IFERROR(__xludf.DUMMYFUNCTION("""COMPUTED_VALUE"""),"G-REQ-05372")</f>
        <v>G-REQ-05372</v>
      </c>
      <c r="B5373" s="11">
        <f>IFERROR(__xludf.DUMMYFUNCTION("""COMPUTED_VALUE"""),46143.66551139104)</f>
        <v>46143.66551</v>
      </c>
      <c r="C5373" s="9">
        <f>IFERROR(__xludf.DUMMYFUNCTION("""COMPUTED_VALUE"""),20617.0)</f>
        <v>20617</v>
      </c>
      <c r="D5373" s="9" t="str">
        <f>IFERROR(__xludf.DUMMYFUNCTION("""COMPUTED_VALUE"""),"Completed")</f>
        <v>Completed</v>
      </c>
    </row>
    <row r="5374">
      <c r="A5374" s="9" t="str">
        <f>IFERROR(__xludf.DUMMYFUNCTION("""COMPUTED_VALUE"""),"G-REQ-05373")</f>
        <v>G-REQ-05373</v>
      </c>
      <c r="B5374" s="11">
        <f>IFERROR(__xludf.DUMMYFUNCTION("""COMPUTED_VALUE"""),46143.73668623646)</f>
        <v>46143.73669</v>
      </c>
      <c r="C5374" s="9">
        <f>IFERROR(__xludf.DUMMYFUNCTION("""COMPUTED_VALUE"""),20621.0)</f>
        <v>20621</v>
      </c>
      <c r="D5374" s="9" t="str">
        <f>IFERROR(__xludf.DUMMYFUNCTION("""COMPUTED_VALUE"""),"Completed")</f>
        <v>Completed</v>
      </c>
    </row>
    <row r="5375">
      <c r="A5375" s="9" t="str">
        <f>IFERROR(__xludf.DUMMYFUNCTION("""COMPUTED_VALUE"""),"G-REQ-05374")</f>
        <v>G-REQ-05374</v>
      </c>
      <c r="B5375" s="11">
        <f>IFERROR(__xludf.DUMMYFUNCTION("""COMPUTED_VALUE"""),46143.80786108187)</f>
        <v>46143.80786</v>
      </c>
      <c r="C5375" s="9">
        <f>IFERROR(__xludf.DUMMYFUNCTION("""COMPUTED_VALUE"""),20625.0)</f>
        <v>20625</v>
      </c>
      <c r="D5375" s="9" t="str">
        <f>IFERROR(__xludf.DUMMYFUNCTION("""COMPUTED_VALUE"""),"Completed")</f>
        <v>Completed</v>
      </c>
    </row>
    <row r="5376">
      <c r="A5376" s="9" t="str">
        <f>IFERROR(__xludf.DUMMYFUNCTION("""COMPUTED_VALUE"""),"G-REQ-05375")</f>
        <v>G-REQ-05375</v>
      </c>
      <c r="B5376" s="11">
        <f>IFERROR(__xludf.DUMMYFUNCTION("""COMPUTED_VALUE"""),46143.87903592728)</f>
        <v>46143.87904</v>
      </c>
      <c r="C5376" s="9">
        <f>IFERROR(__xludf.DUMMYFUNCTION("""COMPUTED_VALUE"""),20629.0)</f>
        <v>20629</v>
      </c>
      <c r="D5376" s="9" t="str">
        <f>IFERROR(__xludf.DUMMYFUNCTION("""COMPUTED_VALUE"""),"Completed")</f>
        <v>Completed</v>
      </c>
    </row>
    <row r="5377">
      <c r="A5377" s="9" t="str">
        <f>IFERROR(__xludf.DUMMYFUNCTION("""COMPUTED_VALUE"""),"G-REQ-05376")</f>
        <v>G-REQ-05376</v>
      </c>
      <c r="B5377" s="11">
        <f>IFERROR(__xludf.DUMMYFUNCTION("""COMPUTED_VALUE"""),46143.9502107727)</f>
        <v>46143.95021</v>
      </c>
      <c r="C5377" s="9">
        <f>IFERROR(__xludf.DUMMYFUNCTION("""COMPUTED_VALUE"""),20633.0)</f>
        <v>20633</v>
      </c>
      <c r="D5377" s="9" t="str">
        <f>IFERROR(__xludf.DUMMYFUNCTION("""COMPUTED_VALUE"""),"Completed")</f>
        <v>Completed</v>
      </c>
    </row>
    <row r="5378">
      <c r="A5378" s="9" t="str">
        <f>IFERROR(__xludf.DUMMYFUNCTION("""COMPUTED_VALUE"""),"G-REQ-05377")</f>
        <v>G-REQ-05377</v>
      </c>
      <c r="B5378" s="11">
        <f>IFERROR(__xludf.DUMMYFUNCTION("""COMPUTED_VALUE"""),46144.021385618114)</f>
        <v>46144.02139</v>
      </c>
      <c r="C5378" s="9">
        <f>IFERROR(__xludf.DUMMYFUNCTION("""COMPUTED_VALUE"""),20637.0)</f>
        <v>20637</v>
      </c>
      <c r="D5378" s="9" t="str">
        <f>IFERROR(__xludf.DUMMYFUNCTION("""COMPUTED_VALUE"""),"Completed")</f>
        <v>Completed</v>
      </c>
    </row>
    <row r="5379">
      <c r="A5379" s="9" t="str">
        <f>IFERROR(__xludf.DUMMYFUNCTION("""COMPUTED_VALUE"""),"G-REQ-05378")</f>
        <v>G-REQ-05378</v>
      </c>
      <c r="B5379" s="11">
        <f>IFERROR(__xludf.DUMMYFUNCTION("""COMPUTED_VALUE"""),46144.09256046353)</f>
        <v>46144.09256</v>
      </c>
      <c r="C5379" s="9">
        <f>IFERROR(__xludf.DUMMYFUNCTION("""COMPUTED_VALUE"""),20641.0)</f>
        <v>20641</v>
      </c>
      <c r="D5379" s="9" t="str">
        <f>IFERROR(__xludf.DUMMYFUNCTION("""COMPUTED_VALUE"""),"Completed")</f>
        <v>Completed</v>
      </c>
    </row>
    <row r="5380">
      <c r="A5380" s="9" t="str">
        <f>IFERROR(__xludf.DUMMYFUNCTION("""COMPUTED_VALUE"""),"G-REQ-05379")</f>
        <v>G-REQ-05379</v>
      </c>
      <c r="B5380" s="11">
        <f>IFERROR(__xludf.DUMMYFUNCTION("""COMPUTED_VALUE"""),46144.163735308946)</f>
        <v>46144.16374</v>
      </c>
      <c r="C5380" s="9">
        <f>IFERROR(__xludf.DUMMYFUNCTION("""COMPUTED_VALUE"""),20645.0)</f>
        <v>20645</v>
      </c>
      <c r="D5380" s="9" t="str">
        <f>IFERROR(__xludf.DUMMYFUNCTION("""COMPUTED_VALUE"""),"Completed")</f>
        <v>Completed</v>
      </c>
    </row>
    <row r="5381">
      <c r="A5381" s="9" t="str">
        <f>IFERROR(__xludf.DUMMYFUNCTION("""COMPUTED_VALUE"""),"G-REQ-05380")</f>
        <v>G-REQ-05380</v>
      </c>
      <c r="B5381" s="11">
        <f>IFERROR(__xludf.DUMMYFUNCTION("""COMPUTED_VALUE"""),46144.23491015436)</f>
        <v>46144.23491</v>
      </c>
      <c r="C5381" s="9">
        <f>IFERROR(__xludf.DUMMYFUNCTION("""COMPUTED_VALUE"""),20649.0)</f>
        <v>20649</v>
      </c>
      <c r="D5381" s="9" t="str">
        <f>IFERROR(__xludf.DUMMYFUNCTION("""COMPUTED_VALUE"""),"Completed")</f>
        <v>Completed</v>
      </c>
    </row>
    <row r="5382">
      <c r="A5382" s="9" t="str">
        <f>IFERROR(__xludf.DUMMYFUNCTION("""COMPUTED_VALUE"""),"G-REQ-05381")</f>
        <v>G-REQ-05381</v>
      </c>
      <c r="B5382" s="11">
        <f>IFERROR(__xludf.DUMMYFUNCTION("""COMPUTED_VALUE"""),46144.299140555326)</f>
        <v>46144.29914</v>
      </c>
      <c r="C5382" s="9">
        <f>IFERROR(__xludf.DUMMYFUNCTION("""COMPUTED_VALUE"""),20651.0)</f>
        <v>20651</v>
      </c>
      <c r="D5382" s="9" t="str">
        <f>IFERROR(__xludf.DUMMYFUNCTION("""COMPUTED_VALUE"""),"Cancelled")</f>
        <v>Cancelled</v>
      </c>
    </row>
    <row r="5383">
      <c r="A5383" s="9" t="str">
        <f>IFERROR(__xludf.DUMMYFUNCTION("""COMPUTED_VALUE"""),"G-REQ-05382")</f>
        <v>G-REQ-05382</v>
      </c>
      <c r="B5383" s="11">
        <f>IFERROR(__xludf.DUMMYFUNCTION("""COMPUTED_VALUE"""),46144.37725984519)</f>
        <v>46144.37726</v>
      </c>
      <c r="C5383" s="9">
        <f>IFERROR(__xludf.DUMMYFUNCTION("""COMPUTED_VALUE"""),20655.0)</f>
        <v>20655</v>
      </c>
      <c r="D5383" s="9" t="str">
        <f>IFERROR(__xludf.DUMMYFUNCTION("""COMPUTED_VALUE"""),"Completed")</f>
        <v>Completed</v>
      </c>
    </row>
    <row r="5384">
      <c r="A5384" s="9" t="str">
        <f>IFERROR(__xludf.DUMMYFUNCTION("""COMPUTED_VALUE"""),"G-REQ-05383")</f>
        <v>G-REQ-05383</v>
      </c>
      <c r="B5384" s="11">
        <f>IFERROR(__xludf.DUMMYFUNCTION("""COMPUTED_VALUE"""),46144.441490246165)</f>
        <v>46144.44149</v>
      </c>
      <c r="C5384" s="9">
        <f>IFERROR(__xludf.DUMMYFUNCTION("""COMPUTED_VALUE"""),20657.0)</f>
        <v>20657</v>
      </c>
      <c r="D5384" s="9" t="str">
        <f>IFERROR(__xludf.DUMMYFUNCTION("""COMPUTED_VALUE"""),"Rejected")</f>
        <v>Rejected</v>
      </c>
    </row>
    <row r="5385">
      <c r="A5385" s="9" t="str">
        <f>IFERROR(__xludf.DUMMYFUNCTION("""COMPUTED_VALUE"""),"G-REQ-05384")</f>
        <v>G-REQ-05384</v>
      </c>
      <c r="B5385" s="11">
        <f>IFERROR(__xludf.DUMMYFUNCTION("""COMPUTED_VALUE"""),46144.519609536015)</f>
        <v>46144.51961</v>
      </c>
      <c r="C5385" s="9">
        <f>IFERROR(__xludf.DUMMYFUNCTION("""COMPUTED_VALUE"""),20661.0)</f>
        <v>20661</v>
      </c>
      <c r="D5385" s="9" t="str">
        <f>IFERROR(__xludf.DUMMYFUNCTION("""COMPUTED_VALUE"""),"Completed")</f>
        <v>Completed</v>
      </c>
    </row>
    <row r="5386">
      <c r="A5386" s="9" t="str">
        <f>IFERROR(__xludf.DUMMYFUNCTION("""COMPUTED_VALUE"""),"G-REQ-05385")</f>
        <v>G-REQ-05385</v>
      </c>
      <c r="B5386" s="11">
        <f>IFERROR(__xludf.DUMMYFUNCTION("""COMPUTED_VALUE"""),46144.590784381435)</f>
        <v>46144.59078</v>
      </c>
      <c r="C5386" s="9">
        <f>IFERROR(__xludf.DUMMYFUNCTION("""COMPUTED_VALUE"""),20665.0)</f>
        <v>20665</v>
      </c>
      <c r="D5386" s="9" t="str">
        <f>IFERROR(__xludf.DUMMYFUNCTION("""COMPUTED_VALUE"""),"Completed")</f>
        <v>Completed</v>
      </c>
    </row>
    <row r="5387">
      <c r="A5387" s="9" t="str">
        <f>IFERROR(__xludf.DUMMYFUNCTION("""COMPUTED_VALUE"""),"G-REQ-05386")</f>
        <v>G-REQ-05386</v>
      </c>
      <c r="B5387" s="11">
        <f>IFERROR(__xludf.DUMMYFUNCTION("""COMPUTED_VALUE"""),46144.661959226854)</f>
        <v>46144.66196</v>
      </c>
      <c r="C5387" s="9">
        <f>IFERROR(__xludf.DUMMYFUNCTION("""COMPUTED_VALUE"""),20669.0)</f>
        <v>20669</v>
      </c>
      <c r="D5387" s="9" t="str">
        <f>IFERROR(__xludf.DUMMYFUNCTION("""COMPUTED_VALUE"""),"Completed")</f>
        <v>Completed</v>
      </c>
    </row>
    <row r="5388">
      <c r="A5388" s="9" t="str">
        <f>IFERROR(__xludf.DUMMYFUNCTION("""COMPUTED_VALUE"""),"G-REQ-05387")</f>
        <v>G-REQ-05387</v>
      </c>
      <c r="B5388" s="11">
        <f>IFERROR(__xludf.DUMMYFUNCTION("""COMPUTED_VALUE"""),46144.72618962782)</f>
        <v>46144.72619</v>
      </c>
      <c r="C5388" s="9">
        <f>IFERROR(__xludf.DUMMYFUNCTION("""COMPUTED_VALUE"""),20671.0)</f>
        <v>20671</v>
      </c>
      <c r="D5388" s="9" t="str">
        <f>IFERROR(__xludf.DUMMYFUNCTION("""COMPUTED_VALUE"""),"Rejected")</f>
        <v>Rejected</v>
      </c>
    </row>
    <row r="5389">
      <c r="A5389" s="9" t="str">
        <f>IFERROR(__xludf.DUMMYFUNCTION("""COMPUTED_VALUE"""),"G-REQ-05388")</f>
        <v>G-REQ-05388</v>
      </c>
      <c r="B5389" s="11">
        <f>IFERROR(__xludf.DUMMYFUNCTION("""COMPUTED_VALUE"""),46144.80430891768)</f>
        <v>46144.80431</v>
      </c>
      <c r="C5389" s="9">
        <f>IFERROR(__xludf.DUMMYFUNCTION("""COMPUTED_VALUE"""),20675.0)</f>
        <v>20675</v>
      </c>
      <c r="D5389" s="9" t="str">
        <f>IFERROR(__xludf.DUMMYFUNCTION("""COMPUTED_VALUE"""),"Completed")</f>
        <v>Completed</v>
      </c>
    </row>
    <row r="5390">
      <c r="A5390" s="9" t="str">
        <f>IFERROR(__xludf.DUMMYFUNCTION("""COMPUTED_VALUE"""),"G-REQ-05389")</f>
        <v>G-REQ-05389</v>
      </c>
      <c r="B5390" s="11">
        <f>IFERROR(__xludf.DUMMYFUNCTION("""COMPUTED_VALUE"""),46144.8754837631)</f>
        <v>46144.87548</v>
      </c>
      <c r="C5390" s="9">
        <f>IFERROR(__xludf.DUMMYFUNCTION("""COMPUTED_VALUE"""),20679.0)</f>
        <v>20679</v>
      </c>
      <c r="D5390" s="9" t="str">
        <f>IFERROR(__xludf.DUMMYFUNCTION("""COMPUTED_VALUE"""),"Completed")</f>
        <v>Completed</v>
      </c>
    </row>
    <row r="5391">
      <c r="A5391" s="9" t="str">
        <f>IFERROR(__xludf.DUMMYFUNCTION("""COMPUTED_VALUE"""),"G-REQ-05390")</f>
        <v>G-REQ-05390</v>
      </c>
      <c r="B5391" s="11">
        <f>IFERROR(__xludf.DUMMYFUNCTION("""COMPUTED_VALUE"""),46144.94665860851)</f>
        <v>46144.94666</v>
      </c>
      <c r="C5391" s="9">
        <f>IFERROR(__xludf.DUMMYFUNCTION("""COMPUTED_VALUE"""),20683.0)</f>
        <v>20683</v>
      </c>
      <c r="D5391" s="9" t="str">
        <f>IFERROR(__xludf.DUMMYFUNCTION("""COMPUTED_VALUE"""),"Completed")</f>
        <v>Completed</v>
      </c>
    </row>
    <row r="5392">
      <c r="A5392" s="9" t="str">
        <f>IFERROR(__xludf.DUMMYFUNCTION("""COMPUTED_VALUE"""),"G-REQ-05391")</f>
        <v>G-REQ-05391</v>
      </c>
      <c r="B5392" s="11">
        <f>IFERROR(__xludf.DUMMYFUNCTION("""COMPUTED_VALUE"""),46145.01783345392)</f>
        <v>46145.01783</v>
      </c>
      <c r="C5392" s="9">
        <f>IFERROR(__xludf.DUMMYFUNCTION("""COMPUTED_VALUE"""),20687.0)</f>
        <v>20687</v>
      </c>
      <c r="D5392" s="9" t="str">
        <f>IFERROR(__xludf.DUMMYFUNCTION("""COMPUTED_VALUE"""),"Completed")</f>
        <v>Completed</v>
      </c>
    </row>
    <row r="5393">
      <c r="A5393" s="9" t="str">
        <f>IFERROR(__xludf.DUMMYFUNCTION("""COMPUTED_VALUE"""),"G-REQ-05392")</f>
        <v>G-REQ-05392</v>
      </c>
      <c r="B5393" s="11">
        <f>IFERROR(__xludf.DUMMYFUNCTION("""COMPUTED_VALUE"""),46145.08900829934)</f>
        <v>46145.08901</v>
      </c>
      <c r="C5393" s="9">
        <f>IFERROR(__xludf.DUMMYFUNCTION("""COMPUTED_VALUE"""),20691.0)</f>
        <v>20691</v>
      </c>
      <c r="D5393" s="9" t="str">
        <f>IFERROR(__xludf.DUMMYFUNCTION("""COMPUTED_VALUE"""),"Completed")</f>
        <v>Completed</v>
      </c>
    </row>
    <row r="5394">
      <c r="A5394" s="9" t="str">
        <f>IFERROR(__xludf.DUMMYFUNCTION("""COMPUTED_VALUE"""),"G-REQ-05393")</f>
        <v>G-REQ-05393</v>
      </c>
      <c r="B5394" s="11">
        <f>IFERROR(__xludf.DUMMYFUNCTION("""COMPUTED_VALUE"""),46145.16018314476)</f>
        <v>46145.16018</v>
      </c>
      <c r="C5394" s="9">
        <f>IFERROR(__xludf.DUMMYFUNCTION("""COMPUTED_VALUE"""),20695.0)</f>
        <v>20695</v>
      </c>
      <c r="D5394" s="9" t="str">
        <f>IFERROR(__xludf.DUMMYFUNCTION("""COMPUTED_VALUE"""),"Completed")</f>
        <v>Completed</v>
      </c>
    </row>
    <row r="5395">
      <c r="A5395" s="9" t="str">
        <f>IFERROR(__xludf.DUMMYFUNCTION("""COMPUTED_VALUE"""),"G-REQ-05394")</f>
        <v>G-REQ-05394</v>
      </c>
      <c r="B5395" s="11">
        <f>IFERROR(__xludf.DUMMYFUNCTION("""COMPUTED_VALUE"""),46145.23135799017)</f>
        <v>46145.23136</v>
      </c>
      <c r="C5395" s="9">
        <f>IFERROR(__xludf.DUMMYFUNCTION("""COMPUTED_VALUE"""),20699.0)</f>
        <v>20699</v>
      </c>
      <c r="D5395" s="9" t="str">
        <f>IFERROR(__xludf.DUMMYFUNCTION("""COMPUTED_VALUE"""),"Completed")</f>
        <v>Completed</v>
      </c>
    </row>
    <row r="5396">
      <c r="A5396" s="9" t="str">
        <f>IFERROR(__xludf.DUMMYFUNCTION("""COMPUTED_VALUE"""),"G-REQ-05395")</f>
        <v>G-REQ-05395</v>
      </c>
      <c r="B5396" s="11">
        <f>IFERROR(__xludf.DUMMYFUNCTION("""COMPUTED_VALUE"""),46145.30253283559)</f>
        <v>46145.30253</v>
      </c>
      <c r="C5396" s="9">
        <f>IFERROR(__xludf.DUMMYFUNCTION("""COMPUTED_VALUE"""),20703.0)</f>
        <v>20703</v>
      </c>
      <c r="D5396" s="9" t="str">
        <f>IFERROR(__xludf.DUMMYFUNCTION("""COMPUTED_VALUE"""),"Completed")</f>
        <v>Completed</v>
      </c>
    </row>
    <row r="5397">
      <c r="A5397" s="9" t="str">
        <f>IFERROR(__xludf.DUMMYFUNCTION("""COMPUTED_VALUE"""),"G-REQ-05396")</f>
        <v>G-REQ-05396</v>
      </c>
      <c r="B5397" s="11">
        <f>IFERROR(__xludf.DUMMYFUNCTION("""COMPUTED_VALUE"""),46145.373707681)</f>
        <v>46145.37371</v>
      </c>
      <c r="C5397" s="9">
        <f>IFERROR(__xludf.DUMMYFUNCTION("""COMPUTED_VALUE"""),20707.0)</f>
        <v>20707</v>
      </c>
      <c r="D5397" s="9" t="str">
        <f>IFERROR(__xludf.DUMMYFUNCTION("""COMPUTED_VALUE"""),"Completed")</f>
        <v>Completed</v>
      </c>
    </row>
    <row r="5398">
      <c r="A5398" s="9" t="str">
        <f>IFERROR(__xludf.DUMMYFUNCTION("""COMPUTED_VALUE"""),"G-REQ-05397")</f>
        <v>G-REQ-05397</v>
      </c>
      <c r="B5398" s="11">
        <f>IFERROR(__xludf.DUMMYFUNCTION("""COMPUTED_VALUE"""),46145.44488252642)</f>
        <v>46145.44488</v>
      </c>
      <c r="C5398" s="9">
        <f>IFERROR(__xludf.DUMMYFUNCTION("""COMPUTED_VALUE"""),20711.0)</f>
        <v>20711</v>
      </c>
      <c r="D5398" s="9" t="str">
        <f>IFERROR(__xludf.DUMMYFUNCTION("""COMPUTED_VALUE"""),"Completed")</f>
        <v>Completed</v>
      </c>
    </row>
    <row r="5399">
      <c r="A5399" s="9" t="str">
        <f>IFERROR(__xludf.DUMMYFUNCTION("""COMPUTED_VALUE"""),"G-REQ-05398")</f>
        <v>G-REQ-05398</v>
      </c>
      <c r="B5399" s="11">
        <f>IFERROR(__xludf.DUMMYFUNCTION("""COMPUTED_VALUE"""),46145.51605737183)</f>
        <v>46145.51606</v>
      </c>
      <c r="C5399" s="9">
        <f>IFERROR(__xludf.DUMMYFUNCTION("""COMPUTED_VALUE"""),20715.0)</f>
        <v>20715</v>
      </c>
      <c r="D5399" s="9" t="str">
        <f>IFERROR(__xludf.DUMMYFUNCTION("""COMPUTED_VALUE"""),"Completed")</f>
        <v>Completed</v>
      </c>
    </row>
    <row r="5400">
      <c r="A5400" s="9" t="str">
        <f>IFERROR(__xludf.DUMMYFUNCTION("""COMPUTED_VALUE"""),"G-REQ-05399")</f>
        <v>G-REQ-05399</v>
      </c>
      <c r="B5400" s="11">
        <f>IFERROR(__xludf.DUMMYFUNCTION("""COMPUTED_VALUE"""),46145.58723221725)</f>
        <v>46145.58723</v>
      </c>
      <c r="C5400" s="9">
        <f>IFERROR(__xludf.DUMMYFUNCTION("""COMPUTED_VALUE"""),20719.0)</f>
        <v>20719</v>
      </c>
      <c r="D5400" s="9" t="str">
        <f>IFERROR(__xludf.DUMMYFUNCTION("""COMPUTED_VALUE"""),"Completed")</f>
        <v>Completed</v>
      </c>
    </row>
    <row r="5401">
      <c r="A5401" s="9" t="str">
        <f>IFERROR(__xludf.DUMMYFUNCTION("""COMPUTED_VALUE"""),"G-REQ-05400")</f>
        <v>G-REQ-05400</v>
      </c>
      <c r="B5401" s="11">
        <f>IFERROR(__xludf.DUMMYFUNCTION("""COMPUTED_VALUE"""),46145.658407062656)</f>
        <v>46145.65841</v>
      </c>
      <c r="C5401" s="9">
        <f>IFERROR(__xludf.DUMMYFUNCTION("""COMPUTED_VALUE"""),20723.0)</f>
        <v>20723</v>
      </c>
      <c r="D5401" s="9" t="str">
        <f>IFERROR(__xludf.DUMMYFUNCTION("""COMPUTED_VALUE"""),"Completed")</f>
        <v>Completed</v>
      </c>
    </row>
    <row r="5402">
      <c r="A5402" s="9" t="str">
        <f>IFERROR(__xludf.DUMMYFUNCTION("""COMPUTED_VALUE"""),"G-REQ-05401")</f>
        <v>G-REQ-05401</v>
      </c>
      <c r="B5402" s="11">
        <f>IFERROR(__xludf.DUMMYFUNCTION("""COMPUTED_VALUE"""),46145.729581908075)</f>
        <v>46145.72958</v>
      </c>
      <c r="C5402" s="9">
        <f>IFERROR(__xludf.DUMMYFUNCTION("""COMPUTED_VALUE"""),20727.0)</f>
        <v>20727</v>
      </c>
      <c r="D5402" s="9" t="str">
        <f>IFERROR(__xludf.DUMMYFUNCTION("""COMPUTED_VALUE"""),"Completed")</f>
        <v>Completed</v>
      </c>
    </row>
    <row r="5403">
      <c r="A5403" s="9" t="str">
        <f>IFERROR(__xludf.DUMMYFUNCTION("""COMPUTED_VALUE"""),"G-REQ-05402")</f>
        <v>G-REQ-05402</v>
      </c>
      <c r="B5403" s="11">
        <f>IFERROR(__xludf.DUMMYFUNCTION("""COMPUTED_VALUE"""),46145.800756753495)</f>
        <v>46145.80076</v>
      </c>
      <c r="C5403" s="9">
        <f>IFERROR(__xludf.DUMMYFUNCTION("""COMPUTED_VALUE"""),20731.0)</f>
        <v>20731</v>
      </c>
      <c r="D5403" s="9" t="str">
        <f>IFERROR(__xludf.DUMMYFUNCTION("""COMPUTED_VALUE"""),"Completed")</f>
        <v>Completed</v>
      </c>
    </row>
    <row r="5404">
      <c r="A5404" s="9" t="str">
        <f>IFERROR(__xludf.DUMMYFUNCTION("""COMPUTED_VALUE"""),"G-REQ-05403")</f>
        <v>G-REQ-05403</v>
      </c>
      <c r="B5404" s="11">
        <f>IFERROR(__xludf.DUMMYFUNCTION("""COMPUTED_VALUE"""),46145.87193159891)</f>
        <v>46145.87193</v>
      </c>
      <c r="C5404" s="9">
        <f>IFERROR(__xludf.DUMMYFUNCTION("""COMPUTED_VALUE"""),20735.0)</f>
        <v>20735</v>
      </c>
      <c r="D5404" s="9" t="str">
        <f>IFERROR(__xludf.DUMMYFUNCTION("""COMPUTED_VALUE"""),"Completed")</f>
        <v>Completed</v>
      </c>
    </row>
    <row r="5405">
      <c r="A5405" s="9" t="str">
        <f>IFERROR(__xludf.DUMMYFUNCTION("""COMPUTED_VALUE"""),"G-REQ-05404")</f>
        <v>G-REQ-05404</v>
      </c>
      <c r="B5405" s="11">
        <f>IFERROR(__xludf.DUMMYFUNCTION("""COMPUTED_VALUE"""),46145.94310644432)</f>
        <v>46145.94311</v>
      </c>
      <c r="C5405" s="9">
        <f>IFERROR(__xludf.DUMMYFUNCTION("""COMPUTED_VALUE"""),20739.0)</f>
        <v>20739</v>
      </c>
      <c r="D5405" s="9" t="str">
        <f>IFERROR(__xludf.DUMMYFUNCTION("""COMPUTED_VALUE"""),"Completed")</f>
        <v>Completed</v>
      </c>
    </row>
    <row r="5406">
      <c r="A5406" s="9" t="str">
        <f>IFERROR(__xludf.DUMMYFUNCTION("""COMPUTED_VALUE"""),"G-REQ-05405")</f>
        <v>G-REQ-05405</v>
      </c>
      <c r="B5406" s="11">
        <f>IFERROR(__xludf.DUMMYFUNCTION("""COMPUTED_VALUE"""),46146.01428128974)</f>
        <v>46146.01428</v>
      </c>
      <c r="C5406" s="9">
        <f>IFERROR(__xludf.DUMMYFUNCTION("""COMPUTED_VALUE"""),20743.0)</f>
        <v>20743</v>
      </c>
      <c r="D5406" s="9" t="str">
        <f>IFERROR(__xludf.DUMMYFUNCTION("""COMPUTED_VALUE"""),"Completed")</f>
        <v>Completed</v>
      </c>
    </row>
    <row r="5407">
      <c r="A5407" s="9" t="str">
        <f>IFERROR(__xludf.DUMMYFUNCTION("""COMPUTED_VALUE"""),"G-REQ-05406")</f>
        <v>G-REQ-05406</v>
      </c>
      <c r="B5407" s="11">
        <f>IFERROR(__xludf.DUMMYFUNCTION("""COMPUTED_VALUE"""),46146.08545613515)</f>
        <v>46146.08546</v>
      </c>
      <c r="C5407" s="9">
        <f>IFERROR(__xludf.DUMMYFUNCTION("""COMPUTED_VALUE"""),20747.0)</f>
        <v>20747</v>
      </c>
      <c r="D5407" s="9" t="str">
        <f>IFERROR(__xludf.DUMMYFUNCTION("""COMPUTED_VALUE"""),"Completed")</f>
        <v>Completed</v>
      </c>
    </row>
    <row r="5408">
      <c r="A5408" s="9" t="str">
        <f>IFERROR(__xludf.DUMMYFUNCTION("""COMPUTED_VALUE"""),"G-REQ-05407")</f>
        <v>G-REQ-05407</v>
      </c>
      <c r="B5408" s="11">
        <f>IFERROR(__xludf.DUMMYFUNCTION("""COMPUTED_VALUE"""),46146.156630980564)</f>
        <v>46146.15663</v>
      </c>
      <c r="C5408" s="9">
        <f>IFERROR(__xludf.DUMMYFUNCTION("""COMPUTED_VALUE"""),20751.0)</f>
        <v>20751</v>
      </c>
      <c r="D5408" s="9" t="str">
        <f>IFERROR(__xludf.DUMMYFUNCTION("""COMPUTED_VALUE"""),"Completed")</f>
        <v>Completed</v>
      </c>
    </row>
    <row r="5409">
      <c r="A5409" s="9" t="str">
        <f>IFERROR(__xludf.DUMMYFUNCTION("""COMPUTED_VALUE"""),"G-REQ-05408")</f>
        <v>G-REQ-05408</v>
      </c>
      <c r="B5409" s="11">
        <f>IFERROR(__xludf.DUMMYFUNCTION("""COMPUTED_VALUE"""),46146.22780582598)</f>
        <v>46146.22781</v>
      </c>
      <c r="C5409" s="9">
        <f>IFERROR(__xludf.DUMMYFUNCTION("""COMPUTED_VALUE"""),20755.0)</f>
        <v>20755</v>
      </c>
      <c r="D5409" s="9" t="str">
        <f>IFERROR(__xludf.DUMMYFUNCTION("""COMPUTED_VALUE"""),"Completed")</f>
        <v>Completed</v>
      </c>
    </row>
    <row r="5410">
      <c r="A5410" s="9" t="str">
        <f>IFERROR(__xludf.DUMMYFUNCTION("""COMPUTED_VALUE"""),"G-REQ-05409")</f>
        <v>G-REQ-05409</v>
      </c>
      <c r="B5410" s="11">
        <f>IFERROR(__xludf.DUMMYFUNCTION("""COMPUTED_VALUE"""),46146.2989806714)</f>
        <v>46146.29898</v>
      </c>
      <c r="C5410" s="9">
        <f>IFERROR(__xludf.DUMMYFUNCTION("""COMPUTED_VALUE"""),20759.0)</f>
        <v>20759</v>
      </c>
      <c r="D5410" s="9" t="str">
        <f>IFERROR(__xludf.DUMMYFUNCTION("""COMPUTED_VALUE"""),"Completed")</f>
        <v>Completed</v>
      </c>
    </row>
    <row r="5411">
      <c r="A5411" s="9" t="str">
        <f>IFERROR(__xludf.DUMMYFUNCTION("""COMPUTED_VALUE"""),"G-REQ-05410")</f>
        <v>G-REQ-05410</v>
      </c>
      <c r="B5411" s="11">
        <f>IFERROR(__xludf.DUMMYFUNCTION("""COMPUTED_VALUE"""),46146.37015551681)</f>
        <v>46146.37016</v>
      </c>
      <c r="C5411" s="9">
        <f>IFERROR(__xludf.DUMMYFUNCTION("""COMPUTED_VALUE"""),20763.0)</f>
        <v>20763</v>
      </c>
      <c r="D5411" s="9" t="str">
        <f>IFERROR(__xludf.DUMMYFUNCTION("""COMPUTED_VALUE"""),"Completed")</f>
        <v>Completed</v>
      </c>
    </row>
    <row r="5412">
      <c r="A5412" s="9" t="str">
        <f>IFERROR(__xludf.DUMMYFUNCTION("""COMPUTED_VALUE"""),"G-REQ-05411")</f>
        <v>G-REQ-05411</v>
      </c>
      <c r="B5412" s="11">
        <f>IFERROR(__xludf.DUMMYFUNCTION("""COMPUTED_VALUE"""),46146.44133036223)</f>
        <v>46146.44133</v>
      </c>
      <c r="C5412" s="9">
        <f>IFERROR(__xludf.DUMMYFUNCTION("""COMPUTED_VALUE"""),20767.0)</f>
        <v>20767</v>
      </c>
      <c r="D5412" s="9" t="str">
        <f>IFERROR(__xludf.DUMMYFUNCTION("""COMPUTED_VALUE"""),"Completed")</f>
        <v>Completed</v>
      </c>
    </row>
    <row r="5413">
      <c r="A5413" s="9" t="str">
        <f>IFERROR(__xludf.DUMMYFUNCTION("""COMPUTED_VALUE"""),"G-REQ-05412")</f>
        <v>G-REQ-05412</v>
      </c>
      <c r="B5413" s="11">
        <f>IFERROR(__xludf.DUMMYFUNCTION("""COMPUTED_VALUE"""),46146.5055607632)</f>
        <v>46146.50556</v>
      </c>
      <c r="C5413" s="9">
        <f>IFERROR(__xludf.DUMMYFUNCTION("""COMPUTED_VALUE"""),20769.0)</f>
        <v>20769</v>
      </c>
      <c r="D5413" s="9" t="str">
        <f>IFERROR(__xludf.DUMMYFUNCTION("""COMPUTED_VALUE"""),"Rejected")</f>
        <v>Rejected</v>
      </c>
    </row>
    <row r="5414">
      <c r="A5414" s="9" t="str">
        <f>IFERROR(__xludf.DUMMYFUNCTION("""COMPUTED_VALUE"""),"G-REQ-05413")</f>
        <v>G-REQ-05413</v>
      </c>
      <c r="B5414" s="11">
        <f>IFERROR(__xludf.DUMMYFUNCTION("""COMPUTED_VALUE"""),46146.58368005306)</f>
        <v>46146.58368</v>
      </c>
      <c r="C5414" s="9">
        <f>IFERROR(__xludf.DUMMYFUNCTION("""COMPUTED_VALUE"""),20773.0)</f>
        <v>20773</v>
      </c>
      <c r="D5414" s="9" t="str">
        <f>IFERROR(__xludf.DUMMYFUNCTION("""COMPUTED_VALUE"""),"Completed")</f>
        <v>Completed</v>
      </c>
    </row>
    <row r="5415">
      <c r="A5415" s="9" t="str">
        <f>IFERROR(__xludf.DUMMYFUNCTION("""COMPUTED_VALUE"""),"G-REQ-05414")</f>
        <v>G-REQ-05414</v>
      </c>
      <c r="B5415" s="11">
        <f>IFERROR(__xludf.DUMMYFUNCTION("""COMPUTED_VALUE"""),46146.65485489847)</f>
        <v>46146.65485</v>
      </c>
      <c r="C5415" s="9">
        <f>IFERROR(__xludf.DUMMYFUNCTION("""COMPUTED_VALUE"""),20777.0)</f>
        <v>20777</v>
      </c>
      <c r="D5415" s="9" t="str">
        <f>IFERROR(__xludf.DUMMYFUNCTION("""COMPUTED_VALUE"""),"Completed")</f>
        <v>Completed</v>
      </c>
    </row>
    <row r="5416">
      <c r="A5416" s="9" t="str">
        <f>IFERROR(__xludf.DUMMYFUNCTION("""COMPUTED_VALUE"""),"G-REQ-05415")</f>
        <v>G-REQ-05415</v>
      </c>
      <c r="B5416" s="11">
        <f>IFERROR(__xludf.DUMMYFUNCTION("""COMPUTED_VALUE"""),46146.719085299446)</f>
        <v>46146.71909</v>
      </c>
      <c r="C5416" s="9">
        <f>IFERROR(__xludf.DUMMYFUNCTION("""COMPUTED_VALUE"""),20779.0)</f>
        <v>20779</v>
      </c>
      <c r="D5416" s="9" t="str">
        <f>IFERROR(__xludf.DUMMYFUNCTION("""COMPUTED_VALUE"""),"Rejected")</f>
        <v>Rejected</v>
      </c>
    </row>
    <row r="5417">
      <c r="A5417" s="9" t="str">
        <f>IFERROR(__xludf.DUMMYFUNCTION("""COMPUTED_VALUE"""),"G-REQ-05416")</f>
        <v>G-REQ-05416</v>
      </c>
      <c r="B5417" s="11">
        <f>IFERROR(__xludf.DUMMYFUNCTION("""COMPUTED_VALUE"""),46146.797204589304)</f>
        <v>46146.7972</v>
      </c>
      <c r="C5417" s="9">
        <f>IFERROR(__xludf.DUMMYFUNCTION("""COMPUTED_VALUE"""),20783.0)</f>
        <v>20783</v>
      </c>
      <c r="D5417" s="9" t="str">
        <f>IFERROR(__xludf.DUMMYFUNCTION("""COMPUTED_VALUE"""),"Completed")</f>
        <v>Completed</v>
      </c>
    </row>
    <row r="5418">
      <c r="A5418" s="9" t="str">
        <f>IFERROR(__xludf.DUMMYFUNCTION("""COMPUTED_VALUE"""),"G-REQ-05417")</f>
        <v>G-REQ-05417</v>
      </c>
      <c r="B5418" s="11">
        <f>IFERROR(__xludf.DUMMYFUNCTION("""COMPUTED_VALUE"""),46146.868379434716)</f>
        <v>46146.86838</v>
      </c>
      <c r="C5418" s="9">
        <f>IFERROR(__xludf.DUMMYFUNCTION("""COMPUTED_VALUE"""),20787.0)</f>
        <v>20787</v>
      </c>
      <c r="D5418" s="9" t="str">
        <f>IFERROR(__xludf.DUMMYFUNCTION("""COMPUTED_VALUE"""),"Completed")</f>
        <v>Completed</v>
      </c>
    </row>
    <row r="5419">
      <c r="A5419" s="9" t="str">
        <f>IFERROR(__xludf.DUMMYFUNCTION("""COMPUTED_VALUE"""),"G-REQ-05418")</f>
        <v>G-REQ-05418</v>
      </c>
      <c r="B5419" s="11">
        <f>IFERROR(__xludf.DUMMYFUNCTION("""COMPUTED_VALUE"""),46146.939554280136)</f>
        <v>46146.93955</v>
      </c>
      <c r="C5419" s="9">
        <f>IFERROR(__xludf.DUMMYFUNCTION("""COMPUTED_VALUE"""),20791.0)</f>
        <v>20791</v>
      </c>
      <c r="D5419" s="9" t="str">
        <f>IFERROR(__xludf.DUMMYFUNCTION("""COMPUTED_VALUE"""),"Completed")</f>
        <v>Completed</v>
      </c>
    </row>
    <row r="5420">
      <c r="A5420" s="9" t="str">
        <f>IFERROR(__xludf.DUMMYFUNCTION("""COMPUTED_VALUE"""),"G-REQ-05419")</f>
        <v>G-REQ-05419</v>
      </c>
      <c r="B5420" s="11">
        <f>IFERROR(__xludf.DUMMYFUNCTION("""COMPUTED_VALUE"""),46147.01072912555)</f>
        <v>46147.01073</v>
      </c>
      <c r="C5420" s="9">
        <f>IFERROR(__xludf.DUMMYFUNCTION("""COMPUTED_VALUE"""),20795.0)</f>
        <v>20795</v>
      </c>
      <c r="D5420" s="9" t="str">
        <f>IFERROR(__xludf.DUMMYFUNCTION("""COMPUTED_VALUE"""),"Completed")</f>
        <v>Completed</v>
      </c>
    </row>
    <row r="5421">
      <c r="A5421" s="9" t="str">
        <f>IFERROR(__xludf.DUMMYFUNCTION("""COMPUTED_VALUE"""),"G-REQ-05420")</f>
        <v>G-REQ-05420</v>
      </c>
      <c r="B5421" s="11">
        <f>IFERROR(__xludf.DUMMYFUNCTION("""COMPUTED_VALUE"""),46147.08190397096)</f>
        <v>46147.0819</v>
      </c>
      <c r="C5421" s="9">
        <f>IFERROR(__xludf.DUMMYFUNCTION("""COMPUTED_VALUE"""),20799.0)</f>
        <v>20799</v>
      </c>
      <c r="D5421" s="9" t="str">
        <f>IFERROR(__xludf.DUMMYFUNCTION("""COMPUTED_VALUE"""),"Completed")</f>
        <v>Completed</v>
      </c>
    </row>
    <row r="5422">
      <c r="A5422" s="9" t="str">
        <f>IFERROR(__xludf.DUMMYFUNCTION("""COMPUTED_VALUE"""),"G-REQ-05421")</f>
        <v>G-REQ-05421</v>
      </c>
      <c r="B5422" s="11">
        <f>IFERROR(__xludf.DUMMYFUNCTION("""COMPUTED_VALUE"""),46147.146134371935)</f>
        <v>46147.14613</v>
      </c>
      <c r="C5422" s="9">
        <f>IFERROR(__xludf.DUMMYFUNCTION("""COMPUTED_VALUE"""),20801.0)</f>
        <v>20801</v>
      </c>
      <c r="D5422" s="9" t="str">
        <f>IFERROR(__xludf.DUMMYFUNCTION("""COMPUTED_VALUE"""),"Rejected")</f>
        <v>Rejected</v>
      </c>
    </row>
    <row r="5423">
      <c r="A5423" s="9" t="str">
        <f>IFERROR(__xludf.DUMMYFUNCTION("""COMPUTED_VALUE"""),"G-REQ-05422")</f>
        <v>G-REQ-05422</v>
      </c>
      <c r="B5423" s="11">
        <f>IFERROR(__xludf.DUMMYFUNCTION("""COMPUTED_VALUE"""),46147.22425366179)</f>
        <v>46147.22425</v>
      </c>
      <c r="C5423" s="9">
        <f>IFERROR(__xludf.DUMMYFUNCTION("""COMPUTED_VALUE"""),20805.0)</f>
        <v>20805</v>
      </c>
      <c r="D5423" s="9" t="str">
        <f>IFERROR(__xludf.DUMMYFUNCTION("""COMPUTED_VALUE"""),"Completed")</f>
        <v>Completed</v>
      </c>
    </row>
    <row r="5424">
      <c r="A5424" s="9" t="str">
        <f>IFERROR(__xludf.DUMMYFUNCTION("""COMPUTED_VALUE"""),"G-REQ-05423")</f>
        <v>G-REQ-05423</v>
      </c>
      <c r="B5424" s="11">
        <f>IFERROR(__xludf.DUMMYFUNCTION("""COMPUTED_VALUE"""),46147.295428507205)</f>
        <v>46147.29543</v>
      </c>
      <c r="C5424" s="9">
        <f>IFERROR(__xludf.DUMMYFUNCTION("""COMPUTED_VALUE"""),20809.0)</f>
        <v>20809</v>
      </c>
      <c r="D5424" s="9" t="str">
        <f>IFERROR(__xludf.DUMMYFUNCTION("""COMPUTED_VALUE"""),"Completed")</f>
        <v>Completed</v>
      </c>
    </row>
    <row r="5425">
      <c r="A5425" s="9" t="str">
        <f>IFERROR(__xludf.DUMMYFUNCTION("""COMPUTED_VALUE"""),"G-REQ-05424")</f>
        <v>G-REQ-05424</v>
      </c>
      <c r="B5425" s="11">
        <f>IFERROR(__xludf.DUMMYFUNCTION("""COMPUTED_VALUE"""),46147.366603352624)</f>
        <v>46147.3666</v>
      </c>
      <c r="C5425" s="9">
        <f>IFERROR(__xludf.DUMMYFUNCTION("""COMPUTED_VALUE"""),20813.0)</f>
        <v>20813</v>
      </c>
      <c r="D5425" s="9" t="str">
        <f>IFERROR(__xludf.DUMMYFUNCTION("""COMPUTED_VALUE"""),"Completed")</f>
        <v>Completed</v>
      </c>
    </row>
    <row r="5426">
      <c r="A5426" s="9" t="str">
        <f>IFERROR(__xludf.DUMMYFUNCTION("""COMPUTED_VALUE"""),"G-REQ-05425")</f>
        <v>G-REQ-05425</v>
      </c>
      <c r="B5426" s="11">
        <f>IFERROR(__xludf.DUMMYFUNCTION("""COMPUTED_VALUE"""),46147.437778198044)</f>
        <v>46147.43778</v>
      </c>
      <c r="C5426" s="9">
        <f>IFERROR(__xludf.DUMMYFUNCTION("""COMPUTED_VALUE"""),20817.0)</f>
        <v>20817</v>
      </c>
      <c r="D5426" s="9" t="str">
        <f>IFERROR(__xludf.DUMMYFUNCTION("""COMPUTED_VALUE"""),"Completed")</f>
        <v>Completed</v>
      </c>
    </row>
    <row r="5427">
      <c r="A5427" s="9" t="str">
        <f>IFERROR(__xludf.DUMMYFUNCTION("""COMPUTED_VALUE"""),"G-REQ-05426")</f>
        <v>G-REQ-05426</v>
      </c>
      <c r="B5427" s="11">
        <f>IFERROR(__xludf.DUMMYFUNCTION("""COMPUTED_VALUE"""),46147.50895304345)</f>
        <v>46147.50895</v>
      </c>
      <c r="C5427" s="9">
        <f>IFERROR(__xludf.DUMMYFUNCTION("""COMPUTED_VALUE"""),20821.0)</f>
        <v>20821</v>
      </c>
      <c r="D5427" s="9" t="str">
        <f>IFERROR(__xludf.DUMMYFUNCTION("""COMPUTED_VALUE"""),"Completed")</f>
        <v>Completed</v>
      </c>
    </row>
    <row r="5428">
      <c r="A5428" s="9" t="str">
        <f>IFERROR(__xludf.DUMMYFUNCTION("""COMPUTED_VALUE"""),"G-REQ-05427")</f>
        <v>G-REQ-05427</v>
      </c>
      <c r="B5428" s="11">
        <f>IFERROR(__xludf.DUMMYFUNCTION("""COMPUTED_VALUE"""),46147.58012788887)</f>
        <v>46147.58013</v>
      </c>
      <c r="C5428" s="9">
        <f>IFERROR(__xludf.DUMMYFUNCTION("""COMPUTED_VALUE"""),20825.0)</f>
        <v>20825</v>
      </c>
      <c r="D5428" s="9" t="str">
        <f>IFERROR(__xludf.DUMMYFUNCTION("""COMPUTED_VALUE"""),"Completed")</f>
        <v>Completed</v>
      </c>
    </row>
    <row r="5429">
      <c r="A5429" s="9" t="str">
        <f>IFERROR(__xludf.DUMMYFUNCTION("""COMPUTED_VALUE"""),"G-REQ-05428")</f>
        <v>G-REQ-05428</v>
      </c>
      <c r="B5429" s="11">
        <f>IFERROR(__xludf.DUMMYFUNCTION("""COMPUTED_VALUE"""),46147.65130273429)</f>
        <v>46147.6513</v>
      </c>
      <c r="C5429" s="9">
        <f>IFERROR(__xludf.DUMMYFUNCTION("""COMPUTED_VALUE"""),20829.0)</f>
        <v>20829</v>
      </c>
      <c r="D5429" s="9" t="str">
        <f>IFERROR(__xludf.DUMMYFUNCTION("""COMPUTED_VALUE"""),"Completed")</f>
        <v>Completed</v>
      </c>
    </row>
    <row r="5430">
      <c r="A5430" s="9" t="str">
        <f>IFERROR(__xludf.DUMMYFUNCTION("""COMPUTED_VALUE"""),"G-REQ-05429")</f>
        <v>G-REQ-05429</v>
      </c>
      <c r="B5430" s="11">
        <f>IFERROR(__xludf.DUMMYFUNCTION("""COMPUTED_VALUE"""),46147.7224775797)</f>
        <v>46147.72248</v>
      </c>
      <c r="C5430" s="9">
        <f>IFERROR(__xludf.DUMMYFUNCTION("""COMPUTED_VALUE"""),20833.0)</f>
        <v>20833</v>
      </c>
      <c r="D5430" s="9" t="str">
        <f>IFERROR(__xludf.DUMMYFUNCTION("""COMPUTED_VALUE"""),"Completed")</f>
        <v>Completed</v>
      </c>
    </row>
    <row r="5431">
      <c r="A5431" s="9" t="str">
        <f>IFERROR(__xludf.DUMMYFUNCTION("""COMPUTED_VALUE"""),"G-REQ-05430")</f>
        <v>G-REQ-05430</v>
      </c>
      <c r="B5431" s="11">
        <f>IFERROR(__xludf.DUMMYFUNCTION("""COMPUTED_VALUE"""),46147.79365242511)</f>
        <v>46147.79365</v>
      </c>
      <c r="C5431" s="9">
        <f>IFERROR(__xludf.DUMMYFUNCTION("""COMPUTED_VALUE"""),20837.0)</f>
        <v>20837</v>
      </c>
      <c r="D5431" s="9" t="str">
        <f>IFERROR(__xludf.DUMMYFUNCTION("""COMPUTED_VALUE"""),"Completed")</f>
        <v>Completed</v>
      </c>
    </row>
    <row r="5432">
      <c r="A5432" s="9" t="str">
        <f>IFERROR(__xludf.DUMMYFUNCTION("""COMPUTED_VALUE"""),"G-REQ-05431")</f>
        <v>G-REQ-05431</v>
      </c>
      <c r="B5432" s="11">
        <f>IFERROR(__xludf.DUMMYFUNCTION("""COMPUTED_VALUE"""),46147.86482727053)</f>
        <v>46147.86483</v>
      </c>
      <c r="C5432" s="9">
        <f>IFERROR(__xludf.DUMMYFUNCTION("""COMPUTED_VALUE"""),20841.0)</f>
        <v>20841</v>
      </c>
      <c r="D5432" s="9" t="str">
        <f>IFERROR(__xludf.DUMMYFUNCTION("""COMPUTED_VALUE"""),"Completed")</f>
        <v>Completed</v>
      </c>
    </row>
    <row r="5433">
      <c r="A5433" s="9" t="str">
        <f>IFERROR(__xludf.DUMMYFUNCTION("""COMPUTED_VALUE"""),"G-REQ-05432")</f>
        <v>G-REQ-05432</v>
      </c>
      <c r="B5433" s="11">
        <f>IFERROR(__xludf.DUMMYFUNCTION("""COMPUTED_VALUE"""),46147.936002115945)</f>
        <v>46147.936</v>
      </c>
      <c r="C5433" s="9">
        <f>IFERROR(__xludf.DUMMYFUNCTION("""COMPUTED_VALUE"""),20845.0)</f>
        <v>20845</v>
      </c>
      <c r="D5433" s="9" t="str">
        <f>IFERROR(__xludf.DUMMYFUNCTION("""COMPUTED_VALUE"""),"Completed")</f>
        <v>Completed</v>
      </c>
    </row>
    <row r="5434">
      <c r="A5434" s="9" t="str">
        <f>IFERROR(__xludf.DUMMYFUNCTION("""COMPUTED_VALUE"""),"G-REQ-05433")</f>
        <v>G-REQ-05433</v>
      </c>
      <c r="B5434" s="11">
        <f>IFERROR(__xludf.DUMMYFUNCTION("""COMPUTED_VALUE"""),46148.00717696136)</f>
        <v>46148.00718</v>
      </c>
      <c r="C5434" s="9">
        <f>IFERROR(__xludf.DUMMYFUNCTION("""COMPUTED_VALUE"""),20849.0)</f>
        <v>20849</v>
      </c>
      <c r="D5434" s="9" t="str">
        <f>IFERROR(__xludf.DUMMYFUNCTION("""COMPUTED_VALUE"""),"Completed")</f>
        <v>Completed</v>
      </c>
    </row>
    <row r="5435">
      <c r="A5435" s="9" t="str">
        <f>IFERROR(__xludf.DUMMYFUNCTION("""COMPUTED_VALUE"""),"G-REQ-05434")</f>
        <v>G-REQ-05434</v>
      </c>
      <c r="B5435" s="11">
        <f>IFERROR(__xludf.DUMMYFUNCTION("""COMPUTED_VALUE"""),46148.07835180678)</f>
        <v>46148.07835</v>
      </c>
      <c r="C5435" s="9">
        <f>IFERROR(__xludf.DUMMYFUNCTION("""COMPUTED_VALUE"""),20853.0)</f>
        <v>20853</v>
      </c>
      <c r="D5435" s="9" t="str">
        <f>IFERROR(__xludf.DUMMYFUNCTION("""COMPUTED_VALUE"""),"Completed")</f>
        <v>Completed</v>
      </c>
    </row>
    <row r="5436">
      <c r="A5436" s="9" t="str">
        <f>IFERROR(__xludf.DUMMYFUNCTION("""COMPUTED_VALUE"""),"G-REQ-05435")</f>
        <v>G-REQ-05435</v>
      </c>
      <c r="B5436" s="11">
        <f>IFERROR(__xludf.DUMMYFUNCTION("""COMPUTED_VALUE"""),46148.149526652196)</f>
        <v>46148.14953</v>
      </c>
      <c r="C5436" s="9">
        <f>IFERROR(__xludf.DUMMYFUNCTION("""COMPUTED_VALUE"""),20857.0)</f>
        <v>20857</v>
      </c>
      <c r="D5436" s="9" t="str">
        <f>IFERROR(__xludf.DUMMYFUNCTION("""COMPUTED_VALUE"""),"Completed")</f>
        <v>Completed</v>
      </c>
    </row>
    <row r="5437">
      <c r="A5437" s="9" t="str">
        <f>IFERROR(__xludf.DUMMYFUNCTION("""COMPUTED_VALUE"""),"G-REQ-05436")</f>
        <v>G-REQ-05436</v>
      </c>
      <c r="B5437" s="11">
        <f>IFERROR(__xludf.DUMMYFUNCTION("""COMPUTED_VALUE"""),46148.2207014976)</f>
        <v>46148.2207</v>
      </c>
      <c r="C5437" s="9">
        <f>IFERROR(__xludf.DUMMYFUNCTION("""COMPUTED_VALUE"""),20861.0)</f>
        <v>20861</v>
      </c>
      <c r="D5437" s="9" t="str">
        <f>IFERROR(__xludf.DUMMYFUNCTION("""COMPUTED_VALUE"""),"Completed")</f>
        <v>Completed</v>
      </c>
    </row>
    <row r="5438">
      <c r="A5438" s="9" t="str">
        <f>IFERROR(__xludf.DUMMYFUNCTION("""COMPUTED_VALUE"""),"G-REQ-05437")</f>
        <v>G-REQ-05437</v>
      </c>
      <c r="B5438" s="11">
        <f>IFERROR(__xludf.DUMMYFUNCTION("""COMPUTED_VALUE"""),46148.29187634302)</f>
        <v>46148.29188</v>
      </c>
      <c r="C5438" s="9">
        <f>IFERROR(__xludf.DUMMYFUNCTION("""COMPUTED_VALUE"""),20865.0)</f>
        <v>20865</v>
      </c>
      <c r="D5438" s="9" t="str">
        <f>IFERROR(__xludf.DUMMYFUNCTION("""COMPUTED_VALUE"""),"Completed")</f>
        <v>Completed</v>
      </c>
    </row>
    <row r="5439">
      <c r="A5439" s="9" t="str">
        <f>IFERROR(__xludf.DUMMYFUNCTION("""COMPUTED_VALUE"""),"G-REQ-05438")</f>
        <v>G-REQ-05438</v>
      </c>
      <c r="B5439" s="11">
        <f>IFERROR(__xludf.DUMMYFUNCTION("""COMPUTED_VALUE"""),46148.36305118843)</f>
        <v>46148.36305</v>
      </c>
      <c r="C5439" s="9">
        <f>IFERROR(__xludf.DUMMYFUNCTION("""COMPUTED_VALUE"""),20869.0)</f>
        <v>20869</v>
      </c>
      <c r="D5439" s="9" t="str">
        <f>IFERROR(__xludf.DUMMYFUNCTION("""COMPUTED_VALUE"""),"Completed")</f>
        <v>Completed</v>
      </c>
    </row>
    <row r="5440">
      <c r="A5440" s="9" t="str">
        <f>IFERROR(__xludf.DUMMYFUNCTION("""COMPUTED_VALUE"""),"G-REQ-05439")</f>
        <v>G-REQ-05439</v>
      </c>
      <c r="B5440" s="11">
        <f>IFERROR(__xludf.DUMMYFUNCTION("""COMPUTED_VALUE"""),46148.43422603385)</f>
        <v>46148.43423</v>
      </c>
      <c r="C5440" s="9">
        <f>IFERROR(__xludf.DUMMYFUNCTION("""COMPUTED_VALUE"""),20873.0)</f>
        <v>20873</v>
      </c>
      <c r="D5440" s="9" t="str">
        <f>IFERROR(__xludf.DUMMYFUNCTION("""COMPUTED_VALUE"""),"Completed")</f>
        <v>Completed</v>
      </c>
    </row>
    <row r="5441">
      <c r="A5441" s="9" t="str">
        <f>IFERROR(__xludf.DUMMYFUNCTION("""COMPUTED_VALUE"""),"G-REQ-05440")</f>
        <v>G-REQ-05440</v>
      </c>
      <c r="B5441" s="11">
        <f>IFERROR(__xludf.DUMMYFUNCTION("""COMPUTED_VALUE"""),46148.505400879265)</f>
        <v>46148.5054</v>
      </c>
      <c r="C5441" s="9">
        <f>IFERROR(__xludf.DUMMYFUNCTION("""COMPUTED_VALUE"""),20877.0)</f>
        <v>20877</v>
      </c>
      <c r="D5441" s="9" t="str">
        <f>IFERROR(__xludf.DUMMYFUNCTION("""COMPUTED_VALUE"""),"Completed")</f>
        <v>Completed</v>
      </c>
    </row>
    <row r="5442">
      <c r="A5442" s="9" t="str">
        <f>IFERROR(__xludf.DUMMYFUNCTION("""COMPUTED_VALUE"""),"G-REQ-05441")</f>
        <v>G-REQ-05441</v>
      </c>
      <c r="B5442" s="11">
        <f>IFERROR(__xludf.DUMMYFUNCTION("""COMPUTED_VALUE"""),46148.576575724685)</f>
        <v>46148.57658</v>
      </c>
      <c r="C5442" s="9">
        <f>IFERROR(__xludf.DUMMYFUNCTION("""COMPUTED_VALUE"""),20881.0)</f>
        <v>20881</v>
      </c>
      <c r="D5442" s="9" t="str">
        <f>IFERROR(__xludf.DUMMYFUNCTION("""COMPUTED_VALUE"""),"Completed")</f>
        <v>Completed</v>
      </c>
    </row>
    <row r="5443">
      <c r="A5443" s="9" t="str">
        <f>IFERROR(__xludf.DUMMYFUNCTION("""COMPUTED_VALUE"""),"G-REQ-05442")</f>
        <v>G-REQ-05442</v>
      </c>
      <c r="B5443" s="11">
        <f>IFERROR(__xludf.DUMMYFUNCTION("""COMPUTED_VALUE"""),46148.64775057009)</f>
        <v>46148.64775</v>
      </c>
      <c r="C5443" s="9">
        <f>IFERROR(__xludf.DUMMYFUNCTION("""COMPUTED_VALUE"""),20885.0)</f>
        <v>20885</v>
      </c>
      <c r="D5443" s="9" t="str">
        <f>IFERROR(__xludf.DUMMYFUNCTION("""COMPUTED_VALUE"""),"Completed")</f>
        <v>Completed</v>
      </c>
    </row>
    <row r="5444">
      <c r="A5444" s="9" t="str">
        <f>IFERROR(__xludf.DUMMYFUNCTION("""COMPUTED_VALUE"""),"G-REQ-05443")</f>
        <v>G-REQ-05443</v>
      </c>
      <c r="B5444" s="11">
        <f>IFERROR(__xludf.DUMMYFUNCTION("""COMPUTED_VALUE"""),46148.71892541551)</f>
        <v>46148.71893</v>
      </c>
      <c r="C5444" s="9">
        <f>IFERROR(__xludf.DUMMYFUNCTION("""COMPUTED_VALUE"""),20889.0)</f>
        <v>20889</v>
      </c>
      <c r="D5444" s="9" t="str">
        <f>IFERROR(__xludf.DUMMYFUNCTION("""COMPUTED_VALUE"""),"Completed")</f>
        <v>Completed</v>
      </c>
    </row>
    <row r="5445">
      <c r="A5445" s="9" t="str">
        <f>IFERROR(__xludf.DUMMYFUNCTION("""COMPUTED_VALUE"""),"G-REQ-05444")</f>
        <v>G-REQ-05444</v>
      </c>
      <c r="B5445" s="11">
        <f>IFERROR(__xludf.DUMMYFUNCTION("""COMPUTED_VALUE"""),46148.79010026093)</f>
        <v>46148.7901</v>
      </c>
      <c r="C5445" s="9">
        <f>IFERROR(__xludf.DUMMYFUNCTION("""COMPUTED_VALUE"""),20893.0)</f>
        <v>20893</v>
      </c>
      <c r="D5445" s="9" t="str">
        <f>IFERROR(__xludf.DUMMYFUNCTION("""COMPUTED_VALUE"""),"Completed")</f>
        <v>Completed</v>
      </c>
    </row>
    <row r="5446">
      <c r="A5446" s="9" t="str">
        <f>IFERROR(__xludf.DUMMYFUNCTION("""COMPUTED_VALUE"""),"G-REQ-05445")</f>
        <v>G-REQ-05445</v>
      </c>
      <c r="B5446" s="11">
        <f>IFERROR(__xludf.DUMMYFUNCTION("""COMPUTED_VALUE"""),46148.86127510634)</f>
        <v>46148.86128</v>
      </c>
      <c r="C5446" s="9">
        <f>IFERROR(__xludf.DUMMYFUNCTION("""COMPUTED_VALUE"""),20897.0)</f>
        <v>20897</v>
      </c>
      <c r="D5446" s="9" t="str">
        <f>IFERROR(__xludf.DUMMYFUNCTION("""COMPUTED_VALUE"""),"Completed")</f>
        <v>Completed</v>
      </c>
    </row>
    <row r="5447">
      <c r="A5447" s="9" t="str">
        <f>IFERROR(__xludf.DUMMYFUNCTION("""COMPUTED_VALUE"""),"G-REQ-05446")</f>
        <v>G-REQ-05446</v>
      </c>
      <c r="B5447" s="11">
        <f>IFERROR(__xludf.DUMMYFUNCTION("""COMPUTED_VALUE"""),46148.93244995175)</f>
        <v>46148.93245</v>
      </c>
      <c r="C5447" s="9">
        <f>IFERROR(__xludf.DUMMYFUNCTION("""COMPUTED_VALUE"""),20901.0)</f>
        <v>20901</v>
      </c>
      <c r="D5447" s="9" t="str">
        <f>IFERROR(__xludf.DUMMYFUNCTION("""COMPUTED_VALUE"""),"Completed")</f>
        <v>Completed</v>
      </c>
    </row>
    <row r="5448">
      <c r="A5448" s="9" t="str">
        <f>IFERROR(__xludf.DUMMYFUNCTION("""COMPUTED_VALUE"""),"G-REQ-05447")</f>
        <v>G-REQ-05447</v>
      </c>
      <c r="B5448" s="11">
        <f>IFERROR(__xludf.DUMMYFUNCTION("""COMPUTED_VALUE"""),46149.00362479717)</f>
        <v>46149.00362</v>
      </c>
      <c r="C5448" s="9">
        <f>IFERROR(__xludf.DUMMYFUNCTION("""COMPUTED_VALUE"""),20905.0)</f>
        <v>20905</v>
      </c>
      <c r="D5448" s="9" t="str">
        <f>IFERROR(__xludf.DUMMYFUNCTION("""COMPUTED_VALUE"""),"Completed")</f>
        <v>Completed</v>
      </c>
    </row>
    <row r="5449">
      <c r="A5449" s="9" t="str">
        <f>IFERROR(__xludf.DUMMYFUNCTION("""COMPUTED_VALUE"""),"G-REQ-05448")</f>
        <v>G-REQ-05448</v>
      </c>
      <c r="B5449" s="11">
        <f>IFERROR(__xludf.DUMMYFUNCTION("""COMPUTED_VALUE"""),46149.074799642585)</f>
        <v>46149.0748</v>
      </c>
      <c r="C5449" s="9">
        <f>IFERROR(__xludf.DUMMYFUNCTION("""COMPUTED_VALUE"""),20909.0)</f>
        <v>20909</v>
      </c>
      <c r="D5449" s="9" t="str">
        <f>IFERROR(__xludf.DUMMYFUNCTION("""COMPUTED_VALUE"""),"Completed")</f>
        <v>Completed</v>
      </c>
    </row>
    <row r="5450">
      <c r="A5450" s="9" t="str">
        <f>IFERROR(__xludf.DUMMYFUNCTION("""COMPUTED_VALUE"""),"G-REQ-05449")</f>
        <v>G-REQ-05449</v>
      </c>
      <c r="B5450" s="11">
        <f>IFERROR(__xludf.DUMMYFUNCTION("""COMPUTED_VALUE"""),46149.145974488)</f>
        <v>46149.14597</v>
      </c>
      <c r="C5450" s="9">
        <f>IFERROR(__xludf.DUMMYFUNCTION("""COMPUTED_VALUE"""),20913.0)</f>
        <v>20913</v>
      </c>
      <c r="D5450" s="9" t="str">
        <f>IFERROR(__xludf.DUMMYFUNCTION("""COMPUTED_VALUE"""),"Completed")</f>
        <v>Completed</v>
      </c>
    </row>
    <row r="5451">
      <c r="A5451" s="9" t="str">
        <f>IFERROR(__xludf.DUMMYFUNCTION("""COMPUTED_VALUE"""),"G-REQ-05450")</f>
        <v>G-REQ-05450</v>
      </c>
      <c r="B5451" s="11">
        <f>IFERROR(__xludf.DUMMYFUNCTION("""COMPUTED_VALUE"""),46149.21714933342)</f>
        <v>46149.21715</v>
      </c>
      <c r="C5451" s="9">
        <f>IFERROR(__xludf.DUMMYFUNCTION("""COMPUTED_VALUE"""),20917.0)</f>
        <v>20917</v>
      </c>
      <c r="D5451" s="9" t="str">
        <f>IFERROR(__xludf.DUMMYFUNCTION("""COMPUTED_VALUE"""),"Completed")</f>
        <v>Completed</v>
      </c>
    </row>
    <row r="5452">
      <c r="A5452" s="9" t="str">
        <f>IFERROR(__xludf.DUMMYFUNCTION("""COMPUTED_VALUE"""),"G-REQ-05451")</f>
        <v>G-REQ-05451</v>
      </c>
      <c r="B5452" s="11">
        <f>IFERROR(__xludf.DUMMYFUNCTION("""COMPUTED_VALUE"""),46149.28137973439)</f>
        <v>46149.28138</v>
      </c>
      <c r="C5452" s="9">
        <f>IFERROR(__xludf.DUMMYFUNCTION("""COMPUTED_VALUE"""),20919.0)</f>
        <v>20919</v>
      </c>
      <c r="D5452" s="9" t="str">
        <f>IFERROR(__xludf.DUMMYFUNCTION("""COMPUTED_VALUE"""),"Rejected")</f>
        <v>Rejected</v>
      </c>
    </row>
    <row r="5453">
      <c r="A5453" s="9" t="str">
        <f>IFERROR(__xludf.DUMMYFUNCTION("""COMPUTED_VALUE"""),"G-REQ-05452")</f>
        <v>G-REQ-05452</v>
      </c>
      <c r="B5453" s="11">
        <f>IFERROR(__xludf.DUMMYFUNCTION("""COMPUTED_VALUE"""),46149.35949902424)</f>
        <v>46149.3595</v>
      </c>
      <c r="C5453" s="9">
        <f>IFERROR(__xludf.DUMMYFUNCTION("""COMPUTED_VALUE"""),20923.0)</f>
        <v>20923</v>
      </c>
      <c r="D5453" s="9" t="str">
        <f>IFERROR(__xludf.DUMMYFUNCTION("""COMPUTED_VALUE"""),"Completed")</f>
        <v>Completed</v>
      </c>
    </row>
    <row r="5454">
      <c r="A5454" s="9" t="str">
        <f>IFERROR(__xludf.DUMMYFUNCTION("""COMPUTED_VALUE"""),"G-REQ-05453")</f>
        <v>G-REQ-05453</v>
      </c>
      <c r="B5454" s="11">
        <f>IFERROR(__xludf.DUMMYFUNCTION("""COMPUTED_VALUE"""),46149.43067386966)</f>
        <v>46149.43067</v>
      </c>
      <c r="C5454" s="9">
        <f>IFERROR(__xludf.DUMMYFUNCTION("""COMPUTED_VALUE"""),20927.0)</f>
        <v>20927</v>
      </c>
      <c r="D5454" s="9" t="str">
        <f>IFERROR(__xludf.DUMMYFUNCTION("""COMPUTED_VALUE"""),"Completed")</f>
        <v>Completed</v>
      </c>
    </row>
    <row r="5455">
      <c r="A5455" s="9" t="str">
        <f>IFERROR(__xludf.DUMMYFUNCTION("""COMPUTED_VALUE"""),"G-REQ-05454")</f>
        <v>G-REQ-05454</v>
      </c>
      <c r="B5455" s="11">
        <f>IFERROR(__xludf.DUMMYFUNCTION("""COMPUTED_VALUE"""),46149.501848715074)</f>
        <v>46149.50185</v>
      </c>
      <c r="C5455" s="9">
        <f>IFERROR(__xludf.DUMMYFUNCTION("""COMPUTED_VALUE"""),20931.0)</f>
        <v>20931</v>
      </c>
      <c r="D5455" s="9" t="str">
        <f>IFERROR(__xludf.DUMMYFUNCTION("""COMPUTED_VALUE"""),"Completed")</f>
        <v>Completed</v>
      </c>
    </row>
    <row r="5456">
      <c r="A5456" s="9" t="str">
        <f>IFERROR(__xludf.DUMMYFUNCTION("""COMPUTED_VALUE"""),"G-REQ-05455")</f>
        <v>G-REQ-05455</v>
      </c>
      <c r="B5456" s="11">
        <f>IFERROR(__xludf.DUMMYFUNCTION("""COMPUTED_VALUE"""),46149.57302356049)</f>
        <v>46149.57302</v>
      </c>
      <c r="C5456" s="9">
        <f>IFERROR(__xludf.DUMMYFUNCTION("""COMPUTED_VALUE"""),20935.0)</f>
        <v>20935</v>
      </c>
      <c r="D5456" s="9" t="str">
        <f>IFERROR(__xludf.DUMMYFUNCTION("""COMPUTED_VALUE"""),"Completed")</f>
        <v>Completed</v>
      </c>
    </row>
    <row r="5457">
      <c r="A5457" s="9" t="str">
        <f>IFERROR(__xludf.DUMMYFUNCTION("""COMPUTED_VALUE"""),"G-REQ-05456")</f>
        <v>G-REQ-05456</v>
      </c>
      <c r="B5457" s="11">
        <f>IFERROR(__xludf.DUMMYFUNCTION("""COMPUTED_VALUE"""),46149.644198405906)</f>
        <v>46149.6442</v>
      </c>
      <c r="C5457" s="9">
        <f>IFERROR(__xludf.DUMMYFUNCTION("""COMPUTED_VALUE"""),20939.0)</f>
        <v>20939</v>
      </c>
      <c r="D5457" s="9" t="str">
        <f>IFERROR(__xludf.DUMMYFUNCTION("""COMPUTED_VALUE"""),"Completed")</f>
        <v>Completed</v>
      </c>
    </row>
    <row r="5458">
      <c r="A5458" s="9" t="str">
        <f>IFERROR(__xludf.DUMMYFUNCTION("""COMPUTED_VALUE"""),"G-REQ-05457")</f>
        <v>G-REQ-05457</v>
      </c>
      <c r="B5458" s="11">
        <f>IFERROR(__xludf.DUMMYFUNCTION("""COMPUTED_VALUE"""),46149.715373251325)</f>
        <v>46149.71537</v>
      </c>
      <c r="C5458" s="9">
        <f>IFERROR(__xludf.DUMMYFUNCTION("""COMPUTED_VALUE"""),20943.0)</f>
        <v>20943</v>
      </c>
      <c r="D5458" s="9" t="str">
        <f>IFERROR(__xludf.DUMMYFUNCTION("""COMPUTED_VALUE"""),"Completed")</f>
        <v>Completed</v>
      </c>
    </row>
    <row r="5459">
      <c r="A5459" s="9" t="str">
        <f>IFERROR(__xludf.DUMMYFUNCTION("""COMPUTED_VALUE"""),"G-REQ-05458")</f>
        <v>G-REQ-05458</v>
      </c>
      <c r="B5459" s="11">
        <f>IFERROR(__xludf.DUMMYFUNCTION("""COMPUTED_VALUE"""),46149.77960365229)</f>
        <v>46149.7796</v>
      </c>
      <c r="C5459" s="9">
        <f>IFERROR(__xludf.DUMMYFUNCTION("""COMPUTED_VALUE"""),20945.0)</f>
        <v>20945</v>
      </c>
      <c r="D5459" s="9" t="str">
        <f>IFERROR(__xludf.DUMMYFUNCTION("""COMPUTED_VALUE"""),"Cancelled")</f>
        <v>Cancelled</v>
      </c>
    </row>
    <row r="5460">
      <c r="A5460" s="9" t="str">
        <f>IFERROR(__xludf.DUMMYFUNCTION("""COMPUTED_VALUE"""),"G-REQ-05459")</f>
        <v>G-REQ-05459</v>
      </c>
      <c r="B5460" s="11">
        <f>IFERROR(__xludf.DUMMYFUNCTION("""COMPUTED_VALUE"""),46149.85772294215)</f>
        <v>46149.85772</v>
      </c>
      <c r="C5460" s="9">
        <f>IFERROR(__xludf.DUMMYFUNCTION("""COMPUTED_VALUE"""),20949.0)</f>
        <v>20949</v>
      </c>
      <c r="D5460" s="9" t="str">
        <f>IFERROR(__xludf.DUMMYFUNCTION("""COMPUTED_VALUE"""),"Completed")</f>
        <v>Completed</v>
      </c>
    </row>
    <row r="5461">
      <c r="A5461" s="9" t="str">
        <f>IFERROR(__xludf.DUMMYFUNCTION("""COMPUTED_VALUE"""),"G-REQ-05460")</f>
        <v>G-REQ-05460</v>
      </c>
      <c r="B5461" s="11">
        <f>IFERROR(__xludf.DUMMYFUNCTION("""COMPUTED_VALUE"""),46149.92889778757)</f>
        <v>46149.9289</v>
      </c>
      <c r="C5461" s="9">
        <f>IFERROR(__xludf.DUMMYFUNCTION("""COMPUTED_VALUE"""),20953.0)</f>
        <v>20953</v>
      </c>
      <c r="D5461" s="9" t="str">
        <f>IFERROR(__xludf.DUMMYFUNCTION("""COMPUTED_VALUE"""),"Completed")</f>
        <v>Completed</v>
      </c>
    </row>
    <row r="5462">
      <c r="A5462" s="9" t="str">
        <f>IFERROR(__xludf.DUMMYFUNCTION("""COMPUTED_VALUE"""),"G-REQ-05461")</f>
        <v>G-REQ-05461</v>
      </c>
      <c r="B5462" s="11">
        <f>IFERROR(__xludf.DUMMYFUNCTION("""COMPUTED_VALUE"""),46150.00007263298)</f>
        <v>46150.00007</v>
      </c>
      <c r="C5462" s="9">
        <f>IFERROR(__xludf.DUMMYFUNCTION("""COMPUTED_VALUE"""),20957.0)</f>
        <v>20957</v>
      </c>
      <c r="D5462" s="9" t="str">
        <f>IFERROR(__xludf.DUMMYFUNCTION("""COMPUTED_VALUE"""),"Completed")</f>
        <v>Completed</v>
      </c>
    </row>
    <row r="5463">
      <c r="A5463" s="9" t="str">
        <f>IFERROR(__xludf.DUMMYFUNCTION("""COMPUTED_VALUE"""),"G-REQ-05462")</f>
        <v>G-REQ-05462</v>
      </c>
      <c r="B5463" s="11">
        <f>IFERROR(__xludf.DUMMYFUNCTION("""COMPUTED_VALUE"""),46150.071247478394)</f>
        <v>46150.07125</v>
      </c>
      <c r="C5463" s="9">
        <f>IFERROR(__xludf.DUMMYFUNCTION("""COMPUTED_VALUE"""),20961.0)</f>
        <v>20961</v>
      </c>
      <c r="D5463" s="9" t="str">
        <f>IFERROR(__xludf.DUMMYFUNCTION("""COMPUTED_VALUE"""),"Completed")</f>
        <v>Completed</v>
      </c>
    </row>
    <row r="5464">
      <c r="A5464" s="9" t="str">
        <f>IFERROR(__xludf.DUMMYFUNCTION("""COMPUTED_VALUE"""),"G-REQ-05463")</f>
        <v>G-REQ-05463</v>
      </c>
      <c r="B5464" s="11">
        <f>IFERROR(__xludf.DUMMYFUNCTION("""COMPUTED_VALUE"""),46150.142422323814)</f>
        <v>46150.14242</v>
      </c>
      <c r="C5464" s="9">
        <f>IFERROR(__xludf.DUMMYFUNCTION("""COMPUTED_VALUE"""),20965.0)</f>
        <v>20965</v>
      </c>
      <c r="D5464" s="9" t="str">
        <f>IFERROR(__xludf.DUMMYFUNCTION("""COMPUTED_VALUE"""),"Completed")</f>
        <v>Completed</v>
      </c>
    </row>
    <row r="5465">
      <c r="A5465" s="9" t="str">
        <f>IFERROR(__xludf.DUMMYFUNCTION("""COMPUTED_VALUE"""),"G-REQ-05464")</f>
        <v>G-REQ-05464</v>
      </c>
      <c r="B5465" s="11">
        <f>IFERROR(__xludf.DUMMYFUNCTION("""COMPUTED_VALUE"""),46150.213597169226)</f>
        <v>46150.2136</v>
      </c>
      <c r="C5465" s="9">
        <f>IFERROR(__xludf.DUMMYFUNCTION("""COMPUTED_VALUE"""),20969.0)</f>
        <v>20969</v>
      </c>
      <c r="D5465" s="9" t="str">
        <f>IFERROR(__xludf.DUMMYFUNCTION("""COMPUTED_VALUE"""),"Completed")</f>
        <v>Completed</v>
      </c>
    </row>
    <row r="5466">
      <c r="A5466" s="9" t="str">
        <f>IFERROR(__xludf.DUMMYFUNCTION("""COMPUTED_VALUE"""),"G-REQ-05465")</f>
        <v>G-REQ-05465</v>
      </c>
      <c r="B5466" s="11">
        <f>IFERROR(__xludf.DUMMYFUNCTION("""COMPUTED_VALUE"""),46150.28477201464)</f>
        <v>46150.28477</v>
      </c>
      <c r="C5466" s="9">
        <f>IFERROR(__xludf.DUMMYFUNCTION("""COMPUTED_VALUE"""),20973.0)</f>
        <v>20973</v>
      </c>
      <c r="D5466" s="9" t="str">
        <f>IFERROR(__xludf.DUMMYFUNCTION("""COMPUTED_VALUE"""),"Completed")</f>
        <v>Completed</v>
      </c>
    </row>
    <row r="5467">
      <c r="A5467" s="9" t="str">
        <f>IFERROR(__xludf.DUMMYFUNCTION("""COMPUTED_VALUE"""),"G-REQ-05466")</f>
        <v>G-REQ-05466</v>
      </c>
      <c r="B5467" s="11">
        <f>IFERROR(__xludf.DUMMYFUNCTION("""COMPUTED_VALUE"""),46150.35594686006)</f>
        <v>46150.35595</v>
      </c>
      <c r="C5467" s="9">
        <f>IFERROR(__xludf.DUMMYFUNCTION("""COMPUTED_VALUE"""),20977.0)</f>
        <v>20977</v>
      </c>
      <c r="D5467" s="9" t="str">
        <f>IFERROR(__xludf.DUMMYFUNCTION("""COMPUTED_VALUE"""),"Completed")</f>
        <v>Completed</v>
      </c>
    </row>
    <row r="5468">
      <c r="A5468" s="9" t="str">
        <f>IFERROR(__xludf.DUMMYFUNCTION("""COMPUTED_VALUE"""),"G-REQ-05467")</f>
        <v>G-REQ-05467</v>
      </c>
      <c r="B5468" s="11">
        <f>IFERROR(__xludf.DUMMYFUNCTION("""COMPUTED_VALUE"""),46150.42712170548)</f>
        <v>46150.42712</v>
      </c>
      <c r="C5468" s="9">
        <f>IFERROR(__xludf.DUMMYFUNCTION("""COMPUTED_VALUE"""),20981.0)</f>
        <v>20981</v>
      </c>
      <c r="D5468" s="9" t="str">
        <f>IFERROR(__xludf.DUMMYFUNCTION("""COMPUTED_VALUE"""),"Completed")</f>
        <v>Completed</v>
      </c>
    </row>
    <row r="5469">
      <c r="A5469" s="9" t="str">
        <f>IFERROR(__xludf.DUMMYFUNCTION("""COMPUTED_VALUE"""),"G-REQ-05468")</f>
        <v>G-REQ-05468</v>
      </c>
      <c r="B5469" s="11">
        <f>IFERROR(__xludf.DUMMYFUNCTION("""COMPUTED_VALUE"""),46150.49829655088)</f>
        <v>46150.4983</v>
      </c>
      <c r="C5469" s="9">
        <f>IFERROR(__xludf.DUMMYFUNCTION("""COMPUTED_VALUE"""),20985.0)</f>
        <v>20985</v>
      </c>
      <c r="D5469" s="9" t="str">
        <f>IFERROR(__xludf.DUMMYFUNCTION("""COMPUTED_VALUE"""),"Completed")</f>
        <v>Completed</v>
      </c>
    </row>
    <row r="5470">
      <c r="A5470" s="9" t="str">
        <f>IFERROR(__xludf.DUMMYFUNCTION("""COMPUTED_VALUE"""),"G-REQ-05469")</f>
        <v>G-REQ-05469</v>
      </c>
      <c r="B5470" s="11">
        <f>IFERROR(__xludf.DUMMYFUNCTION("""COMPUTED_VALUE"""),46150.5694713963)</f>
        <v>46150.56947</v>
      </c>
      <c r="C5470" s="9">
        <f>IFERROR(__xludf.DUMMYFUNCTION("""COMPUTED_VALUE"""),20989.0)</f>
        <v>20989</v>
      </c>
      <c r="D5470" s="9" t="str">
        <f>IFERROR(__xludf.DUMMYFUNCTION("""COMPUTED_VALUE"""),"Completed")</f>
        <v>Completed</v>
      </c>
    </row>
    <row r="5471">
      <c r="A5471" s="9" t="str">
        <f>IFERROR(__xludf.DUMMYFUNCTION("""COMPUTED_VALUE"""),"G-REQ-05470")</f>
        <v>G-REQ-05470</v>
      </c>
      <c r="B5471" s="11">
        <f>IFERROR(__xludf.DUMMYFUNCTION("""COMPUTED_VALUE"""),46150.63370179728)</f>
        <v>46150.6337</v>
      </c>
      <c r="C5471" s="9">
        <f>IFERROR(__xludf.DUMMYFUNCTION("""COMPUTED_VALUE"""),20991.0)</f>
        <v>20991</v>
      </c>
      <c r="D5471" s="9" t="str">
        <f>IFERROR(__xludf.DUMMYFUNCTION("""COMPUTED_VALUE"""),"Rejected")</f>
        <v>Rejected</v>
      </c>
    </row>
    <row r="5472">
      <c r="A5472" s="9" t="str">
        <f>IFERROR(__xludf.DUMMYFUNCTION("""COMPUTED_VALUE"""),"G-REQ-05471")</f>
        <v>G-REQ-05471</v>
      </c>
      <c r="B5472" s="11">
        <f>IFERROR(__xludf.DUMMYFUNCTION("""COMPUTED_VALUE"""),46150.711821087134)</f>
        <v>46150.71182</v>
      </c>
      <c r="C5472" s="9">
        <f>IFERROR(__xludf.DUMMYFUNCTION("""COMPUTED_VALUE"""),20995.0)</f>
        <v>20995</v>
      </c>
      <c r="D5472" s="9" t="str">
        <f>IFERROR(__xludf.DUMMYFUNCTION("""COMPUTED_VALUE"""),"Completed")</f>
        <v>Completed</v>
      </c>
    </row>
    <row r="5473">
      <c r="A5473" s="9" t="str">
        <f>IFERROR(__xludf.DUMMYFUNCTION("""COMPUTED_VALUE"""),"G-REQ-05472")</f>
        <v>G-REQ-05472</v>
      </c>
      <c r="B5473" s="11">
        <f>IFERROR(__xludf.DUMMYFUNCTION("""COMPUTED_VALUE"""),46150.782995932546)</f>
        <v>46150.783</v>
      </c>
      <c r="C5473" s="9">
        <f>IFERROR(__xludf.DUMMYFUNCTION("""COMPUTED_VALUE"""),20999.0)</f>
        <v>20999</v>
      </c>
      <c r="D5473" s="9" t="str">
        <f>IFERROR(__xludf.DUMMYFUNCTION("""COMPUTED_VALUE"""),"Completed")</f>
        <v>Completed</v>
      </c>
    </row>
    <row r="5474">
      <c r="A5474" s="9" t="str">
        <f>IFERROR(__xludf.DUMMYFUNCTION("""COMPUTED_VALUE"""),"G-REQ-05473")</f>
        <v>G-REQ-05473</v>
      </c>
      <c r="B5474" s="11">
        <f>IFERROR(__xludf.DUMMYFUNCTION("""COMPUTED_VALUE"""),46150.854170777966)</f>
        <v>46150.85417</v>
      </c>
      <c r="C5474" s="9">
        <f>IFERROR(__xludf.DUMMYFUNCTION("""COMPUTED_VALUE"""),21003.0)</f>
        <v>21003</v>
      </c>
      <c r="D5474" s="9" t="str">
        <f>IFERROR(__xludf.DUMMYFUNCTION("""COMPUTED_VALUE"""),"Completed")</f>
        <v>Completed</v>
      </c>
    </row>
    <row r="5475">
      <c r="A5475" s="9" t="str">
        <f>IFERROR(__xludf.DUMMYFUNCTION("""COMPUTED_VALUE"""),"G-REQ-05474")</f>
        <v>G-REQ-05474</v>
      </c>
      <c r="B5475" s="11">
        <f>IFERROR(__xludf.DUMMYFUNCTION("""COMPUTED_VALUE"""),46150.91840117893)</f>
        <v>46150.9184</v>
      </c>
      <c r="C5475" s="9">
        <f>IFERROR(__xludf.DUMMYFUNCTION("""COMPUTED_VALUE"""),21005.0)</f>
        <v>21005</v>
      </c>
      <c r="D5475" s="9" t="str">
        <f>IFERROR(__xludf.DUMMYFUNCTION("""COMPUTED_VALUE"""),"Cancelled")</f>
        <v>Cancelled</v>
      </c>
    </row>
    <row r="5476">
      <c r="A5476" s="9" t="str">
        <f>IFERROR(__xludf.DUMMYFUNCTION("""COMPUTED_VALUE"""),"G-REQ-05475")</f>
        <v>G-REQ-05475</v>
      </c>
      <c r="B5476" s="11">
        <f>IFERROR(__xludf.DUMMYFUNCTION("""COMPUTED_VALUE"""),46150.99652046879)</f>
        <v>46150.99652</v>
      </c>
      <c r="C5476" s="9">
        <f>IFERROR(__xludf.DUMMYFUNCTION("""COMPUTED_VALUE"""),21009.0)</f>
        <v>21009</v>
      </c>
      <c r="D5476" s="9" t="str">
        <f>IFERROR(__xludf.DUMMYFUNCTION("""COMPUTED_VALUE"""),"Completed")</f>
        <v>Completed</v>
      </c>
    </row>
    <row r="5477">
      <c r="A5477" s="9" t="str">
        <f>IFERROR(__xludf.DUMMYFUNCTION("""COMPUTED_VALUE"""),"G-REQ-05476")</f>
        <v>G-REQ-05476</v>
      </c>
      <c r="B5477" s="11">
        <f>IFERROR(__xludf.DUMMYFUNCTION("""COMPUTED_VALUE"""),46151.06769531421)</f>
        <v>46151.0677</v>
      </c>
      <c r="C5477" s="9">
        <f>IFERROR(__xludf.DUMMYFUNCTION("""COMPUTED_VALUE"""),21013.0)</f>
        <v>21013</v>
      </c>
      <c r="D5477" s="9" t="str">
        <f>IFERROR(__xludf.DUMMYFUNCTION("""COMPUTED_VALUE"""),"Completed")</f>
        <v>Completed</v>
      </c>
    </row>
    <row r="5478">
      <c r="A5478" s="9" t="str">
        <f>IFERROR(__xludf.DUMMYFUNCTION("""COMPUTED_VALUE"""),"G-REQ-05477")</f>
        <v>G-REQ-05477</v>
      </c>
      <c r="B5478" s="11">
        <f>IFERROR(__xludf.DUMMYFUNCTION("""COMPUTED_VALUE"""),46151.13887015963)</f>
        <v>46151.13887</v>
      </c>
      <c r="C5478" s="9">
        <f>IFERROR(__xludf.DUMMYFUNCTION("""COMPUTED_VALUE"""),21017.0)</f>
        <v>21017</v>
      </c>
      <c r="D5478" s="9" t="str">
        <f>IFERROR(__xludf.DUMMYFUNCTION("""COMPUTED_VALUE"""),"Completed")</f>
        <v>Completed</v>
      </c>
    </row>
    <row r="5479">
      <c r="A5479" s="9" t="str">
        <f>IFERROR(__xludf.DUMMYFUNCTION("""COMPUTED_VALUE"""),"G-REQ-05478")</f>
        <v>G-REQ-05478</v>
      </c>
      <c r="B5479" s="11">
        <f>IFERROR(__xludf.DUMMYFUNCTION("""COMPUTED_VALUE"""),46151.210045005035)</f>
        <v>46151.21005</v>
      </c>
      <c r="C5479" s="9">
        <f>IFERROR(__xludf.DUMMYFUNCTION("""COMPUTED_VALUE"""),21021.0)</f>
        <v>21021</v>
      </c>
      <c r="D5479" s="9" t="str">
        <f>IFERROR(__xludf.DUMMYFUNCTION("""COMPUTED_VALUE"""),"Completed")</f>
        <v>Completed</v>
      </c>
    </row>
    <row r="5480">
      <c r="A5480" s="9" t="str">
        <f>IFERROR(__xludf.DUMMYFUNCTION("""COMPUTED_VALUE"""),"G-REQ-05479")</f>
        <v>G-REQ-05479</v>
      </c>
      <c r="B5480" s="11">
        <f>IFERROR(__xludf.DUMMYFUNCTION("""COMPUTED_VALUE"""),46151.27427540601)</f>
        <v>46151.27428</v>
      </c>
      <c r="C5480" s="9">
        <f>IFERROR(__xludf.DUMMYFUNCTION("""COMPUTED_VALUE"""),21023.0)</f>
        <v>21023</v>
      </c>
      <c r="D5480" s="9" t="str">
        <f>IFERROR(__xludf.DUMMYFUNCTION("""COMPUTED_VALUE"""),"Cancelled")</f>
        <v>Cancelled</v>
      </c>
    </row>
    <row r="5481">
      <c r="A5481" s="9" t="str">
        <f>IFERROR(__xludf.DUMMYFUNCTION("""COMPUTED_VALUE"""),"G-REQ-05480")</f>
        <v>G-REQ-05480</v>
      </c>
      <c r="B5481" s="11">
        <f>IFERROR(__xludf.DUMMYFUNCTION("""COMPUTED_VALUE"""),46151.35239469587)</f>
        <v>46151.35239</v>
      </c>
      <c r="C5481" s="9">
        <f>IFERROR(__xludf.DUMMYFUNCTION("""COMPUTED_VALUE"""),21027.0)</f>
        <v>21027</v>
      </c>
      <c r="D5481" s="9" t="str">
        <f>IFERROR(__xludf.DUMMYFUNCTION("""COMPUTED_VALUE"""),"Completed")</f>
        <v>Completed</v>
      </c>
    </row>
    <row r="5482">
      <c r="A5482" s="9" t="str">
        <f>IFERROR(__xludf.DUMMYFUNCTION("""COMPUTED_VALUE"""),"G-REQ-05481")</f>
        <v>G-REQ-05481</v>
      </c>
      <c r="B5482" s="11">
        <f>IFERROR(__xludf.DUMMYFUNCTION("""COMPUTED_VALUE"""),46151.423569541286)</f>
        <v>46151.42357</v>
      </c>
      <c r="C5482" s="9">
        <f>IFERROR(__xludf.DUMMYFUNCTION("""COMPUTED_VALUE"""),21031.0)</f>
        <v>21031</v>
      </c>
      <c r="D5482" s="9" t="str">
        <f>IFERROR(__xludf.DUMMYFUNCTION("""COMPUTED_VALUE"""),"Completed")</f>
        <v>Completed</v>
      </c>
    </row>
    <row r="5483">
      <c r="A5483" s="9" t="str">
        <f>IFERROR(__xludf.DUMMYFUNCTION("""COMPUTED_VALUE"""),"G-REQ-05482")</f>
        <v>G-REQ-05482</v>
      </c>
      <c r="B5483" s="11">
        <f>IFERROR(__xludf.DUMMYFUNCTION("""COMPUTED_VALUE"""),46151.4947443867)</f>
        <v>46151.49474</v>
      </c>
      <c r="C5483" s="9">
        <f>IFERROR(__xludf.DUMMYFUNCTION("""COMPUTED_VALUE"""),21035.0)</f>
        <v>21035</v>
      </c>
      <c r="D5483" s="9" t="str">
        <f>IFERROR(__xludf.DUMMYFUNCTION("""COMPUTED_VALUE"""),"Completed")</f>
        <v>Completed</v>
      </c>
    </row>
    <row r="5484">
      <c r="A5484" s="9" t="str">
        <f>IFERROR(__xludf.DUMMYFUNCTION("""COMPUTED_VALUE"""),"G-REQ-05483")</f>
        <v>G-REQ-05483</v>
      </c>
      <c r="B5484" s="11">
        <f>IFERROR(__xludf.DUMMYFUNCTION("""COMPUTED_VALUE"""),46151.56591923212)</f>
        <v>46151.56592</v>
      </c>
      <c r="C5484" s="9">
        <f>IFERROR(__xludf.DUMMYFUNCTION("""COMPUTED_VALUE"""),21039.0)</f>
        <v>21039</v>
      </c>
      <c r="D5484" s="9" t="str">
        <f>IFERROR(__xludf.DUMMYFUNCTION("""COMPUTED_VALUE"""),"Completed")</f>
        <v>Completed</v>
      </c>
    </row>
    <row r="5485">
      <c r="A5485" s="9" t="str">
        <f>IFERROR(__xludf.DUMMYFUNCTION("""COMPUTED_VALUE"""),"G-REQ-05484")</f>
        <v>G-REQ-05484</v>
      </c>
      <c r="B5485" s="11">
        <f>IFERROR(__xludf.DUMMYFUNCTION("""COMPUTED_VALUE"""),46151.63709407752)</f>
        <v>46151.63709</v>
      </c>
      <c r="C5485" s="9">
        <f>IFERROR(__xludf.DUMMYFUNCTION("""COMPUTED_VALUE"""),21043.0)</f>
        <v>21043</v>
      </c>
      <c r="D5485" s="9" t="str">
        <f>IFERROR(__xludf.DUMMYFUNCTION("""COMPUTED_VALUE"""),"Completed")</f>
        <v>Completed</v>
      </c>
    </row>
    <row r="5486">
      <c r="A5486" s="9" t="str">
        <f>IFERROR(__xludf.DUMMYFUNCTION("""COMPUTED_VALUE"""),"G-REQ-05485")</f>
        <v>G-REQ-05485</v>
      </c>
      <c r="B5486" s="11">
        <f>IFERROR(__xludf.DUMMYFUNCTION("""COMPUTED_VALUE"""),46151.70826892294)</f>
        <v>46151.70827</v>
      </c>
      <c r="C5486" s="9">
        <f>IFERROR(__xludf.DUMMYFUNCTION("""COMPUTED_VALUE"""),21047.0)</f>
        <v>21047</v>
      </c>
      <c r="D5486" s="9" t="str">
        <f>IFERROR(__xludf.DUMMYFUNCTION("""COMPUTED_VALUE"""),"Completed")</f>
        <v>Completed</v>
      </c>
    </row>
    <row r="5487">
      <c r="A5487" s="9" t="str">
        <f>IFERROR(__xludf.DUMMYFUNCTION("""COMPUTED_VALUE"""),"G-REQ-05486")</f>
        <v>G-REQ-05486</v>
      </c>
      <c r="B5487" s="11">
        <f>IFERROR(__xludf.DUMMYFUNCTION("""COMPUTED_VALUE"""),46151.77944376836)</f>
        <v>46151.77944</v>
      </c>
      <c r="C5487" s="9">
        <f>IFERROR(__xludf.DUMMYFUNCTION("""COMPUTED_VALUE"""),21051.0)</f>
        <v>21051</v>
      </c>
      <c r="D5487" s="9" t="str">
        <f>IFERROR(__xludf.DUMMYFUNCTION("""COMPUTED_VALUE"""),"Completed")</f>
        <v>Completed</v>
      </c>
    </row>
    <row r="5488">
      <c r="A5488" s="9" t="str">
        <f>IFERROR(__xludf.DUMMYFUNCTION("""COMPUTED_VALUE"""),"G-REQ-05487")</f>
        <v>G-REQ-05487</v>
      </c>
      <c r="B5488" s="11">
        <f>IFERROR(__xludf.DUMMYFUNCTION("""COMPUTED_VALUE"""),46151.850618613775)</f>
        <v>46151.85062</v>
      </c>
      <c r="C5488" s="9">
        <f>IFERROR(__xludf.DUMMYFUNCTION("""COMPUTED_VALUE"""),21055.0)</f>
        <v>21055</v>
      </c>
      <c r="D5488" s="9" t="str">
        <f>IFERROR(__xludf.DUMMYFUNCTION("""COMPUTED_VALUE"""),"Completed")</f>
        <v>Completed</v>
      </c>
    </row>
    <row r="5489">
      <c r="A5489" s="9" t="str">
        <f>IFERROR(__xludf.DUMMYFUNCTION("""COMPUTED_VALUE"""),"G-REQ-05488")</f>
        <v>G-REQ-05488</v>
      </c>
      <c r="B5489" s="11">
        <f>IFERROR(__xludf.DUMMYFUNCTION("""COMPUTED_VALUE"""),46151.92179345919)</f>
        <v>46151.92179</v>
      </c>
      <c r="C5489" s="9">
        <f>IFERROR(__xludf.DUMMYFUNCTION("""COMPUTED_VALUE"""),21059.0)</f>
        <v>21059</v>
      </c>
      <c r="D5489" s="9" t="str">
        <f>IFERROR(__xludf.DUMMYFUNCTION("""COMPUTED_VALUE"""),"Completed")</f>
        <v>Completed</v>
      </c>
    </row>
    <row r="5490">
      <c r="A5490" s="9" t="str">
        <f>IFERROR(__xludf.DUMMYFUNCTION("""COMPUTED_VALUE"""),"G-REQ-05489")</f>
        <v>G-REQ-05489</v>
      </c>
      <c r="B5490" s="11">
        <f>IFERROR(__xludf.DUMMYFUNCTION("""COMPUTED_VALUE"""),46151.99296830461)</f>
        <v>46151.99297</v>
      </c>
      <c r="C5490" s="9">
        <f>IFERROR(__xludf.DUMMYFUNCTION("""COMPUTED_VALUE"""),21063.0)</f>
        <v>21063</v>
      </c>
      <c r="D5490" s="9" t="str">
        <f>IFERROR(__xludf.DUMMYFUNCTION("""COMPUTED_VALUE"""),"Completed")</f>
        <v>Completed</v>
      </c>
    </row>
    <row r="5491">
      <c r="A5491" s="9" t="str">
        <f>IFERROR(__xludf.DUMMYFUNCTION("""COMPUTED_VALUE"""),"G-REQ-05490")</f>
        <v>G-REQ-05490</v>
      </c>
      <c r="B5491" s="11">
        <f>IFERROR(__xludf.DUMMYFUNCTION("""COMPUTED_VALUE"""),46152.06414315002)</f>
        <v>46152.06414</v>
      </c>
      <c r="C5491" s="9">
        <f>IFERROR(__xludf.DUMMYFUNCTION("""COMPUTED_VALUE"""),21067.0)</f>
        <v>21067</v>
      </c>
      <c r="D5491" s="9" t="str">
        <f>IFERROR(__xludf.DUMMYFUNCTION("""COMPUTED_VALUE"""),"Completed")</f>
        <v>Completed</v>
      </c>
    </row>
    <row r="5492">
      <c r="A5492" s="9" t="str">
        <f>IFERROR(__xludf.DUMMYFUNCTION("""COMPUTED_VALUE"""),"G-REQ-05491")</f>
        <v>G-REQ-05491</v>
      </c>
      <c r="B5492" s="11">
        <f>IFERROR(__xludf.DUMMYFUNCTION("""COMPUTED_VALUE"""),46152.13531799543)</f>
        <v>46152.13532</v>
      </c>
      <c r="C5492" s="9">
        <f>IFERROR(__xludf.DUMMYFUNCTION("""COMPUTED_VALUE"""),21071.0)</f>
        <v>21071</v>
      </c>
      <c r="D5492" s="9" t="str">
        <f>IFERROR(__xludf.DUMMYFUNCTION("""COMPUTED_VALUE"""),"Completed")</f>
        <v>Completed</v>
      </c>
    </row>
    <row r="5493">
      <c r="A5493" s="9" t="str">
        <f>IFERROR(__xludf.DUMMYFUNCTION("""COMPUTED_VALUE"""),"G-REQ-05492")</f>
        <v>G-REQ-05492</v>
      </c>
      <c r="B5493" s="11">
        <f>IFERROR(__xludf.DUMMYFUNCTION("""COMPUTED_VALUE"""),46152.20649284085)</f>
        <v>46152.20649</v>
      </c>
      <c r="C5493" s="9">
        <f>IFERROR(__xludf.DUMMYFUNCTION("""COMPUTED_VALUE"""),21075.0)</f>
        <v>21075</v>
      </c>
      <c r="D5493" s="9" t="str">
        <f>IFERROR(__xludf.DUMMYFUNCTION("""COMPUTED_VALUE"""),"Completed")</f>
        <v>Completed</v>
      </c>
    </row>
    <row r="5494">
      <c r="A5494" s="9" t="str">
        <f>IFERROR(__xludf.DUMMYFUNCTION("""COMPUTED_VALUE"""),"G-REQ-05493")</f>
        <v>G-REQ-05493</v>
      </c>
      <c r="B5494" s="11">
        <f>IFERROR(__xludf.DUMMYFUNCTION("""COMPUTED_VALUE"""),46152.27766768627)</f>
        <v>46152.27767</v>
      </c>
      <c r="C5494" s="9">
        <f>IFERROR(__xludf.DUMMYFUNCTION("""COMPUTED_VALUE"""),21079.0)</f>
        <v>21079</v>
      </c>
      <c r="D5494" s="9" t="str">
        <f>IFERROR(__xludf.DUMMYFUNCTION("""COMPUTED_VALUE"""),"Completed")</f>
        <v>Completed</v>
      </c>
    </row>
    <row r="5495">
      <c r="A5495" s="9" t="str">
        <f>IFERROR(__xludf.DUMMYFUNCTION("""COMPUTED_VALUE"""),"G-REQ-05494")</f>
        <v>G-REQ-05494</v>
      </c>
      <c r="B5495" s="11">
        <f>IFERROR(__xludf.DUMMYFUNCTION("""COMPUTED_VALUE"""),46152.348842531675)</f>
        <v>46152.34884</v>
      </c>
      <c r="C5495" s="9">
        <f>IFERROR(__xludf.DUMMYFUNCTION("""COMPUTED_VALUE"""),21083.0)</f>
        <v>21083</v>
      </c>
      <c r="D5495" s="9" t="str">
        <f>IFERROR(__xludf.DUMMYFUNCTION("""COMPUTED_VALUE"""),"Completed")</f>
        <v>Completed</v>
      </c>
    </row>
    <row r="5496">
      <c r="A5496" s="9" t="str">
        <f>IFERROR(__xludf.DUMMYFUNCTION("""COMPUTED_VALUE"""),"G-REQ-05495")</f>
        <v>G-REQ-05495</v>
      </c>
      <c r="B5496" s="11">
        <f>IFERROR(__xludf.DUMMYFUNCTION("""COMPUTED_VALUE"""),46152.420017377095)</f>
        <v>46152.42002</v>
      </c>
      <c r="C5496" s="9">
        <f>IFERROR(__xludf.DUMMYFUNCTION("""COMPUTED_VALUE"""),21087.0)</f>
        <v>21087</v>
      </c>
      <c r="D5496" s="9" t="str">
        <f>IFERROR(__xludf.DUMMYFUNCTION("""COMPUTED_VALUE"""),"Completed")</f>
        <v>Completed</v>
      </c>
    </row>
    <row r="5497">
      <c r="A5497" s="9" t="str">
        <f>IFERROR(__xludf.DUMMYFUNCTION("""COMPUTED_VALUE"""),"G-REQ-05496")</f>
        <v>G-REQ-05496</v>
      </c>
      <c r="B5497" s="11">
        <f>IFERROR(__xludf.DUMMYFUNCTION("""COMPUTED_VALUE"""),46152.49119222251)</f>
        <v>46152.49119</v>
      </c>
      <c r="C5497" s="9">
        <f>IFERROR(__xludf.DUMMYFUNCTION("""COMPUTED_VALUE"""),21091.0)</f>
        <v>21091</v>
      </c>
      <c r="D5497" s="9" t="str">
        <f>IFERROR(__xludf.DUMMYFUNCTION("""COMPUTED_VALUE"""),"Completed")</f>
        <v>Completed</v>
      </c>
    </row>
    <row r="5498">
      <c r="A5498" s="9" t="str">
        <f>IFERROR(__xludf.DUMMYFUNCTION("""COMPUTED_VALUE"""),"G-REQ-05497")</f>
        <v>G-REQ-05497</v>
      </c>
      <c r="B5498" s="11">
        <f>IFERROR(__xludf.DUMMYFUNCTION("""COMPUTED_VALUE"""),46152.56236706793)</f>
        <v>46152.56237</v>
      </c>
      <c r="C5498" s="9">
        <f>IFERROR(__xludf.DUMMYFUNCTION("""COMPUTED_VALUE"""),21095.0)</f>
        <v>21095</v>
      </c>
      <c r="D5498" s="9" t="str">
        <f>IFERROR(__xludf.DUMMYFUNCTION("""COMPUTED_VALUE"""),"Completed")</f>
        <v>Completed</v>
      </c>
    </row>
    <row r="5499">
      <c r="A5499" s="9" t="str">
        <f>IFERROR(__xludf.DUMMYFUNCTION("""COMPUTED_VALUE"""),"G-REQ-05498")</f>
        <v>G-REQ-05498</v>
      </c>
      <c r="B5499" s="11">
        <f>IFERROR(__xludf.DUMMYFUNCTION("""COMPUTED_VALUE"""),46152.626597468894)</f>
        <v>46152.6266</v>
      </c>
      <c r="C5499" s="9">
        <f>IFERROR(__xludf.DUMMYFUNCTION("""COMPUTED_VALUE"""),21097.0)</f>
        <v>21097</v>
      </c>
      <c r="D5499" s="9" t="str">
        <f>IFERROR(__xludf.DUMMYFUNCTION("""COMPUTED_VALUE"""),"Cancelled")</f>
        <v>Cancelled</v>
      </c>
    </row>
    <row r="5500">
      <c r="A5500" s="9" t="str">
        <f>IFERROR(__xludf.DUMMYFUNCTION("""COMPUTED_VALUE"""),"G-REQ-05499")</f>
        <v>G-REQ-05499</v>
      </c>
      <c r="B5500" s="11">
        <f>IFERROR(__xludf.DUMMYFUNCTION("""COMPUTED_VALUE"""),46152.70471675876)</f>
        <v>46152.70472</v>
      </c>
      <c r="C5500" s="9">
        <f>IFERROR(__xludf.DUMMYFUNCTION("""COMPUTED_VALUE"""),21101.0)</f>
        <v>21101</v>
      </c>
      <c r="D5500" s="9" t="str">
        <f>IFERROR(__xludf.DUMMYFUNCTION("""COMPUTED_VALUE"""),"Completed")</f>
        <v>Completed</v>
      </c>
    </row>
    <row r="5501">
      <c r="A5501" s="9" t="str">
        <f>IFERROR(__xludf.DUMMYFUNCTION("""COMPUTED_VALUE"""),"G-REQ-05500")</f>
        <v>G-REQ-05500</v>
      </c>
      <c r="B5501" s="11">
        <f>IFERROR(__xludf.DUMMYFUNCTION("""COMPUTED_VALUE"""),46152.77589160417)</f>
        <v>46152.77589</v>
      </c>
      <c r="C5501" s="9">
        <f>IFERROR(__xludf.DUMMYFUNCTION("""COMPUTED_VALUE"""),21105.0)</f>
        <v>21105</v>
      </c>
      <c r="D5501" s="9" t="str">
        <f>IFERROR(__xludf.DUMMYFUNCTION("""COMPUTED_VALUE"""),"Completed")</f>
        <v>Completed</v>
      </c>
    </row>
    <row r="5502">
      <c r="A5502" s="9" t="str">
        <f>IFERROR(__xludf.DUMMYFUNCTION("""COMPUTED_VALUE"""),"G-REQ-05501")</f>
        <v>G-REQ-05501</v>
      </c>
      <c r="B5502" s="11">
        <f>IFERROR(__xludf.DUMMYFUNCTION("""COMPUTED_VALUE"""),46152.84706644958)</f>
        <v>46152.84707</v>
      </c>
      <c r="C5502" s="9">
        <f>IFERROR(__xludf.DUMMYFUNCTION("""COMPUTED_VALUE"""),21109.0)</f>
        <v>21109</v>
      </c>
      <c r="D5502" s="9" t="str">
        <f>IFERROR(__xludf.DUMMYFUNCTION("""COMPUTED_VALUE"""),"Completed")</f>
        <v>Completed</v>
      </c>
    </row>
    <row r="5503">
      <c r="A5503" s="9" t="str">
        <f>IFERROR(__xludf.DUMMYFUNCTION("""COMPUTED_VALUE"""),"G-REQ-05502")</f>
        <v>G-REQ-05502</v>
      </c>
      <c r="B5503" s="11">
        <f>IFERROR(__xludf.DUMMYFUNCTION("""COMPUTED_VALUE"""),46152.918241295)</f>
        <v>46152.91824</v>
      </c>
      <c r="C5503" s="9">
        <f>IFERROR(__xludf.DUMMYFUNCTION("""COMPUTED_VALUE"""),21113.0)</f>
        <v>21113</v>
      </c>
      <c r="D5503" s="9" t="str">
        <f>IFERROR(__xludf.DUMMYFUNCTION("""COMPUTED_VALUE"""),"Completed")</f>
        <v>Completed</v>
      </c>
    </row>
    <row r="5504">
      <c r="A5504" s="9" t="str">
        <f>IFERROR(__xludf.DUMMYFUNCTION("""COMPUTED_VALUE"""),"G-REQ-05503")</f>
        <v>G-REQ-05503</v>
      </c>
      <c r="B5504" s="11">
        <f>IFERROR(__xludf.DUMMYFUNCTION("""COMPUTED_VALUE"""),46152.989416140415)</f>
        <v>46152.98942</v>
      </c>
      <c r="C5504" s="9">
        <f>IFERROR(__xludf.DUMMYFUNCTION("""COMPUTED_VALUE"""),21117.0)</f>
        <v>21117</v>
      </c>
      <c r="D5504" s="9" t="str">
        <f>IFERROR(__xludf.DUMMYFUNCTION("""COMPUTED_VALUE"""),"Completed")</f>
        <v>Completed</v>
      </c>
    </row>
    <row r="5505">
      <c r="A5505" s="9" t="str">
        <f>IFERROR(__xludf.DUMMYFUNCTION("""COMPUTED_VALUE"""),"G-REQ-05504")</f>
        <v>G-REQ-05504</v>
      </c>
      <c r="B5505" s="11">
        <f>IFERROR(__xludf.DUMMYFUNCTION("""COMPUTED_VALUE"""),46153.06059098583)</f>
        <v>46153.06059</v>
      </c>
      <c r="C5505" s="9">
        <f>IFERROR(__xludf.DUMMYFUNCTION("""COMPUTED_VALUE"""),21121.0)</f>
        <v>21121</v>
      </c>
      <c r="D5505" s="9" t="str">
        <f>IFERROR(__xludf.DUMMYFUNCTION("""COMPUTED_VALUE"""),"Completed")</f>
        <v>Completed</v>
      </c>
    </row>
    <row r="5506">
      <c r="A5506" s="9" t="str">
        <f>IFERROR(__xludf.DUMMYFUNCTION("""COMPUTED_VALUE"""),"G-REQ-05505")</f>
        <v>G-REQ-05505</v>
      </c>
      <c r="B5506" s="11">
        <f>IFERROR(__xludf.DUMMYFUNCTION("""COMPUTED_VALUE"""),46153.13176583125)</f>
        <v>46153.13177</v>
      </c>
      <c r="C5506" s="9">
        <f>IFERROR(__xludf.DUMMYFUNCTION("""COMPUTED_VALUE"""),21125.0)</f>
        <v>21125</v>
      </c>
      <c r="D5506" s="9" t="str">
        <f>IFERROR(__xludf.DUMMYFUNCTION("""COMPUTED_VALUE"""),"Completed")</f>
        <v>Completed</v>
      </c>
    </row>
    <row r="5507">
      <c r="A5507" s="9" t="str">
        <f>IFERROR(__xludf.DUMMYFUNCTION("""COMPUTED_VALUE"""),"G-REQ-05506")</f>
        <v>G-REQ-05506</v>
      </c>
      <c r="B5507" s="11">
        <f>IFERROR(__xludf.DUMMYFUNCTION("""COMPUTED_VALUE"""),46153.20294067666)</f>
        <v>46153.20294</v>
      </c>
      <c r="C5507" s="9">
        <f>IFERROR(__xludf.DUMMYFUNCTION("""COMPUTED_VALUE"""),21129.0)</f>
        <v>21129</v>
      </c>
      <c r="D5507" s="9" t="str">
        <f>IFERROR(__xludf.DUMMYFUNCTION("""COMPUTED_VALUE"""),"Completed")</f>
        <v>Completed</v>
      </c>
    </row>
    <row r="5508">
      <c r="A5508" s="9" t="str">
        <f>IFERROR(__xludf.DUMMYFUNCTION("""COMPUTED_VALUE"""),"G-REQ-05507")</f>
        <v>G-REQ-05507</v>
      </c>
      <c r="B5508" s="11">
        <f>IFERROR(__xludf.DUMMYFUNCTION("""COMPUTED_VALUE"""),46153.27411552207)</f>
        <v>46153.27412</v>
      </c>
      <c r="C5508" s="9">
        <f>IFERROR(__xludf.DUMMYFUNCTION("""COMPUTED_VALUE"""),21133.0)</f>
        <v>21133</v>
      </c>
      <c r="D5508" s="9" t="str">
        <f>IFERROR(__xludf.DUMMYFUNCTION("""COMPUTED_VALUE"""),"Completed")</f>
        <v>Completed</v>
      </c>
    </row>
    <row r="5509">
      <c r="A5509" s="9" t="str">
        <f>IFERROR(__xludf.DUMMYFUNCTION("""COMPUTED_VALUE"""),"G-REQ-05508")</f>
        <v>G-REQ-05508</v>
      </c>
      <c r="B5509" s="11">
        <f>IFERROR(__xludf.DUMMYFUNCTION("""COMPUTED_VALUE"""),46153.34529036749)</f>
        <v>46153.34529</v>
      </c>
      <c r="C5509" s="9">
        <f>IFERROR(__xludf.DUMMYFUNCTION("""COMPUTED_VALUE"""),21137.0)</f>
        <v>21137</v>
      </c>
      <c r="D5509" s="9" t="str">
        <f>IFERROR(__xludf.DUMMYFUNCTION("""COMPUTED_VALUE"""),"Completed")</f>
        <v>Completed</v>
      </c>
    </row>
    <row r="5510">
      <c r="A5510" s="9" t="str">
        <f>IFERROR(__xludf.DUMMYFUNCTION("""COMPUTED_VALUE"""),"G-REQ-05509")</f>
        <v>G-REQ-05509</v>
      </c>
      <c r="B5510" s="11">
        <f>IFERROR(__xludf.DUMMYFUNCTION("""COMPUTED_VALUE"""),46153.41646521291)</f>
        <v>46153.41647</v>
      </c>
      <c r="C5510" s="9">
        <f>IFERROR(__xludf.DUMMYFUNCTION("""COMPUTED_VALUE"""),21141.0)</f>
        <v>21141</v>
      </c>
      <c r="D5510" s="9" t="str">
        <f>IFERROR(__xludf.DUMMYFUNCTION("""COMPUTED_VALUE"""),"Completed")</f>
        <v>Completed</v>
      </c>
    </row>
    <row r="5511">
      <c r="A5511" s="9" t="str">
        <f>IFERROR(__xludf.DUMMYFUNCTION("""COMPUTED_VALUE"""),"G-REQ-05510")</f>
        <v>G-REQ-05510</v>
      </c>
      <c r="B5511" s="11">
        <f>IFERROR(__xludf.DUMMYFUNCTION("""COMPUTED_VALUE"""),46153.487640058316)</f>
        <v>46153.48764</v>
      </c>
      <c r="C5511" s="9">
        <f>IFERROR(__xludf.DUMMYFUNCTION("""COMPUTED_VALUE"""),21145.0)</f>
        <v>21145</v>
      </c>
      <c r="D5511" s="9" t="str">
        <f>IFERROR(__xludf.DUMMYFUNCTION("""COMPUTED_VALUE"""),"Completed")</f>
        <v>Completed</v>
      </c>
    </row>
    <row r="5512">
      <c r="A5512" s="9" t="str">
        <f>IFERROR(__xludf.DUMMYFUNCTION("""COMPUTED_VALUE"""),"G-REQ-05511")</f>
        <v>G-REQ-05511</v>
      </c>
      <c r="B5512" s="11">
        <f>IFERROR(__xludf.DUMMYFUNCTION("""COMPUTED_VALUE"""),46153.558814903736)</f>
        <v>46153.55881</v>
      </c>
      <c r="C5512" s="9">
        <f>IFERROR(__xludf.DUMMYFUNCTION("""COMPUTED_VALUE"""),21149.0)</f>
        <v>21149</v>
      </c>
      <c r="D5512" s="9" t="str">
        <f>IFERROR(__xludf.DUMMYFUNCTION("""COMPUTED_VALUE"""),"Completed")</f>
        <v>Completed</v>
      </c>
    </row>
    <row r="5513">
      <c r="A5513" s="9" t="str">
        <f>IFERROR(__xludf.DUMMYFUNCTION("""COMPUTED_VALUE"""),"G-REQ-05512")</f>
        <v>G-REQ-05512</v>
      </c>
      <c r="B5513" s="11">
        <f>IFERROR(__xludf.DUMMYFUNCTION("""COMPUTED_VALUE"""),46153.629989749155)</f>
        <v>46153.62999</v>
      </c>
      <c r="C5513" s="9">
        <f>IFERROR(__xludf.DUMMYFUNCTION("""COMPUTED_VALUE"""),21153.0)</f>
        <v>21153</v>
      </c>
      <c r="D5513" s="9" t="str">
        <f>IFERROR(__xludf.DUMMYFUNCTION("""COMPUTED_VALUE"""),"Completed")</f>
        <v>Completed</v>
      </c>
    </row>
    <row r="5514">
      <c r="A5514" s="9" t="str">
        <f>IFERROR(__xludf.DUMMYFUNCTION("""COMPUTED_VALUE"""),"G-REQ-05513")</f>
        <v>G-REQ-05513</v>
      </c>
      <c r="B5514" s="11">
        <f>IFERROR(__xludf.DUMMYFUNCTION("""COMPUTED_VALUE"""),46153.70116459457)</f>
        <v>46153.70116</v>
      </c>
      <c r="C5514" s="9">
        <f>IFERROR(__xludf.DUMMYFUNCTION("""COMPUTED_VALUE"""),21157.0)</f>
        <v>21157</v>
      </c>
      <c r="D5514" s="9" t="str">
        <f>IFERROR(__xludf.DUMMYFUNCTION("""COMPUTED_VALUE"""),"Completed")</f>
        <v>Completed</v>
      </c>
    </row>
    <row r="5515">
      <c r="A5515" s="9" t="str">
        <f>IFERROR(__xludf.DUMMYFUNCTION("""COMPUTED_VALUE"""),"G-REQ-05514")</f>
        <v>G-REQ-05514</v>
      </c>
      <c r="B5515" s="11">
        <f>IFERROR(__xludf.DUMMYFUNCTION("""COMPUTED_VALUE"""),46153.77233943998)</f>
        <v>46153.77234</v>
      </c>
      <c r="C5515" s="9">
        <f>IFERROR(__xludf.DUMMYFUNCTION("""COMPUTED_VALUE"""),21161.0)</f>
        <v>21161</v>
      </c>
      <c r="D5515" s="9" t="str">
        <f>IFERROR(__xludf.DUMMYFUNCTION("""COMPUTED_VALUE"""),"Completed")</f>
        <v>Completed</v>
      </c>
    </row>
    <row r="5516">
      <c r="A5516" s="9" t="str">
        <f>IFERROR(__xludf.DUMMYFUNCTION("""COMPUTED_VALUE"""),"G-REQ-05515")</f>
        <v>G-REQ-05515</v>
      </c>
      <c r="B5516" s="11">
        <f>IFERROR(__xludf.DUMMYFUNCTION("""COMPUTED_VALUE"""),46153.8435142854)</f>
        <v>46153.84351</v>
      </c>
      <c r="C5516" s="9">
        <f>IFERROR(__xludf.DUMMYFUNCTION("""COMPUTED_VALUE"""),21165.0)</f>
        <v>21165</v>
      </c>
      <c r="D5516" s="9" t="str">
        <f>IFERROR(__xludf.DUMMYFUNCTION("""COMPUTED_VALUE"""),"Completed")</f>
        <v>Completed</v>
      </c>
    </row>
    <row r="5517">
      <c r="A5517" s="9" t="str">
        <f>IFERROR(__xludf.DUMMYFUNCTION("""COMPUTED_VALUE"""),"G-REQ-05516")</f>
        <v>G-REQ-05516</v>
      </c>
      <c r="B5517" s="11">
        <f>IFERROR(__xludf.DUMMYFUNCTION("""COMPUTED_VALUE"""),46153.91468913081)</f>
        <v>46153.91469</v>
      </c>
      <c r="C5517" s="9">
        <f>IFERROR(__xludf.DUMMYFUNCTION("""COMPUTED_VALUE"""),21169.0)</f>
        <v>21169</v>
      </c>
      <c r="D5517" s="9" t="str">
        <f>IFERROR(__xludf.DUMMYFUNCTION("""COMPUTED_VALUE"""),"Completed")</f>
        <v>Completed</v>
      </c>
    </row>
    <row r="5518">
      <c r="A5518" s="9" t="str">
        <f>IFERROR(__xludf.DUMMYFUNCTION("""COMPUTED_VALUE"""),"G-REQ-05517")</f>
        <v>G-REQ-05517</v>
      </c>
      <c r="B5518" s="11">
        <f>IFERROR(__xludf.DUMMYFUNCTION("""COMPUTED_VALUE"""),46153.985863976224)</f>
        <v>46153.98586</v>
      </c>
      <c r="C5518" s="9">
        <f>IFERROR(__xludf.DUMMYFUNCTION("""COMPUTED_VALUE"""),21173.0)</f>
        <v>21173</v>
      </c>
      <c r="D5518" s="9" t="str">
        <f>IFERROR(__xludf.DUMMYFUNCTION("""COMPUTED_VALUE"""),"Completed")</f>
        <v>Completed</v>
      </c>
    </row>
    <row r="5519">
      <c r="A5519" s="9" t="str">
        <f>IFERROR(__xludf.DUMMYFUNCTION("""COMPUTED_VALUE"""),"G-REQ-05518")</f>
        <v>G-REQ-05518</v>
      </c>
      <c r="B5519" s="11">
        <f>IFERROR(__xludf.DUMMYFUNCTION("""COMPUTED_VALUE"""),46154.057038821644)</f>
        <v>46154.05704</v>
      </c>
      <c r="C5519" s="9">
        <f>IFERROR(__xludf.DUMMYFUNCTION("""COMPUTED_VALUE"""),21177.0)</f>
        <v>21177</v>
      </c>
      <c r="D5519" s="9" t="str">
        <f>IFERROR(__xludf.DUMMYFUNCTION("""COMPUTED_VALUE"""),"Completed")</f>
        <v>Completed</v>
      </c>
    </row>
    <row r="5520">
      <c r="A5520" s="9" t="str">
        <f>IFERROR(__xludf.DUMMYFUNCTION("""COMPUTED_VALUE"""),"G-REQ-05519")</f>
        <v>G-REQ-05519</v>
      </c>
      <c r="B5520" s="11">
        <f>IFERROR(__xludf.DUMMYFUNCTION("""COMPUTED_VALUE"""),46154.12126922261)</f>
        <v>46154.12127</v>
      </c>
      <c r="C5520" s="9">
        <f>IFERROR(__xludf.DUMMYFUNCTION("""COMPUTED_VALUE"""),21179.0)</f>
        <v>21179</v>
      </c>
      <c r="D5520" s="9" t="str">
        <f>IFERROR(__xludf.DUMMYFUNCTION("""COMPUTED_VALUE"""),"Cancelled")</f>
        <v>Cancelled</v>
      </c>
    </row>
    <row r="5521">
      <c r="A5521" s="9" t="str">
        <f>IFERROR(__xludf.DUMMYFUNCTION("""COMPUTED_VALUE"""),"G-REQ-05520")</f>
        <v>G-REQ-05520</v>
      </c>
      <c r="B5521" s="11">
        <f>IFERROR(__xludf.DUMMYFUNCTION("""COMPUTED_VALUE"""),46154.19938851247)</f>
        <v>46154.19939</v>
      </c>
      <c r="C5521" s="9">
        <f>IFERROR(__xludf.DUMMYFUNCTION("""COMPUTED_VALUE"""),21183.0)</f>
        <v>21183</v>
      </c>
      <c r="D5521" s="9" t="str">
        <f>IFERROR(__xludf.DUMMYFUNCTION("""COMPUTED_VALUE"""),"Completed")</f>
        <v>Completed</v>
      </c>
    </row>
    <row r="5522">
      <c r="A5522" s="9" t="str">
        <f>IFERROR(__xludf.DUMMYFUNCTION("""COMPUTED_VALUE"""),"G-REQ-05521")</f>
        <v>G-REQ-05521</v>
      </c>
      <c r="B5522" s="11">
        <f>IFERROR(__xludf.DUMMYFUNCTION("""COMPUTED_VALUE"""),46154.27056335789)</f>
        <v>46154.27056</v>
      </c>
      <c r="C5522" s="9">
        <f>IFERROR(__xludf.DUMMYFUNCTION("""COMPUTED_VALUE"""),21187.0)</f>
        <v>21187</v>
      </c>
      <c r="D5522" s="9" t="str">
        <f>IFERROR(__xludf.DUMMYFUNCTION("""COMPUTED_VALUE"""),"Completed")</f>
        <v>Completed</v>
      </c>
    </row>
    <row r="5523">
      <c r="A5523" s="9" t="str">
        <f>IFERROR(__xludf.DUMMYFUNCTION("""COMPUTED_VALUE"""),"G-REQ-05522")</f>
        <v>G-REQ-05522</v>
      </c>
      <c r="B5523" s="11">
        <f>IFERROR(__xludf.DUMMYFUNCTION("""COMPUTED_VALUE"""),46154.3417382033)</f>
        <v>46154.34174</v>
      </c>
      <c r="C5523" s="9">
        <f>IFERROR(__xludf.DUMMYFUNCTION("""COMPUTED_VALUE"""),21191.0)</f>
        <v>21191</v>
      </c>
      <c r="D5523" s="9" t="str">
        <f>IFERROR(__xludf.DUMMYFUNCTION("""COMPUTED_VALUE"""),"Completed")</f>
        <v>Completed</v>
      </c>
    </row>
    <row r="5524">
      <c r="A5524" s="9" t="str">
        <f>IFERROR(__xludf.DUMMYFUNCTION("""COMPUTED_VALUE"""),"G-REQ-05523")</f>
        <v>G-REQ-05523</v>
      </c>
      <c r="B5524" s="11">
        <f>IFERROR(__xludf.DUMMYFUNCTION("""COMPUTED_VALUE"""),46154.41291304872)</f>
        <v>46154.41291</v>
      </c>
      <c r="C5524" s="9">
        <f>IFERROR(__xludf.DUMMYFUNCTION("""COMPUTED_VALUE"""),21195.0)</f>
        <v>21195</v>
      </c>
      <c r="D5524" s="9" t="str">
        <f>IFERROR(__xludf.DUMMYFUNCTION("""COMPUTED_VALUE"""),"Completed")</f>
        <v>Completed</v>
      </c>
    </row>
    <row r="5525">
      <c r="A5525" s="9" t="str">
        <f>IFERROR(__xludf.DUMMYFUNCTION("""COMPUTED_VALUE"""),"G-REQ-05524")</f>
        <v>G-REQ-05524</v>
      </c>
      <c r="B5525" s="11">
        <f>IFERROR(__xludf.DUMMYFUNCTION("""COMPUTED_VALUE"""),46154.48408789413)</f>
        <v>46154.48409</v>
      </c>
      <c r="C5525" s="9">
        <f>IFERROR(__xludf.DUMMYFUNCTION("""COMPUTED_VALUE"""),21199.0)</f>
        <v>21199</v>
      </c>
      <c r="D5525" s="9" t="str">
        <f>IFERROR(__xludf.DUMMYFUNCTION("""COMPUTED_VALUE"""),"Completed")</f>
        <v>Completed</v>
      </c>
    </row>
    <row r="5526">
      <c r="A5526" s="9" t="str">
        <f>IFERROR(__xludf.DUMMYFUNCTION("""COMPUTED_VALUE"""),"G-REQ-05525")</f>
        <v>G-REQ-05525</v>
      </c>
      <c r="B5526" s="11">
        <f>IFERROR(__xludf.DUMMYFUNCTION("""COMPUTED_VALUE"""),46154.55526273955)</f>
        <v>46154.55526</v>
      </c>
      <c r="C5526" s="9">
        <f>IFERROR(__xludf.DUMMYFUNCTION("""COMPUTED_VALUE"""),21203.0)</f>
        <v>21203</v>
      </c>
      <c r="D5526" s="9" t="str">
        <f>IFERROR(__xludf.DUMMYFUNCTION("""COMPUTED_VALUE"""),"Completed")</f>
        <v>Completed</v>
      </c>
    </row>
    <row r="5527">
      <c r="A5527" s="9" t="str">
        <f>IFERROR(__xludf.DUMMYFUNCTION("""COMPUTED_VALUE"""),"G-REQ-05526")</f>
        <v>G-REQ-05526</v>
      </c>
      <c r="B5527" s="11">
        <f>IFERROR(__xludf.DUMMYFUNCTION("""COMPUTED_VALUE"""),46154.62643758496)</f>
        <v>46154.62644</v>
      </c>
      <c r="C5527" s="9">
        <f>IFERROR(__xludf.DUMMYFUNCTION("""COMPUTED_VALUE"""),21207.0)</f>
        <v>21207</v>
      </c>
      <c r="D5527" s="9" t="str">
        <f>IFERROR(__xludf.DUMMYFUNCTION("""COMPUTED_VALUE"""),"Completed")</f>
        <v>Completed</v>
      </c>
    </row>
    <row r="5528">
      <c r="A5528" s="9" t="str">
        <f>IFERROR(__xludf.DUMMYFUNCTION("""COMPUTED_VALUE"""),"G-REQ-05527")</f>
        <v>G-REQ-05527</v>
      </c>
      <c r="B5528" s="11">
        <f>IFERROR(__xludf.DUMMYFUNCTION("""COMPUTED_VALUE"""),46154.69761243038)</f>
        <v>46154.69761</v>
      </c>
      <c r="C5528" s="9">
        <f>IFERROR(__xludf.DUMMYFUNCTION("""COMPUTED_VALUE"""),21211.0)</f>
        <v>21211</v>
      </c>
      <c r="D5528" s="9" t="str">
        <f>IFERROR(__xludf.DUMMYFUNCTION("""COMPUTED_VALUE"""),"Completed")</f>
        <v>Completed</v>
      </c>
    </row>
    <row r="5529">
      <c r="A5529" s="9" t="str">
        <f>IFERROR(__xludf.DUMMYFUNCTION("""COMPUTED_VALUE"""),"G-REQ-05528")</f>
        <v>G-REQ-05528</v>
      </c>
      <c r="B5529" s="11">
        <f>IFERROR(__xludf.DUMMYFUNCTION("""COMPUTED_VALUE"""),46154.768787275796)</f>
        <v>46154.76879</v>
      </c>
      <c r="C5529" s="9">
        <f>IFERROR(__xludf.DUMMYFUNCTION("""COMPUTED_VALUE"""),21215.0)</f>
        <v>21215</v>
      </c>
      <c r="D5529" s="9" t="str">
        <f>IFERROR(__xludf.DUMMYFUNCTION("""COMPUTED_VALUE"""),"Completed")</f>
        <v>Completed</v>
      </c>
    </row>
    <row r="5530">
      <c r="A5530" s="9" t="str">
        <f>IFERROR(__xludf.DUMMYFUNCTION("""COMPUTED_VALUE"""),"G-REQ-05529")</f>
        <v>G-REQ-05529</v>
      </c>
      <c r="B5530" s="11">
        <f>IFERROR(__xludf.DUMMYFUNCTION("""COMPUTED_VALUE"""),46154.83996212121)</f>
        <v>46154.83996</v>
      </c>
      <c r="C5530" s="9">
        <f>IFERROR(__xludf.DUMMYFUNCTION("""COMPUTED_VALUE"""),21219.0)</f>
        <v>21219</v>
      </c>
      <c r="D5530" s="9" t="str">
        <f>IFERROR(__xludf.DUMMYFUNCTION("""COMPUTED_VALUE"""),"Completed")</f>
        <v>Completed</v>
      </c>
    </row>
    <row r="5531">
      <c r="A5531" s="9" t="str">
        <f>IFERROR(__xludf.DUMMYFUNCTION("""COMPUTED_VALUE"""),"G-REQ-05530")</f>
        <v>G-REQ-05530</v>
      </c>
      <c r="B5531" s="11">
        <f>IFERROR(__xludf.DUMMYFUNCTION("""COMPUTED_VALUE"""),46154.91113696662)</f>
        <v>46154.91114</v>
      </c>
      <c r="C5531" s="9">
        <f>IFERROR(__xludf.DUMMYFUNCTION("""COMPUTED_VALUE"""),21223.0)</f>
        <v>21223</v>
      </c>
      <c r="D5531" s="9" t="str">
        <f>IFERROR(__xludf.DUMMYFUNCTION("""COMPUTED_VALUE"""),"Completed")</f>
        <v>Completed</v>
      </c>
    </row>
    <row r="5532">
      <c r="A5532" s="9" t="str">
        <f>IFERROR(__xludf.DUMMYFUNCTION("""COMPUTED_VALUE"""),"G-REQ-05531")</f>
        <v>G-REQ-05531</v>
      </c>
      <c r="B5532" s="11">
        <f>IFERROR(__xludf.DUMMYFUNCTION("""COMPUTED_VALUE"""),46154.98231181204)</f>
        <v>46154.98231</v>
      </c>
      <c r="C5532" s="9">
        <f>IFERROR(__xludf.DUMMYFUNCTION("""COMPUTED_VALUE"""),21227.0)</f>
        <v>21227</v>
      </c>
      <c r="D5532" s="9" t="str">
        <f>IFERROR(__xludf.DUMMYFUNCTION("""COMPUTED_VALUE"""),"Completed")</f>
        <v>Completed</v>
      </c>
    </row>
    <row r="5533">
      <c r="A5533" s="9" t="str">
        <f>IFERROR(__xludf.DUMMYFUNCTION("""COMPUTED_VALUE"""),"G-REQ-05532")</f>
        <v>G-REQ-05532</v>
      </c>
      <c r="B5533" s="11">
        <f>IFERROR(__xludf.DUMMYFUNCTION("""COMPUTED_VALUE"""),46155.05348665745)</f>
        <v>46155.05349</v>
      </c>
      <c r="C5533" s="9">
        <f>IFERROR(__xludf.DUMMYFUNCTION("""COMPUTED_VALUE"""),21231.0)</f>
        <v>21231</v>
      </c>
      <c r="D5533" s="9" t="str">
        <f>IFERROR(__xludf.DUMMYFUNCTION("""COMPUTED_VALUE"""),"Completed")</f>
        <v>Completed</v>
      </c>
    </row>
    <row r="5534">
      <c r="A5534" s="9" t="str">
        <f>IFERROR(__xludf.DUMMYFUNCTION("""COMPUTED_VALUE"""),"G-REQ-05533")</f>
        <v>G-REQ-05533</v>
      </c>
      <c r="B5534" s="11">
        <f>IFERROR(__xludf.DUMMYFUNCTION("""COMPUTED_VALUE"""),46155.124661502865)</f>
        <v>46155.12466</v>
      </c>
      <c r="C5534" s="9">
        <f>IFERROR(__xludf.DUMMYFUNCTION("""COMPUTED_VALUE"""),21235.0)</f>
        <v>21235</v>
      </c>
      <c r="D5534" s="9" t="str">
        <f>IFERROR(__xludf.DUMMYFUNCTION("""COMPUTED_VALUE"""),"Completed")</f>
        <v>Completed</v>
      </c>
    </row>
    <row r="5535">
      <c r="A5535" s="9" t="str">
        <f>IFERROR(__xludf.DUMMYFUNCTION("""COMPUTED_VALUE"""),"G-REQ-05534")</f>
        <v>G-REQ-05534</v>
      </c>
      <c r="B5535" s="11">
        <f>IFERROR(__xludf.DUMMYFUNCTION("""COMPUTED_VALUE"""),46155.195836348285)</f>
        <v>46155.19584</v>
      </c>
      <c r="C5535" s="9">
        <f>IFERROR(__xludf.DUMMYFUNCTION("""COMPUTED_VALUE"""),21239.0)</f>
        <v>21239</v>
      </c>
      <c r="D5535" s="9" t="str">
        <f>IFERROR(__xludf.DUMMYFUNCTION("""COMPUTED_VALUE"""),"Completed")</f>
        <v>Completed</v>
      </c>
    </row>
    <row r="5536">
      <c r="A5536" s="9" t="str">
        <f>IFERROR(__xludf.DUMMYFUNCTION("""COMPUTED_VALUE"""),"G-REQ-05535")</f>
        <v>G-REQ-05535</v>
      </c>
      <c r="B5536" s="11">
        <f>IFERROR(__xludf.DUMMYFUNCTION("""COMPUTED_VALUE"""),46155.267011193704)</f>
        <v>46155.26701</v>
      </c>
      <c r="C5536" s="9">
        <f>IFERROR(__xludf.DUMMYFUNCTION("""COMPUTED_VALUE"""),21243.0)</f>
        <v>21243</v>
      </c>
      <c r="D5536" s="9" t="str">
        <f>IFERROR(__xludf.DUMMYFUNCTION("""COMPUTED_VALUE"""),"Completed")</f>
        <v>Completed</v>
      </c>
    </row>
    <row r="5537">
      <c r="A5537" s="9" t="str">
        <f>IFERROR(__xludf.DUMMYFUNCTION("""COMPUTED_VALUE"""),"G-REQ-05536")</f>
        <v>G-REQ-05536</v>
      </c>
      <c r="B5537" s="11">
        <f>IFERROR(__xludf.DUMMYFUNCTION("""COMPUTED_VALUE"""),46155.33818603911)</f>
        <v>46155.33819</v>
      </c>
      <c r="C5537" s="9">
        <f>IFERROR(__xludf.DUMMYFUNCTION("""COMPUTED_VALUE"""),21247.0)</f>
        <v>21247</v>
      </c>
      <c r="D5537" s="9" t="str">
        <f>IFERROR(__xludf.DUMMYFUNCTION("""COMPUTED_VALUE"""),"Completed")</f>
        <v>Completed</v>
      </c>
    </row>
    <row r="5538">
      <c r="A5538" s="9" t="str">
        <f>IFERROR(__xludf.DUMMYFUNCTION("""COMPUTED_VALUE"""),"G-REQ-05537")</f>
        <v>G-REQ-05537</v>
      </c>
      <c r="B5538" s="11">
        <f>IFERROR(__xludf.DUMMYFUNCTION("""COMPUTED_VALUE"""),46155.40241644008)</f>
        <v>46155.40242</v>
      </c>
      <c r="C5538" s="9">
        <f>IFERROR(__xludf.DUMMYFUNCTION("""COMPUTED_VALUE"""),21249.0)</f>
        <v>21249</v>
      </c>
      <c r="D5538" s="9" t="str">
        <f>IFERROR(__xludf.DUMMYFUNCTION("""COMPUTED_VALUE"""),"Rejected")</f>
        <v>Rejected</v>
      </c>
    </row>
    <row r="5539">
      <c r="A5539" s="9" t="str">
        <f>IFERROR(__xludf.DUMMYFUNCTION("""COMPUTED_VALUE"""),"G-REQ-05538")</f>
        <v>G-REQ-05538</v>
      </c>
      <c r="B5539" s="11">
        <f>IFERROR(__xludf.DUMMYFUNCTION("""COMPUTED_VALUE"""),46155.473591285496)</f>
        <v>46155.47359</v>
      </c>
      <c r="C5539" s="9">
        <f>IFERROR(__xludf.DUMMYFUNCTION("""COMPUTED_VALUE"""),21251.0)</f>
        <v>21251</v>
      </c>
      <c r="D5539" s="9" t="str">
        <f>IFERROR(__xludf.DUMMYFUNCTION("""COMPUTED_VALUE"""),"Cancelled")</f>
        <v>Cancelled</v>
      </c>
    </row>
    <row r="5540">
      <c r="A5540" s="9" t="str">
        <f>IFERROR(__xludf.DUMMYFUNCTION("""COMPUTED_VALUE"""),"G-REQ-05539")</f>
        <v>G-REQ-05539</v>
      </c>
      <c r="B5540" s="11">
        <f>IFERROR(__xludf.DUMMYFUNCTION("""COMPUTED_VALUE"""),46155.55171057536)</f>
        <v>46155.55171</v>
      </c>
      <c r="C5540" s="9">
        <f>IFERROR(__xludf.DUMMYFUNCTION("""COMPUTED_VALUE"""),21255.0)</f>
        <v>21255</v>
      </c>
      <c r="D5540" s="9" t="str">
        <f>IFERROR(__xludf.DUMMYFUNCTION("""COMPUTED_VALUE"""),"Completed")</f>
        <v>Completed</v>
      </c>
    </row>
    <row r="5541">
      <c r="A5541" s="9" t="str">
        <f>IFERROR(__xludf.DUMMYFUNCTION("""COMPUTED_VALUE"""),"G-REQ-05540")</f>
        <v>G-REQ-05540</v>
      </c>
      <c r="B5541" s="11">
        <f>IFERROR(__xludf.DUMMYFUNCTION("""COMPUTED_VALUE"""),46155.62288542077)</f>
        <v>46155.62289</v>
      </c>
      <c r="C5541" s="9">
        <f>IFERROR(__xludf.DUMMYFUNCTION("""COMPUTED_VALUE"""),21259.0)</f>
        <v>21259</v>
      </c>
      <c r="D5541" s="9" t="str">
        <f>IFERROR(__xludf.DUMMYFUNCTION("""COMPUTED_VALUE"""),"Completed")</f>
        <v>Completed</v>
      </c>
    </row>
    <row r="5542">
      <c r="A5542" s="9" t="str">
        <f>IFERROR(__xludf.DUMMYFUNCTION("""COMPUTED_VALUE"""),"G-REQ-05541")</f>
        <v>G-REQ-05541</v>
      </c>
      <c r="B5542" s="11">
        <f>IFERROR(__xludf.DUMMYFUNCTION("""COMPUTED_VALUE"""),46155.69406026619)</f>
        <v>46155.69406</v>
      </c>
      <c r="C5542" s="9">
        <f>IFERROR(__xludf.DUMMYFUNCTION("""COMPUTED_VALUE"""),21263.0)</f>
        <v>21263</v>
      </c>
      <c r="D5542" s="9" t="str">
        <f>IFERROR(__xludf.DUMMYFUNCTION("""COMPUTED_VALUE"""),"Completed")</f>
        <v>Completed</v>
      </c>
    </row>
    <row r="5543">
      <c r="A5543" s="9" t="str">
        <f>IFERROR(__xludf.DUMMYFUNCTION("""COMPUTED_VALUE"""),"G-REQ-05542")</f>
        <v>G-REQ-05542</v>
      </c>
      <c r="B5543" s="11">
        <f>IFERROR(__xludf.DUMMYFUNCTION("""COMPUTED_VALUE"""),46155.7652351116)</f>
        <v>46155.76524</v>
      </c>
      <c r="C5543" s="9">
        <f>IFERROR(__xludf.DUMMYFUNCTION("""COMPUTED_VALUE"""),21267.0)</f>
        <v>21267</v>
      </c>
      <c r="D5543" s="9" t="str">
        <f>IFERROR(__xludf.DUMMYFUNCTION("""COMPUTED_VALUE"""),"Completed")</f>
        <v>Completed</v>
      </c>
    </row>
    <row r="5544">
      <c r="A5544" s="9" t="str">
        <f>IFERROR(__xludf.DUMMYFUNCTION("""COMPUTED_VALUE"""),"G-REQ-05543")</f>
        <v>G-REQ-05543</v>
      </c>
      <c r="B5544" s="11">
        <f>IFERROR(__xludf.DUMMYFUNCTION("""COMPUTED_VALUE"""),46155.83640995702)</f>
        <v>46155.83641</v>
      </c>
      <c r="C5544" s="9">
        <f>IFERROR(__xludf.DUMMYFUNCTION("""COMPUTED_VALUE"""),21271.0)</f>
        <v>21271</v>
      </c>
      <c r="D5544" s="9" t="str">
        <f>IFERROR(__xludf.DUMMYFUNCTION("""COMPUTED_VALUE"""),"Completed")</f>
        <v>Completed</v>
      </c>
    </row>
    <row r="5545">
      <c r="A5545" s="9" t="str">
        <f>IFERROR(__xludf.DUMMYFUNCTION("""COMPUTED_VALUE"""),"G-REQ-05544")</f>
        <v>G-REQ-05544</v>
      </c>
      <c r="B5545" s="11">
        <f>IFERROR(__xludf.DUMMYFUNCTION("""COMPUTED_VALUE"""),46155.90758480244)</f>
        <v>46155.90758</v>
      </c>
      <c r="C5545" s="9">
        <f>IFERROR(__xludf.DUMMYFUNCTION("""COMPUTED_VALUE"""),21275.0)</f>
        <v>21275</v>
      </c>
      <c r="D5545" s="9" t="str">
        <f>IFERROR(__xludf.DUMMYFUNCTION("""COMPUTED_VALUE"""),"Completed")</f>
        <v>Completed</v>
      </c>
    </row>
    <row r="5546">
      <c r="A5546" s="9" t="str">
        <f>IFERROR(__xludf.DUMMYFUNCTION("""COMPUTED_VALUE"""),"G-REQ-05545")</f>
        <v>G-REQ-05545</v>
      </c>
      <c r="B5546" s="11">
        <f>IFERROR(__xludf.DUMMYFUNCTION("""COMPUTED_VALUE"""),46155.97875964785)</f>
        <v>46155.97876</v>
      </c>
      <c r="C5546" s="9">
        <f>IFERROR(__xludf.DUMMYFUNCTION("""COMPUTED_VALUE"""),21279.0)</f>
        <v>21279</v>
      </c>
      <c r="D5546" s="9" t="str">
        <f>IFERROR(__xludf.DUMMYFUNCTION("""COMPUTED_VALUE"""),"Completed")</f>
        <v>Completed</v>
      </c>
    </row>
    <row r="5547">
      <c r="A5547" s="9" t="str">
        <f>IFERROR(__xludf.DUMMYFUNCTION("""COMPUTED_VALUE"""),"G-REQ-05546")</f>
        <v>G-REQ-05546</v>
      </c>
      <c r="B5547" s="11">
        <f>IFERROR(__xludf.DUMMYFUNCTION("""COMPUTED_VALUE"""),46156.04993449326)</f>
        <v>46156.04993</v>
      </c>
      <c r="C5547" s="9">
        <f>IFERROR(__xludf.DUMMYFUNCTION("""COMPUTED_VALUE"""),21283.0)</f>
        <v>21283</v>
      </c>
      <c r="D5547" s="9" t="str">
        <f>IFERROR(__xludf.DUMMYFUNCTION("""COMPUTED_VALUE"""),"Completed")</f>
        <v>Completed</v>
      </c>
    </row>
    <row r="5548">
      <c r="A5548" s="9" t="str">
        <f>IFERROR(__xludf.DUMMYFUNCTION("""COMPUTED_VALUE"""),"G-REQ-05547")</f>
        <v>G-REQ-05547</v>
      </c>
      <c r="B5548" s="11">
        <f>IFERROR(__xludf.DUMMYFUNCTION("""COMPUTED_VALUE"""),46156.12110933868)</f>
        <v>46156.12111</v>
      </c>
      <c r="C5548" s="9">
        <f>IFERROR(__xludf.DUMMYFUNCTION("""COMPUTED_VALUE"""),21287.0)</f>
        <v>21287</v>
      </c>
      <c r="D5548" s="9" t="str">
        <f>IFERROR(__xludf.DUMMYFUNCTION("""COMPUTED_VALUE"""),"Completed")</f>
        <v>Completed</v>
      </c>
    </row>
    <row r="5549">
      <c r="A5549" s="9" t="str">
        <f>IFERROR(__xludf.DUMMYFUNCTION("""COMPUTED_VALUE"""),"G-REQ-05548")</f>
        <v>G-REQ-05548</v>
      </c>
      <c r="B5549" s="11">
        <f>IFERROR(__xludf.DUMMYFUNCTION("""COMPUTED_VALUE"""),46156.19228418409)</f>
        <v>46156.19228</v>
      </c>
      <c r="C5549" s="9">
        <f>IFERROR(__xludf.DUMMYFUNCTION("""COMPUTED_VALUE"""),21291.0)</f>
        <v>21291</v>
      </c>
      <c r="D5549" s="9" t="str">
        <f>IFERROR(__xludf.DUMMYFUNCTION("""COMPUTED_VALUE"""),"Completed")</f>
        <v>Completed</v>
      </c>
    </row>
    <row r="5550">
      <c r="A5550" s="9" t="str">
        <f>IFERROR(__xludf.DUMMYFUNCTION("""COMPUTED_VALUE"""),"G-REQ-05549")</f>
        <v>G-REQ-05549</v>
      </c>
      <c r="B5550" s="11">
        <f>IFERROR(__xludf.DUMMYFUNCTION("""COMPUTED_VALUE"""),46156.263459029506)</f>
        <v>46156.26346</v>
      </c>
      <c r="C5550" s="9">
        <f>IFERROR(__xludf.DUMMYFUNCTION("""COMPUTED_VALUE"""),21295.0)</f>
        <v>21295</v>
      </c>
      <c r="D5550" s="9" t="str">
        <f>IFERROR(__xludf.DUMMYFUNCTION("""COMPUTED_VALUE"""),"Completed")</f>
        <v>Completed</v>
      </c>
    </row>
    <row r="5551">
      <c r="A5551" s="9" t="str">
        <f>IFERROR(__xludf.DUMMYFUNCTION("""COMPUTED_VALUE"""),"G-REQ-05550")</f>
        <v>G-REQ-05550</v>
      </c>
      <c r="B5551" s="11">
        <f>IFERROR(__xludf.DUMMYFUNCTION("""COMPUTED_VALUE"""),46156.334633874925)</f>
        <v>46156.33463</v>
      </c>
      <c r="C5551" s="9">
        <f>IFERROR(__xludf.DUMMYFUNCTION("""COMPUTED_VALUE"""),21299.0)</f>
        <v>21299</v>
      </c>
      <c r="D5551" s="9" t="str">
        <f>IFERROR(__xludf.DUMMYFUNCTION("""COMPUTED_VALUE"""),"Completed")</f>
        <v>Completed</v>
      </c>
    </row>
    <row r="5552">
      <c r="A5552" s="9" t="str">
        <f>IFERROR(__xludf.DUMMYFUNCTION("""COMPUTED_VALUE"""),"G-REQ-05551")</f>
        <v>G-REQ-05551</v>
      </c>
      <c r="B5552" s="11">
        <f>IFERROR(__xludf.DUMMYFUNCTION("""COMPUTED_VALUE"""),46156.3988642759)</f>
        <v>46156.39886</v>
      </c>
      <c r="C5552" s="9">
        <f>IFERROR(__xludf.DUMMYFUNCTION("""COMPUTED_VALUE"""),21301.0)</f>
        <v>21301</v>
      </c>
      <c r="D5552" s="9" t="str">
        <f>IFERROR(__xludf.DUMMYFUNCTION("""COMPUTED_VALUE"""),"Rejected")</f>
        <v>Rejected</v>
      </c>
    </row>
    <row r="5553">
      <c r="A5553" s="9" t="str">
        <f>IFERROR(__xludf.DUMMYFUNCTION("""COMPUTED_VALUE"""),"G-REQ-05552")</f>
        <v>G-REQ-05552</v>
      </c>
      <c r="B5553" s="11">
        <f>IFERROR(__xludf.DUMMYFUNCTION("""COMPUTED_VALUE"""),46156.47698356575)</f>
        <v>46156.47698</v>
      </c>
      <c r="C5553" s="9">
        <f>IFERROR(__xludf.DUMMYFUNCTION("""COMPUTED_VALUE"""),21305.0)</f>
        <v>21305</v>
      </c>
      <c r="D5553" s="9" t="str">
        <f>IFERROR(__xludf.DUMMYFUNCTION("""COMPUTED_VALUE"""),"Completed")</f>
        <v>Completed</v>
      </c>
    </row>
    <row r="5554">
      <c r="A5554" s="9" t="str">
        <f>IFERROR(__xludf.DUMMYFUNCTION("""COMPUTED_VALUE"""),"G-REQ-05553")</f>
        <v>G-REQ-05553</v>
      </c>
      <c r="B5554" s="11">
        <f>IFERROR(__xludf.DUMMYFUNCTION("""COMPUTED_VALUE"""),46156.54815841117)</f>
        <v>46156.54816</v>
      </c>
      <c r="C5554" s="9">
        <f>IFERROR(__xludf.DUMMYFUNCTION("""COMPUTED_VALUE"""),21309.0)</f>
        <v>21309</v>
      </c>
      <c r="D5554" s="9" t="str">
        <f>IFERROR(__xludf.DUMMYFUNCTION("""COMPUTED_VALUE"""),"Completed")</f>
        <v>Completed</v>
      </c>
    </row>
    <row r="5555">
      <c r="A5555" s="9" t="str">
        <f>IFERROR(__xludf.DUMMYFUNCTION("""COMPUTED_VALUE"""),"G-REQ-05554")</f>
        <v>G-REQ-05554</v>
      </c>
      <c r="B5555" s="11">
        <f>IFERROR(__xludf.DUMMYFUNCTION("""COMPUTED_VALUE"""),46156.61933325659)</f>
        <v>46156.61933</v>
      </c>
      <c r="C5555" s="9">
        <f>IFERROR(__xludf.DUMMYFUNCTION("""COMPUTED_VALUE"""),21313.0)</f>
        <v>21313</v>
      </c>
      <c r="D5555" s="9" t="str">
        <f>IFERROR(__xludf.DUMMYFUNCTION("""COMPUTED_VALUE"""),"Completed")</f>
        <v>Completed</v>
      </c>
    </row>
    <row r="5556">
      <c r="A5556" s="9" t="str">
        <f>IFERROR(__xludf.DUMMYFUNCTION("""COMPUTED_VALUE"""),"G-REQ-05555")</f>
        <v>G-REQ-05555</v>
      </c>
      <c r="B5556" s="11">
        <f>IFERROR(__xludf.DUMMYFUNCTION("""COMPUTED_VALUE"""),46156.690508102)</f>
        <v>46156.69051</v>
      </c>
      <c r="C5556" s="9">
        <f>IFERROR(__xludf.DUMMYFUNCTION("""COMPUTED_VALUE"""),21317.0)</f>
        <v>21317</v>
      </c>
      <c r="D5556" s="9" t="str">
        <f>IFERROR(__xludf.DUMMYFUNCTION("""COMPUTED_VALUE"""),"Completed")</f>
        <v>Completed</v>
      </c>
    </row>
    <row r="5557">
      <c r="A5557" s="9" t="str">
        <f>IFERROR(__xludf.DUMMYFUNCTION("""COMPUTED_VALUE"""),"G-REQ-05556")</f>
        <v>G-REQ-05556</v>
      </c>
      <c r="B5557" s="11">
        <f>IFERROR(__xludf.DUMMYFUNCTION("""COMPUTED_VALUE"""),46156.761682947414)</f>
        <v>46156.76168</v>
      </c>
      <c r="C5557" s="9">
        <f>IFERROR(__xludf.DUMMYFUNCTION("""COMPUTED_VALUE"""),21321.0)</f>
        <v>21321</v>
      </c>
      <c r="D5557" s="9" t="str">
        <f>IFERROR(__xludf.DUMMYFUNCTION("""COMPUTED_VALUE"""),"Completed")</f>
        <v>Completed</v>
      </c>
    </row>
    <row r="5558">
      <c r="A5558" s="9" t="str">
        <f>IFERROR(__xludf.DUMMYFUNCTION("""COMPUTED_VALUE"""),"G-REQ-05557")</f>
        <v>G-REQ-05557</v>
      </c>
      <c r="B5558" s="11">
        <f>IFERROR(__xludf.DUMMYFUNCTION("""COMPUTED_VALUE"""),46156.83285779283)</f>
        <v>46156.83286</v>
      </c>
      <c r="C5558" s="9">
        <f>IFERROR(__xludf.DUMMYFUNCTION("""COMPUTED_VALUE"""),21325.0)</f>
        <v>21325</v>
      </c>
      <c r="D5558" s="9" t="str">
        <f>IFERROR(__xludf.DUMMYFUNCTION("""COMPUTED_VALUE"""),"Completed")</f>
        <v>Completed</v>
      </c>
    </row>
    <row r="5559">
      <c r="A5559" s="9" t="str">
        <f>IFERROR(__xludf.DUMMYFUNCTION("""COMPUTED_VALUE"""),"G-REQ-05558")</f>
        <v>G-REQ-05558</v>
      </c>
      <c r="B5559" s="11">
        <f>IFERROR(__xludf.DUMMYFUNCTION("""COMPUTED_VALUE"""),46156.8970881938)</f>
        <v>46156.89709</v>
      </c>
      <c r="C5559" s="9">
        <f>IFERROR(__xludf.DUMMYFUNCTION("""COMPUTED_VALUE"""),21327.0)</f>
        <v>21327</v>
      </c>
      <c r="D5559" s="9" t="str">
        <f>IFERROR(__xludf.DUMMYFUNCTION("""COMPUTED_VALUE"""),"Rejected")</f>
        <v>Rejected</v>
      </c>
    </row>
    <row r="5560">
      <c r="A5560" s="9" t="str">
        <f>IFERROR(__xludf.DUMMYFUNCTION("""COMPUTED_VALUE"""),"G-REQ-05559")</f>
        <v>G-REQ-05559</v>
      </c>
      <c r="B5560" s="11">
        <f>IFERROR(__xludf.DUMMYFUNCTION("""COMPUTED_VALUE"""),46156.97520748366)</f>
        <v>46156.97521</v>
      </c>
      <c r="C5560" s="9">
        <f>IFERROR(__xludf.DUMMYFUNCTION("""COMPUTED_VALUE"""),21331.0)</f>
        <v>21331</v>
      </c>
      <c r="D5560" s="9" t="str">
        <f>IFERROR(__xludf.DUMMYFUNCTION("""COMPUTED_VALUE"""),"Completed")</f>
        <v>Completed</v>
      </c>
    </row>
    <row r="5561">
      <c r="A5561" s="9" t="str">
        <f>IFERROR(__xludf.DUMMYFUNCTION("""COMPUTED_VALUE"""),"G-REQ-05560")</f>
        <v>G-REQ-05560</v>
      </c>
      <c r="B5561" s="11">
        <f>IFERROR(__xludf.DUMMYFUNCTION("""COMPUTED_VALUE"""),46157.04638232908)</f>
        <v>46157.04638</v>
      </c>
      <c r="C5561" s="9">
        <f>IFERROR(__xludf.DUMMYFUNCTION("""COMPUTED_VALUE"""),21335.0)</f>
        <v>21335</v>
      </c>
      <c r="D5561" s="9" t="str">
        <f>IFERROR(__xludf.DUMMYFUNCTION("""COMPUTED_VALUE"""),"Completed")</f>
        <v>Completed</v>
      </c>
    </row>
    <row r="5562">
      <c r="A5562" s="9" t="str">
        <f>IFERROR(__xludf.DUMMYFUNCTION("""COMPUTED_VALUE"""),"G-REQ-05561")</f>
        <v>G-REQ-05561</v>
      </c>
      <c r="B5562" s="11">
        <f>IFERROR(__xludf.DUMMYFUNCTION("""COMPUTED_VALUE"""),46157.11755717449)</f>
        <v>46157.11756</v>
      </c>
      <c r="C5562" s="9">
        <f>IFERROR(__xludf.DUMMYFUNCTION("""COMPUTED_VALUE"""),21339.0)</f>
        <v>21339</v>
      </c>
      <c r="D5562" s="9" t="str">
        <f>IFERROR(__xludf.DUMMYFUNCTION("""COMPUTED_VALUE"""),"Completed")</f>
        <v>Completed</v>
      </c>
    </row>
    <row r="5563">
      <c r="A5563" s="9" t="str">
        <f>IFERROR(__xludf.DUMMYFUNCTION("""COMPUTED_VALUE"""),"G-REQ-05562")</f>
        <v>G-REQ-05562</v>
      </c>
      <c r="B5563" s="11">
        <f>IFERROR(__xludf.DUMMYFUNCTION("""COMPUTED_VALUE"""),46157.18178757546)</f>
        <v>46157.18179</v>
      </c>
      <c r="C5563" s="9">
        <f>IFERROR(__xludf.DUMMYFUNCTION("""COMPUTED_VALUE"""),21341.0)</f>
        <v>21341</v>
      </c>
      <c r="D5563" s="9" t="str">
        <f>IFERROR(__xludf.DUMMYFUNCTION("""COMPUTED_VALUE"""),"Rejected")</f>
        <v>Rejected</v>
      </c>
    </row>
    <row r="5564">
      <c r="A5564" s="9" t="str">
        <f>IFERROR(__xludf.DUMMYFUNCTION("""COMPUTED_VALUE"""),"G-REQ-05563")</f>
        <v>G-REQ-05563</v>
      </c>
      <c r="B5564" s="11">
        <f>IFERROR(__xludf.DUMMYFUNCTION("""COMPUTED_VALUE"""),46157.25990686532)</f>
        <v>46157.25991</v>
      </c>
      <c r="C5564" s="9">
        <f>IFERROR(__xludf.DUMMYFUNCTION("""COMPUTED_VALUE"""),21345.0)</f>
        <v>21345</v>
      </c>
      <c r="D5564" s="9" t="str">
        <f>IFERROR(__xludf.DUMMYFUNCTION("""COMPUTED_VALUE"""),"Completed")</f>
        <v>Completed</v>
      </c>
    </row>
    <row r="5565">
      <c r="A5565" s="9" t="str">
        <f>IFERROR(__xludf.DUMMYFUNCTION("""COMPUTED_VALUE"""),"G-REQ-05564")</f>
        <v>G-REQ-05564</v>
      </c>
      <c r="B5565" s="11">
        <f>IFERROR(__xludf.DUMMYFUNCTION("""COMPUTED_VALUE"""),46157.331081710734)</f>
        <v>46157.33108</v>
      </c>
      <c r="C5565" s="9">
        <f>IFERROR(__xludf.DUMMYFUNCTION("""COMPUTED_VALUE"""),21349.0)</f>
        <v>21349</v>
      </c>
      <c r="D5565" s="9" t="str">
        <f>IFERROR(__xludf.DUMMYFUNCTION("""COMPUTED_VALUE"""),"Completed")</f>
        <v>Completed</v>
      </c>
    </row>
    <row r="5566">
      <c r="A5566" s="9" t="str">
        <f>IFERROR(__xludf.DUMMYFUNCTION("""COMPUTED_VALUE"""),"G-REQ-05565")</f>
        <v>G-REQ-05565</v>
      </c>
      <c r="B5566" s="11">
        <f>IFERROR(__xludf.DUMMYFUNCTION("""COMPUTED_VALUE"""),46157.402256556146)</f>
        <v>46157.40226</v>
      </c>
      <c r="C5566" s="9">
        <f>IFERROR(__xludf.DUMMYFUNCTION("""COMPUTED_VALUE"""),21353.0)</f>
        <v>21353</v>
      </c>
      <c r="D5566" s="9" t="str">
        <f>IFERROR(__xludf.DUMMYFUNCTION("""COMPUTED_VALUE"""),"Completed")</f>
        <v>Completed</v>
      </c>
    </row>
    <row r="5567">
      <c r="A5567" s="9" t="str">
        <f>IFERROR(__xludf.DUMMYFUNCTION("""COMPUTED_VALUE"""),"G-REQ-05566")</f>
        <v>G-REQ-05566</v>
      </c>
      <c r="B5567" s="11">
        <f>IFERROR(__xludf.DUMMYFUNCTION("""COMPUTED_VALUE"""),46157.473431401566)</f>
        <v>46157.47343</v>
      </c>
      <c r="C5567" s="9">
        <f>IFERROR(__xludf.DUMMYFUNCTION("""COMPUTED_VALUE"""),21357.0)</f>
        <v>21357</v>
      </c>
      <c r="D5567" s="9" t="str">
        <f>IFERROR(__xludf.DUMMYFUNCTION("""COMPUTED_VALUE"""),"Completed")</f>
        <v>Completed</v>
      </c>
    </row>
    <row r="5568">
      <c r="A5568" s="9" t="str">
        <f>IFERROR(__xludf.DUMMYFUNCTION("""COMPUTED_VALUE"""),"G-REQ-05567")</f>
        <v>G-REQ-05567</v>
      </c>
      <c r="B5568" s="11">
        <f>IFERROR(__xludf.DUMMYFUNCTION("""COMPUTED_VALUE"""),46157.544606246985)</f>
        <v>46157.54461</v>
      </c>
      <c r="C5568" s="9">
        <f>IFERROR(__xludf.DUMMYFUNCTION("""COMPUTED_VALUE"""),21361.0)</f>
        <v>21361</v>
      </c>
      <c r="D5568" s="9" t="str">
        <f>IFERROR(__xludf.DUMMYFUNCTION("""COMPUTED_VALUE"""),"Completed")</f>
        <v>Completed</v>
      </c>
    </row>
    <row r="5569">
      <c r="A5569" s="9" t="str">
        <f>IFERROR(__xludf.DUMMYFUNCTION("""COMPUTED_VALUE"""),"G-REQ-05568")</f>
        <v>G-REQ-05568</v>
      </c>
      <c r="B5569" s="11">
        <f>IFERROR(__xludf.DUMMYFUNCTION("""COMPUTED_VALUE"""),46157.61578109239)</f>
        <v>46157.61578</v>
      </c>
      <c r="C5569" s="9">
        <f>IFERROR(__xludf.DUMMYFUNCTION("""COMPUTED_VALUE"""),21365.0)</f>
        <v>21365</v>
      </c>
      <c r="D5569" s="9" t="str">
        <f>IFERROR(__xludf.DUMMYFUNCTION("""COMPUTED_VALUE"""),"Completed")</f>
        <v>Completed</v>
      </c>
    </row>
    <row r="5570">
      <c r="A5570" s="9" t="str">
        <f>IFERROR(__xludf.DUMMYFUNCTION("""COMPUTED_VALUE"""),"G-REQ-05569")</f>
        <v>G-REQ-05569</v>
      </c>
      <c r="B5570" s="11">
        <f>IFERROR(__xludf.DUMMYFUNCTION("""COMPUTED_VALUE"""),46157.680011493365)</f>
        <v>46157.68001</v>
      </c>
      <c r="C5570" s="9">
        <f>IFERROR(__xludf.DUMMYFUNCTION("""COMPUTED_VALUE"""),21367.0)</f>
        <v>21367</v>
      </c>
      <c r="D5570" s="9" t="str">
        <f>IFERROR(__xludf.DUMMYFUNCTION("""COMPUTED_VALUE"""),"Rejected")</f>
        <v>Rejected</v>
      </c>
    </row>
    <row r="5571">
      <c r="A5571" s="9" t="str">
        <f>IFERROR(__xludf.DUMMYFUNCTION("""COMPUTED_VALUE"""),"G-REQ-05570")</f>
        <v>G-REQ-05570</v>
      </c>
      <c r="B5571" s="11">
        <f>IFERROR(__xludf.DUMMYFUNCTION("""COMPUTED_VALUE"""),46157.75813078323)</f>
        <v>46157.75813</v>
      </c>
      <c r="C5571" s="9">
        <f>IFERROR(__xludf.DUMMYFUNCTION("""COMPUTED_VALUE"""),21371.0)</f>
        <v>21371</v>
      </c>
      <c r="D5571" s="9" t="str">
        <f>IFERROR(__xludf.DUMMYFUNCTION("""COMPUTED_VALUE"""),"Completed")</f>
        <v>Completed</v>
      </c>
    </row>
    <row r="5572">
      <c r="A5572" s="9" t="str">
        <f>IFERROR(__xludf.DUMMYFUNCTION("""COMPUTED_VALUE"""),"G-REQ-05571")</f>
        <v>G-REQ-05571</v>
      </c>
      <c r="B5572" s="11">
        <f>IFERROR(__xludf.DUMMYFUNCTION("""COMPUTED_VALUE"""),46157.82930562864)</f>
        <v>46157.82931</v>
      </c>
      <c r="C5572" s="9">
        <f>IFERROR(__xludf.DUMMYFUNCTION("""COMPUTED_VALUE"""),21375.0)</f>
        <v>21375</v>
      </c>
      <c r="D5572" s="9" t="str">
        <f>IFERROR(__xludf.DUMMYFUNCTION("""COMPUTED_VALUE"""),"Completed")</f>
        <v>Completed</v>
      </c>
    </row>
    <row r="5573">
      <c r="A5573" s="9" t="str">
        <f>IFERROR(__xludf.DUMMYFUNCTION("""COMPUTED_VALUE"""),"G-REQ-05572")</f>
        <v>G-REQ-05572</v>
      </c>
      <c r="B5573" s="11">
        <f>IFERROR(__xludf.DUMMYFUNCTION("""COMPUTED_VALUE"""),46157.900480474054)</f>
        <v>46157.90048</v>
      </c>
      <c r="C5573" s="9">
        <f>IFERROR(__xludf.DUMMYFUNCTION("""COMPUTED_VALUE"""),21379.0)</f>
        <v>21379</v>
      </c>
      <c r="D5573" s="9" t="str">
        <f>IFERROR(__xludf.DUMMYFUNCTION("""COMPUTED_VALUE"""),"Completed")</f>
        <v>Completed</v>
      </c>
    </row>
    <row r="5574">
      <c r="A5574" s="9" t="str">
        <f>IFERROR(__xludf.DUMMYFUNCTION("""COMPUTED_VALUE"""),"G-REQ-05573")</f>
        <v>G-REQ-05573</v>
      </c>
      <c r="B5574" s="11">
        <f>IFERROR(__xludf.DUMMYFUNCTION("""COMPUTED_VALUE"""),46157.971655319474)</f>
        <v>46157.97166</v>
      </c>
      <c r="C5574" s="9">
        <f>IFERROR(__xludf.DUMMYFUNCTION("""COMPUTED_VALUE"""),21383.0)</f>
        <v>21383</v>
      </c>
      <c r="D5574" s="9" t="str">
        <f>IFERROR(__xludf.DUMMYFUNCTION("""COMPUTED_VALUE"""),"Completed")</f>
        <v>Completed</v>
      </c>
    </row>
    <row r="5575">
      <c r="A5575" s="9" t="str">
        <f>IFERROR(__xludf.DUMMYFUNCTION("""COMPUTED_VALUE"""),"G-REQ-05574")</f>
        <v>G-REQ-05574</v>
      </c>
      <c r="B5575" s="11">
        <f>IFERROR(__xludf.DUMMYFUNCTION("""COMPUTED_VALUE"""),46158.042830164886)</f>
        <v>46158.04283</v>
      </c>
      <c r="C5575" s="9">
        <f>IFERROR(__xludf.DUMMYFUNCTION("""COMPUTED_VALUE"""),21387.0)</f>
        <v>21387</v>
      </c>
      <c r="D5575" s="9" t="str">
        <f>IFERROR(__xludf.DUMMYFUNCTION("""COMPUTED_VALUE"""),"Completed")</f>
        <v>Completed</v>
      </c>
    </row>
    <row r="5576">
      <c r="A5576" s="9" t="str">
        <f>IFERROR(__xludf.DUMMYFUNCTION("""COMPUTED_VALUE"""),"G-REQ-05575")</f>
        <v>G-REQ-05575</v>
      </c>
      <c r="B5576" s="11">
        <f>IFERROR(__xludf.DUMMYFUNCTION("""COMPUTED_VALUE"""),46158.1140050103)</f>
        <v>46158.11401</v>
      </c>
      <c r="C5576" s="9">
        <f>IFERROR(__xludf.DUMMYFUNCTION("""COMPUTED_VALUE"""),21391.0)</f>
        <v>21391</v>
      </c>
      <c r="D5576" s="9" t="str">
        <f>IFERROR(__xludf.DUMMYFUNCTION("""COMPUTED_VALUE"""),"Completed")</f>
        <v>Completed</v>
      </c>
    </row>
    <row r="5577">
      <c r="A5577" s="9" t="str">
        <f>IFERROR(__xludf.DUMMYFUNCTION("""COMPUTED_VALUE"""),"G-REQ-05576")</f>
        <v>G-REQ-05576</v>
      </c>
      <c r="B5577" s="11">
        <f>IFERROR(__xludf.DUMMYFUNCTION("""COMPUTED_VALUE"""),46158.18517985572)</f>
        <v>46158.18518</v>
      </c>
      <c r="C5577" s="9">
        <f>IFERROR(__xludf.DUMMYFUNCTION("""COMPUTED_VALUE"""),21395.0)</f>
        <v>21395</v>
      </c>
      <c r="D5577" s="9" t="str">
        <f>IFERROR(__xludf.DUMMYFUNCTION("""COMPUTED_VALUE"""),"Completed")</f>
        <v>Completed</v>
      </c>
    </row>
    <row r="5578">
      <c r="A5578" s="9" t="str">
        <f>IFERROR(__xludf.DUMMYFUNCTION("""COMPUTED_VALUE"""),"G-REQ-05577")</f>
        <v>G-REQ-05577</v>
      </c>
      <c r="B5578" s="11">
        <f>IFERROR(__xludf.DUMMYFUNCTION("""COMPUTED_VALUE"""),46158.25635470113)</f>
        <v>46158.25635</v>
      </c>
      <c r="C5578" s="9">
        <f>IFERROR(__xludf.DUMMYFUNCTION("""COMPUTED_VALUE"""),21399.0)</f>
        <v>21399</v>
      </c>
      <c r="D5578" s="9" t="str">
        <f>IFERROR(__xludf.DUMMYFUNCTION("""COMPUTED_VALUE"""),"Completed")</f>
        <v>Completed</v>
      </c>
    </row>
    <row r="5579">
      <c r="A5579" s="9" t="str">
        <f>IFERROR(__xludf.DUMMYFUNCTION("""COMPUTED_VALUE"""),"G-REQ-05578")</f>
        <v>G-REQ-05578</v>
      </c>
      <c r="B5579" s="11">
        <f>IFERROR(__xludf.DUMMYFUNCTION("""COMPUTED_VALUE"""),46158.32752954654)</f>
        <v>46158.32753</v>
      </c>
      <c r="C5579" s="9">
        <f>IFERROR(__xludf.DUMMYFUNCTION("""COMPUTED_VALUE"""),21403.0)</f>
        <v>21403</v>
      </c>
      <c r="D5579" s="9" t="str">
        <f>IFERROR(__xludf.DUMMYFUNCTION("""COMPUTED_VALUE"""),"Completed")</f>
        <v>Completed</v>
      </c>
    </row>
    <row r="5580">
      <c r="A5580" s="9" t="str">
        <f>IFERROR(__xludf.DUMMYFUNCTION("""COMPUTED_VALUE"""),"G-REQ-05579")</f>
        <v>G-REQ-05579</v>
      </c>
      <c r="B5580" s="11">
        <f>IFERROR(__xludf.DUMMYFUNCTION("""COMPUTED_VALUE"""),46158.39175994752)</f>
        <v>46158.39176</v>
      </c>
      <c r="C5580" s="9">
        <f>IFERROR(__xludf.DUMMYFUNCTION("""COMPUTED_VALUE"""),21405.0)</f>
        <v>21405</v>
      </c>
      <c r="D5580" s="9" t="str">
        <f>IFERROR(__xludf.DUMMYFUNCTION("""COMPUTED_VALUE"""),"Rejected")</f>
        <v>Rejected</v>
      </c>
    </row>
    <row r="5581">
      <c r="A5581" s="9" t="str">
        <f>IFERROR(__xludf.DUMMYFUNCTION("""COMPUTED_VALUE"""),"G-REQ-05580")</f>
        <v>G-REQ-05580</v>
      </c>
      <c r="B5581" s="11">
        <f>IFERROR(__xludf.DUMMYFUNCTION("""COMPUTED_VALUE"""),46158.469879237375)</f>
        <v>46158.46988</v>
      </c>
      <c r="C5581" s="9">
        <f>IFERROR(__xludf.DUMMYFUNCTION("""COMPUTED_VALUE"""),21409.0)</f>
        <v>21409</v>
      </c>
      <c r="D5581" s="9" t="str">
        <f>IFERROR(__xludf.DUMMYFUNCTION("""COMPUTED_VALUE"""),"Completed")</f>
        <v>Completed</v>
      </c>
    </row>
    <row r="5582">
      <c r="A5582" s="9" t="str">
        <f>IFERROR(__xludf.DUMMYFUNCTION("""COMPUTED_VALUE"""),"G-REQ-05581")</f>
        <v>G-REQ-05581</v>
      </c>
      <c r="B5582" s="11">
        <f>IFERROR(__xludf.DUMMYFUNCTION("""COMPUTED_VALUE"""),46158.54105408279)</f>
        <v>46158.54105</v>
      </c>
      <c r="C5582" s="9">
        <f>IFERROR(__xludf.DUMMYFUNCTION("""COMPUTED_VALUE"""),21413.0)</f>
        <v>21413</v>
      </c>
      <c r="D5582" s="9" t="str">
        <f>IFERROR(__xludf.DUMMYFUNCTION("""COMPUTED_VALUE"""),"Completed")</f>
        <v>Completed</v>
      </c>
    </row>
    <row r="5583">
      <c r="A5583" s="9" t="str">
        <f>IFERROR(__xludf.DUMMYFUNCTION("""COMPUTED_VALUE"""),"G-REQ-05582")</f>
        <v>G-REQ-05582</v>
      </c>
      <c r="B5583" s="11">
        <f>IFERROR(__xludf.DUMMYFUNCTION("""COMPUTED_VALUE"""),46158.61222892821)</f>
        <v>46158.61223</v>
      </c>
      <c r="C5583" s="9">
        <f>IFERROR(__xludf.DUMMYFUNCTION("""COMPUTED_VALUE"""),21417.0)</f>
        <v>21417</v>
      </c>
      <c r="D5583" s="9" t="str">
        <f>IFERROR(__xludf.DUMMYFUNCTION("""COMPUTED_VALUE"""),"Completed")</f>
        <v>Completed</v>
      </c>
    </row>
    <row r="5584">
      <c r="A5584" s="9" t="str">
        <f>IFERROR(__xludf.DUMMYFUNCTION("""COMPUTED_VALUE"""),"G-REQ-05583")</f>
        <v>G-REQ-05583</v>
      </c>
      <c r="B5584" s="11">
        <f>IFERROR(__xludf.DUMMYFUNCTION("""COMPUTED_VALUE"""),46158.683403773626)</f>
        <v>46158.6834</v>
      </c>
      <c r="C5584" s="9">
        <f>IFERROR(__xludf.DUMMYFUNCTION("""COMPUTED_VALUE"""),21421.0)</f>
        <v>21421</v>
      </c>
      <c r="D5584" s="9" t="str">
        <f>IFERROR(__xludf.DUMMYFUNCTION("""COMPUTED_VALUE"""),"Completed")</f>
        <v>Completed</v>
      </c>
    </row>
    <row r="5585">
      <c r="A5585" s="9" t="str">
        <f>IFERROR(__xludf.DUMMYFUNCTION("""COMPUTED_VALUE"""),"G-REQ-05584")</f>
        <v>G-REQ-05584</v>
      </c>
      <c r="B5585" s="11">
        <f>IFERROR(__xludf.DUMMYFUNCTION("""COMPUTED_VALUE"""),46158.75457861903)</f>
        <v>46158.75458</v>
      </c>
      <c r="C5585" s="9">
        <f>IFERROR(__xludf.DUMMYFUNCTION("""COMPUTED_VALUE"""),21425.0)</f>
        <v>21425</v>
      </c>
      <c r="D5585" s="9" t="str">
        <f>IFERROR(__xludf.DUMMYFUNCTION("""COMPUTED_VALUE"""),"Completed")</f>
        <v>Completed</v>
      </c>
    </row>
    <row r="5586">
      <c r="A5586" s="9" t="str">
        <f>IFERROR(__xludf.DUMMYFUNCTION("""COMPUTED_VALUE"""),"G-REQ-05585")</f>
        <v>G-REQ-05585</v>
      </c>
      <c r="B5586" s="11">
        <f>IFERROR(__xludf.DUMMYFUNCTION("""COMPUTED_VALUE"""),46158.82575346445)</f>
        <v>46158.82575</v>
      </c>
      <c r="C5586" s="9">
        <f>IFERROR(__xludf.DUMMYFUNCTION("""COMPUTED_VALUE"""),21429.0)</f>
        <v>21429</v>
      </c>
      <c r="D5586" s="9" t="str">
        <f>IFERROR(__xludf.DUMMYFUNCTION("""COMPUTED_VALUE"""),"Completed")</f>
        <v>Completed</v>
      </c>
    </row>
    <row r="5587">
      <c r="A5587" s="9" t="str">
        <f>IFERROR(__xludf.DUMMYFUNCTION("""COMPUTED_VALUE"""),"G-REQ-05586")</f>
        <v>G-REQ-05586</v>
      </c>
      <c r="B5587" s="11">
        <f>IFERROR(__xludf.DUMMYFUNCTION("""COMPUTED_VALUE"""),46158.89692830987)</f>
        <v>46158.89693</v>
      </c>
      <c r="C5587" s="9">
        <f>IFERROR(__xludf.DUMMYFUNCTION("""COMPUTED_VALUE"""),21433.0)</f>
        <v>21433</v>
      </c>
      <c r="D5587" s="9" t="str">
        <f>IFERROR(__xludf.DUMMYFUNCTION("""COMPUTED_VALUE"""),"Completed")</f>
        <v>Completed</v>
      </c>
    </row>
    <row r="5588">
      <c r="A5588" s="9" t="str">
        <f>IFERROR(__xludf.DUMMYFUNCTION("""COMPUTED_VALUE"""),"G-REQ-05587")</f>
        <v>G-REQ-05587</v>
      </c>
      <c r="B5588" s="11">
        <f>IFERROR(__xludf.DUMMYFUNCTION("""COMPUTED_VALUE"""),46158.96810315528)</f>
        <v>46158.9681</v>
      </c>
      <c r="C5588" s="9">
        <f>IFERROR(__xludf.DUMMYFUNCTION("""COMPUTED_VALUE"""),21437.0)</f>
        <v>21437</v>
      </c>
      <c r="D5588" s="9" t="str">
        <f>IFERROR(__xludf.DUMMYFUNCTION("""COMPUTED_VALUE"""),"Completed")</f>
        <v>Completed</v>
      </c>
    </row>
    <row r="5589">
      <c r="A5589" s="9" t="str">
        <f>IFERROR(__xludf.DUMMYFUNCTION("""COMPUTED_VALUE"""),"G-REQ-05588")</f>
        <v>G-REQ-05588</v>
      </c>
      <c r="B5589" s="11">
        <f>IFERROR(__xludf.DUMMYFUNCTION("""COMPUTED_VALUE"""),46159.039278000695)</f>
        <v>46159.03928</v>
      </c>
      <c r="C5589" s="9">
        <f>IFERROR(__xludf.DUMMYFUNCTION("""COMPUTED_VALUE"""),21441.0)</f>
        <v>21441</v>
      </c>
      <c r="D5589" s="9" t="str">
        <f>IFERROR(__xludf.DUMMYFUNCTION("""COMPUTED_VALUE"""),"Completed")</f>
        <v>Completed</v>
      </c>
    </row>
    <row r="5590">
      <c r="A5590" s="9" t="str">
        <f>IFERROR(__xludf.DUMMYFUNCTION("""COMPUTED_VALUE"""),"G-REQ-05589")</f>
        <v>G-REQ-05589</v>
      </c>
      <c r="B5590" s="11">
        <f>IFERROR(__xludf.DUMMYFUNCTION("""COMPUTED_VALUE"""),46159.110452846115)</f>
        <v>46159.11045</v>
      </c>
      <c r="C5590" s="9">
        <f>IFERROR(__xludf.DUMMYFUNCTION("""COMPUTED_VALUE"""),21445.0)</f>
        <v>21445</v>
      </c>
      <c r="D5590" s="9" t="str">
        <f>IFERROR(__xludf.DUMMYFUNCTION("""COMPUTED_VALUE"""),"Completed")</f>
        <v>Completed</v>
      </c>
    </row>
    <row r="5591">
      <c r="A5591" s="9" t="str">
        <f>IFERROR(__xludf.DUMMYFUNCTION("""COMPUTED_VALUE"""),"G-REQ-05590")</f>
        <v>G-REQ-05590</v>
      </c>
      <c r="B5591" s="11">
        <f>IFERROR(__xludf.DUMMYFUNCTION("""COMPUTED_VALUE"""),46159.18162769153)</f>
        <v>46159.18163</v>
      </c>
      <c r="C5591" s="9">
        <f>IFERROR(__xludf.DUMMYFUNCTION("""COMPUTED_VALUE"""),21449.0)</f>
        <v>21449</v>
      </c>
      <c r="D5591" s="9" t="str">
        <f>IFERROR(__xludf.DUMMYFUNCTION("""COMPUTED_VALUE"""),"Completed")</f>
        <v>Completed</v>
      </c>
    </row>
    <row r="5592">
      <c r="A5592" s="9" t="str">
        <f>IFERROR(__xludf.DUMMYFUNCTION("""COMPUTED_VALUE"""),"G-REQ-05591")</f>
        <v>G-REQ-05591</v>
      </c>
      <c r="B5592" s="11">
        <f>IFERROR(__xludf.DUMMYFUNCTION("""COMPUTED_VALUE"""),46159.25280253694)</f>
        <v>46159.2528</v>
      </c>
      <c r="C5592" s="9">
        <f>IFERROR(__xludf.DUMMYFUNCTION("""COMPUTED_VALUE"""),21453.0)</f>
        <v>21453</v>
      </c>
      <c r="D5592" s="9" t="str">
        <f>IFERROR(__xludf.DUMMYFUNCTION("""COMPUTED_VALUE"""),"Completed")</f>
        <v>Completed</v>
      </c>
    </row>
    <row r="5593">
      <c r="A5593" s="9" t="str">
        <f>IFERROR(__xludf.DUMMYFUNCTION("""COMPUTED_VALUE"""),"G-REQ-05592")</f>
        <v>G-REQ-05592</v>
      </c>
      <c r="B5593" s="11">
        <f>IFERROR(__xludf.DUMMYFUNCTION("""COMPUTED_VALUE"""),46159.32397738236)</f>
        <v>46159.32398</v>
      </c>
      <c r="C5593" s="9">
        <f>IFERROR(__xludf.DUMMYFUNCTION("""COMPUTED_VALUE"""),21457.0)</f>
        <v>21457</v>
      </c>
      <c r="D5593" s="9" t="str">
        <f>IFERROR(__xludf.DUMMYFUNCTION("""COMPUTED_VALUE"""),"Completed")</f>
        <v>Completed</v>
      </c>
    </row>
    <row r="5594">
      <c r="A5594" s="9" t="str">
        <f>IFERROR(__xludf.DUMMYFUNCTION("""COMPUTED_VALUE"""),"G-REQ-05593")</f>
        <v>G-REQ-05593</v>
      </c>
      <c r="B5594" s="11">
        <f>IFERROR(__xludf.DUMMYFUNCTION("""COMPUTED_VALUE"""),46159.39515222777)</f>
        <v>46159.39515</v>
      </c>
      <c r="C5594" s="9">
        <f>IFERROR(__xludf.DUMMYFUNCTION("""COMPUTED_VALUE"""),21461.0)</f>
        <v>21461</v>
      </c>
      <c r="D5594" s="9" t="str">
        <f>IFERROR(__xludf.DUMMYFUNCTION("""COMPUTED_VALUE"""),"Completed")</f>
        <v>Completed</v>
      </c>
    </row>
    <row r="5595">
      <c r="A5595" s="9" t="str">
        <f>IFERROR(__xludf.DUMMYFUNCTION("""COMPUTED_VALUE"""),"G-REQ-05594")</f>
        <v>G-REQ-05594</v>
      </c>
      <c r="B5595" s="11">
        <f>IFERROR(__xludf.DUMMYFUNCTION("""COMPUTED_VALUE"""),46159.46632707318)</f>
        <v>46159.46633</v>
      </c>
      <c r="C5595" s="9">
        <f>IFERROR(__xludf.DUMMYFUNCTION("""COMPUTED_VALUE"""),21465.0)</f>
        <v>21465</v>
      </c>
      <c r="D5595" s="9" t="str">
        <f>IFERROR(__xludf.DUMMYFUNCTION("""COMPUTED_VALUE"""),"Completed")</f>
        <v>Completed</v>
      </c>
    </row>
    <row r="5596">
      <c r="A5596" s="9" t="str">
        <f>IFERROR(__xludf.DUMMYFUNCTION("""COMPUTED_VALUE"""),"G-REQ-05595")</f>
        <v>G-REQ-05595</v>
      </c>
      <c r="B5596" s="11">
        <f>IFERROR(__xludf.DUMMYFUNCTION("""COMPUTED_VALUE"""),46159.5375019186)</f>
        <v>46159.5375</v>
      </c>
      <c r="C5596" s="9">
        <f>IFERROR(__xludf.DUMMYFUNCTION("""COMPUTED_VALUE"""),21469.0)</f>
        <v>21469</v>
      </c>
      <c r="D5596" s="9" t="str">
        <f>IFERROR(__xludf.DUMMYFUNCTION("""COMPUTED_VALUE"""),"Completed")</f>
        <v>Completed</v>
      </c>
    </row>
    <row r="5597">
      <c r="A5597" s="9" t="str">
        <f>IFERROR(__xludf.DUMMYFUNCTION("""COMPUTED_VALUE"""),"G-REQ-05596")</f>
        <v>G-REQ-05596</v>
      </c>
      <c r="B5597" s="11">
        <f>IFERROR(__xludf.DUMMYFUNCTION("""COMPUTED_VALUE"""),46159.60867676402)</f>
        <v>46159.60868</v>
      </c>
      <c r="C5597" s="9">
        <f>IFERROR(__xludf.DUMMYFUNCTION("""COMPUTED_VALUE"""),21473.0)</f>
        <v>21473</v>
      </c>
      <c r="D5597" s="9" t="str">
        <f>IFERROR(__xludf.DUMMYFUNCTION("""COMPUTED_VALUE"""),"Completed")</f>
        <v>Completed</v>
      </c>
    </row>
    <row r="5598">
      <c r="A5598" s="9" t="str">
        <f>IFERROR(__xludf.DUMMYFUNCTION("""COMPUTED_VALUE"""),"G-REQ-05597")</f>
        <v>G-REQ-05597</v>
      </c>
      <c r="B5598" s="11">
        <f>IFERROR(__xludf.DUMMYFUNCTION("""COMPUTED_VALUE"""),46159.67985160943)</f>
        <v>46159.67985</v>
      </c>
      <c r="C5598" s="9">
        <f>IFERROR(__xludf.DUMMYFUNCTION("""COMPUTED_VALUE"""),21477.0)</f>
        <v>21477</v>
      </c>
      <c r="D5598" s="9" t="str">
        <f>IFERROR(__xludf.DUMMYFUNCTION("""COMPUTED_VALUE"""),"Completed")</f>
        <v>Completed</v>
      </c>
    </row>
    <row r="5599">
      <c r="A5599" s="9" t="str">
        <f>IFERROR(__xludf.DUMMYFUNCTION("""COMPUTED_VALUE"""),"G-REQ-05598")</f>
        <v>G-REQ-05598</v>
      </c>
      <c r="B5599" s="11">
        <f>IFERROR(__xludf.DUMMYFUNCTION("""COMPUTED_VALUE"""),46159.75102645485)</f>
        <v>46159.75103</v>
      </c>
      <c r="C5599" s="9">
        <f>IFERROR(__xludf.DUMMYFUNCTION("""COMPUTED_VALUE"""),21481.0)</f>
        <v>21481</v>
      </c>
      <c r="D5599" s="9" t="str">
        <f>IFERROR(__xludf.DUMMYFUNCTION("""COMPUTED_VALUE"""),"Completed")</f>
        <v>Completed</v>
      </c>
    </row>
    <row r="5600">
      <c r="A5600" s="9" t="str">
        <f>IFERROR(__xludf.DUMMYFUNCTION("""COMPUTED_VALUE"""),"G-REQ-05599")</f>
        <v>G-REQ-05599</v>
      </c>
      <c r="B5600" s="11">
        <f>IFERROR(__xludf.DUMMYFUNCTION("""COMPUTED_VALUE"""),46159.81525685582)</f>
        <v>46159.81526</v>
      </c>
      <c r="C5600" s="9">
        <f>IFERROR(__xludf.DUMMYFUNCTION("""COMPUTED_VALUE"""),21483.0)</f>
        <v>21483</v>
      </c>
      <c r="D5600" s="9" t="str">
        <f>IFERROR(__xludf.DUMMYFUNCTION("""COMPUTED_VALUE"""),"Rejected")</f>
        <v>Rejected</v>
      </c>
    </row>
    <row r="5601">
      <c r="A5601" s="9" t="str">
        <f>IFERROR(__xludf.DUMMYFUNCTION("""COMPUTED_VALUE"""),"G-REQ-05600")</f>
        <v>G-REQ-05600</v>
      </c>
      <c r="B5601" s="11">
        <f>IFERROR(__xludf.DUMMYFUNCTION("""COMPUTED_VALUE"""),46159.89337614568)</f>
        <v>46159.89338</v>
      </c>
      <c r="C5601" s="9">
        <f>IFERROR(__xludf.DUMMYFUNCTION("""COMPUTED_VALUE"""),21487.0)</f>
        <v>21487</v>
      </c>
      <c r="D5601" s="9" t="str">
        <f>IFERROR(__xludf.DUMMYFUNCTION("""COMPUTED_VALUE"""),"Completed")</f>
        <v>Completed</v>
      </c>
    </row>
    <row r="5602">
      <c r="A5602" s="9" t="str">
        <f>IFERROR(__xludf.DUMMYFUNCTION("""COMPUTED_VALUE"""),"G-REQ-05601")</f>
        <v>G-REQ-05601</v>
      </c>
      <c r="B5602" s="11">
        <f>IFERROR(__xludf.DUMMYFUNCTION("""COMPUTED_VALUE"""),46159.96455099109)</f>
        <v>46159.96455</v>
      </c>
      <c r="C5602" s="9">
        <f>IFERROR(__xludf.DUMMYFUNCTION("""COMPUTED_VALUE"""),21491.0)</f>
        <v>21491</v>
      </c>
      <c r="D5602" s="9" t="str">
        <f>IFERROR(__xludf.DUMMYFUNCTION("""COMPUTED_VALUE"""),"Completed")</f>
        <v>Completed</v>
      </c>
    </row>
    <row r="5603">
      <c r="A5603" s="9" t="str">
        <f>IFERROR(__xludf.DUMMYFUNCTION("""COMPUTED_VALUE"""),"G-REQ-05602")</f>
        <v>G-REQ-05602</v>
      </c>
      <c r="B5603" s="11">
        <f>IFERROR(__xludf.DUMMYFUNCTION("""COMPUTED_VALUE"""),46160.03572583651)</f>
        <v>46160.03573</v>
      </c>
      <c r="C5603" s="9">
        <f>IFERROR(__xludf.DUMMYFUNCTION("""COMPUTED_VALUE"""),21495.0)</f>
        <v>21495</v>
      </c>
      <c r="D5603" s="9" t="str">
        <f>IFERROR(__xludf.DUMMYFUNCTION("""COMPUTED_VALUE"""),"Completed")</f>
        <v>Completed</v>
      </c>
    </row>
    <row r="5604">
      <c r="A5604" s="9" t="str">
        <f>IFERROR(__xludf.DUMMYFUNCTION("""COMPUTED_VALUE"""),"G-REQ-05603")</f>
        <v>G-REQ-05603</v>
      </c>
      <c r="B5604" s="11">
        <f>IFERROR(__xludf.DUMMYFUNCTION("""COMPUTED_VALUE"""),46160.10690068192)</f>
        <v>46160.1069</v>
      </c>
      <c r="C5604" s="9">
        <f>IFERROR(__xludf.DUMMYFUNCTION("""COMPUTED_VALUE"""),21499.0)</f>
        <v>21499</v>
      </c>
      <c r="D5604" s="9" t="str">
        <f>IFERROR(__xludf.DUMMYFUNCTION("""COMPUTED_VALUE"""),"Completed")</f>
        <v>Completed</v>
      </c>
    </row>
    <row r="5605">
      <c r="A5605" s="9" t="str">
        <f>IFERROR(__xludf.DUMMYFUNCTION("""COMPUTED_VALUE"""),"G-REQ-05604")</f>
        <v>G-REQ-05604</v>
      </c>
      <c r="B5605" s="11">
        <f>IFERROR(__xludf.DUMMYFUNCTION("""COMPUTED_VALUE"""),46160.178075527336)</f>
        <v>46160.17808</v>
      </c>
      <c r="C5605" s="9">
        <f>IFERROR(__xludf.DUMMYFUNCTION("""COMPUTED_VALUE"""),21503.0)</f>
        <v>21503</v>
      </c>
      <c r="D5605" s="9" t="str">
        <f>IFERROR(__xludf.DUMMYFUNCTION("""COMPUTED_VALUE"""),"Completed")</f>
        <v>Completed</v>
      </c>
    </row>
    <row r="5606">
      <c r="A5606" s="9" t="str">
        <f>IFERROR(__xludf.DUMMYFUNCTION("""COMPUTED_VALUE"""),"G-REQ-05605")</f>
        <v>G-REQ-05605</v>
      </c>
      <c r="B5606" s="11">
        <f>IFERROR(__xludf.DUMMYFUNCTION("""COMPUTED_VALUE"""),46160.249250372755)</f>
        <v>46160.24925</v>
      </c>
      <c r="C5606" s="9">
        <f>IFERROR(__xludf.DUMMYFUNCTION("""COMPUTED_VALUE"""),21507.0)</f>
        <v>21507</v>
      </c>
      <c r="D5606" s="9" t="str">
        <f>IFERROR(__xludf.DUMMYFUNCTION("""COMPUTED_VALUE"""),"Completed")</f>
        <v>Completed</v>
      </c>
    </row>
    <row r="5607">
      <c r="A5607" s="9" t="str">
        <f>IFERROR(__xludf.DUMMYFUNCTION("""COMPUTED_VALUE"""),"G-REQ-05606")</f>
        <v>G-REQ-05606</v>
      </c>
      <c r="B5607" s="11">
        <f>IFERROR(__xludf.DUMMYFUNCTION("""COMPUTED_VALUE"""),46160.32042521817)</f>
        <v>46160.32043</v>
      </c>
      <c r="C5607" s="9">
        <f>IFERROR(__xludf.DUMMYFUNCTION("""COMPUTED_VALUE"""),21511.0)</f>
        <v>21511</v>
      </c>
      <c r="D5607" s="9" t="str">
        <f>IFERROR(__xludf.DUMMYFUNCTION("""COMPUTED_VALUE"""),"Completed")</f>
        <v>Completed</v>
      </c>
    </row>
    <row r="5608">
      <c r="A5608" s="9" t="str">
        <f>IFERROR(__xludf.DUMMYFUNCTION("""COMPUTED_VALUE"""),"G-REQ-05607")</f>
        <v>G-REQ-05607</v>
      </c>
      <c r="B5608" s="11">
        <f>IFERROR(__xludf.DUMMYFUNCTION("""COMPUTED_VALUE"""),46160.39160006358)</f>
        <v>46160.3916</v>
      </c>
      <c r="C5608" s="9">
        <f>IFERROR(__xludf.DUMMYFUNCTION("""COMPUTED_VALUE"""),21515.0)</f>
        <v>21515</v>
      </c>
      <c r="D5608" s="9" t="str">
        <f>IFERROR(__xludf.DUMMYFUNCTION("""COMPUTED_VALUE"""),"Completed")</f>
        <v>Completed</v>
      </c>
    </row>
    <row r="5609">
      <c r="A5609" s="9" t="str">
        <f>IFERROR(__xludf.DUMMYFUNCTION("""COMPUTED_VALUE"""),"G-REQ-05608")</f>
        <v>G-REQ-05608</v>
      </c>
      <c r="B5609" s="11">
        <f>IFERROR(__xludf.DUMMYFUNCTION("""COMPUTED_VALUE"""),46160.462774909)</f>
        <v>46160.46277</v>
      </c>
      <c r="C5609" s="9">
        <f>IFERROR(__xludf.DUMMYFUNCTION("""COMPUTED_VALUE"""),21519.0)</f>
        <v>21519</v>
      </c>
      <c r="D5609" s="9" t="str">
        <f>IFERROR(__xludf.DUMMYFUNCTION("""COMPUTED_VALUE"""),"Completed")</f>
        <v>Completed</v>
      </c>
    </row>
    <row r="5610">
      <c r="A5610" s="9" t="str">
        <f>IFERROR(__xludf.DUMMYFUNCTION("""COMPUTED_VALUE"""),"G-REQ-05609")</f>
        <v>G-REQ-05609</v>
      </c>
      <c r="B5610" s="11">
        <f>IFERROR(__xludf.DUMMYFUNCTION("""COMPUTED_VALUE"""),46160.53394975441)</f>
        <v>46160.53395</v>
      </c>
      <c r="C5610" s="9">
        <f>IFERROR(__xludf.DUMMYFUNCTION("""COMPUTED_VALUE"""),21523.0)</f>
        <v>21523</v>
      </c>
      <c r="D5610" s="9" t="str">
        <f>IFERROR(__xludf.DUMMYFUNCTION("""COMPUTED_VALUE"""),"Completed")</f>
        <v>Completed</v>
      </c>
    </row>
    <row r="5611">
      <c r="A5611" s="9" t="str">
        <f>IFERROR(__xludf.DUMMYFUNCTION("""COMPUTED_VALUE"""),"G-REQ-05610")</f>
        <v>G-REQ-05610</v>
      </c>
      <c r="B5611" s="11">
        <f>IFERROR(__xludf.DUMMYFUNCTION("""COMPUTED_VALUE"""),46160.59818015538)</f>
        <v>46160.59818</v>
      </c>
      <c r="C5611" s="9">
        <f>IFERROR(__xludf.DUMMYFUNCTION("""COMPUTED_VALUE"""),21525.0)</f>
        <v>21525</v>
      </c>
      <c r="D5611" s="9" t="str">
        <f>IFERROR(__xludf.DUMMYFUNCTION("""COMPUTED_VALUE"""),"Cancelled")</f>
        <v>Cancelled</v>
      </c>
    </row>
    <row r="5612">
      <c r="A5612" s="9" t="str">
        <f>IFERROR(__xludf.DUMMYFUNCTION("""COMPUTED_VALUE"""),"G-REQ-05611")</f>
        <v>G-REQ-05611</v>
      </c>
      <c r="B5612" s="11">
        <f>IFERROR(__xludf.DUMMYFUNCTION("""COMPUTED_VALUE"""),46160.676299445244)</f>
        <v>46160.6763</v>
      </c>
      <c r="C5612" s="9">
        <f>IFERROR(__xludf.DUMMYFUNCTION("""COMPUTED_VALUE"""),21529.0)</f>
        <v>21529</v>
      </c>
      <c r="D5612" s="9" t="str">
        <f>IFERROR(__xludf.DUMMYFUNCTION("""COMPUTED_VALUE"""),"Completed")</f>
        <v>Completed</v>
      </c>
    </row>
    <row r="5613">
      <c r="A5613" s="9" t="str">
        <f>IFERROR(__xludf.DUMMYFUNCTION("""COMPUTED_VALUE"""),"G-REQ-05612")</f>
        <v>G-REQ-05612</v>
      </c>
      <c r="B5613" s="11">
        <f>IFERROR(__xludf.DUMMYFUNCTION("""COMPUTED_VALUE"""),46160.74747429066)</f>
        <v>46160.74747</v>
      </c>
      <c r="C5613" s="9">
        <f>IFERROR(__xludf.DUMMYFUNCTION("""COMPUTED_VALUE"""),21533.0)</f>
        <v>21533</v>
      </c>
      <c r="D5613" s="9" t="str">
        <f>IFERROR(__xludf.DUMMYFUNCTION("""COMPUTED_VALUE"""),"Completed")</f>
        <v>Completed</v>
      </c>
    </row>
    <row r="5614">
      <c r="A5614" s="9" t="str">
        <f>IFERROR(__xludf.DUMMYFUNCTION("""COMPUTED_VALUE"""),"G-REQ-05613")</f>
        <v>G-REQ-05613</v>
      </c>
      <c r="B5614" s="11">
        <f>IFERROR(__xludf.DUMMYFUNCTION("""COMPUTED_VALUE"""),46160.81864913607)</f>
        <v>46160.81865</v>
      </c>
      <c r="C5614" s="9">
        <f>IFERROR(__xludf.DUMMYFUNCTION("""COMPUTED_VALUE"""),21537.0)</f>
        <v>21537</v>
      </c>
      <c r="D5614" s="9" t="str">
        <f>IFERROR(__xludf.DUMMYFUNCTION("""COMPUTED_VALUE"""),"Completed")</f>
        <v>Completed</v>
      </c>
    </row>
    <row r="5615">
      <c r="A5615" s="9" t="str">
        <f>IFERROR(__xludf.DUMMYFUNCTION("""COMPUTED_VALUE"""),"G-REQ-05614")</f>
        <v>G-REQ-05614</v>
      </c>
      <c r="B5615" s="11">
        <f>IFERROR(__xludf.DUMMYFUNCTION("""COMPUTED_VALUE"""),46160.88982398149)</f>
        <v>46160.88982</v>
      </c>
      <c r="C5615" s="9">
        <f>IFERROR(__xludf.DUMMYFUNCTION("""COMPUTED_VALUE"""),21541.0)</f>
        <v>21541</v>
      </c>
      <c r="D5615" s="9" t="str">
        <f>IFERROR(__xludf.DUMMYFUNCTION("""COMPUTED_VALUE"""),"Completed")</f>
        <v>Completed</v>
      </c>
    </row>
    <row r="5616">
      <c r="A5616" s="9" t="str">
        <f>IFERROR(__xludf.DUMMYFUNCTION("""COMPUTED_VALUE"""),"G-REQ-05615")</f>
        <v>G-REQ-05615</v>
      </c>
      <c r="B5616" s="11">
        <f>IFERROR(__xludf.DUMMYFUNCTION("""COMPUTED_VALUE"""),46160.95405438246)</f>
        <v>46160.95405</v>
      </c>
      <c r="C5616" s="9">
        <f>IFERROR(__xludf.DUMMYFUNCTION("""COMPUTED_VALUE"""),21543.0)</f>
        <v>21543</v>
      </c>
      <c r="D5616" s="9" t="str">
        <f>IFERROR(__xludf.DUMMYFUNCTION("""COMPUTED_VALUE"""),"Rejected")</f>
        <v>Rejected</v>
      </c>
    </row>
    <row r="5617">
      <c r="A5617" s="9" t="str">
        <f>IFERROR(__xludf.DUMMYFUNCTION("""COMPUTED_VALUE"""),"G-REQ-05616")</f>
        <v>G-REQ-05616</v>
      </c>
      <c r="B5617" s="11">
        <f>IFERROR(__xludf.DUMMYFUNCTION("""COMPUTED_VALUE"""),46161.03217367232)</f>
        <v>46161.03217</v>
      </c>
      <c r="C5617" s="9">
        <f>IFERROR(__xludf.DUMMYFUNCTION("""COMPUTED_VALUE"""),21547.0)</f>
        <v>21547</v>
      </c>
      <c r="D5617" s="9" t="str">
        <f>IFERROR(__xludf.DUMMYFUNCTION("""COMPUTED_VALUE"""),"Completed")</f>
        <v>Completed</v>
      </c>
    </row>
    <row r="5618">
      <c r="A5618" s="9" t="str">
        <f>IFERROR(__xludf.DUMMYFUNCTION("""COMPUTED_VALUE"""),"G-REQ-05617")</f>
        <v>G-REQ-05617</v>
      </c>
      <c r="B5618" s="11">
        <f>IFERROR(__xludf.DUMMYFUNCTION("""COMPUTED_VALUE"""),46161.10334851773)</f>
        <v>46161.10335</v>
      </c>
      <c r="C5618" s="9">
        <f>IFERROR(__xludf.DUMMYFUNCTION("""COMPUTED_VALUE"""),21551.0)</f>
        <v>21551</v>
      </c>
      <c r="D5618" s="9" t="str">
        <f>IFERROR(__xludf.DUMMYFUNCTION("""COMPUTED_VALUE"""),"Completed")</f>
        <v>Completed</v>
      </c>
    </row>
    <row r="5619">
      <c r="A5619" s="9" t="str">
        <f>IFERROR(__xludf.DUMMYFUNCTION("""COMPUTED_VALUE"""),"G-REQ-05618")</f>
        <v>G-REQ-05618</v>
      </c>
      <c r="B5619" s="11">
        <f>IFERROR(__xludf.DUMMYFUNCTION("""COMPUTED_VALUE"""),46161.17452336315)</f>
        <v>46161.17452</v>
      </c>
      <c r="C5619" s="9">
        <f>IFERROR(__xludf.DUMMYFUNCTION("""COMPUTED_VALUE"""),21555.0)</f>
        <v>21555</v>
      </c>
      <c r="D5619" s="9" t="str">
        <f>IFERROR(__xludf.DUMMYFUNCTION("""COMPUTED_VALUE"""),"Completed")</f>
        <v>Completed</v>
      </c>
    </row>
    <row r="5620">
      <c r="A5620" s="9" t="str">
        <f>IFERROR(__xludf.DUMMYFUNCTION("""COMPUTED_VALUE"""),"G-REQ-05619")</f>
        <v>G-REQ-05619</v>
      </c>
      <c r="B5620" s="11">
        <f>IFERROR(__xludf.DUMMYFUNCTION("""COMPUTED_VALUE"""),46161.245698208564)</f>
        <v>46161.2457</v>
      </c>
      <c r="C5620" s="9">
        <f>IFERROR(__xludf.DUMMYFUNCTION("""COMPUTED_VALUE"""),21559.0)</f>
        <v>21559</v>
      </c>
      <c r="D5620" s="9" t="str">
        <f>IFERROR(__xludf.DUMMYFUNCTION("""COMPUTED_VALUE"""),"Completed")</f>
        <v>Completed</v>
      </c>
    </row>
    <row r="5621">
      <c r="A5621" s="9" t="str">
        <f>IFERROR(__xludf.DUMMYFUNCTION("""COMPUTED_VALUE"""),"G-REQ-05620")</f>
        <v>G-REQ-05620</v>
      </c>
      <c r="B5621" s="11">
        <f>IFERROR(__xludf.DUMMYFUNCTION("""COMPUTED_VALUE"""),46161.30992860953)</f>
        <v>46161.30993</v>
      </c>
      <c r="C5621" s="9">
        <f>IFERROR(__xludf.DUMMYFUNCTION("""COMPUTED_VALUE"""),21561.0)</f>
        <v>21561</v>
      </c>
      <c r="D5621" s="9" t="str">
        <f>IFERROR(__xludf.DUMMYFUNCTION("""COMPUTED_VALUE"""),"Rejected")</f>
        <v>Rejected</v>
      </c>
    </row>
    <row r="5622">
      <c r="A5622" s="9" t="str">
        <f>IFERROR(__xludf.DUMMYFUNCTION("""COMPUTED_VALUE"""),"G-REQ-05621")</f>
        <v>G-REQ-05621</v>
      </c>
      <c r="B5622" s="11">
        <f>IFERROR(__xludf.DUMMYFUNCTION("""COMPUTED_VALUE"""),46161.388047899396)</f>
        <v>46161.38805</v>
      </c>
      <c r="C5622" s="9">
        <f>IFERROR(__xludf.DUMMYFUNCTION("""COMPUTED_VALUE"""),21565.0)</f>
        <v>21565</v>
      </c>
      <c r="D5622" s="9" t="str">
        <f>IFERROR(__xludf.DUMMYFUNCTION("""COMPUTED_VALUE"""),"Completed")</f>
        <v>Completed</v>
      </c>
    </row>
    <row r="5623">
      <c r="A5623" s="9" t="str">
        <f>IFERROR(__xludf.DUMMYFUNCTION("""COMPUTED_VALUE"""),"G-REQ-05622")</f>
        <v>G-REQ-05622</v>
      </c>
      <c r="B5623" s="11">
        <f>IFERROR(__xludf.DUMMYFUNCTION("""COMPUTED_VALUE"""),46161.45922274481)</f>
        <v>46161.45922</v>
      </c>
      <c r="C5623" s="9">
        <f>IFERROR(__xludf.DUMMYFUNCTION("""COMPUTED_VALUE"""),21569.0)</f>
        <v>21569</v>
      </c>
      <c r="D5623" s="9" t="str">
        <f>IFERROR(__xludf.DUMMYFUNCTION("""COMPUTED_VALUE"""),"Completed")</f>
        <v>Completed</v>
      </c>
    </row>
    <row r="5624">
      <c r="A5624" s="9" t="str">
        <f>IFERROR(__xludf.DUMMYFUNCTION("""COMPUTED_VALUE"""),"G-REQ-05623")</f>
        <v>G-REQ-05623</v>
      </c>
      <c r="B5624" s="11">
        <f>IFERROR(__xludf.DUMMYFUNCTION("""COMPUTED_VALUE"""),46161.53039759022)</f>
        <v>46161.5304</v>
      </c>
      <c r="C5624" s="9">
        <f>IFERROR(__xludf.DUMMYFUNCTION("""COMPUTED_VALUE"""),21573.0)</f>
        <v>21573</v>
      </c>
      <c r="D5624" s="9" t="str">
        <f>IFERROR(__xludf.DUMMYFUNCTION("""COMPUTED_VALUE"""),"Completed")</f>
        <v>Completed</v>
      </c>
    </row>
    <row r="5625">
      <c r="A5625" s="9" t="str">
        <f>IFERROR(__xludf.DUMMYFUNCTION("""COMPUTED_VALUE"""),"G-REQ-05624")</f>
        <v>G-REQ-05624</v>
      </c>
      <c r="B5625" s="11">
        <f>IFERROR(__xludf.DUMMYFUNCTION("""COMPUTED_VALUE"""),46161.60157243564)</f>
        <v>46161.60157</v>
      </c>
      <c r="C5625" s="9">
        <f>IFERROR(__xludf.DUMMYFUNCTION("""COMPUTED_VALUE"""),21577.0)</f>
        <v>21577</v>
      </c>
      <c r="D5625" s="9" t="str">
        <f>IFERROR(__xludf.DUMMYFUNCTION("""COMPUTED_VALUE"""),"Completed")</f>
        <v>Completed</v>
      </c>
    </row>
    <row r="5626">
      <c r="A5626" s="9" t="str">
        <f>IFERROR(__xludf.DUMMYFUNCTION("""COMPUTED_VALUE"""),"G-REQ-05625")</f>
        <v>G-REQ-05625</v>
      </c>
      <c r="B5626" s="11">
        <f>IFERROR(__xludf.DUMMYFUNCTION("""COMPUTED_VALUE"""),46161.66580283661)</f>
        <v>46161.6658</v>
      </c>
      <c r="C5626" s="9">
        <f>IFERROR(__xludf.DUMMYFUNCTION("""COMPUTED_VALUE"""),21579.0)</f>
        <v>21579</v>
      </c>
      <c r="D5626" s="9" t="str">
        <f>IFERROR(__xludf.DUMMYFUNCTION("""COMPUTED_VALUE"""),"Rejected")</f>
        <v>Rejected</v>
      </c>
    </row>
    <row r="5627">
      <c r="A5627" s="9" t="str">
        <f>IFERROR(__xludf.DUMMYFUNCTION("""COMPUTED_VALUE"""),"G-REQ-05626")</f>
        <v>G-REQ-05626</v>
      </c>
      <c r="B5627" s="11">
        <f>IFERROR(__xludf.DUMMYFUNCTION("""COMPUTED_VALUE"""),46161.73697768202)</f>
        <v>46161.73698</v>
      </c>
      <c r="C5627" s="9">
        <f>IFERROR(__xludf.DUMMYFUNCTION("""COMPUTED_VALUE"""),21581.0)</f>
        <v>21581</v>
      </c>
      <c r="D5627" s="9" t="str">
        <f>IFERROR(__xludf.DUMMYFUNCTION("""COMPUTED_VALUE"""),"Cancelled")</f>
        <v>Cancelled</v>
      </c>
    </row>
    <row r="5628">
      <c r="A5628" s="9" t="str">
        <f>IFERROR(__xludf.DUMMYFUNCTION("""COMPUTED_VALUE"""),"G-REQ-05627")</f>
        <v>G-REQ-05627</v>
      </c>
      <c r="B5628" s="11">
        <f>IFERROR(__xludf.DUMMYFUNCTION("""COMPUTED_VALUE"""),46161.815096971884)</f>
        <v>46161.8151</v>
      </c>
      <c r="C5628" s="9">
        <f>IFERROR(__xludf.DUMMYFUNCTION("""COMPUTED_VALUE"""),21585.0)</f>
        <v>21585</v>
      </c>
      <c r="D5628" s="9" t="str">
        <f>IFERROR(__xludf.DUMMYFUNCTION("""COMPUTED_VALUE"""),"Completed")</f>
        <v>Completed</v>
      </c>
    </row>
    <row r="5629">
      <c r="A5629" s="9" t="str">
        <f>IFERROR(__xludf.DUMMYFUNCTION("""COMPUTED_VALUE"""),"G-REQ-05628")</f>
        <v>G-REQ-05628</v>
      </c>
      <c r="B5629" s="11">
        <f>IFERROR(__xludf.DUMMYFUNCTION("""COMPUTED_VALUE"""),46161.87932737286)</f>
        <v>46161.87933</v>
      </c>
      <c r="C5629" s="9">
        <f>IFERROR(__xludf.DUMMYFUNCTION("""COMPUTED_VALUE"""),21587.0)</f>
        <v>21587</v>
      </c>
      <c r="D5629" s="9" t="str">
        <f>IFERROR(__xludf.DUMMYFUNCTION("""COMPUTED_VALUE"""),"Rejected")</f>
        <v>Rejected</v>
      </c>
    </row>
    <row r="5630">
      <c r="A5630" s="9" t="str">
        <f>IFERROR(__xludf.DUMMYFUNCTION("""COMPUTED_VALUE"""),"G-REQ-05629")</f>
        <v>G-REQ-05629</v>
      </c>
      <c r="B5630" s="11">
        <f>IFERROR(__xludf.DUMMYFUNCTION("""COMPUTED_VALUE"""),46161.95744666271)</f>
        <v>46161.95745</v>
      </c>
      <c r="C5630" s="9">
        <f>IFERROR(__xludf.DUMMYFUNCTION("""COMPUTED_VALUE"""),21591.0)</f>
        <v>21591</v>
      </c>
      <c r="D5630" s="9" t="str">
        <f>IFERROR(__xludf.DUMMYFUNCTION("""COMPUTED_VALUE"""),"Completed")</f>
        <v>Completed</v>
      </c>
    </row>
    <row r="5631">
      <c r="A5631" s="9" t="str">
        <f>IFERROR(__xludf.DUMMYFUNCTION("""COMPUTED_VALUE"""),"G-REQ-05630")</f>
        <v>G-REQ-05630</v>
      </c>
      <c r="B5631" s="11">
        <f>IFERROR(__xludf.DUMMYFUNCTION("""COMPUTED_VALUE"""),46162.02862150813)</f>
        <v>46162.02862</v>
      </c>
      <c r="C5631" s="9">
        <f>IFERROR(__xludf.DUMMYFUNCTION("""COMPUTED_VALUE"""),21595.0)</f>
        <v>21595</v>
      </c>
      <c r="D5631" s="9" t="str">
        <f>IFERROR(__xludf.DUMMYFUNCTION("""COMPUTED_VALUE"""),"Completed")</f>
        <v>Completed</v>
      </c>
    </row>
    <row r="5632">
      <c r="A5632" s="9" t="str">
        <f>IFERROR(__xludf.DUMMYFUNCTION("""COMPUTED_VALUE"""),"G-REQ-05631")</f>
        <v>G-REQ-05631</v>
      </c>
      <c r="B5632" s="11">
        <f>IFERROR(__xludf.DUMMYFUNCTION("""COMPUTED_VALUE"""),46162.09979635355)</f>
        <v>46162.0998</v>
      </c>
      <c r="C5632" s="9">
        <f>IFERROR(__xludf.DUMMYFUNCTION("""COMPUTED_VALUE"""),21599.0)</f>
        <v>21599</v>
      </c>
      <c r="D5632" s="9" t="str">
        <f>IFERROR(__xludf.DUMMYFUNCTION("""COMPUTED_VALUE"""),"Completed")</f>
        <v>Completed</v>
      </c>
    </row>
    <row r="5633">
      <c r="A5633" s="9" t="str">
        <f>IFERROR(__xludf.DUMMYFUNCTION("""COMPUTED_VALUE"""),"G-REQ-05632")</f>
        <v>G-REQ-05632</v>
      </c>
      <c r="B5633" s="11">
        <f>IFERROR(__xludf.DUMMYFUNCTION("""COMPUTED_VALUE"""),46162.17097119896)</f>
        <v>46162.17097</v>
      </c>
      <c r="C5633" s="9">
        <f>IFERROR(__xludf.DUMMYFUNCTION("""COMPUTED_VALUE"""),21603.0)</f>
        <v>21603</v>
      </c>
      <c r="D5633" s="9" t="str">
        <f>IFERROR(__xludf.DUMMYFUNCTION("""COMPUTED_VALUE"""),"Completed")</f>
        <v>Completed</v>
      </c>
    </row>
    <row r="5634">
      <c r="A5634" s="9" t="str">
        <f>IFERROR(__xludf.DUMMYFUNCTION("""COMPUTED_VALUE"""),"G-REQ-05633")</f>
        <v>G-REQ-05633</v>
      </c>
      <c r="B5634" s="11">
        <f>IFERROR(__xludf.DUMMYFUNCTION("""COMPUTED_VALUE"""),46162.24214604437)</f>
        <v>46162.24215</v>
      </c>
      <c r="C5634" s="9">
        <f>IFERROR(__xludf.DUMMYFUNCTION("""COMPUTED_VALUE"""),21607.0)</f>
        <v>21607</v>
      </c>
      <c r="D5634" s="9" t="str">
        <f>IFERROR(__xludf.DUMMYFUNCTION("""COMPUTED_VALUE"""),"Completed")</f>
        <v>Completed</v>
      </c>
    </row>
    <row r="5635">
      <c r="A5635" s="9" t="str">
        <f>IFERROR(__xludf.DUMMYFUNCTION("""COMPUTED_VALUE"""),"G-REQ-05634")</f>
        <v>G-REQ-05634</v>
      </c>
      <c r="B5635" s="11">
        <f>IFERROR(__xludf.DUMMYFUNCTION("""COMPUTED_VALUE"""),46162.31332088979)</f>
        <v>46162.31332</v>
      </c>
      <c r="C5635" s="9">
        <f>IFERROR(__xludf.DUMMYFUNCTION("""COMPUTED_VALUE"""),21611.0)</f>
        <v>21611</v>
      </c>
      <c r="D5635" s="9" t="str">
        <f>IFERROR(__xludf.DUMMYFUNCTION("""COMPUTED_VALUE"""),"Completed")</f>
        <v>Completed</v>
      </c>
    </row>
    <row r="5636">
      <c r="A5636" s="9" t="str">
        <f>IFERROR(__xludf.DUMMYFUNCTION("""COMPUTED_VALUE"""),"G-REQ-05635")</f>
        <v>G-REQ-05635</v>
      </c>
      <c r="B5636" s="11">
        <f>IFERROR(__xludf.DUMMYFUNCTION("""COMPUTED_VALUE"""),46162.384495735205)</f>
        <v>46162.3845</v>
      </c>
      <c r="C5636" s="9">
        <f>IFERROR(__xludf.DUMMYFUNCTION("""COMPUTED_VALUE"""),21615.0)</f>
        <v>21615</v>
      </c>
      <c r="D5636" s="9" t="str">
        <f>IFERROR(__xludf.DUMMYFUNCTION("""COMPUTED_VALUE"""),"Completed")</f>
        <v>Completed</v>
      </c>
    </row>
    <row r="5637">
      <c r="A5637" s="9" t="str">
        <f>IFERROR(__xludf.DUMMYFUNCTION("""COMPUTED_VALUE"""),"G-REQ-05636")</f>
        <v>G-REQ-05636</v>
      </c>
      <c r="B5637" s="11">
        <f>IFERROR(__xludf.DUMMYFUNCTION("""COMPUTED_VALUE"""),46162.44872613617)</f>
        <v>46162.44873</v>
      </c>
      <c r="C5637" s="9">
        <f>IFERROR(__xludf.DUMMYFUNCTION("""COMPUTED_VALUE"""),21617.0)</f>
        <v>21617</v>
      </c>
      <c r="D5637" s="9" t="str">
        <f>IFERROR(__xludf.DUMMYFUNCTION("""COMPUTED_VALUE"""),"Rejected")</f>
        <v>Rejected</v>
      </c>
    </row>
    <row r="5638">
      <c r="A5638" s="9" t="str">
        <f>IFERROR(__xludf.DUMMYFUNCTION("""COMPUTED_VALUE"""),"G-REQ-05637")</f>
        <v>G-REQ-05637</v>
      </c>
      <c r="B5638" s="11">
        <f>IFERROR(__xludf.DUMMYFUNCTION("""COMPUTED_VALUE"""),46162.52684542604)</f>
        <v>46162.52685</v>
      </c>
      <c r="C5638" s="9">
        <f>IFERROR(__xludf.DUMMYFUNCTION("""COMPUTED_VALUE"""),21621.0)</f>
        <v>21621</v>
      </c>
      <c r="D5638" s="9" t="str">
        <f>IFERROR(__xludf.DUMMYFUNCTION("""COMPUTED_VALUE"""),"Completed")</f>
        <v>Completed</v>
      </c>
    </row>
    <row r="5639">
      <c r="A5639" s="9" t="str">
        <f>IFERROR(__xludf.DUMMYFUNCTION("""COMPUTED_VALUE"""),"G-REQ-05638")</f>
        <v>G-REQ-05638</v>
      </c>
      <c r="B5639" s="11">
        <f>IFERROR(__xludf.DUMMYFUNCTION("""COMPUTED_VALUE"""),46162.598020271456)</f>
        <v>46162.59802</v>
      </c>
      <c r="C5639" s="9">
        <f>IFERROR(__xludf.DUMMYFUNCTION("""COMPUTED_VALUE"""),21625.0)</f>
        <v>21625</v>
      </c>
      <c r="D5639" s="9" t="str">
        <f>IFERROR(__xludf.DUMMYFUNCTION("""COMPUTED_VALUE"""),"Completed")</f>
        <v>Completed</v>
      </c>
    </row>
    <row r="5640">
      <c r="A5640" s="9" t="str">
        <f>IFERROR(__xludf.DUMMYFUNCTION("""COMPUTED_VALUE"""),"G-REQ-05639")</f>
        <v>G-REQ-05639</v>
      </c>
      <c r="B5640" s="11">
        <f>IFERROR(__xludf.DUMMYFUNCTION("""COMPUTED_VALUE"""),46162.662250672416)</f>
        <v>46162.66225</v>
      </c>
      <c r="C5640" s="9">
        <f>IFERROR(__xludf.DUMMYFUNCTION("""COMPUTED_VALUE"""),21627.0)</f>
        <v>21627</v>
      </c>
      <c r="D5640" s="9" t="str">
        <f>IFERROR(__xludf.DUMMYFUNCTION("""COMPUTED_VALUE"""),"Cancelled")</f>
        <v>Cancelled</v>
      </c>
    </row>
    <row r="5641">
      <c r="A5641" s="9" t="str">
        <f>IFERROR(__xludf.DUMMYFUNCTION("""COMPUTED_VALUE"""),"G-REQ-05640")</f>
        <v>G-REQ-05640</v>
      </c>
      <c r="B5641" s="11">
        <f>IFERROR(__xludf.DUMMYFUNCTION("""COMPUTED_VALUE"""),46162.74036996228)</f>
        <v>46162.74037</v>
      </c>
      <c r="C5641" s="9">
        <f>IFERROR(__xludf.DUMMYFUNCTION("""COMPUTED_VALUE"""),21631.0)</f>
        <v>21631</v>
      </c>
      <c r="D5641" s="9" t="str">
        <f>IFERROR(__xludf.DUMMYFUNCTION("""COMPUTED_VALUE"""),"Completed")</f>
        <v>Completed</v>
      </c>
    </row>
    <row r="5642">
      <c r="A5642" s="9" t="str">
        <f>IFERROR(__xludf.DUMMYFUNCTION("""COMPUTED_VALUE"""),"G-REQ-05641")</f>
        <v>G-REQ-05641</v>
      </c>
      <c r="B5642" s="11">
        <f>IFERROR(__xludf.DUMMYFUNCTION("""COMPUTED_VALUE"""),46162.81154480769)</f>
        <v>46162.81154</v>
      </c>
      <c r="C5642" s="9">
        <f>IFERROR(__xludf.DUMMYFUNCTION("""COMPUTED_VALUE"""),21635.0)</f>
        <v>21635</v>
      </c>
      <c r="D5642" s="9" t="str">
        <f>IFERROR(__xludf.DUMMYFUNCTION("""COMPUTED_VALUE"""),"Completed")</f>
        <v>Completed</v>
      </c>
    </row>
    <row r="5643">
      <c r="A5643" s="9" t="str">
        <f>IFERROR(__xludf.DUMMYFUNCTION("""COMPUTED_VALUE"""),"G-REQ-05642")</f>
        <v>G-REQ-05642</v>
      </c>
      <c r="B5643" s="11">
        <f>IFERROR(__xludf.DUMMYFUNCTION("""COMPUTED_VALUE"""),46162.88271965311)</f>
        <v>46162.88272</v>
      </c>
      <c r="C5643" s="9">
        <f>IFERROR(__xludf.DUMMYFUNCTION("""COMPUTED_VALUE"""),21639.0)</f>
        <v>21639</v>
      </c>
      <c r="D5643" s="9" t="str">
        <f>IFERROR(__xludf.DUMMYFUNCTION("""COMPUTED_VALUE"""),"Completed")</f>
        <v>Completed</v>
      </c>
    </row>
    <row r="5644">
      <c r="A5644" s="9" t="str">
        <f>IFERROR(__xludf.DUMMYFUNCTION("""COMPUTED_VALUE"""),"G-REQ-05643")</f>
        <v>G-REQ-05643</v>
      </c>
      <c r="B5644" s="11">
        <f>IFERROR(__xludf.DUMMYFUNCTION("""COMPUTED_VALUE"""),46162.94695005408)</f>
        <v>46162.94695</v>
      </c>
      <c r="C5644" s="9">
        <f>IFERROR(__xludf.DUMMYFUNCTION("""COMPUTED_VALUE"""),21641.0)</f>
        <v>21641</v>
      </c>
      <c r="D5644" s="9" t="str">
        <f>IFERROR(__xludf.DUMMYFUNCTION("""COMPUTED_VALUE"""),"Cancelled")</f>
        <v>Cancelled</v>
      </c>
    </row>
    <row r="5645">
      <c r="A5645" s="9" t="str">
        <f>IFERROR(__xludf.DUMMYFUNCTION("""COMPUTED_VALUE"""),"G-REQ-05644")</f>
        <v>G-REQ-05644</v>
      </c>
      <c r="B5645" s="11">
        <f>IFERROR(__xludf.DUMMYFUNCTION("""COMPUTED_VALUE"""),46163.025069343945)</f>
        <v>46163.02507</v>
      </c>
      <c r="C5645" s="9">
        <f>IFERROR(__xludf.DUMMYFUNCTION("""COMPUTED_VALUE"""),21645.0)</f>
        <v>21645</v>
      </c>
      <c r="D5645" s="9" t="str">
        <f>IFERROR(__xludf.DUMMYFUNCTION("""COMPUTED_VALUE"""),"Completed")</f>
        <v>Completed</v>
      </c>
    </row>
    <row r="5646">
      <c r="A5646" s="9" t="str">
        <f>IFERROR(__xludf.DUMMYFUNCTION("""COMPUTED_VALUE"""),"G-REQ-05645")</f>
        <v>G-REQ-05645</v>
      </c>
      <c r="B5646" s="11">
        <f>IFERROR(__xludf.DUMMYFUNCTION("""COMPUTED_VALUE"""),46163.09624418935)</f>
        <v>46163.09624</v>
      </c>
      <c r="C5646" s="9">
        <f>IFERROR(__xludf.DUMMYFUNCTION("""COMPUTED_VALUE"""),21649.0)</f>
        <v>21649</v>
      </c>
      <c r="D5646" s="9" t="str">
        <f>IFERROR(__xludf.DUMMYFUNCTION("""COMPUTED_VALUE"""),"Completed")</f>
        <v>Completed</v>
      </c>
    </row>
    <row r="5647">
      <c r="A5647" s="9" t="str">
        <f>IFERROR(__xludf.DUMMYFUNCTION("""COMPUTED_VALUE"""),"G-REQ-05646")</f>
        <v>G-REQ-05646</v>
      </c>
      <c r="B5647" s="11">
        <f>IFERROR(__xludf.DUMMYFUNCTION("""COMPUTED_VALUE"""),46163.160474590324)</f>
        <v>46163.16047</v>
      </c>
      <c r="C5647" s="9">
        <f>IFERROR(__xludf.DUMMYFUNCTION("""COMPUTED_VALUE"""),21651.0)</f>
        <v>21651</v>
      </c>
      <c r="D5647" s="9" t="str">
        <f>IFERROR(__xludf.DUMMYFUNCTION("""COMPUTED_VALUE"""),"Rejected")</f>
        <v>Rejected</v>
      </c>
    </row>
    <row r="5648">
      <c r="A5648" s="9" t="str">
        <f>IFERROR(__xludf.DUMMYFUNCTION("""COMPUTED_VALUE"""),"G-REQ-05647")</f>
        <v>G-REQ-05647</v>
      </c>
      <c r="B5648" s="11">
        <f>IFERROR(__xludf.DUMMYFUNCTION("""COMPUTED_VALUE"""),46163.23859388019)</f>
        <v>46163.23859</v>
      </c>
      <c r="C5648" s="9">
        <f>IFERROR(__xludf.DUMMYFUNCTION("""COMPUTED_VALUE"""),21655.0)</f>
        <v>21655</v>
      </c>
      <c r="D5648" s="9" t="str">
        <f>IFERROR(__xludf.DUMMYFUNCTION("""COMPUTED_VALUE"""),"Completed")</f>
        <v>Completed</v>
      </c>
    </row>
    <row r="5649">
      <c r="A5649" s="9" t="str">
        <f>IFERROR(__xludf.DUMMYFUNCTION("""COMPUTED_VALUE"""),"G-REQ-05648")</f>
        <v>G-REQ-05648</v>
      </c>
      <c r="B5649" s="11">
        <f>IFERROR(__xludf.DUMMYFUNCTION("""COMPUTED_VALUE"""),46163.3097687256)</f>
        <v>46163.30977</v>
      </c>
      <c r="C5649" s="9">
        <f>IFERROR(__xludf.DUMMYFUNCTION("""COMPUTED_VALUE"""),21659.0)</f>
        <v>21659</v>
      </c>
      <c r="D5649" s="9" t="str">
        <f>IFERROR(__xludf.DUMMYFUNCTION("""COMPUTED_VALUE"""),"Completed")</f>
        <v>Completed</v>
      </c>
    </row>
    <row r="5650">
      <c r="A5650" s="9" t="str">
        <f>IFERROR(__xludf.DUMMYFUNCTION("""COMPUTED_VALUE"""),"G-REQ-05649")</f>
        <v>G-REQ-05649</v>
      </c>
      <c r="B5650" s="11">
        <f>IFERROR(__xludf.DUMMYFUNCTION("""COMPUTED_VALUE"""),46163.38094357101)</f>
        <v>46163.38094</v>
      </c>
      <c r="C5650" s="9">
        <f>IFERROR(__xludf.DUMMYFUNCTION("""COMPUTED_VALUE"""),21663.0)</f>
        <v>21663</v>
      </c>
      <c r="D5650" s="9" t="str">
        <f>IFERROR(__xludf.DUMMYFUNCTION("""COMPUTED_VALUE"""),"Completed")</f>
        <v>Completed</v>
      </c>
    </row>
    <row r="5651">
      <c r="A5651" s="9" t="str">
        <f>IFERROR(__xludf.DUMMYFUNCTION("""COMPUTED_VALUE"""),"G-REQ-05650")</f>
        <v>G-REQ-05650</v>
      </c>
      <c r="B5651" s="11">
        <f>IFERROR(__xludf.DUMMYFUNCTION("""COMPUTED_VALUE"""),46163.45211841643)</f>
        <v>46163.45212</v>
      </c>
      <c r="C5651" s="9">
        <f>IFERROR(__xludf.DUMMYFUNCTION("""COMPUTED_VALUE"""),21667.0)</f>
        <v>21667</v>
      </c>
      <c r="D5651" s="9" t="str">
        <f>IFERROR(__xludf.DUMMYFUNCTION("""COMPUTED_VALUE"""),"Completed")</f>
        <v>Completed</v>
      </c>
    </row>
    <row r="5652">
      <c r="A5652" s="9" t="str">
        <f>IFERROR(__xludf.DUMMYFUNCTION("""COMPUTED_VALUE"""),"G-REQ-05651")</f>
        <v>G-REQ-05651</v>
      </c>
      <c r="B5652" s="11">
        <f>IFERROR(__xludf.DUMMYFUNCTION("""COMPUTED_VALUE"""),46163.523293261846)</f>
        <v>46163.52329</v>
      </c>
      <c r="C5652" s="9">
        <f>IFERROR(__xludf.DUMMYFUNCTION("""COMPUTED_VALUE"""),21671.0)</f>
        <v>21671</v>
      </c>
      <c r="D5652" s="9" t="str">
        <f>IFERROR(__xludf.DUMMYFUNCTION("""COMPUTED_VALUE"""),"Completed")</f>
        <v>Completed</v>
      </c>
    </row>
    <row r="5653">
      <c r="A5653" s="9" t="str">
        <f>IFERROR(__xludf.DUMMYFUNCTION("""COMPUTED_VALUE"""),"G-REQ-05652")</f>
        <v>G-REQ-05652</v>
      </c>
      <c r="B5653" s="11">
        <f>IFERROR(__xludf.DUMMYFUNCTION("""COMPUTED_VALUE"""),46163.59446810726)</f>
        <v>46163.59447</v>
      </c>
      <c r="C5653" s="9">
        <f>IFERROR(__xludf.DUMMYFUNCTION("""COMPUTED_VALUE"""),21675.0)</f>
        <v>21675</v>
      </c>
      <c r="D5653" s="9" t="str">
        <f>IFERROR(__xludf.DUMMYFUNCTION("""COMPUTED_VALUE"""),"Completed")</f>
        <v>Completed</v>
      </c>
    </row>
    <row r="5654">
      <c r="A5654" s="9" t="str">
        <f>IFERROR(__xludf.DUMMYFUNCTION("""COMPUTED_VALUE"""),"G-REQ-05653")</f>
        <v>G-REQ-05653</v>
      </c>
      <c r="B5654" s="11">
        <f>IFERROR(__xludf.DUMMYFUNCTION("""COMPUTED_VALUE"""),46163.66564295268)</f>
        <v>46163.66564</v>
      </c>
      <c r="C5654" s="9">
        <f>IFERROR(__xludf.DUMMYFUNCTION("""COMPUTED_VALUE"""),21679.0)</f>
        <v>21679</v>
      </c>
      <c r="D5654" s="9" t="str">
        <f>IFERROR(__xludf.DUMMYFUNCTION("""COMPUTED_VALUE"""),"Completed")</f>
        <v>Completed</v>
      </c>
    </row>
    <row r="5655">
      <c r="A5655" s="9" t="str">
        <f>IFERROR(__xludf.DUMMYFUNCTION("""COMPUTED_VALUE"""),"G-REQ-05654")</f>
        <v>G-REQ-05654</v>
      </c>
      <c r="B5655" s="11">
        <f>IFERROR(__xludf.DUMMYFUNCTION("""COMPUTED_VALUE"""),46163.7368177981)</f>
        <v>46163.73682</v>
      </c>
      <c r="C5655" s="9">
        <f>IFERROR(__xludf.DUMMYFUNCTION("""COMPUTED_VALUE"""),21683.0)</f>
        <v>21683</v>
      </c>
      <c r="D5655" s="9" t="str">
        <f>IFERROR(__xludf.DUMMYFUNCTION("""COMPUTED_VALUE"""),"Completed")</f>
        <v>Completed</v>
      </c>
    </row>
    <row r="5656">
      <c r="A5656" s="9" t="str">
        <f>IFERROR(__xludf.DUMMYFUNCTION("""COMPUTED_VALUE"""),"G-REQ-05655")</f>
        <v>G-REQ-05655</v>
      </c>
      <c r="B5656" s="11">
        <f>IFERROR(__xludf.DUMMYFUNCTION("""COMPUTED_VALUE"""),46163.8079926435)</f>
        <v>46163.80799</v>
      </c>
      <c r="C5656" s="9">
        <f>IFERROR(__xludf.DUMMYFUNCTION("""COMPUTED_VALUE"""),21687.0)</f>
        <v>21687</v>
      </c>
      <c r="D5656" s="9" t="str">
        <f>IFERROR(__xludf.DUMMYFUNCTION("""COMPUTED_VALUE"""),"Completed")</f>
        <v>Completed</v>
      </c>
    </row>
    <row r="5657">
      <c r="A5657" s="9" t="str">
        <f>IFERROR(__xludf.DUMMYFUNCTION("""COMPUTED_VALUE"""),"G-REQ-05656")</f>
        <v>G-REQ-05656</v>
      </c>
      <c r="B5657" s="11">
        <f>IFERROR(__xludf.DUMMYFUNCTION("""COMPUTED_VALUE"""),46163.87916748892)</f>
        <v>46163.87917</v>
      </c>
      <c r="C5657" s="9">
        <f>IFERROR(__xludf.DUMMYFUNCTION("""COMPUTED_VALUE"""),21691.0)</f>
        <v>21691</v>
      </c>
      <c r="D5657" s="9" t="str">
        <f>IFERROR(__xludf.DUMMYFUNCTION("""COMPUTED_VALUE"""),"Completed")</f>
        <v>Completed</v>
      </c>
    </row>
    <row r="5658">
      <c r="A5658" s="9" t="str">
        <f>IFERROR(__xludf.DUMMYFUNCTION("""COMPUTED_VALUE"""),"G-REQ-05657")</f>
        <v>G-REQ-05657</v>
      </c>
      <c r="B5658" s="11">
        <f>IFERROR(__xludf.DUMMYFUNCTION("""COMPUTED_VALUE"""),46163.943397889896)</f>
        <v>46163.9434</v>
      </c>
      <c r="C5658" s="9">
        <f>IFERROR(__xludf.DUMMYFUNCTION("""COMPUTED_VALUE"""),21693.0)</f>
        <v>21693</v>
      </c>
      <c r="D5658" s="9" t="str">
        <f>IFERROR(__xludf.DUMMYFUNCTION("""COMPUTED_VALUE"""),"Cancelled")</f>
        <v>Cancelled</v>
      </c>
    </row>
    <row r="5659">
      <c r="A5659" s="9" t="str">
        <f>IFERROR(__xludf.DUMMYFUNCTION("""COMPUTED_VALUE"""),"G-REQ-05658")</f>
        <v>G-REQ-05658</v>
      </c>
      <c r="B5659" s="11">
        <f>IFERROR(__xludf.DUMMYFUNCTION("""COMPUTED_VALUE"""),46164.02151717975)</f>
        <v>46164.02152</v>
      </c>
      <c r="C5659" s="9">
        <f>IFERROR(__xludf.DUMMYFUNCTION("""COMPUTED_VALUE"""),21697.0)</f>
        <v>21697</v>
      </c>
      <c r="D5659" s="9" t="str">
        <f>IFERROR(__xludf.DUMMYFUNCTION("""COMPUTED_VALUE"""),"Completed")</f>
        <v>Completed</v>
      </c>
    </row>
    <row r="5660">
      <c r="A5660" s="9" t="str">
        <f>IFERROR(__xludf.DUMMYFUNCTION("""COMPUTED_VALUE"""),"G-REQ-05659")</f>
        <v>G-REQ-05659</v>
      </c>
      <c r="B5660" s="11">
        <f>IFERROR(__xludf.DUMMYFUNCTION("""COMPUTED_VALUE"""),46164.092692025166)</f>
        <v>46164.09269</v>
      </c>
      <c r="C5660" s="9">
        <f>IFERROR(__xludf.DUMMYFUNCTION("""COMPUTED_VALUE"""),21701.0)</f>
        <v>21701</v>
      </c>
      <c r="D5660" s="9" t="str">
        <f>IFERROR(__xludf.DUMMYFUNCTION("""COMPUTED_VALUE"""),"Completed")</f>
        <v>Completed</v>
      </c>
    </row>
    <row r="5661">
      <c r="A5661" s="9" t="str">
        <f>IFERROR(__xludf.DUMMYFUNCTION("""COMPUTED_VALUE"""),"G-REQ-05660")</f>
        <v>G-REQ-05660</v>
      </c>
      <c r="B5661" s="11">
        <f>IFERROR(__xludf.DUMMYFUNCTION("""COMPUTED_VALUE"""),46164.163866870585)</f>
        <v>46164.16387</v>
      </c>
      <c r="C5661" s="9">
        <f>IFERROR(__xludf.DUMMYFUNCTION("""COMPUTED_VALUE"""),21705.0)</f>
        <v>21705</v>
      </c>
      <c r="D5661" s="9" t="str">
        <f>IFERROR(__xludf.DUMMYFUNCTION("""COMPUTED_VALUE"""),"Completed")</f>
        <v>Completed</v>
      </c>
    </row>
    <row r="5662">
      <c r="A5662" s="9" t="str">
        <f>IFERROR(__xludf.DUMMYFUNCTION("""COMPUTED_VALUE"""),"G-REQ-05661")</f>
        <v>G-REQ-05661</v>
      </c>
      <c r="B5662" s="11">
        <f>IFERROR(__xludf.DUMMYFUNCTION("""COMPUTED_VALUE"""),46164.235041716)</f>
        <v>46164.23504</v>
      </c>
      <c r="C5662" s="9">
        <f>IFERROR(__xludf.DUMMYFUNCTION("""COMPUTED_VALUE"""),21709.0)</f>
        <v>21709</v>
      </c>
      <c r="D5662" s="9" t="str">
        <f>IFERROR(__xludf.DUMMYFUNCTION("""COMPUTED_VALUE"""),"Completed")</f>
        <v>Completed</v>
      </c>
    </row>
    <row r="5663">
      <c r="A5663" s="9" t="str">
        <f>IFERROR(__xludf.DUMMYFUNCTION("""COMPUTED_VALUE"""),"G-REQ-05662")</f>
        <v>G-REQ-05662</v>
      </c>
      <c r="B5663" s="11">
        <f>IFERROR(__xludf.DUMMYFUNCTION("""COMPUTED_VALUE"""),46164.30621656141)</f>
        <v>46164.30622</v>
      </c>
      <c r="C5663" s="9">
        <f>IFERROR(__xludf.DUMMYFUNCTION("""COMPUTED_VALUE"""),21713.0)</f>
        <v>21713</v>
      </c>
      <c r="D5663" s="9" t="str">
        <f>IFERROR(__xludf.DUMMYFUNCTION("""COMPUTED_VALUE"""),"Completed")</f>
        <v>Completed</v>
      </c>
    </row>
    <row r="5664">
      <c r="A5664" s="9" t="str">
        <f>IFERROR(__xludf.DUMMYFUNCTION("""COMPUTED_VALUE"""),"G-REQ-05663")</f>
        <v>G-REQ-05663</v>
      </c>
      <c r="B5664" s="11">
        <f>IFERROR(__xludf.DUMMYFUNCTION("""COMPUTED_VALUE"""),46164.37739140683)</f>
        <v>46164.37739</v>
      </c>
      <c r="C5664" s="9">
        <f>IFERROR(__xludf.DUMMYFUNCTION("""COMPUTED_VALUE"""),21717.0)</f>
        <v>21717</v>
      </c>
      <c r="D5664" s="9" t="str">
        <f>IFERROR(__xludf.DUMMYFUNCTION("""COMPUTED_VALUE"""),"Completed")</f>
        <v>Completed</v>
      </c>
    </row>
    <row r="5665">
      <c r="A5665" s="9" t="str">
        <f>IFERROR(__xludf.DUMMYFUNCTION("""COMPUTED_VALUE"""),"G-REQ-05664")</f>
        <v>G-REQ-05664</v>
      </c>
      <c r="B5665" s="11">
        <f>IFERROR(__xludf.DUMMYFUNCTION("""COMPUTED_VALUE"""),46164.44856625224)</f>
        <v>46164.44857</v>
      </c>
      <c r="C5665" s="9">
        <f>IFERROR(__xludf.DUMMYFUNCTION("""COMPUTED_VALUE"""),21721.0)</f>
        <v>21721</v>
      </c>
      <c r="D5665" s="9" t="str">
        <f>IFERROR(__xludf.DUMMYFUNCTION("""COMPUTED_VALUE"""),"Completed")</f>
        <v>Completed</v>
      </c>
    </row>
    <row r="5666">
      <c r="A5666" s="9" t="str">
        <f>IFERROR(__xludf.DUMMYFUNCTION("""COMPUTED_VALUE"""),"G-REQ-05665")</f>
        <v>G-REQ-05665</v>
      </c>
      <c r="B5666" s="11">
        <f>IFERROR(__xludf.DUMMYFUNCTION("""COMPUTED_VALUE"""),46164.519741097654)</f>
        <v>46164.51974</v>
      </c>
      <c r="C5666" s="9">
        <f>IFERROR(__xludf.DUMMYFUNCTION("""COMPUTED_VALUE"""),21725.0)</f>
        <v>21725</v>
      </c>
      <c r="D5666" s="9" t="str">
        <f>IFERROR(__xludf.DUMMYFUNCTION("""COMPUTED_VALUE"""),"Completed")</f>
        <v>Completed</v>
      </c>
    </row>
    <row r="5667">
      <c r="A5667" s="9" t="str">
        <f>IFERROR(__xludf.DUMMYFUNCTION("""COMPUTED_VALUE"""),"G-REQ-05666")</f>
        <v>G-REQ-05666</v>
      </c>
      <c r="B5667" s="11">
        <f>IFERROR(__xludf.DUMMYFUNCTION("""COMPUTED_VALUE"""),46164.590915943074)</f>
        <v>46164.59092</v>
      </c>
      <c r="C5667" s="9">
        <f>IFERROR(__xludf.DUMMYFUNCTION("""COMPUTED_VALUE"""),21729.0)</f>
        <v>21729</v>
      </c>
      <c r="D5667" s="9" t="str">
        <f>IFERROR(__xludf.DUMMYFUNCTION("""COMPUTED_VALUE"""),"Completed")</f>
        <v>Completed</v>
      </c>
    </row>
    <row r="5668">
      <c r="A5668" s="9" t="str">
        <f>IFERROR(__xludf.DUMMYFUNCTION("""COMPUTED_VALUE"""),"G-REQ-05667")</f>
        <v>G-REQ-05667</v>
      </c>
      <c r="B5668" s="11">
        <f>IFERROR(__xludf.DUMMYFUNCTION("""COMPUTED_VALUE"""),46164.662090788486)</f>
        <v>46164.66209</v>
      </c>
      <c r="C5668" s="9">
        <f>IFERROR(__xludf.DUMMYFUNCTION("""COMPUTED_VALUE"""),21733.0)</f>
        <v>21733</v>
      </c>
      <c r="D5668" s="9" t="str">
        <f>IFERROR(__xludf.DUMMYFUNCTION("""COMPUTED_VALUE"""),"Completed")</f>
        <v>Completed</v>
      </c>
    </row>
    <row r="5669">
      <c r="A5669" s="9" t="str">
        <f>IFERROR(__xludf.DUMMYFUNCTION("""COMPUTED_VALUE"""),"G-REQ-05668")</f>
        <v>G-REQ-05668</v>
      </c>
      <c r="B5669" s="11">
        <f>IFERROR(__xludf.DUMMYFUNCTION("""COMPUTED_VALUE"""),46164.72632118945)</f>
        <v>46164.72632</v>
      </c>
      <c r="C5669" s="9">
        <f>IFERROR(__xludf.DUMMYFUNCTION("""COMPUTED_VALUE"""),21735.0)</f>
        <v>21735</v>
      </c>
      <c r="D5669" s="9" t="str">
        <f>IFERROR(__xludf.DUMMYFUNCTION("""COMPUTED_VALUE"""),"Cancelled")</f>
        <v>Cancelled</v>
      </c>
    </row>
    <row r="5670">
      <c r="A5670" s="9" t="str">
        <f>IFERROR(__xludf.DUMMYFUNCTION("""COMPUTED_VALUE"""),"G-REQ-05669")</f>
        <v>G-REQ-05669</v>
      </c>
      <c r="B5670" s="11">
        <f>IFERROR(__xludf.DUMMYFUNCTION("""COMPUTED_VALUE"""),46164.80444047932)</f>
        <v>46164.80444</v>
      </c>
      <c r="C5670" s="9">
        <f>IFERROR(__xludf.DUMMYFUNCTION("""COMPUTED_VALUE"""),21739.0)</f>
        <v>21739</v>
      </c>
      <c r="D5670" s="9" t="str">
        <f>IFERROR(__xludf.DUMMYFUNCTION("""COMPUTED_VALUE"""),"Completed")</f>
        <v>Completed</v>
      </c>
    </row>
    <row r="5671">
      <c r="A5671" s="9" t="str">
        <f>IFERROR(__xludf.DUMMYFUNCTION("""COMPUTED_VALUE"""),"G-REQ-05670")</f>
        <v>G-REQ-05670</v>
      </c>
      <c r="B5671" s="11">
        <f>IFERROR(__xludf.DUMMYFUNCTION("""COMPUTED_VALUE"""),46164.87561532474)</f>
        <v>46164.87562</v>
      </c>
      <c r="C5671" s="9">
        <f>IFERROR(__xludf.DUMMYFUNCTION("""COMPUTED_VALUE"""),21743.0)</f>
        <v>21743</v>
      </c>
      <c r="D5671" s="9" t="str">
        <f>IFERROR(__xludf.DUMMYFUNCTION("""COMPUTED_VALUE"""),"Completed")</f>
        <v>Completed</v>
      </c>
    </row>
    <row r="5672">
      <c r="A5672" s="9" t="str">
        <f>IFERROR(__xludf.DUMMYFUNCTION("""COMPUTED_VALUE"""),"G-REQ-05671")</f>
        <v>G-REQ-05671</v>
      </c>
      <c r="B5672" s="11">
        <f>IFERROR(__xludf.DUMMYFUNCTION("""COMPUTED_VALUE"""),46164.94679017014)</f>
        <v>46164.94679</v>
      </c>
      <c r="C5672" s="9">
        <f>IFERROR(__xludf.DUMMYFUNCTION("""COMPUTED_VALUE"""),21747.0)</f>
        <v>21747</v>
      </c>
      <c r="D5672" s="9" t="str">
        <f>IFERROR(__xludf.DUMMYFUNCTION("""COMPUTED_VALUE"""),"Completed")</f>
        <v>Completed</v>
      </c>
    </row>
    <row r="5673">
      <c r="A5673" s="9" t="str">
        <f>IFERROR(__xludf.DUMMYFUNCTION("""COMPUTED_VALUE"""),"G-REQ-05672")</f>
        <v>G-REQ-05672</v>
      </c>
      <c r="B5673" s="11">
        <f>IFERROR(__xludf.DUMMYFUNCTION("""COMPUTED_VALUE"""),46165.01796501556)</f>
        <v>46165.01797</v>
      </c>
      <c r="C5673" s="9">
        <f>IFERROR(__xludf.DUMMYFUNCTION("""COMPUTED_VALUE"""),21751.0)</f>
        <v>21751</v>
      </c>
      <c r="D5673" s="9" t="str">
        <f>IFERROR(__xludf.DUMMYFUNCTION("""COMPUTED_VALUE"""),"Completed")</f>
        <v>Completed</v>
      </c>
    </row>
    <row r="5674">
      <c r="A5674" s="9" t="str">
        <f>IFERROR(__xludf.DUMMYFUNCTION("""COMPUTED_VALUE"""),"G-REQ-05673")</f>
        <v>G-REQ-05673</v>
      </c>
      <c r="B5674" s="11">
        <f>IFERROR(__xludf.DUMMYFUNCTION("""COMPUTED_VALUE"""),46165.08913986098)</f>
        <v>46165.08914</v>
      </c>
      <c r="C5674" s="9">
        <f>IFERROR(__xludf.DUMMYFUNCTION("""COMPUTED_VALUE"""),21755.0)</f>
        <v>21755</v>
      </c>
      <c r="D5674" s="9" t="str">
        <f>IFERROR(__xludf.DUMMYFUNCTION("""COMPUTED_VALUE"""),"Completed")</f>
        <v>Completed</v>
      </c>
    </row>
    <row r="5675">
      <c r="A5675" s="9" t="str">
        <f>IFERROR(__xludf.DUMMYFUNCTION("""COMPUTED_VALUE"""),"G-REQ-05674")</f>
        <v>G-REQ-05674</v>
      </c>
      <c r="B5675" s="11">
        <f>IFERROR(__xludf.DUMMYFUNCTION("""COMPUTED_VALUE"""),46165.160314706394)</f>
        <v>46165.16031</v>
      </c>
      <c r="C5675" s="9">
        <f>IFERROR(__xludf.DUMMYFUNCTION("""COMPUTED_VALUE"""),21759.0)</f>
        <v>21759</v>
      </c>
      <c r="D5675" s="9" t="str">
        <f>IFERROR(__xludf.DUMMYFUNCTION("""COMPUTED_VALUE"""),"Completed")</f>
        <v>Completed</v>
      </c>
    </row>
    <row r="5676">
      <c r="A5676" s="9" t="str">
        <f>IFERROR(__xludf.DUMMYFUNCTION("""COMPUTED_VALUE"""),"G-REQ-05675")</f>
        <v>G-REQ-05675</v>
      </c>
      <c r="B5676" s="11">
        <f>IFERROR(__xludf.DUMMYFUNCTION("""COMPUTED_VALUE"""),46165.23148955181)</f>
        <v>46165.23149</v>
      </c>
      <c r="C5676" s="9">
        <f>IFERROR(__xludf.DUMMYFUNCTION("""COMPUTED_VALUE"""),21763.0)</f>
        <v>21763</v>
      </c>
      <c r="D5676" s="9" t="str">
        <f>IFERROR(__xludf.DUMMYFUNCTION("""COMPUTED_VALUE"""),"Completed")</f>
        <v>Completed</v>
      </c>
    </row>
    <row r="5677">
      <c r="A5677" s="9" t="str">
        <f>IFERROR(__xludf.DUMMYFUNCTION("""COMPUTED_VALUE"""),"G-REQ-05676")</f>
        <v>G-REQ-05676</v>
      </c>
      <c r="B5677" s="11">
        <f>IFERROR(__xludf.DUMMYFUNCTION("""COMPUTED_VALUE"""),46165.302664397226)</f>
        <v>46165.30266</v>
      </c>
      <c r="C5677" s="9">
        <f>IFERROR(__xludf.DUMMYFUNCTION("""COMPUTED_VALUE"""),21767.0)</f>
        <v>21767</v>
      </c>
      <c r="D5677" s="9" t="str">
        <f>IFERROR(__xludf.DUMMYFUNCTION("""COMPUTED_VALUE"""),"Completed")</f>
        <v>Completed</v>
      </c>
    </row>
    <row r="5678">
      <c r="A5678" s="9" t="str">
        <f>IFERROR(__xludf.DUMMYFUNCTION("""COMPUTED_VALUE"""),"G-REQ-05677")</f>
        <v>G-REQ-05677</v>
      </c>
      <c r="B5678" s="11">
        <f>IFERROR(__xludf.DUMMYFUNCTION("""COMPUTED_VALUE"""),46165.37383924264)</f>
        <v>46165.37384</v>
      </c>
      <c r="C5678" s="9">
        <f>IFERROR(__xludf.DUMMYFUNCTION("""COMPUTED_VALUE"""),21771.0)</f>
        <v>21771</v>
      </c>
      <c r="D5678" s="9" t="str">
        <f>IFERROR(__xludf.DUMMYFUNCTION("""COMPUTED_VALUE"""),"Completed")</f>
        <v>Completed</v>
      </c>
    </row>
    <row r="5679">
      <c r="A5679" s="9" t="str">
        <f>IFERROR(__xludf.DUMMYFUNCTION("""COMPUTED_VALUE"""),"G-REQ-05678")</f>
        <v>G-REQ-05678</v>
      </c>
      <c r="B5679" s="11">
        <f>IFERROR(__xludf.DUMMYFUNCTION("""COMPUTED_VALUE"""),46165.44501408805)</f>
        <v>46165.44501</v>
      </c>
      <c r="C5679" s="9">
        <f>IFERROR(__xludf.DUMMYFUNCTION("""COMPUTED_VALUE"""),21775.0)</f>
        <v>21775</v>
      </c>
      <c r="D5679" s="9" t="str">
        <f>IFERROR(__xludf.DUMMYFUNCTION("""COMPUTED_VALUE"""),"Completed")</f>
        <v>Completed</v>
      </c>
    </row>
    <row r="5680">
      <c r="A5680" s="9" t="str">
        <f>IFERROR(__xludf.DUMMYFUNCTION("""COMPUTED_VALUE"""),"G-REQ-05679")</f>
        <v>G-REQ-05679</v>
      </c>
      <c r="B5680" s="11">
        <f>IFERROR(__xludf.DUMMYFUNCTION("""COMPUTED_VALUE"""),46165.51618893347)</f>
        <v>46165.51619</v>
      </c>
      <c r="C5680" s="9">
        <f>IFERROR(__xludf.DUMMYFUNCTION("""COMPUTED_VALUE"""),21779.0)</f>
        <v>21779</v>
      </c>
      <c r="D5680" s="9" t="str">
        <f>IFERROR(__xludf.DUMMYFUNCTION("""COMPUTED_VALUE"""),"Completed")</f>
        <v>Completed</v>
      </c>
    </row>
    <row r="5681">
      <c r="A5681" s="9" t="str">
        <f>IFERROR(__xludf.DUMMYFUNCTION("""COMPUTED_VALUE"""),"G-REQ-05680")</f>
        <v>G-REQ-05680</v>
      </c>
      <c r="B5681" s="11">
        <f>IFERROR(__xludf.DUMMYFUNCTION("""COMPUTED_VALUE"""),46165.58736377889)</f>
        <v>46165.58736</v>
      </c>
      <c r="C5681" s="9">
        <f>IFERROR(__xludf.DUMMYFUNCTION("""COMPUTED_VALUE"""),21783.0)</f>
        <v>21783</v>
      </c>
      <c r="D5681" s="9" t="str">
        <f>IFERROR(__xludf.DUMMYFUNCTION("""COMPUTED_VALUE"""),"Completed")</f>
        <v>Completed</v>
      </c>
    </row>
    <row r="5682">
      <c r="A5682" s="9" t="str">
        <f>IFERROR(__xludf.DUMMYFUNCTION("""COMPUTED_VALUE"""),"G-REQ-05681")</f>
        <v>G-REQ-05681</v>
      </c>
      <c r="B5682" s="11">
        <f>IFERROR(__xludf.DUMMYFUNCTION("""COMPUTED_VALUE"""),46165.658538624295)</f>
        <v>46165.65854</v>
      </c>
      <c r="C5682" s="9">
        <f>IFERROR(__xludf.DUMMYFUNCTION("""COMPUTED_VALUE"""),21787.0)</f>
        <v>21787</v>
      </c>
      <c r="D5682" s="9" t="str">
        <f>IFERROR(__xludf.DUMMYFUNCTION("""COMPUTED_VALUE"""),"Completed")</f>
        <v>Completed</v>
      </c>
    </row>
    <row r="5683">
      <c r="A5683" s="9" t="str">
        <f>IFERROR(__xludf.DUMMYFUNCTION("""COMPUTED_VALUE"""),"G-REQ-05682")</f>
        <v>G-REQ-05682</v>
      </c>
      <c r="B5683" s="11">
        <f>IFERROR(__xludf.DUMMYFUNCTION("""COMPUTED_VALUE"""),46165.72276902527)</f>
        <v>46165.72277</v>
      </c>
      <c r="C5683" s="9">
        <f>IFERROR(__xludf.DUMMYFUNCTION("""COMPUTED_VALUE"""),21789.0)</f>
        <v>21789</v>
      </c>
      <c r="D5683" s="9" t="str">
        <f>IFERROR(__xludf.DUMMYFUNCTION("""COMPUTED_VALUE"""),"Cancelled")</f>
        <v>Cancelled</v>
      </c>
    </row>
    <row r="5684">
      <c r="A5684" s="9" t="str">
        <f>IFERROR(__xludf.DUMMYFUNCTION("""COMPUTED_VALUE"""),"G-REQ-05683")</f>
        <v>G-REQ-05683</v>
      </c>
      <c r="B5684" s="11">
        <f>IFERROR(__xludf.DUMMYFUNCTION("""COMPUTED_VALUE"""),46165.80088831513)</f>
        <v>46165.80089</v>
      </c>
      <c r="C5684" s="9">
        <f>IFERROR(__xludf.DUMMYFUNCTION("""COMPUTED_VALUE"""),21793.0)</f>
        <v>21793</v>
      </c>
      <c r="D5684" s="9" t="str">
        <f>IFERROR(__xludf.DUMMYFUNCTION("""COMPUTED_VALUE"""),"Completed")</f>
        <v>Completed</v>
      </c>
    </row>
    <row r="5685">
      <c r="A5685" s="9" t="str">
        <f>IFERROR(__xludf.DUMMYFUNCTION("""COMPUTED_VALUE"""),"G-REQ-05684")</f>
        <v>G-REQ-05684</v>
      </c>
      <c r="B5685" s="11">
        <f>IFERROR(__xludf.DUMMYFUNCTION("""COMPUTED_VALUE"""),46165.87206316055)</f>
        <v>46165.87206</v>
      </c>
      <c r="C5685" s="9">
        <f>IFERROR(__xludf.DUMMYFUNCTION("""COMPUTED_VALUE"""),21797.0)</f>
        <v>21797</v>
      </c>
      <c r="D5685" s="9" t="str">
        <f>IFERROR(__xludf.DUMMYFUNCTION("""COMPUTED_VALUE"""),"Completed")</f>
        <v>Completed</v>
      </c>
    </row>
    <row r="5686">
      <c r="A5686" s="9" t="str">
        <f>IFERROR(__xludf.DUMMYFUNCTION("""COMPUTED_VALUE"""),"G-REQ-05685")</f>
        <v>G-REQ-05685</v>
      </c>
      <c r="B5686" s="11">
        <f>IFERROR(__xludf.DUMMYFUNCTION("""COMPUTED_VALUE"""),46165.94323800596)</f>
        <v>46165.94324</v>
      </c>
      <c r="C5686" s="9">
        <f>IFERROR(__xludf.DUMMYFUNCTION("""COMPUTED_VALUE"""),21801.0)</f>
        <v>21801</v>
      </c>
      <c r="D5686" s="9" t="str">
        <f>IFERROR(__xludf.DUMMYFUNCTION("""COMPUTED_VALUE"""),"Completed")</f>
        <v>Completed</v>
      </c>
    </row>
    <row r="5687">
      <c r="A5687" s="9" t="str">
        <f>IFERROR(__xludf.DUMMYFUNCTION("""COMPUTED_VALUE"""),"G-REQ-05686")</f>
        <v>G-REQ-05686</v>
      </c>
      <c r="B5687" s="11">
        <f>IFERROR(__xludf.DUMMYFUNCTION("""COMPUTED_VALUE"""),46166.01441285138)</f>
        <v>46166.01441</v>
      </c>
      <c r="C5687" s="9">
        <f>IFERROR(__xludf.DUMMYFUNCTION("""COMPUTED_VALUE"""),21805.0)</f>
        <v>21805</v>
      </c>
      <c r="D5687" s="9" t="str">
        <f>IFERROR(__xludf.DUMMYFUNCTION("""COMPUTED_VALUE"""),"Completed")</f>
        <v>Completed</v>
      </c>
    </row>
    <row r="5688">
      <c r="A5688" s="9" t="str">
        <f>IFERROR(__xludf.DUMMYFUNCTION("""COMPUTED_VALUE"""),"G-REQ-05687")</f>
        <v>G-REQ-05687</v>
      </c>
      <c r="B5688" s="11">
        <f>IFERROR(__xludf.DUMMYFUNCTION("""COMPUTED_VALUE"""),46166.08558769678)</f>
        <v>46166.08559</v>
      </c>
      <c r="C5688" s="9">
        <f>IFERROR(__xludf.DUMMYFUNCTION("""COMPUTED_VALUE"""),21809.0)</f>
        <v>21809</v>
      </c>
      <c r="D5688" s="9" t="str">
        <f>IFERROR(__xludf.DUMMYFUNCTION("""COMPUTED_VALUE"""),"Completed")</f>
        <v>Completed</v>
      </c>
    </row>
    <row r="5689">
      <c r="A5689" s="9" t="str">
        <f>IFERROR(__xludf.DUMMYFUNCTION("""COMPUTED_VALUE"""),"G-REQ-05688")</f>
        <v>G-REQ-05688</v>
      </c>
      <c r="B5689" s="11">
        <f>IFERROR(__xludf.DUMMYFUNCTION("""COMPUTED_VALUE"""),46166.14981809776)</f>
        <v>46166.14982</v>
      </c>
      <c r="C5689" s="9">
        <f>IFERROR(__xludf.DUMMYFUNCTION("""COMPUTED_VALUE"""),21811.0)</f>
        <v>21811</v>
      </c>
      <c r="D5689" s="9" t="str">
        <f>IFERROR(__xludf.DUMMYFUNCTION("""COMPUTED_VALUE"""),"Cancelled")</f>
        <v>Cancelled</v>
      </c>
    </row>
    <row r="5690">
      <c r="A5690" s="9" t="str">
        <f>IFERROR(__xludf.DUMMYFUNCTION("""COMPUTED_VALUE"""),"G-REQ-05689")</f>
        <v>G-REQ-05689</v>
      </c>
      <c r="B5690" s="11">
        <f>IFERROR(__xludf.DUMMYFUNCTION("""COMPUTED_VALUE"""),46166.22793738762)</f>
        <v>46166.22794</v>
      </c>
      <c r="C5690" s="9">
        <f>IFERROR(__xludf.DUMMYFUNCTION("""COMPUTED_VALUE"""),21815.0)</f>
        <v>21815</v>
      </c>
      <c r="D5690" s="9" t="str">
        <f>IFERROR(__xludf.DUMMYFUNCTION("""COMPUTED_VALUE"""),"Completed")</f>
        <v>Completed</v>
      </c>
    </row>
    <row r="5691">
      <c r="A5691" s="9" t="str">
        <f>IFERROR(__xludf.DUMMYFUNCTION("""COMPUTED_VALUE"""),"G-REQ-05690")</f>
        <v>G-REQ-05690</v>
      </c>
      <c r="B5691" s="11">
        <f>IFERROR(__xludf.DUMMYFUNCTION("""COMPUTED_VALUE"""),46166.299112233035)</f>
        <v>46166.29911</v>
      </c>
      <c r="C5691" s="9">
        <f>IFERROR(__xludf.DUMMYFUNCTION("""COMPUTED_VALUE"""),21819.0)</f>
        <v>21819</v>
      </c>
      <c r="D5691" s="9" t="str">
        <f>IFERROR(__xludf.DUMMYFUNCTION("""COMPUTED_VALUE"""),"Completed")</f>
        <v>Completed</v>
      </c>
    </row>
    <row r="5692">
      <c r="A5692" s="9" t="str">
        <f>IFERROR(__xludf.DUMMYFUNCTION("""COMPUTED_VALUE"""),"G-REQ-05691")</f>
        <v>G-REQ-05691</v>
      </c>
      <c r="B5692" s="11">
        <f>IFERROR(__xludf.DUMMYFUNCTION("""COMPUTED_VALUE"""),46166.37028707845)</f>
        <v>46166.37029</v>
      </c>
      <c r="C5692" s="9">
        <f>IFERROR(__xludf.DUMMYFUNCTION("""COMPUTED_VALUE"""),21823.0)</f>
        <v>21823</v>
      </c>
      <c r="D5692" s="9" t="str">
        <f>IFERROR(__xludf.DUMMYFUNCTION("""COMPUTED_VALUE"""),"Completed")</f>
        <v>Completed</v>
      </c>
    </row>
    <row r="5693">
      <c r="A5693" s="9" t="str">
        <f>IFERROR(__xludf.DUMMYFUNCTION("""COMPUTED_VALUE"""),"G-REQ-05692")</f>
        <v>G-REQ-05692</v>
      </c>
      <c r="B5693" s="11">
        <f>IFERROR(__xludf.DUMMYFUNCTION("""COMPUTED_VALUE"""),46166.44146192387)</f>
        <v>46166.44146</v>
      </c>
      <c r="C5693" s="9">
        <f>IFERROR(__xludf.DUMMYFUNCTION("""COMPUTED_VALUE"""),21827.0)</f>
        <v>21827</v>
      </c>
      <c r="D5693" s="9" t="str">
        <f>IFERROR(__xludf.DUMMYFUNCTION("""COMPUTED_VALUE"""),"Completed")</f>
        <v>Completed</v>
      </c>
    </row>
    <row r="5694">
      <c r="A5694" s="9" t="str">
        <f>IFERROR(__xludf.DUMMYFUNCTION("""COMPUTED_VALUE"""),"G-REQ-05693")</f>
        <v>G-REQ-05693</v>
      </c>
      <c r="B5694" s="11">
        <f>IFERROR(__xludf.DUMMYFUNCTION("""COMPUTED_VALUE"""),46166.51263676928)</f>
        <v>46166.51264</v>
      </c>
      <c r="C5694" s="9">
        <f>IFERROR(__xludf.DUMMYFUNCTION("""COMPUTED_VALUE"""),21831.0)</f>
        <v>21831</v>
      </c>
      <c r="D5694" s="9" t="str">
        <f>IFERROR(__xludf.DUMMYFUNCTION("""COMPUTED_VALUE"""),"Completed")</f>
        <v>Completed</v>
      </c>
    </row>
    <row r="5695">
      <c r="A5695" s="9" t="str">
        <f>IFERROR(__xludf.DUMMYFUNCTION("""COMPUTED_VALUE"""),"G-REQ-05694")</f>
        <v>G-REQ-05694</v>
      </c>
      <c r="B5695" s="11">
        <f>IFERROR(__xludf.DUMMYFUNCTION("""COMPUTED_VALUE"""),46166.576867170246)</f>
        <v>46166.57687</v>
      </c>
      <c r="C5695" s="9">
        <f>IFERROR(__xludf.DUMMYFUNCTION("""COMPUTED_VALUE"""),21833.0)</f>
        <v>21833</v>
      </c>
      <c r="D5695" s="9" t="str">
        <f>IFERROR(__xludf.DUMMYFUNCTION("""COMPUTED_VALUE"""),"Rejected")</f>
        <v>Rejected</v>
      </c>
    </row>
    <row r="5696">
      <c r="A5696" s="9" t="str">
        <f>IFERROR(__xludf.DUMMYFUNCTION("""COMPUTED_VALUE"""),"G-REQ-05695")</f>
        <v>G-REQ-05695</v>
      </c>
      <c r="B5696" s="11">
        <f>IFERROR(__xludf.DUMMYFUNCTION("""COMPUTED_VALUE"""),46166.648042015666)</f>
        <v>46166.64804</v>
      </c>
      <c r="C5696" s="9">
        <f>IFERROR(__xludf.DUMMYFUNCTION("""COMPUTED_VALUE"""),21835.0)</f>
        <v>21835</v>
      </c>
      <c r="D5696" s="9" t="str">
        <f>IFERROR(__xludf.DUMMYFUNCTION("""COMPUTED_VALUE"""),"Rejected")</f>
        <v>Rejected</v>
      </c>
    </row>
    <row r="5697">
      <c r="A5697" s="9" t="str">
        <f>IFERROR(__xludf.DUMMYFUNCTION("""COMPUTED_VALUE"""),"G-REQ-05696")</f>
        <v>G-REQ-05696</v>
      </c>
      <c r="B5697" s="11">
        <f>IFERROR(__xludf.DUMMYFUNCTION("""COMPUTED_VALUE"""),46166.72616130553)</f>
        <v>46166.72616</v>
      </c>
      <c r="C5697" s="9">
        <f>IFERROR(__xludf.DUMMYFUNCTION("""COMPUTED_VALUE"""),21839.0)</f>
        <v>21839</v>
      </c>
      <c r="D5697" s="9" t="str">
        <f>IFERROR(__xludf.DUMMYFUNCTION("""COMPUTED_VALUE"""),"Completed")</f>
        <v>Completed</v>
      </c>
    </row>
    <row r="5698">
      <c r="A5698" s="9" t="str">
        <f>IFERROR(__xludf.DUMMYFUNCTION("""COMPUTED_VALUE"""),"G-REQ-05697")</f>
        <v>G-REQ-05697</v>
      </c>
      <c r="B5698" s="11">
        <f>IFERROR(__xludf.DUMMYFUNCTION("""COMPUTED_VALUE"""),46166.797336150936)</f>
        <v>46166.79734</v>
      </c>
      <c r="C5698" s="9">
        <f>IFERROR(__xludf.DUMMYFUNCTION("""COMPUTED_VALUE"""),21843.0)</f>
        <v>21843</v>
      </c>
      <c r="D5698" s="9" t="str">
        <f>IFERROR(__xludf.DUMMYFUNCTION("""COMPUTED_VALUE"""),"Completed")</f>
        <v>Completed</v>
      </c>
    </row>
    <row r="5699">
      <c r="A5699" s="9" t="str">
        <f>IFERROR(__xludf.DUMMYFUNCTION("""COMPUTED_VALUE"""),"G-REQ-05698")</f>
        <v>G-REQ-05698</v>
      </c>
      <c r="B5699" s="11">
        <f>IFERROR(__xludf.DUMMYFUNCTION("""COMPUTED_VALUE"""),46166.868510996355)</f>
        <v>46166.86851</v>
      </c>
      <c r="C5699" s="9">
        <f>IFERROR(__xludf.DUMMYFUNCTION("""COMPUTED_VALUE"""),21847.0)</f>
        <v>21847</v>
      </c>
      <c r="D5699" s="9" t="str">
        <f>IFERROR(__xludf.DUMMYFUNCTION("""COMPUTED_VALUE"""),"Completed")</f>
        <v>Completed</v>
      </c>
    </row>
    <row r="5700">
      <c r="A5700" s="9" t="str">
        <f>IFERROR(__xludf.DUMMYFUNCTION("""COMPUTED_VALUE"""),"G-REQ-05699")</f>
        <v>G-REQ-05699</v>
      </c>
      <c r="B5700" s="11">
        <f>IFERROR(__xludf.DUMMYFUNCTION("""COMPUTED_VALUE"""),46166.939685841775)</f>
        <v>46166.93969</v>
      </c>
      <c r="C5700" s="9">
        <f>IFERROR(__xludf.DUMMYFUNCTION("""COMPUTED_VALUE"""),21851.0)</f>
        <v>21851</v>
      </c>
      <c r="D5700" s="9" t="str">
        <f>IFERROR(__xludf.DUMMYFUNCTION("""COMPUTED_VALUE"""),"Completed")</f>
        <v>Completed</v>
      </c>
    </row>
    <row r="5701">
      <c r="A5701" s="9" t="str">
        <f>IFERROR(__xludf.DUMMYFUNCTION("""COMPUTED_VALUE"""),"G-REQ-05700")</f>
        <v>G-REQ-05700</v>
      </c>
      <c r="B5701" s="11">
        <f>IFERROR(__xludf.DUMMYFUNCTION("""COMPUTED_VALUE"""),46167.01086068719)</f>
        <v>46167.01086</v>
      </c>
      <c r="C5701" s="9">
        <f>IFERROR(__xludf.DUMMYFUNCTION("""COMPUTED_VALUE"""),21855.0)</f>
        <v>21855</v>
      </c>
      <c r="D5701" s="9" t="str">
        <f>IFERROR(__xludf.DUMMYFUNCTION("""COMPUTED_VALUE"""),"Completed")</f>
        <v>Completed</v>
      </c>
    </row>
    <row r="5702">
      <c r="A5702" s="9" t="str">
        <f>IFERROR(__xludf.DUMMYFUNCTION("""COMPUTED_VALUE"""),"G-REQ-05701")</f>
        <v>G-REQ-05701</v>
      </c>
      <c r="B5702" s="11">
        <f>IFERROR(__xludf.DUMMYFUNCTION("""COMPUTED_VALUE"""),46167.0820355326)</f>
        <v>46167.08204</v>
      </c>
      <c r="C5702" s="9">
        <f>IFERROR(__xludf.DUMMYFUNCTION("""COMPUTED_VALUE"""),21859.0)</f>
        <v>21859</v>
      </c>
      <c r="D5702" s="9" t="str">
        <f>IFERROR(__xludf.DUMMYFUNCTION("""COMPUTED_VALUE"""),"Completed")</f>
        <v>Completed</v>
      </c>
    </row>
    <row r="5703">
      <c r="A5703" s="9" t="str">
        <f>IFERROR(__xludf.DUMMYFUNCTION("""COMPUTED_VALUE"""),"G-REQ-05702")</f>
        <v>G-REQ-05702</v>
      </c>
      <c r="B5703" s="11">
        <f>IFERROR(__xludf.DUMMYFUNCTION("""COMPUTED_VALUE"""),46167.15321037802)</f>
        <v>46167.15321</v>
      </c>
      <c r="C5703" s="9">
        <f>IFERROR(__xludf.DUMMYFUNCTION("""COMPUTED_VALUE"""),21863.0)</f>
        <v>21863</v>
      </c>
      <c r="D5703" s="9" t="str">
        <f>IFERROR(__xludf.DUMMYFUNCTION("""COMPUTED_VALUE"""),"Completed")</f>
        <v>Completed</v>
      </c>
    </row>
    <row r="5704">
      <c r="A5704" s="9" t="str">
        <f>IFERROR(__xludf.DUMMYFUNCTION("""COMPUTED_VALUE"""),"G-REQ-05703")</f>
        <v>G-REQ-05703</v>
      </c>
      <c r="B5704" s="11">
        <f>IFERROR(__xludf.DUMMYFUNCTION("""COMPUTED_VALUE"""),46167.22438522343)</f>
        <v>46167.22439</v>
      </c>
      <c r="C5704" s="9">
        <f>IFERROR(__xludf.DUMMYFUNCTION("""COMPUTED_VALUE"""),21867.0)</f>
        <v>21867</v>
      </c>
      <c r="D5704" s="9" t="str">
        <f>IFERROR(__xludf.DUMMYFUNCTION("""COMPUTED_VALUE"""),"Completed")</f>
        <v>Completed</v>
      </c>
    </row>
    <row r="5705">
      <c r="A5705" s="9" t="str">
        <f>IFERROR(__xludf.DUMMYFUNCTION("""COMPUTED_VALUE"""),"G-REQ-05704")</f>
        <v>G-REQ-05704</v>
      </c>
      <c r="B5705" s="11">
        <f>IFERROR(__xludf.DUMMYFUNCTION("""COMPUTED_VALUE"""),46167.295560068844)</f>
        <v>46167.29556</v>
      </c>
      <c r="C5705" s="9">
        <f>IFERROR(__xludf.DUMMYFUNCTION("""COMPUTED_VALUE"""),21871.0)</f>
        <v>21871</v>
      </c>
      <c r="D5705" s="9" t="str">
        <f>IFERROR(__xludf.DUMMYFUNCTION("""COMPUTED_VALUE"""),"Completed")</f>
        <v>Completed</v>
      </c>
    </row>
    <row r="5706">
      <c r="A5706" s="9" t="str">
        <f>IFERROR(__xludf.DUMMYFUNCTION("""COMPUTED_VALUE"""),"G-REQ-05705")</f>
        <v>G-REQ-05705</v>
      </c>
      <c r="B5706" s="11">
        <f>IFERROR(__xludf.DUMMYFUNCTION("""COMPUTED_VALUE"""),46167.36673491426)</f>
        <v>46167.36673</v>
      </c>
      <c r="C5706" s="9">
        <f>IFERROR(__xludf.DUMMYFUNCTION("""COMPUTED_VALUE"""),21875.0)</f>
        <v>21875</v>
      </c>
      <c r="D5706" s="9" t="str">
        <f>IFERROR(__xludf.DUMMYFUNCTION("""COMPUTED_VALUE"""),"Completed")</f>
        <v>Completed</v>
      </c>
    </row>
    <row r="5707">
      <c r="A5707" s="9" t="str">
        <f>IFERROR(__xludf.DUMMYFUNCTION("""COMPUTED_VALUE"""),"G-REQ-05706")</f>
        <v>G-REQ-05706</v>
      </c>
      <c r="B5707" s="11">
        <f>IFERROR(__xludf.DUMMYFUNCTION("""COMPUTED_VALUE"""),46167.437909759676)</f>
        <v>46167.43791</v>
      </c>
      <c r="C5707" s="9">
        <f>IFERROR(__xludf.DUMMYFUNCTION("""COMPUTED_VALUE"""),21879.0)</f>
        <v>21879</v>
      </c>
      <c r="D5707" s="9" t="str">
        <f>IFERROR(__xludf.DUMMYFUNCTION("""COMPUTED_VALUE"""),"Completed")</f>
        <v>Completed</v>
      </c>
    </row>
    <row r="5708">
      <c r="A5708" s="9" t="str">
        <f>IFERROR(__xludf.DUMMYFUNCTION("""COMPUTED_VALUE"""),"G-REQ-05707")</f>
        <v>G-REQ-05707</v>
      </c>
      <c r="B5708" s="11">
        <f>IFERROR(__xludf.DUMMYFUNCTION("""COMPUTED_VALUE"""),46167.50908460509)</f>
        <v>46167.50908</v>
      </c>
      <c r="C5708" s="9">
        <f>IFERROR(__xludf.DUMMYFUNCTION("""COMPUTED_VALUE"""),21883.0)</f>
        <v>21883</v>
      </c>
      <c r="D5708" s="9" t="str">
        <f>IFERROR(__xludf.DUMMYFUNCTION("""COMPUTED_VALUE"""),"Completed")</f>
        <v>Completed</v>
      </c>
    </row>
    <row r="5709">
      <c r="A5709" s="9" t="str">
        <f>IFERROR(__xludf.DUMMYFUNCTION("""COMPUTED_VALUE"""),"G-REQ-05708")</f>
        <v>G-REQ-05708</v>
      </c>
      <c r="B5709" s="11">
        <f>IFERROR(__xludf.DUMMYFUNCTION("""COMPUTED_VALUE"""),46167.57331500606)</f>
        <v>46167.57332</v>
      </c>
      <c r="C5709" s="9">
        <f>IFERROR(__xludf.DUMMYFUNCTION("""COMPUTED_VALUE"""),21885.0)</f>
        <v>21885</v>
      </c>
      <c r="D5709" s="9" t="str">
        <f>IFERROR(__xludf.DUMMYFUNCTION("""COMPUTED_VALUE"""),"Rejected")</f>
        <v>Rejected</v>
      </c>
    </row>
    <row r="5710">
      <c r="A5710" s="9" t="str">
        <f>IFERROR(__xludf.DUMMYFUNCTION("""COMPUTED_VALUE"""),"G-REQ-05709")</f>
        <v>G-REQ-05709</v>
      </c>
      <c r="B5710" s="11">
        <f>IFERROR(__xludf.DUMMYFUNCTION("""COMPUTED_VALUE"""),46167.65143429592)</f>
        <v>46167.65143</v>
      </c>
      <c r="C5710" s="9">
        <f>IFERROR(__xludf.DUMMYFUNCTION("""COMPUTED_VALUE"""),21889.0)</f>
        <v>21889</v>
      </c>
      <c r="D5710" s="9" t="str">
        <f>IFERROR(__xludf.DUMMYFUNCTION("""COMPUTED_VALUE"""),"Completed")</f>
        <v>Completed</v>
      </c>
    </row>
    <row r="5711">
      <c r="A5711" s="9" t="str">
        <f>IFERROR(__xludf.DUMMYFUNCTION("""COMPUTED_VALUE"""),"G-REQ-05710")</f>
        <v>G-REQ-05710</v>
      </c>
      <c r="B5711" s="11">
        <f>IFERROR(__xludf.DUMMYFUNCTION("""COMPUTED_VALUE"""),46167.72260914133)</f>
        <v>46167.72261</v>
      </c>
      <c r="C5711" s="9">
        <f>IFERROR(__xludf.DUMMYFUNCTION("""COMPUTED_VALUE"""),21893.0)</f>
        <v>21893</v>
      </c>
      <c r="D5711" s="9" t="str">
        <f>IFERROR(__xludf.DUMMYFUNCTION("""COMPUTED_VALUE"""),"Completed")</f>
        <v>Completed</v>
      </c>
    </row>
    <row r="5712">
      <c r="A5712" s="9" t="str">
        <f>IFERROR(__xludf.DUMMYFUNCTION("""COMPUTED_VALUE"""),"G-REQ-05711")</f>
        <v>G-REQ-05711</v>
      </c>
      <c r="B5712" s="11">
        <f>IFERROR(__xludf.DUMMYFUNCTION("""COMPUTED_VALUE"""),46167.79378398675)</f>
        <v>46167.79378</v>
      </c>
      <c r="C5712" s="9">
        <f>IFERROR(__xludf.DUMMYFUNCTION("""COMPUTED_VALUE"""),21897.0)</f>
        <v>21897</v>
      </c>
      <c r="D5712" s="9" t="str">
        <f>IFERROR(__xludf.DUMMYFUNCTION("""COMPUTED_VALUE"""),"Completed")</f>
        <v>Completed</v>
      </c>
    </row>
    <row r="5713">
      <c r="A5713" s="9" t="str">
        <f>IFERROR(__xludf.DUMMYFUNCTION("""COMPUTED_VALUE"""),"G-REQ-05712")</f>
        <v>G-REQ-05712</v>
      </c>
      <c r="B5713" s="11">
        <f>IFERROR(__xludf.DUMMYFUNCTION("""COMPUTED_VALUE"""),46167.86495883217)</f>
        <v>46167.86496</v>
      </c>
      <c r="C5713" s="9">
        <f>IFERROR(__xludf.DUMMYFUNCTION("""COMPUTED_VALUE"""),21901.0)</f>
        <v>21901</v>
      </c>
      <c r="D5713" s="9" t="str">
        <f>IFERROR(__xludf.DUMMYFUNCTION("""COMPUTED_VALUE"""),"Completed")</f>
        <v>Completed</v>
      </c>
    </row>
    <row r="5714">
      <c r="A5714" s="9" t="str">
        <f>IFERROR(__xludf.DUMMYFUNCTION("""COMPUTED_VALUE"""),"G-REQ-05713")</f>
        <v>G-REQ-05713</v>
      </c>
      <c r="B5714" s="11">
        <f>IFERROR(__xludf.DUMMYFUNCTION("""COMPUTED_VALUE"""),46167.92918923313)</f>
        <v>46167.92919</v>
      </c>
      <c r="C5714" s="9">
        <f>IFERROR(__xludf.DUMMYFUNCTION("""COMPUTED_VALUE"""),21903.0)</f>
        <v>21903</v>
      </c>
      <c r="D5714" s="9" t="str">
        <f>IFERROR(__xludf.DUMMYFUNCTION("""COMPUTED_VALUE"""),"Rejected")</f>
        <v>Rejected</v>
      </c>
    </row>
    <row r="5715">
      <c r="A5715" s="9" t="str">
        <f>IFERROR(__xludf.DUMMYFUNCTION("""COMPUTED_VALUE"""),"G-REQ-05714")</f>
        <v>G-REQ-05714</v>
      </c>
      <c r="B5715" s="11">
        <f>IFERROR(__xludf.DUMMYFUNCTION("""COMPUTED_VALUE"""),46168.007308522996)</f>
        <v>46168.00731</v>
      </c>
      <c r="C5715" s="9">
        <f>IFERROR(__xludf.DUMMYFUNCTION("""COMPUTED_VALUE"""),21907.0)</f>
        <v>21907</v>
      </c>
      <c r="D5715" s="9" t="str">
        <f>IFERROR(__xludf.DUMMYFUNCTION("""COMPUTED_VALUE"""),"Completed")</f>
        <v>Completed</v>
      </c>
    </row>
    <row r="5716">
      <c r="A5716" s="9" t="str">
        <f>IFERROR(__xludf.DUMMYFUNCTION("""COMPUTED_VALUE"""),"G-REQ-05715")</f>
        <v>G-REQ-05715</v>
      </c>
      <c r="B5716" s="11">
        <f>IFERROR(__xludf.DUMMYFUNCTION("""COMPUTED_VALUE"""),46168.078483368416)</f>
        <v>46168.07848</v>
      </c>
      <c r="C5716" s="9">
        <f>IFERROR(__xludf.DUMMYFUNCTION("""COMPUTED_VALUE"""),21911.0)</f>
        <v>21911</v>
      </c>
      <c r="D5716" s="9" t="str">
        <f>IFERROR(__xludf.DUMMYFUNCTION("""COMPUTED_VALUE"""),"Completed")</f>
        <v>Completed</v>
      </c>
    </row>
    <row r="5717">
      <c r="A5717" s="9" t="str">
        <f>IFERROR(__xludf.DUMMYFUNCTION("""COMPUTED_VALUE"""),"G-REQ-05716")</f>
        <v>G-REQ-05716</v>
      </c>
      <c r="B5717" s="11">
        <f>IFERROR(__xludf.DUMMYFUNCTION("""COMPUTED_VALUE"""),46168.14965821383)</f>
        <v>46168.14966</v>
      </c>
      <c r="C5717" s="9">
        <f>IFERROR(__xludf.DUMMYFUNCTION("""COMPUTED_VALUE"""),21915.0)</f>
        <v>21915</v>
      </c>
      <c r="D5717" s="9" t="str">
        <f>IFERROR(__xludf.DUMMYFUNCTION("""COMPUTED_VALUE"""),"Completed")</f>
        <v>Completed</v>
      </c>
    </row>
    <row r="5718">
      <c r="A5718" s="9" t="str">
        <f>IFERROR(__xludf.DUMMYFUNCTION("""COMPUTED_VALUE"""),"G-REQ-05717")</f>
        <v>G-REQ-05717</v>
      </c>
      <c r="B5718" s="11">
        <f>IFERROR(__xludf.DUMMYFUNCTION("""COMPUTED_VALUE"""),46168.22083305924)</f>
        <v>46168.22083</v>
      </c>
      <c r="C5718" s="9">
        <f>IFERROR(__xludf.DUMMYFUNCTION("""COMPUTED_VALUE"""),21919.0)</f>
        <v>21919</v>
      </c>
      <c r="D5718" s="9" t="str">
        <f>IFERROR(__xludf.DUMMYFUNCTION("""COMPUTED_VALUE"""),"Completed")</f>
        <v>Completed</v>
      </c>
    </row>
    <row r="5719">
      <c r="A5719" s="9" t="str">
        <f>IFERROR(__xludf.DUMMYFUNCTION("""COMPUTED_VALUE"""),"G-REQ-05718")</f>
        <v>G-REQ-05718</v>
      </c>
      <c r="B5719" s="11">
        <f>IFERROR(__xludf.DUMMYFUNCTION("""COMPUTED_VALUE"""),46168.29200790466)</f>
        <v>46168.29201</v>
      </c>
      <c r="C5719" s="9">
        <f>IFERROR(__xludf.DUMMYFUNCTION("""COMPUTED_VALUE"""),21923.0)</f>
        <v>21923</v>
      </c>
      <c r="D5719" s="9" t="str">
        <f>IFERROR(__xludf.DUMMYFUNCTION("""COMPUTED_VALUE"""),"Completed")</f>
        <v>Completed</v>
      </c>
    </row>
    <row r="5720">
      <c r="A5720" s="9" t="str">
        <f>IFERROR(__xludf.DUMMYFUNCTION("""COMPUTED_VALUE"""),"G-REQ-05719")</f>
        <v>G-REQ-05719</v>
      </c>
      <c r="B5720" s="11">
        <f>IFERROR(__xludf.DUMMYFUNCTION("""COMPUTED_VALUE"""),46168.36318275007)</f>
        <v>46168.36318</v>
      </c>
      <c r="C5720" s="9">
        <f>IFERROR(__xludf.DUMMYFUNCTION("""COMPUTED_VALUE"""),21927.0)</f>
        <v>21927</v>
      </c>
      <c r="D5720" s="9" t="str">
        <f>IFERROR(__xludf.DUMMYFUNCTION("""COMPUTED_VALUE"""),"Completed")</f>
        <v>Completed</v>
      </c>
    </row>
    <row r="5721">
      <c r="A5721" s="9" t="str">
        <f>IFERROR(__xludf.DUMMYFUNCTION("""COMPUTED_VALUE"""),"G-REQ-05720")</f>
        <v>G-REQ-05720</v>
      </c>
      <c r="B5721" s="11">
        <f>IFERROR(__xludf.DUMMYFUNCTION("""COMPUTED_VALUE"""),46168.42741315104)</f>
        <v>46168.42741</v>
      </c>
      <c r="C5721" s="9">
        <f>IFERROR(__xludf.DUMMYFUNCTION("""COMPUTED_VALUE"""),21929.0)</f>
        <v>21929</v>
      </c>
      <c r="D5721" s="9" t="str">
        <f>IFERROR(__xludf.DUMMYFUNCTION("""COMPUTED_VALUE"""),"Cancelled")</f>
        <v>Cancelled</v>
      </c>
    </row>
    <row r="5722">
      <c r="A5722" s="9" t="str">
        <f>IFERROR(__xludf.DUMMYFUNCTION("""COMPUTED_VALUE"""),"G-REQ-05721")</f>
        <v>G-REQ-05721</v>
      </c>
      <c r="B5722" s="11">
        <f>IFERROR(__xludf.DUMMYFUNCTION("""COMPUTED_VALUE"""),46168.505532440904)</f>
        <v>46168.50553</v>
      </c>
      <c r="C5722" s="9">
        <f>IFERROR(__xludf.DUMMYFUNCTION("""COMPUTED_VALUE"""),21933.0)</f>
        <v>21933</v>
      </c>
      <c r="D5722" s="9" t="str">
        <f>IFERROR(__xludf.DUMMYFUNCTION("""COMPUTED_VALUE"""),"Completed")</f>
        <v>Completed</v>
      </c>
    </row>
    <row r="5723">
      <c r="A5723" s="9" t="str">
        <f>IFERROR(__xludf.DUMMYFUNCTION("""COMPUTED_VALUE"""),"G-REQ-05722")</f>
        <v>G-REQ-05722</v>
      </c>
      <c r="B5723" s="11">
        <f>IFERROR(__xludf.DUMMYFUNCTION("""COMPUTED_VALUE"""),46168.576707286324)</f>
        <v>46168.57671</v>
      </c>
      <c r="C5723" s="9">
        <f>IFERROR(__xludf.DUMMYFUNCTION("""COMPUTED_VALUE"""),21937.0)</f>
        <v>21937</v>
      </c>
      <c r="D5723" s="9" t="str">
        <f>IFERROR(__xludf.DUMMYFUNCTION("""COMPUTED_VALUE"""),"Completed")</f>
        <v>Completed</v>
      </c>
    </row>
    <row r="5724">
      <c r="A5724" s="9" t="str">
        <f>IFERROR(__xludf.DUMMYFUNCTION("""COMPUTED_VALUE"""),"G-REQ-05723")</f>
        <v>G-REQ-05723</v>
      </c>
      <c r="B5724" s="11">
        <f>IFERROR(__xludf.DUMMYFUNCTION("""COMPUTED_VALUE"""),46168.64788213173)</f>
        <v>46168.64788</v>
      </c>
      <c r="C5724" s="9">
        <f>IFERROR(__xludf.DUMMYFUNCTION("""COMPUTED_VALUE"""),21941.0)</f>
        <v>21941</v>
      </c>
      <c r="D5724" s="9" t="str">
        <f>IFERROR(__xludf.DUMMYFUNCTION("""COMPUTED_VALUE"""),"Completed")</f>
        <v>Completed</v>
      </c>
    </row>
    <row r="5725">
      <c r="A5725" s="9" t="str">
        <f>IFERROR(__xludf.DUMMYFUNCTION("""COMPUTED_VALUE"""),"G-REQ-05724")</f>
        <v>G-REQ-05724</v>
      </c>
      <c r="B5725" s="11">
        <f>IFERROR(__xludf.DUMMYFUNCTION("""COMPUTED_VALUE"""),46168.71905697715)</f>
        <v>46168.71906</v>
      </c>
      <c r="C5725" s="9">
        <f>IFERROR(__xludf.DUMMYFUNCTION("""COMPUTED_VALUE"""),21945.0)</f>
        <v>21945</v>
      </c>
      <c r="D5725" s="9" t="str">
        <f>IFERROR(__xludf.DUMMYFUNCTION("""COMPUTED_VALUE"""),"Completed")</f>
        <v>Completed</v>
      </c>
    </row>
    <row r="5726">
      <c r="A5726" s="9" t="str">
        <f>IFERROR(__xludf.DUMMYFUNCTION("""COMPUTED_VALUE"""),"G-REQ-05725")</f>
        <v>G-REQ-05725</v>
      </c>
      <c r="B5726" s="11">
        <f>IFERROR(__xludf.DUMMYFUNCTION("""COMPUTED_VALUE"""),46168.79023182256)</f>
        <v>46168.79023</v>
      </c>
      <c r="C5726" s="9">
        <f>IFERROR(__xludf.DUMMYFUNCTION("""COMPUTED_VALUE"""),21949.0)</f>
        <v>21949</v>
      </c>
      <c r="D5726" s="9" t="str">
        <f>IFERROR(__xludf.DUMMYFUNCTION("""COMPUTED_VALUE"""),"Completed")</f>
        <v>Completed</v>
      </c>
    </row>
    <row r="5727">
      <c r="A5727" s="9" t="str">
        <f>IFERROR(__xludf.DUMMYFUNCTION("""COMPUTED_VALUE"""),"G-REQ-05726")</f>
        <v>G-REQ-05726</v>
      </c>
      <c r="B5727" s="11">
        <f>IFERROR(__xludf.DUMMYFUNCTION("""COMPUTED_VALUE"""),46168.854462223535)</f>
        <v>46168.85446</v>
      </c>
      <c r="C5727" s="9">
        <f>IFERROR(__xludf.DUMMYFUNCTION("""COMPUTED_VALUE"""),21951.0)</f>
        <v>21951</v>
      </c>
      <c r="D5727" s="9" t="str">
        <f>IFERROR(__xludf.DUMMYFUNCTION("""COMPUTED_VALUE"""),"Cancelled")</f>
        <v>Cancelled</v>
      </c>
    </row>
    <row r="5728">
      <c r="A5728" s="9" t="str">
        <f>IFERROR(__xludf.DUMMYFUNCTION("""COMPUTED_VALUE"""),"G-REQ-05727")</f>
        <v>G-REQ-05727</v>
      </c>
      <c r="B5728" s="11">
        <f>IFERROR(__xludf.DUMMYFUNCTION("""COMPUTED_VALUE"""),46168.92563706895)</f>
        <v>46168.92564</v>
      </c>
      <c r="C5728" s="9">
        <f>IFERROR(__xludf.DUMMYFUNCTION("""COMPUTED_VALUE"""),21953.0)</f>
        <v>21953</v>
      </c>
      <c r="D5728" s="9" t="str">
        <f>IFERROR(__xludf.DUMMYFUNCTION("""COMPUTED_VALUE"""),"Cancelled")</f>
        <v>Cancelled</v>
      </c>
    </row>
    <row r="5729">
      <c r="A5729" s="9" t="str">
        <f>IFERROR(__xludf.DUMMYFUNCTION("""COMPUTED_VALUE"""),"G-REQ-05728")</f>
        <v>G-REQ-05728</v>
      </c>
      <c r="B5729" s="11">
        <f>IFERROR(__xludf.DUMMYFUNCTION("""COMPUTED_VALUE"""),46169.00375635881)</f>
        <v>46169.00376</v>
      </c>
      <c r="C5729" s="9">
        <f>IFERROR(__xludf.DUMMYFUNCTION("""COMPUTED_VALUE"""),21957.0)</f>
        <v>21957</v>
      </c>
      <c r="D5729" s="9" t="str">
        <f>IFERROR(__xludf.DUMMYFUNCTION("""COMPUTED_VALUE"""),"Completed")</f>
        <v>Completed</v>
      </c>
    </row>
    <row r="5730">
      <c r="A5730" s="9" t="str">
        <f>IFERROR(__xludf.DUMMYFUNCTION("""COMPUTED_VALUE"""),"G-REQ-05729")</f>
        <v>G-REQ-05729</v>
      </c>
      <c r="B5730" s="11">
        <f>IFERROR(__xludf.DUMMYFUNCTION("""COMPUTED_VALUE"""),46169.07493120422)</f>
        <v>46169.07493</v>
      </c>
      <c r="C5730" s="9">
        <f>IFERROR(__xludf.DUMMYFUNCTION("""COMPUTED_VALUE"""),21961.0)</f>
        <v>21961</v>
      </c>
      <c r="D5730" s="9" t="str">
        <f>IFERROR(__xludf.DUMMYFUNCTION("""COMPUTED_VALUE"""),"Completed")</f>
        <v>Completed</v>
      </c>
    </row>
    <row r="5731">
      <c r="A5731" s="9" t="str">
        <f>IFERROR(__xludf.DUMMYFUNCTION("""COMPUTED_VALUE"""),"G-REQ-05730")</f>
        <v>G-REQ-05730</v>
      </c>
      <c r="B5731" s="11">
        <f>IFERROR(__xludf.DUMMYFUNCTION("""COMPUTED_VALUE"""),46169.14610604964)</f>
        <v>46169.14611</v>
      </c>
      <c r="C5731" s="9">
        <f>IFERROR(__xludf.DUMMYFUNCTION("""COMPUTED_VALUE"""),21965.0)</f>
        <v>21965</v>
      </c>
      <c r="D5731" s="9" t="str">
        <f>IFERROR(__xludf.DUMMYFUNCTION("""COMPUTED_VALUE"""),"Completed")</f>
        <v>Completed</v>
      </c>
    </row>
    <row r="5732">
      <c r="A5732" s="9" t="str">
        <f>IFERROR(__xludf.DUMMYFUNCTION("""COMPUTED_VALUE"""),"G-REQ-05731")</f>
        <v>G-REQ-05731</v>
      </c>
      <c r="B5732" s="11">
        <f>IFERROR(__xludf.DUMMYFUNCTION("""COMPUTED_VALUE"""),46169.217280895056)</f>
        <v>46169.21728</v>
      </c>
      <c r="C5732" s="9">
        <f>IFERROR(__xludf.DUMMYFUNCTION("""COMPUTED_VALUE"""),21969.0)</f>
        <v>21969</v>
      </c>
      <c r="D5732" s="9" t="str">
        <f>IFERROR(__xludf.DUMMYFUNCTION("""COMPUTED_VALUE"""),"Completed")</f>
        <v>Completed</v>
      </c>
    </row>
    <row r="5733">
      <c r="A5733" s="9" t="str">
        <f>IFERROR(__xludf.DUMMYFUNCTION("""COMPUTED_VALUE"""),"G-REQ-05732")</f>
        <v>G-REQ-05732</v>
      </c>
      <c r="B5733" s="11">
        <f>IFERROR(__xludf.DUMMYFUNCTION("""COMPUTED_VALUE"""),46169.28845574047)</f>
        <v>46169.28846</v>
      </c>
      <c r="C5733" s="9">
        <f>IFERROR(__xludf.DUMMYFUNCTION("""COMPUTED_VALUE"""),21973.0)</f>
        <v>21973</v>
      </c>
      <c r="D5733" s="9" t="str">
        <f>IFERROR(__xludf.DUMMYFUNCTION("""COMPUTED_VALUE"""),"Completed")</f>
        <v>Completed</v>
      </c>
    </row>
    <row r="5734">
      <c r="A5734" s="9" t="str">
        <f>IFERROR(__xludf.DUMMYFUNCTION("""COMPUTED_VALUE"""),"G-REQ-05733")</f>
        <v>G-REQ-05733</v>
      </c>
      <c r="B5734" s="11">
        <f>IFERROR(__xludf.DUMMYFUNCTION("""COMPUTED_VALUE"""),46169.35963058588)</f>
        <v>46169.35963</v>
      </c>
      <c r="C5734" s="9">
        <f>IFERROR(__xludf.DUMMYFUNCTION("""COMPUTED_VALUE"""),21977.0)</f>
        <v>21977</v>
      </c>
      <c r="D5734" s="9" t="str">
        <f>IFERROR(__xludf.DUMMYFUNCTION("""COMPUTED_VALUE"""),"Completed")</f>
        <v>Completed</v>
      </c>
    </row>
    <row r="5735">
      <c r="A5735" s="9" t="str">
        <f>IFERROR(__xludf.DUMMYFUNCTION("""COMPUTED_VALUE"""),"G-REQ-05734")</f>
        <v>G-REQ-05734</v>
      </c>
      <c r="B5735" s="11">
        <f>IFERROR(__xludf.DUMMYFUNCTION("""COMPUTED_VALUE"""),46169.4308054313)</f>
        <v>46169.43081</v>
      </c>
      <c r="C5735" s="9">
        <f>IFERROR(__xludf.DUMMYFUNCTION("""COMPUTED_VALUE"""),21981.0)</f>
        <v>21981</v>
      </c>
      <c r="D5735" s="9" t="str">
        <f>IFERROR(__xludf.DUMMYFUNCTION("""COMPUTED_VALUE"""),"Completed")</f>
        <v>Completed</v>
      </c>
    </row>
    <row r="5736">
      <c r="A5736" s="9" t="str">
        <f>IFERROR(__xludf.DUMMYFUNCTION("""COMPUTED_VALUE"""),"G-REQ-05735")</f>
        <v>G-REQ-05735</v>
      </c>
      <c r="B5736" s="11">
        <f>IFERROR(__xludf.DUMMYFUNCTION("""COMPUTED_VALUE"""),46169.50198027671)</f>
        <v>46169.50198</v>
      </c>
      <c r="C5736" s="9">
        <f>IFERROR(__xludf.DUMMYFUNCTION("""COMPUTED_VALUE"""),21985.0)</f>
        <v>21985</v>
      </c>
      <c r="D5736" s="9" t="str">
        <f>IFERROR(__xludf.DUMMYFUNCTION("""COMPUTED_VALUE"""),"Completed")</f>
        <v>Completed</v>
      </c>
    </row>
    <row r="5737">
      <c r="A5737" s="9" t="str">
        <f>IFERROR(__xludf.DUMMYFUNCTION("""COMPUTED_VALUE"""),"G-REQ-05736")</f>
        <v>G-REQ-05736</v>
      </c>
      <c r="B5737" s="11">
        <f>IFERROR(__xludf.DUMMYFUNCTION("""COMPUTED_VALUE"""),46169.573155122125)</f>
        <v>46169.57316</v>
      </c>
      <c r="C5737" s="9">
        <f>IFERROR(__xludf.DUMMYFUNCTION("""COMPUTED_VALUE"""),21989.0)</f>
        <v>21989</v>
      </c>
      <c r="D5737" s="9" t="str">
        <f>IFERROR(__xludf.DUMMYFUNCTION("""COMPUTED_VALUE"""),"Completed")</f>
        <v>Completed</v>
      </c>
    </row>
    <row r="5738">
      <c r="A5738" s="9" t="str">
        <f>IFERROR(__xludf.DUMMYFUNCTION("""COMPUTED_VALUE"""),"G-REQ-05737")</f>
        <v>G-REQ-05737</v>
      </c>
      <c r="B5738" s="11">
        <f>IFERROR(__xludf.DUMMYFUNCTION("""COMPUTED_VALUE"""),46169.644329967545)</f>
        <v>46169.64433</v>
      </c>
      <c r="C5738" s="9">
        <f>IFERROR(__xludf.DUMMYFUNCTION("""COMPUTED_VALUE"""),21993.0)</f>
        <v>21993</v>
      </c>
      <c r="D5738" s="9" t="str">
        <f>IFERROR(__xludf.DUMMYFUNCTION("""COMPUTED_VALUE"""),"Completed")</f>
        <v>Completed</v>
      </c>
    </row>
    <row r="5739">
      <c r="A5739" s="9" t="str">
        <f>IFERROR(__xludf.DUMMYFUNCTION("""COMPUTED_VALUE"""),"G-REQ-05738")</f>
        <v>G-REQ-05738</v>
      </c>
      <c r="B5739" s="11">
        <f>IFERROR(__xludf.DUMMYFUNCTION("""COMPUTED_VALUE"""),46169.715504812964)</f>
        <v>46169.7155</v>
      </c>
      <c r="C5739" s="9">
        <f>IFERROR(__xludf.DUMMYFUNCTION("""COMPUTED_VALUE"""),21997.0)</f>
        <v>21997</v>
      </c>
      <c r="D5739" s="9" t="str">
        <f>IFERROR(__xludf.DUMMYFUNCTION("""COMPUTED_VALUE"""),"Completed")</f>
        <v>Completed</v>
      </c>
    </row>
    <row r="5740">
      <c r="A5740" s="9" t="str">
        <f>IFERROR(__xludf.DUMMYFUNCTION("""COMPUTED_VALUE"""),"G-REQ-05739")</f>
        <v>G-REQ-05739</v>
      </c>
      <c r="B5740" s="11">
        <f>IFERROR(__xludf.DUMMYFUNCTION("""COMPUTED_VALUE"""),46169.78667965837)</f>
        <v>46169.78668</v>
      </c>
      <c r="C5740" s="9">
        <f>IFERROR(__xludf.DUMMYFUNCTION("""COMPUTED_VALUE"""),22001.0)</f>
        <v>22001</v>
      </c>
      <c r="D5740" s="9" t="str">
        <f>IFERROR(__xludf.DUMMYFUNCTION("""COMPUTED_VALUE"""),"Completed")</f>
        <v>Completed</v>
      </c>
    </row>
    <row r="5741">
      <c r="A5741" s="9" t="str">
        <f>IFERROR(__xludf.DUMMYFUNCTION("""COMPUTED_VALUE"""),"G-REQ-05740")</f>
        <v>G-REQ-05740</v>
      </c>
      <c r="B5741" s="11">
        <f>IFERROR(__xludf.DUMMYFUNCTION("""COMPUTED_VALUE"""),46169.85785450379)</f>
        <v>46169.85785</v>
      </c>
      <c r="C5741" s="9">
        <f>IFERROR(__xludf.DUMMYFUNCTION("""COMPUTED_VALUE"""),22005.0)</f>
        <v>22005</v>
      </c>
      <c r="D5741" s="9" t="str">
        <f>IFERROR(__xludf.DUMMYFUNCTION("""COMPUTED_VALUE"""),"Completed")</f>
        <v>Completed</v>
      </c>
    </row>
    <row r="5742">
      <c r="A5742" s="9" t="str">
        <f>IFERROR(__xludf.DUMMYFUNCTION("""COMPUTED_VALUE"""),"G-REQ-05741")</f>
        <v>G-REQ-05741</v>
      </c>
      <c r="B5742" s="11">
        <f>IFERROR(__xludf.DUMMYFUNCTION("""COMPUTED_VALUE"""),46169.9290293492)</f>
        <v>46169.92903</v>
      </c>
      <c r="C5742" s="9">
        <f>IFERROR(__xludf.DUMMYFUNCTION("""COMPUTED_VALUE"""),22009.0)</f>
        <v>22009</v>
      </c>
      <c r="D5742" s="9" t="str">
        <f>IFERROR(__xludf.DUMMYFUNCTION("""COMPUTED_VALUE"""),"Completed")</f>
        <v>Completed</v>
      </c>
    </row>
    <row r="5743">
      <c r="A5743" s="9" t="str">
        <f>IFERROR(__xludf.DUMMYFUNCTION("""COMPUTED_VALUE"""),"G-REQ-05742")</f>
        <v>G-REQ-05742</v>
      </c>
      <c r="B5743" s="11">
        <f>IFERROR(__xludf.DUMMYFUNCTION("""COMPUTED_VALUE"""),46170.00020419462)</f>
        <v>46170.0002</v>
      </c>
      <c r="C5743" s="9">
        <f>IFERROR(__xludf.DUMMYFUNCTION("""COMPUTED_VALUE"""),22013.0)</f>
        <v>22013</v>
      </c>
      <c r="D5743" s="9" t="str">
        <f>IFERROR(__xludf.DUMMYFUNCTION("""COMPUTED_VALUE"""),"Completed")</f>
        <v>Completed</v>
      </c>
    </row>
    <row r="5744">
      <c r="A5744" s="9" t="str">
        <f>IFERROR(__xludf.DUMMYFUNCTION("""COMPUTED_VALUE"""),"G-REQ-05743")</f>
        <v>G-REQ-05743</v>
      </c>
      <c r="B5744" s="11">
        <f>IFERROR(__xludf.DUMMYFUNCTION("""COMPUTED_VALUE"""),46170.07137904003)</f>
        <v>46170.07138</v>
      </c>
      <c r="C5744" s="9">
        <f>IFERROR(__xludf.DUMMYFUNCTION("""COMPUTED_VALUE"""),22017.0)</f>
        <v>22017</v>
      </c>
      <c r="D5744" s="9" t="str">
        <f>IFERROR(__xludf.DUMMYFUNCTION("""COMPUTED_VALUE"""),"Completed")</f>
        <v>Completed</v>
      </c>
    </row>
    <row r="5745">
      <c r="A5745" s="9" t="str">
        <f>IFERROR(__xludf.DUMMYFUNCTION("""COMPUTED_VALUE"""),"G-REQ-05744")</f>
        <v>G-REQ-05744</v>
      </c>
      <c r="B5745" s="11">
        <f>IFERROR(__xludf.DUMMYFUNCTION("""COMPUTED_VALUE"""),46170.14255388545)</f>
        <v>46170.14255</v>
      </c>
      <c r="C5745" s="9">
        <f>IFERROR(__xludf.DUMMYFUNCTION("""COMPUTED_VALUE"""),22021.0)</f>
        <v>22021</v>
      </c>
      <c r="D5745" s="9" t="str">
        <f>IFERROR(__xludf.DUMMYFUNCTION("""COMPUTED_VALUE"""),"Completed")</f>
        <v>Completed</v>
      </c>
    </row>
    <row r="5746">
      <c r="A5746" s="9" t="str">
        <f>IFERROR(__xludf.DUMMYFUNCTION("""COMPUTED_VALUE"""),"G-REQ-05745")</f>
        <v>G-REQ-05745</v>
      </c>
      <c r="B5746" s="11">
        <f>IFERROR(__xludf.DUMMYFUNCTION("""COMPUTED_VALUE"""),46170.213728730865)</f>
        <v>46170.21373</v>
      </c>
      <c r="C5746" s="9">
        <f>IFERROR(__xludf.DUMMYFUNCTION("""COMPUTED_VALUE"""),22025.0)</f>
        <v>22025</v>
      </c>
      <c r="D5746" s="9" t="str">
        <f>IFERROR(__xludf.DUMMYFUNCTION("""COMPUTED_VALUE"""),"Completed")</f>
        <v>Completed</v>
      </c>
    </row>
    <row r="5747">
      <c r="A5747" s="9" t="str">
        <f>IFERROR(__xludf.DUMMYFUNCTION("""COMPUTED_VALUE"""),"G-REQ-05746")</f>
        <v>G-REQ-05746</v>
      </c>
      <c r="B5747" s="11">
        <f>IFERROR(__xludf.DUMMYFUNCTION("""COMPUTED_VALUE"""),46170.27795913183)</f>
        <v>46170.27796</v>
      </c>
      <c r="C5747" s="9">
        <f>IFERROR(__xludf.DUMMYFUNCTION("""COMPUTED_VALUE"""),22027.0)</f>
        <v>22027</v>
      </c>
      <c r="D5747" s="9" t="str">
        <f>IFERROR(__xludf.DUMMYFUNCTION("""COMPUTED_VALUE"""),"Rejected")</f>
        <v>Rejected</v>
      </c>
    </row>
    <row r="5748">
      <c r="A5748" s="9" t="str">
        <f>IFERROR(__xludf.DUMMYFUNCTION("""COMPUTED_VALUE"""),"G-REQ-05747")</f>
        <v>G-REQ-05747</v>
      </c>
      <c r="B5748" s="11">
        <f>IFERROR(__xludf.DUMMYFUNCTION("""COMPUTED_VALUE"""),46170.3560784217)</f>
        <v>46170.35608</v>
      </c>
      <c r="C5748" s="9">
        <f>IFERROR(__xludf.DUMMYFUNCTION("""COMPUTED_VALUE"""),22031.0)</f>
        <v>22031</v>
      </c>
      <c r="D5748" s="9" t="str">
        <f>IFERROR(__xludf.DUMMYFUNCTION("""COMPUTED_VALUE"""),"Completed")</f>
        <v>Completed</v>
      </c>
    </row>
    <row r="5749">
      <c r="A5749" s="9" t="str">
        <f>IFERROR(__xludf.DUMMYFUNCTION("""COMPUTED_VALUE"""),"G-REQ-05748")</f>
        <v>G-REQ-05748</v>
      </c>
      <c r="B5749" s="11">
        <f>IFERROR(__xludf.DUMMYFUNCTION("""COMPUTED_VALUE"""),46170.42725326711)</f>
        <v>46170.42725</v>
      </c>
      <c r="C5749" s="9">
        <f>IFERROR(__xludf.DUMMYFUNCTION("""COMPUTED_VALUE"""),22035.0)</f>
        <v>22035</v>
      </c>
      <c r="D5749" s="9" t="str">
        <f>IFERROR(__xludf.DUMMYFUNCTION("""COMPUTED_VALUE"""),"Completed")</f>
        <v>Completed</v>
      </c>
    </row>
    <row r="5750">
      <c r="A5750" s="9" t="str">
        <f>IFERROR(__xludf.DUMMYFUNCTION("""COMPUTED_VALUE"""),"G-REQ-05749")</f>
        <v>G-REQ-05749</v>
      </c>
      <c r="B5750" s="11">
        <f>IFERROR(__xludf.DUMMYFUNCTION("""COMPUTED_VALUE"""),46170.49842811252)</f>
        <v>46170.49843</v>
      </c>
      <c r="C5750" s="9">
        <f>IFERROR(__xludf.DUMMYFUNCTION("""COMPUTED_VALUE"""),22039.0)</f>
        <v>22039</v>
      </c>
      <c r="D5750" s="9" t="str">
        <f>IFERROR(__xludf.DUMMYFUNCTION("""COMPUTED_VALUE"""),"Completed")</f>
        <v>Completed</v>
      </c>
    </row>
    <row r="5751">
      <c r="A5751" s="9" t="str">
        <f>IFERROR(__xludf.DUMMYFUNCTION("""COMPUTED_VALUE"""),"G-REQ-05750")</f>
        <v>G-REQ-05750</v>
      </c>
      <c r="B5751" s="11">
        <f>IFERROR(__xludf.DUMMYFUNCTION("""COMPUTED_VALUE"""),46170.56960295794)</f>
        <v>46170.5696</v>
      </c>
      <c r="C5751" s="9">
        <f>IFERROR(__xludf.DUMMYFUNCTION("""COMPUTED_VALUE"""),22043.0)</f>
        <v>22043</v>
      </c>
      <c r="D5751" s="9" t="str">
        <f>IFERROR(__xludf.DUMMYFUNCTION("""COMPUTED_VALUE"""),"Completed")</f>
        <v>Completed</v>
      </c>
    </row>
    <row r="5752">
      <c r="A5752" s="9" t="str">
        <f>IFERROR(__xludf.DUMMYFUNCTION("""COMPUTED_VALUE"""),"G-REQ-05751")</f>
        <v>G-REQ-05751</v>
      </c>
      <c r="B5752" s="11">
        <f>IFERROR(__xludf.DUMMYFUNCTION("""COMPUTED_VALUE"""),46170.64077780335)</f>
        <v>46170.64078</v>
      </c>
      <c r="C5752" s="9">
        <f>IFERROR(__xludf.DUMMYFUNCTION("""COMPUTED_VALUE"""),22047.0)</f>
        <v>22047</v>
      </c>
      <c r="D5752" s="9" t="str">
        <f>IFERROR(__xludf.DUMMYFUNCTION("""COMPUTED_VALUE"""),"Completed")</f>
        <v>Completed</v>
      </c>
    </row>
    <row r="5753">
      <c r="A5753" s="9" t="str">
        <f>IFERROR(__xludf.DUMMYFUNCTION("""COMPUTED_VALUE"""),"G-REQ-05752")</f>
        <v>G-REQ-05752</v>
      </c>
      <c r="B5753" s="11">
        <f>IFERROR(__xludf.DUMMYFUNCTION("""COMPUTED_VALUE"""),46170.711952648766)</f>
        <v>46170.71195</v>
      </c>
      <c r="C5753" s="9">
        <f>IFERROR(__xludf.DUMMYFUNCTION("""COMPUTED_VALUE"""),22051.0)</f>
        <v>22051</v>
      </c>
      <c r="D5753" s="9" t="str">
        <f>IFERROR(__xludf.DUMMYFUNCTION("""COMPUTED_VALUE"""),"Completed")</f>
        <v>Completed</v>
      </c>
    </row>
    <row r="5754">
      <c r="A5754" s="9" t="str">
        <f>IFERROR(__xludf.DUMMYFUNCTION("""COMPUTED_VALUE"""),"G-REQ-05753")</f>
        <v>G-REQ-05753</v>
      </c>
      <c r="B5754" s="11">
        <f>IFERROR(__xludf.DUMMYFUNCTION("""COMPUTED_VALUE"""),46170.783127494185)</f>
        <v>46170.78313</v>
      </c>
      <c r="C5754" s="9">
        <f>IFERROR(__xludf.DUMMYFUNCTION("""COMPUTED_VALUE"""),22055.0)</f>
        <v>22055</v>
      </c>
      <c r="D5754" s="9" t="str">
        <f>IFERROR(__xludf.DUMMYFUNCTION("""COMPUTED_VALUE"""),"Completed")</f>
        <v>Completed</v>
      </c>
    </row>
    <row r="5755">
      <c r="A5755" s="9" t="str">
        <f>IFERROR(__xludf.DUMMYFUNCTION("""COMPUTED_VALUE"""),"G-REQ-05754")</f>
        <v>G-REQ-05754</v>
      </c>
      <c r="B5755" s="11">
        <f>IFERROR(__xludf.DUMMYFUNCTION("""COMPUTED_VALUE"""),46170.854302339605)</f>
        <v>46170.8543</v>
      </c>
      <c r="C5755" s="9">
        <f>IFERROR(__xludf.DUMMYFUNCTION("""COMPUTED_VALUE"""),22059.0)</f>
        <v>22059</v>
      </c>
      <c r="D5755" s="9" t="str">
        <f>IFERROR(__xludf.DUMMYFUNCTION("""COMPUTED_VALUE"""),"Completed")</f>
        <v>Completed</v>
      </c>
    </row>
    <row r="5756">
      <c r="A5756" s="9" t="str">
        <f>IFERROR(__xludf.DUMMYFUNCTION("""COMPUTED_VALUE"""),"G-REQ-05755")</f>
        <v>G-REQ-05755</v>
      </c>
      <c r="B5756" s="11">
        <f>IFERROR(__xludf.DUMMYFUNCTION("""COMPUTED_VALUE"""),46170.92547718501)</f>
        <v>46170.92548</v>
      </c>
      <c r="C5756" s="9">
        <f>IFERROR(__xludf.DUMMYFUNCTION("""COMPUTED_VALUE"""),22063.0)</f>
        <v>22063</v>
      </c>
      <c r="D5756" s="9" t="str">
        <f>IFERROR(__xludf.DUMMYFUNCTION("""COMPUTED_VALUE"""),"Completed")</f>
        <v>Completed</v>
      </c>
    </row>
    <row r="5757">
      <c r="A5757" s="9" t="str">
        <f>IFERROR(__xludf.DUMMYFUNCTION("""COMPUTED_VALUE"""),"G-REQ-05756")</f>
        <v>G-REQ-05756</v>
      </c>
      <c r="B5757" s="11">
        <f>IFERROR(__xludf.DUMMYFUNCTION("""COMPUTED_VALUE"""),46170.99665203043)</f>
        <v>46170.99665</v>
      </c>
      <c r="C5757" s="9">
        <f>IFERROR(__xludf.DUMMYFUNCTION("""COMPUTED_VALUE"""),22067.0)</f>
        <v>22067</v>
      </c>
      <c r="D5757" s="9" t="str">
        <f>IFERROR(__xludf.DUMMYFUNCTION("""COMPUTED_VALUE"""),"Completed")</f>
        <v>Completed</v>
      </c>
    </row>
    <row r="5758">
      <c r="A5758" s="9" t="str">
        <f>IFERROR(__xludf.DUMMYFUNCTION("""COMPUTED_VALUE"""),"G-REQ-05757")</f>
        <v>G-REQ-05757</v>
      </c>
      <c r="B5758" s="11">
        <f>IFERROR(__xludf.DUMMYFUNCTION("""COMPUTED_VALUE"""),46171.06782687585)</f>
        <v>46171.06783</v>
      </c>
      <c r="C5758" s="9">
        <f>IFERROR(__xludf.DUMMYFUNCTION("""COMPUTED_VALUE"""),22071.0)</f>
        <v>22071</v>
      </c>
      <c r="D5758" s="9" t="str">
        <f>IFERROR(__xludf.DUMMYFUNCTION("""COMPUTED_VALUE"""),"Completed")</f>
        <v>Completed</v>
      </c>
    </row>
    <row r="5759">
      <c r="A5759" s="9" t="str">
        <f>IFERROR(__xludf.DUMMYFUNCTION("""COMPUTED_VALUE"""),"G-REQ-05758")</f>
        <v>G-REQ-05758</v>
      </c>
      <c r="B5759" s="11">
        <f>IFERROR(__xludf.DUMMYFUNCTION("""COMPUTED_VALUE"""),46171.13900172126)</f>
        <v>46171.139</v>
      </c>
      <c r="C5759" s="9">
        <f>IFERROR(__xludf.DUMMYFUNCTION("""COMPUTED_VALUE"""),22075.0)</f>
        <v>22075</v>
      </c>
      <c r="D5759" s="9" t="str">
        <f>IFERROR(__xludf.DUMMYFUNCTION("""COMPUTED_VALUE"""),"Completed")</f>
        <v>Completed</v>
      </c>
    </row>
    <row r="5760">
      <c r="A5760" s="9" t="str">
        <f>IFERROR(__xludf.DUMMYFUNCTION("""COMPUTED_VALUE"""),"G-REQ-05759")</f>
        <v>G-REQ-05759</v>
      </c>
      <c r="B5760" s="11">
        <f>IFERROR(__xludf.DUMMYFUNCTION("""COMPUTED_VALUE"""),46171.210176566674)</f>
        <v>46171.21018</v>
      </c>
      <c r="C5760" s="9">
        <f>IFERROR(__xludf.DUMMYFUNCTION("""COMPUTED_VALUE"""),22079.0)</f>
        <v>22079</v>
      </c>
      <c r="D5760" s="9" t="str">
        <f>IFERROR(__xludf.DUMMYFUNCTION("""COMPUTED_VALUE"""),"Completed")</f>
        <v>Completed</v>
      </c>
    </row>
    <row r="5761">
      <c r="A5761" s="9" t="str">
        <f>IFERROR(__xludf.DUMMYFUNCTION("""COMPUTED_VALUE"""),"G-REQ-05760")</f>
        <v>G-REQ-05760</v>
      </c>
      <c r="B5761" s="11">
        <f>IFERROR(__xludf.DUMMYFUNCTION("""COMPUTED_VALUE"""),46171.28135141209)</f>
        <v>46171.28135</v>
      </c>
      <c r="C5761" s="9">
        <f>IFERROR(__xludf.DUMMYFUNCTION("""COMPUTED_VALUE"""),22083.0)</f>
        <v>22083</v>
      </c>
      <c r="D5761" s="9" t="str">
        <f>IFERROR(__xludf.DUMMYFUNCTION("""COMPUTED_VALUE"""),"Completed")</f>
        <v>Completed</v>
      </c>
    </row>
    <row r="5762">
      <c r="A5762" s="9" t="str">
        <f>IFERROR(__xludf.DUMMYFUNCTION("""COMPUTED_VALUE"""),"G-REQ-05761")</f>
        <v>G-REQ-05761</v>
      </c>
      <c r="B5762" s="11">
        <f>IFERROR(__xludf.DUMMYFUNCTION("""COMPUTED_VALUE"""),46171.34558181306)</f>
        <v>46171.34558</v>
      </c>
      <c r="C5762" s="9">
        <f>IFERROR(__xludf.DUMMYFUNCTION("""COMPUTED_VALUE"""),22085.0)</f>
        <v>22085</v>
      </c>
      <c r="D5762" s="9" t="str">
        <f>IFERROR(__xludf.DUMMYFUNCTION("""COMPUTED_VALUE"""),"Rejected")</f>
        <v>Rejected</v>
      </c>
    </row>
    <row r="5763">
      <c r="A5763" s="9" t="str">
        <f>IFERROR(__xludf.DUMMYFUNCTION("""COMPUTED_VALUE"""),"G-REQ-05762")</f>
        <v>G-REQ-05762</v>
      </c>
      <c r="B5763" s="11">
        <f>IFERROR(__xludf.DUMMYFUNCTION("""COMPUTED_VALUE"""),46171.42370110292)</f>
        <v>46171.4237</v>
      </c>
      <c r="C5763" s="9">
        <f>IFERROR(__xludf.DUMMYFUNCTION("""COMPUTED_VALUE"""),22089.0)</f>
        <v>22089</v>
      </c>
      <c r="D5763" s="9" t="str">
        <f>IFERROR(__xludf.DUMMYFUNCTION("""COMPUTED_VALUE"""),"Completed")</f>
        <v>Completed</v>
      </c>
    </row>
    <row r="5764">
      <c r="A5764" s="9" t="str">
        <f>IFERROR(__xludf.DUMMYFUNCTION("""COMPUTED_VALUE"""),"G-REQ-05763")</f>
        <v>G-REQ-05763</v>
      </c>
      <c r="B5764" s="11">
        <f>IFERROR(__xludf.DUMMYFUNCTION("""COMPUTED_VALUE"""),46171.49487594834)</f>
        <v>46171.49488</v>
      </c>
      <c r="C5764" s="9">
        <f>IFERROR(__xludf.DUMMYFUNCTION("""COMPUTED_VALUE"""),22093.0)</f>
        <v>22093</v>
      </c>
      <c r="D5764" s="9" t="str">
        <f>IFERROR(__xludf.DUMMYFUNCTION("""COMPUTED_VALUE"""),"Completed")</f>
        <v>Completed</v>
      </c>
    </row>
    <row r="5765">
      <c r="A5765" s="9" t="str">
        <f>IFERROR(__xludf.DUMMYFUNCTION("""COMPUTED_VALUE"""),"G-REQ-05764")</f>
        <v>G-REQ-05764</v>
      </c>
      <c r="B5765" s="11">
        <f>IFERROR(__xludf.DUMMYFUNCTION("""COMPUTED_VALUE"""),46171.56605079375)</f>
        <v>46171.56605</v>
      </c>
      <c r="C5765" s="9">
        <f>IFERROR(__xludf.DUMMYFUNCTION("""COMPUTED_VALUE"""),22097.0)</f>
        <v>22097</v>
      </c>
      <c r="D5765" s="9" t="str">
        <f>IFERROR(__xludf.DUMMYFUNCTION("""COMPUTED_VALUE"""),"Completed")</f>
        <v>Completed</v>
      </c>
    </row>
    <row r="5766">
      <c r="A5766" s="9" t="str">
        <f>IFERROR(__xludf.DUMMYFUNCTION("""COMPUTED_VALUE"""),"G-REQ-05765")</f>
        <v>G-REQ-05765</v>
      </c>
      <c r="B5766" s="11">
        <f>IFERROR(__xludf.DUMMYFUNCTION("""COMPUTED_VALUE"""),46171.63028119472)</f>
        <v>46171.63028</v>
      </c>
      <c r="C5766" s="9">
        <f>IFERROR(__xludf.DUMMYFUNCTION("""COMPUTED_VALUE"""),22099.0)</f>
        <v>22099</v>
      </c>
      <c r="D5766" s="9" t="str">
        <f>IFERROR(__xludf.DUMMYFUNCTION("""COMPUTED_VALUE"""),"Rejected")</f>
        <v>Rejected</v>
      </c>
    </row>
    <row r="5767">
      <c r="A5767" s="9" t="str">
        <f>IFERROR(__xludf.DUMMYFUNCTION("""COMPUTED_VALUE"""),"G-REQ-05766")</f>
        <v>G-REQ-05766</v>
      </c>
      <c r="B5767" s="11">
        <f>IFERROR(__xludf.DUMMYFUNCTION("""COMPUTED_VALUE"""),46171.70840048458)</f>
        <v>46171.7084</v>
      </c>
      <c r="C5767" s="9">
        <f>IFERROR(__xludf.DUMMYFUNCTION("""COMPUTED_VALUE"""),22103.0)</f>
        <v>22103</v>
      </c>
      <c r="D5767" s="9" t="str">
        <f>IFERROR(__xludf.DUMMYFUNCTION("""COMPUTED_VALUE"""),"Completed")</f>
        <v>Completed</v>
      </c>
    </row>
    <row r="5768">
      <c r="A5768" s="9" t="str">
        <f>IFERROR(__xludf.DUMMYFUNCTION("""COMPUTED_VALUE"""),"G-REQ-05767")</f>
        <v>G-REQ-05767</v>
      </c>
      <c r="B5768" s="11">
        <f>IFERROR(__xludf.DUMMYFUNCTION("""COMPUTED_VALUE"""),46171.779575329994)</f>
        <v>46171.77958</v>
      </c>
      <c r="C5768" s="9">
        <f>IFERROR(__xludf.DUMMYFUNCTION("""COMPUTED_VALUE"""),22107.0)</f>
        <v>22107</v>
      </c>
      <c r="D5768" s="9" t="str">
        <f>IFERROR(__xludf.DUMMYFUNCTION("""COMPUTED_VALUE"""),"Completed")</f>
        <v>Completed</v>
      </c>
    </row>
    <row r="5769">
      <c r="A5769" s="9" t="str">
        <f>IFERROR(__xludf.DUMMYFUNCTION("""COMPUTED_VALUE"""),"G-REQ-05768")</f>
        <v>G-REQ-05768</v>
      </c>
      <c r="B5769" s="11">
        <f>IFERROR(__xludf.DUMMYFUNCTION("""COMPUTED_VALUE"""),46171.85075017541)</f>
        <v>46171.85075</v>
      </c>
      <c r="C5769" s="9">
        <f>IFERROR(__xludf.DUMMYFUNCTION("""COMPUTED_VALUE"""),22111.0)</f>
        <v>22111</v>
      </c>
      <c r="D5769" s="9" t="str">
        <f>IFERROR(__xludf.DUMMYFUNCTION("""COMPUTED_VALUE"""),"Completed")</f>
        <v>Completed</v>
      </c>
    </row>
    <row r="5770">
      <c r="A5770" s="9" t="str">
        <f>IFERROR(__xludf.DUMMYFUNCTION("""COMPUTED_VALUE"""),"G-REQ-05769")</f>
        <v>G-REQ-05769</v>
      </c>
      <c r="B5770" s="11">
        <f>IFERROR(__xludf.DUMMYFUNCTION("""COMPUTED_VALUE"""),46171.921925020826)</f>
        <v>46171.92193</v>
      </c>
      <c r="C5770" s="9">
        <f>IFERROR(__xludf.DUMMYFUNCTION("""COMPUTED_VALUE"""),22115.0)</f>
        <v>22115</v>
      </c>
      <c r="D5770" s="9" t="str">
        <f>IFERROR(__xludf.DUMMYFUNCTION("""COMPUTED_VALUE"""),"Completed")</f>
        <v>Completed</v>
      </c>
    </row>
    <row r="5771">
      <c r="A5771" s="9" t="str">
        <f>IFERROR(__xludf.DUMMYFUNCTION("""COMPUTED_VALUE"""),"G-REQ-05770")</f>
        <v>G-REQ-05770</v>
      </c>
      <c r="B5771" s="11">
        <f>IFERROR(__xludf.DUMMYFUNCTION("""COMPUTED_VALUE"""),46171.993099866246)</f>
        <v>46171.9931</v>
      </c>
      <c r="C5771" s="9">
        <f>IFERROR(__xludf.DUMMYFUNCTION("""COMPUTED_VALUE"""),22119.0)</f>
        <v>22119</v>
      </c>
      <c r="D5771" s="9" t="str">
        <f>IFERROR(__xludf.DUMMYFUNCTION("""COMPUTED_VALUE"""),"Completed")</f>
        <v>Completed</v>
      </c>
    </row>
    <row r="5772">
      <c r="A5772" s="9" t="str">
        <f>IFERROR(__xludf.DUMMYFUNCTION("""COMPUTED_VALUE"""),"G-REQ-05771")</f>
        <v>G-REQ-05771</v>
      </c>
      <c r="B5772" s="11">
        <f>IFERROR(__xludf.DUMMYFUNCTION("""COMPUTED_VALUE"""),46172.06427471165)</f>
        <v>46172.06427</v>
      </c>
      <c r="C5772" s="9">
        <f>IFERROR(__xludf.DUMMYFUNCTION("""COMPUTED_VALUE"""),22123.0)</f>
        <v>22123</v>
      </c>
      <c r="D5772" s="9" t="str">
        <f>IFERROR(__xludf.DUMMYFUNCTION("""COMPUTED_VALUE"""),"Completed")</f>
        <v>Completed</v>
      </c>
    </row>
    <row r="5773">
      <c r="A5773" s="9" t="str">
        <f>IFERROR(__xludf.DUMMYFUNCTION("""COMPUTED_VALUE"""),"G-REQ-05772")</f>
        <v>G-REQ-05772</v>
      </c>
      <c r="B5773" s="11">
        <f>IFERROR(__xludf.DUMMYFUNCTION("""COMPUTED_VALUE"""),46172.13544955707)</f>
        <v>46172.13545</v>
      </c>
      <c r="C5773" s="9">
        <f>IFERROR(__xludf.DUMMYFUNCTION("""COMPUTED_VALUE"""),22127.0)</f>
        <v>22127</v>
      </c>
      <c r="D5773" s="9" t="str">
        <f>IFERROR(__xludf.DUMMYFUNCTION("""COMPUTED_VALUE"""),"Completed")</f>
        <v>Completed</v>
      </c>
    </row>
    <row r="5774">
      <c r="A5774" s="9" t="str">
        <f>IFERROR(__xludf.DUMMYFUNCTION("""COMPUTED_VALUE"""),"G-REQ-05773")</f>
        <v>G-REQ-05773</v>
      </c>
      <c r="B5774" s="11">
        <f>IFERROR(__xludf.DUMMYFUNCTION("""COMPUTED_VALUE"""),46172.20662440249)</f>
        <v>46172.20662</v>
      </c>
      <c r="C5774" s="9">
        <f>IFERROR(__xludf.DUMMYFUNCTION("""COMPUTED_VALUE"""),22131.0)</f>
        <v>22131</v>
      </c>
      <c r="D5774" s="9" t="str">
        <f>IFERROR(__xludf.DUMMYFUNCTION("""COMPUTED_VALUE"""),"Completed")</f>
        <v>Completed</v>
      </c>
    </row>
    <row r="5775">
      <c r="A5775" s="9" t="str">
        <f>IFERROR(__xludf.DUMMYFUNCTION("""COMPUTED_VALUE"""),"G-REQ-05774")</f>
        <v>G-REQ-05774</v>
      </c>
      <c r="B5775" s="11">
        <f>IFERROR(__xludf.DUMMYFUNCTION("""COMPUTED_VALUE"""),46172.2777992479)</f>
        <v>46172.2778</v>
      </c>
      <c r="C5775" s="9">
        <f>IFERROR(__xludf.DUMMYFUNCTION("""COMPUTED_VALUE"""),22135.0)</f>
        <v>22135</v>
      </c>
      <c r="D5775" s="9" t="str">
        <f>IFERROR(__xludf.DUMMYFUNCTION("""COMPUTED_VALUE"""),"Completed")</f>
        <v>Completed</v>
      </c>
    </row>
    <row r="5776">
      <c r="A5776" s="9" t="str">
        <f>IFERROR(__xludf.DUMMYFUNCTION("""COMPUTED_VALUE"""),"G-REQ-05775")</f>
        <v>G-REQ-05775</v>
      </c>
      <c r="B5776" s="11">
        <f>IFERROR(__xludf.DUMMYFUNCTION("""COMPUTED_VALUE"""),46172.348974093315)</f>
        <v>46172.34897</v>
      </c>
      <c r="C5776" s="9">
        <f>IFERROR(__xludf.DUMMYFUNCTION("""COMPUTED_VALUE"""),22139.0)</f>
        <v>22139</v>
      </c>
      <c r="D5776" s="9" t="str">
        <f>IFERROR(__xludf.DUMMYFUNCTION("""COMPUTED_VALUE"""),"Completed")</f>
        <v>Completed</v>
      </c>
    </row>
    <row r="5777">
      <c r="A5777" s="9" t="str">
        <f>IFERROR(__xludf.DUMMYFUNCTION("""COMPUTED_VALUE"""),"G-REQ-05776")</f>
        <v>G-REQ-05776</v>
      </c>
      <c r="B5777" s="11">
        <f>IFERROR(__xludf.DUMMYFUNCTION("""COMPUTED_VALUE"""),46172.420148938734)</f>
        <v>46172.42015</v>
      </c>
      <c r="C5777" s="9">
        <f>IFERROR(__xludf.DUMMYFUNCTION("""COMPUTED_VALUE"""),22143.0)</f>
        <v>22143</v>
      </c>
      <c r="D5777" s="9" t="str">
        <f>IFERROR(__xludf.DUMMYFUNCTION("""COMPUTED_VALUE"""),"Completed")</f>
        <v>Completed</v>
      </c>
    </row>
    <row r="5778">
      <c r="A5778" s="9" t="str">
        <f>IFERROR(__xludf.DUMMYFUNCTION("""COMPUTED_VALUE"""),"G-REQ-05777")</f>
        <v>G-REQ-05777</v>
      </c>
      <c r="B5778" s="11">
        <f>IFERROR(__xludf.DUMMYFUNCTION("""COMPUTED_VALUE"""),46172.49132378415)</f>
        <v>46172.49132</v>
      </c>
      <c r="C5778" s="9">
        <f>IFERROR(__xludf.DUMMYFUNCTION("""COMPUTED_VALUE"""),22147.0)</f>
        <v>22147</v>
      </c>
      <c r="D5778" s="9" t="str">
        <f>IFERROR(__xludf.DUMMYFUNCTION("""COMPUTED_VALUE"""),"Completed")</f>
        <v>Completed</v>
      </c>
    </row>
    <row r="5779">
      <c r="A5779" s="9" t="str">
        <f>IFERROR(__xludf.DUMMYFUNCTION("""COMPUTED_VALUE"""),"G-REQ-05778")</f>
        <v>G-REQ-05778</v>
      </c>
      <c r="B5779" s="11">
        <f>IFERROR(__xludf.DUMMYFUNCTION("""COMPUTED_VALUE"""),46172.56249862956)</f>
        <v>46172.5625</v>
      </c>
      <c r="C5779" s="9">
        <f>IFERROR(__xludf.DUMMYFUNCTION("""COMPUTED_VALUE"""),22151.0)</f>
        <v>22151</v>
      </c>
      <c r="D5779" s="9" t="str">
        <f>IFERROR(__xludf.DUMMYFUNCTION("""COMPUTED_VALUE"""),"Completed")</f>
        <v>Completed</v>
      </c>
    </row>
    <row r="5780">
      <c r="A5780" s="9" t="str">
        <f>IFERROR(__xludf.DUMMYFUNCTION("""COMPUTED_VALUE"""),"G-REQ-05779")</f>
        <v>G-REQ-05779</v>
      </c>
      <c r="B5780" s="11">
        <f>IFERROR(__xludf.DUMMYFUNCTION("""COMPUTED_VALUE"""),46172.63367347498)</f>
        <v>46172.63367</v>
      </c>
      <c r="C5780" s="9">
        <f>IFERROR(__xludf.DUMMYFUNCTION("""COMPUTED_VALUE"""),22155.0)</f>
        <v>22155</v>
      </c>
      <c r="D5780" s="9" t="str">
        <f>IFERROR(__xludf.DUMMYFUNCTION("""COMPUTED_VALUE"""),"Completed")</f>
        <v>Completed</v>
      </c>
    </row>
    <row r="5781">
      <c r="A5781" s="9" t="str">
        <f>IFERROR(__xludf.DUMMYFUNCTION("""COMPUTED_VALUE"""),"G-REQ-05780")</f>
        <v>G-REQ-05780</v>
      </c>
      <c r="B5781" s="11">
        <f>IFERROR(__xludf.DUMMYFUNCTION("""COMPUTED_VALUE"""),46172.70484832039)</f>
        <v>46172.70485</v>
      </c>
      <c r="C5781" s="9">
        <f>IFERROR(__xludf.DUMMYFUNCTION("""COMPUTED_VALUE"""),22159.0)</f>
        <v>22159</v>
      </c>
      <c r="D5781" s="9" t="str">
        <f>IFERROR(__xludf.DUMMYFUNCTION("""COMPUTED_VALUE"""),"Completed")</f>
        <v>Completed</v>
      </c>
    </row>
    <row r="5782">
      <c r="A5782" s="9" t="str">
        <f>IFERROR(__xludf.DUMMYFUNCTION("""COMPUTED_VALUE"""),"G-REQ-05781")</f>
        <v>G-REQ-05781</v>
      </c>
      <c r="B5782" s="11">
        <f>IFERROR(__xludf.DUMMYFUNCTION("""COMPUTED_VALUE"""),46172.7760231658)</f>
        <v>46172.77602</v>
      </c>
      <c r="C5782" s="9">
        <f>IFERROR(__xludf.DUMMYFUNCTION("""COMPUTED_VALUE"""),22163.0)</f>
        <v>22163</v>
      </c>
      <c r="D5782" s="9" t="str">
        <f>IFERROR(__xludf.DUMMYFUNCTION("""COMPUTED_VALUE"""),"Completed")</f>
        <v>Completed</v>
      </c>
    </row>
    <row r="5783">
      <c r="A5783" s="9" t="str">
        <f>IFERROR(__xludf.DUMMYFUNCTION("""COMPUTED_VALUE"""),"G-REQ-05782")</f>
        <v>G-REQ-05782</v>
      </c>
      <c r="B5783" s="11">
        <f>IFERROR(__xludf.DUMMYFUNCTION("""COMPUTED_VALUE"""),46172.84719801122)</f>
        <v>46172.8472</v>
      </c>
      <c r="C5783" s="9">
        <f>IFERROR(__xludf.DUMMYFUNCTION("""COMPUTED_VALUE"""),22167.0)</f>
        <v>22167</v>
      </c>
      <c r="D5783" s="9" t="str">
        <f>IFERROR(__xludf.DUMMYFUNCTION("""COMPUTED_VALUE"""),"Completed")</f>
        <v>Completed</v>
      </c>
    </row>
    <row r="5784">
      <c r="A5784" s="9" t="str">
        <f>IFERROR(__xludf.DUMMYFUNCTION("""COMPUTED_VALUE"""),"G-REQ-05783")</f>
        <v>G-REQ-05783</v>
      </c>
      <c r="B5784" s="11">
        <f>IFERROR(__xludf.DUMMYFUNCTION("""COMPUTED_VALUE"""),46172.9114284122)</f>
        <v>46172.91143</v>
      </c>
      <c r="C5784" s="9">
        <f>IFERROR(__xludf.DUMMYFUNCTION("""COMPUTED_VALUE"""),22169.0)</f>
        <v>22169</v>
      </c>
      <c r="D5784" s="9" t="str">
        <f>IFERROR(__xludf.DUMMYFUNCTION("""COMPUTED_VALUE"""),"Rejected")</f>
        <v>Rejected</v>
      </c>
    </row>
    <row r="5785">
      <c r="A5785" s="9" t="str">
        <f>IFERROR(__xludf.DUMMYFUNCTION("""COMPUTED_VALUE"""),"G-REQ-05784")</f>
        <v>G-REQ-05784</v>
      </c>
      <c r="B5785" s="11">
        <f>IFERROR(__xludf.DUMMYFUNCTION("""COMPUTED_VALUE"""),46172.9826032576)</f>
        <v>46172.9826</v>
      </c>
      <c r="C5785" s="9">
        <f>IFERROR(__xludf.DUMMYFUNCTION("""COMPUTED_VALUE"""),22171.0)</f>
        <v>22171</v>
      </c>
      <c r="D5785" s="9" t="str">
        <f>IFERROR(__xludf.DUMMYFUNCTION("""COMPUTED_VALUE"""),"Rejected")</f>
        <v>Rejected</v>
      </c>
    </row>
    <row r="5786">
      <c r="A5786" s="9" t="str">
        <f>IFERROR(__xludf.DUMMYFUNCTION("""COMPUTED_VALUE"""),"G-REQ-05785")</f>
        <v>G-REQ-05785</v>
      </c>
      <c r="B5786" s="11">
        <f>IFERROR(__xludf.DUMMYFUNCTION("""COMPUTED_VALUE"""),46173.05377810302)</f>
        <v>46173.05378</v>
      </c>
      <c r="C5786" s="9">
        <f>IFERROR(__xludf.DUMMYFUNCTION("""COMPUTED_VALUE"""),22173.0)</f>
        <v>22173</v>
      </c>
      <c r="D5786" s="9" t="str">
        <f>IFERROR(__xludf.DUMMYFUNCTION("""COMPUTED_VALUE"""),"Rejected")</f>
        <v>Rejected</v>
      </c>
    </row>
    <row r="5787">
      <c r="A5787" s="9" t="str">
        <f>IFERROR(__xludf.DUMMYFUNCTION("""COMPUTED_VALUE"""),"G-REQ-05786")</f>
        <v>G-REQ-05786</v>
      </c>
      <c r="B5787" s="11">
        <f>IFERROR(__xludf.DUMMYFUNCTION("""COMPUTED_VALUE"""),46173.13189739289)</f>
        <v>46173.1319</v>
      </c>
      <c r="C5787" s="9">
        <f>IFERROR(__xludf.DUMMYFUNCTION("""COMPUTED_VALUE"""),22177.0)</f>
        <v>22177</v>
      </c>
      <c r="D5787" s="9" t="str">
        <f>IFERROR(__xludf.DUMMYFUNCTION("""COMPUTED_VALUE"""),"Completed")</f>
        <v>Completed</v>
      </c>
    </row>
    <row r="5788">
      <c r="A5788" s="9" t="str">
        <f>IFERROR(__xludf.DUMMYFUNCTION("""COMPUTED_VALUE"""),"G-REQ-05787")</f>
        <v>G-REQ-05787</v>
      </c>
      <c r="B5788" s="11">
        <f>IFERROR(__xludf.DUMMYFUNCTION("""COMPUTED_VALUE"""),46173.2030722383)</f>
        <v>46173.20307</v>
      </c>
      <c r="C5788" s="9">
        <f>IFERROR(__xludf.DUMMYFUNCTION("""COMPUTED_VALUE"""),22181.0)</f>
        <v>22181</v>
      </c>
      <c r="D5788" s="9" t="str">
        <f>IFERROR(__xludf.DUMMYFUNCTION("""COMPUTED_VALUE"""),"Completed")</f>
        <v>Completed</v>
      </c>
    </row>
    <row r="5789">
      <c r="A5789" s="9" t="str">
        <f>IFERROR(__xludf.DUMMYFUNCTION("""COMPUTED_VALUE"""),"G-REQ-05788")</f>
        <v>G-REQ-05788</v>
      </c>
      <c r="B5789" s="11">
        <f>IFERROR(__xludf.DUMMYFUNCTION("""COMPUTED_VALUE"""),46173.267302639266)</f>
        <v>46173.2673</v>
      </c>
      <c r="C5789" s="9">
        <f>IFERROR(__xludf.DUMMYFUNCTION("""COMPUTED_VALUE"""),22183.0)</f>
        <v>22183</v>
      </c>
      <c r="D5789" s="9" t="str">
        <f>IFERROR(__xludf.DUMMYFUNCTION("""COMPUTED_VALUE"""),"Rejected")</f>
        <v>Rejected</v>
      </c>
    </row>
    <row r="5790">
      <c r="A5790" s="9" t="str">
        <f>IFERROR(__xludf.DUMMYFUNCTION("""COMPUTED_VALUE"""),"G-REQ-05789")</f>
        <v>G-REQ-05789</v>
      </c>
      <c r="B5790" s="11">
        <f>IFERROR(__xludf.DUMMYFUNCTION("""COMPUTED_VALUE"""),46173.34542192913)</f>
        <v>46173.34542</v>
      </c>
      <c r="C5790" s="9">
        <f>IFERROR(__xludf.DUMMYFUNCTION("""COMPUTED_VALUE"""),22187.0)</f>
        <v>22187</v>
      </c>
      <c r="D5790" s="9" t="str">
        <f>IFERROR(__xludf.DUMMYFUNCTION("""COMPUTED_VALUE"""),"Completed")</f>
        <v>Completed</v>
      </c>
    </row>
    <row r="5791">
      <c r="A5791" s="9" t="str">
        <f>IFERROR(__xludf.DUMMYFUNCTION("""COMPUTED_VALUE"""),"G-REQ-05790")</f>
        <v>G-REQ-05790</v>
      </c>
      <c r="B5791" s="11">
        <f>IFERROR(__xludf.DUMMYFUNCTION("""COMPUTED_VALUE"""),46173.41659677454)</f>
        <v>46173.4166</v>
      </c>
      <c r="C5791" s="9">
        <f>IFERROR(__xludf.DUMMYFUNCTION("""COMPUTED_VALUE"""),22191.0)</f>
        <v>22191</v>
      </c>
      <c r="D5791" s="9" t="str">
        <f>IFERROR(__xludf.DUMMYFUNCTION("""COMPUTED_VALUE"""),"Completed")</f>
        <v>Completed</v>
      </c>
    </row>
    <row r="5792">
      <c r="A5792" s="9" t="str">
        <f>IFERROR(__xludf.DUMMYFUNCTION("""COMPUTED_VALUE"""),"G-REQ-05791")</f>
        <v>G-REQ-05791</v>
      </c>
      <c r="B5792" s="11">
        <f>IFERROR(__xludf.DUMMYFUNCTION("""COMPUTED_VALUE"""),46173.487771619955)</f>
        <v>46173.48777</v>
      </c>
      <c r="C5792" s="9">
        <f>IFERROR(__xludf.DUMMYFUNCTION("""COMPUTED_VALUE"""),22195.0)</f>
        <v>22195</v>
      </c>
      <c r="D5792" s="9" t="str">
        <f>IFERROR(__xludf.DUMMYFUNCTION("""COMPUTED_VALUE"""),"Completed")</f>
        <v>Completed</v>
      </c>
    </row>
    <row r="5793">
      <c r="A5793" s="9" t="str">
        <f>IFERROR(__xludf.DUMMYFUNCTION("""COMPUTED_VALUE"""),"G-REQ-05792")</f>
        <v>G-REQ-05792</v>
      </c>
      <c r="B5793" s="11">
        <f>IFERROR(__xludf.DUMMYFUNCTION("""COMPUTED_VALUE"""),46173.558946465375)</f>
        <v>46173.55895</v>
      </c>
      <c r="C5793" s="9">
        <f>IFERROR(__xludf.DUMMYFUNCTION("""COMPUTED_VALUE"""),22199.0)</f>
        <v>22199</v>
      </c>
      <c r="D5793" s="9" t="str">
        <f>IFERROR(__xludf.DUMMYFUNCTION("""COMPUTED_VALUE"""),"Completed")</f>
        <v>Completed</v>
      </c>
    </row>
    <row r="5794">
      <c r="A5794" s="9" t="str">
        <f>IFERROR(__xludf.DUMMYFUNCTION("""COMPUTED_VALUE"""),"G-REQ-05793")</f>
        <v>G-REQ-05793</v>
      </c>
      <c r="B5794" s="11">
        <f>IFERROR(__xludf.DUMMYFUNCTION("""COMPUTED_VALUE"""),46173.63012131079)</f>
        <v>46173.63012</v>
      </c>
      <c r="C5794" s="9">
        <f>IFERROR(__xludf.DUMMYFUNCTION("""COMPUTED_VALUE"""),22203.0)</f>
        <v>22203</v>
      </c>
      <c r="D5794" s="9" t="str">
        <f>IFERROR(__xludf.DUMMYFUNCTION("""COMPUTED_VALUE"""),"Completed")</f>
        <v>Completed</v>
      </c>
    </row>
    <row r="5795">
      <c r="A5795" s="9" t="str">
        <f>IFERROR(__xludf.DUMMYFUNCTION("""COMPUTED_VALUE"""),"G-REQ-05794")</f>
        <v>G-REQ-05794</v>
      </c>
      <c r="B5795" s="11">
        <f>IFERROR(__xludf.DUMMYFUNCTION("""COMPUTED_VALUE"""),46173.7012961562)</f>
        <v>46173.7013</v>
      </c>
      <c r="C5795" s="9">
        <f>IFERROR(__xludf.DUMMYFUNCTION("""COMPUTED_VALUE"""),22207.0)</f>
        <v>22207</v>
      </c>
      <c r="D5795" s="9" t="str">
        <f>IFERROR(__xludf.DUMMYFUNCTION("""COMPUTED_VALUE"""),"Completed")</f>
        <v>Completed</v>
      </c>
    </row>
    <row r="5796">
      <c r="A5796" s="9" t="str">
        <f>IFERROR(__xludf.DUMMYFUNCTION("""COMPUTED_VALUE"""),"G-REQ-05795")</f>
        <v>G-REQ-05795</v>
      </c>
      <c r="B5796" s="11">
        <f>IFERROR(__xludf.DUMMYFUNCTION("""COMPUTED_VALUE"""),46173.77247100162)</f>
        <v>46173.77247</v>
      </c>
      <c r="C5796" s="9">
        <f>IFERROR(__xludf.DUMMYFUNCTION("""COMPUTED_VALUE"""),22211.0)</f>
        <v>22211</v>
      </c>
      <c r="D5796" s="9" t="str">
        <f>IFERROR(__xludf.DUMMYFUNCTION("""COMPUTED_VALUE"""),"Completed")</f>
        <v>Completed</v>
      </c>
    </row>
    <row r="5797">
      <c r="A5797" s="9" t="str">
        <f>IFERROR(__xludf.DUMMYFUNCTION("""COMPUTED_VALUE"""),"G-REQ-05796")</f>
        <v>G-REQ-05796</v>
      </c>
      <c r="B5797" s="11">
        <f>IFERROR(__xludf.DUMMYFUNCTION("""COMPUTED_VALUE"""),46173.84364584703)</f>
        <v>46173.84365</v>
      </c>
      <c r="C5797" s="9">
        <f>IFERROR(__xludf.DUMMYFUNCTION("""COMPUTED_VALUE"""),22215.0)</f>
        <v>22215</v>
      </c>
      <c r="D5797" s="9" t="str">
        <f>IFERROR(__xludf.DUMMYFUNCTION("""COMPUTED_VALUE"""),"Completed")</f>
        <v>Completed</v>
      </c>
    </row>
    <row r="5798">
      <c r="A5798" s="9" t="str">
        <f>IFERROR(__xludf.DUMMYFUNCTION("""COMPUTED_VALUE"""),"G-REQ-05797")</f>
        <v>G-REQ-05797</v>
      </c>
      <c r="B5798" s="11">
        <f>IFERROR(__xludf.DUMMYFUNCTION("""COMPUTED_VALUE"""),46173.914820692444)</f>
        <v>46173.91482</v>
      </c>
      <c r="C5798" s="9">
        <f>IFERROR(__xludf.DUMMYFUNCTION("""COMPUTED_VALUE"""),22219.0)</f>
        <v>22219</v>
      </c>
      <c r="D5798" s="9" t="str">
        <f>IFERROR(__xludf.DUMMYFUNCTION("""COMPUTED_VALUE"""),"Completed")</f>
        <v>Completed</v>
      </c>
    </row>
    <row r="5799">
      <c r="A5799" s="9" t="str">
        <f>IFERROR(__xludf.DUMMYFUNCTION("""COMPUTED_VALUE"""),"G-REQ-05798")</f>
        <v>G-REQ-05798</v>
      </c>
      <c r="B5799" s="11">
        <f>IFERROR(__xludf.DUMMYFUNCTION("""COMPUTED_VALUE"""),46173.98599553786)</f>
        <v>46173.986</v>
      </c>
      <c r="C5799" s="9">
        <f>IFERROR(__xludf.DUMMYFUNCTION("""COMPUTED_VALUE"""),22223.0)</f>
        <v>22223</v>
      </c>
      <c r="D5799" s="9" t="str">
        <f>IFERROR(__xludf.DUMMYFUNCTION("""COMPUTED_VALUE"""),"Completed")</f>
        <v>Completed</v>
      </c>
    </row>
    <row r="5800">
      <c r="A5800" s="9" t="str">
        <f>IFERROR(__xludf.DUMMYFUNCTION("""COMPUTED_VALUE"""),"G-REQ-05799")</f>
        <v>G-REQ-05799</v>
      </c>
      <c r="B5800" s="11">
        <f>IFERROR(__xludf.DUMMYFUNCTION("""COMPUTED_VALUE"""),46174.05717038328)</f>
        <v>46174.05717</v>
      </c>
      <c r="C5800" s="9">
        <f>IFERROR(__xludf.DUMMYFUNCTION("""COMPUTED_VALUE"""),22227.0)</f>
        <v>22227</v>
      </c>
      <c r="D5800" s="9" t="str">
        <f>IFERROR(__xludf.DUMMYFUNCTION("""COMPUTED_VALUE"""),"Completed")</f>
        <v>Completed</v>
      </c>
    </row>
    <row r="5801">
      <c r="A5801" s="9" t="str">
        <f>IFERROR(__xludf.DUMMYFUNCTION("""COMPUTED_VALUE"""),"G-REQ-05800")</f>
        <v>G-REQ-05800</v>
      </c>
      <c r="B5801" s="11">
        <f>IFERROR(__xludf.DUMMYFUNCTION("""COMPUTED_VALUE"""),46174.12834522869)</f>
        <v>46174.12835</v>
      </c>
      <c r="C5801" s="9">
        <f>IFERROR(__xludf.DUMMYFUNCTION("""COMPUTED_VALUE"""),22231.0)</f>
        <v>22231</v>
      </c>
      <c r="D5801" s="9" t="str">
        <f>IFERROR(__xludf.DUMMYFUNCTION("""COMPUTED_VALUE"""),"Completed")</f>
        <v>Completed</v>
      </c>
    </row>
    <row r="5802">
      <c r="A5802" s="9" t="str">
        <f>IFERROR(__xludf.DUMMYFUNCTION("""COMPUTED_VALUE"""),"G-REQ-05801")</f>
        <v>G-REQ-05801</v>
      </c>
      <c r="B5802" s="11">
        <f>IFERROR(__xludf.DUMMYFUNCTION("""COMPUTED_VALUE"""),46174.19952007411)</f>
        <v>46174.19952</v>
      </c>
      <c r="C5802" s="9">
        <f>IFERROR(__xludf.DUMMYFUNCTION("""COMPUTED_VALUE"""),22235.0)</f>
        <v>22235</v>
      </c>
      <c r="D5802" s="9" t="str">
        <f>IFERROR(__xludf.DUMMYFUNCTION("""COMPUTED_VALUE"""),"Completed")</f>
        <v>Completed</v>
      </c>
    </row>
    <row r="5803">
      <c r="A5803" s="9" t="str">
        <f>IFERROR(__xludf.DUMMYFUNCTION("""COMPUTED_VALUE"""),"G-REQ-05802")</f>
        <v>G-REQ-05802</v>
      </c>
      <c r="B5803" s="11">
        <f>IFERROR(__xludf.DUMMYFUNCTION("""COMPUTED_VALUE"""),46174.27069491953)</f>
        <v>46174.27069</v>
      </c>
      <c r="C5803" s="9">
        <f>IFERROR(__xludf.DUMMYFUNCTION("""COMPUTED_VALUE"""),22239.0)</f>
        <v>22239</v>
      </c>
      <c r="D5803" s="9" t="str">
        <f>IFERROR(__xludf.DUMMYFUNCTION("""COMPUTED_VALUE"""),"Completed")</f>
        <v>Completed</v>
      </c>
    </row>
    <row r="5804">
      <c r="A5804" s="9" t="str">
        <f>IFERROR(__xludf.DUMMYFUNCTION("""COMPUTED_VALUE"""),"G-REQ-05803")</f>
        <v>G-REQ-05803</v>
      </c>
      <c r="B5804" s="11">
        <f>IFERROR(__xludf.DUMMYFUNCTION("""COMPUTED_VALUE"""),46174.34186976494)</f>
        <v>46174.34187</v>
      </c>
      <c r="C5804" s="9">
        <f>IFERROR(__xludf.DUMMYFUNCTION("""COMPUTED_VALUE"""),22243.0)</f>
        <v>22243</v>
      </c>
      <c r="D5804" s="9" t="str">
        <f>IFERROR(__xludf.DUMMYFUNCTION("""COMPUTED_VALUE"""),"Completed")</f>
        <v>Completed</v>
      </c>
    </row>
    <row r="5805">
      <c r="A5805" s="9" t="str">
        <f>IFERROR(__xludf.DUMMYFUNCTION("""COMPUTED_VALUE"""),"G-REQ-05804")</f>
        <v>G-REQ-05804</v>
      </c>
      <c r="B5805" s="11">
        <f>IFERROR(__xludf.DUMMYFUNCTION("""COMPUTED_VALUE"""),46174.41304461035)</f>
        <v>46174.41304</v>
      </c>
      <c r="C5805" s="9">
        <f>IFERROR(__xludf.DUMMYFUNCTION("""COMPUTED_VALUE"""),22247.0)</f>
        <v>22247</v>
      </c>
      <c r="D5805" s="9" t="str">
        <f>IFERROR(__xludf.DUMMYFUNCTION("""COMPUTED_VALUE"""),"Completed")</f>
        <v>Completed</v>
      </c>
    </row>
    <row r="5806">
      <c r="A5806" s="9" t="str">
        <f>IFERROR(__xludf.DUMMYFUNCTION("""COMPUTED_VALUE"""),"G-REQ-05805")</f>
        <v>G-REQ-05805</v>
      </c>
      <c r="B5806" s="11">
        <f>IFERROR(__xludf.DUMMYFUNCTION("""COMPUTED_VALUE"""),46174.48421945577)</f>
        <v>46174.48422</v>
      </c>
      <c r="C5806" s="9">
        <f>IFERROR(__xludf.DUMMYFUNCTION("""COMPUTED_VALUE"""),22251.0)</f>
        <v>22251</v>
      </c>
      <c r="D5806" s="9" t="str">
        <f>IFERROR(__xludf.DUMMYFUNCTION("""COMPUTED_VALUE"""),"Completed")</f>
        <v>Completed</v>
      </c>
    </row>
    <row r="5807">
      <c r="A5807" s="9" t="str">
        <f>IFERROR(__xludf.DUMMYFUNCTION("""COMPUTED_VALUE"""),"G-REQ-05806")</f>
        <v>G-REQ-05806</v>
      </c>
      <c r="B5807" s="11">
        <f>IFERROR(__xludf.DUMMYFUNCTION("""COMPUTED_VALUE"""),46174.555394301184)</f>
        <v>46174.55539</v>
      </c>
      <c r="C5807" s="9">
        <f>IFERROR(__xludf.DUMMYFUNCTION("""COMPUTED_VALUE"""),22255.0)</f>
        <v>22255</v>
      </c>
      <c r="D5807" s="9" t="str">
        <f>IFERROR(__xludf.DUMMYFUNCTION("""COMPUTED_VALUE"""),"Completed")</f>
        <v>Completed</v>
      </c>
    </row>
    <row r="5808">
      <c r="A5808" s="9" t="str">
        <f>IFERROR(__xludf.DUMMYFUNCTION("""COMPUTED_VALUE"""),"G-REQ-05807")</f>
        <v>G-REQ-05807</v>
      </c>
      <c r="B5808" s="11">
        <f>IFERROR(__xludf.DUMMYFUNCTION("""COMPUTED_VALUE"""),46174.626569146596)</f>
        <v>46174.62657</v>
      </c>
      <c r="C5808" s="9">
        <f>IFERROR(__xludf.DUMMYFUNCTION("""COMPUTED_VALUE"""),22259.0)</f>
        <v>22259</v>
      </c>
      <c r="D5808" s="9" t="str">
        <f>IFERROR(__xludf.DUMMYFUNCTION("""COMPUTED_VALUE"""),"Completed")</f>
        <v>Completed</v>
      </c>
    </row>
    <row r="5809">
      <c r="A5809" s="9" t="str">
        <f>IFERROR(__xludf.DUMMYFUNCTION("""COMPUTED_VALUE"""),"G-REQ-05808")</f>
        <v>G-REQ-05808</v>
      </c>
      <c r="B5809" s="11">
        <f>IFERROR(__xludf.DUMMYFUNCTION("""COMPUTED_VALUE"""),46174.697743992016)</f>
        <v>46174.69774</v>
      </c>
      <c r="C5809" s="9">
        <f>IFERROR(__xludf.DUMMYFUNCTION("""COMPUTED_VALUE"""),22263.0)</f>
        <v>22263</v>
      </c>
      <c r="D5809" s="9" t="str">
        <f>IFERROR(__xludf.DUMMYFUNCTION("""COMPUTED_VALUE"""),"Completed")</f>
        <v>Completed</v>
      </c>
    </row>
    <row r="5810">
      <c r="A5810" s="9" t="str">
        <f>IFERROR(__xludf.DUMMYFUNCTION("""COMPUTED_VALUE"""),"G-REQ-05809")</f>
        <v>G-REQ-05809</v>
      </c>
      <c r="B5810" s="11">
        <f>IFERROR(__xludf.DUMMYFUNCTION("""COMPUTED_VALUE"""),46174.76891883743)</f>
        <v>46174.76892</v>
      </c>
      <c r="C5810" s="9">
        <f>IFERROR(__xludf.DUMMYFUNCTION("""COMPUTED_VALUE"""),22267.0)</f>
        <v>22267</v>
      </c>
      <c r="D5810" s="9" t="str">
        <f>IFERROR(__xludf.DUMMYFUNCTION("""COMPUTED_VALUE"""),"Completed")</f>
        <v>Completed</v>
      </c>
    </row>
    <row r="5811">
      <c r="A5811" s="9" t="str">
        <f>IFERROR(__xludf.DUMMYFUNCTION("""COMPUTED_VALUE"""),"G-REQ-05810")</f>
        <v>G-REQ-05810</v>
      </c>
      <c r="B5811" s="11">
        <f>IFERROR(__xludf.DUMMYFUNCTION("""COMPUTED_VALUE"""),46174.833149238395)</f>
        <v>46174.83315</v>
      </c>
      <c r="C5811" s="9">
        <f>IFERROR(__xludf.DUMMYFUNCTION("""COMPUTED_VALUE"""),22269.0)</f>
        <v>22269</v>
      </c>
      <c r="D5811" s="9" t="str">
        <f>IFERROR(__xludf.DUMMYFUNCTION("""COMPUTED_VALUE"""),"Rejected")</f>
        <v>Rejected</v>
      </c>
    </row>
    <row r="5812">
      <c r="A5812" s="9" t="str">
        <f>IFERROR(__xludf.DUMMYFUNCTION("""COMPUTED_VALUE"""),"G-REQ-05811")</f>
        <v>G-REQ-05811</v>
      </c>
      <c r="B5812" s="11">
        <f>IFERROR(__xludf.DUMMYFUNCTION("""COMPUTED_VALUE"""),46174.91126852826)</f>
        <v>46174.91127</v>
      </c>
      <c r="C5812" s="9">
        <f>IFERROR(__xludf.DUMMYFUNCTION("""COMPUTED_VALUE"""),22273.0)</f>
        <v>22273</v>
      </c>
      <c r="D5812" s="9" t="str">
        <f>IFERROR(__xludf.DUMMYFUNCTION("""COMPUTED_VALUE"""),"Completed")</f>
        <v>Completed</v>
      </c>
    </row>
    <row r="5813">
      <c r="A5813" s="9" t="str">
        <f>IFERROR(__xludf.DUMMYFUNCTION("""COMPUTED_VALUE"""),"G-REQ-05812")</f>
        <v>G-REQ-05812</v>
      </c>
      <c r="B5813" s="11">
        <f>IFERROR(__xludf.DUMMYFUNCTION("""COMPUTED_VALUE"""),46174.98244337367)</f>
        <v>46174.98244</v>
      </c>
      <c r="C5813" s="9">
        <f>IFERROR(__xludf.DUMMYFUNCTION("""COMPUTED_VALUE"""),22277.0)</f>
        <v>22277</v>
      </c>
      <c r="D5813" s="9" t="str">
        <f>IFERROR(__xludf.DUMMYFUNCTION("""COMPUTED_VALUE"""),"Completed")</f>
        <v>Completed</v>
      </c>
    </row>
    <row r="5814">
      <c r="A5814" s="9" t="str">
        <f>IFERROR(__xludf.DUMMYFUNCTION("""COMPUTED_VALUE"""),"G-REQ-05813")</f>
        <v>G-REQ-05813</v>
      </c>
      <c r="B5814" s="11">
        <f>IFERROR(__xludf.DUMMYFUNCTION("""COMPUTED_VALUE"""),46175.053618219084)</f>
        <v>46175.05362</v>
      </c>
      <c r="C5814" s="9">
        <f>IFERROR(__xludf.DUMMYFUNCTION("""COMPUTED_VALUE"""),22281.0)</f>
        <v>22281</v>
      </c>
      <c r="D5814" s="9" t="str">
        <f>IFERROR(__xludf.DUMMYFUNCTION("""COMPUTED_VALUE"""),"Completed")</f>
        <v>Completed</v>
      </c>
    </row>
    <row r="5815">
      <c r="A5815" s="9" t="str">
        <f>IFERROR(__xludf.DUMMYFUNCTION("""COMPUTED_VALUE"""),"G-REQ-05814")</f>
        <v>G-REQ-05814</v>
      </c>
      <c r="B5815" s="11">
        <f>IFERROR(__xludf.DUMMYFUNCTION("""COMPUTED_VALUE"""),46175.124793064504)</f>
        <v>46175.12479</v>
      </c>
      <c r="C5815" s="9">
        <f>IFERROR(__xludf.DUMMYFUNCTION("""COMPUTED_VALUE"""),22285.0)</f>
        <v>22285</v>
      </c>
      <c r="D5815" s="9" t="str">
        <f>IFERROR(__xludf.DUMMYFUNCTION("""COMPUTED_VALUE"""),"Completed")</f>
        <v>Completed</v>
      </c>
    </row>
    <row r="5816">
      <c r="A5816" s="9" t="str">
        <f>IFERROR(__xludf.DUMMYFUNCTION("""COMPUTED_VALUE"""),"G-REQ-05815")</f>
        <v>G-REQ-05815</v>
      </c>
      <c r="B5816" s="11">
        <f>IFERROR(__xludf.DUMMYFUNCTION("""COMPUTED_VALUE"""),46175.195967909924)</f>
        <v>46175.19597</v>
      </c>
      <c r="C5816" s="9">
        <f>IFERROR(__xludf.DUMMYFUNCTION("""COMPUTED_VALUE"""),22289.0)</f>
        <v>22289</v>
      </c>
      <c r="D5816" s="9" t="str">
        <f>IFERROR(__xludf.DUMMYFUNCTION("""COMPUTED_VALUE"""),"Completed")</f>
        <v>Completed</v>
      </c>
    </row>
    <row r="5817">
      <c r="A5817" s="9" t="str">
        <f>IFERROR(__xludf.DUMMYFUNCTION("""COMPUTED_VALUE"""),"G-REQ-05816")</f>
        <v>G-REQ-05816</v>
      </c>
      <c r="B5817" s="11">
        <f>IFERROR(__xludf.DUMMYFUNCTION("""COMPUTED_VALUE"""),46175.26714275533)</f>
        <v>46175.26714</v>
      </c>
      <c r="C5817" s="9">
        <f>IFERROR(__xludf.DUMMYFUNCTION("""COMPUTED_VALUE"""),22293.0)</f>
        <v>22293</v>
      </c>
      <c r="D5817" s="9" t="str">
        <f>IFERROR(__xludf.DUMMYFUNCTION("""COMPUTED_VALUE"""),"Completed")</f>
        <v>Completed</v>
      </c>
    </row>
    <row r="5818">
      <c r="A5818" s="9" t="str">
        <f>IFERROR(__xludf.DUMMYFUNCTION("""COMPUTED_VALUE"""),"G-REQ-05817")</f>
        <v>G-REQ-05817</v>
      </c>
      <c r="B5818" s="11">
        <f>IFERROR(__xludf.DUMMYFUNCTION("""COMPUTED_VALUE"""),46175.33831760075)</f>
        <v>46175.33832</v>
      </c>
      <c r="C5818" s="9">
        <f>IFERROR(__xludf.DUMMYFUNCTION("""COMPUTED_VALUE"""),22297.0)</f>
        <v>22297</v>
      </c>
      <c r="D5818" s="9" t="str">
        <f>IFERROR(__xludf.DUMMYFUNCTION("""COMPUTED_VALUE"""),"Completed")</f>
        <v>Completed</v>
      </c>
    </row>
    <row r="5819">
      <c r="A5819" s="9" t="str">
        <f>IFERROR(__xludf.DUMMYFUNCTION("""COMPUTED_VALUE"""),"G-REQ-05818")</f>
        <v>G-REQ-05818</v>
      </c>
      <c r="B5819" s="11">
        <f>IFERROR(__xludf.DUMMYFUNCTION("""COMPUTED_VALUE"""),46175.40949244617)</f>
        <v>46175.40949</v>
      </c>
      <c r="C5819" s="9">
        <f>IFERROR(__xludf.DUMMYFUNCTION("""COMPUTED_VALUE"""),22301.0)</f>
        <v>22301</v>
      </c>
      <c r="D5819" s="9" t="str">
        <f>IFERROR(__xludf.DUMMYFUNCTION("""COMPUTED_VALUE"""),"Completed")</f>
        <v>Completed</v>
      </c>
    </row>
    <row r="5820">
      <c r="A5820" s="9" t="str">
        <f>IFERROR(__xludf.DUMMYFUNCTION("""COMPUTED_VALUE"""),"G-REQ-05819")</f>
        <v>G-REQ-05819</v>
      </c>
      <c r="B5820" s="11">
        <f>IFERROR(__xludf.DUMMYFUNCTION("""COMPUTED_VALUE"""),46175.48066729158)</f>
        <v>46175.48067</v>
      </c>
      <c r="C5820" s="9">
        <f>IFERROR(__xludf.DUMMYFUNCTION("""COMPUTED_VALUE"""),22305.0)</f>
        <v>22305</v>
      </c>
      <c r="D5820" s="9" t="str">
        <f>IFERROR(__xludf.DUMMYFUNCTION("""COMPUTED_VALUE"""),"Completed")</f>
        <v>Completed</v>
      </c>
    </row>
    <row r="5821">
      <c r="A5821" s="9" t="str">
        <f>IFERROR(__xludf.DUMMYFUNCTION("""COMPUTED_VALUE"""),"G-REQ-05820")</f>
        <v>G-REQ-05820</v>
      </c>
      <c r="B5821" s="11">
        <f>IFERROR(__xludf.DUMMYFUNCTION("""COMPUTED_VALUE"""),46175.55184213699)</f>
        <v>46175.55184</v>
      </c>
      <c r="C5821" s="9">
        <f>IFERROR(__xludf.DUMMYFUNCTION("""COMPUTED_VALUE"""),22309.0)</f>
        <v>22309</v>
      </c>
      <c r="D5821" s="9" t="str">
        <f>IFERROR(__xludf.DUMMYFUNCTION("""COMPUTED_VALUE"""),"Completed")</f>
        <v>Completed</v>
      </c>
    </row>
    <row r="5822">
      <c r="A5822" s="9" t="str">
        <f>IFERROR(__xludf.DUMMYFUNCTION("""COMPUTED_VALUE"""),"G-REQ-05821")</f>
        <v>G-REQ-05821</v>
      </c>
      <c r="B5822" s="11">
        <f>IFERROR(__xludf.DUMMYFUNCTION("""COMPUTED_VALUE"""),46175.62301698241)</f>
        <v>46175.62302</v>
      </c>
      <c r="C5822" s="9">
        <f>IFERROR(__xludf.DUMMYFUNCTION("""COMPUTED_VALUE"""),22313.0)</f>
        <v>22313</v>
      </c>
      <c r="D5822" s="9" t="str">
        <f>IFERROR(__xludf.DUMMYFUNCTION("""COMPUTED_VALUE"""),"Completed")</f>
        <v>Completed</v>
      </c>
    </row>
    <row r="5823">
      <c r="A5823" s="9" t="str">
        <f>IFERROR(__xludf.DUMMYFUNCTION("""COMPUTED_VALUE"""),"G-REQ-05822")</f>
        <v>G-REQ-05822</v>
      </c>
      <c r="B5823" s="11">
        <f>IFERROR(__xludf.DUMMYFUNCTION("""COMPUTED_VALUE"""),46175.694191827824)</f>
        <v>46175.69419</v>
      </c>
      <c r="C5823" s="9">
        <f>IFERROR(__xludf.DUMMYFUNCTION("""COMPUTED_VALUE"""),22317.0)</f>
        <v>22317</v>
      </c>
      <c r="D5823" s="9" t="str">
        <f>IFERROR(__xludf.DUMMYFUNCTION("""COMPUTED_VALUE"""),"Completed")</f>
        <v>Completed</v>
      </c>
    </row>
    <row r="5824">
      <c r="A5824" s="9" t="str">
        <f>IFERROR(__xludf.DUMMYFUNCTION("""COMPUTED_VALUE"""),"G-REQ-05823")</f>
        <v>G-REQ-05823</v>
      </c>
      <c r="B5824" s="11">
        <f>IFERROR(__xludf.DUMMYFUNCTION("""COMPUTED_VALUE"""),46175.76536667324)</f>
        <v>46175.76537</v>
      </c>
      <c r="C5824" s="9">
        <f>IFERROR(__xludf.DUMMYFUNCTION("""COMPUTED_VALUE"""),22321.0)</f>
        <v>22321</v>
      </c>
      <c r="D5824" s="9" t="str">
        <f>IFERROR(__xludf.DUMMYFUNCTION("""COMPUTED_VALUE"""),"Completed")</f>
        <v>Completed</v>
      </c>
    </row>
    <row r="5825">
      <c r="A5825" s="9" t="str">
        <f>IFERROR(__xludf.DUMMYFUNCTION("""COMPUTED_VALUE"""),"G-REQ-05824")</f>
        <v>G-REQ-05824</v>
      </c>
      <c r="B5825" s="11">
        <f>IFERROR(__xludf.DUMMYFUNCTION("""COMPUTED_VALUE"""),46175.836541518656)</f>
        <v>46175.83654</v>
      </c>
      <c r="C5825" s="9">
        <f>IFERROR(__xludf.DUMMYFUNCTION("""COMPUTED_VALUE"""),22325.0)</f>
        <v>22325</v>
      </c>
      <c r="D5825" s="9" t="str">
        <f>IFERROR(__xludf.DUMMYFUNCTION("""COMPUTED_VALUE"""),"Completed")</f>
        <v>Completed</v>
      </c>
    </row>
    <row r="5826">
      <c r="A5826" s="9" t="str">
        <f>IFERROR(__xludf.DUMMYFUNCTION("""COMPUTED_VALUE"""),"G-REQ-05825")</f>
        <v>G-REQ-05825</v>
      </c>
      <c r="B5826" s="11">
        <f>IFERROR(__xludf.DUMMYFUNCTION("""COMPUTED_VALUE"""),46175.90771636407)</f>
        <v>46175.90772</v>
      </c>
      <c r="C5826" s="9">
        <f>IFERROR(__xludf.DUMMYFUNCTION("""COMPUTED_VALUE"""),22329.0)</f>
        <v>22329</v>
      </c>
      <c r="D5826" s="9" t="str">
        <f>IFERROR(__xludf.DUMMYFUNCTION("""COMPUTED_VALUE"""),"Completed")</f>
        <v>Completed</v>
      </c>
    </row>
    <row r="5827">
      <c r="A5827" s="9" t="str">
        <f>IFERROR(__xludf.DUMMYFUNCTION("""COMPUTED_VALUE"""),"G-REQ-05826")</f>
        <v>G-REQ-05826</v>
      </c>
      <c r="B5827" s="11">
        <f>IFERROR(__xludf.DUMMYFUNCTION("""COMPUTED_VALUE"""),46175.97889120948)</f>
        <v>46175.97889</v>
      </c>
      <c r="C5827" s="9">
        <f>IFERROR(__xludf.DUMMYFUNCTION("""COMPUTED_VALUE"""),22333.0)</f>
        <v>22333</v>
      </c>
      <c r="D5827" s="9" t="str">
        <f>IFERROR(__xludf.DUMMYFUNCTION("""COMPUTED_VALUE"""),"Completed")</f>
        <v>Completed</v>
      </c>
    </row>
    <row r="5828">
      <c r="A5828" s="9" t="str">
        <f>IFERROR(__xludf.DUMMYFUNCTION("""COMPUTED_VALUE"""),"G-REQ-05827")</f>
        <v>G-REQ-05827</v>
      </c>
      <c r="B5828" s="11">
        <f>IFERROR(__xludf.DUMMYFUNCTION("""COMPUTED_VALUE"""),46176.0500660549)</f>
        <v>46176.05007</v>
      </c>
      <c r="C5828" s="9">
        <f>IFERROR(__xludf.DUMMYFUNCTION("""COMPUTED_VALUE"""),22337.0)</f>
        <v>22337</v>
      </c>
      <c r="D5828" s="9" t="str">
        <f>IFERROR(__xludf.DUMMYFUNCTION("""COMPUTED_VALUE"""),"Completed")</f>
        <v>Completed</v>
      </c>
    </row>
    <row r="5829">
      <c r="A5829" s="9" t="str">
        <f>IFERROR(__xludf.DUMMYFUNCTION("""COMPUTED_VALUE"""),"G-REQ-05828")</f>
        <v>G-REQ-05828</v>
      </c>
      <c r="B5829" s="11">
        <f>IFERROR(__xludf.DUMMYFUNCTION("""COMPUTED_VALUE"""),46176.12124090031)</f>
        <v>46176.12124</v>
      </c>
      <c r="C5829" s="9">
        <f>IFERROR(__xludf.DUMMYFUNCTION("""COMPUTED_VALUE"""),22341.0)</f>
        <v>22341</v>
      </c>
      <c r="D5829" s="9" t="str">
        <f>IFERROR(__xludf.DUMMYFUNCTION("""COMPUTED_VALUE"""),"Completed")</f>
        <v>Completed</v>
      </c>
    </row>
    <row r="5830">
      <c r="A5830" s="9" t="str">
        <f>IFERROR(__xludf.DUMMYFUNCTION("""COMPUTED_VALUE"""),"G-REQ-05829")</f>
        <v>G-REQ-05829</v>
      </c>
      <c r="B5830" s="11">
        <f>IFERROR(__xludf.DUMMYFUNCTION("""COMPUTED_VALUE"""),46176.19241574573)</f>
        <v>46176.19242</v>
      </c>
      <c r="C5830" s="9">
        <f>IFERROR(__xludf.DUMMYFUNCTION("""COMPUTED_VALUE"""),22345.0)</f>
        <v>22345</v>
      </c>
      <c r="D5830" s="9" t="str">
        <f>IFERROR(__xludf.DUMMYFUNCTION("""COMPUTED_VALUE"""),"Completed")</f>
        <v>Completed</v>
      </c>
    </row>
    <row r="5831">
      <c r="A5831" s="9" t="str">
        <f>IFERROR(__xludf.DUMMYFUNCTION("""COMPUTED_VALUE"""),"G-REQ-05830")</f>
        <v>G-REQ-05830</v>
      </c>
      <c r="B5831" s="11">
        <f>IFERROR(__xludf.DUMMYFUNCTION("""COMPUTED_VALUE"""),46176.263590591145)</f>
        <v>46176.26359</v>
      </c>
      <c r="C5831" s="9">
        <f>IFERROR(__xludf.DUMMYFUNCTION("""COMPUTED_VALUE"""),22349.0)</f>
        <v>22349</v>
      </c>
      <c r="D5831" s="9" t="str">
        <f>IFERROR(__xludf.DUMMYFUNCTION("""COMPUTED_VALUE"""),"Completed")</f>
        <v>Completed</v>
      </c>
    </row>
    <row r="5832">
      <c r="A5832" s="9" t="str">
        <f>IFERROR(__xludf.DUMMYFUNCTION("""COMPUTED_VALUE"""),"G-REQ-05831")</f>
        <v>G-REQ-05831</v>
      </c>
      <c r="B5832" s="11">
        <f>IFERROR(__xludf.DUMMYFUNCTION("""COMPUTED_VALUE"""),46176.334765436564)</f>
        <v>46176.33477</v>
      </c>
      <c r="C5832" s="9">
        <f>IFERROR(__xludf.DUMMYFUNCTION("""COMPUTED_VALUE"""),22353.0)</f>
        <v>22353</v>
      </c>
      <c r="D5832" s="9" t="str">
        <f>IFERROR(__xludf.DUMMYFUNCTION("""COMPUTED_VALUE"""),"Completed")</f>
        <v>Completed</v>
      </c>
    </row>
    <row r="5833">
      <c r="A5833" s="9" t="str">
        <f>IFERROR(__xludf.DUMMYFUNCTION("""COMPUTED_VALUE"""),"G-REQ-05832")</f>
        <v>G-REQ-05832</v>
      </c>
      <c r="B5833" s="11">
        <f>IFERROR(__xludf.DUMMYFUNCTION("""COMPUTED_VALUE"""),46176.40594028197)</f>
        <v>46176.40594</v>
      </c>
      <c r="C5833" s="9">
        <f>IFERROR(__xludf.DUMMYFUNCTION("""COMPUTED_VALUE"""),22357.0)</f>
        <v>22357</v>
      </c>
      <c r="D5833" s="9" t="str">
        <f>IFERROR(__xludf.DUMMYFUNCTION("""COMPUTED_VALUE"""),"Completed")</f>
        <v>Completed</v>
      </c>
    </row>
    <row r="5834">
      <c r="A5834" s="9" t="str">
        <f>IFERROR(__xludf.DUMMYFUNCTION("""COMPUTED_VALUE"""),"G-REQ-05833")</f>
        <v>G-REQ-05833</v>
      </c>
      <c r="B5834" s="11">
        <f>IFERROR(__xludf.DUMMYFUNCTION("""COMPUTED_VALUE"""),46176.47711512739)</f>
        <v>46176.47712</v>
      </c>
      <c r="C5834" s="9">
        <f>IFERROR(__xludf.DUMMYFUNCTION("""COMPUTED_VALUE"""),22361.0)</f>
        <v>22361</v>
      </c>
      <c r="D5834" s="9" t="str">
        <f>IFERROR(__xludf.DUMMYFUNCTION("""COMPUTED_VALUE"""),"Completed")</f>
        <v>Completed</v>
      </c>
    </row>
    <row r="5835">
      <c r="A5835" s="9" t="str">
        <f>IFERROR(__xludf.DUMMYFUNCTION("""COMPUTED_VALUE"""),"G-REQ-05834")</f>
        <v>G-REQ-05834</v>
      </c>
      <c r="B5835" s="11">
        <f>IFERROR(__xludf.DUMMYFUNCTION("""COMPUTED_VALUE"""),46176.54828997281)</f>
        <v>46176.54829</v>
      </c>
      <c r="C5835" s="9">
        <f>IFERROR(__xludf.DUMMYFUNCTION("""COMPUTED_VALUE"""),22365.0)</f>
        <v>22365</v>
      </c>
      <c r="D5835" s="9" t="str">
        <f>IFERROR(__xludf.DUMMYFUNCTION("""COMPUTED_VALUE"""),"Completed")</f>
        <v>Completed</v>
      </c>
    </row>
    <row r="5836">
      <c r="A5836" s="9" t="str">
        <f>IFERROR(__xludf.DUMMYFUNCTION("""COMPUTED_VALUE"""),"G-REQ-05835")</f>
        <v>G-REQ-05835</v>
      </c>
      <c r="B5836" s="11">
        <f>IFERROR(__xludf.DUMMYFUNCTION("""COMPUTED_VALUE"""),46176.61946481822)</f>
        <v>46176.61946</v>
      </c>
      <c r="C5836" s="9">
        <f>IFERROR(__xludf.DUMMYFUNCTION("""COMPUTED_VALUE"""),22369.0)</f>
        <v>22369</v>
      </c>
      <c r="D5836" s="9" t="str">
        <f>IFERROR(__xludf.DUMMYFUNCTION("""COMPUTED_VALUE"""),"Completed")</f>
        <v>Completed</v>
      </c>
    </row>
    <row r="5837">
      <c r="A5837" s="9" t="str">
        <f>IFERROR(__xludf.DUMMYFUNCTION("""COMPUTED_VALUE"""),"G-REQ-05836")</f>
        <v>G-REQ-05836</v>
      </c>
      <c r="B5837" s="11">
        <f>IFERROR(__xludf.DUMMYFUNCTION("""COMPUTED_VALUE"""),46176.69063966363)</f>
        <v>46176.69064</v>
      </c>
      <c r="C5837" s="9">
        <f>IFERROR(__xludf.DUMMYFUNCTION("""COMPUTED_VALUE"""),22373.0)</f>
        <v>22373</v>
      </c>
      <c r="D5837" s="9" t="str">
        <f>IFERROR(__xludf.DUMMYFUNCTION("""COMPUTED_VALUE"""),"Completed")</f>
        <v>Completed</v>
      </c>
    </row>
    <row r="5838">
      <c r="A5838" s="9" t="str">
        <f>IFERROR(__xludf.DUMMYFUNCTION("""COMPUTED_VALUE"""),"G-REQ-05837")</f>
        <v>G-REQ-05837</v>
      </c>
      <c r="B5838" s="11">
        <f>IFERROR(__xludf.DUMMYFUNCTION("""COMPUTED_VALUE"""),46176.76181450905)</f>
        <v>46176.76181</v>
      </c>
      <c r="C5838" s="9">
        <f>IFERROR(__xludf.DUMMYFUNCTION("""COMPUTED_VALUE"""),22377.0)</f>
        <v>22377</v>
      </c>
      <c r="D5838" s="9" t="str">
        <f>IFERROR(__xludf.DUMMYFUNCTION("""COMPUTED_VALUE"""),"Completed")</f>
        <v>Completed</v>
      </c>
    </row>
    <row r="5839">
      <c r="A5839" s="9" t="str">
        <f>IFERROR(__xludf.DUMMYFUNCTION("""COMPUTED_VALUE"""),"G-REQ-05838")</f>
        <v>G-REQ-05838</v>
      </c>
      <c r="B5839" s="11">
        <f>IFERROR(__xludf.DUMMYFUNCTION("""COMPUTED_VALUE"""),46176.832989354465)</f>
        <v>46176.83299</v>
      </c>
      <c r="C5839" s="9">
        <f>IFERROR(__xludf.DUMMYFUNCTION("""COMPUTED_VALUE"""),22381.0)</f>
        <v>22381</v>
      </c>
      <c r="D5839" s="9" t="str">
        <f>IFERROR(__xludf.DUMMYFUNCTION("""COMPUTED_VALUE"""),"Completed")</f>
        <v>Completed</v>
      </c>
    </row>
    <row r="5840">
      <c r="A5840" s="9" t="str">
        <f>IFERROR(__xludf.DUMMYFUNCTION("""COMPUTED_VALUE"""),"G-REQ-05839")</f>
        <v>G-REQ-05839</v>
      </c>
      <c r="B5840" s="11">
        <f>IFERROR(__xludf.DUMMYFUNCTION("""COMPUTED_VALUE"""),46176.90416419988)</f>
        <v>46176.90416</v>
      </c>
      <c r="C5840" s="9">
        <f>IFERROR(__xludf.DUMMYFUNCTION("""COMPUTED_VALUE"""),22385.0)</f>
        <v>22385</v>
      </c>
      <c r="D5840" s="9" t="str">
        <f>IFERROR(__xludf.DUMMYFUNCTION("""COMPUTED_VALUE"""),"Completed")</f>
        <v>Completed</v>
      </c>
    </row>
    <row r="5841">
      <c r="A5841" s="9" t="str">
        <f>IFERROR(__xludf.DUMMYFUNCTION("""COMPUTED_VALUE"""),"G-REQ-05840")</f>
        <v>G-REQ-05840</v>
      </c>
      <c r="B5841" s="11">
        <f>IFERROR(__xludf.DUMMYFUNCTION("""COMPUTED_VALUE"""),46176.9753390453)</f>
        <v>46176.97534</v>
      </c>
      <c r="C5841" s="9">
        <f>IFERROR(__xludf.DUMMYFUNCTION("""COMPUTED_VALUE"""),22389.0)</f>
        <v>22389</v>
      </c>
      <c r="D5841" s="9" t="str">
        <f>IFERROR(__xludf.DUMMYFUNCTION("""COMPUTED_VALUE"""),"Completed")</f>
        <v>Completed</v>
      </c>
    </row>
    <row r="5842">
      <c r="A5842" s="9" t="str">
        <f>IFERROR(__xludf.DUMMYFUNCTION("""COMPUTED_VALUE"""),"G-REQ-05841")</f>
        <v>G-REQ-05841</v>
      </c>
      <c r="B5842" s="11">
        <f>IFERROR(__xludf.DUMMYFUNCTION("""COMPUTED_VALUE"""),46177.03956944627)</f>
        <v>46177.03957</v>
      </c>
      <c r="C5842" s="9">
        <f>IFERROR(__xludf.DUMMYFUNCTION("""COMPUTED_VALUE"""),22391.0)</f>
        <v>22391</v>
      </c>
      <c r="D5842" s="9" t="str">
        <f>IFERROR(__xludf.DUMMYFUNCTION("""COMPUTED_VALUE"""),"Cancelled")</f>
        <v>Cancelled</v>
      </c>
    </row>
    <row r="5843">
      <c r="A5843" s="9" t="str">
        <f>IFERROR(__xludf.DUMMYFUNCTION("""COMPUTED_VALUE"""),"G-REQ-05842")</f>
        <v>G-REQ-05842</v>
      </c>
      <c r="B5843" s="11">
        <f>IFERROR(__xludf.DUMMYFUNCTION("""COMPUTED_VALUE"""),46177.11768873612)</f>
        <v>46177.11769</v>
      </c>
      <c r="C5843" s="9">
        <f>IFERROR(__xludf.DUMMYFUNCTION("""COMPUTED_VALUE"""),22395.0)</f>
        <v>22395</v>
      </c>
      <c r="D5843" s="9" t="str">
        <f>IFERROR(__xludf.DUMMYFUNCTION("""COMPUTED_VALUE"""),"Completed")</f>
        <v>Completed</v>
      </c>
    </row>
    <row r="5844">
      <c r="A5844" s="9" t="str">
        <f>IFERROR(__xludf.DUMMYFUNCTION("""COMPUTED_VALUE"""),"G-REQ-05843")</f>
        <v>G-REQ-05843</v>
      </c>
      <c r="B5844" s="11">
        <f>IFERROR(__xludf.DUMMYFUNCTION("""COMPUTED_VALUE"""),46177.18886358154)</f>
        <v>46177.18886</v>
      </c>
      <c r="C5844" s="9">
        <f>IFERROR(__xludf.DUMMYFUNCTION("""COMPUTED_VALUE"""),22399.0)</f>
        <v>22399</v>
      </c>
      <c r="D5844" s="9" t="str">
        <f>IFERROR(__xludf.DUMMYFUNCTION("""COMPUTED_VALUE"""),"Completed")</f>
        <v>Completed</v>
      </c>
    </row>
    <row r="5845">
      <c r="A5845" s="9" t="str">
        <f>IFERROR(__xludf.DUMMYFUNCTION("""COMPUTED_VALUE"""),"G-REQ-05844")</f>
        <v>G-REQ-05844</v>
      </c>
      <c r="B5845" s="11">
        <f>IFERROR(__xludf.DUMMYFUNCTION("""COMPUTED_VALUE"""),46177.26003842695)</f>
        <v>46177.26004</v>
      </c>
      <c r="C5845" s="9">
        <f>IFERROR(__xludf.DUMMYFUNCTION("""COMPUTED_VALUE"""),22403.0)</f>
        <v>22403</v>
      </c>
      <c r="D5845" s="9" t="str">
        <f>IFERROR(__xludf.DUMMYFUNCTION("""COMPUTED_VALUE"""),"Completed")</f>
        <v>Completed</v>
      </c>
    </row>
    <row r="5846">
      <c r="A5846" s="9" t="str">
        <f>IFERROR(__xludf.DUMMYFUNCTION("""COMPUTED_VALUE"""),"G-REQ-05845")</f>
        <v>G-REQ-05845</v>
      </c>
      <c r="B5846" s="11">
        <f>IFERROR(__xludf.DUMMYFUNCTION("""COMPUTED_VALUE"""),46177.33121327237)</f>
        <v>46177.33121</v>
      </c>
      <c r="C5846" s="9">
        <f>IFERROR(__xludf.DUMMYFUNCTION("""COMPUTED_VALUE"""),22407.0)</f>
        <v>22407</v>
      </c>
      <c r="D5846" s="9" t="str">
        <f>IFERROR(__xludf.DUMMYFUNCTION("""COMPUTED_VALUE"""),"Completed")</f>
        <v>Completed</v>
      </c>
    </row>
    <row r="5847">
      <c r="A5847" s="9" t="str">
        <f>IFERROR(__xludf.DUMMYFUNCTION("""COMPUTED_VALUE"""),"G-REQ-05846")</f>
        <v>G-REQ-05846</v>
      </c>
      <c r="B5847" s="11">
        <f>IFERROR(__xludf.DUMMYFUNCTION("""COMPUTED_VALUE"""),46177.402388117785)</f>
        <v>46177.40239</v>
      </c>
      <c r="C5847" s="9">
        <f>IFERROR(__xludf.DUMMYFUNCTION("""COMPUTED_VALUE"""),22411.0)</f>
        <v>22411</v>
      </c>
      <c r="D5847" s="9" t="str">
        <f>IFERROR(__xludf.DUMMYFUNCTION("""COMPUTED_VALUE"""),"Completed")</f>
        <v>Completed</v>
      </c>
    </row>
    <row r="5848">
      <c r="A5848" s="9" t="str">
        <f>IFERROR(__xludf.DUMMYFUNCTION("""COMPUTED_VALUE"""),"G-REQ-05847")</f>
        <v>G-REQ-05847</v>
      </c>
      <c r="B5848" s="11">
        <f>IFERROR(__xludf.DUMMYFUNCTION("""COMPUTED_VALUE"""),46177.473562963205)</f>
        <v>46177.47356</v>
      </c>
      <c r="C5848" s="9">
        <f>IFERROR(__xludf.DUMMYFUNCTION("""COMPUTED_VALUE"""),22415.0)</f>
        <v>22415</v>
      </c>
      <c r="D5848" s="9" t="str">
        <f>IFERROR(__xludf.DUMMYFUNCTION("""COMPUTED_VALUE"""),"Completed")</f>
        <v>Completed</v>
      </c>
    </row>
    <row r="5849">
      <c r="A5849" s="9" t="str">
        <f>IFERROR(__xludf.DUMMYFUNCTION("""COMPUTED_VALUE"""),"G-REQ-05848")</f>
        <v>G-REQ-05848</v>
      </c>
      <c r="B5849" s="11">
        <f>IFERROR(__xludf.DUMMYFUNCTION("""COMPUTED_VALUE"""),46177.54473780861)</f>
        <v>46177.54474</v>
      </c>
      <c r="C5849" s="9">
        <f>IFERROR(__xludf.DUMMYFUNCTION("""COMPUTED_VALUE"""),22419.0)</f>
        <v>22419</v>
      </c>
      <c r="D5849" s="9" t="str">
        <f>IFERROR(__xludf.DUMMYFUNCTION("""COMPUTED_VALUE"""),"Completed")</f>
        <v>Completed</v>
      </c>
    </row>
    <row r="5850">
      <c r="A5850" s="9" t="str">
        <f>IFERROR(__xludf.DUMMYFUNCTION("""COMPUTED_VALUE"""),"G-REQ-05849")</f>
        <v>G-REQ-05849</v>
      </c>
      <c r="B5850" s="11">
        <f>IFERROR(__xludf.DUMMYFUNCTION("""COMPUTED_VALUE"""),46177.61591265403)</f>
        <v>46177.61591</v>
      </c>
      <c r="C5850" s="9">
        <f>IFERROR(__xludf.DUMMYFUNCTION("""COMPUTED_VALUE"""),22423.0)</f>
        <v>22423</v>
      </c>
      <c r="D5850" s="9" t="str">
        <f>IFERROR(__xludf.DUMMYFUNCTION("""COMPUTED_VALUE"""),"Completed")</f>
        <v>Completed</v>
      </c>
    </row>
    <row r="5851">
      <c r="A5851" s="9" t="str">
        <f>IFERROR(__xludf.DUMMYFUNCTION("""COMPUTED_VALUE"""),"G-REQ-05850")</f>
        <v>G-REQ-05850</v>
      </c>
      <c r="B5851" s="11">
        <f>IFERROR(__xludf.DUMMYFUNCTION("""COMPUTED_VALUE"""),46177.68708749945)</f>
        <v>46177.68709</v>
      </c>
      <c r="C5851" s="9">
        <f>IFERROR(__xludf.DUMMYFUNCTION("""COMPUTED_VALUE"""),22427.0)</f>
        <v>22427</v>
      </c>
      <c r="D5851" s="9" t="str">
        <f>IFERROR(__xludf.DUMMYFUNCTION("""COMPUTED_VALUE"""),"Completed")</f>
        <v>Completed</v>
      </c>
    </row>
    <row r="5852">
      <c r="A5852" s="9" t="str">
        <f>IFERROR(__xludf.DUMMYFUNCTION("""COMPUTED_VALUE"""),"G-REQ-05851")</f>
        <v>G-REQ-05851</v>
      </c>
      <c r="B5852" s="11">
        <f>IFERROR(__xludf.DUMMYFUNCTION("""COMPUTED_VALUE"""),46177.75826234486)</f>
        <v>46177.75826</v>
      </c>
      <c r="C5852" s="9">
        <f>IFERROR(__xludf.DUMMYFUNCTION("""COMPUTED_VALUE"""),22431.0)</f>
        <v>22431</v>
      </c>
      <c r="D5852" s="9" t="str">
        <f>IFERROR(__xludf.DUMMYFUNCTION("""COMPUTED_VALUE"""),"Completed")</f>
        <v>Completed</v>
      </c>
    </row>
    <row r="5853">
      <c r="A5853" s="9" t="str">
        <f>IFERROR(__xludf.DUMMYFUNCTION("""COMPUTED_VALUE"""),"G-REQ-05852")</f>
        <v>G-REQ-05852</v>
      </c>
      <c r="B5853" s="11">
        <f>IFERROR(__xludf.DUMMYFUNCTION("""COMPUTED_VALUE"""),46177.829437190274)</f>
        <v>46177.82944</v>
      </c>
      <c r="C5853" s="9">
        <f>IFERROR(__xludf.DUMMYFUNCTION("""COMPUTED_VALUE"""),22435.0)</f>
        <v>22435</v>
      </c>
      <c r="D5853" s="9" t="str">
        <f>IFERROR(__xludf.DUMMYFUNCTION("""COMPUTED_VALUE"""),"Completed")</f>
        <v>Completed</v>
      </c>
    </row>
    <row r="5854">
      <c r="A5854" s="9" t="str">
        <f>IFERROR(__xludf.DUMMYFUNCTION("""COMPUTED_VALUE"""),"G-REQ-05853")</f>
        <v>G-REQ-05853</v>
      </c>
      <c r="B5854" s="11">
        <f>IFERROR(__xludf.DUMMYFUNCTION("""COMPUTED_VALUE"""),46177.90061203569)</f>
        <v>46177.90061</v>
      </c>
      <c r="C5854" s="9">
        <f>IFERROR(__xludf.DUMMYFUNCTION("""COMPUTED_VALUE"""),22439.0)</f>
        <v>22439</v>
      </c>
      <c r="D5854" s="9" t="str">
        <f>IFERROR(__xludf.DUMMYFUNCTION("""COMPUTED_VALUE"""),"Completed")</f>
        <v>Completed</v>
      </c>
    </row>
    <row r="5855">
      <c r="A5855" s="9" t="str">
        <f>IFERROR(__xludf.DUMMYFUNCTION("""COMPUTED_VALUE"""),"G-REQ-05854")</f>
        <v>G-REQ-05854</v>
      </c>
      <c r="B5855" s="11">
        <f>IFERROR(__xludf.DUMMYFUNCTION("""COMPUTED_VALUE"""),46177.971786881106)</f>
        <v>46177.97179</v>
      </c>
      <c r="C5855" s="9">
        <f>IFERROR(__xludf.DUMMYFUNCTION("""COMPUTED_VALUE"""),22443.0)</f>
        <v>22443</v>
      </c>
      <c r="D5855" s="9" t="str">
        <f>IFERROR(__xludf.DUMMYFUNCTION("""COMPUTED_VALUE"""),"Completed")</f>
        <v>Completed</v>
      </c>
    </row>
    <row r="5856">
      <c r="A5856" s="9" t="str">
        <f>IFERROR(__xludf.DUMMYFUNCTION("""COMPUTED_VALUE"""),"G-REQ-05855")</f>
        <v>G-REQ-05855</v>
      </c>
      <c r="B5856" s="11">
        <f>IFERROR(__xludf.DUMMYFUNCTION("""COMPUTED_VALUE"""),46178.04296172652)</f>
        <v>46178.04296</v>
      </c>
      <c r="C5856" s="9">
        <f>IFERROR(__xludf.DUMMYFUNCTION("""COMPUTED_VALUE"""),22447.0)</f>
        <v>22447</v>
      </c>
      <c r="D5856" s="9" t="str">
        <f>IFERROR(__xludf.DUMMYFUNCTION("""COMPUTED_VALUE"""),"Completed")</f>
        <v>Completed</v>
      </c>
    </row>
    <row r="5857">
      <c r="A5857" s="9" t="str">
        <f>IFERROR(__xludf.DUMMYFUNCTION("""COMPUTED_VALUE"""),"G-REQ-05856")</f>
        <v>G-REQ-05856</v>
      </c>
      <c r="B5857" s="11">
        <f>IFERROR(__xludf.DUMMYFUNCTION("""COMPUTED_VALUE"""),46178.11413657194)</f>
        <v>46178.11414</v>
      </c>
      <c r="C5857" s="9">
        <f>IFERROR(__xludf.DUMMYFUNCTION("""COMPUTED_VALUE"""),22451.0)</f>
        <v>22451</v>
      </c>
      <c r="D5857" s="9" t="str">
        <f>IFERROR(__xludf.DUMMYFUNCTION("""COMPUTED_VALUE"""),"Completed")</f>
        <v>Completed</v>
      </c>
    </row>
    <row r="5858">
      <c r="A5858" s="9" t="str">
        <f>IFERROR(__xludf.DUMMYFUNCTION("""COMPUTED_VALUE"""),"G-REQ-05857")</f>
        <v>G-REQ-05857</v>
      </c>
      <c r="B5858" s="11">
        <f>IFERROR(__xludf.DUMMYFUNCTION("""COMPUTED_VALUE"""),46178.18531141736)</f>
        <v>46178.18531</v>
      </c>
      <c r="C5858" s="9">
        <f>IFERROR(__xludf.DUMMYFUNCTION("""COMPUTED_VALUE"""),22455.0)</f>
        <v>22455</v>
      </c>
      <c r="D5858" s="9" t="str">
        <f>IFERROR(__xludf.DUMMYFUNCTION("""COMPUTED_VALUE"""),"Completed")</f>
        <v>Completed</v>
      </c>
    </row>
    <row r="5859">
      <c r="A5859" s="9" t="str">
        <f>IFERROR(__xludf.DUMMYFUNCTION("""COMPUTED_VALUE"""),"G-REQ-05858")</f>
        <v>G-REQ-05858</v>
      </c>
      <c r="B5859" s="11">
        <f>IFERROR(__xludf.DUMMYFUNCTION("""COMPUTED_VALUE"""),46178.25648626276)</f>
        <v>46178.25649</v>
      </c>
      <c r="C5859" s="9">
        <f>IFERROR(__xludf.DUMMYFUNCTION("""COMPUTED_VALUE"""),22459.0)</f>
        <v>22459</v>
      </c>
      <c r="D5859" s="9" t="str">
        <f>IFERROR(__xludf.DUMMYFUNCTION("""COMPUTED_VALUE"""),"Completed")</f>
        <v>Completed</v>
      </c>
    </row>
    <row r="5860">
      <c r="A5860" s="9" t="str">
        <f>IFERROR(__xludf.DUMMYFUNCTION("""COMPUTED_VALUE"""),"G-REQ-05859")</f>
        <v>G-REQ-05859</v>
      </c>
      <c r="B5860" s="11">
        <f>IFERROR(__xludf.DUMMYFUNCTION("""COMPUTED_VALUE"""),46178.32766110818)</f>
        <v>46178.32766</v>
      </c>
      <c r="C5860" s="9">
        <f>IFERROR(__xludf.DUMMYFUNCTION("""COMPUTED_VALUE"""),22463.0)</f>
        <v>22463</v>
      </c>
      <c r="D5860" s="9" t="str">
        <f>IFERROR(__xludf.DUMMYFUNCTION("""COMPUTED_VALUE"""),"Completed")</f>
        <v>Completed</v>
      </c>
    </row>
    <row r="5861">
      <c r="A5861" s="9" t="str">
        <f>IFERROR(__xludf.DUMMYFUNCTION("""COMPUTED_VALUE"""),"G-REQ-05860")</f>
        <v>G-REQ-05860</v>
      </c>
      <c r="B5861" s="11">
        <f>IFERROR(__xludf.DUMMYFUNCTION("""COMPUTED_VALUE"""),46178.3988359536)</f>
        <v>46178.39884</v>
      </c>
      <c r="C5861" s="9">
        <f>IFERROR(__xludf.DUMMYFUNCTION("""COMPUTED_VALUE"""),22467.0)</f>
        <v>22467</v>
      </c>
      <c r="D5861" s="9" t="str">
        <f>IFERROR(__xludf.DUMMYFUNCTION("""COMPUTED_VALUE"""),"Completed")</f>
        <v>Completed</v>
      </c>
    </row>
    <row r="5862">
      <c r="A5862" s="9" t="str">
        <f>IFERROR(__xludf.DUMMYFUNCTION("""COMPUTED_VALUE"""),"G-REQ-05861")</f>
        <v>G-REQ-05861</v>
      </c>
      <c r="B5862" s="11">
        <f>IFERROR(__xludf.DUMMYFUNCTION("""COMPUTED_VALUE"""),46178.470010799014)</f>
        <v>46178.47001</v>
      </c>
      <c r="C5862" s="9">
        <f>IFERROR(__xludf.DUMMYFUNCTION("""COMPUTED_VALUE"""),22471.0)</f>
        <v>22471</v>
      </c>
      <c r="D5862" s="9" t="str">
        <f>IFERROR(__xludf.DUMMYFUNCTION("""COMPUTED_VALUE"""),"Completed")</f>
        <v>Completed</v>
      </c>
    </row>
    <row r="5863">
      <c r="A5863" s="9" t="str">
        <f>IFERROR(__xludf.DUMMYFUNCTION("""COMPUTED_VALUE"""),"G-REQ-05862")</f>
        <v>G-REQ-05862</v>
      </c>
      <c r="B5863" s="11">
        <f>IFERROR(__xludf.DUMMYFUNCTION("""COMPUTED_VALUE"""),46178.541185644426)</f>
        <v>46178.54119</v>
      </c>
      <c r="C5863" s="9">
        <f>IFERROR(__xludf.DUMMYFUNCTION("""COMPUTED_VALUE"""),22475.0)</f>
        <v>22475</v>
      </c>
      <c r="D5863" s="9" t="str">
        <f>IFERROR(__xludf.DUMMYFUNCTION("""COMPUTED_VALUE"""),"Completed")</f>
        <v>Completed</v>
      </c>
    </row>
    <row r="5864">
      <c r="A5864" s="9" t="str">
        <f>IFERROR(__xludf.DUMMYFUNCTION("""COMPUTED_VALUE"""),"G-REQ-05863")</f>
        <v>G-REQ-05863</v>
      </c>
      <c r="B5864" s="11">
        <f>IFERROR(__xludf.DUMMYFUNCTION("""COMPUTED_VALUE"""),46178.612360489846)</f>
        <v>46178.61236</v>
      </c>
      <c r="C5864" s="9">
        <f>IFERROR(__xludf.DUMMYFUNCTION("""COMPUTED_VALUE"""),22479.0)</f>
        <v>22479</v>
      </c>
      <c r="D5864" s="9" t="str">
        <f>IFERROR(__xludf.DUMMYFUNCTION("""COMPUTED_VALUE"""),"Completed")</f>
        <v>Completed</v>
      </c>
    </row>
    <row r="5865">
      <c r="A5865" s="9" t="str">
        <f>IFERROR(__xludf.DUMMYFUNCTION("""COMPUTED_VALUE"""),"G-REQ-05864")</f>
        <v>G-REQ-05864</v>
      </c>
      <c r="B5865" s="11">
        <f>IFERROR(__xludf.DUMMYFUNCTION("""COMPUTED_VALUE"""),46178.68353533526)</f>
        <v>46178.68354</v>
      </c>
      <c r="C5865" s="9">
        <f>IFERROR(__xludf.DUMMYFUNCTION("""COMPUTED_VALUE"""),22483.0)</f>
        <v>22483</v>
      </c>
      <c r="D5865" s="9" t="str">
        <f>IFERROR(__xludf.DUMMYFUNCTION("""COMPUTED_VALUE"""),"Completed")</f>
        <v>Completed</v>
      </c>
    </row>
    <row r="5866">
      <c r="A5866" s="9" t="str">
        <f>IFERROR(__xludf.DUMMYFUNCTION("""COMPUTED_VALUE"""),"G-REQ-05865")</f>
        <v>G-REQ-05865</v>
      </c>
      <c r="B5866" s="11">
        <f>IFERROR(__xludf.DUMMYFUNCTION("""COMPUTED_VALUE"""),46178.75471018067)</f>
        <v>46178.75471</v>
      </c>
      <c r="C5866" s="9">
        <f>IFERROR(__xludf.DUMMYFUNCTION("""COMPUTED_VALUE"""),22487.0)</f>
        <v>22487</v>
      </c>
      <c r="D5866" s="9" t="str">
        <f>IFERROR(__xludf.DUMMYFUNCTION("""COMPUTED_VALUE"""),"Completed")</f>
        <v>Completed</v>
      </c>
    </row>
    <row r="5867">
      <c r="A5867" s="9" t="str">
        <f>IFERROR(__xludf.DUMMYFUNCTION("""COMPUTED_VALUE"""),"G-REQ-05866")</f>
        <v>G-REQ-05866</v>
      </c>
      <c r="B5867" s="11">
        <f>IFERROR(__xludf.DUMMYFUNCTION("""COMPUTED_VALUE"""),46178.82588502609)</f>
        <v>46178.82589</v>
      </c>
      <c r="C5867" s="9">
        <f>IFERROR(__xludf.DUMMYFUNCTION("""COMPUTED_VALUE"""),22491.0)</f>
        <v>22491</v>
      </c>
      <c r="D5867" s="9" t="str">
        <f>IFERROR(__xludf.DUMMYFUNCTION("""COMPUTED_VALUE"""),"Completed")</f>
        <v>Completed</v>
      </c>
    </row>
    <row r="5868">
      <c r="A5868" s="9" t="str">
        <f>IFERROR(__xludf.DUMMYFUNCTION("""COMPUTED_VALUE"""),"G-REQ-05867")</f>
        <v>G-REQ-05867</v>
      </c>
      <c r="B5868" s="11">
        <f>IFERROR(__xludf.DUMMYFUNCTION("""COMPUTED_VALUE"""),46178.8970598715)</f>
        <v>46178.89706</v>
      </c>
      <c r="C5868" s="9">
        <f>IFERROR(__xludf.DUMMYFUNCTION("""COMPUTED_VALUE"""),22495.0)</f>
        <v>22495</v>
      </c>
      <c r="D5868" s="9" t="str">
        <f>IFERROR(__xludf.DUMMYFUNCTION("""COMPUTED_VALUE"""),"Completed")</f>
        <v>Completed</v>
      </c>
    </row>
    <row r="5869">
      <c r="A5869" s="9" t="str">
        <f>IFERROR(__xludf.DUMMYFUNCTION("""COMPUTED_VALUE"""),"G-REQ-05868")</f>
        <v>G-REQ-05868</v>
      </c>
      <c r="B5869" s="11">
        <f>IFERROR(__xludf.DUMMYFUNCTION("""COMPUTED_VALUE"""),46178.968234716915)</f>
        <v>46178.96823</v>
      </c>
      <c r="C5869" s="9">
        <f>IFERROR(__xludf.DUMMYFUNCTION("""COMPUTED_VALUE"""),22499.0)</f>
        <v>22499</v>
      </c>
      <c r="D5869" s="9" t="str">
        <f>IFERROR(__xludf.DUMMYFUNCTION("""COMPUTED_VALUE"""),"Completed")</f>
        <v>Completed</v>
      </c>
    </row>
    <row r="5870">
      <c r="A5870" s="9" t="str">
        <f>IFERROR(__xludf.DUMMYFUNCTION("""COMPUTED_VALUE"""),"G-REQ-05869")</f>
        <v>G-REQ-05869</v>
      </c>
      <c r="B5870" s="11">
        <f>IFERROR(__xludf.DUMMYFUNCTION("""COMPUTED_VALUE"""),46179.039409562334)</f>
        <v>46179.03941</v>
      </c>
      <c r="C5870" s="9">
        <f>IFERROR(__xludf.DUMMYFUNCTION("""COMPUTED_VALUE"""),22503.0)</f>
        <v>22503</v>
      </c>
      <c r="D5870" s="9" t="str">
        <f>IFERROR(__xludf.DUMMYFUNCTION("""COMPUTED_VALUE"""),"Completed")</f>
        <v>Completed</v>
      </c>
    </row>
    <row r="5871">
      <c r="A5871" s="9" t="str">
        <f>IFERROR(__xludf.DUMMYFUNCTION("""COMPUTED_VALUE"""),"G-REQ-05870")</f>
        <v>G-REQ-05870</v>
      </c>
      <c r="B5871" s="11">
        <f>IFERROR(__xludf.DUMMYFUNCTION("""COMPUTED_VALUE"""),46179.11058440775)</f>
        <v>46179.11058</v>
      </c>
      <c r="C5871" s="9">
        <f>IFERROR(__xludf.DUMMYFUNCTION("""COMPUTED_VALUE"""),22507.0)</f>
        <v>22507</v>
      </c>
      <c r="D5871" s="9" t="str">
        <f>IFERROR(__xludf.DUMMYFUNCTION("""COMPUTED_VALUE"""),"Completed")</f>
        <v>Completed</v>
      </c>
    </row>
    <row r="5872">
      <c r="A5872" s="9" t="str">
        <f>IFERROR(__xludf.DUMMYFUNCTION("""COMPUTED_VALUE"""),"G-REQ-05871")</f>
        <v>G-REQ-05871</v>
      </c>
      <c r="B5872" s="11">
        <f>IFERROR(__xludf.DUMMYFUNCTION("""COMPUTED_VALUE"""),46179.18175925316)</f>
        <v>46179.18176</v>
      </c>
      <c r="C5872" s="9">
        <f>IFERROR(__xludf.DUMMYFUNCTION("""COMPUTED_VALUE"""),22511.0)</f>
        <v>22511</v>
      </c>
      <c r="D5872" s="9" t="str">
        <f>IFERROR(__xludf.DUMMYFUNCTION("""COMPUTED_VALUE"""),"Completed")</f>
        <v>Completed</v>
      </c>
    </row>
    <row r="5873">
      <c r="A5873" s="9" t="str">
        <f>IFERROR(__xludf.DUMMYFUNCTION("""COMPUTED_VALUE"""),"G-REQ-05872")</f>
        <v>G-REQ-05872</v>
      </c>
      <c r="B5873" s="11">
        <f>IFERROR(__xludf.DUMMYFUNCTION("""COMPUTED_VALUE"""),46179.25293409858)</f>
        <v>46179.25293</v>
      </c>
      <c r="C5873" s="9">
        <f>IFERROR(__xludf.DUMMYFUNCTION("""COMPUTED_VALUE"""),22515.0)</f>
        <v>22515</v>
      </c>
      <c r="D5873" s="9" t="str">
        <f>IFERROR(__xludf.DUMMYFUNCTION("""COMPUTED_VALUE"""),"Completed")</f>
        <v>Completed</v>
      </c>
    </row>
    <row r="5874">
      <c r="A5874" s="9" t="str">
        <f>IFERROR(__xludf.DUMMYFUNCTION("""COMPUTED_VALUE"""),"G-REQ-05873")</f>
        <v>G-REQ-05873</v>
      </c>
      <c r="B5874" s="11">
        <f>IFERROR(__xludf.DUMMYFUNCTION("""COMPUTED_VALUE"""),46179.324108944)</f>
        <v>46179.32411</v>
      </c>
      <c r="C5874" s="9">
        <f>IFERROR(__xludf.DUMMYFUNCTION("""COMPUTED_VALUE"""),22519.0)</f>
        <v>22519</v>
      </c>
      <c r="D5874" s="9" t="str">
        <f>IFERROR(__xludf.DUMMYFUNCTION("""COMPUTED_VALUE"""),"Completed")</f>
        <v>Completed</v>
      </c>
    </row>
    <row r="5875">
      <c r="A5875" s="9" t="str">
        <f>IFERROR(__xludf.DUMMYFUNCTION("""COMPUTED_VALUE"""),"G-REQ-05874")</f>
        <v>G-REQ-05874</v>
      </c>
      <c r="B5875" s="11">
        <f>IFERROR(__xludf.DUMMYFUNCTION("""COMPUTED_VALUE"""),46179.3952837894)</f>
        <v>46179.39528</v>
      </c>
      <c r="C5875" s="9">
        <f>IFERROR(__xludf.DUMMYFUNCTION("""COMPUTED_VALUE"""),22523.0)</f>
        <v>22523</v>
      </c>
      <c r="D5875" s="9" t="str">
        <f>IFERROR(__xludf.DUMMYFUNCTION("""COMPUTED_VALUE"""),"Completed")</f>
        <v>Completed</v>
      </c>
    </row>
    <row r="5876">
      <c r="A5876" s="9" t="str">
        <f>IFERROR(__xludf.DUMMYFUNCTION("""COMPUTED_VALUE"""),"G-REQ-05875")</f>
        <v>G-REQ-05875</v>
      </c>
      <c r="B5876" s="11">
        <f>IFERROR(__xludf.DUMMYFUNCTION("""COMPUTED_VALUE"""),46179.45951419038)</f>
        <v>46179.45951</v>
      </c>
      <c r="C5876" s="9">
        <f>IFERROR(__xludf.DUMMYFUNCTION("""COMPUTED_VALUE"""),22525.0)</f>
        <v>22525</v>
      </c>
      <c r="D5876" s="9" t="str">
        <f>IFERROR(__xludf.DUMMYFUNCTION("""COMPUTED_VALUE"""),"Rejected")</f>
        <v>Rejected</v>
      </c>
    </row>
    <row r="5877">
      <c r="A5877" s="9" t="str">
        <f>IFERROR(__xludf.DUMMYFUNCTION("""COMPUTED_VALUE"""),"G-REQ-05876")</f>
        <v>G-REQ-05876</v>
      </c>
      <c r="B5877" s="11">
        <f>IFERROR(__xludf.DUMMYFUNCTION("""COMPUTED_VALUE"""),46179.53763348024)</f>
        <v>46179.53763</v>
      </c>
      <c r="C5877" s="9">
        <f>IFERROR(__xludf.DUMMYFUNCTION("""COMPUTED_VALUE"""),22529.0)</f>
        <v>22529</v>
      </c>
      <c r="D5877" s="9" t="str">
        <f>IFERROR(__xludf.DUMMYFUNCTION("""COMPUTED_VALUE"""),"Completed")</f>
        <v>Completed</v>
      </c>
    </row>
    <row r="5878">
      <c r="A5878" s="9" t="str">
        <f>IFERROR(__xludf.DUMMYFUNCTION("""COMPUTED_VALUE"""),"G-REQ-05877")</f>
        <v>G-REQ-05877</v>
      </c>
      <c r="B5878" s="11">
        <f>IFERROR(__xludf.DUMMYFUNCTION("""COMPUTED_VALUE"""),46179.60186388121)</f>
        <v>46179.60186</v>
      </c>
      <c r="C5878" s="9">
        <f>IFERROR(__xludf.DUMMYFUNCTION("""COMPUTED_VALUE"""),22531.0)</f>
        <v>22531</v>
      </c>
      <c r="D5878" s="9" t="str">
        <f>IFERROR(__xludf.DUMMYFUNCTION("""COMPUTED_VALUE"""),"Rejected")</f>
        <v>Rejected</v>
      </c>
    </row>
    <row r="5879">
      <c r="A5879" s="9" t="str">
        <f>IFERROR(__xludf.DUMMYFUNCTION("""COMPUTED_VALUE"""),"G-REQ-05878")</f>
        <v>G-REQ-05878</v>
      </c>
      <c r="B5879" s="11">
        <f>IFERROR(__xludf.DUMMYFUNCTION("""COMPUTED_VALUE"""),46179.67303872662)</f>
        <v>46179.67304</v>
      </c>
      <c r="C5879" s="9">
        <f>IFERROR(__xludf.DUMMYFUNCTION("""COMPUTED_VALUE"""),22533.0)</f>
        <v>22533</v>
      </c>
      <c r="D5879" s="9" t="str">
        <f>IFERROR(__xludf.DUMMYFUNCTION("""COMPUTED_VALUE"""),"Rejected")</f>
        <v>Rejected</v>
      </c>
    </row>
    <row r="5880">
      <c r="A5880" s="9" t="str">
        <f>IFERROR(__xludf.DUMMYFUNCTION("""COMPUTED_VALUE"""),"G-REQ-05879")</f>
        <v>G-REQ-05879</v>
      </c>
      <c r="B5880" s="11">
        <f>IFERROR(__xludf.DUMMYFUNCTION("""COMPUTED_VALUE"""),46179.75115801649)</f>
        <v>46179.75116</v>
      </c>
      <c r="C5880" s="9">
        <f>IFERROR(__xludf.DUMMYFUNCTION("""COMPUTED_VALUE"""),22537.0)</f>
        <v>22537</v>
      </c>
      <c r="D5880" s="9" t="str">
        <f>IFERROR(__xludf.DUMMYFUNCTION("""COMPUTED_VALUE"""),"Completed")</f>
        <v>Completed</v>
      </c>
    </row>
    <row r="5881">
      <c r="A5881" s="9" t="str">
        <f>IFERROR(__xludf.DUMMYFUNCTION("""COMPUTED_VALUE"""),"G-REQ-05880")</f>
        <v>G-REQ-05880</v>
      </c>
      <c r="B5881" s="11">
        <f>IFERROR(__xludf.DUMMYFUNCTION("""COMPUTED_VALUE"""),46179.8223328619)</f>
        <v>46179.82233</v>
      </c>
      <c r="C5881" s="9">
        <f>IFERROR(__xludf.DUMMYFUNCTION("""COMPUTED_VALUE"""),22541.0)</f>
        <v>22541</v>
      </c>
      <c r="D5881" s="9" t="str">
        <f>IFERROR(__xludf.DUMMYFUNCTION("""COMPUTED_VALUE"""),"Completed")</f>
        <v>Completed</v>
      </c>
    </row>
    <row r="5882">
      <c r="A5882" s="9" t="str">
        <f>IFERROR(__xludf.DUMMYFUNCTION("""COMPUTED_VALUE"""),"G-REQ-05881")</f>
        <v>G-REQ-05881</v>
      </c>
      <c r="B5882" s="11">
        <f>IFERROR(__xludf.DUMMYFUNCTION("""COMPUTED_VALUE"""),46179.89350770731)</f>
        <v>46179.89351</v>
      </c>
      <c r="C5882" s="9">
        <f>IFERROR(__xludf.DUMMYFUNCTION("""COMPUTED_VALUE"""),22545.0)</f>
        <v>22545</v>
      </c>
      <c r="D5882" s="9" t="str">
        <f>IFERROR(__xludf.DUMMYFUNCTION("""COMPUTED_VALUE"""),"Completed")</f>
        <v>Completed</v>
      </c>
    </row>
    <row r="5883">
      <c r="A5883" s="9" t="str">
        <f>IFERROR(__xludf.DUMMYFUNCTION("""COMPUTED_VALUE"""),"G-REQ-05882")</f>
        <v>G-REQ-05882</v>
      </c>
      <c r="B5883" s="11">
        <f>IFERROR(__xludf.DUMMYFUNCTION("""COMPUTED_VALUE"""),46179.96468255273)</f>
        <v>46179.96468</v>
      </c>
      <c r="C5883" s="9">
        <f>IFERROR(__xludf.DUMMYFUNCTION("""COMPUTED_VALUE"""),22549.0)</f>
        <v>22549</v>
      </c>
      <c r="D5883" s="9" t="str">
        <f>IFERROR(__xludf.DUMMYFUNCTION("""COMPUTED_VALUE"""),"Completed")</f>
        <v>Completed</v>
      </c>
    </row>
    <row r="5884">
      <c r="A5884" s="9" t="str">
        <f>IFERROR(__xludf.DUMMYFUNCTION("""COMPUTED_VALUE"""),"G-REQ-05883")</f>
        <v>G-REQ-05883</v>
      </c>
      <c r="B5884" s="11">
        <f>IFERROR(__xludf.DUMMYFUNCTION("""COMPUTED_VALUE"""),46180.03585739815)</f>
        <v>46180.03586</v>
      </c>
      <c r="C5884" s="9">
        <f>IFERROR(__xludf.DUMMYFUNCTION("""COMPUTED_VALUE"""),22553.0)</f>
        <v>22553</v>
      </c>
      <c r="D5884" s="9" t="str">
        <f>IFERROR(__xludf.DUMMYFUNCTION("""COMPUTED_VALUE"""),"Completed")</f>
        <v>Completed</v>
      </c>
    </row>
    <row r="5885">
      <c r="A5885" s="9" t="str">
        <f>IFERROR(__xludf.DUMMYFUNCTION("""COMPUTED_VALUE"""),"G-REQ-05884")</f>
        <v>G-REQ-05884</v>
      </c>
      <c r="B5885" s="11">
        <f>IFERROR(__xludf.DUMMYFUNCTION("""COMPUTED_VALUE"""),46180.107032243555)</f>
        <v>46180.10703</v>
      </c>
      <c r="C5885" s="9">
        <f>IFERROR(__xludf.DUMMYFUNCTION("""COMPUTED_VALUE"""),22557.0)</f>
        <v>22557</v>
      </c>
      <c r="D5885" s="9" t="str">
        <f>IFERROR(__xludf.DUMMYFUNCTION("""COMPUTED_VALUE"""),"Completed")</f>
        <v>Completed</v>
      </c>
    </row>
    <row r="5886">
      <c r="A5886" s="9" t="str">
        <f>IFERROR(__xludf.DUMMYFUNCTION("""COMPUTED_VALUE"""),"G-REQ-05885")</f>
        <v>G-REQ-05885</v>
      </c>
      <c r="B5886" s="11">
        <f>IFERROR(__xludf.DUMMYFUNCTION("""COMPUTED_VALUE"""),46180.178207088975)</f>
        <v>46180.17821</v>
      </c>
      <c r="C5886" s="9">
        <f>IFERROR(__xludf.DUMMYFUNCTION("""COMPUTED_VALUE"""),22561.0)</f>
        <v>22561</v>
      </c>
      <c r="D5886" s="9" t="str">
        <f>IFERROR(__xludf.DUMMYFUNCTION("""COMPUTED_VALUE"""),"Completed")</f>
        <v>Completed</v>
      </c>
    </row>
    <row r="5887">
      <c r="A5887" s="9" t="str">
        <f>IFERROR(__xludf.DUMMYFUNCTION("""COMPUTED_VALUE"""),"G-REQ-05886")</f>
        <v>G-REQ-05886</v>
      </c>
      <c r="B5887" s="11">
        <f>IFERROR(__xludf.DUMMYFUNCTION("""COMPUTED_VALUE"""),46180.24938193439)</f>
        <v>46180.24938</v>
      </c>
      <c r="C5887" s="9">
        <f>IFERROR(__xludf.DUMMYFUNCTION("""COMPUTED_VALUE"""),22565.0)</f>
        <v>22565</v>
      </c>
      <c r="D5887" s="9" t="str">
        <f>IFERROR(__xludf.DUMMYFUNCTION("""COMPUTED_VALUE"""),"Completed")</f>
        <v>Completed</v>
      </c>
    </row>
    <row r="5888">
      <c r="A5888" s="9" t="str">
        <f>IFERROR(__xludf.DUMMYFUNCTION("""COMPUTED_VALUE"""),"G-REQ-05887")</f>
        <v>G-REQ-05887</v>
      </c>
      <c r="B5888" s="11">
        <f>IFERROR(__xludf.DUMMYFUNCTION("""COMPUTED_VALUE"""),46180.32055677981)</f>
        <v>46180.32056</v>
      </c>
      <c r="C5888" s="9">
        <f>IFERROR(__xludf.DUMMYFUNCTION("""COMPUTED_VALUE"""),22569.0)</f>
        <v>22569</v>
      </c>
      <c r="D5888" s="9" t="str">
        <f>IFERROR(__xludf.DUMMYFUNCTION("""COMPUTED_VALUE"""),"Completed")</f>
        <v>Completed</v>
      </c>
    </row>
    <row r="5889">
      <c r="A5889" s="9" t="str">
        <f>IFERROR(__xludf.DUMMYFUNCTION("""COMPUTED_VALUE"""),"G-REQ-05888")</f>
        <v>G-REQ-05888</v>
      </c>
      <c r="B5889" s="11">
        <f>IFERROR(__xludf.DUMMYFUNCTION("""COMPUTED_VALUE"""),46180.39173162522)</f>
        <v>46180.39173</v>
      </c>
      <c r="C5889" s="9">
        <f>IFERROR(__xludf.DUMMYFUNCTION("""COMPUTED_VALUE"""),22573.0)</f>
        <v>22573</v>
      </c>
      <c r="D5889" s="9" t="str">
        <f>IFERROR(__xludf.DUMMYFUNCTION("""COMPUTED_VALUE"""),"Completed")</f>
        <v>Completed</v>
      </c>
    </row>
    <row r="5890">
      <c r="A5890" s="9" t="str">
        <f>IFERROR(__xludf.DUMMYFUNCTION("""COMPUTED_VALUE"""),"G-REQ-05889")</f>
        <v>G-REQ-05889</v>
      </c>
      <c r="B5890" s="11">
        <f>IFERROR(__xludf.DUMMYFUNCTION("""COMPUTED_VALUE"""),46180.46290647064)</f>
        <v>46180.46291</v>
      </c>
      <c r="C5890" s="9">
        <f>IFERROR(__xludf.DUMMYFUNCTION("""COMPUTED_VALUE"""),22577.0)</f>
        <v>22577</v>
      </c>
      <c r="D5890" s="9" t="str">
        <f>IFERROR(__xludf.DUMMYFUNCTION("""COMPUTED_VALUE"""),"Completed")</f>
        <v>Completed</v>
      </c>
    </row>
    <row r="5891">
      <c r="A5891" s="9" t="str">
        <f>IFERROR(__xludf.DUMMYFUNCTION("""COMPUTED_VALUE"""),"G-REQ-05890")</f>
        <v>G-REQ-05890</v>
      </c>
      <c r="B5891" s="11">
        <f>IFERROR(__xludf.DUMMYFUNCTION("""COMPUTED_VALUE"""),46180.534081316044)</f>
        <v>46180.53408</v>
      </c>
      <c r="C5891" s="9">
        <f>IFERROR(__xludf.DUMMYFUNCTION("""COMPUTED_VALUE"""),22581.0)</f>
        <v>22581</v>
      </c>
      <c r="D5891" s="9" t="str">
        <f>IFERROR(__xludf.DUMMYFUNCTION("""COMPUTED_VALUE"""),"Completed")</f>
        <v>Completed</v>
      </c>
    </row>
    <row r="5892">
      <c r="A5892" s="9" t="str">
        <f>IFERROR(__xludf.DUMMYFUNCTION("""COMPUTED_VALUE"""),"G-REQ-05891")</f>
        <v>G-REQ-05891</v>
      </c>
      <c r="B5892" s="11">
        <f>IFERROR(__xludf.DUMMYFUNCTION("""COMPUTED_VALUE"""),46180.60525616146)</f>
        <v>46180.60526</v>
      </c>
      <c r="C5892" s="9">
        <f>IFERROR(__xludf.DUMMYFUNCTION("""COMPUTED_VALUE"""),22585.0)</f>
        <v>22585</v>
      </c>
      <c r="D5892" s="9" t="str">
        <f>IFERROR(__xludf.DUMMYFUNCTION("""COMPUTED_VALUE"""),"Completed")</f>
        <v>Completed</v>
      </c>
    </row>
    <row r="5893">
      <c r="A5893" s="9" t="str">
        <f>IFERROR(__xludf.DUMMYFUNCTION("""COMPUTED_VALUE"""),"G-REQ-05892")</f>
        <v>G-REQ-05892</v>
      </c>
      <c r="B5893" s="11">
        <f>IFERROR(__xludf.DUMMYFUNCTION("""COMPUTED_VALUE"""),46180.66948656244)</f>
        <v>46180.66949</v>
      </c>
      <c r="C5893" s="9">
        <f>IFERROR(__xludf.DUMMYFUNCTION("""COMPUTED_VALUE"""),22587.0)</f>
        <v>22587</v>
      </c>
      <c r="D5893" s="9" t="str">
        <f>IFERROR(__xludf.DUMMYFUNCTION("""COMPUTED_VALUE"""),"Rejected")</f>
        <v>Rejected</v>
      </c>
    </row>
    <row r="5894">
      <c r="A5894" s="9" t="str">
        <f>IFERROR(__xludf.DUMMYFUNCTION("""COMPUTED_VALUE"""),"G-REQ-05893")</f>
        <v>G-REQ-05893</v>
      </c>
      <c r="B5894" s="11">
        <f>IFERROR(__xludf.DUMMYFUNCTION("""COMPUTED_VALUE"""),46180.74066140785)</f>
        <v>46180.74066</v>
      </c>
      <c r="C5894" s="9">
        <f>IFERROR(__xludf.DUMMYFUNCTION("""COMPUTED_VALUE"""),22589.0)</f>
        <v>22589</v>
      </c>
      <c r="D5894" s="9" t="str">
        <f>IFERROR(__xludf.DUMMYFUNCTION("""COMPUTED_VALUE"""),"Rejected")</f>
        <v>Rejected</v>
      </c>
    </row>
    <row r="5895">
      <c r="A5895" s="9" t="str">
        <f>IFERROR(__xludf.DUMMYFUNCTION("""COMPUTED_VALUE"""),"G-REQ-05894")</f>
        <v>G-REQ-05894</v>
      </c>
      <c r="B5895" s="11">
        <f>IFERROR(__xludf.DUMMYFUNCTION("""COMPUTED_VALUE"""),46180.81183625326)</f>
        <v>46180.81184</v>
      </c>
      <c r="C5895" s="9">
        <f>IFERROR(__xludf.DUMMYFUNCTION("""COMPUTED_VALUE"""),22591.0)</f>
        <v>22591</v>
      </c>
      <c r="D5895" s="9" t="str">
        <f>IFERROR(__xludf.DUMMYFUNCTION("""COMPUTED_VALUE"""),"Rejected")</f>
        <v>Rejected</v>
      </c>
    </row>
    <row r="5896">
      <c r="A5896" s="9" t="str">
        <f>IFERROR(__xludf.DUMMYFUNCTION("""COMPUTED_VALUE"""),"G-REQ-05895")</f>
        <v>G-REQ-05895</v>
      </c>
      <c r="B5896" s="11">
        <f>IFERROR(__xludf.DUMMYFUNCTION("""COMPUTED_VALUE"""),46180.88301109868)</f>
        <v>46180.88301</v>
      </c>
      <c r="C5896" s="9">
        <f>IFERROR(__xludf.DUMMYFUNCTION("""COMPUTED_VALUE"""),22593.0)</f>
        <v>22593</v>
      </c>
      <c r="D5896" s="9" t="str">
        <f>IFERROR(__xludf.DUMMYFUNCTION("""COMPUTED_VALUE"""),"Rejected")</f>
        <v>Rejected</v>
      </c>
    </row>
    <row r="5897">
      <c r="A5897" s="9" t="str">
        <f>IFERROR(__xludf.DUMMYFUNCTION("""COMPUTED_VALUE"""),"G-REQ-05896")</f>
        <v>G-REQ-05896</v>
      </c>
      <c r="B5897" s="11">
        <f>IFERROR(__xludf.DUMMYFUNCTION("""COMPUTED_VALUE"""),46180.96113038854)</f>
        <v>46180.96113</v>
      </c>
      <c r="C5897" s="9">
        <f>IFERROR(__xludf.DUMMYFUNCTION("""COMPUTED_VALUE"""),22597.0)</f>
        <v>22597</v>
      </c>
      <c r="D5897" s="9" t="str">
        <f>IFERROR(__xludf.DUMMYFUNCTION("""COMPUTED_VALUE"""),"Completed")</f>
        <v>Completed</v>
      </c>
    </row>
    <row r="5898">
      <c r="A5898" s="9" t="str">
        <f>IFERROR(__xludf.DUMMYFUNCTION("""COMPUTED_VALUE"""),"G-REQ-05897")</f>
        <v>G-REQ-05897</v>
      </c>
      <c r="B5898" s="11">
        <f>IFERROR(__xludf.DUMMYFUNCTION("""COMPUTED_VALUE"""),46181.02536078951)</f>
        <v>46181.02536</v>
      </c>
      <c r="C5898" s="9">
        <f>IFERROR(__xludf.DUMMYFUNCTION("""COMPUTED_VALUE"""),22599.0)</f>
        <v>22599</v>
      </c>
      <c r="D5898" s="9" t="str">
        <f>IFERROR(__xludf.DUMMYFUNCTION("""COMPUTED_VALUE"""),"Rejected")</f>
        <v>Rejected</v>
      </c>
    </row>
    <row r="5899">
      <c r="A5899" s="9" t="str">
        <f>IFERROR(__xludf.DUMMYFUNCTION("""COMPUTED_VALUE"""),"G-REQ-05898")</f>
        <v>G-REQ-05898</v>
      </c>
      <c r="B5899" s="11">
        <f>IFERROR(__xludf.DUMMYFUNCTION("""COMPUTED_VALUE"""),46181.096535634926)</f>
        <v>46181.09654</v>
      </c>
      <c r="C5899" s="9">
        <f>IFERROR(__xludf.DUMMYFUNCTION("""COMPUTED_VALUE"""),22601.0)</f>
        <v>22601</v>
      </c>
      <c r="D5899" s="9" t="str">
        <f>IFERROR(__xludf.DUMMYFUNCTION("""COMPUTED_VALUE"""),"Rejected")</f>
        <v>Rejected</v>
      </c>
    </row>
    <row r="5900">
      <c r="A5900" s="9" t="str">
        <f>IFERROR(__xludf.DUMMYFUNCTION("""COMPUTED_VALUE"""),"G-REQ-05899")</f>
        <v>G-REQ-05899</v>
      </c>
      <c r="B5900" s="11">
        <f>IFERROR(__xludf.DUMMYFUNCTION("""COMPUTED_VALUE"""),46181.17465492479)</f>
        <v>46181.17465</v>
      </c>
      <c r="C5900" s="9">
        <f>IFERROR(__xludf.DUMMYFUNCTION("""COMPUTED_VALUE"""),22605.0)</f>
        <v>22605</v>
      </c>
      <c r="D5900" s="9" t="str">
        <f>IFERROR(__xludf.DUMMYFUNCTION("""COMPUTED_VALUE"""),"Completed")</f>
        <v>Completed</v>
      </c>
    </row>
    <row r="5901">
      <c r="A5901" s="9" t="str">
        <f>IFERROR(__xludf.DUMMYFUNCTION("""COMPUTED_VALUE"""),"G-REQ-05900")</f>
        <v>G-REQ-05900</v>
      </c>
      <c r="B5901" s="11">
        <f>IFERROR(__xludf.DUMMYFUNCTION("""COMPUTED_VALUE"""),46181.245829770196)</f>
        <v>46181.24583</v>
      </c>
      <c r="C5901" s="9">
        <f>IFERROR(__xludf.DUMMYFUNCTION("""COMPUTED_VALUE"""),22609.0)</f>
        <v>22609</v>
      </c>
      <c r="D5901" s="9" t="str">
        <f>IFERROR(__xludf.DUMMYFUNCTION("""COMPUTED_VALUE"""),"Completed")</f>
        <v>Completed</v>
      </c>
    </row>
    <row r="5902">
      <c r="A5902" s="9" t="str">
        <f>IFERROR(__xludf.DUMMYFUNCTION("""COMPUTED_VALUE"""),"G-REQ-05901")</f>
        <v>G-REQ-05901</v>
      </c>
      <c r="B5902" s="11">
        <f>IFERROR(__xludf.DUMMYFUNCTION("""COMPUTED_VALUE"""),46181.317004615616)</f>
        <v>46181.317</v>
      </c>
      <c r="C5902" s="9">
        <f>IFERROR(__xludf.DUMMYFUNCTION("""COMPUTED_VALUE"""),22613.0)</f>
        <v>22613</v>
      </c>
      <c r="D5902" s="9" t="str">
        <f>IFERROR(__xludf.DUMMYFUNCTION("""COMPUTED_VALUE"""),"Completed")</f>
        <v>Completed</v>
      </c>
    </row>
    <row r="5903">
      <c r="A5903" s="9" t="str">
        <f>IFERROR(__xludf.DUMMYFUNCTION("""COMPUTED_VALUE"""),"G-REQ-05902")</f>
        <v>G-REQ-05902</v>
      </c>
      <c r="B5903" s="11">
        <f>IFERROR(__xludf.DUMMYFUNCTION("""COMPUTED_VALUE"""),46181.388179461035)</f>
        <v>46181.38818</v>
      </c>
      <c r="C5903" s="9">
        <f>IFERROR(__xludf.DUMMYFUNCTION("""COMPUTED_VALUE"""),22617.0)</f>
        <v>22617</v>
      </c>
      <c r="D5903" s="9" t="str">
        <f>IFERROR(__xludf.DUMMYFUNCTION("""COMPUTED_VALUE"""),"Completed")</f>
        <v>Completed</v>
      </c>
    </row>
    <row r="5904">
      <c r="A5904" s="9" t="str">
        <f>IFERROR(__xludf.DUMMYFUNCTION("""COMPUTED_VALUE"""),"G-REQ-05903")</f>
        <v>G-REQ-05903</v>
      </c>
      <c r="B5904" s="11">
        <f>IFERROR(__xludf.DUMMYFUNCTION("""COMPUTED_VALUE"""),46181.45935430645)</f>
        <v>46181.45935</v>
      </c>
      <c r="C5904" s="9">
        <f>IFERROR(__xludf.DUMMYFUNCTION("""COMPUTED_VALUE"""),22621.0)</f>
        <v>22621</v>
      </c>
      <c r="D5904" s="9" t="str">
        <f>IFERROR(__xludf.DUMMYFUNCTION("""COMPUTED_VALUE"""),"Completed")</f>
        <v>Completed</v>
      </c>
    </row>
    <row r="5905">
      <c r="A5905" s="9" t="str">
        <f>IFERROR(__xludf.DUMMYFUNCTION("""COMPUTED_VALUE"""),"G-REQ-05904")</f>
        <v>G-REQ-05904</v>
      </c>
      <c r="B5905" s="11">
        <f>IFERROR(__xludf.DUMMYFUNCTION("""COMPUTED_VALUE"""),46181.53052915186)</f>
        <v>46181.53053</v>
      </c>
      <c r="C5905" s="9">
        <f>IFERROR(__xludf.DUMMYFUNCTION("""COMPUTED_VALUE"""),22625.0)</f>
        <v>22625</v>
      </c>
      <c r="D5905" s="9" t="str">
        <f>IFERROR(__xludf.DUMMYFUNCTION("""COMPUTED_VALUE"""),"Completed")</f>
        <v>Completed</v>
      </c>
    </row>
    <row r="5906">
      <c r="A5906" s="9" t="str">
        <f>IFERROR(__xludf.DUMMYFUNCTION("""COMPUTED_VALUE"""),"G-REQ-05905")</f>
        <v>G-REQ-05905</v>
      </c>
      <c r="B5906" s="11">
        <f>IFERROR(__xludf.DUMMYFUNCTION("""COMPUTED_VALUE"""),46181.60170399728)</f>
        <v>46181.6017</v>
      </c>
      <c r="C5906" s="9">
        <f>IFERROR(__xludf.DUMMYFUNCTION("""COMPUTED_VALUE"""),22629.0)</f>
        <v>22629</v>
      </c>
      <c r="D5906" s="9" t="str">
        <f>IFERROR(__xludf.DUMMYFUNCTION("""COMPUTED_VALUE"""),"Completed")</f>
        <v>Completed</v>
      </c>
    </row>
    <row r="5907">
      <c r="A5907" s="9" t="str">
        <f>IFERROR(__xludf.DUMMYFUNCTION("""COMPUTED_VALUE"""),"G-REQ-05906")</f>
        <v>G-REQ-05906</v>
      </c>
      <c r="B5907" s="11">
        <f>IFERROR(__xludf.DUMMYFUNCTION("""COMPUTED_VALUE"""),46181.67287884269)</f>
        <v>46181.67288</v>
      </c>
      <c r="C5907" s="9">
        <f>IFERROR(__xludf.DUMMYFUNCTION("""COMPUTED_VALUE"""),22633.0)</f>
        <v>22633</v>
      </c>
      <c r="D5907" s="9" t="str">
        <f>IFERROR(__xludf.DUMMYFUNCTION("""COMPUTED_VALUE"""),"Completed")</f>
        <v>Completed</v>
      </c>
    </row>
    <row r="5908">
      <c r="A5908" s="9" t="str">
        <f>IFERROR(__xludf.DUMMYFUNCTION("""COMPUTED_VALUE"""),"G-REQ-05907")</f>
        <v>G-REQ-05907</v>
      </c>
      <c r="B5908" s="11">
        <f>IFERROR(__xludf.DUMMYFUNCTION("""COMPUTED_VALUE"""),46181.744053688104)</f>
        <v>46181.74405</v>
      </c>
      <c r="C5908" s="9">
        <f>IFERROR(__xludf.DUMMYFUNCTION("""COMPUTED_VALUE"""),22637.0)</f>
        <v>22637</v>
      </c>
      <c r="D5908" s="9" t="str">
        <f>IFERROR(__xludf.DUMMYFUNCTION("""COMPUTED_VALUE"""),"Completed")</f>
        <v>Completed</v>
      </c>
    </row>
    <row r="5909">
      <c r="A5909" s="9" t="str">
        <f>IFERROR(__xludf.DUMMYFUNCTION("""COMPUTED_VALUE"""),"G-REQ-05908")</f>
        <v>G-REQ-05908</v>
      </c>
      <c r="B5909" s="11">
        <f>IFERROR(__xludf.DUMMYFUNCTION("""COMPUTED_VALUE"""),46181.81522853352)</f>
        <v>46181.81523</v>
      </c>
      <c r="C5909" s="9">
        <f>IFERROR(__xludf.DUMMYFUNCTION("""COMPUTED_VALUE"""),22641.0)</f>
        <v>22641</v>
      </c>
      <c r="D5909" s="9" t="str">
        <f>IFERROR(__xludf.DUMMYFUNCTION("""COMPUTED_VALUE"""),"Completed")</f>
        <v>Completed</v>
      </c>
    </row>
    <row r="5910">
      <c r="A5910" s="9" t="str">
        <f>IFERROR(__xludf.DUMMYFUNCTION("""COMPUTED_VALUE"""),"G-REQ-05909")</f>
        <v>G-REQ-05909</v>
      </c>
      <c r="B5910" s="11">
        <f>IFERROR(__xludf.DUMMYFUNCTION("""COMPUTED_VALUE"""),46181.886403378936)</f>
        <v>46181.8864</v>
      </c>
      <c r="C5910" s="9">
        <f>IFERROR(__xludf.DUMMYFUNCTION("""COMPUTED_VALUE"""),22645.0)</f>
        <v>22645</v>
      </c>
      <c r="D5910" s="9" t="str">
        <f>IFERROR(__xludf.DUMMYFUNCTION("""COMPUTED_VALUE"""),"Completed")</f>
        <v>Completed</v>
      </c>
    </row>
    <row r="5911">
      <c r="A5911" s="9" t="str">
        <f>IFERROR(__xludf.DUMMYFUNCTION("""COMPUTED_VALUE"""),"G-REQ-05910")</f>
        <v>G-REQ-05910</v>
      </c>
      <c r="B5911" s="11">
        <f>IFERROR(__xludf.DUMMYFUNCTION("""COMPUTED_VALUE"""),46181.95757822435)</f>
        <v>46181.95758</v>
      </c>
      <c r="C5911" s="9">
        <f>IFERROR(__xludf.DUMMYFUNCTION("""COMPUTED_VALUE"""),22649.0)</f>
        <v>22649</v>
      </c>
      <c r="D5911" s="9" t="str">
        <f>IFERROR(__xludf.DUMMYFUNCTION("""COMPUTED_VALUE"""),"Completed")</f>
        <v>Completed</v>
      </c>
    </row>
    <row r="5912">
      <c r="A5912" s="9" t="str">
        <f>IFERROR(__xludf.DUMMYFUNCTION("""COMPUTED_VALUE"""),"G-REQ-05911")</f>
        <v>G-REQ-05911</v>
      </c>
      <c r="B5912" s="11">
        <f>IFERROR(__xludf.DUMMYFUNCTION("""COMPUTED_VALUE"""),46182.02875306977)</f>
        <v>46182.02875</v>
      </c>
      <c r="C5912" s="9">
        <f>IFERROR(__xludf.DUMMYFUNCTION("""COMPUTED_VALUE"""),22653.0)</f>
        <v>22653</v>
      </c>
      <c r="D5912" s="9" t="str">
        <f>IFERROR(__xludf.DUMMYFUNCTION("""COMPUTED_VALUE"""),"Completed")</f>
        <v>Completed</v>
      </c>
    </row>
    <row r="5913">
      <c r="A5913" s="9" t="str">
        <f>IFERROR(__xludf.DUMMYFUNCTION("""COMPUTED_VALUE"""),"G-REQ-05912")</f>
        <v>G-REQ-05912</v>
      </c>
      <c r="B5913" s="11">
        <f>IFERROR(__xludf.DUMMYFUNCTION("""COMPUTED_VALUE"""),46182.09992791518)</f>
        <v>46182.09993</v>
      </c>
      <c r="C5913" s="9">
        <f>IFERROR(__xludf.DUMMYFUNCTION("""COMPUTED_VALUE"""),22657.0)</f>
        <v>22657</v>
      </c>
      <c r="D5913" s="9" t="str">
        <f>IFERROR(__xludf.DUMMYFUNCTION("""COMPUTED_VALUE"""),"Completed")</f>
        <v>Completed</v>
      </c>
    </row>
    <row r="5914">
      <c r="A5914" s="9" t="str">
        <f>IFERROR(__xludf.DUMMYFUNCTION("""COMPUTED_VALUE"""),"G-REQ-05913")</f>
        <v>G-REQ-05913</v>
      </c>
      <c r="B5914" s="11">
        <f>IFERROR(__xludf.DUMMYFUNCTION("""COMPUTED_VALUE"""),46182.17110276059)</f>
        <v>46182.1711</v>
      </c>
      <c r="C5914" s="9">
        <f>IFERROR(__xludf.DUMMYFUNCTION("""COMPUTED_VALUE"""),22661.0)</f>
        <v>22661</v>
      </c>
      <c r="D5914" s="9" t="str">
        <f>IFERROR(__xludf.DUMMYFUNCTION("""COMPUTED_VALUE"""),"Completed")</f>
        <v>Completed</v>
      </c>
    </row>
    <row r="5915">
      <c r="A5915" s="9" t="str">
        <f>IFERROR(__xludf.DUMMYFUNCTION("""COMPUTED_VALUE"""),"G-REQ-05914")</f>
        <v>G-REQ-05914</v>
      </c>
      <c r="B5915" s="11">
        <f>IFERROR(__xludf.DUMMYFUNCTION("""COMPUTED_VALUE"""),46182.24227760601)</f>
        <v>46182.24228</v>
      </c>
      <c r="C5915" s="9">
        <f>IFERROR(__xludf.DUMMYFUNCTION("""COMPUTED_VALUE"""),22665.0)</f>
        <v>22665</v>
      </c>
      <c r="D5915" s="9" t="str">
        <f>IFERROR(__xludf.DUMMYFUNCTION("""COMPUTED_VALUE"""),"Completed")</f>
        <v>Completed</v>
      </c>
    </row>
    <row r="5916">
      <c r="A5916" s="9" t="str">
        <f>IFERROR(__xludf.DUMMYFUNCTION("""COMPUTED_VALUE"""),"G-REQ-05915")</f>
        <v>G-REQ-05915</v>
      </c>
      <c r="B5916" s="11">
        <f>IFERROR(__xludf.DUMMYFUNCTION("""COMPUTED_VALUE"""),46182.31345245143)</f>
        <v>46182.31345</v>
      </c>
      <c r="C5916" s="9">
        <f>IFERROR(__xludf.DUMMYFUNCTION("""COMPUTED_VALUE"""),22669.0)</f>
        <v>22669</v>
      </c>
      <c r="D5916" s="9" t="str">
        <f>IFERROR(__xludf.DUMMYFUNCTION("""COMPUTED_VALUE"""),"Completed")</f>
        <v>Completed</v>
      </c>
    </row>
    <row r="5917">
      <c r="A5917" s="9" t="str">
        <f>IFERROR(__xludf.DUMMYFUNCTION("""COMPUTED_VALUE"""),"G-REQ-05916")</f>
        <v>G-REQ-05916</v>
      </c>
      <c r="B5917" s="11">
        <f>IFERROR(__xludf.DUMMYFUNCTION("""COMPUTED_VALUE"""),46182.38462729684)</f>
        <v>46182.38463</v>
      </c>
      <c r="C5917" s="9">
        <f>IFERROR(__xludf.DUMMYFUNCTION("""COMPUTED_VALUE"""),22673.0)</f>
        <v>22673</v>
      </c>
      <c r="D5917" s="9" t="str">
        <f>IFERROR(__xludf.DUMMYFUNCTION("""COMPUTED_VALUE"""),"Completed")</f>
        <v>Completed</v>
      </c>
    </row>
    <row r="5918">
      <c r="A5918" s="9" t="str">
        <f>IFERROR(__xludf.DUMMYFUNCTION("""COMPUTED_VALUE"""),"G-REQ-05917")</f>
        <v>G-REQ-05917</v>
      </c>
      <c r="B5918" s="11">
        <f>IFERROR(__xludf.DUMMYFUNCTION("""COMPUTED_VALUE"""),46182.455802142256)</f>
        <v>46182.4558</v>
      </c>
      <c r="C5918" s="9">
        <f>IFERROR(__xludf.DUMMYFUNCTION("""COMPUTED_VALUE"""),22677.0)</f>
        <v>22677</v>
      </c>
      <c r="D5918" s="9" t="str">
        <f>IFERROR(__xludf.DUMMYFUNCTION("""COMPUTED_VALUE"""),"Completed")</f>
        <v>Completed</v>
      </c>
    </row>
    <row r="5919">
      <c r="A5919" s="9" t="str">
        <f>IFERROR(__xludf.DUMMYFUNCTION("""COMPUTED_VALUE"""),"G-REQ-05918")</f>
        <v>G-REQ-05918</v>
      </c>
      <c r="B5919" s="11">
        <f>IFERROR(__xludf.DUMMYFUNCTION("""COMPUTED_VALUE"""),46182.526976987676)</f>
        <v>46182.52698</v>
      </c>
      <c r="C5919" s="9">
        <f>IFERROR(__xludf.DUMMYFUNCTION("""COMPUTED_VALUE"""),22681.0)</f>
        <v>22681</v>
      </c>
      <c r="D5919" s="9" t="str">
        <f>IFERROR(__xludf.DUMMYFUNCTION("""COMPUTED_VALUE"""),"Completed")</f>
        <v>Completed</v>
      </c>
    </row>
    <row r="5920">
      <c r="A5920" s="9" t="str">
        <f>IFERROR(__xludf.DUMMYFUNCTION("""COMPUTED_VALUE"""),"G-REQ-05919")</f>
        <v>G-REQ-05919</v>
      </c>
      <c r="B5920" s="11">
        <f>IFERROR(__xludf.DUMMYFUNCTION("""COMPUTED_VALUE"""),46182.59815183309)</f>
        <v>46182.59815</v>
      </c>
      <c r="C5920" s="9">
        <f>IFERROR(__xludf.DUMMYFUNCTION("""COMPUTED_VALUE"""),22685.0)</f>
        <v>22685</v>
      </c>
      <c r="D5920" s="9" t="str">
        <f>IFERROR(__xludf.DUMMYFUNCTION("""COMPUTED_VALUE"""),"Completed")</f>
        <v>Completed</v>
      </c>
    </row>
    <row r="5921">
      <c r="A5921" s="9" t="str">
        <f>IFERROR(__xludf.DUMMYFUNCTION("""COMPUTED_VALUE"""),"G-REQ-05920")</f>
        <v>G-REQ-05920</v>
      </c>
      <c r="B5921" s="11">
        <f>IFERROR(__xludf.DUMMYFUNCTION("""COMPUTED_VALUE"""),46182.6693266785)</f>
        <v>46182.66933</v>
      </c>
      <c r="C5921" s="9">
        <f>IFERROR(__xludf.DUMMYFUNCTION("""COMPUTED_VALUE"""),22689.0)</f>
        <v>22689</v>
      </c>
      <c r="D5921" s="9" t="str">
        <f>IFERROR(__xludf.DUMMYFUNCTION("""COMPUTED_VALUE"""),"Completed")</f>
        <v>Completed</v>
      </c>
    </row>
    <row r="5922">
      <c r="A5922" s="9" t="str">
        <f>IFERROR(__xludf.DUMMYFUNCTION("""COMPUTED_VALUE"""),"G-REQ-05921")</f>
        <v>G-REQ-05921</v>
      </c>
      <c r="B5922" s="11">
        <f>IFERROR(__xludf.DUMMYFUNCTION("""COMPUTED_VALUE"""),46182.74050152392)</f>
        <v>46182.7405</v>
      </c>
      <c r="C5922" s="9">
        <f>IFERROR(__xludf.DUMMYFUNCTION("""COMPUTED_VALUE"""),22693.0)</f>
        <v>22693</v>
      </c>
      <c r="D5922" s="9" t="str">
        <f>IFERROR(__xludf.DUMMYFUNCTION("""COMPUTED_VALUE"""),"Completed")</f>
        <v>Completed</v>
      </c>
    </row>
    <row r="5923">
      <c r="A5923" s="9" t="str">
        <f>IFERROR(__xludf.DUMMYFUNCTION("""COMPUTED_VALUE"""),"G-REQ-05922")</f>
        <v>G-REQ-05922</v>
      </c>
      <c r="B5923" s="11">
        <f>IFERROR(__xludf.DUMMYFUNCTION("""COMPUTED_VALUE"""),46182.81167636933)</f>
        <v>46182.81168</v>
      </c>
      <c r="C5923" s="9">
        <f>IFERROR(__xludf.DUMMYFUNCTION("""COMPUTED_VALUE"""),22697.0)</f>
        <v>22697</v>
      </c>
      <c r="D5923" s="9" t="str">
        <f>IFERROR(__xludf.DUMMYFUNCTION("""COMPUTED_VALUE"""),"Completed")</f>
        <v>Completed</v>
      </c>
    </row>
    <row r="5924">
      <c r="A5924" s="9" t="str">
        <f>IFERROR(__xludf.DUMMYFUNCTION("""COMPUTED_VALUE"""),"G-REQ-05923")</f>
        <v>G-REQ-05923</v>
      </c>
      <c r="B5924" s="11">
        <f>IFERROR(__xludf.DUMMYFUNCTION("""COMPUTED_VALUE"""),46182.8759067703)</f>
        <v>46182.87591</v>
      </c>
      <c r="C5924" s="9">
        <f>IFERROR(__xludf.DUMMYFUNCTION("""COMPUTED_VALUE"""),22699.0)</f>
        <v>22699</v>
      </c>
      <c r="D5924" s="9" t="str">
        <f>IFERROR(__xludf.DUMMYFUNCTION("""COMPUTED_VALUE"""),"Rejected")</f>
        <v>Rejected</v>
      </c>
    </row>
    <row r="5925">
      <c r="A5925" s="9" t="str">
        <f>IFERROR(__xludf.DUMMYFUNCTION("""COMPUTED_VALUE"""),"G-REQ-05924")</f>
        <v>G-REQ-05924</v>
      </c>
      <c r="B5925" s="11">
        <f>IFERROR(__xludf.DUMMYFUNCTION("""COMPUTED_VALUE"""),46182.954026060164)</f>
        <v>46182.95403</v>
      </c>
      <c r="C5925" s="9">
        <f>IFERROR(__xludf.DUMMYFUNCTION("""COMPUTED_VALUE"""),22703.0)</f>
        <v>22703</v>
      </c>
      <c r="D5925" s="9" t="str">
        <f>IFERROR(__xludf.DUMMYFUNCTION("""COMPUTED_VALUE"""),"Completed")</f>
        <v>Completed</v>
      </c>
    </row>
    <row r="5926">
      <c r="A5926" s="9" t="str">
        <f>IFERROR(__xludf.DUMMYFUNCTION("""COMPUTED_VALUE"""),"G-REQ-05925")</f>
        <v>G-REQ-05925</v>
      </c>
      <c r="B5926" s="11">
        <f>IFERROR(__xludf.DUMMYFUNCTION("""COMPUTED_VALUE"""),46183.025200905584)</f>
        <v>46183.0252</v>
      </c>
      <c r="C5926" s="9">
        <f>IFERROR(__xludf.DUMMYFUNCTION("""COMPUTED_VALUE"""),22707.0)</f>
        <v>22707</v>
      </c>
      <c r="D5926" s="9" t="str">
        <f>IFERROR(__xludf.DUMMYFUNCTION("""COMPUTED_VALUE"""),"Completed")</f>
        <v>Completed</v>
      </c>
    </row>
    <row r="5927">
      <c r="A5927" s="9" t="str">
        <f>IFERROR(__xludf.DUMMYFUNCTION("""COMPUTED_VALUE"""),"G-REQ-05926")</f>
        <v>G-REQ-05926</v>
      </c>
      <c r="B5927" s="11">
        <f>IFERROR(__xludf.DUMMYFUNCTION("""COMPUTED_VALUE"""),46183.09637575099)</f>
        <v>46183.09638</v>
      </c>
      <c r="C5927" s="9">
        <f>IFERROR(__xludf.DUMMYFUNCTION("""COMPUTED_VALUE"""),22711.0)</f>
        <v>22711</v>
      </c>
      <c r="D5927" s="9" t="str">
        <f>IFERROR(__xludf.DUMMYFUNCTION("""COMPUTED_VALUE"""),"Completed")</f>
        <v>Completed</v>
      </c>
    </row>
    <row r="5928">
      <c r="A5928" s="9" t="str">
        <f>IFERROR(__xludf.DUMMYFUNCTION("""COMPUTED_VALUE"""),"G-REQ-05927")</f>
        <v>G-REQ-05927</v>
      </c>
      <c r="B5928" s="11">
        <f>IFERROR(__xludf.DUMMYFUNCTION("""COMPUTED_VALUE"""),46183.16755059641)</f>
        <v>46183.16755</v>
      </c>
      <c r="C5928" s="9">
        <f>IFERROR(__xludf.DUMMYFUNCTION("""COMPUTED_VALUE"""),22715.0)</f>
        <v>22715</v>
      </c>
      <c r="D5928" s="9" t="str">
        <f>IFERROR(__xludf.DUMMYFUNCTION("""COMPUTED_VALUE"""),"Completed")</f>
        <v>Completed</v>
      </c>
    </row>
    <row r="5929">
      <c r="A5929" s="9" t="str">
        <f>IFERROR(__xludf.DUMMYFUNCTION("""COMPUTED_VALUE"""),"G-REQ-05928")</f>
        <v>G-REQ-05928</v>
      </c>
      <c r="B5929" s="11">
        <f>IFERROR(__xludf.DUMMYFUNCTION("""COMPUTED_VALUE"""),46183.231780997376)</f>
        <v>46183.23178</v>
      </c>
      <c r="C5929" s="9">
        <f>IFERROR(__xludf.DUMMYFUNCTION("""COMPUTED_VALUE"""),22717.0)</f>
        <v>22717</v>
      </c>
      <c r="D5929" s="9" t="str">
        <f>IFERROR(__xludf.DUMMYFUNCTION("""COMPUTED_VALUE"""),"Cancelled")</f>
        <v>Cancelled</v>
      </c>
    </row>
    <row r="5930">
      <c r="A5930" s="9" t="str">
        <f>IFERROR(__xludf.DUMMYFUNCTION("""COMPUTED_VALUE"""),"G-REQ-05929")</f>
        <v>G-REQ-05929</v>
      </c>
      <c r="B5930" s="11">
        <f>IFERROR(__xludf.DUMMYFUNCTION("""COMPUTED_VALUE"""),46183.30990028724)</f>
        <v>46183.3099</v>
      </c>
      <c r="C5930" s="9">
        <f>IFERROR(__xludf.DUMMYFUNCTION("""COMPUTED_VALUE"""),22721.0)</f>
        <v>22721</v>
      </c>
      <c r="D5930" s="9" t="str">
        <f>IFERROR(__xludf.DUMMYFUNCTION("""COMPUTED_VALUE"""),"Completed")</f>
        <v>Completed</v>
      </c>
    </row>
    <row r="5931">
      <c r="A5931" s="9" t="str">
        <f>IFERROR(__xludf.DUMMYFUNCTION("""COMPUTED_VALUE"""),"G-REQ-05930")</f>
        <v>G-REQ-05930</v>
      </c>
      <c r="B5931" s="11">
        <f>IFERROR(__xludf.DUMMYFUNCTION("""COMPUTED_VALUE"""),46183.37413068821)</f>
        <v>46183.37413</v>
      </c>
      <c r="C5931" s="9">
        <f>IFERROR(__xludf.DUMMYFUNCTION("""COMPUTED_VALUE"""),22723.0)</f>
        <v>22723</v>
      </c>
      <c r="D5931" s="9" t="str">
        <f>IFERROR(__xludf.DUMMYFUNCTION("""COMPUTED_VALUE"""),"Rejected")</f>
        <v>Rejected</v>
      </c>
    </row>
    <row r="5932">
      <c r="A5932" s="9" t="str">
        <f>IFERROR(__xludf.DUMMYFUNCTION("""COMPUTED_VALUE"""),"G-REQ-05931")</f>
        <v>G-REQ-05931</v>
      </c>
      <c r="B5932" s="11">
        <f>IFERROR(__xludf.DUMMYFUNCTION("""COMPUTED_VALUE"""),46183.44530553363)</f>
        <v>46183.44531</v>
      </c>
      <c r="C5932" s="9">
        <f>IFERROR(__xludf.DUMMYFUNCTION("""COMPUTED_VALUE"""),22725.0)</f>
        <v>22725</v>
      </c>
      <c r="D5932" s="9" t="str">
        <f>IFERROR(__xludf.DUMMYFUNCTION("""COMPUTED_VALUE"""),"Rejected")</f>
        <v>Rejected</v>
      </c>
    </row>
    <row r="5933">
      <c r="A5933" s="9" t="str">
        <f>IFERROR(__xludf.DUMMYFUNCTION("""COMPUTED_VALUE"""),"G-REQ-05932")</f>
        <v>G-REQ-05932</v>
      </c>
      <c r="B5933" s="11">
        <f>IFERROR(__xludf.DUMMYFUNCTION("""COMPUTED_VALUE"""),46183.52342482348)</f>
        <v>46183.52342</v>
      </c>
      <c r="C5933" s="9">
        <f>IFERROR(__xludf.DUMMYFUNCTION("""COMPUTED_VALUE"""),22729.0)</f>
        <v>22729</v>
      </c>
      <c r="D5933" s="9" t="str">
        <f>IFERROR(__xludf.DUMMYFUNCTION("""COMPUTED_VALUE"""),"Completed")</f>
        <v>Completed</v>
      </c>
    </row>
    <row r="5934">
      <c r="A5934" s="9" t="str">
        <f>IFERROR(__xludf.DUMMYFUNCTION("""COMPUTED_VALUE"""),"G-REQ-05933")</f>
        <v>G-REQ-05933</v>
      </c>
      <c r="B5934" s="11">
        <f>IFERROR(__xludf.DUMMYFUNCTION("""COMPUTED_VALUE"""),46183.5945996689)</f>
        <v>46183.5946</v>
      </c>
      <c r="C5934" s="9">
        <f>IFERROR(__xludf.DUMMYFUNCTION("""COMPUTED_VALUE"""),22733.0)</f>
        <v>22733</v>
      </c>
      <c r="D5934" s="9" t="str">
        <f>IFERROR(__xludf.DUMMYFUNCTION("""COMPUTED_VALUE"""),"Completed")</f>
        <v>Completed</v>
      </c>
    </row>
    <row r="5935">
      <c r="A5935" s="9" t="str">
        <f>IFERROR(__xludf.DUMMYFUNCTION("""COMPUTED_VALUE"""),"G-REQ-05934")</f>
        <v>G-REQ-05934</v>
      </c>
      <c r="B5935" s="11">
        <f>IFERROR(__xludf.DUMMYFUNCTION("""COMPUTED_VALUE"""),46183.66577451432)</f>
        <v>46183.66577</v>
      </c>
      <c r="C5935" s="9">
        <f>IFERROR(__xludf.DUMMYFUNCTION("""COMPUTED_VALUE"""),22737.0)</f>
        <v>22737</v>
      </c>
      <c r="D5935" s="9" t="str">
        <f>IFERROR(__xludf.DUMMYFUNCTION("""COMPUTED_VALUE"""),"Completed")</f>
        <v>Completed</v>
      </c>
    </row>
    <row r="5936">
      <c r="A5936" s="9" t="str">
        <f>IFERROR(__xludf.DUMMYFUNCTION("""COMPUTED_VALUE"""),"G-REQ-05935")</f>
        <v>G-REQ-05935</v>
      </c>
      <c r="B5936" s="11">
        <f>IFERROR(__xludf.DUMMYFUNCTION("""COMPUTED_VALUE"""),46183.73694935973)</f>
        <v>46183.73695</v>
      </c>
      <c r="C5936" s="9">
        <f>IFERROR(__xludf.DUMMYFUNCTION("""COMPUTED_VALUE"""),22741.0)</f>
        <v>22741</v>
      </c>
      <c r="D5936" s="9" t="str">
        <f>IFERROR(__xludf.DUMMYFUNCTION("""COMPUTED_VALUE"""),"Completed")</f>
        <v>Completed</v>
      </c>
    </row>
    <row r="5937">
      <c r="A5937" s="9" t="str">
        <f>IFERROR(__xludf.DUMMYFUNCTION("""COMPUTED_VALUE"""),"G-REQ-05936")</f>
        <v>G-REQ-05936</v>
      </c>
      <c r="B5937" s="11">
        <f>IFERROR(__xludf.DUMMYFUNCTION("""COMPUTED_VALUE"""),46183.80812420514)</f>
        <v>46183.80812</v>
      </c>
      <c r="C5937" s="9">
        <f>IFERROR(__xludf.DUMMYFUNCTION("""COMPUTED_VALUE"""),22745.0)</f>
        <v>22745</v>
      </c>
      <c r="D5937" s="9" t="str">
        <f>IFERROR(__xludf.DUMMYFUNCTION("""COMPUTED_VALUE"""),"Completed")</f>
        <v>Completed</v>
      </c>
    </row>
    <row r="5938">
      <c r="A5938" s="9" t="str">
        <f>IFERROR(__xludf.DUMMYFUNCTION("""COMPUTED_VALUE"""),"G-REQ-05937")</f>
        <v>G-REQ-05937</v>
      </c>
      <c r="B5938" s="11">
        <f>IFERROR(__xludf.DUMMYFUNCTION("""COMPUTED_VALUE"""),46183.87929905056)</f>
        <v>46183.8793</v>
      </c>
      <c r="C5938" s="9">
        <f>IFERROR(__xludf.DUMMYFUNCTION("""COMPUTED_VALUE"""),22749.0)</f>
        <v>22749</v>
      </c>
      <c r="D5938" s="9" t="str">
        <f>IFERROR(__xludf.DUMMYFUNCTION("""COMPUTED_VALUE"""),"Completed")</f>
        <v>Completed</v>
      </c>
    </row>
    <row r="5939">
      <c r="A5939" s="9" t="str">
        <f>IFERROR(__xludf.DUMMYFUNCTION("""COMPUTED_VALUE"""),"G-REQ-05938")</f>
        <v>G-REQ-05938</v>
      </c>
      <c r="B5939" s="11">
        <f>IFERROR(__xludf.DUMMYFUNCTION("""COMPUTED_VALUE"""),46183.95047389597)</f>
        <v>46183.95047</v>
      </c>
      <c r="C5939" s="9">
        <f>IFERROR(__xludf.DUMMYFUNCTION("""COMPUTED_VALUE"""),22753.0)</f>
        <v>22753</v>
      </c>
      <c r="D5939" s="9" t="str">
        <f>IFERROR(__xludf.DUMMYFUNCTION("""COMPUTED_VALUE"""),"Completed")</f>
        <v>Completed</v>
      </c>
    </row>
    <row r="5940">
      <c r="A5940" s="9" t="str">
        <f>IFERROR(__xludf.DUMMYFUNCTION("""COMPUTED_VALUE"""),"G-REQ-05939")</f>
        <v>G-REQ-05939</v>
      </c>
      <c r="B5940" s="11">
        <f>IFERROR(__xludf.DUMMYFUNCTION("""COMPUTED_VALUE"""),46184.021648741385)</f>
        <v>46184.02165</v>
      </c>
      <c r="C5940" s="9">
        <f>IFERROR(__xludf.DUMMYFUNCTION("""COMPUTED_VALUE"""),22757.0)</f>
        <v>22757</v>
      </c>
      <c r="D5940" s="9" t="str">
        <f>IFERROR(__xludf.DUMMYFUNCTION("""COMPUTED_VALUE"""),"Completed")</f>
        <v>Completed</v>
      </c>
    </row>
    <row r="5941">
      <c r="A5941" s="9" t="str">
        <f>IFERROR(__xludf.DUMMYFUNCTION("""COMPUTED_VALUE"""),"G-REQ-05940")</f>
        <v>G-REQ-05940</v>
      </c>
      <c r="B5941" s="11">
        <f>IFERROR(__xludf.DUMMYFUNCTION("""COMPUTED_VALUE"""),46184.092823586805)</f>
        <v>46184.09282</v>
      </c>
      <c r="C5941" s="9">
        <f>IFERROR(__xludf.DUMMYFUNCTION("""COMPUTED_VALUE"""),22761.0)</f>
        <v>22761</v>
      </c>
      <c r="D5941" s="9" t="str">
        <f>IFERROR(__xludf.DUMMYFUNCTION("""COMPUTED_VALUE"""),"Completed")</f>
        <v>Completed</v>
      </c>
    </row>
    <row r="5942">
      <c r="A5942" s="9" t="str">
        <f>IFERROR(__xludf.DUMMYFUNCTION("""COMPUTED_VALUE"""),"G-REQ-05941")</f>
        <v>G-REQ-05941</v>
      </c>
      <c r="B5942" s="11">
        <f>IFERROR(__xludf.DUMMYFUNCTION("""COMPUTED_VALUE"""),46184.163998432225)</f>
        <v>46184.164</v>
      </c>
      <c r="C5942" s="9">
        <f>IFERROR(__xludf.DUMMYFUNCTION("""COMPUTED_VALUE"""),22765.0)</f>
        <v>22765</v>
      </c>
      <c r="D5942" s="9" t="str">
        <f>IFERROR(__xludf.DUMMYFUNCTION("""COMPUTED_VALUE"""),"Completed")</f>
        <v>Completed</v>
      </c>
    </row>
    <row r="5943">
      <c r="A5943" s="9" t="str">
        <f>IFERROR(__xludf.DUMMYFUNCTION("""COMPUTED_VALUE"""),"G-REQ-05942")</f>
        <v>G-REQ-05942</v>
      </c>
      <c r="B5943" s="11">
        <f>IFERROR(__xludf.DUMMYFUNCTION("""COMPUTED_VALUE"""),46184.228228833184)</f>
        <v>46184.22823</v>
      </c>
      <c r="C5943" s="9">
        <f>IFERROR(__xludf.DUMMYFUNCTION("""COMPUTED_VALUE"""),22767.0)</f>
        <v>22767</v>
      </c>
      <c r="D5943" s="9" t="str">
        <f>IFERROR(__xludf.DUMMYFUNCTION("""COMPUTED_VALUE"""),"Rejected")</f>
        <v>Rejected</v>
      </c>
    </row>
    <row r="5944">
      <c r="A5944" s="9" t="str">
        <f>IFERROR(__xludf.DUMMYFUNCTION("""COMPUTED_VALUE"""),"G-REQ-05943")</f>
        <v>G-REQ-05943</v>
      </c>
      <c r="B5944" s="11">
        <f>IFERROR(__xludf.DUMMYFUNCTION("""COMPUTED_VALUE"""),46184.30634812305)</f>
        <v>46184.30635</v>
      </c>
      <c r="C5944" s="9">
        <f>IFERROR(__xludf.DUMMYFUNCTION("""COMPUTED_VALUE"""),22771.0)</f>
        <v>22771</v>
      </c>
      <c r="D5944" s="9" t="str">
        <f>IFERROR(__xludf.DUMMYFUNCTION("""COMPUTED_VALUE"""),"Completed")</f>
        <v>Completed</v>
      </c>
    </row>
    <row r="5945">
      <c r="A5945" s="9" t="str">
        <f>IFERROR(__xludf.DUMMYFUNCTION("""COMPUTED_VALUE"""),"G-REQ-05944")</f>
        <v>G-REQ-05944</v>
      </c>
      <c r="B5945" s="11">
        <f>IFERROR(__xludf.DUMMYFUNCTION("""COMPUTED_VALUE"""),46184.37752296847)</f>
        <v>46184.37752</v>
      </c>
      <c r="C5945" s="9">
        <f>IFERROR(__xludf.DUMMYFUNCTION("""COMPUTED_VALUE"""),22775.0)</f>
        <v>22775</v>
      </c>
      <c r="D5945" s="9" t="str">
        <f>IFERROR(__xludf.DUMMYFUNCTION("""COMPUTED_VALUE"""),"Completed")</f>
        <v>Completed</v>
      </c>
    </row>
    <row r="5946">
      <c r="A5946" s="9" t="str">
        <f>IFERROR(__xludf.DUMMYFUNCTION("""COMPUTED_VALUE"""),"G-REQ-05945")</f>
        <v>G-REQ-05945</v>
      </c>
      <c r="B5946" s="11">
        <f>IFERROR(__xludf.DUMMYFUNCTION("""COMPUTED_VALUE"""),46184.44869781388)</f>
        <v>46184.4487</v>
      </c>
      <c r="C5946" s="9">
        <f>IFERROR(__xludf.DUMMYFUNCTION("""COMPUTED_VALUE"""),22779.0)</f>
        <v>22779</v>
      </c>
      <c r="D5946" s="9" t="str">
        <f>IFERROR(__xludf.DUMMYFUNCTION("""COMPUTED_VALUE"""),"Completed")</f>
        <v>Completed</v>
      </c>
    </row>
    <row r="5947">
      <c r="A5947" s="9" t="str">
        <f>IFERROR(__xludf.DUMMYFUNCTION("""COMPUTED_VALUE"""),"G-REQ-05946")</f>
        <v>G-REQ-05946</v>
      </c>
      <c r="B5947" s="11">
        <f>IFERROR(__xludf.DUMMYFUNCTION("""COMPUTED_VALUE"""),46184.51987265929)</f>
        <v>46184.51987</v>
      </c>
      <c r="C5947" s="9">
        <f>IFERROR(__xludf.DUMMYFUNCTION("""COMPUTED_VALUE"""),22783.0)</f>
        <v>22783</v>
      </c>
      <c r="D5947" s="9" t="str">
        <f>IFERROR(__xludf.DUMMYFUNCTION("""COMPUTED_VALUE"""),"Completed")</f>
        <v>Completed</v>
      </c>
    </row>
    <row r="5948">
      <c r="A5948" s="9" t="str">
        <f>IFERROR(__xludf.DUMMYFUNCTION("""COMPUTED_VALUE"""),"G-REQ-05947")</f>
        <v>G-REQ-05947</v>
      </c>
      <c r="B5948" s="11">
        <f>IFERROR(__xludf.DUMMYFUNCTION("""COMPUTED_VALUE"""),46184.59104750471)</f>
        <v>46184.59105</v>
      </c>
      <c r="C5948" s="9">
        <f>IFERROR(__xludf.DUMMYFUNCTION("""COMPUTED_VALUE"""),22787.0)</f>
        <v>22787</v>
      </c>
      <c r="D5948" s="9" t="str">
        <f>IFERROR(__xludf.DUMMYFUNCTION("""COMPUTED_VALUE"""),"Completed")</f>
        <v>Completed</v>
      </c>
    </row>
    <row r="5949">
      <c r="A5949" s="9" t="str">
        <f>IFERROR(__xludf.DUMMYFUNCTION("""COMPUTED_VALUE"""),"G-REQ-05948")</f>
        <v>G-REQ-05948</v>
      </c>
      <c r="B5949" s="11">
        <f>IFERROR(__xludf.DUMMYFUNCTION("""COMPUTED_VALUE"""),46184.662222350125)</f>
        <v>46184.66222</v>
      </c>
      <c r="C5949" s="9">
        <f>IFERROR(__xludf.DUMMYFUNCTION("""COMPUTED_VALUE"""),22791.0)</f>
        <v>22791</v>
      </c>
      <c r="D5949" s="9" t="str">
        <f>IFERROR(__xludf.DUMMYFUNCTION("""COMPUTED_VALUE"""),"Completed")</f>
        <v>Completed</v>
      </c>
    </row>
    <row r="5950">
      <c r="A5950" s="9" t="str">
        <f>IFERROR(__xludf.DUMMYFUNCTION("""COMPUTED_VALUE"""),"G-REQ-05949")</f>
        <v>G-REQ-05949</v>
      </c>
      <c r="B5950" s="11">
        <f>IFERROR(__xludf.DUMMYFUNCTION("""COMPUTED_VALUE"""),46184.73339719554)</f>
        <v>46184.7334</v>
      </c>
      <c r="C5950" s="9">
        <f>IFERROR(__xludf.DUMMYFUNCTION("""COMPUTED_VALUE"""),22795.0)</f>
        <v>22795</v>
      </c>
      <c r="D5950" s="9" t="str">
        <f>IFERROR(__xludf.DUMMYFUNCTION("""COMPUTED_VALUE"""),"Completed")</f>
        <v>Completed</v>
      </c>
    </row>
    <row r="5951">
      <c r="A5951" s="9" t="str">
        <f>IFERROR(__xludf.DUMMYFUNCTION("""COMPUTED_VALUE"""),"G-REQ-05950")</f>
        <v>G-REQ-05950</v>
      </c>
      <c r="B5951" s="11">
        <f>IFERROR(__xludf.DUMMYFUNCTION("""COMPUTED_VALUE"""),46184.80457204096)</f>
        <v>46184.80457</v>
      </c>
      <c r="C5951" s="9">
        <f>IFERROR(__xludf.DUMMYFUNCTION("""COMPUTED_VALUE"""),22799.0)</f>
        <v>22799</v>
      </c>
      <c r="D5951" s="9" t="str">
        <f>IFERROR(__xludf.DUMMYFUNCTION("""COMPUTED_VALUE"""),"Completed")</f>
        <v>Completed</v>
      </c>
    </row>
    <row r="5952">
      <c r="A5952" s="9" t="str">
        <f>IFERROR(__xludf.DUMMYFUNCTION("""COMPUTED_VALUE"""),"G-REQ-05951")</f>
        <v>G-REQ-05951</v>
      </c>
      <c r="B5952" s="11">
        <f>IFERROR(__xludf.DUMMYFUNCTION("""COMPUTED_VALUE"""),46184.87574688637)</f>
        <v>46184.87575</v>
      </c>
      <c r="C5952" s="9">
        <f>IFERROR(__xludf.DUMMYFUNCTION("""COMPUTED_VALUE"""),22803.0)</f>
        <v>22803</v>
      </c>
      <c r="D5952" s="9" t="str">
        <f>IFERROR(__xludf.DUMMYFUNCTION("""COMPUTED_VALUE"""),"Completed")</f>
        <v>Completed</v>
      </c>
    </row>
    <row r="5953">
      <c r="A5953" s="9" t="str">
        <f>IFERROR(__xludf.DUMMYFUNCTION("""COMPUTED_VALUE"""),"G-REQ-05952")</f>
        <v>G-REQ-05952</v>
      </c>
      <c r="B5953" s="11">
        <f>IFERROR(__xludf.DUMMYFUNCTION("""COMPUTED_VALUE"""),46184.93997728734)</f>
        <v>46184.93998</v>
      </c>
      <c r="C5953" s="9">
        <f>IFERROR(__xludf.DUMMYFUNCTION("""COMPUTED_VALUE"""),22805.0)</f>
        <v>22805</v>
      </c>
      <c r="D5953" s="9" t="str">
        <f>IFERROR(__xludf.DUMMYFUNCTION("""COMPUTED_VALUE"""),"Rejected")</f>
        <v>Rejected</v>
      </c>
    </row>
    <row r="5954">
      <c r="A5954" s="9" t="str">
        <f>IFERROR(__xludf.DUMMYFUNCTION("""COMPUTED_VALUE"""),"G-REQ-05953")</f>
        <v>G-REQ-05953</v>
      </c>
      <c r="B5954" s="11">
        <f>IFERROR(__xludf.DUMMYFUNCTION("""COMPUTED_VALUE"""),46185.0180965772)</f>
        <v>46185.0181</v>
      </c>
      <c r="C5954" s="9">
        <f>IFERROR(__xludf.DUMMYFUNCTION("""COMPUTED_VALUE"""),22809.0)</f>
        <v>22809</v>
      </c>
      <c r="D5954" s="9" t="str">
        <f>IFERROR(__xludf.DUMMYFUNCTION("""COMPUTED_VALUE"""),"Completed")</f>
        <v>Completed</v>
      </c>
    </row>
    <row r="5955">
      <c r="A5955" s="9" t="str">
        <f>IFERROR(__xludf.DUMMYFUNCTION("""COMPUTED_VALUE"""),"G-REQ-05954")</f>
        <v>G-REQ-05954</v>
      </c>
      <c r="B5955" s="11">
        <f>IFERROR(__xludf.DUMMYFUNCTION("""COMPUTED_VALUE"""),46185.089271422614)</f>
        <v>46185.08927</v>
      </c>
      <c r="C5955" s="9">
        <f>IFERROR(__xludf.DUMMYFUNCTION("""COMPUTED_VALUE"""),22813.0)</f>
        <v>22813</v>
      </c>
      <c r="D5955" s="9" t="str">
        <f>IFERROR(__xludf.DUMMYFUNCTION("""COMPUTED_VALUE"""),"Completed")</f>
        <v>Completed</v>
      </c>
    </row>
    <row r="5956">
      <c r="A5956" s="9" t="str">
        <f>IFERROR(__xludf.DUMMYFUNCTION("""COMPUTED_VALUE"""),"G-REQ-05955")</f>
        <v>G-REQ-05955</v>
      </c>
      <c r="B5956" s="11">
        <f>IFERROR(__xludf.DUMMYFUNCTION("""COMPUTED_VALUE"""),46185.160446268026)</f>
        <v>46185.16045</v>
      </c>
      <c r="C5956" s="9">
        <f>IFERROR(__xludf.DUMMYFUNCTION("""COMPUTED_VALUE"""),22817.0)</f>
        <v>22817</v>
      </c>
      <c r="D5956" s="9" t="str">
        <f>IFERROR(__xludf.DUMMYFUNCTION("""COMPUTED_VALUE"""),"Completed")</f>
        <v>Completed</v>
      </c>
    </row>
    <row r="5957">
      <c r="A5957" s="9" t="str">
        <f>IFERROR(__xludf.DUMMYFUNCTION("""COMPUTED_VALUE"""),"G-REQ-05956")</f>
        <v>G-REQ-05956</v>
      </c>
      <c r="B5957" s="11">
        <f>IFERROR(__xludf.DUMMYFUNCTION("""COMPUTED_VALUE"""),46185.231621113446)</f>
        <v>46185.23162</v>
      </c>
      <c r="C5957" s="9">
        <f>IFERROR(__xludf.DUMMYFUNCTION("""COMPUTED_VALUE"""),22821.0)</f>
        <v>22821</v>
      </c>
      <c r="D5957" s="9" t="str">
        <f>IFERROR(__xludf.DUMMYFUNCTION("""COMPUTED_VALUE"""),"Completed")</f>
        <v>Completed</v>
      </c>
    </row>
    <row r="5958">
      <c r="A5958" s="9" t="str">
        <f>IFERROR(__xludf.DUMMYFUNCTION("""COMPUTED_VALUE"""),"G-REQ-05957")</f>
        <v>G-REQ-05957</v>
      </c>
      <c r="B5958" s="11">
        <f>IFERROR(__xludf.DUMMYFUNCTION("""COMPUTED_VALUE"""),46185.302795958865)</f>
        <v>46185.3028</v>
      </c>
      <c r="C5958" s="9">
        <f>IFERROR(__xludf.DUMMYFUNCTION("""COMPUTED_VALUE"""),22825.0)</f>
        <v>22825</v>
      </c>
      <c r="D5958" s="9" t="str">
        <f>IFERROR(__xludf.DUMMYFUNCTION("""COMPUTED_VALUE"""),"Completed")</f>
        <v>Completed</v>
      </c>
    </row>
    <row r="5959">
      <c r="A5959" s="9" t="str">
        <f>IFERROR(__xludf.DUMMYFUNCTION("""COMPUTED_VALUE"""),"G-REQ-05958")</f>
        <v>G-REQ-05958</v>
      </c>
      <c r="B5959" s="11">
        <f>IFERROR(__xludf.DUMMYFUNCTION("""COMPUTED_VALUE"""),46185.37397080427)</f>
        <v>46185.37397</v>
      </c>
      <c r="C5959" s="9">
        <f>IFERROR(__xludf.DUMMYFUNCTION("""COMPUTED_VALUE"""),22829.0)</f>
        <v>22829</v>
      </c>
      <c r="D5959" s="9" t="str">
        <f>IFERROR(__xludf.DUMMYFUNCTION("""COMPUTED_VALUE"""),"Completed")</f>
        <v>Completed</v>
      </c>
    </row>
    <row r="5960">
      <c r="A5960" s="9" t="str">
        <f>IFERROR(__xludf.DUMMYFUNCTION("""COMPUTED_VALUE"""),"G-REQ-05959")</f>
        <v>G-REQ-05959</v>
      </c>
      <c r="B5960" s="11">
        <f>IFERROR(__xludf.DUMMYFUNCTION("""COMPUTED_VALUE"""),46185.44514564969)</f>
        <v>46185.44515</v>
      </c>
      <c r="C5960" s="9">
        <f>IFERROR(__xludf.DUMMYFUNCTION("""COMPUTED_VALUE"""),22833.0)</f>
        <v>22833</v>
      </c>
      <c r="D5960" s="9" t="str">
        <f>IFERROR(__xludf.DUMMYFUNCTION("""COMPUTED_VALUE"""),"Completed")</f>
        <v>Completed</v>
      </c>
    </row>
    <row r="5961">
      <c r="A5961" s="9" t="str">
        <f>IFERROR(__xludf.DUMMYFUNCTION("""COMPUTED_VALUE"""),"G-REQ-05960")</f>
        <v>G-REQ-05960</v>
      </c>
      <c r="B5961" s="11">
        <f>IFERROR(__xludf.DUMMYFUNCTION("""COMPUTED_VALUE"""),46185.51632049511)</f>
        <v>46185.51632</v>
      </c>
      <c r="C5961" s="9">
        <f>IFERROR(__xludf.DUMMYFUNCTION("""COMPUTED_VALUE"""),22837.0)</f>
        <v>22837</v>
      </c>
      <c r="D5961" s="9" t="str">
        <f>IFERROR(__xludf.DUMMYFUNCTION("""COMPUTED_VALUE"""),"Completed")</f>
        <v>Completed</v>
      </c>
    </row>
    <row r="5962">
      <c r="A5962" s="9" t="str">
        <f>IFERROR(__xludf.DUMMYFUNCTION("""COMPUTED_VALUE"""),"G-REQ-05961")</f>
        <v>G-REQ-05961</v>
      </c>
      <c r="B5962" s="11">
        <f>IFERROR(__xludf.DUMMYFUNCTION("""COMPUTED_VALUE"""),46185.58749534052)</f>
        <v>46185.5875</v>
      </c>
      <c r="C5962" s="9">
        <f>IFERROR(__xludf.DUMMYFUNCTION("""COMPUTED_VALUE"""),22841.0)</f>
        <v>22841</v>
      </c>
      <c r="D5962" s="9" t="str">
        <f>IFERROR(__xludf.DUMMYFUNCTION("""COMPUTED_VALUE"""),"Completed")</f>
        <v>Completed</v>
      </c>
    </row>
    <row r="5963">
      <c r="A5963" s="9" t="str">
        <f>IFERROR(__xludf.DUMMYFUNCTION("""COMPUTED_VALUE"""),"G-REQ-05962")</f>
        <v>G-REQ-05962</v>
      </c>
      <c r="B5963" s="11">
        <f>IFERROR(__xludf.DUMMYFUNCTION("""COMPUTED_VALUE"""),46185.658670185934)</f>
        <v>46185.65867</v>
      </c>
      <c r="C5963" s="9">
        <f>IFERROR(__xludf.DUMMYFUNCTION("""COMPUTED_VALUE"""),22845.0)</f>
        <v>22845</v>
      </c>
      <c r="D5963" s="9" t="str">
        <f>IFERROR(__xludf.DUMMYFUNCTION("""COMPUTED_VALUE"""),"Completed")</f>
        <v>Completed</v>
      </c>
    </row>
    <row r="5964">
      <c r="A5964" s="9" t="str">
        <f>IFERROR(__xludf.DUMMYFUNCTION("""COMPUTED_VALUE"""),"G-REQ-05963")</f>
        <v>G-REQ-05963</v>
      </c>
      <c r="B5964" s="11">
        <f>IFERROR(__xludf.DUMMYFUNCTION("""COMPUTED_VALUE"""),46185.729845031354)</f>
        <v>46185.72985</v>
      </c>
      <c r="C5964" s="9">
        <f>IFERROR(__xludf.DUMMYFUNCTION("""COMPUTED_VALUE"""),22849.0)</f>
        <v>22849</v>
      </c>
      <c r="D5964" s="9" t="str">
        <f>IFERROR(__xludf.DUMMYFUNCTION("""COMPUTED_VALUE"""),"Completed")</f>
        <v>Completed</v>
      </c>
    </row>
    <row r="5965">
      <c r="A5965" s="9" t="str">
        <f>IFERROR(__xludf.DUMMYFUNCTION("""COMPUTED_VALUE"""),"G-REQ-05964")</f>
        <v>G-REQ-05964</v>
      </c>
      <c r="B5965" s="11">
        <f>IFERROR(__xludf.DUMMYFUNCTION("""COMPUTED_VALUE"""),46185.801019876766)</f>
        <v>46185.80102</v>
      </c>
      <c r="C5965" s="9">
        <f>IFERROR(__xludf.DUMMYFUNCTION("""COMPUTED_VALUE"""),22853.0)</f>
        <v>22853</v>
      </c>
      <c r="D5965" s="9" t="str">
        <f>IFERROR(__xludf.DUMMYFUNCTION("""COMPUTED_VALUE"""),"Completed")</f>
        <v>Completed</v>
      </c>
    </row>
    <row r="5966">
      <c r="A5966" s="9" t="str">
        <f>IFERROR(__xludf.DUMMYFUNCTION("""COMPUTED_VALUE"""),"G-REQ-05965")</f>
        <v>G-REQ-05965</v>
      </c>
      <c r="B5966" s="11">
        <f>IFERROR(__xludf.DUMMYFUNCTION("""COMPUTED_VALUE"""),46185.87219472218)</f>
        <v>46185.87219</v>
      </c>
      <c r="C5966" s="9">
        <f>IFERROR(__xludf.DUMMYFUNCTION("""COMPUTED_VALUE"""),22857.0)</f>
        <v>22857</v>
      </c>
      <c r="D5966" s="9" t="str">
        <f>IFERROR(__xludf.DUMMYFUNCTION("""COMPUTED_VALUE"""),"Completed")</f>
        <v>Completed</v>
      </c>
    </row>
    <row r="5967">
      <c r="A5967" s="9" t="str">
        <f>IFERROR(__xludf.DUMMYFUNCTION("""COMPUTED_VALUE"""),"G-REQ-05966")</f>
        <v>G-REQ-05966</v>
      </c>
      <c r="B5967" s="11">
        <f>IFERROR(__xludf.DUMMYFUNCTION("""COMPUTED_VALUE"""),46185.9433695676)</f>
        <v>46185.94337</v>
      </c>
      <c r="C5967" s="9">
        <f>IFERROR(__xludf.DUMMYFUNCTION("""COMPUTED_VALUE"""),22861.0)</f>
        <v>22861</v>
      </c>
      <c r="D5967" s="9" t="str">
        <f>IFERROR(__xludf.DUMMYFUNCTION("""COMPUTED_VALUE"""),"Completed")</f>
        <v>Completed</v>
      </c>
    </row>
    <row r="5968">
      <c r="A5968" s="9" t="str">
        <f>IFERROR(__xludf.DUMMYFUNCTION("""COMPUTED_VALUE"""),"G-REQ-05967")</f>
        <v>G-REQ-05967</v>
      </c>
      <c r="B5968" s="11">
        <f>IFERROR(__xludf.DUMMYFUNCTION("""COMPUTED_VALUE"""),46186.01454441302)</f>
        <v>46186.01454</v>
      </c>
      <c r="C5968" s="9">
        <f>IFERROR(__xludf.DUMMYFUNCTION("""COMPUTED_VALUE"""),22865.0)</f>
        <v>22865</v>
      </c>
      <c r="D5968" s="9" t="str">
        <f>IFERROR(__xludf.DUMMYFUNCTION("""COMPUTED_VALUE"""),"Completed")</f>
        <v>Completed</v>
      </c>
    </row>
    <row r="5969">
      <c r="A5969" s="9" t="str">
        <f>IFERROR(__xludf.DUMMYFUNCTION("""COMPUTED_VALUE"""),"G-REQ-05968")</f>
        <v>G-REQ-05968</v>
      </c>
      <c r="B5969" s="11">
        <f>IFERROR(__xludf.DUMMYFUNCTION("""COMPUTED_VALUE"""),46186.08571925842)</f>
        <v>46186.08572</v>
      </c>
      <c r="C5969" s="9">
        <f>IFERROR(__xludf.DUMMYFUNCTION("""COMPUTED_VALUE"""),22869.0)</f>
        <v>22869</v>
      </c>
      <c r="D5969" s="9" t="str">
        <f>IFERROR(__xludf.DUMMYFUNCTION("""COMPUTED_VALUE"""),"Completed")</f>
        <v>Completed</v>
      </c>
    </row>
    <row r="5970">
      <c r="A5970" s="9" t="str">
        <f>IFERROR(__xludf.DUMMYFUNCTION("""COMPUTED_VALUE"""),"G-REQ-05969")</f>
        <v>G-REQ-05969</v>
      </c>
      <c r="B5970" s="11">
        <f>IFERROR(__xludf.DUMMYFUNCTION("""COMPUTED_VALUE"""),46186.15689410384)</f>
        <v>46186.15689</v>
      </c>
      <c r="C5970" s="9">
        <f>IFERROR(__xludf.DUMMYFUNCTION("""COMPUTED_VALUE"""),22873.0)</f>
        <v>22873</v>
      </c>
      <c r="D5970" s="9" t="str">
        <f>IFERROR(__xludf.DUMMYFUNCTION("""COMPUTED_VALUE"""),"Completed")</f>
        <v>Completed</v>
      </c>
    </row>
    <row r="5971">
      <c r="A5971" s="9" t="str">
        <f>IFERROR(__xludf.DUMMYFUNCTION("""COMPUTED_VALUE"""),"G-REQ-05970")</f>
        <v>G-REQ-05970</v>
      </c>
      <c r="B5971" s="11">
        <f>IFERROR(__xludf.DUMMYFUNCTION("""COMPUTED_VALUE"""),46186.228068949255)</f>
        <v>46186.22807</v>
      </c>
      <c r="C5971" s="9">
        <f>IFERROR(__xludf.DUMMYFUNCTION("""COMPUTED_VALUE"""),22877.0)</f>
        <v>22877</v>
      </c>
      <c r="D5971" s="9" t="str">
        <f>IFERROR(__xludf.DUMMYFUNCTION("""COMPUTED_VALUE"""),"Completed")</f>
        <v>Completed</v>
      </c>
    </row>
    <row r="5972">
      <c r="A5972" s="9" t="str">
        <f>IFERROR(__xludf.DUMMYFUNCTION("""COMPUTED_VALUE"""),"G-REQ-05971")</f>
        <v>G-REQ-05971</v>
      </c>
      <c r="B5972" s="11">
        <f>IFERROR(__xludf.DUMMYFUNCTION("""COMPUTED_VALUE"""),46186.299243794674)</f>
        <v>46186.29924</v>
      </c>
      <c r="C5972" s="9">
        <f>IFERROR(__xludf.DUMMYFUNCTION("""COMPUTED_VALUE"""),22881.0)</f>
        <v>22881</v>
      </c>
      <c r="D5972" s="9" t="str">
        <f>IFERROR(__xludf.DUMMYFUNCTION("""COMPUTED_VALUE"""),"Completed")</f>
        <v>Completed</v>
      </c>
    </row>
    <row r="5973">
      <c r="A5973" s="9" t="str">
        <f>IFERROR(__xludf.DUMMYFUNCTION("""COMPUTED_VALUE"""),"G-REQ-05972")</f>
        <v>G-REQ-05972</v>
      </c>
      <c r="B5973" s="11">
        <f>IFERROR(__xludf.DUMMYFUNCTION("""COMPUTED_VALUE"""),46186.37041864009)</f>
        <v>46186.37042</v>
      </c>
      <c r="C5973" s="9">
        <f>IFERROR(__xludf.DUMMYFUNCTION("""COMPUTED_VALUE"""),22885.0)</f>
        <v>22885</v>
      </c>
      <c r="D5973" s="9" t="str">
        <f>IFERROR(__xludf.DUMMYFUNCTION("""COMPUTED_VALUE"""),"Completed")</f>
        <v>Completed</v>
      </c>
    </row>
    <row r="5974">
      <c r="A5974" s="9" t="str">
        <f>IFERROR(__xludf.DUMMYFUNCTION("""COMPUTED_VALUE"""),"G-REQ-05973")</f>
        <v>G-REQ-05973</v>
      </c>
      <c r="B5974" s="11">
        <f>IFERROR(__xludf.DUMMYFUNCTION("""COMPUTED_VALUE"""),46186.441593485506)</f>
        <v>46186.44159</v>
      </c>
      <c r="C5974" s="9">
        <f>IFERROR(__xludf.DUMMYFUNCTION("""COMPUTED_VALUE"""),22889.0)</f>
        <v>22889</v>
      </c>
      <c r="D5974" s="9" t="str">
        <f>IFERROR(__xludf.DUMMYFUNCTION("""COMPUTED_VALUE"""),"Completed")</f>
        <v>Completed</v>
      </c>
    </row>
    <row r="5975">
      <c r="A5975" s="9" t="str">
        <f>IFERROR(__xludf.DUMMYFUNCTION("""COMPUTED_VALUE"""),"G-REQ-05974")</f>
        <v>G-REQ-05974</v>
      </c>
      <c r="B5975" s="11">
        <f>IFERROR(__xludf.DUMMYFUNCTION("""COMPUTED_VALUE"""),46186.51276833091)</f>
        <v>46186.51277</v>
      </c>
      <c r="C5975" s="9">
        <f>IFERROR(__xludf.DUMMYFUNCTION("""COMPUTED_VALUE"""),22893.0)</f>
        <v>22893</v>
      </c>
      <c r="D5975" s="9" t="str">
        <f>IFERROR(__xludf.DUMMYFUNCTION("""COMPUTED_VALUE"""),"Completed")</f>
        <v>Completed</v>
      </c>
    </row>
    <row r="5976">
      <c r="A5976" s="9" t="str">
        <f>IFERROR(__xludf.DUMMYFUNCTION("""COMPUTED_VALUE"""),"G-REQ-05975")</f>
        <v>G-REQ-05975</v>
      </c>
      <c r="B5976" s="11">
        <f>IFERROR(__xludf.DUMMYFUNCTION("""COMPUTED_VALUE"""),46186.58394317633)</f>
        <v>46186.58394</v>
      </c>
      <c r="C5976" s="9">
        <f>IFERROR(__xludf.DUMMYFUNCTION("""COMPUTED_VALUE"""),22897.0)</f>
        <v>22897</v>
      </c>
      <c r="D5976" s="9" t="str">
        <f>IFERROR(__xludf.DUMMYFUNCTION("""COMPUTED_VALUE"""),"Completed")</f>
        <v>Completed</v>
      </c>
    </row>
    <row r="5977">
      <c r="A5977" s="9" t="str">
        <f>IFERROR(__xludf.DUMMYFUNCTION("""COMPUTED_VALUE"""),"G-REQ-05976")</f>
        <v>G-REQ-05976</v>
      </c>
      <c r="B5977" s="11">
        <f>IFERROR(__xludf.DUMMYFUNCTION("""COMPUTED_VALUE"""),46186.65511802175)</f>
        <v>46186.65512</v>
      </c>
      <c r="C5977" s="9">
        <f>IFERROR(__xludf.DUMMYFUNCTION("""COMPUTED_VALUE"""),22901.0)</f>
        <v>22901</v>
      </c>
      <c r="D5977" s="9" t="str">
        <f>IFERROR(__xludf.DUMMYFUNCTION("""COMPUTED_VALUE"""),"Completed")</f>
        <v>Completed</v>
      </c>
    </row>
    <row r="5978">
      <c r="A5978" s="9" t="str">
        <f>IFERROR(__xludf.DUMMYFUNCTION("""COMPUTED_VALUE"""),"G-REQ-05977")</f>
        <v>G-REQ-05977</v>
      </c>
      <c r="B5978" s="11">
        <f>IFERROR(__xludf.DUMMYFUNCTION("""COMPUTED_VALUE"""),46186.72629286716)</f>
        <v>46186.72629</v>
      </c>
      <c r="C5978" s="9">
        <f>IFERROR(__xludf.DUMMYFUNCTION("""COMPUTED_VALUE"""),22905.0)</f>
        <v>22905</v>
      </c>
      <c r="D5978" s="9" t="str">
        <f>IFERROR(__xludf.DUMMYFUNCTION("""COMPUTED_VALUE"""),"Completed")</f>
        <v>Completed</v>
      </c>
    </row>
    <row r="5979">
      <c r="A5979" s="9" t="str">
        <f>IFERROR(__xludf.DUMMYFUNCTION("""COMPUTED_VALUE"""),"G-REQ-05978")</f>
        <v>G-REQ-05978</v>
      </c>
      <c r="B5979" s="11">
        <f>IFERROR(__xludf.DUMMYFUNCTION("""COMPUTED_VALUE"""),46186.79052326813)</f>
        <v>46186.79052</v>
      </c>
      <c r="C5979" s="9">
        <f>IFERROR(__xludf.DUMMYFUNCTION("""COMPUTED_VALUE"""),22907.0)</f>
        <v>22907</v>
      </c>
      <c r="D5979" s="9" t="str">
        <f>IFERROR(__xludf.DUMMYFUNCTION("""COMPUTED_VALUE"""),"Rejected")</f>
        <v>Rejected</v>
      </c>
    </row>
    <row r="5980">
      <c r="A5980" s="9" t="str">
        <f>IFERROR(__xludf.DUMMYFUNCTION("""COMPUTED_VALUE"""),"G-REQ-05979")</f>
        <v>G-REQ-05979</v>
      </c>
      <c r="B5980" s="11">
        <f>IFERROR(__xludf.DUMMYFUNCTION("""COMPUTED_VALUE"""),46186.86169811355)</f>
        <v>46186.8617</v>
      </c>
      <c r="C5980" s="9">
        <f>IFERROR(__xludf.DUMMYFUNCTION("""COMPUTED_VALUE"""),22909.0)</f>
        <v>22909</v>
      </c>
      <c r="D5980" s="9" t="str">
        <f>IFERROR(__xludf.DUMMYFUNCTION("""COMPUTED_VALUE"""),"Rejected")</f>
        <v>Rejected</v>
      </c>
    </row>
    <row r="5981">
      <c r="A5981" s="9" t="str">
        <f>IFERROR(__xludf.DUMMYFUNCTION("""COMPUTED_VALUE"""),"G-REQ-05980")</f>
        <v>G-REQ-05980</v>
      </c>
      <c r="B5981" s="11">
        <f>IFERROR(__xludf.DUMMYFUNCTION("""COMPUTED_VALUE"""),46186.93981740341)</f>
        <v>46186.93982</v>
      </c>
      <c r="C5981" s="9">
        <f>IFERROR(__xludf.DUMMYFUNCTION("""COMPUTED_VALUE"""),22913.0)</f>
        <v>22913</v>
      </c>
      <c r="D5981" s="9" t="str">
        <f>IFERROR(__xludf.DUMMYFUNCTION("""COMPUTED_VALUE"""),"Completed")</f>
        <v>Completed</v>
      </c>
    </row>
    <row r="5982">
      <c r="A5982" s="9" t="str">
        <f>IFERROR(__xludf.DUMMYFUNCTION("""COMPUTED_VALUE"""),"G-REQ-05981")</f>
        <v>G-REQ-05981</v>
      </c>
      <c r="B5982" s="11">
        <f>IFERROR(__xludf.DUMMYFUNCTION("""COMPUTED_VALUE"""),46187.01099224882)</f>
        <v>46187.01099</v>
      </c>
      <c r="C5982" s="9">
        <f>IFERROR(__xludf.DUMMYFUNCTION("""COMPUTED_VALUE"""),22917.0)</f>
        <v>22917</v>
      </c>
      <c r="D5982" s="9" t="str">
        <f>IFERROR(__xludf.DUMMYFUNCTION("""COMPUTED_VALUE"""),"Completed")</f>
        <v>Completed</v>
      </c>
    </row>
    <row r="5983">
      <c r="A5983" s="9" t="str">
        <f>IFERROR(__xludf.DUMMYFUNCTION("""COMPUTED_VALUE"""),"G-REQ-05982")</f>
        <v>G-REQ-05982</v>
      </c>
      <c r="B5983" s="11">
        <f>IFERROR(__xludf.DUMMYFUNCTION("""COMPUTED_VALUE"""),46187.07522264979)</f>
        <v>46187.07522</v>
      </c>
      <c r="C5983" s="9">
        <f>IFERROR(__xludf.DUMMYFUNCTION("""COMPUTED_VALUE"""),22919.0)</f>
        <v>22919</v>
      </c>
      <c r="D5983" s="9" t="str">
        <f>IFERROR(__xludf.DUMMYFUNCTION("""COMPUTED_VALUE"""),"Cancelled")</f>
        <v>Cancelled</v>
      </c>
    </row>
    <row r="5984">
      <c r="A5984" s="9" t="str">
        <f>IFERROR(__xludf.DUMMYFUNCTION("""COMPUTED_VALUE"""),"G-REQ-05983")</f>
        <v>G-REQ-05983</v>
      </c>
      <c r="B5984" s="11">
        <f>IFERROR(__xludf.DUMMYFUNCTION("""COMPUTED_VALUE"""),46187.15334193966)</f>
        <v>46187.15334</v>
      </c>
      <c r="C5984" s="9">
        <f>IFERROR(__xludf.DUMMYFUNCTION("""COMPUTED_VALUE"""),22923.0)</f>
        <v>22923</v>
      </c>
      <c r="D5984" s="9" t="str">
        <f>IFERROR(__xludf.DUMMYFUNCTION("""COMPUTED_VALUE"""),"Completed")</f>
        <v>Completed</v>
      </c>
    </row>
    <row r="5985">
      <c r="A5985" s="9" t="str">
        <f>IFERROR(__xludf.DUMMYFUNCTION("""COMPUTED_VALUE"""),"G-REQ-05984")</f>
        <v>G-REQ-05984</v>
      </c>
      <c r="B5985" s="11">
        <f>IFERROR(__xludf.DUMMYFUNCTION("""COMPUTED_VALUE"""),46187.22451678506)</f>
        <v>46187.22452</v>
      </c>
      <c r="C5985" s="9">
        <f>IFERROR(__xludf.DUMMYFUNCTION("""COMPUTED_VALUE"""),22927.0)</f>
        <v>22927</v>
      </c>
      <c r="D5985" s="9" t="str">
        <f>IFERROR(__xludf.DUMMYFUNCTION("""COMPUTED_VALUE"""),"Completed")</f>
        <v>Completed</v>
      </c>
    </row>
    <row r="5986">
      <c r="A5986" s="9" t="str">
        <f>IFERROR(__xludf.DUMMYFUNCTION("""COMPUTED_VALUE"""),"G-REQ-05985")</f>
        <v>G-REQ-05985</v>
      </c>
      <c r="B5986" s="11">
        <f>IFERROR(__xludf.DUMMYFUNCTION("""COMPUTED_VALUE"""),46187.29569163048)</f>
        <v>46187.29569</v>
      </c>
      <c r="C5986" s="9">
        <f>IFERROR(__xludf.DUMMYFUNCTION("""COMPUTED_VALUE"""),22931.0)</f>
        <v>22931</v>
      </c>
      <c r="D5986" s="9" t="str">
        <f>IFERROR(__xludf.DUMMYFUNCTION("""COMPUTED_VALUE"""),"Completed")</f>
        <v>Completed</v>
      </c>
    </row>
    <row r="5987">
      <c r="A5987" s="9" t="str">
        <f>IFERROR(__xludf.DUMMYFUNCTION("""COMPUTED_VALUE"""),"G-REQ-05986")</f>
        <v>G-REQ-05986</v>
      </c>
      <c r="B5987" s="11">
        <f>IFERROR(__xludf.DUMMYFUNCTION("""COMPUTED_VALUE"""),46187.3668664759)</f>
        <v>46187.36687</v>
      </c>
      <c r="C5987" s="9">
        <f>IFERROR(__xludf.DUMMYFUNCTION("""COMPUTED_VALUE"""),22935.0)</f>
        <v>22935</v>
      </c>
      <c r="D5987" s="9" t="str">
        <f>IFERROR(__xludf.DUMMYFUNCTION("""COMPUTED_VALUE"""),"Completed")</f>
        <v>Completed</v>
      </c>
    </row>
    <row r="5988">
      <c r="A5988" s="9" t="str">
        <f>IFERROR(__xludf.DUMMYFUNCTION("""COMPUTED_VALUE"""),"G-REQ-05987")</f>
        <v>G-REQ-05987</v>
      </c>
      <c r="B5988" s="11">
        <f>IFERROR(__xludf.DUMMYFUNCTION("""COMPUTED_VALUE"""),46187.438041321315)</f>
        <v>46187.43804</v>
      </c>
      <c r="C5988" s="9">
        <f>IFERROR(__xludf.DUMMYFUNCTION("""COMPUTED_VALUE"""),22939.0)</f>
        <v>22939</v>
      </c>
      <c r="D5988" s="9" t="str">
        <f>IFERROR(__xludf.DUMMYFUNCTION("""COMPUTED_VALUE"""),"Completed")</f>
        <v>Completed</v>
      </c>
    </row>
    <row r="5989">
      <c r="A5989" s="9" t="str">
        <f>IFERROR(__xludf.DUMMYFUNCTION("""COMPUTED_VALUE"""),"G-REQ-05988")</f>
        <v>G-REQ-05988</v>
      </c>
      <c r="B5989" s="11">
        <f>IFERROR(__xludf.DUMMYFUNCTION("""COMPUTED_VALUE"""),46187.50921616673)</f>
        <v>46187.50922</v>
      </c>
      <c r="C5989" s="9">
        <f>IFERROR(__xludf.DUMMYFUNCTION("""COMPUTED_VALUE"""),22943.0)</f>
        <v>22943</v>
      </c>
      <c r="D5989" s="9" t="str">
        <f>IFERROR(__xludf.DUMMYFUNCTION("""COMPUTED_VALUE"""),"Completed")</f>
        <v>Completed</v>
      </c>
    </row>
    <row r="5990">
      <c r="A5990" s="9" t="str">
        <f>IFERROR(__xludf.DUMMYFUNCTION("""COMPUTED_VALUE"""),"G-REQ-05989")</f>
        <v>G-REQ-05989</v>
      </c>
      <c r="B5990" s="11">
        <f>IFERROR(__xludf.DUMMYFUNCTION("""COMPUTED_VALUE"""),46187.58039101215)</f>
        <v>46187.58039</v>
      </c>
      <c r="C5990" s="9">
        <f>IFERROR(__xludf.DUMMYFUNCTION("""COMPUTED_VALUE"""),22947.0)</f>
        <v>22947</v>
      </c>
      <c r="D5990" s="9" t="str">
        <f>IFERROR(__xludf.DUMMYFUNCTION("""COMPUTED_VALUE"""),"Completed")</f>
        <v>Completed</v>
      </c>
    </row>
    <row r="5991">
      <c r="A5991" s="9" t="str">
        <f>IFERROR(__xludf.DUMMYFUNCTION("""COMPUTED_VALUE"""),"G-REQ-05990")</f>
        <v>G-REQ-05990</v>
      </c>
      <c r="B5991" s="11">
        <f>IFERROR(__xludf.DUMMYFUNCTION("""COMPUTED_VALUE"""),46187.65156585756)</f>
        <v>46187.65157</v>
      </c>
      <c r="C5991" s="9">
        <f>IFERROR(__xludf.DUMMYFUNCTION("""COMPUTED_VALUE"""),22951.0)</f>
        <v>22951</v>
      </c>
      <c r="D5991" s="9" t="str">
        <f>IFERROR(__xludf.DUMMYFUNCTION("""COMPUTED_VALUE"""),"Completed")</f>
        <v>Completed</v>
      </c>
    </row>
    <row r="5992">
      <c r="A5992" s="9" t="str">
        <f>IFERROR(__xludf.DUMMYFUNCTION("""COMPUTED_VALUE"""),"G-REQ-05991")</f>
        <v>G-REQ-05991</v>
      </c>
      <c r="B5992" s="11">
        <f>IFERROR(__xludf.DUMMYFUNCTION("""COMPUTED_VALUE"""),46187.72274070297)</f>
        <v>46187.72274</v>
      </c>
      <c r="C5992" s="9">
        <f>IFERROR(__xludf.DUMMYFUNCTION("""COMPUTED_VALUE"""),22955.0)</f>
        <v>22955</v>
      </c>
      <c r="D5992" s="9" t="str">
        <f>IFERROR(__xludf.DUMMYFUNCTION("""COMPUTED_VALUE"""),"Completed")</f>
        <v>Completed</v>
      </c>
    </row>
    <row r="5993">
      <c r="A5993" s="9" t="str">
        <f>IFERROR(__xludf.DUMMYFUNCTION("""COMPUTED_VALUE"""),"G-REQ-05992")</f>
        <v>G-REQ-05992</v>
      </c>
      <c r="B5993" s="11">
        <f>IFERROR(__xludf.DUMMYFUNCTION("""COMPUTED_VALUE"""),46187.786971103946)</f>
        <v>46187.78697</v>
      </c>
      <c r="C5993" s="9">
        <f>IFERROR(__xludf.DUMMYFUNCTION("""COMPUTED_VALUE"""),22957.0)</f>
        <v>22957</v>
      </c>
      <c r="D5993" s="9" t="str">
        <f>IFERROR(__xludf.DUMMYFUNCTION("""COMPUTED_VALUE"""),"Cancelled")</f>
        <v>Cancelled</v>
      </c>
    </row>
    <row r="5994">
      <c r="A5994" s="9" t="str">
        <f>IFERROR(__xludf.DUMMYFUNCTION("""COMPUTED_VALUE"""),"G-REQ-05993")</f>
        <v>G-REQ-05993</v>
      </c>
      <c r="B5994" s="11">
        <f>IFERROR(__xludf.DUMMYFUNCTION("""COMPUTED_VALUE"""),46187.8650903938)</f>
        <v>46187.86509</v>
      </c>
      <c r="C5994" s="9">
        <f>IFERROR(__xludf.DUMMYFUNCTION("""COMPUTED_VALUE"""),22961.0)</f>
        <v>22961</v>
      </c>
      <c r="D5994" s="9" t="str">
        <f>IFERROR(__xludf.DUMMYFUNCTION("""COMPUTED_VALUE"""),"Completed")</f>
        <v>Completed</v>
      </c>
    </row>
    <row r="5995">
      <c r="A5995" s="9" t="str">
        <f>IFERROR(__xludf.DUMMYFUNCTION("""COMPUTED_VALUE"""),"G-REQ-05994")</f>
        <v>G-REQ-05994</v>
      </c>
      <c r="B5995" s="11">
        <f>IFERROR(__xludf.DUMMYFUNCTION("""COMPUTED_VALUE"""),46187.936265239216)</f>
        <v>46187.93627</v>
      </c>
      <c r="C5995" s="9">
        <f>IFERROR(__xludf.DUMMYFUNCTION("""COMPUTED_VALUE"""),22965.0)</f>
        <v>22965</v>
      </c>
      <c r="D5995" s="9" t="str">
        <f>IFERROR(__xludf.DUMMYFUNCTION("""COMPUTED_VALUE"""),"Completed")</f>
        <v>Completed</v>
      </c>
    </row>
    <row r="5996">
      <c r="A5996" s="9" t="str">
        <f>IFERROR(__xludf.DUMMYFUNCTION("""COMPUTED_VALUE"""),"G-REQ-05995")</f>
        <v>G-REQ-05995</v>
      </c>
      <c r="B5996" s="11">
        <f>IFERROR(__xludf.DUMMYFUNCTION("""COMPUTED_VALUE"""),46188.00049564019)</f>
        <v>46188.0005</v>
      </c>
      <c r="C5996" s="9">
        <f>IFERROR(__xludf.DUMMYFUNCTION("""COMPUTED_VALUE"""),22967.0)</f>
        <v>22967</v>
      </c>
      <c r="D5996" s="9" t="str">
        <f>IFERROR(__xludf.DUMMYFUNCTION("""COMPUTED_VALUE"""),"Rejected")</f>
        <v>Rejected</v>
      </c>
    </row>
    <row r="5997">
      <c r="A5997" s="9" t="str">
        <f>IFERROR(__xludf.DUMMYFUNCTION("""COMPUTED_VALUE"""),"G-REQ-05996")</f>
        <v>G-REQ-05996</v>
      </c>
      <c r="B5997" s="11">
        <f>IFERROR(__xludf.DUMMYFUNCTION("""COMPUTED_VALUE"""),46188.07861493005)</f>
        <v>46188.07861</v>
      </c>
      <c r="C5997" s="9">
        <f>IFERROR(__xludf.DUMMYFUNCTION("""COMPUTED_VALUE"""),22971.0)</f>
        <v>22971</v>
      </c>
      <c r="D5997" s="9" t="str">
        <f>IFERROR(__xludf.DUMMYFUNCTION("""COMPUTED_VALUE"""),"Completed")</f>
        <v>Completed</v>
      </c>
    </row>
    <row r="5998">
      <c r="A5998" s="9" t="str">
        <f>IFERROR(__xludf.DUMMYFUNCTION("""COMPUTED_VALUE"""),"G-REQ-05997")</f>
        <v>G-REQ-05997</v>
      </c>
      <c r="B5998" s="11">
        <f>IFERROR(__xludf.DUMMYFUNCTION("""COMPUTED_VALUE"""),46188.14978977546)</f>
        <v>46188.14979</v>
      </c>
      <c r="C5998" s="9">
        <f>IFERROR(__xludf.DUMMYFUNCTION("""COMPUTED_VALUE"""),22975.0)</f>
        <v>22975</v>
      </c>
      <c r="D5998" s="9" t="str">
        <f>IFERROR(__xludf.DUMMYFUNCTION("""COMPUTED_VALUE"""),"Completed")</f>
        <v>Completed</v>
      </c>
    </row>
    <row r="5999">
      <c r="A5999" s="9" t="str">
        <f>IFERROR(__xludf.DUMMYFUNCTION("""COMPUTED_VALUE"""),"G-REQ-05998")</f>
        <v>G-REQ-05998</v>
      </c>
      <c r="B5999" s="11">
        <f>IFERROR(__xludf.DUMMYFUNCTION("""COMPUTED_VALUE"""),46188.22096462088)</f>
        <v>46188.22096</v>
      </c>
      <c r="C5999" s="9">
        <f>IFERROR(__xludf.DUMMYFUNCTION("""COMPUTED_VALUE"""),22979.0)</f>
        <v>22979</v>
      </c>
      <c r="D5999" s="9" t="str">
        <f>IFERROR(__xludf.DUMMYFUNCTION("""COMPUTED_VALUE"""),"Completed")</f>
        <v>Completed</v>
      </c>
    </row>
    <row r="6000">
      <c r="A6000" s="9" t="str">
        <f>IFERROR(__xludf.DUMMYFUNCTION("""COMPUTED_VALUE"""),"G-REQ-05999")</f>
        <v>G-REQ-05999</v>
      </c>
      <c r="B6000" s="11">
        <f>IFERROR(__xludf.DUMMYFUNCTION("""COMPUTED_VALUE"""),46188.2921394663)</f>
        <v>46188.29214</v>
      </c>
      <c r="C6000" s="9">
        <f>IFERROR(__xludf.DUMMYFUNCTION("""COMPUTED_VALUE"""),22983.0)</f>
        <v>22983</v>
      </c>
      <c r="D6000" s="9" t="str">
        <f>IFERROR(__xludf.DUMMYFUNCTION("""COMPUTED_VALUE"""),"Completed")</f>
        <v>Completed</v>
      </c>
    </row>
    <row r="6001">
      <c r="A6001" s="9" t="str">
        <f>IFERROR(__xludf.DUMMYFUNCTION("""COMPUTED_VALUE"""),"G-REQ-06000")</f>
        <v>G-REQ-06000</v>
      </c>
      <c r="B6001" s="11">
        <f>IFERROR(__xludf.DUMMYFUNCTION("""COMPUTED_VALUE"""),46188.363314311704)</f>
        <v>46188.36331</v>
      </c>
      <c r="C6001" s="9">
        <f>IFERROR(__xludf.DUMMYFUNCTION("""COMPUTED_VALUE"""),22987.0)</f>
        <v>22987</v>
      </c>
      <c r="D6001" s="9" t="str">
        <f>IFERROR(__xludf.DUMMYFUNCTION("""COMPUTED_VALUE"""),"Completed")</f>
        <v>Completed</v>
      </c>
    </row>
    <row r="6002">
      <c r="A6002" s="9" t="str">
        <f>IFERROR(__xludf.DUMMYFUNCTION("""COMPUTED_VALUE"""),"G-REQ-06001")</f>
        <v>G-REQ-06001</v>
      </c>
      <c r="B6002" s="11">
        <f>IFERROR(__xludf.DUMMYFUNCTION("""COMPUTED_VALUE"""),46188.42754471268)</f>
        <v>46188.42754</v>
      </c>
      <c r="C6002" s="9">
        <f>IFERROR(__xludf.DUMMYFUNCTION("""COMPUTED_VALUE"""),22989.0)</f>
        <v>22989</v>
      </c>
      <c r="D6002" s="9" t="str">
        <f>IFERROR(__xludf.DUMMYFUNCTION("""COMPUTED_VALUE"""),"Rejected")</f>
        <v>Rejected</v>
      </c>
    </row>
    <row r="6003">
      <c r="A6003" s="9" t="str">
        <f>IFERROR(__xludf.DUMMYFUNCTION("""COMPUTED_VALUE"""),"G-REQ-06002")</f>
        <v>G-REQ-06002</v>
      </c>
      <c r="B6003" s="11">
        <f>IFERROR(__xludf.DUMMYFUNCTION("""COMPUTED_VALUE"""),46188.50566400254)</f>
        <v>46188.50566</v>
      </c>
      <c r="C6003" s="9">
        <f>IFERROR(__xludf.DUMMYFUNCTION("""COMPUTED_VALUE"""),22993.0)</f>
        <v>22993</v>
      </c>
      <c r="D6003" s="9" t="str">
        <f>IFERROR(__xludf.DUMMYFUNCTION("""COMPUTED_VALUE"""),"Completed")</f>
        <v>Completed</v>
      </c>
    </row>
    <row r="6004">
      <c r="A6004" s="9" t="str">
        <f>IFERROR(__xludf.DUMMYFUNCTION("""COMPUTED_VALUE"""),"G-REQ-06003")</f>
        <v>G-REQ-06003</v>
      </c>
      <c r="B6004" s="11">
        <f>IFERROR(__xludf.DUMMYFUNCTION("""COMPUTED_VALUE"""),46188.576838847956)</f>
        <v>46188.57684</v>
      </c>
      <c r="C6004" s="9">
        <f>IFERROR(__xludf.DUMMYFUNCTION("""COMPUTED_VALUE"""),22997.0)</f>
        <v>22997</v>
      </c>
      <c r="D6004" s="9" t="str">
        <f>IFERROR(__xludf.DUMMYFUNCTION("""COMPUTED_VALUE"""),"Completed")</f>
        <v>Completed</v>
      </c>
    </row>
    <row r="6005">
      <c r="A6005" s="9" t="str">
        <f>IFERROR(__xludf.DUMMYFUNCTION("""COMPUTED_VALUE"""),"G-REQ-06004")</f>
        <v>G-REQ-06004</v>
      </c>
      <c r="B6005" s="11">
        <f>IFERROR(__xludf.DUMMYFUNCTION("""COMPUTED_VALUE"""),46188.64801369337)</f>
        <v>46188.64801</v>
      </c>
      <c r="C6005" s="9">
        <f>IFERROR(__xludf.DUMMYFUNCTION("""COMPUTED_VALUE"""),23001.0)</f>
        <v>23001</v>
      </c>
      <c r="D6005" s="9" t="str">
        <f>IFERROR(__xludf.DUMMYFUNCTION("""COMPUTED_VALUE"""),"Completed")</f>
        <v>Completed</v>
      </c>
    </row>
    <row r="6006">
      <c r="A6006" s="9" t="str">
        <f>IFERROR(__xludf.DUMMYFUNCTION("""COMPUTED_VALUE"""),"G-REQ-06005")</f>
        <v>G-REQ-06005</v>
      </c>
      <c r="B6006" s="11">
        <f>IFERROR(__xludf.DUMMYFUNCTION("""COMPUTED_VALUE"""),46188.71918853879)</f>
        <v>46188.71919</v>
      </c>
      <c r="C6006" s="9">
        <f>IFERROR(__xludf.DUMMYFUNCTION("""COMPUTED_VALUE"""),23005.0)</f>
        <v>23005</v>
      </c>
      <c r="D6006" s="9" t="str">
        <f>IFERROR(__xludf.DUMMYFUNCTION("""COMPUTED_VALUE"""),"Completed")</f>
        <v>Completed</v>
      </c>
    </row>
    <row r="6007">
      <c r="A6007" s="9" t="str">
        <f>IFERROR(__xludf.DUMMYFUNCTION("""COMPUTED_VALUE"""),"G-REQ-06006")</f>
        <v>G-REQ-06006</v>
      </c>
      <c r="B6007" s="11">
        <f>IFERROR(__xludf.DUMMYFUNCTION("""COMPUTED_VALUE"""),46188.7903633842)</f>
        <v>46188.79036</v>
      </c>
      <c r="C6007" s="9">
        <f>IFERROR(__xludf.DUMMYFUNCTION("""COMPUTED_VALUE"""),23009.0)</f>
        <v>23009</v>
      </c>
      <c r="D6007" s="9" t="str">
        <f>IFERROR(__xludf.DUMMYFUNCTION("""COMPUTED_VALUE"""),"Completed")</f>
        <v>Completed</v>
      </c>
    </row>
    <row r="6008">
      <c r="A6008" s="9" t="str">
        <f>IFERROR(__xludf.DUMMYFUNCTION("""COMPUTED_VALUE"""),"G-REQ-06007")</f>
        <v>G-REQ-06007</v>
      </c>
      <c r="B6008" s="11">
        <f>IFERROR(__xludf.DUMMYFUNCTION("""COMPUTED_VALUE"""),46188.86153822961)</f>
        <v>46188.86154</v>
      </c>
      <c r="C6008" s="9">
        <f>IFERROR(__xludf.DUMMYFUNCTION("""COMPUTED_VALUE"""),23013.0)</f>
        <v>23013</v>
      </c>
      <c r="D6008" s="9" t="str">
        <f>IFERROR(__xludf.DUMMYFUNCTION("""COMPUTED_VALUE"""),"Completed")</f>
        <v>Completed</v>
      </c>
    </row>
    <row r="6009">
      <c r="A6009" s="9" t="str">
        <f>IFERROR(__xludf.DUMMYFUNCTION("""COMPUTED_VALUE"""),"G-REQ-06008")</f>
        <v>G-REQ-06008</v>
      </c>
      <c r="B6009" s="11">
        <f>IFERROR(__xludf.DUMMYFUNCTION("""COMPUTED_VALUE"""),46188.93271307503)</f>
        <v>46188.93271</v>
      </c>
      <c r="C6009" s="9">
        <f>IFERROR(__xludf.DUMMYFUNCTION("""COMPUTED_VALUE"""),23017.0)</f>
        <v>23017</v>
      </c>
      <c r="D6009" s="9" t="str">
        <f>IFERROR(__xludf.DUMMYFUNCTION("""COMPUTED_VALUE"""),"Completed")</f>
        <v>Completed</v>
      </c>
    </row>
    <row r="6010">
      <c r="A6010" s="9" t="str">
        <f>IFERROR(__xludf.DUMMYFUNCTION("""COMPUTED_VALUE"""),"G-REQ-06009")</f>
        <v>G-REQ-06009</v>
      </c>
      <c r="B6010" s="11">
        <f>IFERROR(__xludf.DUMMYFUNCTION("""COMPUTED_VALUE"""),46189.003887920444)</f>
        <v>46189.00389</v>
      </c>
      <c r="C6010" s="9">
        <f>IFERROR(__xludf.DUMMYFUNCTION("""COMPUTED_VALUE"""),23021.0)</f>
        <v>23021</v>
      </c>
      <c r="D6010" s="9" t="str">
        <f>IFERROR(__xludf.DUMMYFUNCTION("""COMPUTED_VALUE"""),"Completed")</f>
        <v>Completed</v>
      </c>
    </row>
    <row r="6011">
      <c r="A6011" s="9" t="str">
        <f>IFERROR(__xludf.DUMMYFUNCTION("""COMPUTED_VALUE"""),"G-REQ-06010")</f>
        <v>G-REQ-06010</v>
      </c>
      <c r="B6011" s="11">
        <f>IFERROR(__xludf.DUMMYFUNCTION("""COMPUTED_VALUE"""),46189.075062765856)</f>
        <v>46189.07506</v>
      </c>
      <c r="C6011" s="9">
        <f>IFERROR(__xludf.DUMMYFUNCTION("""COMPUTED_VALUE"""),23025.0)</f>
        <v>23025</v>
      </c>
      <c r="D6011" s="9" t="str">
        <f>IFERROR(__xludf.DUMMYFUNCTION("""COMPUTED_VALUE"""),"Completed")</f>
        <v>Completed</v>
      </c>
    </row>
    <row r="6012">
      <c r="A6012" s="9" t="str">
        <f>IFERROR(__xludf.DUMMYFUNCTION("""COMPUTED_VALUE"""),"G-REQ-06011")</f>
        <v>G-REQ-06011</v>
      </c>
      <c r="B6012" s="11">
        <f>IFERROR(__xludf.DUMMYFUNCTION("""COMPUTED_VALUE"""),46189.146237611276)</f>
        <v>46189.14624</v>
      </c>
      <c r="C6012" s="9">
        <f>IFERROR(__xludf.DUMMYFUNCTION("""COMPUTED_VALUE"""),23029.0)</f>
        <v>23029</v>
      </c>
      <c r="D6012" s="9" t="str">
        <f>IFERROR(__xludf.DUMMYFUNCTION("""COMPUTED_VALUE"""),"Completed")</f>
        <v>Completed</v>
      </c>
    </row>
    <row r="6013">
      <c r="A6013" s="9" t="str">
        <f>IFERROR(__xludf.DUMMYFUNCTION("""COMPUTED_VALUE"""),"G-REQ-06012")</f>
        <v>G-REQ-06012</v>
      </c>
      <c r="B6013" s="11">
        <f>IFERROR(__xludf.DUMMYFUNCTION("""COMPUTED_VALUE"""),46189.21741245669)</f>
        <v>46189.21741</v>
      </c>
      <c r="C6013" s="9">
        <f>IFERROR(__xludf.DUMMYFUNCTION("""COMPUTED_VALUE"""),23033.0)</f>
        <v>23033</v>
      </c>
      <c r="D6013" s="9" t="str">
        <f>IFERROR(__xludf.DUMMYFUNCTION("""COMPUTED_VALUE"""),"Completed")</f>
        <v>Completed</v>
      </c>
    </row>
    <row r="6014">
      <c r="A6014" s="9" t="str">
        <f>IFERROR(__xludf.DUMMYFUNCTION("""COMPUTED_VALUE"""),"G-REQ-06013")</f>
        <v>G-REQ-06013</v>
      </c>
      <c r="B6014" s="11">
        <f>IFERROR(__xludf.DUMMYFUNCTION("""COMPUTED_VALUE"""),46189.2885873021)</f>
        <v>46189.28859</v>
      </c>
      <c r="C6014" s="9">
        <f>IFERROR(__xludf.DUMMYFUNCTION("""COMPUTED_VALUE"""),23037.0)</f>
        <v>23037</v>
      </c>
      <c r="D6014" s="9" t="str">
        <f>IFERROR(__xludf.DUMMYFUNCTION("""COMPUTED_VALUE"""),"Completed")</f>
        <v>Completed</v>
      </c>
    </row>
    <row r="6015">
      <c r="A6015" s="9" t="str">
        <f>IFERROR(__xludf.DUMMYFUNCTION("""COMPUTED_VALUE"""),"G-REQ-06014")</f>
        <v>G-REQ-06014</v>
      </c>
      <c r="B6015" s="11">
        <f>IFERROR(__xludf.DUMMYFUNCTION("""COMPUTED_VALUE"""),46189.35976214752)</f>
        <v>46189.35976</v>
      </c>
      <c r="C6015" s="9">
        <f>IFERROR(__xludf.DUMMYFUNCTION("""COMPUTED_VALUE"""),23041.0)</f>
        <v>23041</v>
      </c>
      <c r="D6015" s="9" t="str">
        <f>IFERROR(__xludf.DUMMYFUNCTION("""COMPUTED_VALUE"""),"Completed")</f>
        <v>Completed</v>
      </c>
    </row>
    <row r="6016">
      <c r="A6016" s="9" t="str">
        <f>IFERROR(__xludf.DUMMYFUNCTION("""COMPUTED_VALUE"""),"G-REQ-06015")</f>
        <v>G-REQ-06015</v>
      </c>
      <c r="B6016" s="11">
        <f>IFERROR(__xludf.DUMMYFUNCTION("""COMPUTED_VALUE"""),46189.43093699294)</f>
        <v>46189.43094</v>
      </c>
      <c r="C6016" s="9">
        <f>IFERROR(__xludf.DUMMYFUNCTION("""COMPUTED_VALUE"""),23045.0)</f>
        <v>23045</v>
      </c>
      <c r="D6016" s="9" t="str">
        <f>IFERROR(__xludf.DUMMYFUNCTION("""COMPUTED_VALUE"""),"Completed")</f>
        <v>Completed</v>
      </c>
    </row>
    <row r="6017">
      <c r="A6017" s="9" t="str">
        <f>IFERROR(__xludf.DUMMYFUNCTION("""COMPUTED_VALUE"""),"G-REQ-06016")</f>
        <v>G-REQ-06016</v>
      </c>
      <c r="B6017" s="11">
        <f>IFERROR(__xludf.DUMMYFUNCTION("""COMPUTED_VALUE"""),46189.502111838345)</f>
        <v>46189.50211</v>
      </c>
      <c r="C6017" s="9">
        <f>IFERROR(__xludf.DUMMYFUNCTION("""COMPUTED_VALUE"""),23049.0)</f>
        <v>23049</v>
      </c>
      <c r="D6017" s="9" t="str">
        <f>IFERROR(__xludf.DUMMYFUNCTION("""COMPUTED_VALUE"""),"Completed")</f>
        <v>Completed</v>
      </c>
    </row>
    <row r="6018">
      <c r="A6018" s="9" t="str">
        <f>IFERROR(__xludf.DUMMYFUNCTION("""COMPUTED_VALUE"""),"G-REQ-06017")</f>
        <v>G-REQ-06017</v>
      </c>
      <c r="B6018" s="11">
        <f>IFERROR(__xludf.DUMMYFUNCTION("""COMPUTED_VALUE"""),46189.573286683764)</f>
        <v>46189.57329</v>
      </c>
      <c r="C6018" s="9">
        <f>IFERROR(__xludf.DUMMYFUNCTION("""COMPUTED_VALUE"""),23053.0)</f>
        <v>23053</v>
      </c>
      <c r="D6018" s="9" t="str">
        <f>IFERROR(__xludf.DUMMYFUNCTION("""COMPUTED_VALUE"""),"Completed")</f>
        <v>Completed</v>
      </c>
    </row>
    <row r="6019">
      <c r="A6019" s="9" t="str">
        <f>IFERROR(__xludf.DUMMYFUNCTION("""COMPUTED_VALUE"""),"G-REQ-06018")</f>
        <v>G-REQ-06018</v>
      </c>
      <c r="B6019" s="11">
        <f>IFERROR(__xludf.DUMMYFUNCTION("""COMPUTED_VALUE"""),46189.644461529184)</f>
        <v>46189.64446</v>
      </c>
      <c r="C6019" s="9">
        <f>IFERROR(__xludf.DUMMYFUNCTION("""COMPUTED_VALUE"""),23057.0)</f>
        <v>23057</v>
      </c>
      <c r="D6019" s="9" t="str">
        <f>IFERROR(__xludf.DUMMYFUNCTION("""COMPUTED_VALUE"""),"Completed")</f>
        <v>Completed</v>
      </c>
    </row>
    <row r="6020">
      <c r="A6020" s="9" t="str">
        <f>IFERROR(__xludf.DUMMYFUNCTION("""COMPUTED_VALUE"""),"G-REQ-06019")</f>
        <v>G-REQ-06019</v>
      </c>
      <c r="B6020" s="11">
        <f>IFERROR(__xludf.DUMMYFUNCTION("""COMPUTED_VALUE"""),46189.70869193015)</f>
        <v>46189.70869</v>
      </c>
      <c r="C6020" s="9">
        <f>IFERROR(__xludf.DUMMYFUNCTION("""COMPUTED_VALUE"""),23059.0)</f>
        <v>23059</v>
      </c>
      <c r="D6020" s="9" t="str">
        <f>IFERROR(__xludf.DUMMYFUNCTION("""COMPUTED_VALUE"""),"Rejected")</f>
        <v>Rejected</v>
      </c>
    </row>
    <row r="6021">
      <c r="A6021" s="9" t="str">
        <f>IFERROR(__xludf.DUMMYFUNCTION("""COMPUTED_VALUE"""),"G-REQ-06020")</f>
        <v>G-REQ-06020</v>
      </c>
      <c r="B6021" s="11">
        <f>IFERROR(__xludf.DUMMYFUNCTION("""COMPUTED_VALUE"""),46189.78681122001)</f>
        <v>46189.78681</v>
      </c>
      <c r="C6021" s="9">
        <f>IFERROR(__xludf.DUMMYFUNCTION("""COMPUTED_VALUE"""),23063.0)</f>
        <v>23063</v>
      </c>
      <c r="D6021" s="9" t="str">
        <f>IFERROR(__xludf.DUMMYFUNCTION("""COMPUTED_VALUE"""),"Completed")</f>
        <v>Completed</v>
      </c>
    </row>
    <row r="6022">
      <c r="A6022" s="9" t="str">
        <f>IFERROR(__xludf.DUMMYFUNCTION("""COMPUTED_VALUE"""),"G-REQ-06021")</f>
        <v>G-REQ-06021</v>
      </c>
      <c r="B6022" s="11">
        <f>IFERROR(__xludf.DUMMYFUNCTION("""COMPUTED_VALUE"""),46189.85798606543)</f>
        <v>46189.85799</v>
      </c>
      <c r="C6022" s="9">
        <f>IFERROR(__xludf.DUMMYFUNCTION("""COMPUTED_VALUE"""),23067.0)</f>
        <v>23067</v>
      </c>
      <c r="D6022" s="9" t="str">
        <f>IFERROR(__xludf.DUMMYFUNCTION("""COMPUTED_VALUE"""),"Completed")</f>
        <v>Completed</v>
      </c>
    </row>
    <row r="6023">
      <c r="A6023" s="9" t="str">
        <f>IFERROR(__xludf.DUMMYFUNCTION("""COMPUTED_VALUE"""),"G-REQ-06022")</f>
        <v>G-REQ-06022</v>
      </c>
      <c r="B6023" s="11">
        <f>IFERROR(__xludf.DUMMYFUNCTION("""COMPUTED_VALUE"""),46189.92916091084)</f>
        <v>46189.92916</v>
      </c>
      <c r="C6023" s="9">
        <f>IFERROR(__xludf.DUMMYFUNCTION("""COMPUTED_VALUE"""),23071.0)</f>
        <v>23071</v>
      </c>
      <c r="D6023" s="9" t="str">
        <f>IFERROR(__xludf.DUMMYFUNCTION("""COMPUTED_VALUE"""),"Completed")</f>
        <v>Completed</v>
      </c>
    </row>
    <row r="6024">
      <c r="A6024" s="9" t="str">
        <f>IFERROR(__xludf.DUMMYFUNCTION("""COMPUTED_VALUE"""),"G-REQ-06023")</f>
        <v>G-REQ-06023</v>
      </c>
      <c r="B6024" s="11">
        <f>IFERROR(__xludf.DUMMYFUNCTION("""COMPUTED_VALUE"""),46190.00033575625)</f>
        <v>46190.00034</v>
      </c>
      <c r="C6024" s="9">
        <f>IFERROR(__xludf.DUMMYFUNCTION("""COMPUTED_VALUE"""),23075.0)</f>
        <v>23075</v>
      </c>
      <c r="D6024" s="9" t="str">
        <f>IFERROR(__xludf.DUMMYFUNCTION("""COMPUTED_VALUE"""),"Completed")</f>
        <v>Completed</v>
      </c>
    </row>
    <row r="6025">
      <c r="A6025" s="9" t="str">
        <f>IFERROR(__xludf.DUMMYFUNCTION("""COMPUTED_VALUE"""),"G-REQ-06024")</f>
        <v>G-REQ-06024</v>
      </c>
      <c r="B6025" s="11">
        <f>IFERROR(__xludf.DUMMYFUNCTION("""COMPUTED_VALUE"""),46190.07151060167)</f>
        <v>46190.07151</v>
      </c>
      <c r="C6025" s="9">
        <f>IFERROR(__xludf.DUMMYFUNCTION("""COMPUTED_VALUE"""),23079.0)</f>
        <v>23079</v>
      </c>
      <c r="D6025" s="9" t="str">
        <f>IFERROR(__xludf.DUMMYFUNCTION("""COMPUTED_VALUE"""),"Completed")</f>
        <v>Completed</v>
      </c>
    </row>
    <row r="6026">
      <c r="A6026" s="9" t="str">
        <f>IFERROR(__xludf.DUMMYFUNCTION("""COMPUTED_VALUE"""),"G-REQ-06025")</f>
        <v>G-REQ-06025</v>
      </c>
      <c r="B6026" s="11">
        <f>IFERROR(__xludf.DUMMYFUNCTION("""COMPUTED_VALUE"""),46190.142685447085)</f>
        <v>46190.14269</v>
      </c>
      <c r="C6026" s="9">
        <f>IFERROR(__xludf.DUMMYFUNCTION("""COMPUTED_VALUE"""),23083.0)</f>
        <v>23083</v>
      </c>
      <c r="D6026" s="9" t="str">
        <f>IFERROR(__xludf.DUMMYFUNCTION("""COMPUTED_VALUE"""),"Completed")</f>
        <v>Completed</v>
      </c>
    </row>
    <row r="6027">
      <c r="A6027" s="9" t="str">
        <f>IFERROR(__xludf.DUMMYFUNCTION("""COMPUTED_VALUE"""),"G-REQ-06026")</f>
        <v>G-REQ-06026</v>
      </c>
      <c r="B6027" s="11">
        <f>IFERROR(__xludf.DUMMYFUNCTION("""COMPUTED_VALUE"""),46190.2138602925)</f>
        <v>46190.21386</v>
      </c>
      <c r="C6027" s="9">
        <f>IFERROR(__xludf.DUMMYFUNCTION("""COMPUTED_VALUE"""),23087.0)</f>
        <v>23087</v>
      </c>
      <c r="D6027" s="9" t="str">
        <f>IFERROR(__xludf.DUMMYFUNCTION("""COMPUTED_VALUE"""),"Completed")</f>
        <v>Completed</v>
      </c>
    </row>
    <row r="6028">
      <c r="A6028" s="9" t="str">
        <f>IFERROR(__xludf.DUMMYFUNCTION("""COMPUTED_VALUE"""),"G-REQ-06027")</f>
        <v>G-REQ-06027</v>
      </c>
      <c r="B6028" s="11">
        <f>IFERROR(__xludf.DUMMYFUNCTION("""COMPUTED_VALUE"""),46190.28503513792)</f>
        <v>46190.28504</v>
      </c>
      <c r="C6028" s="9">
        <f>IFERROR(__xludf.DUMMYFUNCTION("""COMPUTED_VALUE"""),23091.0)</f>
        <v>23091</v>
      </c>
      <c r="D6028" s="9" t="str">
        <f>IFERROR(__xludf.DUMMYFUNCTION("""COMPUTED_VALUE"""),"Completed")</f>
        <v>Completed</v>
      </c>
    </row>
    <row r="6029">
      <c r="A6029" s="9" t="str">
        <f>IFERROR(__xludf.DUMMYFUNCTION("""COMPUTED_VALUE"""),"G-REQ-06028")</f>
        <v>G-REQ-06028</v>
      </c>
      <c r="B6029" s="11">
        <f>IFERROR(__xludf.DUMMYFUNCTION("""COMPUTED_VALUE"""),46190.356209983336)</f>
        <v>46190.35621</v>
      </c>
      <c r="C6029" s="9">
        <f>IFERROR(__xludf.DUMMYFUNCTION("""COMPUTED_VALUE"""),23095.0)</f>
        <v>23095</v>
      </c>
      <c r="D6029" s="9" t="str">
        <f>IFERROR(__xludf.DUMMYFUNCTION("""COMPUTED_VALUE"""),"Completed")</f>
        <v>Completed</v>
      </c>
    </row>
    <row r="6030">
      <c r="A6030" s="9" t="str">
        <f>IFERROR(__xludf.DUMMYFUNCTION("""COMPUTED_VALUE"""),"G-REQ-06029")</f>
        <v>G-REQ-06029</v>
      </c>
      <c r="B6030" s="11">
        <f>IFERROR(__xludf.DUMMYFUNCTION("""COMPUTED_VALUE"""),46190.42738482874)</f>
        <v>46190.42738</v>
      </c>
      <c r="C6030" s="9">
        <f>IFERROR(__xludf.DUMMYFUNCTION("""COMPUTED_VALUE"""),23099.0)</f>
        <v>23099</v>
      </c>
      <c r="D6030" s="9" t="str">
        <f>IFERROR(__xludf.DUMMYFUNCTION("""COMPUTED_VALUE"""),"Completed")</f>
        <v>Completed</v>
      </c>
    </row>
    <row r="6031">
      <c r="A6031" s="9" t="str">
        <f>IFERROR(__xludf.DUMMYFUNCTION("""COMPUTED_VALUE"""),"G-REQ-06030")</f>
        <v>G-REQ-06030</v>
      </c>
      <c r="B6031" s="11">
        <f>IFERROR(__xludf.DUMMYFUNCTION("""COMPUTED_VALUE"""),46190.49855967416)</f>
        <v>46190.49856</v>
      </c>
      <c r="C6031" s="9">
        <f>IFERROR(__xludf.DUMMYFUNCTION("""COMPUTED_VALUE"""),23103.0)</f>
        <v>23103</v>
      </c>
      <c r="D6031" s="9" t="str">
        <f>IFERROR(__xludf.DUMMYFUNCTION("""COMPUTED_VALUE"""),"Completed")</f>
        <v>Completed</v>
      </c>
    </row>
    <row r="6032">
      <c r="A6032" s="9" t="str">
        <f>IFERROR(__xludf.DUMMYFUNCTION("""COMPUTED_VALUE"""),"G-REQ-06031")</f>
        <v>G-REQ-06031</v>
      </c>
      <c r="B6032" s="11">
        <f>IFERROR(__xludf.DUMMYFUNCTION("""COMPUTED_VALUE"""),46190.56973451958)</f>
        <v>46190.56973</v>
      </c>
      <c r="C6032" s="9">
        <f>IFERROR(__xludf.DUMMYFUNCTION("""COMPUTED_VALUE"""),23107.0)</f>
        <v>23107</v>
      </c>
      <c r="D6032" s="9" t="str">
        <f>IFERROR(__xludf.DUMMYFUNCTION("""COMPUTED_VALUE"""),"Completed")</f>
        <v>Completed</v>
      </c>
    </row>
    <row r="6033">
      <c r="A6033" s="9" t="str">
        <f>IFERROR(__xludf.DUMMYFUNCTION("""COMPUTED_VALUE"""),"G-REQ-06032")</f>
        <v>G-REQ-06032</v>
      </c>
      <c r="B6033" s="11">
        <f>IFERROR(__xludf.DUMMYFUNCTION("""COMPUTED_VALUE"""),46190.64090936499)</f>
        <v>46190.64091</v>
      </c>
      <c r="C6033" s="9">
        <f>IFERROR(__xludf.DUMMYFUNCTION("""COMPUTED_VALUE"""),23111.0)</f>
        <v>23111</v>
      </c>
      <c r="D6033" s="9" t="str">
        <f>IFERROR(__xludf.DUMMYFUNCTION("""COMPUTED_VALUE"""),"Completed")</f>
        <v>Completed</v>
      </c>
    </row>
    <row r="6034">
      <c r="A6034" s="9" t="str">
        <f>IFERROR(__xludf.DUMMYFUNCTION("""COMPUTED_VALUE"""),"G-REQ-06033")</f>
        <v>G-REQ-06033</v>
      </c>
      <c r="B6034" s="11">
        <f>IFERROR(__xludf.DUMMYFUNCTION("""COMPUTED_VALUE"""),46190.712084210405)</f>
        <v>46190.71208</v>
      </c>
      <c r="C6034" s="9">
        <f>IFERROR(__xludf.DUMMYFUNCTION("""COMPUTED_VALUE"""),23115.0)</f>
        <v>23115</v>
      </c>
      <c r="D6034" s="9" t="str">
        <f>IFERROR(__xludf.DUMMYFUNCTION("""COMPUTED_VALUE"""),"Completed")</f>
        <v>Completed</v>
      </c>
    </row>
    <row r="6035">
      <c r="A6035" s="9" t="str">
        <f>IFERROR(__xludf.DUMMYFUNCTION("""COMPUTED_VALUE"""),"G-REQ-06034")</f>
        <v>G-REQ-06034</v>
      </c>
      <c r="B6035" s="11">
        <f>IFERROR(__xludf.DUMMYFUNCTION("""COMPUTED_VALUE"""),46190.783259055825)</f>
        <v>46190.78326</v>
      </c>
      <c r="C6035" s="9">
        <f>IFERROR(__xludf.DUMMYFUNCTION("""COMPUTED_VALUE"""),23119.0)</f>
        <v>23119</v>
      </c>
      <c r="D6035" s="9" t="str">
        <f>IFERROR(__xludf.DUMMYFUNCTION("""COMPUTED_VALUE"""),"Completed")</f>
        <v>Completed</v>
      </c>
    </row>
    <row r="6036">
      <c r="A6036" s="9" t="str">
        <f>IFERROR(__xludf.DUMMYFUNCTION("""COMPUTED_VALUE"""),"G-REQ-06035")</f>
        <v>G-REQ-06035</v>
      </c>
      <c r="B6036" s="11">
        <f>IFERROR(__xludf.DUMMYFUNCTION("""COMPUTED_VALUE"""),46190.84748945679)</f>
        <v>46190.84749</v>
      </c>
      <c r="C6036" s="9">
        <f>IFERROR(__xludf.DUMMYFUNCTION("""COMPUTED_VALUE"""),23121.0)</f>
        <v>23121</v>
      </c>
      <c r="D6036" s="9" t="str">
        <f>IFERROR(__xludf.DUMMYFUNCTION("""COMPUTED_VALUE"""),"Cancelled")</f>
        <v>Cancelled</v>
      </c>
    </row>
    <row r="6037">
      <c r="A6037" s="9" t="str">
        <f>IFERROR(__xludf.DUMMYFUNCTION("""COMPUTED_VALUE"""),"G-REQ-06036")</f>
        <v>G-REQ-06036</v>
      </c>
      <c r="B6037" s="11">
        <f>IFERROR(__xludf.DUMMYFUNCTION("""COMPUTED_VALUE"""),46190.92560874665)</f>
        <v>46190.92561</v>
      </c>
      <c r="C6037" s="9">
        <f>IFERROR(__xludf.DUMMYFUNCTION("""COMPUTED_VALUE"""),23125.0)</f>
        <v>23125</v>
      </c>
      <c r="D6037" s="9" t="str">
        <f>IFERROR(__xludf.DUMMYFUNCTION("""COMPUTED_VALUE"""),"Completed")</f>
        <v>Completed</v>
      </c>
    </row>
    <row r="6038">
      <c r="A6038" s="9" t="str">
        <f>IFERROR(__xludf.DUMMYFUNCTION("""COMPUTED_VALUE"""),"G-REQ-06037")</f>
        <v>G-REQ-06037</v>
      </c>
      <c r="B6038" s="11">
        <f>IFERROR(__xludf.DUMMYFUNCTION("""COMPUTED_VALUE"""),46190.99678359207)</f>
        <v>46190.99678</v>
      </c>
      <c r="C6038" s="9">
        <f>IFERROR(__xludf.DUMMYFUNCTION("""COMPUTED_VALUE"""),23129.0)</f>
        <v>23129</v>
      </c>
      <c r="D6038" s="9" t="str">
        <f>IFERROR(__xludf.DUMMYFUNCTION("""COMPUTED_VALUE"""),"Completed")</f>
        <v>Completed</v>
      </c>
    </row>
    <row r="6039">
      <c r="A6039" s="9" t="str">
        <f>IFERROR(__xludf.DUMMYFUNCTION("""COMPUTED_VALUE"""),"G-REQ-06038")</f>
        <v>G-REQ-06038</v>
      </c>
      <c r="B6039" s="11">
        <f>IFERROR(__xludf.DUMMYFUNCTION("""COMPUTED_VALUE"""),46191.06795843748)</f>
        <v>46191.06796</v>
      </c>
      <c r="C6039" s="9">
        <f>IFERROR(__xludf.DUMMYFUNCTION("""COMPUTED_VALUE"""),23133.0)</f>
        <v>23133</v>
      </c>
      <c r="D6039" s="9" t="str">
        <f>IFERROR(__xludf.DUMMYFUNCTION("""COMPUTED_VALUE"""),"Completed")</f>
        <v>Completed</v>
      </c>
    </row>
    <row r="6040">
      <c r="A6040" s="9" t="str">
        <f>IFERROR(__xludf.DUMMYFUNCTION("""COMPUTED_VALUE"""),"G-REQ-06039")</f>
        <v>G-REQ-06039</v>
      </c>
      <c r="B6040" s="11">
        <f>IFERROR(__xludf.DUMMYFUNCTION("""COMPUTED_VALUE"""),46191.13913328289)</f>
        <v>46191.13913</v>
      </c>
      <c r="C6040" s="9">
        <f>IFERROR(__xludf.DUMMYFUNCTION("""COMPUTED_VALUE"""),23137.0)</f>
        <v>23137</v>
      </c>
      <c r="D6040" s="9" t="str">
        <f>IFERROR(__xludf.DUMMYFUNCTION("""COMPUTED_VALUE"""),"Completed")</f>
        <v>Completed</v>
      </c>
    </row>
    <row r="6041">
      <c r="A6041" s="9" t="str">
        <f>IFERROR(__xludf.DUMMYFUNCTION("""COMPUTED_VALUE"""),"G-REQ-06040")</f>
        <v>G-REQ-06040</v>
      </c>
      <c r="B6041" s="11">
        <f>IFERROR(__xludf.DUMMYFUNCTION("""COMPUTED_VALUE"""),46191.21030812831)</f>
        <v>46191.21031</v>
      </c>
      <c r="C6041" s="9">
        <f>IFERROR(__xludf.DUMMYFUNCTION("""COMPUTED_VALUE"""),23141.0)</f>
        <v>23141</v>
      </c>
      <c r="D6041" s="9" t="str">
        <f>IFERROR(__xludf.DUMMYFUNCTION("""COMPUTED_VALUE"""),"Completed")</f>
        <v>Completed</v>
      </c>
    </row>
    <row r="6042">
      <c r="A6042" s="9" t="str">
        <f>IFERROR(__xludf.DUMMYFUNCTION("""COMPUTED_VALUE"""),"G-REQ-06041")</f>
        <v>G-REQ-06041</v>
      </c>
      <c r="B6042" s="11">
        <f>IFERROR(__xludf.DUMMYFUNCTION("""COMPUTED_VALUE"""),46191.281482973725)</f>
        <v>46191.28148</v>
      </c>
      <c r="C6042" s="9">
        <f>IFERROR(__xludf.DUMMYFUNCTION("""COMPUTED_VALUE"""),23145.0)</f>
        <v>23145</v>
      </c>
      <c r="D6042" s="9" t="str">
        <f>IFERROR(__xludf.DUMMYFUNCTION("""COMPUTED_VALUE"""),"Completed")</f>
        <v>Completed</v>
      </c>
    </row>
    <row r="6043">
      <c r="A6043" s="9" t="str">
        <f>IFERROR(__xludf.DUMMYFUNCTION("""COMPUTED_VALUE"""),"G-REQ-06042")</f>
        <v>G-REQ-06042</v>
      </c>
      <c r="B6043" s="11">
        <f>IFERROR(__xludf.DUMMYFUNCTION("""COMPUTED_VALUE"""),46191.35265781914)</f>
        <v>46191.35266</v>
      </c>
      <c r="C6043" s="9">
        <f>IFERROR(__xludf.DUMMYFUNCTION("""COMPUTED_VALUE"""),23149.0)</f>
        <v>23149</v>
      </c>
      <c r="D6043" s="9" t="str">
        <f>IFERROR(__xludf.DUMMYFUNCTION("""COMPUTED_VALUE"""),"Completed")</f>
        <v>Completed</v>
      </c>
    </row>
    <row r="6044">
      <c r="A6044" s="9" t="str">
        <f>IFERROR(__xludf.DUMMYFUNCTION("""COMPUTED_VALUE"""),"G-REQ-06043")</f>
        <v>G-REQ-06043</v>
      </c>
      <c r="B6044" s="11">
        <f>IFERROR(__xludf.DUMMYFUNCTION("""COMPUTED_VALUE"""),46191.42383266456)</f>
        <v>46191.42383</v>
      </c>
      <c r="C6044" s="9">
        <f>IFERROR(__xludf.DUMMYFUNCTION("""COMPUTED_VALUE"""),23153.0)</f>
        <v>23153</v>
      </c>
      <c r="D6044" s="9" t="str">
        <f>IFERROR(__xludf.DUMMYFUNCTION("""COMPUTED_VALUE"""),"Completed")</f>
        <v>Completed</v>
      </c>
    </row>
    <row r="6045">
      <c r="A6045" s="9" t="str">
        <f>IFERROR(__xludf.DUMMYFUNCTION("""COMPUTED_VALUE"""),"G-REQ-06044")</f>
        <v>G-REQ-06044</v>
      </c>
      <c r="B6045" s="11">
        <f>IFERROR(__xludf.DUMMYFUNCTION("""COMPUTED_VALUE"""),46191.49500750998)</f>
        <v>46191.49501</v>
      </c>
      <c r="C6045" s="9">
        <f>IFERROR(__xludf.DUMMYFUNCTION("""COMPUTED_VALUE"""),23157.0)</f>
        <v>23157</v>
      </c>
      <c r="D6045" s="9" t="str">
        <f>IFERROR(__xludf.DUMMYFUNCTION("""COMPUTED_VALUE"""),"Completed")</f>
        <v>Completed</v>
      </c>
    </row>
    <row r="6046">
      <c r="A6046" s="9" t="str">
        <f>IFERROR(__xludf.DUMMYFUNCTION("""COMPUTED_VALUE"""),"G-REQ-06045")</f>
        <v>G-REQ-06045</v>
      </c>
      <c r="B6046" s="11">
        <f>IFERROR(__xludf.DUMMYFUNCTION("""COMPUTED_VALUE"""),46191.56618235538)</f>
        <v>46191.56618</v>
      </c>
      <c r="C6046" s="9">
        <f>IFERROR(__xludf.DUMMYFUNCTION("""COMPUTED_VALUE"""),23161.0)</f>
        <v>23161</v>
      </c>
      <c r="D6046" s="9" t="str">
        <f>IFERROR(__xludf.DUMMYFUNCTION("""COMPUTED_VALUE"""),"Completed")</f>
        <v>Completed</v>
      </c>
    </row>
    <row r="6047">
      <c r="A6047" s="9" t="str">
        <f>IFERROR(__xludf.DUMMYFUNCTION("""COMPUTED_VALUE"""),"G-REQ-06046")</f>
        <v>G-REQ-06046</v>
      </c>
      <c r="B6047" s="11">
        <f>IFERROR(__xludf.DUMMYFUNCTION("""COMPUTED_VALUE"""),46191.6373572008)</f>
        <v>46191.63736</v>
      </c>
      <c r="C6047" s="9">
        <f>IFERROR(__xludf.DUMMYFUNCTION("""COMPUTED_VALUE"""),23165.0)</f>
        <v>23165</v>
      </c>
      <c r="D6047" s="9" t="str">
        <f>IFERROR(__xludf.DUMMYFUNCTION("""COMPUTED_VALUE"""),"Completed")</f>
        <v>Completed</v>
      </c>
    </row>
    <row r="6048">
      <c r="A6048" s="9" t="str">
        <f>IFERROR(__xludf.DUMMYFUNCTION("""COMPUTED_VALUE"""),"G-REQ-06047")</f>
        <v>G-REQ-06047</v>
      </c>
      <c r="B6048" s="11">
        <f>IFERROR(__xludf.DUMMYFUNCTION("""COMPUTED_VALUE"""),46191.701587601776)</f>
        <v>46191.70159</v>
      </c>
      <c r="C6048" s="9">
        <f>IFERROR(__xludf.DUMMYFUNCTION("""COMPUTED_VALUE"""),23167.0)</f>
        <v>23167</v>
      </c>
      <c r="D6048" s="9" t="str">
        <f>IFERROR(__xludf.DUMMYFUNCTION("""COMPUTED_VALUE"""),"Rejected")</f>
        <v>Rejected</v>
      </c>
    </row>
    <row r="6049">
      <c r="A6049" s="9" t="str">
        <f>IFERROR(__xludf.DUMMYFUNCTION("""COMPUTED_VALUE"""),"G-REQ-06048")</f>
        <v>G-REQ-06048</v>
      </c>
      <c r="B6049" s="11">
        <f>IFERROR(__xludf.DUMMYFUNCTION("""COMPUTED_VALUE"""),46191.77970689163)</f>
        <v>46191.77971</v>
      </c>
      <c r="C6049" s="9">
        <f>IFERROR(__xludf.DUMMYFUNCTION("""COMPUTED_VALUE"""),23171.0)</f>
        <v>23171</v>
      </c>
      <c r="D6049" s="9" t="str">
        <f>IFERROR(__xludf.DUMMYFUNCTION("""COMPUTED_VALUE"""),"Completed")</f>
        <v>Completed</v>
      </c>
    </row>
    <row r="6050">
      <c r="A6050" s="9" t="str">
        <f>IFERROR(__xludf.DUMMYFUNCTION("""COMPUTED_VALUE"""),"G-REQ-06049")</f>
        <v>G-REQ-06049</v>
      </c>
      <c r="B6050" s="11">
        <f>IFERROR(__xludf.DUMMYFUNCTION("""COMPUTED_VALUE"""),46191.850881737046)</f>
        <v>46191.85088</v>
      </c>
      <c r="C6050" s="9">
        <f>IFERROR(__xludf.DUMMYFUNCTION("""COMPUTED_VALUE"""),23175.0)</f>
        <v>23175</v>
      </c>
      <c r="D6050" s="9" t="str">
        <f>IFERROR(__xludf.DUMMYFUNCTION("""COMPUTED_VALUE"""),"Completed")</f>
        <v>Completed</v>
      </c>
    </row>
    <row r="6051">
      <c r="A6051" s="9" t="str">
        <f>IFERROR(__xludf.DUMMYFUNCTION("""COMPUTED_VALUE"""),"G-REQ-06050")</f>
        <v>G-REQ-06050</v>
      </c>
      <c r="B6051" s="11">
        <f>IFERROR(__xludf.DUMMYFUNCTION("""COMPUTED_VALUE"""),46191.922056582465)</f>
        <v>46191.92206</v>
      </c>
      <c r="C6051" s="9">
        <f>IFERROR(__xludf.DUMMYFUNCTION("""COMPUTED_VALUE"""),23179.0)</f>
        <v>23179</v>
      </c>
      <c r="D6051" s="9" t="str">
        <f>IFERROR(__xludf.DUMMYFUNCTION("""COMPUTED_VALUE"""),"Completed")</f>
        <v>Completed</v>
      </c>
    </row>
    <row r="6052">
      <c r="A6052" s="9" t="str">
        <f>IFERROR(__xludf.DUMMYFUNCTION("""COMPUTED_VALUE"""),"G-REQ-06051")</f>
        <v>G-REQ-06051</v>
      </c>
      <c r="B6052" s="11">
        <f>IFERROR(__xludf.DUMMYFUNCTION("""COMPUTED_VALUE"""),46191.99323142788)</f>
        <v>46191.99323</v>
      </c>
      <c r="C6052" s="9">
        <f>IFERROR(__xludf.DUMMYFUNCTION("""COMPUTED_VALUE"""),23183.0)</f>
        <v>23183</v>
      </c>
      <c r="D6052" s="9" t="str">
        <f>IFERROR(__xludf.DUMMYFUNCTION("""COMPUTED_VALUE"""),"Completed")</f>
        <v>Completed</v>
      </c>
    </row>
    <row r="6053">
      <c r="A6053" s="9" t="str">
        <f>IFERROR(__xludf.DUMMYFUNCTION("""COMPUTED_VALUE"""),"G-REQ-06052")</f>
        <v>G-REQ-06052</v>
      </c>
      <c r="B6053" s="11">
        <f>IFERROR(__xludf.DUMMYFUNCTION("""COMPUTED_VALUE"""),46192.057461828845)</f>
        <v>46192.05746</v>
      </c>
      <c r="C6053" s="9">
        <f>IFERROR(__xludf.DUMMYFUNCTION("""COMPUTED_VALUE"""),23185.0)</f>
        <v>23185</v>
      </c>
      <c r="D6053" s="9" t="str">
        <f>IFERROR(__xludf.DUMMYFUNCTION("""COMPUTED_VALUE"""),"Rejected")</f>
        <v>Rejected</v>
      </c>
    </row>
    <row r="6054">
      <c r="A6054" s="9" t="str">
        <f>IFERROR(__xludf.DUMMYFUNCTION("""COMPUTED_VALUE"""),"G-REQ-06053")</f>
        <v>G-REQ-06053</v>
      </c>
      <c r="B6054" s="11">
        <f>IFERROR(__xludf.DUMMYFUNCTION("""COMPUTED_VALUE"""),46192.13558111871)</f>
        <v>46192.13558</v>
      </c>
      <c r="C6054" s="9">
        <f>IFERROR(__xludf.DUMMYFUNCTION("""COMPUTED_VALUE"""),23189.0)</f>
        <v>23189</v>
      </c>
      <c r="D6054" s="9" t="str">
        <f>IFERROR(__xludf.DUMMYFUNCTION("""COMPUTED_VALUE"""),"Completed")</f>
        <v>Completed</v>
      </c>
    </row>
    <row r="6055">
      <c r="A6055" s="9" t="str">
        <f>IFERROR(__xludf.DUMMYFUNCTION("""COMPUTED_VALUE"""),"G-REQ-06054")</f>
        <v>G-REQ-06054</v>
      </c>
      <c r="B6055" s="11">
        <f>IFERROR(__xludf.DUMMYFUNCTION("""COMPUTED_VALUE"""),46192.20675596412)</f>
        <v>46192.20676</v>
      </c>
      <c r="C6055" s="9">
        <f>IFERROR(__xludf.DUMMYFUNCTION("""COMPUTED_VALUE"""),23193.0)</f>
        <v>23193</v>
      </c>
      <c r="D6055" s="9" t="str">
        <f>IFERROR(__xludf.DUMMYFUNCTION("""COMPUTED_VALUE"""),"Completed")</f>
        <v>Completed</v>
      </c>
    </row>
    <row r="6056">
      <c r="A6056" s="9" t="str">
        <f>IFERROR(__xludf.DUMMYFUNCTION("""COMPUTED_VALUE"""),"G-REQ-06055")</f>
        <v>G-REQ-06055</v>
      </c>
      <c r="B6056" s="11">
        <f>IFERROR(__xludf.DUMMYFUNCTION("""COMPUTED_VALUE"""),46192.277930809534)</f>
        <v>46192.27793</v>
      </c>
      <c r="C6056" s="9">
        <f>IFERROR(__xludf.DUMMYFUNCTION("""COMPUTED_VALUE"""),23197.0)</f>
        <v>23197</v>
      </c>
      <c r="D6056" s="9" t="str">
        <f>IFERROR(__xludf.DUMMYFUNCTION("""COMPUTED_VALUE"""),"Completed")</f>
        <v>Completed</v>
      </c>
    </row>
    <row r="6057">
      <c r="A6057" s="9" t="str">
        <f>IFERROR(__xludf.DUMMYFUNCTION("""COMPUTED_VALUE"""),"G-REQ-06056")</f>
        <v>G-REQ-06056</v>
      </c>
      <c r="B6057" s="11">
        <f>IFERROR(__xludf.DUMMYFUNCTION("""COMPUTED_VALUE"""),46192.349105654954)</f>
        <v>46192.34911</v>
      </c>
      <c r="C6057" s="9">
        <f>IFERROR(__xludf.DUMMYFUNCTION("""COMPUTED_VALUE"""),23201.0)</f>
        <v>23201</v>
      </c>
      <c r="D6057" s="9" t="str">
        <f>IFERROR(__xludf.DUMMYFUNCTION("""COMPUTED_VALUE"""),"Completed")</f>
        <v>Completed</v>
      </c>
    </row>
    <row r="6058">
      <c r="A6058" s="9" t="str">
        <f>IFERROR(__xludf.DUMMYFUNCTION("""COMPUTED_VALUE"""),"G-REQ-06057")</f>
        <v>G-REQ-06057</v>
      </c>
      <c r="B6058" s="11">
        <f>IFERROR(__xludf.DUMMYFUNCTION("""COMPUTED_VALUE"""),46192.420280500366)</f>
        <v>46192.42028</v>
      </c>
      <c r="C6058" s="9">
        <f>IFERROR(__xludf.DUMMYFUNCTION("""COMPUTED_VALUE"""),23205.0)</f>
        <v>23205</v>
      </c>
      <c r="D6058" s="9" t="str">
        <f>IFERROR(__xludf.DUMMYFUNCTION("""COMPUTED_VALUE"""),"Completed")</f>
        <v>Completed</v>
      </c>
    </row>
    <row r="6059">
      <c r="A6059" s="9" t="str">
        <f>IFERROR(__xludf.DUMMYFUNCTION("""COMPUTED_VALUE"""),"G-REQ-06058")</f>
        <v>G-REQ-06058</v>
      </c>
      <c r="B6059" s="11">
        <f>IFERROR(__xludf.DUMMYFUNCTION("""COMPUTED_VALUE"""),46192.49145534578)</f>
        <v>46192.49146</v>
      </c>
      <c r="C6059" s="9">
        <f>IFERROR(__xludf.DUMMYFUNCTION("""COMPUTED_VALUE"""),23209.0)</f>
        <v>23209</v>
      </c>
      <c r="D6059" s="9" t="str">
        <f>IFERROR(__xludf.DUMMYFUNCTION("""COMPUTED_VALUE"""),"Completed")</f>
        <v>Completed</v>
      </c>
    </row>
    <row r="6060">
      <c r="A6060" s="9" t="str">
        <f>IFERROR(__xludf.DUMMYFUNCTION("""COMPUTED_VALUE"""),"G-REQ-06059")</f>
        <v>G-REQ-06059</v>
      </c>
      <c r="B6060" s="11">
        <f>IFERROR(__xludf.DUMMYFUNCTION("""COMPUTED_VALUE"""),46192.5626301912)</f>
        <v>46192.56263</v>
      </c>
      <c r="C6060" s="9">
        <f>IFERROR(__xludf.DUMMYFUNCTION("""COMPUTED_VALUE"""),23213.0)</f>
        <v>23213</v>
      </c>
      <c r="D6060" s="9" t="str">
        <f>IFERROR(__xludf.DUMMYFUNCTION("""COMPUTED_VALUE"""),"Completed")</f>
        <v>Completed</v>
      </c>
    </row>
    <row r="6061">
      <c r="A6061" s="9" t="str">
        <f>IFERROR(__xludf.DUMMYFUNCTION("""COMPUTED_VALUE"""),"G-REQ-06060")</f>
        <v>G-REQ-06060</v>
      </c>
      <c r="B6061" s="11">
        <f>IFERROR(__xludf.DUMMYFUNCTION("""COMPUTED_VALUE"""),46192.62686059217)</f>
        <v>46192.62686</v>
      </c>
      <c r="C6061" s="9">
        <f>IFERROR(__xludf.DUMMYFUNCTION("""COMPUTED_VALUE"""),23215.0)</f>
        <v>23215</v>
      </c>
      <c r="D6061" s="9" t="str">
        <f>IFERROR(__xludf.DUMMYFUNCTION("""COMPUTED_VALUE"""),"Cancelled")</f>
        <v>Cancelled</v>
      </c>
    </row>
    <row r="6062">
      <c r="A6062" s="9" t="str">
        <f>IFERROR(__xludf.DUMMYFUNCTION("""COMPUTED_VALUE"""),"G-REQ-06061")</f>
        <v>G-REQ-06061</v>
      </c>
      <c r="B6062" s="11">
        <f>IFERROR(__xludf.DUMMYFUNCTION("""COMPUTED_VALUE"""),46192.70497988202)</f>
        <v>46192.70498</v>
      </c>
      <c r="C6062" s="9">
        <f>IFERROR(__xludf.DUMMYFUNCTION("""COMPUTED_VALUE"""),23219.0)</f>
        <v>23219</v>
      </c>
      <c r="D6062" s="9" t="str">
        <f>IFERROR(__xludf.DUMMYFUNCTION("""COMPUTED_VALUE"""),"Completed")</f>
        <v>Completed</v>
      </c>
    </row>
    <row r="6063">
      <c r="A6063" s="9" t="str">
        <f>IFERROR(__xludf.DUMMYFUNCTION("""COMPUTED_VALUE"""),"G-REQ-06062")</f>
        <v>G-REQ-06062</v>
      </c>
      <c r="B6063" s="11">
        <f>IFERROR(__xludf.DUMMYFUNCTION("""COMPUTED_VALUE"""),46192.769210283)</f>
        <v>46192.76921</v>
      </c>
      <c r="C6063" s="9">
        <f>IFERROR(__xludf.DUMMYFUNCTION("""COMPUTED_VALUE"""),23221.0)</f>
        <v>23221</v>
      </c>
      <c r="D6063" s="9" t="str">
        <f>IFERROR(__xludf.DUMMYFUNCTION("""COMPUTED_VALUE"""),"Rejected")</f>
        <v>Rejected</v>
      </c>
    </row>
    <row r="6064">
      <c r="A6064" s="9" t="str">
        <f>IFERROR(__xludf.DUMMYFUNCTION("""COMPUTED_VALUE"""),"G-REQ-06063")</f>
        <v>G-REQ-06063</v>
      </c>
      <c r="B6064" s="11">
        <f>IFERROR(__xludf.DUMMYFUNCTION("""COMPUTED_VALUE"""),46192.84732957286)</f>
        <v>46192.84733</v>
      </c>
      <c r="C6064" s="9">
        <f>IFERROR(__xludf.DUMMYFUNCTION("""COMPUTED_VALUE"""),23225.0)</f>
        <v>23225</v>
      </c>
      <c r="D6064" s="9" t="str">
        <f>IFERROR(__xludf.DUMMYFUNCTION("""COMPUTED_VALUE"""),"Completed")</f>
        <v>Completed</v>
      </c>
    </row>
    <row r="6065">
      <c r="A6065" s="9" t="str">
        <f>IFERROR(__xludf.DUMMYFUNCTION("""COMPUTED_VALUE"""),"G-REQ-06064")</f>
        <v>G-REQ-06064</v>
      </c>
      <c r="B6065" s="11">
        <f>IFERROR(__xludf.DUMMYFUNCTION("""COMPUTED_VALUE"""),46192.918504418274)</f>
        <v>46192.9185</v>
      </c>
      <c r="C6065" s="9">
        <f>IFERROR(__xludf.DUMMYFUNCTION("""COMPUTED_VALUE"""),23229.0)</f>
        <v>23229</v>
      </c>
      <c r="D6065" s="9" t="str">
        <f>IFERROR(__xludf.DUMMYFUNCTION("""COMPUTED_VALUE"""),"Completed")</f>
        <v>Completed</v>
      </c>
    </row>
    <row r="6066">
      <c r="A6066" s="9" t="str">
        <f>IFERROR(__xludf.DUMMYFUNCTION("""COMPUTED_VALUE"""),"G-REQ-06065")</f>
        <v>G-REQ-06065</v>
      </c>
      <c r="B6066" s="11">
        <f>IFERROR(__xludf.DUMMYFUNCTION("""COMPUTED_VALUE"""),46192.98967926369)</f>
        <v>46192.98968</v>
      </c>
      <c r="C6066" s="9">
        <f>IFERROR(__xludf.DUMMYFUNCTION("""COMPUTED_VALUE"""),23233.0)</f>
        <v>23233</v>
      </c>
      <c r="D6066" s="9" t="str">
        <f>IFERROR(__xludf.DUMMYFUNCTION("""COMPUTED_VALUE"""),"Completed")</f>
        <v>Completed</v>
      </c>
    </row>
    <row r="6067">
      <c r="A6067" s="9" t="str">
        <f>IFERROR(__xludf.DUMMYFUNCTION("""COMPUTED_VALUE"""),"G-REQ-06066")</f>
        <v>G-REQ-06066</v>
      </c>
      <c r="B6067" s="11">
        <f>IFERROR(__xludf.DUMMYFUNCTION("""COMPUTED_VALUE"""),46193.060854109106)</f>
        <v>46193.06085</v>
      </c>
      <c r="C6067" s="9">
        <f>IFERROR(__xludf.DUMMYFUNCTION("""COMPUTED_VALUE"""),23237.0)</f>
        <v>23237</v>
      </c>
      <c r="D6067" s="9" t="str">
        <f>IFERROR(__xludf.DUMMYFUNCTION("""COMPUTED_VALUE"""),"Completed")</f>
        <v>Completed</v>
      </c>
    </row>
    <row r="6068">
      <c r="A6068" s="9" t="str">
        <f>IFERROR(__xludf.DUMMYFUNCTION("""COMPUTED_VALUE"""),"G-REQ-06067")</f>
        <v>G-REQ-06067</v>
      </c>
      <c r="B6068" s="11">
        <f>IFERROR(__xludf.DUMMYFUNCTION("""COMPUTED_VALUE"""),46193.13202895452)</f>
        <v>46193.13203</v>
      </c>
      <c r="C6068" s="9">
        <f>IFERROR(__xludf.DUMMYFUNCTION("""COMPUTED_VALUE"""),23241.0)</f>
        <v>23241</v>
      </c>
      <c r="D6068" s="9" t="str">
        <f>IFERROR(__xludf.DUMMYFUNCTION("""COMPUTED_VALUE"""),"Completed")</f>
        <v>Completed</v>
      </c>
    </row>
    <row r="6069">
      <c r="A6069" s="9" t="str">
        <f>IFERROR(__xludf.DUMMYFUNCTION("""COMPUTED_VALUE"""),"G-REQ-06068")</f>
        <v>G-REQ-06068</v>
      </c>
      <c r="B6069" s="11">
        <f>IFERROR(__xludf.DUMMYFUNCTION("""COMPUTED_VALUE"""),46193.20320379993)</f>
        <v>46193.2032</v>
      </c>
      <c r="C6069" s="9">
        <f>IFERROR(__xludf.DUMMYFUNCTION("""COMPUTED_VALUE"""),23245.0)</f>
        <v>23245</v>
      </c>
      <c r="D6069" s="9" t="str">
        <f>IFERROR(__xludf.DUMMYFUNCTION("""COMPUTED_VALUE"""),"Completed")</f>
        <v>Completed</v>
      </c>
    </row>
    <row r="6070">
      <c r="A6070" s="9" t="str">
        <f>IFERROR(__xludf.DUMMYFUNCTION("""COMPUTED_VALUE"""),"G-REQ-06069")</f>
        <v>G-REQ-06069</v>
      </c>
      <c r="B6070" s="11">
        <f>IFERROR(__xludf.DUMMYFUNCTION("""COMPUTED_VALUE"""),46193.27437864535)</f>
        <v>46193.27438</v>
      </c>
      <c r="C6070" s="9">
        <f>IFERROR(__xludf.DUMMYFUNCTION("""COMPUTED_VALUE"""),23249.0)</f>
        <v>23249</v>
      </c>
      <c r="D6070" s="9" t="str">
        <f>IFERROR(__xludf.DUMMYFUNCTION("""COMPUTED_VALUE"""),"Completed")</f>
        <v>Completed</v>
      </c>
    </row>
    <row r="6071">
      <c r="A6071" s="9" t="str">
        <f>IFERROR(__xludf.DUMMYFUNCTION("""COMPUTED_VALUE"""),"G-REQ-06070")</f>
        <v>G-REQ-06070</v>
      </c>
      <c r="B6071" s="11">
        <f>IFERROR(__xludf.DUMMYFUNCTION("""COMPUTED_VALUE"""),46193.34555349077)</f>
        <v>46193.34555</v>
      </c>
      <c r="C6071" s="9">
        <f>IFERROR(__xludf.DUMMYFUNCTION("""COMPUTED_VALUE"""),23253.0)</f>
        <v>23253</v>
      </c>
      <c r="D6071" s="9" t="str">
        <f>IFERROR(__xludf.DUMMYFUNCTION("""COMPUTED_VALUE"""),"Completed")</f>
        <v>Completed</v>
      </c>
    </row>
    <row r="6072">
      <c r="A6072" s="9" t="str">
        <f>IFERROR(__xludf.DUMMYFUNCTION("""COMPUTED_VALUE"""),"G-REQ-06071")</f>
        <v>G-REQ-06071</v>
      </c>
      <c r="B6072" s="11">
        <f>IFERROR(__xludf.DUMMYFUNCTION("""COMPUTED_VALUE"""),46193.416728336175)</f>
        <v>46193.41673</v>
      </c>
      <c r="C6072" s="9">
        <f>IFERROR(__xludf.DUMMYFUNCTION("""COMPUTED_VALUE"""),23257.0)</f>
        <v>23257</v>
      </c>
      <c r="D6072" s="9" t="str">
        <f>IFERROR(__xludf.DUMMYFUNCTION("""COMPUTED_VALUE"""),"Completed")</f>
        <v>Completed</v>
      </c>
    </row>
    <row r="6073">
      <c r="A6073" s="9" t="str">
        <f>IFERROR(__xludf.DUMMYFUNCTION("""COMPUTED_VALUE"""),"G-REQ-06072")</f>
        <v>G-REQ-06072</v>
      </c>
      <c r="B6073" s="11">
        <f>IFERROR(__xludf.DUMMYFUNCTION("""COMPUTED_VALUE"""),46193.487903181594)</f>
        <v>46193.4879</v>
      </c>
      <c r="C6073" s="9">
        <f>IFERROR(__xludf.DUMMYFUNCTION("""COMPUTED_VALUE"""),23261.0)</f>
        <v>23261</v>
      </c>
      <c r="D6073" s="9" t="str">
        <f>IFERROR(__xludf.DUMMYFUNCTION("""COMPUTED_VALUE"""),"Completed")</f>
        <v>Completed</v>
      </c>
    </row>
    <row r="6074">
      <c r="A6074" s="9" t="str">
        <f>IFERROR(__xludf.DUMMYFUNCTION("""COMPUTED_VALUE"""),"G-REQ-06073")</f>
        <v>G-REQ-06073</v>
      </c>
      <c r="B6074" s="11">
        <f>IFERROR(__xludf.DUMMYFUNCTION("""COMPUTED_VALUE"""),46193.55907802701)</f>
        <v>46193.55908</v>
      </c>
      <c r="C6074" s="9">
        <f>IFERROR(__xludf.DUMMYFUNCTION("""COMPUTED_VALUE"""),23265.0)</f>
        <v>23265</v>
      </c>
      <c r="D6074" s="9" t="str">
        <f>IFERROR(__xludf.DUMMYFUNCTION("""COMPUTED_VALUE"""),"Completed")</f>
        <v>Completed</v>
      </c>
    </row>
    <row r="6075">
      <c r="A6075" s="9" t="str">
        <f>IFERROR(__xludf.DUMMYFUNCTION("""COMPUTED_VALUE"""),"G-REQ-06074")</f>
        <v>G-REQ-06074</v>
      </c>
      <c r="B6075" s="11">
        <f>IFERROR(__xludf.DUMMYFUNCTION("""COMPUTED_VALUE"""),46193.630252872426)</f>
        <v>46193.63025</v>
      </c>
      <c r="C6075" s="9">
        <f>IFERROR(__xludf.DUMMYFUNCTION("""COMPUTED_VALUE"""),23269.0)</f>
        <v>23269</v>
      </c>
      <c r="D6075" s="9" t="str">
        <f>IFERROR(__xludf.DUMMYFUNCTION("""COMPUTED_VALUE"""),"Completed")</f>
        <v>Completed</v>
      </c>
    </row>
    <row r="6076">
      <c r="A6076" s="9" t="str">
        <f>IFERROR(__xludf.DUMMYFUNCTION("""COMPUTED_VALUE"""),"G-REQ-06075")</f>
        <v>G-REQ-06075</v>
      </c>
      <c r="B6076" s="11">
        <f>IFERROR(__xludf.DUMMYFUNCTION("""COMPUTED_VALUE"""),46193.70142771784)</f>
        <v>46193.70143</v>
      </c>
      <c r="C6076" s="9">
        <f>IFERROR(__xludf.DUMMYFUNCTION("""COMPUTED_VALUE"""),23273.0)</f>
        <v>23273</v>
      </c>
      <c r="D6076" s="9" t="str">
        <f>IFERROR(__xludf.DUMMYFUNCTION("""COMPUTED_VALUE"""),"Completed")</f>
        <v>Completed</v>
      </c>
    </row>
    <row r="6077">
      <c r="A6077" s="9" t="str">
        <f>IFERROR(__xludf.DUMMYFUNCTION("""COMPUTED_VALUE"""),"G-REQ-06076")</f>
        <v>G-REQ-06076</v>
      </c>
      <c r="B6077" s="11">
        <f>IFERROR(__xludf.DUMMYFUNCTION("""COMPUTED_VALUE"""),46193.77260256326)</f>
        <v>46193.7726</v>
      </c>
      <c r="C6077" s="9">
        <f>IFERROR(__xludf.DUMMYFUNCTION("""COMPUTED_VALUE"""),23277.0)</f>
        <v>23277</v>
      </c>
      <c r="D6077" s="9" t="str">
        <f>IFERROR(__xludf.DUMMYFUNCTION("""COMPUTED_VALUE"""),"Completed")</f>
        <v>Completed</v>
      </c>
    </row>
    <row r="6078">
      <c r="A6078" s="9" t="str">
        <f>IFERROR(__xludf.DUMMYFUNCTION("""COMPUTED_VALUE"""),"G-REQ-06077")</f>
        <v>G-REQ-06077</v>
      </c>
      <c r="B6078" s="11">
        <f>IFERROR(__xludf.DUMMYFUNCTION("""COMPUTED_VALUE"""),46193.84377740866)</f>
        <v>46193.84378</v>
      </c>
      <c r="C6078" s="9">
        <f>IFERROR(__xludf.DUMMYFUNCTION("""COMPUTED_VALUE"""),23281.0)</f>
        <v>23281</v>
      </c>
      <c r="D6078" s="9" t="str">
        <f>IFERROR(__xludf.DUMMYFUNCTION("""COMPUTED_VALUE"""),"Completed")</f>
        <v>Completed</v>
      </c>
    </row>
    <row r="6079">
      <c r="A6079" s="9" t="str">
        <f>IFERROR(__xludf.DUMMYFUNCTION("""COMPUTED_VALUE"""),"G-REQ-06078")</f>
        <v>G-REQ-06078</v>
      </c>
      <c r="B6079" s="11">
        <f>IFERROR(__xludf.DUMMYFUNCTION("""COMPUTED_VALUE"""),46193.91495225408)</f>
        <v>46193.91495</v>
      </c>
      <c r="C6079" s="9">
        <f>IFERROR(__xludf.DUMMYFUNCTION("""COMPUTED_VALUE"""),23285.0)</f>
        <v>23285</v>
      </c>
      <c r="D6079" s="9" t="str">
        <f>IFERROR(__xludf.DUMMYFUNCTION("""COMPUTED_VALUE"""),"Completed")</f>
        <v>Completed</v>
      </c>
    </row>
    <row r="6080">
      <c r="A6080" s="9" t="str">
        <f>IFERROR(__xludf.DUMMYFUNCTION("""COMPUTED_VALUE"""),"G-REQ-06079")</f>
        <v>G-REQ-06079</v>
      </c>
      <c r="B6080" s="11">
        <f>IFERROR(__xludf.DUMMYFUNCTION("""COMPUTED_VALUE"""),46193.9861270995)</f>
        <v>46193.98613</v>
      </c>
      <c r="C6080" s="9">
        <f>IFERROR(__xludf.DUMMYFUNCTION("""COMPUTED_VALUE"""),23289.0)</f>
        <v>23289</v>
      </c>
      <c r="D6080" s="9" t="str">
        <f>IFERROR(__xludf.DUMMYFUNCTION("""COMPUTED_VALUE"""),"Completed")</f>
        <v>Completed</v>
      </c>
    </row>
    <row r="6081">
      <c r="A6081" s="9" t="str">
        <f>IFERROR(__xludf.DUMMYFUNCTION("""COMPUTED_VALUE"""),"G-REQ-06080")</f>
        <v>G-REQ-06080</v>
      </c>
      <c r="B6081" s="11">
        <f>IFERROR(__xludf.DUMMYFUNCTION("""COMPUTED_VALUE"""),46194.057301944915)</f>
        <v>46194.0573</v>
      </c>
      <c r="C6081" s="9">
        <f>IFERROR(__xludf.DUMMYFUNCTION("""COMPUTED_VALUE"""),23293.0)</f>
        <v>23293</v>
      </c>
      <c r="D6081" s="9" t="str">
        <f>IFERROR(__xludf.DUMMYFUNCTION("""COMPUTED_VALUE"""),"Completed")</f>
        <v>Completed</v>
      </c>
    </row>
    <row r="6082">
      <c r="A6082" s="9" t="str">
        <f>IFERROR(__xludf.DUMMYFUNCTION("""COMPUTED_VALUE"""),"G-REQ-06081")</f>
        <v>G-REQ-06081</v>
      </c>
      <c r="B6082" s="11">
        <f>IFERROR(__xludf.DUMMYFUNCTION("""COMPUTED_VALUE"""),46194.12847679033)</f>
        <v>46194.12848</v>
      </c>
      <c r="C6082" s="9">
        <f>IFERROR(__xludf.DUMMYFUNCTION("""COMPUTED_VALUE"""),23297.0)</f>
        <v>23297</v>
      </c>
      <c r="D6082" s="9" t="str">
        <f>IFERROR(__xludf.DUMMYFUNCTION("""COMPUTED_VALUE"""),"Completed")</f>
        <v>Completed</v>
      </c>
    </row>
    <row r="6083">
      <c r="A6083" s="9" t="str">
        <f>IFERROR(__xludf.DUMMYFUNCTION("""COMPUTED_VALUE"""),"G-REQ-06082")</f>
        <v>G-REQ-06082</v>
      </c>
      <c r="B6083" s="11">
        <f>IFERROR(__xludf.DUMMYFUNCTION("""COMPUTED_VALUE"""),46194.19965163575)</f>
        <v>46194.19965</v>
      </c>
      <c r="C6083" s="9">
        <f>IFERROR(__xludf.DUMMYFUNCTION("""COMPUTED_VALUE"""),23301.0)</f>
        <v>23301</v>
      </c>
      <c r="D6083" s="9" t="str">
        <f>IFERROR(__xludf.DUMMYFUNCTION("""COMPUTED_VALUE"""),"Completed")</f>
        <v>Completed</v>
      </c>
    </row>
    <row r="6084">
      <c r="A6084" s="9" t="str">
        <f>IFERROR(__xludf.DUMMYFUNCTION("""COMPUTED_VALUE"""),"G-REQ-06083")</f>
        <v>G-REQ-06083</v>
      </c>
      <c r="B6084" s="11">
        <f>IFERROR(__xludf.DUMMYFUNCTION("""COMPUTED_VALUE"""),46194.27082648116)</f>
        <v>46194.27083</v>
      </c>
      <c r="C6084" s="9">
        <f>IFERROR(__xludf.DUMMYFUNCTION("""COMPUTED_VALUE"""),23305.0)</f>
        <v>23305</v>
      </c>
      <c r="D6084" s="9" t="str">
        <f>IFERROR(__xludf.DUMMYFUNCTION("""COMPUTED_VALUE"""),"Completed")</f>
        <v>Completed</v>
      </c>
    </row>
    <row r="6085">
      <c r="A6085" s="9" t="str">
        <f>IFERROR(__xludf.DUMMYFUNCTION("""COMPUTED_VALUE"""),"G-REQ-06084")</f>
        <v>G-REQ-06084</v>
      </c>
      <c r="B6085" s="11">
        <f>IFERROR(__xludf.DUMMYFUNCTION("""COMPUTED_VALUE"""),46194.34200132657)</f>
        <v>46194.342</v>
      </c>
      <c r="C6085" s="9">
        <f>IFERROR(__xludf.DUMMYFUNCTION("""COMPUTED_VALUE"""),23309.0)</f>
        <v>23309</v>
      </c>
      <c r="D6085" s="9" t="str">
        <f>IFERROR(__xludf.DUMMYFUNCTION("""COMPUTED_VALUE"""),"Completed")</f>
        <v>Completed</v>
      </c>
    </row>
    <row r="6086">
      <c r="A6086" s="9" t="str">
        <f>IFERROR(__xludf.DUMMYFUNCTION("""COMPUTED_VALUE"""),"G-REQ-06085")</f>
        <v>G-REQ-06085</v>
      </c>
      <c r="B6086" s="11">
        <f>IFERROR(__xludf.DUMMYFUNCTION("""COMPUTED_VALUE"""),46194.41317617199)</f>
        <v>46194.41318</v>
      </c>
      <c r="C6086" s="9">
        <f>IFERROR(__xludf.DUMMYFUNCTION("""COMPUTED_VALUE"""),23313.0)</f>
        <v>23313</v>
      </c>
      <c r="D6086" s="9" t="str">
        <f>IFERROR(__xludf.DUMMYFUNCTION("""COMPUTED_VALUE"""),"Completed")</f>
        <v>Completed</v>
      </c>
    </row>
    <row r="6087">
      <c r="A6087" s="9" t="str">
        <f>IFERROR(__xludf.DUMMYFUNCTION("""COMPUTED_VALUE"""),"G-REQ-06086")</f>
        <v>G-REQ-06086</v>
      </c>
      <c r="B6087" s="11">
        <f>IFERROR(__xludf.DUMMYFUNCTION("""COMPUTED_VALUE"""),46194.48435101741)</f>
        <v>46194.48435</v>
      </c>
      <c r="C6087" s="9">
        <f>IFERROR(__xludf.DUMMYFUNCTION("""COMPUTED_VALUE"""),23317.0)</f>
        <v>23317</v>
      </c>
      <c r="D6087" s="9" t="str">
        <f>IFERROR(__xludf.DUMMYFUNCTION("""COMPUTED_VALUE"""),"Completed")</f>
        <v>Completed</v>
      </c>
    </row>
    <row r="6088">
      <c r="A6088" s="9" t="str">
        <f>IFERROR(__xludf.DUMMYFUNCTION("""COMPUTED_VALUE"""),"G-REQ-06087")</f>
        <v>G-REQ-06087</v>
      </c>
      <c r="B6088" s="11">
        <f>IFERROR(__xludf.DUMMYFUNCTION("""COMPUTED_VALUE"""),46194.54858141837)</f>
        <v>46194.54858</v>
      </c>
      <c r="C6088" s="9">
        <f>IFERROR(__xludf.DUMMYFUNCTION("""COMPUTED_VALUE"""),23319.0)</f>
        <v>23319</v>
      </c>
      <c r="D6088" s="9" t="str">
        <f>IFERROR(__xludf.DUMMYFUNCTION("""COMPUTED_VALUE"""),"Rejected")</f>
        <v>Rejected</v>
      </c>
    </row>
    <row r="6089">
      <c r="A6089" s="9" t="str">
        <f>IFERROR(__xludf.DUMMYFUNCTION("""COMPUTED_VALUE"""),"G-REQ-06088")</f>
        <v>G-REQ-06088</v>
      </c>
      <c r="B6089" s="11">
        <f>IFERROR(__xludf.DUMMYFUNCTION("""COMPUTED_VALUE"""),46194.626700708235)</f>
        <v>46194.6267</v>
      </c>
      <c r="C6089" s="9">
        <f>IFERROR(__xludf.DUMMYFUNCTION("""COMPUTED_VALUE"""),23323.0)</f>
        <v>23323</v>
      </c>
      <c r="D6089" s="9" t="str">
        <f>IFERROR(__xludf.DUMMYFUNCTION("""COMPUTED_VALUE"""),"Completed")</f>
        <v>Completed</v>
      </c>
    </row>
    <row r="6090">
      <c r="A6090" s="9" t="str">
        <f>IFERROR(__xludf.DUMMYFUNCTION("""COMPUTED_VALUE"""),"G-REQ-06089")</f>
        <v>G-REQ-06089</v>
      </c>
      <c r="B6090" s="11">
        <f>IFERROR(__xludf.DUMMYFUNCTION("""COMPUTED_VALUE"""),46194.69787555365)</f>
        <v>46194.69788</v>
      </c>
      <c r="C6090" s="9">
        <f>IFERROR(__xludf.DUMMYFUNCTION("""COMPUTED_VALUE"""),23327.0)</f>
        <v>23327</v>
      </c>
      <c r="D6090" s="9" t="str">
        <f>IFERROR(__xludf.DUMMYFUNCTION("""COMPUTED_VALUE"""),"Completed")</f>
        <v>Completed</v>
      </c>
    </row>
    <row r="6091">
      <c r="A6091" s="9" t="str">
        <f>IFERROR(__xludf.DUMMYFUNCTION("""COMPUTED_VALUE"""),"G-REQ-06090")</f>
        <v>G-REQ-06090</v>
      </c>
      <c r="B6091" s="11">
        <f>IFERROR(__xludf.DUMMYFUNCTION("""COMPUTED_VALUE"""),46194.76905039907)</f>
        <v>46194.76905</v>
      </c>
      <c r="C6091" s="9">
        <f>IFERROR(__xludf.DUMMYFUNCTION("""COMPUTED_VALUE"""),23331.0)</f>
        <v>23331</v>
      </c>
      <c r="D6091" s="9" t="str">
        <f>IFERROR(__xludf.DUMMYFUNCTION("""COMPUTED_VALUE"""),"Completed")</f>
        <v>Completed</v>
      </c>
    </row>
    <row r="6092">
      <c r="A6092" s="9" t="str">
        <f>IFERROR(__xludf.DUMMYFUNCTION("""COMPUTED_VALUE"""),"G-REQ-06091")</f>
        <v>G-REQ-06091</v>
      </c>
      <c r="B6092" s="11">
        <f>IFERROR(__xludf.DUMMYFUNCTION("""COMPUTED_VALUE"""),46194.84022524448)</f>
        <v>46194.84023</v>
      </c>
      <c r="C6092" s="9">
        <f>IFERROR(__xludf.DUMMYFUNCTION("""COMPUTED_VALUE"""),23335.0)</f>
        <v>23335</v>
      </c>
      <c r="D6092" s="9" t="str">
        <f>IFERROR(__xludf.DUMMYFUNCTION("""COMPUTED_VALUE"""),"Completed")</f>
        <v>Completed</v>
      </c>
    </row>
    <row r="6093">
      <c r="A6093" s="9" t="str">
        <f>IFERROR(__xludf.DUMMYFUNCTION("""COMPUTED_VALUE"""),"G-REQ-06092")</f>
        <v>G-REQ-06092</v>
      </c>
      <c r="B6093" s="11">
        <f>IFERROR(__xludf.DUMMYFUNCTION("""COMPUTED_VALUE"""),46194.904455645454)</f>
        <v>46194.90446</v>
      </c>
      <c r="C6093" s="9">
        <f>IFERROR(__xludf.DUMMYFUNCTION("""COMPUTED_VALUE"""),23337.0)</f>
        <v>23337</v>
      </c>
      <c r="D6093" s="9" t="str">
        <f>IFERROR(__xludf.DUMMYFUNCTION("""COMPUTED_VALUE"""),"Cancelled")</f>
        <v>Cancelled</v>
      </c>
    </row>
    <row r="6094">
      <c r="A6094" s="9" t="str">
        <f>IFERROR(__xludf.DUMMYFUNCTION("""COMPUTED_VALUE"""),"G-REQ-06093")</f>
        <v>G-REQ-06093</v>
      </c>
      <c r="B6094" s="11">
        <f>IFERROR(__xludf.DUMMYFUNCTION("""COMPUTED_VALUE"""),46194.98257493531)</f>
        <v>46194.98257</v>
      </c>
      <c r="C6094" s="9">
        <f>IFERROR(__xludf.DUMMYFUNCTION("""COMPUTED_VALUE"""),23341.0)</f>
        <v>23341</v>
      </c>
      <c r="D6094" s="9" t="str">
        <f>IFERROR(__xludf.DUMMYFUNCTION("""COMPUTED_VALUE"""),"Completed")</f>
        <v>Completed</v>
      </c>
    </row>
    <row r="6095">
      <c r="A6095" s="9" t="str">
        <f>IFERROR(__xludf.DUMMYFUNCTION("""COMPUTED_VALUE"""),"G-REQ-06094")</f>
        <v>G-REQ-06094</v>
      </c>
      <c r="B6095" s="11">
        <f>IFERROR(__xludf.DUMMYFUNCTION("""COMPUTED_VALUE"""),46195.05374978072)</f>
        <v>46195.05375</v>
      </c>
      <c r="C6095" s="9">
        <f>IFERROR(__xludf.DUMMYFUNCTION("""COMPUTED_VALUE"""),23345.0)</f>
        <v>23345</v>
      </c>
      <c r="D6095" s="9" t="str">
        <f>IFERROR(__xludf.DUMMYFUNCTION("""COMPUTED_VALUE"""),"Completed")</f>
        <v>Completed</v>
      </c>
    </row>
    <row r="6096">
      <c r="A6096" s="9" t="str">
        <f>IFERROR(__xludf.DUMMYFUNCTION("""COMPUTED_VALUE"""),"G-REQ-06095")</f>
        <v>G-REQ-06095</v>
      </c>
      <c r="B6096" s="11">
        <f>IFERROR(__xludf.DUMMYFUNCTION("""COMPUTED_VALUE"""),46195.12492462614)</f>
        <v>46195.12492</v>
      </c>
      <c r="C6096" s="9">
        <f>IFERROR(__xludf.DUMMYFUNCTION("""COMPUTED_VALUE"""),23349.0)</f>
        <v>23349</v>
      </c>
      <c r="D6096" s="9" t="str">
        <f>IFERROR(__xludf.DUMMYFUNCTION("""COMPUTED_VALUE"""),"Completed")</f>
        <v>Completed</v>
      </c>
    </row>
    <row r="6097">
      <c r="A6097" s="9" t="str">
        <f>IFERROR(__xludf.DUMMYFUNCTION("""COMPUTED_VALUE"""),"G-REQ-06096")</f>
        <v>G-REQ-06096</v>
      </c>
      <c r="B6097" s="11">
        <f>IFERROR(__xludf.DUMMYFUNCTION("""COMPUTED_VALUE"""),46195.196099471555)</f>
        <v>46195.1961</v>
      </c>
      <c r="C6097" s="9">
        <f>IFERROR(__xludf.DUMMYFUNCTION("""COMPUTED_VALUE"""),23353.0)</f>
        <v>23353</v>
      </c>
      <c r="D6097" s="9" t="str">
        <f>IFERROR(__xludf.DUMMYFUNCTION("""COMPUTED_VALUE"""),"Completed")</f>
        <v>Completed</v>
      </c>
    </row>
    <row r="6098">
      <c r="A6098" s="9" t="str">
        <f>IFERROR(__xludf.DUMMYFUNCTION("""COMPUTED_VALUE"""),"G-REQ-06097")</f>
        <v>G-REQ-06097</v>
      </c>
      <c r="B6098" s="11">
        <f>IFERROR(__xludf.DUMMYFUNCTION("""COMPUTED_VALUE"""),46195.26727431697)</f>
        <v>46195.26727</v>
      </c>
      <c r="C6098" s="9">
        <f>IFERROR(__xludf.DUMMYFUNCTION("""COMPUTED_VALUE"""),23357.0)</f>
        <v>23357</v>
      </c>
      <c r="D6098" s="9" t="str">
        <f>IFERROR(__xludf.DUMMYFUNCTION("""COMPUTED_VALUE"""),"Completed")</f>
        <v>Completed</v>
      </c>
    </row>
    <row r="6099">
      <c r="A6099" s="9" t="str">
        <f>IFERROR(__xludf.DUMMYFUNCTION("""COMPUTED_VALUE"""),"G-REQ-06098")</f>
        <v>G-REQ-06098</v>
      </c>
      <c r="B6099" s="11">
        <f>IFERROR(__xludf.DUMMYFUNCTION("""COMPUTED_VALUE"""),46195.33844916239)</f>
        <v>46195.33845</v>
      </c>
      <c r="C6099" s="9">
        <f>IFERROR(__xludf.DUMMYFUNCTION("""COMPUTED_VALUE"""),23361.0)</f>
        <v>23361</v>
      </c>
      <c r="D6099" s="9" t="str">
        <f>IFERROR(__xludf.DUMMYFUNCTION("""COMPUTED_VALUE"""),"Completed")</f>
        <v>Completed</v>
      </c>
    </row>
    <row r="6100">
      <c r="A6100" s="9" t="str">
        <f>IFERROR(__xludf.DUMMYFUNCTION("""COMPUTED_VALUE"""),"G-REQ-06099")</f>
        <v>G-REQ-06099</v>
      </c>
      <c r="B6100" s="11">
        <f>IFERROR(__xludf.DUMMYFUNCTION("""COMPUTED_VALUE"""),46195.4096240078)</f>
        <v>46195.40962</v>
      </c>
      <c r="C6100" s="9">
        <f>IFERROR(__xludf.DUMMYFUNCTION("""COMPUTED_VALUE"""),23365.0)</f>
        <v>23365</v>
      </c>
      <c r="D6100" s="9" t="str">
        <f>IFERROR(__xludf.DUMMYFUNCTION("""COMPUTED_VALUE"""),"Completed")</f>
        <v>Completed</v>
      </c>
    </row>
    <row r="6101">
      <c r="A6101" s="9" t="str">
        <f>IFERROR(__xludf.DUMMYFUNCTION("""COMPUTED_VALUE"""),"G-REQ-06100")</f>
        <v>G-REQ-06100</v>
      </c>
      <c r="B6101" s="11">
        <f>IFERROR(__xludf.DUMMYFUNCTION("""COMPUTED_VALUE"""),46195.48079885321)</f>
        <v>46195.4808</v>
      </c>
      <c r="C6101" s="9">
        <f>IFERROR(__xludf.DUMMYFUNCTION("""COMPUTED_VALUE"""),23369.0)</f>
        <v>23369</v>
      </c>
      <c r="D6101" s="9" t="str">
        <f>IFERROR(__xludf.DUMMYFUNCTION("""COMPUTED_VALUE"""),"Completed")</f>
        <v>Completed</v>
      </c>
    </row>
    <row r="6102">
      <c r="A6102" s="9" t="str">
        <f>IFERROR(__xludf.DUMMYFUNCTION("""COMPUTED_VALUE"""),"G-REQ-06101")</f>
        <v>G-REQ-06101</v>
      </c>
      <c r="B6102" s="11">
        <f>IFERROR(__xludf.DUMMYFUNCTION("""COMPUTED_VALUE"""),46195.55197369863)</f>
        <v>46195.55197</v>
      </c>
      <c r="C6102" s="9">
        <f>IFERROR(__xludf.DUMMYFUNCTION("""COMPUTED_VALUE"""),23373.0)</f>
        <v>23373</v>
      </c>
      <c r="D6102" s="9" t="str">
        <f>IFERROR(__xludf.DUMMYFUNCTION("""COMPUTED_VALUE"""),"Completed")</f>
        <v>Completed</v>
      </c>
    </row>
    <row r="6103">
      <c r="A6103" s="9" t="str">
        <f>IFERROR(__xludf.DUMMYFUNCTION("""COMPUTED_VALUE"""),"G-REQ-06102")</f>
        <v>G-REQ-06102</v>
      </c>
      <c r="B6103" s="11">
        <f>IFERROR(__xludf.DUMMYFUNCTION("""COMPUTED_VALUE"""),46195.62314854405)</f>
        <v>46195.62315</v>
      </c>
      <c r="C6103" s="9">
        <f>IFERROR(__xludf.DUMMYFUNCTION("""COMPUTED_VALUE"""),23377.0)</f>
        <v>23377</v>
      </c>
      <c r="D6103" s="9" t="str">
        <f>IFERROR(__xludf.DUMMYFUNCTION("""COMPUTED_VALUE"""),"Completed")</f>
        <v>Completed</v>
      </c>
    </row>
    <row r="6104">
      <c r="A6104" s="9" t="str">
        <f>IFERROR(__xludf.DUMMYFUNCTION("""COMPUTED_VALUE"""),"G-REQ-06103")</f>
        <v>G-REQ-06103</v>
      </c>
      <c r="B6104" s="11">
        <f>IFERROR(__xludf.DUMMYFUNCTION("""COMPUTED_VALUE"""),46195.694323389456)</f>
        <v>46195.69432</v>
      </c>
      <c r="C6104" s="9">
        <f>IFERROR(__xludf.DUMMYFUNCTION("""COMPUTED_VALUE"""),23381.0)</f>
        <v>23381</v>
      </c>
      <c r="D6104" s="9" t="str">
        <f>IFERROR(__xludf.DUMMYFUNCTION("""COMPUTED_VALUE"""),"Completed")</f>
        <v>Completed</v>
      </c>
    </row>
    <row r="6105">
      <c r="A6105" s="9" t="str">
        <f>IFERROR(__xludf.DUMMYFUNCTION("""COMPUTED_VALUE"""),"G-REQ-06104")</f>
        <v>G-REQ-06104</v>
      </c>
      <c r="B6105" s="11">
        <f>IFERROR(__xludf.DUMMYFUNCTION("""COMPUTED_VALUE"""),46195.75855379043)</f>
        <v>46195.75855</v>
      </c>
      <c r="C6105" s="9">
        <f>IFERROR(__xludf.DUMMYFUNCTION("""COMPUTED_VALUE"""),23383.0)</f>
        <v>23383</v>
      </c>
      <c r="D6105" s="9" t="str">
        <f>IFERROR(__xludf.DUMMYFUNCTION("""COMPUTED_VALUE"""),"Cancelled")</f>
        <v>Cancelled</v>
      </c>
    </row>
    <row r="6106">
      <c r="A6106" s="9" t="str">
        <f>IFERROR(__xludf.DUMMYFUNCTION("""COMPUTED_VALUE"""),"G-REQ-06105")</f>
        <v>G-REQ-06105</v>
      </c>
      <c r="B6106" s="11">
        <f>IFERROR(__xludf.DUMMYFUNCTION("""COMPUTED_VALUE"""),46195.836673080295)</f>
        <v>46195.83667</v>
      </c>
      <c r="C6106" s="9">
        <f>IFERROR(__xludf.DUMMYFUNCTION("""COMPUTED_VALUE"""),23387.0)</f>
        <v>23387</v>
      </c>
      <c r="D6106" s="9" t="str">
        <f>IFERROR(__xludf.DUMMYFUNCTION("""COMPUTED_VALUE"""),"Completed")</f>
        <v>Completed</v>
      </c>
    </row>
    <row r="6107">
      <c r="A6107" s="9" t="str">
        <f>IFERROR(__xludf.DUMMYFUNCTION("""COMPUTED_VALUE"""),"G-REQ-06106")</f>
        <v>G-REQ-06106</v>
      </c>
      <c r="B6107" s="11">
        <f>IFERROR(__xludf.DUMMYFUNCTION("""COMPUTED_VALUE"""),46195.90784792571)</f>
        <v>46195.90785</v>
      </c>
      <c r="C6107" s="9">
        <f>IFERROR(__xludf.DUMMYFUNCTION("""COMPUTED_VALUE"""),23391.0)</f>
        <v>23391</v>
      </c>
      <c r="D6107" s="9" t="str">
        <f>IFERROR(__xludf.DUMMYFUNCTION("""COMPUTED_VALUE"""),"Completed")</f>
        <v>Completed</v>
      </c>
    </row>
    <row r="6108">
      <c r="A6108" s="9" t="str">
        <f>IFERROR(__xludf.DUMMYFUNCTION("""COMPUTED_VALUE"""),"G-REQ-06107")</f>
        <v>G-REQ-06107</v>
      </c>
      <c r="B6108" s="11">
        <f>IFERROR(__xludf.DUMMYFUNCTION("""COMPUTED_VALUE"""),46195.97902277112)</f>
        <v>46195.97902</v>
      </c>
      <c r="C6108" s="9">
        <f>IFERROR(__xludf.DUMMYFUNCTION("""COMPUTED_VALUE"""),23395.0)</f>
        <v>23395</v>
      </c>
      <c r="D6108" s="9" t="str">
        <f>IFERROR(__xludf.DUMMYFUNCTION("""COMPUTED_VALUE"""),"Completed")</f>
        <v>Completed</v>
      </c>
    </row>
    <row r="6109">
      <c r="A6109" s="9" t="str">
        <f>IFERROR(__xludf.DUMMYFUNCTION("""COMPUTED_VALUE"""),"G-REQ-06108")</f>
        <v>G-REQ-06108</v>
      </c>
      <c r="B6109" s="11">
        <f>IFERROR(__xludf.DUMMYFUNCTION("""COMPUTED_VALUE"""),46196.05019761654)</f>
        <v>46196.0502</v>
      </c>
      <c r="C6109" s="9">
        <f>IFERROR(__xludf.DUMMYFUNCTION("""COMPUTED_VALUE"""),23399.0)</f>
        <v>23399</v>
      </c>
      <c r="D6109" s="9" t="str">
        <f>IFERROR(__xludf.DUMMYFUNCTION("""COMPUTED_VALUE"""),"Completed")</f>
        <v>Completed</v>
      </c>
    </row>
    <row r="6110">
      <c r="A6110" s="9" t="str">
        <f>IFERROR(__xludf.DUMMYFUNCTION("""COMPUTED_VALUE"""),"G-REQ-06109")</f>
        <v>G-REQ-06109</v>
      </c>
      <c r="B6110" s="11">
        <f>IFERROR(__xludf.DUMMYFUNCTION("""COMPUTED_VALUE"""),46196.11442801751)</f>
        <v>46196.11443</v>
      </c>
      <c r="C6110" s="9">
        <f>IFERROR(__xludf.DUMMYFUNCTION("""COMPUTED_VALUE"""),23401.0)</f>
        <v>23401</v>
      </c>
      <c r="D6110" s="9" t="str">
        <f>IFERROR(__xludf.DUMMYFUNCTION("""COMPUTED_VALUE"""),"Cancelled")</f>
        <v>Cancelled</v>
      </c>
    </row>
    <row r="6111">
      <c r="A6111" s="9" t="str">
        <f>IFERROR(__xludf.DUMMYFUNCTION("""COMPUTED_VALUE"""),"G-REQ-06110")</f>
        <v>G-REQ-06110</v>
      </c>
      <c r="B6111" s="11">
        <f>IFERROR(__xludf.DUMMYFUNCTION("""COMPUTED_VALUE"""),46196.192547307364)</f>
        <v>46196.19255</v>
      </c>
      <c r="C6111" s="9">
        <f>IFERROR(__xludf.DUMMYFUNCTION("""COMPUTED_VALUE"""),23405.0)</f>
        <v>23405</v>
      </c>
      <c r="D6111" s="9" t="str">
        <f>IFERROR(__xludf.DUMMYFUNCTION("""COMPUTED_VALUE"""),"Completed")</f>
        <v>Completed</v>
      </c>
    </row>
    <row r="6112">
      <c r="A6112" s="9" t="str">
        <f>IFERROR(__xludf.DUMMYFUNCTION("""COMPUTED_VALUE"""),"G-REQ-06111")</f>
        <v>G-REQ-06111</v>
      </c>
      <c r="B6112" s="11">
        <f>IFERROR(__xludf.DUMMYFUNCTION("""COMPUTED_VALUE"""),46196.263722152784)</f>
        <v>46196.26372</v>
      </c>
      <c r="C6112" s="9">
        <f>IFERROR(__xludf.DUMMYFUNCTION("""COMPUTED_VALUE"""),23409.0)</f>
        <v>23409</v>
      </c>
      <c r="D6112" s="9" t="str">
        <f>IFERROR(__xludf.DUMMYFUNCTION("""COMPUTED_VALUE"""),"Completed")</f>
        <v>Completed</v>
      </c>
    </row>
    <row r="6113">
      <c r="A6113" s="9" t="str">
        <f>IFERROR(__xludf.DUMMYFUNCTION("""COMPUTED_VALUE"""),"G-REQ-06112")</f>
        <v>G-REQ-06112</v>
      </c>
      <c r="B6113" s="11">
        <f>IFERROR(__xludf.DUMMYFUNCTION("""COMPUTED_VALUE"""),46196.334896998196)</f>
        <v>46196.3349</v>
      </c>
      <c r="C6113" s="9">
        <f>IFERROR(__xludf.DUMMYFUNCTION("""COMPUTED_VALUE"""),23413.0)</f>
        <v>23413</v>
      </c>
      <c r="D6113" s="9" t="str">
        <f>IFERROR(__xludf.DUMMYFUNCTION("""COMPUTED_VALUE"""),"Completed")</f>
        <v>Completed</v>
      </c>
    </row>
    <row r="6114">
      <c r="A6114" s="9" t="str">
        <f>IFERROR(__xludf.DUMMYFUNCTION("""COMPUTED_VALUE"""),"G-REQ-06113")</f>
        <v>G-REQ-06113</v>
      </c>
      <c r="B6114" s="11">
        <f>IFERROR(__xludf.DUMMYFUNCTION("""COMPUTED_VALUE"""),46196.39912739916)</f>
        <v>46196.39913</v>
      </c>
      <c r="C6114" s="9">
        <f>IFERROR(__xludf.DUMMYFUNCTION("""COMPUTED_VALUE"""),23415.0)</f>
        <v>23415</v>
      </c>
      <c r="D6114" s="9" t="str">
        <f>IFERROR(__xludf.DUMMYFUNCTION("""COMPUTED_VALUE"""),"Rejected")</f>
        <v>Rejected</v>
      </c>
    </row>
    <row r="6115">
      <c r="A6115" s="9" t="str">
        <f>IFERROR(__xludf.DUMMYFUNCTION("""COMPUTED_VALUE"""),"G-REQ-06114")</f>
        <v>G-REQ-06114</v>
      </c>
      <c r="B6115" s="11">
        <f>IFERROR(__xludf.DUMMYFUNCTION("""COMPUTED_VALUE"""),46196.47724668903)</f>
        <v>46196.47725</v>
      </c>
      <c r="C6115" s="9">
        <f>IFERROR(__xludf.DUMMYFUNCTION("""COMPUTED_VALUE"""),23419.0)</f>
        <v>23419</v>
      </c>
      <c r="D6115" s="9" t="str">
        <f>IFERROR(__xludf.DUMMYFUNCTION("""COMPUTED_VALUE"""),"Completed")</f>
        <v>Completed</v>
      </c>
    </row>
    <row r="6116">
      <c r="A6116" s="9" t="str">
        <f>IFERROR(__xludf.DUMMYFUNCTION("""COMPUTED_VALUE"""),"G-REQ-06115")</f>
        <v>G-REQ-06115</v>
      </c>
      <c r="B6116" s="11">
        <f>IFERROR(__xludf.DUMMYFUNCTION("""COMPUTED_VALUE"""),46196.54842153444)</f>
        <v>46196.54842</v>
      </c>
      <c r="C6116" s="9">
        <f>IFERROR(__xludf.DUMMYFUNCTION("""COMPUTED_VALUE"""),23423.0)</f>
        <v>23423</v>
      </c>
      <c r="D6116" s="9" t="str">
        <f>IFERROR(__xludf.DUMMYFUNCTION("""COMPUTED_VALUE"""),"Completed")</f>
        <v>Completed</v>
      </c>
    </row>
    <row r="6117">
      <c r="A6117" s="9" t="str">
        <f>IFERROR(__xludf.DUMMYFUNCTION("""COMPUTED_VALUE"""),"G-REQ-06116")</f>
        <v>G-REQ-06116</v>
      </c>
      <c r="B6117" s="11">
        <f>IFERROR(__xludf.DUMMYFUNCTION("""COMPUTED_VALUE"""),46196.612651935415)</f>
        <v>46196.61265</v>
      </c>
      <c r="C6117" s="9">
        <f>IFERROR(__xludf.DUMMYFUNCTION("""COMPUTED_VALUE"""),23425.0)</f>
        <v>23425</v>
      </c>
      <c r="D6117" s="9" t="str">
        <f>IFERROR(__xludf.DUMMYFUNCTION("""COMPUTED_VALUE"""),"Rejected")</f>
        <v>Rejected</v>
      </c>
    </row>
    <row r="6118">
      <c r="A6118" s="9" t="str">
        <f>IFERROR(__xludf.DUMMYFUNCTION("""COMPUTED_VALUE"""),"G-REQ-06117")</f>
        <v>G-REQ-06117</v>
      </c>
      <c r="B6118" s="11">
        <f>IFERROR(__xludf.DUMMYFUNCTION("""COMPUTED_VALUE"""),46196.69077122527)</f>
        <v>46196.69077</v>
      </c>
      <c r="C6118" s="9">
        <f>IFERROR(__xludf.DUMMYFUNCTION("""COMPUTED_VALUE"""),23429.0)</f>
        <v>23429</v>
      </c>
      <c r="D6118" s="9" t="str">
        <f>IFERROR(__xludf.DUMMYFUNCTION("""COMPUTED_VALUE"""),"Completed")</f>
        <v>Completed</v>
      </c>
    </row>
    <row r="6119">
      <c r="A6119" s="9" t="str">
        <f>IFERROR(__xludf.DUMMYFUNCTION("""COMPUTED_VALUE"""),"G-REQ-06118")</f>
        <v>G-REQ-06118</v>
      </c>
      <c r="B6119" s="11">
        <f>IFERROR(__xludf.DUMMYFUNCTION("""COMPUTED_VALUE"""),46196.76194607069)</f>
        <v>46196.76195</v>
      </c>
      <c r="C6119" s="9">
        <f>IFERROR(__xludf.DUMMYFUNCTION("""COMPUTED_VALUE"""),23433.0)</f>
        <v>23433</v>
      </c>
      <c r="D6119" s="9" t="str">
        <f>IFERROR(__xludf.DUMMYFUNCTION("""COMPUTED_VALUE"""),"Completed")</f>
        <v>Completed</v>
      </c>
    </row>
    <row r="6120">
      <c r="A6120" s="9" t="str">
        <f>IFERROR(__xludf.DUMMYFUNCTION("""COMPUTED_VALUE"""),"G-REQ-06119")</f>
        <v>G-REQ-06119</v>
      </c>
      <c r="B6120" s="11">
        <f>IFERROR(__xludf.DUMMYFUNCTION("""COMPUTED_VALUE"""),46196.8331209161)</f>
        <v>46196.83312</v>
      </c>
      <c r="C6120" s="9">
        <f>IFERROR(__xludf.DUMMYFUNCTION("""COMPUTED_VALUE"""),23437.0)</f>
        <v>23437</v>
      </c>
      <c r="D6120" s="9" t="str">
        <f>IFERROR(__xludf.DUMMYFUNCTION("""COMPUTED_VALUE"""),"Completed")</f>
        <v>Completed</v>
      </c>
    </row>
    <row r="6121">
      <c r="A6121" s="9" t="str">
        <f>IFERROR(__xludf.DUMMYFUNCTION("""COMPUTED_VALUE"""),"G-REQ-06120")</f>
        <v>G-REQ-06120</v>
      </c>
      <c r="B6121" s="11">
        <f>IFERROR(__xludf.DUMMYFUNCTION("""COMPUTED_VALUE"""),46196.90429576152)</f>
        <v>46196.9043</v>
      </c>
      <c r="C6121" s="9">
        <f>IFERROR(__xludf.DUMMYFUNCTION("""COMPUTED_VALUE"""),23441.0)</f>
        <v>23441</v>
      </c>
      <c r="D6121" s="9" t="str">
        <f>IFERROR(__xludf.DUMMYFUNCTION("""COMPUTED_VALUE"""),"Completed")</f>
        <v>Completed</v>
      </c>
    </row>
    <row r="6122">
      <c r="A6122" s="9" t="str">
        <f>IFERROR(__xludf.DUMMYFUNCTION("""COMPUTED_VALUE"""),"G-REQ-06121")</f>
        <v>G-REQ-06121</v>
      </c>
      <c r="B6122" s="11">
        <f>IFERROR(__xludf.DUMMYFUNCTION("""COMPUTED_VALUE"""),46196.975470606936)</f>
        <v>46196.97547</v>
      </c>
      <c r="C6122" s="9">
        <f>IFERROR(__xludf.DUMMYFUNCTION("""COMPUTED_VALUE"""),23445.0)</f>
        <v>23445</v>
      </c>
      <c r="D6122" s="9" t="str">
        <f>IFERROR(__xludf.DUMMYFUNCTION("""COMPUTED_VALUE"""),"Completed")</f>
        <v>Completed</v>
      </c>
    </row>
    <row r="6123">
      <c r="A6123" s="9" t="str">
        <f>IFERROR(__xludf.DUMMYFUNCTION("""COMPUTED_VALUE"""),"G-REQ-06122")</f>
        <v>G-REQ-06122</v>
      </c>
      <c r="B6123" s="11">
        <f>IFERROR(__xludf.DUMMYFUNCTION("""COMPUTED_VALUE"""),46197.0397010079)</f>
        <v>46197.0397</v>
      </c>
      <c r="C6123" s="9">
        <f>IFERROR(__xludf.DUMMYFUNCTION("""COMPUTED_VALUE"""),23447.0)</f>
        <v>23447</v>
      </c>
      <c r="D6123" s="9" t="str">
        <f>IFERROR(__xludf.DUMMYFUNCTION("""COMPUTED_VALUE"""),"Cancelled")</f>
        <v>Cancelled</v>
      </c>
    </row>
    <row r="6124">
      <c r="A6124" s="9" t="str">
        <f>IFERROR(__xludf.DUMMYFUNCTION("""COMPUTED_VALUE"""),"G-REQ-06123")</f>
        <v>G-REQ-06123</v>
      </c>
      <c r="B6124" s="11">
        <f>IFERROR(__xludf.DUMMYFUNCTION("""COMPUTED_VALUE"""),46197.11782029776)</f>
        <v>46197.11782</v>
      </c>
      <c r="C6124" s="9">
        <f>IFERROR(__xludf.DUMMYFUNCTION("""COMPUTED_VALUE"""),23451.0)</f>
        <v>23451</v>
      </c>
      <c r="D6124" s="9" t="str">
        <f>IFERROR(__xludf.DUMMYFUNCTION("""COMPUTED_VALUE"""),"Completed")</f>
        <v>Completed</v>
      </c>
    </row>
    <row r="6125">
      <c r="A6125" s="9" t="str">
        <f>IFERROR(__xludf.DUMMYFUNCTION("""COMPUTED_VALUE"""),"G-REQ-06124")</f>
        <v>G-REQ-06124</v>
      </c>
      <c r="B6125" s="11">
        <f>IFERROR(__xludf.DUMMYFUNCTION("""COMPUTED_VALUE"""),46197.18899514318)</f>
        <v>46197.189</v>
      </c>
      <c r="C6125" s="9">
        <f>IFERROR(__xludf.DUMMYFUNCTION("""COMPUTED_VALUE"""),23455.0)</f>
        <v>23455</v>
      </c>
      <c r="D6125" s="9" t="str">
        <f>IFERROR(__xludf.DUMMYFUNCTION("""COMPUTED_VALUE"""),"Completed")</f>
        <v>Completed</v>
      </c>
    </row>
    <row r="6126">
      <c r="A6126" s="9" t="str">
        <f>IFERROR(__xludf.DUMMYFUNCTION("""COMPUTED_VALUE"""),"G-REQ-06125")</f>
        <v>G-REQ-06125</v>
      </c>
      <c r="B6126" s="11">
        <f>IFERROR(__xludf.DUMMYFUNCTION("""COMPUTED_VALUE"""),46197.25322554415)</f>
        <v>46197.25323</v>
      </c>
      <c r="C6126" s="9">
        <f>IFERROR(__xludf.DUMMYFUNCTION("""COMPUTED_VALUE"""),23457.0)</f>
        <v>23457</v>
      </c>
      <c r="D6126" s="9" t="str">
        <f>IFERROR(__xludf.DUMMYFUNCTION("""COMPUTED_VALUE"""),"Cancelled")</f>
        <v>Cancelled</v>
      </c>
    </row>
    <row r="6127">
      <c r="A6127" s="9" t="str">
        <f>IFERROR(__xludf.DUMMYFUNCTION("""COMPUTED_VALUE"""),"G-REQ-06126")</f>
        <v>G-REQ-06126</v>
      </c>
      <c r="B6127" s="11">
        <f>IFERROR(__xludf.DUMMYFUNCTION("""COMPUTED_VALUE"""),46197.331344834005)</f>
        <v>46197.33134</v>
      </c>
      <c r="C6127" s="9">
        <f>IFERROR(__xludf.DUMMYFUNCTION("""COMPUTED_VALUE"""),23461.0)</f>
        <v>23461</v>
      </c>
      <c r="D6127" s="9" t="str">
        <f>IFERROR(__xludf.DUMMYFUNCTION("""COMPUTED_VALUE"""),"Completed")</f>
        <v>Completed</v>
      </c>
    </row>
    <row r="6128">
      <c r="A6128" s="9" t="str">
        <f>IFERROR(__xludf.DUMMYFUNCTION("""COMPUTED_VALUE"""),"G-REQ-06127")</f>
        <v>G-REQ-06127</v>
      </c>
      <c r="B6128" s="11">
        <f>IFERROR(__xludf.DUMMYFUNCTION("""COMPUTED_VALUE"""),46197.402519679425)</f>
        <v>46197.40252</v>
      </c>
      <c r="C6128" s="9">
        <f>IFERROR(__xludf.DUMMYFUNCTION("""COMPUTED_VALUE"""),23465.0)</f>
        <v>23465</v>
      </c>
      <c r="D6128" s="9" t="str">
        <f>IFERROR(__xludf.DUMMYFUNCTION("""COMPUTED_VALUE"""),"Completed")</f>
        <v>Completed</v>
      </c>
    </row>
    <row r="6129">
      <c r="A6129" s="9" t="str">
        <f>IFERROR(__xludf.DUMMYFUNCTION("""COMPUTED_VALUE"""),"G-REQ-06128")</f>
        <v>G-REQ-06128</v>
      </c>
      <c r="B6129" s="11">
        <f>IFERROR(__xludf.DUMMYFUNCTION("""COMPUTED_VALUE"""),46197.473694524844)</f>
        <v>46197.47369</v>
      </c>
      <c r="C6129" s="9">
        <f>IFERROR(__xludf.DUMMYFUNCTION("""COMPUTED_VALUE"""),23469.0)</f>
        <v>23469</v>
      </c>
      <c r="D6129" s="9" t="str">
        <f>IFERROR(__xludf.DUMMYFUNCTION("""COMPUTED_VALUE"""),"Completed")</f>
        <v>Completed</v>
      </c>
    </row>
    <row r="6130">
      <c r="A6130" s="9" t="str">
        <f>IFERROR(__xludf.DUMMYFUNCTION("""COMPUTED_VALUE"""),"G-REQ-06129")</f>
        <v>G-REQ-06129</v>
      </c>
      <c r="B6130" s="11">
        <f>IFERROR(__xludf.DUMMYFUNCTION("""COMPUTED_VALUE"""),46197.54486937025)</f>
        <v>46197.54487</v>
      </c>
      <c r="C6130" s="9">
        <f>IFERROR(__xludf.DUMMYFUNCTION("""COMPUTED_VALUE"""),23473.0)</f>
        <v>23473</v>
      </c>
      <c r="D6130" s="9" t="str">
        <f>IFERROR(__xludf.DUMMYFUNCTION("""COMPUTED_VALUE"""),"Completed")</f>
        <v>Completed</v>
      </c>
    </row>
    <row r="6131">
      <c r="A6131" s="9" t="str">
        <f>IFERROR(__xludf.DUMMYFUNCTION("""COMPUTED_VALUE"""),"G-REQ-06130")</f>
        <v>G-REQ-06130</v>
      </c>
      <c r="B6131" s="11">
        <f>IFERROR(__xludf.DUMMYFUNCTION("""COMPUTED_VALUE"""),46197.61604421567)</f>
        <v>46197.61604</v>
      </c>
      <c r="C6131" s="9">
        <f>IFERROR(__xludf.DUMMYFUNCTION("""COMPUTED_VALUE"""),23477.0)</f>
        <v>23477</v>
      </c>
      <c r="D6131" s="9" t="str">
        <f>IFERROR(__xludf.DUMMYFUNCTION("""COMPUTED_VALUE"""),"Completed")</f>
        <v>Completed</v>
      </c>
    </row>
    <row r="6132">
      <c r="A6132" s="9" t="str">
        <f>IFERROR(__xludf.DUMMYFUNCTION("""COMPUTED_VALUE"""),"G-REQ-06131")</f>
        <v>G-REQ-06131</v>
      </c>
      <c r="B6132" s="11">
        <f>IFERROR(__xludf.DUMMYFUNCTION("""COMPUTED_VALUE"""),46197.680274616636)</f>
        <v>46197.68027</v>
      </c>
      <c r="C6132" s="9">
        <f>IFERROR(__xludf.DUMMYFUNCTION("""COMPUTED_VALUE"""),23479.0)</f>
        <v>23479</v>
      </c>
      <c r="D6132" s="9" t="str">
        <f>IFERROR(__xludf.DUMMYFUNCTION("""COMPUTED_VALUE"""),"Rejected")</f>
        <v>Rejected</v>
      </c>
    </row>
    <row r="6133">
      <c r="A6133" s="9" t="str">
        <f>IFERROR(__xludf.DUMMYFUNCTION("""COMPUTED_VALUE"""),"G-REQ-06132")</f>
        <v>G-REQ-06132</v>
      </c>
      <c r="B6133" s="11">
        <f>IFERROR(__xludf.DUMMYFUNCTION("""COMPUTED_VALUE"""),46197.7583939065)</f>
        <v>46197.75839</v>
      </c>
      <c r="C6133" s="9">
        <f>IFERROR(__xludf.DUMMYFUNCTION("""COMPUTED_VALUE"""),23483.0)</f>
        <v>23483</v>
      </c>
      <c r="D6133" s="9" t="str">
        <f>IFERROR(__xludf.DUMMYFUNCTION("""COMPUTED_VALUE"""),"Completed")</f>
        <v>Completed</v>
      </c>
    </row>
    <row r="6134">
      <c r="A6134" s="9" t="str">
        <f>IFERROR(__xludf.DUMMYFUNCTION("""COMPUTED_VALUE"""),"G-REQ-06133")</f>
        <v>G-REQ-06133</v>
      </c>
      <c r="B6134" s="11">
        <f>IFERROR(__xludf.DUMMYFUNCTION("""COMPUTED_VALUE"""),46197.82956875191)</f>
        <v>46197.82957</v>
      </c>
      <c r="C6134" s="9">
        <f>IFERROR(__xludf.DUMMYFUNCTION("""COMPUTED_VALUE"""),23487.0)</f>
        <v>23487</v>
      </c>
      <c r="D6134" s="9" t="str">
        <f>IFERROR(__xludf.DUMMYFUNCTION("""COMPUTED_VALUE"""),"Completed")</f>
        <v>Completed</v>
      </c>
    </row>
    <row r="6135">
      <c r="A6135" s="9" t="str">
        <f>IFERROR(__xludf.DUMMYFUNCTION("""COMPUTED_VALUE"""),"G-REQ-06134")</f>
        <v>G-REQ-06134</v>
      </c>
      <c r="B6135" s="11">
        <f>IFERROR(__xludf.DUMMYFUNCTION("""COMPUTED_VALUE"""),46197.90074359733)</f>
        <v>46197.90074</v>
      </c>
      <c r="C6135" s="9">
        <f>IFERROR(__xludf.DUMMYFUNCTION("""COMPUTED_VALUE"""),23491.0)</f>
        <v>23491</v>
      </c>
      <c r="D6135" s="9" t="str">
        <f>IFERROR(__xludf.DUMMYFUNCTION("""COMPUTED_VALUE"""),"Completed")</f>
        <v>Completed</v>
      </c>
    </row>
    <row r="6136">
      <c r="A6136" s="9" t="str">
        <f>IFERROR(__xludf.DUMMYFUNCTION("""COMPUTED_VALUE"""),"G-REQ-06135")</f>
        <v>G-REQ-06135</v>
      </c>
      <c r="B6136" s="11">
        <f>IFERROR(__xludf.DUMMYFUNCTION("""COMPUTED_VALUE"""),46197.971918442745)</f>
        <v>46197.97192</v>
      </c>
      <c r="C6136" s="9">
        <f>IFERROR(__xludf.DUMMYFUNCTION("""COMPUTED_VALUE"""),23495.0)</f>
        <v>23495</v>
      </c>
      <c r="D6136" s="9" t="str">
        <f>IFERROR(__xludf.DUMMYFUNCTION("""COMPUTED_VALUE"""),"Completed")</f>
        <v>Completed</v>
      </c>
    </row>
    <row r="6137">
      <c r="A6137" s="9" t="str">
        <f>IFERROR(__xludf.DUMMYFUNCTION("""COMPUTED_VALUE"""),"G-REQ-06136")</f>
        <v>G-REQ-06136</v>
      </c>
      <c r="B6137" s="11">
        <f>IFERROR(__xludf.DUMMYFUNCTION("""COMPUTED_VALUE"""),46198.03614884371)</f>
        <v>46198.03615</v>
      </c>
      <c r="C6137" s="9">
        <f>IFERROR(__xludf.DUMMYFUNCTION("""COMPUTED_VALUE"""),23497.0)</f>
        <v>23497</v>
      </c>
      <c r="D6137" s="9" t="str">
        <f>IFERROR(__xludf.DUMMYFUNCTION("""COMPUTED_VALUE"""),"Cancelled")</f>
        <v>Cancelled</v>
      </c>
    </row>
    <row r="6138">
      <c r="A6138" s="9" t="str">
        <f>IFERROR(__xludf.DUMMYFUNCTION("""COMPUTED_VALUE"""),"G-REQ-06137")</f>
        <v>G-REQ-06137</v>
      </c>
      <c r="B6138" s="11">
        <f>IFERROR(__xludf.DUMMYFUNCTION("""COMPUTED_VALUE"""),46198.11426813358)</f>
        <v>46198.11427</v>
      </c>
      <c r="C6138" s="9">
        <f>IFERROR(__xludf.DUMMYFUNCTION("""COMPUTED_VALUE"""),23501.0)</f>
        <v>23501</v>
      </c>
      <c r="D6138" s="9" t="str">
        <f>IFERROR(__xludf.DUMMYFUNCTION("""COMPUTED_VALUE"""),"Completed")</f>
        <v>Completed</v>
      </c>
    </row>
    <row r="6139">
      <c r="A6139" s="9" t="str">
        <f>IFERROR(__xludf.DUMMYFUNCTION("""COMPUTED_VALUE"""),"G-REQ-06138")</f>
        <v>G-REQ-06138</v>
      </c>
      <c r="B6139" s="11">
        <f>IFERROR(__xludf.DUMMYFUNCTION("""COMPUTED_VALUE"""),46198.178498534544)</f>
        <v>46198.1785</v>
      </c>
      <c r="C6139" s="9">
        <f>IFERROR(__xludf.DUMMYFUNCTION("""COMPUTED_VALUE"""),23503.0)</f>
        <v>23503</v>
      </c>
      <c r="D6139" s="9" t="str">
        <f>IFERROR(__xludf.DUMMYFUNCTION("""COMPUTED_VALUE"""),"Rejected")</f>
        <v>Rejected</v>
      </c>
    </row>
    <row r="6140">
      <c r="A6140" s="9" t="str">
        <f>IFERROR(__xludf.DUMMYFUNCTION("""COMPUTED_VALUE"""),"G-REQ-06139")</f>
        <v>G-REQ-06139</v>
      </c>
      <c r="B6140" s="11">
        <f>IFERROR(__xludf.DUMMYFUNCTION("""COMPUTED_VALUE"""),46198.2566178244)</f>
        <v>46198.25662</v>
      </c>
      <c r="C6140" s="9">
        <f>IFERROR(__xludf.DUMMYFUNCTION("""COMPUTED_VALUE"""),23507.0)</f>
        <v>23507</v>
      </c>
      <c r="D6140" s="9" t="str">
        <f>IFERROR(__xludf.DUMMYFUNCTION("""COMPUTED_VALUE"""),"Completed")</f>
        <v>Completed</v>
      </c>
    </row>
    <row r="6141">
      <c r="A6141" s="9" t="str">
        <f>IFERROR(__xludf.DUMMYFUNCTION("""COMPUTED_VALUE"""),"G-REQ-06140")</f>
        <v>G-REQ-06140</v>
      </c>
      <c r="B6141" s="11">
        <f>IFERROR(__xludf.DUMMYFUNCTION("""COMPUTED_VALUE"""),46198.32779266982)</f>
        <v>46198.32779</v>
      </c>
      <c r="C6141" s="9">
        <f>IFERROR(__xludf.DUMMYFUNCTION("""COMPUTED_VALUE"""),23511.0)</f>
        <v>23511</v>
      </c>
      <c r="D6141" s="9" t="str">
        <f>IFERROR(__xludf.DUMMYFUNCTION("""COMPUTED_VALUE"""),"Completed")</f>
        <v>Completed</v>
      </c>
    </row>
    <row r="6142">
      <c r="A6142" s="9" t="str">
        <f>IFERROR(__xludf.DUMMYFUNCTION("""COMPUTED_VALUE"""),"G-REQ-06141")</f>
        <v>G-REQ-06141</v>
      </c>
      <c r="B6142" s="11">
        <f>IFERROR(__xludf.DUMMYFUNCTION("""COMPUTED_VALUE"""),46198.39896751523)</f>
        <v>46198.39897</v>
      </c>
      <c r="C6142" s="9">
        <f>IFERROR(__xludf.DUMMYFUNCTION("""COMPUTED_VALUE"""),23515.0)</f>
        <v>23515</v>
      </c>
      <c r="D6142" s="9" t="str">
        <f>IFERROR(__xludf.DUMMYFUNCTION("""COMPUTED_VALUE"""),"Completed")</f>
        <v>Completed</v>
      </c>
    </row>
    <row r="6143">
      <c r="A6143" s="9" t="str">
        <f>IFERROR(__xludf.DUMMYFUNCTION("""COMPUTED_VALUE"""),"G-REQ-06142")</f>
        <v>G-REQ-06142</v>
      </c>
      <c r="B6143" s="11">
        <f>IFERROR(__xludf.DUMMYFUNCTION("""COMPUTED_VALUE"""),46198.470142360646)</f>
        <v>46198.47014</v>
      </c>
      <c r="C6143" s="9">
        <f>IFERROR(__xludf.DUMMYFUNCTION("""COMPUTED_VALUE"""),23519.0)</f>
        <v>23519</v>
      </c>
      <c r="D6143" s="9" t="str">
        <f>IFERROR(__xludf.DUMMYFUNCTION("""COMPUTED_VALUE"""),"Completed")</f>
        <v>Completed</v>
      </c>
    </row>
    <row r="6144">
      <c r="A6144" s="9" t="str">
        <f>IFERROR(__xludf.DUMMYFUNCTION("""COMPUTED_VALUE"""),"G-REQ-06143")</f>
        <v>G-REQ-06143</v>
      </c>
      <c r="B6144" s="11">
        <f>IFERROR(__xludf.DUMMYFUNCTION("""COMPUTED_VALUE"""),46198.541317206065)</f>
        <v>46198.54132</v>
      </c>
      <c r="C6144" s="9">
        <f>IFERROR(__xludf.DUMMYFUNCTION("""COMPUTED_VALUE"""),23523.0)</f>
        <v>23523</v>
      </c>
      <c r="D6144" s="9" t="str">
        <f>IFERROR(__xludf.DUMMYFUNCTION("""COMPUTED_VALUE"""),"Completed")</f>
        <v>Completed</v>
      </c>
    </row>
    <row r="6145">
      <c r="A6145" s="9" t="str">
        <f>IFERROR(__xludf.DUMMYFUNCTION("""COMPUTED_VALUE"""),"G-REQ-06144")</f>
        <v>G-REQ-06144</v>
      </c>
      <c r="B6145" s="11">
        <f>IFERROR(__xludf.DUMMYFUNCTION("""COMPUTED_VALUE"""),46198.612492051485)</f>
        <v>46198.61249</v>
      </c>
      <c r="C6145" s="9">
        <f>IFERROR(__xludf.DUMMYFUNCTION("""COMPUTED_VALUE"""),23527.0)</f>
        <v>23527</v>
      </c>
      <c r="D6145" s="9" t="str">
        <f>IFERROR(__xludf.DUMMYFUNCTION("""COMPUTED_VALUE"""),"Completed")</f>
        <v>Completed</v>
      </c>
    </row>
    <row r="6146">
      <c r="A6146" s="9" t="str">
        <f>IFERROR(__xludf.DUMMYFUNCTION("""COMPUTED_VALUE"""),"G-REQ-06145")</f>
        <v>G-REQ-06145</v>
      </c>
      <c r="B6146" s="11">
        <f>IFERROR(__xludf.DUMMYFUNCTION("""COMPUTED_VALUE"""),46198.68366689689)</f>
        <v>46198.68367</v>
      </c>
      <c r="C6146" s="9">
        <f>IFERROR(__xludf.DUMMYFUNCTION("""COMPUTED_VALUE"""),23531.0)</f>
        <v>23531</v>
      </c>
      <c r="D6146" s="9" t="str">
        <f>IFERROR(__xludf.DUMMYFUNCTION("""COMPUTED_VALUE"""),"Completed")</f>
        <v>Completed</v>
      </c>
    </row>
    <row r="6147">
      <c r="A6147" s="9" t="str">
        <f>IFERROR(__xludf.DUMMYFUNCTION("""COMPUTED_VALUE"""),"G-REQ-06146")</f>
        <v>G-REQ-06146</v>
      </c>
      <c r="B6147" s="11">
        <f>IFERROR(__xludf.DUMMYFUNCTION("""COMPUTED_VALUE"""),46198.75484174231)</f>
        <v>46198.75484</v>
      </c>
      <c r="C6147" s="9">
        <f>IFERROR(__xludf.DUMMYFUNCTION("""COMPUTED_VALUE"""),23535.0)</f>
        <v>23535</v>
      </c>
      <c r="D6147" s="9" t="str">
        <f>IFERROR(__xludf.DUMMYFUNCTION("""COMPUTED_VALUE"""),"Completed")</f>
        <v>Completed</v>
      </c>
    </row>
    <row r="6148">
      <c r="A6148" s="9" t="str">
        <f>IFERROR(__xludf.DUMMYFUNCTION("""COMPUTED_VALUE"""),"G-REQ-06147")</f>
        <v>G-REQ-06147</v>
      </c>
      <c r="B6148" s="11">
        <f>IFERROR(__xludf.DUMMYFUNCTION("""COMPUTED_VALUE"""),46198.82601658773)</f>
        <v>46198.82602</v>
      </c>
      <c r="C6148" s="9">
        <f>IFERROR(__xludf.DUMMYFUNCTION("""COMPUTED_VALUE"""),23539.0)</f>
        <v>23539</v>
      </c>
      <c r="D6148" s="9" t="str">
        <f>IFERROR(__xludf.DUMMYFUNCTION("""COMPUTED_VALUE"""),"Completed")</f>
        <v>Completed</v>
      </c>
    </row>
    <row r="6149">
      <c r="A6149" s="9" t="str">
        <f>IFERROR(__xludf.DUMMYFUNCTION("""COMPUTED_VALUE"""),"G-REQ-06148")</f>
        <v>G-REQ-06148</v>
      </c>
      <c r="B6149" s="11">
        <f>IFERROR(__xludf.DUMMYFUNCTION("""COMPUTED_VALUE"""),46198.89719143314)</f>
        <v>46198.89719</v>
      </c>
      <c r="C6149" s="9">
        <f>IFERROR(__xludf.DUMMYFUNCTION("""COMPUTED_VALUE"""),23543.0)</f>
        <v>23543</v>
      </c>
      <c r="D6149" s="9" t="str">
        <f>IFERROR(__xludf.DUMMYFUNCTION("""COMPUTED_VALUE"""),"Completed")</f>
        <v>Completed</v>
      </c>
    </row>
    <row r="6150">
      <c r="A6150" s="9" t="str">
        <f>IFERROR(__xludf.DUMMYFUNCTION("""COMPUTED_VALUE"""),"G-REQ-06149")</f>
        <v>G-REQ-06149</v>
      </c>
      <c r="B6150" s="11">
        <f>IFERROR(__xludf.DUMMYFUNCTION("""COMPUTED_VALUE"""),46198.968366278554)</f>
        <v>46198.96837</v>
      </c>
      <c r="C6150" s="9">
        <f>IFERROR(__xludf.DUMMYFUNCTION("""COMPUTED_VALUE"""),23547.0)</f>
        <v>23547</v>
      </c>
      <c r="D6150" s="9" t="str">
        <f>IFERROR(__xludf.DUMMYFUNCTION("""COMPUTED_VALUE"""),"Completed")</f>
        <v>Completed</v>
      </c>
    </row>
    <row r="6151">
      <c r="A6151" s="9" t="str">
        <f>IFERROR(__xludf.DUMMYFUNCTION("""COMPUTED_VALUE"""),"G-REQ-06150")</f>
        <v>G-REQ-06150</v>
      </c>
      <c r="B6151" s="11">
        <f>IFERROR(__xludf.DUMMYFUNCTION("""COMPUTED_VALUE"""),46199.03954112397)</f>
        <v>46199.03954</v>
      </c>
      <c r="C6151" s="9">
        <f>IFERROR(__xludf.DUMMYFUNCTION("""COMPUTED_VALUE"""),23551.0)</f>
        <v>23551</v>
      </c>
      <c r="D6151" s="9" t="str">
        <f>IFERROR(__xludf.DUMMYFUNCTION("""COMPUTED_VALUE"""),"Completed")</f>
        <v>Completed</v>
      </c>
    </row>
    <row r="6152">
      <c r="A6152" s="9" t="str">
        <f>IFERROR(__xludf.DUMMYFUNCTION("""COMPUTED_VALUE"""),"G-REQ-06151")</f>
        <v>G-REQ-06151</v>
      </c>
      <c r="B6152" s="11">
        <f>IFERROR(__xludf.DUMMYFUNCTION("""COMPUTED_VALUE"""),46199.110715969386)</f>
        <v>46199.11072</v>
      </c>
      <c r="C6152" s="9">
        <f>IFERROR(__xludf.DUMMYFUNCTION("""COMPUTED_VALUE"""),23555.0)</f>
        <v>23555</v>
      </c>
      <c r="D6152" s="9" t="str">
        <f>IFERROR(__xludf.DUMMYFUNCTION("""COMPUTED_VALUE"""),"Completed")</f>
        <v>Completed</v>
      </c>
    </row>
    <row r="6153">
      <c r="A6153" s="9" t="str">
        <f>IFERROR(__xludf.DUMMYFUNCTION("""COMPUTED_VALUE"""),"G-REQ-06152")</f>
        <v>G-REQ-06152</v>
      </c>
      <c r="B6153" s="11">
        <f>IFERROR(__xludf.DUMMYFUNCTION("""COMPUTED_VALUE"""),46199.1818908148)</f>
        <v>46199.18189</v>
      </c>
      <c r="C6153" s="9">
        <f>IFERROR(__xludf.DUMMYFUNCTION("""COMPUTED_VALUE"""),23559.0)</f>
        <v>23559</v>
      </c>
      <c r="D6153" s="9" t="str">
        <f>IFERROR(__xludf.DUMMYFUNCTION("""COMPUTED_VALUE"""),"Completed")</f>
        <v>Completed</v>
      </c>
    </row>
    <row r="6154">
      <c r="A6154" s="9" t="str">
        <f>IFERROR(__xludf.DUMMYFUNCTION("""COMPUTED_VALUE"""),"G-REQ-06153")</f>
        <v>G-REQ-06153</v>
      </c>
      <c r="B6154" s="11">
        <f>IFERROR(__xludf.DUMMYFUNCTION("""COMPUTED_VALUE"""),46199.25306566022)</f>
        <v>46199.25307</v>
      </c>
      <c r="C6154" s="9">
        <f>IFERROR(__xludf.DUMMYFUNCTION("""COMPUTED_VALUE"""),23563.0)</f>
        <v>23563</v>
      </c>
      <c r="D6154" s="9" t="str">
        <f>IFERROR(__xludf.DUMMYFUNCTION("""COMPUTED_VALUE"""),"Completed")</f>
        <v>Completed</v>
      </c>
    </row>
    <row r="6155">
      <c r="A6155" s="9" t="str">
        <f>IFERROR(__xludf.DUMMYFUNCTION("""COMPUTED_VALUE"""),"G-REQ-06154")</f>
        <v>G-REQ-06154</v>
      </c>
      <c r="B6155" s="11">
        <f>IFERROR(__xludf.DUMMYFUNCTION("""COMPUTED_VALUE"""),46199.32424050563)</f>
        <v>46199.32424</v>
      </c>
      <c r="C6155" s="9">
        <f>IFERROR(__xludf.DUMMYFUNCTION("""COMPUTED_VALUE"""),23567.0)</f>
        <v>23567</v>
      </c>
      <c r="D6155" s="9" t="str">
        <f>IFERROR(__xludf.DUMMYFUNCTION("""COMPUTED_VALUE"""),"Completed")</f>
        <v>Completed</v>
      </c>
    </row>
    <row r="6156">
      <c r="A6156" s="9" t="str">
        <f>IFERROR(__xludf.DUMMYFUNCTION("""COMPUTED_VALUE"""),"G-REQ-06155")</f>
        <v>G-REQ-06155</v>
      </c>
      <c r="B6156" s="11">
        <f>IFERROR(__xludf.DUMMYFUNCTION("""COMPUTED_VALUE"""),46199.39541535104)</f>
        <v>46199.39542</v>
      </c>
      <c r="C6156" s="9">
        <f>IFERROR(__xludf.DUMMYFUNCTION("""COMPUTED_VALUE"""),23571.0)</f>
        <v>23571</v>
      </c>
      <c r="D6156" s="9" t="str">
        <f>IFERROR(__xludf.DUMMYFUNCTION("""COMPUTED_VALUE"""),"Completed")</f>
        <v>Completed</v>
      </c>
    </row>
    <row r="6157">
      <c r="A6157" s="9" t="str">
        <f>IFERROR(__xludf.DUMMYFUNCTION("""COMPUTED_VALUE"""),"G-REQ-06156")</f>
        <v>G-REQ-06156</v>
      </c>
      <c r="B6157" s="11">
        <f>IFERROR(__xludf.DUMMYFUNCTION("""COMPUTED_VALUE"""),46199.45964575202)</f>
        <v>46199.45965</v>
      </c>
      <c r="C6157" s="9">
        <f>IFERROR(__xludf.DUMMYFUNCTION("""COMPUTED_VALUE"""),23573.0)</f>
        <v>23573</v>
      </c>
      <c r="D6157" s="9" t="str">
        <f>IFERROR(__xludf.DUMMYFUNCTION("""COMPUTED_VALUE"""),"Cancelled")</f>
        <v>Cancelled</v>
      </c>
    </row>
    <row r="6158">
      <c r="A6158" s="9" t="str">
        <f>IFERROR(__xludf.DUMMYFUNCTION("""COMPUTED_VALUE"""),"G-REQ-06157")</f>
        <v>G-REQ-06157</v>
      </c>
      <c r="B6158" s="11">
        <f>IFERROR(__xludf.DUMMYFUNCTION("""COMPUTED_VALUE"""),46199.53082059743)</f>
        <v>46199.53082</v>
      </c>
      <c r="C6158" s="9">
        <f>IFERROR(__xludf.DUMMYFUNCTION("""COMPUTED_VALUE"""),23575.0)</f>
        <v>23575</v>
      </c>
      <c r="D6158" s="9" t="str">
        <f>IFERROR(__xludf.DUMMYFUNCTION("""COMPUTED_VALUE"""),"Rejected")</f>
        <v>Rejected</v>
      </c>
    </row>
    <row r="6159">
      <c r="A6159" s="9" t="str">
        <f>IFERROR(__xludf.DUMMYFUNCTION("""COMPUTED_VALUE"""),"G-REQ-06158")</f>
        <v>G-REQ-06158</v>
      </c>
      <c r="B6159" s="11">
        <f>IFERROR(__xludf.DUMMYFUNCTION("""COMPUTED_VALUE"""),46199.608939887294)</f>
        <v>46199.60894</v>
      </c>
      <c r="C6159" s="9">
        <f>IFERROR(__xludf.DUMMYFUNCTION("""COMPUTED_VALUE"""),23579.0)</f>
        <v>23579</v>
      </c>
      <c r="D6159" s="9" t="str">
        <f>IFERROR(__xludf.DUMMYFUNCTION("""COMPUTED_VALUE"""),"Completed")</f>
        <v>Completed</v>
      </c>
    </row>
    <row r="6160">
      <c r="A6160" s="9" t="str">
        <f>IFERROR(__xludf.DUMMYFUNCTION("""COMPUTED_VALUE"""),"G-REQ-06159")</f>
        <v>G-REQ-06159</v>
      </c>
      <c r="B6160" s="11">
        <f>IFERROR(__xludf.DUMMYFUNCTION("""COMPUTED_VALUE"""),46199.680114732706)</f>
        <v>46199.68011</v>
      </c>
      <c r="C6160" s="9">
        <f>IFERROR(__xludf.DUMMYFUNCTION("""COMPUTED_VALUE"""),23583.0)</f>
        <v>23583</v>
      </c>
      <c r="D6160" s="9" t="str">
        <f>IFERROR(__xludf.DUMMYFUNCTION("""COMPUTED_VALUE"""),"Completed")</f>
        <v>Completed</v>
      </c>
    </row>
    <row r="6161">
      <c r="A6161" s="9" t="str">
        <f>IFERROR(__xludf.DUMMYFUNCTION("""COMPUTED_VALUE"""),"G-REQ-06160")</f>
        <v>G-REQ-06160</v>
      </c>
      <c r="B6161" s="11">
        <f>IFERROR(__xludf.DUMMYFUNCTION("""COMPUTED_VALUE"""),46199.751289578126)</f>
        <v>46199.75129</v>
      </c>
      <c r="C6161" s="9">
        <f>IFERROR(__xludf.DUMMYFUNCTION("""COMPUTED_VALUE"""),23587.0)</f>
        <v>23587</v>
      </c>
      <c r="D6161" s="9" t="str">
        <f>IFERROR(__xludf.DUMMYFUNCTION("""COMPUTED_VALUE"""),"Completed")</f>
        <v>Completed</v>
      </c>
    </row>
    <row r="6162">
      <c r="A6162" s="9" t="str">
        <f>IFERROR(__xludf.DUMMYFUNCTION("""COMPUTED_VALUE"""),"G-REQ-06161")</f>
        <v>G-REQ-06161</v>
      </c>
      <c r="B6162" s="11">
        <f>IFERROR(__xludf.DUMMYFUNCTION("""COMPUTED_VALUE"""),46199.82246442353)</f>
        <v>46199.82246</v>
      </c>
      <c r="C6162" s="9">
        <f>IFERROR(__xludf.DUMMYFUNCTION("""COMPUTED_VALUE"""),23591.0)</f>
        <v>23591</v>
      </c>
      <c r="D6162" s="9" t="str">
        <f>IFERROR(__xludf.DUMMYFUNCTION("""COMPUTED_VALUE"""),"Completed")</f>
        <v>Completed</v>
      </c>
    </row>
    <row r="6163">
      <c r="A6163" s="9" t="str">
        <f>IFERROR(__xludf.DUMMYFUNCTION("""COMPUTED_VALUE"""),"G-REQ-06162")</f>
        <v>G-REQ-06162</v>
      </c>
      <c r="B6163" s="11">
        <f>IFERROR(__xludf.DUMMYFUNCTION("""COMPUTED_VALUE"""),46199.886694824505)</f>
        <v>46199.88669</v>
      </c>
      <c r="C6163" s="9">
        <f>IFERROR(__xludf.DUMMYFUNCTION("""COMPUTED_VALUE"""),23593.0)</f>
        <v>23593</v>
      </c>
      <c r="D6163" s="9" t="str">
        <f>IFERROR(__xludf.DUMMYFUNCTION("""COMPUTED_VALUE"""),"Cancelled")</f>
        <v>Cancelled</v>
      </c>
    </row>
    <row r="6164">
      <c r="A6164" s="9" t="str">
        <f>IFERROR(__xludf.DUMMYFUNCTION("""COMPUTED_VALUE"""),"G-REQ-06163")</f>
        <v>G-REQ-06163</v>
      </c>
      <c r="B6164" s="11">
        <f>IFERROR(__xludf.DUMMYFUNCTION("""COMPUTED_VALUE"""),46199.96481411437)</f>
        <v>46199.96481</v>
      </c>
      <c r="C6164" s="9">
        <f>IFERROR(__xludf.DUMMYFUNCTION("""COMPUTED_VALUE"""),23597.0)</f>
        <v>23597</v>
      </c>
      <c r="D6164" s="9" t="str">
        <f>IFERROR(__xludf.DUMMYFUNCTION("""COMPUTED_VALUE"""),"Completed")</f>
        <v>Completed</v>
      </c>
    </row>
    <row r="6165">
      <c r="A6165" s="9" t="str">
        <f>IFERROR(__xludf.DUMMYFUNCTION("""COMPUTED_VALUE"""),"G-REQ-06164")</f>
        <v>G-REQ-06164</v>
      </c>
      <c r="B6165" s="11">
        <f>IFERROR(__xludf.DUMMYFUNCTION("""COMPUTED_VALUE"""),46200.03598895978)</f>
        <v>46200.03599</v>
      </c>
      <c r="C6165" s="9">
        <f>IFERROR(__xludf.DUMMYFUNCTION("""COMPUTED_VALUE"""),23601.0)</f>
        <v>23601</v>
      </c>
      <c r="D6165" s="9" t="str">
        <f>IFERROR(__xludf.DUMMYFUNCTION("""COMPUTED_VALUE"""),"Completed")</f>
        <v>Completed</v>
      </c>
    </row>
    <row r="6166">
      <c r="A6166" s="9" t="str">
        <f>IFERROR(__xludf.DUMMYFUNCTION("""COMPUTED_VALUE"""),"G-REQ-06165")</f>
        <v>G-REQ-06165</v>
      </c>
      <c r="B6166" s="11">
        <f>IFERROR(__xludf.DUMMYFUNCTION("""COMPUTED_VALUE"""),46200.107163805194)</f>
        <v>46200.10716</v>
      </c>
      <c r="C6166" s="9">
        <f>IFERROR(__xludf.DUMMYFUNCTION("""COMPUTED_VALUE"""),23605.0)</f>
        <v>23605</v>
      </c>
      <c r="D6166" s="9" t="str">
        <f>IFERROR(__xludf.DUMMYFUNCTION("""COMPUTED_VALUE"""),"Completed")</f>
        <v>Completed</v>
      </c>
    </row>
    <row r="6167">
      <c r="A6167" s="9" t="str">
        <f>IFERROR(__xludf.DUMMYFUNCTION("""COMPUTED_VALUE"""),"G-REQ-06166")</f>
        <v>G-REQ-06166</v>
      </c>
      <c r="B6167" s="11">
        <f>IFERROR(__xludf.DUMMYFUNCTION("""COMPUTED_VALUE"""),46200.178338650614)</f>
        <v>46200.17834</v>
      </c>
      <c r="C6167" s="9">
        <f>IFERROR(__xludf.DUMMYFUNCTION("""COMPUTED_VALUE"""),23609.0)</f>
        <v>23609</v>
      </c>
      <c r="D6167" s="9" t="str">
        <f>IFERROR(__xludf.DUMMYFUNCTION("""COMPUTED_VALUE"""),"Completed")</f>
        <v>Completed</v>
      </c>
    </row>
    <row r="6168">
      <c r="A6168" s="9" t="str">
        <f>IFERROR(__xludf.DUMMYFUNCTION("""COMPUTED_VALUE"""),"G-REQ-06167")</f>
        <v>G-REQ-06167</v>
      </c>
      <c r="B6168" s="11">
        <f>IFERROR(__xludf.DUMMYFUNCTION("""COMPUTED_VALUE"""),46200.249513496026)</f>
        <v>46200.24951</v>
      </c>
      <c r="C6168" s="9">
        <f>IFERROR(__xludf.DUMMYFUNCTION("""COMPUTED_VALUE"""),23613.0)</f>
        <v>23613</v>
      </c>
      <c r="D6168" s="9" t="str">
        <f>IFERROR(__xludf.DUMMYFUNCTION("""COMPUTED_VALUE"""),"Completed")</f>
        <v>Completed</v>
      </c>
    </row>
    <row r="6169">
      <c r="A6169" s="9" t="str">
        <f>IFERROR(__xludf.DUMMYFUNCTION("""COMPUTED_VALUE"""),"G-REQ-06168")</f>
        <v>G-REQ-06168</v>
      </c>
      <c r="B6169" s="11">
        <f>IFERROR(__xludf.DUMMYFUNCTION("""COMPUTED_VALUE"""),46200.32068834144)</f>
        <v>46200.32069</v>
      </c>
      <c r="C6169" s="9">
        <f>IFERROR(__xludf.DUMMYFUNCTION("""COMPUTED_VALUE"""),23617.0)</f>
        <v>23617</v>
      </c>
      <c r="D6169" s="9" t="str">
        <f>IFERROR(__xludf.DUMMYFUNCTION("""COMPUTED_VALUE"""),"Completed")</f>
        <v>Completed</v>
      </c>
    </row>
    <row r="6170">
      <c r="A6170" s="9" t="str">
        <f>IFERROR(__xludf.DUMMYFUNCTION("""COMPUTED_VALUE"""),"G-REQ-06169")</f>
        <v>G-REQ-06169</v>
      </c>
      <c r="B6170" s="11">
        <f>IFERROR(__xludf.DUMMYFUNCTION("""COMPUTED_VALUE"""),46200.39186318686)</f>
        <v>46200.39186</v>
      </c>
      <c r="C6170" s="9">
        <f>IFERROR(__xludf.DUMMYFUNCTION("""COMPUTED_VALUE"""),23621.0)</f>
        <v>23621</v>
      </c>
      <c r="D6170" s="9" t="str">
        <f>IFERROR(__xludf.DUMMYFUNCTION("""COMPUTED_VALUE"""),"Completed")</f>
        <v>Completed</v>
      </c>
    </row>
    <row r="6171">
      <c r="A6171" s="9" t="str">
        <f>IFERROR(__xludf.DUMMYFUNCTION("""COMPUTED_VALUE"""),"G-REQ-06170")</f>
        <v>G-REQ-06170</v>
      </c>
      <c r="B6171" s="11">
        <f>IFERROR(__xludf.DUMMYFUNCTION("""COMPUTED_VALUE"""),46200.46303803228)</f>
        <v>46200.46304</v>
      </c>
      <c r="C6171" s="9">
        <f>IFERROR(__xludf.DUMMYFUNCTION("""COMPUTED_VALUE"""),23625.0)</f>
        <v>23625</v>
      </c>
      <c r="D6171" s="9" t="str">
        <f>IFERROR(__xludf.DUMMYFUNCTION("""COMPUTED_VALUE"""),"Completed")</f>
        <v>Completed</v>
      </c>
    </row>
    <row r="6172">
      <c r="A6172" s="9" t="str">
        <f>IFERROR(__xludf.DUMMYFUNCTION("""COMPUTED_VALUE"""),"G-REQ-06171")</f>
        <v>G-REQ-06171</v>
      </c>
      <c r="B6172" s="11">
        <f>IFERROR(__xludf.DUMMYFUNCTION("""COMPUTED_VALUE"""),46200.53421287768)</f>
        <v>46200.53421</v>
      </c>
      <c r="C6172" s="9">
        <f>IFERROR(__xludf.DUMMYFUNCTION("""COMPUTED_VALUE"""),23629.0)</f>
        <v>23629</v>
      </c>
      <c r="D6172" s="9" t="str">
        <f>IFERROR(__xludf.DUMMYFUNCTION("""COMPUTED_VALUE"""),"Completed")</f>
        <v>Completed</v>
      </c>
    </row>
    <row r="6173">
      <c r="A6173" s="9" t="str">
        <f>IFERROR(__xludf.DUMMYFUNCTION("""COMPUTED_VALUE"""),"G-REQ-06172")</f>
        <v>G-REQ-06172</v>
      </c>
      <c r="B6173" s="11">
        <f>IFERROR(__xludf.DUMMYFUNCTION("""COMPUTED_VALUE"""),46200.6053877231)</f>
        <v>46200.60539</v>
      </c>
      <c r="C6173" s="9">
        <f>IFERROR(__xludf.DUMMYFUNCTION("""COMPUTED_VALUE"""),23633.0)</f>
        <v>23633</v>
      </c>
      <c r="D6173" s="9" t="str">
        <f>IFERROR(__xludf.DUMMYFUNCTION("""COMPUTED_VALUE"""),"Completed")</f>
        <v>Completed</v>
      </c>
    </row>
    <row r="6174">
      <c r="A6174" s="9" t="str">
        <f>IFERROR(__xludf.DUMMYFUNCTION("""COMPUTED_VALUE"""),"G-REQ-06173")</f>
        <v>G-REQ-06173</v>
      </c>
      <c r="B6174" s="11">
        <f>IFERROR(__xludf.DUMMYFUNCTION("""COMPUTED_VALUE"""),46200.66961812407)</f>
        <v>46200.66962</v>
      </c>
      <c r="C6174" s="9">
        <f>IFERROR(__xludf.DUMMYFUNCTION("""COMPUTED_VALUE"""),23635.0)</f>
        <v>23635</v>
      </c>
      <c r="D6174" s="9" t="str">
        <f>IFERROR(__xludf.DUMMYFUNCTION("""COMPUTED_VALUE"""),"Rejected")</f>
        <v>Rejected</v>
      </c>
    </row>
    <row r="6175">
      <c r="A6175" s="9" t="str">
        <f>IFERROR(__xludf.DUMMYFUNCTION("""COMPUTED_VALUE"""),"G-REQ-06174")</f>
        <v>G-REQ-06174</v>
      </c>
      <c r="B6175" s="11">
        <f>IFERROR(__xludf.DUMMYFUNCTION("""COMPUTED_VALUE"""),46200.747737413934)</f>
        <v>46200.74774</v>
      </c>
      <c r="C6175" s="9">
        <f>IFERROR(__xludf.DUMMYFUNCTION("""COMPUTED_VALUE"""),23639.0)</f>
        <v>23639</v>
      </c>
      <c r="D6175" s="9" t="str">
        <f>IFERROR(__xludf.DUMMYFUNCTION("""COMPUTED_VALUE"""),"Completed")</f>
        <v>Completed</v>
      </c>
    </row>
    <row r="6176">
      <c r="A6176" s="9" t="str">
        <f>IFERROR(__xludf.DUMMYFUNCTION("""COMPUTED_VALUE"""),"G-REQ-06175")</f>
        <v>G-REQ-06175</v>
      </c>
      <c r="B6176" s="11">
        <f>IFERROR(__xludf.DUMMYFUNCTION("""COMPUTED_VALUE"""),46200.81891225935)</f>
        <v>46200.81891</v>
      </c>
      <c r="C6176" s="9">
        <f>IFERROR(__xludf.DUMMYFUNCTION("""COMPUTED_VALUE"""),23643.0)</f>
        <v>23643</v>
      </c>
      <c r="D6176" s="9" t="str">
        <f>IFERROR(__xludf.DUMMYFUNCTION("""COMPUTED_VALUE"""),"Completed")</f>
        <v>Completed</v>
      </c>
    </row>
    <row r="6177">
      <c r="A6177" s="9" t="str">
        <f>IFERROR(__xludf.DUMMYFUNCTION("""COMPUTED_VALUE"""),"G-REQ-06176")</f>
        <v>G-REQ-06176</v>
      </c>
      <c r="B6177" s="11">
        <f>IFERROR(__xludf.DUMMYFUNCTION("""COMPUTED_VALUE"""),46200.890087104766)</f>
        <v>46200.89009</v>
      </c>
      <c r="C6177" s="9">
        <f>IFERROR(__xludf.DUMMYFUNCTION("""COMPUTED_VALUE"""),23647.0)</f>
        <v>23647</v>
      </c>
      <c r="D6177" s="9" t="str">
        <f>IFERROR(__xludf.DUMMYFUNCTION("""COMPUTED_VALUE"""),"Completed")</f>
        <v>Completed</v>
      </c>
    </row>
    <row r="6178">
      <c r="A6178" s="9" t="str">
        <f>IFERROR(__xludf.DUMMYFUNCTION("""COMPUTED_VALUE"""),"G-REQ-06177")</f>
        <v>G-REQ-06177</v>
      </c>
      <c r="B6178" s="11">
        <f>IFERROR(__xludf.DUMMYFUNCTION("""COMPUTED_VALUE"""),46200.96126195017)</f>
        <v>46200.96126</v>
      </c>
      <c r="C6178" s="9">
        <f>IFERROR(__xludf.DUMMYFUNCTION("""COMPUTED_VALUE"""),23651.0)</f>
        <v>23651</v>
      </c>
      <c r="D6178" s="9" t="str">
        <f>IFERROR(__xludf.DUMMYFUNCTION("""COMPUTED_VALUE"""),"Completed")</f>
        <v>Completed</v>
      </c>
    </row>
    <row r="6179">
      <c r="A6179" s="9" t="str">
        <f>IFERROR(__xludf.DUMMYFUNCTION("""COMPUTED_VALUE"""),"G-REQ-06178")</f>
        <v>G-REQ-06178</v>
      </c>
      <c r="B6179" s="11">
        <f>IFERROR(__xludf.DUMMYFUNCTION("""COMPUTED_VALUE"""),46201.03243679559)</f>
        <v>46201.03244</v>
      </c>
      <c r="C6179" s="9">
        <f>IFERROR(__xludf.DUMMYFUNCTION("""COMPUTED_VALUE"""),23655.0)</f>
        <v>23655</v>
      </c>
      <c r="D6179" s="9" t="str">
        <f>IFERROR(__xludf.DUMMYFUNCTION("""COMPUTED_VALUE"""),"Completed")</f>
        <v>Completed</v>
      </c>
    </row>
    <row r="6180">
      <c r="A6180" s="9" t="str">
        <f>IFERROR(__xludf.DUMMYFUNCTION("""COMPUTED_VALUE"""),"G-REQ-06179")</f>
        <v>G-REQ-06179</v>
      </c>
      <c r="B6180" s="11">
        <f>IFERROR(__xludf.DUMMYFUNCTION("""COMPUTED_VALUE"""),46201.10361164101)</f>
        <v>46201.10361</v>
      </c>
      <c r="C6180" s="9">
        <f>IFERROR(__xludf.DUMMYFUNCTION("""COMPUTED_VALUE"""),23659.0)</f>
        <v>23659</v>
      </c>
      <c r="D6180" s="9" t="str">
        <f>IFERROR(__xludf.DUMMYFUNCTION("""COMPUTED_VALUE"""),"Completed")</f>
        <v>Completed</v>
      </c>
    </row>
    <row r="6181">
      <c r="A6181" s="9" t="str">
        <f>IFERROR(__xludf.DUMMYFUNCTION("""COMPUTED_VALUE"""),"G-REQ-06180")</f>
        <v>G-REQ-06180</v>
      </c>
      <c r="B6181" s="11">
        <f>IFERROR(__xludf.DUMMYFUNCTION("""COMPUTED_VALUE"""),46201.17478648642)</f>
        <v>46201.17479</v>
      </c>
      <c r="C6181" s="9">
        <f>IFERROR(__xludf.DUMMYFUNCTION("""COMPUTED_VALUE"""),23663.0)</f>
        <v>23663</v>
      </c>
      <c r="D6181" s="9" t="str">
        <f>IFERROR(__xludf.DUMMYFUNCTION("""COMPUTED_VALUE"""),"Completed")</f>
        <v>Completed</v>
      </c>
    </row>
    <row r="6182">
      <c r="A6182" s="9" t="str">
        <f>IFERROR(__xludf.DUMMYFUNCTION("""COMPUTED_VALUE"""),"G-REQ-06181")</f>
        <v>G-REQ-06181</v>
      </c>
      <c r="B6182" s="11">
        <f>IFERROR(__xludf.DUMMYFUNCTION("""COMPUTED_VALUE"""),46201.245961331835)</f>
        <v>46201.24596</v>
      </c>
      <c r="C6182" s="9">
        <f>IFERROR(__xludf.DUMMYFUNCTION("""COMPUTED_VALUE"""),23667.0)</f>
        <v>23667</v>
      </c>
      <c r="D6182" s="9" t="str">
        <f>IFERROR(__xludf.DUMMYFUNCTION("""COMPUTED_VALUE"""),"Completed")</f>
        <v>Completed</v>
      </c>
    </row>
    <row r="6183">
      <c r="A6183" s="9" t="str">
        <f>IFERROR(__xludf.DUMMYFUNCTION("""COMPUTED_VALUE"""),"G-REQ-06182")</f>
        <v>G-REQ-06182</v>
      </c>
      <c r="B6183" s="11">
        <f>IFERROR(__xludf.DUMMYFUNCTION("""COMPUTED_VALUE"""),46201.31019173281)</f>
        <v>46201.31019</v>
      </c>
      <c r="C6183" s="9">
        <f>IFERROR(__xludf.DUMMYFUNCTION("""COMPUTED_VALUE"""),23669.0)</f>
        <v>23669</v>
      </c>
      <c r="D6183" s="9" t="str">
        <f>IFERROR(__xludf.DUMMYFUNCTION("""COMPUTED_VALUE"""),"Rejected")</f>
        <v>Rejected</v>
      </c>
    </row>
    <row r="6184">
      <c r="A6184" s="9" t="str">
        <f>IFERROR(__xludf.DUMMYFUNCTION("""COMPUTED_VALUE"""),"G-REQ-06183")</f>
        <v>G-REQ-06183</v>
      </c>
      <c r="B6184" s="11">
        <f>IFERROR(__xludf.DUMMYFUNCTION("""COMPUTED_VALUE"""),46201.38831102267)</f>
        <v>46201.38831</v>
      </c>
      <c r="C6184" s="9">
        <f>IFERROR(__xludf.DUMMYFUNCTION("""COMPUTED_VALUE"""),23673.0)</f>
        <v>23673</v>
      </c>
      <c r="D6184" s="9" t="str">
        <f>IFERROR(__xludf.DUMMYFUNCTION("""COMPUTED_VALUE"""),"Completed")</f>
        <v>Completed</v>
      </c>
    </row>
    <row r="6185">
      <c r="A6185" s="9" t="str">
        <f>IFERROR(__xludf.DUMMYFUNCTION("""COMPUTED_VALUE"""),"G-REQ-06184")</f>
        <v>G-REQ-06184</v>
      </c>
      <c r="B6185" s="11">
        <f>IFERROR(__xludf.DUMMYFUNCTION("""COMPUTED_VALUE"""),46201.45948586808)</f>
        <v>46201.45949</v>
      </c>
      <c r="C6185" s="9">
        <f>IFERROR(__xludf.DUMMYFUNCTION("""COMPUTED_VALUE"""),23677.0)</f>
        <v>23677</v>
      </c>
      <c r="D6185" s="9" t="str">
        <f>IFERROR(__xludf.DUMMYFUNCTION("""COMPUTED_VALUE"""),"Completed")</f>
        <v>Completed</v>
      </c>
    </row>
    <row r="6186">
      <c r="A6186" s="9" t="str">
        <f>IFERROR(__xludf.DUMMYFUNCTION("""COMPUTED_VALUE"""),"G-REQ-06185")</f>
        <v>G-REQ-06185</v>
      </c>
      <c r="B6186" s="11">
        <f>IFERROR(__xludf.DUMMYFUNCTION("""COMPUTED_VALUE"""),46201.5306607135)</f>
        <v>46201.53066</v>
      </c>
      <c r="C6186" s="9">
        <f>IFERROR(__xludf.DUMMYFUNCTION("""COMPUTED_VALUE"""),23681.0)</f>
        <v>23681</v>
      </c>
      <c r="D6186" s="9" t="str">
        <f>IFERROR(__xludf.DUMMYFUNCTION("""COMPUTED_VALUE"""),"Completed")</f>
        <v>Completed</v>
      </c>
    </row>
    <row r="6187">
      <c r="A6187" s="9" t="str">
        <f>IFERROR(__xludf.DUMMYFUNCTION("""COMPUTED_VALUE"""),"G-REQ-06186")</f>
        <v>G-REQ-06186</v>
      </c>
      <c r="B6187" s="11">
        <f>IFERROR(__xludf.DUMMYFUNCTION("""COMPUTED_VALUE"""),46201.60183555892)</f>
        <v>46201.60184</v>
      </c>
      <c r="C6187" s="9">
        <f>IFERROR(__xludf.DUMMYFUNCTION("""COMPUTED_VALUE"""),23685.0)</f>
        <v>23685</v>
      </c>
      <c r="D6187" s="9" t="str">
        <f>IFERROR(__xludf.DUMMYFUNCTION("""COMPUTED_VALUE"""),"Completed")</f>
        <v>Completed</v>
      </c>
    </row>
    <row r="6188">
      <c r="A6188" s="9" t="str">
        <f>IFERROR(__xludf.DUMMYFUNCTION("""COMPUTED_VALUE"""),"G-REQ-06187")</f>
        <v>G-REQ-06187</v>
      </c>
      <c r="B6188" s="11">
        <f>IFERROR(__xludf.DUMMYFUNCTION("""COMPUTED_VALUE"""),46201.67301040432)</f>
        <v>46201.67301</v>
      </c>
      <c r="C6188" s="9">
        <f>IFERROR(__xludf.DUMMYFUNCTION("""COMPUTED_VALUE"""),23689.0)</f>
        <v>23689</v>
      </c>
      <c r="D6188" s="9" t="str">
        <f>IFERROR(__xludf.DUMMYFUNCTION("""COMPUTED_VALUE"""),"Completed")</f>
        <v>Completed</v>
      </c>
    </row>
    <row r="6189">
      <c r="A6189" s="9" t="str">
        <f>IFERROR(__xludf.DUMMYFUNCTION("""COMPUTED_VALUE"""),"G-REQ-06188")</f>
        <v>G-REQ-06188</v>
      </c>
      <c r="B6189" s="11">
        <f>IFERROR(__xludf.DUMMYFUNCTION("""COMPUTED_VALUE"""),46201.74418524974)</f>
        <v>46201.74419</v>
      </c>
      <c r="C6189" s="9">
        <f>IFERROR(__xludf.DUMMYFUNCTION("""COMPUTED_VALUE"""),23693.0)</f>
        <v>23693</v>
      </c>
      <c r="D6189" s="9" t="str">
        <f>IFERROR(__xludf.DUMMYFUNCTION("""COMPUTED_VALUE"""),"Completed")</f>
        <v>Completed</v>
      </c>
    </row>
    <row r="6190">
      <c r="A6190" s="9" t="str">
        <f>IFERROR(__xludf.DUMMYFUNCTION("""COMPUTED_VALUE"""),"G-REQ-06189")</f>
        <v>G-REQ-06189</v>
      </c>
      <c r="B6190" s="11">
        <f>IFERROR(__xludf.DUMMYFUNCTION("""COMPUTED_VALUE"""),46201.81536009516)</f>
        <v>46201.81536</v>
      </c>
      <c r="C6190" s="9">
        <f>IFERROR(__xludf.DUMMYFUNCTION("""COMPUTED_VALUE"""),23697.0)</f>
        <v>23697</v>
      </c>
      <c r="D6190" s="9" t="str">
        <f>IFERROR(__xludf.DUMMYFUNCTION("""COMPUTED_VALUE"""),"Completed")</f>
        <v>Completed</v>
      </c>
    </row>
    <row r="6191">
      <c r="A6191" s="9" t="str">
        <f>IFERROR(__xludf.DUMMYFUNCTION("""COMPUTED_VALUE"""),"G-REQ-06190")</f>
        <v>G-REQ-06190</v>
      </c>
      <c r="B6191" s="11">
        <f>IFERROR(__xludf.DUMMYFUNCTION("""COMPUTED_VALUE"""),46201.886534940575)</f>
        <v>46201.88653</v>
      </c>
      <c r="C6191" s="9">
        <f>IFERROR(__xludf.DUMMYFUNCTION("""COMPUTED_VALUE"""),23701.0)</f>
        <v>23701</v>
      </c>
      <c r="D6191" s="9" t="str">
        <f>IFERROR(__xludf.DUMMYFUNCTION("""COMPUTED_VALUE"""),"Completed")</f>
        <v>Completed</v>
      </c>
    </row>
    <row r="6192">
      <c r="A6192" s="9" t="str">
        <f>IFERROR(__xludf.DUMMYFUNCTION("""COMPUTED_VALUE"""),"G-REQ-06191")</f>
        <v>G-REQ-06191</v>
      </c>
      <c r="B6192" s="11">
        <f>IFERROR(__xludf.DUMMYFUNCTION("""COMPUTED_VALUE"""),46201.95770978599)</f>
        <v>46201.95771</v>
      </c>
      <c r="C6192" s="9">
        <f>IFERROR(__xludf.DUMMYFUNCTION("""COMPUTED_VALUE"""),23705.0)</f>
        <v>23705</v>
      </c>
      <c r="D6192" s="9" t="str">
        <f>IFERROR(__xludf.DUMMYFUNCTION("""COMPUTED_VALUE"""),"Completed")</f>
        <v>Completed</v>
      </c>
    </row>
    <row r="6193">
      <c r="A6193" s="9" t="str">
        <f>IFERROR(__xludf.DUMMYFUNCTION("""COMPUTED_VALUE"""),"G-REQ-06192")</f>
        <v>G-REQ-06192</v>
      </c>
      <c r="B6193" s="11">
        <f>IFERROR(__xludf.DUMMYFUNCTION("""COMPUTED_VALUE"""),46202.02194018696)</f>
        <v>46202.02194</v>
      </c>
      <c r="C6193" s="9">
        <f>IFERROR(__xludf.DUMMYFUNCTION("""COMPUTED_VALUE"""),23707.0)</f>
        <v>23707</v>
      </c>
      <c r="D6193" s="9" t="str">
        <f>IFERROR(__xludf.DUMMYFUNCTION("""COMPUTED_VALUE"""),"Rejected")</f>
        <v>Rejected</v>
      </c>
    </row>
    <row r="6194">
      <c r="A6194" s="9" t="str">
        <f>IFERROR(__xludf.DUMMYFUNCTION("""COMPUTED_VALUE"""),"G-REQ-06193")</f>
        <v>G-REQ-06193</v>
      </c>
      <c r="B6194" s="11">
        <f>IFERROR(__xludf.DUMMYFUNCTION("""COMPUTED_VALUE"""),46202.10005947682)</f>
        <v>46202.10006</v>
      </c>
      <c r="C6194" s="9">
        <f>IFERROR(__xludf.DUMMYFUNCTION("""COMPUTED_VALUE"""),23711.0)</f>
        <v>23711</v>
      </c>
      <c r="D6194" s="9" t="str">
        <f>IFERROR(__xludf.DUMMYFUNCTION("""COMPUTED_VALUE"""),"Completed")</f>
        <v>Completed</v>
      </c>
    </row>
    <row r="6195">
      <c r="A6195" s="9" t="str">
        <f>IFERROR(__xludf.DUMMYFUNCTION("""COMPUTED_VALUE"""),"G-REQ-06194")</f>
        <v>G-REQ-06194</v>
      </c>
      <c r="B6195" s="11">
        <f>IFERROR(__xludf.DUMMYFUNCTION("""COMPUTED_VALUE"""),46202.17123432223)</f>
        <v>46202.17123</v>
      </c>
      <c r="C6195" s="9">
        <f>IFERROR(__xludf.DUMMYFUNCTION("""COMPUTED_VALUE"""),23715.0)</f>
        <v>23715</v>
      </c>
      <c r="D6195" s="9" t="str">
        <f>IFERROR(__xludf.DUMMYFUNCTION("""COMPUTED_VALUE"""),"Completed")</f>
        <v>Completed</v>
      </c>
    </row>
    <row r="6196">
      <c r="A6196" s="9" t="str">
        <f>IFERROR(__xludf.DUMMYFUNCTION("""COMPUTED_VALUE"""),"G-REQ-06195")</f>
        <v>G-REQ-06195</v>
      </c>
      <c r="B6196" s="11">
        <f>IFERROR(__xludf.DUMMYFUNCTION("""COMPUTED_VALUE"""),46202.24240916765)</f>
        <v>46202.24241</v>
      </c>
      <c r="C6196" s="9">
        <f>IFERROR(__xludf.DUMMYFUNCTION("""COMPUTED_VALUE"""),23719.0)</f>
        <v>23719</v>
      </c>
      <c r="D6196" s="9" t="str">
        <f>IFERROR(__xludf.DUMMYFUNCTION("""COMPUTED_VALUE"""),"Completed")</f>
        <v>Completed</v>
      </c>
    </row>
    <row r="6197">
      <c r="A6197" s="9" t="str">
        <f>IFERROR(__xludf.DUMMYFUNCTION("""COMPUTED_VALUE"""),"G-REQ-06196")</f>
        <v>G-REQ-06196</v>
      </c>
      <c r="B6197" s="11">
        <f>IFERROR(__xludf.DUMMYFUNCTION("""COMPUTED_VALUE"""),46202.31358401306)</f>
        <v>46202.31358</v>
      </c>
      <c r="C6197" s="9">
        <f>IFERROR(__xludf.DUMMYFUNCTION("""COMPUTED_VALUE"""),23723.0)</f>
        <v>23723</v>
      </c>
      <c r="D6197" s="9" t="str">
        <f>IFERROR(__xludf.DUMMYFUNCTION("""COMPUTED_VALUE"""),"Completed")</f>
        <v>Completed</v>
      </c>
    </row>
    <row r="6198">
      <c r="A6198" s="9" t="str">
        <f>IFERROR(__xludf.DUMMYFUNCTION("""COMPUTED_VALUE"""),"G-REQ-06197")</f>
        <v>G-REQ-06197</v>
      </c>
      <c r="B6198" s="11">
        <f>IFERROR(__xludf.DUMMYFUNCTION("""COMPUTED_VALUE"""),46202.384758858476)</f>
        <v>46202.38476</v>
      </c>
      <c r="C6198" s="9">
        <f>IFERROR(__xludf.DUMMYFUNCTION("""COMPUTED_VALUE"""),23727.0)</f>
        <v>23727</v>
      </c>
      <c r="D6198" s="9" t="str">
        <f>IFERROR(__xludf.DUMMYFUNCTION("""COMPUTED_VALUE"""),"Completed")</f>
        <v>Completed</v>
      </c>
    </row>
    <row r="6199">
      <c r="A6199" s="9" t="str">
        <f>IFERROR(__xludf.DUMMYFUNCTION("""COMPUTED_VALUE"""),"G-REQ-06198")</f>
        <v>G-REQ-06198</v>
      </c>
      <c r="B6199" s="11">
        <f>IFERROR(__xludf.DUMMYFUNCTION("""COMPUTED_VALUE"""),46202.455933703895)</f>
        <v>46202.45593</v>
      </c>
      <c r="C6199" s="9">
        <f>IFERROR(__xludf.DUMMYFUNCTION("""COMPUTED_VALUE"""),23731.0)</f>
        <v>23731</v>
      </c>
      <c r="D6199" s="9" t="str">
        <f>IFERROR(__xludf.DUMMYFUNCTION("""COMPUTED_VALUE"""),"Completed")</f>
        <v>Completed</v>
      </c>
    </row>
    <row r="6200">
      <c r="A6200" s="9" t="str">
        <f>IFERROR(__xludf.DUMMYFUNCTION("""COMPUTED_VALUE"""),"G-REQ-06199")</f>
        <v>G-REQ-06199</v>
      </c>
      <c r="B6200" s="11">
        <f>IFERROR(__xludf.DUMMYFUNCTION("""COMPUTED_VALUE"""),46202.52710854931)</f>
        <v>46202.52711</v>
      </c>
      <c r="C6200" s="9">
        <f>IFERROR(__xludf.DUMMYFUNCTION("""COMPUTED_VALUE"""),23735.0)</f>
        <v>23735</v>
      </c>
      <c r="D6200" s="9" t="str">
        <f>IFERROR(__xludf.DUMMYFUNCTION("""COMPUTED_VALUE"""),"Completed")</f>
        <v>Completed</v>
      </c>
    </row>
    <row r="6201">
      <c r="A6201" s="9" t="str">
        <f>IFERROR(__xludf.DUMMYFUNCTION("""COMPUTED_VALUE"""),"G-REQ-06200")</f>
        <v>G-REQ-06200</v>
      </c>
      <c r="B6201" s="11">
        <f>IFERROR(__xludf.DUMMYFUNCTION("""COMPUTED_VALUE"""),46202.59828339472)</f>
        <v>46202.59828</v>
      </c>
      <c r="C6201" s="9">
        <f>IFERROR(__xludf.DUMMYFUNCTION("""COMPUTED_VALUE"""),23739.0)</f>
        <v>23739</v>
      </c>
      <c r="D6201" s="9" t="str">
        <f>IFERROR(__xludf.DUMMYFUNCTION("""COMPUTED_VALUE"""),"Completed")</f>
        <v>Completed</v>
      </c>
    </row>
    <row r="6202">
      <c r="A6202" s="9" t="str">
        <f>IFERROR(__xludf.DUMMYFUNCTION("""COMPUTED_VALUE"""),"G-REQ-06201")</f>
        <v>G-REQ-06201</v>
      </c>
      <c r="B6202" s="11">
        <f>IFERROR(__xludf.DUMMYFUNCTION("""COMPUTED_VALUE"""),46202.66945824014)</f>
        <v>46202.66946</v>
      </c>
      <c r="C6202" s="9">
        <f>IFERROR(__xludf.DUMMYFUNCTION("""COMPUTED_VALUE"""),23743.0)</f>
        <v>23743</v>
      </c>
      <c r="D6202" s="9" t="str">
        <f>IFERROR(__xludf.DUMMYFUNCTION("""COMPUTED_VALUE"""),"Completed")</f>
        <v>Completed</v>
      </c>
    </row>
    <row r="6203">
      <c r="A6203" s="9" t="str">
        <f>IFERROR(__xludf.DUMMYFUNCTION("""COMPUTED_VALUE"""),"G-REQ-06202")</f>
        <v>G-REQ-06202</v>
      </c>
      <c r="B6203" s="11">
        <f>IFERROR(__xludf.DUMMYFUNCTION("""COMPUTED_VALUE"""),46202.733688641114)</f>
        <v>46202.73369</v>
      </c>
      <c r="C6203" s="9">
        <f>IFERROR(__xludf.DUMMYFUNCTION("""COMPUTED_VALUE"""),23745.0)</f>
        <v>23745</v>
      </c>
      <c r="D6203" s="9" t="str">
        <f>IFERROR(__xludf.DUMMYFUNCTION("""COMPUTED_VALUE"""),"Rejected")</f>
        <v>Rejected</v>
      </c>
    </row>
    <row r="6204">
      <c r="A6204" s="9" t="str">
        <f>IFERROR(__xludf.DUMMYFUNCTION("""COMPUTED_VALUE"""),"G-REQ-06203")</f>
        <v>G-REQ-06203</v>
      </c>
      <c r="B6204" s="11">
        <f>IFERROR(__xludf.DUMMYFUNCTION("""COMPUTED_VALUE"""),46202.811807930964)</f>
        <v>46202.81181</v>
      </c>
      <c r="C6204" s="9">
        <f>IFERROR(__xludf.DUMMYFUNCTION("""COMPUTED_VALUE"""),23749.0)</f>
        <v>23749</v>
      </c>
      <c r="D6204" s="9" t="str">
        <f>IFERROR(__xludf.DUMMYFUNCTION("""COMPUTED_VALUE"""),"Completed")</f>
        <v>Completed</v>
      </c>
    </row>
    <row r="6205">
      <c r="A6205" s="9" t="str">
        <f>IFERROR(__xludf.DUMMYFUNCTION("""COMPUTED_VALUE"""),"G-REQ-06204")</f>
        <v>G-REQ-06204</v>
      </c>
      <c r="B6205" s="11">
        <f>IFERROR(__xludf.DUMMYFUNCTION("""COMPUTED_VALUE"""),46202.882982776384)</f>
        <v>46202.88298</v>
      </c>
      <c r="C6205" s="9">
        <f>IFERROR(__xludf.DUMMYFUNCTION("""COMPUTED_VALUE"""),23753.0)</f>
        <v>23753</v>
      </c>
      <c r="D6205" s="9" t="str">
        <f>IFERROR(__xludf.DUMMYFUNCTION("""COMPUTED_VALUE"""),"Completed")</f>
        <v>Completed</v>
      </c>
    </row>
    <row r="6206">
      <c r="A6206" s="9" t="str">
        <f>IFERROR(__xludf.DUMMYFUNCTION("""COMPUTED_VALUE"""),"G-REQ-06205")</f>
        <v>G-REQ-06205</v>
      </c>
      <c r="B6206" s="11">
        <f>IFERROR(__xludf.DUMMYFUNCTION("""COMPUTED_VALUE"""),46202.9541576218)</f>
        <v>46202.95416</v>
      </c>
      <c r="C6206" s="9">
        <f>IFERROR(__xludf.DUMMYFUNCTION("""COMPUTED_VALUE"""),23757.0)</f>
        <v>23757</v>
      </c>
      <c r="D6206" s="9" t="str">
        <f>IFERROR(__xludf.DUMMYFUNCTION("""COMPUTED_VALUE"""),"Completed")</f>
        <v>Completed</v>
      </c>
    </row>
    <row r="6207">
      <c r="A6207" s="9" t="str">
        <f>IFERROR(__xludf.DUMMYFUNCTION("""COMPUTED_VALUE"""),"G-REQ-06206")</f>
        <v>G-REQ-06206</v>
      </c>
      <c r="B6207" s="11">
        <f>IFERROR(__xludf.DUMMYFUNCTION("""COMPUTED_VALUE"""),46203.025332467216)</f>
        <v>46203.02533</v>
      </c>
      <c r="C6207" s="9">
        <f>IFERROR(__xludf.DUMMYFUNCTION("""COMPUTED_VALUE"""),23761.0)</f>
        <v>23761</v>
      </c>
      <c r="D6207" s="9" t="str">
        <f>IFERROR(__xludf.DUMMYFUNCTION("""COMPUTED_VALUE"""),"Completed")</f>
        <v>Completed</v>
      </c>
    </row>
    <row r="6208">
      <c r="A6208" s="9" t="str">
        <f>IFERROR(__xludf.DUMMYFUNCTION("""COMPUTED_VALUE"""),"G-REQ-06207")</f>
        <v>G-REQ-06207</v>
      </c>
      <c r="B6208" s="11">
        <f>IFERROR(__xludf.DUMMYFUNCTION("""COMPUTED_VALUE"""),46203.09650731263)</f>
        <v>46203.09651</v>
      </c>
      <c r="C6208" s="9">
        <f>IFERROR(__xludf.DUMMYFUNCTION("""COMPUTED_VALUE"""),23765.0)</f>
        <v>23765</v>
      </c>
      <c r="D6208" s="9" t="str">
        <f>IFERROR(__xludf.DUMMYFUNCTION("""COMPUTED_VALUE"""),"Completed")</f>
        <v>Completed</v>
      </c>
    </row>
    <row r="6209">
      <c r="A6209" s="9" t="str">
        <f>IFERROR(__xludf.DUMMYFUNCTION("""COMPUTED_VALUE"""),"G-REQ-06208")</f>
        <v>G-REQ-06208</v>
      </c>
      <c r="B6209" s="11">
        <f>IFERROR(__xludf.DUMMYFUNCTION("""COMPUTED_VALUE"""),46203.16768215805)</f>
        <v>46203.16768</v>
      </c>
      <c r="C6209" s="9">
        <f>IFERROR(__xludf.DUMMYFUNCTION("""COMPUTED_VALUE"""),23769.0)</f>
        <v>23769</v>
      </c>
      <c r="D6209" s="9" t="str">
        <f>IFERROR(__xludf.DUMMYFUNCTION("""COMPUTED_VALUE"""),"Completed")</f>
        <v>Completed</v>
      </c>
    </row>
    <row r="6210">
      <c r="A6210" s="9" t="str">
        <f>IFERROR(__xludf.DUMMYFUNCTION("""COMPUTED_VALUE"""),"G-REQ-06209")</f>
        <v>G-REQ-06209</v>
      </c>
      <c r="B6210" s="11">
        <f>IFERROR(__xludf.DUMMYFUNCTION("""COMPUTED_VALUE"""),46203.23885700346)</f>
        <v>46203.23886</v>
      </c>
      <c r="C6210" s="9">
        <f>IFERROR(__xludf.DUMMYFUNCTION("""COMPUTED_VALUE"""),23773.0)</f>
        <v>23773</v>
      </c>
      <c r="D6210" s="9" t="str">
        <f>IFERROR(__xludf.DUMMYFUNCTION("""COMPUTED_VALUE"""),"Completed")</f>
        <v>Completed</v>
      </c>
    </row>
    <row r="6211">
      <c r="A6211" s="9" t="str">
        <f>IFERROR(__xludf.DUMMYFUNCTION("""COMPUTED_VALUE"""),"G-REQ-06210")</f>
        <v>G-REQ-06210</v>
      </c>
      <c r="B6211" s="11">
        <f>IFERROR(__xludf.DUMMYFUNCTION("""COMPUTED_VALUE"""),46203.31003184887)</f>
        <v>46203.31003</v>
      </c>
      <c r="C6211" s="9">
        <f>IFERROR(__xludf.DUMMYFUNCTION("""COMPUTED_VALUE"""),23777.0)</f>
        <v>23777</v>
      </c>
      <c r="D6211" s="9" t="str">
        <f>IFERROR(__xludf.DUMMYFUNCTION("""COMPUTED_VALUE"""),"Completed")</f>
        <v>Completed</v>
      </c>
    </row>
    <row r="6212">
      <c r="A6212" s="9" t="str">
        <f>IFERROR(__xludf.DUMMYFUNCTION("""COMPUTED_VALUE"""),"G-REQ-06211")</f>
        <v>G-REQ-06211</v>
      </c>
      <c r="B6212" s="11">
        <f>IFERROR(__xludf.DUMMYFUNCTION("""COMPUTED_VALUE"""),46203.38120669429)</f>
        <v>46203.38121</v>
      </c>
      <c r="C6212" s="9">
        <f>IFERROR(__xludf.DUMMYFUNCTION("""COMPUTED_VALUE"""),23781.0)</f>
        <v>23781</v>
      </c>
      <c r="D6212" s="9" t="str">
        <f>IFERROR(__xludf.DUMMYFUNCTION("""COMPUTED_VALUE"""),"Completed")</f>
        <v>Completed</v>
      </c>
    </row>
    <row r="6213">
      <c r="A6213" s="9" t="str">
        <f>IFERROR(__xludf.DUMMYFUNCTION("""COMPUTED_VALUE"""),"G-REQ-06212")</f>
        <v>G-REQ-06212</v>
      </c>
      <c r="B6213" s="11">
        <f>IFERROR(__xludf.DUMMYFUNCTION("""COMPUTED_VALUE"""),46203.452381539704)</f>
        <v>46203.45238</v>
      </c>
      <c r="C6213" s="9">
        <f>IFERROR(__xludf.DUMMYFUNCTION("""COMPUTED_VALUE"""),23785.0)</f>
        <v>23785</v>
      </c>
      <c r="D6213" s="9" t="str">
        <f>IFERROR(__xludf.DUMMYFUNCTION("""COMPUTED_VALUE"""),"Completed")</f>
        <v>Completed</v>
      </c>
    </row>
    <row r="6214">
      <c r="A6214" s="9" t="str">
        <f>IFERROR(__xludf.DUMMYFUNCTION("""COMPUTED_VALUE"""),"G-REQ-06213")</f>
        <v>G-REQ-06213</v>
      </c>
      <c r="B6214" s="11">
        <f>IFERROR(__xludf.DUMMYFUNCTION("""COMPUTED_VALUE"""),46203.52355638512)</f>
        <v>46203.52356</v>
      </c>
      <c r="C6214" s="9">
        <f>IFERROR(__xludf.DUMMYFUNCTION("""COMPUTED_VALUE"""),23789.0)</f>
        <v>23789</v>
      </c>
      <c r="D6214" s="9" t="str">
        <f>IFERROR(__xludf.DUMMYFUNCTION("""COMPUTED_VALUE"""),"Completed")</f>
        <v>Completed</v>
      </c>
    </row>
    <row r="6215">
      <c r="A6215" s="9" t="str">
        <f>IFERROR(__xludf.DUMMYFUNCTION("""COMPUTED_VALUE"""),"G-REQ-06214")</f>
        <v>G-REQ-06214</v>
      </c>
      <c r="B6215" s="11">
        <f>IFERROR(__xludf.DUMMYFUNCTION("""COMPUTED_VALUE"""),46203.594731230536)</f>
        <v>46203.59473</v>
      </c>
      <c r="C6215" s="9">
        <f>IFERROR(__xludf.DUMMYFUNCTION("""COMPUTED_VALUE"""),23793.0)</f>
        <v>23793</v>
      </c>
      <c r="D6215" s="9" t="str">
        <f>IFERROR(__xludf.DUMMYFUNCTION("""COMPUTED_VALUE"""),"Completed")</f>
        <v>Completed</v>
      </c>
    </row>
    <row r="6216">
      <c r="A6216" s="9" t="str">
        <f>IFERROR(__xludf.DUMMYFUNCTION("""COMPUTED_VALUE"""),"G-REQ-06215")</f>
        <v>G-REQ-06215</v>
      </c>
      <c r="B6216" s="11">
        <f>IFERROR(__xludf.DUMMYFUNCTION("""COMPUTED_VALUE"""),46203.66590607595)</f>
        <v>46203.66591</v>
      </c>
      <c r="C6216" s="9">
        <f>IFERROR(__xludf.DUMMYFUNCTION("""COMPUTED_VALUE"""),23797.0)</f>
        <v>23797</v>
      </c>
      <c r="D6216" s="9" t="str">
        <f>IFERROR(__xludf.DUMMYFUNCTION("""COMPUTED_VALUE"""),"Completed")</f>
        <v>Completed</v>
      </c>
    </row>
    <row r="6217">
      <c r="A6217" s="9" t="str">
        <f>IFERROR(__xludf.DUMMYFUNCTION("""COMPUTED_VALUE"""),"G-REQ-06216")</f>
        <v>G-REQ-06216</v>
      </c>
      <c r="B6217" s="11">
        <f>IFERROR(__xludf.DUMMYFUNCTION("""COMPUTED_VALUE"""),46203.73708092136)</f>
        <v>46203.73708</v>
      </c>
      <c r="C6217" s="9">
        <f>IFERROR(__xludf.DUMMYFUNCTION("""COMPUTED_VALUE"""),23801.0)</f>
        <v>23801</v>
      </c>
      <c r="D6217" s="9" t="str">
        <f>IFERROR(__xludf.DUMMYFUNCTION("""COMPUTED_VALUE"""),"Completed")</f>
        <v>Completed</v>
      </c>
    </row>
    <row r="6218">
      <c r="A6218" s="9" t="str">
        <f>IFERROR(__xludf.DUMMYFUNCTION("""COMPUTED_VALUE"""),"G-REQ-06217")</f>
        <v>G-REQ-06217</v>
      </c>
      <c r="B6218" s="11">
        <f>IFERROR(__xludf.DUMMYFUNCTION("""COMPUTED_VALUE"""),46203.80825576678)</f>
        <v>46203.80826</v>
      </c>
      <c r="C6218" s="9">
        <f>IFERROR(__xludf.DUMMYFUNCTION("""COMPUTED_VALUE"""),23805.0)</f>
        <v>23805</v>
      </c>
      <c r="D6218" s="9" t="str">
        <f>IFERROR(__xludf.DUMMYFUNCTION("""COMPUTED_VALUE"""),"Completed")</f>
        <v>Completed</v>
      </c>
    </row>
    <row r="6219">
      <c r="A6219" s="9" t="str">
        <f>IFERROR(__xludf.DUMMYFUNCTION("""COMPUTED_VALUE"""),"G-REQ-06218")</f>
        <v>G-REQ-06218</v>
      </c>
      <c r="B6219" s="11">
        <f>IFERROR(__xludf.DUMMYFUNCTION("""COMPUTED_VALUE"""),46203.8794306122)</f>
        <v>46203.87943</v>
      </c>
      <c r="C6219" s="9">
        <f>IFERROR(__xludf.DUMMYFUNCTION("""COMPUTED_VALUE"""),23809.0)</f>
        <v>23809</v>
      </c>
      <c r="D6219" s="9" t="str">
        <f>IFERROR(__xludf.DUMMYFUNCTION("""COMPUTED_VALUE"""),"Completed")</f>
        <v>Completed</v>
      </c>
    </row>
    <row r="6220">
      <c r="A6220" s="9" t="str">
        <f>IFERROR(__xludf.DUMMYFUNCTION("""COMPUTED_VALUE"""),"G-REQ-06219")</f>
        <v>G-REQ-06219</v>
      </c>
      <c r="B6220" s="11">
        <f>IFERROR(__xludf.DUMMYFUNCTION("""COMPUTED_VALUE"""),46203.950605457605)</f>
        <v>46203.95061</v>
      </c>
      <c r="C6220" s="9">
        <f>IFERROR(__xludf.DUMMYFUNCTION("""COMPUTED_VALUE"""),23813.0)</f>
        <v>23813</v>
      </c>
      <c r="D6220" s="9" t="str">
        <f>IFERROR(__xludf.DUMMYFUNCTION("""COMPUTED_VALUE"""),"Completed")</f>
        <v>Completed</v>
      </c>
    </row>
    <row r="6221">
      <c r="A6221" s="9" t="str">
        <f>IFERROR(__xludf.DUMMYFUNCTION("""COMPUTED_VALUE"""),"G-REQ-06220")</f>
        <v>G-REQ-06220</v>
      </c>
      <c r="B6221" s="11">
        <f>IFERROR(__xludf.DUMMYFUNCTION("""COMPUTED_VALUE"""),46204.021780303025)</f>
        <v>46204.02178</v>
      </c>
      <c r="C6221" s="9">
        <f>IFERROR(__xludf.DUMMYFUNCTION("""COMPUTED_VALUE"""),23817.0)</f>
        <v>23817</v>
      </c>
      <c r="D6221" s="9" t="str">
        <f>IFERROR(__xludf.DUMMYFUNCTION("""COMPUTED_VALUE"""),"Completed")</f>
        <v>Completed</v>
      </c>
    </row>
    <row r="6222">
      <c r="A6222" s="9" t="str">
        <f>IFERROR(__xludf.DUMMYFUNCTION("""COMPUTED_VALUE"""),"G-REQ-06221")</f>
        <v>G-REQ-06221</v>
      </c>
      <c r="B6222" s="11">
        <f>IFERROR(__xludf.DUMMYFUNCTION("""COMPUTED_VALUE"""),46204.092955148444)</f>
        <v>46204.09296</v>
      </c>
      <c r="C6222" s="9">
        <f>IFERROR(__xludf.DUMMYFUNCTION("""COMPUTED_VALUE"""),23821.0)</f>
        <v>23821</v>
      </c>
      <c r="D6222" s="9" t="str">
        <f>IFERROR(__xludf.DUMMYFUNCTION("""COMPUTED_VALUE"""),"Completed")</f>
        <v>Completed</v>
      </c>
    </row>
    <row r="6223">
      <c r="A6223" s="9" t="str">
        <f>IFERROR(__xludf.DUMMYFUNCTION("""COMPUTED_VALUE"""),"G-REQ-06222")</f>
        <v>G-REQ-06222</v>
      </c>
      <c r="B6223" s="11">
        <f>IFERROR(__xludf.DUMMYFUNCTION("""COMPUTED_VALUE"""),46204.16412999386)</f>
        <v>46204.16413</v>
      </c>
      <c r="C6223" s="9">
        <f>IFERROR(__xludf.DUMMYFUNCTION("""COMPUTED_VALUE"""),23825.0)</f>
        <v>23825</v>
      </c>
      <c r="D6223" s="9" t="str">
        <f>IFERROR(__xludf.DUMMYFUNCTION("""COMPUTED_VALUE"""),"Completed")</f>
        <v>Completed</v>
      </c>
    </row>
    <row r="6224">
      <c r="A6224" s="9" t="str">
        <f>IFERROR(__xludf.DUMMYFUNCTION("""COMPUTED_VALUE"""),"G-REQ-06223")</f>
        <v>G-REQ-06223</v>
      </c>
      <c r="B6224" s="11">
        <f>IFERROR(__xludf.DUMMYFUNCTION("""COMPUTED_VALUE"""),46204.23530483927)</f>
        <v>46204.2353</v>
      </c>
      <c r="C6224" s="9">
        <f>IFERROR(__xludf.DUMMYFUNCTION("""COMPUTED_VALUE"""),23829.0)</f>
        <v>23829</v>
      </c>
      <c r="D6224" s="9" t="str">
        <f>IFERROR(__xludf.DUMMYFUNCTION("""COMPUTED_VALUE"""),"Completed")</f>
        <v>Completed</v>
      </c>
    </row>
    <row r="6225">
      <c r="A6225" s="9" t="str">
        <f>IFERROR(__xludf.DUMMYFUNCTION("""COMPUTED_VALUE"""),"G-REQ-06224")</f>
        <v>G-REQ-06224</v>
      </c>
      <c r="B6225" s="11">
        <f>IFERROR(__xludf.DUMMYFUNCTION("""COMPUTED_VALUE"""),46204.30647968469)</f>
        <v>46204.30648</v>
      </c>
      <c r="C6225" s="9">
        <f>IFERROR(__xludf.DUMMYFUNCTION("""COMPUTED_VALUE"""),23833.0)</f>
        <v>23833</v>
      </c>
      <c r="D6225" s="9" t="str">
        <f>IFERROR(__xludf.DUMMYFUNCTION("""COMPUTED_VALUE"""),"Completed")</f>
        <v>Completed</v>
      </c>
    </row>
    <row r="6226">
      <c r="A6226" s="9" t="str">
        <f>IFERROR(__xludf.DUMMYFUNCTION("""COMPUTED_VALUE"""),"G-REQ-06225")</f>
        <v>G-REQ-06225</v>
      </c>
      <c r="B6226" s="11">
        <f>IFERROR(__xludf.DUMMYFUNCTION("""COMPUTED_VALUE"""),46204.3776545301)</f>
        <v>46204.37765</v>
      </c>
      <c r="C6226" s="9">
        <f>IFERROR(__xludf.DUMMYFUNCTION("""COMPUTED_VALUE"""),23837.0)</f>
        <v>23837</v>
      </c>
      <c r="D6226" s="9" t="str">
        <f>IFERROR(__xludf.DUMMYFUNCTION("""COMPUTED_VALUE"""),"Completed")</f>
        <v>Completed</v>
      </c>
    </row>
    <row r="6227">
      <c r="A6227" s="9" t="str">
        <f>IFERROR(__xludf.DUMMYFUNCTION("""COMPUTED_VALUE"""),"G-REQ-06226")</f>
        <v>G-REQ-06226</v>
      </c>
      <c r="B6227" s="11">
        <f>IFERROR(__xludf.DUMMYFUNCTION("""COMPUTED_VALUE"""),46204.44882937551)</f>
        <v>46204.44883</v>
      </c>
      <c r="C6227" s="9">
        <f>IFERROR(__xludf.DUMMYFUNCTION("""COMPUTED_VALUE"""),23841.0)</f>
        <v>23841</v>
      </c>
      <c r="D6227" s="9" t="str">
        <f>IFERROR(__xludf.DUMMYFUNCTION("""COMPUTED_VALUE"""),"Completed")</f>
        <v>Completed</v>
      </c>
    </row>
    <row r="6228">
      <c r="A6228" s="9" t="str">
        <f>IFERROR(__xludf.DUMMYFUNCTION("""COMPUTED_VALUE"""),"G-REQ-06227")</f>
        <v>G-REQ-06227</v>
      </c>
      <c r="B6228" s="11">
        <f>IFERROR(__xludf.DUMMYFUNCTION("""COMPUTED_VALUE"""),46204.52000422093)</f>
        <v>46204.52</v>
      </c>
      <c r="C6228" s="9">
        <f>IFERROR(__xludf.DUMMYFUNCTION("""COMPUTED_VALUE"""),23845.0)</f>
        <v>23845</v>
      </c>
      <c r="D6228" s="9" t="str">
        <f>IFERROR(__xludf.DUMMYFUNCTION("""COMPUTED_VALUE"""),"Completed")</f>
        <v>Completed</v>
      </c>
    </row>
    <row r="6229">
      <c r="A6229" s="9" t="str">
        <f>IFERROR(__xludf.DUMMYFUNCTION("""COMPUTED_VALUE"""),"G-REQ-06228")</f>
        <v>G-REQ-06228</v>
      </c>
      <c r="B6229" s="11">
        <f>IFERROR(__xludf.DUMMYFUNCTION("""COMPUTED_VALUE"""),46204.591179066345)</f>
        <v>46204.59118</v>
      </c>
      <c r="C6229" s="9">
        <f>IFERROR(__xludf.DUMMYFUNCTION("""COMPUTED_VALUE"""),23849.0)</f>
        <v>23849</v>
      </c>
      <c r="D6229" s="9" t="str">
        <f>IFERROR(__xludf.DUMMYFUNCTION("""COMPUTED_VALUE"""),"Completed")</f>
        <v>Completed</v>
      </c>
    </row>
    <row r="6230">
      <c r="A6230" s="9" t="str">
        <f>IFERROR(__xludf.DUMMYFUNCTION("""COMPUTED_VALUE"""),"G-REQ-06229")</f>
        <v>G-REQ-06229</v>
      </c>
      <c r="B6230" s="11">
        <f>IFERROR(__xludf.DUMMYFUNCTION("""COMPUTED_VALUE"""),46204.66235391176)</f>
        <v>46204.66235</v>
      </c>
      <c r="C6230" s="9">
        <f>IFERROR(__xludf.DUMMYFUNCTION("""COMPUTED_VALUE"""),23853.0)</f>
        <v>23853</v>
      </c>
      <c r="D6230" s="9" t="str">
        <f>IFERROR(__xludf.DUMMYFUNCTION("""COMPUTED_VALUE"""),"Completed")</f>
        <v>Completed</v>
      </c>
    </row>
    <row r="6231">
      <c r="A6231" s="9" t="str">
        <f>IFERROR(__xludf.DUMMYFUNCTION("""COMPUTED_VALUE"""),"G-REQ-06230")</f>
        <v>G-REQ-06230</v>
      </c>
      <c r="B6231" s="11">
        <f>IFERROR(__xludf.DUMMYFUNCTION("""COMPUTED_VALUE"""),46204.72658431273)</f>
        <v>46204.72658</v>
      </c>
      <c r="C6231" s="9">
        <f>IFERROR(__xludf.DUMMYFUNCTION("""COMPUTED_VALUE"""),23855.0)</f>
        <v>23855</v>
      </c>
      <c r="D6231" s="9" t="str">
        <f>IFERROR(__xludf.DUMMYFUNCTION("""COMPUTED_VALUE"""),"Rejected")</f>
        <v>Rejected</v>
      </c>
    </row>
    <row r="6232">
      <c r="A6232" s="9" t="str">
        <f>IFERROR(__xludf.DUMMYFUNCTION("""COMPUTED_VALUE"""),"G-REQ-06231")</f>
        <v>G-REQ-06231</v>
      </c>
      <c r="B6232" s="11">
        <f>IFERROR(__xludf.DUMMYFUNCTION("""COMPUTED_VALUE"""),46204.8047036026)</f>
        <v>46204.8047</v>
      </c>
      <c r="C6232" s="9">
        <f>IFERROR(__xludf.DUMMYFUNCTION("""COMPUTED_VALUE"""),23859.0)</f>
        <v>23859</v>
      </c>
      <c r="D6232" s="9" t="str">
        <f>IFERROR(__xludf.DUMMYFUNCTION("""COMPUTED_VALUE"""),"Completed")</f>
        <v>Completed</v>
      </c>
    </row>
    <row r="6233">
      <c r="A6233" s="9" t="str">
        <f>IFERROR(__xludf.DUMMYFUNCTION("""COMPUTED_VALUE"""),"G-REQ-06232")</f>
        <v>G-REQ-06232</v>
      </c>
      <c r="B6233" s="11">
        <f>IFERROR(__xludf.DUMMYFUNCTION("""COMPUTED_VALUE"""),46204.875878448)</f>
        <v>46204.87588</v>
      </c>
      <c r="C6233" s="9">
        <f>IFERROR(__xludf.DUMMYFUNCTION("""COMPUTED_VALUE"""),23863.0)</f>
        <v>23863</v>
      </c>
      <c r="D6233" s="9" t="str">
        <f>IFERROR(__xludf.DUMMYFUNCTION("""COMPUTED_VALUE"""),"Completed")</f>
        <v>Completed</v>
      </c>
    </row>
    <row r="6234">
      <c r="A6234" s="9" t="str">
        <f>IFERROR(__xludf.DUMMYFUNCTION("""COMPUTED_VALUE"""),"G-REQ-06233")</f>
        <v>G-REQ-06233</v>
      </c>
      <c r="B6234" s="11">
        <f>IFERROR(__xludf.DUMMYFUNCTION("""COMPUTED_VALUE"""),46204.94705329342)</f>
        <v>46204.94705</v>
      </c>
      <c r="C6234" s="9">
        <f>IFERROR(__xludf.DUMMYFUNCTION("""COMPUTED_VALUE"""),23867.0)</f>
        <v>23867</v>
      </c>
      <c r="D6234" s="9" t="str">
        <f>IFERROR(__xludf.DUMMYFUNCTION("""COMPUTED_VALUE"""),"Completed")</f>
        <v>Completed</v>
      </c>
    </row>
    <row r="6235">
      <c r="A6235" s="9" t="str">
        <f>IFERROR(__xludf.DUMMYFUNCTION("""COMPUTED_VALUE"""),"G-REQ-06234")</f>
        <v>G-REQ-06234</v>
      </c>
      <c r="B6235" s="11">
        <f>IFERROR(__xludf.DUMMYFUNCTION("""COMPUTED_VALUE"""),46205.01822813884)</f>
        <v>46205.01823</v>
      </c>
      <c r="C6235" s="9">
        <f>IFERROR(__xludf.DUMMYFUNCTION("""COMPUTED_VALUE"""),23871.0)</f>
        <v>23871</v>
      </c>
      <c r="D6235" s="9" t="str">
        <f>IFERROR(__xludf.DUMMYFUNCTION("""COMPUTED_VALUE"""),"Completed")</f>
        <v>Completed</v>
      </c>
    </row>
    <row r="6236">
      <c r="A6236" s="9" t="str">
        <f>IFERROR(__xludf.DUMMYFUNCTION("""COMPUTED_VALUE"""),"G-REQ-06235")</f>
        <v>G-REQ-06235</v>
      </c>
      <c r="B6236" s="11">
        <f>IFERROR(__xludf.DUMMYFUNCTION("""COMPUTED_VALUE"""),46205.08940298425)</f>
        <v>46205.0894</v>
      </c>
      <c r="C6236" s="9">
        <f>IFERROR(__xludf.DUMMYFUNCTION("""COMPUTED_VALUE"""),23875.0)</f>
        <v>23875</v>
      </c>
      <c r="D6236" s="9" t="str">
        <f>IFERROR(__xludf.DUMMYFUNCTION("""COMPUTED_VALUE"""),"Completed")</f>
        <v>Completed</v>
      </c>
    </row>
    <row r="6237">
      <c r="A6237" s="9" t="str">
        <f>IFERROR(__xludf.DUMMYFUNCTION("""COMPUTED_VALUE"""),"G-REQ-06236")</f>
        <v>G-REQ-06236</v>
      </c>
      <c r="B6237" s="11">
        <f>IFERROR(__xludf.DUMMYFUNCTION("""COMPUTED_VALUE"""),46205.160577829665)</f>
        <v>46205.16058</v>
      </c>
      <c r="C6237" s="9">
        <f>IFERROR(__xludf.DUMMYFUNCTION("""COMPUTED_VALUE"""),23879.0)</f>
        <v>23879</v>
      </c>
      <c r="D6237" s="9" t="str">
        <f>IFERROR(__xludf.DUMMYFUNCTION("""COMPUTED_VALUE"""),"Completed")</f>
        <v>Completed</v>
      </c>
    </row>
    <row r="6238">
      <c r="A6238" s="9" t="str">
        <f>IFERROR(__xludf.DUMMYFUNCTION("""COMPUTED_VALUE"""),"G-REQ-06237")</f>
        <v>G-REQ-06237</v>
      </c>
      <c r="B6238" s="11">
        <f>IFERROR(__xludf.DUMMYFUNCTION("""COMPUTED_VALUE"""),46205.22480823064)</f>
        <v>46205.22481</v>
      </c>
      <c r="C6238" s="9">
        <f>IFERROR(__xludf.DUMMYFUNCTION("""COMPUTED_VALUE"""),23881.0)</f>
        <v>23881</v>
      </c>
      <c r="D6238" s="9" t="str">
        <f>IFERROR(__xludf.DUMMYFUNCTION("""COMPUTED_VALUE"""),"Cancelled")</f>
        <v>Cancelled</v>
      </c>
    </row>
    <row r="6239">
      <c r="A6239" s="9" t="str">
        <f>IFERROR(__xludf.DUMMYFUNCTION("""COMPUTED_VALUE"""),"G-REQ-06238")</f>
        <v>G-REQ-06238</v>
      </c>
      <c r="B6239" s="11">
        <f>IFERROR(__xludf.DUMMYFUNCTION("""COMPUTED_VALUE"""),46205.3029275205)</f>
        <v>46205.30293</v>
      </c>
      <c r="C6239" s="9">
        <f>IFERROR(__xludf.DUMMYFUNCTION("""COMPUTED_VALUE"""),23885.0)</f>
        <v>23885</v>
      </c>
      <c r="D6239" s="9" t="str">
        <f>IFERROR(__xludf.DUMMYFUNCTION("""COMPUTED_VALUE"""),"Completed")</f>
        <v>Completed</v>
      </c>
    </row>
    <row r="6240">
      <c r="A6240" s="9" t="str">
        <f>IFERROR(__xludf.DUMMYFUNCTION("""COMPUTED_VALUE"""),"G-REQ-06239")</f>
        <v>G-REQ-06239</v>
      </c>
      <c r="B6240" s="11">
        <f>IFERROR(__xludf.DUMMYFUNCTION("""COMPUTED_VALUE"""),46205.37410236591)</f>
        <v>46205.3741</v>
      </c>
      <c r="C6240" s="9">
        <f>IFERROR(__xludf.DUMMYFUNCTION("""COMPUTED_VALUE"""),23889.0)</f>
        <v>23889</v>
      </c>
      <c r="D6240" s="9" t="str">
        <f>IFERROR(__xludf.DUMMYFUNCTION("""COMPUTED_VALUE"""),"Completed")</f>
        <v>Completed</v>
      </c>
    </row>
    <row r="6241">
      <c r="A6241" s="9" t="str">
        <f>IFERROR(__xludf.DUMMYFUNCTION("""COMPUTED_VALUE"""),"G-REQ-06240")</f>
        <v>G-REQ-06240</v>
      </c>
      <c r="B6241" s="11">
        <f>IFERROR(__xludf.DUMMYFUNCTION("""COMPUTED_VALUE"""),46205.44527721133)</f>
        <v>46205.44528</v>
      </c>
      <c r="C6241" s="9">
        <f>IFERROR(__xludf.DUMMYFUNCTION("""COMPUTED_VALUE"""),23893.0)</f>
        <v>23893</v>
      </c>
      <c r="D6241" s="9" t="str">
        <f>IFERROR(__xludf.DUMMYFUNCTION("""COMPUTED_VALUE"""),"Completed")</f>
        <v>Completed</v>
      </c>
    </row>
    <row r="6242">
      <c r="A6242" s="9" t="str">
        <f>IFERROR(__xludf.DUMMYFUNCTION("""COMPUTED_VALUE"""),"G-REQ-06241")</f>
        <v>G-REQ-06241</v>
      </c>
      <c r="B6242" s="11">
        <f>IFERROR(__xludf.DUMMYFUNCTION("""COMPUTED_VALUE"""),46205.51645205674)</f>
        <v>46205.51645</v>
      </c>
      <c r="C6242" s="9">
        <f>IFERROR(__xludf.DUMMYFUNCTION("""COMPUTED_VALUE"""),23897.0)</f>
        <v>23897</v>
      </c>
      <c r="D6242" s="9" t="str">
        <f>IFERROR(__xludf.DUMMYFUNCTION("""COMPUTED_VALUE"""),"Completed")</f>
        <v>Completed</v>
      </c>
    </row>
    <row r="6243">
      <c r="A6243" s="9" t="str">
        <f>IFERROR(__xludf.DUMMYFUNCTION("""COMPUTED_VALUE"""),"G-REQ-06242")</f>
        <v>G-REQ-06242</v>
      </c>
      <c r="B6243" s="11">
        <f>IFERROR(__xludf.DUMMYFUNCTION("""COMPUTED_VALUE"""),46205.587626902154)</f>
        <v>46205.58763</v>
      </c>
      <c r="C6243" s="9">
        <f>IFERROR(__xludf.DUMMYFUNCTION("""COMPUTED_VALUE"""),23901.0)</f>
        <v>23901</v>
      </c>
      <c r="D6243" s="9" t="str">
        <f>IFERROR(__xludf.DUMMYFUNCTION("""COMPUTED_VALUE"""),"Completed")</f>
        <v>Completed</v>
      </c>
    </row>
    <row r="6244">
      <c r="A6244" s="9" t="str">
        <f>IFERROR(__xludf.DUMMYFUNCTION("""COMPUTED_VALUE"""),"G-REQ-06243")</f>
        <v>G-REQ-06243</v>
      </c>
      <c r="B6244" s="11">
        <f>IFERROR(__xludf.DUMMYFUNCTION("""COMPUTED_VALUE"""),46205.65880174757)</f>
        <v>46205.6588</v>
      </c>
      <c r="C6244" s="9">
        <f>IFERROR(__xludf.DUMMYFUNCTION("""COMPUTED_VALUE"""),23905.0)</f>
        <v>23905</v>
      </c>
      <c r="D6244" s="9" t="str">
        <f>IFERROR(__xludf.DUMMYFUNCTION("""COMPUTED_VALUE"""),"Completed")</f>
        <v>Completed</v>
      </c>
    </row>
    <row r="6245">
      <c r="A6245" s="9" t="str">
        <f>IFERROR(__xludf.DUMMYFUNCTION("""COMPUTED_VALUE"""),"G-REQ-06244")</f>
        <v>G-REQ-06244</v>
      </c>
      <c r="B6245" s="11">
        <f>IFERROR(__xludf.DUMMYFUNCTION("""COMPUTED_VALUE"""),46205.729976592986)</f>
        <v>46205.72998</v>
      </c>
      <c r="C6245" s="9">
        <f>IFERROR(__xludf.DUMMYFUNCTION("""COMPUTED_VALUE"""),23909.0)</f>
        <v>23909</v>
      </c>
      <c r="D6245" s="9" t="str">
        <f>IFERROR(__xludf.DUMMYFUNCTION("""COMPUTED_VALUE"""),"Completed")</f>
        <v>Completed</v>
      </c>
    </row>
    <row r="6246">
      <c r="A6246" s="9" t="str">
        <f>IFERROR(__xludf.DUMMYFUNCTION("""COMPUTED_VALUE"""),"G-REQ-06245")</f>
        <v>G-REQ-06245</v>
      </c>
      <c r="B6246" s="11">
        <f>IFERROR(__xludf.DUMMYFUNCTION("""COMPUTED_VALUE"""),46205.8011514384)</f>
        <v>46205.80115</v>
      </c>
      <c r="C6246" s="9">
        <f>IFERROR(__xludf.DUMMYFUNCTION("""COMPUTED_VALUE"""),23913.0)</f>
        <v>23913</v>
      </c>
      <c r="D6246" s="9" t="str">
        <f>IFERROR(__xludf.DUMMYFUNCTION("""COMPUTED_VALUE"""),"Completed")</f>
        <v>Completed</v>
      </c>
    </row>
    <row r="6247">
      <c r="A6247" s="9" t="str">
        <f>IFERROR(__xludf.DUMMYFUNCTION("""COMPUTED_VALUE"""),"G-REQ-06246")</f>
        <v>G-REQ-06246</v>
      </c>
      <c r="B6247" s="11">
        <f>IFERROR(__xludf.DUMMYFUNCTION("""COMPUTED_VALUE"""),46205.87232628382)</f>
        <v>46205.87233</v>
      </c>
      <c r="C6247" s="9">
        <f>IFERROR(__xludf.DUMMYFUNCTION("""COMPUTED_VALUE"""),23917.0)</f>
        <v>23917</v>
      </c>
      <c r="D6247" s="9" t="str">
        <f>IFERROR(__xludf.DUMMYFUNCTION("""COMPUTED_VALUE"""),"Completed")</f>
        <v>Completed</v>
      </c>
    </row>
    <row r="6248">
      <c r="A6248" s="9" t="str">
        <f>IFERROR(__xludf.DUMMYFUNCTION("""COMPUTED_VALUE"""),"G-REQ-06247")</f>
        <v>G-REQ-06247</v>
      </c>
      <c r="B6248" s="11">
        <f>IFERROR(__xludf.DUMMYFUNCTION("""COMPUTED_VALUE"""),46205.94350112924)</f>
        <v>46205.9435</v>
      </c>
      <c r="C6248" s="9">
        <f>IFERROR(__xludf.DUMMYFUNCTION("""COMPUTED_VALUE"""),23921.0)</f>
        <v>23921</v>
      </c>
      <c r="D6248" s="9" t="str">
        <f>IFERROR(__xludf.DUMMYFUNCTION("""COMPUTED_VALUE"""),"Completed")</f>
        <v>Completed</v>
      </c>
    </row>
    <row r="6249">
      <c r="A6249" s="9" t="str">
        <f>IFERROR(__xludf.DUMMYFUNCTION("""COMPUTED_VALUE"""),"G-REQ-06248")</f>
        <v>G-REQ-06248</v>
      </c>
      <c r="B6249" s="11">
        <f>IFERROR(__xludf.DUMMYFUNCTION("""COMPUTED_VALUE"""),46206.01467597464)</f>
        <v>46206.01468</v>
      </c>
      <c r="C6249" s="9">
        <f>IFERROR(__xludf.DUMMYFUNCTION("""COMPUTED_VALUE"""),23925.0)</f>
        <v>23925</v>
      </c>
      <c r="D6249" s="9" t="str">
        <f>IFERROR(__xludf.DUMMYFUNCTION("""COMPUTED_VALUE"""),"Completed")</f>
        <v>Completed</v>
      </c>
    </row>
    <row r="6250">
      <c r="A6250" s="9" t="str">
        <f>IFERROR(__xludf.DUMMYFUNCTION("""COMPUTED_VALUE"""),"G-REQ-06249")</f>
        <v>G-REQ-06249</v>
      </c>
      <c r="B6250" s="11">
        <f>IFERROR(__xludf.DUMMYFUNCTION("""COMPUTED_VALUE"""),46206.08585082006)</f>
        <v>46206.08585</v>
      </c>
      <c r="C6250" s="9">
        <f>IFERROR(__xludf.DUMMYFUNCTION("""COMPUTED_VALUE"""),23929.0)</f>
        <v>23929</v>
      </c>
      <c r="D6250" s="9" t="str">
        <f>IFERROR(__xludf.DUMMYFUNCTION("""COMPUTED_VALUE"""),"Completed")</f>
        <v>Completed</v>
      </c>
    </row>
    <row r="6251">
      <c r="A6251" s="9" t="str">
        <f>IFERROR(__xludf.DUMMYFUNCTION("""COMPUTED_VALUE"""),"G-REQ-06250")</f>
        <v>G-REQ-06250</v>
      </c>
      <c r="B6251" s="11">
        <f>IFERROR(__xludf.DUMMYFUNCTION("""COMPUTED_VALUE"""),46206.15702566548)</f>
        <v>46206.15703</v>
      </c>
      <c r="C6251" s="9">
        <f>IFERROR(__xludf.DUMMYFUNCTION("""COMPUTED_VALUE"""),23933.0)</f>
        <v>23933</v>
      </c>
      <c r="D6251" s="9" t="str">
        <f>IFERROR(__xludf.DUMMYFUNCTION("""COMPUTED_VALUE"""),"Completed")</f>
        <v>Completed</v>
      </c>
    </row>
    <row r="6252">
      <c r="A6252" s="9" t="str">
        <f>IFERROR(__xludf.DUMMYFUNCTION("""COMPUTED_VALUE"""),"G-REQ-06251")</f>
        <v>G-REQ-06251</v>
      </c>
      <c r="B6252" s="11">
        <f>IFERROR(__xludf.DUMMYFUNCTION("""COMPUTED_VALUE"""),46206.228200510894)</f>
        <v>46206.2282</v>
      </c>
      <c r="C6252" s="9">
        <f>IFERROR(__xludf.DUMMYFUNCTION("""COMPUTED_VALUE"""),23937.0)</f>
        <v>23937</v>
      </c>
      <c r="D6252" s="9" t="str">
        <f>IFERROR(__xludf.DUMMYFUNCTION("""COMPUTED_VALUE"""),"Completed")</f>
        <v>Completed</v>
      </c>
    </row>
    <row r="6253">
      <c r="A6253" s="9" t="str">
        <f>IFERROR(__xludf.DUMMYFUNCTION("""COMPUTED_VALUE"""),"G-REQ-06252")</f>
        <v>G-REQ-06252</v>
      </c>
      <c r="B6253" s="11">
        <f>IFERROR(__xludf.DUMMYFUNCTION("""COMPUTED_VALUE"""),46206.299375356306)</f>
        <v>46206.29938</v>
      </c>
      <c r="C6253" s="9">
        <f>IFERROR(__xludf.DUMMYFUNCTION("""COMPUTED_VALUE"""),23941.0)</f>
        <v>23941</v>
      </c>
      <c r="D6253" s="9" t="str">
        <f>IFERROR(__xludf.DUMMYFUNCTION("""COMPUTED_VALUE"""),"Completed")</f>
        <v>Completed</v>
      </c>
    </row>
    <row r="6254">
      <c r="A6254" s="9" t="str">
        <f>IFERROR(__xludf.DUMMYFUNCTION("""COMPUTED_VALUE"""),"G-REQ-06253")</f>
        <v>G-REQ-06253</v>
      </c>
      <c r="B6254" s="11">
        <f>IFERROR(__xludf.DUMMYFUNCTION("""COMPUTED_VALUE"""),46206.370550201726)</f>
        <v>46206.37055</v>
      </c>
      <c r="C6254" s="9">
        <f>IFERROR(__xludf.DUMMYFUNCTION("""COMPUTED_VALUE"""),23945.0)</f>
        <v>23945</v>
      </c>
      <c r="D6254" s="9" t="str">
        <f>IFERROR(__xludf.DUMMYFUNCTION("""COMPUTED_VALUE"""),"Completed")</f>
        <v>Completed</v>
      </c>
    </row>
    <row r="6255">
      <c r="A6255" s="9" t="str">
        <f>IFERROR(__xludf.DUMMYFUNCTION("""COMPUTED_VALUE"""),"G-REQ-06254")</f>
        <v>G-REQ-06254</v>
      </c>
      <c r="B6255" s="11">
        <f>IFERROR(__xludf.DUMMYFUNCTION("""COMPUTED_VALUE"""),46206.44172504714)</f>
        <v>46206.44173</v>
      </c>
      <c r="C6255" s="9">
        <f>IFERROR(__xludf.DUMMYFUNCTION("""COMPUTED_VALUE"""),23949.0)</f>
        <v>23949</v>
      </c>
      <c r="D6255" s="9" t="str">
        <f>IFERROR(__xludf.DUMMYFUNCTION("""COMPUTED_VALUE"""),"Completed")</f>
        <v>Completed</v>
      </c>
    </row>
    <row r="6256">
      <c r="A6256" s="9" t="str">
        <f>IFERROR(__xludf.DUMMYFUNCTION("""COMPUTED_VALUE"""),"G-REQ-06255")</f>
        <v>G-REQ-06255</v>
      </c>
      <c r="B6256" s="11">
        <f>IFERROR(__xludf.DUMMYFUNCTION("""COMPUTED_VALUE"""),46206.51289989255)</f>
        <v>46206.5129</v>
      </c>
      <c r="C6256" s="9">
        <f>IFERROR(__xludf.DUMMYFUNCTION("""COMPUTED_VALUE"""),23953.0)</f>
        <v>23953</v>
      </c>
      <c r="D6256" s="9" t="str">
        <f>IFERROR(__xludf.DUMMYFUNCTION("""COMPUTED_VALUE"""),"Completed")</f>
        <v>Completed</v>
      </c>
    </row>
    <row r="6257">
      <c r="A6257" s="9" t="str">
        <f>IFERROR(__xludf.DUMMYFUNCTION("""COMPUTED_VALUE"""),"G-REQ-06256")</f>
        <v>G-REQ-06256</v>
      </c>
      <c r="B6257" s="11">
        <f>IFERROR(__xludf.DUMMYFUNCTION("""COMPUTED_VALUE"""),46206.58407473797)</f>
        <v>46206.58407</v>
      </c>
      <c r="C6257" s="9">
        <f>IFERROR(__xludf.DUMMYFUNCTION("""COMPUTED_VALUE"""),23957.0)</f>
        <v>23957</v>
      </c>
      <c r="D6257" s="9" t="str">
        <f>IFERROR(__xludf.DUMMYFUNCTION("""COMPUTED_VALUE"""),"Completed")</f>
        <v>Completed</v>
      </c>
    </row>
    <row r="6258">
      <c r="A6258" s="9" t="str">
        <f>IFERROR(__xludf.DUMMYFUNCTION("""COMPUTED_VALUE"""),"G-REQ-06257")</f>
        <v>G-REQ-06257</v>
      </c>
      <c r="B6258" s="11">
        <f>IFERROR(__xludf.DUMMYFUNCTION("""COMPUTED_VALUE"""),46206.64830513894)</f>
        <v>46206.64831</v>
      </c>
      <c r="C6258" s="9">
        <f>IFERROR(__xludf.DUMMYFUNCTION("""COMPUTED_VALUE"""),23959.0)</f>
        <v>23959</v>
      </c>
      <c r="D6258" s="9" t="str">
        <f>IFERROR(__xludf.DUMMYFUNCTION("""COMPUTED_VALUE"""),"Cancelled")</f>
        <v>Cancelled</v>
      </c>
    </row>
    <row r="6259">
      <c r="A6259" s="9" t="str">
        <f>IFERROR(__xludf.DUMMYFUNCTION("""COMPUTED_VALUE"""),"G-REQ-06258")</f>
        <v>G-REQ-06258</v>
      </c>
      <c r="B6259" s="11">
        <f>IFERROR(__xludf.DUMMYFUNCTION("""COMPUTED_VALUE"""),46206.71947998435)</f>
        <v>46206.71948</v>
      </c>
      <c r="C6259" s="9">
        <f>IFERROR(__xludf.DUMMYFUNCTION("""COMPUTED_VALUE"""),23961.0)</f>
        <v>23961</v>
      </c>
      <c r="D6259" s="9" t="str">
        <f>IFERROR(__xludf.DUMMYFUNCTION("""COMPUTED_VALUE"""),"Rejected")</f>
        <v>Rejected</v>
      </c>
    </row>
    <row r="6260">
      <c r="A6260" s="9" t="str">
        <f>IFERROR(__xludf.DUMMYFUNCTION("""COMPUTED_VALUE"""),"G-REQ-06259")</f>
        <v>G-REQ-06259</v>
      </c>
      <c r="B6260" s="11">
        <f>IFERROR(__xludf.DUMMYFUNCTION("""COMPUTED_VALUE"""),46206.797599274214)</f>
        <v>46206.7976</v>
      </c>
      <c r="C6260" s="9">
        <f>IFERROR(__xludf.DUMMYFUNCTION("""COMPUTED_VALUE"""),23965.0)</f>
        <v>23965</v>
      </c>
      <c r="D6260" s="9" t="str">
        <f>IFERROR(__xludf.DUMMYFUNCTION("""COMPUTED_VALUE"""),"Completed")</f>
        <v>Completed</v>
      </c>
    </row>
    <row r="6261">
      <c r="A6261" s="9" t="str">
        <f>IFERROR(__xludf.DUMMYFUNCTION("""COMPUTED_VALUE"""),"G-REQ-06260")</f>
        <v>G-REQ-06260</v>
      </c>
      <c r="B6261" s="11">
        <f>IFERROR(__xludf.DUMMYFUNCTION("""COMPUTED_VALUE"""),46206.868774119626)</f>
        <v>46206.86877</v>
      </c>
      <c r="C6261" s="9">
        <f>IFERROR(__xludf.DUMMYFUNCTION("""COMPUTED_VALUE"""),23969.0)</f>
        <v>23969</v>
      </c>
      <c r="D6261" s="9" t="str">
        <f>IFERROR(__xludf.DUMMYFUNCTION("""COMPUTED_VALUE"""),"Completed")</f>
        <v>Completed</v>
      </c>
    </row>
    <row r="6262">
      <c r="A6262" s="9" t="str">
        <f>IFERROR(__xludf.DUMMYFUNCTION("""COMPUTED_VALUE"""),"G-REQ-06261")</f>
        <v>G-REQ-06261</v>
      </c>
      <c r="B6262" s="11">
        <f>IFERROR(__xludf.DUMMYFUNCTION("""COMPUTED_VALUE"""),46206.93994896504)</f>
        <v>46206.93995</v>
      </c>
      <c r="C6262" s="9">
        <f>IFERROR(__xludf.DUMMYFUNCTION("""COMPUTED_VALUE"""),23973.0)</f>
        <v>23973</v>
      </c>
      <c r="D6262" s="9" t="str">
        <f>IFERROR(__xludf.DUMMYFUNCTION("""COMPUTED_VALUE"""),"Completed")</f>
        <v>Completed</v>
      </c>
    </row>
    <row r="6263">
      <c r="A6263" s="9" t="str">
        <f>IFERROR(__xludf.DUMMYFUNCTION("""COMPUTED_VALUE"""),"G-REQ-06262")</f>
        <v>G-REQ-06262</v>
      </c>
      <c r="B6263" s="11">
        <f>IFERROR(__xludf.DUMMYFUNCTION("""COMPUTED_VALUE"""),46207.01112381046)</f>
        <v>46207.01112</v>
      </c>
      <c r="C6263" s="9">
        <f>IFERROR(__xludf.DUMMYFUNCTION("""COMPUTED_VALUE"""),23977.0)</f>
        <v>23977</v>
      </c>
      <c r="D6263" s="9" t="str">
        <f>IFERROR(__xludf.DUMMYFUNCTION("""COMPUTED_VALUE"""),"Completed")</f>
        <v>Completed</v>
      </c>
    </row>
    <row r="6264">
      <c r="A6264" s="9" t="str">
        <f>IFERROR(__xludf.DUMMYFUNCTION("""COMPUTED_VALUE"""),"G-REQ-06263")</f>
        <v>G-REQ-06263</v>
      </c>
      <c r="B6264" s="11">
        <f>IFERROR(__xludf.DUMMYFUNCTION("""COMPUTED_VALUE"""),46207.08229865588)</f>
        <v>46207.0823</v>
      </c>
      <c r="C6264" s="9">
        <f>IFERROR(__xludf.DUMMYFUNCTION("""COMPUTED_VALUE"""),23981.0)</f>
        <v>23981</v>
      </c>
      <c r="D6264" s="9" t="str">
        <f>IFERROR(__xludf.DUMMYFUNCTION("""COMPUTED_VALUE"""),"Completed")</f>
        <v>Completed</v>
      </c>
    </row>
    <row r="6265">
      <c r="A6265" s="9" t="str">
        <f>IFERROR(__xludf.DUMMYFUNCTION("""COMPUTED_VALUE"""),"G-REQ-06264")</f>
        <v>G-REQ-06264</v>
      </c>
      <c r="B6265" s="11">
        <f>IFERROR(__xludf.DUMMYFUNCTION("""COMPUTED_VALUE"""),46207.14652905684)</f>
        <v>46207.14653</v>
      </c>
      <c r="C6265" s="9">
        <f>IFERROR(__xludf.DUMMYFUNCTION("""COMPUTED_VALUE"""),23983.0)</f>
        <v>23983</v>
      </c>
      <c r="D6265" s="9" t="str">
        <f>IFERROR(__xludf.DUMMYFUNCTION("""COMPUTED_VALUE"""),"Rejected")</f>
        <v>Rejected</v>
      </c>
    </row>
    <row r="6266">
      <c r="A6266" s="9" t="str">
        <f>IFERROR(__xludf.DUMMYFUNCTION("""COMPUTED_VALUE"""),"G-REQ-06265")</f>
        <v>G-REQ-06265</v>
      </c>
      <c r="B6266" s="11">
        <f>IFERROR(__xludf.DUMMYFUNCTION("""COMPUTED_VALUE"""),46207.2246483467)</f>
        <v>46207.22465</v>
      </c>
      <c r="C6266" s="9">
        <f>IFERROR(__xludf.DUMMYFUNCTION("""COMPUTED_VALUE"""),23987.0)</f>
        <v>23987</v>
      </c>
      <c r="D6266" s="9" t="str">
        <f>IFERROR(__xludf.DUMMYFUNCTION("""COMPUTED_VALUE"""),"Completed")</f>
        <v>Completed</v>
      </c>
    </row>
    <row r="6267">
      <c r="A6267" s="9" t="str">
        <f>IFERROR(__xludf.DUMMYFUNCTION("""COMPUTED_VALUE"""),"G-REQ-06266")</f>
        <v>G-REQ-06266</v>
      </c>
      <c r="B6267" s="11">
        <f>IFERROR(__xludf.DUMMYFUNCTION("""COMPUTED_VALUE"""),46207.29582319212)</f>
        <v>46207.29582</v>
      </c>
      <c r="C6267" s="9">
        <f>IFERROR(__xludf.DUMMYFUNCTION("""COMPUTED_VALUE"""),23991.0)</f>
        <v>23991</v>
      </c>
      <c r="D6267" s="9" t="str">
        <f>IFERROR(__xludf.DUMMYFUNCTION("""COMPUTED_VALUE"""),"Completed")</f>
        <v>Completed</v>
      </c>
    </row>
    <row r="6268">
      <c r="A6268" s="9" t="str">
        <f>IFERROR(__xludf.DUMMYFUNCTION("""COMPUTED_VALUE"""),"G-REQ-06267")</f>
        <v>G-REQ-06267</v>
      </c>
      <c r="B6268" s="11">
        <f>IFERROR(__xludf.DUMMYFUNCTION("""COMPUTED_VALUE"""),46207.366998037534)</f>
        <v>46207.367</v>
      </c>
      <c r="C6268" s="9">
        <f>IFERROR(__xludf.DUMMYFUNCTION("""COMPUTED_VALUE"""),23995.0)</f>
        <v>23995</v>
      </c>
      <c r="D6268" s="9" t="str">
        <f>IFERROR(__xludf.DUMMYFUNCTION("""COMPUTED_VALUE"""),"Completed")</f>
        <v>Completed</v>
      </c>
    </row>
    <row r="6269">
      <c r="A6269" s="9" t="str">
        <f>IFERROR(__xludf.DUMMYFUNCTION("""COMPUTED_VALUE"""),"G-REQ-06268")</f>
        <v>G-REQ-06268</v>
      </c>
      <c r="B6269" s="11">
        <f>IFERROR(__xludf.DUMMYFUNCTION("""COMPUTED_VALUE"""),46207.4312284385)</f>
        <v>46207.43123</v>
      </c>
      <c r="C6269" s="9">
        <f>IFERROR(__xludf.DUMMYFUNCTION("""COMPUTED_VALUE"""),23997.0)</f>
        <v>23997</v>
      </c>
      <c r="D6269" s="9" t="str">
        <f>IFERROR(__xludf.DUMMYFUNCTION("""COMPUTED_VALUE"""),"Cancelled")</f>
        <v>Cancelled</v>
      </c>
    </row>
    <row r="6270">
      <c r="A6270" s="9" t="str">
        <f>IFERROR(__xludf.DUMMYFUNCTION("""COMPUTED_VALUE"""),"G-REQ-06269")</f>
        <v>G-REQ-06269</v>
      </c>
      <c r="B6270" s="11">
        <f>IFERROR(__xludf.DUMMYFUNCTION("""COMPUTED_VALUE"""),46207.509347728366)</f>
        <v>46207.50935</v>
      </c>
      <c r="C6270" s="9">
        <f>IFERROR(__xludf.DUMMYFUNCTION("""COMPUTED_VALUE"""),24001.0)</f>
        <v>24001</v>
      </c>
      <c r="D6270" s="9" t="str">
        <f>IFERROR(__xludf.DUMMYFUNCTION("""COMPUTED_VALUE"""),"Completed")</f>
        <v>Completed</v>
      </c>
    </row>
    <row r="6271">
      <c r="A6271" s="9" t="str">
        <f>IFERROR(__xludf.DUMMYFUNCTION("""COMPUTED_VALUE"""),"G-REQ-06270")</f>
        <v>G-REQ-06270</v>
      </c>
      <c r="B6271" s="11">
        <f>IFERROR(__xludf.DUMMYFUNCTION("""COMPUTED_VALUE"""),46207.58052257378)</f>
        <v>46207.58052</v>
      </c>
      <c r="C6271" s="9">
        <f>IFERROR(__xludf.DUMMYFUNCTION("""COMPUTED_VALUE"""),24005.0)</f>
        <v>24005</v>
      </c>
      <c r="D6271" s="9" t="str">
        <f>IFERROR(__xludf.DUMMYFUNCTION("""COMPUTED_VALUE"""),"Completed")</f>
        <v>Completed</v>
      </c>
    </row>
    <row r="6272">
      <c r="A6272" s="9" t="str">
        <f>IFERROR(__xludf.DUMMYFUNCTION("""COMPUTED_VALUE"""),"G-REQ-06271")</f>
        <v>G-REQ-06271</v>
      </c>
      <c r="B6272" s="11">
        <f>IFERROR(__xludf.DUMMYFUNCTION("""COMPUTED_VALUE"""),46207.65169741919)</f>
        <v>46207.6517</v>
      </c>
      <c r="C6272" s="9">
        <f>IFERROR(__xludf.DUMMYFUNCTION("""COMPUTED_VALUE"""),24009.0)</f>
        <v>24009</v>
      </c>
      <c r="D6272" s="9" t="str">
        <f>IFERROR(__xludf.DUMMYFUNCTION("""COMPUTED_VALUE"""),"Completed")</f>
        <v>Completed</v>
      </c>
    </row>
    <row r="6273">
      <c r="A6273" s="9" t="str">
        <f>IFERROR(__xludf.DUMMYFUNCTION("""COMPUTED_VALUE"""),"G-REQ-06272")</f>
        <v>G-REQ-06272</v>
      </c>
      <c r="B6273" s="11">
        <f>IFERROR(__xludf.DUMMYFUNCTION("""COMPUTED_VALUE"""),46207.72287226461)</f>
        <v>46207.72287</v>
      </c>
      <c r="C6273" s="9">
        <f>IFERROR(__xludf.DUMMYFUNCTION("""COMPUTED_VALUE"""),24013.0)</f>
        <v>24013</v>
      </c>
      <c r="D6273" s="9" t="str">
        <f>IFERROR(__xludf.DUMMYFUNCTION("""COMPUTED_VALUE"""),"Completed")</f>
        <v>Completed</v>
      </c>
    </row>
    <row r="6274">
      <c r="A6274" s="9" t="str">
        <f>IFERROR(__xludf.DUMMYFUNCTION("""COMPUTED_VALUE"""),"G-REQ-06273")</f>
        <v>G-REQ-06273</v>
      </c>
      <c r="B6274" s="11">
        <f>IFERROR(__xludf.DUMMYFUNCTION("""COMPUTED_VALUE"""),46207.79404711003)</f>
        <v>46207.79405</v>
      </c>
      <c r="C6274" s="9">
        <f>IFERROR(__xludf.DUMMYFUNCTION("""COMPUTED_VALUE"""),24017.0)</f>
        <v>24017</v>
      </c>
      <c r="D6274" s="9" t="str">
        <f>IFERROR(__xludf.DUMMYFUNCTION("""COMPUTED_VALUE"""),"Completed")</f>
        <v>Completed</v>
      </c>
    </row>
    <row r="6275">
      <c r="A6275" s="9" t="str">
        <f>IFERROR(__xludf.DUMMYFUNCTION("""COMPUTED_VALUE"""),"G-REQ-06274")</f>
        <v>G-REQ-06274</v>
      </c>
      <c r="B6275" s="11">
        <f>IFERROR(__xludf.DUMMYFUNCTION("""COMPUTED_VALUE"""),46207.865221955435)</f>
        <v>46207.86522</v>
      </c>
      <c r="C6275" s="9">
        <f>IFERROR(__xludf.DUMMYFUNCTION("""COMPUTED_VALUE"""),24021.0)</f>
        <v>24021</v>
      </c>
      <c r="D6275" s="9" t="str">
        <f>IFERROR(__xludf.DUMMYFUNCTION("""COMPUTED_VALUE"""),"Completed")</f>
        <v>Completed</v>
      </c>
    </row>
    <row r="6276">
      <c r="A6276" s="9" t="str">
        <f>IFERROR(__xludf.DUMMYFUNCTION("""COMPUTED_VALUE"""),"G-REQ-06275")</f>
        <v>G-REQ-06275</v>
      </c>
      <c r="B6276" s="11">
        <f>IFERROR(__xludf.DUMMYFUNCTION("""COMPUTED_VALUE"""),46207.92945235641)</f>
        <v>46207.92945</v>
      </c>
      <c r="C6276" s="9">
        <f>IFERROR(__xludf.DUMMYFUNCTION("""COMPUTED_VALUE"""),24023.0)</f>
        <v>24023</v>
      </c>
      <c r="D6276" s="9" t="str">
        <f>IFERROR(__xludf.DUMMYFUNCTION("""COMPUTED_VALUE"""),"Rejected")</f>
        <v>Rejected</v>
      </c>
    </row>
    <row r="6277">
      <c r="A6277" s="9" t="str">
        <f>IFERROR(__xludf.DUMMYFUNCTION("""COMPUTED_VALUE"""),"G-REQ-06276")</f>
        <v>G-REQ-06276</v>
      </c>
      <c r="B6277" s="11">
        <f>IFERROR(__xludf.DUMMYFUNCTION("""COMPUTED_VALUE"""),46208.00757164627)</f>
        <v>46208.00757</v>
      </c>
      <c r="C6277" s="9">
        <f>IFERROR(__xludf.DUMMYFUNCTION("""COMPUTED_VALUE"""),24027.0)</f>
        <v>24027</v>
      </c>
      <c r="D6277" s="9" t="str">
        <f>IFERROR(__xludf.DUMMYFUNCTION("""COMPUTED_VALUE"""),"Completed")</f>
        <v>Completed</v>
      </c>
    </row>
    <row r="6278">
      <c r="A6278" s="9" t="str">
        <f>IFERROR(__xludf.DUMMYFUNCTION("""COMPUTED_VALUE"""),"G-REQ-06277")</f>
        <v>G-REQ-06277</v>
      </c>
      <c r="B6278" s="11">
        <f>IFERROR(__xludf.DUMMYFUNCTION("""COMPUTED_VALUE"""),46208.07874649169)</f>
        <v>46208.07875</v>
      </c>
      <c r="C6278" s="9">
        <f>IFERROR(__xludf.DUMMYFUNCTION("""COMPUTED_VALUE"""),24031.0)</f>
        <v>24031</v>
      </c>
      <c r="D6278" s="9" t="str">
        <f>IFERROR(__xludf.DUMMYFUNCTION("""COMPUTED_VALUE"""),"Completed")</f>
        <v>Completed</v>
      </c>
    </row>
    <row r="6279">
      <c r="A6279" s="9" t="str">
        <f>IFERROR(__xludf.DUMMYFUNCTION("""COMPUTED_VALUE"""),"G-REQ-06278")</f>
        <v>G-REQ-06278</v>
      </c>
      <c r="B6279" s="11">
        <f>IFERROR(__xludf.DUMMYFUNCTION("""COMPUTED_VALUE"""),46208.1499213371)</f>
        <v>46208.14992</v>
      </c>
      <c r="C6279" s="9">
        <f>IFERROR(__xludf.DUMMYFUNCTION("""COMPUTED_VALUE"""),24035.0)</f>
        <v>24035</v>
      </c>
      <c r="D6279" s="9" t="str">
        <f>IFERROR(__xludf.DUMMYFUNCTION("""COMPUTED_VALUE"""),"Completed")</f>
        <v>Completed</v>
      </c>
    </row>
    <row r="6280">
      <c r="A6280" s="9" t="str">
        <f>IFERROR(__xludf.DUMMYFUNCTION("""COMPUTED_VALUE"""),"G-REQ-06279")</f>
        <v>G-REQ-06279</v>
      </c>
      <c r="B6280" s="11">
        <f>IFERROR(__xludf.DUMMYFUNCTION("""COMPUTED_VALUE"""),46208.22109618252)</f>
        <v>46208.2211</v>
      </c>
      <c r="C6280" s="9">
        <f>IFERROR(__xludf.DUMMYFUNCTION("""COMPUTED_VALUE"""),24039.0)</f>
        <v>24039</v>
      </c>
      <c r="D6280" s="9" t="str">
        <f>IFERROR(__xludf.DUMMYFUNCTION("""COMPUTED_VALUE"""),"Completed")</f>
        <v>Completed</v>
      </c>
    </row>
    <row r="6281">
      <c r="A6281" s="9" t="str">
        <f>IFERROR(__xludf.DUMMYFUNCTION("""COMPUTED_VALUE"""),"G-REQ-06280")</f>
        <v>G-REQ-06280</v>
      </c>
      <c r="B6281" s="11">
        <f>IFERROR(__xludf.DUMMYFUNCTION("""COMPUTED_VALUE"""),46208.29227102792)</f>
        <v>46208.29227</v>
      </c>
      <c r="C6281" s="9">
        <f>IFERROR(__xludf.DUMMYFUNCTION("""COMPUTED_VALUE"""),24043.0)</f>
        <v>24043</v>
      </c>
      <c r="D6281" s="9" t="str">
        <f>IFERROR(__xludf.DUMMYFUNCTION("""COMPUTED_VALUE"""),"Completed")</f>
        <v>Completed</v>
      </c>
    </row>
    <row r="6282">
      <c r="A6282" s="9" t="str">
        <f>IFERROR(__xludf.DUMMYFUNCTION("""COMPUTED_VALUE"""),"G-REQ-06281")</f>
        <v>G-REQ-06281</v>
      </c>
      <c r="B6282" s="11">
        <f>IFERROR(__xludf.DUMMYFUNCTION("""COMPUTED_VALUE"""),46208.36344587334)</f>
        <v>46208.36345</v>
      </c>
      <c r="C6282" s="9">
        <f>IFERROR(__xludf.DUMMYFUNCTION("""COMPUTED_VALUE"""),24047.0)</f>
        <v>24047</v>
      </c>
      <c r="D6282" s="9" t="str">
        <f>IFERROR(__xludf.DUMMYFUNCTION("""COMPUTED_VALUE"""),"Completed")</f>
        <v>Completed</v>
      </c>
    </row>
    <row r="6283">
      <c r="A6283" s="9" t="str">
        <f>IFERROR(__xludf.DUMMYFUNCTION("""COMPUTED_VALUE"""),"G-REQ-06282")</f>
        <v>G-REQ-06282</v>
      </c>
      <c r="B6283" s="11">
        <f>IFERROR(__xludf.DUMMYFUNCTION("""COMPUTED_VALUE"""),46208.43462071876)</f>
        <v>46208.43462</v>
      </c>
      <c r="C6283" s="9">
        <f>IFERROR(__xludf.DUMMYFUNCTION("""COMPUTED_VALUE"""),24051.0)</f>
        <v>24051</v>
      </c>
      <c r="D6283" s="9" t="str">
        <f>IFERROR(__xludf.DUMMYFUNCTION("""COMPUTED_VALUE"""),"Completed")</f>
        <v>Completed</v>
      </c>
    </row>
    <row r="6284">
      <c r="A6284" s="9" t="str">
        <f>IFERROR(__xludf.DUMMYFUNCTION("""COMPUTED_VALUE"""),"G-REQ-06283")</f>
        <v>G-REQ-06283</v>
      </c>
      <c r="B6284" s="11">
        <f>IFERROR(__xludf.DUMMYFUNCTION("""COMPUTED_VALUE"""),46208.505795564175)</f>
        <v>46208.5058</v>
      </c>
      <c r="C6284" s="9">
        <f>IFERROR(__xludf.DUMMYFUNCTION("""COMPUTED_VALUE"""),24055.0)</f>
        <v>24055</v>
      </c>
      <c r="D6284" s="9" t="str">
        <f>IFERROR(__xludf.DUMMYFUNCTION("""COMPUTED_VALUE"""),"Completed")</f>
        <v>Completed</v>
      </c>
    </row>
    <row r="6285">
      <c r="A6285" s="9" t="str">
        <f>IFERROR(__xludf.DUMMYFUNCTION("""COMPUTED_VALUE"""),"G-REQ-06284")</f>
        <v>G-REQ-06284</v>
      </c>
      <c r="B6285" s="11">
        <f>IFERROR(__xludf.DUMMYFUNCTION("""COMPUTED_VALUE"""),46208.57697040959)</f>
        <v>46208.57697</v>
      </c>
      <c r="C6285" s="9">
        <f>IFERROR(__xludf.DUMMYFUNCTION("""COMPUTED_VALUE"""),24059.0)</f>
        <v>24059</v>
      </c>
      <c r="D6285" s="9" t="str">
        <f>IFERROR(__xludf.DUMMYFUNCTION("""COMPUTED_VALUE"""),"Completed")</f>
        <v>Completed</v>
      </c>
    </row>
    <row r="6286">
      <c r="A6286" s="9" t="str">
        <f>IFERROR(__xludf.DUMMYFUNCTION("""COMPUTED_VALUE"""),"G-REQ-06285")</f>
        <v>G-REQ-06285</v>
      </c>
      <c r="B6286" s="11">
        <f>IFERROR(__xludf.DUMMYFUNCTION("""COMPUTED_VALUE"""),46208.64814525501)</f>
        <v>46208.64815</v>
      </c>
      <c r="C6286" s="9">
        <f>IFERROR(__xludf.DUMMYFUNCTION("""COMPUTED_VALUE"""),24063.0)</f>
        <v>24063</v>
      </c>
      <c r="D6286" s="9" t="str">
        <f>IFERROR(__xludf.DUMMYFUNCTION("""COMPUTED_VALUE"""),"Completed")</f>
        <v>Completed</v>
      </c>
    </row>
    <row r="6287">
      <c r="A6287" s="9" t="str">
        <f>IFERROR(__xludf.DUMMYFUNCTION("""COMPUTED_VALUE"""),"G-REQ-06286")</f>
        <v>G-REQ-06286</v>
      </c>
      <c r="B6287" s="11">
        <f>IFERROR(__xludf.DUMMYFUNCTION("""COMPUTED_VALUE"""),46208.712375655974)</f>
        <v>46208.71238</v>
      </c>
      <c r="C6287" s="9">
        <f>IFERROR(__xludf.DUMMYFUNCTION("""COMPUTED_VALUE"""),24065.0)</f>
        <v>24065</v>
      </c>
      <c r="D6287" s="9" t="str">
        <f>IFERROR(__xludf.DUMMYFUNCTION("""COMPUTED_VALUE"""),"Rejected")</f>
        <v>Rejected</v>
      </c>
    </row>
    <row r="6288">
      <c r="A6288" s="9" t="str">
        <f>IFERROR(__xludf.DUMMYFUNCTION("""COMPUTED_VALUE"""),"G-REQ-06287")</f>
        <v>G-REQ-06287</v>
      </c>
      <c r="B6288" s="11">
        <f>IFERROR(__xludf.DUMMYFUNCTION("""COMPUTED_VALUE"""),46208.79049494583)</f>
        <v>46208.79049</v>
      </c>
      <c r="C6288" s="9">
        <f>IFERROR(__xludf.DUMMYFUNCTION("""COMPUTED_VALUE"""),24069.0)</f>
        <v>24069</v>
      </c>
      <c r="D6288" s="9" t="str">
        <f>IFERROR(__xludf.DUMMYFUNCTION("""COMPUTED_VALUE"""),"Completed")</f>
        <v>Completed</v>
      </c>
    </row>
    <row r="6289">
      <c r="A6289" s="9" t="str">
        <f>IFERROR(__xludf.DUMMYFUNCTION("""COMPUTED_VALUE"""),"G-REQ-06288")</f>
        <v>G-REQ-06288</v>
      </c>
      <c r="B6289" s="11">
        <f>IFERROR(__xludf.DUMMYFUNCTION("""COMPUTED_VALUE"""),46208.86166979125)</f>
        <v>46208.86167</v>
      </c>
      <c r="C6289" s="9">
        <f>IFERROR(__xludf.DUMMYFUNCTION("""COMPUTED_VALUE"""),24073.0)</f>
        <v>24073</v>
      </c>
      <c r="D6289" s="9" t="str">
        <f>IFERROR(__xludf.DUMMYFUNCTION("""COMPUTED_VALUE"""),"Completed")</f>
        <v>Completed</v>
      </c>
    </row>
    <row r="6290">
      <c r="A6290" s="9" t="str">
        <f>IFERROR(__xludf.DUMMYFUNCTION("""COMPUTED_VALUE"""),"G-REQ-06289")</f>
        <v>G-REQ-06289</v>
      </c>
      <c r="B6290" s="11">
        <f>IFERROR(__xludf.DUMMYFUNCTION("""COMPUTED_VALUE"""),46208.93284463667)</f>
        <v>46208.93284</v>
      </c>
      <c r="C6290" s="9">
        <f>IFERROR(__xludf.DUMMYFUNCTION("""COMPUTED_VALUE"""),24077.0)</f>
        <v>24077</v>
      </c>
      <c r="D6290" s="9" t="str">
        <f>IFERROR(__xludf.DUMMYFUNCTION("""COMPUTED_VALUE"""),"Completed")</f>
        <v>Completed</v>
      </c>
    </row>
    <row r="6291">
      <c r="A6291" s="9" t="str">
        <f>IFERROR(__xludf.DUMMYFUNCTION("""COMPUTED_VALUE"""),"G-REQ-06290")</f>
        <v>G-REQ-06290</v>
      </c>
      <c r="B6291" s="11">
        <f>IFERROR(__xludf.DUMMYFUNCTION("""COMPUTED_VALUE"""),46209.004019482076)</f>
        <v>46209.00402</v>
      </c>
      <c r="C6291" s="9">
        <f>IFERROR(__xludf.DUMMYFUNCTION("""COMPUTED_VALUE"""),24081.0)</f>
        <v>24081</v>
      </c>
      <c r="D6291" s="9" t="str">
        <f>IFERROR(__xludf.DUMMYFUNCTION("""COMPUTED_VALUE"""),"Completed")</f>
        <v>Completed</v>
      </c>
    </row>
    <row r="6292">
      <c r="A6292" s="9" t="str">
        <f>IFERROR(__xludf.DUMMYFUNCTION("""COMPUTED_VALUE"""),"G-REQ-06291")</f>
        <v>G-REQ-06291</v>
      </c>
      <c r="B6292" s="11">
        <f>IFERROR(__xludf.DUMMYFUNCTION("""COMPUTED_VALUE"""),46209.075194327495)</f>
        <v>46209.07519</v>
      </c>
      <c r="C6292" s="9">
        <f>IFERROR(__xludf.DUMMYFUNCTION("""COMPUTED_VALUE"""),24085.0)</f>
        <v>24085</v>
      </c>
      <c r="D6292" s="9" t="str">
        <f>IFERROR(__xludf.DUMMYFUNCTION("""COMPUTED_VALUE"""),"Completed")</f>
        <v>Completed</v>
      </c>
    </row>
    <row r="6293">
      <c r="A6293" s="9" t="str">
        <f>IFERROR(__xludf.DUMMYFUNCTION("""COMPUTED_VALUE"""),"G-REQ-06292")</f>
        <v>G-REQ-06292</v>
      </c>
      <c r="B6293" s="11">
        <f>IFERROR(__xludf.DUMMYFUNCTION("""COMPUTED_VALUE"""),46209.13942472847)</f>
        <v>46209.13942</v>
      </c>
      <c r="C6293" s="9">
        <f>IFERROR(__xludf.DUMMYFUNCTION("""COMPUTED_VALUE"""),24087.0)</f>
        <v>24087</v>
      </c>
      <c r="D6293" s="9" t="str">
        <f>IFERROR(__xludf.DUMMYFUNCTION("""COMPUTED_VALUE"""),"Rejected")</f>
        <v>Rejected</v>
      </c>
    </row>
    <row r="6294">
      <c r="A6294" s="9" t="str">
        <f>IFERROR(__xludf.DUMMYFUNCTION("""COMPUTED_VALUE"""),"G-REQ-06293")</f>
        <v>G-REQ-06293</v>
      </c>
      <c r="B6294" s="11">
        <f>IFERROR(__xludf.DUMMYFUNCTION("""COMPUTED_VALUE"""),46209.21754401833)</f>
        <v>46209.21754</v>
      </c>
      <c r="C6294" s="9">
        <f>IFERROR(__xludf.DUMMYFUNCTION("""COMPUTED_VALUE"""),24091.0)</f>
        <v>24091</v>
      </c>
      <c r="D6294" s="9" t="str">
        <f>IFERROR(__xludf.DUMMYFUNCTION("""COMPUTED_VALUE"""),"Completed")</f>
        <v>Completed</v>
      </c>
    </row>
    <row r="6295">
      <c r="A6295" s="9" t="str">
        <f>IFERROR(__xludf.DUMMYFUNCTION("""COMPUTED_VALUE"""),"G-REQ-06294")</f>
        <v>G-REQ-06294</v>
      </c>
      <c r="B6295" s="11">
        <f>IFERROR(__xludf.DUMMYFUNCTION("""COMPUTED_VALUE"""),46209.28871886374)</f>
        <v>46209.28872</v>
      </c>
      <c r="C6295" s="9">
        <f>IFERROR(__xludf.DUMMYFUNCTION("""COMPUTED_VALUE"""),24095.0)</f>
        <v>24095</v>
      </c>
      <c r="D6295" s="9" t="str">
        <f>IFERROR(__xludf.DUMMYFUNCTION("""COMPUTED_VALUE"""),"Completed")</f>
        <v>Completed</v>
      </c>
    </row>
    <row r="6296">
      <c r="A6296" s="9" t="str">
        <f>IFERROR(__xludf.DUMMYFUNCTION("""COMPUTED_VALUE"""),"G-REQ-06295")</f>
        <v>G-REQ-06295</v>
      </c>
      <c r="B6296" s="11">
        <f>IFERROR(__xludf.DUMMYFUNCTION("""COMPUTED_VALUE"""),46209.35989370916)</f>
        <v>46209.35989</v>
      </c>
      <c r="C6296" s="9">
        <f>IFERROR(__xludf.DUMMYFUNCTION("""COMPUTED_VALUE"""),24099.0)</f>
        <v>24099</v>
      </c>
      <c r="D6296" s="9" t="str">
        <f>IFERROR(__xludf.DUMMYFUNCTION("""COMPUTED_VALUE"""),"Completed")</f>
        <v>Completed</v>
      </c>
    </row>
    <row r="6297">
      <c r="A6297" s="9" t="str">
        <f>IFERROR(__xludf.DUMMYFUNCTION("""COMPUTED_VALUE"""),"G-REQ-06296")</f>
        <v>G-REQ-06296</v>
      </c>
      <c r="B6297" s="11">
        <f>IFERROR(__xludf.DUMMYFUNCTION("""COMPUTED_VALUE"""),46209.43106855457)</f>
        <v>46209.43107</v>
      </c>
      <c r="C6297" s="9">
        <f>IFERROR(__xludf.DUMMYFUNCTION("""COMPUTED_VALUE"""),24103.0)</f>
        <v>24103</v>
      </c>
      <c r="D6297" s="9" t="str">
        <f>IFERROR(__xludf.DUMMYFUNCTION("""COMPUTED_VALUE"""),"Completed")</f>
        <v>Completed</v>
      </c>
    </row>
    <row r="6298">
      <c r="A6298" s="9" t="str">
        <f>IFERROR(__xludf.DUMMYFUNCTION("""COMPUTED_VALUE"""),"G-REQ-06297")</f>
        <v>G-REQ-06297</v>
      </c>
      <c r="B6298" s="11">
        <f>IFERROR(__xludf.DUMMYFUNCTION("""COMPUTED_VALUE"""),46209.502243399984)</f>
        <v>46209.50224</v>
      </c>
      <c r="C6298" s="9">
        <f>IFERROR(__xludf.DUMMYFUNCTION("""COMPUTED_VALUE"""),24107.0)</f>
        <v>24107</v>
      </c>
      <c r="D6298" s="9" t="str">
        <f>IFERROR(__xludf.DUMMYFUNCTION("""COMPUTED_VALUE"""),"Completed")</f>
        <v>Completed</v>
      </c>
    </row>
    <row r="6299">
      <c r="A6299" s="9" t="str">
        <f>IFERROR(__xludf.DUMMYFUNCTION("""COMPUTED_VALUE"""),"G-REQ-06298")</f>
        <v>G-REQ-06298</v>
      </c>
      <c r="B6299" s="11">
        <f>IFERROR(__xludf.DUMMYFUNCTION("""COMPUTED_VALUE"""),46209.5734182454)</f>
        <v>46209.57342</v>
      </c>
      <c r="C6299" s="9">
        <f>IFERROR(__xludf.DUMMYFUNCTION("""COMPUTED_VALUE"""),24111.0)</f>
        <v>24111</v>
      </c>
      <c r="D6299" s="9" t="str">
        <f>IFERROR(__xludf.DUMMYFUNCTION("""COMPUTED_VALUE"""),"Completed")</f>
        <v>Completed</v>
      </c>
    </row>
    <row r="6300">
      <c r="A6300" s="9" t="str">
        <f>IFERROR(__xludf.DUMMYFUNCTION("""COMPUTED_VALUE"""),"G-REQ-06299")</f>
        <v>G-REQ-06299</v>
      </c>
      <c r="B6300" s="11">
        <f>IFERROR(__xludf.DUMMYFUNCTION("""COMPUTED_VALUE"""),46209.644593090816)</f>
        <v>46209.64459</v>
      </c>
      <c r="C6300" s="9">
        <f>IFERROR(__xludf.DUMMYFUNCTION("""COMPUTED_VALUE"""),24115.0)</f>
        <v>24115</v>
      </c>
      <c r="D6300" s="9" t="str">
        <f>IFERROR(__xludf.DUMMYFUNCTION("""COMPUTED_VALUE"""),"Completed")</f>
        <v>Completed</v>
      </c>
    </row>
    <row r="6301">
      <c r="A6301" s="9" t="str">
        <f>IFERROR(__xludf.DUMMYFUNCTION("""COMPUTED_VALUE"""),"G-REQ-06300")</f>
        <v>G-REQ-06300</v>
      </c>
      <c r="B6301" s="11">
        <f>IFERROR(__xludf.DUMMYFUNCTION("""COMPUTED_VALUE"""),46209.71576793623)</f>
        <v>46209.71577</v>
      </c>
      <c r="C6301" s="9">
        <f>IFERROR(__xludf.DUMMYFUNCTION("""COMPUTED_VALUE"""),24119.0)</f>
        <v>24119</v>
      </c>
      <c r="D6301" s="9" t="str">
        <f>IFERROR(__xludf.DUMMYFUNCTION("""COMPUTED_VALUE"""),"Completed")</f>
        <v>Completed</v>
      </c>
    </row>
    <row r="6302">
      <c r="A6302" s="9" t="str">
        <f>IFERROR(__xludf.DUMMYFUNCTION("""COMPUTED_VALUE"""),"G-REQ-06301")</f>
        <v>G-REQ-06301</v>
      </c>
      <c r="B6302" s="11">
        <f>IFERROR(__xludf.DUMMYFUNCTION("""COMPUTED_VALUE"""),46209.7799983372)</f>
        <v>46209.78</v>
      </c>
      <c r="C6302" s="9">
        <f>IFERROR(__xludf.DUMMYFUNCTION("""COMPUTED_VALUE"""),24121.0)</f>
        <v>24121</v>
      </c>
      <c r="D6302" s="9" t="str">
        <f>IFERROR(__xludf.DUMMYFUNCTION("""COMPUTED_VALUE"""),"Cancelled")</f>
        <v>Cancelled</v>
      </c>
    </row>
    <row r="6303">
      <c r="A6303" s="9" t="str">
        <f>IFERROR(__xludf.DUMMYFUNCTION("""COMPUTED_VALUE"""),"G-REQ-06302")</f>
        <v>G-REQ-06302</v>
      </c>
      <c r="B6303" s="11">
        <f>IFERROR(__xludf.DUMMYFUNCTION("""COMPUTED_VALUE"""),46209.85811762706)</f>
        <v>46209.85812</v>
      </c>
      <c r="C6303" s="9">
        <f>IFERROR(__xludf.DUMMYFUNCTION("""COMPUTED_VALUE"""),24125.0)</f>
        <v>24125</v>
      </c>
      <c r="D6303" s="9" t="str">
        <f>IFERROR(__xludf.DUMMYFUNCTION("""COMPUTED_VALUE"""),"Completed")</f>
        <v>Completed</v>
      </c>
    </row>
    <row r="6304">
      <c r="A6304" s="9" t="str">
        <f>IFERROR(__xludf.DUMMYFUNCTION("""COMPUTED_VALUE"""),"G-REQ-06303")</f>
        <v>G-REQ-06303</v>
      </c>
      <c r="B6304" s="11">
        <f>IFERROR(__xludf.DUMMYFUNCTION("""COMPUTED_VALUE"""),46209.92929247247)</f>
        <v>46209.92929</v>
      </c>
      <c r="C6304" s="9">
        <f>IFERROR(__xludf.DUMMYFUNCTION("""COMPUTED_VALUE"""),24129.0)</f>
        <v>24129</v>
      </c>
      <c r="D6304" s="9" t="str">
        <f>IFERROR(__xludf.DUMMYFUNCTION("""COMPUTED_VALUE"""),"Completed")</f>
        <v>Completed</v>
      </c>
    </row>
    <row r="6305">
      <c r="A6305" s="9" t="str">
        <f>IFERROR(__xludf.DUMMYFUNCTION("""COMPUTED_VALUE"""),"G-REQ-06304")</f>
        <v>G-REQ-06304</v>
      </c>
      <c r="B6305" s="11">
        <f>IFERROR(__xludf.DUMMYFUNCTION("""COMPUTED_VALUE"""),46209.99352287345)</f>
        <v>46209.99352</v>
      </c>
      <c r="C6305" s="9">
        <f>IFERROR(__xludf.DUMMYFUNCTION("""COMPUTED_VALUE"""),24131.0)</f>
        <v>24131</v>
      </c>
      <c r="D6305" s="9" t="str">
        <f>IFERROR(__xludf.DUMMYFUNCTION("""COMPUTED_VALUE"""),"Cancelled")</f>
        <v>Cancelled</v>
      </c>
    </row>
    <row r="6306">
      <c r="A6306" s="9" t="str">
        <f>IFERROR(__xludf.DUMMYFUNCTION("""COMPUTED_VALUE"""),"G-REQ-06305")</f>
        <v>G-REQ-06305</v>
      </c>
      <c r="B6306" s="11">
        <f>IFERROR(__xludf.DUMMYFUNCTION("""COMPUTED_VALUE"""),46210.07164216331)</f>
        <v>46210.07164</v>
      </c>
      <c r="C6306" s="9">
        <f>IFERROR(__xludf.DUMMYFUNCTION("""COMPUTED_VALUE"""),24135.0)</f>
        <v>24135</v>
      </c>
      <c r="D6306" s="9" t="str">
        <f>IFERROR(__xludf.DUMMYFUNCTION("""COMPUTED_VALUE"""),"Completed")</f>
        <v>Completed</v>
      </c>
    </row>
    <row r="6307">
      <c r="A6307" s="9" t="str">
        <f>IFERROR(__xludf.DUMMYFUNCTION("""COMPUTED_VALUE"""),"G-REQ-06306")</f>
        <v>G-REQ-06306</v>
      </c>
      <c r="B6307" s="11">
        <f>IFERROR(__xludf.DUMMYFUNCTION("""COMPUTED_VALUE"""),46210.14281700872)</f>
        <v>46210.14282</v>
      </c>
      <c r="C6307" s="9">
        <f>IFERROR(__xludf.DUMMYFUNCTION("""COMPUTED_VALUE"""),24139.0)</f>
        <v>24139</v>
      </c>
      <c r="D6307" s="9" t="str">
        <f>IFERROR(__xludf.DUMMYFUNCTION("""COMPUTED_VALUE"""),"Completed")</f>
        <v>Completed</v>
      </c>
    </row>
    <row r="6308">
      <c r="A6308" s="9" t="str">
        <f>IFERROR(__xludf.DUMMYFUNCTION("""COMPUTED_VALUE"""),"G-REQ-06307")</f>
        <v>G-REQ-06307</v>
      </c>
      <c r="B6308" s="11">
        <f>IFERROR(__xludf.DUMMYFUNCTION("""COMPUTED_VALUE"""),46210.213991854136)</f>
        <v>46210.21399</v>
      </c>
      <c r="C6308" s="9">
        <f>IFERROR(__xludf.DUMMYFUNCTION("""COMPUTED_VALUE"""),24143.0)</f>
        <v>24143</v>
      </c>
      <c r="D6308" s="9" t="str">
        <f>IFERROR(__xludf.DUMMYFUNCTION("""COMPUTED_VALUE"""),"Completed")</f>
        <v>Completed</v>
      </c>
    </row>
    <row r="6309">
      <c r="A6309" s="9" t="str">
        <f>IFERROR(__xludf.DUMMYFUNCTION("""COMPUTED_VALUE"""),"G-REQ-06308")</f>
        <v>G-REQ-06308</v>
      </c>
      <c r="B6309" s="11">
        <f>IFERROR(__xludf.DUMMYFUNCTION("""COMPUTED_VALUE"""),46210.27822225511)</f>
        <v>46210.27822</v>
      </c>
      <c r="C6309" s="9">
        <f>IFERROR(__xludf.DUMMYFUNCTION("""COMPUTED_VALUE"""),24145.0)</f>
        <v>24145</v>
      </c>
      <c r="D6309" s="9" t="str">
        <f>IFERROR(__xludf.DUMMYFUNCTION("""COMPUTED_VALUE"""),"Cancelled")</f>
        <v>Cancelled</v>
      </c>
    </row>
    <row r="6310">
      <c r="A6310" s="9" t="str">
        <f>IFERROR(__xludf.DUMMYFUNCTION("""COMPUTED_VALUE"""),"G-REQ-06309")</f>
        <v>G-REQ-06309</v>
      </c>
      <c r="B6310" s="11">
        <f>IFERROR(__xludf.DUMMYFUNCTION("""COMPUTED_VALUE"""),46210.35634154497)</f>
        <v>46210.35634</v>
      </c>
      <c r="C6310" s="9">
        <f>IFERROR(__xludf.DUMMYFUNCTION("""COMPUTED_VALUE"""),24149.0)</f>
        <v>24149</v>
      </c>
      <c r="D6310" s="9" t="str">
        <f>IFERROR(__xludf.DUMMYFUNCTION("""COMPUTED_VALUE"""),"Completed")</f>
        <v>Completed</v>
      </c>
    </row>
    <row r="6311">
      <c r="A6311" s="9" t="str">
        <f>IFERROR(__xludf.DUMMYFUNCTION("""COMPUTED_VALUE"""),"G-REQ-06310")</f>
        <v>G-REQ-06310</v>
      </c>
      <c r="B6311" s="11">
        <f>IFERROR(__xludf.DUMMYFUNCTION("""COMPUTED_VALUE"""),46210.420571945935)</f>
        <v>46210.42057</v>
      </c>
      <c r="C6311" s="9">
        <f>IFERROR(__xludf.DUMMYFUNCTION("""COMPUTED_VALUE"""),24151.0)</f>
        <v>24151</v>
      </c>
      <c r="D6311" s="9" t="str">
        <f>IFERROR(__xludf.DUMMYFUNCTION("""COMPUTED_VALUE"""),"Cancelled")</f>
        <v>Cancelled</v>
      </c>
    </row>
    <row r="6312">
      <c r="A6312" s="9" t="str">
        <f>IFERROR(__xludf.DUMMYFUNCTION("""COMPUTED_VALUE"""),"G-REQ-06311")</f>
        <v>G-REQ-06311</v>
      </c>
      <c r="B6312" s="11">
        <f>IFERROR(__xludf.DUMMYFUNCTION("""COMPUTED_VALUE"""),46210.491746791355)</f>
        <v>46210.49175</v>
      </c>
      <c r="C6312" s="9">
        <f>IFERROR(__xludf.DUMMYFUNCTION("""COMPUTED_VALUE"""),24153.0)</f>
        <v>24153</v>
      </c>
      <c r="D6312" s="9" t="str">
        <f>IFERROR(__xludf.DUMMYFUNCTION("""COMPUTED_VALUE"""),"Rejected")</f>
        <v>Rejected</v>
      </c>
    </row>
    <row r="6313">
      <c r="A6313" s="9" t="str">
        <f>IFERROR(__xludf.DUMMYFUNCTION("""COMPUTED_VALUE"""),"G-REQ-06312")</f>
        <v>G-REQ-06312</v>
      </c>
      <c r="B6313" s="11">
        <f>IFERROR(__xludf.DUMMYFUNCTION("""COMPUTED_VALUE"""),46210.56986608121)</f>
        <v>46210.56987</v>
      </c>
      <c r="C6313" s="9">
        <f>IFERROR(__xludf.DUMMYFUNCTION("""COMPUTED_VALUE"""),24157.0)</f>
        <v>24157</v>
      </c>
      <c r="D6313" s="9" t="str">
        <f>IFERROR(__xludf.DUMMYFUNCTION("""COMPUTED_VALUE"""),"Completed")</f>
        <v>Completed</v>
      </c>
    </row>
    <row r="6314">
      <c r="A6314" s="9" t="str">
        <f>IFERROR(__xludf.DUMMYFUNCTION("""COMPUTED_VALUE"""),"G-REQ-06313")</f>
        <v>G-REQ-06313</v>
      </c>
      <c r="B6314" s="11">
        <f>IFERROR(__xludf.DUMMYFUNCTION("""COMPUTED_VALUE"""),46210.63409648218)</f>
        <v>46210.6341</v>
      </c>
      <c r="C6314" s="9">
        <f>IFERROR(__xludf.DUMMYFUNCTION("""COMPUTED_VALUE"""),24159.0)</f>
        <v>24159</v>
      </c>
      <c r="D6314" s="9" t="str">
        <f>IFERROR(__xludf.DUMMYFUNCTION("""COMPUTED_VALUE"""),"Rejected")</f>
        <v>Rejected</v>
      </c>
    </row>
    <row r="6315">
      <c r="A6315" s="9" t="str">
        <f>IFERROR(__xludf.DUMMYFUNCTION("""COMPUTED_VALUE"""),"G-REQ-06314")</f>
        <v>G-REQ-06314</v>
      </c>
      <c r="B6315" s="11">
        <f>IFERROR(__xludf.DUMMYFUNCTION("""COMPUTED_VALUE"""),46210.712215772044)</f>
        <v>46210.71222</v>
      </c>
      <c r="C6315" s="9">
        <f>IFERROR(__xludf.DUMMYFUNCTION("""COMPUTED_VALUE"""),24163.0)</f>
        <v>24163</v>
      </c>
      <c r="D6315" s="9" t="str">
        <f>IFERROR(__xludf.DUMMYFUNCTION("""COMPUTED_VALUE"""),"Completed")</f>
        <v>Completed</v>
      </c>
    </row>
    <row r="6316">
      <c r="A6316" s="9" t="str">
        <f>IFERROR(__xludf.DUMMYFUNCTION("""COMPUTED_VALUE"""),"G-REQ-06315")</f>
        <v>G-REQ-06315</v>
      </c>
      <c r="B6316" s="11">
        <f>IFERROR(__xludf.DUMMYFUNCTION("""COMPUTED_VALUE"""),46210.783390617464)</f>
        <v>46210.78339</v>
      </c>
      <c r="C6316" s="9">
        <f>IFERROR(__xludf.DUMMYFUNCTION("""COMPUTED_VALUE"""),24167.0)</f>
        <v>24167</v>
      </c>
      <c r="D6316" s="9" t="str">
        <f>IFERROR(__xludf.DUMMYFUNCTION("""COMPUTED_VALUE"""),"Completed")</f>
        <v>Completed</v>
      </c>
    </row>
    <row r="6317">
      <c r="A6317" s="9" t="str">
        <f>IFERROR(__xludf.DUMMYFUNCTION("""COMPUTED_VALUE"""),"G-REQ-06316")</f>
        <v>G-REQ-06316</v>
      </c>
      <c r="B6317" s="11">
        <f>IFERROR(__xludf.DUMMYFUNCTION("""COMPUTED_VALUE"""),46210.85456546287)</f>
        <v>46210.85457</v>
      </c>
      <c r="C6317" s="9">
        <f>IFERROR(__xludf.DUMMYFUNCTION("""COMPUTED_VALUE"""),24171.0)</f>
        <v>24171</v>
      </c>
      <c r="D6317" s="9" t="str">
        <f>IFERROR(__xludf.DUMMYFUNCTION("""COMPUTED_VALUE"""),"Completed")</f>
        <v>Completed</v>
      </c>
    </row>
    <row r="6318">
      <c r="A6318" s="9" t="str">
        <f>IFERROR(__xludf.DUMMYFUNCTION("""COMPUTED_VALUE"""),"G-REQ-06317")</f>
        <v>G-REQ-06317</v>
      </c>
      <c r="B6318" s="11">
        <f>IFERROR(__xludf.DUMMYFUNCTION("""COMPUTED_VALUE"""),46210.91879586384)</f>
        <v>46210.9188</v>
      </c>
      <c r="C6318" s="9">
        <f>IFERROR(__xludf.DUMMYFUNCTION("""COMPUTED_VALUE"""),24173.0)</f>
        <v>24173</v>
      </c>
      <c r="D6318" s="9" t="str">
        <f>IFERROR(__xludf.DUMMYFUNCTION("""COMPUTED_VALUE"""),"Cancelled")</f>
        <v>Cancelled</v>
      </c>
    </row>
    <row r="6319">
      <c r="A6319" s="9" t="str">
        <f>IFERROR(__xludf.DUMMYFUNCTION("""COMPUTED_VALUE"""),"G-REQ-06318")</f>
        <v>G-REQ-06318</v>
      </c>
      <c r="B6319" s="11">
        <f>IFERROR(__xludf.DUMMYFUNCTION("""COMPUTED_VALUE"""),46210.9969151537)</f>
        <v>46210.99692</v>
      </c>
      <c r="C6319" s="9">
        <f>IFERROR(__xludf.DUMMYFUNCTION("""COMPUTED_VALUE"""),24177.0)</f>
        <v>24177</v>
      </c>
      <c r="D6319" s="9" t="str">
        <f>IFERROR(__xludf.DUMMYFUNCTION("""COMPUTED_VALUE"""),"Completed")</f>
        <v>Completed</v>
      </c>
    </row>
    <row r="6320">
      <c r="A6320" s="9" t="str">
        <f>IFERROR(__xludf.DUMMYFUNCTION("""COMPUTED_VALUE"""),"G-REQ-06319")</f>
        <v>G-REQ-06319</v>
      </c>
      <c r="B6320" s="11">
        <f>IFERROR(__xludf.DUMMYFUNCTION("""COMPUTED_VALUE"""),46211.06808999912)</f>
        <v>46211.06809</v>
      </c>
      <c r="C6320" s="9">
        <f>IFERROR(__xludf.DUMMYFUNCTION("""COMPUTED_VALUE"""),24181.0)</f>
        <v>24181</v>
      </c>
      <c r="D6320" s="9" t="str">
        <f>IFERROR(__xludf.DUMMYFUNCTION("""COMPUTED_VALUE"""),"Completed")</f>
        <v>Completed</v>
      </c>
    </row>
    <row r="6321">
      <c r="A6321" s="9" t="str">
        <f>IFERROR(__xludf.DUMMYFUNCTION("""COMPUTED_VALUE"""),"G-REQ-06320")</f>
        <v>G-REQ-06320</v>
      </c>
      <c r="B6321" s="11">
        <f>IFERROR(__xludf.DUMMYFUNCTION("""COMPUTED_VALUE"""),46211.13232040009)</f>
        <v>46211.13232</v>
      </c>
      <c r="C6321" s="9">
        <f>IFERROR(__xludf.DUMMYFUNCTION("""COMPUTED_VALUE"""),24183.0)</f>
        <v>24183</v>
      </c>
      <c r="D6321" s="9" t="str">
        <f>IFERROR(__xludf.DUMMYFUNCTION("""COMPUTED_VALUE"""),"Cancelled")</f>
        <v>Cancelled</v>
      </c>
    </row>
    <row r="6322">
      <c r="A6322" s="9" t="str">
        <f>IFERROR(__xludf.DUMMYFUNCTION("""COMPUTED_VALUE"""),"G-REQ-06321")</f>
        <v>G-REQ-06321</v>
      </c>
      <c r="B6322" s="11">
        <f>IFERROR(__xludf.DUMMYFUNCTION("""COMPUTED_VALUE"""),46211.21043968995)</f>
        <v>46211.21044</v>
      </c>
      <c r="C6322" s="9">
        <f>IFERROR(__xludf.DUMMYFUNCTION("""COMPUTED_VALUE"""),24187.0)</f>
        <v>24187</v>
      </c>
      <c r="D6322" s="9" t="str">
        <f>IFERROR(__xludf.DUMMYFUNCTION("""COMPUTED_VALUE"""),"Completed")</f>
        <v>Completed</v>
      </c>
    </row>
    <row r="6323">
      <c r="A6323" s="9" t="str">
        <f>IFERROR(__xludf.DUMMYFUNCTION("""COMPUTED_VALUE"""),"G-REQ-06322")</f>
        <v>G-REQ-06322</v>
      </c>
      <c r="B6323" s="11">
        <f>IFERROR(__xludf.DUMMYFUNCTION("""COMPUTED_VALUE"""),46211.27467009091)</f>
        <v>46211.27467</v>
      </c>
      <c r="C6323" s="9">
        <f>IFERROR(__xludf.DUMMYFUNCTION("""COMPUTED_VALUE"""),24189.0)</f>
        <v>24189</v>
      </c>
      <c r="D6323" s="9" t="str">
        <f>IFERROR(__xludf.DUMMYFUNCTION("""COMPUTED_VALUE"""),"Rejected")</f>
        <v>Rejected</v>
      </c>
    </row>
    <row r="6324">
      <c r="A6324" s="9" t="str">
        <f>IFERROR(__xludf.DUMMYFUNCTION("""COMPUTED_VALUE"""),"G-REQ-06323")</f>
        <v>G-REQ-06323</v>
      </c>
      <c r="B6324" s="11">
        <f>IFERROR(__xludf.DUMMYFUNCTION("""COMPUTED_VALUE"""),46211.35278938078)</f>
        <v>46211.35279</v>
      </c>
      <c r="C6324" s="9">
        <f>IFERROR(__xludf.DUMMYFUNCTION("""COMPUTED_VALUE"""),24193.0)</f>
        <v>24193</v>
      </c>
      <c r="D6324" s="9" t="str">
        <f>IFERROR(__xludf.DUMMYFUNCTION("""COMPUTED_VALUE"""),"Completed")</f>
        <v>Completed</v>
      </c>
    </row>
    <row r="6325">
      <c r="A6325" s="9" t="str">
        <f>IFERROR(__xludf.DUMMYFUNCTION("""COMPUTED_VALUE"""),"G-REQ-06324")</f>
        <v>G-REQ-06324</v>
      </c>
      <c r="B6325" s="11">
        <f>IFERROR(__xludf.DUMMYFUNCTION("""COMPUTED_VALUE"""),46211.4239642262)</f>
        <v>46211.42396</v>
      </c>
      <c r="C6325" s="9">
        <f>IFERROR(__xludf.DUMMYFUNCTION("""COMPUTED_VALUE"""),24197.0)</f>
        <v>24197</v>
      </c>
      <c r="D6325" s="9" t="str">
        <f>IFERROR(__xludf.DUMMYFUNCTION("""COMPUTED_VALUE"""),"Completed")</f>
        <v>Completed</v>
      </c>
    </row>
    <row r="6326">
      <c r="A6326" s="9" t="str">
        <f>IFERROR(__xludf.DUMMYFUNCTION("""COMPUTED_VALUE"""),"G-REQ-06325")</f>
        <v>G-REQ-06325</v>
      </c>
      <c r="B6326" s="11">
        <f>IFERROR(__xludf.DUMMYFUNCTION("""COMPUTED_VALUE"""),46211.49513907161)</f>
        <v>46211.49514</v>
      </c>
      <c r="C6326" s="9">
        <f>IFERROR(__xludf.DUMMYFUNCTION("""COMPUTED_VALUE"""),24201.0)</f>
        <v>24201</v>
      </c>
      <c r="D6326" s="9" t="str">
        <f>IFERROR(__xludf.DUMMYFUNCTION("""COMPUTED_VALUE"""),"Completed")</f>
        <v>Completed</v>
      </c>
    </row>
    <row r="6327">
      <c r="A6327" s="9" t="str">
        <f>IFERROR(__xludf.DUMMYFUNCTION("""COMPUTED_VALUE"""),"G-REQ-06326")</f>
        <v>G-REQ-06326</v>
      </c>
      <c r="B6327" s="11">
        <f>IFERROR(__xludf.DUMMYFUNCTION("""COMPUTED_VALUE"""),46211.56631391702)</f>
        <v>46211.56631</v>
      </c>
      <c r="C6327" s="9">
        <f>IFERROR(__xludf.DUMMYFUNCTION("""COMPUTED_VALUE"""),24205.0)</f>
        <v>24205</v>
      </c>
      <c r="D6327" s="9" t="str">
        <f>IFERROR(__xludf.DUMMYFUNCTION("""COMPUTED_VALUE"""),"Completed")</f>
        <v>Completed</v>
      </c>
    </row>
    <row r="6328">
      <c r="A6328" s="9" t="str">
        <f>IFERROR(__xludf.DUMMYFUNCTION("""COMPUTED_VALUE"""),"G-REQ-06327")</f>
        <v>G-REQ-06327</v>
      </c>
      <c r="B6328" s="11">
        <f>IFERROR(__xludf.DUMMYFUNCTION("""COMPUTED_VALUE"""),46211.63748876244)</f>
        <v>46211.63749</v>
      </c>
      <c r="C6328" s="9">
        <f>IFERROR(__xludf.DUMMYFUNCTION("""COMPUTED_VALUE"""),24209.0)</f>
        <v>24209</v>
      </c>
      <c r="D6328" s="9" t="str">
        <f>IFERROR(__xludf.DUMMYFUNCTION("""COMPUTED_VALUE"""),"Completed")</f>
        <v>Completed</v>
      </c>
    </row>
    <row r="6329">
      <c r="A6329" s="9" t="str">
        <f>IFERROR(__xludf.DUMMYFUNCTION("""COMPUTED_VALUE"""),"G-REQ-06328")</f>
        <v>G-REQ-06328</v>
      </c>
      <c r="B6329" s="11">
        <f>IFERROR(__xludf.DUMMYFUNCTION("""COMPUTED_VALUE"""),46211.70866360785)</f>
        <v>46211.70866</v>
      </c>
      <c r="C6329" s="9">
        <f>IFERROR(__xludf.DUMMYFUNCTION("""COMPUTED_VALUE"""),24213.0)</f>
        <v>24213</v>
      </c>
      <c r="D6329" s="9" t="str">
        <f>IFERROR(__xludf.DUMMYFUNCTION("""COMPUTED_VALUE"""),"Completed")</f>
        <v>Completed</v>
      </c>
    </row>
    <row r="6330">
      <c r="A6330" s="9" t="str">
        <f>IFERROR(__xludf.DUMMYFUNCTION("""COMPUTED_VALUE"""),"G-REQ-06329")</f>
        <v>G-REQ-06329</v>
      </c>
      <c r="B6330" s="11">
        <f>IFERROR(__xludf.DUMMYFUNCTION("""COMPUTED_VALUE"""),46211.779838453265)</f>
        <v>46211.77984</v>
      </c>
      <c r="C6330" s="9">
        <f>IFERROR(__xludf.DUMMYFUNCTION("""COMPUTED_VALUE"""),24217.0)</f>
        <v>24217</v>
      </c>
      <c r="D6330" s="9" t="str">
        <f>IFERROR(__xludf.DUMMYFUNCTION("""COMPUTED_VALUE"""),"Completed")</f>
        <v>Completed</v>
      </c>
    </row>
    <row r="6331">
      <c r="A6331" s="9" t="str">
        <f>IFERROR(__xludf.DUMMYFUNCTION("""COMPUTED_VALUE"""),"G-REQ-06330")</f>
        <v>G-REQ-06330</v>
      </c>
      <c r="B6331" s="11">
        <f>IFERROR(__xludf.DUMMYFUNCTION("""COMPUTED_VALUE"""),46211.851013298685)</f>
        <v>46211.85101</v>
      </c>
      <c r="C6331" s="9">
        <f>IFERROR(__xludf.DUMMYFUNCTION("""COMPUTED_VALUE"""),24221.0)</f>
        <v>24221</v>
      </c>
      <c r="D6331" s="9" t="str">
        <f>IFERROR(__xludf.DUMMYFUNCTION("""COMPUTED_VALUE"""),"Completed")</f>
        <v>Completed</v>
      </c>
    </row>
    <row r="6332">
      <c r="A6332" s="9" t="str">
        <f>IFERROR(__xludf.DUMMYFUNCTION("""COMPUTED_VALUE"""),"G-REQ-06331")</f>
        <v>G-REQ-06331</v>
      </c>
      <c r="B6332" s="11">
        <f>IFERROR(__xludf.DUMMYFUNCTION("""COMPUTED_VALUE"""),46211.922188144104)</f>
        <v>46211.92219</v>
      </c>
      <c r="C6332" s="9">
        <f>IFERROR(__xludf.DUMMYFUNCTION("""COMPUTED_VALUE"""),24225.0)</f>
        <v>24225</v>
      </c>
      <c r="D6332" s="9" t="str">
        <f>IFERROR(__xludf.DUMMYFUNCTION("""COMPUTED_VALUE"""),"Completed")</f>
        <v>Completed</v>
      </c>
    </row>
    <row r="6333">
      <c r="A6333" s="9" t="str">
        <f>IFERROR(__xludf.DUMMYFUNCTION("""COMPUTED_VALUE"""),"G-REQ-06332")</f>
        <v>G-REQ-06332</v>
      </c>
      <c r="B6333" s="11">
        <f>IFERROR(__xludf.DUMMYFUNCTION("""COMPUTED_VALUE"""),46211.99336298951)</f>
        <v>46211.99336</v>
      </c>
      <c r="C6333" s="9">
        <f>IFERROR(__xludf.DUMMYFUNCTION("""COMPUTED_VALUE"""),24229.0)</f>
        <v>24229</v>
      </c>
      <c r="D6333" s="9" t="str">
        <f>IFERROR(__xludf.DUMMYFUNCTION("""COMPUTED_VALUE"""),"Completed")</f>
        <v>Completed</v>
      </c>
    </row>
    <row r="6334">
      <c r="A6334" s="9" t="str">
        <f>IFERROR(__xludf.DUMMYFUNCTION("""COMPUTED_VALUE"""),"G-REQ-06333")</f>
        <v>G-REQ-06333</v>
      </c>
      <c r="B6334" s="11">
        <f>IFERROR(__xludf.DUMMYFUNCTION("""COMPUTED_VALUE"""),46212.06453783493)</f>
        <v>46212.06454</v>
      </c>
      <c r="C6334" s="9">
        <f>IFERROR(__xludf.DUMMYFUNCTION("""COMPUTED_VALUE"""),24233.0)</f>
        <v>24233</v>
      </c>
      <c r="D6334" s="9" t="str">
        <f>IFERROR(__xludf.DUMMYFUNCTION("""COMPUTED_VALUE"""),"Completed")</f>
        <v>Completed</v>
      </c>
    </row>
    <row r="6335">
      <c r="A6335" s="9" t="str">
        <f>IFERROR(__xludf.DUMMYFUNCTION("""COMPUTED_VALUE"""),"G-REQ-06334")</f>
        <v>G-REQ-06334</v>
      </c>
      <c r="B6335" s="11">
        <f>IFERROR(__xludf.DUMMYFUNCTION("""COMPUTED_VALUE"""),46212.1287682359)</f>
        <v>46212.12877</v>
      </c>
      <c r="C6335" s="9">
        <f>IFERROR(__xludf.DUMMYFUNCTION("""COMPUTED_VALUE"""),24235.0)</f>
        <v>24235</v>
      </c>
      <c r="D6335" s="9" t="str">
        <f>IFERROR(__xludf.DUMMYFUNCTION("""COMPUTED_VALUE"""),"Rejected")</f>
        <v>Rejected</v>
      </c>
    </row>
    <row r="6336">
      <c r="A6336" s="9" t="str">
        <f>IFERROR(__xludf.DUMMYFUNCTION("""COMPUTED_VALUE"""),"G-REQ-06335")</f>
        <v>G-REQ-06335</v>
      </c>
      <c r="B6336" s="11">
        <f>IFERROR(__xludf.DUMMYFUNCTION("""COMPUTED_VALUE"""),46212.20688752576)</f>
        <v>46212.20689</v>
      </c>
      <c r="C6336" s="9">
        <f>IFERROR(__xludf.DUMMYFUNCTION("""COMPUTED_VALUE"""),24239.0)</f>
        <v>24239</v>
      </c>
      <c r="D6336" s="9" t="str">
        <f>IFERROR(__xludf.DUMMYFUNCTION("""COMPUTED_VALUE"""),"Completed")</f>
        <v>Completed</v>
      </c>
    </row>
    <row r="6337">
      <c r="A6337" s="9" t="str">
        <f>IFERROR(__xludf.DUMMYFUNCTION("""COMPUTED_VALUE"""),"G-REQ-06336")</f>
        <v>G-REQ-06336</v>
      </c>
      <c r="B6337" s="11">
        <f>IFERROR(__xludf.DUMMYFUNCTION("""COMPUTED_VALUE"""),46212.27806237117)</f>
        <v>46212.27806</v>
      </c>
      <c r="C6337" s="9">
        <f>IFERROR(__xludf.DUMMYFUNCTION("""COMPUTED_VALUE"""),24243.0)</f>
        <v>24243</v>
      </c>
      <c r="D6337" s="9" t="str">
        <f>IFERROR(__xludf.DUMMYFUNCTION("""COMPUTED_VALUE"""),"Completed")</f>
        <v>Completed</v>
      </c>
    </row>
    <row r="6338">
      <c r="A6338" s="9" t="str">
        <f>IFERROR(__xludf.DUMMYFUNCTION("""COMPUTED_VALUE"""),"G-REQ-06337")</f>
        <v>G-REQ-06337</v>
      </c>
      <c r="B6338" s="11">
        <f>IFERROR(__xludf.DUMMYFUNCTION("""COMPUTED_VALUE"""),46212.34923721659)</f>
        <v>46212.34924</v>
      </c>
      <c r="C6338" s="9">
        <f>IFERROR(__xludf.DUMMYFUNCTION("""COMPUTED_VALUE"""),24247.0)</f>
        <v>24247</v>
      </c>
      <c r="D6338" s="9" t="str">
        <f>IFERROR(__xludf.DUMMYFUNCTION("""COMPUTED_VALUE"""),"Completed")</f>
        <v>Completed</v>
      </c>
    </row>
    <row r="6339">
      <c r="A6339" s="9" t="str">
        <f>IFERROR(__xludf.DUMMYFUNCTION("""COMPUTED_VALUE"""),"G-REQ-06338")</f>
        <v>G-REQ-06338</v>
      </c>
      <c r="B6339" s="11">
        <f>IFERROR(__xludf.DUMMYFUNCTION("""COMPUTED_VALUE"""),46212.420412062005)</f>
        <v>46212.42041</v>
      </c>
      <c r="C6339" s="9">
        <f>IFERROR(__xludf.DUMMYFUNCTION("""COMPUTED_VALUE"""),24251.0)</f>
        <v>24251</v>
      </c>
      <c r="D6339" s="9" t="str">
        <f>IFERROR(__xludf.DUMMYFUNCTION("""COMPUTED_VALUE"""),"Completed")</f>
        <v>Completed</v>
      </c>
    </row>
    <row r="6340">
      <c r="A6340" s="9" t="str">
        <f>IFERROR(__xludf.DUMMYFUNCTION("""COMPUTED_VALUE"""),"G-REQ-06339")</f>
        <v>G-REQ-06339</v>
      </c>
      <c r="B6340" s="11">
        <f>IFERROR(__xludf.DUMMYFUNCTION("""COMPUTED_VALUE"""),46212.48464246297)</f>
        <v>46212.48464</v>
      </c>
      <c r="C6340" s="9">
        <f>IFERROR(__xludf.DUMMYFUNCTION("""COMPUTED_VALUE"""),24253.0)</f>
        <v>24253</v>
      </c>
      <c r="D6340" s="9" t="str">
        <f>IFERROR(__xludf.DUMMYFUNCTION("""COMPUTED_VALUE"""),"Rejected")</f>
        <v>Rejected</v>
      </c>
    </row>
    <row r="6341">
      <c r="A6341" s="9" t="str">
        <f>IFERROR(__xludf.DUMMYFUNCTION("""COMPUTED_VALUE"""),"G-REQ-06340")</f>
        <v>G-REQ-06340</v>
      </c>
      <c r="B6341" s="11">
        <f>IFERROR(__xludf.DUMMYFUNCTION("""COMPUTED_VALUE"""),46212.56276175284)</f>
        <v>46212.56276</v>
      </c>
      <c r="C6341" s="9">
        <f>IFERROR(__xludf.DUMMYFUNCTION("""COMPUTED_VALUE"""),24257.0)</f>
        <v>24257</v>
      </c>
      <c r="D6341" s="9" t="str">
        <f>IFERROR(__xludf.DUMMYFUNCTION("""COMPUTED_VALUE"""),"Completed")</f>
        <v>Completed</v>
      </c>
    </row>
    <row r="6342">
      <c r="A6342" s="9" t="str">
        <f>IFERROR(__xludf.DUMMYFUNCTION("""COMPUTED_VALUE"""),"G-REQ-06341")</f>
        <v>G-REQ-06341</v>
      </c>
      <c r="B6342" s="11">
        <f>IFERROR(__xludf.DUMMYFUNCTION("""COMPUTED_VALUE"""),46212.63393659825)</f>
        <v>46212.63394</v>
      </c>
      <c r="C6342" s="9">
        <f>IFERROR(__xludf.DUMMYFUNCTION("""COMPUTED_VALUE"""),24261.0)</f>
        <v>24261</v>
      </c>
      <c r="D6342" s="9" t="str">
        <f>IFERROR(__xludf.DUMMYFUNCTION("""COMPUTED_VALUE"""),"Completed")</f>
        <v>Completed</v>
      </c>
    </row>
    <row r="6343">
      <c r="A6343" s="9" t="str">
        <f>IFERROR(__xludf.DUMMYFUNCTION("""COMPUTED_VALUE"""),"G-REQ-06342")</f>
        <v>G-REQ-06342</v>
      </c>
      <c r="B6343" s="11">
        <f>IFERROR(__xludf.DUMMYFUNCTION("""COMPUTED_VALUE"""),46212.70511144366)</f>
        <v>46212.70511</v>
      </c>
      <c r="C6343" s="9">
        <f>IFERROR(__xludf.DUMMYFUNCTION("""COMPUTED_VALUE"""),24265.0)</f>
        <v>24265</v>
      </c>
      <c r="D6343" s="9" t="str">
        <f>IFERROR(__xludf.DUMMYFUNCTION("""COMPUTED_VALUE"""),"Completed")</f>
        <v>Completed</v>
      </c>
    </row>
    <row r="6344">
      <c r="A6344" s="9" t="str">
        <f>IFERROR(__xludf.DUMMYFUNCTION("""COMPUTED_VALUE"""),"G-REQ-06343")</f>
        <v>G-REQ-06343</v>
      </c>
      <c r="B6344" s="11">
        <f>IFERROR(__xludf.DUMMYFUNCTION("""COMPUTED_VALUE"""),46212.77628628908)</f>
        <v>46212.77629</v>
      </c>
      <c r="C6344" s="9">
        <f>IFERROR(__xludf.DUMMYFUNCTION("""COMPUTED_VALUE"""),24269.0)</f>
        <v>24269</v>
      </c>
      <c r="D6344" s="9" t="str">
        <f>IFERROR(__xludf.DUMMYFUNCTION("""COMPUTED_VALUE"""),"Completed")</f>
        <v>Completed</v>
      </c>
    </row>
    <row r="6345">
      <c r="A6345" s="9" t="str">
        <f>IFERROR(__xludf.DUMMYFUNCTION("""COMPUTED_VALUE"""),"G-REQ-06344")</f>
        <v>G-REQ-06344</v>
      </c>
      <c r="B6345" s="11">
        <f>IFERROR(__xludf.DUMMYFUNCTION("""COMPUTED_VALUE"""),46212.847461134494)</f>
        <v>46212.84746</v>
      </c>
      <c r="C6345" s="9">
        <f>IFERROR(__xludf.DUMMYFUNCTION("""COMPUTED_VALUE"""),24273.0)</f>
        <v>24273</v>
      </c>
      <c r="D6345" s="9" t="str">
        <f>IFERROR(__xludf.DUMMYFUNCTION("""COMPUTED_VALUE"""),"Completed")</f>
        <v>Completed</v>
      </c>
    </row>
    <row r="6346">
      <c r="A6346" s="9" t="str">
        <f>IFERROR(__xludf.DUMMYFUNCTION("""COMPUTED_VALUE"""),"G-REQ-06345")</f>
        <v>G-REQ-06345</v>
      </c>
      <c r="B6346" s="11">
        <f>IFERROR(__xludf.DUMMYFUNCTION("""COMPUTED_VALUE"""),46212.918635979906)</f>
        <v>46212.91864</v>
      </c>
      <c r="C6346" s="9">
        <f>IFERROR(__xludf.DUMMYFUNCTION("""COMPUTED_VALUE"""),24277.0)</f>
        <v>24277</v>
      </c>
      <c r="D6346" s="9" t="str">
        <f>IFERROR(__xludf.DUMMYFUNCTION("""COMPUTED_VALUE"""),"Completed")</f>
        <v>Completed</v>
      </c>
    </row>
    <row r="6347">
      <c r="A6347" s="9" t="str">
        <f>IFERROR(__xludf.DUMMYFUNCTION("""COMPUTED_VALUE"""),"G-REQ-06346")</f>
        <v>G-REQ-06346</v>
      </c>
      <c r="B6347" s="11">
        <f>IFERROR(__xludf.DUMMYFUNCTION("""COMPUTED_VALUE"""),46212.989810825326)</f>
        <v>46212.98981</v>
      </c>
      <c r="C6347" s="9">
        <f>IFERROR(__xludf.DUMMYFUNCTION("""COMPUTED_VALUE"""),24281.0)</f>
        <v>24281</v>
      </c>
      <c r="D6347" s="9" t="str">
        <f>IFERROR(__xludf.DUMMYFUNCTION("""COMPUTED_VALUE"""),"Completed")</f>
        <v>Completed</v>
      </c>
    </row>
    <row r="6348">
      <c r="A6348" s="9" t="str">
        <f>IFERROR(__xludf.DUMMYFUNCTION("""COMPUTED_VALUE"""),"G-REQ-06347")</f>
        <v>G-REQ-06347</v>
      </c>
      <c r="B6348" s="11">
        <f>IFERROR(__xludf.DUMMYFUNCTION("""COMPUTED_VALUE"""),46213.060985670745)</f>
        <v>46213.06099</v>
      </c>
      <c r="C6348" s="9">
        <f>IFERROR(__xludf.DUMMYFUNCTION("""COMPUTED_VALUE"""),24285.0)</f>
        <v>24285</v>
      </c>
      <c r="D6348" s="9" t="str">
        <f>IFERROR(__xludf.DUMMYFUNCTION("""COMPUTED_VALUE"""),"Completed")</f>
        <v>Completed</v>
      </c>
    </row>
    <row r="6349">
      <c r="A6349" s="9" t="str">
        <f>IFERROR(__xludf.DUMMYFUNCTION("""COMPUTED_VALUE"""),"G-REQ-06348")</f>
        <v>G-REQ-06348</v>
      </c>
      <c r="B6349" s="11">
        <f>IFERROR(__xludf.DUMMYFUNCTION("""COMPUTED_VALUE"""),46213.13216051615)</f>
        <v>46213.13216</v>
      </c>
      <c r="C6349" s="9">
        <f>IFERROR(__xludf.DUMMYFUNCTION("""COMPUTED_VALUE"""),24289.0)</f>
        <v>24289</v>
      </c>
      <c r="D6349" s="9" t="str">
        <f>IFERROR(__xludf.DUMMYFUNCTION("""COMPUTED_VALUE"""),"Completed")</f>
        <v>Completed</v>
      </c>
    </row>
    <row r="6350">
      <c r="A6350" s="9" t="str">
        <f>IFERROR(__xludf.DUMMYFUNCTION("""COMPUTED_VALUE"""),"G-REQ-06349")</f>
        <v>G-REQ-06349</v>
      </c>
      <c r="B6350" s="11">
        <f>IFERROR(__xludf.DUMMYFUNCTION("""COMPUTED_VALUE"""),46213.20333536157)</f>
        <v>46213.20334</v>
      </c>
      <c r="C6350" s="9">
        <f>IFERROR(__xludf.DUMMYFUNCTION("""COMPUTED_VALUE"""),24293.0)</f>
        <v>24293</v>
      </c>
      <c r="D6350" s="9" t="str">
        <f>IFERROR(__xludf.DUMMYFUNCTION("""COMPUTED_VALUE"""),"Completed")</f>
        <v>Completed</v>
      </c>
    </row>
    <row r="6351">
      <c r="A6351" s="9" t="str">
        <f>IFERROR(__xludf.DUMMYFUNCTION("""COMPUTED_VALUE"""),"G-REQ-06350")</f>
        <v>G-REQ-06350</v>
      </c>
      <c r="B6351" s="11">
        <f>IFERROR(__xludf.DUMMYFUNCTION("""COMPUTED_VALUE"""),46213.27451020699)</f>
        <v>46213.27451</v>
      </c>
      <c r="C6351" s="9">
        <f>IFERROR(__xludf.DUMMYFUNCTION("""COMPUTED_VALUE"""),24297.0)</f>
        <v>24297</v>
      </c>
      <c r="D6351" s="9" t="str">
        <f>IFERROR(__xludf.DUMMYFUNCTION("""COMPUTED_VALUE"""),"Completed")</f>
        <v>Completed</v>
      </c>
    </row>
    <row r="6352">
      <c r="A6352" s="9" t="str">
        <f>IFERROR(__xludf.DUMMYFUNCTION("""COMPUTED_VALUE"""),"G-REQ-06351")</f>
        <v>G-REQ-06351</v>
      </c>
      <c r="B6352" s="11">
        <f>IFERROR(__xludf.DUMMYFUNCTION("""COMPUTED_VALUE"""),46213.3456850524)</f>
        <v>46213.34569</v>
      </c>
      <c r="C6352" s="9">
        <f>IFERROR(__xludf.DUMMYFUNCTION("""COMPUTED_VALUE"""),24301.0)</f>
        <v>24301</v>
      </c>
      <c r="D6352" s="9" t="str">
        <f>IFERROR(__xludf.DUMMYFUNCTION("""COMPUTED_VALUE"""),"Completed")</f>
        <v>Completed</v>
      </c>
    </row>
    <row r="6353">
      <c r="A6353" s="9" t="str">
        <f>IFERROR(__xludf.DUMMYFUNCTION("""COMPUTED_VALUE"""),"G-REQ-06352")</f>
        <v>G-REQ-06352</v>
      </c>
      <c r="B6353" s="11">
        <f>IFERROR(__xludf.DUMMYFUNCTION("""COMPUTED_VALUE"""),46213.416859897814)</f>
        <v>46213.41686</v>
      </c>
      <c r="C6353" s="9">
        <f>IFERROR(__xludf.DUMMYFUNCTION("""COMPUTED_VALUE"""),24305.0)</f>
        <v>24305</v>
      </c>
      <c r="D6353" s="9" t="str">
        <f>IFERROR(__xludf.DUMMYFUNCTION("""COMPUTED_VALUE"""),"Completed")</f>
        <v>Completed</v>
      </c>
    </row>
    <row r="6354">
      <c r="A6354" s="9" t="str">
        <f>IFERROR(__xludf.DUMMYFUNCTION("""COMPUTED_VALUE"""),"G-REQ-06353")</f>
        <v>G-REQ-06353</v>
      </c>
      <c r="B6354" s="11">
        <f>IFERROR(__xludf.DUMMYFUNCTION("""COMPUTED_VALUE"""),46213.48109029879)</f>
        <v>46213.48109</v>
      </c>
      <c r="C6354" s="9">
        <f>IFERROR(__xludf.DUMMYFUNCTION("""COMPUTED_VALUE"""),24307.0)</f>
        <v>24307</v>
      </c>
      <c r="D6354" s="9" t="str">
        <f>IFERROR(__xludf.DUMMYFUNCTION("""COMPUTED_VALUE"""),"Cancelled")</f>
        <v>Cancelled</v>
      </c>
    </row>
    <row r="6355">
      <c r="A6355" s="9" t="str">
        <f>IFERROR(__xludf.DUMMYFUNCTION("""COMPUTED_VALUE"""),"G-REQ-06354")</f>
        <v>G-REQ-06354</v>
      </c>
      <c r="B6355" s="11">
        <f>IFERROR(__xludf.DUMMYFUNCTION("""COMPUTED_VALUE"""),46213.5522651442)</f>
        <v>46213.55227</v>
      </c>
      <c r="C6355" s="9">
        <f>IFERROR(__xludf.DUMMYFUNCTION("""COMPUTED_VALUE"""),24309.0)</f>
        <v>24309</v>
      </c>
      <c r="D6355" s="9" t="str">
        <f>IFERROR(__xludf.DUMMYFUNCTION("""COMPUTED_VALUE"""),"Cancelled")</f>
        <v>Cancelled</v>
      </c>
    </row>
    <row r="6356">
      <c r="A6356" s="9" t="str">
        <f>IFERROR(__xludf.DUMMYFUNCTION("""COMPUTED_VALUE"""),"G-REQ-06355")</f>
        <v>G-REQ-06355</v>
      </c>
      <c r="B6356" s="11">
        <f>IFERROR(__xludf.DUMMYFUNCTION("""COMPUTED_VALUE"""),46213.63038443406)</f>
        <v>46213.63038</v>
      </c>
      <c r="C6356" s="9">
        <f>IFERROR(__xludf.DUMMYFUNCTION("""COMPUTED_VALUE"""),24313.0)</f>
        <v>24313</v>
      </c>
      <c r="D6356" s="9" t="str">
        <f>IFERROR(__xludf.DUMMYFUNCTION("""COMPUTED_VALUE"""),"Completed")</f>
        <v>Completed</v>
      </c>
    </row>
    <row r="6357">
      <c r="A6357" s="9" t="str">
        <f>IFERROR(__xludf.DUMMYFUNCTION("""COMPUTED_VALUE"""),"G-REQ-06356")</f>
        <v>G-REQ-06356</v>
      </c>
      <c r="B6357" s="11">
        <f>IFERROR(__xludf.DUMMYFUNCTION("""COMPUTED_VALUE"""),46213.70155927948)</f>
        <v>46213.70156</v>
      </c>
      <c r="C6357" s="9">
        <f>IFERROR(__xludf.DUMMYFUNCTION("""COMPUTED_VALUE"""),24317.0)</f>
        <v>24317</v>
      </c>
      <c r="D6357" s="9" t="str">
        <f>IFERROR(__xludf.DUMMYFUNCTION("""COMPUTED_VALUE"""),"Completed")</f>
        <v>Completed</v>
      </c>
    </row>
    <row r="6358">
      <c r="A6358" s="9" t="str">
        <f>IFERROR(__xludf.DUMMYFUNCTION("""COMPUTED_VALUE"""),"G-REQ-06357")</f>
        <v>G-REQ-06357</v>
      </c>
      <c r="B6358" s="11">
        <f>IFERROR(__xludf.DUMMYFUNCTION("""COMPUTED_VALUE"""),46213.7727341249)</f>
        <v>46213.77273</v>
      </c>
      <c r="C6358" s="9">
        <f>IFERROR(__xludf.DUMMYFUNCTION("""COMPUTED_VALUE"""),24321.0)</f>
        <v>24321</v>
      </c>
      <c r="D6358" s="9" t="str">
        <f>IFERROR(__xludf.DUMMYFUNCTION("""COMPUTED_VALUE"""),"Completed")</f>
        <v>Completed</v>
      </c>
    </row>
    <row r="6359">
      <c r="A6359" s="9" t="str">
        <f>IFERROR(__xludf.DUMMYFUNCTION("""COMPUTED_VALUE"""),"G-REQ-06358")</f>
        <v>G-REQ-06358</v>
      </c>
      <c r="B6359" s="11">
        <f>IFERROR(__xludf.DUMMYFUNCTION("""COMPUTED_VALUE"""),46213.8439089703)</f>
        <v>46213.84391</v>
      </c>
      <c r="C6359" s="9">
        <f>IFERROR(__xludf.DUMMYFUNCTION("""COMPUTED_VALUE"""),24325.0)</f>
        <v>24325</v>
      </c>
      <c r="D6359" s="9" t="str">
        <f>IFERROR(__xludf.DUMMYFUNCTION("""COMPUTED_VALUE"""),"Completed")</f>
        <v>Completed</v>
      </c>
    </row>
    <row r="6360">
      <c r="A6360" s="9" t="str">
        <f>IFERROR(__xludf.DUMMYFUNCTION("""COMPUTED_VALUE"""),"G-REQ-06359")</f>
        <v>G-REQ-06359</v>
      </c>
      <c r="B6360" s="11">
        <f>IFERROR(__xludf.DUMMYFUNCTION("""COMPUTED_VALUE"""),46213.91508381572)</f>
        <v>46213.91508</v>
      </c>
      <c r="C6360" s="9">
        <f>IFERROR(__xludf.DUMMYFUNCTION("""COMPUTED_VALUE"""),24329.0)</f>
        <v>24329</v>
      </c>
      <c r="D6360" s="9" t="str">
        <f>IFERROR(__xludf.DUMMYFUNCTION("""COMPUTED_VALUE"""),"Completed")</f>
        <v>Completed</v>
      </c>
    </row>
    <row r="6361">
      <c r="A6361" s="9" t="str">
        <f>IFERROR(__xludf.DUMMYFUNCTION("""COMPUTED_VALUE"""),"G-REQ-06360")</f>
        <v>G-REQ-06360</v>
      </c>
      <c r="B6361" s="11">
        <f>IFERROR(__xludf.DUMMYFUNCTION("""COMPUTED_VALUE"""),46213.986258661134)</f>
        <v>46213.98626</v>
      </c>
      <c r="C6361" s="9">
        <f>IFERROR(__xludf.DUMMYFUNCTION("""COMPUTED_VALUE"""),24333.0)</f>
        <v>24333</v>
      </c>
      <c r="D6361" s="9" t="str">
        <f>IFERROR(__xludf.DUMMYFUNCTION("""COMPUTED_VALUE"""),"Completed")</f>
        <v>Completed</v>
      </c>
    </row>
    <row r="6362">
      <c r="A6362" s="9" t="str">
        <f>IFERROR(__xludf.DUMMYFUNCTION("""COMPUTED_VALUE"""),"G-REQ-06361")</f>
        <v>G-REQ-06361</v>
      </c>
      <c r="B6362" s="11">
        <f>IFERROR(__xludf.DUMMYFUNCTION("""COMPUTED_VALUE"""),46214.057433506554)</f>
        <v>46214.05743</v>
      </c>
      <c r="C6362" s="9">
        <f>IFERROR(__xludf.DUMMYFUNCTION("""COMPUTED_VALUE"""),24337.0)</f>
        <v>24337</v>
      </c>
      <c r="D6362" s="9" t="str">
        <f>IFERROR(__xludf.DUMMYFUNCTION("""COMPUTED_VALUE"""),"Completed")</f>
        <v>Completed</v>
      </c>
    </row>
    <row r="6363">
      <c r="A6363" s="9" t="str">
        <f>IFERROR(__xludf.DUMMYFUNCTION("""COMPUTED_VALUE"""),"G-REQ-06362")</f>
        <v>G-REQ-06362</v>
      </c>
      <c r="B6363" s="11">
        <f>IFERROR(__xludf.DUMMYFUNCTION("""COMPUTED_VALUE"""),46214.12166390752)</f>
        <v>46214.12166</v>
      </c>
      <c r="C6363" s="9">
        <f>IFERROR(__xludf.DUMMYFUNCTION("""COMPUTED_VALUE"""),24339.0)</f>
        <v>24339</v>
      </c>
      <c r="D6363" s="9" t="str">
        <f>IFERROR(__xludf.DUMMYFUNCTION("""COMPUTED_VALUE"""),"Rejected")</f>
        <v>Rejected</v>
      </c>
    </row>
    <row r="6364">
      <c r="A6364" s="9" t="str">
        <f>IFERROR(__xludf.DUMMYFUNCTION("""COMPUTED_VALUE"""),"G-REQ-06363")</f>
        <v>G-REQ-06363</v>
      </c>
      <c r="B6364" s="11">
        <f>IFERROR(__xludf.DUMMYFUNCTION("""COMPUTED_VALUE"""),46214.199783197386)</f>
        <v>46214.19978</v>
      </c>
      <c r="C6364" s="9">
        <f>IFERROR(__xludf.DUMMYFUNCTION("""COMPUTED_VALUE"""),24343.0)</f>
        <v>24343</v>
      </c>
      <c r="D6364" s="9" t="str">
        <f>IFERROR(__xludf.DUMMYFUNCTION("""COMPUTED_VALUE"""),"Completed")</f>
        <v>Completed</v>
      </c>
    </row>
    <row r="6365">
      <c r="A6365" s="9" t="str">
        <f>IFERROR(__xludf.DUMMYFUNCTION("""COMPUTED_VALUE"""),"G-REQ-06364")</f>
        <v>G-REQ-06364</v>
      </c>
      <c r="B6365" s="11">
        <f>IFERROR(__xludf.DUMMYFUNCTION("""COMPUTED_VALUE"""),46214.27095804279)</f>
        <v>46214.27096</v>
      </c>
      <c r="C6365" s="9">
        <f>IFERROR(__xludf.DUMMYFUNCTION("""COMPUTED_VALUE"""),24347.0)</f>
        <v>24347</v>
      </c>
      <c r="D6365" s="9" t="str">
        <f>IFERROR(__xludf.DUMMYFUNCTION("""COMPUTED_VALUE"""),"Completed")</f>
        <v>Completed</v>
      </c>
    </row>
    <row r="6366">
      <c r="A6366" s="9" t="str">
        <f>IFERROR(__xludf.DUMMYFUNCTION("""COMPUTED_VALUE"""),"G-REQ-06365")</f>
        <v>G-REQ-06365</v>
      </c>
      <c r="B6366" s="11">
        <f>IFERROR(__xludf.DUMMYFUNCTION("""COMPUTED_VALUE"""),46214.34213288821)</f>
        <v>46214.34213</v>
      </c>
      <c r="C6366" s="9">
        <f>IFERROR(__xludf.DUMMYFUNCTION("""COMPUTED_VALUE"""),24351.0)</f>
        <v>24351</v>
      </c>
      <c r="D6366" s="9" t="str">
        <f>IFERROR(__xludf.DUMMYFUNCTION("""COMPUTED_VALUE"""),"Completed")</f>
        <v>Completed</v>
      </c>
    </row>
    <row r="6367">
      <c r="A6367" s="9" t="str">
        <f>IFERROR(__xludf.DUMMYFUNCTION("""COMPUTED_VALUE"""),"G-REQ-06366")</f>
        <v>G-REQ-06366</v>
      </c>
      <c r="B6367" s="11">
        <f>IFERROR(__xludf.DUMMYFUNCTION("""COMPUTED_VALUE"""),46214.41330773363)</f>
        <v>46214.41331</v>
      </c>
      <c r="C6367" s="9">
        <f>IFERROR(__xludf.DUMMYFUNCTION("""COMPUTED_VALUE"""),24355.0)</f>
        <v>24355</v>
      </c>
      <c r="D6367" s="9" t="str">
        <f>IFERROR(__xludf.DUMMYFUNCTION("""COMPUTED_VALUE"""),"Completed")</f>
        <v>Completed</v>
      </c>
    </row>
    <row r="6368">
      <c r="A6368" s="9" t="str">
        <f>IFERROR(__xludf.DUMMYFUNCTION("""COMPUTED_VALUE"""),"G-REQ-06367")</f>
        <v>G-REQ-06367</v>
      </c>
      <c r="B6368" s="11">
        <f>IFERROR(__xludf.DUMMYFUNCTION("""COMPUTED_VALUE"""),46214.48448257904)</f>
        <v>46214.48448</v>
      </c>
      <c r="C6368" s="9">
        <f>IFERROR(__xludf.DUMMYFUNCTION("""COMPUTED_VALUE"""),24359.0)</f>
        <v>24359</v>
      </c>
      <c r="D6368" s="9" t="str">
        <f>IFERROR(__xludf.DUMMYFUNCTION("""COMPUTED_VALUE"""),"Completed")</f>
        <v>Completed</v>
      </c>
    </row>
    <row r="6369">
      <c r="A6369" s="9" t="str">
        <f>IFERROR(__xludf.DUMMYFUNCTION("""COMPUTED_VALUE"""),"G-REQ-06368")</f>
        <v>G-REQ-06368</v>
      </c>
      <c r="B6369" s="11">
        <f>IFERROR(__xludf.DUMMYFUNCTION("""COMPUTED_VALUE"""),46214.555657424455)</f>
        <v>46214.55566</v>
      </c>
      <c r="C6369" s="9">
        <f>IFERROR(__xludf.DUMMYFUNCTION("""COMPUTED_VALUE"""),24363.0)</f>
        <v>24363</v>
      </c>
      <c r="D6369" s="9" t="str">
        <f>IFERROR(__xludf.DUMMYFUNCTION("""COMPUTED_VALUE"""),"Completed")</f>
        <v>Completed</v>
      </c>
    </row>
    <row r="6370">
      <c r="A6370" s="9" t="str">
        <f>IFERROR(__xludf.DUMMYFUNCTION("""COMPUTED_VALUE"""),"G-REQ-06369")</f>
        <v>G-REQ-06369</v>
      </c>
      <c r="B6370" s="11">
        <f>IFERROR(__xludf.DUMMYFUNCTION("""COMPUTED_VALUE"""),46214.61988782543)</f>
        <v>46214.61989</v>
      </c>
      <c r="C6370" s="9">
        <f>IFERROR(__xludf.DUMMYFUNCTION("""COMPUTED_VALUE"""),24365.0)</f>
        <v>24365</v>
      </c>
      <c r="D6370" s="9" t="str">
        <f>IFERROR(__xludf.DUMMYFUNCTION("""COMPUTED_VALUE"""),"Rejected")</f>
        <v>Rejected</v>
      </c>
    </row>
    <row r="6371">
      <c r="A6371" s="9" t="str">
        <f>IFERROR(__xludf.DUMMYFUNCTION("""COMPUTED_VALUE"""),"G-REQ-06370")</f>
        <v>G-REQ-06370</v>
      </c>
      <c r="B6371" s="11">
        <f>IFERROR(__xludf.DUMMYFUNCTION("""COMPUTED_VALUE"""),46214.69800711529)</f>
        <v>46214.69801</v>
      </c>
      <c r="C6371" s="9">
        <f>IFERROR(__xludf.DUMMYFUNCTION("""COMPUTED_VALUE"""),24369.0)</f>
        <v>24369</v>
      </c>
      <c r="D6371" s="9" t="str">
        <f>IFERROR(__xludf.DUMMYFUNCTION("""COMPUTED_VALUE"""),"Completed")</f>
        <v>Completed</v>
      </c>
    </row>
    <row r="6372">
      <c r="A6372" s="9" t="str">
        <f>IFERROR(__xludf.DUMMYFUNCTION("""COMPUTED_VALUE"""),"G-REQ-06371")</f>
        <v>G-REQ-06371</v>
      </c>
      <c r="B6372" s="11">
        <f>IFERROR(__xludf.DUMMYFUNCTION("""COMPUTED_VALUE"""),46214.7691819607)</f>
        <v>46214.76918</v>
      </c>
      <c r="C6372" s="9">
        <f>IFERROR(__xludf.DUMMYFUNCTION("""COMPUTED_VALUE"""),24373.0)</f>
        <v>24373</v>
      </c>
      <c r="D6372" s="9" t="str">
        <f>IFERROR(__xludf.DUMMYFUNCTION("""COMPUTED_VALUE"""),"Completed")</f>
        <v>Completed</v>
      </c>
    </row>
    <row r="6373">
      <c r="A6373" s="9" t="str">
        <f>IFERROR(__xludf.DUMMYFUNCTION("""COMPUTED_VALUE"""),"G-REQ-06372")</f>
        <v>G-REQ-06372</v>
      </c>
      <c r="B6373" s="11">
        <f>IFERROR(__xludf.DUMMYFUNCTION("""COMPUTED_VALUE"""),46214.84035680612)</f>
        <v>46214.84036</v>
      </c>
      <c r="C6373" s="9">
        <f>IFERROR(__xludf.DUMMYFUNCTION("""COMPUTED_VALUE"""),24377.0)</f>
        <v>24377</v>
      </c>
      <c r="D6373" s="9" t="str">
        <f>IFERROR(__xludf.DUMMYFUNCTION("""COMPUTED_VALUE"""),"Completed")</f>
        <v>Completed</v>
      </c>
    </row>
    <row r="6374">
      <c r="A6374" s="9" t="str">
        <f>IFERROR(__xludf.DUMMYFUNCTION("""COMPUTED_VALUE"""),"G-REQ-06373")</f>
        <v>G-REQ-06373</v>
      </c>
      <c r="B6374" s="11">
        <f>IFERROR(__xludf.DUMMYFUNCTION("""COMPUTED_VALUE"""),46214.91153165154)</f>
        <v>46214.91153</v>
      </c>
      <c r="C6374" s="9">
        <f>IFERROR(__xludf.DUMMYFUNCTION("""COMPUTED_VALUE"""),24381.0)</f>
        <v>24381</v>
      </c>
      <c r="D6374" s="9" t="str">
        <f>IFERROR(__xludf.DUMMYFUNCTION("""COMPUTED_VALUE"""),"Completed")</f>
        <v>Completed</v>
      </c>
    </row>
    <row r="6375">
      <c r="A6375" s="9" t="str">
        <f>IFERROR(__xludf.DUMMYFUNCTION("""COMPUTED_VALUE"""),"G-REQ-06374")</f>
        <v>G-REQ-06374</v>
      </c>
      <c r="B6375" s="11">
        <f>IFERROR(__xludf.DUMMYFUNCTION("""COMPUTED_VALUE"""),46214.98270649694)</f>
        <v>46214.98271</v>
      </c>
      <c r="C6375" s="9">
        <f>IFERROR(__xludf.DUMMYFUNCTION("""COMPUTED_VALUE"""),24385.0)</f>
        <v>24385</v>
      </c>
      <c r="D6375" s="9" t="str">
        <f>IFERROR(__xludf.DUMMYFUNCTION("""COMPUTED_VALUE"""),"Completed")</f>
        <v>Completed</v>
      </c>
    </row>
    <row r="6376">
      <c r="A6376" s="9" t="str">
        <f>IFERROR(__xludf.DUMMYFUNCTION("""COMPUTED_VALUE"""),"G-REQ-06375")</f>
        <v>G-REQ-06375</v>
      </c>
      <c r="B6376" s="11">
        <f>IFERROR(__xludf.DUMMYFUNCTION("""COMPUTED_VALUE"""),46215.05388134236)</f>
        <v>46215.05388</v>
      </c>
      <c r="C6376" s="9">
        <f>IFERROR(__xludf.DUMMYFUNCTION("""COMPUTED_VALUE"""),24389.0)</f>
        <v>24389</v>
      </c>
      <c r="D6376" s="9" t="str">
        <f>IFERROR(__xludf.DUMMYFUNCTION("""COMPUTED_VALUE"""),"Completed")</f>
        <v>Completed</v>
      </c>
    </row>
    <row r="6377">
      <c r="A6377" s="9" t="str">
        <f>IFERROR(__xludf.DUMMYFUNCTION("""COMPUTED_VALUE"""),"G-REQ-06376")</f>
        <v>G-REQ-06376</v>
      </c>
      <c r="B6377" s="11">
        <f>IFERROR(__xludf.DUMMYFUNCTION("""COMPUTED_VALUE"""),46215.12505618778)</f>
        <v>46215.12506</v>
      </c>
      <c r="C6377" s="9">
        <f>IFERROR(__xludf.DUMMYFUNCTION("""COMPUTED_VALUE"""),24393.0)</f>
        <v>24393</v>
      </c>
      <c r="D6377" s="9" t="str">
        <f>IFERROR(__xludf.DUMMYFUNCTION("""COMPUTED_VALUE"""),"Completed")</f>
        <v>Completed</v>
      </c>
    </row>
    <row r="6378">
      <c r="A6378" s="9" t="str">
        <f>IFERROR(__xludf.DUMMYFUNCTION("""COMPUTED_VALUE"""),"G-REQ-06377")</f>
        <v>G-REQ-06377</v>
      </c>
      <c r="B6378" s="11">
        <f>IFERROR(__xludf.DUMMYFUNCTION("""COMPUTED_VALUE"""),46215.196231033195)</f>
        <v>46215.19623</v>
      </c>
      <c r="C6378" s="9">
        <f>IFERROR(__xludf.DUMMYFUNCTION("""COMPUTED_VALUE"""),24397.0)</f>
        <v>24397</v>
      </c>
      <c r="D6378" s="9" t="str">
        <f>IFERROR(__xludf.DUMMYFUNCTION("""COMPUTED_VALUE"""),"Completed")</f>
        <v>Completed</v>
      </c>
    </row>
    <row r="6379">
      <c r="A6379" s="9" t="str">
        <f>IFERROR(__xludf.DUMMYFUNCTION("""COMPUTED_VALUE"""),"G-REQ-06378")</f>
        <v>G-REQ-06378</v>
      </c>
      <c r="B6379" s="11">
        <f>IFERROR(__xludf.DUMMYFUNCTION("""COMPUTED_VALUE"""),46215.26046143416)</f>
        <v>46215.26046</v>
      </c>
      <c r="C6379" s="9">
        <f>IFERROR(__xludf.DUMMYFUNCTION("""COMPUTED_VALUE"""),24399.0)</f>
        <v>24399</v>
      </c>
      <c r="D6379" s="9" t="str">
        <f>IFERROR(__xludf.DUMMYFUNCTION("""COMPUTED_VALUE"""),"Rejected")</f>
        <v>Rejected</v>
      </c>
    </row>
    <row r="6380">
      <c r="A6380" s="9" t="str">
        <f>IFERROR(__xludf.DUMMYFUNCTION("""COMPUTED_VALUE"""),"G-REQ-06379")</f>
        <v>G-REQ-06379</v>
      </c>
      <c r="B6380" s="11">
        <f>IFERROR(__xludf.DUMMYFUNCTION("""COMPUTED_VALUE"""),46215.33858072403)</f>
        <v>46215.33858</v>
      </c>
      <c r="C6380" s="9">
        <f>IFERROR(__xludf.DUMMYFUNCTION("""COMPUTED_VALUE"""),24403.0)</f>
        <v>24403</v>
      </c>
      <c r="D6380" s="9" t="str">
        <f>IFERROR(__xludf.DUMMYFUNCTION("""COMPUTED_VALUE"""),"Completed")</f>
        <v>Completed</v>
      </c>
    </row>
    <row r="6381">
      <c r="A6381" s="9" t="str">
        <f>IFERROR(__xludf.DUMMYFUNCTION("""COMPUTED_VALUE"""),"G-REQ-06380")</f>
        <v>G-REQ-06380</v>
      </c>
      <c r="B6381" s="11">
        <f>IFERROR(__xludf.DUMMYFUNCTION("""COMPUTED_VALUE"""),46215.40975556944)</f>
        <v>46215.40976</v>
      </c>
      <c r="C6381" s="9">
        <f>IFERROR(__xludf.DUMMYFUNCTION("""COMPUTED_VALUE"""),24407.0)</f>
        <v>24407</v>
      </c>
      <c r="D6381" s="9" t="str">
        <f>IFERROR(__xludf.DUMMYFUNCTION("""COMPUTED_VALUE"""),"Completed")</f>
        <v>Completed</v>
      </c>
    </row>
    <row r="6382">
      <c r="A6382" s="9" t="str">
        <f>IFERROR(__xludf.DUMMYFUNCTION("""COMPUTED_VALUE"""),"G-REQ-06381")</f>
        <v>G-REQ-06381</v>
      </c>
      <c r="B6382" s="11">
        <f>IFERROR(__xludf.DUMMYFUNCTION("""COMPUTED_VALUE"""),46215.48093041485)</f>
        <v>46215.48093</v>
      </c>
      <c r="C6382" s="9">
        <f>IFERROR(__xludf.DUMMYFUNCTION("""COMPUTED_VALUE"""),24411.0)</f>
        <v>24411</v>
      </c>
      <c r="D6382" s="9" t="str">
        <f>IFERROR(__xludf.DUMMYFUNCTION("""COMPUTED_VALUE"""),"Completed")</f>
        <v>Completed</v>
      </c>
    </row>
    <row r="6383">
      <c r="A6383" s="9" t="str">
        <f>IFERROR(__xludf.DUMMYFUNCTION("""COMPUTED_VALUE"""),"G-REQ-06382")</f>
        <v>G-REQ-06382</v>
      </c>
      <c r="B6383" s="11">
        <f>IFERROR(__xludf.DUMMYFUNCTION("""COMPUTED_VALUE"""),46215.55210526027)</f>
        <v>46215.55211</v>
      </c>
      <c r="C6383" s="9">
        <f>IFERROR(__xludf.DUMMYFUNCTION("""COMPUTED_VALUE"""),24415.0)</f>
        <v>24415</v>
      </c>
      <c r="D6383" s="9" t="str">
        <f>IFERROR(__xludf.DUMMYFUNCTION("""COMPUTED_VALUE"""),"Completed")</f>
        <v>Completed</v>
      </c>
    </row>
    <row r="6384">
      <c r="A6384" s="9" t="str">
        <f>IFERROR(__xludf.DUMMYFUNCTION("""COMPUTED_VALUE"""),"G-REQ-06383")</f>
        <v>G-REQ-06383</v>
      </c>
      <c r="B6384" s="11">
        <f>IFERROR(__xludf.DUMMYFUNCTION("""COMPUTED_VALUE"""),46215.62328010568)</f>
        <v>46215.62328</v>
      </c>
      <c r="C6384" s="9">
        <f>IFERROR(__xludf.DUMMYFUNCTION("""COMPUTED_VALUE"""),24419.0)</f>
        <v>24419</v>
      </c>
      <c r="D6384" s="9" t="str">
        <f>IFERROR(__xludf.DUMMYFUNCTION("""COMPUTED_VALUE"""),"Completed")</f>
        <v>Completed</v>
      </c>
    </row>
    <row r="6385">
      <c r="A6385" s="9" t="str">
        <f>IFERROR(__xludf.DUMMYFUNCTION("""COMPUTED_VALUE"""),"G-REQ-06384")</f>
        <v>G-REQ-06384</v>
      </c>
      <c r="B6385" s="11">
        <f>IFERROR(__xludf.DUMMYFUNCTION("""COMPUTED_VALUE"""),46215.694454951095)</f>
        <v>46215.69445</v>
      </c>
      <c r="C6385" s="9">
        <f>IFERROR(__xludf.DUMMYFUNCTION("""COMPUTED_VALUE"""),24423.0)</f>
        <v>24423</v>
      </c>
      <c r="D6385" s="9" t="str">
        <f>IFERROR(__xludf.DUMMYFUNCTION("""COMPUTED_VALUE"""),"Completed")</f>
        <v>Completed</v>
      </c>
    </row>
    <row r="6386">
      <c r="A6386" s="9" t="str">
        <f>IFERROR(__xludf.DUMMYFUNCTION("""COMPUTED_VALUE"""),"G-REQ-06385")</f>
        <v>G-REQ-06385</v>
      </c>
      <c r="B6386" s="11">
        <f>IFERROR(__xludf.DUMMYFUNCTION("""COMPUTED_VALUE"""),46215.765629796515)</f>
        <v>46215.76563</v>
      </c>
      <c r="C6386" s="9">
        <f>IFERROR(__xludf.DUMMYFUNCTION("""COMPUTED_VALUE"""),24427.0)</f>
        <v>24427</v>
      </c>
      <c r="D6386" s="9" t="str">
        <f>IFERROR(__xludf.DUMMYFUNCTION("""COMPUTED_VALUE"""),"Completed")</f>
        <v>Completed</v>
      </c>
    </row>
    <row r="6387">
      <c r="A6387" s="9" t="str">
        <f>IFERROR(__xludf.DUMMYFUNCTION("""COMPUTED_VALUE"""),"G-REQ-06386")</f>
        <v>G-REQ-06386</v>
      </c>
      <c r="B6387" s="11">
        <f>IFERROR(__xludf.DUMMYFUNCTION("""COMPUTED_VALUE"""),46215.82986019748)</f>
        <v>46215.82986</v>
      </c>
      <c r="C6387" s="9">
        <f>IFERROR(__xludf.DUMMYFUNCTION("""COMPUTED_VALUE"""),24429.0)</f>
        <v>24429</v>
      </c>
      <c r="D6387" s="9" t="str">
        <f>IFERROR(__xludf.DUMMYFUNCTION("""COMPUTED_VALUE"""),"Rejected")</f>
        <v>Rejected</v>
      </c>
    </row>
    <row r="6388">
      <c r="A6388" s="9" t="str">
        <f>IFERROR(__xludf.DUMMYFUNCTION("""COMPUTED_VALUE"""),"G-REQ-06387")</f>
        <v>G-REQ-06387</v>
      </c>
      <c r="B6388" s="11">
        <f>IFERROR(__xludf.DUMMYFUNCTION("""COMPUTED_VALUE"""),46215.90797948734)</f>
        <v>46215.90798</v>
      </c>
      <c r="C6388" s="9">
        <f>IFERROR(__xludf.DUMMYFUNCTION("""COMPUTED_VALUE"""),24433.0)</f>
        <v>24433</v>
      </c>
      <c r="D6388" s="9" t="str">
        <f>IFERROR(__xludf.DUMMYFUNCTION("""COMPUTED_VALUE"""),"Completed")</f>
        <v>Completed</v>
      </c>
    </row>
    <row r="6389">
      <c r="A6389" s="9" t="str">
        <f>IFERROR(__xludf.DUMMYFUNCTION("""COMPUTED_VALUE"""),"G-REQ-06388")</f>
        <v>G-REQ-06388</v>
      </c>
      <c r="B6389" s="11">
        <f>IFERROR(__xludf.DUMMYFUNCTION("""COMPUTED_VALUE"""),46215.97915433276)</f>
        <v>46215.97915</v>
      </c>
      <c r="C6389" s="9">
        <f>IFERROR(__xludf.DUMMYFUNCTION("""COMPUTED_VALUE"""),24437.0)</f>
        <v>24437</v>
      </c>
      <c r="D6389" s="9" t="str">
        <f>IFERROR(__xludf.DUMMYFUNCTION("""COMPUTED_VALUE"""),"Completed")</f>
        <v>Completed</v>
      </c>
    </row>
    <row r="6390">
      <c r="A6390" s="9" t="str">
        <f>IFERROR(__xludf.DUMMYFUNCTION("""COMPUTED_VALUE"""),"G-REQ-06389")</f>
        <v>G-REQ-06389</v>
      </c>
      <c r="B6390" s="11">
        <f>IFERROR(__xludf.DUMMYFUNCTION("""COMPUTED_VALUE"""),46216.05032917818)</f>
        <v>46216.05033</v>
      </c>
      <c r="C6390" s="9">
        <f>IFERROR(__xludf.DUMMYFUNCTION("""COMPUTED_VALUE"""),24441.0)</f>
        <v>24441</v>
      </c>
      <c r="D6390" s="9" t="str">
        <f>IFERROR(__xludf.DUMMYFUNCTION("""COMPUTED_VALUE"""),"Completed")</f>
        <v>Completed</v>
      </c>
    </row>
    <row r="6391">
      <c r="A6391" s="9" t="str">
        <f>IFERROR(__xludf.DUMMYFUNCTION("""COMPUTED_VALUE"""),"G-REQ-06390")</f>
        <v>G-REQ-06390</v>
      </c>
      <c r="B6391" s="11">
        <f>IFERROR(__xludf.DUMMYFUNCTION("""COMPUTED_VALUE"""),46216.121504023584)</f>
        <v>46216.1215</v>
      </c>
      <c r="C6391" s="9">
        <f>IFERROR(__xludf.DUMMYFUNCTION("""COMPUTED_VALUE"""),24445.0)</f>
        <v>24445</v>
      </c>
      <c r="D6391" s="9" t="str">
        <f>IFERROR(__xludf.DUMMYFUNCTION("""COMPUTED_VALUE"""),"Completed")</f>
        <v>Completed</v>
      </c>
    </row>
    <row r="6392">
      <c r="A6392" s="9" t="str">
        <f>IFERROR(__xludf.DUMMYFUNCTION("""COMPUTED_VALUE"""),"G-REQ-06391")</f>
        <v>G-REQ-06391</v>
      </c>
      <c r="B6392" s="11">
        <f>IFERROR(__xludf.DUMMYFUNCTION("""COMPUTED_VALUE"""),46216.192678869)</f>
        <v>46216.19268</v>
      </c>
      <c r="C6392" s="9">
        <f>IFERROR(__xludf.DUMMYFUNCTION("""COMPUTED_VALUE"""),24449.0)</f>
        <v>24449</v>
      </c>
      <c r="D6392" s="9" t="str">
        <f>IFERROR(__xludf.DUMMYFUNCTION("""COMPUTED_VALUE"""),"Completed")</f>
        <v>Completed</v>
      </c>
    </row>
    <row r="6393">
      <c r="A6393" s="9" t="str">
        <f>IFERROR(__xludf.DUMMYFUNCTION("""COMPUTED_VALUE"""),"G-REQ-06392")</f>
        <v>G-REQ-06392</v>
      </c>
      <c r="B6393" s="11">
        <f>IFERROR(__xludf.DUMMYFUNCTION("""COMPUTED_VALUE"""),46216.26385371442)</f>
        <v>46216.26385</v>
      </c>
      <c r="C6393" s="9">
        <f>IFERROR(__xludf.DUMMYFUNCTION("""COMPUTED_VALUE"""),24453.0)</f>
        <v>24453</v>
      </c>
      <c r="D6393" s="9" t="str">
        <f>IFERROR(__xludf.DUMMYFUNCTION("""COMPUTED_VALUE"""),"Completed")</f>
        <v>Completed</v>
      </c>
    </row>
    <row r="6394">
      <c r="A6394" s="9" t="str">
        <f>IFERROR(__xludf.DUMMYFUNCTION("""COMPUTED_VALUE"""),"G-REQ-06393")</f>
        <v>G-REQ-06393</v>
      </c>
      <c r="B6394" s="11">
        <f>IFERROR(__xludf.DUMMYFUNCTION("""COMPUTED_VALUE"""),46216.335028559835)</f>
        <v>46216.33503</v>
      </c>
      <c r="C6394" s="9">
        <f>IFERROR(__xludf.DUMMYFUNCTION("""COMPUTED_VALUE"""),24457.0)</f>
        <v>24457</v>
      </c>
      <c r="D6394" s="9" t="str">
        <f>IFERROR(__xludf.DUMMYFUNCTION("""COMPUTED_VALUE"""),"Completed")</f>
        <v>Completed</v>
      </c>
    </row>
    <row r="6395">
      <c r="A6395" s="9" t="str">
        <f>IFERROR(__xludf.DUMMYFUNCTION("""COMPUTED_VALUE"""),"G-REQ-06394")</f>
        <v>G-REQ-06394</v>
      </c>
      <c r="B6395" s="11">
        <f>IFERROR(__xludf.DUMMYFUNCTION("""COMPUTED_VALUE"""),46216.40620340525)</f>
        <v>46216.4062</v>
      </c>
      <c r="C6395" s="9">
        <f>IFERROR(__xludf.DUMMYFUNCTION("""COMPUTED_VALUE"""),24461.0)</f>
        <v>24461</v>
      </c>
      <c r="D6395" s="9" t="str">
        <f>IFERROR(__xludf.DUMMYFUNCTION("""COMPUTED_VALUE"""),"Completed")</f>
        <v>Completed</v>
      </c>
    </row>
    <row r="6396">
      <c r="A6396" s="9" t="str">
        <f>IFERROR(__xludf.DUMMYFUNCTION("""COMPUTED_VALUE"""),"G-REQ-06395")</f>
        <v>G-REQ-06395</v>
      </c>
      <c r="B6396" s="11">
        <f>IFERROR(__xludf.DUMMYFUNCTION("""COMPUTED_VALUE"""),46216.47737825067)</f>
        <v>46216.47738</v>
      </c>
      <c r="C6396" s="9">
        <f>IFERROR(__xludf.DUMMYFUNCTION("""COMPUTED_VALUE"""),24465.0)</f>
        <v>24465</v>
      </c>
      <c r="D6396" s="9" t="str">
        <f>IFERROR(__xludf.DUMMYFUNCTION("""COMPUTED_VALUE"""),"Completed")</f>
        <v>Completed</v>
      </c>
    </row>
    <row r="6397">
      <c r="A6397" s="9" t="str">
        <f>IFERROR(__xludf.DUMMYFUNCTION("""COMPUTED_VALUE"""),"G-REQ-06396")</f>
        <v>G-REQ-06396</v>
      </c>
      <c r="B6397" s="11">
        <f>IFERROR(__xludf.DUMMYFUNCTION("""COMPUTED_VALUE"""),46216.54855309608)</f>
        <v>46216.54855</v>
      </c>
      <c r="C6397" s="9">
        <f>IFERROR(__xludf.DUMMYFUNCTION("""COMPUTED_VALUE"""),24469.0)</f>
        <v>24469</v>
      </c>
      <c r="D6397" s="9" t="str">
        <f>IFERROR(__xludf.DUMMYFUNCTION("""COMPUTED_VALUE"""),"Completed")</f>
        <v>Completed</v>
      </c>
    </row>
    <row r="6398">
      <c r="A6398" s="9" t="str">
        <f>IFERROR(__xludf.DUMMYFUNCTION("""COMPUTED_VALUE"""),"G-REQ-06397")</f>
        <v>G-REQ-06397</v>
      </c>
      <c r="B6398" s="11">
        <f>IFERROR(__xludf.DUMMYFUNCTION("""COMPUTED_VALUE"""),46216.61972794149)</f>
        <v>46216.61973</v>
      </c>
      <c r="C6398" s="9">
        <f>IFERROR(__xludf.DUMMYFUNCTION("""COMPUTED_VALUE"""),24473.0)</f>
        <v>24473</v>
      </c>
      <c r="D6398" s="9" t="str">
        <f>IFERROR(__xludf.DUMMYFUNCTION("""COMPUTED_VALUE"""),"Completed")</f>
        <v>Completed</v>
      </c>
    </row>
    <row r="6399">
      <c r="A6399" s="9" t="str">
        <f>IFERROR(__xludf.DUMMYFUNCTION("""COMPUTED_VALUE"""),"G-REQ-06398")</f>
        <v>G-REQ-06398</v>
      </c>
      <c r="B6399" s="11">
        <f>IFERROR(__xludf.DUMMYFUNCTION("""COMPUTED_VALUE"""),46216.69090278691)</f>
        <v>46216.6909</v>
      </c>
      <c r="C6399" s="9">
        <f>IFERROR(__xludf.DUMMYFUNCTION("""COMPUTED_VALUE"""),24477.0)</f>
        <v>24477</v>
      </c>
      <c r="D6399" s="9" t="str">
        <f>IFERROR(__xludf.DUMMYFUNCTION("""COMPUTED_VALUE"""),"Completed")</f>
        <v>Completed</v>
      </c>
    </row>
    <row r="6400">
      <c r="A6400" s="9" t="str">
        <f>IFERROR(__xludf.DUMMYFUNCTION("""COMPUTED_VALUE"""),"G-REQ-06399")</f>
        <v>G-REQ-06399</v>
      </c>
      <c r="B6400" s="11">
        <f>IFERROR(__xludf.DUMMYFUNCTION("""COMPUTED_VALUE"""),46216.762077632324)</f>
        <v>46216.76208</v>
      </c>
      <c r="C6400" s="9">
        <f>IFERROR(__xludf.DUMMYFUNCTION("""COMPUTED_VALUE"""),24481.0)</f>
        <v>24481</v>
      </c>
      <c r="D6400" s="9" t="str">
        <f>IFERROR(__xludf.DUMMYFUNCTION("""COMPUTED_VALUE"""),"Completed")</f>
        <v>Completed</v>
      </c>
    </row>
    <row r="6401">
      <c r="A6401" s="9" t="str">
        <f>IFERROR(__xludf.DUMMYFUNCTION("""COMPUTED_VALUE"""),"G-REQ-06400")</f>
        <v>G-REQ-06400</v>
      </c>
      <c r="B6401" s="11">
        <f>IFERROR(__xludf.DUMMYFUNCTION("""COMPUTED_VALUE"""),46216.833252477736)</f>
        <v>46216.83325</v>
      </c>
      <c r="C6401" s="9">
        <f>IFERROR(__xludf.DUMMYFUNCTION("""COMPUTED_VALUE"""),24485.0)</f>
        <v>24485</v>
      </c>
      <c r="D6401" s="9" t="str">
        <f>IFERROR(__xludf.DUMMYFUNCTION("""COMPUTED_VALUE"""),"Completed")</f>
        <v>Completed</v>
      </c>
    </row>
    <row r="6402">
      <c r="A6402" s="9" t="str">
        <f>IFERROR(__xludf.DUMMYFUNCTION("""COMPUTED_VALUE"""),"G-REQ-06401")</f>
        <v>G-REQ-06401</v>
      </c>
      <c r="B6402" s="11">
        <f>IFERROR(__xludf.DUMMYFUNCTION("""COMPUTED_VALUE"""),46216.89748287871)</f>
        <v>46216.89748</v>
      </c>
      <c r="C6402" s="9">
        <f>IFERROR(__xludf.DUMMYFUNCTION("""COMPUTED_VALUE"""),24487.0)</f>
        <v>24487</v>
      </c>
      <c r="D6402" s="9" t="str">
        <f>IFERROR(__xludf.DUMMYFUNCTION("""COMPUTED_VALUE"""),"Cancelled")</f>
        <v>Cancelled</v>
      </c>
    </row>
    <row r="6403">
      <c r="A6403" s="9" t="str">
        <f>IFERROR(__xludf.DUMMYFUNCTION("""COMPUTED_VALUE"""),"G-REQ-06402")</f>
        <v>G-REQ-06402</v>
      </c>
      <c r="B6403" s="11">
        <f>IFERROR(__xludf.DUMMYFUNCTION("""COMPUTED_VALUE"""),46216.97560216857)</f>
        <v>46216.9756</v>
      </c>
      <c r="C6403" s="9">
        <f>IFERROR(__xludf.DUMMYFUNCTION("""COMPUTED_VALUE"""),24491.0)</f>
        <v>24491</v>
      </c>
      <c r="D6403" s="9" t="str">
        <f>IFERROR(__xludf.DUMMYFUNCTION("""COMPUTED_VALUE"""),"Completed")</f>
        <v>Completed</v>
      </c>
    </row>
    <row r="6404">
      <c r="A6404" s="9" t="str">
        <f>IFERROR(__xludf.DUMMYFUNCTION("""COMPUTED_VALUE"""),"G-REQ-06403")</f>
        <v>G-REQ-06403</v>
      </c>
      <c r="B6404" s="11">
        <f>IFERROR(__xludf.DUMMYFUNCTION("""COMPUTED_VALUE"""),46217.04677701398)</f>
        <v>46217.04678</v>
      </c>
      <c r="C6404" s="9">
        <f>IFERROR(__xludf.DUMMYFUNCTION("""COMPUTED_VALUE"""),24495.0)</f>
        <v>24495</v>
      </c>
      <c r="D6404" s="9" t="str">
        <f>IFERROR(__xludf.DUMMYFUNCTION("""COMPUTED_VALUE"""),"Completed")</f>
        <v>Completed</v>
      </c>
    </row>
    <row r="6405">
      <c r="A6405" s="9" t="str">
        <f>IFERROR(__xludf.DUMMYFUNCTION("""COMPUTED_VALUE"""),"G-REQ-06404")</f>
        <v>G-REQ-06404</v>
      </c>
      <c r="B6405" s="11">
        <f>IFERROR(__xludf.DUMMYFUNCTION("""COMPUTED_VALUE"""),46217.1179518594)</f>
        <v>46217.11795</v>
      </c>
      <c r="C6405" s="9">
        <f>IFERROR(__xludf.DUMMYFUNCTION("""COMPUTED_VALUE"""),24499.0)</f>
        <v>24499</v>
      </c>
      <c r="D6405" s="9" t="str">
        <f>IFERROR(__xludf.DUMMYFUNCTION("""COMPUTED_VALUE"""),"Completed")</f>
        <v>Completed</v>
      </c>
    </row>
    <row r="6406">
      <c r="A6406" s="9" t="str">
        <f>IFERROR(__xludf.DUMMYFUNCTION("""COMPUTED_VALUE"""),"G-REQ-06405")</f>
        <v>G-REQ-06405</v>
      </c>
      <c r="B6406" s="11">
        <f>IFERROR(__xludf.DUMMYFUNCTION("""COMPUTED_VALUE"""),46217.18912670482)</f>
        <v>46217.18913</v>
      </c>
      <c r="C6406" s="9">
        <f>IFERROR(__xludf.DUMMYFUNCTION("""COMPUTED_VALUE"""),24503.0)</f>
        <v>24503</v>
      </c>
      <c r="D6406" s="9" t="str">
        <f>IFERROR(__xludf.DUMMYFUNCTION("""COMPUTED_VALUE"""),"Completed")</f>
        <v>Completed</v>
      </c>
    </row>
    <row r="6407">
      <c r="A6407" s="9" t="str">
        <f>IFERROR(__xludf.DUMMYFUNCTION("""COMPUTED_VALUE"""),"G-REQ-06406")</f>
        <v>G-REQ-06406</v>
      </c>
      <c r="B6407" s="11">
        <f>IFERROR(__xludf.DUMMYFUNCTION("""COMPUTED_VALUE"""),46217.260301550225)</f>
        <v>46217.2603</v>
      </c>
      <c r="C6407" s="9">
        <f>IFERROR(__xludf.DUMMYFUNCTION("""COMPUTED_VALUE"""),24507.0)</f>
        <v>24507</v>
      </c>
      <c r="D6407" s="9" t="str">
        <f>IFERROR(__xludf.DUMMYFUNCTION("""COMPUTED_VALUE"""),"Completed")</f>
        <v>Completed</v>
      </c>
    </row>
    <row r="6408">
      <c r="A6408" s="9" t="str">
        <f>IFERROR(__xludf.DUMMYFUNCTION("""COMPUTED_VALUE"""),"G-REQ-06407")</f>
        <v>G-REQ-06407</v>
      </c>
      <c r="B6408" s="11">
        <f>IFERROR(__xludf.DUMMYFUNCTION("""COMPUTED_VALUE"""),46217.331476395644)</f>
        <v>46217.33148</v>
      </c>
      <c r="C6408" s="9">
        <f>IFERROR(__xludf.DUMMYFUNCTION("""COMPUTED_VALUE"""),24511.0)</f>
        <v>24511</v>
      </c>
      <c r="D6408" s="9" t="str">
        <f>IFERROR(__xludf.DUMMYFUNCTION("""COMPUTED_VALUE"""),"Completed")</f>
        <v>Completed</v>
      </c>
    </row>
    <row r="6409">
      <c r="A6409" s="9" t="str">
        <f>IFERROR(__xludf.DUMMYFUNCTION("""COMPUTED_VALUE"""),"G-REQ-06408")</f>
        <v>G-REQ-06408</v>
      </c>
      <c r="B6409" s="11">
        <f>IFERROR(__xludf.DUMMYFUNCTION("""COMPUTED_VALUE"""),46217.39570679662)</f>
        <v>46217.39571</v>
      </c>
      <c r="C6409" s="9">
        <f>IFERROR(__xludf.DUMMYFUNCTION("""COMPUTED_VALUE"""),24513.0)</f>
        <v>24513</v>
      </c>
      <c r="D6409" s="9" t="str">
        <f>IFERROR(__xludf.DUMMYFUNCTION("""COMPUTED_VALUE"""),"Rejected")</f>
        <v>Rejected</v>
      </c>
    </row>
    <row r="6410">
      <c r="A6410" s="9" t="str">
        <f>IFERROR(__xludf.DUMMYFUNCTION("""COMPUTED_VALUE"""),"G-REQ-06409")</f>
        <v>G-REQ-06409</v>
      </c>
      <c r="B6410" s="11">
        <f>IFERROR(__xludf.DUMMYFUNCTION("""COMPUTED_VALUE"""),46217.473826086476)</f>
        <v>46217.47383</v>
      </c>
      <c r="C6410" s="9">
        <f>IFERROR(__xludf.DUMMYFUNCTION("""COMPUTED_VALUE"""),24517.0)</f>
        <v>24517</v>
      </c>
      <c r="D6410" s="9" t="str">
        <f>IFERROR(__xludf.DUMMYFUNCTION("""COMPUTED_VALUE"""),"Completed")</f>
        <v>Completed</v>
      </c>
    </row>
    <row r="6411">
      <c r="A6411" s="9" t="str">
        <f>IFERROR(__xludf.DUMMYFUNCTION("""COMPUTED_VALUE"""),"G-REQ-06410")</f>
        <v>G-REQ-06410</v>
      </c>
      <c r="B6411" s="11">
        <f>IFERROR(__xludf.DUMMYFUNCTION("""COMPUTED_VALUE"""),46217.54500093189)</f>
        <v>46217.545</v>
      </c>
      <c r="C6411" s="9">
        <f>IFERROR(__xludf.DUMMYFUNCTION("""COMPUTED_VALUE"""),24521.0)</f>
        <v>24521</v>
      </c>
      <c r="D6411" s="9" t="str">
        <f>IFERROR(__xludf.DUMMYFUNCTION("""COMPUTED_VALUE"""),"Completed")</f>
        <v>Completed</v>
      </c>
    </row>
    <row r="6412">
      <c r="A6412" s="9" t="str">
        <f>IFERROR(__xludf.DUMMYFUNCTION("""COMPUTED_VALUE"""),"G-REQ-06411")</f>
        <v>G-REQ-06411</v>
      </c>
      <c r="B6412" s="11">
        <f>IFERROR(__xludf.DUMMYFUNCTION("""COMPUTED_VALUE"""),46217.60923133286)</f>
        <v>46217.60923</v>
      </c>
      <c r="C6412" s="9">
        <f>IFERROR(__xludf.DUMMYFUNCTION("""COMPUTED_VALUE"""),24523.0)</f>
        <v>24523</v>
      </c>
      <c r="D6412" s="9" t="str">
        <f>IFERROR(__xludf.DUMMYFUNCTION("""COMPUTED_VALUE"""),"Cancelled")</f>
        <v>Cancelled</v>
      </c>
    </row>
    <row r="6413">
      <c r="A6413" s="9" t="str">
        <f>IFERROR(__xludf.DUMMYFUNCTION("""COMPUTED_VALUE"""),"G-REQ-06412")</f>
        <v>G-REQ-06412</v>
      </c>
      <c r="B6413" s="11">
        <f>IFERROR(__xludf.DUMMYFUNCTION("""COMPUTED_VALUE"""),46217.680406178275)</f>
        <v>46217.68041</v>
      </c>
      <c r="C6413" s="9">
        <f>IFERROR(__xludf.DUMMYFUNCTION("""COMPUTED_VALUE"""),24525.0)</f>
        <v>24525</v>
      </c>
      <c r="D6413" s="9" t="str">
        <f>IFERROR(__xludf.DUMMYFUNCTION("""COMPUTED_VALUE"""),"Rejected")</f>
        <v>Rejected</v>
      </c>
    </row>
    <row r="6414">
      <c r="A6414" s="9" t="str">
        <f>IFERROR(__xludf.DUMMYFUNCTION("""COMPUTED_VALUE"""),"G-REQ-06413")</f>
        <v>G-REQ-06413</v>
      </c>
      <c r="B6414" s="11">
        <f>IFERROR(__xludf.DUMMYFUNCTION("""COMPUTED_VALUE"""),46217.75852546813)</f>
        <v>46217.75853</v>
      </c>
      <c r="C6414" s="9">
        <f>IFERROR(__xludf.DUMMYFUNCTION("""COMPUTED_VALUE"""),24529.0)</f>
        <v>24529</v>
      </c>
      <c r="D6414" s="9" t="str">
        <f>IFERROR(__xludf.DUMMYFUNCTION("""COMPUTED_VALUE"""),"Completed")</f>
        <v>Completed</v>
      </c>
    </row>
    <row r="6415">
      <c r="A6415" s="9" t="str">
        <f>IFERROR(__xludf.DUMMYFUNCTION("""COMPUTED_VALUE"""),"G-REQ-06414")</f>
        <v>G-REQ-06414</v>
      </c>
      <c r="B6415" s="11">
        <f>IFERROR(__xludf.DUMMYFUNCTION("""COMPUTED_VALUE"""),46217.82970031355)</f>
        <v>46217.8297</v>
      </c>
      <c r="C6415" s="9">
        <f>IFERROR(__xludf.DUMMYFUNCTION("""COMPUTED_VALUE"""),24533.0)</f>
        <v>24533</v>
      </c>
      <c r="D6415" s="9" t="str">
        <f>IFERROR(__xludf.DUMMYFUNCTION("""COMPUTED_VALUE"""),"Completed")</f>
        <v>Completed</v>
      </c>
    </row>
    <row r="6416">
      <c r="A6416" s="9" t="str">
        <f>IFERROR(__xludf.DUMMYFUNCTION("""COMPUTED_VALUE"""),"G-REQ-06415")</f>
        <v>G-REQ-06415</v>
      </c>
      <c r="B6416" s="11">
        <f>IFERROR(__xludf.DUMMYFUNCTION("""COMPUTED_VALUE"""),46217.89393071452)</f>
        <v>46217.89393</v>
      </c>
      <c r="C6416" s="9">
        <f>IFERROR(__xludf.DUMMYFUNCTION("""COMPUTED_VALUE"""),24535.0)</f>
        <v>24535</v>
      </c>
      <c r="D6416" s="9" t="str">
        <f>IFERROR(__xludf.DUMMYFUNCTION("""COMPUTED_VALUE"""),"Rejected")</f>
        <v>Rejected</v>
      </c>
    </row>
    <row r="6417">
      <c r="A6417" s="9" t="str">
        <f>IFERROR(__xludf.DUMMYFUNCTION("""COMPUTED_VALUE"""),"G-REQ-06416")</f>
        <v>G-REQ-06416</v>
      </c>
      <c r="B6417" s="11">
        <f>IFERROR(__xludf.DUMMYFUNCTION("""COMPUTED_VALUE"""),46217.97205000438)</f>
        <v>46217.97205</v>
      </c>
      <c r="C6417" s="9">
        <f>IFERROR(__xludf.DUMMYFUNCTION("""COMPUTED_VALUE"""),24539.0)</f>
        <v>24539</v>
      </c>
      <c r="D6417" s="9" t="str">
        <f>IFERROR(__xludf.DUMMYFUNCTION("""COMPUTED_VALUE"""),"Completed")</f>
        <v>Completed</v>
      </c>
    </row>
    <row r="6418">
      <c r="A6418" s="9" t="str">
        <f>IFERROR(__xludf.DUMMYFUNCTION("""COMPUTED_VALUE"""),"G-REQ-06417")</f>
        <v>G-REQ-06417</v>
      </c>
      <c r="B6418" s="11">
        <f>IFERROR(__xludf.DUMMYFUNCTION("""COMPUTED_VALUE"""),46218.0432248498)</f>
        <v>46218.04322</v>
      </c>
      <c r="C6418" s="9">
        <f>IFERROR(__xludf.DUMMYFUNCTION("""COMPUTED_VALUE"""),24543.0)</f>
        <v>24543</v>
      </c>
      <c r="D6418" s="9" t="str">
        <f>IFERROR(__xludf.DUMMYFUNCTION("""COMPUTED_VALUE"""),"Completed")</f>
        <v>Completed</v>
      </c>
    </row>
    <row r="6419">
      <c r="A6419" s="9" t="str">
        <f>IFERROR(__xludf.DUMMYFUNCTION("""COMPUTED_VALUE"""),"G-REQ-06418")</f>
        <v>G-REQ-06418</v>
      </c>
      <c r="B6419" s="11">
        <f>IFERROR(__xludf.DUMMYFUNCTION("""COMPUTED_VALUE"""),46218.11439969521)</f>
        <v>46218.1144</v>
      </c>
      <c r="C6419" s="9">
        <f>IFERROR(__xludf.DUMMYFUNCTION("""COMPUTED_VALUE"""),24547.0)</f>
        <v>24547</v>
      </c>
      <c r="D6419" s="9" t="str">
        <f>IFERROR(__xludf.DUMMYFUNCTION("""COMPUTED_VALUE"""),"Completed")</f>
        <v>Completed</v>
      </c>
    </row>
    <row r="6420">
      <c r="A6420" s="9" t="str">
        <f>IFERROR(__xludf.DUMMYFUNCTION("""COMPUTED_VALUE"""),"G-REQ-06419")</f>
        <v>G-REQ-06419</v>
      </c>
      <c r="B6420" s="11">
        <f>IFERROR(__xludf.DUMMYFUNCTION("""COMPUTED_VALUE"""),46218.18557454063)</f>
        <v>46218.18557</v>
      </c>
      <c r="C6420" s="9">
        <f>IFERROR(__xludf.DUMMYFUNCTION("""COMPUTED_VALUE"""),24551.0)</f>
        <v>24551</v>
      </c>
      <c r="D6420" s="9" t="str">
        <f>IFERROR(__xludf.DUMMYFUNCTION("""COMPUTED_VALUE"""),"Completed")</f>
        <v>Completed</v>
      </c>
    </row>
    <row r="6421">
      <c r="A6421" s="9" t="str">
        <f>IFERROR(__xludf.DUMMYFUNCTION("""COMPUTED_VALUE"""),"G-REQ-06420")</f>
        <v>G-REQ-06420</v>
      </c>
      <c r="B6421" s="11">
        <f>IFERROR(__xludf.DUMMYFUNCTION("""COMPUTED_VALUE"""),46218.25674938604)</f>
        <v>46218.25675</v>
      </c>
      <c r="C6421" s="9">
        <f>IFERROR(__xludf.DUMMYFUNCTION("""COMPUTED_VALUE"""),24555.0)</f>
        <v>24555</v>
      </c>
      <c r="D6421" s="9" t="str">
        <f>IFERROR(__xludf.DUMMYFUNCTION("""COMPUTED_VALUE"""),"Completed")</f>
        <v>Completed</v>
      </c>
    </row>
    <row r="6422">
      <c r="A6422" s="9" t="str">
        <f>IFERROR(__xludf.DUMMYFUNCTION("""COMPUTED_VALUE"""),"G-REQ-06421")</f>
        <v>G-REQ-06421</v>
      </c>
      <c r="B6422" s="11">
        <f>IFERROR(__xludf.DUMMYFUNCTION("""COMPUTED_VALUE"""),46218.32792423146)</f>
        <v>46218.32792</v>
      </c>
      <c r="C6422" s="9">
        <f>IFERROR(__xludf.DUMMYFUNCTION("""COMPUTED_VALUE"""),24559.0)</f>
        <v>24559</v>
      </c>
      <c r="D6422" s="9" t="str">
        <f>IFERROR(__xludf.DUMMYFUNCTION("""COMPUTED_VALUE"""),"Completed")</f>
        <v>Completed</v>
      </c>
    </row>
    <row r="6423">
      <c r="A6423" s="9" t="str">
        <f>IFERROR(__xludf.DUMMYFUNCTION("""COMPUTED_VALUE"""),"G-REQ-06422")</f>
        <v>G-REQ-06422</v>
      </c>
      <c r="B6423" s="11">
        <f>IFERROR(__xludf.DUMMYFUNCTION("""COMPUTED_VALUE"""),46218.39909907687)</f>
        <v>46218.3991</v>
      </c>
      <c r="C6423" s="9">
        <f>IFERROR(__xludf.DUMMYFUNCTION("""COMPUTED_VALUE"""),24563.0)</f>
        <v>24563</v>
      </c>
      <c r="D6423" s="9" t="str">
        <f>IFERROR(__xludf.DUMMYFUNCTION("""COMPUTED_VALUE"""),"Completed")</f>
        <v>Completed</v>
      </c>
    </row>
    <row r="6424">
      <c r="A6424" s="9" t="str">
        <f>IFERROR(__xludf.DUMMYFUNCTION("""COMPUTED_VALUE"""),"G-REQ-06423")</f>
        <v>G-REQ-06423</v>
      </c>
      <c r="B6424" s="11">
        <f>IFERROR(__xludf.DUMMYFUNCTION("""COMPUTED_VALUE"""),46218.470273922285)</f>
        <v>46218.47027</v>
      </c>
      <c r="C6424" s="9">
        <f>IFERROR(__xludf.DUMMYFUNCTION("""COMPUTED_VALUE"""),24567.0)</f>
        <v>24567</v>
      </c>
      <c r="D6424" s="9" t="str">
        <f>IFERROR(__xludf.DUMMYFUNCTION("""COMPUTED_VALUE"""),"Completed")</f>
        <v>Completed</v>
      </c>
    </row>
    <row r="6425">
      <c r="A6425" s="9" t="str">
        <f>IFERROR(__xludf.DUMMYFUNCTION("""COMPUTED_VALUE"""),"G-REQ-06424")</f>
        <v>G-REQ-06424</v>
      </c>
      <c r="B6425" s="11">
        <f>IFERROR(__xludf.DUMMYFUNCTION("""COMPUTED_VALUE"""),46218.541448767704)</f>
        <v>46218.54145</v>
      </c>
      <c r="C6425" s="9">
        <f>IFERROR(__xludf.DUMMYFUNCTION("""COMPUTED_VALUE"""),24571.0)</f>
        <v>24571</v>
      </c>
      <c r="D6425" s="9" t="str">
        <f>IFERROR(__xludf.DUMMYFUNCTION("""COMPUTED_VALUE"""),"Completed")</f>
        <v>Completed</v>
      </c>
    </row>
    <row r="6426">
      <c r="A6426" s="9" t="str">
        <f>IFERROR(__xludf.DUMMYFUNCTION("""COMPUTED_VALUE"""),"G-REQ-06425")</f>
        <v>G-REQ-06425</v>
      </c>
      <c r="B6426" s="11">
        <f>IFERROR(__xludf.DUMMYFUNCTION("""COMPUTED_VALUE"""),46218.61262361312)</f>
        <v>46218.61262</v>
      </c>
      <c r="C6426" s="9">
        <f>IFERROR(__xludf.DUMMYFUNCTION("""COMPUTED_VALUE"""),24575.0)</f>
        <v>24575</v>
      </c>
      <c r="D6426" s="9" t="str">
        <f>IFERROR(__xludf.DUMMYFUNCTION("""COMPUTED_VALUE"""),"Completed")</f>
        <v>Completed</v>
      </c>
    </row>
    <row r="6427">
      <c r="A6427" s="9" t="str">
        <f>IFERROR(__xludf.DUMMYFUNCTION("""COMPUTED_VALUE"""),"G-REQ-06426")</f>
        <v>G-REQ-06426</v>
      </c>
      <c r="B6427" s="11">
        <f>IFERROR(__xludf.DUMMYFUNCTION("""COMPUTED_VALUE"""),46218.68379845853)</f>
        <v>46218.6838</v>
      </c>
      <c r="C6427" s="9">
        <f>IFERROR(__xludf.DUMMYFUNCTION("""COMPUTED_VALUE"""),24579.0)</f>
        <v>24579</v>
      </c>
      <c r="D6427" s="9" t="str">
        <f>IFERROR(__xludf.DUMMYFUNCTION("""COMPUTED_VALUE"""),"Completed")</f>
        <v>Completed</v>
      </c>
    </row>
    <row r="6428">
      <c r="A6428" s="9" t="str">
        <f>IFERROR(__xludf.DUMMYFUNCTION("""COMPUTED_VALUE"""),"G-REQ-06427")</f>
        <v>G-REQ-06427</v>
      </c>
      <c r="B6428" s="11">
        <f>IFERROR(__xludf.DUMMYFUNCTION("""COMPUTED_VALUE"""),46218.75497330395)</f>
        <v>46218.75497</v>
      </c>
      <c r="C6428" s="9">
        <f>IFERROR(__xludf.DUMMYFUNCTION("""COMPUTED_VALUE"""),24583.0)</f>
        <v>24583</v>
      </c>
      <c r="D6428" s="9" t="str">
        <f>IFERROR(__xludf.DUMMYFUNCTION("""COMPUTED_VALUE"""),"Completed")</f>
        <v>Completed</v>
      </c>
    </row>
    <row r="6429">
      <c r="A6429" s="9" t="str">
        <f>IFERROR(__xludf.DUMMYFUNCTION("""COMPUTED_VALUE"""),"G-REQ-06428")</f>
        <v>G-REQ-06428</v>
      </c>
      <c r="B6429" s="11">
        <f>IFERROR(__xludf.DUMMYFUNCTION("""COMPUTED_VALUE"""),46218.82614814936)</f>
        <v>46218.82615</v>
      </c>
      <c r="C6429" s="9">
        <f>IFERROR(__xludf.DUMMYFUNCTION("""COMPUTED_VALUE"""),24587.0)</f>
        <v>24587</v>
      </c>
      <c r="D6429" s="9" t="str">
        <f>IFERROR(__xludf.DUMMYFUNCTION("""COMPUTED_VALUE"""),"Completed")</f>
        <v>Completed</v>
      </c>
    </row>
    <row r="6430">
      <c r="A6430" s="9" t="str">
        <f>IFERROR(__xludf.DUMMYFUNCTION("""COMPUTED_VALUE"""),"G-REQ-06429")</f>
        <v>G-REQ-06429</v>
      </c>
      <c r="B6430" s="11">
        <f>IFERROR(__xludf.DUMMYFUNCTION("""COMPUTED_VALUE"""),46218.89732299477)</f>
        <v>46218.89732</v>
      </c>
      <c r="C6430" s="9">
        <f>IFERROR(__xludf.DUMMYFUNCTION("""COMPUTED_VALUE"""),24591.0)</f>
        <v>24591</v>
      </c>
      <c r="D6430" s="9" t="str">
        <f>IFERROR(__xludf.DUMMYFUNCTION("""COMPUTED_VALUE"""),"Completed")</f>
        <v>Completed</v>
      </c>
    </row>
    <row r="6431">
      <c r="A6431" s="9" t="str">
        <f>IFERROR(__xludf.DUMMYFUNCTION("""COMPUTED_VALUE"""),"G-REQ-06430")</f>
        <v>G-REQ-06430</v>
      </c>
      <c r="B6431" s="11">
        <f>IFERROR(__xludf.DUMMYFUNCTION("""COMPUTED_VALUE"""),46218.96849784019)</f>
        <v>46218.9685</v>
      </c>
      <c r="C6431" s="9">
        <f>IFERROR(__xludf.DUMMYFUNCTION("""COMPUTED_VALUE"""),24595.0)</f>
        <v>24595</v>
      </c>
      <c r="D6431" s="9" t="str">
        <f>IFERROR(__xludf.DUMMYFUNCTION("""COMPUTED_VALUE"""),"Completed")</f>
        <v>Completed</v>
      </c>
    </row>
    <row r="6432">
      <c r="A6432" s="9" t="str">
        <f>IFERROR(__xludf.DUMMYFUNCTION("""COMPUTED_VALUE"""),"G-REQ-06431")</f>
        <v>G-REQ-06431</v>
      </c>
      <c r="B6432" s="11">
        <f>IFERROR(__xludf.DUMMYFUNCTION("""COMPUTED_VALUE"""),46219.03967268561)</f>
        <v>46219.03967</v>
      </c>
      <c r="C6432" s="9">
        <f>IFERROR(__xludf.DUMMYFUNCTION("""COMPUTED_VALUE"""),24599.0)</f>
        <v>24599</v>
      </c>
      <c r="D6432" s="9" t="str">
        <f>IFERROR(__xludf.DUMMYFUNCTION("""COMPUTED_VALUE"""),"Completed")</f>
        <v>Completed</v>
      </c>
    </row>
    <row r="6433">
      <c r="A6433" s="9" t="str">
        <f>IFERROR(__xludf.DUMMYFUNCTION("""COMPUTED_VALUE"""),"G-REQ-06432")</f>
        <v>G-REQ-06432</v>
      </c>
      <c r="B6433" s="11">
        <f>IFERROR(__xludf.DUMMYFUNCTION("""COMPUTED_VALUE"""),46219.10390308657)</f>
        <v>46219.1039</v>
      </c>
      <c r="C6433" s="9">
        <f>IFERROR(__xludf.DUMMYFUNCTION("""COMPUTED_VALUE"""),24601.0)</f>
        <v>24601</v>
      </c>
      <c r="D6433" s="9" t="str">
        <f>IFERROR(__xludf.DUMMYFUNCTION("""COMPUTED_VALUE"""),"Rejected")</f>
        <v>Rejected</v>
      </c>
    </row>
    <row r="6434">
      <c r="A6434" s="9" t="str">
        <f>IFERROR(__xludf.DUMMYFUNCTION("""COMPUTED_VALUE"""),"G-REQ-06433")</f>
        <v>G-REQ-06433</v>
      </c>
      <c r="B6434" s="11">
        <f>IFERROR(__xludf.DUMMYFUNCTION("""COMPUTED_VALUE"""),46219.17507793199)</f>
        <v>46219.17508</v>
      </c>
      <c r="C6434" s="9">
        <f>IFERROR(__xludf.DUMMYFUNCTION("""COMPUTED_VALUE"""),24603.0)</f>
        <v>24603</v>
      </c>
      <c r="D6434" s="9" t="str">
        <f>IFERROR(__xludf.DUMMYFUNCTION("""COMPUTED_VALUE"""),"Rejected")</f>
        <v>Rejected</v>
      </c>
    </row>
    <row r="6435">
      <c r="A6435" s="9" t="str">
        <f>IFERROR(__xludf.DUMMYFUNCTION("""COMPUTED_VALUE"""),"G-REQ-06434")</f>
        <v>G-REQ-06434</v>
      </c>
      <c r="B6435" s="11">
        <f>IFERROR(__xludf.DUMMYFUNCTION("""COMPUTED_VALUE"""),46219.25319722186)</f>
        <v>46219.2532</v>
      </c>
      <c r="C6435" s="9">
        <f>IFERROR(__xludf.DUMMYFUNCTION("""COMPUTED_VALUE"""),24607.0)</f>
        <v>24607</v>
      </c>
      <c r="D6435" s="9" t="str">
        <f>IFERROR(__xludf.DUMMYFUNCTION("""COMPUTED_VALUE"""),"Completed")</f>
        <v>Completed</v>
      </c>
    </row>
    <row r="6436">
      <c r="A6436" s="9" t="str">
        <f>IFERROR(__xludf.DUMMYFUNCTION("""COMPUTED_VALUE"""),"G-REQ-06435")</f>
        <v>G-REQ-06435</v>
      </c>
      <c r="B6436" s="11">
        <f>IFERROR(__xludf.DUMMYFUNCTION("""COMPUTED_VALUE"""),46219.32437206727)</f>
        <v>46219.32437</v>
      </c>
      <c r="C6436" s="9">
        <f>IFERROR(__xludf.DUMMYFUNCTION("""COMPUTED_VALUE"""),24611.0)</f>
        <v>24611</v>
      </c>
      <c r="D6436" s="9" t="str">
        <f>IFERROR(__xludf.DUMMYFUNCTION("""COMPUTED_VALUE"""),"Completed")</f>
        <v>Completed</v>
      </c>
    </row>
    <row r="6437">
      <c r="A6437" s="9" t="str">
        <f>IFERROR(__xludf.DUMMYFUNCTION("""COMPUTED_VALUE"""),"G-REQ-06436")</f>
        <v>G-REQ-06436</v>
      </c>
      <c r="B6437" s="11">
        <f>IFERROR(__xludf.DUMMYFUNCTION("""COMPUTED_VALUE"""),46219.388602468236)</f>
        <v>46219.3886</v>
      </c>
      <c r="C6437" s="9">
        <f>IFERROR(__xludf.DUMMYFUNCTION("""COMPUTED_VALUE"""),24613.0)</f>
        <v>24613</v>
      </c>
      <c r="D6437" s="9" t="str">
        <f>IFERROR(__xludf.DUMMYFUNCTION("""COMPUTED_VALUE"""),"Rejected")</f>
        <v>Rejected</v>
      </c>
    </row>
    <row r="6438">
      <c r="A6438" s="9" t="str">
        <f>IFERROR(__xludf.DUMMYFUNCTION("""COMPUTED_VALUE"""),"G-REQ-06437")</f>
        <v>G-REQ-06437</v>
      </c>
      <c r="B6438" s="11">
        <f>IFERROR(__xludf.DUMMYFUNCTION("""COMPUTED_VALUE"""),46219.4667217581)</f>
        <v>46219.46672</v>
      </c>
      <c r="C6438" s="9">
        <f>IFERROR(__xludf.DUMMYFUNCTION("""COMPUTED_VALUE"""),24617.0)</f>
        <v>24617</v>
      </c>
      <c r="D6438" s="9" t="str">
        <f>IFERROR(__xludf.DUMMYFUNCTION("""COMPUTED_VALUE"""),"Completed")</f>
        <v>Completed</v>
      </c>
    </row>
    <row r="6439">
      <c r="A6439" s="9" t="str">
        <f>IFERROR(__xludf.DUMMYFUNCTION("""COMPUTED_VALUE"""),"G-REQ-06438")</f>
        <v>G-REQ-06438</v>
      </c>
      <c r="B6439" s="11">
        <f>IFERROR(__xludf.DUMMYFUNCTION("""COMPUTED_VALUE"""),46219.53789660351)</f>
        <v>46219.5379</v>
      </c>
      <c r="C6439" s="9">
        <f>IFERROR(__xludf.DUMMYFUNCTION("""COMPUTED_VALUE"""),24621.0)</f>
        <v>24621</v>
      </c>
      <c r="D6439" s="9" t="str">
        <f>IFERROR(__xludf.DUMMYFUNCTION("""COMPUTED_VALUE"""),"Completed")</f>
        <v>Completed</v>
      </c>
    </row>
    <row r="6440">
      <c r="A6440" s="9" t="str">
        <f>IFERROR(__xludf.DUMMYFUNCTION("""COMPUTED_VALUE"""),"G-REQ-06439")</f>
        <v>G-REQ-06439</v>
      </c>
      <c r="B6440" s="11">
        <f>IFERROR(__xludf.DUMMYFUNCTION("""COMPUTED_VALUE"""),46219.609071448926)</f>
        <v>46219.60907</v>
      </c>
      <c r="C6440" s="9">
        <f>IFERROR(__xludf.DUMMYFUNCTION("""COMPUTED_VALUE"""),24625.0)</f>
        <v>24625</v>
      </c>
      <c r="D6440" s="9" t="str">
        <f>IFERROR(__xludf.DUMMYFUNCTION("""COMPUTED_VALUE"""),"Completed")</f>
        <v>Completed</v>
      </c>
    </row>
    <row r="6441">
      <c r="A6441" s="9" t="str">
        <f>IFERROR(__xludf.DUMMYFUNCTION("""COMPUTED_VALUE"""),"G-REQ-06440")</f>
        <v>G-REQ-06440</v>
      </c>
      <c r="B6441" s="11">
        <f>IFERROR(__xludf.DUMMYFUNCTION("""COMPUTED_VALUE"""),46219.680246294345)</f>
        <v>46219.68025</v>
      </c>
      <c r="C6441" s="9">
        <f>IFERROR(__xludf.DUMMYFUNCTION("""COMPUTED_VALUE"""),24629.0)</f>
        <v>24629</v>
      </c>
      <c r="D6441" s="9" t="str">
        <f>IFERROR(__xludf.DUMMYFUNCTION("""COMPUTED_VALUE"""),"Completed")</f>
        <v>Completed</v>
      </c>
    </row>
    <row r="6442">
      <c r="A6442" s="9" t="str">
        <f>IFERROR(__xludf.DUMMYFUNCTION("""COMPUTED_VALUE"""),"G-REQ-06441")</f>
        <v>G-REQ-06441</v>
      </c>
      <c r="B6442" s="11">
        <f>IFERROR(__xludf.DUMMYFUNCTION("""COMPUTED_VALUE"""),46219.75142113976)</f>
        <v>46219.75142</v>
      </c>
      <c r="C6442" s="9">
        <f>IFERROR(__xludf.DUMMYFUNCTION("""COMPUTED_VALUE"""),24633.0)</f>
        <v>24633</v>
      </c>
      <c r="D6442" s="9" t="str">
        <f>IFERROR(__xludf.DUMMYFUNCTION("""COMPUTED_VALUE"""),"Completed")</f>
        <v>Completed</v>
      </c>
    </row>
    <row r="6443">
      <c r="A6443" s="9" t="str">
        <f>IFERROR(__xludf.DUMMYFUNCTION("""COMPUTED_VALUE"""),"G-REQ-06442")</f>
        <v>G-REQ-06442</v>
      </c>
      <c r="B6443" s="11">
        <f>IFERROR(__xludf.DUMMYFUNCTION("""COMPUTED_VALUE"""),46219.82259598517)</f>
        <v>46219.8226</v>
      </c>
      <c r="C6443" s="9">
        <f>IFERROR(__xludf.DUMMYFUNCTION("""COMPUTED_VALUE"""),24637.0)</f>
        <v>24637</v>
      </c>
      <c r="D6443" s="9" t="str">
        <f>IFERROR(__xludf.DUMMYFUNCTION("""COMPUTED_VALUE"""),"Completed")</f>
        <v>Completed</v>
      </c>
    </row>
    <row r="6444">
      <c r="A6444" s="9" t="str">
        <f>IFERROR(__xludf.DUMMYFUNCTION("""COMPUTED_VALUE"""),"G-REQ-06443")</f>
        <v>G-REQ-06443</v>
      </c>
      <c r="B6444" s="11">
        <f>IFERROR(__xludf.DUMMYFUNCTION("""COMPUTED_VALUE"""),46219.89377083059)</f>
        <v>46219.89377</v>
      </c>
      <c r="C6444" s="9">
        <f>IFERROR(__xludf.DUMMYFUNCTION("""COMPUTED_VALUE"""),24641.0)</f>
        <v>24641</v>
      </c>
      <c r="D6444" s="9" t="str">
        <f>IFERROR(__xludf.DUMMYFUNCTION("""COMPUTED_VALUE"""),"Completed")</f>
        <v>Completed</v>
      </c>
    </row>
    <row r="6445">
      <c r="A6445" s="9" t="str">
        <f>IFERROR(__xludf.DUMMYFUNCTION("""COMPUTED_VALUE"""),"G-REQ-06444")</f>
        <v>G-REQ-06444</v>
      </c>
      <c r="B6445" s="11">
        <f>IFERROR(__xludf.DUMMYFUNCTION("""COMPUTED_VALUE"""),46219.964945676)</f>
        <v>46219.96495</v>
      </c>
      <c r="C6445" s="9">
        <f>IFERROR(__xludf.DUMMYFUNCTION("""COMPUTED_VALUE"""),24645.0)</f>
        <v>24645</v>
      </c>
      <c r="D6445" s="9" t="str">
        <f>IFERROR(__xludf.DUMMYFUNCTION("""COMPUTED_VALUE"""),"Completed")</f>
        <v>Completed</v>
      </c>
    </row>
    <row r="6446">
      <c r="A6446" s="9" t="str">
        <f>IFERROR(__xludf.DUMMYFUNCTION("""COMPUTED_VALUE"""),"G-REQ-06445")</f>
        <v>G-REQ-06445</v>
      </c>
      <c r="B6446" s="11">
        <f>IFERROR(__xludf.DUMMYFUNCTION("""COMPUTED_VALUE"""),46220.036120521414)</f>
        <v>46220.03612</v>
      </c>
      <c r="C6446" s="9">
        <f>IFERROR(__xludf.DUMMYFUNCTION("""COMPUTED_VALUE"""),24649.0)</f>
        <v>24649</v>
      </c>
      <c r="D6446" s="9" t="str">
        <f>IFERROR(__xludf.DUMMYFUNCTION("""COMPUTED_VALUE"""),"Completed")</f>
        <v>Completed</v>
      </c>
    </row>
    <row r="6447">
      <c r="A6447" s="9" t="str">
        <f>IFERROR(__xludf.DUMMYFUNCTION("""COMPUTED_VALUE"""),"G-REQ-06446")</f>
        <v>G-REQ-06446</v>
      </c>
      <c r="B6447" s="11">
        <f>IFERROR(__xludf.DUMMYFUNCTION("""COMPUTED_VALUE"""),46220.10729536683)</f>
        <v>46220.1073</v>
      </c>
      <c r="C6447" s="9">
        <f>IFERROR(__xludf.DUMMYFUNCTION("""COMPUTED_VALUE"""),24653.0)</f>
        <v>24653</v>
      </c>
      <c r="D6447" s="9" t="str">
        <f>IFERROR(__xludf.DUMMYFUNCTION("""COMPUTED_VALUE"""),"Completed")</f>
        <v>Completed</v>
      </c>
    </row>
    <row r="6448">
      <c r="A6448" s="9" t="str">
        <f>IFERROR(__xludf.DUMMYFUNCTION("""COMPUTED_VALUE"""),"G-REQ-06447")</f>
        <v>G-REQ-06447</v>
      </c>
      <c r="B6448" s="11">
        <f>IFERROR(__xludf.DUMMYFUNCTION("""COMPUTED_VALUE"""),46220.17152576781)</f>
        <v>46220.17153</v>
      </c>
      <c r="C6448" s="9">
        <f>IFERROR(__xludf.DUMMYFUNCTION("""COMPUTED_VALUE"""),24655.0)</f>
        <v>24655</v>
      </c>
      <c r="D6448" s="9" t="str">
        <f>IFERROR(__xludf.DUMMYFUNCTION("""COMPUTED_VALUE"""),"Rejected")</f>
        <v>Rejected</v>
      </c>
    </row>
    <row r="6449">
      <c r="A6449" s="9" t="str">
        <f>IFERROR(__xludf.DUMMYFUNCTION("""COMPUTED_VALUE"""),"G-REQ-06448")</f>
        <v>G-REQ-06448</v>
      </c>
      <c r="B6449" s="11">
        <f>IFERROR(__xludf.DUMMYFUNCTION("""COMPUTED_VALUE"""),46220.24964505766)</f>
        <v>46220.24965</v>
      </c>
      <c r="C6449" s="9">
        <f>IFERROR(__xludf.DUMMYFUNCTION("""COMPUTED_VALUE"""),24659.0)</f>
        <v>24659</v>
      </c>
      <c r="D6449" s="9" t="str">
        <f>IFERROR(__xludf.DUMMYFUNCTION("""COMPUTED_VALUE"""),"Completed")</f>
        <v>Completed</v>
      </c>
    </row>
    <row r="6450">
      <c r="A6450" s="9" t="str">
        <f>IFERROR(__xludf.DUMMYFUNCTION("""COMPUTED_VALUE"""),"G-REQ-06449")</f>
        <v>G-REQ-06449</v>
      </c>
      <c r="B6450" s="11">
        <f>IFERROR(__xludf.DUMMYFUNCTION("""COMPUTED_VALUE"""),46220.32081990308)</f>
        <v>46220.32082</v>
      </c>
      <c r="C6450" s="9">
        <f>IFERROR(__xludf.DUMMYFUNCTION("""COMPUTED_VALUE"""),24663.0)</f>
        <v>24663</v>
      </c>
      <c r="D6450" s="9" t="str">
        <f>IFERROR(__xludf.DUMMYFUNCTION("""COMPUTED_VALUE"""),"Completed")</f>
        <v>Completed</v>
      </c>
    </row>
    <row r="6451">
      <c r="A6451" s="9" t="str">
        <f>IFERROR(__xludf.DUMMYFUNCTION("""COMPUTED_VALUE"""),"G-REQ-06450")</f>
        <v>G-REQ-06450</v>
      </c>
      <c r="B6451" s="11">
        <f>IFERROR(__xludf.DUMMYFUNCTION("""COMPUTED_VALUE"""),46220.38505030405)</f>
        <v>46220.38505</v>
      </c>
      <c r="C6451" s="9">
        <f>IFERROR(__xludf.DUMMYFUNCTION("""COMPUTED_VALUE"""),24665.0)</f>
        <v>24665</v>
      </c>
      <c r="D6451" s="9" t="str">
        <f>IFERROR(__xludf.DUMMYFUNCTION("""COMPUTED_VALUE"""),"Rejected")</f>
        <v>Rejected</v>
      </c>
    </row>
    <row r="6452">
      <c r="A6452" s="9" t="str">
        <f>IFERROR(__xludf.DUMMYFUNCTION("""COMPUTED_VALUE"""),"G-REQ-06451")</f>
        <v>G-REQ-06451</v>
      </c>
      <c r="B6452" s="11">
        <f>IFERROR(__xludf.DUMMYFUNCTION("""COMPUTED_VALUE"""),46220.46316959391)</f>
        <v>46220.46317</v>
      </c>
      <c r="C6452" s="9">
        <f>IFERROR(__xludf.DUMMYFUNCTION("""COMPUTED_VALUE"""),24669.0)</f>
        <v>24669</v>
      </c>
      <c r="D6452" s="9" t="str">
        <f>IFERROR(__xludf.DUMMYFUNCTION("""COMPUTED_VALUE"""),"Completed")</f>
        <v>Completed</v>
      </c>
    </row>
    <row r="6453">
      <c r="A6453" s="9" t="str">
        <f>IFERROR(__xludf.DUMMYFUNCTION("""COMPUTED_VALUE"""),"G-REQ-06452")</f>
        <v>G-REQ-06452</v>
      </c>
      <c r="B6453" s="11">
        <f>IFERROR(__xludf.DUMMYFUNCTION("""COMPUTED_VALUE"""),46220.53434443932)</f>
        <v>46220.53434</v>
      </c>
      <c r="C6453" s="9">
        <f>IFERROR(__xludf.DUMMYFUNCTION("""COMPUTED_VALUE"""),24673.0)</f>
        <v>24673</v>
      </c>
      <c r="D6453" s="9" t="str">
        <f>IFERROR(__xludf.DUMMYFUNCTION("""COMPUTED_VALUE"""),"Completed")</f>
        <v>Completed</v>
      </c>
    </row>
    <row r="6454">
      <c r="A6454" s="9" t="str">
        <f>IFERROR(__xludf.DUMMYFUNCTION("""COMPUTED_VALUE"""),"G-REQ-06453")</f>
        <v>G-REQ-06453</v>
      </c>
      <c r="B6454" s="11">
        <f>IFERROR(__xludf.DUMMYFUNCTION("""COMPUTED_VALUE"""),46220.60551928474)</f>
        <v>46220.60552</v>
      </c>
      <c r="C6454" s="9">
        <f>IFERROR(__xludf.DUMMYFUNCTION("""COMPUTED_VALUE"""),24677.0)</f>
        <v>24677</v>
      </c>
      <c r="D6454" s="9" t="str">
        <f>IFERROR(__xludf.DUMMYFUNCTION("""COMPUTED_VALUE"""),"Completed")</f>
        <v>Completed</v>
      </c>
    </row>
    <row r="6455">
      <c r="A6455" s="9" t="str">
        <f>IFERROR(__xludf.DUMMYFUNCTION("""COMPUTED_VALUE"""),"G-REQ-06454")</f>
        <v>G-REQ-06454</v>
      </c>
      <c r="B6455" s="11">
        <f>IFERROR(__xludf.DUMMYFUNCTION("""COMPUTED_VALUE"""),46220.676694130154)</f>
        <v>46220.67669</v>
      </c>
      <c r="C6455" s="9">
        <f>IFERROR(__xludf.DUMMYFUNCTION("""COMPUTED_VALUE"""),24681.0)</f>
        <v>24681</v>
      </c>
      <c r="D6455" s="9" t="str">
        <f>IFERROR(__xludf.DUMMYFUNCTION("""COMPUTED_VALUE"""),"Completed")</f>
        <v>Completed</v>
      </c>
    </row>
    <row r="6456">
      <c r="A6456" s="9" t="str">
        <f>IFERROR(__xludf.DUMMYFUNCTION("""COMPUTED_VALUE"""),"G-REQ-06455")</f>
        <v>G-REQ-06455</v>
      </c>
      <c r="B6456" s="11">
        <f>IFERROR(__xludf.DUMMYFUNCTION("""COMPUTED_VALUE"""),46220.747868975566)</f>
        <v>46220.74787</v>
      </c>
      <c r="C6456" s="9">
        <f>IFERROR(__xludf.DUMMYFUNCTION("""COMPUTED_VALUE"""),24685.0)</f>
        <v>24685</v>
      </c>
      <c r="D6456" s="9" t="str">
        <f>IFERROR(__xludf.DUMMYFUNCTION("""COMPUTED_VALUE"""),"Completed")</f>
        <v>Completed</v>
      </c>
    </row>
    <row r="6457">
      <c r="A6457" s="9" t="str">
        <f>IFERROR(__xludf.DUMMYFUNCTION("""COMPUTED_VALUE"""),"G-REQ-06456")</f>
        <v>G-REQ-06456</v>
      </c>
      <c r="B6457" s="11">
        <f>IFERROR(__xludf.DUMMYFUNCTION("""COMPUTED_VALUE"""),46220.819043820986)</f>
        <v>46220.81904</v>
      </c>
      <c r="C6457" s="9">
        <f>IFERROR(__xludf.DUMMYFUNCTION("""COMPUTED_VALUE"""),24689.0)</f>
        <v>24689</v>
      </c>
      <c r="D6457" s="9" t="str">
        <f>IFERROR(__xludf.DUMMYFUNCTION("""COMPUTED_VALUE"""),"Completed")</f>
        <v>Completed</v>
      </c>
    </row>
    <row r="6458">
      <c r="A6458" s="9" t="str">
        <f>IFERROR(__xludf.DUMMYFUNCTION("""COMPUTED_VALUE"""),"G-REQ-06457")</f>
        <v>G-REQ-06457</v>
      </c>
      <c r="B6458" s="11">
        <f>IFERROR(__xludf.DUMMYFUNCTION("""COMPUTED_VALUE"""),46220.8902186664)</f>
        <v>46220.89022</v>
      </c>
      <c r="C6458" s="9">
        <f>IFERROR(__xludf.DUMMYFUNCTION("""COMPUTED_VALUE"""),24693.0)</f>
        <v>24693</v>
      </c>
      <c r="D6458" s="9" t="str">
        <f>IFERROR(__xludf.DUMMYFUNCTION("""COMPUTED_VALUE"""),"Completed")</f>
        <v>Completed</v>
      </c>
    </row>
    <row r="6459">
      <c r="A6459" s="9" t="str">
        <f>IFERROR(__xludf.DUMMYFUNCTION("""COMPUTED_VALUE"""),"G-REQ-06458")</f>
        <v>G-REQ-06458</v>
      </c>
      <c r="B6459" s="11">
        <f>IFERROR(__xludf.DUMMYFUNCTION("""COMPUTED_VALUE"""),46220.954449067365)</f>
        <v>46220.95445</v>
      </c>
      <c r="C6459" s="9">
        <f>IFERROR(__xludf.DUMMYFUNCTION("""COMPUTED_VALUE"""),24695.0)</f>
        <v>24695</v>
      </c>
      <c r="D6459" s="9" t="str">
        <f>IFERROR(__xludf.DUMMYFUNCTION("""COMPUTED_VALUE"""),"Rejected")</f>
        <v>Rejected</v>
      </c>
    </row>
    <row r="6460">
      <c r="A6460" s="9" t="str">
        <f>IFERROR(__xludf.DUMMYFUNCTION("""COMPUTED_VALUE"""),"G-REQ-06459")</f>
        <v>G-REQ-06459</v>
      </c>
      <c r="B6460" s="11">
        <f>IFERROR(__xludf.DUMMYFUNCTION("""COMPUTED_VALUE"""),46221.03256835723)</f>
        <v>46221.03257</v>
      </c>
      <c r="C6460" s="9">
        <f>IFERROR(__xludf.DUMMYFUNCTION("""COMPUTED_VALUE"""),24699.0)</f>
        <v>24699</v>
      </c>
      <c r="D6460" s="9" t="str">
        <f>IFERROR(__xludf.DUMMYFUNCTION("""COMPUTED_VALUE"""),"Completed")</f>
        <v>Completed</v>
      </c>
    </row>
    <row r="6461">
      <c r="A6461" s="9" t="str">
        <f>IFERROR(__xludf.DUMMYFUNCTION("""COMPUTED_VALUE"""),"G-REQ-06460")</f>
        <v>G-REQ-06460</v>
      </c>
      <c r="B6461" s="11">
        <f>IFERROR(__xludf.DUMMYFUNCTION("""COMPUTED_VALUE"""),46221.10374320264)</f>
        <v>46221.10374</v>
      </c>
      <c r="C6461" s="9">
        <f>IFERROR(__xludf.DUMMYFUNCTION("""COMPUTED_VALUE"""),24703.0)</f>
        <v>24703</v>
      </c>
      <c r="D6461" s="9" t="str">
        <f>IFERROR(__xludf.DUMMYFUNCTION("""COMPUTED_VALUE"""),"Completed")</f>
        <v>Completed</v>
      </c>
    </row>
    <row r="6462">
      <c r="A6462" s="9" t="str">
        <f>IFERROR(__xludf.DUMMYFUNCTION("""COMPUTED_VALUE"""),"G-REQ-06461")</f>
        <v>G-REQ-06461</v>
      </c>
      <c r="B6462" s="11">
        <f>IFERROR(__xludf.DUMMYFUNCTION("""COMPUTED_VALUE"""),46221.174918048055)</f>
        <v>46221.17492</v>
      </c>
      <c r="C6462" s="9">
        <f>IFERROR(__xludf.DUMMYFUNCTION("""COMPUTED_VALUE"""),24707.0)</f>
        <v>24707</v>
      </c>
      <c r="D6462" s="9" t="str">
        <f>IFERROR(__xludf.DUMMYFUNCTION("""COMPUTED_VALUE"""),"Completed")</f>
        <v>Completed</v>
      </c>
    </row>
    <row r="6463">
      <c r="A6463" s="9" t="str">
        <f>IFERROR(__xludf.DUMMYFUNCTION("""COMPUTED_VALUE"""),"G-REQ-06462")</f>
        <v>G-REQ-06462</v>
      </c>
      <c r="B6463" s="11">
        <f>IFERROR(__xludf.DUMMYFUNCTION("""COMPUTED_VALUE"""),46221.23914844903)</f>
        <v>46221.23915</v>
      </c>
      <c r="C6463" s="9">
        <f>IFERROR(__xludf.DUMMYFUNCTION("""COMPUTED_VALUE"""),24709.0)</f>
        <v>24709</v>
      </c>
      <c r="D6463" s="9" t="str">
        <f>IFERROR(__xludf.DUMMYFUNCTION("""COMPUTED_VALUE"""),"Cancelled")</f>
        <v>Cancelled</v>
      </c>
    </row>
    <row r="6464">
      <c r="A6464" s="9" t="str">
        <f>IFERROR(__xludf.DUMMYFUNCTION("""COMPUTED_VALUE"""),"G-REQ-06463")</f>
        <v>G-REQ-06463</v>
      </c>
      <c r="B6464" s="11">
        <f>IFERROR(__xludf.DUMMYFUNCTION("""COMPUTED_VALUE"""),46221.317267738894)</f>
        <v>46221.31727</v>
      </c>
      <c r="C6464" s="9">
        <f>IFERROR(__xludf.DUMMYFUNCTION("""COMPUTED_VALUE"""),24713.0)</f>
        <v>24713</v>
      </c>
      <c r="D6464" s="9" t="str">
        <f>IFERROR(__xludf.DUMMYFUNCTION("""COMPUTED_VALUE"""),"Completed")</f>
        <v>Completed</v>
      </c>
    </row>
    <row r="6465">
      <c r="A6465" s="9" t="str">
        <f>IFERROR(__xludf.DUMMYFUNCTION("""COMPUTED_VALUE"""),"G-REQ-06464")</f>
        <v>G-REQ-06464</v>
      </c>
      <c r="B6465" s="11">
        <f>IFERROR(__xludf.DUMMYFUNCTION("""COMPUTED_VALUE"""),46221.3884425843)</f>
        <v>46221.38844</v>
      </c>
      <c r="C6465" s="9">
        <f>IFERROR(__xludf.DUMMYFUNCTION("""COMPUTED_VALUE"""),24717.0)</f>
        <v>24717</v>
      </c>
      <c r="D6465" s="9" t="str">
        <f>IFERROR(__xludf.DUMMYFUNCTION("""COMPUTED_VALUE"""),"Completed")</f>
        <v>Completed</v>
      </c>
    </row>
    <row r="6466">
      <c r="A6466" s="9" t="str">
        <f>IFERROR(__xludf.DUMMYFUNCTION("""COMPUTED_VALUE"""),"G-REQ-06465")</f>
        <v>G-REQ-06465</v>
      </c>
      <c r="B6466" s="11">
        <f>IFERROR(__xludf.DUMMYFUNCTION("""COMPUTED_VALUE"""),46221.45961742972)</f>
        <v>46221.45962</v>
      </c>
      <c r="C6466" s="9">
        <f>IFERROR(__xludf.DUMMYFUNCTION("""COMPUTED_VALUE"""),24721.0)</f>
        <v>24721</v>
      </c>
      <c r="D6466" s="9" t="str">
        <f>IFERROR(__xludf.DUMMYFUNCTION("""COMPUTED_VALUE"""),"Completed")</f>
        <v>Completed</v>
      </c>
    </row>
    <row r="6467">
      <c r="A6467" s="9" t="str">
        <f>IFERROR(__xludf.DUMMYFUNCTION("""COMPUTED_VALUE"""),"G-REQ-06466")</f>
        <v>G-REQ-06466</v>
      </c>
      <c r="B6467" s="11">
        <f>IFERROR(__xludf.DUMMYFUNCTION("""COMPUTED_VALUE"""),46221.53079227514)</f>
        <v>46221.53079</v>
      </c>
      <c r="C6467" s="9">
        <f>IFERROR(__xludf.DUMMYFUNCTION("""COMPUTED_VALUE"""),24725.0)</f>
        <v>24725</v>
      </c>
      <c r="D6467" s="9" t="str">
        <f>IFERROR(__xludf.DUMMYFUNCTION("""COMPUTED_VALUE"""),"Completed")</f>
        <v>Completed</v>
      </c>
    </row>
    <row r="6468">
      <c r="A6468" s="9" t="str">
        <f>IFERROR(__xludf.DUMMYFUNCTION("""COMPUTED_VALUE"""),"G-REQ-06467")</f>
        <v>G-REQ-06467</v>
      </c>
      <c r="B6468" s="11">
        <f>IFERROR(__xludf.DUMMYFUNCTION("""COMPUTED_VALUE"""),46221.60196712055)</f>
        <v>46221.60197</v>
      </c>
      <c r="C6468" s="9">
        <f>IFERROR(__xludf.DUMMYFUNCTION("""COMPUTED_VALUE"""),24729.0)</f>
        <v>24729</v>
      </c>
      <c r="D6468" s="9" t="str">
        <f>IFERROR(__xludf.DUMMYFUNCTION("""COMPUTED_VALUE"""),"Completed")</f>
        <v>Completed</v>
      </c>
    </row>
    <row r="6469">
      <c r="A6469" s="9" t="str">
        <f>IFERROR(__xludf.DUMMYFUNCTION("""COMPUTED_VALUE"""),"G-REQ-06468")</f>
        <v>G-REQ-06468</v>
      </c>
      <c r="B6469" s="11">
        <f>IFERROR(__xludf.DUMMYFUNCTION("""COMPUTED_VALUE"""),46221.67314196596)</f>
        <v>46221.67314</v>
      </c>
      <c r="C6469" s="9">
        <f>IFERROR(__xludf.DUMMYFUNCTION("""COMPUTED_VALUE"""),24733.0)</f>
        <v>24733</v>
      </c>
      <c r="D6469" s="9" t="str">
        <f>IFERROR(__xludf.DUMMYFUNCTION("""COMPUTED_VALUE"""),"Completed")</f>
        <v>Completed</v>
      </c>
    </row>
    <row r="6470">
      <c r="A6470" s="9" t="str">
        <f>IFERROR(__xludf.DUMMYFUNCTION("""COMPUTED_VALUE"""),"G-REQ-06469")</f>
        <v>G-REQ-06469</v>
      </c>
      <c r="B6470" s="11">
        <f>IFERROR(__xludf.DUMMYFUNCTION("""COMPUTED_VALUE"""),46221.74431681138)</f>
        <v>46221.74432</v>
      </c>
      <c r="C6470" s="9">
        <f>IFERROR(__xludf.DUMMYFUNCTION("""COMPUTED_VALUE"""),24737.0)</f>
        <v>24737</v>
      </c>
      <c r="D6470" s="9" t="str">
        <f>IFERROR(__xludf.DUMMYFUNCTION("""COMPUTED_VALUE"""),"Completed")</f>
        <v>Completed</v>
      </c>
    </row>
    <row r="6471">
      <c r="A6471" s="9" t="str">
        <f>IFERROR(__xludf.DUMMYFUNCTION("""COMPUTED_VALUE"""),"G-REQ-06470")</f>
        <v>G-REQ-06470</v>
      </c>
      <c r="B6471" s="11">
        <f>IFERROR(__xludf.DUMMYFUNCTION("""COMPUTED_VALUE"""),46221.815491656795)</f>
        <v>46221.81549</v>
      </c>
      <c r="C6471" s="9">
        <f>IFERROR(__xludf.DUMMYFUNCTION("""COMPUTED_VALUE"""),24741.0)</f>
        <v>24741</v>
      </c>
      <c r="D6471" s="9" t="str">
        <f>IFERROR(__xludf.DUMMYFUNCTION("""COMPUTED_VALUE"""),"Completed")</f>
        <v>Completed</v>
      </c>
    </row>
    <row r="6472">
      <c r="A6472" s="9" t="str">
        <f>IFERROR(__xludf.DUMMYFUNCTION("""COMPUTED_VALUE"""),"G-REQ-06471")</f>
        <v>G-REQ-06471</v>
      </c>
      <c r="B6472" s="11">
        <f>IFERROR(__xludf.DUMMYFUNCTION("""COMPUTED_VALUE"""),46221.88666650221)</f>
        <v>46221.88667</v>
      </c>
      <c r="C6472" s="9">
        <f>IFERROR(__xludf.DUMMYFUNCTION("""COMPUTED_VALUE"""),24745.0)</f>
        <v>24745</v>
      </c>
      <c r="D6472" s="9" t="str">
        <f>IFERROR(__xludf.DUMMYFUNCTION("""COMPUTED_VALUE"""),"Completed")</f>
        <v>Completed</v>
      </c>
    </row>
    <row r="6473">
      <c r="A6473" s="9" t="str">
        <f>IFERROR(__xludf.DUMMYFUNCTION("""COMPUTED_VALUE"""),"G-REQ-06472")</f>
        <v>G-REQ-06472</v>
      </c>
      <c r="B6473" s="11">
        <f>IFERROR(__xludf.DUMMYFUNCTION("""COMPUTED_VALUE"""),46221.95784134763)</f>
        <v>46221.95784</v>
      </c>
      <c r="C6473" s="9">
        <f>IFERROR(__xludf.DUMMYFUNCTION("""COMPUTED_VALUE"""),24749.0)</f>
        <v>24749</v>
      </c>
      <c r="D6473" s="9" t="str">
        <f>IFERROR(__xludf.DUMMYFUNCTION("""COMPUTED_VALUE"""),"Completed")</f>
        <v>Completed</v>
      </c>
    </row>
    <row r="6474">
      <c r="A6474" s="9" t="str">
        <f>IFERROR(__xludf.DUMMYFUNCTION("""COMPUTED_VALUE"""),"G-REQ-06473")</f>
        <v>G-REQ-06473</v>
      </c>
      <c r="B6474" s="11">
        <f>IFERROR(__xludf.DUMMYFUNCTION("""COMPUTED_VALUE"""),46222.02901619304)</f>
        <v>46222.02902</v>
      </c>
      <c r="C6474" s="9">
        <f>IFERROR(__xludf.DUMMYFUNCTION("""COMPUTED_VALUE"""),24753.0)</f>
        <v>24753</v>
      </c>
      <c r="D6474" s="9" t="str">
        <f>IFERROR(__xludf.DUMMYFUNCTION("""COMPUTED_VALUE"""),"Completed")</f>
        <v>Completed</v>
      </c>
    </row>
    <row r="6475">
      <c r="A6475" s="9" t="str">
        <f>IFERROR(__xludf.DUMMYFUNCTION("""COMPUTED_VALUE"""),"G-REQ-06474")</f>
        <v>G-REQ-06474</v>
      </c>
      <c r="B6475" s="11">
        <f>IFERROR(__xludf.DUMMYFUNCTION("""COMPUTED_VALUE"""),46222.10019103845)</f>
        <v>46222.10019</v>
      </c>
      <c r="C6475" s="9">
        <f>IFERROR(__xludf.DUMMYFUNCTION("""COMPUTED_VALUE"""),24757.0)</f>
        <v>24757</v>
      </c>
      <c r="D6475" s="9" t="str">
        <f>IFERROR(__xludf.DUMMYFUNCTION("""COMPUTED_VALUE"""),"Completed")</f>
        <v>Completed</v>
      </c>
    </row>
    <row r="6476">
      <c r="A6476" s="9" t="str">
        <f>IFERROR(__xludf.DUMMYFUNCTION("""COMPUTED_VALUE"""),"G-REQ-06475")</f>
        <v>G-REQ-06475</v>
      </c>
      <c r="B6476" s="11">
        <f>IFERROR(__xludf.DUMMYFUNCTION("""COMPUTED_VALUE"""),46222.164421439425)</f>
        <v>46222.16442</v>
      </c>
      <c r="C6476" s="9">
        <f>IFERROR(__xludf.DUMMYFUNCTION("""COMPUTED_VALUE"""),24759.0)</f>
        <v>24759</v>
      </c>
      <c r="D6476" s="9" t="str">
        <f>IFERROR(__xludf.DUMMYFUNCTION("""COMPUTED_VALUE"""),"Cancelled")</f>
        <v>Cancelled</v>
      </c>
    </row>
    <row r="6477">
      <c r="A6477" s="9" t="str">
        <f>IFERROR(__xludf.DUMMYFUNCTION("""COMPUTED_VALUE"""),"G-REQ-06476")</f>
        <v>G-REQ-06476</v>
      </c>
      <c r="B6477" s="11">
        <f>IFERROR(__xludf.DUMMYFUNCTION("""COMPUTED_VALUE"""),46222.24254072929)</f>
        <v>46222.24254</v>
      </c>
      <c r="C6477" s="9">
        <f>IFERROR(__xludf.DUMMYFUNCTION("""COMPUTED_VALUE"""),24763.0)</f>
        <v>24763</v>
      </c>
      <c r="D6477" s="9" t="str">
        <f>IFERROR(__xludf.DUMMYFUNCTION("""COMPUTED_VALUE"""),"Completed")</f>
        <v>Completed</v>
      </c>
    </row>
    <row r="6478">
      <c r="A6478" s="9" t="str">
        <f>IFERROR(__xludf.DUMMYFUNCTION("""COMPUTED_VALUE"""),"G-REQ-06477")</f>
        <v>G-REQ-06477</v>
      </c>
      <c r="B6478" s="11">
        <f>IFERROR(__xludf.DUMMYFUNCTION("""COMPUTED_VALUE"""),46222.313715574695)</f>
        <v>46222.31372</v>
      </c>
      <c r="C6478" s="9">
        <f>IFERROR(__xludf.DUMMYFUNCTION("""COMPUTED_VALUE"""),24767.0)</f>
        <v>24767</v>
      </c>
      <c r="D6478" s="9" t="str">
        <f>IFERROR(__xludf.DUMMYFUNCTION("""COMPUTED_VALUE"""),"Completed")</f>
        <v>Completed</v>
      </c>
    </row>
    <row r="6479">
      <c r="A6479" s="9" t="str">
        <f>IFERROR(__xludf.DUMMYFUNCTION("""COMPUTED_VALUE"""),"G-REQ-06478")</f>
        <v>G-REQ-06478</v>
      </c>
      <c r="B6479" s="11">
        <f>IFERROR(__xludf.DUMMYFUNCTION("""COMPUTED_VALUE"""),46222.384890420115)</f>
        <v>46222.38489</v>
      </c>
      <c r="C6479" s="9">
        <f>IFERROR(__xludf.DUMMYFUNCTION("""COMPUTED_VALUE"""),24771.0)</f>
        <v>24771</v>
      </c>
      <c r="D6479" s="9" t="str">
        <f>IFERROR(__xludf.DUMMYFUNCTION("""COMPUTED_VALUE"""),"Completed")</f>
        <v>Completed</v>
      </c>
    </row>
    <row r="6480">
      <c r="A6480" s="9" t="str">
        <f>IFERROR(__xludf.DUMMYFUNCTION("""COMPUTED_VALUE"""),"G-REQ-06479")</f>
        <v>G-REQ-06479</v>
      </c>
      <c r="B6480" s="11">
        <f>IFERROR(__xludf.DUMMYFUNCTION("""COMPUTED_VALUE"""),46222.456065265535)</f>
        <v>46222.45607</v>
      </c>
      <c r="C6480" s="9">
        <f>IFERROR(__xludf.DUMMYFUNCTION("""COMPUTED_VALUE"""),24775.0)</f>
        <v>24775</v>
      </c>
      <c r="D6480" s="9" t="str">
        <f>IFERROR(__xludf.DUMMYFUNCTION("""COMPUTED_VALUE"""),"Completed")</f>
        <v>Completed</v>
      </c>
    </row>
    <row r="6481">
      <c r="A6481" s="9" t="str">
        <f>IFERROR(__xludf.DUMMYFUNCTION("""COMPUTED_VALUE"""),"G-REQ-06480")</f>
        <v>G-REQ-06480</v>
      </c>
      <c r="B6481" s="11">
        <f>IFERROR(__xludf.DUMMYFUNCTION("""COMPUTED_VALUE"""),46222.52724011095)</f>
        <v>46222.52724</v>
      </c>
      <c r="C6481" s="9">
        <f>IFERROR(__xludf.DUMMYFUNCTION("""COMPUTED_VALUE"""),24779.0)</f>
        <v>24779</v>
      </c>
      <c r="D6481" s="9" t="str">
        <f>IFERROR(__xludf.DUMMYFUNCTION("""COMPUTED_VALUE"""),"Completed")</f>
        <v>Completed</v>
      </c>
    </row>
    <row r="6482">
      <c r="A6482" s="9" t="str">
        <f>IFERROR(__xludf.DUMMYFUNCTION("""COMPUTED_VALUE"""),"G-REQ-06481")</f>
        <v>G-REQ-06481</v>
      </c>
      <c r="B6482" s="11">
        <f>IFERROR(__xludf.DUMMYFUNCTION("""COMPUTED_VALUE"""),46222.591470511914)</f>
        <v>46222.59147</v>
      </c>
      <c r="C6482" s="9">
        <f>IFERROR(__xludf.DUMMYFUNCTION("""COMPUTED_VALUE"""),24781.0)</f>
        <v>24781</v>
      </c>
      <c r="D6482" s="9" t="str">
        <f>IFERROR(__xludf.DUMMYFUNCTION("""COMPUTED_VALUE"""),"Rejected")</f>
        <v>Rejected</v>
      </c>
    </row>
    <row r="6483">
      <c r="A6483" s="9" t="str">
        <f>IFERROR(__xludf.DUMMYFUNCTION("""COMPUTED_VALUE"""),"G-REQ-06482")</f>
        <v>G-REQ-06482</v>
      </c>
      <c r="B6483" s="11">
        <f>IFERROR(__xludf.DUMMYFUNCTION("""COMPUTED_VALUE"""),46222.66958980178)</f>
        <v>46222.66959</v>
      </c>
      <c r="C6483" s="9">
        <f>IFERROR(__xludf.DUMMYFUNCTION("""COMPUTED_VALUE"""),24785.0)</f>
        <v>24785</v>
      </c>
      <c r="D6483" s="9" t="str">
        <f>IFERROR(__xludf.DUMMYFUNCTION("""COMPUTED_VALUE"""),"Completed")</f>
        <v>Completed</v>
      </c>
    </row>
    <row r="6484">
      <c r="A6484" s="9" t="str">
        <f>IFERROR(__xludf.DUMMYFUNCTION("""COMPUTED_VALUE"""),"G-REQ-06483")</f>
        <v>G-REQ-06483</v>
      </c>
      <c r="B6484" s="11">
        <f>IFERROR(__xludf.DUMMYFUNCTION("""COMPUTED_VALUE"""),46222.74076464719)</f>
        <v>46222.74076</v>
      </c>
      <c r="C6484" s="9">
        <f>IFERROR(__xludf.DUMMYFUNCTION("""COMPUTED_VALUE"""),24789.0)</f>
        <v>24789</v>
      </c>
      <c r="D6484" s="9" t="str">
        <f>IFERROR(__xludf.DUMMYFUNCTION("""COMPUTED_VALUE"""),"Completed")</f>
        <v>Completed</v>
      </c>
    </row>
    <row r="6485">
      <c r="A6485" s="9" t="str">
        <f>IFERROR(__xludf.DUMMYFUNCTION("""COMPUTED_VALUE"""),"G-REQ-06484")</f>
        <v>G-REQ-06484</v>
      </c>
      <c r="B6485" s="11">
        <f>IFERROR(__xludf.DUMMYFUNCTION("""COMPUTED_VALUE"""),46222.8119394926)</f>
        <v>46222.81194</v>
      </c>
      <c r="C6485" s="9">
        <f>IFERROR(__xludf.DUMMYFUNCTION("""COMPUTED_VALUE"""),24793.0)</f>
        <v>24793</v>
      </c>
      <c r="D6485" s="9" t="str">
        <f>IFERROR(__xludf.DUMMYFUNCTION("""COMPUTED_VALUE"""),"Completed")</f>
        <v>Completed</v>
      </c>
    </row>
    <row r="6486">
      <c r="A6486" s="9" t="str">
        <f>IFERROR(__xludf.DUMMYFUNCTION("""COMPUTED_VALUE"""),"G-REQ-06485")</f>
        <v>G-REQ-06485</v>
      </c>
      <c r="B6486" s="11">
        <f>IFERROR(__xludf.DUMMYFUNCTION("""COMPUTED_VALUE"""),46222.88311433802)</f>
        <v>46222.88311</v>
      </c>
      <c r="C6486" s="9">
        <f>IFERROR(__xludf.DUMMYFUNCTION("""COMPUTED_VALUE"""),24797.0)</f>
        <v>24797</v>
      </c>
      <c r="D6486" s="9" t="str">
        <f>IFERROR(__xludf.DUMMYFUNCTION("""COMPUTED_VALUE"""),"Completed")</f>
        <v>Completed</v>
      </c>
    </row>
    <row r="6487">
      <c r="A6487" s="9" t="str">
        <f>IFERROR(__xludf.DUMMYFUNCTION("""COMPUTED_VALUE"""),"G-REQ-06486")</f>
        <v>G-REQ-06486</v>
      </c>
      <c r="B6487" s="11">
        <f>IFERROR(__xludf.DUMMYFUNCTION("""COMPUTED_VALUE"""),46222.954289183435)</f>
        <v>46222.95429</v>
      </c>
      <c r="C6487" s="9">
        <f>IFERROR(__xludf.DUMMYFUNCTION("""COMPUTED_VALUE"""),24801.0)</f>
        <v>24801</v>
      </c>
      <c r="D6487" s="9" t="str">
        <f>IFERROR(__xludf.DUMMYFUNCTION("""COMPUTED_VALUE"""),"Completed")</f>
        <v>Completed</v>
      </c>
    </row>
    <row r="6488">
      <c r="A6488" s="9" t="str">
        <f>IFERROR(__xludf.DUMMYFUNCTION("""COMPUTED_VALUE"""),"G-REQ-06487")</f>
        <v>G-REQ-06487</v>
      </c>
      <c r="B6488" s="11">
        <f>IFERROR(__xludf.DUMMYFUNCTION("""COMPUTED_VALUE"""),46223.02546402885)</f>
        <v>46223.02546</v>
      </c>
      <c r="C6488" s="9">
        <f>IFERROR(__xludf.DUMMYFUNCTION("""COMPUTED_VALUE"""),24805.0)</f>
        <v>24805</v>
      </c>
      <c r="D6488" s="9" t="str">
        <f>IFERROR(__xludf.DUMMYFUNCTION("""COMPUTED_VALUE"""),"Completed")</f>
        <v>Completed</v>
      </c>
    </row>
    <row r="6489">
      <c r="A6489" s="9" t="str">
        <f>IFERROR(__xludf.DUMMYFUNCTION("""COMPUTED_VALUE"""),"G-REQ-06488")</f>
        <v>G-REQ-06488</v>
      </c>
      <c r="B6489" s="11">
        <f>IFERROR(__xludf.DUMMYFUNCTION("""COMPUTED_VALUE"""),46223.08969442982)</f>
        <v>46223.08969</v>
      </c>
      <c r="C6489" s="9">
        <f>IFERROR(__xludf.DUMMYFUNCTION("""COMPUTED_VALUE"""),24807.0)</f>
        <v>24807</v>
      </c>
      <c r="D6489" s="9" t="str">
        <f>IFERROR(__xludf.DUMMYFUNCTION("""COMPUTED_VALUE"""),"Rejected")</f>
        <v>Rejected</v>
      </c>
    </row>
    <row r="6490">
      <c r="A6490" s="9" t="str">
        <f>IFERROR(__xludf.DUMMYFUNCTION("""COMPUTED_VALUE"""),"G-REQ-06489")</f>
        <v>G-REQ-06489</v>
      </c>
      <c r="B6490" s="11">
        <f>IFERROR(__xludf.DUMMYFUNCTION("""COMPUTED_VALUE"""),46223.16781371968)</f>
        <v>46223.16781</v>
      </c>
      <c r="C6490" s="9">
        <f>IFERROR(__xludf.DUMMYFUNCTION("""COMPUTED_VALUE"""),24811.0)</f>
        <v>24811</v>
      </c>
      <c r="D6490" s="9" t="str">
        <f>IFERROR(__xludf.DUMMYFUNCTION("""COMPUTED_VALUE"""),"Completed")</f>
        <v>Completed</v>
      </c>
    </row>
    <row r="6491">
      <c r="A6491" s="9" t="str">
        <f>IFERROR(__xludf.DUMMYFUNCTION("""COMPUTED_VALUE"""),"G-REQ-06490")</f>
        <v>G-REQ-06490</v>
      </c>
      <c r="B6491" s="11">
        <f>IFERROR(__xludf.DUMMYFUNCTION("""COMPUTED_VALUE"""),46223.23898856509)</f>
        <v>46223.23899</v>
      </c>
      <c r="C6491" s="9">
        <f>IFERROR(__xludf.DUMMYFUNCTION("""COMPUTED_VALUE"""),24815.0)</f>
        <v>24815</v>
      </c>
      <c r="D6491" s="9" t="str">
        <f>IFERROR(__xludf.DUMMYFUNCTION("""COMPUTED_VALUE"""),"Completed")</f>
        <v>Completed</v>
      </c>
    </row>
    <row r="6492">
      <c r="A6492" s="9" t="str">
        <f>IFERROR(__xludf.DUMMYFUNCTION("""COMPUTED_VALUE"""),"G-REQ-06491")</f>
        <v>G-REQ-06491</v>
      </c>
      <c r="B6492" s="11">
        <f>IFERROR(__xludf.DUMMYFUNCTION("""COMPUTED_VALUE"""),46223.303218966066)</f>
        <v>46223.30322</v>
      </c>
      <c r="C6492" s="9">
        <f>IFERROR(__xludf.DUMMYFUNCTION("""COMPUTED_VALUE"""),24817.0)</f>
        <v>24817</v>
      </c>
      <c r="D6492" s="9" t="str">
        <f>IFERROR(__xludf.DUMMYFUNCTION("""COMPUTED_VALUE"""),"Rejected")</f>
        <v>Rejected</v>
      </c>
    </row>
    <row r="6493">
      <c r="A6493" s="9" t="str">
        <f>IFERROR(__xludf.DUMMYFUNCTION("""COMPUTED_VALUE"""),"G-REQ-06492")</f>
        <v>G-REQ-06492</v>
      </c>
      <c r="B6493" s="11">
        <f>IFERROR(__xludf.DUMMYFUNCTION("""COMPUTED_VALUE"""),46223.38133825593)</f>
        <v>46223.38134</v>
      </c>
      <c r="C6493" s="9">
        <f>IFERROR(__xludf.DUMMYFUNCTION("""COMPUTED_VALUE"""),24821.0)</f>
        <v>24821</v>
      </c>
      <c r="D6493" s="9" t="str">
        <f>IFERROR(__xludf.DUMMYFUNCTION("""COMPUTED_VALUE"""),"Completed")</f>
        <v>Completed</v>
      </c>
    </row>
    <row r="6494">
      <c r="A6494" s="9" t="str">
        <f>IFERROR(__xludf.DUMMYFUNCTION("""COMPUTED_VALUE"""),"G-REQ-06493")</f>
        <v>G-REQ-06493</v>
      </c>
      <c r="B6494" s="11">
        <f>IFERROR(__xludf.DUMMYFUNCTION("""COMPUTED_VALUE"""),46223.452513101336)</f>
        <v>46223.45251</v>
      </c>
      <c r="C6494" s="9">
        <f>IFERROR(__xludf.DUMMYFUNCTION("""COMPUTED_VALUE"""),24825.0)</f>
        <v>24825</v>
      </c>
      <c r="D6494" s="9" t="str">
        <f>IFERROR(__xludf.DUMMYFUNCTION("""COMPUTED_VALUE"""),"Completed")</f>
        <v>Completed</v>
      </c>
    </row>
    <row r="6495">
      <c r="A6495" s="9" t="str">
        <f>IFERROR(__xludf.DUMMYFUNCTION("""COMPUTED_VALUE"""),"G-REQ-06494")</f>
        <v>G-REQ-06494</v>
      </c>
      <c r="B6495" s="11">
        <f>IFERROR(__xludf.DUMMYFUNCTION("""COMPUTED_VALUE"""),46223.523687946756)</f>
        <v>46223.52369</v>
      </c>
      <c r="C6495" s="9">
        <f>IFERROR(__xludf.DUMMYFUNCTION("""COMPUTED_VALUE"""),24829.0)</f>
        <v>24829</v>
      </c>
      <c r="D6495" s="9" t="str">
        <f>IFERROR(__xludf.DUMMYFUNCTION("""COMPUTED_VALUE"""),"Completed")</f>
        <v>Completed</v>
      </c>
    </row>
    <row r="6496">
      <c r="A6496" s="9" t="str">
        <f>IFERROR(__xludf.DUMMYFUNCTION("""COMPUTED_VALUE"""),"G-REQ-06495")</f>
        <v>G-REQ-06495</v>
      </c>
      <c r="B6496" s="11">
        <f>IFERROR(__xludf.DUMMYFUNCTION("""COMPUTED_VALUE"""),46223.594862792175)</f>
        <v>46223.59486</v>
      </c>
      <c r="C6496" s="9">
        <f>IFERROR(__xludf.DUMMYFUNCTION("""COMPUTED_VALUE"""),24833.0)</f>
        <v>24833</v>
      </c>
      <c r="D6496" s="9" t="str">
        <f>IFERROR(__xludf.DUMMYFUNCTION("""COMPUTED_VALUE"""),"Completed")</f>
        <v>Completed</v>
      </c>
    </row>
    <row r="6497">
      <c r="A6497" s="9" t="str">
        <f>IFERROR(__xludf.DUMMYFUNCTION("""COMPUTED_VALUE"""),"G-REQ-06496")</f>
        <v>G-REQ-06496</v>
      </c>
      <c r="B6497" s="11">
        <f>IFERROR(__xludf.DUMMYFUNCTION("""COMPUTED_VALUE"""),46223.66603763759)</f>
        <v>46223.66604</v>
      </c>
      <c r="C6497" s="9">
        <f>IFERROR(__xludf.DUMMYFUNCTION("""COMPUTED_VALUE"""),24837.0)</f>
        <v>24837</v>
      </c>
      <c r="D6497" s="9" t="str">
        <f>IFERROR(__xludf.DUMMYFUNCTION("""COMPUTED_VALUE"""),"Completed")</f>
        <v>Completed</v>
      </c>
    </row>
    <row r="6498">
      <c r="A6498" s="9" t="str">
        <f>IFERROR(__xludf.DUMMYFUNCTION("""COMPUTED_VALUE"""),"G-REQ-06497")</f>
        <v>G-REQ-06497</v>
      </c>
      <c r="B6498" s="11">
        <f>IFERROR(__xludf.DUMMYFUNCTION("""COMPUTED_VALUE"""),46223.737212483)</f>
        <v>46223.73721</v>
      </c>
      <c r="C6498" s="9">
        <f>IFERROR(__xludf.DUMMYFUNCTION("""COMPUTED_VALUE"""),24841.0)</f>
        <v>24841</v>
      </c>
      <c r="D6498" s="9" t="str">
        <f>IFERROR(__xludf.DUMMYFUNCTION("""COMPUTED_VALUE"""),"Completed")</f>
        <v>Completed</v>
      </c>
    </row>
    <row r="6499">
      <c r="A6499" s="9" t="str">
        <f>IFERROR(__xludf.DUMMYFUNCTION("""COMPUTED_VALUE"""),"G-REQ-06498")</f>
        <v>G-REQ-06498</v>
      </c>
      <c r="B6499" s="11">
        <f>IFERROR(__xludf.DUMMYFUNCTION("""COMPUTED_VALUE"""),46223.80838732842)</f>
        <v>46223.80839</v>
      </c>
      <c r="C6499" s="9">
        <f>IFERROR(__xludf.DUMMYFUNCTION("""COMPUTED_VALUE"""),24845.0)</f>
        <v>24845</v>
      </c>
      <c r="D6499" s="9" t="str">
        <f>IFERROR(__xludf.DUMMYFUNCTION("""COMPUTED_VALUE"""),"Completed")</f>
        <v>Completed</v>
      </c>
    </row>
    <row r="6500">
      <c r="A6500" s="9" t="str">
        <f>IFERROR(__xludf.DUMMYFUNCTION("""COMPUTED_VALUE"""),"G-REQ-06499")</f>
        <v>G-REQ-06499</v>
      </c>
      <c r="B6500" s="11">
        <f>IFERROR(__xludf.DUMMYFUNCTION("""COMPUTED_VALUE"""),46223.87956217383)</f>
        <v>46223.87956</v>
      </c>
      <c r="C6500" s="9">
        <f>IFERROR(__xludf.DUMMYFUNCTION("""COMPUTED_VALUE"""),24849.0)</f>
        <v>24849</v>
      </c>
      <c r="D6500" s="9" t="str">
        <f>IFERROR(__xludf.DUMMYFUNCTION("""COMPUTED_VALUE"""),"Completed")</f>
        <v>Completed</v>
      </c>
    </row>
    <row r="6501">
      <c r="A6501" s="9" t="str">
        <f>IFERROR(__xludf.DUMMYFUNCTION("""COMPUTED_VALUE"""),"G-REQ-06500")</f>
        <v>G-REQ-06500</v>
      </c>
      <c r="B6501" s="11">
        <f>IFERROR(__xludf.DUMMYFUNCTION("""COMPUTED_VALUE"""),46223.950737019244)</f>
        <v>46223.95074</v>
      </c>
      <c r="C6501" s="9">
        <f>IFERROR(__xludf.DUMMYFUNCTION("""COMPUTED_VALUE"""),24853.0)</f>
        <v>24853</v>
      </c>
      <c r="D6501" s="9" t="str">
        <f>IFERROR(__xludf.DUMMYFUNCTION("""COMPUTED_VALUE"""),"Completed")</f>
        <v>Completed</v>
      </c>
    </row>
    <row r="6502">
      <c r="A6502" s="9" t="str">
        <f>IFERROR(__xludf.DUMMYFUNCTION("""COMPUTED_VALUE"""),"G-REQ-06501")</f>
        <v>G-REQ-06501</v>
      </c>
      <c r="B6502" s="11">
        <f>IFERROR(__xludf.DUMMYFUNCTION("""COMPUTED_VALUE"""),46224.01496742022)</f>
        <v>46224.01497</v>
      </c>
      <c r="C6502" s="9">
        <f>IFERROR(__xludf.DUMMYFUNCTION("""COMPUTED_VALUE"""),24855.0)</f>
        <v>24855</v>
      </c>
      <c r="D6502" s="9" t="str">
        <f>IFERROR(__xludf.DUMMYFUNCTION("""COMPUTED_VALUE"""),"Rejected")</f>
        <v>Rejected</v>
      </c>
    </row>
    <row r="6503">
      <c r="A6503" s="9" t="str">
        <f>IFERROR(__xludf.DUMMYFUNCTION("""COMPUTED_VALUE"""),"G-REQ-06502")</f>
        <v>G-REQ-06502</v>
      </c>
      <c r="B6503" s="11">
        <f>IFERROR(__xludf.DUMMYFUNCTION("""COMPUTED_VALUE"""),46224.093086710076)</f>
        <v>46224.09309</v>
      </c>
      <c r="C6503" s="9">
        <f>IFERROR(__xludf.DUMMYFUNCTION("""COMPUTED_VALUE"""),24859.0)</f>
        <v>24859</v>
      </c>
      <c r="D6503" s="9" t="str">
        <f>IFERROR(__xludf.DUMMYFUNCTION("""COMPUTED_VALUE"""),"Completed")</f>
        <v>Completed</v>
      </c>
    </row>
    <row r="6504">
      <c r="A6504" s="9" t="str">
        <f>IFERROR(__xludf.DUMMYFUNCTION("""COMPUTED_VALUE"""),"G-REQ-06503")</f>
        <v>G-REQ-06503</v>
      </c>
      <c r="B6504" s="11">
        <f>IFERROR(__xludf.DUMMYFUNCTION("""COMPUTED_VALUE"""),46224.16426155549)</f>
        <v>46224.16426</v>
      </c>
      <c r="C6504" s="9">
        <f>IFERROR(__xludf.DUMMYFUNCTION("""COMPUTED_VALUE"""),24863.0)</f>
        <v>24863</v>
      </c>
      <c r="D6504" s="9" t="str">
        <f>IFERROR(__xludf.DUMMYFUNCTION("""COMPUTED_VALUE"""),"Completed")</f>
        <v>Completed</v>
      </c>
    </row>
    <row r="6505">
      <c r="A6505" s="9" t="str">
        <f>IFERROR(__xludf.DUMMYFUNCTION("""COMPUTED_VALUE"""),"G-REQ-06504")</f>
        <v>G-REQ-06504</v>
      </c>
      <c r="B6505" s="11">
        <f>IFERROR(__xludf.DUMMYFUNCTION("""COMPUTED_VALUE"""),46224.23543640091)</f>
        <v>46224.23544</v>
      </c>
      <c r="C6505" s="9">
        <f>IFERROR(__xludf.DUMMYFUNCTION("""COMPUTED_VALUE"""),24867.0)</f>
        <v>24867</v>
      </c>
      <c r="D6505" s="9" t="str">
        <f>IFERROR(__xludf.DUMMYFUNCTION("""COMPUTED_VALUE"""),"Completed")</f>
        <v>Completed</v>
      </c>
    </row>
    <row r="6506">
      <c r="A6506" s="9" t="str">
        <f>IFERROR(__xludf.DUMMYFUNCTION("""COMPUTED_VALUE"""),"G-REQ-06505")</f>
        <v>G-REQ-06505</v>
      </c>
      <c r="B6506" s="11">
        <f>IFERROR(__xludf.DUMMYFUNCTION("""COMPUTED_VALUE"""),46224.30661124632)</f>
        <v>46224.30661</v>
      </c>
      <c r="C6506" s="9">
        <f>IFERROR(__xludf.DUMMYFUNCTION("""COMPUTED_VALUE"""),24871.0)</f>
        <v>24871</v>
      </c>
      <c r="D6506" s="9" t="str">
        <f>IFERROR(__xludf.DUMMYFUNCTION("""COMPUTED_VALUE"""),"Completed")</f>
        <v>Completed</v>
      </c>
    </row>
    <row r="6507">
      <c r="A6507" s="9" t="str">
        <f>IFERROR(__xludf.DUMMYFUNCTION("""COMPUTED_VALUE"""),"G-REQ-06506")</f>
        <v>G-REQ-06506</v>
      </c>
      <c r="B6507" s="11">
        <f>IFERROR(__xludf.DUMMYFUNCTION("""COMPUTED_VALUE"""),46224.37778609174)</f>
        <v>46224.37779</v>
      </c>
      <c r="C6507" s="9">
        <f>IFERROR(__xludf.DUMMYFUNCTION("""COMPUTED_VALUE"""),24875.0)</f>
        <v>24875</v>
      </c>
      <c r="D6507" s="9" t="str">
        <f>IFERROR(__xludf.DUMMYFUNCTION("""COMPUTED_VALUE"""),"Completed")</f>
        <v>Completed</v>
      </c>
    </row>
    <row r="6508">
      <c r="A6508" s="9" t="str">
        <f>IFERROR(__xludf.DUMMYFUNCTION("""COMPUTED_VALUE"""),"G-REQ-06507")</f>
        <v>G-REQ-06507</v>
      </c>
      <c r="B6508" s="11">
        <f>IFERROR(__xludf.DUMMYFUNCTION("""COMPUTED_VALUE"""),46224.44896093715)</f>
        <v>46224.44896</v>
      </c>
      <c r="C6508" s="9">
        <f>IFERROR(__xludf.DUMMYFUNCTION("""COMPUTED_VALUE"""),24879.0)</f>
        <v>24879</v>
      </c>
      <c r="D6508" s="9" t="str">
        <f>IFERROR(__xludf.DUMMYFUNCTION("""COMPUTED_VALUE"""),"Completed")</f>
        <v>Completed</v>
      </c>
    </row>
    <row r="6509">
      <c r="A6509" s="9" t="str">
        <f>IFERROR(__xludf.DUMMYFUNCTION("""COMPUTED_VALUE"""),"G-REQ-06508")</f>
        <v>G-REQ-06508</v>
      </c>
      <c r="B6509" s="11">
        <f>IFERROR(__xludf.DUMMYFUNCTION("""COMPUTED_VALUE"""),46224.52013578257)</f>
        <v>46224.52014</v>
      </c>
      <c r="C6509" s="9">
        <f>IFERROR(__xludf.DUMMYFUNCTION("""COMPUTED_VALUE"""),24883.0)</f>
        <v>24883</v>
      </c>
      <c r="D6509" s="9" t="str">
        <f>IFERROR(__xludf.DUMMYFUNCTION("""COMPUTED_VALUE"""),"Completed")</f>
        <v>Completed</v>
      </c>
    </row>
    <row r="6510">
      <c r="A6510" s="9" t="str">
        <f>IFERROR(__xludf.DUMMYFUNCTION("""COMPUTED_VALUE"""),"G-REQ-06509")</f>
        <v>G-REQ-06509</v>
      </c>
      <c r="B6510" s="11">
        <f>IFERROR(__xludf.DUMMYFUNCTION("""COMPUTED_VALUE"""),46224.59131062798)</f>
        <v>46224.59131</v>
      </c>
      <c r="C6510" s="9">
        <f>IFERROR(__xludf.DUMMYFUNCTION("""COMPUTED_VALUE"""),24887.0)</f>
        <v>24887</v>
      </c>
      <c r="D6510" s="9" t="str">
        <f>IFERROR(__xludf.DUMMYFUNCTION("""COMPUTED_VALUE"""),"Completed")</f>
        <v>Completed</v>
      </c>
    </row>
    <row r="6511">
      <c r="A6511" s="9" t="str">
        <f>IFERROR(__xludf.DUMMYFUNCTION("""COMPUTED_VALUE"""),"G-REQ-06510")</f>
        <v>G-REQ-06510</v>
      </c>
      <c r="B6511" s="11">
        <f>IFERROR(__xludf.DUMMYFUNCTION("""COMPUTED_VALUE"""),46224.6624854734)</f>
        <v>46224.66249</v>
      </c>
      <c r="C6511" s="9">
        <f>IFERROR(__xludf.DUMMYFUNCTION("""COMPUTED_VALUE"""),24891.0)</f>
        <v>24891</v>
      </c>
      <c r="D6511" s="9" t="str">
        <f>IFERROR(__xludf.DUMMYFUNCTION("""COMPUTED_VALUE"""),"Completed")</f>
        <v>Completed</v>
      </c>
    </row>
    <row r="6512">
      <c r="A6512" s="9" t="str">
        <f>IFERROR(__xludf.DUMMYFUNCTION("""COMPUTED_VALUE"""),"G-REQ-06511")</f>
        <v>G-REQ-06511</v>
      </c>
      <c r="B6512" s="11">
        <f>IFERROR(__xludf.DUMMYFUNCTION("""COMPUTED_VALUE"""),46224.72671587437)</f>
        <v>46224.72672</v>
      </c>
      <c r="C6512" s="9">
        <f>IFERROR(__xludf.DUMMYFUNCTION("""COMPUTED_VALUE"""),24893.0)</f>
        <v>24893</v>
      </c>
      <c r="D6512" s="9" t="str">
        <f>IFERROR(__xludf.DUMMYFUNCTION("""COMPUTED_VALUE"""),"Rejected")</f>
        <v>Rejected</v>
      </c>
    </row>
    <row r="6513">
      <c r="A6513" s="9" t="str">
        <f>IFERROR(__xludf.DUMMYFUNCTION("""COMPUTED_VALUE"""),"G-REQ-06512")</f>
        <v>G-REQ-06512</v>
      </c>
      <c r="B6513" s="11">
        <f>IFERROR(__xludf.DUMMYFUNCTION("""COMPUTED_VALUE"""),46224.80483516423)</f>
        <v>46224.80484</v>
      </c>
      <c r="C6513" s="9">
        <f>IFERROR(__xludf.DUMMYFUNCTION("""COMPUTED_VALUE"""),24897.0)</f>
        <v>24897</v>
      </c>
      <c r="D6513" s="9" t="str">
        <f>IFERROR(__xludf.DUMMYFUNCTION("""COMPUTED_VALUE"""),"Completed")</f>
        <v>Completed</v>
      </c>
    </row>
    <row r="6514">
      <c r="A6514" s="9" t="str">
        <f>IFERROR(__xludf.DUMMYFUNCTION("""COMPUTED_VALUE"""),"G-REQ-06513")</f>
        <v>G-REQ-06513</v>
      </c>
      <c r="B6514" s="11">
        <f>IFERROR(__xludf.DUMMYFUNCTION("""COMPUTED_VALUE"""),46224.87601000964)</f>
        <v>46224.87601</v>
      </c>
      <c r="C6514" s="9">
        <f>IFERROR(__xludf.DUMMYFUNCTION("""COMPUTED_VALUE"""),24901.0)</f>
        <v>24901</v>
      </c>
      <c r="D6514" s="9" t="str">
        <f>IFERROR(__xludf.DUMMYFUNCTION("""COMPUTED_VALUE"""),"Completed")</f>
        <v>Completed</v>
      </c>
    </row>
    <row r="6515">
      <c r="A6515" s="9" t="str">
        <f>IFERROR(__xludf.DUMMYFUNCTION("""COMPUTED_VALUE"""),"G-REQ-06514")</f>
        <v>G-REQ-06514</v>
      </c>
      <c r="B6515" s="11">
        <f>IFERROR(__xludf.DUMMYFUNCTION("""COMPUTED_VALUE"""),46224.94718485506)</f>
        <v>46224.94718</v>
      </c>
      <c r="C6515" s="9">
        <f>IFERROR(__xludf.DUMMYFUNCTION("""COMPUTED_VALUE"""),24905.0)</f>
        <v>24905</v>
      </c>
      <c r="D6515" s="9" t="str">
        <f>IFERROR(__xludf.DUMMYFUNCTION("""COMPUTED_VALUE"""),"Completed")</f>
        <v>Completed</v>
      </c>
    </row>
    <row r="6516">
      <c r="A6516" s="9" t="str">
        <f>IFERROR(__xludf.DUMMYFUNCTION("""COMPUTED_VALUE"""),"G-REQ-06515")</f>
        <v>G-REQ-06515</v>
      </c>
      <c r="B6516" s="11">
        <f>IFERROR(__xludf.DUMMYFUNCTION("""COMPUTED_VALUE"""),46225.01835970047)</f>
        <v>46225.01836</v>
      </c>
      <c r="C6516" s="9">
        <f>IFERROR(__xludf.DUMMYFUNCTION("""COMPUTED_VALUE"""),24909.0)</f>
        <v>24909</v>
      </c>
      <c r="D6516" s="9" t="str">
        <f>IFERROR(__xludf.DUMMYFUNCTION("""COMPUTED_VALUE"""),"Completed")</f>
        <v>Completed</v>
      </c>
    </row>
    <row r="6517">
      <c r="A6517" s="9" t="str">
        <f>IFERROR(__xludf.DUMMYFUNCTION("""COMPUTED_VALUE"""),"G-REQ-06516")</f>
        <v>G-REQ-06516</v>
      </c>
      <c r="B6517" s="11">
        <f>IFERROR(__xludf.DUMMYFUNCTION("""COMPUTED_VALUE"""),46225.089534545885)</f>
        <v>46225.08953</v>
      </c>
      <c r="C6517" s="9">
        <f>IFERROR(__xludf.DUMMYFUNCTION("""COMPUTED_VALUE"""),24913.0)</f>
        <v>24913</v>
      </c>
      <c r="D6517" s="9" t="str">
        <f>IFERROR(__xludf.DUMMYFUNCTION("""COMPUTED_VALUE"""),"Completed")</f>
        <v>Completed</v>
      </c>
    </row>
    <row r="6518">
      <c r="A6518" s="9" t="str">
        <f>IFERROR(__xludf.DUMMYFUNCTION("""COMPUTED_VALUE"""),"G-REQ-06517")</f>
        <v>G-REQ-06517</v>
      </c>
      <c r="B6518" s="11">
        <f>IFERROR(__xludf.DUMMYFUNCTION("""COMPUTED_VALUE"""),46225.15376494686)</f>
        <v>46225.15376</v>
      </c>
      <c r="C6518" s="9">
        <f>IFERROR(__xludf.DUMMYFUNCTION("""COMPUTED_VALUE"""),24915.0)</f>
        <v>24915</v>
      </c>
      <c r="D6518" s="9" t="str">
        <f>IFERROR(__xludf.DUMMYFUNCTION("""COMPUTED_VALUE"""),"Rejected")</f>
        <v>Rejected</v>
      </c>
    </row>
    <row r="6519">
      <c r="A6519" s="9" t="str">
        <f>IFERROR(__xludf.DUMMYFUNCTION("""COMPUTED_VALUE"""),"G-REQ-06518")</f>
        <v>G-REQ-06518</v>
      </c>
      <c r="B6519" s="11">
        <f>IFERROR(__xludf.DUMMYFUNCTION("""COMPUTED_VALUE"""),46225.22493979228)</f>
        <v>46225.22494</v>
      </c>
      <c r="C6519" s="9">
        <f>IFERROR(__xludf.DUMMYFUNCTION("""COMPUTED_VALUE"""),24917.0)</f>
        <v>24917</v>
      </c>
      <c r="D6519" s="9" t="str">
        <f>IFERROR(__xludf.DUMMYFUNCTION("""COMPUTED_VALUE"""),"Rejected")</f>
        <v>Rejected</v>
      </c>
    </row>
    <row r="6520">
      <c r="A6520" s="9" t="str">
        <f>IFERROR(__xludf.DUMMYFUNCTION("""COMPUTED_VALUE"""),"G-REQ-06519")</f>
        <v>G-REQ-06519</v>
      </c>
      <c r="B6520" s="11">
        <f>IFERROR(__xludf.DUMMYFUNCTION("""COMPUTED_VALUE"""),46225.30305908213)</f>
        <v>46225.30306</v>
      </c>
      <c r="C6520" s="9">
        <f>IFERROR(__xludf.DUMMYFUNCTION("""COMPUTED_VALUE"""),24921.0)</f>
        <v>24921</v>
      </c>
      <c r="D6520" s="9" t="str">
        <f>IFERROR(__xludf.DUMMYFUNCTION("""COMPUTED_VALUE"""),"Completed")</f>
        <v>Completed</v>
      </c>
    </row>
    <row r="6521">
      <c r="A6521" s="9" t="str">
        <f>IFERROR(__xludf.DUMMYFUNCTION("""COMPUTED_VALUE"""),"G-REQ-06520")</f>
        <v>G-REQ-06520</v>
      </c>
      <c r="B6521" s="11">
        <f>IFERROR(__xludf.DUMMYFUNCTION("""COMPUTED_VALUE"""),46225.37423392755)</f>
        <v>46225.37423</v>
      </c>
      <c r="C6521" s="9">
        <f>IFERROR(__xludf.DUMMYFUNCTION("""COMPUTED_VALUE"""),24925.0)</f>
        <v>24925</v>
      </c>
      <c r="D6521" s="9" t="str">
        <f>IFERROR(__xludf.DUMMYFUNCTION("""COMPUTED_VALUE"""),"Completed")</f>
        <v>Completed</v>
      </c>
    </row>
    <row r="6522">
      <c r="A6522" s="9" t="str">
        <f>IFERROR(__xludf.DUMMYFUNCTION("""COMPUTED_VALUE"""),"G-REQ-06521")</f>
        <v>G-REQ-06521</v>
      </c>
      <c r="B6522" s="11">
        <f>IFERROR(__xludf.DUMMYFUNCTION("""COMPUTED_VALUE"""),46225.438464328516)</f>
        <v>46225.43846</v>
      </c>
      <c r="C6522" s="9">
        <f>IFERROR(__xludf.DUMMYFUNCTION("""COMPUTED_VALUE"""),24927.0)</f>
        <v>24927</v>
      </c>
      <c r="D6522" s="9" t="str">
        <f>IFERROR(__xludf.DUMMYFUNCTION("""COMPUTED_VALUE"""),"Rejected")</f>
        <v>Rejected</v>
      </c>
    </row>
    <row r="6523">
      <c r="A6523" s="9" t="str">
        <f>IFERROR(__xludf.DUMMYFUNCTION("""COMPUTED_VALUE"""),"G-REQ-06522")</f>
        <v>G-REQ-06522</v>
      </c>
      <c r="B6523" s="11">
        <f>IFERROR(__xludf.DUMMYFUNCTION("""COMPUTED_VALUE"""),46225.509639173935)</f>
        <v>46225.50964</v>
      </c>
      <c r="C6523" s="9">
        <f>IFERROR(__xludf.DUMMYFUNCTION("""COMPUTED_VALUE"""),24929.0)</f>
        <v>24929</v>
      </c>
      <c r="D6523" s="9" t="str">
        <f>IFERROR(__xludf.DUMMYFUNCTION("""COMPUTED_VALUE"""),"Rejected")</f>
        <v>Rejected</v>
      </c>
    </row>
    <row r="6524">
      <c r="A6524" s="9" t="str">
        <f>IFERROR(__xludf.DUMMYFUNCTION("""COMPUTED_VALUE"""),"G-REQ-06523")</f>
        <v>G-REQ-06523</v>
      </c>
      <c r="B6524" s="11">
        <f>IFERROR(__xludf.DUMMYFUNCTION("""COMPUTED_VALUE"""),46225.58775846379)</f>
        <v>46225.58776</v>
      </c>
      <c r="C6524" s="9">
        <f>IFERROR(__xludf.DUMMYFUNCTION("""COMPUTED_VALUE"""),24933.0)</f>
        <v>24933</v>
      </c>
      <c r="D6524" s="9" t="str">
        <f>IFERROR(__xludf.DUMMYFUNCTION("""COMPUTED_VALUE"""),"Completed")</f>
        <v>Completed</v>
      </c>
    </row>
    <row r="6525">
      <c r="A6525" s="9" t="str">
        <f>IFERROR(__xludf.DUMMYFUNCTION("""COMPUTED_VALUE"""),"G-REQ-06524")</f>
        <v>G-REQ-06524</v>
      </c>
      <c r="B6525" s="11">
        <f>IFERROR(__xludf.DUMMYFUNCTION("""COMPUTED_VALUE"""),46225.65893330921)</f>
        <v>46225.65893</v>
      </c>
      <c r="C6525" s="9">
        <f>IFERROR(__xludf.DUMMYFUNCTION("""COMPUTED_VALUE"""),24937.0)</f>
        <v>24937</v>
      </c>
      <c r="D6525" s="9" t="str">
        <f>IFERROR(__xludf.DUMMYFUNCTION("""COMPUTED_VALUE"""),"Completed")</f>
        <v>Completed</v>
      </c>
    </row>
    <row r="6526">
      <c r="A6526" s="9" t="str">
        <f>IFERROR(__xludf.DUMMYFUNCTION("""COMPUTED_VALUE"""),"G-REQ-06525")</f>
        <v>G-REQ-06525</v>
      </c>
      <c r="B6526" s="11">
        <f>IFERROR(__xludf.DUMMYFUNCTION("""COMPUTED_VALUE"""),46225.73010815462)</f>
        <v>46225.73011</v>
      </c>
      <c r="C6526" s="9">
        <f>IFERROR(__xludf.DUMMYFUNCTION("""COMPUTED_VALUE"""),24941.0)</f>
        <v>24941</v>
      </c>
      <c r="D6526" s="9" t="str">
        <f>IFERROR(__xludf.DUMMYFUNCTION("""COMPUTED_VALUE"""),"Completed")</f>
        <v>Completed</v>
      </c>
    </row>
    <row r="6527">
      <c r="A6527" s="9" t="str">
        <f>IFERROR(__xludf.DUMMYFUNCTION("""COMPUTED_VALUE"""),"G-REQ-06526")</f>
        <v>G-REQ-06526</v>
      </c>
      <c r="B6527" s="11">
        <f>IFERROR(__xludf.DUMMYFUNCTION("""COMPUTED_VALUE"""),46225.79433855559)</f>
        <v>46225.79434</v>
      </c>
      <c r="C6527" s="9">
        <f>IFERROR(__xludf.DUMMYFUNCTION("""COMPUTED_VALUE"""),24943.0)</f>
        <v>24943</v>
      </c>
      <c r="D6527" s="9" t="str">
        <f>IFERROR(__xludf.DUMMYFUNCTION("""COMPUTED_VALUE"""),"Cancelled")</f>
        <v>Cancelled</v>
      </c>
    </row>
    <row r="6528">
      <c r="A6528" s="9" t="str">
        <f>IFERROR(__xludf.DUMMYFUNCTION("""COMPUTED_VALUE"""),"G-REQ-06527")</f>
        <v>G-REQ-06527</v>
      </c>
      <c r="B6528" s="11">
        <f>IFERROR(__xludf.DUMMYFUNCTION("""COMPUTED_VALUE"""),46225.86551340101)</f>
        <v>46225.86551</v>
      </c>
      <c r="C6528" s="9">
        <f>IFERROR(__xludf.DUMMYFUNCTION("""COMPUTED_VALUE"""),24945.0)</f>
        <v>24945</v>
      </c>
      <c r="D6528" s="9" t="str">
        <f>IFERROR(__xludf.DUMMYFUNCTION("""COMPUTED_VALUE"""),"Cancelled")</f>
        <v>Cancelled</v>
      </c>
    </row>
    <row r="6529">
      <c r="A6529" s="9" t="str">
        <f>IFERROR(__xludf.DUMMYFUNCTION("""COMPUTED_VALUE"""),"G-REQ-06528")</f>
        <v>G-REQ-06528</v>
      </c>
      <c r="B6529" s="11">
        <f>IFERROR(__xludf.DUMMYFUNCTION("""COMPUTED_VALUE"""),46225.94363269087)</f>
        <v>46225.94363</v>
      </c>
      <c r="C6529" s="9">
        <f>IFERROR(__xludf.DUMMYFUNCTION("""COMPUTED_VALUE"""),24949.0)</f>
        <v>24949</v>
      </c>
      <c r="D6529" s="9" t="str">
        <f>IFERROR(__xludf.DUMMYFUNCTION("""COMPUTED_VALUE"""),"Completed")</f>
        <v>Completed</v>
      </c>
    </row>
    <row r="6530">
      <c r="A6530" s="9" t="str">
        <f>IFERROR(__xludf.DUMMYFUNCTION("""COMPUTED_VALUE"""),"G-REQ-06529")</f>
        <v>G-REQ-06529</v>
      </c>
      <c r="B6530" s="11">
        <f>IFERROR(__xludf.DUMMYFUNCTION("""COMPUTED_VALUE"""),46226.01480753628)</f>
        <v>46226.01481</v>
      </c>
      <c r="C6530" s="9">
        <f>IFERROR(__xludf.DUMMYFUNCTION("""COMPUTED_VALUE"""),24953.0)</f>
        <v>24953</v>
      </c>
      <c r="D6530" s="9" t="str">
        <f>IFERROR(__xludf.DUMMYFUNCTION("""COMPUTED_VALUE"""),"Completed")</f>
        <v>Completed</v>
      </c>
    </row>
    <row r="6531">
      <c r="A6531" s="9" t="str">
        <f>IFERROR(__xludf.DUMMYFUNCTION("""COMPUTED_VALUE"""),"G-REQ-06530")</f>
        <v>G-REQ-06530</v>
      </c>
      <c r="B6531" s="11">
        <f>IFERROR(__xludf.DUMMYFUNCTION("""COMPUTED_VALUE"""),46226.0859823817)</f>
        <v>46226.08598</v>
      </c>
      <c r="C6531" s="9">
        <f>IFERROR(__xludf.DUMMYFUNCTION("""COMPUTED_VALUE"""),24957.0)</f>
        <v>24957</v>
      </c>
      <c r="D6531" s="9" t="str">
        <f>IFERROR(__xludf.DUMMYFUNCTION("""COMPUTED_VALUE"""),"Completed")</f>
        <v>Completed</v>
      </c>
    </row>
    <row r="6532">
      <c r="A6532" s="9" t="str">
        <f>IFERROR(__xludf.DUMMYFUNCTION("""COMPUTED_VALUE"""),"G-REQ-06531")</f>
        <v>G-REQ-06531</v>
      </c>
      <c r="B6532" s="11">
        <f>IFERROR(__xludf.DUMMYFUNCTION("""COMPUTED_VALUE"""),46226.15715722711)</f>
        <v>46226.15716</v>
      </c>
      <c r="C6532" s="9">
        <f>IFERROR(__xludf.DUMMYFUNCTION("""COMPUTED_VALUE"""),24961.0)</f>
        <v>24961</v>
      </c>
      <c r="D6532" s="9" t="str">
        <f>IFERROR(__xludf.DUMMYFUNCTION("""COMPUTED_VALUE"""),"Completed")</f>
        <v>Completed</v>
      </c>
    </row>
    <row r="6533">
      <c r="A6533" s="9" t="str">
        <f>IFERROR(__xludf.DUMMYFUNCTION("""COMPUTED_VALUE"""),"G-REQ-06532")</f>
        <v>G-REQ-06532</v>
      </c>
      <c r="B6533" s="11">
        <f>IFERROR(__xludf.DUMMYFUNCTION("""COMPUTED_VALUE"""),46226.228332072526)</f>
        <v>46226.22833</v>
      </c>
      <c r="C6533" s="9">
        <f>IFERROR(__xludf.DUMMYFUNCTION("""COMPUTED_VALUE"""),24965.0)</f>
        <v>24965</v>
      </c>
      <c r="D6533" s="9" t="str">
        <f>IFERROR(__xludf.DUMMYFUNCTION("""COMPUTED_VALUE"""),"Completed")</f>
        <v>Completed</v>
      </c>
    </row>
    <row r="6534">
      <c r="A6534" s="9" t="str">
        <f>IFERROR(__xludf.DUMMYFUNCTION("""COMPUTED_VALUE"""),"G-REQ-06533")</f>
        <v>G-REQ-06533</v>
      </c>
      <c r="B6534" s="11">
        <f>IFERROR(__xludf.DUMMYFUNCTION("""COMPUTED_VALUE"""),46226.299506917945)</f>
        <v>46226.29951</v>
      </c>
      <c r="C6534" s="9">
        <f>IFERROR(__xludf.DUMMYFUNCTION("""COMPUTED_VALUE"""),24969.0)</f>
        <v>24969</v>
      </c>
      <c r="D6534" s="9" t="str">
        <f>IFERROR(__xludf.DUMMYFUNCTION("""COMPUTED_VALUE"""),"Completed")</f>
        <v>Completed</v>
      </c>
    </row>
    <row r="6535">
      <c r="A6535" s="9" t="str">
        <f>IFERROR(__xludf.DUMMYFUNCTION("""COMPUTED_VALUE"""),"G-REQ-06534")</f>
        <v>G-REQ-06534</v>
      </c>
      <c r="B6535" s="11">
        <f>IFERROR(__xludf.DUMMYFUNCTION("""COMPUTED_VALUE"""),46226.370681763365)</f>
        <v>46226.37068</v>
      </c>
      <c r="C6535" s="9">
        <f>IFERROR(__xludf.DUMMYFUNCTION("""COMPUTED_VALUE"""),24973.0)</f>
        <v>24973</v>
      </c>
      <c r="D6535" s="9" t="str">
        <f>IFERROR(__xludf.DUMMYFUNCTION("""COMPUTED_VALUE"""),"Completed")</f>
        <v>Completed</v>
      </c>
    </row>
    <row r="6536">
      <c r="A6536" s="9" t="str">
        <f>IFERROR(__xludf.DUMMYFUNCTION("""COMPUTED_VALUE"""),"G-REQ-06535")</f>
        <v>G-REQ-06535</v>
      </c>
      <c r="B6536" s="11">
        <f>IFERROR(__xludf.DUMMYFUNCTION("""COMPUTED_VALUE"""),46226.434912164324)</f>
        <v>46226.43491</v>
      </c>
      <c r="C6536" s="9">
        <f>IFERROR(__xludf.DUMMYFUNCTION("""COMPUTED_VALUE"""),24975.0)</f>
        <v>24975</v>
      </c>
      <c r="D6536" s="9" t="str">
        <f>IFERROR(__xludf.DUMMYFUNCTION("""COMPUTED_VALUE"""),"Rejected")</f>
        <v>Rejected</v>
      </c>
    </row>
    <row r="6537">
      <c r="A6537" s="9" t="str">
        <f>IFERROR(__xludf.DUMMYFUNCTION("""COMPUTED_VALUE"""),"G-REQ-06536")</f>
        <v>G-REQ-06536</v>
      </c>
      <c r="B6537" s="11">
        <f>IFERROR(__xludf.DUMMYFUNCTION("""COMPUTED_VALUE"""),46226.51303145419)</f>
        <v>46226.51303</v>
      </c>
      <c r="C6537" s="9">
        <f>IFERROR(__xludf.DUMMYFUNCTION("""COMPUTED_VALUE"""),24979.0)</f>
        <v>24979</v>
      </c>
      <c r="D6537" s="9" t="str">
        <f>IFERROR(__xludf.DUMMYFUNCTION("""COMPUTED_VALUE"""),"Completed")</f>
        <v>Completed</v>
      </c>
    </row>
    <row r="6538">
      <c r="A6538" s="9" t="str">
        <f>IFERROR(__xludf.DUMMYFUNCTION("""COMPUTED_VALUE"""),"G-REQ-06537")</f>
        <v>G-REQ-06537</v>
      </c>
      <c r="B6538" s="11">
        <f>IFERROR(__xludf.DUMMYFUNCTION("""COMPUTED_VALUE"""),46226.58420629961)</f>
        <v>46226.58421</v>
      </c>
      <c r="C6538" s="9">
        <f>IFERROR(__xludf.DUMMYFUNCTION("""COMPUTED_VALUE"""),24983.0)</f>
        <v>24983</v>
      </c>
      <c r="D6538" s="9" t="str">
        <f>IFERROR(__xludf.DUMMYFUNCTION("""COMPUTED_VALUE"""),"Completed")</f>
        <v>Completed</v>
      </c>
    </row>
    <row r="6539">
      <c r="A6539" s="9" t="str">
        <f>IFERROR(__xludf.DUMMYFUNCTION("""COMPUTED_VALUE"""),"G-REQ-06538")</f>
        <v>G-REQ-06538</v>
      </c>
      <c r="B6539" s="11">
        <f>IFERROR(__xludf.DUMMYFUNCTION("""COMPUTED_VALUE"""),46226.65538114502)</f>
        <v>46226.65538</v>
      </c>
      <c r="C6539" s="9">
        <f>IFERROR(__xludf.DUMMYFUNCTION("""COMPUTED_VALUE"""),24987.0)</f>
        <v>24987</v>
      </c>
      <c r="D6539" s="9" t="str">
        <f>IFERROR(__xludf.DUMMYFUNCTION("""COMPUTED_VALUE"""),"Completed")</f>
        <v>Completed</v>
      </c>
    </row>
    <row r="6540">
      <c r="A6540" s="9" t="str">
        <f>IFERROR(__xludf.DUMMYFUNCTION("""COMPUTED_VALUE"""),"G-REQ-06539")</f>
        <v>G-REQ-06539</v>
      </c>
      <c r="B6540" s="11">
        <f>IFERROR(__xludf.DUMMYFUNCTION("""COMPUTED_VALUE"""),46226.71961154599)</f>
        <v>46226.71961</v>
      </c>
      <c r="C6540" s="9">
        <f>IFERROR(__xludf.DUMMYFUNCTION("""COMPUTED_VALUE"""),24989.0)</f>
        <v>24989</v>
      </c>
      <c r="D6540" s="9" t="str">
        <f>IFERROR(__xludf.DUMMYFUNCTION("""COMPUTED_VALUE"""),"Rejected")</f>
        <v>Rejected</v>
      </c>
    </row>
    <row r="6541">
      <c r="A6541" s="9" t="str">
        <f>IFERROR(__xludf.DUMMYFUNCTION("""COMPUTED_VALUE"""),"G-REQ-06540")</f>
        <v>G-REQ-06540</v>
      </c>
      <c r="B6541" s="11">
        <f>IFERROR(__xludf.DUMMYFUNCTION("""COMPUTED_VALUE"""),46226.79773083585)</f>
        <v>46226.79773</v>
      </c>
      <c r="C6541" s="9">
        <f>IFERROR(__xludf.DUMMYFUNCTION("""COMPUTED_VALUE"""),24993.0)</f>
        <v>24993</v>
      </c>
      <c r="D6541" s="9" t="str">
        <f>IFERROR(__xludf.DUMMYFUNCTION("""COMPUTED_VALUE"""),"Completed")</f>
        <v>Completed</v>
      </c>
    </row>
    <row r="6542">
      <c r="A6542" s="9" t="str">
        <f>IFERROR(__xludf.DUMMYFUNCTION("""COMPUTED_VALUE"""),"G-REQ-06541")</f>
        <v>G-REQ-06541</v>
      </c>
      <c r="B6542" s="11">
        <f>IFERROR(__xludf.DUMMYFUNCTION("""COMPUTED_VALUE"""),46226.86196123682)</f>
        <v>46226.86196</v>
      </c>
      <c r="C6542" s="9">
        <f>IFERROR(__xludf.DUMMYFUNCTION("""COMPUTED_VALUE"""),24995.0)</f>
        <v>24995</v>
      </c>
      <c r="D6542" s="9" t="str">
        <f>IFERROR(__xludf.DUMMYFUNCTION("""COMPUTED_VALUE"""),"Rejected")</f>
        <v>Rejected</v>
      </c>
    </row>
    <row r="6543">
      <c r="A6543" s="9" t="str">
        <f>IFERROR(__xludf.DUMMYFUNCTION("""COMPUTED_VALUE"""),"G-REQ-06542")</f>
        <v>G-REQ-06542</v>
      </c>
      <c r="B6543" s="11">
        <f>IFERROR(__xludf.DUMMYFUNCTION("""COMPUTED_VALUE"""),46226.94008052668)</f>
        <v>46226.94008</v>
      </c>
      <c r="C6543" s="9">
        <f>IFERROR(__xludf.DUMMYFUNCTION("""COMPUTED_VALUE"""),24999.0)</f>
        <v>24999</v>
      </c>
      <c r="D6543" s="9" t="str">
        <f>IFERROR(__xludf.DUMMYFUNCTION("""COMPUTED_VALUE"""),"Completed")</f>
        <v>Completed</v>
      </c>
    </row>
    <row r="6544">
      <c r="A6544" s="9" t="str">
        <f>IFERROR(__xludf.DUMMYFUNCTION("""COMPUTED_VALUE"""),"G-REQ-06543")</f>
        <v>G-REQ-06543</v>
      </c>
      <c r="B6544" s="11">
        <f>IFERROR(__xludf.DUMMYFUNCTION("""COMPUTED_VALUE"""),46227.00431092765)</f>
        <v>46227.00431</v>
      </c>
      <c r="C6544" s="9">
        <f>IFERROR(__xludf.DUMMYFUNCTION("""COMPUTED_VALUE"""),25001.0)</f>
        <v>25001</v>
      </c>
      <c r="D6544" s="9" t="str">
        <f>IFERROR(__xludf.DUMMYFUNCTION("""COMPUTED_VALUE"""),"Rejected")</f>
        <v>Rejected</v>
      </c>
    </row>
    <row r="6545">
      <c r="A6545" s="9" t="str">
        <f>IFERROR(__xludf.DUMMYFUNCTION("""COMPUTED_VALUE"""),"G-REQ-06544")</f>
        <v>G-REQ-06544</v>
      </c>
      <c r="B6545" s="11">
        <f>IFERROR(__xludf.DUMMYFUNCTION("""COMPUTED_VALUE"""),46227.08243021751)</f>
        <v>46227.08243</v>
      </c>
      <c r="C6545" s="9">
        <f>IFERROR(__xludf.DUMMYFUNCTION("""COMPUTED_VALUE"""),25005.0)</f>
        <v>25005</v>
      </c>
      <c r="D6545" s="9" t="str">
        <f>IFERROR(__xludf.DUMMYFUNCTION("""COMPUTED_VALUE"""),"Completed")</f>
        <v>Completed</v>
      </c>
    </row>
    <row r="6546">
      <c r="A6546" s="9" t="str">
        <f>IFERROR(__xludf.DUMMYFUNCTION("""COMPUTED_VALUE"""),"G-REQ-06545")</f>
        <v>G-REQ-06545</v>
      </c>
      <c r="B6546" s="11">
        <f>IFERROR(__xludf.DUMMYFUNCTION("""COMPUTED_VALUE"""),46227.15360506292)</f>
        <v>46227.15361</v>
      </c>
      <c r="C6546" s="9">
        <f>IFERROR(__xludf.DUMMYFUNCTION("""COMPUTED_VALUE"""),25009.0)</f>
        <v>25009</v>
      </c>
      <c r="D6546" s="9" t="str">
        <f>IFERROR(__xludf.DUMMYFUNCTION("""COMPUTED_VALUE"""),"Completed")</f>
        <v>Completed</v>
      </c>
    </row>
    <row r="6547">
      <c r="A6547" s="9" t="str">
        <f>IFERROR(__xludf.DUMMYFUNCTION("""COMPUTED_VALUE"""),"G-REQ-06546")</f>
        <v>G-REQ-06546</v>
      </c>
      <c r="B6547" s="11">
        <f>IFERROR(__xludf.DUMMYFUNCTION("""COMPUTED_VALUE"""),46227.22477990834)</f>
        <v>46227.22478</v>
      </c>
      <c r="C6547" s="9">
        <f>IFERROR(__xludf.DUMMYFUNCTION("""COMPUTED_VALUE"""),25013.0)</f>
        <v>25013</v>
      </c>
      <c r="D6547" s="9" t="str">
        <f>IFERROR(__xludf.DUMMYFUNCTION("""COMPUTED_VALUE"""),"Completed")</f>
        <v>Completed</v>
      </c>
    </row>
    <row r="6548">
      <c r="A6548" s="9" t="str">
        <f>IFERROR(__xludf.DUMMYFUNCTION("""COMPUTED_VALUE"""),"G-REQ-06547")</f>
        <v>G-REQ-06547</v>
      </c>
      <c r="B6548" s="11">
        <f>IFERROR(__xludf.DUMMYFUNCTION("""COMPUTED_VALUE"""),46227.28901030931)</f>
        <v>46227.28901</v>
      </c>
      <c r="C6548" s="9">
        <f>IFERROR(__xludf.DUMMYFUNCTION("""COMPUTED_VALUE"""),25015.0)</f>
        <v>25015</v>
      </c>
      <c r="D6548" s="9" t="str">
        <f>IFERROR(__xludf.DUMMYFUNCTION("""COMPUTED_VALUE"""),"Cancelled")</f>
        <v>Cancelled</v>
      </c>
    </row>
    <row r="6549">
      <c r="A6549" s="9" t="str">
        <f>IFERROR(__xludf.DUMMYFUNCTION("""COMPUTED_VALUE"""),"G-REQ-06548")</f>
        <v>G-REQ-06548</v>
      </c>
      <c r="B6549" s="11">
        <f>IFERROR(__xludf.DUMMYFUNCTION("""COMPUTED_VALUE"""),46227.367129599166)</f>
        <v>46227.36713</v>
      </c>
      <c r="C6549" s="9">
        <f>IFERROR(__xludf.DUMMYFUNCTION("""COMPUTED_VALUE"""),25019.0)</f>
        <v>25019</v>
      </c>
      <c r="D6549" s="9" t="str">
        <f>IFERROR(__xludf.DUMMYFUNCTION("""COMPUTED_VALUE"""),"Completed")</f>
        <v>Completed</v>
      </c>
    </row>
    <row r="6550">
      <c r="A6550" s="9" t="str">
        <f>IFERROR(__xludf.DUMMYFUNCTION("""COMPUTED_VALUE"""),"G-REQ-06549")</f>
        <v>G-REQ-06549</v>
      </c>
      <c r="B6550" s="11">
        <f>IFERROR(__xludf.DUMMYFUNCTION("""COMPUTED_VALUE"""),46227.438304444586)</f>
        <v>46227.4383</v>
      </c>
      <c r="C6550" s="9">
        <f>IFERROR(__xludf.DUMMYFUNCTION("""COMPUTED_VALUE"""),25023.0)</f>
        <v>25023</v>
      </c>
      <c r="D6550" s="9" t="str">
        <f>IFERROR(__xludf.DUMMYFUNCTION("""COMPUTED_VALUE"""),"Completed")</f>
        <v>Completed</v>
      </c>
    </row>
    <row r="6551">
      <c r="A6551" s="9" t="str">
        <f>IFERROR(__xludf.DUMMYFUNCTION("""COMPUTED_VALUE"""),"G-REQ-06550")</f>
        <v>G-REQ-06550</v>
      </c>
      <c r="B6551" s="11">
        <f>IFERROR(__xludf.DUMMYFUNCTION("""COMPUTED_VALUE"""),46227.509479290005)</f>
        <v>46227.50948</v>
      </c>
      <c r="C6551" s="9">
        <f>IFERROR(__xludf.DUMMYFUNCTION("""COMPUTED_VALUE"""),25027.0)</f>
        <v>25027</v>
      </c>
      <c r="D6551" s="9" t="str">
        <f>IFERROR(__xludf.DUMMYFUNCTION("""COMPUTED_VALUE"""),"Completed")</f>
        <v>Completed</v>
      </c>
    </row>
    <row r="6552">
      <c r="A6552" s="9" t="str">
        <f>IFERROR(__xludf.DUMMYFUNCTION("""COMPUTED_VALUE"""),"G-REQ-06551")</f>
        <v>G-REQ-06551</v>
      </c>
      <c r="B6552" s="11">
        <f>IFERROR(__xludf.DUMMYFUNCTION("""COMPUTED_VALUE"""),46227.58065413541)</f>
        <v>46227.58065</v>
      </c>
      <c r="C6552" s="9">
        <f>IFERROR(__xludf.DUMMYFUNCTION("""COMPUTED_VALUE"""),25031.0)</f>
        <v>25031</v>
      </c>
      <c r="D6552" s="9" t="str">
        <f>IFERROR(__xludf.DUMMYFUNCTION("""COMPUTED_VALUE"""),"Completed")</f>
        <v>Completed</v>
      </c>
    </row>
    <row r="6553">
      <c r="A6553" s="9" t="str">
        <f>IFERROR(__xludf.DUMMYFUNCTION("""COMPUTED_VALUE"""),"G-REQ-06552")</f>
        <v>G-REQ-06552</v>
      </c>
      <c r="B6553" s="11">
        <f>IFERROR(__xludf.DUMMYFUNCTION("""COMPUTED_VALUE"""),46227.65182898083)</f>
        <v>46227.65183</v>
      </c>
      <c r="C6553" s="9">
        <f>IFERROR(__xludf.DUMMYFUNCTION("""COMPUTED_VALUE"""),25035.0)</f>
        <v>25035</v>
      </c>
      <c r="D6553" s="9" t="str">
        <f>IFERROR(__xludf.DUMMYFUNCTION("""COMPUTED_VALUE"""),"Completed")</f>
        <v>Completed</v>
      </c>
    </row>
    <row r="6554">
      <c r="A6554" s="9" t="str">
        <f>IFERROR(__xludf.DUMMYFUNCTION("""COMPUTED_VALUE"""),"G-REQ-06553")</f>
        <v>G-REQ-06553</v>
      </c>
      <c r="B6554" s="11">
        <f>IFERROR(__xludf.DUMMYFUNCTION("""COMPUTED_VALUE"""),46227.72300382625)</f>
        <v>46227.723</v>
      </c>
      <c r="C6554" s="9">
        <f>IFERROR(__xludf.DUMMYFUNCTION("""COMPUTED_VALUE"""),25039.0)</f>
        <v>25039</v>
      </c>
      <c r="D6554" s="9" t="str">
        <f>IFERROR(__xludf.DUMMYFUNCTION("""COMPUTED_VALUE"""),"Completed")</f>
        <v>Completed</v>
      </c>
    </row>
    <row r="6555">
      <c r="A6555" s="9" t="str">
        <f>IFERROR(__xludf.DUMMYFUNCTION("""COMPUTED_VALUE"""),"G-REQ-06554")</f>
        <v>G-REQ-06554</v>
      </c>
      <c r="B6555" s="11">
        <f>IFERROR(__xludf.DUMMYFUNCTION("""COMPUTED_VALUE"""),46227.79417867166)</f>
        <v>46227.79418</v>
      </c>
      <c r="C6555" s="9">
        <f>IFERROR(__xludf.DUMMYFUNCTION("""COMPUTED_VALUE"""),25043.0)</f>
        <v>25043</v>
      </c>
      <c r="D6555" s="9" t="str">
        <f>IFERROR(__xludf.DUMMYFUNCTION("""COMPUTED_VALUE"""),"Completed")</f>
        <v>Completed</v>
      </c>
    </row>
    <row r="6556">
      <c r="A6556" s="9" t="str">
        <f>IFERROR(__xludf.DUMMYFUNCTION("""COMPUTED_VALUE"""),"G-REQ-06555")</f>
        <v>G-REQ-06555</v>
      </c>
      <c r="B6556" s="11">
        <f>IFERROR(__xludf.DUMMYFUNCTION("""COMPUTED_VALUE"""),46227.865353517074)</f>
        <v>46227.86535</v>
      </c>
      <c r="C6556" s="9">
        <f>IFERROR(__xludf.DUMMYFUNCTION("""COMPUTED_VALUE"""),25047.0)</f>
        <v>25047</v>
      </c>
      <c r="D6556" s="9" t="str">
        <f>IFERROR(__xludf.DUMMYFUNCTION("""COMPUTED_VALUE"""),"Completed")</f>
        <v>Completed</v>
      </c>
    </row>
    <row r="6557">
      <c r="A6557" s="9" t="str">
        <f>IFERROR(__xludf.DUMMYFUNCTION("""COMPUTED_VALUE"""),"G-REQ-06556")</f>
        <v>G-REQ-06556</v>
      </c>
      <c r="B6557" s="11">
        <f>IFERROR(__xludf.DUMMYFUNCTION("""COMPUTED_VALUE"""),46227.936528362494)</f>
        <v>46227.93653</v>
      </c>
      <c r="C6557" s="9">
        <f>IFERROR(__xludf.DUMMYFUNCTION("""COMPUTED_VALUE"""),25051.0)</f>
        <v>25051</v>
      </c>
      <c r="D6557" s="9" t="str">
        <f>IFERROR(__xludf.DUMMYFUNCTION("""COMPUTED_VALUE"""),"Completed")</f>
        <v>Completed</v>
      </c>
    </row>
    <row r="6558">
      <c r="A6558" s="9" t="str">
        <f>IFERROR(__xludf.DUMMYFUNCTION("""COMPUTED_VALUE"""),"G-REQ-06557")</f>
        <v>G-REQ-06557</v>
      </c>
      <c r="B6558" s="11">
        <f>IFERROR(__xludf.DUMMYFUNCTION("""COMPUTED_VALUE"""),46228.007703207906)</f>
        <v>46228.0077</v>
      </c>
      <c r="C6558" s="9">
        <f>IFERROR(__xludf.DUMMYFUNCTION("""COMPUTED_VALUE"""),25055.0)</f>
        <v>25055</v>
      </c>
      <c r="D6558" s="9" t="str">
        <f>IFERROR(__xludf.DUMMYFUNCTION("""COMPUTED_VALUE"""),"Completed")</f>
        <v>Completed</v>
      </c>
    </row>
    <row r="6559">
      <c r="A6559" s="9" t="str">
        <f>IFERROR(__xludf.DUMMYFUNCTION("""COMPUTED_VALUE"""),"G-REQ-06558")</f>
        <v>G-REQ-06558</v>
      </c>
      <c r="B6559" s="11">
        <f>IFERROR(__xludf.DUMMYFUNCTION("""COMPUTED_VALUE"""),46228.07887805332)</f>
        <v>46228.07888</v>
      </c>
      <c r="C6559" s="9">
        <f>IFERROR(__xludf.DUMMYFUNCTION("""COMPUTED_VALUE"""),25059.0)</f>
        <v>25059</v>
      </c>
      <c r="D6559" s="9" t="str">
        <f>IFERROR(__xludf.DUMMYFUNCTION("""COMPUTED_VALUE"""),"Completed")</f>
        <v>Completed</v>
      </c>
    </row>
    <row r="6560">
      <c r="A6560" s="9" t="str">
        <f>IFERROR(__xludf.DUMMYFUNCTION("""COMPUTED_VALUE"""),"G-REQ-06559")</f>
        <v>G-REQ-06559</v>
      </c>
      <c r="B6560" s="11">
        <f>IFERROR(__xludf.DUMMYFUNCTION("""COMPUTED_VALUE"""),46228.15005289874)</f>
        <v>46228.15005</v>
      </c>
      <c r="C6560" s="9">
        <f>IFERROR(__xludf.DUMMYFUNCTION("""COMPUTED_VALUE"""),25063.0)</f>
        <v>25063</v>
      </c>
      <c r="D6560" s="9" t="str">
        <f>IFERROR(__xludf.DUMMYFUNCTION("""COMPUTED_VALUE"""),"Completed")</f>
        <v>Completed</v>
      </c>
    </row>
    <row r="6561">
      <c r="A6561" s="9" t="str">
        <f>IFERROR(__xludf.DUMMYFUNCTION("""COMPUTED_VALUE"""),"G-REQ-06560")</f>
        <v>G-REQ-06560</v>
      </c>
      <c r="B6561" s="11">
        <f>IFERROR(__xludf.DUMMYFUNCTION("""COMPUTED_VALUE"""),46228.22122774416)</f>
        <v>46228.22123</v>
      </c>
      <c r="C6561" s="9">
        <f>IFERROR(__xludf.DUMMYFUNCTION("""COMPUTED_VALUE"""),25067.0)</f>
        <v>25067</v>
      </c>
      <c r="D6561" s="9" t="str">
        <f>IFERROR(__xludf.DUMMYFUNCTION("""COMPUTED_VALUE"""),"Completed")</f>
        <v>Completed</v>
      </c>
    </row>
    <row r="6562">
      <c r="A6562" s="9" t="str">
        <f>IFERROR(__xludf.DUMMYFUNCTION("""COMPUTED_VALUE"""),"G-REQ-06561")</f>
        <v>G-REQ-06561</v>
      </c>
      <c r="B6562" s="11">
        <f>IFERROR(__xludf.DUMMYFUNCTION("""COMPUTED_VALUE"""),46228.29240258956)</f>
        <v>46228.2924</v>
      </c>
      <c r="C6562" s="9">
        <f>IFERROR(__xludf.DUMMYFUNCTION("""COMPUTED_VALUE"""),25071.0)</f>
        <v>25071</v>
      </c>
      <c r="D6562" s="9" t="str">
        <f>IFERROR(__xludf.DUMMYFUNCTION("""COMPUTED_VALUE"""),"Completed")</f>
        <v>Completed</v>
      </c>
    </row>
    <row r="6563">
      <c r="A6563" s="9" t="str">
        <f>IFERROR(__xludf.DUMMYFUNCTION("""COMPUTED_VALUE"""),"G-REQ-06562")</f>
        <v>G-REQ-06562</v>
      </c>
      <c r="B6563" s="11">
        <f>IFERROR(__xludf.DUMMYFUNCTION("""COMPUTED_VALUE"""),46228.36357743498)</f>
        <v>46228.36358</v>
      </c>
      <c r="C6563" s="9">
        <f>IFERROR(__xludf.DUMMYFUNCTION("""COMPUTED_VALUE"""),25075.0)</f>
        <v>25075</v>
      </c>
      <c r="D6563" s="9" t="str">
        <f>IFERROR(__xludf.DUMMYFUNCTION("""COMPUTED_VALUE"""),"Completed")</f>
        <v>Completed</v>
      </c>
    </row>
    <row r="6564">
      <c r="A6564" s="9" t="str">
        <f>IFERROR(__xludf.DUMMYFUNCTION("""COMPUTED_VALUE"""),"G-REQ-06563")</f>
        <v>G-REQ-06563</v>
      </c>
      <c r="B6564" s="11">
        <f>IFERROR(__xludf.DUMMYFUNCTION("""COMPUTED_VALUE"""),46228.434752280395)</f>
        <v>46228.43475</v>
      </c>
      <c r="C6564" s="9">
        <f>IFERROR(__xludf.DUMMYFUNCTION("""COMPUTED_VALUE"""),25079.0)</f>
        <v>25079</v>
      </c>
      <c r="D6564" s="9" t="str">
        <f>IFERROR(__xludf.DUMMYFUNCTION("""COMPUTED_VALUE"""),"Completed")</f>
        <v>Completed</v>
      </c>
    </row>
    <row r="6565">
      <c r="A6565" s="9" t="str">
        <f>IFERROR(__xludf.DUMMYFUNCTION("""COMPUTED_VALUE"""),"G-REQ-06564")</f>
        <v>G-REQ-06564</v>
      </c>
      <c r="B6565" s="11">
        <f>IFERROR(__xludf.DUMMYFUNCTION("""COMPUTED_VALUE"""),46228.505927125814)</f>
        <v>46228.50593</v>
      </c>
      <c r="C6565" s="9">
        <f>IFERROR(__xludf.DUMMYFUNCTION("""COMPUTED_VALUE"""),25083.0)</f>
        <v>25083</v>
      </c>
      <c r="D6565" s="9" t="str">
        <f>IFERROR(__xludf.DUMMYFUNCTION("""COMPUTED_VALUE"""),"Completed")</f>
        <v>Completed</v>
      </c>
    </row>
    <row r="6566">
      <c r="A6566" s="9" t="str">
        <f>IFERROR(__xludf.DUMMYFUNCTION("""COMPUTED_VALUE"""),"G-REQ-06565")</f>
        <v>G-REQ-06565</v>
      </c>
      <c r="B6566" s="11">
        <f>IFERROR(__xludf.DUMMYFUNCTION("""COMPUTED_VALUE"""),46228.57710197123)</f>
        <v>46228.5771</v>
      </c>
      <c r="C6566" s="9">
        <f>IFERROR(__xludf.DUMMYFUNCTION("""COMPUTED_VALUE"""),25087.0)</f>
        <v>25087</v>
      </c>
      <c r="D6566" s="9" t="str">
        <f>IFERROR(__xludf.DUMMYFUNCTION("""COMPUTED_VALUE"""),"Completed")</f>
        <v>Completed</v>
      </c>
    </row>
    <row r="6567">
      <c r="A6567" s="9" t="str">
        <f>IFERROR(__xludf.DUMMYFUNCTION("""COMPUTED_VALUE"""),"G-REQ-06566")</f>
        <v>G-REQ-06566</v>
      </c>
      <c r="B6567" s="11">
        <f>IFERROR(__xludf.DUMMYFUNCTION("""COMPUTED_VALUE"""),46228.648276816646)</f>
        <v>46228.64828</v>
      </c>
      <c r="C6567" s="9">
        <f>IFERROR(__xludf.DUMMYFUNCTION("""COMPUTED_VALUE"""),25091.0)</f>
        <v>25091</v>
      </c>
      <c r="D6567" s="9" t="str">
        <f>IFERROR(__xludf.DUMMYFUNCTION("""COMPUTED_VALUE"""),"Completed")</f>
        <v>Completed</v>
      </c>
    </row>
    <row r="6568">
      <c r="A6568" s="9" t="str">
        <f>IFERROR(__xludf.DUMMYFUNCTION("""COMPUTED_VALUE"""),"G-REQ-06567")</f>
        <v>G-REQ-06567</v>
      </c>
      <c r="B6568" s="11">
        <f>IFERROR(__xludf.DUMMYFUNCTION("""COMPUTED_VALUE"""),46228.71945166205)</f>
        <v>46228.71945</v>
      </c>
      <c r="C6568" s="9">
        <f>IFERROR(__xludf.DUMMYFUNCTION("""COMPUTED_VALUE"""),25095.0)</f>
        <v>25095</v>
      </c>
      <c r="D6568" s="9" t="str">
        <f>IFERROR(__xludf.DUMMYFUNCTION("""COMPUTED_VALUE"""),"Completed")</f>
        <v>Completed</v>
      </c>
    </row>
    <row r="6569">
      <c r="A6569" s="9" t="str">
        <f>IFERROR(__xludf.DUMMYFUNCTION("""COMPUTED_VALUE"""),"G-REQ-06568")</f>
        <v>G-REQ-06568</v>
      </c>
      <c r="B6569" s="11">
        <f>IFERROR(__xludf.DUMMYFUNCTION("""COMPUTED_VALUE"""),46228.79062650747)</f>
        <v>46228.79063</v>
      </c>
      <c r="C6569" s="9">
        <f>IFERROR(__xludf.DUMMYFUNCTION("""COMPUTED_VALUE"""),25099.0)</f>
        <v>25099</v>
      </c>
      <c r="D6569" s="9" t="str">
        <f>IFERROR(__xludf.DUMMYFUNCTION("""COMPUTED_VALUE"""),"Completed")</f>
        <v>Completed</v>
      </c>
    </row>
    <row r="6570">
      <c r="A6570" s="9" t="str">
        <f>IFERROR(__xludf.DUMMYFUNCTION("""COMPUTED_VALUE"""),"G-REQ-06569")</f>
        <v>G-REQ-06569</v>
      </c>
      <c r="B6570" s="11">
        <f>IFERROR(__xludf.DUMMYFUNCTION("""COMPUTED_VALUE"""),46228.86180135289)</f>
        <v>46228.8618</v>
      </c>
      <c r="C6570" s="9">
        <f>IFERROR(__xludf.DUMMYFUNCTION("""COMPUTED_VALUE"""),25103.0)</f>
        <v>25103</v>
      </c>
      <c r="D6570" s="9" t="str">
        <f>IFERROR(__xludf.DUMMYFUNCTION("""COMPUTED_VALUE"""),"Completed")</f>
        <v>Completed</v>
      </c>
    </row>
    <row r="6571">
      <c r="A6571" s="9" t="str">
        <f>IFERROR(__xludf.DUMMYFUNCTION("""COMPUTED_VALUE"""),"G-REQ-06570")</f>
        <v>G-REQ-06570</v>
      </c>
      <c r="B6571" s="11">
        <f>IFERROR(__xludf.DUMMYFUNCTION("""COMPUTED_VALUE"""),46228.9329761983)</f>
        <v>46228.93298</v>
      </c>
      <c r="C6571" s="9">
        <f>IFERROR(__xludf.DUMMYFUNCTION("""COMPUTED_VALUE"""),25107.0)</f>
        <v>25107</v>
      </c>
      <c r="D6571" s="9" t="str">
        <f>IFERROR(__xludf.DUMMYFUNCTION("""COMPUTED_VALUE"""),"Completed")</f>
        <v>Completed</v>
      </c>
    </row>
    <row r="6572">
      <c r="A6572" s="9" t="str">
        <f>IFERROR(__xludf.DUMMYFUNCTION("""COMPUTED_VALUE"""),"G-REQ-06571")</f>
        <v>G-REQ-06571</v>
      </c>
      <c r="B6572" s="11">
        <f>IFERROR(__xludf.DUMMYFUNCTION("""COMPUTED_VALUE"""),46229.004151043715)</f>
        <v>46229.00415</v>
      </c>
      <c r="C6572" s="9">
        <f>IFERROR(__xludf.DUMMYFUNCTION("""COMPUTED_VALUE"""),25111.0)</f>
        <v>25111</v>
      </c>
      <c r="D6572" s="9" t="str">
        <f>IFERROR(__xludf.DUMMYFUNCTION("""COMPUTED_VALUE"""),"Completed")</f>
        <v>Completed</v>
      </c>
    </row>
    <row r="6573">
      <c r="A6573" s="9" t="str">
        <f>IFERROR(__xludf.DUMMYFUNCTION("""COMPUTED_VALUE"""),"G-REQ-06572")</f>
        <v>G-REQ-06572</v>
      </c>
      <c r="B6573" s="11">
        <f>IFERROR(__xludf.DUMMYFUNCTION("""COMPUTED_VALUE"""),46229.075325889135)</f>
        <v>46229.07533</v>
      </c>
      <c r="C6573" s="9">
        <f>IFERROR(__xludf.DUMMYFUNCTION("""COMPUTED_VALUE"""),25115.0)</f>
        <v>25115</v>
      </c>
      <c r="D6573" s="9" t="str">
        <f>IFERROR(__xludf.DUMMYFUNCTION("""COMPUTED_VALUE"""),"Completed")</f>
        <v>Completed</v>
      </c>
    </row>
    <row r="6574">
      <c r="A6574" s="9" t="str">
        <f>IFERROR(__xludf.DUMMYFUNCTION("""COMPUTED_VALUE"""),"G-REQ-06573")</f>
        <v>G-REQ-06573</v>
      </c>
      <c r="B6574" s="11">
        <f>IFERROR(__xludf.DUMMYFUNCTION("""COMPUTED_VALUE"""),46229.14650073455)</f>
        <v>46229.1465</v>
      </c>
      <c r="C6574" s="9">
        <f>IFERROR(__xludf.DUMMYFUNCTION("""COMPUTED_VALUE"""),25119.0)</f>
        <v>25119</v>
      </c>
      <c r="D6574" s="9" t="str">
        <f>IFERROR(__xludf.DUMMYFUNCTION("""COMPUTED_VALUE"""),"Completed")</f>
        <v>Completed</v>
      </c>
    </row>
    <row r="6575">
      <c r="A6575" s="9" t="str">
        <f>IFERROR(__xludf.DUMMYFUNCTION("""COMPUTED_VALUE"""),"G-REQ-06574")</f>
        <v>G-REQ-06574</v>
      </c>
      <c r="B6575" s="11">
        <f>IFERROR(__xludf.DUMMYFUNCTION("""COMPUTED_VALUE"""),46229.21767557996)</f>
        <v>46229.21768</v>
      </c>
      <c r="C6575" s="9">
        <f>IFERROR(__xludf.DUMMYFUNCTION("""COMPUTED_VALUE"""),25123.0)</f>
        <v>25123</v>
      </c>
      <c r="D6575" s="9" t="str">
        <f>IFERROR(__xludf.DUMMYFUNCTION("""COMPUTED_VALUE"""),"Completed")</f>
        <v>Completed</v>
      </c>
    </row>
    <row r="6576">
      <c r="A6576" s="9" t="str">
        <f>IFERROR(__xludf.DUMMYFUNCTION("""COMPUTED_VALUE"""),"G-REQ-06575")</f>
        <v>G-REQ-06575</v>
      </c>
      <c r="B6576" s="11">
        <f>IFERROR(__xludf.DUMMYFUNCTION("""COMPUTED_VALUE"""),46229.28885042538)</f>
        <v>46229.28885</v>
      </c>
      <c r="C6576" s="9">
        <f>IFERROR(__xludf.DUMMYFUNCTION("""COMPUTED_VALUE"""),25127.0)</f>
        <v>25127</v>
      </c>
      <c r="D6576" s="9" t="str">
        <f>IFERROR(__xludf.DUMMYFUNCTION("""COMPUTED_VALUE"""),"Completed")</f>
        <v>Completed</v>
      </c>
    </row>
    <row r="6577">
      <c r="A6577" s="9" t="str">
        <f>IFERROR(__xludf.DUMMYFUNCTION("""COMPUTED_VALUE"""),"G-REQ-06576")</f>
        <v>G-REQ-06576</v>
      </c>
      <c r="B6577" s="11">
        <f>IFERROR(__xludf.DUMMYFUNCTION("""COMPUTED_VALUE"""),46229.3600252708)</f>
        <v>46229.36003</v>
      </c>
      <c r="C6577" s="9">
        <f>IFERROR(__xludf.DUMMYFUNCTION("""COMPUTED_VALUE"""),25131.0)</f>
        <v>25131</v>
      </c>
      <c r="D6577" s="9" t="str">
        <f>IFERROR(__xludf.DUMMYFUNCTION("""COMPUTED_VALUE"""),"Completed")</f>
        <v>Completed</v>
      </c>
    </row>
    <row r="6578">
      <c r="A6578" s="9" t="str">
        <f>IFERROR(__xludf.DUMMYFUNCTION("""COMPUTED_VALUE"""),"G-REQ-06577")</f>
        <v>G-REQ-06577</v>
      </c>
      <c r="B6578" s="11">
        <f>IFERROR(__xludf.DUMMYFUNCTION("""COMPUTED_VALUE"""),46229.4312001162)</f>
        <v>46229.4312</v>
      </c>
      <c r="C6578" s="9">
        <f>IFERROR(__xludf.DUMMYFUNCTION("""COMPUTED_VALUE"""),25135.0)</f>
        <v>25135</v>
      </c>
      <c r="D6578" s="9" t="str">
        <f>IFERROR(__xludf.DUMMYFUNCTION("""COMPUTED_VALUE"""),"Completed")</f>
        <v>Completed</v>
      </c>
    </row>
    <row r="6579">
      <c r="A6579" s="9" t="str">
        <f>IFERROR(__xludf.DUMMYFUNCTION("""COMPUTED_VALUE"""),"G-REQ-06578")</f>
        <v>G-REQ-06578</v>
      </c>
      <c r="B6579" s="11">
        <f>IFERROR(__xludf.DUMMYFUNCTION("""COMPUTED_VALUE"""),46229.50237496162)</f>
        <v>46229.50237</v>
      </c>
      <c r="C6579" s="9">
        <f>IFERROR(__xludf.DUMMYFUNCTION("""COMPUTED_VALUE"""),25139.0)</f>
        <v>25139</v>
      </c>
      <c r="D6579" s="9" t="str">
        <f>IFERROR(__xludf.DUMMYFUNCTION("""COMPUTED_VALUE"""),"Completed")</f>
        <v>Completed</v>
      </c>
    </row>
    <row r="6580">
      <c r="A6580" s="9" t="str">
        <f>IFERROR(__xludf.DUMMYFUNCTION("""COMPUTED_VALUE"""),"G-REQ-06579")</f>
        <v>G-REQ-06579</v>
      </c>
      <c r="B6580" s="11">
        <f>IFERROR(__xludf.DUMMYFUNCTION("""COMPUTED_VALUE"""),46229.5666053626)</f>
        <v>46229.56661</v>
      </c>
      <c r="C6580" s="9">
        <f>IFERROR(__xludf.DUMMYFUNCTION("""COMPUTED_VALUE"""),25141.0)</f>
        <v>25141</v>
      </c>
      <c r="D6580" s="9" t="str">
        <f>IFERROR(__xludf.DUMMYFUNCTION("""COMPUTED_VALUE"""),"Cancelled")</f>
        <v>Cancelled</v>
      </c>
    </row>
    <row r="6581">
      <c r="A6581" s="9" t="str">
        <f>IFERROR(__xludf.DUMMYFUNCTION("""COMPUTED_VALUE"""),"G-REQ-06580")</f>
        <v>G-REQ-06580</v>
      </c>
      <c r="B6581" s="11">
        <f>IFERROR(__xludf.DUMMYFUNCTION("""COMPUTED_VALUE"""),46229.644724652455)</f>
        <v>46229.64472</v>
      </c>
      <c r="C6581" s="9">
        <f>IFERROR(__xludf.DUMMYFUNCTION("""COMPUTED_VALUE"""),25145.0)</f>
        <v>25145</v>
      </c>
      <c r="D6581" s="9" t="str">
        <f>IFERROR(__xludf.DUMMYFUNCTION("""COMPUTED_VALUE"""),"Completed")</f>
        <v>Completed</v>
      </c>
    </row>
    <row r="6582">
      <c r="A6582" s="9" t="str">
        <f>IFERROR(__xludf.DUMMYFUNCTION("""COMPUTED_VALUE"""),"G-REQ-06581")</f>
        <v>G-REQ-06581</v>
      </c>
      <c r="B6582" s="11">
        <f>IFERROR(__xludf.DUMMYFUNCTION("""COMPUTED_VALUE"""),46229.71589949787)</f>
        <v>46229.7159</v>
      </c>
      <c r="C6582" s="9">
        <f>IFERROR(__xludf.DUMMYFUNCTION("""COMPUTED_VALUE"""),25149.0)</f>
        <v>25149</v>
      </c>
      <c r="D6582" s="9" t="str">
        <f>IFERROR(__xludf.DUMMYFUNCTION("""COMPUTED_VALUE"""),"Completed")</f>
        <v>Completed</v>
      </c>
    </row>
    <row r="6583">
      <c r="A6583" s="9" t="str">
        <f>IFERROR(__xludf.DUMMYFUNCTION("""COMPUTED_VALUE"""),"G-REQ-06582")</f>
        <v>G-REQ-06582</v>
      </c>
      <c r="B6583" s="11">
        <f>IFERROR(__xludf.DUMMYFUNCTION("""COMPUTED_VALUE"""),46229.78012989884)</f>
        <v>46229.78013</v>
      </c>
      <c r="C6583" s="9">
        <f>IFERROR(__xludf.DUMMYFUNCTION("""COMPUTED_VALUE"""),25151.0)</f>
        <v>25151</v>
      </c>
      <c r="D6583" s="9" t="str">
        <f>IFERROR(__xludf.DUMMYFUNCTION("""COMPUTED_VALUE"""),"Rejected")</f>
        <v>Rejected</v>
      </c>
    </row>
    <row r="6584">
      <c r="A6584" s="9" t="str">
        <f>IFERROR(__xludf.DUMMYFUNCTION("""COMPUTED_VALUE"""),"G-REQ-06583")</f>
        <v>G-REQ-06583</v>
      </c>
      <c r="B6584" s="11">
        <f>IFERROR(__xludf.DUMMYFUNCTION("""COMPUTED_VALUE"""),46229.8582491887)</f>
        <v>46229.85825</v>
      </c>
      <c r="C6584" s="9">
        <f>IFERROR(__xludf.DUMMYFUNCTION("""COMPUTED_VALUE"""),25155.0)</f>
        <v>25155</v>
      </c>
      <c r="D6584" s="9" t="str">
        <f>IFERROR(__xludf.DUMMYFUNCTION("""COMPUTED_VALUE"""),"Completed")</f>
        <v>Completed</v>
      </c>
    </row>
    <row r="6585">
      <c r="A6585" s="9" t="str">
        <f>IFERROR(__xludf.DUMMYFUNCTION("""COMPUTED_VALUE"""),"G-REQ-06584")</f>
        <v>G-REQ-06584</v>
      </c>
      <c r="B6585" s="11">
        <f>IFERROR(__xludf.DUMMYFUNCTION("""COMPUTED_VALUE"""),46229.922479589666)</f>
        <v>46229.92248</v>
      </c>
      <c r="C6585" s="9">
        <f>IFERROR(__xludf.DUMMYFUNCTION("""COMPUTED_VALUE"""),25157.0)</f>
        <v>25157</v>
      </c>
      <c r="D6585" s="9" t="str">
        <f>IFERROR(__xludf.DUMMYFUNCTION("""COMPUTED_VALUE"""),"Rejected")</f>
        <v>Rejected</v>
      </c>
    </row>
    <row r="6586">
      <c r="A6586" s="9" t="str">
        <f>IFERROR(__xludf.DUMMYFUNCTION("""COMPUTED_VALUE"""),"G-REQ-06585")</f>
        <v>G-REQ-06585</v>
      </c>
      <c r="B6586" s="11">
        <f>IFERROR(__xludf.DUMMYFUNCTION("""COMPUTED_VALUE"""),46230.00059887953)</f>
        <v>46230.0006</v>
      </c>
      <c r="C6586" s="9">
        <f>IFERROR(__xludf.DUMMYFUNCTION("""COMPUTED_VALUE"""),25161.0)</f>
        <v>25161</v>
      </c>
      <c r="D6586" s="9" t="str">
        <f>IFERROR(__xludf.DUMMYFUNCTION("""COMPUTED_VALUE"""),"Completed")</f>
        <v>Completed</v>
      </c>
    </row>
    <row r="6587">
      <c r="A6587" s="9" t="str">
        <f>IFERROR(__xludf.DUMMYFUNCTION("""COMPUTED_VALUE"""),"G-REQ-06586")</f>
        <v>G-REQ-06586</v>
      </c>
      <c r="B6587" s="11">
        <f>IFERROR(__xludf.DUMMYFUNCTION("""COMPUTED_VALUE"""),46230.07177372494)</f>
        <v>46230.07177</v>
      </c>
      <c r="C6587" s="9">
        <f>IFERROR(__xludf.DUMMYFUNCTION("""COMPUTED_VALUE"""),25165.0)</f>
        <v>25165</v>
      </c>
      <c r="D6587" s="9" t="str">
        <f>IFERROR(__xludf.DUMMYFUNCTION("""COMPUTED_VALUE"""),"Completed")</f>
        <v>Completed</v>
      </c>
    </row>
    <row r="6588">
      <c r="A6588" s="9" t="str">
        <f>IFERROR(__xludf.DUMMYFUNCTION("""COMPUTED_VALUE"""),"G-REQ-06587")</f>
        <v>G-REQ-06587</v>
      </c>
      <c r="B6588" s="11">
        <f>IFERROR(__xludf.DUMMYFUNCTION("""COMPUTED_VALUE"""),46230.142948570356)</f>
        <v>46230.14295</v>
      </c>
      <c r="C6588" s="9">
        <f>IFERROR(__xludf.DUMMYFUNCTION("""COMPUTED_VALUE"""),25169.0)</f>
        <v>25169</v>
      </c>
      <c r="D6588" s="9" t="str">
        <f>IFERROR(__xludf.DUMMYFUNCTION("""COMPUTED_VALUE"""),"Completed")</f>
        <v>Completed</v>
      </c>
    </row>
    <row r="6589">
      <c r="A6589" s="9" t="str">
        <f>IFERROR(__xludf.DUMMYFUNCTION("""COMPUTED_VALUE"""),"G-REQ-06588")</f>
        <v>G-REQ-06588</v>
      </c>
      <c r="B6589" s="11">
        <f>IFERROR(__xludf.DUMMYFUNCTION("""COMPUTED_VALUE"""),46230.214123415775)</f>
        <v>46230.21412</v>
      </c>
      <c r="C6589" s="9">
        <f>IFERROR(__xludf.DUMMYFUNCTION("""COMPUTED_VALUE"""),25173.0)</f>
        <v>25173</v>
      </c>
      <c r="D6589" s="9" t="str">
        <f>IFERROR(__xludf.DUMMYFUNCTION("""COMPUTED_VALUE"""),"Completed")</f>
        <v>Completed</v>
      </c>
    </row>
    <row r="6590">
      <c r="A6590" s="9" t="str">
        <f>IFERROR(__xludf.DUMMYFUNCTION("""COMPUTED_VALUE"""),"G-REQ-06589")</f>
        <v>G-REQ-06589</v>
      </c>
      <c r="B6590" s="11">
        <f>IFERROR(__xludf.DUMMYFUNCTION("""COMPUTED_VALUE"""),46230.28529826119)</f>
        <v>46230.2853</v>
      </c>
      <c r="C6590" s="9">
        <f>IFERROR(__xludf.DUMMYFUNCTION("""COMPUTED_VALUE"""),25177.0)</f>
        <v>25177</v>
      </c>
      <c r="D6590" s="9" t="str">
        <f>IFERROR(__xludf.DUMMYFUNCTION("""COMPUTED_VALUE"""),"Completed")</f>
        <v>Completed</v>
      </c>
    </row>
    <row r="6591">
      <c r="A6591" s="9" t="str">
        <f>IFERROR(__xludf.DUMMYFUNCTION("""COMPUTED_VALUE"""),"G-REQ-06590")</f>
        <v>G-REQ-06590</v>
      </c>
      <c r="B6591" s="11">
        <f>IFERROR(__xludf.DUMMYFUNCTION("""COMPUTED_VALUE"""),46230.3564731066)</f>
        <v>46230.35647</v>
      </c>
      <c r="C6591" s="9">
        <f>IFERROR(__xludf.DUMMYFUNCTION("""COMPUTED_VALUE"""),25181.0)</f>
        <v>25181</v>
      </c>
      <c r="D6591" s="9" t="str">
        <f>IFERROR(__xludf.DUMMYFUNCTION("""COMPUTED_VALUE"""),"Completed")</f>
        <v>Completed</v>
      </c>
    </row>
    <row r="6592">
      <c r="A6592" s="9" t="str">
        <f>IFERROR(__xludf.DUMMYFUNCTION("""COMPUTED_VALUE"""),"G-REQ-06591")</f>
        <v>G-REQ-06591</v>
      </c>
      <c r="B6592" s="11">
        <f>IFERROR(__xludf.DUMMYFUNCTION("""COMPUTED_VALUE"""),46230.42764795202)</f>
        <v>46230.42765</v>
      </c>
      <c r="C6592" s="9">
        <f>IFERROR(__xludf.DUMMYFUNCTION("""COMPUTED_VALUE"""),25185.0)</f>
        <v>25185</v>
      </c>
      <c r="D6592" s="9" t="str">
        <f>IFERROR(__xludf.DUMMYFUNCTION("""COMPUTED_VALUE"""),"Completed")</f>
        <v>Completed</v>
      </c>
    </row>
    <row r="6593">
      <c r="A6593" s="9" t="str">
        <f>IFERROR(__xludf.DUMMYFUNCTION("""COMPUTED_VALUE"""),"G-REQ-06592")</f>
        <v>G-REQ-06592</v>
      </c>
      <c r="B6593" s="11">
        <f>IFERROR(__xludf.DUMMYFUNCTION("""COMPUTED_VALUE"""),46230.49882279744)</f>
        <v>46230.49882</v>
      </c>
      <c r="C6593" s="9">
        <f>IFERROR(__xludf.DUMMYFUNCTION("""COMPUTED_VALUE"""),25189.0)</f>
        <v>25189</v>
      </c>
      <c r="D6593" s="9" t="str">
        <f>IFERROR(__xludf.DUMMYFUNCTION("""COMPUTED_VALUE"""),"Completed")</f>
        <v>Completed</v>
      </c>
    </row>
    <row r="6594">
      <c r="A6594" s="9" t="str">
        <f>IFERROR(__xludf.DUMMYFUNCTION("""COMPUTED_VALUE"""),"G-REQ-06593")</f>
        <v>G-REQ-06593</v>
      </c>
      <c r="B6594" s="11">
        <f>IFERROR(__xludf.DUMMYFUNCTION("""COMPUTED_VALUE"""),46230.569997642844)</f>
        <v>46230.57</v>
      </c>
      <c r="C6594" s="9">
        <f>IFERROR(__xludf.DUMMYFUNCTION("""COMPUTED_VALUE"""),25193.0)</f>
        <v>25193</v>
      </c>
      <c r="D6594" s="9" t="str">
        <f>IFERROR(__xludf.DUMMYFUNCTION("""COMPUTED_VALUE"""),"Completed")</f>
        <v>Completed</v>
      </c>
    </row>
    <row r="6595">
      <c r="A6595" s="9" t="str">
        <f>IFERROR(__xludf.DUMMYFUNCTION("""COMPUTED_VALUE"""),"G-REQ-06594")</f>
        <v>G-REQ-06594</v>
      </c>
      <c r="B6595" s="11">
        <f>IFERROR(__xludf.DUMMYFUNCTION("""COMPUTED_VALUE"""),46230.641172488264)</f>
        <v>46230.64117</v>
      </c>
      <c r="C6595" s="9">
        <f>IFERROR(__xludf.DUMMYFUNCTION("""COMPUTED_VALUE"""),25197.0)</f>
        <v>25197</v>
      </c>
      <c r="D6595" s="9" t="str">
        <f>IFERROR(__xludf.DUMMYFUNCTION("""COMPUTED_VALUE"""),"Completed")</f>
        <v>Completed</v>
      </c>
    </row>
    <row r="6596">
      <c r="A6596" s="9" t="str">
        <f>IFERROR(__xludf.DUMMYFUNCTION("""COMPUTED_VALUE"""),"G-REQ-06595")</f>
        <v>G-REQ-06595</v>
      </c>
      <c r="B6596" s="11">
        <f>IFERROR(__xludf.DUMMYFUNCTION("""COMPUTED_VALUE"""),46230.71234733368)</f>
        <v>46230.71235</v>
      </c>
      <c r="C6596" s="9">
        <f>IFERROR(__xludf.DUMMYFUNCTION("""COMPUTED_VALUE"""),25201.0)</f>
        <v>25201</v>
      </c>
      <c r="D6596" s="9" t="str">
        <f>IFERROR(__xludf.DUMMYFUNCTION("""COMPUTED_VALUE"""),"Completed")</f>
        <v>Completed</v>
      </c>
    </row>
    <row r="6597">
      <c r="A6597" s="9" t="str">
        <f>IFERROR(__xludf.DUMMYFUNCTION("""COMPUTED_VALUE"""),"G-REQ-06596")</f>
        <v>G-REQ-06596</v>
      </c>
      <c r="B6597" s="11">
        <f>IFERROR(__xludf.DUMMYFUNCTION("""COMPUTED_VALUE"""),46230.783522179096)</f>
        <v>46230.78352</v>
      </c>
      <c r="C6597" s="9">
        <f>IFERROR(__xludf.DUMMYFUNCTION("""COMPUTED_VALUE"""),25205.0)</f>
        <v>25205</v>
      </c>
      <c r="D6597" s="9" t="str">
        <f>IFERROR(__xludf.DUMMYFUNCTION("""COMPUTED_VALUE"""),"Completed")</f>
        <v>Completed</v>
      </c>
    </row>
    <row r="6598">
      <c r="A6598" s="9" t="str">
        <f>IFERROR(__xludf.DUMMYFUNCTION("""COMPUTED_VALUE"""),"G-REQ-06597")</f>
        <v>G-REQ-06597</v>
      </c>
      <c r="B6598" s="11">
        <f>IFERROR(__xludf.DUMMYFUNCTION("""COMPUTED_VALUE"""),46230.85469702451)</f>
        <v>46230.8547</v>
      </c>
      <c r="C6598" s="9">
        <f>IFERROR(__xludf.DUMMYFUNCTION("""COMPUTED_VALUE"""),25209.0)</f>
        <v>25209</v>
      </c>
      <c r="D6598" s="9" t="str">
        <f>IFERROR(__xludf.DUMMYFUNCTION("""COMPUTED_VALUE"""),"Completed")</f>
        <v>Completed</v>
      </c>
    </row>
    <row r="6599">
      <c r="A6599" s="9" t="str">
        <f>IFERROR(__xludf.DUMMYFUNCTION("""COMPUTED_VALUE"""),"G-REQ-06598")</f>
        <v>G-REQ-06598</v>
      </c>
      <c r="B6599" s="11">
        <f>IFERROR(__xludf.DUMMYFUNCTION("""COMPUTED_VALUE"""),46230.92587186993)</f>
        <v>46230.92587</v>
      </c>
      <c r="C6599" s="9">
        <f>IFERROR(__xludf.DUMMYFUNCTION("""COMPUTED_VALUE"""),25213.0)</f>
        <v>25213</v>
      </c>
      <c r="D6599" s="9" t="str">
        <f>IFERROR(__xludf.DUMMYFUNCTION("""COMPUTED_VALUE"""),"Completed")</f>
        <v>Completed</v>
      </c>
    </row>
    <row r="6600">
      <c r="A6600" s="9" t="str">
        <f>IFERROR(__xludf.DUMMYFUNCTION("""COMPUTED_VALUE"""),"G-REQ-06599")</f>
        <v>G-REQ-06599</v>
      </c>
      <c r="B6600" s="11">
        <f>IFERROR(__xludf.DUMMYFUNCTION("""COMPUTED_VALUE"""),46230.99704671534)</f>
        <v>46230.99705</v>
      </c>
      <c r="C6600" s="9">
        <f>IFERROR(__xludf.DUMMYFUNCTION("""COMPUTED_VALUE"""),25217.0)</f>
        <v>25217</v>
      </c>
      <c r="D6600" s="9" t="str">
        <f>IFERROR(__xludf.DUMMYFUNCTION("""COMPUTED_VALUE"""),"Completed")</f>
        <v>Completed</v>
      </c>
    </row>
    <row r="6601">
      <c r="A6601" s="9" t="str">
        <f>IFERROR(__xludf.DUMMYFUNCTION("""COMPUTED_VALUE"""),"G-REQ-06600")</f>
        <v>G-REQ-06600</v>
      </c>
      <c r="B6601" s="11">
        <f>IFERROR(__xludf.DUMMYFUNCTION("""COMPUTED_VALUE"""),46231.06822156075)</f>
        <v>46231.06822</v>
      </c>
      <c r="C6601" s="9">
        <f>IFERROR(__xludf.DUMMYFUNCTION("""COMPUTED_VALUE"""),25221.0)</f>
        <v>25221</v>
      </c>
      <c r="D6601" s="9" t="str">
        <f>IFERROR(__xludf.DUMMYFUNCTION("""COMPUTED_VALUE"""),"Completed")</f>
        <v>Completed</v>
      </c>
    </row>
    <row r="6602">
      <c r="A6602" s="9" t="str">
        <f>IFERROR(__xludf.DUMMYFUNCTION("""COMPUTED_VALUE"""),"G-REQ-06601")</f>
        <v>G-REQ-06601</v>
      </c>
      <c r="B6602" s="11">
        <f>IFERROR(__xludf.DUMMYFUNCTION("""COMPUTED_VALUE"""),46231.13939640617)</f>
        <v>46231.1394</v>
      </c>
      <c r="C6602" s="9">
        <f>IFERROR(__xludf.DUMMYFUNCTION("""COMPUTED_VALUE"""),25225.0)</f>
        <v>25225</v>
      </c>
      <c r="D6602" s="9" t="str">
        <f>IFERROR(__xludf.DUMMYFUNCTION("""COMPUTED_VALUE"""),"Completed")</f>
        <v>Completed</v>
      </c>
    </row>
    <row r="6603">
      <c r="A6603" s="9" t="str">
        <f>IFERROR(__xludf.DUMMYFUNCTION("""COMPUTED_VALUE"""),"G-REQ-06602")</f>
        <v>G-REQ-06602</v>
      </c>
      <c r="B6603" s="11">
        <f>IFERROR(__xludf.DUMMYFUNCTION("""COMPUTED_VALUE"""),46231.21057125159)</f>
        <v>46231.21057</v>
      </c>
      <c r="C6603" s="9">
        <f>IFERROR(__xludf.DUMMYFUNCTION("""COMPUTED_VALUE"""),25229.0)</f>
        <v>25229</v>
      </c>
      <c r="D6603" s="9" t="str">
        <f>IFERROR(__xludf.DUMMYFUNCTION("""COMPUTED_VALUE"""),"Completed")</f>
        <v>Completed</v>
      </c>
    </row>
    <row r="6604">
      <c r="A6604" s="9" t="str">
        <f>IFERROR(__xludf.DUMMYFUNCTION("""COMPUTED_VALUE"""),"G-REQ-06603")</f>
        <v>G-REQ-06603</v>
      </c>
      <c r="B6604" s="11">
        <f>IFERROR(__xludf.DUMMYFUNCTION("""COMPUTED_VALUE"""),46231.281746096996)</f>
        <v>46231.28175</v>
      </c>
      <c r="C6604" s="9">
        <f>IFERROR(__xludf.DUMMYFUNCTION("""COMPUTED_VALUE"""),25233.0)</f>
        <v>25233</v>
      </c>
      <c r="D6604" s="9" t="str">
        <f>IFERROR(__xludf.DUMMYFUNCTION("""COMPUTED_VALUE"""),"Completed")</f>
        <v>Completed</v>
      </c>
    </row>
    <row r="6605">
      <c r="A6605" s="9" t="str">
        <f>IFERROR(__xludf.DUMMYFUNCTION("""COMPUTED_VALUE"""),"G-REQ-06604")</f>
        <v>G-REQ-06604</v>
      </c>
      <c r="B6605" s="11">
        <f>IFERROR(__xludf.DUMMYFUNCTION("""COMPUTED_VALUE"""),46231.352920942416)</f>
        <v>46231.35292</v>
      </c>
      <c r="C6605" s="9">
        <f>IFERROR(__xludf.DUMMYFUNCTION("""COMPUTED_VALUE"""),25237.0)</f>
        <v>25237</v>
      </c>
      <c r="D6605" s="9" t="str">
        <f>IFERROR(__xludf.DUMMYFUNCTION("""COMPUTED_VALUE"""),"Completed")</f>
        <v>Completed</v>
      </c>
    </row>
    <row r="6606">
      <c r="A6606" s="9" t="str">
        <f>IFERROR(__xludf.DUMMYFUNCTION("""COMPUTED_VALUE"""),"G-REQ-06605")</f>
        <v>G-REQ-06605</v>
      </c>
      <c r="B6606" s="11">
        <f>IFERROR(__xludf.DUMMYFUNCTION("""COMPUTED_VALUE"""),46231.42409578783)</f>
        <v>46231.4241</v>
      </c>
      <c r="C6606" s="9">
        <f>IFERROR(__xludf.DUMMYFUNCTION("""COMPUTED_VALUE"""),25241.0)</f>
        <v>25241</v>
      </c>
      <c r="D6606" s="9" t="str">
        <f>IFERROR(__xludf.DUMMYFUNCTION("""COMPUTED_VALUE"""),"Completed")</f>
        <v>Completed</v>
      </c>
    </row>
    <row r="6607">
      <c r="A6607" s="9" t="str">
        <f>IFERROR(__xludf.DUMMYFUNCTION("""COMPUTED_VALUE"""),"G-REQ-06606")</f>
        <v>G-REQ-06606</v>
      </c>
      <c r="B6607" s="11">
        <f>IFERROR(__xludf.DUMMYFUNCTION("""COMPUTED_VALUE"""),46231.49527063325)</f>
        <v>46231.49527</v>
      </c>
      <c r="C6607" s="9">
        <f>IFERROR(__xludf.DUMMYFUNCTION("""COMPUTED_VALUE"""),25245.0)</f>
        <v>25245</v>
      </c>
      <c r="D6607" s="9" t="str">
        <f>IFERROR(__xludf.DUMMYFUNCTION("""COMPUTED_VALUE"""),"Completed")</f>
        <v>Completed</v>
      </c>
    </row>
    <row r="6608">
      <c r="A6608" s="9" t="str">
        <f>IFERROR(__xludf.DUMMYFUNCTION("""COMPUTED_VALUE"""),"G-REQ-06607")</f>
        <v>G-REQ-06607</v>
      </c>
      <c r="B6608" s="11">
        <f>IFERROR(__xludf.DUMMYFUNCTION("""COMPUTED_VALUE"""),46231.56644547866)</f>
        <v>46231.56645</v>
      </c>
      <c r="C6608" s="9">
        <f>IFERROR(__xludf.DUMMYFUNCTION("""COMPUTED_VALUE"""),25249.0)</f>
        <v>25249</v>
      </c>
      <c r="D6608" s="9" t="str">
        <f>IFERROR(__xludf.DUMMYFUNCTION("""COMPUTED_VALUE"""),"Completed")</f>
        <v>Completed</v>
      </c>
    </row>
    <row r="6609">
      <c r="A6609" s="9" t="str">
        <f>IFERROR(__xludf.DUMMYFUNCTION("""COMPUTED_VALUE"""),"G-REQ-06608")</f>
        <v>G-REQ-06608</v>
      </c>
      <c r="B6609" s="11">
        <f>IFERROR(__xludf.DUMMYFUNCTION("""COMPUTED_VALUE"""),46231.63762032408)</f>
        <v>46231.63762</v>
      </c>
      <c r="C6609" s="9">
        <f>IFERROR(__xludf.DUMMYFUNCTION("""COMPUTED_VALUE"""),25253.0)</f>
        <v>25253</v>
      </c>
      <c r="D6609" s="9" t="str">
        <f>IFERROR(__xludf.DUMMYFUNCTION("""COMPUTED_VALUE"""),"Completed")</f>
        <v>Completed</v>
      </c>
    </row>
    <row r="6610">
      <c r="A6610" s="9" t="str">
        <f>IFERROR(__xludf.DUMMYFUNCTION("""COMPUTED_VALUE"""),"G-REQ-06609")</f>
        <v>G-REQ-06609</v>
      </c>
      <c r="B6610" s="11">
        <f>IFERROR(__xludf.DUMMYFUNCTION("""COMPUTED_VALUE"""),46231.708795169485)</f>
        <v>46231.7088</v>
      </c>
      <c r="C6610" s="9">
        <f>IFERROR(__xludf.DUMMYFUNCTION("""COMPUTED_VALUE"""),25257.0)</f>
        <v>25257</v>
      </c>
      <c r="D6610" s="9" t="str">
        <f>IFERROR(__xludf.DUMMYFUNCTION("""COMPUTED_VALUE"""),"Completed")</f>
        <v>Completed</v>
      </c>
    </row>
    <row r="6611">
      <c r="A6611" s="9" t="str">
        <f>IFERROR(__xludf.DUMMYFUNCTION("""COMPUTED_VALUE"""),"G-REQ-06610")</f>
        <v>G-REQ-06610</v>
      </c>
      <c r="B6611" s="11">
        <f>IFERROR(__xludf.DUMMYFUNCTION("""COMPUTED_VALUE"""),46231.779970014904)</f>
        <v>46231.77997</v>
      </c>
      <c r="C6611" s="9">
        <f>IFERROR(__xludf.DUMMYFUNCTION("""COMPUTED_VALUE"""),25261.0)</f>
        <v>25261</v>
      </c>
      <c r="D6611" s="9" t="str">
        <f>IFERROR(__xludf.DUMMYFUNCTION("""COMPUTED_VALUE"""),"Completed")</f>
        <v>Completed</v>
      </c>
    </row>
    <row r="6612">
      <c r="A6612" s="9" t="str">
        <f>IFERROR(__xludf.DUMMYFUNCTION("""COMPUTED_VALUE"""),"G-REQ-06611")</f>
        <v>G-REQ-06611</v>
      </c>
      <c r="B6612" s="11">
        <f>IFERROR(__xludf.DUMMYFUNCTION("""COMPUTED_VALUE"""),46231.851144860324)</f>
        <v>46231.85114</v>
      </c>
      <c r="C6612" s="9">
        <f>IFERROR(__xludf.DUMMYFUNCTION("""COMPUTED_VALUE"""),25265.0)</f>
        <v>25265</v>
      </c>
      <c r="D6612" s="9" t="str">
        <f>IFERROR(__xludf.DUMMYFUNCTION("""COMPUTED_VALUE"""),"Completed")</f>
        <v>Completed</v>
      </c>
    </row>
    <row r="6613">
      <c r="A6613" s="9" t="str">
        <f>IFERROR(__xludf.DUMMYFUNCTION("""COMPUTED_VALUE"""),"G-REQ-06612")</f>
        <v>G-REQ-06612</v>
      </c>
      <c r="B6613" s="11">
        <f>IFERROR(__xludf.DUMMYFUNCTION("""COMPUTED_VALUE"""),46231.922319705736)</f>
        <v>46231.92232</v>
      </c>
      <c r="C6613" s="9">
        <f>IFERROR(__xludf.DUMMYFUNCTION("""COMPUTED_VALUE"""),25269.0)</f>
        <v>25269</v>
      </c>
      <c r="D6613" s="9" t="str">
        <f>IFERROR(__xludf.DUMMYFUNCTION("""COMPUTED_VALUE"""),"Completed")</f>
        <v>Completed</v>
      </c>
    </row>
    <row r="6614">
      <c r="A6614" s="9" t="str">
        <f>IFERROR(__xludf.DUMMYFUNCTION("""COMPUTED_VALUE"""),"G-REQ-06613")</f>
        <v>G-REQ-06613</v>
      </c>
      <c r="B6614" s="11">
        <f>IFERROR(__xludf.DUMMYFUNCTION("""COMPUTED_VALUE"""),46231.99349455115)</f>
        <v>46231.99349</v>
      </c>
      <c r="C6614" s="9">
        <f>IFERROR(__xludf.DUMMYFUNCTION("""COMPUTED_VALUE"""),25273.0)</f>
        <v>25273</v>
      </c>
      <c r="D6614" s="9" t="str">
        <f>IFERROR(__xludf.DUMMYFUNCTION("""COMPUTED_VALUE"""),"Completed")</f>
        <v>Completed</v>
      </c>
    </row>
    <row r="6615">
      <c r="A6615" s="9" t="str">
        <f>IFERROR(__xludf.DUMMYFUNCTION("""COMPUTED_VALUE"""),"G-REQ-06614")</f>
        <v>G-REQ-06614</v>
      </c>
      <c r="B6615" s="11">
        <f>IFERROR(__xludf.DUMMYFUNCTION("""COMPUTED_VALUE"""),46232.06466939657)</f>
        <v>46232.06467</v>
      </c>
      <c r="C6615" s="9">
        <f>IFERROR(__xludf.DUMMYFUNCTION("""COMPUTED_VALUE"""),25277.0)</f>
        <v>25277</v>
      </c>
      <c r="D6615" s="9" t="str">
        <f>IFERROR(__xludf.DUMMYFUNCTION("""COMPUTED_VALUE"""),"Completed")</f>
        <v>Completed</v>
      </c>
    </row>
    <row r="6616">
      <c r="A6616" s="9" t="str">
        <f>IFERROR(__xludf.DUMMYFUNCTION("""COMPUTED_VALUE"""),"G-REQ-06615")</f>
        <v>G-REQ-06615</v>
      </c>
      <c r="B6616" s="11">
        <f>IFERROR(__xludf.DUMMYFUNCTION("""COMPUTED_VALUE"""),46232.128899797535)</f>
        <v>46232.1289</v>
      </c>
      <c r="C6616" s="9">
        <f>IFERROR(__xludf.DUMMYFUNCTION("""COMPUTED_VALUE"""),25279.0)</f>
        <v>25279</v>
      </c>
      <c r="D6616" s="9" t="str">
        <f>IFERROR(__xludf.DUMMYFUNCTION("""COMPUTED_VALUE"""),"Rejected")</f>
        <v>Rejected</v>
      </c>
    </row>
    <row r="6617">
      <c r="A6617" s="9" t="str">
        <f>IFERROR(__xludf.DUMMYFUNCTION("""COMPUTED_VALUE"""),"G-REQ-06616")</f>
        <v>G-REQ-06616</v>
      </c>
      <c r="B6617" s="11">
        <f>IFERROR(__xludf.DUMMYFUNCTION("""COMPUTED_VALUE"""),46232.20701908739)</f>
        <v>46232.20702</v>
      </c>
      <c r="C6617" s="9">
        <f>IFERROR(__xludf.DUMMYFUNCTION("""COMPUTED_VALUE"""),25283.0)</f>
        <v>25283</v>
      </c>
      <c r="D6617" s="9" t="str">
        <f>IFERROR(__xludf.DUMMYFUNCTION("""COMPUTED_VALUE"""),"Completed")</f>
        <v>Completed</v>
      </c>
    </row>
    <row r="6618">
      <c r="A6618" s="9" t="str">
        <f>IFERROR(__xludf.DUMMYFUNCTION("""COMPUTED_VALUE"""),"G-REQ-06617")</f>
        <v>G-REQ-06617</v>
      </c>
      <c r="B6618" s="11">
        <f>IFERROR(__xludf.DUMMYFUNCTION("""COMPUTED_VALUE"""),46232.27819393281)</f>
        <v>46232.27819</v>
      </c>
      <c r="C6618" s="9">
        <f>IFERROR(__xludf.DUMMYFUNCTION("""COMPUTED_VALUE"""),25287.0)</f>
        <v>25287</v>
      </c>
      <c r="D6618" s="9" t="str">
        <f>IFERROR(__xludf.DUMMYFUNCTION("""COMPUTED_VALUE"""),"Completed")</f>
        <v>Completed</v>
      </c>
    </row>
    <row r="6619">
      <c r="A6619" s="9" t="str">
        <f>IFERROR(__xludf.DUMMYFUNCTION("""COMPUTED_VALUE"""),"G-REQ-06618")</f>
        <v>G-REQ-06618</v>
      </c>
      <c r="B6619" s="11">
        <f>IFERROR(__xludf.DUMMYFUNCTION("""COMPUTED_VALUE"""),46232.34936877823)</f>
        <v>46232.34937</v>
      </c>
      <c r="C6619" s="9">
        <f>IFERROR(__xludf.DUMMYFUNCTION("""COMPUTED_VALUE"""),25291.0)</f>
        <v>25291</v>
      </c>
      <c r="D6619" s="9" t="str">
        <f>IFERROR(__xludf.DUMMYFUNCTION("""COMPUTED_VALUE"""),"Completed")</f>
        <v>Completed</v>
      </c>
    </row>
    <row r="6620">
      <c r="A6620" s="9" t="str">
        <f>IFERROR(__xludf.DUMMYFUNCTION("""COMPUTED_VALUE"""),"G-REQ-06619")</f>
        <v>G-REQ-06619</v>
      </c>
      <c r="B6620" s="11">
        <f>IFERROR(__xludf.DUMMYFUNCTION("""COMPUTED_VALUE"""),46232.42054362364)</f>
        <v>46232.42054</v>
      </c>
      <c r="C6620" s="9">
        <f>IFERROR(__xludf.DUMMYFUNCTION("""COMPUTED_VALUE"""),25295.0)</f>
        <v>25295</v>
      </c>
      <c r="D6620" s="9" t="str">
        <f>IFERROR(__xludf.DUMMYFUNCTION("""COMPUTED_VALUE"""),"Completed")</f>
        <v>Completed</v>
      </c>
    </row>
    <row r="6621">
      <c r="A6621" s="9" t="str">
        <f>IFERROR(__xludf.DUMMYFUNCTION("""COMPUTED_VALUE"""),"G-REQ-06620")</f>
        <v>G-REQ-06620</v>
      </c>
      <c r="B6621" s="11">
        <f>IFERROR(__xludf.DUMMYFUNCTION("""COMPUTED_VALUE"""),46232.49171846906)</f>
        <v>46232.49172</v>
      </c>
      <c r="C6621" s="9">
        <f>IFERROR(__xludf.DUMMYFUNCTION("""COMPUTED_VALUE"""),25299.0)</f>
        <v>25299</v>
      </c>
      <c r="D6621" s="9" t="str">
        <f>IFERROR(__xludf.DUMMYFUNCTION("""COMPUTED_VALUE"""),"Completed")</f>
        <v>Completed</v>
      </c>
    </row>
    <row r="6622">
      <c r="A6622" s="9" t="str">
        <f>IFERROR(__xludf.DUMMYFUNCTION("""COMPUTED_VALUE"""),"G-REQ-06621")</f>
        <v>G-REQ-06621</v>
      </c>
      <c r="B6622" s="11">
        <f>IFERROR(__xludf.DUMMYFUNCTION("""COMPUTED_VALUE"""),46232.562893314476)</f>
        <v>46232.56289</v>
      </c>
      <c r="C6622" s="9">
        <f>IFERROR(__xludf.DUMMYFUNCTION("""COMPUTED_VALUE"""),25303.0)</f>
        <v>25303</v>
      </c>
      <c r="D6622" s="9" t="str">
        <f>IFERROR(__xludf.DUMMYFUNCTION("""COMPUTED_VALUE"""),"Completed")</f>
        <v>Completed</v>
      </c>
    </row>
    <row r="6623">
      <c r="A6623" s="9" t="str">
        <f>IFERROR(__xludf.DUMMYFUNCTION("""COMPUTED_VALUE"""),"G-REQ-06622")</f>
        <v>G-REQ-06622</v>
      </c>
      <c r="B6623" s="11">
        <f>IFERROR(__xludf.DUMMYFUNCTION("""COMPUTED_VALUE"""),46232.63406815989)</f>
        <v>46232.63407</v>
      </c>
      <c r="C6623" s="9">
        <f>IFERROR(__xludf.DUMMYFUNCTION("""COMPUTED_VALUE"""),25307.0)</f>
        <v>25307</v>
      </c>
      <c r="D6623" s="9" t="str">
        <f>IFERROR(__xludf.DUMMYFUNCTION("""COMPUTED_VALUE"""),"Completed")</f>
        <v>Completed</v>
      </c>
    </row>
    <row r="6624">
      <c r="A6624" s="9" t="str">
        <f>IFERROR(__xludf.DUMMYFUNCTION("""COMPUTED_VALUE"""),"G-REQ-06623")</f>
        <v>G-REQ-06623</v>
      </c>
      <c r="B6624" s="11">
        <f>IFERROR(__xludf.DUMMYFUNCTION("""COMPUTED_VALUE"""),46232.7052430053)</f>
        <v>46232.70524</v>
      </c>
      <c r="C6624" s="9">
        <f>IFERROR(__xludf.DUMMYFUNCTION("""COMPUTED_VALUE"""),25311.0)</f>
        <v>25311</v>
      </c>
      <c r="D6624" s="9" t="str">
        <f>IFERROR(__xludf.DUMMYFUNCTION("""COMPUTED_VALUE"""),"Completed")</f>
        <v>Completed</v>
      </c>
    </row>
    <row r="6625">
      <c r="A6625" s="9" t="str">
        <f>IFERROR(__xludf.DUMMYFUNCTION("""COMPUTED_VALUE"""),"G-REQ-06624")</f>
        <v>G-REQ-06624</v>
      </c>
      <c r="B6625" s="11">
        <f>IFERROR(__xludf.DUMMYFUNCTION("""COMPUTED_VALUE"""),46232.769473406275)</f>
        <v>46232.76947</v>
      </c>
      <c r="C6625" s="9">
        <f>IFERROR(__xludf.DUMMYFUNCTION("""COMPUTED_VALUE"""),25313.0)</f>
        <v>25313</v>
      </c>
      <c r="D6625" s="9" t="str">
        <f>IFERROR(__xludf.DUMMYFUNCTION("""COMPUTED_VALUE"""),"Rejected")</f>
        <v>Rejected</v>
      </c>
    </row>
    <row r="6626">
      <c r="A6626" s="9" t="str">
        <f>IFERROR(__xludf.DUMMYFUNCTION("""COMPUTED_VALUE"""),"G-REQ-06625")</f>
        <v>G-REQ-06625</v>
      </c>
      <c r="B6626" s="11">
        <f>IFERROR(__xludf.DUMMYFUNCTION("""COMPUTED_VALUE"""),46232.84759269613)</f>
        <v>46232.84759</v>
      </c>
      <c r="C6626" s="9">
        <f>IFERROR(__xludf.DUMMYFUNCTION("""COMPUTED_VALUE"""),25317.0)</f>
        <v>25317</v>
      </c>
      <c r="D6626" s="9" t="str">
        <f>IFERROR(__xludf.DUMMYFUNCTION("""COMPUTED_VALUE"""),"Completed")</f>
        <v>Completed</v>
      </c>
    </row>
    <row r="6627">
      <c r="A6627" s="9" t="str">
        <f>IFERROR(__xludf.DUMMYFUNCTION("""COMPUTED_VALUE"""),"G-REQ-06626")</f>
        <v>G-REQ-06626</v>
      </c>
      <c r="B6627" s="11">
        <f>IFERROR(__xludf.DUMMYFUNCTION("""COMPUTED_VALUE"""),46232.918767541545)</f>
        <v>46232.91877</v>
      </c>
      <c r="C6627" s="9">
        <f>IFERROR(__xludf.DUMMYFUNCTION("""COMPUTED_VALUE"""),25321.0)</f>
        <v>25321</v>
      </c>
      <c r="D6627" s="9" t="str">
        <f>IFERROR(__xludf.DUMMYFUNCTION("""COMPUTED_VALUE"""),"Completed")</f>
        <v>Completed</v>
      </c>
    </row>
    <row r="6628">
      <c r="A6628" s="9" t="str">
        <f>IFERROR(__xludf.DUMMYFUNCTION("""COMPUTED_VALUE"""),"G-REQ-06627")</f>
        <v>G-REQ-06627</v>
      </c>
      <c r="B6628" s="11">
        <f>IFERROR(__xludf.DUMMYFUNCTION("""COMPUTED_VALUE"""),46232.989942386965)</f>
        <v>46232.98994</v>
      </c>
      <c r="C6628" s="9">
        <f>IFERROR(__xludf.DUMMYFUNCTION("""COMPUTED_VALUE"""),25325.0)</f>
        <v>25325</v>
      </c>
      <c r="D6628" s="9" t="str">
        <f>IFERROR(__xludf.DUMMYFUNCTION("""COMPUTED_VALUE"""),"Completed")</f>
        <v>Completed</v>
      </c>
    </row>
    <row r="6629">
      <c r="A6629" s="9" t="str">
        <f>IFERROR(__xludf.DUMMYFUNCTION("""COMPUTED_VALUE"""),"G-REQ-06628")</f>
        <v>G-REQ-06628</v>
      </c>
      <c r="B6629" s="11">
        <f>IFERROR(__xludf.DUMMYFUNCTION("""COMPUTED_VALUE"""),46233.06111723238)</f>
        <v>46233.06112</v>
      </c>
      <c r="C6629" s="9">
        <f>IFERROR(__xludf.DUMMYFUNCTION("""COMPUTED_VALUE"""),25329.0)</f>
        <v>25329</v>
      </c>
      <c r="D6629" s="9" t="str">
        <f>IFERROR(__xludf.DUMMYFUNCTION("""COMPUTED_VALUE"""),"Completed")</f>
        <v>Completed</v>
      </c>
    </row>
    <row r="6630">
      <c r="A6630" s="9" t="str">
        <f>IFERROR(__xludf.DUMMYFUNCTION("""COMPUTED_VALUE"""),"G-REQ-06629")</f>
        <v>G-REQ-06629</v>
      </c>
      <c r="B6630" s="11">
        <f>IFERROR(__xludf.DUMMYFUNCTION("""COMPUTED_VALUE"""),46233.13229207779)</f>
        <v>46233.13229</v>
      </c>
      <c r="C6630" s="9">
        <f>IFERROR(__xludf.DUMMYFUNCTION("""COMPUTED_VALUE"""),25333.0)</f>
        <v>25333</v>
      </c>
      <c r="D6630" s="9" t="str">
        <f>IFERROR(__xludf.DUMMYFUNCTION("""COMPUTED_VALUE"""),"Completed")</f>
        <v>Completed</v>
      </c>
    </row>
    <row r="6631">
      <c r="A6631" s="9" t="str">
        <f>IFERROR(__xludf.DUMMYFUNCTION("""COMPUTED_VALUE"""),"G-REQ-06630")</f>
        <v>G-REQ-06630</v>
      </c>
      <c r="B6631" s="11">
        <f>IFERROR(__xludf.DUMMYFUNCTION("""COMPUTED_VALUE"""),46233.20346692321)</f>
        <v>46233.20347</v>
      </c>
      <c r="C6631" s="9">
        <f>IFERROR(__xludf.DUMMYFUNCTION("""COMPUTED_VALUE"""),25337.0)</f>
        <v>25337</v>
      </c>
      <c r="D6631" s="9" t="str">
        <f>IFERROR(__xludf.DUMMYFUNCTION("""COMPUTED_VALUE"""),"Completed")</f>
        <v>Completed</v>
      </c>
    </row>
    <row r="6632">
      <c r="A6632" s="9" t="str">
        <f>IFERROR(__xludf.DUMMYFUNCTION("""COMPUTED_VALUE"""),"G-REQ-06631")</f>
        <v>G-REQ-06631</v>
      </c>
      <c r="B6632" s="11">
        <f>IFERROR(__xludf.DUMMYFUNCTION("""COMPUTED_VALUE"""),46233.27464176862)</f>
        <v>46233.27464</v>
      </c>
      <c r="C6632" s="9">
        <f>IFERROR(__xludf.DUMMYFUNCTION("""COMPUTED_VALUE"""),25341.0)</f>
        <v>25341</v>
      </c>
      <c r="D6632" s="9" t="str">
        <f>IFERROR(__xludf.DUMMYFUNCTION("""COMPUTED_VALUE"""),"Completed")</f>
        <v>Completed</v>
      </c>
    </row>
    <row r="6633">
      <c r="A6633" s="9" t="str">
        <f>IFERROR(__xludf.DUMMYFUNCTION("""COMPUTED_VALUE"""),"G-REQ-06632")</f>
        <v>G-REQ-06632</v>
      </c>
      <c r="B6633" s="11">
        <f>IFERROR(__xludf.DUMMYFUNCTION("""COMPUTED_VALUE"""),46233.34581661403)</f>
        <v>46233.34582</v>
      </c>
      <c r="C6633" s="9">
        <f>IFERROR(__xludf.DUMMYFUNCTION("""COMPUTED_VALUE"""),25345.0)</f>
        <v>25345</v>
      </c>
      <c r="D6633" s="9" t="str">
        <f>IFERROR(__xludf.DUMMYFUNCTION("""COMPUTED_VALUE"""),"Completed")</f>
        <v>Completed</v>
      </c>
    </row>
    <row r="6634">
      <c r="A6634" s="9" t="str">
        <f>IFERROR(__xludf.DUMMYFUNCTION("""COMPUTED_VALUE"""),"G-REQ-06633")</f>
        <v>G-REQ-06633</v>
      </c>
      <c r="B6634" s="11">
        <f>IFERROR(__xludf.DUMMYFUNCTION("""COMPUTED_VALUE"""),46233.41004701501)</f>
        <v>46233.41005</v>
      </c>
      <c r="C6634" s="9">
        <f>IFERROR(__xludf.DUMMYFUNCTION("""COMPUTED_VALUE"""),25347.0)</f>
        <v>25347</v>
      </c>
      <c r="D6634" s="9" t="str">
        <f>IFERROR(__xludf.DUMMYFUNCTION("""COMPUTED_VALUE"""),"Cancelled")</f>
        <v>Cancelled</v>
      </c>
    </row>
    <row r="6635">
      <c r="A6635" s="9" t="str">
        <f>IFERROR(__xludf.DUMMYFUNCTION("""COMPUTED_VALUE"""),"G-REQ-06634")</f>
        <v>G-REQ-06634</v>
      </c>
      <c r="B6635" s="11">
        <f>IFERROR(__xludf.DUMMYFUNCTION("""COMPUTED_VALUE"""),46233.48816630487)</f>
        <v>46233.48817</v>
      </c>
      <c r="C6635" s="9">
        <f>IFERROR(__xludf.DUMMYFUNCTION("""COMPUTED_VALUE"""),25351.0)</f>
        <v>25351</v>
      </c>
      <c r="D6635" s="9" t="str">
        <f>IFERROR(__xludf.DUMMYFUNCTION("""COMPUTED_VALUE"""),"Completed")</f>
        <v>Completed</v>
      </c>
    </row>
    <row r="6636">
      <c r="A6636" s="9" t="str">
        <f>IFERROR(__xludf.DUMMYFUNCTION("""COMPUTED_VALUE"""),"G-REQ-06635")</f>
        <v>G-REQ-06635</v>
      </c>
      <c r="B6636" s="11">
        <f>IFERROR(__xludf.DUMMYFUNCTION("""COMPUTED_VALUE"""),46233.55934115028)</f>
        <v>46233.55934</v>
      </c>
      <c r="C6636" s="9">
        <f>IFERROR(__xludf.DUMMYFUNCTION("""COMPUTED_VALUE"""),25355.0)</f>
        <v>25355</v>
      </c>
      <c r="D6636" s="9" t="str">
        <f>IFERROR(__xludf.DUMMYFUNCTION("""COMPUTED_VALUE"""),"Completed")</f>
        <v>Completed</v>
      </c>
    </row>
    <row r="6637">
      <c r="A6637" s="9" t="str">
        <f>IFERROR(__xludf.DUMMYFUNCTION("""COMPUTED_VALUE"""),"G-REQ-06636")</f>
        <v>G-REQ-06636</v>
      </c>
      <c r="B6637" s="11">
        <f>IFERROR(__xludf.DUMMYFUNCTION("""COMPUTED_VALUE"""),46233.6305159957)</f>
        <v>46233.63052</v>
      </c>
      <c r="C6637" s="9">
        <f>IFERROR(__xludf.DUMMYFUNCTION("""COMPUTED_VALUE"""),25359.0)</f>
        <v>25359</v>
      </c>
      <c r="D6637" s="9" t="str">
        <f>IFERROR(__xludf.DUMMYFUNCTION("""COMPUTED_VALUE"""),"Completed")</f>
        <v>Completed</v>
      </c>
    </row>
    <row r="6638">
      <c r="A6638" s="9" t="str">
        <f>IFERROR(__xludf.DUMMYFUNCTION("""COMPUTED_VALUE"""),"G-REQ-06637")</f>
        <v>G-REQ-06637</v>
      </c>
      <c r="B6638" s="11">
        <f>IFERROR(__xludf.DUMMYFUNCTION("""COMPUTED_VALUE"""),46233.70169084112)</f>
        <v>46233.70169</v>
      </c>
      <c r="C6638" s="9">
        <f>IFERROR(__xludf.DUMMYFUNCTION("""COMPUTED_VALUE"""),25363.0)</f>
        <v>25363</v>
      </c>
      <c r="D6638" s="9" t="str">
        <f>IFERROR(__xludf.DUMMYFUNCTION("""COMPUTED_VALUE"""),"Completed")</f>
        <v>Completed</v>
      </c>
    </row>
    <row r="6639">
      <c r="A6639" s="9" t="str">
        <f>IFERROR(__xludf.DUMMYFUNCTION("""COMPUTED_VALUE"""),"G-REQ-06638")</f>
        <v>G-REQ-06638</v>
      </c>
      <c r="B6639" s="11">
        <f>IFERROR(__xludf.DUMMYFUNCTION("""COMPUTED_VALUE"""),46233.77286568653)</f>
        <v>46233.77287</v>
      </c>
      <c r="C6639" s="9">
        <f>IFERROR(__xludf.DUMMYFUNCTION("""COMPUTED_VALUE"""),25367.0)</f>
        <v>25367</v>
      </c>
      <c r="D6639" s="9" t="str">
        <f>IFERROR(__xludf.DUMMYFUNCTION("""COMPUTED_VALUE"""),"Completed")</f>
        <v>Completed</v>
      </c>
    </row>
    <row r="6640">
      <c r="A6640" s="9" t="str">
        <f>IFERROR(__xludf.DUMMYFUNCTION("""COMPUTED_VALUE"""),"G-REQ-06639")</f>
        <v>G-REQ-06639</v>
      </c>
      <c r="B6640" s="11">
        <f>IFERROR(__xludf.DUMMYFUNCTION("""COMPUTED_VALUE"""),46233.84404053194)</f>
        <v>46233.84404</v>
      </c>
      <c r="C6640" s="9">
        <f>IFERROR(__xludf.DUMMYFUNCTION("""COMPUTED_VALUE"""),25371.0)</f>
        <v>25371</v>
      </c>
      <c r="D6640" s="9" t="str">
        <f>IFERROR(__xludf.DUMMYFUNCTION("""COMPUTED_VALUE"""),"Completed")</f>
        <v>Completed</v>
      </c>
    </row>
    <row r="6641">
      <c r="A6641" s="9" t="str">
        <f>IFERROR(__xludf.DUMMYFUNCTION("""COMPUTED_VALUE"""),"G-REQ-06640")</f>
        <v>G-REQ-06640</v>
      </c>
      <c r="B6641" s="11">
        <f>IFERROR(__xludf.DUMMYFUNCTION("""COMPUTED_VALUE"""),46233.91521537736)</f>
        <v>46233.91522</v>
      </c>
      <c r="C6641" s="9">
        <f>IFERROR(__xludf.DUMMYFUNCTION("""COMPUTED_VALUE"""),25375.0)</f>
        <v>25375</v>
      </c>
      <c r="D6641" s="9" t="str">
        <f>IFERROR(__xludf.DUMMYFUNCTION("""COMPUTED_VALUE"""),"Completed")</f>
        <v>Completed</v>
      </c>
    </row>
    <row r="6642">
      <c r="A6642" s="9" t="str">
        <f>IFERROR(__xludf.DUMMYFUNCTION("""COMPUTED_VALUE"""),"G-REQ-06641")</f>
        <v>G-REQ-06641</v>
      </c>
      <c r="B6642" s="11">
        <f>IFERROR(__xludf.DUMMYFUNCTION("""COMPUTED_VALUE"""),46233.97944577833)</f>
        <v>46233.97945</v>
      </c>
      <c r="C6642" s="9">
        <f>IFERROR(__xludf.DUMMYFUNCTION("""COMPUTED_VALUE"""),25377.0)</f>
        <v>25377</v>
      </c>
      <c r="D6642" s="9" t="str">
        <f>IFERROR(__xludf.DUMMYFUNCTION("""COMPUTED_VALUE"""),"Cancelled")</f>
        <v>Cancelled</v>
      </c>
    </row>
    <row r="6643">
      <c r="A6643" s="9" t="str">
        <f>IFERROR(__xludf.DUMMYFUNCTION("""COMPUTED_VALUE"""),"G-REQ-06642")</f>
        <v>G-REQ-06642</v>
      </c>
      <c r="B6643" s="11">
        <f>IFERROR(__xludf.DUMMYFUNCTION("""COMPUTED_VALUE"""),46234.057565068186)</f>
        <v>46234.05757</v>
      </c>
      <c r="C6643" s="9">
        <f>IFERROR(__xludf.DUMMYFUNCTION("""COMPUTED_VALUE"""),25381.0)</f>
        <v>25381</v>
      </c>
      <c r="D6643" s="9" t="str">
        <f>IFERROR(__xludf.DUMMYFUNCTION("""COMPUTED_VALUE"""),"Completed")</f>
        <v>Completed</v>
      </c>
    </row>
    <row r="6644">
      <c r="A6644" s="9" t="str">
        <f>IFERROR(__xludf.DUMMYFUNCTION("""COMPUTED_VALUE"""),"G-REQ-06643")</f>
        <v>G-REQ-06643</v>
      </c>
      <c r="B6644" s="11">
        <f>IFERROR(__xludf.DUMMYFUNCTION("""COMPUTED_VALUE"""),46234.128739913605)</f>
        <v>46234.12874</v>
      </c>
      <c r="C6644" s="9">
        <f>IFERROR(__xludf.DUMMYFUNCTION("""COMPUTED_VALUE"""),25385.0)</f>
        <v>25385</v>
      </c>
      <c r="D6644" s="9" t="str">
        <f>IFERROR(__xludf.DUMMYFUNCTION("""COMPUTED_VALUE"""),"Completed")</f>
        <v>Completed</v>
      </c>
    </row>
    <row r="6645">
      <c r="A6645" s="9" t="str">
        <f>IFERROR(__xludf.DUMMYFUNCTION("""COMPUTED_VALUE"""),"G-REQ-06644")</f>
        <v>G-REQ-06644</v>
      </c>
      <c r="B6645" s="11">
        <f>IFERROR(__xludf.DUMMYFUNCTION("""COMPUTED_VALUE"""),46234.19991475902)</f>
        <v>46234.19991</v>
      </c>
      <c r="C6645" s="9">
        <f>IFERROR(__xludf.DUMMYFUNCTION("""COMPUTED_VALUE"""),25389.0)</f>
        <v>25389</v>
      </c>
      <c r="D6645" s="9" t="str">
        <f>IFERROR(__xludf.DUMMYFUNCTION("""COMPUTED_VALUE"""),"Completed")</f>
        <v>Completed</v>
      </c>
    </row>
    <row r="6646">
      <c r="A6646" s="9" t="str">
        <f>IFERROR(__xludf.DUMMYFUNCTION("""COMPUTED_VALUE"""),"G-REQ-06645")</f>
        <v>G-REQ-06645</v>
      </c>
      <c r="B6646" s="11">
        <f>IFERROR(__xludf.DUMMYFUNCTION("""COMPUTED_VALUE"""),46234.264145159985)</f>
        <v>46234.26415</v>
      </c>
      <c r="C6646" s="9">
        <f>IFERROR(__xludf.DUMMYFUNCTION("""COMPUTED_VALUE"""),25391.0)</f>
        <v>25391</v>
      </c>
      <c r="D6646" s="9" t="str">
        <f>IFERROR(__xludf.DUMMYFUNCTION("""COMPUTED_VALUE"""),"Cancelled")</f>
        <v>Cancelled</v>
      </c>
    </row>
    <row r="6647">
      <c r="A6647" s="9" t="str">
        <f>IFERROR(__xludf.DUMMYFUNCTION("""COMPUTED_VALUE"""),"G-REQ-06646")</f>
        <v>G-REQ-06646</v>
      </c>
      <c r="B6647" s="11">
        <f>IFERROR(__xludf.DUMMYFUNCTION("""COMPUTED_VALUE"""),46234.34226444985)</f>
        <v>46234.34226</v>
      </c>
      <c r="C6647" s="9">
        <f>IFERROR(__xludf.DUMMYFUNCTION("""COMPUTED_VALUE"""),25395.0)</f>
        <v>25395</v>
      </c>
      <c r="D6647" s="9" t="str">
        <f>IFERROR(__xludf.DUMMYFUNCTION("""COMPUTED_VALUE"""),"Completed")</f>
        <v>Completed</v>
      </c>
    </row>
    <row r="6648">
      <c r="A6648" s="9" t="str">
        <f>IFERROR(__xludf.DUMMYFUNCTION("""COMPUTED_VALUE"""),"G-REQ-06647")</f>
        <v>G-REQ-06647</v>
      </c>
      <c r="B6648" s="11">
        <f>IFERROR(__xludf.DUMMYFUNCTION("""COMPUTED_VALUE"""),46234.41343929526)</f>
        <v>46234.41344</v>
      </c>
      <c r="C6648" s="9">
        <f>IFERROR(__xludf.DUMMYFUNCTION("""COMPUTED_VALUE"""),25399.0)</f>
        <v>25399</v>
      </c>
      <c r="D6648" s="9" t="str">
        <f>IFERROR(__xludf.DUMMYFUNCTION("""COMPUTED_VALUE"""),"Completed")</f>
        <v>Completed</v>
      </c>
    </row>
    <row r="6649">
      <c r="A6649" s="9" t="str">
        <f>IFERROR(__xludf.DUMMYFUNCTION("""COMPUTED_VALUE"""),"G-REQ-06648")</f>
        <v>G-REQ-06648</v>
      </c>
      <c r="B6649" s="11">
        <f>IFERROR(__xludf.DUMMYFUNCTION("""COMPUTED_VALUE"""),46234.484614140674)</f>
        <v>46234.48461</v>
      </c>
      <c r="C6649" s="9">
        <f>IFERROR(__xludf.DUMMYFUNCTION("""COMPUTED_VALUE"""),25403.0)</f>
        <v>25403</v>
      </c>
      <c r="D6649" s="9" t="str">
        <f>IFERROR(__xludf.DUMMYFUNCTION("""COMPUTED_VALUE"""),"Completed")</f>
        <v>Completed</v>
      </c>
    </row>
    <row r="6650">
      <c r="A6650" s="9" t="str">
        <f>IFERROR(__xludf.DUMMYFUNCTION("""COMPUTED_VALUE"""),"G-REQ-06649")</f>
        <v>G-REQ-06649</v>
      </c>
      <c r="B6650" s="11">
        <f>IFERROR(__xludf.DUMMYFUNCTION("""COMPUTED_VALUE"""),46234.555788986094)</f>
        <v>46234.55579</v>
      </c>
      <c r="C6650" s="9">
        <f>IFERROR(__xludf.DUMMYFUNCTION("""COMPUTED_VALUE"""),25407.0)</f>
        <v>25407</v>
      </c>
      <c r="D6650" s="9" t="str">
        <f>IFERROR(__xludf.DUMMYFUNCTION("""COMPUTED_VALUE"""),"Completed")</f>
        <v>Completed</v>
      </c>
    </row>
    <row r="6651">
      <c r="A6651" s="9" t="str">
        <f>IFERROR(__xludf.DUMMYFUNCTION("""COMPUTED_VALUE"""),"G-REQ-06650")</f>
        <v>G-REQ-06650</v>
      </c>
      <c r="B6651" s="11">
        <f>IFERROR(__xludf.DUMMYFUNCTION("""COMPUTED_VALUE"""),46234.62696383151)</f>
        <v>46234.62696</v>
      </c>
      <c r="C6651" s="9">
        <f>IFERROR(__xludf.DUMMYFUNCTION("""COMPUTED_VALUE"""),25411.0)</f>
        <v>25411</v>
      </c>
      <c r="D6651" s="9" t="str">
        <f>IFERROR(__xludf.DUMMYFUNCTION("""COMPUTED_VALUE"""),"Completed")</f>
        <v>Completed</v>
      </c>
    </row>
    <row r="6652">
      <c r="A6652" s="9" t="str">
        <f>IFERROR(__xludf.DUMMYFUNCTION("""COMPUTED_VALUE"""),"G-REQ-06651")</f>
        <v>G-REQ-06651</v>
      </c>
      <c r="B6652" s="11">
        <f>IFERROR(__xludf.DUMMYFUNCTION("""COMPUTED_VALUE"""),46234.69813867692)</f>
        <v>46234.69814</v>
      </c>
      <c r="C6652" s="9">
        <f>IFERROR(__xludf.DUMMYFUNCTION("""COMPUTED_VALUE"""),25415.0)</f>
        <v>25415</v>
      </c>
      <c r="D6652" s="9" t="str">
        <f>IFERROR(__xludf.DUMMYFUNCTION("""COMPUTED_VALUE"""),"Completed")</f>
        <v>Completed</v>
      </c>
    </row>
    <row r="6653">
      <c r="A6653" s="9" t="str">
        <f>IFERROR(__xludf.DUMMYFUNCTION("""COMPUTED_VALUE"""),"G-REQ-06652")</f>
        <v>G-REQ-06652</v>
      </c>
      <c r="B6653" s="11">
        <f>IFERROR(__xludf.DUMMYFUNCTION("""COMPUTED_VALUE"""),46234.76931352234)</f>
        <v>46234.76931</v>
      </c>
      <c r="C6653" s="9">
        <f>IFERROR(__xludf.DUMMYFUNCTION("""COMPUTED_VALUE"""),25419.0)</f>
        <v>25419</v>
      </c>
      <c r="D6653" s="9" t="str">
        <f>IFERROR(__xludf.DUMMYFUNCTION("""COMPUTED_VALUE"""),"Completed")</f>
        <v>Completed</v>
      </c>
    </row>
    <row r="6654">
      <c r="A6654" s="9" t="str">
        <f>IFERROR(__xludf.DUMMYFUNCTION("""COMPUTED_VALUE"""),"G-REQ-06653")</f>
        <v>G-REQ-06653</v>
      </c>
      <c r="B6654" s="11">
        <f>IFERROR(__xludf.DUMMYFUNCTION("""COMPUTED_VALUE"""),46234.84048836776)</f>
        <v>46234.84049</v>
      </c>
      <c r="C6654" s="9">
        <f>IFERROR(__xludf.DUMMYFUNCTION("""COMPUTED_VALUE"""),25423.0)</f>
        <v>25423</v>
      </c>
      <c r="D6654" s="9" t="str">
        <f>IFERROR(__xludf.DUMMYFUNCTION("""COMPUTED_VALUE"""),"Completed")</f>
        <v>Completed</v>
      </c>
    </row>
    <row r="6655">
      <c r="A6655" s="9" t="str">
        <f>IFERROR(__xludf.DUMMYFUNCTION("""COMPUTED_VALUE"""),"G-REQ-06654")</f>
        <v>G-REQ-06654</v>
      </c>
      <c r="B6655" s="11">
        <f>IFERROR(__xludf.DUMMYFUNCTION("""COMPUTED_VALUE"""),46234.91166321317)</f>
        <v>46234.91166</v>
      </c>
      <c r="C6655" s="9">
        <f>IFERROR(__xludf.DUMMYFUNCTION("""COMPUTED_VALUE"""),25427.0)</f>
        <v>25427</v>
      </c>
      <c r="D6655" s="9" t="str">
        <f>IFERROR(__xludf.DUMMYFUNCTION("""COMPUTED_VALUE"""),"Completed")</f>
        <v>Completed</v>
      </c>
    </row>
    <row r="6656">
      <c r="A6656" s="9" t="str">
        <f>IFERROR(__xludf.DUMMYFUNCTION("""COMPUTED_VALUE"""),"G-REQ-06655")</f>
        <v>G-REQ-06655</v>
      </c>
      <c r="B6656" s="11">
        <f>IFERROR(__xludf.DUMMYFUNCTION("""COMPUTED_VALUE"""),46234.98283805858)</f>
        <v>46234.98284</v>
      </c>
      <c r="C6656" s="9">
        <f>IFERROR(__xludf.DUMMYFUNCTION("""COMPUTED_VALUE"""),25431.0)</f>
        <v>25431</v>
      </c>
      <c r="D6656" s="9" t="str">
        <f>IFERROR(__xludf.DUMMYFUNCTION("""COMPUTED_VALUE"""),"Completed")</f>
        <v>Completed</v>
      </c>
    </row>
    <row r="6657">
      <c r="A6657" s="9" t="str">
        <f>IFERROR(__xludf.DUMMYFUNCTION("""COMPUTED_VALUE"""),"G-REQ-06656")</f>
        <v>G-REQ-06656</v>
      </c>
      <c r="B6657" s="11">
        <f>IFERROR(__xludf.DUMMYFUNCTION("""COMPUTED_VALUE"""),46235.054012904)</f>
        <v>46235.05401</v>
      </c>
      <c r="C6657" s="9">
        <f>IFERROR(__xludf.DUMMYFUNCTION("""COMPUTED_VALUE"""),25435.0)</f>
        <v>25435</v>
      </c>
      <c r="D6657" s="9" t="str">
        <f>IFERROR(__xludf.DUMMYFUNCTION("""COMPUTED_VALUE"""),"Completed")</f>
        <v>Completed</v>
      </c>
    </row>
    <row r="6658">
      <c r="A6658" s="9" t="str">
        <f>IFERROR(__xludf.DUMMYFUNCTION("""COMPUTED_VALUE"""),"G-REQ-06657")</f>
        <v>G-REQ-06657</v>
      </c>
      <c r="B6658" s="11">
        <f>IFERROR(__xludf.DUMMYFUNCTION("""COMPUTED_VALUE"""),46235.125187749414)</f>
        <v>46235.12519</v>
      </c>
      <c r="C6658" s="9">
        <f>IFERROR(__xludf.DUMMYFUNCTION("""COMPUTED_VALUE"""),25439.0)</f>
        <v>25439</v>
      </c>
      <c r="D6658" s="9" t="str">
        <f>IFERROR(__xludf.DUMMYFUNCTION("""COMPUTED_VALUE"""),"Completed")</f>
        <v>Completed</v>
      </c>
    </row>
    <row r="6659">
      <c r="A6659" s="9" t="str">
        <f>IFERROR(__xludf.DUMMYFUNCTION("""COMPUTED_VALUE"""),"G-REQ-06658")</f>
        <v>G-REQ-06658</v>
      </c>
      <c r="B6659" s="11">
        <f>IFERROR(__xludf.DUMMYFUNCTION("""COMPUTED_VALUE"""),46235.18941815038)</f>
        <v>46235.18942</v>
      </c>
      <c r="C6659" s="9">
        <f>IFERROR(__xludf.DUMMYFUNCTION("""COMPUTED_VALUE"""),25441.0)</f>
        <v>25441</v>
      </c>
      <c r="D6659" s="9" t="str">
        <f>IFERROR(__xludf.DUMMYFUNCTION("""COMPUTED_VALUE"""),"Rejected")</f>
        <v>Rejected</v>
      </c>
    </row>
    <row r="6660">
      <c r="A6660" s="9" t="str">
        <f>IFERROR(__xludf.DUMMYFUNCTION("""COMPUTED_VALUE"""),"G-REQ-06659")</f>
        <v>G-REQ-06659</v>
      </c>
      <c r="B6660" s="11">
        <f>IFERROR(__xludf.DUMMYFUNCTION("""COMPUTED_VALUE"""),46235.267537440246)</f>
        <v>46235.26754</v>
      </c>
      <c r="C6660" s="9">
        <f>IFERROR(__xludf.DUMMYFUNCTION("""COMPUTED_VALUE"""),25445.0)</f>
        <v>25445</v>
      </c>
      <c r="D6660" s="9" t="str">
        <f>IFERROR(__xludf.DUMMYFUNCTION("""COMPUTED_VALUE"""),"Completed")</f>
        <v>Completed</v>
      </c>
    </row>
    <row r="6661">
      <c r="A6661" s="9" t="str">
        <f>IFERROR(__xludf.DUMMYFUNCTION("""COMPUTED_VALUE"""),"G-REQ-06660")</f>
        <v>G-REQ-06660</v>
      </c>
      <c r="B6661" s="11">
        <f>IFERROR(__xludf.DUMMYFUNCTION("""COMPUTED_VALUE"""),46235.33871228566)</f>
        <v>46235.33871</v>
      </c>
      <c r="C6661" s="9">
        <f>IFERROR(__xludf.DUMMYFUNCTION("""COMPUTED_VALUE"""),25449.0)</f>
        <v>25449</v>
      </c>
      <c r="D6661" s="9" t="str">
        <f>IFERROR(__xludf.DUMMYFUNCTION("""COMPUTED_VALUE"""),"Completed")</f>
        <v>Completed</v>
      </c>
    </row>
    <row r="6662">
      <c r="A6662" s="9" t="str">
        <f>IFERROR(__xludf.DUMMYFUNCTION("""COMPUTED_VALUE"""),"G-REQ-06661")</f>
        <v>G-REQ-06661</v>
      </c>
      <c r="B6662" s="11">
        <f>IFERROR(__xludf.DUMMYFUNCTION("""COMPUTED_VALUE"""),46235.40988713107)</f>
        <v>46235.40989</v>
      </c>
      <c r="C6662" s="9">
        <f>IFERROR(__xludf.DUMMYFUNCTION("""COMPUTED_VALUE"""),25453.0)</f>
        <v>25453</v>
      </c>
      <c r="D6662" s="9" t="str">
        <f>IFERROR(__xludf.DUMMYFUNCTION("""COMPUTED_VALUE"""),"Completed")</f>
        <v>Completed</v>
      </c>
    </row>
    <row r="6663">
      <c r="A6663" s="9" t="str">
        <f>IFERROR(__xludf.DUMMYFUNCTION("""COMPUTED_VALUE"""),"G-REQ-06662")</f>
        <v>G-REQ-06662</v>
      </c>
      <c r="B6663" s="11">
        <f>IFERROR(__xludf.DUMMYFUNCTION("""COMPUTED_VALUE"""),46235.48106197649)</f>
        <v>46235.48106</v>
      </c>
      <c r="C6663" s="9">
        <f>IFERROR(__xludf.DUMMYFUNCTION("""COMPUTED_VALUE"""),25457.0)</f>
        <v>25457</v>
      </c>
      <c r="D6663" s="9" t="str">
        <f>IFERROR(__xludf.DUMMYFUNCTION("""COMPUTED_VALUE"""),"Completed")</f>
        <v>Completed</v>
      </c>
    </row>
    <row r="6664">
      <c r="A6664" s="9" t="str">
        <f>IFERROR(__xludf.DUMMYFUNCTION("""COMPUTED_VALUE"""),"G-REQ-06663")</f>
        <v>G-REQ-06663</v>
      </c>
      <c r="B6664" s="11">
        <f>IFERROR(__xludf.DUMMYFUNCTION("""COMPUTED_VALUE"""),46235.55223682191)</f>
        <v>46235.55224</v>
      </c>
      <c r="C6664" s="9">
        <f>IFERROR(__xludf.DUMMYFUNCTION("""COMPUTED_VALUE"""),25461.0)</f>
        <v>25461</v>
      </c>
      <c r="D6664" s="9" t="str">
        <f>IFERROR(__xludf.DUMMYFUNCTION("""COMPUTED_VALUE"""),"Completed")</f>
        <v>Completed</v>
      </c>
    </row>
    <row r="6665">
      <c r="A6665" s="9" t="str">
        <f>IFERROR(__xludf.DUMMYFUNCTION("""COMPUTED_VALUE"""),"G-REQ-06664")</f>
        <v>G-REQ-06664</v>
      </c>
      <c r="B6665" s="11">
        <f>IFERROR(__xludf.DUMMYFUNCTION("""COMPUTED_VALUE"""),46235.623411667315)</f>
        <v>46235.62341</v>
      </c>
      <c r="C6665" s="9">
        <f>IFERROR(__xludf.DUMMYFUNCTION("""COMPUTED_VALUE"""),25465.0)</f>
        <v>25465</v>
      </c>
      <c r="D6665" s="9" t="str">
        <f>IFERROR(__xludf.DUMMYFUNCTION("""COMPUTED_VALUE"""),"Completed")</f>
        <v>Completed</v>
      </c>
    </row>
    <row r="6666">
      <c r="A6666" s="9" t="str">
        <f>IFERROR(__xludf.DUMMYFUNCTION("""COMPUTED_VALUE"""),"G-REQ-06665")</f>
        <v>G-REQ-06665</v>
      </c>
      <c r="B6666" s="11">
        <f>IFERROR(__xludf.DUMMYFUNCTION("""COMPUTED_VALUE"""),46235.694586512735)</f>
        <v>46235.69459</v>
      </c>
      <c r="C6666" s="9">
        <f>IFERROR(__xludf.DUMMYFUNCTION("""COMPUTED_VALUE"""),25469.0)</f>
        <v>25469</v>
      </c>
      <c r="D6666" s="9" t="str">
        <f>IFERROR(__xludf.DUMMYFUNCTION("""COMPUTED_VALUE"""),"Completed")</f>
        <v>Completed</v>
      </c>
    </row>
    <row r="6667">
      <c r="A6667" s="9" t="str">
        <f>IFERROR(__xludf.DUMMYFUNCTION("""COMPUTED_VALUE"""),"G-REQ-06666")</f>
        <v>G-REQ-06666</v>
      </c>
      <c r="B6667" s="11">
        <f>IFERROR(__xludf.DUMMYFUNCTION("""COMPUTED_VALUE"""),46235.765761358154)</f>
        <v>46235.76576</v>
      </c>
      <c r="C6667" s="9">
        <f>IFERROR(__xludf.DUMMYFUNCTION("""COMPUTED_VALUE"""),25473.0)</f>
        <v>25473</v>
      </c>
      <c r="D6667" s="9" t="str">
        <f>IFERROR(__xludf.DUMMYFUNCTION("""COMPUTED_VALUE"""),"Completed")</f>
        <v>Completed</v>
      </c>
    </row>
    <row r="6668">
      <c r="A6668" s="9" t="str">
        <f>IFERROR(__xludf.DUMMYFUNCTION("""COMPUTED_VALUE"""),"G-REQ-06667")</f>
        <v>G-REQ-06667</v>
      </c>
      <c r="B6668" s="11">
        <f>IFERROR(__xludf.DUMMYFUNCTION("""COMPUTED_VALUE"""),46235.82999175912)</f>
        <v>46235.82999</v>
      </c>
      <c r="C6668" s="9">
        <f>IFERROR(__xludf.DUMMYFUNCTION("""COMPUTED_VALUE"""),25475.0)</f>
        <v>25475</v>
      </c>
      <c r="D6668" s="9" t="str">
        <f>IFERROR(__xludf.DUMMYFUNCTION("""COMPUTED_VALUE"""),"Rejected")</f>
        <v>Rejected</v>
      </c>
    </row>
    <row r="6669">
      <c r="A6669" s="9" t="str">
        <f>IFERROR(__xludf.DUMMYFUNCTION("""COMPUTED_VALUE"""),"G-REQ-06668")</f>
        <v>G-REQ-06668</v>
      </c>
      <c r="B6669" s="11">
        <f>IFERROR(__xludf.DUMMYFUNCTION("""COMPUTED_VALUE"""),46235.90116660453)</f>
        <v>46235.90117</v>
      </c>
      <c r="C6669" s="9">
        <f>IFERROR(__xludf.DUMMYFUNCTION("""COMPUTED_VALUE"""),25477.0)</f>
        <v>25477</v>
      </c>
      <c r="D6669" s="9" t="str">
        <f>IFERROR(__xludf.DUMMYFUNCTION("""COMPUTED_VALUE"""),"Rejected")</f>
        <v>Rejected</v>
      </c>
    </row>
    <row r="6670">
      <c r="A6670" s="9" t="str">
        <f>IFERROR(__xludf.DUMMYFUNCTION("""COMPUTED_VALUE"""),"G-REQ-06669")</f>
        <v>G-REQ-06669</v>
      </c>
      <c r="B6670" s="11">
        <f>IFERROR(__xludf.DUMMYFUNCTION("""COMPUTED_VALUE"""),46235.9792858944)</f>
        <v>46235.97929</v>
      </c>
      <c r="C6670" s="9">
        <f>IFERROR(__xludf.DUMMYFUNCTION("""COMPUTED_VALUE"""),25481.0)</f>
        <v>25481</v>
      </c>
      <c r="D6670" s="9" t="str">
        <f>IFERROR(__xludf.DUMMYFUNCTION("""COMPUTED_VALUE"""),"Completed")</f>
        <v>Completed</v>
      </c>
    </row>
    <row r="6671">
      <c r="A6671" s="9" t="str">
        <f>IFERROR(__xludf.DUMMYFUNCTION("""COMPUTED_VALUE"""),"G-REQ-06670")</f>
        <v>G-REQ-06670</v>
      </c>
      <c r="B6671" s="11">
        <f>IFERROR(__xludf.DUMMYFUNCTION("""COMPUTED_VALUE"""),46236.05046073981)</f>
        <v>46236.05046</v>
      </c>
      <c r="C6671" s="9">
        <f>IFERROR(__xludf.DUMMYFUNCTION("""COMPUTED_VALUE"""),25485.0)</f>
        <v>25485</v>
      </c>
      <c r="D6671" s="9" t="str">
        <f>IFERROR(__xludf.DUMMYFUNCTION("""COMPUTED_VALUE"""),"Completed")</f>
        <v>Completed</v>
      </c>
    </row>
    <row r="6672">
      <c r="A6672" s="9" t="str">
        <f>IFERROR(__xludf.DUMMYFUNCTION("""COMPUTED_VALUE"""),"G-REQ-06671")</f>
        <v>G-REQ-06671</v>
      </c>
      <c r="B6672" s="11">
        <f>IFERROR(__xludf.DUMMYFUNCTION("""COMPUTED_VALUE"""),46236.11469114078)</f>
        <v>46236.11469</v>
      </c>
      <c r="C6672" s="9">
        <f>IFERROR(__xludf.DUMMYFUNCTION("""COMPUTED_VALUE"""),25487.0)</f>
        <v>25487</v>
      </c>
      <c r="D6672" s="9" t="str">
        <f>IFERROR(__xludf.DUMMYFUNCTION("""COMPUTED_VALUE"""),"Cancelled")</f>
        <v>Cancelled</v>
      </c>
    </row>
    <row r="6673">
      <c r="A6673" s="9" t="str">
        <f>IFERROR(__xludf.DUMMYFUNCTION("""COMPUTED_VALUE"""),"G-REQ-06672")</f>
        <v>G-REQ-06672</v>
      </c>
      <c r="B6673" s="11">
        <f>IFERROR(__xludf.DUMMYFUNCTION("""COMPUTED_VALUE"""),46236.19281043064)</f>
        <v>46236.19281</v>
      </c>
      <c r="C6673" s="9">
        <f>IFERROR(__xludf.DUMMYFUNCTION("""COMPUTED_VALUE"""),25491.0)</f>
        <v>25491</v>
      </c>
      <c r="D6673" s="9" t="str">
        <f>IFERROR(__xludf.DUMMYFUNCTION("""COMPUTED_VALUE"""),"Completed")</f>
        <v>Completed</v>
      </c>
    </row>
    <row r="6674">
      <c r="A6674" s="9" t="str">
        <f>IFERROR(__xludf.DUMMYFUNCTION("""COMPUTED_VALUE"""),"G-REQ-06673")</f>
        <v>G-REQ-06673</v>
      </c>
      <c r="B6674" s="11">
        <f>IFERROR(__xludf.DUMMYFUNCTION("""COMPUTED_VALUE"""),46236.263985276055)</f>
        <v>46236.26399</v>
      </c>
      <c r="C6674" s="9">
        <f>IFERROR(__xludf.DUMMYFUNCTION("""COMPUTED_VALUE"""),25495.0)</f>
        <v>25495</v>
      </c>
      <c r="D6674" s="9" t="str">
        <f>IFERROR(__xludf.DUMMYFUNCTION("""COMPUTED_VALUE"""),"Completed")</f>
        <v>Completed</v>
      </c>
    </row>
    <row r="6675">
      <c r="A6675" s="9" t="str">
        <f>IFERROR(__xludf.DUMMYFUNCTION("""COMPUTED_VALUE"""),"G-REQ-06674")</f>
        <v>G-REQ-06674</v>
      </c>
      <c r="B6675" s="11">
        <f>IFERROR(__xludf.DUMMYFUNCTION("""COMPUTED_VALUE"""),46236.33516012147)</f>
        <v>46236.33516</v>
      </c>
      <c r="C6675" s="9">
        <f>IFERROR(__xludf.DUMMYFUNCTION("""COMPUTED_VALUE"""),25499.0)</f>
        <v>25499</v>
      </c>
      <c r="D6675" s="9" t="str">
        <f>IFERROR(__xludf.DUMMYFUNCTION("""COMPUTED_VALUE"""),"Completed")</f>
        <v>Completed</v>
      </c>
    </row>
    <row r="6676">
      <c r="A6676" s="9" t="str">
        <f>IFERROR(__xludf.DUMMYFUNCTION("""COMPUTED_VALUE"""),"G-REQ-06675")</f>
        <v>G-REQ-06675</v>
      </c>
      <c r="B6676" s="11">
        <f>IFERROR(__xludf.DUMMYFUNCTION("""COMPUTED_VALUE"""),46236.40633496689)</f>
        <v>46236.40633</v>
      </c>
      <c r="C6676" s="9">
        <f>IFERROR(__xludf.DUMMYFUNCTION("""COMPUTED_VALUE"""),25503.0)</f>
        <v>25503</v>
      </c>
      <c r="D6676" s="9" t="str">
        <f>IFERROR(__xludf.DUMMYFUNCTION("""COMPUTED_VALUE"""),"Completed")</f>
        <v>Completed</v>
      </c>
    </row>
    <row r="6677">
      <c r="A6677" s="9" t="str">
        <f>IFERROR(__xludf.DUMMYFUNCTION("""COMPUTED_VALUE"""),"G-REQ-06676")</f>
        <v>G-REQ-06676</v>
      </c>
      <c r="B6677" s="11">
        <f>IFERROR(__xludf.DUMMYFUNCTION("""COMPUTED_VALUE"""),46236.4775098123)</f>
        <v>46236.47751</v>
      </c>
      <c r="C6677" s="9">
        <f>IFERROR(__xludf.DUMMYFUNCTION("""COMPUTED_VALUE"""),25507.0)</f>
        <v>25507</v>
      </c>
      <c r="D6677" s="9" t="str">
        <f>IFERROR(__xludf.DUMMYFUNCTION("""COMPUTED_VALUE"""),"Completed")</f>
        <v>Completed</v>
      </c>
    </row>
    <row r="6678">
      <c r="A6678" s="9" t="str">
        <f>IFERROR(__xludf.DUMMYFUNCTION("""COMPUTED_VALUE"""),"G-REQ-06677")</f>
        <v>G-REQ-06677</v>
      </c>
      <c r="B6678" s="11">
        <f>IFERROR(__xludf.DUMMYFUNCTION("""COMPUTED_VALUE"""),46236.54868465771)</f>
        <v>46236.54868</v>
      </c>
      <c r="C6678" s="9">
        <f>IFERROR(__xludf.DUMMYFUNCTION("""COMPUTED_VALUE"""),25511.0)</f>
        <v>25511</v>
      </c>
      <c r="D6678" s="9" t="str">
        <f>IFERROR(__xludf.DUMMYFUNCTION("""COMPUTED_VALUE"""),"Completed")</f>
        <v>Completed</v>
      </c>
    </row>
    <row r="6679">
      <c r="A6679" s="9" t="str">
        <f>IFERROR(__xludf.DUMMYFUNCTION("""COMPUTED_VALUE"""),"G-REQ-06678")</f>
        <v>G-REQ-06678</v>
      </c>
      <c r="B6679" s="11">
        <f>IFERROR(__xludf.DUMMYFUNCTION("""COMPUTED_VALUE"""),46236.61985950313)</f>
        <v>46236.61986</v>
      </c>
      <c r="C6679" s="9">
        <f>IFERROR(__xludf.DUMMYFUNCTION("""COMPUTED_VALUE"""),25515.0)</f>
        <v>25515</v>
      </c>
      <c r="D6679" s="9" t="str">
        <f>IFERROR(__xludf.DUMMYFUNCTION("""COMPUTED_VALUE"""),"Completed")</f>
        <v>Completed</v>
      </c>
    </row>
    <row r="6680">
      <c r="A6680" s="9" t="str">
        <f>IFERROR(__xludf.DUMMYFUNCTION("""COMPUTED_VALUE"""),"G-REQ-06679")</f>
        <v>G-REQ-06679</v>
      </c>
      <c r="B6680" s="11">
        <f>IFERROR(__xludf.DUMMYFUNCTION("""COMPUTED_VALUE"""),46236.69103434855)</f>
        <v>46236.69103</v>
      </c>
      <c r="C6680" s="9">
        <f>IFERROR(__xludf.DUMMYFUNCTION("""COMPUTED_VALUE"""),25519.0)</f>
        <v>25519</v>
      </c>
      <c r="D6680" s="9" t="str">
        <f>IFERROR(__xludf.DUMMYFUNCTION("""COMPUTED_VALUE"""),"Completed")</f>
        <v>Completed</v>
      </c>
    </row>
    <row r="6681">
      <c r="A6681" s="9" t="str">
        <f>IFERROR(__xludf.DUMMYFUNCTION("""COMPUTED_VALUE"""),"G-REQ-06680")</f>
        <v>G-REQ-06680</v>
      </c>
      <c r="B6681" s="11">
        <f>IFERROR(__xludf.DUMMYFUNCTION("""COMPUTED_VALUE"""),46236.762209193956)</f>
        <v>46236.76221</v>
      </c>
      <c r="C6681" s="9">
        <f>IFERROR(__xludf.DUMMYFUNCTION("""COMPUTED_VALUE"""),25523.0)</f>
        <v>25523</v>
      </c>
      <c r="D6681" s="9" t="str">
        <f>IFERROR(__xludf.DUMMYFUNCTION("""COMPUTED_VALUE"""),"Completed")</f>
        <v>Completed</v>
      </c>
    </row>
    <row r="6682">
      <c r="A6682" s="9" t="str">
        <f>IFERROR(__xludf.DUMMYFUNCTION("""COMPUTED_VALUE"""),"G-REQ-06681")</f>
        <v>G-REQ-06681</v>
      </c>
      <c r="B6682" s="11">
        <f>IFERROR(__xludf.DUMMYFUNCTION("""COMPUTED_VALUE"""),46236.833384039375)</f>
        <v>46236.83338</v>
      </c>
      <c r="C6682" s="9">
        <f>IFERROR(__xludf.DUMMYFUNCTION("""COMPUTED_VALUE"""),25527.0)</f>
        <v>25527</v>
      </c>
      <c r="D6682" s="9" t="str">
        <f>IFERROR(__xludf.DUMMYFUNCTION("""COMPUTED_VALUE"""),"Completed")</f>
        <v>Completed</v>
      </c>
    </row>
    <row r="6683">
      <c r="A6683" s="9" t="str">
        <f>IFERROR(__xludf.DUMMYFUNCTION("""COMPUTED_VALUE"""),"G-REQ-06682")</f>
        <v>G-REQ-06682</v>
      </c>
      <c r="B6683" s="11">
        <f>IFERROR(__xludf.DUMMYFUNCTION("""COMPUTED_VALUE"""),46236.89761444035)</f>
        <v>46236.89761</v>
      </c>
      <c r="C6683" s="9">
        <f>IFERROR(__xludf.DUMMYFUNCTION("""COMPUTED_VALUE"""),25529.0)</f>
        <v>25529</v>
      </c>
      <c r="D6683" s="9" t="str">
        <f>IFERROR(__xludf.DUMMYFUNCTION("""COMPUTED_VALUE"""),"Cancelled")</f>
        <v>Cancelled</v>
      </c>
    </row>
    <row r="6684">
      <c r="A6684" s="9" t="str">
        <f>IFERROR(__xludf.DUMMYFUNCTION("""COMPUTED_VALUE"""),"G-REQ-06683")</f>
        <v>G-REQ-06683</v>
      </c>
      <c r="B6684" s="11">
        <f>IFERROR(__xludf.DUMMYFUNCTION("""COMPUTED_VALUE"""),46236.97573373021)</f>
        <v>46236.97573</v>
      </c>
      <c r="C6684" s="9">
        <f>IFERROR(__xludf.DUMMYFUNCTION("""COMPUTED_VALUE"""),25533.0)</f>
        <v>25533</v>
      </c>
      <c r="D6684" s="9" t="str">
        <f>IFERROR(__xludf.DUMMYFUNCTION("""COMPUTED_VALUE"""),"Completed")</f>
        <v>Completed</v>
      </c>
    </row>
    <row r="6685">
      <c r="A6685" s="9" t="str">
        <f>IFERROR(__xludf.DUMMYFUNCTION("""COMPUTED_VALUE"""),"G-REQ-06684")</f>
        <v>G-REQ-06684</v>
      </c>
      <c r="B6685" s="11">
        <f>IFERROR(__xludf.DUMMYFUNCTION("""COMPUTED_VALUE"""),46237.04690857562)</f>
        <v>46237.04691</v>
      </c>
      <c r="C6685" s="9">
        <f>IFERROR(__xludf.DUMMYFUNCTION("""COMPUTED_VALUE"""),25537.0)</f>
        <v>25537</v>
      </c>
      <c r="D6685" s="9" t="str">
        <f>IFERROR(__xludf.DUMMYFUNCTION("""COMPUTED_VALUE"""),"Completed")</f>
        <v>Completed</v>
      </c>
    </row>
    <row r="6686">
      <c r="A6686" s="9" t="str">
        <f>IFERROR(__xludf.DUMMYFUNCTION("""COMPUTED_VALUE"""),"G-REQ-06685")</f>
        <v>G-REQ-06685</v>
      </c>
      <c r="B6686" s="11">
        <f>IFERROR(__xludf.DUMMYFUNCTION("""COMPUTED_VALUE"""),46237.11808342104)</f>
        <v>46237.11808</v>
      </c>
      <c r="C6686" s="9">
        <f>IFERROR(__xludf.DUMMYFUNCTION("""COMPUTED_VALUE"""),25541.0)</f>
        <v>25541</v>
      </c>
      <c r="D6686" s="9" t="str">
        <f>IFERROR(__xludf.DUMMYFUNCTION("""COMPUTED_VALUE"""),"Completed")</f>
        <v>Completed</v>
      </c>
    </row>
    <row r="6687">
      <c r="A6687" s="9" t="str">
        <f>IFERROR(__xludf.DUMMYFUNCTION("""COMPUTED_VALUE"""),"G-REQ-06686")</f>
        <v>G-REQ-06686</v>
      </c>
      <c r="B6687" s="11">
        <f>IFERROR(__xludf.DUMMYFUNCTION("""COMPUTED_VALUE"""),46237.18925826645)</f>
        <v>46237.18926</v>
      </c>
      <c r="C6687" s="9">
        <f>IFERROR(__xludf.DUMMYFUNCTION("""COMPUTED_VALUE"""),25545.0)</f>
        <v>25545</v>
      </c>
      <c r="D6687" s="9" t="str">
        <f>IFERROR(__xludf.DUMMYFUNCTION("""COMPUTED_VALUE"""),"Completed")</f>
        <v>Completed</v>
      </c>
    </row>
    <row r="6688">
      <c r="A6688" s="9" t="str">
        <f>IFERROR(__xludf.DUMMYFUNCTION("""COMPUTED_VALUE"""),"G-REQ-06687")</f>
        <v>G-REQ-06687</v>
      </c>
      <c r="B6688" s="11">
        <f>IFERROR(__xludf.DUMMYFUNCTION("""COMPUTED_VALUE"""),46237.260433111864)</f>
        <v>46237.26043</v>
      </c>
      <c r="C6688" s="9">
        <f>IFERROR(__xludf.DUMMYFUNCTION("""COMPUTED_VALUE"""),25549.0)</f>
        <v>25549</v>
      </c>
      <c r="D6688" s="9" t="str">
        <f>IFERROR(__xludf.DUMMYFUNCTION("""COMPUTED_VALUE"""),"Completed")</f>
        <v>Completed</v>
      </c>
    </row>
    <row r="6689">
      <c r="A6689" s="9" t="str">
        <f>IFERROR(__xludf.DUMMYFUNCTION("""COMPUTED_VALUE"""),"G-REQ-06688")</f>
        <v>G-REQ-06688</v>
      </c>
      <c r="B6689" s="11">
        <f>IFERROR(__xludf.DUMMYFUNCTION("""COMPUTED_VALUE"""),46237.33160795728)</f>
        <v>46237.33161</v>
      </c>
      <c r="C6689" s="9">
        <f>IFERROR(__xludf.DUMMYFUNCTION("""COMPUTED_VALUE"""),25553.0)</f>
        <v>25553</v>
      </c>
      <c r="D6689" s="9" t="str">
        <f>IFERROR(__xludf.DUMMYFUNCTION("""COMPUTED_VALUE"""),"Completed")</f>
        <v>Completed</v>
      </c>
    </row>
    <row r="6690">
      <c r="A6690" s="9" t="str">
        <f>IFERROR(__xludf.DUMMYFUNCTION("""COMPUTED_VALUE"""),"G-REQ-06689")</f>
        <v>G-REQ-06689</v>
      </c>
      <c r="B6690" s="11">
        <f>IFERROR(__xludf.DUMMYFUNCTION("""COMPUTED_VALUE"""),46237.402782802696)</f>
        <v>46237.40278</v>
      </c>
      <c r="C6690" s="9">
        <f>IFERROR(__xludf.DUMMYFUNCTION("""COMPUTED_VALUE"""),25557.0)</f>
        <v>25557</v>
      </c>
      <c r="D6690" s="9" t="str">
        <f>IFERROR(__xludf.DUMMYFUNCTION("""COMPUTED_VALUE"""),"Completed")</f>
        <v>Completed</v>
      </c>
    </row>
    <row r="6691">
      <c r="A6691" s="9" t="str">
        <f>IFERROR(__xludf.DUMMYFUNCTION("""COMPUTED_VALUE"""),"G-REQ-06690")</f>
        <v>G-REQ-06690</v>
      </c>
      <c r="B6691" s="11">
        <f>IFERROR(__xludf.DUMMYFUNCTION("""COMPUTED_VALUE"""),46237.47395764811)</f>
        <v>46237.47396</v>
      </c>
      <c r="C6691" s="9">
        <f>IFERROR(__xludf.DUMMYFUNCTION("""COMPUTED_VALUE"""),25561.0)</f>
        <v>25561</v>
      </c>
      <c r="D6691" s="9" t="str">
        <f>IFERROR(__xludf.DUMMYFUNCTION("""COMPUTED_VALUE"""),"Completed")</f>
        <v>Completed</v>
      </c>
    </row>
    <row r="6692">
      <c r="A6692" s="9" t="str">
        <f>IFERROR(__xludf.DUMMYFUNCTION("""COMPUTED_VALUE"""),"G-REQ-06691")</f>
        <v>G-REQ-06691</v>
      </c>
      <c r="B6692" s="11">
        <f>IFERROR(__xludf.DUMMYFUNCTION("""COMPUTED_VALUE"""),46237.53818804908)</f>
        <v>46237.53819</v>
      </c>
      <c r="C6692" s="9">
        <f>IFERROR(__xludf.DUMMYFUNCTION("""COMPUTED_VALUE"""),25563.0)</f>
        <v>25563</v>
      </c>
      <c r="D6692" s="9" t="str">
        <f>IFERROR(__xludf.DUMMYFUNCTION("""COMPUTED_VALUE"""),"Cancelled")</f>
        <v>Cancelled</v>
      </c>
    </row>
    <row r="6693">
      <c r="A6693" s="9" t="str">
        <f>IFERROR(__xludf.DUMMYFUNCTION("""COMPUTED_VALUE"""),"G-REQ-06692")</f>
        <v>G-REQ-06692</v>
      </c>
      <c r="B6693" s="11">
        <f>IFERROR(__xludf.DUMMYFUNCTION("""COMPUTED_VALUE"""),46237.609362894495)</f>
        <v>46237.60936</v>
      </c>
      <c r="C6693" s="9">
        <f>IFERROR(__xludf.DUMMYFUNCTION("""COMPUTED_VALUE"""),25565.0)</f>
        <v>25565</v>
      </c>
      <c r="D6693" s="9" t="str">
        <f>IFERROR(__xludf.DUMMYFUNCTION("""COMPUTED_VALUE"""),"Rejected")</f>
        <v>Rejected</v>
      </c>
    </row>
    <row r="6694">
      <c r="A6694" s="9" t="str">
        <f>IFERROR(__xludf.DUMMYFUNCTION("""COMPUTED_VALUE"""),"G-REQ-06693")</f>
        <v>G-REQ-06693</v>
      </c>
      <c r="B6694" s="11">
        <f>IFERROR(__xludf.DUMMYFUNCTION("""COMPUTED_VALUE"""),46237.68748218435)</f>
        <v>46237.68748</v>
      </c>
      <c r="C6694" s="9">
        <f>IFERROR(__xludf.DUMMYFUNCTION("""COMPUTED_VALUE"""),25569.0)</f>
        <v>25569</v>
      </c>
      <c r="D6694" s="9" t="str">
        <f>IFERROR(__xludf.DUMMYFUNCTION("""COMPUTED_VALUE"""),"Completed")</f>
        <v>Completed</v>
      </c>
    </row>
    <row r="6695">
      <c r="A6695" s="9" t="str">
        <f>IFERROR(__xludf.DUMMYFUNCTION("""COMPUTED_VALUE"""),"G-REQ-06694")</f>
        <v>G-REQ-06694</v>
      </c>
      <c r="B6695" s="11">
        <f>IFERROR(__xludf.DUMMYFUNCTION("""COMPUTED_VALUE"""),46237.75865702977)</f>
        <v>46237.75866</v>
      </c>
      <c r="C6695" s="9">
        <f>IFERROR(__xludf.DUMMYFUNCTION("""COMPUTED_VALUE"""),25573.0)</f>
        <v>25573</v>
      </c>
      <c r="D6695" s="9" t="str">
        <f>IFERROR(__xludf.DUMMYFUNCTION("""COMPUTED_VALUE"""),"Completed")</f>
        <v>Completed</v>
      </c>
    </row>
    <row r="6696">
      <c r="A6696" s="9" t="str">
        <f>IFERROR(__xludf.DUMMYFUNCTION("""COMPUTED_VALUE"""),"G-REQ-06695")</f>
        <v>G-REQ-06695</v>
      </c>
      <c r="B6696" s="11">
        <f>IFERROR(__xludf.DUMMYFUNCTION("""COMPUTED_VALUE"""),46237.82983187519)</f>
        <v>46237.82983</v>
      </c>
      <c r="C6696" s="9">
        <f>IFERROR(__xludf.DUMMYFUNCTION("""COMPUTED_VALUE"""),25577.0)</f>
        <v>25577</v>
      </c>
      <c r="D6696" s="9" t="str">
        <f>IFERROR(__xludf.DUMMYFUNCTION("""COMPUTED_VALUE"""),"Completed")</f>
        <v>Completed</v>
      </c>
    </row>
    <row r="6697">
      <c r="A6697" s="9" t="str">
        <f>IFERROR(__xludf.DUMMYFUNCTION("""COMPUTED_VALUE"""),"G-REQ-06696")</f>
        <v>G-REQ-06696</v>
      </c>
      <c r="B6697" s="11">
        <f>IFERROR(__xludf.DUMMYFUNCTION("""COMPUTED_VALUE"""),46237.901006720596)</f>
        <v>46237.90101</v>
      </c>
      <c r="C6697" s="9">
        <f>IFERROR(__xludf.DUMMYFUNCTION("""COMPUTED_VALUE"""),25581.0)</f>
        <v>25581</v>
      </c>
      <c r="D6697" s="9" t="str">
        <f>IFERROR(__xludf.DUMMYFUNCTION("""COMPUTED_VALUE"""),"Completed")</f>
        <v>Completed</v>
      </c>
    </row>
    <row r="6698">
      <c r="A6698" s="9" t="str">
        <f>IFERROR(__xludf.DUMMYFUNCTION("""COMPUTED_VALUE"""),"G-REQ-06697")</f>
        <v>G-REQ-06697</v>
      </c>
      <c r="B6698" s="11">
        <f>IFERROR(__xludf.DUMMYFUNCTION("""COMPUTED_VALUE"""),46237.972181566016)</f>
        <v>46237.97218</v>
      </c>
      <c r="C6698" s="9">
        <f>IFERROR(__xludf.DUMMYFUNCTION("""COMPUTED_VALUE"""),25585.0)</f>
        <v>25585</v>
      </c>
      <c r="D6698" s="9" t="str">
        <f>IFERROR(__xludf.DUMMYFUNCTION("""COMPUTED_VALUE"""),"Completed")</f>
        <v>Completed</v>
      </c>
    </row>
    <row r="6699">
      <c r="A6699" s="9" t="str">
        <f>IFERROR(__xludf.DUMMYFUNCTION("""COMPUTED_VALUE"""),"G-REQ-06698")</f>
        <v>G-REQ-06698</v>
      </c>
      <c r="B6699" s="11">
        <f>IFERROR(__xludf.DUMMYFUNCTION("""COMPUTED_VALUE"""),46238.03641196699)</f>
        <v>46238.03641</v>
      </c>
      <c r="C6699" s="9">
        <f>IFERROR(__xludf.DUMMYFUNCTION("""COMPUTED_VALUE"""),25587.0)</f>
        <v>25587</v>
      </c>
      <c r="D6699" s="9" t="str">
        <f>IFERROR(__xludf.DUMMYFUNCTION("""COMPUTED_VALUE"""),"Rejected")</f>
        <v>Rejected</v>
      </c>
    </row>
    <row r="6700">
      <c r="A6700" s="9" t="str">
        <f>IFERROR(__xludf.DUMMYFUNCTION("""COMPUTED_VALUE"""),"G-REQ-06699")</f>
        <v>G-REQ-06699</v>
      </c>
      <c r="B6700" s="11">
        <f>IFERROR(__xludf.DUMMYFUNCTION("""COMPUTED_VALUE"""),46238.11453125685)</f>
        <v>46238.11453</v>
      </c>
      <c r="C6700" s="9">
        <f>IFERROR(__xludf.DUMMYFUNCTION("""COMPUTED_VALUE"""),25591.0)</f>
        <v>25591</v>
      </c>
      <c r="D6700" s="9" t="str">
        <f>IFERROR(__xludf.DUMMYFUNCTION("""COMPUTED_VALUE"""),"Completed")</f>
        <v>Completed</v>
      </c>
    </row>
    <row r="6701">
      <c r="A6701" s="9" t="str">
        <f>IFERROR(__xludf.DUMMYFUNCTION("""COMPUTED_VALUE"""),"G-REQ-06700")</f>
        <v>G-REQ-06700</v>
      </c>
      <c r="B6701" s="11">
        <f>IFERROR(__xludf.DUMMYFUNCTION("""COMPUTED_VALUE"""),46238.18570610226)</f>
        <v>46238.18571</v>
      </c>
      <c r="C6701" s="9">
        <f>IFERROR(__xludf.DUMMYFUNCTION("""COMPUTED_VALUE"""),25595.0)</f>
        <v>25595</v>
      </c>
      <c r="D6701" s="9" t="str">
        <f>IFERROR(__xludf.DUMMYFUNCTION("""COMPUTED_VALUE"""),"Completed")</f>
        <v>Completed</v>
      </c>
    </row>
    <row r="6702">
      <c r="A6702" s="9" t="str">
        <f>IFERROR(__xludf.DUMMYFUNCTION("""COMPUTED_VALUE"""),"G-REQ-06701")</f>
        <v>G-REQ-06701</v>
      </c>
      <c r="B6702" s="11">
        <f>IFERROR(__xludf.DUMMYFUNCTION("""COMPUTED_VALUE"""),46238.25688094768)</f>
        <v>46238.25688</v>
      </c>
      <c r="C6702" s="9">
        <f>IFERROR(__xludf.DUMMYFUNCTION("""COMPUTED_VALUE"""),25599.0)</f>
        <v>25599</v>
      </c>
      <c r="D6702" s="9" t="str">
        <f>IFERROR(__xludf.DUMMYFUNCTION("""COMPUTED_VALUE"""),"Completed")</f>
        <v>Completed</v>
      </c>
    </row>
    <row r="6703">
      <c r="A6703" s="9" t="str">
        <f>IFERROR(__xludf.DUMMYFUNCTION("""COMPUTED_VALUE"""),"G-REQ-06702")</f>
        <v>G-REQ-06702</v>
      </c>
      <c r="B6703" s="11">
        <f>IFERROR(__xludf.DUMMYFUNCTION("""COMPUTED_VALUE"""),46238.32805579309)</f>
        <v>46238.32806</v>
      </c>
      <c r="C6703" s="9">
        <f>IFERROR(__xludf.DUMMYFUNCTION("""COMPUTED_VALUE"""),25603.0)</f>
        <v>25603</v>
      </c>
      <c r="D6703" s="9" t="str">
        <f>IFERROR(__xludf.DUMMYFUNCTION("""COMPUTED_VALUE"""),"Completed")</f>
        <v>Completed</v>
      </c>
    </row>
    <row r="6704">
      <c r="A6704" s="9" t="str">
        <f>IFERROR(__xludf.DUMMYFUNCTION("""COMPUTED_VALUE"""),"G-REQ-06703")</f>
        <v>G-REQ-06703</v>
      </c>
      <c r="B6704" s="11">
        <f>IFERROR(__xludf.DUMMYFUNCTION("""COMPUTED_VALUE"""),46238.399230638504)</f>
        <v>46238.39923</v>
      </c>
      <c r="C6704" s="9">
        <f>IFERROR(__xludf.DUMMYFUNCTION("""COMPUTED_VALUE"""),25607.0)</f>
        <v>25607</v>
      </c>
      <c r="D6704" s="9" t="str">
        <f>IFERROR(__xludf.DUMMYFUNCTION("""COMPUTED_VALUE"""),"Completed")</f>
        <v>Completed</v>
      </c>
    </row>
    <row r="6705">
      <c r="A6705" s="9" t="str">
        <f>IFERROR(__xludf.DUMMYFUNCTION("""COMPUTED_VALUE"""),"G-REQ-06704")</f>
        <v>G-REQ-06704</v>
      </c>
      <c r="B6705" s="11">
        <f>IFERROR(__xludf.DUMMYFUNCTION("""COMPUTED_VALUE"""),46238.470405483924)</f>
        <v>46238.47041</v>
      </c>
      <c r="C6705" s="9">
        <f>IFERROR(__xludf.DUMMYFUNCTION("""COMPUTED_VALUE"""),25611.0)</f>
        <v>25611</v>
      </c>
      <c r="D6705" s="9" t="str">
        <f>IFERROR(__xludf.DUMMYFUNCTION("""COMPUTED_VALUE"""),"Completed")</f>
        <v>Completed</v>
      </c>
    </row>
    <row r="6706">
      <c r="A6706" s="9" t="str">
        <f>IFERROR(__xludf.DUMMYFUNCTION("""COMPUTED_VALUE"""),"G-REQ-06705")</f>
        <v>G-REQ-06705</v>
      </c>
      <c r="B6706" s="11">
        <f>IFERROR(__xludf.DUMMYFUNCTION("""COMPUTED_VALUE"""),46238.541580329336)</f>
        <v>46238.54158</v>
      </c>
      <c r="C6706" s="9">
        <f>IFERROR(__xludf.DUMMYFUNCTION("""COMPUTED_VALUE"""),25615.0)</f>
        <v>25615</v>
      </c>
      <c r="D6706" s="9" t="str">
        <f>IFERROR(__xludf.DUMMYFUNCTION("""COMPUTED_VALUE"""),"Completed")</f>
        <v>Completed</v>
      </c>
    </row>
    <row r="6707">
      <c r="A6707" s="9" t="str">
        <f>IFERROR(__xludf.DUMMYFUNCTION("""COMPUTED_VALUE"""),"G-REQ-06706")</f>
        <v>G-REQ-06706</v>
      </c>
      <c r="B6707" s="11">
        <f>IFERROR(__xludf.DUMMYFUNCTION("""COMPUTED_VALUE"""),46238.6058107303)</f>
        <v>46238.60581</v>
      </c>
      <c r="C6707" s="9">
        <f>IFERROR(__xludf.DUMMYFUNCTION("""COMPUTED_VALUE"""),25617.0)</f>
        <v>25617</v>
      </c>
      <c r="D6707" s="9" t="str">
        <f>IFERROR(__xludf.DUMMYFUNCTION("""COMPUTED_VALUE"""),"Rejected")</f>
        <v>Rejected</v>
      </c>
    </row>
    <row r="6708">
      <c r="A6708" s="9" t="str">
        <f>IFERROR(__xludf.DUMMYFUNCTION("""COMPUTED_VALUE"""),"G-REQ-06707")</f>
        <v>G-REQ-06707</v>
      </c>
      <c r="B6708" s="11">
        <f>IFERROR(__xludf.DUMMYFUNCTION("""COMPUTED_VALUE"""),46238.68393002017)</f>
        <v>46238.68393</v>
      </c>
      <c r="C6708" s="9">
        <f>IFERROR(__xludf.DUMMYFUNCTION("""COMPUTED_VALUE"""),25621.0)</f>
        <v>25621</v>
      </c>
      <c r="D6708" s="9" t="str">
        <f>IFERROR(__xludf.DUMMYFUNCTION("""COMPUTED_VALUE"""),"Completed")</f>
        <v>Completed</v>
      </c>
    </row>
    <row r="6709">
      <c r="A6709" s="9" t="str">
        <f>IFERROR(__xludf.DUMMYFUNCTION("""COMPUTED_VALUE"""),"G-REQ-06708")</f>
        <v>G-REQ-06708</v>
      </c>
      <c r="B6709" s="11">
        <f>IFERROR(__xludf.DUMMYFUNCTION("""COMPUTED_VALUE"""),46238.75510486558)</f>
        <v>46238.7551</v>
      </c>
      <c r="C6709" s="9">
        <f>IFERROR(__xludf.DUMMYFUNCTION("""COMPUTED_VALUE"""),25625.0)</f>
        <v>25625</v>
      </c>
      <c r="D6709" s="9" t="str">
        <f>IFERROR(__xludf.DUMMYFUNCTION("""COMPUTED_VALUE"""),"Completed")</f>
        <v>Completed</v>
      </c>
    </row>
    <row r="6710">
      <c r="A6710" s="9" t="str">
        <f>IFERROR(__xludf.DUMMYFUNCTION("""COMPUTED_VALUE"""),"G-REQ-06709")</f>
        <v>G-REQ-06709</v>
      </c>
      <c r="B6710" s="11">
        <f>IFERROR(__xludf.DUMMYFUNCTION("""COMPUTED_VALUE"""),46238.826279711)</f>
        <v>46238.82628</v>
      </c>
      <c r="C6710" s="9">
        <f>IFERROR(__xludf.DUMMYFUNCTION("""COMPUTED_VALUE"""),25629.0)</f>
        <v>25629</v>
      </c>
      <c r="D6710" s="9" t="str">
        <f>IFERROR(__xludf.DUMMYFUNCTION("""COMPUTED_VALUE"""),"Completed")</f>
        <v>Completed</v>
      </c>
    </row>
    <row r="6711">
      <c r="A6711" s="9" t="str">
        <f>IFERROR(__xludf.DUMMYFUNCTION("""COMPUTED_VALUE"""),"G-REQ-06710")</f>
        <v>G-REQ-06710</v>
      </c>
      <c r="B6711" s="11">
        <f>IFERROR(__xludf.DUMMYFUNCTION("""COMPUTED_VALUE"""),46238.89745455641)</f>
        <v>46238.89745</v>
      </c>
      <c r="C6711" s="9">
        <f>IFERROR(__xludf.DUMMYFUNCTION("""COMPUTED_VALUE"""),25633.0)</f>
        <v>25633</v>
      </c>
      <c r="D6711" s="9" t="str">
        <f>IFERROR(__xludf.DUMMYFUNCTION("""COMPUTED_VALUE"""),"Completed")</f>
        <v>Completed</v>
      </c>
    </row>
    <row r="6712">
      <c r="A6712" s="9" t="str">
        <f>IFERROR(__xludf.DUMMYFUNCTION("""COMPUTED_VALUE"""),"G-REQ-06711")</f>
        <v>G-REQ-06711</v>
      </c>
      <c r="B6712" s="11">
        <f>IFERROR(__xludf.DUMMYFUNCTION("""COMPUTED_VALUE"""),46238.96862940183)</f>
        <v>46238.96863</v>
      </c>
      <c r="C6712" s="9">
        <f>IFERROR(__xludf.DUMMYFUNCTION("""COMPUTED_VALUE"""),25637.0)</f>
        <v>25637</v>
      </c>
      <c r="D6712" s="9" t="str">
        <f>IFERROR(__xludf.DUMMYFUNCTION("""COMPUTED_VALUE"""),"Completed")</f>
        <v>Completed</v>
      </c>
    </row>
    <row r="6713">
      <c r="A6713" s="9" t="str">
        <f>IFERROR(__xludf.DUMMYFUNCTION("""COMPUTED_VALUE"""),"G-REQ-06712")</f>
        <v>G-REQ-06712</v>
      </c>
      <c r="B6713" s="11">
        <f>IFERROR(__xludf.DUMMYFUNCTION("""COMPUTED_VALUE"""),46239.03285980279)</f>
        <v>46239.03286</v>
      </c>
      <c r="C6713" s="9">
        <f>IFERROR(__xludf.DUMMYFUNCTION("""COMPUTED_VALUE"""),25639.0)</f>
        <v>25639</v>
      </c>
      <c r="D6713" s="9" t="str">
        <f>IFERROR(__xludf.DUMMYFUNCTION("""COMPUTED_VALUE"""),"Cancelled")</f>
        <v>Cancelled</v>
      </c>
    </row>
    <row r="6714">
      <c r="A6714" s="9" t="str">
        <f>IFERROR(__xludf.DUMMYFUNCTION("""COMPUTED_VALUE"""),"G-REQ-06713")</f>
        <v>G-REQ-06713</v>
      </c>
      <c r="B6714" s="11">
        <f>IFERROR(__xludf.DUMMYFUNCTION("""COMPUTED_VALUE"""),46239.11097909266)</f>
        <v>46239.11098</v>
      </c>
      <c r="C6714" s="9">
        <f>IFERROR(__xludf.DUMMYFUNCTION("""COMPUTED_VALUE"""),25643.0)</f>
        <v>25643</v>
      </c>
      <c r="D6714" s="9" t="str">
        <f>IFERROR(__xludf.DUMMYFUNCTION("""COMPUTED_VALUE"""),"Completed")</f>
        <v>Completed</v>
      </c>
    </row>
    <row r="6715">
      <c r="A6715" s="9" t="str">
        <f>IFERROR(__xludf.DUMMYFUNCTION("""COMPUTED_VALUE"""),"G-REQ-06714")</f>
        <v>G-REQ-06714</v>
      </c>
      <c r="B6715" s="11">
        <f>IFERROR(__xludf.DUMMYFUNCTION("""COMPUTED_VALUE"""),46239.182153938076)</f>
        <v>46239.18215</v>
      </c>
      <c r="C6715" s="9">
        <f>IFERROR(__xludf.DUMMYFUNCTION("""COMPUTED_VALUE"""),25647.0)</f>
        <v>25647</v>
      </c>
      <c r="D6715" s="9" t="str">
        <f>IFERROR(__xludf.DUMMYFUNCTION("""COMPUTED_VALUE"""),"Completed")</f>
        <v>Completed</v>
      </c>
    </row>
    <row r="6716">
      <c r="A6716" s="9" t="str">
        <f>IFERROR(__xludf.DUMMYFUNCTION("""COMPUTED_VALUE"""),"G-REQ-06715")</f>
        <v>G-REQ-06715</v>
      </c>
      <c r="B6716" s="11">
        <f>IFERROR(__xludf.DUMMYFUNCTION("""COMPUTED_VALUE"""),46239.24638433904)</f>
        <v>46239.24638</v>
      </c>
      <c r="C6716" s="9">
        <f>IFERROR(__xludf.DUMMYFUNCTION("""COMPUTED_VALUE"""),25649.0)</f>
        <v>25649</v>
      </c>
      <c r="D6716" s="9" t="str">
        <f>IFERROR(__xludf.DUMMYFUNCTION("""COMPUTED_VALUE"""),"Cancelled")</f>
        <v>Cancelled</v>
      </c>
    </row>
    <row r="6717">
      <c r="A6717" s="9" t="str">
        <f>IFERROR(__xludf.DUMMYFUNCTION("""COMPUTED_VALUE"""),"G-REQ-06716")</f>
        <v>G-REQ-06716</v>
      </c>
      <c r="B6717" s="11">
        <f>IFERROR(__xludf.DUMMYFUNCTION("""COMPUTED_VALUE"""),46239.3245036289)</f>
        <v>46239.3245</v>
      </c>
      <c r="C6717" s="9">
        <f>IFERROR(__xludf.DUMMYFUNCTION("""COMPUTED_VALUE"""),25653.0)</f>
        <v>25653</v>
      </c>
      <c r="D6717" s="9" t="str">
        <f>IFERROR(__xludf.DUMMYFUNCTION("""COMPUTED_VALUE"""),"Completed")</f>
        <v>Completed</v>
      </c>
    </row>
    <row r="6718">
      <c r="A6718" s="9" t="str">
        <f>IFERROR(__xludf.DUMMYFUNCTION("""COMPUTED_VALUE"""),"G-REQ-06717")</f>
        <v>G-REQ-06717</v>
      </c>
      <c r="B6718" s="11">
        <f>IFERROR(__xludf.DUMMYFUNCTION("""COMPUTED_VALUE"""),46239.39567847432)</f>
        <v>46239.39568</v>
      </c>
      <c r="C6718" s="9">
        <f>IFERROR(__xludf.DUMMYFUNCTION("""COMPUTED_VALUE"""),25657.0)</f>
        <v>25657</v>
      </c>
      <c r="D6718" s="9" t="str">
        <f>IFERROR(__xludf.DUMMYFUNCTION("""COMPUTED_VALUE"""),"Completed")</f>
        <v>Completed</v>
      </c>
    </row>
    <row r="6719">
      <c r="A6719" s="9" t="str">
        <f>IFERROR(__xludf.DUMMYFUNCTION("""COMPUTED_VALUE"""),"G-REQ-06718")</f>
        <v>G-REQ-06718</v>
      </c>
      <c r="B6719" s="11">
        <f>IFERROR(__xludf.DUMMYFUNCTION("""COMPUTED_VALUE"""),46239.46685331973)</f>
        <v>46239.46685</v>
      </c>
      <c r="C6719" s="9">
        <f>IFERROR(__xludf.DUMMYFUNCTION("""COMPUTED_VALUE"""),25661.0)</f>
        <v>25661</v>
      </c>
      <c r="D6719" s="9" t="str">
        <f>IFERROR(__xludf.DUMMYFUNCTION("""COMPUTED_VALUE"""),"Completed")</f>
        <v>Completed</v>
      </c>
    </row>
    <row r="6720">
      <c r="A6720" s="9" t="str">
        <f>IFERROR(__xludf.DUMMYFUNCTION("""COMPUTED_VALUE"""),"G-REQ-06719")</f>
        <v>G-REQ-06719</v>
      </c>
      <c r="B6720" s="11">
        <f>IFERROR(__xludf.DUMMYFUNCTION("""COMPUTED_VALUE"""),46239.538028165145)</f>
        <v>46239.53803</v>
      </c>
      <c r="C6720" s="9">
        <f>IFERROR(__xludf.DUMMYFUNCTION("""COMPUTED_VALUE"""),25665.0)</f>
        <v>25665</v>
      </c>
      <c r="D6720" s="9" t="str">
        <f>IFERROR(__xludf.DUMMYFUNCTION("""COMPUTED_VALUE"""),"Completed")</f>
        <v>Completed</v>
      </c>
    </row>
    <row r="6721">
      <c r="A6721" s="9" t="str">
        <f>IFERROR(__xludf.DUMMYFUNCTION("""COMPUTED_VALUE"""),"G-REQ-06720")</f>
        <v>G-REQ-06720</v>
      </c>
      <c r="B6721" s="11">
        <f>IFERROR(__xludf.DUMMYFUNCTION("""COMPUTED_VALUE"""),46239.609203010565)</f>
        <v>46239.6092</v>
      </c>
      <c r="C6721" s="9">
        <f>IFERROR(__xludf.DUMMYFUNCTION("""COMPUTED_VALUE"""),25669.0)</f>
        <v>25669</v>
      </c>
      <c r="D6721" s="9" t="str">
        <f>IFERROR(__xludf.DUMMYFUNCTION("""COMPUTED_VALUE"""),"Completed")</f>
        <v>Completed</v>
      </c>
    </row>
    <row r="6722">
      <c r="A6722" s="9" t="str">
        <f>IFERROR(__xludf.DUMMYFUNCTION("""COMPUTED_VALUE"""),"G-REQ-06721")</f>
        <v>G-REQ-06721</v>
      </c>
      <c r="B6722" s="11">
        <f>IFERROR(__xludf.DUMMYFUNCTION("""COMPUTED_VALUE"""),46239.680377855984)</f>
        <v>46239.68038</v>
      </c>
      <c r="C6722" s="9">
        <f>IFERROR(__xludf.DUMMYFUNCTION("""COMPUTED_VALUE"""),25673.0)</f>
        <v>25673</v>
      </c>
      <c r="D6722" s="9" t="str">
        <f>IFERROR(__xludf.DUMMYFUNCTION("""COMPUTED_VALUE"""),"Completed")</f>
        <v>Completed</v>
      </c>
    </row>
    <row r="6723">
      <c r="A6723" s="9" t="str">
        <f>IFERROR(__xludf.DUMMYFUNCTION("""COMPUTED_VALUE"""),"G-REQ-06722")</f>
        <v>G-REQ-06722</v>
      </c>
      <c r="B6723" s="11">
        <f>IFERROR(__xludf.DUMMYFUNCTION("""COMPUTED_VALUE"""),46239.75155270139)</f>
        <v>46239.75155</v>
      </c>
      <c r="C6723" s="9">
        <f>IFERROR(__xludf.DUMMYFUNCTION("""COMPUTED_VALUE"""),25677.0)</f>
        <v>25677</v>
      </c>
      <c r="D6723" s="9" t="str">
        <f>IFERROR(__xludf.DUMMYFUNCTION("""COMPUTED_VALUE"""),"Completed")</f>
        <v>Completed</v>
      </c>
    </row>
    <row r="6724">
      <c r="A6724" s="9" t="str">
        <f>IFERROR(__xludf.DUMMYFUNCTION("""COMPUTED_VALUE"""),"G-REQ-06723")</f>
        <v>G-REQ-06723</v>
      </c>
      <c r="B6724" s="11">
        <f>IFERROR(__xludf.DUMMYFUNCTION("""COMPUTED_VALUE"""),46239.82272754681)</f>
        <v>46239.82273</v>
      </c>
      <c r="C6724" s="9">
        <f>IFERROR(__xludf.DUMMYFUNCTION("""COMPUTED_VALUE"""),25681.0)</f>
        <v>25681</v>
      </c>
      <c r="D6724" s="9" t="str">
        <f>IFERROR(__xludf.DUMMYFUNCTION("""COMPUTED_VALUE"""),"Completed")</f>
        <v>Completed</v>
      </c>
    </row>
    <row r="6725">
      <c r="A6725" s="9" t="str">
        <f>IFERROR(__xludf.DUMMYFUNCTION("""COMPUTED_VALUE"""),"G-REQ-06724")</f>
        <v>G-REQ-06724</v>
      </c>
      <c r="B6725" s="11">
        <f>IFERROR(__xludf.DUMMYFUNCTION("""COMPUTED_VALUE"""),46239.886957947776)</f>
        <v>46239.88696</v>
      </c>
      <c r="C6725" s="9">
        <f>IFERROR(__xludf.DUMMYFUNCTION("""COMPUTED_VALUE"""),25683.0)</f>
        <v>25683</v>
      </c>
      <c r="D6725" s="9" t="str">
        <f>IFERROR(__xludf.DUMMYFUNCTION("""COMPUTED_VALUE"""),"Rejected")</f>
        <v>Rejected</v>
      </c>
    </row>
    <row r="6726">
      <c r="A6726" s="9" t="str">
        <f>IFERROR(__xludf.DUMMYFUNCTION("""COMPUTED_VALUE"""),"G-REQ-06725")</f>
        <v>G-REQ-06725</v>
      </c>
      <c r="B6726" s="11">
        <f>IFERROR(__xludf.DUMMYFUNCTION("""COMPUTED_VALUE"""),46239.96507723764)</f>
        <v>46239.96508</v>
      </c>
      <c r="C6726" s="9">
        <f>IFERROR(__xludf.DUMMYFUNCTION("""COMPUTED_VALUE"""),25687.0)</f>
        <v>25687</v>
      </c>
      <c r="D6726" s="9" t="str">
        <f>IFERROR(__xludf.DUMMYFUNCTION("""COMPUTED_VALUE"""),"Completed")</f>
        <v>Completed</v>
      </c>
    </row>
    <row r="6727">
      <c r="A6727" s="9" t="str">
        <f>IFERROR(__xludf.DUMMYFUNCTION("""COMPUTED_VALUE"""),"G-REQ-06726")</f>
        <v>G-REQ-06726</v>
      </c>
      <c r="B6727" s="11">
        <f>IFERROR(__xludf.DUMMYFUNCTION("""COMPUTED_VALUE"""),46240.03625208305)</f>
        <v>46240.03625</v>
      </c>
      <c r="C6727" s="9">
        <f>IFERROR(__xludf.DUMMYFUNCTION("""COMPUTED_VALUE"""),25691.0)</f>
        <v>25691</v>
      </c>
      <c r="D6727" s="9" t="str">
        <f>IFERROR(__xludf.DUMMYFUNCTION("""COMPUTED_VALUE"""),"Completed")</f>
        <v>Completed</v>
      </c>
    </row>
    <row r="6728">
      <c r="A6728" s="9" t="str">
        <f>IFERROR(__xludf.DUMMYFUNCTION("""COMPUTED_VALUE"""),"G-REQ-06727")</f>
        <v>G-REQ-06727</v>
      </c>
      <c r="B6728" s="11">
        <f>IFERROR(__xludf.DUMMYFUNCTION("""COMPUTED_VALUE"""),46240.10742692847)</f>
        <v>46240.10743</v>
      </c>
      <c r="C6728" s="9">
        <f>IFERROR(__xludf.DUMMYFUNCTION("""COMPUTED_VALUE"""),25695.0)</f>
        <v>25695</v>
      </c>
      <c r="D6728" s="9" t="str">
        <f>IFERROR(__xludf.DUMMYFUNCTION("""COMPUTED_VALUE"""),"Completed")</f>
        <v>Completed</v>
      </c>
    </row>
    <row r="6729">
      <c r="A6729" s="9" t="str">
        <f>IFERROR(__xludf.DUMMYFUNCTION("""COMPUTED_VALUE"""),"G-REQ-06728")</f>
        <v>G-REQ-06728</v>
      </c>
      <c r="B6729" s="11">
        <f>IFERROR(__xludf.DUMMYFUNCTION("""COMPUTED_VALUE"""),46240.178601773885)</f>
        <v>46240.1786</v>
      </c>
      <c r="C6729" s="9">
        <f>IFERROR(__xludf.DUMMYFUNCTION("""COMPUTED_VALUE"""),25699.0)</f>
        <v>25699</v>
      </c>
      <c r="D6729" s="9" t="str">
        <f>IFERROR(__xludf.DUMMYFUNCTION("""COMPUTED_VALUE"""),"Completed")</f>
        <v>Completed</v>
      </c>
    </row>
    <row r="6730">
      <c r="A6730" s="9" t="str">
        <f>IFERROR(__xludf.DUMMYFUNCTION("""COMPUTED_VALUE"""),"G-REQ-06729")</f>
        <v>G-REQ-06729</v>
      </c>
      <c r="B6730" s="11">
        <f>IFERROR(__xludf.DUMMYFUNCTION("""COMPUTED_VALUE"""),46240.2497766193)</f>
        <v>46240.24978</v>
      </c>
      <c r="C6730" s="9">
        <f>IFERROR(__xludf.DUMMYFUNCTION("""COMPUTED_VALUE"""),25703.0)</f>
        <v>25703</v>
      </c>
      <c r="D6730" s="9" t="str">
        <f>IFERROR(__xludf.DUMMYFUNCTION("""COMPUTED_VALUE"""),"Completed")</f>
        <v>Completed</v>
      </c>
    </row>
    <row r="6731">
      <c r="A6731" s="9" t="str">
        <f>IFERROR(__xludf.DUMMYFUNCTION("""COMPUTED_VALUE"""),"G-REQ-06730")</f>
        <v>G-REQ-06730</v>
      </c>
      <c r="B6731" s="11">
        <f>IFERROR(__xludf.DUMMYFUNCTION("""COMPUTED_VALUE"""),46240.31400702027)</f>
        <v>46240.31401</v>
      </c>
      <c r="C6731" s="9">
        <f>IFERROR(__xludf.DUMMYFUNCTION("""COMPUTED_VALUE"""),25705.0)</f>
        <v>25705</v>
      </c>
      <c r="D6731" s="9" t="str">
        <f>IFERROR(__xludf.DUMMYFUNCTION("""COMPUTED_VALUE"""),"Rejected")</f>
        <v>Rejected</v>
      </c>
    </row>
    <row r="6732">
      <c r="A6732" s="9" t="str">
        <f>IFERROR(__xludf.DUMMYFUNCTION("""COMPUTED_VALUE"""),"G-REQ-06731")</f>
        <v>G-REQ-06731</v>
      </c>
      <c r="B6732" s="11">
        <f>IFERROR(__xludf.DUMMYFUNCTION("""COMPUTED_VALUE"""),46240.39212631013)</f>
        <v>46240.39213</v>
      </c>
      <c r="C6732" s="9">
        <f>IFERROR(__xludf.DUMMYFUNCTION("""COMPUTED_VALUE"""),25709.0)</f>
        <v>25709</v>
      </c>
      <c r="D6732" s="9" t="str">
        <f>IFERROR(__xludf.DUMMYFUNCTION("""COMPUTED_VALUE"""),"Completed")</f>
        <v>Completed</v>
      </c>
    </row>
    <row r="6733">
      <c r="A6733" s="9" t="str">
        <f>IFERROR(__xludf.DUMMYFUNCTION("""COMPUTED_VALUE"""),"G-REQ-06732")</f>
        <v>G-REQ-06732</v>
      </c>
      <c r="B6733" s="11">
        <f>IFERROR(__xludf.DUMMYFUNCTION("""COMPUTED_VALUE"""),46240.46330115554)</f>
        <v>46240.4633</v>
      </c>
      <c r="C6733" s="9">
        <f>IFERROR(__xludf.DUMMYFUNCTION("""COMPUTED_VALUE"""),25713.0)</f>
        <v>25713</v>
      </c>
      <c r="D6733" s="9" t="str">
        <f>IFERROR(__xludf.DUMMYFUNCTION("""COMPUTED_VALUE"""),"Completed")</f>
        <v>Completed</v>
      </c>
    </row>
    <row r="6734">
      <c r="A6734" s="9" t="str">
        <f>IFERROR(__xludf.DUMMYFUNCTION("""COMPUTED_VALUE"""),"G-REQ-06733")</f>
        <v>G-REQ-06733</v>
      </c>
      <c r="B6734" s="11">
        <f>IFERROR(__xludf.DUMMYFUNCTION("""COMPUTED_VALUE"""),46240.53447600096)</f>
        <v>46240.53448</v>
      </c>
      <c r="C6734" s="9">
        <f>IFERROR(__xludf.DUMMYFUNCTION("""COMPUTED_VALUE"""),25717.0)</f>
        <v>25717</v>
      </c>
      <c r="D6734" s="9" t="str">
        <f>IFERROR(__xludf.DUMMYFUNCTION("""COMPUTED_VALUE"""),"Completed")</f>
        <v>Completed</v>
      </c>
    </row>
    <row r="6735">
      <c r="A6735" s="9" t="str">
        <f>IFERROR(__xludf.DUMMYFUNCTION("""COMPUTED_VALUE"""),"G-REQ-06734")</f>
        <v>G-REQ-06734</v>
      </c>
      <c r="B6735" s="11">
        <f>IFERROR(__xludf.DUMMYFUNCTION("""COMPUTED_VALUE"""),46240.60565084637)</f>
        <v>46240.60565</v>
      </c>
      <c r="C6735" s="9">
        <f>IFERROR(__xludf.DUMMYFUNCTION("""COMPUTED_VALUE"""),25721.0)</f>
        <v>25721</v>
      </c>
      <c r="D6735" s="9" t="str">
        <f>IFERROR(__xludf.DUMMYFUNCTION("""COMPUTED_VALUE"""),"Completed")</f>
        <v>Completed</v>
      </c>
    </row>
    <row r="6736">
      <c r="A6736" s="9" t="str">
        <f>IFERROR(__xludf.DUMMYFUNCTION("""COMPUTED_VALUE"""),"G-REQ-06735")</f>
        <v>G-REQ-06735</v>
      </c>
      <c r="B6736" s="11">
        <f>IFERROR(__xludf.DUMMYFUNCTION("""COMPUTED_VALUE"""),46240.676825691786)</f>
        <v>46240.67683</v>
      </c>
      <c r="C6736" s="9">
        <f>IFERROR(__xludf.DUMMYFUNCTION("""COMPUTED_VALUE"""),25725.0)</f>
        <v>25725</v>
      </c>
      <c r="D6736" s="9" t="str">
        <f>IFERROR(__xludf.DUMMYFUNCTION("""COMPUTED_VALUE"""),"Completed")</f>
        <v>Completed</v>
      </c>
    </row>
    <row r="6737">
      <c r="A6737" s="9" t="str">
        <f>IFERROR(__xludf.DUMMYFUNCTION("""COMPUTED_VALUE"""),"G-REQ-06736")</f>
        <v>G-REQ-06736</v>
      </c>
      <c r="B6737" s="11">
        <f>IFERROR(__xludf.DUMMYFUNCTION("""COMPUTED_VALUE"""),46240.748000537205)</f>
        <v>46240.748</v>
      </c>
      <c r="C6737" s="9">
        <f>IFERROR(__xludf.DUMMYFUNCTION("""COMPUTED_VALUE"""),25729.0)</f>
        <v>25729</v>
      </c>
      <c r="D6737" s="9" t="str">
        <f>IFERROR(__xludf.DUMMYFUNCTION("""COMPUTED_VALUE"""),"Completed")</f>
        <v>Completed</v>
      </c>
    </row>
    <row r="6738">
      <c r="A6738" s="9" t="str">
        <f>IFERROR(__xludf.DUMMYFUNCTION("""COMPUTED_VALUE"""),"G-REQ-06737")</f>
        <v>G-REQ-06737</v>
      </c>
      <c r="B6738" s="11">
        <f>IFERROR(__xludf.DUMMYFUNCTION("""COMPUTED_VALUE"""),46240.819175382625)</f>
        <v>46240.81918</v>
      </c>
      <c r="C6738" s="9">
        <f>IFERROR(__xludf.DUMMYFUNCTION("""COMPUTED_VALUE"""),25733.0)</f>
        <v>25733</v>
      </c>
      <c r="D6738" s="9" t="str">
        <f>IFERROR(__xludf.DUMMYFUNCTION("""COMPUTED_VALUE"""),"Completed")</f>
        <v>Completed</v>
      </c>
    </row>
    <row r="6739">
      <c r="A6739" s="9" t="str">
        <f>IFERROR(__xludf.DUMMYFUNCTION("""COMPUTED_VALUE"""),"G-REQ-06738")</f>
        <v>G-REQ-06738</v>
      </c>
      <c r="B6739" s="11">
        <f>IFERROR(__xludf.DUMMYFUNCTION("""COMPUTED_VALUE"""),46240.89035022803)</f>
        <v>46240.89035</v>
      </c>
      <c r="C6739" s="9">
        <f>IFERROR(__xludf.DUMMYFUNCTION("""COMPUTED_VALUE"""),25737.0)</f>
        <v>25737</v>
      </c>
      <c r="D6739" s="9" t="str">
        <f>IFERROR(__xludf.DUMMYFUNCTION("""COMPUTED_VALUE"""),"Completed")</f>
        <v>Completed</v>
      </c>
    </row>
    <row r="6740">
      <c r="A6740" s="9" t="str">
        <f>IFERROR(__xludf.DUMMYFUNCTION("""COMPUTED_VALUE"""),"G-REQ-06739")</f>
        <v>G-REQ-06739</v>
      </c>
      <c r="B6740" s="11">
        <f>IFERROR(__xludf.DUMMYFUNCTION("""COMPUTED_VALUE"""),46240.96152507345)</f>
        <v>46240.96153</v>
      </c>
      <c r="C6740" s="9">
        <f>IFERROR(__xludf.DUMMYFUNCTION("""COMPUTED_VALUE"""),25741.0)</f>
        <v>25741</v>
      </c>
      <c r="D6740" s="9" t="str">
        <f>IFERROR(__xludf.DUMMYFUNCTION("""COMPUTED_VALUE"""),"Completed")</f>
        <v>Completed</v>
      </c>
    </row>
    <row r="6741">
      <c r="A6741" s="9" t="str">
        <f>IFERROR(__xludf.DUMMYFUNCTION("""COMPUTED_VALUE"""),"G-REQ-06740")</f>
        <v>G-REQ-06740</v>
      </c>
      <c r="B6741" s="11">
        <f>IFERROR(__xludf.DUMMYFUNCTION("""COMPUTED_VALUE"""),46241.03269991887)</f>
        <v>46241.0327</v>
      </c>
      <c r="C6741" s="9">
        <f>IFERROR(__xludf.DUMMYFUNCTION("""COMPUTED_VALUE"""),25745.0)</f>
        <v>25745</v>
      </c>
      <c r="D6741" s="9" t="str">
        <f>IFERROR(__xludf.DUMMYFUNCTION("""COMPUTED_VALUE"""),"Completed")</f>
        <v>Completed</v>
      </c>
    </row>
    <row r="6742">
      <c r="A6742" s="9" t="str">
        <f>IFERROR(__xludf.DUMMYFUNCTION("""COMPUTED_VALUE"""),"G-REQ-06741")</f>
        <v>G-REQ-06741</v>
      </c>
      <c r="B6742" s="11">
        <f>IFERROR(__xludf.DUMMYFUNCTION("""COMPUTED_VALUE"""),46241.10387476428)</f>
        <v>46241.10387</v>
      </c>
      <c r="C6742" s="9">
        <f>IFERROR(__xludf.DUMMYFUNCTION("""COMPUTED_VALUE"""),25749.0)</f>
        <v>25749</v>
      </c>
      <c r="D6742" s="9" t="str">
        <f>IFERROR(__xludf.DUMMYFUNCTION("""COMPUTED_VALUE"""),"Completed")</f>
        <v>Completed</v>
      </c>
    </row>
    <row r="6743">
      <c r="A6743" s="9" t="str">
        <f>IFERROR(__xludf.DUMMYFUNCTION("""COMPUTED_VALUE"""),"G-REQ-06742")</f>
        <v>G-REQ-06742</v>
      </c>
      <c r="B6743" s="11">
        <f>IFERROR(__xludf.DUMMYFUNCTION("""COMPUTED_VALUE"""),46241.175049609694)</f>
        <v>46241.17505</v>
      </c>
      <c r="C6743" s="9">
        <f>IFERROR(__xludf.DUMMYFUNCTION("""COMPUTED_VALUE"""),25753.0)</f>
        <v>25753</v>
      </c>
      <c r="D6743" s="9" t="str">
        <f>IFERROR(__xludf.DUMMYFUNCTION("""COMPUTED_VALUE"""),"Completed")</f>
        <v>Completed</v>
      </c>
    </row>
    <row r="6744">
      <c r="A6744" s="9" t="str">
        <f>IFERROR(__xludf.DUMMYFUNCTION("""COMPUTED_VALUE"""),"G-REQ-06743")</f>
        <v>G-REQ-06743</v>
      </c>
      <c r="B6744" s="11">
        <f>IFERROR(__xludf.DUMMYFUNCTION("""COMPUTED_VALUE"""),46241.24622445511)</f>
        <v>46241.24622</v>
      </c>
      <c r="C6744" s="9">
        <f>IFERROR(__xludf.DUMMYFUNCTION("""COMPUTED_VALUE"""),25757.0)</f>
        <v>25757</v>
      </c>
      <c r="D6744" s="9" t="str">
        <f>IFERROR(__xludf.DUMMYFUNCTION("""COMPUTED_VALUE"""),"Completed")</f>
        <v>Completed</v>
      </c>
    </row>
    <row r="6745">
      <c r="A6745" s="9" t="str">
        <f>IFERROR(__xludf.DUMMYFUNCTION("""COMPUTED_VALUE"""),"G-REQ-06744")</f>
        <v>G-REQ-06744</v>
      </c>
      <c r="B6745" s="11">
        <f>IFERROR(__xludf.DUMMYFUNCTION("""COMPUTED_VALUE"""),46241.317399300526)</f>
        <v>46241.3174</v>
      </c>
      <c r="C6745" s="9">
        <f>IFERROR(__xludf.DUMMYFUNCTION("""COMPUTED_VALUE"""),25761.0)</f>
        <v>25761</v>
      </c>
      <c r="D6745" s="9" t="str">
        <f>IFERROR(__xludf.DUMMYFUNCTION("""COMPUTED_VALUE"""),"Completed")</f>
        <v>Completed</v>
      </c>
    </row>
    <row r="6746">
      <c r="A6746" s="9" t="str">
        <f>IFERROR(__xludf.DUMMYFUNCTION("""COMPUTED_VALUE"""),"G-REQ-06745")</f>
        <v>G-REQ-06745</v>
      </c>
      <c r="B6746" s="11">
        <f>IFERROR(__xludf.DUMMYFUNCTION("""COMPUTED_VALUE"""),46241.38857414594)</f>
        <v>46241.38857</v>
      </c>
      <c r="C6746" s="9">
        <f>IFERROR(__xludf.DUMMYFUNCTION("""COMPUTED_VALUE"""),25765.0)</f>
        <v>25765</v>
      </c>
      <c r="D6746" s="9" t="str">
        <f>IFERROR(__xludf.DUMMYFUNCTION("""COMPUTED_VALUE"""),"Completed")</f>
        <v>Completed</v>
      </c>
    </row>
    <row r="6747">
      <c r="A6747" s="9" t="str">
        <f>IFERROR(__xludf.DUMMYFUNCTION("""COMPUTED_VALUE"""),"G-REQ-06746")</f>
        <v>G-REQ-06746</v>
      </c>
      <c r="B6747" s="11">
        <f>IFERROR(__xludf.DUMMYFUNCTION("""COMPUTED_VALUE"""),46241.45974899136)</f>
        <v>46241.45975</v>
      </c>
      <c r="C6747" s="9">
        <f>IFERROR(__xludf.DUMMYFUNCTION("""COMPUTED_VALUE"""),25769.0)</f>
        <v>25769</v>
      </c>
      <c r="D6747" s="9" t="str">
        <f>IFERROR(__xludf.DUMMYFUNCTION("""COMPUTED_VALUE"""),"Completed")</f>
        <v>Completed</v>
      </c>
    </row>
    <row r="6748">
      <c r="A6748" s="9" t="str">
        <f>IFERROR(__xludf.DUMMYFUNCTION("""COMPUTED_VALUE"""),"G-REQ-06747")</f>
        <v>G-REQ-06747</v>
      </c>
      <c r="B6748" s="11">
        <f>IFERROR(__xludf.DUMMYFUNCTION("""COMPUTED_VALUE"""),46241.53092383678)</f>
        <v>46241.53092</v>
      </c>
      <c r="C6748" s="9">
        <f>IFERROR(__xludf.DUMMYFUNCTION("""COMPUTED_VALUE"""),25773.0)</f>
        <v>25773</v>
      </c>
      <c r="D6748" s="9" t="str">
        <f>IFERROR(__xludf.DUMMYFUNCTION("""COMPUTED_VALUE"""),"Completed")</f>
        <v>Completed</v>
      </c>
    </row>
    <row r="6749">
      <c r="A6749" s="9" t="str">
        <f>IFERROR(__xludf.DUMMYFUNCTION("""COMPUTED_VALUE"""),"G-REQ-06748")</f>
        <v>G-REQ-06748</v>
      </c>
      <c r="B6749" s="11">
        <f>IFERROR(__xludf.DUMMYFUNCTION("""COMPUTED_VALUE"""),46241.60209868218)</f>
        <v>46241.6021</v>
      </c>
      <c r="C6749" s="9">
        <f>IFERROR(__xludf.DUMMYFUNCTION("""COMPUTED_VALUE"""),25777.0)</f>
        <v>25777</v>
      </c>
      <c r="D6749" s="9" t="str">
        <f>IFERROR(__xludf.DUMMYFUNCTION("""COMPUTED_VALUE"""),"Completed")</f>
        <v>Completed</v>
      </c>
    </row>
    <row r="6750">
      <c r="A6750" s="9" t="str">
        <f>IFERROR(__xludf.DUMMYFUNCTION("""COMPUTED_VALUE"""),"G-REQ-06749")</f>
        <v>G-REQ-06749</v>
      </c>
      <c r="B6750" s="11">
        <f>IFERROR(__xludf.DUMMYFUNCTION("""COMPUTED_VALUE"""),46241.6732735276)</f>
        <v>46241.67327</v>
      </c>
      <c r="C6750" s="9">
        <f>IFERROR(__xludf.DUMMYFUNCTION("""COMPUTED_VALUE"""),25781.0)</f>
        <v>25781</v>
      </c>
      <c r="D6750" s="9" t="str">
        <f>IFERROR(__xludf.DUMMYFUNCTION("""COMPUTED_VALUE"""),"Completed")</f>
        <v>Completed</v>
      </c>
    </row>
    <row r="6751">
      <c r="A6751" s="9" t="str">
        <f>IFERROR(__xludf.DUMMYFUNCTION("""COMPUTED_VALUE"""),"G-REQ-06750")</f>
        <v>G-REQ-06750</v>
      </c>
      <c r="B6751" s="11">
        <f>IFERROR(__xludf.DUMMYFUNCTION("""COMPUTED_VALUE"""),46241.744448373014)</f>
        <v>46241.74445</v>
      </c>
      <c r="C6751" s="9">
        <f>IFERROR(__xludf.DUMMYFUNCTION("""COMPUTED_VALUE"""),25785.0)</f>
        <v>25785</v>
      </c>
      <c r="D6751" s="9" t="str">
        <f>IFERROR(__xludf.DUMMYFUNCTION("""COMPUTED_VALUE"""),"Completed")</f>
        <v>Completed</v>
      </c>
    </row>
    <row r="6752">
      <c r="A6752" s="9" t="str">
        <f>IFERROR(__xludf.DUMMYFUNCTION("""COMPUTED_VALUE"""),"G-REQ-06751")</f>
        <v>G-REQ-06751</v>
      </c>
      <c r="B6752" s="11">
        <f>IFERROR(__xludf.DUMMYFUNCTION("""COMPUTED_VALUE"""),46241.815623218434)</f>
        <v>46241.81562</v>
      </c>
      <c r="C6752" s="9">
        <f>IFERROR(__xludf.DUMMYFUNCTION("""COMPUTED_VALUE"""),25789.0)</f>
        <v>25789</v>
      </c>
      <c r="D6752" s="9" t="str">
        <f>IFERROR(__xludf.DUMMYFUNCTION("""COMPUTED_VALUE"""),"Completed")</f>
        <v>Completed</v>
      </c>
    </row>
    <row r="6753">
      <c r="A6753" s="9" t="str">
        <f>IFERROR(__xludf.DUMMYFUNCTION("""COMPUTED_VALUE"""),"G-REQ-06752")</f>
        <v>G-REQ-06752</v>
      </c>
      <c r="B6753" s="11">
        <f>IFERROR(__xludf.DUMMYFUNCTION("""COMPUTED_VALUE"""),46241.886798063846)</f>
        <v>46241.8868</v>
      </c>
      <c r="C6753" s="9">
        <f>IFERROR(__xludf.DUMMYFUNCTION("""COMPUTED_VALUE"""),25793.0)</f>
        <v>25793</v>
      </c>
      <c r="D6753" s="9" t="str">
        <f>IFERROR(__xludf.DUMMYFUNCTION("""COMPUTED_VALUE"""),"Completed")</f>
        <v>Completed</v>
      </c>
    </row>
    <row r="6754">
      <c r="A6754" s="9" t="str">
        <f>IFERROR(__xludf.DUMMYFUNCTION("""COMPUTED_VALUE"""),"G-REQ-06753")</f>
        <v>G-REQ-06753</v>
      </c>
      <c r="B6754" s="11">
        <f>IFERROR(__xludf.DUMMYFUNCTION("""COMPUTED_VALUE"""),46241.95102846482)</f>
        <v>46241.95103</v>
      </c>
      <c r="C6754" s="9">
        <f>IFERROR(__xludf.DUMMYFUNCTION("""COMPUTED_VALUE"""),25795.0)</f>
        <v>25795</v>
      </c>
      <c r="D6754" s="9" t="str">
        <f>IFERROR(__xludf.DUMMYFUNCTION("""COMPUTED_VALUE"""),"Cancelled")</f>
        <v>Cancelled</v>
      </c>
    </row>
    <row r="6755">
      <c r="A6755" s="9" t="str">
        <f>IFERROR(__xludf.DUMMYFUNCTION("""COMPUTED_VALUE"""),"G-REQ-06754")</f>
        <v>G-REQ-06754</v>
      </c>
      <c r="B6755" s="11">
        <f>IFERROR(__xludf.DUMMYFUNCTION("""COMPUTED_VALUE"""),46242.02914775467)</f>
        <v>46242.02915</v>
      </c>
      <c r="C6755" s="9">
        <f>IFERROR(__xludf.DUMMYFUNCTION("""COMPUTED_VALUE"""),25799.0)</f>
        <v>25799</v>
      </c>
      <c r="D6755" s="9" t="str">
        <f>IFERROR(__xludf.DUMMYFUNCTION("""COMPUTED_VALUE"""),"Completed")</f>
        <v>Completed</v>
      </c>
    </row>
    <row r="6756">
      <c r="A6756" s="9" t="str">
        <f>IFERROR(__xludf.DUMMYFUNCTION("""COMPUTED_VALUE"""),"G-REQ-06755")</f>
        <v>G-REQ-06755</v>
      </c>
      <c r="B6756" s="11">
        <f>IFERROR(__xludf.DUMMYFUNCTION("""COMPUTED_VALUE"""),46242.10032260009)</f>
        <v>46242.10032</v>
      </c>
      <c r="C6756" s="9">
        <f>IFERROR(__xludf.DUMMYFUNCTION("""COMPUTED_VALUE"""),25803.0)</f>
        <v>25803</v>
      </c>
      <c r="D6756" s="9" t="str">
        <f>IFERROR(__xludf.DUMMYFUNCTION("""COMPUTED_VALUE"""),"Completed")</f>
        <v>Completed</v>
      </c>
    </row>
    <row r="6757">
      <c r="A6757" s="9" t="str">
        <f>IFERROR(__xludf.DUMMYFUNCTION("""COMPUTED_VALUE"""),"G-REQ-06756")</f>
        <v>G-REQ-06756</v>
      </c>
      <c r="B6757" s="11">
        <f>IFERROR(__xludf.DUMMYFUNCTION("""COMPUTED_VALUE"""),46242.17149744551)</f>
        <v>46242.1715</v>
      </c>
      <c r="C6757" s="9">
        <f>IFERROR(__xludf.DUMMYFUNCTION("""COMPUTED_VALUE"""),25807.0)</f>
        <v>25807</v>
      </c>
      <c r="D6757" s="9" t="str">
        <f>IFERROR(__xludf.DUMMYFUNCTION("""COMPUTED_VALUE"""),"Completed")</f>
        <v>Completed</v>
      </c>
    </row>
    <row r="6758">
      <c r="A6758" s="9" t="str">
        <f>IFERROR(__xludf.DUMMYFUNCTION("""COMPUTED_VALUE"""),"G-REQ-06757")</f>
        <v>G-REQ-06757</v>
      </c>
      <c r="B6758" s="11">
        <f>IFERROR(__xludf.DUMMYFUNCTION("""COMPUTED_VALUE"""),46242.24267229092)</f>
        <v>46242.24267</v>
      </c>
      <c r="C6758" s="9">
        <f>IFERROR(__xludf.DUMMYFUNCTION("""COMPUTED_VALUE"""),25811.0)</f>
        <v>25811</v>
      </c>
      <c r="D6758" s="9" t="str">
        <f>IFERROR(__xludf.DUMMYFUNCTION("""COMPUTED_VALUE"""),"Completed")</f>
        <v>Completed</v>
      </c>
    </row>
    <row r="6759">
      <c r="A6759" s="9" t="str">
        <f>IFERROR(__xludf.DUMMYFUNCTION("""COMPUTED_VALUE"""),"G-REQ-06758")</f>
        <v>G-REQ-06758</v>
      </c>
      <c r="B6759" s="11">
        <f>IFERROR(__xludf.DUMMYFUNCTION("""COMPUTED_VALUE"""),46242.313847136335)</f>
        <v>46242.31385</v>
      </c>
      <c r="C6759" s="9">
        <f>IFERROR(__xludf.DUMMYFUNCTION("""COMPUTED_VALUE"""),25815.0)</f>
        <v>25815</v>
      </c>
      <c r="D6759" s="9" t="str">
        <f>IFERROR(__xludf.DUMMYFUNCTION("""COMPUTED_VALUE"""),"Completed")</f>
        <v>Completed</v>
      </c>
    </row>
    <row r="6760">
      <c r="A6760" s="9" t="str">
        <f>IFERROR(__xludf.DUMMYFUNCTION("""COMPUTED_VALUE"""),"G-REQ-06759")</f>
        <v>G-REQ-06759</v>
      </c>
      <c r="B6760" s="11">
        <f>IFERROR(__xludf.DUMMYFUNCTION("""COMPUTED_VALUE"""),46242.385021981754)</f>
        <v>46242.38502</v>
      </c>
      <c r="C6760" s="9">
        <f>IFERROR(__xludf.DUMMYFUNCTION("""COMPUTED_VALUE"""),25819.0)</f>
        <v>25819</v>
      </c>
      <c r="D6760" s="9" t="str">
        <f>IFERROR(__xludf.DUMMYFUNCTION("""COMPUTED_VALUE"""),"Completed")</f>
        <v>Completed</v>
      </c>
    </row>
    <row r="6761">
      <c r="A6761" s="9" t="str">
        <f>IFERROR(__xludf.DUMMYFUNCTION("""COMPUTED_VALUE"""),"G-REQ-06760")</f>
        <v>G-REQ-06760</v>
      </c>
      <c r="B6761" s="11">
        <f>IFERROR(__xludf.DUMMYFUNCTION("""COMPUTED_VALUE"""),46242.44925238272)</f>
        <v>46242.44925</v>
      </c>
      <c r="C6761" s="9">
        <f>IFERROR(__xludf.DUMMYFUNCTION("""COMPUTED_VALUE"""),25821.0)</f>
        <v>25821</v>
      </c>
      <c r="D6761" s="9" t="str">
        <f>IFERROR(__xludf.DUMMYFUNCTION("""COMPUTED_VALUE"""),"Cancelled")</f>
        <v>Cancelled</v>
      </c>
    </row>
    <row r="6762">
      <c r="A6762" s="9" t="str">
        <f>IFERROR(__xludf.DUMMYFUNCTION("""COMPUTED_VALUE"""),"G-REQ-06761")</f>
        <v>G-REQ-06761</v>
      </c>
      <c r="B6762" s="11">
        <f>IFERROR(__xludf.DUMMYFUNCTION("""COMPUTED_VALUE"""),46242.52737167258)</f>
        <v>46242.52737</v>
      </c>
      <c r="C6762" s="9">
        <f>IFERROR(__xludf.DUMMYFUNCTION("""COMPUTED_VALUE"""),25825.0)</f>
        <v>25825</v>
      </c>
      <c r="D6762" s="9" t="str">
        <f>IFERROR(__xludf.DUMMYFUNCTION("""COMPUTED_VALUE"""),"Completed")</f>
        <v>Completed</v>
      </c>
    </row>
    <row r="6763">
      <c r="A6763" s="9" t="str">
        <f>IFERROR(__xludf.DUMMYFUNCTION("""COMPUTED_VALUE"""),"G-REQ-06762")</f>
        <v>G-REQ-06762</v>
      </c>
      <c r="B6763" s="11">
        <f>IFERROR(__xludf.DUMMYFUNCTION("""COMPUTED_VALUE"""),46242.598546518)</f>
        <v>46242.59855</v>
      </c>
      <c r="C6763" s="9">
        <f>IFERROR(__xludf.DUMMYFUNCTION("""COMPUTED_VALUE"""),25829.0)</f>
        <v>25829</v>
      </c>
      <c r="D6763" s="9" t="str">
        <f>IFERROR(__xludf.DUMMYFUNCTION("""COMPUTED_VALUE"""),"Completed")</f>
        <v>Completed</v>
      </c>
    </row>
    <row r="6764">
      <c r="A6764" s="9" t="str">
        <f>IFERROR(__xludf.DUMMYFUNCTION("""COMPUTED_VALUE"""),"G-REQ-06763")</f>
        <v>G-REQ-06763</v>
      </c>
      <c r="B6764" s="11">
        <f>IFERROR(__xludf.DUMMYFUNCTION("""COMPUTED_VALUE"""),46242.66972136342)</f>
        <v>46242.66972</v>
      </c>
      <c r="C6764" s="9">
        <f>IFERROR(__xludf.DUMMYFUNCTION("""COMPUTED_VALUE"""),25833.0)</f>
        <v>25833</v>
      </c>
      <c r="D6764" s="9" t="str">
        <f>IFERROR(__xludf.DUMMYFUNCTION("""COMPUTED_VALUE"""),"Completed")</f>
        <v>Completed</v>
      </c>
    </row>
    <row r="6765">
      <c r="A6765" s="9" t="str">
        <f>IFERROR(__xludf.DUMMYFUNCTION("""COMPUTED_VALUE"""),"G-REQ-06764")</f>
        <v>G-REQ-06764</v>
      </c>
      <c r="B6765" s="11">
        <f>IFERROR(__xludf.DUMMYFUNCTION("""COMPUTED_VALUE"""),46242.74089620882)</f>
        <v>46242.7409</v>
      </c>
      <c r="C6765" s="9">
        <f>IFERROR(__xludf.DUMMYFUNCTION("""COMPUTED_VALUE"""),25837.0)</f>
        <v>25837</v>
      </c>
      <c r="D6765" s="9" t="str">
        <f>IFERROR(__xludf.DUMMYFUNCTION("""COMPUTED_VALUE"""),"Completed")</f>
        <v>Completed</v>
      </c>
    </row>
    <row r="6766">
      <c r="A6766" s="9" t="str">
        <f>IFERROR(__xludf.DUMMYFUNCTION("""COMPUTED_VALUE"""),"G-REQ-06765")</f>
        <v>G-REQ-06765</v>
      </c>
      <c r="B6766" s="11">
        <f>IFERROR(__xludf.DUMMYFUNCTION("""COMPUTED_VALUE"""),46242.81207105424)</f>
        <v>46242.81207</v>
      </c>
      <c r="C6766" s="9">
        <f>IFERROR(__xludf.DUMMYFUNCTION("""COMPUTED_VALUE"""),25841.0)</f>
        <v>25841</v>
      </c>
      <c r="D6766" s="9" t="str">
        <f>IFERROR(__xludf.DUMMYFUNCTION("""COMPUTED_VALUE"""),"Completed")</f>
        <v>Completed</v>
      </c>
    </row>
    <row r="6767">
      <c r="A6767" s="9" t="str">
        <f>IFERROR(__xludf.DUMMYFUNCTION("""COMPUTED_VALUE"""),"G-REQ-06766")</f>
        <v>G-REQ-06766</v>
      </c>
      <c r="B6767" s="11">
        <f>IFERROR(__xludf.DUMMYFUNCTION("""COMPUTED_VALUE"""),46242.883245899655)</f>
        <v>46242.88325</v>
      </c>
      <c r="C6767" s="9">
        <f>IFERROR(__xludf.DUMMYFUNCTION("""COMPUTED_VALUE"""),25845.0)</f>
        <v>25845</v>
      </c>
      <c r="D6767" s="9" t="str">
        <f>IFERROR(__xludf.DUMMYFUNCTION("""COMPUTED_VALUE"""),"Completed")</f>
        <v>Completed</v>
      </c>
    </row>
    <row r="6768">
      <c r="A6768" s="9" t="str">
        <f>IFERROR(__xludf.DUMMYFUNCTION("""COMPUTED_VALUE"""),"G-REQ-06767")</f>
        <v>G-REQ-06767</v>
      </c>
      <c r="B6768" s="11">
        <f>IFERROR(__xludf.DUMMYFUNCTION("""COMPUTED_VALUE"""),46242.954420745074)</f>
        <v>46242.95442</v>
      </c>
      <c r="C6768" s="9">
        <f>IFERROR(__xludf.DUMMYFUNCTION("""COMPUTED_VALUE"""),25849.0)</f>
        <v>25849</v>
      </c>
      <c r="D6768" s="9" t="str">
        <f>IFERROR(__xludf.DUMMYFUNCTION("""COMPUTED_VALUE"""),"Completed")</f>
        <v>Completed</v>
      </c>
    </row>
    <row r="6769">
      <c r="A6769" s="9" t="str">
        <f>IFERROR(__xludf.DUMMYFUNCTION("""COMPUTED_VALUE"""),"G-REQ-06768")</f>
        <v>G-REQ-06768</v>
      </c>
      <c r="B6769" s="11">
        <f>IFERROR(__xludf.DUMMYFUNCTION("""COMPUTED_VALUE"""),46243.02559559049)</f>
        <v>46243.0256</v>
      </c>
      <c r="C6769" s="9">
        <f>IFERROR(__xludf.DUMMYFUNCTION("""COMPUTED_VALUE"""),25853.0)</f>
        <v>25853</v>
      </c>
      <c r="D6769" s="9" t="str">
        <f>IFERROR(__xludf.DUMMYFUNCTION("""COMPUTED_VALUE"""),"Completed")</f>
        <v>Completed</v>
      </c>
    </row>
    <row r="6770">
      <c r="A6770" s="9" t="str">
        <f>IFERROR(__xludf.DUMMYFUNCTION("""COMPUTED_VALUE"""),"G-REQ-06769")</f>
        <v>G-REQ-06769</v>
      </c>
      <c r="B6770" s="11">
        <f>IFERROR(__xludf.DUMMYFUNCTION("""COMPUTED_VALUE"""),46243.09677043591)</f>
        <v>46243.09677</v>
      </c>
      <c r="C6770" s="9">
        <f>IFERROR(__xludf.DUMMYFUNCTION("""COMPUTED_VALUE"""),25857.0)</f>
        <v>25857</v>
      </c>
      <c r="D6770" s="9" t="str">
        <f>IFERROR(__xludf.DUMMYFUNCTION("""COMPUTED_VALUE"""),"Completed")</f>
        <v>Completed</v>
      </c>
    </row>
    <row r="6771">
      <c r="A6771" s="9" t="str">
        <f>IFERROR(__xludf.DUMMYFUNCTION("""COMPUTED_VALUE"""),"G-REQ-06770")</f>
        <v>G-REQ-06770</v>
      </c>
      <c r="B6771" s="11">
        <f>IFERROR(__xludf.DUMMYFUNCTION("""COMPUTED_VALUE"""),46243.16794528131)</f>
        <v>46243.16795</v>
      </c>
      <c r="C6771" s="9">
        <f>IFERROR(__xludf.DUMMYFUNCTION("""COMPUTED_VALUE"""),25861.0)</f>
        <v>25861</v>
      </c>
      <c r="D6771" s="9" t="str">
        <f>IFERROR(__xludf.DUMMYFUNCTION("""COMPUTED_VALUE"""),"Completed")</f>
        <v>Completed</v>
      </c>
    </row>
    <row r="6772">
      <c r="A6772" s="9" t="str">
        <f>IFERROR(__xludf.DUMMYFUNCTION("""COMPUTED_VALUE"""),"G-REQ-06771")</f>
        <v>G-REQ-06771</v>
      </c>
      <c r="B6772" s="11">
        <f>IFERROR(__xludf.DUMMYFUNCTION("""COMPUTED_VALUE"""),46243.23912012673)</f>
        <v>46243.23912</v>
      </c>
      <c r="C6772" s="9">
        <f>IFERROR(__xludf.DUMMYFUNCTION("""COMPUTED_VALUE"""),25865.0)</f>
        <v>25865</v>
      </c>
      <c r="D6772" s="9" t="str">
        <f>IFERROR(__xludf.DUMMYFUNCTION("""COMPUTED_VALUE"""),"Completed")</f>
        <v>Completed</v>
      </c>
    </row>
    <row r="6773">
      <c r="A6773" s="9" t="str">
        <f>IFERROR(__xludf.DUMMYFUNCTION("""COMPUTED_VALUE"""),"G-REQ-06772")</f>
        <v>G-REQ-06772</v>
      </c>
      <c r="B6773" s="11">
        <f>IFERROR(__xludf.DUMMYFUNCTION("""COMPUTED_VALUE"""),46243.31029497215)</f>
        <v>46243.31029</v>
      </c>
      <c r="C6773" s="9">
        <f>IFERROR(__xludf.DUMMYFUNCTION("""COMPUTED_VALUE"""),25869.0)</f>
        <v>25869</v>
      </c>
      <c r="D6773" s="9" t="str">
        <f>IFERROR(__xludf.DUMMYFUNCTION("""COMPUTED_VALUE"""),"Completed")</f>
        <v>Completed</v>
      </c>
    </row>
    <row r="6774">
      <c r="A6774" s="9" t="str">
        <f>IFERROR(__xludf.DUMMYFUNCTION("""COMPUTED_VALUE"""),"G-REQ-06773")</f>
        <v>G-REQ-06773</v>
      </c>
      <c r="B6774" s="11">
        <f>IFERROR(__xludf.DUMMYFUNCTION("""COMPUTED_VALUE"""),46243.37452537312)</f>
        <v>46243.37453</v>
      </c>
      <c r="C6774" s="9">
        <f>IFERROR(__xludf.DUMMYFUNCTION("""COMPUTED_VALUE"""),25871.0)</f>
        <v>25871</v>
      </c>
      <c r="D6774" s="9" t="str">
        <f>IFERROR(__xludf.DUMMYFUNCTION("""COMPUTED_VALUE"""),"Rejected")</f>
        <v>Rejected</v>
      </c>
    </row>
    <row r="6775">
      <c r="A6775" s="9" t="str">
        <f>IFERROR(__xludf.DUMMYFUNCTION("""COMPUTED_VALUE"""),"G-REQ-06774")</f>
        <v>G-REQ-06774</v>
      </c>
      <c r="B6775" s="11">
        <f>IFERROR(__xludf.DUMMYFUNCTION("""COMPUTED_VALUE"""),46243.452644662975)</f>
        <v>46243.45264</v>
      </c>
      <c r="C6775" s="9">
        <f>IFERROR(__xludf.DUMMYFUNCTION("""COMPUTED_VALUE"""),25875.0)</f>
        <v>25875</v>
      </c>
      <c r="D6775" s="9" t="str">
        <f>IFERROR(__xludf.DUMMYFUNCTION("""COMPUTED_VALUE"""),"Completed")</f>
        <v>Completed</v>
      </c>
    </row>
    <row r="6776">
      <c r="A6776" s="9" t="str">
        <f>IFERROR(__xludf.DUMMYFUNCTION("""COMPUTED_VALUE"""),"G-REQ-06775")</f>
        <v>G-REQ-06775</v>
      </c>
      <c r="B6776" s="11">
        <f>IFERROR(__xludf.DUMMYFUNCTION("""COMPUTED_VALUE"""),46243.51687506395)</f>
        <v>46243.51688</v>
      </c>
      <c r="C6776" s="9">
        <f>IFERROR(__xludf.DUMMYFUNCTION("""COMPUTED_VALUE"""),25877.0)</f>
        <v>25877</v>
      </c>
      <c r="D6776" s="9" t="str">
        <f>IFERROR(__xludf.DUMMYFUNCTION("""COMPUTED_VALUE"""),"Rejected")</f>
        <v>Rejected</v>
      </c>
    </row>
    <row r="6777">
      <c r="A6777" s="9" t="str">
        <f>IFERROR(__xludf.DUMMYFUNCTION("""COMPUTED_VALUE"""),"G-REQ-06776")</f>
        <v>G-REQ-06776</v>
      </c>
      <c r="B6777" s="11">
        <f>IFERROR(__xludf.DUMMYFUNCTION("""COMPUTED_VALUE"""),46243.59499435381)</f>
        <v>46243.59499</v>
      </c>
      <c r="C6777" s="9">
        <f>IFERROR(__xludf.DUMMYFUNCTION("""COMPUTED_VALUE"""),25881.0)</f>
        <v>25881</v>
      </c>
      <c r="D6777" s="9" t="str">
        <f>IFERROR(__xludf.DUMMYFUNCTION("""COMPUTED_VALUE"""),"Completed")</f>
        <v>Completed</v>
      </c>
    </row>
    <row r="6778">
      <c r="A6778" s="9" t="str">
        <f>IFERROR(__xludf.DUMMYFUNCTION("""COMPUTED_VALUE"""),"G-REQ-06777")</f>
        <v>G-REQ-06777</v>
      </c>
      <c r="B6778" s="11">
        <f>IFERROR(__xludf.DUMMYFUNCTION("""COMPUTED_VALUE"""),46243.66616919922)</f>
        <v>46243.66617</v>
      </c>
      <c r="C6778" s="9">
        <f>IFERROR(__xludf.DUMMYFUNCTION("""COMPUTED_VALUE"""),25885.0)</f>
        <v>25885</v>
      </c>
      <c r="D6778" s="9" t="str">
        <f>IFERROR(__xludf.DUMMYFUNCTION("""COMPUTED_VALUE"""),"Completed")</f>
        <v>Completed</v>
      </c>
    </row>
    <row r="6779">
      <c r="A6779" s="9" t="str">
        <f>IFERROR(__xludf.DUMMYFUNCTION("""COMPUTED_VALUE"""),"G-REQ-06778")</f>
        <v>G-REQ-06778</v>
      </c>
      <c r="B6779" s="11">
        <f>IFERROR(__xludf.DUMMYFUNCTION("""COMPUTED_VALUE"""),46243.73734404464)</f>
        <v>46243.73734</v>
      </c>
      <c r="C6779" s="9">
        <f>IFERROR(__xludf.DUMMYFUNCTION("""COMPUTED_VALUE"""),25889.0)</f>
        <v>25889</v>
      </c>
      <c r="D6779" s="9" t="str">
        <f>IFERROR(__xludf.DUMMYFUNCTION("""COMPUTED_VALUE"""),"Completed")</f>
        <v>Completed</v>
      </c>
    </row>
    <row r="6780">
      <c r="A6780" s="9" t="str">
        <f>IFERROR(__xludf.DUMMYFUNCTION("""COMPUTED_VALUE"""),"G-REQ-06779")</f>
        <v>G-REQ-06779</v>
      </c>
      <c r="B6780" s="11">
        <f>IFERROR(__xludf.DUMMYFUNCTION("""COMPUTED_VALUE"""),46243.80851889006)</f>
        <v>46243.80852</v>
      </c>
      <c r="C6780" s="9">
        <f>IFERROR(__xludf.DUMMYFUNCTION("""COMPUTED_VALUE"""),25893.0)</f>
        <v>25893</v>
      </c>
      <c r="D6780" s="9" t="str">
        <f>IFERROR(__xludf.DUMMYFUNCTION("""COMPUTED_VALUE"""),"Completed")</f>
        <v>Completed</v>
      </c>
    </row>
    <row r="6781">
      <c r="A6781" s="9" t="str">
        <f>IFERROR(__xludf.DUMMYFUNCTION("""COMPUTED_VALUE"""),"G-REQ-06780")</f>
        <v>G-REQ-06780</v>
      </c>
      <c r="B6781" s="11">
        <f>IFERROR(__xludf.DUMMYFUNCTION("""COMPUTED_VALUE"""),46243.879693735464)</f>
        <v>46243.87969</v>
      </c>
      <c r="C6781" s="9">
        <f>IFERROR(__xludf.DUMMYFUNCTION("""COMPUTED_VALUE"""),25897.0)</f>
        <v>25897</v>
      </c>
      <c r="D6781" s="9" t="str">
        <f>IFERROR(__xludf.DUMMYFUNCTION("""COMPUTED_VALUE"""),"Completed")</f>
        <v>Completed</v>
      </c>
    </row>
    <row r="6782">
      <c r="A6782" s="9" t="str">
        <f>IFERROR(__xludf.DUMMYFUNCTION("""COMPUTED_VALUE"""),"G-REQ-06781")</f>
        <v>G-REQ-06781</v>
      </c>
      <c r="B6782" s="11">
        <f>IFERROR(__xludf.DUMMYFUNCTION("""COMPUTED_VALUE"""),46243.95086858088)</f>
        <v>46243.95087</v>
      </c>
      <c r="C6782" s="9">
        <f>IFERROR(__xludf.DUMMYFUNCTION("""COMPUTED_VALUE"""),25901.0)</f>
        <v>25901</v>
      </c>
      <c r="D6782" s="9" t="str">
        <f>IFERROR(__xludf.DUMMYFUNCTION("""COMPUTED_VALUE"""),"Completed")</f>
        <v>Completed</v>
      </c>
    </row>
    <row r="6783">
      <c r="A6783" s="9" t="str">
        <f>IFERROR(__xludf.DUMMYFUNCTION("""COMPUTED_VALUE"""),"G-REQ-06782")</f>
        <v>G-REQ-06782</v>
      </c>
      <c r="B6783" s="11">
        <f>IFERROR(__xludf.DUMMYFUNCTION("""COMPUTED_VALUE"""),46244.0220434263)</f>
        <v>46244.02204</v>
      </c>
      <c r="C6783" s="9">
        <f>IFERROR(__xludf.DUMMYFUNCTION("""COMPUTED_VALUE"""),25905.0)</f>
        <v>25905</v>
      </c>
      <c r="D6783" s="9" t="str">
        <f>IFERROR(__xludf.DUMMYFUNCTION("""COMPUTED_VALUE"""),"Completed")</f>
        <v>Completed</v>
      </c>
    </row>
    <row r="6784">
      <c r="A6784" s="9" t="str">
        <f>IFERROR(__xludf.DUMMYFUNCTION("""COMPUTED_VALUE"""),"G-REQ-06783")</f>
        <v>G-REQ-06783</v>
      </c>
      <c r="B6784" s="11">
        <f>IFERROR(__xludf.DUMMYFUNCTION("""COMPUTED_VALUE"""),46244.093218271715)</f>
        <v>46244.09322</v>
      </c>
      <c r="C6784" s="9">
        <f>IFERROR(__xludf.DUMMYFUNCTION("""COMPUTED_VALUE"""),25909.0)</f>
        <v>25909</v>
      </c>
      <c r="D6784" s="9" t="str">
        <f>IFERROR(__xludf.DUMMYFUNCTION("""COMPUTED_VALUE"""),"Completed")</f>
        <v>Completed</v>
      </c>
    </row>
    <row r="6785">
      <c r="A6785" s="9" t="str">
        <f>IFERROR(__xludf.DUMMYFUNCTION("""COMPUTED_VALUE"""),"G-REQ-06784")</f>
        <v>G-REQ-06784</v>
      </c>
      <c r="B6785" s="11">
        <f>IFERROR(__xludf.DUMMYFUNCTION("""COMPUTED_VALUE"""),46244.16439311713)</f>
        <v>46244.16439</v>
      </c>
      <c r="C6785" s="9">
        <f>IFERROR(__xludf.DUMMYFUNCTION("""COMPUTED_VALUE"""),25913.0)</f>
        <v>25913</v>
      </c>
      <c r="D6785" s="9" t="str">
        <f>IFERROR(__xludf.DUMMYFUNCTION("""COMPUTED_VALUE"""),"Completed")</f>
        <v>Completed</v>
      </c>
    </row>
    <row r="6786">
      <c r="A6786" s="9" t="str">
        <f>IFERROR(__xludf.DUMMYFUNCTION("""COMPUTED_VALUE"""),"G-REQ-06785")</f>
        <v>G-REQ-06785</v>
      </c>
      <c r="B6786" s="11">
        <f>IFERROR(__xludf.DUMMYFUNCTION("""COMPUTED_VALUE"""),46244.23556796255)</f>
        <v>46244.23557</v>
      </c>
      <c r="C6786" s="9">
        <f>IFERROR(__xludf.DUMMYFUNCTION("""COMPUTED_VALUE"""),25917.0)</f>
        <v>25917</v>
      </c>
      <c r="D6786" s="9" t="str">
        <f>IFERROR(__xludf.DUMMYFUNCTION("""COMPUTED_VALUE"""),"Completed")</f>
        <v>Completed</v>
      </c>
    </row>
    <row r="6787">
      <c r="A6787" s="9" t="str">
        <f>IFERROR(__xludf.DUMMYFUNCTION("""COMPUTED_VALUE"""),"G-REQ-06786")</f>
        <v>G-REQ-06786</v>
      </c>
      <c r="B6787" s="11">
        <f>IFERROR(__xludf.DUMMYFUNCTION("""COMPUTED_VALUE"""),46244.30674280796)</f>
        <v>46244.30674</v>
      </c>
      <c r="C6787" s="9">
        <f>IFERROR(__xludf.DUMMYFUNCTION("""COMPUTED_VALUE"""),25921.0)</f>
        <v>25921</v>
      </c>
      <c r="D6787" s="9" t="str">
        <f>IFERROR(__xludf.DUMMYFUNCTION("""COMPUTED_VALUE"""),"Completed")</f>
        <v>Completed</v>
      </c>
    </row>
    <row r="6788">
      <c r="A6788" s="9" t="str">
        <f>IFERROR(__xludf.DUMMYFUNCTION("""COMPUTED_VALUE"""),"G-REQ-06787")</f>
        <v>G-REQ-06787</v>
      </c>
      <c r="B6788" s="11">
        <f>IFERROR(__xludf.DUMMYFUNCTION("""COMPUTED_VALUE"""),46244.37097320893)</f>
        <v>46244.37097</v>
      </c>
      <c r="C6788" s="9">
        <f>IFERROR(__xludf.DUMMYFUNCTION("""COMPUTED_VALUE"""),25923.0)</f>
        <v>25923</v>
      </c>
      <c r="D6788" s="9" t="str">
        <f>IFERROR(__xludf.DUMMYFUNCTION("""COMPUTED_VALUE"""),"Cancelled")</f>
        <v>Cancelled</v>
      </c>
    </row>
    <row r="6789">
      <c r="A6789" s="9" t="str">
        <f>IFERROR(__xludf.DUMMYFUNCTION("""COMPUTED_VALUE"""),"G-REQ-06788")</f>
        <v>G-REQ-06788</v>
      </c>
      <c r="B6789" s="11">
        <f>IFERROR(__xludf.DUMMYFUNCTION("""COMPUTED_VALUE"""),46244.44909249879)</f>
        <v>46244.44909</v>
      </c>
      <c r="C6789" s="9">
        <f>IFERROR(__xludf.DUMMYFUNCTION("""COMPUTED_VALUE"""),25927.0)</f>
        <v>25927</v>
      </c>
      <c r="D6789" s="9" t="str">
        <f>IFERROR(__xludf.DUMMYFUNCTION("""COMPUTED_VALUE"""),"Completed")</f>
        <v>Completed</v>
      </c>
    </row>
    <row r="6790">
      <c r="A6790" s="9" t="str">
        <f>IFERROR(__xludf.DUMMYFUNCTION("""COMPUTED_VALUE"""),"G-REQ-06789")</f>
        <v>G-REQ-06789</v>
      </c>
      <c r="B6790" s="11">
        <f>IFERROR(__xludf.DUMMYFUNCTION("""COMPUTED_VALUE"""),46244.5202673442)</f>
        <v>46244.52027</v>
      </c>
      <c r="C6790" s="9">
        <f>IFERROR(__xludf.DUMMYFUNCTION("""COMPUTED_VALUE"""),25931.0)</f>
        <v>25931</v>
      </c>
      <c r="D6790" s="9" t="str">
        <f>IFERROR(__xludf.DUMMYFUNCTION("""COMPUTED_VALUE"""),"Completed")</f>
        <v>Completed</v>
      </c>
    </row>
    <row r="6791">
      <c r="A6791" s="9" t="str">
        <f>IFERROR(__xludf.DUMMYFUNCTION("""COMPUTED_VALUE"""),"G-REQ-06790")</f>
        <v>G-REQ-06790</v>
      </c>
      <c r="B6791" s="11">
        <f>IFERROR(__xludf.DUMMYFUNCTION("""COMPUTED_VALUE"""),46244.591442189616)</f>
        <v>46244.59144</v>
      </c>
      <c r="C6791" s="9">
        <f>IFERROR(__xludf.DUMMYFUNCTION("""COMPUTED_VALUE"""),25935.0)</f>
        <v>25935</v>
      </c>
      <c r="D6791" s="9" t="str">
        <f>IFERROR(__xludf.DUMMYFUNCTION("""COMPUTED_VALUE"""),"Completed")</f>
        <v>Completed</v>
      </c>
    </row>
    <row r="6792">
      <c r="A6792" s="9" t="str">
        <f>IFERROR(__xludf.DUMMYFUNCTION("""COMPUTED_VALUE"""),"G-REQ-06791")</f>
        <v>G-REQ-06791</v>
      </c>
      <c r="B6792" s="11">
        <f>IFERROR(__xludf.DUMMYFUNCTION("""COMPUTED_VALUE"""),46244.662617035036)</f>
        <v>46244.66262</v>
      </c>
      <c r="C6792" s="9">
        <f>IFERROR(__xludf.DUMMYFUNCTION("""COMPUTED_VALUE"""),25939.0)</f>
        <v>25939</v>
      </c>
      <c r="D6792" s="9" t="str">
        <f>IFERROR(__xludf.DUMMYFUNCTION("""COMPUTED_VALUE"""),"Completed")</f>
        <v>Completed</v>
      </c>
    </row>
    <row r="6793">
      <c r="A6793" s="9" t="str">
        <f>IFERROR(__xludf.DUMMYFUNCTION("""COMPUTED_VALUE"""),"G-REQ-06792")</f>
        <v>G-REQ-06792</v>
      </c>
      <c r="B6793" s="11">
        <f>IFERROR(__xludf.DUMMYFUNCTION("""COMPUTED_VALUE"""),46244.726847436)</f>
        <v>46244.72685</v>
      </c>
      <c r="C6793" s="9">
        <f>IFERROR(__xludf.DUMMYFUNCTION("""COMPUTED_VALUE"""),25941.0)</f>
        <v>25941</v>
      </c>
      <c r="D6793" s="9" t="str">
        <f>IFERROR(__xludf.DUMMYFUNCTION("""COMPUTED_VALUE"""),"Rejected")</f>
        <v>Rejected</v>
      </c>
    </row>
    <row r="6794">
      <c r="A6794" s="9" t="str">
        <f>IFERROR(__xludf.DUMMYFUNCTION("""COMPUTED_VALUE"""),"G-REQ-06793")</f>
        <v>G-REQ-06793</v>
      </c>
      <c r="B6794" s="11">
        <f>IFERROR(__xludf.DUMMYFUNCTION("""COMPUTED_VALUE"""),46244.80496672587)</f>
        <v>46244.80497</v>
      </c>
      <c r="C6794" s="9">
        <f>IFERROR(__xludf.DUMMYFUNCTION("""COMPUTED_VALUE"""),25945.0)</f>
        <v>25945</v>
      </c>
      <c r="D6794" s="9" t="str">
        <f>IFERROR(__xludf.DUMMYFUNCTION("""COMPUTED_VALUE"""),"Completed")</f>
        <v>Completed</v>
      </c>
    </row>
    <row r="6795">
      <c r="A6795" s="9" t="str">
        <f>IFERROR(__xludf.DUMMYFUNCTION("""COMPUTED_VALUE"""),"G-REQ-06794")</f>
        <v>G-REQ-06794</v>
      </c>
      <c r="B6795" s="11">
        <f>IFERROR(__xludf.DUMMYFUNCTION("""COMPUTED_VALUE"""),46244.87614157128)</f>
        <v>46244.87614</v>
      </c>
      <c r="C6795" s="9">
        <f>IFERROR(__xludf.DUMMYFUNCTION("""COMPUTED_VALUE"""),25949.0)</f>
        <v>25949</v>
      </c>
      <c r="D6795" s="9" t="str">
        <f>IFERROR(__xludf.DUMMYFUNCTION("""COMPUTED_VALUE"""),"Completed")</f>
        <v>Completed</v>
      </c>
    </row>
    <row r="6796">
      <c r="A6796" s="9" t="str">
        <f>IFERROR(__xludf.DUMMYFUNCTION("""COMPUTED_VALUE"""),"G-REQ-06795")</f>
        <v>G-REQ-06795</v>
      </c>
      <c r="B6796" s="11">
        <f>IFERROR(__xludf.DUMMYFUNCTION("""COMPUTED_VALUE"""),46244.9473164167)</f>
        <v>46244.94732</v>
      </c>
      <c r="C6796" s="9">
        <f>IFERROR(__xludf.DUMMYFUNCTION("""COMPUTED_VALUE"""),25953.0)</f>
        <v>25953</v>
      </c>
      <c r="D6796" s="9" t="str">
        <f>IFERROR(__xludf.DUMMYFUNCTION("""COMPUTED_VALUE"""),"Completed")</f>
        <v>Completed</v>
      </c>
    </row>
    <row r="6797">
      <c r="A6797" s="9" t="str">
        <f>IFERROR(__xludf.DUMMYFUNCTION("""COMPUTED_VALUE"""),"G-REQ-06796")</f>
        <v>G-REQ-06796</v>
      </c>
      <c r="B6797" s="11">
        <f>IFERROR(__xludf.DUMMYFUNCTION("""COMPUTED_VALUE"""),46245.01154681766)</f>
        <v>46245.01155</v>
      </c>
      <c r="C6797" s="9">
        <f>IFERROR(__xludf.DUMMYFUNCTION("""COMPUTED_VALUE"""),25955.0)</f>
        <v>25955</v>
      </c>
      <c r="D6797" s="9" t="str">
        <f>IFERROR(__xludf.DUMMYFUNCTION("""COMPUTED_VALUE"""),"Cancelled")</f>
        <v>Cancelled</v>
      </c>
    </row>
    <row r="6798">
      <c r="A6798" s="9" t="str">
        <f>IFERROR(__xludf.DUMMYFUNCTION("""COMPUTED_VALUE"""),"G-REQ-06797")</f>
        <v>G-REQ-06797</v>
      </c>
      <c r="B6798" s="11">
        <f>IFERROR(__xludf.DUMMYFUNCTION("""COMPUTED_VALUE"""),46245.089666107524)</f>
        <v>46245.08967</v>
      </c>
      <c r="C6798" s="9">
        <f>IFERROR(__xludf.DUMMYFUNCTION("""COMPUTED_VALUE"""),25959.0)</f>
        <v>25959</v>
      </c>
      <c r="D6798" s="9" t="str">
        <f>IFERROR(__xludf.DUMMYFUNCTION("""COMPUTED_VALUE"""),"Completed")</f>
        <v>Completed</v>
      </c>
    </row>
    <row r="6799">
      <c r="A6799" s="9" t="str">
        <f>IFERROR(__xludf.DUMMYFUNCTION("""COMPUTED_VALUE"""),"G-REQ-06798")</f>
        <v>G-REQ-06798</v>
      </c>
      <c r="B6799" s="11">
        <f>IFERROR(__xludf.DUMMYFUNCTION("""COMPUTED_VALUE"""),46245.16084095294)</f>
        <v>46245.16084</v>
      </c>
      <c r="C6799" s="9">
        <f>IFERROR(__xludf.DUMMYFUNCTION("""COMPUTED_VALUE"""),25963.0)</f>
        <v>25963</v>
      </c>
      <c r="D6799" s="9" t="str">
        <f>IFERROR(__xludf.DUMMYFUNCTION("""COMPUTED_VALUE"""),"Completed")</f>
        <v>Completed</v>
      </c>
    </row>
    <row r="6800">
      <c r="A6800" s="9" t="str">
        <f>IFERROR(__xludf.DUMMYFUNCTION("""COMPUTED_VALUE"""),"G-REQ-06799")</f>
        <v>G-REQ-06799</v>
      </c>
      <c r="B6800" s="11">
        <f>IFERROR(__xludf.DUMMYFUNCTION("""COMPUTED_VALUE"""),46245.232015798356)</f>
        <v>46245.23202</v>
      </c>
      <c r="C6800" s="9">
        <f>IFERROR(__xludf.DUMMYFUNCTION("""COMPUTED_VALUE"""),25967.0)</f>
        <v>25967</v>
      </c>
      <c r="D6800" s="9" t="str">
        <f>IFERROR(__xludf.DUMMYFUNCTION("""COMPUTED_VALUE"""),"Completed")</f>
        <v>Completed</v>
      </c>
    </row>
    <row r="6801">
      <c r="A6801" s="9" t="str">
        <f>IFERROR(__xludf.DUMMYFUNCTION("""COMPUTED_VALUE"""),"G-REQ-06800")</f>
        <v>G-REQ-06800</v>
      </c>
      <c r="B6801" s="11">
        <f>IFERROR(__xludf.DUMMYFUNCTION("""COMPUTED_VALUE"""),46245.30319064377)</f>
        <v>46245.30319</v>
      </c>
      <c r="C6801" s="9">
        <f>IFERROR(__xludf.DUMMYFUNCTION("""COMPUTED_VALUE"""),25971.0)</f>
        <v>25971</v>
      </c>
      <c r="D6801" s="9" t="str">
        <f>IFERROR(__xludf.DUMMYFUNCTION("""COMPUTED_VALUE"""),"Completed")</f>
        <v>Completed</v>
      </c>
    </row>
    <row r="6802">
      <c r="A6802" s="9" t="str">
        <f>IFERROR(__xludf.DUMMYFUNCTION("""COMPUTED_VALUE"""),"G-REQ-06801")</f>
        <v>G-REQ-06801</v>
      </c>
      <c r="B6802" s="11">
        <f>IFERROR(__xludf.DUMMYFUNCTION("""COMPUTED_VALUE"""),46245.37436548919)</f>
        <v>46245.37437</v>
      </c>
      <c r="C6802" s="9">
        <f>IFERROR(__xludf.DUMMYFUNCTION("""COMPUTED_VALUE"""),25975.0)</f>
        <v>25975</v>
      </c>
      <c r="D6802" s="9" t="str">
        <f>IFERROR(__xludf.DUMMYFUNCTION("""COMPUTED_VALUE"""),"Completed")</f>
        <v>Completed</v>
      </c>
    </row>
    <row r="6803">
      <c r="A6803" s="9" t="str">
        <f>IFERROR(__xludf.DUMMYFUNCTION("""COMPUTED_VALUE"""),"G-REQ-06802")</f>
        <v>G-REQ-06802</v>
      </c>
      <c r="B6803" s="11">
        <f>IFERROR(__xludf.DUMMYFUNCTION("""COMPUTED_VALUE"""),46245.4455403346)</f>
        <v>46245.44554</v>
      </c>
      <c r="C6803" s="9">
        <f>IFERROR(__xludf.DUMMYFUNCTION("""COMPUTED_VALUE"""),25979.0)</f>
        <v>25979</v>
      </c>
      <c r="D6803" s="9" t="str">
        <f>IFERROR(__xludf.DUMMYFUNCTION("""COMPUTED_VALUE"""),"Completed")</f>
        <v>Completed</v>
      </c>
    </row>
    <row r="6804">
      <c r="A6804" s="9" t="str">
        <f>IFERROR(__xludf.DUMMYFUNCTION("""COMPUTED_VALUE"""),"G-REQ-06803")</f>
        <v>G-REQ-06803</v>
      </c>
      <c r="B6804" s="11">
        <f>IFERROR(__xludf.DUMMYFUNCTION("""COMPUTED_VALUE"""),46245.51671518001)</f>
        <v>46245.51672</v>
      </c>
      <c r="C6804" s="9">
        <f>IFERROR(__xludf.DUMMYFUNCTION("""COMPUTED_VALUE"""),25983.0)</f>
        <v>25983</v>
      </c>
      <c r="D6804" s="9" t="str">
        <f>IFERROR(__xludf.DUMMYFUNCTION("""COMPUTED_VALUE"""),"Completed")</f>
        <v>Completed</v>
      </c>
    </row>
    <row r="6805">
      <c r="A6805" s="9" t="str">
        <f>IFERROR(__xludf.DUMMYFUNCTION("""COMPUTED_VALUE"""),"G-REQ-06804")</f>
        <v>G-REQ-06804</v>
      </c>
      <c r="B6805" s="11">
        <f>IFERROR(__xludf.DUMMYFUNCTION("""COMPUTED_VALUE"""),46245.58789002543)</f>
        <v>46245.58789</v>
      </c>
      <c r="C6805" s="9">
        <f>IFERROR(__xludf.DUMMYFUNCTION("""COMPUTED_VALUE"""),25987.0)</f>
        <v>25987</v>
      </c>
      <c r="D6805" s="9" t="str">
        <f>IFERROR(__xludf.DUMMYFUNCTION("""COMPUTED_VALUE"""),"Completed")</f>
        <v>Completed</v>
      </c>
    </row>
    <row r="6806">
      <c r="A6806" s="9" t="str">
        <f>IFERROR(__xludf.DUMMYFUNCTION("""COMPUTED_VALUE"""),"G-REQ-06805")</f>
        <v>G-REQ-06805</v>
      </c>
      <c r="B6806" s="11">
        <f>IFERROR(__xludf.DUMMYFUNCTION("""COMPUTED_VALUE"""),46245.65906487085)</f>
        <v>46245.65906</v>
      </c>
      <c r="C6806" s="9">
        <f>IFERROR(__xludf.DUMMYFUNCTION("""COMPUTED_VALUE"""),25991.0)</f>
        <v>25991</v>
      </c>
      <c r="D6806" s="9" t="str">
        <f>IFERROR(__xludf.DUMMYFUNCTION("""COMPUTED_VALUE"""),"Completed")</f>
        <v>Completed</v>
      </c>
    </row>
    <row r="6807">
      <c r="A6807" s="9" t="str">
        <f>IFERROR(__xludf.DUMMYFUNCTION("""COMPUTED_VALUE"""),"G-REQ-06806")</f>
        <v>G-REQ-06806</v>
      </c>
      <c r="B6807" s="11">
        <f>IFERROR(__xludf.DUMMYFUNCTION("""COMPUTED_VALUE"""),46245.73023971626)</f>
        <v>46245.73024</v>
      </c>
      <c r="C6807" s="9">
        <f>IFERROR(__xludf.DUMMYFUNCTION("""COMPUTED_VALUE"""),25995.0)</f>
        <v>25995</v>
      </c>
      <c r="D6807" s="9" t="str">
        <f>IFERROR(__xludf.DUMMYFUNCTION("""COMPUTED_VALUE"""),"Completed")</f>
        <v>Completed</v>
      </c>
    </row>
    <row r="6808">
      <c r="A6808" s="9" t="str">
        <f>IFERROR(__xludf.DUMMYFUNCTION("""COMPUTED_VALUE"""),"G-REQ-06807")</f>
        <v>G-REQ-06807</v>
      </c>
      <c r="B6808" s="11">
        <f>IFERROR(__xludf.DUMMYFUNCTION("""COMPUTED_VALUE"""),46245.801414561676)</f>
        <v>46245.80141</v>
      </c>
      <c r="C6808" s="9">
        <f>IFERROR(__xludf.DUMMYFUNCTION("""COMPUTED_VALUE"""),25999.0)</f>
        <v>25999</v>
      </c>
      <c r="D6808" s="9" t="str">
        <f>IFERROR(__xludf.DUMMYFUNCTION("""COMPUTED_VALUE"""),"Completed")</f>
        <v>Completed</v>
      </c>
    </row>
    <row r="6809">
      <c r="A6809" s="9" t="str">
        <f>IFERROR(__xludf.DUMMYFUNCTION("""COMPUTED_VALUE"""),"G-REQ-06808")</f>
        <v>G-REQ-06808</v>
      </c>
      <c r="B6809" s="11">
        <f>IFERROR(__xludf.DUMMYFUNCTION("""COMPUTED_VALUE"""),46245.87258940709)</f>
        <v>46245.87259</v>
      </c>
      <c r="C6809" s="9">
        <f>IFERROR(__xludf.DUMMYFUNCTION("""COMPUTED_VALUE"""),26003.0)</f>
        <v>26003</v>
      </c>
      <c r="D6809" s="9" t="str">
        <f>IFERROR(__xludf.DUMMYFUNCTION("""COMPUTED_VALUE"""),"Completed")</f>
        <v>Completed</v>
      </c>
    </row>
    <row r="6810">
      <c r="A6810" s="9" t="str">
        <f>IFERROR(__xludf.DUMMYFUNCTION("""COMPUTED_VALUE"""),"G-REQ-06809")</f>
        <v>G-REQ-06809</v>
      </c>
      <c r="B6810" s="11">
        <f>IFERROR(__xludf.DUMMYFUNCTION("""COMPUTED_VALUE"""),46245.94376425251)</f>
        <v>46245.94376</v>
      </c>
      <c r="C6810" s="9">
        <f>IFERROR(__xludf.DUMMYFUNCTION("""COMPUTED_VALUE"""),26007.0)</f>
        <v>26007</v>
      </c>
      <c r="D6810" s="9" t="str">
        <f>IFERROR(__xludf.DUMMYFUNCTION("""COMPUTED_VALUE"""),"Completed")</f>
        <v>Completed</v>
      </c>
    </row>
    <row r="6811">
      <c r="A6811" s="9" t="str">
        <f>IFERROR(__xludf.DUMMYFUNCTION("""COMPUTED_VALUE"""),"G-REQ-06810")</f>
        <v>G-REQ-06810</v>
      </c>
      <c r="B6811" s="11">
        <f>IFERROR(__xludf.DUMMYFUNCTION("""COMPUTED_VALUE"""),46246.01493909792)</f>
        <v>46246.01494</v>
      </c>
      <c r="C6811" s="9">
        <f>IFERROR(__xludf.DUMMYFUNCTION("""COMPUTED_VALUE"""),26011.0)</f>
        <v>26011</v>
      </c>
      <c r="D6811" s="9" t="str">
        <f>IFERROR(__xludf.DUMMYFUNCTION("""COMPUTED_VALUE"""),"Completed")</f>
        <v>Completed</v>
      </c>
    </row>
    <row r="6812">
      <c r="A6812" s="9" t="str">
        <f>IFERROR(__xludf.DUMMYFUNCTION("""COMPUTED_VALUE"""),"G-REQ-06811")</f>
        <v>G-REQ-06811</v>
      </c>
      <c r="B6812" s="11">
        <f>IFERROR(__xludf.DUMMYFUNCTION("""COMPUTED_VALUE"""),46246.08611394334)</f>
        <v>46246.08611</v>
      </c>
      <c r="C6812" s="9">
        <f>IFERROR(__xludf.DUMMYFUNCTION("""COMPUTED_VALUE"""),26015.0)</f>
        <v>26015</v>
      </c>
      <c r="D6812" s="9" t="str">
        <f>IFERROR(__xludf.DUMMYFUNCTION("""COMPUTED_VALUE"""),"Completed")</f>
        <v>Completed</v>
      </c>
    </row>
    <row r="6813">
      <c r="A6813" s="9" t="str">
        <f>IFERROR(__xludf.DUMMYFUNCTION("""COMPUTED_VALUE"""),"G-REQ-06812")</f>
        <v>G-REQ-06812</v>
      </c>
      <c r="B6813" s="11">
        <f>IFERROR(__xludf.DUMMYFUNCTION("""COMPUTED_VALUE"""),46246.157288788745)</f>
        <v>46246.15729</v>
      </c>
      <c r="C6813" s="9">
        <f>IFERROR(__xludf.DUMMYFUNCTION("""COMPUTED_VALUE"""),26019.0)</f>
        <v>26019</v>
      </c>
      <c r="D6813" s="9" t="str">
        <f>IFERROR(__xludf.DUMMYFUNCTION("""COMPUTED_VALUE"""),"Completed")</f>
        <v>Completed</v>
      </c>
    </row>
    <row r="6814">
      <c r="A6814" s="9" t="str">
        <f>IFERROR(__xludf.DUMMYFUNCTION("""COMPUTED_VALUE"""),"G-REQ-06813")</f>
        <v>G-REQ-06813</v>
      </c>
      <c r="B6814" s="11">
        <f>IFERROR(__xludf.DUMMYFUNCTION("""COMPUTED_VALUE"""),46246.228463634165)</f>
        <v>46246.22846</v>
      </c>
      <c r="C6814" s="9">
        <f>IFERROR(__xludf.DUMMYFUNCTION("""COMPUTED_VALUE"""),26023.0)</f>
        <v>26023</v>
      </c>
      <c r="D6814" s="9" t="str">
        <f>IFERROR(__xludf.DUMMYFUNCTION("""COMPUTED_VALUE"""),"Completed")</f>
        <v>Completed</v>
      </c>
    </row>
    <row r="6815">
      <c r="A6815" s="9" t="str">
        <f>IFERROR(__xludf.DUMMYFUNCTION("""COMPUTED_VALUE"""),"G-REQ-06814")</f>
        <v>G-REQ-06814</v>
      </c>
      <c r="B6815" s="11">
        <f>IFERROR(__xludf.DUMMYFUNCTION("""COMPUTED_VALUE"""),46246.299638479584)</f>
        <v>46246.29964</v>
      </c>
      <c r="C6815" s="9">
        <f>IFERROR(__xludf.DUMMYFUNCTION("""COMPUTED_VALUE"""),26027.0)</f>
        <v>26027</v>
      </c>
      <c r="D6815" s="9" t="str">
        <f>IFERROR(__xludf.DUMMYFUNCTION("""COMPUTED_VALUE"""),"Completed")</f>
        <v>Completed</v>
      </c>
    </row>
    <row r="6816">
      <c r="A6816" s="9" t="str">
        <f>IFERROR(__xludf.DUMMYFUNCTION("""COMPUTED_VALUE"""),"G-REQ-06815")</f>
        <v>G-REQ-06815</v>
      </c>
      <c r="B6816" s="11">
        <f>IFERROR(__xludf.DUMMYFUNCTION("""COMPUTED_VALUE"""),46246.370813325)</f>
        <v>46246.37081</v>
      </c>
      <c r="C6816" s="9">
        <f>IFERROR(__xludf.DUMMYFUNCTION("""COMPUTED_VALUE"""),26031.0)</f>
        <v>26031</v>
      </c>
      <c r="D6816" s="9" t="str">
        <f>IFERROR(__xludf.DUMMYFUNCTION("""COMPUTED_VALUE"""),"Completed")</f>
        <v>Completed</v>
      </c>
    </row>
    <row r="6817">
      <c r="A6817" s="9" t="str">
        <f>IFERROR(__xludf.DUMMYFUNCTION("""COMPUTED_VALUE"""),"G-REQ-06816")</f>
        <v>G-REQ-06816</v>
      </c>
      <c r="B6817" s="11">
        <f>IFERROR(__xludf.DUMMYFUNCTION("""COMPUTED_VALUE"""),46246.44198817041)</f>
        <v>46246.44199</v>
      </c>
      <c r="C6817" s="9">
        <f>IFERROR(__xludf.DUMMYFUNCTION("""COMPUTED_VALUE"""),26035.0)</f>
        <v>26035</v>
      </c>
      <c r="D6817" s="9" t="str">
        <f>IFERROR(__xludf.DUMMYFUNCTION("""COMPUTED_VALUE"""),"Completed")</f>
        <v>Completed</v>
      </c>
    </row>
    <row r="6818">
      <c r="A6818" s="9" t="str">
        <f>IFERROR(__xludf.DUMMYFUNCTION("""COMPUTED_VALUE"""),"G-REQ-06817")</f>
        <v>G-REQ-06817</v>
      </c>
      <c r="B6818" s="11">
        <f>IFERROR(__xludf.DUMMYFUNCTION("""COMPUTED_VALUE"""),46246.51316301583)</f>
        <v>46246.51316</v>
      </c>
      <c r="C6818" s="9">
        <f>IFERROR(__xludf.DUMMYFUNCTION("""COMPUTED_VALUE"""),26039.0)</f>
        <v>26039</v>
      </c>
      <c r="D6818" s="9" t="str">
        <f>IFERROR(__xludf.DUMMYFUNCTION("""COMPUTED_VALUE"""),"Completed")</f>
        <v>Completed</v>
      </c>
    </row>
    <row r="6819">
      <c r="A6819" s="9" t="str">
        <f>IFERROR(__xludf.DUMMYFUNCTION("""COMPUTED_VALUE"""),"G-REQ-06818")</f>
        <v>G-REQ-06818</v>
      </c>
      <c r="B6819" s="11">
        <f>IFERROR(__xludf.DUMMYFUNCTION("""COMPUTED_VALUE"""),46246.58433786124)</f>
        <v>46246.58434</v>
      </c>
      <c r="C6819" s="9">
        <f>IFERROR(__xludf.DUMMYFUNCTION("""COMPUTED_VALUE"""),26043.0)</f>
        <v>26043</v>
      </c>
      <c r="D6819" s="9" t="str">
        <f>IFERROR(__xludf.DUMMYFUNCTION("""COMPUTED_VALUE"""),"Completed")</f>
        <v>Completed</v>
      </c>
    </row>
    <row r="6820">
      <c r="A6820" s="9" t="str">
        <f>IFERROR(__xludf.DUMMYFUNCTION("""COMPUTED_VALUE"""),"G-REQ-06819")</f>
        <v>G-REQ-06819</v>
      </c>
      <c r="B6820" s="11">
        <f>IFERROR(__xludf.DUMMYFUNCTION("""COMPUTED_VALUE"""),46246.65551270665)</f>
        <v>46246.65551</v>
      </c>
      <c r="C6820" s="9">
        <f>IFERROR(__xludf.DUMMYFUNCTION("""COMPUTED_VALUE"""),26047.0)</f>
        <v>26047</v>
      </c>
      <c r="D6820" s="9" t="str">
        <f>IFERROR(__xludf.DUMMYFUNCTION("""COMPUTED_VALUE"""),"Completed")</f>
        <v>Completed</v>
      </c>
    </row>
    <row r="6821">
      <c r="A6821" s="9" t="str">
        <f>IFERROR(__xludf.DUMMYFUNCTION("""COMPUTED_VALUE"""),"G-REQ-06820")</f>
        <v>G-REQ-06820</v>
      </c>
      <c r="B6821" s="11">
        <f>IFERROR(__xludf.DUMMYFUNCTION("""COMPUTED_VALUE"""),46246.72668755207)</f>
        <v>46246.72669</v>
      </c>
      <c r="C6821" s="9">
        <f>IFERROR(__xludf.DUMMYFUNCTION("""COMPUTED_VALUE"""),26051.0)</f>
        <v>26051</v>
      </c>
      <c r="D6821" s="9" t="str">
        <f>IFERROR(__xludf.DUMMYFUNCTION("""COMPUTED_VALUE"""),"Completed")</f>
        <v>Completed</v>
      </c>
    </row>
    <row r="6822">
      <c r="A6822" s="9" t="str">
        <f>IFERROR(__xludf.DUMMYFUNCTION("""COMPUTED_VALUE"""),"G-REQ-06821")</f>
        <v>G-REQ-06821</v>
      </c>
      <c r="B6822" s="11">
        <f>IFERROR(__xludf.DUMMYFUNCTION("""COMPUTED_VALUE"""),46246.79091795305)</f>
        <v>46246.79092</v>
      </c>
      <c r="C6822" s="9">
        <f>IFERROR(__xludf.DUMMYFUNCTION("""COMPUTED_VALUE"""),26053.0)</f>
        <v>26053</v>
      </c>
      <c r="D6822" s="9" t="str">
        <f>IFERROR(__xludf.DUMMYFUNCTION("""COMPUTED_VALUE"""),"Cancelled")</f>
        <v>Cancelled</v>
      </c>
    </row>
    <row r="6823">
      <c r="A6823" s="9" t="str">
        <f>IFERROR(__xludf.DUMMYFUNCTION("""COMPUTED_VALUE"""),"G-REQ-06822")</f>
        <v>G-REQ-06822</v>
      </c>
      <c r="B6823" s="11">
        <f>IFERROR(__xludf.DUMMYFUNCTION("""COMPUTED_VALUE"""),46246.8690372429)</f>
        <v>46246.86904</v>
      </c>
      <c r="C6823" s="9">
        <f>IFERROR(__xludf.DUMMYFUNCTION("""COMPUTED_VALUE"""),26057.0)</f>
        <v>26057</v>
      </c>
      <c r="D6823" s="9" t="str">
        <f>IFERROR(__xludf.DUMMYFUNCTION("""COMPUTED_VALUE"""),"Completed")</f>
        <v>Completed</v>
      </c>
    </row>
    <row r="6824">
      <c r="A6824" s="9" t="str">
        <f>IFERROR(__xludf.DUMMYFUNCTION("""COMPUTED_VALUE"""),"G-REQ-06823")</f>
        <v>G-REQ-06823</v>
      </c>
      <c r="B6824" s="11">
        <f>IFERROR(__xludf.DUMMYFUNCTION("""COMPUTED_VALUE"""),46246.93326764387)</f>
        <v>46246.93327</v>
      </c>
      <c r="C6824" s="9">
        <f>IFERROR(__xludf.DUMMYFUNCTION("""COMPUTED_VALUE"""),26059.0)</f>
        <v>26059</v>
      </c>
      <c r="D6824" s="9" t="str">
        <f>IFERROR(__xludf.DUMMYFUNCTION("""COMPUTED_VALUE"""),"Rejected")</f>
        <v>Rejected</v>
      </c>
    </row>
    <row r="6825">
      <c r="A6825" s="9" t="str">
        <f>IFERROR(__xludf.DUMMYFUNCTION("""COMPUTED_VALUE"""),"G-REQ-06824")</f>
        <v>G-REQ-06824</v>
      </c>
      <c r="B6825" s="11">
        <f>IFERROR(__xludf.DUMMYFUNCTION("""COMPUTED_VALUE"""),46247.01138693374)</f>
        <v>46247.01139</v>
      </c>
      <c r="C6825" s="9">
        <f>IFERROR(__xludf.DUMMYFUNCTION("""COMPUTED_VALUE"""),26063.0)</f>
        <v>26063</v>
      </c>
      <c r="D6825" s="9" t="str">
        <f>IFERROR(__xludf.DUMMYFUNCTION("""COMPUTED_VALUE"""),"Completed")</f>
        <v>Completed</v>
      </c>
    </row>
    <row r="6826">
      <c r="A6826" s="9" t="str">
        <f>IFERROR(__xludf.DUMMYFUNCTION("""COMPUTED_VALUE"""),"G-REQ-06825")</f>
        <v>G-REQ-06825</v>
      </c>
      <c r="B6826" s="11">
        <f>IFERROR(__xludf.DUMMYFUNCTION("""COMPUTED_VALUE"""),46247.08256177915)</f>
        <v>46247.08256</v>
      </c>
      <c r="C6826" s="9">
        <f>IFERROR(__xludf.DUMMYFUNCTION("""COMPUTED_VALUE"""),26067.0)</f>
        <v>26067</v>
      </c>
      <c r="D6826" s="9" t="str">
        <f>IFERROR(__xludf.DUMMYFUNCTION("""COMPUTED_VALUE"""),"Completed")</f>
        <v>Completed</v>
      </c>
    </row>
    <row r="6827">
      <c r="A6827" s="9" t="str">
        <f>IFERROR(__xludf.DUMMYFUNCTION("""COMPUTED_VALUE"""),"G-REQ-06826")</f>
        <v>G-REQ-06826</v>
      </c>
      <c r="B6827" s="11">
        <f>IFERROR(__xludf.DUMMYFUNCTION("""COMPUTED_VALUE"""),46247.15373662456)</f>
        <v>46247.15374</v>
      </c>
      <c r="C6827" s="9">
        <f>IFERROR(__xludf.DUMMYFUNCTION("""COMPUTED_VALUE"""),26071.0)</f>
        <v>26071</v>
      </c>
      <c r="D6827" s="9" t="str">
        <f>IFERROR(__xludf.DUMMYFUNCTION("""COMPUTED_VALUE"""),"Completed")</f>
        <v>Completed</v>
      </c>
    </row>
    <row r="6828">
      <c r="A6828" s="9" t="str">
        <f>IFERROR(__xludf.DUMMYFUNCTION("""COMPUTED_VALUE"""),"G-REQ-06827")</f>
        <v>G-REQ-06827</v>
      </c>
      <c r="B6828" s="11">
        <f>IFERROR(__xludf.DUMMYFUNCTION("""COMPUTED_VALUE"""),46247.217967025535)</f>
        <v>46247.21797</v>
      </c>
      <c r="C6828" s="9">
        <f>IFERROR(__xludf.DUMMYFUNCTION("""COMPUTED_VALUE"""),26073.0)</f>
        <v>26073</v>
      </c>
      <c r="D6828" s="9" t="str">
        <f>IFERROR(__xludf.DUMMYFUNCTION("""COMPUTED_VALUE"""),"Rejected")</f>
        <v>Rejected</v>
      </c>
    </row>
    <row r="6829">
      <c r="A6829" s="9" t="str">
        <f>IFERROR(__xludf.DUMMYFUNCTION("""COMPUTED_VALUE"""),"G-REQ-06828")</f>
        <v>G-REQ-06828</v>
      </c>
      <c r="B6829" s="11">
        <f>IFERROR(__xludf.DUMMYFUNCTION("""COMPUTED_VALUE"""),46247.29608631539)</f>
        <v>46247.29609</v>
      </c>
      <c r="C6829" s="9">
        <f>IFERROR(__xludf.DUMMYFUNCTION("""COMPUTED_VALUE"""),26077.0)</f>
        <v>26077</v>
      </c>
      <c r="D6829" s="9" t="str">
        <f>IFERROR(__xludf.DUMMYFUNCTION("""COMPUTED_VALUE"""),"Completed")</f>
        <v>Completed</v>
      </c>
    </row>
    <row r="6830">
      <c r="A6830" s="9" t="str">
        <f>IFERROR(__xludf.DUMMYFUNCTION("""COMPUTED_VALUE"""),"G-REQ-06829")</f>
        <v>G-REQ-06829</v>
      </c>
      <c r="B6830" s="11">
        <f>IFERROR(__xludf.DUMMYFUNCTION("""COMPUTED_VALUE"""),46247.367261160805)</f>
        <v>46247.36726</v>
      </c>
      <c r="C6830" s="9">
        <f>IFERROR(__xludf.DUMMYFUNCTION("""COMPUTED_VALUE"""),26081.0)</f>
        <v>26081</v>
      </c>
      <c r="D6830" s="9" t="str">
        <f>IFERROR(__xludf.DUMMYFUNCTION("""COMPUTED_VALUE"""),"Completed")</f>
        <v>Completed</v>
      </c>
    </row>
    <row r="6831">
      <c r="A6831" s="9" t="str">
        <f>IFERROR(__xludf.DUMMYFUNCTION("""COMPUTED_VALUE"""),"G-REQ-06830")</f>
        <v>G-REQ-06830</v>
      </c>
      <c r="B6831" s="11">
        <f>IFERROR(__xludf.DUMMYFUNCTION("""COMPUTED_VALUE"""),46247.438436006225)</f>
        <v>46247.43844</v>
      </c>
      <c r="C6831" s="9">
        <f>IFERROR(__xludf.DUMMYFUNCTION("""COMPUTED_VALUE"""),26085.0)</f>
        <v>26085</v>
      </c>
      <c r="D6831" s="9" t="str">
        <f>IFERROR(__xludf.DUMMYFUNCTION("""COMPUTED_VALUE"""),"Completed")</f>
        <v>Completed</v>
      </c>
    </row>
    <row r="6832">
      <c r="A6832" s="9" t="str">
        <f>IFERROR(__xludf.DUMMYFUNCTION("""COMPUTED_VALUE"""),"G-REQ-06831")</f>
        <v>G-REQ-06831</v>
      </c>
      <c r="B6832" s="11">
        <f>IFERROR(__xludf.DUMMYFUNCTION("""COMPUTED_VALUE"""),46247.50961085164)</f>
        <v>46247.50961</v>
      </c>
      <c r="C6832" s="9">
        <f>IFERROR(__xludf.DUMMYFUNCTION("""COMPUTED_VALUE"""),26089.0)</f>
        <v>26089</v>
      </c>
      <c r="D6832" s="9" t="str">
        <f>IFERROR(__xludf.DUMMYFUNCTION("""COMPUTED_VALUE"""),"Completed")</f>
        <v>Completed</v>
      </c>
    </row>
    <row r="6833">
      <c r="A6833" s="9" t="str">
        <f>IFERROR(__xludf.DUMMYFUNCTION("""COMPUTED_VALUE"""),"G-REQ-06832")</f>
        <v>G-REQ-06832</v>
      </c>
      <c r="B6833" s="11">
        <f>IFERROR(__xludf.DUMMYFUNCTION("""COMPUTED_VALUE"""),46247.58078569705)</f>
        <v>46247.58079</v>
      </c>
      <c r="C6833" s="9">
        <f>IFERROR(__xludf.DUMMYFUNCTION("""COMPUTED_VALUE"""),26093.0)</f>
        <v>26093</v>
      </c>
      <c r="D6833" s="9" t="str">
        <f>IFERROR(__xludf.DUMMYFUNCTION("""COMPUTED_VALUE"""),"Completed")</f>
        <v>Completed</v>
      </c>
    </row>
    <row r="6834">
      <c r="A6834" s="9" t="str">
        <f>IFERROR(__xludf.DUMMYFUNCTION("""COMPUTED_VALUE"""),"G-REQ-06833")</f>
        <v>G-REQ-06833</v>
      </c>
      <c r="B6834" s="11">
        <f>IFERROR(__xludf.DUMMYFUNCTION("""COMPUTED_VALUE"""),46247.65196054247)</f>
        <v>46247.65196</v>
      </c>
      <c r="C6834" s="9">
        <f>IFERROR(__xludf.DUMMYFUNCTION("""COMPUTED_VALUE"""),26097.0)</f>
        <v>26097</v>
      </c>
      <c r="D6834" s="9" t="str">
        <f>IFERROR(__xludf.DUMMYFUNCTION("""COMPUTED_VALUE"""),"Completed")</f>
        <v>Completed</v>
      </c>
    </row>
    <row r="6835">
      <c r="A6835" s="9" t="str">
        <f>IFERROR(__xludf.DUMMYFUNCTION("""COMPUTED_VALUE"""),"G-REQ-06834")</f>
        <v>G-REQ-06834</v>
      </c>
      <c r="B6835" s="11">
        <f>IFERROR(__xludf.DUMMYFUNCTION("""COMPUTED_VALUE"""),46247.72313538788)</f>
        <v>46247.72314</v>
      </c>
      <c r="C6835" s="9">
        <f>IFERROR(__xludf.DUMMYFUNCTION("""COMPUTED_VALUE"""),26101.0)</f>
        <v>26101</v>
      </c>
      <c r="D6835" s="9" t="str">
        <f>IFERROR(__xludf.DUMMYFUNCTION("""COMPUTED_VALUE"""),"Completed")</f>
        <v>Completed</v>
      </c>
    </row>
    <row r="6836">
      <c r="A6836" s="9" t="str">
        <f>IFERROR(__xludf.DUMMYFUNCTION("""COMPUTED_VALUE"""),"G-REQ-06835")</f>
        <v>G-REQ-06835</v>
      </c>
      <c r="B6836" s="11">
        <f>IFERROR(__xludf.DUMMYFUNCTION("""COMPUTED_VALUE"""),46247.794310233294)</f>
        <v>46247.79431</v>
      </c>
      <c r="C6836" s="9">
        <f>IFERROR(__xludf.DUMMYFUNCTION("""COMPUTED_VALUE"""),26105.0)</f>
        <v>26105</v>
      </c>
      <c r="D6836" s="9" t="str">
        <f>IFERROR(__xludf.DUMMYFUNCTION("""COMPUTED_VALUE"""),"Completed")</f>
        <v>Completed</v>
      </c>
    </row>
    <row r="6837">
      <c r="A6837" s="9" t="str">
        <f>IFERROR(__xludf.DUMMYFUNCTION("""COMPUTED_VALUE"""),"G-REQ-06836")</f>
        <v>G-REQ-06836</v>
      </c>
      <c r="B6837" s="11">
        <f>IFERROR(__xludf.DUMMYFUNCTION("""COMPUTED_VALUE"""),46247.86548507871)</f>
        <v>46247.86549</v>
      </c>
      <c r="C6837" s="9">
        <f>IFERROR(__xludf.DUMMYFUNCTION("""COMPUTED_VALUE"""),26109.0)</f>
        <v>26109</v>
      </c>
      <c r="D6837" s="9" t="str">
        <f>IFERROR(__xludf.DUMMYFUNCTION("""COMPUTED_VALUE"""),"Completed")</f>
        <v>Completed</v>
      </c>
    </row>
    <row r="6838">
      <c r="A6838" s="9" t="str">
        <f>IFERROR(__xludf.DUMMYFUNCTION("""COMPUTED_VALUE"""),"G-REQ-06837")</f>
        <v>G-REQ-06837</v>
      </c>
      <c r="B6838" s="11">
        <f>IFERROR(__xludf.DUMMYFUNCTION("""COMPUTED_VALUE"""),46247.93665992413)</f>
        <v>46247.93666</v>
      </c>
      <c r="C6838" s="9">
        <f>IFERROR(__xludf.DUMMYFUNCTION("""COMPUTED_VALUE"""),26113.0)</f>
        <v>26113</v>
      </c>
      <c r="D6838" s="9" t="str">
        <f>IFERROR(__xludf.DUMMYFUNCTION("""COMPUTED_VALUE"""),"Completed")</f>
        <v>Completed</v>
      </c>
    </row>
    <row r="6839">
      <c r="A6839" s="9" t="str">
        <f>IFERROR(__xludf.DUMMYFUNCTION("""COMPUTED_VALUE"""),"G-REQ-06838")</f>
        <v>G-REQ-06838</v>
      </c>
      <c r="B6839" s="11">
        <f>IFERROR(__xludf.DUMMYFUNCTION("""COMPUTED_VALUE"""),46248.00783476954)</f>
        <v>46248.00783</v>
      </c>
      <c r="C6839" s="9">
        <f>IFERROR(__xludf.DUMMYFUNCTION("""COMPUTED_VALUE"""),26117.0)</f>
        <v>26117</v>
      </c>
      <c r="D6839" s="9" t="str">
        <f>IFERROR(__xludf.DUMMYFUNCTION("""COMPUTED_VALUE"""),"Completed")</f>
        <v>Completed</v>
      </c>
    </row>
    <row r="6840">
      <c r="A6840" s="9" t="str">
        <f>IFERROR(__xludf.DUMMYFUNCTION("""COMPUTED_VALUE"""),"G-REQ-06839")</f>
        <v>G-REQ-06839</v>
      </c>
      <c r="B6840" s="11">
        <f>IFERROR(__xludf.DUMMYFUNCTION("""COMPUTED_VALUE"""),46248.07900961496)</f>
        <v>46248.07901</v>
      </c>
      <c r="C6840" s="9">
        <f>IFERROR(__xludf.DUMMYFUNCTION("""COMPUTED_VALUE"""),26121.0)</f>
        <v>26121</v>
      </c>
      <c r="D6840" s="9" t="str">
        <f>IFERROR(__xludf.DUMMYFUNCTION("""COMPUTED_VALUE"""),"Completed")</f>
        <v>Completed</v>
      </c>
    </row>
    <row r="6841">
      <c r="A6841" s="9" t="str">
        <f>IFERROR(__xludf.DUMMYFUNCTION("""COMPUTED_VALUE"""),"G-REQ-06840")</f>
        <v>G-REQ-06840</v>
      </c>
      <c r="B6841" s="11">
        <f>IFERROR(__xludf.DUMMYFUNCTION("""COMPUTED_VALUE"""),46248.15018446038)</f>
        <v>46248.15018</v>
      </c>
      <c r="C6841" s="9">
        <f>IFERROR(__xludf.DUMMYFUNCTION("""COMPUTED_VALUE"""),26125.0)</f>
        <v>26125</v>
      </c>
      <c r="D6841" s="9" t="str">
        <f>IFERROR(__xludf.DUMMYFUNCTION("""COMPUTED_VALUE"""),"Completed")</f>
        <v>Completed</v>
      </c>
    </row>
    <row r="6842">
      <c r="A6842" s="9" t="str">
        <f>IFERROR(__xludf.DUMMYFUNCTION("""COMPUTED_VALUE"""),"G-REQ-06841")</f>
        <v>G-REQ-06841</v>
      </c>
      <c r="B6842" s="11">
        <f>IFERROR(__xludf.DUMMYFUNCTION("""COMPUTED_VALUE"""),46248.22135930579)</f>
        <v>46248.22136</v>
      </c>
      <c r="C6842" s="9">
        <f>IFERROR(__xludf.DUMMYFUNCTION("""COMPUTED_VALUE"""),26129.0)</f>
        <v>26129</v>
      </c>
      <c r="D6842" s="9" t="str">
        <f>IFERROR(__xludf.DUMMYFUNCTION("""COMPUTED_VALUE"""),"Completed")</f>
        <v>Completed</v>
      </c>
    </row>
    <row r="6843">
      <c r="A6843" s="9" t="str">
        <f>IFERROR(__xludf.DUMMYFUNCTION("""COMPUTED_VALUE"""),"G-REQ-06842")</f>
        <v>G-REQ-06842</v>
      </c>
      <c r="B6843" s="11">
        <f>IFERROR(__xludf.DUMMYFUNCTION("""COMPUTED_VALUE"""),46248.2925341512)</f>
        <v>46248.29253</v>
      </c>
      <c r="C6843" s="9">
        <f>IFERROR(__xludf.DUMMYFUNCTION("""COMPUTED_VALUE"""),26133.0)</f>
        <v>26133</v>
      </c>
      <c r="D6843" s="9" t="str">
        <f>IFERROR(__xludf.DUMMYFUNCTION("""COMPUTED_VALUE"""),"Completed")</f>
        <v>Completed</v>
      </c>
    </row>
    <row r="6844">
      <c r="A6844" s="9" t="str">
        <f>IFERROR(__xludf.DUMMYFUNCTION("""COMPUTED_VALUE"""),"G-REQ-06843")</f>
        <v>G-REQ-06843</v>
      </c>
      <c r="B6844" s="11">
        <f>IFERROR(__xludf.DUMMYFUNCTION("""COMPUTED_VALUE"""),46248.36370899662)</f>
        <v>46248.36371</v>
      </c>
      <c r="C6844" s="9">
        <f>IFERROR(__xludf.DUMMYFUNCTION("""COMPUTED_VALUE"""),26137.0)</f>
        <v>26137</v>
      </c>
      <c r="D6844" s="9" t="str">
        <f>IFERROR(__xludf.DUMMYFUNCTION("""COMPUTED_VALUE"""),"Completed")</f>
        <v>Completed</v>
      </c>
    </row>
    <row r="6845">
      <c r="A6845" s="9" t="str">
        <f>IFERROR(__xludf.DUMMYFUNCTION("""COMPUTED_VALUE"""),"G-REQ-06844")</f>
        <v>G-REQ-06844</v>
      </c>
      <c r="B6845" s="11">
        <f>IFERROR(__xludf.DUMMYFUNCTION("""COMPUTED_VALUE"""),46248.434883842034)</f>
        <v>46248.43488</v>
      </c>
      <c r="C6845" s="9">
        <f>IFERROR(__xludf.DUMMYFUNCTION("""COMPUTED_VALUE"""),26141.0)</f>
        <v>26141</v>
      </c>
      <c r="D6845" s="9" t="str">
        <f>IFERROR(__xludf.DUMMYFUNCTION("""COMPUTED_VALUE"""),"Completed")</f>
        <v>Completed</v>
      </c>
    </row>
    <row r="6846">
      <c r="A6846" s="9" t="str">
        <f>IFERROR(__xludf.DUMMYFUNCTION("""COMPUTED_VALUE"""),"G-REQ-06845")</f>
        <v>G-REQ-06845</v>
      </c>
      <c r="B6846" s="11">
        <f>IFERROR(__xludf.DUMMYFUNCTION("""COMPUTED_VALUE"""),46248.506058687446)</f>
        <v>46248.50606</v>
      </c>
      <c r="C6846" s="9">
        <f>IFERROR(__xludf.DUMMYFUNCTION("""COMPUTED_VALUE"""),26145.0)</f>
        <v>26145</v>
      </c>
      <c r="D6846" s="9" t="str">
        <f>IFERROR(__xludf.DUMMYFUNCTION("""COMPUTED_VALUE"""),"Completed")</f>
        <v>Completed</v>
      </c>
    </row>
    <row r="6847">
      <c r="A6847" s="9" t="str">
        <f>IFERROR(__xludf.DUMMYFUNCTION("""COMPUTED_VALUE"""),"G-REQ-06846")</f>
        <v>G-REQ-06846</v>
      </c>
      <c r="B6847" s="11">
        <f>IFERROR(__xludf.DUMMYFUNCTION("""COMPUTED_VALUE"""),46248.57028908842)</f>
        <v>46248.57029</v>
      </c>
      <c r="C6847" s="9">
        <f>IFERROR(__xludf.DUMMYFUNCTION("""COMPUTED_VALUE"""),26147.0)</f>
        <v>26147</v>
      </c>
      <c r="D6847" s="9" t="str">
        <f>IFERROR(__xludf.DUMMYFUNCTION("""COMPUTED_VALUE"""),"Rejected")</f>
        <v>Rejected</v>
      </c>
    </row>
    <row r="6848">
      <c r="A6848" s="9" t="str">
        <f>IFERROR(__xludf.DUMMYFUNCTION("""COMPUTED_VALUE"""),"G-REQ-06847")</f>
        <v>G-REQ-06847</v>
      </c>
      <c r="B6848" s="11">
        <f>IFERROR(__xludf.DUMMYFUNCTION("""COMPUTED_VALUE"""),46248.64840837828)</f>
        <v>46248.64841</v>
      </c>
      <c r="C6848" s="9">
        <f>IFERROR(__xludf.DUMMYFUNCTION("""COMPUTED_VALUE"""),26151.0)</f>
        <v>26151</v>
      </c>
      <c r="D6848" s="9" t="str">
        <f>IFERROR(__xludf.DUMMYFUNCTION("""COMPUTED_VALUE"""),"Completed")</f>
        <v>Completed</v>
      </c>
    </row>
    <row r="6849">
      <c r="A6849" s="9" t="str">
        <f>IFERROR(__xludf.DUMMYFUNCTION("""COMPUTED_VALUE"""),"G-REQ-06848")</f>
        <v>G-REQ-06848</v>
      </c>
      <c r="B6849" s="11">
        <f>IFERROR(__xludf.DUMMYFUNCTION("""COMPUTED_VALUE"""),46248.71958322369)</f>
        <v>46248.71958</v>
      </c>
      <c r="C6849" s="9">
        <f>IFERROR(__xludf.DUMMYFUNCTION("""COMPUTED_VALUE"""),26155.0)</f>
        <v>26155</v>
      </c>
      <c r="D6849" s="9" t="str">
        <f>IFERROR(__xludf.DUMMYFUNCTION("""COMPUTED_VALUE"""),"Completed")</f>
        <v>Completed</v>
      </c>
    </row>
    <row r="6850">
      <c r="A6850" s="9" t="str">
        <f>IFERROR(__xludf.DUMMYFUNCTION("""COMPUTED_VALUE"""),"G-REQ-06849")</f>
        <v>G-REQ-06849</v>
      </c>
      <c r="B6850" s="11">
        <f>IFERROR(__xludf.DUMMYFUNCTION("""COMPUTED_VALUE"""),46248.79075806911)</f>
        <v>46248.79076</v>
      </c>
      <c r="C6850" s="9">
        <f>IFERROR(__xludf.DUMMYFUNCTION("""COMPUTED_VALUE"""),26159.0)</f>
        <v>26159</v>
      </c>
      <c r="D6850" s="9" t="str">
        <f>IFERROR(__xludf.DUMMYFUNCTION("""COMPUTED_VALUE"""),"Completed")</f>
        <v>Completed</v>
      </c>
    </row>
    <row r="6851">
      <c r="A6851" s="9" t="str">
        <f>IFERROR(__xludf.DUMMYFUNCTION("""COMPUTED_VALUE"""),"G-REQ-06850")</f>
        <v>G-REQ-06850</v>
      </c>
      <c r="B6851" s="11">
        <f>IFERROR(__xludf.DUMMYFUNCTION("""COMPUTED_VALUE"""),46248.86193291452)</f>
        <v>46248.86193</v>
      </c>
      <c r="C6851" s="9">
        <f>IFERROR(__xludf.DUMMYFUNCTION("""COMPUTED_VALUE"""),26163.0)</f>
        <v>26163</v>
      </c>
      <c r="D6851" s="9" t="str">
        <f>IFERROR(__xludf.DUMMYFUNCTION("""COMPUTED_VALUE"""),"Completed")</f>
        <v>Completed</v>
      </c>
    </row>
    <row r="6852">
      <c r="A6852" s="9" t="str">
        <f>IFERROR(__xludf.DUMMYFUNCTION("""COMPUTED_VALUE"""),"G-REQ-06851")</f>
        <v>G-REQ-06851</v>
      </c>
      <c r="B6852" s="11">
        <f>IFERROR(__xludf.DUMMYFUNCTION("""COMPUTED_VALUE"""),46248.933107759935)</f>
        <v>46248.93311</v>
      </c>
      <c r="C6852" s="9">
        <f>IFERROR(__xludf.DUMMYFUNCTION("""COMPUTED_VALUE"""),26167.0)</f>
        <v>26167</v>
      </c>
      <c r="D6852" s="9" t="str">
        <f>IFERROR(__xludf.DUMMYFUNCTION("""COMPUTED_VALUE"""),"Completed")</f>
        <v>Completed</v>
      </c>
    </row>
    <row r="6853">
      <c r="A6853" s="9" t="str">
        <f>IFERROR(__xludf.DUMMYFUNCTION("""COMPUTED_VALUE"""),"G-REQ-06852")</f>
        <v>G-REQ-06852</v>
      </c>
      <c r="B6853" s="11">
        <f>IFERROR(__xludf.DUMMYFUNCTION("""COMPUTED_VALUE"""),46248.99733816091)</f>
        <v>46248.99734</v>
      </c>
      <c r="C6853" s="9">
        <f>IFERROR(__xludf.DUMMYFUNCTION("""COMPUTED_VALUE"""),26169.0)</f>
        <v>26169</v>
      </c>
      <c r="D6853" s="9" t="str">
        <f>IFERROR(__xludf.DUMMYFUNCTION("""COMPUTED_VALUE"""),"Rejected")</f>
        <v>Rejected</v>
      </c>
    </row>
    <row r="6854">
      <c r="A6854" s="9" t="str">
        <f>IFERROR(__xludf.DUMMYFUNCTION("""COMPUTED_VALUE"""),"G-REQ-06853")</f>
        <v>G-REQ-06853</v>
      </c>
      <c r="B6854" s="11">
        <f>IFERROR(__xludf.DUMMYFUNCTION("""COMPUTED_VALUE"""),46249.075457450774)</f>
        <v>46249.07546</v>
      </c>
      <c r="C6854" s="9">
        <f>IFERROR(__xludf.DUMMYFUNCTION("""COMPUTED_VALUE"""),26173.0)</f>
        <v>26173</v>
      </c>
      <c r="D6854" s="9" t="str">
        <f>IFERROR(__xludf.DUMMYFUNCTION("""COMPUTED_VALUE"""),"Completed")</f>
        <v>Completed</v>
      </c>
    </row>
    <row r="6855">
      <c r="A6855" s="9" t="str">
        <f>IFERROR(__xludf.DUMMYFUNCTION("""COMPUTED_VALUE"""),"G-REQ-06854")</f>
        <v>G-REQ-06854</v>
      </c>
      <c r="B6855" s="11">
        <f>IFERROR(__xludf.DUMMYFUNCTION("""COMPUTED_VALUE"""),46249.13968785173)</f>
        <v>46249.13969</v>
      </c>
      <c r="C6855" s="9">
        <f>IFERROR(__xludf.DUMMYFUNCTION("""COMPUTED_VALUE"""),26175.0)</f>
        <v>26175</v>
      </c>
      <c r="D6855" s="9" t="str">
        <f>IFERROR(__xludf.DUMMYFUNCTION("""COMPUTED_VALUE"""),"Rejected")</f>
        <v>Rejected</v>
      </c>
    </row>
    <row r="6856">
      <c r="A6856" s="9" t="str">
        <f>IFERROR(__xludf.DUMMYFUNCTION("""COMPUTED_VALUE"""),"G-REQ-06855")</f>
        <v>G-REQ-06855</v>
      </c>
      <c r="B6856" s="11">
        <f>IFERROR(__xludf.DUMMYFUNCTION("""COMPUTED_VALUE"""),46249.2178071416)</f>
        <v>46249.21781</v>
      </c>
      <c r="C6856" s="9">
        <f>IFERROR(__xludf.DUMMYFUNCTION("""COMPUTED_VALUE"""),26179.0)</f>
        <v>26179</v>
      </c>
      <c r="D6856" s="9" t="str">
        <f>IFERROR(__xludf.DUMMYFUNCTION("""COMPUTED_VALUE"""),"Completed")</f>
        <v>Completed</v>
      </c>
    </row>
    <row r="6857">
      <c r="A6857" s="9" t="str">
        <f>IFERROR(__xludf.DUMMYFUNCTION("""COMPUTED_VALUE"""),"G-REQ-06856")</f>
        <v>G-REQ-06856</v>
      </c>
      <c r="B6857" s="11">
        <f>IFERROR(__xludf.DUMMYFUNCTION("""COMPUTED_VALUE"""),46249.28898198702)</f>
        <v>46249.28898</v>
      </c>
      <c r="C6857" s="9">
        <f>IFERROR(__xludf.DUMMYFUNCTION("""COMPUTED_VALUE"""),26183.0)</f>
        <v>26183</v>
      </c>
      <c r="D6857" s="9" t="str">
        <f>IFERROR(__xludf.DUMMYFUNCTION("""COMPUTED_VALUE"""),"Completed")</f>
        <v>Completed</v>
      </c>
    </row>
    <row r="6858">
      <c r="A6858" s="9" t="str">
        <f>IFERROR(__xludf.DUMMYFUNCTION("""COMPUTED_VALUE"""),"G-REQ-06857")</f>
        <v>G-REQ-06857</v>
      </c>
      <c r="B6858" s="11">
        <f>IFERROR(__xludf.DUMMYFUNCTION("""COMPUTED_VALUE"""),46249.36015683243)</f>
        <v>46249.36016</v>
      </c>
      <c r="C6858" s="9">
        <f>IFERROR(__xludf.DUMMYFUNCTION("""COMPUTED_VALUE"""),26187.0)</f>
        <v>26187</v>
      </c>
      <c r="D6858" s="9" t="str">
        <f>IFERROR(__xludf.DUMMYFUNCTION("""COMPUTED_VALUE"""),"Completed")</f>
        <v>Completed</v>
      </c>
    </row>
    <row r="6859">
      <c r="A6859" s="9" t="str">
        <f>IFERROR(__xludf.DUMMYFUNCTION("""COMPUTED_VALUE"""),"G-REQ-06858")</f>
        <v>G-REQ-06858</v>
      </c>
      <c r="B6859" s="11">
        <f>IFERROR(__xludf.DUMMYFUNCTION("""COMPUTED_VALUE"""),46249.43133167784)</f>
        <v>46249.43133</v>
      </c>
      <c r="C6859" s="9">
        <f>IFERROR(__xludf.DUMMYFUNCTION("""COMPUTED_VALUE"""),26191.0)</f>
        <v>26191</v>
      </c>
      <c r="D6859" s="9" t="str">
        <f>IFERROR(__xludf.DUMMYFUNCTION("""COMPUTED_VALUE"""),"Completed")</f>
        <v>Completed</v>
      </c>
    </row>
    <row r="6860">
      <c r="A6860" s="9" t="str">
        <f>IFERROR(__xludf.DUMMYFUNCTION("""COMPUTED_VALUE"""),"G-REQ-06859")</f>
        <v>G-REQ-06859</v>
      </c>
      <c r="B6860" s="11">
        <f>IFERROR(__xludf.DUMMYFUNCTION("""COMPUTED_VALUE"""),46249.50250652326)</f>
        <v>46249.50251</v>
      </c>
      <c r="C6860" s="9">
        <f>IFERROR(__xludf.DUMMYFUNCTION("""COMPUTED_VALUE"""),26195.0)</f>
        <v>26195</v>
      </c>
      <c r="D6860" s="9" t="str">
        <f>IFERROR(__xludf.DUMMYFUNCTION("""COMPUTED_VALUE"""),"Completed")</f>
        <v>Completed</v>
      </c>
    </row>
    <row r="6861">
      <c r="A6861" s="9" t="str">
        <f>IFERROR(__xludf.DUMMYFUNCTION("""COMPUTED_VALUE"""),"G-REQ-06860")</f>
        <v>G-REQ-06860</v>
      </c>
      <c r="B6861" s="11">
        <f>IFERROR(__xludf.DUMMYFUNCTION("""COMPUTED_VALUE"""),46249.573681368674)</f>
        <v>46249.57368</v>
      </c>
      <c r="C6861" s="9">
        <f>IFERROR(__xludf.DUMMYFUNCTION("""COMPUTED_VALUE"""),26199.0)</f>
        <v>26199</v>
      </c>
      <c r="D6861" s="9" t="str">
        <f>IFERROR(__xludf.DUMMYFUNCTION("""COMPUTED_VALUE"""),"Completed")</f>
        <v>Completed</v>
      </c>
    </row>
    <row r="6862">
      <c r="A6862" s="9" t="str">
        <f>IFERROR(__xludf.DUMMYFUNCTION("""COMPUTED_VALUE"""),"G-REQ-06861")</f>
        <v>G-REQ-06861</v>
      </c>
      <c r="B6862" s="11">
        <f>IFERROR(__xludf.DUMMYFUNCTION("""COMPUTED_VALUE"""),46249.64485621409)</f>
        <v>46249.64486</v>
      </c>
      <c r="C6862" s="9">
        <f>IFERROR(__xludf.DUMMYFUNCTION("""COMPUTED_VALUE"""),26203.0)</f>
        <v>26203</v>
      </c>
      <c r="D6862" s="9" t="str">
        <f>IFERROR(__xludf.DUMMYFUNCTION("""COMPUTED_VALUE"""),"Completed")</f>
        <v>Completed</v>
      </c>
    </row>
    <row r="6863">
      <c r="A6863" s="9" t="str">
        <f>IFERROR(__xludf.DUMMYFUNCTION("""COMPUTED_VALUE"""),"G-REQ-06862")</f>
        <v>G-REQ-06862</v>
      </c>
      <c r="B6863" s="11">
        <f>IFERROR(__xludf.DUMMYFUNCTION("""COMPUTED_VALUE"""),46249.716031059506)</f>
        <v>46249.71603</v>
      </c>
      <c r="C6863" s="9">
        <f>IFERROR(__xludf.DUMMYFUNCTION("""COMPUTED_VALUE"""),26207.0)</f>
        <v>26207</v>
      </c>
      <c r="D6863" s="9" t="str">
        <f>IFERROR(__xludf.DUMMYFUNCTION("""COMPUTED_VALUE"""),"Completed")</f>
        <v>Completed</v>
      </c>
    </row>
    <row r="6864">
      <c r="A6864" s="9" t="str">
        <f>IFERROR(__xludf.DUMMYFUNCTION("""COMPUTED_VALUE"""),"G-REQ-06863")</f>
        <v>G-REQ-06863</v>
      </c>
      <c r="B6864" s="11">
        <f>IFERROR(__xludf.DUMMYFUNCTION("""COMPUTED_VALUE"""),46249.78720590492)</f>
        <v>46249.78721</v>
      </c>
      <c r="C6864" s="9">
        <f>IFERROR(__xludf.DUMMYFUNCTION("""COMPUTED_VALUE"""),26211.0)</f>
        <v>26211</v>
      </c>
      <c r="D6864" s="9" t="str">
        <f>IFERROR(__xludf.DUMMYFUNCTION("""COMPUTED_VALUE"""),"Completed")</f>
        <v>Completed</v>
      </c>
    </row>
    <row r="6865">
      <c r="A6865" s="9" t="str">
        <f>IFERROR(__xludf.DUMMYFUNCTION("""COMPUTED_VALUE"""),"G-REQ-06864")</f>
        <v>G-REQ-06864</v>
      </c>
      <c r="B6865" s="11">
        <f>IFERROR(__xludf.DUMMYFUNCTION("""COMPUTED_VALUE"""),46249.85838075033)</f>
        <v>46249.85838</v>
      </c>
      <c r="C6865" s="9">
        <f>IFERROR(__xludf.DUMMYFUNCTION("""COMPUTED_VALUE"""),26215.0)</f>
        <v>26215</v>
      </c>
      <c r="D6865" s="9" t="str">
        <f>IFERROR(__xludf.DUMMYFUNCTION("""COMPUTED_VALUE"""),"Completed")</f>
        <v>Completed</v>
      </c>
    </row>
    <row r="6866">
      <c r="A6866" s="9" t="str">
        <f>IFERROR(__xludf.DUMMYFUNCTION("""COMPUTED_VALUE"""),"G-REQ-06865")</f>
        <v>G-REQ-06865</v>
      </c>
      <c r="B6866" s="11">
        <f>IFERROR(__xludf.DUMMYFUNCTION("""COMPUTED_VALUE"""),46249.92955559575)</f>
        <v>46249.92956</v>
      </c>
      <c r="C6866" s="9">
        <f>IFERROR(__xludf.DUMMYFUNCTION("""COMPUTED_VALUE"""),26219.0)</f>
        <v>26219</v>
      </c>
      <c r="D6866" s="9" t="str">
        <f>IFERROR(__xludf.DUMMYFUNCTION("""COMPUTED_VALUE"""),"Completed")</f>
        <v>Completed</v>
      </c>
    </row>
    <row r="6867">
      <c r="A6867" s="9" t="str">
        <f>IFERROR(__xludf.DUMMYFUNCTION("""COMPUTED_VALUE"""),"G-REQ-06866")</f>
        <v>G-REQ-06866</v>
      </c>
      <c r="B6867" s="11">
        <f>IFERROR(__xludf.DUMMYFUNCTION("""COMPUTED_VALUE"""),46250.00073044117)</f>
        <v>46250.00073</v>
      </c>
      <c r="C6867" s="9">
        <f>IFERROR(__xludf.DUMMYFUNCTION("""COMPUTED_VALUE"""),26223.0)</f>
        <v>26223</v>
      </c>
      <c r="D6867" s="9" t="str">
        <f>IFERROR(__xludf.DUMMYFUNCTION("""COMPUTED_VALUE"""),"Completed")</f>
        <v>Completed</v>
      </c>
    </row>
    <row r="6868">
      <c r="A6868" s="9" t="str">
        <f>IFERROR(__xludf.DUMMYFUNCTION("""COMPUTED_VALUE"""),"G-REQ-06867")</f>
        <v>G-REQ-06867</v>
      </c>
      <c r="B6868" s="11">
        <f>IFERROR(__xludf.DUMMYFUNCTION("""COMPUTED_VALUE"""),46250.06496084213)</f>
        <v>46250.06496</v>
      </c>
      <c r="C6868" s="9">
        <f>IFERROR(__xludf.DUMMYFUNCTION("""COMPUTED_VALUE"""),26225.0)</f>
        <v>26225</v>
      </c>
      <c r="D6868" s="9" t="str">
        <f>IFERROR(__xludf.DUMMYFUNCTION("""COMPUTED_VALUE"""),"Cancelled")</f>
        <v>Cancelled</v>
      </c>
    </row>
    <row r="6869">
      <c r="A6869" s="9" t="str">
        <f>IFERROR(__xludf.DUMMYFUNCTION("""COMPUTED_VALUE"""),"G-REQ-06868")</f>
        <v>G-REQ-06868</v>
      </c>
      <c r="B6869" s="11">
        <f>IFERROR(__xludf.DUMMYFUNCTION("""COMPUTED_VALUE"""),46250.143080131995)</f>
        <v>46250.14308</v>
      </c>
      <c r="C6869" s="9">
        <f>IFERROR(__xludf.DUMMYFUNCTION("""COMPUTED_VALUE"""),26229.0)</f>
        <v>26229</v>
      </c>
      <c r="D6869" s="9" t="str">
        <f>IFERROR(__xludf.DUMMYFUNCTION("""COMPUTED_VALUE"""),"Completed")</f>
        <v>Completed</v>
      </c>
    </row>
    <row r="6870">
      <c r="A6870" s="9" t="str">
        <f>IFERROR(__xludf.DUMMYFUNCTION("""COMPUTED_VALUE"""),"G-REQ-06869")</f>
        <v>G-REQ-06869</v>
      </c>
      <c r="B6870" s="11">
        <f>IFERROR(__xludf.DUMMYFUNCTION("""COMPUTED_VALUE"""),46250.214254977414)</f>
        <v>46250.21425</v>
      </c>
      <c r="C6870" s="9">
        <f>IFERROR(__xludf.DUMMYFUNCTION("""COMPUTED_VALUE"""),26233.0)</f>
        <v>26233</v>
      </c>
      <c r="D6870" s="9" t="str">
        <f>IFERROR(__xludf.DUMMYFUNCTION("""COMPUTED_VALUE"""),"Completed")</f>
        <v>Completed</v>
      </c>
    </row>
    <row r="6871">
      <c r="A6871" s="9" t="str">
        <f>IFERROR(__xludf.DUMMYFUNCTION("""COMPUTED_VALUE"""),"G-REQ-06870")</f>
        <v>G-REQ-06870</v>
      </c>
      <c r="B6871" s="11">
        <f>IFERROR(__xludf.DUMMYFUNCTION("""COMPUTED_VALUE"""),46250.28542982283)</f>
        <v>46250.28543</v>
      </c>
      <c r="C6871" s="9">
        <f>IFERROR(__xludf.DUMMYFUNCTION("""COMPUTED_VALUE"""),26237.0)</f>
        <v>26237</v>
      </c>
      <c r="D6871" s="9" t="str">
        <f>IFERROR(__xludf.DUMMYFUNCTION("""COMPUTED_VALUE"""),"Completed")</f>
        <v>Completed</v>
      </c>
    </row>
    <row r="6872">
      <c r="A6872" s="9" t="str">
        <f>IFERROR(__xludf.DUMMYFUNCTION("""COMPUTED_VALUE"""),"G-REQ-06871")</f>
        <v>G-REQ-06871</v>
      </c>
      <c r="B6872" s="11">
        <f>IFERROR(__xludf.DUMMYFUNCTION("""COMPUTED_VALUE"""),46250.35660466824)</f>
        <v>46250.3566</v>
      </c>
      <c r="C6872" s="9">
        <f>IFERROR(__xludf.DUMMYFUNCTION("""COMPUTED_VALUE"""),26241.0)</f>
        <v>26241</v>
      </c>
      <c r="D6872" s="9" t="str">
        <f>IFERROR(__xludf.DUMMYFUNCTION("""COMPUTED_VALUE"""),"Completed")</f>
        <v>Completed</v>
      </c>
    </row>
    <row r="6873">
      <c r="A6873" s="9" t="str">
        <f>IFERROR(__xludf.DUMMYFUNCTION("""COMPUTED_VALUE"""),"G-REQ-06872")</f>
        <v>G-REQ-06872</v>
      </c>
      <c r="B6873" s="11">
        <f>IFERROR(__xludf.DUMMYFUNCTION("""COMPUTED_VALUE"""),46250.42777951366)</f>
        <v>46250.42778</v>
      </c>
      <c r="C6873" s="9">
        <f>IFERROR(__xludf.DUMMYFUNCTION("""COMPUTED_VALUE"""),26245.0)</f>
        <v>26245</v>
      </c>
      <c r="D6873" s="9" t="str">
        <f>IFERROR(__xludf.DUMMYFUNCTION("""COMPUTED_VALUE"""),"Completed")</f>
        <v>Completed</v>
      </c>
    </row>
    <row r="6874">
      <c r="A6874" s="9" t="str">
        <f>IFERROR(__xludf.DUMMYFUNCTION("""COMPUTED_VALUE"""),"G-REQ-06873")</f>
        <v>G-REQ-06873</v>
      </c>
      <c r="B6874" s="11">
        <f>IFERROR(__xludf.DUMMYFUNCTION("""COMPUTED_VALUE"""),46250.49895435907)</f>
        <v>46250.49895</v>
      </c>
      <c r="C6874" s="9">
        <f>IFERROR(__xludf.DUMMYFUNCTION("""COMPUTED_VALUE"""),26249.0)</f>
        <v>26249</v>
      </c>
      <c r="D6874" s="9" t="str">
        <f>IFERROR(__xludf.DUMMYFUNCTION("""COMPUTED_VALUE"""),"Completed")</f>
        <v>Completed</v>
      </c>
    </row>
    <row r="6875">
      <c r="A6875" s="9" t="str">
        <f>IFERROR(__xludf.DUMMYFUNCTION("""COMPUTED_VALUE"""),"G-REQ-06874")</f>
        <v>G-REQ-06874</v>
      </c>
      <c r="B6875" s="11">
        <f>IFERROR(__xludf.DUMMYFUNCTION("""COMPUTED_VALUE"""),46250.57012920448)</f>
        <v>46250.57013</v>
      </c>
      <c r="C6875" s="9">
        <f>IFERROR(__xludf.DUMMYFUNCTION("""COMPUTED_VALUE"""),26253.0)</f>
        <v>26253</v>
      </c>
      <c r="D6875" s="9" t="str">
        <f>IFERROR(__xludf.DUMMYFUNCTION("""COMPUTED_VALUE"""),"Completed")</f>
        <v>Completed</v>
      </c>
    </row>
    <row r="6876">
      <c r="A6876" s="9" t="str">
        <f>IFERROR(__xludf.DUMMYFUNCTION("""COMPUTED_VALUE"""),"G-REQ-06875")</f>
        <v>G-REQ-06875</v>
      </c>
      <c r="B6876" s="11">
        <f>IFERROR(__xludf.DUMMYFUNCTION("""COMPUTED_VALUE"""),46250.6413040499)</f>
        <v>46250.6413</v>
      </c>
      <c r="C6876" s="9">
        <f>IFERROR(__xludf.DUMMYFUNCTION("""COMPUTED_VALUE"""),26257.0)</f>
        <v>26257</v>
      </c>
      <c r="D6876" s="9" t="str">
        <f>IFERROR(__xludf.DUMMYFUNCTION("""COMPUTED_VALUE"""),"Completed")</f>
        <v>Completed</v>
      </c>
    </row>
    <row r="6877">
      <c r="A6877" s="9" t="str">
        <f>IFERROR(__xludf.DUMMYFUNCTION("""COMPUTED_VALUE"""),"G-REQ-06876")</f>
        <v>G-REQ-06876</v>
      </c>
      <c r="B6877" s="11">
        <f>IFERROR(__xludf.DUMMYFUNCTION("""COMPUTED_VALUE"""),46250.712478895315)</f>
        <v>46250.71248</v>
      </c>
      <c r="C6877" s="9">
        <f>IFERROR(__xludf.DUMMYFUNCTION("""COMPUTED_VALUE"""),26261.0)</f>
        <v>26261</v>
      </c>
      <c r="D6877" s="9" t="str">
        <f>IFERROR(__xludf.DUMMYFUNCTION("""COMPUTED_VALUE"""),"Completed")</f>
        <v>Completed</v>
      </c>
    </row>
    <row r="6878">
      <c r="A6878" s="9" t="str">
        <f>IFERROR(__xludf.DUMMYFUNCTION("""COMPUTED_VALUE"""),"G-REQ-06877")</f>
        <v>G-REQ-06877</v>
      </c>
      <c r="B6878" s="11">
        <f>IFERROR(__xludf.DUMMYFUNCTION("""COMPUTED_VALUE"""),46250.78365374073)</f>
        <v>46250.78365</v>
      </c>
      <c r="C6878" s="9">
        <f>IFERROR(__xludf.DUMMYFUNCTION("""COMPUTED_VALUE"""),26265.0)</f>
        <v>26265</v>
      </c>
      <c r="D6878" s="9" t="str">
        <f>IFERROR(__xludf.DUMMYFUNCTION("""COMPUTED_VALUE"""),"Completed")</f>
        <v>Completed</v>
      </c>
    </row>
    <row r="6879">
      <c r="A6879" s="9" t="str">
        <f>IFERROR(__xludf.DUMMYFUNCTION("""COMPUTED_VALUE"""),"G-REQ-06878")</f>
        <v>G-REQ-06878</v>
      </c>
      <c r="B6879" s="11">
        <f>IFERROR(__xludf.DUMMYFUNCTION("""COMPUTED_VALUE"""),46250.85482858615)</f>
        <v>46250.85483</v>
      </c>
      <c r="C6879" s="9">
        <f>IFERROR(__xludf.DUMMYFUNCTION("""COMPUTED_VALUE"""),26269.0)</f>
        <v>26269</v>
      </c>
      <c r="D6879" s="9" t="str">
        <f>IFERROR(__xludf.DUMMYFUNCTION("""COMPUTED_VALUE"""),"Completed")</f>
        <v>Completed</v>
      </c>
    </row>
    <row r="6880">
      <c r="A6880" s="9" t="str">
        <f>IFERROR(__xludf.DUMMYFUNCTION("""COMPUTED_VALUE"""),"G-REQ-06879")</f>
        <v>G-REQ-06879</v>
      </c>
      <c r="B6880" s="11">
        <f>IFERROR(__xludf.DUMMYFUNCTION("""COMPUTED_VALUE"""),46250.92600343156)</f>
        <v>46250.926</v>
      </c>
      <c r="C6880" s="9">
        <f>IFERROR(__xludf.DUMMYFUNCTION("""COMPUTED_VALUE"""),26273.0)</f>
        <v>26273</v>
      </c>
      <c r="D6880" s="9" t="str">
        <f>IFERROR(__xludf.DUMMYFUNCTION("""COMPUTED_VALUE"""),"Completed")</f>
        <v>Completed</v>
      </c>
    </row>
    <row r="6881">
      <c r="A6881" s="9" t="str">
        <f>IFERROR(__xludf.DUMMYFUNCTION("""COMPUTED_VALUE"""),"G-REQ-06880")</f>
        <v>G-REQ-06880</v>
      </c>
      <c r="B6881" s="11">
        <f>IFERROR(__xludf.DUMMYFUNCTION("""COMPUTED_VALUE"""),46250.99023383253)</f>
        <v>46250.99023</v>
      </c>
      <c r="C6881" s="9">
        <f>IFERROR(__xludf.DUMMYFUNCTION("""COMPUTED_VALUE"""),26275.0)</f>
        <v>26275</v>
      </c>
      <c r="D6881" s="9" t="str">
        <f>IFERROR(__xludf.DUMMYFUNCTION("""COMPUTED_VALUE"""),"Cancelled")</f>
        <v>Cancelled</v>
      </c>
    </row>
    <row r="6882">
      <c r="A6882" s="9" t="str">
        <f>IFERROR(__xludf.DUMMYFUNCTION("""COMPUTED_VALUE"""),"G-REQ-06881")</f>
        <v>G-REQ-06881</v>
      </c>
      <c r="B6882" s="11">
        <f>IFERROR(__xludf.DUMMYFUNCTION("""COMPUTED_VALUE"""),46251.06835312239)</f>
        <v>46251.06835</v>
      </c>
      <c r="C6882" s="9">
        <f>IFERROR(__xludf.DUMMYFUNCTION("""COMPUTED_VALUE"""),26279.0)</f>
        <v>26279</v>
      </c>
      <c r="D6882" s="9" t="str">
        <f>IFERROR(__xludf.DUMMYFUNCTION("""COMPUTED_VALUE"""),"Completed")</f>
        <v>Completed</v>
      </c>
    </row>
    <row r="6883">
      <c r="A6883" s="9" t="str">
        <f>IFERROR(__xludf.DUMMYFUNCTION("""COMPUTED_VALUE"""),"G-REQ-06882")</f>
        <v>G-REQ-06882</v>
      </c>
      <c r="B6883" s="11">
        <f>IFERROR(__xludf.DUMMYFUNCTION("""COMPUTED_VALUE"""),46251.13952796781)</f>
        <v>46251.13953</v>
      </c>
      <c r="C6883" s="9">
        <f>IFERROR(__xludf.DUMMYFUNCTION("""COMPUTED_VALUE"""),26283.0)</f>
        <v>26283</v>
      </c>
      <c r="D6883" s="9" t="str">
        <f>IFERROR(__xludf.DUMMYFUNCTION("""COMPUTED_VALUE"""),"Completed")</f>
        <v>Completed</v>
      </c>
    </row>
    <row r="6884">
      <c r="A6884" s="9" t="str">
        <f>IFERROR(__xludf.DUMMYFUNCTION("""COMPUTED_VALUE"""),"G-REQ-06883")</f>
        <v>G-REQ-06883</v>
      </c>
      <c r="B6884" s="11">
        <f>IFERROR(__xludf.DUMMYFUNCTION("""COMPUTED_VALUE"""),46251.210702813216)</f>
        <v>46251.2107</v>
      </c>
      <c r="C6884" s="9">
        <f>IFERROR(__xludf.DUMMYFUNCTION("""COMPUTED_VALUE"""),26287.0)</f>
        <v>26287</v>
      </c>
      <c r="D6884" s="9" t="str">
        <f>IFERROR(__xludf.DUMMYFUNCTION("""COMPUTED_VALUE"""),"Completed")</f>
        <v>Completed</v>
      </c>
    </row>
    <row r="6885">
      <c r="A6885" s="9" t="str">
        <f>IFERROR(__xludf.DUMMYFUNCTION("""COMPUTED_VALUE"""),"G-REQ-06884")</f>
        <v>G-REQ-06884</v>
      </c>
      <c r="B6885" s="11">
        <f>IFERROR(__xludf.DUMMYFUNCTION("""COMPUTED_VALUE"""),46251.281877658635)</f>
        <v>46251.28188</v>
      </c>
      <c r="C6885" s="9">
        <f>IFERROR(__xludf.DUMMYFUNCTION("""COMPUTED_VALUE"""),26291.0)</f>
        <v>26291</v>
      </c>
      <c r="D6885" s="9" t="str">
        <f>IFERROR(__xludf.DUMMYFUNCTION("""COMPUTED_VALUE"""),"Completed")</f>
        <v>Completed</v>
      </c>
    </row>
    <row r="6886">
      <c r="A6886" s="9" t="str">
        <f>IFERROR(__xludf.DUMMYFUNCTION("""COMPUTED_VALUE"""),"G-REQ-06885")</f>
        <v>G-REQ-06885</v>
      </c>
      <c r="B6886" s="11">
        <f>IFERROR(__xludf.DUMMYFUNCTION("""COMPUTED_VALUE"""),46251.353052504055)</f>
        <v>46251.35305</v>
      </c>
      <c r="C6886" s="9">
        <f>IFERROR(__xludf.DUMMYFUNCTION("""COMPUTED_VALUE"""),26295.0)</f>
        <v>26295</v>
      </c>
      <c r="D6886" s="9" t="str">
        <f>IFERROR(__xludf.DUMMYFUNCTION("""COMPUTED_VALUE"""),"Completed")</f>
        <v>Completed</v>
      </c>
    </row>
    <row r="6887">
      <c r="A6887" s="9" t="str">
        <f>IFERROR(__xludf.DUMMYFUNCTION("""COMPUTED_VALUE"""),"G-REQ-06886")</f>
        <v>G-REQ-06886</v>
      </c>
      <c r="B6887" s="11">
        <f>IFERROR(__xludf.DUMMYFUNCTION("""COMPUTED_VALUE"""),46251.42422734947)</f>
        <v>46251.42423</v>
      </c>
      <c r="C6887" s="9">
        <f>IFERROR(__xludf.DUMMYFUNCTION("""COMPUTED_VALUE"""),26299.0)</f>
        <v>26299</v>
      </c>
      <c r="D6887" s="9" t="str">
        <f>IFERROR(__xludf.DUMMYFUNCTION("""COMPUTED_VALUE"""),"Completed")</f>
        <v>Completed</v>
      </c>
    </row>
    <row r="6888">
      <c r="A6888" s="9" t="str">
        <f>IFERROR(__xludf.DUMMYFUNCTION("""COMPUTED_VALUE"""),"G-REQ-06887")</f>
        <v>G-REQ-06887</v>
      </c>
      <c r="B6888" s="11">
        <f>IFERROR(__xludf.DUMMYFUNCTION("""COMPUTED_VALUE"""),46251.49540219488)</f>
        <v>46251.4954</v>
      </c>
      <c r="C6888" s="9">
        <f>IFERROR(__xludf.DUMMYFUNCTION("""COMPUTED_VALUE"""),26303.0)</f>
        <v>26303</v>
      </c>
      <c r="D6888" s="9" t="str">
        <f>IFERROR(__xludf.DUMMYFUNCTION("""COMPUTED_VALUE"""),"Completed")</f>
        <v>Completed</v>
      </c>
    </row>
    <row r="6889">
      <c r="A6889" s="9" t="str">
        <f>IFERROR(__xludf.DUMMYFUNCTION("""COMPUTED_VALUE"""),"G-REQ-06888")</f>
        <v>G-REQ-06888</v>
      </c>
      <c r="B6889" s="11">
        <f>IFERROR(__xludf.DUMMYFUNCTION("""COMPUTED_VALUE"""),46251.5665770403)</f>
        <v>46251.56658</v>
      </c>
      <c r="C6889" s="9">
        <f>IFERROR(__xludf.DUMMYFUNCTION("""COMPUTED_VALUE"""),26307.0)</f>
        <v>26307</v>
      </c>
      <c r="D6889" s="9" t="str">
        <f>IFERROR(__xludf.DUMMYFUNCTION("""COMPUTED_VALUE"""),"Completed")</f>
        <v>Completed</v>
      </c>
    </row>
    <row r="6890">
      <c r="A6890" s="9" t="str">
        <f>IFERROR(__xludf.DUMMYFUNCTION("""COMPUTED_VALUE"""),"G-REQ-06889")</f>
        <v>G-REQ-06889</v>
      </c>
      <c r="B6890" s="11">
        <f>IFERROR(__xludf.DUMMYFUNCTION("""COMPUTED_VALUE"""),46251.63775188571)</f>
        <v>46251.63775</v>
      </c>
      <c r="C6890" s="9">
        <f>IFERROR(__xludf.DUMMYFUNCTION("""COMPUTED_VALUE"""),26311.0)</f>
        <v>26311</v>
      </c>
      <c r="D6890" s="9" t="str">
        <f>IFERROR(__xludf.DUMMYFUNCTION("""COMPUTED_VALUE"""),"Completed")</f>
        <v>Completed</v>
      </c>
    </row>
    <row r="6891">
      <c r="A6891" s="9" t="str">
        <f>IFERROR(__xludf.DUMMYFUNCTION("""COMPUTED_VALUE"""),"G-REQ-06890")</f>
        <v>G-REQ-06890</v>
      </c>
      <c r="B6891" s="11">
        <f>IFERROR(__xludf.DUMMYFUNCTION("""COMPUTED_VALUE"""),46251.708926731124)</f>
        <v>46251.70893</v>
      </c>
      <c r="C6891" s="9">
        <f>IFERROR(__xludf.DUMMYFUNCTION("""COMPUTED_VALUE"""),26315.0)</f>
        <v>26315</v>
      </c>
      <c r="D6891" s="9" t="str">
        <f>IFERROR(__xludf.DUMMYFUNCTION("""COMPUTED_VALUE"""),"Completed")</f>
        <v>Completed</v>
      </c>
    </row>
    <row r="6892">
      <c r="A6892" s="9" t="str">
        <f>IFERROR(__xludf.DUMMYFUNCTION("""COMPUTED_VALUE"""),"G-REQ-06891")</f>
        <v>G-REQ-06891</v>
      </c>
      <c r="B6892" s="11">
        <f>IFERROR(__xludf.DUMMYFUNCTION("""COMPUTED_VALUE"""),46251.7731571321)</f>
        <v>46251.77316</v>
      </c>
      <c r="C6892" s="9">
        <f>IFERROR(__xludf.DUMMYFUNCTION("""COMPUTED_VALUE"""),26317.0)</f>
        <v>26317</v>
      </c>
      <c r="D6892" s="9" t="str">
        <f>IFERROR(__xludf.DUMMYFUNCTION("""COMPUTED_VALUE"""),"Rejected")</f>
        <v>Rejected</v>
      </c>
    </row>
    <row r="6893">
      <c r="A6893" s="9" t="str">
        <f>IFERROR(__xludf.DUMMYFUNCTION("""COMPUTED_VALUE"""),"G-REQ-06892")</f>
        <v>G-REQ-06892</v>
      </c>
      <c r="B6893" s="11">
        <f>IFERROR(__xludf.DUMMYFUNCTION("""COMPUTED_VALUE"""),46251.851276421956)</f>
        <v>46251.85128</v>
      </c>
      <c r="C6893" s="9">
        <f>IFERROR(__xludf.DUMMYFUNCTION("""COMPUTED_VALUE"""),26321.0)</f>
        <v>26321</v>
      </c>
      <c r="D6893" s="9" t="str">
        <f>IFERROR(__xludf.DUMMYFUNCTION("""COMPUTED_VALUE"""),"Completed")</f>
        <v>Completed</v>
      </c>
    </row>
    <row r="6894">
      <c r="A6894" s="9" t="str">
        <f>IFERROR(__xludf.DUMMYFUNCTION("""COMPUTED_VALUE"""),"G-REQ-06893")</f>
        <v>G-REQ-06893</v>
      </c>
      <c r="B6894" s="11">
        <f>IFERROR(__xludf.DUMMYFUNCTION("""COMPUTED_VALUE"""),46251.92245126737)</f>
        <v>46251.92245</v>
      </c>
      <c r="C6894" s="9">
        <f>IFERROR(__xludf.DUMMYFUNCTION("""COMPUTED_VALUE"""),26325.0)</f>
        <v>26325</v>
      </c>
      <c r="D6894" s="9" t="str">
        <f>IFERROR(__xludf.DUMMYFUNCTION("""COMPUTED_VALUE"""),"Completed")</f>
        <v>Completed</v>
      </c>
    </row>
    <row r="6895">
      <c r="A6895" s="9" t="str">
        <f>IFERROR(__xludf.DUMMYFUNCTION("""COMPUTED_VALUE"""),"G-REQ-06894")</f>
        <v>G-REQ-06894</v>
      </c>
      <c r="B6895" s="11">
        <f>IFERROR(__xludf.DUMMYFUNCTION("""COMPUTED_VALUE"""),46251.99362611279)</f>
        <v>46251.99363</v>
      </c>
      <c r="C6895" s="9">
        <f>IFERROR(__xludf.DUMMYFUNCTION("""COMPUTED_VALUE"""),26329.0)</f>
        <v>26329</v>
      </c>
      <c r="D6895" s="9" t="str">
        <f>IFERROR(__xludf.DUMMYFUNCTION("""COMPUTED_VALUE"""),"Completed")</f>
        <v>Completed</v>
      </c>
    </row>
    <row r="6896">
      <c r="A6896" s="9" t="str">
        <f>IFERROR(__xludf.DUMMYFUNCTION("""COMPUTED_VALUE"""),"G-REQ-06895")</f>
        <v>G-REQ-06895</v>
      </c>
      <c r="B6896" s="11">
        <f>IFERROR(__xludf.DUMMYFUNCTION("""COMPUTED_VALUE"""),46252.06480095821)</f>
        <v>46252.0648</v>
      </c>
      <c r="C6896" s="9">
        <f>IFERROR(__xludf.DUMMYFUNCTION("""COMPUTED_VALUE"""),26333.0)</f>
        <v>26333</v>
      </c>
      <c r="D6896" s="9" t="str">
        <f>IFERROR(__xludf.DUMMYFUNCTION("""COMPUTED_VALUE"""),"Completed")</f>
        <v>Completed</v>
      </c>
    </row>
    <row r="6897">
      <c r="A6897" s="9" t="str">
        <f>IFERROR(__xludf.DUMMYFUNCTION("""COMPUTED_VALUE"""),"G-REQ-06896")</f>
        <v>G-REQ-06896</v>
      </c>
      <c r="B6897" s="11">
        <f>IFERROR(__xludf.DUMMYFUNCTION("""COMPUTED_VALUE"""),46252.13597580361)</f>
        <v>46252.13598</v>
      </c>
      <c r="C6897" s="9">
        <f>IFERROR(__xludf.DUMMYFUNCTION("""COMPUTED_VALUE"""),26337.0)</f>
        <v>26337</v>
      </c>
      <c r="D6897" s="9" t="str">
        <f>IFERROR(__xludf.DUMMYFUNCTION("""COMPUTED_VALUE"""),"Completed")</f>
        <v>Completed</v>
      </c>
    </row>
    <row r="6898">
      <c r="A6898" s="9" t="str">
        <f>IFERROR(__xludf.DUMMYFUNCTION("""COMPUTED_VALUE"""),"G-REQ-06897")</f>
        <v>G-REQ-06897</v>
      </c>
      <c r="B6898" s="11">
        <f>IFERROR(__xludf.DUMMYFUNCTION("""COMPUTED_VALUE"""),46252.20020620459)</f>
        <v>46252.20021</v>
      </c>
      <c r="C6898" s="9">
        <f>IFERROR(__xludf.DUMMYFUNCTION("""COMPUTED_VALUE"""),26339.0)</f>
        <v>26339</v>
      </c>
      <c r="D6898" s="9" t="str">
        <f>IFERROR(__xludf.DUMMYFUNCTION("""COMPUTED_VALUE"""),"Rejected")</f>
        <v>Rejected</v>
      </c>
    </row>
    <row r="6899">
      <c r="A6899" s="9" t="str">
        <f>IFERROR(__xludf.DUMMYFUNCTION("""COMPUTED_VALUE"""),"G-REQ-06898")</f>
        <v>G-REQ-06898</v>
      </c>
      <c r="B6899" s="11">
        <f>IFERROR(__xludf.DUMMYFUNCTION("""COMPUTED_VALUE"""),46252.27832549445)</f>
        <v>46252.27833</v>
      </c>
      <c r="C6899" s="9">
        <f>IFERROR(__xludf.DUMMYFUNCTION("""COMPUTED_VALUE"""),26343.0)</f>
        <v>26343</v>
      </c>
      <c r="D6899" s="9" t="str">
        <f>IFERROR(__xludf.DUMMYFUNCTION("""COMPUTED_VALUE"""),"Completed")</f>
        <v>Completed</v>
      </c>
    </row>
    <row r="6900">
      <c r="A6900" s="9" t="str">
        <f>IFERROR(__xludf.DUMMYFUNCTION("""COMPUTED_VALUE"""),"G-REQ-06899")</f>
        <v>G-REQ-06899</v>
      </c>
      <c r="B6900" s="11">
        <f>IFERROR(__xludf.DUMMYFUNCTION("""COMPUTED_VALUE"""),46252.349500339864)</f>
        <v>46252.3495</v>
      </c>
      <c r="C6900" s="9">
        <f>IFERROR(__xludf.DUMMYFUNCTION("""COMPUTED_VALUE"""),26347.0)</f>
        <v>26347</v>
      </c>
      <c r="D6900" s="9" t="str">
        <f>IFERROR(__xludf.DUMMYFUNCTION("""COMPUTED_VALUE"""),"Completed")</f>
        <v>Completed</v>
      </c>
    </row>
    <row r="6901">
      <c r="A6901" s="9" t="str">
        <f>IFERROR(__xludf.DUMMYFUNCTION("""COMPUTED_VALUE"""),"G-REQ-06900")</f>
        <v>G-REQ-06900</v>
      </c>
      <c r="B6901" s="11">
        <f>IFERROR(__xludf.DUMMYFUNCTION("""COMPUTED_VALUE"""),46252.420675185276)</f>
        <v>46252.42068</v>
      </c>
      <c r="C6901" s="9">
        <f>IFERROR(__xludf.DUMMYFUNCTION("""COMPUTED_VALUE"""),26351.0)</f>
        <v>26351</v>
      </c>
      <c r="D6901" s="9" t="str">
        <f>IFERROR(__xludf.DUMMYFUNCTION("""COMPUTED_VALUE"""),"Completed")</f>
        <v>Completed</v>
      </c>
    </row>
    <row r="6902">
      <c r="A6902" s="9" t="str">
        <f>IFERROR(__xludf.DUMMYFUNCTION("""COMPUTED_VALUE"""),"G-REQ-06901")</f>
        <v>G-REQ-06901</v>
      </c>
      <c r="B6902" s="11">
        <f>IFERROR(__xludf.DUMMYFUNCTION("""COMPUTED_VALUE"""),46252.491850030696)</f>
        <v>46252.49185</v>
      </c>
      <c r="C6902" s="9">
        <f>IFERROR(__xludf.DUMMYFUNCTION("""COMPUTED_VALUE"""),26355.0)</f>
        <v>26355</v>
      </c>
      <c r="D6902" s="9" t="str">
        <f>IFERROR(__xludf.DUMMYFUNCTION("""COMPUTED_VALUE"""),"Completed")</f>
        <v>Completed</v>
      </c>
    </row>
    <row r="6903">
      <c r="A6903" s="9" t="str">
        <f>IFERROR(__xludf.DUMMYFUNCTION("""COMPUTED_VALUE"""),"G-REQ-06902")</f>
        <v>G-REQ-06902</v>
      </c>
      <c r="B6903" s="11">
        <f>IFERROR(__xludf.DUMMYFUNCTION("""COMPUTED_VALUE"""),46252.56302487611)</f>
        <v>46252.56302</v>
      </c>
      <c r="C6903" s="9">
        <f>IFERROR(__xludf.DUMMYFUNCTION("""COMPUTED_VALUE"""),26359.0)</f>
        <v>26359</v>
      </c>
      <c r="D6903" s="9" t="str">
        <f>IFERROR(__xludf.DUMMYFUNCTION("""COMPUTED_VALUE"""),"Completed")</f>
        <v>Completed</v>
      </c>
    </row>
    <row r="6904">
      <c r="A6904" s="9" t="str">
        <f>IFERROR(__xludf.DUMMYFUNCTION("""COMPUTED_VALUE"""),"G-REQ-06903")</f>
        <v>G-REQ-06903</v>
      </c>
      <c r="B6904" s="11">
        <f>IFERROR(__xludf.DUMMYFUNCTION("""COMPUTED_VALUE"""),46252.63419972152)</f>
        <v>46252.6342</v>
      </c>
      <c r="C6904" s="9">
        <f>IFERROR(__xludf.DUMMYFUNCTION("""COMPUTED_VALUE"""),26363.0)</f>
        <v>26363</v>
      </c>
      <c r="D6904" s="9" t="str">
        <f>IFERROR(__xludf.DUMMYFUNCTION("""COMPUTED_VALUE"""),"Completed")</f>
        <v>Completed</v>
      </c>
    </row>
    <row r="6905">
      <c r="A6905" s="9" t="str">
        <f>IFERROR(__xludf.DUMMYFUNCTION("""COMPUTED_VALUE"""),"G-REQ-06904")</f>
        <v>G-REQ-06904</v>
      </c>
      <c r="B6905" s="11">
        <f>IFERROR(__xludf.DUMMYFUNCTION("""COMPUTED_VALUE"""),46252.70537456694)</f>
        <v>46252.70537</v>
      </c>
      <c r="C6905" s="9">
        <f>IFERROR(__xludf.DUMMYFUNCTION("""COMPUTED_VALUE"""),26367.0)</f>
        <v>26367</v>
      </c>
      <c r="D6905" s="9" t="str">
        <f>IFERROR(__xludf.DUMMYFUNCTION("""COMPUTED_VALUE"""),"Completed")</f>
        <v>Completed</v>
      </c>
    </row>
    <row r="6906">
      <c r="A6906" s="9" t="str">
        <f>IFERROR(__xludf.DUMMYFUNCTION("""COMPUTED_VALUE"""),"G-REQ-06905")</f>
        <v>G-REQ-06905</v>
      </c>
      <c r="B6906" s="11">
        <f>IFERROR(__xludf.DUMMYFUNCTION("""COMPUTED_VALUE"""),46252.77654941235)</f>
        <v>46252.77655</v>
      </c>
      <c r="C6906" s="9">
        <f>IFERROR(__xludf.DUMMYFUNCTION("""COMPUTED_VALUE"""),26371.0)</f>
        <v>26371</v>
      </c>
      <c r="D6906" s="9" t="str">
        <f>IFERROR(__xludf.DUMMYFUNCTION("""COMPUTED_VALUE"""),"Completed")</f>
        <v>Completed</v>
      </c>
    </row>
    <row r="6907">
      <c r="A6907" s="9" t="str">
        <f>IFERROR(__xludf.DUMMYFUNCTION("""COMPUTED_VALUE"""),"G-REQ-06906")</f>
        <v>G-REQ-06906</v>
      </c>
      <c r="B6907" s="11">
        <f>IFERROR(__xludf.DUMMYFUNCTION("""COMPUTED_VALUE"""),46252.84077981332)</f>
        <v>46252.84078</v>
      </c>
      <c r="C6907" s="9">
        <f>IFERROR(__xludf.DUMMYFUNCTION("""COMPUTED_VALUE"""),26373.0)</f>
        <v>26373</v>
      </c>
      <c r="D6907" s="9" t="str">
        <f>IFERROR(__xludf.DUMMYFUNCTION("""COMPUTED_VALUE"""),"Cancelled")</f>
        <v>Cancelled</v>
      </c>
    </row>
    <row r="6908">
      <c r="A6908" s="9" t="str">
        <f>IFERROR(__xludf.DUMMYFUNCTION("""COMPUTED_VALUE"""),"G-REQ-06907")</f>
        <v>G-REQ-06907</v>
      </c>
      <c r="B6908" s="11">
        <f>IFERROR(__xludf.DUMMYFUNCTION("""COMPUTED_VALUE"""),46252.918899103184)</f>
        <v>46252.9189</v>
      </c>
      <c r="C6908" s="9">
        <f>IFERROR(__xludf.DUMMYFUNCTION("""COMPUTED_VALUE"""),26377.0)</f>
        <v>26377</v>
      </c>
      <c r="D6908" s="9" t="str">
        <f>IFERROR(__xludf.DUMMYFUNCTION("""COMPUTED_VALUE"""),"Completed")</f>
        <v>Completed</v>
      </c>
    </row>
    <row r="6909">
      <c r="A6909" s="9" t="str">
        <f>IFERROR(__xludf.DUMMYFUNCTION("""COMPUTED_VALUE"""),"G-REQ-06908")</f>
        <v>G-REQ-06908</v>
      </c>
      <c r="B6909" s="11">
        <f>IFERROR(__xludf.DUMMYFUNCTION("""COMPUTED_VALUE"""),46252.98312950416)</f>
        <v>46252.98313</v>
      </c>
      <c r="C6909" s="9">
        <f>IFERROR(__xludf.DUMMYFUNCTION("""COMPUTED_VALUE"""),26379.0)</f>
        <v>26379</v>
      </c>
      <c r="D6909" s="9" t="str">
        <f>IFERROR(__xludf.DUMMYFUNCTION("""COMPUTED_VALUE"""),"Rejected")</f>
        <v>Rejected</v>
      </c>
    </row>
    <row r="6910">
      <c r="A6910" s="9" t="str">
        <f>IFERROR(__xludf.DUMMYFUNCTION("""COMPUTED_VALUE"""),"G-REQ-06909")</f>
        <v>G-REQ-06909</v>
      </c>
      <c r="B6910" s="11">
        <f>IFERROR(__xludf.DUMMYFUNCTION("""COMPUTED_VALUE"""),46253.06124879401)</f>
        <v>46253.06125</v>
      </c>
      <c r="C6910" s="9">
        <f>IFERROR(__xludf.DUMMYFUNCTION("""COMPUTED_VALUE"""),26383.0)</f>
        <v>26383</v>
      </c>
      <c r="D6910" s="9" t="str">
        <f>IFERROR(__xludf.DUMMYFUNCTION("""COMPUTED_VALUE"""),"Completed")</f>
        <v>Completed</v>
      </c>
    </row>
    <row r="6911">
      <c r="A6911" s="9" t="str">
        <f>IFERROR(__xludf.DUMMYFUNCTION("""COMPUTED_VALUE"""),"G-REQ-06910")</f>
        <v>G-REQ-06910</v>
      </c>
      <c r="B6911" s="11">
        <f>IFERROR(__xludf.DUMMYFUNCTION("""COMPUTED_VALUE"""),46253.12547919498)</f>
        <v>46253.12548</v>
      </c>
      <c r="C6911" s="9">
        <f>IFERROR(__xludf.DUMMYFUNCTION("""COMPUTED_VALUE"""),26385.0)</f>
        <v>26385</v>
      </c>
      <c r="D6911" s="9" t="str">
        <f>IFERROR(__xludf.DUMMYFUNCTION("""COMPUTED_VALUE"""),"Rejected")</f>
        <v>Rejected</v>
      </c>
    </row>
    <row r="6912">
      <c r="A6912" s="9" t="str">
        <f>IFERROR(__xludf.DUMMYFUNCTION("""COMPUTED_VALUE"""),"G-REQ-06911")</f>
        <v>G-REQ-06911</v>
      </c>
      <c r="B6912" s="11">
        <f>IFERROR(__xludf.DUMMYFUNCTION("""COMPUTED_VALUE"""),46253.20359848485)</f>
        <v>46253.2036</v>
      </c>
      <c r="C6912" s="9">
        <f>IFERROR(__xludf.DUMMYFUNCTION("""COMPUTED_VALUE"""),26389.0)</f>
        <v>26389</v>
      </c>
      <c r="D6912" s="9" t="str">
        <f>IFERROR(__xludf.DUMMYFUNCTION("""COMPUTED_VALUE"""),"Completed")</f>
        <v>Completed</v>
      </c>
    </row>
    <row r="6913">
      <c r="A6913" s="9" t="str">
        <f>IFERROR(__xludf.DUMMYFUNCTION("""COMPUTED_VALUE"""),"G-REQ-06912")</f>
        <v>G-REQ-06912</v>
      </c>
      <c r="B6913" s="11">
        <f>IFERROR(__xludf.DUMMYFUNCTION("""COMPUTED_VALUE"""),46253.27477333026)</f>
        <v>46253.27477</v>
      </c>
      <c r="C6913" s="9">
        <f>IFERROR(__xludf.DUMMYFUNCTION("""COMPUTED_VALUE"""),26393.0)</f>
        <v>26393</v>
      </c>
      <c r="D6913" s="9" t="str">
        <f>IFERROR(__xludf.DUMMYFUNCTION("""COMPUTED_VALUE"""),"Completed")</f>
        <v>Completed</v>
      </c>
    </row>
    <row r="6914">
      <c r="A6914" s="9" t="str">
        <f>IFERROR(__xludf.DUMMYFUNCTION("""COMPUTED_VALUE"""),"G-REQ-06913")</f>
        <v>G-REQ-06913</v>
      </c>
      <c r="B6914" s="11">
        <f>IFERROR(__xludf.DUMMYFUNCTION("""COMPUTED_VALUE"""),46253.34594817567)</f>
        <v>46253.34595</v>
      </c>
      <c r="C6914" s="9">
        <f>IFERROR(__xludf.DUMMYFUNCTION("""COMPUTED_VALUE"""),26397.0)</f>
        <v>26397</v>
      </c>
      <c r="D6914" s="9" t="str">
        <f>IFERROR(__xludf.DUMMYFUNCTION("""COMPUTED_VALUE"""),"Completed")</f>
        <v>Completed</v>
      </c>
    </row>
    <row r="6915">
      <c r="A6915" s="9" t="str">
        <f>IFERROR(__xludf.DUMMYFUNCTION("""COMPUTED_VALUE"""),"G-REQ-06914")</f>
        <v>G-REQ-06914</v>
      </c>
      <c r="B6915" s="11">
        <f>IFERROR(__xludf.DUMMYFUNCTION("""COMPUTED_VALUE"""),46253.41017857665)</f>
        <v>46253.41018</v>
      </c>
      <c r="C6915" s="9">
        <f>IFERROR(__xludf.DUMMYFUNCTION("""COMPUTED_VALUE"""),26399.0)</f>
        <v>26399</v>
      </c>
      <c r="D6915" s="9" t="str">
        <f>IFERROR(__xludf.DUMMYFUNCTION("""COMPUTED_VALUE"""),"Rejected")</f>
        <v>Rejected</v>
      </c>
    </row>
    <row r="6916">
      <c r="A6916" s="9" t="str">
        <f>IFERROR(__xludf.DUMMYFUNCTION("""COMPUTED_VALUE"""),"G-REQ-06915")</f>
        <v>G-REQ-06915</v>
      </c>
      <c r="B6916" s="11">
        <f>IFERROR(__xludf.DUMMYFUNCTION("""COMPUTED_VALUE"""),46253.488297866505)</f>
        <v>46253.4883</v>
      </c>
      <c r="C6916" s="9">
        <f>IFERROR(__xludf.DUMMYFUNCTION("""COMPUTED_VALUE"""),26403.0)</f>
        <v>26403</v>
      </c>
      <c r="D6916" s="9" t="str">
        <f>IFERROR(__xludf.DUMMYFUNCTION("""COMPUTED_VALUE"""),"Completed")</f>
        <v>Completed</v>
      </c>
    </row>
    <row r="6917">
      <c r="A6917" s="9" t="str">
        <f>IFERROR(__xludf.DUMMYFUNCTION("""COMPUTED_VALUE"""),"G-REQ-06916")</f>
        <v>G-REQ-06916</v>
      </c>
      <c r="B6917" s="11">
        <f>IFERROR(__xludf.DUMMYFUNCTION("""COMPUTED_VALUE"""),46253.55947271192)</f>
        <v>46253.55947</v>
      </c>
      <c r="C6917" s="9">
        <f>IFERROR(__xludf.DUMMYFUNCTION("""COMPUTED_VALUE"""),26407.0)</f>
        <v>26407</v>
      </c>
      <c r="D6917" s="9" t="str">
        <f>IFERROR(__xludf.DUMMYFUNCTION("""COMPUTED_VALUE"""),"Completed")</f>
        <v>Completed</v>
      </c>
    </row>
    <row r="6918">
      <c r="A6918" s="9" t="str">
        <f>IFERROR(__xludf.DUMMYFUNCTION("""COMPUTED_VALUE"""),"G-REQ-06917")</f>
        <v>G-REQ-06917</v>
      </c>
      <c r="B6918" s="11">
        <f>IFERROR(__xludf.DUMMYFUNCTION("""COMPUTED_VALUE"""),46253.63064755734)</f>
        <v>46253.63065</v>
      </c>
      <c r="C6918" s="9">
        <f>IFERROR(__xludf.DUMMYFUNCTION("""COMPUTED_VALUE"""),26411.0)</f>
        <v>26411</v>
      </c>
      <c r="D6918" s="9" t="str">
        <f>IFERROR(__xludf.DUMMYFUNCTION("""COMPUTED_VALUE"""),"Completed")</f>
        <v>Completed</v>
      </c>
    </row>
    <row r="6919">
      <c r="A6919" s="9" t="str">
        <f>IFERROR(__xludf.DUMMYFUNCTION("""COMPUTED_VALUE"""),"G-REQ-06918")</f>
        <v>G-REQ-06918</v>
      </c>
      <c r="B6919" s="11">
        <f>IFERROR(__xludf.DUMMYFUNCTION("""COMPUTED_VALUE"""),46253.6948779583)</f>
        <v>46253.69488</v>
      </c>
      <c r="C6919" s="9">
        <f>IFERROR(__xludf.DUMMYFUNCTION("""COMPUTED_VALUE"""),26413.0)</f>
        <v>26413</v>
      </c>
      <c r="D6919" s="9" t="str">
        <f>IFERROR(__xludf.DUMMYFUNCTION("""COMPUTED_VALUE"""),"Rejected")</f>
        <v>Rejected</v>
      </c>
    </row>
    <row r="6920">
      <c r="A6920" s="9" t="str">
        <f>IFERROR(__xludf.DUMMYFUNCTION("""COMPUTED_VALUE"""),"G-REQ-06919")</f>
        <v>G-REQ-06919</v>
      </c>
      <c r="B6920" s="11">
        <f>IFERROR(__xludf.DUMMYFUNCTION("""COMPUTED_VALUE"""),46253.77299724816)</f>
        <v>46253.773</v>
      </c>
      <c r="C6920" s="9">
        <f>IFERROR(__xludf.DUMMYFUNCTION("""COMPUTED_VALUE"""),26417.0)</f>
        <v>26417</v>
      </c>
      <c r="D6920" s="9" t="str">
        <f>IFERROR(__xludf.DUMMYFUNCTION("""COMPUTED_VALUE"""),"Completed")</f>
        <v>Completed</v>
      </c>
    </row>
    <row r="6921">
      <c r="A6921" s="9" t="str">
        <f>IFERROR(__xludf.DUMMYFUNCTION("""COMPUTED_VALUE"""),"G-REQ-06920")</f>
        <v>G-REQ-06920</v>
      </c>
      <c r="B6921" s="11">
        <f>IFERROR(__xludf.DUMMYFUNCTION("""COMPUTED_VALUE"""),46253.837227649135)</f>
        <v>46253.83723</v>
      </c>
      <c r="C6921" s="9">
        <f>IFERROR(__xludf.DUMMYFUNCTION("""COMPUTED_VALUE"""),26419.0)</f>
        <v>26419</v>
      </c>
      <c r="D6921" s="9" t="str">
        <f>IFERROR(__xludf.DUMMYFUNCTION("""COMPUTED_VALUE"""),"Cancelled")</f>
        <v>Cancelled</v>
      </c>
    </row>
    <row r="6922">
      <c r="A6922" s="9" t="str">
        <f>IFERROR(__xludf.DUMMYFUNCTION("""COMPUTED_VALUE"""),"G-REQ-06921")</f>
        <v>G-REQ-06921</v>
      </c>
      <c r="B6922" s="11">
        <f>IFERROR(__xludf.DUMMYFUNCTION("""COMPUTED_VALUE"""),46253.91534693899)</f>
        <v>46253.91535</v>
      </c>
      <c r="C6922" s="9">
        <f>IFERROR(__xludf.DUMMYFUNCTION("""COMPUTED_VALUE"""),26423.0)</f>
        <v>26423</v>
      </c>
      <c r="D6922" s="9" t="str">
        <f>IFERROR(__xludf.DUMMYFUNCTION("""COMPUTED_VALUE"""),"Completed")</f>
        <v>Completed</v>
      </c>
    </row>
    <row r="6923">
      <c r="A6923" s="9" t="str">
        <f>IFERROR(__xludf.DUMMYFUNCTION("""COMPUTED_VALUE"""),"G-REQ-06922")</f>
        <v>G-REQ-06922</v>
      </c>
      <c r="B6923" s="11">
        <f>IFERROR(__xludf.DUMMYFUNCTION("""COMPUTED_VALUE"""),46253.986521784405)</f>
        <v>46253.98652</v>
      </c>
      <c r="C6923" s="9">
        <f>IFERROR(__xludf.DUMMYFUNCTION("""COMPUTED_VALUE"""),26427.0)</f>
        <v>26427</v>
      </c>
      <c r="D6923" s="9" t="str">
        <f>IFERROR(__xludf.DUMMYFUNCTION("""COMPUTED_VALUE"""),"Completed")</f>
        <v>Completed</v>
      </c>
    </row>
    <row r="6924">
      <c r="A6924" s="9" t="str">
        <f>IFERROR(__xludf.DUMMYFUNCTION("""COMPUTED_VALUE"""),"G-REQ-06923")</f>
        <v>G-REQ-06923</v>
      </c>
      <c r="B6924" s="11">
        <f>IFERROR(__xludf.DUMMYFUNCTION("""COMPUTED_VALUE"""),46254.05075218538)</f>
        <v>46254.05075</v>
      </c>
      <c r="C6924" s="9">
        <f>IFERROR(__xludf.DUMMYFUNCTION("""COMPUTED_VALUE"""),26429.0)</f>
        <v>26429</v>
      </c>
      <c r="D6924" s="9" t="str">
        <f>IFERROR(__xludf.DUMMYFUNCTION("""COMPUTED_VALUE"""),"Cancelled")</f>
        <v>Cancelled</v>
      </c>
    </row>
    <row r="6925">
      <c r="A6925" s="9" t="str">
        <f>IFERROR(__xludf.DUMMYFUNCTION("""COMPUTED_VALUE"""),"G-REQ-06924")</f>
        <v>G-REQ-06924</v>
      </c>
      <c r="B6925" s="11">
        <f>IFERROR(__xludf.DUMMYFUNCTION("""COMPUTED_VALUE"""),46254.128871475245)</f>
        <v>46254.12887</v>
      </c>
      <c r="C6925" s="9">
        <f>IFERROR(__xludf.DUMMYFUNCTION("""COMPUTED_VALUE"""),26433.0)</f>
        <v>26433</v>
      </c>
      <c r="D6925" s="9" t="str">
        <f>IFERROR(__xludf.DUMMYFUNCTION("""COMPUTED_VALUE"""),"Completed")</f>
        <v>Completed</v>
      </c>
    </row>
    <row r="6926">
      <c r="A6926" s="9" t="str">
        <f>IFERROR(__xludf.DUMMYFUNCTION("""COMPUTED_VALUE"""),"G-REQ-06925")</f>
        <v>G-REQ-06925</v>
      </c>
      <c r="B6926" s="11">
        <f>IFERROR(__xludf.DUMMYFUNCTION("""COMPUTED_VALUE"""),46254.20004632065)</f>
        <v>46254.20005</v>
      </c>
      <c r="C6926" s="9">
        <f>IFERROR(__xludf.DUMMYFUNCTION("""COMPUTED_VALUE"""),26437.0)</f>
        <v>26437</v>
      </c>
      <c r="D6926" s="9" t="str">
        <f>IFERROR(__xludf.DUMMYFUNCTION("""COMPUTED_VALUE"""),"Completed")</f>
        <v>Completed</v>
      </c>
    </row>
    <row r="6927">
      <c r="A6927" s="9" t="str">
        <f>IFERROR(__xludf.DUMMYFUNCTION("""COMPUTED_VALUE"""),"G-REQ-06926")</f>
        <v>G-REQ-06926</v>
      </c>
      <c r="B6927" s="11">
        <f>IFERROR(__xludf.DUMMYFUNCTION("""COMPUTED_VALUE"""),46254.27122116607)</f>
        <v>46254.27122</v>
      </c>
      <c r="C6927" s="9">
        <f>IFERROR(__xludf.DUMMYFUNCTION("""COMPUTED_VALUE"""),26441.0)</f>
        <v>26441</v>
      </c>
      <c r="D6927" s="9" t="str">
        <f>IFERROR(__xludf.DUMMYFUNCTION("""COMPUTED_VALUE"""),"Completed")</f>
        <v>Completed</v>
      </c>
    </row>
    <row r="6928">
      <c r="A6928" s="9" t="str">
        <f>IFERROR(__xludf.DUMMYFUNCTION("""COMPUTED_VALUE"""),"G-REQ-06927")</f>
        <v>G-REQ-06927</v>
      </c>
      <c r="B6928" s="11">
        <f>IFERROR(__xludf.DUMMYFUNCTION("""COMPUTED_VALUE"""),46254.34239601149)</f>
        <v>46254.3424</v>
      </c>
      <c r="C6928" s="9">
        <f>IFERROR(__xludf.DUMMYFUNCTION("""COMPUTED_VALUE"""),26445.0)</f>
        <v>26445</v>
      </c>
      <c r="D6928" s="9" t="str">
        <f>IFERROR(__xludf.DUMMYFUNCTION("""COMPUTED_VALUE"""),"Completed")</f>
        <v>Completed</v>
      </c>
    </row>
    <row r="6929">
      <c r="A6929" s="9" t="str">
        <f>IFERROR(__xludf.DUMMYFUNCTION("""COMPUTED_VALUE"""),"G-REQ-06928")</f>
        <v>G-REQ-06928</v>
      </c>
      <c r="B6929" s="11">
        <f>IFERROR(__xludf.DUMMYFUNCTION("""COMPUTED_VALUE"""),46254.4135708569)</f>
        <v>46254.41357</v>
      </c>
      <c r="C6929" s="9">
        <f>IFERROR(__xludf.DUMMYFUNCTION("""COMPUTED_VALUE"""),26449.0)</f>
        <v>26449</v>
      </c>
      <c r="D6929" s="9" t="str">
        <f>IFERROR(__xludf.DUMMYFUNCTION("""COMPUTED_VALUE"""),"Completed")</f>
        <v>Completed</v>
      </c>
    </row>
    <row r="6930">
      <c r="A6930" s="9" t="str">
        <f>IFERROR(__xludf.DUMMYFUNCTION("""COMPUTED_VALUE"""),"G-REQ-06929")</f>
        <v>G-REQ-06929</v>
      </c>
      <c r="B6930" s="11">
        <f>IFERROR(__xludf.DUMMYFUNCTION("""COMPUTED_VALUE"""),46254.48474570231)</f>
        <v>46254.48475</v>
      </c>
      <c r="C6930" s="9">
        <f>IFERROR(__xludf.DUMMYFUNCTION("""COMPUTED_VALUE"""),26453.0)</f>
        <v>26453</v>
      </c>
      <c r="D6930" s="9" t="str">
        <f>IFERROR(__xludf.DUMMYFUNCTION("""COMPUTED_VALUE"""),"Completed")</f>
        <v>Completed</v>
      </c>
    </row>
    <row r="6931">
      <c r="A6931" s="9" t="str">
        <f>IFERROR(__xludf.DUMMYFUNCTION("""COMPUTED_VALUE"""),"G-REQ-06930")</f>
        <v>G-REQ-06930</v>
      </c>
      <c r="B6931" s="11">
        <f>IFERROR(__xludf.DUMMYFUNCTION("""COMPUTED_VALUE"""),46254.54897610329)</f>
        <v>46254.54898</v>
      </c>
      <c r="C6931" s="9">
        <f>IFERROR(__xludf.DUMMYFUNCTION("""COMPUTED_VALUE"""),26455.0)</f>
        <v>26455</v>
      </c>
      <c r="D6931" s="9" t="str">
        <f>IFERROR(__xludf.DUMMYFUNCTION("""COMPUTED_VALUE"""),"Rejected")</f>
        <v>Rejected</v>
      </c>
    </row>
    <row r="6932">
      <c r="A6932" s="9" t="str">
        <f>IFERROR(__xludf.DUMMYFUNCTION("""COMPUTED_VALUE"""),"G-REQ-06931")</f>
        <v>G-REQ-06931</v>
      </c>
      <c r="B6932" s="11">
        <f>IFERROR(__xludf.DUMMYFUNCTION("""COMPUTED_VALUE"""),46254.627095393145)</f>
        <v>46254.6271</v>
      </c>
      <c r="C6932" s="9">
        <f>IFERROR(__xludf.DUMMYFUNCTION("""COMPUTED_VALUE"""),26459.0)</f>
        <v>26459</v>
      </c>
      <c r="D6932" s="9" t="str">
        <f>IFERROR(__xludf.DUMMYFUNCTION("""COMPUTED_VALUE"""),"Completed")</f>
        <v>Completed</v>
      </c>
    </row>
    <row r="6933">
      <c r="A6933" s="9" t="str">
        <f>IFERROR(__xludf.DUMMYFUNCTION("""COMPUTED_VALUE"""),"G-REQ-06932")</f>
        <v>G-REQ-06932</v>
      </c>
      <c r="B6933" s="11">
        <f>IFERROR(__xludf.DUMMYFUNCTION("""COMPUTED_VALUE"""),46254.69827023856)</f>
        <v>46254.69827</v>
      </c>
      <c r="C6933" s="9">
        <f>IFERROR(__xludf.DUMMYFUNCTION("""COMPUTED_VALUE"""),26463.0)</f>
        <v>26463</v>
      </c>
      <c r="D6933" s="9" t="str">
        <f>IFERROR(__xludf.DUMMYFUNCTION("""COMPUTED_VALUE"""),"Completed")</f>
        <v>Completed</v>
      </c>
    </row>
    <row r="6934">
      <c r="A6934" s="9" t="str">
        <f>IFERROR(__xludf.DUMMYFUNCTION("""COMPUTED_VALUE"""),"G-REQ-06933")</f>
        <v>G-REQ-06933</v>
      </c>
      <c r="B6934" s="11">
        <f>IFERROR(__xludf.DUMMYFUNCTION("""COMPUTED_VALUE"""),46254.76944508398)</f>
        <v>46254.76945</v>
      </c>
      <c r="C6934" s="9">
        <f>IFERROR(__xludf.DUMMYFUNCTION("""COMPUTED_VALUE"""),26467.0)</f>
        <v>26467</v>
      </c>
      <c r="D6934" s="9" t="str">
        <f>IFERROR(__xludf.DUMMYFUNCTION("""COMPUTED_VALUE"""),"Completed")</f>
        <v>Completed</v>
      </c>
    </row>
    <row r="6935">
      <c r="A6935" s="9" t="str">
        <f>IFERROR(__xludf.DUMMYFUNCTION("""COMPUTED_VALUE"""),"G-REQ-06934")</f>
        <v>G-REQ-06934</v>
      </c>
      <c r="B6935" s="11">
        <f>IFERROR(__xludf.DUMMYFUNCTION("""COMPUTED_VALUE"""),46254.84061992939)</f>
        <v>46254.84062</v>
      </c>
      <c r="C6935" s="9">
        <f>IFERROR(__xludf.DUMMYFUNCTION("""COMPUTED_VALUE"""),26471.0)</f>
        <v>26471</v>
      </c>
      <c r="D6935" s="9" t="str">
        <f>IFERROR(__xludf.DUMMYFUNCTION("""COMPUTED_VALUE"""),"Completed")</f>
        <v>Completed</v>
      </c>
    </row>
    <row r="6936">
      <c r="A6936" s="9" t="str">
        <f>IFERROR(__xludf.DUMMYFUNCTION("""COMPUTED_VALUE"""),"G-REQ-06935")</f>
        <v>G-REQ-06935</v>
      </c>
      <c r="B6936" s="11">
        <f>IFERROR(__xludf.DUMMYFUNCTION("""COMPUTED_VALUE"""),46254.9117947748)</f>
        <v>46254.91179</v>
      </c>
      <c r="C6936" s="9">
        <f>IFERROR(__xludf.DUMMYFUNCTION("""COMPUTED_VALUE"""),26475.0)</f>
        <v>26475</v>
      </c>
      <c r="D6936" s="9" t="str">
        <f>IFERROR(__xludf.DUMMYFUNCTION("""COMPUTED_VALUE"""),"Completed")</f>
        <v>Completed</v>
      </c>
    </row>
    <row r="6937">
      <c r="A6937" s="9" t="str">
        <f>IFERROR(__xludf.DUMMYFUNCTION("""COMPUTED_VALUE"""),"G-REQ-06936")</f>
        <v>G-REQ-06936</v>
      </c>
      <c r="B6937" s="11">
        <f>IFERROR(__xludf.DUMMYFUNCTION("""COMPUTED_VALUE"""),46254.98296962022)</f>
        <v>46254.98297</v>
      </c>
      <c r="C6937" s="9">
        <f>IFERROR(__xludf.DUMMYFUNCTION("""COMPUTED_VALUE"""),26479.0)</f>
        <v>26479</v>
      </c>
      <c r="D6937" s="9" t="str">
        <f>IFERROR(__xludf.DUMMYFUNCTION("""COMPUTED_VALUE"""),"Completed")</f>
        <v>Completed</v>
      </c>
    </row>
    <row r="6938">
      <c r="A6938" s="9" t="str">
        <f>IFERROR(__xludf.DUMMYFUNCTION("""COMPUTED_VALUE"""),"G-REQ-06937")</f>
        <v>G-REQ-06937</v>
      </c>
      <c r="B6938" s="11">
        <f>IFERROR(__xludf.DUMMYFUNCTION("""COMPUTED_VALUE"""),46255.054144465634)</f>
        <v>46255.05414</v>
      </c>
      <c r="C6938" s="9">
        <f>IFERROR(__xludf.DUMMYFUNCTION("""COMPUTED_VALUE"""),26483.0)</f>
        <v>26483</v>
      </c>
      <c r="D6938" s="9" t="str">
        <f>IFERROR(__xludf.DUMMYFUNCTION("""COMPUTED_VALUE"""),"Completed")</f>
        <v>Completed</v>
      </c>
    </row>
    <row r="6939">
      <c r="A6939" s="9" t="str">
        <f>IFERROR(__xludf.DUMMYFUNCTION("""COMPUTED_VALUE"""),"G-REQ-06938")</f>
        <v>G-REQ-06938</v>
      </c>
      <c r="B6939" s="11">
        <f>IFERROR(__xludf.DUMMYFUNCTION("""COMPUTED_VALUE"""),46255.1183748666)</f>
        <v>46255.11837</v>
      </c>
      <c r="C6939" s="9">
        <f>IFERROR(__xludf.DUMMYFUNCTION("""COMPUTED_VALUE"""),26485.0)</f>
        <v>26485</v>
      </c>
      <c r="D6939" s="9" t="str">
        <f>IFERROR(__xludf.DUMMYFUNCTION("""COMPUTED_VALUE"""),"Rejected")</f>
        <v>Rejected</v>
      </c>
    </row>
    <row r="6940">
      <c r="A6940" s="9" t="str">
        <f>IFERROR(__xludf.DUMMYFUNCTION("""COMPUTED_VALUE"""),"G-REQ-06939")</f>
        <v>G-REQ-06939</v>
      </c>
      <c r="B6940" s="11">
        <f>IFERROR(__xludf.DUMMYFUNCTION("""COMPUTED_VALUE"""),46255.196494156466)</f>
        <v>46255.19649</v>
      </c>
      <c r="C6940" s="9">
        <f>IFERROR(__xludf.DUMMYFUNCTION("""COMPUTED_VALUE"""),26489.0)</f>
        <v>26489</v>
      </c>
      <c r="D6940" s="9" t="str">
        <f>IFERROR(__xludf.DUMMYFUNCTION("""COMPUTED_VALUE"""),"Completed")</f>
        <v>Completed</v>
      </c>
    </row>
    <row r="6941">
      <c r="A6941" s="9" t="str">
        <f>IFERROR(__xludf.DUMMYFUNCTION("""COMPUTED_VALUE"""),"G-REQ-06940")</f>
        <v>G-REQ-06940</v>
      </c>
      <c r="B6941" s="11">
        <f>IFERROR(__xludf.DUMMYFUNCTION("""COMPUTED_VALUE"""),46255.267669001885)</f>
        <v>46255.26767</v>
      </c>
      <c r="C6941" s="9">
        <f>IFERROR(__xludf.DUMMYFUNCTION("""COMPUTED_VALUE"""),26493.0)</f>
        <v>26493</v>
      </c>
      <c r="D6941" s="9" t="str">
        <f>IFERROR(__xludf.DUMMYFUNCTION("""COMPUTED_VALUE"""),"Completed")</f>
        <v>Completed</v>
      </c>
    </row>
    <row r="6942">
      <c r="A6942" s="9" t="str">
        <f>IFERROR(__xludf.DUMMYFUNCTION("""COMPUTED_VALUE"""),"G-REQ-06941")</f>
        <v>G-REQ-06941</v>
      </c>
      <c r="B6942" s="11">
        <f>IFERROR(__xludf.DUMMYFUNCTION("""COMPUTED_VALUE"""),46255.33884384729)</f>
        <v>46255.33884</v>
      </c>
      <c r="C6942" s="9">
        <f>IFERROR(__xludf.DUMMYFUNCTION("""COMPUTED_VALUE"""),26497.0)</f>
        <v>26497</v>
      </c>
      <c r="D6942" s="9" t="str">
        <f>IFERROR(__xludf.DUMMYFUNCTION("""COMPUTED_VALUE"""),"Completed")</f>
        <v>Completed</v>
      </c>
    </row>
    <row r="6943">
      <c r="A6943" s="9" t="str">
        <f>IFERROR(__xludf.DUMMYFUNCTION("""COMPUTED_VALUE"""),"G-REQ-06942")</f>
        <v>G-REQ-06942</v>
      </c>
      <c r="B6943" s="11">
        <f>IFERROR(__xludf.DUMMYFUNCTION("""COMPUTED_VALUE"""),46255.41001869271)</f>
        <v>46255.41002</v>
      </c>
      <c r="C6943" s="9">
        <f>IFERROR(__xludf.DUMMYFUNCTION("""COMPUTED_VALUE"""),26501.0)</f>
        <v>26501</v>
      </c>
      <c r="D6943" s="9" t="str">
        <f>IFERROR(__xludf.DUMMYFUNCTION("""COMPUTED_VALUE"""),"Completed")</f>
        <v>Completed</v>
      </c>
    </row>
    <row r="6944">
      <c r="A6944" s="9" t="str">
        <f>IFERROR(__xludf.DUMMYFUNCTION("""COMPUTED_VALUE"""),"G-REQ-06943")</f>
        <v>G-REQ-06943</v>
      </c>
      <c r="B6944" s="11">
        <f>IFERROR(__xludf.DUMMYFUNCTION("""COMPUTED_VALUE"""),46255.48119353813)</f>
        <v>46255.48119</v>
      </c>
      <c r="C6944" s="9">
        <f>IFERROR(__xludf.DUMMYFUNCTION("""COMPUTED_VALUE"""),26505.0)</f>
        <v>26505</v>
      </c>
      <c r="D6944" s="9" t="str">
        <f>IFERROR(__xludf.DUMMYFUNCTION("""COMPUTED_VALUE"""),"Completed")</f>
        <v>Completed</v>
      </c>
    </row>
    <row r="6945">
      <c r="A6945" s="9" t="str">
        <f>IFERROR(__xludf.DUMMYFUNCTION("""COMPUTED_VALUE"""),"G-REQ-06944")</f>
        <v>G-REQ-06944</v>
      </c>
      <c r="B6945" s="11">
        <f>IFERROR(__xludf.DUMMYFUNCTION("""COMPUTED_VALUE"""),46255.55236838354)</f>
        <v>46255.55237</v>
      </c>
      <c r="C6945" s="9">
        <f>IFERROR(__xludf.DUMMYFUNCTION("""COMPUTED_VALUE"""),26509.0)</f>
        <v>26509</v>
      </c>
      <c r="D6945" s="9" t="str">
        <f>IFERROR(__xludf.DUMMYFUNCTION("""COMPUTED_VALUE"""),"Completed")</f>
        <v>Completed</v>
      </c>
    </row>
    <row r="6946">
      <c r="A6946" s="9" t="str">
        <f>IFERROR(__xludf.DUMMYFUNCTION("""COMPUTED_VALUE"""),"G-REQ-06945")</f>
        <v>G-REQ-06945</v>
      </c>
      <c r="B6946" s="11">
        <f>IFERROR(__xludf.DUMMYFUNCTION("""COMPUTED_VALUE"""),46255.623543228954)</f>
        <v>46255.62354</v>
      </c>
      <c r="C6946" s="9">
        <f>IFERROR(__xludf.DUMMYFUNCTION("""COMPUTED_VALUE"""),26513.0)</f>
        <v>26513</v>
      </c>
      <c r="D6946" s="9" t="str">
        <f>IFERROR(__xludf.DUMMYFUNCTION("""COMPUTED_VALUE"""),"Completed")</f>
        <v>Completed</v>
      </c>
    </row>
    <row r="6947">
      <c r="A6947" s="9" t="str">
        <f>IFERROR(__xludf.DUMMYFUNCTION("""COMPUTED_VALUE"""),"G-REQ-06946")</f>
        <v>G-REQ-06946</v>
      </c>
      <c r="B6947" s="11">
        <f>IFERROR(__xludf.DUMMYFUNCTION("""COMPUTED_VALUE"""),46255.694718074374)</f>
        <v>46255.69472</v>
      </c>
      <c r="C6947" s="9">
        <f>IFERROR(__xludf.DUMMYFUNCTION("""COMPUTED_VALUE"""),26517.0)</f>
        <v>26517</v>
      </c>
      <c r="D6947" s="9" t="str">
        <f>IFERROR(__xludf.DUMMYFUNCTION("""COMPUTED_VALUE"""),"Completed")</f>
        <v>Completed</v>
      </c>
    </row>
    <row r="6948">
      <c r="A6948" s="9" t="str">
        <f>IFERROR(__xludf.DUMMYFUNCTION("""COMPUTED_VALUE"""),"G-REQ-06947")</f>
        <v>G-REQ-06947</v>
      </c>
      <c r="B6948" s="11">
        <f>IFERROR(__xludf.DUMMYFUNCTION("""COMPUTED_VALUE"""),46255.765892919786)</f>
        <v>46255.76589</v>
      </c>
      <c r="C6948" s="9">
        <f>IFERROR(__xludf.DUMMYFUNCTION("""COMPUTED_VALUE"""),26521.0)</f>
        <v>26521</v>
      </c>
      <c r="D6948" s="9" t="str">
        <f>IFERROR(__xludf.DUMMYFUNCTION("""COMPUTED_VALUE"""),"Completed")</f>
        <v>Completed</v>
      </c>
    </row>
    <row r="6949">
      <c r="A6949" s="9" t="str">
        <f>IFERROR(__xludf.DUMMYFUNCTION("""COMPUTED_VALUE"""),"G-REQ-06948")</f>
        <v>G-REQ-06948</v>
      </c>
      <c r="B6949" s="11">
        <f>IFERROR(__xludf.DUMMYFUNCTION("""COMPUTED_VALUE"""),46255.83012332075)</f>
        <v>46255.83012</v>
      </c>
      <c r="C6949" s="9">
        <f>IFERROR(__xludf.DUMMYFUNCTION("""COMPUTED_VALUE"""),26523.0)</f>
        <v>26523</v>
      </c>
      <c r="D6949" s="9" t="str">
        <f>IFERROR(__xludf.DUMMYFUNCTION("""COMPUTED_VALUE"""),"Rejected")</f>
        <v>Rejected</v>
      </c>
    </row>
    <row r="6950">
      <c r="A6950" s="9" t="str">
        <f>IFERROR(__xludf.DUMMYFUNCTION("""COMPUTED_VALUE"""),"G-REQ-06949")</f>
        <v>G-REQ-06949</v>
      </c>
      <c r="B6950" s="11">
        <f>IFERROR(__xludf.DUMMYFUNCTION("""COMPUTED_VALUE"""),46255.90824261062)</f>
        <v>46255.90824</v>
      </c>
      <c r="C6950" s="9">
        <f>IFERROR(__xludf.DUMMYFUNCTION("""COMPUTED_VALUE"""),26527.0)</f>
        <v>26527</v>
      </c>
      <c r="D6950" s="9" t="str">
        <f>IFERROR(__xludf.DUMMYFUNCTION("""COMPUTED_VALUE"""),"Completed")</f>
        <v>Completed</v>
      </c>
    </row>
    <row r="6951">
      <c r="A6951" s="9" t="str">
        <f>IFERROR(__xludf.DUMMYFUNCTION("""COMPUTED_VALUE"""),"G-REQ-06950")</f>
        <v>G-REQ-06950</v>
      </c>
      <c r="B6951" s="11">
        <f>IFERROR(__xludf.DUMMYFUNCTION("""COMPUTED_VALUE"""),46255.97941745604)</f>
        <v>46255.97942</v>
      </c>
      <c r="C6951" s="9">
        <f>IFERROR(__xludf.DUMMYFUNCTION("""COMPUTED_VALUE"""),26531.0)</f>
        <v>26531</v>
      </c>
      <c r="D6951" s="9" t="str">
        <f>IFERROR(__xludf.DUMMYFUNCTION("""COMPUTED_VALUE"""),"Completed")</f>
        <v>Completed</v>
      </c>
    </row>
    <row r="6952">
      <c r="A6952" s="9" t="str">
        <f>IFERROR(__xludf.DUMMYFUNCTION("""COMPUTED_VALUE"""),"G-REQ-06951")</f>
        <v>G-REQ-06951</v>
      </c>
      <c r="B6952" s="11">
        <f>IFERROR(__xludf.DUMMYFUNCTION("""COMPUTED_VALUE"""),46256.05059230144)</f>
        <v>46256.05059</v>
      </c>
      <c r="C6952" s="9">
        <f>IFERROR(__xludf.DUMMYFUNCTION("""COMPUTED_VALUE"""),26535.0)</f>
        <v>26535</v>
      </c>
      <c r="D6952" s="9" t="str">
        <f>IFERROR(__xludf.DUMMYFUNCTION("""COMPUTED_VALUE"""),"Completed")</f>
        <v>Completed</v>
      </c>
    </row>
    <row r="6953">
      <c r="A6953" s="9" t="str">
        <f>IFERROR(__xludf.DUMMYFUNCTION("""COMPUTED_VALUE"""),"G-REQ-06952")</f>
        <v>G-REQ-06952</v>
      </c>
      <c r="B6953" s="11">
        <f>IFERROR(__xludf.DUMMYFUNCTION("""COMPUTED_VALUE"""),46256.12176714686)</f>
        <v>46256.12177</v>
      </c>
      <c r="C6953" s="9">
        <f>IFERROR(__xludf.DUMMYFUNCTION("""COMPUTED_VALUE"""),26539.0)</f>
        <v>26539</v>
      </c>
      <c r="D6953" s="9" t="str">
        <f>IFERROR(__xludf.DUMMYFUNCTION("""COMPUTED_VALUE"""),"Completed")</f>
        <v>Completed</v>
      </c>
    </row>
    <row r="6954">
      <c r="A6954" s="9" t="str">
        <f>IFERROR(__xludf.DUMMYFUNCTION("""COMPUTED_VALUE"""),"G-REQ-06953")</f>
        <v>G-REQ-06953</v>
      </c>
      <c r="B6954" s="11">
        <f>IFERROR(__xludf.DUMMYFUNCTION("""COMPUTED_VALUE"""),46256.192941992274)</f>
        <v>46256.19294</v>
      </c>
      <c r="C6954" s="9">
        <f>IFERROR(__xludf.DUMMYFUNCTION("""COMPUTED_VALUE"""),26543.0)</f>
        <v>26543</v>
      </c>
      <c r="D6954" s="9" t="str">
        <f>IFERROR(__xludf.DUMMYFUNCTION("""COMPUTED_VALUE"""),"Completed")</f>
        <v>Completed</v>
      </c>
    </row>
    <row r="6955">
      <c r="A6955" s="9" t="str">
        <f>IFERROR(__xludf.DUMMYFUNCTION("""COMPUTED_VALUE"""),"G-REQ-06954")</f>
        <v>G-REQ-06954</v>
      </c>
      <c r="B6955" s="11">
        <f>IFERROR(__xludf.DUMMYFUNCTION("""COMPUTED_VALUE"""),46256.264116837694)</f>
        <v>46256.26412</v>
      </c>
      <c r="C6955" s="9">
        <f>IFERROR(__xludf.DUMMYFUNCTION("""COMPUTED_VALUE"""),26547.0)</f>
        <v>26547</v>
      </c>
      <c r="D6955" s="9" t="str">
        <f>IFERROR(__xludf.DUMMYFUNCTION("""COMPUTED_VALUE"""),"Completed")</f>
        <v>Completed</v>
      </c>
    </row>
    <row r="6956">
      <c r="A6956" s="9" t="str">
        <f>IFERROR(__xludf.DUMMYFUNCTION("""COMPUTED_VALUE"""),"G-REQ-06955")</f>
        <v>G-REQ-06955</v>
      </c>
      <c r="B6956" s="11">
        <f>IFERROR(__xludf.DUMMYFUNCTION("""COMPUTED_VALUE"""),46256.335291683106)</f>
        <v>46256.33529</v>
      </c>
      <c r="C6956" s="9">
        <f>IFERROR(__xludf.DUMMYFUNCTION("""COMPUTED_VALUE"""),26551.0)</f>
        <v>26551</v>
      </c>
      <c r="D6956" s="9" t="str">
        <f>IFERROR(__xludf.DUMMYFUNCTION("""COMPUTED_VALUE"""),"Completed")</f>
        <v>Completed</v>
      </c>
    </row>
    <row r="6957">
      <c r="A6957" s="9" t="str">
        <f>IFERROR(__xludf.DUMMYFUNCTION("""COMPUTED_VALUE"""),"G-REQ-06956")</f>
        <v>G-REQ-06956</v>
      </c>
      <c r="B6957" s="11">
        <f>IFERROR(__xludf.DUMMYFUNCTION("""COMPUTED_VALUE"""),46256.406466528526)</f>
        <v>46256.40647</v>
      </c>
      <c r="C6957" s="9">
        <f>IFERROR(__xludf.DUMMYFUNCTION("""COMPUTED_VALUE"""),26555.0)</f>
        <v>26555</v>
      </c>
      <c r="D6957" s="9" t="str">
        <f>IFERROR(__xludf.DUMMYFUNCTION("""COMPUTED_VALUE"""),"Completed")</f>
        <v>Completed</v>
      </c>
    </row>
    <row r="6958">
      <c r="A6958" s="9" t="str">
        <f>IFERROR(__xludf.DUMMYFUNCTION("""COMPUTED_VALUE"""),"G-REQ-06957")</f>
        <v>G-REQ-06957</v>
      </c>
      <c r="B6958" s="11">
        <f>IFERROR(__xludf.DUMMYFUNCTION("""COMPUTED_VALUE"""),46256.47764137393)</f>
        <v>46256.47764</v>
      </c>
      <c r="C6958" s="9">
        <f>IFERROR(__xludf.DUMMYFUNCTION("""COMPUTED_VALUE"""),26559.0)</f>
        <v>26559</v>
      </c>
      <c r="D6958" s="9" t="str">
        <f>IFERROR(__xludf.DUMMYFUNCTION("""COMPUTED_VALUE"""),"Completed")</f>
        <v>Completed</v>
      </c>
    </row>
    <row r="6959">
      <c r="A6959" s="9" t="str">
        <f>IFERROR(__xludf.DUMMYFUNCTION("""COMPUTED_VALUE"""),"G-REQ-06958")</f>
        <v>G-REQ-06958</v>
      </c>
      <c r="B6959" s="11">
        <f>IFERROR(__xludf.DUMMYFUNCTION("""COMPUTED_VALUE"""),46256.54881621935)</f>
        <v>46256.54882</v>
      </c>
      <c r="C6959" s="9">
        <f>IFERROR(__xludf.DUMMYFUNCTION("""COMPUTED_VALUE"""),26563.0)</f>
        <v>26563</v>
      </c>
      <c r="D6959" s="9" t="str">
        <f>IFERROR(__xludf.DUMMYFUNCTION("""COMPUTED_VALUE"""),"Completed")</f>
        <v>Completed</v>
      </c>
    </row>
    <row r="6960">
      <c r="A6960" s="9" t="str">
        <f>IFERROR(__xludf.DUMMYFUNCTION("""COMPUTED_VALUE"""),"G-REQ-06959")</f>
        <v>G-REQ-06959</v>
      </c>
      <c r="B6960" s="11">
        <f>IFERROR(__xludf.DUMMYFUNCTION("""COMPUTED_VALUE"""),46256.61999106477)</f>
        <v>46256.61999</v>
      </c>
      <c r="C6960" s="9">
        <f>IFERROR(__xludf.DUMMYFUNCTION("""COMPUTED_VALUE"""),26567.0)</f>
        <v>26567</v>
      </c>
      <c r="D6960" s="9" t="str">
        <f>IFERROR(__xludf.DUMMYFUNCTION("""COMPUTED_VALUE"""),"Completed")</f>
        <v>Completed</v>
      </c>
    </row>
    <row r="6961">
      <c r="A6961" s="9" t="str">
        <f>IFERROR(__xludf.DUMMYFUNCTION("""COMPUTED_VALUE"""),"G-REQ-06960")</f>
        <v>G-REQ-06960</v>
      </c>
      <c r="B6961" s="11">
        <f>IFERROR(__xludf.DUMMYFUNCTION("""COMPUTED_VALUE"""),46256.69116591018)</f>
        <v>46256.69117</v>
      </c>
      <c r="C6961" s="9">
        <f>IFERROR(__xludf.DUMMYFUNCTION("""COMPUTED_VALUE"""),26571.0)</f>
        <v>26571</v>
      </c>
      <c r="D6961" s="9" t="str">
        <f>IFERROR(__xludf.DUMMYFUNCTION("""COMPUTED_VALUE"""),"Completed")</f>
        <v>Completed</v>
      </c>
    </row>
    <row r="6962">
      <c r="A6962" s="9" t="str">
        <f>IFERROR(__xludf.DUMMYFUNCTION("""COMPUTED_VALUE"""),"G-REQ-06961")</f>
        <v>G-REQ-06961</v>
      </c>
      <c r="B6962" s="11">
        <f>IFERROR(__xludf.DUMMYFUNCTION("""COMPUTED_VALUE"""),46256.762340755595)</f>
        <v>46256.76234</v>
      </c>
      <c r="C6962" s="9">
        <f>IFERROR(__xludf.DUMMYFUNCTION("""COMPUTED_VALUE"""),26575.0)</f>
        <v>26575</v>
      </c>
      <c r="D6962" s="9" t="str">
        <f>IFERROR(__xludf.DUMMYFUNCTION("""COMPUTED_VALUE"""),"Completed")</f>
        <v>Completed</v>
      </c>
    </row>
    <row r="6963">
      <c r="A6963" s="9" t="str">
        <f>IFERROR(__xludf.DUMMYFUNCTION("""COMPUTED_VALUE"""),"G-REQ-06962")</f>
        <v>G-REQ-06962</v>
      </c>
      <c r="B6963" s="11">
        <f>IFERROR(__xludf.DUMMYFUNCTION("""COMPUTED_VALUE"""),46256.833515601014)</f>
        <v>46256.83352</v>
      </c>
      <c r="C6963" s="9">
        <f>IFERROR(__xludf.DUMMYFUNCTION("""COMPUTED_VALUE"""),26579.0)</f>
        <v>26579</v>
      </c>
      <c r="D6963" s="9" t="str">
        <f>IFERROR(__xludf.DUMMYFUNCTION("""COMPUTED_VALUE"""),"Completed")</f>
        <v>Completed</v>
      </c>
    </row>
    <row r="6964">
      <c r="A6964" s="9" t="str">
        <f>IFERROR(__xludf.DUMMYFUNCTION("""COMPUTED_VALUE"""),"G-REQ-06963")</f>
        <v>G-REQ-06963</v>
      </c>
      <c r="B6964" s="11">
        <f>IFERROR(__xludf.DUMMYFUNCTION("""COMPUTED_VALUE"""),46256.90469044643)</f>
        <v>46256.90469</v>
      </c>
      <c r="C6964" s="9">
        <f>IFERROR(__xludf.DUMMYFUNCTION("""COMPUTED_VALUE"""),26583.0)</f>
        <v>26583</v>
      </c>
      <c r="D6964" s="9" t="str">
        <f>IFERROR(__xludf.DUMMYFUNCTION("""COMPUTED_VALUE"""),"Completed")</f>
        <v>Completed</v>
      </c>
    </row>
    <row r="6965">
      <c r="A6965" s="9" t="str">
        <f>IFERROR(__xludf.DUMMYFUNCTION("""COMPUTED_VALUE"""),"G-REQ-06964")</f>
        <v>G-REQ-06964</v>
      </c>
      <c r="B6965" s="11">
        <f>IFERROR(__xludf.DUMMYFUNCTION("""COMPUTED_VALUE"""),46256.97586529184)</f>
        <v>46256.97587</v>
      </c>
      <c r="C6965" s="9">
        <f>IFERROR(__xludf.DUMMYFUNCTION("""COMPUTED_VALUE"""),26587.0)</f>
        <v>26587</v>
      </c>
      <c r="D6965" s="9" t="str">
        <f>IFERROR(__xludf.DUMMYFUNCTION("""COMPUTED_VALUE"""),"Completed")</f>
        <v>Completed</v>
      </c>
    </row>
    <row r="6966">
      <c r="A6966" s="9" t="str">
        <f>IFERROR(__xludf.DUMMYFUNCTION("""COMPUTED_VALUE"""),"G-REQ-06965")</f>
        <v>G-REQ-06965</v>
      </c>
      <c r="B6966" s="11">
        <f>IFERROR(__xludf.DUMMYFUNCTION("""COMPUTED_VALUE"""),46257.04704013726)</f>
        <v>46257.04704</v>
      </c>
      <c r="C6966" s="9">
        <f>IFERROR(__xludf.DUMMYFUNCTION("""COMPUTED_VALUE"""),26591.0)</f>
        <v>26591</v>
      </c>
      <c r="D6966" s="9" t="str">
        <f>IFERROR(__xludf.DUMMYFUNCTION("""COMPUTED_VALUE"""),"Completed")</f>
        <v>Completed</v>
      </c>
    </row>
    <row r="6967">
      <c r="A6967" s="9" t="str">
        <f>IFERROR(__xludf.DUMMYFUNCTION("""COMPUTED_VALUE"""),"G-REQ-06966")</f>
        <v>G-REQ-06966</v>
      </c>
      <c r="B6967" s="11">
        <f>IFERROR(__xludf.DUMMYFUNCTION("""COMPUTED_VALUE"""),46257.11821498268)</f>
        <v>46257.11821</v>
      </c>
      <c r="C6967" s="9">
        <f>IFERROR(__xludf.DUMMYFUNCTION("""COMPUTED_VALUE"""),26595.0)</f>
        <v>26595</v>
      </c>
      <c r="D6967" s="9" t="str">
        <f>IFERROR(__xludf.DUMMYFUNCTION("""COMPUTED_VALUE"""),"Completed")</f>
        <v>Completed</v>
      </c>
    </row>
    <row r="6968">
      <c r="A6968" s="9" t="str">
        <f>IFERROR(__xludf.DUMMYFUNCTION("""COMPUTED_VALUE"""),"G-REQ-06967")</f>
        <v>G-REQ-06967</v>
      </c>
      <c r="B6968" s="11">
        <f>IFERROR(__xludf.DUMMYFUNCTION("""COMPUTED_VALUE"""),46257.18938982808)</f>
        <v>46257.18939</v>
      </c>
      <c r="C6968" s="9">
        <f>IFERROR(__xludf.DUMMYFUNCTION("""COMPUTED_VALUE"""),26599.0)</f>
        <v>26599</v>
      </c>
      <c r="D6968" s="9" t="str">
        <f>IFERROR(__xludf.DUMMYFUNCTION("""COMPUTED_VALUE"""),"Completed")</f>
        <v>Completed</v>
      </c>
    </row>
    <row r="6969">
      <c r="A6969" s="9" t="str">
        <f>IFERROR(__xludf.DUMMYFUNCTION("""COMPUTED_VALUE"""),"G-REQ-06968")</f>
        <v>G-REQ-06968</v>
      </c>
      <c r="B6969" s="11">
        <f>IFERROR(__xludf.DUMMYFUNCTION("""COMPUTED_VALUE"""),46257.25362022906)</f>
        <v>46257.25362</v>
      </c>
      <c r="C6969" s="9">
        <f>IFERROR(__xludf.DUMMYFUNCTION("""COMPUTED_VALUE"""),26601.0)</f>
        <v>26601</v>
      </c>
      <c r="D6969" s="9" t="str">
        <f>IFERROR(__xludf.DUMMYFUNCTION("""COMPUTED_VALUE"""),"Cancelled")</f>
        <v>Cancelled</v>
      </c>
    </row>
    <row r="6970">
      <c r="A6970" s="9" t="str">
        <f>IFERROR(__xludf.DUMMYFUNCTION("""COMPUTED_VALUE"""),"G-REQ-06969")</f>
        <v>G-REQ-06969</v>
      </c>
      <c r="B6970" s="11">
        <f>IFERROR(__xludf.DUMMYFUNCTION("""COMPUTED_VALUE"""),46257.33173951892)</f>
        <v>46257.33174</v>
      </c>
      <c r="C6970" s="9">
        <f>IFERROR(__xludf.DUMMYFUNCTION("""COMPUTED_VALUE"""),26605.0)</f>
        <v>26605</v>
      </c>
      <c r="D6970" s="9" t="str">
        <f>IFERROR(__xludf.DUMMYFUNCTION("""COMPUTED_VALUE"""),"Completed")</f>
        <v>Completed</v>
      </c>
    </row>
    <row r="6971">
      <c r="A6971" s="9" t="str">
        <f>IFERROR(__xludf.DUMMYFUNCTION("""COMPUTED_VALUE"""),"G-REQ-06970")</f>
        <v>G-REQ-06970</v>
      </c>
      <c r="B6971" s="11">
        <f>IFERROR(__xludf.DUMMYFUNCTION("""COMPUTED_VALUE"""),46257.402914364335)</f>
        <v>46257.40291</v>
      </c>
      <c r="C6971" s="9">
        <f>IFERROR(__xludf.DUMMYFUNCTION("""COMPUTED_VALUE"""),26609.0)</f>
        <v>26609</v>
      </c>
      <c r="D6971" s="9" t="str">
        <f>IFERROR(__xludf.DUMMYFUNCTION("""COMPUTED_VALUE"""),"Completed")</f>
        <v>Completed</v>
      </c>
    </row>
    <row r="6972">
      <c r="A6972" s="9" t="str">
        <f>IFERROR(__xludf.DUMMYFUNCTION("""COMPUTED_VALUE"""),"G-REQ-06971")</f>
        <v>G-REQ-06971</v>
      </c>
      <c r="B6972" s="11">
        <f>IFERROR(__xludf.DUMMYFUNCTION("""COMPUTED_VALUE"""),46257.4671447653)</f>
        <v>46257.46714</v>
      </c>
      <c r="C6972" s="9">
        <f>IFERROR(__xludf.DUMMYFUNCTION("""COMPUTED_VALUE"""),26611.0)</f>
        <v>26611</v>
      </c>
      <c r="D6972" s="9" t="str">
        <f>IFERROR(__xludf.DUMMYFUNCTION("""COMPUTED_VALUE"""),"Rejected")</f>
        <v>Rejected</v>
      </c>
    </row>
    <row r="6973">
      <c r="A6973" s="9" t="str">
        <f>IFERROR(__xludf.DUMMYFUNCTION("""COMPUTED_VALUE"""),"G-REQ-06972")</f>
        <v>G-REQ-06972</v>
      </c>
      <c r="B6973" s="11">
        <f>IFERROR(__xludf.DUMMYFUNCTION("""COMPUTED_VALUE"""),46257.54526405517)</f>
        <v>46257.54526</v>
      </c>
      <c r="C6973" s="9">
        <f>IFERROR(__xludf.DUMMYFUNCTION("""COMPUTED_VALUE"""),26615.0)</f>
        <v>26615</v>
      </c>
      <c r="D6973" s="9" t="str">
        <f>IFERROR(__xludf.DUMMYFUNCTION("""COMPUTED_VALUE"""),"Completed")</f>
        <v>Completed</v>
      </c>
    </row>
    <row r="6974">
      <c r="A6974" s="9" t="str">
        <f>IFERROR(__xludf.DUMMYFUNCTION("""COMPUTED_VALUE"""),"G-REQ-06973")</f>
        <v>G-REQ-06973</v>
      </c>
      <c r="B6974" s="11">
        <f>IFERROR(__xludf.DUMMYFUNCTION("""COMPUTED_VALUE"""),46257.609494456134)</f>
        <v>46257.60949</v>
      </c>
      <c r="C6974" s="9">
        <f>IFERROR(__xludf.DUMMYFUNCTION("""COMPUTED_VALUE"""),26617.0)</f>
        <v>26617</v>
      </c>
      <c r="D6974" s="9" t="str">
        <f>IFERROR(__xludf.DUMMYFUNCTION("""COMPUTED_VALUE"""),"Rejected")</f>
        <v>Rejected</v>
      </c>
    </row>
    <row r="6975">
      <c r="A6975" s="9" t="str">
        <f>IFERROR(__xludf.DUMMYFUNCTION("""COMPUTED_VALUE"""),"G-REQ-06974")</f>
        <v>G-REQ-06974</v>
      </c>
      <c r="B6975" s="11">
        <f>IFERROR(__xludf.DUMMYFUNCTION("""COMPUTED_VALUE"""),46257.68761374599)</f>
        <v>46257.68761</v>
      </c>
      <c r="C6975" s="9">
        <f>IFERROR(__xludf.DUMMYFUNCTION("""COMPUTED_VALUE"""),26621.0)</f>
        <v>26621</v>
      </c>
      <c r="D6975" s="9" t="str">
        <f>IFERROR(__xludf.DUMMYFUNCTION("""COMPUTED_VALUE"""),"Completed")</f>
        <v>Completed</v>
      </c>
    </row>
    <row r="6976">
      <c r="A6976" s="9" t="str">
        <f>IFERROR(__xludf.DUMMYFUNCTION("""COMPUTED_VALUE"""),"G-REQ-06975")</f>
        <v>G-REQ-06975</v>
      </c>
      <c r="B6976" s="11">
        <f>IFERROR(__xludf.DUMMYFUNCTION("""COMPUTED_VALUE"""),46257.75878859141)</f>
        <v>46257.75879</v>
      </c>
      <c r="C6976" s="9">
        <f>IFERROR(__xludf.DUMMYFUNCTION("""COMPUTED_VALUE"""),26625.0)</f>
        <v>26625</v>
      </c>
      <c r="D6976" s="9" t="str">
        <f>IFERROR(__xludf.DUMMYFUNCTION("""COMPUTED_VALUE"""),"Completed")</f>
        <v>Completed</v>
      </c>
    </row>
    <row r="6977">
      <c r="A6977" s="9" t="str">
        <f>IFERROR(__xludf.DUMMYFUNCTION("""COMPUTED_VALUE"""),"G-REQ-06976")</f>
        <v>G-REQ-06976</v>
      </c>
      <c r="B6977" s="11">
        <f>IFERROR(__xludf.DUMMYFUNCTION("""COMPUTED_VALUE"""),46257.82996343682)</f>
        <v>46257.82996</v>
      </c>
      <c r="C6977" s="9">
        <f>IFERROR(__xludf.DUMMYFUNCTION("""COMPUTED_VALUE"""),26629.0)</f>
        <v>26629</v>
      </c>
      <c r="D6977" s="9" t="str">
        <f>IFERROR(__xludf.DUMMYFUNCTION("""COMPUTED_VALUE"""),"Completed")</f>
        <v>Completed</v>
      </c>
    </row>
    <row r="6978">
      <c r="A6978" s="9" t="str">
        <f>IFERROR(__xludf.DUMMYFUNCTION("""COMPUTED_VALUE"""),"G-REQ-06977")</f>
        <v>G-REQ-06977</v>
      </c>
      <c r="B6978" s="11">
        <f>IFERROR(__xludf.DUMMYFUNCTION("""COMPUTED_VALUE"""),46257.901138282235)</f>
        <v>46257.90114</v>
      </c>
      <c r="C6978" s="9">
        <f>IFERROR(__xludf.DUMMYFUNCTION("""COMPUTED_VALUE"""),26633.0)</f>
        <v>26633</v>
      </c>
      <c r="D6978" s="9" t="str">
        <f>IFERROR(__xludf.DUMMYFUNCTION("""COMPUTED_VALUE"""),"Completed")</f>
        <v>Completed</v>
      </c>
    </row>
    <row r="6979">
      <c r="A6979" s="9" t="str">
        <f>IFERROR(__xludf.DUMMYFUNCTION("""COMPUTED_VALUE"""),"G-REQ-06978")</f>
        <v>G-REQ-06978</v>
      </c>
      <c r="B6979" s="11">
        <f>IFERROR(__xludf.DUMMYFUNCTION("""COMPUTED_VALUE"""),46257.972313127655)</f>
        <v>46257.97231</v>
      </c>
      <c r="C6979" s="9">
        <f>IFERROR(__xludf.DUMMYFUNCTION("""COMPUTED_VALUE"""),26637.0)</f>
        <v>26637</v>
      </c>
      <c r="D6979" s="9" t="str">
        <f>IFERROR(__xludf.DUMMYFUNCTION("""COMPUTED_VALUE"""),"Completed")</f>
        <v>Completed</v>
      </c>
    </row>
    <row r="6980">
      <c r="A6980" s="9" t="str">
        <f>IFERROR(__xludf.DUMMYFUNCTION("""COMPUTED_VALUE"""),"G-REQ-06979")</f>
        <v>G-REQ-06979</v>
      </c>
      <c r="B6980" s="11">
        <f>IFERROR(__xludf.DUMMYFUNCTION("""COMPUTED_VALUE"""),46258.04348797307)</f>
        <v>46258.04349</v>
      </c>
      <c r="C6980" s="9">
        <f>IFERROR(__xludf.DUMMYFUNCTION("""COMPUTED_VALUE"""),26641.0)</f>
        <v>26641</v>
      </c>
      <c r="D6980" s="9" t="str">
        <f>IFERROR(__xludf.DUMMYFUNCTION("""COMPUTED_VALUE"""),"Completed")</f>
        <v>Completed</v>
      </c>
    </row>
    <row r="6981">
      <c r="A6981" s="9" t="str">
        <f>IFERROR(__xludf.DUMMYFUNCTION("""COMPUTED_VALUE"""),"G-REQ-06980")</f>
        <v>G-REQ-06980</v>
      </c>
      <c r="B6981" s="11">
        <f>IFERROR(__xludf.DUMMYFUNCTION("""COMPUTED_VALUE"""),46258.11466281848)</f>
        <v>46258.11466</v>
      </c>
      <c r="C6981" s="9">
        <f>IFERROR(__xludf.DUMMYFUNCTION("""COMPUTED_VALUE"""),26645.0)</f>
        <v>26645</v>
      </c>
      <c r="D6981" s="9" t="str">
        <f>IFERROR(__xludf.DUMMYFUNCTION("""COMPUTED_VALUE"""),"Completed")</f>
        <v>Completed</v>
      </c>
    </row>
    <row r="6982">
      <c r="A6982" s="9" t="str">
        <f>IFERROR(__xludf.DUMMYFUNCTION("""COMPUTED_VALUE"""),"G-REQ-06981")</f>
        <v>G-REQ-06981</v>
      </c>
      <c r="B6982" s="11">
        <f>IFERROR(__xludf.DUMMYFUNCTION("""COMPUTED_VALUE"""),46258.1858376639)</f>
        <v>46258.18584</v>
      </c>
      <c r="C6982" s="9">
        <f>IFERROR(__xludf.DUMMYFUNCTION("""COMPUTED_VALUE"""),26649.0)</f>
        <v>26649</v>
      </c>
      <c r="D6982" s="9" t="str">
        <f>IFERROR(__xludf.DUMMYFUNCTION("""COMPUTED_VALUE"""),"Completed")</f>
        <v>Completed</v>
      </c>
    </row>
    <row r="6983">
      <c r="A6983" s="9" t="str">
        <f>IFERROR(__xludf.DUMMYFUNCTION("""COMPUTED_VALUE"""),"G-REQ-06982")</f>
        <v>G-REQ-06982</v>
      </c>
      <c r="B6983" s="11">
        <f>IFERROR(__xludf.DUMMYFUNCTION("""COMPUTED_VALUE"""),46258.25701250932)</f>
        <v>46258.25701</v>
      </c>
      <c r="C6983" s="9">
        <f>IFERROR(__xludf.DUMMYFUNCTION("""COMPUTED_VALUE"""),26653.0)</f>
        <v>26653</v>
      </c>
      <c r="D6983" s="9" t="str">
        <f>IFERROR(__xludf.DUMMYFUNCTION("""COMPUTED_VALUE"""),"Completed")</f>
        <v>Completed</v>
      </c>
    </row>
    <row r="6984">
      <c r="A6984" s="9" t="str">
        <f>IFERROR(__xludf.DUMMYFUNCTION("""COMPUTED_VALUE"""),"G-REQ-06983")</f>
        <v>G-REQ-06983</v>
      </c>
      <c r="B6984" s="11">
        <f>IFERROR(__xludf.DUMMYFUNCTION("""COMPUTED_VALUE"""),46258.328187354724)</f>
        <v>46258.32819</v>
      </c>
      <c r="C6984" s="9">
        <f>IFERROR(__xludf.DUMMYFUNCTION("""COMPUTED_VALUE"""),26657.0)</f>
        <v>26657</v>
      </c>
      <c r="D6984" s="9" t="str">
        <f>IFERROR(__xludf.DUMMYFUNCTION("""COMPUTED_VALUE"""),"Completed")</f>
        <v>Completed</v>
      </c>
    </row>
    <row r="6985">
      <c r="A6985" s="9" t="str">
        <f>IFERROR(__xludf.DUMMYFUNCTION("""COMPUTED_VALUE"""),"G-REQ-06984")</f>
        <v>G-REQ-06984</v>
      </c>
      <c r="B6985" s="11">
        <f>IFERROR(__xludf.DUMMYFUNCTION("""COMPUTED_VALUE"""),46258.39936220014)</f>
        <v>46258.39936</v>
      </c>
      <c r="C6985" s="9">
        <f>IFERROR(__xludf.DUMMYFUNCTION("""COMPUTED_VALUE"""),26661.0)</f>
        <v>26661</v>
      </c>
      <c r="D6985" s="9" t="str">
        <f>IFERROR(__xludf.DUMMYFUNCTION("""COMPUTED_VALUE"""),"Completed")</f>
        <v>Completed</v>
      </c>
    </row>
    <row r="6986">
      <c r="A6986" s="9" t="str">
        <f>IFERROR(__xludf.DUMMYFUNCTION("""COMPUTED_VALUE"""),"G-REQ-06985")</f>
        <v>G-REQ-06985</v>
      </c>
      <c r="B6986" s="11">
        <f>IFERROR(__xludf.DUMMYFUNCTION("""COMPUTED_VALUE"""),46258.47053704556)</f>
        <v>46258.47054</v>
      </c>
      <c r="C6986" s="9">
        <f>IFERROR(__xludf.DUMMYFUNCTION("""COMPUTED_VALUE"""),26665.0)</f>
        <v>26665</v>
      </c>
      <c r="D6986" s="9" t="str">
        <f>IFERROR(__xludf.DUMMYFUNCTION("""COMPUTED_VALUE"""),"Completed")</f>
        <v>Completed</v>
      </c>
    </row>
    <row r="6987">
      <c r="A6987" s="9" t="str">
        <f>IFERROR(__xludf.DUMMYFUNCTION("""COMPUTED_VALUE"""),"G-REQ-06986")</f>
        <v>G-REQ-06986</v>
      </c>
      <c r="B6987" s="11">
        <f>IFERROR(__xludf.DUMMYFUNCTION("""COMPUTED_VALUE"""),46258.541711890975)</f>
        <v>46258.54171</v>
      </c>
      <c r="C6987" s="9">
        <f>IFERROR(__xludf.DUMMYFUNCTION("""COMPUTED_VALUE"""),26669.0)</f>
        <v>26669</v>
      </c>
      <c r="D6987" s="9" t="str">
        <f>IFERROR(__xludf.DUMMYFUNCTION("""COMPUTED_VALUE"""),"Completed")</f>
        <v>Completed</v>
      </c>
    </row>
    <row r="6988">
      <c r="A6988" s="9" t="str">
        <f>IFERROR(__xludf.DUMMYFUNCTION("""COMPUTED_VALUE"""),"G-REQ-06987")</f>
        <v>G-REQ-06987</v>
      </c>
      <c r="B6988" s="11">
        <f>IFERROR(__xludf.DUMMYFUNCTION("""COMPUTED_VALUE"""),46258.61288673639)</f>
        <v>46258.61289</v>
      </c>
      <c r="C6988" s="9">
        <f>IFERROR(__xludf.DUMMYFUNCTION("""COMPUTED_VALUE"""),26673.0)</f>
        <v>26673</v>
      </c>
      <c r="D6988" s="9" t="str">
        <f>IFERROR(__xludf.DUMMYFUNCTION("""COMPUTED_VALUE"""),"Completed")</f>
        <v>Completed</v>
      </c>
    </row>
    <row r="6989">
      <c r="A6989" s="9" t="str">
        <f>IFERROR(__xludf.DUMMYFUNCTION("""COMPUTED_VALUE"""),"G-REQ-06988")</f>
        <v>G-REQ-06988</v>
      </c>
      <c r="B6989" s="11">
        <f>IFERROR(__xludf.DUMMYFUNCTION("""COMPUTED_VALUE"""),46258.67711713736)</f>
        <v>46258.67712</v>
      </c>
      <c r="C6989" s="9">
        <f>IFERROR(__xludf.DUMMYFUNCTION("""COMPUTED_VALUE"""),26675.0)</f>
        <v>26675</v>
      </c>
      <c r="D6989" s="9" t="str">
        <f>IFERROR(__xludf.DUMMYFUNCTION("""COMPUTED_VALUE"""),"Rejected")</f>
        <v>Rejected</v>
      </c>
    </row>
    <row r="6990">
      <c r="A6990" s="9" t="str">
        <f>IFERROR(__xludf.DUMMYFUNCTION("""COMPUTED_VALUE"""),"G-REQ-06989")</f>
        <v>G-REQ-06989</v>
      </c>
      <c r="B6990" s="11">
        <f>IFERROR(__xludf.DUMMYFUNCTION("""COMPUTED_VALUE"""),46258.75523642722)</f>
        <v>46258.75524</v>
      </c>
      <c r="C6990" s="9">
        <f>IFERROR(__xludf.DUMMYFUNCTION("""COMPUTED_VALUE"""),26679.0)</f>
        <v>26679</v>
      </c>
      <c r="D6990" s="9" t="str">
        <f>IFERROR(__xludf.DUMMYFUNCTION("""COMPUTED_VALUE"""),"Completed")</f>
        <v>Completed</v>
      </c>
    </row>
    <row r="6991">
      <c r="A6991" s="9" t="str">
        <f>IFERROR(__xludf.DUMMYFUNCTION("""COMPUTED_VALUE"""),"G-REQ-06990")</f>
        <v>G-REQ-06990</v>
      </c>
      <c r="B6991" s="11">
        <f>IFERROR(__xludf.DUMMYFUNCTION("""COMPUTED_VALUE"""),46258.81946682819)</f>
        <v>46258.81947</v>
      </c>
      <c r="C6991" s="9">
        <f>IFERROR(__xludf.DUMMYFUNCTION("""COMPUTED_VALUE"""),26681.0)</f>
        <v>26681</v>
      </c>
      <c r="D6991" s="9" t="str">
        <f>IFERROR(__xludf.DUMMYFUNCTION("""COMPUTED_VALUE"""),"Cancelled")</f>
        <v>Cancelled</v>
      </c>
    </row>
    <row r="6992">
      <c r="A6992" s="9" t="str">
        <f>IFERROR(__xludf.DUMMYFUNCTION("""COMPUTED_VALUE"""),"G-REQ-06991")</f>
        <v>G-REQ-06991</v>
      </c>
      <c r="B6992" s="11">
        <f>IFERROR(__xludf.DUMMYFUNCTION("""COMPUTED_VALUE"""),46258.89758611805)</f>
        <v>46258.89759</v>
      </c>
      <c r="C6992" s="9">
        <f>IFERROR(__xludf.DUMMYFUNCTION("""COMPUTED_VALUE"""),26685.0)</f>
        <v>26685</v>
      </c>
      <c r="D6992" s="9" t="str">
        <f>IFERROR(__xludf.DUMMYFUNCTION("""COMPUTED_VALUE"""),"Completed")</f>
        <v>Completed</v>
      </c>
    </row>
    <row r="6993">
      <c r="A6993" s="9" t="str">
        <f>IFERROR(__xludf.DUMMYFUNCTION("""COMPUTED_VALUE"""),"G-REQ-06992")</f>
        <v>G-REQ-06992</v>
      </c>
      <c r="B6993" s="11">
        <f>IFERROR(__xludf.DUMMYFUNCTION("""COMPUTED_VALUE"""),46258.96876096347)</f>
        <v>46258.96876</v>
      </c>
      <c r="C6993" s="9">
        <f>IFERROR(__xludf.DUMMYFUNCTION("""COMPUTED_VALUE"""),26689.0)</f>
        <v>26689</v>
      </c>
      <c r="D6993" s="9" t="str">
        <f>IFERROR(__xludf.DUMMYFUNCTION("""COMPUTED_VALUE"""),"Completed")</f>
        <v>Completed</v>
      </c>
    </row>
    <row r="6994">
      <c r="A6994" s="9" t="str">
        <f>IFERROR(__xludf.DUMMYFUNCTION("""COMPUTED_VALUE"""),"G-REQ-06993")</f>
        <v>G-REQ-06993</v>
      </c>
      <c r="B6994" s="11">
        <f>IFERROR(__xludf.DUMMYFUNCTION("""COMPUTED_VALUE"""),46259.039935808876)</f>
        <v>46259.03994</v>
      </c>
      <c r="C6994" s="9">
        <f>IFERROR(__xludf.DUMMYFUNCTION("""COMPUTED_VALUE"""),26693.0)</f>
        <v>26693</v>
      </c>
      <c r="D6994" s="9" t="str">
        <f>IFERROR(__xludf.DUMMYFUNCTION("""COMPUTED_VALUE"""),"Completed")</f>
        <v>Completed</v>
      </c>
    </row>
    <row r="6995">
      <c r="A6995" s="9" t="str">
        <f>IFERROR(__xludf.DUMMYFUNCTION("""COMPUTED_VALUE"""),"G-REQ-06994")</f>
        <v>G-REQ-06994</v>
      </c>
      <c r="B6995" s="11">
        <f>IFERROR(__xludf.DUMMYFUNCTION("""COMPUTED_VALUE"""),46259.111110654296)</f>
        <v>46259.11111</v>
      </c>
      <c r="C6995" s="9">
        <f>IFERROR(__xludf.DUMMYFUNCTION("""COMPUTED_VALUE"""),26697.0)</f>
        <v>26697</v>
      </c>
      <c r="D6995" s="9" t="str">
        <f>IFERROR(__xludf.DUMMYFUNCTION("""COMPUTED_VALUE"""),"Completed")</f>
        <v>Completed</v>
      </c>
    </row>
    <row r="6996">
      <c r="A6996" s="9" t="str">
        <f>IFERROR(__xludf.DUMMYFUNCTION("""COMPUTED_VALUE"""),"G-REQ-06995")</f>
        <v>G-REQ-06995</v>
      </c>
      <c r="B6996" s="11">
        <f>IFERROR(__xludf.DUMMYFUNCTION("""COMPUTED_VALUE"""),46259.18228549971)</f>
        <v>46259.18229</v>
      </c>
      <c r="C6996" s="9">
        <f>IFERROR(__xludf.DUMMYFUNCTION("""COMPUTED_VALUE"""),26701.0)</f>
        <v>26701</v>
      </c>
      <c r="D6996" s="9" t="str">
        <f>IFERROR(__xludf.DUMMYFUNCTION("""COMPUTED_VALUE"""),"Completed")</f>
        <v>Completed</v>
      </c>
    </row>
    <row r="6997">
      <c r="A6997" s="9" t="str">
        <f>IFERROR(__xludf.DUMMYFUNCTION("""COMPUTED_VALUE"""),"G-REQ-06996")</f>
        <v>G-REQ-06996</v>
      </c>
      <c r="B6997" s="11">
        <f>IFERROR(__xludf.DUMMYFUNCTION("""COMPUTED_VALUE"""),46259.25346034513)</f>
        <v>46259.25346</v>
      </c>
      <c r="C6997" s="9">
        <f>IFERROR(__xludf.DUMMYFUNCTION("""COMPUTED_VALUE"""),26705.0)</f>
        <v>26705</v>
      </c>
      <c r="D6997" s="9" t="str">
        <f>IFERROR(__xludf.DUMMYFUNCTION("""COMPUTED_VALUE"""),"Completed")</f>
        <v>Completed</v>
      </c>
    </row>
    <row r="6998">
      <c r="A6998" s="9" t="str">
        <f>IFERROR(__xludf.DUMMYFUNCTION("""COMPUTED_VALUE"""),"G-REQ-06997")</f>
        <v>G-REQ-06997</v>
      </c>
      <c r="B6998" s="11">
        <f>IFERROR(__xludf.DUMMYFUNCTION("""COMPUTED_VALUE"""),46259.32463519054)</f>
        <v>46259.32464</v>
      </c>
      <c r="C6998" s="9">
        <f>IFERROR(__xludf.DUMMYFUNCTION("""COMPUTED_VALUE"""),26709.0)</f>
        <v>26709</v>
      </c>
      <c r="D6998" s="9" t="str">
        <f>IFERROR(__xludf.DUMMYFUNCTION("""COMPUTED_VALUE"""),"Completed")</f>
        <v>Completed</v>
      </c>
    </row>
    <row r="6999">
      <c r="A6999" s="9" t="str">
        <f>IFERROR(__xludf.DUMMYFUNCTION("""COMPUTED_VALUE"""),"G-REQ-06998")</f>
        <v>G-REQ-06998</v>
      </c>
      <c r="B6999" s="11">
        <f>IFERROR(__xludf.DUMMYFUNCTION("""COMPUTED_VALUE"""),46259.39581003596)</f>
        <v>46259.39581</v>
      </c>
      <c r="C6999" s="9">
        <f>IFERROR(__xludf.DUMMYFUNCTION("""COMPUTED_VALUE"""),26713.0)</f>
        <v>26713</v>
      </c>
      <c r="D6999" s="9" t="str">
        <f>IFERROR(__xludf.DUMMYFUNCTION("""COMPUTED_VALUE"""),"Completed")</f>
        <v>Completed</v>
      </c>
    </row>
    <row r="7000">
      <c r="A7000" s="9" t="str">
        <f>IFERROR(__xludf.DUMMYFUNCTION("""COMPUTED_VALUE"""),"G-REQ-06999")</f>
        <v>G-REQ-06999</v>
      </c>
      <c r="B7000" s="11">
        <f>IFERROR(__xludf.DUMMYFUNCTION("""COMPUTED_VALUE"""),46259.466984881365)</f>
        <v>46259.46698</v>
      </c>
      <c r="C7000" s="9">
        <f>IFERROR(__xludf.DUMMYFUNCTION("""COMPUTED_VALUE"""),26717.0)</f>
        <v>26717</v>
      </c>
      <c r="D7000" s="9" t="str">
        <f>IFERROR(__xludf.DUMMYFUNCTION("""COMPUTED_VALUE"""),"Completed")</f>
        <v>Completed</v>
      </c>
    </row>
    <row r="7001">
      <c r="A7001" s="9" t="str">
        <f>IFERROR(__xludf.DUMMYFUNCTION("""COMPUTED_VALUE"""),"G-REQ-07000")</f>
        <v>G-REQ-07000</v>
      </c>
      <c r="B7001" s="11">
        <f>IFERROR(__xludf.DUMMYFUNCTION("""COMPUTED_VALUE"""),46259.538159726784)</f>
        <v>46259.53816</v>
      </c>
      <c r="C7001" s="9">
        <f>IFERROR(__xludf.DUMMYFUNCTION("""COMPUTED_VALUE"""),26721.0)</f>
        <v>26721</v>
      </c>
      <c r="D7001" s="9" t="str">
        <f>IFERROR(__xludf.DUMMYFUNCTION("""COMPUTED_VALUE"""),"Completed")</f>
        <v>Completed</v>
      </c>
    </row>
    <row r="7002">
      <c r="A7002" s="9" t="str">
        <f>IFERROR(__xludf.DUMMYFUNCTION("""COMPUTED_VALUE"""),"G-REQ-07001")</f>
        <v>G-REQ-07001</v>
      </c>
      <c r="B7002" s="11">
        <f>IFERROR(__xludf.DUMMYFUNCTION("""COMPUTED_VALUE"""),46259.609334572204)</f>
        <v>46259.60933</v>
      </c>
      <c r="C7002" s="9">
        <f>IFERROR(__xludf.DUMMYFUNCTION("""COMPUTED_VALUE"""),26725.0)</f>
        <v>26725</v>
      </c>
      <c r="D7002" s="9" t="str">
        <f>IFERROR(__xludf.DUMMYFUNCTION("""COMPUTED_VALUE"""),"Completed")</f>
        <v>Completed</v>
      </c>
    </row>
    <row r="7003">
      <c r="A7003" s="9" t="str">
        <f>IFERROR(__xludf.DUMMYFUNCTION("""COMPUTED_VALUE"""),"G-REQ-07002")</f>
        <v>G-REQ-07002</v>
      </c>
      <c r="B7003" s="11">
        <f>IFERROR(__xludf.DUMMYFUNCTION("""COMPUTED_VALUE"""),46259.680509417616)</f>
        <v>46259.68051</v>
      </c>
      <c r="C7003" s="9">
        <f>IFERROR(__xludf.DUMMYFUNCTION("""COMPUTED_VALUE"""),26729.0)</f>
        <v>26729</v>
      </c>
      <c r="D7003" s="9" t="str">
        <f>IFERROR(__xludf.DUMMYFUNCTION("""COMPUTED_VALUE"""),"Completed")</f>
        <v>Completed</v>
      </c>
    </row>
    <row r="7004">
      <c r="A7004" s="9" t="str">
        <f>IFERROR(__xludf.DUMMYFUNCTION("""COMPUTED_VALUE"""),"G-REQ-07003")</f>
        <v>G-REQ-07003</v>
      </c>
      <c r="B7004" s="11">
        <f>IFERROR(__xludf.DUMMYFUNCTION("""COMPUTED_VALUE"""),46259.75168426303)</f>
        <v>46259.75168</v>
      </c>
      <c r="C7004" s="9">
        <f>IFERROR(__xludf.DUMMYFUNCTION("""COMPUTED_VALUE"""),26733.0)</f>
        <v>26733</v>
      </c>
      <c r="D7004" s="9" t="str">
        <f>IFERROR(__xludf.DUMMYFUNCTION("""COMPUTED_VALUE"""),"Completed")</f>
        <v>Completed</v>
      </c>
    </row>
    <row r="7005">
      <c r="A7005" s="9" t="str">
        <f>IFERROR(__xludf.DUMMYFUNCTION("""COMPUTED_VALUE"""),"G-REQ-07004")</f>
        <v>G-REQ-07004</v>
      </c>
      <c r="B7005" s="11">
        <f>IFERROR(__xludf.DUMMYFUNCTION("""COMPUTED_VALUE"""),46259.82285910845)</f>
        <v>46259.82286</v>
      </c>
      <c r="C7005" s="9">
        <f>IFERROR(__xludf.DUMMYFUNCTION("""COMPUTED_VALUE"""),26737.0)</f>
        <v>26737</v>
      </c>
      <c r="D7005" s="9" t="str">
        <f>IFERROR(__xludf.DUMMYFUNCTION("""COMPUTED_VALUE"""),"Completed")</f>
        <v>Completed</v>
      </c>
    </row>
    <row r="7006">
      <c r="A7006" s="9" t="str">
        <f>IFERROR(__xludf.DUMMYFUNCTION("""COMPUTED_VALUE"""),"G-REQ-07005")</f>
        <v>G-REQ-07005</v>
      </c>
      <c r="B7006" s="11">
        <f>IFERROR(__xludf.DUMMYFUNCTION("""COMPUTED_VALUE"""),46259.887089509415)</f>
        <v>46259.88709</v>
      </c>
      <c r="C7006" s="9">
        <f>IFERROR(__xludf.DUMMYFUNCTION("""COMPUTED_VALUE"""),26739.0)</f>
        <v>26739</v>
      </c>
      <c r="D7006" s="9" t="str">
        <f>IFERROR(__xludf.DUMMYFUNCTION("""COMPUTED_VALUE"""),"Rejected")</f>
        <v>Rejected</v>
      </c>
    </row>
    <row r="7007">
      <c r="A7007" s="9" t="str">
        <f>IFERROR(__xludf.DUMMYFUNCTION("""COMPUTED_VALUE"""),"G-REQ-07006")</f>
        <v>G-REQ-07006</v>
      </c>
      <c r="B7007" s="11">
        <f>IFERROR(__xludf.DUMMYFUNCTION("""COMPUTED_VALUE"""),46259.96520879927)</f>
        <v>46259.96521</v>
      </c>
      <c r="C7007" s="9">
        <f>IFERROR(__xludf.DUMMYFUNCTION("""COMPUTED_VALUE"""),26743.0)</f>
        <v>26743</v>
      </c>
      <c r="D7007" s="9" t="str">
        <f>IFERROR(__xludf.DUMMYFUNCTION("""COMPUTED_VALUE"""),"Completed")</f>
        <v>Completed</v>
      </c>
    </row>
    <row r="7008">
      <c r="A7008" s="9" t="str">
        <f>IFERROR(__xludf.DUMMYFUNCTION("""COMPUTED_VALUE"""),"G-REQ-07007")</f>
        <v>G-REQ-07007</v>
      </c>
      <c r="B7008" s="11">
        <f>IFERROR(__xludf.DUMMYFUNCTION("""COMPUTED_VALUE"""),46260.03638364469)</f>
        <v>46260.03638</v>
      </c>
      <c r="C7008" s="9">
        <f>IFERROR(__xludf.DUMMYFUNCTION("""COMPUTED_VALUE"""),26747.0)</f>
        <v>26747</v>
      </c>
      <c r="D7008" s="9" t="str">
        <f>IFERROR(__xludf.DUMMYFUNCTION("""COMPUTED_VALUE"""),"Completed")</f>
        <v>Completed</v>
      </c>
    </row>
    <row r="7009">
      <c r="A7009" s="9" t="str">
        <f>IFERROR(__xludf.DUMMYFUNCTION("""COMPUTED_VALUE"""),"G-REQ-07008")</f>
        <v>G-REQ-07008</v>
      </c>
      <c r="B7009" s="11">
        <f>IFERROR(__xludf.DUMMYFUNCTION("""COMPUTED_VALUE"""),46260.10755849011)</f>
        <v>46260.10756</v>
      </c>
      <c r="C7009" s="9">
        <f>IFERROR(__xludf.DUMMYFUNCTION("""COMPUTED_VALUE"""),26751.0)</f>
        <v>26751</v>
      </c>
      <c r="D7009" s="9" t="str">
        <f>IFERROR(__xludf.DUMMYFUNCTION("""COMPUTED_VALUE"""),"Completed")</f>
        <v>Completed</v>
      </c>
    </row>
    <row r="7010">
      <c r="A7010" s="9" t="str">
        <f>IFERROR(__xludf.DUMMYFUNCTION("""COMPUTED_VALUE"""),"G-REQ-07009")</f>
        <v>G-REQ-07009</v>
      </c>
      <c r="B7010" s="11">
        <f>IFERROR(__xludf.DUMMYFUNCTION("""COMPUTED_VALUE"""),46260.17873333552)</f>
        <v>46260.17873</v>
      </c>
      <c r="C7010" s="9">
        <f>IFERROR(__xludf.DUMMYFUNCTION("""COMPUTED_VALUE"""),26755.0)</f>
        <v>26755</v>
      </c>
      <c r="D7010" s="9" t="str">
        <f>IFERROR(__xludf.DUMMYFUNCTION("""COMPUTED_VALUE"""),"Completed")</f>
        <v>Completed</v>
      </c>
    </row>
    <row r="7011">
      <c r="A7011" s="9" t="str">
        <f>IFERROR(__xludf.DUMMYFUNCTION("""COMPUTED_VALUE"""),"G-REQ-07010")</f>
        <v>G-REQ-07010</v>
      </c>
      <c r="B7011" s="11">
        <f>IFERROR(__xludf.DUMMYFUNCTION("""COMPUTED_VALUE"""),46260.24990818094)</f>
        <v>46260.24991</v>
      </c>
      <c r="C7011" s="9">
        <f>IFERROR(__xludf.DUMMYFUNCTION("""COMPUTED_VALUE"""),26759.0)</f>
        <v>26759</v>
      </c>
      <c r="D7011" s="9" t="str">
        <f>IFERROR(__xludf.DUMMYFUNCTION("""COMPUTED_VALUE"""),"Completed")</f>
        <v>Completed</v>
      </c>
    </row>
    <row r="7012">
      <c r="A7012" s="9" t="str">
        <f>IFERROR(__xludf.DUMMYFUNCTION("""COMPUTED_VALUE"""),"G-REQ-07011")</f>
        <v>G-REQ-07011</v>
      </c>
      <c r="B7012" s="11">
        <f>IFERROR(__xludf.DUMMYFUNCTION("""COMPUTED_VALUE"""),46260.32108302635)</f>
        <v>46260.32108</v>
      </c>
      <c r="C7012" s="9">
        <f>IFERROR(__xludf.DUMMYFUNCTION("""COMPUTED_VALUE"""),26763.0)</f>
        <v>26763</v>
      </c>
      <c r="D7012" s="9" t="str">
        <f>IFERROR(__xludf.DUMMYFUNCTION("""COMPUTED_VALUE"""),"Completed")</f>
        <v>Completed</v>
      </c>
    </row>
    <row r="7013">
      <c r="A7013" s="9" t="str">
        <f>IFERROR(__xludf.DUMMYFUNCTION("""COMPUTED_VALUE"""),"G-REQ-07012")</f>
        <v>G-REQ-07012</v>
      </c>
      <c r="B7013" s="11">
        <f>IFERROR(__xludf.DUMMYFUNCTION("""COMPUTED_VALUE"""),46260.39225787177)</f>
        <v>46260.39226</v>
      </c>
      <c r="C7013" s="9">
        <f>IFERROR(__xludf.DUMMYFUNCTION("""COMPUTED_VALUE"""),26767.0)</f>
        <v>26767</v>
      </c>
      <c r="D7013" s="9" t="str">
        <f>IFERROR(__xludf.DUMMYFUNCTION("""COMPUTED_VALUE"""),"Completed")</f>
        <v>Completed</v>
      </c>
    </row>
    <row r="7014">
      <c r="A7014" s="9" t="str">
        <f>IFERROR(__xludf.DUMMYFUNCTION("""COMPUTED_VALUE"""),"G-REQ-07013")</f>
        <v>G-REQ-07013</v>
      </c>
      <c r="B7014" s="11">
        <f>IFERROR(__xludf.DUMMYFUNCTION("""COMPUTED_VALUE"""),46260.46343271718)</f>
        <v>46260.46343</v>
      </c>
      <c r="C7014" s="9">
        <f>IFERROR(__xludf.DUMMYFUNCTION("""COMPUTED_VALUE"""),26771.0)</f>
        <v>26771</v>
      </c>
      <c r="D7014" s="9" t="str">
        <f>IFERROR(__xludf.DUMMYFUNCTION("""COMPUTED_VALUE"""),"Completed")</f>
        <v>Completed</v>
      </c>
    </row>
    <row r="7015">
      <c r="A7015" s="9" t="str">
        <f>IFERROR(__xludf.DUMMYFUNCTION("""COMPUTED_VALUE"""),"G-REQ-07014")</f>
        <v>G-REQ-07014</v>
      </c>
      <c r="B7015" s="11">
        <f>IFERROR(__xludf.DUMMYFUNCTION("""COMPUTED_VALUE"""),46260.5346075626)</f>
        <v>46260.53461</v>
      </c>
      <c r="C7015" s="9">
        <f>IFERROR(__xludf.DUMMYFUNCTION("""COMPUTED_VALUE"""),26775.0)</f>
        <v>26775</v>
      </c>
      <c r="D7015" s="9" t="str">
        <f>IFERROR(__xludf.DUMMYFUNCTION("""COMPUTED_VALUE"""),"Completed")</f>
        <v>Completed</v>
      </c>
    </row>
    <row r="7016">
      <c r="A7016" s="9" t="str">
        <f>IFERROR(__xludf.DUMMYFUNCTION("""COMPUTED_VALUE"""),"G-REQ-07015")</f>
        <v>G-REQ-07015</v>
      </c>
      <c r="B7016" s="11">
        <f>IFERROR(__xludf.DUMMYFUNCTION("""COMPUTED_VALUE"""),46260.60578240801)</f>
        <v>46260.60578</v>
      </c>
      <c r="C7016" s="9">
        <f>IFERROR(__xludf.DUMMYFUNCTION("""COMPUTED_VALUE"""),26779.0)</f>
        <v>26779</v>
      </c>
      <c r="D7016" s="9" t="str">
        <f>IFERROR(__xludf.DUMMYFUNCTION("""COMPUTED_VALUE"""),"Completed")</f>
        <v>Completed</v>
      </c>
    </row>
    <row r="7017">
      <c r="A7017" s="9" t="str">
        <f>IFERROR(__xludf.DUMMYFUNCTION("""COMPUTED_VALUE"""),"G-REQ-07016")</f>
        <v>G-REQ-07016</v>
      </c>
      <c r="B7017" s="11">
        <f>IFERROR(__xludf.DUMMYFUNCTION("""COMPUTED_VALUE"""),46260.676957253425)</f>
        <v>46260.67696</v>
      </c>
      <c r="C7017" s="9">
        <f>IFERROR(__xludf.DUMMYFUNCTION("""COMPUTED_VALUE"""),26783.0)</f>
        <v>26783</v>
      </c>
      <c r="D7017" s="9" t="str">
        <f>IFERROR(__xludf.DUMMYFUNCTION("""COMPUTED_VALUE"""),"Completed")</f>
        <v>Completed</v>
      </c>
    </row>
    <row r="7018">
      <c r="A7018" s="9" t="str">
        <f>IFERROR(__xludf.DUMMYFUNCTION("""COMPUTED_VALUE"""),"G-REQ-07017")</f>
        <v>G-REQ-07017</v>
      </c>
      <c r="B7018" s="11">
        <f>IFERROR(__xludf.DUMMYFUNCTION("""COMPUTED_VALUE"""),46260.748132098845)</f>
        <v>46260.74813</v>
      </c>
      <c r="C7018" s="9">
        <f>IFERROR(__xludf.DUMMYFUNCTION("""COMPUTED_VALUE"""),26787.0)</f>
        <v>26787</v>
      </c>
      <c r="D7018" s="9" t="str">
        <f>IFERROR(__xludf.DUMMYFUNCTION("""COMPUTED_VALUE"""),"Completed")</f>
        <v>Completed</v>
      </c>
    </row>
    <row r="7019">
      <c r="A7019" s="9" t="str">
        <f>IFERROR(__xludf.DUMMYFUNCTION("""COMPUTED_VALUE"""),"G-REQ-07018")</f>
        <v>G-REQ-07018</v>
      </c>
      <c r="B7019" s="11">
        <f>IFERROR(__xludf.DUMMYFUNCTION("""COMPUTED_VALUE"""),46260.81236249981)</f>
        <v>46260.81236</v>
      </c>
      <c r="C7019" s="9">
        <f>IFERROR(__xludf.DUMMYFUNCTION("""COMPUTED_VALUE"""),26789.0)</f>
        <v>26789</v>
      </c>
      <c r="D7019" s="9" t="str">
        <f>IFERROR(__xludf.DUMMYFUNCTION("""COMPUTED_VALUE"""),"Rejected")</f>
        <v>Rejected</v>
      </c>
    </row>
    <row r="7020">
      <c r="A7020" s="9" t="str">
        <f>IFERROR(__xludf.DUMMYFUNCTION("""COMPUTED_VALUE"""),"G-REQ-07019")</f>
        <v>G-REQ-07019</v>
      </c>
      <c r="B7020" s="11">
        <f>IFERROR(__xludf.DUMMYFUNCTION("""COMPUTED_VALUE"""),46260.89048178967)</f>
        <v>46260.89048</v>
      </c>
      <c r="C7020" s="9">
        <f>IFERROR(__xludf.DUMMYFUNCTION("""COMPUTED_VALUE"""),26793.0)</f>
        <v>26793</v>
      </c>
      <c r="D7020" s="9" t="str">
        <f>IFERROR(__xludf.DUMMYFUNCTION("""COMPUTED_VALUE"""),"Completed")</f>
        <v>Completed</v>
      </c>
    </row>
    <row r="7021">
      <c r="A7021" s="9" t="str">
        <f>IFERROR(__xludf.DUMMYFUNCTION("""COMPUTED_VALUE"""),"G-REQ-07020")</f>
        <v>G-REQ-07020</v>
      </c>
      <c r="B7021" s="11">
        <f>IFERROR(__xludf.DUMMYFUNCTION("""COMPUTED_VALUE"""),46260.96165663509)</f>
        <v>46260.96166</v>
      </c>
      <c r="C7021" s="9">
        <f>IFERROR(__xludf.DUMMYFUNCTION("""COMPUTED_VALUE"""),26797.0)</f>
        <v>26797</v>
      </c>
      <c r="D7021" s="9" t="str">
        <f>IFERROR(__xludf.DUMMYFUNCTION("""COMPUTED_VALUE"""),"Completed")</f>
        <v>Completed</v>
      </c>
    </row>
    <row r="7022">
      <c r="A7022" s="9" t="str">
        <f>IFERROR(__xludf.DUMMYFUNCTION("""COMPUTED_VALUE"""),"G-REQ-07021")</f>
        <v>G-REQ-07021</v>
      </c>
      <c r="B7022" s="11">
        <f>IFERROR(__xludf.DUMMYFUNCTION("""COMPUTED_VALUE"""),46261.0328314805)</f>
        <v>46261.03283</v>
      </c>
      <c r="C7022" s="9">
        <f>IFERROR(__xludf.DUMMYFUNCTION("""COMPUTED_VALUE"""),26801.0)</f>
        <v>26801</v>
      </c>
      <c r="D7022" s="9" t="str">
        <f>IFERROR(__xludf.DUMMYFUNCTION("""COMPUTED_VALUE"""),"Completed")</f>
        <v>Completed</v>
      </c>
    </row>
    <row r="7023">
      <c r="A7023" s="9" t="str">
        <f>IFERROR(__xludf.DUMMYFUNCTION("""COMPUTED_VALUE"""),"G-REQ-07022")</f>
        <v>G-REQ-07022</v>
      </c>
      <c r="B7023" s="11">
        <f>IFERROR(__xludf.DUMMYFUNCTION("""COMPUTED_VALUE"""),46261.10400632591)</f>
        <v>46261.10401</v>
      </c>
      <c r="C7023" s="9">
        <f>IFERROR(__xludf.DUMMYFUNCTION("""COMPUTED_VALUE"""),26805.0)</f>
        <v>26805</v>
      </c>
      <c r="D7023" s="9" t="str">
        <f>IFERROR(__xludf.DUMMYFUNCTION("""COMPUTED_VALUE"""),"Completed")</f>
        <v>Completed</v>
      </c>
    </row>
    <row r="7024">
      <c r="A7024" s="9" t="str">
        <f>IFERROR(__xludf.DUMMYFUNCTION("""COMPUTED_VALUE"""),"G-REQ-07023")</f>
        <v>G-REQ-07023</v>
      </c>
      <c r="B7024" s="11">
        <f>IFERROR(__xludf.DUMMYFUNCTION("""COMPUTED_VALUE"""),46261.16823672689)</f>
        <v>46261.16824</v>
      </c>
      <c r="C7024" s="9">
        <f>IFERROR(__xludf.DUMMYFUNCTION("""COMPUTED_VALUE"""),26807.0)</f>
        <v>26807</v>
      </c>
      <c r="D7024" s="9" t="str">
        <f>IFERROR(__xludf.DUMMYFUNCTION("""COMPUTED_VALUE"""),"Cancelled")</f>
        <v>Cancelled</v>
      </c>
    </row>
    <row r="7025">
      <c r="A7025" s="9" t="str">
        <f>IFERROR(__xludf.DUMMYFUNCTION("""COMPUTED_VALUE"""),"G-REQ-07024")</f>
        <v>G-REQ-07024</v>
      </c>
      <c r="B7025" s="11">
        <f>IFERROR(__xludf.DUMMYFUNCTION("""COMPUTED_VALUE"""),46261.24635601675)</f>
        <v>46261.24636</v>
      </c>
      <c r="C7025" s="9">
        <f>IFERROR(__xludf.DUMMYFUNCTION("""COMPUTED_VALUE"""),26811.0)</f>
        <v>26811</v>
      </c>
      <c r="D7025" s="9" t="str">
        <f>IFERROR(__xludf.DUMMYFUNCTION("""COMPUTED_VALUE"""),"Completed")</f>
        <v>Completed</v>
      </c>
    </row>
    <row r="7026">
      <c r="A7026" s="9" t="str">
        <f>IFERROR(__xludf.DUMMYFUNCTION("""COMPUTED_VALUE"""),"G-REQ-07025")</f>
        <v>G-REQ-07025</v>
      </c>
      <c r="B7026" s="11">
        <f>IFERROR(__xludf.DUMMYFUNCTION("""COMPUTED_VALUE"""),46261.31753086216)</f>
        <v>46261.31753</v>
      </c>
      <c r="C7026" s="9">
        <f>IFERROR(__xludf.DUMMYFUNCTION("""COMPUTED_VALUE"""),26815.0)</f>
        <v>26815</v>
      </c>
      <c r="D7026" s="9" t="str">
        <f>IFERROR(__xludf.DUMMYFUNCTION("""COMPUTED_VALUE"""),"Completed")</f>
        <v>Completed</v>
      </c>
    </row>
    <row r="7027">
      <c r="A7027" s="9" t="str">
        <f>IFERROR(__xludf.DUMMYFUNCTION("""COMPUTED_VALUE"""),"G-REQ-07026")</f>
        <v>G-REQ-07026</v>
      </c>
      <c r="B7027" s="11">
        <f>IFERROR(__xludf.DUMMYFUNCTION("""COMPUTED_VALUE"""),46261.38870570758)</f>
        <v>46261.38871</v>
      </c>
      <c r="C7027" s="9">
        <f>IFERROR(__xludf.DUMMYFUNCTION("""COMPUTED_VALUE"""),26819.0)</f>
        <v>26819</v>
      </c>
      <c r="D7027" s="9" t="str">
        <f>IFERROR(__xludf.DUMMYFUNCTION("""COMPUTED_VALUE"""),"Completed")</f>
        <v>Completed</v>
      </c>
    </row>
    <row r="7028">
      <c r="A7028" s="9" t="str">
        <f>IFERROR(__xludf.DUMMYFUNCTION("""COMPUTED_VALUE"""),"G-REQ-07027")</f>
        <v>G-REQ-07027</v>
      </c>
      <c r="B7028" s="11">
        <f>IFERROR(__xludf.DUMMYFUNCTION("""COMPUTED_VALUE"""),46261.45293610855)</f>
        <v>46261.45294</v>
      </c>
      <c r="C7028" s="9">
        <f>IFERROR(__xludf.DUMMYFUNCTION("""COMPUTED_VALUE"""),26821.0)</f>
        <v>26821</v>
      </c>
      <c r="D7028" s="9" t="str">
        <f>IFERROR(__xludf.DUMMYFUNCTION("""COMPUTED_VALUE"""),"Cancelled")</f>
        <v>Cancelled</v>
      </c>
    </row>
    <row r="7029">
      <c r="A7029" s="9" t="str">
        <f>IFERROR(__xludf.DUMMYFUNCTION("""COMPUTED_VALUE"""),"G-REQ-07028")</f>
        <v>G-REQ-07028</v>
      </c>
      <c r="B7029" s="11">
        <f>IFERROR(__xludf.DUMMYFUNCTION("""COMPUTED_VALUE"""),46261.53105539841)</f>
        <v>46261.53106</v>
      </c>
      <c r="C7029" s="9">
        <f>IFERROR(__xludf.DUMMYFUNCTION("""COMPUTED_VALUE"""),26825.0)</f>
        <v>26825</v>
      </c>
      <c r="D7029" s="9" t="str">
        <f>IFERROR(__xludf.DUMMYFUNCTION("""COMPUTED_VALUE"""),"Completed")</f>
        <v>Completed</v>
      </c>
    </row>
    <row r="7030">
      <c r="A7030" s="9" t="str">
        <f>IFERROR(__xludf.DUMMYFUNCTION("""COMPUTED_VALUE"""),"G-REQ-07029")</f>
        <v>G-REQ-07029</v>
      </c>
      <c r="B7030" s="11">
        <f>IFERROR(__xludf.DUMMYFUNCTION("""COMPUTED_VALUE"""),46261.60223024382)</f>
        <v>46261.60223</v>
      </c>
      <c r="C7030" s="9">
        <f>IFERROR(__xludf.DUMMYFUNCTION("""COMPUTED_VALUE"""),26829.0)</f>
        <v>26829</v>
      </c>
      <c r="D7030" s="9" t="str">
        <f>IFERROR(__xludf.DUMMYFUNCTION("""COMPUTED_VALUE"""),"Completed")</f>
        <v>Completed</v>
      </c>
    </row>
    <row r="7031">
      <c r="A7031" s="9" t="str">
        <f>IFERROR(__xludf.DUMMYFUNCTION("""COMPUTED_VALUE"""),"G-REQ-07030")</f>
        <v>G-REQ-07030</v>
      </c>
      <c r="B7031" s="11">
        <f>IFERROR(__xludf.DUMMYFUNCTION("""COMPUTED_VALUE"""),46261.67340508924)</f>
        <v>46261.67341</v>
      </c>
      <c r="C7031" s="9">
        <f>IFERROR(__xludf.DUMMYFUNCTION("""COMPUTED_VALUE"""),26833.0)</f>
        <v>26833</v>
      </c>
      <c r="D7031" s="9" t="str">
        <f>IFERROR(__xludf.DUMMYFUNCTION("""COMPUTED_VALUE"""),"Completed")</f>
        <v>Completed</v>
      </c>
    </row>
    <row r="7032">
      <c r="A7032" s="9" t="str">
        <f>IFERROR(__xludf.DUMMYFUNCTION("""COMPUTED_VALUE"""),"G-REQ-07031")</f>
        <v>G-REQ-07031</v>
      </c>
      <c r="B7032" s="11">
        <f>IFERROR(__xludf.DUMMYFUNCTION("""COMPUTED_VALUE"""),46261.74457993465)</f>
        <v>46261.74458</v>
      </c>
      <c r="C7032" s="9">
        <f>IFERROR(__xludf.DUMMYFUNCTION("""COMPUTED_VALUE"""),26837.0)</f>
        <v>26837</v>
      </c>
      <c r="D7032" s="9" t="str">
        <f>IFERROR(__xludf.DUMMYFUNCTION("""COMPUTED_VALUE"""),"Completed")</f>
        <v>Completed</v>
      </c>
    </row>
    <row r="7033">
      <c r="A7033" s="9" t="str">
        <f>IFERROR(__xludf.DUMMYFUNCTION("""COMPUTED_VALUE"""),"G-REQ-07032")</f>
        <v>G-REQ-07032</v>
      </c>
      <c r="B7033" s="11">
        <f>IFERROR(__xludf.DUMMYFUNCTION("""COMPUTED_VALUE"""),46261.815754780066)</f>
        <v>46261.81575</v>
      </c>
      <c r="C7033" s="9">
        <f>IFERROR(__xludf.DUMMYFUNCTION("""COMPUTED_VALUE"""),26841.0)</f>
        <v>26841</v>
      </c>
      <c r="D7033" s="9" t="str">
        <f>IFERROR(__xludf.DUMMYFUNCTION("""COMPUTED_VALUE"""),"Completed")</f>
        <v>Completed</v>
      </c>
    </row>
    <row r="7034">
      <c r="A7034" s="9" t="str">
        <f>IFERROR(__xludf.DUMMYFUNCTION("""COMPUTED_VALUE"""),"G-REQ-07033")</f>
        <v>G-REQ-07033</v>
      </c>
      <c r="B7034" s="11">
        <f>IFERROR(__xludf.DUMMYFUNCTION("""COMPUTED_VALUE"""),46261.886929625485)</f>
        <v>46261.88693</v>
      </c>
      <c r="C7034" s="9">
        <f>IFERROR(__xludf.DUMMYFUNCTION("""COMPUTED_VALUE"""),26845.0)</f>
        <v>26845</v>
      </c>
      <c r="D7034" s="9" t="str">
        <f>IFERROR(__xludf.DUMMYFUNCTION("""COMPUTED_VALUE"""),"Completed")</f>
        <v>Completed</v>
      </c>
    </row>
    <row r="7035">
      <c r="A7035" s="9" t="str">
        <f>IFERROR(__xludf.DUMMYFUNCTION("""COMPUTED_VALUE"""),"G-REQ-07034")</f>
        <v>G-REQ-07034</v>
      </c>
      <c r="B7035" s="11">
        <f>IFERROR(__xludf.DUMMYFUNCTION("""COMPUTED_VALUE"""),46261.958104470905)</f>
        <v>46261.9581</v>
      </c>
      <c r="C7035" s="9">
        <f>IFERROR(__xludf.DUMMYFUNCTION("""COMPUTED_VALUE"""),26849.0)</f>
        <v>26849</v>
      </c>
      <c r="D7035" s="9" t="str">
        <f>IFERROR(__xludf.DUMMYFUNCTION("""COMPUTED_VALUE"""),"Completed")</f>
        <v>Completed</v>
      </c>
    </row>
    <row r="7036">
      <c r="A7036" s="9" t="str">
        <f>IFERROR(__xludf.DUMMYFUNCTION("""COMPUTED_VALUE"""),"G-REQ-07035")</f>
        <v>G-REQ-07035</v>
      </c>
      <c r="B7036" s="11">
        <f>IFERROR(__xludf.DUMMYFUNCTION("""COMPUTED_VALUE"""),46262.02927931631)</f>
        <v>46262.02928</v>
      </c>
      <c r="C7036" s="9">
        <f>IFERROR(__xludf.DUMMYFUNCTION("""COMPUTED_VALUE"""),26853.0)</f>
        <v>26853</v>
      </c>
      <c r="D7036" s="9" t="str">
        <f>IFERROR(__xludf.DUMMYFUNCTION("""COMPUTED_VALUE"""),"Completed")</f>
        <v>Completed</v>
      </c>
    </row>
    <row r="7037">
      <c r="A7037" s="9" t="str">
        <f>IFERROR(__xludf.DUMMYFUNCTION("""COMPUTED_VALUE"""),"G-REQ-07036")</f>
        <v>G-REQ-07036</v>
      </c>
      <c r="B7037" s="11">
        <f>IFERROR(__xludf.DUMMYFUNCTION("""COMPUTED_VALUE"""),46262.10045416173)</f>
        <v>46262.10045</v>
      </c>
      <c r="C7037" s="9">
        <f>IFERROR(__xludf.DUMMYFUNCTION("""COMPUTED_VALUE"""),26857.0)</f>
        <v>26857</v>
      </c>
      <c r="D7037" s="9" t="str">
        <f>IFERROR(__xludf.DUMMYFUNCTION("""COMPUTED_VALUE"""),"Completed")</f>
        <v>Completed</v>
      </c>
    </row>
    <row r="7038">
      <c r="A7038" s="9" t="str">
        <f>IFERROR(__xludf.DUMMYFUNCTION("""COMPUTED_VALUE"""),"G-REQ-07037")</f>
        <v>G-REQ-07037</v>
      </c>
      <c r="B7038" s="11">
        <f>IFERROR(__xludf.DUMMYFUNCTION("""COMPUTED_VALUE"""),46262.17162900714)</f>
        <v>46262.17163</v>
      </c>
      <c r="C7038" s="9">
        <f>IFERROR(__xludf.DUMMYFUNCTION("""COMPUTED_VALUE"""),26861.0)</f>
        <v>26861</v>
      </c>
      <c r="D7038" s="9" t="str">
        <f>IFERROR(__xludf.DUMMYFUNCTION("""COMPUTED_VALUE"""),"Completed")</f>
        <v>Completed</v>
      </c>
    </row>
    <row r="7039">
      <c r="A7039" s="9" t="str">
        <f>IFERROR(__xludf.DUMMYFUNCTION("""COMPUTED_VALUE"""),"G-REQ-07038")</f>
        <v>G-REQ-07038</v>
      </c>
      <c r="B7039" s="11">
        <f>IFERROR(__xludf.DUMMYFUNCTION("""COMPUTED_VALUE"""),46262.24280385256)</f>
        <v>46262.2428</v>
      </c>
      <c r="C7039" s="9">
        <f>IFERROR(__xludf.DUMMYFUNCTION("""COMPUTED_VALUE"""),26865.0)</f>
        <v>26865</v>
      </c>
      <c r="D7039" s="9" t="str">
        <f>IFERROR(__xludf.DUMMYFUNCTION("""COMPUTED_VALUE"""),"Completed")</f>
        <v>Completed</v>
      </c>
    </row>
    <row r="7040">
      <c r="A7040" s="9" t="str">
        <f>IFERROR(__xludf.DUMMYFUNCTION("""COMPUTED_VALUE"""),"G-REQ-07039")</f>
        <v>G-REQ-07039</v>
      </c>
      <c r="B7040" s="11">
        <f>IFERROR(__xludf.DUMMYFUNCTION("""COMPUTED_VALUE"""),46262.30703425353)</f>
        <v>46262.30703</v>
      </c>
      <c r="C7040" s="9">
        <f>IFERROR(__xludf.DUMMYFUNCTION("""COMPUTED_VALUE"""),26867.0)</f>
        <v>26867</v>
      </c>
      <c r="D7040" s="9" t="str">
        <f>IFERROR(__xludf.DUMMYFUNCTION("""COMPUTED_VALUE"""),"Cancelled")</f>
        <v>Cancelled</v>
      </c>
    </row>
    <row r="7041">
      <c r="A7041" s="9" t="str">
        <f>IFERROR(__xludf.DUMMYFUNCTION("""COMPUTED_VALUE"""),"G-REQ-07040")</f>
        <v>G-REQ-07040</v>
      </c>
      <c r="B7041" s="11">
        <f>IFERROR(__xludf.DUMMYFUNCTION("""COMPUTED_VALUE"""),46262.38515354339)</f>
        <v>46262.38515</v>
      </c>
      <c r="C7041" s="9">
        <f>IFERROR(__xludf.DUMMYFUNCTION("""COMPUTED_VALUE"""),26871.0)</f>
        <v>26871</v>
      </c>
      <c r="D7041" s="9" t="str">
        <f>IFERROR(__xludf.DUMMYFUNCTION("""COMPUTED_VALUE"""),"Completed")</f>
        <v>Completed</v>
      </c>
    </row>
    <row r="7042">
      <c r="A7042" s="9" t="str">
        <f>IFERROR(__xludf.DUMMYFUNCTION("""COMPUTED_VALUE"""),"G-REQ-07041")</f>
        <v>G-REQ-07041</v>
      </c>
      <c r="B7042" s="11">
        <f>IFERROR(__xludf.DUMMYFUNCTION("""COMPUTED_VALUE"""),46262.4563283888)</f>
        <v>46262.45633</v>
      </c>
      <c r="C7042" s="9">
        <f>IFERROR(__xludf.DUMMYFUNCTION("""COMPUTED_VALUE"""),26875.0)</f>
        <v>26875</v>
      </c>
      <c r="D7042" s="9" t="str">
        <f>IFERROR(__xludf.DUMMYFUNCTION("""COMPUTED_VALUE"""),"Completed")</f>
        <v>Completed</v>
      </c>
    </row>
    <row r="7043">
      <c r="A7043" s="9" t="str">
        <f>IFERROR(__xludf.DUMMYFUNCTION("""COMPUTED_VALUE"""),"G-REQ-07042")</f>
        <v>G-REQ-07042</v>
      </c>
      <c r="B7043" s="11">
        <f>IFERROR(__xludf.DUMMYFUNCTION("""COMPUTED_VALUE"""),46262.52750323422)</f>
        <v>46262.5275</v>
      </c>
      <c r="C7043" s="9">
        <f>IFERROR(__xludf.DUMMYFUNCTION("""COMPUTED_VALUE"""),26879.0)</f>
        <v>26879</v>
      </c>
      <c r="D7043" s="9" t="str">
        <f>IFERROR(__xludf.DUMMYFUNCTION("""COMPUTED_VALUE"""),"Completed")</f>
        <v>Completed</v>
      </c>
    </row>
    <row r="7044">
      <c r="A7044" s="9" t="str">
        <f>IFERROR(__xludf.DUMMYFUNCTION("""COMPUTED_VALUE"""),"G-REQ-07043")</f>
        <v>G-REQ-07043</v>
      </c>
      <c r="B7044" s="11">
        <f>IFERROR(__xludf.DUMMYFUNCTION("""COMPUTED_VALUE"""),46262.59867807964)</f>
        <v>46262.59868</v>
      </c>
      <c r="C7044" s="9">
        <f>IFERROR(__xludf.DUMMYFUNCTION("""COMPUTED_VALUE"""),26883.0)</f>
        <v>26883</v>
      </c>
      <c r="D7044" s="9" t="str">
        <f>IFERROR(__xludf.DUMMYFUNCTION("""COMPUTED_VALUE"""),"Completed")</f>
        <v>Completed</v>
      </c>
    </row>
    <row r="7045">
      <c r="A7045" s="9" t="str">
        <f>IFERROR(__xludf.DUMMYFUNCTION("""COMPUTED_VALUE"""),"G-REQ-07044")</f>
        <v>G-REQ-07044</v>
      </c>
      <c r="B7045" s="11">
        <f>IFERROR(__xludf.DUMMYFUNCTION("""COMPUTED_VALUE"""),46262.66985292505)</f>
        <v>46262.66985</v>
      </c>
      <c r="C7045" s="9">
        <f>IFERROR(__xludf.DUMMYFUNCTION("""COMPUTED_VALUE"""),26887.0)</f>
        <v>26887</v>
      </c>
      <c r="D7045" s="9" t="str">
        <f>IFERROR(__xludf.DUMMYFUNCTION("""COMPUTED_VALUE"""),"Completed")</f>
        <v>Completed</v>
      </c>
    </row>
    <row r="7046">
      <c r="A7046" s="9" t="str">
        <f>IFERROR(__xludf.DUMMYFUNCTION("""COMPUTED_VALUE"""),"G-REQ-07045")</f>
        <v>G-REQ-07045</v>
      </c>
      <c r="B7046" s="11">
        <f>IFERROR(__xludf.DUMMYFUNCTION("""COMPUTED_VALUE"""),46262.74102777046)</f>
        <v>46262.74103</v>
      </c>
      <c r="C7046" s="9">
        <f>IFERROR(__xludf.DUMMYFUNCTION("""COMPUTED_VALUE"""),26891.0)</f>
        <v>26891</v>
      </c>
      <c r="D7046" s="9" t="str">
        <f>IFERROR(__xludf.DUMMYFUNCTION("""COMPUTED_VALUE"""),"Completed")</f>
        <v>Completed</v>
      </c>
    </row>
    <row r="7047">
      <c r="A7047" s="9" t="str">
        <f>IFERROR(__xludf.DUMMYFUNCTION("""COMPUTED_VALUE"""),"G-REQ-07046")</f>
        <v>G-REQ-07046</v>
      </c>
      <c r="B7047" s="11">
        <f>IFERROR(__xludf.DUMMYFUNCTION("""COMPUTED_VALUE"""),46262.80525817144)</f>
        <v>46262.80526</v>
      </c>
      <c r="C7047" s="9">
        <f>IFERROR(__xludf.DUMMYFUNCTION("""COMPUTED_VALUE"""),26893.0)</f>
        <v>26893</v>
      </c>
      <c r="D7047" s="9" t="str">
        <f>IFERROR(__xludf.DUMMYFUNCTION("""COMPUTED_VALUE"""),"Cancelled")</f>
        <v>Cancelled</v>
      </c>
    </row>
    <row r="7048">
      <c r="A7048" s="9" t="str">
        <f>IFERROR(__xludf.DUMMYFUNCTION("""COMPUTED_VALUE"""),"G-REQ-07047")</f>
        <v>G-REQ-07047</v>
      </c>
      <c r="B7048" s="11">
        <f>IFERROR(__xludf.DUMMYFUNCTION("""COMPUTED_VALUE"""),46262.883377461294)</f>
        <v>46262.88338</v>
      </c>
      <c r="C7048" s="9">
        <f>IFERROR(__xludf.DUMMYFUNCTION("""COMPUTED_VALUE"""),26897.0)</f>
        <v>26897</v>
      </c>
      <c r="D7048" s="9" t="str">
        <f>IFERROR(__xludf.DUMMYFUNCTION("""COMPUTED_VALUE"""),"Completed")</f>
        <v>Completed</v>
      </c>
    </row>
    <row r="7049">
      <c r="A7049" s="9" t="str">
        <f>IFERROR(__xludf.DUMMYFUNCTION("""COMPUTED_VALUE"""),"G-REQ-07048")</f>
        <v>G-REQ-07048</v>
      </c>
      <c r="B7049" s="11">
        <f>IFERROR(__xludf.DUMMYFUNCTION("""COMPUTED_VALUE"""),46262.954552306706)</f>
        <v>46262.95455</v>
      </c>
      <c r="C7049" s="9">
        <f>IFERROR(__xludf.DUMMYFUNCTION("""COMPUTED_VALUE"""),26901.0)</f>
        <v>26901</v>
      </c>
      <c r="D7049" s="9" t="str">
        <f>IFERROR(__xludf.DUMMYFUNCTION("""COMPUTED_VALUE"""),"Completed")</f>
        <v>Completed</v>
      </c>
    </row>
    <row r="7050">
      <c r="A7050" s="9" t="str">
        <f>IFERROR(__xludf.DUMMYFUNCTION("""COMPUTED_VALUE"""),"G-REQ-07049")</f>
        <v>G-REQ-07049</v>
      </c>
      <c r="B7050" s="11">
        <f>IFERROR(__xludf.DUMMYFUNCTION("""COMPUTED_VALUE"""),46263.025727152126)</f>
        <v>46263.02573</v>
      </c>
      <c r="C7050" s="9">
        <f>IFERROR(__xludf.DUMMYFUNCTION("""COMPUTED_VALUE"""),26905.0)</f>
        <v>26905</v>
      </c>
      <c r="D7050" s="9" t="str">
        <f>IFERROR(__xludf.DUMMYFUNCTION("""COMPUTED_VALUE"""),"Completed")</f>
        <v>Completed</v>
      </c>
    </row>
    <row r="7051">
      <c r="A7051" s="9" t="str">
        <f>IFERROR(__xludf.DUMMYFUNCTION("""COMPUTED_VALUE"""),"G-REQ-07050")</f>
        <v>G-REQ-07050</v>
      </c>
      <c r="B7051" s="11">
        <f>IFERROR(__xludf.DUMMYFUNCTION("""COMPUTED_VALUE"""),46263.096901997546)</f>
        <v>46263.0969</v>
      </c>
      <c r="C7051" s="9">
        <f>IFERROR(__xludf.DUMMYFUNCTION("""COMPUTED_VALUE"""),26909.0)</f>
        <v>26909</v>
      </c>
      <c r="D7051" s="9" t="str">
        <f>IFERROR(__xludf.DUMMYFUNCTION("""COMPUTED_VALUE"""),"Completed")</f>
        <v>Completed</v>
      </c>
    </row>
    <row r="7052">
      <c r="A7052" s="9" t="str">
        <f>IFERROR(__xludf.DUMMYFUNCTION("""COMPUTED_VALUE"""),"G-REQ-07051")</f>
        <v>G-REQ-07051</v>
      </c>
      <c r="B7052" s="11">
        <f>IFERROR(__xludf.DUMMYFUNCTION("""COMPUTED_VALUE"""),46263.16807684295)</f>
        <v>46263.16808</v>
      </c>
      <c r="C7052" s="9">
        <f>IFERROR(__xludf.DUMMYFUNCTION("""COMPUTED_VALUE"""),26913.0)</f>
        <v>26913</v>
      </c>
      <c r="D7052" s="9" t="str">
        <f>IFERROR(__xludf.DUMMYFUNCTION("""COMPUTED_VALUE"""),"Completed")</f>
        <v>Completed</v>
      </c>
    </row>
    <row r="7053">
      <c r="A7053" s="9" t="str">
        <f>IFERROR(__xludf.DUMMYFUNCTION("""COMPUTED_VALUE"""),"G-REQ-07052")</f>
        <v>G-REQ-07052</v>
      </c>
      <c r="B7053" s="11">
        <f>IFERROR(__xludf.DUMMYFUNCTION("""COMPUTED_VALUE"""),46263.23925168837)</f>
        <v>46263.23925</v>
      </c>
      <c r="C7053" s="9">
        <f>IFERROR(__xludf.DUMMYFUNCTION("""COMPUTED_VALUE"""),26917.0)</f>
        <v>26917</v>
      </c>
      <c r="D7053" s="9" t="str">
        <f>IFERROR(__xludf.DUMMYFUNCTION("""COMPUTED_VALUE"""),"Completed")</f>
        <v>Completed</v>
      </c>
    </row>
    <row r="7054">
      <c r="A7054" s="9" t="str">
        <f>IFERROR(__xludf.DUMMYFUNCTION("""COMPUTED_VALUE"""),"G-REQ-07053")</f>
        <v>G-REQ-07053</v>
      </c>
      <c r="B7054" s="11">
        <f>IFERROR(__xludf.DUMMYFUNCTION("""COMPUTED_VALUE"""),46263.31042653378)</f>
        <v>46263.31043</v>
      </c>
      <c r="C7054" s="9">
        <f>IFERROR(__xludf.DUMMYFUNCTION("""COMPUTED_VALUE"""),26921.0)</f>
        <v>26921</v>
      </c>
      <c r="D7054" s="9" t="str">
        <f>IFERROR(__xludf.DUMMYFUNCTION("""COMPUTED_VALUE"""),"Completed")</f>
        <v>Completed</v>
      </c>
    </row>
    <row r="7055">
      <c r="A7055" s="9" t="str">
        <f>IFERROR(__xludf.DUMMYFUNCTION("""COMPUTED_VALUE"""),"G-REQ-07054")</f>
        <v>G-REQ-07054</v>
      </c>
      <c r="B7055" s="11">
        <f>IFERROR(__xludf.DUMMYFUNCTION("""COMPUTED_VALUE"""),46263.3816013792)</f>
        <v>46263.3816</v>
      </c>
      <c r="C7055" s="9">
        <f>IFERROR(__xludf.DUMMYFUNCTION("""COMPUTED_VALUE"""),26925.0)</f>
        <v>26925</v>
      </c>
      <c r="D7055" s="9" t="str">
        <f>IFERROR(__xludf.DUMMYFUNCTION("""COMPUTED_VALUE"""),"Completed")</f>
        <v>Completed</v>
      </c>
    </row>
    <row r="7056">
      <c r="A7056" s="9" t="str">
        <f>IFERROR(__xludf.DUMMYFUNCTION("""COMPUTED_VALUE"""),"G-REQ-07055")</f>
        <v>G-REQ-07055</v>
      </c>
      <c r="B7056" s="11">
        <f>IFERROR(__xludf.DUMMYFUNCTION("""COMPUTED_VALUE"""),46263.452776224614)</f>
        <v>46263.45278</v>
      </c>
      <c r="C7056" s="9">
        <f>IFERROR(__xludf.DUMMYFUNCTION("""COMPUTED_VALUE"""),26929.0)</f>
        <v>26929</v>
      </c>
      <c r="D7056" s="9" t="str">
        <f>IFERROR(__xludf.DUMMYFUNCTION("""COMPUTED_VALUE"""),"Completed")</f>
        <v>Completed</v>
      </c>
    </row>
    <row r="7057">
      <c r="A7057" s="9" t="str">
        <f>IFERROR(__xludf.DUMMYFUNCTION("""COMPUTED_VALUE"""),"G-REQ-07056")</f>
        <v>G-REQ-07056</v>
      </c>
      <c r="B7057" s="11">
        <f>IFERROR(__xludf.DUMMYFUNCTION("""COMPUTED_VALUE"""),46263.523951070034)</f>
        <v>46263.52395</v>
      </c>
      <c r="C7057" s="9">
        <f>IFERROR(__xludf.DUMMYFUNCTION("""COMPUTED_VALUE"""),26933.0)</f>
        <v>26933</v>
      </c>
      <c r="D7057" s="9" t="str">
        <f>IFERROR(__xludf.DUMMYFUNCTION("""COMPUTED_VALUE"""),"Completed")</f>
        <v>Completed</v>
      </c>
    </row>
    <row r="7058">
      <c r="A7058" s="9" t="str">
        <f>IFERROR(__xludf.DUMMYFUNCTION("""COMPUTED_VALUE"""),"G-REQ-07057")</f>
        <v>G-REQ-07057</v>
      </c>
      <c r="B7058" s="11">
        <f>IFERROR(__xludf.DUMMYFUNCTION("""COMPUTED_VALUE"""),46263.595125915446)</f>
        <v>46263.59513</v>
      </c>
      <c r="C7058" s="9">
        <f>IFERROR(__xludf.DUMMYFUNCTION("""COMPUTED_VALUE"""),26937.0)</f>
        <v>26937</v>
      </c>
      <c r="D7058" s="9" t="str">
        <f>IFERROR(__xludf.DUMMYFUNCTION("""COMPUTED_VALUE"""),"Completed")</f>
        <v>Completed</v>
      </c>
    </row>
    <row r="7059">
      <c r="A7059" s="9" t="str">
        <f>IFERROR(__xludf.DUMMYFUNCTION("""COMPUTED_VALUE"""),"G-REQ-07058")</f>
        <v>G-REQ-07058</v>
      </c>
      <c r="B7059" s="11">
        <f>IFERROR(__xludf.DUMMYFUNCTION("""COMPUTED_VALUE"""),46263.66630076086)</f>
        <v>46263.6663</v>
      </c>
      <c r="C7059" s="9">
        <f>IFERROR(__xludf.DUMMYFUNCTION("""COMPUTED_VALUE"""),26941.0)</f>
        <v>26941</v>
      </c>
      <c r="D7059" s="9" t="str">
        <f>IFERROR(__xludf.DUMMYFUNCTION("""COMPUTED_VALUE"""),"Completed")</f>
        <v>Completed</v>
      </c>
    </row>
    <row r="7060">
      <c r="A7060" s="9" t="str">
        <f>IFERROR(__xludf.DUMMYFUNCTION("""COMPUTED_VALUE"""),"G-REQ-07059")</f>
        <v>G-REQ-07059</v>
      </c>
      <c r="B7060" s="11">
        <f>IFERROR(__xludf.DUMMYFUNCTION("""COMPUTED_VALUE"""),46263.73747560628)</f>
        <v>46263.73748</v>
      </c>
      <c r="C7060" s="9">
        <f>IFERROR(__xludf.DUMMYFUNCTION("""COMPUTED_VALUE"""),26945.0)</f>
        <v>26945</v>
      </c>
      <c r="D7060" s="9" t="str">
        <f>IFERROR(__xludf.DUMMYFUNCTION("""COMPUTED_VALUE"""),"Completed")</f>
        <v>Completed</v>
      </c>
    </row>
    <row r="7061">
      <c r="A7061" s="9" t="str">
        <f>IFERROR(__xludf.DUMMYFUNCTION("""COMPUTED_VALUE"""),"G-REQ-07060")</f>
        <v>G-REQ-07060</v>
      </c>
      <c r="B7061" s="11">
        <f>IFERROR(__xludf.DUMMYFUNCTION("""COMPUTED_VALUE"""),46263.80865045169)</f>
        <v>46263.80865</v>
      </c>
      <c r="C7061" s="9">
        <f>IFERROR(__xludf.DUMMYFUNCTION("""COMPUTED_VALUE"""),26949.0)</f>
        <v>26949</v>
      </c>
      <c r="D7061" s="9" t="str">
        <f>IFERROR(__xludf.DUMMYFUNCTION("""COMPUTED_VALUE"""),"Completed")</f>
        <v>Completed</v>
      </c>
    </row>
    <row r="7062">
      <c r="A7062" s="9" t="str">
        <f>IFERROR(__xludf.DUMMYFUNCTION("""COMPUTED_VALUE"""),"G-REQ-07061")</f>
        <v>G-REQ-07061</v>
      </c>
      <c r="B7062" s="11">
        <f>IFERROR(__xludf.DUMMYFUNCTION("""COMPUTED_VALUE"""),46263.8798252971)</f>
        <v>46263.87983</v>
      </c>
      <c r="C7062" s="9">
        <f>IFERROR(__xludf.DUMMYFUNCTION("""COMPUTED_VALUE"""),26953.0)</f>
        <v>26953</v>
      </c>
      <c r="D7062" s="9" t="str">
        <f>IFERROR(__xludf.DUMMYFUNCTION("""COMPUTED_VALUE"""),"Completed")</f>
        <v>Completed</v>
      </c>
    </row>
    <row r="7063">
      <c r="A7063" s="9" t="str">
        <f>IFERROR(__xludf.DUMMYFUNCTION("""COMPUTED_VALUE"""),"G-REQ-07062")</f>
        <v>G-REQ-07062</v>
      </c>
      <c r="B7063" s="11">
        <f>IFERROR(__xludf.DUMMYFUNCTION("""COMPUTED_VALUE"""),46263.95100014252)</f>
        <v>46263.951</v>
      </c>
      <c r="C7063" s="9">
        <f>IFERROR(__xludf.DUMMYFUNCTION("""COMPUTED_VALUE"""),26957.0)</f>
        <v>26957</v>
      </c>
      <c r="D7063" s="9" t="str">
        <f>IFERROR(__xludf.DUMMYFUNCTION("""COMPUTED_VALUE"""),"Completed")</f>
        <v>Completed</v>
      </c>
    </row>
    <row r="7064">
      <c r="A7064" s="9" t="str">
        <f>IFERROR(__xludf.DUMMYFUNCTION("""COMPUTED_VALUE"""),"G-REQ-07063")</f>
        <v>G-REQ-07063</v>
      </c>
      <c r="B7064" s="11">
        <f>IFERROR(__xludf.DUMMYFUNCTION("""COMPUTED_VALUE"""),46264.022174987935)</f>
        <v>46264.02217</v>
      </c>
      <c r="C7064" s="9">
        <f>IFERROR(__xludf.DUMMYFUNCTION("""COMPUTED_VALUE"""),26961.0)</f>
        <v>26961</v>
      </c>
      <c r="D7064" s="9" t="str">
        <f>IFERROR(__xludf.DUMMYFUNCTION("""COMPUTED_VALUE"""),"Completed")</f>
        <v>Completed</v>
      </c>
    </row>
    <row r="7065">
      <c r="A7065" s="9" t="str">
        <f>IFERROR(__xludf.DUMMYFUNCTION("""COMPUTED_VALUE"""),"G-REQ-07064")</f>
        <v>G-REQ-07064</v>
      </c>
      <c r="B7065" s="11">
        <f>IFERROR(__xludf.DUMMYFUNCTION("""COMPUTED_VALUE"""),46264.09334983335)</f>
        <v>46264.09335</v>
      </c>
      <c r="C7065" s="9">
        <f>IFERROR(__xludf.DUMMYFUNCTION("""COMPUTED_VALUE"""),26965.0)</f>
        <v>26965</v>
      </c>
      <c r="D7065" s="9" t="str">
        <f>IFERROR(__xludf.DUMMYFUNCTION("""COMPUTED_VALUE"""),"Completed")</f>
        <v>Completed</v>
      </c>
    </row>
    <row r="7066">
      <c r="A7066" s="9" t="str">
        <f>IFERROR(__xludf.DUMMYFUNCTION("""COMPUTED_VALUE"""),"G-REQ-07065")</f>
        <v>G-REQ-07065</v>
      </c>
      <c r="B7066" s="11">
        <f>IFERROR(__xludf.DUMMYFUNCTION("""COMPUTED_VALUE"""),46264.16452467877)</f>
        <v>46264.16452</v>
      </c>
      <c r="C7066" s="9">
        <f>IFERROR(__xludf.DUMMYFUNCTION("""COMPUTED_VALUE"""),26969.0)</f>
        <v>26969</v>
      </c>
      <c r="D7066" s="9" t="str">
        <f>IFERROR(__xludf.DUMMYFUNCTION("""COMPUTED_VALUE"""),"Completed")</f>
        <v>Completed</v>
      </c>
    </row>
    <row r="7067">
      <c r="A7067" s="9" t="str">
        <f>IFERROR(__xludf.DUMMYFUNCTION("""COMPUTED_VALUE"""),"G-REQ-07066")</f>
        <v>G-REQ-07066</v>
      </c>
      <c r="B7067" s="11">
        <f>IFERROR(__xludf.DUMMYFUNCTION("""COMPUTED_VALUE"""),46264.235699524186)</f>
        <v>46264.2357</v>
      </c>
      <c r="C7067" s="9">
        <f>IFERROR(__xludf.DUMMYFUNCTION("""COMPUTED_VALUE"""),26973.0)</f>
        <v>26973</v>
      </c>
      <c r="D7067" s="9" t="str">
        <f>IFERROR(__xludf.DUMMYFUNCTION("""COMPUTED_VALUE"""),"Completed")</f>
        <v>Completed</v>
      </c>
    </row>
    <row r="7068">
      <c r="A7068" s="9" t="str">
        <f>IFERROR(__xludf.DUMMYFUNCTION("""COMPUTED_VALUE"""),"G-REQ-07067")</f>
        <v>G-REQ-07067</v>
      </c>
      <c r="B7068" s="11">
        <f>IFERROR(__xludf.DUMMYFUNCTION("""COMPUTED_VALUE"""),46264.30687436959)</f>
        <v>46264.30687</v>
      </c>
      <c r="C7068" s="9">
        <f>IFERROR(__xludf.DUMMYFUNCTION("""COMPUTED_VALUE"""),26977.0)</f>
        <v>26977</v>
      </c>
      <c r="D7068" s="9" t="str">
        <f>IFERROR(__xludf.DUMMYFUNCTION("""COMPUTED_VALUE"""),"Completed")</f>
        <v>Completed</v>
      </c>
    </row>
    <row r="7069">
      <c r="A7069" s="9" t="str">
        <f>IFERROR(__xludf.DUMMYFUNCTION("""COMPUTED_VALUE"""),"G-REQ-07068")</f>
        <v>G-REQ-07068</v>
      </c>
      <c r="B7069" s="11">
        <f>IFERROR(__xludf.DUMMYFUNCTION("""COMPUTED_VALUE"""),46264.37804921501)</f>
        <v>46264.37805</v>
      </c>
      <c r="C7069" s="9">
        <f>IFERROR(__xludf.DUMMYFUNCTION("""COMPUTED_VALUE"""),26981.0)</f>
        <v>26981</v>
      </c>
      <c r="D7069" s="9" t="str">
        <f>IFERROR(__xludf.DUMMYFUNCTION("""COMPUTED_VALUE"""),"Completed")</f>
        <v>Completed</v>
      </c>
    </row>
    <row r="7070">
      <c r="A7070" s="9" t="str">
        <f>IFERROR(__xludf.DUMMYFUNCTION("""COMPUTED_VALUE"""),"G-REQ-07069")</f>
        <v>G-REQ-07069</v>
      </c>
      <c r="B7070" s="11">
        <f>IFERROR(__xludf.DUMMYFUNCTION("""COMPUTED_VALUE"""),46264.44922406043)</f>
        <v>46264.44922</v>
      </c>
      <c r="C7070" s="9">
        <f>IFERROR(__xludf.DUMMYFUNCTION("""COMPUTED_VALUE"""),26985.0)</f>
        <v>26985</v>
      </c>
      <c r="D7070" s="9" t="str">
        <f>IFERROR(__xludf.DUMMYFUNCTION("""COMPUTED_VALUE"""),"Completed")</f>
        <v>Completed</v>
      </c>
    </row>
    <row r="7071">
      <c r="A7071" s="9" t="str">
        <f>IFERROR(__xludf.DUMMYFUNCTION("""COMPUTED_VALUE"""),"G-REQ-07070")</f>
        <v>G-REQ-07070</v>
      </c>
      <c r="B7071" s="11">
        <f>IFERROR(__xludf.DUMMYFUNCTION("""COMPUTED_VALUE"""),46264.52039890584)</f>
        <v>46264.5204</v>
      </c>
      <c r="C7071" s="9">
        <f>IFERROR(__xludf.DUMMYFUNCTION("""COMPUTED_VALUE"""),26989.0)</f>
        <v>26989</v>
      </c>
      <c r="D7071" s="9" t="str">
        <f>IFERROR(__xludf.DUMMYFUNCTION("""COMPUTED_VALUE"""),"Completed")</f>
        <v>Completed</v>
      </c>
    </row>
    <row r="7072">
      <c r="A7072" s="9" t="str">
        <f>IFERROR(__xludf.DUMMYFUNCTION("""COMPUTED_VALUE"""),"G-REQ-07071")</f>
        <v>G-REQ-07071</v>
      </c>
      <c r="B7072" s="11">
        <f>IFERROR(__xludf.DUMMYFUNCTION("""COMPUTED_VALUE"""),46264.591573751255)</f>
        <v>46264.59157</v>
      </c>
      <c r="C7072" s="9">
        <f>IFERROR(__xludf.DUMMYFUNCTION("""COMPUTED_VALUE"""),26993.0)</f>
        <v>26993</v>
      </c>
      <c r="D7072" s="9" t="str">
        <f>IFERROR(__xludf.DUMMYFUNCTION("""COMPUTED_VALUE"""),"Completed")</f>
        <v>Completed</v>
      </c>
    </row>
    <row r="7073">
      <c r="A7073" s="9" t="str">
        <f>IFERROR(__xludf.DUMMYFUNCTION("""COMPUTED_VALUE"""),"G-REQ-07072")</f>
        <v>G-REQ-07072</v>
      </c>
      <c r="B7073" s="11">
        <f>IFERROR(__xludf.DUMMYFUNCTION("""COMPUTED_VALUE"""),46264.662748596675)</f>
        <v>46264.66275</v>
      </c>
      <c r="C7073" s="9">
        <f>IFERROR(__xludf.DUMMYFUNCTION("""COMPUTED_VALUE"""),26997.0)</f>
        <v>26997</v>
      </c>
      <c r="D7073" s="9" t="str">
        <f>IFERROR(__xludf.DUMMYFUNCTION("""COMPUTED_VALUE"""),"Completed")</f>
        <v>Completed</v>
      </c>
    </row>
    <row r="7074">
      <c r="A7074" s="9" t="str">
        <f>IFERROR(__xludf.DUMMYFUNCTION("""COMPUTED_VALUE"""),"G-REQ-07073")</f>
        <v>G-REQ-07073</v>
      </c>
      <c r="B7074" s="11">
        <f>IFERROR(__xludf.DUMMYFUNCTION("""COMPUTED_VALUE"""),46264.73392344209)</f>
        <v>46264.73392</v>
      </c>
      <c r="C7074" s="9">
        <f>IFERROR(__xludf.DUMMYFUNCTION("""COMPUTED_VALUE"""),27001.0)</f>
        <v>27001</v>
      </c>
      <c r="D7074" s="9" t="str">
        <f>IFERROR(__xludf.DUMMYFUNCTION("""COMPUTED_VALUE"""),"Completed")</f>
        <v>Completed</v>
      </c>
    </row>
    <row r="7075">
      <c r="A7075" s="9" t="str">
        <f>IFERROR(__xludf.DUMMYFUNCTION("""COMPUTED_VALUE"""),"G-REQ-07074")</f>
        <v>G-REQ-07074</v>
      </c>
      <c r="B7075" s="11">
        <f>IFERROR(__xludf.DUMMYFUNCTION("""COMPUTED_VALUE"""),46264.798153843054)</f>
        <v>46264.79815</v>
      </c>
      <c r="C7075" s="9">
        <f>IFERROR(__xludf.DUMMYFUNCTION("""COMPUTED_VALUE"""),27003.0)</f>
        <v>27003</v>
      </c>
      <c r="D7075" s="9" t="str">
        <f>IFERROR(__xludf.DUMMYFUNCTION("""COMPUTED_VALUE"""),"Cancelled")</f>
        <v>Cancelled</v>
      </c>
    </row>
    <row r="7076">
      <c r="A7076" s="9" t="str">
        <f>IFERROR(__xludf.DUMMYFUNCTION("""COMPUTED_VALUE"""),"G-REQ-07075")</f>
        <v>G-REQ-07075</v>
      </c>
      <c r="B7076" s="11">
        <f>IFERROR(__xludf.DUMMYFUNCTION("""COMPUTED_VALUE"""),46264.87627313292)</f>
        <v>46264.87627</v>
      </c>
      <c r="C7076" s="9">
        <f>IFERROR(__xludf.DUMMYFUNCTION("""COMPUTED_VALUE"""),27007.0)</f>
        <v>27007</v>
      </c>
      <c r="D7076" s="9" t="str">
        <f>IFERROR(__xludf.DUMMYFUNCTION("""COMPUTED_VALUE"""),"Completed")</f>
        <v>Completed</v>
      </c>
    </row>
    <row r="7077">
      <c r="A7077" s="9" t="str">
        <f>IFERROR(__xludf.DUMMYFUNCTION("""COMPUTED_VALUE"""),"G-REQ-07076")</f>
        <v>G-REQ-07076</v>
      </c>
      <c r="B7077" s="11">
        <f>IFERROR(__xludf.DUMMYFUNCTION("""COMPUTED_VALUE"""),46264.94744797833)</f>
        <v>46264.94745</v>
      </c>
      <c r="C7077" s="9">
        <f>IFERROR(__xludf.DUMMYFUNCTION("""COMPUTED_VALUE"""),27011.0)</f>
        <v>27011</v>
      </c>
      <c r="D7077" s="9" t="str">
        <f>IFERROR(__xludf.DUMMYFUNCTION("""COMPUTED_VALUE"""),"Completed")</f>
        <v>Completed</v>
      </c>
    </row>
    <row r="7078">
      <c r="A7078" s="9" t="str">
        <f>IFERROR(__xludf.DUMMYFUNCTION("""COMPUTED_VALUE"""),"G-REQ-07077")</f>
        <v>G-REQ-07077</v>
      </c>
      <c r="B7078" s="11">
        <f>IFERROR(__xludf.DUMMYFUNCTION("""COMPUTED_VALUE"""),46265.01862282374)</f>
        <v>46265.01862</v>
      </c>
      <c r="C7078" s="9">
        <f>IFERROR(__xludf.DUMMYFUNCTION("""COMPUTED_VALUE"""),27015.0)</f>
        <v>27015</v>
      </c>
      <c r="D7078" s="9" t="str">
        <f>IFERROR(__xludf.DUMMYFUNCTION("""COMPUTED_VALUE"""),"Completed")</f>
        <v>Completed</v>
      </c>
    </row>
    <row r="7079">
      <c r="A7079" s="9" t="str">
        <f>IFERROR(__xludf.DUMMYFUNCTION("""COMPUTED_VALUE"""),"G-REQ-07078")</f>
        <v>G-REQ-07078</v>
      </c>
      <c r="B7079" s="11">
        <f>IFERROR(__xludf.DUMMYFUNCTION("""COMPUTED_VALUE"""),46265.08285322472)</f>
        <v>46265.08285</v>
      </c>
      <c r="C7079" s="9">
        <f>IFERROR(__xludf.DUMMYFUNCTION("""COMPUTED_VALUE"""),27017.0)</f>
        <v>27017</v>
      </c>
      <c r="D7079" s="9" t="str">
        <f>IFERROR(__xludf.DUMMYFUNCTION("""COMPUTED_VALUE"""),"Rejected")</f>
        <v>Rejected</v>
      </c>
    </row>
    <row r="7080">
      <c r="A7080" s="9" t="str">
        <f>IFERROR(__xludf.DUMMYFUNCTION("""COMPUTED_VALUE"""),"G-REQ-07079")</f>
        <v>G-REQ-07079</v>
      </c>
      <c r="B7080" s="11">
        <f>IFERROR(__xludf.DUMMYFUNCTION("""COMPUTED_VALUE"""),46265.160972514575)</f>
        <v>46265.16097</v>
      </c>
      <c r="C7080" s="9">
        <f>IFERROR(__xludf.DUMMYFUNCTION("""COMPUTED_VALUE"""),27021.0)</f>
        <v>27021</v>
      </c>
      <c r="D7080" s="9" t="str">
        <f>IFERROR(__xludf.DUMMYFUNCTION("""COMPUTED_VALUE"""),"Completed")</f>
        <v>Completed</v>
      </c>
    </row>
    <row r="7081">
      <c r="A7081" s="9" t="str">
        <f>IFERROR(__xludf.DUMMYFUNCTION("""COMPUTED_VALUE"""),"G-REQ-07080")</f>
        <v>G-REQ-07080</v>
      </c>
      <c r="B7081" s="11">
        <f>IFERROR(__xludf.DUMMYFUNCTION("""COMPUTED_VALUE"""),46265.23214735999)</f>
        <v>46265.23215</v>
      </c>
      <c r="C7081" s="9">
        <f>IFERROR(__xludf.DUMMYFUNCTION("""COMPUTED_VALUE"""),27025.0)</f>
        <v>27025</v>
      </c>
      <c r="D7081" s="9" t="str">
        <f>IFERROR(__xludf.DUMMYFUNCTION("""COMPUTED_VALUE"""),"Completed")</f>
        <v>Completed</v>
      </c>
    </row>
    <row r="7082">
      <c r="A7082" s="9" t="str">
        <f>IFERROR(__xludf.DUMMYFUNCTION("""COMPUTED_VALUE"""),"G-REQ-07081")</f>
        <v>G-REQ-07081</v>
      </c>
      <c r="B7082" s="11">
        <f>IFERROR(__xludf.DUMMYFUNCTION("""COMPUTED_VALUE"""),46265.30332220541)</f>
        <v>46265.30332</v>
      </c>
      <c r="C7082" s="9">
        <f>IFERROR(__xludf.DUMMYFUNCTION("""COMPUTED_VALUE"""),27029.0)</f>
        <v>27029</v>
      </c>
      <c r="D7082" s="9" t="str">
        <f>IFERROR(__xludf.DUMMYFUNCTION("""COMPUTED_VALUE"""),"Completed")</f>
        <v>Completed</v>
      </c>
    </row>
    <row r="7083">
      <c r="A7083" s="9" t="str">
        <f>IFERROR(__xludf.DUMMYFUNCTION("""COMPUTED_VALUE"""),"G-REQ-07082")</f>
        <v>G-REQ-07082</v>
      </c>
      <c r="B7083" s="11">
        <f>IFERROR(__xludf.DUMMYFUNCTION("""COMPUTED_VALUE"""),46265.37449705083)</f>
        <v>46265.3745</v>
      </c>
      <c r="C7083" s="9">
        <f>IFERROR(__xludf.DUMMYFUNCTION("""COMPUTED_VALUE"""),27033.0)</f>
        <v>27033</v>
      </c>
      <c r="D7083" s="9" t="str">
        <f>IFERROR(__xludf.DUMMYFUNCTION("""COMPUTED_VALUE"""),"Completed")</f>
        <v>Completed</v>
      </c>
    </row>
    <row r="7084">
      <c r="A7084" s="9" t="str">
        <f>IFERROR(__xludf.DUMMYFUNCTION("""COMPUTED_VALUE"""),"G-REQ-07083")</f>
        <v>G-REQ-07083</v>
      </c>
      <c r="B7084" s="11">
        <f>IFERROR(__xludf.DUMMYFUNCTION("""COMPUTED_VALUE"""),46265.44567189623)</f>
        <v>46265.44567</v>
      </c>
      <c r="C7084" s="9">
        <f>IFERROR(__xludf.DUMMYFUNCTION("""COMPUTED_VALUE"""),27037.0)</f>
        <v>27037</v>
      </c>
      <c r="D7084" s="9" t="str">
        <f>IFERROR(__xludf.DUMMYFUNCTION("""COMPUTED_VALUE"""),"Completed")</f>
        <v>Completed</v>
      </c>
    </row>
    <row r="7085">
      <c r="A7085" s="9" t="str">
        <f>IFERROR(__xludf.DUMMYFUNCTION("""COMPUTED_VALUE"""),"G-REQ-07084")</f>
        <v>G-REQ-07084</v>
      </c>
      <c r="B7085" s="11">
        <f>IFERROR(__xludf.DUMMYFUNCTION("""COMPUTED_VALUE"""),46265.51684674165)</f>
        <v>46265.51685</v>
      </c>
      <c r="C7085" s="9">
        <f>IFERROR(__xludf.DUMMYFUNCTION("""COMPUTED_VALUE"""),27041.0)</f>
        <v>27041</v>
      </c>
      <c r="D7085" s="9" t="str">
        <f>IFERROR(__xludf.DUMMYFUNCTION("""COMPUTED_VALUE"""),"Completed")</f>
        <v>Completed</v>
      </c>
    </row>
    <row r="7086">
      <c r="A7086" s="9" t="str">
        <f>IFERROR(__xludf.DUMMYFUNCTION("""COMPUTED_VALUE"""),"G-REQ-07085")</f>
        <v>G-REQ-07085</v>
      </c>
      <c r="B7086" s="11">
        <f>IFERROR(__xludf.DUMMYFUNCTION("""COMPUTED_VALUE"""),46265.58802158707)</f>
        <v>46265.58802</v>
      </c>
      <c r="C7086" s="9">
        <f>IFERROR(__xludf.DUMMYFUNCTION("""COMPUTED_VALUE"""),27045.0)</f>
        <v>27045</v>
      </c>
      <c r="D7086" s="9" t="str">
        <f>IFERROR(__xludf.DUMMYFUNCTION("""COMPUTED_VALUE"""),"Completed")</f>
        <v>Completed</v>
      </c>
    </row>
    <row r="7087">
      <c r="A7087" s="9" t="str">
        <f>IFERROR(__xludf.DUMMYFUNCTION("""COMPUTED_VALUE"""),"G-REQ-07086")</f>
        <v>G-REQ-07086</v>
      </c>
      <c r="B7087" s="11">
        <f>IFERROR(__xludf.DUMMYFUNCTION("""COMPUTED_VALUE"""),46265.65919643248)</f>
        <v>46265.6592</v>
      </c>
      <c r="C7087" s="9">
        <f>IFERROR(__xludf.DUMMYFUNCTION("""COMPUTED_VALUE"""),27049.0)</f>
        <v>27049</v>
      </c>
      <c r="D7087" s="9" t="str">
        <f>IFERROR(__xludf.DUMMYFUNCTION("""COMPUTED_VALUE"""),"Completed")</f>
        <v>Completed</v>
      </c>
    </row>
    <row r="7088">
      <c r="A7088" s="9" t="str">
        <f>IFERROR(__xludf.DUMMYFUNCTION("""COMPUTED_VALUE"""),"G-REQ-07087")</f>
        <v>G-REQ-07087</v>
      </c>
      <c r="B7088" s="11">
        <f>IFERROR(__xludf.DUMMYFUNCTION("""COMPUTED_VALUE"""),46265.730371277896)</f>
        <v>46265.73037</v>
      </c>
      <c r="C7088" s="9">
        <f>IFERROR(__xludf.DUMMYFUNCTION("""COMPUTED_VALUE"""),27053.0)</f>
        <v>27053</v>
      </c>
      <c r="D7088" s="9" t="str">
        <f>IFERROR(__xludf.DUMMYFUNCTION("""COMPUTED_VALUE"""),"Completed")</f>
        <v>Completed</v>
      </c>
    </row>
    <row r="7089">
      <c r="A7089" s="9" t="str">
        <f>IFERROR(__xludf.DUMMYFUNCTION("""COMPUTED_VALUE"""),"G-REQ-07088")</f>
        <v>G-REQ-07088</v>
      </c>
      <c r="B7089" s="11">
        <f>IFERROR(__xludf.DUMMYFUNCTION("""COMPUTED_VALUE"""),46265.801546123315)</f>
        <v>46265.80155</v>
      </c>
      <c r="C7089" s="9">
        <f>IFERROR(__xludf.DUMMYFUNCTION("""COMPUTED_VALUE"""),27057.0)</f>
        <v>27057</v>
      </c>
      <c r="D7089" s="9" t="str">
        <f>IFERROR(__xludf.DUMMYFUNCTION("""COMPUTED_VALUE"""),"Completed")</f>
        <v>Completed</v>
      </c>
    </row>
    <row r="7090">
      <c r="A7090" s="9" t="str">
        <f>IFERROR(__xludf.DUMMYFUNCTION("""COMPUTED_VALUE"""),"G-REQ-07089")</f>
        <v>G-REQ-07089</v>
      </c>
      <c r="B7090" s="11">
        <f>IFERROR(__xludf.DUMMYFUNCTION("""COMPUTED_VALUE"""),46265.87272096873)</f>
        <v>46265.87272</v>
      </c>
      <c r="C7090" s="9">
        <f>IFERROR(__xludf.DUMMYFUNCTION("""COMPUTED_VALUE"""),27061.0)</f>
        <v>27061</v>
      </c>
      <c r="D7090" s="9" t="str">
        <f>IFERROR(__xludf.DUMMYFUNCTION("""COMPUTED_VALUE"""),"Completed")</f>
        <v>Completed</v>
      </c>
    </row>
    <row r="7091">
      <c r="A7091" s="9" t="str">
        <f>IFERROR(__xludf.DUMMYFUNCTION("""COMPUTED_VALUE"""),"G-REQ-07090")</f>
        <v>G-REQ-07090</v>
      </c>
      <c r="B7091" s="11">
        <f>IFERROR(__xludf.DUMMYFUNCTION("""COMPUTED_VALUE"""),46265.94389581414)</f>
        <v>46265.9439</v>
      </c>
      <c r="C7091" s="9">
        <f>IFERROR(__xludf.DUMMYFUNCTION("""COMPUTED_VALUE"""),27065.0)</f>
        <v>27065</v>
      </c>
      <c r="D7091" s="9" t="str">
        <f>IFERROR(__xludf.DUMMYFUNCTION("""COMPUTED_VALUE"""),"Completed")</f>
        <v>Completed</v>
      </c>
    </row>
    <row r="7092">
      <c r="A7092" s="9" t="str">
        <f>IFERROR(__xludf.DUMMYFUNCTION("""COMPUTED_VALUE"""),"G-REQ-07091")</f>
        <v>G-REQ-07091</v>
      </c>
      <c r="B7092" s="11">
        <f>IFERROR(__xludf.DUMMYFUNCTION("""COMPUTED_VALUE"""),46266.01507065956)</f>
        <v>46266.01507</v>
      </c>
      <c r="C7092" s="9">
        <f>IFERROR(__xludf.DUMMYFUNCTION("""COMPUTED_VALUE"""),27069.0)</f>
        <v>27069</v>
      </c>
      <c r="D7092" s="9" t="str">
        <f>IFERROR(__xludf.DUMMYFUNCTION("""COMPUTED_VALUE"""),"Completed")</f>
        <v>Completed</v>
      </c>
    </row>
    <row r="7093">
      <c r="A7093" s="9" t="str">
        <f>IFERROR(__xludf.DUMMYFUNCTION("""COMPUTED_VALUE"""),"G-REQ-07092")</f>
        <v>G-REQ-07092</v>
      </c>
      <c r="B7093" s="11">
        <f>IFERROR(__xludf.DUMMYFUNCTION("""COMPUTED_VALUE"""),46266.08624550497)</f>
        <v>46266.08625</v>
      </c>
      <c r="C7093" s="9">
        <f>IFERROR(__xludf.DUMMYFUNCTION("""COMPUTED_VALUE"""),27073.0)</f>
        <v>27073</v>
      </c>
      <c r="D7093" s="9" t="str">
        <f>IFERROR(__xludf.DUMMYFUNCTION("""COMPUTED_VALUE"""),"Completed")</f>
        <v>Completed</v>
      </c>
    </row>
    <row r="7094">
      <c r="A7094" s="9" t="str">
        <f>IFERROR(__xludf.DUMMYFUNCTION("""COMPUTED_VALUE"""),"G-REQ-07093")</f>
        <v>G-REQ-07093</v>
      </c>
      <c r="B7094" s="11">
        <f>IFERROR(__xludf.DUMMYFUNCTION("""COMPUTED_VALUE"""),46266.157420350384)</f>
        <v>46266.15742</v>
      </c>
      <c r="C7094" s="9">
        <f>IFERROR(__xludf.DUMMYFUNCTION("""COMPUTED_VALUE"""),27077.0)</f>
        <v>27077</v>
      </c>
      <c r="D7094" s="9" t="str">
        <f>IFERROR(__xludf.DUMMYFUNCTION("""COMPUTED_VALUE"""),"Completed")</f>
        <v>Completed</v>
      </c>
    </row>
    <row r="7095">
      <c r="A7095" s="9" t="str">
        <f>IFERROR(__xludf.DUMMYFUNCTION("""COMPUTED_VALUE"""),"G-REQ-07094")</f>
        <v>G-REQ-07094</v>
      </c>
      <c r="B7095" s="11">
        <f>IFERROR(__xludf.DUMMYFUNCTION("""COMPUTED_VALUE"""),46266.228595195804)</f>
        <v>46266.2286</v>
      </c>
      <c r="C7095" s="9">
        <f>IFERROR(__xludf.DUMMYFUNCTION("""COMPUTED_VALUE"""),27081.0)</f>
        <v>27081</v>
      </c>
      <c r="D7095" s="9" t="str">
        <f>IFERROR(__xludf.DUMMYFUNCTION("""COMPUTED_VALUE"""),"Completed")</f>
        <v>Completed</v>
      </c>
    </row>
    <row r="7096">
      <c r="A7096" s="9" t="str">
        <f>IFERROR(__xludf.DUMMYFUNCTION("""COMPUTED_VALUE"""),"G-REQ-07095")</f>
        <v>G-REQ-07095</v>
      </c>
      <c r="B7096" s="11">
        <f>IFERROR(__xludf.DUMMYFUNCTION("""COMPUTED_VALUE"""),46266.29282559677)</f>
        <v>46266.29283</v>
      </c>
      <c r="C7096" s="9">
        <f>IFERROR(__xludf.DUMMYFUNCTION("""COMPUTED_VALUE"""),27083.0)</f>
        <v>27083</v>
      </c>
      <c r="D7096" s="9" t="str">
        <f>IFERROR(__xludf.DUMMYFUNCTION("""COMPUTED_VALUE"""),"Rejected")</f>
        <v>Rejected</v>
      </c>
    </row>
    <row r="7097">
      <c r="A7097" s="9" t="str">
        <f>IFERROR(__xludf.DUMMYFUNCTION("""COMPUTED_VALUE"""),"G-REQ-07096")</f>
        <v>G-REQ-07096</v>
      </c>
      <c r="B7097" s="11">
        <f>IFERROR(__xludf.DUMMYFUNCTION("""COMPUTED_VALUE"""),46266.37094488663)</f>
        <v>46266.37094</v>
      </c>
      <c r="C7097" s="9">
        <f>IFERROR(__xludf.DUMMYFUNCTION("""COMPUTED_VALUE"""),27087.0)</f>
        <v>27087</v>
      </c>
      <c r="D7097" s="9" t="str">
        <f>IFERROR(__xludf.DUMMYFUNCTION("""COMPUTED_VALUE"""),"Completed")</f>
        <v>Completed</v>
      </c>
    </row>
    <row r="7098">
      <c r="A7098" s="9" t="str">
        <f>IFERROR(__xludf.DUMMYFUNCTION("""COMPUTED_VALUE"""),"G-REQ-07097")</f>
        <v>G-REQ-07097</v>
      </c>
      <c r="B7098" s="11">
        <f>IFERROR(__xludf.DUMMYFUNCTION("""COMPUTED_VALUE"""),46266.4351752876)</f>
        <v>46266.43518</v>
      </c>
      <c r="C7098" s="9">
        <f>IFERROR(__xludf.DUMMYFUNCTION("""COMPUTED_VALUE"""),27089.0)</f>
        <v>27089</v>
      </c>
      <c r="D7098" s="9" t="str">
        <f>IFERROR(__xludf.DUMMYFUNCTION("""COMPUTED_VALUE"""),"Rejected")</f>
        <v>Rejected</v>
      </c>
    </row>
    <row r="7099">
      <c r="A7099" s="9" t="str">
        <f>IFERROR(__xludf.DUMMYFUNCTION("""COMPUTED_VALUE"""),"G-REQ-07098")</f>
        <v>G-REQ-07098</v>
      </c>
      <c r="B7099" s="11">
        <f>IFERROR(__xludf.DUMMYFUNCTION("""COMPUTED_VALUE"""),46266.51329457747)</f>
        <v>46266.51329</v>
      </c>
      <c r="C7099" s="9">
        <f>IFERROR(__xludf.DUMMYFUNCTION("""COMPUTED_VALUE"""),27093.0)</f>
        <v>27093</v>
      </c>
      <c r="D7099" s="9" t="str">
        <f>IFERROR(__xludf.DUMMYFUNCTION("""COMPUTED_VALUE"""),"Completed")</f>
        <v>Completed</v>
      </c>
    </row>
    <row r="7100">
      <c r="A7100" s="9" t="str">
        <f>IFERROR(__xludf.DUMMYFUNCTION("""COMPUTED_VALUE"""),"G-REQ-07099")</f>
        <v>G-REQ-07099</v>
      </c>
      <c r="B7100" s="11">
        <f>IFERROR(__xludf.DUMMYFUNCTION("""COMPUTED_VALUE"""),46266.58446942288)</f>
        <v>46266.58447</v>
      </c>
      <c r="C7100" s="9">
        <f>IFERROR(__xludf.DUMMYFUNCTION("""COMPUTED_VALUE"""),27097.0)</f>
        <v>27097</v>
      </c>
      <c r="D7100" s="9" t="str">
        <f>IFERROR(__xludf.DUMMYFUNCTION("""COMPUTED_VALUE"""),"Completed")</f>
        <v>Completed</v>
      </c>
    </row>
    <row r="7101">
      <c r="A7101" s="9" t="str">
        <f>IFERROR(__xludf.DUMMYFUNCTION("""COMPUTED_VALUE"""),"G-REQ-07100")</f>
        <v>G-REQ-07100</v>
      </c>
      <c r="B7101" s="11">
        <f>IFERROR(__xludf.DUMMYFUNCTION("""COMPUTED_VALUE"""),46266.65564426829)</f>
        <v>46266.65564</v>
      </c>
      <c r="C7101" s="9">
        <f>IFERROR(__xludf.DUMMYFUNCTION("""COMPUTED_VALUE"""),27101.0)</f>
        <v>27101</v>
      </c>
      <c r="D7101" s="9" t="str">
        <f>IFERROR(__xludf.DUMMYFUNCTION("""COMPUTED_VALUE"""),"Completed")</f>
        <v>Completed</v>
      </c>
    </row>
    <row r="7102">
      <c r="A7102" s="9" t="str">
        <f>IFERROR(__xludf.DUMMYFUNCTION("""COMPUTED_VALUE"""),"G-REQ-07101")</f>
        <v>G-REQ-07101</v>
      </c>
      <c r="B7102" s="11">
        <f>IFERROR(__xludf.DUMMYFUNCTION("""COMPUTED_VALUE"""),46266.72681911371)</f>
        <v>46266.72682</v>
      </c>
      <c r="C7102" s="9">
        <f>IFERROR(__xludf.DUMMYFUNCTION("""COMPUTED_VALUE"""),27105.0)</f>
        <v>27105</v>
      </c>
      <c r="D7102" s="9" t="str">
        <f>IFERROR(__xludf.DUMMYFUNCTION("""COMPUTED_VALUE"""),"Completed")</f>
        <v>Completed</v>
      </c>
    </row>
    <row r="7103">
      <c r="A7103" s="9" t="str">
        <f>IFERROR(__xludf.DUMMYFUNCTION("""COMPUTED_VALUE"""),"G-REQ-07102")</f>
        <v>G-REQ-07102</v>
      </c>
      <c r="B7103" s="11">
        <f>IFERROR(__xludf.DUMMYFUNCTION("""COMPUTED_VALUE"""),46266.797993959124)</f>
        <v>46266.79799</v>
      </c>
      <c r="C7103" s="9">
        <f>IFERROR(__xludf.DUMMYFUNCTION("""COMPUTED_VALUE"""),27109.0)</f>
        <v>27109</v>
      </c>
      <c r="D7103" s="9" t="str">
        <f>IFERROR(__xludf.DUMMYFUNCTION("""COMPUTED_VALUE"""),"Completed")</f>
        <v>Completed</v>
      </c>
    </row>
    <row r="7104">
      <c r="A7104" s="9" t="str">
        <f>IFERROR(__xludf.DUMMYFUNCTION("""COMPUTED_VALUE"""),"G-REQ-07103")</f>
        <v>G-REQ-07103</v>
      </c>
      <c r="B7104" s="11">
        <f>IFERROR(__xludf.DUMMYFUNCTION("""COMPUTED_VALUE"""),46266.86916880454)</f>
        <v>46266.86917</v>
      </c>
      <c r="C7104" s="9">
        <f>IFERROR(__xludf.DUMMYFUNCTION("""COMPUTED_VALUE"""),27113.0)</f>
        <v>27113</v>
      </c>
      <c r="D7104" s="9" t="str">
        <f>IFERROR(__xludf.DUMMYFUNCTION("""COMPUTED_VALUE"""),"Completed")</f>
        <v>Completed</v>
      </c>
    </row>
    <row r="7105">
      <c r="A7105" s="9" t="str">
        <f>IFERROR(__xludf.DUMMYFUNCTION("""COMPUTED_VALUE"""),"G-REQ-07104")</f>
        <v>G-REQ-07104</v>
      </c>
      <c r="B7105" s="11">
        <f>IFERROR(__xludf.DUMMYFUNCTION("""COMPUTED_VALUE"""),46266.940343649956)</f>
        <v>46266.94034</v>
      </c>
      <c r="C7105" s="9">
        <f>IFERROR(__xludf.DUMMYFUNCTION("""COMPUTED_VALUE"""),27117.0)</f>
        <v>27117</v>
      </c>
      <c r="D7105" s="9" t="str">
        <f>IFERROR(__xludf.DUMMYFUNCTION("""COMPUTED_VALUE"""),"Completed")</f>
        <v>Completed</v>
      </c>
    </row>
    <row r="7106">
      <c r="A7106" s="9" t="str">
        <f>IFERROR(__xludf.DUMMYFUNCTION("""COMPUTED_VALUE"""),"G-REQ-07105")</f>
        <v>G-REQ-07105</v>
      </c>
      <c r="B7106" s="11">
        <f>IFERROR(__xludf.DUMMYFUNCTION("""COMPUTED_VALUE"""),46267.01151849537)</f>
        <v>46267.01152</v>
      </c>
      <c r="C7106" s="9">
        <f>IFERROR(__xludf.DUMMYFUNCTION("""COMPUTED_VALUE"""),27121.0)</f>
        <v>27121</v>
      </c>
      <c r="D7106" s="9" t="str">
        <f>IFERROR(__xludf.DUMMYFUNCTION("""COMPUTED_VALUE"""),"Completed")</f>
        <v>Completed</v>
      </c>
    </row>
    <row r="7107">
      <c r="A7107" s="9" t="str">
        <f>IFERROR(__xludf.DUMMYFUNCTION("""COMPUTED_VALUE"""),"G-REQ-07106")</f>
        <v>G-REQ-07106</v>
      </c>
      <c r="B7107" s="11">
        <f>IFERROR(__xludf.DUMMYFUNCTION("""COMPUTED_VALUE"""),46267.075748896335)</f>
        <v>46267.07575</v>
      </c>
      <c r="C7107" s="9">
        <f>IFERROR(__xludf.DUMMYFUNCTION("""COMPUTED_VALUE"""),27123.0)</f>
        <v>27123</v>
      </c>
      <c r="D7107" s="9" t="str">
        <f>IFERROR(__xludf.DUMMYFUNCTION("""COMPUTED_VALUE"""),"Rejected")</f>
        <v>Rejected</v>
      </c>
    </row>
    <row r="7108">
      <c r="A7108" s="9" t="str">
        <f>IFERROR(__xludf.DUMMYFUNCTION("""COMPUTED_VALUE"""),"G-REQ-07107")</f>
        <v>G-REQ-07107</v>
      </c>
      <c r="B7108" s="11">
        <f>IFERROR(__xludf.DUMMYFUNCTION("""COMPUTED_VALUE"""),46267.1538681862)</f>
        <v>46267.15387</v>
      </c>
      <c r="C7108" s="9">
        <f>IFERROR(__xludf.DUMMYFUNCTION("""COMPUTED_VALUE"""),27127.0)</f>
        <v>27127</v>
      </c>
      <c r="D7108" s="9" t="str">
        <f>IFERROR(__xludf.DUMMYFUNCTION("""COMPUTED_VALUE"""),"Completed")</f>
        <v>Completed</v>
      </c>
    </row>
    <row r="7109">
      <c r="A7109" s="9" t="str">
        <f>IFERROR(__xludf.DUMMYFUNCTION("""COMPUTED_VALUE"""),"G-REQ-07108")</f>
        <v>G-REQ-07108</v>
      </c>
      <c r="B7109" s="11">
        <f>IFERROR(__xludf.DUMMYFUNCTION("""COMPUTED_VALUE"""),46267.22504303161)</f>
        <v>46267.22504</v>
      </c>
      <c r="C7109" s="9">
        <f>IFERROR(__xludf.DUMMYFUNCTION("""COMPUTED_VALUE"""),27131.0)</f>
        <v>27131</v>
      </c>
      <c r="D7109" s="9" t="str">
        <f>IFERROR(__xludf.DUMMYFUNCTION("""COMPUTED_VALUE"""),"Completed")</f>
        <v>Completed</v>
      </c>
    </row>
    <row r="7110">
      <c r="A7110" s="9" t="str">
        <f>IFERROR(__xludf.DUMMYFUNCTION("""COMPUTED_VALUE"""),"G-REQ-07109")</f>
        <v>G-REQ-07109</v>
      </c>
      <c r="B7110" s="11">
        <f>IFERROR(__xludf.DUMMYFUNCTION("""COMPUTED_VALUE"""),46267.296217877025)</f>
        <v>46267.29622</v>
      </c>
      <c r="C7110" s="9">
        <f>IFERROR(__xludf.DUMMYFUNCTION("""COMPUTED_VALUE"""),27135.0)</f>
        <v>27135</v>
      </c>
      <c r="D7110" s="9" t="str">
        <f>IFERROR(__xludf.DUMMYFUNCTION("""COMPUTED_VALUE"""),"Completed")</f>
        <v>Completed</v>
      </c>
    </row>
    <row r="7111">
      <c r="A7111" s="9" t="str">
        <f>IFERROR(__xludf.DUMMYFUNCTION("""COMPUTED_VALUE"""),"G-REQ-07110")</f>
        <v>G-REQ-07110</v>
      </c>
      <c r="B7111" s="11">
        <f>IFERROR(__xludf.DUMMYFUNCTION("""COMPUTED_VALUE"""),46267.367392722444)</f>
        <v>46267.36739</v>
      </c>
      <c r="C7111" s="9">
        <f>IFERROR(__xludf.DUMMYFUNCTION("""COMPUTED_VALUE"""),27139.0)</f>
        <v>27139</v>
      </c>
      <c r="D7111" s="9" t="str">
        <f>IFERROR(__xludf.DUMMYFUNCTION("""COMPUTED_VALUE"""),"Completed")</f>
        <v>Completed</v>
      </c>
    </row>
    <row r="7112">
      <c r="A7112" s="9" t="str">
        <f>IFERROR(__xludf.DUMMYFUNCTION("""COMPUTED_VALUE"""),"G-REQ-07111")</f>
        <v>G-REQ-07111</v>
      </c>
      <c r="B7112" s="11">
        <f>IFERROR(__xludf.DUMMYFUNCTION("""COMPUTED_VALUE"""),46267.438567567864)</f>
        <v>46267.43857</v>
      </c>
      <c r="C7112" s="9">
        <f>IFERROR(__xludf.DUMMYFUNCTION("""COMPUTED_VALUE"""),27143.0)</f>
        <v>27143</v>
      </c>
      <c r="D7112" s="9" t="str">
        <f>IFERROR(__xludf.DUMMYFUNCTION("""COMPUTED_VALUE"""),"Completed")</f>
        <v>Completed</v>
      </c>
    </row>
    <row r="7113">
      <c r="A7113" s="9" t="str">
        <f>IFERROR(__xludf.DUMMYFUNCTION("""COMPUTED_VALUE"""),"G-REQ-07112")</f>
        <v>G-REQ-07112</v>
      </c>
      <c r="B7113" s="11">
        <f>IFERROR(__xludf.DUMMYFUNCTION("""COMPUTED_VALUE"""),46267.50974241327)</f>
        <v>46267.50974</v>
      </c>
      <c r="C7113" s="9">
        <f>IFERROR(__xludf.DUMMYFUNCTION("""COMPUTED_VALUE"""),27147.0)</f>
        <v>27147</v>
      </c>
      <c r="D7113" s="9" t="str">
        <f>IFERROR(__xludf.DUMMYFUNCTION("""COMPUTED_VALUE"""),"Completed")</f>
        <v>Completed</v>
      </c>
    </row>
    <row r="7114">
      <c r="A7114" s="9" t="str">
        <f>IFERROR(__xludf.DUMMYFUNCTION("""COMPUTED_VALUE"""),"G-REQ-07113")</f>
        <v>G-REQ-07113</v>
      </c>
      <c r="B7114" s="11">
        <f>IFERROR(__xludf.DUMMYFUNCTION("""COMPUTED_VALUE"""),46267.58091725869)</f>
        <v>46267.58092</v>
      </c>
      <c r="C7114" s="9">
        <f>IFERROR(__xludf.DUMMYFUNCTION("""COMPUTED_VALUE"""),27151.0)</f>
        <v>27151</v>
      </c>
      <c r="D7114" s="9" t="str">
        <f>IFERROR(__xludf.DUMMYFUNCTION("""COMPUTED_VALUE"""),"Completed")</f>
        <v>Completed</v>
      </c>
    </row>
    <row r="7115">
      <c r="A7115" s="9" t="str">
        <f>IFERROR(__xludf.DUMMYFUNCTION("""COMPUTED_VALUE"""),"G-REQ-07114")</f>
        <v>G-REQ-07114</v>
      </c>
      <c r="B7115" s="11">
        <f>IFERROR(__xludf.DUMMYFUNCTION("""COMPUTED_VALUE"""),46267.65209210411)</f>
        <v>46267.65209</v>
      </c>
      <c r="C7115" s="9">
        <f>IFERROR(__xludf.DUMMYFUNCTION("""COMPUTED_VALUE"""),27155.0)</f>
        <v>27155</v>
      </c>
      <c r="D7115" s="9" t="str">
        <f>IFERROR(__xludf.DUMMYFUNCTION("""COMPUTED_VALUE"""),"Completed")</f>
        <v>Completed</v>
      </c>
    </row>
    <row r="7116">
      <c r="A7116" s="9" t="str">
        <f>IFERROR(__xludf.DUMMYFUNCTION("""COMPUTED_VALUE"""),"G-REQ-07115")</f>
        <v>G-REQ-07115</v>
      </c>
      <c r="B7116" s="11">
        <f>IFERROR(__xludf.DUMMYFUNCTION("""COMPUTED_VALUE"""),46267.72326694952)</f>
        <v>46267.72327</v>
      </c>
      <c r="C7116" s="9">
        <f>IFERROR(__xludf.DUMMYFUNCTION("""COMPUTED_VALUE"""),27159.0)</f>
        <v>27159</v>
      </c>
      <c r="D7116" s="9" t="str">
        <f>IFERROR(__xludf.DUMMYFUNCTION("""COMPUTED_VALUE"""),"Completed")</f>
        <v>Completed</v>
      </c>
    </row>
    <row r="7117">
      <c r="A7117" s="9" t="str">
        <f>IFERROR(__xludf.DUMMYFUNCTION("""COMPUTED_VALUE"""),"G-REQ-07116")</f>
        <v>G-REQ-07116</v>
      </c>
      <c r="B7117" s="11">
        <f>IFERROR(__xludf.DUMMYFUNCTION("""COMPUTED_VALUE"""),46267.78749735049)</f>
        <v>46267.7875</v>
      </c>
      <c r="C7117" s="9">
        <f>IFERROR(__xludf.DUMMYFUNCTION("""COMPUTED_VALUE"""),27161.0)</f>
        <v>27161</v>
      </c>
      <c r="D7117" s="9" t="str">
        <f>IFERROR(__xludf.DUMMYFUNCTION("""COMPUTED_VALUE"""),"Cancelled")</f>
        <v>Cancelled</v>
      </c>
    </row>
    <row r="7118">
      <c r="A7118" s="9" t="str">
        <f>IFERROR(__xludf.DUMMYFUNCTION("""COMPUTED_VALUE"""),"G-REQ-07117")</f>
        <v>G-REQ-07117</v>
      </c>
      <c r="B7118" s="11">
        <f>IFERROR(__xludf.DUMMYFUNCTION("""COMPUTED_VALUE"""),46267.86561664035)</f>
        <v>46267.86562</v>
      </c>
      <c r="C7118" s="9">
        <f>IFERROR(__xludf.DUMMYFUNCTION("""COMPUTED_VALUE"""),27165.0)</f>
        <v>27165</v>
      </c>
      <c r="D7118" s="9" t="str">
        <f>IFERROR(__xludf.DUMMYFUNCTION("""COMPUTED_VALUE"""),"Completed")</f>
        <v>Completed</v>
      </c>
    </row>
    <row r="7119">
      <c r="A7119" s="9" t="str">
        <f>IFERROR(__xludf.DUMMYFUNCTION("""COMPUTED_VALUE"""),"G-REQ-07118")</f>
        <v>G-REQ-07118</v>
      </c>
      <c r="B7119" s="11">
        <f>IFERROR(__xludf.DUMMYFUNCTION("""COMPUTED_VALUE"""),46267.936791485765)</f>
        <v>46267.93679</v>
      </c>
      <c r="C7119" s="9">
        <f>IFERROR(__xludf.DUMMYFUNCTION("""COMPUTED_VALUE"""),27169.0)</f>
        <v>27169</v>
      </c>
      <c r="D7119" s="9" t="str">
        <f>IFERROR(__xludf.DUMMYFUNCTION("""COMPUTED_VALUE"""),"Completed")</f>
        <v>Completed</v>
      </c>
    </row>
    <row r="7120">
      <c r="A7120" s="9" t="str">
        <f>IFERROR(__xludf.DUMMYFUNCTION("""COMPUTED_VALUE"""),"G-REQ-07119")</f>
        <v>G-REQ-07119</v>
      </c>
      <c r="B7120" s="11">
        <f>IFERROR(__xludf.DUMMYFUNCTION("""COMPUTED_VALUE"""),46268.00796633118)</f>
        <v>46268.00797</v>
      </c>
      <c r="C7120" s="9">
        <f>IFERROR(__xludf.DUMMYFUNCTION("""COMPUTED_VALUE"""),27173.0)</f>
        <v>27173</v>
      </c>
      <c r="D7120" s="9" t="str">
        <f>IFERROR(__xludf.DUMMYFUNCTION("""COMPUTED_VALUE"""),"Completed")</f>
        <v>Completed</v>
      </c>
    </row>
    <row r="7121">
      <c r="A7121" s="9" t="str">
        <f>IFERROR(__xludf.DUMMYFUNCTION("""COMPUTED_VALUE"""),"G-REQ-07120")</f>
        <v>G-REQ-07120</v>
      </c>
      <c r="B7121" s="11">
        <f>IFERROR(__xludf.DUMMYFUNCTION("""COMPUTED_VALUE"""),46268.0791411766)</f>
        <v>46268.07914</v>
      </c>
      <c r="C7121" s="9">
        <f>IFERROR(__xludf.DUMMYFUNCTION("""COMPUTED_VALUE"""),27177.0)</f>
        <v>27177</v>
      </c>
      <c r="D7121" s="9" t="str">
        <f>IFERROR(__xludf.DUMMYFUNCTION("""COMPUTED_VALUE"""),"Completed")</f>
        <v>Completed</v>
      </c>
    </row>
    <row r="7122">
      <c r="A7122" s="9" t="str">
        <f>IFERROR(__xludf.DUMMYFUNCTION("""COMPUTED_VALUE"""),"G-REQ-07121")</f>
        <v>G-REQ-07121</v>
      </c>
      <c r="B7122" s="11">
        <f>IFERROR(__xludf.DUMMYFUNCTION("""COMPUTED_VALUE"""),46268.15031602201)</f>
        <v>46268.15032</v>
      </c>
      <c r="C7122" s="9">
        <f>IFERROR(__xludf.DUMMYFUNCTION("""COMPUTED_VALUE"""),27181.0)</f>
        <v>27181</v>
      </c>
      <c r="D7122" s="9" t="str">
        <f>IFERROR(__xludf.DUMMYFUNCTION("""COMPUTED_VALUE"""),"Completed")</f>
        <v>Completed</v>
      </c>
    </row>
    <row r="7123">
      <c r="A7123" s="9" t="str">
        <f>IFERROR(__xludf.DUMMYFUNCTION("""COMPUTED_VALUE"""),"G-REQ-07122")</f>
        <v>G-REQ-07122</v>
      </c>
      <c r="B7123" s="11">
        <f>IFERROR(__xludf.DUMMYFUNCTION("""COMPUTED_VALUE"""),46268.22149086742)</f>
        <v>46268.22149</v>
      </c>
      <c r="C7123" s="9">
        <f>IFERROR(__xludf.DUMMYFUNCTION("""COMPUTED_VALUE"""),27185.0)</f>
        <v>27185</v>
      </c>
      <c r="D7123" s="9" t="str">
        <f>IFERROR(__xludf.DUMMYFUNCTION("""COMPUTED_VALUE"""),"Completed")</f>
        <v>Completed</v>
      </c>
    </row>
    <row r="7124">
      <c r="A7124" s="9" t="str">
        <f>IFERROR(__xludf.DUMMYFUNCTION("""COMPUTED_VALUE"""),"G-REQ-07123")</f>
        <v>G-REQ-07123</v>
      </c>
      <c r="B7124" s="11">
        <f>IFERROR(__xludf.DUMMYFUNCTION("""COMPUTED_VALUE"""),46268.29266571284)</f>
        <v>46268.29267</v>
      </c>
      <c r="C7124" s="9">
        <f>IFERROR(__xludf.DUMMYFUNCTION("""COMPUTED_VALUE"""),27189.0)</f>
        <v>27189</v>
      </c>
      <c r="D7124" s="9" t="str">
        <f>IFERROR(__xludf.DUMMYFUNCTION("""COMPUTED_VALUE"""),"Completed")</f>
        <v>Completed</v>
      </c>
    </row>
    <row r="7125">
      <c r="A7125" s="9" t="str">
        <f>IFERROR(__xludf.DUMMYFUNCTION("""COMPUTED_VALUE"""),"G-REQ-07124")</f>
        <v>G-REQ-07124</v>
      </c>
      <c r="B7125" s="11">
        <f>IFERROR(__xludf.DUMMYFUNCTION("""COMPUTED_VALUE"""),46268.36384055825)</f>
        <v>46268.36384</v>
      </c>
      <c r="C7125" s="9">
        <f>IFERROR(__xludf.DUMMYFUNCTION("""COMPUTED_VALUE"""),27193.0)</f>
        <v>27193</v>
      </c>
      <c r="D7125" s="9" t="str">
        <f>IFERROR(__xludf.DUMMYFUNCTION("""COMPUTED_VALUE"""),"Completed")</f>
        <v>Completed</v>
      </c>
    </row>
    <row r="7126">
      <c r="A7126" s="9" t="str">
        <f>IFERROR(__xludf.DUMMYFUNCTION("""COMPUTED_VALUE"""),"G-REQ-07125")</f>
        <v>G-REQ-07125</v>
      </c>
      <c r="B7126" s="11">
        <f>IFERROR(__xludf.DUMMYFUNCTION("""COMPUTED_VALUE"""),46268.42807095922)</f>
        <v>46268.42807</v>
      </c>
      <c r="C7126" s="9">
        <f>IFERROR(__xludf.DUMMYFUNCTION("""COMPUTED_VALUE"""),27195.0)</f>
        <v>27195</v>
      </c>
      <c r="D7126" s="9" t="str">
        <f>IFERROR(__xludf.DUMMYFUNCTION("""COMPUTED_VALUE"""),"Cancelled")</f>
        <v>Cancelled</v>
      </c>
    </row>
    <row r="7127">
      <c r="A7127" s="9" t="str">
        <f>IFERROR(__xludf.DUMMYFUNCTION("""COMPUTED_VALUE"""),"G-REQ-07126")</f>
        <v>G-REQ-07126</v>
      </c>
      <c r="B7127" s="11">
        <f>IFERROR(__xludf.DUMMYFUNCTION("""COMPUTED_VALUE"""),46268.506190249085)</f>
        <v>46268.50619</v>
      </c>
      <c r="C7127" s="9">
        <f>IFERROR(__xludf.DUMMYFUNCTION("""COMPUTED_VALUE"""),27199.0)</f>
        <v>27199</v>
      </c>
      <c r="D7127" s="9" t="str">
        <f>IFERROR(__xludf.DUMMYFUNCTION("""COMPUTED_VALUE"""),"Completed")</f>
        <v>Completed</v>
      </c>
    </row>
    <row r="7128">
      <c r="A7128" s="9" t="str">
        <f>IFERROR(__xludf.DUMMYFUNCTION("""COMPUTED_VALUE"""),"G-REQ-07127")</f>
        <v>G-REQ-07127</v>
      </c>
      <c r="B7128" s="11">
        <f>IFERROR(__xludf.DUMMYFUNCTION("""COMPUTED_VALUE"""),46268.577365094505)</f>
        <v>46268.57737</v>
      </c>
      <c r="C7128" s="9">
        <f>IFERROR(__xludf.DUMMYFUNCTION("""COMPUTED_VALUE"""),27203.0)</f>
        <v>27203</v>
      </c>
      <c r="D7128" s="9" t="str">
        <f>IFERROR(__xludf.DUMMYFUNCTION("""COMPUTED_VALUE"""),"Completed")</f>
        <v>Completed</v>
      </c>
    </row>
    <row r="7129">
      <c r="A7129" s="9" t="str">
        <f>IFERROR(__xludf.DUMMYFUNCTION("""COMPUTED_VALUE"""),"G-REQ-07128")</f>
        <v>G-REQ-07128</v>
      </c>
      <c r="B7129" s="11">
        <f>IFERROR(__xludf.DUMMYFUNCTION("""COMPUTED_VALUE"""),46268.64853993991)</f>
        <v>46268.64854</v>
      </c>
      <c r="C7129" s="9">
        <f>IFERROR(__xludf.DUMMYFUNCTION("""COMPUTED_VALUE"""),27207.0)</f>
        <v>27207</v>
      </c>
      <c r="D7129" s="9" t="str">
        <f>IFERROR(__xludf.DUMMYFUNCTION("""COMPUTED_VALUE"""),"Completed")</f>
        <v>Completed</v>
      </c>
    </row>
    <row r="7130">
      <c r="A7130" s="9" t="str">
        <f>IFERROR(__xludf.DUMMYFUNCTION("""COMPUTED_VALUE"""),"G-REQ-07129")</f>
        <v>G-REQ-07129</v>
      </c>
      <c r="B7130" s="11">
        <f>IFERROR(__xludf.DUMMYFUNCTION("""COMPUTED_VALUE"""),46268.712770340884)</f>
        <v>46268.71277</v>
      </c>
      <c r="C7130" s="9">
        <f>IFERROR(__xludf.DUMMYFUNCTION("""COMPUTED_VALUE"""),27209.0)</f>
        <v>27209</v>
      </c>
      <c r="D7130" s="9" t="str">
        <f>IFERROR(__xludf.DUMMYFUNCTION("""COMPUTED_VALUE"""),"Rejected")</f>
        <v>Rejected</v>
      </c>
    </row>
    <row r="7131">
      <c r="A7131" s="9" t="str">
        <f>IFERROR(__xludf.DUMMYFUNCTION("""COMPUTED_VALUE"""),"G-REQ-07130")</f>
        <v>G-REQ-07130</v>
      </c>
      <c r="B7131" s="11">
        <f>IFERROR(__xludf.DUMMYFUNCTION("""COMPUTED_VALUE"""),46268.783945186304)</f>
        <v>46268.78395</v>
      </c>
      <c r="C7131" s="9">
        <f>IFERROR(__xludf.DUMMYFUNCTION("""COMPUTED_VALUE"""),27211.0)</f>
        <v>27211</v>
      </c>
      <c r="D7131" s="9" t="str">
        <f>IFERROR(__xludf.DUMMYFUNCTION("""COMPUTED_VALUE"""),"Cancelled")</f>
        <v>Cancelled</v>
      </c>
    </row>
    <row r="7132">
      <c r="A7132" s="9" t="str">
        <f>IFERROR(__xludf.DUMMYFUNCTION("""COMPUTED_VALUE"""),"G-REQ-07131")</f>
        <v>G-REQ-07131</v>
      </c>
      <c r="B7132" s="11">
        <f>IFERROR(__xludf.DUMMYFUNCTION("""COMPUTED_VALUE"""),46268.86206447616)</f>
        <v>46268.86206</v>
      </c>
      <c r="C7132" s="9">
        <f>IFERROR(__xludf.DUMMYFUNCTION("""COMPUTED_VALUE"""),27215.0)</f>
        <v>27215</v>
      </c>
      <c r="D7132" s="9" t="str">
        <f>IFERROR(__xludf.DUMMYFUNCTION("""COMPUTED_VALUE"""),"Completed")</f>
        <v>Completed</v>
      </c>
    </row>
    <row r="7133">
      <c r="A7133" s="9" t="str">
        <f>IFERROR(__xludf.DUMMYFUNCTION("""COMPUTED_VALUE"""),"G-REQ-07132")</f>
        <v>G-REQ-07132</v>
      </c>
      <c r="B7133" s="11">
        <f>IFERROR(__xludf.DUMMYFUNCTION("""COMPUTED_VALUE"""),46268.93323932157)</f>
        <v>46268.93324</v>
      </c>
      <c r="C7133" s="9">
        <f>IFERROR(__xludf.DUMMYFUNCTION("""COMPUTED_VALUE"""),27219.0)</f>
        <v>27219</v>
      </c>
      <c r="D7133" s="9" t="str">
        <f>IFERROR(__xludf.DUMMYFUNCTION("""COMPUTED_VALUE"""),"Completed")</f>
        <v>Completed</v>
      </c>
    </row>
    <row r="7134">
      <c r="A7134" s="9" t="str">
        <f>IFERROR(__xludf.DUMMYFUNCTION("""COMPUTED_VALUE"""),"G-REQ-07133")</f>
        <v>G-REQ-07133</v>
      </c>
      <c r="B7134" s="11">
        <f>IFERROR(__xludf.DUMMYFUNCTION("""COMPUTED_VALUE"""),46268.99746972255)</f>
        <v>46268.99747</v>
      </c>
      <c r="C7134" s="9">
        <f>IFERROR(__xludf.DUMMYFUNCTION("""COMPUTED_VALUE"""),27221.0)</f>
        <v>27221</v>
      </c>
      <c r="D7134" s="9" t="str">
        <f>IFERROR(__xludf.DUMMYFUNCTION("""COMPUTED_VALUE"""),"Rejected")</f>
        <v>Rejected</v>
      </c>
    </row>
    <row r="7135">
      <c r="A7135" s="9" t="str">
        <f>IFERROR(__xludf.DUMMYFUNCTION("""COMPUTED_VALUE"""),"G-REQ-07134")</f>
        <v>G-REQ-07134</v>
      </c>
      <c r="B7135" s="11">
        <f>IFERROR(__xludf.DUMMYFUNCTION("""COMPUTED_VALUE"""),46269.075589012406)</f>
        <v>46269.07559</v>
      </c>
      <c r="C7135" s="9">
        <f>IFERROR(__xludf.DUMMYFUNCTION("""COMPUTED_VALUE"""),27225.0)</f>
        <v>27225</v>
      </c>
      <c r="D7135" s="9" t="str">
        <f>IFERROR(__xludf.DUMMYFUNCTION("""COMPUTED_VALUE"""),"Completed")</f>
        <v>Completed</v>
      </c>
    </row>
    <row r="7136">
      <c r="A7136" s="9" t="str">
        <f>IFERROR(__xludf.DUMMYFUNCTION("""COMPUTED_VALUE"""),"G-REQ-07135")</f>
        <v>G-REQ-07135</v>
      </c>
      <c r="B7136" s="11">
        <f>IFERROR(__xludf.DUMMYFUNCTION("""COMPUTED_VALUE"""),46269.14676385782)</f>
        <v>46269.14676</v>
      </c>
      <c r="C7136" s="9">
        <f>IFERROR(__xludf.DUMMYFUNCTION("""COMPUTED_VALUE"""),27229.0)</f>
        <v>27229</v>
      </c>
      <c r="D7136" s="9" t="str">
        <f>IFERROR(__xludf.DUMMYFUNCTION("""COMPUTED_VALUE"""),"Completed")</f>
        <v>Completed</v>
      </c>
    </row>
    <row r="7137">
      <c r="A7137" s="9" t="str">
        <f>IFERROR(__xludf.DUMMYFUNCTION("""COMPUTED_VALUE"""),"G-REQ-07136")</f>
        <v>G-REQ-07136</v>
      </c>
      <c r="B7137" s="11">
        <f>IFERROR(__xludf.DUMMYFUNCTION("""COMPUTED_VALUE"""),46269.21793870324)</f>
        <v>46269.21794</v>
      </c>
      <c r="C7137" s="9">
        <f>IFERROR(__xludf.DUMMYFUNCTION("""COMPUTED_VALUE"""),27233.0)</f>
        <v>27233</v>
      </c>
      <c r="D7137" s="9" t="str">
        <f>IFERROR(__xludf.DUMMYFUNCTION("""COMPUTED_VALUE"""),"Completed")</f>
        <v>Completed</v>
      </c>
    </row>
    <row r="7138">
      <c r="A7138" s="9" t="str">
        <f>IFERROR(__xludf.DUMMYFUNCTION("""COMPUTED_VALUE"""),"G-REQ-07137")</f>
        <v>G-REQ-07137</v>
      </c>
      <c r="B7138" s="11">
        <f>IFERROR(__xludf.DUMMYFUNCTION("""COMPUTED_VALUE"""),46269.28911354865)</f>
        <v>46269.28911</v>
      </c>
      <c r="C7138" s="9">
        <f>IFERROR(__xludf.DUMMYFUNCTION("""COMPUTED_VALUE"""),27237.0)</f>
        <v>27237</v>
      </c>
      <c r="D7138" s="9" t="str">
        <f>IFERROR(__xludf.DUMMYFUNCTION("""COMPUTED_VALUE"""),"Completed")</f>
        <v>Completed</v>
      </c>
    </row>
    <row r="7139">
      <c r="A7139" s="9" t="str">
        <f>IFERROR(__xludf.DUMMYFUNCTION("""COMPUTED_VALUE"""),"G-REQ-07138")</f>
        <v>G-REQ-07138</v>
      </c>
      <c r="B7139" s="11">
        <f>IFERROR(__xludf.DUMMYFUNCTION("""COMPUTED_VALUE"""),46269.36028839406)</f>
        <v>46269.36029</v>
      </c>
      <c r="C7139" s="9">
        <f>IFERROR(__xludf.DUMMYFUNCTION("""COMPUTED_VALUE"""),27241.0)</f>
        <v>27241</v>
      </c>
      <c r="D7139" s="9" t="str">
        <f>IFERROR(__xludf.DUMMYFUNCTION("""COMPUTED_VALUE"""),"Completed")</f>
        <v>Completed</v>
      </c>
    </row>
    <row r="7140">
      <c r="A7140" s="9" t="str">
        <f>IFERROR(__xludf.DUMMYFUNCTION("""COMPUTED_VALUE"""),"G-REQ-07139")</f>
        <v>G-REQ-07139</v>
      </c>
      <c r="B7140" s="11">
        <f>IFERROR(__xludf.DUMMYFUNCTION("""COMPUTED_VALUE"""),46269.43146323948)</f>
        <v>46269.43146</v>
      </c>
      <c r="C7140" s="9">
        <f>IFERROR(__xludf.DUMMYFUNCTION("""COMPUTED_VALUE"""),27245.0)</f>
        <v>27245</v>
      </c>
      <c r="D7140" s="9" t="str">
        <f>IFERROR(__xludf.DUMMYFUNCTION("""COMPUTED_VALUE"""),"Completed")</f>
        <v>Completed</v>
      </c>
    </row>
    <row r="7141">
      <c r="A7141" s="9" t="str">
        <f>IFERROR(__xludf.DUMMYFUNCTION("""COMPUTED_VALUE"""),"G-REQ-07140")</f>
        <v>G-REQ-07140</v>
      </c>
      <c r="B7141" s="11">
        <f>IFERROR(__xludf.DUMMYFUNCTION("""COMPUTED_VALUE"""),46269.502638084894)</f>
        <v>46269.50264</v>
      </c>
      <c r="C7141" s="9">
        <f>IFERROR(__xludf.DUMMYFUNCTION("""COMPUTED_VALUE"""),27249.0)</f>
        <v>27249</v>
      </c>
      <c r="D7141" s="9" t="str">
        <f>IFERROR(__xludf.DUMMYFUNCTION("""COMPUTED_VALUE"""),"Completed")</f>
        <v>Completed</v>
      </c>
    </row>
    <row r="7142">
      <c r="A7142" s="9" t="str">
        <f>IFERROR(__xludf.DUMMYFUNCTION("""COMPUTED_VALUE"""),"G-REQ-07141")</f>
        <v>G-REQ-07141</v>
      </c>
      <c r="B7142" s="11">
        <f>IFERROR(__xludf.DUMMYFUNCTION("""COMPUTED_VALUE"""),46269.573812930306)</f>
        <v>46269.57381</v>
      </c>
      <c r="C7142" s="9">
        <f>IFERROR(__xludf.DUMMYFUNCTION("""COMPUTED_VALUE"""),27253.0)</f>
        <v>27253</v>
      </c>
      <c r="D7142" s="9" t="str">
        <f>IFERROR(__xludf.DUMMYFUNCTION("""COMPUTED_VALUE"""),"Completed")</f>
        <v>Completed</v>
      </c>
    </row>
    <row r="7143">
      <c r="A7143" s="9" t="str">
        <f>IFERROR(__xludf.DUMMYFUNCTION("""COMPUTED_VALUE"""),"G-REQ-07142")</f>
        <v>G-REQ-07142</v>
      </c>
      <c r="B7143" s="11">
        <f>IFERROR(__xludf.DUMMYFUNCTION("""COMPUTED_VALUE"""),46269.644987775726)</f>
        <v>46269.64499</v>
      </c>
      <c r="C7143" s="9">
        <f>IFERROR(__xludf.DUMMYFUNCTION("""COMPUTED_VALUE"""),27257.0)</f>
        <v>27257</v>
      </c>
      <c r="D7143" s="9" t="str">
        <f>IFERROR(__xludf.DUMMYFUNCTION("""COMPUTED_VALUE"""),"Completed")</f>
        <v>Completed</v>
      </c>
    </row>
    <row r="7144">
      <c r="A7144" s="9" t="str">
        <f>IFERROR(__xludf.DUMMYFUNCTION("""COMPUTED_VALUE"""),"G-REQ-07143")</f>
        <v>G-REQ-07143</v>
      </c>
      <c r="B7144" s="11">
        <f>IFERROR(__xludf.DUMMYFUNCTION("""COMPUTED_VALUE"""),46269.7092181767)</f>
        <v>46269.70922</v>
      </c>
      <c r="C7144" s="9">
        <f>IFERROR(__xludf.DUMMYFUNCTION("""COMPUTED_VALUE"""),27259.0)</f>
        <v>27259</v>
      </c>
      <c r="D7144" s="9" t="str">
        <f>IFERROR(__xludf.DUMMYFUNCTION("""COMPUTED_VALUE"""),"Cancelled")</f>
        <v>Cancelled</v>
      </c>
    </row>
    <row r="7145">
      <c r="A7145" s="9" t="str">
        <f>IFERROR(__xludf.DUMMYFUNCTION("""COMPUTED_VALUE"""),"G-REQ-07144")</f>
        <v>G-REQ-07144</v>
      </c>
      <c r="B7145" s="11">
        <f>IFERROR(__xludf.DUMMYFUNCTION("""COMPUTED_VALUE"""),46269.780393022105)</f>
        <v>46269.78039</v>
      </c>
      <c r="C7145" s="9">
        <f>IFERROR(__xludf.DUMMYFUNCTION("""COMPUTED_VALUE"""),27261.0)</f>
        <v>27261</v>
      </c>
      <c r="D7145" s="9" t="str">
        <f>IFERROR(__xludf.DUMMYFUNCTION("""COMPUTED_VALUE"""),"Cancelled")</f>
        <v>Cancelled</v>
      </c>
    </row>
    <row r="7146">
      <c r="A7146" s="9" t="str">
        <f>IFERROR(__xludf.DUMMYFUNCTION("""COMPUTED_VALUE"""),"G-REQ-07145")</f>
        <v>G-REQ-07145</v>
      </c>
      <c r="B7146" s="11">
        <f>IFERROR(__xludf.DUMMYFUNCTION("""COMPUTED_VALUE"""),46269.85851231197)</f>
        <v>46269.85851</v>
      </c>
      <c r="C7146" s="9">
        <f>IFERROR(__xludf.DUMMYFUNCTION("""COMPUTED_VALUE"""),27265.0)</f>
        <v>27265</v>
      </c>
      <c r="D7146" s="9" t="str">
        <f>IFERROR(__xludf.DUMMYFUNCTION("""COMPUTED_VALUE"""),"Completed")</f>
        <v>Completed</v>
      </c>
    </row>
    <row r="7147">
      <c r="A7147" s="9" t="str">
        <f>IFERROR(__xludf.DUMMYFUNCTION("""COMPUTED_VALUE"""),"G-REQ-07146")</f>
        <v>G-REQ-07146</v>
      </c>
      <c r="B7147" s="11">
        <f>IFERROR(__xludf.DUMMYFUNCTION("""COMPUTED_VALUE"""),46269.92968715739)</f>
        <v>46269.92969</v>
      </c>
      <c r="C7147" s="9">
        <f>IFERROR(__xludf.DUMMYFUNCTION("""COMPUTED_VALUE"""),27269.0)</f>
        <v>27269</v>
      </c>
      <c r="D7147" s="9" t="str">
        <f>IFERROR(__xludf.DUMMYFUNCTION("""COMPUTED_VALUE"""),"Completed")</f>
        <v>Completed</v>
      </c>
    </row>
    <row r="7148">
      <c r="A7148" s="9" t="str">
        <f>IFERROR(__xludf.DUMMYFUNCTION("""COMPUTED_VALUE"""),"G-REQ-07147")</f>
        <v>G-REQ-07147</v>
      </c>
      <c r="B7148" s="11">
        <f>IFERROR(__xludf.DUMMYFUNCTION("""COMPUTED_VALUE"""),46270.0008620028)</f>
        <v>46270.00086</v>
      </c>
      <c r="C7148" s="9">
        <f>IFERROR(__xludf.DUMMYFUNCTION("""COMPUTED_VALUE"""),27273.0)</f>
        <v>27273</v>
      </c>
      <c r="D7148" s="9" t="str">
        <f>IFERROR(__xludf.DUMMYFUNCTION("""COMPUTED_VALUE"""),"Completed")</f>
        <v>Completed</v>
      </c>
    </row>
    <row r="7149">
      <c r="A7149" s="9" t="str">
        <f>IFERROR(__xludf.DUMMYFUNCTION("""COMPUTED_VALUE"""),"G-REQ-07148")</f>
        <v>G-REQ-07148</v>
      </c>
      <c r="B7149" s="11">
        <f>IFERROR(__xludf.DUMMYFUNCTION("""COMPUTED_VALUE"""),46270.072036848214)</f>
        <v>46270.07204</v>
      </c>
      <c r="C7149" s="9">
        <f>IFERROR(__xludf.DUMMYFUNCTION("""COMPUTED_VALUE"""),27277.0)</f>
        <v>27277</v>
      </c>
      <c r="D7149" s="9" t="str">
        <f>IFERROR(__xludf.DUMMYFUNCTION("""COMPUTED_VALUE"""),"Completed")</f>
        <v>Completed</v>
      </c>
    </row>
    <row r="7150">
      <c r="A7150" s="9" t="str">
        <f>IFERROR(__xludf.DUMMYFUNCTION("""COMPUTED_VALUE"""),"G-REQ-07149")</f>
        <v>G-REQ-07149</v>
      </c>
      <c r="B7150" s="11">
        <f>IFERROR(__xludf.DUMMYFUNCTION("""COMPUTED_VALUE"""),46270.143211693634)</f>
        <v>46270.14321</v>
      </c>
      <c r="C7150" s="9">
        <f>IFERROR(__xludf.DUMMYFUNCTION("""COMPUTED_VALUE"""),27281.0)</f>
        <v>27281</v>
      </c>
      <c r="D7150" s="9" t="str">
        <f>IFERROR(__xludf.DUMMYFUNCTION("""COMPUTED_VALUE"""),"Completed")</f>
        <v>Completed</v>
      </c>
    </row>
    <row r="7151">
      <c r="A7151" s="9" t="str">
        <f>IFERROR(__xludf.DUMMYFUNCTION("""COMPUTED_VALUE"""),"G-REQ-07150")</f>
        <v>G-REQ-07150</v>
      </c>
      <c r="B7151" s="11">
        <f>IFERROR(__xludf.DUMMYFUNCTION("""COMPUTED_VALUE"""),46270.214386539046)</f>
        <v>46270.21439</v>
      </c>
      <c r="C7151" s="9">
        <f>IFERROR(__xludf.DUMMYFUNCTION("""COMPUTED_VALUE"""),27285.0)</f>
        <v>27285</v>
      </c>
      <c r="D7151" s="9" t="str">
        <f>IFERROR(__xludf.DUMMYFUNCTION("""COMPUTED_VALUE"""),"Completed")</f>
        <v>Completed</v>
      </c>
    </row>
    <row r="7152">
      <c r="A7152" s="9" t="str">
        <f>IFERROR(__xludf.DUMMYFUNCTION("""COMPUTED_VALUE"""),"G-REQ-07151")</f>
        <v>G-REQ-07151</v>
      </c>
      <c r="B7152" s="11">
        <f>IFERROR(__xludf.DUMMYFUNCTION("""COMPUTED_VALUE"""),46270.28556138446)</f>
        <v>46270.28556</v>
      </c>
      <c r="C7152" s="9">
        <f>IFERROR(__xludf.DUMMYFUNCTION("""COMPUTED_VALUE"""),27289.0)</f>
        <v>27289</v>
      </c>
      <c r="D7152" s="9" t="str">
        <f>IFERROR(__xludf.DUMMYFUNCTION("""COMPUTED_VALUE"""),"Completed")</f>
        <v>Completed</v>
      </c>
    </row>
    <row r="7153">
      <c r="A7153" s="9" t="str">
        <f>IFERROR(__xludf.DUMMYFUNCTION("""COMPUTED_VALUE"""),"G-REQ-07152")</f>
        <v>G-REQ-07152</v>
      </c>
      <c r="B7153" s="11">
        <f>IFERROR(__xludf.DUMMYFUNCTION("""COMPUTED_VALUE"""),46270.35673622988)</f>
        <v>46270.35674</v>
      </c>
      <c r="C7153" s="9">
        <f>IFERROR(__xludf.DUMMYFUNCTION("""COMPUTED_VALUE"""),27293.0)</f>
        <v>27293</v>
      </c>
      <c r="D7153" s="9" t="str">
        <f>IFERROR(__xludf.DUMMYFUNCTION("""COMPUTED_VALUE"""),"Completed")</f>
        <v>Completed</v>
      </c>
    </row>
    <row r="7154">
      <c r="A7154" s="9" t="str">
        <f>IFERROR(__xludf.DUMMYFUNCTION("""COMPUTED_VALUE"""),"G-REQ-07153")</f>
        <v>G-REQ-07153</v>
      </c>
      <c r="B7154" s="11">
        <f>IFERROR(__xludf.DUMMYFUNCTION("""COMPUTED_VALUE"""),46270.42096663085)</f>
        <v>46270.42097</v>
      </c>
      <c r="C7154" s="9">
        <f>IFERROR(__xludf.DUMMYFUNCTION("""COMPUTED_VALUE"""),27295.0)</f>
        <v>27295</v>
      </c>
      <c r="D7154" s="9" t="str">
        <f>IFERROR(__xludf.DUMMYFUNCTION("""COMPUTED_VALUE"""),"Rejected")</f>
        <v>Rejected</v>
      </c>
    </row>
    <row r="7155">
      <c r="A7155" s="9" t="str">
        <f>IFERROR(__xludf.DUMMYFUNCTION("""COMPUTED_VALUE"""),"G-REQ-07154")</f>
        <v>G-REQ-07154</v>
      </c>
      <c r="B7155" s="11">
        <f>IFERROR(__xludf.DUMMYFUNCTION("""COMPUTED_VALUE"""),46270.4990859207)</f>
        <v>46270.49909</v>
      </c>
      <c r="C7155" s="9">
        <f>IFERROR(__xludf.DUMMYFUNCTION("""COMPUTED_VALUE"""),27299.0)</f>
        <v>27299</v>
      </c>
      <c r="D7155" s="9" t="str">
        <f>IFERROR(__xludf.DUMMYFUNCTION("""COMPUTED_VALUE"""),"Completed")</f>
        <v>Completed</v>
      </c>
    </row>
    <row r="7156">
      <c r="A7156" s="9" t="str">
        <f>IFERROR(__xludf.DUMMYFUNCTION("""COMPUTED_VALUE"""),"G-REQ-07155")</f>
        <v>G-REQ-07155</v>
      </c>
      <c r="B7156" s="11">
        <f>IFERROR(__xludf.DUMMYFUNCTION("""COMPUTED_VALUE"""),46270.57026076612)</f>
        <v>46270.57026</v>
      </c>
      <c r="C7156" s="9">
        <f>IFERROR(__xludf.DUMMYFUNCTION("""COMPUTED_VALUE"""),27303.0)</f>
        <v>27303</v>
      </c>
      <c r="D7156" s="9" t="str">
        <f>IFERROR(__xludf.DUMMYFUNCTION("""COMPUTED_VALUE"""),"Completed")</f>
        <v>Completed</v>
      </c>
    </row>
    <row r="7157">
      <c r="A7157" s="9" t="str">
        <f>IFERROR(__xludf.DUMMYFUNCTION("""COMPUTED_VALUE"""),"G-REQ-07156")</f>
        <v>G-REQ-07156</v>
      </c>
      <c r="B7157" s="11">
        <f>IFERROR(__xludf.DUMMYFUNCTION("""COMPUTED_VALUE"""),46270.641435611535)</f>
        <v>46270.64144</v>
      </c>
      <c r="C7157" s="9">
        <f>IFERROR(__xludf.DUMMYFUNCTION("""COMPUTED_VALUE"""),27307.0)</f>
        <v>27307</v>
      </c>
      <c r="D7157" s="9" t="str">
        <f>IFERROR(__xludf.DUMMYFUNCTION("""COMPUTED_VALUE"""),"Completed")</f>
        <v>Completed</v>
      </c>
    </row>
    <row r="7158">
      <c r="A7158" s="9" t="str">
        <f>IFERROR(__xludf.DUMMYFUNCTION("""COMPUTED_VALUE"""),"G-REQ-07157")</f>
        <v>G-REQ-07157</v>
      </c>
      <c r="B7158" s="11">
        <f>IFERROR(__xludf.DUMMYFUNCTION("""COMPUTED_VALUE"""),46270.712610456954)</f>
        <v>46270.71261</v>
      </c>
      <c r="C7158" s="9">
        <f>IFERROR(__xludf.DUMMYFUNCTION("""COMPUTED_VALUE"""),27311.0)</f>
        <v>27311</v>
      </c>
      <c r="D7158" s="9" t="str">
        <f>IFERROR(__xludf.DUMMYFUNCTION("""COMPUTED_VALUE"""),"Completed")</f>
        <v>Completed</v>
      </c>
    </row>
    <row r="7159">
      <c r="A7159" s="9" t="str">
        <f>IFERROR(__xludf.DUMMYFUNCTION("""COMPUTED_VALUE"""),"G-REQ-07158")</f>
        <v>G-REQ-07158</v>
      </c>
      <c r="B7159" s="11">
        <f>IFERROR(__xludf.DUMMYFUNCTION("""COMPUTED_VALUE"""),46270.78378530237)</f>
        <v>46270.78379</v>
      </c>
      <c r="C7159" s="9">
        <f>IFERROR(__xludf.DUMMYFUNCTION("""COMPUTED_VALUE"""),27315.0)</f>
        <v>27315</v>
      </c>
      <c r="D7159" s="9" t="str">
        <f>IFERROR(__xludf.DUMMYFUNCTION("""COMPUTED_VALUE"""),"Completed")</f>
        <v>Completed</v>
      </c>
    </row>
    <row r="7160">
      <c r="A7160" s="9" t="str">
        <f>IFERROR(__xludf.DUMMYFUNCTION("""COMPUTED_VALUE"""),"G-REQ-07159")</f>
        <v>G-REQ-07159</v>
      </c>
      <c r="B7160" s="11">
        <f>IFERROR(__xludf.DUMMYFUNCTION("""COMPUTED_VALUE"""),46270.854960147786)</f>
        <v>46270.85496</v>
      </c>
      <c r="C7160" s="9">
        <f>IFERROR(__xludf.DUMMYFUNCTION("""COMPUTED_VALUE"""),27319.0)</f>
        <v>27319</v>
      </c>
      <c r="D7160" s="9" t="str">
        <f>IFERROR(__xludf.DUMMYFUNCTION("""COMPUTED_VALUE"""),"Completed")</f>
        <v>Completed</v>
      </c>
    </row>
    <row r="7161">
      <c r="A7161" s="9" t="str">
        <f>IFERROR(__xludf.DUMMYFUNCTION("""COMPUTED_VALUE"""),"G-REQ-07160")</f>
        <v>G-REQ-07160</v>
      </c>
      <c r="B7161" s="11">
        <f>IFERROR(__xludf.DUMMYFUNCTION("""COMPUTED_VALUE"""),46270.92613499319)</f>
        <v>46270.92613</v>
      </c>
      <c r="C7161" s="9">
        <f>IFERROR(__xludf.DUMMYFUNCTION("""COMPUTED_VALUE"""),27323.0)</f>
        <v>27323</v>
      </c>
      <c r="D7161" s="9" t="str">
        <f>IFERROR(__xludf.DUMMYFUNCTION("""COMPUTED_VALUE"""),"Completed")</f>
        <v>Completed</v>
      </c>
    </row>
    <row r="7162">
      <c r="A7162" s="9" t="str">
        <f>IFERROR(__xludf.DUMMYFUNCTION("""COMPUTED_VALUE"""),"G-REQ-07161")</f>
        <v>G-REQ-07161</v>
      </c>
      <c r="B7162" s="11">
        <f>IFERROR(__xludf.DUMMYFUNCTION("""COMPUTED_VALUE"""),46270.99730983861)</f>
        <v>46270.99731</v>
      </c>
      <c r="C7162" s="9">
        <f>IFERROR(__xludf.DUMMYFUNCTION("""COMPUTED_VALUE"""),27327.0)</f>
        <v>27327</v>
      </c>
      <c r="D7162" s="9" t="str">
        <f>IFERROR(__xludf.DUMMYFUNCTION("""COMPUTED_VALUE"""),"Completed")</f>
        <v>Completed</v>
      </c>
    </row>
    <row r="7163">
      <c r="A7163" s="9" t="str">
        <f>IFERROR(__xludf.DUMMYFUNCTION("""COMPUTED_VALUE"""),"G-REQ-07162")</f>
        <v>G-REQ-07162</v>
      </c>
      <c r="B7163" s="11">
        <f>IFERROR(__xludf.DUMMYFUNCTION("""COMPUTED_VALUE"""),46271.06848468403)</f>
        <v>46271.06848</v>
      </c>
      <c r="C7163" s="9">
        <f>IFERROR(__xludf.DUMMYFUNCTION("""COMPUTED_VALUE"""),27331.0)</f>
        <v>27331</v>
      </c>
      <c r="D7163" s="9" t="str">
        <f>IFERROR(__xludf.DUMMYFUNCTION("""COMPUTED_VALUE"""),"Completed")</f>
        <v>Completed</v>
      </c>
    </row>
    <row r="7164">
      <c r="A7164" s="9" t="str">
        <f>IFERROR(__xludf.DUMMYFUNCTION("""COMPUTED_VALUE"""),"G-REQ-07163")</f>
        <v>G-REQ-07163</v>
      </c>
      <c r="B7164" s="11">
        <f>IFERROR(__xludf.DUMMYFUNCTION("""COMPUTED_VALUE"""),46271.13965952944)</f>
        <v>46271.13966</v>
      </c>
      <c r="C7164" s="9">
        <f>IFERROR(__xludf.DUMMYFUNCTION("""COMPUTED_VALUE"""),27335.0)</f>
        <v>27335</v>
      </c>
      <c r="D7164" s="9" t="str">
        <f>IFERROR(__xludf.DUMMYFUNCTION("""COMPUTED_VALUE"""),"Completed")</f>
        <v>Completed</v>
      </c>
    </row>
    <row r="7165">
      <c r="A7165" s="9" t="str">
        <f>IFERROR(__xludf.DUMMYFUNCTION("""COMPUTED_VALUE"""),"G-REQ-07164")</f>
        <v>G-REQ-07164</v>
      </c>
      <c r="B7165" s="11">
        <f>IFERROR(__xludf.DUMMYFUNCTION("""COMPUTED_VALUE"""),46271.20388993041)</f>
        <v>46271.20389</v>
      </c>
      <c r="C7165" s="9">
        <f>IFERROR(__xludf.DUMMYFUNCTION("""COMPUTED_VALUE"""),27337.0)</f>
        <v>27337</v>
      </c>
      <c r="D7165" s="9" t="str">
        <f>IFERROR(__xludf.DUMMYFUNCTION("""COMPUTED_VALUE"""),"Rejected")</f>
        <v>Rejected</v>
      </c>
    </row>
    <row r="7166">
      <c r="A7166" s="9" t="str">
        <f>IFERROR(__xludf.DUMMYFUNCTION("""COMPUTED_VALUE"""),"G-REQ-07165")</f>
        <v>G-REQ-07165</v>
      </c>
      <c r="B7166" s="11">
        <f>IFERROR(__xludf.DUMMYFUNCTION("""COMPUTED_VALUE"""),46271.282009220275)</f>
        <v>46271.28201</v>
      </c>
      <c r="C7166" s="9">
        <f>IFERROR(__xludf.DUMMYFUNCTION("""COMPUTED_VALUE"""),27341.0)</f>
        <v>27341</v>
      </c>
      <c r="D7166" s="9" t="str">
        <f>IFERROR(__xludf.DUMMYFUNCTION("""COMPUTED_VALUE"""),"Completed")</f>
        <v>Completed</v>
      </c>
    </row>
    <row r="7167">
      <c r="A7167" s="9" t="str">
        <f>IFERROR(__xludf.DUMMYFUNCTION("""COMPUTED_VALUE"""),"G-REQ-07166")</f>
        <v>G-REQ-07166</v>
      </c>
      <c r="B7167" s="11">
        <f>IFERROR(__xludf.DUMMYFUNCTION("""COMPUTED_VALUE"""),46271.35318406569)</f>
        <v>46271.35318</v>
      </c>
      <c r="C7167" s="9">
        <f>IFERROR(__xludf.DUMMYFUNCTION("""COMPUTED_VALUE"""),27345.0)</f>
        <v>27345</v>
      </c>
      <c r="D7167" s="9" t="str">
        <f>IFERROR(__xludf.DUMMYFUNCTION("""COMPUTED_VALUE"""),"Completed")</f>
        <v>Completed</v>
      </c>
    </row>
    <row r="7168">
      <c r="A7168" s="9" t="str">
        <f>IFERROR(__xludf.DUMMYFUNCTION("""COMPUTED_VALUE"""),"G-REQ-07167")</f>
        <v>G-REQ-07167</v>
      </c>
      <c r="B7168" s="11">
        <f>IFERROR(__xludf.DUMMYFUNCTION("""COMPUTED_VALUE"""),46271.4243589111)</f>
        <v>46271.42436</v>
      </c>
      <c r="C7168" s="9">
        <f>IFERROR(__xludf.DUMMYFUNCTION("""COMPUTED_VALUE"""),27349.0)</f>
        <v>27349</v>
      </c>
      <c r="D7168" s="9" t="str">
        <f>IFERROR(__xludf.DUMMYFUNCTION("""COMPUTED_VALUE"""),"Completed")</f>
        <v>Completed</v>
      </c>
    </row>
    <row r="7169">
      <c r="A7169" s="9" t="str">
        <f>IFERROR(__xludf.DUMMYFUNCTION("""COMPUTED_VALUE"""),"G-REQ-07168")</f>
        <v>G-REQ-07168</v>
      </c>
      <c r="B7169" s="11">
        <f>IFERROR(__xludf.DUMMYFUNCTION("""COMPUTED_VALUE"""),46271.49553375652)</f>
        <v>46271.49553</v>
      </c>
      <c r="C7169" s="9">
        <f>IFERROR(__xludf.DUMMYFUNCTION("""COMPUTED_VALUE"""),27353.0)</f>
        <v>27353</v>
      </c>
      <c r="D7169" s="9" t="str">
        <f>IFERROR(__xludf.DUMMYFUNCTION("""COMPUTED_VALUE"""),"Completed")</f>
        <v>Completed</v>
      </c>
    </row>
    <row r="7170">
      <c r="A7170" s="9" t="str">
        <f>IFERROR(__xludf.DUMMYFUNCTION("""COMPUTED_VALUE"""),"G-REQ-07169")</f>
        <v>G-REQ-07169</v>
      </c>
      <c r="B7170" s="11">
        <f>IFERROR(__xludf.DUMMYFUNCTION("""COMPUTED_VALUE"""),46271.56670860194)</f>
        <v>46271.56671</v>
      </c>
      <c r="C7170" s="9">
        <f>IFERROR(__xludf.DUMMYFUNCTION("""COMPUTED_VALUE"""),27357.0)</f>
        <v>27357</v>
      </c>
      <c r="D7170" s="9" t="str">
        <f>IFERROR(__xludf.DUMMYFUNCTION("""COMPUTED_VALUE"""),"Completed")</f>
        <v>Completed</v>
      </c>
    </row>
    <row r="7171">
      <c r="A7171" s="9" t="str">
        <f>IFERROR(__xludf.DUMMYFUNCTION("""COMPUTED_VALUE"""),"G-REQ-07170")</f>
        <v>G-REQ-07170</v>
      </c>
      <c r="B7171" s="11">
        <f>IFERROR(__xludf.DUMMYFUNCTION("""COMPUTED_VALUE"""),46271.63788344734)</f>
        <v>46271.63788</v>
      </c>
      <c r="C7171" s="9">
        <f>IFERROR(__xludf.DUMMYFUNCTION("""COMPUTED_VALUE"""),27361.0)</f>
        <v>27361</v>
      </c>
      <c r="D7171" s="9" t="str">
        <f>IFERROR(__xludf.DUMMYFUNCTION("""COMPUTED_VALUE"""),"Completed")</f>
        <v>Completed</v>
      </c>
    </row>
    <row r="7172">
      <c r="A7172" s="9" t="str">
        <f>IFERROR(__xludf.DUMMYFUNCTION("""COMPUTED_VALUE"""),"G-REQ-07171")</f>
        <v>G-REQ-07171</v>
      </c>
      <c r="B7172" s="11">
        <f>IFERROR(__xludf.DUMMYFUNCTION("""COMPUTED_VALUE"""),46271.70905829276)</f>
        <v>46271.70906</v>
      </c>
      <c r="C7172" s="9">
        <f>IFERROR(__xludf.DUMMYFUNCTION("""COMPUTED_VALUE"""),27365.0)</f>
        <v>27365</v>
      </c>
      <c r="D7172" s="9" t="str">
        <f>IFERROR(__xludf.DUMMYFUNCTION("""COMPUTED_VALUE"""),"Completed")</f>
        <v>Completed</v>
      </c>
    </row>
    <row r="7173">
      <c r="A7173" s="9" t="str">
        <f>IFERROR(__xludf.DUMMYFUNCTION("""COMPUTED_VALUE"""),"G-REQ-07172")</f>
        <v>G-REQ-07172</v>
      </c>
      <c r="B7173" s="11">
        <f>IFERROR(__xludf.DUMMYFUNCTION("""COMPUTED_VALUE"""),46271.78023313818)</f>
        <v>46271.78023</v>
      </c>
      <c r="C7173" s="9">
        <f>IFERROR(__xludf.DUMMYFUNCTION("""COMPUTED_VALUE"""),27369.0)</f>
        <v>27369</v>
      </c>
      <c r="D7173" s="9" t="str">
        <f>IFERROR(__xludf.DUMMYFUNCTION("""COMPUTED_VALUE"""),"Completed")</f>
        <v>Completed</v>
      </c>
    </row>
    <row r="7174">
      <c r="A7174" s="9" t="str">
        <f>IFERROR(__xludf.DUMMYFUNCTION("""COMPUTED_VALUE"""),"G-REQ-07173")</f>
        <v>G-REQ-07173</v>
      </c>
      <c r="B7174" s="11">
        <f>IFERROR(__xludf.DUMMYFUNCTION("""COMPUTED_VALUE"""),46271.851407983595)</f>
        <v>46271.85141</v>
      </c>
      <c r="C7174" s="9">
        <f>IFERROR(__xludf.DUMMYFUNCTION("""COMPUTED_VALUE"""),27373.0)</f>
        <v>27373</v>
      </c>
      <c r="D7174" s="9" t="str">
        <f>IFERROR(__xludf.DUMMYFUNCTION("""COMPUTED_VALUE"""),"Completed")</f>
        <v>Completed</v>
      </c>
    </row>
    <row r="7175">
      <c r="A7175" s="9" t="str">
        <f>IFERROR(__xludf.DUMMYFUNCTION("""COMPUTED_VALUE"""),"G-REQ-07174")</f>
        <v>G-REQ-07174</v>
      </c>
      <c r="B7175" s="11">
        <f>IFERROR(__xludf.DUMMYFUNCTION("""COMPUTED_VALUE"""),46271.92258282901)</f>
        <v>46271.92258</v>
      </c>
      <c r="C7175" s="9">
        <f>IFERROR(__xludf.DUMMYFUNCTION("""COMPUTED_VALUE"""),27377.0)</f>
        <v>27377</v>
      </c>
      <c r="D7175" s="9" t="str">
        <f>IFERROR(__xludf.DUMMYFUNCTION("""COMPUTED_VALUE"""),"Completed")</f>
        <v>Completed</v>
      </c>
    </row>
    <row r="7176">
      <c r="A7176" s="9" t="str">
        <f>IFERROR(__xludf.DUMMYFUNCTION("""COMPUTED_VALUE"""),"G-REQ-07175")</f>
        <v>G-REQ-07175</v>
      </c>
      <c r="B7176" s="11">
        <f>IFERROR(__xludf.DUMMYFUNCTION("""COMPUTED_VALUE"""),46271.99375767443)</f>
        <v>46271.99376</v>
      </c>
      <c r="C7176" s="9">
        <f>IFERROR(__xludf.DUMMYFUNCTION("""COMPUTED_VALUE"""),27381.0)</f>
        <v>27381</v>
      </c>
      <c r="D7176" s="9" t="str">
        <f>IFERROR(__xludf.DUMMYFUNCTION("""COMPUTED_VALUE"""),"Completed")</f>
        <v>Completed</v>
      </c>
    </row>
    <row r="7177">
      <c r="A7177" s="9" t="str">
        <f>IFERROR(__xludf.DUMMYFUNCTION("""COMPUTED_VALUE"""),"G-REQ-07176")</f>
        <v>G-REQ-07176</v>
      </c>
      <c r="B7177" s="11">
        <f>IFERROR(__xludf.DUMMYFUNCTION("""COMPUTED_VALUE"""),46272.06493251984)</f>
        <v>46272.06493</v>
      </c>
      <c r="C7177" s="9">
        <f>IFERROR(__xludf.DUMMYFUNCTION("""COMPUTED_VALUE"""),27385.0)</f>
        <v>27385</v>
      </c>
      <c r="D7177" s="9" t="str">
        <f>IFERROR(__xludf.DUMMYFUNCTION("""COMPUTED_VALUE"""),"Completed")</f>
        <v>Completed</v>
      </c>
    </row>
    <row r="7178">
      <c r="A7178" s="9" t="str">
        <f>IFERROR(__xludf.DUMMYFUNCTION("""COMPUTED_VALUE"""),"G-REQ-07177")</f>
        <v>G-REQ-07177</v>
      </c>
      <c r="B7178" s="11">
        <f>IFERROR(__xludf.DUMMYFUNCTION("""COMPUTED_VALUE"""),46272.13610736525)</f>
        <v>46272.13611</v>
      </c>
      <c r="C7178" s="9">
        <f>IFERROR(__xludf.DUMMYFUNCTION("""COMPUTED_VALUE"""),27389.0)</f>
        <v>27389</v>
      </c>
      <c r="D7178" s="9" t="str">
        <f>IFERROR(__xludf.DUMMYFUNCTION("""COMPUTED_VALUE"""),"Completed")</f>
        <v>Completed</v>
      </c>
    </row>
    <row r="7179">
      <c r="A7179" s="9" t="str">
        <f>IFERROR(__xludf.DUMMYFUNCTION("""COMPUTED_VALUE"""),"G-REQ-07178")</f>
        <v>G-REQ-07178</v>
      </c>
      <c r="B7179" s="11">
        <f>IFERROR(__xludf.DUMMYFUNCTION("""COMPUTED_VALUE"""),46272.20728221067)</f>
        <v>46272.20728</v>
      </c>
      <c r="C7179" s="9">
        <f>IFERROR(__xludf.DUMMYFUNCTION("""COMPUTED_VALUE"""),27393.0)</f>
        <v>27393</v>
      </c>
      <c r="D7179" s="9" t="str">
        <f>IFERROR(__xludf.DUMMYFUNCTION("""COMPUTED_VALUE"""),"Completed")</f>
        <v>Completed</v>
      </c>
    </row>
    <row r="7180">
      <c r="A7180" s="9" t="str">
        <f>IFERROR(__xludf.DUMMYFUNCTION("""COMPUTED_VALUE"""),"G-REQ-07179")</f>
        <v>G-REQ-07179</v>
      </c>
      <c r="B7180" s="11">
        <f>IFERROR(__xludf.DUMMYFUNCTION("""COMPUTED_VALUE"""),46272.27845705608)</f>
        <v>46272.27846</v>
      </c>
      <c r="C7180" s="9">
        <f>IFERROR(__xludf.DUMMYFUNCTION("""COMPUTED_VALUE"""),27397.0)</f>
        <v>27397</v>
      </c>
      <c r="D7180" s="9" t="str">
        <f>IFERROR(__xludf.DUMMYFUNCTION("""COMPUTED_VALUE"""),"Completed")</f>
        <v>Completed</v>
      </c>
    </row>
    <row r="7181">
      <c r="A7181" s="9" t="str">
        <f>IFERROR(__xludf.DUMMYFUNCTION("""COMPUTED_VALUE"""),"G-REQ-07180")</f>
        <v>G-REQ-07180</v>
      </c>
      <c r="B7181" s="11">
        <f>IFERROR(__xludf.DUMMYFUNCTION("""COMPUTED_VALUE"""),46272.349631901496)</f>
        <v>46272.34963</v>
      </c>
      <c r="C7181" s="9">
        <f>IFERROR(__xludf.DUMMYFUNCTION("""COMPUTED_VALUE"""),27401.0)</f>
        <v>27401</v>
      </c>
      <c r="D7181" s="9" t="str">
        <f>IFERROR(__xludf.DUMMYFUNCTION("""COMPUTED_VALUE"""),"Completed")</f>
        <v>Completed</v>
      </c>
    </row>
    <row r="7182">
      <c r="A7182" s="9" t="str">
        <f>IFERROR(__xludf.DUMMYFUNCTION("""COMPUTED_VALUE"""),"G-REQ-07181")</f>
        <v>G-REQ-07181</v>
      </c>
      <c r="B7182" s="11">
        <f>IFERROR(__xludf.DUMMYFUNCTION("""COMPUTED_VALUE"""),46272.41386230247)</f>
        <v>46272.41386</v>
      </c>
      <c r="C7182" s="9">
        <f>IFERROR(__xludf.DUMMYFUNCTION("""COMPUTED_VALUE"""),27403.0)</f>
        <v>27403</v>
      </c>
      <c r="D7182" s="9" t="str">
        <f>IFERROR(__xludf.DUMMYFUNCTION("""COMPUTED_VALUE"""),"Cancelled")</f>
        <v>Cancelled</v>
      </c>
    </row>
    <row r="7183">
      <c r="A7183" s="9" t="str">
        <f>IFERROR(__xludf.DUMMYFUNCTION("""COMPUTED_VALUE"""),"G-REQ-07182")</f>
        <v>G-REQ-07182</v>
      </c>
      <c r="B7183" s="11">
        <f>IFERROR(__xludf.DUMMYFUNCTION("""COMPUTED_VALUE"""),46272.49198159233)</f>
        <v>46272.49198</v>
      </c>
      <c r="C7183" s="9">
        <f>IFERROR(__xludf.DUMMYFUNCTION("""COMPUTED_VALUE"""),27407.0)</f>
        <v>27407</v>
      </c>
      <c r="D7183" s="9" t="str">
        <f>IFERROR(__xludf.DUMMYFUNCTION("""COMPUTED_VALUE"""),"Completed")</f>
        <v>Completed</v>
      </c>
    </row>
    <row r="7184">
      <c r="A7184" s="9" t="str">
        <f>IFERROR(__xludf.DUMMYFUNCTION("""COMPUTED_VALUE"""),"G-REQ-07183")</f>
        <v>G-REQ-07183</v>
      </c>
      <c r="B7184" s="11">
        <f>IFERROR(__xludf.DUMMYFUNCTION("""COMPUTED_VALUE"""),46272.56315643774)</f>
        <v>46272.56316</v>
      </c>
      <c r="C7184" s="9">
        <f>IFERROR(__xludf.DUMMYFUNCTION("""COMPUTED_VALUE"""),27411.0)</f>
        <v>27411</v>
      </c>
      <c r="D7184" s="9" t="str">
        <f>IFERROR(__xludf.DUMMYFUNCTION("""COMPUTED_VALUE"""),"Completed")</f>
        <v>Completed</v>
      </c>
    </row>
    <row r="7185">
      <c r="A7185" s="9" t="str">
        <f>IFERROR(__xludf.DUMMYFUNCTION("""COMPUTED_VALUE"""),"G-REQ-07184")</f>
        <v>G-REQ-07184</v>
      </c>
      <c r="B7185" s="11">
        <f>IFERROR(__xludf.DUMMYFUNCTION("""COMPUTED_VALUE"""),46272.627386838714)</f>
        <v>46272.62739</v>
      </c>
      <c r="C7185" s="9">
        <f>IFERROR(__xludf.DUMMYFUNCTION("""COMPUTED_VALUE"""),27413.0)</f>
        <v>27413</v>
      </c>
      <c r="D7185" s="9" t="str">
        <f>IFERROR(__xludf.DUMMYFUNCTION("""COMPUTED_VALUE"""),"Rejected")</f>
        <v>Rejected</v>
      </c>
    </row>
    <row r="7186">
      <c r="A7186" s="9" t="str">
        <f>IFERROR(__xludf.DUMMYFUNCTION("""COMPUTED_VALUE"""),"G-REQ-07185")</f>
        <v>G-REQ-07185</v>
      </c>
      <c r="B7186" s="11">
        <f>IFERROR(__xludf.DUMMYFUNCTION("""COMPUTED_VALUE"""),46272.70550612858)</f>
        <v>46272.70551</v>
      </c>
      <c r="C7186" s="9">
        <f>IFERROR(__xludf.DUMMYFUNCTION("""COMPUTED_VALUE"""),27417.0)</f>
        <v>27417</v>
      </c>
      <c r="D7186" s="9" t="str">
        <f>IFERROR(__xludf.DUMMYFUNCTION("""COMPUTED_VALUE"""),"Completed")</f>
        <v>Completed</v>
      </c>
    </row>
    <row r="7187">
      <c r="A7187" s="9" t="str">
        <f>IFERROR(__xludf.DUMMYFUNCTION("""COMPUTED_VALUE"""),"G-REQ-07186")</f>
        <v>G-REQ-07186</v>
      </c>
      <c r="B7187" s="11">
        <f>IFERROR(__xludf.DUMMYFUNCTION("""COMPUTED_VALUE"""),46272.776680973984)</f>
        <v>46272.77668</v>
      </c>
      <c r="C7187" s="9">
        <f>IFERROR(__xludf.DUMMYFUNCTION("""COMPUTED_VALUE"""),27421.0)</f>
        <v>27421</v>
      </c>
      <c r="D7187" s="9" t="str">
        <f>IFERROR(__xludf.DUMMYFUNCTION("""COMPUTED_VALUE"""),"Completed")</f>
        <v>Completed</v>
      </c>
    </row>
    <row r="7188">
      <c r="A7188" s="9" t="str">
        <f>IFERROR(__xludf.DUMMYFUNCTION("""COMPUTED_VALUE"""),"G-REQ-07187")</f>
        <v>G-REQ-07187</v>
      </c>
      <c r="B7188" s="11">
        <f>IFERROR(__xludf.DUMMYFUNCTION("""COMPUTED_VALUE"""),46272.847855819404)</f>
        <v>46272.84786</v>
      </c>
      <c r="C7188" s="9">
        <f>IFERROR(__xludf.DUMMYFUNCTION("""COMPUTED_VALUE"""),27425.0)</f>
        <v>27425</v>
      </c>
      <c r="D7188" s="9" t="str">
        <f>IFERROR(__xludf.DUMMYFUNCTION("""COMPUTED_VALUE"""),"Completed")</f>
        <v>Completed</v>
      </c>
    </row>
    <row r="7189">
      <c r="A7189" s="9" t="str">
        <f>IFERROR(__xludf.DUMMYFUNCTION("""COMPUTED_VALUE"""),"G-REQ-07188")</f>
        <v>G-REQ-07188</v>
      </c>
      <c r="B7189" s="11">
        <f>IFERROR(__xludf.DUMMYFUNCTION("""COMPUTED_VALUE"""),46272.91208622038)</f>
        <v>46272.91209</v>
      </c>
      <c r="C7189" s="9">
        <f>IFERROR(__xludf.DUMMYFUNCTION("""COMPUTED_VALUE"""),27427.0)</f>
        <v>27427</v>
      </c>
      <c r="D7189" s="9" t="str">
        <f>IFERROR(__xludf.DUMMYFUNCTION("""COMPUTED_VALUE"""),"Cancelled")</f>
        <v>Cancelled</v>
      </c>
    </row>
    <row r="7190">
      <c r="A7190" s="9" t="str">
        <f>IFERROR(__xludf.DUMMYFUNCTION("""COMPUTED_VALUE"""),"G-REQ-07189")</f>
        <v>G-REQ-07189</v>
      </c>
      <c r="B7190" s="11">
        <f>IFERROR(__xludf.DUMMYFUNCTION("""COMPUTED_VALUE"""),46272.990205510236)</f>
        <v>46272.99021</v>
      </c>
      <c r="C7190" s="9">
        <f>IFERROR(__xludf.DUMMYFUNCTION("""COMPUTED_VALUE"""),27431.0)</f>
        <v>27431</v>
      </c>
      <c r="D7190" s="9" t="str">
        <f>IFERROR(__xludf.DUMMYFUNCTION("""COMPUTED_VALUE"""),"Completed")</f>
        <v>Completed</v>
      </c>
    </row>
    <row r="7191">
      <c r="A7191" s="9" t="str">
        <f>IFERROR(__xludf.DUMMYFUNCTION("""COMPUTED_VALUE"""),"G-REQ-07190")</f>
        <v>G-REQ-07190</v>
      </c>
      <c r="B7191" s="11">
        <f>IFERROR(__xludf.DUMMYFUNCTION("""COMPUTED_VALUE"""),46273.06138035565)</f>
        <v>46273.06138</v>
      </c>
      <c r="C7191" s="9">
        <f>IFERROR(__xludf.DUMMYFUNCTION("""COMPUTED_VALUE"""),27435.0)</f>
        <v>27435</v>
      </c>
      <c r="D7191" s="9" t="str">
        <f>IFERROR(__xludf.DUMMYFUNCTION("""COMPUTED_VALUE"""),"Completed")</f>
        <v>Completed</v>
      </c>
    </row>
    <row r="7192">
      <c r="A7192" s="9" t="str">
        <f>IFERROR(__xludf.DUMMYFUNCTION("""COMPUTED_VALUE"""),"G-REQ-07191")</f>
        <v>G-REQ-07191</v>
      </c>
      <c r="B7192" s="11">
        <f>IFERROR(__xludf.DUMMYFUNCTION("""COMPUTED_VALUE"""),46273.13255520107)</f>
        <v>46273.13256</v>
      </c>
      <c r="C7192" s="9">
        <f>IFERROR(__xludf.DUMMYFUNCTION("""COMPUTED_VALUE"""),27439.0)</f>
        <v>27439</v>
      </c>
      <c r="D7192" s="9" t="str">
        <f>IFERROR(__xludf.DUMMYFUNCTION("""COMPUTED_VALUE"""),"Completed")</f>
        <v>Completed</v>
      </c>
    </row>
    <row r="7193">
      <c r="A7193" s="9" t="str">
        <f>IFERROR(__xludf.DUMMYFUNCTION("""COMPUTED_VALUE"""),"G-REQ-07192")</f>
        <v>G-REQ-07192</v>
      </c>
      <c r="B7193" s="11">
        <f>IFERROR(__xludf.DUMMYFUNCTION("""COMPUTED_VALUE"""),46273.20373004648)</f>
        <v>46273.20373</v>
      </c>
      <c r="C7193" s="9">
        <f>IFERROR(__xludf.DUMMYFUNCTION("""COMPUTED_VALUE"""),27443.0)</f>
        <v>27443</v>
      </c>
      <c r="D7193" s="9" t="str">
        <f>IFERROR(__xludf.DUMMYFUNCTION("""COMPUTED_VALUE"""),"Completed")</f>
        <v>Completed</v>
      </c>
    </row>
    <row r="7194">
      <c r="A7194" s="9" t="str">
        <f>IFERROR(__xludf.DUMMYFUNCTION("""COMPUTED_VALUE"""),"G-REQ-07193")</f>
        <v>G-REQ-07193</v>
      </c>
      <c r="B7194" s="11">
        <f>IFERROR(__xludf.DUMMYFUNCTION("""COMPUTED_VALUE"""),46273.27490489189)</f>
        <v>46273.2749</v>
      </c>
      <c r="C7194" s="9">
        <f>IFERROR(__xludf.DUMMYFUNCTION("""COMPUTED_VALUE"""),27447.0)</f>
        <v>27447</v>
      </c>
      <c r="D7194" s="9" t="str">
        <f>IFERROR(__xludf.DUMMYFUNCTION("""COMPUTED_VALUE"""),"Completed")</f>
        <v>Completed</v>
      </c>
    </row>
    <row r="7195">
      <c r="A7195" s="9" t="str">
        <f>IFERROR(__xludf.DUMMYFUNCTION("""COMPUTED_VALUE"""),"G-REQ-07194")</f>
        <v>G-REQ-07194</v>
      </c>
      <c r="B7195" s="11">
        <f>IFERROR(__xludf.DUMMYFUNCTION("""COMPUTED_VALUE"""),46273.34607973731)</f>
        <v>46273.34608</v>
      </c>
      <c r="C7195" s="9">
        <f>IFERROR(__xludf.DUMMYFUNCTION("""COMPUTED_VALUE"""),27451.0)</f>
        <v>27451</v>
      </c>
      <c r="D7195" s="9" t="str">
        <f>IFERROR(__xludf.DUMMYFUNCTION("""COMPUTED_VALUE"""),"Completed")</f>
        <v>Completed</v>
      </c>
    </row>
    <row r="7196">
      <c r="A7196" s="9" t="str">
        <f>IFERROR(__xludf.DUMMYFUNCTION("""COMPUTED_VALUE"""),"G-REQ-07195")</f>
        <v>G-REQ-07195</v>
      </c>
      <c r="B7196" s="11">
        <f>IFERROR(__xludf.DUMMYFUNCTION("""COMPUTED_VALUE"""),46273.41725458273)</f>
        <v>46273.41725</v>
      </c>
      <c r="C7196" s="9">
        <f>IFERROR(__xludf.DUMMYFUNCTION("""COMPUTED_VALUE"""),27455.0)</f>
        <v>27455</v>
      </c>
      <c r="D7196" s="9" t="str">
        <f>IFERROR(__xludf.DUMMYFUNCTION("""COMPUTED_VALUE"""),"Completed")</f>
        <v>Completed</v>
      </c>
    </row>
    <row r="7197">
      <c r="A7197" s="9" t="str">
        <f>IFERROR(__xludf.DUMMYFUNCTION("""COMPUTED_VALUE"""),"G-REQ-07196")</f>
        <v>G-REQ-07196</v>
      </c>
      <c r="B7197" s="11">
        <f>IFERROR(__xludf.DUMMYFUNCTION("""COMPUTED_VALUE"""),46273.48842942814)</f>
        <v>46273.48843</v>
      </c>
      <c r="C7197" s="9">
        <f>IFERROR(__xludf.DUMMYFUNCTION("""COMPUTED_VALUE"""),27459.0)</f>
        <v>27459</v>
      </c>
      <c r="D7197" s="9" t="str">
        <f>IFERROR(__xludf.DUMMYFUNCTION("""COMPUTED_VALUE"""),"Completed")</f>
        <v>Completed</v>
      </c>
    </row>
    <row r="7198">
      <c r="A7198" s="9" t="str">
        <f>IFERROR(__xludf.DUMMYFUNCTION("""COMPUTED_VALUE"""),"G-REQ-07197")</f>
        <v>G-REQ-07197</v>
      </c>
      <c r="B7198" s="11">
        <f>IFERROR(__xludf.DUMMYFUNCTION("""COMPUTED_VALUE"""),46273.559604273556)</f>
        <v>46273.5596</v>
      </c>
      <c r="C7198" s="9">
        <f>IFERROR(__xludf.DUMMYFUNCTION("""COMPUTED_VALUE"""),27463.0)</f>
        <v>27463</v>
      </c>
      <c r="D7198" s="9" t="str">
        <f>IFERROR(__xludf.DUMMYFUNCTION("""COMPUTED_VALUE"""),"Completed")</f>
        <v>Completed</v>
      </c>
    </row>
    <row r="7199">
      <c r="A7199" s="9" t="str">
        <f>IFERROR(__xludf.DUMMYFUNCTION("""COMPUTED_VALUE"""),"G-REQ-07198")</f>
        <v>G-REQ-07198</v>
      </c>
      <c r="B7199" s="11">
        <f>IFERROR(__xludf.DUMMYFUNCTION("""COMPUTED_VALUE"""),46273.63077911897)</f>
        <v>46273.63078</v>
      </c>
      <c r="C7199" s="9">
        <f>IFERROR(__xludf.DUMMYFUNCTION("""COMPUTED_VALUE"""),27467.0)</f>
        <v>27467</v>
      </c>
      <c r="D7199" s="9" t="str">
        <f>IFERROR(__xludf.DUMMYFUNCTION("""COMPUTED_VALUE"""),"Completed")</f>
        <v>Completed</v>
      </c>
    </row>
    <row r="7200">
      <c r="A7200" s="9" t="str">
        <f>IFERROR(__xludf.DUMMYFUNCTION("""COMPUTED_VALUE"""),"G-REQ-07199")</f>
        <v>G-REQ-07199</v>
      </c>
      <c r="B7200" s="11">
        <f>IFERROR(__xludf.DUMMYFUNCTION("""COMPUTED_VALUE"""),46273.70195396439)</f>
        <v>46273.70195</v>
      </c>
      <c r="C7200" s="9">
        <f>IFERROR(__xludf.DUMMYFUNCTION("""COMPUTED_VALUE"""),27471.0)</f>
        <v>27471</v>
      </c>
      <c r="D7200" s="9" t="str">
        <f>IFERROR(__xludf.DUMMYFUNCTION("""COMPUTED_VALUE"""),"Completed")</f>
        <v>Completed</v>
      </c>
    </row>
    <row r="7201">
      <c r="A7201" s="9" t="str">
        <f>IFERROR(__xludf.DUMMYFUNCTION("""COMPUTED_VALUE"""),"G-REQ-07200")</f>
        <v>G-REQ-07200</v>
      </c>
      <c r="B7201" s="11">
        <f>IFERROR(__xludf.DUMMYFUNCTION("""COMPUTED_VALUE"""),46273.766184365355)</f>
        <v>46273.76618</v>
      </c>
      <c r="C7201" s="9">
        <f>IFERROR(__xludf.DUMMYFUNCTION("""COMPUTED_VALUE"""),27473.0)</f>
        <v>27473</v>
      </c>
      <c r="D7201" s="9" t="str">
        <f>IFERROR(__xludf.DUMMYFUNCTION("""COMPUTED_VALUE"""),"Rejected")</f>
        <v>Rejected</v>
      </c>
    </row>
    <row r="7202">
      <c r="A7202" s="9" t="str">
        <f>IFERROR(__xludf.DUMMYFUNCTION("""COMPUTED_VALUE"""),"G-REQ-07201")</f>
        <v>G-REQ-07201</v>
      </c>
      <c r="B7202" s="11">
        <f>IFERROR(__xludf.DUMMYFUNCTION("""COMPUTED_VALUE"""),46273.84430365522)</f>
        <v>46273.8443</v>
      </c>
      <c r="C7202" s="9">
        <f>IFERROR(__xludf.DUMMYFUNCTION("""COMPUTED_VALUE"""),27477.0)</f>
        <v>27477</v>
      </c>
      <c r="D7202" s="9" t="str">
        <f>IFERROR(__xludf.DUMMYFUNCTION("""COMPUTED_VALUE"""),"Completed")</f>
        <v>Completed</v>
      </c>
    </row>
    <row r="7203">
      <c r="A7203" s="9" t="str">
        <f>IFERROR(__xludf.DUMMYFUNCTION("""COMPUTED_VALUE"""),"G-REQ-07202")</f>
        <v>G-REQ-07202</v>
      </c>
      <c r="B7203" s="11">
        <f>IFERROR(__xludf.DUMMYFUNCTION("""COMPUTED_VALUE"""),46273.915478500625)</f>
        <v>46273.91548</v>
      </c>
      <c r="C7203" s="9">
        <f>IFERROR(__xludf.DUMMYFUNCTION("""COMPUTED_VALUE"""),27481.0)</f>
        <v>27481</v>
      </c>
      <c r="D7203" s="9" t="str">
        <f>IFERROR(__xludf.DUMMYFUNCTION("""COMPUTED_VALUE"""),"Completed")</f>
        <v>Completed</v>
      </c>
    </row>
    <row r="7204">
      <c r="A7204" s="9" t="str">
        <f>IFERROR(__xludf.DUMMYFUNCTION("""COMPUTED_VALUE"""),"G-REQ-07203")</f>
        <v>G-REQ-07203</v>
      </c>
      <c r="B7204" s="11">
        <f>IFERROR(__xludf.DUMMYFUNCTION("""COMPUTED_VALUE"""),46273.986653346044)</f>
        <v>46273.98665</v>
      </c>
      <c r="C7204" s="9">
        <f>IFERROR(__xludf.DUMMYFUNCTION("""COMPUTED_VALUE"""),27485.0)</f>
        <v>27485</v>
      </c>
      <c r="D7204" s="9" t="str">
        <f>IFERROR(__xludf.DUMMYFUNCTION("""COMPUTED_VALUE"""),"Completed")</f>
        <v>Completed</v>
      </c>
    </row>
    <row r="7205">
      <c r="A7205" s="9" t="str">
        <f>IFERROR(__xludf.DUMMYFUNCTION("""COMPUTED_VALUE"""),"G-REQ-07204")</f>
        <v>G-REQ-07204</v>
      </c>
      <c r="B7205" s="11">
        <f>IFERROR(__xludf.DUMMYFUNCTION("""COMPUTED_VALUE"""),46274.057828191464)</f>
        <v>46274.05783</v>
      </c>
      <c r="C7205" s="9">
        <f>IFERROR(__xludf.DUMMYFUNCTION("""COMPUTED_VALUE"""),27489.0)</f>
        <v>27489</v>
      </c>
      <c r="D7205" s="9" t="str">
        <f>IFERROR(__xludf.DUMMYFUNCTION("""COMPUTED_VALUE"""),"Completed")</f>
        <v>Completed</v>
      </c>
    </row>
    <row r="7206">
      <c r="A7206" s="9" t="str">
        <f>IFERROR(__xludf.DUMMYFUNCTION("""COMPUTED_VALUE"""),"G-REQ-07205")</f>
        <v>G-REQ-07205</v>
      </c>
      <c r="B7206" s="11">
        <f>IFERROR(__xludf.DUMMYFUNCTION("""COMPUTED_VALUE"""),46274.12900303688)</f>
        <v>46274.129</v>
      </c>
      <c r="C7206" s="9">
        <f>IFERROR(__xludf.DUMMYFUNCTION("""COMPUTED_VALUE"""),27493.0)</f>
        <v>27493</v>
      </c>
      <c r="D7206" s="9" t="str">
        <f>IFERROR(__xludf.DUMMYFUNCTION("""COMPUTED_VALUE"""),"Completed")</f>
        <v>Completed</v>
      </c>
    </row>
    <row r="7207">
      <c r="A7207" s="9" t="str">
        <f>IFERROR(__xludf.DUMMYFUNCTION("""COMPUTED_VALUE"""),"G-REQ-07206")</f>
        <v>G-REQ-07206</v>
      </c>
      <c r="B7207" s="11">
        <f>IFERROR(__xludf.DUMMYFUNCTION("""COMPUTED_VALUE"""),46274.20017788229)</f>
        <v>46274.20018</v>
      </c>
      <c r="C7207" s="9">
        <f>IFERROR(__xludf.DUMMYFUNCTION("""COMPUTED_VALUE"""),27497.0)</f>
        <v>27497</v>
      </c>
      <c r="D7207" s="9" t="str">
        <f>IFERROR(__xludf.DUMMYFUNCTION("""COMPUTED_VALUE"""),"Completed")</f>
        <v>Completed</v>
      </c>
    </row>
    <row r="7208">
      <c r="A7208" s="9" t="str">
        <f>IFERROR(__xludf.DUMMYFUNCTION("""COMPUTED_VALUE"""),"G-REQ-07207")</f>
        <v>G-REQ-07207</v>
      </c>
      <c r="B7208" s="11">
        <f>IFERROR(__xludf.DUMMYFUNCTION("""COMPUTED_VALUE"""),46274.27135272771)</f>
        <v>46274.27135</v>
      </c>
      <c r="C7208" s="9">
        <f>IFERROR(__xludf.DUMMYFUNCTION("""COMPUTED_VALUE"""),27501.0)</f>
        <v>27501</v>
      </c>
      <c r="D7208" s="9" t="str">
        <f>IFERROR(__xludf.DUMMYFUNCTION("""COMPUTED_VALUE"""),"Completed")</f>
        <v>Completed</v>
      </c>
    </row>
    <row r="7209">
      <c r="A7209" s="9" t="str">
        <f>IFERROR(__xludf.DUMMYFUNCTION("""COMPUTED_VALUE"""),"G-REQ-07208")</f>
        <v>G-REQ-07208</v>
      </c>
      <c r="B7209" s="11">
        <f>IFERROR(__xludf.DUMMYFUNCTION("""COMPUTED_VALUE"""),46274.34252757312)</f>
        <v>46274.34253</v>
      </c>
      <c r="C7209" s="9">
        <f>IFERROR(__xludf.DUMMYFUNCTION("""COMPUTED_VALUE"""),27505.0)</f>
        <v>27505</v>
      </c>
      <c r="D7209" s="9" t="str">
        <f>IFERROR(__xludf.DUMMYFUNCTION("""COMPUTED_VALUE"""),"Completed")</f>
        <v>Completed</v>
      </c>
    </row>
    <row r="7210">
      <c r="A7210" s="9" t="str">
        <f>IFERROR(__xludf.DUMMYFUNCTION("""COMPUTED_VALUE"""),"G-REQ-07209")</f>
        <v>G-REQ-07209</v>
      </c>
      <c r="B7210" s="11">
        <f>IFERROR(__xludf.DUMMYFUNCTION("""COMPUTED_VALUE"""),46274.41370241853)</f>
        <v>46274.4137</v>
      </c>
      <c r="C7210" s="9">
        <f>IFERROR(__xludf.DUMMYFUNCTION("""COMPUTED_VALUE"""),27509.0)</f>
        <v>27509</v>
      </c>
      <c r="D7210" s="9" t="str">
        <f>IFERROR(__xludf.DUMMYFUNCTION("""COMPUTED_VALUE"""),"Completed")</f>
        <v>Completed</v>
      </c>
    </row>
    <row r="7211">
      <c r="A7211" s="9" t="str">
        <f>IFERROR(__xludf.DUMMYFUNCTION("""COMPUTED_VALUE"""),"G-REQ-07210")</f>
        <v>G-REQ-07210</v>
      </c>
      <c r="B7211" s="11">
        <f>IFERROR(__xludf.DUMMYFUNCTION("""COMPUTED_VALUE"""),46274.48487726395)</f>
        <v>46274.48488</v>
      </c>
      <c r="C7211" s="9">
        <f>IFERROR(__xludf.DUMMYFUNCTION("""COMPUTED_VALUE"""),27513.0)</f>
        <v>27513</v>
      </c>
      <c r="D7211" s="9" t="str">
        <f>IFERROR(__xludf.DUMMYFUNCTION("""COMPUTED_VALUE"""),"Completed")</f>
        <v>Completed</v>
      </c>
    </row>
    <row r="7212">
      <c r="A7212" s="9" t="str">
        <f>IFERROR(__xludf.DUMMYFUNCTION("""COMPUTED_VALUE"""),"G-REQ-07211")</f>
        <v>G-REQ-07211</v>
      </c>
      <c r="B7212" s="11">
        <f>IFERROR(__xludf.DUMMYFUNCTION("""COMPUTED_VALUE"""),46274.55605210937)</f>
        <v>46274.55605</v>
      </c>
      <c r="C7212" s="9">
        <f>IFERROR(__xludf.DUMMYFUNCTION("""COMPUTED_VALUE"""),27517.0)</f>
        <v>27517</v>
      </c>
      <c r="D7212" s="9" t="str">
        <f>IFERROR(__xludf.DUMMYFUNCTION("""COMPUTED_VALUE"""),"Completed")</f>
        <v>Completed</v>
      </c>
    </row>
    <row r="7213">
      <c r="A7213" s="9" t="str">
        <f>IFERROR(__xludf.DUMMYFUNCTION("""COMPUTED_VALUE"""),"G-REQ-07212")</f>
        <v>G-REQ-07212</v>
      </c>
      <c r="B7213" s="11">
        <f>IFERROR(__xludf.DUMMYFUNCTION("""COMPUTED_VALUE"""),46274.62028251033)</f>
        <v>46274.62028</v>
      </c>
      <c r="C7213" s="9">
        <f>IFERROR(__xludf.DUMMYFUNCTION("""COMPUTED_VALUE"""),27519.0)</f>
        <v>27519</v>
      </c>
      <c r="D7213" s="9" t="str">
        <f>IFERROR(__xludf.DUMMYFUNCTION("""COMPUTED_VALUE"""),"Rejected")</f>
        <v>Rejected</v>
      </c>
    </row>
    <row r="7214">
      <c r="A7214" s="9" t="str">
        <f>IFERROR(__xludf.DUMMYFUNCTION("""COMPUTED_VALUE"""),"G-REQ-07213")</f>
        <v>G-REQ-07213</v>
      </c>
      <c r="B7214" s="11">
        <f>IFERROR(__xludf.DUMMYFUNCTION("""COMPUTED_VALUE"""),46274.6984018002)</f>
        <v>46274.6984</v>
      </c>
      <c r="C7214" s="9">
        <f>IFERROR(__xludf.DUMMYFUNCTION("""COMPUTED_VALUE"""),27523.0)</f>
        <v>27523</v>
      </c>
      <c r="D7214" s="9" t="str">
        <f>IFERROR(__xludf.DUMMYFUNCTION("""COMPUTED_VALUE"""),"Completed")</f>
        <v>Completed</v>
      </c>
    </row>
    <row r="7215">
      <c r="A7215" s="9" t="str">
        <f>IFERROR(__xludf.DUMMYFUNCTION("""COMPUTED_VALUE"""),"G-REQ-07214")</f>
        <v>G-REQ-07214</v>
      </c>
      <c r="B7215" s="11">
        <f>IFERROR(__xludf.DUMMYFUNCTION("""COMPUTED_VALUE"""),46274.769576645616)</f>
        <v>46274.76958</v>
      </c>
      <c r="C7215" s="9">
        <f>IFERROR(__xludf.DUMMYFUNCTION("""COMPUTED_VALUE"""),27527.0)</f>
        <v>27527</v>
      </c>
      <c r="D7215" s="9" t="str">
        <f>IFERROR(__xludf.DUMMYFUNCTION("""COMPUTED_VALUE"""),"Completed")</f>
        <v>Completed</v>
      </c>
    </row>
    <row r="7216">
      <c r="A7216" s="9" t="str">
        <f>IFERROR(__xludf.DUMMYFUNCTION("""COMPUTED_VALUE"""),"G-REQ-07215")</f>
        <v>G-REQ-07215</v>
      </c>
      <c r="B7216" s="11">
        <f>IFERROR(__xludf.DUMMYFUNCTION("""COMPUTED_VALUE"""),46274.84075149103)</f>
        <v>46274.84075</v>
      </c>
      <c r="C7216" s="9">
        <f>IFERROR(__xludf.DUMMYFUNCTION("""COMPUTED_VALUE"""),27531.0)</f>
        <v>27531</v>
      </c>
      <c r="D7216" s="9" t="str">
        <f>IFERROR(__xludf.DUMMYFUNCTION("""COMPUTED_VALUE"""),"Completed")</f>
        <v>Completed</v>
      </c>
    </row>
    <row r="7217">
      <c r="A7217" s="9" t="str">
        <f>IFERROR(__xludf.DUMMYFUNCTION("""COMPUTED_VALUE"""),"G-REQ-07216")</f>
        <v>G-REQ-07216</v>
      </c>
      <c r="B7217" s="11">
        <f>IFERROR(__xludf.DUMMYFUNCTION("""COMPUTED_VALUE"""),46274.904981891996)</f>
        <v>46274.90498</v>
      </c>
      <c r="C7217" s="9">
        <f>IFERROR(__xludf.DUMMYFUNCTION("""COMPUTED_VALUE"""),27533.0)</f>
        <v>27533</v>
      </c>
      <c r="D7217" s="9" t="str">
        <f>IFERROR(__xludf.DUMMYFUNCTION("""COMPUTED_VALUE"""),"Rejected")</f>
        <v>Rejected</v>
      </c>
    </row>
    <row r="7218">
      <c r="A7218" s="9" t="str">
        <f>IFERROR(__xludf.DUMMYFUNCTION("""COMPUTED_VALUE"""),"G-REQ-07217")</f>
        <v>G-REQ-07217</v>
      </c>
      <c r="B7218" s="11">
        <f>IFERROR(__xludf.DUMMYFUNCTION("""COMPUTED_VALUE"""),46274.98310118186)</f>
        <v>46274.9831</v>
      </c>
      <c r="C7218" s="9">
        <f>IFERROR(__xludf.DUMMYFUNCTION("""COMPUTED_VALUE"""),27537.0)</f>
        <v>27537</v>
      </c>
      <c r="D7218" s="9" t="str">
        <f>IFERROR(__xludf.DUMMYFUNCTION("""COMPUTED_VALUE"""),"Completed")</f>
        <v>Completed</v>
      </c>
    </row>
    <row r="7219">
      <c r="A7219" s="9" t="str">
        <f>IFERROR(__xludf.DUMMYFUNCTION("""COMPUTED_VALUE"""),"G-REQ-07218")</f>
        <v>G-REQ-07218</v>
      </c>
      <c r="B7219" s="11">
        <f>IFERROR(__xludf.DUMMYFUNCTION("""COMPUTED_VALUE"""),46275.04733158283)</f>
        <v>46275.04733</v>
      </c>
      <c r="C7219" s="9">
        <f>IFERROR(__xludf.DUMMYFUNCTION("""COMPUTED_VALUE"""),27539.0)</f>
        <v>27539</v>
      </c>
      <c r="D7219" s="9" t="str">
        <f>IFERROR(__xludf.DUMMYFUNCTION("""COMPUTED_VALUE"""),"Rejected")</f>
        <v>Rejected</v>
      </c>
    </row>
    <row r="7220">
      <c r="A7220" s="9" t="str">
        <f>IFERROR(__xludf.DUMMYFUNCTION("""COMPUTED_VALUE"""),"G-REQ-07219")</f>
        <v>G-REQ-07219</v>
      </c>
      <c r="B7220" s="11">
        <f>IFERROR(__xludf.DUMMYFUNCTION("""COMPUTED_VALUE"""),46275.11850642824)</f>
        <v>46275.11851</v>
      </c>
      <c r="C7220" s="9">
        <f>IFERROR(__xludf.DUMMYFUNCTION("""COMPUTED_VALUE"""),27541.0)</f>
        <v>27541</v>
      </c>
      <c r="D7220" s="9" t="str">
        <f>IFERROR(__xludf.DUMMYFUNCTION("""COMPUTED_VALUE"""),"Rejected")</f>
        <v>Rejected</v>
      </c>
    </row>
    <row r="7221">
      <c r="A7221" s="9" t="str">
        <f>IFERROR(__xludf.DUMMYFUNCTION("""COMPUTED_VALUE"""),"G-REQ-07220")</f>
        <v>G-REQ-07220</v>
      </c>
      <c r="B7221" s="11">
        <f>IFERROR(__xludf.DUMMYFUNCTION("""COMPUTED_VALUE"""),46275.196625718105)</f>
        <v>46275.19663</v>
      </c>
      <c r="C7221" s="9">
        <f>IFERROR(__xludf.DUMMYFUNCTION("""COMPUTED_VALUE"""),27545.0)</f>
        <v>27545</v>
      </c>
      <c r="D7221" s="9" t="str">
        <f>IFERROR(__xludf.DUMMYFUNCTION("""COMPUTED_VALUE"""),"Completed")</f>
        <v>Completed</v>
      </c>
    </row>
    <row r="7222">
      <c r="A7222" s="9" t="str">
        <f>IFERROR(__xludf.DUMMYFUNCTION("""COMPUTED_VALUE"""),"G-REQ-07221")</f>
        <v>G-REQ-07221</v>
      </c>
      <c r="B7222" s="11">
        <f>IFERROR(__xludf.DUMMYFUNCTION("""COMPUTED_VALUE"""),46275.26780056352)</f>
        <v>46275.2678</v>
      </c>
      <c r="C7222" s="9">
        <f>IFERROR(__xludf.DUMMYFUNCTION("""COMPUTED_VALUE"""),27549.0)</f>
        <v>27549</v>
      </c>
      <c r="D7222" s="9" t="str">
        <f>IFERROR(__xludf.DUMMYFUNCTION("""COMPUTED_VALUE"""),"Completed")</f>
        <v>Completed</v>
      </c>
    </row>
    <row r="7223">
      <c r="A7223" s="9" t="str">
        <f>IFERROR(__xludf.DUMMYFUNCTION("""COMPUTED_VALUE"""),"G-REQ-07222")</f>
        <v>G-REQ-07222</v>
      </c>
      <c r="B7223" s="11">
        <f>IFERROR(__xludf.DUMMYFUNCTION("""COMPUTED_VALUE"""),46275.33897540893)</f>
        <v>46275.33898</v>
      </c>
      <c r="C7223" s="9">
        <f>IFERROR(__xludf.DUMMYFUNCTION("""COMPUTED_VALUE"""),27553.0)</f>
        <v>27553</v>
      </c>
      <c r="D7223" s="9" t="str">
        <f>IFERROR(__xludf.DUMMYFUNCTION("""COMPUTED_VALUE"""),"Completed")</f>
        <v>Completed</v>
      </c>
    </row>
    <row r="7224">
      <c r="A7224" s="9" t="str">
        <f>IFERROR(__xludf.DUMMYFUNCTION("""COMPUTED_VALUE"""),"G-REQ-07223")</f>
        <v>G-REQ-07223</v>
      </c>
      <c r="B7224" s="11">
        <f>IFERROR(__xludf.DUMMYFUNCTION("""COMPUTED_VALUE"""),46275.41015025435)</f>
        <v>46275.41015</v>
      </c>
      <c r="C7224" s="9">
        <f>IFERROR(__xludf.DUMMYFUNCTION("""COMPUTED_VALUE"""),27557.0)</f>
        <v>27557</v>
      </c>
      <c r="D7224" s="9" t="str">
        <f>IFERROR(__xludf.DUMMYFUNCTION("""COMPUTED_VALUE"""),"Completed")</f>
        <v>Completed</v>
      </c>
    </row>
    <row r="7225">
      <c r="A7225" s="9" t="str">
        <f>IFERROR(__xludf.DUMMYFUNCTION("""COMPUTED_VALUE"""),"G-REQ-07224")</f>
        <v>G-REQ-07224</v>
      </c>
      <c r="B7225" s="11">
        <f>IFERROR(__xludf.DUMMYFUNCTION("""COMPUTED_VALUE"""),46275.48132509976)</f>
        <v>46275.48133</v>
      </c>
      <c r="C7225" s="9">
        <f>IFERROR(__xludf.DUMMYFUNCTION("""COMPUTED_VALUE"""),27561.0)</f>
        <v>27561</v>
      </c>
      <c r="D7225" s="9" t="str">
        <f>IFERROR(__xludf.DUMMYFUNCTION("""COMPUTED_VALUE"""),"Completed")</f>
        <v>Completed</v>
      </c>
    </row>
    <row r="7226">
      <c r="A7226" s="9" t="str">
        <f>IFERROR(__xludf.DUMMYFUNCTION("""COMPUTED_VALUE"""),"G-REQ-07225")</f>
        <v>G-REQ-07225</v>
      </c>
      <c r="B7226" s="11">
        <f>IFERROR(__xludf.DUMMYFUNCTION("""COMPUTED_VALUE"""),46275.55249994517)</f>
        <v>46275.5525</v>
      </c>
      <c r="C7226" s="9">
        <f>IFERROR(__xludf.DUMMYFUNCTION("""COMPUTED_VALUE"""),27565.0)</f>
        <v>27565</v>
      </c>
      <c r="D7226" s="9" t="str">
        <f>IFERROR(__xludf.DUMMYFUNCTION("""COMPUTED_VALUE"""),"Completed")</f>
        <v>Completed</v>
      </c>
    </row>
    <row r="7227">
      <c r="A7227" s="9" t="str">
        <f>IFERROR(__xludf.DUMMYFUNCTION("""COMPUTED_VALUE"""),"G-REQ-07226")</f>
        <v>G-REQ-07226</v>
      </c>
      <c r="B7227" s="11">
        <f>IFERROR(__xludf.DUMMYFUNCTION("""COMPUTED_VALUE"""),46275.61673034615)</f>
        <v>46275.61673</v>
      </c>
      <c r="C7227" s="9">
        <f>IFERROR(__xludf.DUMMYFUNCTION("""COMPUTED_VALUE"""),27567.0)</f>
        <v>27567</v>
      </c>
      <c r="D7227" s="9" t="str">
        <f>IFERROR(__xludf.DUMMYFUNCTION("""COMPUTED_VALUE"""),"Cancelled")</f>
        <v>Cancelled</v>
      </c>
    </row>
    <row r="7228">
      <c r="A7228" s="9" t="str">
        <f>IFERROR(__xludf.DUMMYFUNCTION("""COMPUTED_VALUE"""),"G-REQ-07227")</f>
        <v>G-REQ-07227</v>
      </c>
      <c r="B7228" s="11">
        <f>IFERROR(__xludf.DUMMYFUNCTION("""COMPUTED_VALUE"""),46275.69484963601)</f>
        <v>46275.69485</v>
      </c>
      <c r="C7228" s="9">
        <f>IFERROR(__xludf.DUMMYFUNCTION("""COMPUTED_VALUE"""),27571.0)</f>
        <v>27571</v>
      </c>
      <c r="D7228" s="9" t="str">
        <f>IFERROR(__xludf.DUMMYFUNCTION("""COMPUTED_VALUE"""),"Completed")</f>
        <v>Completed</v>
      </c>
    </row>
    <row r="7229">
      <c r="A7229" s="9" t="str">
        <f>IFERROR(__xludf.DUMMYFUNCTION("""COMPUTED_VALUE"""),"G-REQ-07228")</f>
        <v>G-REQ-07228</v>
      </c>
      <c r="B7229" s="11">
        <f>IFERROR(__xludf.DUMMYFUNCTION("""COMPUTED_VALUE"""),46275.76602448142)</f>
        <v>46275.76602</v>
      </c>
      <c r="C7229" s="9">
        <f>IFERROR(__xludf.DUMMYFUNCTION("""COMPUTED_VALUE"""),27575.0)</f>
        <v>27575</v>
      </c>
      <c r="D7229" s="9" t="str">
        <f>IFERROR(__xludf.DUMMYFUNCTION("""COMPUTED_VALUE"""),"Completed")</f>
        <v>Completed</v>
      </c>
    </row>
    <row r="7230">
      <c r="A7230" s="9" t="str">
        <f>IFERROR(__xludf.DUMMYFUNCTION("""COMPUTED_VALUE"""),"G-REQ-07229")</f>
        <v>G-REQ-07229</v>
      </c>
      <c r="B7230" s="11">
        <f>IFERROR(__xludf.DUMMYFUNCTION("""COMPUTED_VALUE"""),46275.83719932684)</f>
        <v>46275.8372</v>
      </c>
      <c r="C7230" s="9">
        <f>IFERROR(__xludf.DUMMYFUNCTION("""COMPUTED_VALUE"""),27579.0)</f>
        <v>27579</v>
      </c>
      <c r="D7230" s="9" t="str">
        <f>IFERROR(__xludf.DUMMYFUNCTION("""COMPUTED_VALUE"""),"Completed")</f>
        <v>Completed</v>
      </c>
    </row>
    <row r="7231">
      <c r="A7231" s="9" t="str">
        <f>IFERROR(__xludf.DUMMYFUNCTION("""COMPUTED_VALUE"""),"G-REQ-07230")</f>
        <v>G-REQ-07230</v>
      </c>
      <c r="B7231" s="11">
        <f>IFERROR(__xludf.DUMMYFUNCTION("""COMPUTED_VALUE"""),46275.90142972781)</f>
        <v>46275.90143</v>
      </c>
      <c r="C7231" s="9">
        <f>IFERROR(__xludf.DUMMYFUNCTION("""COMPUTED_VALUE"""),27581.0)</f>
        <v>27581</v>
      </c>
      <c r="D7231" s="9" t="str">
        <f>IFERROR(__xludf.DUMMYFUNCTION("""COMPUTED_VALUE"""),"Cancelled")</f>
        <v>Cancelled</v>
      </c>
    </row>
    <row r="7232">
      <c r="A7232" s="9" t="str">
        <f>IFERROR(__xludf.DUMMYFUNCTION("""COMPUTED_VALUE"""),"G-REQ-07231")</f>
        <v>G-REQ-07231</v>
      </c>
      <c r="B7232" s="11">
        <f>IFERROR(__xludf.DUMMYFUNCTION("""COMPUTED_VALUE"""),46275.97954901767)</f>
        <v>46275.97955</v>
      </c>
      <c r="C7232" s="9">
        <f>IFERROR(__xludf.DUMMYFUNCTION("""COMPUTED_VALUE"""),27585.0)</f>
        <v>27585</v>
      </c>
      <c r="D7232" s="9" t="str">
        <f>IFERROR(__xludf.DUMMYFUNCTION("""COMPUTED_VALUE"""),"Completed")</f>
        <v>Completed</v>
      </c>
    </row>
    <row r="7233">
      <c r="A7233" s="9" t="str">
        <f>IFERROR(__xludf.DUMMYFUNCTION("""COMPUTED_VALUE"""),"G-REQ-07232")</f>
        <v>G-REQ-07232</v>
      </c>
      <c r="B7233" s="11">
        <f>IFERROR(__xludf.DUMMYFUNCTION("""COMPUTED_VALUE"""),46276.05072386308)</f>
        <v>46276.05072</v>
      </c>
      <c r="C7233" s="9">
        <f>IFERROR(__xludf.DUMMYFUNCTION("""COMPUTED_VALUE"""),27589.0)</f>
        <v>27589</v>
      </c>
      <c r="D7233" s="9" t="str">
        <f>IFERROR(__xludf.DUMMYFUNCTION("""COMPUTED_VALUE"""),"Completed")</f>
        <v>Completed</v>
      </c>
    </row>
    <row r="7234">
      <c r="A7234" s="9" t="str">
        <f>IFERROR(__xludf.DUMMYFUNCTION("""COMPUTED_VALUE"""),"G-REQ-07233")</f>
        <v>G-REQ-07233</v>
      </c>
      <c r="B7234" s="11">
        <f>IFERROR(__xludf.DUMMYFUNCTION("""COMPUTED_VALUE"""),46276.1218987085)</f>
        <v>46276.1219</v>
      </c>
      <c r="C7234" s="9">
        <f>IFERROR(__xludf.DUMMYFUNCTION("""COMPUTED_VALUE"""),27593.0)</f>
        <v>27593</v>
      </c>
      <c r="D7234" s="9" t="str">
        <f>IFERROR(__xludf.DUMMYFUNCTION("""COMPUTED_VALUE"""),"Completed")</f>
        <v>Completed</v>
      </c>
    </row>
    <row r="7235">
      <c r="A7235" s="9" t="str">
        <f>IFERROR(__xludf.DUMMYFUNCTION("""COMPUTED_VALUE"""),"G-REQ-07234")</f>
        <v>G-REQ-07234</v>
      </c>
      <c r="B7235" s="11">
        <f>IFERROR(__xludf.DUMMYFUNCTION("""COMPUTED_VALUE"""),46276.18612910947)</f>
        <v>46276.18613</v>
      </c>
      <c r="C7235" s="9">
        <f>IFERROR(__xludf.DUMMYFUNCTION("""COMPUTED_VALUE"""),27595.0)</f>
        <v>27595</v>
      </c>
      <c r="D7235" s="9" t="str">
        <f>IFERROR(__xludf.DUMMYFUNCTION("""COMPUTED_VALUE"""),"Rejected")</f>
        <v>Rejected</v>
      </c>
    </row>
    <row r="7236">
      <c r="A7236" s="9" t="str">
        <f>IFERROR(__xludf.DUMMYFUNCTION("""COMPUTED_VALUE"""),"G-REQ-07235")</f>
        <v>G-REQ-07235</v>
      </c>
      <c r="B7236" s="11">
        <f>IFERROR(__xludf.DUMMYFUNCTION("""COMPUTED_VALUE"""),46276.264248399326)</f>
        <v>46276.26425</v>
      </c>
      <c r="C7236" s="9">
        <f>IFERROR(__xludf.DUMMYFUNCTION("""COMPUTED_VALUE"""),27599.0)</f>
        <v>27599</v>
      </c>
      <c r="D7236" s="9" t="str">
        <f>IFERROR(__xludf.DUMMYFUNCTION("""COMPUTED_VALUE"""),"Completed")</f>
        <v>Completed</v>
      </c>
    </row>
    <row r="7237">
      <c r="A7237" s="9" t="str">
        <f>IFERROR(__xludf.DUMMYFUNCTION("""COMPUTED_VALUE"""),"G-REQ-07236")</f>
        <v>G-REQ-07236</v>
      </c>
      <c r="B7237" s="11">
        <f>IFERROR(__xludf.DUMMYFUNCTION("""COMPUTED_VALUE"""),46276.335423244745)</f>
        <v>46276.33542</v>
      </c>
      <c r="C7237" s="9">
        <f>IFERROR(__xludf.DUMMYFUNCTION("""COMPUTED_VALUE"""),27603.0)</f>
        <v>27603</v>
      </c>
      <c r="D7237" s="9" t="str">
        <f>IFERROR(__xludf.DUMMYFUNCTION("""COMPUTED_VALUE"""),"Completed")</f>
        <v>Completed</v>
      </c>
    </row>
    <row r="7238">
      <c r="A7238" s="9" t="str">
        <f>IFERROR(__xludf.DUMMYFUNCTION("""COMPUTED_VALUE"""),"G-REQ-07237")</f>
        <v>G-REQ-07237</v>
      </c>
      <c r="B7238" s="11">
        <f>IFERROR(__xludf.DUMMYFUNCTION("""COMPUTED_VALUE"""),46276.406598090165)</f>
        <v>46276.4066</v>
      </c>
      <c r="C7238" s="9">
        <f>IFERROR(__xludf.DUMMYFUNCTION("""COMPUTED_VALUE"""),27607.0)</f>
        <v>27607</v>
      </c>
      <c r="D7238" s="9" t="str">
        <f>IFERROR(__xludf.DUMMYFUNCTION("""COMPUTED_VALUE"""),"Completed")</f>
        <v>Completed</v>
      </c>
    </row>
    <row r="7239">
      <c r="A7239" s="9" t="str">
        <f>IFERROR(__xludf.DUMMYFUNCTION("""COMPUTED_VALUE"""),"G-REQ-07238")</f>
        <v>G-REQ-07238</v>
      </c>
      <c r="B7239" s="11">
        <f>IFERROR(__xludf.DUMMYFUNCTION("""COMPUTED_VALUE"""),46276.47777293557)</f>
        <v>46276.47777</v>
      </c>
      <c r="C7239" s="9">
        <f>IFERROR(__xludf.DUMMYFUNCTION("""COMPUTED_VALUE"""),27611.0)</f>
        <v>27611</v>
      </c>
      <c r="D7239" s="9" t="str">
        <f>IFERROR(__xludf.DUMMYFUNCTION("""COMPUTED_VALUE"""),"Completed")</f>
        <v>Completed</v>
      </c>
    </row>
    <row r="7240">
      <c r="A7240" s="9" t="str">
        <f>IFERROR(__xludf.DUMMYFUNCTION("""COMPUTED_VALUE"""),"G-REQ-07239")</f>
        <v>G-REQ-07239</v>
      </c>
      <c r="B7240" s="11">
        <f>IFERROR(__xludf.DUMMYFUNCTION("""COMPUTED_VALUE"""),46276.54894778099)</f>
        <v>46276.54895</v>
      </c>
      <c r="C7240" s="9">
        <f>IFERROR(__xludf.DUMMYFUNCTION("""COMPUTED_VALUE"""),27615.0)</f>
        <v>27615</v>
      </c>
      <c r="D7240" s="9" t="str">
        <f>IFERROR(__xludf.DUMMYFUNCTION("""COMPUTED_VALUE"""),"Completed")</f>
        <v>Completed</v>
      </c>
    </row>
    <row r="7241">
      <c r="A7241" s="9" t="str">
        <f>IFERROR(__xludf.DUMMYFUNCTION("""COMPUTED_VALUE"""),"G-REQ-07240")</f>
        <v>G-REQ-07240</v>
      </c>
      <c r="B7241" s="11">
        <f>IFERROR(__xludf.DUMMYFUNCTION("""COMPUTED_VALUE"""),46276.6201226264)</f>
        <v>46276.62012</v>
      </c>
      <c r="C7241" s="9">
        <f>IFERROR(__xludf.DUMMYFUNCTION("""COMPUTED_VALUE"""),27619.0)</f>
        <v>27619</v>
      </c>
      <c r="D7241" s="9" t="str">
        <f>IFERROR(__xludf.DUMMYFUNCTION("""COMPUTED_VALUE"""),"Completed")</f>
        <v>Completed</v>
      </c>
    </row>
    <row r="7242">
      <c r="A7242" s="9" t="str">
        <f>IFERROR(__xludf.DUMMYFUNCTION("""COMPUTED_VALUE"""),"G-REQ-07241")</f>
        <v>G-REQ-07241</v>
      </c>
      <c r="B7242" s="11">
        <f>IFERROR(__xludf.DUMMYFUNCTION("""COMPUTED_VALUE"""),46276.69129747182)</f>
        <v>46276.6913</v>
      </c>
      <c r="C7242" s="9">
        <f>IFERROR(__xludf.DUMMYFUNCTION("""COMPUTED_VALUE"""),27623.0)</f>
        <v>27623</v>
      </c>
      <c r="D7242" s="9" t="str">
        <f>IFERROR(__xludf.DUMMYFUNCTION("""COMPUTED_VALUE"""),"Completed")</f>
        <v>Completed</v>
      </c>
    </row>
    <row r="7243">
      <c r="A7243" s="9" t="str">
        <f>IFERROR(__xludf.DUMMYFUNCTION("""COMPUTED_VALUE"""),"G-REQ-07242")</f>
        <v>G-REQ-07242</v>
      </c>
      <c r="B7243" s="11">
        <f>IFERROR(__xludf.DUMMYFUNCTION("""COMPUTED_VALUE"""),46276.762472317234)</f>
        <v>46276.76247</v>
      </c>
      <c r="C7243" s="9">
        <f>IFERROR(__xludf.DUMMYFUNCTION("""COMPUTED_VALUE"""),27627.0)</f>
        <v>27627</v>
      </c>
      <c r="D7243" s="9" t="str">
        <f>IFERROR(__xludf.DUMMYFUNCTION("""COMPUTED_VALUE"""),"Completed")</f>
        <v>Completed</v>
      </c>
    </row>
    <row r="7244">
      <c r="A7244" s="9" t="str">
        <f>IFERROR(__xludf.DUMMYFUNCTION("""COMPUTED_VALUE"""),"G-REQ-07243")</f>
        <v>G-REQ-07243</v>
      </c>
      <c r="B7244" s="11">
        <f>IFERROR(__xludf.DUMMYFUNCTION("""COMPUTED_VALUE"""),46276.83364716265)</f>
        <v>46276.83365</v>
      </c>
      <c r="C7244" s="9">
        <f>IFERROR(__xludf.DUMMYFUNCTION("""COMPUTED_VALUE"""),27631.0)</f>
        <v>27631</v>
      </c>
      <c r="D7244" s="9" t="str">
        <f>IFERROR(__xludf.DUMMYFUNCTION("""COMPUTED_VALUE"""),"Completed")</f>
        <v>Completed</v>
      </c>
    </row>
    <row r="7245">
      <c r="A7245" s="9" t="str">
        <f>IFERROR(__xludf.DUMMYFUNCTION("""COMPUTED_VALUE"""),"G-REQ-07244")</f>
        <v>G-REQ-07244</v>
      </c>
      <c r="B7245" s="11">
        <f>IFERROR(__xludf.DUMMYFUNCTION("""COMPUTED_VALUE"""),46276.90482200806)</f>
        <v>46276.90482</v>
      </c>
      <c r="C7245" s="9">
        <f>IFERROR(__xludf.DUMMYFUNCTION("""COMPUTED_VALUE"""),27635.0)</f>
        <v>27635</v>
      </c>
      <c r="D7245" s="9" t="str">
        <f>IFERROR(__xludf.DUMMYFUNCTION("""COMPUTED_VALUE"""),"Completed")</f>
        <v>Completed</v>
      </c>
    </row>
    <row r="7246">
      <c r="A7246" s="9" t="str">
        <f>IFERROR(__xludf.DUMMYFUNCTION("""COMPUTED_VALUE"""),"G-REQ-07245")</f>
        <v>G-REQ-07245</v>
      </c>
      <c r="B7246" s="11">
        <f>IFERROR(__xludf.DUMMYFUNCTION("""COMPUTED_VALUE"""),46276.97599685348)</f>
        <v>46276.976</v>
      </c>
      <c r="C7246" s="9">
        <f>IFERROR(__xludf.DUMMYFUNCTION("""COMPUTED_VALUE"""),27639.0)</f>
        <v>27639</v>
      </c>
      <c r="D7246" s="9" t="str">
        <f>IFERROR(__xludf.DUMMYFUNCTION("""COMPUTED_VALUE"""),"Completed")</f>
        <v>Completed</v>
      </c>
    </row>
    <row r="7247">
      <c r="A7247" s="9" t="str">
        <f>IFERROR(__xludf.DUMMYFUNCTION("""COMPUTED_VALUE"""),"G-REQ-07246")</f>
        <v>G-REQ-07246</v>
      </c>
      <c r="B7247" s="11">
        <f>IFERROR(__xludf.DUMMYFUNCTION("""COMPUTED_VALUE"""),46277.0471716989)</f>
        <v>46277.04717</v>
      </c>
      <c r="C7247" s="9">
        <f>IFERROR(__xludf.DUMMYFUNCTION("""COMPUTED_VALUE"""),27643.0)</f>
        <v>27643</v>
      </c>
      <c r="D7247" s="9" t="str">
        <f>IFERROR(__xludf.DUMMYFUNCTION("""COMPUTED_VALUE"""),"Completed")</f>
        <v>Completed</v>
      </c>
    </row>
    <row r="7248">
      <c r="A7248" s="9" t="str">
        <f>IFERROR(__xludf.DUMMYFUNCTION("""COMPUTED_VALUE"""),"G-REQ-07247")</f>
        <v>G-REQ-07247</v>
      </c>
      <c r="B7248" s="11">
        <f>IFERROR(__xludf.DUMMYFUNCTION("""COMPUTED_VALUE"""),46277.11834654431)</f>
        <v>46277.11835</v>
      </c>
      <c r="C7248" s="9">
        <f>IFERROR(__xludf.DUMMYFUNCTION("""COMPUTED_VALUE"""),27647.0)</f>
        <v>27647</v>
      </c>
      <c r="D7248" s="9" t="str">
        <f>IFERROR(__xludf.DUMMYFUNCTION("""COMPUTED_VALUE"""),"Completed")</f>
        <v>Completed</v>
      </c>
    </row>
    <row r="7249">
      <c r="A7249" s="9" t="str">
        <f>IFERROR(__xludf.DUMMYFUNCTION("""COMPUTED_VALUE"""),"G-REQ-07248")</f>
        <v>G-REQ-07248</v>
      </c>
      <c r="B7249" s="11">
        <f>IFERROR(__xludf.DUMMYFUNCTION("""COMPUTED_VALUE"""),46277.18952138972)</f>
        <v>46277.18952</v>
      </c>
      <c r="C7249" s="9">
        <f>IFERROR(__xludf.DUMMYFUNCTION("""COMPUTED_VALUE"""),27651.0)</f>
        <v>27651</v>
      </c>
      <c r="D7249" s="9" t="str">
        <f>IFERROR(__xludf.DUMMYFUNCTION("""COMPUTED_VALUE"""),"Completed")</f>
        <v>Completed</v>
      </c>
    </row>
    <row r="7250">
      <c r="A7250" s="9" t="str">
        <f>IFERROR(__xludf.DUMMYFUNCTION("""COMPUTED_VALUE"""),"G-REQ-07249")</f>
        <v>G-REQ-07249</v>
      </c>
      <c r="B7250" s="11">
        <f>IFERROR(__xludf.DUMMYFUNCTION("""COMPUTED_VALUE"""),46277.26069623514)</f>
        <v>46277.2607</v>
      </c>
      <c r="C7250" s="9">
        <f>IFERROR(__xludf.DUMMYFUNCTION("""COMPUTED_VALUE"""),27655.0)</f>
        <v>27655</v>
      </c>
      <c r="D7250" s="9" t="str">
        <f>IFERROR(__xludf.DUMMYFUNCTION("""COMPUTED_VALUE"""),"Completed")</f>
        <v>Completed</v>
      </c>
    </row>
    <row r="7251">
      <c r="A7251" s="9" t="str">
        <f>IFERROR(__xludf.DUMMYFUNCTION("""COMPUTED_VALUE"""),"G-REQ-07250")</f>
        <v>G-REQ-07250</v>
      </c>
      <c r="B7251" s="11">
        <f>IFERROR(__xludf.DUMMYFUNCTION("""COMPUTED_VALUE"""),46277.331871080554)</f>
        <v>46277.33187</v>
      </c>
      <c r="C7251" s="9">
        <f>IFERROR(__xludf.DUMMYFUNCTION("""COMPUTED_VALUE"""),27659.0)</f>
        <v>27659</v>
      </c>
      <c r="D7251" s="9" t="str">
        <f>IFERROR(__xludf.DUMMYFUNCTION("""COMPUTED_VALUE"""),"Completed")</f>
        <v>Completed</v>
      </c>
    </row>
    <row r="7252">
      <c r="A7252" s="9" t="str">
        <f>IFERROR(__xludf.DUMMYFUNCTION("""COMPUTED_VALUE"""),"G-REQ-07251")</f>
        <v>G-REQ-07251</v>
      </c>
      <c r="B7252" s="11">
        <f>IFERROR(__xludf.DUMMYFUNCTION("""COMPUTED_VALUE"""),46277.40304592597)</f>
        <v>46277.40305</v>
      </c>
      <c r="C7252" s="9">
        <f>IFERROR(__xludf.DUMMYFUNCTION("""COMPUTED_VALUE"""),27663.0)</f>
        <v>27663</v>
      </c>
      <c r="D7252" s="9" t="str">
        <f>IFERROR(__xludf.DUMMYFUNCTION("""COMPUTED_VALUE"""),"Completed")</f>
        <v>Completed</v>
      </c>
    </row>
    <row r="7253">
      <c r="A7253" s="9" t="str">
        <f>IFERROR(__xludf.DUMMYFUNCTION("""COMPUTED_VALUE"""),"G-REQ-07252")</f>
        <v>G-REQ-07252</v>
      </c>
      <c r="B7253" s="11">
        <f>IFERROR(__xludf.DUMMYFUNCTION("""COMPUTED_VALUE"""),46277.474220771386)</f>
        <v>46277.47422</v>
      </c>
      <c r="C7253" s="9">
        <f>IFERROR(__xludf.DUMMYFUNCTION("""COMPUTED_VALUE"""),27667.0)</f>
        <v>27667</v>
      </c>
      <c r="D7253" s="9" t="str">
        <f>IFERROR(__xludf.DUMMYFUNCTION("""COMPUTED_VALUE"""),"Completed")</f>
        <v>Completed</v>
      </c>
    </row>
    <row r="7254">
      <c r="A7254" s="9" t="str">
        <f>IFERROR(__xludf.DUMMYFUNCTION("""COMPUTED_VALUE"""),"G-REQ-07253")</f>
        <v>G-REQ-07253</v>
      </c>
      <c r="B7254" s="11">
        <f>IFERROR(__xludf.DUMMYFUNCTION("""COMPUTED_VALUE"""),46277.545395616806)</f>
        <v>46277.5454</v>
      </c>
      <c r="C7254" s="9">
        <f>IFERROR(__xludf.DUMMYFUNCTION("""COMPUTED_VALUE"""),27671.0)</f>
        <v>27671</v>
      </c>
      <c r="D7254" s="9" t="str">
        <f>IFERROR(__xludf.DUMMYFUNCTION("""COMPUTED_VALUE"""),"Completed")</f>
        <v>Completed</v>
      </c>
    </row>
    <row r="7255">
      <c r="A7255" s="9" t="str">
        <f>IFERROR(__xludf.DUMMYFUNCTION("""COMPUTED_VALUE"""),"G-REQ-07254")</f>
        <v>G-REQ-07254</v>
      </c>
      <c r="B7255" s="11">
        <f>IFERROR(__xludf.DUMMYFUNCTION("""COMPUTED_VALUE"""),46277.61657046221)</f>
        <v>46277.61657</v>
      </c>
      <c r="C7255" s="9">
        <f>IFERROR(__xludf.DUMMYFUNCTION("""COMPUTED_VALUE"""),27675.0)</f>
        <v>27675</v>
      </c>
      <c r="D7255" s="9" t="str">
        <f>IFERROR(__xludf.DUMMYFUNCTION("""COMPUTED_VALUE"""),"Completed")</f>
        <v>Completed</v>
      </c>
    </row>
    <row r="7256">
      <c r="A7256" s="9" t="str">
        <f>IFERROR(__xludf.DUMMYFUNCTION("""COMPUTED_VALUE"""),"G-REQ-07255")</f>
        <v>G-REQ-07255</v>
      </c>
      <c r="B7256" s="11">
        <f>IFERROR(__xludf.DUMMYFUNCTION("""COMPUTED_VALUE"""),46277.68774530763)</f>
        <v>46277.68775</v>
      </c>
      <c r="C7256" s="9">
        <f>IFERROR(__xludf.DUMMYFUNCTION("""COMPUTED_VALUE"""),27679.0)</f>
        <v>27679</v>
      </c>
      <c r="D7256" s="9" t="str">
        <f>IFERROR(__xludf.DUMMYFUNCTION("""COMPUTED_VALUE"""),"Completed")</f>
        <v>Completed</v>
      </c>
    </row>
    <row r="7257">
      <c r="A7257" s="9" t="str">
        <f>IFERROR(__xludf.DUMMYFUNCTION("""COMPUTED_VALUE"""),"G-REQ-07256")</f>
        <v>G-REQ-07256</v>
      </c>
      <c r="B7257" s="11">
        <f>IFERROR(__xludf.DUMMYFUNCTION("""COMPUTED_VALUE"""),46277.75892015305)</f>
        <v>46277.75892</v>
      </c>
      <c r="C7257" s="9">
        <f>IFERROR(__xludf.DUMMYFUNCTION("""COMPUTED_VALUE"""),27683.0)</f>
        <v>27683</v>
      </c>
      <c r="D7257" s="9" t="str">
        <f>IFERROR(__xludf.DUMMYFUNCTION("""COMPUTED_VALUE"""),"Completed")</f>
        <v>Completed</v>
      </c>
    </row>
    <row r="7258">
      <c r="A7258" s="9" t="str">
        <f>IFERROR(__xludf.DUMMYFUNCTION("""COMPUTED_VALUE"""),"G-REQ-07257")</f>
        <v>G-REQ-07257</v>
      </c>
      <c r="B7258" s="11">
        <f>IFERROR(__xludf.DUMMYFUNCTION("""COMPUTED_VALUE"""),46277.83009499846)</f>
        <v>46277.83009</v>
      </c>
      <c r="C7258" s="9">
        <f>IFERROR(__xludf.DUMMYFUNCTION("""COMPUTED_VALUE"""),27687.0)</f>
        <v>27687</v>
      </c>
      <c r="D7258" s="9" t="str">
        <f>IFERROR(__xludf.DUMMYFUNCTION("""COMPUTED_VALUE"""),"Completed")</f>
        <v>Completed</v>
      </c>
    </row>
    <row r="7259">
      <c r="A7259" s="9" t="str">
        <f>IFERROR(__xludf.DUMMYFUNCTION("""COMPUTED_VALUE"""),"G-REQ-07258")</f>
        <v>G-REQ-07258</v>
      </c>
      <c r="B7259" s="11">
        <f>IFERROR(__xludf.DUMMYFUNCTION("""COMPUTED_VALUE"""),46277.901269843875)</f>
        <v>46277.90127</v>
      </c>
      <c r="C7259" s="9">
        <f>IFERROR(__xludf.DUMMYFUNCTION("""COMPUTED_VALUE"""),27691.0)</f>
        <v>27691</v>
      </c>
      <c r="D7259" s="9" t="str">
        <f>IFERROR(__xludf.DUMMYFUNCTION("""COMPUTED_VALUE"""),"Completed")</f>
        <v>Completed</v>
      </c>
    </row>
    <row r="7260">
      <c r="A7260" s="9" t="str">
        <f>IFERROR(__xludf.DUMMYFUNCTION("""COMPUTED_VALUE"""),"G-REQ-07259")</f>
        <v>G-REQ-07259</v>
      </c>
      <c r="B7260" s="11">
        <f>IFERROR(__xludf.DUMMYFUNCTION("""COMPUTED_VALUE"""),46277.972444689294)</f>
        <v>46277.97244</v>
      </c>
      <c r="C7260" s="9">
        <f>IFERROR(__xludf.DUMMYFUNCTION("""COMPUTED_VALUE"""),27695.0)</f>
        <v>27695</v>
      </c>
      <c r="D7260" s="9" t="str">
        <f>IFERROR(__xludf.DUMMYFUNCTION("""COMPUTED_VALUE"""),"Completed")</f>
        <v>Completed</v>
      </c>
    </row>
    <row r="7261">
      <c r="A7261" s="9" t="str">
        <f>IFERROR(__xludf.DUMMYFUNCTION("""COMPUTED_VALUE"""),"G-REQ-07260")</f>
        <v>G-REQ-07260</v>
      </c>
      <c r="B7261" s="11">
        <f>IFERROR(__xludf.DUMMYFUNCTION("""COMPUTED_VALUE"""),46278.04361953471)</f>
        <v>46278.04362</v>
      </c>
      <c r="C7261" s="9">
        <f>IFERROR(__xludf.DUMMYFUNCTION("""COMPUTED_VALUE"""),27699.0)</f>
        <v>27699</v>
      </c>
      <c r="D7261" s="9" t="str">
        <f>IFERROR(__xludf.DUMMYFUNCTION("""COMPUTED_VALUE"""),"Completed")</f>
        <v>Completed</v>
      </c>
    </row>
    <row r="7262">
      <c r="A7262" s="9" t="str">
        <f>IFERROR(__xludf.DUMMYFUNCTION("""COMPUTED_VALUE"""),"G-REQ-07261")</f>
        <v>G-REQ-07261</v>
      </c>
      <c r="B7262" s="11">
        <f>IFERROR(__xludf.DUMMYFUNCTION("""COMPUTED_VALUE"""),46278.11479438012)</f>
        <v>46278.11479</v>
      </c>
      <c r="C7262" s="9">
        <f>IFERROR(__xludf.DUMMYFUNCTION("""COMPUTED_VALUE"""),27703.0)</f>
        <v>27703</v>
      </c>
      <c r="D7262" s="9" t="str">
        <f>IFERROR(__xludf.DUMMYFUNCTION("""COMPUTED_VALUE"""),"Completed")</f>
        <v>Completed</v>
      </c>
    </row>
    <row r="7263">
      <c r="A7263" s="9" t="str">
        <f>IFERROR(__xludf.DUMMYFUNCTION("""COMPUTED_VALUE"""),"G-REQ-07262")</f>
        <v>G-REQ-07262</v>
      </c>
      <c r="B7263" s="11">
        <f>IFERROR(__xludf.DUMMYFUNCTION("""COMPUTED_VALUE"""),46278.18596922554)</f>
        <v>46278.18597</v>
      </c>
      <c r="C7263" s="9">
        <f>IFERROR(__xludf.DUMMYFUNCTION("""COMPUTED_VALUE"""),27707.0)</f>
        <v>27707</v>
      </c>
      <c r="D7263" s="9" t="str">
        <f>IFERROR(__xludf.DUMMYFUNCTION("""COMPUTED_VALUE"""),"Completed")</f>
        <v>Completed</v>
      </c>
    </row>
    <row r="7264">
      <c r="A7264" s="9" t="str">
        <f>IFERROR(__xludf.DUMMYFUNCTION("""COMPUTED_VALUE"""),"G-REQ-07263")</f>
        <v>G-REQ-07263</v>
      </c>
      <c r="B7264" s="11">
        <f>IFERROR(__xludf.DUMMYFUNCTION("""COMPUTED_VALUE"""),46278.25714407095)</f>
        <v>46278.25714</v>
      </c>
      <c r="C7264" s="9">
        <f>IFERROR(__xludf.DUMMYFUNCTION("""COMPUTED_VALUE"""),27711.0)</f>
        <v>27711</v>
      </c>
      <c r="D7264" s="9" t="str">
        <f>IFERROR(__xludf.DUMMYFUNCTION("""COMPUTED_VALUE"""),"Completed")</f>
        <v>Completed</v>
      </c>
    </row>
    <row r="7265">
      <c r="A7265" s="9" t="str">
        <f>IFERROR(__xludf.DUMMYFUNCTION("""COMPUTED_VALUE"""),"G-REQ-07264")</f>
        <v>G-REQ-07264</v>
      </c>
      <c r="B7265" s="11">
        <f>IFERROR(__xludf.DUMMYFUNCTION("""COMPUTED_VALUE"""),46278.32831891636)</f>
        <v>46278.32832</v>
      </c>
      <c r="C7265" s="9">
        <f>IFERROR(__xludf.DUMMYFUNCTION("""COMPUTED_VALUE"""),27715.0)</f>
        <v>27715</v>
      </c>
      <c r="D7265" s="9" t="str">
        <f>IFERROR(__xludf.DUMMYFUNCTION("""COMPUTED_VALUE"""),"Completed")</f>
        <v>Completed</v>
      </c>
    </row>
    <row r="7266">
      <c r="A7266" s="9" t="str">
        <f>IFERROR(__xludf.DUMMYFUNCTION("""COMPUTED_VALUE"""),"G-REQ-07265")</f>
        <v>G-REQ-07265</v>
      </c>
      <c r="B7266" s="11">
        <f>IFERROR(__xludf.DUMMYFUNCTION("""COMPUTED_VALUE"""),46278.39949376178)</f>
        <v>46278.39949</v>
      </c>
      <c r="C7266" s="9">
        <f>IFERROR(__xludf.DUMMYFUNCTION("""COMPUTED_VALUE"""),27719.0)</f>
        <v>27719</v>
      </c>
      <c r="D7266" s="9" t="str">
        <f>IFERROR(__xludf.DUMMYFUNCTION("""COMPUTED_VALUE"""),"Completed")</f>
        <v>Completed</v>
      </c>
    </row>
    <row r="7267">
      <c r="A7267" s="9" t="str">
        <f>IFERROR(__xludf.DUMMYFUNCTION("""COMPUTED_VALUE"""),"G-REQ-07266")</f>
        <v>G-REQ-07266</v>
      </c>
      <c r="B7267" s="11">
        <f>IFERROR(__xludf.DUMMYFUNCTION("""COMPUTED_VALUE"""),46278.46372416275)</f>
        <v>46278.46372</v>
      </c>
      <c r="C7267" s="9">
        <f>IFERROR(__xludf.DUMMYFUNCTION("""COMPUTED_VALUE"""),27721.0)</f>
        <v>27721</v>
      </c>
      <c r="D7267" s="9" t="str">
        <f>IFERROR(__xludf.DUMMYFUNCTION("""COMPUTED_VALUE"""),"Cancelled")</f>
        <v>Cancelled</v>
      </c>
    </row>
    <row r="7268">
      <c r="A7268" s="9" t="str">
        <f>IFERROR(__xludf.DUMMYFUNCTION("""COMPUTED_VALUE"""),"G-REQ-07267")</f>
        <v>G-REQ-07267</v>
      </c>
      <c r="B7268" s="11">
        <f>IFERROR(__xludf.DUMMYFUNCTION("""COMPUTED_VALUE"""),46278.54184345261)</f>
        <v>46278.54184</v>
      </c>
      <c r="C7268" s="9">
        <f>IFERROR(__xludf.DUMMYFUNCTION("""COMPUTED_VALUE"""),27725.0)</f>
        <v>27725</v>
      </c>
      <c r="D7268" s="9" t="str">
        <f>IFERROR(__xludf.DUMMYFUNCTION("""COMPUTED_VALUE"""),"Completed")</f>
        <v>Completed</v>
      </c>
    </row>
    <row r="7269">
      <c r="A7269" s="9" t="str">
        <f>IFERROR(__xludf.DUMMYFUNCTION("""COMPUTED_VALUE"""),"G-REQ-07268")</f>
        <v>G-REQ-07268</v>
      </c>
      <c r="B7269" s="11">
        <f>IFERROR(__xludf.DUMMYFUNCTION("""COMPUTED_VALUE"""),46278.61301829803)</f>
        <v>46278.61302</v>
      </c>
      <c r="C7269" s="9">
        <f>IFERROR(__xludf.DUMMYFUNCTION("""COMPUTED_VALUE"""),27729.0)</f>
        <v>27729</v>
      </c>
      <c r="D7269" s="9" t="str">
        <f>IFERROR(__xludf.DUMMYFUNCTION("""COMPUTED_VALUE"""),"Completed")</f>
        <v>Completed</v>
      </c>
    </row>
    <row r="7270">
      <c r="A7270" s="9" t="str">
        <f>IFERROR(__xludf.DUMMYFUNCTION("""COMPUTED_VALUE"""),"G-REQ-07269")</f>
        <v>G-REQ-07269</v>
      </c>
      <c r="B7270" s="11">
        <f>IFERROR(__xludf.DUMMYFUNCTION("""COMPUTED_VALUE"""),46278.68419314345)</f>
        <v>46278.68419</v>
      </c>
      <c r="C7270" s="9">
        <f>IFERROR(__xludf.DUMMYFUNCTION("""COMPUTED_VALUE"""),27733.0)</f>
        <v>27733</v>
      </c>
      <c r="D7270" s="9" t="str">
        <f>IFERROR(__xludf.DUMMYFUNCTION("""COMPUTED_VALUE"""),"Completed")</f>
        <v>Completed</v>
      </c>
    </row>
    <row r="7271">
      <c r="A7271" s="9" t="str">
        <f>IFERROR(__xludf.DUMMYFUNCTION("""COMPUTED_VALUE"""),"G-REQ-07270")</f>
        <v>G-REQ-07270</v>
      </c>
      <c r="B7271" s="11">
        <f>IFERROR(__xludf.DUMMYFUNCTION("""COMPUTED_VALUE"""),46278.75536798885)</f>
        <v>46278.75537</v>
      </c>
      <c r="C7271" s="9">
        <f>IFERROR(__xludf.DUMMYFUNCTION("""COMPUTED_VALUE"""),27737.0)</f>
        <v>27737</v>
      </c>
      <c r="D7271" s="9" t="str">
        <f>IFERROR(__xludf.DUMMYFUNCTION("""COMPUTED_VALUE"""),"Completed")</f>
        <v>Completed</v>
      </c>
    </row>
    <row r="7272">
      <c r="A7272" s="9" t="str">
        <f>IFERROR(__xludf.DUMMYFUNCTION("""COMPUTED_VALUE"""),"G-REQ-07271")</f>
        <v>G-REQ-07271</v>
      </c>
      <c r="B7272" s="11">
        <f>IFERROR(__xludf.DUMMYFUNCTION("""COMPUTED_VALUE"""),46278.82654283427)</f>
        <v>46278.82654</v>
      </c>
      <c r="C7272" s="9">
        <f>IFERROR(__xludf.DUMMYFUNCTION("""COMPUTED_VALUE"""),27741.0)</f>
        <v>27741</v>
      </c>
      <c r="D7272" s="9" t="str">
        <f>IFERROR(__xludf.DUMMYFUNCTION("""COMPUTED_VALUE"""),"Completed")</f>
        <v>Completed</v>
      </c>
    </row>
    <row r="7273">
      <c r="A7273" s="9" t="str">
        <f>IFERROR(__xludf.DUMMYFUNCTION("""COMPUTED_VALUE"""),"G-REQ-07272")</f>
        <v>G-REQ-07272</v>
      </c>
      <c r="B7273" s="11">
        <f>IFERROR(__xludf.DUMMYFUNCTION("""COMPUTED_VALUE"""),46278.89771767969)</f>
        <v>46278.89772</v>
      </c>
      <c r="C7273" s="9">
        <f>IFERROR(__xludf.DUMMYFUNCTION("""COMPUTED_VALUE"""),27745.0)</f>
        <v>27745</v>
      </c>
      <c r="D7273" s="9" t="str">
        <f>IFERROR(__xludf.DUMMYFUNCTION("""COMPUTED_VALUE"""),"Completed")</f>
        <v>Completed</v>
      </c>
    </row>
    <row r="7274">
      <c r="A7274" s="9" t="str">
        <f>IFERROR(__xludf.DUMMYFUNCTION("""COMPUTED_VALUE"""),"G-REQ-07273")</f>
        <v>G-REQ-07273</v>
      </c>
      <c r="B7274" s="11">
        <f>IFERROR(__xludf.DUMMYFUNCTION("""COMPUTED_VALUE"""),46278.96194808066)</f>
        <v>46278.96195</v>
      </c>
      <c r="C7274" s="9">
        <f>IFERROR(__xludf.DUMMYFUNCTION("""COMPUTED_VALUE"""),27747.0)</f>
        <v>27747</v>
      </c>
      <c r="D7274" s="9" t="str">
        <f>IFERROR(__xludf.DUMMYFUNCTION("""COMPUTED_VALUE"""),"Rejected")</f>
        <v>Rejected</v>
      </c>
    </row>
    <row r="7275">
      <c r="A7275" s="9" t="str">
        <f>IFERROR(__xludf.DUMMYFUNCTION("""COMPUTED_VALUE"""),"G-REQ-07274")</f>
        <v>G-REQ-07274</v>
      </c>
      <c r="B7275" s="11">
        <f>IFERROR(__xludf.DUMMYFUNCTION("""COMPUTED_VALUE"""),46279.040067370515)</f>
        <v>46279.04007</v>
      </c>
      <c r="C7275" s="9">
        <f>IFERROR(__xludf.DUMMYFUNCTION("""COMPUTED_VALUE"""),27751.0)</f>
        <v>27751</v>
      </c>
      <c r="D7275" s="9" t="str">
        <f>IFERROR(__xludf.DUMMYFUNCTION("""COMPUTED_VALUE"""),"Completed")</f>
        <v>Completed</v>
      </c>
    </row>
    <row r="7276">
      <c r="A7276" s="9" t="str">
        <f>IFERROR(__xludf.DUMMYFUNCTION("""COMPUTED_VALUE"""),"G-REQ-07275")</f>
        <v>G-REQ-07275</v>
      </c>
      <c r="B7276" s="11">
        <f>IFERROR(__xludf.DUMMYFUNCTION("""COMPUTED_VALUE"""),46279.111242215935)</f>
        <v>46279.11124</v>
      </c>
      <c r="C7276" s="9">
        <f>IFERROR(__xludf.DUMMYFUNCTION("""COMPUTED_VALUE"""),27755.0)</f>
        <v>27755</v>
      </c>
      <c r="D7276" s="9" t="str">
        <f>IFERROR(__xludf.DUMMYFUNCTION("""COMPUTED_VALUE"""),"Completed")</f>
        <v>Completed</v>
      </c>
    </row>
    <row r="7277">
      <c r="A7277" s="9" t="str">
        <f>IFERROR(__xludf.DUMMYFUNCTION("""COMPUTED_VALUE"""),"G-REQ-07276")</f>
        <v>G-REQ-07276</v>
      </c>
      <c r="B7277" s="11">
        <f>IFERROR(__xludf.DUMMYFUNCTION("""COMPUTED_VALUE"""),46279.18241706135)</f>
        <v>46279.18242</v>
      </c>
      <c r="C7277" s="9">
        <f>IFERROR(__xludf.DUMMYFUNCTION("""COMPUTED_VALUE"""),27759.0)</f>
        <v>27759</v>
      </c>
      <c r="D7277" s="9" t="str">
        <f>IFERROR(__xludf.DUMMYFUNCTION("""COMPUTED_VALUE"""),"Completed")</f>
        <v>Completed</v>
      </c>
    </row>
    <row r="7278">
      <c r="A7278" s="9" t="str">
        <f>IFERROR(__xludf.DUMMYFUNCTION("""COMPUTED_VALUE"""),"G-REQ-07277")</f>
        <v>G-REQ-07277</v>
      </c>
      <c r="B7278" s="11">
        <f>IFERROR(__xludf.DUMMYFUNCTION("""COMPUTED_VALUE"""),46279.246647462314)</f>
        <v>46279.24665</v>
      </c>
      <c r="C7278" s="9">
        <f>IFERROR(__xludf.DUMMYFUNCTION("""COMPUTED_VALUE"""),27761.0)</f>
        <v>27761</v>
      </c>
      <c r="D7278" s="9" t="str">
        <f>IFERROR(__xludf.DUMMYFUNCTION("""COMPUTED_VALUE"""),"Rejected")</f>
        <v>Rejected</v>
      </c>
    </row>
    <row r="7279">
      <c r="A7279" s="9" t="str">
        <f>IFERROR(__xludf.DUMMYFUNCTION("""COMPUTED_VALUE"""),"G-REQ-07278")</f>
        <v>G-REQ-07278</v>
      </c>
      <c r="B7279" s="11">
        <f>IFERROR(__xludf.DUMMYFUNCTION("""COMPUTED_VALUE"""),46279.32476675218)</f>
        <v>46279.32477</v>
      </c>
      <c r="C7279" s="9">
        <f>IFERROR(__xludf.DUMMYFUNCTION("""COMPUTED_VALUE"""),27765.0)</f>
        <v>27765</v>
      </c>
      <c r="D7279" s="9" t="str">
        <f>IFERROR(__xludf.DUMMYFUNCTION("""COMPUTED_VALUE"""),"Completed")</f>
        <v>Completed</v>
      </c>
    </row>
    <row r="7280">
      <c r="A7280" s="9" t="str">
        <f>IFERROR(__xludf.DUMMYFUNCTION("""COMPUTED_VALUE"""),"G-REQ-07279")</f>
        <v>G-REQ-07279</v>
      </c>
      <c r="B7280" s="11">
        <f>IFERROR(__xludf.DUMMYFUNCTION("""COMPUTED_VALUE"""),46279.39594159759)</f>
        <v>46279.39594</v>
      </c>
      <c r="C7280" s="9">
        <f>IFERROR(__xludf.DUMMYFUNCTION("""COMPUTED_VALUE"""),27769.0)</f>
        <v>27769</v>
      </c>
      <c r="D7280" s="9" t="str">
        <f>IFERROR(__xludf.DUMMYFUNCTION("""COMPUTED_VALUE"""),"Completed")</f>
        <v>Completed</v>
      </c>
    </row>
    <row r="7281">
      <c r="A7281" s="9" t="str">
        <f>IFERROR(__xludf.DUMMYFUNCTION("""COMPUTED_VALUE"""),"G-REQ-07280")</f>
        <v>G-REQ-07280</v>
      </c>
      <c r="B7281" s="11">
        <f>IFERROR(__xludf.DUMMYFUNCTION("""COMPUTED_VALUE"""),46279.467116443004)</f>
        <v>46279.46712</v>
      </c>
      <c r="C7281" s="9">
        <f>IFERROR(__xludf.DUMMYFUNCTION("""COMPUTED_VALUE"""),27773.0)</f>
        <v>27773</v>
      </c>
      <c r="D7281" s="9" t="str">
        <f>IFERROR(__xludf.DUMMYFUNCTION("""COMPUTED_VALUE"""),"Completed")</f>
        <v>Completed</v>
      </c>
    </row>
    <row r="7282">
      <c r="A7282" s="9" t="str">
        <f>IFERROR(__xludf.DUMMYFUNCTION("""COMPUTED_VALUE"""),"G-REQ-07281")</f>
        <v>G-REQ-07281</v>
      </c>
      <c r="B7282" s="11">
        <f>IFERROR(__xludf.DUMMYFUNCTION("""COMPUTED_VALUE"""),46279.53829128842)</f>
        <v>46279.53829</v>
      </c>
      <c r="C7282" s="9">
        <f>IFERROR(__xludf.DUMMYFUNCTION("""COMPUTED_VALUE"""),27777.0)</f>
        <v>27777</v>
      </c>
      <c r="D7282" s="9" t="str">
        <f>IFERROR(__xludf.DUMMYFUNCTION("""COMPUTED_VALUE"""),"Completed")</f>
        <v>Completed</v>
      </c>
    </row>
    <row r="7283">
      <c r="A7283" s="9" t="str">
        <f>IFERROR(__xludf.DUMMYFUNCTION("""COMPUTED_VALUE"""),"G-REQ-07282")</f>
        <v>G-REQ-07282</v>
      </c>
      <c r="B7283" s="11">
        <f>IFERROR(__xludf.DUMMYFUNCTION("""COMPUTED_VALUE"""),46279.609466133836)</f>
        <v>46279.60947</v>
      </c>
      <c r="C7283" s="9">
        <f>IFERROR(__xludf.DUMMYFUNCTION("""COMPUTED_VALUE"""),27781.0)</f>
        <v>27781</v>
      </c>
      <c r="D7283" s="9" t="str">
        <f>IFERROR(__xludf.DUMMYFUNCTION("""COMPUTED_VALUE"""),"Completed")</f>
        <v>Completed</v>
      </c>
    </row>
    <row r="7284">
      <c r="A7284" s="9" t="str">
        <f>IFERROR(__xludf.DUMMYFUNCTION("""COMPUTED_VALUE"""),"G-REQ-07283")</f>
        <v>G-REQ-07283</v>
      </c>
      <c r="B7284" s="11">
        <f>IFERROR(__xludf.DUMMYFUNCTION("""COMPUTED_VALUE"""),46279.68064097925)</f>
        <v>46279.68064</v>
      </c>
      <c r="C7284" s="9">
        <f>IFERROR(__xludf.DUMMYFUNCTION("""COMPUTED_VALUE"""),27785.0)</f>
        <v>27785</v>
      </c>
      <c r="D7284" s="9" t="str">
        <f>IFERROR(__xludf.DUMMYFUNCTION("""COMPUTED_VALUE"""),"Completed")</f>
        <v>Completed</v>
      </c>
    </row>
    <row r="7285">
      <c r="A7285" s="9" t="str">
        <f>IFERROR(__xludf.DUMMYFUNCTION("""COMPUTED_VALUE"""),"G-REQ-07284")</f>
        <v>G-REQ-07284</v>
      </c>
      <c r="B7285" s="11">
        <f>IFERROR(__xludf.DUMMYFUNCTION("""COMPUTED_VALUE"""),46279.75181582467)</f>
        <v>46279.75182</v>
      </c>
      <c r="C7285" s="9">
        <f>IFERROR(__xludf.DUMMYFUNCTION("""COMPUTED_VALUE"""),27789.0)</f>
        <v>27789</v>
      </c>
      <c r="D7285" s="9" t="str">
        <f>IFERROR(__xludf.DUMMYFUNCTION("""COMPUTED_VALUE"""),"Completed")</f>
        <v>Completed</v>
      </c>
    </row>
    <row r="7286">
      <c r="A7286" s="9" t="str">
        <f>IFERROR(__xludf.DUMMYFUNCTION("""COMPUTED_VALUE"""),"G-REQ-07285")</f>
        <v>G-REQ-07285</v>
      </c>
      <c r="B7286" s="11">
        <f>IFERROR(__xludf.DUMMYFUNCTION("""COMPUTED_VALUE"""),46279.82299067009)</f>
        <v>46279.82299</v>
      </c>
      <c r="C7286" s="9">
        <f>IFERROR(__xludf.DUMMYFUNCTION("""COMPUTED_VALUE"""),27793.0)</f>
        <v>27793</v>
      </c>
      <c r="D7286" s="9" t="str">
        <f>IFERROR(__xludf.DUMMYFUNCTION("""COMPUTED_VALUE"""),"Completed")</f>
        <v>Completed</v>
      </c>
    </row>
    <row r="7287">
      <c r="A7287" s="9" t="str">
        <f>IFERROR(__xludf.DUMMYFUNCTION("""COMPUTED_VALUE"""),"G-REQ-07286")</f>
        <v>G-REQ-07286</v>
      </c>
      <c r="B7287" s="11">
        <f>IFERROR(__xludf.DUMMYFUNCTION("""COMPUTED_VALUE"""),46279.89416551549)</f>
        <v>46279.89417</v>
      </c>
      <c r="C7287" s="9">
        <f>IFERROR(__xludf.DUMMYFUNCTION("""COMPUTED_VALUE"""),27797.0)</f>
        <v>27797</v>
      </c>
      <c r="D7287" s="9" t="str">
        <f>IFERROR(__xludf.DUMMYFUNCTION("""COMPUTED_VALUE"""),"Completed")</f>
        <v>Completed</v>
      </c>
    </row>
    <row r="7288">
      <c r="A7288" s="9" t="str">
        <f>IFERROR(__xludf.DUMMYFUNCTION("""COMPUTED_VALUE"""),"G-REQ-07287")</f>
        <v>G-REQ-07287</v>
      </c>
      <c r="B7288" s="11">
        <f>IFERROR(__xludf.DUMMYFUNCTION("""COMPUTED_VALUE"""),46279.96534036091)</f>
        <v>46279.96534</v>
      </c>
      <c r="C7288" s="9">
        <f>IFERROR(__xludf.DUMMYFUNCTION("""COMPUTED_VALUE"""),27801.0)</f>
        <v>27801</v>
      </c>
      <c r="D7288" s="9" t="str">
        <f>IFERROR(__xludf.DUMMYFUNCTION("""COMPUTED_VALUE"""),"Completed")</f>
        <v>Completed</v>
      </c>
    </row>
    <row r="7289">
      <c r="A7289" s="9" t="str">
        <f>IFERROR(__xludf.DUMMYFUNCTION("""COMPUTED_VALUE"""),"G-REQ-07288")</f>
        <v>G-REQ-07288</v>
      </c>
      <c r="B7289" s="11">
        <f>IFERROR(__xludf.DUMMYFUNCTION("""COMPUTED_VALUE"""),46280.029570761886)</f>
        <v>46280.02957</v>
      </c>
      <c r="C7289" s="9">
        <f>IFERROR(__xludf.DUMMYFUNCTION("""COMPUTED_VALUE"""),27803.0)</f>
        <v>27803</v>
      </c>
      <c r="D7289" s="9" t="str">
        <f>IFERROR(__xludf.DUMMYFUNCTION("""COMPUTED_VALUE"""),"Cancelled")</f>
        <v>Cancelled</v>
      </c>
    </row>
    <row r="7290">
      <c r="A7290" s="9" t="str">
        <f>IFERROR(__xludf.DUMMYFUNCTION("""COMPUTED_VALUE"""),"G-REQ-07289")</f>
        <v>G-REQ-07289</v>
      </c>
      <c r="B7290" s="11">
        <f>IFERROR(__xludf.DUMMYFUNCTION("""COMPUTED_VALUE"""),46280.107690051744)</f>
        <v>46280.10769</v>
      </c>
      <c r="C7290" s="9">
        <f>IFERROR(__xludf.DUMMYFUNCTION("""COMPUTED_VALUE"""),27807.0)</f>
        <v>27807</v>
      </c>
      <c r="D7290" s="9" t="str">
        <f>IFERROR(__xludf.DUMMYFUNCTION("""COMPUTED_VALUE"""),"Completed")</f>
        <v>Completed</v>
      </c>
    </row>
    <row r="7291">
      <c r="A7291" s="9" t="str">
        <f>IFERROR(__xludf.DUMMYFUNCTION("""COMPUTED_VALUE"""),"G-REQ-07290")</f>
        <v>G-REQ-07290</v>
      </c>
      <c r="B7291" s="11">
        <f>IFERROR(__xludf.DUMMYFUNCTION("""COMPUTED_VALUE"""),46280.178864897156)</f>
        <v>46280.17886</v>
      </c>
      <c r="C7291" s="9">
        <f>IFERROR(__xludf.DUMMYFUNCTION("""COMPUTED_VALUE"""),27811.0)</f>
        <v>27811</v>
      </c>
      <c r="D7291" s="9" t="str">
        <f>IFERROR(__xludf.DUMMYFUNCTION("""COMPUTED_VALUE"""),"Completed")</f>
        <v>Completed</v>
      </c>
    </row>
    <row r="7292">
      <c r="A7292" s="9" t="str">
        <f>IFERROR(__xludf.DUMMYFUNCTION("""COMPUTED_VALUE"""),"G-REQ-07291")</f>
        <v>G-REQ-07291</v>
      </c>
      <c r="B7292" s="11">
        <f>IFERROR(__xludf.DUMMYFUNCTION("""COMPUTED_VALUE"""),46280.250039742576)</f>
        <v>46280.25004</v>
      </c>
      <c r="C7292" s="9">
        <f>IFERROR(__xludf.DUMMYFUNCTION("""COMPUTED_VALUE"""),27815.0)</f>
        <v>27815</v>
      </c>
      <c r="D7292" s="9" t="str">
        <f>IFERROR(__xludf.DUMMYFUNCTION("""COMPUTED_VALUE"""),"Completed")</f>
        <v>Completed</v>
      </c>
    </row>
    <row r="7293">
      <c r="A7293" s="9" t="str">
        <f>IFERROR(__xludf.DUMMYFUNCTION("""COMPUTED_VALUE"""),"G-REQ-07292")</f>
        <v>G-REQ-07292</v>
      </c>
      <c r="B7293" s="11">
        <f>IFERROR(__xludf.DUMMYFUNCTION("""COMPUTED_VALUE"""),46280.32121458799)</f>
        <v>46280.32121</v>
      </c>
      <c r="C7293" s="9">
        <f>IFERROR(__xludf.DUMMYFUNCTION("""COMPUTED_VALUE"""),27819.0)</f>
        <v>27819</v>
      </c>
      <c r="D7293" s="9" t="str">
        <f>IFERROR(__xludf.DUMMYFUNCTION("""COMPUTED_VALUE"""),"Completed")</f>
        <v>Completed</v>
      </c>
    </row>
    <row r="7294">
      <c r="A7294" s="9" t="str">
        <f>IFERROR(__xludf.DUMMYFUNCTION("""COMPUTED_VALUE"""),"G-REQ-07293")</f>
        <v>G-REQ-07293</v>
      </c>
      <c r="B7294" s="11">
        <f>IFERROR(__xludf.DUMMYFUNCTION("""COMPUTED_VALUE"""),46280.3923894334)</f>
        <v>46280.39239</v>
      </c>
      <c r="C7294" s="9">
        <f>IFERROR(__xludf.DUMMYFUNCTION("""COMPUTED_VALUE"""),27823.0)</f>
        <v>27823</v>
      </c>
      <c r="D7294" s="9" t="str">
        <f>IFERROR(__xludf.DUMMYFUNCTION("""COMPUTED_VALUE"""),"Completed")</f>
        <v>Completed</v>
      </c>
    </row>
    <row r="7295">
      <c r="A7295" s="9" t="str">
        <f>IFERROR(__xludf.DUMMYFUNCTION("""COMPUTED_VALUE"""),"G-REQ-07294")</f>
        <v>G-REQ-07294</v>
      </c>
      <c r="B7295" s="11">
        <f>IFERROR(__xludf.DUMMYFUNCTION("""COMPUTED_VALUE"""),46280.46356427882)</f>
        <v>46280.46356</v>
      </c>
      <c r="C7295" s="9">
        <f>IFERROR(__xludf.DUMMYFUNCTION("""COMPUTED_VALUE"""),27827.0)</f>
        <v>27827</v>
      </c>
      <c r="D7295" s="9" t="str">
        <f>IFERROR(__xludf.DUMMYFUNCTION("""COMPUTED_VALUE"""),"Completed")</f>
        <v>Completed</v>
      </c>
    </row>
    <row r="7296">
      <c r="A7296" s="9" t="str">
        <f>IFERROR(__xludf.DUMMYFUNCTION("""COMPUTED_VALUE"""),"G-REQ-07295")</f>
        <v>G-REQ-07295</v>
      </c>
      <c r="B7296" s="11">
        <f>IFERROR(__xludf.DUMMYFUNCTION("""COMPUTED_VALUE"""),46280.53473912423)</f>
        <v>46280.53474</v>
      </c>
      <c r="C7296" s="9">
        <f>IFERROR(__xludf.DUMMYFUNCTION("""COMPUTED_VALUE"""),27831.0)</f>
        <v>27831</v>
      </c>
      <c r="D7296" s="9" t="str">
        <f>IFERROR(__xludf.DUMMYFUNCTION("""COMPUTED_VALUE"""),"Completed")</f>
        <v>Completed</v>
      </c>
    </row>
    <row r="7297">
      <c r="A7297" s="9" t="str">
        <f>IFERROR(__xludf.DUMMYFUNCTION("""COMPUTED_VALUE"""),"G-REQ-07296")</f>
        <v>G-REQ-07296</v>
      </c>
      <c r="B7297" s="11">
        <f>IFERROR(__xludf.DUMMYFUNCTION("""COMPUTED_VALUE"""),46280.605913969644)</f>
        <v>46280.60591</v>
      </c>
      <c r="C7297" s="9">
        <f>IFERROR(__xludf.DUMMYFUNCTION("""COMPUTED_VALUE"""),27835.0)</f>
        <v>27835</v>
      </c>
      <c r="D7297" s="9" t="str">
        <f>IFERROR(__xludf.DUMMYFUNCTION("""COMPUTED_VALUE"""),"Completed")</f>
        <v>Completed</v>
      </c>
    </row>
    <row r="7298">
      <c r="A7298" s="9" t="str">
        <f>IFERROR(__xludf.DUMMYFUNCTION("""COMPUTED_VALUE"""),"G-REQ-07297")</f>
        <v>G-REQ-07297</v>
      </c>
      <c r="B7298" s="11">
        <f>IFERROR(__xludf.DUMMYFUNCTION("""COMPUTED_VALUE"""),46280.677088815064)</f>
        <v>46280.67709</v>
      </c>
      <c r="C7298" s="9">
        <f>IFERROR(__xludf.DUMMYFUNCTION("""COMPUTED_VALUE"""),27839.0)</f>
        <v>27839</v>
      </c>
      <c r="D7298" s="9" t="str">
        <f>IFERROR(__xludf.DUMMYFUNCTION("""COMPUTED_VALUE"""),"Completed")</f>
        <v>Completed</v>
      </c>
    </row>
    <row r="7299">
      <c r="A7299" s="9" t="str">
        <f>IFERROR(__xludf.DUMMYFUNCTION("""COMPUTED_VALUE"""),"G-REQ-07298")</f>
        <v>G-REQ-07298</v>
      </c>
      <c r="B7299" s="11">
        <f>IFERROR(__xludf.DUMMYFUNCTION("""COMPUTED_VALUE"""),46280.748263660484)</f>
        <v>46280.74826</v>
      </c>
      <c r="C7299" s="9">
        <f>IFERROR(__xludf.DUMMYFUNCTION("""COMPUTED_VALUE"""),27843.0)</f>
        <v>27843</v>
      </c>
      <c r="D7299" s="9" t="str">
        <f>IFERROR(__xludf.DUMMYFUNCTION("""COMPUTED_VALUE"""),"Completed")</f>
        <v>Completed</v>
      </c>
    </row>
    <row r="7300">
      <c r="A7300" s="9" t="str">
        <f>IFERROR(__xludf.DUMMYFUNCTION("""COMPUTED_VALUE"""),"G-REQ-07299")</f>
        <v>G-REQ-07299</v>
      </c>
      <c r="B7300" s="11">
        <f>IFERROR(__xludf.DUMMYFUNCTION("""COMPUTED_VALUE"""),46280.81943850589)</f>
        <v>46280.81944</v>
      </c>
      <c r="C7300" s="9">
        <f>IFERROR(__xludf.DUMMYFUNCTION("""COMPUTED_VALUE"""),27847.0)</f>
        <v>27847</v>
      </c>
      <c r="D7300" s="9" t="str">
        <f>IFERROR(__xludf.DUMMYFUNCTION("""COMPUTED_VALUE"""),"Completed")</f>
        <v>Completed</v>
      </c>
    </row>
    <row r="7301">
      <c r="A7301" s="9" t="str">
        <f>IFERROR(__xludf.DUMMYFUNCTION("""COMPUTED_VALUE"""),"G-REQ-07300")</f>
        <v>G-REQ-07300</v>
      </c>
      <c r="B7301" s="11">
        <f>IFERROR(__xludf.DUMMYFUNCTION("""COMPUTED_VALUE"""),46280.89061335131)</f>
        <v>46280.89061</v>
      </c>
      <c r="C7301" s="9">
        <f>IFERROR(__xludf.DUMMYFUNCTION("""COMPUTED_VALUE"""),27851.0)</f>
        <v>27851</v>
      </c>
      <c r="D7301" s="9" t="str">
        <f>IFERROR(__xludf.DUMMYFUNCTION("""COMPUTED_VALUE"""),"Completed")</f>
        <v>Completed</v>
      </c>
    </row>
    <row r="7302">
      <c r="A7302" s="9" t="str">
        <f>IFERROR(__xludf.DUMMYFUNCTION("""COMPUTED_VALUE"""),"G-REQ-07301")</f>
        <v>G-REQ-07301</v>
      </c>
      <c r="B7302" s="11">
        <f>IFERROR(__xludf.DUMMYFUNCTION("""COMPUTED_VALUE"""),46280.96178819673)</f>
        <v>46280.96179</v>
      </c>
      <c r="C7302" s="9">
        <f>IFERROR(__xludf.DUMMYFUNCTION("""COMPUTED_VALUE"""),27855.0)</f>
        <v>27855</v>
      </c>
      <c r="D7302" s="9" t="str">
        <f>IFERROR(__xludf.DUMMYFUNCTION("""COMPUTED_VALUE"""),"Completed")</f>
        <v>Completed</v>
      </c>
    </row>
    <row r="7303">
      <c r="A7303" s="9" t="str">
        <f>IFERROR(__xludf.DUMMYFUNCTION("""COMPUTED_VALUE"""),"G-REQ-07302")</f>
        <v>G-REQ-07302</v>
      </c>
      <c r="B7303" s="11">
        <f>IFERROR(__xludf.DUMMYFUNCTION("""COMPUTED_VALUE"""),46281.03296304214)</f>
        <v>46281.03296</v>
      </c>
      <c r="C7303" s="9">
        <f>IFERROR(__xludf.DUMMYFUNCTION("""COMPUTED_VALUE"""),27859.0)</f>
        <v>27859</v>
      </c>
      <c r="D7303" s="9" t="str">
        <f>IFERROR(__xludf.DUMMYFUNCTION("""COMPUTED_VALUE"""),"Completed")</f>
        <v>Completed</v>
      </c>
    </row>
    <row r="7304">
      <c r="A7304" s="9" t="str">
        <f>IFERROR(__xludf.DUMMYFUNCTION("""COMPUTED_VALUE"""),"G-REQ-07303")</f>
        <v>G-REQ-07303</v>
      </c>
      <c r="B7304" s="11">
        <f>IFERROR(__xludf.DUMMYFUNCTION("""COMPUTED_VALUE"""),46281.10413788755)</f>
        <v>46281.10414</v>
      </c>
      <c r="C7304" s="9">
        <f>IFERROR(__xludf.DUMMYFUNCTION("""COMPUTED_VALUE"""),27863.0)</f>
        <v>27863</v>
      </c>
      <c r="D7304" s="9" t="str">
        <f>IFERROR(__xludf.DUMMYFUNCTION("""COMPUTED_VALUE"""),"Completed")</f>
        <v>Completed</v>
      </c>
    </row>
    <row r="7305">
      <c r="A7305" s="9" t="str">
        <f>IFERROR(__xludf.DUMMYFUNCTION("""COMPUTED_VALUE"""),"G-REQ-07304")</f>
        <v>G-REQ-07304</v>
      </c>
      <c r="B7305" s="11">
        <f>IFERROR(__xludf.DUMMYFUNCTION("""COMPUTED_VALUE"""),46281.17531273297)</f>
        <v>46281.17531</v>
      </c>
      <c r="C7305" s="9">
        <f>IFERROR(__xludf.DUMMYFUNCTION("""COMPUTED_VALUE"""),27867.0)</f>
        <v>27867</v>
      </c>
      <c r="D7305" s="9" t="str">
        <f>IFERROR(__xludf.DUMMYFUNCTION("""COMPUTED_VALUE"""),"Completed")</f>
        <v>Completed</v>
      </c>
    </row>
    <row r="7306">
      <c r="A7306" s="9" t="str">
        <f>IFERROR(__xludf.DUMMYFUNCTION("""COMPUTED_VALUE"""),"G-REQ-07305")</f>
        <v>G-REQ-07305</v>
      </c>
      <c r="B7306" s="11">
        <f>IFERROR(__xludf.DUMMYFUNCTION("""COMPUTED_VALUE"""),46281.246487578384)</f>
        <v>46281.24649</v>
      </c>
      <c r="C7306" s="9">
        <f>IFERROR(__xludf.DUMMYFUNCTION("""COMPUTED_VALUE"""),27871.0)</f>
        <v>27871</v>
      </c>
      <c r="D7306" s="9" t="str">
        <f>IFERROR(__xludf.DUMMYFUNCTION("""COMPUTED_VALUE"""),"Completed")</f>
        <v>Completed</v>
      </c>
    </row>
    <row r="7307">
      <c r="A7307" s="9" t="str">
        <f>IFERROR(__xludf.DUMMYFUNCTION("""COMPUTED_VALUE"""),"G-REQ-07306")</f>
        <v>G-REQ-07306</v>
      </c>
      <c r="B7307" s="11">
        <f>IFERROR(__xludf.DUMMYFUNCTION("""COMPUTED_VALUE"""),46281.3176624238)</f>
        <v>46281.31766</v>
      </c>
      <c r="C7307" s="9">
        <f>IFERROR(__xludf.DUMMYFUNCTION("""COMPUTED_VALUE"""),27875.0)</f>
        <v>27875</v>
      </c>
      <c r="D7307" s="9" t="str">
        <f>IFERROR(__xludf.DUMMYFUNCTION("""COMPUTED_VALUE"""),"Completed")</f>
        <v>Completed</v>
      </c>
    </row>
    <row r="7308">
      <c r="A7308" s="9" t="str">
        <f>IFERROR(__xludf.DUMMYFUNCTION("""COMPUTED_VALUE"""),"G-REQ-07307")</f>
        <v>G-REQ-07307</v>
      </c>
      <c r="B7308" s="11">
        <f>IFERROR(__xludf.DUMMYFUNCTION("""COMPUTED_VALUE"""),46281.388837269216)</f>
        <v>46281.38884</v>
      </c>
      <c r="C7308" s="9">
        <f>IFERROR(__xludf.DUMMYFUNCTION("""COMPUTED_VALUE"""),27879.0)</f>
        <v>27879</v>
      </c>
      <c r="D7308" s="9" t="str">
        <f>IFERROR(__xludf.DUMMYFUNCTION("""COMPUTED_VALUE"""),"Completed")</f>
        <v>Completed</v>
      </c>
    </row>
    <row r="7309">
      <c r="A7309" s="9" t="str">
        <f>IFERROR(__xludf.DUMMYFUNCTION("""COMPUTED_VALUE"""),"G-REQ-07308")</f>
        <v>G-REQ-07308</v>
      </c>
      <c r="B7309" s="11">
        <f>IFERROR(__xludf.DUMMYFUNCTION("""COMPUTED_VALUE"""),46281.46001211463)</f>
        <v>46281.46001</v>
      </c>
      <c r="C7309" s="9">
        <f>IFERROR(__xludf.DUMMYFUNCTION("""COMPUTED_VALUE"""),27883.0)</f>
        <v>27883</v>
      </c>
      <c r="D7309" s="9" t="str">
        <f>IFERROR(__xludf.DUMMYFUNCTION("""COMPUTED_VALUE"""),"Completed")</f>
        <v>Completed</v>
      </c>
    </row>
    <row r="7310">
      <c r="A7310" s="9" t="str">
        <f>IFERROR(__xludf.DUMMYFUNCTION("""COMPUTED_VALUE"""),"G-REQ-07309")</f>
        <v>G-REQ-07309</v>
      </c>
      <c r="B7310" s="11">
        <f>IFERROR(__xludf.DUMMYFUNCTION("""COMPUTED_VALUE"""),46281.524242515596)</f>
        <v>46281.52424</v>
      </c>
      <c r="C7310" s="9">
        <f>IFERROR(__xludf.DUMMYFUNCTION("""COMPUTED_VALUE"""),27885.0)</f>
        <v>27885</v>
      </c>
      <c r="D7310" s="9" t="str">
        <f>IFERROR(__xludf.DUMMYFUNCTION("""COMPUTED_VALUE"""),"Cancelled")</f>
        <v>Cancelled</v>
      </c>
    </row>
    <row r="7311">
      <c r="A7311" s="9" t="str">
        <f>IFERROR(__xludf.DUMMYFUNCTION("""COMPUTED_VALUE"""),"G-REQ-07310")</f>
        <v>G-REQ-07310</v>
      </c>
      <c r="B7311" s="11">
        <f>IFERROR(__xludf.DUMMYFUNCTION("""COMPUTED_VALUE"""),46281.595417361015)</f>
        <v>46281.59542</v>
      </c>
      <c r="C7311" s="9">
        <f>IFERROR(__xludf.DUMMYFUNCTION("""COMPUTED_VALUE"""),27887.0)</f>
        <v>27887</v>
      </c>
      <c r="D7311" s="9" t="str">
        <f>IFERROR(__xludf.DUMMYFUNCTION("""COMPUTED_VALUE"""),"Rejected")</f>
        <v>Rejected</v>
      </c>
    </row>
    <row r="7312">
      <c r="A7312" s="9" t="str">
        <f>IFERROR(__xludf.DUMMYFUNCTION("""COMPUTED_VALUE"""),"G-REQ-07311")</f>
        <v>G-REQ-07311</v>
      </c>
      <c r="B7312" s="11">
        <f>IFERROR(__xludf.DUMMYFUNCTION("""COMPUTED_VALUE"""),46281.67353665087)</f>
        <v>46281.67354</v>
      </c>
      <c r="C7312" s="9">
        <f>IFERROR(__xludf.DUMMYFUNCTION("""COMPUTED_VALUE"""),27891.0)</f>
        <v>27891</v>
      </c>
      <c r="D7312" s="9" t="str">
        <f>IFERROR(__xludf.DUMMYFUNCTION("""COMPUTED_VALUE"""),"Completed")</f>
        <v>Completed</v>
      </c>
    </row>
    <row r="7313">
      <c r="A7313" s="9" t="str">
        <f>IFERROR(__xludf.DUMMYFUNCTION("""COMPUTED_VALUE"""),"G-REQ-07312")</f>
        <v>G-REQ-07312</v>
      </c>
      <c r="B7313" s="11">
        <f>IFERROR(__xludf.DUMMYFUNCTION("""COMPUTED_VALUE"""),46281.744711496285)</f>
        <v>46281.74471</v>
      </c>
      <c r="C7313" s="9">
        <f>IFERROR(__xludf.DUMMYFUNCTION("""COMPUTED_VALUE"""),27895.0)</f>
        <v>27895</v>
      </c>
      <c r="D7313" s="9" t="str">
        <f>IFERROR(__xludf.DUMMYFUNCTION("""COMPUTED_VALUE"""),"Completed")</f>
        <v>Completed</v>
      </c>
    </row>
    <row r="7314">
      <c r="A7314" s="9" t="str">
        <f>IFERROR(__xludf.DUMMYFUNCTION("""COMPUTED_VALUE"""),"G-REQ-07313")</f>
        <v>G-REQ-07313</v>
      </c>
      <c r="B7314" s="11">
        <f>IFERROR(__xludf.DUMMYFUNCTION("""COMPUTED_VALUE"""),46281.80894189726)</f>
        <v>46281.80894</v>
      </c>
      <c r="C7314" s="9">
        <f>IFERROR(__xludf.DUMMYFUNCTION("""COMPUTED_VALUE"""),27897.0)</f>
        <v>27897</v>
      </c>
      <c r="D7314" s="9" t="str">
        <f>IFERROR(__xludf.DUMMYFUNCTION("""COMPUTED_VALUE"""),"Cancelled")</f>
        <v>Cancelled</v>
      </c>
    </row>
    <row r="7315">
      <c r="A7315" s="9" t="str">
        <f>IFERROR(__xludf.DUMMYFUNCTION("""COMPUTED_VALUE"""),"G-REQ-07314")</f>
        <v>G-REQ-07314</v>
      </c>
      <c r="B7315" s="11">
        <f>IFERROR(__xludf.DUMMYFUNCTION("""COMPUTED_VALUE"""),46281.887061187124)</f>
        <v>46281.88706</v>
      </c>
      <c r="C7315" s="9">
        <f>IFERROR(__xludf.DUMMYFUNCTION("""COMPUTED_VALUE"""),27901.0)</f>
        <v>27901</v>
      </c>
      <c r="D7315" s="9" t="str">
        <f>IFERROR(__xludf.DUMMYFUNCTION("""COMPUTED_VALUE"""),"Completed")</f>
        <v>Completed</v>
      </c>
    </row>
    <row r="7316">
      <c r="A7316" s="9" t="str">
        <f>IFERROR(__xludf.DUMMYFUNCTION("""COMPUTED_VALUE"""),"G-REQ-07315")</f>
        <v>G-REQ-07315</v>
      </c>
      <c r="B7316" s="11">
        <f>IFERROR(__xludf.DUMMYFUNCTION("""COMPUTED_VALUE"""),46281.95823603253)</f>
        <v>46281.95824</v>
      </c>
      <c r="C7316" s="9">
        <f>IFERROR(__xludf.DUMMYFUNCTION("""COMPUTED_VALUE"""),27905.0)</f>
        <v>27905</v>
      </c>
      <c r="D7316" s="9" t="str">
        <f>IFERROR(__xludf.DUMMYFUNCTION("""COMPUTED_VALUE"""),"Completed")</f>
        <v>Completed</v>
      </c>
    </row>
    <row r="7317">
      <c r="A7317" s="9" t="str">
        <f>IFERROR(__xludf.DUMMYFUNCTION("""COMPUTED_VALUE"""),"G-REQ-07316")</f>
        <v>G-REQ-07316</v>
      </c>
      <c r="B7317" s="11">
        <f>IFERROR(__xludf.DUMMYFUNCTION("""COMPUTED_VALUE"""),46282.02941087795)</f>
        <v>46282.02941</v>
      </c>
      <c r="C7317" s="9">
        <f>IFERROR(__xludf.DUMMYFUNCTION("""COMPUTED_VALUE"""),27909.0)</f>
        <v>27909</v>
      </c>
      <c r="D7317" s="9" t="str">
        <f>IFERROR(__xludf.DUMMYFUNCTION("""COMPUTED_VALUE"""),"Completed")</f>
        <v>Completed</v>
      </c>
    </row>
    <row r="7318">
      <c r="A7318" s="9" t="str">
        <f>IFERROR(__xludf.DUMMYFUNCTION("""COMPUTED_VALUE"""),"G-REQ-07317")</f>
        <v>G-REQ-07317</v>
      </c>
      <c r="B7318" s="11">
        <f>IFERROR(__xludf.DUMMYFUNCTION("""COMPUTED_VALUE"""),46282.09364127892)</f>
        <v>46282.09364</v>
      </c>
      <c r="C7318" s="9">
        <f>IFERROR(__xludf.DUMMYFUNCTION("""COMPUTED_VALUE"""),27911.0)</f>
        <v>27911</v>
      </c>
      <c r="D7318" s="9" t="str">
        <f>IFERROR(__xludf.DUMMYFUNCTION("""COMPUTED_VALUE"""),"Cancelled")</f>
        <v>Cancelled</v>
      </c>
    </row>
    <row r="7319">
      <c r="A7319" s="9" t="str">
        <f>IFERROR(__xludf.DUMMYFUNCTION("""COMPUTED_VALUE"""),"G-REQ-07318")</f>
        <v>G-REQ-07318</v>
      </c>
      <c r="B7319" s="11">
        <f>IFERROR(__xludf.DUMMYFUNCTION("""COMPUTED_VALUE"""),46282.17176056878)</f>
        <v>46282.17176</v>
      </c>
      <c r="C7319" s="9">
        <f>IFERROR(__xludf.DUMMYFUNCTION("""COMPUTED_VALUE"""),27915.0)</f>
        <v>27915</v>
      </c>
      <c r="D7319" s="9" t="str">
        <f>IFERROR(__xludf.DUMMYFUNCTION("""COMPUTED_VALUE"""),"Completed")</f>
        <v>Completed</v>
      </c>
    </row>
    <row r="7320">
      <c r="A7320" s="9" t="str">
        <f>IFERROR(__xludf.DUMMYFUNCTION("""COMPUTED_VALUE"""),"G-REQ-07319")</f>
        <v>G-REQ-07319</v>
      </c>
      <c r="B7320" s="11">
        <f>IFERROR(__xludf.DUMMYFUNCTION("""COMPUTED_VALUE"""),46282.24293541419)</f>
        <v>46282.24294</v>
      </c>
      <c r="C7320" s="9">
        <f>IFERROR(__xludf.DUMMYFUNCTION("""COMPUTED_VALUE"""),27919.0)</f>
        <v>27919</v>
      </c>
      <c r="D7320" s="9" t="str">
        <f>IFERROR(__xludf.DUMMYFUNCTION("""COMPUTED_VALUE"""),"Completed")</f>
        <v>Completed</v>
      </c>
    </row>
    <row r="7321">
      <c r="A7321" s="9" t="str">
        <f>IFERROR(__xludf.DUMMYFUNCTION("""COMPUTED_VALUE"""),"G-REQ-07320")</f>
        <v>G-REQ-07320</v>
      </c>
      <c r="B7321" s="11">
        <f>IFERROR(__xludf.DUMMYFUNCTION("""COMPUTED_VALUE"""),46282.31411025961)</f>
        <v>46282.31411</v>
      </c>
      <c r="C7321" s="9">
        <f>IFERROR(__xludf.DUMMYFUNCTION("""COMPUTED_VALUE"""),27923.0)</f>
        <v>27923</v>
      </c>
      <c r="D7321" s="9" t="str">
        <f>IFERROR(__xludf.DUMMYFUNCTION("""COMPUTED_VALUE"""),"Completed")</f>
        <v>Completed</v>
      </c>
    </row>
    <row r="7322">
      <c r="A7322" s="9" t="str">
        <f>IFERROR(__xludf.DUMMYFUNCTION("""COMPUTED_VALUE"""),"G-REQ-07321")</f>
        <v>G-REQ-07321</v>
      </c>
      <c r="B7322" s="11">
        <f>IFERROR(__xludf.DUMMYFUNCTION("""COMPUTED_VALUE"""),46282.385285105025)</f>
        <v>46282.38529</v>
      </c>
      <c r="C7322" s="9">
        <f>IFERROR(__xludf.DUMMYFUNCTION("""COMPUTED_VALUE"""),27927.0)</f>
        <v>27927</v>
      </c>
      <c r="D7322" s="9" t="str">
        <f>IFERROR(__xludf.DUMMYFUNCTION("""COMPUTED_VALUE"""),"Completed")</f>
        <v>Completed</v>
      </c>
    </row>
    <row r="7323">
      <c r="A7323" s="9" t="str">
        <f>IFERROR(__xludf.DUMMYFUNCTION("""COMPUTED_VALUE"""),"G-REQ-07322")</f>
        <v>G-REQ-07322</v>
      </c>
      <c r="B7323" s="11">
        <f>IFERROR(__xludf.DUMMYFUNCTION("""COMPUTED_VALUE"""),46282.45645995044)</f>
        <v>46282.45646</v>
      </c>
      <c r="C7323" s="9">
        <f>IFERROR(__xludf.DUMMYFUNCTION("""COMPUTED_VALUE"""),27931.0)</f>
        <v>27931</v>
      </c>
      <c r="D7323" s="9" t="str">
        <f>IFERROR(__xludf.DUMMYFUNCTION("""COMPUTED_VALUE"""),"Completed")</f>
        <v>Completed</v>
      </c>
    </row>
    <row r="7324">
      <c r="A7324" s="9" t="str">
        <f>IFERROR(__xludf.DUMMYFUNCTION("""COMPUTED_VALUE"""),"G-REQ-07323")</f>
        <v>G-REQ-07323</v>
      </c>
      <c r="B7324" s="11">
        <f>IFERROR(__xludf.DUMMYFUNCTION("""COMPUTED_VALUE"""),46282.52763479586)</f>
        <v>46282.52763</v>
      </c>
      <c r="C7324" s="9">
        <f>IFERROR(__xludf.DUMMYFUNCTION("""COMPUTED_VALUE"""),27935.0)</f>
        <v>27935</v>
      </c>
      <c r="D7324" s="9" t="str">
        <f>IFERROR(__xludf.DUMMYFUNCTION("""COMPUTED_VALUE"""),"Completed")</f>
        <v>Completed</v>
      </c>
    </row>
    <row r="7325">
      <c r="A7325" s="9" t="str">
        <f>IFERROR(__xludf.DUMMYFUNCTION("""COMPUTED_VALUE"""),"G-REQ-07324")</f>
        <v>G-REQ-07324</v>
      </c>
      <c r="B7325" s="11">
        <f>IFERROR(__xludf.DUMMYFUNCTION("""COMPUTED_VALUE"""),46282.59880964127)</f>
        <v>46282.59881</v>
      </c>
      <c r="C7325" s="9">
        <f>IFERROR(__xludf.DUMMYFUNCTION("""COMPUTED_VALUE"""),27939.0)</f>
        <v>27939</v>
      </c>
      <c r="D7325" s="9" t="str">
        <f>IFERROR(__xludf.DUMMYFUNCTION("""COMPUTED_VALUE"""),"Completed")</f>
        <v>Completed</v>
      </c>
    </row>
    <row r="7326">
      <c r="A7326" s="9" t="str">
        <f>IFERROR(__xludf.DUMMYFUNCTION("""COMPUTED_VALUE"""),"G-REQ-07325")</f>
        <v>G-REQ-07325</v>
      </c>
      <c r="B7326" s="11">
        <f>IFERROR(__xludf.DUMMYFUNCTION("""COMPUTED_VALUE"""),46282.66998448668)</f>
        <v>46282.66998</v>
      </c>
      <c r="C7326" s="9">
        <f>IFERROR(__xludf.DUMMYFUNCTION("""COMPUTED_VALUE"""),27943.0)</f>
        <v>27943</v>
      </c>
      <c r="D7326" s="9" t="str">
        <f>IFERROR(__xludf.DUMMYFUNCTION("""COMPUTED_VALUE"""),"Completed")</f>
        <v>Completed</v>
      </c>
    </row>
    <row r="7327">
      <c r="A7327" s="9" t="str">
        <f>IFERROR(__xludf.DUMMYFUNCTION("""COMPUTED_VALUE"""),"G-REQ-07326")</f>
        <v>G-REQ-07326</v>
      </c>
      <c r="B7327" s="11">
        <f>IFERROR(__xludf.DUMMYFUNCTION("""COMPUTED_VALUE"""),46282.7411593321)</f>
        <v>46282.74116</v>
      </c>
      <c r="C7327" s="9">
        <f>IFERROR(__xludf.DUMMYFUNCTION("""COMPUTED_VALUE"""),27947.0)</f>
        <v>27947</v>
      </c>
      <c r="D7327" s="9" t="str">
        <f>IFERROR(__xludf.DUMMYFUNCTION("""COMPUTED_VALUE"""),"Completed")</f>
        <v>Completed</v>
      </c>
    </row>
    <row r="7328">
      <c r="A7328" s="9" t="str">
        <f>IFERROR(__xludf.DUMMYFUNCTION("""COMPUTED_VALUE"""),"G-REQ-07327")</f>
        <v>G-REQ-07327</v>
      </c>
      <c r="B7328" s="11">
        <f>IFERROR(__xludf.DUMMYFUNCTION("""COMPUTED_VALUE"""),46282.81233417751)</f>
        <v>46282.81233</v>
      </c>
      <c r="C7328" s="9">
        <f>IFERROR(__xludf.DUMMYFUNCTION("""COMPUTED_VALUE"""),27951.0)</f>
        <v>27951</v>
      </c>
      <c r="D7328" s="9" t="str">
        <f>IFERROR(__xludf.DUMMYFUNCTION("""COMPUTED_VALUE"""),"Completed")</f>
        <v>Completed</v>
      </c>
    </row>
    <row r="7329">
      <c r="A7329" s="9" t="str">
        <f>IFERROR(__xludf.DUMMYFUNCTION("""COMPUTED_VALUE"""),"G-REQ-07328")</f>
        <v>G-REQ-07328</v>
      </c>
      <c r="B7329" s="11">
        <f>IFERROR(__xludf.DUMMYFUNCTION("""COMPUTED_VALUE"""),46282.883509022926)</f>
        <v>46282.88351</v>
      </c>
      <c r="C7329" s="9">
        <f>IFERROR(__xludf.DUMMYFUNCTION("""COMPUTED_VALUE"""),27955.0)</f>
        <v>27955</v>
      </c>
      <c r="D7329" s="9" t="str">
        <f>IFERROR(__xludf.DUMMYFUNCTION("""COMPUTED_VALUE"""),"Completed")</f>
        <v>Completed</v>
      </c>
    </row>
    <row r="7330">
      <c r="A7330" s="9" t="str">
        <f>IFERROR(__xludf.DUMMYFUNCTION("""COMPUTED_VALUE"""),"G-REQ-07329")</f>
        <v>G-REQ-07329</v>
      </c>
      <c r="B7330" s="11">
        <f>IFERROR(__xludf.DUMMYFUNCTION("""COMPUTED_VALUE"""),46282.954683868345)</f>
        <v>46282.95468</v>
      </c>
      <c r="C7330" s="9">
        <f>IFERROR(__xludf.DUMMYFUNCTION("""COMPUTED_VALUE"""),27959.0)</f>
        <v>27959</v>
      </c>
      <c r="D7330" s="9" t="str">
        <f>IFERROR(__xludf.DUMMYFUNCTION("""COMPUTED_VALUE"""),"Completed")</f>
        <v>Completed</v>
      </c>
    </row>
    <row r="7331">
      <c r="A7331" s="9" t="str">
        <f>IFERROR(__xludf.DUMMYFUNCTION("""COMPUTED_VALUE"""),"G-REQ-07330")</f>
        <v>G-REQ-07330</v>
      </c>
      <c r="B7331" s="11">
        <f>IFERROR(__xludf.DUMMYFUNCTION("""COMPUTED_VALUE"""),46283.025858713765)</f>
        <v>46283.02586</v>
      </c>
      <c r="C7331" s="9">
        <f>IFERROR(__xludf.DUMMYFUNCTION("""COMPUTED_VALUE"""),27963.0)</f>
        <v>27963</v>
      </c>
      <c r="D7331" s="9" t="str">
        <f>IFERROR(__xludf.DUMMYFUNCTION("""COMPUTED_VALUE"""),"Completed")</f>
        <v>Completed</v>
      </c>
    </row>
    <row r="7332">
      <c r="A7332" s="9" t="str">
        <f>IFERROR(__xludf.DUMMYFUNCTION("""COMPUTED_VALUE"""),"G-REQ-07331")</f>
        <v>G-REQ-07331</v>
      </c>
      <c r="B7332" s="11">
        <f>IFERROR(__xludf.DUMMYFUNCTION("""COMPUTED_VALUE"""),46283.09703355917)</f>
        <v>46283.09703</v>
      </c>
      <c r="C7332" s="9">
        <f>IFERROR(__xludf.DUMMYFUNCTION("""COMPUTED_VALUE"""),27967.0)</f>
        <v>27967</v>
      </c>
      <c r="D7332" s="9" t="str">
        <f>IFERROR(__xludf.DUMMYFUNCTION("""COMPUTED_VALUE"""),"Completed")</f>
        <v>Completed</v>
      </c>
    </row>
    <row r="7333">
      <c r="A7333" s="9" t="str">
        <f>IFERROR(__xludf.DUMMYFUNCTION("""COMPUTED_VALUE"""),"G-REQ-07332")</f>
        <v>G-REQ-07332</v>
      </c>
      <c r="B7333" s="11">
        <f>IFERROR(__xludf.DUMMYFUNCTION("""COMPUTED_VALUE"""),46283.16820840459)</f>
        <v>46283.16821</v>
      </c>
      <c r="C7333" s="9">
        <f>IFERROR(__xludf.DUMMYFUNCTION("""COMPUTED_VALUE"""),27971.0)</f>
        <v>27971</v>
      </c>
      <c r="D7333" s="9" t="str">
        <f>IFERROR(__xludf.DUMMYFUNCTION("""COMPUTED_VALUE"""),"Completed")</f>
        <v>Completed</v>
      </c>
    </row>
    <row r="7334">
      <c r="A7334" s="9" t="str">
        <f>IFERROR(__xludf.DUMMYFUNCTION("""COMPUTED_VALUE"""),"G-REQ-07333")</f>
        <v>G-REQ-07333</v>
      </c>
      <c r="B7334" s="11">
        <f>IFERROR(__xludf.DUMMYFUNCTION("""COMPUTED_VALUE"""),46283.23938325001)</f>
        <v>46283.23938</v>
      </c>
      <c r="C7334" s="9">
        <f>IFERROR(__xludf.DUMMYFUNCTION("""COMPUTED_VALUE"""),27975.0)</f>
        <v>27975</v>
      </c>
      <c r="D7334" s="9" t="str">
        <f>IFERROR(__xludf.DUMMYFUNCTION("""COMPUTED_VALUE"""),"Completed")</f>
        <v>Completed</v>
      </c>
    </row>
    <row r="7335">
      <c r="A7335" s="9" t="str">
        <f>IFERROR(__xludf.DUMMYFUNCTION("""COMPUTED_VALUE"""),"G-REQ-07334")</f>
        <v>G-REQ-07334</v>
      </c>
      <c r="B7335" s="11">
        <f>IFERROR(__xludf.DUMMYFUNCTION("""COMPUTED_VALUE"""),46283.31055809542)</f>
        <v>46283.31056</v>
      </c>
      <c r="C7335" s="9">
        <f>IFERROR(__xludf.DUMMYFUNCTION("""COMPUTED_VALUE"""),27979.0)</f>
        <v>27979</v>
      </c>
      <c r="D7335" s="9" t="str">
        <f>IFERROR(__xludf.DUMMYFUNCTION("""COMPUTED_VALUE"""),"Completed")</f>
        <v>Completed</v>
      </c>
    </row>
    <row r="7336">
      <c r="A7336" s="9" t="str">
        <f>IFERROR(__xludf.DUMMYFUNCTION("""COMPUTED_VALUE"""),"G-REQ-07335")</f>
        <v>G-REQ-07335</v>
      </c>
      <c r="B7336" s="11">
        <f>IFERROR(__xludf.DUMMYFUNCTION("""COMPUTED_VALUE"""),46283.381732940834)</f>
        <v>46283.38173</v>
      </c>
      <c r="C7336" s="9">
        <f>IFERROR(__xludf.DUMMYFUNCTION("""COMPUTED_VALUE"""),27983.0)</f>
        <v>27983</v>
      </c>
      <c r="D7336" s="9" t="str">
        <f>IFERROR(__xludf.DUMMYFUNCTION("""COMPUTED_VALUE"""),"Completed")</f>
        <v>Completed</v>
      </c>
    </row>
    <row r="7337">
      <c r="A7337" s="9" t="str">
        <f>IFERROR(__xludf.DUMMYFUNCTION("""COMPUTED_VALUE"""),"G-REQ-07336")</f>
        <v>G-REQ-07336</v>
      </c>
      <c r="B7337" s="11">
        <f>IFERROR(__xludf.DUMMYFUNCTION("""COMPUTED_VALUE"""),46283.45290778625)</f>
        <v>46283.45291</v>
      </c>
      <c r="C7337" s="9">
        <f>IFERROR(__xludf.DUMMYFUNCTION("""COMPUTED_VALUE"""),27987.0)</f>
        <v>27987</v>
      </c>
      <c r="D7337" s="9" t="str">
        <f>IFERROR(__xludf.DUMMYFUNCTION("""COMPUTED_VALUE"""),"Completed")</f>
        <v>Completed</v>
      </c>
    </row>
    <row r="7338">
      <c r="A7338" s="9" t="str">
        <f>IFERROR(__xludf.DUMMYFUNCTION("""COMPUTED_VALUE"""),"G-REQ-07337")</f>
        <v>G-REQ-07337</v>
      </c>
      <c r="B7338" s="11">
        <f>IFERROR(__xludf.DUMMYFUNCTION("""COMPUTED_VALUE"""),46283.524082631666)</f>
        <v>46283.52408</v>
      </c>
      <c r="C7338" s="9">
        <f>IFERROR(__xludf.DUMMYFUNCTION("""COMPUTED_VALUE"""),27991.0)</f>
        <v>27991</v>
      </c>
      <c r="D7338" s="9" t="str">
        <f>IFERROR(__xludf.DUMMYFUNCTION("""COMPUTED_VALUE"""),"Completed")</f>
        <v>Completed</v>
      </c>
    </row>
    <row r="7339">
      <c r="A7339" s="9" t="str">
        <f>IFERROR(__xludf.DUMMYFUNCTION("""COMPUTED_VALUE"""),"G-REQ-07338")</f>
        <v>G-REQ-07338</v>
      </c>
      <c r="B7339" s="11">
        <f>IFERROR(__xludf.DUMMYFUNCTION("""COMPUTED_VALUE"""),46283.59525747708)</f>
        <v>46283.59526</v>
      </c>
      <c r="C7339" s="9">
        <f>IFERROR(__xludf.DUMMYFUNCTION("""COMPUTED_VALUE"""),27995.0)</f>
        <v>27995</v>
      </c>
      <c r="D7339" s="9" t="str">
        <f>IFERROR(__xludf.DUMMYFUNCTION("""COMPUTED_VALUE"""),"Completed")</f>
        <v>Completed</v>
      </c>
    </row>
    <row r="7340">
      <c r="A7340" s="9" t="str">
        <f>IFERROR(__xludf.DUMMYFUNCTION("""COMPUTED_VALUE"""),"G-REQ-07339")</f>
        <v>G-REQ-07339</v>
      </c>
      <c r="B7340" s="11">
        <f>IFERROR(__xludf.DUMMYFUNCTION("""COMPUTED_VALUE"""),46283.6664323225)</f>
        <v>46283.66643</v>
      </c>
      <c r="C7340" s="9">
        <f>IFERROR(__xludf.DUMMYFUNCTION("""COMPUTED_VALUE"""),27999.0)</f>
        <v>27999</v>
      </c>
      <c r="D7340" s="9" t="str">
        <f>IFERROR(__xludf.DUMMYFUNCTION("""COMPUTED_VALUE"""),"Completed")</f>
        <v>Completed</v>
      </c>
    </row>
    <row r="7341">
      <c r="A7341" s="9" t="str">
        <f>IFERROR(__xludf.DUMMYFUNCTION("""COMPUTED_VALUE"""),"G-REQ-07340")</f>
        <v>G-REQ-07340</v>
      </c>
      <c r="B7341" s="11">
        <f>IFERROR(__xludf.DUMMYFUNCTION("""COMPUTED_VALUE"""),46283.73760716792)</f>
        <v>46283.73761</v>
      </c>
      <c r="C7341" s="9">
        <f>IFERROR(__xludf.DUMMYFUNCTION("""COMPUTED_VALUE"""),28003.0)</f>
        <v>28003</v>
      </c>
      <c r="D7341" s="9" t="str">
        <f>IFERROR(__xludf.DUMMYFUNCTION("""COMPUTED_VALUE"""),"Completed")</f>
        <v>Completed</v>
      </c>
    </row>
    <row r="7342">
      <c r="A7342" s="9" t="str">
        <f>IFERROR(__xludf.DUMMYFUNCTION("""COMPUTED_VALUE"""),"G-REQ-07341")</f>
        <v>G-REQ-07341</v>
      </c>
      <c r="B7342" s="11">
        <f>IFERROR(__xludf.DUMMYFUNCTION("""COMPUTED_VALUE"""),46283.80878201332)</f>
        <v>46283.80878</v>
      </c>
      <c r="C7342" s="9">
        <f>IFERROR(__xludf.DUMMYFUNCTION("""COMPUTED_VALUE"""),28007.0)</f>
        <v>28007</v>
      </c>
      <c r="D7342" s="9" t="str">
        <f>IFERROR(__xludf.DUMMYFUNCTION("""COMPUTED_VALUE"""),"Completed")</f>
        <v>Completed</v>
      </c>
    </row>
    <row r="7343">
      <c r="A7343" s="9" t="str">
        <f>IFERROR(__xludf.DUMMYFUNCTION("""COMPUTED_VALUE"""),"G-REQ-07342")</f>
        <v>G-REQ-07342</v>
      </c>
      <c r="B7343" s="11">
        <f>IFERROR(__xludf.DUMMYFUNCTION("""COMPUTED_VALUE"""),46283.87995685874)</f>
        <v>46283.87996</v>
      </c>
      <c r="C7343" s="9">
        <f>IFERROR(__xludf.DUMMYFUNCTION("""COMPUTED_VALUE"""),28011.0)</f>
        <v>28011</v>
      </c>
      <c r="D7343" s="9" t="str">
        <f>IFERROR(__xludf.DUMMYFUNCTION("""COMPUTED_VALUE"""),"Completed")</f>
        <v>Completed</v>
      </c>
    </row>
    <row r="7344">
      <c r="A7344" s="9" t="str">
        <f>IFERROR(__xludf.DUMMYFUNCTION("""COMPUTED_VALUE"""),"G-REQ-07343")</f>
        <v>G-REQ-07343</v>
      </c>
      <c r="B7344" s="11">
        <f>IFERROR(__xludf.DUMMYFUNCTION("""COMPUTED_VALUE"""),46283.94418725971)</f>
        <v>46283.94419</v>
      </c>
      <c r="C7344" s="9">
        <f>IFERROR(__xludf.DUMMYFUNCTION("""COMPUTED_VALUE"""),28013.0)</f>
        <v>28013</v>
      </c>
      <c r="D7344" s="9" t="str">
        <f>IFERROR(__xludf.DUMMYFUNCTION("""COMPUTED_VALUE"""),"Cancelled")</f>
        <v>Cancelled</v>
      </c>
    </row>
    <row r="7345">
      <c r="A7345" s="9" t="str">
        <f>IFERROR(__xludf.DUMMYFUNCTION("""COMPUTED_VALUE"""),"G-REQ-07344")</f>
        <v>G-REQ-07344</v>
      </c>
      <c r="B7345" s="11">
        <f>IFERROR(__xludf.DUMMYFUNCTION("""COMPUTED_VALUE"""),46284.022306549574)</f>
        <v>46284.02231</v>
      </c>
      <c r="C7345" s="9">
        <f>IFERROR(__xludf.DUMMYFUNCTION("""COMPUTED_VALUE"""),28017.0)</f>
        <v>28017</v>
      </c>
      <c r="D7345" s="9" t="str">
        <f>IFERROR(__xludf.DUMMYFUNCTION("""COMPUTED_VALUE"""),"Completed")</f>
        <v>Completed</v>
      </c>
    </row>
    <row r="7346">
      <c r="A7346" s="9" t="str">
        <f>IFERROR(__xludf.DUMMYFUNCTION("""COMPUTED_VALUE"""),"G-REQ-07345")</f>
        <v>G-REQ-07345</v>
      </c>
      <c r="B7346" s="11">
        <f>IFERROR(__xludf.DUMMYFUNCTION("""COMPUTED_VALUE"""),46284.08653695054)</f>
        <v>46284.08654</v>
      </c>
      <c r="C7346" s="9">
        <f>IFERROR(__xludf.DUMMYFUNCTION("""COMPUTED_VALUE"""),28019.0)</f>
        <v>28019</v>
      </c>
      <c r="D7346" s="9" t="str">
        <f>IFERROR(__xludf.DUMMYFUNCTION("""COMPUTED_VALUE"""),"Rejected")</f>
        <v>Rejected</v>
      </c>
    </row>
    <row r="7347">
      <c r="A7347" s="9" t="str">
        <f>IFERROR(__xludf.DUMMYFUNCTION("""COMPUTED_VALUE"""),"G-REQ-07346")</f>
        <v>G-REQ-07346</v>
      </c>
      <c r="B7347" s="11">
        <f>IFERROR(__xludf.DUMMYFUNCTION("""COMPUTED_VALUE"""),46284.15771179596)</f>
        <v>46284.15771</v>
      </c>
      <c r="C7347" s="9">
        <f>IFERROR(__xludf.DUMMYFUNCTION("""COMPUTED_VALUE"""),28021.0)</f>
        <v>28021</v>
      </c>
      <c r="D7347" s="9" t="str">
        <f>IFERROR(__xludf.DUMMYFUNCTION("""COMPUTED_VALUE"""),"Rejected")</f>
        <v>Rejected</v>
      </c>
    </row>
    <row r="7348">
      <c r="A7348" s="9" t="str">
        <f>IFERROR(__xludf.DUMMYFUNCTION("""COMPUTED_VALUE"""),"G-REQ-07347")</f>
        <v>G-REQ-07347</v>
      </c>
      <c r="B7348" s="11">
        <f>IFERROR(__xludf.DUMMYFUNCTION("""COMPUTED_VALUE"""),46284.23583108581)</f>
        <v>46284.23583</v>
      </c>
      <c r="C7348" s="9">
        <f>IFERROR(__xludf.DUMMYFUNCTION("""COMPUTED_VALUE"""),28025.0)</f>
        <v>28025</v>
      </c>
      <c r="D7348" s="9" t="str">
        <f>IFERROR(__xludf.DUMMYFUNCTION("""COMPUTED_VALUE"""),"Completed")</f>
        <v>Completed</v>
      </c>
    </row>
    <row r="7349">
      <c r="A7349" s="9" t="str">
        <f>IFERROR(__xludf.DUMMYFUNCTION("""COMPUTED_VALUE"""),"G-REQ-07348")</f>
        <v>G-REQ-07348</v>
      </c>
      <c r="B7349" s="11">
        <f>IFERROR(__xludf.DUMMYFUNCTION("""COMPUTED_VALUE"""),46284.30700593123)</f>
        <v>46284.30701</v>
      </c>
      <c r="C7349" s="9">
        <f>IFERROR(__xludf.DUMMYFUNCTION("""COMPUTED_VALUE"""),28029.0)</f>
        <v>28029</v>
      </c>
      <c r="D7349" s="9" t="str">
        <f>IFERROR(__xludf.DUMMYFUNCTION("""COMPUTED_VALUE"""),"Completed")</f>
        <v>Completed</v>
      </c>
    </row>
    <row r="7350">
      <c r="A7350" s="9" t="str">
        <f>IFERROR(__xludf.DUMMYFUNCTION("""COMPUTED_VALUE"""),"G-REQ-07349")</f>
        <v>G-REQ-07349</v>
      </c>
      <c r="B7350" s="11">
        <f>IFERROR(__xludf.DUMMYFUNCTION("""COMPUTED_VALUE"""),46284.37818077665)</f>
        <v>46284.37818</v>
      </c>
      <c r="C7350" s="9">
        <f>IFERROR(__xludf.DUMMYFUNCTION("""COMPUTED_VALUE"""),28033.0)</f>
        <v>28033</v>
      </c>
      <c r="D7350" s="9" t="str">
        <f>IFERROR(__xludf.DUMMYFUNCTION("""COMPUTED_VALUE"""),"Completed")</f>
        <v>Completed</v>
      </c>
    </row>
    <row r="7351">
      <c r="A7351" s="9" t="str">
        <f>IFERROR(__xludf.DUMMYFUNCTION("""COMPUTED_VALUE"""),"G-REQ-07350")</f>
        <v>G-REQ-07350</v>
      </c>
      <c r="B7351" s="11">
        <f>IFERROR(__xludf.DUMMYFUNCTION("""COMPUTED_VALUE"""),46284.44241117762)</f>
        <v>46284.44241</v>
      </c>
      <c r="C7351" s="9">
        <f>IFERROR(__xludf.DUMMYFUNCTION("""COMPUTED_VALUE"""),28035.0)</f>
        <v>28035</v>
      </c>
      <c r="D7351" s="9" t="str">
        <f>IFERROR(__xludf.DUMMYFUNCTION("""COMPUTED_VALUE"""),"Cancelled")</f>
        <v>Cancelled</v>
      </c>
    </row>
    <row r="7352">
      <c r="A7352" s="9" t="str">
        <f>IFERROR(__xludf.DUMMYFUNCTION("""COMPUTED_VALUE"""),"G-REQ-07351")</f>
        <v>G-REQ-07351</v>
      </c>
      <c r="B7352" s="11">
        <f>IFERROR(__xludf.DUMMYFUNCTION("""COMPUTED_VALUE"""),46284.520530467475)</f>
        <v>46284.52053</v>
      </c>
      <c r="C7352" s="9">
        <f>IFERROR(__xludf.DUMMYFUNCTION("""COMPUTED_VALUE"""),28039.0)</f>
        <v>28039</v>
      </c>
      <c r="D7352" s="9" t="str">
        <f>IFERROR(__xludf.DUMMYFUNCTION("""COMPUTED_VALUE"""),"Completed")</f>
        <v>Completed</v>
      </c>
    </row>
    <row r="7353">
      <c r="A7353" s="9" t="str">
        <f>IFERROR(__xludf.DUMMYFUNCTION("""COMPUTED_VALUE"""),"G-REQ-07352")</f>
        <v>G-REQ-07352</v>
      </c>
      <c r="B7353" s="11">
        <f>IFERROR(__xludf.DUMMYFUNCTION("""COMPUTED_VALUE"""),46284.591705312894)</f>
        <v>46284.59171</v>
      </c>
      <c r="C7353" s="9">
        <f>IFERROR(__xludf.DUMMYFUNCTION("""COMPUTED_VALUE"""),28043.0)</f>
        <v>28043</v>
      </c>
      <c r="D7353" s="9" t="str">
        <f>IFERROR(__xludf.DUMMYFUNCTION("""COMPUTED_VALUE"""),"Completed")</f>
        <v>Completed</v>
      </c>
    </row>
    <row r="7354">
      <c r="A7354" s="9" t="str">
        <f>IFERROR(__xludf.DUMMYFUNCTION("""COMPUTED_VALUE"""),"G-REQ-07353")</f>
        <v>G-REQ-07353</v>
      </c>
      <c r="B7354" s="11">
        <f>IFERROR(__xludf.DUMMYFUNCTION("""COMPUTED_VALUE"""),46284.66288015831)</f>
        <v>46284.66288</v>
      </c>
      <c r="C7354" s="9">
        <f>IFERROR(__xludf.DUMMYFUNCTION("""COMPUTED_VALUE"""),28047.0)</f>
        <v>28047</v>
      </c>
      <c r="D7354" s="9" t="str">
        <f>IFERROR(__xludf.DUMMYFUNCTION("""COMPUTED_VALUE"""),"Completed")</f>
        <v>Completed</v>
      </c>
    </row>
    <row r="7355">
      <c r="A7355" s="9" t="str">
        <f>IFERROR(__xludf.DUMMYFUNCTION("""COMPUTED_VALUE"""),"G-REQ-07354")</f>
        <v>G-REQ-07354</v>
      </c>
      <c r="B7355" s="11">
        <f>IFERROR(__xludf.DUMMYFUNCTION("""COMPUTED_VALUE"""),46284.73405500372)</f>
        <v>46284.73406</v>
      </c>
      <c r="C7355" s="9">
        <f>IFERROR(__xludf.DUMMYFUNCTION("""COMPUTED_VALUE"""),28051.0)</f>
        <v>28051</v>
      </c>
      <c r="D7355" s="9" t="str">
        <f>IFERROR(__xludf.DUMMYFUNCTION("""COMPUTED_VALUE"""),"Completed")</f>
        <v>Completed</v>
      </c>
    </row>
    <row r="7356">
      <c r="A7356" s="9" t="str">
        <f>IFERROR(__xludf.DUMMYFUNCTION("""COMPUTED_VALUE"""),"G-REQ-07355")</f>
        <v>G-REQ-07355</v>
      </c>
      <c r="B7356" s="11">
        <f>IFERROR(__xludf.DUMMYFUNCTION("""COMPUTED_VALUE"""),46284.80522984914)</f>
        <v>46284.80523</v>
      </c>
      <c r="C7356" s="9">
        <f>IFERROR(__xludf.DUMMYFUNCTION("""COMPUTED_VALUE"""),28055.0)</f>
        <v>28055</v>
      </c>
      <c r="D7356" s="9" t="str">
        <f>IFERROR(__xludf.DUMMYFUNCTION("""COMPUTED_VALUE"""),"Completed")</f>
        <v>Completed</v>
      </c>
    </row>
    <row r="7357">
      <c r="A7357" s="9" t="str">
        <f>IFERROR(__xludf.DUMMYFUNCTION("""COMPUTED_VALUE"""),"G-REQ-07356")</f>
        <v>G-REQ-07356</v>
      </c>
      <c r="B7357" s="11">
        <f>IFERROR(__xludf.DUMMYFUNCTION("""COMPUTED_VALUE"""),46284.87640469456)</f>
        <v>46284.8764</v>
      </c>
      <c r="C7357" s="9">
        <f>IFERROR(__xludf.DUMMYFUNCTION("""COMPUTED_VALUE"""),28059.0)</f>
        <v>28059</v>
      </c>
      <c r="D7357" s="9" t="str">
        <f>IFERROR(__xludf.DUMMYFUNCTION("""COMPUTED_VALUE"""),"Completed")</f>
        <v>Completed</v>
      </c>
    </row>
    <row r="7358">
      <c r="A7358" s="9" t="str">
        <f>IFERROR(__xludf.DUMMYFUNCTION("""COMPUTED_VALUE"""),"G-REQ-07357")</f>
        <v>G-REQ-07357</v>
      </c>
      <c r="B7358" s="11">
        <f>IFERROR(__xludf.DUMMYFUNCTION("""COMPUTED_VALUE"""),46284.94757953996)</f>
        <v>46284.94758</v>
      </c>
      <c r="C7358" s="9">
        <f>IFERROR(__xludf.DUMMYFUNCTION("""COMPUTED_VALUE"""),28063.0)</f>
        <v>28063</v>
      </c>
      <c r="D7358" s="9" t="str">
        <f>IFERROR(__xludf.DUMMYFUNCTION("""COMPUTED_VALUE"""),"Completed")</f>
        <v>Completed</v>
      </c>
    </row>
    <row r="7359">
      <c r="A7359" s="9" t="str">
        <f>IFERROR(__xludf.DUMMYFUNCTION("""COMPUTED_VALUE"""),"G-REQ-07358")</f>
        <v>G-REQ-07358</v>
      </c>
      <c r="B7359" s="11">
        <f>IFERROR(__xludf.DUMMYFUNCTION("""COMPUTED_VALUE"""),46285.01875438538)</f>
        <v>46285.01875</v>
      </c>
      <c r="C7359" s="9">
        <f>IFERROR(__xludf.DUMMYFUNCTION("""COMPUTED_VALUE"""),28067.0)</f>
        <v>28067</v>
      </c>
      <c r="D7359" s="9" t="str">
        <f>IFERROR(__xludf.DUMMYFUNCTION("""COMPUTED_VALUE"""),"Completed")</f>
        <v>Completed</v>
      </c>
    </row>
    <row r="7360">
      <c r="A7360" s="9" t="str">
        <f>IFERROR(__xludf.DUMMYFUNCTION("""COMPUTED_VALUE"""),"G-REQ-07359")</f>
        <v>G-REQ-07359</v>
      </c>
      <c r="B7360" s="11">
        <f>IFERROR(__xludf.DUMMYFUNCTION("""COMPUTED_VALUE"""),46285.089929230795)</f>
        <v>46285.08993</v>
      </c>
      <c r="C7360" s="9">
        <f>IFERROR(__xludf.DUMMYFUNCTION("""COMPUTED_VALUE"""),28071.0)</f>
        <v>28071</v>
      </c>
      <c r="D7360" s="9" t="str">
        <f>IFERROR(__xludf.DUMMYFUNCTION("""COMPUTED_VALUE"""),"Completed")</f>
        <v>Completed</v>
      </c>
    </row>
    <row r="7361">
      <c r="A7361" s="9" t="str">
        <f>IFERROR(__xludf.DUMMYFUNCTION("""COMPUTED_VALUE"""),"G-REQ-07360")</f>
        <v>G-REQ-07360</v>
      </c>
      <c r="B7361" s="11">
        <f>IFERROR(__xludf.DUMMYFUNCTION("""COMPUTED_VALUE"""),46285.161104076215)</f>
        <v>46285.1611</v>
      </c>
      <c r="C7361" s="9">
        <f>IFERROR(__xludf.DUMMYFUNCTION("""COMPUTED_VALUE"""),28075.0)</f>
        <v>28075</v>
      </c>
      <c r="D7361" s="9" t="str">
        <f>IFERROR(__xludf.DUMMYFUNCTION("""COMPUTED_VALUE"""),"Completed")</f>
        <v>Completed</v>
      </c>
    </row>
    <row r="7362">
      <c r="A7362" s="9" t="str">
        <f>IFERROR(__xludf.DUMMYFUNCTION("""COMPUTED_VALUE"""),"G-REQ-07361")</f>
        <v>G-REQ-07361</v>
      </c>
      <c r="B7362" s="11">
        <f>IFERROR(__xludf.DUMMYFUNCTION("""COMPUTED_VALUE"""),46285.23227892163)</f>
        <v>46285.23228</v>
      </c>
      <c r="C7362" s="9">
        <f>IFERROR(__xludf.DUMMYFUNCTION("""COMPUTED_VALUE"""),28079.0)</f>
        <v>28079</v>
      </c>
      <c r="D7362" s="9" t="str">
        <f>IFERROR(__xludf.DUMMYFUNCTION("""COMPUTED_VALUE"""),"Completed")</f>
        <v>Completed</v>
      </c>
    </row>
    <row r="7363">
      <c r="A7363" s="9" t="str">
        <f>IFERROR(__xludf.DUMMYFUNCTION("""COMPUTED_VALUE"""),"G-REQ-07362")</f>
        <v>G-REQ-07362</v>
      </c>
      <c r="B7363" s="11">
        <f>IFERROR(__xludf.DUMMYFUNCTION("""COMPUTED_VALUE"""),46285.30345376705)</f>
        <v>46285.30345</v>
      </c>
      <c r="C7363" s="9">
        <f>IFERROR(__xludf.DUMMYFUNCTION("""COMPUTED_VALUE"""),28083.0)</f>
        <v>28083</v>
      </c>
      <c r="D7363" s="9" t="str">
        <f>IFERROR(__xludf.DUMMYFUNCTION("""COMPUTED_VALUE"""),"Completed")</f>
        <v>Completed</v>
      </c>
    </row>
    <row r="7364">
      <c r="A7364" s="9" t="str">
        <f>IFERROR(__xludf.DUMMYFUNCTION("""COMPUTED_VALUE"""),"G-REQ-07363")</f>
        <v>G-REQ-07363</v>
      </c>
      <c r="B7364" s="11">
        <f>IFERROR(__xludf.DUMMYFUNCTION("""COMPUTED_VALUE"""),46285.37462861246)</f>
        <v>46285.37463</v>
      </c>
      <c r="C7364" s="9">
        <f>IFERROR(__xludf.DUMMYFUNCTION("""COMPUTED_VALUE"""),28087.0)</f>
        <v>28087</v>
      </c>
      <c r="D7364" s="9" t="str">
        <f>IFERROR(__xludf.DUMMYFUNCTION("""COMPUTED_VALUE"""),"Completed")</f>
        <v>Completed</v>
      </c>
    </row>
    <row r="7365">
      <c r="A7365" s="9" t="str">
        <f>IFERROR(__xludf.DUMMYFUNCTION("""COMPUTED_VALUE"""),"G-REQ-07364")</f>
        <v>G-REQ-07364</v>
      </c>
      <c r="B7365" s="11">
        <f>IFERROR(__xludf.DUMMYFUNCTION("""COMPUTED_VALUE"""),46285.44580345787)</f>
        <v>46285.4458</v>
      </c>
      <c r="C7365" s="9">
        <f>IFERROR(__xludf.DUMMYFUNCTION("""COMPUTED_VALUE"""),28091.0)</f>
        <v>28091</v>
      </c>
      <c r="D7365" s="9" t="str">
        <f>IFERROR(__xludf.DUMMYFUNCTION("""COMPUTED_VALUE"""),"Completed")</f>
        <v>Completed</v>
      </c>
    </row>
    <row r="7366">
      <c r="A7366" s="9" t="str">
        <f>IFERROR(__xludf.DUMMYFUNCTION("""COMPUTED_VALUE"""),"G-REQ-07365")</f>
        <v>G-REQ-07365</v>
      </c>
      <c r="B7366" s="11">
        <f>IFERROR(__xludf.DUMMYFUNCTION("""COMPUTED_VALUE"""),46285.51697830329)</f>
        <v>46285.51698</v>
      </c>
      <c r="C7366" s="9">
        <f>IFERROR(__xludf.DUMMYFUNCTION("""COMPUTED_VALUE"""),28095.0)</f>
        <v>28095</v>
      </c>
      <c r="D7366" s="9" t="str">
        <f>IFERROR(__xludf.DUMMYFUNCTION("""COMPUTED_VALUE"""),"Completed")</f>
        <v>Completed</v>
      </c>
    </row>
    <row r="7367">
      <c r="A7367" s="9" t="str">
        <f>IFERROR(__xludf.DUMMYFUNCTION("""COMPUTED_VALUE"""),"G-REQ-07366")</f>
        <v>G-REQ-07366</v>
      </c>
      <c r="B7367" s="11">
        <f>IFERROR(__xludf.DUMMYFUNCTION("""COMPUTED_VALUE"""),46285.5881531487)</f>
        <v>46285.58815</v>
      </c>
      <c r="C7367" s="9">
        <f>IFERROR(__xludf.DUMMYFUNCTION("""COMPUTED_VALUE"""),28099.0)</f>
        <v>28099</v>
      </c>
      <c r="D7367" s="9" t="str">
        <f>IFERROR(__xludf.DUMMYFUNCTION("""COMPUTED_VALUE"""),"Completed")</f>
        <v>Completed</v>
      </c>
    </row>
    <row r="7368">
      <c r="A7368" s="9" t="str">
        <f>IFERROR(__xludf.DUMMYFUNCTION("""COMPUTED_VALUE"""),"G-REQ-07367")</f>
        <v>G-REQ-07367</v>
      </c>
      <c r="B7368" s="11">
        <f>IFERROR(__xludf.DUMMYFUNCTION("""COMPUTED_VALUE"""),46285.659327994115)</f>
        <v>46285.65933</v>
      </c>
      <c r="C7368" s="9">
        <f>IFERROR(__xludf.DUMMYFUNCTION("""COMPUTED_VALUE"""),28103.0)</f>
        <v>28103</v>
      </c>
      <c r="D7368" s="9" t="str">
        <f>IFERROR(__xludf.DUMMYFUNCTION("""COMPUTED_VALUE"""),"Completed")</f>
        <v>Completed</v>
      </c>
    </row>
    <row r="7369">
      <c r="A7369" s="9" t="str">
        <f>IFERROR(__xludf.DUMMYFUNCTION("""COMPUTED_VALUE"""),"G-REQ-07368")</f>
        <v>G-REQ-07368</v>
      </c>
      <c r="B7369" s="11">
        <f>IFERROR(__xludf.DUMMYFUNCTION("""COMPUTED_VALUE"""),46285.730502839535)</f>
        <v>46285.7305</v>
      </c>
      <c r="C7369" s="9">
        <f>IFERROR(__xludf.DUMMYFUNCTION("""COMPUTED_VALUE"""),28107.0)</f>
        <v>28107</v>
      </c>
      <c r="D7369" s="9" t="str">
        <f>IFERROR(__xludf.DUMMYFUNCTION("""COMPUTED_VALUE"""),"Completed")</f>
        <v>Completed</v>
      </c>
    </row>
    <row r="7370">
      <c r="A7370" s="9" t="str">
        <f>IFERROR(__xludf.DUMMYFUNCTION("""COMPUTED_VALUE"""),"G-REQ-07369")</f>
        <v>G-REQ-07369</v>
      </c>
      <c r="B7370" s="11">
        <f>IFERROR(__xludf.DUMMYFUNCTION("""COMPUTED_VALUE"""),46285.7947332405)</f>
        <v>46285.79473</v>
      </c>
      <c r="C7370" s="9">
        <f>IFERROR(__xludf.DUMMYFUNCTION("""COMPUTED_VALUE"""),28109.0)</f>
        <v>28109</v>
      </c>
      <c r="D7370" s="9" t="str">
        <f>IFERROR(__xludf.DUMMYFUNCTION("""COMPUTED_VALUE"""),"Cancelled")</f>
        <v>Cancelled</v>
      </c>
    </row>
    <row r="7371">
      <c r="A7371" s="9" t="str">
        <f>IFERROR(__xludf.DUMMYFUNCTION("""COMPUTED_VALUE"""),"G-REQ-07370")</f>
        <v>G-REQ-07370</v>
      </c>
      <c r="B7371" s="11">
        <f>IFERROR(__xludf.DUMMYFUNCTION("""COMPUTED_VALUE"""),46285.865908085914)</f>
        <v>46285.86591</v>
      </c>
      <c r="C7371" s="9">
        <f>IFERROR(__xludf.DUMMYFUNCTION("""COMPUTED_VALUE"""),28111.0)</f>
        <v>28111</v>
      </c>
      <c r="D7371" s="9" t="str">
        <f>IFERROR(__xludf.DUMMYFUNCTION("""COMPUTED_VALUE"""),"Rejected")</f>
        <v>Rejected</v>
      </c>
    </row>
    <row r="7372">
      <c r="A7372" s="9" t="str">
        <f>IFERROR(__xludf.DUMMYFUNCTION("""COMPUTED_VALUE"""),"G-REQ-07371")</f>
        <v>G-REQ-07371</v>
      </c>
      <c r="B7372" s="11">
        <f>IFERROR(__xludf.DUMMYFUNCTION("""COMPUTED_VALUE"""),46285.94402737578)</f>
        <v>46285.94403</v>
      </c>
      <c r="C7372" s="9">
        <f>IFERROR(__xludf.DUMMYFUNCTION("""COMPUTED_VALUE"""),28115.0)</f>
        <v>28115</v>
      </c>
      <c r="D7372" s="9" t="str">
        <f>IFERROR(__xludf.DUMMYFUNCTION("""COMPUTED_VALUE"""),"Completed")</f>
        <v>Completed</v>
      </c>
    </row>
    <row r="7373">
      <c r="A7373" s="9" t="str">
        <f>IFERROR(__xludf.DUMMYFUNCTION("""COMPUTED_VALUE"""),"G-REQ-07372")</f>
        <v>G-REQ-07372</v>
      </c>
      <c r="B7373" s="11">
        <f>IFERROR(__xludf.DUMMYFUNCTION("""COMPUTED_VALUE"""),46286.0152022212)</f>
        <v>46286.0152</v>
      </c>
      <c r="C7373" s="9">
        <f>IFERROR(__xludf.DUMMYFUNCTION("""COMPUTED_VALUE"""),28119.0)</f>
        <v>28119</v>
      </c>
      <c r="D7373" s="9" t="str">
        <f>IFERROR(__xludf.DUMMYFUNCTION("""COMPUTED_VALUE"""),"Completed")</f>
        <v>Completed</v>
      </c>
    </row>
    <row r="7374">
      <c r="A7374" s="9" t="str">
        <f>IFERROR(__xludf.DUMMYFUNCTION("""COMPUTED_VALUE"""),"G-REQ-07373")</f>
        <v>G-REQ-07373</v>
      </c>
      <c r="B7374" s="11">
        <f>IFERROR(__xludf.DUMMYFUNCTION("""COMPUTED_VALUE"""),46286.086377066604)</f>
        <v>46286.08638</v>
      </c>
      <c r="C7374" s="9">
        <f>IFERROR(__xludf.DUMMYFUNCTION("""COMPUTED_VALUE"""),28123.0)</f>
        <v>28123</v>
      </c>
      <c r="D7374" s="9" t="str">
        <f>IFERROR(__xludf.DUMMYFUNCTION("""COMPUTED_VALUE"""),"Completed")</f>
        <v>Completed</v>
      </c>
    </row>
    <row r="7375">
      <c r="A7375" s="9" t="str">
        <f>IFERROR(__xludf.DUMMYFUNCTION("""COMPUTED_VALUE"""),"G-REQ-07374")</f>
        <v>G-REQ-07374</v>
      </c>
      <c r="B7375" s="11">
        <f>IFERROR(__xludf.DUMMYFUNCTION("""COMPUTED_VALUE"""),46286.15755191202)</f>
        <v>46286.15755</v>
      </c>
      <c r="C7375" s="9">
        <f>IFERROR(__xludf.DUMMYFUNCTION("""COMPUTED_VALUE"""),28127.0)</f>
        <v>28127</v>
      </c>
      <c r="D7375" s="9" t="str">
        <f>IFERROR(__xludf.DUMMYFUNCTION("""COMPUTED_VALUE"""),"Completed")</f>
        <v>Completed</v>
      </c>
    </row>
    <row r="7376">
      <c r="A7376" s="9" t="str">
        <f>IFERROR(__xludf.DUMMYFUNCTION("""COMPUTED_VALUE"""),"G-REQ-07375")</f>
        <v>G-REQ-07375</v>
      </c>
      <c r="B7376" s="11">
        <f>IFERROR(__xludf.DUMMYFUNCTION("""COMPUTED_VALUE"""),46286.22872675744)</f>
        <v>46286.22873</v>
      </c>
      <c r="C7376" s="9">
        <f>IFERROR(__xludf.DUMMYFUNCTION("""COMPUTED_VALUE"""),28131.0)</f>
        <v>28131</v>
      </c>
      <c r="D7376" s="9" t="str">
        <f>IFERROR(__xludf.DUMMYFUNCTION("""COMPUTED_VALUE"""),"Completed")</f>
        <v>Completed</v>
      </c>
    </row>
    <row r="7377">
      <c r="A7377" s="9" t="str">
        <f>IFERROR(__xludf.DUMMYFUNCTION("""COMPUTED_VALUE"""),"G-REQ-07376")</f>
        <v>G-REQ-07376</v>
      </c>
      <c r="B7377" s="11">
        <f>IFERROR(__xludf.DUMMYFUNCTION("""COMPUTED_VALUE"""),46286.299901602855)</f>
        <v>46286.2999</v>
      </c>
      <c r="C7377" s="9">
        <f>IFERROR(__xludf.DUMMYFUNCTION("""COMPUTED_VALUE"""),28135.0)</f>
        <v>28135</v>
      </c>
      <c r="D7377" s="9" t="str">
        <f>IFERROR(__xludf.DUMMYFUNCTION("""COMPUTED_VALUE"""),"Completed")</f>
        <v>Completed</v>
      </c>
    </row>
    <row r="7378">
      <c r="A7378" s="9" t="str">
        <f>IFERROR(__xludf.DUMMYFUNCTION("""COMPUTED_VALUE"""),"G-REQ-07377")</f>
        <v>G-REQ-07377</v>
      </c>
      <c r="B7378" s="11">
        <f>IFERROR(__xludf.DUMMYFUNCTION("""COMPUTED_VALUE"""),46286.36413200382)</f>
        <v>46286.36413</v>
      </c>
      <c r="C7378" s="9">
        <f>IFERROR(__xludf.DUMMYFUNCTION("""COMPUTED_VALUE"""),28137.0)</f>
        <v>28137</v>
      </c>
      <c r="D7378" s="9" t="str">
        <f>IFERROR(__xludf.DUMMYFUNCTION("""COMPUTED_VALUE"""),"Rejected")</f>
        <v>Rejected</v>
      </c>
    </row>
    <row r="7379">
      <c r="A7379" s="9" t="str">
        <f>IFERROR(__xludf.DUMMYFUNCTION("""COMPUTED_VALUE"""),"G-REQ-07378")</f>
        <v>G-REQ-07378</v>
      </c>
      <c r="B7379" s="11">
        <f>IFERROR(__xludf.DUMMYFUNCTION("""COMPUTED_VALUE"""),46286.44225129369)</f>
        <v>46286.44225</v>
      </c>
      <c r="C7379" s="9">
        <f>IFERROR(__xludf.DUMMYFUNCTION("""COMPUTED_VALUE"""),28141.0)</f>
        <v>28141</v>
      </c>
      <c r="D7379" s="9" t="str">
        <f>IFERROR(__xludf.DUMMYFUNCTION("""COMPUTED_VALUE"""),"Completed")</f>
        <v>Completed</v>
      </c>
    </row>
    <row r="7380">
      <c r="A7380" s="9" t="str">
        <f>IFERROR(__xludf.DUMMYFUNCTION("""COMPUTED_VALUE"""),"G-REQ-07379")</f>
        <v>G-REQ-07379</v>
      </c>
      <c r="B7380" s="11">
        <f>IFERROR(__xludf.DUMMYFUNCTION("""COMPUTED_VALUE"""),46286.5134261391)</f>
        <v>46286.51343</v>
      </c>
      <c r="C7380" s="9">
        <f>IFERROR(__xludf.DUMMYFUNCTION("""COMPUTED_VALUE"""),28145.0)</f>
        <v>28145</v>
      </c>
      <c r="D7380" s="9" t="str">
        <f>IFERROR(__xludf.DUMMYFUNCTION("""COMPUTED_VALUE"""),"Completed")</f>
        <v>Completed</v>
      </c>
    </row>
    <row r="7381">
      <c r="A7381" s="9" t="str">
        <f>IFERROR(__xludf.DUMMYFUNCTION("""COMPUTED_VALUE"""),"G-REQ-07380")</f>
        <v>G-REQ-07380</v>
      </c>
      <c r="B7381" s="11">
        <f>IFERROR(__xludf.DUMMYFUNCTION("""COMPUTED_VALUE"""),46286.58460098451)</f>
        <v>46286.5846</v>
      </c>
      <c r="C7381" s="9">
        <f>IFERROR(__xludf.DUMMYFUNCTION("""COMPUTED_VALUE"""),28149.0)</f>
        <v>28149</v>
      </c>
      <c r="D7381" s="9" t="str">
        <f>IFERROR(__xludf.DUMMYFUNCTION("""COMPUTED_VALUE"""),"Completed")</f>
        <v>Completed</v>
      </c>
    </row>
    <row r="7382">
      <c r="A7382" s="9" t="str">
        <f>IFERROR(__xludf.DUMMYFUNCTION("""COMPUTED_VALUE"""),"G-REQ-07381")</f>
        <v>G-REQ-07381</v>
      </c>
      <c r="B7382" s="11">
        <f>IFERROR(__xludf.DUMMYFUNCTION("""COMPUTED_VALUE"""),46286.65577582993)</f>
        <v>46286.65578</v>
      </c>
      <c r="C7382" s="9">
        <f>IFERROR(__xludf.DUMMYFUNCTION("""COMPUTED_VALUE"""),28153.0)</f>
        <v>28153</v>
      </c>
      <c r="D7382" s="9" t="str">
        <f>IFERROR(__xludf.DUMMYFUNCTION("""COMPUTED_VALUE"""),"Completed")</f>
        <v>Completed</v>
      </c>
    </row>
    <row r="7383">
      <c r="A7383" s="9" t="str">
        <f>IFERROR(__xludf.DUMMYFUNCTION("""COMPUTED_VALUE"""),"G-REQ-07382")</f>
        <v>G-REQ-07382</v>
      </c>
      <c r="B7383" s="11">
        <f>IFERROR(__xludf.DUMMYFUNCTION("""COMPUTED_VALUE"""),46286.726950675344)</f>
        <v>46286.72695</v>
      </c>
      <c r="C7383" s="9">
        <f>IFERROR(__xludf.DUMMYFUNCTION("""COMPUTED_VALUE"""),28157.0)</f>
        <v>28157</v>
      </c>
      <c r="D7383" s="9" t="str">
        <f>IFERROR(__xludf.DUMMYFUNCTION("""COMPUTED_VALUE"""),"Completed")</f>
        <v>Completed</v>
      </c>
    </row>
    <row r="7384">
      <c r="A7384" s="9" t="str">
        <f>IFERROR(__xludf.DUMMYFUNCTION("""COMPUTED_VALUE"""),"G-REQ-07383")</f>
        <v>G-REQ-07383</v>
      </c>
      <c r="B7384" s="11">
        <f>IFERROR(__xludf.DUMMYFUNCTION("""COMPUTED_VALUE"""),46286.798125520756)</f>
        <v>46286.79813</v>
      </c>
      <c r="C7384" s="9">
        <f>IFERROR(__xludf.DUMMYFUNCTION("""COMPUTED_VALUE"""),28161.0)</f>
        <v>28161</v>
      </c>
      <c r="D7384" s="9" t="str">
        <f>IFERROR(__xludf.DUMMYFUNCTION("""COMPUTED_VALUE"""),"Completed")</f>
        <v>Completed</v>
      </c>
    </row>
    <row r="7385">
      <c r="A7385" s="9" t="str">
        <f>IFERROR(__xludf.DUMMYFUNCTION("""COMPUTED_VALUE"""),"G-REQ-07384")</f>
        <v>G-REQ-07384</v>
      </c>
      <c r="B7385" s="11">
        <f>IFERROR(__xludf.DUMMYFUNCTION("""COMPUTED_VALUE"""),46286.869300366176)</f>
        <v>46286.8693</v>
      </c>
      <c r="C7385" s="9">
        <f>IFERROR(__xludf.DUMMYFUNCTION("""COMPUTED_VALUE"""),28165.0)</f>
        <v>28165</v>
      </c>
      <c r="D7385" s="9" t="str">
        <f>IFERROR(__xludf.DUMMYFUNCTION("""COMPUTED_VALUE"""),"Completed")</f>
        <v>Completed</v>
      </c>
    </row>
    <row r="7386">
      <c r="A7386" s="9" t="str">
        <f>IFERROR(__xludf.DUMMYFUNCTION("""COMPUTED_VALUE"""),"G-REQ-07385")</f>
        <v>G-REQ-07385</v>
      </c>
      <c r="B7386" s="11">
        <f>IFERROR(__xludf.DUMMYFUNCTION("""COMPUTED_VALUE"""),46286.94047521159)</f>
        <v>46286.94048</v>
      </c>
      <c r="C7386" s="9">
        <f>IFERROR(__xludf.DUMMYFUNCTION("""COMPUTED_VALUE"""),28169.0)</f>
        <v>28169</v>
      </c>
      <c r="D7386" s="9" t="str">
        <f>IFERROR(__xludf.DUMMYFUNCTION("""COMPUTED_VALUE"""),"Completed")</f>
        <v>Completed</v>
      </c>
    </row>
    <row r="7387">
      <c r="A7387" s="9" t="str">
        <f>IFERROR(__xludf.DUMMYFUNCTION("""COMPUTED_VALUE"""),"G-REQ-07386")</f>
        <v>G-REQ-07386</v>
      </c>
      <c r="B7387" s="11">
        <f>IFERROR(__xludf.DUMMYFUNCTION("""COMPUTED_VALUE"""),46287.01165005701)</f>
        <v>46287.01165</v>
      </c>
      <c r="C7387" s="9">
        <f>IFERROR(__xludf.DUMMYFUNCTION("""COMPUTED_VALUE"""),28173.0)</f>
        <v>28173</v>
      </c>
      <c r="D7387" s="9" t="str">
        <f>IFERROR(__xludf.DUMMYFUNCTION("""COMPUTED_VALUE"""),"Completed")</f>
        <v>Completed</v>
      </c>
    </row>
    <row r="7388">
      <c r="A7388" s="9" t="str">
        <f>IFERROR(__xludf.DUMMYFUNCTION("""COMPUTED_VALUE"""),"G-REQ-07387")</f>
        <v>G-REQ-07387</v>
      </c>
      <c r="B7388" s="11">
        <f>IFERROR(__xludf.DUMMYFUNCTION("""COMPUTED_VALUE"""),46287.08282490242)</f>
        <v>46287.08282</v>
      </c>
      <c r="C7388" s="9">
        <f>IFERROR(__xludf.DUMMYFUNCTION("""COMPUTED_VALUE"""),28177.0)</f>
        <v>28177</v>
      </c>
      <c r="D7388" s="9" t="str">
        <f>IFERROR(__xludf.DUMMYFUNCTION("""COMPUTED_VALUE"""),"Completed")</f>
        <v>Completed</v>
      </c>
    </row>
    <row r="7389">
      <c r="A7389" s="9" t="str">
        <f>IFERROR(__xludf.DUMMYFUNCTION("""COMPUTED_VALUE"""),"G-REQ-07388")</f>
        <v>G-REQ-07388</v>
      </c>
      <c r="B7389" s="11">
        <f>IFERROR(__xludf.DUMMYFUNCTION("""COMPUTED_VALUE"""),46287.15399974784)</f>
        <v>46287.154</v>
      </c>
      <c r="C7389" s="9">
        <f>IFERROR(__xludf.DUMMYFUNCTION("""COMPUTED_VALUE"""),28181.0)</f>
        <v>28181</v>
      </c>
      <c r="D7389" s="9" t="str">
        <f>IFERROR(__xludf.DUMMYFUNCTION("""COMPUTED_VALUE"""),"Completed")</f>
        <v>Completed</v>
      </c>
    </row>
    <row r="7390">
      <c r="A7390" s="9" t="str">
        <f>IFERROR(__xludf.DUMMYFUNCTION("""COMPUTED_VALUE"""),"G-REQ-07389")</f>
        <v>G-REQ-07389</v>
      </c>
      <c r="B7390" s="11">
        <f>IFERROR(__xludf.DUMMYFUNCTION("""COMPUTED_VALUE"""),46287.225174593244)</f>
        <v>46287.22517</v>
      </c>
      <c r="C7390" s="9">
        <f>IFERROR(__xludf.DUMMYFUNCTION("""COMPUTED_VALUE"""),28185.0)</f>
        <v>28185</v>
      </c>
      <c r="D7390" s="9" t="str">
        <f>IFERROR(__xludf.DUMMYFUNCTION("""COMPUTED_VALUE"""),"Completed")</f>
        <v>Completed</v>
      </c>
    </row>
    <row r="7391">
      <c r="A7391" s="9" t="str">
        <f>IFERROR(__xludf.DUMMYFUNCTION("""COMPUTED_VALUE"""),"G-REQ-07390")</f>
        <v>G-REQ-07390</v>
      </c>
      <c r="B7391" s="11">
        <f>IFERROR(__xludf.DUMMYFUNCTION("""COMPUTED_VALUE"""),46287.296349438664)</f>
        <v>46287.29635</v>
      </c>
      <c r="C7391" s="9">
        <f>IFERROR(__xludf.DUMMYFUNCTION("""COMPUTED_VALUE"""),28189.0)</f>
        <v>28189</v>
      </c>
      <c r="D7391" s="9" t="str">
        <f>IFERROR(__xludf.DUMMYFUNCTION("""COMPUTED_VALUE"""),"Completed")</f>
        <v>Completed</v>
      </c>
    </row>
    <row r="7392">
      <c r="A7392" s="9" t="str">
        <f>IFERROR(__xludf.DUMMYFUNCTION("""COMPUTED_VALUE"""),"G-REQ-07391")</f>
        <v>G-REQ-07391</v>
      </c>
      <c r="B7392" s="11">
        <f>IFERROR(__xludf.DUMMYFUNCTION("""COMPUTED_VALUE"""),46287.36057983964)</f>
        <v>46287.36058</v>
      </c>
      <c r="C7392" s="9">
        <f>IFERROR(__xludf.DUMMYFUNCTION("""COMPUTED_VALUE"""),28191.0)</f>
        <v>28191</v>
      </c>
      <c r="D7392" s="9" t="str">
        <f>IFERROR(__xludf.DUMMYFUNCTION("""COMPUTED_VALUE"""),"Cancelled")</f>
        <v>Cancelled</v>
      </c>
    </row>
    <row r="7393">
      <c r="A7393" s="9" t="str">
        <f>IFERROR(__xludf.DUMMYFUNCTION("""COMPUTED_VALUE"""),"G-REQ-07392")</f>
        <v>G-REQ-07392</v>
      </c>
      <c r="B7393" s="11">
        <f>IFERROR(__xludf.DUMMYFUNCTION("""COMPUTED_VALUE"""),46287.438699129496)</f>
        <v>46287.4387</v>
      </c>
      <c r="C7393" s="9">
        <f>IFERROR(__xludf.DUMMYFUNCTION("""COMPUTED_VALUE"""),28195.0)</f>
        <v>28195</v>
      </c>
      <c r="D7393" s="9" t="str">
        <f>IFERROR(__xludf.DUMMYFUNCTION("""COMPUTED_VALUE"""),"Completed")</f>
        <v>Completed</v>
      </c>
    </row>
    <row r="7394">
      <c r="A7394" s="9" t="str">
        <f>IFERROR(__xludf.DUMMYFUNCTION("""COMPUTED_VALUE"""),"G-REQ-07393")</f>
        <v>G-REQ-07393</v>
      </c>
      <c r="B7394" s="11">
        <f>IFERROR(__xludf.DUMMYFUNCTION("""COMPUTED_VALUE"""),46287.50987397491)</f>
        <v>46287.50987</v>
      </c>
      <c r="C7394" s="9">
        <f>IFERROR(__xludf.DUMMYFUNCTION("""COMPUTED_VALUE"""),28199.0)</f>
        <v>28199</v>
      </c>
      <c r="D7394" s="9" t="str">
        <f>IFERROR(__xludf.DUMMYFUNCTION("""COMPUTED_VALUE"""),"Completed")</f>
        <v>Completed</v>
      </c>
    </row>
    <row r="7395">
      <c r="A7395" s="9" t="str">
        <f>IFERROR(__xludf.DUMMYFUNCTION("""COMPUTED_VALUE"""),"G-REQ-07394")</f>
        <v>G-REQ-07394</v>
      </c>
      <c r="B7395" s="11">
        <f>IFERROR(__xludf.DUMMYFUNCTION("""COMPUTED_VALUE"""),46287.57410437588)</f>
        <v>46287.5741</v>
      </c>
      <c r="C7395" s="9">
        <f>IFERROR(__xludf.DUMMYFUNCTION("""COMPUTED_VALUE"""),28201.0)</f>
        <v>28201</v>
      </c>
      <c r="D7395" s="9" t="str">
        <f>IFERROR(__xludf.DUMMYFUNCTION("""COMPUTED_VALUE"""),"Rejected")</f>
        <v>Rejected</v>
      </c>
    </row>
    <row r="7396">
      <c r="A7396" s="9" t="str">
        <f>IFERROR(__xludf.DUMMYFUNCTION("""COMPUTED_VALUE"""),"G-REQ-07395")</f>
        <v>G-REQ-07395</v>
      </c>
      <c r="B7396" s="11">
        <f>IFERROR(__xludf.DUMMYFUNCTION("""COMPUTED_VALUE"""),46287.65222366574)</f>
        <v>46287.65222</v>
      </c>
      <c r="C7396" s="9">
        <f>IFERROR(__xludf.DUMMYFUNCTION("""COMPUTED_VALUE"""),28205.0)</f>
        <v>28205</v>
      </c>
      <c r="D7396" s="9" t="str">
        <f>IFERROR(__xludf.DUMMYFUNCTION("""COMPUTED_VALUE"""),"Completed")</f>
        <v>Completed</v>
      </c>
    </row>
    <row r="7397">
      <c r="A7397" s="9" t="str">
        <f>IFERROR(__xludf.DUMMYFUNCTION("""COMPUTED_VALUE"""),"G-REQ-07396")</f>
        <v>G-REQ-07396</v>
      </c>
      <c r="B7397" s="11">
        <f>IFERROR(__xludf.DUMMYFUNCTION("""COMPUTED_VALUE"""),46287.71645406671)</f>
        <v>46287.71645</v>
      </c>
      <c r="C7397" s="9">
        <f>IFERROR(__xludf.DUMMYFUNCTION("""COMPUTED_VALUE"""),28207.0)</f>
        <v>28207</v>
      </c>
      <c r="D7397" s="9" t="str">
        <f>IFERROR(__xludf.DUMMYFUNCTION("""COMPUTED_VALUE"""),"Rejected")</f>
        <v>Rejected</v>
      </c>
    </row>
    <row r="7398">
      <c r="A7398" s="9" t="str">
        <f>IFERROR(__xludf.DUMMYFUNCTION("""COMPUTED_VALUE"""),"G-REQ-07397")</f>
        <v>G-REQ-07397</v>
      </c>
      <c r="B7398" s="11">
        <f>IFERROR(__xludf.DUMMYFUNCTION("""COMPUTED_VALUE"""),46287.79457335657)</f>
        <v>46287.79457</v>
      </c>
      <c r="C7398" s="9">
        <f>IFERROR(__xludf.DUMMYFUNCTION("""COMPUTED_VALUE"""),28211.0)</f>
        <v>28211</v>
      </c>
      <c r="D7398" s="9" t="str">
        <f>IFERROR(__xludf.DUMMYFUNCTION("""COMPUTED_VALUE"""),"Completed")</f>
        <v>Completed</v>
      </c>
    </row>
    <row r="7399">
      <c r="A7399" s="9" t="str">
        <f>IFERROR(__xludf.DUMMYFUNCTION("""COMPUTED_VALUE"""),"G-REQ-07398")</f>
        <v>G-REQ-07398</v>
      </c>
      <c r="B7399" s="11">
        <f>IFERROR(__xludf.DUMMYFUNCTION("""COMPUTED_VALUE"""),46287.86574820199)</f>
        <v>46287.86575</v>
      </c>
      <c r="C7399" s="9">
        <f>IFERROR(__xludf.DUMMYFUNCTION("""COMPUTED_VALUE"""),28215.0)</f>
        <v>28215</v>
      </c>
      <c r="D7399" s="9" t="str">
        <f>IFERROR(__xludf.DUMMYFUNCTION("""COMPUTED_VALUE"""),"Completed")</f>
        <v>Completed</v>
      </c>
    </row>
    <row r="7400">
      <c r="A7400" s="9" t="str">
        <f>IFERROR(__xludf.DUMMYFUNCTION("""COMPUTED_VALUE"""),"G-REQ-07399")</f>
        <v>G-REQ-07399</v>
      </c>
      <c r="B7400" s="11">
        <f>IFERROR(__xludf.DUMMYFUNCTION("""COMPUTED_VALUE"""),46287.9369230474)</f>
        <v>46287.93692</v>
      </c>
      <c r="C7400" s="9">
        <f>IFERROR(__xludf.DUMMYFUNCTION("""COMPUTED_VALUE"""),28219.0)</f>
        <v>28219</v>
      </c>
      <c r="D7400" s="9" t="str">
        <f>IFERROR(__xludf.DUMMYFUNCTION("""COMPUTED_VALUE"""),"Completed")</f>
        <v>Completed</v>
      </c>
    </row>
    <row r="7401">
      <c r="A7401" s="9" t="str">
        <f>IFERROR(__xludf.DUMMYFUNCTION("""COMPUTED_VALUE"""),"G-REQ-07400")</f>
        <v>G-REQ-07400</v>
      </c>
      <c r="B7401" s="11">
        <f>IFERROR(__xludf.DUMMYFUNCTION("""COMPUTED_VALUE"""),46288.008097892816)</f>
        <v>46288.0081</v>
      </c>
      <c r="C7401" s="9">
        <f>IFERROR(__xludf.DUMMYFUNCTION("""COMPUTED_VALUE"""),28223.0)</f>
        <v>28223</v>
      </c>
      <c r="D7401" s="9" t="str">
        <f>IFERROR(__xludf.DUMMYFUNCTION("""COMPUTED_VALUE"""),"Completed")</f>
        <v>Completed</v>
      </c>
    </row>
    <row r="7402">
      <c r="A7402" s="9" t="str">
        <f>IFERROR(__xludf.DUMMYFUNCTION("""COMPUTED_VALUE"""),"G-REQ-07401")</f>
        <v>G-REQ-07401</v>
      </c>
      <c r="B7402" s="11">
        <f>IFERROR(__xludf.DUMMYFUNCTION("""COMPUTED_VALUE"""),46288.07927273823)</f>
        <v>46288.07927</v>
      </c>
      <c r="C7402" s="9">
        <f>IFERROR(__xludf.DUMMYFUNCTION("""COMPUTED_VALUE"""),28227.0)</f>
        <v>28227</v>
      </c>
      <c r="D7402" s="9" t="str">
        <f>IFERROR(__xludf.DUMMYFUNCTION("""COMPUTED_VALUE"""),"Completed")</f>
        <v>Completed</v>
      </c>
    </row>
    <row r="7403">
      <c r="A7403" s="9" t="str">
        <f>IFERROR(__xludf.DUMMYFUNCTION("""COMPUTED_VALUE"""),"G-REQ-07402")</f>
        <v>G-REQ-07402</v>
      </c>
      <c r="B7403" s="11">
        <f>IFERROR(__xludf.DUMMYFUNCTION("""COMPUTED_VALUE"""),46288.15044758365)</f>
        <v>46288.15045</v>
      </c>
      <c r="C7403" s="9">
        <f>IFERROR(__xludf.DUMMYFUNCTION("""COMPUTED_VALUE"""),28231.0)</f>
        <v>28231</v>
      </c>
      <c r="D7403" s="9" t="str">
        <f>IFERROR(__xludf.DUMMYFUNCTION("""COMPUTED_VALUE"""),"Completed")</f>
        <v>Completed</v>
      </c>
    </row>
    <row r="7404">
      <c r="A7404" s="9" t="str">
        <f>IFERROR(__xludf.DUMMYFUNCTION("""COMPUTED_VALUE"""),"G-REQ-07403")</f>
        <v>G-REQ-07403</v>
      </c>
      <c r="B7404" s="11">
        <f>IFERROR(__xludf.DUMMYFUNCTION("""COMPUTED_VALUE"""),46288.22162242906)</f>
        <v>46288.22162</v>
      </c>
      <c r="C7404" s="9">
        <f>IFERROR(__xludf.DUMMYFUNCTION("""COMPUTED_VALUE"""),28235.0)</f>
        <v>28235</v>
      </c>
      <c r="D7404" s="9" t="str">
        <f>IFERROR(__xludf.DUMMYFUNCTION("""COMPUTED_VALUE"""),"Completed")</f>
        <v>Completed</v>
      </c>
    </row>
    <row r="7405">
      <c r="A7405" s="9" t="str">
        <f>IFERROR(__xludf.DUMMYFUNCTION("""COMPUTED_VALUE"""),"G-REQ-07404")</f>
        <v>G-REQ-07404</v>
      </c>
      <c r="B7405" s="11">
        <f>IFERROR(__xludf.DUMMYFUNCTION("""COMPUTED_VALUE"""),46288.29279727448)</f>
        <v>46288.2928</v>
      </c>
      <c r="C7405" s="9">
        <f>IFERROR(__xludf.DUMMYFUNCTION("""COMPUTED_VALUE"""),28239.0)</f>
        <v>28239</v>
      </c>
      <c r="D7405" s="9" t="str">
        <f>IFERROR(__xludf.DUMMYFUNCTION("""COMPUTED_VALUE"""),"Completed")</f>
        <v>Completed</v>
      </c>
    </row>
    <row r="7406">
      <c r="A7406" s="9" t="str">
        <f>IFERROR(__xludf.DUMMYFUNCTION("""COMPUTED_VALUE"""),"G-REQ-07405")</f>
        <v>G-REQ-07405</v>
      </c>
      <c r="B7406" s="11">
        <f>IFERROR(__xludf.DUMMYFUNCTION("""COMPUTED_VALUE"""),46288.36397211989)</f>
        <v>46288.36397</v>
      </c>
      <c r="C7406" s="9">
        <f>IFERROR(__xludf.DUMMYFUNCTION("""COMPUTED_VALUE"""),28243.0)</f>
        <v>28243</v>
      </c>
      <c r="D7406" s="9" t="str">
        <f>IFERROR(__xludf.DUMMYFUNCTION("""COMPUTED_VALUE"""),"Completed")</f>
        <v>Completed</v>
      </c>
    </row>
    <row r="7407">
      <c r="A7407" s="9" t="str">
        <f>IFERROR(__xludf.DUMMYFUNCTION("""COMPUTED_VALUE"""),"G-REQ-07406")</f>
        <v>G-REQ-07406</v>
      </c>
      <c r="B7407" s="11">
        <f>IFERROR(__xludf.DUMMYFUNCTION("""COMPUTED_VALUE"""),46288.435146965305)</f>
        <v>46288.43515</v>
      </c>
      <c r="C7407" s="9">
        <f>IFERROR(__xludf.DUMMYFUNCTION("""COMPUTED_VALUE"""),28247.0)</f>
        <v>28247</v>
      </c>
      <c r="D7407" s="9" t="str">
        <f>IFERROR(__xludf.DUMMYFUNCTION("""COMPUTED_VALUE"""),"Completed")</f>
        <v>Completed</v>
      </c>
    </row>
    <row r="7408">
      <c r="A7408" s="9" t="str">
        <f>IFERROR(__xludf.DUMMYFUNCTION("""COMPUTED_VALUE"""),"G-REQ-07407")</f>
        <v>G-REQ-07407</v>
      </c>
      <c r="B7408" s="11">
        <f>IFERROR(__xludf.DUMMYFUNCTION("""COMPUTED_VALUE"""),46288.506321810724)</f>
        <v>46288.50632</v>
      </c>
      <c r="C7408" s="9">
        <f>IFERROR(__xludf.DUMMYFUNCTION("""COMPUTED_VALUE"""),28251.0)</f>
        <v>28251</v>
      </c>
      <c r="D7408" s="9" t="str">
        <f>IFERROR(__xludf.DUMMYFUNCTION("""COMPUTED_VALUE"""),"Completed")</f>
        <v>Completed</v>
      </c>
    </row>
    <row r="7409">
      <c r="A7409" s="9" t="str">
        <f>IFERROR(__xludf.DUMMYFUNCTION("""COMPUTED_VALUE"""),"G-REQ-07408")</f>
        <v>G-REQ-07408</v>
      </c>
      <c r="B7409" s="11">
        <f>IFERROR(__xludf.DUMMYFUNCTION("""COMPUTED_VALUE"""),46288.57749665614)</f>
        <v>46288.5775</v>
      </c>
      <c r="C7409" s="9">
        <f>IFERROR(__xludf.DUMMYFUNCTION("""COMPUTED_VALUE"""),28255.0)</f>
        <v>28255</v>
      </c>
      <c r="D7409" s="9" t="str">
        <f>IFERROR(__xludf.DUMMYFUNCTION("""COMPUTED_VALUE"""),"Completed")</f>
        <v>Completed</v>
      </c>
    </row>
    <row r="7410">
      <c r="A7410" s="9" t="str">
        <f>IFERROR(__xludf.DUMMYFUNCTION("""COMPUTED_VALUE"""),"G-REQ-07409")</f>
        <v>G-REQ-07409</v>
      </c>
      <c r="B7410" s="11">
        <f>IFERROR(__xludf.DUMMYFUNCTION("""COMPUTED_VALUE"""),46288.64867150155)</f>
        <v>46288.64867</v>
      </c>
      <c r="C7410" s="9">
        <f>IFERROR(__xludf.DUMMYFUNCTION("""COMPUTED_VALUE"""),28259.0)</f>
        <v>28259</v>
      </c>
      <c r="D7410" s="9" t="str">
        <f>IFERROR(__xludf.DUMMYFUNCTION("""COMPUTED_VALUE"""),"Completed")</f>
        <v>Completed</v>
      </c>
    </row>
    <row r="7411">
      <c r="A7411" s="9" t="str">
        <f>IFERROR(__xludf.DUMMYFUNCTION("""COMPUTED_VALUE"""),"G-REQ-07410")</f>
        <v>G-REQ-07410</v>
      </c>
      <c r="B7411" s="11">
        <f>IFERROR(__xludf.DUMMYFUNCTION("""COMPUTED_VALUE"""),46288.71984634697)</f>
        <v>46288.71985</v>
      </c>
      <c r="C7411" s="9">
        <f>IFERROR(__xludf.DUMMYFUNCTION("""COMPUTED_VALUE"""),28263.0)</f>
        <v>28263</v>
      </c>
      <c r="D7411" s="9" t="str">
        <f>IFERROR(__xludf.DUMMYFUNCTION("""COMPUTED_VALUE"""),"Completed")</f>
        <v>Completed</v>
      </c>
    </row>
    <row r="7412">
      <c r="A7412" s="9" t="str">
        <f>IFERROR(__xludf.DUMMYFUNCTION("""COMPUTED_VALUE"""),"G-REQ-07411")</f>
        <v>G-REQ-07411</v>
      </c>
      <c r="B7412" s="11">
        <f>IFERROR(__xludf.DUMMYFUNCTION("""COMPUTED_VALUE"""),46288.79102119238)</f>
        <v>46288.79102</v>
      </c>
      <c r="C7412" s="9">
        <f>IFERROR(__xludf.DUMMYFUNCTION("""COMPUTED_VALUE"""),28267.0)</f>
        <v>28267</v>
      </c>
      <c r="D7412" s="9" t="str">
        <f>IFERROR(__xludf.DUMMYFUNCTION("""COMPUTED_VALUE"""),"Completed")</f>
        <v>Completed</v>
      </c>
    </row>
    <row r="7413">
      <c r="A7413" s="9" t="str">
        <f>IFERROR(__xludf.DUMMYFUNCTION("""COMPUTED_VALUE"""),"G-REQ-07412")</f>
        <v>G-REQ-07412</v>
      </c>
      <c r="B7413" s="11">
        <f>IFERROR(__xludf.DUMMYFUNCTION("""COMPUTED_VALUE"""),46288.86219603779)</f>
        <v>46288.8622</v>
      </c>
      <c r="C7413" s="9">
        <f>IFERROR(__xludf.DUMMYFUNCTION("""COMPUTED_VALUE"""),28271.0)</f>
        <v>28271</v>
      </c>
      <c r="D7413" s="9" t="str">
        <f>IFERROR(__xludf.DUMMYFUNCTION("""COMPUTED_VALUE"""),"Completed")</f>
        <v>Completed</v>
      </c>
    </row>
    <row r="7414">
      <c r="A7414" s="9" t="str">
        <f>IFERROR(__xludf.DUMMYFUNCTION("""COMPUTED_VALUE"""),"G-REQ-07413")</f>
        <v>G-REQ-07413</v>
      </c>
      <c r="B7414" s="11">
        <f>IFERROR(__xludf.DUMMYFUNCTION("""COMPUTED_VALUE"""),46288.93337088321)</f>
        <v>46288.93337</v>
      </c>
      <c r="C7414" s="9">
        <f>IFERROR(__xludf.DUMMYFUNCTION("""COMPUTED_VALUE"""),28275.0)</f>
        <v>28275</v>
      </c>
      <c r="D7414" s="9" t="str">
        <f>IFERROR(__xludf.DUMMYFUNCTION("""COMPUTED_VALUE"""),"Completed")</f>
        <v>Completed</v>
      </c>
    </row>
    <row r="7415">
      <c r="A7415" s="9" t="str">
        <f>IFERROR(__xludf.DUMMYFUNCTION("""COMPUTED_VALUE"""),"G-REQ-07414")</f>
        <v>G-REQ-07414</v>
      </c>
      <c r="B7415" s="11">
        <f>IFERROR(__xludf.DUMMYFUNCTION("""COMPUTED_VALUE"""),46288.99760128419)</f>
        <v>46288.9976</v>
      </c>
      <c r="C7415" s="9">
        <f>IFERROR(__xludf.DUMMYFUNCTION("""COMPUTED_VALUE"""),28277.0)</f>
        <v>28277</v>
      </c>
      <c r="D7415" s="9" t="str">
        <f>IFERROR(__xludf.DUMMYFUNCTION("""COMPUTED_VALUE"""),"Cancelled")</f>
        <v>Cancelled</v>
      </c>
    </row>
    <row r="7416">
      <c r="A7416" s="9" t="str">
        <f>IFERROR(__xludf.DUMMYFUNCTION("""COMPUTED_VALUE"""),"G-REQ-07415")</f>
        <v>G-REQ-07415</v>
      </c>
      <c r="B7416" s="11">
        <f>IFERROR(__xludf.DUMMYFUNCTION("""COMPUTED_VALUE"""),46289.07572057404)</f>
        <v>46289.07572</v>
      </c>
      <c r="C7416" s="9">
        <f>IFERROR(__xludf.DUMMYFUNCTION("""COMPUTED_VALUE"""),28281.0)</f>
        <v>28281</v>
      </c>
      <c r="D7416" s="9" t="str">
        <f>IFERROR(__xludf.DUMMYFUNCTION("""COMPUTED_VALUE"""),"Completed")</f>
        <v>Completed</v>
      </c>
    </row>
    <row r="7417">
      <c r="A7417" s="9" t="str">
        <f>IFERROR(__xludf.DUMMYFUNCTION("""COMPUTED_VALUE"""),"G-REQ-07416")</f>
        <v>G-REQ-07416</v>
      </c>
      <c r="B7417" s="11">
        <f>IFERROR(__xludf.DUMMYFUNCTION("""COMPUTED_VALUE"""),46289.13995097501)</f>
        <v>46289.13995</v>
      </c>
      <c r="C7417" s="9">
        <f>IFERROR(__xludf.DUMMYFUNCTION("""COMPUTED_VALUE"""),28283.0)</f>
        <v>28283</v>
      </c>
      <c r="D7417" s="9" t="str">
        <f>IFERROR(__xludf.DUMMYFUNCTION("""COMPUTED_VALUE"""),"Cancelled")</f>
        <v>Cancelled</v>
      </c>
    </row>
    <row r="7418">
      <c r="A7418" s="9" t="str">
        <f>IFERROR(__xludf.DUMMYFUNCTION("""COMPUTED_VALUE"""),"G-REQ-07417")</f>
        <v>G-REQ-07417</v>
      </c>
      <c r="B7418" s="11">
        <f>IFERROR(__xludf.DUMMYFUNCTION("""COMPUTED_VALUE"""),46289.21807026488)</f>
        <v>46289.21807</v>
      </c>
      <c r="C7418" s="9">
        <f>IFERROR(__xludf.DUMMYFUNCTION("""COMPUTED_VALUE"""),28287.0)</f>
        <v>28287</v>
      </c>
      <c r="D7418" s="9" t="str">
        <f>IFERROR(__xludf.DUMMYFUNCTION("""COMPUTED_VALUE"""),"Completed")</f>
        <v>Completed</v>
      </c>
    </row>
    <row r="7419">
      <c r="A7419" s="9" t="str">
        <f>IFERROR(__xludf.DUMMYFUNCTION("""COMPUTED_VALUE"""),"G-REQ-07418")</f>
        <v>G-REQ-07418</v>
      </c>
      <c r="B7419" s="11">
        <f>IFERROR(__xludf.DUMMYFUNCTION("""COMPUTED_VALUE"""),46289.28924511029)</f>
        <v>46289.28925</v>
      </c>
      <c r="C7419" s="9">
        <f>IFERROR(__xludf.DUMMYFUNCTION("""COMPUTED_VALUE"""),28291.0)</f>
        <v>28291</v>
      </c>
      <c r="D7419" s="9" t="str">
        <f>IFERROR(__xludf.DUMMYFUNCTION("""COMPUTED_VALUE"""),"Completed")</f>
        <v>Completed</v>
      </c>
    </row>
    <row r="7420">
      <c r="A7420" s="9" t="str">
        <f>IFERROR(__xludf.DUMMYFUNCTION("""COMPUTED_VALUE"""),"G-REQ-07419")</f>
        <v>G-REQ-07419</v>
      </c>
      <c r="B7420" s="11">
        <f>IFERROR(__xludf.DUMMYFUNCTION("""COMPUTED_VALUE"""),46289.3604199557)</f>
        <v>46289.36042</v>
      </c>
      <c r="C7420" s="9">
        <f>IFERROR(__xludf.DUMMYFUNCTION("""COMPUTED_VALUE"""),28295.0)</f>
        <v>28295</v>
      </c>
      <c r="D7420" s="9" t="str">
        <f>IFERROR(__xludf.DUMMYFUNCTION("""COMPUTED_VALUE"""),"Completed")</f>
        <v>Completed</v>
      </c>
    </row>
    <row r="7421">
      <c r="A7421" s="9" t="str">
        <f>IFERROR(__xludf.DUMMYFUNCTION("""COMPUTED_VALUE"""),"G-REQ-07420")</f>
        <v>G-REQ-07420</v>
      </c>
      <c r="B7421" s="11">
        <f>IFERROR(__xludf.DUMMYFUNCTION("""COMPUTED_VALUE"""),46289.424650356676)</f>
        <v>46289.42465</v>
      </c>
      <c r="C7421" s="9">
        <f>IFERROR(__xludf.DUMMYFUNCTION("""COMPUTED_VALUE"""),28297.0)</f>
        <v>28297</v>
      </c>
      <c r="D7421" s="9" t="str">
        <f>IFERROR(__xludf.DUMMYFUNCTION("""COMPUTED_VALUE"""),"Rejected")</f>
        <v>Rejected</v>
      </c>
    </row>
    <row r="7422">
      <c r="A7422" s="9" t="str">
        <f>IFERROR(__xludf.DUMMYFUNCTION("""COMPUTED_VALUE"""),"G-REQ-07421")</f>
        <v>G-REQ-07421</v>
      </c>
      <c r="B7422" s="11">
        <f>IFERROR(__xludf.DUMMYFUNCTION("""COMPUTED_VALUE"""),46289.49582520209)</f>
        <v>46289.49583</v>
      </c>
      <c r="C7422" s="9">
        <f>IFERROR(__xludf.DUMMYFUNCTION("""COMPUTED_VALUE"""),28299.0)</f>
        <v>28299</v>
      </c>
      <c r="D7422" s="9" t="str">
        <f>IFERROR(__xludf.DUMMYFUNCTION("""COMPUTED_VALUE"""),"Rejected")</f>
        <v>Rejected</v>
      </c>
    </row>
    <row r="7423">
      <c r="A7423" s="9" t="str">
        <f>IFERROR(__xludf.DUMMYFUNCTION("""COMPUTED_VALUE"""),"G-REQ-07422")</f>
        <v>G-REQ-07422</v>
      </c>
      <c r="B7423" s="11">
        <f>IFERROR(__xludf.DUMMYFUNCTION("""COMPUTED_VALUE"""),46289.573944491945)</f>
        <v>46289.57394</v>
      </c>
      <c r="C7423" s="9">
        <f>IFERROR(__xludf.DUMMYFUNCTION("""COMPUTED_VALUE"""),28303.0)</f>
        <v>28303</v>
      </c>
      <c r="D7423" s="9" t="str">
        <f>IFERROR(__xludf.DUMMYFUNCTION("""COMPUTED_VALUE"""),"Completed")</f>
        <v>Completed</v>
      </c>
    </row>
    <row r="7424">
      <c r="A7424" s="9" t="str">
        <f>IFERROR(__xludf.DUMMYFUNCTION("""COMPUTED_VALUE"""),"G-REQ-07423")</f>
        <v>G-REQ-07423</v>
      </c>
      <c r="B7424" s="11">
        <f>IFERROR(__xludf.DUMMYFUNCTION("""COMPUTED_VALUE"""),46289.645119337365)</f>
        <v>46289.64512</v>
      </c>
      <c r="C7424" s="9">
        <f>IFERROR(__xludf.DUMMYFUNCTION("""COMPUTED_VALUE"""),28307.0)</f>
        <v>28307</v>
      </c>
      <c r="D7424" s="9" t="str">
        <f>IFERROR(__xludf.DUMMYFUNCTION("""COMPUTED_VALUE"""),"Completed")</f>
        <v>Completed</v>
      </c>
    </row>
    <row r="7425">
      <c r="A7425" s="9" t="str">
        <f>IFERROR(__xludf.DUMMYFUNCTION("""COMPUTED_VALUE"""),"G-REQ-07424")</f>
        <v>G-REQ-07424</v>
      </c>
      <c r="B7425" s="11">
        <f>IFERROR(__xludf.DUMMYFUNCTION("""COMPUTED_VALUE"""),46289.71629418278)</f>
        <v>46289.71629</v>
      </c>
      <c r="C7425" s="9">
        <f>IFERROR(__xludf.DUMMYFUNCTION("""COMPUTED_VALUE"""),28311.0)</f>
        <v>28311</v>
      </c>
      <c r="D7425" s="9" t="str">
        <f>IFERROR(__xludf.DUMMYFUNCTION("""COMPUTED_VALUE"""),"Completed")</f>
        <v>Completed</v>
      </c>
    </row>
    <row r="7426">
      <c r="A7426" s="9" t="str">
        <f>IFERROR(__xludf.DUMMYFUNCTION("""COMPUTED_VALUE"""),"G-REQ-07425")</f>
        <v>G-REQ-07425</v>
      </c>
      <c r="B7426" s="11">
        <f>IFERROR(__xludf.DUMMYFUNCTION("""COMPUTED_VALUE"""),46289.78746902819)</f>
        <v>46289.78747</v>
      </c>
      <c r="C7426" s="9">
        <f>IFERROR(__xludf.DUMMYFUNCTION("""COMPUTED_VALUE"""),28315.0)</f>
        <v>28315</v>
      </c>
      <c r="D7426" s="9" t="str">
        <f>IFERROR(__xludf.DUMMYFUNCTION("""COMPUTED_VALUE"""),"Completed")</f>
        <v>Completed</v>
      </c>
    </row>
    <row r="7427">
      <c r="A7427" s="9" t="str">
        <f>IFERROR(__xludf.DUMMYFUNCTION("""COMPUTED_VALUE"""),"G-REQ-07426")</f>
        <v>G-REQ-07426</v>
      </c>
      <c r="B7427" s="11">
        <f>IFERROR(__xludf.DUMMYFUNCTION("""COMPUTED_VALUE"""),46289.85864387361)</f>
        <v>46289.85864</v>
      </c>
      <c r="C7427" s="9">
        <f>IFERROR(__xludf.DUMMYFUNCTION("""COMPUTED_VALUE"""),28319.0)</f>
        <v>28319</v>
      </c>
      <c r="D7427" s="9" t="str">
        <f>IFERROR(__xludf.DUMMYFUNCTION("""COMPUTED_VALUE"""),"Completed")</f>
        <v>Completed</v>
      </c>
    </row>
    <row r="7428">
      <c r="A7428" s="9" t="str">
        <f>IFERROR(__xludf.DUMMYFUNCTION("""COMPUTED_VALUE"""),"G-REQ-07427")</f>
        <v>G-REQ-07427</v>
      </c>
      <c r="B7428" s="11">
        <f>IFERROR(__xludf.DUMMYFUNCTION("""COMPUTED_VALUE"""),46289.92981871902)</f>
        <v>46289.92982</v>
      </c>
      <c r="C7428" s="9">
        <f>IFERROR(__xludf.DUMMYFUNCTION("""COMPUTED_VALUE"""),28323.0)</f>
        <v>28323</v>
      </c>
      <c r="D7428" s="9" t="str">
        <f>IFERROR(__xludf.DUMMYFUNCTION("""COMPUTED_VALUE"""),"Completed")</f>
        <v>Completed</v>
      </c>
    </row>
    <row r="7429">
      <c r="A7429" s="9" t="str">
        <f>IFERROR(__xludf.DUMMYFUNCTION("""COMPUTED_VALUE"""),"G-REQ-07428")</f>
        <v>G-REQ-07428</v>
      </c>
      <c r="B7429" s="11">
        <f>IFERROR(__xludf.DUMMYFUNCTION("""COMPUTED_VALUE"""),46290.000993564434)</f>
        <v>46290.00099</v>
      </c>
      <c r="C7429" s="9">
        <f>IFERROR(__xludf.DUMMYFUNCTION("""COMPUTED_VALUE"""),28327.0)</f>
        <v>28327</v>
      </c>
      <c r="D7429" s="9" t="str">
        <f>IFERROR(__xludf.DUMMYFUNCTION("""COMPUTED_VALUE"""),"Completed")</f>
        <v>Completed</v>
      </c>
    </row>
    <row r="7430">
      <c r="A7430" s="9" t="str">
        <f>IFERROR(__xludf.DUMMYFUNCTION("""COMPUTED_VALUE"""),"G-REQ-07429")</f>
        <v>G-REQ-07429</v>
      </c>
      <c r="B7430" s="11">
        <f>IFERROR(__xludf.DUMMYFUNCTION("""COMPUTED_VALUE"""),46290.07216840985)</f>
        <v>46290.07217</v>
      </c>
      <c r="C7430" s="9">
        <f>IFERROR(__xludf.DUMMYFUNCTION("""COMPUTED_VALUE"""),28331.0)</f>
        <v>28331</v>
      </c>
      <c r="D7430" s="9" t="str">
        <f>IFERROR(__xludf.DUMMYFUNCTION("""COMPUTED_VALUE"""),"Completed")</f>
        <v>Completed</v>
      </c>
    </row>
    <row r="7431">
      <c r="A7431" s="9" t="str">
        <f>IFERROR(__xludf.DUMMYFUNCTION("""COMPUTED_VALUE"""),"G-REQ-07430")</f>
        <v>G-REQ-07430</v>
      </c>
      <c r="B7431" s="11">
        <f>IFERROR(__xludf.DUMMYFUNCTION("""COMPUTED_VALUE"""),46290.14334325527)</f>
        <v>46290.14334</v>
      </c>
      <c r="C7431" s="9">
        <f>IFERROR(__xludf.DUMMYFUNCTION("""COMPUTED_VALUE"""),28335.0)</f>
        <v>28335</v>
      </c>
      <c r="D7431" s="9" t="str">
        <f>IFERROR(__xludf.DUMMYFUNCTION("""COMPUTED_VALUE"""),"Completed")</f>
        <v>Completed</v>
      </c>
    </row>
    <row r="7432">
      <c r="A7432" s="9" t="str">
        <f>IFERROR(__xludf.DUMMYFUNCTION("""COMPUTED_VALUE"""),"G-REQ-07431")</f>
        <v>G-REQ-07431</v>
      </c>
      <c r="B7432" s="11">
        <f>IFERROR(__xludf.DUMMYFUNCTION("""COMPUTED_VALUE"""),46290.21451810068)</f>
        <v>46290.21452</v>
      </c>
      <c r="C7432" s="9">
        <f>IFERROR(__xludf.DUMMYFUNCTION("""COMPUTED_VALUE"""),28339.0)</f>
        <v>28339</v>
      </c>
      <c r="D7432" s="9" t="str">
        <f>IFERROR(__xludf.DUMMYFUNCTION("""COMPUTED_VALUE"""),"Completed")</f>
        <v>Completed</v>
      </c>
    </row>
    <row r="7433">
      <c r="A7433" s="9" t="str">
        <f>IFERROR(__xludf.DUMMYFUNCTION("""COMPUTED_VALUE"""),"G-REQ-07432")</f>
        <v>G-REQ-07432</v>
      </c>
      <c r="B7433" s="11">
        <f>IFERROR(__xludf.DUMMYFUNCTION("""COMPUTED_VALUE"""),46290.2856929461)</f>
        <v>46290.28569</v>
      </c>
      <c r="C7433" s="9">
        <f>IFERROR(__xludf.DUMMYFUNCTION("""COMPUTED_VALUE"""),28343.0)</f>
        <v>28343</v>
      </c>
      <c r="D7433" s="9" t="str">
        <f>IFERROR(__xludf.DUMMYFUNCTION("""COMPUTED_VALUE"""),"Completed")</f>
        <v>Completed</v>
      </c>
    </row>
    <row r="7434">
      <c r="A7434" s="9" t="str">
        <f>IFERROR(__xludf.DUMMYFUNCTION("""COMPUTED_VALUE"""),"G-REQ-07433")</f>
        <v>G-REQ-07433</v>
      </c>
      <c r="B7434" s="11">
        <f>IFERROR(__xludf.DUMMYFUNCTION("""COMPUTED_VALUE"""),46290.35686779152)</f>
        <v>46290.35687</v>
      </c>
      <c r="C7434" s="9">
        <f>IFERROR(__xludf.DUMMYFUNCTION("""COMPUTED_VALUE"""),28347.0)</f>
        <v>28347</v>
      </c>
      <c r="D7434" s="9" t="str">
        <f>IFERROR(__xludf.DUMMYFUNCTION("""COMPUTED_VALUE"""),"Completed")</f>
        <v>Completed</v>
      </c>
    </row>
    <row r="7435">
      <c r="A7435" s="9" t="str">
        <f>IFERROR(__xludf.DUMMYFUNCTION("""COMPUTED_VALUE"""),"G-REQ-07434")</f>
        <v>G-REQ-07434</v>
      </c>
      <c r="B7435" s="11">
        <f>IFERROR(__xludf.DUMMYFUNCTION("""COMPUTED_VALUE"""),46290.42804263693)</f>
        <v>46290.42804</v>
      </c>
      <c r="C7435" s="9">
        <f>IFERROR(__xludf.DUMMYFUNCTION("""COMPUTED_VALUE"""),28351.0)</f>
        <v>28351</v>
      </c>
      <c r="D7435" s="9" t="str">
        <f>IFERROR(__xludf.DUMMYFUNCTION("""COMPUTED_VALUE"""),"Completed")</f>
        <v>Completed</v>
      </c>
    </row>
    <row r="7436">
      <c r="A7436" s="9" t="str">
        <f>IFERROR(__xludf.DUMMYFUNCTION("""COMPUTED_VALUE"""),"G-REQ-07435")</f>
        <v>G-REQ-07435</v>
      </c>
      <c r="B7436" s="11">
        <f>IFERROR(__xludf.DUMMYFUNCTION("""COMPUTED_VALUE"""),46290.49921748234)</f>
        <v>46290.49922</v>
      </c>
      <c r="C7436" s="9">
        <f>IFERROR(__xludf.DUMMYFUNCTION("""COMPUTED_VALUE"""),28355.0)</f>
        <v>28355</v>
      </c>
      <c r="D7436" s="9" t="str">
        <f>IFERROR(__xludf.DUMMYFUNCTION("""COMPUTED_VALUE"""),"Completed")</f>
        <v>Completed</v>
      </c>
    </row>
    <row r="7437">
      <c r="A7437" s="9" t="str">
        <f>IFERROR(__xludf.DUMMYFUNCTION("""COMPUTED_VALUE"""),"G-REQ-07436")</f>
        <v>G-REQ-07436</v>
      </c>
      <c r="B7437" s="11">
        <f>IFERROR(__xludf.DUMMYFUNCTION("""COMPUTED_VALUE"""),46290.57039232776)</f>
        <v>46290.57039</v>
      </c>
      <c r="C7437" s="9">
        <f>IFERROR(__xludf.DUMMYFUNCTION("""COMPUTED_VALUE"""),28359.0)</f>
        <v>28359</v>
      </c>
      <c r="D7437" s="9" t="str">
        <f>IFERROR(__xludf.DUMMYFUNCTION("""COMPUTED_VALUE"""),"Completed")</f>
        <v>Completed</v>
      </c>
    </row>
    <row r="7438">
      <c r="A7438" s="9" t="str">
        <f>IFERROR(__xludf.DUMMYFUNCTION("""COMPUTED_VALUE"""),"G-REQ-07437")</f>
        <v>G-REQ-07437</v>
      </c>
      <c r="B7438" s="11">
        <f>IFERROR(__xludf.DUMMYFUNCTION("""COMPUTED_VALUE"""),46290.641567173174)</f>
        <v>46290.64157</v>
      </c>
      <c r="C7438" s="9">
        <f>IFERROR(__xludf.DUMMYFUNCTION("""COMPUTED_VALUE"""),28363.0)</f>
        <v>28363</v>
      </c>
      <c r="D7438" s="9" t="str">
        <f>IFERROR(__xludf.DUMMYFUNCTION("""COMPUTED_VALUE"""),"Completed")</f>
        <v>Completed</v>
      </c>
    </row>
    <row r="7439">
      <c r="A7439" s="9" t="str">
        <f>IFERROR(__xludf.DUMMYFUNCTION("""COMPUTED_VALUE"""),"G-REQ-07438")</f>
        <v>G-REQ-07438</v>
      </c>
      <c r="B7439" s="11">
        <f>IFERROR(__xludf.DUMMYFUNCTION("""COMPUTED_VALUE"""),46290.712742018586)</f>
        <v>46290.71274</v>
      </c>
      <c r="C7439" s="9">
        <f>IFERROR(__xludf.DUMMYFUNCTION("""COMPUTED_VALUE"""),28367.0)</f>
        <v>28367</v>
      </c>
      <c r="D7439" s="9" t="str">
        <f>IFERROR(__xludf.DUMMYFUNCTION("""COMPUTED_VALUE"""),"Completed")</f>
        <v>Completed</v>
      </c>
    </row>
    <row r="7440">
      <c r="A7440" s="9" t="str">
        <f>IFERROR(__xludf.DUMMYFUNCTION("""COMPUTED_VALUE"""),"G-REQ-07439")</f>
        <v>G-REQ-07439</v>
      </c>
      <c r="B7440" s="11">
        <f>IFERROR(__xludf.DUMMYFUNCTION("""COMPUTED_VALUE"""),46290.783916864006)</f>
        <v>46290.78392</v>
      </c>
      <c r="C7440" s="9">
        <f>IFERROR(__xludf.DUMMYFUNCTION("""COMPUTED_VALUE"""),28371.0)</f>
        <v>28371</v>
      </c>
      <c r="D7440" s="9" t="str">
        <f>IFERROR(__xludf.DUMMYFUNCTION("""COMPUTED_VALUE"""),"Completed")</f>
        <v>Completed</v>
      </c>
    </row>
    <row r="7441">
      <c r="A7441" s="9" t="str">
        <f>IFERROR(__xludf.DUMMYFUNCTION("""COMPUTED_VALUE"""),"G-REQ-07440")</f>
        <v>G-REQ-07440</v>
      </c>
      <c r="B7441" s="11">
        <f>IFERROR(__xludf.DUMMYFUNCTION("""COMPUTED_VALUE"""),46290.855091709425)</f>
        <v>46290.85509</v>
      </c>
      <c r="C7441" s="9">
        <f>IFERROR(__xludf.DUMMYFUNCTION("""COMPUTED_VALUE"""),28375.0)</f>
        <v>28375</v>
      </c>
      <c r="D7441" s="9" t="str">
        <f>IFERROR(__xludf.DUMMYFUNCTION("""COMPUTED_VALUE"""),"Completed")</f>
        <v>Completed</v>
      </c>
    </row>
    <row r="7442">
      <c r="A7442" s="9" t="str">
        <f>IFERROR(__xludf.DUMMYFUNCTION("""COMPUTED_VALUE"""),"G-REQ-07441")</f>
        <v>G-REQ-07441</v>
      </c>
      <c r="B7442" s="11">
        <f>IFERROR(__xludf.DUMMYFUNCTION("""COMPUTED_VALUE"""),46290.92626655483)</f>
        <v>46290.92627</v>
      </c>
      <c r="C7442" s="9">
        <f>IFERROR(__xludf.DUMMYFUNCTION("""COMPUTED_VALUE"""),28379.0)</f>
        <v>28379</v>
      </c>
      <c r="D7442" s="9" t="str">
        <f>IFERROR(__xludf.DUMMYFUNCTION("""COMPUTED_VALUE"""),"Completed")</f>
        <v>Completed</v>
      </c>
    </row>
    <row r="7443">
      <c r="A7443" s="9" t="str">
        <f>IFERROR(__xludf.DUMMYFUNCTION("""COMPUTED_VALUE"""),"G-REQ-07442")</f>
        <v>G-REQ-07442</v>
      </c>
      <c r="B7443" s="11">
        <f>IFERROR(__xludf.DUMMYFUNCTION("""COMPUTED_VALUE"""),46290.99744140025)</f>
        <v>46290.99744</v>
      </c>
      <c r="C7443" s="9">
        <f>IFERROR(__xludf.DUMMYFUNCTION("""COMPUTED_VALUE"""),28383.0)</f>
        <v>28383</v>
      </c>
      <c r="D7443" s="9" t="str">
        <f>IFERROR(__xludf.DUMMYFUNCTION("""COMPUTED_VALUE"""),"Completed")</f>
        <v>Completed</v>
      </c>
    </row>
    <row r="7444">
      <c r="A7444" s="9" t="str">
        <f>IFERROR(__xludf.DUMMYFUNCTION("""COMPUTED_VALUE"""),"G-REQ-07443")</f>
        <v>G-REQ-07443</v>
      </c>
      <c r="B7444" s="11">
        <f>IFERROR(__xludf.DUMMYFUNCTION("""COMPUTED_VALUE"""),46291.06861624566)</f>
        <v>46291.06862</v>
      </c>
      <c r="C7444" s="9">
        <f>IFERROR(__xludf.DUMMYFUNCTION("""COMPUTED_VALUE"""),28387.0)</f>
        <v>28387</v>
      </c>
      <c r="D7444" s="9" t="str">
        <f>IFERROR(__xludf.DUMMYFUNCTION("""COMPUTED_VALUE"""),"Completed")</f>
        <v>Completed</v>
      </c>
    </row>
    <row r="7445">
      <c r="A7445" s="9" t="str">
        <f>IFERROR(__xludf.DUMMYFUNCTION("""COMPUTED_VALUE"""),"G-REQ-07444")</f>
        <v>G-REQ-07444</v>
      </c>
      <c r="B7445" s="11">
        <f>IFERROR(__xludf.DUMMYFUNCTION("""COMPUTED_VALUE"""),46291.13979109108)</f>
        <v>46291.13979</v>
      </c>
      <c r="C7445" s="9">
        <f>IFERROR(__xludf.DUMMYFUNCTION("""COMPUTED_VALUE"""),28391.0)</f>
        <v>28391</v>
      </c>
      <c r="D7445" s="9" t="str">
        <f>IFERROR(__xludf.DUMMYFUNCTION("""COMPUTED_VALUE"""),"Completed")</f>
        <v>Completed</v>
      </c>
    </row>
    <row r="7446">
      <c r="A7446" s="9" t="str">
        <f>IFERROR(__xludf.DUMMYFUNCTION("""COMPUTED_VALUE"""),"G-REQ-07445")</f>
        <v>G-REQ-07445</v>
      </c>
      <c r="B7446" s="11">
        <f>IFERROR(__xludf.DUMMYFUNCTION("""COMPUTED_VALUE"""),46291.210965936494)</f>
        <v>46291.21097</v>
      </c>
      <c r="C7446" s="9">
        <f>IFERROR(__xludf.DUMMYFUNCTION("""COMPUTED_VALUE"""),28395.0)</f>
        <v>28395</v>
      </c>
      <c r="D7446" s="9" t="str">
        <f>IFERROR(__xludf.DUMMYFUNCTION("""COMPUTED_VALUE"""),"Completed")</f>
        <v>Completed</v>
      </c>
    </row>
    <row r="7447">
      <c r="A7447" s="9" t="str">
        <f>IFERROR(__xludf.DUMMYFUNCTION("""COMPUTED_VALUE"""),"G-REQ-07446")</f>
        <v>G-REQ-07446</v>
      </c>
      <c r="B7447" s="11">
        <f>IFERROR(__xludf.DUMMYFUNCTION("""COMPUTED_VALUE"""),46291.282140781914)</f>
        <v>46291.28214</v>
      </c>
      <c r="C7447" s="9">
        <f>IFERROR(__xludf.DUMMYFUNCTION("""COMPUTED_VALUE"""),28399.0)</f>
        <v>28399</v>
      </c>
      <c r="D7447" s="9" t="str">
        <f>IFERROR(__xludf.DUMMYFUNCTION("""COMPUTED_VALUE"""),"Completed")</f>
        <v>Completed</v>
      </c>
    </row>
    <row r="7448">
      <c r="A7448" s="9" t="str">
        <f>IFERROR(__xludf.DUMMYFUNCTION("""COMPUTED_VALUE"""),"G-REQ-07447")</f>
        <v>G-REQ-07447</v>
      </c>
      <c r="B7448" s="11">
        <f>IFERROR(__xludf.DUMMYFUNCTION("""COMPUTED_VALUE"""),46291.35331562732)</f>
        <v>46291.35332</v>
      </c>
      <c r="C7448" s="9">
        <f>IFERROR(__xludf.DUMMYFUNCTION("""COMPUTED_VALUE"""),28403.0)</f>
        <v>28403</v>
      </c>
      <c r="D7448" s="9" t="str">
        <f>IFERROR(__xludf.DUMMYFUNCTION("""COMPUTED_VALUE"""),"Completed")</f>
        <v>Completed</v>
      </c>
    </row>
    <row r="7449">
      <c r="A7449" s="9" t="str">
        <f>IFERROR(__xludf.DUMMYFUNCTION("""COMPUTED_VALUE"""),"G-REQ-07448")</f>
        <v>G-REQ-07448</v>
      </c>
      <c r="B7449" s="11">
        <f>IFERROR(__xludf.DUMMYFUNCTION("""COMPUTED_VALUE"""),46291.42449047274)</f>
        <v>46291.42449</v>
      </c>
      <c r="C7449" s="9">
        <f>IFERROR(__xludf.DUMMYFUNCTION("""COMPUTED_VALUE"""),28407.0)</f>
        <v>28407</v>
      </c>
      <c r="D7449" s="9" t="str">
        <f>IFERROR(__xludf.DUMMYFUNCTION("""COMPUTED_VALUE"""),"Completed")</f>
        <v>Completed</v>
      </c>
    </row>
    <row r="7450">
      <c r="A7450" s="9" t="str">
        <f>IFERROR(__xludf.DUMMYFUNCTION("""COMPUTED_VALUE"""),"G-REQ-07449")</f>
        <v>G-REQ-07449</v>
      </c>
      <c r="B7450" s="11">
        <f>IFERROR(__xludf.DUMMYFUNCTION("""COMPUTED_VALUE"""),46291.49566531816)</f>
        <v>46291.49567</v>
      </c>
      <c r="C7450" s="9">
        <f>IFERROR(__xludf.DUMMYFUNCTION("""COMPUTED_VALUE"""),28411.0)</f>
        <v>28411</v>
      </c>
      <c r="D7450" s="9" t="str">
        <f>IFERROR(__xludf.DUMMYFUNCTION("""COMPUTED_VALUE"""),"Completed")</f>
        <v>Completed</v>
      </c>
    </row>
    <row r="7451">
      <c r="A7451" s="9" t="str">
        <f>IFERROR(__xludf.DUMMYFUNCTION("""COMPUTED_VALUE"""),"G-REQ-07450")</f>
        <v>G-REQ-07450</v>
      </c>
      <c r="B7451" s="11">
        <f>IFERROR(__xludf.DUMMYFUNCTION("""COMPUTED_VALUE"""),46291.56684016357)</f>
        <v>46291.56684</v>
      </c>
      <c r="C7451" s="9">
        <f>IFERROR(__xludf.DUMMYFUNCTION("""COMPUTED_VALUE"""),28415.0)</f>
        <v>28415</v>
      </c>
      <c r="D7451" s="9" t="str">
        <f>IFERROR(__xludf.DUMMYFUNCTION("""COMPUTED_VALUE"""),"Completed")</f>
        <v>Completed</v>
      </c>
    </row>
    <row r="7452">
      <c r="A7452" s="9" t="str">
        <f>IFERROR(__xludf.DUMMYFUNCTION("""COMPUTED_VALUE"""),"G-REQ-07451")</f>
        <v>G-REQ-07451</v>
      </c>
      <c r="B7452" s="11">
        <f>IFERROR(__xludf.DUMMYFUNCTION("""COMPUTED_VALUE"""),46291.63801500898)</f>
        <v>46291.63802</v>
      </c>
      <c r="C7452" s="9">
        <f>IFERROR(__xludf.DUMMYFUNCTION("""COMPUTED_VALUE"""),28419.0)</f>
        <v>28419</v>
      </c>
      <c r="D7452" s="9" t="str">
        <f>IFERROR(__xludf.DUMMYFUNCTION("""COMPUTED_VALUE"""),"Completed")</f>
        <v>Completed</v>
      </c>
    </row>
    <row r="7453">
      <c r="A7453" s="9" t="str">
        <f>IFERROR(__xludf.DUMMYFUNCTION("""COMPUTED_VALUE"""),"G-REQ-07452")</f>
        <v>G-REQ-07452</v>
      </c>
      <c r="B7453" s="11">
        <f>IFERROR(__xludf.DUMMYFUNCTION("""COMPUTED_VALUE"""),46291.7091898544)</f>
        <v>46291.70919</v>
      </c>
      <c r="C7453" s="9">
        <f>IFERROR(__xludf.DUMMYFUNCTION("""COMPUTED_VALUE"""),28423.0)</f>
        <v>28423</v>
      </c>
      <c r="D7453" s="9" t="str">
        <f>IFERROR(__xludf.DUMMYFUNCTION("""COMPUTED_VALUE"""),"Completed")</f>
        <v>Completed</v>
      </c>
    </row>
    <row r="7454">
      <c r="A7454" s="9" t="str">
        <f>IFERROR(__xludf.DUMMYFUNCTION("""COMPUTED_VALUE"""),"G-REQ-07453")</f>
        <v>G-REQ-07453</v>
      </c>
      <c r="B7454" s="11">
        <f>IFERROR(__xludf.DUMMYFUNCTION("""COMPUTED_VALUE"""),46291.780364699815)</f>
        <v>46291.78036</v>
      </c>
      <c r="C7454" s="9">
        <f>IFERROR(__xludf.DUMMYFUNCTION("""COMPUTED_VALUE"""),28427.0)</f>
        <v>28427</v>
      </c>
      <c r="D7454" s="9" t="str">
        <f>IFERROR(__xludf.DUMMYFUNCTION("""COMPUTED_VALUE"""),"Completed")</f>
        <v>Completed</v>
      </c>
    </row>
    <row r="7455">
      <c r="A7455" s="9" t="str">
        <f>IFERROR(__xludf.DUMMYFUNCTION("""COMPUTED_VALUE"""),"G-REQ-07454")</f>
        <v>G-REQ-07454</v>
      </c>
      <c r="B7455" s="11">
        <f>IFERROR(__xludf.DUMMYFUNCTION("""COMPUTED_VALUE"""),46291.85153954523)</f>
        <v>46291.85154</v>
      </c>
      <c r="C7455" s="9">
        <f>IFERROR(__xludf.DUMMYFUNCTION("""COMPUTED_VALUE"""),28431.0)</f>
        <v>28431</v>
      </c>
      <c r="D7455" s="9" t="str">
        <f>IFERROR(__xludf.DUMMYFUNCTION("""COMPUTED_VALUE"""),"Completed")</f>
        <v>Completed</v>
      </c>
    </row>
    <row r="7456">
      <c r="A7456" s="9" t="str">
        <f>IFERROR(__xludf.DUMMYFUNCTION("""COMPUTED_VALUE"""),"G-REQ-07455")</f>
        <v>G-REQ-07455</v>
      </c>
      <c r="B7456" s="11">
        <f>IFERROR(__xludf.DUMMYFUNCTION("""COMPUTED_VALUE"""),46291.92271439065)</f>
        <v>46291.92271</v>
      </c>
      <c r="C7456" s="9">
        <f>IFERROR(__xludf.DUMMYFUNCTION("""COMPUTED_VALUE"""),28435.0)</f>
        <v>28435</v>
      </c>
      <c r="D7456" s="9" t="str">
        <f>IFERROR(__xludf.DUMMYFUNCTION("""COMPUTED_VALUE"""),"Completed")</f>
        <v>Completed</v>
      </c>
    </row>
    <row r="7457">
      <c r="A7457" s="9" t="str">
        <f>IFERROR(__xludf.DUMMYFUNCTION("""COMPUTED_VALUE"""),"G-REQ-07456")</f>
        <v>G-REQ-07456</v>
      </c>
      <c r="B7457" s="11">
        <f>IFERROR(__xludf.DUMMYFUNCTION("""COMPUTED_VALUE"""),46291.993889236066)</f>
        <v>46291.99389</v>
      </c>
      <c r="C7457" s="9">
        <f>IFERROR(__xludf.DUMMYFUNCTION("""COMPUTED_VALUE"""),28439.0)</f>
        <v>28439</v>
      </c>
      <c r="D7457" s="9" t="str">
        <f>IFERROR(__xludf.DUMMYFUNCTION("""COMPUTED_VALUE"""),"Completed")</f>
        <v>Completed</v>
      </c>
    </row>
    <row r="7458">
      <c r="A7458" s="9" t="str">
        <f>IFERROR(__xludf.DUMMYFUNCTION("""COMPUTED_VALUE"""),"G-REQ-07457")</f>
        <v>G-REQ-07457</v>
      </c>
      <c r="B7458" s="11">
        <f>IFERROR(__xludf.DUMMYFUNCTION("""COMPUTED_VALUE"""),46292.06506408147)</f>
        <v>46292.06506</v>
      </c>
      <c r="C7458" s="9">
        <f>IFERROR(__xludf.DUMMYFUNCTION("""COMPUTED_VALUE"""),28443.0)</f>
        <v>28443</v>
      </c>
      <c r="D7458" s="9" t="str">
        <f>IFERROR(__xludf.DUMMYFUNCTION("""COMPUTED_VALUE"""),"Completed")</f>
        <v>Completed</v>
      </c>
    </row>
    <row r="7459">
      <c r="A7459" s="9" t="str">
        <f>IFERROR(__xludf.DUMMYFUNCTION("""COMPUTED_VALUE"""),"G-REQ-07458")</f>
        <v>G-REQ-07458</v>
      </c>
      <c r="B7459" s="11">
        <f>IFERROR(__xludf.DUMMYFUNCTION("""COMPUTED_VALUE"""),46292.13623892689)</f>
        <v>46292.13624</v>
      </c>
      <c r="C7459" s="9">
        <f>IFERROR(__xludf.DUMMYFUNCTION("""COMPUTED_VALUE"""),28447.0)</f>
        <v>28447</v>
      </c>
      <c r="D7459" s="9" t="str">
        <f>IFERROR(__xludf.DUMMYFUNCTION("""COMPUTED_VALUE"""),"Completed")</f>
        <v>Completed</v>
      </c>
    </row>
    <row r="7460">
      <c r="A7460" s="9" t="str">
        <f>IFERROR(__xludf.DUMMYFUNCTION("""COMPUTED_VALUE"""),"G-REQ-07459")</f>
        <v>G-REQ-07459</v>
      </c>
      <c r="B7460" s="11">
        <f>IFERROR(__xludf.DUMMYFUNCTION("""COMPUTED_VALUE"""),46292.20741377231)</f>
        <v>46292.20741</v>
      </c>
      <c r="C7460" s="9">
        <f>IFERROR(__xludf.DUMMYFUNCTION("""COMPUTED_VALUE"""),28451.0)</f>
        <v>28451</v>
      </c>
      <c r="D7460" s="9" t="str">
        <f>IFERROR(__xludf.DUMMYFUNCTION("""COMPUTED_VALUE"""),"Completed")</f>
        <v>Completed</v>
      </c>
    </row>
    <row r="7461">
      <c r="A7461" s="9" t="str">
        <f>IFERROR(__xludf.DUMMYFUNCTION("""COMPUTED_VALUE"""),"G-REQ-07460")</f>
        <v>G-REQ-07460</v>
      </c>
      <c r="B7461" s="11">
        <f>IFERROR(__xludf.DUMMYFUNCTION("""COMPUTED_VALUE"""),46292.27858861772)</f>
        <v>46292.27859</v>
      </c>
      <c r="C7461" s="9">
        <f>IFERROR(__xludf.DUMMYFUNCTION("""COMPUTED_VALUE"""),28455.0)</f>
        <v>28455</v>
      </c>
      <c r="D7461" s="9" t="str">
        <f>IFERROR(__xludf.DUMMYFUNCTION("""COMPUTED_VALUE"""),"Completed")</f>
        <v>Completed</v>
      </c>
    </row>
    <row r="7462">
      <c r="A7462" s="9" t="str">
        <f>IFERROR(__xludf.DUMMYFUNCTION("""COMPUTED_VALUE"""),"G-REQ-07461")</f>
        <v>G-REQ-07461</v>
      </c>
      <c r="B7462" s="11">
        <f>IFERROR(__xludf.DUMMYFUNCTION("""COMPUTED_VALUE"""),46292.349763463135)</f>
        <v>46292.34976</v>
      </c>
      <c r="C7462" s="9">
        <f>IFERROR(__xludf.DUMMYFUNCTION("""COMPUTED_VALUE"""),28459.0)</f>
        <v>28459</v>
      </c>
      <c r="D7462" s="9" t="str">
        <f>IFERROR(__xludf.DUMMYFUNCTION("""COMPUTED_VALUE"""),"Completed")</f>
        <v>Completed</v>
      </c>
    </row>
    <row r="7463">
      <c r="A7463" s="9" t="str">
        <f>IFERROR(__xludf.DUMMYFUNCTION("""COMPUTED_VALUE"""),"G-REQ-07462")</f>
        <v>G-REQ-07462</v>
      </c>
      <c r="B7463" s="11">
        <f>IFERROR(__xludf.DUMMYFUNCTION("""COMPUTED_VALUE"""),46292.420938308554)</f>
        <v>46292.42094</v>
      </c>
      <c r="C7463" s="9">
        <f>IFERROR(__xludf.DUMMYFUNCTION("""COMPUTED_VALUE"""),28463.0)</f>
        <v>28463</v>
      </c>
      <c r="D7463" s="9" t="str">
        <f>IFERROR(__xludf.DUMMYFUNCTION("""COMPUTED_VALUE"""),"Completed")</f>
        <v>Completed</v>
      </c>
    </row>
    <row r="7464">
      <c r="A7464" s="9" t="str">
        <f>IFERROR(__xludf.DUMMYFUNCTION("""COMPUTED_VALUE"""),"G-REQ-07463")</f>
        <v>G-REQ-07463</v>
      </c>
      <c r="B7464" s="11">
        <f>IFERROR(__xludf.DUMMYFUNCTION("""COMPUTED_VALUE"""),46292.49211315397)</f>
        <v>46292.49211</v>
      </c>
      <c r="C7464" s="9">
        <f>IFERROR(__xludf.DUMMYFUNCTION("""COMPUTED_VALUE"""),28467.0)</f>
        <v>28467</v>
      </c>
      <c r="D7464" s="9" t="str">
        <f>IFERROR(__xludf.DUMMYFUNCTION("""COMPUTED_VALUE"""),"Completed")</f>
        <v>Completed</v>
      </c>
    </row>
    <row r="7465">
      <c r="A7465" s="9" t="str">
        <f>IFERROR(__xludf.DUMMYFUNCTION("""COMPUTED_VALUE"""),"G-REQ-07464")</f>
        <v>G-REQ-07464</v>
      </c>
      <c r="B7465" s="11">
        <f>IFERROR(__xludf.DUMMYFUNCTION("""COMPUTED_VALUE"""),46292.56328799938)</f>
        <v>46292.56329</v>
      </c>
      <c r="C7465" s="9">
        <f>IFERROR(__xludf.DUMMYFUNCTION("""COMPUTED_VALUE"""),28471.0)</f>
        <v>28471</v>
      </c>
      <c r="D7465" s="9" t="str">
        <f>IFERROR(__xludf.DUMMYFUNCTION("""COMPUTED_VALUE"""),"Completed")</f>
        <v>Completed</v>
      </c>
    </row>
    <row r="7466">
      <c r="A7466" s="9" t="str">
        <f>IFERROR(__xludf.DUMMYFUNCTION("""COMPUTED_VALUE"""),"G-REQ-07465")</f>
        <v>G-REQ-07465</v>
      </c>
      <c r="B7466" s="11">
        <f>IFERROR(__xludf.DUMMYFUNCTION("""COMPUTED_VALUE"""),46292.6344628448)</f>
        <v>46292.63446</v>
      </c>
      <c r="C7466" s="9">
        <f>IFERROR(__xludf.DUMMYFUNCTION("""COMPUTED_VALUE"""),28475.0)</f>
        <v>28475</v>
      </c>
      <c r="D7466" s="9" t="str">
        <f>IFERROR(__xludf.DUMMYFUNCTION("""COMPUTED_VALUE"""),"Completed")</f>
        <v>Completed</v>
      </c>
    </row>
    <row r="7467">
      <c r="A7467" s="9" t="str">
        <f>IFERROR(__xludf.DUMMYFUNCTION("""COMPUTED_VALUE"""),"G-REQ-07466")</f>
        <v>G-REQ-07466</v>
      </c>
      <c r="B7467" s="11">
        <f>IFERROR(__xludf.DUMMYFUNCTION("""COMPUTED_VALUE"""),46292.70563769021)</f>
        <v>46292.70564</v>
      </c>
      <c r="C7467" s="9">
        <f>IFERROR(__xludf.DUMMYFUNCTION("""COMPUTED_VALUE"""),28479.0)</f>
        <v>28479</v>
      </c>
      <c r="D7467" s="9" t="str">
        <f>IFERROR(__xludf.DUMMYFUNCTION("""COMPUTED_VALUE"""),"Completed")</f>
        <v>Completed</v>
      </c>
    </row>
    <row r="7468">
      <c r="A7468" s="9" t="str">
        <f>IFERROR(__xludf.DUMMYFUNCTION("""COMPUTED_VALUE"""),"G-REQ-07467")</f>
        <v>G-REQ-07467</v>
      </c>
      <c r="B7468" s="11">
        <f>IFERROR(__xludf.DUMMYFUNCTION("""COMPUTED_VALUE"""),46292.76986809118)</f>
        <v>46292.76987</v>
      </c>
      <c r="C7468" s="9">
        <f>IFERROR(__xludf.DUMMYFUNCTION("""COMPUTED_VALUE"""),28481.0)</f>
        <v>28481</v>
      </c>
      <c r="D7468" s="9" t="str">
        <f>IFERROR(__xludf.DUMMYFUNCTION("""COMPUTED_VALUE"""),"Rejected")</f>
        <v>Rejected</v>
      </c>
    </row>
    <row r="7469">
      <c r="A7469" s="9" t="str">
        <f>IFERROR(__xludf.DUMMYFUNCTION("""COMPUTED_VALUE"""),"G-REQ-07468")</f>
        <v>G-REQ-07468</v>
      </c>
      <c r="B7469" s="11">
        <f>IFERROR(__xludf.DUMMYFUNCTION("""COMPUTED_VALUE"""),46292.84798738104)</f>
        <v>46292.84799</v>
      </c>
      <c r="C7469" s="9">
        <f>IFERROR(__xludf.DUMMYFUNCTION("""COMPUTED_VALUE"""),28485.0)</f>
        <v>28485</v>
      </c>
      <c r="D7469" s="9" t="str">
        <f>IFERROR(__xludf.DUMMYFUNCTION("""COMPUTED_VALUE"""),"Completed")</f>
        <v>Completed</v>
      </c>
    </row>
    <row r="7470">
      <c r="A7470" s="9" t="str">
        <f>IFERROR(__xludf.DUMMYFUNCTION("""COMPUTED_VALUE"""),"G-REQ-07469")</f>
        <v>G-REQ-07469</v>
      </c>
      <c r="B7470" s="11">
        <f>IFERROR(__xludf.DUMMYFUNCTION("""COMPUTED_VALUE"""),46292.919162226455)</f>
        <v>46292.91916</v>
      </c>
      <c r="C7470" s="9">
        <f>IFERROR(__xludf.DUMMYFUNCTION("""COMPUTED_VALUE"""),28489.0)</f>
        <v>28489</v>
      </c>
      <c r="D7470" s="9" t="str">
        <f>IFERROR(__xludf.DUMMYFUNCTION("""COMPUTED_VALUE"""),"Completed")</f>
        <v>Completed</v>
      </c>
    </row>
    <row r="7471">
      <c r="A7471" s="9" t="str">
        <f>IFERROR(__xludf.DUMMYFUNCTION("""COMPUTED_VALUE"""),"G-REQ-07470")</f>
        <v>G-REQ-07470</v>
      </c>
      <c r="B7471" s="11">
        <f>IFERROR(__xludf.DUMMYFUNCTION("""COMPUTED_VALUE"""),46292.990337071875)</f>
        <v>46292.99034</v>
      </c>
      <c r="C7471" s="9">
        <f>IFERROR(__xludf.DUMMYFUNCTION("""COMPUTED_VALUE"""),28493.0)</f>
        <v>28493</v>
      </c>
      <c r="D7471" s="9" t="str">
        <f>IFERROR(__xludf.DUMMYFUNCTION("""COMPUTED_VALUE"""),"Completed")</f>
        <v>Completed</v>
      </c>
    </row>
    <row r="7472">
      <c r="A7472" s="9" t="str">
        <f>IFERROR(__xludf.DUMMYFUNCTION("""COMPUTED_VALUE"""),"G-REQ-07471")</f>
        <v>G-REQ-07471</v>
      </c>
      <c r="B7472" s="11">
        <f>IFERROR(__xludf.DUMMYFUNCTION("""COMPUTED_VALUE"""),46293.06151191729)</f>
        <v>46293.06151</v>
      </c>
      <c r="C7472" s="9">
        <f>IFERROR(__xludf.DUMMYFUNCTION("""COMPUTED_VALUE"""),28497.0)</f>
        <v>28497</v>
      </c>
      <c r="D7472" s="9" t="str">
        <f>IFERROR(__xludf.DUMMYFUNCTION("""COMPUTED_VALUE"""),"Completed")</f>
        <v>Completed</v>
      </c>
    </row>
    <row r="7473">
      <c r="A7473" s="9" t="str">
        <f>IFERROR(__xludf.DUMMYFUNCTION("""COMPUTED_VALUE"""),"G-REQ-07472")</f>
        <v>G-REQ-07472</v>
      </c>
      <c r="B7473" s="11">
        <f>IFERROR(__xludf.DUMMYFUNCTION("""COMPUTED_VALUE"""),46293.13268676271)</f>
        <v>46293.13269</v>
      </c>
      <c r="C7473" s="9">
        <f>IFERROR(__xludf.DUMMYFUNCTION("""COMPUTED_VALUE"""),28501.0)</f>
        <v>28501</v>
      </c>
      <c r="D7473" s="9" t="str">
        <f>IFERROR(__xludf.DUMMYFUNCTION("""COMPUTED_VALUE"""),"Completed")</f>
        <v>Completed</v>
      </c>
    </row>
    <row r="7474">
      <c r="A7474" s="9" t="str">
        <f>IFERROR(__xludf.DUMMYFUNCTION("""COMPUTED_VALUE"""),"G-REQ-07473")</f>
        <v>G-REQ-07473</v>
      </c>
      <c r="B7474" s="11">
        <f>IFERROR(__xludf.DUMMYFUNCTION("""COMPUTED_VALUE"""),46293.20386160811)</f>
        <v>46293.20386</v>
      </c>
      <c r="C7474" s="9">
        <f>IFERROR(__xludf.DUMMYFUNCTION("""COMPUTED_VALUE"""),28505.0)</f>
        <v>28505</v>
      </c>
      <c r="D7474" s="9" t="str">
        <f>IFERROR(__xludf.DUMMYFUNCTION("""COMPUTED_VALUE"""),"Completed")</f>
        <v>Completed</v>
      </c>
    </row>
    <row r="7475">
      <c r="A7475" s="9" t="str">
        <f>IFERROR(__xludf.DUMMYFUNCTION("""COMPUTED_VALUE"""),"G-REQ-07474")</f>
        <v>G-REQ-07474</v>
      </c>
      <c r="B7475" s="11">
        <f>IFERROR(__xludf.DUMMYFUNCTION("""COMPUTED_VALUE"""),46293.27503645353)</f>
        <v>46293.27504</v>
      </c>
      <c r="C7475" s="9">
        <f>IFERROR(__xludf.DUMMYFUNCTION("""COMPUTED_VALUE"""),28509.0)</f>
        <v>28509</v>
      </c>
      <c r="D7475" s="9" t="str">
        <f>IFERROR(__xludf.DUMMYFUNCTION("""COMPUTED_VALUE"""),"Completed")</f>
        <v>Completed</v>
      </c>
    </row>
    <row r="7476">
      <c r="A7476" s="9" t="str">
        <f>IFERROR(__xludf.DUMMYFUNCTION("""COMPUTED_VALUE"""),"G-REQ-07475")</f>
        <v>G-REQ-07475</v>
      </c>
      <c r="B7476" s="11">
        <f>IFERROR(__xludf.DUMMYFUNCTION("""COMPUTED_VALUE"""),46293.34621129895)</f>
        <v>46293.34621</v>
      </c>
      <c r="C7476" s="9">
        <f>IFERROR(__xludf.DUMMYFUNCTION("""COMPUTED_VALUE"""),28513.0)</f>
        <v>28513</v>
      </c>
      <c r="D7476" s="9" t="str">
        <f>IFERROR(__xludf.DUMMYFUNCTION("""COMPUTED_VALUE"""),"Completed")</f>
        <v>Completed</v>
      </c>
    </row>
    <row r="7477">
      <c r="A7477" s="9" t="str">
        <f>IFERROR(__xludf.DUMMYFUNCTION("""COMPUTED_VALUE"""),"G-REQ-07476")</f>
        <v>G-REQ-07476</v>
      </c>
      <c r="B7477" s="11">
        <f>IFERROR(__xludf.DUMMYFUNCTION("""COMPUTED_VALUE"""),46293.41738614436)</f>
        <v>46293.41739</v>
      </c>
      <c r="C7477" s="9">
        <f>IFERROR(__xludf.DUMMYFUNCTION("""COMPUTED_VALUE"""),28517.0)</f>
        <v>28517</v>
      </c>
      <c r="D7477" s="9" t="str">
        <f>IFERROR(__xludf.DUMMYFUNCTION("""COMPUTED_VALUE"""),"Completed")</f>
        <v>Completed</v>
      </c>
    </row>
    <row r="7478">
      <c r="A7478" s="9" t="str">
        <f>IFERROR(__xludf.DUMMYFUNCTION("""COMPUTED_VALUE"""),"G-REQ-07477")</f>
        <v>G-REQ-07477</v>
      </c>
      <c r="B7478" s="11">
        <f>IFERROR(__xludf.DUMMYFUNCTION("""COMPUTED_VALUE"""),46293.488560989776)</f>
        <v>46293.48856</v>
      </c>
      <c r="C7478" s="9">
        <f>IFERROR(__xludf.DUMMYFUNCTION("""COMPUTED_VALUE"""),28521.0)</f>
        <v>28521</v>
      </c>
      <c r="D7478" s="9" t="str">
        <f>IFERROR(__xludf.DUMMYFUNCTION("""COMPUTED_VALUE"""),"Completed")</f>
        <v>Completed</v>
      </c>
    </row>
    <row r="7479">
      <c r="A7479" s="9" t="str">
        <f>IFERROR(__xludf.DUMMYFUNCTION("""COMPUTED_VALUE"""),"G-REQ-07478")</f>
        <v>G-REQ-07478</v>
      </c>
      <c r="B7479" s="11">
        <f>IFERROR(__xludf.DUMMYFUNCTION("""COMPUTED_VALUE"""),46293.55279139075)</f>
        <v>46293.55279</v>
      </c>
      <c r="C7479" s="9">
        <f>IFERROR(__xludf.DUMMYFUNCTION("""COMPUTED_VALUE"""),28523.0)</f>
        <v>28523</v>
      </c>
      <c r="D7479" s="9" t="str">
        <f>IFERROR(__xludf.DUMMYFUNCTION("""COMPUTED_VALUE"""),"Cancelled")</f>
        <v>Cancelled</v>
      </c>
    </row>
    <row r="7480">
      <c r="A7480" s="9" t="str">
        <f>IFERROR(__xludf.DUMMYFUNCTION("""COMPUTED_VALUE"""),"G-REQ-07479")</f>
        <v>G-REQ-07479</v>
      </c>
      <c r="B7480" s="11">
        <f>IFERROR(__xludf.DUMMYFUNCTION("""COMPUTED_VALUE"""),46293.63091068061)</f>
        <v>46293.63091</v>
      </c>
      <c r="C7480" s="9">
        <f>IFERROR(__xludf.DUMMYFUNCTION("""COMPUTED_VALUE"""),28527.0)</f>
        <v>28527</v>
      </c>
      <c r="D7480" s="9" t="str">
        <f>IFERROR(__xludf.DUMMYFUNCTION("""COMPUTED_VALUE"""),"Completed")</f>
        <v>Completed</v>
      </c>
    </row>
    <row r="7481">
      <c r="A7481" s="9" t="str">
        <f>IFERROR(__xludf.DUMMYFUNCTION("""COMPUTED_VALUE"""),"G-REQ-07480")</f>
        <v>G-REQ-07480</v>
      </c>
      <c r="B7481" s="11">
        <f>IFERROR(__xludf.DUMMYFUNCTION("""COMPUTED_VALUE"""),46293.70208552602)</f>
        <v>46293.70209</v>
      </c>
      <c r="C7481" s="9">
        <f>IFERROR(__xludf.DUMMYFUNCTION("""COMPUTED_VALUE"""),28531.0)</f>
        <v>28531</v>
      </c>
      <c r="D7481" s="9" t="str">
        <f>IFERROR(__xludf.DUMMYFUNCTION("""COMPUTED_VALUE"""),"Completed")</f>
        <v>Completed</v>
      </c>
    </row>
    <row r="7482">
      <c r="A7482" s="9" t="str">
        <f>IFERROR(__xludf.DUMMYFUNCTION("""COMPUTED_VALUE"""),"G-REQ-07481")</f>
        <v>G-REQ-07481</v>
      </c>
      <c r="B7482" s="11">
        <f>IFERROR(__xludf.DUMMYFUNCTION("""COMPUTED_VALUE"""),46293.77326037144)</f>
        <v>46293.77326</v>
      </c>
      <c r="C7482" s="9">
        <f>IFERROR(__xludf.DUMMYFUNCTION("""COMPUTED_VALUE"""),28535.0)</f>
        <v>28535</v>
      </c>
      <c r="D7482" s="9" t="str">
        <f>IFERROR(__xludf.DUMMYFUNCTION("""COMPUTED_VALUE"""),"Completed")</f>
        <v>Completed</v>
      </c>
    </row>
    <row r="7483">
      <c r="A7483" s="9" t="str">
        <f>IFERROR(__xludf.DUMMYFUNCTION("""COMPUTED_VALUE"""),"G-REQ-07482")</f>
        <v>G-REQ-07482</v>
      </c>
      <c r="B7483" s="11">
        <f>IFERROR(__xludf.DUMMYFUNCTION("""COMPUTED_VALUE"""),46293.84443521686)</f>
        <v>46293.84444</v>
      </c>
      <c r="C7483" s="9">
        <f>IFERROR(__xludf.DUMMYFUNCTION("""COMPUTED_VALUE"""),28539.0)</f>
        <v>28539</v>
      </c>
      <c r="D7483" s="9" t="str">
        <f>IFERROR(__xludf.DUMMYFUNCTION("""COMPUTED_VALUE"""),"Completed")</f>
        <v>Completed</v>
      </c>
    </row>
    <row r="7484">
      <c r="A7484" s="9" t="str">
        <f>IFERROR(__xludf.DUMMYFUNCTION("""COMPUTED_VALUE"""),"G-REQ-07483")</f>
        <v>G-REQ-07483</v>
      </c>
      <c r="B7484" s="11">
        <f>IFERROR(__xludf.DUMMYFUNCTION("""COMPUTED_VALUE"""),46293.915610062264)</f>
        <v>46293.91561</v>
      </c>
      <c r="C7484" s="9">
        <f>IFERROR(__xludf.DUMMYFUNCTION("""COMPUTED_VALUE"""),28543.0)</f>
        <v>28543</v>
      </c>
      <c r="D7484" s="9" t="str">
        <f>IFERROR(__xludf.DUMMYFUNCTION("""COMPUTED_VALUE"""),"Completed")</f>
        <v>Completed</v>
      </c>
    </row>
    <row r="7485">
      <c r="A7485" s="9" t="str">
        <f>IFERROR(__xludf.DUMMYFUNCTION("""COMPUTED_VALUE"""),"G-REQ-07484")</f>
        <v>G-REQ-07484</v>
      </c>
      <c r="B7485" s="11">
        <f>IFERROR(__xludf.DUMMYFUNCTION("""COMPUTED_VALUE"""),46293.98678490768)</f>
        <v>46293.98678</v>
      </c>
      <c r="C7485" s="9">
        <f>IFERROR(__xludf.DUMMYFUNCTION("""COMPUTED_VALUE"""),28547.0)</f>
        <v>28547</v>
      </c>
      <c r="D7485" s="9" t="str">
        <f>IFERROR(__xludf.DUMMYFUNCTION("""COMPUTED_VALUE"""),"Completed")</f>
        <v>Completed</v>
      </c>
    </row>
    <row r="7486">
      <c r="A7486" s="9" t="str">
        <f>IFERROR(__xludf.DUMMYFUNCTION("""COMPUTED_VALUE"""),"G-REQ-07485")</f>
        <v>G-REQ-07485</v>
      </c>
      <c r="B7486" s="11">
        <f>IFERROR(__xludf.DUMMYFUNCTION("""COMPUTED_VALUE"""),46294.05101530865)</f>
        <v>46294.05102</v>
      </c>
      <c r="C7486" s="9">
        <f>IFERROR(__xludf.DUMMYFUNCTION("""COMPUTED_VALUE"""),28549.0)</f>
        <v>28549</v>
      </c>
      <c r="D7486" s="9" t="str">
        <f>IFERROR(__xludf.DUMMYFUNCTION("""COMPUTED_VALUE"""),"Rejected")</f>
        <v>Rejected</v>
      </c>
    </row>
    <row r="7487">
      <c r="A7487" s="9" t="str">
        <f>IFERROR(__xludf.DUMMYFUNCTION("""COMPUTED_VALUE"""),"G-REQ-07486")</f>
        <v>G-REQ-07486</v>
      </c>
      <c r="B7487" s="11">
        <f>IFERROR(__xludf.DUMMYFUNCTION("""COMPUTED_VALUE"""),46294.129134598516)</f>
        <v>46294.12913</v>
      </c>
      <c r="C7487" s="9">
        <f>IFERROR(__xludf.DUMMYFUNCTION("""COMPUTED_VALUE"""),28553.0)</f>
        <v>28553</v>
      </c>
      <c r="D7487" s="9" t="str">
        <f>IFERROR(__xludf.DUMMYFUNCTION("""COMPUTED_VALUE"""),"Completed")</f>
        <v>Completed</v>
      </c>
    </row>
    <row r="7488">
      <c r="A7488" s="9" t="str">
        <f>IFERROR(__xludf.DUMMYFUNCTION("""COMPUTED_VALUE"""),"G-REQ-07487")</f>
        <v>G-REQ-07487</v>
      </c>
      <c r="B7488" s="11">
        <f>IFERROR(__xludf.DUMMYFUNCTION("""COMPUTED_VALUE"""),46294.20030944393)</f>
        <v>46294.20031</v>
      </c>
      <c r="C7488" s="9">
        <f>IFERROR(__xludf.DUMMYFUNCTION("""COMPUTED_VALUE"""),28557.0)</f>
        <v>28557</v>
      </c>
      <c r="D7488" s="9" t="str">
        <f>IFERROR(__xludf.DUMMYFUNCTION("""COMPUTED_VALUE"""),"Completed")</f>
        <v>Completed</v>
      </c>
    </row>
    <row r="7489">
      <c r="A7489" s="9" t="str">
        <f>IFERROR(__xludf.DUMMYFUNCTION("""COMPUTED_VALUE"""),"G-REQ-07488")</f>
        <v>G-REQ-07488</v>
      </c>
      <c r="B7489" s="11">
        <f>IFERROR(__xludf.DUMMYFUNCTION("""COMPUTED_VALUE"""),46294.2645398449)</f>
        <v>46294.26454</v>
      </c>
      <c r="C7489" s="9">
        <f>IFERROR(__xludf.DUMMYFUNCTION("""COMPUTED_VALUE"""),28559.0)</f>
        <v>28559</v>
      </c>
      <c r="D7489" s="9" t="str">
        <f>IFERROR(__xludf.DUMMYFUNCTION("""COMPUTED_VALUE"""),"Rejected")</f>
        <v>Rejected</v>
      </c>
    </row>
    <row r="7490">
      <c r="A7490" s="9" t="str">
        <f>IFERROR(__xludf.DUMMYFUNCTION("""COMPUTED_VALUE"""),"G-REQ-07489")</f>
        <v>G-REQ-07489</v>
      </c>
      <c r="B7490" s="11">
        <f>IFERROR(__xludf.DUMMYFUNCTION("""COMPUTED_VALUE"""),46294.34265913475)</f>
        <v>46294.34266</v>
      </c>
      <c r="C7490" s="9">
        <f>IFERROR(__xludf.DUMMYFUNCTION("""COMPUTED_VALUE"""),28563.0)</f>
        <v>28563</v>
      </c>
      <c r="D7490" s="9" t="str">
        <f>IFERROR(__xludf.DUMMYFUNCTION("""COMPUTED_VALUE"""),"Completed")</f>
        <v>Completed</v>
      </c>
    </row>
    <row r="7491">
      <c r="A7491" s="9" t="str">
        <f>IFERROR(__xludf.DUMMYFUNCTION("""COMPUTED_VALUE"""),"G-REQ-07490")</f>
        <v>G-REQ-07490</v>
      </c>
      <c r="B7491" s="11">
        <f>IFERROR(__xludf.DUMMYFUNCTION("""COMPUTED_VALUE"""),46294.41383398017)</f>
        <v>46294.41383</v>
      </c>
      <c r="C7491" s="9">
        <f>IFERROR(__xludf.DUMMYFUNCTION("""COMPUTED_VALUE"""),28567.0)</f>
        <v>28567</v>
      </c>
      <c r="D7491" s="9" t="str">
        <f>IFERROR(__xludf.DUMMYFUNCTION("""COMPUTED_VALUE"""),"Completed")</f>
        <v>Completed</v>
      </c>
    </row>
    <row r="7492">
      <c r="A7492" s="9" t="str">
        <f>IFERROR(__xludf.DUMMYFUNCTION("""COMPUTED_VALUE"""),"G-REQ-07491")</f>
        <v>G-REQ-07491</v>
      </c>
      <c r="B7492" s="11">
        <f>IFERROR(__xludf.DUMMYFUNCTION("""COMPUTED_VALUE"""),46294.47806438115)</f>
        <v>46294.47806</v>
      </c>
      <c r="C7492" s="9">
        <f>IFERROR(__xludf.DUMMYFUNCTION("""COMPUTED_VALUE"""),28569.0)</f>
        <v>28569</v>
      </c>
      <c r="D7492" s="9" t="str">
        <f>IFERROR(__xludf.DUMMYFUNCTION("""COMPUTED_VALUE"""),"Rejected")</f>
        <v>Rejected</v>
      </c>
    </row>
    <row r="7493">
      <c r="A7493" s="9" t="str">
        <f>IFERROR(__xludf.DUMMYFUNCTION("""COMPUTED_VALUE"""),"G-REQ-07492")</f>
        <v>G-REQ-07492</v>
      </c>
      <c r="B7493" s="11">
        <f>IFERROR(__xludf.DUMMYFUNCTION("""COMPUTED_VALUE"""),46294.556183671004)</f>
        <v>46294.55618</v>
      </c>
      <c r="C7493" s="9">
        <f>IFERROR(__xludf.DUMMYFUNCTION("""COMPUTED_VALUE"""),28573.0)</f>
        <v>28573</v>
      </c>
      <c r="D7493" s="9" t="str">
        <f>IFERROR(__xludf.DUMMYFUNCTION("""COMPUTED_VALUE"""),"Completed")</f>
        <v>Completed</v>
      </c>
    </row>
    <row r="7494">
      <c r="A7494" s="9" t="str">
        <f>IFERROR(__xludf.DUMMYFUNCTION("""COMPUTED_VALUE"""),"G-REQ-07493")</f>
        <v>G-REQ-07493</v>
      </c>
      <c r="B7494" s="11">
        <f>IFERROR(__xludf.DUMMYFUNCTION("""COMPUTED_VALUE"""),46294.627358516416)</f>
        <v>46294.62736</v>
      </c>
      <c r="C7494" s="9">
        <f>IFERROR(__xludf.DUMMYFUNCTION("""COMPUTED_VALUE"""),28577.0)</f>
        <v>28577</v>
      </c>
      <c r="D7494" s="9" t="str">
        <f>IFERROR(__xludf.DUMMYFUNCTION("""COMPUTED_VALUE"""),"Completed")</f>
        <v>Completed</v>
      </c>
    </row>
    <row r="7495">
      <c r="A7495" s="9" t="str">
        <f>IFERROR(__xludf.DUMMYFUNCTION("""COMPUTED_VALUE"""),"G-REQ-07494")</f>
        <v>G-REQ-07494</v>
      </c>
      <c r="B7495" s="11">
        <f>IFERROR(__xludf.DUMMYFUNCTION("""COMPUTED_VALUE"""),46294.69158891739)</f>
        <v>46294.69159</v>
      </c>
      <c r="C7495" s="9">
        <f>IFERROR(__xludf.DUMMYFUNCTION("""COMPUTED_VALUE"""),28579.0)</f>
        <v>28579</v>
      </c>
      <c r="D7495" s="9" t="str">
        <f>IFERROR(__xludf.DUMMYFUNCTION("""COMPUTED_VALUE"""),"Rejected")</f>
        <v>Rejected</v>
      </c>
    </row>
    <row r="7496">
      <c r="A7496" s="9" t="str">
        <f>IFERROR(__xludf.DUMMYFUNCTION("""COMPUTED_VALUE"""),"G-REQ-07495")</f>
        <v>G-REQ-07495</v>
      </c>
      <c r="B7496" s="11">
        <f>IFERROR(__xludf.DUMMYFUNCTION("""COMPUTED_VALUE"""),46294.76970820725)</f>
        <v>46294.76971</v>
      </c>
      <c r="C7496" s="9">
        <f>IFERROR(__xludf.DUMMYFUNCTION("""COMPUTED_VALUE"""),28583.0)</f>
        <v>28583</v>
      </c>
      <c r="D7496" s="9" t="str">
        <f>IFERROR(__xludf.DUMMYFUNCTION("""COMPUTED_VALUE"""),"Completed")</f>
        <v>Completed</v>
      </c>
    </row>
    <row r="7497">
      <c r="A7497" s="9" t="str">
        <f>IFERROR(__xludf.DUMMYFUNCTION("""COMPUTED_VALUE"""),"G-REQ-07496")</f>
        <v>G-REQ-07496</v>
      </c>
      <c r="B7497" s="11">
        <f>IFERROR(__xludf.DUMMYFUNCTION("""COMPUTED_VALUE"""),46294.84088305266)</f>
        <v>46294.84088</v>
      </c>
      <c r="C7497" s="9">
        <f>IFERROR(__xludf.DUMMYFUNCTION("""COMPUTED_VALUE"""),28587.0)</f>
        <v>28587</v>
      </c>
      <c r="D7497" s="9" t="str">
        <f>IFERROR(__xludf.DUMMYFUNCTION("""COMPUTED_VALUE"""),"Completed")</f>
        <v>Completed</v>
      </c>
    </row>
    <row r="7498">
      <c r="A7498" s="9" t="str">
        <f>IFERROR(__xludf.DUMMYFUNCTION("""COMPUTED_VALUE"""),"G-REQ-07497")</f>
        <v>G-REQ-07497</v>
      </c>
      <c r="B7498" s="11">
        <f>IFERROR(__xludf.DUMMYFUNCTION("""COMPUTED_VALUE"""),46294.91205789808)</f>
        <v>46294.91206</v>
      </c>
      <c r="C7498" s="9">
        <f>IFERROR(__xludf.DUMMYFUNCTION("""COMPUTED_VALUE"""),28591.0)</f>
        <v>28591</v>
      </c>
      <c r="D7498" s="9" t="str">
        <f>IFERROR(__xludf.DUMMYFUNCTION("""COMPUTED_VALUE"""),"Completed")</f>
        <v>Completed</v>
      </c>
    </row>
    <row r="7499">
      <c r="A7499" s="9" t="str">
        <f>IFERROR(__xludf.DUMMYFUNCTION("""COMPUTED_VALUE"""),"G-REQ-07498")</f>
        <v>G-REQ-07498</v>
      </c>
      <c r="B7499" s="11">
        <f>IFERROR(__xludf.DUMMYFUNCTION("""COMPUTED_VALUE"""),46294.9832327435)</f>
        <v>46294.98323</v>
      </c>
      <c r="C7499" s="9">
        <f>IFERROR(__xludf.DUMMYFUNCTION("""COMPUTED_VALUE"""),28595.0)</f>
        <v>28595</v>
      </c>
      <c r="D7499" s="9" t="str">
        <f>IFERROR(__xludf.DUMMYFUNCTION("""COMPUTED_VALUE"""),"Completed")</f>
        <v>Completed</v>
      </c>
    </row>
    <row r="7500">
      <c r="A7500" s="9" t="str">
        <f>IFERROR(__xludf.DUMMYFUNCTION("""COMPUTED_VALUE"""),"G-REQ-07499")</f>
        <v>G-REQ-07499</v>
      </c>
      <c r="B7500" s="11">
        <f>IFERROR(__xludf.DUMMYFUNCTION("""COMPUTED_VALUE"""),46295.054407588905)</f>
        <v>46295.05441</v>
      </c>
      <c r="C7500" s="9">
        <f>IFERROR(__xludf.DUMMYFUNCTION("""COMPUTED_VALUE"""),28599.0)</f>
        <v>28599</v>
      </c>
      <c r="D7500" s="9" t="str">
        <f>IFERROR(__xludf.DUMMYFUNCTION("""COMPUTED_VALUE"""),"Completed")</f>
        <v>Completed</v>
      </c>
    </row>
    <row r="7501">
      <c r="A7501" s="9" t="str">
        <f>IFERROR(__xludf.DUMMYFUNCTION("""COMPUTED_VALUE"""),"G-REQ-07500")</f>
        <v>G-REQ-07500</v>
      </c>
      <c r="B7501" s="11">
        <f>IFERROR(__xludf.DUMMYFUNCTION("""COMPUTED_VALUE"""),46295.125582434324)</f>
        <v>46295.12558</v>
      </c>
      <c r="C7501" s="9">
        <f>IFERROR(__xludf.DUMMYFUNCTION("""COMPUTED_VALUE"""),28603.0)</f>
        <v>28603</v>
      </c>
      <c r="D7501" s="9" t="str">
        <f>IFERROR(__xludf.DUMMYFUNCTION("""COMPUTED_VALUE"""),"Completed")</f>
        <v>Completed</v>
      </c>
    </row>
    <row r="7502">
      <c r="A7502" s="9" t="str">
        <f>IFERROR(__xludf.DUMMYFUNCTION("""COMPUTED_VALUE"""),"G-REQ-07501")</f>
        <v>G-REQ-07501</v>
      </c>
      <c r="B7502" s="11">
        <f>IFERROR(__xludf.DUMMYFUNCTION("""COMPUTED_VALUE"""),46295.1898128353)</f>
        <v>46295.18981</v>
      </c>
      <c r="C7502" s="9">
        <f>IFERROR(__xludf.DUMMYFUNCTION("""COMPUTED_VALUE"""),28605.0)</f>
        <v>28605</v>
      </c>
      <c r="D7502" s="9" t="str">
        <f>IFERROR(__xludf.DUMMYFUNCTION("""COMPUTED_VALUE"""),"Rejected")</f>
        <v>Rejected</v>
      </c>
    </row>
    <row r="7503">
      <c r="A7503" s="9" t="str">
        <f>IFERROR(__xludf.DUMMYFUNCTION("""COMPUTED_VALUE"""),"G-REQ-07502")</f>
        <v>G-REQ-07502</v>
      </c>
      <c r="B7503" s="11">
        <f>IFERROR(__xludf.DUMMYFUNCTION("""COMPUTED_VALUE"""),46295.267932125156)</f>
        <v>46295.26793</v>
      </c>
      <c r="C7503" s="9">
        <f>IFERROR(__xludf.DUMMYFUNCTION("""COMPUTED_VALUE"""),28609.0)</f>
        <v>28609</v>
      </c>
      <c r="D7503" s="9" t="str">
        <f>IFERROR(__xludf.DUMMYFUNCTION("""COMPUTED_VALUE"""),"Completed")</f>
        <v>Completed</v>
      </c>
    </row>
    <row r="7504">
      <c r="A7504" s="9" t="str">
        <f>IFERROR(__xludf.DUMMYFUNCTION("""COMPUTED_VALUE"""),"G-REQ-07503")</f>
        <v>G-REQ-07503</v>
      </c>
      <c r="B7504" s="11">
        <f>IFERROR(__xludf.DUMMYFUNCTION("""COMPUTED_VALUE"""),46295.33910697057)</f>
        <v>46295.33911</v>
      </c>
      <c r="C7504" s="9">
        <f>IFERROR(__xludf.DUMMYFUNCTION("""COMPUTED_VALUE"""),28613.0)</f>
        <v>28613</v>
      </c>
      <c r="D7504" s="9" t="str">
        <f>IFERROR(__xludf.DUMMYFUNCTION("""COMPUTED_VALUE"""),"Completed")</f>
        <v>Completed</v>
      </c>
    </row>
    <row r="7505">
      <c r="A7505" s="9" t="str">
        <f>IFERROR(__xludf.DUMMYFUNCTION("""COMPUTED_VALUE"""),"G-REQ-07504")</f>
        <v>G-REQ-07504</v>
      </c>
      <c r="B7505" s="11">
        <f>IFERROR(__xludf.DUMMYFUNCTION("""COMPUTED_VALUE"""),46295.41028181599)</f>
        <v>46295.41028</v>
      </c>
      <c r="C7505" s="9">
        <f>IFERROR(__xludf.DUMMYFUNCTION("""COMPUTED_VALUE"""),28617.0)</f>
        <v>28617</v>
      </c>
      <c r="D7505" s="9" t="str">
        <f>IFERROR(__xludf.DUMMYFUNCTION("""COMPUTED_VALUE"""),"Completed")</f>
        <v>Completed</v>
      </c>
    </row>
    <row r="7506">
      <c r="A7506" s="9" t="str">
        <f>IFERROR(__xludf.DUMMYFUNCTION("""COMPUTED_VALUE"""),"G-REQ-07505")</f>
        <v>G-REQ-07505</v>
      </c>
      <c r="B7506" s="11">
        <f>IFERROR(__xludf.DUMMYFUNCTION("""COMPUTED_VALUE"""),46295.4814566614)</f>
        <v>46295.48146</v>
      </c>
      <c r="C7506" s="9">
        <f>IFERROR(__xludf.DUMMYFUNCTION("""COMPUTED_VALUE"""),28621.0)</f>
        <v>28621</v>
      </c>
      <c r="D7506" s="9" t="str">
        <f>IFERROR(__xludf.DUMMYFUNCTION("""COMPUTED_VALUE"""),"Completed")</f>
        <v>Completed</v>
      </c>
    </row>
    <row r="7507">
      <c r="A7507" s="9" t="str">
        <f>IFERROR(__xludf.DUMMYFUNCTION("""COMPUTED_VALUE"""),"G-REQ-07506")</f>
        <v>G-REQ-07506</v>
      </c>
      <c r="B7507" s="11">
        <f>IFERROR(__xludf.DUMMYFUNCTION("""COMPUTED_VALUE"""),46295.55263150681)</f>
        <v>46295.55263</v>
      </c>
      <c r="C7507" s="9">
        <f>IFERROR(__xludf.DUMMYFUNCTION("""COMPUTED_VALUE"""),28625.0)</f>
        <v>28625</v>
      </c>
      <c r="D7507" s="9" t="str">
        <f>IFERROR(__xludf.DUMMYFUNCTION("""COMPUTED_VALUE"""),"Completed")</f>
        <v>Completed</v>
      </c>
    </row>
    <row r="7508">
      <c r="A7508" s="9" t="str">
        <f>IFERROR(__xludf.DUMMYFUNCTION("""COMPUTED_VALUE"""),"G-REQ-07507")</f>
        <v>G-REQ-07507</v>
      </c>
      <c r="B7508" s="11">
        <f>IFERROR(__xludf.DUMMYFUNCTION("""COMPUTED_VALUE"""),46295.62380635223)</f>
        <v>46295.62381</v>
      </c>
      <c r="C7508" s="9">
        <f>IFERROR(__xludf.DUMMYFUNCTION("""COMPUTED_VALUE"""),28629.0)</f>
        <v>28629</v>
      </c>
      <c r="D7508" s="9" t="str">
        <f>IFERROR(__xludf.DUMMYFUNCTION("""COMPUTED_VALUE"""),"Completed")</f>
        <v>Completed</v>
      </c>
    </row>
    <row r="7509">
      <c r="A7509" s="9" t="str">
        <f>IFERROR(__xludf.DUMMYFUNCTION("""COMPUTED_VALUE"""),"G-REQ-07508")</f>
        <v>G-REQ-07508</v>
      </c>
      <c r="B7509" s="11">
        <f>IFERROR(__xludf.DUMMYFUNCTION("""COMPUTED_VALUE"""),46295.694981197645)</f>
        <v>46295.69498</v>
      </c>
      <c r="C7509" s="9">
        <f>IFERROR(__xludf.DUMMYFUNCTION("""COMPUTED_VALUE"""),28633.0)</f>
        <v>28633</v>
      </c>
      <c r="D7509" s="9" t="str">
        <f>IFERROR(__xludf.DUMMYFUNCTION("""COMPUTED_VALUE"""),"Completed")</f>
        <v>Completed</v>
      </c>
    </row>
    <row r="7510">
      <c r="A7510" s="9" t="str">
        <f>IFERROR(__xludf.DUMMYFUNCTION("""COMPUTED_VALUE"""),"G-REQ-07509")</f>
        <v>G-REQ-07509</v>
      </c>
      <c r="B7510" s="11">
        <f>IFERROR(__xludf.DUMMYFUNCTION("""COMPUTED_VALUE"""),46295.76615604306)</f>
        <v>46295.76616</v>
      </c>
      <c r="C7510" s="9">
        <f>IFERROR(__xludf.DUMMYFUNCTION("""COMPUTED_VALUE"""),28637.0)</f>
        <v>28637</v>
      </c>
      <c r="D7510" s="9" t="str">
        <f>IFERROR(__xludf.DUMMYFUNCTION("""COMPUTED_VALUE"""),"Completed")</f>
        <v>Completed</v>
      </c>
    </row>
    <row r="7511">
      <c r="A7511" s="9" t="str">
        <f>IFERROR(__xludf.DUMMYFUNCTION("""COMPUTED_VALUE"""),"G-REQ-07510")</f>
        <v>G-REQ-07510</v>
      </c>
      <c r="B7511" s="11">
        <f>IFERROR(__xludf.DUMMYFUNCTION("""COMPUTED_VALUE"""),46295.83733088848)</f>
        <v>46295.83733</v>
      </c>
      <c r="C7511" s="9">
        <f>IFERROR(__xludf.DUMMYFUNCTION("""COMPUTED_VALUE"""),28641.0)</f>
        <v>28641</v>
      </c>
      <c r="D7511" s="9" t="str">
        <f>IFERROR(__xludf.DUMMYFUNCTION("""COMPUTED_VALUE"""),"Completed")</f>
        <v>Completed</v>
      </c>
    </row>
    <row r="7512">
      <c r="A7512" s="9" t="str">
        <f>IFERROR(__xludf.DUMMYFUNCTION("""COMPUTED_VALUE"""),"G-REQ-07511")</f>
        <v>G-REQ-07511</v>
      </c>
      <c r="B7512" s="11">
        <f>IFERROR(__xludf.DUMMYFUNCTION("""COMPUTED_VALUE"""),46295.90850573389)</f>
        <v>46295.90851</v>
      </c>
      <c r="C7512" s="9">
        <f>IFERROR(__xludf.DUMMYFUNCTION("""COMPUTED_VALUE"""),28645.0)</f>
        <v>28645</v>
      </c>
      <c r="D7512" s="9" t="str">
        <f>IFERROR(__xludf.DUMMYFUNCTION("""COMPUTED_VALUE"""),"Completed")</f>
        <v>Completed</v>
      </c>
    </row>
    <row r="7513">
      <c r="A7513" s="9" t="str">
        <f>IFERROR(__xludf.DUMMYFUNCTION("""COMPUTED_VALUE"""),"G-REQ-07512")</f>
        <v>G-REQ-07512</v>
      </c>
      <c r="B7513" s="11">
        <f>IFERROR(__xludf.DUMMYFUNCTION("""COMPUTED_VALUE"""),46295.9796805793)</f>
        <v>46295.97968</v>
      </c>
      <c r="C7513" s="9">
        <f>IFERROR(__xludf.DUMMYFUNCTION("""COMPUTED_VALUE"""),28649.0)</f>
        <v>28649</v>
      </c>
      <c r="D7513" s="9" t="str">
        <f>IFERROR(__xludf.DUMMYFUNCTION("""COMPUTED_VALUE"""),"Completed")</f>
        <v>Completed</v>
      </c>
    </row>
    <row r="7514">
      <c r="A7514" s="9" t="str">
        <f>IFERROR(__xludf.DUMMYFUNCTION("""COMPUTED_VALUE"""),"G-REQ-07513")</f>
        <v>G-REQ-07513</v>
      </c>
      <c r="B7514" s="11">
        <f>IFERROR(__xludf.DUMMYFUNCTION("""COMPUTED_VALUE"""),46296.043910980276)</f>
        <v>46296.04391</v>
      </c>
      <c r="C7514" s="9">
        <f>IFERROR(__xludf.DUMMYFUNCTION("""COMPUTED_VALUE"""),28651.0)</f>
        <v>28651</v>
      </c>
      <c r="D7514" s="9" t="str">
        <f>IFERROR(__xludf.DUMMYFUNCTION("""COMPUTED_VALUE"""),"Rejected")</f>
        <v>Rejected</v>
      </c>
    </row>
    <row r="7515">
      <c r="A7515" s="9" t="str">
        <f>IFERROR(__xludf.DUMMYFUNCTION("""COMPUTED_VALUE"""),"G-REQ-07514")</f>
        <v>G-REQ-07514</v>
      </c>
      <c r="B7515" s="11">
        <f>IFERROR(__xludf.DUMMYFUNCTION("""COMPUTED_VALUE"""),46296.12203027014)</f>
        <v>46296.12203</v>
      </c>
      <c r="C7515" s="9">
        <f>IFERROR(__xludf.DUMMYFUNCTION("""COMPUTED_VALUE"""),28655.0)</f>
        <v>28655</v>
      </c>
      <c r="D7515" s="9" t="str">
        <f>IFERROR(__xludf.DUMMYFUNCTION("""COMPUTED_VALUE"""),"Completed")</f>
        <v>Completed</v>
      </c>
    </row>
    <row r="7516">
      <c r="A7516" s="9" t="str">
        <f>IFERROR(__xludf.DUMMYFUNCTION("""COMPUTED_VALUE"""),"G-REQ-07515")</f>
        <v>G-REQ-07515</v>
      </c>
      <c r="B7516" s="11">
        <f>IFERROR(__xludf.DUMMYFUNCTION("""COMPUTED_VALUE"""),46296.193205115545)</f>
        <v>46296.19321</v>
      </c>
      <c r="C7516" s="9">
        <f>IFERROR(__xludf.DUMMYFUNCTION("""COMPUTED_VALUE"""),28659.0)</f>
        <v>28659</v>
      </c>
      <c r="D7516" s="9" t="str">
        <f>IFERROR(__xludf.DUMMYFUNCTION("""COMPUTED_VALUE"""),"Completed")</f>
        <v>Completed</v>
      </c>
    </row>
    <row r="7517">
      <c r="A7517" s="9" t="str">
        <f>IFERROR(__xludf.DUMMYFUNCTION("""COMPUTED_VALUE"""),"G-REQ-07516")</f>
        <v>G-REQ-07516</v>
      </c>
      <c r="B7517" s="11">
        <f>IFERROR(__xludf.DUMMYFUNCTION("""COMPUTED_VALUE"""),46296.264379960965)</f>
        <v>46296.26438</v>
      </c>
      <c r="C7517" s="9">
        <f>IFERROR(__xludf.DUMMYFUNCTION("""COMPUTED_VALUE"""),28663.0)</f>
        <v>28663</v>
      </c>
      <c r="D7517" s="9" t="str">
        <f>IFERROR(__xludf.DUMMYFUNCTION("""COMPUTED_VALUE"""),"Completed")</f>
        <v>Completed</v>
      </c>
    </row>
    <row r="7518">
      <c r="A7518" s="9" t="str">
        <f>IFERROR(__xludf.DUMMYFUNCTION("""COMPUTED_VALUE"""),"G-REQ-07517")</f>
        <v>G-REQ-07517</v>
      </c>
      <c r="B7518" s="11">
        <f>IFERROR(__xludf.DUMMYFUNCTION("""COMPUTED_VALUE"""),46296.335554806385)</f>
        <v>46296.33555</v>
      </c>
      <c r="C7518" s="9">
        <f>IFERROR(__xludf.DUMMYFUNCTION("""COMPUTED_VALUE"""),28667.0)</f>
        <v>28667</v>
      </c>
      <c r="D7518" s="9" t="str">
        <f>IFERROR(__xludf.DUMMYFUNCTION("""COMPUTED_VALUE"""),"Completed")</f>
        <v>Completed</v>
      </c>
    </row>
    <row r="7519">
      <c r="A7519" s="9" t="str">
        <f>IFERROR(__xludf.DUMMYFUNCTION("""COMPUTED_VALUE"""),"G-REQ-07518")</f>
        <v>G-REQ-07518</v>
      </c>
      <c r="B7519" s="11">
        <f>IFERROR(__xludf.DUMMYFUNCTION("""COMPUTED_VALUE"""),46296.4067296518)</f>
        <v>46296.40673</v>
      </c>
      <c r="C7519" s="9">
        <f>IFERROR(__xludf.DUMMYFUNCTION("""COMPUTED_VALUE"""),28671.0)</f>
        <v>28671</v>
      </c>
      <c r="D7519" s="9" t="str">
        <f>IFERROR(__xludf.DUMMYFUNCTION("""COMPUTED_VALUE"""),"Completed")</f>
        <v>Completed</v>
      </c>
    </row>
    <row r="7520">
      <c r="A7520" s="9" t="str">
        <f>IFERROR(__xludf.DUMMYFUNCTION("""COMPUTED_VALUE"""),"G-REQ-07519")</f>
        <v>G-REQ-07519</v>
      </c>
      <c r="B7520" s="11">
        <f>IFERROR(__xludf.DUMMYFUNCTION("""COMPUTED_VALUE"""),46296.47790449721)</f>
        <v>46296.4779</v>
      </c>
      <c r="C7520" s="9">
        <f>IFERROR(__xludf.DUMMYFUNCTION("""COMPUTED_VALUE"""),28675.0)</f>
        <v>28675</v>
      </c>
      <c r="D7520" s="9" t="str">
        <f>IFERROR(__xludf.DUMMYFUNCTION("""COMPUTED_VALUE"""),"Completed")</f>
        <v>Completed</v>
      </c>
    </row>
    <row r="7521">
      <c r="A7521" s="9" t="str">
        <f>IFERROR(__xludf.DUMMYFUNCTION("""COMPUTED_VALUE"""),"G-REQ-07520")</f>
        <v>G-REQ-07520</v>
      </c>
      <c r="B7521" s="11">
        <f>IFERROR(__xludf.DUMMYFUNCTION("""COMPUTED_VALUE"""),46296.54213489818)</f>
        <v>46296.54213</v>
      </c>
      <c r="C7521" s="9">
        <f>IFERROR(__xludf.DUMMYFUNCTION("""COMPUTED_VALUE"""),28677.0)</f>
        <v>28677</v>
      </c>
      <c r="D7521" s="9" t="str">
        <f>IFERROR(__xludf.DUMMYFUNCTION("""COMPUTED_VALUE"""),"Rejected")</f>
        <v>Rejected</v>
      </c>
    </row>
    <row r="7522">
      <c r="A7522" s="9" t="str">
        <f>IFERROR(__xludf.DUMMYFUNCTION("""COMPUTED_VALUE"""),"G-REQ-07521")</f>
        <v>G-REQ-07521</v>
      </c>
      <c r="B7522" s="11">
        <f>IFERROR(__xludf.DUMMYFUNCTION("""COMPUTED_VALUE"""),46296.62025418804)</f>
        <v>46296.62025</v>
      </c>
      <c r="C7522" s="9">
        <f>IFERROR(__xludf.DUMMYFUNCTION("""COMPUTED_VALUE"""),28681.0)</f>
        <v>28681</v>
      </c>
      <c r="D7522" s="9" t="str">
        <f>IFERROR(__xludf.DUMMYFUNCTION("""COMPUTED_VALUE"""),"Completed")</f>
        <v>Completed</v>
      </c>
    </row>
    <row r="7523">
      <c r="A7523" s="9" t="str">
        <f>IFERROR(__xludf.DUMMYFUNCTION("""COMPUTED_VALUE"""),"G-REQ-07522")</f>
        <v>G-REQ-07522</v>
      </c>
      <c r="B7523" s="11">
        <f>IFERROR(__xludf.DUMMYFUNCTION("""COMPUTED_VALUE"""),46296.69142903345)</f>
        <v>46296.69143</v>
      </c>
      <c r="C7523" s="9">
        <f>IFERROR(__xludf.DUMMYFUNCTION("""COMPUTED_VALUE"""),28685.0)</f>
        <v>28685</v>
      </c>
      <c r="D7523" s="9" t="str">
        <f>IFERROR(__xludf.DUMMYFUNCTION("""COMPUTED_VALUE"""),"Completed")</f>
        <v>Completed</v>
      </c>
    </row>
    <row r="7524">
      <c r="A7524" s="9" t="str">
        <f>IFERROR(__xludf.DUMMYFUNCTION("""COMPUTED_VALUE"""),"G-REQ-07523")</f>
        <v>G-REQ-07523</v>
      </c>
      <c r="B7524" s="11">
        <f>IFERROR(__xludf.DUMMYFUNCTION("""COMPUTED_VALUE"""),46296.75565943443)</f>
        <v>46296.75566</v>
      </c>
      <c r="C7524" s="9">
        <f>IFERROR(__xludf.DUMMYFUNCTION("""COMPUTED_VALUE"""),28687.0)</f>
        <v>28687</v>
      </c>
      <c r="D7524" s="9" t="str">
        <f>IFERROR(__xludf.DUMMYFUNCTION("""COMPUTED_VALUE"""),"Cancelled")</f>
        <v>Cancelled</v>
      </c>
    </row>
    <row r="7525">
      <c r="A7525" s="9" t="str">
        <f>IFERROR(__xludf.DUMMYFUNCTION("""COMPUTED_VALUE"""),"G-REQ-07524")</f>
        <v>G-REQ-07524</v>
      </c>
      <c r="B7525" s="11">
        <f>IFERROR(__xludf.DUMMYFUNCTION("""COMPUTED_VALUE"""),46296.833778724285)</f>
        <v>46296.83378</v>
      </c>
      <c r="C7525" s="9">
        <f>IFERROR(__xludf.DUMMYFUNCTION("""COMPUTED_VALUE"""),28691.0)</f>
        <v>28691</v>
      </c>
      <c r="D7525" s="9" t="str">
        <f>IFERROR(__xludf.DUMMYFUNCTION("""COMPUTED_VALUE"""),"Completed")</f>
        <v>Completed</v>
      </c>
    </row>
    <row r="7526">
      <c r="A7526" s="9" t="str">
        <f>IFERROR(__xludf.DUMMYFUNCTION("""COMPUTED_VALUE"""),"G-REQ-07525")</f>
        <v>G-REQ-07525</v>
      </c>
      <c r="B7526" s="11">
        <f>IFERROR(__xludf.DUMMYFUNCTION("""COMPUTED_VALUE"""),46296.89800912525)</f>
        <v>46296.89801</v>
      </c>
      <c r="C7526" s="9">
        <f>IFERROR(__xludf.DUMMYFUNCTION("""COMPUTED_VALUE"""),28693.0)</f>
        <v>28693</v>
      </c>
      <c r="D7526" s="9" t="str">
        <f>IFERROR(__xludf.DUMMYFUNCTION("""COMPUTED_VALUE"""),"Rejected")</f>
        <v>Rejected</v>
      </c>
    </row>
    <row r="7527">
      <c r="A7527" s="9" t="str">
        <f>IFERROR(__xludf.DUMMYFUNCTION("""COMPUTED_VALUE"""),"G-REQ-07526")</f>
        <v>G-REQ-07526</v>
      </c>
      <c r="B7527" s="11">
        <f>IFERROR(__xludf.DUMMYFUNCTION("""COMPUTED_VALUE"""),46296.97612841512)</f>
        <v>46296.97613</v>
      </c>
      <c r="C7527" s="9">
        <f>IFERROR(__xludf.DUMMYFUNCTION("""COMPUTED_VALUE"""),28697.0)</f>
        <v>28697</v>
      </c>
      <c r="D7527" s="9" t="str">
        <f>IFERROR(__xludf.DUMMYFUNCTION("""COMPUTED_VALUE"""),"Completed")</f>
        <v>Completed</v>
      </c>
    </row>
    <row r="7528">
      <c r="A7528" s="9" t="str">
        <f>IFERROR(__xludf.DUMMYFUNCTION("""COMPUTED_VALUE"""),"G-REQ-07527")</f>
        <v>G-REQ-07527</v>
      </c>
      <c r="B7528" s="11">
        <f>IFERROR(__xludf.DUMMYFUNCTION("""COMPUTED_VALUE"""),46297.04730326053)</f>
        <v>46297.0473</v>
      </c>
      <c r="C7528" s="9">
        <f>IFERROR(__xludf.DUMMYFUNCTION("""COMPUTED_VALUE"""),28701.0)</f>
        <v>28701</v>
      </c>
      <c r="D7528" s="9" t="str">
        <f>IFERROR(__xludf.DUMMYFUNCTION("""COMPUTED_VALUE"""),"Completed")</f>
        <v>Completed</v>
      </c>
    </row>
    <row r="7529">
      <c r="A7529" s="9" t="str">
        <f>IFERROR(__xludf.DUMMYFUNCTION("""COMPUTED_VALUE"""),"G-REQ-07528")</f>
        <v>G-REQ-07528</v>
      </c>
      <c r="B7529" s="11">
        <f>IFERROR(__xludf.DUMMYFUNCTION("""COMPUTED_VALUE"""),46297.11847810594)</f>
        <v>46297.11848</v>
      </c>
      <c r="C7529" s="9">
        <f>IFERROR(__xludf.DUMMYFUNCTION("""COMPUTED_VALUE"""),28705.0)</f>
        <v>28705</v>
      </c>
      <c r="D7529" s="9" t="str">
        <f>IFERROR(__xludf.DUMMYFUNCTION("""COMPUTED_VALUE"""),"Completed")</f>
        <v>Completed</v>
      </c>
    </row>
    <row r="7530">
      <c r="A7530" s="9" t="str">
        <f>IFERROR(__xludf.DUMMYFUNCTION("""COMPUTED_VALUE"""),"G-REQ-07529")</f>
        <v>G-REQ-07529</v>
      </c>
      <c r="B7530" s="11">
        <f>IFERROR(__xludf.DUMMYFUNCTION("""COMPUTED_VALUE"""),46297.182708506916)</f>
        <v>46297.18271</v>
      </c>
      <c r="C7530" s="9">
        <f>IFERROR(__xludf.DUMMYFUNCTION("""COMPUTED_VALUE"""),28707.0)</f>
        <v>28707</v>
      </c>
      <c r="D7530" s="9" t="str">
        <f>IFERROR(__xludf.DUMMYFUNCTION("""COMPUTED_VALUE"""),"Cancelled")</f>
        <v>Cancelled</v>
      </c>
    </row>
    <row r="7531">
      <c r="A7531" s="9" t="str">
        <f>IFERROR(__xludf.DUMMYFUNCTION("""COMPUTED_VALUE"""),"G-REQ-07530")</f>
        <v>G-REQ-07530</v>
      </c>
      <c r="B7531" s="11">
        <f>IFERROR(__xludf.DUMMYFUNCTION("""COMPUTED_VALUE"""),46297.26082779678)</f>
        <v>46297.26083</v>
      </c>
      <c r="C7531" s="9">
        <f>IFERROR(__xludf.DUMMYFUNCTION("""COMPUTED_VALUE"""),28711.0)</f>
        <v>28711</v>
      </c>
      <c r="D7531" s="9" t="str">
        <f>IFERROR(__xludf.DUMMYFUNCTION("""COMPUTED_VALUE"""),"Completed")</f>
        <v>Completed</v>
      </c>
    </row>
    <row r="7532">
      <c r="A7532" s="9" t="str">
        <f>IFERROR(__xludf.DUMMYFUNCTION("""COMPUTED_VALUE"""),"G-REQ-07531")</f>
        <v>G-REQ-07531</v>
      </c>
      <c r="B7532" s="11">
        <f>IFERROR(__xludf.DUMMYFUNCTION("""COMPUTED_VALUE"""),46297.332002642186)</f>
        <v>46297.332</v>
      </c>
      <c r="C7532" s="9">
        <f>IFERROR(__xludf.DUMMYFUNCTION("""COMPUTED_VALUE"""),28715.0)</f>
        <v>28715</v>
      </c>
      <c r="D7532" s="9" t="str">
        <f>IFERROR(__xludf.DUMMYFUNCTION("""COMPUTED_VALUE"""),"Completed")</f>
        <v>Completed</v>
      </c>
    </row>
    <row r="7533">
      <c r="A7533" s="9" t="str">
        <f>IFERROR(__xludf.DUMMYFUNCTION("""COMPUTED_VALUE"""),"G-REQ-07532")</f>
        <v>G-REQ-07532</v>
      </c>
      <c r="B7533" s="11">
        <f>IFERROR(__xludf.DUMMYFUNCTION("""COMPUTED_VALUE"""),46297.403177487606)</f>
        <v>46297.40318</v>
      </c>
      <c r="C7533" s="9">
        <f>IFERROR(__xludf.DUMMYFUNCTION("""COMPUTED_VALUE"""),28719.0)</f>
        <v>28719</v>
      </c>
      <c r="D7533" s="9" t="str">
        <f>IFERROR(__xludf.DUMMYFUNCTION("""COMPUTED_VALUE"""),"Completed")</f>
        <v>Completed</v>
      </c>
    </row>
    <row r="7534">
      <c r="A7534" s="9" t="str">
        <f>IFERROR(__xludf.DUMMYFUNCTION("""COMPUTED_VALUE"""),"G-REQ-07533")</f>
        <v>G-REQ-07533</v>
      </c>
      <c r="B7534" s="11">
        <f>IFERROR(__xludf.DUMMYFUNCTION("""COMPUTED_VALUE"""),46297.474352333025)</f>
        <v>46297.47435</v>
      </c>
      <c r="C7534" s="9">
        <f>IFERROR(__xludf.DUMMYFUNCTION("""COMPUTED_VALUE"""),28723.0)</f>
        <v>28723</v>
      </c>
      <c r="D7534" s="9" t="str">
        <f>IFERROR(__xludf.DUMMYFUNCTION("""COMPUTED_VALUE"""),"Completed")</f>
        <v>Completed</v>
      </c>
    </row>
    <row r="7535">
      <c r="A7535" s="9" t="str">
        <f>IFERROR(__xludf.DUMMYFUNCTION("""COMPUTED_VALUE"""),"G-REQ-07534")</f>
        <v>G-REQ-07534</v>
      </c>
      <c r="B7535" s="11">
        <f>IFERROR(__xludf.DUMMYFUNCTION("""COMPUTED_VALUE"""),46297.54552717844)</f>
        <v>46297.54553</v>
      </c>
      <c r="C7535" s="9">
        <f>IFERROR(__xludf.DUMMYFUNCTION("""COMPUTED_VALUE"""),28727.0)</f>
        <v>28727</v>
      </c>
      <c r="D7535" s="9" t="str">
        <f>IFERROR(__xludf.DUMMYFUNCTION("""COMPUTED_VALUE"""),"Completed")</f>
        <v>Completed</v>
      </c>
    </row>
    <row r="7536">
      <c r="A7536" s="9" t="str">
        <f>IFERROR(__xludf.DUMMYFUNCTION("""COMPUTED_VALUE"""),"G-REQ-07535")</f>
        <v>G-REQ-07535</v>
      </c>
      <c r="B7536" s="11">
        <f>IFERROR(__xludf.DUMMYFUNCTION("""COMPUTED_VALUE"""),46297.61670202385)</f>
        <v>46297.6167</v>
      </c>
      <c r="C7536" s="9">
        <f>IFERROR(__xludf.DUMMYFUNCTION("""COMPUTED_VALUE"""),28731.0)</f>
        <v>28731</v>
      </c>
      <c r="D7536" s="9" t="str">
        <f>IFERROR(__xludf.DUMMYFUNCTION("""COMPUTED_VALUE"""),"Completed")</f>
        <v>Completed</v>
      </c>
    </row>
    <row r="7537">
      <c r="A7537" s="9" t="str">
        <f>IFERROR(__xludf.DUMMYFUNCTION("""COMPUTED_VALUE"""),"G-REQ-07536")</f>
        <v>G-REQ-07536</v>
      </c>
      <c r="B7537" s="11">
        <f>IFERROR(__xludf.DUMMYFUNCTION("""COMPUTED_VALUE"""),46297.680932424824)</f>
        <v>46297.68093</v>
      </c>
      <c r="C7537" s="9">
        <f>IFERROR(__xludf.DUMMYFUNCTION("""COMPUTED_VALUE"""),28733.0)</f>
        <v>28733</v>
      </c>
      <c r="D7537" s="9" t="str">
        <f>IFERROR(__xludf.DUMMYFUNCTION("""COMPUTED_VALUE"""),"Cancelled")</f>
        <v>Cancelled</v>
      </c>
    </row>
    <row r="7538">
      <c r="A7538" s="9" t="str">
        <f>IFERROR(__xludf.DUMMYFUNCTION("""COMPUTED_VALUE"""),"G-REQ-07537")</f>
        <v>G-REQ-07537</v>
      </c>
      <c r="B7538" s="11">
        <f>IFERROR(__xludf.DUMMYFUNCTION("""COMPUTED_VALUE"""),46297.75905171468)</f>
        <v>46297.75905</v>
      </c>
      <c r="C7538" s="9">
        <f>IFERROR(__xludf.DUMMYFUNCTION("""COMPUTED_VALUE"""),28737.0)</f>
        <v>28737</v>
      </c>
      <c r="D7538" s="9" t="str">
        <f>IFERROR(__xludf.DUMMYFUNCTION("""COMPUTED_VALUE"""),"Completed")</f>
        <v>Completed</v>
      </c>
    </row>
    <row r="7539">
      <c r="A7539" s="9" t="str">
        <f>IFERROR(__xludf.DUMMYFUNCTION("""COMPUTED_VALUE"""),"G-REQ-07538")</f>
        <v>G-REQ-07538</v>
      </c>
      <c r="B7539" s="11">
        <f>IFERROR(__xludf.DUMMYFUNCTION("""COMPUTED_VALUE"""),46297.830226560094)</f>
        <v>46297.83023</v>
      </c>
      <c r="C7539" s="9">
        <f>IFERROR(__xludf.DUMMYFUNCTION("""COMPUTED_VALUE"""),28741.0)</f>
        <v>28741</v>
      </c>
      <c r="D7539" s="9" t="str">
        <f>IFERROR(__xludf.DUMMYFUNCTION("""COMPUTED_VALUE"""),"Completed")</f>
        <v>Completed</v>
      </c>
    </row>
    <row r="7540">
      <c r="A7540" s="9" t="str">
        <f>IFERROR(__xludf.DUMMYFUNCTION("""COMPUTED_VALUE"""),"G-REQ-07539")</f>
        <v>G-REQ-07539</v>
      </c>
      <c r="B7540" s="11">
        <f>IFERROR(__xludf.DUMMYFUNCTION("""COMPUTED_VALUE"""),46297.901401405514)</f>
        <v>46297.9014</v>
      </c>
      <c r="C7540" s="9">
        <f>IFERROR(__xludf.DUMMYFUNCTION("""COMPUTED_VALUE"""),28745.0)</f>
        <v>28745</v>
      </c>
      <c r="D7540" s="9" t="str">
        <f>IFERROR(__xludf.DUMMYFUNCTION("""COMPUTED_VALUE"""),"Completed")</f>
        <v>Completed</v>
      </c>
    </row>
    <row r="7541">
      <c r="A7541" s="9" t="str">
        <f>IFERROR(__xludf.DUMMYFUNCTION("""COMPUTED_VALUE"""),"G-REQ-07540")</f>
        <v>G-REQ-07540</v>
      </c>
      <c r="B7541" s="11">
        <f>IFERROR(__xludf.DUMMYFUNCTION("""COMPUTED_VALUE"""),46297.972576250926)</f>
        <v>46297.97258</v>
      </c>
      <c r="C7541" s="9">
        <f>IFERROR(__xludf.DUMMYFUNCTION("""COMPUTED_VALUE"""),28749.0)</f>
        <v>28749</v>
      </c>
      <c r="D7541" s="9" t="str">
        <f>IFERROR(__xludf.DUMMYFUNCTION("""COMPUTED_VALUE"""),"Completed")</f>
        <v>Completed</v>
      </c>
    </row>
    <row r="7542">
      <c r="A7542" s="9" t="str">
        <f>IFERROR(__xludf.DUMMYFUNCTION("""COMPUTED_VALUE"""),"G-REQ-07541")</f>
        <v>G-REQ-07541</v>
      </c>
      <c r="B7542" s="11">
        <f>IFERROR(__xludf.DUMMYFUNCTION("""COMPUTED_VALUE"""),46298.04375109634)</f>
        <v>46298.04375</v>
      </c>
      <c r="C7542" s="9">
        <f>IFERROR(__xludf.DUMMYFUNCTION("""COMPUTED_VALUE"""),28753.0)</f>
        <v>28753</v>
      </c>
      <c r="D7542" s="9" t="str">
        <f>IFERROR(__xludf.DUMMYFUNCTION("""COMPUTED_VALUE"""),"Completed")</f>
        <v>Completed</v>
      </c>
    </row>
    <row r="7543">
      <c r="A7543" s="9" t="str">
        <f>IFERROR(__xludf.DUMMYFUNCTION("""COMPUTED_VALUE"""),"G-REQ-07542")</f>
        <v>G-REQ-07542</v>
      </c>
      <c r="B7543" s="11">
        <f>IFERROR(__xludf.DUMMYFUNCTION("""COMPUTED_VALUE"""),46298.11492594176)</f>
        <v>46298.11493</v>
      </c>
      <c r="C7543" s="9">
        <f>IFERROR(__xludf.DUMMYFUNCTION("""COMPUTED_VALUE"""),28757.0)</f>
        <v>28757</v>
      </c>
      <c r="D7543" s="9" t="str">
        <f>IFERROR(__xludf.DUMMYFUNCTION("""COMPUTED_VALUE"""),"Completed")</f>
        <v>Completed</v>
      </c>
    </row>
    <row r="7544">
      <c r="A7544" s="9" t="str">
        <f>IFERROR(__xludf.DUMMYFUNCTION("""COMPUTED_VALUE"""),"G-REQ-07543")</f>
        <v>G-REQ-07543</v>
      </c>
      <c r="B7544" s="11">
        <f>IFERROR(__xludf.DUMMYFUNCTION("""COMPUTED_VALUE"""),46298.18610078718)</f>
        <v>46298.1861</v>
      </c>
      <c r="C7544" s="9">
        <f>IFERROR(__xludf.DUMMYFUNCTION("""COMPUTED_VALUE"""),28761.0)</f>
        <v>28761</v>
      </c>
      <c r="D7544" s="9" t="str">
        <f>IFERROR(__xludf.DUMMYFUNCTION("""COMPUTED_VALUE"""),"Completed")</f>
        <v>Completed</v>
      </c>
    </row>
    <row r="7545">
      <c r="A7545" s="9" t="str">
        <f>IFERROR(__xludf.DUMMYFUNCTION("""COMPUTED_VALUE"""),"G-REQ-07544")</f>
        <v>G-REQ-07544</v>
      </c>
      <c r="B7545" s="11">
        <f>IFERROR(__xludf.DUMMYFUNCTION("""COMPUTED_VALUE"""),46298.25727563258)</f>
        <v>46298.25728</v>
      </c>
      <c r="C7545" s="9">
        <f>IFERROR(__xludf.DUMMYFUNCTION("""COMPUTED_VALUE"""),28765.0)</f>
        <v>28765</v>
      </c>
      <c r="D7545" s="9" t="str">
        <f>IFERROR(__xludf.DUMMYFUNCTION("""COMPUTED_VALUE"""),"Completed")</f>
        <v>Completed</v>
      </c>
    </row>
    <row r="7546">
      <c r="A7546" s="9" t="str">
        <f>IFERROR(__xludf.DUMMYFUNCTION("""COMPUTED_VALUE"""),"G-REQ-07545")</f>
        <v>G-REQ-07545</v>
      </c>
      <c r="B7546" s="11">
        <f>IFERROR(__xludf.DUMMYFUNCTION("""COMPUTED_VALUE"""),46298.328450478)</f>
        <v>46298.32845</v>
      </c>
      <c r="C7546" s="9">
        <f>IFERROR(__xludf.DUMMYFUNCTION("""COMPUTED_VALUE"""),28769.0)</f>
        <v>28769</v>
      </c>
      <c r="D7546" s="9" t="str">
        <f>IFERROR(__xludf.DUMMYFUNCTION("""COMPUTED_VALUE"""),"Completed")</f>
        <v>Completed</v>
      </c>
    </row>
    <row r="7547">
      <c r="A7547" s="9" t="str">
        <f>IFERROR(__xludf.DUMMYFUNCTION("""COMPUTED_VALUE"""),"G-REQ-07546")</f>
        <v>G-REQ-07546</v>
      </c>
      <c r="B7547" s="11">
        <f>IFERROR(__xludf.DUMMYFUNCTION("""COMPUTED_VALUE"""),46298.39962532342)</f>
        <v>46298.39963</v>
      </c>
      <c r="C7547" s="9">
        <f>IFERROR(__xludf.DUMMYFUNCTION("""COMPUTED_VALUE"""),28773.0)</f>
        <v>28773</v>
      </c>
      <c r="D7547" s="9" t="str">
        <f>IFERROR(__xludf.DUMMYFUNCTION("""COMPUTED_VALUE"""),"Completed")</f>
        <v>Completed</v>
      </c>
    </row>
    <row r="7548">
      <c r="A7548" s="9" t="str">
        <f>IFERROR(__xludf.DUMMYFUNCTION("""COMPUTED_VALUE"""),"G-REQ-07547")</f>
        <v>G-REQ-07547</v>
      </c>
      <c r="B7548" s="11">
        <f>IFERROR(__xludf.DUMMYFUNCTION("""COMPUTED_VALUE"""),46298.470800168834)</f>
        <v>46298.4708</v>
      </c>
      <c r="C7548" s="9">
        <f>IFERROR(__xludf.DUMMYFUNCTION("""COMPUTED_VALUE"""),28777.0)</f>
        <v>28777</v>
      </c>
      <c r="D7548" s="9" t="str">
        <f>IFERROR(__xludf.DUMMYFUNCTION("""COMPUTED_VALUE"""),"Completed")</f>
        <v>Completed</v>
      </c>
    </row>
    <row r="7549">
      <c r="A7549" s="9" t="str">
        <f>IFERROR(__xludf.DUMMYFUNCTION("""COMPUTED_VALUE"""),"G-REQ-07548")</f>
        <v>G-REQ-07548</v>
      </c>
      <c r="B7549" s="11">
        <f>IFERROR(__xludf.DUMMYFUNCTION("""COMPUTED_VALUE"""),46298.54197501425)</f>
        <v>46298.54198</v>
      </c>
      <c r="C7549" s="9">
        <f>IFERROR(__xludf.DUMMYFUNCTION("""COMPUTED_VALUE"""),28781.0)</f>
        <v>28781</v>
      </c>
      <c r="D7549" s="9" t="str">
        <f>IFERROR(__xludf.DUMMYFUNCTION("""COMPUTED_VALUE"""),"Completed")</f>
        <v>Completed</v>
      </c>
    </row>
    <row r="7550">
      <c r="A7550" s="9" t="str">
        <f>IFERROR(__xludf.DUMMYFUNCTION("""COMPUTED_VALUE"""),"G-REQ-07549")</f>
        <v>G-REQ-07549</v>
      </c>
      <c r="B7550" s="11">
        <f>IFERROR(__xludf.DUMMYFUNCTION("""COMPUTED_VALUE"""),46298.613149859666)</f>
        <v>46298.61315</v>
      </c>
      <c r="C7550" s="9">
        <f>IFERROR(__xludf.DUMMYFUNCTION("""COMPUTED_VALUE"""),28785.0)</f>
        <v>28785</v>
      </c>
      <c r="D7550" s="9" t="str">
        <f>IFERROR(__xludf.DUMMYFUNCTION("""COMPUTED_VALUE"""),"Completed")</f>
        <v>Completed</v>
      </c>
    </row>
    <row r="7551">
      <c r="A7551" s="9" t="str">
        <f>IFERROR(__xludf.DUMMYFUNCTION("""COMPUTED_VALUE"""),"G-REQ-07550")</f>
        <v>G-REQ-07550</v>
      </c>
      <c r="B7551" s="11">
        <f>IFERROR(__xludf.DUMMYFUNCTION("""COMPUTED_VALUE"""),46298.68432470508)</f>
        <v>46298.68432</v>
      </c>
      <c r="C7551" s="9">
        <f>IFERROR(__xludf.DUMMYFUNCTION("""COMPUTED_VALUE"""),28789.0)</f>
        <v>28789</v>
      </c>
      <c r="D7551" s="9" t="str">
        <f>IFERROR(__xludf.DUMMYFUNCTION("""COMPUTED_VALUE"""),"Completed")</f>
        <v>Completed</v>
      </c>
    </row>
    <row r="7552">
      <c r="A7552" s="9" t="str">
        <f>IFERROR(__xludf.DUMMYFUNCTION("""COMPUTED_VALUE"""),"G-REQ-07551")</f>
        <v>G-REQ-07551</v>
      </c>
      <c r="B7552" s="11">
        <f>IFERROR(__xludf.DUMMYFUNCTION("""COMPUTED_VALUE"""),46298.75549955049)</f>
        <v>46298.7555</v>
      </c>
      <c r="C7552" s="9">
        <f>IFERROR(__xludf.DUMMYFUNCTION("""COMPUTED_VALUE"""),28793.0)</f>
        <v>28793</v>
      </c>
      <c r="D7552" s="9" t="str">
        <f>IFERROR(__xludf.DUMMYFUNCTION("""COMPUTED_VALUE"""),"Completed")</f>
        <v>Completed</v>
      </c>
    </row>
    <row r="7553">
      <c r="A7553" s="9" t="str">
        <f>IFERROR(__xludf.DUMMYFUNCTION("""COMPUTED_VALUE"""),"G-REQ-07552")</f>
        <v>G-REQ-07552</v>
      </c>
      <c r="B7553" s="11">
        <f>IFERROR(__xludf.DUMMYFUNCTION("""COMPUTED_VALUE"""),46298.82667439591)</f>
        <v>46298.82667</v>
      </c>
      <c r="C7553" s="9">
        <f>IFERROR(__xludf.DUMMYFUNCTION("""COMPUTED_VALUE"""),28797.0)</f>
        <v>28797</v>
      </c>
      <c r="D7553" s="9" t="str">
        <f>IFERROR(__xludf.DUMMYFUNCTION("""COMPUTED_VALUE"""),"Completed")</f>
        <v>Completed</v>
      </c>
    </row>
    <row r="7554">
      <c r="A7554" s="9" t="str">
        <f>IFERROR(__xludf.DUMMYFUNCTION("""COMPUTED_VALUE"""),"G-REQ-07553")</f>
        <v>G-REQ-07553</v>
      </c>
      <c r="B7554" s="11">
        <f>IFERROR(__xludf.DUMMYFUNCTION("""COMPUTED_VALUE"""),46298.89784924132)</f>
        <v>46298.89785</v>
      </c>
      <c r="C7554" s="9">
        <f>IFERROR(__xludf.DUMMYFUNCTION("""COMPUTED_VALUE"""),28801.0)</f>
        <v>28801</v>
      </c>
      <c r="D7554" s="9" t="str">
        <f>IFERROR(__xludf.DUMMYFUNCTION("""COMPUTED_VALUE"""),"Completed")</f>
        <v>Completed</v>
      </c>
    </row>
    <row r="7555">
      <c r="A7555" s="9" t="str">
        <f>IFERROR(__xludf.DUMMYFUNCTION("""COMPUTED_VALUE"""),"G-REQ-07554")</f>
        <v>G-REQ-07554</v>
      </c>
      <c r="B7555" s="11">
        <f>IFERROR(__xludf.DUMMYFUNCTION("""COMPUTED_VALUE"""),46298.96207964229)</f>
        <v>46298.96208</v>
      </c>
      <c r="C7555" s="9">
        <f>IFERROR(__xludf.DUMMYFUNCTION("""COMPUTED_VALUE"""),28803.0)</f>
        <v>28803</v>
      </c>
      <c r="D7555" s="9" t="str">
        <f>IFERROR(__xludf.DUMMYFUNCTION("""COMPUTED_VALUE"""),"Cancelled")</f>
        <v>Cancelled</v>
      </c>
    </row>
    <row r="7556">
      <c r="A7556" s="9" t="str">
        <f>IFERROR(__xludf.DUMMYFUNCTION("""COMPUTED_VALUE"""),"G-REQ-07555")</f>
        <v>G-REQ-07555</v>
      </c>
      <c r="B7556" s="11">
        <f>IFERROR(__xludf.DUMMYFUNCTION("""COMPUTED_VALUE"""),46299.040198932154)</f>
        <v>46299.0402</v>
      </c>
      <c r="C7556" s="9">
        <f>IFERROR(__xludf.DUMMYFUNCTION("""COMPUTED_VALUE"""),28807.0)</f>
        <v>28807</v>
      </c>
      <c r="D7556" s="9" t="str">
        <f>IFERROR(__xludf.DUMMYFUNCTION("""COMPUTED_VALUE"""),"Completed")</f>
        <v>Completed</v>
      </c>
    </row>
    <row r="7557">
      <c r="A7557" s="9" t="str">
        <f>IFERROR(__xludf.DUMMYFUNCTION("""COMPUTED_VALUE"""),"G-REQ-07556")</f>
        <v>G-REQ-07556</v>
      </c>
      <c r="B7557" s="11">
        <f>IFERROR(__xludf.DUMMYFUNCTION("""COMPUTED_VALUE"""),46299.11137377757)</f>
        <v>46299.11137</v>
      </c>
      <c r="C7557" s="9">
        <f>IFERROR(__xludf.DUMMYFUNCTION("""COMPUTED_VALUE"""),28811.0)</f>
        <v>28811</v>
      </c>
      <c r="D7557" s="9" t="str">
        <f>IFERROR(__xludf.DUMMYFUNCTION("""COMPUTED_VALUE"""),"Completed")</f>
        <v>Completed</v>
      </c>
    </row>
    <row r="7558">
      <c r="A7558" s="9" t="str">
        <f>IFERROR(__xludf.DUMMYFUNCTION("""COMPUTED_VALUE"""),"G-REQ-07557")</f>
        <v>G-REQ-07557</v>
      </c>
      <c r="B7558" s="11">
        <f>IFERROR(__xludf.DUMMYFUNCTION("""COMPUTED_VALUE"""),46299.18254862298)</f>
        <v>46299.18255</v>
      </c>
      <c r="C7558" s="9">
        <f>IFERROR(__xludf.DUMMYFUNCTION("""COMPUTED_VALUE"""),28815.0)</f>
        <v>28815</v>
      </c>
      <c r="D7558" s="9" t="str">
        <f>IFERROR(__xludf.DUMMYFUNCTION("""COMPUTED_VALUE"""),"Completed")</f>
        <v>Completed</v>
      </c>
    </row>
    <row r="7559">
      <c r="A7559" s="9" t="str">
        <f>IFERROR(__xludf.DUMMYFUNCTION("""COMPUTED_VALUE"""),"G-REQ-07558")</f>
        <v>G-REQ-07558</v>
      </c>
      <c r="B7559" s="11">
        <f>IFERROR(__xludf.DUMMYFUNCTION("""COMPUTED_VALUE"""),46299.2537234684)</f>
        <v>46299.25372</v>
      </c>
      <c r="C7559" s="9">
        <f>IFERROR(__xludf.DUMMYFUNCTION("""COMPUTED_VALUE"""),28819.0)</f>
        <v>28819</v>
      </c>
      <c r="D7559" s="9" t="str">
        <f>IFERROR(__xludf.DUMMYFUNCTION("""COMPUTED_VALUE"""),"Completed")</f>
        <v>Completed</v>
      </c>
    </row>
    <row r="7560">
      <c r="A7560" s="9" t="str">
        <f>IFERROR(__xludf.DUMMYFUNCTION("""COMPUTED_VALUE"""),"G-REQ-07559")</f>
        <v>G-REQ-07559</v>
      </c>
      <c r="B7560" s="11">
        <f>IFERROR(__xludf.DUMMYFUNCTION("""COMPUTED_VALUE"""),46299.31795386937)</f>
        <v>46299.31795</v>
      </c>
      <c r="C7560" s="9">
        <f>IFERROR(__xludf.DUMMYFUNCTION("""COMPUTED_VALUE"""),28821.0)</f>
        <v>28821</v>
      </c>
      <c r="D7560" s="9" t="str">
        <f>IFERROR(__xludf.DUMMYFUNCTION("""COMPUTED_VALUE"""),"Rejected")</f>
        <v>Rejected</v>
      </c>
    </row>
    <row r="7561">
      <c r="A7561" s="9" t="str">
        <f>IFERROR(__xludf.DUMMYFUNCTION("""COMPUTED_VALUE"""),"G-REQ-07560")</f>
        <v>G-REQ-07560</v>
      </c>
      <c r="B7561" s="11">
        <f>IFERROR(__xludf.DUMMYFUNCTION("""COMPUTED_VALUE"""),46299.38912871478)</f>
        <v>46299.38913</v>
      </c>
      <c r="C7561" s="9">
        <f>IFERROR(__xludf.DUMMYFUNCTION("""COMPUTED_VALUE"""),28823.0)</f>
        <v>28823</v>
      </c>
      <c r="D7561" s="9" t="str">
        <f>IFERROR(__xludf.DUMMYFUNCTION("""COMPUTED_VALUE"""),"Rejected")</f>
        <v>Rejected</v>
      </c>
    </row>
    <row r="7562">
      <c r="A7562" s="9" t="str">
        <f>IFERROR(__xludf.DUMMYFUNCTION("""COMPUTED_VALUE"""),"G-REQ-07561")</f>
        <v>G-REQ-07561</v>
      </c>
      <c r="B7562" s="11">
        <f>IFERROR(__xludf.DUMMYFUNCTION("""COMPUTED_VALUE"""),46299.46724800464)</f>
        <v>46299.46725</v>
      </c>
      <c r="C7562" s="9">
        <f>IFERROR(__xludf.DUMMYFUNCTION("""COMPUTED_VALUE"""),28827.0)</f>
        <v>28827</v>
      </c>
      <c r="D7562" s="9" t="str">
        <f>IFERROR(__xludf.DUMMYFUNCTION("""COMPUTED_VALUE"""),"Completed")</f>
        <v>Completed</v>
      </c>
    </row>
    <row r="7563">
      <c r="A7563" s="9" t="str">
        <f>IFERROR(__xludf.DUMMYFUNCTION("""COMPUTED_VALUE"""),"G-REQ-07562")</f>
        <v>G-REQ-07562</v>
      </c>
      <c r="B7563" s="11">
        <f>IFERROR(__xludf.DUMMYFUNCTION("""COMPUTED_VALUE"""),46299.53842285006)</f>
        <v>46299.53842</v>
      </c>
      <c r="C7563" s="9">
        <f>IFERROR(__xludf.DUMMYFUNCTION("""COMPUTED_VALUE"""),28831.0)</f>
        <v>28831</v>
      </c>
      <c r="D7563" s="9" t="str">
        <f>IFERROR(__xludf.DUMMYFUNCTION("""COMPUTED_VALUE"""),"Completed")</f>
        <v>Completed</v>
      </c>
    </row>
    <row r="7564">
      <c r="A7564" s="9" t="str">
        <f>IFERROR(__xludf.DUMMYFUNCTION("""COMPUTED_VALUE"""),"G-REQ-07563")</f>
        <v>G-REQ-07563</v>
      </c>
      <c r="B7564" s="11">
        <f>IFERROR(__xludf.DUMMYFUNCTION("""COMPUTED_VALUE"""),46299.609597695475)</f>
        <v>46299.6096</v>
      </c>
      <c r="C7564" s="9">
        <f>IFERROR(__xludf.DUMMYFUNCTION("""COMPUTED_VALUE"""),28835.0)</f>
        <v>28835</v>
      </c>
      <c r="D7564" s="9" t="str">
        <f>IFERROR(__xludf.DUMMYFUNCTION("""COMPUTED_VALUE"""),"Completed")</f>
        <v>Completed</v>
      </c>
    </row>
    <row r="7565">
      <c r="A7565" s="9" t="str">
        <f>IFERROR(__xludf.DUMMYFUNCTION("""COMPUTED_VALUE"""),"G-REQ-07564")</f>
        <v>G-REQ-07564</v>
      </c>
      <c r="B7565" s="11">
        <f>IFERROR(__xludf.DUMMYFUNCTION("""COMPUTED_VALUE"""),46299.68077254089)</f>
        <v>46299.68077</v>
      </c>
      <c r="C7565" s="9">
        <f>IFERROR(__xludf.DUMMYFUNCTION("""COMPUTED_VALUE"""),28839.0)</f>
        <v>28839</v>
      </c>
      <c r="D7565" s="9" t="str">
        <f>IFERROR(__xludf.DUMMYFUNCTION("""COMPUTED_VALUE"""),"Completed")</f>
        <v>Completed</v>
      </c>
    </row>
    <row r="7566">
      <c r="A7566" s="9" t="str">
        <f>IFERROR(__xludf.DUMMYFUNCTION("""COMPUTED_VALUE"""),"G-REQ-07565")</f>
        <v>G-REQ-07565</v>
      </c>
      <c r="B7566" s="11">
        <f>IFERROR(__xludf.DUMMYFUNCTION("""COMPUTED_VALUE"""),46299.75194738631)</f>
        <v>46299.75195</v>
      </c>
      <c r="C7566" s="9">
        <f>IFERROR(__xludf.DUMMYFUNCTION("""COMPUTED_VALUE"""),28843.0)</f>
        <v>28843</v>
      </c>
      <c r="D7566" s="9" t="str">
        <f>IFERROR(__xludf.DUMMYFUNCTION("""COMPUTED_VALUE"""),"Completed")</f>
        <v>Completed</v>
      </c>
    </row>
    <row r="7567">
      <c r="A7567" s="9" t="str">
        <f>IFERROR(__xludf.DUMMYFUNCTION("""COMPUTED_VALUE"""),"G-REQ-07566")</f>
        <v>G-REQ-07566</v>
      </c>
      <c r="B7567" s="11">
        <f>IFERROR(__xludf.DUMMYFUNCTION("""COMPUTED_VALUE"""),46299.82312223172)</f>
        <v>46299.82312</v>
      </c>
      <c r="C7567" s="9">
        <f>IFERROR(__xludf.DUMMYFUNCTION("""COMPUTED_VALUE"""),28847.0)</f>
        <v>28847</v>
      </c>
      <c r="D7567" s="9" t="str">
        <f>IFERROR(__xludf.DUMMYFUNCTION("""COMPUTED_VALUE"""),"Completed")</f>
        <v>Completed</v>
      </c>
    </row>
    <row r="7568">
      <c r="A7568" s="9" t="str">
        <f>IFERROR(__xludf.DUMMYFUNCTION("""COMPUTED_VALUE"""),"G-REQ-07567")</f>
        <v>G-REQ-07567</v>
      </c>
      <c r="B7568" s="11">
        <f>IFERROR(__xludf.DUMMYFUNCTION("""COMPUTED_VALUE"""),46299.887352632686)</f>
        <v>46299.88735</v>
      </c>
      <c r="C7568" s="9">
        <f>IFERROR(__xludf.DUMMYFUNCTION("""COMPUTED_VALUE"""),28849.0)</f>
        <v>28849</v>
      </c>
      <c r="D7568" s="9" t="str">
        <f>IFERROR(__xludf.DUMMYFUNCTION("""COMPUTED_VALUE"""),"Cancelled")</f>
        <v>Cancelled</v>
      </c>
    </row>
    <row r="7569">
      <c r="A7569" s="9" t="str">
        <f>IFERROR(__xludf.DUMMYFUNCTION("""COMPUTED_VALUE"""),"G-REQ-07568")</f>
        <v>G-REQ-07568</v>
      </c>
      <c r="B7569" s="11">
        <f>IFERROR(__xludf.DUMMYFUNCTION("""COMPUTED_VALUE"""),46299.958527478106)</f>
        <v>46299.95853</v>
      </c>
      <c r="C7569" s="9">
        <f>IFERROR(__xludf.DUMMYFUNCTION("""COMPUTED_VALUE"""),28851.0)</f>
        <v>28851</v>
      </c>
      <c r="D7569" s="9" t="str">
        <f>IFERROR(__xludf.DUMMYFUNCTION("""COMPUTED_VALUE"""),"Rejected")</f>
        <v>Rejected</v>
      </c>
    </row>
    <row r="7570">
      <c r="A7570" s="9" t="str">
        <f>IFERROR(__xludf.DUMMYFUNCTION("""COMPUTED_VALUE"""),"G-REQ-07569")</f>
        <v>G-REQ-07569</v>
      </c>
      <c r="B7570" s="11">
        <f>IFERROR(__xludf.DUMMYFUNCTION("""COMPUTED_VALUE"""),46300.02970232352)</f>
        <v>46300.0297</v>
      </c>
      <c r="C7570" s="9">
        <f>IFERROR(__xludf.DUMMYFUNCTION("""COMPUTED_VALUE"""),28853.0)</f>
        <v>28853</v>
      </c>
      <c r="D7570" s="9" t="str">
        <f>IFERROR(__xludf.DUMMYFUNCTION("""COMPUTED_VALUE"""),"Rejected")</f>
        <v>Rejected</v>
      </c>
    </row>
    <row r="7571">
      <c r="A7571" s="9" t="str">
        <f>IFERROR(__xludf.DUMMYFUNCTION("""COMPUTED_VALUE"""),"G-REQ-07570")</f>
        <v>G-REQ-07570</v>
      </c>
      <c r="B7571" s="11">
        <f>IFERROR(__xludf.DUMMYFUNCTION("""COMPUTED_VALUE"""),46300.107821613376)</f>
        <v>46300.10782</v>
      </c>
      <c r="C7571" s="9">
        <f>IFERROR(__xludf.DUMMYFUNCTION("""COMPUTED_VALUE"""),28857.0)</f>
        <v>28857</v>
      </c>
      <c r="D7571" s="9" t="str">
        <f>IFERROR(__xludf.DUMMYFUNCTION("""COMPUTED_VALUE"""),"Completed")</f>
        <v>Completed</v>
      </c>
    </row>
    <row r="7572">
      <c r="A7572" s="9" t="str">
        <f>IFERROR(__xludf.DUMMYFUNCTION("""COMPUTED_VALUE"""),"G-REQ-07571")</f>
        <v>G-REQ-07571</v>
      </c>
      <c r="B7572" s="11">
        <f>IFERROR(__xludf.DUMMYFUNCTION("""COMPUTED_VALUE"""),46300.178996458795)</f>
        <v>46300.179</v>
      </c>
      <c r="C7572" s="9">
        <f>IFERROR(__xludf.DUMMYFUNCTION("""COMPUTED_VALUE"""),28861.0)</f>
        <v>28861</v>
      </c>
      <c r="D7572" s="9" t="str">
        <f>IFERROR(__xludf.DUMMYFUNCTION("""COMPUTED_VALUE"""),"Completed")</f>
        <v>Completed</v>
      </c>
    </row>
    <row r="7573">
      <c r="A7573" s="9" t="str">
        <f>IFERROR(__xludf.DUMMYFUNCTION("""COMPUTED_VALUE"""),"G-REQ-07572")</f>
        <v>G-REQ-07572</v>
      </c>
      <c r="B7573" s="11">
        <f>IFERROR(__xludf.DUMMYFUNCTION("""COMPUTED_VALUE"""),46300.24322685976)</f>
        <v>46300.24323</v>
      </c>
      <c r="C7573" s="9">
        <f>IFERROR(__xludf.DUMMYFUNCTION("""COMPUTED_VALUE"""),28863.0)</f>
        <v>28863</v>
      </c>
      <c r="D7573" s="9" t="str">
        <f>IFERROR(__xludf.DUMMYFUNCTION("""COMPUTED_VALUE"""),"Rejected")</f>
        <v>Rejected</v>
      </c>
    </row>
    <row r="7574">
      <c r="A7574" s="9" t="str">
        <f>IFERROR(__xludf.DUMMYFUNCTION("""COMPUTED_VALUE"""),"G-REQ-07573")</f>
        <v>G-REQ-07573</v>
      </c>
      <c r="B7574" s="11">
        <f>IFERROR(__xludf.DUMMYFUNCTION("""COMPUTED_VALUE"""),46300.32134614962)</f>
        <v>46300.32135</v>
      </c>
      <c r="C7574" s="9">
        <f>IFERROR(__xludf.DUMMYFUNCTION("""COMPUTED_VALUE"""),28867.0)</f>
        <v>28867</v>
      </c>
      <c r="D7574" s="9" t="str">
        <f>IFERROR(__xludf.DUMMYFUNCTION("""COMPUTED_VALUE"""),"Completed")</f>
        <v>Completed</v>
      </c>
    </row>
    <row r="7575">
      <c r="A7575" s="9" t="str">
        <f>IFERROR(__xludf.DUMMYFUNCTION("""COMPUTED_VALUE"""),"G-REQ-07574")</f>
        <v>G-REQ-07574</v>
      </c>
      <c r="B7575" s="11">
        <f>IFERROR(__xludf.DUMMYFUNCTION("""COMPUTED_VALUE"""),46300.39252099504)</f>
        <v>46300.39252</v>
      </c>
      <c r="C7575" s="9">
        <f>IFERROR(__xludf.DUMMYFUNCTION("""COMPUTED_VALUE"""),28871.0)</f>
        <v>28871</v>
      </c>
      <c r="D7575" s="9" t="str">
        <f>IFERROR(__xludf.DUMMYFUNCTION("""COMPUTED_VALUE"""),"Completed")</f>
        <v>Completed</v>
      </c>
    </row>
    <row r="7576">
      <c r="A7576" s="9" t="str">
        <f>IFERROR(__xludf.DUMMYFUNCTION("""COMPUTED_VALUE"""),"G-REQ-07575")</f>
        <v>G-REQ-07575</v>
      </c>
      <c r="B7576" s="11">
        <f>IFERROR(__xludf.DUMMYFUNCTION("""COMPUTED_VALUE"""),46300.46369584046)</f>
        <v>46300.4637</v>
      </c>
      <c r="C7576" s="9">
        <f>IFERROR(__xludf.DUMMYFUNCTION("""COMPUTED_VALUE"""),28875.0)</f>
        <v>28875</v>
      </c>
      <c r="D7576" s="9" t="str">
        <f>IFERROR(__xludf.DUMMYFUNCTION("""COMPUTED_VALUE"""),"Completed")</f>
        <v>Completed</v>
      </c>
    </row>
    <row r="7577">
      <c r="A7577" s="9" t="str">
        <f>IFERROR(__xludf.DUMMYFUNCTION("""COMPUTED_VALUE"""),"G-REQ-07576")</f>
        <v>G-REQ-07576</v>
      </c>
      <c r="B7577" s="11">
        <f>IFERROR(__xludf.DUMMYFUNCTION("""COMPUTED_VALUE"""),46300.534870685864)</f>
        <v>46300.53487</v>
      </c>
      <c r="C7577" s="9">
        <f>IFERROR(__xludf.DUMMYFUNCTION("""COMPUTED_VALUE"""),28879.0)</f>
        <v>28879</v>
      </c>
      <c r="D7577" s="9" t="str">
        <f>IFERROR(__xludf.DUMMYFUNCTION("""COMPUTED_VALUE"""),"Completed")</f>
        <v>Completed</v>
      </c>
    </row>
    <row r="7578">
      <c r="A7578" s="9" t="str">
        <f>IFERROR(__xludf.DUMMYFUNCTION("""COMPUTED_VALUE"""),"G-REQ-07577")</f>
        <v>G-REQ-07577</v>
      </c>
      <c r="B7578" s="11">
        <f>IFERROR(__xludf.DUMMYFUNCTION("""COMPUTED_VALUE"""),46300.60604553128)</f>
        <v>46300.60605</v>
      </c>
      <c r="C7578" s="9">
        <f>IFERROR(__xludf.DUMMYFUNCTION("""COMPUTED_VALUE"""),28883.0)</f>
        <v>28883</v>
      </c>
      <c r="D7578" s="9" t="str">
        <f>IFERROR(__xludf.DUMMYFUNCTION("""COMPUTED_VALUE"""),"Completed")</f>
        <v>Completed</v>
      </c>
    </row>
    <row r="7579">
      <c r="A7579" s="9" t="str">
        <f>IFERROR(__xludf.DUMMYFUNCTION("""COMPUTED_VALUE"""),"G-REQ-07578")</f>
        <v>G-REQ-07578</v>
      </c>
      <c r="B7579" s="11">
        <f>IFERROR(__xludf.DUMMYFUNCTION("""COMPUTED_VALUE"""),46300.6772203767)</f>
        <v>46300.67722</v>
      </c>
      <c r="C7579" s="9">
        <f>IFERROR(__xludf.DUMMYFUNCTION("""COMPUTED_VALUE"""),28887.0)</f>
        <v>28887</v>
      </c>
      <c r="D7579" s="9" t="str">
        <f>IFERROR(__xludf.DUMMYFUNCTION("""COMPUTED_VALUE"""),"Completed")</f>
        <v>Completed</v>
      </c>
    </row>
    <row r="7580">
      <c r="A7580" s="9" t="str">
        <f>IFERROR(__xludf.DUMMYFUNCTION("""COMPUTED_VALUE"""),"G-REQ-07579")</f>
        <v>G-REQ-07579</v>
      </c>
      <c r="B7580" s="11">
        <f>IFERROR(__xludf.DUMMYFUNCTION("""COMPUTED_VALUE"""),46300.748395222116)</f>
        <v>46300.7484</v>
      </c>
      <c r="C7580" s="9">
        <f>IFERROR(__xludf.DUMMYFUNCTION("""COMPUTED_VALUE"""),28891.0)</f>
        <v>28891</v>
      </c>
      <c r="D7580" s="9" t="str">
        <f>IFERROR(__xludf.DUMMYFUNCTION("""COMPUTED_VALUE"""),"Completed")</f>
        <v>Completed</v>
      </c>
    </row>
    <row r="7581">
      <c r="A7581" s="9" t="str">
        <f>IFERROR(__xludf.DUMMYFUNCTION("""COMPUTED_VALUE"""),"G-REQ-07580")</f>
        <v>G-REQ-07580</v>
      </c>
      <c r="B7581" s="11">
        <f>IFERROR(__xludf.DUMMYFUNCTION("""COMPUTED_VALUE"""),46300.81957006753)</f>
        <v>46300.81957</v>
      </c>
      <c r="C7581" s="9">
        <f>IFERROR(__xludf.DUMMYFUNCTION("""COMPUTED_VALUE"""),28895.0)</f>
        <v>28895</v>
      </c>
      <c r="D7581" s="9" t="str">
        <f>IFERROR(__xludf.DUMMYFUNCTION("""COMPUTED_VALUE"""),"Completed")</f>
        <v>Completed</v>
      </c>
    </row>
    <row r="7582">
      <c r="A7582" s="9" t="str">
        <f>IFERROR(__xludf.DUMMYFUNCTION("""COMPUTED_VALUE"""),"G-REQ-07581")</f>
        <v>G-REQ-07581</v>
      </c>
      <c r="B7582" s="11">
        <f>IFERROR(__xludf.DUMMYFUNCTION("""COMPUTED_VALUE"""),46300.89074491295)</f>
        <v>46300.89074</v>
      </c>
      <c r="C7582" s="9">
        <f>IFERROR(__xludf.DUMMYFUNCTION("""COMPUTED_VALUE"""),28899.0)</f>
        <v>28899</v>
      </c>
      <c r="D7582" s="9" t="str">
        <f>IFERROR(__xludf.DUMMYFUNCTION("""COMPUTED_VALUE"""),"Completed")</f>
        <v>Completed</v>
      </c>
    </row>
    <row r="7583">
      <c r="A7583" s="9" t="str">
        <f>IFERROR(__xludf.DUMMYFUNCTION("""COMPUTED_VALUE"""),"G-REQ-07582")</f>
        <v>G-REQ-07582</v>
      </c>
      <c r="B7583" s="11">
        <f>IFERROR(__xludf.DUMMYFUNCTION("""COMPUTED_VALUE"""),46300.954975313914)</f>
        <v>46300.95498</v>
      </c>
      <c r="C7583" s="9">
        <f>IFERROR(__xludf.DUMMYFUNCTION("""COMPUTED_VALUE"""),28901.0)</f>
        <v>28901</v>
      </c>
      <c r="D7583" s="9" t="str">
        <f>IFERROR(__xludf.DUMMYFUNCTION("""COMPUTED_VALUE"""),"Rejected")</f>
        <v>Rejected</v>
      </c>
    </row>
    <row r="7584">
      <c r="A7584" s="9" t="str">
        <f>IFERROR(__xludf.DUMMYFUNCTION("""COMPUTED_VALUE"""),"G-REQ-07583")</f>
        <v>G-REQ-07583</v>
      </c>
      <c r="B7584" s="11">
        <f>IFERROR(__xludf.DUMMYFUNCTION("""COMPUTED_VALUE"""),46301.03309460377)</f>
        <v>46301.03309</v>
      </c>
      <c r="C7584" s="9">
        <f>IFERROR(__xludf.DUMMYFUNCTION("""COMPUTED_VALUE"""),28905.0)</f>
        <v>28905</v>
      </c>
      <c r="D7584" s="9" t="str">
        <f>IFERROR(__xludf.DUMMYFUNCTION("""COMPUTED_VALUE"""),"Completed")</f>
        <v>Completed</v>
      </c>
    </row>
    <row r="7585">
      <c r="A7585" s="9" t="str">
        <f>IFERROR(__xludf.DUMMYFUNCTION("""COMPUTED_VALUE"""),"G-REQ-07584")</f>
        <v>G-REQ-07584</v>
      </c>
      <c r="B7585" s="11">
        <f>IFERROR(__xludf.DUMMYFUNCTION("""COMPUTED_VALUE"""),46301.10426944919)</f>
        <v>46301.10427</v>
      </c>
      <c r="C7585" s="9">
        <f>IFERROR(__xludf.DUMMYFUNCTION("""COMPUTED_VALUE"""),28909.0)</f>
        <v>28909</v>
      </c>
      <c r="D7585" s="9" t="str">
        <f>IFERROR(__xludf.DUMMYFUNCTION("""COMPUTED_VALUE"""),"Completed")</f>
        <v>Completed</v>
      </c>
    </row>
    <row r="7586">
      <c r="A7586" s="9" t="str">
        <f>IFERROR(__xludf.DUMMYFUNCTION("""COMPUTED_VALUE"""),"G-REQ-07585")</f>
        <v>G-REQ-07585</v>
      </c>
      <c r="B7586" s="11">
        <f>IFERROR(__xludf.DUMMYFUNCTION("""COMPUTED_VALUE"""),46301.17544429461)</f>
        <v>46301.17544</v>
      </c>
      <c r="C7586" s="9">
        <f>IFERROR(__xludf.DUMMYFUNCTION("""COMPUTED_VALUE"""),28913.0)</f>
        <v>28913</v>
      </c>
      <c r="D7586" s="9" t="str">
        <f>IFERROR(__xludf.DUMMYFUNCTION("""COMPUTED_VALUE"""),"Completed")</f>
        <v>Completed</v>
      </c>
    </row>
    <row r="7587">
      <c r="A7587" s="9" t="str">
        <f>IFERROR(__xludf.DUMMYFUNCTION("""COMPUTED_VALUE"""),"G-REQ-07586")</f>
        <v>G-REQ-07586</v>
      </c>
      <c r="B7587" s="11">
        <f>IFERROR(__xludf.DUMMYFUNCTION("""COMPUTED_VALUE"""),46301.246619140016)</f>
        <v>46301.24662</v>
      </c>
      <c r="C7587" s="9">
        <f>IFERROR(__xludf.DUMMYFUNCTION("""COMPUTED_VALUE"""),28917.0)</f>
        <v>28917</v>
      </c>
      <c r="D7587" s="9" t="str">
        <f>IFERROR(__xludf.DUMMYFUNCTION("""COMPUTED_VALUE"""),"Completed")</f>
        <v>Completed</v>
      </c>
    </row>
    <row r="7588">
      <c r="A7588" s="9" t="str">
        <f>IFERROR(__xludf.DUMMYFUNCTION("""COMPUTED_VALUE"""),"G-REQ-07587")</f>
        <v>G-REQ-07587</v>
      </c>
      <c r="B7588" s="11">
        <f>IFERROR(__xludf.DUMMYFUNCTION("""COMPUTED_VALUE"""),46301.317793985436)</f>
        <v>46301.31779</v>
      </c>
      <c r="C7588" s="9">
        <f>IFERROR(__xludf.DUMMYFUNCTION("""COMPUTED_VALUE"""),28921.0)</f>
        <v>28921</v>
      </c>
      <c r="D7588" s="9" t="str">
        <f>IFERROR(__xludf.DUMMYFUNCTION("""COMPUTED_VALUE"""),"Completed")</f>
        <v>Completed</v>
      </c>
    </row>
    <row r="7589">
      <c r="A7589" s="9" t="str">
        <f>IFERROR(__xludf.DUMMYFUNCTION("""COMPUTED_VALUE"""),"G-REQ-07588")</f>
        <v>G-REQ-07588</v>
      </c>
      <c r="B7589" s="11">
        <f>IFERROR(__xludf.DUMMYFUNCTION("""COMPUTED_VALUE"""),46301.38896883085)</f>
        <v>46301.38897</v>
      </c>
      <c r="C7589" s="9">
        <f>IFERROR(__xludf.DUMMYFUNCTION("""COMPUTED_VALUE"""),28925.0)</f>
        <v>28925</v>
      </c>
      <c r="D7589" s="9" t="str">
        <f>IFERROR(__xludf.DUMMYFUNCTION("""COMPUTED_VALUE"""),"Completed")</f>
        <v>Completed</v>
      </c>
    </row>
    <row r="7590">
      <c r="A7590" s="9" t="str">
        <f>IFERROR(__xludf.DUMMYFUNCTION("""COMPUTED_VALUE"""),"G-REQ-07589")</f>
        <v>G-REQ-07589</v>
      </c>
      <c r="B7590" s="11">
        <f>IFERROR(__xludf.DUMMYFUNCTION("""COMPUTED_VALUE"""),46301.45319923182)</f>
        <v>46301.4532</v>
      </c>
      <c r="C7590" s="9">
        <f>IFERROR(__xludf.DUMMYFUNCTION("""COMPUTED_VALUE"""),28927.0)</f>
        <v>28927</v>
      </c>
      <c r="D7590" s="9" t="str">
        <f>IFERROR(__xludf.DUMMYFUNCTION("""COMPUTED_VALUE"""),"Rejected")</f>
        <v>Rejected</v>
      </c>
    </row>
    <row r="7591">
      <c r="A7591" s="9" t="str">
        <f>IFERROR(__xludf.DUMMYFUNCTION("""COMPUTED_VALUE"""),"G-REQ-07590")</f>
        <v>G-REQ-07590</v>
      </c>
      <c r="B7591" s="11">
        <f>IFERROR(__xludf.DUMMYFUNCTION("""COMPUTED_VALUE"""),46301.53131852168)</f>
        <v>46301.53132</v>
      </c>
      <c r="C7591" s="9">
        <f>IFERROR(__xludf.DUMMYFUNCTION("""COMPUTED_VALUE"""),28931.0)</f>
        <v>28931</v>
      </c>
      <c r="D7591" s="9" t="str">
        <f>IFERROR(__xludf.DUMMYFUNCTION("""COMPUTED_VALUE"""),"Completed")</f>
        <v>Completed</v>
      </c>
    </row>
    <row r="7592">
      <c r="A7592" s="9" t="str">
        <f>IFERROR(__xludf.DUMMYFUNCTION("""COMPUTED_VALUE"""),"G-REQ-07591")</f>
        <v>G-REQ-07591</v>
      </c>
      <c r="B7592" s="11">
        <f>IFERROR(__xludf.DUMMYFUNCTION("""COMPUTED_VALUE"""),46301.6024933671)</f>
        <v>46301.60249</v>
      </c>
      <c r="C7592" s="9">
        <f>IFERROR(__xludf.DUMMYFUNCTION("""COMPUTED_VALUE"""),28935.0)</f>
        <v>28935</v>
      </c>
      <c r="D7592" s="9" t="str">
        <f>IFERROR(__xludf.DUMMYFUNCTION("""COMPUTED_VALUE"""),"Completed")</f>
        <v>Completed</v>
      </c>
    </row>
    <row r="7593">
      <c r="A7593" s="9" t="str">
        <f>IFERROR(__xludf.DUMMYFUNCTION("""COMPUTED_VALUE"""),"G-REQ-07592")</f>
        <v>G-REQ-07592</v>
      </c>
      <c r="B7593" s="11">
        <f>IFERROR(__xludf.DUMMYFUNCTION("""COMPUTED_VALUE"""),46301.673668212505)</f>
        <v>46301.67367</v>
      </c>
      <c r="C7593" s="9">
        <f>IFERROR(__xludf.DUMMYFUNCTION("""COMPUTED_VALUE"""),28939.0)</f>
        <v>28939</v>
      </c>
      <c r="D7593" s="9" t="str">
        <f>IFERROR(__xludf.DUMMYFUNCTION("""COMPUTED_VALUE"""),"Completed")</f>
        <v>Completed</v>
      </c>
    </row>
    <row r="7594">
      <c r="A7594" s="9" t="str">
        <f>IFERROR(__xludf.DUMMYFUNCTION("""COMPUTED_VALUE"""),"G-REQ-07593")</f>
        <v>G-REQ-07593</v>
      </c>
      <c r="B7594" s="11">
        <f>IFERROR(__xludf.DUMMYFUNCTION("""COMPUTED_VALUE"""),46301.744843057924)</f>
        <v>46301.74484</v>
      </c>
      <c r="C7594" s="9">
        <f>IFERROR(__xludf.DUMMYFUNCTION("""COMPUTED_VALUE"""),28943.0)</f>
        <v>28943</v>
      </c>
      <c r="D7594" s="9" t="str">
        <f>IFERROR(__xludf.DUMMYFUNCTION("""COMPUTED_VALUE"""),"Completed")</f>
        <v>Completed</v>
      </c>
    </row>
    <row r="7595">
      <c r="A7595" s="9" t="str">
        <f>IFERROR(__xludf.DUMMYFUNCTION("""COMPUTED_VALUE"""),"G-REQ-07594")</f>
        <v>G-REQ-07594</v>
      </c>
      <c r="B7595" s="11">
        <f>IFERROR(__xludf.DUMMYFUNCTION("""COMPUTED_VALUE"""),46301.816017903344)</f>
        <v>46301.81602</v>
      </c>
      <c r="C7595" s="9">
        <f>IFERROR(__xludf.DUMMYFUNCTION("""COMPUTED_VALUE"""),28947.0)</f>
        <v>28947</v>
      </c>
      <c r="D7595" s="9" t="str">
        <f>IFERROR(__xludf.DUMMYFUNCTION("""COMPUTED_VALUE"""),"Completed")</f>
        <v>Completed</v>
      </c>
    </row>
    <row r="7596">
      <c r="A7596" s="9" t="str">
        <f>IFERROR(__xludf.DUMMYFUNCTION("""COMPUTED_VALUE"""),"G-REQ-07595")</f>
        <v>G-REQ-07595</v>
      </c>
      <c r="B7596" s="11">
        <f>IFERROR(__xludf.DUMMYFUNCTION("""COMPUTED_VALUE"""),46301.88024830431)</f>
        <v>46301.88025</v>
      </c>
      <c r="C7596" s="9">
        <f>IFERROR(__xludf.DUMMYFUNCTION("""COMPUTED_VALUE"""),28949.0)</f>
        <v>28949</v>
      </c>
      <c r="D7596" s="9" t="str">
        <f>IFERROR(__xludf.DUMMYFUNCTION("""COMPUTED_VALUE"""),"Cancelled")</f>
        <v>Cancelled</v>
      </c>
    </row>
    <row r="7597">
      <c r="A7597" s="9" t="str">
        <f>IFERROR(__xludf.DUMMYFUNCTION("""COMPUTED_VALUE"""),"G-REQ-07596")</f>
        <v>G-REQ-07596</v>
      </c>
      <c r="B7597" s="11">
        <f>IFERROR(__xludf.DUMMYFUNCTION("""COMPUTED_VALUE"""),46301.95836759417)</f>
        <v>46301.95837</v>
      </c>
      <c r="C7597" s="9">
        <f>IFERROR(__xludf.DUMMYFUNCTION("""COMPUTED_VALUE"""),28953.0)</f>
        <v>28953</v>
      </c>
      <c r="D7597" s="9" t="str">
        <f>IFERROR(__xludf.DUMMYFUNCTION("""COMPUTED_VALUE"""),"Completed")</f>
        <v>Completed</v>
      </c>
    </row>
    <row r="7598">
      <c r="A7598" s="9" t="str">
        <f>IFERROR(__xludf.DUMMYFUNCTION("""COMPUTED_VALUE"""),"G-REQ-07597")</f>
        <v>G-REQ-07597</v>
      </c>
      <c r="B7598" s="11">
        <f>IFERROR(__xludf.DUMMYFUNCTION("""COMPUTED_VALUE"""),46302.02954243959)</f>
        <v>46302.02954</v>
      </c>
      <c r="C7598" s="9">
        <f>IFERROR(__xludf.DUMMYFUNCTION("""COMPUTED_VALUE"""),28957.0)</f>
        <v>28957</v>
      </c>
      <c r="D7598" s="9" t="str">
        <f>IFERROR(__xludf.DUMMYFUNCTION("""COMPUTED_VALUE"""),"Completed")</f>
        <v>Completed</v>
      </c>
    </row>
    <row r="7599">
      <c r="A7599" s="9" t="str">
        <f>IFERROR(__xludf.DUMMYFUNCTION("""COMPUTED_VALUE"""),"G-REQ-07598")</f>
        <v>G-REQ-07598</v>
      </c>
      <c r="B7599" s="11">
        <f>IFERROR(__xludf.DUMMYFUNCTION("""COMPUTED_VALUE"""),46302.100717285)</f>
        <v>46302.10072</v>
      </c>
      <c r="C7599" s="9">
        <f>IFERROR(__xludf.DUMMYFUNCTION("""COMPUTED_VALUE"""),28961.0)</f>
        <v>28961</v>
      </c>
      <c r="D7599" s="9" t="str">
        <f>IFERROR(__xludf.DUMMYFUNCTION("""COMPUTED_VALUE"""),"Completed")</f>
        <v>Completed</v>
      </c>
    </row>
    <row r="7600">
      <c r="A7600" s="9" t="str">
        <f>IFERROR(__xludf.DUMMYFUNCTION("""COMPUTED_VALUE"""),"G-REQ-07599")</f>
        <v>G-REQ-07599</v>
      </c>
      <c r="B7600" s="11">
        <f>IFERROR(__xludf.DUMMYFUNCTION("""COMPUTED_VALUE"""),46302.17189213041)</f>
        <v>46302.17189</v>
      </c>
      <c r="C7600" s="9">
        <f>IFERROR(__xludf.DUMMYFUNCTION("""COMPUTED_VALUE"""),28965.0)</f>
        <v>28965</v>
      </c>
      <c r="D7600" s="9" t="str">
        <f>IFERROR(__xludf.DUMMYFUNCTION("""COMPUTED_VALUE"""),"Completed")</f>
        <v>Completed</v>
      </c>
    </row>
    <row r="7601">
      <c r="A7601" s="9" t="str">
        <f>IFERROR(__xludf.DUMMYFUNCTION("""COMPUTED_VALUE"""),"G-REQ-07600")</f>
        <v>G-REQ-07600</v>
      </c>
      <c r="B7601" s="11">
        <f>IFERROR(__xludf.DUMMYFUNCTION("""COMPUTED_VALUE"""),46302.24306697583)</f>
        <v>46302.24307</v>
      </c>
      <c r="C7601" s="9">
        <f>IFERROR(__xludf.DUMMYFUNCTION("""COMPUTED_VALUE"""),28969.0)</f>
        <v>28969</v>
      </c>
      <c r="D7601" s="9" t="str">
        <f>IFERROR(__xludf.DUMMYFUNCTION("""COMPUTED_VALUE"""),"Completed")</f>
        <v>Completed</v>
      </c>
    </row>
    <row r="7602">
      <c r="A7602" s="9" t="str">
        <f>IFERROR(__xludf.DUMMYFUNCTION("""COMPUTED_VALUE"""),"G-REQ-07601")</f>
        <v>G-REQ-07601</v>
      </c>
      <c r="B7602" s="11">
        <f>IFERROR(__xludf.DUMMYFUNCTION("""COMPUTED_VALUE"""),46302.30729737681)</f>
        <v>46302.3073</v>
      </c>
      <c r="C7602" s="9">
        <f>IFERROR(__xludf.DUMMYFUNCTION("""COMPUTED_VALUE"""),28971.0)</f>
        <v>28971</v>
      </c>
      <c r="D7602" s="9" t="str">
        <f>IFERROR(__xludf.DUMMYFUNCTION("""COMPUTED_VALUE"""),"Cancelled")</f>
        <v>Cancelled</v>
      </c>
    </row>
    <row r="7603">
      <c r="A7603" s="9" t="str">
        <f>IFERROR(__xludf.DUMMYFUNCTION("""COMPUTED_VALUE"""),"G-REQ-07602")</f>
        <v>G-REQ-07602</v>
      </c>
      <c r="B7603" s="11">
        <f>IFERROR(__xludf.DUMMYFUNCTION("""COMPUTED_VALUE"""),46303.37499999999)</f>
        <v>46303.375</v>
      </c>
      <c r="C7603" s="9">
        <f>IFERROR(__xludf.DUMMYFUNCTION("""COMPUTED_VALUE"""),28972.0)</f>
        <v>28972</v>
      </c>
      <c r="D7603" s="9" t="str">
        <f>IFERROR(__xludf.DUMMYFUNCTION("""COMPUTED_VALUE"""),"Pending approval")</f>
        <v>Pending approval</v>
      </c>
    </row>
    <row r="7604">
      <c r="A7604" s="9" t="str">
        <f>IFERROR(__xludf.DUMMYFUNCTION("""COMPUTED_VALUE"""),"G-REQ-07603")</f>
        <v>G-REQ-07603</v>
      </c>
      <c r="B7604" s="11">
        <f>IFERROR(__xludf.DUMMYFUNCTION("""COMPUTED_VALUE"""),46303.40277777778)</f>
        <v>46303.40278</v>
      </c>
      <c r="C7604" s="9">
        <f>IFERROR(__xludf.DUMMYFUNCTION("""COMPUTED_VALUE"""),28975.0)</f>
        <v>28975</v>
      </c>
      <c r="D7604" s="9" t="str">
        <f>IFERROR(__xludf.DUMMYFUNCTION("""COMPUTED_VALUE"""),"In progress")</f>
        <v>In progress</v>
      </c>
    </row>
    <row r="7605">
      <c r="A7605" s="9" t="str">
        <f>IFERROR(__xludf.DUMMYFUNCTION("""COMPUTED_VALUE"""),"G-REQ-07604")</f>
        <v>G-REQ-07604</v>
      </c>
      <c r="B7605" s="11">
        <f>IFERROR(__xludf.DUMMYFUNCTION("""COMPUTED_VALUE"""),46303.416666666664)</f>
        <v>46303.41667</v>
      </c>
      <c r="C7605" s="9">
        <f>IFERROR(__xludf.DUMMYFUNCTION("""COMPUTED_VALUE"""),28976.0)</f>
        <v>28976</v>
      </c>
      <c r="D7605" s="9" t="str">
        <f>IFERROR(__xludf.DUMMYFUNCTION("""COMPUTED_VALUE"""),"Pending approval")</f>
        <v>Pending approval</v>
      </c>
    </row>
    <row r="7606">
      <c r="A7606" s="9" t="str">
        <f>IFERROR(__xludf.DUMMYFUNCTION("""COMPUTED_VALUE"""),"G-REQ-07605")</f>
        <v>G-REQ-07605</v>
      </c>
      <c r="B7606" s="11">
        <f>IFERROR(__xludf.DUMMYFUNCTION("""COMPUTED_VALUE"""),46303.44444444444)</f>
        <v>46303.44444</v>
      </c>
      <c r="C7606" s="9">
        <f>IFERROR(__xludf.DUMMYFUNCTION("""COMPUTED_VALUE"""),28979.0)</f>
        <v>28979</v>
      </c>
      <c r="D7606" s="9" t="str">
        <f>IFERROR(__xludf.DUMMYFUNCTION("""COMPUTED_VALUE"""),"In progress")</f>
        <v>In progress</v>
      </c>
    </row>
    <row r="7607">
      <c r="A7607" s="9" t="str">
        <f>IFERROR(__xludf.DUMMYFUNCTION("""COMPUTED_VALUE"""),"G-REQ-07606")</f>
        <v>G-REQ-07606</v>
      </c>
      <c r="B7607" s="11">
        <f>IFERROR(__xludf.DUMMYFUNCTION("""COMPUTED_VALUE"""),46303.458333333336)</f>
        <v>46303.45833</v>
      </c>
      <c r="C7607" s="9">
        <f>IFERROR(__xludf.DUMMYFUNCTION("""COMPUTED_VALUE"""),28980.0)</f>
        <v>28980</v>
      </c>
      <c r="D7607" s="9" t="str">
        <f>IFERROR(__xludf.DUMMYFUNCTION("""COMPUTED_VALUE"""),"Pending approval")</f>
        <v>Pending approval</v>
      </c>
    </row>
    <row r="7608">
      <c r="A7608" s="9" t="str">
        <f>IFERROR(__xludf.DUMMYFUNCTION("""COMPUTED_VALUE"""),"G-REQ-07607")</f>
        <v>G-REQ-07607</v>
      </c>
      <c r="B7608" s="11">
        <f>IFERROR(__xludf.DUMMYFUNCTION("""COMPUTED_VALUE"""),46303.48611111111)</f>
        <v>46303.48611</v>
      </c>
      <c r="C7608" s="9">
        <f>IFERROR(__xludf.DUMMYFUNCTION("""COMPUTED_VALUE"""),28983.0)</f>
        <v>28983</v>
      </c>
      <c r="D7608" s="9" t="str">
        <f>IFERROR(__xludf.DUMMYFUNCTION("""COMPUTED_VALUE"""),"In progress")</f>
        <v>In progress</v>
      </c>
    </row>
    <row r="7609">
      <c r="A7609" s="9" t="str">
        <f>IFERROR(__xludf.DUMMYFUNCTION("""COMPUTED_VALUE"""),"G-REQ-07608")</f>
        <v>G-REQ-07608</v>
      </c>
      <c r="B7609" s="11">
        <f>IFERROR(__xludf.DUMMYFUNCTION("""COMPUTED_VALUE"""),46303.49999999999)</f>
        <v>46303.5</v>
      </c>
      <c r="C7609" s="9">
        <f>IFERROR(__xludf.DUMMYFUNCTION("""COMPUTED_VALUE"""),28984.0)</f>
        <v>28984</v>
      </c>
      <c r="D7609" s="9" t="str">
        <f>IFERROR(__xludf.DUMMYFUNCTION("""COMPUTED_VALUE"""),"Pending approval")</f>
        <v>Pending approval</v>
      </c>
    </row>
    <row r="7610">
      <c r="A7610" s="9" t="str">
        <f>IFERROR(__xludf.DUMMYFUNCTION("""COMPUTED_VALUE"""),"G-REQ-07609")</f>
        <v>G-REQ-07609</v>
      </c>
      <c r="B7610" s="11">
        <f>IFERROR(__xludf.DUMMYFUNCTION("""COMPUTED_VALUE"""),46303.52777777778)</f>
        <v>46303.52778</v>
      </c>
      <c r="C7610" s="9">
        <f>IFERROR(__xludf.DUMMYFUNCTION("""COMPUTED_VALUE"""),28987.0)</f>
        <v>28987</v>
      </c>
      <c r="D7610" s="9" t="str">
        <f>IFERROR(__xludf.DUMMYFUNCTION("""COMPUTED_VALUE"""),"In progress")</f>
        <v>In progress</v>
      </c>
    </row>
    <row r="7611">
      <c r="A7611" s="9" t="str">
        <f>IFERROR(__xludf.DUMMYFUNCTION("""COMPUTED_VALUE"""),"G-REQ-07610")</f>
        <v>G-REQ-07610</v>
      </c>
      <c r="B7611" s="11">
        <f>IFERROR(__xludf.DUMMYFUNCTION("""COMPUTED_VALUE"""),46303.541666666664)</f>
        <v>46303.54167</v>
      </c>
      <c r="C7611" s="9">
        <f>IFERROR(__xludf.DUMMYFUNCTION("""COMPUTED_VALUE"""),28988.0)</f>
        <v>28988</v>
      </c>
      <c r="D7611" s="9" t="str">
        <f>IFERROR(__xludf.DUMMYFUNCTION("""COMPUTED_VALUE"""),"Pending approval")</f>
        <v>Pending approval</v>
      </c>
    </row>
    <row r="7612">
      <c r="A7612" s="9" t="str">
        <f>IFERROR(__xludf.DUMMYFUNCTION("""COMPUTED_VALUE"""),"G-REQ-07611")</f>
        <v>G-REQ-07611</v>
      </c>
      <c r="B7612" s="11">
        <f>IFERROR(__xludf.DUMMYFUNCTION("""COMPUTED_VALUE"""),46303.56944444444)</f>
        <v>46303.56944</v>
      </c>
      <c r="C7612" s="9">
        <f>IFERROR(__xludf.DUMMYFUNCTION("""COMPUTED_VALUE"""),28991.0)</f>
        <v>28991</v>
      </c>
      <c r="D7612" s="9" t="str">
        <f>IFERROR(__xludf.DUMMYFUNCTION("""COMPUTED_VALUE"""),"In progress")</f>
        <v>In progress</v>
      </c>
    </row>
    <row r="7613">
      <c r="A7613" s="9" t="str">
        <f>IFERROR(__xludf.DUMMYFUNCTION("""COMPUTED_VALUE"""),"G-REQ-07612")</f>
        <v>G-REQ-07612</v>
      </c>
      <c r="B7613" s="11">
        <f>IFERROR(__xludf.DUMMYFUNCTION("""COMPUTED_VALUE"""),46303.583333333336)</f>
        <v>46303.58333</v>
      </c>
      <c r="C7613" s="9">
        <f>IFERROR(__xludf.DUMMYFUNCTION("""COMPUTED_VALUE"""),28992.0)</f>
        <v>28992</v>
      </c>
      <c r="D7613" s="9" t="str">
        <f>IFERROR(__xludf.DUMMYFUNCTION("""COMPUTED_VALUE"""),"Pending approval")</f>
        <v>Pending approval</v>
      </c>
    </row>
    <row r="7614">
      <c r="A7614" s="9" t="str">
        <f>IFERROR(__xludf.DUMMYFUNCTION("""COMPUTED_VALUE"""),"G-REQ-07613")</f>
        <v>G-REQ-07613</v>
      </c>
      <c r="B7614" s="11">
        <f>IFERROR(__xludf.DUMMYFUNCTION("""COMPUTED_VALUE"""),46303.61111111111)</f>
        <v>46303.61111</v>
      </c>
      <c r="C7614" s="9">
        <f>IFERROR(__xludf.DUMMYFUNCTION("""COMPUTED_VALUE"""),28995.0)</f>
        <v>28995</v>
      </c>
      <c r="D7614" s="9" t="str">
        <f>IFERROR(__xludf.DUMMYFUNCTION("""COMPUTED_VALUE"""),"In progress")</f>
        <v>In progress</v>
      </c>
    </row>
    <row r="7615">
      <c r="A7615" s="9" t="str">
        <f>IFERROR(__xludf.DUMMYFUNCTION("""COMPUTED_VALUE"""),"G-REQ-07614")</f>
        <v>G-REQ-07614</v>
      </c>
      <c r="B7615" s="11">
        <f>IFERROR(__xludf.DUMMYFUNCTION("""COMPUTED_VALUE"""),46303.62499999999)</f>
        <v>46303.625</v>
      </c>
      <c r="C7615" s="9">
        <f>IFERROR(__xludf.DUMMYFUNCTION("""COMPUTED_VALUE"""),28996.0)</f>
        <v>28996</v>
      </c>
      <c r="D7615" s="9" t="str">
        <f>IFERROR(__xludf.DUMMYFUNCTION("""COMPUTED_VALUE"""),"Pending approval")</f>
        <v>Pending approval</v>
      </c>
    </row>
    <row r="7616">
      <c r="A7616" s="9" t="str">
        <f>IFERROR(__xludf.DUMMYFUNCTION("""COMPUTED_VALUE"""),"G-REQ-07615")</f>
        <v>G-REQ-07615</v>
      </c>
      <c r="B7616" s="11">
        <f>IFERROR(__xludf.DUMMYFUNCTION("""COMPUTED_VALUE"""),46303.65277777778)</f>
        <v>46303.65278</v>
      </c>
      <c r="C7616" s="9">
        <f>IFERROR(__xludf.DUMMYFUNCTION("""COMPUTED_VALUE"""),28999.0)</f>
        <v>28999</v>
      </c>
      <c r="D7616" s="9" t="str">
        <f>IFERROR(__xludf.DUMMYFUNCTION("""COMPUTED_VALUE"""),"In progress")</f>
        <v>In progress</v>
      </c>
    </row>
    <row r="7617">
      <c r="A7617" s="9" t="str">
        <f>IFERROR(__xludf.DUMMYFUNCTION("""COMPUTED_VALUE"""),"G-REQ-07616")</f>
        <v>G-REQ-07616</v>
      </c>
      <c r="B7617" s="11">
        <f>IFERROR(__xludf.DUMMYFUNCTION("""COMPUTED_VALUE"""),46303.666666666664)</f>
        <v>46303.66667</v>
      </c>
      <c r="C7617" s="9">
        <f>IFERROR(__xludf.DUMMYFUNCTION("""COMPUTED_VALUE"""),29000.0)</f>
        <v>29000</v>
      </c>
      <c r="D7617" s="9" t="str">
        <f>IFERROR(__xludf.DUMMYFUNCTION("""COMPUTED_VALUE"""),"Pending approval")</f>
        <v>Pending approval</v>
      </c>
    </row>
    <row r="7618">
      <c r="A7618" s="9" t="str">
        <f>IFERROR(__xludf.DUMMYFUNCTION("""COMPUTED_VALUE"""),"G-REQ-07617")</f>
        <v>G-REQ-07617</v>
      </c>
      <c r="B7618" s="11">
        <f>IFERROR(__xludf.DUMMYFUNCTION("""COMPUTED_VALUE"""),46303.69444444444)</f>
        <v>46303.69444</v>
      </c>
      <c r="C7618" s="9">
        <f>IFERROR(__xludf.DUMMYFUNCTION("""COMPUTED_VALUE"""),29003.0)</f>
        <v>29003</v>
      </c>
      <c r="D7618" s="9" t="str">
        <f>IFERROR(__xludf.DUMMYFUNCTION("""COMPUTED_VALUE"""),"In progress")</f>
        <v>In progress</v>
      </c>
    </row>
    <row r="7619">
      <c r="A7619" s="9" t="str">
        <f>IFERROR(__xludf.DUMMYFUNCTION("""COMPUTED_VALUE"""),"G-REQ-07618")</f>
        <v>G-REQ-07618</v>
      </c>
      <c r="B7619" s="11">
        <f>IFERROR(__xludf.DUMMYFUNCTION("""COMPUTED_VALUE"""),46303.708333333336)</f>
        <v>46303.70833</v>
      </c>
      <c r="C7619" s="9">
        <f>IFERROR(__xludf.DUMMYFUNCTION("""COMPUTED_VALUE"""),29004.0)</f>
        <v>29004</v>
      </c>
      <c r="D7619" s="9" t="str">
        <f>IFERROR(__xludf.DUMMYFUNCTION("""COMPUTED_VALUE"""),"Pending approval")</f>
        <v>Pending approval</v>
      </c>
    </row>
    <row r="7620">
      <c r="A7620" s="9" t="str">
        <f>IFERROR(__xludf.DUMMYFUNCTION("""COMPUTED_VALUE"""),"G-REQ-07619")</f>
        <v>G-REQ-07619</v>
      </c>
      <c r="B7620" s="11">
        <f>IFERROR(__xludf.DUMMYFUNCTION("""COMPUTED_VALUE"""),46303.73611111111)</f>
        <v>46303.73611</v>
      </c>
      <c r="C7620" s="9">
        <f>IFERROR(__xludf.DUMMYFUNCTION("""COMPUTED_VALUE"""),29007.0)</f>
        <v>29007</v>
      </c>
      <c r="D7620" s="9" t="str">
        <f>IFERROR(__xludf.DUMMYFUNCTION("""COMPUTED_VALUE"""),"In progress")</f>
        <v>In progress</v>
      </c>
    </row>
    <row r="7621">
      <c r="A7621" s="9" t="str">
        <f>IFERROR(__xludf.DUMMYFUNCTION("""COMPUTED_VALUE"""),"G-REQ-07620")</f>
        <v>G-REQ-07620</v>
      </c>
      <c r="B7621" s="11">
        <f>IFERROR(__xludf.DUMMYFUNCTION("""COMPUTED_VALUE"""),46303.74999999999)</f>
        <v>46303.75</v>
      </c>
      <c r="C7621" s="9">
        <f>IFERROR(__xludf.DUMMYFUNCTION("""COMPUTED_VALUE"""),29008.0)</f>
        <v>29008</v>
      </c>
      <c r="D7621" s="9" t="str">
        <f>IFERROR(__xludf.DUMMYFUNCTION("""COMPUTED_VALUE"""),"Pending approval")</f>
        <v>Pending approval</v>
      </c>
    </row>
    <row r="7622">
      <c r="A7622" s="9" t="str">
        <f>IFERROR(__xludf.DUMMYFUNCTION("""COMPUTED_VALUE"""),"G-REQ-07621")</f>
        <v>G-REQ-07621</v>
      </c>
      <c r="B7622" s="11">
        <f>IFERROR(__xludf.DUMMYFUNCTION("""COMPUTED_VALUE"""),46303.77777777778)</f>
        <v>46303.77778</v>
      </c>
      <c r="C7622" s="9">
        <f>IFERROR(__xludf.DUMMYFUNCTION("""COMPUTED_VALUE"""),29011.0)</f>
        <v>29011</v>
      </c>
      <c r="D7622" s="9" t="str">
        <f>IFERROR(__xludf.DUMMYFUNCTION("""COMPUTED_VALUE"""),"In progress")</f>
        <v>In progress</v>
      </c>
    </row>
    <row r="7623">
      <c r="A7623" s="9" t="str">
        <f>IFERROR(__xludf.DUMMYFUNCTION("""COMPUTED_VALUE"""),"G-REQ-07622")</f>
        <v>G-REQ-07622</v>
      </c>
      <c r="B7623" s="11">
        <f>IFERROR(__xludf.DUMMYFUNCTION("""COMPUTED_VALUE"""),46303.791666666664)</f>
        <v>46303.79167</v>
      </c>
      <c r="C7623" s="9">
        <f>IFERROR(__xludf.DUMMYFUNCTION("""COMPUTED_VALUE"""),29012.0)</f>
        <v>29012</v>
      </c>
      <c r="D7623" s="9" t="str">
        <f>IFERROR(__xludf.DUMMYFUNCTION("""COMPUTED_VALUE"""),"Pending approval")</f>
        <v>Pending approval</v>
      </c>
    </row>
    <row r="7624">
      <c r="A7624" s="9" t="str">
        <f>IFERROR(__xludf.DUMMYFUNCTION("""COMPUTED_VALUE"""),"G-REQ-07623")</f>
        <v>G-REQ-07623</v>
      </c>
      <c r="B7624" s="11">
        <f>IFERROR(__xludf.DUMMYFUNCTION("""COMPUTED_VALUE"""),46303.81944444444)</f>
        <v>46303.81944</v>
      </c>
      <c r="C7624" s="9">
        <f>IFERROR(__xludf.DUMMYFUNCTION("""COMPUTED_VALUE"""),29015.0)</f>
        <v>29015</v>
      </c>
      <c r="D7624" s="9" t="str">
        <f>IFERROR(__xludf.DUMMYFUNCTION("""COMPUTED_VALUE"""),"In progress")</f>
        <v>In progress</v>
      </c>
    </row>
    <row r="7625">
      <c r="A7625" s="9" t="str">
        <f>IFERROR(__xludf.DUMMYFUNCTION("""COMPUTED_VALUE"""),"G-REQ-07624")</f>
        <v>G-REQ-07624</v>
      </c>
      <c r="B7625" s="11">
        <f>IFERROR(__xludf.DUMMYFUNCTION("""COMPUTED_VALUE"""),46303.833333333336)</f>
        <v>46303.83333</v>
      </c>
      <c r="C7625" s="9">
        <f>IFERROR(__xludf.DUMMYFUNCTION("""COMPUTED_VALUE"""),29016.0)</f>
        <v>29016</v>
      </c>
      <c r="D7625" s="9" t="str">
        <f>IFERROR(__xludf.DUMMYFUNCTION("""COMPUTED_VALUE"""),"Pending approval")</f>
        <v>Pending approval</v>
      </c>
    </row>
    <row r="7626">
      <c r="A7626" s="9" t="str">
        <f>IFERROR(__xludf.DUMMYFUNCTION("""COMPUTED_VALUE"""),"G-REQ-07625")</f>
        <v>G-REQ-07625</v>
      </c>
      <c r="B7626" s="11">
        <f>IFERROR(__xludf.DUMMYFUNCTION("""COMPUTED_VALUE"""),46303.86111111111)</f>
        <v>46303.86111</v>
      </c>
      <c r="C7626" s="9">
        <f>IFERROR(__xludf.DUMMYFUNCTION("""COMPUTED_VALUE"""),29019.0)</f>
        <v>29019</v>
      </c>
      <c r="D7626" s="9" t="str">
        <f>IFERROR(__xludf.DUMMYFUNCTION("""COMPUTED_VALUE"""),"In progress")</f>
        <v>In progress</v>
      </c>
    </row>
    <row r="7627">
      <c r="A7627" s="9" t="str">
        <f>IFERROR(__xludf.DUMMYFUNCTION("""COMPUTED_VALUE"""),"G-REQ-07626")</f>
        <v>G-REQ-07626</v>
      </c>
      <c r="B7627" s="11">
        <f>IFERROR(__xludf.DUMMYFUNCTION("""COMPUTED_VALUE"""),46303.87499999999)</f>
        <v>46303.875</v>
      </c>
      <c r="C7627" s="9">
        <f>IFERROR(__xludf.DUMMYFUNCTION("""COMPUTED_VALUE"""),29020.0)</f>
        <v>29020</v>
      </c>
      <c r="D7627" s="9" t="str">
        <f>IFERROR(__xludf.DUMMYFUNCTION("""COMPUTED_VALUE"""),"Pending approval")</f>
        <v>Pending approval</v>
      </c>
    </row>
    <row r="7628">
      <c r="A7628" s="9" t="str">
        <f>IFERROR(__xludf.DUMMYFUNCTION("""COMPUTED_VALUE"""),"G-REQ-07627")</f>
        <v>G-REQ-07627</v>
      </c>
      <c r="B7628" s="11">
        <f>IFERROR(__xludf.DUMMYFUNCTION("""COMPUTED_VALUE"""),46303.90277777778)</f>
        <v>46303.90278</v>
      </c>
      <c r="C7628" s="9">
        <f>IFERROR(__xludf.DUMMYFUNCTION("""COMPUTED_VALUE"""),29023.0)</f>
        <v>29023</v>
      </c>
      <c r="D7628" s="9" t="str">
        <f>IFERROR(__xludf.DUMMYFUNCTION("""COMPUTED_VALUE"""),"In progress")</f>
        <v>In progress</v>
      </c>
    </row>
    <row r="7629">
      <c r="A7629" s="9" t="str">
        <f>IFERROR(__xludf.DUMMYFUNCTION("""COMPUTED_VALUE"""),"G-REQ-07628")</f>
        <v>G-REQ-07628</v>
      </c>
      <c r="B7629" s="11">
        <f>IFERROR(__xludf.DUMMYFUNCTION("""COMPUTED_VALUE"""),46303.916666666664)</f>
        <v>46303.91667</v>
      </c>
      <c r="C7629" s="9">
        <f>IFERROR(__xludf.DUMMYFUNCTION("""COMPUTED_VALUE"""),29024.0)</f>
        <v>29024</v>
      </c>
      <c r="D7629" s="9" t="str">
        <f>IFERROR(__xludf.DUMMYFUNCTION("""COMPUTED_VALUE"""),"Pending approval")</f>
        <v>Pending approval</v>
      </c>
    </row>
    <row r="7630">
      <c r="A7630" s="9" t="str">
        <f>IFERROR(__xludf.DUMMYFUNCTION("""COMPUTED_VALUE"""),"G-REQ-07629")</f>
        <v>G-REQ-07629</v>
      </c>
      <c r="B7630" s="11">
        <f>IFERROR(__xludf.DUMMYFUNCTION("""COMPUTED_VALUE"""),46303.94444444444)</f>
        <v>46303.94444</v>
      </c>
      <c r="C7630" s="9">
        <f>IFERROR(__xludf.DUMMYFUNCTION("""COMPUTED_VALUE"""),29027.0)</f>
        <v>29027</v>
      </c>
      <c r="D7630" s="9" t="str">
        <f>IFERROR(__xludf.DUMMYFUNCTION("""COMPUTED_VALUE"""),"In progress")</f>
        <v>In progress</v>
      </c>
    </row>
    <row r="7631">
      <c r="A7631" s="9" t="str">
        <f>IFERROR(__xludf.DUMMYFUNCTION("""COMPUTED_VALUE"""),"G-REQ-07630")</f>
        <v>G-REQ-07630</v>
      </c>
      <c r="B7631" s="11">
        <f>IFERROR(__xludf.DUMMYFUNCTION("""COMPUTED_VALUE"""),46303.958333333336)</f>
        <v>46303.95833</v>
      </c>
      <c r="C7631" s="9">
        <f>IFERROR(__xludf.DUMMYFUNCTION("""COMPUTED_VALUE"""),29028.0)</f>
        <v>29028</v>
      </c>
      <c r="D7631" s="9" t="str">
        <f>IFERROR(__xludf.DUMMYFUNCTION("""COMPUTED_VALUE"""),"Pending approval")</f>
        <v>Pending approval</v>
      </c>
    </row>
    <row r="7632">
      <c r="A7632" s="9" t="str">
        <f>IFERROR(__xludf.DUMMYFUNCTION("""COMPUTED_VALUE"""),"G-REQ-07631")</f>
        <v>G-REQ-07631</v>
      </c>
      <c r="B7632" s="11">
        <f>IFERROR(__xludf.DUMMYFUNCTION("""COMPUTED_VALUE"""),46303.98611111111)</f>
        <v>46303.98611</v>
      </c>
      <c r="C7632" s="9">
        <f>IFERROR(__xludf.DUMMYFUNCTION("""COMPUTED_VALUE"""),29031.0)</f>
        <v>29031</v>
      </c>
      <c r="D7632" s="9" t="str">
        <f>IFERROR(__xludf.DUMMYFUNCTION("""COMPUTED_VALUE"""),"In progress")</f>
        <v>In progress</v>
      </c>
    </row>
    <row r="7633">
      <c r="A7633" s="9" t="str">
        <f>IFERROR(__xludf.DUMMYFUNCTION("""COMPUTED_VALUE"""),"G-REQ-07632")</f>
        <v>G-REQ-07632</v>
      </c>
      <c r="B7633" s="11">
        <f>IFERROR(__xludf.DUMMYFUNCTION("""COMPUTED_VALUE"""),46303.99999999999)</f>
        <v>46304</v>
      </c>
      <c r="C7633" s="9">
        <f>IFERROR(__xludf.DUMMYFUNCTION("""COMPUTED_VALUE"""),29032.0)</f>
        <v>29032</v>
      </c>
      <c r="D7633" s="9" t="str">
        <f>IFERROR(__xludf.DUMMYFUNCTION("""COMPUTED_VALUE"""),"Pending approval")</f>
        <v>Pending approval</v>
      </c>
    </row>
    <row r="7634">
      <c r="A7634" s="9" t="str">
        <f>IFERROR(__xludf.DUMMYFUNCTION("""COMPUTED_VALUE"""),"G-REQ-07633")</f>
        <v>G-REQ-07633</v>
      </c>
      <c r="B7634" s="11">
        <f>IFERROR(__xludf.DUMMYFUNCTION("""COMPUTED_VALUE"""),46304.02777777778)</f>
        <v>46304.02778</v>
      </c>
      <c r="C7634" s="9">
        <f>IFERROR(__xludf.DUMMYFUNCTION("""COMPUTED_VALUE"""),29035.0)</f>
        <v>29035</v>
      </c>
      <c r="D7634" s="9" t="str">
        <f>IFERROR(__xludf.DUMMYFUNCTION("""COMPUTED_VALUE"""),"In progress")</f>
        <v>In progress</v>
      </c>
    </row>
    <row r="7635">
      <c r="A7635" s="9" t="str">
        <f>IFERROR(__xludf.DUMMYFUNCTION("""COMPUTED_VALUE"""),"G-REQ-07634")</f>
        <v>G-REQ-07634</v>
      </c>
      <c r="B7635" s="11">
        <f>IFERROR(__xludf.DUMMYFUNCTION("""COMPUTED_VALUE"""),46304.041666666664)</f>
        <v>46304.04167</v>
      </c>
      <c r="C7635" s="9">
        <f>IFERROR(__xludf.DUMMYFUNCTION("""COMPUTED_VALUE"""),29036.0)</f>
        <v>29036</v>
      </c>
      <c r="D7635" s="9" t="str">
        <f>IFERROR(__xludf.DUMMYFUNCTION("""COMPUTED_VALUE"""),"Pending approval")</f>
        <v>Pending approval</v>
      </c>
    </row>
    <row r="7636">
      <c r="A7636" s="9" t="str">
        <f>IFERROR(__xludf.DUMMYFUNCTION("""COMPUTED_VALUE"""),"G-REQ-07635")</f>
        <v>G-REQ-07635</v>
      </c>
      <c r="B7636" s="11">
        <f>IFERROR(__xludf.DUMMYFUNCTION("""COMPUTED_VALUE"""),46304.06944444444)</f>
        <v>46304.06944</v>
      </c>
      <c r="C7636" s="9">
        <f>IFERROR(__xludf.DUMMYFUNCTION("""COMPUTED_VALUE"""),29039.0)</f>
        <v>29039</v>
      </c>
      <c r="D7636" s="9" t="str">
        <f>IFERROR(__xludf.DUMMYFUNCTION("""COMPUTED_VALUE"""),"In progress")</f>
        <v>In progress</v>
      </c>
    </row>
    <row r="7637">
      <c r="A7637" s="9" t="str">
        <f>IFERROR(__xludf.DUMMYFUNCTION("""COMPUTED_VALUE"""),"G-REQ-07636")</f>
        <v>G-REQ-07636</v>
      </c>
      <c r="B7637" s="11">
        <f>IFERROR(__xludf.DUMMYFUNCTION("""COMPUTED_VALUE"""),46304.083333333336)</f>
        <v>46304.08333</v>
      </c>
      <c r="C7637" s="9">
        <f>IFERROR(__xludf.DUMMYFUNCTION("""COMPUTED_VALUE"""),29040.0)</f>
        <v>29040</v>
      </c>
      <c r="D7637" s="9" t="str">
        <f>IFERROR(__xludf.DUMMYFUNCTION("""COMPUTED_VALUE"""),"Pending approval")</f>
        <v>Pending approval</v>
      </c>
    </row>
    <row r="7638">
      <c r="A7638" s="9" t="str">
        <f>IFERROR(__xludf.DUMMYFUNCTION("""COMPUTED_VALUE"""),"G-REQ-07637")</f>
        <v>G-REQ-07637</v>
      </c>
      <c r="B7638" s="11">
        <f>IFERROR(__xludf.DUMMYFUNCTION("""COMPUTED_VALUE"""),46304.11111111111)</f>
        <v>46304.11111</v>
      </c>
      <c r="C7638" s="9">
        <f>IFERROR(__xludf.DUMMYFUNCTION("""COMPUTED_VALUE"""),29043.0)</f>
        <v>29043</v>
      </c>
      <c r="D7638" s="9" t="str">
        <f>IFERROR(__xludf.DUMMYFUNCTION("""COMPUTED_VALUE"""),"In progress")</f>
        <v>In progress</v>
      </c>
    </row>
    <row r="7639">
      <c r="A7639" s="9" t="str">
        <f>IFERROR(__xludf.DUMMYFUNCTION("""COMPUTED_VALUE"""),"G-REQ-07638")</f>
        <v>G-REQ-07638</v>
      </c>
      <c r="B7639" s="11">
        <f>IFERROR(__xludf.DUMMYFUNCTION("""COMPUTED_VALUE"""),46304.12499999999)</f>
        <v>46304.125</v>
      </c>
      <c r="C7639" s="9">
        <f>IFERROR(__xludf.DUMMYFUNCTION("""COMPUTED_VALUE"""),29044.0)</f>
        <v>29044</v>
      </c>
      <c r="D7639" s="9" t="str">
        <f>IFERROR(__xludf.DUMMYFUNCTION("""COMPUTED_VALUE"""),"Pending approval")</f>
        <v>Pending approval</v>
      </c>
    </row>
    <row r="7640">
      <c r="A7640" s="9" t="str">
        <f>IFERROR(__xludf.DUMMYFUNCTION("""COMPUTED_VALUE"""),"G-REQ-07639")</f>
        <v>G-REQ-07639</v>
      </c>
      <c r="B7640" s="11">
        <f>IFERROR(__xludf.DUMMYFUNCTION("""COMPUTED_VALUE"""),46304.15277777778)</f>
        <v>46304.15278</v>
      </c>
      <c r="C7640" s="9">
        <f>IFERROR(__xludf.DUMMYFUNCTION("""COMPUTED_VALUE"""),29047.0)</f>
        <v>29047</v>
      </c>
      <c r="D7640" s="9" t="str">
        <f>IFERROR(__xludf.DUMMYFUNCTION("""COMPUTED_VALUE"""),"In progress")</f>
        <v>In progress</v>
      </c>
    </row>
    <row r="7641">
      <c r="A7641" s="9" t="str">
        <f>IFERROR(__xludf.DUMMYFUNCTION("""COMPUTED_VALUE"""),"G-REQ-07640")</f>
        <v>G-REQ-07640</v>
      </c>
      <c r="B7641" s="11">
        <f>IFERROR(__xludf.DUMMYFUNCTION("""COMPUTED_VALUE"""),46304.166666666664)</f>
        <v>46304.16667</v>
      </c>
      <c r="C7641" s="9">
        <f>IFERROR(__xludf.DUMMYFUNCTION("""COMPUTED_VALUE"""),29048.0)</f>
        <v>29048</v>
      </c>
      <c r="D7641" s="9" t="str">
        <f>IFERROR(__xludf.DUMMYFUNCTION("""COMPUTED_VALUE"""),"Pending approval")</f>
        <v>Pending approval</v>
      </c>
    </row>
    <row r="7642">
      <c r="A7642" s="9" t="str">
        <f>IFERROR(__xludf.DUMMYFUNCTION("""COMPUTED_VALUE"""),"G-REQ-07641")</f>
        <v>G-REQ-07641</v>
      </c>
      <c r="B7642" s="11">
        <f>IFERROR(__xludf.DUMMYFUNCTION("""COMPUTED_VALUE"""),46304.19444444444)</f>
        <v>46304.19444</v>
      </c>
      <c r="C7642" s="9">
        <f>IFERROR(__xludf.DUMMYFUNCTION("""COMPUTED_VALUE"""),29051.0)</f>
        <v>29051</v>
      </c>
      <c r="D7642" s="9" t="str">
        <f>IFERROR(__xludf.DUMMYFUNCTION("""COMPUTED_VALUE"""),"In progress")</f>
        <v>In progress</v>
      </c>
    </row>
    <row r="7643">
      <c r="A7643" s="9" t="str">
        <f>IFERROR(__xludf.DUMMYFUNCTION("""COMPUTED_VALUE"""),"G-REQ-07642")</f>
        <v>G-REQ-07642</v>
      </c>
      <c r="B7643" s="11">
        <f>IFERROR(__xludf.DUMMYFUNCTION("""COMPUTED_VALUE"""),46304.208333333336)</f>
        <v>46304.20833</v>
      </c>
      <c r="C7643" s="9">
        <f>IFERROR(__xludf.DUMMYFUNCTION("""COMPUTED_VALUE"""),29052.0)</f>
        <v>29052</v>
      </c>
      <c r="D7643" s="9" t="str">
        <f>IFERROR(__xludf.DUMMYFUNCTION("""COMPUTED_VALUE"""),"Pending approval")</f>
        <v>Pending approval</v>
      </c>
    </row>
    <row r="7644">
      <c r="A7644" s="9" t="str">
        <f>IFERROR(__xludf.DUMMYFUNCTION("""COMPUTED_VALUE"""),"G-REQ-07643")</f>
        <v>G-REQ-07643</v>
      </c>
      <c r="B7644" s="11">
        <f>IFERROR(__xludf.DUMMYFUNCTION("""COMPUTED_VALUE"""),46304.23611111111)</f>
        <v>46304.23611</v>
      </c>
      <c r="C7644" s="9">
        <f>IFERROR(__xludf.DUMMYFUNCTION("""COMPUTED_VALUE"""),29055.0)</f>
        <v>29055</v>
      </c>
      <c r="D7644" s="9" t="str">
        <f>IFERROR(__xludf.DUMMYFUNCTION("""COMPUTED_VALUE"""),"In progress")</f>
        <v>In progress</v>
      </c>
    </row>
    <row r="7645">
      <c r="A7645" s="9" t="str">
        <f>IFERROR(__xludf.DUMMYFUNCTION("""COMPUTED_VALUE"""),"G-REQ-07644")</f>
        <v>G-REQ-07644</v>
      </c>
      <c r="B7645" s="11">
        <f>IFERROR(__xludf.DUMMYFUNCTION("""COMPUTED_VALUE"""),46304.24999999999)</f>
        <v>46304.25</v>
      </c>
      <c r="C7645" s="9">
        <f>IFERROR(__xludf.DUMMYFUNCTION("""COMPUTED_VALUE"""),29056.0)</f>
        <v>29056</v>
      </c>
      <c r="D7645" s="9" t="str">
        <f>IFERROR(__xludf.DUMMYFUNCTION("""COMPUTED_VALUE"""),"Pending approval")</f>
        <v>Pending approval</v>
      </c>
    </row>
    <row r="7646">
      <c r="A7646" s="9" t="str">
        <f>IFERROR(__xludf.DUMMYFUNCTION("""COMPUTED_VALUE"""),"G-REQ-07645")</f>
        <v>G-REQ-07645</v>
      </c>
      <c r="B7646" s="11">
        <f>IFERROR(__xludf.DUMMYFUNCTION("""COMPUTED_VALUE"""),46304.27777777778)</f>
        <v>46304.27778</v>
      </c>
      <c r="C7646" s="9">
        <f>IFERROR(__xludf.DUMMYFUNCTION("""COMPUTED_VALUE"""),29059.0)</f>
        <v>29059</v>
      </c>
      <c r="D7646" s="9" t="str">
        <f>IFERROR(__xludf.DUMMYFUNCTION("""COMPUTED_VALUE"""),"In progress")</f>
        <v>In progress</v>
      </c>
    </row>
    <row r="7647">
      <c r="A7647" s="9" t="str">
        <f>IFERROR(__xludf.DUMMYFUNCTION("""COMPUTED_VALUE"""),"G-REQ-07646")</f>
        <v>G-REQ-07646</v>
      </c>
      <c r="B7647" s="11">
        <f>IFERROR(__xludf.DUMMYFUNCTION("""COMPUTED_VALUE"""),46304.291666666664)</f>
        <v>46304.29167</v>
      </c>
      <c r="C7647" s="9">
        <f>IFERROR(__xludf.DUMMYFUNCTION("""COMPUTED_VALUE"""),29060.0)</f>
        <v>29060</v>
      </c>
      <c r="D7647" s="9" t="str">
        <f>IFERROR(__xludf.DUMMYFUNCTION("""COMPUTED_VALUE"""),"Pending approval")</f>
        <v>Pending approval</v>
      </c>
    </row>
    <row r="7648">
      <c r="A7648" s="9" t="str">
        <f>IFERROR(__xludf.DUMMYFUNCTION("""COMPUTED_VALUE"""),"G-REQ-07647")</f>
        <v>G-REQ-07647</v>
      </c>
      <c r="B7648" s="11">
        <f>IFERROR(__xludf.DUMMYFUNCTION("""COMPUTED_VALUE"""),46304.31944444444)</f>
        <v>46304.31944</v>
      </c>
      <c r="C7648" s="9">
        <f>IFERROR(__xludf.DUMMYFUNCTION("""COMPUTED_VALUE"""),29063.0)</f>
        <v>29063</v>
      </c>
      <c r="D7648" s="9" t="str">
        <f>IFERROR(__xludf.DUMMYFUNCTION("""COMPUTED_VALUE"""),"In progress")</f>
        <v>In progress</v>
      </c>
    </row>
    <row r="7649">
      <c r="A7649" s="9" t="str">
        <f>IFERROR(__xludf.DUMMYFUNCTION("""COMPUTED_VALUE"""),"G-REQ-07648")</f>
        <v>G-REQ-07648</v>
      </c>
      <c r="B7649" s="11">
        <f>IFERROR(__xludf.DUMMYFUNCTION("""COMPUTED_VALUE"""),46304.333333333336)</f>
        <v>46304.33333</v>
      </c>
      <c r="C7649" s="9">
        <f>IFERROR(__xludf.DUMMYFUNCTION("""COMPUTED_VALUE"""),29064.0)</f>
        <v>29064</v>
      </c>
      <c r="D7649" s="9" t="str">
        <f>IFERROR(__xludf.DUMMYFUNCTION("""COMPUTED_VALUE"""),"Pending approval")</f>
        <v>Pending approval</v>
      </c>
    </row>
    <row r="7650">
      <c r="A7650" s="9" t="str">
        <f>IFERROR(__xludf.DUMMYFUNCTION("""COMPUTED_VALUE"""),"G-REQ-07649")</f>
        <v>G-REQ-07649</v>
      </c>
      <c r="B7650" s="11">
        <f>IFERROR(__xludf.DUMMYFUNCTION("""COMPUTED_VALUE"""),46304.36111111111)</f>
        <v>46304.36111</v>
      </c>
      <c r="C7650" s="9">
        <f>IFERROR(__xludf.DUMMYFUNCTION("""COMPUTED_VALUE"""),29067.0)</f>
        <v>29067</v>
      </c>
      <c r="D7650" s="9" t="str">
        <f>IFERROR(__xludf.DUMMYFUNCTION("""COMPUTED_VALUE"""),"In progress")</f>
        <v>In progress</v>
      </c>
    </row>
    <row r="7651">
      <c r="A7651" s="9" t="str">
        <f>IFERROR(__xludf.DUMMYFUNCTION("""COMPUTED_VALUE"""),"G-REQ-07650")</f>
        <v>G-REQ-07650</v>
      </c>
      <c r="B7651" s="11">
        <f>IFERROR(__xludf.DUMMYFUNCTION("""COMPUTED_VALUE"""),46304.37499999999)</f>
        <v>46304.375</v>
      </c>
      <c r="C7651" s="9">
        <f>IFERROR(__xludf.DUMMYFUNCTION("""COMPUTED_VALUE"""),29068.0)</f>
        <v>29068</v>
      </c>
      <c r="D7651" s="9" t="str">
        <f>IFERROR(__xludf.DUMMYFUNCTION("""COMPUTED_VALUE"""),"Pending approval")</f>
        <v>Pending approval</v>
      </c>
    </row>
    <row r="7652">
      <c r="A7652" s="9" t="str">
        <f>IFERROR(__xludf.DUMMYFUNCTION("""COMPUTED_VALUE"""),"G-REQ-07651")</f>
        <v>G-REQ-07651</v>
      </c>
      <c r="B7652" s="11">
        <f>IFERROR(__xludf.DUMMYFUNCTION("""COMPUTED_VALUE"""),46304.40277777778)</f>
        <v>46304.40278</v>
      </c>
      <c r="C7652" s="9">
        <f>IFERROR(__xludf.DUMMYFUNCTION("""COMPUTED_VALUE"""),29071.0)</f>
        <v>29071</v>
      </c>
      <c r="D7652" s="9" t="str">
        <f>IFERROR(__xludf.DUMMYFUNCTION("""COMPUTED_VALUE"""),"In progress")</f>
        <v>In progress</v>
      </c>
    </row>
    <row r="7653">
      <c r="A7653" s="9" t="str">
        <f>IFERROR(__xludf.DUMMYFUNCTION("""COMPUTED_VALUE"""),"G-REQ-07652")</f>
        <v>G-REQ-07652</v>
      </c>
      <c r="B7653" s="11">
        <f>IFERROR(__xludf.DUMMYFUNCTION("""COMPUTED_VALUE"""),46304.416666666664)</f>
        <v>46304.41667</v>
      </c>
      <c r="C7653" s="9">
        <f>IFERROR(__xludf.DUMMYFUNCTION("""COMPUTED_VALUE"""),29072.0)</f>
        <v>29072</v>
      </c>
      <c r="D7653" s="9" t="str">
        <f>IFERROR(__xludf.DUMMYFUNCTION("""COMPUTED_VALUE"""),"Pending approval")</f>
        <v>Pending approval</v>
      </c>
    </row>
    <row r="7654">
      <c r="A7654" s="9" t="str">
        <f>IFERROR(__xludf.DUMMYFUNCTION("""COMPUTED_VALUE"""),"G-REQ-07653")</f>
        <v>G-REQ-07653</v>
      </c>
      <c r="B7654" s="11">
        <f>IFERROR(__xludf.DUMMYFUNCTION("""COMPUTED_VALUE"""),46304.44444444444)</f>
        <v>46304.44444</v>
      </c>
      <c r="C7654" s="9">
        <f>IFERROR(__xludf.DUMMYFUNCTION("""COMPUTED_VALUE"""),29075.0)</f>
        <v>29075</v>
      </c>
      <c r="D7654" s="9" t="str">
        <f>IFERROR(__xludf.DUMMYFUNCTION("""COMPUTED_VALUE"""),"In progress")</f>
        <v>In progress</v>
      </c>
    </row>
    <row r="7655">
      <c r="A7655" s="9" t="str">
        <f>IFERROR(__xludf.DUMMYFUNCTION("""COMPUTED_VALUE"""),"G-REQ-07654")</f>
        <v>G-REQ-07654</v>
      </c>
      <c r="B7655" s="11">
        <f>IFERROR(__xludf.DUMMYFUNCTION("""COMPUTED_VALUE"""),46304.458333333336)</f>
        <v>46304.45833</v>
      </c>
      <c r="C7655" s="9">
        <f>IFERROR(__xludf.DUMMYFUNCTION("""COMPUTED_VALUE"""),29076.0)</f>
        <v>29076</v>
      </c>
      <c r="D7655" s="9" t="str">
        <f>IFERROR(__xludf.DUMMYFUNCTION("""COMPUTED_VALUE"""),"Pending approval")</f>
        <v>Pending approval</v>
      </c>
    </row>
    <row r="7656">
      <c r="A7656" s="9" t="str">
        <f>IFERROR(__xludf.DUMMYFUNCTION("""COMPUTED_VALUE"""),"G-REQ-07655")</f>
        <v>G-REQ-07655</v>
      </c>
      <c r="B7656" s="11">
        <f>IFERROR(__xludf.DUMMYFUNCTION("""COMPUTED_VALUE"""),46304.48611111111)</f>
        <v>46304.48611</v>
      </c>
      <c r="C7656" s="9">
        <f>IFERROR(__xludf.DUMMYFUNCTION("""COMPUTED_VALUE"""),29079.0)</f>
        <v>29079</v>
      </c>
      <c r="D7656" s="9" t="str">
        <f>IFERROR(__xludf.DUMMYFUNCTION("""COMPUTED_VALUE"""),"In progress")</f>
        <v>In progress</v>
      </c>
    </row>
    <row r="7657">
      <c r="A7657" s="9" t="str">
        <f>IFERROR(__xludf.DUMMYFUNCTION("""COMPUTED_VALUE"""),"G-REQ-07656")</f>
        <v>G-REQ-07656</v>
      </c>
      <c r="B7657" s="11">
        <f>IFERROR(__xludf.DUMMYFUNCTION("""COMPUTED_VALUE"""),46304.49999999999)</f>
        <v>46304.5</v>
      </c>
      <c r="C7657" s="9">
        <f>IFERROR(__xludf.DUMMYFUNCTION("""COMPUTED_VALUE"""),29080.0)</f>
        <v>29080</v>
      </c>
      <c r="D7657" s="9" t="str">
        <f>IFERROR(__xludf.DUMMYFUNCTION("""COMPUTED_VALUE"""),"Pending approval")</f>
        <v>Pending approval</v>
      </c>
    </row>
    <row r="7658">
      <c r="A7658" s="9" t="str">
        <f>IFERROR(__xludf.DUMMYFUNCTION("""COMPUTED_VALUE"""),"G-REQ-07657")</f>
        <v>G-REQ-07657</v>
      </c>
      <c r="B7658" s="11">
        <f>IFERROR(__xludf.DUMMYFUNCTION("""COMPUTED_VALUE"""),46304.52777777778)</f>
        <v>46304.52778</v>
      </c>
      <c r="C7658" s="9">
        <f>IFERROR(__xludf.DUMMYFUNCTION("""COMPUTED_VALUE"""),29083.0)</f>
        <v>29083</v>
      </c>
      <c r="D7658" s="9" t="str">
        <f>IFERROR(__xludf.DUMMYFUNCTION("""COMPUTED_VALUE"""),"In progress")</f>
        <v>In progress</v>
      </c>
    </row>
    <row r="7659">
      <c r="A7659" s="9" t="str">
        <f>IFERROR(__xludf.DUMMYFUNCTION("""COMPUTED_VALUE"""),"G-REQ-07658")</f>
        <v>G-REQ-07658</v>
      </c>
      <c r="B7659" s="11">
        <f>IFERROR(__xludf.DUMMYFUNCTION("""COMPUTED_VALUE"""),46304.541666666664)</f>
        <v>46304.54167</v>
      </c>
      <c r="C7659" s="9">
        <f>IFERROR(__xludf.DUMMYFUNCTION("""COMPUTED_VALUE"""),29084.0)</f>
        <v>29084</v>
      </c>
      <c r="D7659" s="9" t="str">
        <f>IFERROR(__xludf.DUMMYFUNCTION("""COMPUTED_VALUE"""),"Pending approval")</f>
        <v>Pending approval</v>
      </c>
    </row>
    <row r="7660">
      <c r="A7660" s="9" t="str">
        <f>IFERROR(__xludf.DUMMYFUNCTION("""COMPUTED_VALUE"""),"G-REQ-07659")</f>
        <v>G-REQ-07659</v>
      </c>
      <c r="B7660" s="11">
        <f>IFERROR(__xludf.DUMMYFUNCTION("""COMPUTED_VALUE"""),46304.56944444444)</f>
        <v>46304.56944</v>
      </c>
      <c r="C7660" s="9">
        <f>IFERROR(__xludf.DUMMYFUNCTION("""COMPUTED_VALUE"""),29087.0)</f>
        <v>29087</v>
      </c>
      <c r="D7660" s="9" t="str">
        <f>IFERROR(__xludf.DUMMYFUNCTION("""COMPUTED_VALUE"""),"In progress")</f>
        <v>In progress</v>
      </c>
    </row>
    <row r="7661">
      <c r="A7661" s="9" t="str">
        <f>IFERROR(__xludf.DUMMYFUNCTION("""COMPUTED_VALUE"""),"G-REQ-07660")</f>
        <v>G-REQ-07660</v>
      </c>
      <c r="B7661" s="11">
        <f>IFERROR(__xludf.DUMMYFUNCTION("""COMPUTED_VALUE"""),46304.583333333336)</f>
        <v>46304.58333</v>
      </c>
      <c r="C7661" s="9">
        <f>IFERROR(__xludf.DUMMYFUNCTION("""COMPUTED_VALUE"""),29088.0)</f>
        <v>29088</v>
      </c>
      <c r="D7661" s="9" t="str">
        <f>IFERROR(__xludf.DUMMYFUNCTION("""COMPUTED_VALUE"""),"Pending approval")</f>
        <v>Pending approval</v>
      </c>
    </row>
    <row r="7662">
      <c r="A7662" s="9" t="str">
        <f>IFERROR(__xludf.DUMMYFUNCTION("""COMPUTED_VALUE"""),"G-REQ-07661")</f>
        <v>G-REQ-07661</v>
      </c>
      <c r="B7662" s="11">
        <f>IFERROR(__xludf.DUMMYFUNCTION("""COMPUTED_VALUE"""),46304.61111111111)</f>
        <v>46304.61111</v>
      </c>
      <c r="C7662" s="9">
        <f>IFERROR(__xludf.DUMMYFUNCTION("""COMPUTED_VALUE"""),29091.0)</f>
        <v>29091</v>
      </c>
      <c r="D7662" s="9" t="str">
        <f>IFERROR(__xludf.DUMMYFUNCTION("""COMPUTED_VALUE"""),"In progress")</f>
        <v>In progress</v>
      </c>
    </row>
    <row r="7663">
      <c r="A7663" s="9" t="str">
        <f>IFERROR(__xludf.DUMMYFUNCTION("""COMPUTED_VALUE"""),"G-REQ-07662")</f>
        <v>G-REQ-07662</v>
      </c>
      <c r="B7663" s="11">
        <f>IFERROR(__xludf.DUMMYFUNCTION("""COMPUTED_VALUE"""),46304.62499999999)</f>
        <v>46304.625</v>
      </c>
      <c r="C7663" s="9">
        <f>IFERROR(__xludf.DUMMYFUNCTION("""COMPUTED_VALUE"""),29092.0)</f>
        <v>29092</v>
      </c>
      <c r="D7663" s="9" t="str">
        <f>IFERROR(__xludf.DUMMYFUNCTION("""COMPUTED_VALUE"""),"Pending approval")</f>
        <v>Pending approval</v>
      </c>
    </row>
    <row r="7664">
      <c r="A7664" s="9" t="str">
        <f>IFERROR(__xludf.DUMMYFUNCTION("""COMPUTED_VALUE"""),"G-REQ-07663")</f>
        <v>G-REQ-07663</v>
      </c>
      <c r="B7664" s="11">
        <f>IFERROR(__xludf.DUMMYFUNCTION("""COMPUTED_VALUE"""),46304.65277777778)</f>
        <v>46304.65278</v>
      </c>
      <c r="C7664" s="9">
        <f>IFERROR(__xludf.DUMMYFUNCTION("""COMPUTED_VALUE"""),29095.0)</f>
        <v>29095</v>
      </c>
      <c r="D7664" s="9" t="str">
        <f>IFERROR(__xludf.DUMMYFUNCTION("""COMPUTED_VALUE"""),"In progress")</f>
        <v>In progress</v>
      </c>
    </row>
    <row r="7665">
      <c r="A7665" s="9" t="str">
        <f>IFERROR(__xludf.DUMMYFUNCTION("""COMPUTED_VALUE"""),"G-REQ-07664")</f>
        <v>G-REQ-07664</v>
      </c>
      <c r="B7665" s="11">
        <f>IFERROR(__xludf.DUMMYFUNCTION("""COMPUTED_VALUE"""),46304.666666666664)</f>
        <v>46304.66667</v>
      </c>
      <c r="C7665" s="9">
        <f>IFERROR(__xludf.DUMMYFUNCTION("""COMPUTED_VALUE"""),29096.0)</f>
        <v>29096</v>
      </c>
      <c r="D7665" s="9" t="str">
        <f>IFERROR(__xludf.DUMMYFUNCTION("""COMPUTED_VALUE"""),"Pending approval")</f>
        <v>Pending approval</v>
      </c>
    </row>
    <row r="7666">
      <c r="A7666" s="9" t="str">
        <f>IFERROR(__xludf.DUMMYFUNCTION("""COMPUTED_VALUE"""),"G-REQ-07665")</f>
        <v>G-REQ-07665</v>
      </c>
      <c r="B7666" s="11">
        <f>IFERROR(__xludf.DUMMYFUNCTION("""COMPUTED_VALUE"""),46304.69444444444)</f>
        <v>46304.69444</v>
      </c>
      <c r="C7666" s="9">
        <f>IFERROR(__xludf.DUMMYFUNCTION("""COMPUTED_VALUE"""),29099.0)</f>
        <v>29099</v>
      </c>
      <c r="D7666" s="9" t="str">
        <f>IFERROR(__xludf.DUMMYFUNCTION("""COMPUTED_VALUE"""),"In progress")</f>
        <v>In progress</v>
      </c>
    </row>
    <row r="7667">
      <c r="A7667" s="9" t="str">
        <f>IFERROR(__xludf.DUMMYFUNCTION("""COMPUTED_VALUE"""),"G-REQ-07666")</f>
        <v>G-REQ-07666</v>
      </c>
      <c r="B7667" s="11">
        <f>IFERROR(__xludf.DUMMYFUNCTION("""COMPUTED_VALUE"""),46304.708333333336)</f>
        <v>46304.70833</v>
      </c>
      <c r="C7667" s="9">
        <f>IFERROR(__xludf.DUMMYFUNCTION("""COMPUTED_VALUE"""),29100.0)</f>
        <v>29100</v>
      </c>
      <c r="D7667" s="9" t="str">
        <f>IFERROR(__xludf.DUMMYFUNCTION("""COMPUTED_VALUE"""),"Pending approval")</f>
        <v>Pending approval</v>
      </c>
    </row>
    <row r="7668">
      <c r="A7668" s="9" t="str">
        <f>IFERROR(__xludf.DUMMYFUNCTION("""COMPUTED_VALUE"""),"G-REQ-07667")</f>
        <v>G-REQ-07667</v>
      </c>
      <c r="B7668" s="11">
        <f>IFERROR(__xludf.DUMMYFUNCTION("""COMPUTED_VALUE"""),46304.73611111111)</f>
        <v>46304.73611</v>
      </c>
      <c r="C7668" s="9">
        <f>IFERROR(__xludf.DUMMYFUNCTION("""COMPUTED_VALUE"""),29103.0)</f>
        <v>29103</v>
      </c>
      <c r="D7668" s="9" t="str">
        <f>IFERROR(__xludf.DUMMYFUNCTION("""COMPUTED_VALUE"""),"In progress")</f>
        <v>In progress</v>
      </c>
    </row>
    <row r="7669">
      <c r="A7669" s="9" t="str">
        <f>IFERROR(__xludf.DUMMYFUNCTION("""COMPUTED_VALUE"""),"G-REQ-07668")</f>
        <v>G-REQ-07668</v>
      </c>
      <c r="B7669" s="11">
        <f>IFERROR(__xludf.DUMMYFUNCTION("""COMPUTED_VALUE"""),46304.74999999999)</f>
        <v>46304.75</v>
      </c>
      <c r="C7669" s="9">
        <f>IFERROR(__xludf.DUMMYFUNCTION("""COMPUTED_VALUE"""),29104.0)</f>
        <v>29104</v>
      </c>
      <c r="D7669" s="9" t="str">
        <f>IFERROR(__xludf.DUMMYFUNCTION("""COMPUTED_VALUE"""),"Pending approval")</f>
        <v>Pending approval</v>
      </c>
    </row>
    <row r="7670">
      <c r="A7670" s="9" t="str">
        <f>IFERROR(__xludf.DUMMYFUNCTION("""COMPUTED_VALUE"""),"G-REQ-07669")</f>
        <v>G-REQ-07669</v>
      </c>
      <c r="B7670" s="11">
        <f>IFERROR(__xludf.DUMMYFUNCTION("""COMPUTED_VALUE"""),46304.77777777778)</f>
        <v>46304.77778</v>
      </c>
      <c r="C7670" s="9">
        <f>IFERROR(__xludf.DUMMYFUNCTION("""COMPUTED_VALUE"""),29107.0)</f>
        <v>29107</v>
      </c>
      <c r="D7670" s="9" t="str">
        <f>IFERROR(__xludf.DUMMYFUNCTION("""COMPUTED_VALUE"""),"In progress")</f>
        <v>In progress</v>
      </c>
    </row>
    <row r="7671">
      <c r="A7671" s="9" t="str">
        <f>IFERROR(__xludf.DUMMYFUNCTION("""COMPUTED_VALUE"""),"G-REQ-07670")</f>
        <v>G-REQ-07670</v>
      </c>
      <c r="B7671" s="11">
        <f>IFERROR(__xludf.DUMMYFUNCTION("""COMPUTED_VALUE"""),46304.791666666664)</f>
        <v>46304.79167</v>
      </c>
      <c r="C7671" s="9">
        <f>IFERROR(__xludf.DUMMYFUNCTION("""COMPUTED_VALUE"""),29108.0)</f>
        <v>29108</v>
      </c>
      <c r="D7671" s="9" t="str">
        <f>IFERROR(__xludf.DUMMYFUNCTION("""COMPUTED_VALUE"""),"Pending approval")</f>
        <v>Pending approval</v>
      </c>
    </row>
    <row r="7672">
      <c r="A7672" s="9" t="str">
        <f>IFERROR(__xludf.DUMMYFUNCTION("""COMPUTED_VALUE"""),"G-REQ-07671")</f>
        <v>G-REQ-07671</v>
      </c>
      <c r="B7672" s="11">
        <f>IFERROR(__xludf.DUMMYFUNCTION("""COMPUTED_VALUE"""),46304.81944444444)</f>
        <v>46304.81944</v>
      </c>
      <c r="C7672" s="9">
        <f>IFERROR(__xludf.DUMMYFUNCTION("""COMPUTED_VALUE"""),29111.0)</f>
        <v>29111</v>
      </c>
      <c r="D7672" s="9" t="str">
        <f>IFERROR(__xludf.DUMMYFUNCTION("""COMPUTED_VALUE"""),"In progress")</f>
        <v>In progress</v>
      </c>
    </row>
    <row r="7673">
      <c r="A7673" s="9" t="str">
        <f>IFERROR(__xludf.DUMMYFUNCTION("""COMPUTED_VALUE"""),"G-REQ-07672")</f>
        <v>G-REQ-07672</v>
      </c>
      <c r="B7673" s="11">
        <f>IFERROR(__xludf.DUMMYFUNCTION("""COMPUTED_VALUE"""),46304.833333333336)</f>
        <v>46304.83333</v>
      </c>
      <c r="C7673" s="9">
        <f>IFERROR(__xludf.DUMMYFUNCTION("""COMPUTED_VALUE"""),29112.0)</f>
        <v>29112</v>
      </c>
      <c r="D7673" s="9" t="str">
        <f>IFERROR(__xludf.DUMMYFUNCTION("""COMPUTED_VALUE"""),"Pending approval")</f>
        <v>Pending approval</v>
      </c>
    </row>
    <row r="7674">
      <c r="A7674" s="9" t="str">
        <f>IFERROR(__xludf.DUMMYFUNCTION("""COMPUTED_VALUE"""),"G-REQ-07673")</f>
        <v>G-REQ-07673</v>
      </c>
      <c r="B7674" s="11">
        <f>IFERROR(__xludf.DUMMYFUNCTION("""COMPUTED_VALUE"""),46304.86111111111)</f>
        <v>46304.86111</v>
      </c>
      <c r="C7674" s="9">
        <f>IFERROR(__xludf.DUMMYFUNCTION("""COMPUTED_VALUE"""),29115.0)</f>
        <v>29115</v>
      </c>
      <c r="D7674" s="9" t="str">
        <f>IFERROR(__xludf.DUMMYFUNCTION("""COMPUTED_VALUE"""),"In progress")</f>
        <v>In progress</v>
      </c>
    </row>
    <row r="7675">
      <c r="A7675" s="9" t="str">
        <f>IFERROR(__xludf.DUMMYFUNCTION("""COMPUTED_VALUE"""),"G-REQ-07674")</f>
        <v>G-REQ-07674</v>
      </c>
      <c r="B7675" s="11">
        <f>IFERROR(__xludf.DUMMYFUNCTION("""COMPUTED_VALUE"""),46304.87499999999)</f>
        <v>46304.875</v>
      </c>
      <c r="C7675" s="9">
        <f>IFERROR(__xludf.DUMMYFUNCTION("""COMPUTED_VALUE"""),29116.0)</f>
        <v>29116</v>
      </c>
      <c r="D7675" s="9" t="str">
        <f>IFERROR(__xludf.DUMMYFUNCTION("""COMPUTED_VALUE"""),"Pending approval")</f>
        <v>Pending approval</v>
      </c>
    </row>
    <row r="7676">
      <c r="A7676" s="9" t="str">
        <f>IFERROR(__xludf.DUMMYFUNCTION("""COMPUTED_VALUE"""),"G-REQ-07675")</f>
        <v>G-REQ-07675</v>
      </c>
      <c r="B7676" s="11">
        <f>IFERROR(__xludf.DUMMYFUNCTION("""COMPUTED_VALUE"""),46304.90277777778)</f>
        <v>46304.90278</v>
      </c>
      <c r="C7676" s="9">
        <f>IFERROR(__xludf.DUMMYFUNCTION("""COMPUTED_VALUE"""),29119.0)</f>
        <v>29119</v>
      </c>
      <c r="D7676" s="9" t="str">
        <f>IFERROR(__xludf.DUMMYFUNCTION("""COMPUTED_VALUE"""),"In progress")</f>
        <v>In progress</v>
      </c>
    </row>
    <row r="7677">
      <c r="A7677" s="9" t="str">
        <f>IFERROR(__xludf.DUMMYFUNCTION("""COMPUTED_VALUE"""),"G-REQ-07676")</f>
        <v>G-REQ-07676</v>
      </c>
      <c r="B7677" s="11">
        <f>IFERROR(__xludf.DUMMYFUNCTION("""COMPUTED_VALUE"""),46304.916666666664)</f>
        <v>46304.91667</v>
      </c>
      <c r="C7677" s="9">
        <f>IFERROR(__xludf.DUMMYFUNCTION("""COMPUTED_VALUE"""),29120.0)</f>
        <v>29120</v>
      </c>
      <c r="D7677" s="9" t="str">
        <f>IFERROR(__xludf.DUMMYFUNCTION("""COMPUTED_VALUE"""),"Pending approval")</f>
        <v>Pending approval</v>
      </c>
    </row>
    <row r="7678">
      <c r="A7678" s="9" t="str">
        <f>IFERROR(__xludf.DUMMYFUNCTION("""COMPUTED_VALUE"""),"G-REQ-07677")</f>
        <v>G-REQ-07677</v>
      </c>
      <c r="B7678" s="11">
        <f>IFERROR(__xludf.DUMMYFUNCTION("""COMPUTED_VALUE"""),46304.94444444444)</f>
        <v>46304.94444</v>
      </c>
      <c r="C7678" s="9">
        <f>IFERROR(__xludf.DUMMYFUNCTION("""COMPUTED_VALUE"""),29123.0)</f>
        <v>29123</v>
      </c>
      <c r="D7678" s="9" t="str">
        <f>IFERROR(__xludf.DUMMYFUNCTION("""COMPUTED_VALUE"""),"In progress")</f>
        <v>In progress</v>
      </c>
    </row>
    <row r="7679">
      <c r="A7679" s="9" t="str">
        <f>IFERROR(__xludf.DUMMYFUNCTION("""COMPUTED_VALUE"""),"G-REQ-07678")</f>
        <v>G-REQ-07678</v>
      </c>
      <c r="B7679" s="11">
        <f>IFERROR(__xludf.DUMMYFUNCTION("""COMPUTED_VALUE"""),46304.958333333336)</f>
        <v>46304.95833</v>
      </c>
      <c r="C7679" s="9">
        <f>IFERROR(__xludf.DUMMYFUNCTION("""COMPUTED_VALUE"""),29124.0)</f>
        <v>29124</v>
      </c>
      <c r="D7679" s="9" t="str">
        <f>IFERROR(__xludf.DUMMYFUNCTION("""COMPUTED_VALUE"""),"Pending approval")</f>
        <v>Pending approval</v>
      </c>
    </row>
    <row r="7680">
      <c r="A7680" s="9" t="str">
        <f>IFERROR(__xludf.DUMMYFUNCTION("""COMPUTED_VALUE"""),"G-REQ-07679")</f>
        <v>G-REQ-07679</v>
      </c>
      <c r="B7680" s="11">
        <f>IFERROR(__xludf.DUMMYFUNCTION("""COMPUTED_VALUE"""),46304.98611111111)</f>
        <v>46304.98611</v>
      </c>
      <c r="C7680" s="9">
        <f>IFERROR(__xludf.DUMMYFUNCTION("""COMPUTED_VALUE"""),29127.0)</f>
        <v>29127</v>
      </c>
      <c r="D7680" s="9" t="str">
        <f>IFERROR(__xludf.DUMMYFUNCTION("""COMPUTED_VALUE"""),"In progress")</f>
        <v>In progress</v>
      </c>
    </row>
    <row r="7681">
      <c r="A7681" s="9" t="str">
        <f>IFERROR(__xludf.DUMMYFUNCTION("""COMPUTED_VALUE"""),"G-REQ-07680")</f>
        <v>G-REQ-07680</v>
      </c>
      <c r="B7681" s="11">
        <f>IFERROR(__xludf.DUMMYFUNCTION("""COMPUTED_VALUE"""),46304.99999999999)</f>
        <v>46305</v>
      </c>
      <c r="C7681" s="9">
        <f>IFERROR(__xludf.DUMMYFUNCTION("""COMPUTED_VALUE"""),29128.0)</f>
        <v>29128</v>
      </c>
      <c r="D7681" s="9" t="str">
        <f>IFERROR(__xludf.DUMMYFUNCTION("""COMPUTED_VALUE"""),"Pending approval")</f>
        <v>Pending approval</v>
      </c>
    </row>
    <row r="7682">
      <c r="A7682" s="9" t="str">
        <f>IFERROR(__xludf.DUMMYFUNCTION("""COMPUTED_VALUE"""),"G-REQ-07681")</f>
        <v>G-REQ-07681</v>
      </c>
      <c r="B7682" s="11">
        <f>IFERROR(__xludf.DUMMYFUNCTION("""COMPUTED_VALUE"""),46305.02777777778)</f>
        <v>46305.02778</v>
      </c>
      <c r="C7682" s="9">
        <f>IFERROR(__xludf.DUMMYFUNCTION("""COMPUTED_VALUE"""),29131.0)</f>
        <v>29131</v>
      </c>
      <c r="D7682" s="9" t="str">
        <f>IFERROR(__xludf.DUMMYFUNCTION("""COMPUTED_VALUE"""),"In progress")</f>
        <v>In progress</v>
      </c>
    </row>
    <row r="7683">
      <c r="A7683" s="9" t="str">
        <f>IFERROR(__xludf.DUMMYFUNCTION("""COMPUTED_VALUE"""),"G-REQ-07682")</f>
        <v>G-REQ-07682</v>
      </c>
      <c r="B7683" s="11">
        <f>IFERROR(__xludf.DUMMYFUNCTION("""COMPUTED_VALUE"""),46305.041666666664)</f>
        <v>46305.04167</v>
      </c>
      <c r="C7683" s="9">
        <f>IFERROR(__xludf.DUMMYFUNCTION("""COMPUTED_VALUE"""),29132.0)</f>
        <v>29132</v>
      </c>
      <c r="D7683" s="9" t="str">
        <f>IFERROR(__xludf.DUMMYFUNCTION("""COMPUTED_VALUE"""),"Pending approval")</f>
        <v>Pending approval</v>
      </c>
    </row>
    <row r="7684">
      <c r="A7684" s="9" t="str">
        <f>IFERROR(__xludf.DUMMYFUNCTION("""COMPUTED_VALUE"""),"G-REQ-07683")</f>
        <v>G-REQ-07683</v>
      </c>
      <c r="B7684" s="11">
        <f>IFERROR(__xludf.DUMMYFUNCTION("""COMPUTED_VALUE"""),46305.06944444444)</f>
        <v>46305.06944</v>
      </c>
      <c r="C7684" s="9">
        <f>IFERROR(__xludf.DUMMYFUNCTION("""COMPUTED_VALUE"""),29135.0)</f>
        <v>29135</v>
      </c>
      <c r="D7684" s="9" t="str">
        <f>IFERROR(__xludf.DUMMYFUNCTION("""COMPUTED_VALUE"""),"In progress")</f>
        <v>In progress</v>
      </c>
    </row>
    <row r="7685">
      <c r="A7685" s="9" t="str">
        <f>IFERROR(__xludf.DUMMYFUNCTION("""COMPUTED_VALUE"""),"G-REQ-07684")</f>
        <v>G-REQ-07684</v>
      </c>
      <c r="B7685" s="11">
        <f>IFERROR(__xludf.DUMMYFUNCTION("""COMPUTED_VALUE"""),46305.083333333336)</f>
        <v>46305.08333</v>
      </c>
      <c r="C7685" s="9">
        <f>IFERROR(__xludf.DUMMYFUNCTION("""COMPUTED_VALUE"""),29136.0)</f>
        <v>29136</v>
      </c>
      <c r="D7685" s="9" t="str">
        <f>IFERROR(__xludf.DUMMYFUNCTION("""COMPUTED_VALUE"""),"Pending approval")</f>
        <v>Pending approval</v>
      </c>
    </row>
    <row r="7686">
      <c r="A7686" s="9" t="str">
        <f>IFERROR(__xludf.DUMMYFUNCTION("""COMPUTED_VALUE"""),"G-REQ-07685")</f>
        <v>G-REQ-07685</v>
      </c>
      <c r="B7686" s="11">
        <f>IFERROR(__xludf.DUMMYFUNCTION("""COMPUTED_VALUE"""),46305.11111111111)</f>
        <v>46305.11111</v>
      </c>
      <c r="C7686" s="9">
        <f>IFERROR(__xludf.DUMMYFUNCTION("""COMPUTED_VALUE"""),29139.0)</f>
        <v>29139</v>
      </c>
      <c r="D7686" s="9" t="str">
        <f>IFERROR(__xludf.DUMMYFUNCTION("""COMPUTED_VALUE"""),"In progress")</f>
        <v>In progress</v>
      </c>
    </row>
    <row r="7687">
      <c r="A7687" s="9" t="str">
        <f>IFERROR(__xludf.DUMMYFUNCTION("""COMPUTED_VALUE"""),"G-REQ-07686")</f>
        <v>G-REQ-07686</v>
      </c>
      <c r="B7687" s="11">
        <f>IFERROR(__xludf.DUMMYFUNCTION("""COMPUTED_VALUE"""),46305.12499999999)</f>
        <v>46305.125</v>
      </c>
      <c r="C7687" s="9">
        <f>IFERROR(__xludf.DUMMYFUNCTION("""COMPUTED_VALUE"""),29140.0)</f>
        <v>29140</v>
      </c>
      <c r="D7687" s="9" t="str">
        <f>IFERROR(__xludf.DUMMYFUNCTION("""COMPUTED_VALUE"""),"Pending approval")</f>
        <v>Pending approval</v>
      </c>
    </row>
    <row r="7688">
      <c r="A7688" s="9" t="str">
        <f>IFERROR(__xludf.DUMMYFUNCTION("""COMPUTED_VALUE"""),"G-REQ-07687")</f>
        <v>G-REQ-07687</v>
      </c>
      <c r="B7688" s="11">
        <f>IFERROR(__xludf.DUMMYFUNCTION("""COMPUTED_VALUE"""),46305.15277777778)</f>
        <v>46305.15278</v>
      </c>
      <c r="C7688" s="9">
        <f>IFERROR(__xludf.DUMMYFUNCTION("""COMPUTED_VALUE"""),29143.0)</f>
        <v>29143</v>
      </c>
      <c r="D7688" s="9" t="str">
        <f>IFERROR(__xludf.DUMMYFUNCTION("""COMPUTED_VALUE"""),"In progress")</f>
        <v>In progress</v>
      </c>
    </row>
    <row r="7689">
      <c r="A7689" s="9" t="str">
        <f>IFERROR(__xludf.DUMMYFUNCTION("""COMPUTED_VALUE"""),"G-REQ-07688")</f>
        <v>G-REQ-07688</v>
      </c>
      <c r="B7689" s="11">
        <f>IFERROR(__xludf.DUMMYFUNCTION("""COMPUTED_VALUE"""),46305.166666666664)</f>
        <v>46305.16667</v>
      </c>
      <c r="C7689" s="9">
        <f>IFERROR(__xludf.DUMMYFUNCTION("""COMPUTED_VALUE"""),29144.0)</f>
        <v>29144</v>
      </c>
      <c r="D7689" s="9" t="str">
        <f>IFERROR(__xludf.DUMMYFUNCTION("""COMPUTED_VALUE"""),"Pending approval")</f>
        <v>Pending approval</v>
      </c>
    </row>
    <row r="7690">
      <c r="A7690" s="9" t="str">
        <f>IFERROR(__xludf.DUMMYFUNCTION("""COMPUTED_VALUE"""),"G-REQ-07689")</f>
        <v>G-REQ-07689</v>
      </c>
      <c r="B7690" s="11">
        <f>IFERROR(__xludf.DUMMYFUNCTION("""COMPUTED_VALUE"""),46305.19444444444)</f>
        <v>46305.19444</v>
      </c>
      <c r="C7690" s="9">
        <f>IFERROR(__xludf.DUMMYFUNCTION("""COMPUTED_VALUE"""),29147.0)</f>
        <v>29147</v>
      </c>
      <c r="D7690" s="9" t="str">
        <f>IFERROR(__xludf.DUMMYFUNCTION("""COMPUTED_VALUE"""),"In progress")</f>
        <v>In progress</v>
      </c>
    </row>
    <row r="7691">
      <c r="A7691" s="9" t="str">
        <f>IFERROR(__xludf.DUMMYFUNCTION("""COMPUTED_VALUE"""),"G-REQ-07690")</f>
        <v>G-REQ-07690</v>
      </c>
      <c r="B7691" s="11">
        <f>IFERROR(__xludf.DUMMYFUNCTION("""COMPUTED_VALUE"""),46305.208333333336)</f>
        <v>46305.20833</v>
      </c>
      <c r="C7691" s="9">
        <f>IFERROR(__xludf.DUMMYFUNCTION("""COMPUTED_VALUE"""),29148.0)</f>
        <v>29148</v>
      </c>
      <c r="D7691" s="9" t="str">
        <f>IFERROR(__xludf.DUMMYFUNCTION("""COMPUTED_VALUE"""),"Pending approval")</f>
        <v>Pending approval</v>
      </c>
    </row>
    <row r="7692">
      <c r="A7692" s="9" t="str">
        <f>IFERROR(__xludf.DUMMYFUNCTION("""COMPUTED_VALUE"""),"G-REQ-07691")</f>
        <v>G-REQ-07691</v>
      </c>
      <c r="B7692" s="11">
        <f>IFERROR(__xludf.DUMMYFUNCTION("""COMPUTED_VALUE"""),46305.23611111111)</f>
        <v>46305.23611</v>
      </c>
      <c r="C7692" s="9">
        <f>IFERROR(__xludf.DUMMYFUNCTION("""COMPUTED_VALUE"""),29151.0)</f>
        <v>29151</v>
      </c>
      <c r="D7692" s="9" t="str">
        <f>IFERROR(__xludf.DUMMYFUNCTION("""COMPUTED_VALUE"""),"In progress")</f>
        <v>In progress</v>
      </c>
    </row>
    <row r="7693">
      <c r="A7693" s="9" t="str">
        <f>IFERROR(__xludf.DUMMYFUNCTION("""COMPUTED_VALUE"""),"G-REQ-07692")</f>
        <v>G-REQ-07692</v>
      </c>
      <c r="B7693" s="11">
        <f>IFERROR(__xludf.DUMMYFUNCTION("""COMPUTED_VALUE"""),46305.24999999999)</f>
        <v>46305.25</v>
      </c>
      <c r="C7693" s="9">
        <f>IFERROR(__xludf.DUMMYFUNCTION("""COMPUTED_VALUE"""),29152.0)</f>
        <v>29152</v>
      </c>
      <c r="D7693" s="9" t="str">
        <f>IFERROR(__xludf.DUMMYFUNCTION("""COMPUTED_VALUE"""),"Pending approval")</f>
        <v>Pending approval</v>
      </c>
    </row>
    <row r="7694">
      <c r="A7694" s="9" t="str">
        <f>IFERROR(__xludf.DUMMYFUNCTION("""COMPUTED_VALUE"""),"G-REQ-07693")</f>
        <v>G-REQ-07693</v>
      </c>
      <c r="B7694" s="11">
        <f>IFERROR(__xludf.DUMMYFUNCTION("""COMPUTED_VALUE"""),46305.27777777778)</f>
        <v>46305.27778</v>
      </c>
      <c r="C7694" s="9">
        <f>IFERROR(__xludf.DUMMYFUNCTION("""COMPUTED_VALUE"""),29155.0)</f>
        <v>29155</v>
      </c>
      <c r="D7694" s="9" t="str">
        <f>IFERROR(__xludf.DUMMYFUNCTION("""COMPUTED_VALUE"""),"In progress")</f>
        <v>In progress</v>
      </c>
    </row>
    <row r="7695">
      <c r="A7695" s="9" t="str">
        <f>IFERROR(__xludf.DUMMYFUNCTION("""COMPUTED_VALUE"""),"G-REQ-07694")</f>
        <v>G-REQ-07694</v>
      </c>
      <c r="B7695" s="11">
        <f>IFERROR(__xludf.DUMMYFUNCTION("""COMPUTED_VALUE"""),46305.291666666664)</f>
        <v>46305.29167</v>
      </c>
      <c r="C7695" s="9">
        <f>IFERROR(__xludf.DUMMYFUNCTION("""COMPUTED_VALUE"""),29156.0)</f>
        <v>29156</v>
      </c>
      <c r="D7695" s="9" t="str">
        <f>IFERROR(__xludf.DUMMYFUNCTION("""COMPUTED_VALUE"""),"Pending approval")</f>
        <v>Pending approval</v>
      </c>
    </row>
    <row r="7696">
      <c r="A7696" s="9" t="str">
        <f>IFERROR(__xludf.DUMMYFUNCTION("""COMPUTED_VALUE"""),"G-REQ-07695")</f>
        <v>G-REQ-07695</v>
      </c>
      <c r="B7696" s="11">
        <f>IFERROR(__xludf.DUMMYFUNCTION("""COMPUTED_VALUE"""),46305.31944444444)</f>
        <v>46305.31944</v>
      </c>
      <c r="C7696" s="9">
        <f>IFERROR(__xludf.DUMMYFUNCTION("""COMPUTED_VALUE"""),29159.0)</f>
        <v>29159</v>
      </c>
      <c r="D7696" s="9" t="str">
        <f>IFERROR(__xludf.DUMMYFUNCTION("""COMPUTED_VALUE"""),"In progress")</f>
        <v>In progress</v>
      </c>
    </row>
    <row r="7697">
      <c r="A7697" s="9" t="str">
        <f>IFERROR(__xludf.DUMMYFUNCTION("""COMPUTED_VALUE"""),"G-REQ-07696")</f>
        <v>G-REQ-07696</v>
      </c>
      <c r="B7697" s="11">
        <f>IFERROR(__xludf.DUMMYFUNCTION("""COMPUTED_VALUE"""),46305.333333333336)</f>
        <v>46305.33333</v>
      </c>
      <c r="C7697" s="9">
        <f>IFERROR(__xludf.DUMMYFUNCTION("""COMPUTED_VALUE"""),29160.0)</f>
        <v>29160</v>
      </c>
      <c r="D7697" s="9" t="str">
        <f>IFERROR(__xludf.DUMMYFUNCTION("""COMPUTED_VALUE"""),"Pending approval")</f>
        <v>Pending approval</v>
      </c>
    </row>
    <row r="7698">
      <c r="A7698" s="9" t="str">
        <f>IFERROR(__xludf.DUMMYFUNCTION("""COMPUTED_VALUE"""),"G-REQ-07697")</f>
        <v>G-REQ-07697</v>
      </c>
      <c r="B7698" s="11">
        <f>IFERROR(__xludf.DUMMYFUNCTION("""COMPUTED_VALUE"""),46305.36111111111)</f>
        <v>46305.36111</v>
      </c>
      <c r="C7698" s="9">
        <f>IFERROR(__xludf.DUMMYFUNCTION("""COMPUTED_VALUE"""),29163.0)</f>
        <v>29163</v>
      </c>
      <c r="D7698" s="9" t="str">
        <f>IFERROR(__xludf.DUMMYFUNCTION("""COMPUTED_VALUE"""),"In progress")</f>
        <v>In progress</v>
      </c>
    </row>
    <row r="7699">
      <c r="A7699" s="9" t="str">
        <f>IFERROR(__xludf.DUMMYFUNCTION("""COMPUTED_VALUE"""),"G-REQ-07698")</f>
        <v>G-REQ-07698</v>
      </c>
      <c r="B7699" s="11">
        <f>IFERROR(__xludf.DUMMYFUNCTION("""COMPUTED_VALUE"""),46305.37499999999)</f>
        <v>46305.375</v>
      </c>
      <c r="C7699" s="9">
        <f>IFERROR(__xludf.DUMMYFUNCTION("""COMPUTED_VALUE"""),29164.0)</f>
        <v>29164</v>
      </c>
      <c r="D7699" s="9" t="str">
        <f>IFERROR(__xludf.DUMMYFUNCTION("""COMPUTED_VALUE"""),"Pending approval")</f>
        <v>Pending approval</v>
      </c>
    </row>
    <row r="7700">
      <c r="A7700" s="9" t="str">
        <f>IFERROR(__xludf.DUMMYFUNCTION("""COMPUTED_VALUE"""),"G-REQ-07699")</f>
        <v>G-REQ-07699</v>
      </c>
      <c r="B7700" s="11">
        <f>IFERROR(__xludf.DUMMYFUNCTION("""COMPUTED_VALUE"""),46305.40277777778)</f>
        <v>46305.40278</v>
      </c>
      <c r="C7700" s="9">
        <f>IFERROR(__xludf.DUMMYFUNCTION("""COMPUTED_VALUE"""),29167.0)</f>
        <v>29167</v>
      </c>
      <c r="D7700" s="9" t="str">
        <f>IFERROR(__xludf.DUMMYFUNCTION("""COMPUTED_VALUE"""),"In progress")</f>
        <v>In progress</v>
      </c>
    </row>
    <row r="7701">
      <c r="A7701" s="9" t="str">
        <f>IFERROR(__xludf.DUMMYFUNCTION("""COMPUTED_VALUE"""),"G-REQ-07700")</f>
        <v>G-REQ-07700</v>
      </c>
      <c r="B7701" s="11">
        <f>IFERROR(__xludf.DUMMYFUNCTION("""COMPUTED_VALUE"""),46305.416666666664)</f>
        <v>46305.41667</v>
      </c>
      <c r="C7701" s="9">
        <f>IFERROR(__xludf.DUMMYFUNCTION("""COMPUTED_VALUE"""),29168.0)</f>
        <v>29168</v>
      </c>
      <c r="D7701" s="9" t="str">
        <f>IFERROR(__xludf.DUMMYFUNCTION("""COMPUTED_VALUE"""),"Pending approval")</f>
        <v>Pending approval</v>
      </c>
    </row>
    <row r="7702">
      <c r="A7702" s="9" t="str">
        <f>IFERROR(__xludf.DUMMYFUNCTION("""COMPUTED_VALUE"""),"G-REQ-07701")</f>
        <v>G-REQ-07701</v>
      </c>
      <c r="B7702" s="11">
        <f>IFERROR(__xludf.DUMMYFUNCTION("""COMPUTED_VALUE"""),46305.44444444444)</f>
        <v>46305.44444</v>
      </c>
      <c r="C7702" s="9">
        <f>IFERROR(__xludf.DUMMYFUNCTION("""COMPUTED_VALUE"""),29171.0)</f>
        <v>29171</v>
      </c>
      <c r="D7702" s="9" t="str">
        <f>IFERROR(__xludf.DUMMYFUNCTION("""COMPUTED_VALUE"""),"In progress")</f>
        <v>In progress</v>
      </c>
    </row>
    <row r="7703">
      <c r="A7703" s="9" t="str">
        <f>IFERROR(__xludf.DUMMYFUNCTION("""COMPUTED_VALUE"""),"G-REQ-07702")</f>
        <v>G-REQ-07702</v>
      </c>
      <c r="B7703" s="11">
        <f>IFERROR(__xludf.DUMMYFUNCTION("""COMPUTED_VALUE"""),46305.458333333336)</f>
        <v>46305.45833</v>
      </c>
      <c r="C7703" s="9">
        <f>IFERROR(__xludf.DUMMYFUNCTION("""COMPUTED_VALUE"""),29172.0)</f>
        <v>29172</v>
      </c>
      <c r="D7703" s="9" t="str">
        <f>IFERROR(__xludf.DUMMYFUNCTION("""COMPUTED_VALUE"""),"Pending approval")</f>
        <v>Pending approval</v>
      </c>
    </row>
    <row r="7704">
      <c r="A7704" s="9" t="str">
        <f>IFERROR(__xludf.DUMMYFUNCTION("""COMPUTED_VALUE"""),"G-REQ-07703")</f>
        <v>G-REQ-07703</v>
      </c>
      <c r="B7704" s="11">
        <f>IFERROR(__xludf.DUMMYFUNCTION("""COMPUTED_VALUE"""),46305.48611111111)</f>
        <v>46305.48611</v>
      </c>
      <c r="C7704" s="9">
        <f>IFERROR(__xludf.DUMMYFUNCTION("""COMPUTED_VALUE"""),29175.0)</f>
        <v>29175</v>
      </c>
      <c r="D7704" s="9" t="str">
        <f>IFERROR(__xludf.DUMMYFUNCTION("""COMPUTED_VALUE"""),"In progress")</f>
        <v>In progress</v>
      </c>
    </row>
    <row r="7705">
      <c r="A7705" s="9" t="str">
        <f>IFERROR(__xludf.DUMMYFUNCTION("""COMPUTED_VALUE"""),"G-REQ-07704")</f>
        <v>G-REQ-07704</v>
      </c>
      <c r="B7705" s="11">
        <f>IFERROR(__xludf.DUMMYFUNCTION("""COMPUTED_VALUE"""),46305.49999999999)</f>
        <v>46305.5</v>
      </c>
      <c r="C7705" s="9">
        <f>IFERROR(__xludf.DUMMYFUNCTION("""COMPUTED_VALUE"""),29176.0)</f>
        <v>29176</v>
      </c>
      <c r="D7705" s="9" t="str">
        <f>IFERROR(__xludf.DUMMYFUNCTION("""COMPUTED_VALUE"""),"Pending approval")</f>
        <v>Pending approval</v>
      </c>
    </row>
    <row r="7706">
      <c r="A7706" s="9" t="str">
        <f>IFERROR(__xludf.DUMMYFUNCTION("""COMPUTED_VALUE"""),"G-REQ-07705")</f>
        <v>G-REQ-07705</v>
      </c>
      <c r="B7706" s="11">
        <f>IFERROR(__xludf.DUMMYFUNCTION("""COMPUTED_VALUE"""),46305.52777777778)</f>
        <v>46305.52778</v>
      </c>
      <c r="C7706" s="9">
        <f>IFERROR(__xludf.DUMMYFUNCTION("""COMPUTED_VALUE"""),29179.0)</f>
        <v>29179</v>
      </c>
      <c r="D7706" s="9" t="str">
        <f>IFERROR(__xludf.DUMMYFUNCTION("""COMPUTED_VALUE"""),"In progress")</f>
        <v>In progress</v>
      </c>
    </row>
    <row r="7707">
      <c r="A7707" s="9" t="str">
        <f>IFERROR(__xludf.DUMMYFUNCTION("""COMPUTED_VALUE"""),"G-REQ-07706")</f>
        <v>G-REQ-07706</v>
      </c>
      <c r="B7707" s="11">
        <f>IFERROR(__xludf.DUMMYFUNCTION("""COMPUTED_VALUE"""),46305.541666666664)</f>
        <v>46305.54167</v>
      </c>
      <c r="C7707" s="9">
        <f>IFERROR(__xludf.DUMMYFUNCTION("""COMPUTED_VALUE"""),29180.0)</f>
        <v>29180</v>
      </c>
      <c r="D7707" s="9" t="str">
        <f>IFERROR(__xludf.DUMMYFUNCTION("""COMPUTED_VALUE"""),"Pending approval")</f>
        <v>Pending approval</v>
      </c>
    </row>
    <row r="7708">
      <c r="A7708" s="9" t="str">
        <f>IFERROR(__xludf.DUMMYFUNCTION("""COMPUTED_VALUE"""),"G-REQ-07707")</f>
        <v>G-REQ-07707</v>
      </c>
      <c r="B7708" s="11">
        <f>IFERROR(__xludf.DUMMYFUNCTION("""COMPUTED_VALUE"""),46305.56944444444)</f>
        <v>46305.56944</v>
      </c>
      <c r="C7708" s="9">
        <f>IFERROR(__xludf.DUMMYFUNCTION("""COMPUTED_VALUE"""),29183.0)</f>
        <v>29183</v>
      </c>
      <c r="D7708" s="9" t="str">
        <f>IFERROR(__xludf.DUMMYFUNCTION("""COMPUTED_VALUE"""),"In progress")</f>
        <v>In progress</v>
      </c>
    </row>
    <row r="7709">
      <c r="A7709" s="9" t="str">
        <f>IFERROR(__xludf.DUMMYFUNCTION("""COMPUTED_VALUE"""),"G-REQ-07708")</f>
        <v>G-REQ-07708</v>
      </c>
      <c r="B7709" s="11">
        <f>IFERROR(__xludf.DUMMYFUNCTION("""COMPUTED_VALUE"""),46305.583333333336)</f>
        <v>46305.58333</v>
      </c>
      <c r="C7709" s="9">
        <f>IFERROR(__xludf.DUMMYFUNCTION("""COMPUTED_VALUE"""),29184.0)</f>
        <v>29184</v>
      </c>
      <c r="D7709" s="9" t="str">
        <f>IFERROR(__xludf.DUMMYFUNCTION("""COMPUTED_VALUE"""),"Pending approval")</f>
        <v>Pending approval</v>
      </c>
    </row>
    <row r="7710">
      <c r="A7710" s="9" t="str">
        <f>IFERROR(__xludf.DUMMYFUNCTION("""COMPUTED_VALUE"""),"G-REQ-07709")</f>
        <v>G-REQ-07709</v>
      </c>
      <c r="B7710" s="11">
        <f>IFERROR(__xludf.DUMMYFUNCTION("""COMPUTED_VALUE"""),46305.61111111111)</f>
        <v>46305.61111</v>
      </c>
      <c r="C7710" s="9">
        <f>IFERROR(__xludf.DUMMYFUNCTION("""COMPUTED_VALUE"""),29187.0)</f>
        <v>29187</v>
      </c>
      <c r="D7710" s="9" t="str">
        <f>IFERROR(__xludf.DUMMYFUNCTION("""COMPUTED_VALUE"""),"In progress")</f>
        <v>In progress</v>
      </c>
    </row>
    <row r="7711">
      <c r="A7711" s="9" t="str">
        <f>IFERROR(__xludf.DUMMYFUNCTION("""COMPUTED_VALUE"""),"G-REQ-07710")</f>
        <v>G-REQ-07710</v>
      </c>
      <c r="B7711" s="11">
        <f>IFERROR(__xludf.DUMMYFUNCTION("""COMPUTED_VALUE"""),46305.62499999999)</f>
        <v>46305.625</v>
      </c>
      <c r="C7711" s="9">
        <f>IFERROR(__xludf.DUMMYFUNCTION("""COMPUTED_VALUE"""),29188.0)</f>
        <v>29188</v>
      </c>
      <c r="D7711" s="9" t="str">
        <f>IFERROR(__xludf.DUMMYFUNCTION("""COMPUTED_VALUE"""),"Pending approval")</f>
        <v>Pending approval</v>
      </c>
    </row>
    <row r="7712">
      <c r="A7712" s="9" t="str">
        <f>IFERROR(__xludf.DUMMYFUNCTION("""COMPUTED_VALUE"""),"G-REQ-07711")</f>
        <v>G-REQ-07711</v>
      </c>
      <c r="B7712" s="11">
        <f>IFERROR(__xludf.DUMMYFUNCTION("""COMPUTED_VALUE"""),46305.65277777778)</f>
        <v>46305.65278</v>
      </c>
      <c r="C7712" s="9">
        <f>IFERROR(__xludf.DUMMYFUNCTION("""COMPUTED_VALUE"""),29191.0)</f>
        <v>29191</v>
      </c>
      <c r="D7712" s="9" t="str">
        <f>IFERROR(__xludf.DUMMYFUNCTION("""COMPUTED_VALUE"""),"In progress")</f>
        <v>In progress</v>
      </c>
    </row>
    <row r="7713">
      <c r="A7713" s="9" t="str">
        <f>IFERROR(__xludf.DUMMYFUNCTION("""COMPUTED_VALUE"""),"G-REQ-07712")</f>
        <v>G-REQ-07712</v>
      </c>
      <c r="B7713" s="11">
        <f>IFERROR(__xludf.DUMMYFUNCTION("""COMPUTED_VALUE"""),46305.666666666664)</f>
        <v>46305.66667</v>
      </c>
      <c r="C7713" s="9">
        <f>IFERROR(__xludf.DUMMYFUNCTION("""COMPUTED_VALUE"""),29192.0)</f>
        <v>29192</v>
      </c>
      <c r="D7713" s="9" t="str">
        <f>IFERROR(__xludf.DUMMYFUNCTION("""COMPUTED_VALUE"""),"Pending approval")</f>
        <v>Pending approval</v>
      </c>
    </row>
    <row r="7714">
      <c r="A7714" s="9" t="str">
        <f>IFERROR(__xludf.DUMMYFUNCTION("""COMPUTED_VALUE"""),"G-REQ-07713")</f>
        <v>G-REQ-07713</v>
      </c>
      <c r="B7714" s="11">
        <f>IFERROR(__xludf.DUMMYFUNCTION("""COMPUTED_VALUE"""),46305.69444444444)</f>
        <v>46305.69444</v>
      </c>
      <c r="C7714" s="9">
        <f>IFERROR(__xludf.DUMMYFUNCTION("""COMPUTED_VALUE"""),29195.0)</f>
        <v>29195</v>
      </c>
      <c r="D7714" s="9" t="str">
        <f>IFERROR(__xludf.DUMMYFUNCTION("""COMPUTED_VALUE"""),"In progress")</f>
        <v>In progress</v>
      </c>
    </row>
    <row r="7715">
      <c r="A7715" s="9" t="str">
        <f>IFERROR(__xludf.DUMMYFUNCTION("""COMPUTED_VALUE"""),"G-REQ-07714")</f>
        <v>G-REQ-07714</v>
      </c>
      <c r="B7715" s="11">
        <f>IFERROR(__xludf.DUMMYFUNCTION("""COMPUTED_VALUE"""),46305.708333333336)</f>
        <v>46305.70833</v>
      </c>
      <c r="C7715" s="9">
        <f>IFERROR(__xludf.DUMMYFUNCTION("""COMPUTED_VALUE"""),29196.0)</f>
        <v>29196</v>
      </c>
      <c r="D7715" s="9" t="str">
        <f>IFERROR(__xludf.DUMMYFUNCTION("""COMPUTED_VALUE"""),"Pending approval")</f>
        <v>Pending approval</v>
      </c>
    </row>
    <row r="7716">
      <c r="A7716" s="9" t="str">
        <f>IFERROR(__xludf.DUMMYFUNCTION("""COMPUTED_VALUE"""),"G-REQ-07715")</f>
        <v>G-REQ-07715</v>
      </c>
      <c r="B7716" s="11">
        <f>IFERROR(__xludf.DUMMYFUNCTION("""COMPUTED_VALUE"""),46305.73611111111)</f>
        <v>46305.73611</v>
      </c>
      <c r="C7716" s="9">
        <f>IFERROR(__xludf.DUMMYFUNCTION("""COMPUTED_VALUE"""),29199.0)</f>
        <v>29199</v>
      </c>
      <c r="D7716" s="9" t="str">
        <f>IFERROR(__xludf.DUMMYFUNCTION("""COMPUTED_VALUE"""),"In progress")</f>
        <v>In progress</v>
      </c>
    </row>
    <row r="7717">
      <c r="A7717" s="9" t="str">
        <f>IFERROR(__xludf.DUMMYFUNCTION("""COMPUTED_VALUE"""),"G-REQ-07716")</f>
        <v>G-REQ-07716</v>
      </c>
      <c r="B7717" s="11">
        <f>IFERROR(__xludf.DUMMYFUNCTION("""COMPUTED_VALUE"""),46305.74999999999)</f>
        <v>46305.75</v>
      </c>
      <c r="C7717" s="9">
        <f>IFERROR(__xludf.DUMMYFUNCTION("""COMPUTED_VALUE"""),29200.0)</f>
        <v>29200</v>
      </c>
      <c r="D7717" s="9" t="str">
        <f>IFERROR(__xludf.DUMMYFUNCTION("""COMPUTED_VALUE"""),"Pending approval")</f>
        <v>Pending approval</v>
      </c>
    </row>
    <row r="7718">
      <c r="A7718" s="9" t="str">
        <f>IFERROR(__xludf.DUMMYFUNCTION("""COMPUTED_VALUE"""),"G-REQ-07717")</f>
        <v>G-REQ-07717</v>
      </c>
      <c r="B7718" s="11">
        <f>IFERROR(__xludf.DUMMYFUNCTION("""COMPUTED_VALUE"""),46305.77777777778)</f>
        <v>46305.77778</v>
      </c>
      <c r="C7718" s="9">
        <f>IFERROR(__xludf.DUMMYFUNCTION("""COMPUTED_VALUE"""),29203.0)</f>
        <v>29203</v>
      </c>
      <c r="D7718" s="9" t="str">
        <f>IFERROR(__xludf.DUMMYFUNCTION("""COMPUTED_VALUE"""),"In progress")</f>
        <v>In progress</v>
      </c>
    </row>
    <row r="7719">
      <c r="A7719" s="9" t="str">
        <f>IFERROR(__xludf.DUMMYFUNCTION("""COMPUTED_VALUE"""),"G-REQ-07718")</f>
        <v>G-REQ-07718</v>
      </c>
      <c r="B7719" s="11">
        <f>IFERROR(__xludf.DUMMYFUNCTION("""COMPUTED_VALUE"""),46305.791666666664)</f>
        <v>46305.79167</v>
      </c>
      <c r="C7719" s="9">
        <f>IFERROR(__xludf.DUMMYFUNCTION("""COMPUTED_VALUE"""),29204.0)</f>
        <v>29204</v>
      </c>
      <c r="D7719" s="9" t="str">
        <f>IFERROR(__xludf.DUMMYFUNCTION("""COMPUTED_VALUE"""),"Pending approval")</f>
        <v>Pending approval</v>
      </c>
    </row>
    <row r="7720">
      <c r="A7720" s="9" t="str">
        <f>IFERROR(__xludf.DUMMYFUNCTION("""COMPUTED_VALUE"""),"G-REQ-07719")</f>
        <v>G-REQ-07719</v>
      </c>
      <c r="B7720" s="11">
        <f>IFERROR(__xludf.DUMMYFUNCTION("""COMPUTED_VALUE"""),46305.81944444444)</f>
        <v>46305.81944</v>
      </c>
      <c r="C7720" s="9">
        <f>IFERROR(__xludf.DUMMYFUNCTION("""COMPUTED_VALUE"""),29207.0)</f>
        <v>29207</v>
      </c>
      <c r="D7720" s="9" t="str">
        <f>IFERROR(__xludf.DUMMYFUNCTION("""COMPUTED_VALUE"""),"In progress")</f>
        <v>In progress</v>
      </c>
    </row>
    <row r="7721">
      <c r="A7721" s="9" t="str">
        <f>IFERROR(__xludf.DUMMYFUNCTION("""COMPUTED_VALUE"""),"G-REQ-07720")</f>
        <v>G-REQ-07720</v>
      </c>
      <c r="B7721" s="11">
        <f>IFERROR(__xludf.DUMMYFUNCTION("""COMPUTED_VALUE"""),46305.833333333336)</f>
        <v>46305.83333</v>
      </c>
      <c r="C7721" s="9">
        <f>IFERROR(__xludf.DUMMYFUNCTION("""COMPUTED_VALUE"""),29208.0)</f>
        <v>29208</v>
      </c>
      <c r="D7721" s="9" t="str">
        <f>IFERROR(__xludf.DUMMYFUNCTION("""COMPUTED_VALUE"""),"Pending approval")</f>
        <v>Pending approval</v>
      </c>
    </row>
    <row r="7722">
      <c r="A7722" s="9" t="str">
        <f>IFERROR(__xludf.DUMMYFUNCTION("""COMPUTED_VALUE"""),"G-REQ-07721")</f>
        <v>G-REQ-07721</v>
      </c>
      <c r="B7722" s="11">
        <f>IFERROR(__xludf.DUMMYFUNCTION("""COMPUTED_VALUE"""),46305.86111111111)</f>
        <v>46305.86111</v>
      </c>
      <c r="C7722" s="9">
        <f>IFERROR(__xludf.DUMMYFUNCTION("""COMPUTED_VALUE"""),29211.0)</f>
        <v>29211</v>
      </c>
      <c r="D7722" s="9" t="str">
        <f>IFERROR(__xludf.DUMMYFUNCTION("""COMPUTED_VALUE"""),"In progress")</f>
        <v>In progress</v>
      </c>
    </row>
    <row r="7723">
      <c r="A7723" s="9" t="str">
        <f>IFERROR(__xludf.DUMMYFUNCTION("""COMPUTED_VALUE"""),"G-REQ-07722")</f>
        <v>G-REQ-07722</v>
      </c>
      <c r="B7723" s="11">
        <f>IFERROR(__xludf.DUMMYFUNCTION("""COMPUTED_VALUE"""),46305.87499999999)</f>
        <v>46305.875</v>
      </c>
      <c r="C7723" s="9">
        <f>IFERROR(__xludf.DUMMYFUNCTION("""COMPUTED_VALUE"""),29212.0)</f>
        <v>29212</v>
      </c>
      <c r="D7723" s="9" t="str">
        <f>IFERROR(__xludf.DUMMYFUNCTION("""COMPUTED_VALUE"""),"Pending approval")</f>
        <v>Pending approval</v>
      </c>
    </row>
    <row r="7724">
      <c r="A7724" s="9" t="str">
        <f>IFERROR(__xludf.DUMMYFUNCTION("""COMPUTED_VALUE"""),"G-REQ-07723")</f>
        <v>G-REQ-07723</v>
      </c>
      <c r="B7724" s="11">
        <f>IFERROR(__xludf.DUMMYFUNCTION("""COMPUTED_VALUE"""),46305.90277777778)</f>
        <v>46305.90278</v>
      </c>
      <c r="C7724" s="9">
        <f>IFERROR(__xludf.DUMMYFUNCTION("""COMPUTED_VALUE"""),29215.0)</f>
        <v>29215</v>
      </c>
      <c r="D7724" s="9" t="str">
        <f>IFERROR(__xludf.DUMMYFUNCTION("""COMPUTED_VALUE"""),"In progress")</f>
        <v>In progress</v>
      </c>
    </row>
    <row r="7725">
      <c r="A7725" s="9" t="str">
        <f>IFERROR(__xludf.DUMMYFUNCTION("""COMPUTED_VALUE"""),"G-REQ-07724")</f>
        <v>G-REQ-07724</v>
      </c>
      <c r="B7725" s="11">
        <f>IFERROR(__xludf.DUMMYFUNCTION("""COMPUTED_VALUE"""),46305.916666666664)</f>
        <v>46305.91667</v>
      </c>
      <c r="C7725" s="9">
        <f>IFERROR(__xludf.DUMMYFUNCTION("""COMPUTED_VALUE"""),29216.0)</f>
        <v>29216</v>
      </c>
      <c r="D7725" s="9" t="str">
        <f>IFERROR(__xludf.DUMMYFUNCTION("""COMPUTED_VALUE"""),"Pending approval")</f>
        <v>Pending approval</v>
      </c>
    </row>
    <row r="7726">
      <c r="A7726" s="9" t="str">
        <f>IFERROR(__xludf.DUMMYFUNCTION("""COMPUTED_VALUE"""),"G-REQ-07725")</f>
        <v>G-REQ-07725</v>
      </c>
      <c r="B7726" s="11">
        <f>IFERROR(__xludf.DUMMYFUNCTION("""COMPUTED_VALUE"""),46305.94444444444)</f>
        <v>46305.94444</v>
      </c>
      <c r="C7726" s="9">
        <f>IFERROR(__xludf.DUMMYFUNCTION("""COMPUTED_VALUE"""),29219.0)</f>
        <v>29219</v>
      </c>
      <c r="D7726" s="9" t="str">
        <f>IFERROR(__xludf.DUMMYFUNCTION("""COMPUTED_VALUE"""),"In progress")</f>
        <v>In progress</v>
      </c>
    </row>
    <row r="7727">
      <c r="A7727" s="9" t="str">
        <f>IFERROR(__xludf.DUMMYFUNCTION("""COMPUTED_VALUE"""),"G-REQ-07726")</f>
        <v>G-REQ-07726</v>
      </c>
      <c r="B7727" s="11">
        <f>IFERROR(__xludf.DUMMYFUNCTION("""COMPUTED_VALUE"""),46305.958333333336)</f>
        <v>46305.95833</v>
      </c>
      <c r="C7727" s="9">
        <f>IFERROR(__xludf.DUMMYFUNCTION("""COMPUTED_VALUE"""),29220.0)</f>
        <v>29220</v>
      </c>
      <c r="D7727" s="9" t="str">
        <f>IFERROR(__xludf.DUMMYFUNCTION("""COMPUTED_VALUE"""),"Pending approval")</f>
        <v>Pending approval</v>
      </c>
    </row>
    <row r="7728">
      <c r="A7728" s="9" t="str">
        <f>IFERROR(__xludf.DUMMYFUNCTION("""COMPUTED_VALUE"""),"G-REQ-07727")</f>
        <v>G-REQ-07727</v>
      </c>
      <c r="B7728" s="11">
        <f>IFERROR(__xludf.DUMMYFUNCTION("""COMPUTED_VALUE"""),46305.98611111111)</f>
        <v>46305.98611</v>
      </c>
      <c r="C7728" s="9">
        <f>IFERROR(__xludf.DUMMYFUNCTION("""COMPUTED_VALUE"""),29223.0)</f>
        <v>29223</v>
      </c>
      <c r="D7728" s="9" t="str">
        <f>IFERROR(__xludf.DUMMYFUNCTION("""COMPUTED_VALUE"""),"In progress")</f>
        <v>In progress</v>
      </c>
    </row>
    <row r="7729">
      <c r="A7729" s="9" t="str">
        <f>IFERROR(__xludf.DUMMYFUNCTION("""COMPUTED_VALUE"""),"G-REQ-07728")</f>
        <v>G-REQ-07728</v>
      </c>
      <c r="B7729" s="11">
        <f>IFERROR(__xludf.DUMMYFUNCTION("""COMPUTED_VALUE"""),46305.99999999999)</f>
        <v>46306</v>
      </c>
      <c r="C7729" s="9">
        <f>IFERROR(__xludf.DUMMYFUNCTION("""COMPUTED_VALUE"""),29224.0)</f>
        <v>29224</v>
      </c>
      <c r="D7729" s="9" t="str">
        <f>IFERROR(__xludf.DUMMYFUNCTION("""COMPUTED_VALUE"""),"Pending approval")</f>
        <v>Pending approval</v>
      </c>
    </row>
    <row r="7730">
      <c r="A7730" s="9" t="str">
        <f>IFERROR(__xludf.DUMMYFUNCTION("""COMPUTED_VALUE"""),"G-REQ-07729")</f>
        <v>G-REQ-07729</v>
      </c>
      <c r="B7730" s="11">
        <f>IFERROR(__xludf.DUMMYFUNCTION("""COMPUTED_VALUE"""),46306.02777777778)</f>
        <v>46306.02778</v>
      </c>
      <c r="C7730" s="9">
        <f>IFERROR(__xludf.DUMMYFUNCTION("""COMPUTED_VALUE"""),29227.0)</f>
        <v>29227</v>
      </c>
      <c r="D7730" s="9" t="str">
        <f>IFERROR(__xludf.DUMMYFUNCTION("""COMPUTED_VALUE"""),"In progress")</f>
        <v>In progress</v>
      </c>
    </row>
    <row r="7731">
      <c r="A7731" s="9" t="str">
        <f>IFERROR(__xludf.DUMMYFUNCTION("""COMPUTED_VALUE"""),"G-REQ-07730")</f>
        <v>G-REQ-07730</v>
      </c>
      <c r="B7731" s="11">
        <f>IFERROR(__xludf.DUMMYFUNCTION("""COMPUTED_VALUE"""),46306.041666666664)</f>
        <v>46306.04167</v>
      </c>
      <c r="C7731" s="9">
        <f>IFERROR(__xludf.DUMMYFUNCTION("""COMPUTED_VALUE"""),29228.0)</f>
        <v>29228</v>
      </c>
      <c r="D7731" s="9" t="str">
        <f>IFERROR(__xludf.DUMMYFUNCTION("""COMPUTED_VALUE"""),"Pending approval")</f>
        <v>Pending approval</v>
      </c>
    </row>
    <row r="7732">
      <c r="A7732" s="9" t="str">
        <f>IFERROR(__xludf.DUMMYFUNCTION("""COMPUTED_VALUE"""),"G-REQ-07731")</f>
        <v>G-REQ-07731</v>
      </c>
      <c r="B7732" s="11">
        <f>IFERROR(__xludf.DUMMYFUNCTION("""COMPUTED_VALUE"""),46306.06944444444)</f>
        <v>46306.06944</v>
      </c>
      <c r="C7732" s="9">
        <f>IFERROR(__xludf.DUMMYFUNCTION("""COMPUTED_VALUE"""),29231.0)</f>
        <v>29231</v>
      </c>
      <c r="D7732" s="9" t="str">
        <f>IFERROR(__xludf.DUMMYFUNCTION("""COMPUTED_VALUE"""),"In progress")</f>
        <v>In progress</v>
      </c>
    </row>
    <row r="7733">
      <c r="A7733" s="9" t="str">
        <f>IFERROR(__xludf.DUMMYFUNCTION("""COMPUTED_VALUE"""),"G-REQ-07732")</f>
        <v>G-REQ-07732</v>
      </c>
      <c r="B7733" s="11">
        <f>IFERROR(__xludf.DUMMYFUNCTION("""COMPUTED_VALUE"""),46306.083333333336)</f>
        <v>46306.08333</v>
      </c>
      <c r="C7733" s="9">
        <f>IFERROR(__xludf.DUMMYFUNCTION("""COMPUTED_VALUE"""),29232.0)</f>
        <v>29232</v>
      </c>
      <c r="D7733" s="9" t="str">
        <f>IFERROR(__xludf.DUMMYFUNCTION("""COMPUTED_VALUE"""),"Pending approval")</f>
        <v>Pending approval</v>
      </c>
    </row>
    <row r="7734">
      <c r="A7734" s="9" t="str">
        <f>IFERROR(__xludf.DUMMYFUNCTION("""COMPUTED_VALUE"""),"G-REQ-07733")</f>
        <v>G-REQ-07733</v>
      </c>
      <c r="B7734" s="11">
        <f>IFERROR(__xludf.DUMMYFUNCTION("""COMPUTED_VALUE"""),46306.11111111111)</f>
        <v>46306.11111</v>
      </c>
      <c r="C7734" s="9">
        <f>IFERROR(__xludf.DUMMYFUNCTION("""COMPUTED_VALUE"""),29235.0)</f>
        <v>29235</v>
      </c>
      <c r="D7734" s="9" t="str">
        <f>IFERROR(__xludf.DUMMYFUNCTION("""COMPUTED_VALUE"""),"In progress")</f>
        <v>In progress</v>
      </c>
    </row>
    <row r="7735">
      <c r="A7735" s="9" t="str">
        <f>IFERROR(__xludf.DUMMYFUNCTION("""COMPUTED_VALUE"""),"G-REQ-07734")</f>
        <v>G-REQ-07734</v>
      </c>
      <c r="B7735" s="11">
        <f>IFERROR(__xludf.DUMMYFUNCTION("""COMPUTED_VALUE"""),46306.12499999999)</f>
        <v>46306.125</v>
      </c>
      <c r="C7735" s="9">
        <f>IFERROR(__xludf.DUMMYFUNCTION("""COMPUTED_VALUE"""),29236.0)</f>
        <v>29236</v>
      </c>
      <c r="D7735" s="9" t="str">
        <f>IFERROR(__xludf.DUMMYFUNCTION("""COMPUTED_VALUE"""),"Pending approval")</f>
        <v>Pending approval</v>
      </c>
    </row>
    <row r="7736">
      <c r="A7736" s="9" t="str">
        <f>IFERROR(__xludf.DUMMYFUNCTION("""COMPUTED_VALUE"""),"G-REQ-07735")</f>
        <v>G-REQ-07735</v>
      </c>
      <c r="B7736" s="11">
        <f>IFERROR(__xludf.DUMMYFUNCTION("""COMPUTED_VALUE"""),46306.15277777778)</f>
        <v>46306.15278</v>
      </c>
      <c r="C7736" s="9">
        <f>IFERROR(__xludf.DUMMYFUNCTION("""COMPUTED_VALUE"""),29239.0)</f>
        <v>29239</v>
      </c>
      <c r="D7736" s="9" t="str">
        <f>IFERROR(__xludf.DUMMYFUNCTION("""COMPUTED_VALUE"""),"In progress")</f>
        <v>In progress</v>
      </c>
    </row>
    <row r="7737">
      <c r="A7737" s="9" t="str">
        <f>IFERROR(__xludf.DUMMYFUNCTION("""COMPUTED_VALUE"""),"G-REQ-07736")</f>
        <v>G-REQ-07736</v>
      </c>
      <c r="B7737" s="11">
        <f>IFERROR(__xludf.DUMMYFUNCTION("""COMPUTED_VALUE"""),46306.166666666664)</f>
        <v>46306.16667</v>
      </c>
      <c r="C7737" s="9">
        <f>IFERROR(__xludf.DUMMYFUNCTION("""COMPUTED_VALUE"""),29240.0)</f>
        <v>29240</v>
      </c>
      <c r="D7737" s="9" t="str">
        <f>IFERROR(__xludf.DUMMYFUNCTION("""COMPUTED_VALUE"""),"Pending approval")</f>
        <v>Pending approval</v>
      </c>
    </row>
    <row r="7738">
      <c r="A7738" s="9" t="str">
        <f>IFERROR(__xludf.DUMMYFUNCTION("""COMPUTED_VALUE"""),"G-REQ-07737")</f>
        <v>G-REQ-07737</v>
      </c>
      <c r="B7738" s="11">
        <f>IFERROR(__xludf.DUMMYFUNCTION("""COMPUTED_VALUE"""),46306.19444444444)</f>
        <v>46306.19444</v>
      </c>
      <c r="C7738" s="9">
        <f>IFERROR(__xludf.DUMMYFUNCTION("""COMPUTED_VALUE"""),29243.0)</f>
        <v>29243</v>
      </c>
      <c r="D7738" s="9" t="str">
        <f>IFERROR(__xludf.DUMMYFUNCTION("""COMPUTED_VALUE"""),"In progress")</f>
        <v>In progress</v>
      </c>
    </row>
    <row r="7739">
      <c r="A7739" s="9" t="str">
        <f>IFERROR(__xludf.DUMMYFUNCTION("""COMPUTED_VALUE"""),"G-REQ-07738")</f>
        <v>G-REQ-07738</v>
      </c>
      <c r="B7739" s="11">
        <f>IFERROR(__xludf.DUMMYFUNCTION("""COMPUTED_VALUE"""),46306.208333333336)</f>
        <v>46306.20833</v>
      </c>
      <c r="C7739" s="9">
        <f>IFERROR(__xludf.DUMMYFUNCTION("""COMPUTED_VALUE"""),29244.0)</f>
        <v>29244</v>
      </c>
      <c r="D7739" s="9" t="str">
        <f>IFERROR(__xludf.DUMMYFUNCTION("""COMPUTED_VALUE"""),"Pending approval")</f>
        <v>Pending approval</v>
      </c>
    </row>
    <row r="7740">
      <c r="A7740" s="9" t="str">
        <f>IFERROR(__xludf.DUMMYFUNCTION("""COMPUTED_VALUE"""),"G-REQ-07739")</f>
        <v>G-REQ-07739</v>
      </c>
      <c r="B7740" s="11">
        <f>IFERROR(__xludf.DUMMYFUNCTION("""COMPUTED_VALUE"""),46306.23611111111)</f>
        <v>46306.23611</v>
      </c>
      <c r="C7740" s="9">
        <f>IFERROR(__xludf.DUMMYFUNCTION("""COMPUTED_VALUE"""),29247.0)</f>
        <v>29247</v>
      </c>
      <c r="D7740" s="9" t="str">
        <f>IFERROR(__xludf.DUMMYFUNCTION("""COMPUTED_VALUE"""),"In progress")</f>
        <v>In progress</v>
      </c>
    </row>
    <row r="7741">
      <c r="A7741" s="9" t="str">
        <f>IFERROR(__xludf.DUMMYFUNCTION("""COMPUTED_VALUE"""),"G-REQ-07740")</f>
        <v>G-REQ-07740</v>
      </c>
      <c r="B7741" s="11">
        <f>IFERROR(__xludf.DUMMYFUNCTION("""COMPUTED_VALUE"""),46306.24999999999)</f>
        <v>46306.25</v>
      </c>
      <c r="C7741" s="9">
        <f>IFERROR(__xludf.DUMMYFUNCTION("""COMPUTED_VALUE"""),29248.0)</f>
        <v>29248</v>
      </c>
      <c r="D7741" s="9" t="str">
        <f>IFERROR(__xludf.DUMMYFUNCTION("""COMPUTED_VALUE"""),"Pending approval")</f>
        <v>Pending approval</v>
      </c>
    </row>
    <row r="7742">
      <c r="A7742" s="9" t="str">
        <f>IFERROR(__xludf.DUMMYFUNCTION("""COMPUTED_VALUE"""),"G-REQ-07741")</f>
        <v>G-REQ-07741</v>
      </c>
      <c r="B7742" s="11">
        <f>IFERROR(__xludf.DUMMYFUNCTION("""COMPUTED_VALUE"""),46306.27777777778)</f>
        <v>46306.27778</v>
      </c>
      <c r="C7742" s="9">
        <f>IFERROR(__xludf.DUMMYFUNCTION("""COMPUTED_VALUE"""),29251.0)</f>
        <v>29251</v>
      </c>
      <c r="D7742" s="9" t="str">
        <f>IFERROR(__xludf.DUMMYFUNCTION("""COMPUTED_VALUE"""),"In progress")</f>
        <v>In progress</v>
      </c>
    </row>
    <row r="7743">
      <c r="A7743" s="9" t="str">
        <f>IFERROR(__xludf.DUMMYFUNCTION("""COMPUTED_VALUE"""),"G-REQ-07742")</f>
        <v>G-REQ-07742</v>
      </c>
      <c r="B7743" s="11">
        <f>IFERROR(__xludf.DUMMYFUNCTION("""COMPUTED_VALUE"""),46306.291666666664)</f>
        <v>46306.29167</v>
      </c>
      <c r="C7743" s="9">
        <f>IFERROR(__xludf.DUMMYFUNCTION("""COMPUTED_VALUE"""),29252.0)</f>
        <v>29252</v>
      </c>
      <c r="D7743" s="9" t="str">
        <f>IFERROR(__xludf.DUMMYFUNCTION("""COMPUTED_VALUE"""),"Pending approval")</f>
        <v>Pending approval</v>
      </c>
    </row>
    <row r="7744">
      <c r="A7744" s="9" t="str">
        <f>IFERROR(__xludf.DUMMYFUNCTION("""COMPUTED_VALUE"""),"G-REQ-07743")</f>
        <v>G-REQ-07743</v>
      </c>
      <c r="B7744" s="11">
        <f>IFERROR(__xludf.DUMMYFUNCTION("""COMPUTED_VALUE"""),46306.31944444444)</f>
        <v>46306.31944</v>
      </c>
      <c r="C7744" s="9">
        <f>IFERROR(__xludf.DUMMYFUNCTION("""COMPUTED_VALUE"""),29255.0)</f>
        <v>29255</v>
      </c>
      <c r="D7744" s="9" t="str">
        <f>IFERROR(__xludf.DUMMYFUNCTION("""COMPUTED_VALUE"""),"In progress")</f>
        <v>In progress</v>
      </c>
    </row>
    <row r="7745">
      <c r="A7745" s="9" t="str">
        <f>IFERROR(__xludf.DUMMYFUNCTION("""COMPUTED_VALUE"""),"G-REQ-07744")</f>
        <v>G-REQ-07744</v>
      </c>
      <c r="B7745" s="11">
        <f>IFERROR(__xludf.DUMMYFUNCTION("""COMPUTED_VALUE"""),46306.333333333336)</f>
        <v>46306.33333</v>
      </c>
      <c r="C7745" s="9">
        <f>IFERROR(__xludf.DUMMYFUNCTION("""COMPUTED_VALUE"""),29256.0)</f>
        <v>29256</v>
      </c>
      <c r="D7745" s="9" t="str">
        <f>IFERROR(__xludf.DUMMYFUNCTION("""COMPUTED_VALUE"""),"Pending approval")</f>
        <v>Pending approval</v>
      </c>
    </row>
    <row r="7746">
      <c r="A7746" s="9" t="str">
        <f>IFERROR(__xludf.DUMMYFUNCTION("""COMPUTED_VALUE"""),"G-REQ-07745")</f>
        <v>G-REQ-07745</v>
      </c>
      <c r="B7746" s="11">
        <f>IFERROR(__xludf.DUMMYFUNCTION("""COMPUTED_VALUE"""),46306.36111111111)</f>
        <v>46306.36111</v>
      </c>
      <c r="C7746" s="9">
        <f>IFERROR(__xludf.DUMMYFUNCTION("""COMPUTED_VALUE"""),29259.0)</f>
        <v>29259</v>
      </c>
      <c r="D7746" s="9" t="str">
        <f>IFERROR(__xludf.DUMMYFUNCTION("""COMPUTED_VALUE"""),"In progress")</f>
        <v>In progress</v>
      </c>
    </row>
    <row r="7747">
      <c r="A7747" s="9" t="str">
        <f>IFERROR(__xludf.DUMMYFUNCTION("""COMPUTED_VALUE"""),"G-REQ-07746")</f>
        <v>G-REQ-07746</v>
      </c>
      <c r="B7747" s="11">
        <f>IFERROR(__xludf.DUMMYFUNCTION("""COMPUTED_VALUE"""),46306.37499999999)</f>
        <v>46306.375</v>
      </c>
      <c r="C7747" s="9">
        <f>IFERROR(__xludf.DUMMYFUNCTION("""COMPUTED_VALUE"""),29260.0)</f>
        <v>29260</v>
      </c>
      <c r="D7747" s="9" t="str">
        <f>IFERROR(__xludf.DUMMYFUNCTION("""COMPUTED_VALUE"""),"Pending approval")</f>
        <v>Pending approval</v>
      </c>
    </row>
    <row r="7748">
      <c r="A7748" s="9" t="str">
        <f>IFERROR(__xludf.DUMMYFUNCTION("""COMPUTED_VALUE"""),"G-REQ-07747")</f>
        <v>G-REQ-07747</v>
      </c>
      <c r="B7748" s="11">
        <f>IFERROR(__xludf.DUMMYFUNCTION("""COMPUTED_VALUE"""),46306.40277777778)</f>
        <v>46306.40278</v>
      </c>
      <c r="C7748" s="9">
        <f>IFERROR(__xludf.DUMMYFUNCTION("""COMPUTED_VALUE"""),29263.0)</f>
        <v>29263</v>
      </c>
      <c r="D7748" s="9" t="str">
        <f>IFERROR(__xludf.DUMMYFUNCTION("""COMPUTED_VALUE"""),"In progress")</f>
        <v>In progress</v>
      </c>
    </row>
    <row r="7749">
      <c r="A7749" s="9" t="str">
        <f>IFERROR(__xludf.DUMMYFUNCTION("""COMPUTED_VALUE"""),"G-REQ-07748")</f>
        <v>G-REQ-07748</v>
      </c>
      <c r="B7749" s="11">
        <f>IFERROR(__xludf.DUMMYFUNCTION("""COMPUTED_VALUE"""),46306.416666666664)</f>
        <v>46306.41667</v>
      </c>
      <c r="C7749" s="9">
        <f>IFERROR(__xludf.DUMMYFUNCTION("""COMPUTED_VALUE"""),29264.0)</f>
        <v>29264</v>
      </c>
      <c r="D7749" s="9" t="str">
        <f>IFERROR(__xludf.DUMMYFUNCTION("""COMPUTED_VALUE"""),"Pending approval")</f>
        <v>Pending approval</v>
      </c>
    </row>
    <row r="7750">
      <c r="A7750" s="9" t="str">
        <f>IFERROR(__xludf.DUMMYFUNCTION("""COMPUTED_VALUE"""),"G-REQ-07749")</f>
        <v>G-REQ-07749</v>
      </c>
      <c r="B7750" s="11">
        <f>IFERROR(__xludf.DUMMYFUNCTION("""COMPUTED_VALUE"""),46306.44444444444)</f>
        <v>46306.44444</v>
      </c>
      <c r="C7750" s="9">
        <f>IFERROR(__xludf.DUMMYFUNCTION("""COMPUTED_VALUE"""),29267.0)</f>
        <v>29267</v>
      </c>
      <c r="D7750" s="9" t="str">
        <f>IFERROR(__xludf.DUMMYFUNCTION("""COMPUTED_VALUE"""),"In progress")</f>
        <v>In progress</v>
      </c>
    </row>
    <row r="7751">
      <c r="A7751" s="9" t="str">
        <f>IFERROR(__xludf.DUMMYFUNCTION("""COMPUTED_VALUE"""),"G-REQ-07750")</f>
        <v>G-REQ-07750</v>
      </c>
      <c r="B7751" s="11">
        <f>IFERROR(__xludf.DUMMYFUNCTION("""COMPUTED_VALUE"""),46306.458333333336)</f>
        <v>46306.45833</v>
      </c>
      <c r="C7751" s="9">
        <f>IFERROR(__xludf.DUMMYFUNCTION("""COMPUTED_VALUE"""),29268.0)</f>
        <v>29268</v>
      </c>
      <c r="D7751" s="9" t="str">
        <f>IFERROR(__xludf.DUMMYFUNCTION("""COMPUTED_VALUE"""),"Pending approval")</f>
        <v>Pending approval</v>
      </c>
    </row>
    <row r="7752">
      <c r="A7752" s="9" t="str">
        <f>IFERROR(__xludf.DUMMYFUNCTION("""COMPUTED_VALUE"""),"G-REQ-07751")</f>
        <v>G-REQ-07751</v>
      </c>
      <c r="B7752" s="11">
        <f>IFERROR(__xludf.DUMMYFUNCTION("""COMPUTED_VALUE"""),46306.48611111111)</f>
        <v>46306.48611</v>
      </c>
      <c r="C7752" s="9">
        <f>IFERROR(__xludf.DUMMYFUNCTION("""COMPUTED_VALUE"""),29271.0)</f>
        <v>29271</v>
      </c>
      <c r="D7752" s="9" t="str">
        <f>IFERROR(__xludf.DUMMYFUNCTION("""COMPUTED_VALUE"""),"In progress")</f>
        <v>In progress</v>
      </c>
    </row>
    <row r="7753">
      <c r="A7753" s="9" t="str">
        <f>IFERROR(__xludf.DUMMYFUNCTION("""COMPUTED_VALUE"""),"G-REQ-07752")</f>
        <v>G-REQ-07752</v>
      </c>
      <c r="B7753" s="11">
        <f>IFERROR(__xludf.DUMMYFUNCTION("""COMPUTED_VALUE"""),46306.49999999999)</f>
        <v>46306.5</v>
      </c>
      <c r="C7753" s="9">
        <f>IFERROR(__xludf.DUMMYFUNCTION("""COMPUTED_VALUE"""),29272.0)</f>
        <v>29272</v>
      </c>
      <c r="D7753" s="9" t="str">
        <f>IFERROR(__xludf.DUMMYFUNCTION("""COMPUTED_VALUE"""),"Pending approval")</f>
        <v>Pending approval</v>
      </c>
    </row>
    <row r="7754">
      <c r="A7754" s="9" t="str">
        <f>IFERROR(__xludf.DUMMYFUNCTION("""COMPUTED_VALUE"""),"G-REQ-07753")</f>
        <v>G-REQ-07753</v>
      </c>
      <c r="B7754" s="11">
        <f>IFERROR(__xludf.DUMMYFUNCTION("""COMPUTED_VALUE"""),46306.52777777778)</f>
        <v>46306.52778</v>
      </c>
      <c r="C7754" s="9">
        <f>IFERROR(__xludf.DUMMYFUNCTION("""COMPUTED_VALUE"""),29275.0)</f>
        <v>29275</v>
      </c>
      <c r="D7754" s="9" t="str">
        <f>IFERROR(__xludf.DUMMYFUNCTION("""COMPUTED_VALUE"""),"In progress")</f>
        <v>In progress</v>
      </c>
    </row>
    <row r="7755">
      <c r="A7755" s="9" t="str">
        <f>IFERROR(__xludf.DUMMYFUNCTION("""COMPUTED_VALUE"""),"G-REQ-07754")</f>
        <v>G-REQ-07754</v>
      </c>
      <c r="B7755" s="11">
        <f>IFERROR(__xludf.DUMMYFUNCTION("""COMPUTED_VALUE"""),46306.541666666664)</f>
        <v>46306.54167</v>
      </c>
      <c r="C7755" s="9">
        <f>IFERROR(__xludf.DUMMYFUNCTION("""COMPUTED_VALUE"""),29276.0)</f>
        <v>29276</v>
      </c>
      <c r="D7755" s="9" t="str">
        <f>IFERROR(__xludf.DUMMYFUNCTION("""COMPUTED_VALUE"""),"Pending approval")</f>
        <v>Pending approval</v>
      </c>
    </row>
    <row r="7756">
      <c r="A7756" s="9" t="str">
        <f>IFERROR(__xludf.DUMMYFUNCTION("""COMPUTED_VALUE"""),"G-REQ-07755")</f>
        <v>G-REQ-07755</v>
      </c>
      <c r="B7756" s="11">
        <f>IFERROR(__xludf.DUMMYFUNCTION("""COMPUTED_VALUE"""),46306.56944444444)</f>
        <v>46306.56944</v>
      </c>
      <c r="C7756" s="9">
        <f>IFERROR(__xludf.DUMMYFUNCTION("""COMPUTED_VALUE"""),29279.0)</f>
        <v>29279</v>
      </c>
      <c r="D7756" s="9" t="str">
        <f>IFERROR(__xludf.DUMMYFUNCTION("""COMPUTED_VALUE"""),"In progress")</f>
        <v>In progress</v>
      </c>
    </row>
    <row r="7757">
      <c r="A7757" s="9" t="str">
        <f>IFERROR(__xludf.DUMMYFUNCTION("""COMPUTED_VALUE"""),"G-REQ-07756")</f>
        <v>G-REQ-07756</v>
      </c>
      <c r="B7757" s="11">
        <f>IFERROR(__xludf.DUMMYFUNCTION("""COMPUTED_VALUE"""),46306.583333333336)</f>
        <v>46306.58333</v>
      </c>
      <c r="C7757" s="9">
        <f>IFERROR(__xludf.DUMMYFUNCTION("""COMPUTED_VALUE"""),29280.0)</f>
        <v>29280</v>
      </c>
      <c r="D7757" s="9" t="str">
        <f>IFERROR(__xludf.DUMMYFUNCTION("""COMPUTED_VALUE"""),"Pending approval")</f>
        <v>Pending approval</v>
      </c>
    </row>
    <row r="7758">
      <c r="A7758" s="9" t="str">
        <f>IFERROR(__xludf.DUMMYFUNCTION("""COMPUTED_VALUE"""),"G-REQ-07757")</f>
        <v>G-REQ-07757</v>
      </c>
      <c r="B7758" s="11">
        <f>IFERROR(__xludf.DUMMYFUNCTION("""COMPUTED_VALUE"""),46306.61111111111)</f>
        <v>46306.61111</v>
      </c>
      <c r="C7758" s="9">
        <f>IFERROR(__xludf.DUMMYFUNCTION("""COMPUTED_VALUE"""),29283.0)</f>
        <v>29283</v>
      </c>
      <c r="D7758" s="9" t="str">
        <f>IFERROR(__xludf.DUMMYFUNCTION("""COMPUTED_VALUE"""),"In progress")</f>
        <v>In progress</v>
      </c>
    </row>
    <row r="7759">
      <c r="A7759" s="9" t="str">
        <f>IFERROR(__xludf.DUMMYFUNCTION("""COMPUTED_VALUE"""),"G-REQ-07758")</f>
        <v>G-REQ-07758</v>
      </c>
      <c r="B7759" s="11">
        <f>IFERROR(__xludf.DUMMYFUNCTION("""COMPUTED_VALUE"""),46306.62499999999)</f>
        <v>46306.625</v>
      </c>
      <c r="C7759" s="9">
        <f>IFERROR(__xludf.DUMMYFUNCTION("""COMPUTED_VALUE"""),29284.0)</f>
        <v>29284</v>
      </c>
      <c r="D7759" s="9" t="str">
        <f>IFERROR(__xludf.DUMMYFUNCTION("""COMPUTED_VALUE"""),"Pending approval")</f>
        <v>Pending approval</v>
      </c>
    </row>
    <row r="7760">
      <c r="A7760" s="9" t="str">
        <f>IFERROR(__xludf.DUMMYFUNCTION("""COMPUTED_VALUE"""),"G-REQ-07759")</f>
        <v>G-REQ-07759</v>
      </c>
      <c r="B7760" s="11">
        <f>IFERROR(__xludf.DUMMYFUNCTION("""COMPUTED_VALUE"""),46306.65277777778)</f>
        <v>46306.65278</v>
      </c>
      <c r="C7760" s="9">
        <f>IFERROR(__xludf.DUMMYFUNCTION("""COMPUTED_VALUE"""),29287.0)</f>
        <v>29287</v>
      </c>
      <c r="D7760" s="9" t="str">
        <f>IFERROR(__xludf.DUMMYFUNCTION("""COMPUTED_VALUE"""),"In progress")</f>
        <v>In progress</v>
      </c>
    </row>
    <row r="7761">
      <c r="A7761" s="9" t="str">
        <f>IFERROR(__xludf.DUMMYFUNCTION("""COMPUTED_VALUE"""),"G-REQ-07760")</f>
        <v>G-REQ-07760</v>
      </c>
      <c r="B7761" s="11">
        <f>IFERROR(__xludf.DUMMYFUNCTION("""COMPUTED_VALUE"""),46306.666666666664)</f>
        <v>46306.66667</v>
      </c>
      <c r="C7761" s="9">
        <f>IFERROR(__xludf.DUMMYFUNCTION("""COMPUTED_VALUE"""),29288.0)</f>
        <v>29288</v>
      </c>
      <c r="D7761" s="9" t="str">
        <f>IFERROR(__xludf.DUMMYFUNCTION("""COMPUTED_VALUE"""),"Pending approval")</f>
        <v>Pending approval</v>
      </c>
    </row>
    <row r="7762">
      <c r="A7762" s="9" t="str">
        <f>IFERROR(__xludf.DUMMYFUNCTION("""COMPUTED_VALUE"""),"G-REQ-07761")</f>
        <v>G-REQ-07761</v>
      </c>
      <c r="B7762" s="11">
        <f>IFERROR(__xludf.DUMMYFUNCTION("""COMPUTED_VALUE"""),46306.69444444444)</f>
        <v>46306.69444</v>
      </c>
      <c r="C7762" s="9">
        <f>IFERROR(__xludf.DUMMYFUNCTION("""COMPUTED_VALUE"""),29291.0)</f>
        <v>29291</v>
      </c>
      <c r="D7762" s="9" t="str">
        <f>IFERROR(__xludf.DUMMYFUNCTION("""COMPUTED_VALUE"""),"In progress")</f>
        <v>In progress</v>
      </c>
    </row>
    <row r="7763">
      <c r="A7763" s="9" t="str">
        <f>IFERROR(__xludf.DUMMYFUNCTION("""COMPUTED_VALUE"""),"G-REQ-07762")</f>
        <v>G-REQ-07762</v>
      </c>
      <c r="B7763" s="11">
        <f>IFERROR(__xludf.DUMMYFUNCTION("""COMPUTED_VALUE"""),46306.708333333336)</f>
        <v>46306.70833</v>
      </c>
      <c r="C7763" s="9">
        <f>IFERROR(__xludf.DUMMYFUNCTION("""COMPUTED_VALUE"""),29292.0)</f>
        <v>29292</v>
      </c>
      <c r="D7763" s="9" t="str">
        <f>IFERROR(__xludf.DUMMYFUNCTION("""COMPUTED_VALUE"""),"Pending approval")</f>
        <v>Pending approval</v>
      </c>
    </row>
    <row r="7764">
      <c r="A7764" s="9" t="str">
        <f>IFERROR(__xludf.DUMMYFUNCTION("""COMPUTED_VALUE"""),"G-REQ-07763")</f>
        <v>G-REQ-07763</v>
      </c>
      <c r="B7764" s="11">
        <f>IFERROR(__xludf.DUMMYFUNCTION("""COMPUTED_VALUE"""),46306.73611111111)</f>
        <v>46306.73611</v>
      </c>
      <c r="C7764" s="9">
        <f>IFERROR(__xludf.DUMMYFUNCTION("""COMPUTED_VALUE"""),29295.0)</f>
        <v>29295</v>
      </c>
      <c r="D7764" s="9" t="str">
        <f>IFERROR(__xludf.DUMMYFUNCTION("""COMPUTED_VALUE"""),"In progress")</f>
        <v>In progress</v>
      </c>
    </row>
    <row r="7765">
      <c r="A7765" s="9" t="str">
        <f>IFERROR(__xludf.DUMMYFUNCTION("""COMPUTED_VALUE"""),"G-REQ-07764")</f>
        <v>G-REQ-07764</v>
      </c>
      <c r="B7765" s="11">
        <f>IFERROR(__xludf.DUMMYFUNCTION("""COMPUTED_VALUE"""),46306.74999999999)</f>
        <v>46306.75</v>
      </c>
      <c r="C7765" s="9">
        <f>IFERROR(__xludf.DUMMYFUNCTION("""COMPUTED_VALUE"""),29296.0)</f>
        <v>29296</v>
      </c>
      <c r="D7765" s="9" t="str">
        <f>IFERROR(__xludf.DUMMYFUNCTION("""COMPUTED_VALUE"""),"Pending approval")</f>
        <v>Pending approval</v>
      </c>
    </row>
    <row r="7766">
      <c r="A7766" s="9" t="str">
        <f>IFERROR(__xludf.DUMMYFUNCTION("""COMPUTED_VALUE"""),"G-REQ-07765")</f>
        <v>G-REQ-07765</v>
      </c>
      <c r="B7766" s="11">
        <f>IFERROR(__xludf.DUMMYFUNCTION("""COMPUTED_VALUE"""),46306.77777777778)</f>
        <v>46306.77778</v>
      </c>
      <c r="C7766" s="9">
        <f>IFERROR(__xludf.DUMMYFUNCTION("""COMPUTED_VALUE"""),29299.0)</f>
        <v>29299</v>
      </c>
      <c r="D7766" s="9" t="str">
        <f>IFERROR(__xludf.DUMMYFUNCTION("""COMPUTED_VALUE"""),"In progress")</f>
        <v>In progress</v>
      </c>
    </row>
    <row r="7767">
      <c r="A7767" s="9" t="str">
        <f>IFERROR(__xludf.DUMMYFUNCTION("""COMPUTED_VALUE"""),"G-REQ-07766")</f>
        <v>G-REQ-07766</v>
      </c>
      <c r="B7767" s="11">
        <f>IFERROR(__xludf.DUMMYFUNCTION("""COMPUTED_VALUE"""),46306.791666666664)</f>
        <v>46306.79167</v>
      </c>
      <c r="C7767" s="9">
        <f>IFERROR(__xludf.DUMMYFUNCTION("""COMPUTED_VALUE"""),29300.0)</f>
        <v>29300</v>
      </c>
      <c r="D7767" s="9" t="str">
        <f>IFERROR(__xludf.DUMMYFUNCTION("""COMPUTED_VALUE"""),"Pending approval")</f>
        <v>Pending approval</v>
      </c>
    </row>
    <row r="7768">
      <c r="A7768" s="9" t="str">
        <f>IFERROR(__xludf.DUMMYFUNCTION("""COMPUTED_VALUE"""),"G-REQ-07767")</f>
        <v>G-REQ-07767</v>
      </c>
      <c r="B7768" s="11">
        <f>IFERROR(__xludf.DUMMYFUNCTION("""COMPUTED_VALUE"""),46306.81944444444)</f>
        <v>46306.81944</v>
      </c>
      <c r="C7768" s="9">
        <f>IFERROR(__xludf.DUMMYFUNCTION("""COMPUTED_VALUE"""),29303.0)</f>
        <v>29303</v>
      </c>
      <c r="D7768" s="9" t="str">
        <f>IFERROR(__xludf.DUMMYFUNCTION("""COMPUTED_VALUE"""),"In progress")</f>
        <v>In progress</v>
      </c>
    </row>
    <row r="7769">
      <c r="A7769" s="9" t="str">
        <f>IFERROR(__xludf.DUMMYFUNCTION("""COMPUTED_VALUE"""),"G-REQ-07768")</f>
        <v>G-REQ-07768</v>
      </c>
      <c r="B7769" s="11">
        <f>IFERROR(__xludf.DUMMYFUNCTION("""COMPUTED_VALUE"""),46306.833333333336)</f>
        <v>46306.83333</v>
      </c>
      <c r="C7769" s="9">
        <f>IFERROR(__xludf.DUMMYFUNCTION("""COMPUTED_VALUE"""),29304.0)</f>
        <v>29304</v>
      </c>
      <c r="D7769" s="9" t="str">
        <f>IFERROR(__xludf.DUMMYFUNCTION("""COMPUTED_VALUE"""),"Pending approval")</f>
        <v>Pending approval</v>
      </c>
    </row>
    <row r="7770">
      <c r="A7770" s="9" t="str">
        <f>IFERROR(__xludf.DUMMYFUNCTION("""COMPUTED_VALUE"""),"G-REQ-07769")</f>
        <v>G-REQ-07769</v>
      </c>
      <c r="B7770" s="11">
        <f>IFERROR(__xludf.DUMMYFUNCTION("""COMPUTED_VALUE"""),46306.86111111111)</f>
        <v>46306.86111</v>
      </c>
      <c r="C7770" s="9">
        <f>IFERROR(__xludf.DUMMYFUNCTION("""COMPUTED_VALUE"""),29307.0)</f>
        <v>29307</v>
      </c>
      <c r="D7770" s="9" t="str">
        <f>IFERROR(__xludf.DUMMYFUNCTION("""COMPUTED_VALUE"""),"In progress")</f>
        <v>In progress</v>
      </c>
    </row>
    <row r="7771">
      <c r="A7771" s="9" t="str">
        <f>IFERROR(__xludf.DUMMYFUNCTION("""COMPUTED_VALUE"""),"G-REQ-07770")</f>
        <v>G-REQ-07770</v>
      </c>
      <c r="B7771" s="11">
        <f>IFERROR(__xludf.DUMMYFUNCTION("""COMPUTED_VALUE"""),46306.87499999999)</f>
        <v>46306.875</v>
      </c>
      <c r="C7771" s="9">
        <f>IFERROR(__xludf.DUMMYFUNCTION("""COMPUTED_VALUE"""),29308.0)</f>
        <v>29308</v>
      </c>
      <c r="D7771" s="9" t="str">
        <f>IFERROR(__xludf.DUMMYFUNCTION("""COMPUTED_VALUE"""),"Pending approval")</f>
        <v>Pending approval</v>
      </c>
    </row>
    <row r="7772">
      <c r="A7772" s="9" t="str">
        <f>IFERROR(__xludf.DUMMYFUNCTION("""COMPUTED_VALUE"""),"G-REQ-07771")</f>
        <v>G-REQ-07771</v>
      </c>
      <c r="B7772" s="11">
        <f>IFERROR(__xludf.DUMMYFUNCTION("""COMPUTED_VALUE"""),46306.90277777778)</f>
        <v>46306.90278</v>
      </c>
      <c r="C7772" s="9">
        <f>IFERROR(__xludf.DUMMYFUNCTION("""COMPUTED_VALUE"""),29311.0)</f>
        <v>29311</v>
      </c>
      <c r="D7772" s="9" t="str">
        <f>IFERROR(__xludf.DUMMYFUNCTION("""COMPUTED_VALUE"""),"In progress")</f>
        <v>In progress</v>
      </c>
    </row>
    <row r="7773">
      <c r="A7773" s="9" t="str">
        <f>IFERROR(__xludf.DUMMYFUNCTION("""COMPUTED_VALUE"""),"G-REQ-07772")</f>
        <v>G-REQ-07772</v>
      </c>
      <c r="B7773" s="11">
        <f>IFERROR(__xludf.DUMMYFUNCTION("""COMPUTED_VALUE"""),46306.916666666664)</f>
        <v>46306.91667</v>
      </c>
      <c r="C7773" s="9">
        <f>IFERROR(__xludf.DUMMYFUNCTION("""COMPUTED_VALUE"""),29312.0)</f>
        <v>29312</v>
      </c>
      <c r="D7773" s="9" t="str">
        <f>IFERROR(__xludf.DUMMYFUNCTION("""COMPUTED_VALUE"""),"Pending approval")</f>
        <v>Pending approval</v>
      </c>
    </row>
    <row r="7774">
      <c r="A7774" s="9" t="str">
        <f>IFERROR(__xludf.DUMMYFUNCTION("""COMPUTED_VALUE"""),"G-REQ-07773")</f>
        <v>G-REQ-07773</v>
      </c>
      <c r="B7774" s="11">
        <f>IFERROR(__xludf.DUMMYFUNCTION("""COMPUTED_VALUE"""),46306.94444444444)</f>
        <v>46306.94444</v>
      </c>
      <c r="C7774" s="9">
        <f>IFERROR(__xludf.DUMMYFUNCTION("""COMPUTED_VALUE"""),29315.0)</f>
        <v>29315</v>
      </c>
      <c r="D7774" s="9" t="str">
        <f>IFERROR(__xludf.DUMMYFUNCTION("""COMPUTED_VALUE"""),"In progress")</f>
        <v>In progress</v>
      </c>
    </row>
    <row r="7775">
      <c r="A7775" s="9" t="str">
        <f>IFERROR(__xludf.DUMMYFUNCTION("""COMPUTED_VALUE"""),"G-REQ-07774")</f>
        <v>G-REQ-07774</v>
      </c>
      <c r="B7775" s="11">
        <f>IFERROR(__xludf.DUMMYFUNCTION("""COMPUTED_VALUE"""),46306.958333333336)</f>
        <v>46306.95833</v>
      </c>
      <c r="C7775" s="9">
        <f>IFERROR(__xludf.DUMMYFUNCTION("""COMPUTED_VALUE"""),29316.0)</f>
        <v>29316</v>
      </c>
      <c r="D7775" s="9" t="str">
        <f>IFERROR(__xludf.DUMMYFUNCTION("""COMPUTED_VALUE"""),"Pending approval")</f>
        <v>Pending approval</v>
      </c>
    </row>
    <row r="7776">
      <c r="A7776" s="9" t="str">
        <f>IFERROR(__xludf.DUMMYFUNCTION("""COMPUTED_VALUE"""),"G-REQ-07775")</f>
        <v>G-REQ-07775</v>
      </c>
      <c r="B7776" s="11">
        <f>IFERROR(__xludf.DUMMYFUNCTION("""COMPUTED_VALUE"""),46306.98611111111)</f>
        <v>46306.98611</v>
      </c>
      <c r="C7776" s="9">
        <f>IFERROR(__xludf.DUMMYFUNCTION("""COMPUTED_VALUE"""),29319.0)</f>
        <v>29319</v>
      </c>
      <c r="D7776" s="9" t="str">
        <f>IFERROR(__xludf.DUMMYFUNCTION("""COMPUTED_VALUE"""),"In progress")</f>
        <v>In progress</v>
      </c>
    </row>
    <row r="7777">
      <c r="A7777" s="9" t="str">
        <f>IFERROR(__xludf.DUMMYFUNCTION("""COMPUTED_VALUE"""),"G-REQ-07776")</f>
        <v>G-REQ-07776</v>
      </c>
      <c r="B7777" s="11">
        <f>IFERROR(__xludf.DUMMYFUNCTION("""COMPUTED_VALUE"""),46306.99999999999)</f>
        <v>46307</v>
      </c>
      <c r="C7777" s="9">
        <f>IFERROR(__xludf.DUMMYFUNCTION("""COMPUTED_VALUE"""),29320.0)</f>
        <v>29320</v>
      </c>
      <c r="D7777" s="9" t="str">
        <f>IFERROR(__xludf.DUMMYFUNCTION("""COMPUTED_VALUE"""),"Pending approval")</f>
        <v>Pending approval</v>
      </c>
    </row>
    <row r="7778">
      <c r="A7778" s="9" t="str">
        <f>IFERROR(__xludf.DUMMYFUNCTION("""COMPUTED_VALUE"""),"G-REQ-07777")</f>
        <v>G-REQ-07777</v>
      </c>
      <c r="B7778" s="11">
        <f>IFERROR(__xludf.DUMMYFUNCTION("""COMPUTED_VALUE"""),46307.02777777778)</f>
        <v>46307.02778</v>
      </c>
      <c r="C7778" s="9">
        <f>IFERROR(__xludf.DUMMYFUNCTION("""COMPUTED_VALUE"""),29323.0)</f>
        <v>29323</v>
      </c>
      <c r="D7778" s="9" t="str">
        <f>IFERROR(__xludf.DUMMYFUNCTION("""COMPUTED_VALUE"""),"In progress")</f>
        <v>In progress</v>
      </c>
    </row>
    <row r="7779">
      <c r="A7779" s="9" t="str">
        <f>IFERROR(__xludf.DUMMYFUNCTION("""COMPUTED_VALUE"""),"G-REQ-07778")</f>
        <v>G-REQ-07778</v>
      </c>
      <c r="B7779" s="11">
        <f>IFERROR(__xludf.DUMMYFUNCTION("""COMPUTED_VALUE"""),46307.041666666664)</f>
        <v>46307.04167</v>
      </c>
      <c r="C7779" s="9">
        <f>IFERROR(__xludf.DUMMYFUNCTION("""COMPUTED_VALUE"""),29324.0)</f>
        <v>29324</v>
      </c>
      <c r="D7779" s="9" t="str">
        <f>IFERROR(__xludf.DUMMYFUNCTION("""COMPUTED_VALUE"""),"Pending approval")</f>
        <v>Pending approval</v>
      </c>
    </row>
    <row r="7780">
      <c r="A7780" s="9" t="str">
        <f>IFERROR(__xludf.DUMMYFUNCTION("""COMPUTED_VALUE"""),"G-REQ-07779")</f>
        <v>G-REQ-07779</v>
      </c>
      <c r="B7780" s="11">
        <f>IFERROR(__xludf.DUMMYFUNCTION("""COMPUTED_VALUE"""),46307.06944444444)</f>
        <v>46307.06944</v>
      </c>
      <c r="C7780" s="9">
        <f>IFERROR(__xludf.DUMMYFUNCTION("""COMPUTED_VALUE"""),29327.0)</f>
        <v>29327</v>
      </c>
      <c r="D7780" s="9" t="str">
        <f>IFERROR(__xludf.DUMMYFUNCTION("""COMPUTED_VALUE"""),"In progress")</f>
        <v>In progress</v>
      </c>
    </row>
    <row r="7781">
      <c r="A7781" s="9" t="str">
        <f>IFERROR(__xludf.DUMMYFUNCTION("""COMPUTED_VALUE"""),"G-REQ-07780")</f>
        <v>G-REQ-07780</v>
      </c>
      <c r="B7781" s="11">
        <f>IFERROR(__xludf.DUMMYFUNCTION("""COMPUTED_VALUE"""),46307.083333333336)</f>
        <v>46307.08333</v>
      </c>
      <c r="C7781" s="9">
        <f>IFERROR(__xludf.DUMMYFUNCTION("""COMPUTED_VALUE"""),29328.0)</f>
        <v>29328</v>
      </c>
      <c r="D7781" s="9" t="str">
        <f>IFERROR(__xludf.DUMMYFUNCTION("""COMPUTED_VALUE"""),"Pending approval")</f>
        <v>Pending approval</v>
      </c>
    </row>
    <row r="7782">
      <c r="A7782" s="9" t="str">
        <f>IFERROR(__xludf.DUMMYFUNCTION("""COMPUTED_VALUE"""),"G-REQ-07781")</f>
        <v>G-REQ-07781</v>
      </c>
      <c r="B7782" s="11">
        <f>IFERROR(__xludf.DUMMYFUNCTION("""COMPUTED_VALUE"""),46307.11111111111)</f>
        <v>46307.11111</v>
      </c>
      <c r="C7782" s="9">
        <f>IFERROR(__xludf.DUMMYFUNCTION("""COMPUTED_VALUE"""),29331.0)</f>
        <v>29331</v>
      </c>
      <c r="D7782" s="9" t="str">
        <f>IFERROR(__xludf.DUMMYFUNCTION("""COMPUTED_VALUE"""),"In progress")</f>
        <v>In progress</v>
      </c>
    </row>
    <row r="7783">
      <c r="A7783" s="9" t="str">
        <f>IFERROR(__xludf.DUMMYFUNCTION("""COMPUTED_VALUE"""),"G-REQ-07782")</f>
        <v>G-REQ-07782</v>
      </c>
      <c r="B7783" s="11">
        <f>IFERROR(__xludf.DUMMYFUNCTION("""COMPUTED_VALUE"""),46307.12499999999)</f>
        <v>46307.125</v>
      </c>
      <c r="C7783" s="9">
        <f>IFERROR(__xludf.DUMMYFUNCTION("""COMPUTED_VALUE"""),29332.0)</f>
        <v>29332</v>
      </c>
      <c r="D7783" s="9" t="str">
        <f>IFERROR(__xludf.DUMMYFUNCTION("""COMPUTED_VALUE"""),"Pending approval")</f>
        <v>Pending approval</v>
      </c>
    </row>
    <row r="7784">
      <c r="A7784" s="9" t="str">
        <f>IFERROR(__xludf.DUMMYFUNCTION("""COMPUTED_VALUE"""),"G-REQ-07783")</f>
        <v>G-REQ-07783</v>
      </c>
      <c r="B7784" s="11">
        <f>IFERROR(__xludf.DUMMYFUNCTION("""COMPUTED_VALUE"""),46307.15277777778)</f>
        <v>46307.15278</v>
      </c>
      <c r="C7784" s="9">
        <f>IFERROR(__xludf.DUMMYFUNCTION("""COMPUTED_VALUE"""),29335.0)</f>
        <v>29335</v>
      </c>
      <c r="D7784" s="9" t="str">
        <f>IFERROR(__xludf.DUMMYFUNCTION("""COMPUTED_VALUE"""),"In progress")</f>
        <v>In progress</v>
      </c>
    </row>
    <row r="7785">
      <c r="A7785" s="9" t="str">
        <f>IFERROR(__xludf.DUMMYFUNCTION("""COMPUTED_VALUE"""),"G-REQ-07784")</f>
        <v>G-REQ-07784</v>
      </c>
      <c r="B7785" s="11">
        <f>IFERROR(__xludf.DUMMYFUNCTION("""COMPUTED_VALUE"""),46307.166666666664)</f>
        <v>46307.16667</v>
      </c>
      <c r="C7785" s="9">
        <f>IFERROR(__xludf.DUMMYFUNCTION("""COMPUTED_VALUE"""),29336.0)</f>
        <v>29336</v>
      </c>
      <c r="D7785" s="9" t="str">
        <f>IFERROR(__xludf.DUMMYFUNCTION("""COMPUTED_VALUE"""),"Pending approval")</f>
        <v>Pending approval</v>
      </c>
    </row>
    <row r="7786">
      <c r="A7786" s="9" t="str">
        <f>IFERROR(__xludf.DUMMYFUNCTION("""COMPUTED_VALUE"""),"G-REQ-07785")</f>
        <v>G-REQ-07785</v>
      </c>
      <c r="B7786" s="11">
        <f>IFERROR(__xludf.DUMMYFUNCTION("""COMPUTED_VALUE"""),46307.19444444444)</f>
        <v>46307.19444</v>
      </c>
      <c r="C7786" s="9">
        <f>IFERROR(__xludf.DUMMYFUNCTION("""COMPUTED_VALUE"""),29339.0)</f>
        <v>29339</v>
      </c>
      <c r="D7786" s="9" t="str">
        <f>IFERROR(__xludf.DUMMYFUNCTION("""COMPUTED_VALUE"""),"In progress")</f>
        <v>In progress</v>
      </c>
    </row>
    <row r="7787">
      <c r="A7787" s="9" t="str">
        <f>IFERROR(__xludf.DUMMYFUNCTION("""COMPUTED_VALUE"""),"G-REQ-07786")</f>
        <v>G-REQ-07786</v>
      </c>
      <c r="B7787" s="11">
        <f>IFERROR(__xludf.DUMMYFUNCTION("""COMPUTED_VALUE"""),46307.208333333336)</f>
        <v>46307.20833</v>
      </c>
      <c r="C7787" s="9">
        <f>IFERROR(__xludf.DUMMYFUNCTION("""COMPUTED_VALUE"""),29340.0)</f>
        <v>29340</v>
      </c>
      <c r="D7787" s="9" t="str">
        <f>IFERROR(__xludf.DUMMYFUNCTION("""COMPUTED_VALUE"""),"Pending approval")</f>
        <v>Pending approval</v>
      </c>
    </row>
    <row r="7788">
      <c r="A7788" s="9" t="str">
        <f>IFERROR(__xludf.DUMMYFUNCTION("""COMPUTED_VALUE"""),"G-REQ-07787")</f>
        <v>G-REQ-07787</v>
      </c>
      <c r="B7788" s="11">
        <f>IFERROR(__xludf.DUMMYFUNCTION("""COMPUTED_VALUE"""),46307.23611111111)</f>
        <v>46307.23611</v>
      </c>
      <c r="C7788" s="9">
        <f>IFERROR(__xludf.DUMMYFUNCTION("""COMPUTED_VALUE"""),29343.0)</f>
        <v>29343</v>
      </c>
      <c r="D7788" s="9" t="str">
        <f>IFERROR(__xludf.DUMMYFUNCTION("""COMPUTED_VALUE"""),"In progress")</f>
        <v>In progress</v>
      </c>
    </row>
    <row r="7789">
      <c r="A7789" s="9" t="str">
        <f>IFERROR(__xludf.DUMMYFUNCTION("""COMPUTED_VALUE"""),"G-REQ-07788")</f>
        <v>G-REQ-07788</v>
      </c>
      <c r="B7789" s="11">
        <f>IFERROR(__xludf.DUMMYFUNCTION("""COMPUTED_VALUE"""),46307.24999999999)</f>
        <v>46307.25</v>
      </c>
      <c r="C7789" s="9">
        <f>IFERROR(__xludf.DUMMYFUNCTION("""COMPUTED_VALUE"""),29344.0)</f>
        <v>29344</v>
      </c>
      <c r="D7789" s="9" t="str">
        <f>IFERROR(__xludf.DUMMYFUNCTION("""COMPUTED_VALUE"""),"Pending approval")</f>
        <v>Pending approval</v>
      </c>
    </row>
    <row r="7790">
      <c r="A7790" s="9" t="str">
        <f>IFERROR(__xludf.DUMMYFUNCTION("""COMPUTED_VALUE"""),"G-REQ-07789")</f>
        <v>G-REQ-07789</v>
      </c>
      <c r="B7790" s="11">
        <f>IFERROR(__xludf.DUMMYFUNCTION("""COMPUTED_VALUE"""),46307.27777777778)</f>
        <v>46307.27778</v>
      </c>
      <c r="C7790" s="9">
        <f>IFERROR(__xludf.DUMMYFUNCTION("""COMPUTED_VALUE"""),29347.0)</f>
        <v>29347</v>
      </c>
      <c r="D7790" s="9" t="str">
        <f>IFERROR(__xludf.DUMMYFUNCTION("""COMPUTED_VALUE"""),"In progress")</f>
        <v>In progress</v>
      </c>
    </row>
    <row r="7791">
      <c r="A7791" s="9" t="str">
        <f>IFERROR(__xludf.DUMMYFUNCTION("""COMPUTED_VALUE"""),"G-REQ-07790")</f>
        <v>G-REQ-07790</v>
      </c>
      <c r="B7791" s="11">
        <f>IFERROR(__xludf.DUMMYFUNCTION("""COMPUTED_VALUE"""),46307.291666666664)</f>
        <v>46307.29167</v>
      </c>
      <c r="C7791" s="9">
        <f>IFERROR(__xludf.DUMMYFUNCTION("""COMPUTED_VALUE"""),29348.0)</f>
        <v>29348</v>
      </c>
      <c r="D7791" s="9" t="str">
        <f>IFERROR(__xludf.DUMMYFUNCTION("""COMPUTED_VALUE"""),"Pending approval")</f>
        <v>Pending approval</v>
      </c>
    </row>
    <row r="7792">
      <c r="A7792" s="9" t="str">
        <f>IFERROR(__xludf.DUMMYFUNCTION("""COMPUTED_VALUE"""),"G-REQ-07791")</f>
        <v>G-REQ-07791</v>
      </c>
      <c r="B7792" s="11">
        <f>IFERROR(__xludf.DUMMYFUNCTION("""COMPUTED_VALUE"""),46307.31944444444)</f>
        <v>46307.31944</v>
      </c>
      <c r="C7792" s="9">
        <f>IFERROR(__xludf.DUMMYFUNCTION("""COMPUTED_VALUE"""),29351.0)</f>
        <v>29351</v>
      </c>
      <c r="D7792" s="9" t="str">
        <f>IFERROR(__xludf.DUMMYFUNCTION("""COMPUTED_VALUE"""),"In progress")</f>
        <v>In progress</v>
      </c>
    </row>
    <row r="7793">
      <c r="A7793" s="9" t="str">
        <f>IFERROR(__xludf.DUMMYFUNCTION("""COMPUTED_VALUE"""),"G-REQ-07792")</f>
        <v>G-REQ-07792</v>
      </c>
      <c r="B7793" s="11">
        <f>IFERROR(__xludf.DUMMYFUNCTION("""COMPUTED_VALUE"""),46307.333333333336)</f>
        <v>46307.33333</v>
      </c>
      <c r="C7793" s="9">
        <f>IFERROR(__xludf.DUMMYFUNCTION("""COMPUTED_VALUE"""),29352.0)</f>
        <v>29352</v>
      </c>
      <c r="D7793" s="9" t="str">
        <f>IFERROR(__xludf.DUMMYFUNCTION("""COMPUTED_VALUE"""),"Pending approval")</f>
        <v>Pending approval</v>
      </c>
    </row>
    <row r="7794">
      <c r="A7794" s="9" t="str">
        <f>IFERROR(__xludf.DUMMYFUNCTION("""COMPUTED_VALUE"""),"G-REQ-07793")</f>
        <v>G-REQ-07793</v>
      </c>
      <c r="B7794" s="11">
        <f>IFERROR(__xludf.DUMMYFUNCTION("""COMPUTED_VALUE"""),46307.36111111111)</f>
        <v>46307.36111</v>
      </c>
      <c r="C7794" s="9">
        <f>IFERROR(__xludf.DUMMYFUNCTION("""COMPUTED_VALUE"""),29355.0)</f>
        <v>29355</v>
      </c>
      <c r="D7794" s="9" t="str">
        <f>IFERROR(__xludf.DUMMYFUNCTION("""COMPUTED_VALUE"""),"In progress")</f>
        <v>In progress</v>
      </c>
    </row>
    <row r="7795">
      <c r="A7795" s="9" t="str">
        <f>IFERROR(__xludf.DUMMYFUNCTION("""COMPUTED_VALUE"""),"G-REQ-07794")</f>
        <v>G-REQ-07794</v>
      </c>
      <c r="B7795" s="11">
        <f>IFERROR(__xludf.DUMMYFUNCTION("""COMPUTED_VALUE"""),46307.37499999999)</f>
        <v>46307.375</v>
      </c>
      <c r="C7795" s="9">
        <f>IFERROR(__xludf.DUMMYFUNCTION("""COMPUTED_VALUE"""),29356.0)</f>
        <v>29356</v>
      </c>
      <c r="D7795" s="9" t="str">
        <f>IFERROR(__xludf.DUMMYFUNCTION("""COMPUTED_VALUE"""),"Pending approval")</f>
        <v>Pending approval</v>
      </c>
    </row>
    <row r="7796">
      <c r="A7796" s="9" t="str">
        <f>IFERROR(__xludf.DUMMYFUNCTION("""COMPUTED_VALUE"""),"G-REQ-07795")</f>
        <v>G-REQ-07795</v>
      </c>
      <c r="B7796" s="11">
        <f>IFERROR(__xludf.DUMMYFUNCTION("""COMPUTED_VALUE"""),46307.40277777778)</f>
        <v>46307.40278</v>
      </c>
      <c r="C7796" s="9">
        <f>IFERROR(__xludf.DUMMYFUNCTION("""COMPUTED_VALUE"""),29359.0)</f>
        <v>29359</v>
      </c>
      <c r="D7796" s="9" t="str">
        <f>IFERROR(__xludf.DUMMYFUNCTION("""COMPUTED_VALUE"""),"In progress")</f>
        <v>In progress</v>
      </c>
    </row>
    <row r="7797">
      <c r="A7797" s="9" t="str">
        <f>IFERROR(__xludf.DUMMYFUNCTION("""COMPUTED_VALUE"""),"G-REQ-07796")</f>
        <v>G-REQ-07796</v>
      </c>
      <c r="B7797" s="11">
        <f>IFERROR(__xludf.DUMMYFUNCTION("""COMPUTED_VALUE"""),46307.416666666664)</f>
        <v>46307.41667</v>
      </c>
      <c r="C7797" s="9">
        <f>IFERROR(__xludf.DUMMYFUNCTION("""COMPUTED_VALUE"""),29360.0)</f>
        <v>29360</v>
      </c>
      <c r="D7797" s="9" t="str">
        <f>IFERROR(__xludf.DUMMYFUNCTION("""COMPUTED_VALUE"""),"Pending approval")</f>
        <v>Pending approval</v>
      </c>
    </row>
    <row r="7798">
      <c r="A7798" s="9" t="str">
        <f>IFERROR(__xludf.DUMMYFUNCTION("""COMPUTED_VALUE"""),"G-REQ-07797")</f>
        <v>G-REQ-07797</v>
      </c>
      <c r="B7798" s="11">
        <f>IFERROR(__xludf.DUMMYFUNCTION("""COMPUTED_VALUE"""),46307.44444444444)</f>
        <v>46307.44444</v>
      </c>
      <c r="C7798" s="9">
        <f>IFERROR(__xludf.DUMMYFUNCTION("""COMPUTED_VALUE"""),29363.0)</f>
        <v>29363</v>
      </c>
      <c r="D7798" s="9" t="str">
        <f>IFERROR(__xludf.DUMMYFUNCTION("""COMPUTED_VALUE"""),"In progress")</f>
        <v>In progress</v>
      </c>
    </row>
    <row r="7799">
      <c r="A7799" s="9" t="str">
        <f>IFERROR(__xludf.DUMMYFUNCTION("""COMPUTED_VALUE"""),"G-REQ-07798")</f>
        <v>G-REQ-07798</v>
      </c>
      <c r="B7799" s="11">
        <f>IFERROR(__xludf.DUMMYFUNCTION("""COMPUTED_VALUE"""),46307.458333333336)</f>
        <v>46307.45833</v>
      </c>
      <c r="C7799" s="9">
        <f>IFERROR(__xludf.DUMMYFUNCTION("""COMPUTED_VALUE"""),29364.0)</f>
        <v>29364</v>
      </c>
      <c r="D7799" s="9" t="str">
        <f>IFERROR(__xludf.DUMMYFUNCTION("""COMPUTED_VALUE"""),"Pending approval")</f>
        <v>Pending approval</v>
      </c>
    </row>
    <row r="7800">
      <c r="A7800" s="9" t="str">
        <f>IFERROR(__xludf.DUMMYFUNCTION("""COMPUTED_VALUE"""),"G-REQ-07799")</f>
        <v>G-REQ-07799</v>
      </c>
      <c r="B7800" s="11">
        <f>IFERROR(__xludf.DUMMYFUNCTION("""COMPUTED_VALUE"""),46307.48611111111)</f>
        <v>46307.48611</v>
      </c>
      <c r="C7800" s="9">
        <f>IFERROR(__xludf.DUMMYFUNCTION("""COMPUTED_VALUE"""),29367.0)</f>
        <v>29367</v>
      </c>
      <c r="D7800" s="9" t="str">
        <f>IFERROR(__xludf.DUMMYFUNCTION("""COMPUTED_VALUE"""),"In progress")</f>
        <v>In progress</v>
      </c>
    </row>
    <row r="7801">
      <c r="A7801" s="9" t="str">
        <f>IFERROR(__xludf.DUMMYFUNCTION("""COMPUTED_VALUE"""),"G-REQ-07800")</f>
        <v>G-REQ-07800</v>
      </c>
      <c r="B7801" s="11">
        <f>IFERROR(__xludf.DUMMYFUNCTION("""COMPUTED_VALUE"""),46307.49999999999)</f>
        <v>46307.5</v>
      </c>
      <c r="C7801" s="9">
        <f>IFERROR(__xludf.DUMMYFUNCTION("""COMPUTED_VALUE"""),29368.0)</f>
        <v>29368</v>
      </c>
      <c r="D7801" s="9" t="str">
        <f>IFERROR(__xludf.DUMMYFUNCTION("""COMPUTED_VALUE"""),"Pending approval")</f>
        <v>Pending approval</v>
      </c>
    </row>
    <row r="7802">
      <c r="A7802" s="9" t="str">
        <f>IFERROR(__xludf.DUMMYFUNCTION("""COMPUTED_VALUE"""),"G-REQ-07801")</f>
        <v>G-REQ-07801</v>
      </c>
      <c r="B7802" s="11">
        <f>IFERROR(__xludf.DUMMYFUNCTION("""COMPUTED_VALUE"""),46307.52777777778)</f>
        <v>46307.52778</v>
      </c>
      <c r="C7802" s="9">
        <f>IFERROR(__xludf.DUMMYFUNCTION("""COMPUTED_VALUE"""),29371.0)</f>
        <v>29371</v>
      </c>
      <c r="D7802" s="9" t="str">
        <f>IFERROR(__xludf.DUMMYFUNCTION("""COMPUTED_VALUE"""),"In progress")</f>
        <v>In progress</v>
      </c>
    </row>
    <row r="7803">
      <c r="A7803" s="9" t="str">
        <f>IFERROR(__xludf.DUMMYFUNCTION("""COMPUTED_VALUE"""),"G-REQ-07802")</f>
        <v>G-REQ-07802</v>
      </c>
      <c r="B7803" s="11">
        <f>IFERROR(__xludf.DUMMYFUNCTION("""COMPUTED_VALUE"""),46307.541666666664)</f>
        <v>46307.54167</v>
      </c>
      <c r="C7803" s="9">
        <f>IFERROR(__xludf.DUMMYFUNCTION("""COMPUTED_VALUE"""),29372.0)</f>
        <v>29372</v>
      </c>
      <c r="D7803" s="9" t="str">
        <f>IFERROR(__xludf.DUMMYFUNCTION("""COMPUTED_VALUE"""),"Pending approval")</f>
        <v>Pending approval</v>
      </c>
    </row>
    <row r="7804">
      <c r="A7804" s="9" t="str">
        <f>IFERROR(__xludf.DUMMYFUNCTION("""COMPUTED_VALUE"""),"G-REQ-07803")</f>
        <v>G-REQ-07803</v>
      </c>
      <c r="B7804" s="11">
        <f>IFERROR(__xludf.DUMMYFUNCTION("""COMPUTED_VALUE"""),46307.56944444444)</f>
        <v>46307.56944</v>
      </c>
      <c r="C7804" s="9">
        <f>IFERROR(__xludf.DUMMYFUNCTION("""COMPUTED_VALUE"""),29375.0)</f>
        <v>29375</v>
      </c>
      <c r="D7804" s="9" t="str">
        <f>IFERROR(__xludf.DUMMYFUNCTION("""COMPUTED_VALUE"""),"In progress")</f>
        <v>In progress</v>
      </c>
    </row>
    <row r="7805">
      <c r="A7805" s="9" t="str">
        <f>IFERROR(__xludf.DUMMYFUNCTION("""COMPUTED_VALUE"""),"G-REQ-07804")</f>
        <v>G-REQ-07804</v>
      </c>
      <c r="B7805" s="11">
        <f>IFERROR(__xludf.DUMMYFUNCTION("""COMPUTED_VALUE"""),46307.583333333336)</f>
        <v>46307.58333</v>
      </c>
      <c r="C7805" s="9">
        <f>IFERROR(__xludf.DUMMYFUNCTION("""COMPUTED_VALUE"""),29376.0)</f>
        <v>29376</v>
      </c>
      <c r="D7805" s="9" t="str">
        <f>IFERROR(__xludf.DUMMYFUNCTION("""COMPUTED_VALUE"""),"Pending approval")</f>
        <v>Pending approval</v>
      </c>
    </row>
    <row r="7806">
      <c r="A7806" s="9" t="str">
        <f>IFERROR(__xludf.DUMMYFUNCTION("""COMPUTED_VALUE"""),"G-REQ-07805")</f>
        <v>G-REQ-07805</v>
      </c>
      <c r="B7806" s="11">
        <f>IFERROR(__xludf.DUMMYFUNCTION("""COMPUTED_VALUE"""),46307.61111111111)</f>
        <v>46307.61111</v>
      </c>
      <c r="C7806" s="9">
        <f>IFERROR(__xludf.DUMMYFUNCTION("""COMPUTED_VALUE"""),29379.0)</f>
        <v>29379</v>
      </c>
      <c r="D7806" s="9" t="str">
        <f>IFERROR(__xludf.DUMMYFUNCTION("""COMPUTED_VALUE"""),"In progress")</f>
        <v>In progress</v>
      </c>
    </row>
    <row r="7807">
      <c r="A7807" s="9" t="str">
        <f>IFERROR(__xludf.DUMMYFUNCTION("""COMPUTED_VALUE"""),"G-REQ-07806")</f>
        <v>G-REQ-07806</v>
      </c>
      <c r="B7807" s="11">
        <f>IFERROR(__xludf.DUMMYFUNCTION("""COMPUTED_VALUE"""),46307.62499999999)</f>
        <v>46307.625</v>
      </c>
      <c r="C7807" s="9">
        <f>IFERROR(__xludf.DUMMYFUNCTION("""COMPUTED_VALUE"""),29380.0)</f>
        <v>29380</v>
      </c>
      <c r="D7807" s="9" t="str">
        <f>IFERROR(__xludf.DUMMYFUNCTION("""COMPUTED_VALUE"""),"Pending approval")</f>
        <v>Pending approval</v>
      </c>
    </row>
    <row r="7808">
      <c r="A7808" s="9" t="str">
        <f>IFERROR(__xludf.DUMMYFUNCTION("""COMPUTED_VALUE"""),"G-REQ-07807")</f>
        <v>G-REQ-07807</v>
      </c>
      <c r="B7808" s="11">
        <f>IFERROR(__xludf.DUMMYFUNCTION("""COMPUTED_VALUE"""),46307.65277777778)</f>
        <v>46307.65278</v>
      </c>
      <c r="C7808" s="9">
        <f>IFERROR(__xludf.DUMMYFUNCTION("""COMPUTED_VALUE"""),29383.0)</f>
        <v>29383</v>
      </c>
      <c r="D7808" s="9" t="str">
        <f>IFERROR(__xludf.DUMMYFUNCTION("""COMPUTED_VALUE"""),"In progress")</f>
        <v>In progress</v>
      </c>
    </row>
    <row r="7809">
      <c r="A7809" s="9" t="str">
        <f>IFERROR(__xludf.DUMMYFUNCTION("""COMPUTED_VALUE"""),"G-REQ-07808")</f>
        <v>G-REQ-07808</v>
      </c>
      <c r="B7809" s="11">
        <f>IFERROR(__xludf.DUMMYFUNCTION("""COMPUTED_VALUE"""),46307.666666666664)</f>
        <v>46307.66667</v>
      </c>
      <c r="C7809" s="9">
        <f>IFERROR(__xludf.DUMMYFUNCTION("""COMPUTED_VALUE"""),29384.0)</f>
        <v>29384</v>
      </c>
      <c r="D7809" s="9" t="str">
        <f>IFERROR(__xludf.DUMMYFUNCTION("""COMPUTED_VALUE"""),"Pending approval")</f>
        <v>Pending approval</v>
      </c>
    </row>
    <row r="7810">
      <c r="A7810" s="9" t="str">
        <f>IFERROR(__xludf.DUMMYFUNCTION("""COMPUTED_VALUE"""),"G-REQ-07809")</f>
        <v>G-REQ-07809</v>
      </c>
      <c r="B7810" s="11">
        <f>IFERROR(__xludf.DUMMYFUNCTION("""COMPUTED_VALUE"""),46307.69444444444)</f>
        <v>46307.69444</v>
      </c>
      <c r="C7810" s="9">
        <f>IFERROR(__xludf.DUMMYFUNCTION("""COMPUTED_VALUE"""),29387.0)</f>
        <v>29387</v>
      </c>
      <c r="D7810" s="9" t="str">
        <f>IFERROR(__xludf.DUMMYFUNCTION("""COMPUTED_VALUE"""),"In progress")</f>
        <v>In progress</v>
      </c>
    </row>
    <row r="7811">
      <c r="A7811" s="9" t="str">
        <f>IFERROR(__xludf.DUMMYFUNCTION("""COMPUTED_VALUE"""),"G-REQ-07810")</f>
        <v>G-REQ-07810</v>
      </c>
      <c r="B7811" s="11">
        <f>IFERROR(__xludf.DUMMYFUNCTION("""COMPUTED_VALUE"""),46307.708333333336)</f>
        <v>46307.70833</v>
      </c>
      <c r="C7811" s="9">
        <f>IFERROR(__xludf.DUMMYFUNCTION("""COMPUTED_VALUE"""),29388.0)</f>
        <v>29388</v>
      </c>
      <c r="D7811" s="9" t="str">
        <f>IFERROR(__xludf.DUMMYFUNCTION("""COMPUTED_VALUE"""),"Pending approval")</f>
        <v>Pending approval</v>
      </c>
    </row>
    <row r="7812">
      <c r="A7812" s="9" t="str">
        <f>IFERROR(__xludf.DUMMYFUNCTION("""COMPUTED_VALUE"""),"G-REQ-07811")</f>
        <v>G-REQ-07811</v>
      </c>
      <c r="B7812" s="11">
        <f>IFERROR(__xludf.DUMMYFUNCTION("""COMPUTED_VALUE"""),46307.73611111111)</f>
        <v>46307.73611</v>
      </c>
      <c r="C7812" s="9">
        <f>IFERROR(__xludf.DUMMYFUNCTION("""COMPUTED_VALUE"""),29391.0)</f>
        <v>29391</v>
      </c>
      <c r="D7812" s="9" t="str">
        <f>IFERROR(__xludf.DUMMYFUNCTION("""COMPUTED_VALUE"""),"In progress")</f>
        <v>In progress</v>
      </c>
    </row>
    <row r="7813">
      <c r="A7813" s="9" t="str">
        <f>IFERROR(__xludf.DUMMYFUNCTION("""COMPUTED_VALUE"""),"G-REQ-07812")</f>
        <v>G-REQ-07812</v>
      </c>
      <c r="B7813" s="11">
        <f>IFERROR(__xludf.DUMMYFUNCTION("""COMPUTED_VALUE"""),46307.74999999999)</f>
        <v>46307.75</v>
      </c>
      <c r="C7813" s="9">
        <f>IFERROR(__xludf.DUMMYFUNCTION("""COMPUTED_VALUE"""),29392.0)</f>
        <v>29392</v>
      </c>
      <c r="D7813" s="9" t="str">
        <f>IFERROR(__xludf.DUMMYFUNCTION("""COMPUTED_VALUE"""),"Pending approval")</f>
        <v>Pending approval</v>
      </c>
    </row>
    <row r="7814">
      <c r="A7814" s="9" t="str">
        <f>IFERROR(__xludf.DUMMYFUNCTION("""COMPUTED_VALUE"""),"G-REQ-07813")</f>
        <v>G-REQ-07813</v>
      </c>
      <c r="B7814" s="11">
        <f>IFERROR(__xludf.DUMMYFUNCTION("""COMPUTED_VALUE"""),46307.77777777778)</f>
        <v>46307.77778</v>
      </c>
      <c r="C7814" s="9">
        <f>IFERROR(__xludf.DUMMYFUNCTION("""COMPUTED_VALUE"""),29395.0)</f>
        <v>29395</v>
      </c>
      <c r="D7814" s="9" t="str">
        <f>IFERROR(__xludf.DUMMYFUNCTION("""COMPUTED_VALUE"""),"In progress")</f>
        <v>In progress</v>
      </c>
    </row>
    <row r="7815">
      <c r="A7815" s="9" t="str">
        <f>IFERROR(__xludf.DUMMYFUNCTION("""COMPUTED_VALUE"""),"G-REQ-07814")</f>
        <v>G-REQ-07814</v>
      </c>
      <c r="B7815" s="11">
        <f>IFERROR(__xludf.DUMMYFUNCTION("""COMPUTED_VALUE"""),46307.791666666664)</f>
        <v>46307.79167</v>
      </c>
      <c r="C7815" s="9">
        <f>IFERROR(__xludf.DUMMYFUNCTION("""COMPUTED_VALUE"""),29396.0)</f>
        <v>29396</v>
      </c>
      <c r="D7815" s="9" t="str">
        <f>IFERROR(__xludf.DUMMYFUNCTION("""COMPUTED_VALUE"""),"Pending approval")</f>
        <v>Pending approval</v>
      </c>
    </row>
    <row r="7816">
      <c r="A7816" s="9" t="str">
        <f>IFERROR(__xludf.DUMMYFUNCTION("""COMPUTED_VALUE"""),"G-REQ-07815")</f>
        <v>G-REQ-07815</v>
      </c>
      <c r="B7816" s="11">
        <f>IFERROR(__xludf.DUMMYFUNCTION("""COMPUTED_VALUE"""),46307.81944444444)</f>
        <v>46307.81944</v>
      </c>
      <c r="C7816" s="9">
        <f>IFERROR(__xludf.DUMMYFUNCTION("""COMPUTED_VALUE"""),29399.0)</f>
        <v>29399</v>
      </c>
      <c r="D7816" s="9" t="str">
        <f>IFERROR(__xludf.DUMMYFUNCTION("""COMPUTED_VALUE"""),"In progress")</f>
        <v>In progress</v>
      </c>
    </row>
    <row r="7817">
      <c r="A7817" s="9" t="str">
        <f>IFERROR(__xludf.DUMMYFUNCTION("""COMPUTED_VALUE"""),"G-REQ-07816")</f>
        <v>G-REQ-07816</v>
      </c>
      <c r="B7817" s="11">
        <f>IFERROR(__xludf.DUMMYFUNCTION("""COMPUTED_VALUE"""),46307.833333333336)</f>
        <v>46307.83333</v>
      </c>
      <c r="C7817" s="9">
        <f>IFERROR(__xludf.DUMMYFUNCTION("""COMPUTED_VALUE"""),29400.0)</f>
        <v>29400</v>
      </c>
      <c r="D7817" s="9" t="str">
        <f>IFERROR(__xludf.DUMMYFUNCTION("""COMPUTED_VALUE"""),"Pending approval")</f>
        <v>Pending approval</v>
      </c>
    </row>
    <row r="7818">
      <c r="A7818" s="9" t="str">
        <f>IFERROR(__xludf.DUMMYFUNCTION("""COMPUTED_VALUE"""),"G-REQ-07817")</f>
        <v>G-REQ-07817</v>
      </c>
      <c r="B7818" s="11">
        <f>IFERROR(__xludf.DUMMYFUNCTION("""COMPUTED_VALUE"""),46307.86111111111)</f>
        <v>46307.86111</v>
      </c>
      <c r="C7818" s="9">
        <f>IFERROR(__xludf.DUMMYFUNCTION("""COMPUTED_VALUE"""),29403.0)</f>
        <v>29403</v>
      </c>
      <c r="D7818" s="9" t="str">
        <f>IFERROR(__xludf.DUMMYFUNCTION("""COMPUTED_VALUE"""),"In progress")</f>
        <v>In progress</v>
      </c>
    </row>
    <row r="7819">
      <c r="A7819" s="9" t="str">
        <f>IFERROR(__xludf.DUMMYFUNCTION("""COMPUTED_VALUE"""),"G-REQ-07818")</f>
        <v>G-REQ-07818</v>
      </c>
      <c r="B7819" s="11">
        <f>IFERROR(__xludf.DUMMYFUNCTION("""COMPUTED_VALUE"""),46307.87499999999)</f>
        <v>46307.875</v>
      </c>
      <c r="C7819" s="9">
        <f>IFERROR(__xludf.DUMMYFUNCTION("""COMPUTED_VALUE"""),29404.0)</f>
        <v>29404</v>
      </c>
      <c r="D7819" s="9" t="str">
        <f>IFERROR(__xludf.DUMMYFUNCTION("""COMPUTED_VALUE"""),"Pending approval")</f>
        <v>Pending approval</v>
      </c>
    </row>
    <row r="7820">
      <c r="A7820" s="9" t="str">
        <f>IFERROR(__xludf.DUMMYFUNCTION("""COMPUTED_VALUE"""),"G-REQ-07819")</f>
        <v>G-REQ-07819</v>
      </c>
      <c r="B7820" s="11">
        <f>IFERROR(__xludf.DUMMYFUNCTION("""COMPUTED_VALUE"""),46307.90277777778)</f>
        <v>46307.90278</v>
      </c>
      <c r="C7820" s="9">
        <f>IFERROR(__xludf.DUMMYFUNCTION("""COMPUTED_VALUE"""),29407.0)</f>
        <v>29407</v>
      </c>
      <c r="D7820" s="9" t="str">
        <f>IFERROR(__xludf.DUMMYFUNCTION("""COMPUTED_VALUE"""),"In progress")</f>
        <v>In progress</v>
      </c>
    </row>
    <row r="7821">
      <c r="A7821" s="9" t="str">
        <f>IFERROR(__xludf.DUMMYFUNCTION("""COMPUTED_VALUE"""),"G-REQ-07820")</f>
        <v>G-REQ-07820</v>
      </c>
      <c r="B7821" s="11">
        <f>IFERROR(__xludf.DUMMYFUNCTION("""COMPUTED_VALUE"""),46307.916666666664)</f>
        <v>46307.91667</v>
      </c>
      <c r="C7821" s="9">
        <f>IFERROR(__xludf.DUMMYFUNCTION("""COMPUTED_VALUE"""),29408.0)</f>
        <v>29408</v>
      </c>
      <c r="D7821" s="9" t="str">
        <f>IFERROR(__xludf.DUMMYFUNCTION("""COMPUTED_VALUE"""),"Pending approval")</f>
        <v>Pending approval</v>
      </c>
    </row>
    <row r="7822">
      <c r="A7822" s="9" t="str">
        <f>IFERROR(__xludf.DUMMYFUNCTION("""COMPUTED_VALUE"""),"G-REQ-07821")</f>
        <v>G-REQ-07821</v>
      </c>
      <c r="B7822" s="11">
        <f>IFERROR(__xludf.DUMMYFUNCTION("""COMPUTED_VALUE"""),46307.94444444444)</f>
        <v>46307.94444</v>
      </c>
      <c r="C7822" s="9">
        <f>IFERROR(__xludf.DUMMYFUNCTION("""COMPUTED_VALUE"""),29411.0)</f>
        <v>29411</v>
      </c>
      <c r="D7822" s="9" t="str">
        <f>IFERROR(__xludf.DUMMYFUNCTION("""COMPUTED_VALUE"""),"In progress")</f>
        <v>In progress</v>
      </c>
    </row>
    <row r="7823">
      <c r="A7823" s="9" t="str">
        <f>IFERROR(__xludf.DUMMYFUNCTION("""COMPUTED_VALUE"""),"G-REQ-07822")</f>
        <v>G-REQ-07822</v>
      </c>
      <c r="B7823" s="11">
        <f>IFERROR(__xludf.DUMMYFUNCTION("""COMPUTED_VALUE"""),46307.958333333336)</f>
        <v>46307.95833</v>
      </c>
      <c r="C7823" s="9">
        <f>IFERROR(__xludf.DUMMYFUNCTION("""COMPUTED_VALUE"""),29412.0)</f>
        <v>29412</v>
      </c>
      <c r="D7823" s="9" t="str">
        <f>IFERROR(__xludf.DUMMYFUNCTION("""COMPUTED_VALUE"""),"Pending approval")</f>
        <v>Pending approval</v>
      </c>
    </row>
    <row r="7824">
      <c r="A7824" s="9" t="str">
        <f>IFERROR(__xludf.DUMMYFUNCTION("""COMPUTED_VALUE"""),"G-REQ-07823")</f>
        <v>G-REQ-07823</v>
      </c>
      <c r="B7824" s="11">
        <f>IFERROR(__xludf.DUMMYFUNCTION("""COMPUTED_VALUE"""),46307.98611111111)</f>
        <v>46307.98611</v>
      </c>
      <c r="C7824" s="9">
        <f>IFERROR(__xludf.DUMMYFUNCTION("""COMPUTED_VALUE"""),29415.0)</f>
        <v>29415</v>
      </c>
      <c r="D7824" s="9" t="str">
        <f>IFERROR(__xludf.DUMMYFUNCTION("""COMPUTED_VALUE"""),"In progress")</f>
        <v>In progress</v>
      </c>
    </row>
    <row r="7825">
      <c r="A7825" s="9" t="str">
        <f>IFERROR(__xludf.DUMMYFUNCTION("""COMPUTED_VALUE"""),"G-REQ-07824")</f>
        <v>G-REQ-07824</v>
      </c>
      <c r="B7825" s="11">
        <f>IFERROR(__xludf.DUMMYFUNCTION("""COMPUTED_VALUE"""),46307.99999999999)</f>
        <v>46308</v>
      </c>
      <c r="C7825" s="9">
        <f>IFERROR(__xludf.DUMMYFUNCTION("""COMPUTED_VALUE"""),29416.0)</f>
        <v>29416</v>
      </c>
      <c r="D7825" s="9" t="str">
        <f>IFERROR(__xludf.DUMMYFUNCTION("""COMPUTED_VALUE"""),"Pending approval")</f>
        <v>Pending approval</v>
      </c>
    </row>
    <row r="7826">
      <c r="A7826" s="9" t="str">
        <f>IFERROR(__xludf.DUMMYFUNCTION("""COMPUTED_VALUE"""),"G-REQ-07825")</f>
        <v>G-REQ-07825</v>
      </c>
      <c r="B7826" s="11">
        <f>IFERROR(__xludf.DUMMYFUNCTION("""COMPUTED_VALUE"""),46308.02777777778)</f>
        <v>46308.02778</v>
      </c>
      <c r="C7826" s="9">
        <f>IFERROR(__xludf.DUMMYFUNCTION("""COMPUTED_VALUE"""),29419.0)</f>
        <v>29419</v>
      </c>
      <c r="D7826" s="9" t="str">
        <f>IFERROR(__xludf.DUMMYFUNCTION("""COMPUTED_VALUE"""),"In progress")</f>
        <v>In progress</v>
      </c>
    </row>
    <row r="7827">
      <c r="A7827" s="9" t="str">
        <f>IFERROR(__xludf.DUMMYFUNCTION("""COMPUTED_VALUE"""),"G-REQ-07826")</f>
        <v>G-REQ-07826</v>
      </c>
      <c r="B7827" s="11">
        <f>IFERROR(__xludf.DUMMYFUNCTION("""COMPUTED_VALUE"""),46308.041666666664)</f>
        <v>46308.04167</v>
      </c>
      <c r="C7827" s="9">
        <f>IFERROR(__xludf.DUMMYFUNCTION("""COMPUTED_VALUE"""),29420.0)</f>
        <v>29420</v>
      </c>
      <c r="D7827" s="9" t="str">
        <f>IFERROR(__xludf.DUMMYFUNCTION("""COMPUTED_VALUE"""),"Pending approval")</f>
        <v>Pending approval</v>
      </c>
    </row>
    <row r="7828">
      <c r="A7828" s="9" t="str">
        <f>IFERROR(__xludf.DUMMYFUNCTION("""COMPUTED_VALUE"""),"G-REQ-07827")</f>
        <v>G-REQ-07827</v>
      </c>
      <c r="B7828" s="11">
        <f>IFERROR(__xludf.DUMMYFUNCTION("""COMPUTED_VALUE"""),46308.06944444444)</f>
        <v>46308.06944</v>
      </c>
      <c r="C7828" s="9">
        <f>IFERROR(__xludf.DUMMYFUNCTION("""COMPUTED_VALUE"""),29423.0)</f>
        <v>29423</v>
      </c>
      <c r="D7828" s="9" t="str">
        <f>IFERROR(__xludf.DUMMYFUNCTION("""COMPUTED_VALUE"""),"In progress")</f>
        <v>In progress</v>
      </c>
    </row>
    <row r="7829">
      <c r="A7829" s="9" t="str">
        <f>IFERROR(__xludf.DUMMYFUNCTION("""COMPUTED_VALUE"""),"G-REQ-07828")</f>
        <v>G-REQ-07828</v>
      </c>
      <c r="B7829" s="11">
        <f>IFERROR(__xludf.DUMMYFUNCTION("""COMPUTED_VALUE"""),46308.083333333336)</f>
        <v>46308.08333</v>
      </c>
      <c r="C7829" s="9">
        <f>IFERROR(__xludf.DUMMYFUNCTION("""COMPUTED_VALUE"""),29424.0)</f>
        <v>29424</v>
      </c>
      <c r="D7829" s="9" t="str">
        <f>IFERROR(__xludf.DUMMYFUNCTION("""COMPUTED_VALUE"""),"Pending approval")</f>
        <v>Pending approval</v>
      </c>
    </row>
    <row r="7830">
      <c r="A7830" s="9" t="str">
        <f>IFERROR(__xludf.DUMMYFUNCTION("""COMPUTED_VALUE"""),"G-REQ-07829")</f>
        <v>G-REQ-07829</v>
      </c>
      <c r="B7830" s="11">
        <f>IFERROR(__xludf.DUMMYFUNCTION("""COMPUTED_VALUE"""),46308.11111111111)</f>
        <v>46308.11111</v>
      </c>
      <c r="C7830" s="9">
        <f>IFERROR(__xludf.DUMMYFUNCTION("""COMPUTED_VALUE"""),29427.0)</f>
        <v>29427</v>
      </c>
      <c r="D7830" s="9" t="str">
        <f>IFERROR(__xludf.DUMMYFUNCTION("""COMPUTED_VALUE"""),"In progress")</f>
        <v>In progress</v>
      </c>
    </row>
    <row r="7831">
      <c r="A7831" s="9" t="str">
        <f>IFERROR(__xludf.DUMMYFUNCTION("""COMPUTED_VALUE"""),"G-REQ-07830")</f>
        <v>G-REQ-07830</v>
      </c>
      <c r="B7831" s="11">
        <f>IFERROR(__xludf.DUMMYFUNCTION("""COMPUTED_VALUE"""),46308.12499999999)</f>
        <v>46308.125</v>
      </c>
      <c r="C7831" s="9">
        <f>IFERROR(__xludf.DUMMYFUNCTION("""COMPUTED_VALUE"""),29428.0)</f>
        <v>29428</v>
      </c>
      <c r="D7831" s="9" t="str">
        <f>IFERROR(__xludf.DUMMYFUNCTION("""COMPUTED_VALUE"""),"Pending approval")</f>
        <v>Pending approval</v>
      </c>
    </row>
    <row r="7832">
      <c r="A7832" s="9" t="str">
        <f>IFERROR(__xludf.DUMMYFUNCTION("""COMPUTED_VALUE"""),"G-REQ-07831")</f>
        <v>G-REQ-07831</v>
      </c>
      <c r="B7832" s="11">
        <f>IFERROR(__xludf.DUMMYFUNCTION("""COMPUTED_VALUE"""),46308.15277777778)</f>
        <v>46308.15278</v>
      </c>
      <c r="C7832" s="9">
        <f>IFERROR(__xludf.DUMMYFUNCTION("""COMPUTED_VALUE"""),29431.0)</f>
        <v>29431</v>
      </c>
      <c r="D7832" s="9" t="str">
        <f>IFERROR(__xludf.DUMMYFUNCTION("""COMPUTED_VALUE"""),"In progress")</f>
        <v>In progress</v>
      </c>
    </row>
    <row r="7833">
      <c r="A7833" s="9" t="str">
        <f>IFERROR(__xludf.DUMMYFUNCTION("""COMPUTED_VALUE"""),"G-REQ-07832")</f>
        <v>G-REQ-07832</v>
      </c>
      <c r="B7833" s="11">
        <f>IFERROR(__xludf.DUMMYFUNCTION("""COMPUTED_VALUE"""),46308.166666666664)</f>
        <v>46308.16667</v>
      </c>
      <c r="C7833" s="9">
        <f>IFERROR(__xludf.DUMMYFUNCTION("""COMPUTED_VALUE"""),29432.0)</f>
        <v>29432</v>
      </c>
      <c r="D7833" s="9" t="str">
        <f>IFERROR(__xludf.DUMMYFUNCTION("""COMPUTED_VALUE"""),"Pending approval")</f>
        <v>Pending approval</v>
      </c>
    </row>
    <row r="7834">
      <c r="A7834" s="9" t="str">
        <f>IFERROR(__xludf.DUMMYFUNCTION("""COMPUTED_VALUE"""),"G-REQ-07833")</f>
        <v>G-REQ-07833</v>
      </c>
      <c r="B7834" s="11">
        <f>IFERROR(__xludf.DUMMYFUNCTION("""COMPUTED_VALUE"""),46308.19444444444)</f>
        <v>46308.19444</v>
      </c>
      <c r="C7834" s="9">
        <f>IFERROR(__xludf.DUMMYFUNCTION("""COMPUTED_VALUE"""),29435.0)</f>
        <v>29435</v>
      </c>
      <c r="D7834" s="9" t="str">
        <f>IFERROR(__xludf.DUMMYFUNCTION("""COMPUTED_VALUE"""),"In progress")</f>
        <v>In progress</v>
      </c>
    </row>
    <row r="7835">
      <c r="A7835" s="9" t="str">
        <f>IFERROR(__xludf.DUMMYFUNCTION("""COMPUTED_VALUE"""),"G-REQ-07834")</f>
        <v>G-REQ-07834</v>
      </c>
      <c r="B7835" s="11">
        <f>IFERROR(__xludf.DUMMYFUNCTION("""COMPUTED_VALUE"""),46308.208333333336)</f>
        <v>46308.20833</v>
      </c>
      <c r="C7835" s="9">
        <f>IFERROR(__xludf.DUMMYFUNCTION("""COMPUTED_VALUE"""),29436.0)</f>
        <v>29436</v>
      </c>
      <c r="D7835" s="9" t="str">
        <f>IFERROR(__xludf.DUMMYFUNCTION("""COMPUTED_VALUE"""),"Pending approval")</f>
        <v>Pending approval</v>
      </c>
    </row>
    <row r="7836">
      <c r="A7836" s="9" t="str">
        <f>IFERROR(__xludf.DUMMYFUNCTION("""COMPUTED_VALUE"""),"G-REQ-07835")</f>
        <v>G-REQ-07835</v>
      </c>
      <c r="B7836" s="11">
        <f>IFERROR(__xludf.DUMMYFUNCTION("""COMPUTED_VALUE"""),46308.23611111111)</f>
        <v>46308.23611</v>
      </c>
      <c r="C7836" s="9">
        <f>IFERROR(__xludf.DUMMYFUNCTION("""COMPUTED_VALUE"""),29439.0)</f>
        <v>29439</v>
      </c>
      <c r="D7836" s="9" t="str">
        <f>IFERROR(__xludf.DUMMYFUNCTION("""COMPUTED_VALUE"""),"In progress")</f>
        <v>In progress</v>
      </c>
    </row>
    <row r="7837">
      <c r="A7837" s="9" t="str">
        <f>IFERROR(__xludf.DUMMYFUNCTION("""COMPUTED_VALUE"""),"G-REQ-07836")</f>
        <v>G-REQ-07836</v>
      </c>
      <c r="B7837" s="11">
        <f>IFERROR(__xludf.DUMMYFUNCTION("""COMPUTED_VALUE"""),46308.24999999999)</f>
        <v>46308.25</v>
      </c>
      <c r="C7837" s="9">
        <f>IFERROR(__xludf.DUMMYFUNCTION("""COMPUTED_VALUE"""),29440.0)</f>
        <v>29440</v>
      </c>
      <c r="D7837" s="9" t="str">
        <f>IFERROR(__xludf.DUMMYFUNCTION("""COMPUTED_VALUE"""),"Pending approval")</f>
        <v>Pending approval</v>
      </c>
    </row>
    <row r="7838">
      <c r="A7838" s="9" t="str">
        <f>IFERROR(__xludf.DUMMYFUNCTION("""COMPUTED_VALUE"""),"G-REQ-07837")</f>
        <v>G-REQ-07837</v>
      </c>
      <c r="B7838" s="11">
        <f>IFERROR(__xludf.DUMMYFUNCTION("""COMPUTED_VALUE"""),46308.27777777778)</f>
        <v>46308.27778</v>
      </c>
      <c r="C7838" s="9">
        <f>IFERROR(__xludf.DUMMYFUNCTION("""COMPUTED_VALUE"""),29443.0)</f>
        <v>29443</v>
      </c>
      <c r="D7838" s="9" t="str">
        <f>IFERROR(__xludf.DUMMYFUNCTION("""COMPUTED_VALUE"""),"In progress")</f>
        <v>In progress</v>
      </c>
    </row>
    <row r="7839">
      <c r="A7839" s="9" t="str">
        <f>IFERROR(__xludf.DUMMYFUNCTION("""COMPUTED_VALUE"""),"G-REQ-07838")</f>
        <v>G-REQ-07838</v>
      </c>
      <c r="B7839" s="11">
        <f>IFERROR(__xludf.DUMMYFUNCTION("""COMPUTED_VALUE"""),46308.291666666664)</f>
        <v>46308.29167</v>
      </c>
      <c r="C7839" s="9">
        <f>IFERROR(__xludf.DUMMYFUNCTION("""COMPUTED_VALUE"""),29444.0)</f>
        <v>29444</v>
      </c>
      <c r="D7839" s="9" t="str">
        <f>IFERROR(__xludf.DUMMYFUNCTION("""COMPUTED_VALUE"""),"Pending approval")</f>
        <v>Pending approval</v>
      </c>
    </row>
    <row r="7840">
      <c r="A7840" s="9" t="str">
        <f>IFERROR(__xludf.DUMMYFUNCTION("""COMPUTED_VALUE"""),"G-REQ-07839")</f>
        <v>G-REQ-07839</v>
      </c>
      <c r="B7840" s="11">
        <f>IFERROR(__xludf.DUMMYFUNCTION("""COMPUTED_VALUE"""),46308.31944444444)</f>
        <v>46308.31944</v>
      </c>
      <c r="C7840" s="9">
        <f>IFERROR(__xludf.DUMMYFUNCTION("""COMPUTED_VALUE"""),29447.0)</f>
        <v>29447</v>
      </c>
      <c r="D7840" s="9" t="str">
        <f>IFERROR(__xludf.DUMMYFUNCTION("""COMPUTED_VALUE"""),"In progress")</f>
        <v>In progress</v>
      </c>
    </row>
    <row r="7841">
      <c r="A7841" s="9" t="str">
        <f>IFERROR(__xludf.DUMMYFUNCTION("""COMPUTED_VALUE"""),"G-REQ-07840")</f>
        <v>G-REQ-07840</v>
      </c>
      <c r="B7841" s="11">
        <f>IFERROR(__xludf.DUMMYFUNCTION("""COMPUTED_VALUE"""),46308.333333333336)</f>
        <v>46308.33333</v>
      </c>
      <c r="C7841" s="9">
        <f>IFERROR(__xludf.DUMMYFUNCTION("""COMPUTED_VALUE"""),29448.0)</f>
        <v>29448</v>
      </c>
      <c r="D7841" s="9" t="str">
        <f>IFERROR(__xludf.DUMMYFUNCTION("""COMPUTED_VALUE"""),"Pending approval")</f>
        <v>Pending approval</v>
      </c>
    </row>
    <row r="7842">
      <c r="A7842" s="9" t="str">
        <f>IFERROR(__xludf.DUMMYFUNCTION("""COMPUTED_VALUE"""),"G-REQ-07841")</f>
        <v>G-REQ-07841</v>
      </c>
      <c r="B7842" s="11">
        <f>IFERROR(__xludf.DUMMYFUNCTION("""COMPUTED_VALUE"""),46308.36111111111)</f>
        <v>46308.36111</v>
      </c>
      <c r="C7842" s="9">
        <f>IFERROR(__xludf.DUMMYFUNCTION("""COMPUTED_VALUE"""),29451.0)</f>
        <v>29451</v>
      </c>
      <c r="D7842" s="9" t="str">
        <f>IFERROR(__xludf.DUMMYFUNCTION("""COMPUTED_VALUE"""),"In progress")</f>
        <v>In progress</v>
      </c>
    </row>
    <row r="7843">
      <c r="A7843" s="9" t="str">
        <f>IFERROR(__xludf.DUMMYFUNCTION("""COMPUTED_VALUE"""),"G-REQ-07842")</f>
        <v>G-REQ-07842</v>
      </c>
      <c r="B7843" s="11">
        <f>IFERROR(__xludf.DUMMYFUNCTION("""COMPUTED_VALUE"""),46308.37499999999)</f>
        <v>46308.375</v>
      </c>
      <c r="C7843" s="9">
        <f>IFERROR(__xludf.DUMMYFUNCTION("""COMPUTED_VALUE"""),29452.0)</f>
        <v>29452</v>
      </c>
      <c r="D7843" s="9" t="str">
        <f>IFERROR(__xludf.DUMMYFUNCTION("""COMPUTED_VALUE"""),"Pending approval")</f>
        <v>Pending approval</v>
      </c>
    </row>
    <row r="7844">
      <c r="A7844" s="9" t="str">
        <f>IFERROR(__xludf.DUMMYFUNCTION("""COMPUTED_VALUE"""),"G-REQ-07843")</f>
        <v>G-REQ-07843</v>
      </c>
      <c r="B7844" s="11">
        <f>IFERROR(__xludf.DUMMYFUNCTION("""COMPUTED_VALUE"""),46308.40277777778)</f>
        <v>46308.40278</v>
      </c>
      <c r="C7844" s="9">
        <f>IFERROR(__xludf.DUMMYFUNCTION("""COMPUTED_VALUE"""),29455.0)</f>
        <v>29455</v>
      </c>
      <c r="D7844" s="9" t="str">
        <f>IFERROR(__xludf.DUMMYFUNCTION("""COMPUTED_VALUE"""),"In progress")</f>
        <v>In progress</v>
      </c>
    </row>
    <row r="7845">
      <c r="A7845" s="9" t="str">
        <f>IFERROR(__xludf.DUMMYFUNCTION("""COMPUTED_VALUE"""),"G-REQ-07844")</f>
        <v>G-REQ-07844</v>
      </c>
      <c r="B7845" s="11">
        <f>IFERROR(__xludf.DUMMYFUNCTION("""COMPUTED_VALUE"""),46308.416666666664)</f>
        <v>46308.41667</v>
      </c>
      <c r="C7845" s="9">
        <f>IFERROR(__xludf.DUMMYFUNCTION("""COMPUTED_VALUE"""),29456.0)</f>
        <v>29456</v>
      </c>
      <c r="D7845" s="9" t="str">
        <f>IFERROR(__xludf.DUMMYFUNCTION("""COMPUTED_VALUE"""),"Pending approval")</f>
        <v>Pending approval</v>
      </c>
    </row>
    <row r="7846">
      <c r="A7846" s="9" t="str">
        <f>IFERROR(__xludf.DUMMYFUNCTION("""COMPUTED_VALUE"""),"G-REQ-07845")</f>
        <v>G-REQ-07845</v>
      </c>
      <c r="B7846" s="11">
        <f>IFERROR(__xludf.DUMMYFUNCTION("""COMPUTED_VALUE"""),46308.44444444444)</f>
        <v>46308.44444</v>
      </c>
      <c r="C7846" s="9">
        <f>IFERROR(__xludf.DUMMYFUNCTION("""COMPUTED_VALUE"""),29459.0)</f>
        <v>29459</v>
      </c>
      <c r="D7846" s="9" t="str">
        <f>IFERROR(__xludf.DUMMYFUNCTION("""COMPUTED_VALUE"""),"In progress")</f>
        <v>In progress</v>
      </c>
    </row>
    <row r="7847">
      <c r="A7847" s="9" t="str">
        <f>IFERROR(__xludf.DUMMYFUNCTION("""COMPUTED_VALUE"""),"G-REQ-07846")</f>
        <v>G-REQ-07846</v>
      </c>
      <c r="B7847" s="11">
        <f>IFERROR(__xludf.DUMMYFUNCTION("""COMPUTED_VALUE"""),46308.458333333336)</f>
        <v>46308.45833</v>
      </c>
      <c r="C7847" s="9">
        <f>IFERROR(__xludf.DUMMYFUNCTION("""COMPUTED_VALUE"""),29460.0)</f>
        <v>29460</v>
      </c>
      <c r="D7847" s="9" t="str">
        <f>IFERROR(__xludf.DUMMYFUNCTION("""COMPUTED_VALUE"""),"Pending approval")</f>
        <v>Pending approval</v>
      </c>
    </row>
    <row r="7848">
      <c r="A7848" s="9" t="str">
        <f>IFERROR(__xludf.DUMMYFUNCTION("""COMPUTED_VALUE"""),"G-REQ-07847")</f>
        <v>G-REQ-07847</v>
      </c>
      <c r="B7848" s="11">
        <f>IFERROR(__xludf.DUMMYFUNCTION("""COMPUTED_VALUE"""),46308.48611111111)</f>
        <v>46308.48611</v>
      </c>
      <c r="C7848" s="9">
        <f>IFERROR(__xludf.DUMMYFUNCTION("""COMPUTED_VALUE"""),29463.0)</f>
        <v>29463</v>
      </c>
      <c r="D7848" s="9" t="str">
        <f>IFERROR(__xludf.DUMMYFUNCTION("""COMPUTED_VALUE"""),"In progress")</f>
        <v>In progress</v>
      </c>
    </row>
    <row r="7849">
      <c r="A7849" s="9" t="str">
        <f>IFERROR(__xludf.DUMMYFUNCTION("""COMPUTED_VALUE"""),"G-REQ-07848")</f>
        <v>G-REQ-07848</v>
      </c>
      <c r="B7849" s="11">
        <f>IFERROR(__xludf.DUMMYFUNCTION("""COMPUTED_VALUE"""),46308.49999999999)</f>
        <v>46308.5</v>
      </c>
      <c r="C7849" s="9">
        <f>IFERROR(__xludf.DUMMYFUNCTION("""COMPUTED_VALUE"""),29464.0)</f>
        <v>29464</v>
      </c>
      <c r="D7849" s="9" t="str">
        <f>IFERROR(__xludf.DUMMYFUNCTION("""COMPUTED_VALUE"""),"Pending approval")</f>
        <v>Pending approval</v>
      </c>
    </row>
    <row r="7850">
      <c r="A7850" s="9" t="str">
        <f>IFERROR(__xludf.DUMMYFUNCTION("""COMPUTED_VALUE"""),"G-REQ-07849")</f>
        <v>G-REQ-07849</v>
      </c>
      <c r="B7850" s="11">
        <f>IFERROR(__xludf.DUMMYFUNCTION("""COMPUTED_VALUE"""),46308.52777777778)</f>
        <v>46308.52778</v>
      </c>
      <c r="C7850" s="9">
        <f>IFERROR(__xludf.DUMMYFUNCTION("""COMPUTED_VALUE"""),29467.0)</f>
        <v>29467</v>
      </c>
      <c r="D7850" s="9" t="str">
        <f>IFERROR(__xludf.DUMMYFUNCTION("""COMPUTED_VALUE"""),"In progress")</f>
        <v>In progress</v>
      </c>
    </row>
    <row r="7851">
      <c r="A7851" s="9" t="str">
        <f>IFERROR(__xludf.DUMMYFUNCTION("""COMPUTED_VALUE"""),"G-REQ-07850")</f>
        <v>G-REQ-07850</v>
      </c>
      <c r="B7851" s="11">
        <f>IFERROR(__xludf.DUMMYFUNCTION("""COMPUTED_VALUE"""),46308.541666666664)</f>
        <v>46308.54167</v>
      </c>
      <c r="C7851" s="9">
        <f>IFERROR(__xludf.DUMMYFUNCTION("""COMPUTED_VALUE"""),29468.0)</f>
        <v>29468</v>
      </c>
      <c r="D7851" s="9" t="str">
        <f>IFERROR(__xludf.DUMMYFUNCTION("""COMPUTED_VALUE"""),"Pending approval")</f>
        <v>Pending approval</v>
      </c>
    </row>
    <row r="7852">
      <c r="A7852" s="9" t="str">
        <f>IFERROR(__xludf.DUMMYFUNCTION("""COMPUTED_VALUE"""),"G-REQ-07851")</f>
        <v>G-REQ-07851</v>
      </c>
      <c r="B7852" s="11">
        <f>IFERROR(__xludf.DUMMYFUNCTION("""COMPUTED_VALUE"""),46308.56944444444)</f>
        <v>46308.56944</v>
      </c>
      <c r="C7852" s="9">
        <f>IFERROR(__xludf.DUMMYFUNCTION("""COMPUTED_VALUE"""),29471.0)</f>
        <v>29471</v>
      </c>
      <c r="D7852" s="9" t="str">
        <f>IFERROR(__xludf.DUMMYFUNCTION("""COMPUTED_VALUE"""),"In progress")</f>
        <v>In progress</v>
      </c>
    </row>
    <row r="7853">
      <c r="A7853" s="9" t="str">
        <f>IFERROR(__xludf.DUMMYFUNCTION("""COMPUTED_VALUE"""),"H-REQ-001")</f>
        <v>H-REQ-001</v>
      </c>
      <c r="B7853" s="11">
        <f>IFERROR(__xludf.DUMMYFUNCTION("""COMPUTED_VALUE"""),45763.291666666664)</f>
        <v>45763.29167</v>
      </c>
      <c r="C7853" s="9">
        <f>IFERROR(__xludf.DUMMYFUNCTION("""COMPUTED_VALUE"""),9.0)</f>
        <v>9</v>
      </c>
      <c r="D7853" s="9" t="str">
        <f>IFERROR(__xludf.DUMMYFUNCTION("""COMPUTED_VALUE"""),"Completed")</f>
        <v>Completed</v>
      </c>
    </row>
    <row r="7854">
      <c r="A7854" s="9" t="str">
        <f>IFERROR(__xludf.DUMMYFUNCTION("""COMPUTED_VALUE"""),"H-REQ-002")</f>
        <v>H-REQ-002</v>
      </c>
      <c r="B7854" s="11">
        <f>IFERROR(__xludf.DUMMYFUNCTION("""COMPUTED_VALUE"""),45768.291666666664)</f>
        <v>45768.29167</v>
      </c>
      <c r="C7854" s="9">
        <f>IFERROR(__xludf.DUMMYFUNCTION("""COMPUTED_VALUE"""),13.0)</f>
        <v>13</v>
      </c>
      <c r="D7854" s="9" t="str">
        <f>IFERROR(__xludf.DUMMYFUNCTION("""COMPUTED_VALUE"""),"Completed")</f>
        <v>Completed</v>
      </c>
    </row>
    <row r="7855">
      <c r="A7855" s="9" t="str">
        <f>IFERROR(__xludf.DUMMYFUNCTION("""COMPUTED_VALUE"""),"H-REQ-003")</f>
        <v>H-REQ-003</v>
      </c>
      <c r="B7855" s="11">
        <f>IFERROR(__xludf.DUMMYFUNCTION("""COMPUTED_VALUE"""),45773.291666666664)</f>
        <v>45773.29167</v>
      </c>
      <c r="C7855" s="9">
        <f>IFERROR(__xludf.DUMMYFUNCTION("""COMPUTED_VALUE"""),17.0)</f>
        <v>17</v>
      </c>
      <c r="D7855" s="9" t="str">
        <f>IFERROR(__xludf.DUMMYFUNCTION("""COMPUTED_VALUE"""),"Completed")</f>
        <v>Completed</v>
      </c>
    </row>
    <row r="7856">
      <c r="A7856" s="9" t="str">
        <f>IFERROR(__xludf.DUMMYFUNCTION("""COMPUTED_VALUE"""),"H-REQ-004")</f>
        <v>H-REQ-004</v>
      </c>
      <c r="B7856" s="11">
        <f>IFERROR(__xludf.DUMMYFUNCTION("""COMPUTED_VALUE"""),45778.291666666664)</f>
        <v>45778.29167</v>
      </c>
      <c r="C7856" s="9">
        <f>IFERROR(__xludf.DUMMYFUNCTION("""COMPUTED_VALUE"""),21.0)</f>
        <v>21</v>
      </c>
      <c r="D7856" s="9" t="str">
        <f>IFERROR(__xludf.DUMMYFUNCTION("""COMPUTED_VALUE"""),"Completed")</f>
        <v>Completed</v>
      </c>
    </row>
    <row r="7857">
      <c r="A7857" s="9" t="str">
        <f>IFERROR(__xludf.DUMMYFUNCTION("""COMPUTED_VALUE"""),"H-REQ-005")</f>
        <v>H-REQ-005</v>
      </c>
      <c r="B7857" s="11">
        <f>IFERROR(__xludf.DUMMYFUNCTION("""COMPUTED_VALUE"""),45783.291666666664)</f>
        <v>45783.29167</v>
      </c>
      <c r="C7857" s="9">
        <f>IFERROR(__xludf.DUMMYFUNCTION("""COMPUTED_VALUE"""),25.0)</f>
        <v>25</v>
      </c>
      <c r="D7857" s="9" t="str">
        <f>IFERROR(__xludf.DUMMYFUNCTION("""COMPUTED_VALUE"""),"Completed")</f>
        <v>Completed</v>
      </c>
    </row>
    <row r="7858">
      <c r="A7858" s="9" t="str">
        <f>IFERROR(__xludf.DUMMYFUNCTION("""COMPUTED_VALUE"""),"H-REQ-006")</f>
        <v>H-REQ-006</v>
      </c>
      <c r="B7858" s="11">
        <f>IFERROR(__xludf.DUMMYFUNCTION("""COMPUTED_VALUE"""),45788.291666666664)</f>
        <v>45788.29167</v>
      </c>
      <c r="C7858" s="9">
        <f>IFERROR(__xludf.DUMMYFUNCTION("""COMPUTED_VALUE"""),29.0)</f>
        <v>29</v>
      </c>
      <c r="D7858" s="9" t="str">
        <f>IFERROR(__xludf.DUMMYFUNCTION("""COMPUTED_VALUE"""),"Completed")</f>
        <v>Completed</v>
      </c>
    </row>
    <row r="7859">
      <c r="A7859" s="9" t="str">
        <f>IFERROR(__xludf.DUMMYFUNCTION("""COMPUTED_VALUE"""),"H-REQ-007")</f>
        <v>H-REQ-007</v>
      </c>
      <c r="B7859" s="11">
        <f>IFERROR(__xludf.DUMMYFUNCTION("""COMPUTED_VALUE"""),45792.291666666664)</f>
        <v>45792.29167</v>
      </c>
      <c r="C7859" s="9">
        <f>IFERROR(__xludf.DUMMYFUNCTION("""COMPUTED_VALUE"""),31.0)</f>
        <v>31</v>
      </c>
      <c r="D7859" s="9" t="str">
        <f>IFERROR(__xludf.DUMMYFUNCTION("""COMPUTED_VALUE"""),"Rejected")</f>
        <v>Rejected</v>
      </c>
    </row>
    <row r="7860">
      <c r="A7860" s="9" t="str">
        <f>IFERROR(__xludf.DUMMYFUNCTION("""COMPUTED_VALUE"""),"H-REQ-008")</f>
        <v>H-REQ-008</v>
      </c>
      <c r="B7860" s="11">
        <f>IFERROR(__xludf.DUMMYFUNCTION("""COMPUTED_VALUE"""),45797.291666666664)</f>
        <v>45797.29167</v>
      </c>
      <c r="C7860" s="9">
        <f>IFERROR(__xludf.DUMMYFUNCTION("""COMPUTED_VALUE"""),33.0)</f>
        <v>33</v>
      </c>
      <c r="D7860" s="9" t="str">
        <f>IFERROR(__xludf.DUMMYFUNCTION("""COMPUTED_VALUE"""),"Cancelled")</f>
        <v>Cancelled</v>
      </c>
    </row>
    <row r="7861">
      <c r="A7861" s="9" t="str">
        <f>IFERROR(__xludf.DUMMYFUNCTION("""COMPUTED_VALUE"""),"H-REQ-009")</f>
        <v>H-REQ-009</v>
      </c>
      <c r="B7861" s="11">
        <f>IFERROR(__xludf.DUMMYFUNCTION("""COMPUTED_VALUE"""),46306.791666666664)</f>
        <v>46306.79167</v>
      </c>
      <c r="C7861" s="9">
        <f>IFERROR(__xludf.DUMMYFUNCTION("""COMPUTED_VALUE"""),36.0)</f>
        <v>36</v>
      </c>
      <c r="D7861" s="9" t="str">
        <f>IFERROR(__xludf.DUMMYFUNCTION("""COMPUTED_VALUE"""),"In progress")</f>
        <v>In progress</v>
      </c>
    </row>
    <row r="7862">
      <c r="A7862" s="9" t="str">
        <f>IFERROR(__xludf.DUMMYFUNCTION("""COMPUTED_VALUE"""),"H-REQ-010")</f>
        <v>H-REQ-010</v>
      </c>
      <c r="B7862" s="11">
        <f>IFERROR(__xludf.DUMMYFUNCTION("""COMPUTED_VALUE"""),46305.291666666664)</f>
        <v>46305.29167</v>
      </c>
      <c r="C7862" s="9">
        <f>IFERROR(__xludf.DUMMYFUNCTION("""COMPUTED_VALUE"""),37.0)</f>
        <v>37</v>
      </c>
      <c r="D7862" s="9" t="str">
        <f>IFERROR(__xludf.DUMMYFUNCTION("""COMPUTED_VALUE"""),"Pending approval")</f>
        <v>Pending approval</v>
      </c>
    </row>
    <row r="7863">
      <c r="A7863" s="9" t="str">
        <f>IFERROR(__xludf.DUMMYFUNCTION("""COMPUTED_VALUE"""),"H-REQ-011")</f>
        <v>H-REQ-011</v>
      </c>
      <c r="B7863" s="11">
        <f>IFERROR(__xludf.DUMMYFUNCTION("""COMPUTED_VALUE"""),45813.291666666664)</f>
        <v>45813.29167</v>
      </c>
      <c r="C7863" s="9">
        <f>IFERROR(__xludf.DUMMYFUNCTION("""COMPUTED_VALUE"""),41.0)</f>
        <v>41</v>
      </c>
      <c r="D7863" s="9" t="str">
        <f>IFERROR(__xludf.DUMMYFUNCTION("""COMPUTED_VALUE"""),"Completed")</f>
        <v>Completed</v>
      </c>
    </row>
    <row r="7864">
      <c r="A7864" s="9" t="str">
        <f>IFERROR(__xludf.DUMMYFUNCTION("""COMPUTED_VALUE"""),"H-REQ-012")</f>
        <v>H-REQ-012</v>
      </c>
      <c r="B7864" s="11">
        <f>IFERROR(__xludf.DUMMYFUNCTION("""COMPUTED_VALUE"""),45818.291666666664)</f>
        <v>45818.29167</v>
      </c>
      <c r="C7864" s="9">
        <f>IFERROR(__xludf.DUMMYFUNCTION("""COMPUTED_VALUE"""),45.0)</f>
        <v>45</v>
      </c>
      <c r="D7864" s="9" t="str">
        <f>IFERROR(__xludf.DUMMYFUNCTION("""COMPUTED_VALUE"""),"Completed")</f>
        <v>Completed</v>
      </c>
    </row>
    <row r="7865">
      <c r="A7865" s="9" t="str">
        <f>IFERROR(__xludf.DUMMYFUNCTION("""COMPUTED_VALUE"""),"H-REQ-013")</f>
        <v>H-REQ-013</v>
      </c>
      <c r="B7865" s="11">
        <f>IFERROR(__xludf.DUMMYFUNCTION("""COMPUTED_VALUE"""),45823.291666666664)</f>
        <v>45823.29167</v>
      </c>
      <c r="C7865" s="9">
        <f>IFERROR(__xludf.DUMMYFUNCTION("""COMPUTED_VALUE"""),49.0)</f>
        <v>49</v>
      </c>
      <c r="D7865" s="9" t="str">
        <f>IFERROR(__xludf.DUMMYFUNCTION("""COMPUTED_VALUE"""),"Completed")</f>
        <v>Completed</v>
      </c>
    </row>
    <row r="7866">
      <c r="A7866" s="9" t="str">
        <f>IFERROR(__xludf.DUMMYFUNCTION("""COMPUTED_VALUE"""),"H-REQ-014")</f>
        <v>H-REQ-014</v>
      </c>
      <c r="B7866" s="11">
        <f>IFERROR(__xludf.DUMMYFUNCTION("""COMPUTED_VALUE"""),45828.291666666664)</f>
        <v>45828.29167</v>
      </c>
      <c r="C7866" s="9">
        <f>IFERROR(__xludf.DUMMYFUNCTION("""COMPUTED_VALUE"""),53.0)</f>
        <v>53</v>
      </c>
      <c r="D7866" s="9" t="str">
        <f>IFERROR(__xludf.DUMMYFUNCTION("""COMPUTED_VALUE"""),"Completed")</f>
        <v>Completed</v>
      </c>
    </row>
    <row r="7867">
      <c r="A7867" s="9" t="str">
        <f>IFERROR(__xludf.DUMMYFUNCTION("""COMPUTED_VALUE"""),"H-REQ-015")</f>
        <v>H-REQ-015</v>
      </c>
      <c r="B7867" s="11">
        <f>IFERROR(__xludf.DUMMYFUNCTION("""COMPUTED_VALUE"""),45833.291666666664)</f>
        <v>45833.29167</v>
      </c>
      <c r="C7867" s="9">
        <f>IFERROR(__xludf.DUMMYFUNCTION("""COMPUTED_VALUE"""),57.0)</f>
        <v>57</v>
      </c>
      <c r="D7867" s="9" t="str">
        <f>IFERROR(__xludf.DUMMYFUNCTION("""COMPUTED_VALUE"""),"Completed")</f>
        <v>Completed</v>
      </c>
    </row>
    <row r="7868">
      <c r="A7868" s="9" t="str">
        <f>IFERROR(__xludf.DUMMYFUNCTION("""COMPUTED_VALUE"""),"H-REQ-016")</f>
        <v>H-REQ-016</v>
      </c>
      <c r="B7868" s="11">
        <f>IFERROR(__xludf.DUMMYFUNCTION("""COMPUTED_VALUE"""),45838.291666666664)</f>
        <v>45838.29167</v>
      </c>
      <c r="C7868" s="9">
        <f>IFERROR(__xludf.DUMMYFUNCTION("""COMPUTED_VALUE"""),61.0)</f>
        <v>61</v>
      </c>
      <c r="D7868" s="9" t="str">
        <f>IFERROR(__xludf.DUMMYFUNCTION("""COMPUTED_VALUE"""),"Completed")</f>
        <v>Completed</v>
      </c>
    </row>
    <row r="7869">
      <c r="A7869" s="9" t="str">
        <f>IFERROR(__xludf.DUMMYFUNCTION("""COMPUTED_VALUE"""),"H-REQ-017")</f>
        <v>H-REQ-017</v>
      </c>
      <c r="B7869" s="11">
        <f>IFERROR(__xludf.DUMMYFUNCTION("""COMPUTED_VALUE"""),45842.291666666664)</f>
        <v>45842.29167</v>
      </c>
      <c r="C7869" s="9">
        <f>IFERROR(__xludf.DUMMYFUNCTION("""COMPUTED_VALUE"""),63.0)</f>
        <v>63</v>
      </c>
      <c r="D7869" s="9" t="str">
        <f>IFERROR(__xludf.DUMMYFUNCTION("""COMPUTED_VALUE"""),"Rejected")</f>
        <v>Rejected</v>
      </c>
    </row>
    <row r="7870">
      <c r="A7870" s="9" t="str">
        <f>IFERROR(__xludf.DUMMYFUNCTION("""COMPUTED_VALUE"""),"H-REQ-018")</f>
        <v>H-REQ-018</v>
      </c>
      <c r="B7870" s="11">
        <f>IFERROR(__xludf.DUMMYFUNCTION("""COMPUTED_VALUE"""),45847.291666666664)</f>
        <v>45847.29167</v>
      </c>
      <c r="C7870" s="9">
        <f>IFERROR(__xludf.DUMMYFUNCTION("""COMPUTED_VALUE"""),65.0)</f>
        <v>65</v>
      </c>
      <c r="D7870" s="9" t="str">
        <f>IFERROR(__xludf.DUMMYFUNCTION("""COMPUTED_VALUE"""),"Cancelled")</f>
        <v>Cancelled</v>
      </c>
    </row>
    <row r="7871">
      <c r="A7871" s="9" t="str">
        <f>IFERROR(__xludf.DUMMYFUNCTION("""COMPUTED_VALUE"""),"H-REQ-019")</f>
        <v>H-REQ-019</v>
      </c>
      <c r="B7871" s="11">
        <f>IFERROR(__xludf.DUMMYFUNCTION("""COMPUTED_VALUE"""),46303.791666666664)</f>
        <v>46303.79167</v>
      </c>
      <c r="C7871" s="9">
        <f>IFERROR(__xludf.DUMMYFUNCTION("""COMPUTED_VALUE"""),68.0)</f>
        <v>68</v>
      </c>
      <c r="D7871" s="9" t="str">
        <f>IFERROR(__xludf.DUMMYFUNCTION("""COMPUTED_VALUE"""),"In progress")</f>
        <v>In progress</v>
      </c>
    </row>
    <row r="7872">
      <c r="A7872" s="9" t="str">
        <f>IFERROR(__xludf.DUMMYFUNCTION("""COMPUTED_VALUE"""),"H-REQ-020")</f>
        <v>H-REQ-020</v>
      </c>
      <c r="B7872" s="11">
        <f>IFERROR(__xludf.DUMMYFUNCTION("""COMPUTED_VALUE"""),46302.291666666664)</f>
        <v>46302.29167</v>
      </c>
      <c r="C7872" s="9">
        <f>IFERROR(__xludf.DUMMYFUNCTION("""COMPUTED_VALUE"""),69.0)</f>
        <v>69</v>
      </c>
      <c r="D7872" s="9" t="str">
        <f>IFERROR(__xludf.DUMMYFUNCTION("""COMPUTED_VALUE"""),"Pending approval")</f>
        <v>Pending approval</v>
      </c>
    </row>
    <row r="7873">
      <c r="A7873" s="9" t="str">
        <f>IFERROR(__xludf.DUMMYFUNCTION("""COMPUTED_VALUE"""),"H-REQ-021")</f>
        <v>H-REQ-021</v>
      </c>
      <c r="B7873" s="11">
        <f>IFERROR(__xludf.DUMMYFUNCTION("""COMPUTED_VALUE"""),45863.291666666664)</f>
        <v>45863.29167</v>
      </c>
      <c r="C7873" s="9">
        <f>IFERROR(__xludf.DUMMYFUNCTION("""COMPUTED_VALUE"""),73.0)</f>
        <v>73</v>
      </c>
      <c r="D7873" s="9" t="str">
        <f>IFERROR(__xludf.DUMMYFUNCTION("""COMPUTED_VALUE"""),"Completed")</f>
        <v>Completed</v>
      </c>
    </row>
    <row r="7874">
      <c r="A7874" s="9" t="str">
        <f>IFERROR(__xludf.DUMMYFUNCTION("""COMPUTED_VALUE"""),"H-REQ-022")</f>
        <v>H-REQ-022</v>
      </c>
      <c r="B7874" s="11">
        <f>IFERROR(__xludf.DUMMYFUNCTION("""COMPUTED_VALUE"""),45868.291666666664)</f>
        <v>45868.29167</v>
      </c>
      <c r="C7874" s="9">
        <f>IFERROR(__xludf.DUMMYFUNCTION("""COMPUTED_VALUE"""),77.0)</f>
        <v>77</v>
      </c>
      <c r="D7874" s="9" t="str">
        <f>IFERROR(__xludf.DUMMYFUNCTION("""COMPUTED_VALUE"""),"Completed")</f>
        <v>Completed</v>
      </c>
    </row>
    <row r="7875">
      <c r="A7875" s="9" t="str">
        <f>IFERROR(__xludf.DUMMYFUNCTION("""COMPUTED_VALUE"""),"H-REQ-023")</f>
        <v>H-REQ-023</v>
      </c>
      <c r="B7875" s="11">
        <f>IFERROR(__xludf.DUMMYFUNCTION("""COMPUTED_VALUE"""),45873.291666666664)</f>
        <v>45873.29167</v>
      </c>
      <c r="C7875" s="9">
        <f>IFERROR(__xludf.DUMMYFUNCTION("""COMPUTED_VALUE"""),81.0)</f>
        <v>81</v>
      </c>
      <c r="D7875" s="9" t="str">
        <f>IFERROR(__xludf.DUMMYFUNCTION("""COMPUTED_VALUE"""),"Completed")</f>
        <v>Completed</v>
      </c>
    </row>
    <row r="7876">
      <c r="A7876" s="9" t="str">
        <f>IFERROR(__xludf.DUMMYFUNCTION("""COMPUTED_VALUE"""),"H-REQ-024")</f>
        <v>H-REQ-024</v>
      </c>
      <c r="B7876" s="11">
        <f>IFERROR(__xludf.DUMMYFUNCTION("""COMPUTED_VALUE"""),45878.291666666664)</f>
        <v>45878.29167</v>
      </c>
      <c r="C7876" s="9">
        <f>IFERROR(__xludf.DUMMYFUNCTION("""COMPUTED_VALUE"""),85.0)</f>
        <v>85</v>
      </c>
      <c r="D7876" s="9" t="str">
        <f>IFERROR(__xludf.DUMMYFUNCTION("""COMPUTED_VALUE"""),"Completed")</f>
        <v>Completed</v>
      </c>
    </row>
    <row r="7877">
      <c r="A7877" s="9" t="str">
        <f>IFERROR(__xludf.DUMMYFUNCTION("""COMPUTED_VALUE"""),"H-REQ-025")</f>
        <v>H-REQ-025</v>
      </c>
      <c r="B7877" s="11">
        <f>IFERROR(__xludf.DUMMYFUNCTION("""COMPUTED_VALUE"""),45883.291666666664)</f>
        <v>45883.29167</v>
      </c>
      <c r="C7877" s="9">
        <f>IFERROR(__xludf.DUMMYFUNCTION("""COMPUTED_VALUE"""),89.0)</f>
        <v>89</v>
      </c>
      <c r="D7877" s="9" t="str">
        <f>IFERROR(__xludf.DUMMYFUNCTION("""COMPUTED_VALUE"""),"Completed")</f>
        <v>Completed</v>
      </c>
    </row>
    <row r="7878">
      <c r="A7878" s="9" t="str">
        <f>IFERROR(__xludf.DUMMYFUNCTION("""COMPUTED_VALUE"""),"H-REQ-026")</f>
        <v>H-REQ-026</v>
      </c>
      <c r="B7878" s="11">
        <f>IFERROR(__xludf.DUMMYFUNCTION("""COMPUTED_VALUE"""),45888.291666666664)</f>
        <v>45888.29167</v>
      </c>
      <c r="C7878" s="9">
        <f>IFERROR(__xludf.DUMMYFUNCTION("""COMPUTED_VALUE"""),93.0)</f>
        <v>93</v>
      </c>
      <c r="D7878" s="9" t="str">
        <f>IFERROR(__xludf.DUMMYFUNCTION("""COMPUTED_VALUE"""),"Completed")</f>
        <v>Completed</v>
      </c>
    </row>
    <row r="7879">
      <c r="A7879" s="9" t="str">
        <f>IFERROR(__xludf.DUMMYFUNCTION("""COMPUTED_VALUE"""),"H-REQ-027")</f>
        <v>H-REQ-027</v>
      </c>
      <c r="B7879" s="11">
        <f>IFERROR(__xludf.DUMMYFUNCTION("""COMPUTED_VALUE"""),45892.291666666664)</f>
        <v>45892.29167</v>
      </c>
      <c r="C7879" s="9">
        <f>IFERROR(__xludf.DUMMYFUNCTION("""COMPUTED_VALUE"""),95.0)</f>
        <v>95</v>
      </c>
      <c r="D7879" s="9" t="str">
        <f>IFERROR(__xludf.DUMMYFUNCTION("""COMPUTED_VALUE"""),"Rejected")</f>
        <v>Rejected</v>
      </c>
    </row>
    <row r="7880">
      <c r="A7880" s="9" t="str">
        <f>IFERROR(__xludf.DUMMYFUNCTION("""COMPUTED_VALUE"""),"H-REQ-028")</f>
        <v>H-REQ-028</v>
      </c>
      <c r="B7880" s="11">
        <f>IFERROR(__xludf.DUMMYFUNCTION("""COMPUTED_VALUE"""),45897.291666666664)</f>
        <v>45897.29167</v>
      </c>
      <c r="C7880" s="9">
        <f>IFERROR(__xludf.DUMMYFUNCTION("""COMPUTED_VALUE"""),97.0)</f>
        <v>97</v>
      </c>
      <c r="D7880" s="9" t="str">
        <f>IFERROR(__xludf.DUMMYFUNCTION("""COMPUTED_VALUE"""),"Cancelled")</f>
        <v>Cancelled</v>
      </c>
    </row>
    <row r="7881">
      <c r="A7881" s="9" t="str">
        <f>IFERROR(__xludf.DUMMYFUNCTION("""COMPUTED_VALUE"""),"H-REQ-029")</f>
        <v>H-REQ-029</v>
      </c>
      <c r="B7881" s="11">
        <f>IFERROR(__xludf.DUMMYFUNCTION("""COMPUTED_VALUE"""),46307.791666666664)</f>
        <v>46307.79167</v>
      </c>
      <c r="C7881" s="9">
        <f>IFERROR(__xludf.DUMMYFUNCTION("""COMPUTED_VALUE"""),100.0)</f>
        <v>100</v>
      </c>
      <c r="D7881" s="9" t="str">
        <f>IFERROR(__xludf.DUMMYFUNCTION("""COMPUTED_VALUE"""),"In progress")</f>
        <v>In progress</v>
      </c>
    </row>
    <row r="7882">
      <c r="A7882" s="9" t="str">
        <f>IFERROR(__xludf.DUMMYFUNCTION("""COMPUTED_VALUE"""),"H-REQ-030")</f>
        <v>H-REQ-030</v>
      </c>
      <c r="B7882" s="11">
        <f>IFERROR(__xludf.DUMMYFUNCTION("""COMPUTED_VALUE"""),46306.291666666664)</f>
        <v>46306.29167</v>
      </c>
      <c r="C7882" s="9">
        <f>IFERROR(__xludf.DUMMYFUNCTION("""COMPUTED_VALUE"""),101.0)</f>
        <v>101</v>
      </c>
      <c r="D7882" s="9" t="str">
        <f>IFERROR(__xludf.DUMMYFUNCTION("""COMPUTED_VALUE"""),"Pending approval")</f>
        <v>Pending approval</v>
      </c>
    </row>
    <row r="7883">
      <c r="A7883" s="9" t="str">
        <f>IFERROR(__xludf.DUMMYFUNCTION("""COMPUTED_VALUE"""),"H-REQ-031")</f>
        <v>H-REQ-031</v>
      </c>
      <c r="B7883" s="11">
        <f>IFERROR(__xludf.DUMMYFUNCTION("""COMPUTED_VALUE"""),45913.291666666664)</f>
        <v>45913.29167</v>
      </c>
      <c r="C7883" s="9">
        <f>IFERROR(__xludf.DUMMYFUNCTION("""COMPUTED_VALUE"""),105.0)</f>
        <v>105</v>
      </c>
      <c r="D7883" s="9" t="str">
        <f>IFERROR(__xludf.DUMMYFUNCTION("""COMPUTED_VALUE"""),"Completed")</f>
        <v>Completed</v>
      </c>
    </row>
    <row r="7884">
      <c r="A7884" s="9" t="str">
        <f>IFERROR(__xludf.DUMMYFUNCTION("""COMPUTED_VALUE"""),"H-REQ-032")</f>
        <v>H-REQ-032</v>
      </c>
      <c r="B7884" s="11">
        <f>IFERROR(__xludf.DUMMYFUNCTION("""COMPUTED_VALUE"""),45918.291666666664)</f>
        <v>45918.29167</v>
      </c>
      <c r="C7884" s="9">
        <f>IFERROR(__xludf.DUMMYFUNCTION("""COMPUTED_VALUE"""),109.0)</f>
        <v>109</v>
      </c>
      <c r="D7884" s="9" t="str">
        <f>IFERROR(__xludf.DUMMYFUNCTION("""COMPUTED_VALUE"""),"Completed")</f>
        <v>Completed</v>
      </c>
    </row>
    <row r="7885">
      <c r="A7885" s="9" t="str">
        <f>IFERROR(__xludf.DUMMYFUNCTION("""COMPUTED_VALUE"""),"H-REQ-033")</f>
        <v>H-REQ-033</v>
      </c>
      <c r="B7885" s="11">
        <f>IFERROR(__xludf.DUMMYFUNCTION("""COMPUTED_VALUE"""),45923.291666666664)</f>
        <v>45923.29167</v>
      </c>
      <c r="C7885" s="9">
        <f>IFERROR(__xludf.DUMMYFUNCTION("""COMPUTED_VALUE"""),113.0)</f>
        <v>113</v>
      </c>
      <c r="D7885" s="9" t="str">
        <f>IFERROR(__xludf.DUMMYFUNCTION("""COMPUTED_VALUE"""),"Completed")</f>
        <v>Completed</v>
      </c>
    </row>
    <row r="7886">
      <c r="A7886" s="9" t="str">
        <f>IFERROR(__xludf.DUMMYFUNCTION("""COMPUTED_VALUE"""),"H-REQ-034")</f>
        <v>H-REQ-034</v>
      </c>
      <c r="B7886" s="11">
        <f>IFERROR(__xludf.DUMMYFUNCTION("""COMPUTED_VALUE"""),45928.291666666664)</f>
        <v>45928.29167</v>
      </c>
      <c r="C7886" s="9">
        <f>IFERROR(__xludf.DUMMYFUNCTION("""COMPUTED_VALUE"""),117.0)</f>
        <v>117</v>
      </c>
      <c r="D7886" s="9" t="str">
        <f>IFERROR(__xludf.DUMMYFUNCTION("""COMPUTED_VALUE"""),"Completed")</f>
        <v>Completed</v>
      </c>
    </row>
    <row r="7887">
      <c r="A7887" s="9" t="str">
        <f>IFERROR(__xludf.DUMMYFUNCTION("""COMPUTED_VALUE"""),"H-REQ-035")</f>
        <v>H-REQ-035</v>
      </c>
      <c r="B7887" s="11">
        <f>IFERROR(__xludf.DUMMYFUNCTION("""COMPUTED_VALUE"""),45933.291666666664)</f>
        <v>45933.29167</v>
      </c>
      <c r="C7887" s="9">
        <f>IFERROR(__xludf.DUMMYFUNCTION("""COMPUTED_VALUE"""),121.0)</f>
        <v>121</v>
      </c>
      <c r="D7887" s="9" t="str">
        <f>IFERROR(__xludf.DUMMYFUNCTION("""COMPUTED_VALUE"""),"Completed")</f>
        <v>Completed</v>
      </c>
    </row>
    <row r="7888">
      <c r="A7888" s="9" t="str">
        <f>IFERROR(__xludf.DUMMYFUNCTION("""COMPUTED_VALUE"""),"H-REQ-036")</f>
        <v>H-REQ-036</v>
      </c>
      <c r="B7888" s="11">
        <f>IFERROR(__xludf.DUMMYFUNCTION("""COMPUTED_VALUE"""),45938.291666666664)</f>
        <v>45938.29167</v>
      </c>
      <c r="C7888" s="9">
        <f>IFERROR(__xludf.DUMMYFUNCTION("""COMPUTED_VALUE"""),125.0)</f>
        <v>125</v>
      </c>
      <c r="D7888" s="9" t="str">
        <f>IFERROR(__xludf.DUMMYFUNCTION("""COMPUTED_VALUE"""),"Completed")</f>
        <v>Completed</v>
      </c>
    </row>
    <row r="7889">
      <c r="A7889" s="9" t="str">
        <f>IFERROR(__xludf.DUMMYFUNCTION("""COMPUTED_VALUE"""),"H-REQ-037")</f>
        <v>H-REQ-037</v>
      </c>
      <c r="B7889" s="11">
        <f>IFERROR(__xludf.DUMMYFUNCTION("""COMPUTED_VALUE"""),45942.291666666664)</f>
        <v>45942.29167</v>
      </c>
      <c r="C7889" s="9">
        <f>IFERROR(__xludf.DUMMYFUNCTION("""COMPUTED_VALUE"""),127.0)</f>
        <v>127</v>
      </c>
      <c r="D7889" s="9" t="str">
        <f>IFERROR(__xludf.DUMMYFUNCTION("""COMPUTED_VALUE"""),"Rejected")</f>
        <v>Rejected</v>
      </c>
    </row>
    <row r="7890">
      <c r="A7890" s="9" t="str">
        <f>IFERROR(__xludf.DUMMYFUNCTION("""COMPUTED_VALUE"""),"H-REQ-038")</f>
        <v>H-REQ-038</v>
      </c>
      <c r="B7890" s="11">
        <f>IFERROR(__xludf.DUMMYFUNCTION("""COMPUTED_VALUE"""),45947.291666666664)</f>
        <v>45947.29167</v>
      </c>
      <c r="C7890" s="9">
        <f>IFERROR(__xludf.DUMMYFUNCTION("""COMPUTED_VALUE"""),129.0)</f>
        <v>129</v>
      </c>
      <c r="D7890" s="9" t="str">
        <f>IFERROR(__xludf.DUMMYFUNCTION("""COMPUTED_VALUE"""),"Cancelled")</f>
        <v>Cancelled</v>
      </c>
    </row>
    <row r="7891">
      <c r="A7891" s="9" t="str">
        <f>IFERROR(__xludf.DUMMYFUNCTION("""COMPUTED_VALUE"""),"H-REQ-039")</f>
        <v>H-REQ-039</v>
      </c>
      <c r="B7891" s="11">
        <f>IFERROR(__xludf.DUMMYFUNCTION("""COMPUTED_VALUE"""),46304.791666666664)</f>
        <v>46304.79167</v>
      </c>
      <c r="C7891" s="9">
        <f>IFERROR(__xludf.DUMMYFUNCTION("""COMPUTED_VALUE"""),132.0)</f>
        <v>132</v>
      </c>
      <c r="D7891" s="9" t="str">
        <f>IFERROR(__xludf.DUMMYFUNCTION("""COMPUTED_VALUE"""),"In progress")</f>
        <v>In progress</v>
      </c>
    </row>
    <row r="7892">
      <c r="A7892" s="9" t="str">
        <f>IFERROR(__xludf.DUMMYFUNCTION("""COMPUTED_VALUE"""),"H-REQ-040")</f>
        <v>H-REQ-040</v>
      </c>
      <c r="B7892" s="11">
        <f>IFERROR(__xludf.DUMMYFUNCTION("""COMPUTED_VALUE"""),46303.291666666664)</f>
        <v>46303.29167</v>
      </c>
      <c r="C7892" s="9">
        <f>IFERROR(__xludf.DUMMYFUNCTION("""COMPUTED_VALUE"""),133.0)</f>
        <v>133</v>
      </c>
      <c r="D7892" s="9" t="str">
        <f>IFERROR(__xludf.DUMMYFUNCTION("""COMPUTED_VALUE"""),"Pending approval")</f>
        <v>Pending approval</v>
      </c>
    </row>
    <row r="7893">
      <c r="A7893" s="9" t="str">
        <f>IFERROR(__xludf.DUMMYFUNCTION("""COMPUTED_VALUE"""),"H-REQ-041")</f>
        <v>H-REQ-041</v>
      </c>
      <c r="B7893" s="11">
        <f>IFERROR(__xludf.DUMMYFUNCTION("""COMPUTED_VALUE"""),45963.291666666664)</f>
        <v>45963.29167</v>
      </c>
      <c r="C7893" s="9">
        <f>IFERROR(__xludf.DUMMYFUNCTION("""COMPUTED_VALUE"""),137.0)</f>
        <v>137</v>
      </c>
      <c r="D7893" s="9" t="str">
        <f>IFERROR(__xludf.DUMMYFUNCTION("""COMPUTED_VALUE"""),"Completed")</f>
        <v>Completed</v>
      </c>
    </row>
    <row r="7894">
      <c r="A7894" s="9" t="str">
        <f>IFERROR(__xludf.DUMMYFUNCTION("""COMPUTED_VALUE"""),"H-REQ-042")</f>
        <v>H-REQ-042</v>
      </c>
      <c r="B7894" s="11">
        <f>IFERROR(__xludf.DUMMYFUNCTION("""COMPUTED_VALUE"""),45968.291666666664)</f>
        <v>45968.29167</v>
      </c>
      <c r="C7894" s="9">
        <f>IFERROR(__xludf.DUMMYFUNCTION("""COMPUTED_VALUE"""),141.0)</f>
        <v>141</v>
      </c>
      <c r="D7894" s="9" t="str">
        <f>IFERROR(__xludf.DUMMYFUNCTION("""COMPUTED_VALUE"""),"Completed")</f>
        <v>Completed</v>
      </c>
    </row>
    <row r="7895">
      <c r="A7895" s="9" t="str">
        <f>IFERROR(__xludf.DUMMYFUNCTION("""COMPUTED_VALUE"""),"H-REQ-043")</f>
        <v>H-REQ-043</v>
      </c>
      <c r="B7895" s="11">
        <f>IFERROR(__xludf.DUMMYFUNCTION("""COMPUTED_VALUE"""),45973.291666666664)</f>
        <v>45973.29167</v>
      </c>
      <c r="C7895" s="9">
        <f>IFERROR(__xludf.DUMMYFUNCTION("""COMPUTED_VALUE"""),145.0)</f>
        <v>145</v>
      </c>
      <c r="D7895" s="9" t="str">
        <f>IFERROR(__xludf.DUMMYFUNCTION("""COMPUTED_VALUE"""),"Completed")</f>
        <v>Completed</v>
      </c>
    </row>
    <row r="7896">
      <c r="A7896" s="9" t="str">
        <f>IFERROR(__xludf.DUMMYFUNCTION("""COMPUTED_VALUE"""),"H-REQ-044")</f>
        <v>H-REQ-044</v>
      </c>
      <c r="B7896" s="11">
        <f>IFERROR(__xludf.DUMMYFUNCTION("""COMPUTED_VALUE"""),45978.291666666664)</f>
        <v>45978.29167</v>
      </c>
      <c r="C7896" s="9">
        <f>IFERROR(__xludf.DUMMYFUNCTION("""COMPUTED_VALUE"""),149.0)</f>
        <v>149</v>
      </c>
      <c r="D7896" s="9" t="str">
        <f>IFERROR(__xludf.DUMMYFUNCTION("""COMPUTED_VALUE"""),"Completed")</f>
        <v>Completed</v>
      </c>
    </row>
    <row r="7897">
      <c r="A7897" s="9" t="str">
        <f>IFERROR(__xludf.DUMMYFUNCTION("""COMPUTED_VALUE"""),"H-REQ-045")</f>
        <v>H-REQ-045</v>
      </c>
      <c r="B7897" s="11">
        <f>IFERROR(__xludf.DUMMYFUNCTION("""COMPUTED_VALUE"""),45983.291666666664)</f>
        <v>45983.29167</v>
      </c>
      <c r="C7897" s="9">
        <f>IFERROR(__xludf.DUMMYFUNCTION("""COMPUTED_VALUE"""),153.0)</f>
        <v>153</v>
      </c>
      <c r="D7897" s="9" t="str">
        <f>IFERROR(__xludf.DUMMYFUNCTION("""COMPUTED_VALUE"""),"Completed")</f>
        <v>Completed</v>
      </c>
    </row>
    <row r="7898">
      <c r="A7898" s="9" t="str">
        <f>IFERROR(__xludf.DUMMYFUNCTION("""COMPUTED_VALUE"""),"H-REQ-046")</f>
        <v>H-REQ-046</v>
      </c>
      <c r="B7898" s="11">
        <f>IFERROR(__xludf.DUMMYFUNCTION("""COMPUTED_VALUE"""),45988.291666666664)</f>
        <v>45988.29167</v>
      </c>
      <c r="C7898" s="9">
        <f>IFERROR(__xludf.DUMMYFUNCTION("""COMPUTED_VALUE"""),157.0)</f>
        <v>157</v>
      </c>
      <c r="D7898" s="9" t="str">
        <f>IFERROR(__xludf.DUMMYFUNCTION("""COMPUTED_VALUE"""),"Completed")</f>
        <v>Completed</v>
      </c>
    </row>
    <row r="7899">
      <c r="A7899" s="9" t="str">
        <f>IFERROR(__xludf.DUMMYFUNCTION("""COMPUTED_VALUE"""),"H-REQ-047")</f>
        <v>H-REQ-047</v>
      </c>
      <c r="B7899" s="11">
        <f>IFERROR(__xludf.DUMMYFUNCTION("""COMPUTED_VALUE"""),45992.291666666664)</f>
        <v>45992.29167</v>
      </c>
      <c r="C7899" s="9">
        <f>IFERROR(__xludf.DUMMYFUNCTION("""COMPUTED_VALUE"""),159.0)</f>
        <v>159</v>
      </c>
      <c r="D7899" s="9" t="str">
        <f>IFERROR(__xludf.DUMMYFUNCTION("""COMPUTED_VALUE"""),"Rejected")</f>
        <v>Rejected</v>
      </c>
    </row>
    <row r="7900">
      <c r="A7900" s="9" t="str">
        <f>IFERROR(__xludf.DUMMYFUNCTION("""COMPUTED_VALUE"""),"H-REQ-048")</f>
        <v>H-REQ-048</v>
      </c>
      <c r="B7900" s="11">
        <f>IFERROR(__xludf.DUMMYFUNCTION("""COMPUTED_VALUE"""),45997.291666666664)</f>
        <v>45997.29167</v>
      </c>
      <c r="C7900" s="9">
        <f>IFERROR(__xludf.DUMMYFUNCTION("""COMPUTED_VALUE"""),161.0)</f>
        <v>161</v>
      </c>
      <c r="D7900" s="9" t="str">
        <f>IFERROR(__xludf.DUMMYFUNCTION("""COMPUTED_VALUE"""),"Cancelled")</f>
        <v>Cancelled</v>
      </c>
    </row>
    <row r="7901">
      <c r="A7901" s="9" t="str">
        <f>IFERROR(__xludf.DUMMYFUNCTION("""COMPUTED_VALUE"""),"H-REQ-049")</f>
        <v>H-REQ-049</v>
      </c>
      <c r="B7901" s="11">
        <f>IFERROR(__xludf.DUMMYFUNCTION("""COMPUTED_VALUE"""),46308.791666666664)</f>
        <v>46308.79167</v>
      </c>
      <c r="C7901" s="9">
        <f>IFERROR(__xludf.DUMMYFUNCTION("""COMPUTED_VALUE"""),164.0)</f>
        <v>164</v>
      </c>
      <c r="D7901" s="9" t="str">
        <f>IFERROR(__xludf.DUMMYFUNCTION("""COMPUTED_VALUE"""),"In progress")</f>
        <v>In progress</v>
      </c>
    </row>
    <row r="7902">
      <c r="A7902" s="9" t="str">
        <f>IFERROR(__xludf.DUMMYFUNCTION("""COMPUTED_VALUE"""),"H-REQ-050")</f>
        <v>H-REQ-050</v>
      </c>
      <c r="B7902" s="11">
        <f>IFERROR(__xludf.DUMMYFUNCTION("""COMPUTED_VALUE"""),46307.291666666664)</f>
        <v>46307.29167</v>
      </c>
      <c r="C7902" s="9">
        <f>IFERROR(__xludf.DUMMYFUNCTION("""COMPUTED_VALUE"""),165.0)</f>
        <v>165</v>
      </c>
      <c r="D7902" s="9" t="str">
        <f>IFERROR(__xludf.DUMMYFUNCTION("""COMPUTED_VALUE"""),"Pending approval")</f>
        <v>Pending approval</v>
      </c>
    </row>
    <row r="7903">
      <c r="A7903" s="9" t="str">
        <f>IFERROR(__xludf.DUMMYFUNCTION("""COMPUTED_VALUE"""),"H-REQ-051")</f>
        <v>H-REQ-051</v>
      </c>
      <c r="B7903" s="11">
        <f>IFERROR(__xludf.DUMMYFUNCTION("""COMPUTED_VALUE"""),46013.291666666664)</f>
        <v>46013.29167</v>
      </c>
      <c r="C7903" s="9">
        <f>IFERROR(__xludf.DUMMYFUNCTION("""COMPUTED_VALUE"""),169.0)</f>
        <v>169</v>
      </c>
      <c r="D7903" s="9" t="str">
        <f>IFERROR(__xludf.DUMMYFUNCTION("""COMPUTED_VALUE"""),"Completed")</f>
        <v>Completed</v>
      </c>
    </row>
    <row r="7904">
      <c r="A7904" s="9" t="str">
        <f>IFERROR(__xludf.DUMMYFUNCTION("""COMPUTED_VALUE"""),"H-REQ-052")</f>
        <v>H-REQ-052</v>
      </c>
      <c r="B7904" s="11">
        <f>IFERROR(__xludf.DUMMYFUNCTION("""COMPUTED_VALUE"""),46018.291666666664)</f>
        <v>46018.29167</v>
      </c>
      <c r="C7904" s="9">
        <f>IFERROR(__xludf.DUMMYFUNCTION("""COMPUTED_VALUE"""),173.0)</f>
        <v>173</v>
      </c>
      <c r="D7904" s="9" t="str">
        <f>IFERROR(__xludf.DUMMYFUNCTION("""COMPUTED_VALUE"""),"Completed")</f>
        <v>Completed</v>
      </c>
    </row>
    <row r="7905">
      <c r="A7905" s="9" t="str">
        <f>IFERROR(__xludf.DUMMYFUNCTION("""COMPUTED_VALUE"""),"H-REQ-053")</f>
        <v>H-REQ-053</v>
      </c>
      <c r="B7905" s="11">
        <f>IFERROR(__xludf.DUMMYFUNCTION("""COMPUTED_VALUE"""),46023.291666666664)</f>
        <v>46023.29167</v>
      </c>
      <c r="C7905" s="9">
        <f>IFERROR(__xludf.DUMMYFUNCTION("""COMPUTED_VALUE"""),177.0)</f>
        <v>177</v>
      </c>
      <c r="D7905" s="9" t="str">
        <f>IFERROR(__xludf.DUMMYFUNCTION("""COMPUTED_VALUE"""),"Completed")</f>
        <v>Completed</v>
      </c>
    </row>
    <row r="7906">
      <c r="A7906" s="9" t="str">
        <f>IFERROR(__xludf.DUMMYFUNCTION("""COMPUTED_VALUE"""),"H-REQ-054")</f>
        <v>H-REQ-054</v>
      </c>
      <c r="B7906" s="11">
        <f>IFERROR(__xludf.DUMMYFUNCTION("""COMPUTED_VALUE"""),46028.291666666664)</f>
        <v>46028.29167</v>
      </c>
      <c r="C7906" s="9">
        <f>IFERROR(__xludf.DUMMYFUNCTION("""COMPUTED_VALUE"""),181.0)</f>
        <v>181</v>
      </c>
      <c r="D7906" s="9" t="str">
        <f>IFERROR(__xludf.DUMMYFUNCTION("""COMPUTED_VALUE"""),"Completed")</f>
        <v>Completed</v>
      </c>
    </row>
    <row r="7907">
      <c r="A7907" s="9" t="str">
        <f>IFERROR(__xludf.DUMMYFUNCTION("""COMPUTED_VALUE"""),"H-REQ-055")</f>
        <v>H-REQ-055</v>
      </c>
      <c r="B7907" s="11">
        <f>IFERROR(__xludf.DUMMYFUNCTION("""COMPUTED_VALUE"""),46033.291666666664)</f>
        <v>46033.29167</v>
      </c>
      <c r="C7907" s="9">
        <f>IFERROR(__xludf.DUMMYFUNCTION("""COMPUTED_VALUE"""),185.0)</f>
        <v>185</v>
      </c>
      <c r="D7907" s="9" t="str">
        <f>IFERROR(__xludf.DUMMYFUNCTION("""COMPUTED_VALUE"""),"Completed")</f>
        <v>Completed</v>
      </c>
    </row>
    <row r="7908">
      <c r="A7908" s="9" t="str">
        <f>IFERROR(__xludf.DUMMYFUNCTION("""COMPUTED_VALUE"""),"H-REQ-056")</f>
        <v>H-REQ-056</v>
      </c>
      <c r="B7908" s="11">
        <f>IFERROR(__xludf.DUMMYFUNCTION("""COMPUTED_VALUE"""),46038.291666666664)</f>
        <v>46038.29167</v>
      </c>
      <c r="C7908" s="9">
        <f>IFERROR(__xludf.DUMMYFUNCTION("""COMPUTED_VALUE"""),189.0)</f>
        <v>189</v>
      </c>
      <c r="D7908" s="9" t="str">
        <f>IFERROR(__xludf.DUMMYFUNCTION("""COMPUTED_VALUE"""),"Completed")</f>
        <v>Completed</v>
      </c>
    </row>
    <row r="7909">
      <c r="A7909" s="9" t="str">
        <f>IFERROR(__xludf.DUMMYFUNCTION("""COMPUTED_VALUE"""),"H-REQ-057")</f>
        <v>H-REQ-057</v>
      </c>
      <c r="B7909" s="11">
        <f>IFERROR(__xludf.DUMMYFUNCTION("""COMPUTED_VALUE"""),46042.291666666664)</f>
        <v>46042.29167</v>
      </c>
      <c r="C7909" s="9">
        <f>IFERROR(__xludf.DUMMYFUNCTION("""COMPUTED_VALUE"""),191.0)</f>
        <v>191</v>
      </c>
      <c r="D7909" s="9" t="str">
        <f>IFERROR(__xludf.DUMMYFUNCTION("""COMPUTED_VALUE"""),"Rejected")</f>
        <v>Rejected</v>
      </c>
    </row>
    <row r="7910">
      <c r="A7910" s="9" t="str">
        <f>IFERROR(__xludf.DUMMYFUNCTION("""COMPUTED_VALUE"""),"H-REQ-058")</f>
        <v>H-REQ-058</v>
      </c>
      <c r="B7910" s="11">
        <f>IFERROR(__xludf.DUMMYFUNCTION("""COMPUTED_VALUE"""),46047.291666666664)</f>
        <v>46047.29167</v>
      </c>
      <c r="C7910" s="9">
        <f>IFERROR(__xludf.DUMMYFUNCTION("""COMPUTED_VALUE"""),193.0)</f>
        <v>193</v>
      </c>
      <c r="D7910" s="9" t="str">
        <f>IFERROR(__xludf.DUMMYFUNCTION("""COMPUTED_VALUE"""),"Cancelled")</f>
        <v>Cancelled</v>
      </c>
    </row>
    <row r="7911">
      <c r="A7911" s="9" t="str">
        <f>IFERROR(__xludf.DUMMYFUNCTION("""COMPUTED_VALUE"""),"H-REQ-059")</f>
        <v>H-REQ-059</v>
      </c>
      <c r="B7911" s="11">
        <f>IFERROR(__xludf.DUMMYFUNCTION("""COMPUTED_VALUE"""),46305.791666666664)</f>
        <v>46305.79167</v>
      </c>
      <c r="C7911" s="9">
        <f>IFERROR(__xludf.DUMMYFUNCTION("""COMPUTED_VALUE"""),196.0)</f>
        <v>196</v>
      </c>
      <c r="D7911" s="9" t="str">
        <f>IFERROR(__xludf.DUMMYFUNCTION("""COMPUTED_VALUE"""),"In progress")</f>
        <v>In progress</v>
      </c>
    </row>
    <row r="7912">
      <c r="A7912" s="9" t="str">
        <f>IFERROR(__xludf.DUMMYFUNCTION("""COMPUTED_VALUE"""),"H-REQ-060")</f>
        <v>H-REQ-060</v>
      </c>
      <c r="B7912" s="11">
        <f>IFERROR(__xludf.DUMMYFUNCTION("""COMPUTED_VALUE"""),46304.291666666664)</f>
        <v>46304.29167</v>
      </c>
      <c r="C7912" s="9">
        <f>IFERROR(__xludf.DUMMYFUNCTION("""COMPUTED_VALUE"""),197.0)</f>
        <v>197</v>
      </c>
      <c r="D7912" s="9" t="str">
        <f>IFERROR(__xludf.DUMMYFUNCTION("""COMPUTED_VALUE"""),"Pending approval")</f>
        <v>Pending approval</v>
      </c>
    </row>
    <row r="7913">
      <c r="A7913" s="9" t="str">
        <f>IFERROR(__xludf.DUMMYFUNCTION("""COMPUTED_VALUE"""),"H-REQ-061")</f>
        <v>H-REQ-061</v>
      </c>
      <c r="B7913" s="11">
        <f>IFERROR(__xludf.DUMMYFUNCTION("""COMPUTED_VALUE"""),46063.291666666664)</f>
        <v>46063.29167</v>
      </c>
      <c r="C7913" s="9">
        <f>IFERROR(__xludf.DUMMYFUNCTION("""COMPUTED_VALUE"""),201.0)</f>
        <v>201</v>
      </c>
      <c r="D7913" s="9" t="str">
        <f>IFERROR(__xludf.DUMMYFUNCTION("""COMPUTED_VALUE"""),"Completed")</f>
        <v>Completed</v>
      </c>
    </row>
    <row r="7914">
      <c r="A7914" s="9" t="str">
        <f>IFERROR(__xludf.DUMMYFUNCTION("""COMPUTED_VALUE"""),"H-REQ-062")</f>
        <v>H-REQ-062</v>
      </c>
      <c r="B7914" s="11">
        <f>IFERROR(__xludf.DUMMYFUNCTION("""COMPUTED_VALUE"""),46068.291666666664)</f>
        <v>46068.29167</v>
      </c>
      <c r="C7914" s="9">
        <f>IFERROR(__xludf.DUMMYFUNCTION("""COMPUTED_VALUE"""),205.0)</f>
        <v>205</v>
      </c>
      <c r="D7914" s="9" t="str">
        <f>IFERROR(__xludf.DUMMYFUNCTION("""COMPUTED_VALUE"""),"Completed")</f>
        <v>Completed</v>
      </c>
    </row>
    <row r="7915">
      <c r="A7915" s="9" t="str">
        <f>IFERROR(__xludf.DUMMYFUNCTION("""COMPUTED_VALUE"""),"H-REQ-063")</f>
        <v>H-REQ-063</v>
      </c>
      <c r="B7915" s="11">
        <f>IFERROR(__xludf.DUMMYFUNCTION("""COMPUTED_VALUE"""),46073.291666666664)</f>
        <v>46073.29167</v>
      </c>
      <c r="C7915" s="9">
        <f>IFERROR(__xludf.DUMMYFUNCTION("""COMPUTED_VALUE"""),209.0)</f>
        <v>209</v>
      </c>
      <c r="D7915" s="9" t="str">
        <f>IFERROR(__xludf.DUMMYFUNCTION("""COMPUTED_VALUE"""),"Completed")</f>
        <v>Completed</v>
      </c>
    </row>
    <row r="7916">
      <c r="A7916" s="9" t="str">
        <f>IFERROR(__xludf.DUMMYFUNCTION("""COMPUTED_VALUE"""),"H-REQ-064")</f>
        <v>H-REQ-064</v>
      </c>
      <c r="B7916" s="11">
        <f>IFERROR(__xludf.DUMMYFUNCTION("""COMPUTED_VALUE"""),46078.291666666664)</f>
        <v>46078.29167</v>
      </c>
      <c r="C7916" s="9">
        <f>IFERROR(__xludf.DUMMYFUNCTION("""COMPUTED_VALUE"""),213.0)</f>
        <v>213</v>
      </c>
      <c r="D7916" s="9" t="str">
        <f>IFERROR(__xludf.DUMMYFUNCTION("""COMPUTED_VALUE"""),"Completed")</f>
        <v>Completed</v>
      </c>
    </row>
    <row r="7917">
      <c r="A7917" s="9" t="str">
        <f>IFERROR(__xludf.DUMMYFUNCTION("""COMPUTED_VALUE"""),"H-REQ-065")</f>
        <v>H-REQ-065</v>
      </c>
      <c r="B7917" s="11">
        <f>IFERROR(__xludf.DUMMYFUNCTION("""COMPUTED_VALUE"""),46083.291666666664)</f>
        <v>46083.29167</v>
      </c>
      <c r="C7917" s="9">
        <f>IFERROR(__xludf.DUMMYFUNCTION("""COMPUTED_VALUE"""),217.0)</f>
        <v>217</v>
      </c>
      <c r="D7917" s="9" t="str">
        <f>IFERROR(__xludf.DUMMYFUNCTION("""COMPUTED_VALUE"""),"Completed")</f>
        <v>Completed</v>
      </c>
    </row>
    <row r="7918">
      <c r="A7918" s="9" t="str">
        <f>IFERROR(__xludf.DUMMYFUNCTION("""COMPUTED_VALUE"""),"H-REQ-066")</f>
        <v>H-REQ-066</v>
      </c>
      <c r="B7918" s="11">
        <f>IFERROR(__xludf.DUMMYFUNCTION("""COMPUTED_VALUE"""),46088.291666666664)</f>
        <v>46088.29167</v>
      </c>
      <c r="C7918" s="9">
        <f>IFERROR(__xludf.DUMMYFUNCTION("""COMPUTED_VALUE"""),221.0)</f>
        <v>221</v>
      </c>
      <c r="D7918" s="9" t="str">
        <f>IFERROR(__xludf.DUMMYFUNCTION("""COMPUTED_VALUE"""),"Completed")</f>
        <v>Completed</v>
      </c>
    </row>
    <row r="7919">
      <c r="A7919" s="9" t="str">
        <f>IFERROR(__xludf.DUMMYFUNCTION("""COMPUTED_VALUE"""),"H-REQ-067")</f>
        <v>H-REQ-067</v>
      </c>
      <c r="B7919" s="11">
        <f>IFERROR(__xludf.DUMMYFUNCTION("""COMPUTED_VALUE"""),46092.291666666664)</f>
        <v>46092.29167</v>
      </c>
      <c r="C7919" s="9">
        <f>IFERROR(__xludf.DUMMYFUNCTION("""COMPUTED_VALUE"""),223.0)</f>
        <v>223</v>
      </c>
      <c r="D7919" s="9" t="str">
        <f>IFERROR(__xludf.DUMMYFUNCTION("""COMPUTED_VALUE"""),"Rejected")</f>
        <v>Rejected</v>
      </c>
    </row>
    <row r="7920">
      <c r="A7920" s="9" t="str">
        <f>IFERROR(__xludf.DUMMYFUNCTION("""COMPUTED_VALUE"""),"H-REQ-068")</f>
        <v>H-REQ-068</v>
      </c>
      <c r="B7920" s="11">
        <f>IFERROR(__xludf.DUMMYFUNCTION("""COMPUTED_VALUE"""),46097.291666666664)</f>
        <v>46097.29167</v>
      </c>
      <c r="C7920" s="9">
        <f>IFERROR(__xludf.DUMMYFUNCTION("""COMPUTED_VALUE"""),225.0)</f>
        <v>225</v>
      </c>
      <c r="D7920" s="9" t="str">
        <f>IFERROR(__xludf.DUMMYFUNCTION("""COMPUTED_VALUE"""),"Cancelled")</f>
        <v>Cancelled</v>
      </c>
    </row>
    <row r="7921">
      <c r="A7921" s="9" t="str">
        <f>IFERROR(__xludf.DUMMYFUNCTION("""COMPUTED_VALUE"""),"H-REQ-069")</f>
        <v>H-REQ-069</v>
      </c>
      <c r="B7921" s="11">
        <f>IFERROR(__xludf.DUMMYFUNCTION("""COMPUTED_VALUE"""),46302.791666666664)</f>
        <v>46302.79167</v>
      </c>
      <c r="C7921" s="9">
        <f>IFERROR(__xludf.DUMMYFUNCTION("""COMPUTED_VALUE"""),228.0)</f>
        <v>228</v>
      </c>
      <c r="D7921" s="9" t="str">
        <f>IFERROR(__xludf.DUMMYFUNCTION("""COMPUTED_VALUE"""),"In progress")</f>
        <v>In progress</v>
      </c>
    </row>
    <row r="7922">
      <c r="A7922" s="9" t="str">
        <f>IFERROR(__xludf.DUMMYFUNCTION("""COMPUTED_VALUE"""),"H-REQ-070")</f>
        <v>H-REQ-070</v>
      </c>
      <c r="B7922" s="11">
        <f>IFERROR(__xludf.DUMMYFUNCTION("""COMPUTED_VALUE"""),46308.291666666664)</f>
        <v>46308.29167</v>
      </c>
      <c r="C7922" s="9">
        <f>IFERROR(__xludf.DUMMYFUNCTION("""COMPUTED_VALUE"""),229.0)</f>
        <v>229</v>
      </c>
      <c r="D7922" s="9" t="str">
        <f>IFERROR(__xludf.DUMMYFUNCTION("""COMPUTED_VALUE"""),"Pending approval")</f>
        <v>Pending approval</v>
      </c>
    </row>
    <row r="7923">
      <c r="A7923" s="9" t="str">
        <f>IFERROR(__xludf.DUMMYFUNCTION("""COMPUTED_VALUE"""),"H-REQ-071")</f>
        <v>H-REQ-071</v>
      </c>
      <c r="B7923" s="11">
        <f>IFERROR(__xludf.DUMMYFUNCTION("""COMPUTED_VALUE"""),46113.291666666664)</f>
        <v>46113.29167</v>
      </c>
      <c r="C7923" s="9">
        <f>IFERROR(__xludf.DUMMYFUNCTION("""COMPUTED_VALUE"""),233.0)</f>
        <v>233</v>
      </c>
      <c r="D7923" s="9" t="str">
        <f>IFERROR(__xludf.DUMMYFUNCTION("""COMPUTED_VALUE"""),"Completed")</f>
        <v>Completed</v>
      </c>
    </row>
    <row r="7924">
      <c r="A7924" s="9" t="str">
        <f>IFERROR(__xludf.DUMMYFUNCTION("""COMPUTED_VALUE"""),"H-REQ-072")</f>
        <v>H-REQ-072</v>
      </c>
      <c r="B7924" s="11">
        <f>IFERROR(__xludf.DUMMYFUNCTION("""COMPUTED_VALUE"""),46118.291666666664)</f>
        <v>46118.29167</v>
      </c>
      <c r="C7924" s="9">
        <f>IFERROR(__xludf.DUMMYFUNCTION("""COMPUTED_VALUE"""),237.0)</f>
        <v>237</v>
      </c>
      <c r="D7924" s="9" t="str">
        <f>IFERROR(__xludf.DUMMYFUNCTION("""COMPUTED_VALUE"""),"Completed")</f>
        <v>Completed</v>
      </c>
    </row>
    <row r="7925">
      <c r="A7925" s="9" t="str">
        <f>IFERROR(__xludf.DUMMYFUNCTION("""COMPUTED_VALUE"""),"H-REQ-073")</f>
        <v>H-REQ-073</v>
      </c>
      <c r="B7925" s="11">
        <f>IFERROR(__xludf.DUMMYFUNCTION("""COMPUTED_VALUE"""),46123.291666666664)</f>
        <v>46123.29167</v>
      </c>
      <c r="C7925" s="9">
        <f>IFERROR(__xludf.DUMMYFUNCTION("""COMPUTED_VALUE"""),241.0)</f>
        <v>241</v>
      </c>
      <c r="D7925" s="9" t="str">
        <f>IFERROR(__xludf.DUMMYFUNCTION("""COMPUTED_VALUE"""),"Completed")</f>
        <v>Completed</v>
      </c>
    </row>
    <row r="7926">
      <c r="A7926" s="9" t="str">
        <f>IFERROR(__xludf.DUMMYFUNCTION("""COMPUTED_VALUE"""),"H-REQ-074")</f>
        <v>H-REQ-074</v>
      </c>
      <c r="B7926" s="11">
        <f>IFERROR(__xludf.DUMMYFUNCTION("""COMPUTED_VALUE"""),46128.291666666664)</f>
        <v>46128.29167</v>
      </c>
      <c r="C7926" s="9">
        <f>IFERROR(__xludf.DUMMYFUNCTION("""COMPUTED_VALUE"""),245.0)</f>
        <v>245</v>
      </c>
      <c r="D7926" s="9" t="str">
        <f>IFERROR(__xludf.DUMMYFUNCTION("""COMPUTED_VALUE"""),"Completed")</f>
        <v>Completed</v>
      </c>
    </row>
    <row r="7927">
      <c r="A7927" s="9" t="str">
        <f>IFERROR(__xludf.DUMMYFUNCTION("""COMPUTED_VALUE"""),"H-REQ-075")</f>
        <v>H-REQ-075</v>
      </c>
      <c r="B7927" s="11">
        <f>IFERROR(__xludf.DUMMYFUNCTION("""COMPUTED_VALUE"""),46133.291666666664)</f>
        <v>46133.29167</v>
      </c>
      <c r="C7927" s="9">
        <f>IFERROR(__xludf.DUMMYFUNCTION("""COMPUTED_VALUE"""),249.0)</f>
        <v>249</v>
      </c>
      <c r="D7927" s="9" t="str">
        <f>IFERROR(__xludf.DUMMYFUNCTION("""COMPUTED_VALUE"""),"Completed")</f>
        <v>Completed</v>
      </c>
    </row>
    <row r="7928">
      <c r="A7928" s="9" t="str">
        <f>IFERROR(__xludf.DUMMYFUNCTION("""COMPUTED_VALUE"""),"H-REQ-076")</f>
        <v>H-REQ-076</v>
      </c>
      <c r="B7928" s="11">
        <f>IFERROR(__xludf.DUMMYFUNCTION("""COMPUTED_VALUE"""),46138.291666666664)</f>
        <v>46138.29167</v>
      </c>
      <c r="C7928" s="9">
        <f>IFERROR(__xludf.DUMMYFUNCTION("""COMPUTED_VALUE"""),253.0)</f>
        <v>253</v>
      </c>
      <c r="D7928" s="9" t="str">
        <f>IFERROR(__xludf.DUMMYFUNCTION("""COMPUTED_VALUE"""),"Completed")</f>
        <v>Completed</v>
      </c>
    </row>
    <row r="7929">
      <c r="A7929" s="9" t="str">
        <f>IFERROR(__xludf.DUMMYFUNCTION("""COMPUTED_VALUE"""),"H-REQ-077")</f>
        <v>H-REQ-077</v>
      </c>
      <c r="B7929" s="11">
        <f>IFERROR(__xludf.DUMMYFUNCTION("""COMPUTED_VALUE"""),46142.291666666664)</f>
        <v>46142.29167</v>
      </c>
      <c r="C7929" s="9">
        <f>IFERROR(__xludf.DUMMYFUNCTION("""COMPUTED_VALUE"""),255.0)</f>
        <v>255</v>
      </c>
      <c r="D7929" s="9" t="str">
        <f>IFERROR(__xludf.DUMMYFUNCTION("""COMPUTED_VALUE"""),"Rejected")</f>
        <v>Rejected</v>
      </c>
    </row>
    <row r="7930">
      <c r="A7930" s="9" t="str">
        <f>IFERROR(__xludf.DUMMYFUNCTION("""COMPUTED_VALUE"""),"H-REQ-078")</f>
        <v>H-REQ-078</v>
      </c>
      <c r="B7930" s="11">
        <f>IFERROR(__xludf.DUMMYFUNCTION("""COMPUTED_VALUE"""),46147.291666666664)</f>
        <v>46147.29167</v>
      </c>
      <c r="C7930" s="9">
        <f>IFERROR(__xludf.DUMMYFUNCTION("""COMPUTED_VALUE"""),257.0)</f>
        <v>257</v>
      </c>
      <c r="D7930" s="9" t="str">
        <f>IFERROR(__xludf.DUMMYFUNCTION("""COMPUTED_VALUE"""),"Cancelled")</f>
        <v>Cancelled</v>
      </c>
    </row>
    <row r="7931">
      <c r="A7931" s="9" t="str">
        <f>IFERROR(__xludf.DUMMYFUNCTION("""COMPUTED_VALUE"""),"H-REQ-079")</f>
        <v>H-REQ-079</v>
      </c>
      <c r="B7931" s="11">
        <f>IFERROR(__xludf.DUMMYFUNCTION("""COMPUTED_VALUE"""),46306.791666666664)</f>
        <v>46306.79167</v>
      </c>
      <c r="C7931" s="9">
        <f>IFERROR(__xludf.DUMMYFUNCTION("""COMPUTED_VALUE"""),260.0)</f>
        <v>260</v>
      </c>
      <c r="D7931" s="9" t="str">
        <f>IFERROR(__xludf.DUMMYFUNCTION("""COMPUTED_VALUE"""),"In progress")</f>
        <v>In progress</v>
      </c>
    </row>
    <row r="7932">
      <c r="A7932" s="9" t="str">
        <f>IFERROR(__xludf.DUMMYFUNCTION("""COMPUTED_VALUE"""),"H-REQ-080")</f>
        <v>H-REQ-080</v>
      </c>
      <c r="B7932" s="11">
        <f>IFERROR(__xludf.DUMMYFUNCTION("""COMPUTED_VALUE"""),46305.291666666664)</f>
        <v>46305.29167</v>
      </c>
      <c r="C7932" s="9">
        <f>IFERROR(__xludf.DUMMYFUNCTION("""COMPUTED_VALUE"""),261.0)</f>
        <v>261</v>
      </c>
      <c r="D7932" s="9" t="str">
        <f>IFERROR(__xludf.DUMMYFUNCTION("""COMPUTED_VALUE"""),"Pending approval")</f>
        <v>Pending approval</v>
      </c>
    </row>
    <row r="7933">
      <c r="A7933" s="9" t="str">
        <f>IFERROR(__xludf.DUMMYFUNCTION("""COMPUTED_VALUE"""),"H-REQ-081")</f>
        <v>H-REQ-081</v>
      </c>
      <c r="B7933" s="11">
        <f>IFERROR(__xludf.DUMMYFUNCTION("""COMPUTED_VALUE"""),46163.291666666664)</f>
        <v>46163.29167</v>
      </c>
      <c r="C7933" s="9">
        <f>IFERROR(__xludf.DUMMYFUNCTION("""COMPUTED_VALUE"""),265.0)</f>
        <v>265</v>
      </c>
      <c r="D7933" s="9" t="str">
        <f>IFERROR(__xludf.DUMMYFUNCTION("""COMPUTED_VALUE"""),"Completed")</f>
        <v>Completed</v>
      </c>
    </row>
    <row r="7934">
      <c r="A7934" s="9" t="str">
        <f>IFERROR(__xludf.DUMMYFUNCTION("""COMPUTED_VALUE"""),"H-REQ-082")</f>
        <v>H-REQ-082</v>
      </c>
      <c r="B7934" s="11">
        <f>IFERROR(__xludf.DUMMYFUNCTION("""COMPUTED_VALUE"""),46168.291666666664)</f>
        <v>46168.29167</v>
      </c>
      <c r="C7934" s="9">
        <f>IFERROR(__xludf.DUMMYFUNCTION("""COMPUTED_VALUE"""),269.0)</f>
        <v>269</v>
      </c>
      <c r="D7934" s="9" t="str">
        <f>IFERROR(__xludf.DUMMYFUNCTION("""COMPUTED_VALUE"""),"Completed")</f>
        <v>Completed</v>
      </c>
    </row>
    <row r="7935">
      <c r="A7935" s="9" t="str">
        <f>IFERROR(__xludf.DUMMYFUNCTION("""COMPUTED_VALUE"""),"H-REQ-083")</f>
        <v>H-REQ-083</v>
      </c>
      <c r="B7935" s="11">
        <f>IFERROR(__xludf.DUMMYFUNCTION("""COMPUTED_VALUE"""),46173.291666666664)</f>
        <v>46173.29167</v>
      </c>
      <c r="C7935" s="9">
        <f>IFERROR(__xludf.DUMMYFUNCTION("""COMPUTED_VALUE"""),273.0)</f>
        <v>273</v>
      </c>
      <c r="D7935" s="9" t="str">
        <f>IFERROR(__xludf.DUMMYFUNCTION("""COMPUTED_VALUE"""),"Completed")</f>
        <v>Completed</v>
      </c>
    </row>
    <row r="7936">
      <c r="A7936" s="9" t="str">
        <f>IFERROR(__xludf.DUMMYFUNCTION("""COMPUTED_VALUE"""),"H-REQ-084")</f>
        <v>H-REQ-084</v>
      </c>
      <c r="B7936" s="11">
        <f>IFERROR(__xludf.DUMMYFUNCTION("""COMPUTED_VALUE"""),46178.291666666664)</f>
        <v>46178.29167</v>
      </c>
      <c r="C7936" s="9">
        <f>IFERROR(__xludf.DUMMYFUNCTION("""COMPUTED_VALUE"""),277.0)</f>
        <v>277</v>
      </c>
      <c r="D7936" s="9" t="str">
        <f>IFERROR(__xludf.DUMMYFUNCTION("""COMPUTED_VALUE"""),"Completed")</f>
        <v>Completed</v>
      </c>
    </row>
    <row r="7937">
      <c r="A7937" s="9" t="str">
        <f>IFERROR(__xludf.DUMMYFUNCTION("""COMPUTED_VALUE"""),"H-REQ-085")</f>
        <v>H-REQ-085</v>
      </c>
      <c r="B7937" s="11">
        <f>IFERROR(__xludf.DUMMYFUNCTION("""COMPUTED_VALUE"""),46183.291666666664)</f>
        <v>46183.29167</v>
      </c>
      <c r="C7937" s="9">
        <f>IFERROR(__xludf.DUMMYFUNCTION("""COMPUTED_VALUE"""),281.0)</f>
        <v>281</v>
      </c>
      <c r="D7937" s="9" t="str">
        <f>IFERROR(__xludf.DUMMYFUNCTION("""COMPUTED_VALUE"""),"Completed")</f>
        <v>Completed</v>
      </c>
    </row>
    <row r="7938">
      <c r="A7938" s="9" t="str">
        <f>IFERROR(__xludf.DUMMYFUNCTION("""COMPUTED_VALUE"""),"H-REQ-086")</f>
        <v>H-REQ-086</v>
      </c>
      <c r="B7938" s="11">
        <f>IFERROR(__xludf.DUMMYFUNCTION("""COMPUTED_VALUE"""),46188.291666666664)</f>
        <v>46188.29167</v>
      </c>
      <c r="C7938" s="9">
        <f>IFERROR(__xludf.DUMMYFUNCTION("""COMPUTED_VALUE"""),285.0)</f>
        <v>285</v>
      </c>
      <c r="D7938" s="9" t="str">
        <f>IFERROR(__xludf.DUMMYFUNCTION("""COMPUTED_VALUE"""),"Completed")</f>
        <v>Completed</v>
      </c>
    </row>
    <row r="7939">
      <c r="A7939" s="9" t="str">
        <f>IFERROR(__xludf.DUMMYFUNCTION("""COMPUTED_VALUE"""),"H-REQ-087")</f>
        <v>H-REQ-087</v>
      </c>
      <c r="B7939" s="11">
        <f>IFERROR(__xludf.DUMMYFUNCTION("""COMPUTED_VALUE"""),46192.291666666664)</f>
        <v>46192.29167</v>
      </c>
      <c r="C7939" s="9">
        <f>IFERROR(__xludf.DUMMYFUNCTION("""COMPUTED_VALUE"""),287.0)</f>
        <v>287</v>
      </c>
      <c r="D7939" s="9" t="str">
        <f>IFERROR(__xludf.DUMMYFUNCTION("""COMPUTED_VALUE"""),"Rejected")</f>
        <v>Rejected</v>
      </c>
    </row>
    <row r="7940">
      <c r="A7940" s="9" t="str">
        <f>IFERROR(__xludf.DUMMYFUNCTION("""COMPUTED_VALUE"""),"H-REQ-088")</f>
        <v>H-REQ-088</v>
      </c>
      <c r="B7940" s="11">
        <f>IFERROR(__xludf.DUMMYFUNCTION("""COMPUTED_VALUE"""),46197.291666666664)</f>
        <v>46197.29167</v>
      </c>
      <c r="C7940" s="9">
        <f>IFERROR(__xludf.DUMMYFUNCTION("""COMPUTED_VALUE"""),289.0)</f>
        <v>289</v>
      </c>
      <c r="D7940" s="9" t="str">
        <f>IFERROR(__xludf.DUMMYFUNCTION("""COMPUTED_VALUE"""),"Cancelled")</f>
        <v>Cancelled</v>
      </c>
    </row>
    <row r="7941">
      <c r="A7941" s="9" t="str">
        <f>IFERROR(__xludf.DUMMYFUNCTION("""COMPUTED_VALUE"""),"H-REQ-089")</f>
        <v>H-REQ-089</v>
      </c>
      <c r="B7941" s="11">
        <f>IFERROR(__xludf.DUMMYFUNCTION("""COMPUTED_VALUE"""),46303.791666666664)</f>
        <v>46303.79167</v>
      </c>
      <c r="C7941" s="9">
        <f>IFERROR(__xludf.DUMMYFUNCTION("""COMPUTED_VALUE"""),292.0)</f>
        <v>292</v>
      </c>
      <c r="D7941" s="9" t="str">
        <f>IFERROR(__xludf.DUMMYFUNCTION("""COMPUTED_VALUE"""),"In progress")</f>
        <v>In progress</v>
      </c>
    </row>
    <row r="7942">
      <c r="A7942" s="9" t="str">
        <f>IFERROR(__xludf.DUMMYFUNCTION("""COMPUTED_VALUE"""),"H-REQ-090")</f>
        <v>H-REQ-090</v>
      </c>
      <c r="B7942" s="11">
        <f>IFERROR(__xludf.DUMMYFUNCTION("""COMPUTED_VALUE"""),46302.291666666664)</f>
        <v>46302.29167</v>
      </c>
      <c r="C7942" s="9">
        <f>IFERROR(__xludf.DUMMYFUNCTION("""COMPUTED_VALUE"""),293.0)</f>
        <v>293</v>
      </c>
      <c r="D7942" s="9" t="str">
        <f>IFERROR(__xludf.DUMMYFUNCTION("""COMPUTED_VALUE"""),"Pending approval")</f>
        <v>Pending approval</v>
      </c>
    </row>
    <row r="7943">
      <c r="A7943" s="9" t="str">
        <f>IFERROR(__xludf.DUMMYFUNCTION("""COMPUTED_VALUE"""),"H-REQ-091")</f>
        <v>H-REQ-091</v>
      </c>
      <c r="B7943" s="11">
        <f>IFERROR(__xludf.DUMMYFUNCTION("""COMPUTED_VALUE"""),46213.291666666664)</f>
        <v>46213.29167</v>
      </c>
      <c r="C7943" s="9">
        <f>IFERROR(__xludf.DUMMYFUNCTION("""COMPUTED_VALUE"""),297.0)</f>
        <v>297</v>
      </c>
      <c r="D7943" s="9" t="str">
        <f>IFERROR(__xludf.DUMMYFUNCTION("""COMPUTED_VALUE"""),"Completed")</f>
        <v>Completed</v>
      </c>
    </row>
    <row r="7944">
      <c r="A7944" s="9" t="str">
        <f>IFERROR(__xludf.DUMMYFUNCTION("""COMPUTED_VALUE"""),"H-REQ-092")</f>
        <v>H-REQ-092</v>
      </c>
      <c r="B7944" s="11">
        <f>IFERROR(__xludf.DUMMYFUNCTION("""COMPUTED_VALUE"""),46218.291666666664)</f>
        <v>46218.29167</v>
      </c>
      <c r="C7944" s="9">
        <f>IFERROR(__xludf.DUMMYFUNCTION("""COMPUTED_VALUE"""),301.0)</f>
        <v>301</v>
      </c>
      <c r="D7944" s="9" t="str">
        <f>IFERROR(__xludf.DUMMYFUNCTION("""COMPUTED_VALUE"""),"Completed")</f>
        <v>Completed</v>
      </c>
    </row>
    <row r="7945">
      <c r="A7945" s="9" t="str">
        <f>IFERROR(__xludf.DUMMYFUNCTION("""COMPUTED_VALUE"""),"H-REQ-093")</f>
        <v>H-REQ-093</v>
      </c>
      <c r="B7945" s="11">
        <f>IFERROR(__xludf.DUMMYFUNCTION("""COMPUTED_VALUE"""),46223.291666666664)</f>
        <v>46223.29167</v>
      </c>
      <c r="C7945" s="9">
        <f>IFERROR(__xludf.DUMMYFUNCTION("""COMPUTED_VALUE"""),305.0)</f>
        <v>305</v>
      </c>
      <c r="D7945" s="9" t="str">
        <f>IFERROR(__xludf.DUMMYFUNCTION("""COMPUTED_VALUE"""),"Completed")</f>
        <v>Completed</v>
      </c>
    </row>
    <row r="7946">
      <c r="A7946" s="9" t="str">
        <f>IFERROR(__xludf.DUMMYFUNCTION("""COMPUTED_VALUE"""),"H-REQ-094")</f>
        <v>H-REQ-094</v>
      </c>
      <c r="B7946" s="11">
        <f>IFERROR(__xludf.DUMMYFUNCTION("""COMPUTED_VALUE"""),46228.291666666664)</f>
        <v>46228.29167</v>
      </c>
      <c r="C7946" s="9">
        <f>IFERROR(__xludf.DUMMYFUNCTION("""COMPUTED_VALUE"""),309.0)</f>
        <v>309</v>
      </c>
      <c r="D7946" s="9" t="str">
        <f>IFERROR(__xludf.DUMMYFUNCTION("""COMPUTED_VALUE"""),"Completed")</f>
        <v>Completed</v>
      </c>
    </row>
    <row r="7947">
      <c r="A7947" s="9" t="str">
        <f>IFERROR(__xludf.DUMMYFUNCTION("""COMPUTED_VALUE"""),"H-REQ-095")</f>
        <v>H-REQ-095</v>
      </c>
      <c r="B7947" s="11">
        <f>IFERROR(__xludf.DUMMYFUNCTION("""COMPUTED_VALUE"""),46233.291666666664)</f>
        <v>46233.29167</v>
      </c>
      <c r="C7947" s="9">
        <f>IFERROR(__xludf.DUMMYFUNCTION("""COMPUTED_VALUE"""),313.0)</f>
        <v>313</v>
      </c>
      <c r="D7947" s="9" t="str">
        <f>IFERROR(__xludf.DUMMYFUNCTION("""COMPUTED_VALUE"""),"Completed")</f>
        <v>Completed</v>
      </c>
    </row>
    <row r="7948">
      <c r="A7948" s="9" t="str">
        <f>IFERROR(__xludf.DUMMYFUNCTION("""COMPUTED_VALUE"""),"H-REQ-096")</f>
        <v>H-REQ-096</v>
      </c>
      <c r="B7948" s="11">
        <f>IFERROR(__xludf.DUMMYFUNCTION("""COMPUTED_VALUE"""),46238.291666666664)</f>
        <v>46238.29167</v>
      </c>
      <c r="C7948" s="9">
        <f>IFERROR(__xludf.DUMMYFUNCTION("""COMPUTED_VALUE"""),317.0)</f>
        <v>317</v>
      </c>
      <c r="D7948" s="9" t="str">
        <f>IFERROR(__xludf.DUMMYFUNCTION("""COMPUTED_VALUE"""),"Completed")</f>
        <v>Completed</v>
      </c>
    </row>
    <row r="7949">
      <c r="A7949" s="9" t="str">
        <f>IFERROR(__xludf.DUMMYFUNCTION("""COMPUTED_VALUE"""),"H-REQ-097")</f>
        <v>H-REQ-097</v>
      </c>
      <c r="B7949" s="11">
        <f>IFERROR(__xludf.DUMMYFUNCTION("""COMPUTED_VALUE"""),46242.291666666664)</f>
        <v>46242.29167</v>
      </c>
      <c r="C7949" s="9">
        <f>IFERROR(__xludf.DUMMYFUNCTION("""COMPUTED_VALUE"""),319.0)</f>
        <v>319</v>
      </c>
      <c r="D7949" s="9" t="str">
        <f>IFERROR(__xludf.DUMMYFUNCTION("""COMPUTED_VALUE"""),"Rejected")</f>
        <v>Rejected</v>
      </c>
    </row>
    <row r="7950">
      <c r="A7950" s="9" t="str">
        <f>IFERROR(__xludf.DUMMYFUNCTION("""COMPUTED_VALUE"""),"H-REQ-098")</f>
        <v>H-REQ-098</v>
      </c>
      <c r="B7950" s="11">
        <f>IFERROR(__xludf.DUMMYFUNCTION("""COMPUTED_VALUE"""),46247.291666666664)</f>
        <v>46247.29167</v>
      </c>
      <c r="C7950" s="9">
        <f>IFERROR(__xludf.DUMMYFUNCTION("""COMPUTED_VALUE"""),321.0)</f>
        <v>321</v>
      </c>
      <c r="D7950" s="9" t="str">
        <f>IFERROR(__xludf.DUMMYFUNCTION("""COMPUTED_VALUE"""),"Cancelled")</f>
        <v>Cancelled</v>
      </c>
    </row>
    <row r="7951">
      <c r="A7951" s="9" t="str">
        <f>IFERROR(__xludf.DUMMYFUNCTION("""COMPUTED_VALUE"""),"H-REQ-099")</f>
        <v>H-REQ-099</v>
      </c>
      <c r="B7951" s="11">
        <f>IFERROR(__xludf.DUMMYFUNCTION("""COMPUTED_VALUE"""),46307.791666666664)</f>
        <v>46307.79167</v>
      </c>
      <c r="C7951" s="9">
        <f>IFERROR(__xludf.DUMMYFUNCTION("""COMPUTED_VALUE"""),324.0)</f>
        <v>324</v>
      </c>
      <c r="D7951" s="9" t="str">
        <f>IFERROR(__xludf.DUMMYFUNCTION("""COMPUTED_VALUE"""),"In progress")</f>
        <v>In progress</v>
      </c>
    </row>
    <row r="7952">
      <c r="A7952" s="9" t="str">
        <f>IFERROR(__xludf.DUMMYFUNCTION("""COMPUTED_VALUE"""),"H-REQ-100")</f>
        <v>H-REQ-100</v>
      </c>
      <c r="B7952" s="11">
        <f>IFERROR(__xludf.DUMMYFUNCTION("""COMPUTED_VALUE"""),46306.291666666664)</f>
        <v>46306.29167</v>
      </c>
      <c r="C7952" s="9">
        <f>IFERROR(__xludf.DUMMYFUNCTION("""COMPUTED_VALUE"""),325.0)</f>
        <v>325</v>
      </c>
      <c r="D7952" s="9" t="str">
        <f>IFERROR(__xludf.DUMMYFUNCTION("""COMPUTED_VALUE"""),"Pending approval")</f>
        <v>Pending approval</v>
      </c>
    </row>
    <row r="7953">
      <c r="A7953" s="9" t="str">
        <f>IFERROR(__xludf.DUMMYFUNCTION("""COMPUTED_VALUE"""),"H-RET-001")</f>
        <v>H-RET-001</v>
      </c>
      <c r="B7953" s="11">
        <f>IFERROR(__xludf.DUMMYFUNCTION("""COMPUTED_VALUE"""),45860.416666666664)</f>
        <v>45860.41667</v>
      </c>
      <c r="C7953" s="9">
        <f>IFERROR(__xludf.DUMMYFUNCTION("""COMPUTED_VALUE"""),329.0)</f>
        <v>329</v>
      </c>
      <c r="D7953" s="9" t="str">
        <f>IFERROR(__xludf.DUMMYFUNCTION("""COMPUTED_VALUE"""),"Completed")</f>
        <v>Completed</v>
      </c>
    </row>
    <row r="7954">
      <c r="A7954" s="9" t="str">
        <f>IFERROR(__xludf.DUMMYFUNCTION("""COMPUTED_VALUE"""),"H-RET-002")</f>
        <v>H-RET-002</v>
      </c>
      <c r="B7954" s="11">
        <f>IFERROR(__xludf.DUMMYFUNCTION("""COMPUTED_VALUE"""),45960.416666666664)</f>
        <v>45960.41667</v>
      </c>
      <c r="C7954" s="9">
        <f>IFERROR(__xludf.DUMMYFUNCTION("""COMPUTED_VALUE"""),333.0)</f>
        <v>333</v>
      </c>
      <c r="D7954" s="9" t="str">
        <f>IFERROR(__xludf.DUMMYFUNCTION("""COMPUTED_VALUE"""),"Completed")</f>
        <v>Completed</v>
      </c>
    </row>
    <row r="7955">
      <c r="A7955" s="9" t="str">
        <f>IFERROR(__xludf.DUMMYFUNCTION("""COMPUTED_VALUE"""),"H-RET-003")</f>
        <v>H-RET-003</v>
      </c>
      <c r="B7955" s="11">
        <f>IFERROR(__xludf.DUMMYFUNCTION("""COMPUTED_VALUE"""),46060.416666666664)</f>
        <v>46060.41667</v>
      </c>
      <c r="C7955" s="9">
        <f>IFERROR(__xludf.DUMMYFUNCTION("""COMPUTED_VALUE"""),337.0)</f>
        <v>337</v>
      </c>
      <c r="D7955" s="9" t="str">
        <f>IFERROR(__xludf.DUMMYFUNCTION("""COMPUTED_VALUE"""),"Completed")</f>
        <v>Completed</v>
      </c>
    </row>
    <row r="7956">
      <c r="A7956" s="9" t="str">
        <f>IFERROR(__xludf.DUMMYFUNCTION("""COMPUTED_VALUE"""),"H-RET-004")</f>
        <v>H-RET-004</v>
      </c>
      <c r="B7956" s="11">
        <f>IFERROR(__xludf.DUMMYFUNCTION("""COMPUTED_VALUE"""),46160.416666666664)</f>
        <v>46160.41667</v>
      </c>
      <c r="C7956" s="9">
        <f>IFERROR(__xludf.DUMMYFUNCTION("""COMPUTED_VALUE"""),341.0)</f>
        <v>341</v>
      </c>
      <c r="D7956" s="9" t="str">
        <f>IFERROR(__xludf.DUMMYFUNCTION("""COMPUTED_VALUE"""),"Completed")</f>
        <v>Completed</v>
      </c>
    </row>
    <row r="7957">
      <c r="A7957" s="9" t="str">
        <f>IFERROR(__xludf.DUMMYFUNCTION("""COMPUTED_VALUE"""),"H-RET-005")</f>
        <v>H-RET-005</v>
      </c>
      <c r="B7957" s="11">
        <f>IFERROR(__xludf.DUMMYFUNCTION("""COMPUTED_VALUE"""),45865.416666666664)</f>
        <v>45865.41667</v>
      </c>
      <c r="C7957" s="9">
        <f>IFERROR(__xludf.DUMMYFUNCTION("""COMPUTED_VALUE"""),345.0)</f>
        <v>345</v>
      </c>
      <c r="D7957" s="9" t="str">
        <f>IFERROR(__xludf.DUMMYFUNCTION("""COMPUTED_VALUE"""),"Completed")</f>
        <v>Completed</v>
      </c>
    </row>
    <row r="7958">
      <c r="A7958" s="9" t="str">
        <f>IFERROR(__xludf.DUMMYFUNCTION("""COMPUTED_VALUE"""),"H-RET-006")</f>
        <v>H-RET-006</v>
      </c>
      <c r="B7958" s="11">
        <f>IFERROR(__xludf.DUMMYFUNCTION("""COMPUTED_VALUE"""),45965.416666666664)</f>
        <v>45965.41667</v>
      </c>
      <c r="C7958" s="9">
        <f>IFERROR(__xludf.DUMMYFUNCTION("""COMPUTED_VALUE"""),349.0)</f>
        <v>349</v>
      </c>
      <c r="D7958" s="9" t="str">
        <f>IFERROR(__xludf.DUMMYFUNCTION("""COMPUTED_VALUE"""),"Completed")</f>
        <v>Completed</v>
      </c>
    </row>
    <row r="7959">
      <c r="A7959" s="9" t="str">
        <f>IFERROR(__xludf.DUMMYFUNCTION("""COMPUTED_VALUE"""),"H-RET-007")</f>
        <v>H-RET-007</v>
      </c>
      <c r="B7959" s="11">
        <f>IFERROR(__xludf.DUMMYFUNCTION("""COMPUTED_VALUE"""),46065.416666666664)</f>
        <v>46065.41667</v>
      </c>
      <c r="C7959" s="9">
        <f>IFERROR(__xludf.DUMMYFUNCTION("""COMPUTED_VALUE"""),353.0)</f>
        <v>353</v>
      </c>
      <c r="D7959" s="9" t="str">
        <f>IFERROR(__xludf.DUMMYFUNCTION("""COMPUTED_VALUE"""),"Completed")</f>
        <v>Completed</v>
      </c>
    </row>
    <row r="7960">
      <c r="A7960" s="9" t="str">
        <f>IFERROR(__xludf.DUMMYFUNCTION("""COMPUTED_VALUE"""),"H-RET-008")</f>
        <v>H-RET-008</v>
      </c>
      <c r="B7960" s="11">
        <f>IFERROR(__xludf.DUMMYFUNCTION("""COMPUTED_VALUE"""),46165.416666666664)</f>
        <v>46165.41667</v>
      </c>
      <c r="C7960" s="9">
        <f>IFERROR(__xludf.DUMMYFUNCTION("""COMPUTED_VALUE"""),357.0)</f>
        <v>357</v>
      </c>
      <c r="D7960" s="9" t="str">
        <f>IFERROR(__xludf.DUMMYFUNCTION("""COMPUTED_VALUE"""),"Completed")</f>
        <v>Completed</v>
      </c>
    </row>
    <row r="7961">
      <c r="A7961" s="9" t="str">
        <f>IFERROR(__xludf.DUMMYFUNCTION("""COMPUTED_VALUE"""),"H-RET-009")</f>
        <v>H-RET-009</v>
      </c>
      <c r="B7961" s="11">
        <f>IFERROR(__xludf.DUMMYFUNCTION("""COMPUTED_VALUE"""),45870.416666666664)</f>
        <v>45870.41667</v>
      </c>
      <c r="C7961" s="9">
        <f>IFERROR(__xludf.DUMMYFUNCTION("""COMPUTED_VALUE"""),361.0)</f>
        <v>361</v>
      </c>
      <c r="D7961" s="9" t="str">
        <f>IFERROR(__xludf.DUMMYFUNCTION("""COMPUTED_VALUE"""),"Completed")</f>
        <v>Completed</v>
      </c>
    </row>
    <row r="7962">
      <c r="A7962" s="9" t="str">
        <f>IFERROR(__xludf.DUMMYFUNCTION("""COMPUTED_VALUE"""),"H-RET-010")</f>
        <v>H-RET-010</v>
      </c>
      <c r="B7962" s="11">
        <f>IFERROR(__xludf.DUMMYFUNCTION("""COMPUTED_VALUE"""),45970.416666666664)</f>
        <v>45970.41667</v>
      </c>
      <c r="C7962" s="9">
        <f>IFERROR(__xludf.DUMMYFUNCTION("""COMPUTED_VALUE"""),365.0)</f>
        <v>365</v>
      </c>
      <c r="D7962" s="9" t="str">
        <f>IFERROR(__xludf.DUMMYFUNCTION("""COMPUTED_VALUE"""),"Completed")</f>
        <v>Completed</v>
      </c>
    </row>
    <row r="7963">
      <c r="A7963" s="9" t="str">
        <f>IFERROR(__xludf.DUMMYFUNCTION("""COMPUTED_VALUE"""),"H-RET-011")</f>
        <v>H-RET-011</v>
      </c>
      <c r="B7963" s="11">
        <f>IFERROR(__xludf.DUMMYFUNCTION("""COMPUTED_VALUE"""),46070.416666666664)</f>
        <v>46070.41667</v>
      </c>
      <c r="C7963" s="9">
        <f>IFERROR(__xludf.DUMMYFUNCTION("""COMPUTED_VALUE"""),369.0)</f>
        <v>369</v>
      </c>
      <c r="D7963" s="9" t="str">
        <f>IFERROR(__xludf.DUMMYFUNCTION("""COMPUTED_VALUE"""),"Completed")</f>
        <v>Completed</v>
      </c>
    </row>
    <row r="7964">
      <c r="A7964" s="9" t="str">
        <f>IFERROR(__xludf.DUMMYFUNCTION("""COMPUTED_VALUE"""),"H-RET-012")</f>
        <v>H-RET-012</v>
      </c>
      <c r="B7964" s="11">
        <f>IFERROR(__xludf.DUMMYFUNCTION("""COMPUTED_VALUE"""),46170.416666666664)</f>
        <v>46170.41667</v>
      </c>
      <c r="C7964" s="9">
        <f>IFERROR(__xludf.DUMMYFUNCTION("""COMPUTED_VALUE"""),373.0)</f>
        <v>373</v>
      </c>
      <c r="D7964" s="9" t="str">
        <f>IFERROR(__xludf.DUMMYFUNCTION("""COMPUTED_VALUE"""),"Completed")</f>
        <v>Completed</v>
      </c>
    </row>
    <row r="7965">
      <c r="A7965" s="9" t="str">
        <f>IFERROR(__xludf.DUMMYFUNCTION("""COMPUTED_VALUE"""),"H-RET-013")</f>
        <v>H-RET-013</v>
      </c>
      <c r="B7965" s="11">
        <f>IFERROR(__xludf.DUMMYFUNCTION("""COMPUTED_VALUE"""),45875.416666666664)</f>
        <v>45875.41667</v>
      </c>
      <c r="C7965" s="9">
        <f>IFERROR(__xludf.DUMMYFUNCTION("""COMPUTED_VALUE"""),377.0)</f>
        <v>377</v>
      </c>
      <c r="D7965" s="9" t="str">
        <f>IFERROR(__xludf.DUMMYFUNCTION("""COMPUTED_VALUE"""),"Completed")</f>
        <v>Completed</v>
      </c>
    </row>
    <row r="7966">
      <c r="A7966" s="9" t="str">
        <f>IFERROR(__xludf.DUMMYFUNCTION("""COMPUTED_VALUE"""),"H-RET-014")</f>
        <v>H-RET-014</v>
      </c>
      <c r="B7966" s="11">
        <f>IFERROR(__xludf.DUMMYFUNCTION("""COMPUTED_VALUE"""),45975.416666666664)</f>
        <v>45975.41667</v>
      </c>
      <c r="C7966" s="9">
        <f>IFERROR(__xludf.DUMMYFUNCTION("""COMPUTED_VALUE"""),381.0)</f>
        <v>381</v>
      </c>
      <c r="D7966" s="9" t="str">
        <f>IFERROR(__xludf.DUMMYFUNCTION("""COMPUTED_VALUE"""),"Completed")</f>
        <v>Completed</v>
      </c>
    </row>
    <row r="7967">
      <c r="A7967" s="9" t="str">
        <f>IFERROR(__xludf.DUMMYFUNCTION("""COMPUTED_VALUE"""),"H-RET-015")</f>
        <v>H-RET-015</v>
      </c>
      <c r="B7967" s="11">
        <f>IFERROR(__xludf.DUMMYFUNCTION("""COMPUTED_VALUE"""),46075.416666666664)</f>
        <v>46075.41667</v>
      </c>
      <c r="C7967" s="9">
        <f>IFERROR(__xludf.DUMMYFUNCTION("""COMPUTED_VALUE"""),385.0)</f>
        <v>385</v>
      </c>
      <c r="D7967" s="9" t="str">
        <f>IFERROR(__xludf.DUMMYFUNCTION("""COMPUTED_VALUE"""),"Completed")</f>
        <v>Completed</v>
      </c>
    </row>
    <row r="7968">
      <c r="A7968" s="9" t="str">
        <f>IFERROR(__xludf.DUMMYFUNCTION("""COMPUTED_VALUE"""),"H-RET-016")</f>
        <v>H-RET-016</v>
      </c>
      <c r="B7968" s="11">
        <f>IFERROR(__xludf.DUMMYFUNCTION("""COMPUTED_VALUE"""),46175.416666666664)</f>
        <v>46175.41667</v>
      </c>
      <c r="C7968" s="9">
        <f>IFERROR(__xludf.DUMMYFUNCTION("""COMPUTED_VALUE"""),389.0)</f>
        <v>389</v>
      </c>
      <c r="D7968" s="9" t="str">
        <f>IFERROR(__xludf.DUMMYFUNCTION("""COMPUTED_VALUE"""),"Completed")</f>
        <v>Completed</v>
      </c>
    </row>
    <row r="7969">
      <c r="A7969" s="9" t="str">
        <f>IFERROR(__xludf.DUMMYFUNCTION("""COMPUTED_VALUE"""),"H-RET-017")</f>
        <v>H-RET-017</v>
      </c>
      <c r="B7969" s="11">
        <f>IFERROR(__xludf.DUMMYFUNCTION("""COMPUTED_VALUE"""),45880.416666666664)</f>
        <v>45880.41667</v>
      </c>
      <c r="C7969" s="9">
        <f>IFERROR(__xludf.DUMMYFUNCTION("""COMPUTED_VALUE"""),393.0)</f>
        <v>393</v>
      </c>
      <c r="D7969" s="9" t="str">
        <f>IFERROR(__xludf.DUMMYFUNCTION("""COMPUTED_VALUE"""),"Completed")</f>
        <v>Completed</v>
      </c>
    </row>
    <row r="7970">
      <c r="A7970" s="9" t="str">
        <f>IFERROR(__xludf.DUMMYFUNCTION("""COMPUTED_VALUE"""),"H-RET-018")</f>
        <v>H-RET-018</v>
      </c>
      <c r="B7970" s="11">
        <f>IFERROR(__xludf.DUMMYFUNCTION("""COMPUTED_VALUE"""),45980.416666666664)</f>
        <v>45980.41667</v>
      </c>
      <c r="C7970" s="9">
        <f>IFERROR(__xludf.DUMMYFUNCTION("""COMPUTED_VALUE"""),397.0)</f>
        <v>397</v>
      </c>
      <c r="D7970" s="9" t="str">
        <f>IFERROR(__xludf.DUMMYFUNCTION("""COMPUTED_VALUE"""),"Completed")</f>
        <v>Completed</v>
      </c>
    </row>
    <row r="7971">
      <c r="A7971" s="9" t="str">
        <f>IFERROR(__xludf.DUMMYFUNCTION("""COMPUTED_VALUE"""),"H-RET-019")</f>
        <v>H-RET-019</v>
      </c>
      <c r="B7971" s="11">
        <f>IFERROR(__xludf.DUMMYFUNCTION("""COMPUTED_VALUE"""),46080.416666666664)</f>
        <v>46080.41667</v>
      </c>
      <c r="C7971" s="9">
        <f>IFERROR(__xludf.DUMMYFUNCTION("""COMPUTED_VALUE"""),401.0)</f>
        <v>401</v>
      </c>
      <c r="D7971" s="9" t="str">
        <f>IFERROR(__xludf.DUMMYFUNCTION("""COMPUTED_VALUE"""),"Completed")</f>
        <v>Completed</v>
      </c>
    </row>
    <row r="7972">
      <c r="A7972" s="9" t="str">
        <f>IFERROR(__xludf.DUMMYFUNCTION("""COMPUTED_VALUE"""),"H-RET-020")</f>
        <v>H-RET-020</v>
      </c>
      <c r="B7972" s="11">
        <f>IFERROR(__xludf.DUMMYFUNCTION("""COMPUTED_VALUE"""),46180.416666666664)</f>
        <v>46180.41667</v>
      </c>
      <c r="C7972" s="9">
        <f>IFERROR(__xludf.DUMMYFUNCTION("""COMPUTED_VALUE"""),405.0)</f>
        <v>405</v>
      </c>
      <c r="D7972" s="9" t="str">
        <f>IFERROR(__xludf.DUMMYFUNCTION("""COMPUTED_VALUE"""),"Completed")</f>
        <v>Completed</v>
      </c>
    </row>
    <row r="7973">
      <c r="A7973" s="9" t="str">
        <f>IFERROR(__xludf.DUMMYFUNCTION("""COMPUTED_VALUE"""),"H-RET-021")</f>
        <v>H-RET-021</v>
      </c>
      <c r="B7973" s="11">
        <f>IFERROR(__xludf.DUMMYFUNCTION("""COMPUTED_VALUE"""),45885.416666666664)</f>
        <v>45885.41667</v>
      </c>
      <c r="C7973" s="9">
        <f>IFERROR(__xludf.DUMMYFUNCTION("""COMPUTED_VALUE"""),409.0)</f>
        <v>409</v>
      </c>
      <c r="D7973" s="9" t="str">
        <f>IFERROR(__xludf.DUMMYFUNCTION("""COMPUTED_VALUE"""),"Completed")</f>
        <v>Completed</v>
      </c>
    </row>
    <row r="7974">
      <c r="A7974" s="9" t="str">
        <f>IFERROR(__xludf.DUMMYFUNCTION("""COMPUTED_VALUE"""),"H-RET-022")</f>
        <v>H-RET-022</v>
      </c>
      <c r="B7974" s="11">
        <f>IFERROR(__xludf.DUMMYFUNCTION("""COMPUTED_VALUE"""),45985.416666666664)</f>
        <v>45985.41667</v>
      </c>
      <c r="C7974" s="9">
        <f>IFERROR(__xludf.DUMMYFUNCTION("""COMPUTED_VALUE"""),413.0)</f>
        <v>413</v>
      </c>
      <c r="D7974" s="9" t="str">
        <f>IFERROR(__xludf.DUMMYFUNCTION("""COMPUTED_VALUE"""),"Completed")</f>
        <v>Completed</v>
      </c>
    </row>
    <row r="7975">
      <c r="A7975" s="9" t="str">
        <f>IFERROR(__xludf.DUMMYFUNCTION("""COMPUTED_VALUE"""),"H-RET-023")</f>
        <v>H-RET-023</v>
      </c>
      <c r="B7975" s="11">
        <f>IFERROR(__xludf.DUMMYFUNCTION("""COMPUTED_VALUE"""),46085.416666666664)</f>
        <v>46085.41667</v>
      </c>
      <c r="C7975" s="9">
        <f>IFERROR(__xludf.DUMMYFUNCTION("""COMPUTED_VALUE"""),417.0)</f>
        <v>417</v>
      </c>
      <c r="D7975" s="9" t="str">
        <f>IFERROR(__xludf.DUMMYFUNCTION("""COMPUTED_VALUE"""),"Completed")</f>
        <v>Completed</v>
      </c>
    </row>
    <row r="7976">
      <c r="A7976" s="9" t="str">
        <f>IFERROR(__xludf.DUMMYFUNCTION("""COMPUTED_VALUE"""),"H-RET-024")</f>
        <v>H-RET-024</v>
      </c>
      <c r="B7976" s="11">
        <f>IFERROR(__xludf.DUMMYFUNCTION("""COMPUTED_VALUE"""),46185.416666666664)</f>
        <v>46185.41667</v>
      </c>
      <c r="C7976" s="9">
        <f>IFERROR(__xludf.DUMMYFUNCTION("""COMPUTED_VALUE"""),421.0)</f>
        <v>421</v>
      </c>
      <c r="D7976" s="9" t="str">
        <f>IFERROR(__xludf.DUMMYFUNCTION("""COMPUTED_VALUE"""),"Completed")</f>
        <v>Completed</v>
      </c>
    </row>
    <row r="7977">
      <c r="A7977" s="9" t="str">
        <f>IFERROR(__xludf.DUMMYFUNCTION("""COMPUTED_VALUE"""),"H-RET-025")</f>
        <v>H-RET-025</v>
      </c>
      <c r="B7977" s="11">
        <f>IFERROR(__xludf.DUMMYFUNCTION("""COMPUTED_VALUE"""),45910.416666666664)</f>
        <v>45910.41667</v>
      </c>
      <c r="C7977" s="9">
        <f>IFERROR(__xludf.DUMMYFUNCTION("""COMPUTED_VALUE"""),425.0)</f>
        <v>425</v>
      </c>
      <c r="D7977" s="9" t="str">
        <f>IFERROR(__xludf.DUMMYFUNCTION("""COMPUTED_VALUE"""),"Completed")</f>
        <v>Completed</v>
      </c>
    </row>
    <row r="7978">
      <c r="A7978" s="9" t="str">
        <f>IFERROR(__xludf.DUMMYFUNCTION("""COMPUTED_VALUE"""),"H-RET-026")</f>
        <v>H-RET-026</v>
      </c>
      <c r="B7978" s="11">
        <f>IFERROR(__xludf.DUMMYFUNCTION("""COMPUTED_VALUE"""),46010.416666666664)</f>
        <v>46010.41667</v>
      </c>
      <c r="C7978" s="9">
        <f>IFERROR(__xludf.DUMMYFUNCTION("""COMPUTED_VALUE"""),429.0)</f>
        <v>429</v>
      </c>
      <c r="D7978" s="9" t="str">
        <f>IFERROR(__xludf.DUMMYFUNCTION("""COMPUTED_VALUE"""),"Completed")</f>
        <v>Completed</v>
      </c>
    </row>
    <row r="7979">
      <c r="A7979" s="9" t="str">
        <f>IFERROR(__xludf.DUMMYFUNCTION("""COMPUTED_VALUE"""),"H-RET-027")</f>
        <v>H-RET-027</v>
      </c>
      <c r="B7979" s="11">
        <f>IFERROR(__xludf.DUMMYFUNCTION("""COMPUTED_VALUE"""),46110.416666666664)</f>
        <v>46110.41667</v>
      </c>
      <c r="C7979" s="9">
        <f>IFERROR(__xludf.DUMMYFUNCTION("""COMPUTED_VALUE"""),433.0)</f>
        <v>433</v>
      </c>
      <c r="D7979" s="9" t="str">
        <f>IFERROR(__xludf.DUMMYFUNCTION("""COMPUTED_VALUE"""),"Completed")</f>
        <v>Completed</v>
      </c>
    </row>
    <row r="7980">
      <c r="A7980" s="9" t="str">
        <f>IFERROR(__xludf.DUMMYFUNCTION("""COMPUTED_VALUE"""),"H-RET-028")</f>
        <v>H-RET-028</v>
      </c>
      <c r="B7980" s="11">
        <f>IFERROR(__xludf.DUMMYFUNCTION("""COMPUTED_VALUE"""),46210.416666666664)</f>
        <v>46210.41667</v>
      </c>
      <c r="C7980" s="9">
        <f>IFERROR(__xludf.DUMMYFUNCTION("""COMPUTED_VALUE"""),437.0)</f>
        <v>437</v>
      </c>
      <c r="D7980" s="9" t="str">
        <f>IFERROR(__xludf.DUMMYFUNCTION("""COMPUTED_VALUE"""),"Completed")</f>
        <v>Completed</v>
      </c>
    </row>
    <row r="7981">
      <c r="A7981" s="9" t="str">
        <f>IFERROR(__xludf.DUMMYFUNCTION("""COMPUTED_VALUE"""),"H-RET-029")</f>
        <v>H-RET-029</v>
      </c>
      <c r="B7981" s="11">
        <f>IFERROR(__xludf.DUMMYFUNCTION("""COMPUTED_VALUE"""),45915.416666666664)</f>
        <v>45915.41667</v>
      </c>
      <c r="C7981" s="9">
        <f>IFERROR(__xludf.DUMMYFUNCTION("""COMPUTED_VALUE"""),441.0)</f>
        <v>441</v>
      </c>
      <c r="D7981" s="9" t="str">
        <f>IFERROR(__xludf.DUMMYFUNCTION("""COMPUTED_VALUE"""),"Completed")</f>
        <v>Completed</v>
      </c>
    </row>
    <row r="7982">
      <c r="A7982" s="9" t="str">
        <f>IFERROR(__xludf.DUMMYFUNCTION("""COMPUTED_VALUE"""),"H-RET-030")</f>
        <v>H-RET-030</v>
      </c>
      <c r="B7982" s="11">
        <f>IFERROR(__xludf.DUMMYFUNCTION("""COMPUTED_VALUE"""),46015.416666666664)</f>
        <v>46015.41667</v>
      </c>
      <c r="C7982" s="9">
        <f>IFERROR(__xludf.DUMMYFUNCTION("""COMPUTED_VALUE"""),445.0)</f>
        <v>445</v>
      </c>
      <c r="D7982" s="9" t="str">
        <f>IFERROR(__xludf.DUMMYFUNCTION("""COMPUTED_VALUE"""),"Completed")</f>
        <v>Completed</v>
      </c>
    </row>
    <row r="7983">
      <c r="A7983" s="9" t="str">
        <f>IFERROR(__xludf.DUMMYFUNCTION("""COMPUTED_VALUE"""),"H-RET-031")</f>
        <v>H-RET-031</v>
      </c>
      <c r="B7983" s="11">
        <f>IFERROR(__xludf.DUMMYFUNCTION("""COMPUTED_VALUE"""),46115.416666666664)</f>
        <v>46115.41667</v>
      </c>
      <c r="C7983" s="9">
        <f>IFERROR(__xludf.DUMMYFUNCTION("""COMPUTED_VALUE"""),449.0)</f>
        <v>449</v>
      </c>
      <c r="D7983" s="9" t="str">
        <f>IFERROR(__xludf.DUMMYFUNCTION("""COMPUTED_VALUE"""),"Completed")</f>
        <v>Completed</v>
      </c>
    </row>
    <row r="7984">
      <c r="A7984" s="9" t="str">
        <f>IFERROR(__xludf.DUMMYFUNCTION("""COMPUTED_VALUE"""),"H-RET-032")</f>
        <v>H-RET-032</v>
      </c>
      <c r="B7984" s="11">
        <f>IFERROR(__xludf.DUMMYFUNCTION("""COMPUTED_VALUE"""),46215.416666666664)</f>
        <v>46215.41667</v>
      </c>
      <c r="C7984" s="9">
        <f>IFERROR(__xludf.DUMMYFUNCTION("""COMPUTED_VALUE"""),453.0)</f>
        <v>453</v>
      </c>
      <c r="D7984" s="9" t="str">
        <f>IFERROR(__xludf.DUMMYFUNCTION("""COMPUTED_VALUE"""),"Completed")</f>
        <v>Completed</v>
      </c>
    </row>
    <row r="7985">
      <c r="A7985" s="9" t="str">
        <f>IFERROR(__xludf.DUMMYFUNCTION("""COMPUTED_VALUE"""),"H-RET-033")</f>
        <v>H-RET-033</v>
      </c>
      <c r="B7985" s="11">
        <f>IFERROR(__xludf.DUMMYFUNCTION("""COMPUTED_VALUE"""),45920.416666666664)</f>
        <v>45920.41667</v>
      </c>
      <c r="C7985" s="9">
        <f>IFERROR(__xludf.DUMMYFUNCTION("""COMPUTED_VALUE"""),457.0)</f>
        <v>457</v>
      </c>
      <c r="D7985" s="9" t="str">
        <f>IFERROR(__xludf.DUMMYFUNCTION("""COMPUTED_VALUE"""),"Completed")</f>
        <v>Completed</v>
      </c>
    </row>
    <row r="7986">
      <c r="A7986" s="9" t="str">
        <f>IFERROR(__xludf.DUMMYFUNCTION("""COMPUTED_VALUE"""),"H-RET-034")</f>
        <v>H-RET-034</v>
      </c>
      <c r="B7986" s="11">
        <f>IFERROR(__xludf.DUMMYFUNCTION("""COMPUTED_VALUE"""),46020.416666666664)</f>
        <v>46020.41667</v>
      </c>
      <c r="C7986" s="9">
        <f>IFERROR(__xludf.DUMMYFUNCTION("""COMPUTED_VALUE"""),461.0)</f>
        <v>461</v>
      </c>
      <c r="D7986" s="9" t="str">
        <f>IFERROR(__xludf.DUMMYFUNCTION("""COMPUTED_VALUE"""),"Completed")</f>
        <v>Completed</v>
      </c>
    </row>
    <row r="7987">
      <c r="A7987" s="9" t="str">
        <f>IFERROR(__xludf.DUMMYFUNCTION("""COMPUTED_VALUE"""),"H-RET-035")</f>
        <v>H-RET-035</v>
      </c>
      <c r="B7987" s="11">
        <f>IFERROR(__xludf.DUMMYFUNCTION("""COMPUTED_VALUE"""),46120.416666666664)</f>
        <v>46120.41667</v>
      </c>
      <c r="C7987" s="9">
        <f>IFERROR(__xludf.DUMMYFUNCTION("""COMPUTED_VALUE"""),465.0)</f>
        <v>465</v>
      </c>
      <c r="D7987" s="9" t="str">
        <f>IFERROR(__xludf.DUMMYFUNCTION("""COMPUTED_VALUE"""),"Completed")</f>
        <v>Completed</v>
      </c>
    </row>
    <row r="7988">
      <c r="A7988" s="9" t="str">
        <f>IFERROR(__xludf.DUMMYFUNCTION("""COMPUTED_VALUE"""),"H-RET-036")</f>
        <v>H-RET-036</v>
      </c>
      <c r="B7988" s="11">
        <f>IFERROR(__xludf.DUMMYFUNCTION("""COMPUTED_VALUE"""),46220.416666666664)</f>
        <v>46220.41667</v>
      </c>
      <c r="C7988" s="9">
        <f>IFERROR(__xludf.DUMMYFUNCTION("""COMPUTED_VALUE"""),469.0)</f>
        <v>469</v>
      </c>
      <c r="D7988" s="9" t="str">
        <f>IFERROR(__xludf.DUMMYFUNCTION("""COMPUTED_VALUE"""),"Completed")</f>
        <v>Completed</v>
      </c>
    </row>
    <row r="7989">
      <c r="A7989" s="9" t="str">
        <f>IFERROR(__xludf.DUMMYFUNCTION("""COMPUTED_VALUE"""),"H-RET-037")</f>
        <v>H-RET-037</v>
      </c>
      <c r="B7989" s="11">
        <f>IFERROR(__xludf.DUMMYFUNCTION("""COMPUTED_VALUE"""),45925.416666666664)</f>
        <v>45925.41667</v>
      </c>
      <c r="C7989" s="9">
        <f>IFERROR(__xludf.DUMMYFUNCTION("""COMPUTED_VALUE"""),473.0)</f>
        <v>473</v>
      </c>
      <c r="D7989" s="9" t="str">
        <f>IFERROR(__xludf.DUMMYFUNCTION("""COMPUTED_VALUE"""),"Completed")</f>
        <v>Completed</v>
      </c>
    </row>
    <row r="7990">
      <c r="A7990" s="9" t="str">
        <f>IFERROR(__xludf.DUMMYFUNCTION("""COMPUTED_VALUE"""),"H-RET-038")</f>
        <v>H-RET-038</v>
      </c>
      <c r="B7990" s="11">
        <f>IFERROR(__xludf.DUMMYFUNCTION("""COMPUTED_VALUE"""),46025.416666666664)</f>
        <v>46025.41667</v>
      </c>
      <c r="C7990" s="9">
        <f>IFERROR(__xludf.DUMMYFUNCTION("""COMPUTED_VALUE"""),477.0)</f>
        <v>477</v>
      </c>
      <c r="D7990" s="9" t="str">
        <f>IFERROR(__xludf.DUMMYFUNCTION("""COMPUTED_VALUE"""),"Completed")</f>
        <v>Completed</v>
      </c>
    </row>
    <row r="7991">
      <c r="A7991" s="9" t="str">
        <f>IFERROR(__xludf.DUMMYFUNCTION("""COMPUTED_VALUE"""),"H-RET-039")</f>
        <v>H-RET-039</v>
      </c>
      <c r="B7991" s="11">
        <f>IFERROR(__xludf.DUMMYFUNCTION("""COMPUTED_VALUE"""),46125.416666666664)</f>
        <v>46125.41667</v>
      </c>
      <c r="C7991" s="9">
        <f>IFERROR(__xludf.DUMMYFUNCTION("""COMPUTED_VALUE"""),481.0)</f>
        <v>481</v>
      </c>
      <c r="D7991" s="9" t="str">
        <f>IFERROR(__xludf.DUMMYFUNCTION("""COMPUTED_VALUE"""),"Completed")</f>
        <v>Completed</v>
      </c>
    </row>
    <row r="7992">
      <c r="A7992" s="9" t="str">
        <f>IFERROR(__xludf.DUMMYFUNCTION("""COMPUTED_VALUE"""),"H-RET-040")</f>
        <v>H-RET-040</v>
      </c>
      <c r="B7992" s="11">
        <f>IFERROR(__xludf.DUMMYFUNCTION("""COMPUTED_VALUE"""),46225.416666666664)</f>
        <v>46225.41667</v>
      </c>
      <c r="C7992" s="9">
        <f>IFERROR(__xludf.DUMMYFUNCTION("""COMPUTED_VALUE"""),485.0)</f>
        <v>485</v>
      </c>
      <c r="D7992" s="9" t="str">
        <f>IFERROR(__xludf.DUMMYFUNCTION("""COMPUTED_VALUE"""),"Completed")</f>
        <v>Completed</v>
      </c>
    </row>
    <row r="7993">
      <c r="A7993" s="9" t="str">
        <f>IFERROR(__xludf.DUMMYFUNCTION("""COMPUTED_VALUE"""),"H-RET-041")</f>
        <v>H-RET-041</v>
      </c>
      <c r="B7993" s="11">
        <f>IFERROR(__xludf.DUMMYFUNCTION("""COMPUTED_VALUE"""),45930.416666666664)</f>
        <v>45930.41667</v>
      </c>
      <c r="C7993" s="9">
        <f>IFERROR(__xludf.DUMMYFUNCTION("""COMPUTED_VALUE"""),489.0)</f>
        <v>489</v>
      </c>
      <c r="D7993" s="9" t="str">
        <f>IFERROR(__xludf.DUMMYFUNCTION("""COMPUTED_VALUE"""),"Completed")</f>
        <v>Completed</v>
      </c>
    </row>
    <row r="7994">
      <c r="A7994" s="9" t="str">
        <f>IFERROR(__xludf.DUMMYFUNCTION("""COMPUTED_VALUE"""),"H-RET-042")</f>
        <v>H-RET-042</v>
      </c>
      <c r="B7994" s="11">
        <f>IFERROR(__xludf.DUMMYFUNCTION("""COMPUTED_VALUE"""),46030.416666666664)</f>
        <v>46030.41667</v>
      </c>
      <c r="C7994" s="9">
        <f>IFERROR(__xludf.DUMMYFUNCTION("""COMPUTED_VALUE"""),493.0)</f>
        <v>493</v>
      </c>
      <c r="D7994" s="9" t="str">
        <f>IFERROR(__xludf.DUMMYFUNCTION("""COMPUTED_VALUE"""),"Completed")</f>
        <v>Completed</v>
      </c>
    </row>
    <row r="7995">
      <c r="A7995" s="9" t="str">
        <f>IFERROR(__xludf.DUMMYFUNCTION("""COMPUTED_VALUE"""),"H-RET-043")</f>
        <v>H-RET-043</v>
      </c>
      <c r="B7995" s="11">
        <f>IFERROR(__xludf.DUMMYFUNCTION("""COMPUTED_VALUE"""),46130.416666666664)</f>
        <v>46130.41667</v>
      </c>
      <c r="C7995" s="9">
        <f>IFERROR(__xludf.DUMMYFUNCTION("""COMPUTED_VALUE"""),497.0)</f>
        <v>497</v>
      </c>
      <c r="D7995" s="9" t="str">
        <f>IFERROR(__xludf.DUMMYFUNCTION("""COMPUTED_VALUE"""),"Completed")</f>
        <v>Completed</v>
      </c>
    </row>
    <row r="7996">
      <c r="A7996" s="9" t="str">
        <f>IFERROR(__xludf.DUMMYFUNCTION("""COMPUTED_VALUE"""),"H-RET-044")</f>
        <v>H-RET-044</v>
      </c>
      <c r="B7996" s="11">
        <f>IFERROR(__xludf.DUMMYFUNCTION("""COMPUTED_VALUE"""),46230.416666666664)</f>
        <v>46230.41667</v>
      </c>
      <c r="C7996" s="9">
        <f>IFERROR(__xludf.DUMMYFUNCTION("""COMPUTED_VALUE"""),501.0)</f>
        <v>501</v>
      </c>
      <c r="D7996" s="9" t="str">
        <f>IFERROR(__xludf.DUMMYFUNCTION("""COMPUTED_VALUE"""),"Completed")</f>
        <v>Completed</v>
      </c>
    </row>
    <row r="7997">
      <c r="A7997" s="9" t="str">
        <f>IFERROR(__xludf.DUMMYFUNCTION("""COMPUTED_VALUE"""),"H-RET-045")</f>
        <v>H-RET-045</v>
      </c>
      <c r="B7997" s="11">
        <f>IFERROR(__xludf.DUMMYFUNCTION("""COMPUTED_VALUE"""),45935.416666666664)</f>
        <v>45935.41667</v>
      </c>
      <c r="C7997" s="9">
        <f>IFERROR(__xludf.DUMMYFUNCTION("""COMPUTED_VALUE"""),505.0)</f>
        <v>505</v>
      </c>
      <c r="D7997" s="9" t="str">
        <f>IFERROR(__xludf.DUMMYFUNCTION("""COMPUTED_VALUE"""),"Completed")</f>
        <v>Completed</v>
      </c>
    </row>
    <row r="7998">
      <c r="A7998" s="9" t="str">
        <f>IFERROR(__xludf.DUMMYFUNCTION("""COMPUTED_VALUE"""),"H-RET-046")</f>
        <v>H-RET-046</v>
      </c>
      <c r="B7998" s="11">
        <f>IFERROR(__xludf.DUMMYFUNCTION("""COMPUTED_VALUE"""),46035.416666666664)</f>
        <v>46035.41667</v>
      </c>
      <c r="C7998" s="9">
        <f>IFERROR(__xludf.DUMMYFUNCTION("""COMPUTED_VALUE"""),509.0)</f>
        <v>509</v>
      </c>
      <c r="D7998" s="9" t="str">
        <f>IFERROR(__xludf.DUMMYFUNCTION("""COMPUTED_VALUE"""),"Completed")</f>
        <v>Completed</v>
      </c>
    </row>
    <row r="7999">
      <c r="A7999" s="9" t="str">
        <f>IFERROR(__xludf.DUMMYFUNCTION("""COMPUTED_VALUE"""),"H-RET-047")</f>
        <v>H-RET-047</v>
      </c>
      <c r="B7999" s="11">
        <f>IFERROR(__xludf.DUMMYFUNCTION("""COMPUTED_VALUE"""),46135.416666666664)</f>
        <v>46135.41667</v>
      </c>
      <c r="C7999" s="9">
        <f>IFERROR(__xludf.DUMMYFUNCTION("""COMPUTED_VALUE"""),513.0)</f>
        <v>513</v>
      </c>
      <c r="D7999" s="9" t="str">
        <f>IFERROR(__xludf.DUMMYFUNCTION("""COMPUTED_VALUE"""),"Completed")</f>
        <v>Completed</v>
      </c>
    </row>
    <row r="8000">
      <c r="A8000" s="9" t="str">
        <f>IFERROR(__xludf.DUMMYFUNCTION("""COMPUTED_VALUE"""),"H-RET-048")</f>
        <v>H-RET-048</v>
      </c>
      <c r="B8000" s="11">
        <f>IFERROR(__xludf.DUMMYFUNCTION("""COMPUTED_VALUE"""),46235.416666666664)</f>
        <v>46235.41667</v>
      </c>
      <c r="C8000" s="9">
        <f>IFERROR(__xludf.DUMMYFUNCTION("""COMPUTED_VALUE"""),517.0)</f>
        <v>517</v>
      </c>
      <c r="D8000" s="9" t="str">
        <f>IFERROR(__xludf.DUMMYFUNCTION("""COMPUTED_VALUE"""),"Completed")</f>
        <v>Completed</v>
      </c>
    </row>
    <row r="8001">
      <c r="A8001" s="9" t="str">
        <f>IFERROR(__xludf.DUMMYFUNCTION("""COMPUTED_VALUE"""),"REQ-001")</f>
        <v>REQ-001</v>
      </c>
      <c r="B8001" s="11">
        <f>IFERROR(__xludf.DUMMYFUNCTION("""COMPUTED_VALUE"""),46309.42222222222)</f>
        <v>46309.42222</v>
      </c>
      <c r="C8001" s="9">
        <f>IFERROR(__xludf.DUMMYFUNCTION("""COMPUTED_VALUE"""),5.0)</f>
        <v>5</v>
      </c>
      <c r="D8001" s="9" t="str">
        <f>IFERROR(__xludf.DUMMYFUNCTION("""COMPUTED_VALUE"""),"Completed")</f>
        <v>Completed</v>
      </c>
    </row>
  </sheetData>
  <drawing r:id="rId1"/>
</worksheet>
</file>